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vscode\djangoweight\weightapp\exceltemplate\"/>
    </mc:Choice>
  </mc:AlternateContent>
  <xr:revisionPtr revIDLastSave="0" documentId="13_ncr:1_{FF7CE6E2-3CC0-42F7-A5F0-72F3D477085C}" xr6:coauthVersionLast="47" xr6:coauthVersionMax="47" xr10:uidLastSave="{00000000-0000-0000-0000-000000000000}"/>
  <bookViews>
    <workbookView xWindow="-28920" yWindow="1995" windowWidth="29040" windowHeight="15720" firstSheet="3" activeTab="5" xr2:uid="{00000000-000D-0000-FFFF-FFFF00000000}"/>
  </bookViews>
  <sheets>
    <sheet name="บันทึกรายเที่ยว" sheetId="1" r:id="rId1"/>
    <sheet name="oil" sheetId="2" r:id="rId2"/>
    <sheet name="สรุปเหมือง" sheetId="3" r:id="rId3"/>
    <sheet name="ปะหน้าจ่ายรถร่วม" sheetId="4" r:id="rId4"/>
    <sheet name="สรุปจ่ายรถร่วม" sheetId="5" r:id="rId5"/>
    <sheet name="อัตราค่าขนส่ง" sheetId="6" r:id="rId6"/>
    <sheet name="วิธีกรอก" sheetId="7" r:id="rId7"/>
    <sheet name="รายการมาตรฐาน" sheetId="8" r:id="rId8"/>
  </sheets>
  <definedNames>
    <definedName name="_xlnm._FilterDatabase" localSheetId="0" hidden="1">บันทึกรายเที่ยว!$A$5:$M$10005</definedName>
    <definedName name="_xlnm.Print_Area" localSheetId="1">oil!$A$1:$AE$64</definedName>
    <definedName name="_xlnm.Print_Area" localSheetId="0">บันทึกรายเที่ยว!$A$1:$M$10005</definedName>
    <definedName name="_xlnm.Print_Area" localSheetId="3">ปะหน้าจ่ายรถร่วม!$A$1:$H$75</definedName>
    <definedName name="_xlnm.Print_Area" localSheetId="7">รายการมาตรฐาน!$A$1:$G$82</definedName>
    <definedName name="_xlnm.Print_Area" localSheetId="6">วิธีกรอก!$A$1:$B$96</definedName>
    <definedName name="_xlnm.Print_Area" localSheetId="4">สรุปจ่ายรถร่วม!$A$1:$O$234</definedName>
    <definedName name="_xlnm.Print_Area" localSheetId="2">สรุปเหมือง!$A$1:$H$207</definedName>
    <definedName name="_xlnm.Print_Area" localSheetId="5">อัตราค่าขนส่ง!$A$1:$G$204</definedName>
    <definedName name="_xlnm.Print_Titles" localSheetId="1">oil!$2:$3</definedName>
    <definedName name="_xlnm.Print_Titles" localSheetId="0">บันทึกรายเที่ยว!$5:$5</definedName>
    <definedName name="_xlnm.Print_Titles" localSheetId="4">สรุปจ่ายรถร่วม!$2:$4</definedName>
    <definedName name="_xlnm.Print_Titles" localSheetId="2">สรุปเหมือง!$6:$7</definedName>
    <definedName name="_xlnm.Print_Titles" localSheetId="5">อัตราค่าขนส่ง!$4:$4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04" i="1" l="1"/>
  <c r="U10004" i="1"/>
  <c r="T10004" i="1"/>
  <c r="S10004" i="1"/>
  <c r="R10004" i="1"/>
  <c r="Q10004" i="1"/>
  <c r="M10004" i="1"/>
  <c r="L10004" i="1"/>
  <c r="V10003" i="1"/>
  <c r="U10003" i="1"/>
  <c r="T10003" i="1"/>
  <c r="S10003" i="1"/>
  <c r="R10003" i="1"/>
  <c r="Q10003" i="1"/>
  <c r="M10003" i="1"/>
  <c r="L10003" i="1"/>
  <c r="V10002" i="1"/>
  <c r="U10002" i="1"/>
  <c r="T10002" i="1"/>
  <c r="S10002" i="1"/>
  <c r="R10002" i="1"/>
  <c r="Q10002" i="1"/>
  <c r="M10002" i="1"/>
  <c r="L10002" i="1"/>
  <c r="V10001" i="1"/>
  <c r="U10001" i="1"/>
  <c r="T10001" i="1"/>
  <c r="S10001" i="1"/>
  <c r="R10001" i="1"/>
  <c r="Q10001" i="1"/>
  <c r="M10001" i="1"/>
  <c r="L10001" i="1"/>
  <c r="V10000" i="1"/>
  <c r="U10000" i="1"/>
  <c r="T10000" i="1"/>
  <c r="S10000" i="1"/>
  <c r="R10000" i="1"/>
  <c r="Q10000" i="1"/>
  <c r="M10000" i="1"/>
  <c r="L10000" i="1"/>
  <c r="V9999" i="1"/>
  <c r="U9999" i="1"/>
  <c r="T9999" i="1"/>
  <c r="S9999" i="1"/>
  <c r="R9999" i="1"/>
  <c r="Q9999" i="1"/>
  <c r="M9999" i="1"/>
  <c r="L9999" i="1"/>
  <c r="V9998" i="1"/>
  <c r="U9998" i="1"/>
  <c r="T9998" i="1"/>
  <c r="S9998" i="1"/>
  <c r="R9998" i="1"/>
  <c r="Q9998" i="1"/>
  <c r="M9998" i="1"/>
  <c r="L9998" i="1"/>
  <c r="V9997" i="1"/>
  <c r="U9997" i="1"/>
  <c r="T9997" i="1"/>
  <c r="S9997" i="1"/>
  <c r="R9997" i="1"/>
  <c r="Q9997" i="1"/>
  <c r="M9997" i="1"/>
  <c r="L9997" i="1"/>
  <c r="V9996" i="1"/>
  <c r="U9996" i="1"/>
  <c r="T9996" i="1"/>
  <c r="S9996" i="1"/>
  <c r="R9996" i="1"/>
  <c r="Q9996" i="1"/>
  <c r="M9996" i="1"/>
  <c r="L9996" i="1"/>
  <c r="V9995" i="1"/>
  <c r="U9995" i="1"/>
  <c r="T9995" i="1"/>
  <c r="S9995" i="1"/>
  <c r="R9995" i="1"/>
  <c r="Q9995" i="1"/>
  <c r="M9995" i="1"/>
  <c r="L9995" i="1"/>
  <c r="V9994" i="1"/>
  <c r="U9994" i="1"/>
  <c r="T9994" i="1"/>
  <c r="S9994" i="1"/>
  <c r="R9994" i="1"/>
  <c r="Q9994" i="1"/>
  <c r="M9994" i="1"/>
  <c r="L9994" i="1"/>
  <c r="V9993" i="1"/>
  <c r="U9993" i="1"/>
  <c r="T9993" i="1"/>
  <c r="S9993" i="1"/>
  <c r="R9993" i="1"/>
  <c r="Q9993" i="1"/>
  <c r="M9993" i="1"/>
  <c r="L9993" i="1"/>
  <c r="V9992" i="1"/>
  <c r="U9992" i="1"/>
  <c r="T9992" i="1"/>
  <c r="S9992" i="1"/>
  <c r="R9992" i="1"/>
  <c r="Q9992" i="1"/>
  <c r="M9992" i="1"/>
  <c r="L9992" i="1"/>
  <c r="V9991" i="1"/>
  <c r="U9991" i="1"/>
  <c r="T9991" i="1"/>
  <c r="S9991" i="1"/>
  <c r="R9991" i="1"/>
  <c r="Q9991" i="1"/>
  <c r="M9991" i="1"/>
  <c r="L9991" i="1"/>
  <c r="V9990" i="1"/>
  <c r="U9990" i="1"/>
  <c r="T9990" i="1"/>
  <c r="S9990" i="1"/>
  <c r="R9990" i="1"/>
  <c r="Q9990" i="1"/>
  <c r="M9990" i="1"/>
  <c r="L9990" i="1"/>
  <c r="V9989" i="1"/>
  <c r="U9989" i="1"/>
  <c r="T9989" i="1"/>
  <c r="S9989" i="1"/>
  <c r="R9989" i="1"/>
  <c r="Q9989" i="1"/>
  <c r="M9989" i="1"/>
  <c r="L9989" i="1"/>
  <c r="V9988" i="1"/>
  <c r="U9988" i="1"/>
  <c r="T9988" i="1"/>
  <c r="S9988" i="1"/>
  <c r="R9988" i="1"/>
  <c r="Q9988" i="1"/>
  <c r="M9988" i="1"/>
  <c r="L9988" i="1"/>
  <c r="V9987" i="1"/>
  <c r="U9987" i="1"/>
  <c r="T9987" i="1"/>
  <c r="S9987" i="1"/>
  <c r="R9987" i="1"/>
  <c r="Q9987" i="1"/>
  <c r="M9987" i="1"/>
  <c r="L9987" i="1"/>
  <c r="V9986" i="1"/>
  <c r="U9986" i="1"/>
  <c r="T9986" i="1"/>
  <c r="S9986" i="1"/>
  <c r="R9986" i="1"/>
  <c r="Q9986" i="1"/>
  <c r="M9986" i="1"/>
  <c r="L9986" i="1"/>
  <c r="V9985" i="1"/>
  <c r="U9985" i="1"/>
  <c r="T9985" i="1"/>
  <c r="S9985" i="1"/>
  <c r="R9985" i="1"/>
  <c r="Q9985" i="1"/>
  <c r="M9985" i="1"/>
  <c r="L9985" i="1"/>
  <c r="V9984" i="1"/>
  <c r="U9984" i="1"/>
  <c r="T9984" i="1"/>
  <c r="S9984" i="1"/>
  <c r="R9984" i="1"/>
  <c r="Q9984" i="1"/>
  <c r="M9984" i="1"/>
  <c r="L9984" i="1"/>
  <c r="V9983" i="1"/>
  <c r="U9983" i="1"/>
  <c r="T9983" i="1"/>
  <c r="S9983" i="1"/>
  <c r="R9983" i="1"/>
  <c r="Q9983" i="1"/>
  <c r="M9983" i="1"/>
  <c r="L9983" i="1"/>
  <c r="V9982" i="1"/>
  <c r="U9982" i="1"/>
  <c r="T9982" i="1"/>
  <c r="S9982" i="1"/>
  <c r="R9982" i="1"/>
  <c r="Q9982" i="1"/>
  <c r="M9982" i="1"/>
  <c r="L9982" i="1"/>
  <c r="V9981" i="1"/>
  <c r="U9981" i="1"/>
  <c r="T9981" i="1"/>
  <c r="S9981" i="1"/>
  <c r="R9981" i="1"/>
  <c r="Q9981" i="1"/>
  <c r="M9981" i="1"/>
  <c r="L9981" i="1"/>
  <c r="V9980" i="1"/>
  <c r="U9980" i="1"/>
  <c r="T9980" i="1"/>
  <c r="S9980" i="1"/>
  <c r="R9980" i="1"/>
  <c r="Q9980" i="1"/>
  <c r="M9980" i="1"/>
  <c r="L9980" i="1"/>
  <c r="V9979" i="1"/>
  <c r="U9979" i="1"/>
  <c r="T9979" i="1"/>
  <c r="S9979" i="1"/>
  <c r="R9979" i="1"/>
  <c r="Q9979" i="1"/>
  <c r="M9979" i="1"/>
  <c r="L9979" i="1"/>
  <c r="V9978" i="1"/>
  <c r="U9978" i="1"/>
  <c r="T9978" i="1"/>
  <c r="S9978" i="1"/>
  <c r="R9978" i="1"/>
  <c r="Q9978" i="1"/>
  <c r="M9978" i="1"/>
  <c r="L9978" i="1"/>
  <c r="V9977" i="1"/>
  <c r="U9977" i="1"/>
  <c r="T9977" i="1"/>
  <c r="S9977" i="1"/>
  <c r="R9977" i="1"/>
  <c r="Q9977" i="1"/>
  <c r="M9977" i="1"/>
  <c r="L9977" i="1"/>
  <c r="V9976" i="1"/>
  <c r="U9976" i="1"/>
  <c r="T9976" i="1"/>
  <c r="S9976" i="1"/>
  <c r="R9976" i="1"/>
  <c r="Q9976" i="1"/>
  <c r="M9976" i="1"/>
  <c r="L9976" i="1"/>
  <c r="V9975" i="1"/>
  <c r="U9975" i="1"/>
  <c r="T9975" i="1"/>
  <c r="S9975" i="1"/>
  <c r="R9975" i="1"/>
  <c r="Q9975" i="1"/>
  <c r="M9975" i="1"/>
  <c r="L9975" i="1"/>
  <c r="V9974" i="1"/>
  <c r="U9974" i="1"/>
  <c r="T9974" i="1"/>
  <c r="S9974" i="1"/>
  <c r="R9974" i="1"/>
  <c r="Q9974" i="1"/>
  <c r="M9974" i="1"/>
  <c r="L9974" i="1"/>
  <c r="V9973" i="1"/>
  <c r="U9973" i="1"/>
  <c r="T9973" i="1"/>
  <c r="S9973" i="1"/>
  <c r="R9973" i="1"/>
  <c r="Q9973" i="1"/>
  <c r="M9973" i="1"/>
  <c r="L9973" i="1"/>
  <c r="V9972" i="1"/>
  <c r="U9972" i="1"/>
  <c r="T9972" i="1"/>
  <c r="S9972" i="1"/>
  <c r="R9972" i="1"/>
  <c r="Q9972" i="1"/>
  <c r="M9972" i="1"/>
  <c r="L9972" i="1"/>
  <c r="V9971" i="1"/>
  <c r="U9971" i="1"/>
  <c r="T9971" i="1"/>
  <c r="S9971" i="1"/>
  <c r="R9971" i="1"/>
  <c r="Q9971" i="1"/>
  <c r="M9971" i="1"/>
  <c r="L9971" i="1"/>
  <c r="V9970" i="1"/>
  <c r="U9970" i="1"/>
  <c r="T9970" i="1"/>
  <c r="S9970" i="1"/>
  <c r="R9970" i="1"/>
  <c r="Q9970" i="1"/>
  <c r="M9970" i="1"/>
  <c r="L9970" i="1"/>
  <c r="V9969" i="1"/>
  <c r="U9969" i="1"/>
  <c r="T9969" i="1"/>
  <c r="S9969" i="1"/>
  <c r="R9969" i="1"/>
  <c r="Q9969" i="1"/>
  <c r="M9969" i="1"/>
  <c r="L9969" i="1"/>
  <c r="V9968" i="1"/>
  <c r="U9968" i="1"/>
  <c r="T9968" i="1"/>
  <c r="S9968" i="1"/>
  <c r="R9968" i="1"/>
  <c r="Q9968" i="1"/>
  <c r="M9968" i="1"/>
  <c r="L9968" i="1"/>
  <c r="V9967" i="1"/>
  <c r="U9967" i="1"/>
  <c r="T9967" i="1"/>
  <c r="S9967" i="1"/>
  <c r="R9967" i="1"/>
  <c r="Q9967" i="1"/>
  <c r="M9967" i="1"/>
  <c r="L9967" i="1"/>
  <c r="V9966" i="1"/>
  <c r="U9966" i="1"/>
  <c r="T9966" i="1"/>
  <c r="S9966" i="1"/>
  <c r="R9966" i="1"/>
  <c r="Q9966" i="1"/>
  <c r="M9966" i="1"/>
  <c r="L9966" i="1"/>
  <c r="V9965" i="1"/>
  <c r="U9965" i="1"/>
  <c r="T9965" i="1"/>
  <c r="S9965" i="1"/>
  <c r="R9965" i="1"/>
  <c r="Q9965" i="1"/>
  <c r="M9965" i="1"/>
  <c r="L9965" i="1"/>
  <c r="V9964" i="1"/>
  <c r="U9964" i="1"/>
  <c r="T9964" i="1"/>
  <c r="S9964" i="1"/>
  <c r="R9964" i="1"/>
  <c r="Q9964" i="1"/>
  <c r="M9964" i="1"/>
  <c r="L9964" i="1"/>
  <c r="V9963" i="1"/>
  <c r="U9963" i="1"/>
  <c r="T9963" i="1"/>
  <c r="S9963" i="1"/>
  <c r="R9963" i="1"/>
  <c r="Q9963" i="1"/>
  <c r="M9963" i="1"/>
  <c r="L9963" i="1"/>
  <c r="V9962" i="1"/>
  <c r="U9962" i="1"/>
  <c r="T9962" i="1"/>
  <c r="S9962" i="1"/>
  <c r="R9962" i="1"/>
  <c r="Q9962" i="1"/>
  <c r="M9962" i="1"/>
  <c r="L9962" i="1"/>
  <c r="V9961" i="1"/>
  <c r="U9961" i="1"/>
  <c r="T9961" i="1"/>
  <c r="S9961" i="1"/>
  <c r="R9961" i="1"/>
  <c r="Q9961" i="1"/>
  <c r="M9961" i="1"/>
  <c r="L9961" i="1"/>
  <c r="V9960" i="1"/>
  <c r="U9960" i="1"/>
  <c r="T9960" i="1"/>
  <c r="S9960" i="1"/>
  <c r="R9960" i="1"/>
  <c r="Q9960" i="1"/>
  <c r="M9960" i="1"/>
  <c r="L9960" i="1"/>
  <c r="V9959" i="1"/>
  <c r="U9959" i="1"/>
  <c r="T9959" i="1"/>
  <c r="S9959" i="1"/>
  <c r="R9959" i="1"/>
  <c r="Q9959" i="1"/>
  <c r="M9959" i="1"/>
  <c r="L9959" i="1"/>
  <c r="V9958" i="1"/>
  <c r="U9958" i="1"/>
  <c r="T9958" i="1"/>
  <c r="S9958" i="1"/>
  <c r="R9958" i="1"/>
  <c r="Q9958" i="1"/>
  <c r="M9958" i="1"/>
  <c r="L9958" i="1"/>
  <c r="V9957" i="1"/>
  <c r="U9957" i="1"/>
  <c r="T9957" i="1"/>
  <c r="S9957" i="1"/>
  <c r="R9957" i="1"/>
  <c r="Q9957" i="1"/>
  <c r="M9957" i="1"/>
  <c r="L9957" i="1"/>
  <c r="V9956" i="1"/>
  <c r="U9956" i="1"/>
  <c r="T9956" i="1"/>
  <c r="S9956" i="1"/>
  <c r="R9956" i="1"/>
  <c r="Q9956" i="1"/>
  <c r="M9956" i="1"/>
  <c r="L9956" i="1"/>
  <c r="V9955" i="1"/>
  <c r="U9955" i="1"/>
  <c r="T9955" i="1"/>
  <c r="S9955" i="1"/>
  <c r="R9955" i="1"/>
  <c r="Q9955" i="1"/>
  <c r="M9955" i="1"/>
  <c r="L9955" i="1"/>
  <c r="V9954" i="1"/>
  <c r="U9954" i="1"/>
  <c r="T9954" i="1"/>
  <c r="S9954" i="1"/>
  <c r="R9954" i="1"/>
  <c r="Q9954" i="1"/>
  <c r="M9954" i="1"/>
  <c r="L9954" i="1"/>
  <c r="V9953" i="1"/>
  <c r="U9953" i="1"/>
  <c r="T9953" i="1"/>
  <c r="S9953" i="1"/>
  <c r="R9953" i="1"/>
  <c r="Q9953" i="1"/>
  <c r="M9953" i="1"/>
  <c r="L9953" i="1"/>
  <c r="V9952" i="1"/>
  <c r="U9952" i="1"/>
  <c r="T9952" i="1"/>
  <c r="S9952" i="1"/>
  <c r="R9952" i="1"/>
  <c r="Q9952" i="1"/>
  <c r="M9952" i="1"/>
  <c r="L9952" i="1"/>
  <c r="V9951" i="1"/>
  <c r="U9951" i="1"/>
  <c r="T9951" i="1"/>
  <c r="S9951" i="1"/>
  <c r="R9951" i="1"/>
  <c r="Q9951" i="1"/>
  <c r="M9951" i="1"/>
  <c r="L9951" i="1"/>
  <c r="V9950" i="1"/>
  <c r="U9950" i="1"/>
  <c r="T9950" i="1"/>
  <c r="S9950" i="1"/>
  <c r="R9950" i="1"/>
  <c r="Q9950" i="1"/>
  <c r="M9950" i="1"/>
  <c r="L9950" i="1"/>
  <c r="V9949" i="1"/>
  <c r="U9949" i="1"/>
  <c r="T9949" i="1"/>
  <c r="S9949" i="1"/>
  <c r="R9949" i="1"/>
  <c r="Q9949" i="1"/>
  <c r="M9949" i="1"/>
  <c r="L9949" i="1"/>
  <c r="V9948" i="1"/>
  <c r="U9948" i="1"/>
  <c r="T9948" i="1"/>
  <c r="S9948" i="1"/>
  <c r="R9948" i="1"/>
  <c r="Q9948" i="1"/>
  <c r="M9948" i="1"/>
  <c r="L9948" i="1"/>
  <c r="V9947" i="1"/>
  <c r="U9947" i="1"/>
  <c r="T9947" i="1"/>
  <c r="S9947" i="1"/>
  <c r="R9947" i="1"/>
  <c r="Q9947" i="1"/>
  <c r="M9947" i="1"/>
  <c r="L9947" i="1"/>
  <c r="V9946" i="1"/>
  <c r="U9946" i="1"/>
  <c r="T9946" i="1"/>
  <c r="S9946" i="1"/>
  <c r="R9946" i="1"/>
  <c r="Q9946" i="1"/>
  <c r="M9946" i="1"/>
  <c r="L9946" i="1"/>
  <c r="V9945" i="1"/>
  <c r="U9945" i="1"/>
  <c r="T9945" i="1"/>
  <c r="S9945" i="1"/>
  <c r="R9945" i="1"/>
  <c r="Q9945" i="1"/>
  <c r="M9945" i="1"/>
  <c r="L9945" i="1"/>
  <c r="V9944" i="1"/>
  <c r="U9944" i="1"/>
  <c r="T9944" i="1"/>
  <c r="S9944" i="1"/>
  <c r="R9944" i="1"/>
  <c r="Q9944" i="1"/>
  <c r="M9944" i="1"/>
  <c r="L9944" i="1"/>
  <c r="V9943" i="1"/>
  <c r="U9943" i="1"/>
  <c r="T9943" i="1"/>
  <c r="S9943" i="1"/>
  <c r="R9943" i="1"/>
  <c r="Q9943" i="1"/>
  <c r="M9943" i="1"/>
  <c r="L9943" i="1"/>
  <c r="V9942" i="1"/>
  <c r="U9942" i="1"/>
  <c r="T9942" i="1"/>
  <c r="S9942" i="1"/>
  <c r="R9942" i="1"/>
  <c r="Q9942" i="1"/>
  <c r="M9942" i="1"/>
  <c r="L9942" i="1"/>
  <c r="V9941" i="1"/>
  <c r="U9941" i="1"/>
  <c r="T9941" i="1"/>
  <c r="S9941" i="1"/>
  <c r="R9941" i="1"/>
  <c r="Q9941" i="1"/>
  <c r="M9941" i="1"/>
  <c r="L9941" i="1"/>
  <c r="V9940" i="1"/>
  <c r="U9940" i="1"/>
  <c r="T9940" i="1"/>
  <c r="S9940" i="1"/>
  <c r="R9940" i="1"/>
  <c r="Q9940" i="1"/>
  <c r="M9940" i="1"/>
  <c r="L9940" i="1"/>
  <c r="V9939" i="1"/>
  <c r="U9939" i="1"/>
  <c r="T9939" i="1"/>
  <c r="S9939" i="1"/>
  <c r="R9939" i="1"/>
  <c r="Q9939" i="1"/>
  <c r="M9939" i="1"/>
  <c r="L9939" i="1"/>
  <c r="V9938" i="1"/>
  <c r="U9938" i="1"/>
  <c r="T9938" i="1"/>
  <c r="S9938" i="1"/>
  <c r="R9938" i="1"/>
  <c r="Q9938" i="1"/>
  <c r="M9938" i="1"/>
  <c r="L9938" i="1"/>
  <c r="V9937" i="1"/>
  <c r="U9937" i="1"/>
  <c r="T9937" i="1"/>
  <c r="S9937" i="1"/>
  <c r="R9937" i="1"/>
  <c r="Q9937" i="1"/>
  <c r="M9937" i="1"/>
  <c r="L9937" i="1"/>
  <c r="V9936" i="1"/>
  <c r="U9936" i="1"/>
  <c r="T9936" i="1"/>
  <c r="S9936" i="1"/>
  <c r="R9936" i="1"/>
  <c r="Q9936" i="1"/>
  <c r="M9936" i="1"/>
  <c r="L9936" i="1"/>
  <c r="V9935" i="1"/>
  <c r="U9935" i="1"/>
  <c r="T9935" i="1"/>
  <c r="S9935" i="1"/>
  <c r="R9935" i="1"/>
  <c r="Q9935" i="1"/>
  <c r="M9935" i="1"/>
  <c r="L9935" i="1"/>
  <c r="V9934" i="1"/>
  <c r="U9934" i="1"/>
  <c r="T9934" i="1"/>
  <c r="S9934" i="1"/>
  <c r="R9934" i="1"/>
  <c r="Q9934" i="1"/>
  <c r="M9934" i="1"/>
  <c r="L9934" i="1"/>
  <c r="V9933" i="1"/>
  <c r="U9933" i="1"/>
  <c r="T9933" i="1"/>
  <c r="S9933" i="1"/>
  <c r="R9933" i="1"/>
  <c r="Q9933" i="1"/>
  <c r="M9933" i="1"/>
  <c r="L9933" i="1"/>
  <c r="V9932" i="1"/>
  <c r="U9932" i="1"/>
  <c r="T9932" i="1"/>
  <c r="S9932" i="1"/>
  <c r="R9932" i="1"/>
  <c r="Q9932" i="1"/>
  <c r="M9932" i="1"/>
  <c r="L9932" i="1"/>
  <c r="V9931" i="1"/>
  <c r="U9931" i="1"/>
  <c r="T9931" i="1"/>
  <c r="S9931" i="1"/>
  <c r="R9931" i="1"/>
  <c r="Q9931" i="1"/>
  <c r="M9931" i="1"/>
  <c r="L9931" i="1"/>
  <c r="V9930" i="1"/>
  <c r="U9930" i="1"/>
  <c r="T9930" i="1"/>
  <c r="S9930" i="1"/>
  <c r="R9930" i="1"/>
  <c r="Q9930" i="1"/>
  <c r="M9930" i="1"/>
  <c r="L9930" i="1"/>
  <c r="V9929" i="1"/>
  <c r="U9929" i="1"/>
  <c r="T9929" i="1"/>
  <c r="S9929" i="1"/>
  <c r="R9929" i="1"/>
  <c r="Q9929" i="1"/>
  <c r="M9929" i="1"/>
  <c r="L9929" i="1"/>
  <c r="V9928" i="1"/>
  <c r="U9928" i="1"/>
  <c r="T9928" i="1"/>
  <c r="S9928" i="1"/>
  <c r="R9928" i="1"/>
  <c r="Q9928" i="1"/>
  <c r="M9928" i="1"/>
  <c r="L9928" i="1"/>
  <c r="V9927" i="1"/>
  <c r="U9927" i="1"/>
  <c r="T9927" i="1"/>
  <c r="S9927" i="1"/>
  <c r="R9927" i="1"/>
  <c r="Q9927" i="1"/>
  <c r="M9927" i="1"/>
  <c r="L9927" i="1"/>
  <c r="V9926" i="1"/>
  <c r="U9926" i="1"/>
  <c r="T9926" i="1"/>
  <c r="S9926" i="1"/>
  <c r="R9926" i="1"/>
  <c r="Q9926" i="1"/>
  <c r="M9926" i="1"/>
  <c r="L9926" i="1"/>
  <c r="V9925" i="1"/>
  <c r="U9925" i="1"/>
  <c r="T9925" i="1"/>
  <c r="S9925" i="1"/>
  <c r="R9925" i="1"/>
  <c r="Q9925" i="1"/>
  <c r="M9925" i="1"/>
  <c r="L9925" i="1"/>
  <c r="V9924" i="1"/>
  <c r="U9924" i="1"/>
  <c r="T9924" i="1"/>
  <c r="S9924" i="1"/>
  <c r="R9924" i="1"/>
  <c r="Q9924" i="1"/>
  <c r="M9924" i="1"/>
  <c r="L9924" i="1"/>
  <c r="V9923" i="1"/>
  <c r="U9923" i="1"/>
  <c r="T9923" i="1"/>
  <c r="S9923" i="1"/>
  <c r="R9923" i="1"/>
  <c r="Q9923" i="1"/>
  <c r="M9923" i="1"/>
  <c r="L9923" i="1"/>
  <c r="V9922" i="1"/>
  <c r="U9922" i="1"/>
  <c r="T9922" i="1"/>
  <c r="S9922" i="1"/>
  <c r="R9922" i="1"/>
  <c r="Q9922" i="1"/>
  <c r="M9922" i="1"/>
  <c r="L9922" i="1"/>
  <c r="V9921" i="1"/>
  <c r="U9921" i="1"/>
  <c r="T9921" i="1"/>
  <c r="S9921" i="1"/>
  <c r="R9921" i="1"/>
  <c r="Q9921" i="1"/>
  <c r="M9921" i="1"/>
  <c r="L9921" i="1"/>
  <c r="V9920" i="1"/>
  <c r="U9920" i="1"/>
  <c r="T9920" i="1"/>
  <c r="S9920" i="1"/>
  <c r="R9920" i="1"/>
  <c r="Q9920" i="1"/>
  <c r="M9920" i="1"/>
  <c r="L9920" i="1"/>
  <c r="V9919" i="1"/>
  <c r="U9919" i="1"/>
  <c r="T9919" i="1"/>
  <c r="S9919" i="1"/>
  <c r="R9919" i="1"/>
  <c r="Q9919" i="1"/>
  <c r="M9919" i="1"/>
  <c r="L9919" i="1"/>
  <c r="V9918" i="1"/>
  <c r="U9918" i="1"/>
  <c r="T9918" i="1"/>
  <c r="S9918" i="1"/>
  <c r="R9918" i="1"/>
  <c r="Q9918" i="1"/>
  <c r="M9918" i="1"/>
  <c r="L9918" i="1"/>
  <c r="V9917" i="1"/>
  <c r="U9917" i="1"/>
  <c r="T9917" i="1"/>
  <c r="S9917" i="1"/>
  <c r="R9917" i="1"/>
  <c r="Q9917" i="1"/>
  <c r="M9917" i="1"/>
  <c r="L9917" i="1"/>
  <c r="V9916" i="1"/>
  <c r="U9916" i="1"/>
  <c r="T9916" i="1"/>
  <c r="S9916" i="1"/>
  <c r="R9916" i="1"/>
  <c r="Q9916" i="1"/>
  <c r="M9916" i="1"/>
  <c r="L9916" i="1"/>
  <c r="V9915" i="1"/>
  <c r="U9915" i="1"/>
  <c r="T9915" i="1"/>
  <c r="S9915" i="1"/>
  <c r="R9915" i="1"/>
  <c r="Q9915" i="1"/>
  <c r="M9915" i="1"/>
  <c r="L9915" i="1"/>
  <c r="V9914" i="1"/>
  <c r="U9914" i="1"/>
  <c r="T9914" i="1"/>
  <c r="S9914" i="1"/>
  <c r="R9914" i="1"/>
  <c r="Q9914" i="1"/>
  <c r="M9914" i="1"/>
  <c r="L9914" i="1"/>
  <c r="V9913" i="1"/>
  <c r="U9913" i="1"/>
  <c r="T9913" i="1"/>
  <c r="S9913" i="1"/>
  <c r="R9913" i="1"/>
  <c r="Q9913" i="1"/>
  <c r="M9913" i="1"/>
  <c r="L9913" i="1"/>
  <c r="V9912" i="1"/>
  <c r="U9912" i="1"/>
  <c r="T9912" i="1"/>
  <c r="S9912" i="1"/>
  <c r="R9912" i="1"/>
  <c r="Q9912" i="1"/>
  <c r="M9912" i="1"/>
  <c r="L9912" i="1"/>
  <c r="V9911" i="1"/>
  <c r="U9911" i="1"/>
  <c r="T9911" i="1"/>
  <c r="S9911" i="1"/>
  <c r="R9911" i="1"/>
  <c r="Q9911" i="1"/>
  <c r="M9911" i="1"/>
  <c r="L9911" i="1"/>
  <c r="V9910" i="1"/>
  <c r="U9910" i="1"/>
  <c r="T9910" i="1"/>
  <c r="S9910" i="1"/>
  <c r="R9910" i="1"/>
  <c r="Q9910" i="1"/>
  <c r="M9910" i="1"/>
  <c r="L9910" i="1"/>
  <c r="V9909" i="1"/>
  <c r="U9909" i="1"/>
  <c r="T9909" i="1"/>
  <c r="S9909" i="1"/>
  <c r="R9909" i="1"/>
  <c r="Q9909" i="1"/>
  <c r="M9909" i="1"/>
  <c r="L9909" i="1"/>
  <c r="V9908" i="1"/>
  <c r="U9908" i="1"/>
  <c r="T9908" i="1"/>
  <c r="S9908" i="1"/>
  <c r="R9908" i="1"/>
  <c r="Q9908" i="1"/>
  <c r="M9908" i="1"/>
  <c r="L9908" i="1"/>
  <c r="V9907" i="1"/>
  <c r="U9907" i="1"/>
  <c r="T9907" i="1"/>
  <c r="S9907" i="1"/>
  <c r="R9907" i="1"/>
  <c r="Q9907" i="1"/>
  <c r="M9907" i="1"/>
  <c r="L9907" i="1"/>
  <c r="V9906" i="1"/>
  <c r="U9906" i="1"/>
  <c r="T9906" i="1"/>
  <c r="S9906" i="1"/>
  <c r="R9906" i="1"/>
  <c r="Q9906" i="1"/>
  <c r="M9906" i="1"/>
  <c r="L9906" i="1"/>
  <c r="V9905" i="1"/>
  <c r="U9905" i="1"/>
  <c r="T9905" i="1"/>
  <c r="S9905" i="1"/>
  <c r="R9905" i="1"/>
  <c r="Q9905" i="1"/>
  <c r="M9905" i="1"/>
  <c r="L9905" i="1"/>
  <c r="V9904" i="1"/>
  <c r="U9904" i="1"/>
  <c r="T9904" i="1"/>
  <c r="S9904" i="1"/>
  <c r="R9904" i="1"/>
  <c r="Q9904" i="1"/>
  <c r="M9904" i="1"/>
  <c r="L9904" i="1"/>
  <c r="V9903" i="1"/>
  <c r="U9903" i="1"/>
  <c r="T9903" i="1"/>
  <c r="S9903" i="1"/>
  <c r="R9903" i="1"/>
  <c r="Q9903" i="1"/>
  <c r="M9903" i="1"/>
  <c r="L9903" i="1"/>
  <c r="V9902" i="1"/>
  <c r="U9902" i="1"/>
  <c r="T9902" i="1"/>
  <c r="S9902" i="1"/>
  <c r="R9902" i="1"/>
  <c r="Q9902" i="1"/>
  <c r="M9902" i="1"/>
  <c r="L9902" i="1"/>
  <c r="V9901" i="1"/>
  <c r="U9901" i="1"/>
  <c r="T9901" i="1"/>
  <c r="S9901" i="1"/>
  <c r="R9901" i="1"/>
  <c r="Q9901" i="1"/>
  <c r="M9901" i="1"/>
  <c r="L9901" i="1"/>
  <c r="V9900" i="1"/>
  <c r="U9900" i="1"/>
  <c r="T9900" i="1"/>
  <c r="S9900" i="1"/>
  <c r="R9900" i="1"/>
  <c r="Q9900" i="1"/>
  <c r="M9900" i="1"/>
  <c r="L9900" i="1"/>
  <c r="V9899" i="1"/>
  <c r="U9899" i="1"/>
  <c r="T9899" i="1"/>
  <c r="S9899" i="1"/>
  <c r="R9899" i="1"/>
  <c r="Q9899" i="1"/>
  <c r="M9899" i="1"/>
  <c r="L9899" i="1"/>
  <c r="V9898" i="1"/>
  <c r="U9898" i="1"/>
  <c r="T9898" i="1"/>
  <c r="S9898" i="1"/>
  <c r="R9898" i="1"/>
  <c r="Q9898" i="1"/>
  <c r="M9898" i="1"/>
  <c r="L9898" i="1"/>
  <c r="V9897" i="1"/>
  <c r="U9897" i="1"/>
  <c r="T9897" i="1"/>
  <c r="S9897" i="1"/>
  <c r="R9897" i="1"/>
  <c r="Q9897" i="1"/>
  <c r="M9897" i="1"/>
  <c r="L9897" i="1"/>
  <c r="V9896" i="1"/>
  <c r="U9896" i="1"/>
  <c r="T9896" i="1"/>
  <c r="S9896" i="1"/>
  <c r="R9896" i="1"/>
  <c r="Q9896" i="1"/>
  <c r="M9896" i="1"/>
  <c r="L9896" i="1"/>
  <c r="V9895" i="1"/>
  <c r="U9895" i="1"/>
  <c r="T9895" i="1"/>
  <c r="S9895" i="1"/>
  <c r="R9895" i="1"/>
  <c r="Q9895" i="1"/>
  <c r="M9895" i="1"/>
  <c r="L9895" i="1"/>
  <c r="V9894" i="1"/>
  <c r="U9894" i="1"/>
  <c r="T9894" i="1"/>
  <c r="S9894" i="1"/>
  <c r="R9894" i="1"/>
  <c r="Q9894" i="1"/>
  <c r="M9894" i="1"/>
  <c r="L9894" i="1"/>
  <c r="V9893" i="1"/>
  <c r="U9893" i="1"/>
  <c r="T9893" i="1"/>
  <c r="S9893" i="1"/>
  <c r="R9893" i="1"/>
  <c r="Q9893" i="1"/>
  <c r="M9893" i="1"/>
  <c r="L9893" i="1"/>
  <c r="V9892" i="1"/>
  <c r="U9892" i="1"/>
  <c r="T9892" i="1"/>
  <c r="S9892" i="1"/>
  <c r="R9892" i="1"/>
  <c r="Q9892" i="1"/>
  <c r="M9892" i="1"/>
  <c r="L9892" i="1"/>
  <c r="V9891" i="1"/>
  <c r="U9891" i="1"/>
  <c r="T9891" i="1"/>
  <c r="S9891" i="1"/>
  <c r="R9891" i="1"/>
  <c r="Q9891" i="1"/>
  <c r="M9891" i="1"/>
  <c r="L9891" i="1"/>
  <c r="V9890" i="1"/>
  <c r="U9890" i="1"/>
  <c r="T9890" i="1"/>
  <c r="S9890" i="1"/>
  <c r="R9890" i="1"/>
  <c r="Q9890" i="1"/>
  <c r="M9890" i="1"/>
  <c r="L9890" i="1"/>
  <c r="V9889" i="1"/>
  <c r="U9889" i="1"/>
  <c r="T9889" i="1"/>
  <c r="S9889" i="1"/>
  <c r="R9889" i="1"/>
  <c r="Q9889" i="1"/>
  <c r="M9889" i="1"/>
  <c r="L9889" i="1"/>
  <c r="V9888" i="1"/>
  <c r="U9888" i="1"/>
  <c r="T9888" i="1"/>
  <c r="S9888" i="1"/>
  <c r="R9888" i="1"/>
  <c r="Q9888" i="1"/>
  <c r="M9888" i="1"/>
  <c r="L9888" i="1"/>
  <c r="V9887" i="1"/>
  <c r="U9887" i="1"/>
  <c r="T9887" i="1"/>
  <c r="S9887" i="1"/>
  <c r="R9887" i="1"/>
  <c r="Q9887" i="1"/>
  <c r="M9887" i="1"/>
  <c r="L9887" i="1"/>
  <c r="V9886" i="1"/>
  <c r="U9886" i="1"/>
  <c r="T9886" i="1"/>
  <c r="S9886" i="1"/>
  <c r="R9886" i="1"/>
  <c r="Q9886" i="1"/>
  <c r="M9886" i="1"/>
  <c r="L9886" i="1"/>
  <c r="V9885" i="1"/>
  <c r="U9885" i="1"/>
  <c r="T9885" i="1"/>
  <c r="S9885" i="1"/>
  <c r="R9885" i="1"/>
  <c r="Q9885" i="1"/>
  <c r="M9885" i="1"/>
  <c r="L9885" i="1"/>
  <c r="V9884" i="1"/>
  <c r="U9884" i="1"/>
  <c r="T9884" i="1"/>
  <c r="S9884" i="1"/>
  <c r="R9884" i="1"/>
  <c r="Q9884" i="1"/>
  <c r="M9884" i="1"/>
  <c r="L9884" i="1"/>
  <c r="V9883" i="1"/>
  <c r="U9883" i="1"/>
  <c r="T9883" i="1"/>
  <c r="S9883" i="1"/>
  <c r="R9883" i="1"/>
  <c r="Q9883" i="1"/>
  <c r="M9883" i="1"/>
  <c r="L9883" i="1"/>
  <c r="V9882" i="1"/>
  <c r="U9882" i="1"/>
  <c r="T9882" i="1"/>
  <c r="S9882" i="1"/>
  <c r="R9882" i="1"/>
  <c r="Q9882" i="1"/>
  <c r="M9882" i="1"/>
  <c r="L9882" i="1"/>
  <c r="V9881" i="1"/>
  <c r="U9881" i="1"/>
  <c r="T9881" i="1"/>
  <c r="S9881" i="1"/>
  <c r="R9881" i="1"/>
  <c r="Q9881" i="1"/>
  <c r="M9881" i="1"/>
  <c r="L9881" i="1"/>
  <c r="V9880" i="1"/>
  <c r="U9880" i="1"/>
  <c r="T9880" i="1"/>
  <c r="S9880" i="1"/>
  <c r="R9880" i="1"/>
  <c r="Q9880" i="1"/>
  <c r="M9880" i="1"/>
  <c r="L9880" i="1"/>
  <c r="V9879" i="1"/>
  <c r="U9879" i="1"/>
  <c r="T9879" i="1"/>
  <c r="S9879" i="1"/>
  <c r="R9879" i="1"/>
  <c r="Q9879" i="1"/>
  <c r="M9879" i="1"/>
  <c r="L9879" i="1"/>
  <c r="V9878" i="1"/>
  <c r="U9878" i="1"/>
  <c r="T9878" i="1"/>
  <c r="S9878" i="1"/>
  <c r="R9878" i="1"/>
  <c r="Q9878" i="1"/>
  <c r="M9878" i="1"/>
  <c r="L9878" i="1"/>
  <c r="V9877" i="1"/>
  <c r="U9877" i="1"/>
  <c r="T9877" i="1"/>
  <c r="S9877" i="1"/>
  <c r="R9877" i="1"/>
  <c r="Q9877" i="1"/>
  <c r="M9877" i="1"/>
  <c r="L9877" i="1"/>
  <c r="V9876" i="1"/>
  <c r="U9876" i="1"/>
  <c r="T9876" i="1"/>
  <c r="S9876" i="1"/>
  <c r="R9876" i="1"/>
  <c r="Q9876" i="1"/>
  <c r="M9876" i="1"/>
  <c r="L9876" i="1"/>
  <c r="V9875" i="1"/>
  <c r="U9875" i="1"/>
  <c r="T9875" i="1"/>
  <c r="S9875" i="1"/>
  <c r="R9875" i="1"/>
  <c r="Q9875" i="1"/>
  <c r="M9875" i="1"/>
  <c r="L9875" i="1"/>
  <c r="V9874" i="1"/>
  <c r="U9874" i="1"/>
  <c r="T9874" i="1"/>
  <c r="S9874" i="1"/>
  <c r="R9874" i="1"/>
  <c r="Q9874" i="1"/>
  <c r="M9874" i="1"/>
  <c r="L9874" i="1"/>
  <c r="V9873" i="1"/>
  <c r="U9873" i="1"/>
  <c r="T9873" i="1"/>
  <c r="S9873" i="1"/>
  <c r="R9873" i="1"/>
  <c r="Q9873" i="1"/>
  <c r="M9873" i="1"/>
  <c r="L9873" i="1"/>
  <c r="V9872" i="1"/>
  <c r="U9872" i="1"/>
  <c r="T9872" i="1"/>
  <c r="S9872" i="1"/>
  <c r="R9872" i="1"/>
  <c r="Q9872" i="1"/>
  <c r="M9872" i="1"/>
  <c r="L9872" i="1"/>
  <c r="V9871" i="1"/>
  <c r="U9871" i="1"/>
  <c r="T9871" i="1"/>
  <c r="S9871" i="1"/>
  <c r="R9871" i="1"/>
  <c r="Q9871" i="1"/>
  <c r="M9871" i="1"/>
  <c r="L9871" i="1"/>
  <c r="V9870" i="1"/>
  <c r="U9870" i="1"/>
  <c r="T9870" i="1"/>
  <c r="S9870" i="1"/>
  <c r="R9870" i="1"/>
  <c r="Q9870" i="1"/>
  <c r="M9870" i="1"/>
  <c r="L9870" i="1"/>
  <c r="V9869" i="1"/>
  <c r="U9869" i="1"/>
  <c r="T9869" i="1"/>
  <c r="S9869" i="1"/>
  <c r="R9869" i="1"/>
  <c r="Q9869" i="1"/>
  <c r="M9869" i="1"/>
  <c r="L9869" i="1"/>
  <c r="V9868" i="1"/>
  <c r="U9868" i="1"/>
  <c r="T9868" i="1"/>
  <c r="S9868" i="1"/>
  <c r="R9868" i="1"/>
  <c r="Q9868" i="1"/>
  <c r="M9868" i="1"/>
  <c r="L9868" i="1"/>
  <c r="V9867" i="1"/>
  <c r="U9867" i="1"/>
  <c r="T9867" i="1"/>
  <c r="S9867" i="1"/>
  <c r="R9867" i="1"/>
  <c r="Q9867" i="1"/>
  <c r="M9867" i="1"/>
  <c r="L9867" i="1"/>
  <c r="V9866" i="1"/>
  <c r="U9866" i="1"/>
  <c r="T9866" i="1"/>
  <c r="S9866" i="1"/>
  <c r="R9866" i="1"/>
  <c r="Q9866" i="1"/>
  <c r="M9866" i="1"/>
  <c r="L9866" i="1"/>
  <c r="V9865" i="1"/>
  <c r="U9865" i="1"/>
  <c r="T9865" i="1"/>
  <c r="S9865" i="1"/>
  <c r="R9865" i="1"/>
  <c r="Q9865" i="1"/>
  <c r="M9865" i="1"/>
  <c r="L9865" i="1"/>
  <c r="V9864" i="1"/>
  <c r="U9864" i="1"/>
  <c r="T9864" i="1"/>
  <c r="S9864" i="1"/>
  <c r="R9864" i="1"/>
  <c r="Q9864" i="1"/>
  <c r="M9864" i="1"/>
  <c r="L9864" i="1"/>
  <c r="V9863" i="1"/>
  <c r="U9863" i="1"/>
  <c r="T9863" i="1"/>
  <c r="S9863" i="1"/>
  <c r="R9863" i="1"/>
  <c r="Q9863" i="1"/>
  <c r="M9863" i="1"/>
  <c r="L9863" i="1"/>
  <c r="V9862" i="1"/>
  <c r="U9862" i="1"/>
  <c r="T9862" i="1"/>
  <c r="S9862" i="1"/>
  <c r="R9862" i="1"/>
  <c r="Q9862" i="1"/>
  <c r="M9862" i="1"/>
  <c r="L9862" i="1"/>
  <c r="V9861" i="1"/>
  <c r="U9861" i="1"/>
  <c r="T9861" i="1"/>
  <c r="S9861" i="1"/>
  <c r="R9861" i="1"/>
  <c r="Q9861" i="1"/>
  <c r="M9861" i="1"/>
  <c r="L9861" i="1"/>
  <c r="V9860" i="1"/>
  <c r="U9860" i="1"/>
  <c r="T9860" i="1"/>
  <c r="S9860" i="1"/>
  <c r="R9860" i="1"/>
  <c r="Q9860" i="1"/>
  <c r="M9860" i="1"/>
  <c r="L9860" i="1"/>
  <c r="V9859" i="1"/>
  <c r="U9859" i="1"/>
  <c r="T9859" i="1"/>
  <c r="S9859" i="1"/>
  <c r="R9859" i="1"/>
  <c r="Q9859" i="1"/>
  <c r="M9859" i="1"/>
  <c r="L9859" i="1"/>
  <c r="V9858" i="1"/>
  <c r="U9858" i="1"/>
  <c r="T9858" i="1"/>
  <c r="S9858" i="1"/>
  <c r="R9858" i="1"/>
  <c r="Q9858" i="1"/>
  <c r="M9858" i="1"/>
  <c r="L9858" i="1"/>
  <c r="V9857" i="1"/>
  <c r="U9857" i="1"/>
  <c r="T9857" i="1"/>
  <c r="S9857" i="1"/>
  <c r="R9857" i="1"/>
  <c r="Q9857" i="1"/>
  <c r="M9857" i="1"/>
  <c r="L9857" i="1"/>
  <c r="V9856" i="1"/>
  <c r="U9856" i="1"/>
  <c r="T9856" i="1"/>
  <c r="S9856" i="1"/>
  <c r="R9856" i="1"/>
  <c r="Q9856" i="1"/>
  <c r="M9856" i="1"/>
  <c r="L9856" i="1"/>
  <c r="V9855" i="1"/>
  <c r="U9855" i="1"/>
  <c r="T9855" i="1"/>
  <c r="S9855" i="1"/>
  <c r="R9855" i="1"/>
  <c r="Q9855" i="1"/>
  <c r="M9855" i="1"/>
  <c r="L9855" i="1"/>
  <c r="V9854" i="1"/>
  <c r="U9854" i="1"/>
  <c r="T9854" i="1"/>
  <c r="S9854" i="1"/>
  <c r="R9854" i="1"/>
  <c r="Q9854" i="1"/>
  <c r="M9854" i="1"/>
  <c r="L9854" i="1"/>
  <c r="V9853" i="1"/>
  <c r="U9853" i="1"/>
  <c r="T9853" i="1"/>
  <c r="S9853" i="1"/>
  <c r="R9853" i="1"/>
  <c r="Q9853" i="1"/>
  <c r="M9853" i="1"/>
  <c r="L9853" i="1"/>
  <c r="V9852" i="1"/>
  <c r="U9852" i="1"/>
  <c r="T9852" i="1"/>
  <c r="S9852" i="1"/>
  <c r="R9852" i="1"/>
  <c r="Q9852" i="1"/>
  <c r="M9852" i="1"/>
  <c r="L9852" i="1"/>
  <c r="V9851" i="1"/>
  <c r="U9851" i="1"/>
  <c r="T9851" i="1"/>
  <c r="S9851" i="1"/>
  <c r="R9851" i="1"/>
  <c r="Q9851" i="1"/>
  <c r="M9851" i="1"/>
  <c r="L9851" i="1"/>
  <c r="V9850" i="1"/>
  <c r="U9850" i="1"/>
  <c r="T9850" i="1"/>
  <c r="S9850" i="1"/>
  <c r="R9850" i="1"/>
  <c r="Q9850" i="1"/>
  <c r="M9850" i="1"/>
  <c r="L9850" i="1"/>
  <c r="V9849" i="1"/>
  <c r="U9849" i="1"/>
  <c r="T9849" i="1"/>
  <c r="S9849" i="1"/>
  <c r="R9849" i="1"/>
  <c r="Q9849" i="1"/>
  <c r="M9849" i="1"/>
  <c r="L9849" i="1"/>
  <c r="V9848" i="1"/>
  <c r="U9848" i="1"/>
  <c r="T9848" i="1"/>
  <c r="S9848" i="1"/>
  <c r="R9848" i="1"/>
  <c r="Q9848" i="1"/>
  <c r="M9848" i="1"/>
  <c r="L9848" i="1"/>
  <c r="V9847" i="1"/>
  <c r="U9847" i="1"/>
  <c r="T9847" i="1"/>
  <c r="S9847" i="1"/>
  <c r="R9847" i="1"/>
  <c r="Q9847" i="1"/>
  <c r="M9847" i="1"/>
  <c r="L9847" i="1"/>
  <c r="V9846" i="1"/>
  <c r="U9846" i="1"/>
  <c r="T9846" i="1"/>
  <c r="S9846" i="1"/>
  <c r="R9846" i="1"/>
  <c r="Q9846" i="1"/>
  <c r="M9846" i="1"/>
  <c r="L9846" i="1"/>
  <c r="V9845" i="1"/>
  <c r="U9845" i="1"/>
  <c r="T9845" i="1"/>
  <c r="S9845" i="1"/>
  <c r="R9845" i="1"/>
  <c r="Q9845" i="1"/>
  <c r="M9845" i="1"/>
  <c r="L9845" i="1"/>
  <c r="V9844" i="1"/>
  <c r="U9844" i="1"/>
  <c r="T9844" i="1"/>
  <c r="S9844" i="1"/>
  <c r="R9844" i="1"/>
  <c r="Q9844" i="1"/>
  <c r="M9844" i="1"/>
  <c r="L9844" i="1"/>
  <c r="V9843" i="1"/>
  <c r="U9843" i="1"/>
  <c r="T9843" i="1"/>
  <c r="S9843" i="1"/>
  <c r="R9843" i="1"/>
  <c r="Q9843" i="1"/>
  <c r="M9843" i="1"/>
  <c r="L9843" i="1"/>
  <c r="V9842" i="1"/>
  <c r="U9842" i="1"/>
  <c r="T9842" i="1"/>
  <c r="S9842" i="1"/>
  <c r="R9842" i="1"/>
  <c r="Q9842" i="1"/>
  <c r="M9842" i="1"/>
  <c r="L9842" i="1"/>
  <c r="V9841" i="1"/>
  <c r="U9841" i="1"/>
  <c r="T9841" i="1"/>
  <c r="S9841" i="1"/>
  <c r="R9841" i="1"/>
  <c r="Q9841" i="1"/>
  <c r="M9841" i="1"/>
  <c r="L9841" i="1"/>
  <c r="V9840" i="1"/>
  <c r="U9840" i="1"/>
  <c r="T9840" i="1"/>
  <c r="S9840" i="1"/>
  <c r="R9840" i="1"/>
  <c r="Q9840" i="1"/>
  <c r="M9840" i="1"/>
  <c r="L9840" i="1"/>
  <c r="V9839" i="1"/>
  <c r="U9839" i="1"/>
  <c r="T9839" i="1"/>
  <c r="S9839" i="1"/>
  <c r="R9839" i="1"/>
  <c r="Q9839" i="1"/>
  <c r="M9839" i="1"/>
  <c r="L9839" i="1"/>
  <c r="V9838" i="1"/>
  <c r="U9838" i="1"/>
  <c r="T9838" i="1"/>
  <c r="S9838" i="1"/>
  <c r="R9838" i="1"/>
  <c r="Q9838" i="1"/>
  <c r="M9838" i="1"/>
  <c r="L9838" i="1"/>
  <c r="V9837" i="1"/>
  <c r="U9837" i="1"/>
  <c r="T9837" i="1"/>
  <c r="S9837" i="1"/>
  <c r="R9837" i="1"/>
  <c r="Q9837" i="1"/>
  <c r="M9837" i="1"/>
  <c r="L9837" i="1"/>
  <c r="V9836" i="1"/>
  <c r="U9836" i="1"/>
  <c r="T9836" i="1"/>
  <c r="S9836" i="1"/>
  <c r="R9836" i="1"/>
  <c r="Q9836" i="1"/>
  <c r="M9836" i="1"/>
  <c r="L9836" i="1"/>
  <c r="V9835" i="1"/>
  <c r="U9835" i="1"/>
  <c r="T9835" i="1"/>
  <c r="S9835" i="1"/>
  <c r="R9835" i="1"/>
  <c r="Q9835" i="1"/>
  <c r="M9835" i="1"/>
  <c r="L9835" i="1"/>
  <c r="V9834" i="1"/>
  <c r="U9834" i="1"/>
  <c r="T9834" i="1"/>
  <c r="S9834" i="1"/>
  <c r="R9834" i="1"/>
  <c r="Q9834" i="1"/>
  <c r="M9834" i="1"/>
  <c r="L9834" i="1"/>
  <c r="V9833" i="1"/>
  <c r="U9833" i="1"/>
  <c r="T9833" i="1"/>
  <c r="S9833" i="1"/>
  <c r="R9833" i="1"/>
  <c r="Q9833" i="1"/>
  <c r="M9833" i="1"/>
  <c r="L9833" i="1"/>
  <c r="V9832" i="1"/>
  <c r="U9832" i="1"/>
  <c r="T9832" i="1"/>
  <c r="S9832" i="1"/>
  <c r="R9832" i="1"/>
  <c r="Q9832" i="1"/>
  <c r="M9832" i="1"/>
  <c r="L9832" i="1"/>
  <c r="V9831" i="1"/>
  <c r="U9831" i="1"/>
  <c r="T9831" i="1"/>
  <c r="S9831" i="1"/>
  <c r="R9831" i="1"/>
  <c r="Q9831" i="1"/>
  <c r="M9831" i="1"/>
  <c r="L9831" i="1"/>
  <c r="V9830" i="1"/>
  <c r="U9830" i="1"/>
  <c r="T9830" i="1"/>
  <c r="S9830" i="1"/>
  <c r="R9830" i="1"/>
  <c r="Q9830" i="1"/>
  <c r="M9830" i="1"/>
  <c r="L9830" i="1"/>
  <c r="V9829" i="1"/>
  <c r="U9829" i="1"/>
  <c r="T9829" i="1"/>
  <c r="S9829" i="1"/>
  <c r="R9829" i="1"/>
  <c r="Q9829" i="1"/>
  <c r="M9829" i="1"/>
  <c r="L9829" i="1"/>
  <c r="V9828" i="1"/>
  <c r="U9828" i="1"/>
  <c r="T9828" i="1"/>
  <c r="S9828" i="1"/>
  <c r="R9828" i="1"/>
  <c r="Q9828" i="1"/>
  <c r="M9828" i="1"/>
  <c r="L9828" i="1"/>
  <c r="V9827" i="1"/>
  <c r="U9827" i="1"/>
  <c r="T9827" i="1"/>
  <c r="S9827" i="1"/>
  <c r="R9827" i="1"/>
  <c r="Q9827" i="1"/>
  <c r="M9827" i="1"/>
  <c r="L9827" i="1"/>
  <c r="V9826" i="1"/>
  <c r="U9826" i="1"/>
  <c r="T9826" i="1"/>
  <c r="S9826" i="1"/>
  <c r="R9826" i="1"/>
  <c r="Q9826" i="1"/>
  <c r="M9826" i="1"/>
  <c r="L9826" i="1"/>
  <c r="V9825" i="1"/>
  <c r="U9825" i="1"/>
  <c r="T9825" i="1"/>
  <c r="S9825" i="1"/>
  <c r="R9825" i="1"/>
  <c r="Q9825" i="1"/>
  <c r="M9825" i="1"/>
  <c r="L9825" i="1"/>
  <c r="V9824" i="1"/>
  <c r="U9824" i="1"/>
  <c r="T9824" i="1"/>
  <c r="S9824" i="1"/>
  <c r="R9824" i="1"/>
  <c r="Q9824" i="1"/>
  <c r="M9824" i="1"/>
  <c r="L9824" i="1"/>
  <c r="V9823" i="1"/>
  <c r="U9823" i="1"/>
  <c r="T9823" i="1"/>
  <c r="S9823" i="1"/>
  <c r="R9823" i="1"/>
  <c r="Q9823" i="1"/>
  <c r="M9823" i="1"/>
  <c r="L9823" i="1"/>
  <c r="V9822" i="1"/>
  <c r="U9822" i="1"/>
  <c r="T9822" i="1"/>
  <c r="S9822" i="1"/>
  <c r="R9822" i="1"/>
  <c r="Q9822" i="1"/>
  <c r="M9822" i="1"/>
  <c r="L9822" i="1"/>
  <c r="V9821" i="1"/>
  <c r="U9821" i="1"/>
  <c r="T9821" i="1"/>
  <c r="S9821" i="1"/>
  <c r="R9821" i="1"/>
  <c r="Q9821" i="1"/>
  <c r="M9821" i="1"/>
  <c r="L9821" i="1"/>
  <c r="V9820" i="1"/>
  <c r="U9820" i="1"/>
  <c r="T9820" i="1"/>
  <c r="S9820" i="1"/>
  <c r="R9820" i="1"/>
  <c r="Q9820" i="1"/>
  <c r="M9820" i="1"/>
  <c r="L9820" i="1"/>
  <c r="V9819" i="1"/>
  <c r="U9819" i="1"/>
  <c r="T9819" i="1"/>
  <c r="S9819" i="1"/>
  <c r="R9819" i="1"/>
  <c r="Q9819" i="1"/>
  <c r="M9819" i="1"/>
  <c r="L9819" i="1"/>
  <c r="V9818" i="1"/>
  <c r="U9818" i="1"/>
  <c r="T9818" i="1"/>
  <c r="S9818" i="1"/>
  <c r="R9818" i="1"/>
  <c r="Q9818" i="1"/>
  <c r="M9818" i="1"/>
  <c r="L9818" i="1"/>
  <c r="V9817" i="1"/>
  <c r="U9817" i="1"/>
  <c r="T9817" i="1"/>
  <c r="S9817" i="1"/>
  <c r="R9817" i="1"/>
  <c r="Q9817" i="1"/>
  <c r="M9817" i="1"/>
  <c r="L9817" i="1"/>
  <c r="V9816" i="1"/>
  <c r="U9816" i="1"/>
  <c r="T9816" i="1"/>
  <c r="S9816" i="1"/>
  <c r="R9816" i="1"/>
  <c r="Q9816" i="1"/>
  <c r="M9816" i="1"/>
  <c r="L9816" i="1"/>
  <c r="V9815" i="1"/>
  <c r="U9815" i="1"/>
  <c r="T9815" i="1"/>
  <c r="S9815" i="1"/>
  <c r="R9815" i="1"/>
  <c r="Q9815" i="1"/>
  <c r="M9815" i="1"/>
  <c r="L9815" i="1"/>
  <c r="V9814" i="1"/>
  <c r="U9814" i="1"/>
  <c r="T9814" i="1"/>
  <c r="S9814" i="1"/>
  <c r="R9814" i="1"/>
  <c r="Q9814" i="1"/>
  <c r="M9814" i="1"/>
  <c r="L9814" i="1"/>
  <c r="V9813" i="1"/>
  <c r="U9813" i="1"/>
  <c r="T9813" i="1"/>
  <c r="S9813" i="1"/>
  <c r="R9813" i="1"/>
  <c r="Q9813" i="1"/>
  <c r="M9813" i="1"/>
  <c r="L9813" i="1"/>
  <c r="V9812" i="1"/>
  <c r="U9812" i="1"/>
  <c r="T9812" i="1"/>
  <c r="S9812" i="1"/>
  <c r="R9812" i="1"/>
  <c r="Q9812" i="1"/>
  <c r="M9812" i="1"/>
  <c r="L9812" i="1"/>
  <c r="V9811" i="1"/>
  <c r="U9811" i="1"/>
  <c r="T9811" i="1"/>
  <c r="S9811" i="1"/>
  <c r="R9811" i="1"/>
  <c r="Q9811" i="1"/>
  <c r="M9811" i="1"/>
  <c r="L9811" i="1"/>
  <c r="V9810" i="1"/>
  <c r="U9810" i="1"/>
  <c r="T9810" i="1"/>
  <c r="S9810" i="1"/>
  <c r="R9810" i="1"/>
  <c r="Q9810" i="1"/>
  <c r="M9810" i="1"/>
  <c r="L9810" i="1"/>
  <c r="V9809" i="1"/>
  <c r="U9809" i="1"/>
  <c r="T9809" i="1"/>
  <c r="S9809" i="1"/>
  <c r="R9809" i="1"/>
  <c r="Q9809" i="1"/>
  <c r="M9809" i="1"/>
  <c r="L9809" i="1"/>
  <c r="V9808" i="1"/>
  <c r="U9808" i="1"/>
  <c r="T9808" i="1"/>
  <c r="S9808" i="1"/>
  <c r="R9808" i="1"/>
  <c r="Q9808" i="1"/>
  <c r="M9808" i="1"/>
  <c r="L9808" i="1"/>
  <c r="V9807" i="1"/>
  <c r="U9807" i="1"/>
  <c r="T9807" i="1"/>
  <c r="S9807" i="1"/>
  <c r="R9807" i="1"/>
  <c r="Q9807" i="1"/>
  <c r="M9807" i="1"/>
  <c r="L9807" i="1"/>
  <c r="V9806" i="1"/>
  <c r="U9806" i="1"/>
  <c r="T9806" i="1"/>
  <c r="S9806" i="1"/>
  <c r="R9806" i="1"/>
  <c r="Q9806" i="1"/>
  <c r="M9806" i="1"/>
  <c r="L9806" i="1"/>
  <c r="V9805" i="1"/>
  <c r="U9805" i="1"/>
  <c r="T9805" i="1"/>
  <c r="S9805" i="1"/>
  <c r="R9805" i="1"/>
  <c r="Q9805" i="1"/>
  <c r="M9805" i="1"/>
  <c r="L9805" i="1"/>
  <c r="V9804" i="1"/>
  <c r="U9804" i="1"/>
  <c r="T9804" i="1"/>
  <c r="S9804" i="1"/>
  <c r="R9804" i="1"/>
  <c r="Q9804" i="1"/>
  <c r="M9804" i="1"/>
  <c r="L9804" i="1"/>
  <c r="V9803" i="1"/>
  <c r="U9803" i="1"/>
  <c r="T9803" i="1"/>
  <c r="S9803" i="1"/>
  <c r="R9803" i="1"/>
  <c r="Q9803" i="1"/>
  <c r="M9803" i="1"/>
  <c r="L9803" i="1"/>
  <c r="V9802" i="1"/>
  <c r="U9802" i="1"/>
  <c r="T9802" i="1"/>
  <c r="S9802" i="1"/>
  <c r="R9802" i="1"/>
  <c r="Q9802" i="1"/>
  <c r="M9802" i="1"/>
  <c r="L9802" i="1"/>
  <c r="V9801" i="1"/>
  <c r="U9801" i="1"/>
  <c r="T9801" i="1"/>
  <c r="S9801" i="1"/>
  <c r="R9801" i="1"/>
  <c r="Q9801" i="1"/>
  <c r="M9801" i="1"/>
  <c r="L9801" i="1"/>
  <c r="V9800" i="1"/>
  <c r="U9800" i="1"/>
  <c r="T9800" i="1"/>
  <c r="S9800" i="1"/>
  <c r="R9800" i="1"/>
  <c r="Q9800" i="1"/>
  <c r="M9800" i="1"/>
  <c r="L9800" i="1"/>
  <c r="V9799" i="1"/>
  <c r="U9799" i="1"/>
  <c r="T9799" i="1"/>
  <c r="S9799" i="1"/>
  <c r="R9799" i="1"/>
  <c r="Q9799" i="1"/>
  <c r="M9799" i="1"/>
  <c r="L9799" i="1"/>
  <c r="V9798" i="1"/>
  <c r="U9798" i="1"/>
  <c r="T9798" i="1"/>
  <c r="S9798" i="1"/>
  <c r="R9798" i="1"/>
  <c r="Q9798" i="1"/>
  <c r="M9798" i="1"/>
  <c r="L9798" i="1"/>
  <c r="V9797" i="1"/>
  <c r="U9797" i="1"/>
  <c r="T9797" i="1"/>
  <c r="S9797" i="1"/>
  <c r="R9797" i="1"/>
  <c r="Q9797" i="1"/>
  <c r="M9797" i="1"/>
  <c r="L9797" i="1"/>
  <c r="V9796" i="1"/>
  <c r="U9796" i="1"/>
  <c r="T9796" i="1"/>
  <c r="S9796" i="1"/>
  <c r="R9796" i="1"/>
  <c r="Q9796" i="1"/>
  <c r="M9796" i="1"/>
  <c r="L9796" i="1"/>
  <c r="V9795" i="1"/>
  <c r="U9795" i="1"/>
  <c r="T9795" i="1"/>
  <c r="S9795" i="1"/>
  <c r="R9795" i="1"/>
  <c r="Q9795" i="1"/>
  <c r="M9795" i="1"/>
  <c r="L9795" i="1"/>
  <c r="V9794" i="1"/>
  <c r="U9794" i="1"/>
  <c r="T9794" i="1"/>
  <c r="S9794" i="1"/>
  <c r="R9794" i="1"/>
  <c r="Q9794" i="1"/>
  <c r="M9794" i="1"/>
  <c r="L9794" i="1"/>
  <c r="V9793" i="1"/>
  <c r="U9793" i="1"/>
  <c r="T9793" i="1"/>
  <c r="S9793" i="1"/>
  <c r="R9793" i="1"/>
  <c r="Q9793" i="1"/>
  <c r="M9793" i="1"/>
  <c r="L9793" i="1"/>
  <c r="V9792" i="1"/>
  <c r="U9792" i="1"/>
  <c r="T9792" i="1"/>
  <c r="S9792" i="1"/>
  <c r="R9792" i="1"/>
  <c r="Q9792" i="1"/>
  <c r="M9792" i="1"/>
  <c r="L9792" i="1"/>
  <c r="V9791" i="1"/>
  <c r="U9791" i="1"/>
  <c r="T9791" i="1"/>
  <c r="S9791" i="1"/>
  <c r="R9791" i="1"/>
  <c r="Q9791" i="1"/>
  <c r="M9791" i="1"/>
  <c r="L9791" i="1"/>
  <c r="V9790" i="1"/>
  <c r="U9790" i="1"/>
  <c r="T9790" i="1"/>
  <c r="S9790" i="1"/>
  <c r="R9790" i="1"/>
  <c r="Q9790" i="1"/>
  <c r="M9790" i="1"/>
  <c r="L9790" i="1"/>
  <c r="V9789" i="1"/>
  <c r="U9789" i="1"/>
  <c r="T9789" i="1"/>
  <c r="S9789" i="1"/>
  <c r="R9789" i="1"/>
  <c r="Q9789" i="1"/>
  <c r="M9789" i="1"/>
  <c r="L9789" i="1"/>
  <c r="V9788" i="1"/>
  <c r="U9788" i="1"/>
  <c r="T9788" i="1"/>
  <c r="S9788" i="1"/>
  <c r="R9788" i="1"/>
  <c r="Q9788" i="1"/>
  <c r="M9788" i="1"/>
  <c r="L9788" i="1"/>
  <c r="V9787" i="1"/>
  <c r="U9787" i="1"/>
  <c r="T9787" i="1"/>
  <c r="S9787" i="1"/>
  <c r="R9787" i="1"/>
  <c r="Q9787" i="1"/>
  <c r="M9787" i="1"/>
  <c r="L9787" i="1"/>
  <c r="V9786" i="1"/>
  <c r="U9786" i="1"/>
  <c r="T9786" i="1"/>
  <c r="S9786" i="1"/>
  <c r="R9786" i="1"/>
  <c r="Q9786" i="1"/>
  <c r="M9786" i="1"/>
  <c r="L9786" i="1"/>
  <c r="V9785" i="1"/>
  <c r="U9785" i="1"/>
  <c r="T9785" i="1"/>
  <c r="S9785" i="1"/>
  <c r="R9785" i="1"/>
  <c r="Q9785" i="1"/>
  <c r="M9785" i="1"/>
  <c r="L9785" i="1"/>
  <c r="V9784" i="1"/>
  <c r="U9784" i="1"/>
  <c r="T9784" i="1"/>
  <c r="S9784" i="1"/>
  <c r="R9784" i="1"/>
  <c r="Q9784" i="1"/>
  <c r="M9784" i="1"/>
  <c r="L9784" i="1"/>
  <c r="V9783" i="1"/>
  <c r="U9783" i="1"/>
  <c r="T9783" i="1"/>
  <c r="S9783" i="1"/>
  <c r="R9783" i="1"/>
  <c r="Q9783" i="1"/>
  <c r="M9783" i="1"/>
  <c r="L9783" i="1"/>
  <c r="V9782" i="1"/>
  <c r="U9782" i="1"/>
  <c r="T9782" i="1"/>
  <c r="S9782" i="1"/>
  <c r="R9782" i="1"/>
  <c r="Q9782" i="1"/>
  <c r="M9782" i="1"/>
  <c r="L9782" i="1"/>
  <c r="V9781" i="1"/>
  <c r="U9781" i="1"/>
  <c r="T9781" i="1"/>
  <c r="S9781" i="1"/>
  <c r="R9781" i="1"/>
  <c r="Q9781" i="1"/>
  <c r="M9781" i="1"/>
  <c r="L9781" i="1"/>
  <c r="V9780" i="1"/>
  <c r="U9780" i="1"/>
  <c r="T9780" i="1"/>
  <c r="S9780" i="1"/>
  <c r="R9780" i="1"/>
  <c r="Q9780" i="1"/>
  <c r="M9780" i="1"/>
  <c r="L9780" i="1"/>
  <c r="V9779" i="1"/>
  <c r="U9779" i="1"/>
  <c r="T9779" i="1"/>
  <c r="S9779" i="1"/>
  <c r="R9779" i="1"/>
  <c r="Q9779" i="1"/>
  <c r="M9779" i="1"/>
  <c r="L9779" i="1"/>
  <c r="V9778" i="1"/>
  <c r="U9778" i="1"/>
  <c r="T9778" i="1"/>
  <c r="S9778" i="1"/>
  <c r="R9778" i="1"/>
  <c r="Q9778" i="1"/>
  <c r="M9778" i="1"/>
  <c r="L9778" i="1"/>
  <c r="V9777" i="1"/>
  <c r="U9777" i="1"/>
  <c r="T9777" i="1"/>
  <c r="S9777" i="1"/>
  <c r="R9777" i="1"/>
  <c r="Q9777" i="1"/>
  <c r="M9777" i="1"/>
  <c r="L9777" i="1"/>
  <c r="V9776" i="1"/>
  <c r="U9776" i="1"/>
  <c r="T9776" i="1"/>
  <c r="S9776" i="1"/>
  <c r="R9776" i="1"/>
  <c r="Q9776" i="1"/>
  <c r="M9776" i="1"/>
  <c r="L9776" i="1"/>
  <c r="V9775" i="1"/>
  <c r="U9775" i="1"/>
  <c r="T9775" i="1"/>
  <c r="S9775" i="1"/>
  <c r="R9775" i="1"/>
  <c r="Q9775" i="1"/>
  <c r="M9775" i="1"/>
  <c r="L9775" i="1"/>
  <c r="V9774" i="1"/>
  <c r="U9774" i="1"/>
  <c r="T9774" i="1"/>
  <c r="S9774" i="1"/>
  <c r="R9774" i="1"/>
  <c r="Q9774" i="1"/>
  <c r="M9774" i="1"/>
  <c r="L9774" i="1"/>
  <c r="V9773" i="1"/>
  <c r="U9773" i="1"/>
  <c r="T9773" i="1"/>
  <c r="S9773" i="1"/>
  <c r="R9773" i="1"/>
  <c r="Q9773" i="1"/>
  <c r="M9773" i="1"/>
  <c r="L9773" i="1"/>
  <c r="V9772" i="1"/>
  <c r="U9772" i="1"/>
  <c r="T9772" i="1"/>
  <c r="S9772" i="1"/>
  <c r="R9772" i="1"/>
  <c r="Q9772" i="1"/>
  <c r="M9772" i="1"/>
  <c r="L9772" i="1"/>
  <c r="V9771" i="1"/>
  <c r="U9771" i="1"/>
  <c r="T9771" i="1"/>
  <c r="S9771" i="1"/>
  <c r="R9771" i="1"/>
  <c r="Q9771" i="1"/>
  <c r="M9771" i="1"/>
  <c r="L9771" i="1"/>
  <c r="V9770" i="1"/>
  <c r="U9770" i="1"/>
  <c r="T9770" i="1"/>
  <c r="S9770" i="1"/>
  <c r="R9770" i="1"/>
  <c r="Q9770" i="1"/>
  <c r="M9770" i="1"/>
  <c r="L9770" i="1"/>
  <c r="V9769" i="1"/>
  <c r="U9769" i="1"/>
  <c r="T9769" i="1"/>
  <c r="S9769" i="1"/>
  <c r="R9769" i="1"/>
  <c r="Q9769" i="1"/>
  <c r="M9769" i="1"/>
  <c r="L9769" i="1"/>
  <c r="V9768" i="1"/>
  <c r="U9768" i="1"/>
  <c r="T9768" i="1"/>
  <c r="S9768" i="1"/>
  <c r="R9768" i="1"/>
  <c r="Q9768" i="1"/>
  <c r="M9768" i="1"/>
  <c r="L9768" i="1"/>
  <c r="V9767" i="1"/>
  <c r="U9767" i="1"/>
  <c r="T9767" i="1"/>
  <c r="S9767" i="1"/>
  <c r="R9767" i="1"/>
  <c r="Q9767" i="1"/>
  <c r="M9767" i="1"/>
  <c r="L9767" i="1"/>
  <c r="V9766" i="1"/>
  <c r="U9766" i="1"/>
  <c r="T9766" i="1"/>
  <c r="S9766" i="1"/>
  <c r="R9766" i="1"/>
  <c r="Q9766" i="1"/>
  <c r="M9766" i="1"/>
  <c r="L9766" i="1"/>
  <c r="V9765" i="1"/>
  <c r="U9765" i="1"/>
  <c r="T9765" i="1"/>
  <c r="S9765" i="1"/>
  <c r="R9765" i="1"/>
  <c r="Q9765" i="1"/>
  <c r="M9765" i="1"/>
  <c r="L9765" i="1"/>
  <c r="V9764" i="1"/>
  <c r="U9764" i="1"/>
  <c r="T9764" i="1"/>
  <c r="S9764" i="1"/>
  <c r="R9764" i="1"/>
  <c r="Q9764" i="1"/>
  <c r="M9764" i="1"/>
  <c r="L9764" i="1"/>
  <c r="V9763" i="1"/>
  <c r="U9763" i="1"/>
  <c r="T9763" i="1"/>
  <c r="S9763" i="1"/>
  <c r="R9763" i="1"/>
  <c r="Q9763" i="1"/>
  <c r="M9763" i="1"/>
  <c r="L9763" i="1"/>
  <c r="V9762" i="1"/>
  <c r="U9762" i="1"/>
  <c r="T9762" i="1"/>
  <c r="S9762" i="1"/>
  <c r="R9762" i="1"/>
  <c r="Q9762" i="1"/>
  <c r="M9762" i="1"/>
  <c r="L9762" i="1"/>
  <c r="V9761" i="1"/>
  <c r="U9761" i="1"/>
  <c r="T9761" i="1"/>
  <c r="S9761" i="1"/>
  <c r="R9761" i="1"/>
  <c r="Q9761" i="1"/>
  <c r="M9761" i="1"/>
  <c r="L9761" i="1"/>
  <c r="V9760" i="1"/>
  <c r="U9760" i="1"/>
  <c r="T9760" i="1"/>
  <c r="S9760" i="1"/>
  <c r="R9760" i="1"/>
  <c r="Q9760" i="1"/>
  <c r="M9760" i="1"/>
  <c r="L9760" i="1"/>
  <c r="V9759" i="1"/>
  <c r="U9759" i="1"/>
  <c r="T9759" i="1"/>
  <c r="S9759" i="1"/>
  <c r="R9759" i="1"/>
  <c r="Q9759" i="1"/>
  <c r="M9759" i="1"/>
  <c r="L9759" i="1"/>
  <c r="V9758" i="1"/>
  <c r="U9758" i="1"/>
  <c r="T9758" i="1"/>
  <c r="S9758" i="1"/>
  <c r="R9758" i="1"/>
  <c r="Q9758" i="1"/>
  <c r="M9758" i="1"/>
  <c r="L9758" i="1"/>
  <c r="V9757" i="1"/>
  <c r="U9757" i="1"/>
  <c r="T9757" i="1"/>
  <c r="S9757" i="1"/>
  <c r="R9757" i="1"/>
  <c r="Q9757" i="1"/>
  <c r="M9757" i="1"/>
  <c r="L9757" i="1"/>
  <c r="V9756" i="1"/>
  <c r="U9756" i="1"/>
  <c r="T9756" i="1"/>
  <c r="S9756" i="1"/>
  <c r="R9756" i="1"/>
  <c r="Q9756" i="1"/>
  <c r="M9756" i="1"/>
  <c r="L9756" i="1"/>
  <c r="V9755" i="1"/>
  <c r="U9755" i="1"/>
  <c r="T9755" i="1"/>
  <c r="S9755" i="1"/>
  <c r="R9755" i="1"/>
  <c r="Q9755" i="1"/>
  <c r="M9755" i="1"/>
  <c r="L9755" i="1"/>
  <c r="V9754" i="1"/>
  <c r="U9754" i="1"/>
  <c r="T9754" i="1"/>
  <c r="S9754" i="1"/>
  <c r="R9754" i="1"/>
  <c r="Q9754" i="1"/>
  <c r="M9754" i="1"/>
  <c r="L9754" i="1"/>
  <c r="V9753" i="1"/>
  <c r="U9753" i="1"/>
  <c r="T9753" i="1"/>
  <c r="S9753" i="1"/>
  <c r="R9753" i="1"/>
  <c r="Q9753" i="1"/>
  <c r="M9753" i="1"/>
  <c r="L9753" i="1"/>
  <c r="V9752" i="1"/>
  <c r="U9752" i="1"/>
  <c r="T9752" i="1"/>
  <c r="S9752" i="1"/>
  <c r="R9752" i="1"/>
  <c r="Q9752" i="1"/>
  <c r="M9752" i="1"/>
  <c r="L9752" i="1"/>
  <c r="V9751" i="1"/>
  <c r="U9751" i="1"/>
  <c r="T9751" i="1"/>
  <c r="S9751" i="1"/>
  <c r="R9751" i="1"/>
  <c r="Q9751" i="1"/>
  <c r="M9751" i="1"/>
  <c r="L9751" i="1"/>
  <c r="V9750" i="1"/>
  <c r="U9750" i="1"/>
  <c r="T9750" i="1"/>
  <c r="S9750" i="1"/>
  <c r="R9750" i="1"/>
  <c r="Q9750" i="1"/>
  <c r="M9750" i="1"/>
  <c r="L9750" i="1"/>
  <c r="V9749" i="1"/>
  <c r="U9749" i="1"/>
  <c r="T9749" i="1"/>
  <c r="S9749" i="1"/>
  <c r="R9749" i="1"/>
  <c r="Q9749" i="1"/>
  <c r="M9749" i="1"/>
  <c r="L9749" i="1"/>
  <c r="V9748" i="1"/>
  <c r="U9748" i="1"/>
  <c r="T9748" i="1"/>
  <c r="S9748" i="1"/>
  <c r="R9748" i="1"/>
  <c r="Q9748" i="1"/>
  <c r="M9748" i="1"/>
  <c r="L9748" i="1"/>
  <c r="V9747" i="1"/>
  <c r="U9747" i="1"/>
  <c r="T9747" i="1"/>
  <c r="S9747" i="1"/>
  <c r="R9747" i="1"/>
  <c r="Q9747" i="1"/>
  <c r="M9747" i="1"/>
  <c r="L9747" i="1"/>
  <c r="V9746" i="1"/>
  <c r="U9746" i="1"/>
  <c r="T9746" i="1"/>
  <c r="S9746" i="1"/>
  <c r="R9746" i="1"/>
  <c r="Q9746" i="1"/>
  <c r="M9746" i="1"/>
  <c r="L9746" i="1"/>
  <c r="V9745" i="1"/>
  <c r="U9745" i="1"/>
  <c r="T9745" i="1"/>
  <c r="S9745" i="1"/>
  <c r="R9745" i="1"/>
  <c r="Q9745" i="1"/>
  <c r="M9745" i="1"/>
  <c r="L9745" i="1"/>
  <c r="V9744" i="1"/>
  <c r="U9744" i="1"/>
  <c r="T9744" i="1"/>
  <c r="S9744" i="1"/>
  <c r="R9744" i="1"/>
  <c r="Q9744" i="1"/>
  <c r="M9744" i="1"/>
  <c r="L9744" i="1"/>
  <c r="V9743" i="1"/>
  <c r="U9743" i="1"/>
  <c r="T9743" i="1"/>
  <c r="S9743" i="1"/>
  <c r="R9743" i="1"/>
  <c r="Q9743" i="1"/>
  <c r="M9743" i="1"/>
  <c r="L9743" i="1"/>
  <c r="V9742" i="1"/>
  <c r="U9742" i="1"/>
  <c r="T9742" i="1"/>
  <c r="S9742" i="1"/>
  <c r="R9742" i="1"/>
  <c r="Q9742" i="1"/>
  <c r="M9742" i="1"/>
  <c r="L9742" i="1"/>
  <c r="V9741" i="1"/>
  <c r="U9741" i="1"/>
  <c r="T9741" i="1"/>
  <c r="S9741" i="1"/>
  <c r="R9741" i="1"/>
  <c r="Q9741" i="1"/>
  <c r="M9741" i="1"/>
  <c r="L9741" i="1"/>
  <c r="V9740" i="1"/>
  <c r="U9740" i="1"/>
  <c r="T9740" i="1"/>
  <c r="S9740" i="1"/>
  <c r="R9740" i="1"/>
  <c r="Q9740" i="1"/>
  <c r="M9740" i="1"/>
  <c r="L9740" i="1"/>
  <c r="V9739" i="1"/>
  <c r="U9739" i="1"/>
  <c r="T9739" i="1"/>
  <c r="S9739" i="1"/>
  <c r="R9739" i="1"/>
  <c r="Q9739" i="1"/>
  <c r="M9739" i="1"/>
  <c r="L9739" i="1"/>
  <c r="V9738" i="1"/>
  <c r="U9738" i="1"/>
  <c r="T9738" i="1"/>
  <c r="S9738" i="1"/>
  <c r="R9738" i="1"/>
  <c r="Q9738" i="1"/>
  <c r="M9738" i="1"/>
  <c r="L9738" i="1"/>
  <c r="V9737" i="1"/>
  <c r="U9737" i="1"/>
  <c r="T9737" i="1"/>
  <c r="S9737" i="1"/>
  <c r="R9737" i="1"/>
  <c r="Q9737" i="1"/>
  <c r="M9737" i="1"/>
  <c r="L9737" i="1"/>
  <c r="V9736" i="1"/>
  <c r="U9736" i="1"/>
  <c r="T9736" i="1"/>
  <c r="S9736" i="1"/>
  <c r="R9736" i="1"/>
  <c r="Q9736" i="1"/>
  <c r="M9736" i="1"/>
  <c r="L9736" i="1"/>
  <c r="V9735" i="1"/>
  <c r="U9735" i="1"/>
  <c r="T9735" i="1"/>
  <c r="S9735" i="1"/>
  <c r="R9735" i="1"/>
  <c r="Q9735" i="1"/>
  <c r="M9735" i="1"/>
  <c r="L9735" i="1"/>
  <c r="V9734" i="1"/>
  <c r="U9734" i="1"/>
  <c r="T9734" i="1"/>
  <c r="S9734" i="1"/>
  <c r="R9734" i="1"/>
  <c r="Q9734" i="1"/>
  <c r="M9734" i="1"/>
  <c r="L9734" i="1"/>
  <c r="V9733" i="1"/>
  <c r="U9733" i="1"/>
  <c r="T9733" i="1"/>
  <c r="S9733" i="1"/>
  <c r="R9733" i="1"/>
  <c r="Q9733" i="1"/>
  <c r="M9733" i="1"/>
  <c r="L9733" i="1"/>
  <c r="V9732" i="1"/>
  <c r="U9732" i="1"/>
  <c r="T9732" i="1"/>
  <c r="S9732" i="1"/>
  <c r="R9732" i="1"/>
  <c r="Q9732" i="1"/>
  <c r="M9732" i="1"/>
  <c r="L9732" i="1"/>
  <c r="V9731" i="1"/>
  <c r="U9731" i="1"/>
  <c r="T9731" i="1"/>
  <c r="S9731" i="1"/>
  <c r="R9731" i="1"/>
  <c r="Q9731" i="1"/>
  <c r="M9731" i="1"/>
  <c r="L9731" i="1"/>
  <c r="V9730" i="1"/>
  <c r="U9730" i="1"/>
  <c r="T9730" i="1"/>
  <c r="S9730" i="1"/>
  <c r="R9730" i="1"/>
  <c r="Q9730" i="1"/>
  <c r="M9730" i="1"/>
  <c r="L9730" i="1"/>
  <c r="V9729" i="1"/>
  <c r="U9729" i="1"/>
  <c r="T9729" i="1"/>
  <c r="S9729" i="1"/>
  <c r="R9729" i="1"/>
  <c r="Q9729" i="1"/>
  <c r="M9729" i="1"/>
  <c r="L9729" i="1"/>
  <c r="V9728" i="1"/>
  <c r="U9728" i="1"/>
  <c r="T9728" i="1"/>
  <c r="S9728" i="1"/>
  <c r="R9728" i="1"/>
  <c r="Q9728" i="1"/>
  <c r="M9728" i="1"/>
  <c r="L9728" i="1"/>
  <c r="V9727" i="1"/>
  <c r="U9727" i="1"/>
  <c r="T9727" i="1"/>
  <c r="S9727" i="1"/>
  <c r="R9727" i="1"/>
  <c r="Q9727" i="1"/>
  <c r="M9727" i="1"/>
  <c r="L9727" i="1"/>
  <c r="V9726" i="1"/>
  <c r="U9726" i="1"/>
  <c r="T9726" i="1"/>
  <c r="S9726" i="1"/>
  <c r="R9726" i="1"/>
  <c r="Q9726" i="1"/>
  <c r="M9726" i="1"/>
  <c r="L9726" i="1"/>
  <c r="V9725" i="1"/>
  <c r="U9725" i="1"/>
  <c r="T9725" i="1"/>
  <c r="S9725" i="1"/>
  <c r="R9725" i="1"/>
  <c r="Q9725" i="1"/>
  <c r="M9725" i="1"/>
  <c r="L9725" i="1"/>
  <c r="V9724" i="1"/>
  <c r="U9724" i="1"/>
  <c r="T9724" i="1"/>
  <c r="S9724" i="1"/>
  <c r="R9724" i="1"/>
  <c r="Q9724" i="1"/>
  <c r="M9724" i="1"/>
  <c r="L9724" i="1"/>
  <c r="V9723" i="1"/>
  <c r="U9723" i="1"/>
  <c r="T9723" i="1"/>
  <c r="S9723" i="1"/>
  <c r="R9723" i="1"/>
  <c r="Q9723" i="1"/>
  <c r="M9723" i="1"/>
  <c r="L9723" i="1"/>
  <c r="V9722" i="1"/>
  <c r="U9722" i="1"/>
  <c r="T9722" i="1"/>
  <c r="S9722" i="1"/>
  <c r="R9722" i="1"/>
  <c r="Q9722" i="1"/>
  <c r="M9722" i="1"/>
  <c r="L9722" i="1"/>
  <c r="V9721" i="1"/>
  <c r="U9721" i="1"/>
  <c r="T9721" i="1"/>
  <c r="S9721" i="1"/>
  <c r="R9721" i="1"/>
  <c r="Q9721" i="1"/>
  <c r="M9721" i="1"/>
  <c r="L9721" i="1"/>
  <c r="V9720" i="1"/>
  <c r="U9720" i="1"/>
  <c r="T9720" i="1"/>
  <c r="S9720" i="1"/>
  <c r="R9720" i="1"/>
  <c r="Q9720" i="1"/>
  <c r="M9720" i="1"/>
  <c r="L9720" i="1"/>
  <c r="V9719" i="1"/>
  <c r="U9719" i="1"/>
  <c r="T9719" i="1"/>
  <c r="S9719" i="1"/>
  <c r="R9719" i="1"/>
  <c r="Q9719" i="1"/>
  <c r="M9719" i="1"/>
  <c r="L9719" i="1"/>
  <c r="V9718" i="1"/>
  <c r="U9718" i="1"/>
  <c r="T9718" i="1"/>
  <c r="S9718" i="1"/>
  <c r="R9718" i="1"/>
  <c r="Q9718" i="1"/>
  <c r="M9718" i="1"/>
  <c r="L9718" i="1"/>
  <c r="V9717" i="1"/>
  <c r="U9717" i="1"/>
  <c r="T9717" i="1"/>
  <c r="S9717" i="1"/>
  <c r="R9717" i="1"/>
  <c r="Q9717" i="1"/>
  <c r="M9717" i="1"/>
  <c r="L9717" i="1"/>
  <c r="V9716" i="1"/>
  <c r="U9716" i="1"/>
  <c r="T9716" i="1"/>
  <c r="S9716" i="1"/>
  <c r="R9716" i="1"/>
  <c r="Q9716" i="1"/>
  <c r="M9716" i="1"/>
  <c r="L9716" i="1"/>
  <c r="V9715" i="1"/>
  <c r="U9715" i="1"/>
  <c r="T9715" i="1"/>
  <c r="S9715" i="1"/>
  <c r="R9715" i="1"/>
  <c r="Q9715" i="1"/>
  <c r="M9715" i="1"/>
  <c r="L9715" i="1"/>
  <c r="V9714" i="1"/>
  <c r="U9714" i="1"/>
  <c r="T9714" i="1"/>
  <c r="S9714" i="1"/>
  <c r="R9714" i="1"/>
  <c r="Q9714" i="1"/>
  <c r="M9714" i="1"/>
  <c r="L9714" i="1"/>
  <c r="V9713" i="1"/>
  <c r="U9713" i="1"/>
  <c r="T9713" i="1"/>
  <c r="S9713" i="1"/>
  <c r="R9713" i="1"/>
  <c r="Q9713" i="1"/>
  <c r="M9713" i="1"/>
  <c r="L9713" i="1"/>
  <c r="V9712" i="1"/>
  <c r="U9712" i="1"/>
  <c r="T9712" i="1"/>
  <c r="S9712" i="1"/>
  <c r="R9712" i="1"/>
  <c r="Q9712" i="1"/>
  <c r="M9712" i="1"/>
  <c r="L9712" i="1"/>
  <c r="V9711" i="1"/>
  <c r="U9711" i="1"/>
  <c r="T9711" i="1"/>
  <c r="S9711" i="1"/>
  <c r="R9711" i="1"/>
  <c r="Q9711" i="1"/>
  <c r="M9711" i="1"/>
  <c r="L9711" i="1"/>
  <c r="V9710" i="1"/>
  <c r="U9710" i="1"/>
  <c r="T9710" i="1"/>
  <c r="S9710" i="1"/>
  <c r="R9710" i="1"/>
  <c r="Q9710" i="1"/>
  <c r="M9710" i="1"/>
  <c r="L9710" i="1"/>
  <c r="V9709" i="1"/>
  <c r="U9709" i="1"/>
  <c r="T9709" i="1"/>
  <c r="S9709" i="1"/>
  <c r="R9709" i="1"/>
  <c r="Q9709" i="1"/>
  <c r="M9709" i="1"/>
  <c r="L9709" i="1"/>
  <c r="V9708" i="1"/>
  <c r="U9708" i="1"/>
  <c r="T9708" i="1"/>
  <c r="S9708" i="1"/>
  <c r="R9708" i="1"/>
  <c r="Q9708" i="1"/>
  <c r="M9708" i="1"/>
  <c r="L9708" i="1"/>
  <c r="V9707" i="1"/>
  <c r="U9707" i="1"/>
  <c r="T9707" i="1"/>
  <c r="S9707" i="1"/>
  <c r="R9707" i="1"/>
  <c r="Q9707" i="1"/>
  <c r="M9707" i="1"/>
  <c r="L9707" i="1"/>
  <c r="V9706" i="1"/>
  <c r="U9706" i="1"/>
  <c r="T9706" i="1"/>
  <c r="S9706" i="1"/>
  <c r="R9706" i="1"/>
  <c r="Q9706" i="1"/>
  <c r="M9706" i="1"/>
  <c r="L9706" i="1"/>
  <c r="V9705" i="1"/>
  <c r="U9705" i="1"/>
  <c r="T9705" i="1"/>
  <c r="S9705" i="1"/>
  <c r="R9705" i="1"/>
  <c r="Q9705" i="1"/>
  <c r="M9705" i="1"/>
  <c r="L9705" i="1"/>
  <c r="V9704" i="1"/>
  <c r="U9704" i="1"/>
  <c r="T9704" i="1"/>
  <c r="S9704" i="1"/>
  <c r="R9704" i="1"/>
  <c r="Q9704" i="1"/>
  <c r="M9704" i="1"/>
  <c r="L9704" i="1"/>
  <c r="V9703" i="1"/>
  <c r="U9703" i="1"/>
  <c r="T9703" i="1"/>
  <c r="S9703" i="1"/>
  <c r="R9703" i="1"/>
  <c r="Q9703" i="1"/>
  <c r="M9703" i="1"/>
  <c r="L9703" i="1"/>
  <c r="V9702" i="1"/>
  <c r="U9702" i="1"/>
  <c r="T9702" i="1"/>
  <c r="S9702" i="1"/>
  <c r="R9702" i="1"/>
  <c r="Q9702" i="1"/>
  <c r="M9702" i="1"/>
  <c r="L9702" i="1"/>
  <c r="V9701" i="1"/>
  <c r="U9701" i="1"/>
  <c r="T9701" i="1"/>
  <c r="S9701" i="1"/>
  <c r="R9701" i="1"/>
  <c r="Q9701" i="1"/>
  <c r="M9701" i="1"/>
  <c r="L9701" i="1"/>
  <c r="V9700" i="1"/>
  <c r="U9700" i="1"/>
  <c r="T9700" i="1"/>
  <c r="S9700" i="1"/>
  <c r="R9700" i="1"/>
  <c r="Q9700" i="1"/>
  <c r="M9700" i="1"/>
  <c r="L9700" i="1"/>
  <c r="V9699" i="1"/>
  <c r="U9699" i="1"/>
  <c r="T9699" i="1"/>
  <c r="S9699" i="1"/>
  <c r="R9699" i="1"/>
  <c r="Q9699" i="1"/>
  <c r="M9699" i="1"/>
  <c r="L9699" i="1"/>
  <c r="V9698" i="1"/>
  <c r="U9698" i="1"/>
  <c r="T9698" i="1"/>
  <c r="S9698" i="1"/>
  <c r="R9698" i="1"/>
  <c r="Q9698" i="1"/>
  <c r="M9698" i="1"/>
  <c r="L9698" i="1"/>
  <c r="V9697" i="1"/>
  <c r="U9697" i="1"/>
  <c r="T9697" i="1"/>
  <c r="S9697" i="1"/>
  <c r="R9697" i="1"/>
  <c r="Q9697" i="1"/>
  <c r="M9697" i="1"/>
  <c r="L9697" i="1"/>
  <c r="V9696" i="1"/>
  <c r="U9696" i="1"/>
  <c r="T9696" i="1"/>
  <c r="S9696" i="1"/>
  <c r="R9696" i="1"/>
  <c r="Q9696" i="1"/>
  <c r="M9696" i="1"/>
  <c r="L9696" i="1"/>
  <c r="V9695" i="1"/>
  <c r="U9695" i="1"/>
  <c r="T9695" i="1"/>
  <c r="S9695" i="1"/>
  <c r="R9695" i="1"/>
  <c r="Q9695" i="1"/>
  <c r="M9695" i="1"/>
  <c r="L9695" i="1"/>
  <c r="V9694" i="1"/>
  <c r="U9694" i="1"/>
  <c r="T9694" i="1"/>
  <c r="S9694" i="1"/>
  <c r="R9694" i="1"/>
  <c r="Q9694" i="1"/>
  <c r="M9694" i="1"/>
  <c r="L9694" i="1"/>
  <c r="V9693" i="1"/>
  <c r="U9693" i="1"/>
  <c r="T9693" i="1"/>
  <c r="S9693" i="1"/>
  <c r="R9693" i="1"/>
  <c r="Q9693" i="1"/>
  <c r="M9693" i="1"/>
  <c r="L9693" i="1"/>
  <c r="V9692" i="1"/>
  <c r="U9692" i="1"/>
  <c r="T9692" i="1"/>
  <c r="S9692" i="1"/>
  <c r="R9692" i="1"/>
  <c r="Q9692" i="1"/>
  <c r="M9692" i="1"/>
  <c r="L9692" i="1"/>
  <c r="V9691" i="1"/>
  <c r="U9691" i="1"/>
  <c r="T9691" i="1"/>
  <c r="S9691" i="1"/>
  <c r="R9691" i="1"/>
  <c r="Q9691" i="1"/>
  <c r="M9691" i="1"/>
  <c r="L9691" i="1"/>
  <c r="V9690" i="1"/>
  <c r="U9690" i="1"/>
  <c r="T9690" i="1"/>
  <c r="S9690" i="1"/>
  <c r="R9690" i="1"/>
  <c r="Q9690" i="1"/>
  <c r="M9690" i="1"/>
  <c r="L9690" i="1"/>
  <c r="V9689" i="1"/>
  <c r="U9689" i="1"/>
  <c r="T9689" i="1"/>
  <c r="S9689" i="1"/>
  <c r="R9689" i="1"/>
  <c r="Q9689" i="1"/>
  <c r="M9689" i="1"/>
  <c r="L9689" i="1"/>
  <c r="V9688" i="1"/>
  <c r="U9688" i="1"/>
  <c r="T9688" i="1"/>
  <c r="S9688" i="1"/>
  <c r="R9688" i="1"/>
  <c r="Q9688" i="1"/>
  <c r="M9688" i="1"/>
  <c r="L9688" i="1"/>
  <c r="V9687" i="1"/>
  <c r="U9687" i="1"/>
  <c r="T9687" i="1"/>
  <c r="S9687" i="1"/>
  <c r="R9687" i="1"/>
  <c r="Q9687" i="1"/>
  <c r="M9687" i="1"/>
  <c r="L9687" i="1"/>
  <c r="V9686" i="1"/>
  <c r="U9686" i="1"/>
  <c r="T9686" i="1"/>
  <c r="S9686" i="1"/>
  <c r="R9686" i="1"/>
  <c r="Q9686" i="1"/>
  <c r="M9686" i="1"/>
  <c r="L9686" i="1"/>
  <c r="V9685" i="1"/>
  <c r="U9685" i="1"/>
  <c r="T9685" i="1"/>
  <c r="S9685" i="1"/>
  <c r="R9685" i="1"/>
  <c r="Q9685" i="1"/>
  <c r="M9685" i="1"/>
  <c r="L9685" i="1"/>
  <c r="V9684" i="1"/>
  <c r="U9684" i="1"/>
  <c r="T9684" i="1"/>
  <c r="S9684" i="1"/>
  <c r="R9684" i="1"/>
  <c r="Q9684" i="1"/>
  <c r="M9684" i="1"/>
  <c r="L9684" i="1"/>
  <c r="V9683" i="1"/>
  <c r="U9683" i="1"/>
  <c r="T9683" i="1"/>
  <c r="S9683" i="1"/>
  <c r="R9683" i="1"/>
  <c r="Q9683" i="1"/>
  <c r="M9683" i="1"/>
  <c r="L9683" i="1"/>
  <c r="V9682" i="1"/>
  <c r="U9682" i="1"/>
  <c r="T9682" i="1"/>
  <c r="S9682" i="1"/>
  <c r="R9682" i="1"/>
  <c r="Q9682" i="1"/>
  <c r="M9682" i="1"/>
  <c r="L9682" i="1"/>
  <c r="V9681" i="1"/>
  <c r="U9681" i="1"/>
  <c r="T9681" i="1"/>
  <c r="S9681" i="1"/>
  <c r="R9681" i="1"/>
  <c r="Q9681" i="1"/>
  <c r="M9681" i="1"/>
  <c r="L9681" i="1"/>
  <c r="V9680" i="1"/>
  <c r="U9680" i="1"/>
  <c r="T9680" i="1"/>
  <c r="S9680" i="1"/>
  <c r="R9680" i="1"/>
  <c r="Q9680" i="1"/>
  <c r="M9680" i="1"/>
  <c r="L9680" i="1"/>
  <c r="V9679" i="1"/>
  <c r="U9679" i="1"/>
  <c r="T9679" i="1"/>
  <c r="S9679" i="1"/>
  <c r="R9679" i="1"/>
  <c r="Q9679" i="1"/>
  <c r="M9679" i="1"/>
  <c r="L9679" i="1"/>
  <c r="V9678" i="1"/>
  <c r="U9678" i="1"/>
  <c r="T9678" i="1"/>
  <c r="S9678" i="1"/>
  <c r="R9678" i="1"/>
  <c r="Q9678" i="1"/>
  <c r="M9678" i="1"/>
  <c r="L9678" i="1"/>
  <c r="V9677" i="1"/>
  <c r="U9677" i="1"/>
  <c r="T9677" i="1"/>
  <c r="S9677" i="1"/>
  <c r="R9677" i="1"/>
  <c r="Q9677" i="1"/>
  <c r="M9677" i="1"/>
  <c r="L9677" i="1"/>
  <c r="V9676" i="1"/>
  <c r="U9676" i="1"/>
  <c r="T9676" i="1"/>
  <c r="S9676" i="1"/>
  <c r="R9676" i="1"/>
  <c r="Q9676" i="1"/>
  <c r="M9676" i="1"/>
  <c r="L9676" i="1"/>
  <c r="V9675" i="1"/>
  <c r="U9675" i="1"/>
  <c r="T9675" i="1"/>
  <c r="S9675" i="1"/>
  <c r="R9675" i="1"/>
  <c r="Q9675" i="1"/>
  <c r="M9675" i="1"/>
  <c r="L9675" i="1"/>
  <c r="V9674" i="1"/>
  <c r="U9674" i="1"/>
  <c r="T9674" i="1"/>
  <c r="S9674" i="1"/>
  <c r="R9674" i="1"/>
  <c r="Q9674" i="1"/>
  <c r="M9674" i="1"/>
  <c r="L9674" i="1"/>
  <c r="V9673" i="1"/>
  <c r="U9673" i="1"/>
  <c r="T9673" i="1"/>
  <c r="S9673" i="1"/>
  <c r="R9673" i="1"/>
  <c r="Q9673" i="1"/>
  <c r="M9673" i="1"/>
  <c r="L9673" i="1"/>
  <c r="V9672" i="1"/>
  <c r="U9672" i="1"/>
  <c r="T9672" i="1"/>
  <c r="S9672" i="1"/>
  <c r="R9672" i="1"/>
  <c r="Q9672" i="1"/>
  <c r="M9672" i="1"/>
  <c r="L9672" i="1"/>
  <c r="V9671" i="1"/>
  <c r="U9671" i="1"/>
  <c r="T9671" i="1"/>
  <c r="S9671" i="1"/>
  <c r="R9671" i="1"/>
  <c r="Q9671" i="1"/>
  <c r="M9671" i="1"/>
  <c r="L9671" i="1"/>
  <c r="V9670" i="1"/>
  <c r="U9670" i="1"/>
  <c r="T9670" i="1"/>
  <c r="S9670" i="1"/>
  <c r="R9670" i="1"/>
  <c r="Q9670" i="1"/>
  <c r="M9670" i="1"/>
  <c r="L9670" i="1"/>
  <c r="V9669" i="1"/>
  <c r="U9669" i="1"/>
  <c r="T9669" i="1"/>
  <c r="S9669" i="1"/>
  <c r="R9669" i="1"/>
  <c r="Q9669" i="1"/>
  <c r="M9669" i="1"/>
  <c r="L9669" i="1"/>
  <c r="V9668" i="1"/>
  <c r="U9668" i="1"/>
  <c r="T9668" i="1"/>
  <c r="S9668" i="1"/>
  <c r="R9668" i="1"/>
  <c r="Q9668" i="1"/>
  <c r="M9668" i="1"/>
  <c r="L9668" i="1"/>
  <c r="V9667" i="1"/>
  <c r="U9667" i="1"/>
  <c r="T9667" i="1"/>
  <c r="S9667" i="1"/>
  <c r="R9667" i="1"/>
  <c r="Q9667" i="1"/>
  <c r="M9667" i="1"/>
  <c r="L9667" i="1"/>
  <c r="V9666" i="1"/>
  <c r="U9666" i="1"/>
  <c r="T9666" i="1"/>
  <c r="S9666" i="1"/>
  <c r="R9666" i="1"/>
  <c r="Q9666" i="1"/>
  <c r="M9666" i="1"/>
  <c r="L9666" i="1"/>
  <c r="V9665" i="1"/>
  <c r="U9665" i="1"/>
  <c r="T9665" i="1"/>
  <c r="S9665" i="1"/>
  <c r="R9665" i="1"/>
  <c r="Q9665" i="1"/>
  <c r="M9665" i="1"/>
  <c r="L9665" i="1"/>
  <c r="V9664" i="1"/>
  <c r="U9664" i="1"/>
  <c r="T9664" i="1"/>
  <c r="S9664" i="1"/>
  <c r="R9664" i="1"/>
  <c r="Q9664" i="1"/>
  <c r="M9664" i="1"/>
  <c r="L9664" i="1"/>
  <c r="V9663" i="1"/>
  <c r="U9663" i="1"/>
  <c r="T9663" i="1"/>
  <c r="S9663" i="1"/>
  <c r="R9663" i="1"/>
  <c r="Q9663" i="1"/>
  <c r="M9663" i="1"/>
  <c r="L9663" i="1"/>
  <c r="V9662" i="1"/>
  <c r="U9662" i="1"/>
  <c r="T9662" i="1"/>
  <c r="S9662" i="1"/>
  <c r="R9662" i="1"/>
  <c r="Q9662" i="1"/>
  <c r="M9662" i="1"/>
  <c r="L9662" i="1"/>
  <c r="V9661" i="1"/>
  <c r="U9661" i="1"/>
  <c r="T9661" i="1"/>
  <c r="S9661" i="1"/>
  <c r="R9661" i="1"/>
  <c r="Q9661" i="1"/>
  <c r="M9661" i="1"/>
  <c r="L9661" i="1"/>
  <c r="V9660" i="1"/>
  <c r="U9660" i="1"/>
  <c r="T9660" i="1"/>
  <c r="S9660" i="1"/>
  <c r="R9660" i="1"/>
  <c r="Q9660" i="1"/>
  <c r="M9660" i="1"/>
  <c r="L9660" i="1"/>
  <c r="V9659" i="1"/>
  <c r="U9659" i="1"/>
  <c r="T9659" i="1"/>
  <c r="S9659" i="1"/>
  <c r="R9659" i="1"/>
  <c r="Q9659" i="1"/>
  <c r="M9659" i="1"/>
  <c r="L9659" i="1"/>
  <c r="V9658" i="1"/>
  <c r="U9658" i="1"/>
  <c r="T9658" i="1"/>
  <c r="S9658" i="1"/>
  <c r="R9658" i="1"/>
  <c r="Q9658" i="1"/>
  <c r="M9658" i="1"/>
  <c r="L9658" i="1"/>
  <c r="V9657" i="1"/>
  <c r="U9657" i="1"/>
  <c r="T9657" i="1"/>
  <c r="S9657" i="1"/>
  <c r="R9657" i="1"/>
  <c r="Q9657" i="1"/>
  <c r="M9657" i="1"/>
  <c r="L9657" i="1"/>
  <c r="V9656" i="1"/>
  <c r="U9656" i="1"/>
  <c r="T9656" i="1"/>
  <c r="S9656" i="1"/>
  <c r="R9656" i="1"/>
  <c r="Q9656" i="1"/>
  <c r="M9656" i="1"/>
  <c r="L9656" i="1"/>
  <c r="V9655" i="1"/>
  <c r="U9655" i="1"/>
  <c r="T9655" i="1"/>
  <c r="S9655" i="1"/>
  <c r="R9655" i="1"/>
  <c r="Q9655" i="1"/>
  <c r="M9655" i="1"/>
  <c r="L9655" i="1"/>
  <c r="V9654" i="1"/>
  <c r="U9654" i="1"/>
  <c r="T9654" i="1"/>
  <c r="S9654" i="1"/>
  <c r="R9654" i="1"/>
  <c r="Q9654" i="1"/>
  <c r="M9654" i="1"/>
  <c r="L9654" i="1"/>
  <c r="V9653" i="1"/>
  <c r="U9653" i="1"/>
  <c r="T9653" i="1"/>
  <c r="S9653" i="1"/>
  <c r="R9653" i="1"/>
  <c r="Q9653" i="1"/>
  <c r="M9653" i="1"/>
  <c r="L9653" i="1"/>
  <c r="V9652" i="1"/>
  <c r="U9652" i="1"/>
  <c r="T9652" i="1"/>
  <c r="S9652" i="1"/>
  <c r="R9652" i="1"/>
  <c r="Q9652" i="1"/>
  <c r="M9652" i="1"/>
  <c r="L9652" i="1"/>
  <c r="V9651" i="1"/>
  <c r="U9651" i="1"/>
  <c r="T9651" i="1"/>
  <c r="S9651" i="1"/>
  <c r="R9651" i="1"/>
  <c r="Q9651" i="1"/>
  <c r="M9651" i="1"/>
  <c r="L9651" i="1"/>
  <c r="V9650" i="1"/>
  <c r="U9650" i="1"/>
  <c r="T9650" i="1"/>
  <c r="S9650" i="1"/>
  <c r="R9650" i="1"/>
  <c r="Q9650" i="1"/>
  <c r="M9650" i="1"/>
  <c r="L9650" i="1"/>
  <c r="V9649" i="1"/>
  <c r="U9649" i="1"/>
  <c r="T9649" i="1"/>
  <c r="S9649" i="1"/>
  <c r="R9649" i="1"/>
  <c r="Q9649" i="1"/>
  <c r="M9649" i="1"/>
  <c r="L9649" i="1"/>
  <c r="V9648" i="1"/>
  <c r="U9648" i="1"/>
  <c r="T9648" i="1"/>
  <c r="S9648" i="1"/>
  <c r="R9648" i="1"/>
  <c r="Q9648" i="1"/>
  <c r="M9648" i="1"/>
  <c r="L9648" i="1"/>
  <c r="V9647" i="1"/>
  <c r="U9647" i="1"/>
  <c r="T9647" i="1"/>
  <c r="S9647" i="1"/>
  <c r="R9647" i="1"/>
  <c r="Q9647" i="1"/>
  <c r="M9647" i="1"/>
  <c r="L9647" i="1"/>
  <c r="V9646" i="1"/>
  <c r="U9646" i="1"/>
  <c r="T9646" i="1"/>
  <c r="S9646" i="1"/>
  <c r="R9646" i="1"/>
  <c r="Q9646" i="1"/>
  <c r="M9646" i="1"/>
  <c r="L9646" i="1"/>
  <c r="V9645" i="1"/>
  <c r="U9645" i="1"/>
  <c r="T9645" i="1"/>
  <c r="S9645" i="1"/>
  <c r="R9645" i="1"/>
  <c r="Q9645" i="1"/>
  <c r="M9645" i="1"/>
  <c r="L9645" i="1"/>
  <c r="V9644" i="1"/>
  <c r="U9644" i="1"/>
  <c r="T9644" i="1"/>
  <c r="S9644" i="1"/>
  <c r="R9644" i="1"/>
  <c r="Q9644" i="1"/>
  <c r="M9644" i="1"/>
  <c r="L9644" i="1"/>
  <c r="V9643" i="1"/>
  <c r="U9643" i="1"/>
  <c r="T9643" i="1"/>
  <c r="S9643" i="1"/>
  <c r="R9643" i="1"/>
  <c r="Q9643" i="1"/>
  <c r="M9643" i="1"/>
  <c r="L9643" i="1"/>
  <c r="V9642" i="1"/>
  <c r="U9642" i="1"/>
  <c r="T9642" i="1"/>
  <c r="S9642" i="1"/>
  <c r="R9642" i="1"/>
  <c r="Q9642" i="1"/>
  <c r="M9642" i="1"/>
  <c r="L9642" i="1"/>
  <c r="V9641" i="1"/>
  <c r="U9641" i="1"/>
  <c r="T9641" i="1"/>
  <c r="S9641" i="1"/>
  <c r="R9641" i="1"/>
  <c r="Q9641" i="1"/>
  <c r="M9641" i="1"/>
  <c r="L9641" i="1"/>
  <c r="V9640" i="1"/>
  <c r="U9640" i="1"/>
  <c r="T9640" i="1"/>
  <c r="S9640" i="1"/>
  <c r="R9640" i="1"/>
  <c r="Q9640" i="1"/>
  <c r="M9640" i="1"/>
  <c r="L9640" i="1"/>
  <c r="V9639" i="1"/>
  <c r="U9639" i="1"/>
  <c r="T9639" i="1"/>
  <c r="S9639" i="1"/>
  <c r="R9639" i="1"/>
  <c r="Q9639" i="1"/>
  <c r="M9639" i="1"/>
  <c r="L9639" i="1"/>
  <c r="V9638" i="1"/>
  <c r="U9638" i="1"/>
  <c r="T9638" i="1"/>
  <c r="S9638" i="1"/>
  <c r="R9638" i="1"/>
  <c r="Q9638" i="1"/>
  <c r="M9638" i="1"/>
  <c r="L9638" i="1"/>
  <c r="V9637" i="1"/>
  <c r="U9637" i="1"/>
  <c r="T9637" i="1"/>
  <c r="S9637" i="1"/>
  <c r="R9637" i="1"/>
  <c r="Q9637" i="1"/>
  <c r="M9637" i="1"/>
  <c r="L9637" i="1"/>
  <c r="V9636" i="1"/>
  <c r="U9636" i="1"/>
  <c r="T9636" i="1"/>
  <c r="S9636" i="1"/>
  <c r="R9636" i="1"/>
  <c r="Q9636" i="1"/>
  <c r="M9636" i="1"/>
  <c r="L9636" i="1"/>
  <c r="V9635" i="1"/>
  <c r="U9635" i="1"/>
  <c r="T9635" i="1"/>
  <c r="S9635" i="1"/>
  <c r="R9635" i="1"/>
  <c r="Q9635" i="1"/>
  <c r="M9635" i="1"/>
  <c r="L9635" i="1"/>
  <c r="V9634" i="1"/>
  <c r="U9634" i="1"/>
  <c r="T9634" i="1"/>
  <c r="S9634" i="1"/>
  <c r="R9634" i="1"/>
  <c r="Q9634" i="1"/>
  <c r="M9634" i="1"/>
  <c r="L9634" i="1"/>
  <c r="V9633" i="1"/>
  <c r="U9633" i="1"/>
  <c r="T9633" i="1"/>
  <c r="S9633" i="1"/>
  <c r="R9633" i="1"/>
  <c r="Q9633" i="1"/>
  <c r="M9633" i="1"/>
  <c r="L9633" i="1"/>
  <c r="V9632" i="1"/>
  <c r="U9632" i="1"/>
  <c r="T9632" i="1"/>
  <c r="S9632" i="1"/>
  <c r="R9632" i="1"/>
  <c r="Q9632" i="1"/>
  <c r="M9632" i="1"/>
  <c r="L9632" i="1"/>
  <c r="V9631" i="1"/>
  <c r="U9631" i="1"/>
  <c r="T9631" i="1"/>
  <c r="S9631" i="1"/>
  <c r="R9631" i="1"/>
  <c r="Q9631" i="1"/>
  <c r="M9631" i="1"/>
  <c r="L9631" i="1"/>
  <c r="V9630" i="1"/>
  <c r="U9630" i="1"/>
  <c r="T9630" i="1"/>
  <c r="S9630" i="1"/>
  <c r="R9630" i="1"/>
  <c r="Q9630" i="1"/>
  <c r="M9630" i="1"/>
  <c r="L9630" i="1"/>
  <c r="V9629" i="1"/>
  <c r="U9629" i="1"/>
  <c r="T9629" i="1"/>
  <c r="S9629" i="1"/>
  <c r="R9629" i="1"/>
  <c r="Q9629" i="1"/>
  <c r="M9629" i="1"/>
  <c r="L9629" i="1"/>
  <c r="V9628" i="1"/>
  <c r="U9628" i="1"/>
  <c r="T9628" i="1"/>
  <c r="S9628" i="1"/>
  <c r="R9628" i="1"/>
  <c r="Q9628" i="1"/>
  <c r="M9628" i="1"/>
  <c r="L9628" i="1"/>
  <c r="V9627" i="1"/>
  <c r="U9627" i="1"/>
  <c r="T9627" i="1"/>
  <c r="S9627" i="1"/>
  <c r="R9627" i="1"/>
  <c r="Q9627" i="1"/>
  <c r="M9627" i="1"/>
  <c r="L9627" i="1"/>
  <c r="V9626" i="1"/>
  <c r="U9626" i="1"/>
  <c r="T9626" i="1"/>
  <c r="S9626" i="1"/>
  <c r="R9626" i="1"/>
  <c r="Q9626" i="1"/>
  <c r="M9626" i="1"/>
  <c r="L9626" i="1"/>
  <c r="V9625" i="1"/>
  <c r="U9625" i="1"/>
  <c r="T9625" i="1"/>
  <c r="S9625" i="1"/>
  <c r="R9625" i="1"/>
  <c r="Q9625" i="1"/>
  <c r="M9625" i="1"/>
  <c r="L9625" i="1"/>
  <c r="V9624" i="1"/>
  <c r="U9624" i="1"/>
  <c r="T9624" i="1"/>
  <c r="S9624" i="1"/>
  <c r="R9624" i="1"/>
  <c r="Q9624" i="1"/>
  <c r="M9624" i="1"/>
  <c r="L9624" i="1"/>
  <c r="V9623" i="1"/>
  <c r="U9623" i="1"/>
  <c r="T9623" i="1"/>
  <c r="S9623" i="1"/>
  <c r="R9623" i="1"/>
  <c r="Q9623" i="1"/>
  <c r="M9623" i="1"/>
  <c r="L9623" i="1"/>
  <c r="V9622" i="1"/>
  <c r="U9622" i="1"/>
  <c r="T9622" i="1"/>
  <c r="S9622" i="1"/>
  <c r="R9622" i="1"/>
  <c r="Q9622" i="1"/>
  <c r="M9622" i="1"/>
  <c r="L9622" i="1"/>
  <c r="V9621" i="1"/>
  <c r="U9621" i="1"/>
  <c r="T9621" i="1"/>
  <c r="S9621" i="1"/>
  <c r="R9621" i="1"/>
  <c r="Q9621" i="1"/>
  <c r="M9621" i="1"/>
  <c r="L9621" i="1"/>
  <c r="V9620" i="1"/>
  <c r="U9620" i="1"/>
  <c r="T9620" i="1"/>
  <c r="S9620" i="1"/>
  <c r="R9620" i="1"/>
  <c r="Q9620" i="1"/>
  <c r="M9620" i="1"/>
  <c r="L9620" i="1"/>
  <c r="V9619" i="1"/>
  <c r="U9619" i="1"/>
  <c r="T9619" i="1"/>
  <c r="S9619" i="1"/>
  <c r="R9619" i="1"/>
  <c r="Q9619" i="1"/>
  <c r="M9619" i="1"/>
  <c r="L9619" i="1"/>
  <c r="V9618" i="1"/>
  <c r="U9618" i="1"/>
  <c r="T9618" i="1"/>
  <c r="S9618" i="1"/>
  <c r="R9618" i="1"/>
  <c r="Q9618" i="1"/>
  <c r="M9618" i="1"/>
  <c r="L9618" i="1"/>
  <c r="V9617" i="1"/>
  <c r="U9617" i="1"/>
  <c r="T9617" i="1"/>
  <c r="S9617" i="1"/>
  <c r="R9617" i="1"/>
  <c r="Q9617" i="1"/>
  <c r="M9617" i="1"/>
  <c r="L9617" i="1"/>
  <c r="V9616" i="1"/>
  <c r="U9616" i="1"/>
  <c r="T9616" i="1"/>
  <c r="S9616" i="1"/>
  <c r="R9616" i="1"/>
  <c r="Q9616" i="1"/>
  <c r="M9616" i="1"/>
  <c r="L9616" i="1"/>
  <c r="V9615" i="1"/>
  <c r="U9615" i="1"/>
  <c r="T9615" i="1"/>
  <c r="S9615" i="1"/>
  <c r="R9615" i="1"/>
  <c r="Q9615" i="1"/>
  <c r="M9615" i="1"/>
  <c r="L9615" i="1"/>
  <c r="V9614" i="1"/>
  <c r="U9614" i="1"/>
  <c r="T9614" i="1"/>
  <c r="S9614" i="1"/>
  <c r="R9614" i="1"/>
  <c r="Q9614" i="1"/>
  <c r="M9614" i="1"/>
  <c r="L9614" i="1"/>
  <c r="V9613" i="1"/>
  <c r="U9613" i="1"/>
  <c r="T9613" i="1"/>
  <c r="S9613" i="1"/>
  <c r="R9613" i="1"/>
  <c r="Q9613" i="1"/>
  <c r="M9613" i="1"/>
  <c r="L9613" i="1"/>
  <c r="V9612" i="1"/>
  <c r="U9612" i="1"/>
  <c r="T9612" i="1"/>
  <c r="S9612" i="1"/>
  <c r="R9612" i="1"/>
  <c r="Q9612" i="1"/>
  <c r="M9612" i="1"/>
  <c r="L9612" i="1"/>
  <c r="V9611" i="1"/>
  <c r="U9611" i="1"/>
  <c r="T9611" i="1"/>
  <c r="S9611" i="1"/>
  <c r="R9611" i="1"/>
  <c r="Q9611" i="1"/>
  <c r="M9611" i="1"/>
  <c r="L9611" i="1"/>
  <c r="V9610" i="1"/>
  <c r="U9610" i="1"/>
  <c r="T9610" i="1"/>
  <c r="S9610" i="1"/>
  <c r="R9610" i="1"/>
  <c r="Q9610" i="1"/>
  <c r="M9610" i="1"/>
  <c r="L9610" i="1"/>
  <c r="V9609" i="1"/>
  <c r="U9609" i="1"/>
  <c r="T9609" i="1"/>
  <c r="S9609" i="1"/>
  <c r="R9609" i="1"/>
  <c r="Q9609" i="1"/>
  <c r="M9609" i="1"/>
  <c r="L9609" i="1"/>
  <c r="V9608" i="1"/>
  <c r="U9608" i="1"/>
  <c r="T9608" i="1"/>
  <c r="S9608" i="1"/>
  <c r="R9608" i="1"/>
  <c r="Q9608" i="1"/>
  <c r="M9608" i="1"/>
  <c r="L9608" i="1"/>
  <c r="V9607" i="1"/>
  <c r="U9607" i="1"/>
  <c r="T9607" i="1"/>
  <c r="S9607" i="1"/>
  <c r="R9607" i="1"/>
  <c r="Q9607" i="1"/>
  <c r="M9607" i="1"/>
  <c r="L9607" i="1"/>
  <c r="V9606" i="1"/>
  <c r="U9606" i="1"/>
  <c r="T9606" i="1"/>
  <c r="S9606" i="1"/>
  <c r="R9606" i="1"/>
  <c r="Q9606" i="1"/>
  <c r="M9606" i="1"/>
  <c r="L9606" i="1"/>
  <c r="V9605" i="1"/>
  <c r="U9605" i="1"/>
  <c r="T9605" i="1"/>
  <c r="S9605" i="1"/>
  <c r="R9605" i="1"/>
  <c r="Q9605" i="1"/>
  <c r="M9605" i="1"/>
  <c r="L9605" i="1"/>
  <c r="V9604" i="1"/>
  <c r="U9604" i="1"/>
  <c r="T9604" i="1"/>
  <c r="S9604" i="1"/>
  <c r="R9604" i="1"/>
  <c r="Q9604" i="1"/>
  <c r="M9604" i="1"/>
  <c r="L9604" i="1"/>
  <c r="V9603" i="1"/>
  <c r="U9603" i="1"/>
  <c r="T9603" i="1"/>
  <c r="S9603" i="1"/>
  <c r="R9603" i="1"/>
  <c r="Q9603" i="1"/>
  <c r="M9603" i="1"/>
  <c r="L9603" i="1"/>
  <c r="V9602" i="1"/>
  <c r="U9602" i="1"/>
  <c r="T9602" i="1"/>
  <c r="S9602" i="1"/>
  <c r="R9602" i="1"/>
  <c r="Q9602" i="1"/>
  <c r="M9602" i="1"/>
  <c r="L9602" i="1"/>
  <c r="V9601" i="1"/>
  <c r="U9601" i="1"/>
  <c r="T9601" i="1"/>
  <c r="S9601" i="1"/>
  <c r="R9601" i="1"/>
  <c r="Q9601" i="1"/>
  <c r="M9601" i="1"/>
  <c r="L9601" i="1"/>
  <c r="V9600" i="1"/>
  <c r="U9600" i="1"/>
  <c r="T9600" i="1"/>
  <c r="S9600" i="1"/>
  <c r="R9600" i="1"/>
  <c r="Q9600" i="1"/>
  <c r="M9600" i="1"/>
  <c r="L9600" i="1"/>
  <c r="V9599" i="1"/>
  <c r="U9599" i="1"/>
  <c r="T9599" i="1"/>
  <c r="S9599" i="1"/>
  <c r="R9599" i="1"/>
  <c r="Q9599" i="1"/>
  <c r="M9599" i="1"/>
  <c r="L9599" i="1"/>
  <c r="V9598" i="1"/>
  <c r="U9598" i="1"/>
  <c r="T9598" i="1"/>
  <c r="S9598" i="1"/>
  <c r="R9598" i="1"/>
  <c r="Q9598" i="1"/>
  <c r="M9598" i="1"/>
  <c r="L9598" i="1"/>
  <c r="V9597" i="1"/>
  <c r="U9597" i="1"/>
  <c r="T9597" i="1"/>
  <c r="S9597" i="1"/>
  <c r="R9597" i="1"/>
  <c r="Q9597" i="1"/>
  <c r="M9597" i="1"/>
  <c r="L9597" i="1"/>
  <c r="V9596" i="1"/>
  <c r="U9596" i="1"/>
  <c r="T9596" i="1"/>
  <c r="S9596" i="1"/>
  <c r="R9596" i="1"/>
  <c r="Q9596" i="1"/>
  <c r="M9596" i="1"/>
  <c r="L9596" i="1"/>
  <c r="V9595" i="1"/>
  <c r="U9595" i="1"/>
  <c r="T9595" i="1"/>
  <c r="S9595" i="1"/>
  <c r="R9595" i="1"/>
  <c r="Q9595" i="1"/>
  <c r="M9595" i="1"/>
  <c r="L9595" i="1"/>
  <c r="V9594" i="1"/>
  <c r="U9594" i="1"/>
  <c r="T9594" i="1"/>
  <c r="S9594" i="1"/>
  <c r="R9594" i="1"/>
  <c r="Q9594" i="1"/>
  <c r="M9594" i="1"/>
  <c r="L9594" i="1"/>
  <c r="V9593" i="1"/>
  <c r="U9593" i="1"/>
  <c r="T9593" i="1"/>
  <c r="S9593" i="1"/>
  <c r="R9593" i="1"/>
  <c r="Q9593" i="1"/>
  <c r="M9593" i="1"/>
  <c r="L9593" i="1"/>
  <c r="V9592" i="1"/>
  <c r="U9592" i="1"/>
  <c r="T9592" i="1"/>
  <c r="S9592" i="1"/>
  <c r="R9592" i="1"/>
  <c r="Q9592" i="1"/>
  <c r="M9592" i="1"/>
  <c r="L9592" i="1"/>
  <c r="V9591" i="1"/>
  <c r="U9591" i="1"/>
  <c r="T9591" i="1"/>
  <c r="S9591" i="1"/>
  <c r="R9591" i="1"/>
  <c r="Q9591" i="1"/>
  <c r="M9591" i="1"/>
  <c r="L9591" i="1"/>
  <c r="V9590" i="1"/>
  <c r="U9590" i="1"/>
  <c r="T9590" i="1"/>
  <c r="S9590" i="1"/>
  <c r="R9590" i="1"/>
  <c r="Q9590" i="1"/>
  <c r="M9590" i="1"/>
  <c r="L9590" i="1"/>
  <c r="V9589" i="1"/>
  <c r="U9589" i="1"/>
  <c r="T9589" i="1"/>
  <c r="S9589" i="1"/>
  <c r="R9589" i="1"/>
  <c r="Q9589" i="1"/>
  <c r="M9589" i="1"/>
  <c r="L9589" i="1"/>
  <c r="V9588" i="1"/>
  <c r="U9588" i="1"/>
  <c r="T9588" i="1"/>
  <c r="S9588" i="1"/>
  <c r="R9588" i="1"/>
  <c r="Q9588" i="1"/>
  <c r="M9588" i="1"/>
  <c r="L9588" i="1"/>
  <c r="V9587" i="1"/>
  <c r="U9587" i="1"/>
  <c r="T9587" i="1"/>
  <c r="S9587" i="1"/>
  <c r="R9587" i="1"/>
  <c r="Q9587" i="1"/>
  <c r="M9587" i="1"/>
  <c r="L9587" i="1"/>
  <c r="V9586" i="1"/>
  <c r="U9586" i="1"/>
  <c r="T9586" i="1"/>
  <c r="S9586" i="1"/>
  <c r="R9586" i="1"/>
  <c r="Q9586" i="1"/>
  <c r="M9586" i="1"/>
  <c r="L9586" i="1"/>
  <c r="V9585" i="1"/>
  <c r="U9585" i="1"/>
  <c r="T9585" i="1"/>
  <c r="S9585" i="1"/>
  <c r="R9585" i="1"/>
  <c r="Q9585" i="1"/>
  <c r="M9585" i="1"/>
  <c r="L9585" i="1"/>
  <c r="V9584" i="1"/>
  <c r="U9584" i="1"/>
  <c r="T9584" i="1"/>
  <c r="S9584" i="1"/>
  <c r="R9584" i="1"/>
  <c r="Q9584" i="1"/>
  <c r="M9584" i="1"/>
  <c r="L9584" i="1"/>
  <c r="V9583" i="1"/>
  <c r="U9583" i="1"/>
  <c r="T9583" i="1"/>
  <c r="S9583" i="1"/>
  <c r="R9583" i="1"/>
  <c r="Q9583" i="1"/>
  <c r="M9583" i="1"/>
  <c r="L9583" i="1"/>
  <c r="V9582" i="1"/>
  <c r="U9582" i="1"/>
  <c r="T9582" i="1"/>
  <c r="S9582" i="1"/>
  <c r="R9582" i="1"/>
  <c r="Q9582" i="1"/>
  <c r="M9582" i="1"/>
  <c r="L9582" i="1"/>
  <c r="V9581" i="1"/>
  <c r="U9581" i="1"/>
  <c r="T9581" i="1"/>
  <c r="S9581" i="1"/>
  <c r="R9581" i="1"/>
  <c r="Q9581" i="1"/>
  <c r="M9581" i="1"/>
  <c r="L9581" i="1"/>
  <c r="V9580" i="1"/>
  <c r="U9580" i="1"/>
  <c r="T9580" i="1"/>
  <c r="S9580" i="1"/>
  <c r="R9580" i="1"/>
  <c r="Q9580" i="1"/>
  <c r="M9580" i="1"/>
  <c r="L9580" i="1"/>
  <c r="V9579" i="1"/>
  <c r="U9579" i="1"/>
  <c r="T9579" i="1"/>
  <c r="S9579" i="1"/>
  <c r="R9579" i="1"/>
  <c r="Q9579" i="1"/>
  <c r="M9579" i="1"/>
  <c r="L9579" i="1"/>
  <c r="V9578" i="1"/>
  <c r="U9578" i="1"/>
  <c r="T9578" i="1"/>
  <c r="S9578" i="1"/>
  <c r="R9578" i="1"/>
  <c r="Q9578" i="1"/>
  <c r="M9578" i="1"/>
  <c r="L9578" i="1"/>
  <c r="V9577" i="1"/>
  <c r="U9577" i="1"/>
  <c r="T9577" i="1"/>
  <c r="S9577" i="1"/>
  <c r="R9577" i="1"/>
  <c r="Q9577" i="1"/>
  <c r="M9577" i="1"/>
  <c r="L9577" i="1"/>
  <c r="V9576" i="1"/>
  <c r="U9576" i="1"/>
  <c r="T9576" i="1"/>
  <c r="S9576" i="1"/>
  <c r="R9576" i="1"/>
  <c r="Q9576" i="1"/>
  <c r="M9576" i="1"/>
  <c r="L9576" i="1"/>
  <c r="V9575" i="1"/>
  <c r="U9575" i="1"/>
  <c r="T9575" i="1"/>
  <c r="S9575" i="1"/>
  <c r="R9575" i="1"/>
  <c r="Q9575" i="1"/>
  <c r="M9575" i="1"/>
  <c r="L9575" i="1"/>
  <c r="V9574" i="1"/>
  <c r="U9574" i="1"/>
  <c r="T9574" i="1"/>
  <c r="S9574" i="1"/>
  <c r="R9574" i="1"/>
  <c r="Q9574" i="1"/>
  <c r="M9574" i="1"/>
  <c r="L9574" i="1"/>
  <c r="V9573" i="1"/>
  <c r="U9573" i="1"/>
  <c r="T9573" i="1"/>
  <c r="S9573" i="1"/>
  <c r="R9573" i="1"/>
  <c r="Q9573" i="1"/>
  <c r="M9573" i="1"/>
  <c r="L9573" i="1"/>
  <c r="V9572" i="1"/>
  <c r="U9572" i="1"/>
  <c r="T9572" i="1"/>
  <c r="S9572" i="1"/>
  <c r="R9572" i="1"/>
  <c r="Q9572" i="1"/>
  <c r="M9572" i="1"/>
  <c r="L9572" i="1"/>
  <c r="V9571" i="1"/>
  <c r="U9571" i="1"/>
  <c r="T9571" i="1"/>
  <c r="S9571" i="1"/>
  <c r="R9571" i="1"/>
  <c r="Q9571" i="1"/>
  <c r="M9571" i="1"/>
  <c r="L9571" i="1"/>
  <c r="V9570" i="1"/>
  <c r="U9570" i="1"/>
  <c r="T9570" i="1"/>
  <c r="S9570" i="1"/>
  <c r="R9570" i="1"/>
  <c r="Q9570" i="1"/>
  <c r="M9570" i="1"/>
  <c r="L9570" i="1"/>
  <c r="V9569" i="1"/>
  <c r="U9569" i="1"/>
  <c r="T9569" i="1"/>
  <c r="S9569" i="1"/>
  <c r="R9569" i="1"/>
  <c r="Q9569" i="1"/>
  <c r="M9569" i="1"/>
  <c r="L9569" i="1"/>
  <c r="V9568" i="1"/>
  <c r="U9568" i="1"/>
  <c r="T9568" i="1"/>
  <c r="S9568" i="1"/>
  <c r="R9568" i="1"/>
  <c r="Q9568" i="1"/>
  <c r="M9568" i="1"/>
  <c r="L9568" i="1"/>
  <c r="V9567" i="1"/>
  <c r="U9567" i="1"/>
  <c r="T9567" i="1"/>
  <c r="S9567" i="1"/>
  <c r="R9567" i="1"/>
  <c r="Q9567" i="1"/>
  <c r="M9567" i="1"/>
  <c r="L9567" i="1"/>
  <c r="V9566" i="1"/>
  <c r="U9566" i="1"/>
  <c r="T9566" i="1"/>
  <c r="S9566" i="1"/>
  <c r="R9566" i="1"/>
  <c r="Q9566" i="1"/>
  <c r="M9566" i="1"/>
  <c r="L9566" i="1"/>
  <c r="V9565" i="1"/>
  <c r="U9565" i="1"/>
  <c r="T9565" i="1"/>
  <c r="S9565" i="1"/>
  <c r="R9565" i="1"/>
  <c r="Q9565" i="1"/>
  <c r="M9565" i="1"/>
  <c r="L9565" i="1"/>
  <c r="V9564" i="1"/>
  <c r="U9564" i="1"/>
  <c r="T9564" i="1"/>
  <c r="S9564" i="1"/>
  <c r="R9564" i="1"/>
  <c r="Q9564" i="1"/>
  <c r="M9564" i="1"/>
  <c r="L9564" i="1"/>
  <c r="V9563" i="1"/>
  <c r="U9563" i="1"/>
  <c r="T9563" i="1"/>
  <c r="S9563" i="1"/>
  <c r="R9563" i="1"/>
  <c r="Q9563" i="1"/>
  <c r="M9563" i="1"/>
  <c r="L9563" i="1"/>
  <c r="V9562" i="1"/>
  <c r="U9562" i="1"/>
  <c r="T9562" i="1"/>
  <c r="S9562" i="1"/>
  <c r="R9562" i="1"/>
  <c r="Q9562" i="1"/>
  <c r="M9562" i="1"/>
  <c r="L9562" i="1"/>
  <c r="V9561" i="1"/>
  <c r="U9561" i="1"/>
  <c r="T9561" i="1"/>
  <c r="S9561" i="1"/>
  <c r="R9561" i="1"/>
  <c r="Q9561" i="1"/>
  <c r="M9561" i="1"/>
  <c r="L9561" i="1"/>
  <c r="V9560" i="1"/>
  <c r="U9560" i="1"/>
  <c r="T9560" i="1"/>
  <c r="S9560" i="1"/>
  <c r="R9560" i="1"/>
  <c r="Q9560" i="1"/>
  <c r="M9560" i="1"/>
  <c r="L9560" i="1"/>
  <c r="V9559" i="1"/>
  <c r="U9559" i="1"/>
  <c r="T9559" i="1"/>
  <c r="S9559" i="1"/>
  <c r="R9559" i="1"/>
  <c r="Q9559" i="1"/>
  <c r="M9559" i="1"/>
  <c r="L9559" i="1"/>
  <c r="V9558" i="1"/>
  <c r="U9558" i="1"/>
  <c r="T9558" i="1"/>
  <c r="S9558" i="1"/>
  <c r="R9558" i="1"/>
  <c r="Q9558" i="1"/>
  <c r="M9558" i="1"/>
  <c r="L9558" i="1"/>
  <c r="V9557" i="1"/>
  <c r="U9557" i="1"/>
  <c r="T9557" i="1"/>
  <c r="S9557" i="1"/>
  <c r="R9557" i="1"/>
  <c r="Q9557" i="1"/>
  <c r="M9557" i="1"/>
  <c r="L9557" i="1"/>
  <c r="V9556" i="1"/>
  <c r="U9556" i="1"/>
  <c r="T9556" i="1"/>
  <c r="S9556" i="1"/>
  <c r="R9556" i="1"/>
  <c r="Q9556" i="1"/>
  <c r="M9556" i="1"/>
  <c r="L9556" i="1"/>
  <c r="V9555" i="1"/>
  <c r="U9555" i="1"/>
  <c r="T9555" i="1"/>
  <c r="S9555" i="1"/>
  <c r="R9555" i="1"/>
  <c r="Q9555" i="1"/>
  <c r="M9555" i="1"/>
  <c r="L9555" i="1"/>
  <c r="V9554" i="1"/>
  <c r="U9554" i="1"/>
  <c r="T9554" i="1"/>
  <c r="S9554" i="1"/>
  <c r="R9554" i="1"/>
  <c r="Q9554" i="1"/>
  <c r="M9554" i="1"/>
  <c r="L9554" i="1"/>
  <c r="V9553" i="1"/>
  <c r="U9553" i="1"/>
  <c r="T9553" i="1"/>
  <c r="S9553" i="1"/>
  <c r="R9553" i="1"/>
  <c r="Q9553" i="1"/>
  <c r="M9553" i="1"/>
  <c r="L9553" i="1"/>
  <c r="V9552" i="1"/>
  <c r="U9552" i="1"/>
  <c r="T9552" i="1"/>
  <c r="S9552" i="1"/>
  <c r="R9552" i="1"/>
  <c r="Q9552" i="1"/>
  <c r="M9552" i="1"/>
  <c r="L9552" i="1"/>
  <c r="V9551" i="1"/>
  <c r="U9551" i="1"/>
  <c r="T9551" i="1"/>
  <c r="S9551" i="1"/>
  <c r="R9551" i="1"/>
  <c r="Q9551" i="1"/>
  <c r="M9551" i="1"/>
  <c r="L9551" i="1"/>
  <c r="V9550" i="1"/>
  <c r="U9550" i="1"/>
  <c r="T9550" i="1"/>
  <c r="S9550" i="1"/>
  <c r="R9550" i="1"/>
  <c r="Q9550" i="1"/>
  <c r="M9550" i="1"/>
  <c r="L9550" i="1"/>
  <c r="V9549" i="1"/>
  <c r="U9549" i="1"/>
  <c r="T9549" i="1"/>
  <c r="S9549" i="1"/>
  <c r="R9549" i="1"/>
  <c r="Q9549" i="1"/>
  <c r="M9549" i="1"/>
  <c r="L9549" i="1"/>
  <c r="V9548" i="1"/>
  <c r="U9548" i="1"/>
  <c r="T9548" i="1"/>
  <c r="S9548" i="1"/>
  <c r="R9548" i="1"/>
  <c r="Q9548" i="1"/>
  <c r="M9548" i="1"/>
  <c r="L9548" i="1"/>
  <c r="V9547" i="1"/>
  <c r="U9547" i="1"/>
  <c r="T9547" i="1"/>
  <c r="S9547" i="1"/>
  <c r="R9547" i="1"/>
  <c r="Q9547" i="1"/>
  <c r="M9547" i="1"/>
  <c r="L9547" i="1"/>
  <c r="V9546" i="1"/>
  <c r="U9546" i="1"/>
  <c r="T9546" i="1"/>
  <c r="S9546" i="1"/>
  <c r="R9546" i="1"/>
  <c r="Q9546" i="1"/>
  <c r="M9546" i="1"/>
  <c r="L9546" i="1"/>
  <c r="V9545" i="1"/>
  <c r="U9545" i="1"/>
  <c r="T9545" i="1"/>
  <c r="S9545" i="1"/>
  <c r="R9545" i="1"/>
  <c r="Q9545" i="1"/>
  <c r="M9545" i="1"/>
  <c r="L9545" i="1"/>
  <c r="V9544" i="1"/>
  <c r="U9544" i="1"/>
  <c r="T9544" i="1"/>
  <c r="S9544" i="1"/>
  <c r="R9544" i="1"/>
  <c r="Q9544" i="1"/>
  <c r="M9544" i="1"/>
  <c r="L9544" i="1"/>
  <c r="V9543" i="1"/>
  <c r="U9543" i="1"/>
  <c r="T9543" i="1"/>
  <c r="S9543" i="1"/>
  <c r="R9543" i="1"/>
  <c r="Q9543" i="1"/>
  <c r="M9543" i="1"/>
  <c r="L9543" i="1"/>
  <c r="V9542" i="1"/>
  <c r="U9542" i="1"/>
  <c r="T9542" i="1"/>
  <c r="S9542" i="1"/>
  <c r="R9542" i="1"/>
  <c r="Q9542" i="1"/>
  <c r="M9542" i="1"/>
  <c r="L9542" i="1"/>
  <c r="V9541" i="1"/>
  <c r="U9541" i="1"/>
  <c r="T9541" i="1"/>
  <c r="S9541" i="1"/>
  <c r="R9541" i="1"/>
  <c r="Q9541" i="1"/>
  <c r="M9541" i="1"/>
  <c r="L9541" i="1"/>
  <c r="V9540" i="1"/>
  <c r="U9540" i="1"/>
  <c r="T9540" i="1"/>
  <c r="S9540" i="1"/>
  <c r="R9540" i="1"/>
  <c r="Q9540" i="1"/>
  <c r="M9540" i="1"/>
  <c r="L9540" i="1"/>
  <c r="V9539" i="1"/>
  <c r="U9539" i="1"/>
  <c r="T9539" i="1"/>
  <c r="S9539" i="1"/>
  <c r="R9539" i="1"/>
  <c r="Q9539" i="1"/>
  <c r="M9539" i="1"/>
  <c r="L9539" i="1"/>
  <c r="V9538" i="1"/>
  <c r="U9538" i="1"/>
  <c r="T9538" i="1"/>
  <c r="S9538" i="1"/>
  <c r="R9538" i="1"/>
  <c r="Q9538" i="1"/>
  <c r="M9538" i="1"/>
  <c r="L9538" i="1"/>
  <c r="V9537" i="1"/>
  <c r="U9537" i="1"/>
  <c r="T9537" i="1"/>
  <c r="S9537" i="1"/>
  <c r="R9537" i="1"/>
  <c r="Q9537" i="1"/>
  <c r="M9537" i="1"/>
  <c r="L9537" i="1"/>
  <c r="V9536" i="1"/>
  <c r="U9536" i="1"/>
  <c r="T9536" i="1"/>
  <c r="S9536" i="1"/>
  <c r="R9536" i="1"/>
  <c r="Q9536" i="1"/>
  <c r="M9536" i="1"/>
  <c r="L9536" i="1"/>
  <c r="V9535" i="1"/>
  <c r="U9535" i="1"/>
  <c r="T9535" i="1"/>
  <c r="S9535" i="1"/>
  <c r="R9535" i="1"/>
  <c r="Q9535" i="1"/>
  <c r="M9535" i="1"/>
  <c r="L9535" i="1"/>
  <c r="V9534" i="1"/>
  <c r="U9534" i="1"/>
  <c r="T9534" i="1"/>
  <c r="S9534" i="1"/>
  <c r="R9534" i="1"/>
  <c r="Q9534" i="1"/>
  <c r="M9534" i="1"/>
  <c r="L9534" i="1"/>
  <c r="V9533" i="1"/>
  <c r="U9533" i="1"/>
  <c r="T9533" i="1"/>
  <c r="S9533" i="1"/>
  <c r="R9533" i="1"/>
  <c r="Q9533" i="1"/>
  <c r="M9533" i="1"/>
  <c r="L9533" i="1"/>
  <c r="V9532" i="1"/>
  <c r="U9532" i="1"/>
  <c r="T9532" i="1"/>
  <c r="S9532" i="1"/>
  <c r="R9532" i="1"/>
  <c r="Q9532" i="1"/>
  <c r="M9532" i="1"/>
  <c r="L9532" i="1"/>
  <c r="V9531" i="1"/>
  <c r="U9531" i="1"/>
  <c r="T9531" i="1"/>
  <c r="S9531" i="1"/>
  <c r="R9531" i="1"/>
  <c r="Q9531" i="1"/>
  <c r="M9531" i="1"/>
  <c r="L9531" i="1"/>
  <c r="V9530" i="1"/>
  <c r="U9530" i="1"/>
  <c r="T9530" i="1"/>
  <c r="S9530" i="1"/>
  <c r="R9530" i="1"/>
  <c r="Q9530" i="1"/>
  <c r="M9530" i="1"/>
  <c r="L9530" i="1"/>
  <c r="V9529" i="1"/>
  <c r="U9529" i="1"/>
  <c r="T9529" i="1"/>
  <c r="S9529" i="1"/>
  <c r="R9529" i="1"/>
  <c r="Q9529" i="1"/>
  <c r="M9529" i="1"/>
  <c r="L9529" i="1"/>
  <c r="V9528" i="1"/>
  <c r="U9528" i="1"/>
  <c r="T9528" i="1"/>
  <c r="S9528" i="1"/>
  <c r="R9528" i="1"/>
  <c r="Q9528" i="1"/>
  <c r="M9528" i="1"/>
  <c r="L9528" i="1"/>
  <c r="V9527" i="1"/>
  <c r="U9527" i="1"/>
  <c r="T9527" i="1"/>
  <c r="S9527" i="1"/>
  <c r="R9527" i="1"/>
  <c r="Q9527" i="1"/>
  <c r="M9527" i="1"/>
  <c r="L9527" i="1"/>
  <c r="V9526" i="1"/>
  <c r="U9526" i="1"/>
  <c r="T9526" i="1"/>
  <c r="S9526" i="1"/>
  <c r="R9526" i="1"/>
  <c r="Q9526" i="1"/>
  <c r="M9526" i="1"/>
  <c r="L9526" i="1"/>
  <c r="V9525" i="1"/>
  <c r="U9525" i="1"/>
  <c r="T9525" i="1"/>
  <c r="S9525" i="1"/>
  <c r="R9525" i="1"/>
  <c r="Q9525" i="1"/>
  <c r="M9525" i="1"/>
  <c r="L9525" i="1"/>
  <c r="V9524" i="1"/>
  <c r="U9524" i="1"/>
  <c r="T9524" i="1"/>
  <c r="S9524" i="1"/>
  <c r="R9524" i="1"/>
  <c r="Q9524" i="1"/>
  <c r="M9524" i="1"/>
  <c r="L9524" i="1"/>
  <c r="V9523" i="1"/>
  <c r="U9523" i="1"/>
  <c r="T9523" i="1"/>
  <c r="S9523" i="1"/>
  <c r="R9523" i="1"/>
  <c r="Q9523" i="1"/>
  <c r="M9523" i="1"/>
  <c r="L9523" i="1"/>
  <c r="V9522" i="1"/>
  <c r="U9522" i="1"/>
  <c r="T9522" i="1"/>
  <c r="S9522" i="1"/>
  <c r="R9522" i="1"/>
  <c r="Q9522" i="1"/>
  <c r="M9522" i="1"/>
  <c r="L9522" i="1"/>
  <c r="V9521" i="1"/>
  <c r="U9521" i="1"/>
  <c r="T9521" i="1"/>
  <c r="S9521" i="1"/>
  <c r="R9521" i="1"/>
  <c r="Q9521" i="1"/>
  <c r="M9521" i="1"/>
  <c r="L9521" i="1"/>
  <c r="V9520" i="1"/>
  <c r="U9520" i="1"/>
  <c r="T9520" i="1"/>
  <c r="S9520" i="1"/>
  <c r="R9520" i="1"/>
  <c r="Q9520" i="1"/>
  <c r="M9520" i="1"/>
  <c r="L9520" i="1"/>
  <c r="V9519" i="1"/>
  <c r="U9519" i="1"/>
  <c r="T9519" i="1"/>
  <c r="S9519" i="1"/>
  <c r="R9519" i="1"/>
  <c r="Q9519" i="1"/>
  <c r="M9519" i="1"/>
  <c r="L9519" i="1"/>
  <c r="V9518" i="1"/>
  <c r="U9518" i="1"/>
  <c r="T9518" i="1"/>
  <c r="S9518" i="1"/>
  <c r="R9518" i="1"/>
  <c r="Q9518" i="1"/>
  <c r="M9518" i="1"/>
  <c r="L9518" i="1"/>
  <c r="V9517" i="1"/>
  <c r="U9517" i="1"/>
  <c r="T9517" i="1"/>
  <c r="S9517" i="1"/>
  <c r="R9517" i="1"/>
  <c r="Q9517" i="1"/>
  <c r="M9517" i="1"/>
  <c r="L9517" i="1"/>
  <c r="V9516" i="1"/>
  <c r="U9516" i="1"/>
  <c r="T9516" i="1"/>
  <c r="S9516" i="1"/>
  <c r="R9516" i="1"/>
  <c r="Q9516" i="1"/>
  <c r="M9516" i="1"/>
  <c r="L9516" i="1"/>
  <c r="V9515" i="1"/>
  <c r="U9515" i="1"/>
  <c r="T9515" i="1"/>
  <c r="S9515" i="1"/>
  <c r="R9515" i="1"/>
  <c r="Q9515" i="1"/>
  <c r="M9515" i="1"/>
  <c r="L9515" i="1"/>
  <c r="V9514" i="1"/>
  <c r="U9514" i="1"/>
  <c r="T9514" i="1"/>
  <c r="S9514" i="1"/>
  <c r="R9514" i="1"/>
  <c r="Q9514" i="1"/>
  <c r="M9514" i="1"/>
  <c r="L9514" i="1"/>
  <c r="V9513" i="1"/>
  <c r="U9513" i="1"/>
  <c r="T9513" i="1"/>
  <c r="S9513" i="1"/>
  <c r="R9513" i="1"/>
  <c r="Q9513" i="1"/>
  <c r="M9513" i="1"/>
  <c r="L9513" i="1"/>
  <c r="V9512" i="1"/>
  <c r="U9512" i="1"/>
  <c r="T9512" i="1"/>
  <c r="S9512" i="1"/>
  <c r="R9512" i="1"/>
  <c r="Q9512" i="1"/>
  <c r="M9512" i="1"/>
  <c r="L9512" i="1"/>
  <c r="V9511" i="1"/>
  <c r="U9511" i="1"/>
  <c r="T9511" i="1"/>
  <c r="S9511" i="1"/>
  <c r="R9511" i="1"/>
  <c r="Q9511" i="1"/>
  <c r="M9511" i="1"/>
  <c r="L9511" i="1"/>
  <c r="V9510" i="1"/>
  <c r="U9510" i="1"/>
  <c r="T9510" i="1"/>
  <c r="S9510" i="1"/>
  <c r="R9510" i="1"/>
  <c r="Q9510" i="1"/>
  <c r="M9510" i="1"/>
  <c r="L9510" i="1"/>
  <c r="V9509" i="1"/>
  <c r="U9509" i="1"/>
  <c r="T9509" i="1"/>
  <c r="S9509" i="1"/>
  <c r="R9509" i="1"/>
  <c r="Q9509" i="1"/>
  <c r="M9509" i="1"/>
  <c r="L9509" i="1"/>
  <c r="V9508" i="1"/>
  <c r="U9508" i="1"/>
  <c r="T9508" i="1"/>
  <c r="S9508" i="1"/>
  <c r="R9508" i="1"/>
  <c r="Q9508" i="1"/>
  <c r="M9508" i="1"/>
  <c r="L9508" i="1"/>
  <c r="V9507" i="1"/>
  <c r="U9507" i="1"/>
  <c r="T9507" i="1"/>
  <c r="S9507" i="1"/>
  <c r="R9507" i="1"/>
  <c r="Q9507" i="1"/>
  <c r="M9507" i="1"/>
  <c r="L9507" i="1"/>
  <c r="V9506" i="1"/>
  <c r="U9506" i="1"/>
  <c r="T9506" i="1"/>
  <c r="S9506" i="1"/>
  <c r="R9506" i="1"/>
  <c r="Q9506" i="1"/>
  <c r="M9506" i="1"/>
  <c r="L9506" i="1"/>
  <c r="V9505" i="1"/>
  <c r="U9505" i="1"/>
  <c r="T9505" i="1"/>
  <c r="S9505" i="1"/>
  <c r="R9505" i="1"/>
  <c r="Q9505" i="1"/>
  <c r="M9505" i="1"/>
  <c r="L9505" i="1"/>
  <c r="V9504" i="1"/>
  <c r="U9504" i="1"/>
  <c r="T9504" i="1"/>
  <c r="S9504" i="1"/>
  <c r="R9504" i="1"/>
  <c r="Q9504" i="1"/>
  <c r="M9504" i="1"/>
  <c r="L9504" i="1"/>
  <c r="V9503" i="1"/>
  <c r="U9503" i="1"/>
  <c r="T9503" i="1"/>
  <c r="S9503" i="1"/>
  <c r="R9503" i="1"/>
  <c r="Q9503" i="1"/>
  <c r="M9503" i="1"/>
  <c r="L9503" i="1"/>
  <c r="V9502" i="1"/>
  <c r="U9502" i="1"/>
  <c r="T9502" i="1"/>
  <c r="S9502" i="1"/>
  <c r="R9502" i="1"/>
  <c r="Q9502" i="1"/>
  <c r="M9502" i="1"/>
  <c r="L9502" i="1"/>
  <c r="V9501" i="1"/>
  <c r="U9501" i="1"/>
  <c r="T9501" i="1"/>
  <c r="S9501" i="1"/>
  <c r="R9501" i="1"/>
  <c r="Q9501" i="1"/>
  <c r="M9501" i="1"/>
  <c r="L9501" i="1"/>
  <c r="V9500" i="1"/>
  <c r="U9500" i="1"/>
  <c r="T9500" i="1"/>
  <c r="S9500" i="1"/>
  <c r="R9500" i="1"/>
  <c r="Q9500" i="1"/>
  <c r="M9500" i="1"/>
  <c r="L9500" i="1"/>
  <c r="V9499" i="1"/>
  <c r="U9499" i="1"/>
  <c r="T9499" i="1"/>
  <c r="S9499" i="1"/>
  <c r="R9499" i="1"/>
  <c r="Q9499" i="1"/>
  <c r="M9499" i="1"/>
  <c r="L9499" i="1"/>
  <c r="V9498" i="1"/>
  <c r="U9498" i="1"/>
  <c r="T9498" i="1"/>
  <c r="S9498" i="1"/>
  <c r="R9498" i="1"/>
  <c r="Q9498" i="1"/>
  <c r="M9498" i="1"/>
  <c r="L9498" i="1"/>
  <c r="V9497" i="1"/>
  <c r="U9497" i="1"/>
  <c r="T9497" i="1"/>
  <c r="S9497" i="1"/>
  <c r="R9497" i="1"/>
  <c r="Q9497" i="1"/>
  <c r="M9497" i="1"/>
  <c r="L9497" i="1"/>
  <c r="V9496" i="1"/>
  <c r="U9496" i="1"/>
  <c r="T9496" i="1"/>
  <c r="S9496" i="1"/>
  <c r="R9496" i="1"/>
  <c r="Q9496" i="1"/>
  <c r="M9496" i="1"/>
  <c r="L9496" i="1"/>
  <c r="V9495" i="1"/>
  <c r="U9495" i="1"/>
  <c r="T9495" i="1"/>
  <c r="S9495" i="1"/>
  <c r="R9495" i="1"/>
  <c r="Q9495" i="1"/>
  <c r="M9495" i="1"/>
  <c r="L9495" i="1"/>
  <c r="V9494" i="1"/>
  <c r="U9494" i="1"/>
  <c r="T9494" i="1"/>
  <c r="S9494" i="1"/>
  <c r="R9494" i="1"/>
  <c r="Q9494" i="1"/>
  <c r="M9494" i="1"/>
  <c r="L9494" i="1"/>
  <c r="V9493" i="1"/>
  <c r="U9493" i="1"/>
  <c r="T9493" i="1"/>
  <c r="S9493" i="1"/>
  <c r="R9493" i="1"/>
  <c r="Q9493" i="1"/>
  <c r="M9493" i="1"/>
  <c r="L9493" i="1"/>
  <c r="V9492" i="1"/>
  <c r="U9492" i="1"/>
  <c r="T9492" i="1"/>
  <c r="S9492" i="1"/>
  <c r="R9492" i="1"/>
  <c r="Q9492" i="1"/>
  <c r="M9492" i="1"/>
  <c r="L9492" i="1"/>
  <c r="V9491" i="1"/>
  <c r="U9491" i="1"/>
  <c r="T9491" i="1"/>
  <c r="S9491" i="1"/>
  <c r="R9491" i="1"/>
  <c r="Q9491" i="1"/>
  <c r="M9491" i="1"/>
  <c r="L9491" i="1"/>
  <c r="V9490" i="1"/>
  <c r="U9490" i="1"/>
  <c r="T9490" i="1"/>
  <c r="S9490" i="1"/>
  <c r="R9490" i="1"/>
  <c r="Q9490" i="1"/>
  <c r="M9490" i="1"/>
  <c r="L9490" i="1"/>
  <c r="V9489" i="1"/>
  <c r="U9489" i="1"/>
  <c r="T9489" i="1"/>
  <c r="S9489" i="1"/>
  <c r="R9489" i="1"/>
  <c r="Q9489" i="1"/>
  <c r="M9489" i="1"/>
  <c r="L9489" i="1"/>
  <c r="V9488" i="1"/>
  <c r="U9488" i="1"/>
  <c r="T9488" i="1"/>
  <c r="S9488" i="1"/>
  <c r="R9488" i="1"/>
  <c r="Q9488" i="1"/>
  <c r="M9488" i="1"/>
  <c r="L9488" i="1"/>
  <c r="V9487" i="1"/>
  <c r="U9487" i="1"/>
  <c r="T9487" i="1"/>
  <c r="S9487" i="1"/>
  <c r="R9487" i="1"/>
  <c r="Q9487" i="1"/>
  <c r="M9487" i="1"/>
  <c r="L9487" i="1"/>
  <c r="V9486" i="1"/>
  <c r="U9486" i="1"/>
  <c r="T9486" i="1"/>
  <c r="S9486" i="1"/>
  <c r="R9486" i="1"/>
  <c r="Q9486" i="1"/>
  <c r="M9486" i="1"/>
  <c r="L9486" i="1"/>
  <c r="V9485" i="1"/>
  <c r="U9485" i="1"/>
  <c r="T9485" i="1"/>
  <c r="S9485" i="1"/>
  <c r="R9485" i="1"/>
  <c r="Q9485" i="1"/>
  <c r="M9485" i="1"/>
  <c r="L9485" i="1"/>
  <c r="V9484" i="1"/>
  <c r="U9484" i="1"/>
  <c r="T9484" i="1"/>
  <c r="S9484" i="1"/>
  <c r="R9484" i="1"/>
  <c r="Q9484" i="1"/>
  <c r="M9484" i="1"/>
  <c r="L9484" i="1"/>
  <c r="V9483" i="1"/>
  <c r="U9483" i="1"/>
  <c r="T9483" i="1"/>
  <c r="S9483" i="1"/>
  <c r="R9483" i="1"/>
  <c r="Q9483" i="1"/>
  <c r="M9483" i="1"/>
  <c r="L9483" i="1"/>
  <c r="V9482" i="1"/>
  <c r="U9482" i="1"/>
  <c r="T9482" i="1"/>
  <c r="S9482" i="1"/>
  <c r="R9482" i="1"/>
  <c r="Q9482" i="1"/>
  <c r="M9482" i="1"/>
  <c r="L9482" i="1"/>
  <c r="V9481" i="1"/>
  <c r="U9481" i="1"/>
  <c r="T9481" i="1"/>
  <c r="S9481" i="1"/>
  <c r="R9481" i="1"/>
  <c r="Q9481" i="1"/>
  <c r="M9481" i="1"/>
  <c r="L9481" i="1"/>
  <c r="V9480" i="1"/>
  <c r="U9480" i="1"/>
  <c r="T9480" i="1"/>
  <c r="S9480" i="1"/>
  <c r="R9480" i="1"/>
  <c r="Q9480" i="1"/>
  <c r="M9480" i="1"/>
  <c r="L9480" i="1"/>
  <c r="V9479" i="1"/>
  <c r="U9479" i="1"/>
  <c r="T9479" i="1"/>
  <c r="S9479" i="1"/>
  <c r="R9479" i="1"/>
  <c r="Q9479" i="1"/>
  <c r="M9479" i="1"/>
  <c r="L9479" i="1"/>
  <c r="V9478" i="1"/>
  <c r="U9478" i="1"/>
  <c r="T9478" i="1"/>
  <c r="S9478" i="1"/>
  <c r="R9478" i="1"/>
  <c r="Q9478" i="1"/>
  <c r="M9478" i="1"/>
  <c r="L9478" i="1"/>
  <c r="V9477" i="1"/>
  <c r="U9477" i="1"/>
  <c r="T9477" i="1"/>
  <c r="S9477" i="1"/>
  <c r="R9477" i="1"/>
  <c r="Q9477" i="1"/>
  <c r="M9477" i="1"/>
  <c r="L9477" i="1"/>
  <c r="V9476" i="1"/>
  <c r="U9476" i="1"/>
  <c r="T9476" i="1"/>
  <c r="S9476" i="1"/>
  <c r="R9476" i="1"/>
  <c r="Q9476" i="1"/>
  <c r="M9476" i="1"/>
  <c r="L9476" i="1"/>
  <c r="V9475" i="1"/>
  <c r="U9475" i="1"/>
  <c r="T9475" i="1"/>
  <c r="S9475" i="1"/>
  <c r="R9475" i="1"/>
  <c r="Q9475" i="1"/>
  <c r="M9475" i="1"/>
  <c r="L9475" i="1"/>
  <c r="V9474" i="1"/>
  <c r="U9474" i="1"/>
  <c r="T9474" i="1"/>
  <c r="S9474" i="1"/>
  <c r="R9474" i="1"/>
  <c r="Q9474" i="1"/>
  <c r="M9474" i="1"/>
  <c r="L9474" i="1"/>
  <c r="V9473" i="1"/>
  <c r="U9473" i="1"/>
  <c r="T9473" i="1"/>
  <c r="S9473" i="1"/>
  <c r="R9473" i="1"/>
  <c r="Q9473" i="1"/>
  <c r="M9473" i="1"/>
  <c r="L9473" i="1"/>
  <c r="V9472" i="1"/>
  <c r="U9472" i="1"/>
  <c r="T9472" i="1"/>
  <c r="S9472" i="1"/>
  <c r="R9472" i="1"/>
  <c r="Q9472" i="1"/>
  <c r="M9472" i="1"/>
  <c r="L9472" i="1"/>
  <c r="V9471" i="1"/>
  <c r="U9471" i="1"/>
  <c r="T9471" i="1"/>
  <c r="S9471" i="1"/>
  <c r="R9471" i="1"/>
  <c r="Q9471" i="1"/>
  <c r="M9471" i="1"/>
  <c r="L9471" i="1"/>
  <c r="V9470" i="1"/>
  <c r="U9470" i="1"/>
  <c r="T9470" i="1"/>
  <c r="S9470" i="1"/>
  <c r="R9470" i="1"/>
  <c r="Q9470" i="1"/>
  <c r="M9470" i="1"/>
  <c r="L9470" i="1"/>
  <c r="V9469" i="1"/>
  <c r="U9469" i="1"/>
  <c r="T9469" i="1"/>
  <c r="S9469" i="1"/>
  <c r="R9469" i="1"/>
  <c r="Q9469" i="1"/>
  <c r="M9469" i="1"/>
  <c r="L9469" i="1"/>
  <c r="V9468" i="1"/>
  <c r="U9468" i="1"/>
  <c r="T9468" i="1"/>
  <c r="S9468" i="1"/>
  <c r="R9468" i="1"/>
  <c r="Q9468" i="1"/>
  <c r="M9468" i="1"/>
  <c r="L9468" i="1"/>
  <c r="V9467" i="1"/>
  <c r="U9467" i="1"/>
  <c r="T9467" i="1"/>
  <c r="S9467" i="1"/>
  <c r="R9467" i="1"/>
  <c r="Q9467" i="1"/>
  <c r="M9467" i="1"/>
  <c r="L9467" i="1"/>
  <c r="V9466" i="1"/>
  <c r="U9466" i="1"/>
  <c r="T9466" i="1"/>
  <c r="S9466" i="1"/>
  <c r="R9466" i="1"/>
  <c r="Q9466" i="1"/>
  <c r="M9466" i="1"/>
  <c r="L9466" i="1"/>
  <c r="V9465" i="1"/>
  <c r="U9465" i="1"/>
  <c r="T9465" i="1"/>
  <c r="S9465" i="1"/>
  <c r="R9465" i="1"/>
  <c r="Q9465" i="1"/>
  <c r="M9465" i="1"/>
  <c r="L9465" i="1"/>
  <c r="V9464" i="1"/>
  <c r="U9464" i="1"/>
  <c r="T9464" i="1"/>
  <c r="S9464" i="1"/>
  <c r="R9464" i="1"/>
  <c r="Q9464" i="1"/>
  <c r="M9464" i="1"/>
  <c r="L9464" i="1"/>
  <c r="V9463" i="1"/>
  <c r="U9463" i="1"/>
  <c r="T9463" i="1"/>
  <c r="S9463" i="1"/>
  <c r="R9463" i="1"/>
  <c r="Q9463" i="1"/>
  <c r="M9463" i="1"/>
  <c r="L9463" i="1"/>
  <c r="V9462" i="1"/>
  <c r="U9462" i="1"/>
  <c r="T9462" i="1"/>
  <c r="S9462" i="1"/>
  <c r="R9462" i="1"/>
  <c r="Q9462" i="1"/>
  <c r="M9462" i="1"/>
  <c r="L9462" i="1"/>
  <c r="V9461" i="1"/>
  <c r="U9461" i="1"/>
  <c r="T9461" i="1"/>
  <c r="S9461" i="1"/>
  <c r="R9461" i="1"/>
  <c r="Q9461" i="1"/>
  <c r="M9461" i="1"/>
  <c r="L9461" i="1"/>
  <c r="V9460" i="1"/>
  <c r="U9460" i="1"/>
  <c r="T9460" i="1"/>
  <c r="S9460" i="1"/>
  <c r="R9460" i="1"/>
  <c r="Q9460" i="1"/>
  <c r="M9460" i="1"/>
  <c r="L9460" i="1"/>
  <c r="V9459" i="1"/>
  <c r="U9459" i="1"/>
  <c r="T9459" i="1"/>
  <c r="S9459" i="1"/>
  <c r="R9459" i="1"/>
  <c r="Q9459" i="1"/>
  <c r="M9459" i="1"/>
  <c r="L9459" i="1"/>
  <c r="V9458" i="1"/>
  <c r="U9458" i="1"/>
  <c r="T9458" i="1"/>
  <c r="S9458" i="1"/>
  <c r="R9458" i="1"/>
  <c r="Q9458" i="1"/>
  <c r="M9458" i="1"/>
  <c r="L9458" i="1"/>
  <c r="V9457" i="1"/>
  <c r="U9457" i="1"/>
  <c r="T9457" i="1"/>
  <c r="S9457" i="1"/>
  <c r="R9457" i="1"/>
  <c r="Q9457" i="1"/>
  <c r="M9457" i="1"/>
  <c r="L9457" i="1"/>
  <c r="V9456" i="1"/>
  <c r="U9456" i="1"/>
  <c r="T9456" i="1"/>
  <c r="S9456" i="1"/>
  <c r="R9456" i="1"/>
  <c r="Q9456" i="1"/>
  <c r="M9456" i="1"/>
  <c r="L9456" i="1"/>
  <c r="V9455" i="1"/>
  <c r="U9455" i="1"/>
  <c r="T9455" i="1"/>
  <c r="S9455" i="1"/>
  <c r="R9455" i="1"/>
  <c r="Q9455" i="1"/>
  <c r="M9455" i="1"/>
  <c r="L9455" i="1"/>
  <c r="V9454" i="1"/>
  <c r="U9454" i="1"/>
  <c r="T9454" i="1"/>
  <c r="S9454" i="1"/>
  <c r="R9454" i="1"/>
  <c r="Q9454" i="1"/>
  <c r="M9454" i="1"/>
  <c r="L9454" i="1"/>
  <c r="V9453" i="1"/>
  <c r="U9453" i="1"/>
  <c r="T9453" i="1"/>
  <c r="S9453" i="1"/>
  <c r="R9453" i="1"/>
  <c r="Q9453" i="1"/>
  <c r="M9453" i="1"/>
  <c r="L9453" i="1"/>
  <c r="V9452" i="1"/>
  <c r="U9452" i="1"/>
  <c r="T9452" i="1"/>
  <c r="S9452" i="1"/>
  <c r="R9452" i="1"/>
  <c r="Q9452" i="1"/>
  <c r="M9452" i="1"/>
  <c r="L9452" i="1"/>
  <c r="V9451" i="1"/>
  <c r="U9451" i="1"/>
  <c r="T9451" i="1"/>
  <c r="S9451" i="1"/>
  <c r="R9451" i="1"/>
  <c r="Q9451" i="1"/>
  <c r="M9451" i="1"/>
  <c r="L9451" i="1"/>
  <c r="V9450" i="1"/>
  <c r="U9450" i="1"/>
  <c r="T9450" i="1"/>
  <c r="S9450" i="1"/>
  <c r="R9450" i="1"/>
  <c r="Q9450" i="1"/>
  <c r="M9450" i="1"/>
  <c r="L9450" i="1"/>
  <c r="V9449" i="1"/>
  <c r="U9449" i="1"/>
  <c r="T9449" i="1"/>
  <c r="S9449" i="1"/>
  <c r="R9449" i="1"/>
  <c r="Q9449" i="1"/>
  <c r="M9449" i="1"/>
  <c r="L9449" i="1"/>
  <c r="V9448" i="1"/>
  <c r="U9448" i="1"/>
  <c r="T9448" i="1"/>
  <c r="S9448" i="1"/>
  <c r="R9448" i="1"/>
  <c r="Q9448" i="1"/>
  <c r="M9448" i="1"/>
  <c r="L9448" i="1"/>
  <c r="V9447" i="1"/>
  <c r="U9447" i="1"/>
  <c r="T9447" i="1"/>
  <c r="S9447" i="1"/>
  <c r="R9447" i="1"/>
  <c r="Q9447" i="1"/>
  <c r="M9447" i="1"/>
  <c r="L9447" i="1"/>
  <c r="V9446" i="1"/>
  <c r="U9446" i="1"/>
  <c r="T9446" i="1"/>
  <c r="S9446" i="1"/>
  <c r="R9446" i="1"/>
  <c r="Q9446" i="1"/>
  <c r="M9446" i="1"/>
  <c r="L9446" i="1"/>
  <c r="V9445" i="1"/>
  <c r="U9445" i="1"/>
  <c r="T9445" i="1"/>
  <c r="S9445" i="1"/>
  <c r="R9445" i="1"/>
  <c r="Q9445" i="1"/>
  <c r="M9445" i="1"/>
  <c r="L9445" i="1"/>
  <c r="V9444" i="1"/>
  <c r="U9444" i="1"/>
  <c r="T9444" i="1"/>
  <c r="S9444" i="1"/>
  <c r="R9444" i="1"/>
  <c r="Q9444" i="1"/>
  <c r="M9444" i="1"/>
  <c r="L9444" i="1"/>
  <c r="V9443" i="1"/>
  <c r="U9443" i="1"/>
  <c r="T9443" i="1"/>
  <c r="S9443" i="1"/>
  <c r="R9443" i="1"/>
  <c r="Q9443" i="1"/>
  <c r="M9443" i="1"/>
  <c r="L9443" i="1"/>
  <c r="V9442" i="1"/>
  <c r="U9442" i="1"/>
  <c r="T9442" i="1"/>
  <c r="S9442" i="1"/>
  <c r="R9442" i="1"/>
  <c r="Q9442" i="1"/>
  <c r="M9442" i="1"/>
  <c r="L9442" i="1"/>
  <c r="V9441" i="1"/>
  <c r="U9441" i="1"/>
  <c r="T9441" i="1"/>
  <c r="S9441" i="1"/>
  <c r="R9441" i="1"/>
  <c r="Q9441" i="1"/>
  <c r="M9441" i="1"/>
  <c r="L9441" i="1"/>
  <c r="V9440" i="1"/>
  <c r="U9440" i="1"/>
  <c r="T9440" i="1"/>
  <c r="S9440" i="1"/>
  <c r="R9440" i="1"/>
  <c r="Q9440" i="1"/>
  <c r="M9440" i="1"/>
  <c r="L9440" i="1"/>
  <c r="V9439" i="1"/>
  <c r="U9439" i="1"/>
  <c r="T9439" i="1"/>
  <c r="S9439" i="1"/>
  <c r="R9439" i="1"/>
  <c r="Q9439" i="1"/>
  <c r="M9439" i="1"/>
  <c r="L9439" i="1"/>
  <c r="V9438" i="1"/>
  <c r="U9438" i="1"/>
  <c r="T9438" i="1"/>
  <c r="S9438" i="1"/>
  <c r="R9438" i="1"/>
  <c r="Q9438" i="1"/>
  <c r="M9438" i="1"/>
  <c r="L9438" i="1"/>
  <c r="V9437" i="1"/>
  <c r="U9437" i="1"/>
  <c r="T9437" i="1"/>
  <c r="S9437" i="1"/>
  <c r="R9437" i="1"/>
  <c r="Q9437" i="1"/>
  <c r="M9437" i="1"/>
  <c r="L9437" i="1"/>
  <c r="V9436" i="1"/>
  <c r="U9436" i="1"/>
  <c r="T9436" i="1"/>
  <c r="S9436" i="1"/>
  <c r="R9436" i="1"/>
  <c r="Q9436" i="1"/>
  <c r="M9436" i="1"/>
  <c r="L9436" i="1"/>
  <c r="V9435" i="1"/>
  <c r="U9435" i="1"/>
  <c r="T9435" i="1"/>
  <c r="S9435" i="1"/>
  <c r="R9435" i="1"/>
  <c r="Q9435" i="1"/>
  <c r="M9435" i="1"/>
  <c r="L9435" i="1"/>
  <c r="V9434" i="1"/>
  <c r="U9434" i="1"/>
  <c r="T9434" i="1"/>
  <c r="S9434" i="1"/>
  <c r="R9434" i="1"/>
  <c r="Q9434" i="1"/>
  <c r="M9434" i="1"/>
  <c r="L9434" i="1"/>
  <c r="V9433" i="1"/>
  <c r="U9433" i="1"/>
  <c r="T9433" i="1"/>
  <c r="S9433" i="1"/>
  <c r="R9433" i="1"/>
  <c r="Q9433" i="1"/>
  <c r="M9433" i="1"/>
  <c r="L9433" i="1"/>
  <c r="V9432" i="1"/>
  <c r="U9432" i="1"/>
  <c r="T9432" i="1"/>
  <c r="S9432" i="1"/>
  <c r="R9432" i="1"/>
  <c r="Q9432" i="1"/>
  <c r="M9432" i="1"/>
  <c r="L9432" i="1"/>
  <c r="V9431" i="1"/>
  <c r="U9431" i="1"/>
  <c r="T9431" i="1"/>
  <c r="S9431" i="1"/>
  <c r="R9431" i="1"/>
  <c r="Q9431" i="1"/>
  <c r="M9431" i="1"/>
  <c r="L9431" i="1"/>
  <c r="V9430" i="1"/>
  <c r="U9430" i="1"/>
  <c r="T9430" i="1"/>
  <c r="S9430" i="1"/>
  <c r="R9430" i="1"/>
  <c r="Q9430" i="1"/>
  <c r="M9430" i="1"/>
  <c r="L9430" i="1"/>
  <c r="V9429" i="1"/>
  <c r="U9429" i="1"/>
  <c r="T9429" i="1"/>
  <c r="S9429" i="1"/>
  <c r="R9429" i="1"/>
  <c r="Q9429" i="1"/>
  <c r="M9429" i="1"/>
  <c r="L9429" i="1"/>
  <c r="V9428" i="1"/>
  <c r="U9428" i="1"/>
  <c r="T9428" i="1"/>
  <c r="S9428" i="1"/>
  <c r="R9428" i="1"/>
  <c r="Q9428" i="1"/>
  <c r="M9428" i="1"/>
  <c r="L9428" i="1"/>
  <c r="V9427" i="1"/>
  <c r="U9427" i="1"/>
  <c r="T9427" i="1"/>
  <c r="S9427" i="1"/>
  <c r="R9427" i="1"/>
  <c r="Q9427" i="1"/>
  <c r="M9427" i="1"/>
  <c r="L9427" i="1"/>
  <c r="V9426" i="1"/>
  <c r="U9426" i="1"/>
  <c r="T9426" i="1"/>
  <c r="S9426" i="1"/>
  <c r="R9426" i="1"/>
  <c r="Q9426" i="1"/>
  <c r="M9426" i="1"/>
  <c r="L9426" i="1"/>
  <c r="V9425" i="1"/>
  <c r="U9425" i="1"/>
  <c r="T9425" i="1"/>
  <c r="S9425" i="1"/>
  <c r="R9425" i="1"/>
  <c r="Q9425" i="1"/>
  <c r="M9425" i="1"/>
  <c r="L9425" i="1"/>
  <c r="V9424" i="1"/>
  <c r="U9424" i="1"/>
  <c r="T9424" i="1"/>
  <c r="S9424" i="1"/>
  <c r="R9424" i="1"/>
  <c r="Q9424" i="1"/>
  <c r="M9424" i="1"/>
  <c r="L9424" i="1"/>
  <c r="V9423" i="1"/>
  <c r="U9423" i="1"/>
  <c r="T9423" i="1"/>
  <c r="S9423" i="1"/>
  <c r="R9423" i="1"/>
  <c r="Q9423" i="1"/>
  <c r="M9423" i="1"/>
  <c r="L9423" i="1"/>
  <c r="V9422" i="1"/>
  <c r="U9422" i="1"/>
  <c r="T9422" i="1"/>
  <c r="S9422" i="1"/>
  <c r="R9422" i="1"/>
  <c r="Q9422" i="1"/>
  <c r="M9422" i="1"/>
  <c r="L9422" i="1"/>
  <c r="V9421" i="1"/>
  <c r="U9421" i="1"/>
  <c r="T9421" i="1"/>
  <c r="S9421" i="1"/>
  <c r="R9421" i="1"/>
  <c r="Q9421" i="1"/>
  <c r="M9421" i="1"/>
  <c r="L9421" i="1"/>
  <c r="V9420" i="1"/>
  <c r="U9420" i="1"/>
  <c r="T9420" i="1"/>
  <c r="S9420" i="1"/>
  <c r="R9420" i="1"/>
  <c r="Q9420" i="1"/>
  <c r="M9420" i="1"/>
  <c r="L9420" i="1"/>
  <c r="V9419" i="1"/>
  <c r="U9419" i="1"/>
  <c r="T9419" i="1"/>
  <c r="S9419" i="1"/>
  <c r="R9419" i="1"/>
  <c r="Q9419" i="1"/>
  <c r="M9419" i="1"/>
  <c r="L9419" i="1"/>
  <c r="V9418" i="1"/>
  <c r="U9418" i="1"/>
  <c r="T9418" i="1"/>
  <c r="S9418" i="1"/>
  <c r="R9418" i="1"/>
  <c r="Q9418" i="1"/>
  <c r="M9418" i="1"/>
  <c r="L9418" i="1"/>
  <c r="V9417" i="1"/>
  <c r="U9417" i="1"/>
  <c r="T9417" i="1"/>
  <c r="S9417" i="1"/>
  <c r="R9417" i="1"/>
  <c r="Q9417" i="1"/>
  <c r="M9417" i="1"/>
  <c r="L9417" i="1"/>
  <c r="V9416" i="1"/>
  <c r="U9416" i="1"/>
  <c r="T9416" i="1"/>
  <c r="S9416" i="1"/>
  <c r="R9416" i="1"/>
  <c r="Q9416" i="1"/>
  <c r="M9416" i="1"/>
  <c r="L9416" i="1"/>
  <c r="V9415" i="1"/>
  <c r="U9415" i="1"/>
  <c r="T9415" i="1"/>
  <c r="S9415" i="1"/>
  <c r="R9415" i="1"/>
  <c r="Q9415" i="1"/>
  <c r="M9415" i="1"/>
  <c r="L9415" i="1"/>
  <c r="V9414" i="1"/>
  <c r="U9414" i="1"/>
  <c r="T9414" i="1"/>
  <c r="S9414" i="1"/>
  <c r="R9414" i="1"/>
  <c r="Q9414" i="1"/>
  <c r="M9414" i="1"/>
  <c r="L9414" i="1"/>
  <c r="V9413" i="1"/>
  <c r="U9413" i="1"/>
  <c r="T9413" i="1"/>
  <c r="S9413" i="1"/>
  <c r="R9413" i="1"/>
  <c r="Q9413" i="1"/>
  <c r="M9413" i="1"/>
  <c r="L9413" i="1"/>
  <c r="V9412" i="1"/>
  <c r="U9412" i="1"/>
  <c r="T9412" i="1"/>
  <c r="S9412" i="1"/>
  <c r="R9412" i="1"/>
  <c r="Q9412" i="1"/>
  <c r="M9412" i="1"/>
  <c r="L9412" i="1"/>
  <c r="V9411" i="1"/>
  <c r="U9411" i="1"/>
  <c r="T9411" i="1"/>
  <c r="S9411" i="1"/>
  <c r="R9411" i="1"/>
  <c r="Q9411" i="1"/>
  <c r="M9411" i="1"/>
  <c r="L9411" i="1"/>
  <c r="V9410" i="1"/>
  <c r="U9410" i="1"/>
  <c r="T9410" i="1"/>
  <c r="S9410" i="1"/>
  <c r="R9410" i="1"/>
  <c r="Q9410" i="1"/>
  <c r="M9410" i="1"/>
  <c r="L9410" i="1"/>
  <c r="V9409" i="1"/>
  <c r="U9409" i="1"/>
  <c r="T9409" i="1"/>
  <c r="S9409" i="1"/>
  <c r="R9409" i="1"/>
  <c r="Q9409" i="1"/>
  <c r="M9409" i="1"/>
  <c r="L9409" i="1"/>
  <c r="V9408" i="1"/>
  <c r="U9408" i="1"/>
  <c r="T9408" i="1"/>
  <c r="S9408" i="1"/>
  <c r="R9408" i="1"/>
  <c r="Q9408" i="1"/>
  <c r="M9408" i="1"/>
  <c r="L9408" i="1"/>
  <c r="V9407" i="1"/>
  <c r="U9407" i="1"/>
  <c r="T9407" i="1"/>
  <c r="S9407" i="1"/>
  <c r="R9407" i="1"/>
  <c r="Q9407" i="1"/>
  <c r="M9407" i="1"/>
  <c r="L9407" i="1"/>
  <c r="V9406" i="1"/>
  <c r="U9406" i="1"/>
  <c r="T9406" i="1"/>
  <c r="S9406" i="1"/>
  <c r="R9406" i="1"/>
  <c r="Q9406" i="1"/>
  <c r="M9406" i="1"/>
  <c r="L9406" i="1"/>
  <c r="V9405" i="1"/>
  <c r="U9405" i="1"/>
  <c r="T9405" i="1"/>
  <c r="S9405" i="1"/>
  <c r="R9405" i="1"/>
  <c r="Q9405" i="1"/>
  <c r="M9405" i="1"/>
  <c r="L9405" i="1"/>
  <c r="V9404" i="1"/>
  <c r="U9404" i="1"/>
  <c r="T9404" i="1"/>
  <c r="S9404" i="1"/>
  <c r="R9404" i="1"/>
  <c r="Q9404" i="1"/>
  <c r="M9404" i="1"/>
  <c r="L9404" i="1"/>
  <c r="V9403" i="1"/>
  <c r="U9403" i="1"/>
  <c r="T9403" i="1"/>
  <c r="S9403" i="1"/>
  <c r="R9403" i="1"/>
  <c r="Q9403" i="1"/>
  <c r="M9403" i="1"/>
  <c r="L9403" i="1"/>
  <c r="V9402" i="1"/>
  <c r="U9402" i="1"/>
  <c r="T9402" i="1"/>
  <c r="S9402" i="1"/>
  <c r="R9402" i="1"/>
  <c r="Q9402" i="1"/>
  <c r="M9402" i="1"/>
  <c r="L9402" i="1"/>
  <c r="V9401" i="1"/>
  <c r="U9401" i="1"/>
  <c r="T9401" i="1"/>
  <c r="S9401" i="1"/>
  <c r="R9401" i="1"/>
  <c r="Q9401" i="1"/>
  <c r="M9401" i="1"/>
  <c r="L9401" i="1"/>
  <c r="V9400" i="1"/>
  <c r="U9400" i="1"/>
  <c r="T9400" i="1"/>
  <c r="S9400" i="1"/>
  <c r="R9400" i="1"/>
  <c r="Q9400" i="1"/>
  <c r="M9400" i="1"/>
  <c r="L9400" i="1"/>
  <c r="V9399" i="1"/>
  <c r="U9399" i="1"/>
  <c r="T9399" i="1"/>
  <c r="S9399" i="1"/>
  <c r="R9399" i="1"/>
  <c r="Q9399" i="1"/>
  <c r="M9399" i="1"/>
  <c r="L9399" i="1"/>
  <c r="V9398" i="1"/>
  <c r="U9398" i="1"/>
  <c r="T9398" i="1"/>
  <c r="S9398" i="1"/>
  <c r="R9398" i="1"/>
  <c r="Q9398" i="1"/>
  <c r="M9398" i="1"/>
  <c r="L9398" i="1"/>
  <c r="V9397" i="1"/>
  <c r="U9397" i="1"/>
  <c r="T9397" i="1"/>
  <c r="S9397" i="1"/>
  <c r="R9397" i="1"/>
  <c r="Q9397" i="1"/>
  <c r="M9397" i="1"/>
  <c r="L9397" i="1"/>
  <c r="V9396" i="1"/>
  <c r="U9396" i="1"/>
  <c r="T9396" i="1"/>
  <c r="S9396" i="1"/>
  <c r="R9396" i="1"/>
  <c r="Q9396" i="1"/>
  <c r="M9396" i="1"/>
  <c r="L9396" i="1"/>
  <c r="V9395" i="1"/>
  <c r="U9395" i="1"/>
  <c r="T9395" i="1"/>
  <c r="S9395" i="1"/>
  <c r="R9395" i="1"/>
  <c r="Q9395" i="1"/>
  <c r="M9395" i="1"/>
  <c r="L9395" i="1"/>
  <c r="V9394" i="1"/>
  <c r="U9394" i="1"/>
  <c r="T9394" i="1"/>
  <c r="S9394" i="1"/>
  <c r="R9394" i="1"/>
  <c r="Q9394" i="1"/>
  <c r="M9394" i="1"/>
  <c r="L9394" i="1"/>
  <c r="V9393" i="1"/>
  <c r="U9393" i="1"/>
  <c r="T9393" i="1"/>
  <c r="S9393" i="1"/>
  <c r="R9393" i="1"/>
  <c r="Q9393" i="1"/>
  <c r="M9393" i="1"/>
  <c r="L9393" i="1"/>
  <c r="V9392" i="1"/>
  <c r="U9392" i="1"/>
  <c r="T9392" i="1"/>
  <c r="S9392" i="1"/>
  <c r="R9392" i="1"/>
  <c r="Q9392" i="1"/>
  <c r="M9392" i="1"/>
  <c r="L9392" i="1"/>
  <c r="V9391" i="1"/>
  <c r="U9391" i="1"/>
  <c r="T9391" i="1"/>
  <c r="S9391" i="1"/>
  <c r="R9391" i="1"/>
  <c r="Q9391" i="1"/>
  <c r="M9391" i="1"/>
  <c r="L9391" i="1"/>
  <c r="V9390" i="1"/>
  <c r="U9390" i="1"/>
  <c r="T9390" i="1"/>
  <c r="S9390" i="1"/>
  <c r="R9390" i="1"/>
  <c r="Q9390" i="1"/>
  <c r="M9390" i="1"/>
  <c r="L9390" i="1"/>
  <c r="V9389" i="1"/>
  <c r="U9389" i="1"/>
  <c r="T9389" i="1"/>
  <c r="S9389" i="1"/>
  <c r="R9389" i="1"/>
  <c r="Q9389" i="1"/>
  <c r="M9389" i="1"/>
  <c r="L9389" i="1"/>
  <c r="V9388" i="1"/>
  <c r="U9388" i="1"/>
  <c r="T9388" i="1"/>
  <c r="S9388" i="1"/>
  <c r="R9388" i="1"/>
  <c r="Q9388" i="1"/>
  <c r="M9388" i="1"/>
  <c r="L9388" i="1"/>
  <c r="V9387" i="1"/>
  <c r="U9387" i="1"/>
  <c r="T9387" i="1"/>
  <c r="S9387" i="1"/>
  <c r="R9387" i="1"/>
  <c r="Q9387" i="1"/>
  <c r="M9387" i="1"/>
  <c r="L9387" i="1"/>
  <c r="V9386" i="1"/>
  <c r="U9386" i="1"/>
  <c r="T9386" i="1"/>
  <c r="S9386" i="1"/>
  <c r="R9386" i="1"/>
  <c r="Q9386" i="1"/>
  <c r="M9386" i="1"/>
  <c r="L9386" i="1"/>
  <c r="V9385" i="1"/>
  <c r="U9385" i="1"/>
  <c r="T9385" i="1"/>
  <c r="S9385" i="1"/>
  <c r="R9385" i="1"/>
  <c r="Q9385" i="1"/>
  <c r="M9385" i="1"/>
  <c r="L9385" i="1"/>
  <c r="V9384" i="1"/>
  <c r="U9384" i="1"/>
  <c r="T9384" i="1"/>
  <c r="S9384" i="1"/>
  <c r="R9384" i="1"/>
  <c r="Q9384" i="1"/>
  <c r="M9384" i="1"/>
  <c r="L9384" i="1"/>
  <c r="V9383" i="1"/>
  <c r="U9383" i="1"/>
  <c r="T9383" i="1"/>
  <c r="S9383" i="1"/>
  <c r="R9383" i="1"/>
  <c r="Q9383" i="1"/>
  <c r="M9383" i="1"/>
  <c r="L9383" i="1"/>
  <c r="V9382" i="1"/>
  <c r="U9382" i="1"/>
  <c r="T9382" i="1"/>
  <c r="S9382" i="1"/>
  <c r="R9382" i="1"/>
  <c r="Q9382" i="1"/>
  <c r="M9382" i="1"/>
  <c r="L9382" i="1"/>
  <c r="V9381" i="1"/>
  <c r="U9381" i="1"/>
  <c r="T9381" i="1"/>
  <c r="S9381" i="1"/>
  <c r="R9381" i="1"/>
  <c r="Q9381" i="1"/>
  <c r="M9381" i="1"/>
  <c r="L9381" i="1"/>
  <c r="V9380" i="1"/>
  <c r="U9380" i="1"/>
  <c r="T9380" i="1"/>
  <c r="S9380" i="1"/>
  <c r="R9380" i="1"/>
  <c r="Q9380" i="1"/>
  <c r="M9380" i="1"/>
  <c r="L9380" i="1"/>
  <c r="V9379" i="1"/>
  <c r="U9379" i="1"/>
  <c r="T9379" i="1"/>
  <c r="S9379" i="1"/>
  <c r="R9379" i="1"/>
  <c r="Q9379" i="1"/>
  <c r="M9379" i="1"/>
  <c r="L9379" i="1"/>
  <c r="V9378" i="1"/>
  <c r="U9378" i="1"/>
  <c r="T9378" i="1"/>
  <c r="S9378" i="1"/>
  <c r="R9378" i="1"/>
  <c r="Q9378" i="1"/>
  <c r="M9378" i="1"/>
  <c r="L9378" i="1"/>
  <c r="V9377" i="1"/>
  <c r="U9377" i="1"/>
  <c r="T9377" i="1"/>
  <c r="S9377" i="1"/>
  <c r="R9377" i="1"/>
  <c r="Q9377" i="1"/>
  <c r="M9377" i="1"/>
  <c r="L9377" i="1"/>
  <c r="V9376" i="1"/>
  <c r="U9376" i="1"/>
  <c r="T9376" i="1"/>
  <c r="S9376" i="1"/>
  <c r="R9376" i="1"/>
  <c r="Q9376" i="1"/>
  <c r="M9376" i="1"/>
  <c r="L9376" i="1"/>
  <c r="V9375" i="1"/>
  <c r="U9375" i="1"/>
  <c r="T9375" i="1"/>
  <c r="S9375" i="1"/>
  <c r="R9375" i="1"/>
  <c r="Q9375" i="1"/>
  <c r="M9375" i="1"/>
  <c r="L9375" i="1"/>
  <c r="V9374" i="1"/>
  <c r="U9374" i="1"/>
  <c r="T9374" i="1"/>
  <c r="S9374" i="1"/>
  <c r="R9374" i="1"/>
  <c r="Q9374" i="1"/>
  <c r="M9374" i="1"/>
  <c r="L9374" i="1"/>
  <c r="V9373" i="1"/>
  <c r="U9373" i="1"/>
  <c r="T9373" i="1"/>
  <c r="S9373" i="1"/>
  <c r="R9373" i="1"/>
  <c r="Q9373" i="1"/>
  <c r="M9373" i="1"/>
  <c r="L9373" i="1"/>
  <c r="V9372" i="1"/>
  <c r="U9372" i="1"/>
  <c r="T9372" i="1"/>
  <c r="S9372" i="1"/>
  <c r="R9372" i="1"/>
  <c r="Q9372" i="1"/>
  <c r="M9372" i="1"/>
  <c r="L9372" i="1"/>
  <c r="V9371" i="1"/>
  <c r="U9371" i="1"/>
  <c r="T9371" i="1"/>
  <c r="S9371" i="1"/>
  <c r="R9371" i="1"/>
  <c r="Q9371" i="1"/>
  <c r="M9371" i="1"/>
  <c r="L9371" i="1"/>
  <c r="V9370" i="1"/>
  <c r="U9370" i="1"/>
  <c r="T9370" i="1"/>
  <c r="S9370" i="1"/>
  <c r="R9370" i="1"/>
  <c r="Q9370" i="1"/>
  <c r="M9370" i="1"/>
  <c r="L9370" i="1"/>
  <c r="V9369" i="1"/>
  <c r="U9369" i="1"/>
  <c r="T9369" i="1"/>
  <c r="S9369" i="1"/>
  <c r="R9369" i="1"/>
  <c r="Q9369" i="1"/>
  <c r="M9369" i="1"/>
  <c r="L9369" i="1"/>
  <c r="V9368" i="1"/>
  <c r="U9368" i="1"/>
  <c r="T9368" i="1"/>
  <c r="S9368" i="1"/>
  <c r="R9368" i="1"/>
  <c r="Q9368" i="1"/>
  <c r="M9368" i="1"/>
  <c r="L9368" i="1"/>
  <c r="V9367" i="1"/>
  <c r="U9367" i="1"/>
  <c r="T9367" i="1"/>
  <c r="S9367" i="1"/>
  <c r="R9367" i="1"/>
  <c r="Q9367" i="1"/>
  <c r="M9367" i="1"/>
  <c r="L9367" i="1"/>
  <c r="V9366" i="1"/>
  <c r="U9366" i="1"/>
  <c r="T9366" i="1"/>
  <c r="S9366" i="1"/>
  <c r="R9366" i="1"/>
  <c r="Q9366" i="1"/>
  <c r="M9366" i="1"/>
  <c r="L9366" i="1"/>
  <c r="V9365" i="1"/>
  <c r="U9365" i="1"/>
  <c r="T9365" i="1"/>
  <c r="S9365" i="1"/>
  <c r="R9365" i="1"/>
  <c r="Q9365" i="1"/>
  <c r="M9365" i="1"/>
  <c r="L9365" i="1"/>
  <c r="V9364" i="1"/>
  <c r="U9364" i="1"/>
  <c r="T9364" i="1"/>
  <c r="S9364" i="1"/>
  <c r="R9364" i="1"/>
  <c r="Q9364" i="1"/>
  <c r="M9364" i="1"/>
  <c r="L9364" i="1"/>
  <c r="V9363" i="1"/>
  <c r="U9363" i="1"/>
  <c r="T9363" i="1"/>
  <c r="S9363" i="1"/>
  <c r="R9363" i="1"/>
  <c r="Q9363" i="1"/>
  <c r="M9363" i="1"/>
  <c r="L9363" i="1"/>
  <c r="V9362" i="1"/>
  <c r="U9362" i="1"/>
  <c r="T9362" i="1"/>
  <c r="S9362" i="1"/>
  <c r="R9362" i="1"/>
  <c r="Q9362" i="1"/>
  <c r="M9362" i="1"/>
  <c r="L9362" i="1"/>
  <c r="V9361" i="1"/>
  <c r="U9361" i="1"/>
  <c r="T9361" i="1"/>
  <c r="S9361" i="1"/>
  <c r="R9361" i="1"/>
  <c r="Q9361" i="1"/>
  <c r="M9361" i="1"/>
  <c r="L9361" i="1"/>
  <c r="V9360" i="1"/>
  <c r="U9360" i="1"/>
  <c r="T9360" i="1"/>
  <c r="S9360" i="1"/>
  <c r="R9360" i="1"/>
  <c r="Q9360" i="1"/>
  <c r="M9360" i="1"/>
  <c r="L9360" i="1"/>
  <c r="V9359" i="1"/>
  <c r="U9359" i="1"/>
  <c r="T9359" i="1"/>
  <c r="S9359" i="1"/>
  <c r="R9359" i="1"/>
  <c r="Q9359" i="1"/>
  <c r="M9359" i="1"/>
  <c r="L9359" i="1"/>
  <c r="V9358" i="1"/>
  <c r="U9358" i="1"/>
  <c r="T9358" i="1"/>
  <c r="S9358" i="1"/>
  <c r="R9358" i="1"/>
  <c r="Q9358" i="1"/>
  <c r="M9358" i="1"/>
  <c r="L9358" i="1"/>
  <c r="V9357" i="1"/>
  <c r="U9357" i="1"/>
  <c r="T9357" i="1"/>
  <c r="S9357" i="1"/>
  <c r="R9357" i="1"/>
  <c r="Q9357" i="1"/>
  <c r="M9357" i="1"/>
  <c r="L9357" i="1"/>
  <c r="V9356" i="1"/>
  <c r="U9356" i="1"/>
  <c r="T9356" i="1"/>
  <c r="S9356" i="1"/>
  <c r="R9356" i="1"/>
  <c r="Q9356" i="1"/>
  <c r="M9356" i="1"/>
  <c r="L9356" i="1"/>
  <c r="V9355" i="1"/>
  <c r="U9355" i="1"/>
  <c r="T9355" i="1"/>
  <c r="S9355" i="1"/>
  <c r="R9355" i="1"/>
  <c r="Q9355" i="1"/>
  <c r="M9355" i="1"/>
  <c r="L9355" i="1"/>
  <c r="V9354" i="1"/>
  <c r="U9354" i="1"/>
  <c r="T9354" i="1"/>
  <c r="S9354" i="1"/>
  <c r="R9354" i="1"/>
  <c r="Q9354" i="1"/>
  <c r="M9354" i="1"/>
  <c r="L9354" i="1"/>
  <c r="V9353" i="1"/>
  <c r="U9353" i="1"/>
  <c r="T9353" i="1"/>
  <c r="S9353" i="1"/>
  <c r="R9353" i="1"/>
  <c r="Q9353" i="1"/>
  <c r="M9353" i="1"/>
  <c r="L9353" i="1"/>
  <c r="V9352" i="1"/>
  <c r="U9352" i="1"/>
  <c r="T9352" i="1"/>
  <c r="S9352" i="1"/>
  <c r="R9352" i="1"/>
  <c r="Q9352" i="1"/>
  <c r="M9352" i="1"/>
  <c r="L9352" i="1"/>
  <c r="V9351" i="1"/>
  <c r="U9351" i="1"/>
  <c r="T9351" i="1"/>
  <c r="S9351" i="1"/>
  <c r="R9351" i="1"/>
  <c r="Q9351" i="1"/>
  <c r="M9351" i="1"/>
  <c r="L9351" i="1"/>
  <c r="V9350" i="1"/>
  <c r="U9350" i="1"/>
  <c r="T9350" i="1"/>
  <c r="S9350" i="1"/>
  <c r="R9350" i="1"/>
  <c r="Q9350" i="1"/>
  <c r="M9350" i="1"/>
  <c r="L9350" i="1"/>
  <c r="V9349" i="1"/>
  <c r="U9349" i="1"/>
  <c r="T9349" i="1"/>
  <c r="S9349" i="1"/>
  <c r="R9349" i="1"/>
  <c r="Q9349" i="1"/>
  <c r="M9349" i="1"/>
  <c r="L9349" i="1"/>
  <c r="V9348" i="1"/>
  <c r="U9348" i="1"/>
  <c r="T9348" i="1"/>
  <c r="S9348" i="1"/>
  <c r="R9348" i="1"/>
  <c r="Q9348" i="1"/>
  <c r="M9348" i="1"/>
  <c r="L9348" i="1"/>
  <c r="V9347" i="1"/>
  <c r="U9347" i="1"/>
  <c r="T9347" i="1"/>
  <c r="S9347" i="1"/>
  <c r="R9347" i="1"/>
  <c r="Q9347" i="1"/>
  <c r="M9347" i="1"/>
  <c r="L9347" i="1"/>
  <c r="V9346" i="1"/>
  <c r="U9346" i="1"/>
  <c r="T9346" i="1"/>
  <c r="S9346" i="1"/>
  <c r="R9346" i="1"/>
  <c r="Q9346" i="1"/>
  <c r="M9346" i="1"/>
  <c r="L9346" i="1"/>
  <c r="V9345" i="1"/>
  <c r="U9345" i="1"/>
  <c r="T9345" i="1"/>
  <c r="S9345" i="1"/>
  <c r="R9345" i="1"/>
  <c r="Q9345" i="1"/>
  <c r="M9345" i="1"/>
  <c r="L9345" i="1"/>
  <c r="V9344" i="1"/>
  <c r="U9344" i="1"/>
  <c r="T9344" i="1"/>
  <c r="S9344" i="1"/>
  <c r="R9344" i="1"/>
  <c r="Q9344" i="1"/>
  <c r="M9344" i="1"/>
  <c r="L9344" i="1"/>
  <c r="V9343" i="1"/>
  <c r="U9343" i="1"/>
  <c r="T9343" i="1"/>
  <c r="S9343" i="1"/>
  <c r="R9343" i="1"/>
  <c r="Q9343" i="1"/>
  <c r="M9343" i="1"/>
  <c r="L9343" i="1"/>
  <c r="V9342" i="1"/>
  <c r="U9342" i="1"/>
  <c r="T9342" i="1"/>
  <c r="S9342" i="1"/>
  <c r="R9342" i="1"/>
  <c r="Q9342" i="1"/>
  <c r="M9342" i="1"/>
  <c r="L9342" i="1"/>
  <c r="V9341" i="1"/>
  <c r="U9341" i="1"/>
  <c r="T9341" i="1"/>
  <c r="S9341" i="1"/>
  <c r="R9341" i="1"/>
  <c r="Q9341" i="1"/>
  <c r="M9341" i="1"/>
  <c r="L9341" i="1"/>
  <c r="V9340" i="1"/>
  <c r="U9340" i="1"/>
  <c r="T9340" i="1"/>
  <c r="S9340" i="1"/>
  <c r="R9340" i="1"/>
  <c r="Q9340" i="1"/>
  <c r="M9340" i="1"/>
  <c r="L9340" i="1"/>
  <c r="V9339" i="1"/>
  <c r="U9339" i="1"/>
  <c r="T9339" i="1"/>
  <c r="S9339" i="1"/>
  <c r="R9339" i="1"/>
  <c r="Q9339" i="1"/>
  <c r="M9339" i="1"/>
  <c r="L9339" i="1"/>
  <c r="V9338" i="1"/>
  <c r="U9338" i="1"/>
  <c r="T9338" i="1"/>
  <c r="S9338" i="1"/>
  <c r="R9338" i="1"/>
  <c r="Q9338" i="1"/>
  <c r="M9338" i="1"/>
  <c r="L9338" i="1"/>
  <c r="V9337" i="1"/>
  <c r="U9337" i="1"/>
  <c r="T9337" i="1"/>
  <c r="S9337" i="1"/>
  <c r="R9337" i="1"/>
  <c r="Q9337" i="1"/>
  <c r="M9337" i="1"/>
  <c r="L9337" i="1"/>
  <c r="V9336" i="1"/>
  <c r="U9336" i="1"/>
  <c r="T9336" i="1"/>
  <c r="S9336" i="1"/>
  <c r="R9336" i="1"/>
  <c r="Q9336" i="1"/>
  <c r="M9336" i="1"/>
  <c r="L9336" i="1"/>
  <c r="V9335" i="1"/>
  <c r="U9335" i="1"/>
  <c r="T9335" i="1"/>
  <c r="S9335" i="1"/>
  <c r="R9335" i="1"/>
  <c r="Q9335" i="1"/>
  <c r="M9335" i="1"/>
  <c r="L9335" i="1"/>
  <c r="V9334" i="1"/>
  <c r="U9334" i="1"/>
  <c r="T9334" i="1"/>
  <c r="S9334" i="1"/>
  <c r="R9334" i="1"/>
  <c r="Q9334" i="1"/>
  <c r="M9334" i="1"/>
  <c r="L9334" i="1"/>
  <c r="V9333" i="1"/>
  <c r="U9333" i="1"/>
  <c r="T9333" i="1"/>
  <c r="S9333" i="1"/>
  <c r="R9333" i="1"/>
  <c r="Q9333" i="1"/>
  <c r="M9333" i="1"/>
  <c r="L9333" i="1"/>
  <c r="V9332" i="1"/>
  <c r="U9332" i="1"/>
  <c r="T9332" i="1"/>
  <c r="S9332" i="1"/>
  <c r="R9332" i="1"/>
  <c r="Q9332" i="1"/>
  <c r="M9332" i="1"/>
  <c r="L9332" i="1"/>
  <c r="V9331" i="1"/>
  <c r="U9331" i="1"/>
  <c r="T9331" i="1"/>
  <c r="S9331" i="1"/>
  <c r="R9331" i="1"/>
  <c r="Q9331" i="1"/>
  <c r="M9331" i="1"/>
  <c r="L9331" i="1"/>
  <c r="V9330" i="1"/>
  <c r="U9330" i="1"/>
  <c r="T9330" i="1"/>
  <c r="S9330" i="1"/>
  <c r="R9330" i="1"/>
  <c r="Q9330" i="1"/>
  <c r="M9330" i="1"/>
  <c r="L9330" i="1"/>
  <c r="V9329" i="1"/>
  <c r="U9329" i="1"/>
  <c r="T9329" i="1"/>
  <c r="S9329" i="1"/>
  <c r="R9329" i="1"/>
  <c r="Q9329" i="1"/>
  <c r="M9329" i="1"/>
  <c r="L9329" i="1"/>
  <c r="V9328" i="1"/>
  <c r="U9328" i="1"/>
  <c r="T9328" i="1"/>
  <c r="S9328" i="1"/>
  <c r="R9328" i="1"/>
  <c r="Q9328" i="1"/>
  <c r="M9328" i="1"/>
  <c r="L9328" i="1"/>
  <c r="V9327" i="1"/>
  <c r="U9327" i="1"/>
  <c r="T9327" i="1"/>
  <c r="S9327" i="1"/>
  <c r="R9327" i="1"/>
  <c r="Q9327" i="1"/>
  <c r="M9327" i="1"/>
  <c r="L9327" i="1"/>
  <c r="V9326" i="1"/>
  <c r="U9326" i="1"/>
  <c r="T9326" i="1"/>
  <c r="S9326" i="1"/>
  <c r="R9326" i="1"/>
  <c r="Q9326" i="1"/>
  <c r="M9326" i="1"/>
  <c r="L9326" i="1"/>
  <c r="V9325" i="1"/>
  <c r="U9325" i="1"/>
  <c r="T9325" i="1"/>
  <c r="S9325" i="1"/>
  <c r="R9325" i="1"/>
  <c r="Q9325" i="1"/>
  <c r="M9325" i="1"/>
  <c r="L9325" i="1"/>
  <c r="V9324" i="1"/>
  <c r="U9324" i="1"/>
  <c r="T9324" i="1"/>
  <c r="S9324" i="1"/>
  <c r="R9324" i="1"/>
  <c r="Q9324" i="1"/>
  <c r="M9324" i="1"/>
  <c r="L9324" i="1"/>
  <c r="V9323" i="1"/>
  <c r="U9323" i="1"/>
  <c r="T9323" i="1"/>
  <c r="S9323" i="1"/>
  <c r="R9323" i="1"/>
  <c r="Q9323" i="1"/>
  <c r="M9323" i="1"/>
  <c r="L9323" i="1"/>
  <c r="V9322" i="1"/>
  <c r="U9322" i="1"/>
  <c r="T9322" i="1"/>
  <c r="S9322" i="1"/>
  <c r="R9322" i="1"/>
  <c r="Q9322" i="1"/>
  <c r="M9322" i="1"/>
  <c r="L9322" i="1"/>
  <c r="V9321" i="1"/>
  <c r="U9321" i="1"/>
  <c r="T9321" i="1"/>
  <c r="S9321" i="1"/>
  <c r="R9321" i="1"/>
  <c r="Q9321" i="1"/>
  <c r="M9321" i="1"/>
  <c r="L9321" i="1"/>
  <c r="V9320" i="1"/>
  <c r="U9320" i="1"/>
  <c r="T9320" i="1"/>
  <c r="S9320" i="1"/>
  <c r="R9320" i="1"/>
  <c r="Q9320" i="1"/>
  <c r="M9320" i="1"/>
  <c r="L9320" i="1"/>
  <c r="V9319" i="1"/>
  <c r="U9319" i="1"/>
  <c r="T9319" i="1"/>
  <c r="S9319" i="1"/>
  <c r="R9319" i="1"/>
  <c r="Q9319" i="1"/>
  <c r="M9319" i="1"/>
  <c r="L9319" i="1"/>
  <c r="V9318" i="1"/>
  <c r="U9318" i="1"/>
  <c r="T9318" i="1"/>
  <c r="S9318" i="1"/>
  <c r="R9318" i="1"/>
  <c r="Q9318" i="1"/>
  <c r="M9318" i="1"/>
  <c r="L9318" i="1"/>
  <c r="V9317" i="1"/>
  <c r="U9317" i="1"/>
  <c r="T9317" i="1"/>
  <c r="S9317" i="1"/>
  <c r="R9317" i="1"/>
  <c r="Q9317" i="1"/>
  <c r="M9317" i="1"/>
  <c r="L9317" i="1"/>
  <c r="V9316" i="1"/>
  <c r="U9316" i="1"/>
  <c r="T9316" i="1"/>
  <c r="S9316" i="1"/>
  <c r="R9316" i="1"/>
  <c r="Q9316" i="1"/>
  <c r="M9316" i="1"/>
  <c r="L9316" i="1"/>
  <c r="V9315" i="1"/>
  <c r="U9315" i="1"/>
  <c r="T9315" i="1"/>
  <c r="S9315" i="1"/>
  <c r="R9315" i="1"/>
  <c r="Q9315" i="1"/>
  <c r="M9315" i="1"/>
  <c r="L9315" i="1"/>
  <c r="V9314" i="1"/>
  <c r="U9314" i="1"/>
  <c r="T9314" i="1"/>
  <c r="S9314" i="1"/>
  <c r="R9314" i="1"/>
  <c r="Q9314" i="1"/>
  <c r="M9314" i="1"/>
  <c r="L9314" i="1"/>
  <c r="V9313" i="1"/>
  <c r="U9313" i="1"/>
  <c r="T9313" i="1"/>
  <c r="S9313" i="1"/>
  <c r="R9313" i="1"/>
  <c r="Q9313" i="1"/>
  <c r="M9313" i="1"/>
  <c r="L9313" i="1"/>
  <c r="V9312" i="1"/>
  <c r="U9312" i="1"/>
  <c r="T9312" i="1"/>
  <c r="S9312" i="1"/>
  <c r="R9312" i="1"/>
  <c r="Q9312" i="1"/>
  <c r="M9312" i="1"/>
  <c r="L9312" i="1"/>
  <c r="V9311" i="1"/>
  <c r="U9311" i="1"/>
  <c r="T9311" i="1"/>
  <c r="S9311" i="1"/>
  <c r="R9311" i="1"/>
  <c r="Q9311" i="1"/>
  <c r="M9311" i="1"/>
  <c r="L9311" i="1"/>
  <c r="V9310" i="1"/>
  <c r="U9310" i="1"/>
  <c r="T9310" i="1"/>
  <c r="S9310" i="1"/>
  <c r="R9310" i="1"/>
  <c r="Q9310" i="1"/>
  <c r="M9310" i="1"/>
  <c r="L9310" i="1"/>
  <c r="V9309" i="1"/>
  <c r="U9309" i="1"/>
  <c r="T9309" i="1"/>
  <c r="S9309" i="1"/>
  <c r="R9309" i="1"/>
  <c r="Q9309" i="1"/>
  <c r="M9309" i="1"/>
  <c r="L9309" i="1"/>
  <c r="V9308" i="1"/>
  <c r="U9308" i="1"/>
  <c r="T9308" i="1"/>
  <c r="S9308" i="1"/>
  <c r="R9308" i="1"/>
  <c r="Q9308" i="1"/>
  <c r="M9308" i="1"/>
  <c r="L9308" i="1"/>
  <c r="V9307" i="1"/>
  <c r="U9307" i="1"/>
  <c r="T9307" i="1"/>
  <c r="S9307" i="1"/>
  <c r="R9307" i="1"/>
  <c r="Q9307" i="1"/>
  <c r="M9307" i="1"/>
  <c r="L9307" i="1"/>
  <c r="V9306" i="1"/>
  <c r="U9306" i="1"/>
  <c r="T9306" i="1"/>
  <c r="S9306" i="1"/>
  <c r="R9306" i="1"/>
  <c r="Q9306" i="1"/>
  <c r="M9306" i="1"/>
  <c r="L9306" i="1"/>
  <c r="V9305" i="1"/>
  <c r="U9305" i="1"/>
  <c r="T9305" i="1"/>
  <c r="S9305" i="1"/>
  <c r="R9305" i="1"/>
  <c r="Q9305" i="1"/>
  <c r="M9305" i="1"/>
  <c r="L9305" i="1"/>
  <c r="V9304" i="1"/>
  <c r="U9304" i="1"/>
  <c r="T9304" i="1"/>
  <c r="S9304" i="1"/>
  <c r="R9304" i="1"/>
  <c r="Q9304" i="1"/>
  <c r="M9304" i="1"/>
  <c r="L9304" i="1"/>
  <c r="V9303" i="1"/>
  <c r="U9303" i="1"/>
  <c r="T9303" i="1"/>
  <c r="S9303" i="1"/>
  <c r="R9303" i="1"/>
  <c r="Q9303" i="1"/>
  <c r="M9303" i="1"/>
  <c r="L9303" i="1"/>
  <c r="V9302" i="1"/>
  <c r="U9302" i="1"/>
  <c r="T9302" i="1"/>
  <c r="S9302" i="1"/>
  <c r="R9302" i="1"/>
  <c r="Q9302" i="1"/>
  <c r="M9302" i="1"/>
  <c r="L9302" i="1"/>
  <c r="V9301" i="1"/>
  <c r="U9301" i="1"/>
  <c r="T9301" i="1"/>
  <c r="S9301" i="1"/>
  <c r="R9301" i="1"/>
  <c r="Q9301" i="1"/>
  <c r="M9301" i="1"/>
  <c r="L9301" i="1"/>
  <c r="V9300" i="1"/>
  <c r="U9300" i="1"/>
  <c r="T9300" i="1"/>
  <c r="S9300" i="1"/>
  <c r="R9300" i="1"/>
  <c r="Q9300" i="1"/>
  <c r="M9300" i="1"/>
  <c r="L9300" i="1"/>
  <c r="V9299" i="1"/>
  <c r="U9299" i="1"/>
  <c r="T9299" i="1"/>
  <c r="S9299" i="1"/>
  <c r="R9299" i="1"/>
  <c r="Q9299" i="1"/>
  <c r="M9299" i="1"/>
  <c r="L9299" i="1"/>
  <c r="V9298" i="1"/>
  <c r="U9298" i="1"/>
  <c r="T9298" i="1"/>
  <c r="S9298" i="1"/>
  <c r="R9298" i="1"/>
  <c r="Q9298" i="1"/>
  <c r="M9298" i="1"/>
  <c r="L9298" i="1"/>
  <c r="V9297" i="1"/>
  <c r="U9297" i="1"/>
  <c r="T9297" i="1"/>
  <c r="S9297" i="1"/>
  <c r="R9297" i="1"/>
  <c r="Q9297" i="1"/>
  <c r="M9297" i="1"/>
  <c r="L9297" i="1"/>
  <c r="V9296" i="1"/>
  <c r="U9296" i="1"/>
  <c r="T9296" i="1"/>
  <c r="S9296" i="1"/>
  <c r="R9296" i="1"/>
  <c r="Q9296" i="1"/>
  <c r="M9296" i="1"/>
  <c r="L9296" i="1"/>
  <c r="V9295" i="1"/>
  <c r="U9295" i="1"/>
  <c r="T9295" i="1"/>
  <c r="S9295" i="1"/>
  <c r="R9295" i="1"/>
  <c r="Q9295" i="1"/>
  <c r="M9295" i="1"/>
  <c r="L9295" i="1"/>
  <c r="V9294" i="1"/>
  <c r="U9294" i="1"/>
  <c r="T9294" i="1"/>
  <c r="S9294" i="1"/>
  <c r="R9294" i="1"/>
  <c r="Q9294" i="1"/>
  <c r="M9294" i="1"/>
  <c r="L9294" i="1"/>
  <c r="V9293" i="1"/>
  <c r="U9293" i="1"/>
  <c r="T9293" i="1"/>
  <c r="S9293" i="1"/>
  <c r="R9293" i="1"/>
  <c r="Q9293" i="1"/>
  <c r="M9293" i="1"/>
  <c r="L9293" i="1"/>
  <c r="V9292" i="1"/>
  <c r="U9292" i="1"/>
  <c r="T9292" i="1"/>
  <c r="S9292" i="1"/>
  <c r="R9292" i="1"/>
  <c r="Q9292" i="1"/>
  <c r="M9292" i="1"/>
  <c r="L9292" i="1"/>
  <c r="V9291" i="1"/>
  <c r="U9291" i="1"/>
  <c r="T9291" i="1"/>
  <c r="S9291" i="1"/>
  <c r="R9291" i="1"/>
  <c r="Q9291" i="1"/>
  <c r="M9291" i="1"/>
  <c r="L9291" i="1"/>
  <c r="V9290" i="1"/>
  <c r="U9290" i="1"/>
  <c r="T9290" i="1"/>
  <c r="S9290" i="1"/>
  <c r="R9290" i="1"/>
  <c r="Q9290" i="1"/>
  <c r="M9290" i="1"/>
  <c r="L9290" i="1"/>
  <c r="V9289" i="1"/>
  <c r="U9289" i="1"/>
  <c r="T9289" i="1"/>
  <c r="S9289" i="1"/>
  <c r="R9289" i="1"/>
  <c r="Q9289" i="1"/>
  <c r="M9289" i="1"/>
  <c r="L9289" i="1"/>
  <c r="V9288" i="1"/>
  <c r="U9288" i="1"/>
  <c r="T9288" i="1"/>
  <c r="S9288" i="1"/>
  <c r="R9288" i="1"/>
  <c r="Q9288" i="1"/>
  <c r="M9288" i="1"/>
  <c r="L9288" i="1"/>
  <c r="V9287" i="1"/>
  <c r="U9287" i="1"/>
  <c r="T9287" i="1"/>
  <c r="S9287" i="1"/>
  <c r="R9287" i="1"/>
  <c r="Q9287" i="1"/>
  <c r="M9287" i="1"/>
  <c r="L9287" i="1"/>
  <c r="V9286" i="1"/>
  <c r="U9286" i="1"/>
  <c r="T9286" i="1"/>
  <c r="S9286" i="1"/>
  <c r="R9286" i="1"/>
  <c r="Q9286" i="1"/>
  <c r="M9286" i="1"/>
  <c r="L9286" i="1"/>
  <c r="V9285" i="1"/>
  <c r="U9285" i="1"/>
  <c r="T9285" i="1"/>
  <c r="S9285" i="1"/>
  <c r="R9285" i="1"/>
  <c r="Q9285" i="1"/>
  <c r="M9285" i="1"/>
  <c r="L9285" i="1"/>
  <c r="V9284" i="1"/>
  <c r="U9284" i="1"/>
  <c r="T9284" i="1"/>
  <c r="S9284" i="1"/>
  <c r="R9284" i="1"/>
  <c r="Q9284" i="1"/>
  <c r="M9284" i="1"/>
  <c r="L9284" i="1"/>
  <c r="V9283" i="1"/>
  <c r="U9283" i="1"/>
  <c r="T9283" i="1"/>
  <c r="S9283" i="1"/>
  <c r="R9283" i="1"/>
  <c r="Q9283" i="1"/>
  <c r="M9283" i="1"/>
  <c r="L9283" i="1"/>
  <c r="V9282" i="1"/>
  <c r="U9282" i="1"/>
  <c r="T9282" i="1"/>
  <c r="S9282" i="1"/>
  <c r="R9282" i="1"/>
  <c r="Q9282" i="1"/>
  <c r="M9282" i="1"/>
  <c r="L9282" i="1"/>
  <c r="V9281" i="1"/>
  <c r="U9281" i="1"/>
  <c r="T9281" i="1"/>
  <c r="S9281" i="1"/>
  <c r="R9281" i="1"/>
  <c r="Q9281" i="1"/>
  <c r="M9281" i="1"/>
  <c r="L9281" i="1"/>
  <c r="V9280" i="1"/>
  <c r="U9280" i="1"/>
  <c r="T9280" i="1"/>
  <c r="S9280" i="1"/>
  <c r="R9280" i="1"/>
  <c r="Q9280" i="1"/>
  <c r="M9280" i="1"/>
  <c r="L9280" i="1"/>
  <c r="V9279" i="1"/>
  <c r="U9279" i="1"/>
  <c r="T9279" i="1"/>
  <c r="S9279" i="1"/>
  <c r="R9279" i="1"/>
  <c r="Q9279" i="1"/>
  <c r="M9279" i="1"/>
  <c r="L9279" i="1"/>
  <c r="V9278" i="1"/>
  <c r="U9278" i="1"/>
  <c r="T9278" i="1"/>
  <c r="S9278" i="1"/>
  <c r="R9278" i="1"/>
  <c r="Q9278" i="1"/>
  <c r="M9278" i="1"/>
  <c r="L9278" i="1"/>
  <c r="V9277" i="1"/>
  <c r="U9277" i="1"/>
  <c r="T9277" i="1"/>
  <c r="S9277" i="1"/>
  <c r="R9277" i="1"/>
  <c r="Q9277" i="1"/>
  <c r="M9277" i="1"/>
  <c r="L9277" i="1"/>
  <c r="V9276" i="1"/>
  <c r="U9276" i="1"/>
  <c r="T9276" i="1"/>
  <c r="S9276" i="1"/>
  <c r="R9276" i="1"/>
  <c r="Q9276" i="1"/>
  <c r="M9276" i="1"/>
  <c r="L9276" i="1"/>
  <c r="V9275" i="1"/>
  <c r="U9275" i="1"/>
  <c r="T9275" i="1"/>
  <c r="S9275" i="1"/>
  <c r="R9275" i="1"/>
  <c r="Q9275" i="1"/>
  <c r="M9275" i="1"/>
  <c r="L9275" i="1"/>
  <c r="V9274" i="1"/>
  <c r="U9274" i="1"/>
  <c r="T9274" i="1"/>
  <c r="S9274" i="1"/>
  <c r="R9274" i="1"/>
  <c r="Q9274" i="1"/>
  <c r="M9274" i="1"/>
  <c r="L9274" i="1"/>
  <c r="V9273" i="1"/>
  <c r="U9273" i="1"/>
  <c r="T9273" i="1"/>
  <c r="S9273" i="1"/>
  <c r="R9273" i="1"/>
  <c r="Q9273" i="1"/>
  <c r="M9273" i="1"/>
  <c r="L9273" i="1"/>
  <c r="V9272" i="1"/>
  <c r="U9272" i="1"/>
  <c r="T9272" i="1"/>
  <c r="S9272" i="1"/>
  <c r="R9272" i="1"/>
  <c r="Q9272" i="1"/>
  <c r="M9272" i="1"/>
  <c r="L9272" i="1"/>
  <c r="V9271" i="1"/>
  <c r="U9271" i="1"/>
  <c r="T9271" i="1"/>
  <c r="S9271" i="1"/>
  <c r="R9271" i="1"/>
  <c r="Q9271" i="1"/>
  <c r="M9271" i="1"/>
  <c r="L9271" i="1"/>
  <c r="V9270" i="1"/>
  <c r="U9270" i="1"/>
  <c r="T9270" i="1"/>
  <c r="S9270" i="1"/>
  <c r="R9270" i="1"/>
  <c r="Q9270" i="1"/>
  <c r="M9270" i="1"/>
  <c r="L9270" i="1"/>
  <c r="V9269" i="1"/>
  <c r="U9269" i="1"/>
  <c r="T9269" i="1"/>
  <c r="S9269" i="1"/>
  <c r="R9269" i="1"/>
  <c r="Q9269" i="1"/>
  <c r="M9269" i="1"/>
  <c r="L9269" i="1"/>
  <c r="V9268" i="1"/>
  <c r="U9268" i="1"/>
  <c r="T9268" i="1"/>
  <c r="S9268" i="1"/>
  <c r="R9268" i="1"/>
  <c r="Q9268" i="1"/>
  <c r="M9268" i="1"/>
  <c r="L9268" i="1"/>
  <c r="V9267" i="1"/>
  <c r="U9267" i="1"/>
  <c r="T9267" i="1"/>
  <c r="S9267" i="1"/>
  <c r="R9267" i="1"/>
  <c r="Q9267" i="1"/>
  <c r="M9267" i="1"/>
  <c r="L9267" i="1"/>
  <c r="V9266" i="1"/>
  <c r="U9266" i="1"/>
  <c r="T9266" i="1"/>
  <c r="S9266" i="1"/>
  <c r="R9266" i="1"/>
  <c r="Q9266" i="1"/>
  <c r="M9266" i="1"/>
  <c r="L9266" i="1"/>
  <c r="V9265" i="1"/>
  <c r="U9265" i="1"/>
  <c r="T9265" i="1"/>
  <c r="S9265" i="1"/>
  <c r="R9265" i="1"/>
  <c r="Q9265" i="1"/>
  <c r="M9265" i="1"/>
  <c r="L9265" i="1"/>
  <c r="V9264" i="1"/>
  <c r="U9264" i="1"/>
  <c r="T9264" i="1"/>
  <c r="S9264" i="1"/>
  <c r="R9264" i="1"/>
  <c r="Q9264" i="1"/>
  <c r="M9264" i="1"/>
  <c r="L9264" i="1"/>
  <c r="V9263" i="1"/>
  <c r="U9263" i="1"/>
  <c r="T9263" i="1"/>
  <c r="S9263" i="1"/>
  <c r="R9263" i="1"/>
  <c r="Q9263" i="1"/>
  <c r="M9263" i="1"/>
  <c r="L9263" i="1"/>
  <c r="V9262" i="1"/>
  <c r="U9262" i="1"/>
  <c r="T9262" i="1"/>
  <c r="S9262" i="1"/>
  <c r="R9262" i="1"/>
  <c r="Q9262" i="1"/>
  <c r="M9262" i="1"/>
  <c r="L9262" i="1"/>
  <c r="V9261" i="1"/>
  <c r="U9261" i="1"/>
  <c r="T9261" i="1"/>
  <c r="S9261" i="1"/>
  <c r="R9261" i="1"/>
  <c r="Q9261" i="1"/>
  <c r="M9261" i="1"/>
  <c r="L9261" i="1"/>
  <c r="V9260" i="1"/>
  <c r="U9260" i="1"/>
  <c r="T9260" i="1"/>
  <c r="S9260" i="1"/>
  <c r="R9260" i="1"/>
  <c r="Q9260" i="1"/>
  <c r="M9260" i="1"/>
  <c r="L9260" i="1"/>
  <c r="V9259" i="1"/>
  <c r="U9259" i="1"/>
  <c r="T9259" i="1"/>
  <c r="S9259" i="1"/>
  <c r="R9259" i="1"/>
  <c r="Q9259" i="1"/>
  <c r="M9259" i="1"/>
  <c r="L9259" i="1"/>
  <c r="V9258" i="1"/>
  <c r="U9258" i="1"/>
  <c r="T9258" i="1"/>
  <c r="S9258" i="1"/>
  <c r="R9258" i="1"/>
  <c r="Q9258" i="1"/>
  <c r="M9258" i="1"/>
  <c r="L9258" i="1"/>
  <c r="V9257" i="1"/>
  <c r="U9257" i="1"/>
  <c r="T9257" i="1"/>
  <c r="S9257" i="1"/>
  <c r="R9257" i="1"/>
  <c r="Q9257" i="1"/>
  <c r="M9257" i="1"/>
  <c r="L9257" i="1"/>
  <c r="V9256" i="1"/>
  <c r="U9256" i="1"/>
  <c r="T9256" i="1"/>
  <c r="S9256" i="1"/>
  <c r="R9256" i="1"/>
  <c r="Q9256" i="1"/>
  <c r="M9256" i="1"/>
  <c r="L9256" i="1"/>
  <c r="V9255" i="1"/>
  <c r="U9255" i="1"/>
  <c r="T9255" i="1"/>
  <c r="S9255" i="1"/>
  <c r="R9255" i="1"/>
  <c r="Q9255" i="1"/>
  <c r="M9255" i="1"/>
  <c r="L9255" i="1"/>
  <c r="V9254" i="1"/>
  <c r="U9254" i="1"/>
  <c r="T9254" i="1"/>
  <c r="S9254" i="1"/>
  <c r="R9254" i="1"/>
  <c r="Q9254" i="1"/>
  <c r="M9254" i="1"/>
  <c r="L9254" i="1"/>
  <c r="V9253" i="1"/>
  <c r="U9253" i="1"/>
  <c r="T9253" i="1"/>
  <c r="S9253" i="1"/>
  <c r="R9253" i="1"/>
  <c r="Q9253" i="1"/>
  <c r="M9253" i="1"/>
  <c r="L9253" i="1"/>
  <c r="V9252" i="1"/>
  <c r="U9252" i="1"/>
  <c r="T9252" i="1"/>
  <c r="S9252" i="1"/>
  <c r="R9252" i="1"/>
  <c r="Q9252" i="1"/>
  <c r="M9252" i="1"/>
  <c r="L9252" i="1"/>
  <c r="V9251" i="1"/>
  <c r="U9251" i="1"/>
  <c r="T9251" i="1"/>
  <c r="S9251" i="1"/>
  <c r="R9251" i="1"/>
  <c r="Q9251" i="1"/>
  <c r="M9251" i="1"/>
  <c r="L9251" i="1"/>
  <c r="V9250" i="1"/>
  <c r="U9250" i="1"/>
  <c r="T9250" i="1"/>
  <c r="S9250" i="1"/>
  <c r="R9250" i="1"/>
  <c r="Q9250" i="1"/>
  <c r="M9250" i="1"/>
  <c r="L9250" i="1"/>
  <c r="V9249" i="1"/>
  <c r="U9249" i="1"/>
  <c r="T9249" i="1"/>
  <c r="S9249" i="1"/>
  <c r="R9249" i="1"/>
  <c r="Q9249" i="1"/>
  <c r="M9249" i="1"/>
  <c r="L9249" i="1"/>
  <c r="V9248" i="1"/>
  <c r="U9248" i="1"/>
  <c r="T9248" i="1"/>
  <c r="S9248" i="1"/>
  <c r="R9248" i="1"/>
  <c r="Q9248" i="1"/>
  <c r="M9248" i="1"/>
  <c r="L9248" i="1"/>
  <c r="V9247" i="1"/>
  <c r="U9247" i="1"/>
  <c r="T9247" i="1"/>
  <c r="S9247" i="1"/>
  <c r="R9247" i="1"/>
  <c r="Q9247" i="1"/>
  <c r="M9247" i="1"/>
  <c r="L9247" i="1"/>
  <c r="V9246" i="1"/>
  <c r="U9246" i="1"/>
  <c r="T9246" i="1"/>
  <c r="S9246" i="1"/>
  <c r="R9246" i="1"/>
  <c r="Q9246" i="1"/>
  <c r="M9246" i="1"/>
  <c r="L9246" i="1"/>
  <c r="V9245" i="1"/>
  <c r="U9245" i="1"/>
  <c r="T9245" i="1"/>
  <c r="S9245" i="1"/>
  <c r="R9245" i="1"/>
  <c r="Q9245" i="1"/>
  <c r="M9245" i="1"/>
  <c r="L9245" i="1"/>
  <c r="V9244" i="1"/>
  <c r="U9244" i="1"/>
  <c r="T9244" i="1"/>
  <c r="S9244" i="1"/>
  <c r="R9244" i="1"/>
  <c r="Q9244" i="1"/>
  <c r="M9244" i="1"/>
  <c r="L9244" i="1"/>
  <c r="V9243" i="1"/>
  <c r="U9243" i="1"/>
  <c r="T9243" i="1"/>
  <c r="S9243" i="1"/>
  <c r="R9243" i="1"/>
  <c r="Q9243" i="1"/>
  <c r="M9243" i="1"/>
  <c r="L9243" i="1"/>
  <c r="V9242" i="1"/>
  <c r="U9242" i="1"/>
  <c r="T9242" i="1"/>
  <c r="S9242" i="1"/>
  <c r="R9242" i="1"/>
  <c r="Q9242" i="1"/>
  <c r="M9242" i="1"/>
  <c r="L9242" i="1"/>
  <c r="V9241" i="1"/>
  <c r="U9241" i="1"/>
  <c r="T9241" i="1"/>
  <c r="S9241" i="1"/>
  <c r="R9241" i="1"/>
  <c r="Q9241" i="1"/>
  <c r="M9241" i="1"/>
  <c r="L9241" i="1"/>
  <c r="V9240" i="1"/>
  <c r="U9240" i="1"/>
  <c r="T9240" i="1"/>
  <c r="S9240" i="1"/>
  <c r="R9240" i="1"/>
  <c r="Q9240" i="1"/>
  <c r="M9240" i="1"/>
  <c r="L9240" i="1"/>
  <c r="V9239" i="1"/>
  <c r="U9239" i="1"/>
  <c r="T9239" i="1"/>
  <c r="S9239" i="1"/>
  <c r="R9239" i="1"/>
  <c r="Q9239" i="1"/>
  <c r="M9239" i="1"/>
  <c r="L9239" i="1"/>
  <c r="V9238" i="1"/>
  <c r="U9238" i="1"/>
  <c r="T9238" i="1"/>
  <c r="S9238" i="1"/>
  <c r="R9238" i="1"/>
  <c r="Q9238" i="1"/>
  <c r="M9238" i="1"/>
  <c r="L9238" i="1"/>
  <c r="V9237" i="1"/>
  <c r="U9237" i="1"/>
  <c r="T9237" i="1"/>
  <c r="S9237" i="1"/>
  <c r="R9237" i="1"/>
  <c r="Q9237" i="1"/>
  <c r="M9237" i="1"/>
  <c r="L9237" i="1"/>
  <c r="V9236" i="1"/>
  <c r="U9236" i="1"/>
  <c r="T9236" i="1"/>
  <c r="S9236" i="1"/>
  <c r="R9236" i="1"/>
  <c r="Q9236" i="1"/>
  <c r="M9236" i="1"/>
  <c r="L9236" i="1"/>
  <c r="V9235" i="1"/>
  <c r="U9235" i="1"/>
  <c r="T9235" i="1"/>
  <c r="S9235" i="1"/>
  <c r="R9235" i="1"/>
  <c r="Q9235" i="1"/>
  <c r="M9235" i="1"/>
  <c r="L9235" i="1"/>
  <c r="V9234" i="1"/>
  <c r="U9234" i="1"/>
  <c r="T9234" i="1"/>
  <c r="S9234" i="1"/>
  <c r="R9234" i="1"/>
  <c r="Q9234" i="1"/>
  <c r="M9234" i="1"/>
  <c r="L9234" i="1"/>
  <c r="V9233" i="1"/>
  <c r="U9233" i="1"/>
  <c r="T9233" i="1"/>
  <c r="S9233" i="1"/>
  <c r="R9233" i="1"/>
  <c r="Q9233" i="1"/>
  <c r="M9233" i="1"/>
  <c r="L9233" i="1"/>
  <c r="V9232" i="1"/>
  <c r="U9232" i="1"/>
  <c r="T9232" i="1"/>
  <c r="S9232" i="1"/>
  <c r="R9232" i="1"/>
  <c r="Q9232" i="1"/>
  <c r="M9232" i="1"/>
  <c r="L9232" i="1"/>
  <c r="V9231" i="1"/>
  <c r="U9231" i="1"/>
  <c r="T9231" i="1"/>
  <c r="S9231" i="1"/>
  <c r="R9231" i="1"/>
  <c r="Q9231" i="1"/>
  <c r="M9231" i="1"/>
  <c r="L9231" i="1"/>
  <c r="V9230" i="1"/>
  <c r="U9230" i="1"/>
  <c r="T9230" i="1"/>
  <c r="S9230" i="1"/>
  <c r="R9230" i="1"/>
  <c r="Q9230" i="1"/>
  <c r="M9230" i="1"/>
  <c r="L9230" i="1"/>
  <c r="V9229" i="1"/>
  <c r="U9229" i="1"/>
  <c r="T9229" i="1"/>
  <c r="S9229" i="1"/>
  <c r="R9229" i="1"/>
  <c r="Q9229" i="1"/>
  <c r="M9229" i="1"/>
  <c r="L9229" i="1"/>
  <c r="V9228" i="1"/>
  <c r="U9228" i="1"/>
  <c r="T9228" i="1"/>
  <c r="S9228" i="1"/>
  <c r="R9228" i="1"/>
  <c r="Q9228" i="1"/>
  <c r="M9228" i="1"/>
  <c r="L9228" i="1"/>
  <c r="V9227" i="1"/>
  <c r="U9227" i="1"/>
  <c r="T9227" i="1"/>
  <c r="S9227" i="1"/>
  <c r="R9227" i="1"/>
  <c r="Q9227" i="1"/>
  <c r="M9227" i="1"/>
  <c r="L9227" i="1"/>
  <c r="V9226" i="1"/>
  <c r="U9226" i="1"/>
  <c r="T9226" i="1"/>
  <c r="S9226" i="1"/>
  <c r="R9226" i="1"/>
  <c r="Q9226" i="1"/>
  <c r="M9226" i="1"/>
  <c r="L9226" i="1"/>
  <c r="V9225" i="1"/>
  <c r="U9225" i="1"/>
  <c r="T9225" i="1"/>
  <c r="S9225" i="1"/>
  <c r="R9225" i="1"/>
  <c r="Q9225" i="1"/>
  <c r="M9225" i="1"/>
  <c r="L9225" i="1"/>
  <c r="V9224" i="1"/>
  <c r="U9224" i="1"/>
  <c r="T9224" i="1"/>
  <c r="S9224" i="1"/>
  <c r="R9224" i="1"/>
  <c r="Q9224" i="1"/>
  <c r="M9224" i="1"/>
  <c r="L9224" i="1"/>
  <c r="V9223" i="1"/>
  <c r="U9223" i="1"/>
  <c r="T9223" i="1"/>
  <c r="S9223" i="1"/>
  <c r="R9223" i="1"/>
  <c r="Q9223" i="1"/>
  <c r="M9223" i="1"/>
  <c r="L9223" i="1"/>
  <c r="V9222" i="1"/>
  <c r="U9222" i="1"/>
  <c r="T9222" i="1"/>
  <c r="S9222" i="1"/>
  <c r="R9222" i="1"/>
  <c r="Q9222" i="1"/>
  <c r="M9222" i="1"/>
  <c r="L9222" i="1"/>
  <c r="V9221" i="1"/>
  <c r="U9221" i="1"/>
  <c r="T9221" i="1"/>
  <c r="S9221" i="1"/>
  <c r="R9221" i="1"/>
  <c r="Q9221" i="1"/>
  <c r="M9221" i="1"/>
  <c r="L9221" i="1"/>
  <c r="V9220" i="1"/>
  <c r="U9220" i="1"/>
  <c r="T9220" i="1"/>
  <c r="S9220" i="1"/>
  <c r="R9220" i="1"/>
  <c r="Q9220" i="1"/>
  <c r="M9220" i="1"/>
  <c r="L9220" i="1"/>
  <c r="V9219" i="1"/>
  <c r="U9219" i="1"/>
  <c r="T9219" i="1"/>
  <c r="S9219" i="1"/>
  <c r="R9219" i="1"/>
  <c r="Q9219" i="1"/>
  <c r="M9219" i="1"/>
  <c r="L9219" i="1"/>
  <c r="V9218" i="1"/>
  <c r="U9218" i="1"/>
  <c r="T9218" i="1"/>
  <c r="S9218" i="1"/>
  <c r="R9218" i="1"/>
  <c r="Q9218" i="1"/>
  <c r="M9218" i="1"/>
  <c r="L9218" i="1"/>
  <c r="V9217" i="1"/>
  <c r="U9217" i="1"/>
  <c r="T9217" i="1"/>
  <c r="S9217" i="1"/>
  <c r="R9217" i="1"/>
  <c r="Q9217" i="1"/>
  <c r="M9217" i="1"/>
  <c r="L9217" i="1"/>
  <c r="V9216" i="1"/>
  <c r="U9216" i="1"/>
  <c r="T9216" i="1"/>
  <c r="S9216" i="1"/>
  <c r="R9216" i="1"/>
  <c r="Q9216" i="1"/>
  <c r="M9216" i="1"/>
  <c r="L9216" i="1"/>
  <c r="V9215" i="1"/>
  <c r="U9215" i="1"/>
  <c r="T9215" i="1"/>
  <c r="S9215" i="1"/>
  <c r="R9215" i="1"/>
  <c r="Q9215" i="1"/>
  <c r="M9215" i="1"/>
  <c r="L9215" i="1"/>
  <c r="V9214" i="1"/>
  <c r="U9214" i="1"/>
  <c r="T9214" i="1"/>
  <c r="S9214" i="1"/>
  <c r="R9214" i="1"/>
  <c r="Q9214" i="1"/>
  <c r="M9214" i="1"/>
  <c r="L9214" i="1"/>
  <c r="V9213" i="1"/>
  <c r="U9213" i="1"/>
  <c r="T9213" i="1"/>
  <c r="S9213" i="1"/>
  <c r="R9213" i="1"/>
  <c r="Q9213" i="1"/>
  <c r="M9213" i="1"/>
  <c r="L9213" i="1"/>
  <c r="V9212" i="1"/>
  <c r="U9212" i="1"/>
  <c r="T9212" i="1"/>
  <c r="S9212" i="1"/>
  <c r="R9212" i="1"/>
  <c r="Q9212" i="1"/>
  <c r="M9212" i="1"/>
  <c r="L9212" i="1"/>
  <c r="V9211" i="1"/>
  <c r="U9211" i="1"/>
  <c r="T9211" i="1"/>
  <c r="S9211" i="1"/>
  <c r="R9211" i="1"/>
  <c r="Q9211" i="1"/>
  <c r="M9211" i="1"/>
  <c r="L9211" i="1"/>
  <c r="V9210" i="1"/>
  <c r="U9210" i="1"/>
  <c r="T9210" i="1"/>
  <c r="S9210" i="1"/>
  <c r="R9210" i="1"/>
  <c r="Q9210" i="1"/>
  <c r="M9210" i="1"/>
  <c r="L9210" i="1"/>
  <c r="V9209" i="1"/>
  <c r="U9209" i="1"/>
  <c r="T9209" i="1"/>
  <c r="S9209" i="1"/>
  <c r="R9209" i="1"/>
  <c r="Q9209" i="1"/>
  <c r="M9209" i="1"/>
  <c r="L9209" i="1"/>
  <c r="V9208" i="1"/>
  <c r="U9208" i="1"/>
  <c r="T9208" i="1"/>
  <c r="S9208" i="1"/>
  <c r="R9208" i="1"/>
  <c r="Q9208" i="1"/>
  <c r="M9208" i="1"/>
  <c r="L9208" i="1"/>
  <c r="V9207" i="1"/>
  <c r="U9207" i="1"/>
  <c r="T9207" i="1"/>
  <c r="S9207" i="1"/>
  <c r="R9207" i="1"/>
  <c r="Q9207" i="1"/>
  <c r="M9207" i="1"/>
  <c r="L9207" i="1"/>
  <c r="V9206" i="1"/>
  <c r="U9206" i="1"/>
  <c r="T9206" i="1"/>
  <c r="S9206" i="1"/>
  <c r="R9206" i="1"/>
  <c r="Q9206" i="1"/>
  <c r="M9206" i="1"/>
  <c r="L9206" i="1"/>
  <c r="V9205" i="1"/>
  <c r="U9205" i="1"/>
  <c r="T9205" i="1"/>
  <c r="S9205" i="1"/>
  <c r="R9205" i="1"/>
  <c r="Q9205" i="1"/>
  <c r="M9205" i="1"/>
  <c r="L9205" i="1"/>
  <c r="V9204" i="1"/>
  <c r="U9204" i="1"/>
  <c r="T9204" i="1"/>
  <c r="S9204" i="1"/>
  <c r="R9204" i="1"/>
  <c r="Q9204" i="1"/>
  <c r="M9204" i="1"/>
  <c r="L9204" i="1"/>
  <c r="V9203" i="1"/>
  <c r="U9203" i="1"/>
  <c r="T9203" i="1"/>
  <c r="S9203" i="1"/>
  <c r="R9203" i="1"/>
  <c r="Q9203" i="1"/>
  <c r="M9203" i="1"/>
  <c r="L9203" i="1"/>
  <c r="V9202" i="1"/>
  <c r="U9202" i="1"/>
  <c r="T9202" i="1"/>
  <c r="S9202" i="1"/>
  <c r="R9202" i="1"/>
  <c r="Q9202" i="1"/>
  <c r="M9202" i="1"/>
  <c r="L9202" i="1"/>
  <c r="V9201" i="1"/>
  <c r="U9201" i="1"/>
  <c r="T9201" i="1"/>
  <c r="S9201" i="1"/>
  <c r="R9201" i="1"/>
  <c r="Q9201" i="1"/>
  <c r="M9201" i="1"/>
  <c r="L9201" i="1"/>
  <c r="V9200" i="1"/>
  <c r="U9200" i="1"/>
  <c r="T9200" i="1"/>
  <c r="S9200" i="1"/>
  <c r="R9200" i="1"/>
  <c r="Q9200" i="1"/>
  <c r="M9200" i="1"/>
  <c r="L9200" i="1"/>
  <c r="V9199" i="1"/>
  <c r="U9199" i="1"/>
  <c r="T9199" i="1"/>
  <c r="S9199" i="1"/>
  <c r="R9199" i="1"/>
  <c r="Q9199" i="1"/>
  <c r="M9199" i="1"/>
  <c r="L9199" i="1"/>
  <c r="V9198" i="1"/>
  <c r="U9198" i="1"/>
  <c r="T9198" i="1"/>
  <c r="S9198" i="1"/>
  <c r="R9198" i="1"/>
  <c r="Q9198" i="1"/>
  <c r="M9198" i="1"/>
  <c r="L9198" i="1"/>
  <c r="V9197" i="1"/>
  <c r="U9197" i="1"/>
  <c r="T9197" i="1"/>
  <c r="S9197" i="1"/>
  <c r="R9197" i="1"/>
  <c r="Q9197" i="1"/>
  <c r="M9197" i="1"/>
  <c r="L9197" i="1"/>
  <c r="V9196" i="1"/>
  <c r="U9196" i="1"/>
  <c r="T9196" i="1"/>
  <c r="S9196" i="1"/>
  <c r="R9196" i="1"/>
  <c r="Q9196" i="1"/>
  <c r="M9196" i="1"/>
  <c r="L9196" i="1"/>
  <c r="V9195" i="1"/>
  <c r="U9195" i="1"/>
  <c r="T9195" i="1"/>
  <c r="S9195" i="1"/>
  <c r="R9195" i="1"/>
  <c r="Q9195" i="1"/>
  <c r="M9195" i="1"/>
  <c r="L9195" i="1"/>
  <c r="V9194" i="1"/>
  <c r="U9194" i="1"/>
  <c r="T9194" i="1"/>
  <c r="S9194" i="1"/>
  <c r="R9194" i="1"/>
  <c r="Q9194" i="1"/>
  <c r="M9194" i="1"/>
  <c r="L9194" i="1"/>
  <c r="V9193" i="1"/>
  <c r="U9193" i="1"/>
  <c r="T9193" i="1"/>
  <c r="S9193" i="1"/>
  <c r="R9193" i="1"/>
  <c r="Q9193" i="1"/>
  <c r="M9193" i="1"/>
  <c r="L9193" i="1"/>
  <c r="V9192" i="1"/>
  <c r="U9192" i="1"/>
  <c r="T9192" i="1"/>
  <c r="S9192" i="1"/>
  <c r="R9192" i="1"/>
  <c r="Q9192" i="1"/>
  <c r="M9192" i="1"/>
  <c r="L9192" i="1"/>
  <c r="V9191" i="1"/>
  <c r="U9191" i="1"/>
  <c r="T9191" i="1"/>
  <c r="S9191" i="1"/>
  <c r="R9191" i="1"/>
  <c r="Q9191" i="1"/>
  <c r="M9191" i="1"/>
  <c r="L9191" i="1"/>
  <c r="V9190" i="1"/>
  <c r="U9190" i="1"/>
  <c r="T9190" i="1"/>
  <c r="S9190" i="1"/>
  <c r="R9190" i="1"/>
  <c r="Q9190" i="1"/>
  <c r="M9190" i="1"/>
  <c r="L9190" i="1"/>
  <c r="V9189" i="1"/>
  <c r="U9189" i="1"/>
  <c r="T9189" i="1"/>
  <c r="S9189" i="1"/>
  <c r="R9189" i="1"/>
  <c r="Q9189" i="1"/>
  <c r="M9189" i="1"/>
  <c r="L9189" i="1"/>
  <c r="V9188" i="1"/>
  <c r="U9188" i="1"/>
  <c r="T9188" i="1"/>
  <c r="S9188" i="1"/>
  <c r="R9188" i="1"/>
  <c r="Q9188" i="1"/>
  <c r="M9188" i="1"/>
  <c r="L9188" i="1"/>
  <c r="V9187" i="1"/>
  <c r="U9187" i="1"/>
  <c r="T9187" i="1"/>
  <c r="S9187" i="1"/>
  <c r="R9187" i="1"/>
  <c r="Q9187" i="1"/>
  <c r="M9187" i="1"/>
  <c r="L9187" i="1"/>
  <c r="V9186" i="1"/>
  <c r="U9186" i="1"/>
  <c r="T9186" i="1"/>
  <c r="S9186" i="1"/>
  <c r="R9186" i="1"/>
  <c r="Q9186" i="1"/>
  <c r="M9186" i="1"/>
  <c r="L9186" i="1"/>
  <c r="V9185" i="1"/>
  <c r="U9185" i="1"/>
  <c r="T9185" i="1"/>
  <c r="S9185" i="1"/>
  <c r="R9185" i="1"/>
  <c r="Q9185" i="1"/>
  <c r="M9185" i="1"/>
  <c r="L9185" i="1"/>
  <c r="V9184" i="1"/>
  <c r="U9184" i="1"/>
  <c r="T9184" i="1"/>
  <c r="S9184" i="1"/>
  <c r="R9184" i="1"/>
  <c r="Q9184" i="1"/>
  <c r="M9184" i="1"/>
  <c r="L9184" i="1"/>
  <c r="V9183" i="1"/>
  <c r="U9183" i="1"/>
  <c r="T9183" i="1"/>
  <c r="S9183" i="1"/>
  <c r="R9183" i="1"/>
  <c r="Q9183" i="1"/>
  <c r="M9183" i="1"/>
  <c r="L9183" i="1"/>
  <c r="V9182" i="1"/>
  <c r="U9182" i="1"/>
  <c r="T9182" i="1"/>
  <c r="S9182" i="1"/>
  <c r="R9182" i="1"/>
  <c r="Q9182" i="1"/>
  <c r="M9182" i="1"/>
  <c r="L9182" i="1"/>
  <c r="V9181" i="1"/>
  <c r="U9181" i="1"/>
  <c r="T9181" i="1"/>
  <c r="S9181" i="1"/>
  <c r="R9181" i="1"/>
  <c r="Q9181" i="1"/>
  <c r="M9181" i="1"/>
  <c r="L9181" i="1"/>
  <c r="V9180" i="1"/>
  <c r="U9180" i="1"/>
  <c r="T9180" i="1"/>
  <c r="S9180" i="1"/>
  <c r="R9180" i="1"/>
  <c r="Q9180" i="1"/>
  <c r="M9180" i="1"/>
  <c r="L9180" i="1"/>
  <c r="V9179" i="1"/>
  <c r="U9179" i="1"/>
  <c r="T9179" i="1"/>
  <c r="S9179" i="1"/>
  <c r="R9179" i="1"/>
  <c r="Q9179" i="1"/>
  <c r="M9179" i="1"/>
  <c r="L9179" i="1"/>
  <c r="V9178" i="1"/>
  <c r="U9178" i="1"/>
  <c r="T9178" i="1"/>
  <c r="S9178" i="1"/>
  <c r="R9178" i="1"/>
  <c r="Q9178" i="1"/>
  <c r="M9178" i="1"/>
  <c r="L9178" i="1"/>
  <c r="V9177" i="1"/>
  <c r="U9177" i="1"/>
  <c r="T9177" i="1"/>
  <c r="S9177" i="1"/>
  <c r="R9177" i="1"/>
  <c r="Q9177" i="1"/>
  <c r="M9177" i="1"/>
  <c r="L9177" i="1"/>
  <c r="V9176" i="1"/>
  <c r="U9176" i="1"/>
  <c r="T9176" i="1"/>
  <c r="S9176" i="1"/>
  <c r="R9176" i="1"/>
  <c r="Q9176" i="1"/>
  <c r="M9176" i="1"/>
  <c r="L9176" i="1"/>
  <c r="V9175" i="1"/>
  <c r="U9175" i="1"/>
  <c r="T9175" i="1"/>
  <c r="S9175" i="1"/>
  <c r="R9175" i="1"/>
  <c r="Q9175" i="1"/>
  <c r="M9175" i="1"/>
  <c r="L9175" i="1"/>
  <c r="V9174" i="1"/>
  <c r="U9174" i="1"/>
  <c r="T9174" i="1"/>
  <c r="S9174" i="1"/>
  <c r="R9174" i="1"/>
  <c r="Q9174" i="1"/>
  <c r="M9174" i="1"/>
  <c r="L9174" i="1"/>
  <c r="V9173" i="1"/>
  <c r="U9173" i="1"/>
  <c r="T9173" i="1"/>
  <c r="S9173" i="1"/>
  <c r="R9173" i="1"/>
  <c r="Q9173" i="1"/>
  <c r="M9173" i="1"/>
  <c r="L9173" i="1"/>
  <c r="V9172" i="1"/>
  <c r="U9172" i="1"/>
  <c r="T9172" i="1"/>
  <c r="S9172" i="1"/>
  <c r="R9172" i="1"/>
  <c r="Q9172" i="1"/>
  <c r="M9172" i="1"/>
  <c r="L9172" i="1"/>
  <c r="V9171" i="1"/>
  <c r="U9171" i="1"/>
  <c r="T9171" i="1"/>
  <c r="S9171" i="1"/>
  <c r="R9171" i="1"/>
  <c r="Q9171" i="1"/>
  <c r="M9171" i="1"/>
  <c r="L9171" i="1"/>
  <c r="V9170" i="1"/>
  <c r="U9170" i="1"/>
  <c r="T9170" i="1"/>
  <c r="S9170" i="1"/>
  <c r="R9170" i="1"/>
  <c r="Q9170" i="1"/>
  <c r="M9170" i="1"/>
  <c r="L9170" i="1"/>
  <c r="V9169" i="1"/>
  <c r="U9169" i="1"/>
  <c r="T9169" i="1"/>
  <c r="S9169" i="1"/>
  <c r="R9169" i="1"/>
  <c r="Q9169" i="1"/>
  <c r="M9169" i="1"/>
  <c r="L9169" i="1"/>
  <c r="V9168" i="1"/>
  <c r="U9168" i="1"/>
  <c r="T9168" i="1"/>
  <c r="S9168" i="1"/>
  <c r="R9168" i="1"/>
  <c r="Q9168" i="1"/>
  <c r="M9168" i="1"/>
  <c r="L9168" i="1"/>
  <c r="V9167" i="1"/>
  <c r="U9167" i="1"/>
  <c r="T9167" i="1"/>
  <c r="S9167" i="1"/>
  <c r="R9167" i="1"/>
  <c r="Q9167" i="1"/>
  <c r="M9167" i="1"/>
  <c r="L9167" i="1"/>
  <c r="V9166" i="1"/>
  <c r="U9166" i="1"/>
  <c r="T9166" i="1"/>
  <c r="S9166" i="1"/>
  <c r="R9166" i="1"/>
  <c r="Q9166" i="1"/>
  <c r="M9166" i="1"/>
  <c r="L9166" i="1"/>
  <c r="V9165" i="1"/>
  <c r="U9165" i="1"/>
  <c r="T9165" i="1"/>
  <c r="S9165" i="1"/>
  <c r="R9165" i="1"/>
  <c r="Q9165" i="1"/>
  <c r="M9165" i="1"/>
  <c r="L9165" i="1"/>
  <c r="V9164" i="1"/>
  <c r="U9164" i="1"/>
  <c r="T9164" i="1"/>
  <c r="S9164" i="1"/>
  <c r="R9164" i="1"/>
  <c r="Q9164" i="1"/>
  <c r="M9164" i="1"/>
  <c r="L9164" i="1"/>
  <c r="V9163" i="1"/>
  <c r="U9163" i="1"/>
  <c r="T9163" i="1"/>
  <c r="S9163" i="1"/>
  <c r="R9163" i="1"/>
  <c r="Q9163" i="1"/>
  <c r="M9163" i="1"/>
  <c r="L9163" i="1"/>
  <c r="V9162" i="1"/>
  <c r="U9162" i="1"/>
  <c r="T9162" i="1"/>
  <c r="S9162" i="1"/>
  <c r="R9162" i="1"/>
  <c r="Q9162" i="1"/>
  <c r="M9162" i="1"/>
  <c r="L9162" i="1"/>
  <c r="V9161" i="1"/>
  <c r="U9161" i="1"/>
  <c r="T9161" i="1"/>
  <c r="S9161" i="1"/>
  <c r="R9161" i="1"/>
  <c r="Q9161" i="1"/>
  <c r="M9161" i="1"/>
  <c r="L9161" i="1"/>
  <c r="V9160" i="1"/>
  <c r="U9160" i="1"/>
  <c r="T9160" i="1"/>
  <c r="S9160" i="1"/>
  <c r="R9160" i="1"/>
  <c r="Q9160" i="1"/>
  <c r="M9160" i="1"/>
  <c r="L9160" i="1"/>
  <c r="V9159" i="1"/>
  <c r="U9159" i="1"/>
  <c r="T9159" i="1"/>
  <c r="S9159" i="1"/>
  <c r="R9159" i="1"/>
  <c r="Q9159" i="1"/>
  <c r="M9159" i="1"/>
  <c r="L9159" i="1"/>
  <c r="V9158" i="1"/>
  <c r="U9158" i="1"/>
  <c r="T9158" i="1"/>
  <c r="S9158" i="1"/>
  <c r="R9158" i="1"/>
  <c r="Q9158" i="1"/>
  <c r="M9158" i="1"/>
  <c r="L9158" i="1"/>
  <c r="V9157" i="1"/>
  <c r="U9157" i="1"/>
  <c r="T9157" i="1"/>
  <c r="S9157" i="1"/>
  <c r="R9157" i="1"/>
  <c r="Q9157" i="1"/>
  <c r="M9157" i="1"/>
  <c r="L9157" i="1"/>
  <c r="V9156" i="1"/>
  <c r="U9156" i="1"/>
  <c r="T9156" i="1"/>
  <c r="S9156" i="1"/>
  <c r="R9156" i="1"/>
  <c r="Q9156" i="1"/>
  <c r="M9156" i="1"/>
  <c r="L9156" i="1"/>
  <c r="V9155" i="1"/>
  <c r="U9155" i="1"/>
  <c r="T9155" i="1"/>
  <c r="S9155" i="1"/>
  <c r="R9155" i="1"/>
  <c r="Q9155" i="1"/>
  <c r="M9155" i="1"/>
  <c r="L9155" i="1"/>
  <c r="V9154" i="1"/>
  <c r="U9154" i="1"/>
  <c r="T9154" i="1"/>
  <c r="S9154" i="1"/>
  <c r="R9154" i="1"/>
  <c r="Q9154" i="1"/>
  <c r="M9154" i="1"/>
  <c r="L9154" i="1"/>
  <c r="V9153" i="1"/>
  <c r="U9153" i="1"/>
  <c r="T9153" i="1"/>
  <c r="S9153" i="1"/>
  <c r="R9153" i="1"/>
  <c r="Q9153" i="1"/>
  <c r="M9153" i="1"/>
  <c r="L9153" i="1"/>
  <c r="V9152" i="1"/>
  <c r="U9152" i="1"/>
  <c r="T9152" i="1"/>
  <c r="S9152" i="1"/>
  <c r="R9152" i="1"/>
  <c r="Q9152" i="1"/>
  <c r="M9152" i="1"/>
  <c r="L9152" i="1"/>
  <c r="V9151" i="1"/>
  <c r="U9151" i="1"/>
  <c r="T9151" i="1"/>
  <c r="S9151" i="1"/>
  <c r="R9151" i="1"/>
  <c r="Q9151" i="1"/>
  <c r="M9151" i="1"/>
  <c r="L9151" i="1"/>
  <c r="V9150" i="1"/>
  <c r="U9150" i="1"/>
  <c r="T9150" i="1"/>
  <c r="S9150" i="1"/>
  <c r="R9150" i="1"/>
  <c r="Q9150" i="1"/>
  <c r="M9150" i="1"/>
  <c r="L9150" i="1"/>
  <c r="V9149" i="1"/>
  <c r="U9149" i="1"/>
  <c r="T9149" i="1"/>
  <c r="S9149" i="1"/>
  <c r="R9149" i="1"/>
  <c r="Q9149" i="1"/>
  <c r="M9149" i="1"/>
  <c r="L9149" i="1"/>
  <c r="V9148" i="1"/>
  <c r="U9148" i="1"/>
  <c r="T9148" i="1"/>
  <c r="S9148" i="1"/>
  <c r="R9148" i="1"/>
  <c r="Q9148" i="1"/>
  <c r="M9148" i="1"/>
  <c r="L9148" i="1"/>
  <c r="V9147" i="1"/>
  <c r="U9147" i="1"/>
  <c r="T9147" i="1"/>
  <c r="S9147" i="1"/>
  <c r="R9147" i="1"/>
  <c r="Q9147" i="1"/>
  <c r="M9147" i="1"/>
  <c r="L9147" i="1"/>
  <c r="V9146" i="1"/>
  <c r="U9146" i="1"/>
  <c r="T9146" i="1"/>
  <c r="S9146" i="1"/>
  <c r="R9146" i="1"/>
  <c r="Q9146" i="1"/>
  <c r="M9146" i="1"/>
  <c r="L9146" i="1"/>
  <c r="V9145" i="1"/>
  <c r="U9145" i="1"/>
  <c r="T9145" i="1"/>
  <c r="S9145" i="1"/>
  <c r="R9145" i="1"/>
  <c r="Q9145" i="1"/>
  <c r="M9145" i="1"/>
  <c r="L9145" i="1"/>
  <c r="V9144" i="1"/>
  <c r="U9144" i="1"/>
  <c r="T9144" i="1"/>
  <c r="S9144" i="1"/>
  <c r="R9144" i="1"/>
  <c r="Q9144" i="1"/>
  <c r="M9144" i="1"/>
  <c r="L9144" i="1"/>
  <c r="V9143" i="1"/>
  <c r="U9143" i="1"/>
  <c r="T9143" i="1"/>
  <c r="S9143" i="1"/>
  <c r="R9143" i="1"/>
  <c r="Q9143" i="1"/>
  <c r="M9143" i="1"/>
  <c r="L9143" i="1"/>
  <c r="V9142" i="1"/>
  <c r="U9142" i="1"/>
  <c r="T9142" i="1"/>
  <c r="S9142" i="1"/>
  <c r="R9142" i="1"/>
  <c r="Q9142" i="1"/>
  <c r="M9142" i="1"/>
  <c r="L9142" i="1"/>
  <c r="V9141" i="1"/>
  <c r="U9141" i="1"/>
  <c r="T9141" i="1"/>
  <c r="S9141" i="1"/>
  <c r="R9141" i="1"/>
  <c r="Q9141" i="1"/>
  <c r="M9141" i="1"/>
  <c r="L9141" i="1"/>
  <c r="V9140" i="1"/>
  <c r="U9140" i="1"/>
  <c r="T9140" i="1"/>
  <c r="S9140" i="1"/>
  <c r="R9140" i="1"/>
  <c r="Q9140" i="1"/>
  <c r="M9140" i="1"/>
  <c r="L9140" i="1"/>
  <c r="V9139" i="1"/>
  <c r="U9139" i="1"/>
  <c r="T9139" i="1"/>
  <c r="S9139" i="1"/>
  <c r="R9139" i="1"/>
  <c r="Q9139" i="1"/>
  <c r="M9139" i="1"/>
  <c r="L9139" i="1"/>
  <c r="V9138" i="1"/>
  <c r="U9138" i="1"/>
  <c r="T9138" i="1"/>
  <c r="S9138" i="1"/>
  <c r="R9138" i="1"/>
  <c r="Q9138" i="1"/>
  <c r="M9138" i="1"/>
  <c r="L9138" i="1"/>
  <c r="V9137" i="1"/>
  <c r="U9137" i="1"/>
  <c r="T9137" i="1"/>
  <c r="S9137" i="1"/>
  <c r="R9137" i="1"/>
  <c r="Q9137" i="1"/>
  <c r="M9137" i="1"/>
  <c r="L9137" i="1"/>
  <c r="V9136" i="1"/>
  <c r="U9136" i="1"/>
  <c r="T9136" i="1"/>
  <c r="S9136" i="1"/>
  <c r="R9136" i="1"/>
  <c r="Q9136" i="1"/>
  <c r="M9136" i="1"/>
  <c r="L9136" i="1"/>
  <c r="V9135" i="1"/>
  <c r="U9135" i="1"/>
  <c r="T9135" i="1"/>
  <c r="S9135" i="1"/>
  <c r="R9135" i="1"/>
  <c r="Q9135" i="1"/>
  <c r="M9135" i="1"/>
  <c r="L9135" i="1"/>
  <c r="V9134" i="1"/>
  <c r="U9134" i="1"/>
  <c r="T9134" i="1"/>
  <c r="S9134" i="1"/>
  <c r="R9134" i="1"/>
  <c r="Q9134" i="1"/>
  <c r="M9134" i="1"/>
  <c r="L9134" i="1"/>
  <c r="V9133" i="1"/>
  <c r="U9133" i="1"/>
  <c r="T9133" i="1"/>
  <c r="S9133" i="1"/>
  <c r="R9133" i="1"/>
  <c r="Q9133" i="1"/>
  <c r="M9133" i="1"/>
  <c r="L9133" i="1"/>
  <c r="V9132" i="1"/>
  <c r="U9132" i="1"/>
  <c r="T9132" i="1"/>
  <c r="S9132" i="1"/>
  <c r="R9132" i="1"/>
  <c r="Q9132" i="1"/>
  <c r="M9132" i="1"/>
  <c r="L9132" i="1"/>
  <c r="V9131" i="1"/>
  <c r="U9131" i="1"/>
  <c r="T9131" i="1"/>
  <c r="S9131" i="1"/>
  <c r="R9131" i="1"/>
  <c r="Q9131" i="1"/>
  <c r="M9131" i="1"/>
  <c r="L9131" i="1"/>
  <c r="V9130" i="1"/>
  <c r="U9130" i="1"/>
  <c r="T9130" i="1"/>
  <c r="S9130" i="1"/>
  <c r="R9130" i="1"/>
  <c r="Q9130" i="1"/>
  <c r="M9130" i="1"/>
  <c r="L9130" i="1"/>
  <c r="V9129" i="1"/>
  <c r="U9129" i="1"/>
  <c r="T9129" i="1"/>
  <c r="S9129" i="1"/>
  <c r="R9129" i="1"/>
  <c r="Q9129" i="1"/>
  <c r="M9129" i="1"/>
  <c r="L9129" i="1"/>
  <c r="V9128" i="1"/>
  <c r="U9128" i="1"/>
  <c r="T9128" i="1"/>
  <c r="S9128" i="1"/>
  <c r="R9128" i="1"/>
  <c r="Q9128" i="1"/>
  <c r="M9128" i="1"/>
  <c r="L9128" i="1"/>
  <c r="V9127" i="1"/>
  <c r="U9127" i="1"/>
  <c r="T9127" i="1"/>
  <c r="S9127" i="1"/>
  <c r="R9127" i="1"/>
  <c r="Q9127" i="1"/>
  <c r="M9127" i="1"/>
  <c r="L9127" i="1"/>
  <c r="V9126" i="1"/>
  <c r="U9126" i="1"/>
  <c r="T9126" i="1"/>
  <c r="S9126" i="1"/>
  <c r="R9126" i="1"/>
  <c r="Q9126" i="1"/>
  <c r="M9126" i="1"/>
  <c r="L9126" i="1"/>
  <c r="V9125" i="1"/>
  <c r="U9125" i="1"/>
  <c r="T9125" i="1"/>
  <c r="S9125" i="1"/>
  <c r="R9125" i="1"/>
  <c r="Q9125" i="1"/>
  <c r="M9125" i="1"/>
  <c r="L9125" i="1"/>
  <c r="V9124" i="1"/>
  <c r="U9124" i="1"/>
  <c r="T9124" i="1"/>
  <c r="S9124" i="1"/>
  <c r="R9124" i="1"/>
  <c r="Q9124" i="1"/>
  <c r="M9124" i="1"/>
  <c r="L9124" i="1"/>
  <c r="V9123" i="1"/>
  <c r="U9123" i="1"/>
  <c r="T9123" i="1"/>
  <c r="S9123" i="1"/>
  <c r="R9123" i="1"/>
  <c r="Q9123" i="1"/>
  <c r="M9123" i="1"/>
  <c r="L9123" i="1"/>
  <c r="V9122" i="1"/>
  <c r="U9122" i="1"/>
  <c r="T9122" i="1"/>
  <c r="S9122" i="1"/>
  <c r="R9122" i="1"/>
  <c r="Q9122" i="1"/>
  <c r="M9122" i="1"/>
  <c r="L9122" i="1"/>
  <c r="V9121" i="1"/>
  <c r="U9121" i="1"/>
  <c r="T9121" i="1"/>
  <c r="S9121" i="1"/>
  <c r="R9121" i="1"/>
  <c r="Q9121" i="1"/>
  <c r="M9121" i="1"/>
  <c r="L9121" i="1"/>
  <c r="V9120" i="1"/>
  <c r="U9120" i="1"/>
  <c r="T9120" i="1"/>
  <c r="S9120" i="1"/>
  <c r="R9120" i="1"/>
  <c r="Q9120" i="1"/>
  <c r="M9120" i="1"/>
  <c r="L9120" i="1"/>
  <c r="V9119" i="1"/>
  <c r="U9119" i="1"/>
  <c r="T9119" i="1"/>
  <c r="S9119" i="1"/>
  <c r="R9119" i="1"/>
  <c r="Q9119" i="1"/>
  <c r="M9119" i="1"/>
  <c r="L9119" i="1"/>
  <c r="V9118" i="1"/>
  <c r="U9118" i="1"/>
  <c r="T9118" i="1"/>
  <c r="S9118" i="1"/>
  <c r="R9118" i="1"/>
  <c r="Q9118" i="1"/>
  <c r="M9118" i="1"/>
  <c r="L9118" i="1"/>
  <c r="V9117" i="1"/>
  <c r="U9117" i="1"/>
  <c r="T9117" i="1"/>
  <c r="S9117" i="1"/>
  <c r="R9117" i="1"/>
  <c r="Q9117" i="1"/>
  <c r="M9117" i="1"/>
  <c r="L9117" i="1"/>
  <c r="V9116" i="1"/>
  <c r="U9116" i="1"/>
  <c r="T9116" i="1"/>
  <c r="S9116" i="1"/>
  <c r="R9116" i="1"/>
  <c r="Q9116" i="1"/>
  <c r="M9116" i="1"/>
  <c r="L9116" i="1"/>
  <c r="V9115" i="1"/>
  <c r="U9115" i="1"/>
  <c r="T9115" i="1"/>
  <c r="S9115" i="1"/>
  <c r="R9115" i="1"/>
  <c r="Q9115" i="1"/>
  <c r="M9115" i="1"/>
  <c r="L9115" i="1"/>
  <c r="V9114" i="1"/>
  <c r="U9114" i="1"/>
  <c r="T9114" i="1"/>
  <c r="S9114" i="1"/>
  <c r="R9114" i="1"/>
  <c r="Q9114" i="1"/>
  <c r="M9114" i="1"/>
  <c r="L9114" i="1"/>
  <c r="V9113" i="1"/>
  <c r="U9113" i="1"/>
  <c r="T9113" i="1"/>
  <c r="S9113" i="1"/>
  <c r="R9113" i="1"/>
  <c r="Q9113" i="1"/>
  <c r="M9113" i="1"/>
  <c r="L9113" i="1"/>
  <c r="V9112" i="1"/>
  <c r="U9112" i="1"/>
  <c r="T9112" i="1"/>
  <c r="S9112" i="1"/>
  <c r="R9112" i="1"/>
  <c r="Q9112" i="1"/>
  <c r="M9112" i="1"/>
  <c r="L9112" i="1"/>
  <c r="V9111" i="1"/>
  <c r="U9111" i="1"/>
  <c r="T9111" i="1"/>
  <c r="S9111" i="1"/>
  <c r="R9111" i="1"/>
  <c r="Q9111" i="1"/>
  <c r="M9111" i="1"/>
  <c r="L9111" i="1"/>
  <c r="V9110" i="1"/>
  <c r="U9110" i="1"/>
  <c r="T9110" i="1"/>
  <c r="S9110" i="1"/>
  <c r="R9110" i="1"/>
  <c r="Q9110" i="1"/>
  <c r="M9110" i="1"/>
  <c r="L9110" i="1"/>
  <c r="V9109" i="1"/>
  <c r="U9109" i="1"/>
  <c r="T9109" i="1"/>
  <c r="S9109" i="1"/>
  <c r="R9109" i="1"/>
  <c r="Q9109" i="1"/>
  <c r="M9109" i="1"/>
  <c r="L9109" i="1"/>
  <c r="V9108" i="1"/>
  <c r="U9108" i="1"/>
  <c r="T9108" i="1"/>
  <c r="S9108" i="1"/>
  <c r="R9108" i="1"/>
  <c r="Q9108" i="1"/>
  <c r="M9108" i="1"/>
  <c r="L9108" i="1"/>
  <c r="V9107" i="1"/>
  <c r="U9107" i="1"/>
  <c r="T9107" i="1"/>
  <c r="S9107" i="1"/>
  <c r="R9107" i="1"/>
  <c r="Q9107" i="1"/>
  <c r="M9107" i="1"/>
  <c r="L9107" i="1"/>
  <c r="V9106" i="1"/>
  <c r="U9106" i="1"/>
  <c r="T9106" i="1"/>
  <c r="S9106" i="1"/>
  <c r="R9106" i="1"/>
  <c r="Q9106" i="1"/>
  <c r="M9106" i="1"/>
  <c r="L9106" i="1"/>
  <c r="V9105" i="1"/>
  <c r="U9105" i="1"/>
  <c r="T9105" i="1"/>
  <c r="S9105" i="1"/>
  <c r="R9105" i="1"/>
  <c r="Q9105" i="1"/>
  <c r="M9105" i="1"/>
  <c r="L9105" i="1"/>
  <c r="V9104" i="1"/>
  <c r="U9104" i="1"/>
  <c r="T9104" i="1"/>
  <c r="S9104" i="1"/>
  <c r="R9104" i="1"/>
  <c r="Q9104" i="1"/>
  <c r="M9104" i="1"/>
  <c r="L9104" i="1"/>
  <c r="V9103" i="1"/>
  <c r="U9103" i="1"/>
  <c r="T9103" i="1"/>
  <c r="S9103" i="1"/>
  <c r="R9103" i="1"/>
  <c r="Q9103" i="1"/>
  <c r="M9103" i="1"/>
  <c r="L9103" i="1"/>
  <c r="V9102" i="1"/>
  <c r="U9102" i="1"/>
  <c r="T9102" i="1"/>
  <c r="S9102" i="1"/>
  <c r="R9102" i="1"/>
  <c r="Q9102" i="1"/>
  <c r="M9102" i="1"/>
  <c r="L9102" i="1"/>
  <c r="V9101" i="1"/>
  <c r="U9101" i="1"/>
  <c r="T9101" i="1"/>
  <c r="S9101" i="1"/>
  <c r="R9101" i="1"/>
  <c r="Q9101" i="1"/>
  <c r="M9101" i="1"/>
  <c r="L9101" i="1"/>
  <c r="V9100" i="1"/>
  <c r="U9100" i="1"/>
  <c r="T9100" i="1"/>
  <c r="S9100" i="1"/>
  <c r="R9100" i="1"/>
  <c r="Q9100" i="1"/>
  <c r="M9100" i="1"/>
  <c r="L9100" i="1"/>
  <c r="V9099" i="1"/>
  <c r="U9099" i="1"/>
  <c r="T9099" i="1"/>
  <c r="S9099" i="1"/>
  <c r="R9099" i="1"/>
  <c r="Q9099" i="1"/>
  <c r="M9099" i="1"/>
  <c r="L9099" i="1"/>
  <c r="V9098" i="1"/>
  <c r="U9098" i="1"/>
  <c r="T9098" i="1"/>
  <c r="S9098" i="1"/>
  <c r="R9098" i="1"/>
  <c r="Q9098" i="1"/>
  <c r="M9098" i="1"/>
  <c r="L9098" i="1"/>
  <c r="V9097" i="1"/>
  <c r="U9097" i="1"/>
  <c r="T9097" i="1"/>
  <c r="S9097" i="1"/>
  <c r="R9097" i="1"/>
  <c r="Q9097" i="1"/>
  <c r="M9097" i="1"/>
  <c r="L9097" i="1"/>
  <c r="V9096" i="1"/>
  <c r="U9096" i="1"/>
  <c r="T9096" i="1"/>
  <c r="S9096" i="1"/>
  <c r="R9096" i="1"/>
  <c r="Q9096" i="1"/>
  <c r="M9096" i="1"/>
  <c r="L9096" i="1"/>
  <c r="V9095" i="1"/>
  <c r="U9095" i="1"/>
  <c r="T9095" i="1"/>
  <c r="S9095" i="1"/>
  <c r="R9095" i="1"/>
  <c r="Q9095" i="1"/>
  <c r="M9095" i="1"/>
  <c r="L9095" i="1"/>
  <c r="V9094" i="1"/>
  <c r="U9094" i="1"/>
  <c r="T9094" i="1"/>
  <c r="S9094" i="1"/>
  <c r="R9094" i="1"/>
  <c r="Q9094" i="1"/>
  <c r="M9094" i="1"/>
  <c r="L9094" i="1"/>
  <c r="V9093" i="1"/>
  <c r="U9093" i="1"/>
  <c r="T9093" i="1"/>
  <c r="S9093" i="1"/>
  <c r="R9093" i="1"/>
  <c r="Q9093" i="1"/>
  <c r="M9093" i="1"/>
  <c r="L9093" i="1"/>
  <c r="V9092" i="1"/>
  <c r="U9092" i="1"/>
  <c r="T9092" i="1"/>
  <c r="S9092" i="1"/>
  <c r="R9092" i="1"/>
  <c r="Q9092" i="1"/>
  <c r="M9092" i="1"/>
  <c r="L9092" i="1"/>
  <c r="V9091" i="1"/>
  <c r="U9091" i="1"/>
  <c r="T9091" i="1"/>
  <c r="S9091" i="1"/>
  <c r="R9091" i="1"/>
  <c r="Q9091" i="1"/>
  <c r="M9091" i="1"/>
  <c r="L9091" i="1"/>
  <c r="V9090" i="1"/>
  <c r="U9090" i="1"/>
  <c r="T9090" i="1"/>
  <c r="S9090" i="1"/>
  <c r="R9090" i="1"/>
  <c r="Q9090" i="1"/>
  <c r="M9090" i="1"/>
  <c r="L9090" i="1"/>
  <c r="V9089" i="1"/>
  <c r="U9089" i="1"/>
  <c r="T9089" i="1"/>
  <c r="S9089" i="1"/>
  <c r="R9089" i="1"/>
  <c r="Q9089" i="1"/>
  <c r="M9089" i="1"/>
  <c r="L9089" i="1"/>
  <c r="V9088" i="1"/>
  <c r="U9088" i="1"/>
  <c r="T9088" i="1"/>
  <c r="S9088" i="1"/>
  <c r="R9088" i="1"/>
  <c r="Q9088" i="1"/>
  <c r="M9088" i="1"/>
  <c r="L9088" i="1"/>
  <c r="V9087" i="1"/>
  <c r="U9087" i="1"/>
  <c r="T9087" i="1"/>
  <c r="S9087" i="1"/>
  <c r="R9087" i="1"/>
  <c r="Q9087" i="1"/>
  <c r="M9087" i="1"/>
  <c r="L9087" i="1"/>
  <c r="V9086" i="1"/>
  <c r="U9086" i="1"/>
  <c r="T9086" i="1"/>
  <c r="S9086" i="1"/>
  <c r="R9086" i="1"/>
  <c r="Q9086" i="1"/>
  <c r="M9086" i="1"/>
  <c r="L9086" i="1"/>
  <c r="V9085" i="1"/>
  <c r="U9085" i="1"/>
  <c r="T9085" i="1"/>
  <c r="S9085" i="1"/>
  <c r="R9085" i="1"/>
  <c r="Q9085" i="1"/>
  <c r="M9085" i="1"/>
  <c r="L9085" i="1"/>
  <c r="V9084" i="1"/>
  <c r="U9084" i="1"/>
  <c r="T9084" i="1"/>
  <c r="S9084" i="1"/>
  <c r="R9084" i="1"/>
  <c r="Q9084" i="1"/>
  <c r="M9084" i="1"/>
  <c r="L9084" i="1"/>
  <c r="V9083" i="1"/>
  <c r="U9083" i="1"/>
  <c r="T9083" i="1"/>
  <c r="S9083" i="1"/>
  <c r="R9083" i="1"/>
  <c r="Q9083" i="1"/>
  <c r="M9083" i="1"/>
  <c r="L9083" i="1"/>
  <c r="V9082" i="1"/>
  <c r="U9082" i="1"/>
  <c r="T9082" i="1"/>
  <c r="S9082" i="1"/>
  <c r="R9082" i="1"/>
  <c r="Q9082" i="1"/>
  <c r="M9082" i="1"/>
  <c r="L9082" i="1"/>
  <c r="V9081" i="1"/>
  <c r="U9081" i="1"/>
  <c r="T9081" i="1"/>
  <c r="S9081" i="1"/>
  <c r="R9081" i="1"/>
  <c r="Q9081" i="1"/>
  <c r="M9081" i="1"/>
  <c r="L9081" i="1"/>
  <c r="V9080" i="1"/>
  <c r="U9080" i="1"/>
  <c r="T9080" i="1"/>
  <c r="S9080" i="1"/>
  <c r="R9080" i="1"/>
  <c r="Q9080" i="1"/>
  <c r="M9080" i="1"/>
  <c r="L9080" i="1"/>
  <c r="V9079" i="1"/>
  <c r="U9079" i="1"/>
  <c r="T9079" i="1"/>
  <c r="S9079" i="1"/>
  <c r="R9079" i="1"/>
  <c r="Q9079" i="1"/>
  <c r="M9079" i="1"/>
  <c r="L9079" i="1"/>
  <c r="V9078" i="1"/>
  <c r="U9078" i="1"/>
  <c r="T9078" i="1"/>
  <c r="S9078" i="1"/>
  <c r="R9078" i="1"/>
  <c r="Q9078" i="1"/>
  <c r="M9078" i="1"/>
  <c r="L9078" i="1"/>
  <c r="V9077" i="1"/>
  <c r="U9077" i="1"/>
  <c r="T9077" i="1"/>
  <c r="S9077" i="1"/>
  <c r="R9077" i="1"/>
  <c r="Q9077" i="1"/>
  <c r="M9077" i="1"/>
  <c r="L9077" i="1"/>
  <c r="V9076" i="1"/>
  <c r="U9076" i="1"/>
  <c r="T9076" i="1"/>
  <c r="S9076" i="1"/>
  <c r="R9076" i="1"/>
  <c r="Q9076" i="1"/>
  <c r="M9076" i="1"/>
  <c r="L9076" i="1"/>
  <c r="V9075" i="1"/>
  <c r="U9075" i="1"/>
  <c r="T9075" i="1"/>
  <c r="S9075" i="1"/>
  <c r="R9075" i="1"/>
  <c r="Q9075" i="1"/>
  <c r="M9075" i="1"/>
  <c r="L9075" i="1"/>
  <c r="V9074" i="1"/>
  <c r="U9074" i="1"/>
  <c r="T9074" i="1"/>
  <c r="S9074" i="1"/>
  <c r="R9074" i="1"/>
  <c r="Q9074" i="1"/>
  <c r="M9074" i="1"/>
  <c r="L9074" i="1"/>
  <c r="V9073" i="1"/>
  <c r="U9073" i="1"/>
  <c r="T9073" i="1"/>
  <c r="S9073" i="1"/>
  <c r="R9073" i="1"/>
  <c r="Q9073" i="1"/>
  <c r="M9073" i="1"/>
  <c r="L9073" i="1"/>
  <c r="V9072" i="1"/>
  <c r="U9072" i="1"/>
  <c r="T9072" i="1"/>
  <c r="S9072" i="1"/>
  <c r="R9072" i="1"/>
  <c r="Q9072" i="1"/>
  <c r="M9072" i="1"/>
  <c r="L9072" i="1"/>
  <c r="V9071" i="1"/>
  <c r="U9071" i="1"/>
  <c r="T9071" i="1"/>
  <c r="S9071" i="1"/>
  <c r="R9071" i="1"/>
  <c r="Q9071" i="1"/>
  <c r="M9071" i="1"/>
  <c r="L9071" i="1"/>
  <c r="V9070" i="1"/>
  <c r="U9070" i="1"/>
  <c r="T9070" i="1"/>
  <c r="S9070" i="1"/>
  <c r="R9070" i="1"/>
  <c r="Q9070" i="1"/>
  <c r="M9070" i="1"/>
  <c r="L9070" i="1"/>
  <c r="V9069" i="1"/>
  <c r="U9069" i="1"/>
  <c r="T9069" i="1"/>
  <c r="S9069" i="1"/>
  <c r="R9069" i="1"/>
  <c r="Q9069" i="1"/>
  <c r="M9069" i="1"/>
  <c r="L9069" i="1"/>
  <c r="V9068" i="1"/>
  <c r="U9068" i="1"/>
  <c r="T9068" i="1"/>
  <c r="S9068" i="1"/>
  <c r="R9068" i="1"/>
  <c r="Q9068" i="1"/>
  <c r="M9068" i="1"/>
  <c r="L9068" i="1"/>
  <c r="V9067" i="1"/>
  <c r="U9067" i="1"/>
  <c r="T9067" i="1"/>
  <c r="S9067" i="1"/>
  <c r="R9067" i="1"/>
  <c r="Q9067" i="1"/>
  <c r="M9067" i="1"/>
  <c r="L9067" i="1"/>
  <c r="V9066" i="1"/>
  <c r="U9066" i="1"/>
  <c r="T9066" i="1"/>
  <c r="S9066" i="1"/>
  <c r="R9066" i="1"/>
  <c r="Q9066" i="1"/>
  <c r="M9066" i="1"/>
  <c r="L9066" i="1"/>
  <c r="V9065" i="1"/>
  <c r="U9065" i="1"/>
  <c r="T9065" i="1"/>
  <c r="S9065" i="1"/>
  <c r="R9065" i="1"/>
  <c r="Q9065" i="1"/>
  <c r="M9065" i="1"/>
  <c r="L9065" i="1"/>
  <c r="V9064" i="1"/>
  <c r="U9064" i="1"/>
  <c r="T9064" i="1"/>
  <c r="S9064" i="1"/>
  <c r="R9064" i="1"/>
  <c r="Q9064" i="1"/>
  <c r="M9064" i="1"/>
  <c r="L9064" i="1"/>
  <c r="V9063" i="1"/>
  <c r="U9063" i="1"/>
  <c r="T9063" i="1"/>
  <c r="S9063" i="1"/>
  <c r="R9063" i="1"/>
  <c r="Q9063" i="1"/>
  <c r="M9063" i="1"/>
  <c r="L9063" i="1"/>
  <c r="V9062" i="1"/>
  <c r="U9062" i="1"/>
  <c r="T9062" i="1"/>
  <c r="S9062" i="1"/>
  <c r="R9062" i="1"/>
  <c r="Q9062" i="1"/>
  <c r="M9062" i="1"/>
  <c r="L9062" i="1"/>
  <c r="V9061" i="1"/>
  <c r="U9061" i="1"/>
  <c r="T9061" i="1"/>
  <c r="S9061" i="1"/>
  <c r="R9061" i="1"/>
  <c r="Q9061" i="1"/>
  <c r="M9061" i="1"/>
  <c r="L9061" i="1"/>
  <c r="V9060" i="1"/>
  <c r="U9060" i="1"/>
  <c r="T9060" i="1"/>
  <c r="S9060" i="1"/>
  <c r="R9060" i="1"/>
  <c r="Q9060" i="1"/>
  <c r="M9060" i="1"/>
  <c r="L9060" i="1"/>
  <c r="V9059" i="1"/>
  <c r="U9059" i="1"/>
  <c r="T9059" i="1"/>
  <c r="S9059" i="1"/>
  <c r="R9059" i="1"/>
  <c r="Q9059" i="1"/>
  <c r="M9059" i="1"/>
  <c r="L9059" i="1"/>
  <c r="V9058" i="1"/>
  <c r="U9058" i="1"/>
  <c r="T9058" i="1"/>
  <c r="S9058" i="1"/>
  <c r="R9058" i="1"/>
  <c r="Q9058" i="1"/>
  <c r="M9058" i="1"/>
  <c r="L9058" i="1"/>
  <c r="V9057" i="1"/>
  <c r="U9057" i="1"/>
  <c r="T9057" i="1"/>
  <c r="S9057" i="1"/>
  <c r="R9057" i="1"/>
  <c r="Q9057" i="1"/>
  <c r="M9057" i="1"/>
  <c r="L9057" i="1"/>
  <c r="V9056" i="1"/>
  <c r="U9056" i="1"/>
  <c r="T9056" i="1"/>
  <c r="S9056" i="1"/>
  <c r="R9056" i="1"/>
  <c r="Q9056" i="1"/>
  <c r="M9056" i="1"/>
  <c r="L9056" i="1"/>
  <c r="V9055" i="1"/>
  <c r="U9055" i="1"/>
  <c r="T9055" i="1"/>
  <c r="S9055" i="1"/>
  <c r="R9055" i="1"/>
  <c r="Q9055" i="1"/>
  <c r="M9055" i="1"/>
  <c r="L9055" i="1"/>
  <c r="V9054" i="1"/>
  <c r="U9054" i="1"/>
  <c r="T9054" i="1"/>
  <c r="S9054" i="1"/>
  <c r="R9054" i="1"/>
  <c r="Q9054" i="1"/>
  <c r="M9054" i="1"/>
  <c r="L9054" i="1"/>
  <c r="V9053" i="1"/>
  <c r="U9053" i="1"/>
  <c r="T9053" i="1"/>
  <c r="S9053" i="1"/>
  <c r="R9053" i="1"/>
  <c r="Q9053" i="1"/>
  <c r="M9053" i="1"/>
  <c r="L9053" i="1"/>
  <c r="V9052" i="1"/>
  <c r="U9052" i="1"/>
  <c r="T9052" i="1"/>
  <c r="S9052" i="1"/>
  <c r="R9052" i="1"/>
  <c r="Q9052" i="1"/>
  <c r="M9052" i="1"/>
  <c r="L9052" i="1"/>
  <c r="V9051" i="1"/>
  <c r="U9051" i="1"/>
  <c r="T9051" i="1"/>
  <c r="S9051" i="1"/>
  <c r="R9051" i="1"/>
  <c r="Q9051" i="1"/>
  <c r="M9051" i="1"/>
  <c r="L9051" i="1"/>
  <c r="V9050" i="1"/>
  <c r="U9050" i="1"/>
  <c r="T9050" i="1"/>
  <c r="S9050" i="1"/>
  <c r="R9050" i="1"/>
  <c r="Q9050" i="1"/>
  <c r="M9050" i="1"/>
  <c r="L9050" i="1"/>
  <c r="V9049" i="1"/>
  <c r="U9049" i="1"/>
  <c r="T9049" i="1"/>
  <c r="S9049" i="1"/>
  <c r="R9049" i="1"/>
  <c r="Q9049" i="1"/>
  <c r="M9049" i="1"/>
  <c r="L9049" i="1"/>
  <c r="V9048" i="1"/>
  <c r="U9048" i="1"/>
  <c r="T9048" i="1"/>
  <c r="S9048" i="1"/>
  <c r="R9048" i="1"/>
  <c r="Q9048" i="1"/>
  <c r="M9048" i="1"/>
  <c r="L9048" i="1"/>
  <c r="V9047" i="1"/>
  <c r="U9047" i="1"/>
  <c r="T9047" i="1"/>
  <c r="S9047" i="1"/>
  <c r="R9047" i="1"/>
  <c r="Q9047" i="1"/>
  <c r="M9047" i="1"/>
  <c r="L9047" i="1"/>
  <c r="V9046" i="1"/>
  <c r="U9046" i="1"/>
  <c r="T9046" i="1"/>
  <c r="S9046" i="1"/>
  <c r="R9046" i="1"/>
  <c r="Q9046" i="1"/>
  <c r="M9046" i="1"/>
  <c r="L9046" i="1"/>
  <c r="V9045" i="1"/>
  <c r="U9045" i="1"/>
  <c r="T9045" i="1"/>
  <c r="S9045" i="1"/>
  <c r="R9045" i="1"/>
  <c r="Q9045" i="1"/>
  <c r="M9045" i="1"/>
  <c r="L9045" i="1"/>
  <c r="V9044" i="1"/>
  <c r="U9044" i="1"/>
  <c r="T9044" i="1"/>
  <c r="S9044" i="1"/>
  <c r="R9044" i="1"/>
  <c r="Q9044" i="1"/>
  <c r="M9044" i="1"/>
  <c r="L9044" i="1"/>
  <c r="V9043" i="1"/>
  <c r="U9043" i="1"/>
  <c r="T9043" i="1"/>
  <c r="S9043" i="1"/>
  <c r="R9043" i="1"/>
  <c r="Q9043" i="1"/>
  <c r="M9043" i="1"/>
  <c r="L9043" i="1"/>
  <c r="V9042" i="1"/>
  <c r="U9042" i="1"/>
  <c r="T9042" i="1"/>
  <c r="S9042" i="1"/>
  <c r="R9042" i="1"/>
  <c r="Q9042" i="1"/>
  <c r="M9042" i="1"/>
  <c r="L9042" i="1"/>
  <c r="V9041" i="1"/>
  <c r="U9041" i="1"/>
  <c r="T9041" i="1"/>
  <c r="S9041" i="1"/>
  <c r="R9041" i="1"/>
  <c r="Q9041" i="1"/>
  <c r="M9041" i="1"/>
  <c r="L9041" i="1"/>
  <c r="V9040" i="1"/>
  <c r="U9040" i="1"/>
  <c r="T9040" i="1"/>
  <c r="S9040" i="1"/>
  <c r="R9040" i="1"/>
  <c r="Q9040" i="1"/>
  <c r="M9040" i="1"/>
  <c r="L9040" i="1"/>
  <c r="V9039" i="1"/>
  <c r="U9039" i="1"/>
  <c r="T9039" i="1"/>
  <c r="S9039" i="1"/>
  <c r="R9039" i="1"/>
  <c r="Q9039" i="1"/>
  <c r="M9039" i="1"/>
  <c r="L9039" i="1"/>
  <c r="V9038" i="1"/>
  <c r="U9038" i="1"/>
  <c r="T9038" i="1"/>
  <c r="S9038" i="1"/>
  <c r="R9038" i="1"/>
  <c r="Q9038" i="1"/>
  <c r="M9038" i="1"/>
  <c r="L9038" i="1"/>
  <c r="V9037" i="1"/>
  <c r="U9037" i="1"/>
  <c r="T9037" i="1"/>
  <c r="S9037" i="1"/>
  <c r="R9037" i="1"/>
  <c r="Q9037" i="1"/>
  <c r="M9037" i="1"/>
  <c r="L9037" i="1"/>
  <c r="V9036" i="1"/>
  <c r="U9036" i="1"/>
  <c r="T9036" i="1"/>
  <c r="S9036" i="1"/>
  <c r="R9036" i="1"/>
  <c r="Q9036" i="1"/>
  <c r="M9036" i="1"/>
  <c r="L9036" i="1"/>
  <c r="V9035" i="1"/>
  <c r="U9035" i="1"/>
  <c r="T9035" i="1"/>
  <c r="S9035" i="1"/>
  <c r="R9035" i="1"/>
  <c r="Q9035" i="1"/>
  <c r="M9035" i="1"/>
  <c r="L9035" i="1"/>
  <c r="V9034" i="1"/>
  <c r="U9034" i="1"/>
  <c r="T9034" i="1"/>
  <c r="S9034" i="1"/>
  <c r="R9034" i="1"/>
  <c r="Q9034" i="1"/>
  <c r="M9034" i="1"/>
  <c r="L9034" i="1"/>
  <c r="V9033" i="1"/>
  <c r="U9033" i="1"/>
  <c r="T9033" i="1"/>
  <c r="S9033" i="1"/>
  <c r="R9033" i="1"/>
  <c r="Q9033" i="1"/>
  <c r="M9033" i="1"/>
  <c r="L9033" i="1"/>
  <c r="V9032" i="1"/>
  <c r="U9032" i="1"/>
  <c r="T9032" i="1"/>
  <c r="S9032" i="1"/>
  <c r="R9032" i="1"/>
  <c r="Q9032" i="1"/>
  <c r="M9032" i="1"/>
  <c r="L9032" i="1"/>
  <c r="V9031" i="1"/>
  <c r="U9031" i="1"/>
  <c r="T9031" i="1"/>
  <c r="S9031" i="1"/>
  <c r="R9031" i="1"/>
  <c r="Q9031" i="1"/>
  <c r="M9031" i="1"/>
  <c r="L9031" i="1"/>
  <c r="V9030" i="1"/>
  <c r="U9030" i="1"/>
  <c r="T9030" i="1"/>
  <c r="S9030" i="1"/>
  <c r="R9030" i="1"/>
  <c r="Q9030" i="1"/>
  <c r="M9030" i="1"/>
  <c r="L9030" i="1"/>
  <c r="V9029" i="1"/>
  <c r="U9029" i="1"/>
  <c r="T9029" i="1"/>
  <c r="S9029" i="1"/>
  <c r="R9029" i="1"/>
  <c r="Q9029" i="1"/>
  <c r="M9029" i="1"/>
  <c r="L9029" i="1"/>
  <c r="V9028" i="1"/>
  <c r="U9028" i="1"/>
  <c r="T9028" i="1"/>
  <c r="S9028" i="1"/>
  <c r="R9028" i="1"/>
  <c r="Q9028" i="1"/>
  <c r="M9028" i="1"/>
  <c r="L9028" i="1"/>
  <c r="V9027" i="1"/>
  <c r="U9027" i="1"/>
  <c r="T9027" i="1"/>
  <c r="S9027" i="1"/>
  <c r="R9027" i="1"/>
  <c r="Q9027" i="1"/>
  <c r="M9027" i="1"/>
  <c r="L9027" i="1"/>
  <c r="V9026" i="1"/>
  <c r="U9026" i="1"/>
  <c r="T9026" i="1"/>
  <c r="S9026" i="1"/>
  <c r="R9026" i="1"/>
  <c r="Q9026" i="1"/>
  <c r="M9026" i="1"/>
  <c r="L9026" i="1"/>
  <c r="V9025" i="1"/>
  <c r="U9025" i="1"/>
  <c r="T9025" i="1"/>
  <c r="S9025" i="1"/>
  <c r="R9025" i="1"/>
  <c r="Q9025" i="1"/>
  <c r="M9025" i="1"/>
  <c r="L9025" i="1"/>
  <c r="V9024" i="1"/>
  <c r="U9024" i="1"/>
  <c r="T9024" i="1"/>
  <c r="S9024" i="1"/>
  <c r="R9024" i="1"/>
  <c r="Q9024" i="1"/>
  <c r="M9024" i="1"/>
  <c r="L9024" i="1"/>
  <c r="V9023" i="1"/>
  <c r="U9023" i="1"/>
  <c r="T9023" i="1"/>
  <c r="S9023" i="1"/>
  <c r="R9023" i="1"/>
  <c r="Q9023" i="1"/>
  <c r="M9023" i="1"/>
  <c r="L9023" i="1"/>
  <c r="V9022" i="1"/>
  <c r="U9022" i="1"/>
  <c r="T9022" i="1"/>
  <c r="S9022" i="1"/>
  <c r="R9022" i="1"/>
  <c r="Q9022" i="1"/>
  <c r="M9022" i="1"/>
  <c r="L9022" i="1"/>
  <c r="V9021" i="1"/>
  <c r="U9021" i="1"/>
  <c r="T9021" i="1"/>
  <c r="S9021" i="1"/>
  <c r="R9021" i="1"/>
  <c r="Q9021" i="1"/>
  <c r="M9021" i="1"/>
  <c r="L9021" i="1"/>
  <c r="V9020" i="1"/>
  <c r="U9020" i="1"/>
  <c r="T9020" i="1"/>
  <c r="S9020" i="1"/>
  <c r="R9020" i="1"/>
  <c r="Q9020" i="1"/>
  <c r="M9020" i="1"/>
  <c r="L9020" i="1"/>
  <c r="V9019" i="1"/>
  <c r="U9019" i="1"/>
  <c r="T9019" i="1"/>
  <c r="S9019" i="1"/>
  <c r="R9019" i="1"/>
  <c r="Q9019" i="1"/>
  <c r="M9019" i="1"/>
  <c r="L9019" i="1"/>
  <c r="V9018" i="1"/>
  <c r="U9018" i="1"/>
  <c r="T9018" i="1"/>
  <c r="S9018" i="1"/>
  <c r="R9018" i="1"/>
  <c r="Q9018" i="1"/>
  <c r="M9018" i="1"/>
  <c r="L9018" i="1"/>
  <c r="V9017" i="1"/>
  <c r="U9017" i="1"/>
  <c r="T9017" i="1"/>
  <c r="S9017" i="1"/>
  <c r="R9017" i="1"/>
  <c r="Q9017" i="1"/>
  <c r="M9017" i="1"/>
  <c r="L9017" i="1"/>
  <c r="V9016" i="1"/>
  <c r="U9016" i="1"/>
  <c r="T9016" i="1"/>
  <c r="S9016" i="1"/>
  <c r="R9016" i="1"/>
  <c r="Q9016" i="1"/>
  <c r="M9016" i="1"/>
  <c r="L9016" i="1"/>
  <c r="V9015" i="1"/>
  <c r="U9015" i="1"/>
  <c r="T9015" i="1"/>
  <c r="S9015" i="1"/>
  <c r="R9015" i="1"/>
  <c r="Q9015" i="1"/>
  <c r="M9015" i="1"/>
  <c r="L9015" i="1"/>
  <c r="V9014" i="1"/>
  <c r="U9014" i="1"/>
  <c r="T9014" i="1"/>
  <c r="S9014" i="1"/>
  <c r="R9014" i="1"/>
  <c r="Q9014" i="1"/>
  <c r="M9014" i="1"/>
  <c r="L9014" i="1"/>
  <c r="V9013" i="1"/>
  <c r="U9013" i="1"/>
  <c r="T9013" i="1"/>
  <c r="S9013" i="1"/>
  <c r="R9013" i="1"/>
  <c r="Q9013" i="1"/>
  <c r="M9013" i="1"/>
  <c r="L9013" i="1"/>
  <c r="V9012" i="1"/>
  <c r="U9012" i="1"/>
  <c r="T9012" i="1"/>
  <c r="S9012" i="1"/>
  <c r="R9012" i="1"/>
  <c r="Q9012" i="1"/>
  <c r="M9012" i="1"/>
  <c r="L9012" i="1"/>
  <c r="V9011" i="1"/>
  <c r="U9011" i="1"/>
  <c r="T9011" i="1"/>
  <c r="S9011" i="1"/>
  <c r="R9011" i="1"/>
  <c r="Q9011" i="1"/>
  <c r="M9011" i="1"/>
  <c r="L9011" i="1"/>
  <c r="V9010" i="1"/>
  <c r="U9010" i="1"/>
  <c r="T9010" i="1"/>
  <c r="S9010" i="1"/>
  <c r="R9010" i="1"/>
  <c r="Q9010" i="1"/>
  <c r="M9010" i="1"/>
  <c r="L9010" i="1"/>
  <c r="V9009" i="1"/>
  <c r="U9009" i="1"/>
  <c r="T9009" i="1"/>
  <c r="S9009" i="1"/>
  <c r="R9009" i="1"/>
  <c r="Q9009" i="1"/>
  <c r="M9009" i="1"/>
  <c r="L9009" i="1"/>
  <c r="V9008" i="1"/>
  <c r="U9008" i="1"/>
  <c r="T9008" i="1"/>
  <c r="S9008" i="1"/>
  <c r="R9008" i="1"/>
  <c r="Q9008" i="1"/>
  <c r="M9008" i="1"/>
  <c r="L9008" i="1"/>
  <c r="V9007" i="1"/>
  <c r="U9007" i="1"/>
  <c r="T9007" i="1"/>
  <c r="S9007" i="1"/>
  <c r="R9007" i="1"/>
  <c r="Q9007" i="1"/>
  <c r="M9007" i="1"/>
  <c r="L9007" i="1"/>
  <c r="V9006" i="1"/>
  <c r="U9006" i="1"/>
  <c r="T9006" i="1"/>
  <c r="S9006" i="1"/>
  <c r="R9006" i="1"/>
  <c r="Q9006" i="1"/>
  <c r="M9006" i="1"/>
  <c r="L9006" i="1"/>
  <c r="V9005" i="1"/>
  <c r="U9005" i="1"/>
  <c r="T9005" i="1"/>
  <c r="S9005" i="1"/>
  <c r="R9005" i="1"/>
  <c r="Q9005" i="1"/>
  <c r="M9005" i="1"/>
  <c r="L9005" i="1"/>
  <c r="V9004" i="1"/>
  <c r="U9004" i="1"/>
  <c r="T9004" i="1"/>
  <c r="S9004" i="1"/>
  <c r="R9004" i="1"/>
  <c r="Q9004" i="1"/>
  <c r="M9004" i="1"/>
  <c r="L9004" i="1"/>
  <c r="V9003" i="1"/>
  <c r="U9003" i="1"/>
  <c r="T9003" i="1"/>
  <c r="S9003" i="1"/>
  <c r="R9003" i="1"/>
  <c r="Q9003" i="1"/>
  <c r="M9003" i="1"/>
  <c r="L9003" i="1"/>
  <c r="V9002" i="1"/>
  <c r="U9002" i="1"/>
  <c r="T9002" i="1"/>
  <c r="S9002" i="1"/>
  <c r="R9002" i="1"/>
  <c r="Q9002" i="1"/>
  <c r="M9002" i="1"/>
  <c r="L9002" i="1"/>
  <c r="V9001" i="1"/>
  <c r="U9001" i="1"/>
  <c r="T9001" i="1"/>
  <c r="S9001" i="1"/>
  <c r="R9001" i="1"/>
  <c r="Q9001" i="1"/>
  <c r="M9001" i="1"/>
  <c r="L9001" i="1"/>
  <c r="V9000" i="1"/>
  <c r="U9000" i="1"/>
  <c r="T9000" i="1"/>
  <c r="S9000" i="1"/>
  <c r="R9000" i="1"/>
  <c r="Q9000" i="1"/>
  <c r="M9000" i="1"/>
  <c r="L9000" i="1"/>
  <c r="V8999" i="1"/>
  <c r="U8999" i="1"/>
  <c r="T8999" i="1"/>
  <c r="S8999" i="1"/>
  <c r="R8999" i="1"/>
  <c r="Q8999" i="1"/>
  <c r="M8999" i="1"/>
  <c r="L8999" i="1"/>
  <c r="V8998" i="1"/>
  <c r="U8998" i="1"/>
  <c r="T8998" i="1"/>
  <c r="S8998" i="1"/>
  <c r="R8998" i="1"/>
  <c r="Q8998" i="1"/>
  <c r="M8998" i="1"/>
  <c r="L8998" i="1"/>
  <c r="V8997" i="1"/>
  <c r="U8997" i="1"/>
  <c r="T8997" i="1"/>
  <c r="S8997" i="1"/>
  <c r="R8997" i="1"/>
  <c r="Q8997" i="1"/>
  <c r="M8997" i="1"/>
  <c r="L8997" i="1"/>
  <c r="V8996" i="1"/>
  <c r="U8996" i="1"/>
  <c r="T8996" i="1"/>
  <c r="S8996" i="1"/>
  <c r="R8996" i="1"/>
  <c r="Q8996" i="1"/>
  <c r="M8996" i="1"/>
  <c r="L8996" i="1"/>
  <c r="V8995" i="1"/>
  <c r="U8995" i="1"/>
  <c r="T8995" i="1"/>
  <c r="S8995" i="1"/>
  <c r="R8995" i="1"/>
  <c r="Q8995" i="1"/>
  <c r="M8995" i="1"/>
  <c r="L8995" i="1"/>
  <c r="V8994" i="1"/>
  <c r="U8994" i="1"/>
  <c r="T8994" i="1"/>
  <c r="S8994" i="1"/>
  <c r="R8994" i="1"/>
  <c r="Q8994" i="1"/>
  <c r="M8994" i="1"/>
  <c r="L8994" i="1"/>
  <c r="V8993" i="1"/>
  <c r="U8993" i="1"/>
  <c r="T8993" i="1"/>
  <c r="S8993" i="1"/>
  <c r="R8993" i="1"/>
  <c r="Q8993" i="1"/>
  <c r="M8993" i="1"/>
  <c r="L8993" i="1"/>
  <c r="V8992" i="1"/>
  <c r="U8992" i="1"/>
  <c r="T8992" i="1"/>
  <c r="S8992" i="1"/>
  <c r="R8992" i="1"/>
  <c r="Q8992" i="1"/>
  <c r="M8992" i="1"/>
  <c r="L8992" i="1"/>
  <c r="V8991" i="1"/>
  <c r="U8991" i="1"/>
  <c r="T8991" i="1"/>
  <c r="S8991" i="1"/>
  <c r="R8991" i="1"/>
  <c r="Q8991" i="1"/>
  <c r="M8991" i="1"/>
  <c r="L8991" i="1"/>
  <c r="V8990" i="1"/>
  <c r="U8990" i="1"/>
  <c r="T8990" i="1"/>
  <c r="S8990" i="1"/>
  <c r="R8990" i="1"/>
  <c r="Q8990" i="1"/>
  <c r="M8990" i="1"/>
  <c r="L8990" i="1"/>
  <c r="V8989" i="1"/>
  <c r="U8989" i="1"/>
  <c r="T8989" i="1"/>
  <c r="S8989" i="1"/>
  <c r="R8989" i="1"/>
  <c r="Q8989" i="1"/>
  <c r="M8989" i="1"/>
  <c r="L8989" i="1"/>
  <c r="V8988" i="1"/>
  <c r="U8988" i="1"/>
  <c r="T8988" i="1"/>
  <c r="S8988" i="1"/>
  <c r="R8988" i="1"/>
  <c r="Q8988" i="1"/>
  <c r="M8988" i="1"/>
  <c r="L8988" i="1"/>
  <c r="V8987" i="1"/>
  <c r="U8987" i="1"/>
  <c r="T8987" i="1"/>
  <c r="S8987" i="1"/>
  <c r="R8987" i="1"/>
  <c r="Q8987" i="1"/>
  <c r="M8987" i="1"/>
  <c r="L8987" i="1"/>
  <c r="V8986" i="1"/>
  <c r="U8986" i="1"/>
  <c r="T8986" i="1"/>
  <c r="S8986" i="1"/>
  <c r="R8986" i="1"/>
  <c r="Q8986" i="1"/>
  <c r="M8986" i="1"/>
  <c r="L8986" i="1"/>
  <c r="V8985" i="1"/>
  <c r="U8985" i="1"/>
  <c r="T8985" i="1"/>
  <c r="S8985" i="1"/>
  <c r="R8985" i="1"/>
  <c r="Q8985" i="1"/>
  <c r="M8985" i="1"/>
  <c r="L8985" i="1"/>
  <c r="V8984" i="1"/>
  <c r="U8984" i="1"/>
  <c r="T8984" i="1"/>
  <c r="S8984" i="1"/>
  <c r="R8984" i="1"/>
  <c r="Q8984" i="1"/>
  <c r="M8984" i="1"/>
  <c r="L8984" i="1"/>
  <c r="V8983" i="1"/>
  <c r="U8983" i="1"/>
  <c r="T8983" i="1"/>
  <c r="S8983" i="1"/>
  <c r="R8983" i="1"/>
  <c r="Q8983" i="1"/>
  <c r="M8983" i="1"/>
  <c r="L8983" i="1"/>
  <c r="V8982" i="1"/>
  <c r="U8982" i="1"/>
  <c r="T8982" i="1"/>
  <c r="S8982" i="1"/>
  <c r="R8982" i="1"/>
  <c r="Q8982" i="1"/>
  <c r="M8982" i="1"/>
  <c r="L8982" i="1"/>
  <c r="V8981" i="1"/>
  <c r="U8981" i="1"/>
  <c r="T8981" i="1"/>
  <c r="S8981" i="1"/>
  <c r="R8981" i="1"/>
  <c r="Q8981" i="1"/>
  <c r="M8981" i="1"/>
  <c r="L8981" i="1"/>
  <c r="V8980" i="1"/>
  <c r="U8980" i="1"/>
  <c r="T8980" i="1"/>
  <c r="S8980" i="1"/>
  <c r="R8980" i="1"/>
  <c r="Q8980" i="1"/>
  <c r="M8980" i="1"/>
  <c r="L8980" i="1"/>
  <c r="V8979" i="1"/>
  <c r="U8979" i="1"/>
  <c r="T8979" i="1"/>
  <c r="S8979" i="1"/>
  <c r="R8979" i="1"/>
  <c r="Q8979" i="1"/>
  <c r="M8979" i="1"/>
  <c r="L8979" i="1"/>
  <c r="V8978" i="1"/>
  <c r="U8978" i="1"/>
  <c r="T8978" i="1"/>
  <c r="S8978" i="1"/>
  <c r="R8978" i="1"/>
  <c r="Q8978" i="1"/>
  <c r="M8978" i="1"/>
  <c r="L8978" i="1"/>
  <c r="V8977" i="1"/>
  <c r="U8977" i="1"/>
  <c r="T8977" i="1"/>
  <c r="S8977" i="1"/>
  <c r="R8977" i="1"/>
  <c r="Q8977" i="1"/>
  <c r="M8977" i="1"/>
  <c r="L8977" i="1"/>
  <c r="V8976" i="1"/>
  <c r="U8976" i="1"/>
  <c r="T8976" i="1"/>
  <c r="S8976" i="1"/>
  <c r="R8976" i="1"/>
  <c r="Q8976" i="1"/>
  <c r="M8976" i="1"/>
  <c r="L8976" i="1"/>
  <c r="V8975" i="1"/>
  <c r="U8975" i="1"/>
  <c r="T8975" i="1"/>
  <c r="S8975" i="1"/>
  <c r="R8975" i="1"/>
  <c r="Q8975" i="1"/>
  <c r="M8975" i="1"/>
  <c r="L8975" i="1"/>
  <c r="V8974" i="1"/>
  <c r="U8974" i="1"/>
  <c r="T8974" i="1"/>
  <c r="S8974" i="1"/>
  <c r="R8974" i="1"/>
  <c r="Q8974" i="1"/>
  <c r="M8974" i="1"/>
  <c r="L8974" i="1"/>
  <c r="V8973" i="1"/>
  <c r="U8973" i="1"/>
  <c r="T8973" i="1"/>
  <c r="S8973" i="1"/>
  <c r="R8973" i="1"/>
  <c r="Q8973" i="1"/>
  <c r="M8973" i="1"/>
  <c r="L8973" i="1"/>
  <c r="V8972" i="1"/>
  <c r="U8972" i="1"/>
  <c r="T8972" i="1"/>
  <c r="S8972" i="1"/>
  <c r="R8972" i="1"/>
  <c r="Q8972" i="1"/>
  <c r="M8972" i="1"/>
  <c r="L8972" i="1"/>
  <c r="V8971" i="1"/>
  <c r="U8971" i="1"/>
  <c r="T8971" i="1"/>
  <c r="S8971" i="1"/>
  <c r="R8971" i="1"/>
  <c r="Q8971" i="1"/>
  <c r="M8971" i="1"/>
  <c r="L8971" i="1"/>
  <c r="V8970" i="1"/>
  <c r="U8970" i="1"/>
  <c r="T8970" i="1"/>
  <c r="S8970" i="1"/>
  <c r="R8970" i="1"/>
  <c r="Q8970" i="1"/>
  <c r="M8970" i="1"/>
  <c r="L8970" i="1"/>
  <c r="V8969" i="1"/>
  <c r="U8969" i="1"/>
  <c r="T8969" i="1"/>
  <c r="S8969" i="1"/>
  <c r="R8969" i="1"/>
  <c r="Q8969" i="1"/>
  <c r="M8969" i="1"/>
  <c r="L8969" i="1"/>
  <c r="V8968" i="1"/>
  <c r="U8968" i="1"/>
  <c r="T8968" i="1"/>
  <c r="S8968" i="1"/>
  <c r="R8968" i="1"/>
  <c r="Q8968" i="1"/>
  <c r="M8968" i="1"/>
  <c r="L8968" i="1"/>
  <c r="V8967" i="1"/>
  <c r="U8967" i="1"/>
  <c r="T8967" i="1"/>
  <c r="S8967" i="1"/>
  <c r="R8967" i="1"/>
  <c r="Q8967" i="1"/>
  <c r="M8967" i="1"/>
  <c r="L8967" i="1"/>
  <c r="V8966" i="1"/>
  <c r="U8966" i="1"/>
  <c r="T8966" i="1"/>
  <c r="S8966" i="1"/>
  <c r="R8966" i="1"/>
  <c r="Q8966" i="1"/>
  <c r="M8966" i="1"/>
  <c r="L8966" i="1"/>
  <c r="V8965" i="1"/>
  <c r="U8965" i="1"/>
  <c r="T8965" i="1"/>
  <c r="S8965" i="1"/>
  <c r="R8965" i="1"/>
  <c r="Q8965" i="1"/>
  <c r="M8965" i="1"/>
  <c r="L8965" i="1"/>
  <c r="V8964" i="1"/>
  <c r="U8964" i="1"/>
  <c r="T8964" i="1"/>
  <c r="S8964" i="1"/>
  <c r="R8964" i="1"/>
  <c r="Q8964" i="1"/>
  <c r="M8964" i="1"/>
  <c r="L8964" i="1"/>
  <c r="V8963" i="1"/>
  <c r="U8963" i="1"/>
  <c r="T8963" i="1"/>
  <c r="S8963" i="1"/>
  <c r="R8963" i="1"/>
  <c r="Q8963" i="1"/>
  <c r="M8963" i="1"/>
  <c r="L8963" i="1"/>
  <c r="V8962" i="1"/>
  <c r="U8962" i="1"/>
  <c r="T8962" i="1"/>
  <c r="S8962" i="1"/>
  <c r="R8962" i="1"/>
  <c r="Q8962" i="1"/>
  <c r="M8962" i="1"/>
  <c r="L8962" i="1"/>
  <c r="V8961" i="1"/>
  <c r="U8961" i="1"/>
  <c r="T8961" i="1"/>
  <c r="S8961" i="1"/>
  <c r="R8961" i="1"/>
  <c r="Q8961" i="1"/>
  <c r="M8961" i="1"/>
  <c r="L8961" i="1"/>
  <c r="V8960" i="1"/>
  <c r="U8960" i="1"/>
  <c r="T8960" i="1"/>
  <c r="S8960" i="1"/>
  <c r="R8960" i="1"/>
  <c r="Q8960" i="1"/>
  <c r="M8960" i="1"/>
  <c r="L8960" i="1"/>
  <c r="V8959" i="1"/>
  <c r="U8959" i="1"/>
  <c r="T8959" i="1"/>
  <c r="S8959" i="1"/>
  <c r="R8959" i="1"/>
  <c r="Q8959" i="1"/>
  <c r="M8959" i="1"/>
  <c r="L8959" i="1"/>
  <c r="V8958" i="1"/>
  <c r="U8958" i="1"/>
  <c r="T8958" i="1"/>
  <c r="S8958" i="1"/>
  <c r="R8958" i="1"/>
  <c r="Q8958" i="1"/>
  <c r="M8958" i="1"/>
  <c r="L8958" i="1"/>
  <c r="V8957" i="1"/>
  <c r="U8957" i="1"/>
  <c r="T8957" i="1"/>
  <c r="S8957" i="1"/>
  <c r="R8957" i="1"/>
  <c r="Q8957" i="1"/>
  <c r="M8957" i="1"/>
  <c r="L8957" i="1"/>
  <c r="V8956" i="1"/>
  <c r="U8956" i="1"/>
  <c r="T8956" i="1"/>
  <c r="S8956" i="1"/>
  <c r="R8956" i="1"/>
  <c r="Q8956" i="1"/>
  <c r="M8956" i="1"/>
  <c r="L8956" i="1"/>
  <c r="V8955" i="1"/>
  <c r="U8955" i="1"/>
  <c r="T8955" i="1"/>
  <c r="S8955" i="1"/>
  <c r="R8955" i="1"/>
  <c r="Q8955" i="1"/>
  <c r="M8955" i="1"/>
  <c r="L8955" i="1"/>
  <c r="V8954" i="1"/>
  <c r="U8954" i="1"/>
  <c r="T8954" i="1"/>
  <c r="S8954" i="1"/>
  <c r="R8954" i="1"/>
  <c r="Q8954" i="1"/>
  <c r="M8954" i="1"/>
  <c r="L8954" i="1"/>
  <c r="V8953" i="1"/>
  <c r="U8953" i="1"/>
  <c r="T8953" i="1"/>
  <c r="S8953" i="1"/>
  <c r="R8953" i="1"/>
  <c r="Q8953" i="1"/>
  <c r="M8953" i="1"/>
  <c r="L8953" i="1"/>
  <c r="V8952" i="1"/>
  <c r="U8952" i="1"/>
  <c r="T8952" i="1"/>
  <c r="S8952" i="1"/>
  <c r="R8952" i="1"/>
  <c r="Q8952" i="1"/>
  <c r="M8952" i="1"/>
  <c r="L8952" i="1"/>
  <c r="V8951" i="1"/>
  <c r="U8951" i="1"/>
  <c r="T8951" i="1"/>
  <c r="S8951" i="1"/>
  <c r="R8951" i="1"/>
  <c r="Q8951" i="1"/>
  <c r="M8951" i="1"/>
  <c r="L8951" i="1"/>
  <c r="V8950" i="1"/>
  <c r="Z8950" i="1" s="1"/>
  <c r="U8950" i="1"/>
  <c r="T8950" i="1"/>
  <c r="S8950" i="1"/>
  <c r="R8950" i="1"/>
  <c r="Q8950" i="1"/>
  <c r="M8950" i="1"/>
  <c r="L8950" i="1"/>
  <c r="V8949" i="1"/>
  <c r="U8949" i="1"/>
  <c r="T8949" i="1"/>
  <c r="S8949" i="1"/>
  <c r="R8949" i="1"/>
  <c r="Q8949" i="1"/>
  <c r="M8949" i="1"/>
  <c r="L8949" i="1"/>
  <c r="V8948" i="1"/>
  <c r="U8948" i="1"/>
  <c r="T8948" i="1"/>
  <c r="S8948" i="1"/>
  <c r="R8948" i="1"/>
  <c r="Q8948" i="1"/>
  <c r="M8948" i="1"/>
  <c r="L8948" i="1"/>
  <c r="V8947" i="1"/>
  <c r="U8947" i="1"/>
  <c r="T8947" i="1"/>
  <c r="S8947" i="1"/>
  <c r="R8947" i="1"/>
  <c r="Q8947" i="1"/>
  <c r="M8947" i="1"/>
  <c r="L8947" i="1"/>
  <c r="V8946" i="1"/>
  <c r="U8946" i="1"/>
  <c r="T8946" i="1"/>
  <c r="S8946" i="1"/>
  <c r="R8946" i="1"/>
  <c r="Q8946" i="1"/>
  <c r="M8946" i="1"/>
  <c r="L8946" i="1"/>
  <c r="V8945" i="1"/>
  <c r="U8945" i="1"/>
  <c r="T8945" i="1"/>
  <c r="S8945" i="1"/>
  <c r="R8945" i="1"/>
  <c r="Q8945" i="1"/>
  <c r="M8945" i="1"/>
  <c r="L8945" i="1"/>
  <c r="V8944" i="1"/>
  <c r="U8944" i="1"/>
  <c r="T8944" i="1"/>
  <c r="S8944" i="1"/>
  <c r="R8944" i="1"/>
  <c r="Q8944" i="1"/>
  <c r="M8944" i="1"/>
  <c r="L8944" i="1"/>
  <c r="V8943" i="1"/>
  <c r="U8943" i="1"/>
  <c r="T8943" i="1"/>
  <c r="S8943" i="1"/>
  <c r="R8943" i="1"/>
  <c r="Q8943" i="1"/>
  <c r="M8943" i="1"/>
  <c r="L8943" i="1"/>
  <c r="V8942" i="1"/>
  <c r="U8942" i="1"/>
  <c r="T8942" i="1"/>
  <c r="S8942" i="1"/>
  <c r="R8942" i="1"/>
  <c r="Q8942" i="1"/>
  <c r="M8942" i="1"/>
  <c r="L8942" i="1"/>
  <c r="V8941" i="1"/>
  <c r="U8941" i="1"/>
  <c r="T8941" i="1"/>
  <c r="S8941" i="1"/>
  <c r="R8941" i="1"/>
  <c r="Q8941" i="1"/>
  <c r="M8941" i="1"/>
  <c r="L8941" i="1"/>
  <c r="V8940" i="1"/>
  <c r="U8940" i="1"/>
  <c r="T8940" i="1"/>
  <c r="S8940" i="1"/>
  <c r="R8940" i="1"/>
  <c r="Q8940" i="1"/>
  <c r="M8940" i="1"/>
  <c r="L8940" i="1"/>
  <c r="V8939" i="1"/>
  <c r="U8939" i="1"/>
  <c r="T8939" i="1"/>
  <c r="S8939" i="1"/>
  <c r="R8939" i="1"/>
  <c r="Q8939" i="1"/>
  <c r="M8939" i="1"/>
  <c r="L8939" i="1"/>
  <c r="V8938" i="1"/>
  <c r="U8938" i="1"/>
  <c r="T8938" i="1"/>
  <c r="S8938" i="1"/>
  <c r="R8938" i="1"/>
  <c r="Q8938" i="1"/>
  <c r="M8938" i="1"/>
  <c r="L8938" i="1"/>
  <c r="V8937" i="1"/>
  <c r="U8937" i="1"/>
  <c r="T8937" i="1"/>
  <c r="S8937" i="1"/>
  <c r="R8937" i="1"/>
  <c r="Q8937" i="1"/>
  <c r="M8937" i="1"/>
  <c r="L8937" i="1"/>
  <c r="V8936" i="1"/>
  <c r="U8936" i="1"/>
  <c r="T8936" i="1"/>
  <c r="S8936" i="1"/>
  <c r="R8936" i="1"/>
  <c r="Q8936" i="1"/>
  <c r="M8936" i="1"/>
  <c r="L8936" i="1"/>
  <c r="V8935" i="1"/>
  <c r="U8935" i="1"/>
  <c r="T8935" i="1"/>
  <c r="S8935" i="1"/>
  <c r="R8935" i="1"/>
  <c r="Q8935" i="1"/>
  <c r="M8935" i="1"/>
  <c r="L8935" i="1"/>
  <c r="V8934" i="1"/>
  <c r="U8934" i="1"/>
  <c r="T8934" i="1"/>
  <c r="S8934" i="1"/>
  <c r="R8934" i="1"/>
  <c r="Q8934" i="1"/>
  <c r="M8934" i="1"/>
  <c r="L8934" i="1"/>
  <c r="V8933" i="1"/>
  <c r="U8933" i="1"/>
  <c r="T8933" i="1"/>
  <c r="S8933" i="1"/>
  <c r="R8933" i="1"/>
  <c r="Q8933" i="1"/>
  <c r="M8933" i="1"/>
  <c r="L8933" i="1"/>
  <c r="V8932" i="1"/>
  <c r="U8932" i="1"/>
  <c r="T8932" i="1"/>
  <c r="S8932" i="1"/>
  <c r="R8932" i="1"/>
  <c r="Q8932" i="1"/>
  <c r="M8932" i="1"/>
  <c r="L8932" i="1"/>
  <c r="V8931" i="1"/>
  <c r="U8931" i="1"/>
  <c r="T8931" i="1"/>
  <c r="S8931" i="1"/>
  <c r="R8931" i="1"/>
  <c r="Q8931" i="1"/>
  <c r="M8931" i="1"/>
  <c r="L8931" i="1"/>
  <c r="V8930" i="1"/>
  <c r="U8930" i="1"/>
  <c r="T8930" i="1"/>
  <c r="S8930" i="1"/>
  <c r="R8930" i="1"/>
  <c r="Q8930" i="1"/>
  <c r="M8930" i="1"/>
  <c r="L8930" i="1"/>
  <c r="V8929" i="1"/>
  <c r="U8929" i="1"/>
  <c r="T8929" i="1"/>
  <c r="S8929" i="1"/>
  <c r="R8929" i="1"/>
  <c r="Q8929" i="1"/>
  <c r="M8929" i="1"/>
  <c r="L8929" i="1"/>
  <c r="V8928" i="1"/>
  <c r="U8928" i="1"/>
  <c r="T8928" i="1"/>
  <c r="S8928" i="1"/>
  <c r="R8928" i="1"/>
  <c r="Q8928" i="1"/>
  <c r="M8928" i="1"/>
  <c r="L8928" i="1"/>
  <c r="V8927" i="1"/>
  <c r="U8927" i="1"/>
  <c r="T8927" i="1"/>
  <c r="S8927" i="1"/>
  <c r="R8927" i="1"/>
  <c r="Q8927" i="1"/>
  <c r="M8927" i="1"/>
  <c r="L8927" i="1"/>
  <c r="V8926" i="1"/>
  <c r="U8926" i="1"/>
  <c r="T8926" i="1"/>
  <c r="S8926" i="1"/>
  <c r="R8926" i="1"/>
  <c r="Q8926" i="1"/>
  <c r="M8926" i="1"/>
  <c r="L8926" i="1"/>
  <c r="V8925" i="1"/>
  <c r="U8925" i="1"/>
  <c r="T8925" i="1"/>
  <c r="S8925" i="1"/>
  <c r="R8925" i="1"/>
  <c r="Q8925" i="1"/>
  <c r="M8925" i="1"/>
  <c r="L8925" i="1"/>
  <c r="V8924" i="1"/>
  <c r="U8924" i="1"/>
  <c r="T8924" i="1"/>
  <c r="S8924" i="1"/>
  <c r="R8924" i="1"/>
  <c r="Q8924" i="1"/>
  <c r="M8924" i="1"/>
  <c r="L8924" i="1"/>
  <c r="V8923" i="1"/>
  <c r="U8923" i="1"/>
  <c r="T8923" i="1"/>
  <c r="S8923" i="1"/>
  <c r="R8923" i="1"/>
  <c r="Q8923" i="1"/>
  <c r="M8923" i="1"/>
  <c r="L8923" i="1"/>
  <c r="V8922" i="1"/>
  <c r="U8922" i="1"/>
  <c r="T8922" i="1"/>
  <c r="S8922" i="1"/>
  <c r="R8922" i="1"/>
  <c r="Q8922" i="1"/>
  <c r="M8922" i="1"/>
  <c r="L8922" i="1"/>
  <c r="V8921" i="1"/>
  <c r="U8921" i="1"/>
  <c r="T8921" i="1"/>
  <c r="S8921" i="1"/>
  <c r="R8921" i="1"/>
  <c r="Q8921" i="1"/>
  <c r="M8921" i="1"/>
  <c r="L8921" i="1"/>
  <c r="V8920" i="1"/>
  <c r="U8920" i="1"/>
  <c r="T8920" i="1"/>
  <c r="S8920" i="1"/>
  <c r="R8920" i="1"/>
  <c r="Q8920" i="1"/>
  <c r="M8920" i="1"/>
  <c r="L8920" i="1"/>
  <c r="V8919" i="1"/>
  <c r="U8919" i="1"/>
  <c r="T8919" i="1"/>
  <c r="S8919" i="1"/>
  <c r="R8919" i="1"/>
  <c r="Q8919" i="1"/>
  <c r="M8919" i="1"/>
  <c r="L8919" i="1"/>
  <c r="V8918" i="1"/>
  <c r="U8918" i="1"/>
  <c r="T8918" i="1"/>
  <c r="S8918" i="1"/>
  <c r="R8918" i="1"/>
  <c r="Q8918" i="1"/>
  <c r="M8918" i="1"/>
  <c r="L8918" i="1"/>
  <c r="V8917" i="1"/>
  <c r="U8917" i="1"/>
  <c r="T8917" i="1"/>
  <c r="S8917" i="1"/>
  <c r="R8917" i="1"/>
  <c r="Q8917" i="1"/>
  <c r="M8917" i="1"/>
  <c r="L8917" i="1"/>
  <c r="V8916" i="1"/>
  <c r="U8916" i="1"/>
  <c r="T8916" i="1"/>
  <c r="S8916" i="1"/>
  <c r="R8916" i="1"/>
  <c r="Q8916" i="1"/>
  <c r="M8916" i="1"/>
  <c r="L8916" i="1"/>
  <c r="V8915" i="1"/>
  <c r="U8915" i="1"/>
  <c r="T8915" i="1"/>
  <c r="S8915" i="1"/>
  <c r="R8915" i="1"/>
  <c r="Q8915" i="1"/>
  <c r="M8915" i="1"/>
  <c r="L8915" i="1"/>
  <c r="V8914" i="1"/>
  <c r="U8914" i="1"/>
  <c r="T8914" i="1"/>
  <c r="S8914" i="1"/>
  <c r="R8914" i="1"/>
  <c r="Q8914" i="1"/>
  <c r="M8914" i="1"/>
  <c r="L8914" i="1"/>
  <c r="V8913" i="1"/>
  <c r="U8913" i="1"/>
  <c r="T8913" i="1"/>
  <c r="S8913" i="1"/>
  <c r="R8913" i="1"/>
  <c r="Q8913" i="1"/>
  <c r="M8913" i="1"/>
  <c r="L8913" i="1"/>
  <c r="V8912" i="1"/>
  <c r="U8912" i="1"/>
  <c r="T8912" i="1"/>
  <c r="S8912" i="1"/>
  <c r="R8912" i="1"/>
  <c r="Q8912" i="1"/>
  <c r="M8912" i="1"/>
  <c r="L8912" i="1"/>
  <c r="V8911" i="1"/>
  <c r="U8911" i="1"/>
  <c r="T8911" i="1"/>
  <c r="S8911" i="1"/>
  <c r="R8911" i="1"/>
  <c r="Q8911" i="1"/>
  <c r="M8911" i="1"/>
  <c r="L8911" i="1"/>
  <c r="V8910" i="1"/>
  <c r="U8910" i="1"/>
  <c r="T8910" i="1"/>
  <c r="S8910" i="1"/>
  <c r="R8910" i="1"/>
  <c r="Q8910" i="1"/>
  <c r="M8910" i="1"/>
  <c r="L8910" i="1"/>
  <c r="V8909" i="1"/>
  <c r="U8909" i="1"/>
  <c r="T8909" i="1"/>
  <c r="S8909" i="1"/>
  <c r="R8909" i="1"/>
  <c r="Q8909" i="1"/>
  <c r="M8909" i="1"/>
  <c r="L8909" i="1"/>
  <c r="V8908" i="1"/>
  <c r="U8908" i="1"/>
  <c r="T8908" i="1"/>
  <c r="S8908" i="1"/>
  <c r="R8908" i="1"/>
  <c r="Q8908" i="1"/>
  <c r="M8908" i="1"/>
  <c r="L8908" i="1"/>
  <c r="V8907" i="1"/>
  <c r="U8907" i="1"/>
  <c r="T8907" i="1"/>
  <c r="S8907" i="1"/>
  <c r="R8907" i="1"/>
  <c r="Q8907" i="1"/>
  <c r="M8907" i="1"/>
  <c r="L8907" i="1"/>
  <c r="V8906" i="1"/>
  <c r="U8906" i="1"/>
  <c r="T8906" i="1"/>
  <c r="S8906" i="1"/>
  <c r="R8906" i="1"/>
  <c r="Q8906" i="1"/>
  <c r="M8906" i="1"/>
  <c r="L8906" i="1"/>
  <c r="V8905" i="1"/>
  <c r="U8905" i="1"/>
  <c r="T8905" i="1"/>
  <c r="S8905" i="1"/>
  <c r="R8905" i="1"/>
  <c r="Q8905" i="1"/>
  <c r="M8905" i="1"/>
  <c r="L8905" i="1"/>
  <c r="V8904" i="1"/>
  <c r="U8904" i="1"/>
  <c r="T8904" i="1"/>
  <c r="S8904" i="1"/>
  <c r="R8904" i="1"/>
  <c r="Q8904" i="1"/>
  <c r="M8904" i="1"/>
  <c r="L8904" i="1"/>
  <c r="V8903" i="1"/>
  <c r="U8903" i="1"/>
  <c r="T8903" i="1"/>
  <c r="S8903" i="1"/>
  <c r="R8903" i="1"/>
  <c r="Q8903" i="1"/>
  <c r="M8903" i="1"/>
  <c r="L8903" i="1"/>
  <c r="V8902" i="1"/>
  <c r="U8902" i="1"/>
  <c r="T8902" i="1"/>
  <c r="S8902" i="1"/>
  <c r="R8902" i="1"/>
  <c r="Q8902" i="1"/>
  <c r="M8902" i="1"/>
  <c r="L8902" i="1"/>
  <c r="V8901" i="1"/>
  <c r="U8901" i="1"/>
  <c r="T8901" i="1"/>
  <c r="S8901" i="1"/>
  <c r="R8901" i="1"/>
  <c r="Q8901" i="1"/>
  <c r="M8901" i="1"/>
  <c r="L8901" i="1"/>
  <c r="V8900" i="1"/>
  <c r="U8900" i="1"/>
  <c r="T8900" i="1"/>
  <c r="S8900" i="1"/>
  <c r="R8900" i="1"/>
  <c r="Q8900" i="1"/>
  <c r="M8900" i="1"/>
  <c r="L8900" i="1"/>
  <c r="V8899" i="1"/>
  <c r="U8899" i="1"/>
  <c r="T8899" i="1"/>
  <c r="S8899" i="1"/>
  <c r="R8899" i="1"/>
  <c r="Q8899" i="1"/>
  <c r="M8899" i="1"/>
  <c r="L8899" i="1"/>
  <c r="V8898" i="1"/>
  <c r="U8898" i="1"/>
  <c r="T8898" i="1"/>
  <c r="S8898" i="1"/>
  <c r="R8898" i="1"/>
  <c r="Q8898" i="1"/>
  <c r="M8898" i="1"/>
  <c r="L8898" i="1"/>
  <c r="Z8897" i="1"/>
  <c r="V8897" i="1"/>
  <c r="U8897" i="1"/>
  <c r="T8897" i="1"/>
  <c r="S8897" i="1"/>
  <c r="R8897" i="1"/>
  <c r="Q8897" i="1"/>
  <c r="M8897" i="1"/>
  <c r="L8897" i="1"/>
  <c r="V8896" i="1"/>
  <c r="U8896" i="1"/>
  <c r="T8896" i="1"/>
  <c r="S8896" i="1"/>
  <c r="R8896" i="1"/>
  <c r="Q8896" i="1"/>
  <c r="M8896" i="1"/>
  <c r="L8896" i="1"/>
  <c r="V8895" i="1"/>
  <c r="U8895" i="1"/>
  <c r="T8895" i="1"/>
  <c r="S8895" i="1"/>
  <c r="R8895" i="1"/>
  <c r="Q8895" i="1"/>
  <c r="M8895" i="1"/>
  <c r="L8895" i="1"/>
  <c r="V8894" i="1"/>
  <c r="U8894" i="1"/>
  <c r="T8894" i="1"/>
  <c r="S8894" i="1"/>
  <c r="R8894" i="1"/>
  <c r="Q8894" i="1"/>
  <c r="M8894" i="1"/>
  <c r="L8894" i="1"/>
  <c r="V8893" i="1"/>
  <c r="U8893" i="1"/>
  <c r="T8893" i="1"/>
  <c r="S8893" i="1"/>
  <c r="R8893" i="1"/>
  <c r="Q8893" i="1"/>
  <c r="M8893" i="1"/>
  <c r="L8893" i="1"/>
  <c r="V8892" i="1"/>
  <c r="U8892" i="1"/>
  <c r="T8892" i="1"/>
  <c r="S8892" i="1"/>
  <c r="R8892" i="1"/>
  <c r="Q8892" i="1"/>
  <c r="M8892" i="1"/>
  <c r="L8892" i="1"/>
  <c r="V8891" i="1"/>
  <c r="U8891" i="1"/>
  <c r="T8891" i="1"/>
  <c r="S8891" i="1"/>
  <c r="R8891" i="1"/>
  <c r="Q8891" i="1"/>
  <c r="M8891" i="1"/>
  <c r="L8891" i="1"/>
  <c r="V8890" i="1"/>
  <c r="U8890" i="1"/>
  <c r="T8890" i="1"/>
  <c r="S8890" i="1"/>
  <c r="R8890" i="1"/>
  <c r="Q8890" i="1"/>
  <c r="M8890" i="1"/>
  <c r="L8890" i="1"/>
  <c r="V8889" i="1"/>
  <c r="U8889" i="1"/>
  <c r="T8889" i="1"/>
  <c r="S8889" i="1"/>
  <c r="R8889" i="1"/>
  <c r="Q8889" i="1"/>
  <c r="M8889" i="1"/>
  <c r="L8889" i="1"/>
  <c r="V8888" i="1"/>
  <c r="U8888" i="1"/>
  <c r="T8888" i="1"/>
  <c r="S8888" i="1"/>
  <c r="R8888" i="1"/>
  <c r="Q8888" i="1"/>
  <c r="M8888" i="1"/>
  <c r="L8888" i="1"/>
  <c r="V8887" i="1"/>
  <c r="U8887" i="1"/>
  <c r="T8887" i="1"/>
  <c r="S8887" i="1"/>
  <c r="R8887" i="1"/>
  <c r="Q8887" i="1"/>
  <c r="M8887" i="1"/>
  <c r="L8887" i="1"/>
  <c r="V8886" i="1"/>
  <c r="U8886" i="1"/>
  <c r="T8886" i="1"/>
  <c r="S8886" i="1"/>
  <c r="R8886" i="1"/>
  <c r="Q8886" i="1"/>
  <c r="M8886" i="1"/>
  <c r="L8886" i="1"/>
  <c r="V8885" i="1"/>
  <c r="U8885" i="1"/>
  <c r="T8885" i="1"/>
  <c r="S8885" i="1"/>
  <c r="R8885" i="1"/>
  <c r="Q8885" i="1"/>
  <c r="M8885" i="1"/>
  <c r="L8885" i="1"/>
  <c r="V8884" i="1"/>
  <c r="U8884" i="1"/>
  <c r="T8884" i="1"/>
  <c r="S8884" i="1"/>
  <c r="R8884" i="1"/>
  <c r="Q8884" i="1"/>
  <c r="M8884" i="1"/>
  <c r="L8884" i="1"/>
  <c r="V8883" i="1"/>
  <c r="U8883" i="1"/>
  <c r="T8883" i="1"/>
  <c r="S8883" i="1"/>
  <c r="R8883" i="1"/>
  <c r="Q8883" i="1"/>
  <c r="M8883" i="1"/>
  <c r="L8883" i="1"/>
  <c r="V8882" i="1"/>
  <c r="U8882" i="1"/>
  <c r="T8882" i="1"/>
  <c r="S8882" i="1"/>
  <c r="R8882" i="1"/>
  <c r="Q8882" i="1"/>
  <c r="M8882" i="1"/>
  <c r="L8882" i="1"/>
  <c r="V8881" i="1"/>
  <c r="U8881" i="1"/>
  <c r="T8881" i="1"/>
  <c r="S8881" i="1"/>
  <c r="R8881" i="1"/>
  <c r="Q8881" i="1"/>
  <c r="M8881" i="1"/>
  <c r="L8881" i="1"/>
  <c r="V8880" i="1"/>
  <c r="U8880" i="1"/>
  <c r="T8880" i="1"/>
  <c r="S8880" i="1"/>
  <c r="R8880" i="1"/>
  <c r="Q8880" i="1"/>
  <c r="M8880" i="1"/>
  <c r="L8880" i="1"/>
  <c r="V8879" i="1"/>
  <c r="U8879" i="1"/>
  <c r="T8879" i="1"/>
  <c r="S8879" i="1"/>
  <c r="R8879" i="1"/>
  <c r="Q8879" i="1"/>
  <c r="M8879" i="1"/>
  <c r="L8879" i="1"/>
  <c r="V8878" i="1"/>
  <c r="U8878" i="1"/>
  <c r="T8878" i="1"/>
  <c r="S8878" i="1"/>
  <c r="R8878" i="1"/>
  <c r="Q8878" i="1"/>
  <c r="M8878" i="1"/>
  <c r="L8878" i="1"/>
  <c r="V8877" i="1"/>
  <c r="U8877" i="1"/>
  <c r="T8877" i="1"/>
  <c r="S8877" i="1"/>
  <c r="R8877" i="1"/>
  <c r="Q8877" i="1"/>
  <c r="M8877" i="1"/>
  <c r="L8877" i="1"/>
  <c r="V8876" i="1"/>
  <c r="U8876" i="1"/>
  <c r="T8876" i="1"/>
  <c r="S8876" i="1"/>
  <c r="R8876" i="1"/>
  <c r="Q8876" i="1"/>
  <c r="M8876" i="1"/>
  <c r="L8876" i="1"/>
  <c r="V8875" i="1"/>
  <c r="U8875" i="1"/>
  <c r="T8875" i="1"/>
  <c r="S8875" i="1"/>
  <c r="R8875" i="1"/>
  <c r="Q8875" i="1"/>
  <c r="M8875" i="1"/>
  <c r="L8875" i="1"/>
  <c r="V8874" i="1"/>
  <c r="U8874" i="1"/>
  <c r="T8874" i="1"/>
  <c r="S8874" i="1"/>
  <c r="R8874" i="1"/>
  <c r="Q8874" i="1"/>
  <c r="M8874" i="1"/>
  <c r="L8874" i="1"/>
  <c r="V8873" i="1"/>
  <c r="U8873" i="1"/>
  <c r="T8873" i="1"/>
  <c r="S8873" i="1"/>
  <c r="R8873" i="1"/>
  <c r="Q8873" i="1"/>
  <c r="M8873" i="1"/>
  <c r="L8873" i="1"/>
  <c r="V8872" i="1"/>
  <c r="U8872" i="1"/>
  <c r="T8872" i="1"/>
  <c r="S8872" i="1"/>
  <c r="R8872" i="1"/>
  <c r="Q8872" i="1"/>
  <c r="M8872" i="1"/>
  <c r="L8872" i="1"/>
  <c r="V8871" i="1"/>
  <c r="U8871" i="1"/>
  <c r="T8871" i="1"/>
  <c r="S8871" i="1"/>
  <c r="R8871" i="1"/>
  <c r="Q8871" i="1"/>
  <c r="M8871" i="1"/>
  <c r="L8871" i="1"/>
  <c r="V8870" i="1"/>
  <c r="U8870" i="1"/>
  <c r="T8870" i="1"/>
  <c r="S8870" i="1"/>
  <c r="R8870" i="1"/>
  <c r="Q8870" i="1"/>
  <c r="M8870" i="1"/>
  <c r="L8870" i="1"/>
  <c r="V8869" i="1"/>
  <c r="U8869" i="1"/>
  <c r="T8869" i="1"/>
  <c r="S8869" i="1"/>
  <c r="R8869" i="1"/>
  <c r="Q8869" i="1"/>
  <c r="M8869" i="1"/>
  <c r="L8869" i="1"/>
  <c r="V8868" i="1"/>
  <c r="U8868" i="1"/>
  <c r="T8868" i="1"/>
  <c r="S8868" i="1"/>
  <c r="R8868" i="1"/>
  <c r="Q8868" i="1"/>
  <c r="M8868" i="1"/>
  <c r="L8868" i="1"/>
  <c r="V8867" i="1"/>
  <c r="U8867" i="1"/>
  <c r="T8867" i="1"/>
  <c r="S8867" i="1"/>
  <c r="R8867" i="1"/>
  <c r="Q8867" i="1"/>
  <c r="M8867" i="1"/>
  <c r="L8867" i="1"/>
  <c r="V8866" i="1"/>
  <c r="U8866" i="1"/>
  <c r="T8866" i="1"/>
  <c r="S8866" i="1"/>
  <c r="R8866" i="1"/>
  <c r="Q8866" i="1"/>
  <c r="M8866" i="1"/>
  <c r="L8866" i="1"/>
  <c r="V8865" i="1"/>
  <c r="U8865" i="1"/>
  <c r="T8865" i="1"/>
  <c r="S8865" i="1"/>
  <c r="R8865" i="1"/>
  <c r="Q8865" i="1"/>
  <c r="M8865" i="1"/>
  <c r="L8865" i="1"/>
  <c r="V8864" i="1"/>
  <c r="U8864" i="1"/>
  <c r="T8864" i="1"/>
  <c r="S8864" i="1"/>
  <c r="R8864" i="1"/>
  <c r="Q8864" i="1"/>
  <c r="M8864" i="1"/>
  <c r="L8864" i="1"/>
  <c r="V8863" i="1"/>
  <c r="U8863" i="1"/>
  <c r="T8863" i="1"/>
  <c r="S8863" i="1"/>
  <c r="R8863" i="1"/>
  <c r="Q8863" i="1"/>
  <c r="M8863" i="1"/>
  <c r="L8863" i="1"/>
  <c r="V8862" i="1"/>
  <c r="U8862" i="1"/>
  <c r="T8862" i="1"/>
  <c r="S8862" i="1"/>
  <c r="R8862" i="1"/>
  <c r="Q8862" i="1"/>
  <c r="M8862" i="1"/>
  <c r="L8862" i="1"/>
  <c r="V8861" i="1"/>
  <c r="U8861" i="1"/>
  <c r="T8861" i="1"/>
  <c r="S8861" i="1"/>
  <c r="R8861" i="1"/>
  <c r="Q8861" i="1"/>
  <c r="M8861" i="1"/>
  <c r="L8861" i="1"/>
  <c r="V8860" i="1"/>
  <c r="U8860" i="1"/>
  <c r="T8860" i="1"/>
  <c r="S8860" i="1"/>
  <c r="R8860" i="1"/>
  <c r="Q8860" i="1"/>
  <c r="M8860" i="1"/>
  <c r="L8860" i="1"/>
  <c r="V8859" i="1"/>
  <c r="U8859" i="1"/>
  <c r="T8859" i="1"/>
  <c r="S8859" i="1"/>
  <c r="R8859" i="1"/>
  <c r="Q8859" i="1"/>
  <c r="M8859" i="1"/>
  <c r="L8859" i="1"/>
  <c r="V8858" i="1"/>
  <c r="U8858" i="1"/>
  <c r="T8858" i="1"/>
  <c r="S8858" i="1"/>
  <c r="R8858" i="1"/>
  <c r="Q8858" i="1"/>
  <c r="M8858" i="1"/>
  <c r="L8858" i="1"/>
  <c r="V8857" i="1"/>
  <c r="U8857" i="1"/>
  <c r="T8857" i="1"/>
  <c r="S8857" i="1"/>
  <c r="R8857" i="1"/>
  <c r="Q8857" i="1"/>
  <c r="M8857" i="1"/>
  <c r="L8857" i="1"/>
  <c r="V8856" i="1"/>
  <c r="U8856" i="1"/>
  <c r="T8856" i="1"/>
  <c r="S8856" i="1"/>
  <c r="R8856" i="1"/>
  <c r="Q8856" i="1"/>
  <c r="M8856" i="1"/>
  <c r="L8856" i="1"/>
  <c r="V8855" i="1"/>
  <c r="U8855" i="1"/>
  <c r="T8855" i="1"/>
  <c r="S8855" i="1"/>
  <c r="R8855" i="1"/>
  <c r="Q8855" i="1"/>
  <c r="M8855" i="1"/>
  <c r="L8855" i="1"/>
  <c r="V8854" i="1"/>
  <c r="U8854" i="1"/>
  <c r="T8854" i="1"/>
  <c r="S8854" i="1"/>
  <c r="R8854" i="1"/>
  <c r="Q8854" i="1"/>
  <c r="M8854" i="1"/>
  <c r="L8854" i="1"/>
  <c r="V8853" i="1"/>
  <c r="U8853" i="1"/>
  <c r="T8853" i="1"/>
  <c r="S8853" i="1"/>
  <c r="R8853" i="1"/>
  <c r="Q8853" i="1"/>
  <c r="M8853" i="1"/>
  <c r="L8853" i="1"/>
  <c r="V8852" i="1"/>
  <c r="U8852" i="1"/>
  <c r="T8852" i="1"/>
  <c r="S8852" i="1"/>
  <c r="R8852" i="1"/>
  <c r="Q8852" i="1"/>
  <c r="M8852" i="1"/>
  <c r="L8852" i="1"/>
  <c r="V8851" i="1"/>
  <c r="U8851" i="1"/>
  <c r="T8851" i="1"/>
  <c r="S8851" i="1"/>
  <c r="R8851" i="1"/>
  <c r="Q8851" i="1"/>
  <c r="M8851" i="1"/>
  <c r="L8851" i="1"/>
  <c r="V8850" i="1"/>
  <c r="U8850" i="1"/>
  <c r="T8850" i="1"/>
  <c r="S8850" i="1"/>
  <c r="R8850" i="1"/>
  <c r="Q8850" i="1"/>
  <c r="M8850" i="1"/>
  <c r="L8850" i="1"/>
  <c r="V8849" i="1"/>
  <c r="U8849" i="1"/>
  <c r="T8849" i="1"/>
  <c r="S8849" i="1"/>
  <c r="R8849" i="1"/>
  <c r="Q8849" i="1"/>
  <c r="M8849" i="1"/>
  <c r="L8849" i="1"/>
  <c r="V8848" i="1"/>
  <c r="U8848" i="1"/>
  <c r="T8848" i="1"/>
  <c r="S8848" i="1"/>
  <c r="R8848" i="1"/>
  <c r="Q8848" i="1"/>
  <c r="M8848" i="1"/>
  <c r="L8848" i="1"/>
  <c r="V8847" i="1"/>
  <c r="U8847" i="1"/>
  <c r="T8847" i="1"/>
  <c r="S8847" i="1"/>
  <c r="R8847" i="1"/>
  <c r="Q8847" i="1"/>
  <c r="M8847" i="1"/>
  <c r="L8847" i="1"/>
  <c r="V8846" i="1"/>
  <c r="U8846" i="1"/>
  <c r="T8846" i="1"/>
  <c r="S8846" i="1"/>
  <c r="R8846" i="1"/>
  <c r="Q8846" i="1"/>
  <c r="M8846" i="1"/>
  <c r="L8846" i="1"/>
  <c r="V8845" i="1"/>
  <c r="U8845" i="1"/>
  <c r="T8845" i="1"/>
  <c r="S8845" i="1"/>
  <c r="R8845" i="1"/>
  <c r="Q8845" i="1"/>
  <c r="M8845" i="1"/>
  <c r="L8845" i="1"/>
  <c r="V8844" i="1"/>
  <c r="U8844" i="1"/>
  <c r="T8844" i="1"/>
  <c r="S8844" i="1"/>
  <c r="R8844" i="1"/>
  <c r="Q8844" i="1"/>
  <c r="M8844" i="1"/>
  <c r="L8844" i="1"/>
  <c r="V8843" i="1"/>
  <c r="U8843" i="1"/>
  <c r="T8843" i="1"/>
  <c r="S8843" i="1"/>
  <c r="R8843" i="1"/>
  <c r="Q8843" i="1"/>
  <c r="M8843" i="1"/>
  <c r="L8843" i="1"/>
  <c r="V8842" i="1"/>
  <c r="U8842" i="1"/>
  <c r="T8842" i="1"/>
  <c r="S8842" i="1"/>
  <c r="R8842" i="1"/>
  <c r="Q8842" i="1"/>
  <c r="M8842" i="1"/>
  <c r="L8842" i="1"/>
  <c r="V8841" i="1"/>
  <c r="U8841" i="1"/>
  <c r="T8841" i="1"/>
  <c r="S8841" i="1"/>
  <c r="R8841" i="1"/>
  <c r="Q8841" i="1"/>
  <c r="M8841" i="1"/>
  <c r="L8841" i="1"/>
  <c r="V8840" i="1"/>
  <c r="U8840" i="1"/>
  <c r="T8840" i="1"/>
  <c r="S8840" i="1"/>
  <c r="R8840" i="1"/>
  <c r="Q8840" i="1"/>
  <c r="M8840" i="1"/>
  <c r="L8840" i="1"/>
  <c r="V8839" i="1"/>
  <c r="U8839" i="1"/>
  <c r="T8839" i="1"/>
  <c r="S8839" i="1"/>
  <c r="R8839" i="1"/>
  <c r="Q8839" i="1"/>
  <c r="M8839" i="1"/>
  <c r="L8839" i="1"/>
  <c r="V8838" i="1"/>
  <c r="U8838" i="1"/>
  <c r="T8838" i="1"/>
  <c r="S8838" i="1"/>
  <c r="R8838" i="1"/>
  <c r="Q8838" i="1"/>
  <c r="M8838" i="1"/>
  <c r="L8838" i="1"/>
  <c r="V8837" i="1"/>
  <c r="U8837" i="1"/>
  <c r="T8837" i="1"/>
  <c r="S8837" i="1"/>
  <c r="R8837" i="1"/>
  <c r="Q8837" i="1"/>
  <c r="M8837" i="1"/>
  <c r="L8837" i="1"/>
  <c r="V8836" i="1"/>
  <c r="U8836" i="1"/>
  <c r="T8836" i="1"/>
  <c r="S8836" i="1"/>
  <c r="R8836" i="1"/>
  <c r="Q8836" i="1"/>
  <c r="M8836" i="1"/>
  <c r="L8836" i="1"/>
  <c r="V8835" i="1"/>
  <c r="U8835" i="1"/>
  <c r="T8835" i="1"/>
  <c r="S8835" i="1"/>
  <c r="R8835" i="1"/>
  <c r="Q8835" i="1"/>
  <c r="M8835" i="1"/>
  <c r="L8835" i="1"/>
  <c r="V8834" i="1"/>
  <c r="U8834" i="1"/>
  <c r="T8834" i="1"/>
  <c r="S8834" i="1"/>
  <c r="R8834" i="1"/>
  <c r="Q8834" i="1"/>
  <c r="M8834" i="1"/>
  <c r="L8834" i="1"/>
  <c r="V8833" i="1"/>
  <c r="U8833" i="1"/>
  <c r="T8833" i="1"/>
  <c r="S8833" i="1"/>
  <c r="R8833" i="1"/>
  <c r="Q8833" i="1"/>
  <c r="M8833" i="1"/>
  <c r="L8833" i="1"/>
  <c r="V8832" i="1"/>
  <c r="U8832" i="1"/>
  <c r="T8832" i="1"/>
  <c r="S8832" i="1"/>
  <c r="R8832" i="1"/>
  <c r="Q8832" i="1"/>
  <c r="M8832" i="1"/>
  <c r="L8832" i="1"/>
  <c r="V8831" i="1"/>
  <c r="U8831" i="1"/>
  <c r="T8831" i="1"/>
  <c r="S8831" i="1"/>
  <c r="R8831" i="1"/>
  <c r="Q8831" i="1"/>
  <c r="M8831" i="1"/>
  <c r="L8831" i="1"/>
  <c r="V8830" i="1"/>
  <c r="U8830" i="1"/>
  <c r="T8830" i="1"/>
  <c r="S8830" i="1"/>
  <c r="R8830" i="1"/>
  <c r="Q8830" i="1"/>
  <c r="M8830" i="1"/>
  <c r="L8830" i="1"/>
  <c r="V8829" i="1"/>
  <c r="U8829" i="1"/>
  <c r="T8829" i="1"/>
  <c r="S8829" i="1"/>
  <c r="R8829" i="1"/>
  <c r="Q8829" i="1"/>
  <c r="M8829" i="1"/>
  <c r="L8829" i="1"/>
  <c r="V8828" i="1"/>
  <c r="U8828" i="1"/>
  <c r="T8828" i="1"/>
  <c r="S8828" i="1"/>
  <c r="R8828" i="1"/>
  <c r="Q8828" i="1"/>
  <c r="M8828" i="1"/>
  <c r="L8828" i="1"/>
  <c r="V8827" i="1"/>
  <c r="U8827" i="1"/>
  <c r="T8827" i="1"/>
  <c r="S8827" i="1"/>
  <c r="R8827" i="1"/>
  <c r="Q8827" i="1"/>
  <c r="M8827" i="1"/>
  <c r="L8827" i="1"/>
  <c r="V8826" i="1"/>
  <c r="U8826" i="1"/>
  <c r="T8826" i="1"/>
  <c r="S8826" i="1"/>
  <c r="R8826" i="1"/>
  <c r="Q8826" i="1"/>
  <c r="M8826" i="1"/>
  <c r="L8826" i="1"/>
  <c r="V8825" i="1"/>
  <c r="U8825" i="1"/>
  <c r="T8825" i="1"/>
  <c r="S8825" i="1"/>
  <c r="R8825" i="1"/>
  <c r="Q8825" i="1"/>
  <c r="M8825" i="1"/>
  <c r="L8825" i="1"/>
  <c r="V8824" i="1"/>
  <c r="U8824" i="1"/>
  <c r="T8824" i="1"/>
  <c r="S8824" i="1"/>
  <c r="R8824" i="1"/>
  <c r="Q8824" i="1"/>
  <c r="M8824" i="1"/>
  <c r="L8824" i="1"/>
  <c r="V8823" i="1"/>
  <c r="U8823" i="1"/>
  <c r="T8823" i="1"/>
  <c r="S8823" i="1"/>
  <c r="R8823" i="1"/>
  <c r="Q8823" i="1"/>
  <c r="M8823" i="1"/>
  <c r="L8823" i="1"/>
  <c r="V8822" i="1"/>
  <c r="U8822" i="1"/>
  <c r="T8822" i="1"/>
  <c r="S8822" i="1"/>
  <c r="R8822" i="1"/>
  <c r="Q8822" i="1"/>
  <c r="M8822" i="1"/>
  <c r="L8822" i="1"/>
  <c r="V8821" i="1"/>
  <c r="U8821" i="1"/>
  <c r="T8821" i="1"/>
  <c r="S8821" i="1"/>
  <c r="R8821" i="1"/>
  <c r="Q8821" i="1"/>
  <c r="M8821" i="1"/>
  <c r="L8821" i="1"/>
  <c r="V8820" i="1"/>
  <c r="U8820" i="1"/>
  <c r="T8820" i="1"/>
  <c r="S8820" i="1"/>
  <c r="R8820" i="1"/>
  <c r="Q8820" i="1"/>
  <c r="M8820" i="1"/>
  <c r="L8820" i="1"/>
  <c r="V8819" i="1"/>
  <c r="U8819" i="1"/>
  <c r="T8819" i="1"/>
  <c r="S8819" i="1"/>
  <c r="R8819" i="1"/>
  <c r="Q8819" i="1"/>
  <c r="M8819" i="1"/>
  <c r="L8819" i="1"/>
  <c r="V8818" i="1"/>
  <c r="U8818" i="1"/>
  <c r="T8818" i="1"/>
  <c r="S8818" i="1"/>
  <c r="R8818" i="1"/>
  <c r="Q8818" i="1"/>
  <c r="M8818" i="1"/>
  <c r="L8818" i="1"/>
  <c r="V8817" i="1"/>
  <c r="U8817" i="1"/>
  <c r="T8817" i="1"/>
  <c r="S8817" i="1"/>
  <c r="R8817" i="1"/>
  <c r="Q8817" i="1"/>
  <c r="M8817" i="1"/>
  <c r="L8817" i="1"/>
  <c r="V8816" i="1"/>
  <c r="U8816" i="1"/>
  <c r="T8816" i="1"/>
  <c r="S8816" i="1"/>
  <c r="R8816" i="1"/>
  <c r="Q8816" i="1"/>
  <c r="M8816" i="1"/>
  <c r="L8816" i="1"/>
  <c r="V8815" i="1"/>
  <c r="U8815" i="1"/>
  <c r="T8815" i="1"/>
  <c r="S8815" i="1"/>
  <c r="R8815" i="1"/>
  <c r="Q8815" i="1"/>
  <c r="M8815" i="1"/>
  <c r="L8815" i="1"/>
  <c r="V8814" i="1"/>
  <c r="U8814" i="1"/>
  <c r="T8814" i="1"/>
  <c r="S8814" i="1"/>
  <c r="R8814" i="1"/>
  <c r="Q8814" i="1"/>
  <c r="M8814" i="1"/>
  <c r="L8814" i="1"/>
  <c r="V8813" i="1"/>
  <c r="U8813" i="1"/>
  <c r="T8813" i="1"/>
  <c r="S8813" i="1"/>
  <c r="R8813" i="1"/>
  <c r="Q8813" i="1"/>
  <c r="M8813" i="1"/>
  <c r="L8813" i="1"/>
  <c r="V8812" i="1"/>
  <c r="U8812" i="1"/>
  <c r="T8812" i="1"/>
  <c r="S8812" i="1"/>
  <c r="R8812" i="1"/>
  <c r="Q8812" i="1"/>
  <c r="M8812" i="1"/>
  <c r="L8812" i="1"/>
  <c r="V8811" i="1"/>
  <c r="U8811" i="1"/>
  <c r="T8811" i="1"/>
  <c r="S8811" i="1"/>
  <c r="R8811" i="1"/>
  <c r="Q8811" i="1"/>
  <c r="M8811" i="1"/>
  <c r="L8811" i="1"/>
  <c r="V8810" i="1"/>
  <c r="U8810" i="1"/>
  <c r="T8810" i="1"/>
  <c r="S8810" i="1"/>
  <c r="R8810" i="1"/>
  <c r="Q8810" i="1"/>
  <c r="M8810" i="1"/>
  <c r="L8810" i="1"/>
  <c r="V8809" i="1"/>
  <c r="U8809" i="1"/>
  <c r="T8809" i="1"/>
  <c r="S8809" i="1"/>
  <c r="R8809" i="1"/>
  <c r="Q8809" i="1"/>
  <c r="M8809" i="1"/>
  <c r="L8809" i="1"/>
  <c r="V8808" i="1"/>
  <c r="U8808" i="1"/>
  <c r="T8808" i="1"/>
  <c r="S8808" i="1"/>
  <c r="R8808" i="1"/>
  <c r="Q8808" i="1"/>
  <c r="M8808" i="1"/>
  <c r="L8808" i="1"/>
  <c r="V8807" i="1"/>
  <c r="U8807" i="1"/>
  <c r="T8807" i="1"/>
  <c r="S8807" i="1"/>
  <c r="R8807" i="1"/>
  <c r="Q8807" i="1"/>
  <c r="M8807" i="1"/>
  <c r="L8807" i="1"/>
  <c r="V8806" i="1"/>
  <c r="U8806" i="1"/>
  <c r="T8806" i="1"/>
  <c r="S8806" i="1"/>
  <c r="R8806" i="1"/>
  <c r="Q8806" i="1"/>
  <c r="M8806" i="1"/>
  <c r="L8806" i="1"/>
  <c r="V8805" i="1"/>
  <c r="U8805" i="1"/>
  <c r="T8805" i="1"/>
  <c r="S8805" i="1"/>
  <c r="R8805" i="1"/>
  <c r="Q8805" i="1"/>
  <c r="M8805" i="1"/>
  <c r="L8805" i="1"/>
  <c r="V8804" i="1"/>
  <c r="U8804" i="1"/>
  <c r="T8804" i="1"/>
  <c r="S8804" i="1"/>
  <c r="R8804" i="1"/>
  <c r="Q8804" i="1"/>
  <c r="M8804" i="1"/>
  <c r="L8804" i="1"/>
  <c r="V8803" i="1"/>
  <c r="U8803" i="1"/>
  <c r="T8803" i="1"/>
  <c r="S8803" i="1"/>
  <c r="R8803" i="1"/>
  <c r="Q8803" i="1"/>
  <c r="M8803" i="1"/>
  <c r="L8803" i="1"/>
  <c r="V8802" i="1"/>
  <c r="U8802" i="1"/>
  <c r="T8802" i="1"/>
  <c r="S8802" i="1"/>
  <c r="R8802" i="1"/>
  <c r="Q8802" i="1"/>
  <c r="M8802" i="1"/>
  <c r="L8802" i="1"/>
  <c r="V8801" i="1"/>
  <c r="U8801" i="1"/>
  <c r="T8801" i="1"/>
  <c r="S8801" i="1"/>
  <c r="R8801" i="1"/>
  <c r="Q8801" i="1"/>
  <c r="M8801" i="1"/>
  <c r="L8801" i="1"/>
  <c r="V8800" i="1"/>
  <c r="U8800" i="1"/>
  <c r="T8800" i="1"/>
  <c r="S8800" i="1"/>
  <c r="R8800" i="1"/>
  <c r="Q8800" i="1"/>
  <c r="M8800" i="1"/>
  <c r="L8800" i="1"/>
  <c r="V8799" i="1"/>
  <c r="U8799" i="1"/>
  <c r="T8799" i="1"/>
  <c r="S8799" i="1"/>
  <c r="R8799" i="1"/>
  <c r="Q8799" i="1"/>
  <c r="M8799" i="1"/>
  <c r="L8799" i="1"/>
  <c r="V8798" i="1"/>
  <c r="U8798" i="1"/>
  <c r="T8798" i="1"/>
  <c r="S8798" i="1"/>
  <c r="R8798" i="1"/>
  <c r="Q8798" i="1"/>
  <c r="M8798" i="1"/>
  <c r="L8798" i="1"/>
  <c r="V8797" i="1"/>
  <c r="U8797" i="1"/>
  <c r="T8797" i="1"/>
  <c r="S8797" i="1"/>
  <c r="R8797" i="1"/>
  <c r="Q8797" i="1"/>
  <c r="M8797" i="1"/>
  <c r="L8797" i="1"/>
  <c r="V8796" i="1"/>
  <c r="U8796" i="1"/>
  <c r="T8796" i="1"/>
  <c r="S8796" i="1"/>
  <c r="R8796" i="1"/>
  <c r="Q8796" i="1"/>
  <c r="M8796" i="1"/>
  <c r="L8796" i="1"/>
  <c r="V8795" i="1"/>
  <c r="U8795" i="1"/>
  <c r="T8795" i="1"/>
  <c r="S8795" i="1"/>
  <c r="R8795" i="1"/>
  <c r="Q8795" i="1"/>
  <c r="M8795" i="1"/>
  <c r="L8795" i="1"/>
  <c r="V8794" i="1"/>
  <c r="U8794" i="1"/>
  <c r="T8794" i="1"/>
  <c r="S8794" i="1"/>
  <c r="R8794" i="1"/>
  <c r="Q8794" i="1"/>
  <c r="M8794" i="1"/>
  <c r="L8794" i="1"/>
  <c r="V8793" i="1"/>
  <c r="U8793" i="1"/>
  <c r="T8793" i="1"/>
  <c r="S8793" i="1"/>
  <c r="R8793" i="1"/>
  <c r="Q8793" i="1"/>
  <c r="M8793" i="1"/>
  <c r="L8793" i="1"/>
  <c r="V8792" i="1"/>
  <c r="U8792" i="1"/>
  <c r="T8792" i="1"/>
  <c r="S8792" i="1"/>
  <c r="R8792" i="1"/>
  <c r="Q8792" i="1"/>
  <c r="M8792" i="1"/>
  <c r="L8792" i="1"/>
  <c r="V8791" i="1"/>
  <c r="U8791" i="1"/>
  <c r="T8791" i="1"/>
  <c r="S8791" i="1"/>
  <c r="R8791" i="1"/>
  <c r="Q8791" i="1"/>
  <c r="M8791" i="1"/>
  <c r="L8791" i="1"/>
  <c r="V8790" i="1"/>
  <c r="U8790" i="1"/>
  <c r="T8790" i="1"/>
  <c r="S8790" i="1"/>
  <c r="R8790" i="1"/>
  <c r="Q8790" i="1"/>
  <c r="M8790" i="1"/>
  <c r="L8790" i="1"/>
  <c r="V8789" i="1"/>
  <c r="U8789" i="1"/>
  <c r="T8789" i="1"/>
  <c r="S8789" i="1"/>
  <c r="R8789" i="1"/>
  <c r="Q8789" i="1"/>
  <c r="M8789" i="1"/>
  <c r="L8789" i="1"/>
  <c r="V8788" i="1"/>
  <c r="U8788" i="1"/>
  <c r="T8788" i="1"/>
  <c r="S8788" i="1"/>
  <c r="R8788" i="1"/>
  <c r="Q8788" i="1"/>
  <c r="M8788" i="1"/>
  <c r="L8788" i="1"/>
  <c r="V8787" i="1"/>
  <c r="U8787" i="1"/>
  <c r="T8787" i="1"/>
  <c r="S8787" i="1"/>
  <c r="R8787" i="1"/>
  <c r="Q8787" i="1"/>
  <c r="M8787" i="1"/>
  <c r="L8787" i="1"/>
  <c r="V8786" i="1"/>
  <c r="U8786" i="1"/>
  <c r="T8786" i="1"/>
  <c r="S8786" i="1"/>
  <c r="R8786" i="1"/>
  <c r="Q8786" i="1"/>
  <c r="M8786" i="1"/>
  <c r="L8786" i="1"/>
  <c r="V8785" i="1"/>
  <c r="U8785" i="1"/>
  <c r="T8785" i="1"/>
  <c r="S8785" i="1"/>
  <c r="R8785" i="1"/>
  <c r="Q8785" i="1"/>
  <c r="M8785" i="1"/>
  <c r="L8785" i="1"/>
  <c r="V8784" i="1"/>
  <c r="U8784" i="1"/>
  <c r="T8784" i="1"/>
  <c r="S8784" i="1"/>
  <c r="R8784" i="1"/>
  <c r="Q8784" i="1"/>
  <c r="M8784" i="1"/>
  <c r="L8784" i="1"/>
  <c r="V8783" i="1"/>
  <c r="U8783" i="1"/>
  <c r="T8783" i="1"/>
  <c r="S8783" i="1"/>
  <c r="R8783" i="1"/>
  <c r="Q8783" i="1"/>
  <c r="M8783" i="1"/>
  <c r="L8783" i="1"/>
  <c r="V8782" i="1"/>
  <c r="U8782" i="1"/>
  <c r="T8782" i="1"/>
  <c r="S8782" i="1"/>
  <c r="R8782" i="1"/>
  <c r="Q8782" i="1"/>
  <c r="M8782" i="1"/>
  <c r="L8782" i="1"/>
  <c r="V8781" i="1"/>
  <c r="U8781" i="1"/>
  <c r="T8781" i="1"/>
  <c r="S8781" i="1"/>
  <c r="R8781" i="1"/>
  <c r="Q8781" i="1"/>
  <c r="M8781" i="1"/>
  <c r="L8781" i="1"/>
  <c r="V8780" i="1"/>
  <c r="U8780" i="1"/>
  <c r="T8780" i="1"/>
  <c r="S8780" i="1"/>
  <c r="R8780" i="1"/>
  <c r="Q8780" i="1"/>
  <c r="M8780" i="1"/>
  <c r="L8780" i="1"/>
  <c r="V8779" i="1"/>
  <c r="U8779" i="1"/>
  <c r="T8779" i="1"/>
  <c r="S8779" i="1"/>
  <c r="R8779" i="1"/>
  <c r="Q8779" i="1"/>
  <c r="M8779" i="1"/>
  <c r="L8779" i="1"/>
  <c r="V8778" i="1"/>
  <c r="U8778" i="1"/>
  <c r="T8778" i="1"/>
  <c r="S8778" i="1"/>
  <c r="R8778" i="1"/>
  <c r="Q8778" i="1"/>
  <c r="M8778" i="1"/>
  <c r="L8778" i="1"/>
  <c r="V8777" i="1"/>
  <c r="U8777" i="1"/>
  <c r="T8777" i="1"/>
  <c r="S8777" i="1"/>
  <c r="R8777" i="1"/>
  <c r="Q8777" i="1"/>
  <c r="M8777" i="1"/>
  <c r="L8777" i="1"/>
  <c r="V8776" i="1"/>
  <c r="U8776" i="1"/>
  <c r="T8776" i="1"/>
  <c r="S8776" i="1"/>
  <c r="R8776" i="1"/>
  <c r="Q8776" i="1"/>
  <c r="M8776" i="1"/>
  <c r="L8776" i="1"/>
  <c r="V8775" i="1"/>
  <c r="U8775" i="1"/>
  <c r="T8775" i="1"/>
  <c r="S8775" i="1"/>
  <c r="R8775" i="1"/>
  <c r="Q8775" i="1"/>
  <c r="M8775" i="1"/>
  <c r="L8775" i="1"/>
  <c r="V8774" i="1"/>
  <c r="U8774" i="1"/>
  <c r="T8774" i="1"/>
  <c r="S8774" i="1"/>
  <c r="R8774" i="1"/>
  <c r="Q8774" i="1"/>
  <c r="M8774" i="1"/>
  <c r="L8774" i="1"/>
  <c r="V8773" i="1"/>
  <c r="U8773" i="1"/>
  <c r="T8773" i="1"/>
  <c r="S8773" i="1"/>
  <c r="R8773" i="1"/>
  <c r="Q8773" i="1"/>
  <c r="M8773" i="1"/>
  <c r="L8773" i="1"/>
  <c r="V8772" i="1"/>
  <c r="U8772" i="1"/>
  <c r="T8772" i="1"/>
  <c r="S8772" i="1"/>
  <c r="R8772" i="1"/>
  <c r="Q8772" i="1"/>
  <c r="M8772" i="1"/>
  <c r="L8772" i="1"/>
  <c r="V8771" i="1"/>
  <c r="U8771" i="1"/>
  <c r="T8771" i="1"/>
  <c r="S8771" i="1"/>
  <c r="R8771" i="1"/>
  <c r="Q8771" i="1"/>
  <c r="M8771" i="1"/>
  <c r="L8771" i="1"/>
  <c r="V8770" i="1"/>
  <c r="U8770" i="1"/>
  <c r="T8770" i="1"/>
  <c r="S8770" i="1"/>
  <c r="R8770" i="1"/>
  <c r="Q8770" i="1"/>
  <c r="M8770" i="1"/>
  <c r="L8770" i="1"/>
  <c r="V8769" i="1"/>
  <c r="U8769" i="1"/>
  <c r="T8769" i="1"/>
  <c r="S8769" i="1"/>
  <c r="R8769" i="1"/>
  <c r="Q8769" i="1"/>
  <c r="M8769" i="1"/>
  <c r="L8769" i="1"/>
  <c r="V8768" i="1"/>
  <c r="U8768" i="1"/>
  <c r="T8768" i="1"/>
  <c r="S8768" i="1"/>
  <c r="R8768" i="1"/>
  <c r="Q8768" i="1"/>
  <c r="M8768" i="1"/>
  <c r="L8768" i="1"/>
  <c r="V8767" i="1"/>
  <c r="U8767" i="1"/>
  <c r="T8767" i="1"/>
  <c r="S8767" i="1"/>
  <c r="R8767" i="1"/>
  <c r="Q8767" i="1"/>
  <c r="M8767" i="1"/>
  <c r="L8767" i="1"/>
  <c r="V8766" i="1"/>
  <c r="U8766" i="1"/>
  <c r="T8766" i="1"/>
  <c r="S8766" i="1"/>
  <c r="R8766" i="1"/>
  <c r="Q8766" i="1"/>
  <c r="M8766" i="1"/>
  <c r="L8766" i="1"/>
  <c r="V8765" i="1"/>
  <c r="U8765" i="1"/>
  <c r="T8765" i="1"/>
  <c r="S8765" i="1"/>
  <c r="R8765" i="1"/>
  <c r="Q8765" i="1"/>
  <c r="M8765" i="1"/>
  <c r="L8765" i="1"/>
  <c r="V8764" i="1"/>
  <c r="U8764" i="1"/>
  <c r="T8764" i="1"/>
  <c r="S8764" i="1"/>
  <c r="R8764" i="1"/>
  <c r="Q8764" i="1"/>
  <c r="M8764" i="1"/>
  <c r="L8764" i="1"/>
  <c r="V8763" i="1"/>
  <c r="U8763" i="1"/>
  <c r="T8763" i="1"/>
  <c r="S8763" i="1"/>
  <c r="R8763" i="1"/>
  <c r="Q8763" i="1"/>
  <c r="M8763" i="1"/>
  <c r="L8763" i="1"/>
  <c r="V8762" i="1"/>
  <c r="U8762" i="1"/>
  <c r="T8762" i="1"/>
  <c r="S8762" i="1"/>
  <c r="R8762" i="1"/>
  <c r="Q8762" i="1"/>
  <c r="M8762" i="1"/>
  <c r="L8762" i="1"/>
  <c r="V8761" i="1"/>
  <c r="U8761" i="1"/>
  <c r="T8761" i="1"/>
  <c r="S8761" i="1"/>
  <c r="R8761" i="1"/>
  <c r="Q8761" i="1"/>
  <c r="M8761" i="1"/>
  <c r="L8761" i="1"/>
  <c r="V8760" i="1"/>
  <c r="U8760" i="1"/>
  <c r="T8760" i="1"/>
  <c r="S8760" i="1"/>
  <c r="R8760" i="1"/>
  <c r="Q8760" i="1"/>
  <c r="M8760" i="1"/>
  <c r="L8760" i="1"/>
  <c r="V8759" i="1"/>
  <c r="U8759" i="1"/>
  <c r="T8759" i="1"/>
  <c r="S8759" i="1"/>
  <c r="R8759" i="1"/>
  <c r="Q8759" i="1"/>
  <c r="M8759" i="1"/>
  <c r="L8759" i="1"/>
  <c r="V8758" i="1"/>
  <c r="U8758" i="1"/>
  <c r="T8758" i="1"/>
  <c r="S8758" i="1"/>
  <c r="R8758" i="1"/>
  <c r="Q8758" i="1"/>
  <c r="M8758" i="1"/>
  <c r="L8758" i="1"/>
  <c r="V8757" i="1"/>
  <c r="U8757" i="1"/>
  <c r="T8757" i="1"/>
  <c r="S8757" i="1"/>
  <c r="R8757" i="1"/>
  <c r="Q8757" i="1"/>
  <c r="M8757" i="1"/>
  <c r="L8757" i="1"/>
  <c r="V8756" i="1"/>
  <c r="U8756" i="1"/>
  <c r="T8756" i="1"/>
  <c r="S8756" i="1"/>
  <c r="R8756" i="1"/>
  <c r="Q8756" i="1"/>
  <c r="M8756" i="1"/>
  <c r="L8756" i="1"/>
  <c r="V8755" i="1"/>
  <c r="U8755" i="1"/>
  <c r="T8755" i="1"/>
  <c r="S8755" i="1"/>
  <c r="R8755" i="1"/>
  <c r="Q8755" i="1"/>
  <c r="M8755" i="1"/>
  <c r="L8755" i="1"/>
  <c r="V8754" i="1"/>
  <c r="U8754" i="1"/>
  <c r="T8754" i="1"/>
  <c r="S8754" i="1"/>
  <c r="R8754" i="1"/>
  <c r="Q8754" i="1"/>
  <c r="M8754" i="1"/>
  <c r="L8754" i="1"/>
  <c r="V8753" i="1"/>
  <c r="U8753" i="1"/>
  <c r="T8753" i="1"/>
  <c r="S8753" i="1"/>
  <c r="R8753" i="1"/>
  <c r="Q8753" i="1"/>
  <c r="M8753" i="1"/>
  <c r="L8753" i="1"/>
  <c r="V8752" i="1"/>
  <c r="U8752" i="1"/>
  <c r="T8752" i="1"/>
  <c r="S8752" i="1"/>
  <c r="R8752" i="1"/>
  <c r="Q8752" i="1"/>
  <c r="M8752" i="1"/>
  <c r="L8752" i="1"/>
  <c r="V8751" i="1"/>
  <c r="U8751" i="1"/>
  <c r="T8751" i="1"/>
  <c r="S8751" i="1"/>
  <c r="R8751" i="1"/>
  <c r="Q8751" i="1"/>
  <c r="M8751" i="1"/>
  <c r="L8751" i="1"/>
  <c r="V8750" i="1"/>
  <c r="U8750" i="1"/>
  <c r="T8750" i="1"/>
  <c r="S8750" i="1"/>
  <c r="R8750" i="1"/>
  <c r="Q8750" i="1"/>
  <c r="M8750" i="1"/>
  <c r="L8750" i="1"/>
  <c r="V8749" i="1"/>
  <c r="U8749" i="1"/>
  <c r="T8749" i="1"/>
  <c r="S8749" i="1"/>
  <c r="R8749" i="1"/>
  <c r="Q8749" i="1"/>
  <c r="M8749" i="1"/>
  <c r="L8749" i="1"/>
  <c r="V8748" i="1"/>
  <c r="U8748" i="1"/>
  <c r="T8748" i="1"/>
  <c r="S8748" i="1"/>
  <c r="R8748" i="1"/>
  <c r="Q8748" i="1"/>
  <c r="M8748" i="1"/>
  <c r="L8748" i="1"/>
  <c r="V8747" i="1"/>
  <c r="U8747" i="1"/>
  <c r="T8747" i="1"/>
  <c r="S8747" i="1"/>
  <c r="R8747" i="1"/>
  <c r="Q8747" i="1"/>
  <c r="M8747" i="1"/>
  <c r="L8747" i="1"/>
  <c r="V8746" i="1"/>
  <c r="U8746" i="1"/>
  <c r="T8746" i="1"/>
  <c r="S8746" i="1"/>
  <c r="R8746" i="1"/>
  <c r="Q8746" i="1"/>
  <c r="M8746" i="1"/>
  <c r="L8746" i="1"/>
  <c r="V8745" i="1"/>
  <c r="U8745" i="1"/>
  <c r="T8745" i="1"/>
  <c r="S8745" i="1"/>
  <c r="R8745" i="1"/>
  <c r="Q8745" i="1"/>
  <c r="M8745" i="1"/>
  <c r="L8745" i="1"/>
  <c r="V8744" i="1"/>
  <c r="U8744" i="1"/>
  <c r="T8744" i="1"/>
  <c r="S8744" i="1"/>
  <c r="R8744" i="1"/>
  <c r="Q8744" i="1"/>
  <c r="M8744" i="1"/>
  <c r="L8744" i="1"/>
  <c r="V8743" i="1"/>
  <c r="U8743" i="1"/>
  <c r="T8743" i="1"/>
  <c r="S8743" i="1"/>
  <c r="R8743" i="1"/>
  <c r="Q8743" i="1"/>
  <c r="M8743" i="1"/>
  <c r="L8743" i="1"/>
  <c r="V8742" i="1"/>
  <c r="U8742" i="1"/>
  <c r="T8742" i="1"/>
  <c r="S8742" i="1"/>
  <c r="R8742" i="1"/>
  <c r="Q8742" i="1"/>
  <c r="M8742" i="1"/>
  <c r="L8742" i="1"/>
  <c r="V8741" i="1"/>
  <c r="U8741" i="1"/>
  <c r="T8741" i="1"/>
  <c r="S8741" i="1"/>
  <c r="R8741" i="1"/>
  <c r="Q8741" i="1"/>
  <c r="M8741" i="1"/>
  <c r="L8741" i="1"/>
  <c r="V8740" i="1"/>
  <c r="U8740" i="1"/>
  <c r="T8740" i="1"/>
  <c r="S8740" i="1"/>
  <c r="R8740" i="1"/>
  <c r="Q8740" i="1"/>
  <c r="M8740" i="1"/>
  <c r="L8740" i="1"/>
  <c r="V8739" i="1"/>
  <c r="U8739" i="1"/>
  <c r="T8739" i="1"/>
  <c r="S8739" i="1"/>
  <c r="R8739" i="1"/>
  <c r="Q8739" i="1"/>
  <c r="M8739" i="1"/>
  <c r="L8739" i="1"/>
  <c r="V8738" i="1"/>
  <c r="U8738" i="1"/>
  <c r="T8738" i="1"/>
  <c r="S8738" i="1"/>
  <c r="R8738" i="1"/>
  <c r="Q8738" i="1"/>
  <c r="M8738" i="1"/>
  <c r="L8738" i="1"/>
  <c r="V8737" i="1"/>
  <c r="U8737" i="1"/>
  <c r="T8737" i="1"/>
  <c r="S8737" i="1"/>
  <c r="R8737" i="1"/>
  <c r="Q8737" i="1"/>
  <c r="M8737" i="1"/>
  <c r="L8737" i="1"/>
  <c r="V8736" i="1"/>
  <c r="U8736" i="1"/>
  <c r="T8736" i="1"/>
  <c r="S8736" i="1"/>
  <c r="R8736" i="1"/>
  <c r="Q8736" i="1"/>
  <c r="M8736" i="1"/>
  <c r="L8736" i="1"/>
  <c r="V8735" i="1"/>
  <c r="U8735" i="1"/>
  <c r="T8735" i="1"/>
  <c r="S8735" i="1"/>
  <c r="R8735" i="1"/>
  <c r="Q8735" i="1"/>
  <c r="M8735" i="1"/>
  <c r="L8735" i="1"/>
  <c r="V8734" i="1"/>
  <c r="U8734" i="1"/>
  <c r="T8734" i="1"/>
  <c r="S8734" i="1"/>
  <c r="R8734" i="1"/>
  <c r="Q8734" i="1"/>
  <c r="M8734" i="1"/>
  <c r="L8734" i="1"/>
  <c r="V8733" i="1"/>
  <c r="U8733" i="1"/>
  <c r="T8733" i="1"/>
  <c r="S8733" i="1"/>
  <c r="R8733" i="1"/>
  <c r="Q8733" i="1"/>
  <c r="M8733" i="1"/>
  <c r="L8733" i="1"/>
  <c r="V8732" i="1"/>
  <c r="U8732" i="1"/>
  <c r="T8732" i="1"/>
  <c r="S8732" i="1"/>
  <c r="R8732" i="1"/>
  <c r="Q8732" i="1"/>
  <c r="M8732" i="1"/>
  <c r="L8732" i="1"/>
  <c r="V8731" i="1"/>
  <c r="U8731" i="1"/>
  <c r="T8731" i="1"/>
  <c r="S8731" i="1"/>
  <c r="R8731" i="1"/>
  <c r="Q8731" i="1"/>
  <c r="M8731" i="1"/>
  <c r="L8731" i="1"/>
  <c r="V8730" i="1"/>
  <c r="U8730" i="1"/>
  <c r="T8730" i="1"/>
  <c r="S8730" i="1"/>
  <c r="R8730" i="1"/>
  <c r="Q8730" i="1"/>
  <c r="M8730" i="1"/>
  <c r="L8730" i="1"/>
  <c r="V8729" i="1"/>
  <c r="U8729" i="1"/>
  <c r="T8729" i="1"/>
  <c r="S8729" i="1"/>
  <c r="R8729" i="1"/>
  <c r="Q8729" i="1"/>
  <c r="M8729" i="1"/>
  <c r="L8729" i="1"/>
  <c r="V8728" i="1"/>
  <c r="U8728" i="1"/>
  <c r="T8728" i="1"/>
  <c r="S8728" i="1"/>
  <c r="R8728" i="1"/>
  <c r="Q8728" i="1"/>
  <c r="M8728" i="1"/>
  <c r="L8728" i="1"/>
  <c r="V8727" i="1"/>
  <c r="U8727" i="1"/>
  <c r="T8727" i="1"/>
  <c r="S8727" i="1"/>
  <c r="R8727" i="1"/>
  <c r="Q8727" i="1"/>
  <c r="M8727" i="1"/>
  <c r="L8727" i="1"/>
  <c r="V8726" i="1"/>
  <c r="U8726" i="1"/>
  <c r="T8726" i="1"/>
  <c r="S8726" i="1"/>
  <c r="R8726" i="1"/>
  <c r="Q8726" i="1"/>
  <c r="M8726" i="1"/>
  <c r="L8726" i="1"/>
  <c r="V8725" i="1"/>
  <c r="U8725" i="1"/>
  <c r="T8725" i="1"/>
  <c r="S8725" i="1"/>
  <c r="R8725" i="1"/>
  <c r="Q8725" i="1"/>
  <c r="M8725" i="1"/>
  <c r="L8725" i="1"/>
  <c r="V8724" i="1"/>
  <c r="U8724" i="1"/>
  <c r="T8724" i="1"/>
  <c r="S8724" i="1"/>
  <c r="R8724" i="1"/>
  <c r="Q8724" i="1"/>
  <c r="M8724" i="1"/>
  <c r="L8724" i="1"/>
  <c r="V8723" i="1"/>
  <c r="U8723" i="1"/>
  <c r="T8723" i="1"/>
  <c r="S8723" i="1"/>
  <c r="R8723" i="1"/>
  <c r="Q8723" i="1"/>
  <c r="M8723" i="1"/>
  <c r="L8723" i="1"/>
  <c r="V8722" i="1"/>
  <c r="U8722" i="1"/>
  <c r="T8722" i="1"/>
  <c r="S8722" i="1"/>
  <c r="R8722" i="1"/>
  <c r="Q8722" i="1"/>
  <c r="M8722" i="1"/>
  <c r="L8722" i="1"/>
  <c r="V8721" i="1"/>
  <c r="U8721" i="1"/>
  <c r="T8721" i="1"/>
  <c r="S8721" i="1"/>
  <c r="R8721" i="1"/>
  <c r="Q8721" i="1"/>
  <c r="M8721" i="1"/>
  <c r="L8721" i="1"/>
  <c r="V8720" i="1"/>
  <c r="U8720" i="1"/>
  <c r="T8720" i="1"/>
  <c r="S8720" i="1"/>
  <c r="R8720" i="1"/>
  <c r="Q8720" i="1"/>
  <c r="M8720" i="1"/>
  <c r="L8720" i="1"/>
  <c r="V8719" i="1"/>
  <c r="U8719" i="1"/>
  <c r="T8719" i="1"/>
  <c r="S8719" i="1"/>
  <c r="R8719" i="1"/>
  <c r="Q8719" i="1"/>
  <c r="M8719" i="1"/>
  <c r="L8719" i="1"/>
  <c r="V8718" i="1"/>
  <c r="U8718" i="1"/>
  <c r="T8718" i="1"/>
  <c r="S8718" i="1"/>
  <c r="R8718" i="1"/>
  <c r="Q8718" i="1"/>
  <c r="M8718" i="1"/>
  <c r="L8718" i="1"/>
  <c r="V8717" i="1"/>
  <c r="U8717" i="1"/>
  <c r="T8717" i="1"/>
  <c r="S8717" i="1"/>
  <c r="R8717" i="1"/>
  <c r="Q8717" i="1"/>
  <c r="M8717" i="1"/>
  <c r="L8717" i="1"/>
  <c r="V8716" i="1"/>
  <c r="U8716" i="1"/>
  <c r="T8716" i="1"/>
  <c r="S8716" i="1"/>
  <c r="R8716" i="1"/>
  <c r="Q8716" i="1"/>
  <c r="M8716" i="1"/>
  <c r="L8716" i="1"/>
  <c r="V8715" i="1"/>
  <c r="U8715" i="1"/>
  <c r="T8715" i="1"/>
  <c r="S8715" i="1"/>
  <c r="R8715" i="1"/>
  <c r="Q8715" i="1"/>
  <c r="M8715" i="1"/>
  <c r="L8715" i="1"/>
  <c r="V8714" i="1"/>
  <c r="U8714" i="1"/>
  <c r="T8714" i="1"/>
  <c r="S8714" i="1"/>
  <c r="R8714" i="1"/>
  <c r="Q8714" i="1"/>
  <c r="M8714" i="1"/>
  <c r="L8714" i="1"/>
  <c r="V8713" i="1"/>
  <c r="U8713" i="1"/>
  <c r="T8713" i="1"/>
  <c r="S8713" i="1"/>
  <c r="R8713" i="1"/>
  <c r="Q8713" i="1"/>
  <c r="M8713" i="1"/>
  <c r="L8713" i="1"/>
  <c r="V8712" i="1"/>
  <c r="U8712" i="1"/>
  <c r="T8712" i="1"/>
  <c r="S8712" i="1"/>
  <c r="R8712" i="1"/>
  <c r="Q8712" i="1"/>
  <c r="M8712" i="1"/>
  <c r="L8712" i="1"/>
  <c r="V8711" i="1"/>
  <c r="U8711" i="1"/>
  <c r="T8711" i="1"/>
  <c r="S8711" i="1"/>
  <c r="R8711" i="1"/>
  <c r="Q8711" i="1"/>
  <c r="M8711" i="1"/>
  <c r="L8711" i="1"/>
  <c r="V8710" i="1"/>
  <c r="U8710" i="1"/>
  <c r="T8710" i="1"/>
  <c r="S8710" i="1"/>
  <c r="R8710" i="1"/>
  <c r="Q8710" i="1"/>
  <c r="M8710" i="1"/>
  <c r="L8710" i="1"/>
  <c r="V8709" i="1"/>
  <c r="U8709" i="1"/>
  <c r="T8709" i="1"/>
  <c r="S8709" i="1"/>
  <c r="R8709" i="1"/>
  <c r="Q8709" i="1"/>
  <c r="M8709" i="1"/>
  <c r="L8709" i="1"/>
  <c r="V8708" i="1"/>
  <c r="U8708" i="1"/>
  <c r="T8708" i="1"/>
  <c r="S8708" i="1"/>
  <c r="R8708" i="1"/>
  <c r="Q8708" i="1"/>
  <c r="M8708" i="1"/>
  <c r="L8708" i="1"/>
  <c r="V8707" i="1"/>
  <c r="U8707" i="1"/>
  <c r="T8707" i="1"/>
  <c r="S8707" i="1"/>
  <c r="R8707" i="1"/>
  <c r="Q8707" i="1"/>
  <c r="M8707" i="1"/>
  <c r="L8707" i="1"/>
  <c r="V8706" i="1"/>
  <c r="U8706" i="1"/>
  <c r="T8706" i="1"/>
  <c r="S8706" i="1"/>
  <c r="R8706" i="1"/>
  <c r="Q8706" i="1"/>
  <c r="M8706" i="1"/>
  <c r="L8706" i="1"/>
  <c r="V8705" i="1"/>
  <c r="U8705" i="1"/>
  <c r="T8705" i="1"/>
  <c r="S8705" i="1"/>
  <c r="R8705" i="1"/>
  <c r="Q8705" i="1"/>
  <c r="M8705" i="1"/>
  <c r="L8705" i="1"/>
  <c r="V8704" i="1"/>
  <c r="U8704" i="1"/>
  <c r="T8704" i="1"/>
  <c r="S8704" i="1"/>
  <c r="R8704" i="1"/>
  <c r="Q8704" i="1"/>
  <c r="M8704" i="1"/>
  <c r="L8704" i="1"/>
  <c r="V8703" i="1"/>
  <c r="U8703" i="1"/>
  <c r="T8703" i="1"/>
  <c r="S8703" i="1"/>
  <c r="R8703" i="1"/>
  <c r="Q8703" i="1"/>
  <c r="M8703" i="1"/>
  <c r="L8703" i="1"/>
  <c r="V8702" i="1"/>
  <c r="U8702" i="1"/>
  <c r="T8702" i="1"/>
  <c r="S8702" i="1"/>
  <c r="R8702" i="1"/>
  <c r="Q8702" i="1"/>
  <c r="M8702" i="1"/>
  <c r="L8702" i="1"/>
  <c r="V8701" i="1"/>
  <c r="U8701" i="1"/>
  <c r="T8701" i="1"/>
  <c r="S8701" i="1"/>
  <c r="R8701" i="1"/>
  <c r="Q8701" i="1"/>
  <c r="M8701" i="1"/>
  <c r="L8701" i="1"/>
  <c r="V8700" i="1"/>
  <c r="U8700" i="1"/>
  <c r="T8700" i="1"/>
  <c r="S8700" i="1"/>
  <c r="R8700" i="1"/>
  <c r="Q8700" i="1"/>
  <c r="M8700" i="1"/>
  <c r="L8700" i="1"/>
  <c r="V8699" i="1"/>
  <c r="U8699" i="1"/>
  <c r="T8699" i="1"/>
  <c r="S8699" i="1"/>
  <c r="R8699" i="1"/>
  <c r="Q8699" i="1"/>
  <c r="M8699" i="1"/>
  <c r="L8699" i="1"/>
  <c r="V8698" i="1"/>
  <c r="U8698" i="1"/>
  <c r="T8698" i="1"/>
  <c r="S8698" i="1"/>
  <c r="R8698" i="1"/>
  <c r="Q8698" i="1"/>
  <c r="M8698" i="1"/>
  <c r="L8698" i="1"/>
  <c r="V8697" i="1"/>
  <c r="U8697" i="1"/>
  <c r="T8697" i="1"/>
  <c r="S8697" i="1"/>
  <c r="R8697" i="1"/>
  <c r="Q8697" i="1"/>
  <c r="M8697" i="1"/>
  <c r="L8697" i="1"/>
  <c r="V8696" i="1"/>
  <c r="U8696" i="1"/>
  <c r="T8696" i="1"/>
  <c r="S8696" i="1"/>
  <c r="R8696" i="1"/>
  <c r="Q8696" i="1"/>
  <c r="M8696" i="1"/>
  <c r="L8696" i="1"/>
  <c r="V8695" i="1"/>
  <c r="U8695" i="1"/>
  <c r="T8695" i="1"/>
  <c r="S8695" i="1"/>
  <c r="R8695" i="1"/>
  <c r="Q8695" i="1"/>
  <c r="M8695" i="1"/>
  <c r="L8695" i="1"/>
  <c r="V8694" i="1"/>
  <c r="U8694" i="1"/>
  <c r="T8694" i="1"/>
  <c r="S8694" i="1"/>
  <c r="R8694" i="1"/>
  <c r="Q8694" i="1"/>
  <c r="M8694" i="1"/>
  <c r="L8694" i="1"/>
  <c r="V8693" i="1"/>
  <c r="U8693" i="1"/>
  <c r="T8693" i="1"/>
  <c r="S8693" i="1"/>
  <c r="R8693" i="1"/>
  <c r="Q8693" i="1"/>
  <c r="M8693" i="1"/>
  <c r="L8693" i="1"/>
  <c r="V8692" i="1"/>
  <c r="U8692" i="1"/>
  <c r="T8692" i="1"/>
  <c r="S8692" i="1"/>
  <c r="R8692" i="1"/>
  <c r="Q8692" i="1"/>
  <c r="M8692" i="1"/>
  <c r="L8692" i="1"/>
  <c r="V8691" i="1"/>
  <c r="U8691" i="1"/>
  <c r="T8691" i="1"/>
  <c r="S8691" i="1"/>
  <c r="R8691" i="1"/>
  <c r="Q8691" i="1"/>
  <c r="M8691" i="1"/>
  <c r="L8691" i="1"/>
  <c r="V8690" i="1"/>
  <c r="U8690" i="1"/>
  <c r="T8690" i="1"/>
  <c r="S8690" i="1"/>
  <c r="R8690" i="1"/>
  <c r="Q8690" i="1"/>
  <c r="M8690" i="1"/>
  <c r="L8690" i="1"/>
  <c r="V8689" i="1"/>
  <c r="U8689" i="1"/>
  <c r="T8689" i="1"/>
  <c r="S8689" i="1"/>
  <c r="R8689" i="1"/>
  <c r="Q8689" i="1"/>
  <c r="M8689" i="1"/>
  <c r="L8689" i="1"/>
  <c r="V8688" i="1"/>
  <c r="U8688" i="1"/>
  <c r="T8688" i="1"/>
  <c r="S8688" i="1"/>
  <c r="R8688" i="1"/>
  <c r="Q8688" i="1"/>
  <c r="M8688" i="1"/>
  <c r="L8688" i="1"/>
  <c r="V8687" i="1"/>
  <c r="U8687" i="1"/>
  <c r="T8687" i="1"/>
  <c r="S8687" i="1"/>
  <c r="R8687" i="1"/>
  <c r="Q8687" i="1"/>
  <c r="M8687" i="1"/>
  <c r="L8687" i="1"/>
  <c r="V8686" i="1"/>
  <c r="U8686" i="1"/>
  <c r="T8686" i="1"/>
  <c r="S8686" i="1"/>
  <c r="R8686" i="1"/>
  <c r="Q8686" i="1"/>
  <c r="M8686" i="1"/>
  <c r="L8686" i="1"/>
  <c r="V8685" i="1"/>
  <c r="U8685" i="1"/>
  <c r="T8685" i="1"/>
  <c r="S8685" i="1"/>
  <c r="R8685" i="1"/>
  <c r="Q8685" i="1"/>
  <c r="M8685" i="1"/>
  <c r="L8685" i="1"/>
  <c r="V8684" i="1"/>
  <c r="U8684" i="1"/>
  <c r="T8684" i="1"/>
  <c r="S8684" i="1"/>
  <c r="R8684" i="1"/>
  <c r="Q8684" i="1"/>
  <c r="M8684" i="1"/>
  <c r="L8684" i="1"/>
  <c r="V8683" i="1"/>
  <c r="U8683" i="1"/>
  <c r="T8683" i="1"/>
  <c r="S8683" i="1"/>
  <c r="R8683" i="1"/>
  <c r="Q8683" i="1"/>
  <c r="M8683" i="1"/>
  <c r="L8683" i="1"/>
  <c r="V8682" i="1"/>
  <c r="U8682" i="1"/>
  <c r="T8682" i="1"/>
  <c r="S8682" i="1"/>
  <c r="R8682" i="1"/>
  <c r="Q8682" i="1"/>
  <c r="M8682" i="1"/>
  <c r="L8682" i="1"/>
  <c r="V8681" i="1"/>
  <c r="U8681" i="1"/>
  <c r="T8681" i="1"/>
  <c r="S8681" i="1"/>
  <c r="R8681" i="1"/>
  <c r="Q8681" i="1"/>
  <c r="M8681" i="1"/>
  <c r="L8681" i="1"/>
  <c r="V8680" i="1"/>
  <c r="U8680" i="1"/>
  <c r="T8680" i="1"/>
  <c r="S8680" i="1"/>
  <c r="R8680" i="1"/>
  <c r="Q8680" i="1"/>
  <c r="M8680" i="1"/>
  <c r="L8680" i="1"/>
  <c r="V8679" i="1"/>
  <c r="U8679" i="1"/>
  <c r="T8679" i="1"/>
  <c r="S8679" i="1"/>
  <c r="R8679" i="1"/>
  <c r="Q8679" i="1"/>
  <c r="M8679" i="1"/>
  <c r="L8679" i="1"/>
  <c r="V8678" i="1"/>
  <c r="U8678" i="1"/>
  <c r="T8678" i="1"/>
  <c r="S8678" i="1"/>
  <c r="R8678" i="1"/>
  <c r="Q8678" i="1"/>
  <c r="M8678" i="1"/>
  <c r="L8678" i="1"/>
  <c r="V8677" i="1"/>
  <c r="U8677" i="1"/>
  <c r="T8677" i="1"/>
  <c r="S8677" i="1"/>
  <c r="R8677" i="1"/>
  <c r="Q8677" i="1"/>
  <c r="M8677" i="1"/>
  <c r="L8677" i="1"/>
  <c r="V8676" i="1"/>
  <c r="U8676" i="1"/>
  <c r="T8676" i="1"/>
  <c r="S8676" i="1"/>
  <c r="R8676" i="1"/>
  <c r="Q8676" i="1"/>
  <c r="M8676" i="1"/>
  <c r="L8676" i="1"/>
  <c r="V8675" i="1"/>
  <c r="U8675" i="1"/>
  <c r="T8675" i="1"/>
  <c r="S8675" i="1"/>
  <c r="R8675" i="1"/>
  <c r="Q8675" i="1"/>
  <c r="M8675" i="1"/>
  <c r="L8675" i="1"/>
  <c r="V8674" i="1"/>
  <c r="U8674" i="1"/>
  <c r="T8674" i="1"/>
  <c r="S8674" i="1"/>
  <c r="R8674" i="1"/>
  <c r="Q8674" i="1"/>
  <c r="M8674" i="1"/>
  <c r="L8674" i="1"/>
  <c r="V8673" i="1"/>
  <c r="U8673" i="1"/>
  <c r="T8673" i="1"/>
  <c r="S8673" i="1"/>
  <c r="R8673" i="1"/>
  <c r="Q8673" i="1"/>
  <c r="M8673" i="1"/>
  <c r="L8673" i="1"/>
  <c r="V8672" i="1"/>
  <c r="U8672" i="1"/>
  <c r="T8672" i="1"/>
  <c r="S8672" i="1"/>
  <c r="R8672" i="1"/>
  <c r="Q8672" i="1"/>
  <c r="M8672" i="1"/>
  <c r="L8672" i="1"/>
  <c r="V8671" i="1"/>
  <c r="U8671" i="1"/>
  <c r="T8671" i="1"/>
  <c r="S8671" i="1"/>
  <c r="R8671" i="1"/>
  <c r="Q8671" i="1"/>
  <c r="M8671" i="1"/>
  <c r="L8671" i="1"/>
  <c r="V8670" i="1"/>
  <c r="U8670" i="1"/>
  <c r="T8670" i="1"/>
  <c r="S8670" i="1"/>
  <c r="R8670" i="1"/>
  <c r="Q8670" i="1"/>
  <c r="M8670" i="1"/>
  <c r="L8670" i="1"/>
  <c r="V8669" i="1"/>
  <c r="U8669" i="1"/>
  <c r="T8669" i="1"/>
  <c r="S8669" i="1"/>
  <c r="R8669" i="1"/>
  <c r="Q8669" i="1"/>
  <c r="M8669" i="1"/>
  <c r="L8669" i="1"/>
  <c r="V8668" i="1"/>
  <c r="U8668" i="1"/>
  <c r="T8668" i="1"/>
  <c r="S8668" i="1"/>
  <c r="R8668" i="1"/>
  <c r="Q8668" i="1"/>
  <c r="M8668" i="1"/>
  <c r="L8668" i="1"/>
  <c r="V8667" i="1"/>
  <c r="U8667" i="1"/>
  <c r="T8667" i="1"/>
  <c r="S8667" i="1"/>
  <c r="R8667" i="1"/>
  <c r="Q8667" i="1"/>
  <c r="M8667" i="1"/>
  <c r="L8667" i="1"/>
  <c r="V8666" i="1"/>
  <c r="U8666" i="1"/>
  <c r="T8666" i="1"/>
  <c r="S8666" i="1"/>
  <c r="R8666" i="1"/>
  <c r="Q8666" i="1"/>
  <c r="M8666" i="1"/>
  <c r="L8666" i="1"/>
  <c r="V8665" i="1"/>
  <c r="U8665" i="1"/>
  <c r="T8665" i="1"/>
  <c r="S8665" i="1"/>
  <c r="R8665" i="1"/>
  <c r="Q8665" i="1"/>
  <c r="M8665" i="1"/>
  <c r="L8665" i="1"/>
  <c r="V8664" i="1"/>
  <c r="U8664" i="1"/>
  <c r="T8664" i="1"/>
  <c r="S8664" i="1"/>
  <c r="R8664" i="1"/>
  <c r="Q8664" i="1"/>
  <c r="M8664" i="1"/>
  <c r="L8664" i="1"/>
  <c r="V8663" i="1"/>
  <c r="U8663" i="1"/>
  <c r="T8663" i="1"/>
  <c r="S8663" i="1"/>
  <c r="R8663" i="1"/>
  <c r="Q8663" i="1"/>
  <c r="M8663" i="1"/>
  <c r="L8663" i="1"/>
  <c r="V8662" i="1"/>
  <c r="U8662" i="1"/>
  <c r="T8662" i="1"/>
  <c r="S8662" i="1"/>
  <c r="R8662" i="1"/>
  <c r="Q8662" i="1"/>
  <c r="M8662" i="1"/>
  <c r="L8662" i="1"/>
  <c r="V8661" i="1"/>
  <c r="U8661" i="1"/>
  <c r="T8661" i="1"/>
  <c r="S8661" i="1"/>
  <c r="R8661" i="1"/>
  <c r="Q8661" i="1"/>
  <c r="M8661" i="1"/>
  <c r="L8661" i="1"/>
  <c r="V8660" i="1"/>
  <c r="U8660" i="1"/>
  <c r="T8660" i="1"/>
  <c r="S8660" i="1"/>
  <c r="R8660" i="1"/>
  <c r="Q8660" i="1"/>
  <c r="M8660" i="1"/>
  <c r="L8660" i="1"/>
  <c r="V8659" i="1"/>
  <c r="U8659" i="1"/>
  <c r="T8659" i="1"/>
  <c r="S8659" i="1"/>
  <c r="R8659" i="1"/>
  <c r="Q8659" i="1"/>
  <c r="M8659" i="1"/>
  <c r="L8659" i="1"/>
  <c r="V8658" i="1"/>
  <c r="U8658" i="1"/>
  <c r="T8658" i="1"/>
  <c r="S8658" i="1"/>
  <c r="R8658" i="1"/>
  <c r="Q8658" i="1"/>
  <c r="M8658" i="1"/>
  <c r="L8658" i="1"/>
  <c r="V8657" i="1"/>
  <c r="U8657" i="1"/>
  <c r="T8657" i="1"/>
  <c r="S8657" i="1"/>
  <c r="R8657" i="1"/>
  <c r="Q8657" i="1"/>
  <c r="M8657" i="1"/>
  <c r="L8657" i="1"/>
  <c r="V8656" i="1"/>
  <c r="U8656" i="1"/>
  <c r="T8656" i="1"/>
  <c r="S8656" i="1"/>
  <c r="R8656" i="1"/>
  <c r="Q8656" i="1"/>
  <c r="M8656" i="1"/>
  <c r="L8656" i="1"/>
  <c r="V8655" i="1"/>
  <c r="U8655" i="1"/>
  <c r="T8655" i="1"/>
  <c r="S8655" i="1"/>
  <c r="R8655" i="1"/>
  <c r="Q8655" i="1"/>
  <c r="M8655" i="1"/>
  <c r="L8655" i="1"/>
  <c r="V8654" i="1"/>
  <c r="U8654" i="1"/>
  <c r="T8654" i="1"/>
  <c r="S8654" i="1"/>
  <c r="R8654" i="1"/>
  <c r="Q8654" i="1"/>
  <c r="M8654" i="1"/>
  <c r="L8654" i="1"/>
  <c r="V8653" i="1"/>
  <c r="U8653" i="1"/>
  <c r="T8653" i="1"/>
  <c r="S8653" i="1"/>
  <c r="R8653" i="1"/>
  <c r="Q8653" i="1"/>
  <c r="M8653" i="1"/>
  <c r="L8653" i="1"/>
  <c r="V8652" i="1"/>
  <c r="U8652" i="1"/>
  <c r="T8652" i="1"/>
  <c r="S8652" i="1"/>
  <c r="R8652" i="1"/>
  <c r="Q8652" i="1"/>
  <c r="M8652" i="1"/>
  <c r="L8652" i="1"/>
  <c r="V8651" i="1"/>
  <c r="U8651" i="1"/>
  <c r="T8651" i="1"/>
  <c r="S8651" i="1"/>
  <c r="R8651" i="1"/>
  <c r="Q8651" i="1"/>
  <c r="M8651" i="1"/>
  <c r="L8651" i="1"/>
  <c r="V8650" i="1"/>
  <c r="U8650" i="1"/>
  <c r="T8650" i="1"/>
  <c r="S8650" i="1"/>
  <c r="R8650" i="1"/>
  <c r="Q8650" i="1"/>
  <c r="M8650" i="1"/>
  <c r="L8650" i="1"/>
  <c r="V8649" i="1"/>
  <c r="U8649" i="1"/>
  <c r="T8649" i="1"/>
  <c r="S8649" i="1"/>
  <c r="R8649" i="1"/>
  <c r="Q8649" i="1"/>
  <c r="M8649" i="1"/>
  <c r="L8649" i="1"/>
  <c r="V8648" i="1"/>
  <c r="U8648" i="1"/>
  <c r="T8648" i="1"/>
  <c r="S8648" i="1"/>
  <c r="R8648" i="1"/>
  <c r="Q8648" i="1"/>
  <c r="M8648" i="1"/>
  <c r="L8648" i="1"/>
  <c r="V8647" i="1"/>
  <c r="U8647" i="1"/>
  <c r="T8647" i="1"/>
  <c r="S8647" i="1"/>
  <c r="R8647" i="1"/>
  <c r="Q8647" i="1"/>
  <c r="M8647" i="1"/>
  <c r="L8647" i="1"/>
  <c r="V8646" i="1"/>
  <c r="U8646" i="1"/>
  <c r="T8646" i="1"/>
  <c r="S8646" i="1"/>
  <c r="R8646" i="1"/>
  <c r="Q8646" i="1"/>
  <c r="M8646" i="1"/>
  <c r="L8646" i="1"/>
  <c r="V8645" i="1"/>
  <c r="U8645" i="1"/>
  <c r="T8645" i="1"/>
  <c r="S8645" i="1"/>
  <c r="R8645" i="1"/>
  <c r="Q8645" i="1"/>
  <c r="M8645" i="1"/>
  <c r="L8645" i="1"/>
  <c r="V8644" i="1"/>
  <c r="U8644" i="1"/>
  <c r="T8644" i="1"/>
  <c r="S8644" i="1"/>
  <c r="R8644" i="1"/>
  <c r="Q8644" i="1"/>
  <c r="M8644" i="1"/>
  <c r="L8644" i="1"/>
  <c r="V8643" i="1"/>
  <c r="U8643" i="1"/>
  <c r="T8643" i="1"/>
  <c r="S8643" i="1"/>
  <c r="R8643" i="1"/>
  <c r="Q8643" i="1"/>
  <c r="M8643" i="1"/>
  <c r="L8643" i="1"/>
  <c r="V8642" i="1"/>
  <c r="U8642" i="1"/>
  <c r="T8642" i="1"/>
  <c r="S8642" i="1"/>
  <c r="R8642" i="1"/>
  <c r="Q8642" i="1"/>
  <c r="M8642" i="1"/>
  <c r="L8642" i="1"/>
  <c r="V8641" i="1"/>
  <c r="U8641" i="1"/>
  <c r="T8641" i="1"/>
  <c r="S8641" i="1"/>
  <c r="R8641" i="1"/>
  <c r="Q8641" i="1"/>
  <c r="M8641" i="1"/>
  <c r="L8641" i="1"/>
  <c r="V8640" i="1"/>
  <c r="U8640" i="1"/>
  <c r="T8640" i="1"/>
  <c r="S8640" i="1"/>
  <c r="R8640" i="1"/>
  <c r="Q8640" i="1"/>
  <c r="M8640" i="1"/>
  <c r="L8640" i="1"/>
  <c r="V8639" i="1"/>
  <c r="U8639" i="1"/>
  <c r="T8639" i="1"/>
  <c r="S8639" i="1"/>
  <c r="R8639" i="1"/>
  <c r="Q8639" i="1"/>
  <c r="M8639" i="1"/>
  <c r="L8639" i="1"/>
  <c r="V8638" i="1"/>
  <c r="U8638" i="1"/>
  <c r="T8638" i="1"/>
  <c r="S8638" i="1"/>
  <c r="R8638" i="1"/>
  <c r="Q8638" i="1"/>
  <c r="M8638" i="1"/>
  <c r="L8638" i="1"/>
  <c r="V8637" i="1"/>
  <c r="U8637" i="1"/>
  <c r="T8637" i="1"/>
  <c r="S8637" i="1"/>
  <c r="R8637" i="1"/>
  <c r="Q8637" i="1"/>
  <c r="M8637" i="1"/>
  <c r="L8637" i="1"/>
  <c r="V8636" i="1"/>
  <c r="U8636" i="1"/>
  <c r="T8636" i="1"/>
  <c r="S8636" i="1"/>
  <c r="R8636" i="1"/>
  <c r="Q8636" i="1"/>
  <c r="M8636" i="1"/>
  <c r="L8636" i="1"/>
  <c r="V8635" i="1"/>
  <c r="U8635" i="1"/>
  <c r="T8635" i="1"/>
  <c r="S8635" i="1"/>
  <c r="R8635" i="1"/>
  <c r="Q8635" i="1"/>
  <c r="M8635" i="1"/>
  <c r="L8635" i="1"/>
  <c r="V8634" i="1"/>
  <c r="U8634" i="1"/>
  <c r="T8634" i="1"/>
  <c r="S8634" i="1"/>
  <c r="R8634" i="1"/>
  <c r="Q8634" i="1"/>
  <c r="M8634" i="1"/>
  <c r="L8634" i="1"/>
  <c r="V8633" i="1"/>
  <c r="U8633" i="1"/>
  <c r="T8633" i="1"/>
  <c r="S8633" i="1"/>
  <c r="R8633" i="1"/>
  <c r="Q8633" i="1"/>
  <c r="M8633" i="1"/>
  <c r="L8633" i="1"/>
  <c r="V8632" i="1"/>
  <c r="U8632" i="1"/>
  <c r="T8632" i="1"/>
  <c r="S8632" i="1"/>
  <c r="R8632" i="1"/>
  <c r="Q8632" i="1"/>
  <c r="M8632" i="1"/>
  <c r="L8632" i="1"/>
  <c r="V8631" i="1"/>
  <c r="U8631" i="1"/>
  <c r="T8631" i="1"/>
  <c r="S8631" i="1"/>
  <c r="R8631" i="1"/>
  <c r="Q8631" i="1"/>
  <c r="M8631" i="1"/>
  <c r="L8631" i="1"/>
  <c r="V8630" i="1"/>
  <c r="U8630" i="1"/>
  <c r="T8630" i="1"/>
  <c r="S8630" i="1"/>
  <c r="R8630" i="1"/>
  <c r="Q8630" i="1"/>
  <c r="M8630" i="1"/>
  <c r="L8630" i="1"/>
  <c r="V8629" i="1"/>
  <c r="U8629" i="1"/>
  <c r="T8629" i="1"/>
  <c r="S8629" i="1"/>
  <c r="R8629" i="1"/>
  <c r="Q8629" i="1"/>
  <c r="M8629" i="1"/>
  <c r="L8629" i="1"/>
  <c r="V8628" i="1"/>
  <c r="U8628" i="1"/>
  <c r="T8628" i="1"/>
  <c r="S8628" i="1"/>
  <c r="R8628" i="1"/>
  <c r="Q8628" i="1"/>
  <c r="M8628" i="1"/>
  <c r="L8628" i="1"/>
  <c r="V8627" i="1"/>
  <c r="U8627" i="1"/>
  <c r="T8627" i="1"/>
  <c r="S8627" i="1"/>
  <c r="R8627" i="1"/>
  <c r="Q8627" i="1"/>
  <c r="M8627" i="1"/>
  <c r="L8627" i="1"/>
  <c r="V8626" i="1"/>
  <c r="U8626" i="1"/>
  <c r="T8626" i="1"/>
  <c r="S8626" i="1"/>
  <c r="R8626" i="1"/>
  <c r="Q8626" i="1"/>
  <c r="M8626" i="1"/>
  <c r="L8626" i="1"/>
  <c r="V8625" i="1"/>
  <c r="U8625" i="1"/>
  <c r="T8625" i="1"/>
  <c r="S8625" i="1"/>
  <c r="R8625" i="1"/>
  <c r="Q8625" i="1"/>
  <c r="M8625" i="1"/>
  <c r="L8625" i="1"/>
  <c r="V8624" i="1"/>
  <c r="U8624" i="1"/>
  <c r="T8624" i="1"/>
  <c r="S8624" i="1"/>
  <c r="R8624" i="1"/>
  <c r="Q8624" i="1"/>
  <c r="M8624" i="1"/>
  <c r="L8624" i="1"/>
  <c r="V8623" i="1"/>
  <c r="U8623" i="1"/>
  <c r="T8623" i="1"/>
  <c r="S8623" i="1"/>
  <c r="R8623" i="1"/>
  <c r="Q8623" i="1"/>
  <c r="M8623" i="1"/>
  <c r="L8623" i="1"/>
  <c r="V8622" i="1"/>
  <c r="U8622" i="1"/>
  <c r="T8622" i="1"/>
  <c r="S8622" i="1"/>
  <c r="R8622" i="1"/>
  <c r="Q8622" i="1"/>
  <c r="M8622" i="1"/>
  <c r="L8622" i="1"/>
  <c r="V8621" i="1"/>
  <c r="U8621" i="1"/>
  <c r="T8621" i="1"/>
  <c r="S8621" i="1"/>
  <c r="R8621" i="1"/>
  <c r="Q8621" i="1"/>
  <c r="M8621" i="1"/>
  <c r="L8621" i="1"/>
  <c r="V8620" i="1"/>
  <c r="U8620" i="1"/>
  <c r="T8620" i="1"/>
  <c r="S8620" i="1"/>
  <c r="R8620" i="1"/>
  <c r="Q8620" i="1"/>
  <c r="M8620" i="1"/>
  <c r="L8620" i="1"/>
  <c r="V8619" i="1"/>
  <c r="U8619" i="1"/>
  <c r="T8619" i="1"/>
  <c r="S8619" i="1"/>
  <c r="R8619" i="1"/>
  <c r="Q8619" i="1"/>
  <c r="M8619" i="1"/>
  <c r="L8619" i="1"/>
  <c r="V8618" i="1"/>
  <c r="U8618" i="1"/>
  <c r="T8618" i="1"/>
  <c r="S8618" i="1"/>
  <c r="R8618" i="1"/>
  <c r="Q8618" i="1"/>
  <c r="M8618" i="1"/>
  <c r="L8618" i="1"/>
  <c r="V8617" i="1"/>
  <c r="U8617" i="1"/>
  <c r="T8617" i="1"/>
  <c r="S8617" i="1"/>
  <c r="R8617" i="1"/>
  <c r="Q8617" i="1"/>
  <c r="M8617" i="1"/>
  <c r="L8617" i="1"/>
  <c r="V8616" i="1"/>
  <c r="U8616" i="1"/>
  <c r="T8616" i="1"/>
  <c r="S8616" i="1"/>
  <c r="R8616" i="1"/>
  <c r="Q8616" i="1"/>
  <c r="M8616" i="1"/>
  <c r="L8616" i="1"/>
  <c r="V8615" i="1"/>
  <c r="U8615" i="1"/>
  <c r="T8615" i="1"/>
  <c r="S8615" i="1"/>
  <c r="R8615" i="1"/>
  <c r="Q8615" i="1"/>
  <c r="M8615" i="1"/>
  <c r="L8615" i="1"/>
  <c r="V8614" i="1"/>
  <c r="U8614" i="1"/>
  <c r="T8614" i="1"/>
  <c r="S8614" i="1"/>
  <c r="R8614" i="1"/>
  <c r="Q8614" i="1"/>
  <c r="M8614" i="1"/>
  <c r="L8614" i="1"/>
  <c r="V8613" i="1"/>
  <c r="U8613" i="1"/>
  <c r="T8613" i="1"/>
  <c r="S8613" i="1"/>
  <c r="R8613" i="1"/>
  <c r="Q8613" i="1"/>
  <c r="M8613" i="1"/>
  <c r="L8613" i="1"/>
  <c r="V8612" i="1"/>
  <c r="U8612" i="1"/>
  <c r="T8612" i="1"/>
  <c r="S8612" i="1"/>
  <c r="R8612" i="1"/>
  <c r="Q8612" i="1"/>
  <c r="M8612" i="1"/>
  <c r="L8612" i="1"/>
  <c r="V8611" i="1"/>
  <c r="U8611" i="1"/>
  <c r="T8611" i="1"/>
  <c r="S8611" i="1"/>
  <c r="R8611" i="1"/>
  <c r="Q8611" i="1"/>
  <c r="M8611" i="1"/>
  <c r="L8611" i="1"/>
  <c r="V8610" i="1"/>
  <c r="U8610" i="1"/>
  <c r="T8610" i="1"/>
  <c r="S8610" i="1"/>
  <c r="R8610" i="1"/>
  <c r="Q8610" i="1"/>
  <c r="M8610" i="1"/>
  <c r="L8610" i="1"/>
  <c r="V8609" i="1"/>
  <c r="U8609" i="1"/>
  <c r="T8609" i="1"/>
  <c r="S8609" i="1"/>
  <c r="R8609" i="1"/>
  <c r="Q8609" i="1"/>
  <c r="M8609" i="1"/>
  <c r="L8609" i="1"/>
  <c r="V8608" i="1"/>
  <c r="U8608" i="1"/>
  <c r="T8608" i="1"/>
  <c r="S8608" i="1"/>
  <c r="R8608" i="1"/>
  <c r="Q8608" i="1"/>
  <c r="M8608" i="1"/>
  <c r="L8608" i="1"/>
  <c r="V8607" i="1"/>
  <c r="U8607" i="1"/>
  <c r="T8607" i="1"/>
  <c r="S8607" i="1"/>
  <c r="R8607" i="1"/>
  <c r="Q8607" i="1"/>
  <c r="M8607" i="1"/>
  <c r="L8607" i="1"/>
  <c r="V8606" i="1"/>
  <c r="U8606" i="1"/>
  <c r="T8606" i="1"/>
  <c r="S8606" i="1"/>
  <c r="R8606" i="1"/>
  <c r="Q8606" i="1"/>
  <c r="M8606" i="1"/>
  <c r="L8606" i="1"/>
  <c r="V8605" i="1"/>
  <c r="U8605" i="1"/>
  <c r="T8605" i="1"/>
  <c r="S8605" i="1"/>
  <c r="R8605" i="1"/>
  <c r="Q8605" i="1"/>
  <c r="M8605" i="1"/>
  <c r="L8605" i="1"/>
  <c r="V8604" i="1"/>
  <c r="U8604" i="1"/>
  <c r="T8604" i="1"/>
  <c r="S8604" i="1"/>
  <c r="R8604" i="1"/>
  <c r="Q8604" i="1"/>
  <c r="M8604" i="1"/>
  <c r="L8604" i="1"/>
  <c r="V8603" i="1"/>
  <c r="U8603" i="1"/>
  <c r="T8603" i="1"/>
  <c r="S8603" i="1"/>
  <c r="R8603" i="1"/>
  <c r="Q8603" i="1"/>
  <c r="M8603" i="1"/>
  <c r="L8603" i="1"/>
  <c r="V8602" i="1"/>
  <c r="U8602" i="1"/>
  <c r="T8602" i="1"/>
  <c r="S8602" i="1"/>
  <c r="R8602" i="1"/>
  <c r="Q8602" i="1"/>
  <c r="M8602" i="1"/>
  <c r="L8602" i="1"/>
  <c r="V8601" i="1"/>
  <c r="U8601" i="1"/>
  <c r="T8601" i="1"/>
  <c r="S8601" i="1"/>
  <c r="R8601" i="1"/>
  <c r="Q8601" i="1"/>
  <c r="M8601" i="1"/>
  <c r="L8601" i="1"/>
  <c r="V8600" i="1"/>
  <c r="U8600" i="1"/>
  <c r="T8600" i="1"/>
  <c r="S8600" i="1"/>
  <c r="R8600" i="1"/>
  <c r="Q8600" i="1"/>
  <c r="M8600" i="1"/>
  <c r="L8600" i="1"/>
  <c r="V8599" i="1"/>
  <c r="U8599" i="1"/>
  <c r="T8599" i="1"/>
  <c r="S8599" i="1"/>
  <c r="R8599" i="1"/>
  <c r="Q8599" i="1"/>
  <c r="M8599" i="1"/>
  <c r="L8599" i="1"/>
  <c r="V8598" i="1"/>
  <c r="U8598" i="1"/>
  <c r="T8598" i="1"/>
  <c r="S8598" i="1"/>
  <c r="R8598" i="1"/>
  <c r="Q8598" i="1"/>
  <c r="M8598" i="1"/>
  <c r="L8598" i="1"/>
  <c r="V8597" i="1"/>
  <c r="U8597" i="1"/>
  <c r="T8597" i="1"/>
  <c r="S8597" i="1"/>
  <c r="R8597" i="1"/>
  <c r="Q8597" i="1"/>
  <c r="M8597" i="1"/>
  <c r="L8597" i="1"/>
  <c r="V8596" i="1"/>
  <c r="U8596" i="1"/>
  <c r="T8596" i="1"/>
  <c r="S8596" i="1"/>
  <c r="R8596" i="1"/>
  <c r="Q8596" i="1"/>
  <c r="M8596" i="1"/>
  <c r="L8596" i="1"/>
  <c r="V8595" i="1"/>
  <c r="U8595" i="1"/>
  <c r="T8595" i="1"/>
  <c r="S8595" i="1"/>
  <c r="R8595" i="1"/>
  <c r="Q8595" i="1"/>
  <c r="M8595" i="1"/>
  <c r="L8595" i="1"/>
  <c r="V8594" i="1"/>
  <c r="U8594" i="1"/>
  <c r="T8594" i="1"/>
  <c r="S8594" i="1"/>
  <c r="R8594" i="1"/>
  <c r="Q8594" i="1"/>
  <c r="M8594" i="1"/>
  <c r="L8594" i="1"/>
  <c r="V8593" i="1"/>
  <c r="U8593" i="1"/>
  <c r="T8593" i="1"/>
  <c r="S8593" i="1"/>
  <c r="R8593" i="1"/>
  <c r="Q8593" i="1"/>
  <c r="M8593" i="1"/>
  <c r="L8593" i="1"/>
  <c r="V8592" i="1"/>
  <c r="U8592" i="1"/>
  <c r="T8592" i="1"/>
  <c r="S8592" i="1"/>
  <c r="R8592" i="1"/>
  <c r="Q8592" i="1"/>
  <c r="M8592" i="1"/>
  <c r="L8592" i="1"/>
  <c r="V8591" i="1"/>
  <c r="U8591" i="1"/>
  <c r="T8591" i="1"/>
  <c r="S8591" i="1"/>
  <c r="R8591" i="1"/>
  <c r="Q8591" i="1"/>
  <c r="M8591" i="1"/>
  <c r="L8591" i="1"/>
  <c r="V8590" i="1"/>
  <c r="U8590" i="1"/>
  <c r="T8590" i="1"/>
  <c r="S8590" i="1"/>
  <c r="R8590" i="1"/>
  <c r="Q8590" i="1"/>
  <c r="M8590" i="1"/>
  <c r="L8590" i="1"/>
  <c r="V8589" i="1"/>
  <c r="U8589" i="1"/>
  <c r="T8589" i="1"/>
  <c r="S8589" i="1"/>
  <c r="R8589" i="1"/>
  <c r="Q8589" i="1"/>
  <c r="M8589" i="1"/>
  <c r="L8589" i="1"/>
  <c r="V8588" i="1"/>
  <c r="U8588" i="1"/>
  <c r="T8588" i="1"/>
  <c r="S8588" i="1"/>
  <c r="R8588" i="1"/>
  <c r="Q8588" i="1"/>
  <c r="M8588" i="1"/>
  <c r="L8588" i="1"/>
  <c r="V8587" i="1"/>
  <c r="U8587" i="1"/>
  <c r="T8587" i="1"/>
  <c r="S8587" i="1"/>
  <c r="R8587" i="1"/>
  <c r="Q8587" i="1"/>
  <c r="M8587" i="1"/>
  <c r="L8587" i="1"/>
  <c r="V8586" i="1"/>
  <c r="U8586" i="1"/>
  <c r="T8586" i="1"/>
  <c r="S8586" i="1"/>
  <c r="R8586" i="1"/>
  <c r="Q8586" i="1"/>
  <c r="M8586" i="1"/>
  <c r="L8586" i="1"/>
  <c r="V8585" i="1"/>
  <c r="U8585" i="1"/>
  <c r="T8585" i="1"/>
  <c r="S8585" i="1"/>
  <c r="R8585" i="1"/>
  <c r="Q8585" i="1"/>
  <c r="M8585" i="1"/>
  <c r="L8585" i="1"/>
  <c r="V8584" i="1"/>
  <c r="U8584" i="1"/>
  <c r="T8584" i="1"/>
  <c r="S8584" i="1"/>
  <c r="R8584" i="1"/>
  <c r="Q8584" i="1"/>
  <c r="M8584" i="1"/>
  <c r="L8584" i="1"/>
  <c r="V8583" i="1"/>
  <c r="U8583" i="1"/>
  <c r="T8583" i="1"/>
  <c r="S8583" i="1"/>
  <c r="R8583" i="1"/>
  <c r="Q8583" i="1"/>
  <c r="M8583" i="1"/>
  <c r="L8583" i="1"/>
  <c r="V8582" i="1"/>
  <c r="U8582" i="1"/>
  <c r="T8582" i="1"/>
  <c r="S8582" i="1"/>
  <c r="R8582" i="1"/>
  <c r="Q8582" i="1"/>
  <c r="M8582" i="1"/>
  <c r="L8582" i="1"/>
  <c r="V8581" i="1"/>
  <c r="U8581" i="1"/>
  <c r="T8581" i="1"/>
  <c r="S8581" i="1"/>
  <c r="R8581" i="1"/>
  <c r="Q8581" i="1"/>
  <c r="M8581" i="1"/>
  <c r="L8581" i="1"/>
  <c r="V8580" i="1"/>
  <c r="U8580" i="1"/>
  <c r="T8580" i="1"/>
  <c r="S8580" i="1"/>
  <c r="R8580" i="1"/>
  <c r="Q8580" i="1"/>
  <c r="M8580" i="1"/>
  <c r="L8580" i="1"/>
  <c r="V8579" i="1"/>
  <c r="U8579" i="1"/>
  <c r="T8579" i="1"/>
  <c r="S8579" i="1"/>
  <c r="R8579" i="1"/>
  <c r="Q8579" i="1"/>
  <c r="M8579" i="1"/>
  <c r="L8579" i="1"/>
  <c r="V8578" i="1"/>
  <c r="U8578" i="1"/>
  <c r="T8578" i="1"/>
  <c r="S8578" i="1"/>
  <c r="R8578" i="1"/>
  <c r="Q8578" i="1"/>
  <c r="M8578" i="1"/>
  <c r="L8578" i="1"/>
  <c r="V8577" i="1"/>
  <c r="U8577" i="1"/>
  <c r="T8577" i="1"/>
  <c r="S8577" i="1"/>
  <c r="R8577" i="1"/>
  <c r="Q8577" i="1"/>
  <c r="M8577" i="1"/>
  <c r="L8577" i="1"/>
  <c r="V8576" i="1"/>
  <c r="U8576" i="1"/>
  <c r="T8576" i="1"/>
  <c r="S8576" i="1"/>
  <c r="R8576" i="1"/>
  <c r="Q8576" i="1"/>
  <c r="M8576" i="1"/>
  <c r="L8576" i="1"/>
  <c r="V8575" i="1"/>
  <c r="U8575" i="1"/>
  <c r="T8575" i="1"/>
  <c r="S8575" i="1"/>
  <c r="R8575" i="1"/>
  <c r="Q8575" i="1"/>
  <c r="M8575" i="1"/>
  <c r="L8575" i="1"/>
  <c r="V8574" i="1"/>
  <c r="U8574" i="1"/>
  <c r="T8574" i="1"/>
  <c r="S8574" i="1"/>
  <c r="R8574" i="1"/>
  <c r="Q8574" i="1"/>
  <c r="M8574" i="1"/>
  <c r="L8574" i="1"/>
  <c r="V8573" i="1"/>
  <c r="U8573" i="1"/>
  <c r="T8573" i="1"/>
  <c r="S8573" i="1"/>
  <c r="R8573" i="1"/>
  <c r="Q8573" i="1"/>
  <c r="M8573" i="1"/>
  <c r="L8573" i="1"/>
  <c r="V8572" i="1"/>
  <c r="U8572" i="1"/>
  <c r="T8572" i="1"/>
  <c r="S8572" i="1"/>
  <c r="R8572" i="1"/>
  <c r="Q8572" i="1"/>
  <c r="M8572" i="1"/>
  <c r="L8572" i="1"/>
  <c r="V8571" i="1"/>
  <c r="U8571" i="1"/>
  <c r="T8571" i="1"/>
  <c r="S8571" i="1"/>
  <c r="R8571" i="1"/>
  <c r="Q8571" i="1"/>
  <c r="M8571" i="1"/>
  <c r="L8571" i="1"/>
  <c r="V8570" i="1"/>
  <c r="U8570" i="1"/>
  <c r="T8570" i="1"/>
  <c r="S8570" i="1"/>
  <c r="R8570" i="1"/>
  <c r="Q8570" i="1"/>
  <c r="M8570" i="1"/>
  <c r="L8570" i="1"/>
  <c r="V8569" i="1"/>
  <c r="U8569" i="1"/>
  <c r="T8569" i="1"/>
  <c r="S8569" i="1"/>
  <c r="R8569" i="1"/>
  <c r="Q8569" i="1"/>
  <c r="M8569" i="1"/>
  <c r="L8569" i="1"/>
  <c r="V8568" i="1"/>
  <c r="U8568" i="1"/>
  <c r="T8568" i="1"/>
  <c r="S8568" i="1"/>
  <c r="R8568" i="1"/>
  <c r="Q8568" i="1"/>
  <c r="M8568" i="1"/>
  <c r="L8568" i="1"/>
  <c r="V8567" i="1"/>
  <c r="U8567" i="1"/>
  <c r="T8567" i="1"/>
  <c r="S8567" i="1"/>
  <c r="R8567" i="1"/>
  <c r="Q8567" i="1"/>
  <c r="M8567" i="1"/>
  <c r="L8567" i="1"/>
  <c r="V8566" i="1"/>
  <c r="U8566" i="1"/>
  <c r="T8566" i="1"/>
  <c r="S8566" i="1"/>
  <c r="R8566" i="1"/>
  <c r="Q8566" i="1"/>
  <c r="M8566" i="1"/>
  <c r="L8566" i="1"/>
  <c r="V8565" i="1"/>
  <c r="U8565" i="1"/>
  <c r="T8565" i="1"/>
  <c r="S8565" i="1"/>
  <c r="R8565" i="1"/>
  <c r="Q8565" i="1"/>
  <c r="M8565" i="1"/>
  <c r="L8565" i="1"/>
  <c r="V8564" i="1"/>
  <c r="U8564" i="1"/>
  <c r="T8564" i="1"/>
  <c r="S8564" i="1"/>
  <c r="R8564" i="1"/>
  <c r="Q8564" i="1"/>
  <c r="M8564" i="1"/>
  <c r="L8564" i="1"/>
  <c r="V8563" i="1"/>
  <c r="U8563" i="1"/>
  <c r="T8563" i="1"/>
  <c r="S8563" i="1"/>
  <c r="R8563" i="1"/>
  <c r="Q8563" i="1"/>
  <c r="M8563" i="1"/>
  <c r="L8563" i="1"/>
  <c r="V8562" i="1"/>
  <c r="U8562" i="1"/>
  <c r="T8562" i="1"/>
  <c r="S8562" i="1"/>
  <c r="R8562" i="1"/>
  <c r="Q8562" i="1"/>
  <c r="M8562" i="1"/>
  <c r="L8562" i="1"/>
  <c r="V8561" i="1"/>
  <c r="U8561" i="1"/>
  <c r="T8561" i="1"/>
  <c r="S8561" i="1"/>
  <c r="R8561" i="1"/>
  <c r="Q8561" i="1"/>
  <c r="M8561" i="1"/>
  <c r="L8561" i="1"/>
  <c r="V8560" i="1"/>
  <c r="U8560" i="1"/>
  <c r="T8560" i="1"/>
  <c r="S8560" i="1"/>
  <c r="R8560" i="1"/>
  <c r="Q8560" i="1"/>
  <c r="M8560" i="1"/>
  <c r="L8560" i="1"/>
  <c r="V8559" i="1"/>
  <c r="U8559" i="1"/>
  <c r="T8559" i="1"/>
  <c r="S8559" i="1"/>
  <c r="R8559" i="1"/>
  <c r="Q8559" i="1"/>
  <c r="M8559" i="1"/>
  <c r="L8559" i="1"/>
  <c r="V8558" i="1"/>
  <c r="U8558" i="1"/>
  <c r="T8558" i="1"/>
  <c r="S8558" i="1"/>
  <c r="R8558" i="1"/>
  <c r="Q8558" i="1"/>
  <c r="M8558" i="1"/>
  <c r="L8558" i="1"/>
  <c r="V8557" i="1"/>
  <c r="U8557" i="1"/>
  <c r="T8557" i="1"/>
  <c r="S8557" i="1"/>
  <c r="R8557" i="1"/>
  <c r="Q8557" i="1"/>
  <c r="M8557" i="1"/>
  <c r="L8557" i="1"/>
  <c r="V8556" i="1"/>
  <c r="U8556" i="1"/>
  <c r="T8556" i="1"/>
  <c r="S8556" i="1"/>
  <c r="R8556" i="1"/>
  <c r="Q8556" i="1"/>
  <c r="M8556" i="1"/>
  <c r="L8556" i="1"/>
  <c r="V8555" i="1"/>
  <c r="U8555" i="1"/>
  <c r="T8555" i="1"/>
  <c r="S8555" i="1"/>
  <c r="R8555" i="1"/>
  <c r="Q8555" i="1"/>
  <c r="M8555" i="1"/>
  <c r="L8555" i="1"/>
  <c r="V8554" i="1"/>
  <c r="U8554" i="1"/>
  <c r="T8554" i="1"/>
  <c r="S8554" i="1"/>
  <c r="R8554" i="1"/>
  <c r="Q8554" i="1"/>
  <c r="M8554" i="1"/>
  <c r="L8554" i="1"/>
  <c r="V8553" i="1"/>
  <c r="U8553" i="1"/>
  <c r="T8553" i="1"/>
  <c r="S8553" i="1"/>
  <c r="R8553" i="1"/>
  <c r="Q8553" i="1"/>
  <c r="M8553" i="1"/>
  <c r="L8553" i="1"/>
  <c r="V8552" i="1"/>
  <c r="U8552" i="1"/>
  <c r="T8552" i="1"/>
  <c r="S8552" i="1"/>
  <c r="R8552" i="1"/>
  <c r="Q8552" i="1"/>
  <c r="M8552" i="1"/>
  <c r="L8552" i="1"/>
  <c r="V8551" i="1"/>
  <c r="U8551" i="1"/>
  <c r="T8551" i="1"/>
  <c r="S8551" i="1"/>
  <c r="R8551" i="1"/>
  <c r="Q8551" i="1"/>
  <c r="M8551" i="1"/>
  <c r="L8551" i="1"/>
  <c r="V8550" i="1"/>
  <c r="U8550" i="1"/>
  <c r="T8550" i="1"/>
  <c r="S8550" i="1"/>
  <c r="R8550" i="1"/>
  <c r="Q8550" i="1"/>
  <c r="M8550" i="1"/>
  <c r="L8550" i="1"/>
  <c r="V8549" i="1"/>
  <c r="U8549" i="1"/>
  <c r="T8549" i="1"/>
  <c r="S8549" i="1"/>
  <c r="R8549" i="1"/>
  <c r="Q8549" i="1"/>
  <c r="M8549" i="1"/>
  <c r="L8549" i="1"/>
  <c r="V8548" i="1"/>
  <c r="U8548" i="1"/>
  <c r="T8548" i="1"/>
  <c r="S8548" i="1"/>
  <c r="R8548" i="1"/>
  <c r="Q8548" i="1"/>
  <c r="M8548" i="1"/>
  <c r="L8548" i="1"/>
  <c r="V8547" i="1"/>
  <c r="U8547" i="1"/>
  <c r="T8547" i="1"/>
  <c r="S8547" i="1"/>
  <c r="R8547" i="1"/>
  <c r="Q8547" i="1"/>
  <c r="M8547" i="1"/>
  <c r="L8547" i="1"/>
  <c r="V8546" i="1"/>
  <c r="U8546" i="1"/>
  <c r="T8546" i="1"/>
  <c r="S8546" i="1"/>
  <c r="R8546" i="1"/>
  <c r="Q8546" i="1"/>
  <c r="M8546" i="1"/>
  <c r="L8546" i="1"/>
  <c r="V8545" i="1"/>
  <c r="U8545" i="1"/>
  <c r="T8545" i="1"/>
  <c r="S8545" i="1"/>
  <c r="R8545" i="1"/>
  <c r="Q8545" i="1"/>
  <c r="M8545" i="1"/>
  <c r="L8545" i="1"/>
  <c r="V8544" i="1"/>
  <c r="U8544" i="1"/>
  <c r="T8544" i="1"/>
  <c r="S8544" i="1"/>
  <c r="R8544" i="1"/>
  <c r="Q8544" i="1"/>
  <c r="M8544" i="1"/>
  <c r="L8544" i="1"/>
  <c r="V8543" i="1"/>
  <c r="U8543" i="1"/>
  <c r="T8543" i="1"/>
  <c r="S8543" i="1"/>
  <c r="R8543" i="1"/>
  <c r="Q8543" i="1"/>
  <c r="M8543" i="1"/>
  <c r="L8543" i="1"/>
  <c r="V8542" i="1"/>
  <c r="U8542" i="1"/>
  <c r="T8542" i="1"/>
  <c r="S8542" i="1"/>
  <c r="R8542" i="1"/>
  <c r="Q8542" i="1"/>
  <c r="M8542" i="1"/>
  <c r="L8542" i="1"/>
  <c r="V8541" i="1"/>
  <c r="U8541" i="1"/>
  <c r="T8541" i="1"/>
  <c r="S8541" i="1"/>
  <c r="R8541" i="1"/>
  <c r="Q8541" i="1"/>
  <c r="M8541" i="1"/>
  <c r="L8541" i="1"/>
  <c r="V8540" i="1"/>
  <c r="U8540" i="1"/>
  <c r="T8540" i="1"/>
  <c r="S8540" i="1"/>
  <c r="R8540" i="1"/>
  <c r="Q8540" i="1"/>
  <c r="M8540" i="1"/>
  <c r="L8540" i="1"/>
  <c r="V8539" i="1"/>
  <c r="U8539" i="1"/>
  <c r="T8539" i="1"/>
  <c r="S8539" i="1"/>
  <c r="R8539" i="1"/>
  <c r="Q8539" i="1"/>
  <c r="M8539" i="1"/>
  <c r="L8539" i="1"/>
  <c r="V8538" i="1"/>
  <c r="U8538" i="1"/>
  <c r="T8538" i="1"/>
  <c r="S8538" i="1"/>
  <c r="R8538" i="1"/>
  <c r="Q8538" i="1"/>
  <c r="M8538" i="1"/>
  <c r="L8538" i="1"/>
  <c r="V8537" i="1"/>
  <c r="U8537" i="1"/>
  <c r="T8537" i="1"/>
  <c r="S8537" i="1"/>
  <c r="R8537" i="1"/>
  <c r="Q8537" i="1"/>
  <c r="M8537" i="1"/>
  <c r="L8537" i="1"/>
  <c r="V8536" i="1"/>
  <c r="U8536" i="1"/>
  <c r="T8536" i="1"/>
  <c r="S8536" i="1"/>
  <c r="R8536" i="1"/>
  <c r="Q8536" i="1"/>
  <c r="M8536" i="1"/>
  <c r="L8536" i="1"/>
  <c r="V8535" i="1"/>
  <c r="U8535" i="1"/>
  <c r="T8535" i="1"/>
  <c r="S8535" i="1"/>
  <c r="R8535" i="1"/>
  <c r="Q8535" i="1"/>
  <c r="M8535" i="1"/>
  <c r="L8535" i="1"/>
  <c r="V8534" i="1"/>
  <c r="U8534" i="1"/>
  <c r="T8534" i="1"/>
  <c r="S8534" i="1"/>
  <c r="R8534" i="1"/>
  <c r="Q8534" i="1"/>
  <c r="M8534" i="1"/>
  <c r="L8534" i="1"/>
  <c r="V8533" i="1"/>
  <c r="U8533" i="1"/>
  <c r="T8533" i="1"/>
  <c r="S8533" i="1"/>
  <c r="R8533" i="1"/>
  <c r="Q8533" i="1"/>
  <c r="M8533" i="1"/>
  <c r="L8533" i="1"/>
  <c r="V8532" i="1"/>
  <c r="U8532" i="1"/>
  <c r="T8532" i="1"/>
  <c r="S8532" i="1"/>
  <c r="R8532" i="1"/>
  <c r="Q8532" i="1"/>
  <c r="M8532" i="1"/>
  <c r="L8532" i="1"/>
  <c r="V8531" i="1"/>
  <c r="U8531" i="1"/>
  <c r="T8531" i="1"/>
  <c r="S8531" i="1"/>
  <c r="R8531" i="1"/>
  <c r="Q8531" i="1"/>
  <c r="M8531" i="1"/>
  <c r="L8531" i="1"/>
  <c r="V8530" i="1"/>
  <c r="U8530" i="1"/>
  <c r="T8530" i="1"/>
  <c r="S8530" i="1"/>
  <c r="R8530" i="1"/>
  <c r="Q8530" i="1"/>
  <c r="M8530" i="1"/>
  <c r="L8530" i="1"/>
  <c r="V8529" i="1"/>
  <c r="U8529" i="1"/>
  <c r="T8529" i="1"/>
  <c r="S8529" i="1"/>
  <c r="R8529" i="1"/>
  <c r="Q8529" i="1"/>
  <c r="M8529" i="1"/>
  <c r="L8529" i="1"/>
  <c r="V8528" i="1"/>
  <c r="U8528" i="1"/>
  <c r="T8528" i="1"/>
  <c r="S8528" i="1"/>
  <c r="R8528" i="1"/>
  <c r="Q8528" i="1"/>
  <c r="M8528" i="1"/>
  <c r="L8528" i="1"/>
  <c r="V8527" i="1"/>
  <c r="U8527" i="1"/>
  <c r="T8527" i="1"/>
  <c r="S8527" i="1"/>
  <c r="R8527" i="1"/>
  <c r="Q8527" i="1"/>
  <c r="M8527" i="1"/>
  <c r="L8527" i="1"/>
  <c r="V8526" i="1"/>
  <c r="U8526" i="1"/>
  <c r="T8526" i="1"/>
  <c r="S8526" i="1"/>
  <c r="R8526" i="1"/>
  <c r="Q8526" i="1"/>
  <c r="M8526" i="1"/>
  <c r="L8526" i="1"/>
  <c r="V8525" i="1"/>
  <c r="U8525" i="1"/>
  <c r="T8525" i="1"/>
  <c r="S8525" i="1"/>
  <c r="R8525" i="1"/>
  <c r="Q8525" i="1"/>
  <c r="M8525" i="1"/>
  <c r="L8525" i="1"/>
  <c r="V8524" i="1"/>
  <c r="U8524" i="1"/>
  <c r="T8524" i="1"/>
  <c r="S8524" i="1"/>
  <c r="R8524" i="1"/>
  <c r="Q8524" i="1"/>
  <c r="M8524" i="1"/>
  <c r="L8524" i="1"/>
  <c r="V8523" i="1"/>
  <c r="U8523" i="1"/>
  <c r="T8523" i="1"/>
  <c r="S8523" i="1"/>
  <c r="R8523" i="1"/>
  <c r="Q8523" i="1"/>
  <c r="M8523" i="1"/>
  <c r="L8523" i="1"/>
  <c r="V8522" i="1"/>
  <c r="U8522" i="1"/>
  <c r="T8522" i="1"/>
  <c r="S8522" i="1"/>
  <c r="R8522" i="1"/>
  <c r="Q8522" i="1"/>
  <c r="M8522" i="1"/>
  <c r="L8522" i="1"/>
  <c r="V8521" i="1"/>
  <c r="U8521" i="1"/>
  <c r="T8521" i="1"/>
  <c r="S8521" i="1"/>
  <c r="R8521" i="1"/>
  <c r="Q8521" i="1"/>
  <c r="M8521" i="1"/>
  <c r="L8521" i="1"/>
  <c r="V8520" i="1"/>
  <c r="U8520" i="1"/>
  <c r="T8520" i="1"/>
  <c r="S8520" i="1"/>
  <c r="R8520" i="1"/>
  <c r="Q8520" i="1"/>
  <c r="M8520" i="1"/>
  <c r="L8520" i="1"/>
  <c r="V8519" i="1"/>
  <c r="U8519" i="1"/>
  <c r="T8519" i="1"/>
  <c r="S8519" i="1"/>
  <c r="R8519" i="1"/>
  <c r="Q8519" i="1"/>
  <c r="M8519" i="1"/>
  <c r="L8519" i="1"/>
  <c r="V8518" i="1"/>
  <c r="U8518" i="1"/>
  <c r="T8518" i="1"/>
  <c r="S8518" i="1"/>
  <c r="R8518" i="1"/>
  <c r="Q8518" i="1"/>
  <c r="M8518" i="1"/>
  <c r="L8518" i="1"/>
  <c r="V8517" i="1"/>
  <c r="U8517" i="1"/>
  <c r="T8517" i="1"/>
  <c r="S8517" i="1"/>
  <c r="R8517" i="1"/>
  <c r="Q8517" i="1"/>
  <c r="M8517" i="1"/>
  <c r="L8517" i="1"/>
  <c r="V8516" i="1"/>
  <c r="U8516" i="1"/>
  <c r="T8516" i="1"/>
  <c r="S8516" i="1"/>
  <c r="R8516" i="1"/>
  <c r="Q8516" i="1"/>
  <c r="M8516" i="1"/>
  <c r="L8516" i="1"/>
  <c r="V8515" i="1"/>
  <c r="U8515" i="1"/>
  <c r="T8515" i="1"/>
  <c r="S8515" i="1"/>
  <c r="R8515" i="1"/>
  <c r="Q8515" i="1"/>
  <c r="M8515" i="1"/>
  <c r="L8515" i="1"/>
  <c r="V8514" i="1"/>
  <c r="U8514" i="1"/>
  <c r="T8514" i="1"/>
  <c r="S8514" i="1"/>
  <c r="R8514" i="1"/>
  <c r="Q8514" i="1"/>
  <c r="M8514" i="1"/>
  <c r="L8514" i="1"/>
  <c r="V8513" i="1"/>
  <c r="U8513" i="1"/>
  <c r="T8513" i="1"/>
  <c r="S8513" i="1"/>
  <c r="R8513" i="1"/>
  <c r="Q8513" i="1"/>
  <c r="M8513" i="1"/>
  <c r="L8513" i="1"/>
  <c r="V8512" i="1"/>
  <c r="U8512" i="1"/>
  <c r="T8512" i="1"/>
  <c r="S8512" i="1"/>
  <c r="R8512" i="1"/>
  <c r="Q8512" i="1"/>
  <c r="M8512" i="1"/>
  <c r="L8512" i="1"/>
  <c r="V8511" i="1"/>
  <c r="U8511" i="1"/>
  <c r="T8511" i="1"/>
  <c r="S8511" i="1"/>
  <c r="R8511" i="1"/>
  <c r="Q8511" i="1"/>
  <c r="M8511" i="1"/>
  <c r="L8511" i="1"/>
  <c r="V8510" i="1"/>
  <c r="U8510" i="1"/>
  <c r="T8510" i="1"/>
  <c r="S8510" i="1"/>
  <c r="R8510" i="1"/>
  <c r="Q8510" i="1"/>
  <c r="M8510" i="1"/>
  <c r="L8510" i="1"/>
  <c r="V8509" i="1"/>
  <c r="U8509" i="1"/>
  <c r="T8509" i="1"/>
  <c r="S8509" i="1"/>
  <c r="R8509" i="1"/>
  <c r="Q8509" i="1"/>
  <c r="M8509" i="1"/>
  <c r="L8509" i="1"/>
  <c r="V8508" i="1"/>
  <c r="U8508" i="1"/>
  <c r="T8508" i="1"/>
  <c r="S8508" i="1"/>
  <c r="R8508" i="1"/>
  <c r="Q8508" i="1"/>
  <c r="M8508" i="1"/>
  <c r="L8508" i="1"/>
  <c r="V8507" i="1"/>
  <c r="U8507" i="1"/>
  <c r="T8507" i="1"/>
  <c r="S8507" i="1"/>
  <c r="R8507" i="1"/>
  <c r="Q8507" i="1"/>
  <c r="M8507" i="1"/>
  <c r="L8507" i="1"/>
  <c r="V8506" i="1"/>
  <c r="U8506" i="1"/>
  <c r="T8506" i="1"/>
  <c r="S8506" i="1"/>
  <c r="R8506" i="1"/>
  <c r="Q8506" i="1"/>
  <c r="M8506" i="1"/>
  <c r="L8506" i="1"/>
  <c r="V8505" i="1"/>
  <c r="U8505" i="1"/>
  <c r="T8505" i="1"/>
  <c r="S8505" i="1"/>
  <c r="R8505" i="1"/>
  <c r="Q8505" i="1"/>
  <c r="M8505" i="1"/>
  <c r="L8505" i="1"/>
  <c r="V8504" i="1"/>
  <c r="U8504" i="1"/>
  <c r="T8504" i="1"/>
  <c r="S8504" i="1"/>
  <c r="R8504" i="1"/>
  <c r="Q8504" i="1"/>
  <c r="M8504" i="1"/>
  <c r="L8504" i="1"/>
  <c r="V8503" i="1"/>
  <c r="U8503" i="1"/>
  <c r="T8503" i="1"/>
  <c r="S8503" i="1"/>
  <c r="R8503" i="1"/>
  <c r="Q8503" i="1"/>
  <c r="M8503" i="1"/>
  <c r="L8503" i="1"/>
  <c r="V8502" i="1"/>
  <c r="U8502" i="1"/>
  <c r="T8502" i="1"/>
  <c r="S8502" i="1"/>
  <c r="R8502" i="1"/>
  <c r="Q8502" i="1"/>
  <c r="M8502" i="1"/>
  <c r="L8502" i="1"/>
  <c r="V8501" i="1"/>
  <c r="U8501" i="1"/>
  <c r="T8501" i="1"/>
  <c r="S8501" i="1"/>
  <c r="R8501" i="1"/>
  <c r="Q8501" i="1"/>
  <c r="M8501" i="1"/>
  <c r="L8501" i="1"/>
  <c r="V8500" i="1"/>
  <c r="U8500" i="1"/>
  <c r="T8500" i="1"/>
  <c r="S8500" i="1"/>
  <c r="R8500" i="1"/>
  <c r="Q8500" i="1"/>
  <c r="M8500" i="1"/>
  <c r="L8500" i="1"/>
  <c r="V8499" i="1"/>
  <c r="U8499" i="1"/>
  <c r="T8499" i="1"/>
  <c r="S8499" i="1"/>
  <c r="R8499" i="1"/>
  <c r="Q8499" i="1"/>
  <c r="M8499" i="1"/>
  <c r="L8499" i="1"/>
  <c r="V8498" i="1"/>
  <c r="U8498" i="1"/>
  <c r="T8498" i="1"/>
  <c r="S8498" i="1"/>
  <c r="R8498" i="1"/>
  <c r="Q8498" i="1"/>
  <c r="M8498" i="1"/>
  <c r="L8498" i="1"/>
  <c r="V8497" i="1"/>
  <c r="U8497" i="1"/>
  <c r="T8497" i="1"/>
  <c r="S8497" i="1"/>
  <c r="R8497" i="1"/>
  <c r="Q8497" i="1"/>
  <c r="M8497" i="1"/>
  <c r="L8497" i="1"/>
  <c r="V8496" i="1"/>
  <c r="U8496" i="1"/>
  <c r="T8496" i="1"/>
  <c r="S8496" i="1"/>
  <c r="R8496" i="1"/>
  <c r="Q8496" i="1"/>
  <c r="M8496" i="1"/>
  <c r="L8496" i="1"/>
  <c r="V8495" i="1"/>
  <c r="U8495" i="1"/>
  <c r="T8495" i="1"/>
  <c r="S8495" i="1"/>
  <c r="R8495" i="1"/>
  <c r="Q8495" i="1"/>
  <c r="M8495" i="1"/>
  <c r="L8495" i="1"/>
  <c r="V8494" i="1"/>
  <c r="U8494" i="1"/>
  <c r="T8494" i="1"/>
  <c r="S8494" i="1"/>
  <c r="R8494" i="1"/>
  <c r="Q8494" i="1"/>
  <c r="M8494" i="1"/>
  <c r="L8494" i="1"/>
  <c r="V8493" i="1"/>
  <c r="U8493" i="1"/>
  <c r="T8493" i="1"/>
  <c r="S8493" i="1"/>
  <c r="R8493" i="1"/>
  <c r="Q8493" i="1"/>
  <c r="M8493" i="1"/>
  <c r="L8493" i="1"/>
  <c r="V8492" i="1"/>
  <c r="U8492" i="1"/>
  <c r="T8492" i="1"/>
  <c r="S8492" i="1"/>
  <c r="R8492" i="1"/>
  <c r="Q8492" i="1"/>
  <c r="M8492" i="1"/>
  <c r="L8492" i="1"/>
  <c r="V8491" i="1"/>
  <c r="U8491" i="1"/>
  <c r="T8491" i="1"/>
  <c r="S8491" i="1"/>
  <c r="R8491" i="1"/>
  <c r="Q8491" i="1"/>
  <c r="M8491" i="1"/>
  <c r="L8491" i="1"/>
  <c r="V8490" i="1"/>
  <c r="U8490" i="1"/>
  <c r="T8490" i="1"/>
  <c r="S8490" i="1"/>
  <c r="R8490" i="1"/>
  <c r="Q8490" i="1"/>
  <c r="M8490" i="1"/>
  <c r="L8490" i="1"/>
  <c r="V8489" i="1"/>
  <c r="U8489" i="1"/>
  <c r="T8489" i="1"/>
  <c r="S8489" i="1"/>
  <c r="R8489" i="1"/>
  <c r="Q8489" i="1"/>
  <c r="M8489" i="1"/>
  <c r="L8489" i="1"/>
  <c r="V8488" i="1"/>
  <c r="U8488" i="1"/>
  <c r="T8488" i="1"/>
  <c r="S8488" i="1"/>
  <c r="R8488" i="1"/>
  <c r="Q8488" i="1"/>
  <c r="M8488" i="1"/>
  <c r="L8488" i="1"/>
  <c r="V8487" i="1"/>
  <c r="U8487" i="1"/>
  <c r="T8487" i="1"/>
  <c r="S8487" i="1"/>
  <c r="R8487" i="1"/>
  <c r="Q8487" i="1"/>
  <c r="M8487" i="1"/>
  <c r="L8487" i="1"/>
  <c r="V8486" i="1"/>
  <c r="U8486" i="1"/>
  <c r="T8486" i="1"/>
  <c r="S8486" i="1"/>
  <c r="R8486" i="1"/>
  <c r="Q8486" i="1"/>
  <c r="M8486" i="1"/>
  <c r="L8486" i="1"/>
  <c r="V8485" i="1"/>
  <c r="U8485" i="1"/>
  <c r="T8485" i="1"/>
  <c r="S8485" i="1"/>
  <c r="R8485" i="1"/>
  <c r="Q8485" i="1"/>
  <c r="M8485" i="1"/>
  <c r="L8485" i="1"/>
  <c r="V8484" i="1"/>
  <c r="U8484" i="1"/>
  <c r="T8484" i="1"/>
  <c r="S8484" i="1"/>
  <c r="R8484" i="1"/>
  <c r="Q8484" i="1"/>
  <c r="M8484" i="1"/>
  <c r="L8484" i="1"/>
  <c r="V8483" i="1"/>
  <c r="U8483" i="1"/>
  <c r="T8483" i="1"/>
  <c r="S8483" i="1"/>
  <c r="R8483" i="1"/>
  <c r="Q8483" i="1"/>
  <c r="M8483" i="1"/>
  <c r="L8483" i="1"/>
  <c r="V8482" i="1"/>
  <c r="U8482" i="1"/>
  <c r="T8482" i="1"/>
  <c r="S8482" i="1"/>
  <c r="R8482" i="1"/>
  <c r="Q8482" i="1"/>
  <c r="M8482" i="1"/>
  <c r="L8482" i="1"/>
  <c r="V8481" i="1"/>
  <c r="U8481" i="1"/>
  <c r="T8481" i="1"/>
  <c r="S8481" i="1"/>
  <c r="R8481" i="1"/>
  <c r="Q8481" i="1"/>
  <c r="M8481" i="1"/>
  <c r="L8481" i="1"/>
  <c r="V8480" i="1"/>
  <c r="U8480" i="1"/>
  <c r="T8480" i="1"/>
  <c r="S8480" i="1"/>
  <c r="R8480" i="1"/>
  <c r="Q8480" i="1"/>
  <c r="M8480" i="1"/>
  <c r="L8480" i="1"/>
  <c r="V8479" i="1"/>
  <c r="U8479" i="1"/>
  <c r="T8479" i="1"/>
  <c r="S8479" i="1"/>
  <c r="R8479" i="1"/>
  <c r="Q8479" i="1"/>
  <c r="M8479" i="1"/>
  <c r="L8479" i="1"/>
  <c r="V8478" i="1"/>
  <c r="U8478" i="1"/>
  <c r="T8478" i="1"/>
  <c r="S8478" i="1"/>
  <c r="R8478" i="1"/>
  <c r="Q8478" i="1"/>
  <c r="M8478" i="1"/>
  <c r="L8478" i="1"/>
  <c r="V8477" i="1"/>
  <c r="U8477" i="1"/>
  <c r="T8477" i="1"/>
  <c r="S8477" i="1"/>
  <c r="R8477" i="1"/>
  <c r="Q8477" i="1"/>
  <c r="M8477" i="1"/>
  <c r="L8477" i="1"/>
  <c r="V8476" i="1"/>
  <c r="U8476" i="1"/>
  <c r="T8476" i="1"/>
  <c r="S8476" i="1"/>
  <c r="R8476" i="1"/>
  <c r="Q8476" i="1"/>
  <c r="M8476" i="1"/>
  <c r="L8476" i="1"/>
  <c r="V8475" i="1"/>
  <c r="U8475" i="1"/>
  <c r="T8475" i="1"/>
  <c r="S8475" i="1"/>
  <c r="R8475" i="1"/>
  <c r="Q8475" i="1"/>
  <c r="M8475" i="1"/>
  <c r="L8475" i="1"/>
  <c r="V8474" i="1"/>
  <c r="U8474" i="1"/>
  <c r="T8474" i="1"/>
  <c r="S8474" i="1"/>
  <c r="R8474" i="1"/>
  <c r="Q8474" i="1"/>
  <c r="M8474" i="1"/>
  <c r="L8474" i="1"/>
  <c r="V8473" i="1"/>
  <c r="U8473" i="1"/>
  <c r="T8473" i="1"/>
  <c r="S8473" i="1"/>
  <c r="R8473" i="1"/>
  <c r="Q8473" i="1"/>
  <c r="M8473" i="1"/>
  <c r="L8473" i="1"/>
  <c r="V8472" i="1"/>
  <c r="U8472" i="1"/>
  <c r="T8472" i="1"/>
  <c r="S8472" i="1"/>
  <c r="R8472" i="1"/>
  <c r="Q8472" i="1"/>
  <c r="M8472" i="1"/>
  <c r="L8472" i="1"/>
  <c r="V8471" i="1"/>
  <c r="U8471" i="1"/>
  <c r="T8471" i="1"/>
  <c r="S8471" i="1"/>
  <c r="R8471" i="1"/>
  <c r="Q8471" i="1"/>
  <c r="M8471" i="1"/>
  <c r="L8471" i="1"/>
  <c r="V8470" i="1"/>
  <c r="U8470" i="1"/>
  <c r="T8470" i="1"/>
  <c r="S8470" i="1"/>
  <c r="R8470" i="1"/>
  <c r="Q8470" i="1"/>
  <c r="M8470" i="1"/>
  <c r="L8470" i="1"/>
  <c r="V8469" i="1"/>
  <c r="U8469" i="1"/>
  <c r="T8469" i="1"/>
  <c r="S8469" i="1"/>
  <c r="R8469" i="1"/>
  <c r="Q8469" i="1"/>
  <c r="M8469" i="1"/>
  <c r="L8469" i="1"/>
  <c r="V8468" i="1"/>
  <c r="U8468" i="1"/>
  <c r="T8468" i="1"/>
  <c r="S8468" i="1"/>
  <c r="R8468" i="1"/>
  <c r="Q8468" i="1"/>
  <c r="M8468" i="1"/>
  <c r="L8468" i="1"/>
  <c r="V8467" i="1"/>
  <c r="U8467" i="1"/>
  <c r="T8467" i="1"/>
  <c r="S8467" i="1"/>
  <c r="R8467" i="1"/>
  <c r="Q8467" i="1"/>
  <c r="M8467" i="1"/>
  <c r="L8467" i="1"/>
  <c r="V8466" i="1"/>
  <c r="U8466" i="1"/>
  <c r="T8466" i="1"/>
  <c r="S8466" i="1"/>
  <c r="R8466" i="1"/>
  <c r="Q8466" i="1"/>
  <c r="M8466" i="1"/>
  <c r="L8466" i="1"/>
  <c r="V8465" i="1"/>
  <c r="U8465" i="1"/>
  <c r="T8465" i="1"/>
  <c r="S8465" i="1"/>
  <c r="R8465" i="1"/>
  <c r="Q8465" i="1"/>
  <c r="M8465" i="1"/>
  <c r="L8465" i="1"/>
  <c r="V8464" i="1"/>
  <c r="U8464" i="1"/>
  <c r="T8464" i="1"/>
  <c r="S8464" i="1"/>
  <c r="R8464" i="1"/>
  <c r="Q8464" i="1"/>
  <c r="M8464" i="1"/>
  <c r="L8464" i="1"/>
  <c r="V8463" i="1"/>
  <c r="U8463" i="1"/>
  <c r="T8463" i="1"/>
  <c r="S8463" i="1"/>
  <c r="R8463" i="1"/>
  <c r="Q8463" i="1"/>
  <c r="M8463" i="1"/>
  <c r="L8463" i="1"/>
  <c r="V8462" i="1"/>
  <c r="U8462" i="1"/>
  <c r="T8462" i="1"/>
  <c r="S8462" i="1"/>
  <c r="R8462" i="1"/>
  <c r="Q8462" i="1"/>
  <c r="M8462" i="1"/>
  <c r="L8462" i="1"/>
  <c r="V8461" i="1"/>
  <c r="U8461" i="1"/>
  <c r="T8461" i="1"/>
  <c r="S8461" i="1"/>
  <c r="R8461" i="1"/>
  <c r="Q8461" i="1"/>
  <c r="M8461" i="1"/>
  <c r="L8461" i="1"/>
  <c r="V8460" i="1"/>
  <c r="U8460" i="1"/>
  <c r="T8460" i="1"/>
  <c r="S8460" i="1"/>
  <c r="R8460" i="1"/>
  <c r="Q8460" i="1"/>
  <c r="M8460" i="1"/>
  <c r="L8460" i="1"/>
  <c r="V8459" i="1"/>
  <c r="U8459" i="1"/>
  <c r="T8459" i="1"/>
  <c r="S8459" i="1"/>
  <c r="R8459" i="1"/>
  <c r="Q8459" i="1"/>
  <c r="M8459" i="1"/>
  <c r="L8459" i="1"/>
  <c r="V8458" i="1"/>
  <c r="U8458" i="1"/>
  <c r="T8458" i="1"/>
  <c r="S8458" i="1"/>
  <c r="R8458" i="1"/>
  <c r="Q8458" i="1"/>
  <c r="M8458" i="1"/>
  <c r="L8458" i="1"/>
  <c r="V8457" i="1"/>
  <c r="U8457" i="1"/>
  <c r="T8457" i="1"/>
  <c r="S8457" i="1"/>
  <c r="R8457" i="1"/>
  <c r="Q8457" i="1"/>
  <c r="M8457" i="1"/>
  <c r="L8457" i="1"/>
  <c r="V8456" i="1"/>
  <c r="U8456" i="1"/>
  <c r="T8456" i="1"/>
  <c r="S8456" i="1"/>
  <c r="R8456" i="1"/>
  <c r="Q8456" i="1"/>
  <c r="M8456" i="1"/>
  <c r="L8456" i="1"/>
  <c r="V8455" i="1"/>
  <c r="U8455" i="1"/>
  <c r="T8455" i="1"/>
  <c r="S8455" i="1"/>
  <c r="R8455" i="1"/>
  <c r="Q8455" i="1"/>
  <c r="M8455" i="1"/>
  <c r="L8455" i="1"/>
  <c r="V8454" i="1"/>
  <c r="U8454" i="1"/>
  <c r="T8454" i="1"/>
  <c r="S8454" i="1"/>
  <c r="R8454" i="1"/>
  <c r="Q8454" i="1"/>
  <c r="M8454" i="1"/>
  <c r="L8454" i="1"/>
  <c r="V8453" i="1"/>
  <c r="U8453" i="1"/>
  <c r="T8453" i="1"/>
  <c r="S8453" i="1"/>
  <c r="R8453" i="1"/>
  <c r="Q8453" i="1"/>
  <c r="M8453" i="1"/>
  <c r="L8453" i="1"/>
  <c r="V8452" i="1"/>
  <c r="U8452" i="1"/>
  <c r="T8452" i="1"/>
  <c r="S8452" i="1"/>
  <c r="R8452" i="1"/>
  <c r="Q8452" i="1"/>
  <c r="M8452" i="1"/>
  <c r="L8452" i="1"/>
  <c r="V8451" i="1"/>
  <c r="U8451" i="1"/>
  <c r="T8451" i="1"/>
  <c r="S8451" i="1"/>
  <c r="R8451" i="1"/>
  <c r="Q8451" i="1"/>
  <c r="M8451" i="1"/>
  <c r="L8451" i="1"/>
  <c r="V8450" i="1"/>
  <c r="U8450" i="1"/>
  <c r="T8450" i="1"/>
  <c r="S8450" i="1"/>
  <c r="R8450" i="1"/>
  <c r="Q8450" i="1"/>
  <c r="M8450" i="1"/>
  <c r="L8450" i="1"/>
  <c r="V8449" i="1"/>
  <c r="U8449" i="1"/>
  <c r="T8449" i="1"/>
  <c r="S8449" i="1"/>
  <c r="R8449" i="1"/>
  <c r="Q8449" i="1"/>
  <c r="M8449" i="1"/>
  <c r="L8449" i="1"/>
  <c r="V8448" i="1"/>
  <c r="U8448" i="1"/>
  <c r="T8448" i="1"/>
  <c r="S8448" i="1"/>
  <c r="R8448" i="1"/>
  <c r="Q8448" i="1"/>
  <c r="M8448" i="1"/>
  <c r="L8448" i="1"/>
  <c r="V8447" i="1"/>
  <c r="U8447" i="1"/>
  <c r="T8447" i="1"/>
  <c r="S8447" i="1"/>
  <c r="R8447" i="1"/>
  <c r="Q8447" i="1"/>
  <c r="M8447" i="1"/>
  <c r="L8447" i="1"/>
  <c r="V8446" i="1"/>
  <c r="U8446" i="1"/>
  <c r="T8446" i="1"/>
  <c r="S8446" i="1"/>
  <c r="R8446" i="1"/>
  <c r="Q8446" i="1"/>
  <c r="M8446" i="1"/>
  <c r="L8446" i="1"/>
  <c r="V8445" i="1"/>
  <c r="U8445" i="1"/>
  <c r="T8445" i="1"/>
  <c r="S8445" i="1"/>
  <c r="R8445" i="1"/>
  <c r="Q8445" i="1"/>
  <c r="M8445" i="1"/>
  <c r="L8445" i="1"/>
  <c r="V8444" i="1"/>
  <c r="U8444" i="1"/>
  <c r="T8444" i="1"/>
  <c r="S8444" i="1"/>
  <c r="R8444" i="1"/>
  <c r="Q8444" i="1"/>
  <c r="M8444" i="1"/>
  <c r="L8444" i="1"/>
  <c r="V8443" i="1"/>
  <c r="U8443" i="1"/>
  <c r="T8443" i="1"/>
  <c r="S8443" i="1"/>
  <c r="R8443" i="1"/>
  <c r="Q8443" i="1"/>
  <c r="M8443" i="1"/>
  <c r="L8443" i="1"/>
  <c r="V8442" i="1"/>
  <c r="U8442" i="1"/>
  <c r="T8442" i="1"/>
  <c r="S8442" i="1"/>
  <c r="R8442" i="1"/>
  <c r="Q8442" i="1"/>
  <c r="M8442" i="1"/>
  <c r="L8442" i="1"/>
  <c r="V8441" i="1"/>
  <c r="U8441" i="1"/>
  <c r="T8441" i="1"/>
  <c r="S8441" i="1"/>
  <c r="R8441" i="1"/>
  <c r="Q8441" i="1"/>
  <c r="M8441" i="1"/>
  <c r="L8441" i="1"/>
  <c r="V8440" i="1"/>
  <c r="U8440" i="1"/>
  <c r="T8440" i="1"/>
  <c r="S8440" i="1"/>
  <c r="R8440" i="1"/>
  <c r="Q8440" i="1"/>
  <c r="M8440" i="1"/>
  <c r="L8440" i="1"/>
  <c r="V8439" i="1"/>
  <c r="U8439" i="1"/>
  <c r="T8439" i="1"/>
  <c r="S8439" i="1"/>
  <c r="R8439" i="1"/>
  <c r="Q8439" i="1"/>
  <c r="M8439" i="1"/>
  <c r="L8439" i="1"/>
  <c r="V8438" i="1"/>
  <c r="U8438" i="1"/>
  <c r="T8438" i="1"/>
  <c r="S8438" i="1"/>
  <c r="R8438" i="1"/>
  <c r="Q8438" i="1"/>
  <c r="M8438" i="1"/>
  <c r="L8438" i="1"/>
  <c r="V8437" i="1"/>
  <c r="U8437" i="1"/>
  <c r="T8437" i="1"/>
  <c r="S8437" i="1"/>
  <c r="R8437" i="1"/>
  <c r="Q8437" i="1"/>
  <c r="M8437" i="1"/>
  <c r="L8437" i="1"/>
  <c r="V8436" i="1"/>
  <c r="U8436" i="1"/>
  <c r="T8436" i="1"/>
  <c r="S8436" i="1"/>
  <c r="R8436" i="1"/>
  <c r="Q8436" i="1"/>
  <c r="M8436" i="1"/>
  <c r="L8436" i="1"/>
  <c r="V8435" i="1"/>
  <c r="U8435" i="1"/>
  <c r="T8435" i="1"/>
  <c r="S8435" i="1"/>
  <c r="R8435" i="1"/>
  <c r="Q8435" i="1"/>
  <c r="M8435" i="1"/>
  <c r="L8435" i="1"/>
  <c r="V8434" i="1"/>
  <c r="U8434" i="1"/>
  <c r="T8434" i="1"/>
  <c r="S8434" i="1"/>
  <c r="R8434" i="1"/>
  <c r="Q8434" i="1"/>
  <c r="M8434" i="1"/>
  <c r="L8434" i="1"/>
  <c r="V8433" i="1"/>
  <c r="U8433" i="1"/>
  <c r="T8433" i="1"/>
  <c r="S8433" i="1"/>
  <c r="R8433" i="1"/>
  <c r="Q8433" i="1"/>
  <c r="M8433" i="1"/>
  <c r="L8433" i="1"/>
  <c r="V8432" i="1"/>
  <c r="U8432" i="1"/>
  <c r="T8432" i="1"/>
  <c r="S8432" i="1"/>
  <c r="R8432" i="1"/>
  <c r="Q8432" i="1"/>
  <c r="M8432" i="1"/>
  <c r="L8432" i="1"/>
  <c r="V8431" i="1"/>
  <c r="U8431" i="1"/>
  <c r="T8431" i="1"/>
  <c r="S8431" i="1"/>
  <c r="R8431" i="1"/>
  <c r="Q8431" i="1"/>
  <c r="M8431" i="1"/>
  <c r="L8431" i="1"/>
  <c r="V8430" i="1"/>
  <c r="U8430" i="1"/>
  <c r="T8430" i="1"/>
  <c r="S8430" i="1"/>
  <c r="R8430" i="1"/>
  <c r="Q8430" i="1"/>
  <c r="M8430" i="1"/>
  <c r="L8430" i="1"/>
  <c r="V8429" i="1"/>
  <c r="U8429" i="1"/>
  <c r="T8429" i="1"/>
  <c r="S8429" i="1"/>
  <c r="R8429" i="1"/>
  <c r="Q8429" i="1"/>
  <c r="M8429" i="1"/>
  <c r="L8429" i="1"/>
  <c r="V8428" i="1"/>
  <c r="U8428" i="1"/>
  <c r="T8428" i="1"/>
  <c r="S8428" i="1"/>
  <c r="R8428" i="1"/>
  <c r="Q8428" i="1"/>
  <c r="M8428" i="1"/>
  <c r="L8428" i="1"/>
  <c r="V8427" i="1"/>
  <c r="U8427" i="1"/>
  <c r="T8427" i="1"/>
  <c r="S8427" i="1"/>
  <c r="R8427" i="1"/>
  <c r="Q8427" i="1"/>
  <c r="M8427" i="1"/>
  <c r="L8427" i="1"/>
  <c r="V8426" i="1"/>
  <c r="U8426" i="1"/>
  <c r="T8426" i="1"/>
  <c r="S8426" i="1"/>
  <c r="R8426" i="1"/>
  <c r="Q8426" i="1"/>
  <c r="M8426" i="1"/>
  <c r="L8426" i="1"/>
  <c r="V8425" i="1"/>
  <c r="U8425" i="1"/>
  <c r="T8425" i="1"/>
  <c r="S8425" i="1"/>
  <c r="R8425" i="1"/>
  <c r="Q8425" i="1"/>
  <c r="M8425" i="1"/>
  <c r="L8425" i="1"/>
  <c r="V8424" i="1"/>
  <c r="U8424" i="1"/>
  <c r="T8424" i="1"/>
  <c r="S8424" i="1"/>
  <c r="R8424" i="1"/>
  <c r="Q8424" i="1"/>
  <c r="M8424" i="1"/>
  <c r="L8424" i="1"/>
  <c r="V8423" i="1"/>
  <c r="U8423" i="1"/>
  <c r="T8423" i="1"/>
  <c r="S8423" i="1"/>
  <c r="R8423" i="1"/>
  <c r="Q8423" i="1"/>
  <c r="M8423" i="1"/>
  <c r="L8423" i="1"/>
  <c r="V8422" i="1"/>
  <c r="U8422" i="1"/>
  <c r="T8422" i="1"/>
  <c r="S8422" i="1"/>
  <c r="R8422" i="1"/>
  <c r="Q8422" i="1"/>
  <c r="M8422" i="1"/>
  <c r="L8422" i="1"/>
  <c r="V8421" i="1"/>
  <c r="U8421" i="1"/>
  <c r="T8421" i="1"/>
  <c r="S8421" i="1"/>
  <c r="R8421" i="1"/>
  <c r="Q8421" i="1"/>
  <c r="M8421" i="1"/>
  <c r="L8421" i="1"/>
  <c r="V8420" i="1"/>
  <c r="U8420" i="1"/>
  <c r="T8420" i="1"/>
  <c r="S8420" i="1"/>
  <c r="R8420" i="1"/>
  <c r="Q8420" i="1"/>
  <c r="M8420" i="1"/>
  <c r="L8420" i="1"/>
  <c r="V8419" i="1"/>
  <c r="U8419" i="1"/>
  <c r="T8419" i="1"/>
  <c r="S8419" i="1"/>
  <c r="R8419" i="1"/>
  <c r="Q8419" i="1"/>
  <c r="M8419" i="1"/>
  <c r="L8419" i="1"/>
  <c r="V8418" i="1"/>
  <c r="U8418" i="1"/>
  <c r="T8418" i="1"/>
  <c r="S8418" i="1"/>
  <c r="R8418" i="1"/>
  <c r="Q8418" i="1"/>
  <c r="M8418" i="1"/>
  <c r="L8418" i="1"/>
  <c r="V8417" i="1"/>
  <c r="U8417" i="1"/>
  <c r="T8417" i="1"/>
  <c r="S8417" i="1"/>
  <c r="R8417" i="1"/>
  <c r="Q8417" i="1"/>
  <c r="M8417" i="1"/>
  <c r="L8417" i="1"/>
  <c r="V8416" i="1"/>
  <c r="U8416" i="1"/>
  <c r="T8416" i="1"/>
  <c r="S8416" i="1"/>
  <c r="R8416" i="1"/>
  <c r="Q8416" i="1"/>
  <c r="M8416" i="1"/>
  <c r="L8416" i="1"/>
  <c r="V8415" i="1"/>
  <c r="U8415" i="1"/>
  <c r="T8415" i="1"/>
  <c r="S8415" i="1"/>
  <c r="R8415" i="1"/>
  <c r="Q8415" i="1"/>
  <c r="M8415" i="1"/>
  <c r="L8415" i="1"/>
  <c r="V8414" i="1"/>
  <c r="U8414" i="1"/>
  <c r="T8414" i="1"/>
  <c r="S8414" i="1"/>
  <c r="R8414" i="1"/>
  <c r="Q8414" i="1"/>
  <c r="M8414" i="1"/>
  <c r="L8414" i="1"/>
  <c r="V8413" i="1"/>
  <c r="U8413" i="1"/>
  <c r="T8413" i="1"/>
  <c r="S8413" i="1"/>
  <c r="R8413" i="1"/>
  <c r="Q8413" i="1"/>
  <c r="M8413" i="1"/>
  <c r="L8413" i="1"/>
  <c r="V8412" i="1"/>
  <c r="U8412" i="1"/>
  <c r="T8412" i="1"/>
  <c r="S8412" i="1"/>
  <c r="R8412" i="1"/>
  <c r="Q8412" i="1"/>
  <c r="M8412" i="1"/>
  <c r="L8412" i="1"/>
  <c r="V8411" i="1"/>
  <c r="U8411" i="1"/>
  <c r="T8411" i="1"/>
  <c r="S8411" i="1"/>
  <c r="R8411" i="1"/>
  <c r="Q8411" i="1"/>
  <c r="M8411" i="1"/>
  <c r="L8411" i="1"/>
  <c r="V8410" i="1"/>
  <c r="U8410" i="1"/>
  <c r="T8410" i="1"/>
  <c r="S8410" i="1"/>
  <c r="R8410" i="1"/>
  <c r="Q8410" i="1"/>
  <c r="M8410" i="1"/>
  <c r="L8410" i="1"/>
  <c r="V8409" i="1"/>
  <c r="U8409" i="1"/>
  <c r="T8409" i="1"/>
  <c r="S8409" i="1"/>
  <c r="R8409" i="1"/>
  <c r="Q8409" i="1"/>
  <c r="M8409" i="1"/>
  <c r="L8409" i="1"/>
  <c r="V8408" i="1"/>
  <c r="U8408" i="1"/>
  <c r="T8408" i="1"/>
  <c r="S8408" i="1"/>
  <c r="R8408" i="1"/>
  <c r="Q8408" i="1"/>
  <c r="M8408" i="1"/>
  <c r="L8408" i="1"/>
  <c r="V8407" i="1"/>
  <c r="U8407" i="1"/>
  <c r="T8407" i="1"/>
  <c r="S8407" i="1"/>
  <c r="R8407" i="1"/>
  <c r="Q8407" i="1"/>
  <c r="M8407" i="1"/>
  <c r="L8407" i="1"/>
  <c r="V8406" i="1"/>
  <c r="U8406" i="1"/>
  <c r="T8406" i="1"/>
  <c r="S8406" i="1"/>
  <c r="R8406" i="1"/>
  <c r="Q8406" i="1"/>
  <c r="M8406" i="1"/>
  <c r="L8406" i="1"/>
  <c r="V8405" i="1"/>
  <c r="U8405" i="1"/>
  <c r="T8405" i="1"/>
  <c r="S8405" i="1"/>
  <c r="R8405" i="1"/>
  <c r="Q8405" i="1"/>
  <c r="M8405" i="1"/>
  <c r="L8405" i="1"/>
  <c r="V8404" i="1"/>
  <c r="U8404" i="1"/>
  <c r="T8404" i="1"/>
  <c r="S8404" i="1"/>
  <c r="R8404" i="1"/>
  <c r="Q8404" i="1"/>
  <c r="M8404" i="1"/>
  <c r="L8404" i="1"/>
  <c r="V8403" i="1"/>
  <c r="U8403" i="1"/>
  <c r="T8403" i="1"/>
  <c r="S8403" i="1"/>
  <c r="R8403" i="1"/>
  <c r="Q8403" i="1"/>
  <c r="M8403" i="1"/>
  <c r="L8403" i="1"/>
  <c r="V8402" i="1"/>
  <c r="U8402" i="1"/>
  <c r="T8402" i="1"/>
  <c r="S8402" i="1"/>
  <c r="R8402" i="1"/>
  <c r="Q8402" i="1"/>
  <c r="M8402" i="1"/>
  <c r="L8402" i="1"/>
  <c r="V8401" i="1"/>
  <c r="U8401" i="1"/>
  <c r="T8401" i="1"/>
  <c r="S8401" i="1"/>
  <c r="R8401" i="1"/>
  <c r="Q8401" i="1"/>
  <c r="M8401" i="1"/>
  <c r="L8401" i="1"/>
  <c r="V8400" i="1"/>
  <c r="U8400" i="1"/>
  <c r="T8400" i="1"/>
  <c r="S8400" i="1"/>
  <c r="R8400" i="1"/>
  <c r="Q8400" i="1"/>
  <c r="M8400" i="1"/>
  <c r="L8400" i="1"/>
  <c r="V8399" i="1"/>
  <c r="U8399" i="1"/>
  <c r="T8399" i="1"/>
  <c r="S8399" i="1"/>
  <c r="R8399" i="1"/>
  <c r="Q8399" i="1"/>
  <c r="M8399" i="1"/>
  <c r="L8399" i="1"/>
  <c r="V8398" i="1"/>
  <c r="U8398" i="1"/>
  <c r="T8398" i="1"/>
  <c r="S8398" i="1"/>
  <c r="R8398" i="1"/>
  <c r="Q8398" i="1"/>
  <c r="M8398" i="1"/>
  <c r="L8398" i="1"/>
  <c r="V8397" i="1"/>
  <c r="U8397" i="1"/>
  <c r="T8397" i="1"/>
  <c r="S8397" i="1"/>
  <c r="R8397" i="1"/>
  <c r="Q8397" i="1"/>
  <c r="M8397" i="1"/>
  <c r="L8397" i="1"/>
  <c r="V8396" i="1"/>
  <c r="U8396" i="1"/>
  <c r="T8396" i="1"/>
  <c r="S8396" i="1"/>
  <c r="R8396" i="1"/>
  <c r="Q8396" i="1"/>
  <c r="M8396" i="1"/>
  <c r="L8396" i="1"/>
  <c r="V8395" i="1"/>
  <c r="U8395" i="1"/>
  <c r="T8395" i="1"/>
  <c r="S8395" i="1"/>
  <c r="R8395" i="1"/>
  <c r="Q8395" i="1"/>
  <c r="M8395" i="1"/>
  <c r="L8395" i="1"/>
  <c r="V8394" i="1"/>
  <c r="U8394" i="1"/>
  <c r="T8394" i="1"/>
  <c r="S8394" i="1"/>
  <c r="R8394" i="1"/>
  <c r="Q8394" i="1"/>
  <c r="M8394" i="1"/>
  <c r="L8394" i="1"/>
  <c r="V8393" i="1"/>
  <c r="U8393" i="1"/>
  <c r="T8393" i="1"/>
  <c r="S8393" i="1"/>
  <c r="R8393" i="1"/>
  <c r="Q8393" i="1"/>
  <c r="M8393" i="1"/>
  <c r="L8393" i="1"/>
  <c r="V8392" i="1"/>
  <c r="U8392" i="1"/>
  <c r="T8392" i="1"/>
  <c r="S8392" i="1"/>
  <c r="R8392" i="1"/>
  <c r="Q8392" i="1"/>
  <c r="M8392" i="1"/>
  <c r="L8392" i="1"/>
  <c r="V8391" i="1"/>
  <c r="U8391" i="1"/>
  <c r="T8391" i="1"/>
  <c r="S8391" i="1"/>
  <c r="R8391" i="1"/>
  <c r="Q8391" i="1"/>
  <c r="M8391" i="1"/>
  <c r="L8391" i="1"/>
  <c r="V8390" i="1"/>
  <c r="U8390" i="1"/>
  <c r="T8390" i="1"/>
  <c r="S8390" i="1"/>
  <c r="R8390" i="1"/>
  <c r="Q8390" i="1"/>
  <c r="M8390" i="1"/>
  <c r="L8390" i="1"/>
  <c r="V8389" i="1"/>
  <c r="U8389" i="1"/>
  <c r="T8389" i="1"/>
  <c r="S8389" i="1"/>
  <c r="R8389" i="1"/>
  <c r="Q8389" i="1"/>
  <c r="M8389" i="1"/>
  <c r="L8389" i="1"/>
  <c r="V8388" i="1"/>
  <c r="U8388" i="1"/>
  <c r="T8388" i="1"/>
  <c r="S8388" i="1"/>
  <c r="R8388" i="1"/>
  <c r="Q8388" i="1"/>
  <c r="M8388" i="1"/>
  <c r="L8388" i="1"/>
  <c r="V8387" i="1"/>
  <c r="U8387" i="1"/>
  <c r="T8387" i="1"/>
  <c r="S8387" i="1"/>
  <c r="R8387" i="1"/>
  <c r="Q8387" i="1"/>
  <c r="M8387" i="1"/>
  <c r="L8387" i="1"/>
  <c r="V8386" i="1"/>
  <c r="U8386" i="1"/>
  <c r="T8386" i="1"/>
  <c r="S8386" i="1"/>
  <c r="R8386" i="1"/>
  <c r="Q8386" i="1"/>
  <c r="M8386" i="1"/>
  <c r="L8386" i="1"/>
  <c r="V8385" i="1"/>
  <c r="U8385" i="1"/>
  <c r="T8385" i="1"/>
  <c r="S8385" i="1"/>
  <c r="R8385" i="1"/>
  <c r="Q8385" i="1"/>
  <c r="M8385" i="1"/>
  <c r="L8385" i="1"/>
  <c r="V8384" i="1"/>
  <c r="U8384" i="1"/>
  <c r="T8384" i="1"/>
  <c r="S8384" i="1"/>
  <c r="R8384" i="1"/>
  <c r="Q8384" i="1"/>
  <c r="M8384" i="1"/>
  <c r="L8384" i="1"/>
  <c r="V8383" i="1"/>
  <c r="U8383" i="1"/>
  <c r="T8383" i="1"/>
  <c r="S8383" i="1"/>
  <c r="R8383" i="1"/>
  <c r="Q8383" i="1"/>
  <c r="M8383" i="1"/>
  <c r="L8383" i="1"/>
  <c r="V8382" i="1"/>
  <c r="U8382" i="1"/>
  <c r="T8382" i="1"/>
  <c r="S8382" i="1"/>
  <c r="R8382" i="1"/>
  <c r="Q8382" i="1"/>
  <c r="M8382" i="1"/>
  <c r="L8382" i="1"/>
  <c r="V8381" i="1"/>
  <c r="U8381" i="1"/>
  <c r="T8381" i="1"/>
  <c r="S8381" i="1"/>
  <c r="R8381" i="1"/>
  <c r="Q8381" i="1"/>
  <c r="M8381" i="1"/>
  <c r="L8381" i="1"/>
  <c r="V8380" i="1"/>
  <c r="U8380" i="1"/>
  <c r="T8380" i="1"/>
  <c r="S8380" i="1"/>
  <c r="R8380" i="1"/>
  <c r="Q8380" i="1"/>
  <c r="M8380" i="1"/>
  <c r="L8380" i="1"/>
  <c r="V8379" i="1"/>
  <c r="U8379" i="1"/>
  <c r="T8379" i="1"/>
  <c r="S8379" i="1"/>
  <c r="R8379" i="1"/>
  <c r="Q8379" i="1"/>
  <c r="M8379" i="1"/>
  <c r="L8379" i="1"/>
  <c r="V8378" i="1"/>
  <c r="U8378" i="1"/>
  <c r="T8378" i="1"/>
  <c r="S8378" i="1"/>
  <c r="R8378" i="1"/>
  <c r="Q8378" i="1"/>
  <c r="M8378" i="1"/>
  <c r="L8378" i="1"/>
  <c r="V8377" i="1"/>
  <c r="U8377" i="1"/>
  <c r="T8377" i="1"/>
  <c r="S8377" i="1"/>
  <c r="R8377" i="1"/>
  <c r="Q8377" i="1"/>
  <c r="M8377" i="1"/>
  <c r="L8377" i="1"/>
  <c r="V8376" i="1"/>
  <c r="U8376" i="1"/>
  <c r="T8376" i="1"/>
  <c r="S8376" i="1"/>
  <c r="R8376" i="1"/>
  <c r="Q8376" i="1"/>
  <c r="M8376" i="1"/>
  <c r="L8376" i="1"/>
  <c r="V8375" i="1"/>
  <c r="U8375" i="1"/>
  <c r="T8375" i="1"/>
  <c r="S8375" i="1"/>
  <c r="R8375" i="1"/>
  <c r="Q8375" i="1"/>
  <c r="M8375" i="1"/>
  <c r="L8375" i="1"/>
  <c r="V8374" i="1"/>
  <c r="U8374" i="1"/>
  <c r="T8374" i="1"/>
  <c r="S8374" i="1"/>
  <c r="R8374" i="1"/>
  <c r="Q8374" i="1"/>
  <c r="M8374" i="1"/>
  <c r="L8374" i="1"/>
  <c r="V8373" i="1"/>
  <c r="U8373" i="1"/>
  <c r="T8373" i="1"/>
  <c r="S8373" i="1"/>
  <c r="R8373" i="1"/>
  <c r="Q8373" i="1"/>
  <c r="M8373" i="1"/>
  <c r="L8373" i="1"/>
  <c r="V8372" i="1"/>
  <c r="U8372" i="1"/>
  <c r="T8372" i="1"/>
  <c r="S8372" i="1"/>
  <c r="R8372" i="1"/>
  <c r="Q8372" i="1"/>
  <c r="M8372" i="1"/>
  <c r="L8372" i="1"/>
  <c r="V8371" i="1"/>
  <c r="U8371" i="1"/>
  <c r="T8371" i="1"/>
  <c r="S8371" i="1"/>
  <c r="R8371" i="1"/>
  <c r="Q8371" i="1"/>
  <c r="M8371" i="1"/>
  <c r="L8371" i="1"/>
  <c r="V8370" i="1"/>
  <c r="U8370" i="1"/>
  <c r="T8370" i="1"/>
  <c r="S8370" i="1"/>
  <c r="R8370" i="1"/>
  <c r="Q8370" i="1"/>
  <c r="M8370" i="1"/>
  <c r="L8370" i="1"/>
  <c r="V8369" i="1"/>
  <c r="U8369" i="1"/>
  <c r="T8369" i="1"/>
  <c r="S8369" i="1"/>
  <c r="R8369" i="1"/>
  <c r="Q8369" i="1"/>
  <c r="M8369" i="1"/>
  <c r="L8369" i="1"/>
  <c r="V8368" i="1"/>
  <c r="U8368" i="1"/>
  <c r="T8368" i="1"/>
  <c r="S8368" i="1"/>
  <c r="R8368" i="1"/>
  <c r="Q8368" i="1"/>
  <c r="M8368" i="1"/>
  <c r="L8368" i="1"/>
  <c r="V8367" i="1"/>
  <c r="U8367" i="1"/>
  <c r="T8367" i="1"/>
  <c r="S8367" i="1"/>
  <c r="R8367" i="1"/>
  <c r="Q8367" i="1"/>
  <c r="M8367" i="1"/>
  <c r="L8367" i="1"/>
  <c r="V8366" i="1"/>
  <c r="U8366" i="1"/>
  <c r="T8366" i="1"/>
  <c r="S8366" i="1"/>
  <c r="R8366" i="1"/>
  <c r="Q8366" i="1"/>
  <c r="M8366" i="1"/>
  <c r="L8366" i="1"/>
  <c r="V8365" i="1"/>
  <c r="U8365" i="1"/>
  <c r="T8365" i="1"/>
  <c r="S8365" i="1"/>
  <c r="R8365" i="1"/>
  <c r="Q8365" i="1"/>
  <c r="M8365" i="1"/>
  <c r="L8365" i="1"/>
  <c r="V8364" i="1"/>
  <c r="U8364" i="1"/>
  <c r="T8364" i="1"/>
  <c r="S8364" i="1"/>
  <c r="R8364" i="1"/>
  <c r="Q8364" i="1"/>
  <c r="M8364" i="1"/>
  <c r="L8364" i="1"/>
  <c r="V8363" i="1"/>
  <c r="U8363" i="1"/>
  <c r="T8363" i="1"/>
  <c r="S8363" i="1"/>
  <c r="R8363" i="1"/>
  <c r="Q8363" i="1"/>
  <c r="M8363" i="1"/>
  <c r="L8363" i="1"/>
  <c r="V8362" i="1"/>
  <c r="U8362" i="1"/>
  <c r="T8362" i="1"/>
  <c r="S8362" i="1"/>
  <c r="R8362" i="1"/>
  <c r="Q8362" i="1"/>
  <c r="M8362" i="1"/>
  <c r="L8362" i="1"/>
  <c r="V8361" i="1"/>
  <c r="U8361" i="1"/>
  <c r="T8361" i="1"/>
  <c r="S8361" i="1"/>
  <c r="R8361" i="1"/>
  <c r="Q8361" i="1"/>
  <c r="M8361" i="1"/>
  <c r="L8361" i="1"/>
  <c r="V8360" i="1"/>
  <c r="U8360" i="1"/>
  <c r="T8360" i="1"/>
  <c r="S8360" i="1"/>
  <c r="R8360" i="1"/>
  <c r="Q8360" i="1"/>
  <c r="M8360" i="1"/>
  <c r="L8360" i="1"/>
  <c r="V8359" i="1"/>
  <c r="U8359" i="1"/>
  <c r="T8359" i="1"/>
  <c r="S8359" i="1"/>
  <c r="R8359" i="1"/>
  <c r="Q8359" i="1"/>
  <c r="M8359" i="1"/>
  <c r="L8359" i="1"/>
  <c r="V8358" i="1"/>
  <c r="U8358" i="1"/>
  <c r="T8358" i="1"/>
  <c r="S8358" i="1"/>
  <c r="R8358" i="1"/>
  <c r="Q8358" i="1"/>
  <c r="M8358" i="1"/>
  <c r="L8358" i="1"/>
  <c r="V8357" i="1"/>
  <c r="U8357" i="1"/>
  <c r="T8357" i="1"/>
  <c r="S8357" i="1"/>
  <c r="R8357" i="1"/>
  <c r="Q8357" i="1"/>
  <c r="M8357" i="1"/>
  <c r="L8357" i="1"/>
  <c r="V8356" i="1"/>
  <c r="U8356" i="1"/>
  <c r="T8356" i="1"/>
  <c r="S8356" i="1"/>
  <c r="R8356" i="1"/>
  <c r="Q8356" i="1"/>
  <c r="M8356" i="1"/>
  <c r="L8356" i="1"/>
  <c r="V8355" i="1"/>
  <c r="U8355" i="1"/>
  <c r="T8355" i="1"/>
  <c r="S8355" i="1"/>
  <c r="R8355" i="1"/>
  <c r="Q8355" i="1"/>
  <c r="M8355" i="1"/>
  <c r="L8355" i="1"/>
  <c r="V8354" i="1"/>
  <c r="U8354" i="1"/>
  <c r="T8354" i="1"/>
  <c r="S8354" i="1"/>
  <c r="R8354" i="1"/>
  <c r="Q8354" i="1"/>
  <c r="M8354" i="1"/>
  <c r="L8354" i="1"/>
  <c r="V8353" i="1"/>
  <c r="U8353" i="1"/>
  <c r="T8353" i="1"/>
  <c r="S8353" i="1"/>
  <c r="R8353" i="1"/>
  <c r="Q8353" i="1"/>
  <c r="M8353" i="1"/>
  <c r="L8353" i="1"/>
  <c r="V8352" i="1"/>
  <c r="U8352" i="1"/>
  <c r="T8352" i="1"/>
  <c r="S8352" i="1"/>
  <c r="R8352" i="1"/>
  <c r="Q8352" i="1"/>
  <c r="M8352" i="1"/>
  <c r="L8352" i="1"/>
  <c r="V8351" i="1"/>
  <c r="U8351" i="1"/>
  <c r="T8351" i="1"/>
  <c r="S8351" i="1"/>
  <c r="R8351" i="1"/>
  <c r="Q8351" i="1"/>
  <c r="M8351" i="1"/>
  <c r="L8351" i="1"/>
  <c r="V8350" i="1"/>
  <c r="U8350" i="1"/>
  <c r="T8350" i="1"/>
  <c r="S8350" i="1"/>
  <c r="R8350" i="1"/>
  <c r="Q8350" i="1"/>
  <c r="M8350" i="1"/>
  <c r="L8350" i="1"/>
  <c r="V8349" i="1"/>
  <c r="U8349" i="1"/>
  <c r="T8349" i="1"/>
  <c r="S8349" i="1"/>
  <c r="R8349" i="1"/>
  <c r="Q8349" i="1"/>
  <c r="M8349" i="1"/>
  <c r="L8349" i="1"/>
  <c r="V8348" i="1"/>
  <c r="U8348" i="1"/>
  <c r="T8348" i="1"/>
  <c r="S8348" i="1"/>
  <c r="R8348" i="1"/>
  <c r="Q8348" i="1"/>
  <c r="M8348" i="1"/>
  <c r="L8348" i="1"/>
  <c r="V8347" i="1"/>
  <c r="U8347" i="1"/>
  <c r="T8347" i="1"/>
  <c r="S8347" i="1"/>
  <c r="R8347" i="1"/>
  <c r="Q8347" i="1"/>
  <c r="M8347" i="1"/>
  <c r="L8347" i="1"/>
  <c r="V8346" i="1"/>
  <c r="U8346" i="1"/>
  <c r="T8346" i="1"/>
  <c r="S8346" i="1"/>
  <c r="R8346" i="1"/>
  <c r="Q8346" i="1"/>
  <c r="M8346" i="1"/>
  <c r="L8346" i="1"/>
  <c r="V8345" i="1"/>
  <c r="U8345" i="1"/>
  <c r="T8345" i="1"/>
  <c r="S8345" i="1"/>
  <c r="R8345" i="1"/>
  <c r="Q8345" i="1"/>
  <c r="M8345" i="1"/>
  <c r="L8345" i="1"/>
  <c r="V8344" i="1"/>
  <c r="U8344" i="1"/>
  <c r="T8344" i="1"/>
  <c r="S8344" i="1"/>
  <c r="R8344" i="1"/>
  <c r="Q8344" i="1"/>
  <c r="M8344" i="1"/>
  <c r="L8344" i="1"/>
  <c r="V8343" i="1"/>
  <c r="U8343" i="1"/>
  <c r="T8343" i="1"/>
  <c r="S8343" i="1"/>
  <c r="R8343" i="1"/>
  <c r="Q8343" i="1"/>
  <c r="M8343" i="1"/>
  <c r="L8343" i="1"/>
  <c r="V8342" i="1"/>
  <c r="U8342" i="1"/>
  <c r="T8342" i="1"/>
  <c r="S8342" i="1"/>
  <c r="R8342" i="1"/>
  <c r="Q8342" i="1"/>
  <c r="M8342" i="1"/>
  <c r="L8342" i="1"/>
  <c r="V8341" i="1"/>
  <c r="U8341" i="1"/>
  <c r="T8341" i="1"/>
  <c r="S8341" i="1"/>
  <c r="R8341" i="1"/>
  <c r="Q8341" i="1"/>
  <c r="M8341" i="1"/>
  <c r="L8341" i="1"/>
  <c r="V8340" i="1"/>
  <c r="U8340" i="1"/>
  <c r="T8340" i="1"/>
  <c r="S8340" i="1"/>
  <c r="R8340" i="1"/>
  <c r="Q8340" i="1"/>
  <c r="M8340" i="1"/>
  <c r="L8340" i="1"/>
  <c r="V8339" i="1"/>
  <c r="U8339" i="1"/>
  <c r="T8339" i="1"/>
  <c r="S8339" i="1"/>
  <c r="R8339" i="1"/>
  <c r="Q8339" i="1"/>
  <c r="M8339" i="1"/>
  <c r="L8339" i="1"/>
  <c r="V8338" i="1"/>
  <c r="U8338" i="1"/>
  <c r="T8338" i="1"/>
  <c r="S8338" i="1"/>
  <c r="R8338" i="1"/>
  <c r="Q8338" i="1"/>
  <c r="M8338" i="1"/>
  <c r="L8338" i="1"/>
  <c r="V8337" i="1"/>
  <c r="U8337" i="1"/>
  <c r="T8337" i="1"/>
  <c r="S8337" i="1"/>
  <c r="R8337" i="1"/>
  <c r="Q8337" i="1"/>
  <c r="M8337" i="1"/>
  <c r="L8337" i="1"/>
  <c r="V8336" i="1"/>
  <c r="U8336" i="1"/>
  <c r="T8336" i="1"/>
  <c r="S8336" i="1"/>
  <c r="R8336" i="1"/>
  <c r="Q8336" i="1"/>
  <c r="M8336" i="1"/>
  <c r="L8336" i="1"/>
  <c r="V8335" i="1"/>
  <c r="U8335" i="1"/>
  <c r="T8335" i="1"/>
  <c r="S8335" i="1"/>
  <c r="R8335" i="1"/>
  <c r="Q8335" i="1"/>
  <c r="M8335" i="1"/>
  <c r="L8335" i="1"/>
  <c r="V8334" i="1"/>
  <c r="U8334" i="1"/>
  <c r="T8334" i="1"/>
  <c r="S8334" i="1"/>
  <c r="R8334" i="1"/>
  <c r="Q8334" i="1"/>
  <c r="M8334" i="1"/>
  <c r="L8334" i="1"/>
  <c r="V8333" i="1"/>
  <c r="U8333" i="1"/>
  <c r="T8333" i="1"/>
  <c r="S8333" i="1"/>
  <c r="R8333" i="1"/>
  <c r="Q8333" i="1"/>
  <c r="M8333" i="1"/>
  <c r="L8333" i="1"/>
  <c r="V8332" i="1"/>
  <c r="U8332" i="1"/>
  <c r="T8332" i="1"/>
  <c r="S8332" i="1"/>
  <c r="R8332" i="1"/>
  <c r="Q8332" i="1"/>
  <c r="M8332" i="1"/>
  <c r="L8332" i="1"/>
  <c r="V8331" i="1"/>
  <c r="U8331" i="1"/>
  <c r="T8331" i="1"/>
  <c r="S8331" i="1"/>
  <c r="R8331" i="1"/>
  <c r="Q8331" i="1"/>
  <c r="M8331" i="1"/>
  <c r="L8331" i="1"/>
  <c r="V8330" i="1"/>
  <c r="U8330" i="1"/>
  <c r="T8330" i="1"/>
  <c r="S8330" i="1"/>
  <c r="R8330" i="1"/>
  <c r="Q8330" i="1"/>
  <c r="M8330" i="1"/>
  <c r="L8330" i="1"/>
  <c r="V8329" i="1"/>
  <c r="U8329" i="1"/>
  <c r="T8329" i="1"/>
  <c r="S8329" i="1"/>
  <c r="R8329" i="1"/>
  <c r="Q8329" i="1"/>
  <c r="M8329" i="1"/>
  <c r="L8329" i="1"/>
  <c r="V8328" i="1"/>
  <c r="U8328" i="1"/>
  <c r="T8328" i="1"/>
  <c r="S8328" i="1"/>
  <c r="R8328" i="1"/>
  <c r="Q8328" i="1"/>
  <c r="M8328" i="1"/>
  <c r="L8328" i="1"/>
  <c r="V8327" i="1"/>
  <c r="U8327" i="1"/>
  <c r="T8327" i="1"/>
  <c r="S8327" i="1"/>
  <c r="R8327" i="1"/>
  <c r="Q8327" i="1"/>
  <c r="M8327" i="1"/>
  <c r="L8327" i="1"/>
  <c r="V8326" i="1"/>
  <c r="U8326" i="1"/>
  <c r="T8326" i="1"/>
  <c r="S8326" i="1"/>
  <c r="R8326" i="1"/>
  <c r="Q8326" i="1"/>
  <c r="M8326" i="1"/>
  <c r="L8326" i="1"/>
  <c r="V8325" i="1"/>
  <c r="U8325" i="1"/>
  <c r="T8325" i="1"/>
  <c r="S8325" i="1"/>
  <c r="R8325" i="1"/>
  <c r="Q8325" i="1"/>
  <c r="M8325" i="1"/>
  <c r="L8325" i="1"/>
  <c r="V8324" i="1"/>
  <c r="U8324" i="1"/>
  <c r="T8324" i="1"/>
  <c r="S8324" i="1"/>
  <c r="R8324" i="1"/>
  <c r="Q8324" i="1"/>
  <c r="M8324" i="1"/>
  <c r="L8324" i="1"/>
  <c r="V8323" i="1"/>
  <c r="U8323" i="1"/>
  <c r="T8323" i="1"/>
  <c r="S8323" i="1"/>
  <c r="R8323" i="1"/>
  <c r="Q8323" i="1"/>
  <c r="M8323" i="1"/>
  <c r="L8323" i="1"/>
  <c r="V8322" i="1"/>
  <c r="U8322" i="1"/>
  <c r="T8322" i="1"/>
  <c r="S8322" i="1"/>
  <c r="R8322" i="1"/>
  <c r="Q8322" i="1"/>
  <c r="M8322" i="1"/>
  <c r="L8322" i="1"/>
  <c r="V8321" i="1"/>
  <c r="U8321" i="1"/>
  <c r="T8321" i="1"/>
  <c r="S8321" i="1"/>
  <c r="R8321" i="1"/>
  <c r="Q8321" i="1"/>
  <c r="M8321" i="1"/>
  <c r="L8321" i="1"/>
  <c r="V8320" i="1"/>
  <c r="U8320" i="1"/>
  <c r="T8320" i="1"/>
  <c r="S8320" i="1"/>
  <c r="R8320" i="1"/>
  <c r="Q8320" i="1"/>
  <c r="M8320" i="1"/>
  <c r="L8320" i="1"/>
  <c r="V8319" i="1"/>
  <c r="U8319" i="1"/>
  <c r="T8319" i="1"/>
  <c r="S8319" i="1"/>
  <c r="R8319" i="1"/>
  <c r="Q8319" i="1"/>
  <c r="M8319" i="1"/>
  <c r="L8319" i="1"/>
  <c r="V8318" i="1"/>
  <c r="U8318" i="1"/>
  <c r="T8318" i="1"/>
  <c r="S8318" i="1"/>
  <c r="R8318" i="1"/>
  <c r="Q8318" i="1"/>
  <c r="M8318" i="1"/>
  <c r="L8318" i="1"/>
  <c r="V8317" i="1"/>
  <c r="U8317" i="1"/>
  <c r="T8317" i="1"/>
  <c r="S8317" i="1"/>
  <c r="R8317" i="1"/>
  <c r="Q8317" i="1"/>
  <c r="M8317" i="1"/>
  <c r="L8317" i="1"/>
  <c r="V8316" i="1"/>
  <c r="U8316" i="1"/>
  <c r="T8316" i="1"/>
  <c r="S8316" i="1"/>
  <c r="R8316" i="1"/>
  <c r="Q8316" i="1"/>
  <c r="M8316" i="1"/>
  <c r="L8316" i="1"/>
  <c r="V8315" i="1"/>
  <c r="U8315" i="1"/>
  <c r="T8315" i="1"/>
  <c r="S8315" i="1"/>
  <c r="R8315" i="1"/>
  <c r="Q8315" i="1"/>
  <c r="M8315" i="1"/>
  <c r="L8315" i="1"/>
  <c r="V8314" i="1"/>
  <c r="U8314" i="1"/>
  <c r="T8314" i="1"/>
  <c r="S8314" i="1"/>
  <c r="R8314" i="1"/>
  <c r="Q8314" i="1"/>
  <c r="M8314" i="1"/>
  <c r="L8314" i="1"/>
  <c r="V8313" i="1"/>
  <c r="U8313" i="1"/>
  <c r="T8313" i="1"/>
  <c r="S8313" i="1"/>
  <c r="R8313" i="1"/>
  <c r="Q8313" i="1"/>
  <c r="M8313" i="1"/>
  <c r="L8313" i="1"/>
  <c r="V8312" i="1"/>
  <c r="U8312" i="1"/>
  <c r="T8312" i="1"/>
  <c r="S8312" i="1"/>
  <c r="R8312" i="1"/>
  <c r="Q8312" i="1"/>
  <c r="M8312" i="1"/>
  <c r="L8312" i="1"/>
  <c r="V8311" i="1"/>
  <c r="U8311" i="1"/>
  <c r="T8311" i="1"/>
  <c r="S8311" i="1"/>
  <c r="R8311" i="1"/>
  <c r="Q8311" i="1"/>
  <c r="M8311" i="1"/>
  <c r="L8311" i="1"/>
  <c r="V8310" i="1"/>
  <c r="U8310" i="1"/>
  <c r="T8310" i="1"/>
  <c r="S8310" i="1"/>
  <c r="R8310" i="1"/>
  <c r="Q8310" i="1"/>
  <c r="M8310" i="1"/>
  <c r="L8310" i="1"/>
  <c r="V8309" i="1"/>
  <c r="U8309" i="1"/>
  <c r="T8309" i="1"/>
  <c r="S8309" i="1"/>
  <c r="R8309" i="1"/>
  <c r="Q8309" i="1"/>
  <c r="M8309" i="1"/>
  <c r="L8309" i="1"/>
  <c r="V8308" i="1"/>
  <c r="U8308" i="1"/>
  <c r="T8308" i="1"/>
  <c r="S8308" i="1"/>
  <c r="R8308" i="1"/>
  <c r="Q8308" i="1"/>
  <c r="M8308" i="1"/>
  <c r="L8308" i="1"/>
  <c r="V8307" i="1"/>
  <c r="U8307" i="1"/>
  <c r="T8307" i="1"/>
  <c r="S8307" i="1"/>
  <c r="R8307" i="1"/>
  <c r="Q8307" i="1"/>
  <c r="M8307" i="1"/>
  <c r="L8307" i="1"/>
  <c r="V8306" i="1"/>
  <c r="U8306" i="1"/>
  <c r="T8306" i="1"/>
  <c r="S8306" i="1"/>
  <c r="R8306" i="1"/>
  <c r="Q8306" i="1"/>
  <c r="M8306" i="1"/>
  <c r="L8306" i="1"/>
  <c r="V8305" i="1"/>
  <c r="U8305" i="1"/>
  <c r="T8305" i="1"/>
  <c r="S8305" i="1"/>
  <c r="R8305" i="1"/>
  <c r="Q8305" i="1"/>
  <c r="M8305" i="1"/>
  <c r="L8305" i="1"/>
  <c r="V8304" i="1"/>
  <c r="U8304" i="1"/>
  <c r="T8304" i="1"/>
  <c r="S8304" i="1"/>
  <c r="R8304" i="1"/>
  <c r="Q8304" i="1"/>
  <c r="M8304" i="1"/>
  <c r="L8304" i="1"/>
  <c r="V8303" i="1"/>
  <c r="U8303" i="1"/>
  <c r="T8303" i="1"/>
  <c r="S8303" i="1"/>
  <c r="R8303" i="1"/>
  <c r="Q8303" i="1"/>
  <c r="M8303" i="1"/>
  <c r="L8303" i="1"/>
  <c r="V8302" i="1"/>
  <c r="U8302" i="1"/>
  <c r="T8302" i="1"/>
  <c r="S8302" i="1"/>
  <c r="R8302" i="1"/>
  <c r="Q8302" i="1"/>
  <c r="M8302" i="1"/>
  <c r="L8302" i="1"/>
  <c r="V8301" i="1"/>
  <c r="U8301" i="1"/>
  <c r="T8301" i="1"/>
  <c r="S8301" i="1"/>
  <c r="R8301" i="1"/>
  <c r="Q8301" i="1"/>
  <c r="M8301" i="1"/>
  <c r="L8301" i="1"/>
  <c r="V8300" i="1"/>
  <c r="U8300" i="1"/>
  <c r="T8300" i="1"/>
  <c r="S8300" i="1"/>
  <c r="R8300" i="1"/>
  <c r="Q8300" i="1"/>
  <c r="M8300" i="1"/>
  <c r="L8300" i="1"/>
  <c r="V8299" i="1"/>
  <c r="U8299" i="1"/>
  <c r="T8299" i="1"/>
  <c r="S8299" i="1"/>
  <c r="R8299" i="1"/>
  <c r="Q8299" i="1"/>
  <c r="M8299" i="1"/>
  <c r="L8299" i="1"/>
  <c r="V8298" i="1"/>
  <c r="U8298" i="1"/>
  <c r="T8298" i="1"/>
  <c r="S8298" i="1"/>
  <c r="R8298" i="1"/>
  <c r="Q8298" i="1"/>
  <c r="M8298" i="1"/>
  <c r="L8298" i="1"/>
  <c r="V8297" i="1"/>
  <c r="U8297" i="1"/>
  <c r="T8297" i="1"/>
  <c r="S8297" i="1"/>
  <c r="R8297" i="1"/>
  <c r="Q8297" i="1"/>
  <c r="M8297" i="1"/>
  <c r="L8297" i="1"/>
  <c r="V8296" i="1"/>
  <c r="U8296" i="1"/>
  <c r="T8296" i="1"/>
  <c r="S8296" i="1"/>
  <c r="R8296" i="1"/>
  <c r="Q8296" i="1"/>
  <c r="M8296" i="1"/>
  <c r="L8296" i="1"/>
  <c r="V8295" i="1"/>
  <c r="U8295" i="1"/>
  <c r="T8295" i="1"/>
  <c r="S8295" i="1"/>
  <c r="R8295" i="1"/>
  <c r="Q8295" i="1"/>
  <c r="M8295" i="1"/>
  <c r="L8295" i="1"/>
  <c r="V8294" i="1"/>
  <c r="U8294" i="1"/>
  <c r="T8294" i="1"/>
  <c r="S8294" i="1"/>
  <c r="R8294" i="1"/>
  <c r="Q8294" i="1"/>
  <c r="M8294" i="1"/>
  <c r="L8294" i="1"/>
  <c r="V8293" i="1"/>
  <c r="U8293" i="1"/>
  <c r="T8293" i="1"/>
  <c r="S8293" i="1"/>
  <c r="R8293" i="1"/>
  <c r="Q8293" i="1"/>
  <c r="M8293" i="1"/>
  <c r="L8293" i="1"/>
  <c r="V8292" i="1"/>
  <c r="U8292" i="1"/>
  <c r="T8292" i="1"/>
  <c r="S8292" i="1"/>
  <c r="R8292" i="1"/>
  <c r="Q8292" i="1"/>
  <c r="M8292" i="1"/>
  <c r="L8292" i="1"/>
  <c r="V8291" i="1"/>
  <c r="U8291" i="1"/>
  <c r="T8291" i="1"/>
  <c r="S8291" i="1"/>
  <c r="R8291" i="1"/>
  <c r="Q8291" i="1"/>
  <c r="M8291" i="1"/>
  <c r="L8291" i="1"/>
  <c r="V8290" i="1"/>
  <c r="U8290" i="1"/>
  <c r="T8290" i="1"/>
  <c r="S8290" i="1"/>
  <c r="R8290" i="1"/>
  <c r="Q8290" i="1"/>
  <c r="M8290" i="1"/>
  <c r="L8290" i="1"/>
  <c r="V8289" i="1"/>
  <c r="U8289" i="1"/>
  <c r="T8289" i="1"/>
  <c r="S8289" i="1"/>
  <c r="R8289" i="1"/>
  <c r="Q8289" i="1"/>
  <c r="M8289" i="1"/>
  <c r="L8289" i="1"/>
  <c r="V8288" i="1"/>
  <c r="U8288" i="1"/>
  <c r="T8288" i="1"/>
  <c r="S8288" i="1"/>
  <c r="R8288" i="1"/>
  <c r="Q8288" i="1"/>
  <c r="M8288" i="1"/>
  <c r="L8288" i="1"/>
  <c r="V8287" i="1"/>
  <c r="U8287" i="1"/>
  <c r="T8287" i="1"/>
  <c r="S8287" i="1"/>
  <c r="R8287" i="1"/>
  <c r="Q8287" i="1"/>
  <c r="M8287" i="1"/>
  <c r="L8287" i="1"/>
  <c r="V8286" i="1"/>
  <c r="U8286" i="1"/>
  <c r="T8286" i="1"/>
  <c r="S8286" i="1"/>
  <c r="R8286" i="1"/>
  <c r="Q8286" i="1"/>
  <c r="M8286" i="1"/>
  <c r="L8286" i="1"/>
  <c r="V8285" i="1"/>
  <c r="U8285" i="1"/>
  <c r="T8285" i="1"/>
  <c r="S8285" i="1"/>
  <c r="R8285" i="1"/>
  <c r="Q8285" i="1"/>
  <c r="M8285" i="1"/>
  <c r="L8285" i="1"/>
  <c r="V8284" i="1"/>
  <c r="U8284" i="1"/>
  <c r="T8284" i="1"/>
  <c r="S8284" i="1"/>
  <c r="R8284" i="1"/>
  <c r="Q8284" i="1"/>
  <c r="M8284" i="1"/>
  <c r="L8284" i="1"/>
  <c r="V8283" i="1"/>
  <c r="U8283" i="1"/>
  <c r="T8283" i="1"/>
  <c r="S8283" i="1"/>
  <c r="R8283" i="1"/>
  <c r="Q8283" i="1"/>
  <c r="M8283" i="1"/>
  <c r="L8283" i="1"/>
  <c r="V8282" i="1"/>
  <c r="U8282" i="1"/>
  <c r="T8282" i="1"/>
  <c r="S8282" i="1"/>
  <c r="R8282" i="1"/>
  <c r="Q8282" i="1"/>
  <c r="M8282" i="1"/>
  <c r="L8282" i="1"/>
  <c r="V8281" i="1"/>
  <c r="U8281" i="1"/>
  <c r="T8281" i="1"/>
  <c r="S8281" i="1"/>
  <c r="R8281" i="1"/>
  <c r="Q8281" i="1"/>
  <c r="M8281" i="1"/>
  <c r="L8281" i="1"/>
  <c r="V8280" i="1"/>
  <c r="U8280" i="1"/>
  <c r="T8280" i="1"/>
  <c r="S8280" i="1"/>
  <c r="R8280" i="1"/>
  <c r="Q8280" i="1"/>
  <c r="M8280" i="1"/>
  <c r="L8280" i="1"/>
  <c r="V8279" i="1"/>
  <c r="U8279" i="1"/>
  <c r="T8279" i="1"/>
  <c r="S8279" i="1"/>
  <c r="R8279" i="1"/>
  <c r="Q8279" i="1"/>
  <c r="M8279" i="1"/>
  <c r="L8279" i="1"/>
  <c r="V8278" i="1"/>
  <c r="U8278" i="1"/>
  <c r="T8278" i="1"/>
  <c r="S8278" i="1"/>
  <c r="R8278" i="1"/>
  <c r="Q8278" i="1"/>
  <c r="M8278" i="1"/>
  <c r="L8278" i="1"/>
  <c r="V8277" i="1"/>
  <c r="U8277" i="1"/>
  <c r="T8277" i="1"/>
  <c r="S8277" i="1"/>
  <c r="R8277" i="1"/>
  <c r="Q8277" i="1"/>
  <c r="M8277" i="1"/>
  <c r="L8277" i="1"/>
  <c r="V8276" i="1"/>
  <c r="U8276" i="1"/>
  <c r="T8276" i="1"/>
  <c r="S8276" i="1"/>
  <c r="R8276" i="1"/>
  <c r="Q8276" i="1"/>
  <c r="M8276" i="1"/>
  <c r="L8276" i="1"/>
  <c r="V8275" i="1"/>
  <c r="U8275" i="1"/>
  <c r="T8275" i="1"/>
  <c r="S8275" i="1"/>
  <c r="R8275" i="1"/>
  <c r="Q8275" i="1"/>
  <c r="M8275" i="1"/>
  <c r="L8275" i="1"/>
  <c r="V8274" i="1"/>
  <c r="U8274" i="1"/>
  <c r="T8274" i="1"/>
  <c r="S8274" i="1"/>
  <c r="R8274" i="1"/>
  <c r="Q8274" i="1"/>
  <c r="M8274" i="1"/>
  <c r="L8274" i="1"/>
  <c r="V8273" i="1"/>
  <c r="U8273" i="1"/>
  <c r="T8273" i="1"/>
  <c r="S8273" i="1"/>
  <c r="R8273" i="1"/>
  <c r="Q8273" i="1"/>
  <c r="M8273" i="1"/>
  <c r="L8273" i="1"/>
  <c r="V8272" i="1"/>
  <c r="U8272" i="1"/>
  <c r="T8272" i="1"/>
  <c r="S8272" i="1"/>
  <c r="R8272" i="1"/>
  <c r="Q8272" i="1"/>
  <c r="M8272" i="1"/>
  <c r="L8272" i="1"/>
  <c r="V8271" i="1"/>
  <c r="U8271" i="1"/>
  <c r="T8271" i="1"/>
  <c r="S8271" i="1"/>
  <c r="R8271" i="1"/>
  <c r="Q8271" i="1"/>
  <c r="M8271" i="1"/>
  <c r="L8271" i="1"/>
  <c r="V8270" i="1"/>
  <c r="U8270" i="1"/>
  <c r="T8270" i="1"/>
  <c r="S8270" i="1"/>
  <c r="R8270" i="1"/>
  <c r="Q8270" i="1"/>
  <c r="M8270" i="1"/>
  <c r="L8270" i="1"/>
  <c r="V8269" i="1"/>
  <c r="U8269" i="1"/>
  <c r="T8269" i="1"/>
  <c r="S8269" i="1"/>
  <c r="R8269" i="1"/>
  <c r="Q8269" i="1"/>
  <c r="M8269" i="1"/>
  <c r="L8269" i="1"/>
  <c r="V8268" i="1"/>
  <c r="U8268" i="1"/>
  <c r="T8268" i="1"/>
  <c r="S8268" i="1"/>
  <c r="R8268" i="1"/>
  <c r="Q8268" i="1"/>
  <c r="M8268" i="1"/>
  <c r="L8268" i="1"/>
  <c r="V8267" i="1"/>
  <c r="U8267" i="1"/>
  <c r="T8267" i="1"/>
  <c r="S8267" i="1"/>
  <c r="R8267" i="1"/>
  <c r="Q8267" i="1"/>
  <c r="M8267" i="1"/>
  <c r="L8267" i="1"/>
  <c r="V8266" i="1"/>
  <c r="U8266" i="1"/>
  <c r="T8266" i="1"/>
  <c r="S8266" i="1"/>
  <c r="R8266" i="1"/>
  <c r="Q8266" i="1"/>
  <c r="M8266" i="1"/>
  <c r="L8266" i="1"/>
  <c r="V8265" i="1"/>
  <c r="U8265" i="1"/>
  <c r="T8265" i="1"/>
  <c r="S8265" i="1"/>
  <c r="R8265" i="1"/>
  <c r="Q8265" i="1"/>
  <c r="M8265" i="1"/>
  <c r="L8265" i="1"/>
  <c r="V8264" i="1"/>
  <c r="U8264" i="1"/>
  <c r="T8264" i="1"/>
  <c r="S8264" i="1"/>
  <c r="R8264" i="1"/>
  <c r="Q8264" i="1"/>
  <c r="M8264" i="1"/>
  <c r="L8264" i="1"/>
  <c r="V8263" i="1"/>
  <c r="U8263" i="1"/>
  <c r="T8263" i="1"/>
  <c r="S8263" i="1"/>
  <c r="R8263" i="1"/>
  <c r="Q8263" i="1"/>
  <c r="M8263" i="1"/>
  <c r="L8263" i="1"/>
  <c r="V8262" i="1"/>
  <c r="U8262" i="1"/>
  <c r="T8262" i="1"/>
  <c r="S8262" i="1"/>
  <c r="R8262" i="1"/>
  <c r="Q8262" i="1"/>
  <c r="M8262" i="1"/>
  <c r="L8262" i="1"/>
  <c r="V8261" i="1"/>
  <c r="U8261" i="1"/>
  <c r="T8261" i="1"/>
  <c r="S8261" i="1"/>
  <c r="R8261" i="1"/>
  <c r="Q8261" i="1"/>
  <c r="M8261" i="1"/>
  <c r="L8261" i="1"/>
  <c r="V8260" i="1"/>
  <c r="U8260" i="1"/>
  <c r="T8260" i="1"/>
  <c r="S8260" i="1"/>
  <c r="R8260" i="1"/>
  <c r="Q8260" i="1"/>
  <c r="M8260" i="1"/>
  <c r="L8260" i="1"/>
  <c r="V8259" i="1"/>
  <c r="U8259" i="1"/>
  <c r="T8259" i="1"/>
  <c r="S8259" i="1"/>
  <c r="R8259" i="1"/>
  <c r="Q8259" i="1"/>
  <c r="M8259" i="1"/>
  <c r="L8259" i="1"/>
  <c r="V8258" i="1"/>
  <c r="U8258" i="1"/>
  <c r="T8258" i="1"/>
  <c r="S8258" i="1"/>
  <c r="R8258" i="1"/>
  <c r="Q8258" i="1"/>
  <c r="M8258" i="1"/>
  <c r="L8258" i="1"/>
  <c r="V8257" i="1"/>
  <c r="U8257" i="1"/>
  <c r="T8257" i="1"/>
  <c r="S8257" i="1"/>
  <c r="R8257" i="1"/>
  <c r="Q8257" i="1"/>
  <c r="M8257" i="1"/>
  <c r="L8257" i="1"/>
  <c r="V8256" i="1"/>
  <c r="U8256" i="1"/>
  <c r="T8256" i="1"/>
  <c r="S8256" i="1"/>
  <c r="R8256" i="1"/>
  <c r="Q8256" i="1"/>
  <c r="M8256" i="1"/>
  <c r="L8256" i="1"/>
  <c r="V8255" i="1"/>
  <c r="U8255" i="1"/>
  <c r="T8255" i="1"/>
  <c r="S8255" i="1"/>
  <c r="R8255" i="1"/>
  <c r="Q8255" i="1"/>
  <c r="M8255" i="1"/>
  <c r="L8255" i="1"/>
  <c r="V8254" i="1"/>
  <c r="U8254" i="1"/>
  <c r="T8254" i="1"/>
  <c r="S8254" i="1"/>
  <c r="R8254" i="1"/>
  <c r="Q8254" i="1"/>
  <c r="M8254" i="1"/>
  <c r="L8254" i="1"/>
  <c r="V8253" i="1"/>
  <c r="U8253" i="1"/>
  <c r="T8253" i="1"/>
  <c r="S8253" i="1"/>
  <c r="R8253" i="1"/>
  <c r="Q8253" i="1"/>
  <c r="M8253" i="1"/>
  <c r="L8253" i="1"/>
  <c r="V8252" i="1"/>
  <c r="U8252" i="1"/>
  <c r="T8252" i="1"/>
  <c r="S8252" i="1"/>
  <c r="R8252" i="1"/>
  <c r="Q8252" i="1"/>
  <c r="M8252" i="1"/>
  <c r="L8252" i="1"/>
  <c r="V8251" i="1"/>
  <c r="U8251" i="1"/>
  <c r="T8251" i="1"/>
  <c r="S8251" i="1"/>
  <c r="R8251" i="1"/>
  <c r="Q8251" i="1"/>
  <c r="M8251" i="1"/>
  <c r="L8251" i="1"/>
  <c r="V8250" i="1"/>
  <c r="U8250" i="1"/>
  <c r="T8250" i="1"/>
  <c r="S8250" i="1"/>
  <c r="R8250" i="1"/>
  <c r="Q8250" i="1"/>
  <c r="M8250" i="1"/>
  <c r="L8250" i="1"/>
  <c r="V8249" i="1"/>
  <c r="U8249" i="1"/>
  <c r="T8249" i="1"/>
  <c r="S8249" i="1"/>
  <c r="R8249" i="1"/>
  <c r="Q8249" i="1"/>
  <c r="M8249" i="1"/>
  <c r="L8249" i="1"/>
  <c r="V8248" i="1"/>
  <c r="U8248" i="1"/>
  <c r="T8248" i="1"/>
  <c r="S8248" i="1"/>
  <c r="R8248" i="1"/>
  <c r="Q8248" i="1"/>
  <c r="M8248" i="1"/>
  <c r="L8248" i="1"/>
  <c r="V8247" i="1"/>
  <c r="U8247" i="1"/>
  <c r="T8247" i="1"/>
  <c r="S8247" i="1"/>
  <c r="R8247" i="1"/>
  <c r="Q8247" i="1"/>
  <c r="M8247" i="1"/>
  <c r="L8247" i="1"/>
  <c r="V8246" i="1"/>
  <c r="U8246" i="1"/>
  <c r="T8246" i="1"/>
  <c r="S8246" i="1"/>
  <c r="R8246" i="1"/>
  <c r="Q8246" i="1"/>
  <c r="M8246" i="1"/>
  <c r="L8246" i="1"/>
  <c r="V8245" i="1"/>
  <c r="U8245" i="1"/>
  <c r="T8245" i="1"/>
  <c r="S8245" i="1"/>
  <c r="R8245" i="1"/>
  <c r="Q8245" i="1"/>
  <c r="M8245" i="1"/>
  <c r="L8245" i="1"/>
  <c r="V8244" i="1"/>
  <c r="U8244" i="1"/>
  <c r="T8244" i="1"/>
  <c r="S8244" i="1"/>
  <c r="R8244" i="1"/>
  <c r="Q8244" i="1"/>
  <c r="M8244" i="1"/>
  <c r="L8244" i="1"/>
  <c r="V8243" i="1"/>
  <c r="U8243" i="1"/>
  <c r="T8243" i="1"/>
  <c r="S8243" i="1"/>
  <c r="R8243" i="1"/>
  <c r="Q8243" i="1"/>
  <c r="M8243" i="1"/>
  <c r="L8243" i="1"/>
  <c r="V8242" i="1"/>
  <c r="U8242" i="1"/>
  <c r="T8242" i="1"/>
  <c r="S8242" i="1"/>
  <c r="R8242" i="1"/>
  <c r="Q8242" i="1"/>
  <c r="M8242" i="1"/>
  <c r="L8242" i="1"/>
  <c r="V8241" i="1"/>
  <c r="U8241" i="1"/>
  <c r="T8241" i="1"/>
  <c r="S8241" i="1"/>
  <c r="R8241" i="1"/>
  <c r="Q8241" i="1"/>
  <c r="M8241" i="1"/>
  <c r="L8241" i="1"/>
  <c r="V8240" i="1"/>
  <c r="U8240" i="1"/>
  <c r="T8240" i="1"/>
  <c r="S8240" i="1"/>
  <c r="R8240" i="1"/>
  <c r="Q8240" i="1"/>
  <c r="M8240" i="1"/>
  <c r="L8240" i="1"/>
  <c r="V8239" i="1"/>
  <c r="U8239" i="1"/>
  <c r="T8239" i="1"/>
  <c r="S8239" i="1"/>
  <c r="R8239" i="1"/>
  <c r="Q8239" i="1"/>
  <c r="M8239" i="1"/>
  <c r="L8239" i="1"/>
  <c r="V8238" i="1"/>
  <c r="U8238" i="1"/>
  <c r="T8238" i="1"/>
  <c r="S8238" i="1"/>
  <c r="R8238" i="1"/>
  <c r="Q8238" i="1"/>
  <c r="M8238" i="1"/>
  <c r="L8238" i="1"/>
  <c r="V8237" i="1"/>
  <c r="U8237" i="1"/>
  <c r="T8237" i="1"/>
  <c r="S8237" i="1"/>
  <c r="R8237" i="1"/>
  <c r="Q8237" i="1"/>
  <c r="M8237" i="1"/>
  <c r="L8237" i="1"/>
  <c r="V8236" i="1"/>
  <c r="U8236" i="1"/>
  <c r="T8236" i="1"/>
  <c r="S8236" i="1"/>
  <c r="R8236" i="1"/>
  <c r="Q8236" i="1"/>
  <c r="M8236" i="1"/>
  <c r="L8236" i="1"/>
  <c r="V8235" i="1"/>
  <c r="U8235" i="1"/>
  <c r="T8235" i="1"/>
  <c r="S8235" i="1"/>
  <c r="R8235" i="1"/>
  <c r="Q8235" i="1"/>
  <c r="M8235" i="1"/>
  <c r="L8235" i="1"/>
  <c r="V8234" i="1"/>
  <c r="U8234" i="1"/>
  <c r="T8234" i="1"/>
  <c r="S8234" i="1"/>
  <c r="R8234" i="1"/>
  <c r="Q8234" i="1"/>
  <c r="M8234" i="1"/>
  <c r="L8234" i="1"/>
  <c r="V8233" i="1"/>
  <c r="U8233" i="1"/>
  <c r="T8233" i="1"/>
  <c r="S8233" i="1"/>
  <c r="R8233" i="1"/>
  <c r="Q8233" i="1"/>
  <c r="M8233" i="1"/>
  <c r="L8233" i="1"/>
  <c r="V8232" i="1"/>
  <c r="U8232" i="1"/>
  <c r="T8232" i="1"/>
  <c r="S8232" i="1"/>
  <c r="R8232" i="1"/>
  <c r="Q8232" i="1"/>
  <c r="M8232" i="1"/>
  <c r="L8232" i="1"/>
  <c r="V8231" i="1"/>
  <c r="U8231" i="1"/>
  <c r="T8231" i="1"/>
  <c r="S8231" i="1"/>
  <c r="R8231" i="1"/>
  <c r="Q8231" i="1"/>
  <c r="M8231" i="1"/>
  <c r="L8231" i="1"/>
  <c r="V8230" i="1"/>
  <c r="U8230" i="1"/>
  <c r="T8230" i="1"/>
  <c r="S8230" i="1"/>
  <c r="R8230" i="1"/>
  <c r="Q8230" i="1"/>
  <c r="M8230" i="1"/>
  <c r="L8230" i="1"/>
  <c r="V8229" i="1"/>
  <c r="U8229" i="1"/>
  <c r="T8229" i="1"/>
  <c r="S8229" i="1"/>
  <c r="R8229" i="1"/>
  <c r="Q8229" i="1"/>
  <c r="M8229" i="1"/>
  <c r="L8229" i="1"/>
  <c r="V8228" i="1"/>
  <c r="U8228" i="1"/>
  <c r="T8228" i="1"/>
  <c r="S8228" i="1"/>
  <c r="R8228" i="1"/>
  <c r="Q8228" i="1"/>
  <c r="M8228" i="1"/>
  <c r="L8228" i="1"/>
  <c r="V8227" i="1"/>
  <c r="U8227" i="1"/>
  <c r="T8227" i="1"/>
  <c r="S8227" i="1"/>
  <c r="R8227" i="1"/>
  <c r="Q8227" i="1"/>
  <c r="M8227" i="1"/>
  <c r="L8227" i="1"/>
  <c r="V8226" i="1"/>
  <c r="U8226" i="1"/>
  <c r="T8226" i="1"/>
  <c r="S8226" i="1"/>
  <c r="R8226" i="1"/>
  <c r="Q8226" i="1"/>
  <c r="M8226" i="1"/>
  <c r="L8226" i="1"/>
  <c r="V8225" i="1"/>
  <c r="U8225" i="1"/>
  <c r="T8225" i="1"/>
  <c r="S8225" i="1"/>
  <c r="R8225" i="1"/>
  <c r="Q8225" i="1"/>
  <c r="M8225" i="1"/>
  <c r="L8225" i="1"/>
  <c r="V8224" i="1"/>
  <c r="U8224" i="1"/>
  <c r="T8224" i="1"/>
  <c r="S8224" i="1"/>
  <c r="R8224" i="1"/>
  <c r="Q8224" i="1"/>
  <c r="M8224" i="1"/>
  <c r="L8224" i="1"/>
  <c r="V8223" i="1"/>
  <c r="U8223" i="1"/>
  <c r="T8223" i="1"/>
  <c r="S8223" i="1"/>
  <c r="R8223" i="1"/>
  <c r="Q8223" i="1"/>
  <c r="M8223" i="1"/>
  <c r="L8223" i="1"/>
  <c r="V8222" i="1"/>
  <c r="U8222" i="1"/>
  <c r="T8222" i="1"/>
  <c r="S8222" i="1"/>
  <c r="R8222" i="1"/>
  <c r="Q8222" i="1"/>
  <c r="M8222" i="1"/>
  <c r="L8222" i="1"/>
  <c r="V8221" i="1"/>
  <c r="U8221" i="1"/>
  <c r="T8221" i="1"/>
  <c r="S8221" i="1"/>
  <c r="R8221" i="1"/>
  <c r="Q8221" i="1"/>
  <c r="M8221" i="1"/>
  <c r="L8221" i="1"/>
  <c r="V8220" i="1"/>
  <c r="U8220" i="1"/>
  <c r="T8220" i="1"/>
  <c r="S8220" i="1"/>
  <c r="R8220" i="1"/>
  <c r="Q8220" i="1"/>
  <c r="M8220" i="1"/>
  <c r="L8220" i="1"/>
  <c r="V8219" i="1"/>
  <c r="U8219" i="1"/>
  <c r="T8219" i="1"/>
  <c r="S8219" i="1"/>
  <c r="R8219" i="1"/>
  <c r="Q8219" i="1"/>
  <c r="M8219" i="1"/>
  <c r="L8219" i="1"/>
  <c r="V8218" i="1"/>
  <c r="U8218" i="1"/>
  <c r="T8218" i="1"/>
  <c r="S8218" i="1"/>
  <c r="R8218" i="1"/>
  <c r="Q8218" i="1"/>
  <c r="M8218" i="1"/>
  <c r="L8218" i="1"/>
  <c r="V8217" i="1"/>
  <c r="U8217" i="1"/>
  <c r="T8217" i="1"/>
  <c r="S8217" i="1"/>
  <c r="R8217" i="1"/>
  <c r="Q8217" i="1"/>
  <c r="M8217" i="1"/>
  <c r="L8217" i="1"/>
  <c r="V8216" i="1"/>
  <c r="U8216" i="1"/>
  <c r="T8216" i="1"/>
  <c r="S8216" i="1"/>
  <c r="R8216" i="1"/>
  <c r="Q8216" i="1"/>
  <c r="M8216" i="1"/>
  <c r="L8216" i="1"/>
  <c r="V8215" i="1"/>
  <c r="U8215" i="1"/>
  <c r="T8215" i="1"/>
  <c r="S8215" i="1"/>
  <c r="R8215" i="1"/>
  <c r="Q8215" i="1"/>
  <c r="M8215" i="1"/>
  <c r="L8215" i="1"/>
  <c r="V8214" i="1"/>
  <c r="U8214" i="1"/>
  <c r="T8214" i="1"/>
  <c r="S8214" i="1"/>
  <c r="R8214" i="1"/>
  <c r="Q8214" i="1"/>
  <c r="M8214" i="1"/>
  <c r="L8214" i="1"/>
  <c r="V8213" i="1"/>
  <c r="U8213" i="1"/>
  <c r="T8213" i="1"/>
  <c r="S8213" i="1"/>
  <c r="R8213" i="1"/>
  <c r="Q8213" i="1"/>
  <c r="M8213" i="1"/>
  <c r="L8213" i="1"/>
  <c r="V8212" i="1"/>
  <c r="U8212" i="1"/>
  <c r="T8212" i="1"/>
  <c r="S8212" i="1"/>
  <c r="R8212" i="1"/>
  <c r="Q8212" i="1"/>
  <c r="M8212" i="1"/>
  <c r="L8212" i="1"/>
  <c r="V8211" i="1"/>
  <c r="U8211" i="1"/>
  <c r="T8211" i="1"/>
  <c r="S8211" i="1"/>
  <c r="R8211" i="1"/>
  <c r="Q8211" i="1"/>
  <c r="M8211" i="1"/>
  <c r="L8211" i="1"/>
  <c r="V8210" i="1"/>
  <c r="U8210" i="1"/>
  <c r="T8210" i="1"/>
  <c r="S8210" i="1"/>
  <c r="R8210" i="1"/>
  <c r="Q8210" i="1"/>
  <c r="M8210" i="1"/>
  <c r="L8210" i="1"/>
  <c r="V8209" i="1"/>
  <c r="U8209" i="1"/>
  <c r="T8209" i="1"/>
  <c r="S8209" i="1"/>
  <c r="R8209" i="1"/>
  <c r="Q8209" i="1"/>
  <c r="M8209" i="1"/>
  <c r="L8209" i="1"/>
  <c r="V8208" i="1"/>
  <c r="U8208" i="1"/>
  <c r="T8208" i="1"/>
  <c r="S8208" i="1"/>
  <c r="R8208" i="1"/>
  <c r="Q8208" i="1"/>
  <c r="M8208" i="1"/>
  <c r="L8208" i="1"/>
  <c r="V8207" i="1"/>
  <c r="U8207" i="1"/>
  <c r="T8207" i="1"/>
  <c r="S8207" i="1"/>
  <c r="R8207" i="1"/>
  <c r="Q8207" i="1"/>
  <c r="M8207" i="1"/>
  <c r="L8207" i="1"/>
  <c r="V8206" i="1"/>
  <c r="U8206" i="1"/>
  <c r="T8206" i="1"/>
  <c r="S8206" i="1"/>
  <c r="R8206" i="1"/>
  <c r="Q8206" i="1"/>
  <c r="M8206" i="1"/>
  <c r="L8206" i="1"/>
  <c r="V8205" i="1"/>
  <c r="U8205" i="1"/>
  <c r="T8205" i="1"/>
  <c r="S8205" i="1"/>
  <c r="R8205" i="1"/>
  <c r="Q8205" i="1"/>
  <c r="M8205" i="1"/>
  <c r="L8205" i="1"/>
  <c r="V8204" i="1"/>
  <c r="U8204" i="1"/>
  <c r="T8204" i="1"/>
  <c r="S8204" i="1"/>
  <c r="R8204" i="1"/>
  <c r="Q8204" i="1"/>
  <c r="M8204" i="1"/>
  <c r="L8204" i="1"/>
  <c r="V8203" i="1"/>
  <c r="U8203" i="1"/>
  <c r="T8203" i="1"/>
  <c r="S8203" i="1"/>
  <c r="R8203" i="1"/>
  <c r="Q8203" i="1"/>
  <c r="M8203" i="1"/>
  <c r="L8203" i="1"/>
  <c r="V8202" i="1"/>
  <c r="U8202" i="1"/>
  <c r="T8202" i="1"/>
  <c r="S8202" i="1"/>
  <c r="R8202" i="1"/>
  <c r="Q8202" i="1"/>
  <c r="M8202" i="1"/>
  <c r="L8202" i="1"/>
  <c r="V8201" i="1"/>
  <c r="U8201" i="1"/>
  <c r="T8201" i="1"/>
  <c r="S8201" i="1"/>
  <c r="R8201" i="1"/>
  <c r="Q8201" i="1"/>
  <c r="M8201" i="1"/>
  <c r="L8201" i="1"/>
  <c r="V8200" i="1"/>
  <c r="U8200" i="1"/>
  <c r="T8200" i="1"/>
  <c r="S8200" i="1"/>
  <c r="R8200" i="1"/>
  <c r="Q8200" i="1"/>
  <c r="M8200" i="1"/>
  <c r="L8200" i="1"/>
  <c r="V8199" i="1"/>
  <c r="U8199" i="1"/>
  <c r="T8199" i="1"/>
  <c r="S8199" i="1"/>
  <c r="R8199" i="1"/>
  <c r="Q8199" i="1"/>
  <c r="M8199" i="1"/>
  <c r="L8199" i="1"/>
  <c r="V8198" i="1"/>
  <c r="U8198" i="1"/>
  <c r="T8198" i="1"/>
  <c r="S8198" i="1"/>
  <c r="R8198" i="1"/>
  <c r="Q8198" i="1"/>
  <c r="M8198" i="1"/>
  <c r="L8198" i="1"/>
  <c r="V8197" i="1"/>
  <c r="U8197" i="1"/>
  <c r="T8197" i="1"/>
  <c r="S8197" i="1"/>
  <c r="R8197" i="1"/>
  <c r="Q8197" i="1"/>
  <c r="M8197" i="1"/>
  <c r="L8197" i="1"/>
  <c r="V8196" i="1"/>
  <c r="U8196" i="1"/>
  <c r="T8196" i="1"/>
  <c r="S8196" i="1"/>
  <c r="R8196" i="1"/>
  <c r="Q8196" i="1"/>
  <c r="M8196" i="1"/>
  <c r="L8196" i="1"/>
  <c r="V8195" i="1"/>
  <c r="U8195" i="1"/>
  <c r="T8195" i="1"/>
  <c r="S8195" i="1"/>
  <c r="R8195" i="1"/>
  <c r="Q8195" i="1"/>
  <c r="M8195" i="1"/>
  <c r="L8195" i="1"/>
  <c r="V8194" i="1"/>
  <c r="U8194" i="1"/>
  <c r="T8194" i="1"/>
  <c r="S8194" i="1"/>
  <c r="R8194" i="1"/>
  <c r="Q8194" i="1"/>
  <c r="M8194" i="1"/>
  <c r="L8194" i="1"/>
  <c r="V8193" i="1"/>
  <c r="U8193" i="1"/>
  <c r="T8193" i="1"/>
  <c r="S8193" i="1"/>
  <c r="R8193" i="1"/>
  <c r="Q8193" i="1"/>
  <c r="M8193" i="1"/>
  <c r="L8193" i="1"/>
  <c r="V8192" i="1"/>
  <c r="U8192" i="1"/>
  <c r="T8192" i="1"/>
  <c r="S8192" i="1"/>
  <c r="R8192" i="1"/>
  <c r="Q8192" i="1"/>
  <c r="M8192" i="1"/>
  <c r="L8192" i="1"/>
  <c r="V8191" i="1"/>
  <c r="U8191" i="1"/>
  <c r="T8191" i="1"/>
  <c r="S8191" i="1"/>
  <c r="R8191" i="1"/>
  <c r="Q8191" i="1"/>
  <c r="M8191" i="1"/>
  <c r="L8191" i="1"/>
  <c r="V8190" i="1"/>
  <c r="U8190" i="1"/>
  <c r="T8190" i="1"/>
  <c r="S8190" i="1"/>
  <c r="R8190" i="1"/>
  <c r="Q8190" i="1"/>
  <c r="M8190" i="1"/>
  <c r="L8190" i="1"/>
  <c r="V8189" i="1"/>
  <c r="U8189" i="1"/>
  <c r="T8189" i="1"/>
  <c r="S8189" i="1"/>
  <c r="R8189" i="1"/>
  <c r="Q8189" i="1"/>
  <c r="M8189" i="1"/>
  <c r="L8189" i="1"/>
  <c r="V8188" i="1"/>
  <c r="U8188" i="1"/>
  <c r="T8188" i="1"/>
  <c r="S8188" i="1"/>
  <c r="R8188" i="1"/>
  <c r="Q8188" i="1"/>
  <c r="M8188" i="1"/>
  <c r="L8188" i="1"/>
  <c r="V8187" i="1"/>
  <c r="U8187" i="1"/>
  <c r="T8187" i="1"/>
  <c r="S8187" i="1"/>
  <c r="R8187" i="1"/>
  <c r="Q8187" i="1"/>
  <c r="M8187" i="1"/>
  <c r="L8187" i="1"/>
  <c r="V8186" i="1"/>
  <c r="U8186" i="1"/>
  <c r="T8186" i="1"/>
  <c r="S8186" i="1"/>
  <c r="R8186" i="1"/>
  <c r="Q8186" i="1"/>
  <c r="M8186" i="1"/>
  <c r="L8186" i="1"/>
  <c r="V8185" i="1"/>
  <c r="U8185" i="1"/>
  <c r="T8185" i="1"/>
  <c r="S8185" i="1"/>
  <c r="R8185" i="1"/>
  <c r="Q8185" i="1"/>
  <c r="M8185" i="1"/>
  <c r="L8185" i="1"/>
  <c r="V8184" i="1"/>
  <c r="U8184" i="1"/>
  <c r="T8184" i="1"/>
  <c r="S8184" i="1"/>
  <c r="R8184" i="1"/>
  <c r="Q8184" i="1"/>
  <c r="M8184" i="1"/>
  <c r="L8184" i="1"/>
  <c r="V8183" i="1"/>
  <c r="U8183" i="1"/>
  <c r="T8183" i="1"/>
  <c r="S8183" i="1"/>
  <c r="R8183" i="1"/>
  <c r="Q8183" i="1"/>
  <c r="M8183" i="1"/>
  <c r="L8183" i="1"/>
  <c r="V8182" i="1"/>
  <c r="U8182" i="1"/>
  <c r="T8182" i="1"/>
  <c r="S8182" i="1"/>
  <c r="R8182" i="1"/>
  <c r="Q8182" i="1"/>
  <c r="M8182" i="1"/>
  <c r="L8182" i="1"/>
  <c r="V8181" i="1"/>
  <c r="U8181" i="1"/>
  <c r="T8181" i="1"/>
  <c r="S8181" i="1"/>
  <c r="R8181" i="1"/>
  <c r="Q8181" i="1"/>
  <c r="M8181" i="1"/>
  <c r="L8181" i="1"/>
  <c r="V8180" i="1"/>
  <c r="U8180" i="1"/>
  <c r="T8180" i="1"/>
  <c r="S8180" i="1"/>
  <c r="R8180" i="1"/>
  <c r="Q8180" i="1"/>
  <c r="M8180" i="1"/>
  <c r="L8180" i="1"/>
  <c r="V8179" i="1"/>
  <c r="U8179" i="1"/>
  <c r="T8179" i="1"/>
  <c r="S8179" i="1"/>
  <c r="R8179" i="1"/>
  <c r="Q8179" i="1"/>
  <c r="M8179" i="1"/>
  <c r="L8179" i="1"/>
  <c r="V8178" i="1"/>
  <c r="U8178" i="1"/>
  <c r="T8178" i="1"/>
  <c r="S8178" i="1"/>
  <c r="R8178" i="1"/>
  <c r="Q8178" i="1"/>
  <c r="M8178" i="1"/>
  <c r="L8178" i="1"/>
  <c r="V8177" i="1"/>
  <c r="U8177" i="1"/>
  <c r="T8177" i="1"/>
  <c r="S8177" i="1"/>
  <c r="R8177" i="1"/>
  <c r="Q8177" i="1"/>
  <c r="M8177" i="1"/>
  <c r="L8177" i="1"/>
  <c r="V8176" i="1"/>
  <c r="U8176" i="1"/>
  <c r="T8176" i="1"/>
  <c r="S8176" i="1"/>
  <c r="R8176" i="1"/>
  <c r="Q8176" i="1"/>
  <c r="M8176" i="1"/>
  <c r="L8176" i="1"/>
  <c r="V8175" i="1"/>
  <c r="U8175" i="1"/>
  <c r="T8175" i="1"/>
  <c r="S8175" i="1"/>
  <c r="R8175" i="1"/>
  <c r="Q8175" i="1"/>
  <c r="M8175" i="1"/>
  <c r="L8175" i="1"/>
  <c r="V8174" i="1"/>
  <c r="U8174" i="1"/>
  <c r="T8174" i="1"/>
  <c r="S8174" i="1"/>
  <c r="R8174" i="1"/>
  <c r="Q8174" i="1"/>
  <c r="M8174" i="1"/>
  <c r="L8174" i="1"/>
  <c r="V8173" i="1"/>
  <c r="U8173" i="1"/>
  <c r="T8173" i="1"/>
  <c r="S8173" i="1"/>
  <c r="R8173" i="1"/>
  <c r="Q8173" i="1"/>
  <c r="M8173" i="1"/>
  <c r="L8173" i="1"/>
  <c r="V8172" i="1"/>
  <c r="U8172" i="1"/>
  <c r="T8172" i="1"/>
  <c r="S8172" i="1"/>
  <c r="R8172" i="1"/>
  <c r="Q8172" i="1"/>
  <c r="M8172" i="1"/>
  <c r="L8172" i="1"/>
  <c r="V8171" i="1"/>
  <c r="U8171" i="1"/>
  <c r="T8171" i="1"/>
  <c r="S8171" i="1"/>
  <c r="R8171" i="1"/>
  <c r="Q8171" i="1"/>
  <c r="M8171" i="1"/>
  <c r="L8171" i="1"/>
  <c r="V8170" i="1"/>
  <c r="U8170" i="1"/>
  <c r="T8170" i="1"/>
  <c r="S8170" i="1"/>
  <c r="R8170" i="1"/>
  <c r="Q8170" i="1"/>
  <c r="M8170" i="1"/>
  <c r="L8170" i="1"/>
  <c r="V8169" i="1"/>
  <c r="U8169" i="1"/>
  <c r="T8169" i="1"/>
  <c r="S8169" i="1"/>
  <c r="R8169" i="1"/>
  <c r="Q8169" i="1"/>
  <c r="M8169" i="1"/>
  <c r="L8169" i="1"/>
  <c r="V8168" i="1"/>
  <c r="U8168" i="1"/>
  <c r="T8168" i="1"/>
  <c r="S8168" i="1"/>
  <c r="R8168" i="1"/>
  <c r="Q8168" i="1"/>
  <c r="M8168" i="1"/>
  <c r="L8168" i="1"/>
  <c r="V8167" i="1"/>
  <c r="U8167" i="1"/>
  <c r="T8167" i="1"/>
  <c r="S8167" i="1"/>
  <c r="R8167" i="1"/>
  <c r="Q8167" i="1"/>
  <c r="M8167" i="1"/>
  <c r="L8167" i="1"/>
  <c r="V8166" i="1"/>
  <c r="U8166" i="1"/>
  <c r="T8166" i="1"/>
  <c r="S8166" i="1"/>
  <c r="R8166" i="1"/>
  <c r="Q8166" i="1"/>
  <c r="M8166" i="1"/>
  <c r="L8166" i="1"/>
  <c r="V8165" i="1"/>
  <c r="U8165" i="1"/>
  <c r="T8165" i="1"/>
  <c r="S8165" i="1"/>
  <c r="R8165" i="1"/>
  <c r="Q8165" i="1"/>
  <c r="M8165" i="1"/>
  <c r="L8165" i="1"/>
  <c r="V8164" i="1"/>
  <c r="U8164" i="1"/>
  <c r="T8164" i="1"/>
  <c r="S8164" i="1"/>
  <c r="R8164" i="1"/>
  <c r="Q8164" i="1"/>
  <c r="M8164" i="1"/>
  <c r="L8164" i="1"/>
  <c r="V8163" i="1"/>
  <c r="U8163" i="1"/>
  <c r="T8163" i="1"/>
  <c r="S8163" i="1"/>
  <c r="R8163" i="1"/>
  <c r="Q8163" i="1"/>
  <c r="M8163" i="1"/>
  <c r="L8163" i="1"/>
  <c r="V8162" i="1"/>
  <c r="U8162" i="1"/>
  <c r="T8162" i="1"/>
  <c r="S8162" i="1"/>
  <c r="R8162" i="1"/>
  <c r="Q8162" i="1"/>
  <c r="M8162" i="1"/>
  <c r="L8162" i="1"/>
  <c r="V8161" i="1"/>
  <c r="U8161" i="1"/>
  <c r="T8161" i="1"/>
  <c r="S8161" i="1"/>
  <c r="R8161" i="1"/>
  <c r="Q8161" i="1"/>
  <c r="M8161" i="1"/>
  <c r="L8161" i="1"/>
  <c r="V8160" i="1"/>
  <c r="U8160" i="1"/>
  <c r="T8160" i="1"/>
  <c r="S8160" i="1"/>
  <c r="R8160" i="1"/>
  <c r="Q8160" i="1"/>
  <c r="M8160" i="1"/>
  <c r="L8160" i="1"/>
  <c r="V8159" i="1"/>
  <c r="U8159" i="1"/>
  <c r="T8159" i="1"/>
  <c r="S8159" i="1"/>
  <c r="R8159" i="1"/>
  <c r="Q8159" i="1"/>
  <c r="M8159" i="1"/>
  <c r="L8159" i="1"/>
  <c r="V8158" i="1"/>
  <c r="U8158" i="1"/>
  <c r="T8158" i="1"/>
  <c r="S8158" i="1"/>
  <c r="R8158" i="1"/>
  <c r="Q8158" i="1"/>
  <c r="M8158" i="1"/>
  <c r="L8158" i="1"/>
  <c r="V8157" i="1"/>
  <c r="U8157" i="1"/>
  <c r="T8157" i="1"/>
  <c r="S8157" i="1"/>
  <c r="R8157" i="1"/>
  <c r="Q8157" i="1"/>
  <c r="M8157" i="1"/>
  <c r="L8157" i="1"/>
  <c r="V8156" i="1"/>
  <c r="U8156" i="1"/>
  <c r="T8156" i="1"/>
  <c r="S8156" i="1"/>
  <c r="R8156" i="1"/>
  <c r="Q8156" i="1"/>
  <c r="M8156" i="1"/>
  <c r="L8156" i="1"/>
  <c r="V8155" i="1"/>
  <c r="U8155" i="1"/>
  <c r="T8155" i="1"/>
  <c r="S8155" i="1"/>
  <c r="R8155" i="1"/>
  <c r="Q8155" i="1"/>
  <c r="M8155" i="1"/>
  <c r="L8155" i="1"/>
  <c r="V8154" i="1"/>
  <c r="U8154" i="1"/>
  <c r="T8154" i="1"/>
  <c r="S8154" i="1"/>
  <c r="R8154" i="1"/>
  <c r="Q8154" i="1"/>
  <c r="M8154" i="1"/>
  <c r="L8154" i="1"/>
  <c r="V8153" i="1"/>
  <c r="U8153" i="1"/>
  <c r="T8153" i="1"/>
  <c r="S8153" i="1"/>
  <c r="R8153" i="1"/>
  <c r="Q8153" i="1"/>
  <c r="M8153" i="1"/>
  <c r="L8153" i="1"/>
  <c r="V8152" i="1"/>
  <c r="U8152" i="1"/>
  <c r="T8152" i="1"/>
  <c r="S8152" i="1"/>
  <c r="R8152" i="1"/>
  <c r="Q8152" i="1"/>
  <c r="M8152" i="1"/>
  <c r="L8152" i="1"/>
  <c r="V8151" i="1"/>
  <c r="U8151" i="1"/>
  <c r="T8151" i="1"/>
  <c r="S8151" i="1"/>
  <c r="R8151" i="1"/>
  <c r="Q8151" i="1"/>
  <c r="M8151" i="1"/>
  <c r="L8151" i="1"/>
  <c r="V8150" i="1"/>
  <c r="U8150" i="1"/>
  <c r="T8150" i="1"/>
  <c r="S8150" i="1"/>
  <c r="R8150" i="1"/>
  <c r="Q8150" i="1"/>
  <c r="M8150" i="1"/>
  <c r="L8150" i="1"/>
  <c r="V8149" i="1"/>
  <c r="U8149" i="1"/>
  <c r="T8149" i="1"/>
  <c r="S8149" i="1"/>
  <c r="R8149" i="1"/>
  <c r="Q8149" i="1"/>
  <c r="M8149" i="1"/>
  <c r="L8149" i="1"/>
  <c r="V8148" i="1"/>
  <c r="U8148" i="1"/>
  <c r="T8148" i="1"/>
  <c r="S8148" i="1"/>
  <c r="R8148" i="1"/>
  <c r="Q8148" i="1"/>
  <c r="M8148" i="1"/>
  <c r="L8148" i="1"/>
  <c r="V8147" i="1"/>
  <c r="U8147" i="1"/>
  <c r="T8147" i="1"/>
  <c r="S8147" i="1"/>
  <c r="R8147" i="1"/>
  <c r="Q8147" i="1"/>
  <c r="M8147" i="1"/>
  <c r="L8147" i="1"/>
  <c r="V8146" i="1"/>
  <c r="U8146" i="1"/>
  <c r="T8146" i="1"/>
  <c r="S8146" i="1"/>
  <c r="R8146" i="1"/>
  <c r="Q8146" i="1"/>
  <c r="M8146" i="1"/>
  <c r="L8146" i="1"/>
  <c r="V8145" i="1"/>
  <c r="U8145" i="1"/>
  <c r="T8145" i="1"/>
  <c r="S8145" i="1"/>
  <c r="R8145" i="1"/>
  <c r="Q8145" i="1"/>
  <c r="M8145" i="1"/>
  <c r="L8145" i="1"/>
  <c r="V8144" i="1"/>
  <c r="U8144" i="1"/>
  <c r="T8144" i="1"/>
  <c r="S8144" i="1"/>
  <c r="R8144" i="1"/>
  <c r="Q8144" i="1"/>
  <c r="M8144" i="1"/>
  <c r="L8144" i="1"/>
  <c r="V8143" i="1"/>
  <c r="U8143" i="1"/>
  <c r="T8143" i="1"/>
  <c r="S8143" i="1"/>
  <c r="R8143" i="1"/>
  <c r="Q8143" i="1"/>
  <c r="M8143" i="1"/>
  <c r="L8143" i="1"/>
  <c r="V8142" i="1"/>
  <c r="U8142" i="1"/>
  <c r="T8142" i="1"/>
  <c r="S8142" i="1"/>
  <c r="R8142" i="1"/>
  <c r="Q8142" i="1"/>
  <c r="M8142" i="1"/>
  <c r="L8142" i="1"/>
  <c r="V8141" i="1"/>
  <c r="U8141" i="1"/>
  <c r="T8141" i="1"/>
  <c r="S8141" i="1"/>
  <c r="R8141" i="1"/>
  <c r="Q8141" i="1"/>
  <c r="M8141" i="1"/>
  <c r="L8141" i="1"/>
  <c r="V8140" i="1"/>
  <c r="U8140" i="1"/>
  <c r="T8140" i="1"/>
  <c r="S8140" i="1"/>
  <c r="R8140" i="1"/>
  <c r="Q8140" i="1"/>
  <c r="M8140" i="1"/>
  <c r="L8140" i="1"/>
  <c r="V8139" i="1"/>
  <c r="U8139" i="1"/>
  <c r="T8139" i="1"/>
  <c r="S8139" i="1"/>
  <c r="R8139" i="1"/>
  <c r="Q8139" i="1"/>
  <c r="M8139" i="1"/>
  <c r="L8139" i="1"/>
  <c r="V8138" i="1"/>
  <c r="U8138" i="1"/>
  <c r="T8138" i="1"/>
  <c r="S8138" i="1"/>
  <c r="R8138" i="1"/>
  <c r="Q8138" i="1"/>
  <c r="M8138" i="1"/>
  <c r="L8138" i="1"/>
  <c r="V8137" i="1"/>
  <c r="U8137" i="1"/>
  <c r="T8137" i="1"/>
  <c r="S8137" i="1"/>
  <c r="R8137" i="1"/>
  <c r="Q8137" i="1"/>
  <c r="M8137" i="1"/>
  <c r="L8137" i="1"/>
  <c r="V8136" i="1"/>
  <c r="U8136" i="1"/>
  <c r="T8136" i="1"/>
  <c r="S8136" i="1"/>
  <c r="R8136" i="1"/>
  <c r="Q8136" i="1"/>
  <c r="M8136" i="1"/>
  <c r="L8136" i="1"/>
  <c r="V8135" i="1"/>
  <c r="U8135" i="1"/>
  <c r="T8135" i="1"/>
  <c r="S8135" i="1"/>
  <c r="R8135" i="1"/>
  <c r="Q8135" i="1"/>
  <c r="M8135" i="1"/>
  <c r="L8135" i="1"/>
  <c r="V8134" i="1"/>
  <c r="U8134" i="1"/>
  <c r="T8134" i="1"/>
  <c r="S8134" i="1"/>
  <c r="R8134" i="1"/>
  <c r="Q8134" i="1"/>
  <c r="M8134" i="1"/>
  <c r="L8134" i="1"/>
  <c r="V8133" i="1"/>
  <c r="U8133" i="1"/>
  <c r="T8133" i="1"/>
  <c r="S8133" i="1"/>
  <c r="R8133" i="1"/>
  <c r="Q8133" i="1"/>
  <c r="M8133" i="1"/>
  <c r="L8133" i="1"/>
  <c r="V8132" i="1"/>
  <c r="U8132" i="1"/>
  <c r="T8132" i="1"/>
  <c r="S8132" i="1"/>
  <c r="R8132" i="1"/>
  <c r="Q8132" i="1"/>
  <c r="M8132" i="1"/>
  <c r="L8132" i="1"/>
  <c r="V8131" i="1"/>
  <c r="U8131" i="1"/>
  <c r="T8131" i="1"/>
  <c r="S8131" i="1"/>
  <c r="R8131" i="1"/>
  <c r="Q8131" i="1"/>
  <c r="M8131" i="1"/>
  <c r="L8131" i="1"/>
  <c r="V8130" i="1"/>
  <c r="U8130" i="1"/>
  <c r="T8130" i="1"/>
  <c r="S8130" i="1"/>
  <c r="R8130" i="1"/>
  <c r="Q8130" i="1"/>
  <c r="M8130" i="1"/>
  <c r="L8130" i="1"/>
  <c r="V8129" i="1"/>
  <c r="U8129" i="1"/>
  <c r="T8129" i="1"/>
  <c r="S8129" i="1"/>
  <c r="R8129" i="1"/>
  <c r="Q8129" i="1"/>
  <c r="M8129" i="1"/>
  <c r="L8129" i="1"/>
  <c r="V8128" i="1"/>
  <c r="U8128" i="1"/>
  <c r="T8128" i="1"/>
  <c r="S8128" i="1"/>
  <c r="R8128" i="1"/>
  <c r="Q8128" i="1"/>
  <c r="M8128" i="1"/>
  <c r="L8128" i="1"/>
  <c r="V8127" i="1"/>
  <c r="U8127" i="1"/>
  <c r="T8127" i="1"/>
  <c r="S8127" i="1"/>
  <c r="R8127" i="1"/>
  <c r="Q8127" i="1"/>
  <c r="M8127" i="1"/>
  <c r="L8127" i="1"/>
  <c r="V8126" i="1"/>
  <c r="U8126" i="1"/>
  <c r="T8126" i="1"/>
  <c r="S8126" i="1"/>
  <c r="R8126" i="1"/>
  <c r="Q8126" i="1"/>
  <c r="M8126" i="1"/>
  <c r="L8126" i="1"/>
  <c r="V8125" i="1"/>
  <c r="U8125" i="1"/>
  <c r="T8125" i="1"/>
  <c r="S8125" i="1"/>
  <c r="R8125" i="1"/>
  <c r="Q8125" i="1"/>
  <c r="M8125" i="1"/>
  <c r="L8125" i="1"/>
  <c r="V8124" i="1"/>
  <c r="U8124" i="1"/>
  <c r="T8124" i="1"/>
  <c r="S8124" i="1"/>
  <c r="R8124" i="1"/>
  <c r="Q8124" i="1"/>
  <c r="M8124" i="1"/>
  <c r="L8124" i="1"/>
  <c r="V8123" i="1"/>
  <c r="U8123" i="1"/>
  <c r="T8123" i="1"/>
  <c r="S8123" i="1"/>
  <c r="R8123" i="1"/>
  <c r="Q8123" i="1"/>
  <c r="M8123" i="1"/>
  <c r="L8123" i="1"/>
  <c r="V8122" i="1"/>
  <c r="U8122" i="1"/>
  <c r="T8122" i="1"/>
  <c r="S8122" i="1"/>
  <c r="R8122" i="1"/>
  <c r="Q8122" i="1"/>
  <c r="M8122" i="1"/>
  <c r="L8122" i="1"/>
  <c r="V8121" i="1"/>
  <c r="U8121" i="1"/>
  <c r="T8121" i="1"/>
  <c r="S8121" i="1"/>
  <c r="R8121" i="1"/>
  <c r="Q8121" i="1"/>
  <c r="M8121" i="1"/>
  <c r="L8121" i="1"/>
  <c r="V8120" i="1"/>
  <c r="U8120" i="1"/>
  <c r="T8120" i="1"/>
  <c r="S8120" i="1"/>
  <c r="R8120" i="1"/>
  <c r="Q8120" i="1"/>
  <c r="M8120" i="1"/>
  <c r="L8120" i="1"/>
  <c r="V8119" i="1"/>
  <c r="U8119" i="1"/>
  <c r="T8119" i="1"/>
  <c r="S8119" i="1"/>
  <c r="R8119" i="1"/>
  <c r="Q8119" i="1"/>
  <c r="M8119" i="1"/>
  <c r="L8119" i="1"/>
  <c r="V8118" i="1"/>
  <c r="U8118" i="1"/>
  <c r="T8118" i="1"/>
  <c r="S8118" i="1"/>
  <c r="R8118" i="1"/>
  <c r="Q8118" i="1"/>
  <c r="M8118" i="1"/>
  <c r="L8118" i="1"/>
  <c r="V8117" i="1"/>
  <c r="U8117" i="1"/>
  <c r="T8117" i="1"/>
  <c r="S8117" i="1"/>
  <c r="R8117" i="1"/>
  <c r="Q8117" i="1"/>
  <c r="M8117" i="1"/>
  <c r="L8117" i="1"/>
  <c r="V8116" i="1"/>
  <c r="U8116" i="1"/>
  <c r="T8116" i="1"/>
  <c r="S8116" i="1"/>
  <c r="R8116" i="1"/>
  <c r="Q8116" i="1"/>
  <c r="M8116" i="1"/>
  <c r="L8116" i="1"/>
  <c r="V8115" i="1"/>
  <c r="U8115" i="1"/>
  <c r="T8115" i="1"/>
  <c r="S8115" i="1"/>
  <c r="R8115" i="1"/>
  <c r="Q8115" i="1"/>
  <c r="M8115" i="1"/>
  <c r="L8115" i="1"/>
  <c r="V8114" i="1"/>
  <c r="U8114" i="1"/>
  <c r="T8114" i="1"/>
  <c r="S8114" i="1"/>
  <c r="R8114" i="1"/>
  <c r="Q8114" i="1"/>
  <c r="M8114" i="1"/>
  <c r="L8114" i="1"/>
  <c r="V8113" i="1"/>
  <c r="U8113" i="1"/>
  <c r="T8113" i="1"/>
  <c r="S8113" i="1"/>
  <c r="R8113" i="1"/>
  <c r="Q8113" i="1"/>
  <c r="M8113" i="1"/>
  <c r="L8113" i="1"/>
  <c r="V8112" i="1"/>
  <c r="U8112" i="1"/>
  <c r="T8112" i="1"/>
  <c r="S8112" i="1"/>
  <c r="R8112" i="1"/>
  <c r="Q8112" i="1"/>
  <c r="M8112" i="1"/>
  <c r="L8112" i="1"/>
  <c r="V8111" i="1"/>
  <c r="U8111" i="1"/>
  <c r="T8111" i="1"/>
  <c r="S8111" i="1"/>
  <c r="R8111" i="1"/>
  <c r="Q8111" i="1"/>
  <c r="M8111" i="1"/>
  <c r="L8111" i="1"/>
  <c r="V8110" i="1"/>
  <c r="U8110" i="1"/>
  <c r="T8110" i="1"/>
  <c r="S8110" i="1"/>
  <c r="R8110" i="1"/>
  <c r="Q8110" i="1"/>
  <c r="M8110" i="1"/>
  <c r="L8110" i="1"/>
  <c r="V8109" i="1"/>
  <c r="U8109" i="1"/>
  <c r="T8109" i="1"/>
  <c r="S8109" i="1"/>
  <c r="R8109" i="1"/>
  <c r="Q8109" i="1"/>
  <c r="M8109" i="1"/>
  <c r="L8109" i="1"/>
  <c r="V8108" i="1"/>
  <c r="U8108" i="1"/>
  <c r="T8108" i="1"/>
  <c r="S8108" i="1"/>
  <c r="R8108" i="1"/>
  <c r="Q8108" i="1"/>
  <c r="M8108" i="1"/>
  <c r="L8108" i="1"/>
  <c r="V8107" i="1"/>
  <c r="U8107" i="1"/>
  <c r="T8107" i="1"/>
  <c r="S8107" i="1"/>
  <c r="R8107" i="1"/>
  <c r="Q8107" i="1"/>
  <c r="M8107" i="1"/>
  <c r="L8107" i="1"/>
  <c r="V8106" i="1"/>
  <c r="U8106" i="1"/>
  <c r="T8106" i="1"/>
  <c r="S8106" i="1"/>
  <c r="R8106" i="1"/>
  <c r="Q8106" i="1"/>
  <c r="M8106" i="1"/>
  <c r="L8106" i="1"/>
  <c r="V8105" i="1"/>
  <c r="U8105" i="1"/>
  <c r="T8105" i="1"/>
  <c r="S8105" i="1"/>
  <c r="R8105" i="1"/>
  <c r="Q8105" i="1"/>
  <c r="M8105" i="1"/>
  <c r="L8105" i="1"/>
  <c r="V8104" i="1"/>
  <c r="U8104" i="1"/>
  <c r="T8104" i="1"/>
  <c r="S8104" i="1"/>
  <c r="R8104" i="1"/>
  <c r="Q8104" i="1"/>
  <c r="M8104" i="1"/>
  <c r="L8104" i="1"/>
  <c r="V8103" i="1"/>
  <c r="U8103" i="1"/>
  <c r="T8103" i="1"/>
  <c r="S8103" i="1"/>
  <c r="R8103" i="1"/>
  <c r="Q8103" i="1"/>
  <c r="M8103" i="1"/>
  <c r="L8103" i="1"/>
  <c r="V8102" i="1"/>
  <c r="U8102" i="1"/>
  <c r="T8102" i="1"/>
  <c r="S8102" i="1"/>
  <c r="R8102" i="1"/>
  <c r="Q8102" i="1"/>
  <c r="M8102" i="1"/>
  <c r="L8102" i="1"/>
  <c r="V8101" i="1"/>
  <c r="U8101" i="1"/>
  <c r="T8101" i="1"/>
  <c r="S8101" i="1"/>
  <c r="R8101" i="1"/>
  <c r="Q8101" i="1"/>
  <c r="M8101" i="1"/>
  <c r="L8101" i="1"/>
  <c r="V8100" i="1"/>
  <c r="U8100" i="1"/>
  <c r="T8100" i="1"/>
  <c r="S8100" i="1"/>
  <c r="R8100" i="1"/>
  <c r="Q8100" i="1"/>
  <c r="M8100" i="1"/>
  <c r="L8100" i="1"/>
  <c r="V8099" i="1"/>
  <c r="U8099" i="1"/>
  <c r="T8099" i="1"/>
  <c r="S8099" i="1"/>
  <c r="R8099" i="1"/>
  <c r="Q8099" i="1"/>
  <c r="M8099" i="1"/>
  <c r="L8099" i="1"/>
  <c r="V8098" i="1"/>
  <c r="U8098" i="1"/>
  <c r="T8098" i="1"/>
  <c r="S8098" i="1"/>
  <c r="R8098" i="1"/>
  <c r="Q8098" i="1"/>
  <c r="M8098" i="1"/>
  <c r="L8098" i="1"/>
  <c r="V8097" i="1"/>
  <c r="U8097" i="1"/>
  <c r="T8097" i="1"/>
  <c r="S8097" i="1"/>
  <c r="R8097" i="1"/>
  <c r="Q8097" i="1"/>
  <c r="M8097" i="1"/>
  <c r="L8097" i="1"/>
  <c r="V8096" i="1"/>
  <c r="U8096" i="1"/>
  <c r="T8096" i="1"/>
  <c r="S8096" i="1"/>
  <c r="R8096" i="1"/>
  <c r="Q8096" i="1"/>
  <c r="M8096" i="1"/>
  <c r="L8096" i="1"/>
  <c r="V8095" i="1"/>
  <c r="U8095" i="1"/>
  <c r="T8095" i="1"/>
  <c r="S8095" i="1"/>
  <c r="R8095" i="1"/>
  <c r="Q8095" i="1"/>
  <c r="M8095" i="1"/>
  <c r="L8095" i="1"/>
  <c r="V8094" i="1"/>
  <c r="U8094" i="1"/>
  <c r="T8094" i="1"/>
  <c r="S8094" i="1"/>
  <c r="R8094" i="1"/>
  <c r="Q8094" i="1"/>
  <c r="M8094" i="1"/>
  <c r="L8094" i="1"/>
  <c r="V8093" i="1"/>
  <c r="U8093" i="1"/>
  <c r="T8093" i="1"/>
  <c r="S8093" i="1"/>
  <c r="R8093" i="1"/>
  <c r="Q8093" i="1"/>
  <c r="M8093" i="1"/>
  <c r="L8093" i="1"/>
  <c r="V8092" i="1"/>
  <c r="U8092" i="1"/>
  <c r="T8092" i="1"/>
  <c r="S8092" i="1"/>
  <c r="R8092" i="1"/>
  <c r="Q8092" i="1"/>
  <c r="M8092" i="1"/>
  <c r="L8092" i="1"/>
  <c r="V8091" i="1"/>
  <c r="U8091" i="1"/>
  <c r="T8091" i="1"/>
  <c r="S8091" i="1"/>
  <c r="R8091" i="1"/>
  <c r="Q8091" i="1"/>
  <c r="M8091" i="1"/>
  <c r="L8091" i="1"/>
  <c r="V8090" i="1"/>
  <c r="U8090" i="1"/>
  <c r="T8090" i="1"/>
  <c r="S8090" i="1"/>
  <c r="R8090" i="1"/>
  <c r="Q8090" i="1"/>
  <c r="M8090" i="1"/>
  <c r="L8090" i="1"/>
  <c r="V8089" i="1"/>
  <c r="U8089" i="1"/>
  <c r="T8089" i="1"/>
  <c r="S8089" i="1"/>
  <c r="R8089" i="1"/>
  <c r="Q8089" i="1"/>
  <c r="M8089" i="1"/>
  <c r="L8089" i="1"/>
  <c r="V8088" i="1"/>
  <c r="U8088" i="1"/>
  <c r="T8088" i="1"/>
  <c r="S8088" i="1"/>
  <c r="R8088" i="1"/>
  <c r="Q8088" i="1"/>
  <c r="M8088" i="1"/>
  <c r="L8088" i="1"/>
  <c r="V8087" i="1"/>
  <c r="U8087" i="1"/>
  <c r="T8087" i="1"/>
  <c r="S8087" i="1"/>
  <c r="R8087" i="1"/>
  <c r="Q8087" i="1"/>
  <c r="M8087" i="1"/>
  <c r="L8087" i="1"/>
  <c r="V8086" i="1"/>
  <c r="U8086" i="1"/>
  <c r="T8086" i="1"/>
  <c r="S8086" i="1"/>
  <c r="R8086" i="1"/>
  <c r="Q8086" i="1"/>
  <c r="M8086" i="1"/>
  <c r="L8086" i="1"/>
  <c r="V8085" i="1"/>
  <c r="U8085" i="1"/>
  <c r="T8085" i="1"/>
  <c r="S8085" i="1"/>
  <c r="R8085" i="1"/>
  <c r="Q8085" i="1"/>
  <c r="M8085" i="1"/>
  <c r="L8085" i="1"/>
  <c r="V8084" i="1"/>
  <c r="U8084" i="1"/>
  <c r="T8084" i="1"/>
  <c r="S8084" i="1"/>
  <c r="R8084" i="1"/>
  <c r="Q8084" i="1"/>
  <c r="M8084" i="1"/>
  <c r="L8084" i="1"/>
  <c r="V8083" i="1"/>
  <c r="U8083" i="1"/>
  <c r="T8083" i="1"/>
  <c r="S8083" i="1"/>
  <c r="R8083" i="1"/>
  <c r="Q8083" i="1"/>
  <c r="M8083" i="1"/>
  <c r="L8083" i="1"/>
  <c r="V8082" i="1"/>
  <c r="U8082" i="1"/>
  <c r="T8082" i="1"/>
  <c r="S8082" i="1"/>
  <c r="R8082" i="1"/>
  <c r="Q8082" i="1"/>
  <c r="M8082" i="1"/>
  <c r="L8082" i="1"/>
  <c r="V8081" i="1"/>
  <c r="U8081" i="1"/>
  <c r="T8081" i="1"/>
  <c r="S8081" i="1"/>
  <c r="R8081" i="1"/>
  <c r="Q8081" i="1"/>
  <c r="M8081" i="1"/>
  <c r="L8081" i="1"/>
  <c r="V8080" i="1"/>
  <c r="U8080" i="1"/>
  <c r="T8080" i="1"/>
  <c r="S8080" i="1"/>
  <c r="R8080" i="1"/>
  <c r="Q8080" i="1"/>
  <c r="M8080" i="1"/>
  <c r="L8080" i="1"/>
  <c r="V8079" i="1"/>
  <c r="U8079" i="1"/>
  <c r="T8079" i="1"/>
  <c r="S8079" i="1"/>
  <c r="R8079" i="1"/>
  <c r="Q8079" i="1"/>
  <c r="M8079" i="1"/>
  <c r="L8079" i="1"/>
  <c r="V8078" i="1"/>
  <c r="U8078" i="1"/>
  <c r="T8078" i="1"/>
  <c r="S8078" i="1"/>
  <c r="R8078" i="1"/>
  <c r="Q8078" i="1"/>
  <c r="M8078" i="1"/>
  <c r="L8078" i="1"/>
  <c r="V8077" i="1"/>
  <c r="U8077" i="1"/>
  <c r="T8077" i="1"/>
  <c r="S8077" i="1"/>
  <c r="R8077" i="1"/>
  <c r="Q8077" i="1"/>
  <c r="M8077" i="1"/>
  <c r="L8077" i="1"/>
  <c r="V8076" i="1"/>
  <c r="U8076" i="1"/>
  <c r="T8076" i="1"/>
  <c r="S8076" i="1"/>
  <c r="R8076" i="1"/>
  <c r="Q8076" i="1"/>
  <c r="M8076" i="1"/>
  <c r="L8076" i="1"/>
  <c r="V8075" i="1"/>
  <c r="U8075" i="1"/>
  <c r="T8075" i="1"/>
  <c r="S8075" i="1"/>
  <c r="R8075" i="1"/>
  <c r="Q8075" i="1"/>
  <c r="M8075" i="1"/>
  <c r="L8075" i="1"/>
  <c r="V8074" i="1"/>
  <c r="U8074" i="1"/>
  <c r="T8074" i="1"/>
  <c r="S8074" i="1"/>
  <c r="R8074" i="1"/>
  <c r="Q8074" i="1"/>
  <c r="M8074" i="1"/>
  <c r="L8074" i="1"/>
  <c r="V8073" i="1"/>
  <c r="U8073" i="1"/>
  <c r="T8073" i="1"/>
  <c r="S8073" i="1"/>
  <c r="R8073" i="1"/>
  <c r="Q8073" i="1"/>
  <c r="M8073" i="1"/>
  <c r="L8073" i="1"/>
  <c r="V8072" i="1"/>
  <c r="U8072" i="1"/>
  <c r="T8072" i="1"/>
  <c r="S8072" i="1"/>
  <c r="R8072" i="1"/>
  <c r="Q8072" i="1"/>
  <c r="M8072" i="1"/>
  <c r="L8072" i="1"/>
  <c r="V8071" i="1"/>
  <c r="U8071" i="1"/>
  <c r="T8071" i="1"/>
  <c r="S8071" i="1"/>
  <c r="R8071" i="1"/>
  <c r="Q8071" i="1"/>
  <c r="M8071" i="1"/>
  <c r="L8071" i="1"/>
  <c r="V8070" i="1"/>
  <c r="U8070" i="1"/>
  <c r="T8070" i="1"/>
  <c r="S8070" i="1"/>
  <c r="R8070" i="1"/>
  <c r="Q8070" i="1"/>
  <c r="M8070" i="1"/>
  <c r="L8070" i="1"/>
  <c r="V8069" i="1"/>
  <c r="U8069" i="1"/>
  <c r="T8069" i="1"/>
  <c r="S8069" i="1"/>
  <c r="R8069" i="1"/>
  <c r="Q8069" i="1"/>
  <c r="M8069" i="1"/>
  <c r="L8069" i="1"/>
  <c r="V8068" i="1"/>
  <c r="U8068" i="1"/>
  <c r="T8068" i="1"/>
  <c r="S8068" i="1"/>
  <c r="R8068" i="1"/>
  <c r="Q8068" i="1"/>
  <c r="M8068" i="1"/>
  <c r="L8068" i="1"/>
  <c r="V8067" i="1"/>
  <c r="U8067" i="1"/>
  <c r="T8067" i="1"/>
  <c r="S8067" i="1"/>
  <c r="R8067" i="1"/>
  <c r="Q8067" i="1"/>
  <c r="M8067" i="1"/>
  <c r="L8067" i="1"/>
  <c r="V8066" i="1"/>
  <c r="U8066" i="1"/>
  <c r="T8066" i="1"/>
  <c r="S8066" i="1"/>
  <c r="R8066" i="1"/>
  <c r="Q8066" i="1"/>
  <c r="M8066" i="1"/>
  <c r="L8066" i="1"/>
  <c r="V8065" i="1"/>
  <c r="U8065" i="1"/>
  <c r="T8065" i="1"/>
  <c r="S8065" i="1"/>
  <c r="R8065" i="1"/>
  <c r="Q8065" i="1"/>
  <c r="M8065" i="1"/>
  <c r="L8065" i="1"/>
  <c r="V8064" i="1"/>
  <c r="U8064" i="1"/>
  <c r="T8064" i="1"/>
  <c r="S8064" i="1"/>
  <c r="R8064" i="1"/>
  <c r="Q8064" i="1"/>
  <c r="M8064" i="1"/>
  <c r="L8064" i="1"/>
  <c r="V8063" i="1"/>
  <c r="U8063" i="1"/>
  <c r="T8063" i="1"/>
  <c r="S8063" i="1"/>
  <c r="R8063" i="1"/>
  <c r="Q8063" i="1"/>
  <c r="M8063" i="1"/>
  <c r="L8063" i="1"/>
  <c r="V8062" i="1"/>
  <c r="U8062" i="1"/>
  <c r="T8062" i="1"/>
  <c r="S8062" i="1"/>
  <c r="R8062" i="1"/>
  <c r="Q8062" i="1"/>
  <c r="M8062" i="1"/>
  <c r="L8062" i="1"/>
  <c r="V8061" i="1"/>
  <c r="U8061" i="1"/>
  <c r="T8061" i="1"/>
  <c r="S8061" i="1"/>
  <c r="R8061" i="1"/>
  <c r="Q8061" i="1"/>
  <c r="M8061" i="1"/>
  <c r="L8061" i="1"/>
  <c r="V8060" i="1"/>
  <c r="U8060" i="1"/>
  <c r="T8060" i="1"/>
  <c r="S8060" i="1"/>
  <c r="R8060" i="1"/>
  <c r="Q8060" i="1"/>
  <c r="M8060" i="1"/>
  <c r="L8060" i="1"/>
  <c r="V8059" i="1"/>
  <c r="U8059" i="1"/>
  <c r="T8059" i="1"/>
  <c r="S8059" i="1"/>
  <c r="R8059" i="1"/>
  <c r="Q8059" i="1"/>
  <c r="M8059" i="1"/>
  <c r="L8059" i="1"/>
  <c r="V8058" i="1"/>
  <c r="U8058" i="1"/>
  <c r="T8058" i="1"/>
  <c r="S8058" i="1"/>
  <c r="R8058" i="1"/>
  <c r="Q8058" i="1"/>
  <c r="M8058" i="1"/>
  <c r="L8058" i="1"/>
  <c r="V8057" i="1"/>
  <c r="U8057" i="1"/>
  <c r="T8057" i="1"/>
  <c r="S8057" i="1"/>
  <c r="R8057" i="1"/>
  <c r="Q8057" i="1"/>
  <c r="M8057" i="1"/>
  <c r="L8057" i="1"/>
  <c r="V8056" i="1"/>
  <c r="U8056" i="1"/>
  <c r="T8056" i="1"/>
  <c r="S8056" i="1"/>
  <c r="R8056" i="1"/>
  <c r="Q8056" i="1"/>
  <c r="M8056" i="1"/>
  <c r="L8056" i="1"/>
  <c r="V8055" i="1"/>
  <c r="U8055" i="1"/>
  <c r="T8055" i="1"/>
  <c r="S8055" i="1"/>
  <c r="R8055" i="1"/>
  <c r="Q8055" i="1"/>
  <c r="M8055" i="1"/>
  <c r="L8055" i="1"/>
  <c r="V8054" i="1"/>
  <c r="U8054" i="1"/>
  <c r="T8054" i="1"/>
  <c r="S8054" i="1"/>
  <c r="R8054" i="1"/>
  <c r="Q8054" i="1"/>
  <c r="M8054" i="1"/>
  <c r="L8054" i="1"/>
  <c r="V8053" i="1"/>
  <c r="U8053" i="1"/>
  <c r="T8053" i="1"/>
  <c r="S8053" i="1"/>
  <c r="R8053" i="1"/>
  <c r="Q8053" i="1"/>
  <c r="M8053" i="1"/>
  <c r="L8053" i="1"/>
  <c r="V8052" i="1"/>
  <c r="U8052" i="1"/>
  <c r="T8052" i="1"/>
  <c r="S8052" i="1"/>
  <c r="R8052" i="1"/>
  <c r="Q8052" i="1"/>
  <c r="M8052" i="1"/>
  <c r="L8052" i="1"/>
  <c r="V8051" i="1"/>
  <c r="U8051" i="1"/>
  <c r="T8051" i="1"/>
  <c r="S8051" i="1"/>
  <c r="R8051" i="1"/>
  <c r="Q8051" i="1"/>
  <c r="M8051" i="1"/>
  <c r="L8051" i="1"/>
  <c r="V8050" i="1"/>
  <c r="U8050" i="1"/>
  <c r="T8050" i="1"/>
  <c r="S8050" i="1"/>
  <c r="R8050" i="1"/>
  <c r="Q8050" i="1"/>
  <c r="M8050" i="1"/>
  <c r="L8050" i="1"/>
  <c r="V8049" i="1"/>
  <c r="U8049" i="1"/>
  <c r="T8049" i="1"/>
  <c r="S8049" i="1"/>
  <c r="R8049" i="1"/>
  <c r="Q8049" i="1"/>
  <c r="M8049" i="1"/>
  <c r="L8049" i="1"/>
  <c r="V8048" i="1"/>
  <c r="U8048" i="1"/>
  <c r="T8048" i="1"/>
  <c r="S8048" i="1"/>
  <c r="R8048" i="1"/>
  <c r="Q8048" i="1"/>
  <c r="M8048" i="1"/>
  <c r="L8048" i="1"/>
  <c r="V8047" i="1"/>
  <c r="U8047" i="1"/>
  <c r="T8047" i="1"/>
  <c r="S8047" i="1"/>
  <c r="R8047" i="1"/>
  <c r="Q8047" i="1"/>
  <c r="M8047" i="1"/>
  <c r="L8047" i="1"/>
  <c r="V8046" i="1"/>
  <c r="U8046" i="1"/>
  <c r="T8046" i="1"/>
  <c r="S8046" i="1"/>
  <c r="R8046" i="1"/>
  <c r="Q8046" i="1"/>
  <c r="M8046" i="1"/>
  <c r="L8046" i="1"/>
  <c r="V8045" i="1"/>
  <c r="U8045" i="1"/>
  <c r="T8045" i="1"/>
  <c r="S8045" i="1"/>
  <c r="R8045" i="1"/>
  <c r="Q8045" i="1"/>
  <c r="M8045" i="1"/>
  <c r="L8045" i="1"/>
  <c r="V8044" i="1"/>
  <c r="U8044" i="1"/>
  <c r="T8044" i="1"/>
  <c r="S8044" i="1"/>
  <c r="R8044" i="1"/>
  <c r="Q8044" i="1"/>
  <c r="M8044" i="1"/>
  <c r="L8044" i="1"/>
  <c r="V8043" i="1"/>
  <c r="U8043" i="1"/>
  <c r="T8043" i="1"/>
  <c r="S8043" i="1"/>
  <c r="R8043" i="1"/>
  <c r="Q8043" i="1"/>
  <c r="M8043" i="1"/>
  <c r="L8043" i="1"/>
  <c r="V8042" i="1"/>
  <c r="U8042" i="1"/>
  <c r="T8042" i="1"/>
  <c r="S8042" i="1"/>
  <c r="R8042" i="1"/>
  <c r="Q8042" i="1"/>
  <c r="M8042" i="1"/>
  <c r="L8042" i="1"/>
  <c r="V8041" i="1"/>
  <c r="U8041" i="1"/>
  <c r="T8041" i="1"/>
  <c r="S8041" i="1"/>
  <c r="R8041" i="1"/>
  <c r="Q8041" i="1"/>
  <c r="M8041" i="1"/>
  <c r="L8041" i="1"/>
  <c r="V8040" i="1"/>
  <c r="U8040" i="1"/>
  <c r="T8040" i="1"/>
  <c r="S8040" i="1"/>
  <c r="R8040" i="1"/>
  <c r="Q8040" i="1"/>
  <c r="M8040" i="1"/>
  <c r="L8040" i="1"/>
  <c r="V8039" i="1"/>
  <c r="U8039" i="1"/>
  <c r="T8039" i="1"/>
  <c r="S8039" i="1"/>
  <c r="R8039" i="1"/>
  <c r="Q8039" i="1"/>
  <c r="M8039" i="1"/>
  <c r="L8039" i="1"/>
  <c r="V8038" i="1"/>
  <c r="U8038" i="1"/>
  <c r="T8038" i="1"/>
  <c r="S8038" i="1"/>
  <c r="R8038" i="1"/>
  <c r="Q8038" i="1"/>
  <c r="M8038" i="1"/>
  <c r="L8038" i="1"/>
  <c r="V8037" i="1"/>
  <c r="U8037" i="1"/>
  <c r="T8037" i="1"/>
  <c r="S8037" i="1"/>
  <c r="R8037" i="1"/>
  <c r="Q8037" i="1"/>
  <c r="M8037" i="1"/>
  <c r="L8037" i="1"/>
  <c r="V8036" i="1"/>
  <c r="U8036" i="1"/>
  <c r="T8036" i="1"/>
  <c r="S8036" i="1"/>
  <c r="R8036" i="1"/>
  <c r="Q8036" i="1"/>
  <c r="M8036" i="1"/>
  <c r="L8036" i="1"/>
  <c r="V8035" i="1"/>
  <c r="U8035" i="1"/>
  <c r="T8035" i="1"/>
  <c r="S8035" i="1"/>
  <c r="R8035" i="1"/>
  <c r="Q8035" i="1"/>
  <c r="M8035" i="1"/>
  <c r="L8035" i="1"/>
  <c r="V8034" i="1"/>
  <c r="U8034" i="1"/>
  <c r="T8034" i="1"/>
  <c r="S8034" i="1"/>
  <c r="R8034" i="1"/>
  <c r="Q8034" i="1"/>
  <c r="M8034" i="1"/>
  <c r="L8034" i="1"/>
  <c r="V8033" i="1"/>
  <c r="U8033" i="1"/>
  <c r="T8033" i="1"/>
  <c r="S8033" i="1"/>
  <c r="R8033" i="1"/>
  <c r="Q8033" i="1"/>
  <c r="M8033" i="1"/>
  <c r="L8033" i="1"/>
  <c r="V8032" i="1"/>
  <c r="U8032" i="1"/>
  <c r="T8032" i="1"/>
  <c r="S8032" i="1"/>
  <c r="R8032" i="1"/>
  <c r="Q8032" i="1"/>
  <c r="M8032" i="1"/>
  <c r="L8032" i="1"/>
  <c r="V8031" i="1"/>
  <c r="U8031" i="1"/>
  <c r="T8031" i="1"/>
  <c r="S8031" i="1"/>
  <c r="R8031" i="1"/>
  <c r="Q8031" i="1"/>
  <c r="M8031" i="1"/>
  <c r="L8031" i="1"/>
  <c r="V8030" i="1"/>
  <c r="U8030" i="1"/>
  <c r="T8030" i="1"/>
  <c r="S8030" i="1"/>
  <c r="R8030" i="1"/>
  <c r="Q8030" i="1"/>
  <c r="M8030" i="1"/>
  <c r="L8030" i="1"/>
  <c r="V8029" i="1"/>
  <c r="U8029" i="1"/>
  <c r="T8029" i="1"/>
  <c r="S8029" i="1"/>
  <c r="R8029" i="1"/>
  <c r="Q8029" i="1"/>
  <c r="M8029" i="1"/>
  <c r="L8029" i="1"/>
  <c r="V8028" i="1"/>
  <c r="U8028" i="1"/>
  <c r="T8028" i="1"/>
  <c r="S8028" i="1"/>
  <c r="R8028" i="1"/>
  <c r="Q8028" i="1"/>
  <c r="M8028" i="1"/>
  <c r="L8028" i="1"/>
  <c r="V8027" i="1"/>
  <c r="U8027" i="1"/>
  <c r="T8027" i="1"/>
  <c r="S8027" i="1"/>
  <c r="R8027" i="1"/>
  <c r="Q8027" i="1"/>
  <c r="M8027" i="1"/>
  <c r="L8027" i="1"/>
  <c r="V8026" i="1"/>
  <c r="U8026" i="1"/>
  <c r="T8026" i="1"/>
  <c r="S8026" i="1"/>
  <c r="R8026" i="1"/>
  <c r="Q8026" i="1"/>
  <c r="M8026" i="1"/>
  <c r="L8026" i="1"/>
  <c r="V8025" i="1"/>
  <c r="U8025" i="1"/>
  <c r="T8025" i="1"/>
  <c r="S8025" i="1"/>
  <c r="R8025" i="1"/>
  <c r="Q8025" i="1"/>
  <c r="M8025" i="1"/>
  <c r="L8025" i="1"/>
  <c r="V8024" i="1"/>
  <c r="U8024" i="1"/>
  <c r="T8024" i="1"/>
  <c r="S8024" i="1"/>
  <c r="R8024" i="1"/>
  <c r="Q8024" i="1"/>
  <c r="M8024" i="1"/>
  <c r="L8024" i="1"/>
  <c r="V8023" i="1"/>
  <c r="U8023" i="1"/>
  <c r="T8023" i="1"/>
  <c r="S8023" i="1"/>
  <c r="R8023" i="1"/>
  <c r="Q8023" i="1"/>
  <c r="M8023" i="1"/>
  <c r="L8023" i="1"/>
  <c r="V8022" i="1"/>
  <c r="U8022" i="1"/>
  <c r="T8022" i="1"/>
  <c r="S8022" i="1"/>
  <c r="R8022" i="1"/>
  <c r="Q8022" i="1"/>
  <c r="M8022" i="1"/>
  <c r="L8022" i="1"/>
  <c r="V8021" i="1"/>
  <c r="U8021" i="1"/>
  <c r="T8021" i="1"/>
  <c r="S8021" i="1"/>
  <c r="R8021" i="1"/>
  <c r="Q8021" i="1"/>
  <c r="M8021" i="1"/>
  <c r="L8021" i="1"/>
  <c r="V8020" i="1"/>
  <c r="U8020" i="1"/>
  <c r="T8020" i="1"/>
  <c r="S8020" i="1"/>
  <c r="R8020" i="1"/>
  <c r="Q8020" i="1"/>
  <c r="M8020" i="1"/>
  <c r="L8020" i="1"/>
  <c r="V8019" i="1"/>
  <c r="U8019" i="1"/>
  <c r="T8019" i="1"/>
  <c r="S8019" i="1"/>
  <c r="R8019" i="1"/>
  <c r="Q8019" i="1"/>
  <c r="M8019" i="1"/>
  <c r="L8019" i="1"/>
  <c r="V8018" i="1"/>
  <c r="U8018" i="1"/>
  <c r="T8018" i="1"/>
  <c r="S8018" i="1"/>
  <c r="R8018" i="1"/>
  <c r="Q8018" i="1"/>
  <c r="M8018" i="1"/>
  <c r="L8018" i="1"/>
  <c r="V8017" i="1"/>
  <c r="U8017" i="1"/>
  <c r="T8017" i="1"/>
  <c r="S8017" i="1"/>
  <c r="R8017" i="1"/>
  <c r="Q8017" i="1"/>
  <c r="M8017" i="1"/>
  <c r="L8017" i="1"/>
  <c r="V8016" i="1"/>
  <c r="U8016" i="1"/>
  <c r="T8016" i="1"/>
  <c r="S8016" i="1"/>
  <c r="R8016" i="1"/>
  <c r="Q8016" i="1"/>
  <c r="M8016" i="1"/>
  <c r="L8016" i="1"/>
  <c r="V8015" i="1"/>
  <c r="U8015" i="1"/>
  <c r="T8015" i="1"/>
  <c r="S8015" i="1"/>
  <c r="R8015" i="1"/>
  <c r="Q8015" i="1"/>
  <c r="M8015" i="1"/>
  <c r="L8015" i="1"/>
  <c r="V8014" i="1"/>
  <c r="U8014" i="1"/>
  <c r="T8014" i="1"/>
  <c r="S8014" i="1"/>
  <c r="R8014" i="1"/>
  <c r="Q8014" i="1"/>
  <c r="M8014" i="1"/>
  <c r="L8014" i="1"/>
  <c r="V8013" i="1"/>
  <c r="U8013" i="1"/>
  <c r="T8013" i="1"/>
  <c r="S8013" i="1"/>
  <c r="R8013" i="1"/>
  <c r="Q8013" i="1"/>
  <c r="M8013" i="1"/>
  <c r="L8013" i="1"/>
  <c r="V8012" i="1"/>
  <c r="U8012" i="1"/>
  <c r="T8012" i="1"/>
  <c r="S8012" i="1"/>
  <c r="R8012" i="1"/>
  <c r="Q8012" i="1"/>
  <c r="M8012" i="1"/>
  <c r="L8012" i="1"/>
  <c r="V8011" i="1"/>
  <c r="U8011" i="1"/>
  <c r="T8011" i="1"/>
  <c r="S8011" i="1"/>
  <c r="R8011" i="1"/>
  <c r="Q8011" i="1"/>
  <c r="M8011" i="1"/>
  <c r="L8011" i="1"/>
  <c r="V8010" i="1"/>
  <c r="U8010" i="1"/>
  <c r="T8010" i="1"/>
  <c r="S8010" i="1"/>
  <c r="R8010" i="1"/>
  <c r="Q8010" i="1"/>
  <c r="M8010" i="1"/>
  <c r="L8010" i="1"/>
  <c r="V8009" i="1"/>
  <c r="U8009" i="1"/>
  <c r="T8009" i="1"/>
  <c r="S8009" i="1"/>
  <c r="R8009" i="1"/>
  <c r="Q8009" i="1"/>
  <c r="M8009" i="1"/>
  <c r="L8009" i="1"/>
  <c r="V8008" i="1"/>
  <c r="U8008" i="1"/>
  <c r="T8008" i="1"/>
  <c r="S8008" i="1"/>
  <c r="R8008" i="1"/>
  <c r="Q8008" i="1"/>
  <c r="M8008" i="1"/>
  <c r="L8008" i="1"/>
  <c r="V8007" i="1"/>
  <c r="U8007" i="1"/>
  <c r="T8007" i="1"/>
  <c r="S8007" i="1"/>
  <c r="R8007" i="1"/>
  <c r="Q8007" i="1"/>
  <c r="M8007" i="1"/>
  <c r="L8007" i="1"/>
  <c r="V8006" i="1"/>
  <c r="U8006" i="1"/>
  <c r="T8006" i="1"/>
  <c r="S8006" i="1"/>
  <c r="R8006" i="1"/>
  <c r="Q8006" i="1"/>
  <c r="M8006" i="1"/>
  <c r="L8006" i="1"/>
  <c r="V8005" i="1"/>
  <c r="U8005" i="1"/>
  <c r="T8005" i="1"/>
  <c r="S8005" i="1"/>
  <c r="R8005" i="1"/>
  <c r="Q8005" i="1"/>
  <c r="M8005" i="1"/>
  <c r="L8005" i="1"/>
  <c r="V8004" i="1"/>
  <c r="U8004" i="1"/>
  <c r="T8004" i="1"/>
  <c r="S8004" i="1"/>
  <c r="R8004" i="1"/>
  <c r="Q8004" i="1"/>
  <c r="M8004" i="1"/>
  <c r="L8004" i="1"/>
  <c r="V8003" i="1"/>
  <c r="U8003" i="1"/>
  <c r="T8003" i="1"/>
  <c r="S8003" i="1"/>
  <c r="R8003" i="1"/>
  <c r="Q8003" i="1"/>
  <c r="M8003" i="1"/>
  <c r="L8003" i="1"/>
  <c r="V8002" i="1"/>
  <c r="U8002" i="1"/>
  <c r="T8002" i="1"/>
  <c r="S8002" i="1"/>
  <c r="R8002" i="1"/>
  <c r="Q8002" i="1"/>
  <c r="M8002" i="1"/>
  <c r="L8002" i="1"/>
  <c r="V8001" i="1"/>
  <c r="U8001" i="1"/>
  <c r="T8001" i="1"/>
  <c r="S8001" i="1"/>
  <c r="R8001" i="1"/>
  <c r="Q8001" i="1"/>
  <c r="M8001" i="1"/>
  <c r="L8001" i="1"/>
  <c r="V8000" i="1"/>
  <c r="U8000" i="1"/>
  <c r="T8000" i="1"/>
  <c r="S8000" i="1"/>
  <c r="R8000" i="1"/>
  <c r="Q8000" i="1"/>
  <c r="M8000" i="1"/>
  <c r="L8000" i="1"/>
  <c r="V7999" i="1"/>
  <c r="U7999" i="1"/>
  <c r="T7999" i="1"/>
  <c r="S7999" i="1"/>
  <c r="R7999" i="1"/>
  <c r="Q7999" i="1"/>
  <c r="M7999" i="1"/>
  <c r="L7999" i="1"/>
  <c r="V7998" i="1"/>
  <c r="U7998" i="1"/>
  <c r="T7998" i="1"/>
  <c r="S7998" i="1"/>
  <c r="R7998" i="1"/>
  <c r="Q7998" i="1"/>
  <c r="M7998" i="1"/>
  <c r="L7998" i="1"/>
  <c r="V7997" i="1"/>
  <c r="U7997" i="1"/>
  <c r="T7997" i="1"/>
  <c r="S7997" i="1"/>
  <c r="R7997" i="1"/>
  <c r="Q7997" i="1"/>
  <c r="M7997" i="1"/>
  <c r="L7997" i="1"/>
  <c r="V7996" i="1"/>
  <c r="U7996" i="1"/>
  <c r="T7996" i="1"/>
  <c r="S7996" i="1"/>
  <c r="R7996" i="1"/>
  <c r="Q7996" i="1"/>
  <c r="M7996" i="1"/>
  <c r="L7996" i="1"/>
  <c r="V7995" i="1"/>
  <c r="U7995" i="1"/>
  <c r="T7995" i="1"/>
  <c r="S7995" i="1"/>
  <c r="R7995" i="1"/>
  <c r="Q7995" i="1"/>
  <c r="M7995" i="1"/>
  <c r="L7995" i="1"/>
  <c r="V7994" i="1"/>
  <c r="U7994" i="1"/>
  <c r="T7994" i="1"/>
  <c r="S7994" i="1"/>
  <c r="R7994" i="1"/>
  <c r="Q7994" i="1"/>
  <c r="M7994" i="1"/>
  <c r="L7994" i="1"/>
  <c r="V7993" i="1"/>
  <c r="U7993" i="1"/>
  <c r="T7993" i="1"/>
  <c r="S7993" i="1"/>
  <c r="R7993" i="1"/>
  <c r="Q7993" i="1"/>
  <c r="M7993" i="1"/>
  <c r="L7993" i="1"/>
  <c r="V7992" i="1"/>
  <c r="U7992" i="1"/>
  <c r="T7992" i="1"/>
  <c r="S7992" i="1"/>
  <c r="R7992" i="1"/>
  <c r="Q7992" i="1"/>
  <c r="M7992" i="1"/>
  <c r="L7992" i="1"/>
  <c r="V7991" i="1"/>
  <c r="U7991" i="1"/>
  <c r="T7991" i="1"/>
  <c r="S7991" i="1"/>
  <c r="R7991" i="1"/>
  <c r="Q7991" i="1"/>
  <c r="M7991" i="1"/>
  <c r="L7991" i="1"/>
  <c r="V7990" i="1"/>
  <c r="U7990" i="1"/>
  <c r="T7990" i="1"/>
  <c r="S7990" i="1"/>
  <c r="R7990" i="1"/>
  <c r="Q7990" i="1"/>
  <c r="M7990" i="1"/>
  <c r="L7990" i="1"/>
  <c r="V7989" i="1"/>
  <c r="U7989" i="1"/>
  <c r="T7989" i="1"/>
  <c r="S7989" i="1"/>
  <c r="R7989" i="1"/>
  <c r="Q7989" i="1"/>
  <c r="M7989" i="1"/>
  <c r="L7989" i="1"/>
  <c r="V7988" i="1"/>
  <c r="U7988" i="1"/>
  <c r="T7988" i="1"/>
  <c r="S7988" i="1"/>
  <c r="R7988" i="1"/>
  <c r="Q7988" i="1"/>
  <c r="M7988" i="1"/>
  <c r="L7988" i="1"/>
  <c r="V7987" i="1"/>
  <c r="U7987" i="1"/>
  <c r="T7987" i="1"/>
  <c r="S7987" i="1"/>
  <c r="R7987" i="1"/>
  <c r="Q7987" i="1"/>
  <c r="M7987" i="1"/>
  <c r="L7987" i="1"/>
  <c r="V7986" i="1"/>
  <c r="U7986" i="1"/>
  <c r="T7986" i="1"/>
  <c r="S7986" i="1"/>
  <c r="R7986" i="1"/>
  <c r="Q7986" i="1"/>
  <c r="M7986" i="1"/>
  <c r="L7986" i="1"/>
  <c r="V7985" i="1"/>
  <c r="U7985" i="1"/>
  <c r="T7985" i="1"/>
  <c r="S7985" i="1"/>
  <c r="R7985" i="1"/>
  <c r="Q7985" i="1"/>
  <c r="M7985" i="1"/>
  <c r="L7985" i="1"/>
  <c r="V7984" i="1"/>
  <c r="U7984" i="1"/>
  <c r="T7984" i="1"/>
  <c r="S7984" i="1"/>
  <c r="R7984" i="1"/>
  <c r="Q7984" i="1"/>
  <c r="M7984" i="1"/>
  <c r="L7984" i="1"/>
  <c r="V7983" i="1"/>
  <c r="U7983" i="1"/>
  <c r="T7983" i="1"/>
  <c r="S7983" i="1"/>
  <c r="R7983" i="1"/>
  <c r="Q7983" i="1"/>
  <c r="M7983" i="1"/>
  <c r="L7983" i="1"/>
  <c r="V7982" i="1"/>
  <c r="U7982" i="1"/>
  <c r="T7982" i="1"/>
  <c r="S7982" i="1"/>
  <c r="R7982" i="1"/>
  <c r="Q7982" i="1"/>
  <c r="M7982" i="1"/>
  <c r="L7982" i="1"/>
  <c r="V7981" i="1"/>
  <c r="U7981" i="1"/>
  <c r="T7981" i="1"/>
  <c r="S7981" i="1"/>
  <c r="R7981" i="1"/>
  <c r="Q7981" i="1"/>
  <c r="M7981" i="1"/>
  <c r="L7981" i="1"/>
  <c r="V7980" i="1"/>
  <c r="U7980" i="1"/>
  <c r="T7980" i="1"/>
  <c r="S7980" i="1"/>
  <c r="R7980" i="1"/>
  <c r="Q7980" i="1"/>
  <c r="M7980" i="1"/>
  <c r="L7980" i="1"/>
  <c r="V7979" i="1"/>
  <c r="U7979" i="1"/>
  <c r="T7979" i="1"/>
  <c r="S7979" i="1"/>
  <c r="R7979" i="1"/>
  <c r="Q7979" i="1"/>
  <c r="M7979" i="1"/>
  <c r="L7979" i="1"/>
  <c r="V7978" i="1"/>
  <c r="U7978" i="1"/>
  <c r="T7978" i="1"/>
  <c r="S7978" i="1"/>
  <c r="R7978" i="1"/>
  <c r="Q7978" i="1"/>
  <c r="M7978" i="1"/>
  <c r="L7978" i="1"/>
  <c r="V7977" i="1"/>
  <c r="U7977" i="1"/>
  <c r="T7977" i="1"/>
  <c r="S7977" i="1"/>
  <c r="R7977" i="1"/>
  <c r="Q7977" i="1"/>
  <c r="M7977" i="1"/>
  <c r="L7977" i="1"/>
  <c r="V7976" i="1"/>
  <c r="U7976" i="1"/>
  <c r="T7976" i="1"/>
  <c r="S7976" i="1"/>
  <c r="R7976" i="1"/>
  <c r="Q7976" i="1"/>
  <c r="M7976" i="1"/>
  <c r="L7976" i="1"/>
  <c r="V7975" i="1"/>
  <c r="U7975" i="1"/>
  <c r="T7975" i="1"/>
  <c r="S7975" i="1"/>
  <c r="R7975" i="1"/>
  <c r="Q7975" i="1"/>
  <c r="M7975" i="1"/>
  <c r="L7975" i="1"/>
  <c r="V7974" i="1"/>
  <c r="U7974" i="1"/>
  <c r="T7974" i="1"/>
  <c r="S7974" i="1"/>
  <c r="R7974" i="1"/>
  <c r="Q7974" i="1"/>
  <c r="M7974" i="1"/>
  <c r="L7974" i="1"/>
  <c r="V7973" i="1"/>
  <c r="U7973" i="1"/>
  <c r="T7973" i="1"/>
  <c r="S7973" i="1"/>
  <c r="R7973" i="1"/>
  <c r="Q7973" i="1"/>
  <c r="M7973" i="1"/>
  <c r="L7973" i="1"/>
  <c r="V7972" i="1"/>
  <c r="U7972" i="1"/>
  <c r="T7972" i="1"/>
  <c r="S7972" i="1"/>
  <c r="R7972" i="1"/>
  <c r="Q7972" i="1"/>
  <c r="M7972" i="1"/>
  <c r="L7972" i="1"/>
  <c r="V7971" i="1"/>
  <c r="U7971" i="1"/>
  <c r="T7971" i="1"/>
  <c r="S7971" i="1"/>
  <c r="R7971" i="1"/>
  <c r="Q7971" i="1"/>
  <c r="M7971" i="1"/>
  <c r="L7971" i="1"/>
  <c r="V7970" i="1"/>
  <c r="U7970" i="1"/>
  <c r="T7970" i="1"/>
  <c r="S7970" i="1"/>
  <c r="R7970" i="1"/>
  <c r="Q7970" i="1"/>
  <c r="M7970" i="1"/>
  <c r="L7970" i="1"/>
  <c r="V7969" i="1"/>
  <c r="U7969" i="1"/>
  <c r="T7969" i="1"/>
  <c r="S7969" i="1"/>
  <c r="R7969" i="1"/>
  <c r="Q7969" i="1"/>
  <c r="M7969" i="1"/>
  <c r="L7969" i="1"/>
  <c r="V7968" i="1"/>
  <c r="U7968" i="1"/>
  <c r="T7968" i="1"/>
  <c r="S7968" i="1"/>
  <c r="R7968" i="1"/>
  <c r="Q7968" i="1"/>
  <c r="M7968" i="1"/>
  <c r="L7968" i="1"/>
  <c r="V7967" i="1"/>
  <c r="U7967" i="1"/>
  <c r="T7967" i="1"/>
  <c r="S7967" i="1"/>
  <c r="R7967" i="1"/>
  <c r="Q7967" i="1"/>
  <c r="M7967" i="1"/>
  <c r="L7967" i="1"/>
  <c r="V7966" i="1"/>
  <c r="U7966" i="1"/>
  <c r="T7966" i="1"/>
  <c r="S7966" i="1"/>
  <c r="R7966" i="1"/>
  <c r="Q7966" i="1"/>
  <c r="M7966" i="1"/>
  <c r="L7966" i="1"/>
  <c r="V7965" i="1"/>
  <c r="U7965" i="1"/>
  <c r="T7965" i="1"/>
  <c r="S7965" i="1"/>
  <c r="R7965" i="1"/>
  <c r="Q7965" i="1"/>
  <c r="M7965" i="1"/>
  <c r="L7965" i="1"/>
  <c r="V7964" i="1"/>
  <c r="U7964" i="1"/>
  <c r="T7964" i="1"/>
  <c r="S7964" i="1"/>
  <c r="R7964" i="1"/>
  <c r="Q7964" i="1"/>
  <c r="M7964" i="1"/>
  <c r="L7964" i="1"/>
  <c r="V7963" i="1"/>
  <c r="U7963" i="1"/>
  <c r="T7963" i="1"/>
  <c r="S7963" i="1"/>
  <c r="R7963" i="1"/>
  <c r="Q7963" i="1"/>
  <c r="M7963" i="1"/>
  <c r="L7963" i="1"/>
  <c r="V7962" i="1"/>
  <c r="U7962" i="1"/>
  <c r="T7962" i="1"/>
  <c r="S7962" i="1"/>
  <c r="R7962" i="1"/>
  <c r="Q7962" i="1"/>
  <c r="M7962" i="1"/>
  <c r="L7962" i="1"/>
  <c r="V7961" i="1"/>
  <c r="U7961" i="1"/>
  <c r="T7961" i="1"/>
  <c r="S7961" i="1"/>
  <c r="R7961" i="1"/>
  <c r="Q7961" i="1"/>
  <c r="M7961" i="1"/>
  <c r="L7961" i="1"/>
  <c r="V7960" i="1"/>
  <c r="U7960" i="1"/>
  <c r="T7960" i="1"/>
  <c r="S7960" i="1"/>
  <c r="R7960" i="1"/>
  <c r="Q7960" i="1"/>
  <c r="M7960" i="1"/>
  <c r="L7960" i="1"/>
  <c r="V7959" i="1"/>
  <c r="U7959" i="1"/>
  <c r="T7959" i="1"/>
  <c r="S7959" i="1"/>
  <c r="R7959" i="1"/>
  <c r="Q7959" i="1"/>
  <c r="M7959" i="1"/>
  <c r="L7959" i="1"/>
  <c r="V7958" i="1"/>
  <c r="U7958" i="1"/>
  <c r="T7958" i="1"/>
  <c r="S7958" i="1"/>
  <c r="R7958" i="1"/>
  <c r="Q7958" i="1"/>
  <c r="M7958" i="1"/>
  <c r="L7958" i="1"/>
  <c r="V7957" i="1"/>
  <c r="U7957" i="1"/>
  <c r="T7957" i="1"/>
  <c r="S7957" i="1"/>
  <c r="R7957" i="1"/>
  <c r="Q7957" i="1"/>
  <c r="M7957" i="1"/>
  <c r="L7957" i="1"/>
  <c r="V7956" i="1"/>
  <c r="U7956" i="1"/>
  <c r="T7956" i="1"/>
  <c r="S7956" i="1"/>
  <c r="R7956" i="1"/>
  <c r="Q7956" i="1"/>
  <c r="M7956" i="1"/>
  <c r="L7956" i="1"/>
  <c r="V7955" i="1"/>
  <c r="U7955" i="1"/>
  <c r="T7955" i="1"/>
  <c r="S7955" i="1"/>
  <c r="R7955" i="1"/>
  <c r="Q7955" i="1"/>
  <c r="M7955" i="1"/>
  <c r="L7955" i="1"/>
  <c r="V7954" i="1"/>
  <c r="U7954" i="1"/>
  <c r="T7954" i="1"/>
  <c r="S7954" i="1"/>
  <c r="R7954" i="1"/>
  <c r="Q7954" i="1"/>
  <c r="M7954" i="1"/>
  <c r="L7954" i="1"/>
  <c r="V7953" i="1"/>
  <c r="U7953" i="1"/>
  <c r="T7953" i="1"/>
  <c r="S7953" i="1"/>
  <c r="R7953" i="1"/>
  <c r="Q7953" i="1"/>
  <c r="M7953" i="1"/>
  <c r="L7953" i="1"/>
  <c r="V7952" i="1"/>
  <c r="U7952" i="1"/>
  <c r="T7952" i="1"/>
  <c r="S7952" i="1"/>
  <c r="R7952" i="1"/>
  <c r="Q7952" i="1"/>
  <c r="M7952" i="1"/>
  <c r="L7952" i="1"/>
  <c r="V7951" i="1"/>
  <c r="U7951" i="1"/>
  <c r="T7951" i="1"/>
  <c r="S7951" i="1"/>
  <c r="R7951" i="1"/>
  <c r="Q7951" i="1"/>
  <c r="M7951" i="1"/>
  <c r="L7951" i="1"/>
  <c r="V7950" i="1"/>
  <c r="U7950" i="1"/>
  <c r="T7950" i="1"/>
  <c r="S7950" i="1"/>
  <c r="R7950" i="1"/>
  <c r="Q7950" i="1"/>
  <c r="M7950" i="1"/>
  <c r="L7950" i="1"/>
  <c r="V7949" i="1"/>
  <c r="U7949" i="1"/>
  <c r="T7949" i="1"/>
  <c r="S7949" i="1"/>
  <c r="R7949" i="1"/>
  <c r="Q7949" i="1"/>
  <c r="M7949" i="1"/>
  <c r="L7949" i="1"/>
  <c r="V7948" i="1"/>
  <c r="U7948" i="1"/>
  <c r="T7948" i="1"/>
  <c r="S7948" i="1"/>
  <c r="R7948" i="1"/>
  <c r="Q7948" i="1"/>
  <c r="M7948" i="1"/>
  <c r="L7948" i="1"/>
  <c r="V7947" i="1"/>
  <c r="U7947" i="1"/>
  <c r="T7947" i="1"/>
  <c r="S7947" i="1"/>
  <c r="R7947" i="1"/>
  <c r="Q7947" i="1"/>
  <c r="M7947" i="1"/>
  <c r="L7947" i="1"/>
  <c r="V7946" i="1"/>
  <c r="U7946" i="1"/>
  <c r="T7946" i="1"/>
  <c r="S7946" i="1"/>
  <c r="R7946" i="1"/>
  <c r="Q7946" i="1"/>
  <c r="M7946" i="1"/>
  <c r="L7946" i="1"/>
  <c r="V7945" i="1"/>
  <c r="U7945" i="1"/>
  <c r="T7945" i="1"/>
  <c r="S7945" i="1"/>
  <c r="R7945" i="1"/>
  <c r="Q7945" i="1"/>
  <c r="M7945" i="1"/>
  <c r="L7945" i="1"/>
  <c r="V7944" i="1"/>
  <c r="U7944" i="1"/>
  <c r="T7944" i="1"/>
  <c r="S7944" i="1"/>
  <c r="R7944" i="1"/>
  <c r="Q7944" i="1"/>
  <c r="M7944" i="1"/>
  <c r="L7944" i="1"/>
  <c r="V7943" i="1"/>
  <c r="U7943" i="1"/>
  <c r="T7943" i="1"/>
  <c r="S7943" i="1"/>
  <c r="R7943" i="1"/>
  <c r="Q7943" i="1"/>
  <c r="M7943" i="1"/>
  <c r="L7943" i="1"/>
  <c r="V7942" i="1"/>
  <c r="U7942" i="1"/>
  <c r="T7942" i="1"/>
  <c r="S7942" i="1"/>
  <c r="R7942" i="1"/>
  <c r="Q7942" i="1"/>
  <c r="M7942" i="1"/>
  <c r="L7942" i="1"/>
  <c r="V7941" i="1"/>
  <c r="U7941" i="1"/>
  <c r="T7941" i="1"/>
  <c r="S7941" i="1"/>
  <c r="R7941" i="1"/>
  <c r="Q7941" i="1"/>
  <c r="M7941" i="1"/>
  <c r="L7941" i="1"/>
  <c r="V7940" i="1"/>
  <c r="U7940" i="1"/>
  <c r="T7940" i="1"/>
  <c r="S7940" i="1"/>
  <c r="R7940" i="1"/>
  <c r="Q7940" i="1"/>
  <c r="M7940" i="1"/>
  <c r="L7940" i="1"/>
  <c r="V7939" i="1"/>
  <c r="U7939" i="1"/>
  <c r="T7939" i="1"/>
  <c r="S7939" i="1"/>
  <c r="R7939" i="1"/>
  <c r="Q7939" i="1"/>
  <c r="M7939" i="1"/>
  <c r="L7939" i="1"/>
  <c r="V7938" i="1"/>
  <c r="U7938" i="1"/>
  <c r="T7938" i="1"/>
  <c r="S7938" i="1"/>
  <c r="R7938" i="1"/>
  <c r="Q7938" i="1"/>
  <c r="M7938" i="1"/>
  <c r="L7938" i="1"/>
  <c r="V7937" i="1"/>
  <c r="U7937" i="1"/>
  <c r="T7937" i="1"/>
  <c r="S7937" i="1"/>
  <c r="R7937" i="1"/>
  <c r="Q7937" i="1"/>
  <c r="M7937" i="1"/>
  <c r="L7937" i="1"/>
  <c r="V7936" i="1"/>
  <c r="U7936" i="1"/>
  <c r="T7936" i="1"/>
  <c r="S7936" i="1"/>
  <c r="R7936" i="1"/>
  <c r="Q7936" i="1"/>
  <c r="M7936" i="1"/>
  <c r="L7936" i="1"/>
  <c r="V7935" i="1"/>
  <c r="U7935" i="1"/>
  <c r="T7935" i="1"/>
  <c r="S7935" i="1"/>
  <c r="R7935" i="1"/>
  <c r="Q7935" i="1"/>
  <c r="M7935" i="1"/>
  <c r="L7935" i="1"/>
  <c r="V7934" i="1"/>
  <c r="U7934" i="1"/>
  <c r="T7934" i="1"/>
  <c r="S7934" i="1"/>
  <c r="R7934" i="1"/>
  <c r="Q7934" i="1"/>
  <c r="M7934" i="1"/>
  <c r="L7934" i="1"/>
  <c r="V7933" i="1"/>
  <c r="U7933" i="1"/>
  <c r="T7933" i="1"/>
  <c r="S7933" i="1"/>
  <c r="R7933" i="1"/>
  <c r="Q7933" i="1"/>
  <c r="M7933" i="1"/>
  <c r="L7933" i="1"/>
  <c r="V7932" i="1"/>
  <c r="U7932" i="1"/>
  <c r="T7932" i="1"/>
  <c r="S7932" i="1"/>
  <c r="R7932" i="1"/>
  <c r="Q7932" i="1"/>
  <c r="M7932" i="1"/>
  <c r="L7932" i="1"/>
  <c r="V7931" i="1"/>
  <c r="U7931" i="1"/>
  <c r="T7931" i="1"/>
  <c r="S7931" i="1"/>
  <c r="R7931" i="1"/>
  <c r="Q7931" i="1"/>
  <c r="M7931" i="1"/>
  <c r="L7931" i="1"/>
  <c r="V7930" i="1"/>
  <c r="U7930" i="1"/>
  <c r="T7930" i="1"/>
  <c r="S7930" i="1"/>
  <c r="R7930" i="1"/>
  <c r="Q7930" i="1"/>
  <c r="M7930" i="1"/>
  <c r="L7930" i="1"/>
  <c r="V7929" i="1"/>
  <c r="U7929" i="1"/>
  <c r="T7929" i="1"/>
  <c r="S7929" i="1"/>
  <c r="R7929" i="1"/>
  <c r="Q7929" i="1"/>
  <c r="M7929" i="1"/>
  <c r="L7929" i="1"/>
  <c r="V7928" i="1"/>
  <c r="U7928" i="1"/>
  <c r="T7928" i="1"/>
  <c r="S7928" i="1"/>
  <c r="R7928" i="1"/>
  <c r="Q7928" i="1"/>
  <c r="M7928" i="1"/>
  <c r="L7928" i="1"/>
  <c r="V7927" i="1"/>
  <c r="U7927" i="1"/>
  <c r="T7927" i="1"/>
  <c r="S7927" i="1"/>
  <c r="R7927" i="1"/>
  <c r="Q7927" i="1"/>
  <c r="M7927" i="1"/>
  <c r="L7927" i="1"/>
  <c r="V7926" i="1"/>
  <c r="U7926" i="1"/>
  <c r="T7926" i="1"/>
  <c r="S7926" i="1"/>
  <c r="R7926" i="1"/>
  <c r="Q7926" i="1"/>
  <c r="M7926" i="1"/>
  <c r="L7926" i="1"/>
  <c r="V7925" i="1"/>
  <c r="U7925" i="1"/>
  <c r="T7925" i="1"/>
  <c r="S7925" i="1"/>
  <c r="R7925" i="1"/>
  <c r="Q7925" i="1"/>
  <c r="M7925" i="1"/>
  <c r="L7925" i="1"/>
  <c r="V7924" i="1"/>
  <c r="U7924" i="1"/>
  <c r="T7924" i="1"/>
  <c r="S7924" i="1"/>
  <c r="R7924" i="1"/>
  <c r="Q7924" i="1"/>
  <c r="M7924" i="1"/>
  <c r="L7924" i="1"/>
  <c r="V7923" i="1"/>
  <c r="U7923" i="1"/>
  <c r="T7923" i="1"/>
  <c r="S7923" i="1"/>
  <c r="R7923" i="1"/>
  <c r="Q7923" i="1"/>
  <c r="M7923" i="1"/>
  <c r="L7923" i="1"/>
  <c r="V7922" i="1"/>
  <c r="U7922" i="1"/>
  <c r="T7922" i="1"/>
  <c r="S7922" i="1"/>
  <c r="R7922" i="1"/>
  <c r="Q7922" i="1"/>
  <c r="M7922" i="1"/>
  <c r="L7922" i="1"/>
  <c r="V7921" i="1"/>
  <c r="U7921" i="1"/>
  <c r="T7921" i="1"/>
  <c r="S7921" i="1"/>
  <c r="R7921" i="1"/>
  <c r="Q7921" i="1"/>
  <c r="M7921" i="1"/>
  <c r="L7921" i="1"/>
  <c r="V7920" i="1"/>
  <c r="U7920" i="1"/>
  <c r="T7920" i="1"/>
  <c r="S7920" i="1"/>
  <c r="R7920" i="1"/>
  <c r="Q7920" i="1"/>
  <c r="M7920" i="1"/>
  <c r="L7920" i="1"/>
  <c r="V7919" i="1"/>
  <c r="U7919" i="1"/>
  <c r="T7919" i="1"/>
  <c r="S7919" i="1"/>
  <c r="R7919" i="1"/>
  <c r="Q7919" i="1"/>
  <c r="M7919" i="1"/>
  <c r="L7919" i="1"/>
  <c r="V7918" i="1"/>
  <c r="U7918" i="1"/>
  <c r="T7918" i="1"/>
  <c r="S7918" i="1"/>
  <c r="R7918" i="1"/>
  <c r="Q7918" i="1"/>
  <c r="M7918" i="1"/>
  <c r="L7918" i="1"/>
  <c r="V7917" i="1"/>
  <c r="U7917" i="1"/>
  <c r="T7917" i="1"/>
  <c r="S7917" i="1"/>
  <c r="R7917" i="1"/>
  <c r="Q7917" i="1"/>
  <c r="M7917" i="1"/>
  <c r="L7917" i="1"/>
  <c r="V7916" i="1"/>
  <c r="U7916" i="1"/>
  <c r="T7916" i="1"/>
  <c r="S7916" i="1"/>
  <c r="R7916" i="1"/>
  <c r="Q7916" i="1"/>
  <c r="M7916" i="1"/>
  <c r="L7916" i="1"/>
  <c r="V7915" i="1"/>
  <c r="U7915" i="1"/>
  <c r="T7915" i="1"/>
  <c r="S7915" i="1"/>
  <c r="R7915" i="1"/>
  <c r="Q7915" i="1"/>
  <c r="M7915" i="1"/>
  <c r="L7915" i="1"/>
  <c r="V7914" i="1"/>
  <c r="U7914" i="1"/>
  <c r="T7914" i="1"/>
  <c r="S7914" i="1"/>
  <c r="R7914" i="1"/>
  <c r="Q7914" i="1"/>
  <c r="M7914" i="1"/>
  <c r="L7914" i="1"/>
  <c r="V7913" i="1"/>
  <c r="U7913" i="1"/>
  <c r="T7913" i="1"/>
  <c r="S7913" i="1"/>
  <c r="R7913" i="1"/>
  <c r="Q7913" i="1"/>
  <c r="M7913" i="1"/>
  <c r="L7913" i="1"/>
  <c r="V7912" i="1"/>
  <c r="U7912" i="1"/>
  <c r="T7912" i="1"/>
  <c r="S7912" i="1"/>
  <c r="R7912" i="1"/>
  <c r="Q7912" i="1"/>
  <c r="M7912" i="1"/>
  <c r="L7912" i="1"/>
  <c r="V7911" i="1"/>
  <c r="U7911" i="1"/>
  <c r="T7911" i="1"/>
  <c r="S7911" i="1"/>
  <c r="R7911" i="1"/>
  <c r="Q7911" i="1"/>
  <c r="M7911" i="1"/>
  <c r="L7911" i="1"/>
  <c r="V7910" i="1"/>
  <c r="U7910" i="1"/>
  <c r="T7910" i="1"/>
  <c r="S7910" i="1"/>
  <c r="R7910" i="1"/>
  <c r="Q7910" i="1"/>
  <c r="M7910" i="1"/>
  <c r="L7910" i="1"/>
  <c r="V7909" i="1"/>
  <c r="U7909" i="1"/>
  <c r="T7909" i="1"/>
  <c r="S7909" i="1"/>
  <c r="R7909" i="1"/>
  <c r="Q7909" i="1"/>
  <c r="M7909" i="1"/>
  <c r="L7909" i="1"/>
  <c r="V7908" i="1"/>
  <c r="U7908" i="1"/>
  <c r="T7908" i="1"/>
  <c r="S7908" i="1"/>
  <c r="R7908" i="1"/>
  <c r="Q7908" i="1"/>
  <c r="M7908" i="1"/>
  <c r="L7908" i="1"/>
  <c r="V7907" i="1"/>
  <c r="U7907" i="1"/>
  <c r="T7907" i="1"/>
  <c r="S7907" i="1"/>
  <c r="R7907" i="1"/>
  <c r="Q7907" i="1"/>
  <c r="M7907" i="1"/>
  <c r="L7907" i="1"/>
  <c r="V7906" i="1"/>
  <c r="U7906" i="1"/>
  <c r="T7906" i="1"/>
  <c r="S7906" i="1"/>
  <c r="R7906" i="1"/>
  <c r="Q7906" i="1"/>
  <c r="M7906" i="1"/>
  <c r="L7906" i="1"/>
  <c r="V7905" i="1"/>
  <c r="U7905" i="1"/>
  <c r="T7905" i="1"/>
  <c r="S7905" i="1"/>
  <c r="R7905" i="1"/>
  <c r="Q7905" i="1"/>
  <c r="M7905" i="1"/>
  <c r="L7905" i="1"/>
  <c r="V7904" i="1"/>
  <c r="U7904" i="1"/>
  <c r="T7904" i="1"/>
  <c r="S7904" i="1"/>
  <c r="R7904" i="1"/>
  <c r="Q7904" i="1"/>
  <c r="M7904" i="1"/>
  <c r="L7904" i="1"/>
  <c r="V7903" i="1"/>
  <c r="U7903" i="1"/>
  <c r="T7903" i="1"/>
  <c r="S7903" i="1"/>
  <c r="R7903" i="1"/>
  <c r="Q7903" i="1"/>
  <c r="M7903" i="1"/>
  <c r="L7903" i="1"/>
  <c r="V7902" i="1"/>
  <c r="U7902" i="1"/>
  <c r="T7902" i="1"/>
  <c r="S7902" i="1"/>
  <c r="R7902" i="1"/>
  <c r="Q7902" i="1"/>
  <c r="M7902" i="1"/>
  <c r="L7902" i="1"/>
  <c r="V7901" i="1"/>
  <c r="U7901" i="1"/>
  <c r="T7901" i="1"/>
  <c r="S7901" i="1"/>
  <c r="R7901" i="1"/>
  <c r="Q7901" i="1"/>
  <c r="M7901" i="1"/>
  <c r="L7901" i="1"/>
  <c r="V7900" i="1"/>
  <c r="U7900" i="1"/>
  <c r="T7900" i="1"/>
  <c r="S7900" i="1"/>
  <c r="R7900" i="1"/>
  <c r="Q7900" i="1"/>
  <c r="M7900" i="1"/>
  <c r="L7900" i="1"/>
  <c r="V7899" i="1"/>
  <c r="U7899" i="1"/>
  <c r="T7899" i="1"/>
  <c r="S7899" i="1"/>
  <c r="R7899" i="1"/>
  <c r="Q7899" i="1"/>
  <c r="M7899" i="1"/>
  <c r="L7899" i="1"/>
  <c r="V7898" i="1"/>
  <c r="U7898" i="1"/>
  <c r="T7898" i="1"/>
  <c r="S7898" i="1"/>
  <c r="R7898" i="1"/>
  <c r="Q7898" i="1"/>
  <c r="M7898" i="1"/>
  <c r="L7898" i="1"/>
  <c r="V7897" i="1"/>
  <c r="U7897" i="1"/>
  <c r="T7897" i="1"/>
  <c r="S7897" i="1"/>
  <c r="R7897" i="1"/>
  <c r="Q7897" i="1"/>
  <c r="M7897" i="1"/>
  <c r="L7897" i="1"/>
  <c r="V7896" i="1"/>
  <c r="U7896" i="1"/>
  <c r="T7896" i="1"/>
  <c r="S7896" i="1"/>
  <c r="R7896" i="1"/>
  <c r="Q7896" i="1"/>
  <c r="M7896" i="1"/>
  <c r="L7896" i="1"/>
  <c r="V7895" i="1"/>
  <c r="U7895" i="1"/>
  <c r="T7895" i="1"/>
  <c r="S7895" i="1"/>
  <c r="R7895" i="1"/>
  <c r="Q7895" i="1"/>
  <c r="M7895" i="1"/>
  <c r="L7895" i="1"/>
  <c r="V7894" i="1"/>
  <c r="U7894" i="1"/>
  <c r="T7894" i="1"/>
  <c r="S7894" i="1"/>
  <c r="R7894" i="1"/>
  <c r="Q7894" i="1"/>
  <c r="M7894" i="1"/>
  <c r="L7894" i="1"/>
  <c r="V7893" i="1"/>
  <c r="U7893" i="1"/>
  <c r="T7893" i="1"/>
  <c r="S7893" i="1"/>
  <c r="R7893" i="1"/>
  <c r="Q7893" i="1"/>
  <c r="M7893" i="1"/>
  <c r="L7893" i="1"/>
  <c r="V7892" i="1"/>
  <c r="U7892" i="1"/>
  <c r="T7892" i="1"/>
  <c r="S7892" i="1"/>
  <c r="R7892" i="1"/>
  <c r="Q7892" i="1"/>
  <c r="M7892" i="1"/>
  <c r="L7892" i="1"/>
  <c r="V7891" i="1"/>
  <c r="U7891" i="1"/>
  <c r="T7891" i="1"/>
  <c r="S7891" i="1"/>
  <c r="R7891" i="1"/>
  <c r="Q7891" i="1"/>
  <c r="M7891" i="1"/>
  <c r="L7891" i="1"/>
  <c r="V7890" i="1"/>
  <c r="U7890" i="1"/>
  <c r="T7890" i="1"/>
  <c r="S7890" i="1"/>
  <c r="R7890" i="1"/>
  <c r="Q7890" i="1"/>
  <c r="M7890" i="1"/>
  <c r="L7890" i="1"/>
  <c r="V7889" i="1"/>
  <c r="U7889" i="1"/>
  <c r="T7889" i="1"/>
  <c r="S7889" i="1"/>
  <c r="R7889" i="1"/>
  <c r="Q7889" i="1"/>
  <c r="M7889" i="1"/>
  <c r="L7889" i="1"/>
  <c r="V7888" i="1"/>
  <c r="U7888" i="1"/>
  <c r="T7888" i="1"/>
  <c r="S7888" i="1"/>
  <c r="R7888" i="1"/>
  <c r="Q7888" i="1"/>
  <c r="M7888" i="1"/>
  <c r="L7888" i="1"/>
  <c r="V7887" i="1"/>
  <c r="U7887" i="1"/>
  <c r="T7887" i="1"/>
  <c r="S7887" i="1"/>
  <c r="R7887" i="1"/>
  <c r="Q7887" i="1"/>
  <c r="M7887" i="1"/>
  <c r="L7887" i="1"/>
  <c r="V7886" i="1"/>
  <c r="U7886" i="1"/>
  <c r="T7886" i="1"/>
  <c r="S7886" i="1"/>
  <c r="R7886" i="1"/>
  <c r="Q7886" i="1"/>
  <c r="M7886" i="1"/>
  <c r="L7886" i="1"/>
  <c r="V7885" i="1"/>
  <c r="U7885" i="1"/>
  <c r="T7885" i="1"/>
  <c r="S7885" i="1"/>
  <c r="R7885" i="1"/>
  <c r="Q7885" i="1"/>
  <c r="M7885" i="1"/>
  <c r="L7885" i="1"/>
  <c r="V7884" i="1"/>
  <c r="U7884" i="1"/>
  <c r="T7884" i="1"/>
  <c r="S7884" i="1"/>
  <c r="R7884" i="1"/>
  <c r="Q7884" i="1"/>
  <c r="M7884" i="1"/>
  <c r="L7884" i="1"/>
  <c r="V7883" i="1"/>
  <c r="U7883" i="1"/>
  <c r="T7883" i="1"/>
  <c r="S7883" i="1"/>
  <c r="R7883" i="1"/>
  <c r="Q7883" i="1"/>
  <c r="M7883" i="1"/>
  <c r="L7883" i="1"/>
  <c r="V7882" i="1"/>
  <c r="U7882" i="1"/>
  <c r="T7882" i="1"/>
  <c r="S7882" i="1"/>
  <c r="R7882" i="1"/>
  <c r="Q7882" i="1"/>
  <c r="M7882" i="1"/>
  <c r="L7882" i="1"/>
  <c r="V7881" i="1"/>
  <c r="U7881" i="1"/>
  <c r="T7881" i="1"/>
  <c r="S7881" i="1"/>
  <c r="R7881" i="1"/>
  <c r="Q7881" i="1"/>
  <c r="M7881" i="1"/>
  <c r="L7881" i="1"/>
  <c r="V7880" i="1"/>
  <c r="U7880" i="1"/>
  <c r="T7880" i="1"/>
  <c r="S7880" i="1"/>
  <c r="R7880" i="1"/>
  <c r="Q7880" i="1"/>
  <c r="M7880" i="1"/>
  <c r="L7880" i="1"/>
  <c r="V7879" i="1"/>
  <c r="U7879" i="1"/>
  <c r="T7879" i="1"/>
  <c r="S7879" i="1"/>
  <c r="R7879" i="1"/>
  <c r="Q7879" i="1"/>
  <c r="M7879" i="1"/>
  <c r="L7879" i="1"/>
  <c r="V7878" i="1"/>
  <c r="U7878" i="1"/>
  <c r="T7878" i="1"/>
  <c r="S7878" i="1"/>
  <c r="R7878" i="1"/>
  <c r="Q7878" i="1"/>
  <c r="M7878" i="1"/>
  <c r="L7878" i="1"/>
  <c r="V7877" i="1"/>
  <c r="U7877" i="1"/>
  <c r="T7877" i="1"/>
  <c r="S7877" i="1"/>
  <c r="R7877" i="1"/>
  <c r="Q7877" i="1"/>
  <c r="M7877" i="1"/>
  <c r="L7877" i="1"/>
  <c r="V7876" i="1"/>
  <c r="U7876" i="1"/>
  <c r="T7876" i="1"/>
  <c r="S7876" i="1"/>
  <c r="R7876" i="1"/>
  <c r="Q7876" i="1"/>
  <c r="M7876" i="1"/>
  <c r="L7876" i="1"/>
  <c r="V7875" i="1"/>
  <c r="U7875" i="1"/>
  <c r="T7875" i="1"/>
  <c r="S7875" i="1"/>
  <c r="R7875" i="1"/>
  <c r="Q7875" i="1"/>
  <c r="M7875" i="1"/>
  <c r="L7875" i="1"/>
  <c r="V7874" i="1"/>
  <c r="U7874" i="1"/>
  <c r="T7874" i="1"/>
  <c r="S7874" i="1"/>
  <c r="R7874" i="1"/>
  <c r="Q7874" i="1"/>
  <c r="M7874" i="1"/>
  <c r="L7874" i="1"/>
  <c r="V7873" i="1"/>
  <c r="U7873" i="1"/>
  <c r="T7873" i="1"/>
  <c r="S7873" i="1"/>
  <c r="R7873" i="1"/>
  <c r="Q7873" i="1"/>
  <c r="M7873" i="1"/>
  <c r="L7873" i="1"/>
  <c r="V7872" i="1"/>
  <c r="U7872" i="1"/>
  <c r="T7872" i="1"/>
  <c r="S7872" i="1"/>
  <c r="R7872" i="1"/>
  <c r="Q7872" i="1"/>
  <c r="M7872" i="1"/>
  <c r="L7872" i="1"/>
  <c r="V7871" i="1"/>
  <c r="U7871" i="1"/>
  <c r="T7871" i="1"/>
  <c r="S7871" i="1"/>
  <c r="R7871" i="1"/>
  <c r="Q7871" i="1"/>
  <c r="M7871" i="1"/>
  <c r="L7871" i="1"/>
  <c r="V7870" i="1"/>
  <c r="U7870" i="1"/>
  <c r="T7870" i="1"/>
  <c r="S7870" i="1"/>
  <c r="R7870" i="1"/>
  <c r="Q7870" i="1"/>
  <c r="M7870" i="1"/>
  <c r="L7870" i="1"/>
  <c r="V7869" i="1"/>
  <c r="U7869" i="1"/>
  <c r="T7869" i="1"/>
  <c r="S7869" i="1"/>
  <c r="R7869" i="1"/>
  <c r="Q7869" i="1"/>
  <c r="M7869" i="1"/>
  <c r="L7869" i="1"/>
  <c r="V7868" i="1"/>
  <c r="U7868" i="1"/>
  <c r="T7868" i="1"/>
  <c r="S7868" i="1"/>
  <c r="R7868" i="1"/>
  <c r="Q7868" i="1"/>
  <c r="M7868" i="1"/>
  <c r="L7868" i="1"/>
  <c r="V7867" i="1"/>
  <c r="U7867" i="1"/>
  <c r="T7867" i="1"/>
  <c r="S7867" i="1"/>
  <c r="R7867" i="1"/>
  <c r="Q7867" i="1"/>
  <c r="M7867" i="1"/>
  <c r="L7867" i="1"/>
  <c r="V7866" i="1"/>
  <c r="U7866" i="1"/>
  <c r="T7866" i="1"/>
  <c r="S7866" i="1"/>
  <c r="R7866" i="1"/>
  <c r="Q7866" i="1"/>
  <c r="M7866" i="1"/>
  <c r="L7866" i="1"/>
  <c r="V7865" i="1"/>
  <c r="U7865" i="1"/>
  <c r="T7865" i="1"/>
  <c r="S7865" i="1"/>
  <c r="R7865" i="1"/>
  <c r="Q7865" i="1"/>
  <c r="M7865" i="1"/>
  <c r="L7865" i="1"/>
  <c r="V7864" i="1"/>
  <c r="U7864" i="1"/>
  <c r="T7864" i="1"/>
  <c r="S7864" i="1"/>
  <c r="R7864" i="1"/>
  <c r="Q7864" i="1"/>
  <c r="M7864" i="1"/>
  <c r="L7864" i="1"/>
  <c r="V7863" i="1"/>
  <c r="U7863" i="1"/>
  <c r="T7863" i="1"/>
  <c r="S7863" i="1"/>
  <c r="R7863" i="1"/>
  <c r="Q7863" i="1"/>
  <c r="M7863" i="1"/>
  <c r="L7863" i="1"/>
  <c r="V7862" i="1"/>
  <c r="U7862" i="1"/>
  <c r="T7862" i="1"/>
  <c r="S7862" i="1"/>
  <c r="R7862" i="1"/>
  <c r="Q7862" i="1"/>
  <c r="M7862" i="1"/>
  <c r="L7862" i="1"/>
  <c r="V7861" i="1"/>
  <c r="U7861" i="1"/>
  <c r="T7861" i="1"/>
  <c r="S7861" i="1"/>
  <c r="R7861" i="1"/>
  <c r="Q7861" i="1"/>
  <c r="M7861" i="1"/>
  <c r="L7861" i="1"/>
  <c r="V7860" i="1"/>
  <c r="U7860" i="1"/>
  <c r="T7860" i="1"/>
  <c r="S7860" i="1"/>
  <c r="R7860" i="1"/>
  <c r="Q7860" i="1"/>
  <c r="M7860" i="1"/>
  <c r="L7860" i="1"/>
  <c r="V7859" i="1"/>
  <c r="U7859" i="1"/>
  <c r="T7859" i="1"/>
  <c r="S7859" i="1"/>
  <c r="R7859" i="1"/>
  <c r="Q7859" i="1"/>
  <c r="M7859" i="1"/>
  <c r="L7859" i="1"/>
  <c r="V7858" i="1"/>
  <c r="U7858" i="1"/>
  <c r="T7858" i="1"/>
  <c r="S7858" i="1"/>
  <c r="R7858" i="1"/>
  <c r="Q7858" i="1"/>
  <c r="M7858" i="1"/>
  <c r="L7858" i="1"/>
  <c r="V7857" i="1"/>
  <c r="U7857" i="1"/>
  <c r="T7857" i="1"/>
  <c r="S7857" i="1"/>
  <c r="R7857" i="1"/>
  <c r="Q7857" i="1"/>
  <c r="M7857" i="1"/>
  <c r="L7857" i="1"/>
  <c r="V7856" i="1"/>
  <c r="U7856" i="1"/>
  <c r="T7856" i="1"/>
  <c r="S7856" i="1"/>
  <c r="R7856" i="1"/>
  <c r="Q7856" i="1"/>
  <c r="M7856" i="1"/>
  <c r="L7856" i="1"/>
  <c r="V7855" i="1"/>
  <c r="U7855" i="1"/>
  <c r="T7855" i="1"/>
  <c r="S7855" i="1"/>
  <c r="R7855" i="1"/>
  <c r="Q7855" i="1"/>
  <c r="M7855" i="1"/>
  <c r="L7855" i="1"/>
  <c r="V7854" i="1"/>
  <c r="U7854" i="1"/>
  <c r="T7854" i="1"/>
  <c r="S7854" i="1"/>
  <c r="R7854" i="1"/>
  <c r="Q7854" i="1"/>
  <c r="M7854" i="1"/>
  <c r="L7854" i="1"/>
  <c r="V7853" i="1"/>
  <c r="U7853" i="1"/>
  <c r="T7853" i="1"/>
  <c r="S7853" i="1"/>
  <c r="R7853" i="1"/>
  <c r="Q7853" i="1"/>
  <c r="M7853" i="1"/>
  <c r="L7853" i="1"/>
  <c r="V7852" i="1"/>
  <c r="U7852" i="1"/>
  <c r="T7852" i="1"/>
  <c r="S7852" i="1"/>
  <c r="R7852" i="1"/>
  <c r="Q7852" i="1"/>
  <c r="M7852" i="1"/>
  <c r="L7852" i="1"/>
  <c r="V7851" i="1"/>
  <c r="U7851" i="1"/>
  <c r="T7851" i="1"/>
  <c r="S7851" i="1"/>
  <c r="R7851" i="1"/>
  <c r="Q7851" i="1"/>
  <c r="M7851" i="1"/>
  <c r="L7851" i="1"/>
  <c r="V7850" i="1"/>
  <c r="U7850" i="1"/>
  <c r="T7850" i="1"/>
  <c r="S7850" i="1"/>
  <c r="R7850" i="1"/>
  <c r="Q7850" i="1"/>
  <c r="M7850" i="1"/>
  <c r="L7850" i="1"/>
  <c r="V7849" i="1"/>
  <c r="U7849" i="1"/>
  <c r="T7849" i="1"/>
  <c r="S7849" i="1"/>
  <c r="R7849" i="1"/>
  <c r="Q7849" i="1"/>
  <c r="M7849" i="1"/>
  <c r="L7849" i="1"/>
  <c r="V7848" i="1"/>
  <c r="U7848" i="1"/>
  <c r="T7848" i="1"/>
  <c r="S7848" i="1"/>
  <c r="R7848" i="1"/>
  <c r="Q7848" i="1"/>
  <c r="M7848" i="1"/>
  <c r="L7848" i="1"/>
  <c r="V7847" i="1"/>
  <c r="U7847" i="1"/>
  <c r="T7847" i="1"/>
  <c r="S7847" i="1"/>
  <c r="R7847" i="1"/>
  <c r="Q7847" i="1"/>
  <c r="M7847" i="1"/>
  <c r="L7847" i="1"/>
  <c r="V7846" i="1"/>
  <c r="U7846" i="1"/>
  <c r="T7846" i="1"/>
  <c r="S7846" i="1"/>
  <c r="R7846" i="1"/>
  <c r="Q7846" i="1"/>
  <c r="M7846" i="1"/>
  <c r="L7846" i="1"/>
  <c r="V7845" i="1"/>
  <c r="U7845" i="1"/>
  <c r="T7845" i="1"/>
  <c r="S7845" i="1"/>
  <c r="R7845" i="1"/>
  <c r="Q7845" i="1"/>
  <c r="M7845" i="1"/>
  <c r="L7845" i="1"/>
  <c r="V7844" i="1"/>
  <c r="U7844" i="1"/>
  <c r="T7844" i="1"/>
  <c r="S7844" i="1"/>
  <c r="R7844" i="1"/>
  <c r="Q7844" i="1"/>
  <c r="M7844" i="1"/>
  <c r="L7844" i="1"/>
  <c r="V7843" i="1"/>
  <c r="U7843" i="1"/>
  <c r="T7843" i="1"/>
  <c r="S7843" i="1"/>
  <c r="R7843" i="1"/>
  <c r="Q7843" i="1"/>
  <c r="M7843" i="1"/>
  <c r="L7843" i="1"/>
  <c r="V7842" i="1"/>
  <c r="U7842" i="1"/>
  <c r="T7842" i="1"/>
  <c r="S7842" i="1"/>
  <c r="R7842" i="1"/>
  <c r="Q7842" i="1"/>
  <c r="M7842" i="1"/>
  <c r="L7842" i="1"/>
  <c r="V7841" i="1"/>
  <c r="U7841" i="1"/>
  <c r="T7841" i="1"/>
  <c r="S7841" i="1"/>
  <c r="R7841" i="1"/>
  <c r="Q7841" i="1"/>
  <c r="M7841" i="1"/>
  <c r="L7841" i="1"/>
  <c r="V7840" i="1"/>
  <c r="U7840" i="1"/>
  <c r="T7840" i="1"/>
  <c r="S7840" i="1"/>
  <c r="R7840" i="1"/>
  <c r="Q7840" i="1"/>
  <c r="M7840" i="1"/>
  <c r="L7840" i="1"/>
  <c r="V7839" i="1"/>
  <c r="U7839" i="1"/>
  <c r="T7839" i="1"/>
  <c r="S7839" i="1"/>
  <c r="R7839" i="1"/>
  <c r="Q7839" i="1"/>
  <c r="M7839" i="1"/>
  <c r="L7839" i="1"/>
  <c r="V7838" i="1"/>
  <c r="U7838" i="1"/>
  <c r="T7838" i="1"/>
  <c r="S7838" i="1"/>
  <c r="R7838" i="1"/>
  <c r="Q7838" i="1"/>
  <c r="M7838" i="1"/>
  <c r="L7838" i="1"/>
  <c r="V7837" i="1"/>
  <c r="U7837" i="1"/>
  <c r="T7837" i="1"/>
  <c r="S7837" i="1"/>
  <c r="R7837" i="1"/>
  <c r="Q7837" i="1"/>
  <c r="M7837" i="1"/>
  <c r="L7837" i="1"/>
  <c r="V7836" i="1"/>
  <c r="U7836" i="1"/>
  <c r="T7836" i="1"/>
  <c r="S7836" i="1"/>
  <c r="R7836" i="1"/>
  <c r="Q7836" i="1"/>
  <c r="M7836" i="1"/>
  <c r="L7836" i="1"/>
  <c r="V7835" i="1"/>
  <c r="U7835" i="1"/>
  <c r="T7835" i="1"/>
  <c r="S7835" i="1"/>
  <c r="R7835" i="1"/>
  <c r="Q7835" i="1"/>
  <c r="M7835" i="1"/>
  <c r="L7835" i="1"/>
  <c r="V7834" i="1"/>
  <c r="U7834" i="1"/>
  <c r="T7834" i="1"/>
  <c r="S7834" i="1"/>
  <c r="R7834" i="1"/>
  <c r="Q7834" i="1"/>
  <c r="M7834" i="1"/>
  <c r="L7834" i="1"/>
  <c r="V7833" i="1"/>
  <c r="U7833" i="1"/>
  <c r="T7833" i="1"/>
  <c r="S7833" i="1"/>
  <c r="R7833" i="1"/>
  <c r="Q7833" i="1"/>
  <c r="M7833" i="1"/>
  <c r="L7833" i="1"/>
  <c r="V7832" i="1"/>
  <c r="U7832" i="1"/>
  <c r="T7832" i="1"/>
  <c r="S7832" i="1"/>
  <c r="R7832" i="1"/>
  <c r="Q7832" i="1"/>
  <c r="M7832" i="1"/>
  <c r="L7832" i="1"/>
  <c r="V7831" i="1"/>
  <c r="U7831" i="1"/>
  <c r="T7831" i="1"/>
  <c r="S7831" i="1"/>
  <c r="R7831" i="1"/>
  <c r="Q7831" i="1"/>
  <c r="M7831" i="1"/>
  <c r="L7831" i="1"/>
  <c r="V7830" i="1"/>
  <c r="U7830" i="1"/>
  <c r="T7830" i="1"/>
  <c r="S7830" i="1"/>
  <c r="R7830" i="1"/>
  <c r="Q7830" i="1"/>
  <c r="M7830" i="1"/>
  <c r="L7830" i="1"/>
  <c r="V7829" i="1"/>
  <c r="U7829" i="1"/>
  <c r="T7829" i="1"/>
  <c r="S7829" i="1"/>
  <c r="R7829" i="1"/>
  <c r="Q7829" i="1"/>
  <c r="M7829" i="1"/>
  <c r="L7829" i="1"/>
  <c r="V7828" i="1"/>
  <c r="U7828" i="1"/>
  <c r="T7828" i="1"/>
  <c r="S7828" i="1"/>
  <c r="R7828" i="1"/>
  <c r="Q7828" i="1"/>
  <c r="M7828" i="1"/>
  <c r="L7828" i="1"/>
  <c r="V7827" i="1"/>
  <c r="U7827" i="1"/>
  <c r="T7827" i="1"/>
  <c r="S7827" i="1"/>
  <c r="R7827" i="1"/>
  <c r="Q7827" i="1"/>
  <c r="M7827" i="1"/>
  <c r="L7827" i="1"/>
  <c r="V7826" i="1"/>
  <c r="U7826" i="1"/>
  <c r="T7826" i="1"/>
  <c r="S7826" i="1"/>
  <c r="R7826" i="1"/>
  <c r="Q7826" i="1"/>
  <c r="M7826" i="1"/>
  <c r="L7826" i="1"/>
  <c r="V7825" i="1"/>
  <c r="U7825" i="1"/>
  <c r="T7825" i="1"/>
  <c r="S7825" i="1"/>
  <c r="R7825" i="1"/>
  <c r="Q7825" i="1"/>
  <c r="M7825" i="1"/>
  <c r="L7825" i="1"/>
  <c r="V7824" i="1"/>
  <c r="U7824" i="1"/>
  <c r="T7824" i="1"/>
  <c r="S7824" i="1"/>
  <c r="R7824" i="1"/>
  <c r="Q7824" i="1"/>
  <c r="M7824" i="1"/>
  <c r="L7824" i="1"/>
  <c r="V7823" i="1"/>
  <c r="U7823" i="1"/>
  <c r="T7823" i="1"/>
  <c r="S7823" i="1"/>
  <c r="R7823" i="1"/>
  <c r="Q7823" i="1"/>
  <c r="M7823" i="1"/>
  <c r="L7823" i="1"/>
  <c r="V7822" i="1"/>
  <c r="U7822" i="1"/>
  <c r="T7822" i="1"/>
  <c r="S7822" i="1"/>
  <c r="R7822" i="1"/>
  <c r="Q7822" i="1"/>
  <c r="M7822" i="1"/>
  <c r="L7822" i="1"/>
  <c r="V7821" i="1"/>
  <c r="U7821" i="1"/>
  <c r="T7821" i="1"/>
  <c r="S7821" i="1"/>
  <c r="R7821" i="1"/>
  <c r="Q7821" i="1"/>
  <c r="M7821" i="1"/>
  <c r="L7821" i="1"/>
  <c r="V7820" i="1"/>
  <c r="U7820" i="1"/>
  <c r="T7820" i="1"/>
  <c r="S7820" i="1"/>
  <c r="R7820" i="1"/>
  <c r="Q7820" i="1"/>
  <c r="M7820" i="1"/>
  <c r="L7820" i="1"/>
  <c r="V7819" i="1"/>
  <c r="U7819" i="1"/>
  <c r="T7819" i="1"/>
  <c r="S7819" i="1"/>
  <c r="R7819" i="1"/>
  <c r="Q7819" i="1"/>
  <c r="M7819" i="1"/>
  <c r="L7819" i="1"/>
  <c r="V7818" i="1"/>
  <c r="U7818" i="1"/>
  <c r="T7818" i="1"/>
  <c r="S7818" i="1"/>
  <c r="R7818" i="1"/>
  <c r="Q7818" i="1"/>
  <c r="M7818" i="1"/>
  <c r="L7818" i="1"/>
  <c r="V7817" i="1"/>
  <c r="U7817" i="1"/>
  <c r="T7817" i="1"/>
  <c r="S7817" i="1"/>
  <c r="R7817" i="1"/>
  <c r="Q7817" i="1"/>
  <c r="M7817" i="1"/>
  <c r="L7817" i="1"/>
  <c r="V7816" i="1"/>
  <c r="U7816" i="1"/>
  <c r="T7816" i="1"/>
  <c r="S7816" i="1"/>
  <c r="R7816" i="1"/>
  <c r="Q7816" i="1"/>
  <c r="M7816" i="1"/>
  <c r="L7816" i="1"/>
  <c r="V7815" i="1"/>
  <c r="U7815" i="1"/>
  <c r="T7815" i="1"/>
  <c r="S7815" i="1"/>
  <c r="R7815" i="1"/>
  <c r="Q7815" i="1"/>
  <c r="M7815" i="1"/>
  <c r="L7815" i="1"/>
  <c r="V7814" i="1"/>
  <c r="U7814" i="1"/>
  <c r="T7814" i="1"/>
  <c r="S7814" i="1"/>
  <c r="R7814" i="1"/>
  <c r="Q7814" i="1"/>
  <c r="M7814" i="1"/>
  <c r="L7814" i="1"/>
  <c r="V7813" i="1"/>
  <c r="U7813" i="1"/>
  <c r="T7813" i="1"/>
  <c r="S7813" i="1"/>
  <c r="R7813" i="1"/>
  <c r="Q7813" i="1"/>
  <c r="M7813" i="1"/>
  <c r="L7813" i="1"/>
  <c r="V7812" i="1"/>
  <c r="U7812" i="1"/>
  <c r="T7812" i="1"/>
  <c r="S7812" i="1"/>
  <c r="R7812" i="1"/>
  <c r="Q7812" i="1"/>
  <c r="M7812" i="1"/>
  <c r="L7812" i="1"/>
  <c r="V7811" i="1"/>
  <c r="U7811" i="1"/>
  <c r="T7811" i="1"/>
  <c r="S7811" i="1"/>
  <c r="R7811" i="1"/>
  <c r="Q7811" i="1"/>
  <c r="M7811" i="1"/>
  <c r="L7811" i="1"/>
  <c r="V7810" i="1"/>
  <c r="U7810" i="1"/>
  <c r="T7810" i="1"/>
  <c r="S7810" i="1"/>
  <c r="R7810" i="1"/>
  <c r="Q7810" i="1"/>
  <c r="M7810" i="1"/>
  <c r="L7810" i="1"/>
  <c r="V7809" i="1"/>
  <c r="U7809" i="1"/>
  <c r="T7809" i="1"/>
  <c r="S7809" i="1"/>
  <c r="R7809" i="1"/>
  <c r="Q7809" i="1"/>
  <c r="M7809" i="1"/>
  <c r="L7809" i="1"/>
  <c r="V7808" i="1"/>
  <c r="U7808" i="1"/>
  <c r="T7808" i="1"/>
  <c r="S7808" i="1"/>
  <c r="R7808" i="1"/>
  <c r="Q7808" i="1"/>
  <c r="M7808" i="1"/>
  <c r="L7808" i="1"/>
  <c r="V7807" i="1"/>
  <c r="U7807" i="1"/>
  <c r="T7807" i="1"/>
  <c r="S7807" i="1"/>
  <c r="R7807" i="1"/>
  <c r="Q7807" i="1"/>
  <c r="M7807" i="1"/>
  <c r="L7807" i="1"/>
  <c r="V7806" i="1"/>
  <c r="U7806" i="1"/>
  <c r="T7806" i="1"/>
  <c r="S7806" i="1"/>
  <c r="R7806" i="1"/>
  <c r="Q7806" i="1"/>
  <c r="M7806" i="1"/>
  <c r="L7806" i="1"/>
  <c r="V7805" i="1"/>
  <c r="U7805" i="1"/>
  <c r="T7805" i="1"/>
  <c r="S7805" i="1"/>
  <c r="R7805" i="1"/>
  <c r="Q7805" i="1"/>
  <c r="M7805" i="1"/>
  <c r="L7805" i="1"/>
  <c r="V7804" i="1"/>
  <c r="U7804" i="1"/>
  <c r="T7804" i="1"/>
  <c r="S7804" i="1"/>
  <c r="R7804" i="1"/>
  <c r="Q7804" i="1"/>
  <c r="M7804" i="1"/>
  <c r="L7804" i="1"/>
  <c r="V7803" i="1"/>
  <c r="U7803" i="1"/>
  <c r="T7803" i="1"/>
  <c r="S7803" i="1"/>
  <c r="R7803" i="1"/>
  <c r="Q7803" i="1"/>
  <c r="M7803" i="1"/>
  <c r="L7803" i="1"/>
  <c r="V7802" i="1"/>
  <c r="U7802" i="1"/>
  <c r="T7802" i="1"/>
  <c r="S7802" i="1"/>
  <c r="R7802" i="1"/>
  <c r="Q7802" i="1"/>
  <c r="M7802" i="1"/>
  <c r="L7802" i="1"/>
  <c r="V7801" i="1"/>
  <c r="U7801" i="1"/>
  <c r="T7801" i="1"/>
  <c r="S7801" i="1"/>
  <c r="R7801" i="1"/>
  <c r="Q7801" i="1"/>
  <c r="M7801" i="1"/>
  <c r="L7801" i="1"/>
  <c r="V7800" i="1"/>
  <c r="U7800" i="1"/>
  <c r="T7800" i="1"/>
  <c r="S7800" i="1"/>
  <c r="R7800" i="1"/>
  <c r="Q7800" i="1"/>
  <c r="M7800" i="1"/>
  <c r="L7800" i="1"/>
  <c r="V7799" i="1"/>
  <c r="U7799" i="1"/>
  <c r="T7799" i="1"/>
  <c r="S7799" i="1"/>
  <c r="R7799" i="1"/>
  <c r="Q7799" i="1"/>
  <c r="M7799" i="1"/>
  <c r="L7799" i="1"/>
  <c r="V7798" i="1"/>
  <c r="U7798" i="1"/>
  <c r="T7798" i="1"/>
  <c r="S7798" i="1"/>
  <c r="R7798" i="1"/>
  <c r="Q7798" i="1"/>
  <c r="M7798" i="1"/>
  <c r="L7798" i="1"/>
  <c r="V7797" i="1"/>
  <c r="U7797" i="1"/>
  <c r="T7797" i="1"/>
  <c r="S7797" i="1"/>
  <c r="R7797" i="1"/>
  <c r="Q7797" i="1"/>
  <c r="M7797" i="1"/>
  <c r="L7797" i="1"/>
  <c r="V7796" i="1"/>
  <c r="U7796" i="1"/>
  <c r="T7796" i="1"/>
  <c r="S7796" i="1"/>
  <c r="R7796" i="1"/>
  <c r="Q7796" i="1"/>
  <c r="M7796" i="1"/>
  <c r="L7796" i="1"/>
  <c r="V7795" i="1"/>
  <c r="U7795" i="1"/>
  <c r="T7795" i="1"/>
  <c r="S7795" i="1"/>
  <c r="R7795" i="1"/>
  <c r="Q7795" i="1"/>
  <c r="M7795" i="1"/>
  <c r="L7795" i="1"/>
  <c r="V7794" i="1"/>
  <c r="U7794" i="1"/>
  <c r="T7794" i="1"/>
  <c r="S7794" i="1"/>
  <c r="R7794" i="1"/>
  <c r="Q7794" i="1"/>
  <c r="M7794" i="1"/>
  <c r="L7794" i="1"/>
  <c r="V7793" i="1"/>
  <c r="U7793" i="1"/>
  <c r="T7793" i="1"/>
  <c r="S7793" i="1"/>
  <c r="R7793" i="1"/>
  <c r="Q7793" i="1"/>
  <c r="M7793" i="1"/>
  <c r="L7793" i="1"/>
  <c r="V7792" i="1"/>
  <c r="U7792" i="1"/>
  <c r="T7792" i="1"/>
  <c r="S7792" i="1"/>
  <c r="R7792" i="1"/>
  <c r="Q7792" i="1"/>
  <c r="M7792" i="1"/>
  <c r="L7792" i="1"/>
  <c r="V7791" i="1"/>
  <c r="U7791" i="1"/>
  <c r="T7791" i="1"/>
  <c r="S7791" i="1"/>
  <c r="R7791" i="1"/>
  <c r="Q7791" i="1"/>
  <c r="M7791" i="1"/>
  <c r="L7791" i="1"/>
  <c r="Z7790" i="1"/>
  <c r="W7790" i="1"/>
  <c r="V7790" i="1"/>
  <c r="U7790" i="1"/>
  <c r="T7790" i="1"/>
  <c r="S7790" i="1"/>
  <c r="R7790" i="1"/>
  <c r="Q7790" i="1"/>
  <c r="M7790" i="1"/>
  <c r="L7790" i="1"/>
  <c r="V7789" i="1"/>
  <c r="U7789" i="1"/>
  <c r="T7789" i="1"/>
  <c r="S7789" i="1"/>
  <c r="R7789" i="1"/>
  <c r="Q7789" i="1"/>
  <c r="M7789" i="1"/>
  <c r="L7789" i="1"/>
  <c r="V7788" i="1"/>
  <c r="U7788" i="1"/>
  <c r="T7788" i="1"/>
  <c r="S7788" i="1"/>
  <c r="R7788" i="1"/>
  <c r="Q7788" i="1"/>
  <c r="M7788" i="1"/>
  <c r="L7788" i="1"/>
  <c r="V7787" i="1"/>
  <c r="U7787" i="1"/>
  <c r="T7787" i="1"/>
  <c r="S7787" i="1"/>
  <c r="R7787" i="1"/>
  <c r="Q7787" i="1"/>
  <c r="M7787" i="1"/>
  <c r="L7787" i="1"/>
  <c r="V7786" i="1"/>
  <c r="U7786" i="1"/>
  <c r="T7786" i="1"/>
  <c r="S7786" i="1"/>
  <c r="R7786" i="1"/>
  <c r="Q7786" i="1"/>
  <c r="M7786" i="1"/>
  <c r="L7786" i="1"/>
  <c r="V7785" i="1"/>
  <c r="U7785" i="1"/>
  <c r="T7785" i="1"/>
  <c r="S7785" i="1"/>
  <c r="R7785" i="1"/>
  <c r="Q7785" i="1"/>
  <c r="M7785" i="1"/>
  <c r="L7785" i="1"/>
  <c r="V7784" i="1"/>
  <c r="U7784" i="1"/>
  <c r="T7784" i="1"/>
  <c r="S7784" i="1"/>
  <c r="R7784" i="1"/>
  <c r="Q7784" i="1"/>
  <c r="M7784" i="1"/>
  <c r="L7784" i="1"/>
  <c r="V7783" i="1"/>
  <c r="U7783" i="1"/>
  <c r="T7783" i="1"/>
  <c r="S7783" i="1"/>
  <c r="R7783" i="1"/>
  <c r="Q7783" i="1"/>
  <c r="M7783" i="1"/>
  <c r="L7783" i="1"/>
  <c r="V7782" i="1"/>
  <c r="U7782" i="1"/>
  <c r="T7782" i="1"/>
  <c r="S7782" i="1"/>
  <c r="R7782" i="1"/>
  <c r="Q7782" i="1"/>
  <c r="M7782" i="1"/>
  <c r="L7782" i="1"/>
  <c r="V7781" i="1"/>
  <c r="U7781" i="1"/>
  <c r="T7781" i="1"/>
  <c r="S7781" i="1"/>
  <c r="R7781" i="1"/>
  <c r="Q7781" i="1"/>
  <c r="M7781" i="1"/>
  <c r="L7781" i="1"/>
  <c r="V7780" i="1"/>
  <c r="U7780" i="1"/>
  <c r="T7780" i="1"/>
  <c r="S7780" i="1"/>
  <c r="R7780" i="1"/>
  <c r="Q7780" i="1"/>
  <c r="M7780" i="1"/>
  <c r="L7780" i="1"/>
  <c r="V7779" i="1"/>
  <c r="U7779" i="1"/>
  <c r="T7779" i="1"/>
  <c r="S7779" i="1"/>
  <c r="R7779" i="1"/>
  <c r="Q7779" i="1"/>
  <c r="M7779" i="1"/>
  <c r="L7779" i="1"/>
  <c r="V7778" i="1"/>
  <c r="U7778" i="1"/>
  <c r="T7778" i="1"/>
  <c r="S7778" i="1"/>
  <c r="R7778" i="1"/>
  <c r="Q7778" i="1"/>
  <c r="M7778" i="1"/>
  <c r="L7778" i="1"/>
  <c r="V7777" i="1"/>
  <c r="U7777" i="1"/>
  <c r="T7777" i="1"/>
  <c r="S7777" i="1"/>
  <c r="R7777" i="1"/>
  <c r="Q7777" i="1"/>
  <c r="M7777" i="1"/>
  <c r="L7777" i="1"/>
  <c r="V7776" i="1"/>
  <c r="U7776" i="1"/>
  <c r="T7776" i="1"/>
  <c r="S7776" i="1"/>
  <c r="R7776" i="1"/>
  <c r="Q7776" i="1"/>
  <c r="M7776" i="1"/>
  <c r="L7776" i="1"/>
  <c r="V7775" i="1"/>
  <c r="U7775" i="1"/>
  <c r="T7775" i="1"/>
  <c r="S7775" i="1"/>
  <c r="R7775" i="1"/>
  <c r="Q7775" i="1"/>
  <c r="M7775" i="1"/>
  <c r="L7775" i="1"/>
  <c r="V7774" i="1"/>
  <c r="U7774" i="1"/>
  <c r="T7774" i="1"/>
  <c r="S7774" i="1"/>
  <c r="R7774" i="1"/>
  <c r="Q7774" i="1"/>
  <c r="M7774" i="1"/>
  <c r="L7774" i="1"/>
  <c r="V7773" i="1"/>
  <c r="U7773" i="1"/>
  <c r="T7773" i="1"/>
  <c r="S7773" i="1"/>
  <c r="R7773" i="1"/>
  <c r="Q7773" i="1"/>
  <c r="M7773" i="1"/>
  <c r="L7773" i="1"/>
  <c r="V7772" i="1"/>
  <c r="U7772" i="1"/>
  <c r="T7772" i="1"/>
  <c r="S7772" i="1"/>
  <c r="R7772" i="1"/>
  <c r="Q7772" i="1"/>
  <c r="M7772" i="1"/>
  <c r="L7772" i="1"/>
  <c r="V7771" i="1"/>
  <c r="U7771" i="1"/>
  <c r="T7771" i="1"/>
  <c r="S7771" i="1"/>
  <c r="R7771" i="1"/>
  <c r="Q7771" i="1"/>
  <c r="M7771" i="1"/>
  <c r="L7771" i="1"/>
  <c r="V7770" i="1"/>
  <c r="U7770" i="1"/>
  <c r="T7770" i="1"/>
  <c r="S7770" i="1"/>
  <c r="R7770" i="1"/>
  <c r="Q7770" i="1"/>
  <c r="M7770" i="1"/>
  <c r="L7770" i="1"/>
  <c r="V7769" i="1"/>
  <c r="U7769" i="1"/>
  <c r="T7769" i="1"/>
  <c r="S7769" i="1"/>
  <c r="R7769" i="1"/>
  <c r="Q7769" i="1"/>
  <c r="M7769" i="1"/>
  <c r="L7769" i="1"/>
  <c r="V7768" i="1"/>
  <c r="U7768" i="1"/>
  <c r="T7768" i="1"/>
  <c r="S7768" i="1"/>
  <c r="R7768" i="1"/>
  <c r="Q7768" i="1"/>
  <c r="M7768" i="1"/>
  <c r="L7768" i="1"/>
  <c r="V7767" i="1"/>
  <c r="U7767" i="1"/>
  <c r="T7767" i="1"/>
  <c r="S7767" i="1"/>
  <c r="R7767" i="1"/>
  <c r="Q7767" i="1"/>
  <c r="M7767" i="1"/>
  <c r="L7767" i="1"/>
  <c r="V7766" i="1"/>
  <c r="U7766" i="1"/>
  <c r="T7766" i="1"/>
  <c r="S7766" i="1"/>
  <c r="R7766" i="1"/>
  <c r="Q7766" i="1"/>
  <c r="M7766" i="1"/>
  <c r="L7766" i="1"/>
  <c r="V7765" i="1"/>
  <c r="U7765" i="1"/>
  <c r="T7765" i="1"/>
  <c r="S7765" i="1"/>
  <c r="R7765" i="1"/>
  <c r="Q7765" i="1"/>
  <c r="M7765" i="1"/>
  <c r="L7765" i="1"/>
  <c r="V7764" i="1"/>
  <c r="U7764" i="1"/>
  <c r="T7764" i="1"/>
  <c r="S7764" i="1"/>
  <c r="R7764" i="1"/>
  <c r="Q7764" i="1"/>
  <c r="M7764" i="1"/>
  <c r="L7764" i="1"/>
  <c r="V7763" i="1"/>
  <c r="U7763" i="1"/>
  <c r="T7763" i="1"/>
  <c r="S7763" i="1"/>
  <c r="R7763" i="1"/>
  <c r="Q7763" i="1"/>
  <c r="M7763" i="1"/>
  <c r="L7763" i="1"/>
  <c r="V7762" i="1"/>
  <c r="U7762" i="1"/>
  <c r="T7762" i="1"/>
  <c r="S7762" i="1"/>
  <c r="R7762" i="1"/>
  <c r="Q7762" i="1"/>
  <c r="M7762" i="1"/>
  <c r="L7762" i="1"/>
  <c r="V7761" i="1"/>
  <c r="U7761" i="1"/>
  <c r="T7761" i="1"/>
  <c r="S7761" i="1"/>
  <c r="R7761" i="1"/>
  <c r="Q7761" i="1"/>
  <c r="M7761" i="1"/>
  <c r="L7761" i="1"/>
  <c r="V7760" i="1"/>
  <c r="U7760" i="1"/>
  <c r="T7760" i="1"/>
  <c r="S7760" i="1"/>
  <c r="R7760" i="1"/>
  <c r="Q7760" i="1"/>
  <c r="M7760" i="1"/>
  <c r="L7760" i="1"/>
  <c r="V7759" i="1"/>
  <c r="U7759" i="1"/>
  <c r="T7759" i="1"/>
  <c r="S7759" i="1"/>
  <c r="R7759" i="1"/>
  <c r="Q7759" i="1"/>
  <c r="M7759" i="1"/>
  <c r="L7759" i="1"/>
  <c r="V7758" i="1"/>
  <c r="U7758" i="1"/>
  <c r="T7758" i="1"/>
  <c r="S7758" i="1"/>
  <c r="R7758" i="1"/>
  <c r="Q7758" i="1"/>
  <c r="M7758" i="1"/>
  <c r="L7758" i="1"/>
  <c r="V7757" i="1"/>
  <c r="U7757" i="1"/>
  <c r="T7757" i="1"/>
  <c r="S7757" i="1"/>
  <c r="R7757" i="1"/>
  <c r="Q7757" i="1"/>
  <c r="M7757" i="1"/>
  <c r="L7757" i="1"/>
  <c r="V7756" i="1"/>
  <c r="U7756" i="1"/>
  <c r="T7756" i="1"/>
  <c r="S7756" i="1"/>
  <c r="R7756" i="1"/>
  <c r="Q7756" i="1"/>
  <c r="M7756" i="1"/>
  <c r="L7756" i="1"/>
  <c r="V7755" i="1"/>
  <c r="U7755" i="1"/>
  <c r="T7755" i="1"/>
  <c r="S7755" i="1"/>
  <c r="R7755" i="1"/>
  <c r="Q7755" i="1"/>
  <c r="M7755" i="1"/>
  <c r="L7755" i="1"/>
  <c r="V7754" i="1"/>
  <c r="U7754" i="1"/>
  <c r="T7754" i="1"/>
  <c r="S7754" i="1"/>
  <c r="R7754" i="1"/>
  <c r="Q7754" i="1"/>
  <c r="M7754" i="1"/>
  <c r="L7754" i="1"/>
  <c r="V7753" i="1"/>
  <c r="U7753" i="1"/>
  <c r="T7753" i="1"/>
  <c r="S7753" i="1"/>
  <c r="R7753" i="1"/>
  <c r="Q7753" i="1"/>
  <c r="M7753" i="1"/>
  <c r="L7753" i="1"/>
  <c r="V7752" i="1"/>
  <c r="U7752" i="1"/>
  <c r="T7752" i="1"/>
  <c r="S7752" i="1"/>
  <c r="R7752" i="1"/>
  <c r="Q7752" i="1"/>
  <c r="M7752" i="1"/>
  <c r="L7752" i="1"/>
  <c r="V7751" i="1"/>
  <c r="U7751" i="1"/>
  <c r="T7751" i="1"/>
  <c r="S7751" i="1"/>
  <c r="R7751" i="1"/>
  <c r="Q7751" i="1"/>
  <c r="M7751" i="1"/>
  <c r="L7751" i="1"/>
  <c r="V7750" i="1"/>
  <c r="U7750" i="1"/>
  <c r="T7750" i="1"/>
  <c r="S7750" i="1"/>
  <c r="R7750" i="1"/>
  <c r="Q7750" i="1"/>
  <c r="M7750" i="1"/>
  <c r="L7750" i="1"/>
  <c r="V7749" i="1"/>
  <c r="U7749" i="1"/>
  <c r="T7749" i="1"/>
  <c r="S7749" i="1"/>
  <c r="R7749" i="1"/>
  <c r="Q7749" i="1"/>
  <c r="M7749" i="1"/>
  <c r="L7749" i="1"/>
  <c r="V7748" i="1"/>
  <c r="U7748" i="1"/>
  <c r="T7748" i="1"/>
  <c r="S7748" i="1"/>
  <c r="R7748" i="1"/>
  <c r="Q7748" i="1"/>
  <c r="M7748" i="1"/>
  <c r="L7748" i="1"/>
  <c r="V7747" i="1"/>
  <c r="U7747" i="1"/>
  <c r="T7747" i="1"/>
  <c r="S7747" i="1"/>
  <c r="R7747" i="1"/>
  <c r="Q7747" i="1"/>
  <c r="M7747" i="1"/>
  <c r="L7747" i="1"/>
  <c r="V7746" i="1"/>
  <c r="U7746" i="1"/>
  <c r="T7746" i="1"/>
  <c r="S7746" i="1"/>
  <c r="R7746" i="1"/>
  <c r="Q7746" i="1"/>
  <c r="M7746" i="1"/>
  <c r="L7746" i="1"/>
  <c r="V7745" i="1"/>
  <c r="U7745" i="1"/>
  <c r="T7745" i="1"/>
  <c r="S7745" i="1"/>
  <c r="R7745" i="1"/>
  <c r="Q7745" i="1"/>
  <c r="M7745" i="1"/>
  <c r="L7745" i="1"/>
  <c r="V7744" i="1"/>
  <c r="U7744" i="1"/>
  <c r="T7744" i="1"/>
  <c r="S7744" i="1"/>
  <c r="R7744" i="1"/>
  <c r="Q7744" i="1"/>
  <c r="M7744" i="1"/>
  <c r="L7744" i="1"/>
  <c r="V7743" i="1"/>
  <c r="U7743" i="1"/>
  <c r="T7743" i="1"/>
  <c r="S7743" i="1"/>
  <c r="R7743" i="1"/>
  <c r="Q7743" i="1"/>
  <c r="M7743" i="1"/>
  <c r="L7743" i="1"/>
  <c r="V7742" i="1"/>
  <c r="U7742" i="1"/>
  <c r="T7742" i="1"/>
  <c r="S7742" i="1"/>
  <c r="R7742" i="1"/>
  <c r="Q7742" i="1"/>
  <c r="M7742" i="1"/>
  <c r="L7742" i="1"/>
  <c r="V7741" i="1"/>
  <c r="U7741" i="1"/>
  <c r="T7741" i="1"/>
  <c r="S7741" i="1"/>
  <c r="R7741" i="1"/>
  <c r="Q7741" i="1"/>
  <c r="M7741" i="1"/>
  <c r="L7741" i="1"/>
  <c r="V7740" i="1"/>
  <c r="U7740" i="1"/>
  <c r="T7740" i="1"/>
  <c r="S7740" i="1"/>
  <c r="R7740" i="1"/>
  <c r="Q7740" i="1"/>
  <c r="M7740" i="1"/>
  <c r="L7740" i="1"/>
  <c r="V7739" i="1"/>
  <c r="U7739" i="1"/>
  <c r="T7739" i="1"/>
  <c r="S7739" i="1"/>
  <c r="R7739" i="1"/>
  <c r="Q7739" i="1"/>
  <c r="M7739" i="1"/>
  <c r="L7739" i="1"/>
  <c r="V7738" i="1"/>
  <c r="U7738" i="1"/>
  <c r="T7738" i="1"/>
  <c r="S7738" i="1"/>
  <c r="R7738" i="1"/>
  <c r="Q7738" i="1"/>
  <c r="M7738" i="1"/>
  <c r="L7738" i="1"/>
  <c r="V7737" i="1"/>
  <c r="U7737" i="1"/>
  <c r="T7737" i="1"/>
  <c r="S7737" i="1"/>
  <c r="R7737" i="1"/>
  <c r="Q7737" i="1"/>
  <c r="M7737" i="1"/>
  <c r="L7737" i="1"/>
  <c r="V7736" i="1"/>
  <c r="U7736" i="1"/>
  <c r="T7736" i="1"/>
  <c r="S7736" i="1"/>
  <c r="R7736" i="1"/>
  <c r="Q7736" i="1"/>
  <c r="M7736" i="1"/>
  <c r="L7736" i="1"/>
  <c r="V7735" i="1"/>
  <c r="U7735" i="1"/>
  <c r="T7735" i="1"/>
  <c r="S7735" i="1"/>
  <c r="R7735" i="1"/>
  <c r="Q7735" i="1"/>
  <c r="M7735" i="1"/>
  <c r="L7735" i="1"/>
  <c r="V7734" i="1"/>
  <c r="U7734" i="1"/>
  <c r="T7734" i="1"/>
  <c r="S7734" i="1"/>
  <c r="R7734" i="1"/>
  <c r="Q7734" i="1"/>
  <c r="M7734" i="1"/>
  <c r="L7734" i="1"/>
  <c r="V7733" i="1"/>
  <c r="U7733" i="1"/>
  <c r="T7733" i="1"/>
  <c r="S7733" i="1"/>
  <c r="R7733" i="1"/>
  <c r="Q7733" i="1"/>
  <c r="M7733" i="1"/>
  <c r="L7733" i="1"/>
  <c r="V7732" i="1"/>
  <c r="U7732" i="1"/>
  <c r="T7732" i="1"/>
  <c r="S7732" i="1"/>
  <c r="R7732" i="1"/>
  <c r="Q7732" i="1"/>
  <c r="M7732" i="1"/>
  <c r="L7732" i="1"/>
  <c r="V7731" i="1"/>
  <c r="U7731" i="1"/>
  <c r="T7731" i="1"/>
  <c r="S7731" i="1"/>
  <c r="R7731" i="1"/>
  <c r="Q7731" i="1"/>
  <c r="M7731" i="1"/>
  <c r="L7731" i="1"/>
  <c r="V7730" i="1"/>
  <c r="U7730" i="1"/>
  <c r="T7730" i="1"/>
  <c r="S7730" i="1"/>
  <c r="R7730" i="1"/>
  <c r="Q7730" i="1"/>
  <c r="M7730" i="1"/>
  <c r="L7730" i="1"/>
  <c r="V7729" i="1"/>
  <c r="U7729" i="1"/>
  <c r="T7729" i="1"/>
  <c r="S7729" i="1"/>
  <c r="R7729" i="1"/>
  <c r="Q7729" i="1"/>
  <c r="M7729" i="1"/>
  <c r="L7729" i="1"/>
  <c r="V7728" i="1"/>
  <c r="U7728" i="1"/>
  <c r="T7728" i="1"/>
  <c r="S7728" i="1"/>
  <c r="R7728" i="1"/>
  <c r="Q7728" i="1"/>
  <c r="M7728" i="1"/>
  <c r="L7728" i="1"/>
  <c r="V7727" i="1"/>
  <c r="U7727" i="1"/>
  <c r="T7727" i="1"/>
  <c r="S7727" i="1"/>
  <c r="R7727" i="1"/>
  <c r="Q7727" i="1"/>
  <c r="M7727" i="1"/>
  <c r="L7727" i="1"/>
  <c r="V7726" i="1"/>
  <c r="U7726" i="1"/>
  <c r="T7726" i="1"/>
  <c r="S7726" i="1"/>
  <c r="R7726" i="1"/>
  <c r="Q7726" i="1"/>
  <c r="M7726" i="1"/>
  <c r="L7726" i="1"/>
  <c r="V7725" i="1"/>
  <c r="U7725" i="1"/>
  <c r="T7725" i="1"/>
  <c r="S7725" i="1"/>
  <c r="R7725" i="1"/>
  <c r="Q7725" i="1"/>
  <c r="M7725" i="1"/>
  <c r="L7725" i="1"/>
  <c r="V7724" i="1"/>
  <c r="U7724" i="1"/>
  <c r="T7724" i="1"/>
  <c r="S7724" i="1"/>
  <c r="R7724" i="1"/>
  <c r="Q7724" i="1"/>
  <c r="M7724" i="1"/>
  <c r="L7724" i="1"/>
  <c r="V7723" i="1"/>
  <c r="U7723" i="1"/>
  <c r="T7723" i="1"/>
  <c r="S7723" i="1"/>
  <c r="R7723" i="1"/>
  <c r="Q7723" i="1"/>
  <c r="M7723" i="1"/>
  <c r="L7723" i="1"/>
  <c r="V7722" i="1"/>
  <c r="U7722" i="1"/>
  <c r="T7722" i="1"/>
  <c r="S7722" i="1"/>
  <c r="R7722" i="1"/>
  <c r="Q7722" i="1"/>
  <c r="M7722" i="1"/>
  <c r="L7722" i="1"/>
  <c r="V7721" i="1"/>
  <c r="U7721" i="1"/>
  <c r="T7721" i="1"/>
  <c r="S7721" i="1"/>
  <c r="R7721" i="1"/>
  <c r="Q7721" i="1"/>
  <c r="M7721" i="1"/>
  <c r="L7721" i="1"/>
  <c r="V7720" i="1"/>
  <c r="U7720" i="1"/>
  <c r="T7720" i="1"/>
  <c r="S7720" i="1"/>
  <c r="R7720" i="1"/>
  <c r="Q7720" i="1"/>
  <c r="M7720" i="1"/>
  <c r="L7720" i="1"/>
  <c r="V7719" i="1"/>
  <c r="U7719" i="1"/>
  <c r="T7719" i="1"/>
  <c r="S7719" i="1"/>
  <c r="R7719" i="1"/>
  <c r="Q7719" i="1"/>
  <c r="M7719" i="1"/>
  <c r="L7719" i="1"/>
  <c r="V7718" i="1"/>
  <c r="U7718" i="1"/>
  <c r="T7718" i="1"/>
  <c r="S7718" i="1"/>
  <c r="R7718" i="1"/>
  <c r="Q7718" i="1"/>
  <c r="M7718" i="1"/>
  <c r="L7718" i="1"/>
  <c r="V7717" i="1"/>
  <c r="U7717" i="1"/>
  <c r="T7717" i="1"/>
  <c r="S7717" i="1"/>
  <c r="R7717" i="1"/>
  <c r="Q7717" i="1"/>
  <c r="M7717" i="1"/>
  <c r="L7717" i="1"/>
  <c r="V7716" i="1"/>
  <c r="U7716" i="1"/>
  <c r="T7716" i="1"/>
  <c r="S7716" i="1"/>
  <c r="R7716" i="1"/>
  <c r="Q7716" i="1"/>
  <c r="M7716" i="1"/>
  <c r="L7716" i="1"/>
  <c r="V7715" i="1"/>
  <c r="U7715" i="1"/>
  <c r="T7715" i="1"/>
  <c r="S7715" i="1"/>
  <c r="R7715" i="1"/>
  <c r="Q7715" i="1"/>
  <c r="M7715" i="1"/>
  <c r="L7715" i="1"/>
  <c r="V7714" i="1"/>
  <c r="U7714" i="1"/>
  <c r="T7714" i="1"/>
  <c r="S7714" i="1"/>
  <c r="R7714" i="1"/>
  <c r="Q7714" i="1"/>
  <c r="M7714" i="1"/>
  <c r="L7714" i="1"/>
  <c r="V7713" i="1"/>
  <c r="U7713" i="1"/>
  <c r="T7713" i="1"/>
  <c r="S7713" i="1"/>
  <c r="R7713" i="1"/>
  <c r="Q7713" i="1"/>
  <c r="M7713" i="1"/>
  <c r="L7713" i="1"/>
  <c r="V7712" i="1"/>
  <c r="U7712" i="1"/>
  <c r="T7712" i="1"/>
  <c r="S7712" i="1"/>
  <c r="R7712" i="1"/>
  <c r="Q7712" i="1"/>
  <c r="M7712" i="1"/>
  <c r="L7712" i="1"/>
  <c r="V7711" i="1"/>
  <c r="U7711" i="1"/>
  <c r="T7711" i="1"/>
  <c r="S7711" i="1"/>
  <c r="R7711" i="1"/>
  <c r="Q7711" i="1"/>
  <c r="M7711" i="1"/>
  <c r="L7711" i="1"/>
  <c r="V7710" i="1"/>
  <c r="U7710" i="1"/>
  <c r="T7710" i="1"/>
  <c r="S7710" i="1"/>
  <c r="R7710" i="1"/>
  <c r="Q7710" i="1"/>
  <c r="M7710" i="1"/>
  <c r="L7710" i="1"/>
  <c r="V7709" i="1"/>
  <c r="U7709" i="1"/>
  <c r="T7709" i="1"/>
  <c r="S7709" i="1"/>
  <c r="R7709" i="1"/>
  <c r="Q7709" i="1"/>
  <c r="M7709" i="1"/>
  <c r="L7709" i="1"/>
  <c r="V7708" i="1"/>
  <c r="U7708" i="1"/>
  <c r="T7708" i="1"/>
  <c r="S7708" i="1"/>
  <c r="R7708" i="1"/>
  <c r="Q7708" i="1"/>
  <c r="M7708" i="1"/>
  <c r="L7708" i="1"/>
  <c r="V7707" i="1"/>
  <c r="U7707" i="1"/>
  <c r="T7707" i="1"/>
  <c r="S7707" i="1"/>
  <c r="R7707" i="1"/>
  <c r="Q7707" i="1"/>
  <c r="M7707" i="1"/>
  <c r="L7707" i="1"/>
  <c r="V7706" i="1"/>
  <c r="U7706" i="1"/>
  <c r="T7706" i="1"/>
  <c r="S7706" i="1"/>
  <c r="R7706" i="1"/>
  <c r="Q7706" i="1"/>
  <c r="M7706" i="1"/>
  <c r="L7706" i="1"/>
  <c r="V7705" i="1"/>
  <c r="U7705" i="1"/>
  <c r="T7705" i="1"/>
  <c r="S7705" i="1"/>
  <c r="R7705" i="1"/>
  <c r="Q7705" i="1"/>
  <c r="M7705" i="1"/>
  <c r="L7705" i="1"/>
  <c r="V7704" i="1"/>
  <c r="U7704" i="1"/>
  <c r="T7704" i="1"/>
  <c r="S7704" i="1"/>
  <c r="R7704" i="1"/>
  <c r="Q7704" i="1"/>
  <c r="M7704" i="1"/>
  <c r="L7704" i="1"/>
  <c r="V7703" i="1"/>
  <c r="U7703" i="1"/>
  <c r="T7703" i="1"/>
  <c r="S7703" i="1"/>
  <c r="R7703" i="1"/>
  <c r="Q7703" i="1"/>
  <c r="M7703" i="1"/>
  <c r="L7703" i="1"/>
  <c r="V7702" i="1"/>
  <c r="U7702" i="1"/>
  <c r="T7702" i="1"/>
  <c r="S7702" i="1"/>
  <c r="R7702" i="1"/>
  <c r="Q7702" i="1"/>
  <c r="M7702" i="1"/>
  <c r="L7702" i="1"/>
  <c r="V7701" i="1"/>
  <c r="U7701" i="1"/>
  <c r="T7701" i="1"/>
  <c r="S7701" i="1"/>
  <c r="R7701" i="1"/>
  <c r="Q7701" i="1"/>
  <c r="M7701" i="1"/>
  <c r="L7701" i="1"/>
  <c r="V7700" i="1"/>
  <c r="U7700" i="1"/>
  <c r="T7700" i="1"/>
  <c r="S7700" i="1"/>
  <c r="R7700" i="1"/>
  <c r="Q7700" i="1"/>
  <c r="M7700" i="1"/>
  <c r="L7700" i="1"/>
  <c r="V7699" i="1"/>
  <c r="U7699" i="1"/>
  <c r="T7699" i="1"/>
  <c r="S7699" i="1"/>
  <c r="R7699" i="1"/>
  <c r="Q7699" i="1"/>
  <c r="M7699" i="1"/>
  <c r="L7699" i="1"/>
  <c r="V7698" i="1"/>
  <c r="U7698" i="1"/>
  <c r="T7698" i="1"/>
  <c r="S7698" i="1"/>
  <c r="R7698" i="1"/>
  <c r="Q7698" i="1"/>
  <c r="M7698" i="1"/>
  <c r="L7698" i="1"/>
  <c r="V7697" i="1"/>
  <c r="U7697" i="1"/>
  <c r="T7697" i="1"/>
  <c r="S7697" i="1"/>
  <c r="R7697" i="1"/>
  <c r="Q7697" i="1"/>
  <c r="M7697" i="1"/>
  <c r="L7697" i="1"/>
  <c r="V7696" i="1"/>
  <c r="U7696" i="1"/>
  <c r="T7696" i="1"/>
  <c r="S7696" i="1"/>
  <c r="R7696" i="1"/>
  <c r="Q7696" i="1"/>
  <c r="M7696" i="1"/>
  <c r="L7696" i="1"/>
  <c r="V7695" i="1"/>
  <c r="U7695" i="1"/>
  <c r="T7695" i="1"/>
  <c r="S7695" i="1"/>
  <c r="R7695" i="1"/>
  <c r="Q7695" i="1"/>
  <c r="M7695" i="1"/>
  <c r="L7695" i="1"/>
  <c r="V7694" i="1"/>
  <c r="U7694" i="1"/>
  <c r="T7694" i="1"/>
  <c r="S7694" i="1"/>
  <c r="R7694" i="1"/>
  <c r="Q7694" i="1"/>
  <c r="M7694" i="1"/>
  <c r="L7694" i="1"/>
  <c r="V7693" i="1"/>
  <c r="U7693" i="1"/>
  <c r="T7693" i="1"/>
  <c r="S7693" i="1"/>
  <c r="R7693" i="1"/>
  <c r="Q7693" i="1"/>
  <c r="M7693" i="1"/>
  <c r="L7693" i="1"/>
  <c r="V7692" i="1"/>
  <c r="U7692" i="1"/>
  <c r="T7692" i="1"/>
  <c r="S7692" i="1"/>
  <c r="R7692" i="1"/>
  <c r="Q7692" i="1"/>
  <c r="M7692" i="1"/>
  <c r="L7692" i="1"/>
  <c r="V7691" i="1"/>
  <c r="U7691" i="1"/>
  <c r="T7691" i="1"/>
  <c r="S7691" i="1"/>
  <c r="R7691" i="1"/>
  <c r="Q7691" i="1"/>
  <c r="M7691" i="1"/>
  <c r="L7691" i="1"/>
  <c r="V7690" i="1"/>
  <c r="U7690" i="1"/>
  <c r="T7690" i="1"/>
  <c r="S7690" i="1"/>
  <c r="R7690" i="1"/>
  <c r="Q7690" i="1"/>
  <c r="M7690" i="1"/>
  <c r="L7690" i="1"/>
  <c r="V7689" i="1"/>
  <c r="U7689" i="1"/>
  <c r="T7689" i="1"/>
  <c r="S7689" i="1"/>
  <c r="R7689" i="1"/>
  <c r="Q7689" i="1"/>
  <c r="M7689" i="1"/>
  <c r="L7689" i="1"/>
  <c r="V7688" i="1"/>
  <c r="U7688" i="1"/>
  <c r="T7688" i="1"/>
  <c r="S7688" i="1"/>
  <c r="R7688" i="1"/>
  <c r="Q7688" i="1"/>
  <c r="M7688" i="1"/>
  <c r="L7688" i="1"/>
  <c r="V7687" i="1"/>
  <c r="U7687" i="1"/>
  <c r="T7687" i="1"/>
  <c r="S7687" i="1"/>
  <c r="R7687" i="1"/>
  <c r="Q7687" i="1"/>
  <c r="M7687" i="1"/>
  <c r="L7687" i="1"/>
  <c r="V7686" i="1"/>
  <c r="U7686" i="1"/>
  <c r="T7686" i="1"/>
  <c r="S7686" i="1"/>
  <c r="R7686" i="1"/>
  <c r="Q7686" i="1"/>
  <c r="M7686" i="1"/>
  <c r="L7686" i="1"/>
  <c r="V7685" i="1"/>
  <c r="U7685" i="1"/>
  <c r="T7685" i="1"/>
  <c r="S7685" i="1"/>
  <c r="R7685" i="1"/>
  <c r="Q7685" i="1"/>
  <c r="M7685" i="1"/>
  <c r="L7685" i="1"/>
  <c r="V7684" i="1"/>
  <c r="U7684" i="1"/>
  <c r="T7684" i="1"/>
  <c r="S7684" i="1"/>
  <c r="R7684" i="1"/>
  <c r="Q7684" i="1"/>
  <c r="M7684" i="1"/>
  <c r="L7684" i="1"/>
  <c r="V7683" i="1"/>
  <c r="U7683" i="1"/>
  <c r="T7683" i="1"/>
  <c r="S7683" i="1"/>
  <c r="R7683" i="1"/>
  <c r="Q7683" i="1"/>
  <c r="M7683" i="1"/>
  <c r="L7683" i="1"/>
  <c r="V7682" i="1"/>
  <c r="U7682" i="1"/>
  <c r="T7682" i="1"/>
  <c r="S7682" i="1"/>
  <c r="R7682" i="1"/>
  <c r="Q7682" i="1"/>
  <c r="M7682" i="1"/>
  <c r="L7682" i="1"/>
  <c r="V7681" i="1"/>
  <c r="U7681" i="1"/>
  <c r="T7681" i="1"/>
  <c r="S7681" i="1"/>
  <c r="R7681" i="1"/>
  <c r="Q7681" i="1"/>
  <c r="M7681" i="1"/>
  <c r="L7681" i="1"/>
  <c r="V7680" i="1"/>
  <c r="U7680" i="1"/>
  <c r="T7680" i="1"/>
  <c r="S7680" i="1"/>
  <c r="R7680" i="1"/>
  <c r="Q7680" i="1"/>
  <c r="M7680" i="1"/>
  <c r="L7680" i="1"/>
  <c r="V7679" i="1"/>
  <c r="U7679" i="1"/>
  <c r="T7679" i="1"/>
  <c r="S7679" i="1"/>
  <c r="R7679" i="1"/>
  <c r="Q7679" i="1"/>
  <c r="M7679" i="1"/>
  <c r="L7679" i="1"/>
  <c r="V7678" i="1"/>
  <c r="U7678" i="1"/>
  <c r="T7678" i="1"/>
  <c r="S7678" i="1"/>
  <c r="R7678" i="1"/>
  <c r="Q7678" i="1"/>
  <c r="M7678" i="1"/>
  <c r="L7678" i="1"/>
  <c r="V7677" i="1"/>
  <c r="U7677" i="1"/>
  <c r="T7677" i="1"/>
  <c r="S7677" i="1"/>
  <c r="R7677" i="1"/>
  <c r="Q7677" i="1"/>
  <c r="M7677" i="1"/>
  <c r="L7677" i="1"/>
  <c r="V7676" i="1"/>
  <c r="U7676" i="1"/>
  <c r="T7676" i="1"/>
  <c r="S7676" i="1"/>
  <c r="R7676" i="1"/>
  <c r="Q7676" i="1"/>
  <c r="M7676" i="1"/>
  <c r="L7676" i="1"/>
  <c r="V7675" i="1"/>
  <c r="U7675" i="1"/>
  <c r="T7675" i="1"/>
  <c r="S7675" i="1"/>
  <c r="R7675" i="1"/>
  <c r="Q7675" i="1"/>
  <c r="M7675" i="1"/>
  <c r="L7675" i="1"/>
  <c r="V7674" i="1"/>
  <c r="U7674" i="1"/>
  <c r="T7674" i="1"/>
  <c r="S7674" i="1"/>
  <c r="R7674" i="1"/>
  <c r="Q7674" i="1"/>
  <c r="M7674" i="1"/>
  <c r="L7674" i="1"/>
  <c r="V7673" i="1"/>
  <c r="U7673" i="1"/>
  <c r="T7673" i="1"/>
  <c r="S7673" i="1"/>
  <c r="R7673" i="1"/>
  <c r="Q7673" i="1"/>
  <c r="M7673" i="1"/>
  <c r="L7673" i="1"/>
  <c r="V7672" i="1"/>
  <c r="U7672" i="1"/>
  <c r="T7672" i="1"/>
  <c r="S7672" i="1"/>
  <c r="R7672" i="1"/>
  <c r="Q7672" i="1"/>
  <c r="M7672" i="1"/>
  <c r="L7672" i="1"/>
  <c r="V7671" i="1"/>
  <c r="U7671" i="1"/>
  <c r="T7671" i="1"/>
  <c r="S7671" i="1"/>
  <c r="R7671" i="1"/>
  <c r="Q7671" i="1"/>
  <c r="M7671" i="1"/>
  <c r="L7671" i="1"/>
  <c r="V7670" i="1"/>
  <c r="U7670" i="1"/>
  <c r="T7670" i="1"/>
  <c r="S7670" i="1"/>
  <c r="R7670" i="1"/>
  <c r="Q7670" i="1"/>
  <c r="M7670" i="1"/>
  <c r="L7670" i="1"/>
  <c r="V7669" i="1"/>
  <c r="U7669" i="1"/>
  <c r="T7669" i="1"/>
  <c r="S7669" i="1"/>
  <c r="R7669" i="1"/>
  <c r="Q7669" i="1"/>
  <c r="M7669" i="1"/>
  <c r="L7669" i="1"/>
  <c r="V7668" i="1"/>
  <c r="U7668" i="1"/>
  <c r="T7668" i="1"/>
  <c r="S7668" i="1"/>
  <c r="R7668" i="1"/>
  <c r="Q7668" i="1"/>
  <c r="M7668" i="1"/>
  <c r="L7668" i="1"/>
  <c r="V7667" i="1"/>
  <c r="U7667" i="1"/>
  <c r="T7667" i="1"/>
  <c r="S7667" i="1"/>
  <c r="R7667" i="1"/>
  <c r="Q7667" i="1"/>
  <c r="M7667" i="1"/>
  <c r="L7667" i="1"/>
  <c r="V7666" i="1"/>
  <c r="U7666" i="1"/>
  <c r="T7666" i="1"/>
  <c r="S7666" i="1"/>
  <c r="R7666" i="1"/>
  <c r="Q7666" i="1"/>
  <c r="M7666" i="1"/>
  <c r="L7666" i="1"/>
  <c r="V7665" i="1"/>
  <c r="U7665" i="1"/>
  <c r="T7665" i="1"/>
  <c r="S7665" i="1"/>
  <c r="R7665" i="1"/>
  <c r="Q7665" i="1"/>
  <c r="M7665" i="1"/>
  <c r="L7665" i="1"/>
  <c r="V7664" i="1"/>
  <c r="U7664" i="1"/>
  <c r="T7664" i="1"/>
  <c r="S7664" i="1"/>
  <c r="R7664" i="1"/>
  <c r="Q7664" i="1"/>
  <c r="M7664" i="1"/>
  <c r="L7664" i="1"/>
  <c r="V7663" i="1"/>
  <c r="U7663" i="1"/>
  <c r="T7663" i="1"/>
  <c r="S7663" i="1"/>
  <c r="R7663" i="1"/>
  <c r="Q7663" i="1"/>
  <c r="M7663" i="1"/>
  <c r="L7663" i="1"/>
  <c r="V7662" i="1"/>
  <c r="U7662" i="1"/>
  <c r="T7662" i="1"/>
  <c r="S7662" i="1"/>
  <c r="R7662" i="1"/>
  <c r="Q7662" i="1"/>
  <c r="M7662" i="1"/>
  <c r="L7662" i="1"/>
  <c r="V7661" i="1"/>
  <c r="U7661" i="1"/>
  <c r="T7661" i="1"/>
  <c r="S7661" i="1"/>
  <c r="R7661" i="1"/>
  <c r="Q7661" i="1"/>
  <c r="M7661" i="1"/>
  <c r="L7661" i="1"/>
  <c r="V7660" i="1"/>
  <c r="U7660" i="1"/>
  <c r="T7660" i="1"/>
  <c r="S7660" i="1"/>
  <c r="R7660" i="1"/>
  <c r="Q7660" i="1"/>
  <c r="M7660" i="1"/>
  <c r="L7660" i="1"/>
  <c r="V7659" i="1"/>
  <c r="U7659" i="1"/>
  <c r="T7659" i="1"/>
  <c r="S7659" i="1"/>
  <c r="R7659" i="1"/>
  <c r="Q7659" i="1"/>
  <c r="M7659" i="1"/>
  <c r="L7659" i="1"/>
  <c r="V7658" i="1"/>
  <c r="U7658" i="1"/>
  <c r="T7658" i="1"/>
  <c r="S7658" i="1"/>
  <c r="R7658" i="1"/>
  <c r="Q7658" i="1"/>
  <c r="M7658" i="1"/>
  <c r="L7658" i="1"/>
  <c r="V7657" i="1"/>
  <c r="U7657" i="1"/>
  <c r="T7657" i="1"/>
  <c r="S7657" i="1"/>
  <c r="R7657" i="1"/>
  <c r="Q7657" i="1"/>
  <c r="M7657" i="1"/>
  <c r="L7657" i="1"/>
  <c r="V7656" i="1"/>
  <c r="U7656" i="1"/>
  <c r="T7656" i="1"/>
  <c r="S7656" i="1"/>
  <c r="R7656" i="1"/>
  <c r="Q7656" i="1"/>
  <c r="M7656" i="1"/>
  <c r="L7656" i="1"/>
  <c r="V7655" i="1"/>
  <c r="U7655" i="1"/>
  <c r="T7655" i="1"/>
  <c r="S7655" i="1"/>
  <c r="R7655" i="1"/>
  <c r="Q7655" i="1"/>
  <c r="M7655" i="1"/>
  <c r="L7655" i="1"/>
  <c r="V7654" i="1"/>
  <c r="U7654" i="1"/>
  <c r="T7654" i="1"/>
  <c r="S7654" i="1"/>
  <c r="R7654" i="1"/>
  <c r="Q7654" i="1"/>
  <c r="M7654" i="1"/>
  <c r="L7654" i="1"/>
  <c r="V7653" i="1"/>
  <c r="U7653" i="1"/>
  <c r="T7653" i="1"/>
  <c r="S7653" i="1"/>
  <c r="R7653" i="1"/>
  <c r="Q7653" i="1"/>
  <c r="M7653" i="1"/>
  <c r="L7653" i="1"/>
  <c r="V7652" i="1"/>
  <c r="U7652" i="1"/>
  <c r="T7652" i="1"/>
  <c r="S7652" i="1"/>
  <c r="R7652" i="1"/>
  <c r="Q7652" i="1"/>
  <c r="M7652" i="1"/>
  <c r="L7652" i="1"/>
  <c r="V7651" i="1"/>
  <c r="U7651" i="1"/>
  <c r="T7651" i="1"/>
  <c r="S7651" i="1"/>
  <c r="R7651" i="1"/>
  <c r="Q7651" i="1"/>
  <c r="M7651" i="1"/>
  <c r="L7651" i="1"/>
  <c r="V7650" i="1"/>
  <c r="U7650" i="1"/>
  <c r="T7650" i="1"/>
  <c r="S7650" i="1"/>
  <c r="R7650" i="1"/>
  <c r="Q7650" i="1"/>
  <c r="M7650" i="1"/>
  <c r="L7650" i="1"/>
  <c r="V7649" i="1"/>
  <c r="U7649" i="1"/>
  <c r="T7649" i="1"/>
  <c r="S7649" i="1"/>
  <c r="R7649" i="1"/>
  <c r="Q7649" i="1"/>
  <c r="M7649" i="1"/>
  <c r="L7649" i="1"/>
  <c r="V7648" i="1"/>
  <c r="U7648" i="1"/>
  <c r="T7648" i="1"/>
  <c r="S7648" i="1"/>
  <c r="R7648" i="1"/>
  <c r="Q7648" i="1"/>
  <c r="M7648" i="1"/>
  <c r="L7648" i="1"/>
  <c r="V7647" i="1"/>
  <c r="U7647" i="1"/>
  <c r="T7647" i="1"/>
  <c r="S7647" i="1"/>
  <c r="R7647" i="1"/>
  <c r="Q7647" i="1"/>
  <c r="M7647" i="1"/>
  <c r="L7647" i="1"/>
  <c r="V7646" i="1"/>
  <c r="U7646" i="1"/>
  <c r="T7646" i="1"/>
  <c r="S7646" i="1"/>
  <c r="R7646" i="1"/>
  <c r="Q7646" i="1"/>
  <c r="M7646" i="1"/>
  <c r="L7646" i="1"/>
  <c r="V7645" i="1"/>
  <c r="U7645" i="1"/>
  <c r="T7645" i="1"/>
  <c r="S7645" i="1"/>
  <c r="R7645" i="1"/>
  <c r="Q7645" i="1"/>
  <c r="M7645" i="1"/>
  <c r="L7645" i="1"/>
  <c r="V7644" i="1"/>
  <c r="U7644" i="1"/>
  <c r="T7644" i="1"/>
  <c r="S7644" i="1"/>
  <c r="R7644" i="1"/>
  <c r="Q7644" i="1"/>
  <c r="M7644" i="1"/>
  <c r="L7644" i="1"/>
  <c r="V7643" i="1"/>
  <c r="U7643" i="1"/>
  <c r="T7643" i="1"/>
  <c r="S7643" i="1"/>
  <c r="R7643" i="1"/>
  <c r="Q7643" i="1"/>
  <c r="M7643" i="1"/>
  <c r="L7643" i="1"/>
  <c r="V7642" i="1"/>
  <c r="U7642" i="1"/>
  <c r="T7642" i="1"/>
  <c r="S7642" i="1"/>
  <c r="R7642" i="1"/>
  <c r="Q7642" i="1"/>
  <c r="M7642" i="1"/>
  <c r="L7642" i="1"/>
  <c r="V7641" i="1"/>
  <c r="U7641" i="1"/>
  <c r="T7641" i="1"/>
  <c r="S7641" i="1"/>
  <c r="R7641" i="1"/>
  <c r="Q7641" i="1"/>
  <c r="M7641" i="1"/>
  <c r="L7641" i="1"/>
  <c r="V7640" i="1"/>
  <c r="U7640" i="1"/>
  <c r="T7640" i="1"/>
  <c r="S7640" i="1"/>
  <c r="R7640" i="1"/>
  <c r="Q7640" i="1"/>
  <c r="M7640" i="1"/>
  <c r="L7640" i="1"/>
  <c r="V7639" i="1"/>
  <c r="U7639" i="1"/>
  <c r="T7639" i="1"/>
  <c r="S7639" i="1"/>
  <c r="R7639" i="1"/>
  <c r="Q7639" i="1"/>
  <c r="M7639" i="1"/>
  <c r="L7639" i="1"/>
  <c r="V7638" i="1"/>
  <c r="U7638" i="1"/>
  <c r="T7638" i="1"/>
  <c r="S7638" i="1"/>
  <c r="R7638" i="1"/>
  <c r="Q7638" i="1"/>
  <c r="M7638" i="1"/>
  <c r="L7638" i="1"/>
  <c r="V7637" i="1"/>
  <c r="U7637" i="1"/>
  <c r="T7637" i="1"/>
  <c r="S7637" i="1"/>
  <c r="R7637" i="1"/>
  <c r="Q7637" i="1"/>
  <c r="M7637" i="1"/>
  <c r="L7637" i="1"/>
  <c r="V7636" i="1"/>
  <c r="U7636" i="1"/>
  <c r="T7636" i="1"/>
  <c r="S7636" i="1"/>
  <c r="R7636" i="1"/>
  <c r="Q7636" i="1"/>
  <c r="M7636" i="1"/>
  <c r="L7636" i="1"/>
  <c r="V7635" i="1"/>
  <c r="U7635" i="1"/>
  <c r="T7635" i="1"/>
  <c r="S7635" i="1"/>
  <c r="R7635" i="1"/>
  <c r="Q7635" i="1"/>
  <c r="M7635" i="1"/>
  <c r="L7635" i="1"/>
  <c r="V7634" i="1"/>
  <c r="U7634" i="1"/>
  <c r="T7634" i="1"/>
  <c r="S7634" i="1"/>
  <c r="R7634" i="1"/>
  <c r="Q7634" i="1"/>
  <c r="M7634" i="1"/>
  <c r="L7634" i="1"/>
  <c r="V7633" i="1"/>
  <c r="U7633" i="1"/>
  <c r="T7633" i="1"/>
  <c r="S7633" i="1"/>
  <c r="R7633" i="1"/>
  <c r="Q7633" i="1"/>
  <c r="M7633" i="1"/>
  <c r="L7633" i="1"/>
  <c r="V7632" i="1"/>
  <c r="U7632" i="1"/>
  <c r="T7632" i="1"/>
  <c r="S7632" i="1"/>
  <c r="R7632" i="1"/>
  <c r="Q7632" i="1"/>
  <c r="M7632" i="1"/>
  <c r="L7632" i="1"/>
  <c r="V7631" i="1"/>
  <c r="U7631" i="1"/>
  <c r="T7631" i="1"/>
  <c r="S7631" i="1"/>
  <c r="R7631" i="1"/>
  <c r="Q7631" i="1"/>
  <c r="M7631" i="1"/>
  <c r="L7631" i="1"/>
  <c r="V7630" i="1"/>
  <c r="U7630" i="1"/>
  <c r="T7630" i="1"/>
  <c r="S7630" i="1"/>
  <c r="R7630" i="1"/>
  <c r="Q7630" i="1"/>
  <c r="M7630" i="1"/>
  <c r="L7630" i="1"/>
  <c r="V7629" i="1"/>
  <c r="U7629" i="1"/>
  <c r="T7629" i="1"/>
  <c r="S7629" i="1"/>
  <c r="R7629" i="1"/>
  <c r="Q7629" i="1"/>
  <c r="M7629" i="1"/>
  <c r="L7629" i="1"/>
  <c r="V7628" i="1"/>
  <c r="U7628" i="1"/>
  <c r="T7628" i="1"/>
  <c r="S7628" i="1"/>
  <c r="R7628" i="1"/>
  <c r="Q7628" i="1"/>
  <c r="M7628" i="1"/>
  <c r="L7628" i="1"/>
  <c r="V7627" i="1"/>
  <c r="U7627" i="1"/>
  <c r="T7627" i="1"/>
  <c r="S7627" i="1"/>
  <c r="R7627" i="1"/>
  <c r="Q7627" i="1"/>
  <c r="M7627" i="1"/>
  <c r="L7627" i="1"/>
  <c r="V7626" i="1"/>
  <c r="U7626" i="1"/>
  <c r="T7626" i="1"/>
  <c r="S7626" i="1"/>
  <c r="R7626" i="1"/>
  <c r="Q7626" i="1"/>
  <c r="M7626" i="1"/>
  <c r="L7626" i="1"/>
  <c r="V7625" i="1"/>
  <c r="U7625" i="1"/>
  <c r="T7625" i="1"/>
  <c r="S7625" i="1"/>
  <c r="R7625" i="1"/>
  <c r="Q7625" i="1"/>
  <c r="M7625" i="1"/>
  <c r="L7625" i="1"/>
  <c r="V7624" i="1"/>
  <c r="U7624" i="1"/>
  <c r="T7624" i="1"/>
  <c r="S7624" i="1"/>
  <c r="R7624" i="1"/>
  <c r="Q7624" i="1"/>
  <c r="M7624" i="1"/>
  <c r="L7624" i="1"/>
  <c r="V7623" i="1"/>
  <c r="U7623" i="1"/>
  <c r="T7623" i="1"/>
  <c r="S7623" i="1"/>
  <c r="R7623" i="1"/>
  <c r="Q7623" i="1"/>
  <c r="M7623" i="1"/>
  <c r="L7623" i="1"/>
  <c r="V7622" i="1"/>
  <c r="U7622" i="1"/>
  <c r="T7622" i="1"/>
  <c r="S7622" i="1"/>
  <c r="R7622" i="1"/>
  <c r="Q7622" i="1"/>
  <c r="M7622" i="1"/>
  <c r="L7622" i="1"/>
  <c r="V7621" i="1"/>
  <c r="U7621" i="1"/>
  <c r="T7621" i="1"/>
  <c r="S7621" i="1"/>
  <c r="R7621" i="1"/>
  <c r="Q7621" i="1"/>
  <c r="M7621" i="1"/>
  <c r="L7621" i="1"/>
  <c r="V7620" i="1"/>
  <c r="U7620" i="1"/>
  <c r="T7620" i="1"/>
  <c r="S7620" i="1"/>
  <c r="R7620" i="1"/>
  <c r="Q7620" i="1"/>
  <c r="M7620" i="1"/>
  <c r="L7620" i="1"/>
  <c r="V7619" i="1"/>
  <c r="U7619" i="1"/>
  <c r="T7619" i="1"/>
  <c r="S7619" i="1"/>
  <c r="R7619" i="1"/>
  <c r="Q7619" i="1"/>
  <c r="M7619" i="1"/>
  <c r="L7619" i="1"/>
  <c r="V7618" i="1"/>
  <c r="U7618" i="1"/>
  <c r="T7618" i="1"/>
  <c r="S7618" i="1"/>
  <c r="R7618" i="1"/>
  <c r="Q7618" i="1"/>
  <c r="M7618" i="1"/>
  <c r="L7618" i="1"/>
  <c r="V7617" i="1"/>
  <c r="U7617" i="1"/>
  <c r="T7617" i="1"/>
  <c r="S7617" i="1"/>
  <c r="R7617" i="1"/>
  <c r="Q7617" i="1"/>
  <c r="M7617" i="1"/>
  <c r="L7617" i="1"/>
  <c r="V7616" i="1"/>
  <c r="U7616" i="1"/>
  <c r="T7616" i="1"/>
  <c r="S7616" i="1"/>
  <c r="R7616" i="1"/>
  <c r="Q7616" i="1"/>
  <c r="M7616" i="1"/>
  <c r="L7616" i="1"/>
  <c r="V7615" i="1"/>
  <c r="U7615" i="1"/>
  <c r="T7615" i="1"/>
  <c r="S7615" i="1"/>
  <c r="R7615" i="1"/>
  <c r="Q7615" i="1"/>
  <c r="M7615" i="1"/>
  <c r="L7615" i="1"/>
  <c r="V7614" i="1"/>
  <c r="U7614" i="1"/>
  <c r="T7614" i="1"/>
  <c r="S7614" i="1"/>
  <c r="R7614" i="1"/>
  <c r="Q7614" i="1"/>
  <c r="M7614" i="1"/>
  <c r="L7614" i="1"/>
  <c r="V7613" i="1"/>
  <c r="U7613" i="1"/>
  <c r="T7613" i="1"/>
  <c r="S7613" i="1"/>
  <c r="R7613" i="1"/>
  <c r="Q7613" i="1"/>
  <c r="M7613" i="1"/>
  <c r="L7613" i="1"/>
  <c r="V7612" i="1"/>
  <c r="U7612" i="1"/>
  <c r="T7612" i="1"/>
  <c r="S7612" i="1"/>
  <c r="R7612" i="1"/>
  <c r="Q7612" i="1"/>
  <c r="M7612" i="1"/>
  <c r="L7612" i="1"/>
  <c r="V7611" i="1"/>
  <c r="U7611" i="1"/>
  <c r="T7611" i="1"/>
  <c r="S7611" i="1"/>
  <c r="R7611" i="1"/>
  <c r="Q7611" i="1"/>
  <c r="M7611" i="1"/>
  <c r="L7611" i="1"/>
  <c r="V7610" i="1"/>
  <c r="U7610" i="1"/>
  <c r="T7610" i="1"/>
  <c r="S7610" i="1"/>
  <c r="R7610" i="1"/>
  <c r="Q7610" i="1"/>
  <c r="M7610" i="1"/>
  <c r="L7610" i="1"/>
  <c r="V7609" i="1"/>
  <c r="U7609" i="1"/>
  <c r="T7609" i="1"/>
  <c r="S7609" i="1"/>
  <c r="R7609" i="1"/>
  <c r="Q7609" i="1"/>
  <c r="M7609" i="1"/>
  <c r="L7609" i="1"/>
  <c r="V7608" i="1"/>
  <c r="U7608" i="1"/>
  <c r="T7608" i="1"/>
  <c r="S7608" i="1"/>
  <c r="R7608" i="1"/>
  <c r="Q7608" i="1"/>
  <c r="M7608" i="1"/>
  <c r="L7608" i="1"/>
  <c r="V7607" i="1"/>
  <c r="U7607" i="1"/>
  <c r="T7607" i="1"/>
  <c r="S7607" i="1"/>
  <c r="R7607" i="1"/>
  <c r="Q7607" i="1"/>
  <c r="M7607" i="1"/>
  <c r="L7607" i="1"/>
  <c r="V7606" i="1"/>
  <c r="U7606" i="1"/>
  <c r="T7606" i="1"/>
  <c r="S7606" i="1"/>
  <c r="R7606" i="1"/>
  <c r="Q7606" i="1"/>
  <c r="M7606" i="1"/>
  <c r="L7606" i="1"/>
  <c r="V7605" i="1"/>
  <c r="U7605" i="1"/>
  <c r="T7605" i="1"/>
  <c r="S7605" i="1"/>
  <c r="R7605" i="1"/>
  <c r="Q7605" i="1"/>
  <c r="M7605" i="1"/>
  <c r="L7605" i="1"/>
  <c r="V7604" i="1"/>
  <c r="U7604" i="1"/>
  <c r="T7604" i="1"/>
  <c r="S7604" i="1"/>
  <c r="R7604" i="1"/>
  <c r="Q7604" i="1"/>
  <c r="M7604" i="1"/>
  <c r="L7604" i="1"/>
  <c r="V7603" i="1"/>
  <c r="U7603" i="1"/>
  <c r="T7603" i="1"/>
  <c r="S7603" i="1"/>
  <c r="R7603" i="1"/>
  <c r="Q7603" i="1"/>
  <c r="M7603" i="1"/>
  <c r="L7603" i="1"/>
  <c r="V7602" i="1"/>
  <c r="U7602" i="1"/>
  <c r="T7602" i="1"/>
  <c r="S7602" i="1"/>
  <c r="R7602" i="1"/>
  <c r="Q7602" i="1"/>
  <c r="M7602" i="1"/>
  <c r="L7602" i="1"/>
  <c r="V7601" i="1"/>
  <c r="U7601" i="1"/>
  <c r="T7601" i="1"/>
  <c r="S7601" i="1"/>
  <c r="R7601" i="1"/>
  <c r="Q7601" i="1"/>
  <c r="M7601" i="1"/>
  <c r="L7601" i="1"/>
  <c r="V7600" i="1"/>
  <c r="U7600" i="1"/>
  <c r="T7600" i="1"/>
  <c r="S7600" i="1"/>
  <c r="R7600" i="1"/>
  <c r="Q7600" i="1"/>
  <c r="M7600" i="1"/>
  <c r="L7600" i="1"/>
  <c r="V7599" i="1"/>
  <c r="U7599" i="1"/>
  <c r="T7599" i="1"/>
  <c r="S7599" i="1"/>
  <c r="R7599" i="1"/>
  <c r="Q7599" i="1"/>
  <c r="M7599" i="1"/>
  <c r="L7599" i="1"/>
  <c r="V7598" i="1"/>
  <c r="U7598" i="1"/>
  <c r="T7598" i="1"/>
  <c r="S7598" i="1"/>
  <c r="R7598" i="1"/>
  <c r="Q7598" i="1"/>
  <c r="M7598" i="1"/>
  <c r="L7598" i="1"/>
  <c r="V7597" i="1"/>
  <c r="U7597" i="1"/>
  <c r="T7597" i="1"/>
  <c r="S7597" i="1"/>
  <c r="R7597" i="1"/>
  <c r="Q7597" i="1"/>
  <c r="M7597" i="1"/>
  <c r="L7597" i="1"/>
  <c r="V7596" i="1"/>
  <c r="U7596" i="1"/>
  <c r="T7596" i="1"/>
  <c r="S7596" i="1"/>
  <c r="R7596" i="1"/>
  <c r="Q7596" i="1"/>
  <c r="M7596" i="1"/>
  <c r="L7596" i="1"/>
  <c r="V7595" i="1"/>
  <c r="U7595" i="1"/>
  <c r="T7595" i="1"/>
  <c r="S7595" i="1"/>
  <c r="R7595" i="1"/>
  <c r="Q7595" i="1"/>
  <c r="M7595" i="1"/>
  <c r="L7595" i="1"/>
  <c r="V7594" i="1"/>
  <c r="U7594" i="1"/>
  <c r="T7594" i="1"/>
  <c r="S7594" i="1"/>
  <c r="R7594" i="1"/>
  <c r="Q7594" i="1"/>
  <c r="M7594" i="1"/>
  <c r="L7594" i="1"/>
  <c r="V7593" i="1"/>
  <c r="U7593" i="1"/>
  <c r="T7593" i="1"/>
  <c r="S7593" i="1"/>
  <c r="R7593" i="1"/>
  <c r="Q7593" i="1"/>
  <c r="M7593" i="1"/>
  <c r="L7593" i="1"/>
  <c r="V7592" i="1"/>
  <c r="U7592" i="1"/>
  <c r="T7592" i="1"/>
  <c r="S7592" i="1"/>
  <c r="R7592" i="1"/>
  <c r="Q7592" i="1"/>
  <c r="M7592" i="1"/>
  <c r="L7592" i="1"/>
  <c r="V7591" i="1"/>
  <c r="U7591" i="1"/>
  <c r="T7591" i="1"/>
  <c r="S7591" i="1"/>
  <c r="R7591" i="1"/>
  <c r="Q7591" i="1"/>
  <c r="M7591" i="1"/>
  <c r="L7591" i="1"/>
  <c r="V7590" i="1"/>
  <c r="U7590" i="1"/>
  <c r="T7590" i="1"/>
  <c r="S7590" i="1"/>
  <c r="R7590" i="1"/>
  <c r="Q7590" i="1"/>
  <c r="M7590" i="1"/>
  <c r="L7590" i="1"/>
  <c r="V7589" i="1"/>
  <c r="U7589" i="1"/>
  <c r="T7589" i="1"/>
  <c r="S7589" i="1"/>
  <c r="R7589" i="1"/>
  <c r="Q7589" i="1"/>
  <c r="M7589" i="1"/>
  <c r="L7589" i="1"/>
  <c r="V7588" i="1"/>
  <c r="U7588" i="1"/>
  <c r="T7588" i="1"/>
  <c r="S7588" i="1"/>
  <c r="R7588" i="1"/>
  <c r="Q7588" i="1"/>
  <c r="M7588" i="1"/>
  <c r="L7588" i="1"/>
  <c r="V7587" i="1"/>
  <c r="U7587" i="1"/>
  <c r="T7587" i="1"/>
  <c r="S7587" i="1"/>
  <c r="R7587" i="1"/>
  <c r="Q7587" i="1"/>
  <c r="M7587" i="1"/>
  <c r="L7587" i="1"/>
  <c r="V7586" i="1"/>
  <c r="U7586" i="1"/>
  <c r="T7586" i="1"/>
  <c r="S7586" i="1"/>
  <c r="R7586" i="1"/>
  <c r="Q7586" i="1"/>
  <c r="M7586" i="1"/>
  <c r="L7586" i="1"/>
  <c r="V7585" i="1"/>
  <c r="U7585" i="1"/>
  <c r="T7585" i="1"/>
  <c r="S7585" i="1"/>
  <c r="R7585" i="1"/>
  <c r="Q7585" i="1"/>
  <c r="M7585" i="1"/>
  <c r="L7585" i="1"/>
  <c r="V7584" i="1"/>
  <c r="U7584" i="1"/>
  <c r="T7584" i="1"/>
  <c r="S7584" i="1"/>
  <c r="R7584" i="1"/>
  <c r="Q7584" i="1"/>
  <c r="M7584" i="1"/>
  <c r="L7584" i="1"/>
  <c r="V7583" i="1"/>
  <c r="U7583" i="1"/>
  <c r="T7583" i="1"/>
  <c r="S7583" i="1"/>
  <c r="R7583" i="1"/>
  <c r="Q7583" i="1"/>
  <c r="M7583" i="1"/>
  <c r="L7583" i="1"/>
  <c r="V7582" i="1"/>
  <c r="U7582" i="1"/>
  <c r="T7582" i="1"/>
  <c r="S7582" i="1"/>
  <c r="R7582" i="1"/>
  <c r="Q7582" i="1"/>
  <c r="M7582" i="1"/>
  <c r="L7582" i="1"/>
  <c r="V7581" i="1"/>
  <c r="U7581" i="1"/>
  <c r="T7581" i="1"/>
  <c r="S7581" i="1"/>
  <c r="R7581" i="1"/>
  <c r="Q7581" i="1"/>
  <c r="M7581" i="1"/>
  <c r="L7581" i="1"/>
  <c r="V7580" i="1"/>
  <c r="U7580" i="1"/>
  <c r="T7580" i="1"/>
  <c r="S7580" i="1"/>
  <c r="R7580" i="1"/>
  <c r="Q7580" i="1"/>
  <c r="M7580" i="1"/>
  <c r="L7580" i="1"/>
  <c r="V7579" i="1"/>
  <c r="U7579" i="1"/>
  <c r="T7579" i="1"/>
  <c r="S7579" i="1"/>
  <c r="R7579" i="1"/>
  <c r="Q7579" i="1"/>
  <c r="M7579" i="1"/>
  <c r="L7579" i="1"/>
  <c r="V7578" i="1"/>
  <c r="U7578" i="1"/>
  <c r="T7578" i="1"/>
  <c r="S7578" i="1"/>
  <c r="R7578" i="1"/>
  <c r="Q7578" i="1"/>
  <c r="M7578" i="1"/>
  <c r="L7578" i="1"/>
  <c r="V7577" i="1"/>
  <c r="U7577" i="1"/>
  <c r="T7577" i="1"/>
  <c r="S7577" i="1"/>
  <c r="R7577" i="1"/>
  <c r="Q7577" i="1"/>
  <c r="M7577" i="1"/>
  <c r="L7577" i="1"/>
  <c r="V7576" i="1"/>
  <c r="U7576" i="1"/>
  <c r="T7576" i="1"/>
  <c r="S7576" i="1"/>
  <c r="R7576" i="1"/>
  <c r="Q7576" i="1"/>
  <c r="M7576" i="1"/>
  <c r="L7576" i="1"/>
  <c r="V7575" i="1"/>
  <c r="U7575" i="1"/>
  <c r="T7575" i="1"/>
  <c r="S7575" i="1"/>
  <c r="R7575" i="1"/>
  <c r="Q7575" i="1"/>
  <c r="M7575" i="1"/>
  <c r="L7575" i="1"/>
  <c r="V7574" i="1"/>
  <c r="U7574" i="1"/>
  <c r="T7574" i="1"/>
  <c r="S7574" i="1"/>
  <c r="R7574" i="1"/>
  <c r="Q7574" i="1"/>
  <c r="M7574" i="1"/>
  <c r="L7574" i="1"/>
  <c r="V7573" i="1"/>
  <c r="U7573" i="1"/>
  <c r="T7573" i="1"/>
  <c r="S7573" i="1"/>
  <c r="R7573" i="1"/>
  <c r="Q7573" i="1"/>
  <c r="M7573" i="1"/>
  <c r="L7573" i="1"/>
  <c r="V7572" i="1"/>
  <c r="U7572" i="1"/>
  <c r="T7572" i="1"/>
  <c r="S7572" i="1"/>
  <c r="R7572" i="1"/>
  <c r="Q7572" i="1"/>
  <c r="M7572" i="1"/>
  <c r="L7572" i="1"/>
  <c r="V7571" i="1"/>
  <c r="U7571" i="1"/>
  <c r="T7571" i="1"/>
  <c r="S7571" i="1"/>
  <c r="R7571" i="1"/>
  <c r="Q7571" i="1"/>
  <c r="M7571" i="1"/>
  <c r="L7571" i="1"/>
  <c r="V7570" i="1"/>
  <c r="U7570" i="1"/>
  <c r="T7570" i="1"/>
  <c r="S7570" i="1"/>
  <c r="R7570" i="1"/>
  <c r="Q7570" i="1"/>
  <c r="M7570" i="1"/>
  <c r="L7570" i="1"/>
  <c r="V7569" i="1"/>
  <c r="U7569" i="1"/>
  <c r="T7569" i="1"/>
  <c r="S7569" i="1"/>
  <c r="R7569" i="1"/>
  <c r="Q7569" i="1"/>
  <c r="M7569" i="1"/>
  <c r="L7569" i="1"/>
  <c r="V7568" i="1"/>
  <c r="U7568" i="1"/>
  <c r="T7568" i="1"/>
  <c r="S7568" i="1"/>
  <c r="R7568" i="1"/>
  <c r="Q7568" i="1"/>
  <c r="M7568" i="1"/>
  <c r="L7568" i="1"/>
  <c r="V7567" i="1"/>
  <c r="U7567" i="1"/>
  <c r="T7567" i="1"/>
  <c r="S7567" i="1"/>
  <c r="R7567" i="1"/>
  <c r="Q7567" i="1"/>
  <c r="M7567" i="1"/>
  <c r="L7567" i="1"/>
  <c r="V7566" i="1"/>
  <c r="U7566" i="1"/>
  <c r="T7566" i="1"/>
  <c r="S7566" i="1"/>
  <c r="R7566" i="1"/>
  <c r="Q7566" i="1"/>
  <c r="M7566" i="1"/>
  <c r="L7566" i="1"/>
  <c r="V7565" i="1"/>
  <c r="U7565" i="1"/>
  <c r="T7565" i="1"/>
  <c r="S7565" i="1"/>
  <c r="R7565" i="1"/>
  <c r="Q7565" i="1"/>
  <c r="M7565" i="1"/>
  <c r="L7565" i="1"/>
  <c r="V7564" i="1"/>
  <c r="U7564" i="1"/>
  <c r="T7564" i="1"/>
  <c r="S7564" i="1"/>
  <c r="R7564" i="1"/>
  <c r="Q7564" i="1"/>
  <c r="M7564" i="1"/>
  <c r="L7564" i="1"/>
  <c r="V7563" i="1"/>
  <c r="U7563" i="1"/>
  <c r="T7563" i="1"/>
  <c r="S7563" i="1"/>
  <c r="R7563" i="1"/>
  <c r="Q7563" i="1"/>
  <c r="M7563" i="1"/>
  <c r="L7563" i="1"/>
  <c r="V7562" i="1"/>
  <c r="U7562" i="1"/>
  <c r="T7562" i="1"/>
  <c r="S7562" i="1"/>
  <c r="R7562" i="1"/>
  <c r="Q7562" i="1"/>
  <c r="M7562" i="1"/>
  <c r="L7562" i="1"/>
  <c r="V7561" i="1"/>
  <c r="U7561" i="1"/>
  <c r="T7561" i="1"/>
  <c r="S7561" i="1"/>
  <c r="R7561" i="1"/>
  <c r="Q7561" i="1"/>
  <c r="M7561" i="1"/>
  <c r="L7561" i="1"/>
  <c r="V7560" i="1"/>
  <c r="U7560" i="1"/>
  <c r="T7560" i="1"/>
  <c r="S7560" i="1"/>
  <c r="R7560" i="1"/>
  <c r="Q7560" i="1"/>
  <c r="M7560" i="1"/>
  <c r="L7560" i="1"/>
  <c r="V7559" i="1"/>
  <c r="U7559" i="1"/>
  <c r="T7559" i="1"/>
  <c r="S7559" i="1"/>
  <c r="R7559" i="1"/>
  <c r="Q7559" i="1"/>
  <c r="M7559" i="1"/>
  <c r="L7559" i="1"/>
  <c r="V7558" i="1"/>
  <c r="U7558" i="1"/>
  <c r="T7558" i="1"/>
  <c r="S7558" i="1"/>
  <c r="R7558" i="1"/>
  <c r="Q7558" i="1"/>
  <c r="M7558" i="1"/>
  <c r="L7558" i="1"/>
  <c r="V7557" i="1"/>
  <c r="U7557" i="1"/>
  <c r="T7557" i="1"/>
  <c r="S7557" i="1"/>
  <c r="R7557" i="1"/>
  <c r="Q7557" i="1"/>
  <c r="M7557" i="1"/>
  <c r="L7557" i="1"/>
  <c r="V7556" i="1"/>
  <c r="U7556" i="1"/>
  <c r="T7556" i="1"/>
  <c r="S7556" i="1"/>
  <c r="R7556" i="1"/>
  <c r="Q7556" i="1"/>
  <c r="M7556" i="1"/>
  <c r="L7556" i="1"/>
  <c r="V7555" i="1"/>
  <c r="U7555" i="1"/>
  <c r="T7555" i="1"/>
  <c r="S7555" i="1"/>
  <c r="R7555" i="1"/>
  <c r="Q7555" i="1"/>
  <c r="M7555" i="1"/>
  <c r="L7555" i="1"/>
  <c r="V7554" i="1"/>
  <c r="U7554" i="1"/>
  <c r="T7554" i="1"/>
  <c r="S7554" i="1"/>
  <c r="R7554" i="1"/>
  <c r="Q7554" i="1"/>
  <c r="M7554" i="1"/>
  <c r="L7554" i="1"/>
  <c r="V7553" i="1"/>
  <c r="U7553" i="1"/>
  <c r="T7553" i="1"/>
  <c r="S7553" i="1"/>
  <c r="R7553" i="1"/>
  <c r="Q7553" i="1"/>
  <c r="M7553" i="1"/>
  <c r="L7553" i="1"/>
  <c r="V7552" i="1"/>
  <c r="U7552" i="1"/>
  <c r="T7552" i="1"/>
  <c r="S7552" i="1"/>
  <c r="R7552" i="1"/>
  <c r="Q7552" i="1"/>
  <c r="M7552" i="1"/>
  <c r="L7552" i="1"/>
  <c r="V7551" i="1"/>
  <c r="U7551" i="1"/>
  <c r="T7551" i="1"/>
  <c r="S7551" i="1"/>
  <c r="R7551" i="1"/>
  <c r="Q7551" i="1"/>
  <c r="M7551" i="1"/>
  <c r="L7551" i="1"/>
  <c r="V7550" i="1"/>
  <c r="U7550" i="1"/>
  <c r="T7550" i="1"/>
  <c r="S7550" i="1"/>
  <c r="R7550" i="1"/>
  <c r="Q7550" i="1"/>
  <c r="M7550" i="1"/>
  <c r="L7550" i="1"/>
  <c r="V7549" i="1"/>
  <c r="U7549" i="1"/>
  <c r="T7549" i="1"/>
  <c r="S7549" i="1"/>
  <c r="R7549" i="1"/>
  <c r="Q7549" i="1"/>
  <c r="M7549" i="1"/>
  <c r="L7549" i="1"/>
  <c r="V7548" i="1"/>
  <c r="U7548" i="1"/>
  <c r="T7548" i="1"/>
  <c r="S7548" i="1"/>
  <c r="R7548" i="1"/>
  <c r="Q7548" i="1"/>
  <c r="M7548" i="1"/>
  <c r="L7548" i="1"/>
  <c r="V7547" i="1"/>
  <c r="U7547" i="1"/>
  <c r="T7547" i="1"/>
  <c r="S7547" i="1"/>
  <c r="R7547" i="1"/>
  <c r="Q7547" i="1"/>
  <c r="M7547" i="1"/>
  <c r="L7547" i="1"/>
  <c r="V7546" i="1"/>
  <c r="U7546" i="1"/>
  <c r="T7546" i="1"/>
  <c r="S7546" i="1"/>
  <c r="R7546" i="1"/>
  <c r="Q7546" i="1"/>
  <c r="M7546" i="1"/>
  <c r="L7546" i="1"/>
  <c r="V7545" i="1"/>
  <c r="U7545" i="1"/>
  <c r="T7545" i="1"/>
  <c r="S7545" i="1"/>
  <c r="R7545" i="1"/>
  <c r="Q7545" i="1"/>
  <c r="M7545" i="1"/>
  <c r="L7545" i="1"/>
  <c r="V7544" i="1"/>
  <c r="U7544" i="1"/>
  <c r="T7544" i="1"/>
  <c r="S7544" i="1"/>
  <c r="R7544" i="1"/>
  <c r="Q7544" i="1"/>
  <c r="M7544" i="1"/>
  <c r="L7544" i="1"/>
  <c r="V7543" i="1"/>
  <c r="U7543" i="1"/>
  <c r="T7543" i="1"/>
  <c r="S7543" i="1"/>
  <c r="R7543" i="1"/>
  <c r="Q7543" i="1"/>
  <c r="M7543" i="1"/>
  <c r="L7543" i="1"/>
  <c r="V7542" i="1"/>
  <c r="U7542" i="1"/>
  <c r="T7542" i="1"/>
  <c r="S7542" i="1"/>
  <c r="R7542" i="1"/>
  <c r="Q7542" i="1"/>
  <c r="M7542" i="1"/>
  <c r="L7542" i="1"/>
  <c r="V7541" i="1"/>
  <c r="U7541" i="1"/>
  <c r="T7541" i="1"/>
  <c r="S7541" i="1"/>
  <c r="R7541" i="1"/>
  <c r="Q7541" i="1"/>
  <c r="M7541" i="1"/>
  <c r="L7541" i="1"/>
  <c r="V7540" i="1"/>
  <c r="U7540" i="1"/>
  <c r="T7540" i="1"/>
  <c r="S7540" i="1"/>
  <c r="R7540" i="1"/>
  <c r="Q7540" i="1"/>
  <c r="M7540" i="1"/>
  <c r="L7540" i="1"/>
  <c r="V7539" i="1"/>
  <c r="U7539" i="1"/>
  <c r="T7539" i="1"/>
  <c r="S7539" i="1"/>
  <c r="R7539" i="1"/>
  <c r="Q7539" i="1"/>
  <c r="M7539" i="1"/>
  <c r="L7539" i="1"/>
  <c r="V7538" i="1"/>
  <c r="U7538" i="1"/>
  <c r="T7538" i="1"/>
  <c r="S7538" i="1"/>
  <c r="R7538" i="1"/>
  <c r="Q7538" i="1"/>
  <c r="M7538" i="1"/>
  <c r="L7538" i="1"/>
  <c r="V7537" i="1"/>
  <c r="U7537" i="1"/>
  <c r="T7537" i="1"/>
  <c r="S7537" i="1"/>
  <c r="R7537" i="1"/>
  <c r="Q7537" i="1"/>
  <c r="M7537" i="1"/>
  <c r="L7537" i="1"/>
  <c r="V7536" i="1"/>
  <c r="U7536" i="1"/>
  <c r="T7536" i="1"/>
  <c r="S7536" i="1"/>
  <c r="R7536" i="1"/>
  <c r="Q7536" i="1"/>
  <c r="M7536" i="1"/>
  <c r="L7536" i="1"/>
  <c r="V7535" i="1"/>
  <c r="U7535" i="1"/>
  <c r="T7535" i="1"/>
  <c r="S7535" i="1"/>
  <c r="R7535" i="1"/>
  <c r="Q7535" i="1"/>
  <c r="M7535" i="1"/>
  <c r="L7535" i="1"/>
  <c r="V7534" i="1"/>
  <c r="U7534" i="1"/>
  <c r="T7534" i="1"/>
  <c r="S7534" i="1"/>
  <c r="R7534" i="1"/>
  <c r="Q7534" i="1"/>
  <c r="M7534" i="1"/>
  <c r="L7534" i="1"/>
  <c r="V7533" i="1"/>
  <c r="U7533" i="1"/>
  <c r="T7533" i="1"/>
  <c r="S7533" i="1"/>
  <c r="R7533" i="1"/>
  <c r="Q7533" i="1"/>
  <c r="M7533" i="1"/>
  <c r="L7533" i="1"/>
  <c r="V7532" i="1"/>
  <c r="U7532" i="1"/>
  <c r="T7532" i="1"/>
  <c r="S7532" i="1"/>
  <c r="R7532" i="1"/>
  <c r="Q7532" i="1"/>
  <c r="M7532" i="1"/>
  <c r="L7532" i="1"/>
  <c r="V7531" i="1"/>
  <c r="U7531" i="1"/>
  <c r="T7531" i="1"/>
  <c r="S7531" i="1"/>
  <c r="R7531" i="1"/>
  <c r="Q7531" i="1"/>
  <c r="M7531" i="1"/>
  <c r="L7531" i="1"/>
  <c r="V7530" i="1"/>
  <c r="U7530" i="1"/>
  <c r="T7530" i="1"/>
  <c r="S7530" i="1"/>
  <c r="R7530" i="1"/>
  <c r="Q7530" i="1"/>
  <c r="M7530" i="1"/>
  <c r="L7530" i="1"/>
  <c r="V7529" i="1"/>
  <c r="U7529" i="1"/>
  <c r="T7529" i="1"/>
  <c r="S7529" i="1"/>
  <c r="R7529" i="1"/>
  <c r="Q7529" i="1"/>
  <c r="M7529" i="1"/>
  <c r="L7529" i="1"/>
  <c r="V7528" i="1"/>
  <c r="U7528" i="1"/>
  <c r="T7528" i="1"/>
  <c r="S7528" i="1"/>
  <c r="R7528" i="1"/>
  <c r="Q7528" i="1"/>
  <c r="M7528" i="1"/>
  <c r="L7528" i="1"/>
  <c r="V7527" i="1"/>
  <c r="U7527" i="1"/>
  <c r="T7527" i="1"/>
  <c r="S7527" i="1"/>
  <c r="R7527" i="1"/>
  <c r="Q7527" i="1"/>
  <c r="M7527" i="1"/>
  <c r="L7527" i="1"/>
  <c r="V7526" i="1"/>
  <c r="U7526" i="1"/>
  <c r="T7526" i="1"/>
  <c r="S7526" i="1"/>
  <c r="R7526" i="1"/>
  <c r="Q7526" i="1"/>
  <c r="M7526" i="1"/>
  <c r="L7526" i="1"/>
  <c r="V7525" i="1"/>
  <c r="U7525" i="1"/>
  <c r="T7525" i="1"/>
  <c r="S7525" i="1"/>
  <c r="R7525" i="1"/>
  <c r="Q7525" i="1"/>
  <c r="M7525" i="1"/>
  <c r="L7525" i="1"/>
  <c r="V7524" i="1"/>
  <c r="U7524" i="1"/>
  <c r="T7524" i="1"/>
  <c r="S7524" i="1"/>
  <c r="R7524" i="1"/>
  <c r="Q7524" i="1"/>
  <c r="M7524" i="1"/>
  <c r="L7524" i="1"/>
  <c r="V7523" i="1"/>
  <c r="U7523" i="1"/>
  <c r="T7523" i="1"/>
  <c r="S7523" i="1"/>
  <c r="R7523" i="1"/>
  <c r="Q7523" i="1"/>
  <c r="M7523" i="1"/>
  <c r="L7523" i="1"/>
  <c r="V7522" i="1"/>
  <c r="U7522" i="1"/>
  <c r="T7522" i="1"/>
  <c r="S7522" i="1"/>
  <c r="R7522" i="1"/>
  <c r="Q7522" i="1"/>
  <c r="M7522" i="1"/>
  <c r="L7522" i="1"/>
  <c r="V7521" i="1"/>
  <c r="U7521" i="1"/>
  <c r="T7521" i="1"/>
  <c r="S7521" i="1"/>
  <c r="R7521" i="1"/>
  <c r="Q7521" i="1"/>
  <c r="M7521" i="1"/>
  <c r="L7521" i="1"/>
  <c r="V7520" i="1"/>
  <c r="U7520" i="1"/>
  <c r="T7520" i="1"/>
  <c r="S7520" i="1"/>
  <c r="R7520" i="1"/>
  <c r="Q7520" i="1"/>
  <c r="M7520" i="1"/>
  <c r="L7520" i="1"/>
  <c r="V7519" i="1"/>
  <c r="U7519" i="1"/>
  <c r="T7519" i="1"/>
  <c r="S7519" i="1"/>
  <c r="R7519" i="1"/>
  <c r="Q7519" i="1"/>
  <c r="M7519" i="1"/>
  <c r="L7519" i="1"/>
  <c r="V7518" i="1"/>
  <c r="U7518" i="1"/>
  <c r="T7518" i="1"/>
  <c r="S7518" i="1"/>
  <c r="R7518" i="1"/>
  <c r="Q7518" i="1"/>
  <c r="M7518" i="1"/>
  <c r="L7518" i="1"/>
  <c r="V7517" i="1"/>
  <c r="U7517" i="1"/>
  <c r="T7517" i="1"/>
  <c r="S7517" i="1"/>
  <c r="R7517" i="1"/>
  <c r="Q7517" i="1"/>
  <c r="M7517" i="1"/>
  <c r="L7517" i="1"/>
  <c r="V7516" i="1"/>
  <c r="U7516" i="1"/>
  <c r="T7516" i="1"/>
  <c r="S7516" i="1"/>
  <c r="R7516" i="1"/>
  <c r="Q7516" i="1"/>
  <c r="M7516" i="1"/>
  <c r="L7516" i="1"/>
  <c r="V7515" i="1"/>
  <c r="U7515" i="1"/>
  <c r="T7515" i="1"/>
  <c r="S7515" i="1"/>
  <c r="R7515" i="1"/>
  <c r="Q7515" i="1"/>
  <c r="M7515" i="1"/>
  <c r="L7515" i="1"/>
  <c r="V7514" i="1"/>
  <c r="U7514" i="1"/>
  <c r="T7514" i="1"/>
  <c r="S7514" i="1"/>
  <c r="R7514" i="1"/>
  <c r="Q7514" i="1"/>
  <c r="M7514" i="1"/>
  <c r="L7514" i="1"/>
  <c r="V7513" i="1"/>
  <c r="U7513" i="1"/>
  <c r="T7513" i="1"/>
  <c r="S7513" i="1"/>
  <c r="R7513" i="1"/>
  <c r="Q7513" i="1"/>
  <c r="M7513" i="1"/>
  <c r="L7513" i="1"/>
  <c r="V7512" i="1"/>
  <c r="U7512" i="1"/>
  <c r="T7512" i="1"/>
  <c r="S7512" i="1"/>
  <c r="R7512" i="1"/>
  <c r="Q7512" i="1"/>
  <c r="M7512" i="1"/>
  <c r="L7512" i="1"/>
  <c r="V7511" i="1"/>
  <c r="U7511" i="1"/>
  <c r="T7511" i="1"/>
  <c r="S7511" i="1"/>
  <c r="R7511" i="1"/>
  <c r="Q7511" i="1"/>
  <c r="M7511" i="1"/>
  <c r="L7511" i="1"/>
  <c r="V7510" i="1"/>
  <c r="U7510" i="1"/>
  <c r="T7510" i="1"/>
  <c r="S7510" i="1"/>
  <c r="R7510" i="1"/>
  <c r="Q7510" i="1"/>
  <c r="M7510" i="1"/>
  <c r="L7510" i="1"/>
  <c r="V7509" i="1"/>
  <c r="U7509" i="1"/>
  <c r="T7509" i="1"/>
  <c r="S7509" i="1"/>
  <c r="R7509" i="1"/>
  <c r="Q7509" i="1"/>
  <c r="M7509" i="1"/>
  <c r="L7509" i="1"/>
  <c r="V7508" i="1"/>
  <c r="U7508" i="1"/>
  <c r="T7508" i="1"/>
  <c r="S7508" i="1"/>
  <c r="R7508" i="1"/>
  <c r="Q7508" i="1"/>
  <c r="M7508" i="1"/>
  <c r="L7508" i="1"/>
  <c r="V7507" i="1"/>
  <c r="U7507" i="1"/>
  <c r="T7507" i="1"/>
  <c r="S7507" i="1"/>
  <c r="R7507" i="1"/>
  <c r="Q7507" i="1"/>
  <c r="M7507" i="1"/>
  <c r="L7507" i="1"/>
  <c r="V7506" i="1"/>
  <c r="U7506" i="1"/>
  <c r="T7506" i="1"/>
  <c r="S7506" i="1"/>
  <c r="R7506" i="1"/>
  <c r="Q7506" i="1"/>
  <c r="M7506" i="1"/>
  <c r="L7506" i="1"/>
  <c r="V7505" i="1"/>
  <c r="U7505" i="1"/>
  <c r="T7505" i="1"/>
  <c r="S7505" i="1"/>
  <c r="R7505" i="1"/>
  <c r="Q7505" i="1"/>
  <c r="M7505" i="1"/>
  <c r="L7505" i="1"/>
  <c r="V7504" i="1"/>
  <c r="U7504" i="1"/>
  <c r="T7504" i="1"/>
  <c r="S7504" i="1"/>
  <c r="R7504" i="1"/>
  <c r="Q7504" i="1"/>
  <c r="M7504" i="1"/>
  <c r="L7504" i="1"/>
  <c r="V7503" i="1"/>
  <c r="U7503" i="1"/>
  <c r="T7503" i="1"/>
  <c r="S7503" i="1"/>
  <c r="R7503" i="1"/>
  <c r="Q7503" i="1"/>
  <c r="M7503" i="1"/>
  <c r="L7503" i="1"/>
  <c r="V7502" i="1"/>
  <c r="U7502" i="1"/>
  <c r="T7502" i="1"/>
  <c r="S7502" i="1"/>
  <c r="R7502" i="1"/>
  <c r="Q7502" i="1"/>
  <c r="M7502" i="1"/>
  <c r="L7502" i="1"/>
  <c r="V7501" i="1"/>
  <c r="U7501" i="1"/>
  <c r="T7501" i="1"/>
  <c r="S7501" i="1"/>
  <c r="R7501" i="1"/>
  <c r="Q7501" i="1"/>
  <c r="M7501" i="1"/>
  <c r="L7501" i="1"/>
  <c r="V7500" i="1"/>
  <c r="U7500" i="1"/>
  <c r="T7500" i="1"/>
  <c r="S7500" i="1"/>
  <c r="R7500" i="1"/>
  <c r="Q7500" i="1"/>
  <c r="M7500" i="1"/>
  <c r="L7500" i="1"/>
  <c r="V7499" i="1"/>
  <c r="U7499" i="1"/>
  <c r="T7499" i="1"/>
  <c r="S7499" i="1"/>
  <c r="R7499" i="1"/>
  <c r="Q7499" i="1"/>
  <c r="M7499" i="1"/>
  <c r="L7499" i="1"/>
  <c r="V7498" i="1"/>
  <c r="U7498" i="1"/>
  <c r="T7498" i="1"/>
  <c r="S7498" i="1"/>
  <c r="R7498" i="1"/>
  <c r="Q7498" i="1"/>
  <c r="M7498" i="1"/>
  <c r="L7498" i="1"/>
  <c r="V7497" i="1"/>
  <c r="U7497" i="1"/>
  <c r="T7497" i="1"/>
  <c r="S7497" i="1"/>
  <c r="R7497" i="1"/>
  <c r="Q7497" i="1"/>
  <c r="M7497" i="1"/>
  <c r="L7497" i="1"/>
  <c r="V7496" i="1"/>
  <c r="U7496" i="1"/>
  <c r="T7496" i="1"/>
  <c r="S7496" i="1"/>
  <c r="R7496" i="1"/>
  <c r="Q7496" i="1"/>
  <c r="M7496" i="1"/>
  <c r="L7496" i="1"/>
  <c r="V7495" i="1"/>
  <c r="U7495" i="1"/>
  <c r="T7495" i="1"/>
  <c r="S7495" i="1"/>
  <c r="R7495" i="1"/>
  <c r="Q7495" i="1"/>
  <c r="M7495" i="1"/>
  <c r="L7495" i="1"/>
  <c r="V7494" i="1"/>
  <c r="U7494" i="1"/>
  <c r="T7494" i="1"/>
  <c r="S7494" i="1"/>
  <c r="R7494" i="1"/>
  <c r="Q7494" i="1"/>
  <c r="M7494" i="1"/>
  <c r="L7494" i="1"/>
  <c r="V7493" i="1"/>
  <c r="U7493" i="1"/>
  <c r="T7493" i="1"/>
  <c r="S7493" i="1"/>
  <c r="R7493" i="1"/>
  <c r="Q7493" i="1"/>
  <c r="M7493" i="1"/>
  <c r="L7493" i="1"/>
  <c r="V7492" i="1"/>
  <c r="U7492" i="1"/>
  <c r="T7492" i="1"/>
  <c r="S7492" i="1"/>
  <c r="R7492" i="1"/>
  <c r="Q7492" i="1"/>
  <c r="M7492" i="1"/>
  <c r="L7492" i="1"/>
  <c r="V7491" i="1"/>
  <c r="U7491" i="1"/>
  <c r="T7491" i="1"/>
  <c r="S7491" i="1"/>
  <c r="R7491" i="1"/>
  <c r="Q7491" i="1"/>
  <c r="M7491" i="1"/>
  <c r="L7491" i="1"/>
  <c r="V7490" i="1"/>
  <c r="U7490" i="1"/>
  <c r="T7490" i="1"/>
  <c r="S7490" i="1"/>
  <c r="R7490" i="1"/>
  <c r="Q7490" i="1"/>
  <c r="M7490" i="1"/>
  <c r="L7490" i="1"/>
  <c r="V7489" i="1"/>
  <c r="U7489" i="1"/>
  <c r="T7489" i="1"/>
  <c r="S7489" i="1"/>
  <c r="R7489" i="1"/>
  <c r="Q7489" i="1"/>
  <c r="M7489" i="1"/>
  <c r="L7489" i="1"/>
  <c r="V7488" i="1"/>
  <c r="U7488" i="1"/>
  <c r="T7488" i="1"/>
  <c r="S7488" i="1"/>
  <c r="R7488" i="1"/>
  <c r="Q7488" i="1"/>
  <c r="M7488" i="1"/>
  <c r="L7488" i="1"/>
  <c r="V7487" i="1"/>
  <c r="U7487" i="1"/>
  <c r="T7487" i="1"/>
  <c r="S7487" i="1"/>
  <c r="R7487" i="1"/>
  <c r="Q7487" i="1"/>
  <c r="M7487" i="1"/>
  <c r="L7487" i="1"/>
  <c r="V7486" i="1"/>
  <c r="U7486" i="1"/>
  <c r="T7486" i="1"/>
  <c r="S7486" i="1"/>
  <c r="R7486" i="1"/>
  <c r="Q7486" i="1"/>
  <c r="M7486" i="1"/>
  <c r="L7486" i="1"/>
  <c r="V7485" i="1"/>
  <c r="U7485" i="1"/>
  <c r="T7485" i="1"/>
  <c r="S7485" i="1"/>
  <c r="R7485" i="1"/>
  <c r="Q7485" i="1"/>
  <c r="M7485" i="1"/>
  <c r="L7485" i="1"/>
  <c r="V7484" i="1"/>
  <c r="U7484" i="1"/>
  <c r="T7484" i="1"/>
  <c r="S7484" i="1"/>
  <c r="R7484" i="1"/>
  <c r="Q7484" i="1"/>
  <c r="M7484" i="1"/>
  <c r="L7484" i="1"/>
  <c r="V7483" i="1"/>
  <c r="U7483" i="1"/>
  <c r="T7483" i="1"/>
  <c r="S7483" i="1"/>
  <c r="R7483" i="1"/>
  <c r="Q7483" i="1"/>
  <c r="M7483" i="1"/>
  <c r="L7483" i="1"/>
  <c r="V7482" i="1"/>
  <c r="U7482" i="1"/>
  <c r="T7482" i="1"/>
  <c r="S7482" i="1"/>
  <c r="R7482" i="1"/>
  <c r="Q7482" i="1"/>
  <c r="M7482" i="1"/>
  <c r="L7482" i="1"/>
  <c r="V7481" i="1"/>
  <c r="U7481" i="1"/>
  <c r="T7481" i="1"/>
  <c r="S7481" i="1"/>
  <c r="R7481" i="1"/>
  <c r="Q7481" i="1"/>
  <c r="M7481" i="1"/>
  <c r="L7481" i="1"/>
  <c r="V7480" i="1"/>
  <c r="U7480" i="1"/>
  <c r="T7480" i="1"/>
  <c r="S7480" i="1"/>
  <c r="R7480" i="1"/>
  <c r="Q7480" i="1"/>
  <c r="M7480" i="1"/>
  <c r="L7480" i="1"/>
  <c r="V7479" i="1"/>
  <c r="U7479" i="1"/>
  <c r="T7479" i="1"/>
  <c r="S7479" i="1"/>
  <c r="R7479" i="1"/>
  <c r="Q7479" i="1"/>
  <c r="M7479" i="1"/>
  <c r="L7479" i="1"/>
  <c r="V7478" i="1"/>
  <c r="U7478" i="1"/>
  <c r="T7478" i="1"/>
  <c r="S7478" i="1"/>
  <c r="R7478" i="1"/>
  <c r="Q7478" i="1"/>
  <c r="M7478" i="1"/>
  <c r="L7478" i="1"/>
  <c r="V7477" i="1"/>
  <c r="U7477" i="1"/>
  <c r="T7477" i="1"/>
  <c r="S7477" i="1"/>
  <c r="R7477" i="1"/>
  <c r="Q7477" i="1"/>
  <c r="M7477" i="1"/>
  <c r="L7477" i="1"/>
  <c r="V7476" i="1"/>
  <c r="U7476" i="1"/>
  <c r="T7476" i="1"/>
  <c r="S7476" i="1"/>
  <c r="R7476" i="1"/>
  <c r="Q7476" i="1"/>
  <c r="M7476" i="1"/>
  <c r="L7476" i="1"/>
  <c r="V7475" i="1"/>
  <c r="U7475" i="1"/>
  <c r="T7475" i="1"/>
  <c r="S7475" i="1"/>
  <c r="R7475" i="1"/>
  <c r="Q7475" i="1"/>
  <c r="M7475" i="1"/>
  <c r="L7475" i="1"/>
  <c r="V7474" i="1"/>
  <c r="U7474" i="1"/>
  <c r="T7474" i="1"/>
  <c r="S7474" i="1"/>
  <c r="R7474" i="1"/>
  <c r="Q7474" i="1"/>
  <c r="M7474" i="1"/>
  <c r="L7474" i="1"/>
  <c r="V7473" i="1"/>
  <c r="U7473" i="1"/>
  <c r="T7473" i="1"/>
  <c r="S7473" i="1"/>
  <c r="R7473" i="1"/>
  <c r="Q7473" i="1"/>
  <c r="M7473" i="1"/>
  <c r="L7473" i="1"/>
  <c r="V7472" i="1"/>
  <c r="U7472" i="1"/>
  <c r="T7472" i="1"/>
  <c r="S7472" i="1"/>
  <c r="R7472" i="1"/>
  <c r="Q7472" i="1"/>
  <c r="M7472" i="1"/>
  <c r="L7472" i="1"/>
  <c r="V7471" i="1"/>
  <c r="U7471" i="1"/>
  <c r="T7471" i="1"/>
  <c r="S7471" i="1"/>
  <c r="R7471" i="1"/>
  <c r="Q7471" i="1"/>
  <c r="M7471" i="1"/>
  <c r="L7471" i="1"/>
  <c r="V7470" i="1"/>
  <c r="U7470" i="1"/>
  <c r="T7470" i="1"/>
  <c r="S7470" i="1"/>
  <c r="R7470" i="1"/>
  <c r="Q7470" i="1"/>
  <c r="M7470" i="1"/>
  <c r="L7470" i="1"/>
  <c r="V7469" i="1"/>
  <c r="U7469" i="1"/>
  <c r="T7469" i="1"/>
  <c r="S7469" i="1"/>
  <c r="R7469" i="1"/>
  <c r="Q7469" i="1"/>
  <c r="M7469" i="1"/>
  <c r="L7469" i="1"/>
  <c r="V7468" i="1"/>
  <c r="U7468" i="1"/>
  <c r="T7468" i="1"/>
  <c r="S7468" i="1"/>
  <c r="R7468" i="1"/>
  <c r="Q7468" i="1"/>
  <c r="M7468" i="1"/>
  <c r="L7468" i="1"/>
  <c r="V7467" i="1"/>
  <c r="U7467" i="1"/>
  <c r="T7467" i="1"/>
  <c r="S7467" i="1"/>
  <c r="R7467" i="1"/>
  <c r="Q7467" i="1"/>
  <c r="M7467" i="1"/>
  <c r="L7467" i="1"/>
  <c r="V7466" i="1"/>
  <c r="U7466" i="1"/>
  <c r="T7466" i="1"/>
  <c r="S7466" i="1"/>
  <c r="R7466" i="1"/>
  <c r="Q7466" i="1"/>
  <c r="M7466" i="1"/>
  <c r="L7466" i="1"/>
  <c r="V7465" i="1"/>
  <c r="U7465" i="1"/>
  <c r="T7465" i="1"/>
  <c r="S7465" i="1"/>
  <c r="R7465" i="1"/>
  <c r="Q7465" i="1"/>
  <c r="M7465" i="1"/>
  <c r="L7465" i="1"/>
  <c r="V7464" i="1"/>
  <c r="U7464" i="1"/>
  <c r="T7464" i="1"/>
  <c r="S7464" i="1"/>
  <c r="R7464" i="1"/>
  <c r="Q7464" i="1"/>
  <c r="M7464" i="1"/>
  <c r="L7464" i="1"/>
  <c r="V7463" i="1"/>
  <c r="U7463" i="1"/>
  <c r="T7463" i="1"/>
  <c r="S7463" i="1"/>
  <c r="R7463" i="1"/>
  <c r="Q7463" i="1"/>
  <c r="M7463" i="1"/>
  <c r="L7463" i="1"/>
  <c r="V7462" i="1"/>
  <c r="U7462" i="1"/>
  <c r="T7462" i="1"/>
  <c r="S7462" i="1"/>
  <c r="R7462" i="1"/>
  <c r="Q7462" i="1"/>
  <c r="M7462" i="1"/>
  <c r="L7462" i="1"/>
  <c r="V7461" i="1"/>
  <c r="U7461" i="1"/>
  <c r="T7461" i="1"/>
  <c r="S7461" i="1"/>
  <c r="R7461" i="1"/>
  <c r="Q7461" i="1"/>
  <c r="M7461" i="1"/>
  <c r="L7461" i="1"/>
  <c r="V7460" i="1"/>
  <c r="U7460" i="1"/>
  <c r="T7460" i="1"/>
  <c r="S7460" i="1"/>
  <c r="R7460" i="1"/>
  <c r="Q7460" i="1"/>
  <c r="M7460" i="1"/>
  <c r="L7460" i="1"/>
  <c r="V7459" i="1"/>
  <c r="U7459" i="1"/>
  <c r="T7459" i="1"/>
  <c r="S7459" i="1"/>
  <c r="R7459" i="1"/>
  <c r="Q7459" i="1"/>
  <c r="M7459" i="1"/>
  <c r="L7459" i="1"/>
  <c r="V7458" i="1"/>
  <c r="U7458" i="1"/>
  <c r="T7458" i="1"/>
  <c r="S7458" i="1"/>
  <c r="R7458" i="1"/>
  <c r="Q7458" i="1"/>
  <c r="M7458" i="1"/>
  <c r="L7458" i="1"/>
  <c r="V7457" i="1"/>
  <c r="U7457" i="1"/>
  <c r="T7457" i="1"/>
  <c r="S7457" i="1"/>
  <c r="R7457" i="1"/>
  <c r="Q7457" i="1"/>
  <c r="M7457" i="1"/>
  <c r="L7457" i="1"/>
  <c r="V7456" i="1"/>
  <c r="U7456" i="1"/>
  <c r="T7456" i="1"/>
  <c r="S7456" i="1"/>
  <c r="R7456" i="1"/>
  <c r="Q7456" i="1"/>
  <c r="M7456" i="1"/>
  <c r="L7456" i="1"/>
  <c r="V7455" i="1"/>
  <c r="U7455" i="1"/>
  <c r="T7455" i="1"/>
  <c r="S7455" i="1"/>
  <c r="R7455" i="1"/>
  <c r="Q7455" i="1"/>
  <c r="M7455" i="1"/>
  <c r="L7455" i="1"/>
  <c r="V7454" i="1"/>
  <c r="U7454" i="1"/>
  <c r="T7454" i="1"/>
  <c r="S7454" i="1"/>
  <c r="R7454" i="1"/>
  <c r="Q7454" i="1"/>
  <c r="M7454" i="1"/>
  <c r="L7454" i="1"/>
  <c r="V7453" i="1"/>
  <c r="U7453" i="1"/>
  <c r="T7453" i="1"/>
  <c r="S7453" i="1"/>
  <c r="R7453" i="1"/>
  <c r="Q7453" i="1"/>
  <c r="M7453" i="1"/>
  <c r="L7453" i="1"/>
  <c r="V7452" i="1"/>
  <c r="U7452" i="1"/>
  <c r="T7452" i="1"/>
  <c r="S7452" i="1"/>
  <c r="R7452" i="1"/>
  <c r="Q7452" i="1"/>
  <c r="M7452" i="1"/>
  <c r="L7452" i="1"/>
  <c r="V7451" i="1"/>
  <c r="U7451" i="1"/>
  <c r="T7451" i="1"/>
  <c r="S7451" i="1"/>
  <c r="R7451" i="1"/>
  <c r="Q7451" i="1"/>
  <c r="M7451" i="1"/>
  <c r="L7451" i="1"/>
  <c r="V7450" i="1"/>
  <c r="U7450" i="1"/>
  <c r="T7450" i="1"/>
  <c r="S7450" i="1"/>
  <c r="R7450" i="1"/>
  <c r="Q7450" i="1"/>
  <c r="M7450" i="1"/>
  <c r="L7450" i="1"/>
  <c r="V7449" i="1"/>
  <c r="U7449" i="1"/>
  <c r="T7449" i="1"/>
  <c r="S7449" i="1"/>
  <c r="R7449" i="1"/>
  <c r="Q7449" i="1"/>
  <c r="M7449" i="1"/>
  <c r="L7449" i="1"/>
  <c r="V7448" i="1"/>
  <c r="U7448" i="1"/>
  <c r="T7448" i="1"/>
  <c r="S7448" i="1"/>
  <c r="R7448" i="1"/>
  <c r="Q7448" i="1"/>
  <c r="M7448" i="1"/>
  <c r="L7448" i="1"/>
  <c r="V7447" i="1"/>
  <c r="U7447" i="1"/>
  <c r="T7447" i="1"/>
  <c r="S7447" i="1"/>
  <c r="R7447" i="1"/>
  <c r="Q7447" i="1"/>
  <c r="M7447" i="1"/>
  <c r="L7447" i="1"/>
  <c r="V7446" i="1"/>
  <c r="U7446" i="1"/>
  <c r="T7446" i="1"/>
  <c r="S7446" i="1"/>
  <c r="R7446" i="1"/>
  <c r="Q7446" i="1"/>
  <c r="M7446" i="1"/>
  <c r="L7446" i="1"/>
  <c r="V7445" i="1"/>
  <c r="U7445" i="1"/>
  <c r="T7445" i="1"/>
  <c r="S7445" i="1"/>
  <c r="R7445" i="1"/>
  <c r="Q7445" i="1"/>
  <c r="M7445" i="1"/>
  <c r="L7445" i="1"/>
  <c r="V7444" i="1"/>
  <c r="U7444" i="1"/>
  <c r="T7444" i="1"/>
  <c r="S7444" i="1"/>
  <c r="R7444" i="1"/>
  <c r="Q7444" i="1"/>
  <c r="M7444" i="1"/>
  <c r="L7444" i="1"/>
  <c r="V7443" i="1"/>
  <c r="U7443" i="1"/>
  <c r="T7443" i="1"/>
  <c r="S7443" i="1"/>
  <c r="R7443" i="1"/>
  <c r="Q7443" i="1"/>
  <c r="M7443" i="1"/>
  <c r="L7443" i="1"/>
  <c r="V7442" i="1"/>
  <c r="U7442" i="1"/>
  <c r="T7442" i="1"/>
  <c r="S7442" i="1"/>
  <c r="R7442" i="1"/>
  <c r="Q7442" i="1"/>
  <c r="M7442" i="1"/>
  <c r="L7442" i="1"/>
  <c r="V7441" i="1"/>
  <c r="U7441" i="1"/>
  <c r="T7441" i="1"/>
  <c r="S7441" i="1"/>
  <c r="R7441" i="1"/>
  <c r="Q7441" i="1"/>
  <c r="M7441" i="1"/>
  <c r="L7441" i="1"/>
  <c r="V7440" i="1"/>
  <c r="U7440" i="1"/>
  <c r="T7440" i="1"/>
  <c r="S7440" i="1"/>
  <c r="R7440" i="1"/>
  <c r="Q7440" i="1"/>
  <c r="M7440" i="1"/>
  <c r="L7440" i="1"/>
  <c r="V7439" i="1"/>
  <c r="U7439" i="1"/>
  <c r="T7439" i="1"/>
  <c r="S7439" i="1"/>
  <c r="R7439" i="1"/>
  <c r="Q7439" i="1"/>
  <c r="M7439" i="1"/>
  <c r="L7439" i="1"/>
  <c r="V7438" i="1"/>
  <c r="U7438" i="1"/>
  <c r="T7438" i="1"/>
  <c r="S7438" i="1"/>
  <c r="R7438" i="1"/>
  <c r="Q7438" i="1"/>
  <c r="M7438" i="1"/>
  <c r="L7438" i="1"/>
  <c r="V7437" i="1"/>
  <c r="U7437" i="1"/>
  <c r="T7437" i="1"/>
  <c r="S7437" i="1"/>
  <c r="R7437" i="1"/>
  <c r="Q7437" i="1"/>
  <c r="M7437" i="1"/>
  <c r="L7437" i="1"/>
  <c r="V7436" i="1"/>
  <c r="U7436" i="1"/>
  <c r="T7436" i="1"/>
  <c r="S7436" i="1"/>
  <c r="R7436" i="1"/>
  <c r="Q7436" i="1"/>
  <c r="M7436" i="1"/>
  <c r="L7436" i="1"/>
  <c r="V7435" i="1"/>
  <c r="U7435" i="1"/>
  <c r="T7435" i="1"/>
  <c r="S7435" i="1"/>
  <c r="R7435" i="1"/>
  <c r="Q7435" i="1"/>
  <c r="M7435" i="1"/>
  <c r="L7435" i="1"/>
  <c r="V7434" i="1"/>
  <c r="U7434" i="1"/>
  <c r="T7434" i="1"/>
  <c r="S7434" i="1"/>
  <c r="R7434" i="1"/>
  <c r="Q7434" i="1"/>
  <c r="M7434" i="1"/>
  <c r="L7434" i="1"/>
  <c r="V7433" i="1"/>
  <c r="U7433" i="1"/>
  <c r="T7433" i="1"/>
  <c r="S7433" i="1"/>
  <c r="R7433" i="1"/>
  <c r="Q7433" i="1"/>
  <c r="M7433" i="1"/>
  <c r="L7433" i="1"/>
  <c r="V7432" i="1"/>
  <c r="U7432" i="1"/>
  <c r="T7432" i="1"/>
  <c r="S7432" i="1"/>
  <c r="R7432" i="1"/>
  <c r="Q7432" i="1"/>
  <c r="M7432" i="1"/>
  <c r="L7432" i="1"/>
  <c r="V7431" i="1"/>
  <c r="U7431" i="1"/>
  <c r="T7431" i="1"/>
  <c r="S7431" i="1"/>
  <c r="R7431" i="1"/>
  <c r="Q7431" i="1"/>
  <c r="M7431" i="1"/>
  <c r="L7431" i="1"/>
  <c r="V7430" i="1"/>
  <c r="U7430" i="1"/>
  <c r="T7430" i="1"/>
  <c r="S7430" i="1"/>
  <c r="R7430" i="1"/>
  <c r="Q7430" i="1"/>
  <c r="M7430" i="1"/>
  <c r="L7430" i="1"/>
  <c r="V7429" i="1"/>
  <c r="U7429" i="1"/>
  <c r="T7429" i="1"/>
  <c r="S7429" i="1"/>
  <c r="R7429" i="1"/>
  <c r="Q7429" i="1"/>
  <c r="M7429" i="1"/>
  <c r="L7429" i="1"/>
  <c r="V7428" i="1"/>
  <c r="U7428" i="1"/>
  <c r="T7428" i="1"/>
  <c r="S7428" i="1"/>
  <c r="R7428" i="1"/>
  <c r="Q7428" i="1"/>
  <c r="M7428" i="1"/>
  <c r="L7428" i="1"/>
  <c r="V7427" i="1"/>
  <c r="U7427" i="1"/>
  <c r="T7427" i="1"/>
  <c r="S7427" i="1"/>
  <c r="R7427" i="1"/>
  <c r="Q7427" i="1"/>
  <c r="M7427" i="1"/>
  <c r="L7427" i="1"/>
  <c r="V7426" i="1"/>
  <c r="U7426" i="1"/>
  <c r="T7426" i="1"/>
  <c r="S7426" i="1"/>
  <c r="R7426" i="1"/>
  <c r="Q7426" i="1"/>
  <c r="M7426" i="1"/>
  <c r="L7426" i="1"/>
  <c r="V7425" i="1"/>
  <c r="U7425" i="1"/>
  <c r="T7425" i="1"/>
  <c r="S7425" i="1"/>
  <c r="R7425" i="1"/>
  <c r="Q7425" i="1"/>
  <c r="M7425" i="1"/>
  <c r="L7425" i="1"/>
  <c r="V7424" i="1"/>
  <c r="U7424" i="1"/>
  <c r="T7424" i="1"/>
  <c r="S7424" i="1"/>
  <c r="R7424" i="1"/>
  <c r="Q7424" i="1"/>
  <c r="M7424" i="1"/>
  <c r="L7424" i="1"/>
  <c r="V7423" i="1"/>
  <c r="U7423" i="1"/>
  <c r="T7423" i="1"/>
  <c r="S7423" i="1"/>
  <c r="R7423" i="1"/>
  <c r="Q7423" i="1"/>
  <c r="M7423" i="1"/>
  <c r="L7423" i="1"/>
  <c r="V7422" i="1"/>
  <c r="U7422" i="1"/>
  <c r="T7422" i="1"/>
  <c r="S7422" i="1"/>
  <c r="R7422" i="1"/>
  <c r="Q7422" i="1"/>
  <c r="M7422" i="1"/>
  <c r="L7422" i="1"/>
  <c r="V7421" i="1"/>
  <c r="U7421" i="1"/>
  <c r="T7421" i="1"/>
  <c r="S7421" i="1"/>
  <c r="R7421" i="1"/>
  <c r="Q7421" i="1"/>
  <c r="M7421" i="1"/>
  <c r="L7421" i="1"/>
  <c r="V7420" i="1"/>
  <c r="U7420" i="1"/>
  <c r="T7420" i="1"/>
  <c r="S7420" i="1"/>
  <c r="R7420" i="1"/>
  <c r="Q7420" i="1"/>
  <c r="M7420" i="1"/>
  <c r="L7420" i="1"/>
  <c r="V7419" i="1"/>
  <c r="U7419" i="1"/>
  <c r="T7419" i="1"/>
  <c r="S7419" i="1"/>
  <c r="R7419" i="1"/>
  <c r="Q7419" i="1"/>
  <c r="M7419" i="1"/>
  <c r="L7419" i="1"/>
  <c r="V7418" i="1"/>
  <c r="U7418" i="1"/>
  <c r="T7418" i="1"/>
  <c r="S7418" i="1"/>
  <c r="R7418" i="1"/>
  <c r="Q7418" i="1"/>
  <c r="M7418" i="1"/>
  <c r="L7418" i="1"/>
  <c r="V7417" i="1"/>
  <c r="U7417" i="1"/>
  <c r="T7417" i="1"/>
  <c r="S7417" i="1"/>
  <c r="R7417" i="1"/>
  <c r="Q7417" i="1"/>
  <c r="M7417" i="1"/>
  <c r="L7417" i="1"/>
  <c r="V7416" i="1"/>
  <c r="U7416" i="1"/>
  <c r="T7416" i="1"/>
  <c r="S7416" i="1"/>
  <c r="R7416" i="1"/>
  <c r="Q7416" i="1"/>
  <c r="M7416" i="1"/>
  <c r="L7416" i="1"/>
  <c r="V7415" i="1"/>
  <c r="U7415" i="1"/>
  <c r="T7415" i="1"/>
  <c r="S7415" i="1"/>
  <c r="R7415" i="1"/>
  <c r="Q7415" i="1"/>
  <c r="M7415" i="1"/>
  <c r="L7415" i="1"/>
  <c r="V7414" i="1"/>
  <c r="U7414" i="1"/>
  <c r="T7414" i="1"/>
  <c r="S7414" i="1"/>
  <c r="R7414" i="1"/>
  <c r="Q7414" i="1"/>
  <c r="M7414" i="1"/>
  <c r="L7414" i="1"/>
  <c r="V7413" i="1"/>
  <c r="U7413" i="1"/>
  <c r="T7413" i="1"/>
  <c r="S7413" i="1"/>
  <c r="R7413" i="1"/>
  <c r="Q7413" i="1"/>
  <c r="M7413" i="1"/>
  <c r="L7413" i="1"/>
  <c r="V7412" i="1"/>
  <c r="U7412" i="1"/>
  <c r="T7412" i="1"/>
  <c r="S7412" i="1"/>
  <c r="R7412" i="1"/>
  <c r="Q7412" i="1"/>
  <c r="M7412" i="1"/>
  <c r="L7412" i="1"/>
  <c r="V7411" i="1"/>
  <c r="U7411" i="1"/>
  <c r="T7411" i="1"/>
  <c r="S7411" i="1"/>
  <c r="R7411" i="1"/>
  <c r="Q7411" i="1"/>
  <c r="M7411" i="1"/>
  <c r="L7411" i="1"/>
  <c r="V7410" i="1"/>
  <c r="U7410" i="1"/>
  <c r="T7410" i="1"/>
  <c r="S7410" i="1"/>
  <c r="R7410" i="1"/>
  <c r="Q7410" i="1"/>
  <c r="M7410" i="1"/>
  <c r="L7410" i="1"/>
  <c r="V7409" i="1"/>
  <c r="U7409" i="1"/>
  <c r="T7409" i="1"/>
  <c r="S7409" i="1"/>
  <c r="R7409" i="1"/>
  <c r="Q7409" i="1"/>
  <c r="M7409" i="1"/>
  <c r="L7409" i="1"/>
  <c r="V7408" i="1"/>
  <c r="U7408" i="1"/>
  <c r="T7408" i="1"/>
  <c r="S7408" i="1"/>
  <c r="R7408" i="1"/>
  <c r="Q7408" i="1"/>
  <c r="M7408" i="1"/>
  <c r="L7408" i="1"/>
  <c r="V7407" i="1"/>
  <c r="U7407" i="1"/>
  <c r="T7407" i="1"/>
  <c r="S7407" i="1"/>
  <c r="R7407" i="1"/>
  <c r="Q7407" i="1"/>
  <c r="M7407" i="1"/>
  <c r="L7407" i="1"/>
  <c r="V7406" i="1"/>
  <c r="U7406" i="1"/>
  <c r="T7406" i="1"/>
  <c r="S7406" i="1"/>
  <c r="R7406" i="1"/>
  <c r="Q7406" i="1"/>
  <c r="M7406" i="1"/>
  <c r="L7406" i="1"/>
  <c r="V7405" i="1"/>
  <c r="U7405" i="1"/>
  <c r="T7405" i="1"/>
  <c r="S7405" i="1"/>
  <c r="R7405" i="1"/>
  <c r="Q7405" i="1"/>
  <c r="M7405" i="1"/>
  <c r="L7405" i="1"/>
  <c r="V7404" i="1"/>
  <c r="U7404" i="1"/>
  <c r="T7404" i="1"/>
  <c r="S7404" i="1"/>
  <c r="R7404" i="1"/>
  <c r="Q7404" i="1"/>
  <c r="M7404" i="1"/>
  <c r="L7404" i="1"/>
  <c r="V7403" i="1"/>
  <c r="U7403" i="1"/>
  <c r="T7403" i="1"/>
  <c r="S7403" i="1"/>
  <c r="R7403" i="1"/>
  <c r="Q7403" i="1"/>
  <c r="M7403" i="1"/>
  <c r="L7403" i="1"/>
  <c r="V7402" i="1"/>
  <c r="U7402" i="1"/>
  <c r="T7402" i="1"/>
  <c r="S7402" i="1"/>
  <c r="R7402" i="1"/>
  <c r="Q7402" i="1"/>
  <c r="M7402" i="1"/>
  <c r="L7402" i="1"/>
  <c r="V7401" i="1"/>
  <c r="U7401" i="1"/>
  <c r="T7401" i="1"/>
  <c r="S7401" i="1"/>
  <c r="R7401" i="1"/>
  <c r="Q7401" i="1"/>
  <c r="M7401" i="1"/>
  <c r="L7401" i="1"/>
  <c r="V7400" i="1"/>
  <c r="U7400" i="1"/>
  <c r="T7400" i="1"/>
  <c r="S7400" i="1"/>
  <c r="R7400" i="1"/>
  <c r="Q7400" i="1"/>
  <c r="M7400" i="1"/>
  <c r="L7400" i="1"/>
  <c r="V7399" i="1"/>
  <c r="U7399" i="1"/>
  <c r="T7399" i="1"/>
  <c r="S7399" i="1"/>
  <c r="R7399" i="1"/>
  <c r="Q7399" i="1"/>
  <c r="M7399" i="1"/>
  <c r="L7399" i="1"/>
  <c r="V7398" i="1"/>
  <c r="U7398" i="1"/>
  <c r="T7398" i="1"/>
  <c r="S7398" i="1"/>
  <c r="R7398" i="1"/>
  <c r="Q7398" i="1"/>
  <c r="M7398" i="1"/>
  <c r="L7398" i="1"/>
  <c r="V7397" i="1"/>
  <c r="U7397" i="1"/>
  <c r="T7397" i="1"/>
  <c r="S7397" i="1"/>
  <c r="R7397" i="1"/>
  <c r="Q7397" i="1"/>
  <c r="M7397" i="1"/>
  <c r="L7397" i="1"/>
  <c r="V7396" i="1"/>
  <c r="U7396" i="1"/>
  <c r="T7396" i="1"/>
  <c r="S7396" i="1"/>
  <c r="R7396" i="1"/>
  <c r="Q7396" i="1"/>
  <c r="M7396" i="1"/>
  <c r="L7396" i="1"/>
  <c r="V7395" i="1"/>
  <c r="U7395" i="1"/>
  <c r="T7395" i="1"/>
  <c r="S7395" i="1"/>
  <c r="R7395" i="1"/>
  <c r="Q7395" i="1"/>
  <c r="M7395" i="1"/>
  <c r="L7395" i="1"/>
  <c r="V7394" i="1"/>
  <c r="U7394" i="1"/>
  <c r="T7394" i="1"/>
  <c r="S7394" i="1"/>
  <c r="R7394" i="1"/>
  <c r="Q7394" i="1"/>
  <c r="M7394" i="1"/>
  <c r="L7394" i="1"/>
  <c r="V7393" i="1"/>
  <c r="U7393" i="1"/>
  <c r="T7393" i="1"/>
  <c r="S7393" i="1"/>
  <c r="R7393" i="1"/>
  <c r="Q7393" i="1"/>
  <c r="M7393" i="1"/>
  <c r="L7393" i="1"/>
  <c r="V7392" i="1"/>
  <c r="U7392" i="1"/>
  <c r="T7392" i="1"/>
  <c r="S7392" i="1"/>
  <c r="R7392" i="1"/>
  <c r="Q7392" i="1"/>
  <c r="M7392" i="1"/>
  <c r="L7392" i="1"/>
  <c r="V7391" i="1"/>
  <c r="U7391" i="1"/>
  <c r="T7391" i="1"/>
  <c r="S7391" i="1"/>
  <c r="R7391" i="1"/>
  <c r="Q7391" i="1"/>
  <c r="M7391" i="1"/>
  <c r="L7391" i="1"/>
  <c r="V7390" i="1"/>
  <c r="U7390" i="1"/>
  <c r="T7390" i="1"/>
  <c r="S7390" i="1"/>
  <c r="R7390" i="1"/>
  <c r="Q7390" i="1"/>
  <c r="M7390" i="1"/>
  <c r="L7390" i="1"/>
  <c r="V7389" i="1"/>
  <c r="U7389" i="1"/>
  <c r="T7389" i="1"/>
  <c r="S7389" i="1"/>
  <c r="R7389" i="1"/>
  <c r="Q7389" i="1"/>
  <c r="M7389" i="1"/>
  <c r="L7389" i="1"/>
  <c r="V7388" i="1"/>
  <c r="U7388" i="1"/>
  <c r="T7388" i="1"/>
  <c r="S7388" i="1"/>
  <c r="R7388" i="1"/>
  <c r="Q7388" i="1"/>
  <c r="M7388" i="1"/>
  <c r="L7388" i="1"/>
  <c r="V7387" i="1"/>
  <c r="U7387" i="1"/>
  <c r="T7387" i="1"/>
  <c r="S7387" i="1"/>
  <c r="R7387" i="1"/>
  <c r="Q7387" i="1"/>
  <c r="M7387" i="1"/>
  <c r="L7387" i="1"/>
  <c r="V7386" i="1"/>
  <c r="U7386" i="1"/>
  <c r="T7386" i="1"/>
  <c r="S7386" i="1"/>
  <c r="R7386" i="1"/>
  <c r="Q7386" i="1"/>
  <c r="M7386" i="1"/>
  <c r="L7386" i="1"/>
  <c r="V7385" i="1"/>
  <c r="U7385" i="1"/>
  <c r="T7385" i="1"/>
  <c r="S7385" i="1"/>
  <c r="R7385" i="1"/>
  <c r="Q7385" i="1"/>
  <c r="M7385" i="1"/>
  <c r="L7385" i="1"/>
  <c r="V7384" i="1"/>
  <c r="U7384" i="1"/>
  <c r="T7384" i="1"/>
  <c r="S7384" i="1"/>
  <c r="R7384" i="1"/>
  <c r="Q7384" i="1"/>
  <c r="M7384" i="1"/>
  <c r="L7384" i="1"/>
  <c r="V7383" i="1"/>
  <c r="U7383" i="1"/>
  <c r="T7383" i="1"/>
  <c r="S7383" i="1"/>
  <c r="R7383" i="1"/>
  <c r="Q7383" i="1"/>
  <c r="M7383" i="1"/>
  <c r="L7383" i="1"/>
  <c r="V7382" i="1"/>
  <c r="U7382" i="1"/>
  <c r="T7382" i="1"/>
  <c r="S7382" i="1"/>
  <c r="R7382" i="1"/>
  <c r="Q7382" i="1"/>
  <c r="M7382" i="1"/>
  <c r="L7382" i="1"/>
  <c r="V7381" i="1"/>
  <c r="U7381" i="1"/>
  <c r="T7381" i="1"/>
  <c r="S7381" i="1"/>
  <c r="R7381" i="1"/>
  <c r="Q7381" i="1"/>
  <c r="M7381" i="1"/>
  <c r="L7381" i="1"/>
  <c r="V7380" i="1"/>
  <c r="U7380" i="1"/>
  <c r="T7380" i="1"/>
  <c r="S7380" i="1"/>
  <c r="R7380" i="1"/>
  <c r="Q7380" i="1"/>
  <c r="M7380" i="1"/>
  <c r="L7380" i="1"/>
  <c r="V7379" i="1"/>
  <c r="U7379" i="1"/>
  <c r="T7379" i="1"/>
  <c r="S7379" i="1"/>
  <c r="R7379" i="1"/>
  <c r="Q7379" i="1"/>
  <c r="M7379" i="1"/>
  <c r="L7379" i="1"/>
  <c r="V7378" i="1"/>
  <c r="U7378" i="1"/>
  <c r="T7378" i="1"/>
  <c r="S7378" i="1"/>
  <c r="R7378" i="1"/>
  <c r="Q7378" i="1"/>
  <c r="M7378" i="1"/>
  <c r="L7378" i="1"/>
  <c r="V7377" i="1"/>
  <c r="U7377" i="1"/>
  <c r="T7377" i="1"/>
  <c r="S7377" i="1"/>
  <c r="R7377" i="1"/>
  <c r="Q7377" i="1"/>
  <c r="M7377" i="1"/>
  <c r="L7377" i="1"/>
  <c r="V7376" i="1"/>
  <c r="U7376" i="1"/>
  <c r="T7376" i="1"/>
  <c r="S7376" i="1"/>
  <c r="R7376" i="1"/>
  <c r="Q7376" i="1"/>
  <c r="M7376" i="1"/>
  <c r="L7376" i="1"/>
  <c r="V7375" i="1"/>
  <c r="U7375" i="1"/>
  <c r="T7375" i="1"/>
  <c r="S7375" i="1"/>
  <c r="R7375" i="1"/>
  <c r="Q7375" i="1"/>
  <c r="M7375" i="1"/>
  <c r="L7375" i="1"/>
  <c r="V7374" i="1"/>
  <c r="U7374" i="1"/>
  <c r="T7374" i="1"/>
  <c r="S7374" i="1"/>
  <c r="R7374" i="1"/>
  <c r="Q7374" i="1"/>
  <c r="M7374" i="1"/>
  <c r="L7374" i="1"/>
  <c r="V7373" i="1"/>
  <c r="U7373" i="1"/>
  <c r="T7373" i="1"/>
  <c r="S7373" i="1"/>
  <c r="R7373" i="1"/>
  <c r="Q7373" i="1"/>
  <c r="M7373" i="1"/>
  <c r="L7373" i="1"/>
  <c r="V7372" i="1"/>
  <c r="U7372" i="1"/>
  <c r="T7372" i="1"/>
  <c r="S7372" i="1"/>
  <c r="R7372" i="1"/>
  <c r="Q7372" i="1"/>
  <c r="M7372" i="1"/>
  <c r="L7372" i="1"/>
  <c r="V7371" i="1"/>
  <c r="U7371" i="1"/>
  <c r="T7371" i="1"/>
  <c r="S7371" i="1"/>
  <c r="R7371" i="1"/>
  <c r="Q7371" i="1"/>
  <c r="M7371" i="1"/>
  <c r="L7371" i="1"/>
  <c r="V7370" i="1"/>
  <c r="U7370" i="1"/>
  <c r="T7370" i="1"/>
  <c r="S7370" i="1"/>
  <c r="R7370" i="1"/>
  <c r="Q7370" i="1"/>
  <c r="M7370" i="1"/>
  <c r="L7370" i="1"/>
  <c r="V7369" i="1"/>
  <c r="U7369" i="1"/>
  <c r="T7369" i="1"/>
  <c r="S7369" i="1"/>
  <c r="R7369" i="1"/>
  <c r="Q7369" i="1"/>
  <c r="M7369" i="1"/>
  <c r="L7369" i="1"/>
  <c r="V7368" i="1"/>
  <c r="U7368" i="1"/>
  <c r="T7368" i="1"/>
  <c r="S7368" i="1"/>
  <c r="R7368" i="1"/>
  <c r="Q7368" i="1"/>
  <c r="M7368" i="1"/>
  <c r="L7368" i="1"/>
  <c r="V7367" i="1"/>
  <c r="U7367" i="1"/>
  <c r="T7367" i="1"/>
  <c r="S7367" i="1"/>
  <c r="R7367" i="1"/>
  <c r="Q7367" i="1"/>
  <c r="M7367" i="1"/>
  <c r="L7367" i="1"/>
  <c r="V7366" i="1"/>
  <c r="U7366" i="1"/>
  <c r="T7366" i="1"/>
  <c r="S7366" i="1"/>
  <c r="R7366" i="1"/>
  <c r="Q7366" i="1"/>
  <c r="M7366" i="1"/>
  <c r="L7366" i="1"/>
  <c r="V7365" i="1"/>
  <c r="U7365" i="1"/>
  <c r="T7365" i="1"/>
  <c r="S7365" i="1"/>
  <c r="R7365" i="1"/>
  <c r="Q7365" i="1"/>
  <c r="M7365" i="1"/>
  <c r="L7365" i="1"/>
  <c r="V7364" i="1"/>
  <c r="U7364" i="1"/>
  <c r="T7364" i="1"/>
  <c r="S7364" i="1"/>
  <c r="R7364" i="1"/>
  <c r="Q7364" i="1"/>
  <c r="M7364" i="1"/>
  <c r="L7364" i="1"/>
  <c r="V7363" i="1"/>
  <c r="U7363" i="1"/>
  <c r="T7363" i="1"/>
  <c r="S7363" i="1"/>
  <c r="R7363" i="1"/>
  <c r="Q7363" i="1"/>
  <c r="M7363" i="1"/>
  <c r="L7363" i="1"/>
  <c r="V7362" i="1"/>
  <c r="U7362" i="1"/>
  <c r="T7362" i="1"/>
  <c r="S7362" i="1"/>
  <c r="R7362" i="1"/>
  <c r="Q7362" i="1"/>
  <c r="M7362" i="1"/>
  <c r="L7362" i="1"/>
  <c r="V7361" i="1"/>
  <c r="U7361" i="1"/>
  <c r="T7361" i="1"/>
  <c r="S7361" i="1"/>
  <c r="R7361" i="1"/>
  <c r="Q7361" i="1"/>
  <c r="M7361" i="1"/>
  <c r="L7361" i="1"/>
  <c r="V7360" i="1"/>
  <c r="U7360" i="1"/>
  <c r="T7360" i="1"/>
  <c r="S7360" i="1"/>
  <c r="R7360" i="1"/>
  <c r="Q7360" i="1"/>
  <c r="M7360" i="1"/>
  <c r="L7360" i="1"/>
  <c r="V7359" i="1"/>
  <c r="U7359" i="1"/>
  <c r="T7359" i="1"/>
  <c r="S7359" i="1"/>
  <c r="R7359" i="1"/>
  <c r="Q7359" i="1"/>
  <c r="M7359" i="1"/>
  <c r="L7359" i="1"/>
  <c r="V7358" i="1"/>
  <c r="U7358" i="1"/>
  <c r="T7358" i="1"/>
  <c r="S7358" i="1"/>
  <c r="R7358" i="1"/>
  <c r="Q7358" i="1"/>
  <c r="M7358" i="1"/>
  <c r="L7358" i="1"/>
  <c r="V7357" i="1"/>
  <c r="U7357" i="1"/>
  <c r="T7357" i="1"/>
  <c r="S7357" i="1"/>
  <c r="R7357" i="1"/>
  <c r="Q7357" i="1"/>
  <c r="M7357" i="1"/>
  <c r="L7357" i="1"/>
  <c r="V7356" i="1"/>
  <c r="U7356" i="1"/>
  <c r="T7356" i="1"/>
  <c r="S7356" i="1"/>
  <c r="R7356" i="1"/>
  <c r="Q7356" i="1"/>
  <c r="M7356" i="1"/>
  <c r="L7356" i="1"/>
  <c r="V7355" i="1"/>
  <c r="U7355" i="1"/>
  <c r="T7355" i="1"/>
  <c r="S7355" i="1"/>
  <c r="R7355" i="1"/>
  <c r="Q7355" i="1"/>
  <c r="M7355" i="1"/>
  <c r="L7355" i="1"/>
  <c r="V7354" i="1"/>
  <c r="U7354" i="1"/>
  <c r="T7354" i="1"/>
  <c r="S7354" i="1"/>
  <c r="R7354" i="1"/>
  <c r="Q7354" i="1"/>
  <c r="M7354" i="1"/>
  <c r="L7354" i="1"/>
  <c r="V7353" i="1"/>
  <c r="U7353" i="1"/>
  <c r="T7353" i="1"/>
  <c r="S7353" i="1"/>
  <c r="R7353" i="1"/>
  <c r="Q7353" i="1"/>
  <c r="M7353" i="1"/>
  <c r="L7353" i="1"/>
  <c r="V7352" i="1"/>
  <c r="U7352" i="1"/>
  <c r="T7352" i="1"/>
  <c r="S7352" i="1"/>
  <c r="R7352" i="1"/>
  <c r="Q7352" i="1"/>
  <c r="M7352" i="1"/>
  <c r="L7352" i="1"/>
  <c r="V7351" i="1"/>
  <c r="U7351" i="1"/>
  <c r="T7351" i="1"/>
  <c r="S7351" i="1"/>
  <c r="R7351" i="1"/>
  <c r="Q7351" i="1"/>
  <c r="M7351" i="1"/>
  <c r="L7351" i="1"/>
  <c r="V7350" i="1"/>
  <c r="U7350" i="1"/>
  <c r="T7350" i="1"/>
  <c r="S7350" i="1"/>
  <c r="R7350" i="1"/>
  <c r="Q7350" i="1"/>
  <c r="M7350" i="1"/>
  <c r="L7350" i="1"/>
  <c r="V7349" i="1"/>
  <c r="U7349" i="1"/>
  <c r="T7349" i="1"/>
  <c r="S7349" i="1"/>
  <c r="R7349" i="1"/>
  <c r="Q7349" i="1"/>
  <c r="M7349" i="1"/>
  <c r="L7349" i="1"/>
  <c r="V7348" i="1"/>
  <c r="U7348" i="1"/>
  <c r="T7348" i="1"/>
  <c r="S7348" i="1"/>
  <c r="R7348" i="1"/>
  <c r="Q7348" i="1"/>
  <c r="M7348" i="1"/>
  <c r="L7348" i="1"/>
  <c r="V7347" i="1"/>
  <c r="U7347" i="1"/>
  <c r="T7347" i="1"/>
  <c r="S7347" i="1"/>
  <c r="R7347" i="1"/>
  <c r="Q7347" i="1"/>
  <c r="M7347" i="1"/>
  <c r="L7347" i="1"/>
  <c r="V7346" i="1"/>
  <c r="U7346" i="1"/>
  <c r="T7346" i="1"/>
  <c r="S7346" i="1"/>
  <c r="R7346" i="1"/>
  <c r="Q7346" i="1"/>
  <c r="M7346" i="1"/>
  <c r="L7346" i="1"/>
  <c r="V7345" i="1"/>
  <c r="U7345" i="1"/>
  <c r="T7345" i="1"/>
  <c r="S7345" i="1"/>
  <c r="R7345" i="1"/>
  <c r="Q7345" i="1"/>
  <c r="M7345" i="1"/>
  <c r="L7345" i="1"/>
  <c r="V7344" i="1"/>
  <c r="U7344" i="1"/>
  <c r="T7344" i="1"/>
  <c r="S7344" i="1"/>
  <c r="R7344" i="1"/>
  <c r="Q7344" i="1"/>
  <c r="M7344" i="1"/>
  <c r="L7344" i="1"/>
  <c r="V7343" i="1"/>
  <c r="U7343" i="1"/>
  <c r="T7343" i="1"/>
  <c r="S7343" i="1"/>
  <c r="R7343" i="1"/>
  <c r="Q7343" i="1"/>
  <c r="M7343" i="1"/>
  <c r="L7343" i="1"/>
  <c r="V7342" i="1"/>
  <c r="U7342" i="1"/>
  <c r="T7342" i="1"/>
  <c r="S7342" i="1"/>
  <c r="R7342" i="1"/>
  <c r="Q7342" i="1"/>
  <c r="M7342" i="1"/>
  <c r="L7342" i="1"/>
  <c r="V7341" i="1"/>
  <c r="U7341" i="1"/>
  <c r="T7341" i="1"/>
  <c r="S7341" i="1"/>
  <c r="R7341" i="1"/>
  <c r="Q7341" i="1"/>
  <c r="M7341" i="1"/>
  <c r="L7341" i="1"/>
  <c r="V7340" i="1"/>
  <c r="U7340" i="1"/>
  <c r="T7340" i="1"/>
  <c r="S7340" i="1"/>
  <c r="R7340" i="1"/>
  <c r="Q7340" i="1"/>
  <c r="M7340" i="1"/>
  <c r="L7340" i="1"/>
  <c r="V7339" i="1"/>
  <c r="U7339" i="1"/>
  <c r="T7339" i="1"/>
  <c r="S7339" i="1"/>
  <c r="R7339" i="1"/>
  <c r="Q7339" i="1"/>
  <c r="M7339" i="1"/>
  <c r="L7339" i="1"/>
  <c r="V7338" i="1"/>
  <c r="U7338" i="1"/>
  <c r="T7338" i="1"/>
  <c r="S7338" i="1"/>
  <c r="R7338" i="1"/>
  <c r="Q7338" i="1"/>
  <c r="M7338" i="1"/>
  <c r="L7338" i="1"/>
  <c r="V7337" i="1"/>
  <c r="U7337" i="1"/>
  <c r="T7337" i="1"/>
  <c r="S7337" i="1"/>
  <c r="R7337" i="1"/>
  <c r="Q7337" i="1"/>
  <c r="M7337" i="1"/>
  <c r="L7337" i="1"/>
  <c r="V7336" i="1"/>
  <c r="U7336" i="1"/>
  <c r="T7336" i="1"/>
  <c r="S7336" i="1"/>
  <c r="R7336" i="1"/>
  <c r="Q7336" i="1"/>
  <c r="M7336" i="1"/>
  <c r="L7336" i="1"/>
  <c r="V7335" i="1"/>
  <c r="U7335" i="1"/>
  <c r="T7335" i="1"/>
  <c r="S7335" i="1"/>
  <c r="R7335" i="1"/>
  <c r="Q7335" i="1"/>
  <c r="M7335" i="1"/>
  <c r="L7335" i="1"/>
  <c r="V7334" i="1"/>
  <c r="U7334" i="1"/>
  <c r="T7334" i="1"/>
  <c r="S7334" i="1"/>
  <c r="R7334" i="1"/>
  <c r="Q7334" i="1"/>
  <c r="M7334" i="1"/>
  <c r="L7334" i="1"/>
  <c r="V7333" i="1"/>
  <c r="U7333" i="1"/>
  <c r="T7333" i="1"/>
  <c r="S7333" i="1"/>
  <c r="R7333" i="1"/>
  <c r="Q7333" i="1"/>
  <c r="M7333" i="1"/>
  <c r="L7333" i="1"/>
  <c r="V7332" i="1"/>
  <c r="U7332" i="1"/>
  <c r="T7332" i="1"/>
  <c r="S7332" i="1"/>
  <c r="R7332" i="1"/>
  <c r="Q7332" i="1"/>
  <c r="M7332" i="1"/>
  <c r="L7332" i="1"/>
  <c r="V7331" i="1"/>
  <c r="U7331" i="1"/>
  <c r="T7331" i="1"/>
  <c r="S7331" i="1"/>
  <c r="R7331" i="1"/>
  <c r="Q7331" i="1"/>
  <c r="M7331" i="1"/>
  <c r="L7331" i="1"/>
  <c r="V7330" i="1"/>
  <c r="U7330" i="1"/>
  <c r="T7330" i="1"/>
  <c r="S7330" i="1"/>
  <c r="R7330" i="1"/>
  <c r="Q7330" i="1"/>
  <c r="M7330" i="1"/>
  <c r="L7330" i="1"/>
  <c r="V7329" i="1"/>
  <c r="U7329" i="1"/>
  <c r="T7329" i="1"/>
  <c r="S7329" i="1"/>
  <c r="R7329" i="1"/>
  <c r="Q7329" i="1"/>
  <c r="M7329" i="1"/>
  <c r="L7329" i="1"/>
  <c r="V7328" i="1"/>
  <c r="U7328" i="1"/>
  <c r="T7328" i="1"/>
  <c r="S7328" i="1"/>
  <c r="R7328" i="1"/>
  <c r="Q7328" i="1"/>
  <c r="M7328" i="1"/>
  <c r="L7328" i="1"/>
  <c r="V7327" i="1"/>
  <c r="U7327" i="1"/>
  <c r="T7327" i="1"/>
  <c r="S7327" i="1"/>
  <c r="R7327" i="1"/>
  <c r="Q7327" i="1"/>
  <c r="M7327" i="1"/>
  <c r="L7327" i="1"/>
  <c r="V7326" i="1"/>
  <c r="U7326" i="1"/>
  <c r="T7326" i="1"/>
  <c r="S7326" i="1"/>
  <c r="R7326" i="1"/>
  <c r="Q7326" i="1"/>
  <c r="M7326" i="1"/>
  <c r="L7326" i="1"/>
  <c r="V7325" i="1"/>
  <c r="U7325" i="1"/>
  <c r="T7325" i="1"/>
  <c r="S7325" i="1"/>
  <c r="R7325" i="1"/>
  <c r="Q7325" i="1"/>
  <c r="M7325" i="1"/>
  <c r="L7325" i="1"/>
  <c r="V7324" i="1"/>
  <c r="U7324" i="1"/>
  <c r="T7324" i="1"/>
  <c r="S7324" i="1"/>
  <c r="R7324" i="1"/>
  <c r="Q7324" i="1"/>
  <c r="M7324" i="1"/>
  <c r="L7324" i="1"/>
  <c r="V7323" i="1"/>
  <c r="U7323" i="1"/>
  <c r="T7323" i="1"/>
  <c r="S7323" i="1"/>
  <c r="R7323" i="1"/>
  <c r="Q7323" i="1"/>
  <c r="M7323" i="1"/>
  <c r="L7323" i="1"/>
  <c r="V7322" i="1"/>
  <c r="U7322" i="1"/>
  <c r="T7322" i="1"/>
  <c r="S7322" i="1"/>
  <c r="R7322" i="1"/>
  <c r="Q7322" i="1"/>
  <c r="M7322" i="1"/>
  <c r="L7322" i="1"/>
  <c r="V7321" i="1"/>
  <c r="U7321" i="1"/>
  <c r="T7321" i="1"/>
  <c r="S7321" i="1"/>
  <c r="R7321" i="1"/>
  <c r="Q7321" i="1"/>
  <c r="M7321" i="1"/>
  <c r="L7321" i="1"/>
  <c r="V7320" i="1"/>
  <c r="U7320" i="1"/>
  <c r="T7320" i="1"/>
  <c r="S7320" i="1"/>
  <c r="R7320" i="1"/>
  <c r="Q7320" i="1"/>
  <c r="M7320" i="1"/>
  <c r="L7320" i="1"/>
  <c r="V7319" i="1"/>
  <c r="U7319" i="1"/>
  <c r="T7319" i="1"/>
  <c r="S7319" i="1"/>
  <c r="R7319" i="1"/>
  <c r="Q7319" i="1"/>
  <c r="M7319" i="1"/>
  <c r="L7319" i="1"/>
  <c r="V7318" i="1"/>
  <c r="U7318" i="1"/>
  <c r="T7318" i="1"/>
  <c r="S7318" i="1"/>
  <c r="R7318" i="1"/>
  <c r="Q7318" i="1"/>
  <c r="M7318" i="1"/>
  <c r="L7318" i="1"/>
  <c r="V7317" i="1"/>
  <c r="U7317" i="1"/>
  <c r="T7317" i="1"/>
  <c r="S7317" i="1"/>
  <c r="R7317" i="1"/>
  <c r="Q7317" i="1"/>
  <c r="M7317" i="1"/>
  <c r="L7317" i="1"/>
  <c r="V7316" i="1"/>
  <c r="U7316" i="1"/>
  <c r="T7316" i="1"/>
  <c r="S7316" i="1"/>
  <c r="R7316" i="1"/>
  <c r="Q7316" i="1"/>
  <c r="M7316" i="1"/>
  <c r="L7316" i="1"/>
  <c r="V7315" i="1"/>
  <c r="U7315" i="1"/>
  <c r="T7315" i="1"/>
  <c r="S7315" i="1"/>
  <c r="R7315" i="1"/>
  <c r="Q7315" i="1"/>
  <c r="M7315" i="1"/>
  <c r="L7315" i="1"/>
  <c r="V7314" i="1"/>
  <c r="U7314" i="1"/>
  <c r="T7314" i="1"/>
  <c r="S7314" i="1"/>
  <c r="R7314" i="1"/>
  <c r="Q7314" i="1"/>
  <c r="M7314" i="1"/>
  <c r="L7314" i="1"/>
  <c r="V7313" i="1"/>
  <c r="U7313" i="1"/>
  <c r="T7313" i="1"/>
  <c r="S7313" i="1"/>
  <c r="R7313" i="1"/>
  <c r="Q7313" i="1"/>
  <c r="M7313" i="1"/>
  <c r="L7313" i="1"/>
  <c r="V7312" i="1"/>
  <c r="U7312" i="1"/>
  <c r="T7312" i="1"/>
  <c r="S7312" i="1"/>
  <c r="R7312" i="1"/>
  <c r="Q7312" i="1"/>
  <c r="M7312" i="1"/>
  <c r="L7312" i="1"/>
  <c r="V7311" i="1"/>
  <c r="U7311" i="1"/>
  <c r="T7311" i="1"/>
  <c r="S7311" i="1"/>
  <c r="R7311" i="1"/>
  <c r="Q7311" i="1"/>
  <c r="M7311" i="1"/>
  <c r="L7311" i="1"/>
  <c r="V7310" i="1"/>
  <c r="U7310" i="1"/>
  <c r="T7310" i="1"/>
  <c r="S7310" i="1"/>
  <c r="R7310" i="1"/>
  <c r="Q7310" i="1"/>
  <c r="M7310" i="1"/>
  <c r="L7310" i="1"/>
  <c r="V7309" i="1"/>
  <c r="U7309" i="1"/>
  <c r="T7309" i="1"/>
  <c r="S7309" i="1"/>
  <c r="R7309" i="1"/>
  <c r="Q7309" i="1"/>
  <c r="M7309" i="1"/>
  <c r="L7309" i="1"/>
  <c r="V7308" i="1"/>
  <c r="U7308" i="1"/>
  <c r="T7308" i="1"/>
  <c r="S7308" i="1"/>
  <c r="R7308" i="1"/>
  <c r="Q7308" i="1"/>
  <c r="M7308" i="1"/>
  <c r="L7308" i="1"/>
  <c r="V7307" i="1"/>
  <c r="U7307" i="1"/>
  <c r="T7307" i="1"/>
  <c r="S7307" i="1"/>
  <c r="R7307" i="1"/>
  <c r="Q7307" i="1"/>
  <c r="M7307" i="1"/>
  <c r="L7307" i="1"/>
  <c r="V7306" i="1"/>
  <c r="U7306" i="1"/>
  <c r="T7306" i="1"/>
  <c r="S7306" i="1"/>
  <c r="R7306" i="1"/>
  <c r="Q7306" i="1"/>
  <c r="M7306" i="1"/>
  <c r="L7306" i="1"/>
  <c r="V7305" i="1"/>
  <c r="U7305" i="1"/>
  <c r="T7305" i="1"/>
  <c r="S7305" i="1"/>
  <c r="R7305" i="1"/>
  <c r="Q7305" i="1"/>
  <c r="M7305" i="1"/>
  <c r="L7305" i="1"/>
  <c r="V7304" i="1"/>
  <c r="U7304" i="1"/>
  <c r="T7304" i="1"/>
  <c r="S7304" i="1"/>
  <c r="R7304" i="1"/>
  <c r="Q7304" i="1"/>
  <c r="M7304" i="1"/>
  <c r="L7304" i="1"/>
  <c r="V7303" i="1"/>
  <c r="U7303" i="1"/>
  <c r="T7303" i="1"/>
  <c r="S7303" i="1"/>
  <c r="R7303" i="1"/>
  <c r="Q7303" i="1"/>
  <c r="M7303" i="1"/>
  <c r="L7303" i="1"/>
  <c r="V7302" i="1"/>
  <c r="U7302" i="1"/>
  <c r="T7302" i="1"/>
  <c r="S7302" i="1"/>
  <c r="R7302" i="1"/>
  <c r="Q7302" i="1"/>
  <c r="M7302" i="1"/>
  <c r="L7302" i="1"/>
  <c r="V7301" i="1"/>
  <c r="U7301" i="1"/>
  <c r="T7301" i="1"/>
  <c r="S7301" i="1"/>
  <c r="R7301" i="1"/>
  <c r="Q7301" i="1"/>
  <c r="M7301" i="1"/>
  <c r="L7301" i="1"/>
  <c r="V7300" i="1"/>
  <c r="U7300" i="1"/>
  <c r="T7300" i="1"/>
  <c r="S7300" i="1"/>
  <c r="R7300" i="1"/>
  <c r="Q7300" i="1"/>
  <c r="M7300" i="1"/>
  <c r="L7300" i="1"/>
  <c r="V7299" i="1"/>
  <c r="U7299" i="1"/>
  <c r="T7299" i="1"/>
  <c r="S7299" i="1"/>
  <c r="R7299" i="1"/>
  <c r="Q7299" i="1"/>
  <c r="M7299" i="1"/>
  <c r="L7299" i="1"/>
  <c r="V7298" i="1"/>
  <c r="U7298" i="1"/>
  <c r="T7298" i="1"/>
  <c r="S7298" i="1"/>
  <c r="R7298" i="1"/>
  <c r="Q7298" i="1"/>
  <c r="M7298" i="1"/>
  <c r="L7298" i="1"/>
  <c r="V7297" i="1"/>
  <c r="U7297" i="1"/>
  <c r="T7297" i="1"/>
  <c r="S7297" i="1"/>
  <c r="R7297" i="1"/>
  <c r="Q7297" i="1"/>
  <c r="M7297" i="1"/>
  <c r="L7297" i="1"/>
  <c r="V7296" i="1"/>
  <c r="U7296" i="1"/>
  <c r="T7296" i="1"/>
  <c r="S7296" i="1"/>
  <c r="R7296" i="1"/>
  <c r="Q7296" i="1"/>
  <c r="M7296" i="1"/>
  <c r="L7296" i="1"/>
  <c r="V7295" i="1"/>
  <c r="U7295" i="1"/>
  <c r="T7295" i="1"/>
  <c r="S7295" i="1"/>
  <c r="R7295" i="1"/>
  <c r="Q7295" i="1"/>
  <c r="M7295" i="1"/>
  <c r="L7295" i="1"/>
  <c r="V7294" i="1"/>
  <c r="U7294" i="1"/>
  <c r="T7294" i="1"/>
  <c r="S7294" i="1"/>
  <c r="R7294" i="1"/>
  <c r="Q7294" i="1"/>
  <c r="M7294" i="1"/>
  <c r="L7294" i="1"/>
  <c r="V7293" i="1"/>
  <c r="U7293" i="1"/>
  <c r="T7293" i="1"/>
  <c r="S7293" i="1"/>
  <c r="R7293" i="1"/>
  <c r="Q7293" i="1"/>
  <c r="M7293" i="1"/>
  <c r="L7293" i="1"/>
  <c r="V7292" i="1"/>
  <c r="U7292" i="1"/>
  <c r="T7292" i="1"/>
  <c r="S7292" i="1"/>
  <c r="R7292" i="1"/>
  <c r="Q7292" i="1"/>
  <c r="M7292" i="1"/>
  <c r="L7292" i="1"/>
  <c r="V7291" i="1"/>
  <c r="U7291" i="1"/>
  <c r="T7291" i="1"/>
  <c r="S7291" i="1"/>
  <c r="R7291" i="1"/>
  <c r="Q7291" i="1"/>
  <c r="M7291" i="1"/>
  <c r="L7291" i="1"/>
  <c r="V7290" i="1"/>
  <c r="U7290" i="1"/>
  <c r="T7290" i="1"/>
  <c r="S7290" i="1"/>
  <c r="R7290" i="1"/>
  <c r="Q7290" i="1"/>
  <c r="M7290" i="1"/>
  <c r="L7290" i="1"/>
  <c r="V7289" i="1"/>
  <c r="U7289" i="1"/>
  <c r="T7289" i="1"/>
  <c r="S7289" i="1"/>
  <c r="R7289" i="1"/>
  <c r="Q7289" i="1"/>
  <c r="M7289" i="1"/>
  <c r="L7289" i="1"/>
  <c r="V7288" i="1"/>
  <c r="U7288" i="1"/>
  <c r="T7288" i="1"/>
  <c r="S7288" i="1"/>
  <c r="R7288" i="1"/>
  <c r="Q7288" i="1"/>
  <c r="M7288" i="1"/>
  <c r="L7288" i="1"/>
  <c r="V7287" i="1"/>
  <c r="U7287" i="1"/>
  <c r="T7287" i="1"/>
  <c r="S7287" i="1"/>
  <c r="R7287" i="1"/>
  <c r="Q7287" i="1"/>
  <c r="M7287" i="1"/>
  <c r="L7287" i="1"/>
  <c r="V7286" i="1"/>
  <c r="U7286" i="1"/>
  <c r="T7286" i="1"/>
  <c r="S7286" i="1"/>
  <c r="R7286" i="1"/>
  <c r="Q7286" i="1"/>
  <c r="M7286" i="1"/>
  <c r="L7286" i="1"/>
  <c r="V7285" i="1"/>
  <c r="U7285" i="1"/>
  <c r="T7285" i="1"/>
  <c r="S7285" i="1"/>
  <c r="R7285" i="1"/>
  <c r="Q7285" i="1"/>
  <c r="M7285" i="1"/>
  <c r="L7285" i="1"/>
  <c r="V7284" i="1"/>
  <c r="U7284" i="1"/>
  <c r="T7284" i="1"/>
  <c r="S7284" i="1"/>
  <c r="R7284" i="1"/>
  <c r="Q7284" i="1"/>
  <c r="M7284" i="1"/>
  <c r="L7284" i="1"/>
  <c r="V7283" i="1"/>
  <c r="U7283" i="1"/>
  <c r="T7283" i="1"/>
  <c r="S7283" i="1"/>
  <c r="R7283" i="1"/>
  <c r="Q7283" i="1"/>
  <c r="M7283" i="1"/>
  <c r="L7283" i="1"/>
  <c r="V7282" i="1"/>
  <c r="U7282" i="1"/>
  <c r="T7282" i="1"/>
  <c r="S7282" i="1"/>
  <c r="R7282" i="1"/>
  <c r="Q7282" i="1"/>
  <c r="M7282" i="1"/>
  <c r="L7282" i="1"/>
  <c r="V7281" i="1"/>
  <c r="U7281" i="1"/>
  <c r="T7281" i="1"/>
  <c r="S7281" i="1"/>
  <c r="R7281" i="1"/>
  <c r="Q7281" i="1"/>
  <c r="M7281" i="1"/>
  <c r="L7281" i="1"/>
  <c r="V7280" i="1"/>
  <c r="U7280" i="1"/>
  <c r="T7280" i="1"/>
  <c r="S7280" i="1"/>
  <c r="R7280" i="1"/>
  <c r="Q7280" i="1"/>
  <c r="M7280" i="1"/>
  <c r="L7280" i="1"/>
  <c r="V7279" i="1"/>
  <c r="U7279" i="1"/>
  <c r="T7279" i="1"/>
  <c r="S7279" i="1"/>
  <c r="R7279" i="1"/>
  <c r="Q7279" i="1"/>
  <c r="M7279" i="1"/>
  <c r="L7279" i="1"/>
  <c r="V7278" i="1"/>
  <c r="U7278" i="1"/>
  <c r="T7278" i="1"/>
  <c r="S7278" i="1"/>
  <c r="R7278" i="1"/>
  <c r="Q7278" i="1"/>
  <c r="M7278" i="1"/>
  <c r="L7278" i="1"/>
  <c r="V7277" i="1"/>
  <c r="U7277" i="1"/>
  <c r="T7277" i="1"/>
  <c r="S7277" i="1"/>
  <c r="R7277" i="1"/>
  <c r="Q7277" i="1"/>
  <c r="M7277" i="1"/>
  <c r="L7277" i="1"/>
  <c r="V7276" i="1"/>
  <c r="U7276" i="1"/>
  <c r="T7276" i="1"/>
  <c r="S7276" i="1"/>
  <c r="R7276" i="1"/>
  <c r="Q7276" i="1"/>
  <c r="M7276" i="1"/>
  <c r="L7276" i="1"/>
  <c r="V7275" i="1"/>
  <c r="U7275" i="1"/>
  <c r="T7275" i="1"/>
  <c r="S7275" i="1"/>
  <c r="R7275" i="1"/>
  <c r="Q7275" i="1"/>
  <c r="M7275" i="1"/>
  <c r="L7275" i="1"/>
  <c r="V7274" i="1"/>
  <c r="U7274" i="1"/>
  <c r="T7274" i="1"/>
  <c r="S7274" i="1"/>
  <c r="R7274" i="1"/>
  <c r="Q7274" i="1"/>
  <c r="M7274" i="1"/>
  <c r="L7274" i="1"/>
  <c r="V7273" i="1"/>
  <c r="U7273" i="1"/>
  <c r="T7273" i="1"/>
  <c r="S7273" i="1"/>
  <c r="R7273" i="1"/>
  <c r="Q7273" i="1"/>
  <c r="M7273" i="1"/>
  <c r="L7273" i="1"/>
  <c r="V7272" i="1"/>
  <c r="U7272" i="1"/>
  <c r="T7272" i="1"/>
  <c r="S7272" i="1"/>
  <c r="R7272" i="1"/>
  <c r="Q7272" i="1"/>
  <c r="M7272" i="1"/>
  <c r="L7272" i="1"/>
  <c r="V7271" i="1"/>
  <c r="U7271" i="1"/>
  <c r="T7271" i="1"/>
  <c r="S7271" i="1"/>
  <c r="R7271" i="1"/>
  <c r="Q7271" i="1"/>
  <c r="M7271" i="1"/>
  <c r="L7271" i="1"/>
  <c r="V7270" i="1"/>
  <c r="U7270" i="1"/>
  <c r="T7270" i="1"/>
  <c r="S7270" i="1"/>
  <c r="R7270" i="1"/>
  <c r="Q7270" i="1"/>
  <c r="M7270" i="1"/>
  <c r="L7270" i="1"/>
  <c r="V7269" i="1"/>
  <c r="U7269" i="1"/>
  <c r="T7269" i="1"/>
  <c r="S7269" i="1"/>
  <c r="R7269" i="1"/>
  <c r="Q7269" i="1"/>
  <c r="M7269" i="1"/>
  <c r="L7269" i="1"/>
  <c r="V7268" i="1"/>
  <c r="U7268" i="1"/>
  <c r="T7268" i="1"/>
  <c r="S7268" i="1"/>
  <c r="R7268" i="1"/>
  <c r="Q7268" i="1"/>
  <c r="M7268" i="1"/>
  <c r="L7268" i="1"/>
  <c r="V7267" i="1"/>
  <c r="U7267" i="1"/>
  <c r="T7267" i="1"/>
  <c r="S7267" i="1"/>
  <c r="R7267" i="1"/>
  <c r="Q7267" i="1"/>
  <c r="M7267" i="1"/>
  <c r="L7267" i="1"/>
  <c r="V7266" i="1"/>
  <c r="U7266" i="1"/>
  <c r="T7266" i="1"/>
  <c r="S7266" i="1"/>
  <c r="R7266" i="1"/>
  <c r="Q7266" i="1"/>
  <c r="M7266" i="1"/>
  <c r="L7266" i="1"/>
  <c r="V7265" i="1"/>
  <c r="U7265" i="1"/>
  <c r="T7265" i="1"/>
  <c r="S7265" i="1"/>
  <c r="R7265" i="1"/>
  <c r="Q7265" i="1"/>
  <c r="M7265" i="1"/>
  <c r="L7265" i="1"/>
  <c r="V7264" i="1"/>
  <c r="U7264" i="1"/>
  <c r="T7264" i="1"/>
  <c r="S7264" i="1"/>
  <c r="R7264" i="1"/>
  <c r="Q7264" i="1"/>
  <c r="M7264" i="1"/>
  <c r="L7264" i="1"/>
  <c r="V7263" i="1"/>
  <c r="U7263" i="1"/>
  <c r="T7263" i="1"/>
  <c r="S7263" i="1"/>
  <c r="R7263" i="1"/>
  <c r="Q7263" i="1"/>
  <c r="M7263" i="1"/>
  <c r="L7263" i="1"/>
  <c r="V7262" i="1"/>
  <c r="U7262" i="1"/>
  <c r="T7262" i="1"/>
  <c r="S7262" i="1"/>
  <c r="R7262" i="1"/>
  <c r="Q7262" i="1"/>
  <c r="M7262" i="1"/>
  <c r="L7262" i="1"/>
  <c r="V7261" i="1"/>
  <c r="U7261" i="1"/>
  <c r="T7261" i="1"/>
  <c r="S7261" i="1"/>
  <c r="R7261" i="1"/>
  <c r="Q7261" i="1"/>
  <c r="M7261" i="1"/>
  <c r="L7261" i="1"/>
  <c r="V7260" i="1"/>
  <c r="U7260" i="1"/>
  <c r="T7260" i="1"/>
  <c r="S7260" i="1"/>
  <c r="R7260" i="1"/>
  <c r="Q7260" i="1"/>
  <c r="M7260" i="1"/>
  <c r="L7260" i="1"/>
  <c r="V7259" i="1"/>
  <c r="U7259" i="1"/>
  <c r="T7259" i="1"/>
  <c r="S7259" i="1"/>
  <c r="R7259" i="1"/>
  <c r="Q7259" i="1"/>
  <c r="M7259" i="1"/>
  <c r="L7259" i="1"/>
  <c r="V7258" i="1"/>
  <c r="U7258" i="1"/>
  <c r="T7258" i="1"/>
  <c r="S7258" i="1"/>
  <c r="R7258" i="1"/>
  <c r="Q7258" i="1"/>
  <c r="M7258" i="1"/>
  <c r="L7258" i="1"/>
  <c r="V7257" i="1"/>
  <c r="U7257" i="1"/>
  <c r="T7257" i="1"/>
  <c r="S7257" i="1"/>
  <c r="R7257" i="1"/>
  <c r="Q7257" i="1"/>
  <c r="M7257" i="1"/>
  <c r="L7257" i="1"/>
  <c r="V7256" i="1"/>
  <c r="U7256" i="1"/>
  <c r="T7256" i="1"/>
  <c r="S7256" i="1"/>
  <c r="R7256" i="1"/>
  <c r="Q7256" i="1"/>
  <c r="M7256" i="1"/>
  <c r="L7256" i="1"/>
  <c r="V7255" i="1"/>
  <c r="U7255" i="1"/>
  <c r="T7255" i="1"/>
  <c r="S7255" i="1"/>
  <c r="R7255" i="1"/>
  <c r="Q7255" i="1"/>
  <c r="M7255" i="1"/>
  <c r="L7255" i="1"/>
  <c r="V7254" i="1"/>
  <c r="U7254" i="1"/>
  <c r="T7254" i="1"/>
  <c r="S7254" i="1"/>
  <c r="R7254" i="1"/>
  <c r="Q7254" i="1"/>
  <c r="M7254" i="1"/>
  <c r="L7254" i="1"/>
  <c r="V7253" i="1"/>
  <c r="U7253" i="1"/>
  <c r="T7253" i="1"/>
  <c r="S7253" i="1"/>
  <c r="R7253" i="1"/>
  <c r="Q7253" i="1"/>
  <c r="M7253" i="1"/>
  <c r="L7253" i="1"/>
  <c r="V7252" i="1"/>
  <c r="U7252" i="1"/>
  <c r="T7252" i="1"/>
  <c r="S7252" i="1"/>
  <c r="R7252" i="1"/>
  <c r="Q7252" i="1"/>
  <c r="M7252" i="1"/>
  <c r="L7252" i="1"/>
  <c r="V7251" i="1"/>
  <c r="U7251" i="1"/>
  <c r="T7251" i="1"/>
  <c r="S7251" i="1"/>
  <c r="R7251" i="1"/>
  <c r="Q7251" i="1"/>
  <c r="M7251" i="1"/>
  <c r="L7251" i="1"/>
  <c r="V7250" i="1"/>
  <c r="U7250" i="1"/>
  <c r="T7250" i="1"/>
  <c r="S7250" i="1"/>
  <c r="R7250" i="1"/>
  <c r="Q7250" i="1"/>
  <c r="M7250" i="1"/>
  <c r="L7250" i="1"/>
  <c r="V7249" i="1"/>
  <c r="U7249" i="1"/>
  <c r="T7249" i="1"/>
  <c r="S7249" i="1"/>
  <c r="R7249" i="1"/>
  <c r="Q7249" i="1"/>
  <c r="M7249" i="1"/>
  <c r="L7249" i="1"/>
  <c r="V7248" i="1"/>
  <c r="U7248" i="1"/>
  <c r="T7248" i="1"/>
  <c r="S7248" i="1"/>
  <c r="R7248" i="1"/>
  <c r="Q7248" i="1"/>
  <c r="M7248" i="1"/>
  <c r="L7248" i="1"/>
  <c r="V7247" i="1"/>
  <c r="U7247" i="1"/>
  <c r="T7247" i="1"/>
  <c r="S7247" i="1"/>
  <c r="R7247" i="1"/>
  <c r="Q7247" i="1"/>
  <c r="M7247" i="1"/>
  <c r="L7247" i="1"/>
  <c r="V7246" i="1"/>
  <c r="U7246" i="1"/>
  <c r="T7246" i="1"/>
  <c r="S7246" i="1"/>
  <c r="R7246" i="1"/>
  <c r="Q7246" i="1"/>
  <c r="M7246" i="1"/>
  <c r="L7246" i="1"/>
  <c r="V7245" i="1"/>
  <c r="U7245" i="1"/>
  <c r="T7245" i="1"/>
  <c r="S7245" i="1"/>
  <c r="R7245" i="1"/>
  <c r="Q7245" i="1"/>
  <c r="M7245" i="1"/>
  <c r="L7245" i="1"/>
  <c r="V7244" i="1"/>
  <c r="U7244" i="1"/>
  <c r="T7244" i="1"/>
  <c r="S7244" i="1"/>
  <c r="R7244" i="1"/>
  <c r="Q7244" i="1"/>
  <c r="M7244" i="1"/>
  <c r="L7244" i="1"/>
  <c r="V7243" i="1"/>
  <c r="U7243" i="1"/>
  <c r="T7243" i="1"/>
  <c r="S7243" i="1"/>
  <c r="R7243" i="1"/>
  <c r="Q7243" i="1"/>
  <c r="M7243" i="1"/>
  <c r="L7243" i="1"/>
  <c r="V7242" i="1"/>
  <c r="U7242" i="1"/>
  <c r="T7242" i="1"/>
  <c r="S7242" i="1"/>
  <c r="R7242" i="1"/>
  <c r="Q7242" i="1"/>
  <c r="M7242" i="1"/>
  <c r="L7242" i="1"/>
  <c r="V7241" i="1"/>
  <c r="U7241" i="1"/>
  <c r="T7241" i="1"/>
  <c r="S7241" i="1"/>
  <c r="R7241" i="1"/>
  <c r="Q7241" i="1"/>
  <c r="M7241" i="1"/>
  <c r="L7241" i="1"/>
  <c r="V7240" i="1"/>
  <c r="U7240" i="1"/>
  <c r="T7240" i="1"/>
  <c r="S7240" i="1"/>
  <c r="R7240" i="1"/>
  <c r="Q7240" i="1"/>
  <c r="M7240" i="1"/>
  <c r="L7240" i="1"/>
  <c r="V7239" i="1"/>
  <c r="U7239" i="1"/>
  <c r="T7239" i="1"/>
  <c r="S7239" i="1"/>
  <c r="R7239" i="1"/>
  <c r="Q7239" i="1"/>
  <c r="M7239" i="1"/>
  <c r="L7239" i="1"/>
  <c r="V7238" i="1"/>
  <c r="U7238" i="1"/>
  <c r="T7238" i="1"/>
  <c r="S7238" i="1"/>
  <c r="R7238" i="1"/>
  <c r="Q7238" i="1"/>
  <c r="M7238" i="1"/>
  <c r="L7238" i="1"/>
  <c r="V7237" i="1"/>
  <c r="U7237" i="1"/>
  <c r="T7237" i="1"/>
  <c r="S7237" i="1"/>
  <c r="R7237" i="1"/>
  <c r="Q7237" i="1"/>
  <c r="M7237" i="1"/>
  <c r="L7237" i="1"/>
  <c r="V7236" i="1"/>
  <c r="U7236" i="1"/>
  <c r="T7236" i="1"/>
  <c r="S7236" i="1"/>
  <c r="R7236" i="1"/>
  <c r="Q7236" i="1"/>
  <c r="M7236" i="1"/>
  <c r="L7236" i="1"/>
  <c r="V7235" i="1"/>
  <c r="U7235" i="1"/>
  <c r="T7235" i="1"/>
  <c r="S7235" i="1"/>
  <c r="R7235" i="1"/>
  <c r="Q7235" i="1"/>
  <c r="M7235" i="1"/>
  <c r="L7235" i="1"/>
  <c r="V7234" i="1"/>
  <c r="U7234" i="1"/>
  <c r="T7234" i="1"/>
  <c r="S7234" i="1"/>
  <c r="R7234" i="1"/>
  <c r="Q7234" i="1"/>
  <c r="M7234" i="1"/>
  <c r="L7234" i="1"/>
  <c r="V7233" i="1"/>
  <c r="U7233" i="1"/>
  <c r="T7233" i="1"/>
  <c r="S7233" i="1"/>
  <c r="R7233" i="1"/>
  <c r="Q7233" i="1"/>
  <c r="M7233" i="1"/>
  <c r="L7233" i="1"/>
  <c r="V7232" i="1"/>
  <c r="U7232" i="1"/>
  <c r="T7232" i="1"/>
  <c r="S7232" i="1"/>
  <c r="R7232" i="1"/>
  <c r="Q7232" i="1"/>
  <c r="M7232" i="1"/>
  <c r="L7232" i="1"/>
  <c r="V7231" i="1"/>
  <c r="U7231" i="1"/>
  <c r="T7231" i="1"/>
  <c r="S7231" i="1"/>
  <c r="R7231" i="1"/>
  <c r="Q7231" i="1"/>
  <c r="M7231" i="1"/>
  <c r="L7231" i="1"/>
  <c r="V7230" i="1"/>
  <c r="U7230" i="1"/>
  <c r="T7230" i="1"/>
  <c r="S7230" i="1"/>
  <c r="R7230" i="1"/>
  <c r="Q7230" i="1"/>
  <c r="M7230" i="1"/>
  <c r="L7230" i="1"/>
  <c r="V7229" i="1"/>
  <c r="U7229" i="1"/>
  <c r="T7229" i="1"/>
  <c r="S7229" i="1"/>
  <c r="R7229" i="1"/>
  <c r="Q7229" i="1"/>
  <c r="M7229" i="1"/>
  <c r="L7229" i="1"/>
  <c r="V7228" i="1"/>
  <c r="U7228" i="1"/>
  <c r="T7228" i="1"/>
  <c r="S7228" i="1"/>
  <c r="R7228" i="1"/>
  <c r="Q7228" i="1"/>
  <c r="M7228" i="1"/>
  <c r="L7228" i="1"/>
  <c r="V7227" i="1"/>
  <c r="U7227" i="1"/>
  <c r="T7227" i="1"/>
  <c r="S7227" i="1"/>
  <c r="R7227" i="1"/>
  <c r="Q7227" i="1"/>
  <c r="M7227" i="1"/>
  <c r="L7227" i="1"/>
  <c r="V7226" i="1"/>
  <c r="U7226" i="1"/>
  <c r="T7226" i="1"/>
  <c r="S7226" i="1"/>
  <c r="R7226" i="1"/>
  <c r="Q7226" i="1"/>
  <c r="M7226" i="1"/>
  <c r="L7226" i="1"/>
  <c r="V7225" i="1"/>
  <c r="U7225" i="1"/>
  <c r="T7225" i="1"/>
  <c r="S7225" i="1"/>
  <c r="R7225" i="1"/>
  <c r="Q7225" i="1"/>
  <c r="M7225" i="1"/>
  <c r="L7225" i="1"/>
  <c r="V7224" i="1"/>
  <c r="U7224" i="1"/>
  <c r="T7224" i="1"/>
  <c r="S7224" i="1"/>
  <c r="R7224" i="1"/>
  <c r="Q7224" i="1"/>
  <c r="M7224" i="1"/>
  <c r="L7224" i="1"/>
  <c r="V7223" i="1"/>
  <c r="U7223" i="1"/>
  <c r="T7223" i="1"/>
  <c r="S7223" i="1"/>
  <c r="R7223" i="1"/>
  <c r="Q7223" i="1"/>
  <c r="M7223" i="1"/>
  <c r="L7223" i="1"/>
  <c r="V7222" i="1"/>
  <c r="U7222" i="1"/>
  <c r="T7222" i="1"/>
  <c r="S7222" i="1"/>
  <c r="R7222" i="1"/>
  <c r="Q7222" i="1"/>
  <c r="M7222" i="1"/>
  <c r="L7222" i="1"/>
  <c r="V7221" i="1"/>
  <c r="U7221" i="1"/>
  <c r="T7221" i="1"/>
  <c r="S7221" i="1"/>
  <c r="R7221" i="1"/>
  <c r="Q7221" i="1"/>
  <c r="M7221" i="1"/>
  <c r="L7221" i="1"/>
  <c r="V7220" i="1"/>
  <c r="U7220" i="1"/>
  <c r="T7220" i="1"/>
  <c r="S7220" i="1"/>
  <c r="R7220" i="1"/>
  <c r="Q7220" i="1"/>
  <c r="M7220" i="1"/>
  <c r="L7220" i="1"/>
  <c r="V7219" i="1"/>
  <c r="U7219" i="1"/>
  <c r="T7219" i="1"/>
  <c r="S7219" i="1"/>
  <c r="R7219" i="1"/>
  <c r="Q7219" i="1"/>
  <c r="M7219" i="1"/>
  <c r="L7219" i="1"/>
  <c r="V7218" i="1"/>
  <c r="U7218" i="1"/>
  <c r="T7218" i="1"/>
  <c r="S7218" i="1"/>
  <c r="R7218" i="1"/>
  <c r="Q7218" i="1"/>
  <c r="M7218" i="1"/>
  <c r="L7218" i="1"/>
  <c r="V7217" i="1"/>
  <c r="U7217" i="1"/>
  <c r="T7217" i="1"/>
  <c r="S7217" i="1"/>
  <c r="R7217" i="1"/>
  <c r="Q7217" i="1"/>
  <c r="M7217" i="1"/>
  <c r="L7217" i="1"/>
  <c r="V7216" i="1"/>
  <c r="U7216" i="1"/>
  <c r="T7216" i="1"/>
  <c r="S7216" i="1"/>
  <c r="R7216" i="1"/>
  <c r="Q7216" i="1"/>
  <c r="M7216" i="1"/>
  <c r="L7216" i="1"/>
  <c r="V7215" i="1"/>
  <c r="U7215" i="1"/>
  <c r="T7215" i="1"/>
  <c r="S7215" i="1"/>
  <c r="R7215" i="1"/>
  <c r="Q7215" i="1"/>
  <c r="M7215" i="1"/>
  <c r="L7215" i="1"/>
  <c r="V7214" i="1"/>
  <c r="U7214" i="1"/>
  <c r="T7214" i="1"/>
  <c r="S7214" i="1"/>
  <c r="R7214" i="1"/>
  <c r="Q7214" i="1"/>
  <c r="M7214" i="1"/>
  <c r="L7214" i="1"/>
  <c r="V7213" i="1"/>
  <c r="U7213" i="1"/>
  <c r="T7213" i="1"/>
  <c r="S7213" i="1"/>
  <c r="R7213" i="1"/>
  <c r="Q7213" i="1"/>
  <c r="M7213" i="1"/>
  <c r="L7213" i="1"/>
  <c r="V7212" i="1"/>
  <c r="U7212" i="1"/>
  <c r="T7212" i="1"/>
  <c r="S7212" i="1"/>
  <c r="R7212" i="1"/>
  <c r="Q7212" i="1"/>
  <c r="M7212" i="1"/>
  <c r="L7212" i="1"/>
  <c r="V7211" i="1"/>
  <c r="U7211" i="1"/>
  <c r="T7211" i="1"/>
  <c r="S7211" i="1"/>
  <c r="R7211" i="1"/>
  <c r="Q7211" i="1"/>
  <c r="M7211" i="1"/>
  <c r="L7211" i="1"/>
  <c r="V7210" i="1"/>
  <c r="U7210" i="1"/>
  <c r="T7210" i="1"/>
  <c r="S7210" i="1"/>
  <c r="R7210" i="1"/>
  <c r="Q7210" i="1"/>
  <c r="M7210" i="1"/>
  <c r="L7210" i="1"/>
  <c r="V7209" i="1"/>
  <c r="U7209" i="1"/>
  <c r="T7209" i="1"/>
  <c r="S7209" i="1"/>
  <c r="R7209" i="1"/>
  <c r="Q7209" i="1"/>
  <c r="M7209" i="1"/>
  <c r="L7209" i="1"/>
  <c r="V7208" i="1"/>
  <c r="U7208" i="1"/>
  <c r="T7208" i="1"/>
  <c r="S7208" i="1"/>
  <c r="R7208" i="1"/>
  <c r="Q7208" i="1"/>
  <c r="M7208" i="1"/>
  <c r="L7208" i="1"/>
  <c r="V7207" i="1"/>
  <c r="U7207" i="1"/>
  <c r="T7207" i="1"/>
  <c r="S7207" i="1"/>
  <c r="R7207" i="1"/>
  <c r="Q7207" i="1"/>
  <c r="M7207" i="1"/>
  <c r="L7207" i="1"/>
  <c r="V7206" i="1"/>
  <c r="U7206" i="1"/>
  <c r="T7206" i="1"/>
  <c r="S7206" i="1"/>
  <c r="R7206" i="1"/>
  <c r="Q7206" i="1"/>
  <c r="M7206" i="1"/>
  <c r="L7206" i="1"/>
  <c r="V7205" i="1"/>
  <c r="U7205" i="1"/>
  <c r="T7205" i="1"/>
  <c r="S7205" i="1"/>
  <c r="R7205" i="1"/>
  <c r="Q7205" i="1"/>
  <c r="M7205" i="1"/>
  <c r="L7205" i="1"/>
  <c r="V7204" i="1"/>
  <c r="U7204" i="1"/>
  <c r="T7204" i="1"/>
  <c r="S7204" i="1"/>
  <c r="R7204" i="1"/>
  <c r="Q7204" i="1"/>
  <c r="M7204" i="1"/>
  <c r="L7204" i="1"/>
  <c r="V7203" i="1"/>
  <c r="U7203" i="1"/>
  <c r="T7203" i="1"/>
  <c r="S7203" i="1"/>
  <c r="R7203" i="1"/>
  <c r="Q7203" i="1"/>
  <c r="M7203" i="1"/>
  <c r="L7203" i="1"/>
  <c r="V7202" i="1"/>
  <c r="U7202" i="1"/>
  <c r="T7202" i="1"/>
  <c r="S7202" i="1"/>
  <c r="R7202" i="1"/>
  <c r="Q7202" i="1"/>
  <c r="M7202" i="1"/>
  <c r="L7202" i="1"/>
  <c r="V7201" i="1"/>
  <c r="U7201" i="1"/>
  <c r="T7201" i="1"/>
  <c r="S7201" i="1"/>
  <c r="R7201" i="1"/>
  <c r="Q7201" i="1"/>
  <c r="M7201" i="1"/>
  <c r="L7201" i="1"/>
  <c r="V7200" i="1"/>
  <c r="U7200" i="1"/>
  <c r="T7200" i="1"/>
  <c r="S7200" i="1"/>
  <c r="R7200" i="1"/>
  <c r="Q7200" i="1"/>
  <c r="M7200" i="1"/>
  <c r="L7200" i="1"/>
  <c r="V7199" i="1"/>
  <c r="U7199" i="1"/>
  <c r="T7199" i="1"/>
  <c r="S7199" i="1"/>
  <c r="R7199" i="1"/>
  <c r="Q7199" i="1"/>
  <c r="M7199" i="1"/>
  <c r="L7199" i="1"/>
  <c r="V7198" i="1"/>
  <c r="U7198" i="1"/>
  <c r="T7198" i="1"/>
  <c r="S7198" i="1"/>
  <c r="R7198" i="1"/>
  <c r="Q7198" i="1"/>
  <c r="M7198" i="1"/>
  <c r="L7198" i="1"/>
  <c r="V7197" i="1"/>
  <c r="U7197" i="1"/>
  <c r="T7197" i="1"/>
  <c r="S7197" i="1"/>
  <c r="R7197" i="1"/>
  <c r="Q7197" i="1"/>
  <c r="M7197" i="1"/>
  <c r="L7197" i="1"/>
  <c r="V7196" i="1"/>
  <c r="U7196" i="1"/>
  <c r="T7196" i="1"/>
  <c r="S7196" i="1"/>
  <c r="R7196" i="1"/>
  <c r="Q7196" i="1"/>
  <c r="M7196" i="1"/>
  <c r="L7196" i="1"/>
  <c r="V7195" i="1"/>
  <c r="U7195" i="1"/>
  <c r="T7195" i="1"/>
  <c r="S7195" i="1"/>
  <c r="R7195" i="1"/>
  <c r="Q7195" i="1"/>
  <c r="M7195" i="1"/>
  <c r="L7195" i="1"/>
  <c r="V7194" i="1"/>
  <c r="U7194" i="1"/>
  <c r="T7194" i="1"/>
  <c r="S7194" i="1"/>
  <c r="R7194" i="1"/>
  <c r="Q7194" i="1"/>
  <c r="M7194" i="1"/>
  <c r="L7194" i="1"/>
  <c r="V7193" i="1"/>
  <c r="U7193" i="1"/>
  <c r="T7193" i="1"/>
  <c r="S7193" i="1"/>
  <c r="R7193" i="1"/>
  <c r="Q7193" i="1"/>
  <c r="M7193" i="1"/>
  <c r="L7193" i="1"/>
  <c r="V7192" i="1"/>
  <c r="U7192" i="1"/>
  <c r="T7192" i="1"/>
  <c r="S7192" i="1"/>
  <c r="R7192" i="1"/>
  <c r="Q7192" i="1"/>
  <c r="M7192" i="1"/>
  <c r="L7192" i="1"/>
  <c r="V7191" i="1"/>
  <c r="U7191" i="1"/>
  <c r="T7191" i="1"/>
  <c r="S7191" i="1"/>
  <c r="R7191" i="1"/>
  <c r="Q7191" i="1"/>
  <c r="M7191" i="1"/>
  <c r="L7191" i="1"/>
  <c r="V7190" i="1"/>
  <c r="U7190" i="1"/>
  <c r="T7190" i="1"/>
  <c r="S7190" i="1"/>
  <c r="R7190" i="1"/>
  <c r="Q7190" i="1"/>
  <c r="M7190" i="1"/>
  <c r="L7190" i="1"/>
  <c r="V7189" i="1"/>
  <c r="U7189" i="1"/>
  <c r="T7189" i="1"/>
  <c r="S7189" i="1"/>
  <c r="R7189" i="1"/>
  <c r="Q7189" i="1"/>
  <c r="M7189" i="1"/>
  <c r="L7189" i="1"/>
  <c r="V7188" i="1"/>
  <c r="U7188" i="1"/>
  <c r="T7188" i="1"/>
  <c r="S7188" i="1"/>
  <c r="R7188" i="1"/>
  <c r="Q7188" i="1"/>
  <c r="M7188" i="1"/>
  <c r="L7188" i="1"/>
  <c r="V7187" i="1"/>
  <c r="U7187" i="1"/>
  <c r="T7187" i="1"/>
  <c r="S7187" i="1"/>
  <c r="R7187" i="1"/>
  <c r="Q7187" i="1"/>
  <c r="M7187" i="1"/>
  <c r="L7187" i="1"/>
  <c r="V7186" i="1"/>
  <c r="U7186" i="1"/>
  <c r="T7186" i="1"/>
  <c r="S7186" i="1"/>
  <c r="R7186" i="1"/>
  <c r="Q7186" i="1"/>
  <c r="M7186" i="1"/>
  <c r="L7186" i="1"/>
  <c r="V7185" i="1"/>
  <c r="U7185" i="1"/>
  <c r="T7185" i="1"/>
  <c r="S7185" i="1"/>
  <c r="R7185" i="1"/>
  <c r="Q7185" i="1"/>
  <c r="M7185" i="1"/>
  <c r="L7185" i="1"/>
  <c r="V7184" i="1"/>
  <c r="U7184" i="1"/>
  <c r="T7184" i="1"/>
  <c r="S7184" i="1"/>
  <c r="R7184" i="1"/>
  <c r="Q7184" i="1"/>
  <c r="M7184" i="1"/>
  <c r="L7184" i="1"/>
  <c r="V7183" i="1"/>
  <c r="U7183" i="1"/>
  <c r="T7183" i="1"/>
  <c r="S7183" i="1"/>
  <c r="R7183" i="1"/>
  <c r="Q7183" i="1"/>
  <c r="M7183" i="1"/>
  <c r="L7183" i="1"/>
  <c r="V7182" i="1"/>
  <c r="U7182" i="1"/>
  <c r="T7182" i="1"/>
  <c r="S7182" i="1"/>
  <c r="R7182" i="1"/>
  <c r="Q7182" i="1"/>
  <c r="M7182" i="1"/>
  <c r="L7182" i="1"/>
  <c r="V7181" i="1"/>
  <c r="U7181" i="1"/>
  <c r="T7181" i="1"/>
  <c r="S7181" i="1"/>
  <c r="R7181" i="1"/>
  <c r="Q7181" i="1"/>
  <c r="M7181" i="1"/>
  <c r="L7181" i="1"/>
  <c r="V7180" i="1"/>
  <c r="U7180" i="1"/>
  <c r="T7180" i="1"/>
  <c r="S7180" i="1"/>
  <c r="R7180" i="1"/>
  <c r="Q7180" i="1"/>
  <c r="M7180" i="1"/>
  <c r="L7180" i="1"/>
  <c r="V7179" i="1"/>
  <c r="U7179" i="1"/>
  <c r="T7179" i="1"/>
  <c r="S7179" i="1"/>
  <c r="R7179" i="1"/>
  <c r="Q7179" i="1"/>
  <c r="M7179" i="1"/>
  <c r="L7179" i="1"/>
  <c r="V7178" i="1"/>
  <c r="U7178" i="1"/>
  <c r="T7178" i="1"/>
  <c r="S7178" i="1"/>
  <c r="R7178" i="1"/>
  <c r="Q7178" i="1"/>
  <c r="M7178" i="1"/>
  <c r="L7178" i="1"/>
  <c r="V7177" i="1"/>
  <c r="U7177" i="1"/>
  <c r="T7177" i="1"/>
  <c r="S7177" i="1"/>
  <c r="R7177" i="1"/>
  <c r="Q7177" i="1"/>
  <c r="M7177" i="1"/>
  <c r="L7177" i="1"/>
  <c r="V7176" i="1"/>
  <c r="U7176" i="1"/>
  <c r="T7176" i="1"/>
  <c r="S7176" i="1"/>
  <c r="R7176" i="1"/>
  <c r="Q7176" i="1"/>
  <c r="M7176" i="1"/>
  <c r="L7176" i="1"/>
  <c r="V7175" i="1"/>
  <c r="U7175" i="1"/>
  <c r="T7175" i="1"/>
  <c r="S7175" i="1"/>
  <c r="R7175" i="1"/>
  <c r="Q7175" i="1"/>
  <c r="M7175" i="1"/>
  <c r="L7175" i="1"/>
  <c r="V7174" i="1"/>
  <c r="U7174" i="1"/>
  <c r="T7174" i="1"/>
  <c r="S7174" i="1"/>
  <c r="R7174" i="1"/>
  <c r="Q7174" i="1"/>
  <c r="M7174" i="1"/>
  <c r="L7174" i="1"/>
  <c r="V7173" i="1"/>
  <c r="U7173" i="1"/>
  <c r="T7173" i="1"/>
  <c r="S7173" i="1"/>
  <c r="R7173" i="1"/>
  <c r="Q7173" i="1"/>
  <c r="M7173" i="1"/>
  <c r="L7173" i="1"/>
  <c r="V7172" i="1"/>
  <c r="U7172" i="1"/>
  <c r="T7172" i="1"/>
  <c r="S7172" i="1"/>
  <c r="R7172" i="1"/>
  <c r="Q7172" i="1"/>
  <c r="M7172" i="1"/>
  <c r="L7172" i="1"/>
  <c r="V7171" i="1"/>
  <c r="U7171" i="1"/>
  <c r="T7171" i="1"/>
  <c r="S7171" i="1"/>
  <c r="R7171" i="1"/>
  <c r="Q7171" i="1"/>
  <c r="M7171" i="1"/>
  <c r="L7171" i="1"/>
  <c r="V7170" i="1"/>
  <c r="U7170" i="1"/>
  <c r="T7170" i="1"/>
  <c r="S7170" i="1"/>
  <c r="R7170" i="1"/>
  <c r="Q7170" i="1"/>
  <c r="M7170" i="1"/>
  <c r="L7170" i="1"/>
  <c r="V7169" i="1"/>
  <c r="U7169" i="1"/>
  <c r="T7169" i="1"/>
  <c r="S7169" i="1"/>
  <c r="R7169" i="1"/>
  <c r="Q7169" i="1"/>
  <c r="M7169" i="1"/>
  <c r="L7169" i="1"/>
  <c r="V7168" i="1"/>
  <c r="U7168" i="1"/>
  <c r="T7168" i="1"/>
  <c r="S7168" i="1"/>
  <c r="R7168" i="1"/>
  <c r="Q7168" i="1"/>
  <c r="M7168" i="1"/>
  <c r="L7168" i="1"/>
  <c r="V7167" i="1"/>
  <c r="U7167" i="1"/>
  <c r="T7167" i="1"/>
  <c r="S7167" i="1"/>
  <c r="R7167" i="1"/>
  <c r="Q7167" i="1"/>
  <c r="M7167" i="1"/>
  <c r="L7167" i="1"/>
  <c r="V7166" i="1"/>
  <c r="U7166" i="1"/>
  <c r="T7166" i="1"/>
  <c r="S7166" i="1"/>
  <c r="R7166" i="1"/>
  <c r="Q7166" i="1"/>
  <c r="M7166" i="1"/>
  <c r="L7166" i="1"/>
  <c r="V7165" i="1"/>
  <c r="U7165" i="1"/>
  <c r="T7165" i="1"/>
  <c r="S7165" i="1"/>
  <c r="R7165" i="1"/>
  <c r="Q7165" i="1"/>
  <c r="M7165" i="1"/>
  <c r="L7165" i="1"/>
  <c r="V7164" i="1"/>
  <c r="U7164" i="1"/>
  <c r="T7164" i="1"/>
  <c r="S7164" i="1"/>
  <c r="R7164" i="1"/>
  <c r="Q7164" i="1"/>
  <c r="M7164" i="1"/>
  <c r="L7164" i="1"/>
  <c r="V7163" i="1"/>
  <c r="U7163" i="1"/>
  <c r="T7163" i="1"/>
  <c r="S7163" i="1"/>
  <c r="R7163" i="1"/>
  <c r="Q7163" i="1"/>
  <c r="M7163" i="1"/>
  <c r="L7163" i="1"/>
  <c r="V7162" i="1"/>
  <c r="U7162" i="1"/>
  <c r="T7162" i="1"/>
  <c r="S7162" i="1"/>
  <c r="R7162" i="1"/>
  <c r="Q7162" i="1"/>
  <c r="M7162" i="1"/>
  <c r="L7162" i="1"/>
  <c r="V7161" i="1"/>
  <c r="U7161" i="1"/>
  <c r="T7161" i="1"/>
  <c r="S7161" i="1"/>
  <c r="R7161" i="1"/>
  <c r="Q7161" i="1"/>
  <c r="M7161" i="1"/>
  <c r="L7161" i="1"/>
  <c r="V7160" i="1"/>
  <c r="U7160" i="1"/>
  <c r="T7160" i="1"/>
  <c r="S7160" i="1"/>
  <c r="R7160" i="1"/>
  <c r="Q7160" i="1"/>
  <c r="M7160" i="1"/>
  <c r="L7160" i="1"/>
  <c r="V7159" i="1"/>
  <c r="U7159" i="1"/>
  <c r="T7159" i="1"/>
  <c r="S7159" i="1"/>
  <c r="R7159" i="1"/>
  <c r="Q7159" i="1"/>
  <c r="M7159" i="1"/>
  <c r="L7159" i="1"/>
  <c r="V7158" i="1"/>
  <c r="U7158" i="1"/>
  <c r="T7158" i="1"/>
  <c r="S7158" i="1"/>
  <c r="R7158" i="1"/>
  <c r="Q7158" i="1"/>
  <c r="M7158" i="1"/>
  <c r="L7158" i="1"/>
  <c r="V7157" i="1"/>
  <c r="U7157" i="1"/>
  <c r="T7157" i="1"/>
  <c r="S7157" i="1"/>
  <c r="R7157" i="1"/>
  <c r="Q7157" i="1"/>
  <c r="M7157" i="1"/>
  <c r="L7157" i="1"/>
  <c r="V7156" i="1"/>
  <c r="U7156" i="1"/>
  <c r="T7156" i="1"/>
  <c r="S7156" i="1"/>
  <c r="R7156" i="1"/>
  <c r="Q7156" i="1"/>
  <c r="M7156" i="1"/>
  <c r="L7156" i="1"/>
  <c r="V7155" i="1"/>
  <c r="U7155" i="1"/>
  <c r="T7155" i="1"/>
  <c r="S7155" i="1"/>
  <c r="R7155" i="1"/>
  <c r="Q7155" i="1"/>
  <c r="M7155" i="1"/>
  <c r="L7155" i="1"/>
  <c r="V7154" i="1"/>
  <c r="U7154" i="1"/>
  <c r="T7154" i="1"/>
  <c r="S7154" i="1"/>
  <c r="R7154" i="1"/>
  <c r="Q7154" i="1"/>
  <c r="M7154" i="1"/>
  <c r="L7154" i="1"/>
  <c r="V7153" i="1"/>
  <c r="U7153" i="1"/>
  <c r="T7153" i="1"/>
  <c r="S7153" i="1"/>
  <c r="R7153" i="1"/>
  <c r="Q7153" i="1"/>
  <c r="M7153" i="1"/>
  <c r="L7153" i="1"/>
  <c r="V7152" i="1"/>
  <c r="U7152" i="1"/>
  <c r="T7152" i="1"/>
  <c r="S7152" i="1"/>
  <c r="R7152" i="1"/>
  <c r="Q7152" i="1"/>
  <c r="M7152" i="1"/>
  <c r="L7152" i="1"/>
  <c r="V7151" i="1"/>
  <c r="U7151" i="1"/>
  <c r="T7151" i="1"/>
  <c r="S7151" i="1"/>
  <c r="R7151" i="1"/>
  <c r="Q7151" i="1"/>
  <c r="M7151" i="1"/>
  <c r="L7151" i="1"/>
  <c r="V7150" i="1"/>
  <c r="U7150" i="1"/>
  <c r="T7150" i="1"/>
  <c r="S7150" i="1"/>
  <c r="R7150" i="1"/>
  <c r="Q7150" i="1"/>
  <c r="M7150" i="1"/>
  <c r="L7150" i="1"/>
  <c r="V7149" i="1"/>
  <c r="U7149" i="1"/>
  <c r="T7149" i="1"/>
  <c r="S7149" i="1"/>
  <c r="R7149" i="1"/>
  <c r="Q7149" i="1"/>
  <c r="M7149" i="1"/>
  <c r="L7149" i="1"/>
  <c r="V7148" i="1"/>
  <c r="U7148" i="1"/>
  <c r="T7148" i="1"/>
  <c r="S7148" i="1"/>
  <c r="R7148" i="1"/>
  <c r="Q7148" i="1"/>
  <c r="M7148" i="1"/>
  <c r="L7148" i="1"/>
  <c r="V7147" i="1"/>
  <c r="U7147" i="1"/>
  <c r="T7147" i="1"/>
  <c r="S7147" i="1"/>
  <c r="R7147" i="1"/>
  <c r="Q7147" i="1"/>
  <c r="M7147" i="1"/>
  <c r="L7147" i="1"/>
  <c r="V7146" i="1"/>
  <c r="U7146" i="1"/>
  <c r="T7146" i="1"/>
  <c r="S7146" i="1"/>
  <c r="R7146" i="1"/>
  <c r="Q7146" i="1"/>
  <c r="M7146" i="1"/>
  <c r="L7146" i="1"/>
  <c r="V7145" i="1"/>
  <c r="U7145" i="1"/>
  <c r="T7145" i="1"/>
  <c r="S7145" i="1"/>
  <c r="R7145" i="1"/>
  <c r="Q7145" i="1"/>
  <c r="M7145" i="1"/>
  <c r="L7145" i="1"/>
  <c r="V7144" i="1"/>
  <c r="U7144" i="1"/>
  <c r="T7144" i="1"/>
  <c r="S7144" i="1"/>
  <c r="R7144" i="1"/>
  <c r="Q7144" i="1"/>
  <c r="M7144" i="1"/>
  <c r="L7144" i="1"/>
  <c r="V7143" i="1"/>
  <c r="U7143" i="1"/>
  <c r="T7143" i="1"/>
  <c r="S7143" i="1"/>
  <c r="R7143" i="1"/>
  <c r="Q7143" i="1"/>
  <c r="M7143" i="1"/>
  <c r="L7143" i="1"/>
  <c r="V7142" i="1"/>
  <c r="U7142" i="1"/>
  <c r="T7142" i="1"/>
  <c r="S7142" i="1"/>
  <c r="R7142" i="1"/>
  <c r="Q7142" i="1"/>
  <c r="M7142" i="1"/>
  <c r="L7142" i="1"/>
  <c r="V7141" i="1"/>
  <c r="U7141" i="1"/>
  <c r="T7141" i="1"/>
  <c r="S7141" i="1"/>
  <c r="R7141" i="1"/>
  <c r="Q7141" i="1"/>
  <c r="M7141" i="1"/>
  <c r="L7141" i="1"/>
  <c r="V7140" i="1"/>
  <c r="U7140" i="1"/>
  <c r="T7140" i="1"/>
  <c r="S7140" i="1"/>
  <c r="R7140" i="1"/>
  <c r="Q7140" i="1"/>
  <c r="M7140" i="1"/>
  <c r="L7140" i="1"/>
  <c r="V7139" i="1"/>
  <c r="U7139" i="1"/>
  <c r="T7139" i="1"/>
  <c r="S7139" i="1"/>
  <c r="R7139" i="1"/>
  <c r="Q7139" i="1"/>
  <c r="M7139" i="1"/>
  <c r="L7139" i="1"/>
  <c r="V7138" i="1"/>
  <c r="U7138" i="1"/>
  <c r="T7138" i="1"/>
  <c r="S7138" i="1"/>
  <c r="R7138" i="1"/>
  <c r="Q7138" i="1"/>
  <c r="M7138" i="1"/>
  <c r="L7138" i="1"/>
  <c r="V7137" i="1"/>
  <c r="U7137" i="1"/>
  <c r="T7137" i="1"/>
  <c r="S7137" i="1"/>
  <c r="R7137" i="1"/>
  <c r="Q7137" i="1"/>
  <c r="M7137" i="1"/>
  <c r="L7137" i="1"/>
  <c r="V7136" i="1"/>
  <c r="U7136" i="1"/>
  <c r="T7136" i="1"/>
  <c r="S7136" i="1"/>
  <c r="R7136" i="1"/>
  <c r="Q7136" i="1"/>
  <c r="M7136" i="1"/>
  <c r="L7136" i="1"/>
  <c r="V7135" i="1"/>
  <c r="U7135" i="1"/>
  <c r="T7135" i="1"/>
  <c r="S7135" i="1"/>
  <c r="R7135" i="1"/>
  <c r="Q7135" i="1"/>
  <c r="M7135" i="1"/>
  <c r="L7135" i="1"/>
  <c r="V7134" i="1"/>
  <c r="U7134" i="1"/>
  <c r="T7134" i="1"/>
  <c r="S7134" i="1"/>
  <c r="R7134" i="1"/>
  <c r="Q7134" i="1"/>
  <c r="M7134" i="1"/>
  <c r="L7134" i="1"/>
  <c r="V7133" i="1"/>
  <c r="U7133" i="1"/>
  <c r="T7133" i="1"/>
  <c r="S7133" i="1"/>
  <c r="R7133" i="1"/>
  <c r="Q7133" i="1"/>
  <c r="M7133" i="1"/>
  <c r="L7133" i="1"/>
  <c r="V7132" i="1"/>
  <c r="U7132" i="1"/>
  <c r="T7132" i="1"/>
  <c r="S7132" i="1"/>
  <c r="R7132" i="1"/>
  <c r="Q7132" i="1"/>
  <c r="M7132" i="1"/>
  <c r="L7132" i="1"/>
  <c r="V7131" i="1"/>
  <c r="U7131" i="1"/>
  <c r="T7131" i="1"/>
  <c r="S7131" i="1"/>
  <c r="R7131" i="1"/>
  <c r="Q7131" i="1"/>
  <c r="M7131" i="1"/>
  <c r="L7131" i="1"/>
  <c r="V7130" i="1"/>
  <c r="U7130" i="1"/>
  <c r="T7130" i="1"/>
  <c r="S7130" i="1"/>
  <c r="R7130" i="1"/>
  <c r="Q7130" i="1"/>
  <c r="M7130" i="1"/>
  <c r="L7130" i="1"/>
  <c r="V7129" i="1"/>
  <c r="U7129" i="1"/>
  <c r="T7129" i="1"/>
  <c r="S7129" i="1"/>
  <c r="R7129" i="1"/>
  <c r="Q7129" i="1"/>
  <c r="M7129" i="1"/>
  <c r="L7129" i="1"/>
  <c r="V7128" i="1"/>
  <c r="U7128" i="1"/>
  <c r="T7128" i="1"/>
  <c r="S7128" i="1"/>
  <c r="R7128" i="1"/>
  <c r="Q7128" i="1"/>
  <c r="M7128" i="1"/>
  <c r="L7128" i="1"/>
  <c r="V7127" i="1"/>
  <c r="U7127" i="1"/>
  <c r="T7127" i="1"/>
  <c r="S7127" i="1"/>
  <c r="R7127" i="1"/>
  <c r="Q7127" i="1"/>
  <c r="M7127" i="1"/>
  <c r="L7127" i="1"/>
  <c r="V7126" i="1"/>
  <c r="U7126" i="1"/>
  <c r="T7126" i="1"/>
  <c r="S7126" i="1"/>
  <c r="R7126" i="1"/>
  <c r="Q7126" i="1"/>
  <c r="M7126" i="1"/>
  <c r="L7126" i="1"/>
  <c r="V7125" i="1"/>
  <c r="U7125" i="1"/>
  <c r="T7125" i="1"/>
  <c r="S7125" i="1"/>
  <c r="R7125" i="1"/>
  <c r="Q7125" i="1"/>
  <c r="M7125" i="1"/>
  <c r="L7125" i="1"/>
  <c r="V7124" i="1"/>
  <c r="U7124" i="1"/>
  <c r="T7124" i="1"/>
  <c r="S7124" i="1"/>
  <c r="R7124" i="1"/>
  <c r="Q7124" i="1"/>
  <c r="M7124" i="1"/>
  <c r="L7124" i="1"/>
  <c r="V7123" i="1"/>
  <c r="U7123" i="1"/>
  <c r="T7123" i="1"/>
  <c r="S7123" i="1"/>
  <c r="R7123" i="1"/>
  <c r="Q7123" i="1"/>
  <c r="M7123" i="1"/>
  <c r="L7123" i="1"/>
  <c r="V7122" i="1"/>
  <c r="U7122" i="1"/>
  <c r="T7122" i="1"/>
  <c r="S7122" i="1"/>
  <c r="R7122" i="1"/>
  <c r="Q7122" i="1"/>
  <c r="M7122" i="1"/>
  <c r="L7122" i="1"/>
  <c r="V7121" i="1"/>
  <c r="U7121" i="1"/>
  <c r="T7121" i="1"/>
  <c r="S7121" i="1"/>
  <c r="R7121" i="1"/>
  <c r="Q7121" i="1"/>
  <c r="M7121" i="1"/>
  <c r="L7121" i="1"/>
  <c r="V7120" i="1"/>
  <c r="U7120" i="1"/>
  <c r="T7120" i="1"/>
  <c r="S7120" i="1"/>
  <c r="R7120" i="1"/>
  <c r="Q7120" i="1"/>
  <c r="M7120" i="1"/>
  <c r="L7120" i="1"/>
  <c r="V7119" i="1"/>
  <c r="U7119" i="1"/>
  <c r="T7119" i="1"/>
  <c r="S7119" i="1"/>
  <c r="R7119" i="1"/>
  <c r="Q7119" i="1"/>
  <c r="M7119" i="1"/>
  <c r="L7119" i="1"/>
  <c r="V7118" i="1"/>
  <c r="U7118" i="1"/>
  <c r="T7118" i="1"/>
  <c r="S7118" i="1"/>
  <c r="R7118" i="1"/>
  <c r="Q7118" i="1"/>
  <c r="M7118" i="1"/>
  <c r="L7118" i="1"/>
  <c r="V7117" i="1"/>
  <c r="U7117" i="1"/>
  <c r="T7117" i="1"/>
  <c r="S7117" i="1"/>
  <c r="R7117" i="1"/>
  <c r="Q7117" i="1"/>
  <c r="M7117" i="1"/>
  <c r="L7117" i="1"/>
  <c r="V7116" i="1"/>
  <c r="U7116" i="1"/>
  <c r="T7116" i="1"/>
  <c r="S7116" i="1"/>
  <c r="R7116" i="1"/>
  <c r="Q7116" i="1"/>
  <c r="M7116" i="1"/>
  <c r="L7116" i="1"/>
  <c r="V7115" i="1"/>
  <c r="U7115" i="1"/>
  <c r="T7115" i="1"/>
  <c r="S7115" i="1"/>
  <c r="R7115" i="1"/>
  <c r="Q7115" i="1"/>
  <c r="M7115" i="1"/>
  <c r="L7115" i="1"/>
  <c r="V7114" i="1"/>
  <c r="U7114" i="1"/>
  <c r="T7114" i="1"/>
  <c r="S7114" i="1"/>
  <c r="R7114" i="1"/>
  <c r="Q7114" i="1"/>
  <c r="M7114" i="1"/>
  <c r="L7114" i="1"/>
  <c r="V7113" i="1"/>
  <c r="U7113" i="1"/>
  <c r="T7113" i="1"/>
  <c r="S7113" i="1"/>
  <c r="R7113" i="1"/>
  <c r="Q7113" i="1"/>
  <c r="M7113" i="1"/>
  <c r="L7113" i="1"/>
  <c r="V7112" i="1"/>
  <c r="U7112" i="1"/>
  <c r="T7112" i="1"/>
  <c r="S7112" i="1"/>
  <c r="R7112" i="1"/>
  <c r="Q7112" i="1"/>
  <c r="M7112" i="1"/>
  <c r="L7112" i="1"/>
  <c r="V7111" i="1"/>
  <c r="U7111" i="1"/>
  <c r="T7111" i="1"/>
  <c r="S7111" i="1"/>
  <c r="R7111" i="1"/>
  <c r="Q7111" i="1"/>
  <c r="M7111" i="1"/>
  <c r="L7111" i="1"/>
  <c r="V7110" i="1"/>
  <c r="U7110" i="1"/>
  <c r="T7110" i="1"/>
  <c r="S7110" i="1"/>
  <c r="R7110" i="1"/>
  <c r="Q7110" i="1"/>
  <c r="M7110" i="1"/>
  <c r="L7110" i="1"/>
  <c r="V7109" i="1"/>
  <c r="U7109" i="1"/>
  <c r="T7109" i="1"/>
  <c r="S7109" i="1"/>
  <c r="R7109" i="1"/>
  <c r="Q7109" i="1"/>
  <c r="M7109" i="1"/>
  <c r="L7109" i="1"/>
  <c r="V7108" i="1"/>
  <c r="U7108" i="1"/>
  <c r="T7108" i="1"/>
  <c r="S7108" i="1"/>
  <c r="R7108" i="1"/>
  <c r="Q7108" i="1"/>
  <c r="M7108" i="1"/>
  <c r="L7108" i="1"/>
  <c r="V7107" i="1"/>
  <c r="U7107" i="1"/>
  <c r="T7107" i="1"/>
  <c r="S7107" i="1"/>
  <c r="R7107" i="1"/>
  <c r="Q7107" i="1"/>
  <c r="M7107" i="1"/>
  <c r="L7107" i="1"/>
  <c r="V7106" i="1"/>
  <c r="U7106" i="1"/>
  <c r="T7106" i="1"/>
  <c r="S7106" i="1"/>
  <c r="R7106" i="1"/>
  <c r="Q7106" i="1"/>
  <c r="M7106" i="1"/>
  <c r="L7106" i="1"/>
  <c r="V7105" i="1"/>
  <c r="U7105" i="1"/>
  <c r="T7105" i="1"/>
  <c r="S7105" i="1"/>
  <c r="R7105" i="1"/>
  <c r="Q7105" i="1"/>
  <c r="M7105" i="1"/>
  <c r="L7105" i="1"/>
  <c r="V7104" i="1"/>
  <c r="U7104" i="1"/>
  <c r="T7104" i="1"/>
  <c r="S7104" i="1"/>
  <c r="R7104" i="1"/>
  <c r="Q7104" i="1"/>
  <c r="M7104" i="1"/>
  <c r="L7104" i="1"/>
  <c r="V7103" i="1"/>
  <c r="U7103" i="1"/>
  <c r="T7103" i="1"/>
  <c r="S7103" i="1"/>
  <c r="R7103" i="1"/>
  <c r="Q7103" i="1"/>
  <c r="M7103" i="1"/>
  <c r="L7103" i="1"/>
  <c r="V7102" i="1"/>
  <c r="U7102" i="1"/>
  <c r="T7102" i="1"/>
  <c r="S7102" i="1"/>
  <c r="R7102" i="1"/>
  <c r="Q7102" i="1"/>
  <c r="M7102" i="1"/>
  <c r="L7102" i="1"/>
  <c r="V7101" i="1"/>
  <c r="U7101" i="1"/>
  <c r="T7101" i="1"/>
  <c r="S7101" i="1"/>
  <c r="R7101" i="1"/>
  <c r="Q7101" i="1"/>
  <c r="M7101" i="1"/>
  <c r="L7101" i="1"/>
  <c r="V7100" i="1"/>
  <c r="U7100" i="1"/>
  <c r="T7100" i="1"/>
  <c r="S7100" i="1"/>
  <c r="R7100" i="1"/>
  <c r="Q7100" i="1"/>
  <c r="M7100" i="1"/>
  <c r="L7100" i="1"/>
  <c r="V7099" i="1"/>
  <c r="U7099" i="1"/>
  <c r="T7099" i="1"/>
  <c r="S7099" i="1"/>
  <c r="R7099" i="1"/>
  <c r="Q7099" i="1"/>
  <c r="M7099" i="1"/>
  <c r="L7099" i="1"/>
  <c r="V7098" i="1"/>
  <c r="U7098" i="1"/>
  <c r="T7098" i="1"/>
  <c r="S7098" i="1"/>
  <c r="R7098" i="1"/>
  <c r="Q7098" i="1"/>
  <c r="M7098" i="1"/>
  <c r="L7098" i="1"/>
  <c r="V7097" i="1"/>
  <c r="U7097" i="1"/>
  <c r="T7097" i="1"/>
  <c r="S7097" i="1"/>
  <c r="R7097" i="1"/>
  <c r="Q7097" i="1"/>
  <c r="M7097" i="1"/>
  <c r="L7097" i="1"/>
  <c r="V7096" i="1"/>
  <c r="U7096" i="1"/>
  <c r="T7096" i="1"/>
  <c r="S7096" i="1"/>
  <c r="R7096" i="1"/>
  <c r="Q7096" i="1"/>
  <c r="M7096" i="1"/>
  <c r="L7096" i="1"/>
  <c r="V7095" i="1"/>
  <c r="U7095" i="1"/>
  <c r="T7095" i="1"/>
  <c r="S7095" i="1"/>
  <c r="R7095" i="1"/>
  <c r="Q7095" i="1"/>
  <c r="M7095" i="1"/>
  <c r="L7095" i="1"/>
  <c r="V7094" i="1"/>
  <c r="U7094" i="1"/>
  <c r="T7094" i="1"/>
  <c r="S7094" i="1"/>
  <c r="R7094" i="1"/>
  <c r="Q7094" i="1"/>
  <c r="M7094" i="1"/>
  <c r="L7094" i="1"/>
  <c r="V7093" i="1"/>
  <c r="U7093" i="1"/>
  <c r="T7093" i="1"/>
  <c r="S7093" i="1"/>
  <c r="R7093" i="1"/>
  <c r="Q7093" i="1"/>
  <c r="M7093" i="1"/>
  <c r="L7093" i="1"/>
  <c r="V7092" i="1"/>
  <c r="U7092" i="1"/>
  <c r="T7092" i="1"/>
  <c r="S7092" i="1"/>
  <c r="R7092" i="1"/>
  <c r="Q7092" i="1"/>
  <c r="M7092" i="1"/>
  <c r="L7092" i="1"/>
  <c r="V7091" i="1"/>
  <c r="U7091" i="1"/>
  <c r="T7091" i="1"/>
  <c r="S7091" i="1"/>
  <c r="R7091" i="1"/>
  <c r="Q7091" i="1"/>
  <c r="M7091" i="1"/>
  <c r="L7091" i="1"/>
  <c r="V7090" i="1"/>
  <c r="U7090" i="1"/>
  <c r="T7090" i="1"/>
  <c r="S7090" i="1"/>
  <c r="R7090" i="1"/>
  <c r="Q7090" i="1"/>
  <c r="M7090" i="1"/>
  <c r="L7090" i="1"/>
  <c r="V7089" i="1"/>
  <c r="U7089" i="1"/>
  <c r="T7089" i="1"/>
  <c r="S7089" i="1"/>
  <c r="R7089" i="1"/>
  <c r="Q7089" i="1"/>
  <c r="M7089" i="1"/>
  <c r="L7089" i="1"/>
  <c r="V7088" i="1"/>
  <c r="U7088" i="1"/>
  <c r="T7088" i="1"/>
  <c r="S7088" i="1"/>
  <c r="R7088" i="1"/>
  <c r="Q7088" i="1"/>
  <c r="M7088" i="1"/>
  <c r="L7088" i="1"/>
  <c r="V7087" i="1"/>
  <c r="U7087" i="1"/>
  <c r="T7087" i="1"/>
  <c r="S7087" i="1"/>
  <c r="R7087" i="1"/>
  <c r="Q7087" i="1"/>
  <c r="M7087" i="1"/>
  <c r="L7087" i="1"/>
  <c r="V7086" i="1"/>
  <c r="U7086" i="1"/>
  <c r="T7086" i="1"/>
  <c r="S7086" i="1"/>
  <c r="R7086" i="1"/>
  <c r="Q7086" i="1"/>
  <c r="M7086" i="1"/>
  <c r="L7086" i="1"/>
  <c r="V7085" i="1"/>
  <c r="U7085" i="1"/>
  <c r="T7085" i="1"/>
  <c r="S7085" i="1"/>
  <c r="R7085" i="1"/>
  <c r="Q7085" i="1"/>
  <c r="M7085" i="1"/>
  <c r="L7085" i="1"/>
  <c r="V7084" i="1"/>
  <c r="U7084" i="1"/>
  <c r="T7084" i="1"/>
  <c r="S7084" i="1"/>
  <c r="R7084" i="1"/>
  <c r="Q7084" i="1"/>
  <c r="M7084" i="1"/>
  <c r="L7084" i="1"/>
  <c r="V7083" i="1"/>
  <c r="U7083" i="1"/>
  <c r="T7083" i="1"/>
  <c r="S7083" i="1"/>
  <c r="R7083" i="1"/>
  <c r="Q7083" i="1"/>
  <c r="M7083" i="1"/>
  <c r="L7083" i="1"/>
  <c r="V7082" i="1"/>
  <c r="U7082" i="1"/>
  <c r="T7082" i="1"/>
  <c r="S7082" i="1"/>
  <c r="R7082" i="1"/>
  <c r="Q7082" i="1"/>
  <c r="M7082" i="1"/>
  <c r="L7082" i="1"/>
  <c r="V7081" i="1"/>
  <c r="U7081" i="1"/>
  <c r="T7081" i="1"/>
  <c r="S7081" i="1"/>
  <c r="R7081" i="1"/>
  <c r="Q7081" i="1"/>
  <c r="M7081" i="1"/>
  <c r="L7081" i="1"/>
  <c r="V7080" i="1"/>
  <c r="U7080" i="1"/>
  <c r="T7080" i="1"/>
  <c r="S7080" i="1"/>
  <c r="R7080" i="1"/>
  <c r="Q7080" i="1"/>
  <c r="M7080" i="1"/>
  <c r="L7080" i="1"/>
  <c r="V7079" i="1"/>
  <c r="U7079" i="1"/>
  <c r="T7079" i="1"/>
  <c r="S7079" i="1"/>
  <c r="R7079" i="1"/>
  <c r="Q7079" i="1"/>
  <c r="M7079" i="1"/>
  <c r="L7079" i="1"/>
  <c r="V7078" i="1"/>
  <c r="U7078" i="1"/>
  <c r="T7078" i="1"/>
  <c r="S7078" i="1"/>
  <c r="R7078" i="1"/>
  <c r="Q7078" i="1"/>
  <c r="M7078" i="1"/>
  <c r="L7078" i="1"/>
  <c r="V7077" i="1"/>
  <c r="U7077" i="1"/>
  <c r="T7077" i="1"/>
  <c r="S7077" i="1"/>
  <c r="R7077" i="1"/>
  <c r="Q7077" i="1"/>
  <c r="M7077" i="1"/>
  <c r="L7077" i="1"/>
  <c r="V7076" i="1"/>
  <c r="U7076" i="1"/>
  <c r="T7076" i="1"/>
  <c r="S7076" i="1"/>
  <c r="R7076" i="1"/>
  <c r="Q7076" i="1"/>
  <c r="M7076" i="1"/>
  <c r="L7076" i="1"/>
  <c r="V7075" i="1"/>
  <c r="U7075" i="1"/>
  <c r="T7075" i="1"/>
  <c r="S7075" i="1"/>
  <c r="R7075" i="1"/>
  <c r="Q7075" i="1"/>
  <c r="M7075" i="1"/>
  <c r="L7075" i="1"/>
  <c r="V7074" i="1"/>
  <c r="U7074" i="1"/>
  <c r="T7074" i="1"/>
  <c r="S7074" i="1"/>
  <c r="R7074" i="1"/>
  <c r="Q7074" i="1"/>
  <c r="M7074" i="1"/>
  <c r="L7074" i="1"/>
  <c r="V7073" i="1"/>
  <c r="U7073" i="1"/>
  <c r="T7073" i="1"/>
  <c r="S7073" i="1"/>
  <c r="R7073" i="1"/>
  <c r="Q7073" i="1"/>
  <c r="M7073" i="1"/>
  <c r="L7073" i="1"/>
  <c r="V7072" i="1"/>
  <c r="U7072" i="1"/>
  <c r="T7072" i="1"/>
  <c r="S7072" i="1"/>
  <c r="R7072" i="1"/>
  <c r="Q7072" i="1"/>
  <c r="M7072" i="1"/>
  <c r="L7072" i="1"/>
  <c r="V7071" i="1"/>
  <c r="U7071" i="1"/>
  <c r="T7071" i="1"/>
  <c r="S7071" i="1"/>
  <c r="R7071" i="1"/>
  <c r="Q7071" i="1"/>
  <c r="M7071" i="1"/>
  <c r="L7071" i="1"/>
  <c r="V7070" i="1"/>
  <c r="U7070" i="1"/>
  <c r="T7070" i="1"/>
  <c r="S7070" i="1"/>
  <c r="R7070" i="1"/>
  <c r="Q7070" i="1"/>
  <c r="M7070" i="1"/>
  <c r="L7070" i="1"/>
  <c r="V7069" i="1"/>
  <c r="U7069" i="1"/>
  <c r="T7069" i="1"/>
  <c r="S7069" i="1"/>
  <c r="R7069" i="1"/>
  <c r="Q7069" i="1"/>
  <c r="M7069" i="1"/>
  <c r="L7069" i="1"/>
  <c r="V7068" i="1"/>
  <c r="U7068" i="1"/>
  <c r="T7068" i="1"/>
  <c r="S7068" i="1"/>
  <c r="R7068" i="1"/>
  <c r="Q7068" i="1"/>
  <c r="M7068" i="1"/>
  <c r="L7068" i="1"/>
  <c r="V7067" i="1"/>
  <c r="U7067" i="1"/>
  <c r="T7067" i="1"/>
  <c r="S7067" i="1"/>
  <c r="R7067" i="1"/>
  <c r="Q7067" i="1"/>
  <c r="M7067" i="1"/>
  <c r="L7067" i="1"/>
  <c r="V7066" i="1"/>
  <c r="U7066" i="1"/>
  <c r="T7066" i="1"/>
  <c r="S7066" i="1"/>
  <c r="R7066" i="1"/>
  <c r="Q7066" i="1"/>
  <c r="M7066" i="1"/>
  <c r="L7066" i="1"/>
  <c r="V7065" i="1"/>
  <c r="U7065" i="1"/>
  <c r="T7065" i="1"/>
  <c r="S7065" i="1"/>
  <c r="R7065" i="1"/>
  <c r="Q7065" i="1"/>
  <c r="M7065" i="1"/>
  <c r="L7065" i="1"/>
  <c r="V7064" i="1"/>
  <c r="U7064" i="1"/>
  <c r="T7064" i="1"/>
  <c r="S7064" i="1"/>
  <c r="R7064" i="1"/>
  <c r="Q7064" i="1"/>
  <c r="M7064" i="1"/>
  <c r="L7064" i="1"/>
  <c r="V7063" i="1"/>
  <c r="U7063" i="1"/>
  <c r="T7063" i="1"/>
  <c r="S7063" i="1"/>
  <c r="R7063" i="1"/>
  <c r="Q7063" i="1"/>
  <c r="M7063" i="1"/>
  <c r="L7063" i="1"/>
  <c r="V7062" i="1"/>
  <c r="U7062" i="1"/>
  <c r="T7062" i="1"/>
  <c r="S7062" i="1"/>
  <c r="R7062" i="1"/>
  <c r="Q7062" i="1"/>
  <c r="M7062" i="1"/>
  <c r="L7062" i="1"/>
  <c r="V7061" i="1"/>
  <c r="U7061" i="1"/>
  <c r="T7061" i="1"/>
  <c r="S7061" i="1"/>
  <c r="R7061" i="1"/>
  <c r="Q7061" i="1"/>
  <c r="M7061" i="1"/>
  <c r="L7061" i="1"/>
  <c r="V7060" i="1"/>
  <c r="U7060" i="1"/>
  <c r="T7060" i="1"/>
  <c r="S7060" i="1"/>
  <c r="R7060" i="1"/>
  <c r="Q7060" i="1"/>
  <c r="M7060" i="1"/>
  <c r="L7060" i="1"/>
  <c r="V7059" i="1"/>
  <c r="U7059" i="1"/>
  <c r="T7059" i="1"/>
  <c r="S7059" i="1"/>
  <c r="R7059" i="1"/>
  <c r="Q7059" i="1"/>
  <c r="M7059" i="1"/>
  <c r="L7059" i="1"/>
  <c r="V7058" i="1"/>
  <c r="U7058" i="1"/>
  <c r="T7058" i="1"/>
  <c r="S7058" i="1"/>
  <c r="R7058" i="1"/>
  <c r="Q7058" i="1"/>
  <c r="M7058" i="1"/>
  <c r="L7058" i="1"/>
  <c r="V7057" i="1"/>
  <c r="U7057" i="1"/>
  <c r="T7057" i="1"/>
  <c r="S7057" i="1"/>
  <c r="R7057" i="1"/>
  <c r="Q7057" i="1"/>
  <c r="M7057" i="1"/>
  <c r="L7057" i="1"/>
  <c r="V7056" i="1"/>
  <c r="U7056" i="1"/>
  <c r="T7056" i="1"/>
  <c r="S7056" i="1"/>
  <c r="R7056" i="1"/>
  <c r="Q7056" i="1"/>
  <c r="M7056" i="1"/>
  <c r="L7056" i="1"/>
  <c r="V7055" i="1"/>
  <c r="U7055" i="1"/>
  <c r="T7055" i="1"/>
  <c r="S7055" i="1"/>
  <c r="R7055" i="1"/>
  <c r="Q7055" i="1"/>
  <c r="M7055" i="1"/>
  <c r="L7055" i="1"/>
  <c r="V7054" i="1"/>
  <c r="U7054" i="1"/>
  <c r="T7054" i="1"/>
  <c r="S7054" i="1"/>
  <c r="R7054" i="1"/>
  <c r="Q7054" i="1"/>
  <c r="M7054" i="1"/>
  <c r="L7054" i="1"/>
  <c r="V7053" i="1"/>
  <c r="U7053" i="1"/>
  <c r="T7053" i="1"/>
  <c r="S7053" i="1"/>
  <c r="R7053" i="1"/>
  <c r="Q7053" i="1"/>
  <c r="M7053" i="1"/>
  <c r="L7053" i="1"/>
  <c r="V7052" i="1"/>
  <c r="U7052" i="1"/>
  <c r="T7052" i="1"/>
  <c r="S7052" i="1"/>
  <c r="R7052" i="1"/>
  <c r="Q7052" i="1"/>
  <c r="M7052" i="1"/>
  <c r="L7052" i="1"/>
  <c r="V7051" i="1"/>
  <c r="U7051" i="1"/>
  <c r="T7051" i="1"/>
  <c r="S7051" i="1"/>
  <c r="R7051" i="1"/>
  <c r="Q7051" i="1"/>
  <c r="M7051" i="1"/>
  <c r="L7051" i="1"/>
  <c r="V7050" i="1"/>
  <c r="U7050" i="1"/>
  <c r="T7050" i="1"/>
  <c r="S7050" i="1"/>
  <c r="R7050" i="1"/>
  <c r="Q7050" i="1"/>
  <c r="M7050" i="1"/>
  <c r="L7050" i="1"/>
  <c r="V7049" i="1"/>
  <c r="U7049" i="1"/>
  <c r="T7049" i="1"/>
  <c r="S7049" i="1"/>
  <c r="R7049" i="1"/>
  <c r="Q7049" i="1"/>
  <c r="M7049" i="1"/>
  <c r="L7049" i="1"/>
  <c r="V7048" i="1"/>
  <c r="U7048" i="1"/>
  <c r="T7048" i="1"/>
  <c r="S7048" i="1"/>
  <c r="R7048" i="1"/>
  <c r="Q7048" i="1"/>
  <c r="M7048" i="1"/>
  <c r="L7048" i="1"/>
  <c r="V7047" i="1"/>
  <c r="U7047" i="1"/>
  <c r="T7047" i="1"/>
  <c r="S7047" i="1"/>
  <c r="R7047" i="1"/>
  <c r="Q7047" i="1"/>
  <c r="M7047" i="1"/>
  <c r="L7047" i="1"/>
  <c r="V7046" i="1"/>
  <c r="U7046" i="1"/>
  <c r="T7046" i="1"/>
  <c r="S7046" i="1"/>
  <c r="R7046" i="1"/>
  <c r="Q7046" i="1"/>
  <c r="M7046" i="1"/>
  <c r="L7046" i="1"/>
  <c r="V7045" i="1"/>
  <c r="U7045" i="1"/>
  <c r="T7045" i="1"/>
  <c r="S7045" i="1"/>
  <c r="R7045" i="1"/>
  <c r="Q7045" i="1"/>
  <c r="M7045" i="1"/>
  <c r="L7045" i="1"/>
  <c r="V7044" i="1"/>
  <c r="U7044" i="1"/>
  <c r="T7044" i="1"/>
  <c r="S7044" i="1"/>
  <c r="R7044" i="1"/>
  <c r="Q7044" i="1"/>
  <c r="M7044" i="1"/>
  <c r="L7044" i="1"/>
  <c r="V7043" i="1"/>
  <c r="U7043" i="1"/>
  <c r="T7043" i="1"/>
  <c r="S7043" i="1"/>
  <c r="R7043" i="1"/>
  <c r="Q7043" i="1"/>
  <c r="M7043" i="1"/>
  <c r="L7043" i="1"/>
  <c r="V7042" i="1"/>
  <c r="U7042" i="1"/>
  <c r="T7042" i="1"/>
  <c r="S7042" i="1"/>
  <c r="R7042" i="1"/>
  <c r="Q7042" i="1"/>
  <c r="M7042" i="1"/>
  <c r="L7042" i="1"/>
  <c r="V7041" i="1"/>
  <c r="U7041" i="1"/>
  <c r="T7041" i="1"/>
  <c r="S7041" i="1"/>
  <c r="R7041" i="1"/>
  <c r="Q7041" i="1"/>
  <c r="M7041" i="1"/>
  <c r="L7041" i="1"/>
  <c r="V7040" i="1"/>
  <c r="U7040" i="1"/>
  <c r="T7040" i="1"/>
  <c r="S7040" i="1"/>
  <c r="R7040" i="1"/>
  <c r="Q7040" i="1"/>
  <c r="M7040" i="1"/>
  <c r="L7040" i="1"/>
  <c r="V7039" i="1"/>
  <c r="U7039" i="1"/>
  <c r="T7039" i="1"/>
  <c r="S7039" i="1"/>
  <c r="R7039" i="1"/>
  <c r="Q7039" i="1"/>
  <c r="M7039" i="1"/>
  <c r="L7039" i="1"/>
  <c r="V7038" i="1"/>
  <c r="U7038" i="1"/>
  <c r="T7038" i="1"/>
  <c r="S7038" i="1"/>
  <c r="R7038" i="1"/>
  <c r="Q7038" i="1"/>
  <c r="M7038" i="1"/>
  <c r="L7038" i="1"/>
  <c r="V7037" i="1"/>
  <c r="U7037" i="1"/>
  <c r="T7037" i="1"/>
  <c r="S7037" i="1"/>
  <c r="R7037" i="1"/>
  <c r="Q7037" i="1"/>
  <c r="M7037" i="1"/>
  <c r="L7037" i="1"/>
  <c r="V7036" i="1"/>
  <c r="U7036" i="1"/>
  <c r="T7036" i="1"/>
  <c r="S7036" i="1"/>
  <c r="R7036" i="1"/>
  <c r="Q7036" i="1"/>
  <c r="M7036" i="1"/>
  <c r="L7036" i="1"/>
  <c r="V7035" i="1"/>
  <c r="U7035" i="1"/>
  <c r="T7035" i="1"/>
  <c r="S7035" i="1"/>
  <c r="R7035" i="1"/>
  <c r="Q7035" i="1"/>
  <c r="M7035" i="1"/>
  <c r="L7035" i="1"/>
  <c r="V7034" i="1"/>
  <c r="U7034" i="1"/>
  <c r="T7034" i="1"/>
  <c r="S7034" i="1"/>
  <c r="R7034" i="1"/>
  <c r="Q7034" i="1"/>
  <c r="M7034" i="1"/>
  <c r="L7034" i="1"/>
  <c r="V7033" i="1"/>
  <c r="U7033" i="1"/>
  <c r="T7033" i="1"/>
  <c r="S7033" i="1"/>
  <c r="R7033" i="1"/>
  <c r="Q7033" i="1"/>
  <c r="M7033" i="1"/>
  <c r="L7033" i="1"/>
  <c r="V7032" i="1"/>
  <c r="U7032" i="1"/>
  <c r="T7032" i="1"/>
  <c r="S7032" i="1"/>
  <c r="R7032" i="1"/>
  <c r="Q7032" i="1"/>
  <c r="M7032" i="1"/>
  <c r="L7032" i="1"/>
  <c r="V7031" i="1"/>
  <c r="U7031" i="1"/>
  <c r="T7031" i="1"/>
  <c r="S7031" i="1"/>
  <c r="R7031" i="1"/>
  <c r="Q7031" i="1"/>
  <c r="M7031" i="1"/>
  <c r="L7031" i="1"/>
  <c r="V7030" i="1"/>
  <c r="U7030" i="1"/>
  <c r="T7030" i="1"/>
  <c r="S7030" i="1"/>
  <c r="R7030" i="1"/>
  <c r="Q7030" i="1"/>
  <c r="M7030" i="1"/>
  <c r="L7030" i="1"/>
  <c r="V7029" i="1"/>
  <c r="U7029" i="1"/>
  <c r="T7029" i="1"/>
  <c r="S7029" i="1"/>
  <c r="R7029" i="1"/>
  <c r="Q7029" i="1"/>
  <c r="M7029" i="1"/>
  <c r="L7029" i="1"/>
  <c r="V7028" i="1"/>
  <c r="U7028" i="1"/>
  <c r="T7028" i="1"/>
  <c r="S7028" i="1"/>
  <c r="R7028" i="1"/>
  <c r="Q7028" i="1"/>
  <c r="M7028" i="1"/>
  <c r="L7028" i="1"/>
  <c r="V7027" i="1"/>
  <c r="U7027" i="1"/>
  <c r="T7027" i="1"/>
  <c r="S7027" i="1"/>
  <c r="R7027" i="1"/>
  <c r="Q7027" i="1"/>
  <c r="M7027" i="1"/>
  <c r="L7027" i="1"/>
  <c r="V7026" i="1"/>
  <c r="U7026" i="1"/>
  <c r="T7026" i="1"/>
  <c r="S7026" i="1"/>
  <c r="R7026" i="1"/>
  <c r="Q7026" i="1"/>
  <c r="M7026" i="1"/>
  <c r="L7026" i="1"/>
  <c r="V7025" i="1"/>
  <c r="U7025" i="1"/>
  <c r="T7025" i="1"/>
  <c r="S7025" i="1"/>
  <c r="R7025" i="1"/>
  <c r="Q7025" i="1"/>
  <c r="M7025" i="1"/>
  <c r="L7025" i="1"/>
  <c r="V7024" i="1"/>
  <c r="U7024" i="1"/>
  <c r="T7024" i="1"/>
  <c r="S7024" i="1"/>
  <c r="R7024" i="1"/>
  <c r="Q7024" i="1"/>
  <c r="M7024" i="1"/>
  <c r="L7024" i="1"/>
  <c r="V7023" i="1"/>
  <c r="U7023" i="1"/>
  <c r="T7023" i="1"/>
  <c r="S7023" i="1"/>
  <c r="R7023" i="1"/>
  <c r="Q7023" i="1"/>
  <c r="M7023" i="1"/>
  <c r="L7023" i="1"/>
  <c r="V7022" i="1"/>
  <c r="U7022" i="1"/>
  <c r="T7022" i="1"/>
  <c r="S7022" i="1"/>
  <c r="R7022" i="1"/>
  <c r="Q7022" i="1"/>
  <c r="M7022" i="1"/>
  <c r="L7022" i="1"/>
  <c r="V7021" i="1"/>
  <c r="U7021" i="1"/>
  <c r="T7021" i="1"/>
  <c r="S7021" i="1"/>
  <c r="R7021" i="1"/>
  <c r="Q7021" i="1"/>
  <c r="M7021" i="1"/>
  <c r="L7021" i="1"/>
  <c r="V7020" i="1"/>
  <c r="U7020" i="1"/>
  <c r="T7020" i="1"/>
  <c r="S7020" i="1"/>
  <c r="R7020" i="1"/>
  <c r="Q7020" i="1"/>
  <c r="M7020" i="1"/>
  <c r="L7020" i="1"/>
  <c r="V7019" i="1"/>
  <c r="U7019" i="1"/>
  <c r="T7019" i="1"/>
  <c r="S7019" i="1"/>
  <c r="R7019" i="1"/>
  <c r="Q7019" i="1"/>
  <c r="M7019" i="1"/>
  <c r="L7019" i="1"/>
  <c r="V7018" i="1"/>
  <c r="U7018" i="1"/>
  <c r="T7018" i="1"/>
  <c r="S7018" i="1"/>
  <c r="R7018" i="1"/>
  <c r="Q7018" i="1"/>
  <c r="M7018" i="1"/>
  <c r="L7018" i="1"/>
  <c r="V7017" i="1"/>
  <c r="U7017" i="1"/>
  <c r="T7017" i="1"/>
  <c r="S7017" i="1"/>
  <c r="R7017" i="1"/>
  <c r="Q7017" i="1"/>
  <c r="M7017" i="1"/>
  <c r="L7017" i="1"/>
  <c r="V7016" i="1"/>
  <c r="U7016" i="1"/>
  <c r="T7016" i="1"/>
  <c r="S7016" i="1"/>
  <c r="R7016" i="1"/>
  <c r="Q7016" i="1"/>
  <c r="M7016" i="1"/>
  <c r="L7016" i="1"/>
  <c r="V7015" i="1"/>
  <c r="U7015" i="1"/>
  <c r="T7015" i="1"/>
  <c r="S7015" i="1"/>
  <c r="R7015" i="1"/>
  <c r="Q7015" i="1"/>
  <c r="M7015" i="1"/>
  <c r="L7015" i="1"/>
  <c r="V7014" i="1"/>
  <c r="U7014" i="1"/>
  <c r="T7014" i="1"/>
  <c r="S7014" i="1"/>
  <c r="R7014" i="1"/>
  <c r="Q7014" i="1"/>
  <c r="M7014" i="1"/>
  <c r="L7014" i="1"/>
  <c r="V7013" i="1"/>
  <c r="U7013" i="1"/>
  <c r="T7013" i="1"/>
  <c r="S7013" i="1"/>
  <c r="R7013" i="1"/>
  <c r="Q7013" i="1"/>
  <c r="M7013" i="1"/>
  <c r="L7013" i="1"/>
  <c r="V7012" i="1"/>
  <c r="U7012" i="1"/>
  <c r="T7012" i="1"/>
  <c r="S7012" i="1"/>
  <c r="R7012" i="1"/>
  <c r="Q7012" i="1"/>
  <c r="M7012" i="1"/>
  <c r="L7012" i="1"/>
  <c r="V7011" i="1"/>
  <c r="U7011" i="1"/>
  <c r="T7011" i="1"/>
  <c r="S7011" i="1"/>
  <c r="R7011" i="1"/>
  <c r="Q7011" i="1"/>
  <c r="M7011" i="1"/>
  <c r="L7011" i="1"/>
  <c r="V7010" i="1"/>
  <c r="U7010" i="1"/>
  <c r="T7010" i="1"/>
  <c r="S7010" i="1"/>
  <c r="R7010" i="1"/>
  <c r="Q7010" i="1"/>
  <c r="M7010" i="1"/>
  <c r="L7010" i="1"/>
  <c r="V7009" i="1"/>
  <c r="U7009" i="1"/>
  <c r="T7009" i="1"/>
  <c r="S7009" i="1"/>
  <c r="R7009" i="1"/>
  <c r="Q7009" i="1"/>
  <c r="M7009" i="1"/>
  <c r="L7009" i="1"/>
  <c r="V7008" i="1"/>
  <c r="U7008" i="1"/>
  <c r="T7008" i="1"/>
  <c r="S7008" i="1"/>
  <c r="R7008" i="1"/>
  <c r="Q7008" i="1"/>
  <c r="M7008" i="1"/>
  <c r="L7008" i="1"/>
  <c r="V7007" i="1"/>
  <c r="U7007" i="1"/>
  <c r="T7007" i="1"/>
  <c r="S7007" i="1"/>
  <c r="R7007" i="1"/>
  <c r="Q7007" i="1"/>
  <c r="M7007" i="1"/>
  <c r="L7007" i="1"/>
  <c r="V7006" i="1"/>
  <c r="U7006" i="1"/>
  <c r="T7006" i="1"/>
  <c r="S7006" i="1"/>
  <c r="R7006" i="1"/>
  <c r="Q7006" i="1"/>
  <c r="M7006" i="1"/>
  <c r="L7006" i="1"/>
  <c r="V7005" i="1"/>
  <c r="U7005" i="1"/>
  <c r="T7005" i="1"/>
  <c r="S7005" i="1"/>
  <c r="R7005" i="1"/>
  <c r="Q7005" i="1"/>
  <c r="M7005" i="1"/>
  <c r="L7005" i="1"/>
  <c r="V7004" i="1"/>
  <c r="U7004" i="1"/>
  <c r="T7004" i="1"/>
  <c r="S7004" i="1"/>
  <c r="R7004" i="1"/>
  <c r="Q7004" i="1"/>
  <c r="M7004" i="1"/>
  <c r="L7004" i="1"/>
  <c r="V7003" i="1"/>
  <c r="U7003" i="1"/>
  <c r="T7003" i="1"/>
  <c r="S7003" i="1"/>
  <c r="R7003" i="1"/>
  <c r="Q7003" i="1"/>
  <c r="M7003" i="1"/>
  <c r="L7003" i="1"/>
  <c r="V7002" i="1"/>
  <c r="U7002" i="1"/>
  <c r="T7002" i="1"/>
  <c r="S7002" i="1"/>
  <c r="R7002" i="1"/>
  <c r="Q7002" i="1"/>
  <c r="M7002" i="1"/>
  <c r="L7002" i="1"/>
  <c r="V7001" i="1"/>
  <c r="U7001" i="1"/>
  <c r="T7001" i="1"/>
  <c r="S7001" i="1"/>
  <c r="R7001" i="1"/>
  <c r="Q7001" i="1"/>
  <c r="M7001" i="1"/>
  <c r="L7001" i="1"/>
  <c r="V7000" i="1"/>
  <c r="U7000" i="1"/>
  <c r="T7000" i="1"/>
  <c r="S7000" i="1"/>
  <c r="R7000" i="1"/>
  <c r="Q7000" i="1"/>
  <c r="M7000" i="1"/>
  <c r="L7000" i="1"/>
  <c r="V6999" i="1"/>
  <c r="U6999" i="1"/>
  <c r="T6999" i="1"/>
  <c r="S6999" i="1"/>
  <c r="R6999" i="1"/>
  <c r="Q6999" i="1"/>
  <c r="M6999" i="1"/>
  <c r="L6999" i="1"/>
  <c r="V6998" i="1"/>
  <c r="U6998" i="1"/>
  <c r="T6998" i="1"/>
  <c r="S6998" i="1"/>
  <c r="R6998" i="1"/>
  <c r="Q6998" i="1"/>
  <c r="M6998" i="1"/>
  <c r="L6998" i="1"/>
  <c r="V6997" i="1"/>
  <c r="U6997" i="1"/>
  <c r="T6997" i="1"/>
  <c r="S6997" i="1"/>
  <c r="R6997" i="1"/>
  <c r="Q6997" i="1"/>
  <c r="M6997" i="1"/>
  <c r="L6997" i="1"/>
  <c r="V6996" i="1"/>
  <c r="U6996" i="1"/>
  <c r="T6996" i="1"/>
  <c r="S6996" i="1"/>
  <c r="R6996" i="1"/>
  <c r="Q6996" i="1"/>
  <c r="M6996" i="1"/>
  <c r="L6996" i="1"/>
  <c r="V6995" i="1"/>
  <c r="U6995" i="1"/>
  <c r="T6995" i="1"/>
  <c r="S6995" i="1"/>
  <c r="R6995" i="1"/>
  <c r="Q6995" i="1"/>
  <c r="M6995" i="1"/>
  <c r="L6995" i="1"/>
  <c r="V6994" i="1"/>
  <c r="U6994" i="1"/>
  <c r="T6994" i="1"/>
  <c r="S6994" i="1"/>
  <c r="R6994" i="1"/>
  <c r="Q6994" i="1"/>
  <c r="M6994" i="1"/>
  <c r="L6994" i="1"/>
  <c r="V6993" i="1"/>
  <c r="U6993" i="1"/>
  <c r="T6993" i="1"/>
  <c r="S6993" i="1"/>
  <c r="R6993" i="1"/>
  <c r="Q6993" i="1"/>
  <c r="M6993" i="1"/>
  <c r="L6993" i="1"/>
  <c r="V6992" i="1"/>
  <c r="U6992" i="1"/>
  <c r="T6992" i="1"/>
  <c r="S6992" i="1"/>
  <c r="R6992" i="1"/>
  <c r="Q6992" i="1"/>
  <c r="M6992" i="1"/>
  <c r="L6992" i="1"/>
  <c r="V6991" i="1"/>
  <c r="U6991" i="1"/>
  <c r="T6991" i="1"/>
  <c r="S6991" i="1"/>
  <c r="R6991" i="1"/>
  <c r="Q6991" i="1"/>
  <c r="M6991" i="1"/>
  <c r="L6991" i="1"/>
  <c r="V6990" i="1"/>
  <c r="U6990" i="1"/>
  <c r="T6990" i="1"/>
  <c r="S6990" i="1"/>
  <c r="R6990" i="1"/>
  <c r="Q6990" i="1"/>
  <c r="M6990" i="1"/>
  <c r="L6990" i="1"/>
  <c r="V6989" i="1"/>
  <c r="U6989" i="1"/>
  <c r="T6989" i="1"/>
  <c r="S6989" i="1"/>
  <c r="R6989" i="1"/>
  <c r="Q6989" i="1"/>
  <c r="M6989" i="1"/>
  <c r="L6989" i="1"/>
  <c r="V6988" i="1"/>
  <c r="U6988" i="1"/>
  <c r="T6988" i="1"/>
  <c r="S6988" i="1"/>
  <c r="R6988" i="1"/>
  <c r="Q6988" i="1"/>
  <c r="M6988" i="1"/>
  <c r="L6988" i="1"/>
  <c r="V6987" i="1"/>
  <c r="U6987" i="1"/>
  <c r="T6987" i="1"/>
  <c r="S6987" i="1"/>
  <c r="R6987" i="1"/>
  <c r="Q6987" i="1"/>
  <c r="M6987" i="1"/>
  <c r="L6987" i="1"/>
  <c r="V6986" i="1"/>
  <c r="U6986" i="1"/>
  <c r="T6986" i="1"/>
  <c r="S6986" i="1"/>
  <c r="R6986" i="1"/>
  <c r="Q6986" i="1"/>
  <c r="M6986" i="1"/>
  <c r="L6986" i="1"/>
  <c r="V6985" i="1"/>
  <c r="U6985" i="1"/>
  <c r="T6985" i="1"/>
  <c r="S6985" i="1"/>
  <c r="R6985" i="1"/>
  <c r="Q6985" i="1"/>
  <c r="M6985" i="1"/>
  <c r="L6985" i="1"/>
  <c r="V6984" i="1"/>
  <c r="U6984" i="1"/>
  <c r="T6984" i="1"/>
  <c r="S6984" i="1"/>
  <c r="R6984" i="1"/>
  <c r="Q6984" i="1"/>
  <c r="M6984" i="1"/>
  <c r="L6984" i="1"/>
  <c r="V6983" i="1"/>
  <c r="U6983" i="1"/>
  <c r="T6983" i="1"/>
  <c r="S6983" i="1"/>
  <c r="R6983" i="1"/>
  <c r="Q6983" i="1"/>
  <c r="M6983" i="1"/>
  <c r="L6983" i="1"/>
  <c r="V6982" i="1"/>
  <c r="U6982" i="1"/>
  <c r="T6982" i="1"/>
  <c r="S6982" i="1"/>
  <c r="R6982" i="1"/>
  <c r="Q6982" i="1"/>
  <c r="M6982" i="1"/>
  <c r="L6982" i="1"/>
  <c r="V6981" i="1"/>
  <c r="U6981" i="1"/>
  <c r="T6981" i="1"/>
  <c r="S6981" i="1"/>
  <c r="R6981" i="1"/>
  <c r="Q6981" i="1"/>
  <c r="M6981" i="1"/>
  <c r="L6981" i="1"/>
  <c r="V6980" i="1"/>
  <c r="U6980" i="1"/>
  <c r="T6980" i="1"/>
  <c r="S6980" i="1"/>
  <c r="R6980" i="1"/>
  <c r="Q6980" i="1"/>
  <c r="M6980" i="1"/>
  <c r="L6980" i="1"/>
  <c r="V6979" i="1"/>
  <c r="U6979" i="1"/>
  <c r="T6979" i="1"/>
  <c r="S6979" i="1"/>
  <c r="R6979" i="1"/>
  <c r="Q6979" i="1"/>
  <c r="M6979" i="1"/>
  <c r="L6979" i="1"/>
  <c r="V6978" i="1"/>
  <c r="U6978" i="1"/>
  <c r="T6978" i="1"/>
  <c r="S6978" i="1"/>
  <c r="R6978" i="1"/>
  <c r="Q6978" i="1"/>
  <c r="M6978" i="1"/>
  <c r="L6978" i="1"/>
  <c r="V6977" i="1"/>
  <c r="U6977" i="1"/>
  <c r="T6977" i="1"/>
  <c r="S6977" i="1"/>
  <c r="R6977" i="1"/>
  <c r="Q6977" i="1"/>
  <c r="M6977" i="1"/>
  <c r="L6977" i="1"/>
  <c r="V6976" i="1"/>
  <c r="U6976" i="1"/>
  <c r="T6976" i="1"/>
  <c r="S6976" i="1"/>
  <c r="R6976" i="1"/>
  <c r="Q6976" i="1"/>
  <c r="M6976" i="1"/>
  <c r="L6976" i="1"/>
  <c r="V6975" i="1"/>
  <c r="U6975" i="1"/>
  <c r="T6975" i="1"/>
  <c r="S6975" i="1"/>
  <c r="R6975" i="1"/>
  <c r="Q6975" i="1"/>
  <c r="M6975" i="1"/>
  <c r="L6975" i="1"/>
  <c r="V6974" i="1"/>
  <c r="U6974" i="1"/>
  <c r="T6974" i="1"/>
  <c r="S6974" i="1"/>
  <c r="R6974" i="1"/>
  <c r="Q6974" i="1"/>
  <c r="M6974" i="1"/>
  <c r="L6974" i="1"/>
  <c r="V6973" i="1"/>
  <c r="U6973" i="1"/>
  <c r="T6973" i="1"/>
  <c r="S6973" i="1"/>
  <c r="R6973" i="1"/>
  <c r="Q6973" i="1"/>
  <c r="M6973" i="1"/>
  <c r="L6973" i="1"/>
  <c r="V6972" i="1"/>
  <c r="U6972" i="1"/>
  <c r="T6972" i="1"/>
  <c r="S6972" i="1"/>
  <c r="R6972" i="1"/>
  <c r="Q6972" i="1"/>
  <c r="M6972" i="1"/>
  <c r="L6972" i="1"/>
  <c r="V6971" i="1"/>
  <c r="U6971" i="1"/>
  <c r="T6971" i="1"/>
  <c r="S6971" i="1"/>
  <c r="R6971" i="1"/>
  <c r="Q6971" i="1"/>
  <c r="M6971" i="1"/>
  <c r="L6971" i="1"/>
  <c r="V6970" i="1"/>
  <c r="U6970" i="1"/>
  <c r="T6970" i="1"/>
  <c r="S6970" i="1"/>
  <c r="R6970" i="1"/>
  <c r="Q6970" i="1"/>
  <c r="M6970" i="1"/>
  <c r="L6970" i="1"/>
  <c r="V6969" i="1"/>
  <c r="U6969" i="1"/>
  <c r="T6969" i="1"/>
  <c r="S6969" i="1"/>
  <c r="R6969" i="1"/>
  <c r="Q6969" i="1"/>
  <c r="M6969" i="1"/>
  <c r="L6969" i="1"/>
  <c r="V6968" i="1"/>
  <c r="U6968" i="1"/>
  <c r="T6968" i="1"/>
  <c r="S6968" i="1"/>
  <c r="R6968" i="1"/>
  <c r="Q6968" i="1"/>
  <c r="M6968" i="1"/>
  <c r="L6968" i="1"/>
  <c r="V6967" i="1"/>
  <c r="U6967" i="1"/>
  <c r="T6967" i="1"/>
  <c r="S6967" i="1"/>
  <c r="R6967" i="1"/>
  <c r="Q6967" i="1"/>
  <c r="M6967" i="1"/>
  <c r="L6967" i="1"/>
  <c r="V6966" i="1"/>
  <c r="U6966" i="1"/>
  <c r="T6966" i="1"/>
  <c r="S6966" i="1"/>
  <c r="R6966" i="1"/>
  <c r="Q6966" i="1"/>
  <c r="M6966" i="1"/>
  <c r="L6966" i="1"/>
  <c r="V6965" i="1"/>
  <c r="U6965" i="1"/>
  <c r="T6965" i="1"/>
  <c r="S6965" i="1"/>
  <c r="R6965" i="1"/>
  <c r="Q6965" i="1"/>
  <c r="M6965" i="1"/>
  <c r="L6965" i="1"/>
  <c r="V6964" i="1"/>
  <c r="U6964" i="1"/>
  <c r="T6964" i="1"/>
  <c r="S6964" i="1"/>
  <c r="R6964" i="1"/>
  <c r="Q6964" i="1"/>
  <c r="M6964" i="1"/>
  <c r="L6964" i="1"/>
  <c r="V6963" i="1"/>
  <c r="U6963" i="1"/>
  <c r="T6963" i="1"/>
  <c r="S6963" i="1"/>
  <c r="R6963" i="1"/>
  <c r="Q6963" i="1"/>
  <c r="M6963" i="1"/>
  <c r="L6963" i="1"/>
  <c r="V6962" i="1"/>
  <c r="U6962" i="1"/>
  <c r="T6962" i="1"/>
  <c r="S6962" i="1"/>
  <c r="R6962" i="1"/>
  <c r="Q6962" i="1"/>
  <c r="M6962" i="1"/>
  <c r="L6962" i="1"/>
  <c r="V6961" i="1"/>
  <c r="U6961" i="1"/>
  <c r="T6961" i="1"/>
  <c r="S6961" i="1"/>
  <c r="R6961" i="1"/>
  <c r="Q6961" i="1"/>
  <c r="M6961" i="1"/>
  <c r="L6961" i="1"/>
  <c r="V6960" i="1"/>
  <c r="U6960" i="1"/>
  <c r="T6960" i="1"/>
  <c r="S6960" i="1"/>
  <c r="R6960" i="1"/>
  <c r="Q6960" i="1"/>
  <c r="M6960" i="1"/>
  <c r="L6960" i="1"/>
  <c r="V6959" i="1"/>
  <c r="U6959" i="1"/>
  <c r="T6959" i="1"/>
  <c r="S6959" i="1"/>
  <c r="R6959" i="1"/>
  <c r="Q6959" i="1"/>
  <c r="M6959" i="1"/>
  <c r="L6959" i="1"/>
  <c r="V6958" i="1"/>
  <c r="U6958" i="1"/>
  <c r="T6958" i="1"/>
  <c r="S6958" i="1"/>
  <c r="R6958" i="1"/>
  <c r="Q6958" i="1"/>
  <c r="M6958" i="1"/>
  <c r="L6958" i="1"/>
  <c r="V6957" i="1"/>
  <c r="U6957" i="1"/>
  <c r="T6957" i="1"/>
  <c r="S6957" i="1"/>
  <c r="R6957" i="1"/>
  <c r="Q6957" i="1"/>
  <c r="M6957" i="1"/>
  <c r="L6957" i="1"/>
  <c r="V6956" i="1"/>
  <c r="U6956" i="1"/>
  <c r="T6956" i="1"/>
  <c r="S6956" i="1"/>
  <c r="R6956" i="1"/>
  <c r="Q6956" i="1"/>
  <c r="M6956" i="1"/>
  <c r="L6956" i="1"/>
  <c r="V6955" i="1"/>
  <c r="U6955" i="1"/>
  <c r="T6955" i="1"/>
  <c r="S6955" i="1"/>
  <c r="R6955" i="1"/>
  <c r="Q6955" i="1"/>
  <c r="M6955" i="1"/>
  <c r="L6955" i="1"/>
  <c r="V6954" i="1"/>
  <c r="U6954" i="1"/>
  <c r="T6954" i="1"/>
  <c r="S6954" i="1"/>
  <c r="R6954" i="1"/>
  <c r="Q6954" i="1"/>
  <c r="M6954" i="1"/>
  <c r="L6954" i="1"/>
  <c r="V6953" i="1"/>
  <c r="U6953" i="1"/>
  <c r="T6953" i="1"/>
  <c r="S6953" i="1"/>
  <c r="R6953" i="1"/>
  <c r="Q6953" i="1"/>
  <c r="M6953" i="1"/>
  <c r="L6953" i="1"/>
  <c r="V6952" i="1"/>
  <c r="U6952" i="1"/>
  <c r="T6952" i="1"/>
  <c r="S6952" i="1"/>
  <c r="R6952" i="1"/>
  <c r="Q6952" i="1"/>
  <c r="M6952" i="1"/>
  <c r="L6952" i="1"/>
  <c r="V6951" i="1"/>
  <c r="U6951" i="1"/>
  <c r="T6951" i="1"/>
  <c r="S6951" i="1"/>
  <c r="R6951" i="1"/>
  <c r="Q6951" i="1"/>
  <c r="M6951" i="1"/>
  <c r="L6951" i="1"/>
  <c r="V6950" i="1"/>
  <c r="U6950" i="1"/>
  <c r="T6950" i="1"/>
  <c r="S6950" i="1"/>
  <c r="R6950" i="1"/>
  <c r="Q6950" i="1"/>
  <c r="M6950" i="1"/>
  <c r="L6950" i="1"/>
  <c r="V6949" i="1"/>
  <c r="U6949" i="1"/>
  <c r="T6949" i="1"/>
  <c r="S6949" i="1"/>
  <c r="R6949" i="1"/>
  <c r="Q6949" i="1"/>
  <c r="M6949" i="1"/>
  <c r="L6949" i="1"/>
  <c r="V6948" i="1"/>
  <c r="U6948" i="1"/>
  <c r="T6948" i="1"/>
  <c r="S6948" i="1"/>
  <c r="R6948" i="1"/>
  <c r="Q6948" i="1"/>
  <c r="M6948" i="1"/>
  <c r="L6948" i="1"/>
  <c r="V6947" i="1"/>
  <c r="U6947" i="1"/>
  <c r="T6947" i="1"/>
  <c r="S6947" i="1"/>
  <c r="R6947" i="1"/>
  <c r="Q6947" i="1"/>
  <c r="M6947" i="1"/>
  <c r="L6947" i="1"/>
  <c r="V6946" i="1"/>
  <c r="U6946" i="1"/>
  <c r="T6946" i="1"/>
  <c r="S6946" i="1"/>
  <c r="R6946" i="1"/>
  <c r="Q6946" i="1"/>
  <c r="M6946" i="1"/>
  <c r="L6946" i="1"/>
  <c r="V6945" i="1"/>
  <c r="U6945" i="1"/>
  <c r="T6945" i="1"/>
  <c r="S6945" i="1"/>
  <c r="R6945" i="1"/>
  <c r="Q6945" i="1"/>
  <c r="M6945" i="1"/>
  <c r="L6945" i="1"/>
  <c r="V6944" i="1"/>
  <c r="U6944" i="1"/>
  <c r="T6944" i="1"/>
  <c r="S6944" i="1"/>
  <c r="R6944" i="1"/>
  <c r="Q6944" i="1"/>
  <c r="M6944" i="1"/>
  <c r="L6944" i="1"/>
  <c r="V6943" i="1"/>
  <c r="U6943" i="1"/>
  <c r="T6943" i="1"/>
  <c r="S6943" i="1"/>
  <c r="R6943" i="1"/>
  <c r="Q6943" i="1"/>
  <c r="M6943" i="1"/>
  <c r="L6943" i="1"/>
  <c r="V6942" i="1"/>
  <c r="U6942" i="1"/>
  <c r="T6942" i="1"/>
  <c r="S6942" i="1"/>
  <c r="R6942" i="1"/>
  <c r="Q6942" i="1"/>
  <c r="M6942" i="1"/>
  <c r="L6942" i="1"/>
  <c r="V6941" i="1"/>
  <c r="U6941" i="1"/>
  <c r="T6941" i="1"/>
  <c r="S6941" i="1"/>
  <c r="R6941" i="1"/>
  <c r="Q6941" i="1"/>
  <c r="M6941" i="1"/>
  <c r="L6941" i="1"/>
  <c r="V6940" i="1"/>
  <c r="U6940" i="1"/>
  <c r="T6940" i="1"/>
  <c r="S6940" i="1"/>
  <c r="R6940" i="1"/>
  <c r="Q6940" i="1"/>
  <c r="M6940" i="1"/>
  <c r="L6940" i="1"/>
  <c r="V6939" i="1"/>
  <c r="U6939" i="1"/>
  <c r="T6939" i="1"/>
  <c r="S6939" i="1"/>
  <c r="R6939" i="1"/>
  <c r="Q6939" i="1"/>
  <c r="M6939" i="1"/>
  <c r="L6939" i="1"/>
  <c r="V6938" i="1"/>
  <c r="U6938" i="1"/>
  <c r="T6938" i="1"/>
  <c r="S6938" i="1"/>
  <c r="R6938" i="1"/>
  <c r="Q6938" i="1"/>
  <c r="M6938" i="1"/>
  <c r="L6938" i="1"/>
  <c r="V6937" i="1"/>
  <c r="U6937" i="1"/>
  <c r="T6937" i="1"/>
  <c r="S6937" i="1"/>
  <c r="R6937" i="1"/>
  <c r="Q6937" i="1"/>
  <c r="M6937" i="1"/>
  <c r="L6937" i="1"/>
  <c r="V6936" i="1"/>
  <c r="U6936" i="1"/>
  <c r="T6936" i="1"/>
  <c r="S6936" i="1"/>
  <c r="R6936" i="1"/>
  <c r="Q6936" i="1"/>
  <c r="M6936" i="1"/>
  <c r="L6936" i="1"/>
  <c r="V6935" i="1"/>
  <c r="U6935" i="1"/>
  <c r="T6935" i="1"/>
  <c r="S6935" i="1"/>
  <c r="R6935" i="1"/>
  <c r="Q6935" i="1"/>
  <c r="M6935" i="1"/>
  <c r="L6935" i="1"/>
  <c r="V6934" i="1"/>
  <c r="U6934" i="1"/>
  <c r="T6934" i="1"/>
  <c r="S6934" i="1"/>
  <c r="R6934" i="1"/>
  <c r="Q6934" i="1"/>
  <c r="M6934" i="1"/>
  <c r="L6934" i="1"/>
  <c r="V6933" i="1"/>
  <c r="U6933" i="1"/>
  <c r="T6933" i="1"/>
  <c r="S6933" i="1"/>
  <c r="R6933" i="1"/>
  <c r="Q6933" i="1"/>
  <c r="M6933" i="1"/>
  <c r="L6933" i="1"/>
  <c r="V6932" i="1"/>
  <c r="U6932" i="1"/>
  <c r="T6932" i="1"/>
  <c r="S6932" i="1"/>
  <c r="R6932" i="1"/>
  <c r="Q6932" i="1"/>
  <c r="M6932" i="1"/>
  <c r="L6932" i="1"/>
  <c r="V6931" i="1"/>
  <c r="U6931" i="1"/>
  <c r="T6931" i="1"/>
  <c r="S6931" i="1"/>
  <c r="R6931" i="1"/>
  <c r="Q6931" i="1"/>
  <c r="M6931" i="1"/>
  <c r="L6931" i="1"/>
  <c r="V6930" i="1"/>
  <c r="U6930" i="1"/>
  <c r="T6930" i="1"/>
  <c r="S6930" i="1"/>
  <c r="R6930" i="1"/>
  <c r="Q6930" i="1"/>
  <c r="M6930" i="1"/>
  <c r="L6930" i="1"/>
  <c r="V6929" i="1"/>
  <c r="U6929" i="1"/>
  <c r="T6929" i="1"/>
  <c r="S6929" i="1"/>
  <c r="R6929" i="1"/>
  <c r="Q6929" i="1"/>
  <c r="M6929" i="1"/>
  <c r="L6929" i="1"/>
  <c r="V6928" i="1"/>
  <c r="U6928" i="1"/>
  <c r="T6928" i="1"/>
  <c r="S6928" i="1"/>
  <c r="R6928" i="1"/>
  <c r="Q6928" i="1"/>
  <c r="M6928" i="1"/>
  <c r="L6928" i="1"/>
  <c r="V6927" i="1"/>
  <c r="U6927" i="1"/>
  <c r="T6927" i="1"/>
  <c r="S6927" i="1"/>
  <c r="R6927" i="1"/>
  <c r="Q6927" i="1"/>
  <c r="M6927" i="1"/>
  <c r="L6927" i="1"/>
  <c r="V6926" i="1"/>
  <c r="U6926" i="1"/>
  <c r="T6926" i="1"/>
  <c r="S6926" i="1"/>
  <c r="R6926" i="1"/>
  <c r="Q6926" i="1"/>
  <c r="M6926" i="1"/>
  <c r="L6926" i="1"/>
  <c r="V6925" i="1"/>
  <c r="U6925" i="1"/>
  <c r="T6925" i="1"/>
  <c r="S6925" i="1"/>
  <c r="R6925" i="1"/>
  <c r="Q6925" i="1"/>
  <c r="M6925" i="1"/>
  <c r="L6925" i="1"/>
  <c r="V6924" i="1"/>
  <c r="U6924" i="1"/>
  <c r="T6924" i="1"/>
  <c r="S6924" i="1"/>
  <c r="R6924" i="1"/>
  <c r="Q6924" i="1"/>
  <c r="M6924" i="1"/>
  <c r="L6924" i="1"/>
  <c r="V6923" i="1"/>
  <c r="U6923" i="1"/>
  <c r="T6923" i="1"/>
  <c r="S6923" i="1"/>
  <c r="R6923" i="1"/>
  <c r="Q6923" i="1"/>
  <c r="M6923" i="1"/>
  <c r="L6923" i="1"/>
  <c r="V6922" i="1"/>
  <c r="U6922" i="1"/>
  <c r="T6922" i="1"/>
  <c r="S6922" i="1"/>
  <c r="R6922" i="1"/>
  <c r="Q6922" i="1"/>
  <c r="M6922" i="1"/>
  <c r="L6922" i="1"/>
  <c r="V6921" i="1"/>
  <c r="U6921" i="1"/>
  <c r="T6921" i="1"/>
  <c r="S6921" i="1"/>
  <c r="R6921" i="1"/>
  <c r="Q6921" i="1"/>
  <c r="M6921" i="1"/>
  <c r="L6921" i="1"/>
  <c r="V6920" i="1"/>
  <c r="U6920" i="1"/>
  <c r="T6920" i="1"/>
  <c r="S6920" i="1"/>
  <c r="R6920" i="1"/>
  <c r="Q6920" i="1"/>
  <c r="M6920" i="1"/>
  <c r="L6920" i="1"/>
  <c r="V6919" i="1"/>
  <c r="U6919" i="1"/>
  <c r="T6919" i="1"/>
  <c r="S6919" i="1"/>
  <c r="R6919" i="1"/>
  <c r="Q6919" i="1"/>
  <c r="M6919" i="1"/>
  <c r="L6919" i="1"/>
  <c r="V6918" i="1"/>
  <c r="U6918" i="1"/>
  <c r="T6918" i="1"/>
  <c r="S6918" i="1"/>
  <c r="R6918" i="1"/>
  <c r="Q6918" i="1"/>
  <c r="M6918" i="1"/>
  <c r="L6918" i="1"/>
  <c r="V6917" i="1"/>
  <c r="U6917" i="1"/>
  <c r="T6917" i="1"/>
  <c r="S6917" i="1"/>
  <c r="R6917" i="1"/>
  <c r="Q6917" i="1"/>
  <c r="M6917" i="1"/>
  <c r="L6917" i="1"/>
  <c r="V6916" i="1"/>
  <c r="U6916" i="1"/>
  <c r="T6916" i="1"/>
  <c r="S6916" i="1"/>
  <c r="R6916" i="1"/>
  <c r="Q6916" i="1"/>
  <c r="M6916" i="1"/>
  <c r="L6916" i="1"/>
  <c r="V6915" i="1"/>
  <c r="U6915" i="1"/>
  <c r="T6915" i="1"/>
  <c r="S6915" i="1"/>
  <c r="R6915" i="1"/>
  <c r="Q6915" i="1"/>
  <c r="M6915" i="1"/>
  <c r="L6915" i="1"/>
  <c r="V6914" i="1"/>
  <c r="U6914" i="1"/>
  <c r="T6914" i="1"/>
  <c r="S6914" i="1"/>
  <c r="R6914" i="1"/>
  <c r="Q6914" i="1"/>
  <c r="M6914" i="1"/>
  <c r="L6914" i="1"/>
  <c r="V6913" i="1"/>
  <c r="U6913" i="1"/>
  <c r="T6913" i="1"/>
  <c r="S6913" i="1"/>
  <c r="R6913" i="1"/>
  <c r="Q6913" i="1"/>
  <c r="M6913" i="1"/>
  <c r="L6913" i="1"/>
  <c r="V6912" i="1"/>
  <c r="U6912" i="1"/>
  <c r="T6912" i="1"/>
  <c r="S6912" i="1"/>
  <c r="R6912" i="1"/>
  <c r="Q6912" i="1"/>
  <c r="M6912" i="1"/>
  <c r="L6912" i="1"/>
  <c r="V6911" i="1"/>
  <c r="U6911" i="1"/>
  <c r="T6911" i="1"/>
  <c r="S6911" i="1"/>
  <c r="R6911" i="1"/>
  <c r="Q6911" i="1"/>
  <c r="M6911" i="1"/>
  <c r="L6911" i="1"/>
  <c r="V6910" i="1"/>
  <c r="U6910" i="1"/>
  <c r="T6910" i="1"/>
  <c r="S6910" i="1"/>
  <c r="R6910" i="1"/>
  <c r="Q6910" i="1"/>
  <c r="M6910" i="1"/>
  <c r="L6910" i="1"/>
  <c r="V6909" i="1"/>
  <c r="U6909" i="1"/>
  <c r="T6909" i="1"/>
  <c r="S6909" i="1"/>
  <c r="R6909" i="1"/>
  <c r="Q6909" i="1"/>
  <c r="M6909" i="1"/>
  <c r="L6909" i="1"/>
  <c r="V6908" i="1"/>
  <c r="U6908" i="1"/>
  <c r="T6908" i="1"/>
  <c r="S6908" i="1"/>
  <c r="R6908" i="1"/>
  <c r="Q6908" i="1"/>
  <c r="M6908" i="1"/>
  <c r="L6908" i="1"/>
  <c r="V6907" i="1"/>
  <c r="U6907" i="1"/>
  <c r="T6907" i="1"/>
  <c r="S6907" i="1"/>
  <c r="R6907" i="1"/>
  <c r="Q6907" i="1"/>
  <c r="M6907" i="1"/>
  <c r="L6907" i="1"/>
  <c r="V6906" i="1"/>
  <c r="U6906" i="1"/>
  <c r="T6906" i="1"/>
  <c r="S6906" i="1"/>
  <c r="R6906" i="1"/>
  <c r="Q6906" i="1"/>
  <c r="M6906" i="1"/>
  <c r="L6906" i="1"/>
  <c r="V6905" i="1"/>
  <c r="U6905" i="1"/>
  <c r="T6905" i="1"/>
  <c r="S6905" i="1"/>
  <c r="R6905" i="1"/>
  <c r="Q6905" i="1"/>
  <c r="M6905" i="1"/>
  <c r="L6905" i="1"/>
  <c r="V6904" i="1"/>
  <c r="U6904" i="1"/>
  <c r="T6904" i="1"/>
  <c r="S6904" i="1"/>
  <c r="R6904" i="1"/>
  <c r="Q6904" i="1"/>
  <c r="M6904" i="1"/>
  <c r="L6904" i="1"/>
  <c r="V6903" i="1"/>
  <c r="U6903" i="1"/>
  <c r="T6903" i="1"/>
  <c r="S6903" i="1"/>
  <c r="R6903" i="1"/>
  <c r="Q6903" i="1"/>
  <c r="M6903" i="1"/>
  <c r="L6903" i="1"/>
  <c r="V6902" i="1"/>
  <c r="U6902" i="1"/>
  <c r="T6902" i="1"/>
  <c r="S6902" i="1"/>
  <c r="R6902" i="1"/>
  <c r="Q6902" i="1"/>
  <c r="M6902" i="1"/>
  <c r="L6902" i="1"/>
  <c r="V6901" i="1"/>
  <c r="U6901" i="1"/>
  <c r="T6901" i="1"/>
  <c r="S6901" i="1"/>
  <c r="R6901" i="1"/>
  <c r="Q6901" i="1"/>
  <c r="M6901" i="1"/>
  <c r="L6901" i="1"/>
  <c r="V6900" i="1"/>
  <c r="U6900" i="1"/>
  <c r="T6900" i="1"/>
  <c r="S6900" i="1"/>
  <c r="R6900" i="1"/>
  <c r="Q6900" i="1"/>
  <c r="M6900" i="1"/>
  <c r="L6900" i="1"/>
  <c r="V6899" i="1"/>
  <c r="U6899" i="1"/>
  <c r="T6899" i="1"/>
  <c r="S6899" i="1"/>
  <c r="R6899" i="1"/>
  <c r="Q6899" i="1"/>
  <c r="M6899" i="1"/>
  <c r="L6899" i="1"/>
  <c r="V6898" i="1"/>
  <c r="U6898" i="1"/>
  <c r="T6898" i="1"/>
  <c r="S6898" i="1"/>
  <c r="R6898" i="1"/>
  <c r="Q6898" i="1"/>
  <c r="M6898" i="1"/>
  <c r="L6898" i="1"/>
  <c r="V6897" i="1"/>
  <c r="U6897" i="1"/>
  <c r="T6897" i="1"/>
  <c r="S6897" i="1"/>
  <c r="R6897" i="1"/>
  <c r="Q6897" i="1"/>
  <c r="M6897" i="1"/>
  <c r="L6897" i="1"/>
  <c r="V6896" i="1"/>
  <c r="U6896" i="1"/>
  <c r="T6896" i="1"/>
  <c r="S6896" i="1"/>
  <c r="R6896" i="1"/>
  <c r="Q6896" i="1"/>
  <c r="M6896" i="1"/>
  <c r="L6896" i="1"/>
  <c r="V6895" i="1"/>
  <c r="U6895" i="1"/>
  <c r="T6895" i="1"/>
  <c r="S6895" i="1"/>
  <c r="R6895" i="1"/>
  <c r="Q6895" i="1"/>
  <c r="M6895" i="1"/>
  <c r="L6895" i="1"/>
  <c r="V6894" i="1"/>
  <c r="U6894" i="1"/>
  <c r="T6894" i="1"/>
  <c r="S6894" i="1"/>
  <c r="R6894" i="1"/>
  <c r="Q6894" i="1"/>
  <c r="M6894" i="1"/>
  <c r="L6894" i="1"/>
  <c r="V6893" i="1"/>
  <c r="U6893" i="1"/>
  <c r="T6893" i="1"/>
  <c r="S6893" i="1"/>
  <c r="R6893" i="1"/>
  <c r="Q6893" i="1"/>
  <c r="M6893" i="1"/>
  <c r="L6893" i="1"/>
  <c r="V6892" i="1"/>
  <c r="U6892" i="1"/>
  <c r="T6892" i="1"/>
  <c r="S6892" i="1"/>
  <c r="R6892" i="1"/>
  <c r="Q6892" i="1"/>
  <c r="M6892" i="1"/>
  <c r="L6892" i="1"/>
  <c r="V6891" i="1"/>
  <c r="U6891" i="1"/>
  <c r="T6891" i="1"/>
  <c r="S6891" i="1"/>
  <c r="R6891" i="1"/>
  <c r="Q6891" i="1"/>
  <c r="M6891" i="1"/>
  <c r="L6891" i="1"/>
  <c r="V6890" i="1"/>
  <c r="U6890" i="1"/>
  <c r="T6890" i="1"/>
  <c r="S6890" i="1"/>
  <c r="R6890" i="1"/>
  <c r="Q6890" i="1"/>
  <c r="M6890" i="1"/>
  <c r="L6890" i="1"/>
  <c r="V6889" i="1"/>
  <c r="U6889" i="1"/>
  <c r="T6889" i="1"/>
  <c r="S6889" i="1"/>
  <c r="R6889" i="1"/>
  <c r="Q6889" i="1"/>
  <c r="M6889" i="1"/>
  <c r="L6889" i="1"/>
  <c r="V6888" i="1"/>
  <c r="U6888" i="1"/>
  <c r="T6888" i="1"/>
  <c r="S6888" i="1"/>
  <c r="R6888" i="1"/>
  <c r="Q6888" i="1"/>
  <c r="M6888" i="1"/>
  <c r="L6888" i="1"/>
  <c r="V6887" i="1"/>
  <c r="U6887" i="1"/>
  <c r="T6887" i="1"/>
  <c r="S6887" i="1"/>
  <c r="R6887" i="1"/>
  <c r="Q6887" i="1"/>
  <c r="M6887" i="1"/>
  <c r="L6887" i="1"/>
  <c r="V6886" i="1"/>
  <c r="U6886" i="1"/>
  <c r="T6886" i="1"/>
  <c r="S6886" i="1"/>
  <c r="R6886" i="1"/>
  <c r="Q6886" i="1"/>
  <c r="M6886" i="1"/>
  <c r="L6886" i="1"/>
  <c r="V6885" i="1"/>
  <c r="U6885" i="1"/>
  <c r="T6885" i="1"/>
  <c r="S6885" i="1"/>
  <c r="R6885" i="1"/>
  <c r="Q6885" i="1"/>
  <c r="M6885" i="1"/>
  <c r="L6885" i="1"/>
  <c r="V6884" i="1"/>
  <c r="U6884" i="1"/>
  <c r="T6884" i="1"/>
  <c r="S6884" i="1"/>
  <c r="R6884" i="1"/>
  <c r="Q6884" i="1"/>
  <c r="M6884" i="1"/>
  <c r="L6884" i="1"/>
  <c r="V6883" i="1"/>
  <c r="U6883" i="1"/>
  <c r="T6883" i="1"/>
  <c r="S6883" i="1"/>
  <c r="R6883" i="1"/>
  <c r="Q6883" i="1"/>
  <c r="M6883" i="1"/>
  <c r="L6883" i="1"/>
  <c r="V6882" i="1"/>
  <c r="U6882" i="1"/>
  <c r="T6882" i="1"/>
  <c r="S6882" i="1"/>
  <c r="R6882" i="1"/>
  <c r="Q6882" i="1"/>
  <c r="M6882" i="1"/>
  <c r="L6882" i="1"/>
  <c r="V6881" i="1"/>
  <c r="U6881" i="1"/>
  <c r="T6881" i="1"/>
  <c r="S6881" i="1"/>
  <c r="R6881" i="1"/>
  <c r="Q6881" i="1"/>
  <c r="M6881" i="1"/>
  <c r="L6881" i="1"/>
  <c r="V6880" i="1"/>
  <c r="U6880" i="1"/>
  <c r="T6880" i="1"/>
  <c r="S6880" i="1"/>
  <c r="R6880" i="1"/>
  <c r="Q6880" i="1"/>
  <c r="M6880" i="1"/>
  <c r="L6880" i="1"/>
  <c r="V6879" i="1"/>
  <c r="U6879" i="1"/>
  <c r="T6879" i="1"/>
  <c r="S6879" i="1"/>
  <c r="R6879" i="1"/>
  <c r="Q6879" i="1"/>
  <c r="M6879" i="1"/>
  <c r="L6879" i="1"/>
  <c r="V6878" i="1"/>
  <c r="U6878" i="1"/>
  <c r="T6878" i="1"/>
  <c r="S6878" i="1"/>
  <c r="R6878" i="1"/>
  <c r="Q6878" i="1"/>
  <c r="M6878" i="1"/>
  <c r="L6878" i="1"/>
  <c r="V6877" i="1"/>
  <c r="U6877" i="1"/>
  <c r="T6877" i="1"/>
  <c r="S6877" i="1"/>
  <c r="R6877" i="1"/>
  <c r="Q6877" i="1"/>
  <c r="M6877" i="1"/>
  <c r="L6877" i="1"/>
  <c r="V6876" i="1"/>
  <c r="U6876" i="1"/>
  <c r="T6876" i="1"/>
  <c r="S6876" i="1"/>
  <c r="R6876" i="1"/>
  <c r="Q6876" i="1"/>
  <c r="M6876" i="1"/>
  <c r="L6876" i="1"/>
  <c r="V6875" i="1"/>
  <c r="U6875" i="1"/>
  <c r="T6875" i="1"/>
  <c r="S6875" i="1"/>
  <c r="R6875" i="1"/>
  <c r="Q6875" i="1"/>
  <c r="M6875" i="1"/>
  <c r="L6875" i="1"/>
  <c r="V6874" i="1"/>
  <c r="U6874" i="1"/>
  <c r="T6874" i="1"/>
  <c r="S6874" i="1"/>
  <c r="R6874" i="1"/>
  <c r="Q6874" i="1"/>
  <c r="M6874" i="1"/>
  <c r="L6874" i="1"/>
  <c r="V6873" i="1"/>
  <c r="U6873" i="1"/>
  <c r="T6873" i="1"/>
  <c r="S6873" i="1"/>
  <c r="R6873" i="1"/>
  <c r="Q6873" i="1"/>
  <c r="M6873" i="1"/>
  <c r="L6873" i="1"/>
  <c r="V6872" i="1"/>
  <c r="U6872" i="1"/>
  <c r="T6872" i="1"/>
  <c r="S6872" i="1"/>
  <c r="R6872" i="1"/>
  <c r="Q6872" i="1"/>
  <c r="M6872" i="1"/>
  <c r="L6872" i="1"/>
  <c r="V6871" i="1"/>
  <c r="U6871" i="1"/>
  <c r="T6871" i="1"/>
  <c r="S6871" i="1"/>
  <c r="R6871" i="1"/>
  <c r="Q6871" i="1"/>
  <c r="M6871" i="1"/>
  <c r="L6871" i="1"/>
  <c r="V6870" i="1"/>
  <c r="U6870" i="1"/>
  <c r="T6870" i="1"/>
  <c r="S6870" i="1"/>
  <c r="R6870" i="1"/>
  <c r="Q6870" i="1"/>
  <c r="M6870" i="1"/>
  <c r="L6870" i="1"/>
  <c r="V6869" i="1"/>
  <c r="U6869" i="1"/>
  <c r="T6869" i="1"/>
  <c r="S6869" i="1"/>
  <c r="R6869" i="1"/>
  <c r="Q6869" i="1"/>
  <c r="M6869" i="1"/>
  <c r="L6869" i="1"/>
  <c r="V6868" i="1"/>
  <c r="U6868" i="1"/>
  <c r="T6868" i="1"/>
  <c r="S6868" i="1"/>
  <c r="R6868" i="1"/>
  <c r="Q6868" i="1"/>
  <c r="M6868" i="1"/>
  <c r="L6868" i="1"/>
  <c r="V6867" i="1"/>
  <c r="U6867" i="1"/>
  <c r="T6867" i="1"/>
  <c r="S6867" i="1"/>
  <c r="R6867" i="1"/>
  <c r="Q6867" i="1"/>
  <c r="M6867" i="1"/>
  <c r="L6867" i="1"/>
  <c r="V6866" i="1"/>
  <c r="U6866" i="1"/>
  <c r="T6866" i="1"/>
  <c r="S6866" i="1"/>
  <c r="R6866" i="1"/>
  <c r="Q6866" i="1"/>
  <c r="M6866" i="1"/>
  <c r="L6866" i="1"/>
  <c r="V6865" i="1"/>
  <c r="U6865" i="1"/>
  <c r="T6865" i="1"/>
  <c r="S6865" i="1"/>
  <c r="R6865" i="1"/>
  <c r="Q6865" i="1"/>
  <c r="M6865" i="1"/>
  <c r="L6865" i="1"/>
  <c r="V6864" i="1"/>
  <c r="U6864" i="1"/>
  <c r="T6864" i="1"/>
  <c r="S6864" i="1"/>
  <c r="R6864" i="1"/>
  <c r="Q6864" i="1"/>
  <c r="M6864" i="1"/>
  <c r="L6864" i="1"/>
  <c r="V6863" i="1"/>
  <c r="U6863" i="1"/>
  <c r="T6863" i="1"/>
  <c r="S6863" i="1"/>
  <c r="R6863" i="1"/>
  <c r="Q6863" i="1"/>
  <c r="M6863" i="1"/>
  <c r="L6863" i="1"/>
  <c r="V6862" i="1"/>
  <c r="U6862" i="1"/>
  <c r="T6862" i="1"/>
  <c r="S6862" i="1"/>
  <c r="R6862" i="1"/>
  <c r="Q6862" i="1"/>
  <c r="M6862" i="1"/>
  <c r="L6862" i="1"/>
  <c r="V6861" i="1"/>
  <c r="U6861" i="1"/>
  <c r="T6861" i="1"/>
  <c r="S6861" i="1"/>
  <c r="R6861" i="1"/>
  <c r="Q6861" i="1"/>
  <c r="M6861" i="1"/>
  <c r="L6861" i="1"/>
  <c r="V6860" i="1"/>
  <c r="U6860" i="1"/>
  <c r="T6860" i="1"/>
  <c r="S6860" i="1"/>
  <c r="R6860" i="1"/>
  <c r="Q6860" i="1"/>
  <c r="M6860" i="1"/>
  <c r="L6860" i="1"/>
  <c r="V6859" i="1"/>
  <c r="U6859" i="1"/>
  <c r="T6859" i="1"/>
  <c r="S6859" i="1"/>
  <c r="R6859" i="1"/>
  <c r="Q6859" i="1"/>
  <c r="M6859" i="1"/>
  <c r="L6859" i="1"/>
  <c r="V6858" i="1"/>
  <c r="U6858" i="1"/>
  <c r="T6858" i="1"/>
  <c r="S6858" i="1"/>
  <c r="R6858" i="1"/>
  <c r="Q6858" i="1"/>
  <c r="M6858" i="1"/>
  <c r="L6858" i="1"/>
  <c r="V6857" i="1"/>
  <c r="U6857" i="1"/>
  <c r="T6857" i="1"/>
  <c r="S6857" i="1"/>
  <c r="R6857" i="1"/>
  <c r="Q6857" i="1"/>
  <c r="M6857" i="1"/>
  <c r="L6857" i="1"/>
  <c r="V6856" i="1"/>
  <c r="U6856" i="1"/>
  <c r="T6856" i="1"/>
  <c r="S6856" i="1"/>
  <c r="R6856" i="1"/>
  <c r="Q6856" i="1"/>
  <c r="M6856" i="1"/>
  <c r="L6856" i="1"/>
  <c r="V6855" i="1"/>
  <c r="U6855" i="1"/>
  <c r="T6855" i="1"/>
  <c r="S6855" i="1"/>
  <c r="R6855" i="1"/>
  <c r="Q6855" i="1"/>
  <c r="M6855" i="1"/>
  <c r="L6855" i="1"/>
  <c r="V6854" i="1"/>
  <c r="U6854" i="1"/>
  <c r="T6854" i="1"/>
  <c r="S6854" i="1"/>
  <c r="R6854" i="1"/>
  <c r="Q6854" i="1"/>
  <c r="M6854" i="1"/>
  <c r="L6854" i="1"/>
  <c r="V6853" i="1"/>
  <c r="U6853" i="1"/>
  <c r="T6853" i="1"/>
  <c r="S6853" i="1"/>
  <c r="R6853" i="1"/>
  <c r="Q6853" i="1"/>
  <c r="M6853" i="1"/>
  <c r="L6853" i="1"/>
  <c r="V6852" i="1"/>
  <c r="U6852" i="1"/>
  <c r="T6852" i="1"/>
  <c r="S6852" i="1"/>
  <c r="R6852" i="1"/>
  <c r="Q6852" i="1"/>
  <c r="M6852" i="1"/>
  <c r="L6852" i="1"/>
  <c r="V6851" i="1"/>
  <c r="U6851" i="1"/>
  <c r="T6851" i="1"/>
  <c r="S6851" i="1"/>
  <c r="R6851" i="1"/>
  <c r="Q6851" i="1"/>
  <c r="M6851" i="1"/>
  <c r="L6851" i="1"/>
  <c r="V6850" i="1"/>
  <c r="U6850" i="1"/>
  <c r="T6850" i="1"/>
  <c r="S6850" i="1"/>
  <c r="R6850" i="1"/>
  <c r="Q6850" i="1"/>
  <c r="M6850" i="1"/>
  <c r="L6850" i="1"/>
  <c r="V6849" i="1"/>
  <c r="U6849" i="1"/>
  <c r="T6849" i="1"/>
  <c r="S6849" i="1"/>
  <c r="R6849" i="1"/>
  <c r="Q6849" i="1"/>
  <c r="M6849" i="1"/>
  <c r="L6849" i="1"/>
  <c r="V6848" i="1"/>
  <c r="U6848" i="1"/>
  <c r="T6848" i="1"/>
  <c r="S6848" i="1"/>
  <c r="R6848" i="1"/>
  <c r="Q6848" i="1"/>
  <c r="M6848" i="1"/>
  <c r="L6848" i="1"/>
  <c r="V6847" i="1"/>
  <c r="U6847" i="1"/>
  <c r="T6847" i="1"/>
  <c r="S6847" i="1"/>
  <c r="R6847" i="1"/>
  <c r="Q6847" i="1"/>
  <c r="M6847" i="1"/>
  <c r="L6847" i="1"/>
  <c r="V6846" i="1"/>
  <c r="U6846" i="1"/>
  <c r="T6846" i="1"/>
  <c r="S6846" i="1"/>
  <c r="R6846" i="1"/>
  <c r="Q6846" i="1"/>
  <c r="M6846" i="1"/>
  <c r="L6846" i="1"/>
  <c r="V6845" i="1"/>
  <c r="U6845" i="1"/>
  <c r="T6845" i="1"/>
  <c r="S6845" i="1"/>
  <c r="R6845" i="1"/>
  <c r="Q6845" i="1"/>
  <c r="M6845" i="1"/>
  <c r="L6845" i="1"/>
  <c r="V6844" i="1"/>
  <c r="U6844" i="1"/>
  <c r="T6844" i="1"/>
  <c r="S6844" i="1"/>
  <c r="R6844" i="1"/>
  <c r="Q6844" i="1"/>
  <c r="M6844" i="1"/>
  <c r="L6844" i="1"/>
  <c r="V6843" i="1"/>
  <c r="U6843" i="1"/>
  <c r="T6843" i="1"/>
  <c r="S6843" i="1"/>
  <c r="R6843" i="1"/>
  <c r="Q6843" i="1"/>
  <c r="M6843" i="1"/>
  <c r="L6843" i="1"/>
  <c r="V6842" i="1"/>
  <c r="U6842" i="1"/>
  <c r="T6842" i="1"/>
  <c r="S6842" i="1"/>
  <c r="R6842" i="1"/>
  <c r="Q6842" i="1"/>
  <c r="M6842" i="1"/>
  <c r="L6842" i="1"/>
  <c r="V6841" i="1"/>
  <c r="U6841" i="1"/>
  <c r="T6841" i="1"/>
  <c r="S6841" i="1"/>
  <c r="R6841" i="1"/>
  <c r="Q6841" i="1"/>
  <c r="M6841" i="1"/>
  <c r="L6841" i="1"/>
  <c r="V6840" i="1"/>
  <c r="U6840" i="1"/>
  <c r="T6840" i="1"/>
  <c r="S6840" i="1"/>
  <c r="R6840" i="1"/>
  <c r="Q6840" i="1"/>
  <c r="M6840" i="1"/>
  <c r="L6840" i="1"/>
  <c r="V6839" i="1"/>
  <c r="U6839" i="1"/>
  <c r="T6839" i="1"/>
  <c r="S6839" i="1"/>
  <c r="R6839" i="1"/>
  <c r="Q6839" i="1"/>
  <c r="M6839" i="1"/>
  <c r="L6839" i="1"/>
  <c r="V6838" i="1"/>
  <c r="U6838" i="1"/>
  <c r="T6838" i="1"/>
  <c r="S6838" i="1"/>
  <c r="R6838" i="1"/>
  <c r="Q6838" i="1"/>
  <c r="M6838" i="1"/>
  <c r="L6838" i="1"/>
  <c r="V6837" i="1"/>
  <c r="U6837" i="1"/>
  <c r="T6837" i="1"/>
  <c r="S6837" i="1"/>
  <c r="R6837" i="1"/>
  <c r="Q6837" i="1"/>
  <c r="M6837" i="1"/>
  <c r="L6837" i="1"/>
  <c r="V6836" i="1"/>
  <c r="U6836" i="1"/>
  <c r="T6836" i="1"/>
  <c r="S6836" i="1"/>
  <c r="R6836" i="1"/>
  <c r="Q6836" i="1"/>
  <c r="M6836" i="1"/>
  <c r="L6836" i="1"/>
  <c r="V6835" i="1"/>
  <c r="U6835" i="1"/>
  <c r="T6835" i="1"/>
  <c r="S6835" i="1"/>
  <c r="R6835" i="1"/>
  <c r="Q6835" i="1"/>
  <c r="M6835" i="1"/>
  <c r="L6835" i="1"/>
  <c r="V6834" i="1"/>
  <c r="U6834" i="1"/>
  <c r="T6834" i="1"/>
  <c r="S6834" i="1"/>
  <c r="R6834" i="1"/>
  <c r="Q6834" i="1"/>
  <c r="M6834" i="1"/>
  <c r="L6834" i="1"/>
  <c r="V6833" i="1"/>
  <c r="U6833" i="1"/>
  <c r="T6833" i="1"/>
  <c r="S6833" i="1"/>
  <c r="R6833" i="1"/>
  <c r="Q6833" i="1"/>
  <c r="M6833" i="1"/>
  <c r="L6833" i="1"/>
  <c r="V6832" i="1"/>
  <c r="U6832" i="1"/>
  <c r="T6832" i="1"/>
  <c r="S6832" i="1"/>
  <c r="R6832" i="1"/>
  <c r="Q6832" i="1"/>
  <c r="M6832" i="1"/>
  <c r="L6832" i="1"/>
  <c r="V6831" i="1"/>
  <c r="U6831" i="1"/>
  <c r="T6831" i="1"/>
  <c r="S6831" i="1"/>
  <c r="R6831" i="1"/>
  <c r="Q6831" i="1"/>
  <c r="M6831" i="1"/>
  <c r="L6831" i="1"/>
  <c r="V6830" i="1"/>
  <c r="U6830" i="1"/>
  <c r="T6830" i="1"/>
  <c r="S6830" i="1"/>
  <c r="R6830" i="1"/>
  <c r="Q6830" i="1"/>
  <c r="M6830" i="1"/>
  <c r="L6830" i="1"/>
  <c r="V6829" i="1"/>
  <c r="U6829" i="1"/>
  <c r="T6829" i="1"/>
  <c r="S6829" i="1"/>
  <c r="R6829" i="1"/>
  <c r="Q6829" i="1"/>
  <c r="M6829" i="1"/>
  <c r="L6829" i="1"/>
  <c r="V6828" i="1"/>
  <c r="U6828" i="1"/>
  <c r="T6828" i="1"/>
  <c r="S6828" i="1"/>
  <c r="R6828" i="1"/>
  <c r="Q6828" i="1"/>
  <c r="M6828" i="1"/>
  <c r="L6828" i="1"/>
  <c r="V6827" i="1"/>
  <c r="U6827" i="1"/>
  <c r="T6827" i="1"/>
  <c r="S6827" i="1"/>
  <c r="R6827" i="1"/>
  <c r="Q6827" i="1"/>
  <c r="M6827" i="1"/>
  <c r="L6827" i="1"/>
  <c r="V6826" i="1"/>
  <c r="U6826" i="1"/>
  <c r="T6826" i="1"/>
  <c r="S6826" i="1"/>
  <c r="R6826" i="1"/>
  <c r="Q6826" i="1"/>
  <c r="M6826" i="1"/>
  <c r="L6826" i="1"/>
  <c r="V6825" i="1"/>
  <c r="U6825" i="1"/>
  <c r="T6825" i="1"/>
  <c r="S6825" i="1"/>
  <c r="R6825" i="1"/>
  <c r="Q6825" i="1"/>
  <c r="M6825" i="1"/>
  <c r="L6825" i="1"/>
  <c r="V6824" i="1"/>
  <c r="U6824" i="1"/>
  <c r="T6824" i="1"/>
  <c r="S6824" i="1"/>
  <c r="R6824" i="1"/>
  <c r="Q6824" i="1"/>
  <c r="M6824" i="1"/>
  <c r="L6824" i="1"/>
  <c r="V6823" i="1"/>
  <c r="U6823" i="1"/>
  <c r="T6823" i="1"/>
  <c r="S6823" i="1"/>
  <c r="R6823" i="1"/>
  <c r="Q6823" i="1"/>
  <c r="M6823" i="1"/>
  <c r="L6823" i="1"/>
  <c r="V6822" i="1"/>
  <c r="U6822" i="1"/>
  <c r="T6822" i="1"/>
  <c r="S6822" i="1"/>
  <c r="R6822" i="1"/>
  <c r="Q6822" i="1"/>
  <c r="M6822" i="1"/>
  <c r="L6822" i="1"/>
  <c r="V6821" i="1"/>
  <c r="U6821" i="1"/>
  <c r="T6821" i="1"/>
  <c r="S6821" i="1"/>
  <c r="R6821" i="1"/>
  <c r="Q6821" i="1"/>
  <c r="M6821" i="1"/>
  <c r="L6821" i="1"/>
  <c r="V6820" i="1"/>
  <c r="U6820" i="1"/>
  <c r="T6820" i="1"/>
  <c r="S6820" i="1"/>
  <c r="R6820" i="1"/>
  <c r="Q6820" i="1"/>
  <c r="M6820" i="1"/>
  <c r="L6820" i="1"/>
  <c r="V6819" i="1"/>
  <c r="U6819" i="1"/>
  <c r="T6819" i="1"/>
  <c r="S6819" i="1"/>
  <c r="R6819" i="1"/>
  <c r="Q6819" i="1"/>
  <c r="M6819" i="1"/>
  <c r="L6819" i="1"/>
  <c r="V6818" i="1"/>
  <c r="U6818" i="1"/>
  <c r="T6818" i="1"/>
  <c r="S6818" i="1"/>
  <c r="R6818" i="1"/>
  <c r="Q6818" i="1"/>
  <c r="M6818" i="1"/>
  <c r="L6818" i="1"/>
  <c r="V6817" i="1"/>
  <c r="U6817" i="1"/>
  <c r="T6817" i="1"/>
  <c r="S6817" i="1"/>
  <c r="R6817" i="1"/>
  <c r="Q6817" i="1"/>
  <c r="M6817" i="1"/>
  <c r="L6817" i="1"/>
  <c r="V6816" i="1"/>
  <c r="U6816" i="1"/>
  <c r="T6816" i="1"/>
  <c r="S6816" i="1"/>
  <c r="R6816" i="1"/>
  <c r="Q6816" i="1"/>
  <c r="M6816" i="1"/>
  <c r="L6816" i="1"/>
  <c r="V6815" i="1"/>
  <c r="U6815" i="1"/>
  <c r="T6815" i="1"/>
  <c r="S6815" i="1"/>
  <c r="R6815" i="1"/>
  <c r="Q6815" i="1"/>
  <c r="M6815" i="1"/>
  <c r="L6815" i="1"/>
  <c r="V6814" i="1"/>
  <c r="U6814" i="1"/>
  <c r="T6814" i="1"/>
  <c r="S6814" i="1"/>
  <c r="R6814" i="1"/>
  <c r="Q6814" i="1"/>
  <c r="M6814" i="1"/>
  <c r="L6814" i="1"/>
  <c r="V6813" i="1"/>
  <c r="U6813" i="1"/>
  <c r="T6813" i="1"/>
  <c r="S6813" i="1"/>
  <c r="R6813" i="1"/>
  <c r="Q6813" i="1"/>
  <c r="M6813" i="1"/>
  <c r="L6813" i="1"/>
  <c r="V6812" i="1"/>
  <c r="U6812" i="1"/>
  <c r="T6812" i="1"/>
  <c r="S6812" i="1"/>
  <c r="R6812" i="1"/>
  <c r="Q6812" i="1"/>
  <c r="M6812" i="1"/>
  <c r="L6812" i="1"/>
  <c r="V6811" i="1"/>
  <c r="U6811" i="1"/>
  <c r="T6811" i="1"/>
  <c r="S6811" i="1"/>
  <c r="R6811" i="1"/>
  <c r="Q6811" i="1"/>
  <c r="M6811" i="1"/>
  <c r="L6811" i="1"/>
  <c r="V6810" i="1"/>
  <c r="U6810" i="1"/>
  <c r="T6810" i="1"/>
  <c r="S6810" i="1"/>
  <c r="R6810" i="1"/>
  <c r="Q6810" i="1"/>
  <c r="M6810" i="1"/>
  <c r="L6810" i="1"/>
  <c r="V6809" i="1"/>
  <c r="U6809" i="1"/>
  <c r="T6809" i="1"/>
  <c r="S6809" i="1"/>
  <c r="R6809" i="1"/>
  <c r="Q6809" i="1"/>
  <c r="M6809" i="1"/>
  <c r="L6809" i="1"/>
  <c r="V6808" i="1"/>
  <c r="U6808" i="1"/>
  <c r="T6808" i="1"/>
  <c r="S6808" i="1"/>
  <c r="R6808" i="1"/>
  <c r="Q6808" i="1"/>
  <c r="M6808" i="1"/>
  <c r="L6808" i="1"/>
  <c r="V6807" i="1"/>
  <c r="U6807" i="1"/>
  <c r="T6807" i="1"/>
  <c r="S6807" i="1"/>
  <c r="R6807" i="1"/>
  <c r="Q6807" i="1"/>
  <c r="M6807" i="1"/>
  <c r="L6807" i="1"/>
  <c r="V6806" i="1"/>
  <c r="U6806" i="1"/>
  <c r="T6806" i="1"/>
  <c r="S6806" i="1"/>
  <c r="R6806" i="1"/>
  <c r="Q6806" i="1"/>
  <c r="M6806" i="1"/>
  <c r="L6806" i="1"/>
  <c r="V6805" i="1"/>
  <c r="U6805" i="1"/>
  <c r="T6805" i="1"/>
  <c r="S6805" i="1"/>
  <c r="R6805" i="1"/>
  <c r="Q6805" i="1"/>
  <c r="M6805" i="1"/>
  <c r="L6805" i="1"/>
  <c r="V6804" i="1"/>
  <c r="U6804" i="1"/>
  <c r="T6804" i="1"/>
  <c r="S6804" i="1"/>
  <c r="R6804" i="1"/>
  <c r="Q6804" i="1"/>
  <c r="M6804" i="1"/>
  <c r="L6804" i="1"/>
  <c r="V6803" i="1"/>
  <c r="U6803" i="1"/>
  <c r="T6803" i="1"/>
  <c r="S6803" i="1"/>
  <c r="R6803" i="1"/>
  <c r="Q6803" i="1"/>
  <c r="M6803" i="1"/>
  <c r="L6803" i="1"/>
  <c r="V6802" i="1"/>
  <c r="U6802" i="1"/>
  <c r="T6802" i="1"/>
  <c r="S6802" i="1"/>
  <c r="R6802" i="1"/>
  <c r="Q6802" i="1"/>
  <c r="M6802" i="1"/>
  <c r="L6802" i="1"/>
  <c r="V6801" i="1"/>
  <c r="U6801" i="1"/>
  <c r="T6801" i="1"/>
  <c r="S6801" i="1"/>
  <c r="R6801" i="1"/>
  <c r="Q6801" i="1"/>
  <c r="M6801" i="1"/>
  <c r="L6801" i="1"/>
  <c r="V6800" i="1"/>
  <c r="U6800" i="1"/>
  <c r="T6800" i="1"/>
  <c r="S6800" i="1"/>
  <c r="R6800" i="1"/>
  <c r="Q6800" i="1"/>
  <c r="M6800" i="1"/>
  <c r="L6800" i="1"/>
  <c r="V6799" i="1"/>
  <c r="U6799" i="1"/>
  <c r="T6799" i="1"/>
  <c r="S6799" i="1"/>
  <c r="R6799" i="1"/>
  <c r="Q6799" i="1"/>
  <c r="M6799" i="1"/>
  <c r="L6799" i="1"/>
  <c r="V6798" i="1"/>
  <c r="U6798" i="1"/>
  <c r="T6798" i="1"/>
  <c r="S6798" i="1"/>
  <c r="R6798" i="1"/>
  <c r="Q6798" i="1"/>
  <c r="M6798" i="1"/>
  <c r="L6798" i="1"/>
  <c r="V6797" i="1"/>
  <c r="U6797" i="1"/>
  <c r="T6797" i="1"/>
  <c r="S6797" i="1"/>
  <c r="R6797" i="1"/>
  <c r="Q6797" i="1"/>
  <c r="M6797" i="1"/>
  <c r="L6797" i="1"/>
  <c r="V6796" i="1"/>
  <c r="U6796" i="1"/>
  <c r="T6796" i="1"/>
  <c r="S6796" i="1"/>
  <c r="R6796" i="1"/>
  <c r="Q6796" i="1"/>
  <c r="M6796" i="1"/>
  <c r="L6796" i="1"/>
  <c r="V6795" i="1"/>
  <c r="U6795" i="1"/>
  <c r="T6795" i="1"/>
  <c r="S6795" i="1"/>
  <c r="R6795" i="1"/>
  <c r="Q6795" i="1"/>
  <c r="M6795" i="1"/>
  <c r="L6795" i="1"/>
  <c r="V6794" i="1"/>
  <c r="U6794" i="1"/>
  <c r="T6794" i="1"/>
  <c r="S6794" i="1"/>
  <c r="R6794" i="1"/>
  <c r="Q6794" i="1"/>
  <c r="M6794" i="1"/>
  <c r="L6794" i="1"/>
  <c r="V6793" i="1"/>
  <c r="U6793" i="1"/>
  <c r="T6793" i="1"/>
  <c r="S6793" i="1"/>
  <c r="R6793" i="1"/>
  <c r="Q6793" i="1"/>
  <c r="M6793" i="1"/>
  <c r="L6793" i="1"/>
  <c r="V6792" i="1"/>
  <c r="U6792" i="1"/>
  <c r="T6792" i="1"/>
  <c r="S6792" i="1"/>
  <c r="R6792" i="1"/>
  <c r="Q6792" i="1"/>
  <c r="M6792" i="1"/>
  <c r="L6792" i="1"/>
  <c r="V6791" i="1"/>
  <c r="U6791" i="1"/>
  <c r="T6791" i="1"/>
  <c r="S6791" i="1"/>
  <c r="R6791" i="1"/>
  <c r="Q6791" i="1"/>
  <c r="M6791" i="1"/>
  <c r="L6791" i="1"/>
  <c r="V6790" i="1"/>
  <c r="U6790" i="1"/>
  <c r="T6790" i="1"/>
  <c r="S6790" i="1"/>
  <c r="R6790" i="1"/>
  <c r="Q6790" i="1"/>
  <c r="M6790" i="1"/>
  <c r="L6790" i="1"/>
  <c r="V6789" i="1"/>
  <c r="U6789" i="1"/>
  <c r="T6789" i="1"/>
  <c r="S6789" i="1"/>
  <c r="R6789" i="1"/>
  <c r="Q6789" i="1"/>
  <c r="M6789" i="1"/>
  <c r="L6789" i="1"/>
  <c r="V6788" i="1"/>
  <c r="U6788" i="1"/>
  <c r="T6788" i="1"/>
  <c r="S6788" i="1"/>
  <c r="R6788" i="1"/>
  <c r="Q6788" i="1"/>
  <c r="M6788" i="1"/>
  <c r="L6788" i="1"/>
  <c r="V6787" i="1"/>
  <c r="U6787" i="1"/>
  <c r="T6787" i="1"/>
  <c r="S6787" i="1"/>
  <c r="R6787" i="1"/>
  <c r="Q6787" i="1"/>
  <c r="M6787" i="1"/>
  <c r="L6787" i="1"/>
  <c r="V6786" i="1"/>
  <c r="U6786" i="1"/>
  <c r="T6786" i="1"/>
  <c r="S6786" i="1"/>
  <c r="R6786" i="1"/>
  <c r="Q6786" i="1"/>
  <c r="M6786" i="1"/>
  <c r="L6786" i="1"/>
  <c r="V6785" i="1"/>
  <c r="U6785" i="1"/>
  <c r="T6785" i="1"/>
  <c r="S6785" i="1"/>
  <c r="R6785" i="1"/>
  <c r="Q6785" i="1"/>
  <c r="M6785" i="1"/>
  <c r="L6785" i="1"/>
  <c r="V6784" i="1"/>
  <c r="U6784" i="1"/>
  <c r="T6784" i="1"/>
  <c r="S6784" i="1"/>
  <c r="R6784" i="1"/>
  <c r="Q6784" i="1"/>
  <c r="M6784" i="1"/>
  <c r="L6784" i="1"/>
  <c r="V6783" i="1"/>
  <c r="U6783" i="1"/>
  <c r="T6783" i="1"/>
  <c r="S6783" i="1"/>
  <c r="R6783" i="1"/>
  <c r="Q6783" i="1"/>
  <c r="M6783" i="1"/>
  <c r="L6783" i="1"/>
  <c r="V6782" i="1"/>
  <c r="U6782" i="1"/>
  <c r="T6782" i="1"/>
  <c r="S6782" i="1"/>
  <c r="R6782" i="1"/>
  <c r="Q6782" i="1"/>
  <c r="M6782" i="1"/>
  <c r="L6782" i="1"/>
  <c r="V6781" i="1"/>
  <c r="U6781" i="1"/>
  <c r="T6781" i="1"/>
  <c r="S6781" i="1"/>
  <c r="R6781" i="1"/>
  <c r="Q6781" i="1"/>
  <c r="M6781" i="1"/>
  <c r="L6781" i="1"/>
  <c r="V6780" i="1"/>
  <c r="U6780" i="1"/>
  <c r="T6780" i="1"/>
  <c r="S6780" i="1"/>
  <c r="R6780" i="1"/>
  <c r="Q6780" i="1"/>
  <c r="M6780" i="1"/>
  <c r="L6780" i="1"/>
  <c r="V6779" i="1"/>
  <c r="U6779" i="1"/>
  <c r="T6779" i="1"/>
  <c r="S6779" i="1"/>
  <c r="R6779" i="1"/>
  <c r="Q6779" i="1"/>
  <c r="M6779" i="1"/>
  <c r="L6779" i="1"/>
  <c r="V6778" i="1"/>
  <c r="U6778" i="1"/>
  <c r="T6778" i="1"/>
  <c r="S6778" i="1"/>
  <c r="R6778" i="1"/>
  <c r="Q6778" i="1"/>
  <c r="M6778" i="1"/>
  <c r="L6778" i="1"/>
  <c r="V6777" i="1"/>
  <c r="U6777" i="1"/>
  <c r="T6777" i="1"/>
  <c r="S6777" i="1"/>
  <c r="R6777" i="1"/>
  <c r="Q6777" i="1"/>
  <c r="M6777" i="1"/>
  <c r="L6777" i="1"/>
  <c r="V6776" i="1"/>
  <c r="U6776" i="1"/>
  <c r="T6776" i="1"/>
  <c r="S6776" i="1"/>
  <c r="R6776" i="1"/>
  <c r="Q6776" i="1"/>
  <c r="M6776" i="1"/>
  <c r="L6776" i="1"/>
  <c r="V6775" i="1"/>
  <c r="U6775" i="1"/>
  <c r="T6775" i="1"/>
  <c r="S6775" i="1"/>
  <c r="R6775" i="1"/>
  <c r="Q6775" i="1"/>
  <c r="M6775" i="1"/>
  <c r="L6775" i="1"/>
  <c r="V6774" i="1"/>
  <c r="U6774" i="1"/>
  <c r="T6774" i="1"/>
  <c r="S6774" i="1"/>
  <c r="R6774" i="1"/>
  <c r="Q6774" i="1"/>
  <c r="M6774" i="1"/>
  <c r="L6774" i="1"/>
  <c r="V6773" i="1"/>
  <c r="U6773" i="1"/>
  <c r="T6773" i="1"/>
  <c r="S6773" i="1"/>
  <c r="R6773" i="1"/>
  <c r="Q6773" i="1"/>
  <c r="M6773" i="1"/>
  <c r="L6773" i="1"/>
  <c r="V6772" i="1"/>
  <c r="U6772" i="1"/>
  <c r="T6772" i="1"/>
  <c r="S6772" i="1"/>
  <c r="R6772" i="1"/>
  <c r="Q6772" i="1"/>
  <c r="M6772" i="1"/>
  <c r="L6772" i="1"/>
  <c r="V6771" i="1"/>
  <c r="U6771" i="1"/>
  <c r="T6771" i="1"/>
  <c r="S6771" i="1"/>
  <c r="R6771" i="1"/>
  <c r="Q6771" i="1"/>
  <c r="M6771" i="1"/>
  <c r="L6771" i="1"/>
  <c r="V6770" i="1"/>
  <c r="U6770" i="1"/>
  <c r="T6770" i="1"/>
  <c r="S6770" i="1"/>
  <c r="R6770" i="1"/>
  <c r="Q6770" i="1"/>
  <c r="M6770" i="1"/>
  <c r="L6770" i="1"/>
  <c r="V6769" i="1"/>
  <c r="U6769" i="1"/>
  <c r="T6769" i="1"/>
  <c r="S6769" i="1"/>
  <c r="R6769" i="1"/>
  <c r="Q6769" i="1"/>
  <c r="M6769" i="1"/>
  <c r="L6769" i="1"/>
  <c r="V6768" i="1"/>
  <c r="U6768" i="1"/>
  <c r="T6768" i="1"/>
  <c r="S6768" i="1"/>
  <c r="R6768" i="1"/>
  <c r="Q6768" i="1"/>
  <c r="M6768" i="1"/>
  <c r="L6768" i="1"/>
  <c r="V6767" i="1"/>
  <c r="U6767" i="1"/>
  <c r="T6767" i="1"/>
  <c r="S6767" i="1"/>
  <c r="R6767" i="1"/>
  <c r="Q6767" i="1"/>
  <c r="M6767" i="1"/>
  <c r="L6767" i="1"/>
  <c r="V6766" i="1"/>
  <c r="U6766" i="1"/>
  <c r="T6766" i="1"/>
  <c r="S6766" i="1"/>
  <c r="R6766" i="1"/>
  <c r="Q6766" i="1"/>
  <c r="M6766" i="1"/>
  <c r="L6766" i="1"/>
  <c r="V6765" i="1"/>
  <c r="U6765" i="1"/>
  <c r="T6765" i="1"/>
  <c r="S6765" i="1"/>
  <c r="R6765" i="1"/>
  <c r="Q6765" i="1"/>
  <c r="M6765" i="1"/>
  <c r="L6765" i="1"/>
  <c r="V6764" i="1"/>
  <c r="U6764" i="1"/>
  <c r="T6764" i="1"/>
  <c r="S6764" i="1"/>
  <c r="R6764" i="1"/>
  <c r="Q6764" i="1"/>
  <c r="M6764" i="1"/>
  <c r="L6764" i="1"/>
  <c r="V6763" i="1"/>
  <c r="U6763" i="1"/>
  <c r="T6763" i="1"/>
  <c r="S6763" i="1"/>
  <c r="R6763" i="1"/>
  <c r="Q6763" i="1"/>
  <c r="M6763" i="1"/>
  <c r="L6763" i="1"/>
  <c r="V6762" i="1"/>
  <c r="U6762" i="1"/>
  <c r="T6762" i="1"/>
  <c r="S6762" i="1"/>
  <c r="R6762" i="1"/>
  <c r="Q6762" i="1"/>
  <c r="M6762" i="1"/>
  <c r="L6762" i="1"/>
  <c r="V6761" i="1"/>
  <c r="U6761" i="1"/>
  <c r="T6761" i="1"/>
  <c r="S6761" i="1"/>
  <c r="R6761" i="1"/>
  <c r="Q6761" i="1"/>
  <c r="M6761" i="1"/>
  <c r="L6761" i="1"/>
  <c r="V6760" i="1"/>
  <c r="U6760" i="1"/>
  <c r="T6760" i="1"/>
  <c r="S6760" i="1"/>
  <c r="R6760" i="1"/>
  <c r="Q6760" i="1"/>
  <c r="M6760" i="1"/>
  <c r="L6760" i="1"/>
  <c r="V6759" i="1"/>
  <c r="U6759" i="1"/>
  <c r="T6759" i="1"/>
  <c r="S6759" i="1"/>
  <c r="R6759" i="1"/>
  <c r="Q6759" i="1"/>
  <c r="M6759" i="1"/>
  <c r="L6759" i="1"/>
  <c r="V6758" i="1"/>
  <c r="U6758" i="1"/>
  <c r="T6758" i="1"/>
  <c r="S6758" i="1"/>
  <c r="R6758" i="1"/>
  <c r="Q6758" i="1"/>
  <c r="M6758" i="1"/>
  <c r="L6758" i="1"/>
  <c r="V6757" i="1"/>
  <c r="U6757" i="1"/>
  <c r="T6757" i="1"/>
  <c r="S6757" i="1"/>
  <c r="R6757" i="1"/>
  <c r="Q6757" i="1"/>
  <c r="M6757" i="1"/>
  <c r="L6757" i="1"/>
  <c r="V6756" i="1"/>
  <c r="U6756" i="1"/>
  <c r="T6756" i="1"/>
  <c r="S6756" i="1"/>
  <c r="R6756" i="1"/>
  <c r="Q6756" i="1"/>
  <c r="M6756" i="1"/>
  <c r="L6756" i="1"/>
  <c r="V6755" i="1"/>
  <c r="U6755" i="1"/>
  <c r="T6755" i="1"/>
  <c r="S6755" i="1"/>
  <c r="R6755" i="1"/>
  <c r="Q6755" i="1"/>
  <c r="M6755" i="1"/>
  <c r="L6755" i="1"/>
  <c r="V6754" i="1"/>
  <c r="U6754" i="1"/>
  <c r="T6754" i="1"/>
  <c r="S6754" i="1"/>
  <c r="R6754" i="1"/>
  <c r="Q6754" i="1"/>
  <c r="M6754" i="1"/>
  <c r="L6754" i="1"/>
  <c r="V6753" i="1"/>
  <c r="U6753" i="1"/>
  <c r="T6753" i="1"/>
  <c r="S6753" i="1"/>
  <c r="R6753" i="1"/>
  <c r="Q6753" i="1"/>
  <c r="M6753" i="1"/>
  <c r="L6753" i="1"/>
  <c r="V6752" i="1"/>
  <c r="U6752" i="1"/>
  <c r="T6752" i="1"/>
  <c r="S6752" i="1"/>
  <c r="R6752" i="1"/>
  <c r="Q6752" i="1"/>
  <c r="M6752" i="1"/>
  <c r="L6752" i="1"/>
  <c r="V6751" i="1"/>
  <c r="U6751" i="1"/>
  <c r="T6751" i="1"/>
  <c r="S6751" i="1"/>
  <c r="R6751" i="1"/>
  <c r="Q6751" i="1"/>
  <c r="M6751" i="1"/>
  <c r="L6751" i="1"/>
  <c r="V6750" i="1"/>
  <c r="U6750" i="1"/>
  <c r="T6750" i="1"/>
  <c r="S6750" i="1"/>
  <c r="R6750" i="1"/>
  <c r="Q6750" i="1"/>
  <c r="M6750" i="1"/>
  <c r="L6750" i="1"/>
  <c r="V6749" i="1"/>
  <c r="U6749" i="1"/>
  <c r="T6749" i="1"/>
  <c r="S6749" i="1"/>
  <c r="R6749" i="1"/>
  <c r="Q6749" i="1"/>
  <c r="M6749" i="1"/>
  <c r="L6749" i="1"/>
  <c r="V6748" i="1"/>
  <c r="U6748" i="1"/>
  <c r="T6748" i="1"/>
  <c r="S6748" i="1"/>
  <c r="R6748" i="1"/>
  <c r="Q6748" i="1"/>
  <c r="M6748" i="1"/>
  <c r="L6748" i="1"/>
  <c r="V6747" i="1"/>
  <c r="U6747" i="1"/>
  <c r="T6747" i="1"/>
  <c r="S6747" i="1"/>
  <c r="R6747" i="1"/>
  <c r="Q6747" i="1"/>
  <c r="M6747" i="1"/>
  <c r="L6747" i="1"/>
  <c r="V6746" i="1"/>
  <c r="U6746" i="1"/>
  <c r="T6746" i="1"/>
  <c r="S6746" i="1"/>
  <c r="R6746" i="1"/>
  <c r="Q6746" i="1"/>
  <c r="M6746" i="1"/>
  <c r="L6746" i="1"/>
  <c r="V6745" i="1"/>
  <c r="U6745" i="1"/>
  <c r="T6745" i="1"/>
  <c r="S6745" i="1"/>
  <c r="R6745" i="1"/>
  <c r="Q6745" i="1"/>
  <c r="M6745" i="1"/>
  <c r="L6745" i="1"/>
  <c r="V6744" i="1"/>
  <c r="U6744" i="1"/>
  <c r="T6744" i="1"/>
  <c r="S6744" i="1"/>
  <c r="R6744" i="1"/>
  <c r="Q6744" i="1"/>
  <c r="M6744" i="1"/>
  <c r="L6744" i="1"/>
  <c r="V6743" i="1"/>
  <c r="U6743" i="1"/>
  <c r="T6743" i="1"/>
  <c r="S6743" i="1"/>
  <c r="R6743" i="1"/>
  <c r="Q6743" i="1"/>
  <c r="M6743" i="1"/>
  <c r="L6743" i="1"/>
  <c r="V6742" i="1"/>
  <c r="U6742" i="1"/>
  <c r="T6742" i="1"/>
  <c r="S6742" i="1"/>
  <c r="R6742" i="1"/>
  <c r="Q6742" i="1"/>
  <c r="M6742" i="1"/>
  <c r="L6742" i="1"/>
  <c r="V6741" i="1"/>
  <c r="U6741" i="1"/>
  <c r="T6741" i="1"/>
  <c r="S6741" i="1"/>
  <c r="R6741" i="1"/>
  <c r="Q6741" i="1"/>
  <c r="M6741" i="1"/>
  <c r="L6741" i="1"/>
  <c r="V6740" i="1"/>
  <c r="U6740" i="1"/>
  <c r="T6740" i="1"/>
  <c r="S6740" i="1"/>
  <c r="R6740" i="1"/>
  <c r="Q6740" i="1"/>
  <c r="M6740" i="1"/>
  <c r="L6740" i="1"/>
  <c r="V6739" i="1"/>
  <c r="U6739" i="1"/>
  <c r="T6739" i="1"/>
  <c r="S6739" i="1"/>
  <c r="R6739" i="1"/>
  <c r="Q6739" i="1"/>
  <c r="M6739" i="1"/>
  <c r="L6739" i="1"/>
  <c r="V6738" i="1"/>
  <c r="U6738" i="1"/>
  <c r="T6738" i="1"/>
  <c r="S6738" i="1"/>
  <c r="R6738" i="1"/>
  <c r="Q6738" i="1"/>
  <c r="M6738" i="1"/>
  <c r="L6738" i="1"/>
  <c r="V6737" i="1"/>
  <c r="U6737" i="1"/>
  <c r="T6737" i="1"/>
  <c r="S6737" i="1"/>
  <c r="R6737" i="1"/>
  <c r="Q6737" i="1"/>
  <c r="M6737" i="1"/>
  <c r="L6737" i="1"/>
  <c r="V6736" i="1"/>
  <c r="U6736" i="1"/>
  <c r="T6736" i="1"/>
  <c r="S6736" i="1"/>
  <c r="R6736" i="1"/>
  <c r="Q6736" i="1"/>
  <c r="M6736" i="1"/>
  <c r="L6736" i="1"/>
  <c r="V6735" i="1"/>
  <c r="U6735" i="1"/>
  <c r="T6735" i="1"/>
  <c r="S6735" i="1"/>
  <c r="R6735" i="1"/>
  <c r="Q6735" i="1"/>
  <c r="M6735" i="1"/>
  <c r="L6735" i="1"/>
  <c r="V6734" i="1"/>
  <c r="U6734" i="1"/>
  <c r="T6734" i="1"/>
  <c r="S6734" i="1"/>
  <c r="R6734" i="1"/>
  <c r="Q6734" i="1"/>
  <c r="M6734" i="1"/>
  <c r="L6734" i="1"/>
  <c r="V6733" i="1"/>
  <c r="U6733" i="1"/>
  <c r="T6733" i="1"/>
  <c r="S6733" i="1"/>
  <c r="R6733" i="1"/>
  <c r="Q6733" i="1"/>
  <c r="M6733" i="1"/>
  <c r="L6733" i="1"/>
  <c r="V6732" i="1"/>
  <c r="U6732" i="1"/>
  <c r="T6732" i="1"/>
  <c r="S6732" i="1"/>
  <c r="R6732" i="1"/>
  <c r="Q6732" i="1"/>
  <c r="M6732" i="1"/>
  <c r="L6732" i="1"/>
  <c r="V6731" i="1"/>
  <c r="U6731" i="1"/>
  <c r="T6731" i="1"/>
  <c r="S6731" i="1"/>
  <c r="R6731" i="1"/>
  <c r="Q6731" i="1"/>
  <c r="M6731" i="1"/>
  <c r="L6731" i="1"/>
  <c r="V6730" i="1"/>
  <c r="U6730" i="1"/>
  <c r="T6730" i="1"/>
  <c r="S6730" i="1"/>
  <c r="R6730" i="1"/>
  <c r="Q6730" i="1"/>
  <c r="M6730" i="1"/>
  <c r="L6730" i="1"/>
  <c r="V6729" i="1"/>
  <c r="U6729" i="1"/>
  <c r="T6729" i="1"/>
  <c r="S6729" i="1"/>
  <c r="R6729" i="1"/>
  <c r="Q6729" i="1"/>
  <c r="M6729" i="1"/>
  <c r="L6729" i="1"/>
  <c r="V6728" i="1"/>
  <c r="U6728" i="1"/>
  <c r="T6728" i="1"/>
  <c r="S6728" i="1"/>
  <c r="R6728" i="1"/>
  <c r="Q6728" i="1"/>
  <c r="M6728" i="1"/>
  <c r="L6728" i="1"/>
  <c r="V6727" i="1"/>
  <c r="U6727" i="1"/>
  <c r="T6727" i="1"/>
  <c r="S6727" i="1"/>
  <c r="R6727" i="1"/>
  <c r="Q6727" i="1"/>
  <c r="M6727" i="1"/>
  <c r="L6727" i="1"/>
  <c r="V6726" i="1"/>
  <c r="U6726" i="1"/>
  <c r="T6726" i="1"/>
  <c r="S6726" i="1"/>
  <c r="R6726" i="1"/>
  <c r="Q6726" i="1"/>
  <c r="M6726" i="1"/>
  <c r="L6726" i="1"/>
  <c r="V6725" i="1"/>
  <c r="U6725" i="1"/>
  <c r="T6725" i="1"/>
  <c r="S6725" i="1"/>
  <c r="R6725" i="1"/>
  <c r="Q6725" i="1"/>
  <c r="M6725" i="1"/>
  <c r="L6725" i="1"/>
  <c r="V6724" i="1"/>
  <c r="U6724" i="1"/>
  <c r="T6724" i="1"/>
  <c r="S6724" i="1"/>
  <c r="R6724" i="1"/>
  <c r="Q6724" i="1"/>
  <c r="M6724" i="1"/>
  <c r="L6724" i="1"/>
  <c r="V6723" i="1"/>
  <c r="U6723" i="1"/>
  <c r="T6723" i="1"/>
  <c r="S6723" i="1"/>
  <c r="R6723" i="1"/>
  <c r="Q6723" i="1"/>
  <c r="M6723" i="1"/>
  <c r="L6723" i="1"/>
  <c r="V6722" i="1"/>
  <c r="U6722" i="1"/>
  <c r="T6722" i="1"/>
  <c r="S6722" i="1"/>
  <c r="R6722" i="1"/>
  <c r="Q6722" i="1"/>
  <c r="M6722" i="1"/>
  <c r="L6722" i="1"/>
  <c r="V6721" i="1"/>
  <c r="U6721" i="1"/>
  <c r="T6721" i="1"/>
  <c r="S6721" i="1"/>
  <c r="R6721" i="1"/>
  <c r="Q6721" i="1"/>
  <c r="M6721" i="1"/>
  <c r="L6721" i="1"/>
  <c r="V6720" i="1"/>
  <c r="U6720" i="1"/>
  <c r="T6720" i="1"/>
  <c r="S6720" i="1"/>
  <c r="R6720" i="1"/>
  <c r="Q6720" i="1"/>
  <c r="M6720" i="1"/>
  <c r="L6720" i="1"/>
  <c r="V6719" i="1"/>
  <c r="U6719" i="1"/>
  <c r="T6719" i="1"/>
  <c r="S6719" i="1"/>
  <c r="R6719" i="1"/>
  <c r="Q6719" i="1"/>
  <c r="M6719" i="1"/>
  <c r="L6719" i="1"/>
  <c r="V6718" i="1"/>
  <c r="U6718" i="1"/>
  <c r="T6718" i="1"/>
  <c r="S6718" i="1"/>
  <c r="R6718" i="1"/>
  <c r="Q6718" i="1"/>
  <c r="M6718" i="1"/>
  <c r="L6718" i="1"/>
  <c r="V6717" i="1"/>
  <c r="U6717" i="1"/>
  <c r="T6717" i="1"/>
  <c r="S6717" i="1"/>
  <c r="R6717" i="1"/>
  <c r="Q6717" i="1"/>
  <c r="M6717" i="1"/>
  <c r="L6717" i="1"/>
  <c r="V6716" i="1"/>
  <c r="U6716" i="1"/>
  <c r="T6716" i="1"/>
  <c r="S6716" i="1"/>
  <c r="R6716" i="1"/>
  <c r="Q6716" i="1"/>
  <c r="M6716" i="1"/>
  <c r="L6716" i="1"/>
  <c r="V6715" i="1"/>
  <c r="U6715" i="1"/>
  <c r="T6715" i="1"/>
  <c r="S6715" i="1"/>
  <c r="R6715" i="1"/>
  <c r="Q6715" i="1"/>
  <c r="M6715" i="1"/>
  <c r="L6715" i="1"/>
  <c r="V6714" i="1"/>
  <c r="U6714" i="1"/>
  <c r="T6714" i="1"/>
  <c r="S6714" i="1"/>
  <c r="R6714" i="1"/>
  <c r="Q6714" i="1"/>
  <c r="M6714" i="1"/>
  <c r="L6714" i="1"/>
  <c r="V6713" i="1"/>
  <c r="U6713" i="1"/>
  <c r="T6713" i="1"/>
  <c r="S6713" i="1"/>
  <c r="R6713" i="1"/>
  <c r="Q6713" i="1"/>
  <c r="M6713" i="1"/>
  <c r="L6713" i="1"/>
  <c r="V6712" i="1"/>
  <c r="U6712" i="1"/>
  <c r="T6712" i="1"/>
  <c r="S6712" i="1"/>
  <c r="R6712" i="1"/>
  <c r="Q6712" i="1"/>
  <c r="M6712" i="1"/>
  <c r="L6712" i="1"/>
  <c r="V6711" i="1"/>
  <c r="U6711" i="1"/>
  <c r="T6711" i="1"/>
  <c r="S6711" i="1"/>
  <c r="R6711" i="1"/>
  <c r="Q6711" i="1"/>
  <c r="M6711" i="1"/>
  <c r="L6711" i="1"/>
  <c r="V6710" i="1"/>
  <c r="U6710" i="1"/>
  <c r="T6710" i="1"/>
  <c r="S6710" i="1"/>
  <c r="R6710" i="1"/>
  <c r="Q6710" i="1"/>
  <c r="M6710" i="1"/>
  <c r="L6710" i="1"/>
  <c r="V6709" i="1"/>
  <c r="U6709" i="1"/>
  <c r="T6709" i="1"/>
  <c r="S6709" i="1"/>
  <c r="R6709" i="1"/>
  <c r="Q6709" i="1"/>
  <c r="M6709" i="1"/>
  <c r="L6709" i="1"/>
  <c r="V6708" i="1"/>
  <c r="U6708" i="1"/>
  <c r="T6708" i="1"/>
  <c r="S6708" i="1"/>
  <c r="R6708" i="1"/>
  <c r="Q6708" i="1"/>
  <c r="M6708" i="1"/>
  <c r="L6708" i="1"/>
  <c r="V6707" i="1"/>
  <c r="U6707" i="1"/>
  <c r="T6707" i="1"/>
  <c r="S6707" i="1"/>
  <c r="R6707" i="1"/>
  <c r="Q6707" i="1"/>
  <c r="M6707" i="1"/>
  <c r="L6707" i="1"/>
  <c r="V6706" i="1"/>
  <c r="U6706" i="1"/>
  <c r="T6706" i="1"/>
  <c r="S6706" i="1"/>
  <c r="R6706" i="1"/>
  <c r="Q6706" i="1"/>
  <c r="M6706" i="1"/>
  <c r="L6706" i="1"/>
  <c r="V6705" i="1"/>
  <c r="U6705" i="1"/>
  <c r="T6705" i="1"/>
  <c r="S6705" i="1"/>
  <c r="R6705" i="1"/>
  <c r="Q6705" i="1"/>
  <c r="M6705" i="1"/>
  <c r="L6705" i="1"/>
  <c r="V6704" i="1"/>
  <c r="U6704" i="1"/>
  <c r="T6704" i="1"/>
  <c r="S6704" i="1"/>
  <c r="R6704" i="1"/>
  <c r="Q6704" i="1"/>
  <c r="M6704" i="1"/>
  <c r="L6704" i="1"/>
  <c r="V6703" i="1"/>
  <c r="U6703" i="1"/>
  <c r="T6703" i="1"/>
  <c r="S6703" i="1"/>
  <c r="R6703" i="1"/>
  <c r="Q6703" i="1"/>
  <c r="M6703" i="1"/>
  <c r="L6703" i="1"/>
  <c r="V6702" i="1"/>
  <c r="U6702" i="1"/>
  <c r="T6702" i="1"/>
  <c r="S6702" i="1"/>
  <c r="R6702" i="1"/>
  <c r="Q6702" i="1"/>
  <c r="M6702" i="1"/>
  <c r="L6702" i="1"/>
  <c r="V6701" i="1"/>
  <c r="U6701" i="1"/>
  <c r="T6701" i="1"/>
  <c r="S6701" i="1"/>
  <c r="R6701" i="1"/>
  <c r="Q6701" i="1"/>
  <c r="M6701" i="1"/>
  <c r="L6701" i="1"/>
  <c r="V6700" i="1"/>
  <c r="U6700" i="1"/>
  <c r="T6700" i="1"/>
  <c r="S6700" i="1"/>
  <c r="R6700" i="1"/>
  <c r="Q6700" i="1"/>
  <c r="M6700" i="1"/>
  <c r="L6700" i="1"/>
  <c r="V6699" i="1"/>
  <c r="U6699" i="1"/>
  <c r="T6699" i="1"/>
  <c r="S6699" i="1"/>
  <c r="R6699" i="1"/>
  <c r="Q6699" i="1"/>
  <c r="M6699" i="1"/>
  <c r="L6699" i="1"/>
  <c r="V6698" i="1"/>
  <c r="U6698" i="1"/>
  <c r="T6698" i="1"/>
  <c r="S6698" i="1"/>
  <c r="R6698" i="1"/>
  <c r="Q6698" i="1"/>
  <c r="M6698" i="1"/>
  <c r="L6698" i="1"/>
  <c r="V6697" i="1"/>
  <c r="U6697" i="1"/>
  <c r="T6697" i="1"/>
  <c r="S6697" i="1"/>
  <c r="R6697" i="1"/>
  <c r="Q6697" i="1"/>
  <c r="M6697" i="1"/>
  <c r="L6697" i="1"/>
  <c r="V6696" i="1"/>
  <c r="U6696" i="1"/>
  <c r="T6696" i="1"/>
  <c r="S6696" i="1"/>
  <c r="R6696" i="1"/>
  <c r="Q6696" i="1"/>
  <c r="M6696" i="1"/>
  <c r="L6696" i="1"/>
  <c r="V6695" i="1"/>
  <c r="U6695" i="1"/>
  <c r="T6695" i="1"/>
  <c r="S6695" i="1"/>
  <c r="R6695" i="1"/>
  <c r="Q6695" i="1"/>
  <c r="M6695" i="1"/>
  <c r="L6695" i="1"/>
  <c r="V6694" i="1"/>
  <c r="U6694" i="1"/>
  <c r="T6694" i="1"/>
  <c r="S6694" i="1"/>
  <c r="R6694" i="1"/>
  <c r="Q6694" i="1"/>
  <c r="M6694" i="1"/>
  <c r="L6694" i="1"/>
  <c r="V6693" i="1"/>
  <c r="U6693" i="1"/>
  <c r="T6693" i="1"/>
  <c r="S6693" i="1"/>
  <c r="R6693" i="1"/>
  <c r="Q6693" i="1"/>
  <c r="M6693" i="1"/>
  <c r="L6693" i="1"/>
  <c r="V6692" i="1"/>
  <c r="U6692" i="1"/>
  <c r="T6692" i="1"/>
  <c r="S6692" i="1"/>
  <c r="R6692" i="1"/>
  <c r="Q6692" i="1"/>
  <c r="M6692" i="1"/>
  <c r="L6692" i="1"/>
  <c r="V6691" i="1"/>
  <c r="U6691" i="1"/>
  <c r="T6691" i="1"/>
  <c r="S6691" i="1"/>
  <c r="R6691" i="1"/>
  <c r="Q6691" i="1"/>
  <c r="M6691" i="1"/>
  <c r="L6691" i="1"/>
  <c r="V6690" i="1"/>
  <c r="U6690" i="1"/>
  <c r="T6690" i="1"/>
  <c r="S6690" i="1"/>
  <c r="R6690" i="1"/>
  <c r="Q6690" i="1"/>
  <c r="M6690" i="1"/>
  <c r="L6690" i="1"/>
  <c r="V6689" i="1"/>
  <c r="U6689" i="1"/>
  <c r="T6689" i="1"/>
  <c r="S6689" i="1"/>
  <c r="R6689" i="1"/>
  <c r="Q6689" i="1"/>
  <c r="M6689" i="1"/>
  <c r="L6689" i="1"/>
  <c r="V6688" i="1"/>
  <c r="U6688" i="1"/>
  <c r="T6688" i="1"/>
  <c r="S6688" i="1"/>
  <c r="R6688" i="1"/>
  <c r="Q6688" i="1"/>
  <c r="M6688" i="1"/>
  <c r="L6688" i="1"/>
  <c r="V6687" i="1"/>
  <c r="U6687" i="1"/>
  <c r="T6687" i="1"/>
  <c r="S6687" i="1"/>
  <c r="R6687" i="1"/>
  <c r="Q6687" i="1"/>
  <c r="M6687" i="1"/>
  <c r="L6687" i="1"/>
  <c r="V6686" i="1"/>
  <c r="U6686" i="1"/>
  <c r="T6686" i="1"/>
  <c r="S6686" i="1"/>
  <c r="R6686" i="1"/>
  <c r="Q6686" i="1"/>
  <c r="M6686" i="1"/>
  <c r="L6686" i="1"/>
  <c r="V6685" i="1"/>
  <c r="U6685" i="1"/>
  <c r="T6685" i="1"/>
  <c r="S6685" i="1"/>
  <c r="R6685" i="1"/>
  <c r="Q6685" i="1"/>
  <c r="M6685" i="1"/>
  <c r="L6685" i="1"/>
  <c r="V6684" i="1"/>
  <c r="U6684" i="1"/>
  <c r="T6684" i="1"/>
  <c r="S6684" i="1"/>
  <c r="R6684" i="1"/>
  <c r="Q6684" i="1"/>
  <c r="M6684" i="1"/>
  <c r="L6684" i="1"/>
  <c r="W6683" i="1"/>
  <c r="V6683" i="1"/>
  <c r="U6683" i="1"/>
  <c r="T6683" i="1"/>
  <c r="S6683" i="1"/>
  <c r="R6683" i="1"/>
  <c r="Q6683" i="1"/>
  <c r="M6683" i="1"/>
  <c r="L6683" i="1"/>
  <c r="V6682" i="1"/>
  <c r="U6682" i="1"/>
  <c r="T6682" i="1"/>
  <c r="S6682" i="1"/>
  <c r="R6682" i="1"/>
  <c r="Q6682" i="1"/>
  <c r="M6682" i="1"/>
  <c r="L6682" i="1"/>
  <c r="V6681" i="1"/>
  <c r="U6681" i="1"/>
  <c r="T6681" i="1"/>
  <c r="S6681" i="1"/>
  <c r="R6681" i="1"/>
  <c r="Q6681" i="1"/>
  <c r="M6681" i="1"/>
  <c r="L6681" i="1"/>
  <c r="V6680" i="1"/>
  <c r="U6680" i="1"/>
  <c r="T6680" i="1"/>
  <c r="S6680" i="1"/>
  <c r="R6680" i="1"/>
  <c r="Q6680" i="1"/>
  <c r="M6680" i="1"/>
  <c r="L6680" i="1"/>
  <c r="V6679" i="1"/>
  <c r="U6679" i="1"/>
  <c r="T6679" i="1"/>
  <c r="S6679" i="1"/>
  <c r="R6679" i="1"/>
  <c r="Q6679" i="1"/>
  <c r="M6679" i="1"/>
  <c r="L6679" i="1"/>
  <c r="V6678" i="1"/>
  <c r="U6678" i="1"/>
  <c r="T6678" i="1"/>
  <c r="S6678" i="1"/>
  <c r="R6678" i="1"/>
  <c r="Q6678" i="1"/>
  <c r="M6678" i="1"/>
  <c r="L6678" i="1"/>
  <c r="V6677" i="1"/>
  <c r="U6677" i="1"/>
  <c r="T6677" i="1"/>
  <c r="S6677" i="1"/>
  <c r="R6677" i="1"/>
  <c r="Q6677" i="1"/>
  <c r="M6677" i="1"/>
  <c r="L6677" i="1"/>
  <c r="V6676" i="1"/>
  <c r="U6676" i="1"/>
  <c r="T6676" i="1"/>
  <c r="S6676" i="1"/>
  <c r="R6676" i="1"/>
  <c r="Q6676" i="1"/>
  <c r="M6676" i="1"/>
  <c r="L6676" i="1"/>
  <c r="V6675" i="1"/>
  <c r="U6675" i="1"/>
  <c r="T6675" i="1"/>
  <c r="S6675" i="1"/>
  <c r="R6675" i="1"/>
  <c r="Q6675" i="1"/>
  <c r="M6675" i="1"/>
  <c r="L6675" i="1"/>
  <c r="V6674" i="1"/>
  <c r="U6674" i="1"/>
  <c r="T6674" i="1"/>
  <c r="S6674" i="1"/>
  <c r="R6674" i="1"/>
  <c r="Q6674" i="1"/>
  <c r="M6674" i="1"/>
  <c r="L6674" i="1"/>
  <c r="V6673" i="1"/>
  <c r="U6673" i="1"/>
  <c r="T6673" i="1"/>
  <c r="S6673" i="1"/>
  <c r="R6673" i="1"/>
  <c r="Q6673" i="1"/>
  <c r="M6673" i="1"/>
  <c r="L6673" i="1"/>
  <c r="V6672" i="1"/>
  <c r="U6672" i="1"/>
  <c r="T6672" i="1"/>
  <c r="S6672" i="1"/>
  <c r="R6672" i="1"/>
  <c r="Q6672" i="1"/>
  <c r="M6672" i="1"/>
  <c r="L6672" i="1"/>
  <c r="V6671" i="1"/>
  <c r="U6671" i="1"/>
  <c r="T6671" i="1"/>
  <c r="S6671" i="1"/>
  <c r="R6671" i="1"/>
  <c r="Q6671" i="1"/>
  <c r="M6671" i="1"/>
  <c r="L6671" i="1"/>
  <c r="V6670" i="1"/>
  <c r="U6670" i="1"/>
  <c r="T6670" i="1"/>
  <c r="S6670" i="1"/>
  <c r="R6670" i="1"/>
  <c r="Q6670" i="1"/>
  <c r="M6670" i="1"/>
  <c r="L6670" i="1"/>
  <c r="V6669" i="1"/>
  <c r="U6669" i="1"/>
  <c r="T6669" i="1"/>
  <c r="S6669" i="1"/>
  <c r="R6669" i="1"/>
  <c r="Q6669" i="1"/>
  <c r="M6669" i="1"/>
  <c r="L6669" i="1"/>
  <c r="V6668" i="1"/>
  <c r="U6668" i="1"/>
  <c r="T6668" i="1"/>
  <c r="S6668" i="1"/>
  <c r="R6668" i="1"/>
  <c r="Q6668" i="1"/>
  <c r="M6668" i="1"/>
  <c r="L6668" i="1"/>
  <c r="V6667" i="1"/>
  <c r="U6667" i="1"/>
  <c r="T6667" i="1"/>
  <c r="S6667" i="1"/>
  <c r="R6667" i="1"/>
  <c r="Q6667" i="1"/>
  <c r="M6667" i="1"/>
  <c r="L6667" i="1"/>
  <c r="V6666" i="1"/>
  <c r="U6666" i="1"/>
  <c r="T6666" i="1"/>
  <c r="S6666" i="1"/>
  <c r="R6666" i="1"/>
  <c r="Q6666" i="1"/>
  <c r="M6666" i="1"/>
  <c r="L6666" i="1"/>
  <c r="V6665" i="1"/>
  <c r="U6665" i="1"/>
  <c r="T6665" i="1"/>
  <c r="S6665" i="1"/>
  <c r="R6665" i="1"/>
  <c r="Q6665" i="1"/>
  <c r="M6665" i="1"/>
  <c r="L6665" i="1"/>
  <c r="V6664" i="1"/>
  <c r="U6664" i="1"/>
  <c r="T6664" i="1"/>
  <c r="S6664" i="1"/>
  <c r="R6664" i="1"/>
  <c r="Q6664" i="1"/>
  <c r="M6664" i="1"/>
  <c r="L6664" i="1"/>
  <c r="V6663" i="1"/>
  <c r="U6663" i="1"/>
  <c r="T6663" i="1"/>
  <c r="S6663" i="1"/>
  <c r="R6663" i="1"/>
  <c r="Q6663" i="1"/>
  <c r="M6663" i="1"/>
  <c r="L6663" i="1"/>
  <c r="V6662" i="1"/>
  <c r="U6662" i="1"/>
  <c r="T6662" i="1"/>
  <c r="S6662" i="1"/>
  <c r="R6662" i="1"/>
  <c r="Q6662" i="1"/>
  <c r="M6662" i="1"/>
  <c r="L6662" i="1"/>
  <c r="V6661" i="1"/>
  <c r="U6661" i="1"/>
  <c r="T6661" i="1"/>
  <c r="S6661" i="1"/>
  <c r="R6661" i="1"/>
  <c r="Q6661" i="1"/>
  <c r="M6661" i="1"/>
  <c r="L6661" i="1"/>
  <c r="V6660" i="1"/>
  <c r="U6660" i="1"/>
  <c r="T6660" i="1"/>
  <c r="S6660" i="1"/>
  <c r="R6660" i="1"/>
  <c r="Q6660" i="1"/>
  <c r="M6660" i="1"/>
  <c r="L6660" i="1"/>
  <c r="V6659" i="1"/>
  <c r="U6659" i="1"/>
  <c r="T6659" i="1"/>
  <c r="S6659" i="1"/>
  <c r="R6659" i="1"/>
  <c r="Q6659" i="1"/>
  <c r="M6659" i="1"/>
  <c r="L6659" i="1"/>
  <c r="V6658" i="1"/>
  <c r="U6658" i="1"/>
  <c r="T6658" i="1"/>
  <c r="S6658" i="1"/>
  <c r="R6658" i="1"/>
  <c r="Q6658" i="1"/>
  <c r="M6658" i="1"/>
  <c r="L6658" i="1"/>
  <c r="V6657" i="1"/>
  <c r="U6657" i="1"/>
  <c r="T6657" i="1"/>
  <c r="S6657" i="1"/>
  <c r="R6657" i="1"/>
  <c r="Q6657" i="1"/>
  <c r="M6657" i="1"/>
  <c r="L6657" i="1"/>
  <c r="V6656" i="1"/>
  <c r="U6656" i="1"/>
  <c r="T6656" i="1"/>
  <c r="S6656" i="1"/>
  <c r="R6656" i="1"/>
  <c r="Q6656" i="1"/>
  <c r="M6656" i="1"/>
  <c r="L6656" i="1"/>
  <c r="V6655" i="1"/>
  <c r="U6655" i="1"/>
  <c r="T6655" i="1"/>
  <c r="S6655" i="1"/>
  <c r="R6655" i="1"/>
  <c r="Q6655" i="1"/>
  <c r="M6655" i="1"/>
  <c r="L6655" i="1"/>
  <c r="V6654" i="1"/>
  <c r="U6654" i="1"/>
  <c r="T6654" i="1"/>
  <c r="S6654" i="1"/>
  <c r="R6654" i="1"/>
  <c r="Q6654" i="1"/>
  <c r="M6654" i="1"/>
  <c r="L6654" i="1"/>
  <c r="V6653" i="1"/>
  <c r="U6653" i="1"/>
  <c r="T6653" i="1"/>
  <c r="S6653" i="1"/>
  <c r="R6653" i="1"/>
  <c r="Q6653" i="1"/>
  <c r="M6653" i="1"/>
  <c r="L6653" i="1"/>
  <c r="V6652" i="1"/>
  <c r="U6652" i="1"/>
  <c r="T6652" i="1"/>
  <c r="S6652" i="1"/>
  <c r="R6652" i="1"/>
  <c r="Q6652" i="1"/>
  <c r="M6652" i="1"/>
  <c r="L6652" i="1"/>
  <c r="V6651" i="1"/>
  <c r="U6651" i="1"/>
  <c r="T6651" i="1"/>
  <c r="S6651" i="1"/>
  <c r="R6651" i="1"/>
  <c r="Q6651" i="1"/>
  <c r="M6651" i="1"/>
  <c r="L6651" i="1"/>
  <c r="V6650" i="1"/>
  <c r="U6650" i="1"/>
  <c r="T6650" i="1"/>
  <c r="S6650" i="1"/>
  <c r="R6650" i="1"/>
  <c r="Q6650" i="1"/>
  <c r="M6650" i="1"/>
  <c r="L6650" i="1"/>
  <c r="V6649" i="1"/>
  <c r="U6649" i="1"/>
  <c r="T6649" i="1"/>
  <c r="S6649" i="1"/>
  <c r="R6649" i="1"/>
  <c r="Q6649" i="1"/>
  <c r="M6649" i="1"/>
  <c r="L6649" i="1"/>
  <c r="V6648" i="1"/>
  <c r="U6648" i="1"/>
  <c r="T6648" i="1"/>
  <c r="S6648" i="1"/>
  <c r="R6648" i="1"/>
  <c r="Q6648" i="1"/>
  <c r="M6648" i="1"/>
  <c r="L6648" i="1"/>
  <c r="V6647" i="1"/>
  <c r="U6647" i="1"/>
  <c r="T6647" i="1"/>
  <c r="S6647" i="1"/>
  <c r="R6647" i="1"/>
  <c r="Q6647" i="1"/>
  <c r="M6647" i="1"/>
  <c r="L6647" i="1"/>
  <c r="V6646" i="1"/>
  <c r="U6646" i="1"/>
  <c r="T6646" i="1"/>
  <c r="S6646" i="1"/>
  <c r="R6646" i="1"/>
  <c r="Q6646" i="1"/>
  <c r="M6646" i="1"/>
  <c r="L6646" i="1"/>
  <c r="V6645" i="1"/>
  <c r="U6645" i="1"/>
  <c r="T6645" i="1"/>
  <c r="S6645" i="1"/>
  <c r="R6645" i="1"/>
  <c r="Q6645" i="1"/>
  <c r="M6645" i="1"/>
  <c r="L6645" i="1"/>
  <c r="V6644" i="1"/>
  <c r="U6644" i="1"/>
  <c r="T6644" i="1"/>
  <c r="S6644" i="1"/>
  <c r="R6644" i="1"/>
  <c r="Q6644" i="1"/>
  <c r="M6644" i="1"/>
  <c r="L6644" i="1"/>
  <c r="V6643" i="1"/>
  <c r="U6643" i="1"/>
  <c r="T6643" i="1"/>
  <c r="S6643" i="1"/>
  <c r="R6643" i="1"/>
  <c r="Q6643" i="1"/>
  <c r="M6643" i="1"/>
  <c r="L6643" i="1"/>
  <c r="V6642" i="1"/>
  <c r="U6642" i="1"/>
  <c r="T6642" i="1"/>
  <c r="S6642" i="1"/>
  <c r="R6642" i="1"/>
  <c r="Q6642" i="1"/>
  <c r="M6642" i="1"/>
  <c r="L6642" i="1"/>
  <c r="V6641" i="1"/>
  <c r="U6641" i="1"/>
  <c r="T6641" i="1"/>
  <c r="S6641" i="1"/>
  <c r="R6641" i="1"/>
  <c r="Q6641" i="1"/>
  <c r="M6641" i="1"/>
  <c r="L6641" i="1"/>
  <c r="V6640" i="1"/>
  <c r="U6640" i="1"/>
  <c r="T6640" i="1"/>
  <c r="S6640" i="1"/>
  <c r="R6640" i="1"/>
  <c r="Q6640" i="1"/>
  <c r="M6640" i="1"/>
  <c r="L6640" i="1"/>
  <c r="V6639" i="1"/>
  <c r="U6639" i="1"/>
  <c r="T6639" i="1"/>
  <c r="S6639" i="1"/>
  <c r="R6639" i="1"/>
  <c r="Q6639" i="1"/>
  <c r="M6639" i="1"/>
  <c r="L6639" i="1"/>
  <c r="V6638" i="1"/>
  <c r="U6638" i="1"/>
  <c r="T6638" i="1"/>
  <c r="S6638" i="1"/>
  <c r="R6638" i="1"/>
  <c r="Q6638" i="1"/>
  <c r="M6638" i="1"/>
  <c r="L6638" i="1"/>
  <c r="V6637" i="1"/>
  <c r="U6637" i="1"/>
  <c r="T6637" i="1"/>
  <c r="S6637" i="1"/>
  <c r="R6637" i="1"/>
  <c r="Q6637" i="1"/>
  <c r="M6637" i="1"/>
  <c r="L6637" i="1"/>
  <c r="V6636" i="1"/>
  <c r="U6636" i="1"/>
  <c r="T6636" i="1"/>
  <c r="S6636" i="1"/>
  <c r="R6636" i="1"/>
  <c r="Q6636" i="1"/>
  <c r="M6636" i="1"/>
  <c r="L6636" i="1"/>
  <c r="V6635" i="1"/>
  <c r="U6635" i="1"/>
  <c r="T6635" i="1"/>
  <c r="S6635" i="1"/>
  <c r="R6635" i="1"/>
  <c r="Q6635" i="1"/>
  <c r="M6635" i="1"/>
  <c r="L6635" i="1"/>
  <c r="V6634" i="1"/>
  <c r="U6634" i="1"/>
  <c r="T6634" i="1"/>
  <c r="S6634" i="1"/>
  <c r="R6634" i="1"/>
  <c r="Q6634" i="1"/>
  <c r="M6634" i="1"/>
  <c r="L6634" i="1"/>
  <c r="V6633" i="1"/>
  <c r="U6633" i="1"/>
  <c r="T6633" i="1"/>
  <c r="S6633" i="1"/>
  <c r="R6633" i="1"/>
  <c r="Q6633" i="1"/>
  <c r="M6633" i="1"/>
  <c r="L6633" i="1"/>
  <c r="V6632" i="1"/>
  <c r="U6632" i="1"/>
  <c r="T6632" i="1"/>
  <c r="S6632" i="1"/>
  <c r="R6632" i="1"/>
  <c r="Q6632" i="1"/>
  <c r="M6632" i="1"/>
  <c r="L6632" i="1"/>
  <c r="V6631" i="1"/>
  <c r="U6631" i="1"/>
  <c r="T6631" i="1"/>
  <c r="S6631" i="1"/>
  <c r="R6631" i="1"/>
  <c r="Q6631" i="1"/>
  <c r="M6631" i="1"/>
  <c r="L6631" i="1"/>
  <c r="V6630" i="1"/>
  <c r="U6630" i="1"/>
  <c r="T6630" i="1"/>
  <c r="S6630" i="1"/>
  <c r="R6630" i="1"/>
  <c r="Q6630" i="1"/>
  <c r="M6630" i="1"/>
  <c r="L6630" i="1"/>
  <c r="V6629" i="1"/>
  <c r="U6629" i="1"/>
  <c r="T6629" i="1"/>
  <c r="S6629" i="1"/>
  <c r="R6629" i="1"/>
  <c r="Q6629" i="1"/>
  <c r="M6629" i="1"/>
  <c r="L6629" i="1"/>
  <c r="V6628" i="1"/>
  <c r="U6628" i="1"/>
  <c r="T6628" i="1"/>
  <c r="S6628" i="1"/>
  <c r="R6628" i="1"/>
  <c r="Q6628" i="1"/>
  <c r="M6628" i="1"/>
  <c r="L6628" i="1"/>
  <c r="V6627" i="1"/>
  <c r="U6627" i="1"/>
  <c r="T6627" i="1"/>
  <c r="S6627" i="1"/>
  <c r="R6627" i="1"/>
  <c r="Q6627" i="1"/>
  <c r="M6627" i="1"/>
  <c r="L6627" i="1"/>
  <c r="V6626" i="1"/>
  <c r="U6626" i="1"/>
  <c r="T6626" i="1"/>
  <c r="S6626" i="1"/>
  <c r="R6626" i="1"/>
  <c r="Q6626" i="1"/>
  <c r="M6626" i="1"/>
  <c r="L6626" i="1"/>
  <c r="V6625" i="1"/>
  <c r="U6625" i="1"/>
  <c r="T6625" i="1"/>
  <c r="S6625" i="1"/>
  <c r="R6625" i="1"/>
  <c r="Q6625" i="1"/>
  <c r="M6625" i="1"/>
  <c r="L6625" i="1"/>
  <c r="V6624" i="1"/>
  <c r="U6624" i="1"/>
  <c r="T6624" i="1"/>
  <c r="S6624" i="1"/>
  <c r="R6624" i="1"/>
  <c r="Q6624" i="1"/>
  <c r="M6624" i="1"/>
  <c r="L6624" i="1"/>
  <c r="V6623" i="1"/>
  <c r="U6623" i="1"/>
  <c r="T6623" i="1"/>
  <c r="S6623" i="1"/>
  <c r="R6623" i="1"/>
  <c r="Q6623" i="1"/>
  <c r="M6623" i="1"/>
  <c r="L6623" i="1"/>
  <c r="V6622" i="1"/>
  <c r="U6622" i="1"/>
  <c r="T6622" i="1"/>
  <c r="S6622" i="1"/>
  <c r="R6622" i="1"/>
  <c r="Q6622" i="1"/>
  <c r="M6622" i="1"/>
  <c r="L6622" i="1"/>
  <c r="V6621" i="1"/>
  <c r="U6621" i="1"/>
  <c r="T6621" i="1"/>
  <c r="S6621" i="1"/>
  <c r="R6621" i="1"/>
  <c r="Q6621" i="1"/>
  <c r="M6621" i="1"/>
  <c r="L6621" i="1"/>
  <c r="V6620" i="1"/>
  <c r="U6620" i="1"/>
  <c r="T6620" i="1"/>
  <c r="S6620" i="1"/>
  <c r="R6620" i="1"/>
  <c r="Q6620" i="1"/>
  <c r="M6620" i="1"/>
  <c r="L6620" i="1"/>
  <c r="V6619" i="1"/>
  <c r="U6619" i="1"/>
  <c r="T6619" i="1"/>
  <c r="S6619" i="1"/>
  <c r="R6619" i="1"/>
  <c r="Q6619" i="1"/>
  <c r="M6619" i="1"/>
  <c r="L6619" i="1"/>
  <c r="V6618" i="1"/>
  <c r="U6618" i="1"/>
  <c r="T6618" i="1"/>
  <c r="S6618" i="1"/>
  <c r="R6618" i="1"/>
  <c r="Q6618" i="1"/>
  <c r="M6618" i="1"/>
  <c r="L6618" i="1"/>
  <c r="V6617" i="1"/>
  <c r="U6617" i="1"/>
  <c r="T6617" i="1"/>
  <c r="S6617" i="1"/>
  <c r="R6617" i="1"/>
  <c r="Q6617" i="1"/>
  <c r="M6617" i="1"/>
  <c r="L6617" i="1"/>
  <c r="V6616" i="1"/>
  <c r="U6616" i="1"/>
  <c r="T6616" i="1"/>
  <c r="S6616" i="1"/>
  <c r="R6616" i="1"/>
  <c r="Q6616" i="1"/>
  <c r="M6616" i="1"/>
  <c r="L6616" i="1"/>
  <c r="V6615" i="1"/>
  <c r="U6615" i="1"/>
  <c r="T6615" i="1"/>
  <c r="S6615" i="1"/>
  <c r="R6615" i="1"/>
  <c r="Q6615" i="1"/>
  <c r="M6615" i="1"/>
  <c r="L6615" i="1"/>
  <c r="V6614" i="1"/>
  <c r="U6614" i="1"/>
  <c r="T6614" i="1"/>
  <c r="S6614" i="1"/>
  <c r="R6614" i="1"/>
  <c r="Q6614" i="1"/>
  <c r="M6614" i="1"/>
  <c r="L6614" i="1"/>
  <c r="V6613" i="1"/>
  <c r="U6613" i="1"/>
  <c r="T6613" i="1"/>
  <c r="S6613" i="1"/>
  <c r="R6613" i="1"/>
  <c r="Q6613" i="1"/>
  <c r="M6613" i="1"/>
  <c r="L6613" i="1"/>
  <c r="V6612" i="1"/>
  <c r="U6612" i="1"/>
  <c r="T6612" i="1"/>
  <c r="S6612" i="1"/>
  <c r="R6612" i="1"/>
  <c r="Q6612" i="1"/>
  <c r="M6612" i="1"/>
  <c r="L6612" i="1"/>
  <c r="V6611" i="1"/>
  <c r="U6611" i="1"/>
  <c r="T6611" i="1"/>
  <c r="S6611" i="1"/>
  <c r="R6611" i="1"/>
  <c r="Q6611" i="1"/>
  <c r="M6611" i="1"/>
  <c r="L6611" i="1"/>
  <c r="V6610" i="1"/>
  <c r="U6610" i="1"/>
  <c r="T6610" i="1"/>
  <c r="S6610" i="1"/>
  <c r="R6610" i="1"/>
  <c r="Q6610" i="1"/>
  <c r="M6610" i="1"/>
  <c r="L6610" i="1"/>
  <c r="V6609" i="1"/>
  <c r="U6609" i="1"/>
  <c r="T6609" i="1"/>
  <c r="S6609" i="1"/>
  <c r="R6609" i="1"/>
  <c r="Q6609" i="1"/>
  <c r="M6609" i="1"/>
  <c r="L6609" i="1"/>
  <c r="V6608" i="1"/>
  <c r="U6608" i="1"/>
  <c r="T6608" i="1"/>
  <c r="S6608" i="1"/>
  <c r="R6608" i="1"/>
  <c r="Q6608" i="1"/>
  <c r="M6608" i="1"/>
  <c r="L6608" i="1"/>
  <c r="V6607" i="1"/>
  <c r="U6607" i="1"/>
  <c r="T6607" i="1"/>
  <c r="S6607" i="1"/>
  <c r="R6607" i="1"/>
  <c r="Q6607" i="1"/>
  <c r="M6607" i="1"/>
  <c r="L6607" i="1"/>
  <c r="V6606" i="1"/>
  <c r="U6606" i="1"/>
  <c r="T6606" i="1"/>
  <c r="S6606" i="1"/>
  <c r="R6606" i="1"/>
  <c r="Q6606" i="1"/>
  <c r="M6606" i="1"/>
  <c r="L6606" i="1"/>
  <c r="V6605" i="1"/>
  <c r="U6605" i="1"/>
  <c r="T6605" i="1"/>
  <c r="S6605" i="1"/>
  <c r="R6605" i="1"/>
  <c r="Q6605" i="1"/>
  <c r="M6605" i="1"/>
  <c r="L6605" i="1"/>
  <c r="V6604" i="1"/>
  <c r="U6604" i="1"/>
  <c r="T6604" i="1"/>
  <c r="S6604" i="1"/>
  <c r="R6604" i="1"/>
  <c r="Q6604" i="1"/>
  <c r="M6604" i="1"/>
  <c r="L6604" i="1"/>
  <c r="V6603" i="1"/>
  <c r="U6603" i="1"/>
  <c r="T6603" i="1"/>
  <c r="S6603" i="1"/>
  <c r="R6603" i="1"/>
  <c r="Q6603" i="1"/>
  <c r="M6603" i="1"/>
  <c r="L6603" i="1"/>
  <c r="V6602" i="1"/>
  <c r="U6602" i="1"/>
  <c r="T6602" i="1"/>
  <c r="S6602" i="1"/>
  <c r="R6602" i="1"/>
  <c r="Q6602" i="1"/>
  <c r="M6602" i="1"/>
  <c r="L6602" i="1"/>
  <c r="V6601" i="1"/>
  <c r="U6601" i="1"/>
  <c r="T6601" i="1"/>
  <c r="S6601" i="1"/>
  <c r="R6601" i="1"/>
  <c r="Q6601" i="1"/>
  <c r="M6601" i="1"/>
  <c r="L6601" i="1"/>
  <c r="V6600" i="1"/>
  <c r="U6600" i="1"/>
  <c r="T6600" i="1"/>
  <c r="S6600" i="1"/>
  <c r="R6600" i="1"/>
  <c r="Q6600" i="1"/>
  <c r="M6600" i="1"/>
  <c r="L6600" i="1"/>
  <c r="V6599" i="1"/>
  <c r="U6599" i="1"/>
  <c r="T6599" i="1"/>
  <c r="S6599" i="1"/>
  <c r="R6599" i="1"/>
  <c r="Q6599" i="1"/>
  <c r="M6599" i="1"/>
  <c r="L6599" i="1"/>
  <c r="V6598" i="1"/>
  <c r="U6598" i="1"/>
  <c r="T6598" i="1"/>
  <c r="S6598" i="1"/>
  <c r="R6598" i="1"/>
  <c r="Q6598" i="1"/>
  <c r="M6598" i="1"/>
  <c r="L6598" i="1"/>
  <c r="V6597" i="1"/>
  <c r="U6597" i="1"/>
  <c r="T6597" i="1"/>
  <c r="S6597" i="1"/>
  <c r="R6597" i="1"/>
  <c r="Q6597" i="1"/>
  <c r="M6597" i="1"/>
  <c r="L6597" i="1"/>
  <c r="V6596" i="1"/>
  <c r="U6596" i="1"/>
  <c r="T6596" i="1"/>
  <c r="S6596" i="1"/>
  <c r="R6596" i="1"/>
  <c r="Q6596" i="1"/>
  <c r="M6596" i="1"/>
  <c r="L6596" i="1"/>
  <c r="V6595" i="1"/>
  <c r="U6595" i="1"/>
  <c r="T6595" i="1"/>
  <c r="S6595" i="1"/>
  <c r="R6595" i="1"/>
  <c r="Q6595" i="1"/>
  <c r="M6595" i="1"/>
  <c r="L6595" i="1"/>
  <c r="V6594" i="1"/>
  <c r="U6594" i="1"/>
  <c r="T6594" i="1"/>
  <c r="S6594" i="1"/>
  <c r="R6594" i="1"/>
  <c r="Q6594" i="1"/>
  <c r="M6594" i="1"/>
  <c r="L6594" i="1"/>
  <c r="V6593" i="1"/>
  <c r="U6593" i="1"/>
  <c r="T6593" i="1"/>
  <c r="S6593" i="1"/>
  <c r="R6593" i="1"/>
  <c r="Q6593" i="1"/>
  <c r="M6593" i="1"/>
  <c r="L6593" i="1"/>
  <c r="V6592" i="1"/>
  <c r="U6592" i="1"/>
  <c r="T6592" i="1"/>
  <c r="S6592" i="1"/>
  <c r="R6592" i="1"/>
  <c r="Q6592" i="1"/>
  <c r="M6592" i="1"/>
  <c r="L6592" i="1"/>
  <c r="V6591" i="1"/>
  <c r="U6591" i="1"/>
  <c r="T6591" i="1"/>
  <c r="S6591" i="1"/>
  <c r="R6591" i="1"/>
  <c r="Q6591" i="1"/>
  <c r="M6591" i="1"/>
  <c r="L6591" i="1"/>
  <c r="V6590" i="1"/>
  <c r="U6590" i="1"/>
  <c r="T6590" i="1"/>
  <c r="S6590" i="1"/>
  <c r="R6590" i="1"/>
  <c r="Q6590" i="1"/>
  <c r="M6590" i="1"/>
  <c r="L6590" i="1"/>
  <c r="V6589" i="1"/>
  <c r="U6589" i="1"/>
  <c r="T6589" i="1"/>
  <c r="S6589" i="1"/>
  <c r="R6589" i="1"/>
  <c r="Q6589" i="1"/>
  <c r="M6589" i="1"/>
  <c r="L6589" i="1"/>
  <c r="V6588" i="1"/>
  <c r="U6588" i="1"/>
  <c r="T6588" i="1"/>
  <c r="S6588" i="1"/>
  <c r="R6588" i="1"/>
  <c r="Q6588" i="1"/>
  <c r="M6588" i="1"/>
  <c r="L6588" i="1"/>
  <c r="V6587" i="1"/>
  <c r="U6587" i="1"/>
  <c r="T6587" i="1"/>
  <c r="S6587" i="1"/>
  <c r="R6587" i="1"/>
  <c r="Q6587" i="1"/>
  <c r="M6587" i="1"/>
  <c r="L6587" i="1"/>
  <c r="V6586" i="1"/>
  <c r="U6586" i="1"/>
  <c r="T6586" i="1"/>
  <c r="S6586" i="1"/>
  <c r="R6586" i="1"/>
  <c r="Q6586" i="1"/>
  <c r="M6586" i="1"/>
  <c r="L6586" i="1"/>
  <c r="V6585" i="1"/>
  <c r="U6585" i="1"/>
  <c r="T6585" i="1"/>
  <c r="S6585" i="1"/>
  <c r="R6585" i="1"/>
  <c r="Q6585" i="1"/>
  <c r="M6585" i="1"/>
  <c r="L6585" i="1"/>
  <c r="V6584" i="1"/>
  <c r="U6584" i="1"/>
  <c r="T6584" i="1"/>
  <c r="S6584" i="1"/>
  <c r="R6584" i="1"/>
  <c r="Q6584" i="1"/>
  <c r="M6584" i="1"/>
  <c r="L6584" i="1"/>
  <c r="V6583" i="1"/>
  <c r="U6583" i="1"/>
  <c r="T6583" i="1"/>
  <c r="S6583" i="1"/>
  <c r="R6583" i="1"/>
  <c r="Q6583" i="1"/>
  <c r="M6583" i="1"/>
  <c r="L6583" i="1"/>
  <c r="V6582" i="1"/>
  <c r="U6582" i="1"/>
  <c r="T6582" i="1"/>
  <c r="S6582" i="1"/>
  <c r="R6582" i="1"/>
  <c r="Q6582" i="1"/>
  <c r="M6582" i="1"/>
  <c r="L6582" i="1"/>
  <c r="V6581" i="1"/>
  <c r="U6581" i="1"/>
  <c r="T6581" i="1"/>
  <c r="S6581" i="1"/>
  <c r="R6581" i="1"/>
  <c r="Q6581" i="1"/>
  <c r="M6581" i="1"/>
  <c r="L6581" i="1"/>
  <c r="V6580" i="1"/>
  <c r="U6580" i="1"/>
  <c r="T6580" i="1"/>
  <c r="S6580" i="1"/>
  <c r="R6580" i="1"/>
  <c r="Q6580" i="1"/>
  <c r="M6580" i="1"/>
  <c r="L6580" i="1"/>
  <c r="V6579" i="1"/>
  <c r="U6579" i="1"/>
  <c r="T6579" i="1"/>
  <c r="S6579" i="1"/>
  <c r="R6579" i="1"/>
  <c r="Q6579" i="1"/>
  <c r="M6579" i="1"/>
  <c r="L6579" i="1"/>
  <c r="V6578" i="1"/>
  <c r="U6578" i="1"/>
  <c r="T6578" i="1"/>
  <c r="S6578" i="1"/>
  <c r="R6578" i="1"/>
  <c r="Q6578" i="1"/>
  <c r="M6578" i="1"/>
  <c r="L6578" i="1"/>
  <c r="V6577" i="1"/>
  <c r="U6577" i="1"/>
  <c r="T6577" i="1"/>
  <c r="S6577" i="1"/>
  <c r="R6577" i="1"/>
  <c r="Q6577" i="1"/>
  <c r="M6577" i="1"/>
  <c r="L6577" i="1"/>
  <c r="V6576" i="1"/>
  <c r="U6576" i="1"/>
  <c r="T6576" i="1"/>
  <c r="S6576" i="1"/>
  <c r="R6576" i="1"/>
  <c r="Q6576" i="1"/>
  <c r="M6576" i="1"/>
  <c r="L6576" i="1"/>
  <c r="V6575" i="1"/>
  <c r="U6575" i="1"/>
  <c r="T6575" i="1"/>
  <c r="S6575" i="1"/>
  <c r="R6575" i="1"/>
  <c r="Q6575" i="1"/>
  <c r="M6575" i="1"/>
  <c r="L6575" i="1"/>
  <c r="V6574" i="1"/>
  <c r="U6574" i="1"/>
  <c r="T6574" i="1"/>
  <c r="S6574" i="1"/>
  <c r="R6574" i="1"/>
  <c r="Q6574" i="1"/>
  <c r="M6574" i="1"/>
  <c r="L6574" i="1"/>
  <c r="V6573" i="1"/>
  <c r="U6573" i="1"/>
  <c r="T6573" i="1"/>
  <c r="S6573" i="1"/>
  <c r="R6573" i="1"/>
  <c r="Q6573" i="1"/>
  <c r="M6573" i="1"/>
  <c r="L6573" i="1"/>
  <c r="V6572" i="1"/>
  <c r="U6572" i="1"/>
  <c r="T6572" i="1"/>
  <c r="S6572" i="1"/>
  <c r="R6572" i="1"/>
  <c r="Q6572" i="1"/>
  <c r="M6572" i="1"/>
  <c r="L6572" i="1"/>
  <c r="V6571" i="1"/>
  <c r="U6571" i="1"/>
  <c r="T6571" i="1"/>
  <c r="S6571" i="1"/>
  <c r="R6571" i="1"/>
  <c r="Q6571" i="1"/>
  <c r="M6571" i="1"/>
  <c r="L6571" i="1"/>
  <c r="V6570" i="1"/>
  <c r="U6570" i="1"/>
  <c r="T6570" i="1"/>
  <c r="S6570" i="1"/>
  <c r="R6570" i="1"/>
  <c r="Q6570" i="1"/>
  <c r="M6570" i="1"/>
  <c r="L6570" i="1"/>
  <c r="V6569" i="1"/>
  <c r="U6569" i="1"/>
  <c r="T6569" i="1"/>
  <c r="S6569" i="1"/>
  <c r="R6569" i="1"/>
  <c r="Q6569" i="1"/>
  <c r="M6569" i="1"/>
  <c r="L6569" i="1"/>
  <c r="V6568" i="1"/>
  <c r="U6568" i="1"/>
  <c r="T6568" i="1"/>
  <c r="S6568" i="1"/>
  <c r="R6568" i="1"/>
  <c r="Q6568" i="1"/>
  <c r="M6568" i="1"/>
  <c r="L6568" i="1"/>
  <c r="V6567" i="1"/>
  <c r="U6567" i="1"/>
  <c r="T6567" i="1"/>
  <c r="S6567" i="1"/>
  <c r="R6567" i="1"/>
  <c r="Q6567" i="1"/>
  <c r="M6567" i="1"/>
  <c r="L6567" i="1"/>
  <c r="V6566" i="1"/>
  <c r="U6566" i="1"/>
  <c r="T6566" i="1"/>
  <c r="S6566" i="1"/>
  <c r="R6566" i="1"/>
  <c r="Q6566" i="1"/>
  <c r="M6566" i="1"/>
  <c r="L6566" i="1"/>
  <c r="V6565" i="1"/>
  <c r="U6565" i="1"/>
  <c r="T6565" i="1"/>
  <c r="S6565" i="1"/>
  <c r="R6565" i="1"/>
  <c r="Q6565" i="1"/>
  <c r="M6565" i="1"/>
  <c r="L6565" i="1"/>
  <c r="V6564" i="1"/>
  <c r="U6564" i="1"/>
  <c r="T6564" i="1"/>
  <c r="S6564" i="1"/>
  <c r="R6564" i="1"/>
  <c r="Q6564" i="1"/>
  <c r="M6564" i="1"/>
  <c r="L6564" i="1"/>
  <c r="V6563" i="1"/>
  <c r="U6563" i="1"/>
  <c r="T6563" i="1"/>
  <c r="S6563" i="1"/>
  <c r="R6563" i="1"/>
  <c r="Q6563" i="1"/>
  <c r="M6563" i="1"/>
  <c r="L6563" i="1"/>
  <c r="V6562" i="1"/>
  <c r="U6562" i="1"/>
  <c r="T6562" i="1"/>
  <c r="S6562" i="1"/>
  <c r="R6562" i="1"/>
  <c r="Q6562" i="1"/>
  <c r="M6562" i="1"/>
  <c r="L6562" i="1"/>
  <c r="V6561" i="1"/>
  <c r="U6561" i="1"/>
  <c r="T6561" i="1"/>
  <c r="S6561" i="1"/>
  <c r="R6561" i="1"/>
  <c r="Q6561" i="1"/>
  <c r="M6561" i="1"/>
  <c r="L6561" i="1"/>
  <c r="V6560" i="1"/>
  <c r="U6560" i="1"/>
  <c r="T6560" i="1"/>
  <c r="S6560" i="1"/>
  <c r="R6560" i="1"/>
  <c r="Q6560" i="1"/>
  <c r="M6560" i="1"/>
  <c r="L6560" i="1"/>
  <c r="V6559" i="1"/>
  <c r="U6559" i="1"/>
  <c r="T6559" i="1"/>
  <c r="S6559" i="1"/>
  <c r="R6559" i="1"/>
  <c r="Q6559" i="1"/>
  <c r="M6559" i="1"/>
  <c r="L6559" i="1"/>
  <c r="V6558" i="1"/>
  <c r="U6558" i="1"/>
  <c r="T6558" i="1"/>
  <c r="S6558" i="1"/>
  <c r="R6558" i="1"/>
  <c r="Q6558" i="1"/>
  <c r="M6558" i="1"/>
  <c r="L6558" i="1"/>
  <c r="V6557" i="1"/>
  <c r="U6557" i="1"/>
  <c r="T6557" i="1"/>
  <c r="S6557" i="1"/>
  <c r="R6557" i="1"/>
  <c r="Q6557" i="1"/>
  <c r="M6557" i="1"/>
  <c r="L6557" i="1"/>
  <c r="V6556" i="1"/>
  <c r="U6556" i="1"/>
  <c r="T6556" i="1"/>
  <c r="S6556" i="1"/>
  <c r="R6556" i="1"/>
  <c r="Q6556" i="1"/>
  <c r="M6556" i="1"/>
  <c r="L6556" i="1"/>
  <c r="V6555" i="1"/>
  <c r="U6555" i="1"/>
  <c r="T6555" i="1"/>
  <c r="S6555" i="1"/>
  <c r="R6555" i="1"/>
  <c r="Q6555" i="1"/>
  <c r="M6555" i="1"/>
  <c r="L6555" i="1"/>
  <c r="V6554" i="1"/>
  <c r="U6554" i="1"/>
  <c r="T6554" i="1"/>
  <c r="S6554" i="1"/>
  <c r="R6554" i="1"/>
  <c r="Q6554" i="1"/>
  <c r="M6554" i="1"/>
  <c r="L6554" i="1"/>
  <c r="V6553" i="1"/>
  <c r="U6553" i="1"/>
  <c r="T6553" i="1"/>
  <c r="S6553" i="1"/>
  <c r="R6553" i="1"/>
  <c r="Q6553" i="1"/>
  <c r="M6553" i="1"/>
  <c r="L6553" i="1"/>
  <c r="V6552" i="1"/>
  <c r="U6552" i="1"/>
  <c r="T6552" i="1"/>
  <c r="S6552" i="1"/>
  <c r="R6552" i="1"/>
  <c r="Q6552" i="1"/>
  <c r="M6552" i="1"/>
  <c r="L6552" i="1"/>
  <c r="V6551" i="1"/>
  <c r="U6551" i="1"/>
  <c r="T6551" i="1"/>
  <c r="S6551" i="1"/>
  <c r="R6551" i="1"/>
  <c r="Q6551" i="1"/>
  <c r="M6551" i="1"/>
  <c r="L6551" i="1"/>
  <c r="V6550" i="1"/>
  <c r="U6550" i="1"/>
  <c r="T6550" i="1"/>
  <c r="S6550" i="1"/>
  <c r="R6550" i="1"/>
  <c r="Q6550" i="1"/>
  <c r="M6550" i="1"/>
  <c r="L6550" i="1"/>
  <c r="V6549" i="1"/>
  <c r="U6549" i="1"/>
  <c r="T6549" i="1"/>
  <c r="S6549" i="1"/>
  <c r="R6549" i="1"/>
  <c r="Q6549" i="1"/>
  <c r="M6549" i="1"/>
  <c r="L6549" i="1"/>
  <c r="V6548" i="1"/>
  <c r="U6548" i="1"/>
  <c r="T6548" i="1"/>
  <c r="S6548" i="1"/>
  <c r="R6548" i="1"/>
  <c r="Q6548" i="1"/>
  <c r="M6548" i="1"/>
  <c r="L6548" i="1"/>
  <c r="V6547" i="1"/>
  <c r="U6547" i="1"/>
  <c r="T6547" i="1"/>
  <c r="S6547" i="1"/>
  <c r="R6547" i="1"/>
  <c r="Q6547" i="1"/>
  <c r="M6547" i="1"/>
  <c r="L6547" i="1"/>
  <c r="V6546" i="1"/>
  <c r="U6546" i="1"/>
  <c r="T6546" i="1"/>
  <c r="S6546" i="1"/>
  <c r="R6546" i="1"/>
  <c r="Q6546" i="1"/>
  <c r="M6546" i="1"/>
  <c r="L6546" i="1"/>
  <c r="V6545" i="1"/>
  <c r="U6545" i="1"/>
  <c r="T6545" i="1"/>
  <c r="S6545" i="1"/>
  <c r="R6545" i="1"/>
  <c r="Q6545" i="1"/>
  <c r="M6545" i="1"/>
  <c r="L6545" i="1"/>
  <c r="V6544" i="1"/>
  <c r="U6544" i="1"/>
  <c r="T6544" i="1"/>
  <c r="S6544" i="1"/>
  <c r="R6544" i="1"/>
  <c r="Q6544" i="1"/>
  <c r="M6544" i="1"/>
  <c r="L6544" i="1"/>
  <c r="V6543" i="1"/>
  <c r="U6543" i="1"/>
  <c r="T6543" i="1"/>
  <c r="S6543" i="1"/>
  <c r="R6543" i="1"/>
  <c r="Q6543" i="1"/>
  <c r="M6543" i="1"/>
  <c r="L6543" i="1"/>
  <c r="V6542" i="1"/>
  <c r="U6542" i="1"/>
  <c r="T6542" i="1"/>
  <c r="S6542" i="1"/>
  <c r="R6542" i="1"/>
  <c r="Q6542" i="1"/>
  <c r="M6542" i="1"/>
  <c r="L6542" i="1"/>
  <c r="V6541" i="1"/>
  <c r="U6541" i="1"/>
  <c r="T6541" i="1"/>
  <c r="S6541" i="1"/>
  <c r="R6541" i="1"/>
  <c r="Q6541" i="1"/>
  <c r="M6541" i="1"/>
  <c r="L6541" i="1"/>
  <c r="V6540" i="1"/>
  <c r="U6540" i="1"/>
  <c r="T6540" i="1"/>
  <c r="S6540" i="1"/>
  <c r="R6540" i="1"/>
  <c r="Q6540" i="1"/>
  <c r="M6540" i="1"/>
  <c r="L6540" i="1"/>
  <c r="V6539" i="1"/>
  <c r="U6539" i="1"/>
  <c r="T6539" i="1"/>
  <c r="S6539" i="1"/>
  <c r="R6539" i="1"/>
  <c r="Q6539" i="1"/>
  <c r="M6539" i="1"/>
  <c r="L6539" i="1"/>
  <c r="V6538" i="1"/>
  <c r="U6538" i="1"/>
  <c r="T6538" i="1"/>
  <c r="S6538" i="1"/>
  <c r="R6538" i="1"/>
  <c r="Q6538" i="1"/>
  <c r="M6538" i="1"/>
  <c r="L6538" i="1"/>
  <c r="V6537" i="1"/>
  <c r="U6537" i="1"/>
  <c r="T6537" i="1"/>
  <c r="S6537" i="1"/>
  <c r="R6537" i="1"/>
  <c r="Q6537" i="1"/>
  <c r="M6537" i="1"/>
  <c r="L6537" i="1"/>
  <c r="V6536" i="1"/>
  <c r="U6536" i="1"/>
  <c r="T6536" i="1"/>
  <c r="S6536" i="1"/>
  <c r="R6536" i="1"/>
  <c r="Q6536" i="1"/>
  <c r="M6536" i="1"/>
  <c r="L6536" i="1"/>
  <c r="V6535" i="1"/>
  <c r="U6535" i="1"/>
  <c r="T6535" i="1"/>
  <c r="S6535" i="1"/>
  <c r="R6535" i="1"/>
  <c r="Q6535" i="1"/>
  <c r="M6535" i="1"/>
  <c r="L6535" i="1"/>
  <c r="V6534" i="1"/>
  <c r="U6534" i="1"/>
  <c r="T6534" i="1"/>
  <c r="S6534" i="1"/>
  <c r="R6534" i="1"/>
  <c r="Q6534" i="1"/>
  <c r="M6534" i="1"/>
  <c r="L6534" i="1"/>
  <c r="V6533" i="1"/>
  <c r="U6533" i="1"/>
  <c r="T6533" i="1"/>
  <c r="S6533" i="1"/>
  <c r="R6533" i="1"/>
  <c r="Q6533" i="1"/>
  <c r="M6533" i="1"/>
  <c r="L6533" i="1"/>
  <c r="V6532" i="1"/>
  <c r="U6532" i="1"/>
  <c r="T6532" i="1"/>
  <c r="S6532" i="1"/>
  <c r="R6532" i="1"/>
  <c r="Q6532" i="1"/>
  <c r="M6532" i="1"/>
  <c r="L6532" i="1"/>
  <c r="V6531" i="1"/>
  <c r="U6531" i="1"/>
  <c r="T6531" i="1"/>
  <c r="S6531" i="1"/>
  <c r="R6531" i="1"/>
  <c r="Q6531" i="1"/>
  <c r="M6531" i="1"/>
  <c r="L6531" i="1"/>
  <c r="V6530" i="1"/>
  <c r="U6530" i="1"/>
  <c r="T6530" i="1"/>
  <c r="S6530" i="1"/>
  <c r="R6530" i="1"/>
  <c r="Q6530" i="1"/>
  <c r="M6530" i="1"/>
  <c r="L6530" i="1"/>
  <c r="V6529" i="1"/>
  <c r="U6529" i="1"/>
  <c r="T6529" i="1"/>
  <c r="S6529" i="1"/>
  <c r="R6529" i="1"/>
  <c r="Q6529" i="1"/>
  <c r="M6529" i="1"/>
  <c r="L6529" i="1"/>
  <c r="V6528" i="1"/>
  <c r="U6528" i="1"/>
  <c r="T6528" i="1"/>
  <c r="S6528" i="1"/>
  <c r="R6528" i="1"/>
  <c r="Q6528" i="1"/>
  <c r="M6528" i="1"/>
  <c r="L6528" i="1"/>
  <c r="V6527" i="1"/>
  <c r="U6527" i="1"/>
  <c r="T6527" i="1"/>
  <c r="S6527" i="1"/>
  <c r="R6527" i="1"/>
  <c r="Q6527" i="1"/>
  <c r="M6527" i="1"/>
  <c r="L6527" i="1"/>
  <c r="V6526" i="1"/>
  <c r="U6526" i="1"/>
  <c r="T6526" i="1"/>
  <c r="S6526" i="1"/>
  <c r="R6526" i="1"/>
  <c r="Q6526" i="1"/>
  <c r="M6526" i="1"/>
  <c r="L6526" i="1"/>
  <c r="V6525" i="1"/>
  <c r="U6525" i="1"/>
  <c r="T6525" i="1"/>
  <c r="S6525" i="1"/>
  <c r="R6525" i="1"/>
  <c r="Q6525" i="1"/>
  <c r="M6525" i="1"/>
  <c r="L6525" i="1"/>
  <c r="V6524" i="1"/>
  <c r="U6524" i="1"/>
  <c r="T6524" i="1"/>
  <c r="S6524" i="1"/>
  <c r="R6524" i="1"/>
  <c r="Q6524" i="1"/>
  <c r="M6524" i="1"/>
  <c r="L6524" i="1"/>
  <c r="V6523" i="1"/>
  <c r="U6523" i="1"/>
  <c r="T6523" i="1"/>
  <c r="S6523" i="1"/>
  <c r="R6523" i="1"/>
  <c r="Q6523" i="1"/>
  <c r="M6523" i="1"/>
  <c r="L6523" i="1"/>
  <c r="V6522" i="1"/>
  <c r="U6522" i="1"/>
  <c r="T6522" i="1"/>
  <c r="S6522" i="1"/>
  <c r="R6522" i="1"/>
  <c r="Q6522" i="1"/>
  <c r="M6522" i="1"/>
  <c r="L6522" i="1"/>
  <c r="V6521" i="1"/>
  <c r="U6521" i="1"/>
  <c r="T6521" i="1"/>
  <c r="S6521" i="1"/>
  <c r="R6521" i="1"/>
  <c r="Q6521" i="1"/>
  <c r="M6521" i="1"/>
  <c r="L6521" i="1"/>
  <c r="V6520" i="1"/>
  <c r="U6520" i="1"/>
  <c r="T6520" i="1"/>
  <c r="S6520" i="1"/>
  <c r="R6520" i="1"/>
  <c r="Q6520" i="1"/>
  <c r="M6520" i="1"/>
  <c r="L6520" i="1"/>
  <c r="V6519" i="1"/>
  <c r="U6519" i="1"/>
  <c r="T6519" i="1"/>
  <c r="S6519" i="1"/>
  <c r="R6519" i="1"/>
  <c r="Q6519" i="1"/>
  <c r="M6519" i="1"/>
  <c r="L6519" i="1"/>
  <c r="V6518" i="1"/>
  <c r="U6518" i="1"/>
  <c r="T6518" i="1"/>
  <c r="S6518" i="1"/>
  <c r="R6518" i="1"/>
  <c r="Q6518" i="1"/>
  <c r="M6518" i="1"/>
  <c r="L6518" i="1"/>
  <c r="V6517" i="1"/>
  <c r="U6517" i="1"/>
  <c r="T6517" i="1"/>
  <c r="S6517" i="1"/>
  <c r="R6517" i="1"/>
  <c r="Q6517" i="1"/>
  <c r="M6517" i="1"/>
  <c r="L6517" i="1"/>
  <c r="V6516" i="1"/>
  <c r="U6516" i="1"/>
  <c r="T6516" i="1"/>
  <c r="S6516" i="1"/>
  <c r="R6516" i="1"/>
  <c r="Q6516" i="1"/>
  <c r="M6516" i="1"/>
  <c r="L6516" i="1"/>
  <c r="V6515" i="1"/>
  <c r="U6515" i="1"/>
  <c r="T6515" i="1"/>
  <c r="S6515" i="1"/>
  <c r="R6515" i="1"/>
  <c r="Q6515" i="1"/>
  <c r="M6515" i="1"/>
  <c r="L6515" i="1"/>
  <c r="V6514" i="1"/>
  <c r="U6514" i="1"/>
  <c r="T6514" i="1"/>
  <c r="S6514" i="1"/>
  <c r="R6514" i="1"/>
  <c r="Q6514" i="1"/>
  <c r="M6514" i="1"/>
  <c r="L6514" i="1"/>
  <c r="V6513" i="1"/>
  <c r="U6513" i="1"/>
  <c r="T6513" i="1"/>
  <c r="S6513" i="1"/>
  <c r="R6513" i="1"/>
  <c r="Q6513" i="1"/>
  <c r="M6513" i="1"/>
  <c r="L6513" i="1"/>
  <c r="V6512" i="1"/>
  <c r="U6512" i="1"/>
  <c r="T6512" i="1"/>
  <c r="S6512" i="1"/>
  <c r="R6512" i="1"/>
  <c r="Q6512" i="1"/>
  <c r="M6512" i="1"/>
  <c r="L6512" i="1"/>
  <c r="V6511" i="1"/>
  <c r="U6511" i="1"/>
  <c r="T6511" i="1"/>
  <c r="S6511" i="1"/>
  <c r="R6511" i="1"/>
  <c r="Q6511" i="1"/>
  <c r="M6511" i="1"/>
  <c r="L6511" i="1"/>
  <c r="V6510" i="1"/>
  <c r="U6510" i="1"/>
  <c r="T6510" i="1"/>
  <c r="S6510" i="1"/>
  <c r="R6510" i="1"/>
  <c r="Q6510" i="1"/>
  <c r="M6510" i="1"/>
  <c r="L6510" i="1"/>
  <c r="V6509" i="1"/>
  <c r="U6509" i="1"/>
  <c r="T6509" i="1"/>
  <c r="S6509" i="1"/>
  <c r="R6509" i="1"/>
  <c r="Q6509" i="1"/>
  <c r="M6509" i="1"/>
  <c r="L6509" i="1"/>
  <c r="V6508" i="1"/>
  <c r="U6508" i="1"/>
  <c r="T6508" i="1"/>
  <c r="S6508" i="1"/>
  <c r="R6508" i="1"/>
  <c r="Q6508" i="1"/>
  <c r="M6508" i="1"/>
  <c r="L6508" i="1"/>
  <c r="V6507" i="1"/>
  <c r="U6507" i="1"/>
  <c r="T6507" i="1"/>
  <c r="S6507" i="1"/>
  <c r="R6507" i="1"/>
  <c r="Q6507" i="1"/>
  <c r="M6507" i="1"/>
  <c r="L6507" i="1"/>
  <c r="V6506" i="1"/>
  <c r="U6506" i="1"/>
  <c r="T6506" i="1"/>
  <c r="S6506" i="1"/>
  <c r="R6506" i="1"/>
  <c r="Q6506" i="1"/>
  <c r="M6506" i="1"/>
  <c r="L6506" i="1"/>
  <c r="V6505" i="1"/>
  <c r="U6505" i="1"/>
  <c r="T6505" i="1"/>
  <c r="S6505" i="1"/>
  <c r="R6505" i="1"/>
  <c r="Q6505" i="1"/>
  <c r="M6505" i="1"/>
  <c r="L6505" i="1"/>
  <c r="V6504" i="1"/>
  <c r="U6504" i="1"/>
  <c r="T6504" i="1"/>
  <c r="S6504" i="1"/>
  <c r="R6504" i="1"/>
  <c r="Q6504" i="1"/>
  <c r="M6504" i="1"/>
  <c r="L6504" i="1"/>
  <c r="V6503" i="1"/>
  <c r="U6503" i="1"/>
  <c r="T6503" i="1"/>
  <c r="S6503" i="1"/>
  <c r="R6503" i="1"/>
  <c r="Q6503" i="1"/>
  <c r="M6503" i="1"/>
  <c r="L6503" i="1"/>
  <c r="V6502" i="1"/>
  <c r="U6502" i="1"/>
  <c r="T6502" i="1"/>
  <c r="S6502" i="1"/>
  <c r="R6502" i="1"/>
  <c r="Q6502" i="1"/>
  <c r="M6502" i="1"/>
  <c r="L6502" i="1"/>
  <c r="V6501" i="1"/>
  <c r="U6501" i="1"/>
  <c r="T6501" i="1"/>
  <c r="S6501" i="1"/>
  <c r="R6501" i="1"/>
  <c r="Q6501" i="1"/>
  <c r="M6501" i="1"/>
  <c r="L6501" i="1"/>
  <c r="V6500" i="1"/>
  <c r="U6500" i="1"/>
  <c r="T6500" i="1"/>
  <c r="S6500" i="1"/>
  <c r="R6500" i="1"/>
  <c r="Q6500" i="1"/>
  <c r="M6500" i="1"/>
  <c r="L6500" i="1"/>
  <c r="V6499" i="1"/>
  <c r="U6499" i="1"/>
  <c r="T6499" i="1"/>
  <c r="S6499" i="1"/>
  <c r="R6499" i="1"/>
  <c r="Q6499" i="1"/>
  <c r="M6499" i="1"/>
  <c r="L6499" i="1"/>
  <c r="V6498" i="1"/>
  <c r="U6498" i="1"/>
  <c r="T6498" i="1"/>
  <c r="S6498" i="1"/>
  <c r="R6498" i="1"/>
  <c r="Q6498" i="1"/>
  <c r="M6498" i="1"/>
  <c r="L6498" i="1"/>
  <c r="V6497" i="1"/>
  <c r="U6497" i="1"/>
  <c r="T6497" i="1"/>
  <c r="S6497" i="1"/>
  <c r="R6497" i="1"/>
  <c r="Q6497" i="1"/>
  <c r="M6497" i="1"/>
  <c r="L6497" i="1"/>
  <c r="V6496" i="1"/>
  <c r="U6496" i="1"/>
  <c r="T6496" i="1"/>
  <c r="S6496" i="1"/>
  <c r="R6496" i="1"/>
  <c r="Q6496" i="1"/>
  <c r="M6496" i="1"/>
  <c r="L6496" i="1"/>
  <c r="V6495" i="1"/>
  <c r="U6495" i="1"/>
  <c r="T6495" i="1"/>
  <c r="S6495" i="1"/>
  <c r="R6495" i="1"/>
  <c r="Q6495" i="1"/>
  <c r="M6495" i="1"/>
  <c r="L6495" i="1"/>
  <c r="V6494" i="1"/>
  <c r="U6494" i="1"/>
  <c r="T6494" i="1"/>
  <c r="S6494" i="1"/>
  <c r="R6494" i="1"/>
  <c r="Q6494" i="1"/>
  <c r="M6494" i="1"/>
  <c r="L6494" i="1"/>
  <c r="V6493" i="1"/>
  <c r="U6493" i="1"/>
  <c r="T6493" i="1"/>
  <c r="S6493" i="1"/>
  <c r="R6493" i="1"/>
  <c r="Q6493" i="1"/>
  <c r="M6493" i="1"/>
  <c r="L6493" i="1"/>
  <c r="V6492" i="1"/>
  <c r="U6492" i="1"/>
  <c r="T6492" i="1"/>
  <c r="S6492" i="1"/>
  <c r="R6492" i="1"/>
  <c r="Q6492" i="1"/>
  <c r="M6492" i="1"/>
  <c r="L6492" i="1"/>
  <c r="V6491" i="1"/>
  <c r="U6491" i="1"/>
  <c r="T6491" i="1"/>
  <c r="S6491" i="1"/>
  <c r="R6491" i="1"/>
  <c r="Q6491" i="1"/>
  <c r="M6491" i="1"/>
  <c r="L6491" i="1"/>
  <c r="V6490" i="1"/>
  <c r="U6490" i="1"/>
  <c r="T6490" i="1"/>
  <c r="S6490" i="1"/>
  <c r="R6490" i="1"/>
  <c r="Q6490" i="1"/>
  <c r="M6490" i="1"/>
  <c r="L6490" i="1"/>
  <c r="V6489" i="1"/>
  <c r="U6489" i="1"/>
  <c r="T6489" i="1"/>
  <c r="S6489" i="1"/>
  <c r="R6489" i="1"/>
  <c r="Q6489" i="1"/>
  <c r="M6489" i="1"/>
  <c r="L6489" i="1"/>
  <c r="V6488" i="1"/>
  <c r="U6488" i="1"/>
  <c r="T6488" i="1"/>
  <c r="S6488" i="1"/>
  <c r="R6488" i="1"/>
  <c r="Q6488" i="1"/>
  <c r="M6488" i="1"/>
  <c r="L6488" i="1"/>
  <c r="V6487" i="1"/>
  <c r="U6487" i="1"/>
  <c r="T6487" i="1"/>
  <c r="S6487" i="1"/>
  <c r="R6487" i="1"/>
  <c r="Q6487" i="1"/>
  <c r="M6487" i="1"/>
  <c r="L6487" i="1"/>
  <c r="V6486" i="1"/>
  <c r="U6486" i="1"/>
  <c r="T6486" i="1"/>
  <c r="S6486" i="1"/>
  <c r="R6486" i="1"/>
  <c r="Q6486" i="1"/>
  <c r="M6486" i="1"/>
  <c r="L6486" i="1"/>
  <c r="V6485" i="1"/>
  <c r="U6485" i="1"/>
  <c r="T6485" i="1"/>
  <c r="S6485" i="1"/>
  <c r="R6485" i="1"/>
  <c r="Q6485" i="1"/>
  <c r="M6485" i="1"/>
  <c r="L6485" i="1"/>
  <c r="V6484" i="1"/>
  <c r="U6484" i="1"/>
  <c r="T6484" i="1"/>
  <c r="S6484" i="1"/>
  <c r="R6484" i="1"/>
  <c r="Q6484" i="1"/>
  <c r="M6484" i="1"/>
  <c r="L6484" i="1"/>
  <c r="V6483" i="1"/>
  <c r="U6483" i="1"/>
  <c r="T6483" i="1"/>
  <c r="S6483" i="1"/>
  <c r="R6483" i="1"/>
  <c r="Q6483" i="1"/>
  <c r="M6483" i="1"/>
  <c r="L6483" i="1"/>
  <c r="V6482" i="1"/>
  <c r="U6482" i="1"/>
  <c r="T6482" i="1"/>
  <c r="S6482" i="1"/>
  <c r="R6482" i="1"/>
  <c r="Q6482" i="1"/>
  <c r="M6482" i="1"/>
  <c r="L6482" i="1"/>
  <c r="V6481" i="1"/>
  <c r="U6481" i="1"/>
  <c r="T6481" i="1"/>
  <c r="S6481" i="1"/>
  <c r="R6481" i="1"/>
  <c r="Q6481" i="1"/>
  <c r="M6481" i="1"/>
  <c r="L6481" i="1"/>
  <c r="V6480" i="1"/>
  <c r="U6480" i="1"/>
  <c r="T6480" i="1"/>
  <c r="S6480" i="1"/>
  <c r="R6480" i="1"/>
  <c r="Q6480" i="1"/>
  <c r="M6480" i="1"/>
  <c r="L6480" i="1"/>
  <c r="V6479" i="1"/>
  <c r="U6479" i="1"/>
  <c r="T6479" i="1"/>
  <c r="S6479" i="1"/>
  <c r="R6479" i="1"/>
  <c r="Q6479" i="1"/>
  <c r="M6479" i="1"/>
  <c r="L6479" i="1"/>
  <c r="V6478" i="1"/>
  <c r="U6478" i="1"/>
  <c r="T6478" i="1"/>
  <c r="S6478" i="1"/>
  <c r="R6478" i="1"/>
  <c r="Q6478" i="1"/>
  <c r="M6478" i="1"/>
  <c r="L6478" i="1"/>
  <c r="V6477" i="1"/>
  <c r="U6477" i="1"/>
  <c r="T6477" i="1"/>
  <c r="S6477" i="1"/>
  <c r="R6477" i="1"/>
  <c r="Q6477" i="1"/>
  <c r="M6477" i="1"/>
  <c r="L6477" i="1"/>
  <c r="V6476" i="1"/>
  <c r="U6476" i="1"/>
  <c r="T6476" i="1"/>
  <c r="S6476" i="1"/>
  <c r="R6476" i="1"/>
  <c r="Q6476" i="1"/>
  <c r="M6476" i="1"/>
  <c r="L6476" i="1"/>
  <c r="V6475" i="1"/>
  <c r="U6475" i="1"/>
  <c r="T6475" i="1"/>
  <c r="S6475" i="1"/>
  <c r="R6475" i="1"/>
  <c r="Q6475" i="1"/>
  <c r="M6475" i="1"/>
  <c r="L6475" i="1"/>
  <c r="V6474" i="1"/>
  <c r="U6474" i="1"/>
  <c r="T6474" i="1"/>
  <c r="S6474" i="1"/>
  <c r="R6474" i="1"/>
  <c r="Q6474" i="1"/>
  <c r="M6474" i="1"/>
  <c r="L6474" i="1"/>
  <c r="V6473" i="1"/>
  <c r="U6473" i="1"/>
  <c r="T6473" i="1"/>
  <c r="S6473" i="1"/>
  <c r="R6473" i="1"/>
  <c r="Q6473" i="1"/>
  <c r="M6473" i="1"/>
  <c r="L6473" i="1"/>
  <c r="V6472" i="1"/>
  <c r="U6472" i="1"/>
  <c r="T6472" i="1"/>
  <c r="S6472" i="1"/>
  <c r="R6472" i="1"/>
  <c r="Q6472" i="1"/>
  <c r="M6472" i="1"/>
  <c r="L6472" i="1"/>
  <c r="V6471" i="1"/>
  <c r="U6471" i="1"/>
  <c r="T6471" i="1"/>
  <c r="S6471" i="1"/>
  <c r="R6471" i="1"/>
  <c r="Q6471" i="1"/>
  <c r="M6471" i="1"/>
  <c r="L6471" i="1"/>
  <c r="V6470" i="1"/>
  <c r="U6470" i="1"/>
  <c r="T6470" i="1"/>
  <c r="S6470" i="1"/>
  <c r="R6470" i="1"/>
  <c r="Q6470" i="1"/>
  <c r="M6470" i="1"/>
  <c r="L6470" i="1"/>
  <c r="V6469" i="1"/>
  <c r="U6469" i="1"/>
  <c r="T6469" i="1"/>
  <c r="S6469" i="1"/>
  <c r="R6469" i="1"/>
  <c r="Q6469" i="1"/>
  <c r="M6469" i="1"/>
  <c r="L6469" i="1"/>
  <c r="V6468" i="1"/>
  <c r="U6468" i="1"/>
  <c r="T6468" i="1"/>
  <c r="S6468" i="1"/>
  <c r="R6468" i="1"/>
  <c r="Q6468" i="1"/>
  <c r="M6468" i="1"/>
  <c r="L6468" i="1"/>
  <c r="V6467" i="1"/>
  <c r="U6467" i="1"/>
  <c r="T6467" i="1"/>
  <c r="S6467" i="1"/>
  <c r="R6467" i="1"/>
  <c r="Q6467" i="1"/>
  <c r="M6467" i="1"/>
  <c r="L6467" i="1"/>
  <c r="V6466" i="1"/>
  <c r="U6466" i="1"/>
  <c r="T6466" i="1"/>
  <c r="S6466" i="1"/>
  <c r="R6466" i="1"/>
  <c r="Q6466" i="1"/>
  <c r="M6466" i="1"/>
  <c r="L6466" i="1"/>
  <c r="V6465" i="1"/>
  <c r="U6465" i="1"/>
  <c r="T6465" i="1"/>
  <c r="S6465" i="1"/>
  <c r="R6465" i="1"/>
  <c r="Q6465" i="1"/>
  <c r="M6465" i="1"/>
  <c r="L6465" i="1"/>
  <c r="V6464" i="1"/>
  <c r="U6464" i="1"/>
  <c r="T6464" i="1"/>
  <c r="S6464" i="1"/>
  <c r="R6464" i="1"/>
  <c r="Q6464" i="1"/>
  <c r="M6464" i="1"/>
  <c r="L6464" i="1"/>
  <c r="V6463" i="1"/>
  <c r="U6463" i="1"/>
  <c r="T6463" i="1"/>
  <c r="S6463" i="1"/>
  <c r="R6463" i="1"/>
  <c r="Q6463" i="1"/>
  <c r="M6463" i="1"/>
  <c r="L6463" i="1"/>
  <c r="V6462" i="1"/>
  <c r="U6462" i="1"/>
  <c r="T6462" i="1"/>
  <c r="S6462" i="1"/>
  <c r="R6462" i="1"/>
  <c r="Q6462" i="1"/>
  <c r="M6462" i="1"/>
  <c r="L6462" i="1"/>
  <c r="V6461" i="1"/>
  <c r="U6461" i="1"/>
  <c r="T6461" i="1"/>
  <c r="S6461" i="1"/>
  <c r="R6461" i="1"/>
  <c r="Q6461" i="1"/>
  <c r="M6461" i="1"/>
  <c r="L6461" i="1"/>
  <c r="V6460" i="1"/>
  <c r="U6460" i="1"/>
  <c r="T6460" i="1"/>
  <c r="S6460" i="1"/>
  <c r="R6460" i="1"/>
  <c r="Q6460" i="1"/>
  <c r="M6460" i="1"/>
  <c r="L6460" i="1"/>
  <c r="V6459" i="1"/>
  <c r="U6459" i="1"/>
  <c r="T6459" i="1"/>
  <c r="S6459" i="1"/>
  <c r="R6459" i="1"/>
  <c r="Q6459" i="1"/>
  <c r="M6459" i="1"/>
  <c r="L6459" i="1"/>
  <c r="V6458" i="1"/>
  <c r="U6458" i="1"/>
  <c r="T6458" i="1"/>
  <c r="S6458" i="1"/>
  <c r="R6458" i="1"/>
  <c r="Q6458" i="1"/>
  <c r="M6458" i="1"/>
  <c r="L6458" i="1"/>
  <c r="V6457" i="1"/>
  <c r="U6457" i="1"/>
  <c r="T6457" i="1"/>
  <c r="S6457" i="1"/>
  <c r="R6457" i="1"/>
  <c r="Q6457" i="1"/>
  <c r="M6457" i="1"/>
  <c r="L6457" i="1"/>
  <c r="V6456" i="1"/>
  <c r="U6456" i="1"/>
  <c r="T6456" i="1"/>
  <c r="S6456" i="1"/>
  <c r="R6456" i="1"/>
  <c r="Q6456" i="1"/>
  <c r="M6456" i="1"/>
  <c r="L6456" i="1"/>
  <c r="V6455" i="1"/>
  <c r="U6455" i="1"/>
  <c r="T6455" i="1"/>
  <c r="S6455" i="1"/>
  <c r="R6455" i="1"/>
  <c r="Q6455" i="1"/>
  <c r="M6455" i="1"/>
  <c r="L6455" i="1"/>
  <c r="V6454" i="1"/>
  <c r="U6454" i="1"/>
  <c r="T6454" i="1"/>
  <c r="S6454" i="1"/>
  <c r="R6454" i="1"/>
  <c r="Q6454" i="1"/>
  <c r="M6454" i="1"/>
  <c r="L6454" i="1"/>
  <c r="V6453" i="1"/>
  <c r="U6453" i="1"/>
  <c r="T6453" i="1"/>
  <c r="S6453" i="1"/>
  <c r="R6453" i="1"/>
  <c r="Q6453" i="1"/>
  <c r="M6453" i="1"/>
  <c r="L6453" i="1"/>
  <c r="V6452" i="1"/>
  <c r="U6452" i="1"/>
  <c r="T6452" i="1"/>
  <c r="S6452" i="1"/>
  <c r="R6452" i="1"/>
  <c r="Q6452" i="1"/>
  <c r="M6452" i="1"/>
  <c r="L6452" i="1"/>
  <c r="V6451" i="1"/>
  <c r="U6451" i="1"/>
  <c r="T6451" i="1"/>
  <c r="S6451" i="1"/>
  <c r="R6451" i="1"/>
  <c r="Q6451" i="1"/>
  <c r="M6451" i="1"/>
  <c r="L6451" i="1"/>
  <c r="V6450" i="1"/>
  <c r="U6450" i="1"/>
  <c r="T6450" i="1"/>
  <c r="S6450" i="1"/>
  <c r="R6450" i="1"/>
  <c r="Q6450" i="1"/>
  <c r="M6450" i="1"/>
  <c r="L6450" i="1"/>
  <c r="V6449" i="1"/>
  <c r="U6449" i="1"/>
  <c r="T6449" i="1"/>
  <c r="S6449" i="1"/>
  <c r="R6449" i="1"/>
  <c r="Q6449" i="1"/>
  <c r="M6449" i="1"/>
  <c r="L6449" i="1"/>
  <c r="V6448" i="1"/>
  <c r="U6448" i="1"/>
  <c r="T6448" i="1"/>
  <c r="S6448" i="1"/>
  <c r="R6448" i="1"/>
  <c r="Q6448" i="1"/>
  <c r="M6448" i="1"/>
  <c r="L6448" i="1"/>
  <c r="V6447" i="1"/>
  <c r="U6447" i="1"/>
  <c r="T6447" i="1"/>
  <c r="W6447" i="1" s="1"/>
  <c r="S6447" i="1"/>
  <c r="R6447" i="1"/>
  <c r="Q6447" i="1"/>
  <c r="M6447" i="1"/>
  <c r="L6447" i="1"/>
  <c r="V6446" i="1"/>
  <c r="U6446" i="1"/>
  <c r="T6446" i="1"/>
  <c r="S6446" i="1"/>
  <c r="R6446" i="1"/>
  <c r="Q6446" i="1"/>
  <c r="M6446" i="1"/>
  <c r="L6446" i="1"/>
  <c r="V6445" i="1"/>
  <c r="U6445" i="1"/>
  <c r="T6445" i="1"/>
  <c r="S6445" i="1"/>
  <c r="R6445" i="1"/>
  <c r="Q6445" i="1"/>
  <c r="M6445" i="1"/>
  <c r="L6445" i="1"/>
  <c r="V6444" i="1"/>
  <c r="U6444" i="1"/>
  <c r="T6444" i="1"/>
  <c r="S6444" i="1"/>
  <c r="R6444" i="1"/>
  <c r="Q6444" i="1"/>
  <c r="M6444" i="1"/>
  <c r="L6444" i="1"/>
  <c r="V6443" i="1"/>
  <c r="U6443" i="1"/>
  <c r="T6443" i="1"/>
  <c r="S6443" i="1"/>
  <c r="R6443" i="1"/>
  <c r="Q6443" i="1"/>
  <c r="M6443" i="1"/>
  <c r="L6443" i="1"/>
  <c r="V6442" i="1"/>
  <c r="U6442" i="1"/>
  <c r="T6442" i="1"/>
  <c r="S6442" i="1"/>
  <c r="R6442" i="1"/>
  <c r="Q6442" i="1"/>
  <c r="M6442" i="1"/>
  <c r="L6442" i="1"/>
  <c r="V6441" i="1"/>
  <c r="U6441" i="1"/>
  <c r="T6441" i="1"/>
  <c r="S6441" i="1"/>
  <c r="R6441" i="1"/>
  <c r="Q6441" i="1"/>
  <c r="M6441" i="1"/>
  <c r="L6441" i="1"/>
  <c r="V6440" i="1"/>
  <c r="U6440" i="1"/>
  <c r="T6440" i="1"/>
  <c r="S6440" i="1"/>
  <c r="R6440" i="1"/>
  <c r="Q6440" i="1"/>
  <c r="M6440" i="1"/>
  <c r="L6440" i="1"/>
  <c r="V6439" i="1"/>
  <c r="U6439" i="1"/>
  <c r="T6439" i="1"/>
  <c r="S6439" i="1"/>
  <c r="R6439" i="1"/>
  <c r="Q6439" i="1"/>
  <c r="M6439" i="1"/>
  <c r="L6439" i="1"/>
  <c r="V6438" i="1"/>
  <c r="U6438" i="1"/>
  <c r="T6438" i="1"/>
  <c r="S6438" i="1"/>
  <c r="R6438" i="1"/>
  <c r="Q6438" i="1"/>
  <c r="M6438" i="1"/>
  <c r="L6438" i="1"/>
  <c r="V6437" i="1"/>
  <c r="U6437" i="1"/>
  <c r="T6437" i="1"/>
  <c r="S6437" i="1"/>
  <c r="R6437" i="1"/>
  <c r="Q6437" i="1"/>
  <c r="M6437" i="1"/>
  <c r="L6437" i="1"/>
  <c r="V6436" i="1"/>
  <c r="U6436" i="1"/>
  <c r="T6436" i="1"/>
  <c r="S6436" i="1"/>
  <c r="R6436" i="1"/>
  <c r="Q6436" i="1"/>
  <c r="M6436" i="1"/>
  <c r="L6436" i="1"/>
  <c r="V6435" i="1"/>
  <c r="U6435" i="1"/>
  <c r="T6435" i="1"/>
  <c r="S6435" i="1"/>
  <c r="R6435" i="1"/>
  <c r="Q6435" i="1"/>
  <c r="M6435" i="1"/>
  <c r="L6435" i="1"/>
  <c r="V6434" i="1"/>
  <c r="U6434" i="1"/>
  <c r="T6434" i="1"/>
  <c r="S6434" i="1"/>
  <c r="R6434" i="1"/>
  <c r="Q6434" i="1"/>
  <c r="M6434" i="1"/>
  <c r="L6434" i="1"/>
  <c r="V6433" i="1"/>
  <c r="U6433" i="1"/>
  <c r="T6433" i="1"/>
  <c r="S6433" i="1"/>
  <c r="R6433" i="1"/>
  <c r="Q6433" i="1"/>
  <c r="M6433" i="1"/>
  <c r="L6433" i="1"/>
  <c r="V6432" i="1"/>
  <c r="U6432" i="1"/>
  <c r="T6432" i="1"/>
  <c r="S6432" i="1"/>
  <c r="R6432" i="1"/>
  <c r="Q6432" i="1"/>
  <c r="M6432" i="1"/>
  <c r="L6432" i="1"/>
  <c r="V6431" i="1"/>
  <c r="U6431" i="1"/>
  <c r="T6431" i="1"/>
  <c r="S6431" i="1"/>
  <c r="R6431" i="1"/>
  <c r="Q6431" i="1"/>
  <c r="M6431" i="1"/>
  <c r="L6431" i="1"/>
  <c r="V6430" i="1"/>
  <c r="U6430" i="1"/>
  <c r="T6430" i="1"/>
  <c r="S6430" i="1"/>
  <c r="R6430" i="1"/>
  <c r="Q6430" i="1"/>
  <c r="M6430" i="1"/>
  <c r="L6430" i="1"/>
  <c r="V6429" i="1"/>
  <c r="U6429" i="1"/>
  <c r="T6429" i="1"/>
  <c r="S6429" i="1"/>
  <c r="R6429" i="1"/>
  <c r="Q6429" i="1"/>
  <c r="M6429" i="1"/>
  <c r="L6429" i="1"/>
  <c r="V6428" i="1"/>
  <c r="U6428" i="1"/>
  <c r="T6428" i="1"/>
  <c r="S6428" i="1"/>
  <c r="R6428" i="1"/>
  <c r="Q6428" i="1"/>
  <c r="M6428" i="1"/>
  <c r="L6428" i="1"/>
  <c r="V6427" i="1"/>
  <c r="U6427" i="1"/>
  <c r="T6427" i="1"/>
  <c r="S6427" i="1"/>
  <c r="R6427" i="1"/>
  <c r="Q6427" i="1"/>
  <c r="M6427" i="1"/>
  <c r="L6427" i="1"/>
  <c r="V6426" i="1"/>
  <c r="U6426" i="1"/>
  <c r="T6426" i="1"/>
  <c r="S6426" i="1"/>
  <c r="R6426" i="1"/>
  <c r="Q6426" i="1"/>
  <c r="M6426" i="1"/>
  <c r="L6426" i="1"/>
  <c r="V6425" i="1"/>
  <c r="U6425" i="1"/>
  <c r="T6425" i="1"/>
  <c r="S6425" i="1"/>
  <c r="R6425" i="1"/>
  <c r="Q6425" i="1"/>
  <c r="M6425" i="1"/>
  <c r="L6425" i="1"/>
  <c r="V6424" i="1"/>
  <c r="U6424" i="1"/>
  <c r="T6424" i="1"/>
  <c r="S6424" i="1"/>
  <c r="R6424" i="1"/>
  <c r="Q6424" i="1"/>
  <c r="M6424" i="1"/>
  <c r="L6424" i="1"/>
  <c r="V6423" i="1"/>
  <c r="U6423" i="1"/>
  <c r="T6423" i="1"/>
  <c r="S6423" i="1"/>
  <c r="R6423" i="1"/>
  <c r="Q6423" i="1"/>
  <c r="M6423" i="1"/>
  <c r="L6423" i="1"/>
  <c r="V6422" i="1"/>
  <c r="U6422" i="1"/>
  <c r="T6422" i="1"/>
  <c r="S6422" i="1"/>
  <c r="R6422" i="1"/>
  <c r="Q6422" i="1"/>
  <c r="M6422" i="1"/>
  <c r="L6422" i="1"/>
  <c r="V6421" i="1"/>
  <c r="U6421" i="1"/>
  <c r="T6421" i="1"/>
  <c r="S6421" i="1"/>
  <c r="R6421" i="1"/>
  <c r="Q6421" i="1"/>
  <c r="M6421" i="1"/>
  <c r="L6421" i="1"/>
  <c r="V6420" i="1"/>
  <c r="U6420" i="1"/>
  <c r="T6420" i="1"/>
  <c r="S6420" i="1"/>
  <c r="R6420" i="1"/>
  <c r="Q6420" i="1"/>
  <c r="M6420" i="1"/>
  <c r="L6420" i="1"/>
  <c r="V6419" i="1"/>
  <c r="U6419" i="1"/>
  <c r="T6419" i="1"/>
  <c r="S6419" i="1"/>
  <c r="R6419" i="1"/>
  <c r="Q6419" i="1"/>
  <c r="M6419" i="1"/>
  <c r="L6419" i="1"/>
  <c r="V6418" i="1"/>
  <c r="U6418" i="1"/>
  <c r="T6418" i="1"/>
  <c r="S6418" i="1"/>
  <c r="R6418" i="1"/>
  <c r="Q6418" i="1"/>
  <c r="M6418" i="1"/>
  <c r="L6418" i="1"/>
  <c r="V6417" i="1"/>
  <c r="U6417" i="1"/>
  <c r="T6417" i="1"/>
  <c r="S6417" i="1"/>
  <c r="R6417" i="1"/>
  <c r="Q6417" i="1"/>
  <c r="M6417" i="1"/>
  <c r="L6417" i="1"/>
  <c r="V6416" i="1"/>
  <c r="U6416" i="1"/>
  <c r="T6416" i="1"/>
  <c r="S6416" i="1"/>
  <c r="R6416" i="1"/>
  <c r="Q6416" i="1"/>
  <c r="M6416" i="1"/>
  <c r="L6416" i="1"/>
  <c r="V6415" i="1"/>
  <c r="U6415" i="1"/>
  <c r="T6415" i="1"/>
  <c r="S6415" i="1"/>
  <c r="R6415" i="1"/>
  <c r="Q6415" i="1"/>
  <c r="M6415" i="1"/>
  <c r="L6415" i="1"/>
  <c r="V6414" i="1"/>
  <c r="U6414" i="1"/>
  <c r="T6414" i="1"/>
  <c r="S6414" i="1"/>
  <c r="R6414" i="1"/>
  <c r="Q6414" i="1"/>
  <c r="M6414" i="1"/>
  <c r="L6414" i="1"/>
  <c r="V6413" i="1"/>
  <c r="U6413" i="1"/>
  <c r="T6413" i="1"/>
  <c r="S6413" i="1"/>
  <c r="R6413" i="1"/>
  <c r="Q6413" i="1"/>
  <c r="M6413" i="1"/>
  <c r="L6413" i="1"/>
  <c r="V6412" i="1"/>
  <c r="U6412" i="1"/>
  <c r="T6412" i="1"/>
  <c r="S6412" i="1"/>
  <c r="R6412" i="1"/>
  <c r="Q6412" i="1"/>
  <c r="M6412" i="1"/>
  <c r="L6412" i="1"/>
  <c r="V6411" i="1"/>
  <c r="U6411" i="1"/>
  <c r="T6411" i="1"/>
  <c r="S6411" i="1"/>
  <c r="R6411" i="1"/>
  <c r="Q6411" i="1"/>
  <c r="M6411" i="1"/>
  <c r="L6411" i="1"/>
  <c r="V6410" i="1"/>
  <c r="U6410" i="1"/>
  <c r="T6410" i="1"/>
  <c r="S6410" i="1"/>
  <c r="R6410" i="1"/>
  <c r="Q6410" i="1"/>
  <c r="M6410" i="1"/>
  <c r="L6410" i="1"/>
  <c r="V6409" i="1"/>
  <c r="U6409" i="1"/>
  <c r="T6409" i="1"/>
  <c r="S6409" i="1"/>
  <c r="R6409" i="1"/>
  <c r="Q6409" i="1"/>
  <c r="M6409" i="1"/>
  <c r="L6409" i="1"/>
  <c r="V6408" i="1"/>
  <c r="U6408" i="1"/>
  <c r="T6408" i="1"/>
  <c r="S6408" i="1"/>
  <c r="R6408" i="1"/>
  <c r="Q6408" i="1"/>
  <c r="M6408" i="1"/>
  <c r="L6408" i="1"/>
  <c r="V6407" i="1"/>
  <c r="U6407" i="1"/>
  <c r="T6407" i="1"/>
  <c r="S6407" i="1"/>
  <c r="R6407" i="1"/>
  <c r="Q6407" i="1"/>
  <c r="M6407" i="1"/>
  <c r="L6407" i="1"/>
  <c r="V6406" i="1"/>
  <c r="U6406" i="1"/>
  <c r="T6406" i="1"/>
  <c r="S6406" i="1"/>
  <c r="R6406" i="1"/>
  <c r="Q6406" i="1"/>
  <c r="M6406" i="1"/>
  <c r="L6406" i="1"/>
  <c r="V6405" i="1"/>
  <c r="U6405" i="1"/>
  <c r="T6405" i="1"/>
  <c r="S6405" i="1"/>
  <c r="R6405" i="1"/>
  <c r="Q6405" i="1"/>
  <c r="M6405" i="1"/>
  <c r="L6405" i="1"/>
  <c r="V6404" i="1"/>
  <c r="U6404" i="1"/>
  <c r="T6404" i="1"/>
  <c r="S6404" i="1"/>
  <c r="R6404" i="1"/>
  <c r="Q6404" i="1"/>
  <c r="M6404" i="1"/>
  <c r="L6404" i="1"/>
  <c r="V6403" i="1"/>
  <c r="U6403" i="1"/>
  <c r="T6403" i="1"/>
  <c r="S6403" i="1"/>
  <c r="R6403" i="1"/>
  <c r="Q6403" i="1"/>
  <c r="M6403" i="1"/>
  <c r="L6403" i="1"/>
  <c r="V6402" i="1"/>
  <c r="U6402" i="1"/>
  <c r="T6402" i="1"/>
  <c r="S6402" i="1"/>
  <c r="R6402" i="1"/>
  <c r="Q6402" i="1"/>
  <c r="M6402" i="1"/>
  <c r="L6402" i="1"/>
  <c r="V6401" i="1"/>
  <c r="U6401" i="1"/>
  <c r="T6401" i="1"/>
  <c r="S6401" i="1"/>
  <c r="R6401" i="1"/>
  <c r="Q6401" i="1"/>
  <c r="M6401" i="1"/>
  <c r="L6401" i="1"/>
  <c r="V6400" i="1"/>
  <c r="U6400" i="1"/>
  <c r="T6400" i="1"/>
  <c r="S6400" i="1"/>
  <c r="R6400" i="1"/>
  <c r="Q6400" i="1"/>
  <c r="M6400" i="1"/>
  <c r="L6400" i="1"/>
  <c r="V6399" i="1"/>
  <c r="U6399" i="1"/>
  <c r="T6399" i="1"/>
  <c r="S6399" i="1"/>
  <c r="R6399" i="1"/>
  <c r="Q6399" i="1"/>
  <c r="M6399" i="1"/>
  <c r="L6399" i="1"/>
  <c r="V6398" i="1"/>
  <c r="U6398" i="1"/>
  <c r="T6398" i="1"/>
  <c r="S6398" i="1"/>
  <c r="R6398" i="1"/>
  <c r="Q6398" i="1"/>
  <c r="M6398" i="1"/>
  <c r="L6398" i="1"/>
  <c r="V6397" i="1"/>
  <c r="U6397" i="1"/>
  <c r="T6397" i="1"/>
  <c r="S6397" i="1"/>
  <c r="R6397" i="1"/>
  <c r="Q6397" i="1"/>
  <c r="M6397" i="1"/>
  <c r="L6397" i="1"/>
  <c r="V6396" i="1"/>
  <c r="U6396" i="1"/>
  <c r="T6396" i="1"/>
  <c r="S6396" i="1"/>
  <c r="R6396" i="1"/>
  <c r="Q6396" i="1"/>
  <c r="M6396" i="1"/>
  <c r="L6396" i="1"/>
  <c r="V6395" i="1"/>
  <c r="U6395" i="1"/>
  <c r="T6395" i="1"/>
  <c r="S6395" i="1"/>
  <c r="R6395" i="1"/>
  <c r="Q6395" i="1"/>
  <c r="M6395" i="1"/>
  <c r="L6395" i="1"/>
  <c r="V6394" i="1"/>
  <c r="U6394" i="1"/>
  <c r="T6394" i="1"/>
  <c r="S6394" i="1"/>
  <c r="R6394" i="1"/>
  <c r="Q6394" i="1"/>
  <c r="M6394" i="1"/>
  <c r="L6394" i="1"/>
  <c r="V6393" i="1"/>
  <c r="U6393" i="1"/>
  <c r="T6393" i="1"/>
  <c r="S6393" i="1"/>
  <c r="R6393" i="1"/>
  <c r="Q6393" i="1"/>
  <c r="M6393" i="1"/>
  <c r="L6393" i="1"/>
  <c r="V6392" i="1"/>
  <c r="U6392" i="1"/>
  <c r="T6392" i="1"/>
  <c r="S6392" i="1"/>
  <c r="R6392" i="1"/>
  <c r="Q6392" i="1"/>
  <c r="M6392" i="1"/>
  <c r="L6392" i="1"/>
  <c r="V6391" i="1"/>
  <c r="U6391" i="1"/>
  <c r="T6391" i="1"/>
  <c r="S6391" i="1"/>
  <c r="R6391" i="1"/>
  <c r="Q6391" i="1"/>
  <c r="M6391" i="1"/>
  <c r="L6391" i="1"/>
  <c r="V6390" i="1"/>
  <c r="U6390" i="1"/>
  <c r="T6390" i="1"/>
  <c r="S6390" i="1"/>
  <c r="R6390" i="1"/>
  <c r="Q6390" i="1"/>
  <c r="M6390" i="1"/>
  <c r="L6390" i="1"/>
  <c r="V6389" i="1"/>
  <c r="U6389" i="1"/>
  <c r="T6389" i="1"/>
  <c r="S6389" i="1"/>
  <c r="R6389" i="1"/>
  <c r="Q6389" i="1"/>
  <c r="M6389" i="1"/>
  <c r="L6389" i="1"/>
  <c r="V6388" i="1"/>
  <c r="U6388" i="1"/>
  <c r="T6388" i="1"/>
  <c r="S6388" i="1"/>
  <c r="R6388" i="1"/>
  <c r="Q6388" i="1"/>
  <c r="M6388" i="1"/>
  <c r="L6388" i="1"/>
  <c r="V6387" i="1"/>
  <c r="U6387" i="1"/>
  <c r="T6387" i="1"/>
  <c r="S6387" i="1"/>
  <c r="R6387" i="1"/>
  <c r="Q6387" i="1"/>
  <c r="M6387" i="1"/>
  <c r="L6387" i="1"/>
  <c r="V6386" i="1"/>
  <c r="U6386" i="1"/>
  <c r="T6386" i="1"/>
  <c r="S6386" i="1"/>
  <c r="R6386" i="1"/>
  <c r="Q6386" i="1"/>
  <c r="M6386" i="1"/>
  <c r="L6386" i="1"/>
  <c r="V6385" i="1"/>
  <c r="U6385" i="1"/>
  <c r="T6385" i="1"/>
  <c r="S6385" i="1"/>
  <c r="R6385" i="1"/>
  <c r="Q6385" i="1"/>
  <c r="M6385" i="1"/>
  <c r="L6385" i="1"/>
  <c r="V6384" i="1"/>
  <c r="U6384" i="1"/>
  <c r="T6384" i="1"/>
  <c r="S6384" i="1"/>
  <c r="R6384" i="1"/>
  <c r="Q6384" i="1"/>
  <c r="M6384" i="1"/>
  <c r="L6384" i="1"/>
  <c r="V6383" i="1"/>
  <c r="U6383" i="1"/>
  <c r="T6383" i="1"/>
  <c r="S6383" i="1"/>
  <c r="R6383" i="1"/>
  <c r="Q6383" i="1"/>
  <c r="M6383" i="1"/>
  <c r="L6383" i="1"/>
  <c r="V6382" i="1"/>
  <c r="U6382" i="1"/>
  <c r="T6382" i="1"/>
  <c r="S6382" i="1"/>
  <c r="R6382" i="1"/>
  <c r="Q6382" i="1"/>
  <c r="M6382" i="1"/>
  <c r="L6382" i="1"/>
  <c r="V6381" i="1"/>
  <c r="U6381" i="1"/>
  <c r="T6381" i="1"/>
  <c r="S6381" i="1"/>
  <c r="R6381" i="1"/>
  <c r="Q6381" i="1"/>
  <c r="M6381" i="1"/>
  <c r="L6381" i="1"/>
  <c r="V6380" i="1"/>
  <c r="U6380" i="1"/>
  <c r="T6380" i="1"/>
  <c r="S6380" i="1"/>
  <c r="R6380" i="1"/>
  <c r="Q6380" i="1"/>
  <c r="M6380" i="1"/>
  <c r="L6380" i="1"/>
  <c r="V6379" i="1"/>
  <c r="U6379" i="1"/>
  <c r="T6379" i="1"/>
  <c r="S6379" i="1"/>
  <c r="R6379" i="1"/>
  <c r="Q6379" i="1"/>
  <c r="M6379" i="1"/>
  <c r="L6379" i="1"/>
  <c r="V6378" i="1"/>
  <c r="U6378" i="1"/>
  <c r="T6378" i="1"/>
  <c r="S6378" i="1"/>
  <c r="R6378" i="1"/>
  <c r="Q6378" i="1"/>
  <c r="M6378" i="1"/>
  <c r="L6378" i="1"/>
  <c r="V6377" i="1"/>
  <c r="U6377" i="1"/>
  <c r="T6377" i="1"/>
  <c r="S6377" i="1"/>
  <c r="R6377" i="1"/>
  <c r="Q6377" i="1"/>
  <c r="M6377" i="1"/>
  <c r="L6377" i="1"/>
  <c r="V6376" i="1"/>
  <c r="U6376" i="1"/>
  <c r="T6376" i="1"/>
  <c r="S6376" i="1"/>
  <c r="R6376" i="1"/>
  <c r="Q6376" i="1"/>
  <c r="M6376" i="1"/>
  <c r="L6376" i="1"/>
  <c r="V6375" i="1"/>
  <c r="U6375" i="1"/>
  <c r="T6375" i="1"/>
  <c r="S6375" i="1"/>
  <c r="R6375" i="1"/>
  <c r="Q6375" i="1"/>
  <c r="M6375" i="1"/>
  <c r="L6375" i="1"/>
  <c r="V6374" i="1"/>
  <c r="U6374" i="1"/>
  <c r="T6374" i="1"/>
  <c r="S6374" i="1"/>
  <c r="R6374" i="1"/>
  <c r="Q6374" i="1"/>
  <c r="M6374" i="1"/>
  <c r="L6374" i="1"/>
  <c r="V6373" i="1"/>
  <c r="U6373" i="1"/>
  <c r="T6373" i="1"/>
  <c r="S6373" i="1"/>
  <c r="R6373" i="1"/>
  <c r="Q6373" i="1"/>
  <c r="M6373" i="1"/>
  <c r="L6373" i="1"/>
  <c r="V6372" i="1"/>
  <c r="U6372" i="1"/>
  <c r="T6372" i="1"/>
  <c r="S6372" i="1"/>
  <c r="R6372" i="1"/>
  <c r="Q6372" i="1"/>
  <c r="M6372" i="1"/>
  <c r="L6372" i="1"/>
  <c r="V6371" i="1"/>
  <c r="U6371" i="1"/>
  <c r="T6371" i="1"/>
  <c r="S6371" i="1"/>
  <c r="R6371" i="1"/>
  <c r="Q6371" i="1"/>
  <c r="M6371" i="1"/>
  <c r="L6371" i="1"/>
  <c r="V6370" i="1"/>
  <c r="U6370" i="1"/>
  <c r="T6370" i="1"/>
  <c r="S6370" i="1"/>
  <c r="R6370" i="1"/>
  <c r="Q6370" i="1"/>
  <c r="M6370" i="1"/>
  <c r="L6370" i="1"/>
  <c r="V6369" i="1"/>
  <c r="U6369" i="1"/>
  <c r="T6369" i="1"/>
  <c r="S6369" i="1"/>
  <c r="R6369" i="1"/>
  <c r="Q6369" i="1"/>
  <c r="M6369" i="1"/>
  <c r="L6369" i="1"/>
  <c r="V6368" i="1"/>
  <c r="U6368" i="1"/>
  <c r="T6368" i="1"/>
  <c r="S6368" i="1"/>
  <c r="R6368" i="1"/>
  <c r="Q6368" i="1"/>
  <c r="M6368" i="1"/>
  <c r="L6368" i="1"/>
  <c r="V6367" i="1"/>
  <c r="U6367" i="1"/>
  <c r="T6367" i="1"/>
  <c r="S6367" i="1"/>
  <c r="R6367" i="1"/>
  <c r="Q6367" i="1"/>
  <c r="M6367" i="1"/>
  <c r="L6367" i="1"/>
  <c r="V6366" i="1"/>
  <c r="U6366" i="1"/>
  <c r="T6366" i="1"/>
  <c r="S6366" i="1"/>
  <c r="R6366" i="1"/>
  <c r="Q6366" i="1"/>
  <c r="M6366" i="1"/>
  <c r="L6366" i="1"/>
  <c r="V6365" i="1"/>
  <c r="U6365" i="1"/>
  <c r="T6365" i="1"/>
  <c r="S6365" i="1"/>
  <c r="R6365" i="1"/>
  <c r="Q6365" i="1"/>
  <c r="M6365" i="1"/>
  <c r="L6365" i="1"/>
  <c r="V6364" i="1"/>
  <c r="U6364" i="1"/>
  <c r="T6364" i="1"/>
  <c r="S6364" i="1"/>
  <c r="R6364" i="1"/>
  <c r="Q6364" i="1"/>
  <c r="M6364" i="1"/>
  <c r="L6364" i="1"/>
  <c r="V6363" i="1"/>
  <c r="U6363" i="1"/>
  <c r="T6363" i="1"/>
  <c r="S6363" i="1"/>
  <c r="R6363" i="1"/>
  <c r="Q6363" i="1"/>
  <c r="M6363" i="1"/>
  <c r="L6363" i="1"/>
  <c r="V6362" i="1"/>
  <c r="U6362" i="1"/>
  <c r="T6362" i="1"/>
  <c r="S6362" i="1"/>
  <c r="R6362" i="1"/>
  <c r="Q6362" i="1"/>
  <c r="M6362" i="1"/>
  <c r="L6362" i="1"/>
  <c r="V6361" i="1"/>
  <c r="U6361" i="1"/>
  <c r="T6361" i="1"/>
  <c r="S6361" i="1"/>
  <c r="R6361" i="1"/>
  <c r="Q6361" i="1"/>
  <c r="M6361" i="1"/>
  <c r="L6361" i="1"/>
  <c r="V6360" i="1"/>
  <c r="U6360" i="1"/>
  <c r="T6360" i="1"/>
  <c r="S6360" i="1"/>
  <c r="R6360" i="1"/>
  <c r="Q6360" i="1"/>
  <c r="M6360" i="1"/>
  <c r="L6360" i="1"/>
  <c r="V6359" i="1"/>
  <c r="U6359" i="1"/>
  <c r="T6359" i="1"/>
  <c r="S6359" i="1"/>
  <c r="R6359" i="1"/>
  <c r="Q6359" i="1"/>
  <c r="M6359" i="1"/>
  <c r="L6359" i="1"/>
  <c r="V6358" i="1"/>
  <c r="U6358" i="1"/>
  <c r="T6358" i="1"/>
  <c r="S6358" i="1"/>
  <c r="R6358" i="1"/>
  <c r="Q6358" i="1"/>
  <c r="M6358" i="1"/>
  <c r="L6358" i="1"/>
  <c r="V6357" i="1"/>
  <c r="U6357" i="1"/>
  <c r="T6357" i="1"/>
  <c r="S6357" i="1"/>
  <c r="R6357" i="1"/>
  <c r="Q6357" i="1"/>
  <c r="M6357" i="1"/>
  <c r="L6357" i="1"/>
  <c r="V6356" i="1"/>
  <c r="U6356" i="1"/>
  <c r="T6356" i="1"/>
  <c r="S6356" i="1"/>
  <c r="R6356" i="1"/>
  <c r="Q6356" i="1"/>
  <c r="M6356" i="1"/>
  <c r="L6356" i="1"/>
  <c r="V6355" i="1"/>
  <c r="U6355" i="1"/>
  <c r="T6355" i="1"/>
  <c r="S6355" i="1"/>
  <c r="R6355" i="1"/>
  <c r="Q6355" i="1"/>
  <c r="M6355" i="1"/>
  <c r="L6355" i="1"/>
  <c r="V6354" i="1"/>
  <c r="U6354" i="1"/>
  <c r="T6354" i="1"/>
  <c r="S6354" i="1"/>
  <c r="R6354" i="1"/>
  <c r="Q6354" i="1"/>
  <c r="M6354" i="1"/>
  <c r="L6354" i="1"/>
  <c r="V6353" i="1"/>
  <c r="U6353" i="1"/>
  <c r="T6353" i="1"/>
  <c r="S6353" i="1"/>
  <c r="R6353" i="1"/>
  <c r="Q6353" i="1"/>
  <c r="M6353" i="1"/>
  <c r="L6353" i="1"/>
  <c r="V6352" i="1"/>
  <c r="U6352" i="1"/>
  <c r="T6352" i="1"/>
  <c r="S6352" i="1"/>
  <c r="R6352" i="1"/>
  <c r="Q6352" i="1"/>
  <c r="M6352" i="1"/>
  <c r="L6352" i="1"/>
  <c r="V6351" i="1"/>
  <c r="U6351" i="1"/>
  <c r="T6351" i="1"/>
  <c r="S6351" i="1"/>
  <c r="R6351" i="1"/>
  <c r="Q6351" i="1"/>
  <c r="M6351" i="1"/>
  <c r="L6351" i="1"/>
  <c r="V6350" i="1"/>
  <c r="U6350" i="1"/>
  <c r="T6350" i="1"/>
  <c r="S6350" i="1"/>
  <c r="R6350" i="1"/>
  <c r="Q6350" i="1"/>
  <c r="M6350" i="1"/>
  <c r="L6350" i="1"/>
  <c r="V6349" i="1"/>
  <c r="U6349" i="1"/>
  <c r="T6349" i="1"/>
  <c r="S6349" i="1"/>
  <c r="R6349" i="1"/>
  <c r="Q6349" i="1"/>
  <c r="M6349" i="1"/>
  <c r="L6349" i="1"/>
  <c r="V6348" i="1"/>
  <c r="U6348" i="1"/>
  <c r="T6348" i="1"/>
  <c r="S6348" i="1"/>
  <c r="R6348" i="1"/>
  <c r="Q6348" i="1"/>
  <c r="M6348" i="1"/>
  <c r="L6348" i="1"/>
  <c r="V6347" i="1"/>
  <c r="U6347" i="1"/>
  <c r="T6347" i="1"/>
  <c r="S6347" i="1"/>
  <c r="R6347" i="1"/>
  <c r="Q6347" i="1"/>
  <c r="M6347" i="1"/>
  <c r="L6347" i="1"/>
  <c r="V6346" i="1"/>
  <c r="U6346" i="1"/>
  <c r="T6346" i="1"/>
  <c r="S6346" i="1"/>
  <c r="R6346" i="1"/>
  <c r="Q6346" i="1"/>
  <c r="M6346" i="1"/>
  <c r="L6346" i="1"/>
  <c r="V6345" i="1"/>
  <c r="U6345" i="1"/>
  <c r="T6345" i="1"/>
  <c r="S6345" i="1"/>
  <c r="R6345" i="1"/>
  <c r="Q6345" i="1"/>
  <c r="M6345" i="1"/>
  <c r="L6345" i="1"/>
  <c r="V6344" i="1"/>
  <c r="U6344" i="1"/>
  <c r="T6344" i="1"/>
  <c r="S6344" i="1"/>
  <c r="R6344" i="1"/>
  <c r="Q6344" i="1"/>
  <c r="M6344" i="1"/>
  <c r="L6344" i="1"/>
  <c r="V6343" i="1"/>
  <c r="U6343" i="1"/>
  <c r="T6343" i="1"/>
  <c r="S6343" i="1"/>
  <c r="R6343" i="1"/>
  <c r="Q6343" i="1"/>
  <c r="M6343" i="1"/>
  <c r="L6343" i="1"/>
  <c r="V6342" i="1"/>
  <c r="U6342" i="1"/>
  <c r="T6342" i="1"/>
  <c r="S6342" i="1"/>
  <c r="R6342" i="1"/>
  <c r="Q6342" i="1"/>
  <c r="M6342" i="1"/>
  <c r="L6342" i="1"/>
  <c r="V6341" i="1"/>
  <c r="U6341" i="1"/>
  <c r="T6341" i="1"/>
  <c r="S6341" i="1"/>
  <c r="R6341" i="1"/>
  <c r="Q6341" i="1"/>
  <c r="M6341" i="1"/>
  <c r="L6341" i="1"/>
  <c r="V6340" i="1"/>
  <c r="U6340" i="1"/>
  <c r="T6340" i="1"/>
  <c r="S6340" i="1"/>
  <c r="R6340" i="1"/>
  <c r="Q6340" i="1"/>
  <c r="M6340" i="1"/>
  <c r="L6340" i="1"/>
  <c r="V6339" i="1"/>
  <c r="U6339" i="1"/>
  <c r="T6339" i="1"/>
  <c r="S6339" i="1"/>
  <c r="R6339" i="1"/>
  <c r="Q6339" i="1"/>
  <c r="M6339" i="1"/>
  <c r="L6339" i="1"/>
  <c r="V6338" i="1"/>
  <c r="U6338" i="1"/>
  <c r="T6338" i="1"/>
  <c r="S6338" i="1"/>
  <c r="R6338" i="1"/>
  <c r="Q6338" i="1"/>
  <c r="M6338" i="1"/>
  <c r="L6338" i="1"/>
  <c r="V6337" i="1"/>
  <c r="U6337" i="1"/>
  <c r="T6337" i="1"/>
  <c r="S6337" i="1"/>
  <c r="R6337" i="1"/>
  <c r="Q6337" i="1"/>
  <c r="M6337" i="1"/>
  <c r="L6337" i="1"/>
  <c r="V6336" i="1"/>
  <c r="U6336" i="1"/>
  <c r="T6336" i="1"/>
  <c r="S6336" i="1"/>
  <c r="R6336" i="1"/>
  <c r="Q6336" i="1"/>
  <c r="M6336" i="1"/>
  <c r="L6336" i="1"/>
  <c r="V6335" i="1"/>
  <c r="U6335" i="1"/>
  <c r="T6335" i="1"/>
  <c r="S6335" i="1"/>
  <c r="R6335" i="1"/>
  <c r="Q6335" i="1"/>
  <c r="M6335" i="1"/>
  <c r="L6335" i="1"/>
  <c r="V6334" i="1"/>
  <c r="U6334" i="1"/>
  <c r="T6334" i="1"/>
  <c r="S6334" i="1"/>
  <c r="R6334" i="1"/>
  <c r="Q6334" i="1"/>
  <c r="M6334" i="1"/>
  <c r="L6334" i="1"/>
  <c r="V6333" i="1"/>
  <c r="U6333" i="1"/>
  <c r="T6333" i="1"/>
  <c r="S6333" i="1"/>
  <c r="R6333" i="1"/>
  <c r="Q6333" i="1"/>
  <c r="M6333" i="1"/>
  <c r="L6333" i="1"/>
  <c r="V6332" i="1"/>
  <c r="U6332" i="1"/>
  <c r="T6332" i="1"/>
  <c r="S6332" i="1"/>
  <c r="R6332" i="1"/>
  <c r="Q6332" i="1"/>
  <c r="M6332" i="1"/>
  <c r="L6332" i="1"/>
  <c r="V6331" i="1"/>
  <c r="U6331" i="1"/>
  <c r="T6331" i="1"/>
  <c r="S6331" i="1"/>
  <c r="R6331" i="1"/>
  <c r="Q6331" i="1"/>
  <c r="M6331" i="1"/>
  <c r="L6331" i="1"/>
  <c r="V6330" i="1"/>
  <c r="U6330" i="1"/>
  <c r="T6330" i="1"/>
  <c r="S6330" i="1"/>
  <c r="R6330" i="1"/>
  <c r="Q6330" i="1"/>
  <c r="M6330" i="1"/>
  <c r="L6330" i="1"/>
  <c r="V6329" i="1"/>
  <c r="U6329" i="1"/>
  <c r="T6329" i="1"/>
  <c r="S6329" i="1"/>
  <c r="R6329" i="1"/>
  <c r="Q6329" i="1"/>
  <c r="M6329" i="1"/>
  <c r="L6329" i="1"/>
  <c r="V6328" i="1"/>
  <c r="U6328" i="1"/>
  <c r="T6328" i="1"/>
  <c r="S6328" i="1"/>
  <c r="R6328" i="1"/>
  <c r="Q6328" i="1"/>
  <c r="M6328" i="1"/>
  <c r="L6328" i="1"/>
  <c r="V6327" i="1"/>
  <c r="U6327" i="1"/>
  <c r="T6327" i="1"/>
  <c r="S6327" i="1"/>
  <c r="R6327" i="1"/>
  <c r="Q6327" i="1"/>
  <c r="M6327" i="1"/>
  <c r="L6327" i="1"/>
  <c r="V6326" i="1"/>
  <c r="U6326" i="1"/>
  <c r="T6326" i="1"/>
  <c r="S6326" i="1"/>
  <c r="R6326" i="1"/>
  <c r="Q6326" i="1"/>
  <c r="M6326" i="1"/>
  <c r="L6326" i="1"/>
  <c r="V6325" i="1"/>
  <c r="U6325" i="1"/>
  <c r="T6325" i="1"/>
  <c r="S6325" i="1"/>
  <c r="R6325" i="1"/>
  <c r="Q6325" i="1"/>
  <c r="M6325" i="1"/>
  <c r="L6325" i="1"/>
  <c r="V6324" i="1"/>
  <c r="U6324" i="1"/>
  <c r="T6324" i="1"/>
  <c r="S6324" i="1"/>
  <c r="R6324" i="1"/>
  <c r="Q6324" i="1"/>
  <c r="M6324" i="1"/>
  <c r="L6324" i="1"/>
  <c r="V6323" i="1"/>
  <c r="U6323" i="1"/>
  <c r="T6323" i="1"/>
  <c r="S6323" i="1"/>
  <c r="R6323" i="1"/>
  <c r="Q6323" i="1"/>
  <c r="M6323" i="1"/>
  <c r="L6323" i="1"/>
  <c r="V6322" i="1"/>
  <c r="U6322" i="1"/>
  <c r="T6322" i="1"/>
  <c r="S6322" i="1"/>
  <c r="R6322" i="1"/>
  <c r="Q6322" i="1"/>
  <c r="M6322" i="1"/>
  <c r="L6322" i="1"/>
  <c r="V6321" i="1"/>
  <c r="U6321" i="1"/>
  <c r="T6321" i="1"/>
  <c r="S6321" i="1"/>
  <c r="R6321" i="1"/>
  <c r="Q6321" i="1"/>
  <c r="M6321" i="1"/>
  <c r="L6321" i="1"/>
  <c r="V6320" i="1"/>
  <c r="U6320" i="1"/>
  <c r="T6320" i="1"/>
  <c r="S6320" i="1"/>
  <c r="R6320" i="1"/>
  <c r="Q6320" i="1"/>
  <c r="M6320" i="1"/>
  <c r="L6320" i="1"/>
  <c r="V6319" i="1"/>
  <c r="U6319" i="1"/>
  <c r="T6319" i="1"/>
  <c r="S6319" i="1"/>
  <c r="R6319" i="1"/>
  <c r="Q6319" i="1"/>
  <c r="M6319" i="1"/>
  <c r="L6319" i="1"/>
  <c r="V6318" i="1"/>
  <c r="U6318" i="1"/>
  <c r="T6318" i="1"/>
  <c r="S6318" i="1"/>
  <c r="R6318" i="1"/>
  <c r="Q6318" i="1"/>
  <c r="M6318" i="1"/>
  <c r="L6318" i="1"/>
  <c r="V6317" i="1"/>
  <c r="U6317" i="1"/>
  <c r="T6317" i="1"/>
  <c r="S6317" i="1"/>
  <c r="R6317" i="1"/>
  <c r="Q6317" i="1"/>
  <c r="M6317" i="1"/>
  <c r="L6317" i="1"/>
  <c r="V6316" i="1"/>
  <c r="U6316" i="1"/>
  <c r="T6316" i="1"/>
  <c r="S6316" i="1"/>
  <c r="R6316" i="1"/>
  <c r="Q6316" i="1"/>
  <c r="M6316" i="1"/>
  <c r="L6316" i="1"/>
  <c r="V6315" i="1"/>
  <c r="U6315" i="1"/>
  <c r="T6315" i="1"/>
  <c r="S6315" i="1"/>
  <c r="R6315" i="1"/>
  <c r="Q6315" i="1"/>
  <c r="M6315" i="1"/>
  <c r="L6315" i="1"/>
  <c r="V6314" i="1"/>
  <c r="U6314" i="1"/>
  <c r="T6314" i="1"/>
  <c r="S6314" i="1"/>
  <c r="R6314" i="1"/>
  <c r="Q6314" i="1"/>
  <c r="M6314" i="1"/>
  <c r="L6314" i="1"/>
  <c r="V6313" i="1"/>
  <c r="U6313" i="1"/>
  <c r="T6313" i="1"/>
  <c r="S6313" i="1"/>
  <c r="R6313" i="1"/>
  <c r="Q6313" i="1"/>
  <c r="M6313" i="1"/>
  <c r="L6313" i="1"/>
  <c r="V6312" i="1"/>
  <c r="U6312" i="1"/>
  <c r="T6312" i="1"/>
  <c r="S6312" i="1"/>
  <c r="R6312" i="1"/>
  <c r="Q6312" i="1"/>
  <c r="M6312" i="1"/>
  <c r="L6312" i="1"/>
  <c r="V6311" i="1"/>
  <c r="U6311" i="1"/>
  <c r="T6311" i="1"/>
  <c r="S6311" i="1"/>
  <c r="R6311" i="1"/>
  <c r="Q6311" i="1"/>
  <c r="M6311" i="1"/>
  <c r="L6311" i="1"/>
  <c r="V6310" i="1"/>
  <c r="U6310" i="1"/>
  <c r="T6310" i="1"/>
  <c r="S6310" i="1"/>
  <c r="R6310" i="1"/>
  <c r="Q6310" i="1"/>
  <c r="M6310" i="1"/>
  <c r="L6310" i="1"/>
  <c r="V6309" i="1"/>
  <c r="U6309" i="1"/>
  <c r="T6309" i="1"/>
  <c r="S6309" i="1"/>
  <c r="R6309" i="1"/>
  <c r="Q6309" i="1"/>
  <c r="M6309" i="1"/>
  <c r="L6309" i="1"/>
  <c r="V6308" i="1"/>
  <c r="U6308" i="1"/>
  <c r="T6308" i="1"/>
  <c r="S6308" i="1"/>
  <c r="R6308" i="1"/>
  <c r="Q6308" i="1"/>
  <c r="M6308" i="1"/>
  <c r="L6308" i="1"/>
  <c r="V6307" i="1"/>
  <c r="U6307" i="1"/>
  <c r="T6307" i="1"/>
  <c r="S6307" i="1"/>
  <c r="R6307" i="1"/>
  <c r="Q6307" i="1"/>
  <c r="M6307" i="1"/>
  <c r="L6307" i="1"/>
  <c r="V6306" i="1"/>
  <c r="U6306" i="1"/>
  <c r="T6306" i="1"/>
  <c r="S6306" i="1"/>
  <c r="R6306" i="1"/>
  <c r="Q6306" i="1"/>
  <c r="M6306" i="1"/>
  <c r="L6306" i="1"/>
  <c r="V6305" i="1"/>
  <c r="U6305" i="1"/>
  <c r="T6305" i="1"/>
  <c r="S6305" i="1"/>
  <c r="R6305" i="1"/>
  <c r="Q6305" i="1"/>
  <c r="M6305" i="1"/>
  <c r="L6305" i="1"/>
  <c r="V6304" i="1"/>
  <c r="U6304" i="1"/>
  <c r="T6304" i="1"/>
  <c r="S6304" i="1"/>
  <c r="R6304" i="1"/>
  <c r="Q6304" i="1"/>
  <c r="M6304" i="1"/>
  <c r="L6304" i="1"/>
  <c r="V6303" i="1"/>
  <c r="U6303" i="1"/>
  <c r="T6303" i="1"/>
  <c r="S6303" i="1"/>
  <c r="R6303" i="1"/>
  <c r="Q6303" i="1"/>
  <c r="M6303" i="1"/>
  <c r="L6303" i="1"/>
  <c r="V6302" i="1"/>
  <c r="U6302" i="1"/>
  <c r="T6302" i="1"/>
  <c r="S6302" i="1"/>
  <c r="R6302" i="1"/>
  <c r="Q6302" i="1"/>
  <c r="M6302" i="1"/>
  <c r="L6302" i="1"/>
  <c r="V6301" i="1"/>
  <c r="U6301" i="1"/>
  <c r="T6301" i="1"/>
  <c r="S6301" i="1"/>
  <c r="R6301" i="1"/>
  <c r="Q6301" i="1"/>
  <c r="M6301" i="1"/>
  <c r="L6301" i="1"/>
  <c r="V6300" i="1"/>
  <c r="U6300" i="1"/>
  <c r="T6300" i="1"/>
  <c r="S6300" i="1"/>
  <c r="R6300" i="1"/>
  <c r="Q6300" i="1"/>
  <c r="M6300" i="1"/>
  <c r="L6300" i="1"/>
  <c r="V6299" i="1"/>
  <c r="U6299" i="1"/>
  <c r="T6299" i="1"/>
  <c r="S6299" i="1"/>
  <c r="R6299" i="1"/>
  <c r="Q6299" i="1"/>
  <c r="M6299" i="1"/>
  <c r="L6299" i="1"/>
  <c r="V6298" i="1"/>
  <c r="U6298" i="1"/>
  <c r="T6298" i="1"/>
  <c r="S6298" i="1"/>
  <c r="R6298" i="1"/>
  <c r="Q6298" i="1"/>
  <c r="M6298" i="1"/>
  <c r="L6298" i="1"/>
  <c r="V6297" i="1"/>
  <c r="U6297" i="1"/>
  <c r="T6297" i="1"/>
  <c r="S6297" i="1"/>
  <c r="R6297" i="1"/>
  <c r="Q6297" i="1"/>
  <c r="M6297" i="1"/>
  <c r="L6297" i="1"/>
  <c r="V6296" i="1"/>
  <c r="U6296" i="1"/>
  <c r="T6296" i="1"/>
  <c r="S6296" i="1"/>
  <c r="R6296" i="1"/>
  <c r="Q6296" i="1"/>
  <c r="M6296" i="1"/>
  <c r="L6296" i="1"/>
  <c r="V6295" i="1"/>
  <c r="U6295" i="1"/>
  <c r="T6295" i="1"/>
  <c r="S6295" i="1"/>
  <c r="R6295" i="1"/>
  <c r="Q6295" i="1"/>
  <c r="M6295" i="1"/>
  <c r="L6295" i="1"/>
  <c r="V6294" i="1"/>
  <c r="U6294" i="1"/>
  <c r="T6294" i="1"/>
  <c r="S6294" i="1"/>
  <c r="R6294" i="1"/>
  <c r="Q6294" i="1"/>
  <c r="M6294" i="1"/>
  <c r="L6294" i="1"/>
  <c r="V6293" i="1"/>
  <c r="U6293" i="1"/>
  <c r="T6293" i="1"/>
  <c r="S6293" i="1"/>
  <c r="R6293" i="1"/>
  <c r="Q6293" i="1"/>
  <c r="M6293" i="1"/>
  <c r="L6293" i="1"/>
  <c r="V6292" i="1"/>
  <c r="U6292" i="1"/>
  <c r="T6292" i="1"/>
  <c r="S6292" i="1"/>
  <c r="R6292" i="1"/>
  <c r="Q6292" i="1"/>
  <c r="M6292" i="1"/>
  <c r="L6292" i="1"/>
  <c r="V6291" i="1"/>
  <c r="U6291" i="1"/>
  <c r="T6291" i="1"/>
  <c r="S6291" i="1"/>
  <c r="R6291" i="1"/>
  <c r="Q6291" i="1"/>
  <c r="M6291" i="1"/>
  <c r="L6291" i="1"/>
  <c r="V6290" i="1"/>
  <c r="U6290" i="1"/>
  <c r="T6290" i="1"/>
  <c r="S6290" i="1"/>
  <c r="R6290" i="1"/>
  <c r="Q6290" i="1"/>
  <c r="M6290" i="1"/>
  <c r="L6290" i="1"/>
  <c r="V6289" i="1"/>
  <c r="U6289" i="1"/>
  <c r="T6289" i="1"/>
  <c r="S6289" i="1"/>
  <c r="R6289" i="1"/>
  <c r="Q6289" i="1"/>
  <c r="M6289" i="1"/>
  <c r="L6289" i="1"/>
  <c r="V6288" i="1"/>
  <c r="U6288" i="1"/>
  <c r="T6288" i="1"/>
  <c r="S6288" i="1"/>
  <c r="R6288" i="1"/>
  <c r="Q6288" i="1"/>
  <c r="M6288" i="1"/>
  <c r="L6288" i="1"/>
  <c r="V6287" i="1"/>
  <c r="U6287" i="1"/>
  <c r="T6287" i="1"/>
  <c r="S6287" i="1"/>
  <c r="R6287" i="1"/>
  <c r="Q6287" i="1"/>
  <c r="M6287" i="1"/>
  <c r="L6287" i="1"/>
  <c r="V6286" i="1"/>
  <c r="U6286" i="1"/>
  <c r="T6286" i="1"/>
  <c r="S6286" i="1"/>
  <c r="R6286" i="1"/>
  <c r="Q6286" i="1"/>
  <c r="M6286" i="1"/>
  <c r="L6286" i="1"/>
  <c r="V6285" i="1"/>
  <c r="U6285" i="1"/>
  <c r="T6285" i="1"/>
  <c r="S6285" i="1"/>
  <c r="R6285" i="1"/>
  <c r="Q6285" i="1"/>
  <c r="M6285" i="1"/>
  <c r="L6285" i="1"/>
  <c r="V6284" i="1"/>
  <c r="U6284" i="1"/>
  <c r="T6284" i="1"/>
  <c r="S6284" i="1"/>
  <c r="R6284" i="1"/>
  <c r="Q6284" i="1"/>
  <c r="M6284" i="1"/>
  <c r="L6284" i="1"/>
  <c r="V6283" i="1"/>
  <c r="U6283" i="1"/>
  <c r="T6283" i="1"/>
  <c r="S6283" i="1"/>
  <c r="R6283" i="1"/>
  <c r="Q6283" i="1"/>
  <c r="M6283" i="1"/>
  <c r="L6283" i="1"/>
  <c r="V6282" i="1"/>
  <c r="U6282" i="1"/>
  <c r="T6282" i="1"/>
  <c r="S6282" i="1"/>
  <c r="R6282" i="1"/>
  <c r="Q6282" i="1"/>
  <c r="M6282" i="1"/>
  <c r="L6282" i="1"/>
  <c r="V6281" i="1"/>
  <c r="U6281" i="1"/>
  <c r="T6281" i="1"/>
  <c r="S6281" i="1"/>
  <c r="R6281" i="1"/>
  <c r="Q6281" i="1"/>
  <c r="M6281" i="1"/>
  <c r="L6281" i="1"/>
  <c r="V6280" i="1"/>
  <c r="U6280" i="1"/>
  <c r="T6280" i="1"/>
  <c r="S6280" i="1"/>
  <c r="R6280" i="1"/>
  <c r="Q6280" i="1"/>
  <c r="M6280" i="1"/>
  <c r="L6280" i="1"/>
  <c r="V6279" i="1"/>
  <c r="U6279" i="1"/>
  <c r="T6279" i="1"/>
  <c r="S6279" i="1"/>
  <c r="R6279" i="1"/>
  <c r="Q6279" i="1"/>
  <c r="M6279" i="1"/>
  <c r="L6279" i="1"/>
  <c r="V6278" i="1"/>
  <c r="U6278" i="1"/>
  <c r="T6278" i="1"/>
  <c r="S6278" i="1"/>
  <c r="R6278" i="1"/>
  <c r="Q6278" i="1"/>
  <c r="M6278" i="1"/>
  <c r="L6278" i="1"/>
  <c r="V6277" i="1"/>
  <c r="U6277" i="1"/>
  <c r="T6277" i="1"/>
  <c r="S6277" i="1"/>
  <c r="R6277" i="1"/>
  <c r="Q6277" i="1"/>
  <c r="M6277" i="1"/>
  <c r="L6277" i="1"/>
  <c r="V6276" i="1"/>
  <c r="U6276" i="1"/>
  <c r="T6276" i="1"/>
  <c r="S6276" i="1"/>
  <c r="R6276" i="1"/>
  <c r="Q6276" i="1"/>
  <c r="M6276" i="1"/>
  <c r="L6276" i="1"/>
  <c r="V6275" i="1"/>
  <c r="U6275" i="1"/>
  <c r="T6275" i="1"/>
  <c r="S6275" i="1"/>
  <c r="R6275" i="1"/>
  <c r="Q6275" i="1"/>
  <c r="M6275" i="1"/>
  <c r="L6275" i="1"/>
  <c r="V6274" i="1"/>
  <c r="U6274" i="1"/>
  <c r="T6274" i="1"/>
  <c r="S6274" i="1"/>
  <c r="R6274" i="1"/>
  <c r="Q6274" i="1"/>
  <c r="M6274" i="1"/>
  <c r="L6274" i="1"/>
  <c r="V6273" i="1"/>
  <c r="U6273" i="1"/>
  <c r="T6273" i="1"/>
  <c r="S6273" i="1"/>
  <c r="R6273" i="1"/>
  <c r="Q6273" i="1"/>
  <c r="M6273" i="1"/>
  <c r="L6273" i="1"/>
  <c r="V6272" i="1"/>
  <c r="U6272" i="1"/>
  <c r="T6272" i="1"/>
  <c r="S6272" i="1"/>
  <c r="R6272" i="1"/>
  <c r="Q6272" i="1"/>
  <c r="M6272" i="1"/>
  <c r="L6272" i="1"/>
  <c r="V6271" i="1"/>
  <c r="U6271" i="1"/>
  <c r="T6271" i="1"/>
  <c r="S6271" i="1"/>
  <c r="R6271" i="1"/>
  <c r="Q6271" i="1"/>
  <c r="M6271" i="1"/>
  <c r="L6271" i="1"/>
  <c r="V6270" i="1"/>
  <c r="U6270" i="1"/>
  <c r="T6270" i="1"/>
  <c r="S6270" i="1"/>
  <c r="R6270" i="1"/>
  <c r="Q6270" i="1"/>
  <c r="M6270" i="1"/>
  <c r="L6270" i="1"/>
  <c r="V6269" i="1"/>
  <c r="U6269" i="1"/>
  <c r="T6269" i="1"/>
  <c r="S6269" i="1"/>
  <c r="R6269" i="1"/>
  <c r="Q6269" i="1"/>
  <c r="M6269" i="1"/>
  <c r="L6269" i="1"/>
  <c r="V6268" i="1"/>
  <c r="U6268" i="1"/>
  <c r="T6268" i="1"/>
  <c r="S6268" i="1"/>
  <c r="R6268" i="1"/>
  <c r="Q6268" i="1"/>
  <c r="M6268" i="1"/>
  <c r="L6268" i="1"/>
  <c r="V6267" i="1"/>
  <c r="U6267" i="1"/>
  <c r="T6267" i="1"/>
  <c r="S6267" i="1"/>
  <c r="R6267" i="1"/>
  <c r="Q6267" i="1"/>
  <c r="M6267" i="1"/>
  <c r="L6267" i="1"/>
  <c r="V6266" i="1"/>
  <c r="U6266" i="1"/>
  <c r="T6266" i="1"/>
  <c r="S6266" i="1"/>
  <c r="R6266" i="1"/>
  <c r="Q6266" i="1"/>
  <c r="M6266" i="1"/>
  <c r="L6266" i="1"/>
  <c r="V6265" i="1"/>
  <c r="U6265" i="1"/>
  <c r="T6265" i="1"/>
  <c r="S6265" i="1"/>
  <c r="R6265" i="1"/>
  <c r="Q6265" i="1"/>
  <c r="M6265" i="1"/>
  <c r="L6265" i="1"/>
  <c r="V6264" i="1"/>
  <c r="U6264" i="1"/>
  <c r="T6264" i="1"/>
  <c r="S6264" i="1"/>
  <c r="R6264" i="1"/>
  <c r="Q6264" i="1"/>
  <c r="M6264" i="1"/>
  <c r="L6264" i="1"/>
  <c r="V6263" i="1"/>
  <c r="U6263" i="1"/>
  <c r="T6263" i="1"/>
  <c r="S6263" i="1"/>
  <c r="R6263" i="1"/>
  <c r="Q6263" i="1"/>
  <c r="M6263" i="1"/>
  <c r="L6263" i="1"/>
  <c r="V6262" i="1"/>
  <c r="U6262" i="1"/>
  <c r="T6262" i="1"/>
  <c r="S6262" i="1"/>
  <c r="R6262" i="1"/>
  <c r="Q6262" i="1"/>
  <c r="M6262" i="1"/>
  <c r="L6262" i="1"/>
  <c r="V6261" i="1"/>
  <c r="U6261" i="1"/>
  <c r="T6261" i="1"/>
  <c r="S6261" i="1"/>
  <c r="R6261" i="1"/>
  <c r="Q6261" i="1"/>
  <c r="M6261" i="1"/>
  <c r="L6261" i="1"/>
  <c r="V6260" i="1"/>
  <c r="U6260" i="1"/>
  <c r="T6260" i="1"/>
  <c r="S6260" i="1"/>
  <c r="R6260" i="1"/>
  <c r="Q6260" i="1"/>
  <c r="M6260" i="1"/>
  <c r="L6260" i="1"/>
  <c r="V6259" i="1"/>
  <c r="U6259" i="1"/>
  <c r="T6259" i="1"/>
  <c r="S6259" i="1"/>
  <c r="R6259" i="1"/>
  <c r="Q6259" i="1"/>
  <c r="M6259" i="1"/>
  <c r="L6259" i="1"/>
  <c r="V6258" i="1"/>
  <c r="U6258" i="1"/>
  <c r="T6258" i="1"/>
  <c r="S6258" i="1"/>
  <c r="R6258" i="1"/>
  <c r="Q6258" i="1"/>
  <c r="M6258" i="1"/>
  <c r="L6258" i="1"/>
  <c r="V6257" i="1"/>
  <c r="U6257" i="1"/>
  <c r="T6257" i="1"/>
  <c r="S6257" i="1"/>
  <c r="R6257" i="1"/>
  <c r="Q6257" i="1"/>
  <c r="M6257" i="1"/>
  <c r="L6257" i="1"/>
  <c r="V6256" i="1"/>
  <c r="U6256" i="1"/>
  <c r="T6256" i="1"/>
  <c r="S6256" i="1"/>
  <c r="R6256" i="1"/>
  <c r="Q6256" i="1"/>
  <c r="M6256" i="1"/>
  <c r="L6256" i="1"/>
  <c r="V6255" i="1"/>
  <c r="U6255" i="1"/>
  <c r="T6255" i="1"/>
  <c r="S6255" i="1"/>
  <c r="R6255" i="1"/>
  <c r="Q6255" i="1"/>
  <c r="M6255" i="1"/>
  <c r="L6255" i="1"/>
  <c r="V6254" i="1"/>
  <c r="U6254" i="1"/>
  <c r="T6254" i="1"/>
  <c r="S6254" i="1"/>
  <c r="R6254" i="1"/>
  <c r="Q6254" i="1"/>
  <c r="M6254" i="1"/>
  <c r="L6254" i="1"/>
  <c r="V6253" i="1"/>
  <c r="U6253" i="1"/>
  <c r="T6253" i="1"/>
  <c r="S6253" i="1"/>
  <c r="R6253" i="1"/>
  <c r="Q6253" i="1"/>
  <c r="M6253" i="1"/>
  <c r="L6253" i="1"/>
  <c r="V6252" i="1"/>
  <c r="U6252" i="1"/>
  <c r="T6252" i="1"/>
  <c r="S6252" i="1"/>
  <c r="R6252" i="1"/>
  <c r="Q6252" i="1"/>
  <c r="M6252" i="1"/>
  <c r="L6252" i="1"/>
  <c r="V6251" i="1"/>
  <c r="U6251" i="1"/>
  <c r="T6251" i="1"/>
  <c r="S6251" i="1"/>
  <c r="R6251" i="1"/>
  <c r="Q6251" i="1"/>
  <c r="M6251" i="1"/>
  <c r="L6251" i="1"/>
  <c r="V6250" i="1"/>
  <c r="U6250" i="1"/>
  <c r="T6250" i="1"/>
  <c r="S6250" i="1"/>
  <c r="R6250" i="1"/>
  <c r="Q6250" i="1"/>
  <c r="M6250" i="1"/>
  <c r="L6250" i="1"/>
  <c r="V6249" i="1"/>
  <c r="U6249" i="1"/>
  <c r="T6249" i="1"/>
  <c r="S6249" i="1"/>
  <c r="R6249" i="1"/>
  <c r="Q6249" i="1"/>
  <c r="M6249" i="1"/>
  <c r="L6249" i="1"/>
  <c r="V6248" i="1"/>
  <c r="U6248" i="1"/>
  <c r="T6248" i="1"/>
  <c r="S6248" i="1"/>
  <c r="R6248" i="1"/>
  <c r="Q6248" i="1"/>
  <c r="M6248" i="1"/>
  <c r="L6248" i="1"/>
  <c r="V6247" i="1"/>
  <c r="U6247" i="1"/>
  <c r="T6247" i="1"/>
  <c r="S6247" i="1"/>
  <c r="R6247" i="1"/>
  <c r="Q6247" i="1"/>
  <c r="M6247" i="1"/>
  <c r="L6247" i="1"/>
  <c r="V6246" i="1"/>
  <c r="U6246" i="1"/>
  <c r="T6246" i="1"/>
  <c r="S6246" i="1"/>
  <c r="R6246" i="1"/>
  <c r="Q6246" i="1"/>
  <c r="M6246" i="1"/>
  <c r="L6246" i="1"/>
  <c r="V6245" i="1"/>
  <c r="U6245" i="1"/>
  <c r="T6245" i="1"/>
  <c r="S6245" i="1"/>
  <c r="R6245" i="1"/>
  <c r="Q6245" i="1"/>
  <c r="M6245" i="1"/>
  <c r="L6245" i="1"/>
  <c r="V6244" i="1"/>
  <c r="U6244" i="1"/>
  <c r="T6244" i="1"/>
  <c r="S6244" i="1"/>
  <c r="R6244" i="1"/>
  <c r="Q6244" i="1"/>
  <c r="M6244" i="1"/>
  <c r="L6244" i="1"/>
  <c r="V6243" i="1"/>
  <c r="U6243" i="1"/>
  <c r="T6243" i="1"/>
  <c r="S6243" i="1"/>
  <c r="R6243" i="1"/>
  <c r="Q6243" i="1"/>
  <c r="M6243" i="1"/>
  <c r="L6243" i="1"/>
  <c r="V6242" i="1"/>
  <c r="U6242" i="1"/>
  <c r="T6242" i="1"/>
  <c r="S6242" i="1"/>
  <c r="R6242" i="1"/>
  <c r="Q6242" i="1"/>
  <c r="M6242" i="1"/>
  <c r="L6242" i="1"/>
  <c r="V6241" i="1"/>
  <c r="U6241" i="1"/>
  <c r="T6241" i="1"/>
  <c r="S6241" i="1"/>
  <c r="R6241" i="1"/>
  <c r="Q6241" i="1"/>
  <c r="M6241" i="1"/>
  <c r="L6241" i="1"/>
  <c r="V6240" i="1"/>
  <c r="U6240" i="1"/>
  <c r="T6240" i="1"/>
  <c r="S6240" i="1"/>
  <c r="R6240" i="1"/>
  <c r="Q6240" i="1"/>
  <c r="M6240" i="1"/>
  <c r="L6240" i="1"/>
  <c r="V6239" i="1"/>
  <c r="U6239" i="1"/>
  <c r="T6239" i="1"/>
  <c r="S6239" i="1"/>
  <c r="R6239" i="1"/>
  <c r="Q6239" i="1"/>
  <c r="M6239" i="1"/>
  <c r="L6239" i="1"/>
  <c r="V6238" i="1"/>
  <c r="U6238" i="1"/>
  <c r="T6238" i="1"/>
  <c r="S6238" i="1"/>
  <c r="R6238" i="1"/>
  <c r="Q6238" i="1"/>
  <c r="M6238" i="1"/>
  <c r="L6238" i="1"/>
  <c r="V6237" i="1"/>
  <c r="U6237" i="1"/>
  <c r="T6237" i="1"/>
  <c r="S6237" i="1"/>
  <c r="R6237" i="1"/>
  <c r="Q6237" i="1"/>
  <c r="M6237" i="1"/>
  <c r="L6237" i="1"/>
  <c r="V6236" i="1"/>
  <c r="U6236" i="1"/>
  <c r="T6236" i="1"/>
  <c r="S6236" i="1"/>
  <c r="R6236" i="1"/>
  <c r="Q6236" i="1"/>
  <c r="M6236" i="1"/>
  <c r="L6236" i="1"/>
  <c r="V6235" i="1"/>
  <c r="U6235" i="1"/>
  <c r="T6235" i="1"/>
  <c r="S6235" i="1"/>
  <c r="R6235" i="1"/>
  <c r="Q6235" i="1"/>
  <c r="M6235" i="1"/>
  <c r="L6235" i="1"/>
  <c r="V6234" i="1"/>
  <c r="U6234" i="1"/>
  <c r="T6234" i="1"/>
  <c r="S6234" i="1"/>
  <c r="R6234" i="1"/>
  <c r="Q6234" i="1"/>
  <c r="M6234" i="1"/>
  <c r="L6234" i="1"/>
  <c r="V6233" i="1"/>
  <c r="U6233" i="1"/>
  <c r="T6233" i="1"/>
  <c r="S6233" i="1"/>
  <c r="R6233" i="1"/>
  <c r="Q6233" i="1"/>
  <c r="M6233" i="1"/>
  <c r="L6233" i="1"/>
  <c r="V6232" i="1"/>
  <c r="U6232" i="1"/>
  <c r="T6232" i="1"/>
  <c r="S6232" i="1"/>
  <c r="R6232" i="1"/>
  <c r="Q6232" i="1"/>
  <c r="M6232" i="1"/>
  <c r="L6232" i="1"/>
  <c r="V6231" i="1"/>
  <c r="U6231" i="1"/>
  <c r="T6231" i="1"/>
  <c r="S6231" i="1"/>
  <c r="R6231" i="1"/>
  <c r="Q6231" i="1"/>
  <c r="M6231" i="1"/>
  <c r="L6231" i="1"/>
  <c r="V6230" i="1"/>
  <c r="U6230" i="1"/>
  <c r="T6230" i="1"/>
  <c r="S6230" i="1"/>
  <c r="R6230" i="1"/>
  <c r="Q6230" i="1"/>
  <c r="M6230" i="1"/>
  <c r="L6230" i="1"/>
  <c r="V6229" i="1"/>
  <c r="U6229" i="1"/>
  <c r="T6229" i="1"/>
  <c r="S6229" i="1"/>
  <c r="R6229" i="1"/>
  <c r="Q6229" i="1"/>
  <c r="M6229" i="1"/>
  <c r="L6229" i="1"/>
  <c r="V6228" i="1"/>
  <c r="U6228" i="1"/>
  <c r="T6228" i="1"/>
  <c r="S6228" i="1"/>
  <c r="R6228" i="1"/>
  <c r="Q6228" i="1"/>
  <c r="M6228" i="1"/>
  <c r="L6228" i="1"/>
  <c r="V6227" i="1"/>
  <c r="U6227" i="1"/>
  <c r="T6227" i="1"/>
  <c r="S6227" i="1"/>
  <c r="R6227" i="1"/>
  <c r="Q6227" i="1"/>
  <c r="M6227" i="1"/>
  <c r="L6227" i="1"/>
  <c r="V6226" i="1"/>
  <c r="U6226" i="1"/>
  <c r="T6226" i="1"/>
  <c r="S6226" i="1"/>
  <c r="R6226" i="1"/>
  <c r="Q6226" i="1"/>
  <c r="M6226" i="1"/>
  <c r="L6226" i="1"/>
  <c r="V6225" i="1"/>
  <c r="U6225" i="1"/>
  <c r="T6225" i="1"/>
  <c r="S6225" i="1"/>
  <c r="R6225" i="1"/>
  <c r="Q6225" i="1"/>
  <c r="M6225" i="1"/>
  <c r="L6225" i="1"/>
  <c r="V6224" i="1"/>
  <c r="U6224" i="1"/>
  <c r="T6224" i="1"/>
  <c r="S6224" i="1"/>
  <c r="R6224" i="1"/>
  <c r="Q6224" i="1"/>
  <c r="M6224" i="1"/>
  <c r="L6224" i="1"/>
  <c r="V6223" i="1"/>
  <c r="U6223" i="1"/>
  <c r="T6223" i="1"/>
  <c r="S6223" i="1"/>
  <c r="R6223" i="1"/>
  <c r="Q6223" i="1"/>
  <c r="M6223" i="1"/>
  <c r="L6223" i="1"/>
  <c r="V6222" i="1"/>
  <c r="U6222" i="1"/>
  <c r="T6222" i="1"/>
  <c r="S6222" i="1"/>
  <c r="R6222" i="1"/>
  <c r="Q6222" i="1"/>
  <c r="M6222" i="1"/>
  <c r="L6222" i="1"/>
  <c r="V6221" i="1"/>
  <c r="U6221" i="1"/>
  <c r="T6221" i="1"/>
  <c r="S6221" i="1"/>
  <c r="R6221" i="1"/>
  <c r="Q6221" i="1"/>
  <c r="M6221" i="1"/>
  <c r="L6221" i="1"/>
  <c r="V6220" i="1"/>
  <c r="U6220" i="1"/>
  <c r="T6220" i="1"/>
  <c r="S6220" i="1"/>
  <c r="R6220" i="1"/>
  <c r="Q6220" i="1"/>
  <c r="M6220" i="1"/>
  <c r="L6220" i="1"/>
  <c r="V6219" i="1"/>
  <c r="U6219" i="1"/>
  <c r="T6219" i="1"/>
  <c r="S6219" i="1"/>
  <c r="R6219" i="1"/>
  <c r="Q6219" i="1"/>
  <c r="M6219" i="1"/>
  <c r="L6219" i="1"/>
  <c r="V6218" i="1"/>
  <c r="U6218" i="1"/>
  <c r="T6218" i="1"/>
  <c r="S6218" i="1"/>
  <c r="R6218" i="1"/>
  <c r="Q6218" i="1"/>
  <c r="M6218" i="1"/>
  <c r="L6218" i="1"/>
  <c r="V6217" i="1"/>
  <c r="U6217" i="1"/>
  <c r="T6217" i="1"/>
  <c r="S6217" i="1"/>
  <c r="R6217" i="1"/>
  <c r="Q6217" i="1"/>
  <c r="M6217" i="1"/>
  <c r="L6217" i="1"/>
  <c r="V6216" i="1"/>
  <c r="U6216" i="1"/>
  <c r="T6216" i="1"/>
  <c r="S6216" i="1"/>
  <c r="R6216" i="1"/>
  <c r="Q6216" i="1"/>
  <c r="M6216" i="1"/>
  <c r="L6216" i="1"/>
  <c r="V6215" i="1"/>
  <c r="U6215" i="1"/>
  <c r="T6215" i="1"/>
  <c r="S6215" i="1"/>
  <c r="R6215" i="1"/>
  <c r="Q6215" i="1"/>
  <c r="M6215" i="1"/>
  <c r="L6215" i="1"/>
  <c r="V6214" i="1"/>
  <c r="U6214" i="1"/>
  <c r="T6214" i="1"/>
  <c r="S6214" i="1"/>
  <c r="R6214" i="1"/>
  <c r="Q6214" i="1"/>
  <c r="M6214" i="1"/>
  <c r="L6214" i="1"/>
  <c r="V6213" i="1"/>
  <c r="U6213" i="1"/>
  <c r="T6213" i="1"/>
  <c r="S6213" i="1"/>
  <c r="R6213" i="1"/>
  <c r="Q6213" i="1"/>
  <c r="M6213" i="1"/>
  <c r="L6213" i="1"/>
  <c r="V6212" i="1"/>
  <c r="U6212" i="1"/>
  <c r="T6212" i="1"/>
  <c r="S6212" i="1"/>
  <c r="R6212" i="1"/>
  <c r="Q6212" i="1"/>
  <c r="M6212" i="1"/>
  <c r="L6212" i="1"/>
  <c r="V6211" i="1"/>
  <c r="U6211" i="1"/>
  <c r="T6211" i="1"/>
  <c r="S6211" i="1"/>
  <c r="R6211" i="1"/>
  <c r="Q6211" i="1"/>
  <c r="M6211" i="1"/>
  <c r="L6211" i="1"/>
  <c r="V6210" i="1"/>
  <c r="U6210" i="1"/>
  <c r="T6210" i="1"/>
  <c r="S6210" i="1"/>
  <c r="R6210" i="1"/>
  <c r="Q6210" i="1"/>
  <c r="M6210" i="1"/>
  <c r="L6210" i="1"/>
  <c r="V6209" i="1"/>
  <c r="U6209" i="1"/>
  <c r="T6209" i="1"/>
  <c r="S6209" i="1"/>
  <c r="R6209" i="1"/>
  <c r="Q6209" i="1"/>
  <c r="M6209" i="1"/>
  <c r="L6209" i="1"/>
  <c r="V6208" i="1"/>
  <c r="U6208" i="1"/>
  <c r="T6208" i="1"/>
  <c r="S6208" i="1"/>
  <c r="R6208" i="1"/>
  <c r="Q6208" i="1"/>
  <c r="M6208" i="1"/>
  <c r="L6208" i="1"/>
  <c r="V6207" i="1"/>
  <c r="U6207" i="1"/>
  <c r="T6207" i="1"/>
  <c r="S6207" i="1"/>
  <c r="R6207" i="1"/>
  <c r="Q6207" i="1"/>
  <c r="M6207" i="1"/>
  <c r="L6207" i="1"/>
  <c r="V6206" i="1"/>
  <c r="U6206" i="1"/>
  <c r="T6206" i="1"/>
  <c r="S6206" i="1"/>
  <c r="R6206" i="1"/>
  <c r="Q6206" i="1"/>
  <c r="M6206" i="1"/>
  <c r="L6206" i="1"/>
  <c r="V6205" i="1"/>
  <c r="U6205" i="1"/>
  <c r="T6205" i="1"/>
  <c r="S6205" i="1"/>
  <c r="R6205" i="1"/>
  <c r="Q6205" i="1"/>
  <c r="M6205" i="1"/>
  <c r="L6205" i="1"/>
  <c r="V6204" i="1"/>
  <c r="U6204" i="1"/>
  <c r="T6204" i="1"/>
  <c r="S6204" i="1"/>
  <c r="R6204" i="1"/>
  <c r="Q6204" i="1"/>
  <c r="M6204" i="1"/>
  <c r="L6204" i="1"/>
  <c r="V6203" i="1"/>
  <c r="U6203" i="1"/>
  <c r="T6203" i="1"/>
  <c r="S6203" i="1"/>
  <c r="R6203" i="1"/>
  <c r="Q6203" i="1"/>
  <c r="M6203" i="1"/>
  <c r="L6203" i="1"/>
  <c r="V6202" i="1"/>
  <c r="U6202" i="1"/>
  <c r="T6202" i="1"/>
  <c r="S6202" i="1"/>
  <c r="R6202" i="1"/>
  <c r="Q6202" i="1"/>
  <c r="M6202" i="1"/>
  <c r="L6202" i="1"/>
  <c r="V6201" i="1"/>
  <c r="U6201" i="1"/>
  <c r="T6201" i="1"/>
  <c r="S6201" i="1"/>
  <c r="R6201" i="1"/>
  <c r="Q6201" i="1"/>
  <c r="M6201" i="1"/>
  <c r="L6201" i="1"/>
  <c r="V6200" i="1"/>
  <c r="U6200" i="1"/>
  <c r="T6200" i="1"/>
  <c r="S6200" i="1"/>
  <c r="R6200" i="1"/>
  <c r="Q6200" i="1"/>
  <c r="M6200" i="1"/>
  <c r="L6200" i="1"/>
  <c r="V6199" i="1"/>
  <c r="U6199" i="1"/>
  <c r="T6199" i="1"/>
  <c r="S6199" i="1"/>
  <c r="R6199" i="1"/>
  <c r="Q6199" i="1"/>
  <c r="M6199" i="1"/>
  <c r="L6199" i="1"/>
  <c r="V6198" i="1"/>
  <c r="U6198" i="1"/>
  <c r="T6198" i="1"/>
  <c r="S6198" i="1"/>
  <c r="R6198" i="1"/>
  <c r="Q6198" i="1"/>
  <c r="M6198" i="1"/>
  <c r="L6198" i="1"/>
  <c r="V6197" i="1"/>
  <c r="U6197" i="1"/>
  <c r="T6197" i="1"/>
  <c r="S6197" i="1"/>
  <c r="R6197" i="1"/>
  <c r="Q6197" i="1"/>
  <c r="M6197" i="1"/>
  <c r="L6197" i="1"/>
  <c r="V6196" i="1"/>
  <c r="U6196" i="1"/>
  <c r="T6196" i="1"/>
  <c r="S6196" i="1"/>
  <c r="R6196" i="1"/>
  <c r="Q6196" i="1"/>
  <c r="M6196" i="1"/>
  <c r="L6196" i="1"/>
  <c r="V6195" i="1"/>
  <c r="U6195" i="1"/>
  <c r="T6195" i="1"/>
  <c r="S6195" i="1"/>
  <c r="R6195" i="1"/>
  <c r="Q6195" i="1"/>
  <c r="M6195" i="1"/>
  <c r="L6195" i="1"/>
  <c r="V6194" i="1"/>
  <c r="U6194" i="1"/>
  <c r="T6194" i="1"/>
  <c r="S6194" i="1"/>
  <c r="R6194" i="1"/>
  <c r="Q6194" i="1"/>
  <c r="M6194" i="1"/>
  <c r="L6194" i="1"/>
  <c r="V6193" i="1"/>
  <c r="U6193" i="1"/>
  <c r="T6193" i="1"/>
  <c r="S6193" i="1"/>
  <c r="R6193" i="1"/>
  <c r="Q6193" i="1"/>
  <c r="M6193" i="1"/>
  <c r="L6193" i="1"/>
  <c r="V6192" i="1"/>
  <c r="U6192" i="1"/>
  <c r="T6192" i="1"/>
  <c r="S6192" i="1"/>
  <c r="R6192" i="1"/>
  <c r="Q6192" i="1"/>
  <c r="M6192" i="1"/>
  <c r="L6192" i="1"/>
  <c r="V6191" i="1"/>
  <c r="U6191" i="1"/>
  <c r="T6191" i="1"/>
  <c r="S6191" i="1"/>
  <c r="R6191" i="1"/>
  <c r="Q6191" i="1"/>
  <c r="M6191" i="1"/>
  <c r="L6191" i="1"/>
  <c r="V6190" i="1"/>
  <c r="U6190" i="1"/>
  <c r="T6190" i="1"/>
  <c r="S6190" i="1"/>
  <c r="R6190" i="1"/>
  <c r="Q6190" i="1"/>
  <c r="M6190" i="1"/>
  <c r="L6190" i="1"/>
  <c r="V6189" i="1"/>
  <c r="U6189" i="1"/>
  <c r="T6189" i="1"/>
  <c r="S6189" i="1"/>
  <c r="R6189" i="1"/>
  <c r="Q6189" i="1"/>
  <c r="M6189" i="1"/>
  <c r="L6189" i="1"/>
  <c r="V6188" i="1"/>
  <c r="U6188" i="1"/>
  <c r="T6188" i="1"/>
  <c r="S6188" i="1"/>
  <c r="R6188" i="1"/>
  <c r="Q6188" i="1"/>
  <c r="M6188" i="1"/>
  <c r="L6188" i="1"/>
  <c r="V6187" i="1"/>
  <c r="U6187" i="1"/>
  <c r="T6187" i="1"/>
  <c r="S6187" i="1"/>
  <c r="R6187" i="1"/>
  <c r="Q6187" i="1"/>
  <c r="M6187" i="1"/>
  <c r="L6187" i="1"/>
  <c r="V6186" i="1"/>
  <c r="U6186" i="1"/>
  <c r="T6186" i="1"/>
  <c r="S6186" i="1"/>
  <c r="R6186" i="1"/>
  <c r="Q6186" i="1"/>
  <c r="M6186" i="1"/>
  <c r="L6186" i="1"/>
  <c r="V6185" i="1"/>
  <c r="U6185" i="1"/>
  <c r="T6185" i="1"/>
  <c r="S6185" i="1"/>
  <c r="R6185" i="1"/>
  <c r="Q6185" i="1"/>
  <c r="M6185" i="1"/>
  <c r="L6185" i="1"/>
  <c r="V6184" i="1"/>
  <c r="U6184" i="1"/>
  <c r="T6184" i="1"/>
  <c r="S6184" i="1"/>
  <c r="R6184" i="1"/>
  <c r="Q6184" i="1"/>
  <c r="M6184" i="1"/>
  <c r="L6184" i="1"/>
  <c r="V6183" i="1"/>
  <c r="U6183" i="1"/>
  <c r="T6183" i="1"/>
  <c r="S6183" i="1"/>
  <c r="R6183" i="1"/>
  <c r="Q6183" i="1"/>
  <c r="M6183" i="1"/>
  <c r="L6183" i="1"/>
  <c r="V6182" i="1"/>
  <c r="U6182" i="1"/>
  <c r="T6182" i="1"/>
  <c r="S6182" i="1"/>
  <c r="R6182" i="1"/>
  <c r="Q6182" i="1"/>
  <c r="M6182" i="1"/>
  <c r="L6182" i="1"/>
  <c r="V6181" i="1"/>
  <c r="U6181" i="1"/>
  <c r="T6181" i="1"/>
  <c r="S6181" i="1"/>
  <c r="R6181" i="1"/>
  <c r="Q6181" i="1"/>
  <c r="M6181" i="1"/>
  <c r="L6181" i="1"/>
  <c r="V6180" i="1"/>
  <c r="U6180" i="1"/>
  <c r="T6180" i="1"/>
  <c r="S6180" i="1"/>
  <c r="R6180" i="1"/>
  <c r="Q6180" i="1"/>
  <c r="M6180" i="1"/>
  <c r="L6180" i="1"/>
  <c r="V6179" i="1"/>
  <c r="U6179" i="1"/>
  <c r="T6179" i="1"/>
  <c r="S6179" i="1"/>
  <c r="R6179" i="1"/>
  <c r="Q6179" i="1"/>
  <c r="M6179" i="1"/>
  <c r="L6179" i="1"/>
  <c r="V6178" i="1"/>
  <c r="U6178" i="1"/>
  <c r="T6178" i="1"/>
  <c r="S6178" i="1"/>
  <c r="R6178" i="1"/>
  <c r="Q6178" i="1"/>
  <c r="M6178" i="1"/>
  <c r="L6178" i="1"/>
  <c r="V6177" i="1"/>
  <c r="U6177" i="1"/>
  <c r="T6177" i="1"/>
  <c r="S6177" i="1"/>
  <c r="R6177" i="1"/>
  <c r="Q6177" i="1"/>
  <c r="M6177" i="1"/>
  <c r="L6177" i="1"/>
  <c r="V6176" i="1"/>
  <c r="U6176" i="1"/>
  <c r="T6176" i="1"/>
  <c r="S6176" i="1"/>
  <c r="R6176" i="1"/>
  <c r="Q6176" i="1"/>
  <c r="M6176" i="1"/>
  <c r="L6176" i="1"/>
  <c r="V6175" i="1"/>
  <c r="U6175" i="1"/>
  <c r="T6175" i="1"/>
  <c r="S6175" i="1"/>
  <c r="R6175" i="1"/>
  <c r="Q6175" i="1"/>
  <c r="M6175" i="1"/>
  <c r="L6175" i="1"/>
  <c r="V6174" i="1"/>
  <c r="U6174" i="1"/>
  <c r="T6174" i="1"/>
  <c r="S6174" i="1"/>
  <c r="R6174" i="1"/>
  <c r="Q6174" i="1"/>
  <c r="M6174" i="1"/>
  <c r="L6174" i="1"/>
  <c r="V6173" i="1"/>
  <c r="U6173" i="1"/>
  <c r="T6173" i="1"/>
  <c r="S6173" i="1"/>
  <c r="R6173" i="1"/>
  <c r="Q6173" i="1"/>
  <c r="M6173" i="1"/>
  <c r="L6173" i="1"/>
  <c r="V6172" i="1"/>
  <c r="U6172" i="1"/>
  <c r="T6172" i="1"/>
  <c r="S6172" i="1"/>
  <c r="R6172" i="1"/>
  <c r="Q6172" i="1"/>
  <c r="M6172" i="1"/>
  <c r="L6172" i="1"/>
  <c r="V6171" i="1"/>
  <c r="U6171" i="1"/>
  <c r="T6171" i="1"/>
  <c r="S6171" i="1"/>
  <c r="R6171" i="1"/>
  <c r="Q6171" i="1"/>
  <c r="M6171" i="1"/>
  <c r="L6171" i="1"/>
  <c r="V6170" i="1"/>
  <c r="U6170" i="1"/>
  <c r="T6170" i="1"/>
  <c r="S6170" i="1"/>
  <c r="R6170" i="1"/>
  <c r="Q6170" i="1"/>
  <c r="M6170" i="1"/>
  <c r="L6170" i="1"/>
  <c r="V6169" i="1"/>
  <c r="U6169" i="1"/>
  <c r="T6169" i="1"/>
  <c r="S6169" i="1"/>
  <c r="R6169" i="1"/>
  <c r="Q6169" i="1"/>
  <c r="M6169" i="1"/>
  <c r="L6169" i="1"/>
  <c r="V6168" i="1"/>
  <c r="U6168" i="1"/>
  <c r="T6168" i="1"/>
  <c r="S6168" i="1"/>
  <c r="R6168" i="1"/>
  <c r="Q6168" i="1"/>
  <c r="M6168" i="1"/>
  <c r="L6168" i="1"/>
  <c r="V6167" i="1"/>
  <c r="U6167" i="1"/>
  <c r="T6167" i="1"/>
  <c r="S6167" i="1"/>
  <c r="R6167" i="1"/>
  <c r="Q6167" i="1"/>
  <c r="M6167" i="1"/>
  <c r="L6167" i="1"/>
  <c r="V6166" i="1"/>
  <c r="U6166" i="1"/>
  <c r="T6166" i="1"/>
  <c r="S6166" i="1"/>
  <c r="R6166" i="1"/>
  <c r="Q6166" i="1"/>
  <c r="M6166" i="1"/>
  <c r="L6166" i="1"/>
  <c r="V6165" i="1"/>
  <c r="U6165" i="1"/>
  <c r="T6165" i="1"/>
  <c r="S6165" i="1"/>
  <c r="R6165" i="1"/>
  <c r="Q6165" i="1"/>
  <c r="M6165" i="1"/>
  <c r="L6165" i="1"/>
  <c r="V6164" i="1"/>
  <c r="U6164" i="1"/>
  <c r="T6164" i="1"/>
  <c r="S6164" i="1"/>
  <c r="R6164" i="1"/>
  <c r="Q6164" i="1"/>
  <c r="M6164" i="1"/>
  <c r="L6164" i="1"/>
  <c r="V6163" i="1"/>
  <c r="U6163" i="1"/>
  <c r="T6163" i="1"/>
  <c r="S6163" i="1"/>
  <c r="R6163" i="1"/>
  <c r="Q6163" i="1"/>
  <c r="M6163" i="1"/>
  <c r="L6163" i="1"/>
  <c r="V6162" i="1"/>
  <c r="U6162" i="1"/>
  <c r="T6162" i="1"/>
  <c r="S6162" i="1"/>
  <c r="R6162" i="1"/>
  <c r="Q6162" i="1"/>
  <c r="M6162" i="1"/>
  <c r="L6162" i="1"/>
  <c r="V6161" i="1"/>
  <c r="U6161" i="1"/>
  <c r="T6161" i="1"/>
  <c r="S6161" i="1"/>
  <c r="R6161" i="1"/>
  <c r="Q6161" i="1"/>
  <c r="M6161" i="1"/>
  <c r="L6161" i="1"/>
  <c r="V6160" i="1"/>
  <c r="U6160" i="1"/>
  <c r="T6160" i="1"/>
  <c r="S6160" i="1"/>
  <c r="R6160" i="1"/>
  <c r="Q6160" i="1"/>
  <c r="M6160" i="1"/>
  <c r="L6160" i="1"/>
  <c r="V6159" i="1"/>
  <c r="U6159" i="1"/>
  <c r="T6159" i="1"/>
  <c r="S6159" i="1"/>
  <c r="R6159" i="1"/>
  <c r="Q6159" i="1"/>
  <c r="M6159" i="1"/>
  <c r="L6159" i="1"/>
  <c r="V6158" i="1"/>
  <c r="U6158" i="1"/>
  <c r="T6158" i="1"/>
  <c r="S6158" i="1"/>
  <c r="R6158" i="1"/>
  <c r="Q6158" i="1"/>
  <c r="M6158" i="1"/>
  <c r="L6158" i="1"/>
  <c r="V6157" i="1"/>
  <c r="U6157" i="1"/>
  <c r="T6157" i="1"/>
  <c r="S6157" i="1"/>
  <c r="R6157" i="1"/>
  <c r="Q6157" i="1"/>
  <c r="M6157" i="1"/>
  <c r="L6157" i="1"/>
  <c r="V6156" i="1"/>
  <c r="U6156" i="1"/>
  <c r="T6156" i="1"/>
  <c r="S6156" i="1"/>
  <c r="R6156" i="1"/>
  <c r="Q6156" i="1"/>
  <c r="M6156" i="1"/>
  <c r="L6156" i="1"/>
  <c r="V6155" i="1"/>
  <c r="U6155" i="1"/>
  <c r="T6155" i="1"/>
  <c r="S6155" i="1"/>
  <c r="R6155" i="1"/>
  <c r="Q6155" i="1"/>
  <c r="M6155" i="1"/>
  <c r="L6155" i="1"/>
  <c r="V6154" i="1"/>
  <c r="U6154" i="1"/>
  <c r="T6154" i="1"/>
  <c r="S6154" i="1"/>
  <c r="R6154" i="1"/>
  <c r="Q6154" i="1"/>
  <c r="M6154" i="1"/>
  <c r="L6154" i="1"/>
  <c r="V6153" i="1"/>
  <c r="U6153" i="1"/>
  <c r="T6153" i="1"/>
  <c r="S6153" i="1"/>
  <c r="R6153" i="1"/>
  <c r="Q6153" i="1"/>
  <c r="M6153" i="1"/>
  <c r="L6153" i="1"/>
  <c r="V6152" i="1"/>
  <c r="U6152" i="1"/>
  <c r="T6152" i="1"/>
  <c r="S6152" i="1"/>
  <c r="R6152" i="1"/>
  <c r="Q6152" i="1"/>
  <c r="M6152" i="1"/>
  <c r="L6152" i="1"/>
  <c r="V6151" i="1"/>
  <c r="U6151" i="1"/>
  <c r="T6151" i="1"/>
  <c r="S6151" i="1"/>
  <c r="R6151" i="1"/>
  <c r="Q6151" i="1"/>
  <c r="M6151" i="1"/>
  <c r="L6151" i="1"/>
  <c r="V6150" i="1"/>
  <c r="U6150" i="1"/>
  <c r="T6150" i="1"/>
  <c r="S6150" i="1"/>
  <c r="R6150" i="1"/>
  <c r="Q6150" i="1"/>
  <c r="M6150" i="1"/>
  <c r="L6150" i="1"/>
  <c r="V6149" i="1"/>
  <c r="U6149" i="1"/>
  <c r="T6149" i="1"/>
  <c r="S6149" i="1"/>
  <c r="R6149" i="1"/>
  <c r="Q6149" i="1"/>
  <c r="M6149" i="1"/>
  <c r="L6149" i="1"/>
  <c r="V6148" i="1"/>
  <c r="U6148" i="1"/>
  <c r="T6148" i="1"/>
  <c r="S6148" i="1"/>
  <c r="R6148" i="1"/>
  <c r="Q6148" i="1"/>
  <c r="M6148" i="1"/>
  <c r="L6148" i="1"/>
  <c r="V6147" i="1"/>
  <c r="U6147" i="1"/>
  <c r="T6147" i="1"/>
  <c r="S6147" i="1"/>
  <c r="R6147" i="1"/>
  <c r="Q6147" i="1"/>
  <c r="M6147" i="1"/>
  <c r="L6147" i="1"/>
  <c r="V6146" i="1"/>
  <c r="U6146" i="1"/>
  <c r="T6146" i="1"/>
  <c r="S6146" i="1"/>
  <c r="R6146" i="1"/>
  <c r="Q6146" i="1"/>
  <c r="M6146" i="1"/>
  <c r="L6146" i="1"/>
  <c r="V6145" i="1"/>
  <c r="U6145" i="1"/>
  <c r="T6145" i="1"/>
  <c r="S6145" i="1"/>
  <c r="R6145" i="1"/>
  <c r="Q6145" i="1"/>
  <c r="M6145" i="1"/>
  <c r="L6145" i="1"/>
  <c r="V6144" i="1"/>
  <c r="U6144" i="1"/>
  <c r="T6144" i="1"/>
  <c r="S6144" i="1"/>
  <c r="R6144" i="1"/>
  <c r="Q6144" i="1"/>
  <c r="M6144" i="1"/>
  <c r="L6144" i="1"/>
  <c r="V6143" i="1"/>
  <c r="U6143" i="1"/>
  <c r="T6143" i="1"/>
  <c r="S6143" i="1"/>
  <c r="R6143" i="1"/>
  <c r="Q6143" i="1"/>
  <c r="M6143" i="1"/>
  <c r="L6143" i="1"/>
  <c r="V6142" i="1"/>
  <c r="U6142" i="1"/>
  <c r="T6142" i="1"/>
  <c r="S6142" i="1"/>
  <c r="R6142" i="1"/>
  <c r="Q6142" i="1"/>
  <c r="M6142" i="1"/>
  <c r="L6142" i="1"/>
  <c r="V6141" i="1"/>
  <c r="U6141" i="1"/>
  <c r="T6141" i="1"/>
  <c r="S6141" i="1"/>
  <c r="R6141" i="1"/>
  <c r="Q6141" i="1"/>
  <c r="M6141" i="1"/>
  <c r="L6141" i="1"/>
  <c r="V6140" i="1"/>
  <c r="U6140" i="1"/>
  <c r="T6140" i="1"/>
  <c r="S6140" i="1"/>
  <c r="R6140" i="1"/>
  <c r="Q6140" i="1"/>
  <c r="M6140" i="1"/>
  <c r="L6140" i="1"/>
  <c r="V6139" i="1"/>
  <c r="U6139" i="1"/>
  <c r="T6139" i="1"/>
  <c r="S6139" i="1"/>
  <c r="R6139" i="1"/>
  <c r="Q6139" i="1"/>
  <c r="M6139" i="1"/>
  <c r="L6139" i="1"/>
  <c r="V6138" i="1"/>
  <c r="U6138" i="1"/>
  <c r="T6138" i="1"/>
  <c r="S6138" i="1"/>
  <c r="R6138" i="1"/>
  <c r="Q6138" i="1"/>
  <c r="M6138" i="1"/>
  <c r="L6138" i="1"/>
  <c r="V6137" i="1"/>
  <c r="U6137" i="1"/>
  <c r="T6137" i="1"/>
  <c r="S6137" i="1"/>
  <c r="R6137" i="1"/>
  <c r="Q6137" i="1"/>
  <c r="M6137" i="1"/>
  <c r="L6137" i="1"/>
  <c r="V6136" i="1"/>
  <c r="U6136" i="1"/>
  <c r="T6136" i="1"/>
  <c r="S6136" i="1"/>
  <c r="R6136" i="1"/>
  <c r="Q6136" i="1"/>
  <c r="M6136" i="1"/>
  <c r="L6136" i="1"/>
  <c r="V6135" i="1"/>
  <c r="U6135" i="1"/>
  <c r="T6135" i="1"/>
  <c r="S6135" i="1"/>
  <c r="R6135" i="1"/>
  <c r="Q6135" i="1"/>
  <c r="M6135" i="1"/>
  <c r="L6135" i="1"/>
  <c r="V6134" i="1"/>
  <c r="U6134" i="1"/>
  <c r="T6134" i="1"/>
  <c r="S6134" i="1"/>
  <c r="R6134" i="1"/>
  <c r="Q6134" i="1"/>
  <c r="M6134" i="1"/>
  <c r="L6134" i="1"/>
  <c r="V6133" i="1"/>
  <c r="U6133" i="1"/>
  <c r="T6133" i="1"/>
  <c r="S6133" i="1"/>
  <c r="R6133" i="1"/>
  <c r="Q6133" i="1"/>
  <c r="M6133" i="1"/>
  <c r="L6133" i="1"/>
  <c r="V6132" i="1"/>
  <c r="U6132" i="1"/>
  <c r="T6132" i="1"/>
  <c r="S6132" i="1"/>
  <c r="R6132" i="1"/>
  <c r="Q6132" i="1"/>
  <c r="M6132" i="1"/>
  <c r="L6132" i="1"/>
  <c r="V6131" i="1"/>
  <c r="U6131" i="1"/>
  <c r="T6131" i="1"/>
  <c r="S6131" i="1"/>
  <c r="R6131" i="1"/>
  <c r="Q6131" i="1"/>
  <c r="M6131" i="1"/>
  <c r="L6131" i="1"/>
  <c r="V6130" i="1"/>
  <c r="U6130" i="1"/>
  <c r="T6130" i="1"/>
  <c r="S6130" i="1"/>
  <c r="R6130" i="1"/>
  <c r="Q6130" i="1"/>
  <c r="M6130" i="1"/>
  <c r="L6130" i="1"/>
  <c r="V6129" i="1"/>
  <c r="Z6129" i="1" s="1"/>
  <c r="U6129" i="1"/>
  <c r="T6129" i="1"/>
  <c r="S6129" i="1"/>
  <c r="R6129" i="1"/>
  <c r="Q6129" i="1"/>
  <c r="M6129" i="1"/>
  <c r="L6129" i="1"/>
  <c r="V6128" i="1"/>
  <c r="U6128" i="1"/>
  <c r="T6128" i="1"/>
  <c r="S6128" i="1"/>
  <c r="R6128" i="1"/>
  <c r="Q6128" i="1"/>
  <c r="M6128" i="1"/>
  <c r="L6128" i="1"/>
  <c r="V6127" i="1"/>
  <c r="U6127" i="1"/>
  <c r="T6127" i="1"/>
  <c r="S6127" i="1"/>
  <c r="R6127" i="1"/>
  <c r="Q6127" i="1"/>
  <c r="M6127" i="1"/>
  <c r="L6127" i="1"/>
  <c r="V6126" i="1"/>
  <c r="U6126" i="1"/>
  <c r="T6126" i="1"/>
  <c r="S6126" i="1"/>
  <c r="R6126" i="1"/>
  <c r="Q6126" i="1"/>
  <c r="M6126" i="1"/>
  <c r="L6126" i="1"/>
  <c r="V6125" i="1"/>
  <c r="U6125" i="1"/>
  <c r="T6125" i="1"/>
  <c r="S6125" i="1"/>
  <c r="R6125" i="1"/>
  <c r="Q6125" i="1"/>
  <c r="M6125" i="1"/>
  <c r="L6125" i="1"/>
  <c r="V6124" i="1"/>
  <c r="U6124" i="1"/>
  <c r="T6124" i="1"/>
  <c r="S6124" i="1"/>
  <c r="R6124" i="1"/>
  <c r="Q6124" i="1"/>
  <c r="M6124" i="1"/>
  <c r="L6124" i="1"/>
  <c r="V6123" i="1"/>
  <c r="U6123" i="1"/>
  <c r="T6123" i="1"/>
  <c r="S6123" i="1"/>
  <c r="R6123" i="1"/>
  <c r="Q6123" i="1"/>
  <c r="M6123" i="1"/>
  <c r="L6123" i="1"/>
  <c r="V6122" i="1"/>
  <c r="U6122" i="1"/>
  <c r="T6122" i="1"/>
  <c r="S6122" i="1"/>
  <c r="R6122" i="1"/>
  <c r="Q6122" i="1"/>
  <c r="M6122" i="1"/>
  <c r="L6122" i="1"/>
  <c r="V6121" i="1"/>
  <c r="U6121" i="1"/>
  <c r="T6121" i="1"/>
  <c r="S6121" i="1"/>
  <c r="R6121" i="1"/>
  <c r="Q6121" i="1"/>
  <c r="M6121" i="1"/>
  <c r="L6121" i="1"/>
  <c r="V6120" i="1"/>
  <c r="U6120" i="1"/>
  <c r="T6120" i="1"/>
  <c r="S6120" i="1"/>
  <c r="R6120" i="1"/>
  <c r="Q6120" i="1"/>
  <c r="M6120" i="1"/>
  <c r="L6120" i="1"/>
  <c r="V6119" i="1"/>
  <c r="U6119" i="1"/>
  <c r="T6119" i="1"/>
  <c r="S6119" i="1"/>
  <c r="R6119" i="1"/>
  <c r="Q6119" i="1"/>
  <c r="M6119" i="1"/>
  <c r="L6119" i="1"/>
  <c r="V6118" i="1"/>
  <c r="U6118" i="1"/>
  <c r="T6118" i="1"/>
  <c r="S6118" i="1"/>
  <c r="R6118" i="1"/>
  <c r="Q6118" i="1"/>
  <c r="M6118" i="1"/>
  <c r="L6118" i="1"/>
  <c r="V6117" i="1"/>
  <c r="U6117" i="1"/>
  <c r="T6117" i="1"/>
  <c r="S6117" i="1"/>
  <c r="R6117" i="1"/>
  <c r="Q6117" i="1"/>
  <c r="M6117" i="1"/>
  <c r="L6117" i="1"/>
  <c r="V6116" i="1"/>
  <c r="U6116" i="1"/>
  <c r="T6116" i="1"/>
  <c r="S6116" i="1"/>
  <c r="R6116" i="1"/>
  <c r="Q6116" i="1"/>
  <c r="M6116" i="1"/>
  <c r="L6116" i="1"/>
  <c r="V6115" i="1"/>
  <c r="U6115" i="1"/>
  <c r="T6115" i="1"/>
  <c r="S6115" i="1"/>
  <c r="R6115" i="1"/>
  <c r="Q6115" i="1"/>
  <c r="M6115" i="1"/>
  <c r="L6115" i="1"/>
  <c r="V6114" i="1"/>
  <c r="U6114" i="1"/>
  <c r="T6114" i="1"/>
  <c r="S6114" i="1"/>
  <c r="R6114" i="1"/>
  <c r="Q6114" i="1"/>
  <c r="M6114" i="1"/>
  <c r="L6114" i="1"/>
  <c r="V6113" i="1"/>
  <c r="U6113" i="1"/>
  <c r="T6113" i="1"/>
  <c r="S6113" i="1"/>
  <c r="R6113" i="1"/>
  <c r="Q6113" i="1"/>
  <c r="M6113" i="1"/>
  <c r="L6113" i="1"/>
  <c r="V6112" i="1"/>
  <c r="U6112" i="1"/>
  <c r="T6112" i="1"/>
  <c r="S6112" i="1"/>
  <c r="R6112" i="1"/>
  <c r="Q6112" i="1"/>
  <c r="M6112" i="1"/>
  <c r="L6112" i="1"/>
  <c r="V6111" i="1"/>
  <c r="U6111" i="1"/>
  <c r="T6111" i="1"/>
  <c r="S6111" i="1"/>
  <c r="R6111" i="1"/>
  <c r="Q6111" i="1"/>
  <c r="M6111" i="1"/>
  <c r="L6111" i="1"/>
  <c r="V6110" i="1"/>
  <c r="U6110" i="1"/>
  <c r="T6110" i="1"/>
  <c r="S6110" i="1"/>
  <c r="R6110" i="1"/>
  <c r="Q6110" i="1"/>
  <c r="M6110" i="1"/>
  <c r="L6110" i="1"/>
  <c r="V6109" i="1"/>
  <c r="U6109" i="1"/>
  <c r="T6109" i="1"/>
  <c r="S6109" i="1"/>
  <c r="R6109" i="1"/>
  <c r="Q6109" i="1"/>
  <c r="M6109" i="1"/>
  <c r="L6109" i="1"/>
  <c r="V6108" i="1"/>
  <c r="U6108" i="1"/>
  <c r="T6108" i="1"/>
  <c r="S6108" i="1"/>
  <c r="R6108" i="1"/>
  <c r="Q6108" i="1"/>
  <c r="M6108" i="1"/>
  <c r="L6108" i="1"/>
  <c r="V6107" i="1"/>
  <c r="U6107" i="1"/>
  <c r="T6107" i="1"/>
  <c r="S6107" i="1"/>
  <c r="R6107" i="1"/>
  <c r="Q6107" i="1"/>
  <c r="M6107" i="1"/>
  <c r="L6107" i="1"/>
  <c r="V6106" i="1"/>
  <c r="U6106" i="1"/>
  <c r="T6106" i="1"/>
  <c r="S6106" i="1"/>
  <c r="R6106" i="1"/>
  <c r="Q6106" i="1"/>
  <c r="M6106" i="1"/>
  <c r="L6106" i="1"/>
  <c r="V6105" i="1"/>
  <c r="U6105" i="1"/>
  <c r="T6105" i="1"/>
  <c r="S6105" i="1"/>
  <c r="R6105" i="1"/>
  <c r="Q6105" i="1"/>
  <c r="M6105" i="1"/>
  <c r="L6105" i="1"/>
  <c r="V6104" i="1"/>
  <c r="U6104" i="1"/>
  <c r="T6104" i="1"/>
  <c r="S6104" i="1"/>
  <c r="R6104" i="1"/>
  <c r="Q6104" i="1"/>
  <c r="M6104" i="1"/>
  <c r="L6104" i="1"/>
  <c r="V6103" i="1"/>
  <c r="U6103" i="1"/>
  <c r="T6103" i="1"/>
  <c r="S6103" i="1"/>
  <c r="R6103" i="1"/>
  <c r="Q6103" i="1"/>
  <c r="M6103" i="1"/>
  <c r="L6103" i="1"/>
  <c r="V6102" i="1"/>
  <c r="U6102" i="1"/>
  <c r="T6102" i="1"/>
  <c r="S6102" i="1"/>
  <c r="R6102" i="1"/>
  <c r="Q6102" i="1"/>
  <c r="M6102" i="1"/>
  <c r="L6102" i="1"/>
  <c r="V6101" i="1"/>
  <c r="U6101" i="1"/>
  <c r="T6101" i="1"/>
  <c r="S6101" i="1"/>
  <c r="R6101" i="1"/>
  <c r="Q6101" i="1"/>
  <c r="M6101" i="1"/>
  <c r="L6101" i="1"/>
  <c r="V6100" i="1"/>
  <c r="U6100" i="1"/>
  <c r="T6100" i="1"/>
  <c r="S6100" i="1"/>
  <c r="R6100" i="1"/>
  <c r="Q6100" i="1"/>
  <c r="M6100" i="1"/>
  <c r="L6100" i="1"/>
  <c r="V6099" i="1"/>
  <c r="U6099" i="1"/>
  <c r="T6099" i="1"/>
  <c r="S6099" i="1"/>
  <c r="R6099" i="1"/>
  <c r="Q6099" i="1"/>
  <c r="M6099" i="1"/>
  <c r="L6099" i="1"/>
  <c r="V6098" i="1"/>
  <c r="U6098" i="1"/>
  <c r="T6098" i="1"/>
  <c r="S6098" i="1"/>
  <c r="R6098" i="1"/>
  <c r="Q6098" i="1"/>
  <c r="M6098" i="1"/>
  <c r="L6098" i="1"/>
  <c r="V6097" i="1"/>
  <c r="U6097" i="1"/>
  <c r="T6097" i="1"/>
  <c r="S6097" i="1"/>
  <c r="R6097" i="1"/>
  <c r="Q6097" i="1"/>
  <c r="M6097" i="1"/>
  <c r="L6097" i="1"/>
  <c r="V6096" i="1"/>
  <c r="U6096" i="1"/>
  <c r="T6096" i="1"/>
  <c r="S6096" i="1"/>
  <c r="R6096" i="1"/>
  <c r="Q6096" i="1"/>
  <c r="M6096" i="1"/>
  <c r="L6096" i="1"/>
  <c r="V6095" i="1"/>
  <c r="U6095" i="1"/>
  <c r="T6095" i="1"/>
  <c r="S6095" i="1"/>
  <c r="R6095" i="1"/>
  <c r="Q6095" i="1"/>
  <c r="M6095" i="1"/>
  <c r="L6095" i="1"/>
  <c r="V6094" i="1"/>
  <c r="U6094" i="1"/>
  <c r="T6094" i="1"/>
  <c r="S6094" i="1"/>
  <c r="R6094" i="1"/>
  <c r="Q6094" i="1"/>
  <c r="M6094" i="1"/>
  <c r="L6094" i="1"/>
  <c r="V6093" i="1"/>
  <c r="U6093" i="1"/>
  <c r="T6093" i="1"/>
  <c r="S6093" i="1"/>
  <c r="R6093" i="1"/>
  <c r="Q6093" i="1"/>
  <c r="M6093" i="1"/>
  <c r="L6093" i="1"/>
  <c r="V6092" i="1"/>
  <c r="U6092" i="1"/>
  <c r="T6092" i="1"/>
  <c r="S6092" i="1"/>
  <c r="R6092" i="1"/>
  <c r="Q6092" i="1"/>
  <c r="M6092" i="1"/>
  <c r="L6092" i="1"/>
  <c r="V6091" i="1"/>
  <c r="U6091" i="1"/>
  <c r="T6091" i="1"/>
  <c r="S6091" i="1"/>
  <c r="R6091" i="1"/>
  <c r="Q6091" i="1"/>
  <c r="M6091" i="1"/>
  <c r="L6091" i="1"/>
  <c r="V6090" i="1"/>
  <c r="U6090" i="1"/>
  <c r="T6090" i="1"/>
  <c r="S6090" i="1"/>
  <c r="R6090" i="1"/>
  <c r="Q6090" i="1"/>
  <c r="M6090" i="1"/>
  <c r="L6090" i="1"/>
  <c r="V6089" i="1"/>
  <c r="U6089" i="1"/>
  <c r="T6089" i="1"/>
  <c r="S6089" i="1"/>
  <c r="R6089" i="1"/>
  <c r="Q6089" i="1"/>
  <c r="M6089" i="1"/>
  <c r="L6089" i="1"/>
  <c r="V6088" i="1"/>
  <c r="U6088" i="1"/>
  <c r="T6088" i="1"/>
  <c r="S6088" i="1"/>
  <c r="R6088" i="1"/>
  <c r="Q6088" i="1"/>
  <c r="M6088" i="1"/>
  <c r="L6088" i="1"/>
  <c r="V6087" i="1"/>
  <c r="U6087" i="1"/>
  <c r="T6087" i="1"/>
  <c r="S6087" i="1"/>
  <c r="R6087" i="1"/>
  <c r="Q6087" i="1"/>
  <c r="M6087" i="1"/>
  <c r="L6087" i="1"/>
  <c r="V6086" i="1"/>
  <c r="U6086" i="1"/>
  <c r="T6086" i="1"/>
  <c r="S6086" i="1"/>
  <c r="R6086" i="1"/>
  <c r="Q6086" i="1"/>
  <c r="M6086" i="1"/>
  <c r="L6086" i="1"/>
  <c r="V6085" i="1"/>
  <c r="U6085" i="1"/>
  <c r="T6085" i="1"/>
  <c r="S6085" i="1"/>
  <c r="R6085" i="1"/>
  <c r="Q6085" i="1"/>
  <c r="M6085" i="1"/>
  <c r="L6085" i="1"/>
  <c r="V6084" i="1"/>
  <c r="U6084" i="1"/>
  <c r="T6084" i="1"/>
  <c r="S6084" i="1"/>
  <c r="R6084" i="1"/>
  <c r="Q6084" i="1"/>
  <c r="M6084" i="1"/>
  <c r="L6084" i="1"/>
  <c r="V6083" i="1"/>
  <c r="U6083" i="1"/>
  <c r="T6083" i="1"/>
  <c r="S6083" i="1"/>
  <c r="R6083" i="1"/>
  <c r="Q6083" i="1"/>
  <c r="M6083" i="1"/>
  <c r="L6083" i="1"/>
  <c r="V6082" i="1"/>
  <c r="U6082" i="1"/>
  <c r="T6082" i="1"/>
  <c r="S6082" i="1"/>
  <c r="R6082" i="1"/>
  <c r="Q6082" i="1"/>
  <c r="M6082" i="1"/>
  <c r="L6082" i="1"/>
  <c r="V6081" i="1"/>
  <c r="U6081" i="1"/>
  <c r="T6081" i="1"/>
  <c r="S6081" i="1"/>
  <c r="R6081" i="1"/>
  <c r="Q6081" i="1"/>
  <c r="M6081" i="1"/>
  <c r="L6081" i="1"/>
  <c r="V6080" i="1"/>
  <c r="U6080" i="1"/>
  <c r="T6080" i="1"/>
  <c r="S6080" i="1"/>
  <c r="R6080" i="1"/>
  <c r="Q6080" i="1"/>
  <c r="M6080" i="1"/>
  <c r="L6080" i="1"/>
  <c r="V6079" i="1"/>
  <c r="U6079" i="1"/>
  <c r="T6079" i="1"/>
  <c r="S6079" i="1"/>
  <c r="R6079" i="1"/>
  <c r="Q6079" i="1"/>
  <c r="M6079" i="1"/>
  <c r="L6079" i="1"/>
  <c r="V6078" i="1"/>
  <c r="U6078" i="1"/>
  <c r="T6078" i="1"/>
  <c r="S6078" i="1"/>
  <c r="R6078" i="1"/>
  <c r="Q6078" i="1"/>
  <c r="M6078" i="1"/>
  <c r="L6078" i="1"/>
  <c r="V6077" i="1"/>
  <c r="U6077" i="1"/>
  <c r="T6077" i="1"/>
  <c r="S6077" i="1"/>
  <c r="R6077" i="1"/>
  <c r="Q6077" i="1"/>
  <c r="M6077" i="1"/>
  <c r="L6077" i="1"/>
  <c r="V6076" i="1"/>
  <c r="U6076" i="1"/>
  <c r="T6076" i="1"/>
  <c r="S6076" i="1"/>
  <c r="R6076" i="1"/>
  <c r="Q6076" i="1"/>
  <c r="M6076" i="1"/>
  <c r="L6076" i="1"/>
  <c r="V6075" i="1"/>
  <c r="U6075" i="1"/>
  <c r="T6075" i="1"/>
  <c r="S6075" i="1"/>
  <c r="R6075" i="1"/>
  <c r="Q6075" i="1"/>
  <c r="M6075" i="1"/>
  <c r="L6075" i="1"/>
  <c r="V6074" i="1"/>
  <c r="U6074" i="1"/>
  <c r="T6074" i="1"/>
  <c r="S6074" i="1"/>
  <c r="R6074" i="1"/>
  <c r="Q6074" i="1"/>
  <c r="M6074" i="1"/>
  <c r="L6074" i="1"/>
  <c r="V6073" i="1"/>
  <c r="U6073" i="1"/>
  <c r="T6073" i="1"/>
  <c r="S6073" i="1"/>
  <c r="R6073" i="1"/>
  <c r="Q6073" i="1"/>
  <c r="M6073" i="1"/>
  <c r="L6073" i="1"/>
  <c r="V6072" i="1"/>
  <c r="U6072" i="1"/>
  <c r="T6072" i="1"/>
  <c r="S6072" i="1"/>
  <c r="R6072" i="1"/>
  <c r="Q6072" i="1"/>
  <c r="M6072" i="1"/>
  <c r="L6072" i="1"/>
  <c r="V6071" i="1"/>
  <c r="U6071" i="1"/>
  <c r="T6071" i="1"/>
  <c r="S6071" i="1"/>
  <c r="R6071" i="1"/>
  <c r="Q6071" i="1"/>
  <c r="M6071" i="1"/>
  <c r="L6071" i="1"/>
  <c r="V6070" i="1"/>
  <c r="U6070" i="1"/>
  <c r="T6070" i="1"/>
  <c r="S6070" i="1"/>
  <c r="R6070" i="1"/>
  <c r="Q6070" i="1"/>
  <c r="M6070" i="1"/>
  <c r="L6070" i="1"/>
  <c r="V6069" i="1"/>
  <c r="U6069" i="1"/>
  <c r="T6069" i="1"/>
  <c r="S6069" i="1"/>
  <c r="R6069" i="1"/>
  <c r="Q6069" i="1"/>
  <c r="M6069" i="1"/>
  <c r="L6069" i="1"/>
  <c r="V6068" i="1"/>
  <c r="U6068" i="1"/>
  <c r="T6068" i="1"/>
  <c r="S6068" i="1"/>
  <c r="R6068" i="1"/>
  <c r="Q6068" i="1"/>
  <c r="M6068" i="1"/>
  <c r="L6068" i="1"/>
  <c r="V6067" i="1"/>
  <c r="U6067" i="1"/>
  <c r="T6067" i="1"/>
  <c r="S6067" i="1"/>
  <c r="R6067" i="1"/>
  <c r="Q6067" i="1"/>
  <c r="M6067" i="1"/>
  <c r="L6067" i="1"/>
  <c r="V6066" i="1"/>
  <c r="U6066" i="1"/>
  <c r="T6066" i="1"/>
  <c r="S6066" i="1"/>
  <c r="R6066" i="1"/>
  <c r="Q6066" i="1"/>
  <c r="M6066" i="1"/>
  <c r="L6066" i="1"/>
  <c r="V6065" i="1"/>
  <c r="U6065" i="1"/>
  <c r="T6065" i="1"/>
  <c r="S6065" i="1"/>
  <c r="R6065" i="1"/>
  <c r="Q6065" i="1"/>
  <c r="M6065" i="1"/>
  <c r="L6065" i="1"/>
  <c r="V6064" i="1"/>
  <c r="U6064" i="1"/>
  <c r="T6064" i="1"/>
  <c r="S6064" i="1"/>
  <c r="R6064" i="1"/>
  <c r="Q6064" i="1"/>
  <c r="M6064" i="1"/>
  <c r="L6064" i="1"/>
  <c r="V6063" i="1"/>
  <c r="U6063" i="1"/>
  <c r="T6063" i="1"/>
  <c r="S6063" i="1"/>
  <c r="R6063" i="1"/>
  <c r="Q6063" i="1"/>
  <c r="M6063" i="1"/>
  <c r="L6063" i="1"/>
  <c r="V6062" i="1"/>
  <c r="U6062" i="1"/>
  <c r="T6062" i="1"/>
  <c r="S6062" i="1"/>
  <c r="R6062" i="1"/>
  <c r="Q6062" i="1"/>
  <c r="M6062" i="1"/>
  <c r="L6062" i="1"/>
  <c r="V6061" i="1"/>
  <c r="U6061" i="1"/>
  <c r="T6061" i="1"/>
  <c r="S6061" i="1"/>
  <c r="R6061" i="1"/>
  <c r="Q6061" i="1"/>
  <c r="M6061" i="1"/>
  <c r="L6061" i="1"/>
  <c r="V6060" i="1"/>
  <c r="U6060" i="1"/>
  <c r="T6060" i="1"/>
  <c r="S6060" i="1"/>
  <c r="R6060" i="1"/>
  <c r="Q6060" i="1"/>
  <c r="M6060" i="1"/>
  <c r="L6060" i="1"/>
  <c r="V6059" i="1"/>
  <c r="U6059" i="1"/>
  <c r="T6059" i="1"/>
  <c r="S6059" i="1"/>
  <c r="R6059" i="1"/>
  <c r="Q6059" i="1"/>
  <c r="M6059" i="1"/>
  <c r="L6059" i="1"/>
  <c r="V6058" i="1"/>
  <c r="U6058" i="1"/>
  <c r="T6058" i="1"/>
  <c r="S6058" i="1"/>
  <c r="R6058" i="1"/>
  <c r="Q6058" i="1"/>
  <c r="M6058" i="1"/>
  <c r="L6058" i="1"/>
  <c r="V6057" i="1"/>
  <c r="U6057" i="1"/>
  <c r="T6057" i="1"/>
  <c r="S6057" i="1"/>
  <c r="R6057" i="1"/>
  <c r="Q6057" i="1"/>
  <c r="M6057" i="1"/>
  <c r="L6057" i="1"/>
  <c r="V6056" i="1"/>
  <c r="U6056" i="1"/>
  <c r="T6056" i="1"/>
  <c r="S6056" i="1"/>
  <c r="R6056" i="1"/>
  <c r="Q6056" i="1"/>
  <c r="M6056" i="1"/>
  <c r="L6056" i="1"/>
  <c r="V6055" i="1"/>
  <c r="U6055" i="1"/>
  <c r="T6055" i="1"/>
  <c r="S6055" i="1"/>
  <c r="R6055" i="1"/>
  <c r="Q6055" i="1"/>
  <c r="M6055" i="1"/>
  <c r="L6055" i="1"/>
  <c r="V6054" i="1"/>
  <c r="U6054" i="1"/>
  <c r="T6054" i="1"/>
  <c r="S6054" i="1"/>
  <c r="R6054" i="1"/>
  <c r="Q6054" i="1"/>
  <c r="M6054" i="1"/>
  <c r="L6054" i="1"/>
  <c r="V6053" i="1"/>
  <c r="U6053" i="1"/>
  <c r="T6053" i="1"/>
  <c r="S6053" i="1"/>
  <c r="R6053" i="1"/>
  <c r="Q6053" i="1"/>
  <c r="M6053" i="1"/>
  <c r="L6053" i="1"/>
  <c r="V6052" i="1"/>
  <c r="U6052" i="1"/>
  <c r="T6052" i="1"/>
  <c r="S6052" i="1"/>
  <c r="R6052" i="1"/>
  <c r="Q6052" i="1"/>
  <c r="M6052" i="1"/>
  <c r="L6052" i="1"/>
  <c r="V6051" i="1"/>
  <c r="U6051" i="1"/>
  <c r="T6051" i="1"/>
  <c r="S6051" i="1"/>
  <c r="R6051" i="1"/>
  <c r="Q6051" i="1"/>
  <c r="M6051" i="1"/>
  <c r="L6051" i="1"/>
  <c r="V6050" i="1"/>
  <c r="U6050" i="1"/>
  <c r="T6050" i="1"/>
  <c r="S6050" i="1"/>
  <c r="R6050" i="1"/>
  <c r="Q6050" i="1"/>
  <c r="M6050" i="1"/>
  <c r="L6050" i="1"/>
  <c r="V6049" i="1"/>
  <c r="U6049" i="1"/>
  <c r="T6049" i="1"/>
  <c r="S6049" i="1"/>
  <c r="R6049" i="1"/>
  <c r="Q6049" i="1"/>
  <c r="M6049" i="1"/>
  <c r="L6049" i="1"/>
  <c r="V6048" i="1"/>
  <c r="U6048" i="1"/>
  <c r="T6048" i="1"/>
  <c r="S6048" i="1"/>
  <c r="R6048" i="1"/>
  <c r="Q6048" i="1"/>
  <c r="M6048" i="1"/>
  <c r="L6048" i="1"/>
  <c r="V6047" i="1"/>
  <c r="U6047" i="1"/>
  <c r="T6047" i="1"/>
  <c r="S6047" i="1"/>
  <c r="R6047" i="1"/>
  <c r="Q6047" i="1"/>
  <c r="M6047" i="1"/>
  <c r="L6047" i="1"/>
  <c r="V6046" i="1"/>
  <c r="U6046" i="1"/>
  <c r="T6046" i="1"/>
  <c r="S6046" i="1"/>
  <c r="R6046" i="1"/>
  <c r="Q6046" i="1"/>
  <c r="M6046" i="1"/>
  <c r="L6046" i="1"/>
  <c r="V6045" i="1"/>
  <c r="U6045" i="1"/>
  <c r="T6045" i="1"/>
  <c r="S6045" i="1"/>
  <c r="R6045" i="1"/>
  <c r="Q6045" i="1"/>
  <c r="M6045" i="1"/>
  <c r="L6045" i="1"/>
  <c r="V6044" i="1"/>
  <c r="U6044" i="1"/>
  <c r="T6044" i="1"/>
  <c r="W6044" i="1" s="1"/>
  <c r="S6044" i="1"/>
  <c r="R6044" i="1"/>
  <c r="Q6044" i="1"/>
  <c r="M6044" i="1"/>
  <c r="L6044" i="1"/>
  <c r="V6043" i="1"/>
  <c r="U6043" i="1"/>
  <c r="T6043" i="1"/>
  <c r="S6043" i="1"/>
  <c r="R6043" i="1"/>
  <c r="Q6043" i="1"/>
  <c r="M6043" i="1"/>
  <c r="L6043" i="1"/>
  <c r="V6042" i="1"/>
  <c r="U6042" i="1"/>
  <c r="T6042" i="1"/>
  <c r="S6042" i="1"/>
  <c r="R6042" i="1"/>
  <c r="Q6042" i="1"/>
  <c r="M6042" i="1"/>
  <c r="L6042" i="1"/>
  <c r="V6041" i="1"/>
  <c r="U6041" i="1"/>
  <c r="T6041" i="1"/>
  <c r="S6041" i="1"/>
  <c r="R6041" i="1"/>
  <c r="Q6041" i="1"/>
  <c r="M6041" i="1"/>
  <c r="L6041" i="1"/>
  <c r="V6040" i="1"/>
  <c r="U6040" i="1"/>
  <c r="T6040" i="1"/>
  <c r="S6040" i="1"/>
  <c r="R6040" i="1"/>
  <c r="Q6040" i="1"/>
  <c r="M6040" i="1"/>
  <c r="L6040" i="1"/>
  <c r="V6039" i="1"/>
  <c r="U6039" i="1"/>
  <c r="T6039" i="1"/>
  <c r="S6039" i="1"/>
  <c r="R6039" i="1"/>
  <c r="Q6039" i="1"/>
  <c r="M6039" i="1"/>
  <c r="L6039" i="1"/>
  <c r="V6038" i="1"/>
  <c r="U6038" i="1"/>
  <c r="T6038" i="1"/>
  <c r="S6038" i="1"/>
  <c r="R6038" i="1"/>
  <c r="Q6038" i="1"/>
  <c r="M6038" i="1"/>
  <c r="L6038" i="1"/>
  <c r="V6037" i="1"/>
  <c r="U6037" i="1"/>
  <c r="T6037" i="1"/>
  <c r="S6037" i="1"/>
  <c r="R6037" i="1"/>
  <c r="Q6037" i="1"/>
  <c r="M6037" i="1"/>
  <c r="L6037" i="1"/>
  <c r="V6036" i="1"/>
  <c r="U6036" i="1"/>
  <c r="T6036" i="1"/>
  <c r="S6036" i="1"/>
  <c r="R6036" i="1"/>
  <c r="Q6036" i="1"/>
  <c r="M6036" i="1"/>
  <c r="L6036" i="1"/>
  <c r="V6035" i="1"/>
  <c r="U6035" i="1"/>
  <c r="T6035" i="1"/>
  <c r="S6035" i="1"/>
  <c r="R6035" i="1"/>
  <c r="Q6035" i="1"/>
  <c r="M6035" i="1"/>
  <c r="L6035" i="1"/>
  <c r="V6034" i="1"/>
  <c r="U6034" i="1"/>
  <c r="T6034" i="1"/>
  <c r="S6034" i="1"/>
  <c r="R6034" i="1"/>
  <c r="Q6034" i="1"/>
  <c r="M6034" i="1"/>
  <c r="L6034" i="1"/>
  <c r="V6033" i="1"/>
  <c r="U6033" i="1"/>
  <c r="T6033" i="1"/>
  <c r="S6033" i="1"/>
  <c r="R6033" i="1"/>
  <c r="Q6033" i="1"/>
  <c r="M6033" i="1"/>
  <c r="L6033" i="1"/>
  <c r="V6032" i="1"/>
  <c r="U6032" i="1"/>
  <c r="T6032" i="1"/>
  <c r="S6032" i="1"/>
  <c r="R6032" i="1"/>
  <c r="Q6032" i="1"/>
  <c r="M6032" i="1"/>
  <c r="L6032" i="1"/>
  <c r="V6031" i="1"/>
  <c r="U6031" i="1"/>
  <c r="T6031" i="1"/>
  <c r="S6031" i="1"/>
  <c r="R6031" i="1"/>
  <c r="Q6031" i="1"/>
  <c r="M6031" i="1"/>
  <c r="L6031" i="1"/>
  <c r="V6030" i="1"/>
  <c r="U6030" i="1"/>
  <c r="T6030" i="1"/>
  <c r="S6030" i="1"/>
  <c r="R6030" i="1"/>
  <c r="Q6030" i="1"/>
  <c r="M6030" i="1"/>
  <c r="L6030" i="1"/>
  <c r="V6029" i="1"/>
  <c r="U6029" i="1"/>
  <c r="T6029" i="1"/>
  <c r="S6029" i="1"/>
  <c r="R6029" i="1"/>
  <c r="Q6029" i="1"/>
  <c r="M6029" i="1"/>
  <c r="L6029" i="1"/>
  <c r="V6028" i="1"/>
  <c r="U6028" i="1"/>
  <c r="T6028" i="1"/>
  <c r="S6028" i="1"/>
  <c r="R6028" i="1"/>
  <c r="Q6028" i="1"/>
  <c r="M6028" i="1"/>
  <c r="L6028" i="1"/>
  <c r="V6027" i="1"/>
  <c r="U6027" i="1"/>
  <c r="T6027" i="1"/>
  <c r="S6027" i="1"/>
  <c r="R6027" i="1"/>
  <c r="Q6027" i="1"/>
  <c r="M6027" i="1"/>
  <c r="L6027" i="1"/>
  <c r="V6026" i="1"/>
  <c r="U6026" i="1"/>
  <c r="T6026" i="1"/>
  <c r="S6026" i="1"/>
  <c r="R6026" i="1"/>
  <c r="Q6026" i="1"/>
  <c r="M6026" i="1"/>
  <c r="L6026" i="1"/>
  <c r="V6025" i="1"/>
  <c r="U6025" i="1"/>
  <c r="T6025" i="1"/>
  <c r="S6025" i="1"/>
  <c r="R6025" i="1"/>
  <c r="Q6025" i="1"/>
  <c r="M6025" i="1"/>
  <c r="L6025" i="1"/>
  <c r="V6024" i="1"/>
  <c r="U6024" i="1"/>
  <c r="T6024" i="1"/>
  <c r="S6024" i="1"/>
  <c r="R6024" i="1"/>
  <c r="Q6024" i="1"/>
  <c r="M6024" i="1"/>
  <c r="L6024" i="1"/>
  <c r="V6023" i="1"/>
  <c r="U6023" i="1"/>
  <c r="T6023" i="1"/>
  <c r="S6023" i="1"/>
  <c r="R6023" i="1"/>
  <c r="Q6023" i="1"/>
  <c r="M6023" i="1"/>
  <c r="L6023" i="1"/>
  <c r="V6022" i="1"/>
  <c r="U6022" i="1"/>
  <c r="T6022" i="1"/>
  <c r="S6022" i="1"/>
  <c r="R6022" i="1"/>
  <c r="Q6022" i="1"/>
  <c r="M6022" i="1"/>
  <c r="L6022" i="1"/>
  <c r="V6021" i="1"/>
  <c r="U6021" i="1"/>
  <c r="T6021" i="1"/>
  <c r="S6021" i="1"/>
  <c r="R6021" i="1"/>
  <c r="Q6021" i="1"/>
  <c r="M6021" i="1"/>
  <c r="L6021" i="1"/>
  <c r="V6020" i="1"/>
  <c r="U6020" i="1"/>
  <c r="T6020" i="1"/>
  <c r="S6020" i="1"/>
  <c r="R6020" i="1"/>
  <c r="Q6020" i="1"/>
  <c r="M6020" i="1"/>
  <c r="L6020" i="1"/>
  <c r="V6019" i="1"/>
  <c r="U6019" i="1"/>
  <c r="T6019" i="1"/>
  <c r="S6019" i="1"/>
  <c r="R6019" i="1"/>
  <c r="Q6019" i="1"/>
  <c r="M6019" i="1"/>
  <c r="L6019" i="1"/>
  <c r="V6018" i="1"/>
  <c r="U6018" i="1"/>
  <c r="T6018" i="1"/>
  <c r="S6018" i="1"/>
  <c r="R6018" i="1"/>
  <c r="Q6018" i="1"/>
  <c r="M6018" i="1"/>
  <c r="L6018" i="1"/>
  <c r="V6017" i="1"/>
  <c r="U6017" i="1"/>
  <c r="T6017" i="1"/>
  <c r="S6017" i="1"/>
  <c r="R6017" i="1"/>
  <c r="Q6017" i="1"/>
  <c r="M6017" i="1"/>
  <c r="L6017" i="1"/>
  <c r="V6016" i="1"/>
  <c r="U6016" i="1"/>
  <c r="T6016" i="1"/>
  <c r="S6016" i="1"/>
  <c r="R6016" i="1"/>
  <c r="Q6016" i="1"/>
  <c r="M6016" i="1"/>
  <c r="L6016" i="1"/>
  <c r="V6015" i="1"/>
  <c r="U6015" i="1"/>
  <c r="T6015" i="1"/>
  <c r="S6015" i="1"/>
  <c r="R6015" i="1"/>
  <c r="Q6015" i="1"/>
  <c r="M6015" i="1"/>
  <c r="L6015" i="1"/>
  <c r="V6014" i="1"/>
  <c r="U6014" i="1"/>
  <c r="T6014" i="1"/>
  <c r="S6014" i="1"/>
  <c r="R6014" i="1"/>
  <c r="Q6014" i="1"/>
  <c r="M6014" i="1"/>
  <c r="L6014" i="1"/>
  <c r="V6013" i="1"/>
  <c r="U6013" i="1"/>
  <c r="T6013" i="1"/>
  <c r="S6013" i="1"/>
  <c r="R6013" i="1"/>
  <c r="Q6013" i="1"/>
  <c r="M6013" i="1"/>
  <c r="L6013" i="1"/>
  <c r="V6012" i="1"/>
  <c r="U6012" i="1"/>
  <c r="T6012" i="1"/>
  <c r="S6012" i="1"/>
  <c r="R6012" i="1"/>
  <c r="Q6012" i="1"/>
  <c r="M6012" i="1"/>
  <c r="L6012" i="1"/>
  <c r="V6011" i="1"/>
  <c r="U6011" i="1"/>
  <c r="T6011" i="1"/>
  <c r="S6011" i="1"/>
  <c r="R6011" i="1"/>
  <c r="Q6011" i="1"/>
  <c r="M6011" i="1"/>
  <c r="L6011" i="1"/>
  <c r="V6010" i="1"/>
  <c r="U6010" i="1"/>
  <c r="T6010" i="1"/>
  <c r="S6010" i="1"/>
  <c r="R6010" i="1"/>
  <c r="Q6010" i="1"/>
  <c r="M6010" i="1"/>
  <c r="L6010" i="1"/>
  <c r="V6009" i="1"/>
  <c r="U6009" i="1"/>
  <c r="T6009" i="1"/>
  <c r="S6009" i="1"/>
  <c r="R6009" i="1"/>
  <c r="Q6009" i="1"/>
  <c r="M6009" i="1"/>
  <c r="L6009" i="1"/>
  <c r="V6008" i="1"/>
  <c r="U6008" i="1"/>
  <c r="T6008" i="1"/>
  <c r="S6008" i="1"/>
  <c r="R6008" i="1"/>
  <c r="Q6008" i="1"/>
  <c r="M6008" i="1"/>
  <c r="L6008" i="1"/>
  <c r="V6007" i="1"/>
  <c r="U6007" i="1"/>
  <c r="T6007" i="1"/>
  <c r="S6007" i="1"/>
  <c r="R6007" i="1"/>
  <c r="Q6007" i="1"/>
  <c r="M6007" i="1"/>
  <c r="L6007" i="1"/>
  <c r="V6006" i="1"/>
  <c r="U6006" i="1"/>
  <c r="T6006" i="1"/>
  <c r="S6006" i="1"/>
  <c r="R6006" i="1"/>
  <c r="Q6006" i="1"/>
  <c r="M6006" i="1"/>
  <c r="L6006" i="1"/>
  <c r="V6005" i="1"/>
  <c r="U6005" i="1"/>
  <c r="T6005" i="1"/>
  <c r="S6005" i="1"/>
  <c r="R6005" i="1"/>
  <c r="Q6005" i="1"/>
  <c r="M6005" i="1"/>
  <c r="L6005" i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301" i="8"/>
  <c r="M301" i="8"/>
  <c r="L301" i="8"/>
  <c r="N300" i="8"/>
  <c r="M300" i="8"/>
  <c r="L300" i="8"/>
  <c r="N299" i="8"/>
  <c r="M299" i="8"/>
  <c r="L299" i="8"/>
  <c r="N298" i="8"/>
  <c r="M298" i="8"/>
  <c r="L298" i="8"/>
  <c r="N297" i="8"/>
  <c r="M297" i="8"/>
  <c r="L297" i="8"/>
  <c r="N296" i="8"/>
  <c r="M296" i="8"/>
  <c r="L296" i="8"/>
  <c r="N295" i="8"/>
  <c r="M295" i="8"/>
  <c r="L295" i="8"/>
  <c r="N294" i="8"/>
  <c r="M294" i="8"/>
  <c r="L294" i="8"/>
  <c r="N293" i="8"/>
  <c r="M293" i="8"/>
  <c r="L293" i="8"/>
  <c r="N292" i="8"/>
  <c r="M292" i="8"/>
  <c r="L292" i="8"/>
  <c r="N291" i="8"/>
  <c r="M291" i="8"/>
  <c r="L291" i="8"/>
  <c r="N290" i="8"/>
  <c r="M290" i="8"/>
  <c r="L290" i="8"/>
  <c r="N289" i="8"/>
  <c r="M289" i="8"/>
  <c r="L289" i="8"/>
  <c r="N288" i="8"/>
  <c r="M288" i="8"/>
  <c r="L288" i="8"/>
  <c r="N287" i="8"/>
  <c r="M287" i="8"/>
  <c r="L287" i="8"/>
  <c r="N286" i="8"/>
  <c r="M286" i="8"/>
  <c r="L286" i="8"/>
  <c r="N285" i="8"/>
  <c r="M285" i="8"/>
  <c r="L285" i="8"/>
  <c r="N284" i="8"/>
  <c r="M284" i="8"/>
  <c r="L284" i="8"/>
  <c r="N283" i="8"/>
  <c r="M283" i="8"/>
  <c r="L283" i="8"/>
  <c r="N282" i="8"/>
  <c r="M282" i="8"/>
  <c r="L282" i="8"/>
  <c r="N281" i="8"/>
  <c r="M281" i="8"/>
  <c r="L281" i="8"/>
  <c r="N280" i="8"/>
  <c r="M280" i="8"/>
  <c r="L280" i="8"/>
  <c r="N279" i="8"/>
  <c r="M279" i="8"/>
  <c r="L279" i="8"/>
  <c r="N278" i="8"/>
  <c r="M278" i="8"/>
  <c r="L278" i="8"/>
  <c r="N277" i="8"/>
  <c r="M277" i="8"/>
  <c r="L277" i="8"/>
  <c r="N276" i="8"/>
  <c r="M276" i="8"/>
  <c r="L276" i="8"/>
  <c r="N275" i="8"/>
  <c r="M275" i="8"/>
  <c r="L275" i="8"/>
  <c r="N274" i="8"/>
  <c r="M274" i="8"/>
  <c r="L274" i="8"/>
  <c r="N273" i="8"/>
  <c r="M273" i="8"/>
  <c r="L273" i="8"/>
  <c r="N272" i="8"/>
  <c r="M272" i="8"/>
  <c r="L272" i="8"/>
  <c r="N271" i="8"/>
  <c r="M271" i="8"/>
  <c r="L271" i="8"/>
  <c r="N270" i="8"/>
  <c r="M270" i="8"/>
  <c r="L270" i="8"/>
  <c r="N269" i="8"/>
  <c r="M269" i="8"/>
  <c r="L269" i="8"/>
  <c r="N268" i="8"/>
  <c r="M268" i="8"/>
  <c r="L268" i="8"/>
  <c r="N267" i="8"/>
  <c r="M267" i="8"/>
  <c r="L267" i="8"/>
  <c r="N266" i="8"/>
  <c r="M266" i="8"/>
  <c r="L266" i="8"/>
  <c r="N265" i="8"/>
  <c r="M265" i="8"/>
  <c r="L265" i="8"/>
  <c r="N264" i="8"/>
  <c r="M264" i="8"/>
  <c r="L264" i="8"/>
  <c r="N263" i="8"/>
  <c r="M263" i="8"/>
  <c r="L263" i="8"/>
  <c r="N262" i="8"/>
  <c r="M262" i="8"/>
  <c r="L262" i="8"/>
  <c r="N261" i="8"/>
  <c r="M261" i="8"/>
  <c r="L261" i="8"/>
  <c r="N260" i="8"/>
  <c r="M260" i="8"/>
  <c r="L260" i="8"/>
  <c r="N259" i="8"/>
  <c r="M259" i="8"/>
  <c r="L259" i="8"/>
  <c r="N258" i="8"/>
  <c r="M258" i="8"/>
  <c r="L258" i="8"/>
  <c r="N257" i="8"/>
  <c r="M257" i="8"/>
  <c r="L257" i="8"/>
  <c r="N256" i="8"/>
  <c r="M256" i="8"/>
  <c r="L256" i="8"/>
  <c r="N255" i="8"/>
  <c r="M255" i="8"/>
  <c r="L255" i="8"/>
  <c r="N254" i="8"/>
  <c r="M254" i="8"/>
  <c r="L254" i="8"/>
  <c r="N253" i="8"/>
  <c r="M253" i="8"/>
  <c r="L253" i="8"/>
  <c r="N252" i="8"/>
  <c r="M252" i="8"/>
  <c r="L252" i="8"/>
  <c r="N251" i="8"/>
  <c r="M251" i="8"/>
  <c r="L251" i="8"/>
  <c r="N250" i="8"/>
  <c r="M250" i="8"/>
  <c r="L250" i="8"/>
  <c r="N249" i="8"/>
  <c r="M249" i="8"/>
  <c r="L249" i="8"/>
  <c r="N248" i="8"/>
  <c r="M248" i="8"/>
  <c r="L248" i="8"/>
  <c r="N247" i="8"/>
  <c r="M247" i="8"/>
  <c r="L247" i="8"/>
  <c r="N246" i="8"/>
  <c r="M246" i="8"/>
  <c r="L246" i="8"/>
  <c r="N245" i="8"/>
  <c r="M245" i="8"/>
  <c r="L245" i="8"/>
  <c r="N244" i="8"/>
  <c r="M244" i="8"/>
  <c r="L244" i="8"/>
  <c r="N243" i="8"/>
  <c r="M243" i="8"/>
  <c r="L243" i="8"/>
  <c r="N242" i="8"/>
  <c r="M242" i="8"/>
  <c r="L242" i="8"/>
  <c r="N241" i="8"/>
  <c r="M241" i="8"/>
  <c r="L241" i="8"/>
  <c r="N240" i="8"/>
  <c r="M240" i="8"/>
  <c r="L240" i="8"/>
  <c r="N239" i="8"/>
  <c r="M239" i="8"/>
  <c r="L239" i="8"/>
  <c r="N238" i="8"/>
  <c r="M238" i="8"/>
  <c r="L238" i="8"/>
  <c r="N237" i="8"/>
  <c r="M237" i="8"/>
  <c r="L237" i="8"/>
  <c r="N236" i="8"/>
  <c r="M236" i="8"/>
  <c r="L236" i="8"/>
  <c r="N235" i="8"/>
  <c r="M235" i="8"/>
  <c r="L235" i="8"/>
  <c r="N234" i="8"/>
  <c r="M234" i="8"/>
  <c r="L234" i="8"/>
  <c r="N233" i="8"/>
  <c r="M233" i="8"/>
  <c r="L233" i="8"/>
  <c r="N232" i="8"/>
  <c r="M232" i="8"/>
  <c r="L232" i="8"/>
  <c r="N231" i="8"/>
  <c r="M231" i="8"/>
  <c r="L231" i="8"/>
  <c r="N230" i="8"/>
  <c r="M230" i="8"/>
  <c r="L230" i="8"/>
  <c r="N229" i="8"/>
  <c r="M229" i="8"/>
  <c r="L229" i="8"/>
  <c r="N228" i="8"/>
  <c r="M228" i="8"/>
  <c r="L228" i="8"/>
  <c r="N227" i="8"/>
  <c r="M227" i="8"/>
  <c r="L227" i="8"/>
  <c r="N226" i="8"/>
  <c r="M226" i="8"/>
  <c r="L226" i="8"/>
  <c r="N225" i="8"/>
  <c r="M225" i="8"/>
  <c r="L225" i="8"/>
  <c r="N224" i="8"/>
  <c r="M224" i="8"/>
  <c r="L224" i="8"/>
  <c r="N223" i="8"/>
  <c r="M223" i="8"/>
  <c r="L223" i="8"/>
  <c r="N222" i="8"/>
  <c r="M222" i="8"/>
  <c r="L222" i="8"/>
  <c r="N221" i="8"/>
  <c r="M221" i="8"/>
  <c r="L221" i="8"/>
  <c r="N220" i="8"/>
  <c r="M220" i="8"/>
  <c r="L220" i="8"/>
  <c r="N219" i="8"/>
  <c r="M219" i="8"/>
  <c r="L219" i="8"/>
  <c r="N218" i="8"/>
  <c r="M218" i="8"/>
  <c r="L218" i="8"/>
  <c r="N217" i="8"/>
  <c r="M217" i="8"/>
  <c r="L217" i="8"/>
  <c r="N216" i="8"/>
  <c r="M216" i="8"/>
  <c r="L216" i="8"/>
  <c r="N215" i="8"/>
  <c r="M215" i="8"/>
  <c r="L215" i="8"/>
  <c r="N214" i="8"/>
  <c r="M214" i="8"/>
  <c r="L214" i="8"/>
  <c r="N213" i="8"/>
  <c r="M213" i="8"/>
  <c r="L213" i="8"/>
  <c r="N212" i="8"/>
  <c r="M212" i="8"/>
  <c r="L212" i="8"/>
  <c r="N211" i="8"/>
  <c r="M211" i="8"/>
  <c r="L211" i="8"/>
  <c r="N210" i="8"/>
  <c r="M210" i="8"/>
  <c r="L210" i="8"/>
  <c r="N209" i="8"/>
  <c r="M209" i="8"/>
  <c r="L209" i="8"/>
  <c r="N208" i="8"/>
  <c r="M208" i="8"/>
  <c r="L208" i="8"/>
  <c r="N207" i="8"/>
  <c r="M207" i="8"/>
  <c r="L207" i="8"/>
  <c r="N206" i="8"/>
  <c r="M206" i="8"/>
  <c r="L206" i="8"/>
  <c r="N205" i="8"/>
  <c r="M205" i="8"/>
  <c r="L205" i="8"/>
  <c r="N204" i="8"/>
  <c r="M204" i="8"/>
  <c r="L204" i="8"/>
  <c r="N203" i="8"/>
  <c r="M203" i="8"/>
  <c r="L203" i="8"/>
  <c r="N202" i="8"/>
  <c r="M202" i="8"/>
  <c r="L202" i="8"/>
  <c r="N201" i="8"/>
  <c r="M201" i="8"/>
  <c r="L201" i="8"/>
  <c r="N200" i="8"/>
  <c r="M200" i="8"/>
  <c r="L200" i="8"/>
  <c r="N199" i="8"/>
  <c r="M199" i="8"/>
  <c r="L199" i="8"/>
  <c r="N198" i="8"/>
  <c r="M198" i="8"/>
  <c r="L198" i="8"/>
  <c r="N197" i="8"/>
  <c r="M197" i="8"/>
  <c r="L197" i="8"/>
  <c r="N196" i="8"/>
  <c r="M196" i="8"/>
  <c r="L196" i="8"/>
  <c r="N195" i="8"/>
  <c r="M195" i="8"/>
  <c r="L195" i="8"/>
  <c r="N194" i="8"/>
  <c r="M194" i="8"/>
  <c r="L194" i="8"/>
  <c r="N193" i="8"/>
  <c r="M193" i="8"/>
  <c r="L193" i="8"/>
  <c r="N192" i="8"/>
  <c r="M192" i="8"/>
  <c r="L192" i="8"/>
  <c r="N191" i="8"/>
  <c r="M191" i="8"/>
  <c r="L191" i="8"/>
  <c r="N190" i="8"/>
  <c r="M190" i="8"/>
  <c r="L190" i="8"/>
  <c r="N189" i="8"/>
  <c r="M189" i="8"/>
  <c r="L189" i="8"/>
  <c r="N188" i="8"/>
  <c r="M188" i="8"/>
  <c r="L188" i="8"/>
  <c r="N187" i="8"/>
  <c r="M187" i="8"/>
  <c r="L187" i="8"/>
  <c r="N186" i="8"/>
  <c r="M186" i="8"/>
  <c r="L186" i="8"/>
  <c r="N185" i="8"/>
  <c r="M185" i="8"/>
  <c r="L185" i="8"/>
  <c r="N184" i="8"/>
  <c r="M184" i="8"/>
  <c r="L184" i="8"/>
  <c r="N183" i="8"/>
  <c r="M183" i="8"/>
  <c r="L183" i="8"/>
  <c r="N182" i="8"/>
  <c r="M182" i="8"/>
  <c r="L182" i="8"/>
  <c r="N181" i="8"/>
  <c r="M181" i="8"/>
  <c r="L181" i="8"/>
  <c r="N180" i="8"/>
  <c r="M180" i="8"/>
  <c r="L180" i="8"/>
  <c r="N179" i="8"/>
  <c r="M179" i="8"/>
  <c r="L179" i="8"/>
  <c r="N178" i="8"/>
  <c r="M178" i="8"/>
  <c r="L178" i="8"/>
  <c r="N177" i="8"/>
  <c r="M177" i="8"/>
  <c r="L177" i="8"/>
  <c r="N176" i="8"/>
  <c r="M176" i="8"/>
  <c r="L176" i="8"/>
  <c r="N175" i="8"/>
  <c r="M175" i="8"/>
  <c r="L175" i="8"/>
  <c r="N174" i="8"/>
  <c r="M174" i="8"/>
  <c r="L174" i="8"/>
  <c r="N173" i="8"/>
  <c r="M173" i="8"/>
  <c r="L173" i="8"/>
  <c r="N172" i="8"/>
  <c r="M172" i="8"/>
  <c r="L172" i="8"/>
  <c r="N171" i="8"/>
  <c r="M171" i="8"/>
  <c r="L171" i="8"/>
  <c r="N170" i="8"/>
  <c r="M170" i="8"/>
  <c r="L170" i="8"/>
  <c r="N169" i="8"/>
  <c r="M169" i="8"/>
  <c r="L169" i="8"/>
  <c r="N168" i="8"/>
  <c r="M168" i="8"/>
  <c r="L168" i="8"/>
  <c r="N167" i="8"/>
  <c r="M167" i="8"/>
  <c r="L167" i="8"/>
  <c r="N166" i="8"/>
  <c r="M166" i="8"/>
  <c r="L166" i="8"/>
  <c r="N165" i="8"/>
  <c r="M165" i="8"/>
  <c r="L165" i="8"/>
  <c r="N164" i="8"/>
  <c r="M164" i="8"/>
  <c r="L164" i="8"/>
  <c r="N163" i="8"/>
  <c r="M163" i="8"/>
  <c r="L163" i="8"/>
  <c r="N162" i="8"/>
  <c r="M162" i="8"/>
  <c r="L162" i="8"/>
  <c r="N161" i="8"/>
  <c r="M161" i="8"/>
  <c r="L161" i="8"/>
  <c r="N160" i="8"/>
  <c r="M160" i="8"/>
  <c r="L160" i="8"/>
  <c r="N159" i="8"/>
  <c r="M159" i="8"/>
  <c r="L159" i="8"/>
  <c r="N158" i="8"/>
  <c r="M158" i="8"/>
  <c r="L158" i="8"/>
  <c r="N157" i="8"/>
  <c r="M157" i="8"/>
  <c r="L157" i="8"/>
  <c r="N156" i="8"/>
  <c r="M156" i="8"/>
  <c r="L156" i="8"/>
  <c r="N155" i="8"/>
  <c r="M155" i="8"/>
  <c r="L155" i="8"/>
  <c r="N154" i="8"/>
  <c r="M154" i="8"/>
  <c r="L154" i="8"/>
  <c r="N153" i="8"/>
  <c r="M153" i="8"/>
  <c r="L153" i="8"/>
  <c r="N152" i="8"/>
  <c r="M152" i="8"/>
  <c r="L152" i="8"/>
  <c r="N151" i="8"/>
  <c r="M151" i="8"/>
  <c r="L151" i="8"/>
  <c r="N150" i="8"/>
  <c r="M150" i="8"/>
  <c r="L150" i="8"/>
  <c r="N149" i="8"/>
  <c r="M149" i="8"/>
  <c r="L149" i="8"/>
  <c r="N148" i="8"/>
  <c r="M148" i="8"/>
  <c r="L148" i="8"/>
  <c r="N147" i="8"/>
  <c r="M147" i="8"/>
  <c r="L147" i="8"/>
  <c r="N146" i="8"/>
  <c r="M146" i="8"/>
  <c r="L146" i="8"/>
  <c r="N145" i="8"/>
  <c r="M145" i="8"/>
  <c r="L145" i="8"/>
  <c r="N144" i="8"/>
  <c r="M144" i="8"/>
  <c r="L144" i="8"/>
  <c r="N143" i="8"/>
  <c r="M143" i="8"/>
  <c r="L143" i="8"/>
  <c r="N142" i="8"/>
  <c r="M142" i="8"/>
  <c r="L142" i="8"/>
  <c r="N141" i="8"/>
  <c r="M141" i="8"/>
  <c r="L141" i="8"/>
  <c r="N140" i="8"/>
  <c r="M140" i="8"/>
  <c r="L140" i="8"/>
  <c r="N139" i="8"/>
  <c r="M139" i="8"/>
  <c r="L139" i="8"/>
  <c r="N138" i="8"/>
  <c r="M138" i="8"/>
  <c r="L138" i="8"/>
  <c r="N137" i="8"/>
  <c r="M137" i="8"/>
  <c r="L137" i="8"/>
  <c r="N136" i="8"/>
  <c r="M136" i="8"/>
  <c r="L136" i="8"/>
  <c r="N135" i="8"/>
  <c r="M135" i="8"/>
  <c r="L135" i="8"/>
  <c r="N134" i="8"/>
  <c r="M134" i="8"/>
  <c r="L134" i="8"/>
  <c r="N133" i="8"/>
  <c r="M133" i="8"/>
  <c r="L133" i="8"/>
  <c r="N132" i="8"/>
  <c r="M132" i="8"/>
  <c r="L132" i="8"/>
  <c r="N131" i="8"/>
  <c r="M131" i="8"/>
  <c r="L131" i="8"/>
  <c r="N130" i="8"/>
  <c r="M130" i="8"/>
  <c r="L130" i="8"/>
  <c r="N129" i="8"/>
  <c r="M129" i="8"/>
  <c r="L129" i="8"/>
  <c r="N128" i="8"/>
  <c r="M128" i="8"/>
  <c r="L128" i="8"/>
  <c r="N127" i="8"/>
  <c r="M127" i="8"/>
  <c r="L127" i="8"/>
  <c r="N126" i="8"/>
  <c r="M126" i="8"/>
  <c r="L126" i="8"/>
  <c r="N125" i="8"/>
  <c r="M125" i="8"/>
  <c r="L125" i="8"/>
  <c r="N124" i="8"/>
  <c r="M124" i="8"/>
  <c r="L124" i="8"/>
  <c r="N123" i="8"/>
  <c r="M123" i="8"/>
  <c r="L123" i="8"/>
  <c r="N122" i="8"/>
  <c r="M122" i="8"/>
  <c r="L122" i="8"/>
  <c r="N121" i="8"/>
  <c r="M121" i="8"/>
  <c r="L121" i="8"/>
  <c r="N120" i="8"/>
  <c r="M120" i="8"/>
  <c r="L120" i="8"/>
  <c r="N119" i="8"/>
  <c r="M119" i="8"/>
  <c r="L119" i="8"/>
  <c r="N118" i="8"/>
  <c r="M118" i="8"/>
  <c r="L118" i="8"/>
  <c r="N117" i="8"/>
  <c r="M117" i="8"/>
  <c r="L117" i="8"/>
  <c r="N116" i="8"/>
  <c r="M116" i="8"/>
  <c r="L116" i="8"/>
  <c r="N115" i="8"/>
  <c r="M115" i="8"/>
  <c r="L115" i="8"/>
  <c r="N114" i="8"/>
  <c r="M114" i="8"/>
  <c r="L114" i="8"/>
  <c r="N113" i="8"/>
  <c r="M113" i="8"/>
  <c r="L113" i="8"/>
  <c r="N112" i="8"/>
  <c r="M112" i="8"/>
  <c r="L112" i="8"/>
  <c r="N111" i="8"/>
  <c r="M111" i="8"/>
  <c r="L111" i="8"/>
  <c r="N110" i="8"/>
  <c r="M110" i="8"/>
  <c r="L110" i="8"/>
  <c r="N109" i="8"/>
  <c r="M109" i="8"/>
  <c r="L109" i="8"/>
  <c r="N108" i="8"/>
  <c r="M108" i="8"/>
  <c r="L108" i="8"/>
  <c r="N107" i="8"/>
  <c r="M107" i="8"/>
  <c r="L107" i="8"/>
  <c r="N106" i="8"/>
  <c r="M106" i="8"/>
  <c r="L106" i="8"/>
  <c r="N105" i="8"/>
  <c r="M105" i="8"/>
  <c r="L105" i="8"/>
  <c r="N104" i="8"/>
  <c r="M104" i="8"/>
  <c r="L104" i="8"/>
  <c r="N103" i="8"/>
  <c r="M103" i="8"/>
  <c r="L103" i="8"/>
  <c r="N102" i="8"/>
  <c r="M102" i="8"/>
  <c r="L102" i="8"/>
  <c r="N101" i="8"/>
  <c r="M101" i="8"/>
  <c r="L101" i="8"/>
  <c r="N100" i="8"/>
  <c r="M100" i="8"/>
  <c r="L100" i="8"/>
  <c r="N99" i="8"/>
  <c r="M99" i="8"/>
  <c r="L99" i="8"/>
  <c r="N98" i="8"/>
  <c r="M98" i="8"/>
  <c r="L98" i="8"/>
  <c r="N97" i="8"/>
  <c r="M97" i="8"/>
  <c r="L97" i="8"/>
  <c r="N96" i="8"/>
  <c r="M96" i="8"/>
  <c r="L96" i="8"/>
  <c r="N95" i="8"/>
  <c r="M95" i="8"/>
  <c r="L95" i="8"/>
  <c r="N94" i="8"/>
  <c r="M94" i="8"/>
  <c r="L94" i="8"/>
  <c r="N93" i="8"/>
  <c r="M93" i="8"/>
  <c r="L93" i="8"/>
  <c r="N92" i="8"/>
  <c r="M92" i="8"/>
  <c r="L92" i="8"/>
  <c r="N91" i="8"/>
  <c r="M91" i="8"/>
  <c r="L91" i="8"/>
  <c r="N90" i="8"/>
  <c r="M90" i="8"/>
  <c r="L90" i="8"/>
  <c r="N89" i="8"/>
  <c r="M89" i="8"/>
  <c r="L89" i="8"/>
  <c r="N88" i="8"/>
  <c r="M88" i="8"/>
  <c r="L88" i="8"/>
  <c r="N87" i="8"/>
  <c r="M87" i="8"/>
  <c r="L87" i="8"/>
  <c r="N86" i="8"/>
  <c r="M86" i="8"/>
  <c r="L86" i="8"/>
  <c r="N85" i="8"/>
  <c r="M85" i="8"/>
  <c r="L85" i="8"/>
  <c r="N84" i="8"/>
  <c r="M84" i="8"/>
  <c r="L84" i="8"/>
  <c r="N83" i="8"/>
  <c r="M83" i="8"/>
  <c r="L83" i="8"/>
  <c r="N82" i="8"/>
  <c r="M82" i="8"/>
  <c r="L82" i="8"/>
  <c r="N81" i="8"/>
  <c r="M81" i="8"/>
  <c r="L81" i="8"/>
  <c r="N80" i="8"/>
  <c r="M80" i="8"/>
  <c r="L80" i="8"/>
  <c r="N79" i="8"/>
  <c r="M79" i="8"/>
  <c r="L79" i="8"/>
  <c r="N78" i="8"/>
  <c r="M78" i="8"/>
  <c r="L78" i="8"/>
  <c r="N77" i="8"/>
  <c r="M77" i="8"/>
  <c r="L77" i="8"/>
  <c r="N76" i="8"/>
  <c r="M76" i="8"/>
  <c r="L76" i="8"/>
  <c r="N75" i="8"/>
  <c r="M75" i="8"/>
  <c r="L75" i="8"/>
  <c r="N74" i="8"/>
  <c r="M74" i="8"/>
  <c r="L74" i="8"/>
  <c r="N73" i="8"/>
  <c r="M73" i="8"/>
  <c r="L73" i="8"/>
  <c r="N72" i="8"/>
  <c r="M72" i="8"/>
  <c r="L72" i="8"/>
  <c r="N71" i="8"/>
  <c r="M71" i="8"/>
  <c r="L71" i="8"/>
  <c r="N70" i="8"/>
  <c r="M70" i="8"/>
  <c r="L70" i="8"/>
  <c r="N69" i="8"/>
  <c r="M69" i="8"/>
  <c r="L69" i="8"/>
  <c r="N68" i="8"/>
  <c r="M68" i="8"/>
  <c r="L68" i="8"/>
  <c r="N67" i="8"/>
  <c r="M67" i="8"/>
  <c r="L67" i="8"/>
  <c r="N66" i="8"/>
  <c r="M66" i="8"/>
  <c r="L66" i="8"/>
  <c r="N65" i="8"/>
  <c r="M65" i="8"/>
  <c r="L65" i="8"/>
  <c r="N64" i="8"/>
  <c r="M64" i="8"/>
  <c r="L64" i="8"/>
  <c r="N63" i="8"/>
  <c r="M63" i="8"/>
  <c r="L63" i="8"/>
  <c r="N62" i="8"/>
  <c r="M62" i="8"/>
  <c r="L62" i="8"/>
  <c r="N61" i="8"/>
  <c r="M61" i="8"/>
  <c r="L61" i="8"/>
  <c r="N60" i="8"/>
  <c r="M60" i="8"/>
  <c r="L60" i="8"/>
  <c r="N59" i="8"/>
  <c r="M59" i="8"/>
  <c r="L59" i="8"/>
  <c r="N58" i="8"/>
  <c r="M58" i="8"/>
  <c r="L58" i="8"/>
  <c r="N57" i="8"/>
  <c r="M57" i="8"/>
  <c r="L57" i="8"/>
  <c r="N56" i="8"/>
  <c r="M56" i="8"/>
  <c r="L56" i="8"/>
  <c r="N55" i="8"/>
  <c r="M55" i="8"/>
  <c r="L55" i="8"/>
  <c r="N54" i="8"/>
  <c r="M54" i="8"/>
  <c r="L54" i="8"/>
  <c r="N53" i="8"/>
  <c r="M53" i="8"/>
  <c r="L53" i="8"/>
  <c r="N52" i="8"/>
  <c r="M52" i="8"/>
  <c r="L52" i="8"/>
  <c r="N51" i="8"/>
  <c r="M51" i="8"/>
  <c r="L51" i="8"/>
  <c r="N50" i="8"/>
  <c r="M50" i="8"/>
  <c r="L50" i="8"/>
  <c r="N49" i="8"/>
  <c r="M49" i="8"/>
  <c r="L49" i="8"/>
  <c r="N48" i="8"/>
  <c r="M48" i="8"/>
  <c r="L48" i="8"/>
  <c r="N47" i="8"/>
  <c r="M47" i="8"/>
  <c r="L47" i="8"/>
  <c r="N46" i="8"/>
  <c r="M46" i="8"/>
  <c r="L46" i="8"/>
  <c r="N45" i="8"/>
  <c r="M45" i="8"/>
  <c r="L45" i="8"/>
  <c r="N44" i="8"/>
  <c r="M44" i="8"/>
  <c r="L44" i="8"/>
  <c r="N43" i="8"/>
  <c r="M43" i="8"/>
  <c r="L43" i="8"/>
  <c r="N42" i="8"/>
  <c r="M42" i="8"/>
  <c r="L42" i="8"/>
  <c r="N41" i="8"/>
  <c r="M41" i="8"/>
  <c r="L41" i="8"/>
  <c r="N40" i="8"/>
  <c r="M40" i="8"/>
  <c r="L40" i="8"/>
  <c r="N39" i="8"/>
  <c r="M39" i="8"/>
  <c r="L39" i="8"/>
  <c r="N38" i="8"/>
  <c r="M38" i="8"/>
  <c r="L38" i="8"/>
  <c r="N37" i="8"/>
  <c r="M37" i="8"/>
  <c r="L37" i="8"/>
  <c r="N36" i="8"/>
  <c r="M36" i="8"/>
  <c r="L36" i="8"/>
  <c r="N35" i="8"/>
  <c r="M35" i="8"/>
  <c r="L35" i="8"/>
  <c r="N34" i="8"/>
  <c r="M34" i="8"/>
  <c r="L34" i="8"/>
  <c r="N33" i="8"/>
  <c r="M33" i="8"/>
  <c r="L33" i="8"/>
  <c r="N32" i="8"/>
  <c r="M32" i="8"/>
  <c r="L32" i="8"/>
  <c r="N31" i="8"/>
  <c r="M31" i="8"/>
  <c r="L31" i="8"/>
  <c r="N30" i="8"/>
  <c r="M30" i="8"/>
  <c r="L30" i="8"/>
  <c r="N29" i="8"/>
  <c r="M29" i="8"/>
  <c r="L29" i="8"/>
  <c r="N28" i="8"/>
  <c r="M28" i="8"/>
  <c r="L28" i="8"/>
  <c r="N27" i="8"/>
  <c r="M27" i="8"/>
  <c r="L27" i="8"/>
  <c r="N26" i="8"/>
  <c r="M26" i="8"/>
  <c r="L26" i="8"/>
  <c r="N25" i="8"/>
  <c r="M25" i="8"/>
  <c r="L25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M20" i="8"/>
  <c r="L20" i="8"/>
  <c r="N19" i="8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L7" i="8"/>
  <c r="N6" i="8"/>
  <c r="M6" i="8"/>
  <c r="L6" i="8"/>
  <c r="N5" i="8"/>
  <c r="M5" i="8"/>
  <c r="L5" i="8"/>
  <c r="N4" i="8"/>
  <c r="M4" i="8"/>
  <c r="L4" i="8"/>
  <c r="N3" i="8"/>
  <c r="M3" i="8"/>
  <c r="L3" i="8"/>
  <c r="A1" i="5"/>
  <c r="G75" i="4"/>
  <c r="B75" i="4"/>
  <c r="G74" i="4"/>
  <c r="B74" i="4"/>
  <c r="G73" i="4"/>
  <c r="B73" i="4"/>
  <c r="D71" i="4"/>
  <c r="D70" i="4"/>
  <c r="D67" i="4"/>
  <c r="C65" i="4"/>
  <c r="A63" i="4"/>
  <c r="A61" i="4"/>
  <c r="A17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B9" i="4"/>
  <c r="B8" i="4"/>
  <c r="D6" i="4"/>
  <c r="A5" i="4"/>
  <c r="A6" i="3"/>
  <c r="E2" i="3"/>
  <c r="B2" i="3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O64" i="2"/>
  <c r="P64" i="2" s="1"/>
  <c r="N64" i="2"/>
  <c r="L64" i="2"/>
  <c r="M64" i="2" s="1"/>
  <c r="K64" i="2"/>
  <c r="I64" i="2"/>
  <c r="J64" i="2" s="1"/>
  <c r="H64" i="2"/>
  <c r="F64" i="2"/>
  <c r="G64" i="2" s="1"/>
  <c r="E64" i="2"/>
  <c r="C64" i="2"/>
  <c r="D64" i="2" s="1"/>
  <c r="AF63" i="2"/>
  <c r="AE63" i="2"/>
  <c r="A63" i="2"/>
  <c r="AF62" i="2"/>
  <c r="AE62" i="2"/>
  <c r="A62" i="2"/>
  <c r="AF61" i="2"/>
  <c r="AE61" i="2"/>
  <c r="A61" i="2"/>
  <c r="AF60" i="2"/>
  <c r="AE60" i="2"/>
  <c r="A60" i="2"/>
  <c r="AF59" i="2"/>
  <c r="AE59" i="2"/>
  <c r="A59" i="2"/>
  <c r="AF58" i="2"/>
  <c r="AE58" i="2"/>
  <c r="A58" i="2"/>
  <c r="AF57" i="2"/>
  <c r="AE57" i="2"/>
  <c r="A57" i="2"/>
  <c r="AF56" i="2"/>
  <c r="AE56" i="2"/>
  <c r="A56" i="2"/>
  <c r="AF55" i="2"/>
  <c r="AE55" i="2"/>
  <c r="A55" i="2"/>
  <c r="AF54" i="2"/>
  <c r="AE54" i="2"/>
  <c r="A54" i="2"/>
  <c r="AF53" i="2"/>
  <c r="AE53" i="2"/>
  <c r="A53" i="2"/>
  <c r="AF52" i="2"/>
  <c r="AE52" i="2"/>
  <c r="A52" i="2"/>
  <c r="AF51" i="2"/>
  <c r="AE51" i="2"/>
  <c r="A51" i="2"/>
  <c r="AF50" i="2"/>
  <c r="AE50" i="2"/>
  <c r="A50" i="2"/>
  <c r="AF49" i="2"/>
  <c r="AE49" i="2"/>
  <c r="A49" i="2"/>
  <c r="AF48" i="2"/>
  <c r="AE48" i="2"/>
  <c r="A48" i="2"/>
  <c r="AF47" i="2"/>
  <c r="AE47" i="2"/>
  <c r="A47" i="2"/>
  <c r="AF46" i="2"/>
  <c r="AE46" i="2"/>
  <c r="A46" i="2"/>
  <c r="AF45" i="2"/>
  <c r="AE45" i="2"/>
  <c r="A45" i="2"/>
  <c r="AF44" i="2"/>
  <c r="AE44" i="2"/>
  <c r="A44" i="2"/>
  <c r="AF43" i="2"/>
  <c r="AE43" i="2"/>
  <c r="A43" i="2"/>
  <c r="AF42" i="2"/>
  <c r="AE42" i="2"/>
  <c r="A42" i="2"/>
  <c r="AF41" i="2"/>
  <c r="AE41" i="2"/>
  <c r="A41" i="2"/>
  <c r="AF40" i="2"/>
  <c r="AE40" i="2"/>
  <c r="A40" i="2"/>
  <c r="AF39" i="2"/>
  <c r="AE39" i="2"/>
  <c r="A39" i="2"/>
  <c r="AF38" i="2"/>
  <c r="AE38" i="2"/>
  <c r="A38" i="2"/>
  <c r="AF37" i="2"/>
  <c r="AE37" i="2"/>
  <c r="A37" i="2"/>
  <c r="AF36" i="2"/>
  <c r="AE36" i="2"/>
  <c r="A36" i="2"/>
  <c r="AF35" i="2"/>
  <c r="AE35" i="2"/>
  <c r="A35" i="2"/>
  <c r="AF34" i="2"/>
  <c r="AE34" i="2"/>
  <c r="A34" i="2"/>
  <c r="AF33" i="2"/>
  <c r="AE33" i="2"/>
  <c r="A33" i="2"/>
  <c r="AF32" i="2"/>
  <c r="AE32" i="2"/>
  <c r="A32" i="2"/>
  <c r="AF31" i="2"/>
  <c r="AE31" i="2"/>
  <c r="A31" i="2"/>
  <c r="AF30" i="2"/>
  <c r="AE30" i="2"/>
  <c r="A30" i="2"/>
  <c r="AF29" i="2"/>
  <c r="AE29" i="2"/>
  <c r="A29" i="2"/>
  <c r="AF28" i="2"/>
  <c r="AE28" i="2"/>
  <c r="A28" i="2"/>
  <c r="AF27" i="2"/>
  <c r="AE27" i="2"/>
  <c r="A27" i="2"/>
  <c r="AF26" i="2"/>
  <c r="AE26" i="2"/>
  <c r="A26" i="2"/>
  <c r="AF25" i="2"/>
  <c r="AE25" i="2"/>
  <c r="A25" i="2"/>
  <c r="AF24" i="2"/>
  <c r="AE24" i="2"/>
  <c r="A24" i="2"/>
  <c r="AF23" i="2"/>
  <c r="AE23" i="2"/>
  <c r="A23" i="2"/>
  <c r="AF22" i="2"/>
  <c r="AE22" i="2"/>
  <c r="A22" i="2"/>
  <c r="AF21" i="2"/>
  <c r="AE21" i="2"/>
  <c r="A21" i="2"/>
  <c r="AF20" i="2"/>
  <c r="AE20" i="2"/>
  <c r="A20" i="2"/>
  <c r="AF19" i="2"/>
  <c r="AE19" i="2"/>
  <c r="A19" i="2"/>
  <c r="AF18" i="2"/>
  <c r="AE18" i="2"/>
  <c r="A18" i="2"/>
  <c r="AF17" i="2"/>
  <c r="AE17" i="2"/>
  <c r="A17" i="2"/>
  <c r="AF16" i="2"/>
  <c r="AE16" i="2"/>
  <c r="A16" i="2"/>
  <c r="AF15" i="2"/>
  <c r="AE15" i="2"/>
  <c r="A15" i="2"/>
  <c r="AF14" i="2"/>
  <c r="AE14" i="2"/>
  <c r="AI3" i="2" s="1"/>
  <c r="A14" i="2"/>
  <c r="AF13" i="2"/>
  <c r="AE13" i="2"/>
  <c r="A13" i="2"/>
  <c r="AF12" i="2"/>
  <c r="AE12" i="2"/>
  <c r="A12" i="2"/>
  <c r="AF11" i="2"/>
  <c r="AE11" i="2"/>
  <c r="A11" i="2"/>
  <c r="AF10" i="2"/>
  <c r="AE10" i="2"/>
  <c r="A10" i="2"/>
  <c r="AF9" i="2"/>
  <c r="AE9" i="2"/>
  <c r="A9" i="2"/>
  <c r="AF8" i="2"/>
  <c r="AE8" i="2"/>
  <c r="A8" i="2"/>
  <c r="AF7" i="2"/>
  <c r="AE7" i="2"/>
  <c r="A7" i="2"/>
  <c r="AF6" i="2"/>
  <c r="AE6" i="2"/>
  <c r="A6" i="2"/>
  <c r="AF5" i="2"/>
  <c r="AE5" i="2"/>
  <c r="A5" i="2"/>
  <c r="AF4" i="2"/>
  <c r="AI5" i="2" s="1"/>
  <c r="AE4" i="2"/>
  <c r="AE64" i="2" s="1"/>
  <c r="A4" i="2"/>
  <c r="AI2" i="2"/>
  <c r="A1" i="2"/>
  <c r="V10005" i="1"/>
  <c r="Z10005" i="1" s="1"/>
  <c r="U10005" i="1"/>
  <c r="T10005" i="1"/>
  <c r="W10005" i="1" s="1"/>
  <c r="S10005" i="1"/>
  <c r="R10005" i="1"/>
  <c r="Q10005" i="1"/>
  <c r="M10005" i="1"/>
  <c r="L10005" i="1"/>
  <c r="V6004" i="1"/>
  <c r="Z6004" i="1" s="1"/>
  <c r="U6004" i="1"/>
  <c r="T6004" i="1"/>
  <c r="W6004" i="1" s="1"/>
  <c r="S6004" i="1"/>
  <c r="R6004" i="1"/>
  <c r="Q6004" i="1"/>
  <c r="M6004" i="1"/>
  <c r="L6004" i="1"/>
  <c r="V6003" i="1"/>
  <c r="Z6003" i="1" s="1"/>
  <c r="U6003" i="1"/>
  <c r="T6003" i="1"/>
  <c r="S6003" i="1"/>
  <c r="R6003" i="1"/>
  <c r="Q6003" i="1"/>
  <c r="M6003" i="1"/>
  <c r="L6003" i="1"/>
  <c r="V6002" i="1"/>
  <c r="Z6002" i="1" s="1"/>
  <c r="U6002" i="1"/>
  <c r="T6002" i="1"/>
  <c r="S6002" i="1"/>
  <c r="R6002" i="1"/>
  <c r="Q6002" i="1"/>
  <c r="M6002" i="1"/>
  <c r="L6002" i="1"/>
  <c r="V6001" i="1"/>
  <c r="Z6001" i="1" s="1"/>
  <c r="U6001" i="1"/>
  <c r="T6001" i="1"/>
  <c r="W6001" i="1" s="1"/>
  <c r="S6001" i="1"/>
  <c r="R6001" i="1"/>
  <c r="Q6001" i="1"/>
  <c r="M6001" i="1"/>
  <c r="L6001" i="1"/>
  <c r="V6000" i="1"/>
  <c r="Z6000" i="1" s="1"/>
  <c r="U6000" i="1"/>
  <c r="T6000" i="1"/>
  <c r="W6000" i="1" s="1"/>
  <c r="S6000" i="1"/>
  <c r="R6000" i="1"/>
  <c r="Q6000" i="1"/>
  <c r="M6000" i="1"/>
  <c r="L6000" i="1"/>
  <c r="V5999" i="1"/>
  <c r="Z5999" i="1" s="1"/>
  <c r="U5999" i="1"/>
  <c r="T5999" i="1"/>
  <c r="S5999" i="1"/>
  <c r="R5999" i="1"/>
  <c r="Q5999" i="1"/>
  <c r="M5999" i="1"/>
  <c r="L5999" i="1"/>
  <c r="V5998" i="1"/>
  <c r="Z5998" i="1" s="1"/>
  <c r="U5998" i="1"/>
  <c r="T5998" i="1"/>
  <c r="S5998" i="1"/>
  <c r="R5998" i="1"/>
  <c r="Q5998" i="1"/>
  <c r="M5998" i="1"/>
  <c r="L5998" i="1"/>
  <c r="V5997" i="1"/>
  <c r="Z5997" i="1" s="1"/>
  <c r="U5997" i="1"/>
  <c r="T5997" i="1"/>
  <c r="W5997" i="1" s="1"/>
  <c r="S5997" i="1"/>
  <c r="R5997" i="1"/>
  <c r="Q5997" i="1"/>
  <c r="M5997" i="1"/>
  <c r="L5997" i="1"/>
  <c r="V5996" i="1"/>
  <c r="Z5996" i="1" s="1"/>
  <c r="U5996" i="1"/>
  <c r="T5996" i="1"/>
  <c r="W5996" i="1" s="1"/>
  <c r="S5996" i="1"/>
  <c r="R5996" i="1"/>
  <c r="Q5996" i="1"/>
  <c r="M5996" i="1"/>
  <c r="L5996" i="1"/>
  <c r="V5995" i="1"/>
  <c r="Z5995" i="1" s="1"/>
  <c r="U5995" i="1"/>
  <c r="T5995" i="1"/>
  <c r="S5995" i="1"/>
  <c r="R5995" i="1"/>
  <c r="Q5995" i="1"/>
  <c r="M5995" i="1"/>
  <c r="L5995" i="1"/>
  <c r="V5994" i="1"/>
  <c r="Z5994" i="1" s="1"/>
  <c r="U5994" i="1"/>
  <c r="T5994" i="1"/>
  <c r="S5994" i="1"/>
  <c r="R5994" i="1"/>
  <c r="Q5994" i="1"/>
  <c r="M5994" i="1"/>
  <c r="L5994" i="1"/>
  <c r="V5993" i="1"/>
  <c r="Z5993" i="1" s="1"/>
  <c r="U5993" i="1"/>
  <c r="T5993" i="1"/>
  <c r="W5993" i="1" s="1"/>
  <c r="S5993" i="1"/>
  <c r="R5993" i="1"/>
  <c r="Q5993" i="1"/>
  <c r="M5993" i="1"/>
  <c r="L5993" i="1"/>
  <c r="V5992" i="1"/>
  <c r="Z5992" i="1" s="1"/>
  <c r="U5992" i="1"/>
  <c r="T5992" i="1"/>
  <c r="W5992" i="1" s="1"/>
  <c r="S5992" i="1"/>
  <c r="R5992" i="1"/>
  <c r="Q5992" i="1"/>
  <c r="M5992" i="1"/>
  <c r="L5992" i="1"/>
  <c r="V5991" i="1"/>
  <c r="Z5991" i="1" s="1"/>
  <c r="U5991" i="1"/>
  <c r="T5991" i="1"/>
  <c r="S5991" i="1"/>
  <c r="R5991" i="1"/>
  <c r="Q5991" i="1"/>
  <c r="M5991" i="1"/>
  <c r="L5991" i="1"/>
  <c r="V5990" i="1"/>
  <c r="Z5990" i="1" s="1"/>
  <c r="U5990" i="1"/>
  <c r="T5990" i="1"/>
  <c r="S5990" i="1"/>
  <c r="R5990" i="1"/>
  <c r="Q5990" i="1"/>
  <c r="M5990" i="1"/>
  <c r="L5990" i="1"/>
  <c r="V5989" i="1"/>
  <c r="Z5989" i="1" s="1"/>
  <c r="U5989" i="1"/>
  <c r="T5989" i="1"/>
  <c r="W5989" i="1" s="1"/>
  <c r="S5989" i="1"/>
  <c r="R5989" i="1"/>
  <c r="Q5989" i="1"/>
  <c r="M5989" i="1"/>
  <c r="L5989" i="1"/>
  <c r="V5988" i="1"/>
  <c r="Z5988" i="1" s="1"/>
  <c r="U5988" i="1"/>
  <c r="T5988" i="1"/>
  <c r="W5988" i="1" s="1"/>
  <c r="S5988" i="1"/>
  <c r="R5988" i="1"/>
  <c r="Q5988" i="1"/>
  <c r="M5988" i="1"/>
  <c r="L5988" i="1"/>
  <c r="V5987" i="1"/>
  <c r="Z5987" i="1" s="1"/>
  <c r="U5987" i="1"/>
  <c r="T5987" i="1"/>
  <c r="S5987" i="1"/>
  <c r="R5987" i="1"/>
  <c r="Q5987" i="1"/>
  <c r="M5987" i="1"/>
  <c r="L5987" i="1"/>
  <c r="V5986" i="1"/>
  <c r="Z5986" i="1" s="1"/>
  <c r="U5986" i="1"/>
  <c r="T5986" i="1"/>
  <c r="S5986" i="1"/>
  <c r="R5986" i="1"/>
  <c r="Q5986" i="1"/>
  <c r="M5986" i="1"/>
  <c r="L5986" i="1"/>
  <c r="V5985" i="1"/>
  <c r="Z5985" i="1" s="1"/>
  <c r="U5985" i="1"/>
  <c r="T5985" i="1"/>
  <c r="W5985" i="1" s="1"/>
  <c r="S5985" i="1"/>
  <c r="R5985" i="1"/>
  <c r="Q5985" i="1"/>
  <c r="M5985" i="1"/>
  <c r="L5985" i="1"/>
  <c r="V5984" i="1"/>
  <c r="Z5984" i="1" s="1"/>
  <c r="U5984" i="1"/>
  <c r="T5984" i="1"/>
  <c r="W5984" i="1" s="1"/>
  <c r="S5984" i="1"/>
  <c r="R5984" i="1"/>
  <c r="Q5984" i="1"/>
  <c r="M5984" i="1"/>
  <c r="L5984" i="1"/>
  <c r="V5983" i="1"/>
  <c r="Z5983" i="1" s="1"/>
  <c r="U5983" i="1"/>
  <c r="T5983" i="1"/>
  <c r="S5983" i="1"/>
  <c r="R5983" i="1"/>
  <c r="Q5983" i="1"/>
  <c r="M5983" i="1"/>
  <c r="L5983" i="1"/>
  <c r="V5982" i="1"/>
  <c r="Z5982" i="1" s="1"/>
  <c r="U5982" i="1"/>
  <c r="T5982" i="1"/>
  <c r="S5982" i="1"/>
  <c r="R5982" i="1"/>
  <c r="Q5982" i="1"/>
  <c r="M5982" i="1"/>
  <c r="L5982" i="1"/>
  <c r="V5981" i="1"/>
  <c r="Z5981" i="1" s="1"/>
  <c r="U5981" i="1"/>
  <c r="T5981" i="1"/>
  <c r="W5981" i="1" s="1"/>
  <c r="S5981" i="1"/>
  <c r="R5981" i="1"/>
  <c r="Q5981" i="1"/>
  <c r="M5981" i="1"/>
  <c r="L5981" i="1"/>
  <c r="V5980" i="1"/>
  <c r="Z5980" i="1" s="1"/>
  <c r="U5980" i="1"/>
  <c r="T5980" i="1"/>
  <c r="W5980" i="1" s="1"/>
  <c r="S5980" i="1"/>
  <c r="R5980" i="1"/>
  <c r="Q5980" i="1"/>
  <c r="M5980" i="1"/>
  <c r="L5980" i="1"/>
  <c r="V5979" i="1"/>
  <c r="Z5979" i="1" s="1"/>
  <c r="U5979" i="1"/>
  <c r="T5979" i="1"/>
  <c r="S5979" i="1"/>
  <c r="R5979" i="1"/>
  <c r="Q5979" i="1"/>
  <c r="M5979" i="1"/>
  <c r="L5979" i="1"/>
  <c r="V5978" i="1"/>
  <c r="Z5978" i="1" s="1"/>
  <c r="U5978" i="1"/>
  <c r="T5978" i="1"/>
  <c r="S5978" i="1"/>
  <c r="R5978" i="1"/>
  <c r="Q5978" i="1"/>
  <c r="M5978" i="1"/>
  <c r="L5978" i="1"/>
  <c r="V5977" i="1"/>
  <c r="Z5977" i="1" s="1"/>
  <c r="U5977" i="1"/>
  <c r="T5977" i="1"/>
  <c r="W5977" i="1" s="1"/>
  <c r="S5977" i="1"/>
  <c r="R5977" i="1"/>
  <c r="Q5977" i="1"/>
  <c r="M5977" i="1"/>
  <c r="L5977" i="1"/>
  <c r="V5976" i="1"/>
  <c r="Z5976" i="1" s="1"/>
  <c r="U5976" i="1"/>
  <c r="T5976" i="1"/>
  <c r="W5976" i="1" s="1"/>
  <c r="S5976" i="1"/>
  <c r="R5976" i="1"/>
  <c r="Q5976" i="1"/>
  <c r="M5976" i="1"/>
  <c r="L5976" i="1"/>
  <c r="V5975" i="1"/>
  <c r="Z5975" i="1" s="1"/>
  <c r="U5975" i="1"/>
  <c r="T5975" i="1"/>
  <c r="S5975" i="1"/>
  <c r="R5975" i="1"/>
  <c r="Q5975" i="1"/>
  <c r="M5975" i="1"/>
  <c r="L5975" i="1"/>
  <c r="V5974" i="1"/>
  <c r="Z5974" i="1" s="1"/>
  <c r="U5974" i="1"/>
  <c r="T5974" i="1"/>
  <c r="S5974" i="1"/>
  <c r="R5974" i="1"/>
  <c r="Q5974" i="1"/>
  <c r="M5974" i="1"/>
  <c r="L5974" i="1"/>
  <c r="V5973" i="1"/>
  <c r="Z5973" i="1" s="1"/>
  <c r="U5973" i="1"/>
  <c r="T5973" i="1"/>
  <c r="W5973" i="1" s="1"/>
  <c r="S5973" i="1"/>
  <c r="R5973" i="1"/>
  <c r="Q5973" i="1"/>
  <c r="M5973" i="1"/>
  <c r="L5973" i="1"/>
  <c r="V5972" i="1"/>
  <c r="Z5972" i="1" s="1"/>
  <c r="U5972" i="1"/>
  <c r="T5972" i="1"/>
  <c r="W5972" i="1" s="1"/>
  <c r="S5972" i="1"/>
  <c r="R5972" i="1"/>
  <c r="Q5972" i="1"/>
  <c r="M5972" i="1"/>
  <c r="L5972" i="1"/>
  <c r="V5971" i="1"/>
  <c r="Z5971" i="1" s="1"/>
  <c r="U5971" i="1"/>
  <c r="T5971" i="1"/>
  <c r="S5971" i="1"/>
  <c r="R5971" i="1"/>
  <c r="Q5971" i="1"/>
  <c r="M5971" i="1"/>
  <c r="L5971" i="1"/>
  <c r="V5970" i="1"/>
  <c r="Z5970" i="1" s="1"/>
  <c r="U5970" i="1"/>
  <c r="T5970" i="1"/>
  <c r="S5970" i="1"/>
  <c r="R5970" i="1"/>
  <c r="Q5970" i="1"/>
  <c r="M5970" i="1"/>
  <c r="L5970" i="1"/>
  <c r="V5969" i="1"/>
  <c r="Z5969" i="1" s="1"/>
  <c r="U5969" i="1"/>
  <c r="T5969" i="1"/>
  <c r="W5969" i="1" s="1"/>
  <c r="S5969" i="1"/>
  <c r="R5969" i="1"/>
  <c r="Q5969" i="1"/>
  <c r="M5969" i="1"/>
  <c r="L5969" i="1"/>
  <c r="V5968" i="1"/>
  <c r="Z5968" i="1" s="1"/>
  <c r="U5968" i="1"/>
  <c r="T5968" i="1"/>
  <c r="W5968" i="1" s="1"/>
  <c r="S5968" i="1"/>
  <c r="R5968" i="1"/>
  <c r="Q5968" i="1"/>
  <c r="M5968" i="1"/>
  <c r="L5968" i="1"/>
  <c r="V5967" i="1"/>
  <c r="Z5967" i="1" s="1"/>
  <c r="U5967" i="1"/>
  <c r="T5967" i="1"/>
  <c r="S5967" i="1"/>
  <c r="R5967" i="1"/>
  <c r="Q5967" i="1"/>
  <c r="M5967" i="1"/>
  <c r="L5967" i="1"/>
  <c r="V5966" i="1"/>
  <c r="Z5966" i="1" s="1"/>
  <c r="U5966" i="1"/>
  <c r="T5966" i="1"/>
  <c r="S5966" i="1"/>
  <c r="R5966" i="1"/>
  <c r="Q5966" i="1"/>
  <c r="M5966" i="1"/>
  <c r="L5966" i="1"/>
  <c r="V5965" i="1"/>
  <c r="Z5965" i="1" s="1"/>
  <c r="U5965" i="1"/>
  <c r="T5965" i="1"/>
  <c r="W5965" i="1" s="1"/>
  <c r="S5965" i="1"/>
  <c r="R5965" i="1"/>
  <c r="Q5965" i="1"/>
  <c r="M5965" i="1"/>
  <c r="L5965" i="1"/>
  <c r="V5964" i="1"/>
  <c r="Z5964" i="1" s="1"/>
  <c r="U5964" i="1"/>
  <c r="T5964" i="1"/>
  <c r="W5964" i="1" s="1"/>
  <c r="S5964" i="1"/>
  <c r="R5964" i="1"/>
  <c r="Q5964" i="1"/>
  <c r="M5964" i="1"/>
  <c r="L5964" i="1"/>
  <c r="V5963" i="1"/>
  <c r="Z5963" i="1" s="1"/>
  <c r="U5963" i="1"/>
  <c r="T5963" i="1"/>
  <c r="S5963" i="1"/>
  <c r="R5963" i="1"/>
  <c r="Q5963" i="1"/>
  <c r="M5963" i="1"/>
  <c r="L5963" i="1"/>
  <c r="V5962" i="1"/>
  <c r="Z5962" i="1" s="1"/>
  <c r="U5962" i="1"/>
  <c r="T5962" i="1"/>
  <c r="S5962" i="1"/>
  <c r="R5962" i="1"/>
  <c r="Q5962" i="1"/>
  <c r="M5962" i="1"/>
  <c r="L5962" i="1"/>
  <c r="V5961" i="1"/>
  <c r="Z5961" i="1" s="1"/>
  <c r="U5961" i="1"/>
  <c r="T5961" i="1"/>
  <c r="W5961" i="1" s="1"/>
  <c r="S5961" i="1"/>
  <c r="R5961" i="1"/>
  <c r="Q5961" i="1"/>
  <c r="M5961" i="1"/>
  <c r="L5961" i="1"/>
  <c r="V5960" i="1"/>
  <c r="Z5960" i="1" s="1"/>
  <c r="U5960" i="1"/>
  <c r="T5960" i="1"/>
  <c r="W5960" i="1" s="1"/>
  <c r="S5960" i="1"/>
  <c r="R5960" i="1"/>
  <c r="Q5960" i="1"/>
  <c r="M5960" i="1"/>
  <c r="L5960" i="1"/>
  <c r="V5959" i="1"/>
  <c r="Z5959" i="1" s="1"/>
  <c r="U5959" i="1"/>
  <c r="T5959" i="1"/>
  <c r="S5959" i="1"/>
  <c r="R5959" i="1"/>
  <c r="Q5959" i="1"/>
  <c r="M5959" i="1"/>
  <c r="L5959" i="1"/>
  <c r="V5958" i="1"/>
  <c r="Z5958" i="1" s="1"/>
  <c r="U5958" i="1"/>
  <c r="T5958" i="1"/>
  <c r="S5958" i="1"/>
  <c r="R5958" i="1"/>
  <c r="Q5958" i="1"/>
  <c r="M5958" i="1"/>
  <c r="L5958" i="1"/>
  <c r="V5957" i="1"/>
  <c r="Z5957" i="1" s="1"/>
  <c r="U5957" i="1"/>
  <c r="T5957" i="1"/>
  <c r="W5957" i="1" s="1"/>
  <c r="S5957" i="1"/>
  <c r="R5957" i="1"/>
  <c r="Q5957" i="1"/>
  <c r="M5957" i="1"/>
  <c r="L5957" i="1"/>
  <c r="V5956" i="1"/>
  <c r="Z5956" i="1" s="1"/>
  <c r="U5956" i="1"/>
  <c r="T5956" i="1"/>
  <c r="W5956" i="1" s="1"/>
  <c r="S5956" i="1"/>
  <c r="R5956" i="1"/>
  <c r="Q5956" i="1"/>
  <c r="M5956" i="1"/>
  <c r="L5956" i="1"/>
  <c r="V5955" i="1"/>
  <c r="Z5955" i="1" s="1"/>
  <c r="U5955" i="1"/>
  <c r="T5955" i="1"/>
  <c r="S5955" i="1"/>
  <c r="R5955" i="1"/>
  <c r="Q5955" i="1"/>
  <c r="M5955" i="1"/>
  <c r="L5955" i="1"/>
  <c r="V5954" i="1"/>
  <c r="Z5954" i="1" s="1"/>
  <c r="U5954" i="1"/>
  <c r="T5954" i="1"/>
  <c r="S5954" i="1"/>
  <c r="R5954" i="1"/>
  <c r="Q5954" i="1"/>
  <c r="M5954" i="1"/>
  <c r="L5954" i="1"/>
  <c r="V5953" i="1"/>
  <c r="Z5953" i="1" s="1"/>
  <c r="U5953" i="1"/>
  <c r="T5953" i="1"/>
  <c r="W5953" i="1" s="1"/>
  <c r="S5953" i="1"/>
  <c r="R5953" i="1"/>
  <c r="Q5953" i="1"/>
  <c r="M5953" i="1"/>
  <c r="L5953" i="1"/>
  <c r="V5952" i="1"/>
  <c r="Z5952" i="1" s="1"/>
  <c r="U5952" i="1"/>
  <c r="T5952" i="1"/>
  <c r="W5952" i="1" s="1"/>
  <c r="S5952" i="1"/>
  <c r="R5952" i="1"/>
  <c r="Q5952" i="1"/>
  <c r="M5952" i="1"/>
  <c r="L5952" i="1"/>
  <c r="V5951" i="1"/>
  <c r="Z5951" i="1" s="1"/>
  <c r="U5951" i="1"/>
  <c r="T5951" i="1"/>
  <c r="S5951" i="1"/>
  <c r="R5951" i="1"/>
  <c r="Q5951" i="1"/>
  <c r="M5951" i="1"/>
  <c r="L5951" i="1"/>
  <c r="V5950" i="1"/>
  <c r="Z5950" i="1" s="1"/>
  <c r="U5950" i="1"/>
  <c r="T5950" i="1"/>
  <c r="S5950" i="1"/>
  <c r="R5950" i="1"/>
  <c r="Q5950" i="1"/>
  <c r="M5950" i="1"/>
  <c r="L5950" i="1"/>
  <c r="V5949" i="1"/>
  <c r="Z5949" i="1" s="1"/>
  <c r="U5949" i="1"/>
  <c r="T5949" i="1"/>
  <c r="W5949" i="1" s="1"/>
  <c r="S5949" i="1"/>
  <c r="R5949" i="1"/>
  <c r="Q5949" i="1"/>
  <c r="M5949" i="1"/>
  <c r="L5949" i="1"/>
  <c r="V5948" i="1"/>
  <c r="Z5948" i="1" s="1"/>
  <c r="U5948" i="1"/>
  <c r="T5948" i="1"/>
  <c r="W5948" i="1" s="1"/>
  <c r="S5948" i="1"/>
  <c r="R5948" i="1"/>
  <c r="Q5948" i="1"/>
  <c r="M5948" i="1"/>
  <c r="L5948" i="1"/>
  <c r="V5947" i="1"/>
  <c r="Z5947" i="1" s="1"/>
  <c r="U5947" i="1"/>
  <c r="T5947" i="1"/>
  <c r="S5947" i="1"/>
  <c r="R5947" i="1"/>
  <c r="Q5947" i="1"/>
  <c r="M5947" i="1"/>
  <c r="L5947" i="1"/>
  <c r="V5946" i="1"/>
  <c r="Z5946" i="1" s="1"/>
  <c r="U5946" i="1"/>
  <c r="T5946" i="1"/>
  <c r="S5946" i="1"/>
  <c r="R5946" i="1"/>
  <c r="Q5946" i="1"/>
  <c r="M5946" i="1"/>
  <c r="L5946" i="1"/>
  <c r="V5945" i="1"/>
  <c r="Z5945" i="1" s="1"/>
  <c r="U5945" i="1"/>
  <c r="T5945" i="1"/>
  <c r="W5945" i="1" s="1"/>
  <c r="S5945" i="1"/>
  <c r="R5945" i="1"/>
  <c r="Q5945" i="1"/>
  <c r="M5945" i="1"/>
  <c r="L5945" i="1"/>
  <c r="V5944" i="1"/>
  <c r="Z5944" i="1" s="1"/>
  <c r="U5944" i="1"/>
  <c r="T5944" i="1"/>
  <c r="W5944" i="1" s="1"/>
  <c r="S5944" i="1"/>
  <c r="R5944" i="1"/>
  <c r="Q5944" i="1"/>
  <c r="M5944" i="1"/>
  <c r="L5944" i="1"/>
  <c r="Z5943" i="1"/>
  <c r="V5943" i="1"/>
  <c r="U5943" i="1"/>
  <c r="T5943" i="1"/>
  <c r="S5943" i="1"/>
  <c r="R5943" i="1"/>
  <c r="Q5943" i="1"/>
  <c r="M5943" i="1"/>
  <c r="L5943" i="1"/>
  <c r="V5942" i="1"/>
  <c r="Z5942" i="1" s="1"/>
  <c r="U5942" i="1"/>
  <c r="T5942" i="1"/>
  <c r="S5942" i="1"/>
  <c r="R5942" i="1"/>
  <c r="Q5942" i="1"/>
  <c r="M5942" i="1"/>
  <c r="L5942" i="1"/>
  <c r="V5941" i="1"/>
  <c r="Z5941" i="1" s="1"/>
  <c r="U5941" i="1"/>
  <c r="T5941" i="1"/>
  <c r="W5941" i="1" s="1"/>
  <c r="S5941" i="1"/>
  <c r="R5941" i="1"/>
  <c r="Q5941" i="1"/>
  <c r="M5941" i="1"/>
  <c r="L5941" i="1"/>
  <c r="V5940" i="1"/>
  <c r="Z5940" i="1" s="1"/>
  <c r="U5940" i="1"/>
  <c r="T5940" i="1"/>
  <c r="W5940" i="1" s="1"/>
  <c r="S5940" i="1"/>
  <c r="R5940" i="1"/>
  <c r="Q5940" i="1"/>
  <c r="M5940" i="1"/>
  <c r="L5940" i="1"/>
  <c r="V5939" i="1"/>
  <c r="Z5939" i="1" s="1"/>
  <c r="U5939" i="1"/>
  <c r="T5939" i="1"/>
  <c r="S5939" i="1"/>
  <c r="R5939" i="1"/>
  <c r="Q5939" i="1"/>
  <c r="M5939" i="1"/>
  <c r="L5939" i="1"/>
  <c r="V5938" i="1"/>
  <c r="Z5938" i="1" s="1"/>
  <c r="U5938" i="1"/>
  <c r="T5938" i="1"/>
  <c r="S5938" i="1"/>
  <c r="R5938" i="1"/>
  <c r="Q5938" i="1"/>
  <c r="M5938" i="1"/>
  <c r="L5938" i="1"/>
  <c r="V5937" i="1"/>
  <c r="Z5937" i="1" s="1"/>
  <c r="U5937" i="1"/>
  <c r="T5937" i="1"/>
  <c r="W5937" i="1" s="1"/>
  <c r="S5937" i="1"/>
  <c r="R5937" i="1"/>
  <c r="Q5937" i="1"/>
  <c r="M5937" i="1"/>
  <c r="L5937" i="1"/>
  <c r="V5936" i="1"/>
  <c r="Z5936" i="1" s="1"/>
  <c r="U5936" i="1"/>
  <c r="T5936" i="1"/>
  <c r="W5936" i="1" s="1"/>
  <c r="S5936" i="1"/>
  <c r="R5936" i="1"/>
  <c r="Q5936" i="1"/>
  <c r="M5936" i="1"/>
  <c r="L5936" i="1"/>
  <c r="V5935" i="1"/>
  <c r="Z5935" i="1" s="1"/>
  <c r="U5935" i="1"/>
  <c r="T5935" i="1"/>
  <c r="S5935" i="1"/>
  <c r="R5935" i="1"/>
  <c r="Q5935" i="1"/>
  <c r="M5935" i="1"/>
  <c r="L5935" i="1"/>
  <c r="V5934" i="1"/>
  <c r="Z5934" i="1" s="1"/>
  <c r="U5934" i="1"/>
  <c r="T5934" i="1"/>
  <c r="S5934" i="1"/>
  <c r="R5934" i="1"/>
  <c r="Q5934" i="1"/>
  <c r="M5934" i="1"/>
  <c r="L5934" i="1"/>
  <c r="V5933" i="1"/>
  <c r="Z5933" i="1" s="1"/>
  <c r="U5933" i="1"/>
  <c r="T5933" i="1"/>
  <c r="W5933" i="1" s="1"/>
  <c r="S5933" i="1"/>
  <c r="R5933" i="1"/>
  <c r="Q5933" i="1"/>
  <c r="M5933" i="1"/>
  <c r="L5933" i="1"/>
  <c r="V5932" i="1"/>
  <c r="Z5932" i="1" s="1"/>
  <c r="U5932" i="1"/>
  <c r="T5932" i="1"/>
  <c r="W5932" i="1" s="1"/>
  <c r="S5932" i="1"/>
  <c r="R5932" i="1"/>
  <c r="Q5932" i="1"/>
  <c r="M5932" i="1"/>
  <c r="L5932" i="1"/>
  <c r="V5931" i="1"/>
  <c r="Z5931" i="1" s="1"/>
  <c r="U5931" i="1"/>
  <c r="T5931" i="1"/>
  <c r="S5931" i="1"/>
  <c r="R5931" i="1"/>
  <c r="Q5931" i="1"/>
  <c r="M5931" i="1"/>
  <c r="L5931" i="1"/>
  <c r="V5930" i="1"/>
  <c r="Z5930" i="1" s="1"/>
  <c r="U5930" i="1"/>
  <c r="T5930" i="1"/>
  <c r="S5930" i="1"/>
  <c r="R5930" i="1"/>
  <c r="Q5930" i="1"/>
  <c r="M5930" i="1"/>
  <c r="L5930" i="1"/>
  <c r="V5929" i="1"/>
  <c r="Z5929" i="1" s="1"/>
  <c r="U5929" i="1"/>
  <c r="T5929" i="1"/>
  <c r="W5929" i="1" s="1"/>
  <c r="S5929" i="1"/>
  <c r="R5929" i="1"/>
  <c r="Q5929" i="1"/>
  <c r="M5929" i="1"/>
  <c r="L5929" i="1"/>
  <c r="V5928" i="1"/>
  <c r="Z5928" i="1" s="1"/>
  <c r="U5928" i="1"/>
  <c r="T5928" i="1"/>
  <c r="W5928" i="1" s="1"/>
  <c r="S5928" i="1"/>
  <c r="R5928" i="1"/>
  <c r="Q5928" i="1"/>
  <c r="M5928" i="1"/>
  <c r="L5928" i="1"/>
  <c r="V5927" i="1"/>
  <c r="Z5927" i="1" s="1"/>
  <c r="U5927" i="1"/>
  <c r="T5927" i="1"/>
  <c r="S5927" i="1"/>
  <c r="R5927" i="1"/>
  <c r="Q5927" i="1"/>
  <c r="M5927" i="1"/>
  <c r="L5927" i="1"/>
  <c r="V5926" i="1"/>
  <c r="Z5926" i="1" s="1"/>
  <c r="U5926" i="1"/>
  <c r="T5926" i="1"/>
  <c r="S5926" i="1"/>
  <c r="R5926" i="1"/>
  <c r="Q5926" i="1"/>
  <c r="M5926" i="1"/>
  <c r="L5926" i="1"/>
  <c r="V5925" i="1"/>
  <c r="Z5925" i="1" s="1"/>
  <c r="U5925" i="1"/>
  <c r="T5925" i="1"/>
  <c r="W5925" i="1" s="1"/>
  <c r="S5925" i="1"/>
  <c r="R5925" i="1"/>
  <c r="Q5925" i="1"/>
  <c r="M5925" i="1"/>
  <c r="L5925" i="1"/>
  <c r="V5924" i="1"/>
  <c r="Z5924" i="1" s="1"/>
  <c r="U5924" i="1"/>
  <c r="T5924" i="1"/>
  <c r="W5924" i="1" s="1"/>
  <c r="S5924" i="1"/>
  <c r="R5924" i="1"/>
  <c r="Q5924" i="1"/>
  <c r="M5924" i="1"/>
  <c r="L5924" i="1"/>
  <c r="V5923" i="1"/>
  <c r="Z5923" i="1" s="1"/>
  <c r="U5923" i="1"/>
  <c r="T5923" i="1"/>
  <c r="S5923" i="1"/>
  <c r="R5923" i="1"/>
  <c r="Q5923" i="1"/>
  <c r="M5923" i="1"/>
  <c r="L5923" i="1"/>
  <c r="V5922" i="1"/>
  <c r="Z5922" i="1" s="1"/>
  <c r="U5922" i="1"/>
  <c r="T5922" i="1"/>
  <c r="S5922" i="1"/>
  <c r="R5922" i="1"/>
  <c r="Q5922" i="1"/>
  <c r="M5922" i="1"/>
  <c r="L5922" i="1"/>
  <c r="V5921" i="1"/>
  <c r="Z5921" i="1" s="1"/>
  <c r="U5921" i="1"/>
  <c r="T5921" i="1"/>
  <c r="W5921" i="1" s="1"/>
  <c r="S5921" i="1"/>
  <c r="R5921" i="1"/>
  <c r="Q5921" i="1"/>
  <c r="M5921" i="1"/>
  <c r="L5921" i="1"/>
  <c r="V5920" i="1"/>
  <c r="Z5920" i="1" s="1"/>
  <c r="U5920" i="1"/>
  <c r="T5920" i="1"/>
  <c r="W5920" i="1" s="1"/>
  <c r="S5920" i="1"/>
  <c r="R5920" i="1"/>
  <c r="Q5920" i="1"/>
  <c r="M5920" i="1"/>
  <c r="L5920" i="1"/>
  <c r="V5919" i="1"/>
  <c r="Z5919" i="1" s="1"/>
  <c r="U5919" i="1"/>
  <c r="T5919" i="1"/>
  <c r="S5919" i="1"/>
  <c r="R5919" i="1"/>
  <c r="Q5919" i="1"/>
  <c r="M5919" i="1"/>
  <c r="L5919" i="1"/>
  <c r="V5918" i="1"/>
  <c r="Z5918" i="1" s="1"/>
  <c r="U5918" i="1"/>
  <c r="T5918" i="1"/>
  <c r="S5918" i="1"/>
  <c r="R5918" i="1"/>
  <c r="Q5918" i="1"/>
  <c r="M5918" i="1"/>
  <c r="L5918" i="1"/>
  <c r="V5917" i="1"/>
  <c r="Z5917" i="1" s="1"/>
  <c r="U5917" i="1"/>
  <c r="T5917" i="1"/>
  <c r="W5917" i="1" s="1"/>
  <c r="S5917" i="1"/>
  <c r="R5917" i="1"/>
  <c r="Q5917" i="1"/>
  <c r="M5917" i="1"/>
  <c r="L5917" i="1"/>
  <c r="V5916" i="1"/>
  <c r="Z5916" i="1" s="1"/>
  <c r="U5916" i="1"/>
  <c r="T5916" i="1"/>
  <c r="W5916" i="1" s="1"/>
  <c r="S5916" i="1"/>
  <c r="R5916" i="1"/>
  <c r="Q5916" i="1"/>
  <c r="M5916" i="1"/>
  <c r="L5916" i="1"/>
  <c r="V5915" i="1"/>
  <c r="Z5915" i="1" s="1"/>
  <c r="U5915" i="1"/>
  <c r="T5915" i="1"/>
  <c r="S5915" i="1"/>
  <c r="R5915" i="1"/>
  <c r="Q5915" i="1"/>
  <c r="M5915" i="1"/>
  <c r="L5915" i="1"/>
  <c r="V5914" i="1"/>
  <c r="Z5914" i="1" s="1"/>
  <c r="U5914" i="1"/>
  <c r="T5914" i="1"/>
  <c r="S5914" i="1"/>
  <c r="R5914" i="1"/>
  <c r="Q5914" i="1"/>
  <c r="M5914" i="1"/>
  <c r="L5914" i="1"/>
  <c r="V5913" i="1"/>
  <c r="Z5913" i="1" s="1"/>
  <c r="U5913" i="1"/>
  <c r="T5913" i="1"/>
  <c r="W5913" i="1" s="1"/>
  <c r="S5913" i="1"/>
  <c r="R5913" i="1"/>
  <c r="Q5913" i="1"/>
  <c r="M5913" i="1"/>
  <c r="L5913" i="1"/>
  <c r="V5912" i="1"/>
  <c r="Z5912" i="1" s="1"/>
  <c r="U5912" i="1"/>
  <c r="T5912" i="1"/>
  <c r="W5912" i="1" s="1"/>
  <c r="S5912" i="1"/>
  <c r="R5912" i="1"/>
  <c r="Q5912" i="1"/>
  <c r="M5912" i="1"/>
  <c r="L5912" i="1"/>
  <c r="V5911" i="1"/>
  <c r="Z5911" i="1" s="1"/>
  <c r="U5911" i="1"/>
  <c r="T5911" i="1"/>
  <c r="S5911" i="1"/>
  <c r="R5911" i="1"/>
  <c r="Q5911" i="1"/>
  <c r="M5911" i="1"/>
  <c r="L5911" i="1"/>
  <c r="V5910" i="1"/>
  <c r="Z5910" i="1" s="1"/>
  <c r="U5910" i="1"/>
  <c r="T5910" i="1"/>
  <c r="S5910" i="1"/>
  <c r="R5910" i="1"/>
  <c r="Q5910" i="1"/>
  <c r="M5910" i="1"/>
  <c r="L5910" i="1"/>
  <c r="V5909" i="1"/>
  <c r="Z5909" i="1" s="1"/>
  <c r="U5909" i="1"/>
  <c r="T5909" i="1"/>
  <c r="W5909" i="1" s="1"/>
  <c r="S5909" i="1"/>
  <c r="R5909" i="1"/>
  <c r="Q5909" i="1"/>
  <c r="M5909" i="1"/>
  <c r="L5909" i="1"/>
  <c r="V5908" i="1"/>
  <c r="Z5908" i="1" s="1"/>
  <c r="U5908" i="1"/>
  <c r="T5908" i="1"/>
  <c r="W5908" i="1" s="1"/>
  <c r="S5908" i="1"/>
  <c r="R5908" i="1"/>
  <c r="Q5908" i="1"/>
  <c r="M5908" i="1"/>
  <c r="L5908" i="1"/>
  <c r="V5907" i="1"/>
  <c r="Z5907" i="1" s="1"/>
  <c r="U5907" i="1"/>
  <c r="T5907" i="1"/>
  <c r="S5907" i="1"/>
  <c r="R5907" i="1"/>
  <c r="Q5907" i="1"/>
  <c r="M5907" i="1"/>
  <c r="L5907" i="1"/>
  <c r="V5906" i="1"/>
  <c r="Z5906" i="1" s="1"/>
  <c r="U5906" i="1"/>
  <c r="T5906" i="1"/>
  <c r="S5906" i="1"/>
  <c r="R5906" i="1"/>
  <c r="Q5906" i="1"/>
  <c r="M5906" i="1"/>
  <c r="L5906" i="1"/>
  <c r="V5905" i="1"/>
  <c r="U5905" i="1"/>
  <c r="T5905" i="1"/>
  <c r="W5905" i="1" s="1"/>
  <c r="S5905" i="1"/>
  <c r="R5905" i="1"/>
  <c r="Q5905" i="1"/>
  <c r="M5905" i="1"/>
  <c r="L5905" i="1"/>
  <c r="V5904" i="1"/>
  <c r="Z5904" i="1" s="1"/>
  <c r="U5904" i="1"/>
  <c r="T5904" i="1"/>
  <c r="W5904" i="1" s="1"/>
  <c r="S5904" i="1"/>
  <c r="R5904" i="1"/>
  <c r="Q5904" i="1"/>
  <c r="M5904" i="1"/>
  <c r="L5904" i="1"/>
  <c r="V5903" i="1"/>
  <c r="Z5903" i="1" s="1"/>
  <c r="U5903" i="1"/>
  <c r="T5903" i="1"/>
  <c r="S5903" i="1"/>
  <c r="R5903" i="1"/>
  <c r="Q5903" i="1"/>
  <c r="M5903" i="1"/>
  <c r="L5903" i="1"/>
  <c r="V5902" i="1"/>
  <c r="Z5902" i="1" s="1"/>
  <c r="U5902" i="1"/>
  <c r="T5902" i="1"/>
  <c r="S5902" i="1"/>
  <c r="R5902" i="1"/>
  <c r="Q5902" i="1"/>
  <c r="M5902" i="1"/>
  <c r="L5902" i="1"/>
  <c r="V5901" i="1"/>
  <c r="U5901" i="1"/>
  <c r="T5901" i="1"/>
  <c r="W5901" i="1" s="1"/>
  <c r="S5901" i="1"/>
  <c r="R5901" i="1"/>
  <c r="Q5901" i="1"/>
  <c r="M5901" i="1"/>
  <c r="L5901" i="1"/>
  <c r="V5900" i="1"/>
  <c r="Z5900" i="1" s="1"/>
  <c r="U5900" i="1"/>
  <c r="T5900" i="1"/>
  <c r="W5900" i="1" s="1"/>
  <c r="S5900" i="1"/>
  <c r="R5900" i="1"/>
  <c r="Q5900" i="1"/>
  <c r="M5900" i="1"/>
  <c r="L5900" i="1"/>
  <c r="V5899" i="1"/>
  <c r="Z5899" i="1" s="1"/>
  <c r="U5899" i="1"/>
  <c r="T5899" i="1"/>
  <c r="S5899" i="1"/>
  <c r="R5899" i="1"/>
  <c r="Q5899" i="1"/>
  <c r="M5899" i="1"/>
  <c r="L5899" i="1"/>
  <c r="V5898" i="1"/>
  <c r="Z5898" i="1" s="1"/>
  <c r="U5898" i="1"/>
  <c r="T5898" i="1"/>
  <c r="S5898" i="1"/>
  <c r="R5898" i="1"/>
  <c r="Q5898" i="1"/>
  <c r="M5898" i="1"/>
  <c r="L5898" i="1"/>
  <c r="V5897" i="1"/>
  <c r="U5897" i="1"/>
  <c r="T5897" i="1"/>
  <c r="W5897" i="1" s="1"/>
  <c r="S5897" i="1"/>
  <c r="R5897" i="1"/>
  <c r="Q5897" i="1"/>
  <c r="M5897" i="1"/>
  <c r="L5897" i="1"/>
  <c r="V5896" i="1"/>
  <c r="Z5896" i="1" s="1"/>
  <c r="U5896" i="1"/>
  <c r="T5896" i="1"/>
  <c r="W5896" i="1" s="1"/>
  <c r="S5896" i="1"/>
  <c r="R5896" i="1"/>
  <c r="Q5896" i="1"/>
  <c r="M5896" i="1"/>
  <c r="L5896" i="1"/>
  <c r="V5895" i="1"/>
  <c r="Z5895" i="1" s="1"/>
  <c r="U5895" i="1"/>
  <c r="T5895" i="1"/>
  <c r="S5895" i="1"/>
  <c r="R5895" i="1"/>
  <c r="Q5895" i="1"/>
  <c r="M5895" i="1"/>
  <c r="L5895" i="1"/>
  <c r="V5894" i="1"/>
  <c r="Z5894" i="1" s="1"/>
  <c r="U5894" i="1"/>
  <c r="T5894" i="1"/>
  <c r="S5894" i="1"/>
  <c r="R5894" i="1"/>
  <c r="Q5894" i="1"/>
  <c r="M5894" i="1"/>
  <c r="L5894" i="1"/>
  <c r="V5893" i="1"/>
  <c r="U5893" i="1"/>
  <c r="T5893" i="1"/>
  <c r="W5893" i="1" s="1"/>
  <c r="S5893" i="1"/>
  <c r="R5893" i="1"/>
  <c r="Q5893" i="1"/>
  <c r="M5893" i="1"/>
  <c r="L5893" i="1"/>
  <c r="V5892" i="1"/>
  <c r="Z5892" i="1" s="1"/>
  <c r="U5892" i="1"/>
  <c r="T5892" i="1"/>
  <c r="W5892" i="1" s="1"/>
  <c r="S5892" i="1"/>
  <c r="R5892" i="1"/>
  <c r="Q5892" i="1"/>
  <c r="M5892" i="1"/>
  <c r="L5892" i="1"/>
  <c r="V5891" i="1"/>
  <c r="Z5891" i="1" s="1"/>
  <c r="U5891" i="1"/>
  <c r="T5891" i="1"/>
  <c r="S5891" i="1"/>
  <c r="R5891" i="1"/>
  <c r="Q5891" i="1"/>
  <c r="M5891" i="1"/>
  <c r="L5891" i="1"/>
  <c r="V5890" i="1"/>
  <c r="Z5890" i="1" s="1"/>
  <c r="U5890" i="1"/>
  <c r="T5890" i="1"/>
  <c r="S5890" i="1"/>
  <c r="R5890" i="1"/>
  <c r="Q5890" i="1"/>
  <c r="M5890" i="1"/>
  <c r="L5890" i="1"/>
  <c r="V5889" i="1"/>
  <c r="U5889" i="1"/>
  <c r="T5889" i="1"/>
  <c r="W5889" i="1" s="1"/>
  <c r="S5889" i="1"/>
  <c r="R5889" i="1"/>
  <c r="Q5889" i="1"/>
  <c r="M5889" i="1"/>
  <c r="L5889" i="1"/>
  <c r="V5888" i="1"/>
  <c r="Z5888" i="1" s="1"/>
  <c r="U5888" i="1"/>
  <c r="T5888" i="1"/>
  <c r="W5888" i="1" s="1"/>
  <c r="S5888" i="1"/>
  <c r="R5888" i="1"/>
  <c r="Q5888" i="1"/>
  <c r="M5888" i="1"/>
  <c r="L5888" i="1"/>
  <c r="V5887" i="1"/>
  <c r="Z5887" i="1" s="1"/>
  <c r="U5887" i="1"/>
  <c r="T5887" i="1"/>
  <c r="S5887" i="1"/>
  <c r="R5887" i="1"/>
  <c r="Q5887" i="1"/>
  <c r="M5887" i="1"/>
  <c r="L5887" i="1"/>
  <c r="V5886" i="1"/>
  <c r="Z5886" i="1" s="1"/>
  <c r="U5886" i="1"/>
  <c r="T5886" i="1"/>
  <c r="S5886" i="1"/>
  <c r="R5886" i="1"/>
  <c r="Q5886" i="1"/>
  <c r="M5886" i="1"/>
  <c r="L5886" i="1"/>
  <c r="V5885" i="1"/>
  <c r="U5885" i="1"/>
  <c r="T5885" i="1"/>
  <c r="W5885" i="1" s="1"/>
  <c r="S5885" i="1"/>
  <c r="R5885" i="1"/>
  <c r="Q5885" i="1"/>
  <c r="M5885" i="1"/>
  <c r="L5885" i="1"/>
  <c r="V5884" i="1"/>
  <c r="Z5884" i="1" s="1"/>
  <c r="U5884" i="1"/>
  <c r="T5884" i="1"/>
  <c r="W5884" i="1" s="1"/>
  <c r="S5884" i="1"/>
  <c r="R5884" i="1"/>
  <c r="Q5884" i="1"/>
  <c r="M5884" i="1"/>
  <c r="L5884" i="1"/>
  <c r="V5883" i="1"/>
  <c r="Z5883" i="1" s="1"/>
  <c r="U5883" i="1"/>
  <c r="T5883" i="1"/>
  <c r="S5883" i="1"/>
  <c r="R5883" i="1"/>
  <c r="Q5883" i="1"/>
  <c r="M5883" i="1"/>
  <c r="L5883" i="1"/>
  <c r="V5882" i="1"/>
  <c r="Z5882" i="1" s="1"/>
  <c r="U5882" i="1"/>
  <c r="T5882" i="1"/>
  <c r="S5882" i="1"/>
  <c r="R5882" i="1"/>
  <c r="Q5882" i="1"/>
  <c r="M5882" i="1"/>
  <c r="L5882" i="1"/>
  <c r="V5881" i="1"/>
  <c r="U5881" i="1"/>
  <c r="T5881" i="1"/>
  <c r="W5881" i="1" s="1"/>
  <c r="S5881" i="1"/>
  <c r="R5881" i="1"/>
  <c r="Q5881" i="1"/>
  <c r="M5881" i="1"/>
  <c r="L5881" i="1"/>
  <c r="V5880" i="1"/>
  <c r="Z5880" i="1" s="1"/>
  <c r="U5880" i="1"/>
  <c r="T5880" i="1"/>
  <c r="W5880" i="1" s="1"/>
  <c r="S5880" i="1"/>
  <c r="R5880" i="1"/>
  <c r="Q5880" i="1"/>
  <c r="M5880" i="1"/>
  <c r="L5880" i="1"/>
  <c r="V5879" i="1"/>
  <c r="Z5879" i="1" s="1"/>
  <c r="U5879" i="1"/>
  <c r="T5879" i="1"/>
  <c r="S5879" i="1"/>
  <c r="R5879" i="1"/>
  <c r="Q5879" i="1"/>
  <c r="M5879" i="1"/>
  <c r="L5879" i="1"/>
  <c r="V5878" i="1"/>
  <c r="Z5878" i="1" s="1"/>
  <c r="U5878" i="1"/>
  <c r="T5878" i="1"/>
  <c r="S5878" i="1"/>
  <c r="R5878" i="1"/>
  <c r="Q5878" i="1"/>
  <c r="M5878" i="1"/>
  <c r="L5878" i="1"/>
  <c r="V5877" i="1"/>
  <c r="U5877" i="1"/>
  <c r="T5877" i="1"/>
  <c r="W5877" i="1" s="1"/>
  <c r="S5877" i="1"/>
  <c r="R5877" i="1"/>
  <c r="Q5877" i="1"/>
  <c r="M5877" i="1"/>
  <c r="L5877" i="1"/>
  <c r="V5876" i="1"/>
  <c r="Z5876" i="1" s="1"/>
  <c r="U5876" i="1"/>
  <c r="T5876" i="1"/>
  <c r="W5876" i="1" s="1"/>
  <c r="S5876" i="1"/>
  <c r="R5876" i="1"/>
  <c r="Q5876" i="1"/>
  <c r="M5876" i="1"/>
  <c r="L5876" i="1"/>
  <c r="V5875" i="1"/>
  <c r="Z5875" i="1" s="1"/>
  <c r="U5875" i="1"/>
  <c r="T5875" i="1"/>
  <c r="S5875" i="1"/>
  <c r="R5875" i="1"/>
  <c r="Q5875" i="1"/>
  <c r="M5875" i="1"/>
  <c r="L5875" i="1"/>
  <c r="V5874" i="1"/>
  <c r="Z5874" i="1" s="1"/>
  <c r="U5874" i="1"/>
  <c r="T5874" i="1"/>
  <c r="S5874" i="1"/>
  <c r="R5874" i="1"/>
  <c r="Q5874" i="1"/>
  <c r="M5874" i="1"/>
  <c r="L5874" i="1"/>
  <c r="V5873" i="1"/>
  <c r="U5873" i="1"/>
  <c r="T5873" i="1"/>
  <c r="W5873" i="1" s="1"/>
  <c r="S5873" i="1"/>
  <c r="R5873" i="1"/>
  <c r="Q5873" i="1"/>
  <c r="M5873" i="1"/>
  <c r="L5873" i="1"/>
  <c r="V5872" i="1"/>
  <c r="Z5872" i="1" s="1"/>
  <c r="U5872" i="1"/>
  <c r="T5872" i="1"/>
  <c r="W5872" i="1" s="1"/>
  <c r="S5872" i="1"/>
  <c r="R5872" i="1"/>
  <c r="Q5872" i="1"/>
  <c r="M5872" i="1"/>
  <c r="L5872" i="1"/>
  <c r="V5871" i="1"/>
  <c r="Z5871" i="1" s="1"/>
  <c r="U5871" i="1"/>
  <c r="T5871" i="1"/>
  <c r="S5871" i="1"/>
  <c r="R5871" i="1"/>
  <c r="Q5871" i="1"/>
  <c r="M5871" i="1"/>
  <c r="L5871" i="1"/>
  <c r="V5870" i="1"/>
  <c r="Z5870" i="1" s="1"/>
  <c r="U5870" i="1"/>
  <c r="T5870" i="1"/>
  <c r="S5870" i="1"/>
  <c r="R5870" i="1"/>
  <c r="Q5870" i="1"/>
  <c r="M5870" i="1"/>
  <c r="L5870" i="1"/>
  <c r="V5869" i="1"/>
  <c r="U5869" i="1"/>
  <c r="T5869" i="1"/>
  <c r="W5869" i="1" s="1"/>
  <c r="S5869" i="1"/>
  <c r="R5869" i="1"/>
  <c r="Q5869" i="1"/>
  <c r="M5869" i="1"/>
  <c r="L5869" i="1"/>
  <c r="V5868" i="1"/>
  <c r="Z5868" i="1" s="1"/>
  <c r="U5868" i="1"/>
  <c r="T5868" i="1"/>
  <c r="W5868" i="1" s="1"/>
  <c r="S5868" i="1"/>
  <c r="R5868" i="1"/>
  <c r="Q5868" i="1"/>
  <c r="M5868" i="1"/>
  <c r="L5868" i="1"/>
  <c r="V5867" i="1"/>
  <c r="Z5867" i="1" s="1"/>
  <c r="U5867" i="1"/>
  <c r="T5867" i="1"/>
  <c r="S5867" i="1"/>
  <c r="R5867" i="1"/>
  <c r="Q5867" i="1"/>
  <c r="M5867" i="1"/>
  <c r="L5867" i="1"/>
  <c r="V5866" i="1"/>
  <c r="Z5866" i="1" s="1"/>
  <c r="U5866" i="1"/>
  <c r="T5866" i="1"/>
  <c r="S5866" i="1"/>
  <c r="R5866" i="1"/>
  <c r="Q5866" i="1"/>
  <c r="M5866" i="1"/>
  <c r="L5866" i="1"/>
  <c r="V5865" i="1"/>
  <c r="U5865" i="1"/>
  <c r="T5865" i="1"/>
  <c r="W5865" i="1" s="1"/>
  <c r="S5865" i="1"/>
  <c r="R5865" i="1"/>
  <c r="Q5865" i="1"/>
  <c r="M5865" i="1"/>
  <c r="L5865" i="1"/>
  <c r="V5864" i="1"/>
  <c r="Z5864" i="1" s="1"/>
  <c r="U5864" i="1"/>
  <c r="T5864" i="1"/>
  <c r="W5864" i="1" s="1"/>
  <c r="S5864" i="1"/>
  <c r="R5864" i="1"/>
  <c r="Q5864" i="1"/>
  <c r="M5864" i="1"/>
  <c r="L5864" i="1"/>
  <c r="V5863" i="1"/>
  <c r="Z5863" i="1" s="1"/>
  <c r="U5863" i="1"/>
  <c r="T5863" i="1"/>
  <c r="S5863" i="1"/>
  <c r="R5863" i="1"/>
  <c r="Q5863" i="1"/>
  <c r="M5863" i="1"/>
  <c r="L5863" i="1"/>
  <c r="V5862" i="1"/>
  <c r="Z5862" i="1" s="1"/>
  <c r="U5862" i="1"/>
  <c r="T5862" i="1"/>
  <c r="S5862" i="1"/>
  <c r="R5862" i="1"/>
  <c r="Q5862" i="1"/>
  <c r="M5862" i="1"/>
  <c r="L5862" i="1"/>
  <c r="V5861" i="1"/>
  <c r="U5861" i="1"/>
  <c r="T5861" i="1"/>
  <c r="W5861" i="1" s="1"/>
  <c r="S5861" i="1"/>
  <c r="R5861" i="1"/>
  <c r="Q5861" i="1"/>
  <c r="M5861" i="1"/>
  <c r="L5861" i="1"/>
  <c r="V5860" i="1"/>
  <c r="Z5860" i="1" s="1"/>
  <c r="U5860" i="1"/>
  <c r="T5860" i="1"/>
  <c r="W5860" i="1" s="1"/>
  <c r="S5860" i="1"/>
  <c r="R5860" i="1"/>
  <c r="Q5860" i="1"/>
  <c r="M5860" i="1"/>
  <c r="L5860" i="1"/>
  <c r="V5859" i="1"/>
  <c r="Z5859" i="1" s="1"/>
  <c r="U5859" i="1"/>
  <c r="T5859" i="1"/>
  <c r="S5859" i="1"/>
  <c r="R5859" i="1"/>
  <c r="Q5859" i="1"/>
  <c r="M5859" i="1"/>
  <c r="L5859" i="1"/>
  <c r="V5858" i="1"/>
  <c r="Z5858" i="1" s="1"/>
  <c r="U5858" i="1"/>
  <c r="T5858" i="1"/>
  <c r="S5858" i="1"/>
  <c r="R5858" i="1"/>
  <c r="Q5858" i="1"/>
  <c r="M5858" i="1"/>
  <c r="L5858" i="1"/>
  <c r="V5857" i="1"/>
  <c r="U5857" i="1"/>
  <c r="T5857" i="1"/>
  <c r="W5857" i="1" s="1"/>
  <c r="S5857" i="1"/>
  <c r="R5857" i="1"/>
  <c r="Q5857" i="1"/>
  <c r="M5857" i="1"/>
  <c r="L5857" i="1"/>
  <c r="V5856" i="1"/>
  <c r="Z5856" i="1" s="1"/>
  <c r="U5856" i="1"/>
  <c r="T5856" i="1"/>
  <c r="W5856" i="1" s="1"/>
  <c r="S5856" i="1"/>
  <c r="R5856" i="1"/>
  <c r="Q5856" i="1"/>
  <c r="M5856" i="1"/>
  <c r="L5856" i="1"/>
  <c r="V5855" i="1"/>
  <c r="Z5855" i="1" s="1"/>
  <c r="U5855" i="1"/>
  <c r="T5855" i="1"/>
  <c r="S5855" i="1"/>
  <c r="R5855" i="1"/>
  <c r="Q5855" i="1"/>
  <c r="M5855" i="1"/>
  <c r="L5855" i="1"/>
  <c r="V5854" i="1"/>
  <c r="Z5854" i="1" s="1"/>
  <c r="U5854" i="1"/>
  <c r="T5854" i="1"/>
  <c r="S5854" i="1"/>
  <c r="R5854" i="1"/>
  <c r="Q5854" i="1"/>
  <c r="M5854" i="1"/>
  <c r="L5854" i="1"/>
  <c r="V5853" i="1"/>
  <c r="U5853" i="1"/>
  <c r="T5853" i="1"/>
  <c r="W5853" i="1" s="1"/>
  <c r="S5853" i="1"/>
  <c r="R5853" i="1"/>
  <c r="Q5853" i="1"/>
  <c r="M5853" i="1"/>
  <c r="L5853" i="1"/>
  <c r="V5852" i="1"/>
  <c r="Z5852" i="1" s="1"/>
  <c r="U5852" i="1"/>
  <c r="T5852" i="1"/>
  <c r="W5852" i="1" s="1"/>
  <c r="S5852" i="1"/>
  <c r="R5852" i="1"/>
  <c r="Q5852" i="1"/>
  <c r="M5852" i="1"/>
  <c r="L5852" i="1"/>
  <c r="V5851" i="1"/>
  <c r="Z5851" i="1" s="1"/>
  <c r="U5851" i="1"/>
  <c r="T5851" i="1"/>
  <c r="S5851" i="1"/>
  <c r="R5851" i="1"/>
  <c r="Q5851" i="1"/>
  <c r="M5851" i="1"/>
  <c r="L5851" i="1"/>
  <c r="V5850" i="1"/>
  <c r="Z5850" i="1" s="1"/>
  <c r="U5850" i="1"/>
  <c r="T5850" i="1"/>
  <c r="S5850" i="1"/>
  <c r="R5850" i="1"/>
  <c r="Q5850" i="1"/>
  <c r="M5850" i="1"/>
  <c r="L5850" i="1"/>
  <c r="V5849" i="1"/>
  <c r="U5849" i="1"/>
  <c r="T5849" i="1"/>
  <c r="W5849" i="1" s="1"/>
  <c r="S5849" i="1"/>
  <c r="R5849" i="1"/>
  <c r="Q5849" i="1"/>
  <c r="M5849" i="1"/>
  <c r="L5849" i="1"/>
  <c r="V5848" i="1"/>
  <c r="Z5848" i="1" s="1"/>
  <c r="U5848" i="1"/>
  <c r="T5848" i="1"/>
  <c r="W5848" i="1" s="1"/>
  <c r="S5848" i="1"/>
  <c r="R5848" i="1"/>
  <c r="Q5848" i="1"/>
  <c r="M5848" i="1"/>
  <c r="L5848" i="1"/>
  <c r="V5847" i="1"/>
  <c r="Z5847" i="1" s="1"/>
  <c r="U5847" i="1"/>
  <c r="T5847" i="1"/>
  <c r="S5847" i="1"/>
  <c r="R5847" i="1"/>
  <c r="Q5847" i="1"/>
  <c r="M5847" i="1"/>
  <c r="L5847" i="1"/>
  <c r="V5846" i="1"/>
  <c r="Z5846" i="1" s="1"/>
  <c r="U5846" i="1"/>
  <c r="T5846" i="1"/>
  <c r="S5846" i="1"/>
  <c r="R5846" i="1"/>
  <c r="Q5846" i="1"/>
  <c r="M5846" i="1"/>
  <c r="L5846" i="1"/>
  <c r="V5845" i="1"/>
  <c r="U5845" i="1"/>
  <c r="T5845" i="1"/>
  <c r="W5845" i="1" s="1"/>
  <c r="S5845" i="1"/>
  <c r="R5845" i="1"/>
  <c r="Q5845" i="1"/>
  <c r="M5845" i="1"/>
  <c r="L5845" i="1"/>
  <c r="V5844" i="1"/>
  <c r="Z5844" i="1" s="1"/>
  <c r="U5844" i="1"/>
  <c r="T5844" i="1"/>
  <c r="W5844" i="1" s="1"/>
  <c r="S5844" i="1"/>
  <c r="R5844" i="1"/>
  <c r="Q5844" i="1"/>
  <c r="M5844" i="1"/>
  <c r="L5844" i="1"/>
  <c r="V5843" i="1"/>
  <c r="Z5843" i="1" s="1"/>
  <c r="U5843" i="1"/>
  <c r="T5843" i="1"/>
  <c r="S5843" i="1"/>
  <c r="R5843" i="1"/>
  <c r="Q5843" i="1"/>
  <c r="M5843" i="1"/>
  <c r="L5843" i="1"/>
  <c r="V5842" i="1"/>
  <c r="Z5842" i="1" s="1"/>
  <c r="U5842" i="1"/>
  <c r="T5842" i="1"/>
  <c r="S5842" i="1"/>
  <c r="R5842" i="1"/>
  <c r="Q5842" i="1"/>
  <c r="M5842" i="1"/>
  <c r="L5842" i="1"/>
  <c r="V5841" i="1"/>
  <c r="U5841" i="1"/>
  <c r="T5841" i="1"/>
  <c r="W5841" i="1" s="1"/>
  <c r="S5841" i="1"/>
  <c r="R5841" i="1"/>
  <c r="Q5841" i="1"/>
  <c r="M5841" i="1"/>
  <c r="L5841" i="1"/>
  <c r="V5840" i="1"/>
  <c r="Z5840" i="1" s="1"/>
  <c r="U5840" i="1"/>
  <c r="T5840" i="1"/>
  <c r="W5840" i="1" s="1"/>
  <c r="S5840" i="1"/>
  <c r="R5840" i="1"/>
  <c r="Q5840" i="1"/>
  <c r="M5840" i="1"/>
  <c r="L5840" i="1"/>
  <c r="V5839" i="1"/>
  <c r="Z5839" i="1" s="1"/>
  <c r="U5839" i="1"/>
  <c r="T5839" i="1"/>
  <c r="S5839" i="1"/>
  <c r="R5839" i="1"/>
  <c r="Q5839" i="1"/>
  <c r="M5839" i="1"/>
  <c r="L5839" i="1"/>
  <c r="V5838" i="1"/>
  <c r="Z5838" i="1" s="1"/>
  <c r="U5838" i="1"/>
  <c r="T5838" i="1"/>
  <c r="S5838" i="1"/>
  <c r="R5838" i="1"/>
  <c r="Q5838" i="1"/>
  <c r="M5838" i="1"/>
  <c r="L5838" i="1"/>
  <c r="V5837" i="1"/>
  <c r="U5837" i="1"/>
  <c r="T5837" i="1"/>
  <c r="W5837" i="1" s="1"/>
  <c r="S5837" i="1"/>
  <c r="R5837" i="1"/>
  <c r="Q5837" i="1"/>
  <c r="M5837" i="1"/>
  <c r="L5837" i="1"/>
  <c r="V5836" i="1"/>
  <c r="Z5836" i="1" s="1"/>
  <c r="U5836" i="1"/>
  <c r="T5836" i="1"/>
  <c r="W5836" i="1" s="1"/>
  <c r="S5836" i="1"/>
  <c r="R5836" i="1"/>
  <c r="Q5836" i="1"/>
  <c r="M5836" i="1"/>
  <c r="L5836" i="1"/>
  <c r="V5835" i="1"/>
  <c r="Z5835" i="1" s="1"/>
  <c r="U5835" i="1"/>
  <c r="T5835" i="1"/>
  <c r="S5835" i="1"/>
  <c r="R5835" i="1"/>
  <c r="Q5835" i="1"/>
  <c r="M5835" i="1"/>
  <c r="L5835" i="1"/>
  <c r="V5834" i="1"/>
  <c r="Z5834" i="1" s="1"/>
  <c r="U5834" i="1"/>
  <c r="T5834" i="1"/>
  <c r="S5834" i="1"/>
  <c r="R5834" i="1"/>
  <c r="Q5834" i="1"/>
  <c r="M5834" i="1"/>
  <c r="L5834" i="1"/>
  <c r="V5833" i="1"/>
  <c r="U5833" i="1"/>
  <c r="T5833" i="1"/>
  <c r="W5833" i="1" s="1"/>
  <c r="S5833" i="1"/>
  <c r="R5833" i="1"/>
  <c r="Q5833" i="1"/>
  <c r="M5833" i="1"/>
  <c r="L5833" i="1"/>
  <c r="V5832" i="1"/>
  <c r="Z5832" i="1" s="1"/>
  <c r="U5832" i="1"/>
  <c r="T5832" i="1"/>
  <c r="W5832" i="1" s="1"/>
  <c r="S5832" i="1"/>
  <c r="R5832" i="1"/>
  <c r="Q5832" i="1"/>
  <c r="M5832" i="1"/>
  <c r="L5832" i="1"/>
  <c r="V5831" i="1"/>
  <c r="Z5831" i="1" s="1"/>
  <c r="U5831" i="1"/>
  <c r="T5831" i="1"/>
  <c r="S5831" i="1"/>
  <c r="R5831" i="1"/>
  <c r="Q5831" i="1"/>
  <c r="M5831" i="1"/>
  <c r="L5831" i="1"/>
  <c r="V5830" i="1"/>
  <c r="Z5830" i="1" s="1"/>
  <c r="U5830" i="1"/>
  <c r="T5830" i="1"/>
  <c r="S5830" i="1"/>
  <c r="R5830" i="1"/>
  <c r="Q5830" i="1"/>
  <c r="M5830" i="1"/>
  <c r="L5830" i="1"/>
  <c r="V5829" i="1"/>
  <c r="U5829" i="1"/>
  <c r="T5829" i="1"/>
  <c r="W5829" i="1" s="1"/>
  <c r="S5829" i="1"/>
  <c r="R5829" i="1"/>
  <c r="Q5829" i="1"/>
  <c r="M5829" i="1"/>
  <c r="L5829" i="1"/>
  <c r="V5828" i="1"/>
  <c r="Z5828" i="1" s="1"/>
  <c r="U5828" i="1"/>
  <c r="T5828" i="1"/>
  <c r="S5828" i="1"/>
  <c r="R5828" i="1"/>
  <c r="Q5828" i="1"/>
  <c r="M5828" i="1"/>
  <c r="L5828" i="1"/>
  <c r="V5827" i="1"/>
  <c r="Z5827" i="1" s="1"/>
  <c r="U5827" i="1"/>
  <c r="T5827" i="1"/>
  <c r="S5827" i="1"/>
  <c r="R5827" i="1"/>
  <c r="Q5827" i="1"/>
  <c r="M5827" i="1"/>
  <c r="L5827" i="1"/>
  <c r="V5826" i="1"/>
  <c r="Z5826" i="1" s="1"/>
  <c r="U5826" i="1"/>
  <c r="T5826" i="1"/>
  <c r="S5826" i="1"/>
  <c r="R5826" i="1"/>
  <c r="Q5826" i="1"/>
  <c r="M5826" i="1"/>
  <c r="L5826" i="1"/>
  <c r="V5825" i="1"/>
  <c r="U5825" i="1"/>
  <c r="T5825" i="1"/>
  <c r="W5825" i="1" s="1"/>
  <c r="S5825" i="1"/>
  <c r="R5825" i="1"/>
  <c r="Q5825" i="1"/>
  <c r="M5825" i="1"/>
  <c r="L5825" i="1"/>
  <c r="V5824" i="1"/>
  <c r="Z5824" i="1" s="1"/>
  <c r="U5824" i="1"/>
  <c r="T5824" i="1"/>
  <c r="W5824" i="1" s="1"/>
  <c r="S5824" i="1"/>
  <c r="R5824" i="1"/>
  <c r="Q5824" i="1"/>
  <c r="M5824" i="1"/>
  <c r="L5824" i="1"/>
  <c r="V5823" i="1"/>
  <c r="Z5823" i="1" s="1"/>
  <c r="U5823" i="1"/>
  <c r="T5823" i="1"/>
  <c r="S5823" i="1"/>
  <c r="R5823" i="1"/>
  <c r="Q5823" i="1"/>
  <c r="M5823" i="1"/>
  <c r="L5823" i="1"/>
  <c r="V5822" i="1"/>
  <c r="Z5822" i="1" s="1"/>
  <c r="U5822" i="1"/>
  <c r="T5822" i="1"/>
  <c r="S5822" i="1"/>
  <c r="R5822" i="1"/>
  <c r="Q5822" i="1"/>
  <c r="M5822" i="1"/>
  <c r="L5822" i="1"/>
  <c r="V5821" i="1"/>
  <c r="U5821" i="1"/>
  <c r="T5821" i="1"/>
  <c r="W5821" i="1" s="1"/>
  <c r="S5821" i="1"/>
  <c r="R5821" i="1"/>
  <c r="Q5821" i="1"/>
  <c r="M5821" i="1"/>
  <c r="L5821" i="1"/>
  <c r="V5820" i="1"/>
  <c r="Z5820" i="1" s="1"/>
  <c r="U5820" i="1"/>
  <c r="T5820" i="1"/>
  <c r="S5820" i="1"/>
  <c r="R5820" i="1"/>
  <c r="Q5820" i="1"/>
  <c r="M5820" i="1"/>
  <c r="L5820" i="1"/>
  <c r="V5819" i="1"/>
  <c r="Z5819" i="1" s="1"/>
  <c r="U5819" i="1"/>
  <c r="T5819" i="1"/>
  <c r="S5819" i="1"/>
  <c r="R5819" i="1"/>
  <c r="Q5819" i="1"/>
  <c r="M5819" i="1"/>
  <c r="L5819" i="1"/>
  <c r="V5818" i="1"/>
  <c r="Z5818" i="1" s="1"/>
  <c r="U5818" i="1"/>
  <c r="T5818" i="1"/>
  <c r="S5818" i="1"/>
  <c r="R5818" i="1"/>
  <c r="Q5818" i="1"/>
  <c r="M5818" i="1"/>
  <c r="L5818" i="1"/>
  <c r="V5817" i="1"/>
  <c r="U5817" i="1"/>
  <c r="T5817" i="1"/>
  <c r="W5817" i="1" s="1"/>
  <c r="S5817" i="1"/>
  <c r="R5817" i="1"/>
  <c r="Q5817" i="1"/>
  <c r="M5817" i="1"/>
  <c r="L5817" i="1"/>
  <c r="V5816" i="1"/>
  <c r="U5816" i="1"/>
  <c r="T5816" i="1"/>
  <c r="W5816" i="1" s="1"/>
  <c r="S5816" i="1"/>
  <c r="R5816" i="1"/>
  <c r="Q5816" i="1"/>
  <c r="M5816" i="1"/>
  <c r="L5816" i="1"/>
  <c r="V5815" i="1"/>
  <c r="Z5815" i="1" s="1"/>
  <c r="U5815" i="1"/>
  <c r="T5815" i="1"/>
  <c r="S5815" i="1"/>
  <c r="R5815" i="1"/>
  <c r="Q5815" i="1"/>
  <c r="M5815" i="1"/>
  <c r="L5815" i="1"/>
  <c r="V5814" i="1"/>
  <c r="Z5814" i="1" s="1"/>
  <c r="U5814" i="1"/>
  <c r="T5814" i="1"/>
  <c r="W5814" i="1" s="1"/>
  <c r="S5814" i="1"/>
  <c r="R5814" i="1"/>
  <c r="Q5814" i="1"/>
  <c r="M5814" i="1"/>
  <c r="L5814" i="1"/>
  <c r="V5813" i="1"/>
  <c r="U5813" i="1"/>
  <c r="T5813" i="1"/>
  <c r="W5813" i="1" s="1"/>
  <c r="S5813" i="1"/>
  <c r="R5813" i="1"/>
  <c r="Q5813" i="1"/>
  <c r="M5813" i="1"/>
  <c r="L5813" i="1"/>
  <c r="V5812" i="1"/>
  <c r="U5812" i="1"/>
  <c r="T5812" i="1"/>
  <c r="W5812" i="1" s="1"/>
  <c r="S5812" i="1"/>
  <c r="R5812" i="1"/>
  <c r="Q5812" i="1"/>
  <c r="M5812" i="1"/>
  <c r="L5812" i="1"/>
  <c r="V5811" i="1"/>
  <c r="Z5811" i="1" s="1"/>
  <c r="U5811" i="1"/>
  <c r="T5811" i="1"/>
  <c r="S5811" i="1"/>
  <c r="R5811" i="1"/>
  <c r="Q5811" i="1"/>
  <c r="M5811" i="1"/>
  <c r="L5811" i="1"/>
  <c r="V5810" i="1"/>
  <c r="Z5810" i="1" s="1"/>
  <c r="U5810" i="1"/>
  <c r="T5810" i="1"/>
  <c r="W5810" i="1" s="1"/>
  <c r="S5810" i="1"/>
  <c r="R5810" i="1"/>
  <c r="Q5810" i="1"/>
  <c r="M5810" i="1"/>
  <c r="L5810" i="1"/>
  <c r="V5809" i="1"/>
  <c r="U5809" i="1"/>
  <c r="T5809" i="1"/>
  <c r="W5809" i="1" s="1"/>
  <c r="S5809" i="1"/>
  <c r="R5809" i="1"/>
  <c r="Q5809" i="1"/>
  <c r="M5809" i="1"/>
  <c r="L5809" i="1"/>
  <c r="V5808" i="1"/>
  <c r="U5808" i="1"/>
  <c r="T5808" i="1"/>
  <c r="S5808" i="1"/>
  <c r="R5808" i="1"/>
  <c r="Q5808" i="1"/>
  <c r="M5808" i="1"/>
  <c r="L5808" i="1"/>
  <c r="V5807" i="1"/>
  <c r="Z5807" i="1" s="1"/>
  <c r="U5807" i="1"/>
  <c r="T5807" i="1"/>
  <c r="S5807" i="1"/>
  <c r="R5807" i="1"/>
  <c r="Q5807" i="1"/>
  <c r="M5807" i="1"/>
  <c r="L5807" i="1"/>
  <c r="V5806" i="1"/>
  <c r="Z5806" i="1" s="1"/>
  <c r="U5806" i="1"/>
  <c r="T5806" i="1"/>
  <c r="W5806" i="1" s="1"/>
  <c r="S5806" i="1"/>
  <c r="R5806" i="1"/>
  <c r="Q5806" i="1"/>
  <c r="M5806" i="1"/>
  <c r="L5806" i="1"/>
  <c r="V5805" i="1"/>
  <c r="U5805" i="1"/>
  <c r="T5805" i="1"/>
  <c r="W5805" i="1" s="1"/>
  <c r="S5805" i="1"/>
  <c r="R5805" i="1"/>
  <c r="Q5805" i="1"/>
  <c r="M5805" i="1"/>
  <c r="L5805" i="1"/>
  <c r="V5804" i="1"/>
  <c r="U5804" i="1"/>
  <c r="T5804" i="1"/>
  <c r="W5804" i="1" s="1"/>
  <c r="S5804" i="1"/>
  <c r="R5804" i="1"/>
  <c r="Q5804" i="1"/>
  <c r="M5804" i="1"/>
  <c r="L5804" i="1"/>
  <c r="V5803" i="1"/>
  <c r="Z5803" i="1" s="1"/>
  <c r="U5803" i="1"/>
  <c r="T5803" i="1"/>
  <c r="S5803" i="1"/>
  <c r="R5803" i="1"/>
  <c r="Q5803" i="1"/>
  <c r="M5803" i="1"/>
  <c r="L5803" i="1"/>
  <c r="V5802" i="1"/>
  <c r="Z5802" i="1" s="1"/>
  <c r="U5802" i="1"/>
  <c r="T5802" i="1"/>
  <c r="W5802" i="1" s="1"/>
  <c r="S5802" i="1"/>
  <c r="R5802" i="1"/>
  <c r="Q5802" i="1"/>
  <c r="M5802" i="1"/>
  <c r="L5802" i="1"/>
  <c r="V5801" i="1"/>
  <c r="U5801" i="1"/>
  <c r="T5801" i="1"/>
  <c r="W5801" i="1" s="1"/>
  <c r="S5801" i="1"/>
  <c r="R5801" i="1"/>
  <c r="Q5801" i="1"/>
  <c r="M5801" i="1"/>
  <c r="L5801" i="1"/>
  <c r="V5800" i="1"/>
  <c r="U5800" i="1"/>
  <c r="T5800" i="1"/>
  <c r="W5800" i="1" s="1"/>
  <c r="S5800" i="1"/>
  <c r="R5800" i="1"/>
  <c r="Q5800" i="1"/>
  <c r="M5800" i="1"/>
  <c r="L5800" i="1"/>
  <c r="V5799" i="1"/>
  <c r="Z5799" i="1" s="1"/>
  <c r="U5799" i="1"/>
  <c r="T5799" i="1"/>
  <c r="S5799" i="1"/>
  <c r="R5799" i="1"/>
  <c r="Q5799" i="1"/>
  <c r="M5799" i="1"/>
  <c r="L5799" i="1"/>
  <c r="V5798" i="1"/>
  <c r="Z5798" i="1" s="1"/>
  <c r="U5798" i="1"/>
  <c r="T5798" i="1"/>
  <c r="W5798" i="1" s="1"/>
  <c r="S5798" i="1"/>
  <c r="R5798" i="1"/>
  <c r="Q5798" i="1"/>
  <c r="M5798" i="1"/>
  <c r="L5798" i="1"/>
  <c r="V5797" i="1"/>
  <c r="U5797" i="1"/>
  <c r="T5797" i="1"/>
  <c r="W5797" i="1" s="1"/>
  <c r="S5797" i="1"/>
  <c r="R5797" i="1"/>
  <c r="Q5797" i="1"/>
  <c r="M5797" i="1"/>
  <c r="L5797" i="1"/>
  <c r="V5796" i="1"/>
  <c r="U5796" i="1"/>
  <c r="T5796" i="1"/>
  <c r="S5796" i="1"/>
  <c r="R5796" i="1"/>
  <c r="Q5796" i="1"/>
  <c r="M5796" i="1"/>
  <c r="L5796" i="1"/>
  <c r="V5795" i="1"/>
  <c r="Z5795" i="1" s="1"/>
  <c r="U5795" i="1"/>
  <c r="T5795" i="1"/>
  <c r="S5795" i="1"/>
  <c r="R5795" i="1"/>
  <c r="Q5795" i="1"/>
  <c r="M5795" i="1"/>
  <c r="L5795" i="1"/>
  <c r="V5794" i="1"/>
  <c r="Z5794" i="1" s="1"/>
  <c r="U5794" i="1"/>
  <c r="T5794" i="1"/>
  <c r="W5794" i="1" s="1"/>
  <c r="S5794" i="1"/>
  <c r="R5794" i="1"/>
  <c r="Q5794" i="1"/>
  <c r="M5794" i="1"/>
  <c r="L5794" i="1"/>
  <c r="V5793" i="1"/>
  <c r="U5793" i="1"/>
  <c r="T5793" i="1"/>
  <c r="W5793" i="1" s="1"/>
  <c r="S5793" i="1"/>
  <c r="R5793" i="1"/>
  <c r="Q5793" i="1"/>
  <c r="M5793" i="1"/>
  <c r="L5793" i="1"/>
  <c r="V5792" i="1"/>
  <c r="U5792" i="1"/>
  <c r="T5792" i="1"/>
  <c r="W5792" i="1" s="1"/>
  <c r="S5792" i="1"/>
  <c r="R5792" i="1"/>
  <c r="Q5792" i="1"/>
  <c r="M5792" i="1"/>
  <c r="L5792" i="1"/>
  <c r="V5791" i="1"/>
  <c r="Z5791" i="1" s="1"/>
  <c r="U5791" i="1"/>
  <c r="T5791" i="1"/>
  <c r="S5791" i="1"/>
  <c r="R5791" i="1"/>
  <c r="Q5791" i="1"/>
  <c r="M5791" i="1"/>
  <c r="L5791" i="1"/>
  <c r="V5790" i="1"/>
  <c r="Z5790" i="1" s="1"/>
  <c r="U5790" i="1"/>
  <c r="T5790" i="1"/>
  <c r="W5790" i="1" s="1"/>
  <c r="S5790" i="1"/>
  <c r="R5790" i="1"/>
  <c r="Q5790" i="1"/>
  <c r="M5790" i="1"/>
  <c r="L5790" i="1"/>
  <c r="V5789" i="1"/>
  <c r="U5789" i="1"/>
  <c r="T5789" i="1"/>
  <c r="W5789" i="1" s="1"/>
  <c r="S5789" i="1"/>
  <c r="R5789" i="1"/>
  <c r="Q5789" i="1"/>
  <c r="M5789" i="1"/>
  <c r="L5789" i="1"/>
  <c r="V5788" i="1"/>
  <c r="U5788" i="1"/>
  <c r="T5788" i="1"/>
  <c r="S5788" i="1"/>
  <c r="R5788" i="1"/>
  <c r="Q5788" i="1"/>
  <c r="M5788" i="1"/>
  <c r="L5788" i="1"/>
  <c r="V5787" i="1"/>
  <c r="Z5787" i="1" s="1"/>
  <c r="U5787" i="1"/>
  <c r="T5787" i="1"/>
  <c r="S5787" i="1"/>
  <c r="R5787" i="1"/>
  <c r="Q5787" i="1"/>
  <c r="M5787" i="1"/>
  <c r="L5787" i="1"/>
  <c r="V5786" i="1"/>
  <c r="Z5786" i="1" s="1"/>
  <c r="U5786" i="1"/>
  <c r="T5786" i="1"/>
  <c r="W5786" i="1" s="1"/>
  <c r="S5786" i="1"/>
  <c r="R5786" i="1"/>
  <c r="Q5786" i="1"/>
  <c r="M5786" i="1"/>
  <c r="L5786" i="1"/>
  <c r="V5785" i="1"/>
  <c r="Z5785" i="1" s="1"/>
  <c r="U5785" i="1"/>
  <c r="T5785" i="1"/>
  <c r="W5785" i="1" s="1"/>
  <c r="S5785" i="1"/>
  <c r="R5785" i="1"/>
  <c r="Q5785" i="1"/>
  <c r="M5785" i="1"/>
  <c r="L5785" i="1"/>
  <c r="V5784" i="1"/>
  <c r="U5784" i="1"/>
  <c r="T5784" i="1"/>
  <c r="W5784" i="1" s="1"/>
  <c r="S5784" i="1"/>
  <c r="R5784" i="1"/>
  <c r="Q5784" i="1"/>
  <c r="M5784" i="1"/>
  <c r="L5784" i="1"/>
  <c r="V5783" i="1"/>
  <c r="Z5783" i="1" s="1"/>
  <c r="U5783" i="1"/>
  <c r="T5783" i="1"/>
  <c r="S5783" i="1"/>
  <c r="R5783" i="1"/>
  <c r="Q5783" i="1"/>
  <c r="M5783" i="1"/>
  <c r="L5783" i="1"/>
  <c r="V5782" i="1"/>
  <c r="Z5782" i="1" s="1"/>
  <c r="U5782" i="1"/>
  <c r="T5782" i="1"/>
  <c r="W5782" i="1" s="1"/>
  <c r="S5782" i="1"/>
  <c r="R5782" i="1"/>
  <c r="Q5782" i="1"/>
  <c r="M5782" i="1"/>
  <c r="L5782" i="1"/>
  <c r="V5781" i="1"/>
  <c r="Z5781" i="1" s="1"/>
  <c r="U5781" i="1"/>
  <c r="T5781" i="1"/>
  <c r="W5781" i="1" s="1"/>
  <c r="S5781" i="1"/>
  <c r="R5781" i="1"/>
  <c r="Q5781" i="1"/>
  <c r="M5781" i="1"/>
  <c r="L5781" i="1"/>
  <c r="V5780" i="1"/>
  <c r="U5780" i="1"/>
  <c r="T5780" i="1"/>
  <c r="S5780" i="1"/>
  <c r="R5780" i="1"/>
  <c r="Q5780" i="1"/>
  <c r="M5780" i="1"/>
  <c r="L5780" i="1"/>
  <c r="V5779" i="1"/>
  <c r="Z5779" i="1" s="1"/>
  <c r="U5779" i="1"/>
  <c r="T5779" i="1"/>
  <c r="S5779" i="1"/>
  <c r="R5779" i="1"/>
  <c r="Q5779" i="1"/>
  <c r="M5779" i="1"/>
  <c r="L5779" i="1"/>
  <c r="V5778" i="1"/>
  <c r="Z5778" i="1" s="1"/>
  <c r="U5778" i="1"/>
  <c r="T5778" i="1"/>
  <c r="W5778" i="1" s="1"/>
  <c r="S5778" i="1"/>
  <c r="R5778" i="1"/>
  <c r="Q5778" i="1"/>
  <c r="M5778" i="1"/>
  <c r="L5778" i="1"/>
  <c r="V5777" i="1"/>
  <c r="Z5777" i="1" s="1"/>
  <c r="U5777" i="1"/>
  <c r="T5777" i="1"/>
  <c r="W5777" i="1" s="1"/>
  <c r="S5777" i="1"/>
  <c r="R5777" i="1"/>
  <c r="Q5777" i="1"/>
  <c r="M5777" i="1"/>
  <c r="L5777" i="1"/>
  <c r="V5776" i="1"/>
  <c r="U5776" i="1"/>
  <c r="T5776" i="1"/>
  <c r="W5776" i="1" s="1"/>
  <c r="S5776" i="1"/>
  <c r="R5776" i="1"/>
  <c r="Q5776" i="1"/>
  <c r="M5776" i="1"/>
  <c r="L5776" i="1"/>
  <c r="V5775" i="1"/>
  <c r="Z5775" i="1" s="1"/>
  <c r="U5775" i="1"/>
  <c r="T5775" i="1"/>
  <c r="S5775" i="1"/>
  <c r="R5775" i="1"/>
  <c r="Q5775" i="1"/>
  <c r="M5775" i="1"/>
  <c r="L5775" i="1"/>
  <c r="V5774" i="1"/>
  <c r="Z5774" i="1" s="1"/>
  <c r="U5774" i="1"/>
  <c r="T5774" i="1"/>
  <c r="W5774" i="1" s="1"/>
  <c r="S5774" i="1"/>
  <c r="R5774" i="1"/>
  <c r="Q5774" i="1"/>
  <c r="M5774" i="1"/>
  <c r="L5774" i="1"/>
  <c r="V5773" i="1"/>
  <c r="Z5773" i="1" s="1"/>
  <c r="U5773" i="1"/>
  <c r="T5773" i="1"/>
  <c r="W5773" i="1" s="1"/>
  <c r="S5773" i="1"/>
  <c r="R5773" i="1"/>
  <c r="Q5773" i="1"/>
  <c r="M5773" i="1"/>
  <c r="L5773" i="1"/>
  <c r="V5772" i="1"/>
  <c r="U5772" i="1"/>
  <c r="T5772" i="1"/>
  <c r="S5772" i="1"/>
  <c r="R5772" i="1"/>
  <c r="Q5772" i="1"/>
  <c r="M5772" i="1"/>
  <c r="L5772" i="1"/>
  <c r="V5771" i="1"/>
  <c r="Z5771" i="1" s="1"/>
  <c r="U5771" i="1"/>
  <c r="T5771" i="1"/>
  <c r="S5771" i="1"/>
  <c r="R5771" i="1"/>
  <c r="Q5771" i="1"/>
  <c r="M5771" i="1"/>
  <c r="L5771" i="1"/>
  <c r="V5770" i="1"/>
  <c r="Z5770" i="1" s="1"/>
  <c r="U5770" i="1"/>
  <c r="T5770" i="1"/>
  <c r="W5770" i="1" s="1"/>
  <c r="S5770" i="1"/>
  <c r="R5770" i="1"/>
  <c r="Q5770" i="1"/>
  <c r="M5770" i="1"/>
  <c r="L5770" i="1"/>
  <c r="V5769" i="1"/>
  <c r="Z5769" i="1" s="1"/>
  <c r="U5769" i="1"/>
  <c r="T5769" i="1"/>
  <c r="W5769" i="1" s="1"/>
  <c r="S5769" i="1"/>
  <c r="R5769" i="1"/>
  <c r="Q5769" i="1"/>
  <c r="M5769" i="1"/>
  <c r="L5769" i="1"/>
  <c r="V5768" i="1"/>
  <c r="U5768" i="1"/>
  <c r="T5768" i="1"/>
  <c r="W5768" i="1" s="1"/>
  <c r="S5768" i="1"/>
  <c r="R5768" i="1"/>
  <c r="Q5768" i="1"/>
  <c r="M5768" i="1"/>
  <c r="L5768" i="1"/>
  <c r="V5767" i="1"/>
  <c r="Z5767" i="1" s="1"/>
  <c r="U5767" i="1"/>
  <c r="T5767" i="1"/>
  <c r="S5767" i="1"/>
  <c r="R5767" i="1"/>
  <c r="Q5767" i="1"/>
  <c r="M5767" i="1"/>
  <c r="L5767" i="1"/>
  <c r="V5766" i="1"/>
  <c r="Z5766" i="1" s="1"/>
  <c r="U5766" i="1"/>
  <c r="T5766" i="1"/>
  <c r="W5766" i="1" s="1"/>
  <c r="S5766" i="1"/>
  <c r="R5766" i="1"/>
  <c r="Q5766" i="1"/>
  <c r="M5766" i="1"/>
  <c r="L5766" i="1"/>
  <c r="V5765" i="1"/>
  <c r="U5765" i="1"/>
  <c r="T5765" i="1"/>
  <c r="W5765" i="1" s="1"/>
  <c r="S5765" i="1"/>
  <c r="R5765" i="1"/>
  <c r="Q5765" i="1"/>
  <c r="M5765" i="1"/>
  <c r="L5765" i="1"/>
  <c r="V5764" i="1"/>
  <c r="U5764" i="1"/>
  <c r="T5764" i="1"/>
  <c r="S5764" i="1"/>
  <c r="R5764" i="1"/>
  <c r="Q5764" i="1"/>
  <c r="M5764" i="1"/>
  <c r="L5764" i="1"/>
  <c r="V5763" i="1"/>
  <c r="Z5763" i="1" s="1"/>
  <c r="U5763" i="1"/>
  <c r="T5763" i="1"/>
  <c r="S5763" i="1"/>
  <c r="R5763" i="1"/>
  <c r="Q5763" i="1"/>
  <c r="M5763" i="1"/>
  <c r="L5763" i="1"/>
  <c r="V5762" i="1"/>
  <c r="Z5762" i="1" s="1"/>
  <c r="U5762" i="1"/>
  <c r="T5762" i="1"/>
  <c r="W5762" i="1" s="1"/>
  <c r="S5762" i="1"/>
  <c r="R5762" i="1"/>
  <c r="Q5762" i="1"/>
  <c r="M5762" i="1"/>
  <c r="L5762" i="1"/>
  <c r="V5761" i="1"/>
  <c r="Z5761" i="1" s="1"/>
  <c r="U5761" i="1"/>
  <c r="T5761" i="1"/>
  <c r="W5761" i="1" s="1"/>
  <c r="S5761" i="1"/>
  <c r="R5761" i="1"/>
  <c r="Q5761" i="1"/>
  <c r="M5761" i="1"/>
  <c r="L5761" i="1"/>
  <c r="V5760" i="1"/>
  <c r="U5760" i="1"/>
  <c r="T5760" i="1"/>
  <c r="W5760" i="1" s="1"/>
  <c r="S5760" i="1"/>
  <c r="R5760" i="1"/>
  <c r="Q5760" i="1"/>
  <c r="M5760" i="1"/>
  <c r="L5760" i="1"/>
  <c r="V5759" i="1"/>
  <c r="Z5759" i="1" s="1"/>
  <c r="U5759" i="1"/>
  <c r="T5759" i="1"/>
  <c r="S5759" i="1"/>
  <c r="R5759" i="1"/>
  <c r="Q5759" i="1"/>
  <c r="M5759" i="1"/>
  <c r="L5759" i="1"/>
  <c r="V5758" i="1"/>
  <c r="Z5758" i="1" s="1"/>
  <c r="U5758" i="1"/>
  <c r="T5758" i="1"/>
  <c r="W5758" i="1" s="1"/>
  <c r="S5758" i="1"/>
  <c r="R5758" i="1"/>
  <c r="Q5758" i="1"/>
  <c r="M5758" i="1"/>
  <c r="L5758" i="1"/>
  <c r="V5757" i="1"/>
  <c r="Z5757" i="1" s="1"/>
  <c r="U5757" i="1"/>
  <c r="T5757" i="1"/>
  <c r="W5757" i="1" s="1"/>
  <c r="S5757" i="1"/>
  <c r="R5757" i="1"/>
  <c r="Q5757" i="1"/>
  <c r="M5757" i="1"/>
  <c r="L5757" i="1"/>
  <c r="V5756" i="1"/>
  <c r="U5756" i="1"/>
  <c r="T5756" i="1"/>
  <c r="S5756" i="1"/>
  <c r="R5756" i="1"/>
  <c r="Q5756" i="1"/>
  <c r="M5756" i="1"/>
  <c r="L5756" i="1"/>
  <c r="V5755" i="1"/>
  <c r="Z5755" i="1" s="1"/>
  <c r="U5755" i="1"/>
  <c r="T5755" i="1"/>
  <c r="S5755" i="1"/>
  <c r="R5755" i="1"/>
  <c r="Q5755" i="1"/>
  <c r="M5755" i="1"/>
  <c r="L5755" i="1"/>
  <c r="V5754" i="1"/>
  <c r="Z5754" i="1" s="1"/>
  <c r="U5754" i="1"/>
  <c r="T5754" i="1"/>
  <c r="W5754" i="1" s="1"/>
  <c r="S5754" i="1"/>
  <c r="R5754" i="1"/>
  <c r="Q5754" i="1"/>
  <c r="M5754" i="1"/>
  <c r="L5754" i="1"/>
  <c r="V5753" i="1"/>
  <c r="Z5753" i="1" s="1"/>
  <c r="U5753" i="1"/>
  <c r="T5753" i="1"/>
  <c r="W5753" i="1" s="1"/>
  <c r="S5753" i="1"/>
  <c r="R5753" i="1"/>
  <c r="Q5753" i="1"/>
  <c r="M5753" i="1"/>
  <c r="L5753" i="1"/>
  <c r="V5752" i="1"/>
  <c r="U5752" i="1"/>
  <c r="T5752" i="1"/>
  <c r="W5752" i="1" s="1"/>
  <c r="S5752" i="1"/>
  <c r="R5752" i="1"/>
  <c r="Q5752" i="1"/>
  <c r="M5752" i="1"/>
  <c r="L5752" i="1"/>
  <c r="V5751" i="1"/>
  <c r="Z5751" i="1" s="1"/>
  <c r="U5751" i="1"/>
  <c r="T5751" i="1"/>
  <c r="S5751" i="1"/>
  <c r="R5751" i="1"/>
  <c r="Q5751" i="1"/>
  <c r="M5751" i="1"/>
  <c r="L5751" i="1"/>
  <c r="V5750" i="1"/>
  <c r="Z5750" i="1" s="1"/>
  <c r="U5750" i="1"/>
  <c r="T5750" i="1"/>
  <c r="W5750" i="1" s="1"/>
  <c r="S5750" i="1"/>
  <c r="R5750" i="1"/>
  <c r="Q5750" i="1"/>
  <c r="M5750" i="1"/>
  <c r="L5750" i="1"/>
  <c r="V5749" i="1"/>
  <c r="Z5749" i="1" s="1"/>
  <c r="U5749" i="1"/>
  <c r="T5749" i="1"/>
  <c r="W5749" i="1" s="1"/>
  <c r="S5749" i="1"/>
  <c r="R5749" i="1"/>
  <c r="Q5749" i="1"/>
  <c r="M5749" i="1"/>
  <c r="L5749" i="1"/>
  <c r="V5748" i="1"/>
  <c r="U5748" i="1"/>
  <c r="T5748" i="1"/>
  <c r="S5748" i="1"/>
  <c r="R5748" i="1"/>
  <c r="Q5748" i="1"/>
  <c r="M5748" i="1"/>
  <c r="L5748" i="1"/>
  <c r="V5747" i="1"/>
  <c r="Z5747" i="1" s="1"/>
  <c r="U5747" i="1"/>
  <c r="T5747" i="1"/>
  <c r="S5747" i="1"/>
  <c r="R5747" i="1"/>
  <c r="Q5747" i="1"/>
  <c r="M5747" i="1"/>
  <c r="L5747" i="1"/>
  <c r="V5746" i="1"/>
  <c r="Z5746" i="1" s="1"/>
  <c r="U5746" i="1"/>
  <c r="T5746" i="1"/>
  <c r="W5746" i="1" s="1"/>
  <c r="S5746" i="1"/>
  <c r="R5746" i="1"/>
  <c r="Q5746" i="1"/>
  <c r="M5746" i="1"/>
  <c r="L5746" i="1"/>
  <c r="V5745" i="1"/>
  <c r="Z5745" i="1" s="1"/>
  <c r="U5745" i="1"/>
  <c r="T5745" i="1"/>
  <c r="W5745" i="1" s="1"/>
  <c r="S5745" i="1"/>
  <c r="R5745" i="1"/>
  <c r="Q5745" i="1"/>
  <c r="M5745" i="1"/>
  <c r="L5745" i="1"/>
  <c r="V5744" i="1"/>
  <c r="U5744" i="1"/>
  <c r="T5744" i="1"/>
  <c r="W5744" i="1" s="1"/>
  <c r="S5744" i="1"/>
  <c r="R5744" i="1"/>
  <c r="Q5744" i="1"/>
  <c r="M5744" i="1"/>
  <c r="L5744" i="1"/>
  <c r="V5743" i="1"/>
  <c r="Z5743" i="1" s="1"/>
  <c r="U5743" i="1"/>
  <c r="T5743" i="1"/>
  <c r="S5743" i="1"/>
  <c r="R5743" i="1"/>
  <c r="Q5743" i="1"/>
  <c r="M5743" i="1"/>
  <c r="L5743" i="1"/>
  <c r="V5742" i="1"/>
  <c r="Z5742" i="1" s="1"/>
  <c r="U5742" i="1"/>
  <c r="T5742" i="1"/>
  <c r="W5742" i="1" s="1"/>
  <c r="S5742" i="1"/>
  <c r="R5742" i="1"/>
  <c r="Q5742" i="1"/>
  <c r="M5742" i="1"/>
  <c r="L5742" i="1"/>
  <c r="V5741" i="1"/>
  <c r="U5741" i="1"/>
  <c r="T5741" i="1"/>
  <c r="W5741" i="1" s="1"/>
  <c r="S5741" i="1"/>
  <c r="R5741" i="1"/>
  <c r="Q5741" i="1"/>
  <c r="M5741" i="1"/>
  <c r="L5741" i="1"/>
  <c r="V5740" i="1"/>
  <c r="U5740" i="1"/>
  <c r="T5740" i="1"/>
  <c r="S5740" i="1"/>
  <c r="R5740" i="1"/>
  <c r="Q5740" i="1"/>
  <c r="M5740" i="1"/>
  <c r="L5740" i="1"/>
  <c r="V5739" i="1"/>
  <c r="Z5739" i="1" s="1"/>
  <c r="U5739" i="1"/>
  <c r="T5739" i="1"/>
  <c r="S5739" i="1"/>
  <c r="R5739" i="1"/>
  <c r="Q5739" i="1"/>
  <c r="M5739" i="1"/>
  <c r="L5739" i="1"/>
  <c r="V5738" i="1"/>
  <c r="Z5738" i="1" s="1"/>
  <c r="U5738" i="1"/>
  <c r="T5738" i="1"/>
  <c r="W5738" i="1" s="1"/>
  <c r="S5738" i="1"/>
  <c r="R5738" i="1"/>
  <c r="Q5738" i="1"/>
  <c r="M5738" i="1"/>
  <c r="L5738" i="1"/>
  <c r="V5737" i="1"/>
  <c r="Z5737" i="1" s="1"/>
  <c r="U5737" i="1"/>
  <c r="T5737" i="1"/>
  <c r="W5737" i="1" s="1"/>
  <c r="S5737" i="1"/>
  <c r="R5737" i="1"/>
  <c r="Q5737" i="1"/>
  <c r="M5737" i="1"/>
  <c r="L5737" i="1"/>
  <c r="V5736" i="1"/>
  <c r="U5736" i="1"/>
  <c r="T5736" i="1"/>
  <c r="W5736" i="1" s="1"/>
  <c r="S5736" i="1"/>
  <c r="R5736" i="1"/>
  <c r="Q5736" i="1"/>
  <c r="M5736" i="1"/>
  <c r="L5736" i="1"/>
  <c r="V5735" i="1"/>
  <c r="Z5735" i="1" s="1"/>
  <c r="U5735" i="1"/>
  <c r="T5735" i="1"/>
  <c r="S5735" i="1"/>
  <c r="R5735" i="1"/>
  <c r="Q5735" i="1"/>
  <c r="M5735" i="1"/>
  <c r="L5735" i="1"/>
  <c r="V5734" i="1"/>
  <c r="Z5734" i="1" s="1"/>
  <c r="U5734" i="1"/>
  <c r="T5734" i="1"/>
  <c r="W5734" i="1" s="1"/>
  <c r="S5734" i="1"/>
  <c r="R5734" i="1"/>
  <c r="Q5734" i="1"/>
  <c r="M5734" i="1"/>
  <c r="L5734" i="1"/>
  <c r="V5733" i="1"/>
  <c r="Z5733" i="1" s="1"/>
  <c r="U5733" i="1"/>
  <c r="T5733" i="1"/>
  <c r="W5733" i="1" s="1"/>
  <c r="S5733" i="1"/>
  <c r="R5733" i="1"/>
  <c r="Q5733" i="1"/>
  <c r="M5733" i="1"/>
  <c r="L5733" i="1"/>
  <c r="V5732" i="1"/>
  <c r="U5732" i="1"/>
  <c r="T5732" i="1"/>
  <c r="S5732" i="1"/>
  <c r="R5732" i="1"/>
  <c r="Q5732" i="1"/>
  <c r="M5732" i="1"/>
  <c r="L5732" i="1"/>
  <c r="V5731" i="1"/>
  <c r="Z5731" i="1" s="1"/>
  <c r="U5731" i="1"/>
  <c r="T5731" i="1"/>
  <c r="S5731" i="1"/>
  <c r="R5731" i="1"/>
  <c r="Q5731" i="1"/>
  <c r="M5731" i="1"/>
  <c r="L5731" i="1"/>
  <c r="V5730" i="1"/>
  <c r="Z5730" i="1" s="1"/>
  <c r="U5730" i="1"/>
  <c r="T5730" i="1"/>
  <c r="W5730" i="1" s="1"/>
  <c r="S5730" i="1"/>
  <c r="R5730" i="1"/>
  <c r="Q5730" i="1"/>
  <c r="M5730" i="1"/>
  <c r="L5730" i="1"/>
  <c r="V5729" i="1"/>
  <c r="Z5729" i="1" s="1"/>
  <c r="U5729" i="1"/>
  <c r="T5729" i="1"/>
  <c r="W5729" i="1" s="1"/>
  <c r="S5729" i="1"/>
  <c r="R5729" i="1"/>
  <c r="Q5729" i="1"/>
  <c r="M5729" i="1"/>
  <c r="L5729" i="1"/>
  <c r="V5728" i="1"/>
  <c r="U5728" i="1"/>
  <c r="T5728" i="1"/>
  <c r="W5728" i="1" s="1"/>
  <c r="S5728" i="1"/>
  <c r="R5728" i="1"/>
  <c r="Q5728" i="1"/>
  <c r="M5728" i="1"/>
  <c r="L5728" i="1"/>
  <c r="V5727" i="1"/>
  <c r="Z5727" i="1" s="1"/>
  <c r="U5727" i="1"/>
  <c r="T5727" i="1"/>
  <c r="S5727" i="1"/>
  <c r="R5727" i="1"/>
  <c r="Q5727" i="1"/>
  <c r="M5727" i="1"/>
  <c r="L5727" i="1"/>
  <c r="V5726" i="1"/>
  <c r="Z5726" i="1" s="1"/>
  <c r="U5726" i="1"/>
  <c r="T5726" i="1"/>
  <c r="W5726" i="1" s="1"/>
  <c r="S5726" i="1"/>
  <c r="R5726" i="1"/>
  <c r="Q5726" i="1"/>
  <c r="M5726" i="1"/>
  <c r="L5726" i="1"/>
  <c r="V5725" i="1"/>
  <c r="Z5725" i="1" s="1"/>
  <c r="U5725" i="1"/>
  <c r="T5725" i="1"/>
  <c r="W5725" i="1" s="1"/>
  <c r="S5725" i="1"/>
  <c r="R5725" i="1"/>
  <c r="Q5725" i="1"/>
  <c r="M5725" i="1"/>
  <c r="L5725" i="1"/>
  <c r="V5724" i="1"/>
  <c r="U5724" i="1"/>
  <c r="T5724" i="1"/>
  <c r="W5724" i="1" s="1"/>
  <c r="S5724" i="1"/>
  <c r="R5724" i="1"/>
  <c r="Q5724" i="1"/>
  <c r="M5724" i="1"/>
  <c r="L5724" i="1"/>
  <c r="V5723" i="1"/>
  <c r="Z5723" i="1" s="1"/>
  <c r="U5723" i="1"/>
  <c r="T5723" i="1"/>
  <c r="S5723" i="1"/>
  <c r="R5723" i="1"/>
  <c r="Q5723" i="1"/>
  <c r="M5723" i="1"/>
  <c r="L5723" i="1"/>
  <c r="V5722" i="1"/>
  <c r="U5722" i="1"/>
  <c r="T5722" i="1"/>
  <c r="W5722" i="1" s="1"/>
  <c r="S5722" i="1"/>
  <c r="R5722" i="1"/>
  <c r="Q5722" i="1"/>
  <c r="M5722" i="1"/>
  <c r="L5722" i="1"/>
  <c r="V5721" i="1"/>
  <c r="Z5721" i="1" s="1"/>
  <c r="U5721" i="1"/>
  <c r="T5721" i="1"/>
  <c r="W5721" i="1" s="1"/>
  <c r="S5721" i="1"/>
  <c r="R5721" i="1"/>
  <c r="Q5721" i="1"/>
  <c r="M5721" i="1"/>
  <c r="L5721" i="1"/>
  <c r="V5720" i="1"/>
  <c r="U5720" i="1"/>
  <c r="T5720" i="1"/>
  <c r="W5720" i="1" s="1"/>
  <c r="S5720" i="1"/>
  <c r="R5720" i="1"/>
  <c r="Q5720" i="1"/>
  <c r="M5720" i="1"/>
  <c r="L5720" i="1"/>
  <c r="V5719" i="1"/>
  <c r="Z5719" i="1" s="1"/>
  <c r="U5719" i="1"/>
  <c r="T5719" i="1"/>
  <c r="S5719" i="1"/>
  <c r="R5719" i="1"/>
  <c r="Q5719" i="1"/>
  <c r="M5719" i="1"/>
  <c r="L5719" i="1"/>
  <c r="V5718" i="1"/>
  <c r="Z5718" i="1" s="1"/>
  <c r="U5718" i="1"/>
  <c r="T5718" i="1"/>
  <c r="W5718" i="1" s="1"/>
  <c r="S5718" i="1"/>
  <c r="R5718" i="1"/>
  <c r="Q5718" i="1"/>
  <c r="M5718" i="1"/>
  <c r="L5718" i="1"/>
  <c r="V5717" i="1"/>
  <c r="Z5717" i="1" s="1"/>
  <c r="U5717" i="1"/>
  <c r="T5717" i="1"/>
  <c r="W5717" i="1" s="1"/>
  <c r="S5717" i="1"/>
  <c r="R5717" i="1"/>
  <c r="Q5717" i="1"/>
  <c r="M5717" i="1"/>
  <c r="L5717" i="1"/>
  <c r="V5716" i="1"/>
  <c r="U5716" i="1"/>
  <c r="T5716" i="1"/>
  <c r="W5716" i="1" s="1"/>
  <c r="S5716" i="1"/>
  <c r="R5716" i="1"/>
  <c r="Q5716" i="1"/>
  <c r="M5716" i="1"/>
  <c r="L5716" i="1"/>
  <c r="V5715" i="1"/>
  <c r="Z5715" i="1" s="1"/>
  <c r="U5715" i="1"/>
  <c r="T5715" i="1"/>
  <c r="S5715" i="1"/>
  <c r="R5715" i="1"/>
  <c r="Q5715" i="1"/>
  <c r="M5715" i="1"/>
  <c r="L5715" i="1"/>
  <c r="V5714" i="1"/>
  <c r="U5714" i="1"/>
  <c r="T5714" i="1"/>
  <c r="W5714" i="1" s="1"/>
  <c r="S5714" i="1"/>
  <c r="R5714" i="1"/>
  <c r="Q5714" i="1"/>
  <c r="M5714" i="1"/>
  <c r="L5714" i="1"/>
  <c r="V5713" i="1"/>
  <c r="Z5713" i="1" s="1"/>
  <c r="U5713" i="1"/>
  <c r="T5713" i="1"/>
  <c r="W5713" i="1" s="1"/>
  <c r="S5713" i="1"/>
  <c r="R5713" i="1"/>
  <c r="Q5713" i="1"/>
  <c r="M5713" i="1"/>
  <c r="L5713" i="1"/>
  <c r="V5712" i="1"/>
  <c r="U5712" i="1"/>
  <c r="T5712" i="1"/>
  <c r="W5712" i="1" s="1"/>
  <c r="S5712" i="1"/>
  <c r="R5712" i="1"/>
  <c r="Q5712" i="1"/>
  <c r="M5712" i="1"/>
  <c r="L5712" i="1"/>
  <c r="V5711" i="1"/>
  <c r="Z5711" i="1" s="1"/>
  <c r="U5711" i="1"/>
  <c r="T5711" i="1"/>
  <c r="S5711" i="1"/>
  <c r="R5711" i="1"/>
  <c r="Q5711" i="1"/>
  <c r="M5711" i="1"/>
  <c r="L5711" i="1"/>
  <c r="V5710" i="1"/>
  <c r="Z5710" i="1" s="1"/>
  <c r="U5710" i="1"/>
  <c r="T5710" i="1"/>
  <c r="W5710" i="1" s="1"/>
  <c r="S5710" i="1"/>
  <c r="R5710" i="1"/>
  <c r="Q5710" i="1"/>
  <c r="M5710" i="1"/>
  <c r="L5710" i="1"/>
  <c r="V5709" i="1"/>
  <c r="Z5709" i="1" s="1"/>
  <c r="U5709" i="1"/>
  <c r="T5709" i="1"/>
  <c r="W5709" i="1" s="1"/>
  <c r="S5709" i="1"/>
  <c r="R5709" i="1"/>
  <c r="Q5709" i="1"/>
  <c r="M5709" i="1"/>
  <c r="L5709" i="1"/>
  <c r="V5708" i="1"/>
  <c r="U5708" i="1"/>
  <c r="T5708" i="1"/>
  <c r="S5708" i="1"/>
  <c r="R5708" i="1"/>
  <c r="Q5708" i="1"/>
  <c r="M5708" i="1"/>
  <c r="L5708" i="1"/>
  <c r="V5707" i="1"/>
  <c r="Z5707" i="1" s="1"/>
  <c r="U5707" i="1"/>
  <c r="T5707" i="1"/>
  <c r="S5707" i="1"/>
  <c r="R5707" i="1"/>
  <c r="Q5707" i="1"/>
  <c r="M5707" i="1"/>
  <c r="L5707" i="1"/>
  <c r="V5706" i="1"/>
  <c r="U5706" i="1"/>
  <c r="T5706" i="1"/>
  <c r="W5706" i="1" s="1"/>
  <c r="S5706" i="1"/>
  <c r="R5706" i="1"/>
  <c r="Q5706" i="1"/>
  <c r="M5706" i="1"/>
  <c r="L5706" i="1"/>
  <c r="V5705" i="1"/>
  <c r="Z5705" i="1" s="1"/>
  <c r="U5705" i="1"/>
  <c r="T5705" i="1"/>
  <c r="W5705" i="1" s="1"/>
  <c r="S5705" i="1"/>
  <c r="R5705" i="1"/>
  <c r="Q5705" i="1"/>
  <c r="M5705" i="1"/>
  <c r="L5705" i="1"/>
  <c r="V5704" i="1"/>
  <c r="Z5704" i="1" s="1"/>
  <c r="U5704" i="1"/>
  <c r="T5704" i="1"/>
  <c r="W5704" i="1" s="1"/>
  <c r="S5704" i="1"/>
  <c r="R5704" i="1"/>
  <c r="Q5704" i="1"/>
  <c r="M5704" i="1"/>
  <c r="L5704" i="1"/>
  <c r="V5703" i="1"/>
  <c r="Z5703" i="1" s="1"/>
  <c r="U5703" i="1"/>
  <c r="T5703" i="1"/>
  <c r="S5703" i="1"/>
  <c r="R5703" i="1"/>
  <c r="Q5703" i="1"/>
  <c r="M5703" i="1"/>
  <c r="L5703" i="1"/>
  <c r="V5702" i="1"/>
  <c r="Z5702" i="1" s="1"/>
  <c r="U5702" i="1"/>
  <c r="T5702" i="1"/>
  <c r="W5702" i="1" s="1"/>
  <c r="S5702" i="1"/>
  <c r="R5702" i="1"/>
  <c r="Q5702" i="1"/>
  <c r="M5702" i="1"/>
  <c r="L5702" i="1"/>
  <c r="V5701" i="1"/>
  <c r="U5701" i="1"/>
  <c r="T5701" i="1"/>
  <c r="W5701" i="1" s="1"/>
  <c r="S5701" i="1"/>
  <c r="R5701" i="1"/>
  <c r="Q5701" i="1"/>
  <c r="M5701" i="1"/>
  <c r="L5701" i="1"/>
  <c r="V5700" i="1"/>
  <c r="U5700" i="1"/>
  <c r="T5700" i="1"/>
  <c r="S5700" i="1"/>
  <c r="R5700" i="1"/>
  <c r="Q5700" i="1"/>
  <c r="M5700" i="1"/>
  <c r="L5700" i="1"/>
  <c r="V5699" i="1"/>
  <c r="Z5699" i="1" s="1"/>
  <c r="U5699" i="1"/>
  <c r="T5699" i="1"/>
  <c r="S5699" i="1"/>
  <c r="R5699" i="1"/>
  <c r="Q5699" i="1"/>
  <c r="M5699" i="1"/>
  <c r="L5699" i="1"/>
  <c r="V5698" i="1"/>
  <c r="Z5698" i="1" s="1"/>
  <c r="U5698" i="1"/>
  <c r="T5698" i="1"/>
  <c r="W5698" i="1" s="1"/>
  <c r="S5698" i="1"/>
  <c r="R5698" i="1"/>
  <c r="Q5698" i="1"/>
  <c r="M5698" i="1"/>
  <c r="L5698" i="1"/>
  <c r="V5697" i="1"/>
  <c r="Z5697" i="1" s="1"/>
  <c r="U5697" i="1"/>
  <c r="T5697" i="1"/>
  <c r="W5697" i="1" s="1"/>
  <c r="S5697" i="1"/>
  <c r="R5697" i="1"/>
  <c r="Q5697" i="1"/>
  <c r="M5697" i="1"/>
  <c r="L5697" i="1"/>
  <c r="V5696" i="1"/>
  <c r="Z5696" i="1" s="1"/>
  <c r="U5696" i="1"/>
  <c r="T5696" i="1"/>
  <c r="W5696" i="1" s="1"/>
  <c r="S5696" i="1"/>
  <c r="R5696" i="1"/>
  <c r="Q5696" i="1"/>
  <c r="M5696" i="1"/>
  <c r="L5696" i="1"/>
  <c r="V5695" i="1"/>
  <c r="Z5695" i="1" s="1"/>
  <c r="U5695" i="1"/>
  <c r="T5695" i="1"/>
  <c r="S5695" i="1"/>
  <c r="R5695" i="1"/>
  <c r="Q5695" i="1"/>
  <c r="M5695" i="1"/>
  <c r="L5695" i="1"/>
  <c r="V5694" i="1"/>
  <c r="Z5694" i="1" s="1"/>
  <c r="U5694" i="1"/>
  <c r="T5694" i="1"/>
  <c r="W5694" i="1" s="1"/>
  <c r="S5694" i="1"/>
  <c r="R5694" i="1"/>
  <c r="Q5694" i="1"/>
  <c r="M5694" i="1"/>
  <c r="L5694" i="1"/>
  <c r="V5693" i="1"/>
  <c r="Z5693" i="1" s="1"/>
  <c r="U5693" i="1"/>
  <c r="T5693" i="1"/>
  <c r="W5693" i="1" s="1"/>
  <c r="S5693" i="1"/>
  <c r="R5693" i="1"/>
  <c r="Q5693" i="1"/>
  <c r="M5693" i="1"/>
  <c r="L5693" i="1"/>
  <c r="V5692" i="1"/>
  <c r="U5692" i="1"/>
  <c r="T5692" i="1"/>
  <c r="S5692" i="1"/>
  <c r="R5692" i="1"/>
  <c r="Q5692" i="1"/>
  <c r="M5692" i="1"/>
  <c r="L5692" i="1"/>
  <c r="V5691" i="1"/>
  <c r="Z5691" i="1" s="1"/>
  <c r="U5691" i="1"/>
  <c r="T5691" i="1"/>
  <c r="S5691" i="1"/>
  <c r="R5691" i="1"/>
  <c r="Q5691" i="1"/>
  <c r="M5691" i="1"/>
  <c r="L5691" i="1"/>
  <c r="V5690" i="1"/>
  <c r="Z5690" i="1" s="1"/>
  <c r="U5690" i="1"/>
  <c r="T5690" i="1"/>
  <c r="W5690" i="1" s="1"/>
  <c r="S5690" i="1"/>
  <c r="R5690" i="1"/>
  <c r="Q5690" i="1"/>
  <c r="M5690" i="1"/>
  <c r="L5690" i="1"/>
  <c r="V5689" i="1"/>
  <c r="U5689" i="1"/>
  <c r="T5689" i="1"/>
  <c r="W5689" i="1" s="1"/>
  <c r="S5689" i="1"/>
  <c r="R5689" i="1"/>
  <c r="Q5689" i="1"/>
  <c r="M5689" i="1"/>
  <c r="L5689" i="1"/>
  <c r="V5688" i="1"/>
  <c r="U5688" i="1"/>
  <c r="T5688" i="1"/>
  <c r="W5688" i="1" s="1"/>
  <c r="S5688" i="1"/>
  <c r="R5688" i="1"/>
  <c r="Q5688" i="1"/>
  <c r="M5688" i="1"/>
  <c r="L5688" i="1"/>
  <c r="V5687" i="1"/>
  <c r="Z5687" i="1" s="1"/>
  <c r="U5687" i="1"/>
  <c r="T5687" i="1"/>
  <c r="W5687" i="1" s="1"/>
  <c r="S5687" i="1"/>
  <c r="R5687" i="1"/>
  <c r="Q5687" i="1"/>
  <c r="M5687" i="1"/>
  <c r="L5687" i="1"/>
  <c r="V5686" i="1"/>
  <c r="Z5686" i="1" s="1"/>
  <c r="U5686" i="1"/>
  <c r="T5686" i="1"/>
  <c r="W5686" i="1" s="1"/>
  <c r="S5686" i="1"/>
  <c r="R5686" i="1"/>
  <c r="Q5686" i="1"/>
  <c r="M5686" i="1"/>
  <c r="L5686" i="1"/>
  <c r="V5685" i="1"/>
  <c r="Z5685" i="1" s="1"/>
  <c r="U5685" i="1"/>
  <c r="T5685" i="1"/>
  <c r="W5685" i="1" s="1"/>
  <c r="S5685" i="1"/>
  <c r="R5685" i="1"/>
  <c r="Q5685" i="1"/>
  <c r="M5685" i="1"/>
  <c r="L5685" i="1"/>
  <c r="V5684" i="1"/>
  <c r="Z5684" i="1" s="1"/>
  <c r="U5684" i="1"/>
  <c r="T5684" i="1"/>
  <c r="W5684" i="1" s="1"/>
  <c r="S5684" i="1"/>
  <c r="R5684" i="1"/>
  <c r="Q5684" i="1"/>
  <c r="M5684" i="1"/>
  <c r="L5684" i="1"/>
  <c r="V5683" i="1"/>
  <c r="Z5683" i="1" s="1"/>
  <c r="U5683" i="1"/>
  <c r="T5683" i="1"/>
  <c r="S5683" i="1"/>
  <c r="R5683" i="1"/>
  <c r="Q5683" i="1"/>
  <c r="M5683" i="1"/>
  <c r="L5683" i="1"/>
  <c r="V5682" i="1"/>
  <c r="Z5682" i="1" s="1"/>
  <c r="U5682" i="1"/>
  <c r="T5682" i="1"/>
  <c r="S5682" i="1"/>
  <c r="R5682" i="1"/>
  <c r="Q5682" i="1"/>
  <c r="M5682" i="1"/>
  <c r="L5682" i="1"/>
  <c r="V5681" i="1"/>
  <c r="Z5681" i="1" s="1"/>
  <c r="U5681" i="1"/>
  <c r="T5681" i="1"/>
  <c r="W5681" i="1" s="1"/>
  <c r="S5681" i="1"/>
  <c r="R5681" i="1"/>
  <c r="Q5681" i="1"/>
  <c r="M5681" i="1"/>
  <c r="L5681" i="1"/>
  <c r="V5680" i="1"/>
  <c r="U5680" i="1"/>
  <c r="T5680" i="1"/>
  <c r="W5680" i="1" s="1"/>
  <c r="S5680" i="1"/>
  <c r="R5680" i="1"/>
  <c r="Q5680" i="1"/>
  <c r="M5680" i="1"/>
  <c r="L5680" i="1"/>
  <c r="V5679" i="1"/>
  <c r="Z5679" i="1" s="1"/>
  <c r="U5679" i="1"/>
  <c r="T5679" i="1"/>
  <c r="S5679" i="1"/>
  <c r="R5679" i="1"/>
  <c r="Q5679" i="1"/>
  <c r="M5679" i="1"/>
  <c r="L5679" i="1"/>
  <c r="V5678" i="1"/>
  <c r="Z5678" i="1" s="1"/>
  <c r="U5678" i="1"/>
  <c r="T5678" i="1"/>
  <c r="W5678" i="1" s="1"/>
  <c r="S5678" i="1"/>
  <c r="R5678" i="1"/>
  <c r="Q5678" i="1"/>
  <c r="M5678" i="1"/>
  <c r="L5678" i="1"/>
  <c r="V5677" i="1"/>
  <c r="Z5677" i="1" s="1"/>
  <c r="U5677" i="1"/>
  <c r="T5677" i="1"/>
  <c r="W5677" i="1" s="1"/>
  <c r="S5677" i="1"/>
  <c r="R5677" i="1"/>
  <c r="Q5677" i="1"/>
  <c r="M5677" i="1"/>
  <c r="L5677" i="1"/>
  <c r="V5676" i="1"/>
  <c r="U5676" i="1"/>
  <c r="T5676" i="1"/>
  <c r="S5676" i="1"/>
  <c r="R5676" i="1"/>
  <c r="Q5676" i="1"/>
  <c r="M5676" i="1"/>
  <c r="L5676" i="1"/>
  <c r="V5675" i="1"/>
  <c r="Z5675" i="1" s="1"/>
  <c r="U5675" i="1"/>
  <c r="T5675" i="1"/>
  <c r="W5675" i="1" s="1"/>
  <c r="S5675" i="1"/>
  <c r="R5675" i="1"/>
  <c r="Q5675" i="1"/>
  <c r="M5675" i="1"/>
  <c r="L5675" i="1"/>
  <c r="V5674" i="1"/>
  <c r="Z5674" i="1" s="1"/>
  <c r="U5674" i="1"/>
  <c r="T5674" i="1"/>
  <c r="S5674" i="1"/>
  <c r="R5674" i="1"/>
  <c r="Q5674" i="1"/>
  <c r="M5674" i="1"/>
  <c r="L5674" i="1"/>
  <c r="V5673" i="1"/>
  <c r="Z5673" i="1" s="1"/>
  <c r="U5673" i="1"/>
  <c r="T5673" i="1"/>
  <c r="W5673" i="1" s="1"/>
  <c r="S5673" i="1"/>
  <c r="R5673" i="1"/>
  <c r="Q5673" i="1"/>
  <c r="M5673" i="1"/>
  <c r="L5673" i="1"/>
  <c r="V5672" i="1"/>
  <c r="Z5672" i="1" s="1"/>
  <c r="U5672" i="1"/>
  <c r="T5672" i="1"/>
  <c r="W5672" i="1" s="1"/>
  <c r="S5672" i="1"/>
  <c r="R5672" i="1"/>
  <c r="Q5672" i="1"/>
  <c r="M5672" i="1"/>
  <c r="L5672" i="1"/>
  <c r="V5671" i="1"/>
  <c r="Z5671" i="1" s="1"/>
  <c r="U5671" i="1"/>
  <c r="T5671" i="1"/>
  <c r="W5671" i="1" s="1"/>
  <c r="S5671" i="1"/>
  <c r="R5671" i="1"/>
  <c r="Q5671" i="1"/>
  <c r="M5671" i="1"/>
  <c r="L5671" i="1"/>
  <c r="V5670" i="1"/>
  <c r="Z5670" i="1" s="1"/>
  <c r="U5670" i="1"/>
  <c r="T5670" i="1"/>
  <c r="S5670" i="1"/>
  <c r="R5670" i="1"/>
  <c r="Q5670" i="1"/>
  <c r="M5670" i="1"/>
  <c r="L5670" i="1"/>
  <c r="V5669" i="1"/>
  <c r="Z5669" i="1" s="1"/>
  <c r="U5669" i="1"/>
  <c r="T5669" i="1"/>
  <c r="W5669" i="1" s="1"/>
  <c r="S5669" i="1"/>
  <c r="R5669" i="1"/>
  <c r="Q5669" i="1"/>
  <c r="M5669" i="1"/>
  <c r="L5669" i="1"/>
  <c r="V5668" i="1"/>
  <c r="U5668" i="1"/>
  <c r="T5668" i="1"/>
  <c r="W5668" i="1" s="1"/>
  <c r="S5668" i="1"/>
  <c r="R5668" i="1"/>
  <c r="Q5668" i="1"/>
  <c r="M5668" i="1"/>
  <c r="L5668" i="1"/>
  <c r="V5667" i="1"/>
  <c r="Z5667" i="1" s="1"/>
  <c r="U5667" i="1"/>
  <c r="T5667" i="1"/>
  <c r="W5667" i="1" s="1"/>
  <c r="S5667" i="1"/>
  <c r="R5667" i="1"/>
  <c r="Q5667" i="1"/>
  <c r="M5667" i="1"/>
  <c r="L5667" i="1"/>
  <c r="V5666" i="1"/>
  <c r="Z5666" i="1" s="1"/>
  <c r="U5666" i="1"/>
  <c r="T5666" i="1"/>
  <c r="S5666" i="1"/>
  <c r="R5666" i="1"/>
  <c r="Q5666" i="1"/>
  <c r="M5666" i="1"/>
  <c r="L5666" i="1"/>
  <c r="V5665" i="1"/>
  <c r="Z5665" i="1" s="1"/>
  <c r="U5665" i="1"/>
  <c r="T5665" i="1"/>
  <c r="W5665" i="1" s="1"/>
  <c r="S5665" i="1"/>
  <c r="R5665" i="1"/>
  <c r="Q5665" i="1"/>
  <c r="M5665" i="1"/>
  <c r="L5665" i="1"/>
  <c r="V5664" i="1"/>
  <c r="U5664" i="1"/>
  <c r="T5664" i="1"/>
  <c r="W5664" i="1" s="1"/>
  <c r="S5664" i="1"/>
  <c r="R5664" i="1"/>
  <c r="Q5664" i="1"/>
  <c r="M5664" i="1"/>
  <c r="L5664" i="1"/>
  <c r="V5663" i="1"/>
  <c r="Z5663" i="1" s="1"/>
  <c r="U5663" i="1"/>
  <c r="T5663" i="1"/>
  <c r="S5663" i="1"/>
  <c r="R5663" i="1"/>
  <c r="Q5663" i="1"/>
  <c r="M5663" i="1"/>
  <c r="L5663" i="1"/>
  <c r="V5662" i="1"/>
  <c r="Z5662" i="1" s="1"/>
  <c r="U5662" i="1"/>
  <c r="T5662" i="1"/>
  <c r="W5662" i="1" s="1"/>
  <c r="S5662" i="1"/>
  <c r="R5662" i="1"/>
  <c r="Q5662" i="1"/>
  <c r="M5662" i="1"/>
  <c r="L5662" i="1"/>
  <c r="V5661" i="1"/>
  <c r="U5661" i="1"/>
  <c r="T5661" i="1"/>
  <c r="W5661" i="1" s="1"/>
  <c r="S5661" i="1"/>
  <c r="R5661" i="1"/>
  <c r="Q5661" i="1"/>
  <c r="M5661" i="1"/>
  <c r="L5661" i="1"/>
  <c r="V5660" i="1"/>
  <c r="U5660" i="1"/>
  <c r="T5660" i="1"/>
  <c r="S5660" i="1"/>
  <c r="R5660" i="1"/>
  <c r="Q5660" i="1"/>
  <c r="M5660" i="1"/>
  <c r="L5660" i="1"/>
  <c r="V5659" i="1"/>
  <c r="Z5659" i="1" s="1"/>
  <c r="U5659" i="1"/>
  <c r="T5659" i="1"/>
  <c r="W5659" i="1" s="1"/>
  <c r="S5659" i="1"/>
  <c r="R5659" i="1"/>
  <c r="Q5659" i="1"/>
  <c r="M5659" i="1"/>
  <c r="L5659" i="1"/>
  <c r="V5658" i="1"/>
  <c r="Z5658" i="1" s="1"/>
  <c r="U5658" i="1"/>
  <c r="T5658" i="1"/>
  <c r="W5658" i="1" s="1"/>
  <c r="S5658" i="1"/>
  <c r="R5658" i="1"/>
  <c r="Q5658" i="1"/>
  <c r="M5658" i="1"/>
  <c r="L5658" i="1"/>
  <c r="V5657" i="1"/>
  <c r="Z5657" i="1" s="1"/>
  <c r="U5657" i="1"/>
  <c r="T5657" i="1"/>
  <c r="W5657" i="1" s="1"/>
  <c r="S5657" i="1"/>
  <c r="R5657" i="1"/>
  <c r="Q5657" i="1"/>
  <c r="M5657" i="1"/>
  <c r="L5657" i="1"/>
  <c r="V5656" i="1"/>
  <c r="Z5656" i="1" s="1"/>
  <c r="U5656" i="1"/>
  <c r="T5656" i="1"/>
  <c r="W5656" i="1" s="1"/>
  <c r="S5656" i="1"/>
  <c r="R5656" i="1"/>
  <c r="Q5656" i="1"/>
  <c r="M5656" i="1"/>
  <c r="L5656" i="1"/>
  <c r="V5655" i="1"/>
  <c r="Z5655" i="1" s="1"/>
  <c r="U5655" i="1"/>
  <c r="T5655" i="1"/>
  <c r="W5655" i="1" s="1"/>
  <c r="S5655" i="1"/>
  <c r="R5655" i="1"/>
  <c r="Q5655" i="1"/>
  <c r="M5655" i="1"/>
  <c r="L5655" i="1"/>
  <c r="V5654" i="1"/>
  <c r="Z5654" i="1" s="1"/>
  <c r="U5654" i="1"/>
  <c r="T5654" i="1"/>
  <c r="S5654" i="1"/>
  <c r="R5654" i="1"/>
  <c r="Q5654" i="1"/>
  <c r="M5654" i="1"/>
  <c r="L5654" i="1"/>
  <c r="V5653" i="1"/>
  <c r="Z5653" i="1" s="1"/>
  <c r="U5653" i="1"/>
  <c r="T5653" i="1"/>
  <c r="W5653" i="1" s="1"/>
  <c r="S5653" i="1"/>
  <c r="R5653" i="1"/>
  <c r="Q5653" i="1"/>
  <c r="M5653" i="1"/>
  <c r="L5653" i="1"/>
  <c r="V5652" i="1"/>
  <c r="Z5652" i="1" s="1"/>
  <c r="U5652" i="1"/>
  <c r="T5652" i="1"/>
  <c r="W5652" i="1" s="1"/>
  <c r="S5652" i="1"/>
  <c r="R5652" i="1"/>
  <c r="Q5652" i="1"/>
  <c r="M5652" i="1"/>
  <c r="L5652" i="1"/>
  <c r="V5651" i="1"/>
  <c r="Z5651" i="1" s="1"/>
  <c r="U5651" i="1"/>
  <c r="T5651" i="1"/>
  <c r="S5651" i="1"/>
  <c r="R5651" i="1"/>
  <c r="Q5651" i="1"/>
  <c r="M5651" i="1"/>
  <c r="L5651" i="1"/>
  <c r="V5650" i="1"/>
  <c r="Z5650" i="1" s="1"/>
  <c r="U5650" i="1"/>
  <c r="T5650" i="1"/>
  <c r="S5650" i="1"/>
  <c r="R5650" i="1"/>
  <c r="Q5650" i="1"/>
  <c r="M5650" i="1"/>
  <c r="L5650" i="1"/>
  <c r="V5649" i="1"/>
  <c r="Z5649" i="1" s="1"/>
  <c r="U5649" i="1"/>
  <c r="T5649" i="1"/>
  <c r="W5649" i="1" s="1"/>
  <c r="S5649" i="1"/>
  <c r="R5649" i="1"/>
  <c r="Q5649" i="1"/>
  <c r="M5649" i="1"/>
  <c r="L5649" i="1"/>
  <c r="V5648" i="1"/>
  <c r="U5648" i="1"/>
  <c r="T5648" i="1"/>
  <c r="S5648" i="1"/>
  <c r="R5648" i="1"/>
  <c r="Q5648" i="1"/>
  <c r="M5648" i="1"/>
  <c r="L5648" i="1"/>
  <c r="V5647" i="1"/>
  <c r="Z5647" i="1" s="1"/>
  <c r="U5647" i="1"/>
  <c r="T5647" i="1"/>
  <c r="S5647" i="1"/>
  <c r="R5647" i="1"/>
  <c r="Q5647" i="1"/>
  <c r="M5647" i="1"/>
  <c r="L5647" i="1"/>
  <c r="V5646" i="1"/>
  <c r="Z5646" i="1" s="1"/>
  <c r="U5646" i="1"/>
  <c r="T5646" i="1"/>
  <c r="W5646" i="1" s="1"/>
  <c r="S5646" i="1"/>
  <c r="R5646" i="1"/>
  <c r="Q5646" i="1"/>
  <c r="M5646" i="1"/>
  <c r="L5646" i="1"/>
  <c r="Z5645" i="1"/>
  <c r="V5645" i="1"/>
  <c r="U5645" i="1"/>
  <c r="T5645" i="1"/>
  <c r="W5645" i="1" s="1"/>
  <c r="S5645" i="1"/>
  <c r="R5645" i="1"/>
  <c r="Q5645" i="1"/>
  <c r="M5645" i="1"/>
  <c r="L5645" i="1"/>
  <c r="V5644" i="1"/>
  <c r="U5644" i="1"/>
  <c r="T5644" i="1"/>
  <c r="S5644" i="1"/>
  <c r="R5644" i="1"/>
  <c r="Q5644" i="1"/>
  <c r="M5644" i="1"/>
  <c r="L5644" i="1"/>
  <c r="V5643" i="1"/>
  <c r="Z5643" i="1" s="1"/>
  <c r="U5643" i="1"/>
  <c r="T5643" i="1"/>
  <c r="W5643" i="1" s="1"/>
  <c r="S5643" i="1"/>
  <c r="R5643" i="1"/>
  <c r="Q5643" i="1"/>
  <c r="M5643" i="1"/>
  <c r="L5643" i="1"/>
  <c r="V5642" i="1"/>
  <c r="Z5642" i="1" s="1"/>
  <c r="U5642" i="1"/>
  <c r="T5642" i="1"/>
  <c r="S5642" i="1"/>
  <c r="R5642" i="1"/>
  <c r="Q5642" i="1"/>
  <c r="M5642" i="1"/>
  <c r="L5642" i="1"/>
  <c r="V5641" i="1"/>
  <c r="Z5641" i="1" s="1"/>
  <c r="U5641" i="1"/>
  <c r="T5641" i="1"/>
  <c r="W5641" i="1" s="1"/>
  <c r="S5641" i="1"/>
  <c r="R5641" i="1"/>
  <c r="Q5641" i="1"/>
  <c r="M5641" i="1"/>
  <c r="L5641" i="1"/>
  <c r="V5640" i="1"/>
  <c r="Z5640" i="1" s="1"/>
  <c r="U5640" i="1"/>
  <c r="T5640" i="1"/>
  <c r="W5640" i="1" s="1"/>
  <c r="S5640" i="1"/>
  <c r="R5640" i="1"/>
  <c r="Q5640" i="1"/>
  <c r="M5640" i="1"/>
  <c r="L5640" i="1"/>
  <c r="V5639" i="1"/>
  <c r="Z5639" i="1" s="1"/>
  <c r="U5639" i="1"/>
  <c r="T5639" i="1"/>
  <c r="W5639" i="1" s="1"/>
  <c r="S5639" i="1"/>
  <c r="R5639" i="1"/>
  <c r="Q5639" i="1"/>
  <c r="M5639" i="1"/>
  <c r="L5639" i="1"/>
  <c r="V5638" i="1"/>
  <c r="Z5638" i="1" s="1"/>
  <c r="U5638" i="1"/>
  <c r="T5638" i="1"/>
  <c r="S5638" i="1"/>
  <c r="R5638" i="1"/>
  <c r="Q5638" i="1"/>
  <c r="M5638" i="1"/>
  <c r="L5638" i="1"/>
  <c r="V5637" i="1"/>
  <c r="Z5637" i="1" s="1"/>
  <c r="U5637" i="1"/>
  <c r="T5637" i="1"/>
  <c r="W5637" i="1" s="1"/>
  <c r="S5637" i="1"/>
  <c r="R5637" i="1"/>
  <c r="Q5637" i="1"/>
  <c r="M5637" i="1"/>
  <c r="L5637" i="1"/>
  <c r="V5636" i="1"/>
  <c r="U5636" i="1"/>
  <c r="T5636" i="1"/>
  <c r="W5636" i="1" s="1"/>
  <c r="S5636" i="1"/>
  <c r="R5636" i="1"/>
  <c r="Q5636" i="1"/>
  <c r="M5636" i="1"/>
  <c r="L5636" i="1"/>
  <c r="V5635" i="1"/>
  <c r="Z5635" i="1" s="1"/>
  <c r="U5635" i="1"/>
  <c r="T5635" i="1"/>
  <c r="W5635" i="1" s="1"/>
  <c r="S5635" i="1"/>
  <c r="R5635" i="1"/>
  <c r="Q5635" i="1"/>
  <c r="M5635" i="1"/>
  <c r="L5635" i="1"/>
  <c r="V5634" i="1"/>
  <c r="Z5634" i="1" s="1"/>
  <c r="U5634" i="1"/>
  <c r="T5634" i="1"/>
  <c r="S5634" i="1"/>
  <c r="R5634" i="1"/>
  <c r="Q5634" i="1"/>
  <c r="M5634" i="1"/>
  <c r="L5634" i="1"/>
  <c r="V5633" i="1"/>
  <c r="Z5633" i="1" s="1"/>
  <c r="U5633" i="1"/>
  <c r="T5633" i="1"/>
  <c r="W5633" i="1" s="1"/>
  <c r="S5633" i="1"/>
  <c r="R5633" i="1"/>
  <c r="Q5633" i="1"/>
  <c r="M5633" i="1"/>
  <c r="L5633" i="1"/>
  <c r="V5632" i="1"/>
  <c r="U5632" i="1"/>
  <c r="T5632" i="1"/>
  <c r="W5632" i="1" s="1"/>
  <c r="S5632" i="1"/>
  <c r="R5632" i="1"/>
  <c r="Q5632" i="1"/>
  <c r="M5632" i="1"/>
  <c r="L5632" i="1"/>
  <c r="V5631" i="1"/>
  <c r="Z5631" i="1" s="1"/>
  <c r="U5631" i="1"/>
  <c r="T5631" i="1"/>
  <c r="S5631" i="1"/>
  <c r="R5631" i="1"/>
  <c r="Q5631" i="1"/>
  <c r="M5631" i="1"/>
  <c r="L5631" i="1"/>
  <c r="V5630" i="1"/>
  <c r="Z5630" i="1" s="1"/>
  <c r="U5630" i="1"/>
  <c r="T5630" i="1"/>
  <c r="W5630" i="1" s="1"/>
  <c r="S5630" i="1"/>
  <c r="R5630" i="1"/>
  <c r="Q5630" i="1"/>
  <c r="M5630" i="1"/>
  <c r="L5630" i="1"/>
  <c r="V5629" i="1"/>
  <c r="U5629" i="1"/>
  <c r="T5629" i="1"/>
  <c r="W5629" i="1" s="1"/>
  <c r="S5629" i="1"/>
  <c r="R5629" i="1"/>
  <c r="Q5629" i="1"/>
  <c r="M5629" i="1"/>
  <c r="L5629" i="1"/>
  <c r="V5628" i="1"/>
  <c r="U5628" i="1"/>
  <c r="T5628" i="1"/>
  <c r="S5628" i="1"/>
  <c r="R5628" i="1"/>
  <c r="Q5628" i="1"/>
  <c r="M5628" i="1"/>
  <c r="L5628" i="1"/>
  <c r="V5627" i="1"/>
  <c r="Z5627" i="1" s="1"/>
  <c r="U5627" i="1"/>
  <c r="T5627" i="1"/>
  <c r="W5627" i="1" s="1"/>
  <c r="S5627" i="1"/>
  <c r="R5627" i="1"/>
  <c r="Q5627" i="1"/>
  <c r="M5627" i="1"/>
  <c r="L5627" i="1"/>
  <c r="V5626" i="1"/>
  <c r="Z5626" i="1" s="1"/>
  <c r="U5626" i="1"/>
  <c r="T5626" i="1"/>
  <c r="W5626" i="1" s="1"/>
  <c r="S5626" i="1"/>
  <c r="R5626" i="1"/>
  <c r="Q5626" i="1"/>
  <c r="M5626" i="1"/>
  <c r="L5626" i="1"/>
  <c r="V5625" i="1"/>
  <c r="Z5625" i="1" s="1"/>
  <c r="U5625" i="1"/>
  <c r="T5625" i="1"/>
  <c r="W5625" i="1" s="1"/>
  <c r="S5625" i="1"/>
  <c r="R5625" i="1"/>
  <c r="Q5625" i="1"/>
  <c r="M5625" i="1"/>
  <c r="L5625" i="1"/>
  <c r="V5624" i="1"/>
  <c r="Z5624" i="1" s="1"/>
  <c r="U5624" i="1"/>
  <c r="T5624" i="1"/>
  <c r="W5624" i="1" s="1"/>
  <c r="S5624" i="1"/>
  <c r="R5624" i="1"/>
  <c r="Q5624" i="1"/>
  <c r="M5624" i="1"/>
  <c r="L5624" i="1"/>
  <c r="V5623" i="1"/>
  <c r="Z5623" i="1" s="1"/>
  <c r="U5623" i="1"/>
  <c r="T5623" i="1"/>
  <c r="W5623" i="1" s="1"/>
  <c r="S5623" i="1"/>
  <c r="R5623" i="1"/>
  <c r="Q5623" i="1"/>
  <c r="M5623" i="1"/>
  <c r="L5623" i="1"/>
  <c r="V5622" i="1"/>
  <c r="Z5622" i="1" s="1"/>
  <c r="U5622" i="1"/>
  <c r="T5622" i="1"/>
  <c r="S5622" i="1"/>
  <c r="R5622" i="1"/>
  <c r="Q5622" i="1"/>
  <c r="M5622" i="1"/>
  <c r="L5622" i="1"/>
  <c r="V5621" i="1"/>
  <c r="Z5621" i="1" s="1"/>
  <c r="U5621" i="1"/>
  <c r="T5621" i="1"/>
  <c r="W5621" i="1" s="1"/>
  <c r="S5621" i="1"/>
  <c r="R5621" i="1"/>
  <c r="Q5621" i="1"/>
  <c r="M5621" i="1"/>
  <c r="L5621" i="1"/>
  <c r="V5620" i="1"/>
  <c r="Z5620" i="1" s="1"/>
  <c r="U5620" i="1"/>
  <c r="T5620" i="1"/>
  <c r="W5620" i="1" s="1"/>
  <c r="S5620" i="1"/>
  <c r="R5620" i="1"/>
  <c r="Q5620" i="1"/>
  <c r="M5620" i="1"/>
  <c r="L5620" i="1"/>
  <c r="V5619" i="1"/>
  <c r="Z5619" i="1" s="1"/>
  <c r="U5619" i="1"/>
  <c r="T5619" i="1"/>
  <c r="S5619" i="1"/>
  <c r="R5619" i="1"/>
  <c r="Q5619" i="1"/>
  <c r="M5619" i="1"/>
  <c r="L5619" i="1"/>
  <c r="V5618" i="1"/>
  <c r="Z5618" i="1" s="1"/>
  <c r="U5618" i="1"/>
  <c r="T5618" i="1"/>
  <c r="S5618" i="1"/>
  <c r="R5618" i="1"/>
  <c r="Q5618" i="1"/>
  <c r="M5618" i="1"/>
  <c r="L5618" i="1"/>
  <c r="V5617" i="1"/>
  <c r="Z5617" i="1" s="1"/>
  <c r="U5617" i="1"/>
  <c r="T5617" i="1"/>
  <c r="W5617" i="1" s="1"/>
  <c r="S5617" i="1"/>
  <c r="R5617" i="1"/>
  <c r="Q5617" i="1"/>
  <c r="M5617" i="1"/>
  <c r="L5617" i="1"/>
  <c r="V5616" i="1"/>
  <c r="U5616" i="1"/>
  <c r="T5616" i="1"/>
  <c r="S5616" i="1"/>
  <c r="R5616" i="1"/>
  <c r="Q5616" i="1"/>
  <c r="M5616" i="1"/>
  <c r="L5616" i="1"/>
  <c r="V5615" i="1"/>
  <c r="Z5615" i="1" s="1"/>
  <c r="U5615" i="1"/>
  <c r="T5615" i="1"/>
  <c r="S5615" i="1"/>
  <c r="R5615" i="1"/>
  <c r="Q5615" i="1"/>
  <c r="M5615" i="1"/>
  <c r="L5615" i="1"/>
  <c r="V5614" i="1"/>
  <c r="Z5614" i="1" s="1"/>
  <c r="U5614" i="1"/>
  <c r="T5614" i="1"/>
  <c r="W5614" i="1" s="1"/>
  <c r="S5614" i="1"/>
  <c r="R5614" i="1"/>
  <c r="Q5614" i="1"/>
  <c r="M5614" i="1"/>
  <c r="L5614" i="1"/>
  <c r="V5613" i="1"/>
  <c r="Z5613" i="1" s="1"/>
  <c r="U5613" i="1"/>
  <c r="T5613" i="1"/>
  <c r="W5613" i="1" s="1"/>
  <c r="S5613" i="1"/>
  <c r="R5613" i="1"/>
  <c r="Q5613" i="1"/>
  <c r="M5613" i="1"/>
  <c r="L5613" i="1"/>
  <c r="V5612" i="1"/>
  <c r="U5612" i="1"/>
  <c r="T5612" i="1"/>
  <c r="S5612" i="1"/>
  <c r="R5612" i="1"/>
  <c r="Q5612" i="1"/>
  <c r="M5612" i="1"/>
  <c r="L5612" i="1"/>
  <c r="V5611" i="1"/>
  <c r="Z5611" i="1" s="1"/>
  <c r="U5611" i="1"/>
  <c r="T5611" i="1"/>
  <c r="W5611" i="1" s="1"/>
  <c r="S5611" i="1"/>
  <c r="R5611" i="1"/>
  <c r="Q5611" i="1"/>
  <c r="M5611" i="1"/>
  <c r="L5611" i="1"/>
  <c r="V5610" i="1"/>
  <c r="Z5610" i="1" s="1"/>
  <c r="U5610" i="1"/>
  <c r="T5610" i="1"/>
  <c r="S5610" i="1"/>
  <c r="R5610" i="1"/>
  <c r="Q5610" i="1"/>
  <c r="M5610" i="1"/>
  <c r="L5610" i="1"/>
  <c r="V5609" i="1"/>
  <c r="Z5609" i="1" s="1"/>
  <c r="U5609" i="1"/>
  <c r="T5609" i="1"/>
  <c r="W5609" i="1" s="1"/>
  <c r="S5609" i="1"/>
  <c r="R5609" i="1"/>
  <c r="Q5609" i="1"/>
  <c r="M5609" i="1"/>
  <c r="L5609" i="1"/>
  <c r="V5608" i="1"/>
  <c r="Z5608" i="1" s="1"/>
  <c r="U5608" i="1"/>
  <c r="T5608" i="1"/>
  <c r="W5608" i="1" s="1"/>
  <c r="S5608" i="1"/>
  <c r="R5608" i="1"/>
  <c r="Q5608" i="1"/>
  <c r="M5608" i="1"/>
  <c r="L5608" i="1"/>
  <c r="V5607" i="1"/>
  <c r="Z5607" i="1" s="1"/>
  <c r="U5607" i="1"/>
  <c r="T5607" i="1"/>
  <c r="W5607" i="1" s="1"/>
  <c r="S5607" i="1"/>
  <c r="R5607" i="1"/>
  <c r="Q5607" i="1"/>
  <c r="M5607" i="1"/>
  <c r="L5607" i="1"/>
  <c r="V5606" i="1"/>
  <c r="Z5606" i="1" s="1"/>
  <c r="U5606" i="1"/>
  <c r="T5606" i="1"/>
  <c r="S5606" i="1"/>
  <c r="R5606" i="1"/>
  <c r="Q5606" i="1"/>
  <c r="M5606" i="1"/>
  <c r="L5606" i="1"/>
  <c r="V5605" i="1"/>
  <c r="Z5605" i="1" s="1"/>
  <c r="U5605" i="1"/>
  <c r="T5605" i="1"/>
  <c r="W5605" i="1" s="1"/>
  <c r="S5605" i="1"/>
  <c r="R5605" i="1"/>
  <c r="Q5605" i="1"/>
  <c r="M5605" i="1"/>
  <c r="L5605" i="1"/>
  <c r="V5604" i="1"/>
  <c r="U5604" i="1"/>
  <c r="T5604" i="1"/>
  <c r="W5604" i="1" s="1"/>
  <c r="S5604" i="1"/>
  <c r="R5604" i="1"/>
  <c r="Q5604" i="1"/>
  <c r="M5604" i="1"/>
  <c r="L5604" i="1"/>
  <c r="V5603" i="1"/>
  <c r="Z5603" i="1" s="1"/>
  <c r="U5603" i="1"/>
  <c r="T5603" i="1"/>
  <c r="W5603" i="1" s="1"/>
  <c r="S5603" i="1"/>
  <c r="R5603" i="1"/>
  <c r="Q5603" i="1"/>
  <c r="M5603" i="1"/>
  <c r="L5603" i="1"/>
  <c r="V5602" i="1"/>
  <c r="Z5602" i="1" s="1"/>
  <c r="U5602" i="1"/>
  <c r="T5602" i="1"/>
  <c r="S5602" i="1"/>
  <c r="R5602" i="1"/>
  <c r="Q5602" i="1"/>
  <c r="M5602" i="1"/>
  <c r="L5602" i="1"/>
  <c r="V5601" i="1"/>
  <c r="Z5601" i="1" s="1"/>
  <c r="U5601" i="1"/>
  <c r="T5601" i="1"/>
  <c r="W5601" i="1" s="1"/>
  <c r="S5601" i="1"/>
  <c r="R5601" i="1"/>
  <c r="Q5601" i="1"/>
  <c r="M5601" i="1"/>
  <c r="L5601" i="1"/>
  <c r="V5600" i="1"/>
  <c r="U5600" i="1"/>
  <c r="T5600" i="1"/>
  <c r="W5600" i="1" s="1"/>
  <c r="S5600" i="1"/>
  <c r="R5600" i="1"/>
  <c r="Q5600" i="1"/>
  <c r="M5600" i="1"/>
  <c r="L5600" i="1"/>
  <c r="V5599" i="1"/>
  <c r="Z5599" i="1" s="1"/>
  <c r="U5599" i="1"/>
  <c r="T5599" i="1"/>
  <c r="S5599" i="1"/>
  <c r="R5599" i="1"/>
  <c r="Q5599" i="1"/>
  <c r="M5599" i="1"/>
  <c r="L5599" i="1"/>
  <c r="V5598" i="1"/>
  <c r="Z5598" i="1" s="1"/>
  <c r="U5598" i="1"/>
  <c r="T5598" i="1"/>
  <c r="S5598" i="1"/>
  <c r="R5598" i="1"/>
  <c r="Q5598" i="1"/>
  <c r="M5598" i="1"/>
  <c r="L5598" i="1"/>
  <c r="V5597" i="1"/>
  <c r="Z5597" i="1" s="1"/>
  <c r="U5597" i="1"/>
  <c r="T5597" i="1"/>
  <c r="W5597" i="1" s="1"/>
  <c r="S5597" i="1"/>
  <c r="R5597" i="1"/>
  <c r="Q5597" i="1"/>
  <c r="M5597" i="1"/>
  <c r="L5597" i="1"/>
  <c r="V5596" i="1"/>
  <c r="U5596" i="1"/>
  <c r="T5596" i="1"/>
  <c r="S5596" i="1"/>
  <c r="R5596" i="1"/>
  <c r="Q5596" i="1"/>
  <c r="M5596" i="1"/>
  <c r="L5596" i="1"/>
  <c r="V5595" i="1"/>
  <c r="Z5595" i="1" s="1"/>
  <c r="U5595" i="1"/>
  <c r="T5595" i="1"/>
  <c r="W5595" i="1" s="1"/>
  <c r="S5595" i="1"/>
  <c r="R5595" i="1"/>
  <c r="Q5595" i="1"/>
  <c r="M5595" i="1"/>
  <c r="L5595" i="1"/>
  <c r="V5594" i="1"/>
  <c r="Z5594" i="1" s="1"/>
  <c r="U5594" i="1"/>
  <c r="T5594" i="1"/>
  <c r="W5594" i="1" s="1"/>
  <c r="S5594" i="1"/>
  <c r="R5594" i="1"/>
  <c r="Q5594" i="1"/>
  <c r="M5594" i="1"/>
  <c r="L5594" i="1"/>
  <c r="V5593" i="1"/>
  <c r="Z5593" i="1" s="1"/>
  <c r="U5593" i="1"/>
  <c r="T5593" i="1"/>
  <c r="W5593" i="1" s="1"/>
  <c r="S5593" i="1"/>
  <c r="R5593" i="1"/>
  <c r="Q5593" i="1"/>
  <c r="M5593" i="1"/>
  <c r="L5593" i="1"/>
  <c r="V5592" i="1"/>
  <c r="Z5592" i="1" s="1"/>
  <c r="U5592" i="1"/>
  <c r="T5592" i="1"/>
  <c r="W5592" i="1" s="1"/>
  <c r="S5592" i="1"/>
  <c r="R5592" i="1"/>
  <c r="Q5592" i="1"/>
  <c r="M5592" i="1"/>
  <c r="L5592" i="1"/>
  <c r="V5591" i="1"/>
  <c r="Z5591" i="1" s="1"/>
  <c r="U5591" i="1"/>
  <c r="T5591" i="1"/>
  <c r="W5591" i="1" s="1"/>
  <c r="S5591" i="1"/>
  <c r="R5591" i="1"/>
  <c r="Q5591" i="1"/>
  <c r="M5591" i="1"/>
  <c r="L5591" i="1"/>
  <c r="V5590" i="1"/>
  <c r="U5590" i="1"/>
  <c r="T5590" i="1"/>
  <c r="S5590" i="1"/>
  <c r="R5590" i="1"/>
  <c r="Q5590" i="1"/>
  <c r="M5590" i="1"/>
  <c r="L5590" i="1"/>
  <c r="V5589" i="1"/>
  <c r="U5589" i="1"/>
  <c r="T5589" i="1"/>
  <c r="W5589" i="1" s="1"/>
  <c r="S5589" i="1"/>
  <c r="R5589" i="1"/>
  <c r="Q5589" i="1"/>
  <c r="M5589" i="1"/>
  <c r="L5589" i="1"/>
  <c r="V5588" i="1"/>
  <c r="Z5588" i="1" s="1"/>
  <c r="U5588" i="1"/>
  <c r="T5588" i="1"/>
  <c r="W5588" i="1" s="1"/>
  <c r="S5588" i="1"/>
  <c r="R5588" i="1"/>
  <c r="Q5588" i="1"/>
  <c r="M5588" i="1"/>
  <c r="L5588" i="1"/>
  <c r="V5587" i="1"/>
  <c r="Z5587" i="1" s="1"/>
  <c r="U5587" i="1"/>
  <c r="T5587" i="1"/>
  <c r="W5587" i="1" s="1"/>
  <c r="S5587" i="1"/>
  <c r="R5587" i="1"/>
  <c r="Q5587" i="1"/>
  <c r="M5587" i="1"/>
  <c r="L5587" i="1"/>
  <c r="V5586" i="1"/>
  <c r="Z5586" i="1" s="1"/>
  <c r="U5586" i="1"/>
  <c r="T5586" i="1"/>
  <c r="S5586" i="1"/>
  <c r="R5586" i="1"/>
  <c r="Q5586" i="1"/>
  <c r="M5586" i="1"/>
  <c r="L5586" i="1"/>
  <c r="V5585" i="1"/>
  <c r="Z5585" i="1" s="1"/>
  <c r="U5585" i="1"/>
  <c r="T5585" i="1"/>
  <c r="W5585" i="1" s="1"/>
  <c r="S5585" i="1"/>
  <c r="R5585" i="1"/>
  <c r="Q5585" i="1"/>
  <c r="M5585" i="1"/>
  <c r="L5585" i="1"/>
  <c r="V5584" i="1"/>
  <c r="Z5584" i="1" s="1"/>
  <c r="U5584" i="1"/>
  <c r="T5584" i="1"/>
  <c r="W5584" i="1" s="1"/>
  <c r="S5584" i="1"/>
  <c r="R5584" i="1"/>
  <c r="Q5584" i="1"/>
  <c r="M5584" i="1"/>
  <c r="L5584" i="1"/>
  <c r="V5583" i="1"/>
  <c r="U5583" i="1"/>
  <c r="T5583" i="1"/>
  <c r="S5583" i="1"/>
  <c r="R5583" i="1"/>
  <c r="Q5583" i="1"/>
  <c r="M5583" i="1"/>
  <c r="L5583" i="1"/>
  <c r="V5582" i="1"/>
  <c r="Z5582" i="1" s="1"/>
  <c r="U5582" i="1"/>
  <c r="T5582" i="1"/>
  <c r="W5582" i="1" s="1"/>
  <c r="S5582" i="1"/>
  <c r="R5582" i="1"/>
  <c r="Q5582" i="1"/>
  <c r="M5582" i="1"/>
  <c r="L5582" i="1"/>
  <c r="V5581" i="1"/>
  <c r="U5581" i="1"/>
  <c r="T5581" i="1"/>
  <c r="W5581" i="1" s="1"/>
  <c r="S5581" i="1"/>
  <c r="R5581" i="1"/>
  <c r="Q5581" i="1"/>
  <c r="M5581" i="1"/>
  <c r="L5581" i="1"/>
  <c r="V5580" i="1"/>
  <c r="U5580" i="1"/>
  <c r="T5580" i="1"/>
  <c r="S5580" i="1"/>
  <c r="R5580" i="1"/>
  <c r="Q5580" i="1"/>
  <c r="M5580" i="1"/>
  <c r="L5580" i="1"/>
  <c r="V5579" i="1"/>
  <c r="U5579" i="1"/>
  <c r="T5579" i="1"/>
  <c r="S5579" i="1"/>
  <c r="R5579" i="1"/>
  <c r="Q5579" i="1"/>
  <c r="M5579" i="1"/>
  <c r="L5579" i="1"/>
  <c r="V5578" i="1"/>
  <c r="Z5578" i="1" s="1"/>
  <c r="U5578" i="1"/>
  <c r="T5578" i="1"/>
  <c r="S5578" i="1"/>
  <c r="R5578" i="1"/>
  <c r="Q5578" i="1"/>
  <c r="M5578" i="1"/>
  <c r="L5578" i="1"/>
  <c r="V5577" i="1"/>
  <c r="U5577" i="1"/>
  <c r="T5577" i="1"/>
  <c r="W5577" i="1" s="1"/>
  <c r="S5577" i="1"/>
  <c r="R5577" i="1"/>
  <c r="Q5577" i="1"/>
  <c r="M5577" i="1"/>
  <c r="L5577" i="1"/>
  <c r="V5576" i="1"/>
  <c r="Z5576" i="1" s="1"/>
  <c r="U5576" i="1"/>
  <c r="T5576" i="1"/>
  <c r="S5576" i="1"/>
  <c r="R5576" i="1"/>
  <c r="Q5576" i="1"/>
  <c r="M5576" i="1"/>
  <c r="L5576" i="1"/>
  <c r="V5575" i="1"/>
  <c r="Z5575" i="1" s="1"/>
  <c r="U5575" i="1"/>
  <c r="T5575" i="1"/>
  <c r="W5575" i="1" s="1"/>
  <c r="S5575" i="1"/>
  <c r="R5575" i="1"/>
  <c r="Q5575" i="1"/>
  <c r="M5575" i="1"/>
  <c r="L5575" i="1"/>
  <c r="V5574" i="1"/>
  <c r="Z5574" i="1" s="1"/>
  <c r="U5574" i="1"/>
  <c r="T5574" i="1"/>
  <c r="W5574" i="1" s="1"/>
  <c r="S5574" i="1"/>
  <c r="R5574" i="1"/>
  <c r="Q5574" i="1"/>
  <c r="M5574" i="1"/>
  <c r="L5574" i="1"/>
  <c r="V5573" i="1"/>
  <c r="U5573" i="1"/>
  <c r="T5573" i="1"/>
  <c r="W5573" i="1" s="1"/>
  <c r="S5573" i="1"/>
  <c r="R5573" i="1"/>
  <c r="Q5573" i="1"/>
  <c r="M5573" i="1"/>
  <c r="L5573" i="1"/>
  <c r="V5572" i="1"/>
  <c r="Z5572" i="1" s="1"/>
  <c r="U5572" i="1"/>
  <c r="T5572" i="1"/>
  <c r="S5572" i="1"/>
  <c r="R5572" i="1"/>
  <c r="Q5572" i="1"/>
  <c r="M5572" i="1"/>
  <c r="L5572" i="1"/>
  <c r="V5571" i="1"/>
  <c r="Z5571" i="1" s="1"/>
  <c r="U5571" i="1"/>
  <c r="T5571" i="1"/>
  <c r="W5571" i="1" s="1"/>
  <c r="S5571" i="1"/>
  <c r="R5571" i="1"/>
  <c r="Q5571" i="1"/>
  <c r="M5571" i="1"/>
  <c r="L5571" i="1"/>
  <c r="V5570" i="1"/>
  <c r="U5570" i="1"/>
  <c r="T5570" i="1"/>
  <c r="W5570" i="1" s="1"/>
  <c r="S5570" i="1"/>
  <c r="R5570" i="1"/>
  <c r="Q5570" i="1"/>
  <c r="M5570" i="1"/>
  <c r="L5570" i="1"/>
  <c r="V5569" i="1"/>
  <c r="Z5569" i="1" s="1"/>
  <c r="U5569" i="1"/>
  <c r="T5569" i="1"/>
  <c r="W5569" i="1" s="1"/>
  <c r="S5569" i="1"/>
  <c r="R5569" i="1"/>
  <c r="Q5569" i="1"/>
  <c r="M5569" i="1"/>
  <c r="L5569" i="1"/>
  <c r="V5568" i="1"/>
  <c r="Z5568" i="1" s="1"/>
  <c r="U5568" i="1"/>
  <c r="T5568" i="1"/>
  <c r="W5568" i="1" s="1"/>
  <c r="S5568" i="1"/>
  <c r="R5568" i="1"/>
  <c r="Q5568" i="1"/>
  <c r="M5568" i="1"/>
  <c r="L5568" i="1"/>
  <c r="V5567" i="1"/>
  <c r="Z5567" i="1" s="1"/>
  <c r="U5567" i="1"/>
  <c r="T5567" i="1"/>
  <c r="W5567" i="1" s="1"/>
  <c r="S5567" i="1"/>
  <c r="R5567" i="1"/>
  <c r="Q5567" i="1"/>
  <c r="M5567" i="1"/>
  <c r="L5567" i="1"/>
  <c r="V5566" i="1"/>
  <c r="Z5566" i="1" s="1"/>
  <c r="U5566" i="1"/>
  <c r="T5566" i="1"/>
  <c r="S5566" i="1"/>
  <c r="R5566" i="1"/>
  <c r="Q5566" i="1"/>
  <c r="M5566" i="1"/>
  <c r="L5566" i="1"/>
  <c r="V5565" i="1"/>
  <c r="Z5565" i="1" s="1"/>
  <c r="U5565" i="1"/>
  <c r="T5565" i="1"/>
  <c r="W5565" i="1" s="1"/>
  <c r="S5565" i="1"/>
  <c r="R5565" i="1"/>
  <c r="Q5565" i="1"/>
  <c r="M5565" i="1"/>
  <c r="L5565" i="1"/>
  <c r="V5564" i="1"/>
  <c r="U5564" i="1"/>
  <c r="T5564" i="1"/>
  <c r="W5564" i="1" s="1"/>
  <c r="S5564" i="1"/>
  <c r="R5564" i="1"/>
  <c r="Q5564" i="1"/>
  <c r="M5564" i="1"/>
  <c r="L5564" i="1"/>
  <c r="V5563" i="1"/>
  <c r="U5563" i="1"/>
  <c r="T5563" i="1"/>
  <c r="S5563" i="1"/>
  <c r="R5563" i="1"/>
  <c r="Q5563" i="1"/>
  <c r="M5563" i="1"/>
  <c r="L5563" i="1"/>
  <c r="V5562" i="1"/>
  <c r="Z5562" i="1" s="1"/>
  <c r="U5562" i="1"/>
  <c r="T5562" i="1"/>
  <c r="S5562" i="1"/>
  <c r="R5562" i="1"/>
  <c r="Q5562" i="1"/>
  <c r="M5562" i="1"/>
  <c r="L5562" i="1"/>
  <c r="V5561" i="1"/>
  <c r="Z5561" i="1" s="1"/>
  <c r="U5561" i="1"/>
  <c r="T5561" i="1"/>
  <c r="W5561" i="1" s="1"/>
  <c r="S5561" i="1"/>
  <c r="R5561" i="1"/>
  <c r="Q5561" i="1"/>
  <c r="M5561" i="1"/>
  <c r="L5561" i="1"/>
  <c r="V5560" i="1"/>
  <c r="U5560" i="1"/>
  <c r="T5560" i="1"/>
  <c r="W5560" i="1" s="1"/>
  <c r="S5560" i="1"/>
  <c r="R5560" i="1"/>
  <c r="Q5560" i="1"/>
  <c r="M5560" i="1"/>
  <c r="L5560" i="1"/>
  <c r="V5559" i="1"/>
  <c r="Z5559" i="1" s="1"/>
  <c r="U5559" i="1"/>
  <c r="T5559" i="1"/>
  <c r="S5559" i="1"/>
  <c r="R5559" i="1"/>
  <c r="Q5559" i="1"/>
  <c r="M5559" i="1"/>
  <c r="L5559" i="1"/>
  <c r="V5558" i="1"/>
  <c r="Z5558" i="1" s="1"/>
  <c r="U5558" i="1"/>
  <c r="T5558" i="1"/>
  <c r="W5558" i="1" s="1"/>
  <c r="S5558" i="1"/>
  <c r="R5558" i="1"/>
  <c r="Q5558" i="1"/>
  <c r="M5558" i="1"/>
  <c r="L5558" i="1"/>
  <c r="V5557" i="1"/>
  <c r="U5557" i="1"/>
  <c r="T5557" i="1"/>
  <c r="W5557" i="1" s="1"/>
  <c r="S5557" i="1"/>
  <c r="R5557" i="1"/>
  <c r="Q5557" i="1"/>
  <c r="M5557" i="1"/>
  <c r="L5557" i="1"/>
  <c r="V5556" i="1"/>
  <c r="U5556" i="1"/>
  <c r="T5556" i="1"/>
  <c r="S5556" i="1"/>
  <c r="R5556" i="1"/>
  <c r="Q5556" i="1"/>
  <c r="M5556" i="1"/>
  <c r="L5556" i="1"/>
  <c r="V5555" i="1"/>
  <c r="Z5555" i="1" s="1"/>
  <c r="U5555" i="1"/>
  <c r="T5555" i="1"/>
  <c r="S5555" i="1"/>
  <c r="R5555" i="1"/>
  <c r="Q5555" i="1"/>
  <c r="M5555" i="1"/>
  <c r="L5555" i="1"/>
  <c r="V5554" i="1"/>
  <c r="Z5554" i="1" s="1"/>
  <c r="U5554" i="1"/>
  <c r="T5554" i="1"/>
  <c r="W5554" i="1" s="1"/>
  <c r="S5554" i="1"/>
  <c r="R5554" i="1"/>
  <c r="Q5554" i="1"/>
  <c r="M5554" i="1"/>
  <c r="L5554" i="1"/>
  <c r="V5553" i="1"/>
  <c r="U5553" i="1"/>
  <c r="T5553" i="1"/>
  <c r="W5553" i="1" s="1"/>
  <c r="S5553" i="1"/>
  <c r="R5553" i="1"/>
  <c r="Q5553" i="1"/>
  <c r="M5553" i="1"/>
  <c r="L5553" i="1"/>
  <c r="V5552" i="1"/>
  <c r="Z5552" i="1" s="1"/>
  <c r="U5552" i="1"/>
  <c r="T5552" i="1"/>
  <c r="W5552" i="1" s="1"/>
  <c r="S5552" i="1"/>
  <c r="R5552" i="1"/>
  <c r="Q5552" i="1"/>
  <c r="M5552" i="1"/>
  <c r="L5552" i="1"/>
  <c r="V5551" i="1"/>
  <c r="Z5551" i="1" s="1"/>
  <c r="U5551" i="1"/>
  <c r="T5551" i="1"/>
  <c r="W5551" i="1" s="1"/>
  <c r="S5551" i="1"/>
  <c r="R5551" i="1"/>
  <c r="Q5551" i="1"/>
  <c r="M5551" i="1"/>
  <c r="L5551" i="1"/>
  <c r="V5550" i="1"/>
  <c r="Z5550" i="1" s="1"/>
  <c r="U5550" i="1"/>
  <c r="T5550" i="1"/>
  <c r="W5550" i="1" s="1"/>
  <c r="S5550" i="1"/>
  <c r="R5550" i="1"/>
  <c r="Q5550" i="1"/>
  <c r="M5550" i="1"/>
  <c r="L5550" i="1"/>
  <c r="V5549" i="1"/>
  <c r="U5549" i="1"/>
  <c r="T5549" i="1"/>
  <c r="W5549" i="1" s="1"/>
  <c r="S5549" i="1"/>
  <c r="R5549" i="1"/>
  <c r="Q5549" i="1"/>
  <c r="M5549" i="1"/>
  <c r="L5549" i="1"/>
  <c r="V5548" i="1"/>
  <c r="Z5548" i="1" s="1"/>
  <c r="U5548" i="1"/>
  <c r="T5548" i="1"/>
  <c r="W5548" i="1" s="1"/>
  <c r="S5548" i="1"/>
  <c r="R5548" i="1"/>
  <c r="Q5548" i="1"/>
  <c r="M5548" i="1"/>
  <c r="L5548" i="1"/>
  <c r="V5547" i="1"/>
  <c r="Z5547" i="1" s="1"/>
  <c r="U5547" i="1"/>
  <c r="T5547" i="1"/>
  <c r="W5547" i="1" s="1"/>
  <c r="S5547" i="1"/>
  <c r="R5547" i="1"/>
  <c r="Q5547" i="1"/>
  <c r="M5547" i="1"/>
  <c r="L5547" i="1"/>
  <c r="V5546" i="1"/>
  <c r="Z5546" i="1" s="1"/>
  <c r="U5546" i="1"/>
  <c r="T5546" i="1"/>
  <c r="S5546" i="1"/>
  <c r="R5546" i="1"/>
  <c r="Q5546" i="1"/>
  <c r="M5546" i="1"/>
  <c r="L5546" i="1"/>
  <c r="V5545" i="1"/>
  <c r="Z5545" i="1" s="1"/>
  <c r="U5545" i="1"/>
  <c r="T5545" i="1"/>
  <c r="W5545" i="1" s="1"/>
  <c r="S5545" i="1"/>
  <c r="R5545" i="1"/>
  <c r="Q5545" i="1"/>
  <c r="M5545" i="1"/>
  <c r="L5545" i="1"/>
  <c r="V5544" i="1"/>
  <c r="Z5544" i="1" s="1"/>
  <c r="U5544" i="1"/>
  <c r="T5544" i="1"/>
  <c r="W5544" i="1" s="1"/>
  <c r="S5544" i="1"/>
  <c r="R5544" i="1"/>
  <c r="Q5544" i="1"/>
  <c r="M5544" i="1"/>
  <c r="L5544" i="1"/>
  <c r="V5543" i="1"/>
  <c r="U5543" i="1"/>
  <c r="T5543" i="1"/>
  <c r="S5543" i="1"/>
  <c r="R5543" i="1"/>
  <c r="Q5543" i="1"/>
  <c r="M5543" i="1"/>
  <c r="L5543" i="1"/>
  <c r="V5542" i="1"/>
  <c r="Z5542" i="1" s="1"/>
  <c r="U5542" i="1"/>
  <c r="T5542" i="1"/>
  <c r="W5542" i="1" s="1"/>
  <c r="S5542" i="1"/>
  <c r="R5542" i="1"/>
  <c r="Q5542" i="1"/>
  <c r="M5542" i="1"/>
  <c r="L5542" i="1"/>
  <c r="V5541" i="1"/>
  <c r="Z5541" i="1" s="1"/>
  <c r="U5541" i="1"/>
  <c r="T5541" i="1"/>
  <c r="W5541" i="1" s="1"/>
  <c r="S5541" i="1"/>
  <c r="R5541" i="1"/>
  <c r="Q5541" i="1"/>
  <c r="M5541" i="1"/>
  <c r="L5541" i="1"/>
  <c r="V5540" i="1"/>
  <c r="Z5540" i="1" s="1"/>
  <c r="U5540" i="1"/>
  <c r="T5540" i="1"/>
  <c r="W5540" i="1" s="1"/>
  <c r="S5540" i="1"/>
  <c r="R5540" i="1"/>
  <c r="Q5540" i="1"/>
  <c r="M5540" i="1"/>
  <c r="L5540" i="1"/>
  <c r="V5539" i="1"/>
  <c r="U5539" i="1"/>
  <c r="T5539" i="1"/>
  <c r="S5539" i="1"/>
  <c r="R5539" i="1"/>
  <c r="Q5539" i="1"/>
  <c r="M5539" i="1"/>
  <c r="L5539" i="1"/>
  <c r="V5538" i="1"/>
  <c r="Z5538" i="1" s="1"/>
  <c r="U5538" i="1"/>
  <c r="T5538" i="1"/>
  <c r="W5538" i="1" s="1"/>
  <c r="S5538" i="1"/>
  <c r="R5538" i="1"/>
  <c r="Q5538" i="1"/>
  <c r="M5538" i="1"/>
  <c r="L5538" i="1"/>
  <c r="V5537" i="1"/>
  <c r="Z5537" i="1" s="1"/>
  <c r="U5537" i="1"/>
  <c r="T5537" i="1"/>
  <c r="W5537" i="1" s="1"/>
  <c r="S5537" i="1"/>
  <c r="R5537" i="1"/>
  <c r="Q5537" i="1"/>
  <c r="M5537" i="1"/>
  <c r="L5537" i="1"/>
  <c r="V5536" i="1"/>
  <c r="U5536" i="1"/>
  <c r="T5536" i="1"/>
  <c r="S5536" i="1"/>
  <c r="R5536" i="1"/>
  <c r="Q5536" i="1"/>
  <c r="M5536" i="1"/>
  <c r="L5536" i="1"/>
  <c r="V5535" i="1"/>
  <c r="Z5535" i="1" s="1"/>
  <c r="U5535" i="1"/>
  <c r="T5535" i="1"/>
  <c r="W5535" i="1" s="1"/>
  <c r="S5535" i="1"/>
  <c r="R5535" i="1"/>
  <c r="Q5535" i="1"/>
  <c r="M5535" i="1"/>
  <c r="L5535" i="1"/>
  <c r="V5534" i="1"/>
  <c r="Z5534" i="1" s="1"/>
  <c r="U5534" i="1"/>
  <c r="T5534" i="1"/>
  <c r="W5534" i="1" s="1"/>
  <c r="S5534" i="1"/>
  <c r="R5534" i="1"/>
  <c r="Q5534" i="1"/>
  <c r="M5534" i="1"/>
  <c r="L5534" i="1"/>
  <c r="V5533" i="1"/>
  <c r="U5533" i="1"/>
  <c r="T5533" i="1"/>
  <c r="W5533" i="1" s="1"/>
  <c r="S5533" i="1"/>
  <c r="R5533" i="1"/>
  <c r="Q5533" i="1"/>
  <c r="M5533" i="1"/>
  <c r="L5533" i="1"/>
  <c r="V5532" i="1"/>
  <c r="U5532" i="1"/>
  <c r="T5532" i="1"/>
  <c r="S5532" i="1"/>
  <c r="R5532" i="1"/>
  <c r="Q5532" i="1"/>
  <c r="M5532" i="1"/>
  <c r="L5532" i="1"/>
  <c r="V5531" i="1"/>
  <c r="Z5531" i="1" s="1"/>
  <c r="U5531" i="1"/>
  <c r="T5531" i="1"/>
  <c r="W5531" i="1" s="1"/>
  <c r="S5531" i="1"/>
  <c r="R5531" i="1"/>
  <c r="Q5531" i="1"/>
  <c r="M5531" i="1"/>
  <c r="L5531" i="1"/>
  <c r="V5530" i="1"/>
  <c r="Z5530" i="1" s="1"/>
  <c r="U5530" i="1"/>
  <c r="T5530" i="1"/>
  <c r="W5530" i="1" s="1"/>
  <c r="S5530" i="1"/>
  <c r="R5530" i="1"/>
  <c r="Q5530" i="1"/>
  <c r="M5530" i="1"/>
  <c r="L5530" i="1"/>
  <c r="V5529" i="1"/>
  <c r="Z5529" i="1" s="1"/>
  <c r="U5529" i="1"/>
  <c r="T5529" i="1"/>
  <c r="W5529" i="1" s="1"/>
  <c r="S5529" i="1"/>
  <c r="R5529" i="1"/>
  <c r="Q5529" i="1"/>
  <c r="M5529" i="1"/>
  <c r="L5529" i="1"/>
  <c r="V5528" i="1"/>
  <c r="Z5528" i="1" s="1"/>
  <c r="U5528" i="1"/>
  <c r="T5528" i="1"/>
  <c r="W5528" i="1" s="1"/>
  <c r="S5528" i="1"/>
  <c r="R5528" i="1"/>
  <c r="Q5528" i="1"/>
  <c r="M5528" i="1"/>
  <c r="L5528" i="1"/>
  <c r="V5527" i="1"/>
  <c r="Z5527" i="1" s="1"/>
  <c r="U5527" i="1"/>
  <c r="T5527" i="1"/>
  <c r="W5527" i="1" s="1"/>
  <c r="S5527" i="1"/>
  <c r="R5527" i="1"/>
  <c r="Q5527" i="1"/>
  <c r="M5527" i="1"/>
  <c r="L5527" i="1"/>
  <c r="V5526" i="1"/>
  <c r="U5526" i="1"/>
  <c r="T5526" i="1"/>
  <c r="S5526" i="1"/>
  <c r="R5526" i="1"/>
  <c r="Q5526" i="1"/>
  <c r="M5526" i="1"/>
  <c r="L5526" i="1"/>
  <c r="V5525" i="1"/>
  <c r="Z5525" i="1" s="1"/>
  <c r="U5525" i="1"/>
  <c r="T5525" i="1"/>
  <c r="W5525" i="1" s="1"/>
  <c r="S5525" i="1"/>
  <c r="R5525" i="1"/>
  <c r="Q5525" i="1"/>
  <c r="M5525" i="1"/>
  <c r="L5525" i="1"/>
  <c r="V5524" i="1"/>
  <c r="Z5524" i="1" s="1"/>
  <c r="U5524" i="1"/>
  <c r="T5524" i="1"/>
  <c r="W5524" i="1" s="1"/>
  <c r="S5524" i="1"/>
  <c r="R5524" i="1"/>
  <c r="Q5524" i="1"/>
  <c r="M5524" i="1"/>
  <c r="L5524" i="1"/>
  <c r="V5523" i="1"/>
  <c r="U5523" i="1"/>
  <c r="T5523" i="1"/>
  <c r="W5523" i="1" s="1"/>
  <c r="S5523" i="1"/>
  <c r="R5523" i="1"/>
  <c r="Q5523" i="1"/>
  <c r="M5523" i="1"/>
  <c r="L5523" i="1"/>
  <c r="V5522" i="1"/>
  <c r="Z5522" i="1" s="1"/>
  <c r="U5522" i="1"/>
  <c r="T5522" i="1"/>
  <c r="S5522" i="1"/>
  <c r="R5522" i="1"/>
  <c r="Q5522" i="1"/>
  <c r="M5522" i="1"/>
  <c r="L5522" i="1"/>
  <c r="V5521" i="1"/>
  <c r="Z5521" i="1" s="1"/>
  <c r="U5521" i="1"/>
  <c r="T5521" i="1"/>
  <c r="W5521" i="1" s="1"/>
  <c r="S5521" i="1"/>
  <c r="R5521" i="1"/>
  <c r="Q5521" i="1"/>
  <c r="M5521" i="1"/>
  <c r="L5521" i="1"/>
  <c r="V5520" i="1"/>
  <c r="Z5520" i="1" s="1"/>
  <c r="U5520" i="1"/>
  <c r="T5520" i="1"/>
  <c r="W5520" i="1" s="1"/>
  <c r="S5520" i="1"/>
  <c r="R5520" i="1"/>
  <c r="Q5520" i="1"/>
  <c r="M5520" i="1"/>
  <c r="L5520" i="1"/>
  <c r="V5519" i="1"/>
  <c r="U5519" i="1"/>
  <c r="T5519" i="1"/>
  <c r="S5519" i="1"/>
  <c r="R5519" i="1"/>
  <c r="Q5519" i="1"/>
  <c r="M5519" i="1"/>
  <c r="L5519" i="1"/>
  <c r="V5518" i="1"/>
  <c r="Z5518" i="1" s="1"/>
  <c r="U5518" i="1"/>
  <c r="T5518" i="1"/>
  <c r="W5518" i="1" s="1"/>
  <c r="S5518" i="1"/>
  <c r="R5518" i="1"/>
  <c r="Q5518" i="1"/>
  <c r="M5518" i="1"/>
  <c r="L5518" i="1"/>
  <c r="V5517" i="1"/>
  <c r="Z5517" i="1" s="1"/>
  <c r="U5517" i="1"/>
  <c r="T5517" i="1"/>
  <c r="W5517" i="1" s="1"/>
  <c r="S5517" i="1"/>
  <c r="R5517" i="1"/>
  <c r="Q5517" i="1"/>
  <c r="M5517" i="1"/>
  <c r="L5517" i="1"/>
  <c r="V5516" i="1"/>
  <c r="U5516" i="1"/>
  <c r="T5516" i="1"/>
  <c r="S5516" i="1"/>
  <c r="R5516" i="1"/>
  <c r="Q5516" i="1"/>
  <c r="M5516" i="1"/>
  <c r="L5516" i="1"/>
  <c r="V5515" i="1"/>
  <c r="U5515" i="1"/>
  <c r="T5515" i="1"/>
  <c r="S5515" i="1"/>
  <c r="R5515" i="1"/>
  <c r="Q5515" i="1"/>
  <c r="M5515" i="1"/>
  <c r="L5515" i="1"/>
  <c r="V5514" i="1"/>
  <c r="Z5514" i="1" s="1"/>
  <c r="U5514" i="1"/>
  <c r="T5514" i="1"/>
  <c r="W5514" i="1" s="1"/>
  <c r="S5514" i="1"/>
  <c r="R5514" i="1"/>
  <c r="Q5514" i="1"/>
  <c r="M5514" i="1"/>
  <c r="L5514" i="1"/>
  <c r="V5513" i="1"/>
  <c r="U5513" i="1"/>
  <c r="T5513" i="1"/>
  <c r="W5513" i="1" s="1"/>
  <c r="S5513" i="1"/>
  <c r="R5513" i="1"/>
  <c r="Q5513" i="1"/>
  <c r="M5513" i="1"/>
  <c r="L5513" i="1"/>
  <c r="V5512" i="1"/>
  <c r="Z5512" i="1" s="1"/>
  <c r="U5512" i="1"/>
  <c r="T5512" i="1"/>
  <c r="S5512" i="1"/>
  <c r="R5512" i="1"/>
  <c r="Q5512" i="1"/>
  <c r="M5512" i="1"/>
  <c r="L5512" i="1"/>
  <c r="V5511" i="1"/>
  <c r="Z5511" i="1" s="1"/>
  <c r="U5511" i="1"/>
  <c r="T5511" i="1"/>
  <c r="W5511" i="1" s="1"/>
  <c r="S5511" i="1"/>
  <c r="R5511" i="1"/>
  <c r="Q5511" i="1"/>
  <c r="M5511" i="1"/>
  <c r="L5511" i="1"/>
  <c r="V5510" i="1"/>
  <c r="Z5510" i="1" s="1"/>
  <c r="U5510" i="1"/>
  <c r="T5510" i="1"/>
  <c r="W5510" i="1" s="1"/>
  <c r="S5510" i="1"/>
  <c r="R5510" i="1"/>
  <c r="Q5510" i="1"/>
  <c r="M5510" i="1"/>
  <c r="L5510" i="1"/>
  <c r="V5509" i="1"/>
  <c r="U5509" i="1"/>
  <c r="T5509" i="1"/>
  <c r="W5509" i="1" s="1"/>
  <c r="S5509" i="1"/>
  <c r="R5509" i="1"/>
  <c r="Q5509" i="1"/>
  <c r="M5509" i="1"/>
  <c r="L5509" i="1"/>
  <c r="V5508" i="1"/>
  <c r="Z5508" i="1" s="1"/>
  <c r="U5508" i="1"/>
  <c r="T5508" i="1"/>
  <c r="S5508" i="1"/>
  <c r="R5508" i="1"/>
  <c r="Q5508" i="1"/>
  <c r="M5508" i="1"/>
  <c r="L5508" i="1"/>
  <c r="V5507" i="1"/>
  <c r="Z5507" i="1" s="1"/>
  <c r="U5507" i="1"/>
  <c r="T5507" i="1"/>
  <c r="W5507" i="1" s="1"/>
  <c r="S5507" i="1"/>
  <c r="R5507" i="1"/>
  <c r="Q5507" i="1"/>
  <c r="M5507" i="1"/>
  <c r="L5507" i="1"/>
  <c r="V5506" i="1"/>
  <c r="U5506" i="1"/>
  <c r="T5506" i="1"/>
  <c r="S5506" i="1"/>
  <c r="R5506" i="1"/>
  <c r="Q5506" i="1"/>
  <c r="M5506" i="1"/>
  <c r="L5506" i="1"/>
  <c r="V5505" i="1"/>
  <c r="Z5505" i="1" s="1"/>
  <c r="U5505" i="1"/>
  <c r="T5505" i="1"/>
  <c r="W5505" i="1" s="1"/>
  <c r="S5505" i="1"/>
  <c r="R5505" i="1"/>
  <c r="Q5505" i="1"/>
  <c r="M5505" i="1"/>
  <c r="L5505" i="1"/>
  <c r="V5504" i="1"/>
  <c r="Z5504" i="1" s="1"/>
  <c r="U5504" i="1"/>
  <c r="T5504" i="1"/>
  <c r="W5504" i="1" s="1"/>
  <c r="S5504" i="1"/>
  <c r="R5504" i="1"/>
  <c r="Q5504" i="1"/>
  <c r="M5504" i="1"/>
  <c r="L5504" i="1"/>
  <c r="V5503" i="1"/>
  <c r="U5503" i="1"/>
  <c r="T5503" i="1"/>
  <c r="W5503" i="1" s="1"/>
  <c r="S5503" i="1"/>
  <c r="R5503" i="1"/>
  <c r="Q5503" i="1"/>
  <c r="M5503" i="1"/>
  <c r="L5503" i="1"/>
  <c r="V5502" i="1"/>
  <c r="Z5502" i="1" s="1"/>
  <c r="U5502" i="1"/>
  <c r="T5502" i="1"/>
  <c r="S5502" i="1"/>
  <c r="R5502" i="1"/>
  <c r="Q5502" i="1"/>
  <c r="M5502" i="1"/>
  <c r="L5502" i="1"/>
  <c r="V5501" i="1"/>
  <c r="Z5501" i="1" s="1"/>
  <c r="U5501" i="1"/>
  <c r="T5501" i="1"/>
  <c r="W5501" i="1" s="1"/>
  <c r="S5501" i="1"/>
  <c r="R5501" i="1"/>
  <c r="Q5501" i="1"/>
  <c r="M5501" i="1"/>
  <c r="L5501" i="1"/>
  <c r="V5500" i="1"/>
  <c r="Z5500" i="1" s="1"/>
  <c r="U5500" i="1"/>
  <c r="T5500" i="1"/>
  <c r="W5500" i="1" s="1"/>
  <c r="S5500" i="1"/>
  <c r="R5500" i="1"/>
  <c r="Q5500" i="1"/>
  <c r="M5500" i="1"/>
  <c r="L5500" i="1"/>
  <c r="V5499" i="1"/>
  <c r="U5499" i="1"/>
  <c r="T5499" i="1"/>
  <c r="S5499" i="1"/>
  <c r="R5499" i="1"/>
  <c r="Q5499" i="1"/>
  <c r="M5499" i="1"/>
  <c r="L5499" i="1"/>
  <c r="V5498" i="1"/>
  <c r="Z5498" i="1" s="1"/>
  <c r="U5498" i="1"/>
  <c r="T5498" i="1"/>
  <c r="S5498" i="1"/>
  <c r="R5498" i="1"/>
  <c r="Q5498" i="1"/>
  <c r="M5498" i="1"/>
  <c r="L5498" i="1"/>
  <c r="V5497" i="1"/>
  <c r="Z5497" i="1" s="1"/>
  <c r="U5497" i="1"/>
  <c r="T5497" i="1"/>
  <c r="W5497" i="1" s="1"/>
  <c r="S5497" i="1"/>
  <c r="R5497" i="1"/>
  <c r="Q5497" i="1"/>
  <c r="M5497" i="1"/>
  <c r="L5497" i="1"/>
  <c r="V5496" i="1"/>
  <c r="U5496" i="1"/>
  <c r="T5496" i="1"/>
  <c r="S5496" i="1"/>
  <c r="R5496" i="1"/>
  <c r="Q5496" i="1"/>
  <c r="M5496" i="1"/>
  <c r="L5496" i="1"/>
  <c r="V5495" i="1"/>
  <c r="Z5495" i="1" s="1"/>
  <c r="U5495" i="1"/>
  <c r="T5495" i="1"/>
  <c r="S5495" i="1"/>
  <c r="R5495" i="1"/>
  <c r="Q5495" i="1"/>
  <c r="M5495" i="1"/>
  <c r="L5495" i="1"/>
  <c r="V5494" i="1"/>
  <c r="Z5494" i="1" s="1"/>
  <c r="U5494" i="1"/>
  <c r="T5494" i="1"/>
  <c r="W5494" i="1" s="1"/>
  <c r="S5494" i="1"/>
  <c r="R5494" i="1"/>
  <c r="Q5494" i="1"/>
  <c r="M5494" i="1"/>
  <c r="L5494" i="1"/>
  <c r="V5493" i="1"/>
  <c r="U5493" i="1"/>
  <c r="T5493" i="1"/>
  <c r="W5493" i="1" s="1"/>
  <c r="S5493" i="1"/>
  <c r="R5493" i="1"/>
  <c r="Q5493" i="1"/>
  <c r="M5493" i="1"/>
  <c r="L5493" i="1"/>
  <c r="V5492" i="1"/>
  <c r="U5492" i="1"/>
  <c r="T5492" i="1"/>
  <c r="S5492" i="1"/>
  <c r="R5492" i="1"/>
  <c r="Q5492" i="1"/>
  <c r="M5492" i="1"/>
  <c r="L5492" i="1"/>
  <c r="V5491" i="1"/>
  <c r="Z5491" i="1" s="1"/>
  <c r="U5491" i="1"/>
  <c r="T5491" i="1"/>
  <c r="S5491" i="1"/>
  <c r="R5491" i="1"/>
  <c r="Q5491" i="1"/>
  <c r="M5491" i="1"/>
  <c r="L5491" i="1"/>
  <c r="V5490" i="1"/>
  <c r="Z5490" i="1" s="1"/>
  <c r="U5490" i="1"/>
  <c r="T5490" i="1"/>
  <c r="W5490" i="1" s="1"/>
  <c r="S5490" i="1"/>
  <c r="R5490" i="1"/>
  <c r="Q5490" i="1"/>
  <c r="M5490" i="1"/>
  <c r="L5490" i="1"/>
  <c r="V5489" i="1"/>
  <c r="U5489" i="1"/>
  <c r="T5489" i="1"/>
  <c r="W5489" i="1" s="1"/>
  <c r="S5489" i="1"/>
  <c r="R5489" i="1"/>
  <c r="Q5489" i="1"/>
  <c r="M5489" i="1"/>
  <c r="L5489" i="1"/>
  <c r="V5488" i="1"/>
  <c r="Z5488" i="1" s="1"/>
  <c r="U5488" i="1"/>
  <c r="T5488" i="1"/>
  <c r="W5488" i="1" s="1"/>
  <c r="S5488" i="1"/>
  <c r="R5488" i="1"/>
  <c r="Q5488" i="1"/>
  <c r="M5488" i="1"/>
  <c r="L5488" i="1"/>
  <c r="V5487" i="1"/>
  <c r="Z5487" i="1" s="1"/>
  <c r="U5487" i="1"/>
  <c r="T5487" i="1"/>
  <c r="W5487" i="1" s="1"/>
  <c r="S5487" i="1"/>
  <c r="R5487" i="1"/>
  <c r="Q5487" i="1"/>
  <c r="M5487" i="1"/>
  <c r="L5487" i="1"/>
  <c r="V5486" i="1"/>
  <c r="Z5486" i="1" s="1"/>
  <c r="U5486" i="1"/>
  <c r="T5486" i="1"/>
  <c r="S5486" i="1"/>
  <c r="R5486" i="1"/>
  <c r="Q5486" i="1"/>
  <c r="M5486" i="1"/>
  <c r="L5486" i="1"/>
  <c r="V5485" i="1"/>
  <c r="U5485" i="1"/>
  <c r="T5485" i="1"/>
  <c r="W5485" i="1" s="1"/>
  <c r="S5485" i="1"/>
  <c r="R5485" i="1"/>
  <c r="Q5485" i="1"/>
  <c r="M5485" i="1"/>
  <c r="L5485" i="1"/>
  <c r="V5484" i="1"/>
  <c r="Z5484" i="1" s="1"/>
  <c r="U5484" i="1"/>
  <c r="T5484" i="1"/>
  <c r="W5484" i="1" s="1"/>
  <c r="S5484" i="1"/>
  <c r="R5484" i="1"/>
  <c r="Q5484" i="1"/>
  <c r="M5484" i="1"/>
  <c r="L5484" i="1"/>
  <c r="V5483" i="1"/>
  <c r="Z5483" i="1" s="1"/>
  <c r="U5483" i="1"/>
  <c r="T5483" i="1"/>
  <c r="W5483" i="1" s="1"/>
  <c r="S5483" i="1"/>
  <c r="R5483" i="1"/>
  <c r="Q5483" i="1"/>
  <c r="M5483" i="1"/>
  <c r="L5483" i="1"/>
  <c r="V5482" i="1"/>
  <c r="Z5482" i="1" s="1"/>
  <c r="U5482" i="1"/>
  <c r="T5482" i="1"/>
  <c r="S5482" i="1"/>
  <c r="R5482" i="1"/>
  <c r="Q5482" i="1"/>
  <c r="M5482" i="1"/>
  <c r="L5482" i="1"/>
  <c r="V5481" i="1"/>
  <c r="Z5481" i="1" s="1"/>
  <c r="U5481" i="1"/>
  <c r="T5481" i="1"/>
  <c r="W5481" i="1" s="1"/>
  <c r="S5481" i="1"/>
  <c r="R5481" i="1"/>
  <c r="Q5481" i="1"/>
  <c r="M5481" i="1"/>
  <c r="L5481" i="1"/>
  <c r="V5480" i="1"/>
  <c r="Z5480" i="1" s="1"/>
  <c r="U5480" i="1"/>
  <c r="T5480" i="1"/>
  <c r="W5480" i="1" s="1"/>
  <c r="S5480" i="1"/>
  <c r="R5480" i="1"/>
  <c r="Q5480" i="1"/>
  <c r="M5480" i="1"/>
  <c r="L5480" i="1"/>
  <c r="V5479" i="1"/>
  <c r="U5479" i="1"/>
  <c r="T5479" i="1"/>
  <c r="S5479" i="1"/>
  <c r="R5479" i="1"/>
  <c r="Q5479" i="1"/>
  <c r="M5479" i="1"/>
  <c r="L5479" i="1"/>
  <c r="V5478" i="1"/>
  <c r="Z5478" i="1" s="1"/>
  <c r="U5478" i="1"/>
  <c r="T5478" i="1"/>
  <c r="W5478" i="1" s="1"/>
  <c r="S5478" i="1"/>
  <c r="R5478" i="1"/>
  <c r="Q5478" i="1"/>
  <c r="M5478" i="1"/>
  <c r="L5478" i="1"/>
  <c r="V5477" i="1"/>
  <c r="Z5477" i="1" s="1"/>
  <c r="U5477" i="1"/>
  <c r="T5477" i="1"/>
  <c r="W5477" i="1" s="1"/>
  <c r="S5477" i="1"/>
  <c r="R5477" i="1"/>
  <c r="Q5477" i="1"/>
  <c r="M5477" i="1"/>
  <c r="L5477" i="1"/>
  <c r="V5476" i="1"/>
  <c r="Z5476" i="1" s="1"/>
  <c r="U5476" i="1"/>
  <c r="T5476" i="1"/>
  <c r="W5476" i="1" s="1"/>
  <c r="S5476" i="1"/>
  <c r="R5476" i="1"/>
  <c r="Q5476" i="1"/>
  <c r="M5476" i="1"/>
  <c r="L5476" i="1"/>
  <c r="V5475" i="1"/>
  <c r="U5475" i="1"/>
  <c r="T5475" i="1"/>
  <c r="S5475" i="1"/>
  <c r="R5475" i="1"/>
  <c r="Q5475" i="1"/>
  <c r="M5475" i="1"/>
  <c r="L5475" i="1"/>
  <c r="V5474" i="1"/>
  <c r="Z5474" i="1" s="1"/>
  <c r="U5474" i="1"/>
  <c r="T5474" i="1"/>
  <c r="W5474" i="1" s="1"/>
  <c r="S5474" i="1"/>
  <c r="R5474" i="1"/>
  <c r="Q5474" i="1"/>
  <c r="M5474" i="1"/>
  <c r="L5474" i="1"/>
  <c r="V5473" i="1"/>
  <c r="Z5473" i="1" s="1"/>
  <c r="U5473" i="1"/>
  <c r="T5473" i="1"/>
  <c r="W5473" i="1" s="1"/>
  <c r="S5473" i="1"/>
  <c r="R5473" i="1"/>
  <c r="Q5473" i="1"/>
  <c r="M5473" i="1"/>
  <c r="L5473" i="1"/>
  <c r="V5472" i="1"/>
  <c r="U5472" i="1"/>
  <c r="T5472" i="1"/>
  <c r="S5472" i="1"/>
  <c r="R5472" i="1"/>
  <c r="Q5472" i="1"/>
  <c r="M5472" i="1"/>
  <c r="L5472" i="1"/>
  <c r="V5471" i="1"/>
  <c r="Z5471" i="1" s="1"/>
  <c r="U5471" i="1"/>
  <c r="T5471" i="1"/>
  <c r="W5471" i="1" s="1"/>
  <c r="S5471" i="1"/>
  <c r="R5471" i="1"/>
  <c r="Q5471" i="1"/>
  <c r="M5471" i="1"/>
  <c r="L5471" i="1"/>
  <c r="V5470" i="1"/>
  <c r="Z5470" i="1" s="1"/>
  <c r="U5470" i="1"/>
  <c r="T5470" i="1"/>
  <c r="W5470" i="1" s="1"/>
  <c r="S5470" i="1"/>
  <c r="R5470" i="1"/>
  <c r="Q5470" i="1"/>
  <c r="M5470" i="1"/>
  <c r="L5470" i="1"/>
  <c r="V5469" i="1"/>
  <c r="U5469" i="1"/>
  <c r="T5469" i="1"/>
  <c r="W5469" i="1" s="1"/>
  <c r="S5469" i="1"/>
  <c r="R5469" i="1"/>
  <c r="Q5469" i="1"/>
  <c r="M5469" i="1"/>
  <c r="L5469" i="1"/>
  <c r="V5468" i="1"/>
  <c r="U5468" i="1"/>
  <c r="T5468" i="1"/>
  <c r="S5468" i="1"/>
  <c r="R5468" i="1"/>
  <c r="Q5468" i="1"/>
  <c r="M5468" i="1"/>
  <c r="L5468" i="1"/>
  <c r="V5467" i="1"/>
  <c r="Z5467" i="1" s="1"/>
  <c r="U5467" i="1"/>
  <c r="T5467" i="1"/>
  <c r="W5467" i="1" s="1"/>
  <c r="S5467" i="1"/>
  <c r="R5467" i="1"/>
  <c r="Q5467" i="1"/>
  <c r="M5467" i="1"/>
  <c r="L5467" i="1"/>
  <c r="V5466" i="1"/>
  <c r="U5466" i="1"/>
  <c r="T5466" i="1"/>
  <c r="W5466" i="1" s="1"/>
  <c r="S5466" i="1"/>
  <c r="R5466" i="1"/>
  <c r="Q5466" i="1"/>
  <c r="M5466" i="1"/>
  <c r="L5466" i="1"/>
  <c r="V5465" i="1"/>
  <c r="Z5465" i="1" s="1"/>
  <c r="U5465" i="1"/>
  <c r="T5465" i="1"/>
  <c r="W5465" i="1" s="1"/>
  <c r="S5465" i="1"/>
  <c r="R5465" i="1"/>
  <c r="Q5465" i="1"/>
  <c r="M5465" i="1"/>
  <c r="L5465" i="1"/>
  <c r="V5464" i="1"/>
  <c r="Z5464" i="1" s="1"/>
  <c r="U5464" i="1"/>
  <c r="T5464" i="1"/>
  <c r="W5464" i="1" s="1"/>
  <c r="S5464" i="1"/>
  <c r="R5464" i="1"/>
  <c r="Q5464" i="1"/>
  <c r="M5464" i="1"/>
  <c r="L5464" i="1"/>
  <c r="V5463" i="1"/>
  <c r="Z5463" i="1" s="1"/>
  <c r="U5463" i="1"/>
  <c r="T5463" i="1"/>
  <c r="W5463" i="1" s="1"/>
  <c r="S5463" i="1"/>
  <c r="R5463" i="1"/>
  <c r="Q5463" i="1"/>
  <c r="M5463" i="1"/>
  <c r="L5463" i="1"/>
  <c r="V5462" i="1"/>
  <c r="U5462" i="1"/>
  <c r="T5462" i="1"/>
  <c r="S5462" i="1"/>
  <c r="R5462" i="1"/>
  <c r="Q5462" i="1"/>
  <c r="M5462" i="1"/>
  <c r="L5462" i="1"/>
  <c r="V5461" i="1"/>
  <c r="Z5461" i="1" s="1"/>
  <c r="U5461" i="1"/>
  <c r="T5461" i="1"/>
  <c r="W5461" i="1" s="1"/>
  <c r="S5461" i="1"/>
  <c r="R5461" i="1"/>
  <c r="Q5461" i="1"/>
  <c r="M5461" i="1"/>
  <c r="L5461" i="1"/>
  <c r="V5460" i="1"/>
  <c r="Z5460" i="1" s="1"/>
  <c r="U5460" i="1"/>
  <c r="T5460" i="1"/>
  <c r="W5460" i="1" s="1"/>
  <c r="S5460" i="1"/>
  <c r="R5460" i="1"/>
  <c r="Q5460" i="1"/>
  <c r="M5460" i="1"/>
  <c r="L5460" i="1"/>
  <c r="V5459" i="1"/>
  <c r="U5459" i="1"/>
  <c r="T5459" i="1"/>
  <c r="W5459" i="1" s="1"/>
  <c r="S5459" i="1"/>
  <c r="R5459" i="1"/>
  <c r="Q5459" i="1"/>
  <c r="M5459" i="1"/>
  <c r="L5459" i="1"/>
  <c r="V5458" i="1"/>
  <c r="Z5458" i="1" s="1"/>
  <c r="U5458" i="1"/>
  <c r="T5458" i="1"/>
  <c r="S5458" i="1"/>
  <c r="R5458" i="1"/>
  <c r="Q5458" i="1"/>
  <c r="M5458" i="1"/>
  <c r="L5458" i="1"/>
  <c r="V5457" i="1"/>
  <c r="Z5457" i="1" s="1"/>
  <c r="U5457" i="1"/>
  <c r="T5457" i="1"/>
  <c r="W5457" i="1" s="1"/>
  <c r="S5457" i="1"/>
  <c r="R5457" i="1"/>
  <c r="Q5457" i="1"/>
  <c r="M5457" i="1"/>
  <c r="L5457" i="1"/>
  <c r="V5456" i="1"/>
  <c r="Z5456" i="1" s="1"/>
  <c r="U5456" i="1"/>
  <c r="T5456" i="1"/>
  <c r="W5456" i="1" s="1"/>
  <c r="S5456" i="1"/>
  <c r="R5456" i="1"/>
  <c r="Q5456" i="1"/>
  <c r="M5456" i="1"/>
  <c r="L5456" i="1"/>
  <c r="V5455" i="1"/>
  <c r="U5455" i="1"/>
  <c r="T5455" i="1"/>
  <c r="S5455" i="1"/>
  <c r="R5455" i="1"/>
  <c r="Q5455" i="1"/>
  <c r="M5455" i="1"/>
  <c r="L5455" i="1"/>
  <c r="V5454" i="1"/>
  <c r="Z5454" i="1" s="1"/>
  <c r="U5454" i="1"/>
  <c r="T5454" i="1"/>
  <c r="W5454" i="1" s="1"/>
  <c r="S5454" i="1"/>
  <c r="R5454" i="1"/>
  <c r="Q5454" i="1"/>
  <c r="M5454" i="1"/>
  <c r="L5454" i="1"/>
  <c r="V5453" i="1"/>
  <c r="U5453" i="1"/>
  <c r="T5453" i="1"/>
  <c r="W5453" i="1" s="1"/>
  <c r="S5453" i="1"/>
  <c r="R5453" i="1"/>
  <c r="Q5453" i="1"/>
  <c r="M5453" i="1"/>
  <c r="L5453" i="1"/>
  <c r="V5452" i="1"/>
  <c r="U5452" i="1"/>
  <c r="T5452" i="1"/>
  <c r="S5452" i="1"/>
  <c r="R5452" i="1"/>
  <c r="Q5452" i="1"/>
  <c r="M5452" i="1"/>
  <c r="L5452" i="1"/>
  <c r="V5451" i="1"/>
  <c r="U5451" i="1"/>
  <c r="T5451" i="1"/>
  <c r="S5451" i="1"/>
  <c r="R5451" i="1"/>
  <c r="Q5451" i="1"/>
  <c r="M5451" i="1"/>
  <c r="L5451" i="1"/>
  <c r="V5450" i="1"/>
  <c r="Z5450" i="1" s="1"/>
  <c r="U5450" i="1"/>
  <c r="T5450" i="1"/>
  <c r="W5450" i="1" s="1"/>
  <c r="S5450" i="1"/>
  <c r="R5450" i="1"/>
  <c r="Q5450" i="1"/>
  <c r="M5450" i="1"/>
  <c r="L5450" i="1"/>
  <c r="V5449" i="1"/>
  <c r="Z5449" i="1" s="1"/>
  <c r="U5449" i="1"/>
  <c r="T5449" i="1"/>
  <c r="W5449" i="1" s="1"/>
  <c r="S5449" i="1"/>
  <c r="R5449" i="1"/>
  <c r="Q5449" i="1"/>
  <c r="M5449" i="1"/>
  <c r="L5449" i="1"/>
  <c r="V5448" i="1"/>
  <c r="Z5448" i="1" s="1"/>
  <c r="U5448" i="1"/>
  <c r="T5448" i="1"/>
  <c r="S5448" i="1"/>
  <c r="R5448" i="1"/>
  <c r="Q5448" i="1"/>
  <c r="M5448" i="1"/>
  <c r="L5448" i="1"/>
  <c r="V5447" i="1"/>
  <c r="Z5447" i="1" s="1"/>
  <c r="U5447" i="1"/>
  <c r="T5447" i="1"/>
  <c r="W5447" i="1" s="1"/>
  <c r="S5447" i="1"/>
  <c r="R5447" i="1"/>
  <c r="Q5447" i="1"/>
  <c r="M5447" i="1"/>
  <c r="L5447" i="1"/>
  <c r="V5446" i="1"/>
  <c r="Z5446" i="1" s="1"/>
  <c r="U5446" i="1"/>
  <c r="T5446" i="1"/>
  <c r="W5446" i="1" s="1"/>
  <c r="S5446" i="1"/>
  <c r="R5446" i="1"/>
  <c r="Q5446" i="1"/>
  <c r="M5446" i="1"/>
  <c r="L5446" i="1"/>
  <c r="V5445" i="1"/>
  <c r="U5445" i="1"/>
  <c r="T5445" i="1"/>
  <c r="W5445" i="1" s="1"/>
  <c r="S5445" i="1"/>
  <c r="R5445" i="1"/>
  <c r="Q5445" i="1"/>
  <c r="M5445" i="1"/>
  <c r="L5445" i="1"/>
  <c r="V5444" i="1"/>
  <c r="Z5444" i="1" s="1"/>
  <c r="U5444" i="1"/>
  <c r="T5444" i="1"/>
  <c r="S5444" i="1"/>
  <c r="R5444" i="1"/>
  <c r="Q5444" i="1"/>
  <c r="M5444" i="1"/>
  <c r="L5444" i="1"/>
  <c r="V5443" i="1"/>
  <c r="Z5443" i="1" s="1"/>
  <c r="U5443" i="1"/>
  <c r="T5443" i="1"/>
  <c r="W5443" i="1" s="1"/>
  <c r="S5443" i="1"/>
  <c r="R5443" i="1"/>
  <c r="Q5443" i="1"/>
  <c r="M5443" i="1"/>
  <c r="L5443" i="1"/>
  <c r="V5442" i="1"/>
  <c r="U5442" i="1"/>
  <c r="T5442" i="1"/>
  <c r="S5442" i="1"/>
  <c r="R5442" i="1"/>
  <c r="Q5442" i="1"/>
  <c r="M5442" i="1"/>
  <c r="L5442" i="1"/>
  <c r="V5441" i="1"/>
  <c r="Z5441" i="1" s="1"/>
  <c r="U5441" i="1"/>
  <c r="T5441" i="1"/>
  <c r="W5441" i="1" s="1"/>
  <c r="S5441" i="1"/>
  <c r="R5441" i="1"/>
  <c r="Q5441" i="1"/>
  <c r="M5441" i="1"/>
  <c r="L5441" i="1"/>
  <c r="V5440" i="1"/>
  <c r="Z5440" i="1" s="1"/>
  <c r="U5440" i="1"/>
  <c r="T5440" i="1"/>
  <c r="W5440" i="1" s="1"/>
  <c r="S5440" i="1"/>
  <c r="R5440" i="1"/>
  <c r="Q5440" i="1"/>
  <c r="M5440" i="1"/>
  <c r="L5440" i="1"/>
  <c r="V5439" i="1"/>
  <c r="Z5439" i="1" s="1"/>
  <c r="U5439" i="1"/>
  <c r="T5439" i="1"/>
  <c r="W5439" i="1" s="1"/>
  <c r="S5439" i="1"/>
  <c r="R5439" i="1"/>
  <c r="Q5439" i="1"/>
  <c r="M5439" i="1"/>
  <c r="L5439" i="1"/>
  <c r="V5438" i="1"/>
  <c r="Z5438" i="1" s="1"/>
  <c r="U5438" i="1"/>
  <c r="T5438" i="1"/>
  <c r="S5438" i="1"/>
  <c r="R5438" i="1"/>
  <c r="Q5438" i="1"/>
  <c r="M5438" i="1"/>
  <c r="L5438" i="1"/>
  <c r="V5437" i="1"/>
  <c r="Z5437" i="1" s="1"/>
  <c r="U5437" i="1"/>
  <c r="T5437" i="1"/>
  <c r="W5437" i="1" s="1"/>
  <c r="S5437" i="1"/>
  <c r="R5437" i="1"/>
  <c r="Q5437" i="1"/>
  <c r="M5437" i="1"/>
  <c r="L5437" i="1"/>
  <c r="V5436" i="1"/>
  <c r="Z5436" i="1" s="1"/>
  <c r="U5436" i="1"/>
  <c r="T5436" i="1"/>
  <c r="W5436" i="1" s="1"/>
  <c r="S5436" i="1"/>
  <c r="R5436" i="1"/>
  <c r="Q5436" i="1"/>
  <c r="M5436" i="1"/>
  <c r="L5436" i="1"/>
  <c r="V5435" i="1"/>
  <c r="U5435" i="1"/>
  <c r="T5435" i="1"/>
  <c r="S5435" i="1"/>
  <c r="R5435" i="1"/>
  <c r="Q5435" i="1"/>
  <c r="M5435" i="1"/>
  <c r="L5435" i="1"/>
  <c r="V5434" i="1"/>
  <c r="Z5434" i="1" s="1"/>
  <c r="U5434" i="1"/>
  <c r="T5434" i="1"/>
  <c r="S5434" i="1"/>
  <c r="R5434" i="1"/>
  <c r="Q5434" i="1"/>
  <c r="M5434" i="1"/>
  <c r="L5434" i="1"/>
  <c r="V5433" i="1"/>
  <c r="Z5433" i="1" s="1"/>
  <c r="U5433" i="1"/>
  <c r="T5433" i="1"/>
  <c r="W5433" i="1" s="1"/>
  <c r="S5433" i="1"/>
  <c r="R5433" i="1"/>
  <c r="Q5433" i="1"/>
  <c r="M5433" i="1"/>
  <c r="L5433" i="1"/>
  <c r="V5432" i="1"/>
  <c r="U5432" i="1"/>
  <c r="T5432" i="1"/>
  <c r="S5432" i="1"/>
  <c r="R5432" i="1"/>
  <c r="Q5432" i="1"/>
  <c r="M5432" i="1"/>
  <c r="L5432" i="1"/>
  <c r="V5431" i="1"/>
  <c r="Z5431" i="1" s="1"/>
  <c r="U5431" i="1"/>
  <c r="T5431" i="1"/>
  <c r="S5431" i="1"/>
  <c r="R5431" i="1"/>
  <c r="Q5431" i="1"/>
  <c r="M5431" i="1"/>
  <c r="L5431" i="1"/>
  <c r="V5430" i="1"/>
  <c r="Z5430" i="1" s="1"/>
  <c r="U5430" i="1"/>
  <c r="T5430" i="1"/>
  <c r="W5430" i="1" s="1"/>
  <c r="S5430" i="1"/>
  <c r="R5430" i="1"/>
  <c r="Q5430" i="1"/>
  <c r="M5430" i="1"/>
  <c r="L5430" i="1"/>
  <c r="V5429" i="1"/>
  <c r="Z5429" i="1" s="1"/>
  <c r="U5429" i="1"/>
  <c r="T5429" i="1"/>
  <c r="W5429" i="1" s="1"/>
  <c r="S5429" i="1"/>
  <c r="R5429" i="1"/>
  <c r="Q5429" i="1"/>
  <c r="M5429" i="1"/>
  <c r="L5429" i="1"/>
  <c r="V5428" i="1"/>
  <c r="U5428" i="1"/>
  <c r="T5428" i="1"/>
  <c r="S5428" i="1"/>
  <c r="R5428" i="1"/>
  <c r="Q5428" i="1"/>
  <c r="M5428" i="1"/>
  <c r="L5428" i="1"/>
  <c r="V5427" i="1"/>
  <c r="Z5427" i="1" s="1"/>
  <c r="U5427" i="1"/>
  <c r="T5427" i="1"/>
  <c r="S5427" i="1"/>
  <c r="R5427" i="1"/>
  <c r="Q5427" i="1"/>
  <c r="M5427" i="1"/>
  <c r="L5427" i="1"/>
  <c r="V5426" i="1"/>
  <c r="Z5426" i="1" s="1"/>
  <c r="U5426" i="1"/>
  <c r="T5426" i="1"/>
  <c r="W5426" i="1" s="1"/>
  <c r="S5426" i="1"/>
  <c r="R5426" i="1"/>
  <c r="Q5426" i="1"/>
  <c r="M5426" i="1"/>
  <c r="L5426" i="1"/>
  <c r="V5425" i="1"/>
  <c r="U5425" i="1"/>
  <c r="T5425" i="1"/>
  <c r="W5425" i="1" s="1"/>
  <c r="S5425" i="1"/>
  <c r="R5425" i="1"/>
  <c r="Q5425" i="1"/>
  <c r="M5425" i="1"/>
  <c r="L5425" i="1"/>
  <c r="V5424" i="1"/>
  <c r="Z5424" i="1" s="1"/>
  <c r="U5424" i="1"/>
  <c r="T5424" i="1"/>
  <c r="W5424" i="1" s="1"/>
  <c r="S5424" i="1"/>
  <c r="R5424" i="1"/>
  <c r="Q5424" i="1"/>
  <c r="M5424" i="1"/>
  <c r="L5424" i="1"/>
  <c r="V5423" i="1"/>
  <c r="Z5423" i="1" s="1"/>
  <c r="U5423" i="1"/>
  <c r="T5423" i="1"/>
  <c r="W5423" i="1" s="1"/>
  <c r="S5423" i="1"/>
  <c r="R5423" i="1"/>
  <c r="Q5423" i="1"/>
  <c r="M5423" i="1"/>
  <c r="L5423" i="1"/>
  <c r="V5422" i="1"/>
  <c r="Z5422" i="1" s="1"/>
  <c r="U5422" i="1"/>
  <c r="T5422" i="1"/>
  <c r="S5422" i="1"/>
  <c r="R5422" i="1"/>
  <c r="Q5422" i="1"/>
  <c r="M5422" i="1"/>
  <c r="L5422" i="1"/>
  <c r="V5421" i="1"/>
  <c r="U5421" i="1"/>
  <c r="T5421" i="1"/>
  <c r="W5421" i="1" s="1"/>
  <c r="S5421" i="1"/>
  <c r="R5421" i="1"/>
  <c r="Q5421" i="1"/>
  <c r="M5421" i="1"/>
  <c r="L5421" i="1"/>
  <c r="V5420" i="1"/>
  <c r="Z5420" i="1" s="1"/>
  <c r="U5420" i="1"/>
  <c r="T5420" i="1"/>
  <c r="W5420" i="1" s="1"/>
  <c r="S5420" i="1"/>
  <c r="R5420" i="1"/>
  <c r="Q5420" i="1"/>
  <c r="M5420" i="1"/>
  <c r="L5420" i="1"/>
  <c r="V5419" i="1"/>
  <c r="Z5419" i="1" s="1"/>
  <c r="U5419" i="1"/>
  <c r="T5419" i="1"/>
  <c r="W5419" i="1" s="1"/>
  <c r="S5419" i="1"/>
  <c r="R5419" i="1"/>
  <c r="Q5419" i="1"/>
  <c r="M5419" i="1"/>
  <c r="L5419" i="1"/>
  <c r="V5418" i="1"/>
  <c r="U5418" i="1"/>
  <c r="T5418" i="1"/>
  <c r="S5418" i="1"/>
  <c r="R5418" i="1"/>
  <c r="Q5418" i="1"/>
  <c r="M5418" i="1"/>
  <c r="L5418" i="1"/>
  <c r="V5417" i="1"/>
  <c r="Z5417" i="1" s="1"/>
  <c r="U5417" i="1"/>
  <c r="T5417" i="1"/>
  <c r="W5417" i="1" s="1"/>
  <c r="S5417" i="1"/>
  <c r="R5417" i="1"/>
  <c r="Q5417" i="1"/>
  <c r="M5417" i="1"/>
  <c r="L5417" i="1"/>
  <c r="V5416" i="1"/>
  <c r="Z5416" i="1" s="1"/>
  <c r="U5416" i="1"/>
  <c r="T5416" i="1"/>
  <c r="W5416" i="1" s="1"/>
  <c r="S5416" i="1"/>
  <c r="R5416" i="1"/>
  <c r="Q5416" i="1"/>
  <c r="M5416" i="1"/>
  <c r="L5416" i="1"/>
  <c r="V5415" i="1"/>
  <c r="U5415" i="1"/>
  <c r="T5415" i="1"/>
  <c r="W5415" i="1" s="1"/>
  <c r="S5415" i="1"/>
  <c r="R5415" i="1"/>
  <c r="Q5415" i="1"/>
  <c r="M5415" i="1"/>
  <c r="L5415" i="1"/>
  <c r="V5414" i="1"/>
  <c r="Z5414" i="1" s="1"/>
  <c r="U5414" i="1"/>
  <c r="T5414" i="1"/>
  <c r="S5414" i="1"/>
  <c r="R5414" i="1"/>
  <c r="Q5414" i="1"/>
  <c r="M5414" i="1"/>
  <c r="L5414" i="1"/>
  <c r="V5413" i="1"/>
  <c r="Z5413" i="1" s="1"/>
  <c r="U5413" i="1"/>
  <c r="T5413" i="1"/>
  <c r="W5413" i="1" s="1"/>
  <c r="S5413" i="1"/>
  <c r="R5413" i="1"/>
  <c r="Q5413" i="1"/>
  <c r="M5413" i="1"/>
  <c r="L5413" i="1"/>
  <c r="V5412" i="1"/>
  <c r="Z5412" i="1" s="1"/>
  <c r="U5412" i="1"/>
  <c r="T5412" i="1"/>
  <c r="W5412" i="1" s="1"/>
  <c r="S5412" i="1"/>
  <c r="R5412" i="1"/>
  <c r="Q5412" i="1"/>
  <c r="M5412" i="1"/>
  <c r="L5412" i="1"/>
  <c r="V5411" i="1"/>
  <c r="U5411" i="1"/>
  <c r="T5411" i="1"/>
  <c r="W5411" i="1" s="1"/>
  <c r="S5411" i="1"/>
  <c r="R5411" i="1"/>
  <c r="Q5411" i="1"/>
  <c r="M5411" i="1"/>
  <c r="L5411" i="1"/>
  <c r="V5410" i="1"/>
  <c r="Z5410" i="1" s="1"/>
  <c r="U5410" i="1"/>
  <c r="T5410" i="1"/>
  <c r="W5410" i="1" s="1"/>
  <c r="S5410" i="1"/>
  <c r="R5410" i="1"/>
  <c r="Q5410" i="1"/>
  <c r="M5410" i="1"/>
  <c r="L5410" i="1"/>
  <c r="V5409" i="1"/>
  <c r="Z5409" i="1" s="1"/>
  <c r="U5409" i="1"/>
  <c r="T5409" i="1"/>
  <c r="W5409" i="1" s="1"/>
  <c r="S5409" i="1"/>
  <c r="R5409" i="1"/>
  <c r="Q5409" i="1"/>
  <c r="M5409" i="1"/>
  <c r="L5409" i="1"/>
  <c r="V5408" i="1"/>
  <c r="U5408" i="1"/>
  <c r="T5408" i="1"/>
  <c r="S5408" i="1"/>
  <c r="R5408" i="1"/>
  <c r="Q5408" i="1"/>
  <c r="M5408" i="1"/>
  <c r="L5408" i="1"/>
  <c r="V5407" i="1"/>
  <c r="U5407" i="1"/>
  <c r="T5407" i="1"/>
  <c r="S5407" i="1"/>
  <c r="R5407" i="1"/>
  <c r="Q5407" i="1"/>
  <c r="M5407" i="1"/>
  <c r="L5407" i="1"/>
  <c r="V5406" i="1"/>
  <c r="Z5406" i="1" s="1"/>
  <c r="U5406" i="1"/>
  <c r="T5406" i="1"/>
  <c r="W5406" i="1" s="1"/>
  <c r="S5406" i="1"/>
  <c r="R5406" i="1"/>
  <c r="Q5406" i="1"/>
  <c r="M5406" i="1"/>
  <c r="L5406" i="1"/>
  <c r="V5405" i="1"/>
  <c r="Z5405" i="1" s="1"/>
  <c r="U5405" i="1"/>
  <c r="T5405" i="1"/>
  <c r="W5405" i="1" s="1"/>
  <c r="S5405" i="1"/>
  <c r="R5405" i="1"/>
  <c r="Q5405" i="1"/>
  <c r="M5405" i="1"/>
  <c r="L5405" i="1"/>
  <c r="V5404" i="1"/>
  <c r="U5404" i="1"/>
  <c r="T5404" i="1"/>
  <c r="S5404" i="1"/>
  <c r="R5404" i="1"/>
  <c r="Q5404" i="1"/>
  <c r="M5404" i="1"/>
  <c r="L5404" i="1"/>
  <c r="V5403" i="1"/>
  <c r="U5403" i="1"/>
  <c r="T5403" i="1"/>
  <c r="S5403" i="1"/>
  <c r="R5403" i="1"/>
  <c r="Q5403" i="1"/>
  <c r="M5403" i="1"/>
  <c r="L5403" i="1"/>
  <c r="V5402" i="1"/>
  <c r="Z5402" i="1" s="1"/>
  <c r="U5402" i="1"/>
  <c r="T5402" i="1"/>
  <c r="W5402" i="1" s="1"/>
  <c r="S5402" i="1"/>
  <c r="R5402" i="1"/>
  <c r="Q5402" i="1"/>
  <c r="M5402" i="1"/>
  <c r="L5402" i="1"/>
  <c r="V5401" i="1"/>
  <c r="Z5401" i="1" s="1"/>
  <c r="U5401" i="1"/>
  <c r="T5401" i="1"/>
  <c r="W5401" i="1" s="1"/>
  <c r="S5401" i="1"/>
  <c r="R5401" i="1"/>
  <c r="Q5401" i="1"/>
  <c r="M5401" i="1"/>
  <c r="L5401" i="1"/>
  <c r="V5400" i="1"/>
  <c r="U5400" i="1"/>
  <c r="T5400" i="1"/>
  <c r="S5400" i="1"/>
  <c r="R5400" i="1"/>
  <c r="Q5400" i="1"/>
  <c r="M5400" i="1"/>
  <c r="L5400" i="1"/>
  <c r="V5399" i="1"/>
  <c r="Z5399" i="1" s="1"/>
  <c r="U5399" i="1"/>
  <c r="T5399" i="1"/>
  <c r="S5399" i="1"/>
  <c r="R5399" i="1"/>
  <c r="Q5399" i="1"/>
  <c r="M5399" i="1"/>
  <c r="L5399" i="1"/>
  <c r="V5398" i="1"/>
  <c r="Z5398" i="1" s="1"/>
  <c r="U5398" i="1"/>
  <c r="T5398" i="1"/>
  <c r="W5398" i="1" s="1"/>
  <c r="S5398" i="1"/>
  <c r="R5398" i="1"/>
  <c r="Q5398" i="1"/>
  <c r="M5398" i="1"/>
  <c r="L5398" i="1"/>
  <c r="V5397" i="1"/>
  <c r="U5397" i="1"/>
  <c r="T5397" i="1"/>
  <c r="W5397" i="1" s="1"/>
  <c r="S5397" i="1"/>
  <c r="R5397" i="1"/>
  <c r="Q5397" i="1"/>
  <c r="M5397" i="1"/>
  <c r="L5397" i="1"/>
  <c r="V5396" i="1"/>
  <c r="U5396" i="1"/>
  <c r="T5396" i="1"/>
  <c r="S5396" i="1"/>
  <c r="R5396" i="1"/>
  <c r="Q5396" i="1"/>
  <c r="M5396" i="1"/>
  <c r="L5396" i="1"/>
  <c r="V5395" i="1"/>
  <c r="Z5395" i="1" s="1"/>
  <c r="U5395" i="1"/>
  <c r="T5395" i="1"/>
  <c r="W5395" i="1" s="1"/>
  <c r="S5395" i="1"/>
  <c r="R5395" i="1"/>
  <c r="Q5395" i="1"/>
  <c r="M5395" i="1"/>
  <c r="L5395" i="1"/>
  <c r="V5394" i="1"/>
  <c r="U5394" i="1"/>
  <c r="T5394" i="1"/>
  <c r="W5394" i="1" s="1"/>
  <c r="S5394" i="1"/>
  <c r="R5394" i="1"/>
  <c r="Q5394" i="1"/>
  <c r="M5394" i="1"/>
  <c r="L5394" i="1"/>
  <c r="V5393" i="1"/>
  <c r="U5393" i="1"/>
  <c r="T5393" i="1"/>
  <c r="W5393" i="1" s="1"/>
  <c r="S5393" i="1"/>
  <c r="R5393" i="1"/>
  <c r="Q5393" i="1"/>
  <c r="M5393" i="1"/>
  <c r="L5393" i="1"/>
  <c r="V5392" i="1"/>
  <c r="Z5392" i="1" s="1"/>
  <c r="U5392" i="1"/>
  <c r="T5392" i="1"/>
  <c r="S5392" i="1"/>
  <c r="R5392" i="1"/>
  <c r="Q5392" i="1"/>
  <c r="M5392" i="1"/>
  <c r="L5392" i="1"/>
  <c r="V5391" i="1"/>
  <c r="Z5391" i="1" s="1"/>
  <c r="U5391" i="1"/>
  <c r="T5391" i="1"/>
  <c r="W5391" i="1" s="1"/>
  <c r="S5391" i="1"/>
  <c r="R5391" i="1"/>
  <c r="Q5391" i="1"/>
  <c r="M5391" i="1"/>
  <c r="L5391" i="1"/>
  <c r="V5390" i="1"/>
  <c r="Z5390" i="1" s="1"/>
  <c r="U5390" i="1"/>
  <c r="T5390" i="1"/>
  <c r="S5390" i="1"/>
  <c r="R5390" i="1"/>
  <c r="Q5390" i="1"/>
  <c r="M5390" i="1"/>
  <c r="L5390" i="1"/>
  <c r="V5389" i="1"/>
  <c r="U5389" i="1"/>
  <c r="T5389" i="1"/>
  <c r="W5389" i="1" s="1"/>
  <c r="S5389" i="1"/>
  <c r="R5389" i="1"/>
  <c r="Q5389" i="1"/>
  <c r="M5389" i="1"/>
  <c r="L5389" i="1"/>
  <c r="V5388" i="1"/>
  <c r="Z5388" i="1" s="1"/>
  <c r="U5388" i="1"/>
  <c r="T5388" i="1"/>
  <c r="W5388" i="1" s="1"/>
  <c r="S5388" i="1"/>
  <c r="R5388" i="1"/>
  <c r="Q5388" i="1"/>
  <c r="M5388" i="1"/>
  <c r="L5388" i="1"/>
  <c r="V5387" i="1"/>
  <c r="U5387" i="1"/>
  <c r="T5387" i="1"/>
  <c r="W5387" i="1" s="1"/>
  <c r="S5387" i="1"/>
  <c r="R5387" i="1"/>
  <c r="Q5387" i="1"/>
  <c r="M5387" i="1"/>
  <c r="L5387" i="1"/>
  <c r="V5386" i="1"/>
  <c r="U5386" i="1"/>
  <c r="T5386" i="1"/>
  <c r="S5386" i="1"/>
  <c r="R5386" i="1"/>
  <c r="Q5386" i="1"/>
  <c r="M5386" i="1"/>
  <c r="L5386" i="1"/>
  <c r="V5385" i="1"/>
  <c r="Z5385" i="1" s="1"/>
  <c r="U5385" i="1"/>
  <c r="T5385" i="1"/>
  <c r="W5385" i="1" s="1"/>
  <c r="S5385" i="1"/>
  <c r="R5385" i="1"/>
  <c r="Q5385" i="1"/>
  <c r="M5385" i="1"/>
  <c r="L5385" i="1"/>
  <c r="V5384" i="1"/>
  <c r="Z5384" i="1" s="1"/>
  <c r="U5384" i="1"/>
  <c r="T5384" i="1"/>
  <c r="W5384" i="1" s="1"/>
  <c r="S5384" i="1"/>
  <c r="R5384" i="1"/>
  <c r="Q5384" i="1"/>
  <c r="M5384" i="1"/>
  <c r="L5384" i="1"/>
  <c r="V5383" i="1"/>
  <c r="Z5383" i="1" s="1"/>
  <c r="U5383" i="1"/>
  <c r="T5383" i="1"/>
  <c r="S5383" i="1"/>
  <c r="R5383" i="1"/>
  <c r="Q5383" i="1"/>
  <c r="M5383" i="1"/>
  <c r="L5383" i="1"/>
  <c r="V5382" i="1"/>
  <c r="Z5382" i="1" s="1"/>
  <c r="U5382" i="1"/>
  <c r="T5382" i="1"/>
  <c r="S5382" i="1"/>
  <c r="R5382" i="1"/>
  <c r="Q5382" i="1"/>
  <c r="M5382" i="1"/>
  <c r="L5382" i="1"/>
  <c r="V5381" i="1"/>
  <c r="Z5381" i="1" s="1"/>
  <c r="U5381" i="1"/>
  <c r="T5381" i="1"/>
  <c r="W5381" i="1" s="1"/>
  <c r="S5381" i="1"/>
  <c r="R5381" i="1"/>
  <c r="Q5381" i="1"/>
  <c r="M5381" i="1"/>
  <c r="L5381" i="1"/>
  <c r="V5380" i="1"/>
  <c r="Z5380" i="1" s="1"/>
  <c r="U5380" i="1"/>
  <c r="T5380" i="1"/>
  <c r="W5380" i="1" s="1"/>
  <c r="S5380" i="1"/>
  <c r="R5380" i="1"/>
  <c r="Q5380" i="1"/>
  <c r="M5380" i="1"/>
  <c r="L5380" i="1"/>
  <c r="V5379" i="1"/>
  <c r="U5379" i="1"/>
  <c r="T5379" i="1"/>
  <c r="W5379" i="1" s="1"/>
  <c r="S5379" i="1"/>
  <c r="R5379" i="1"/>
  <c r="Q5379" i="1"/>
  <c r="M5379" i="1"/>
  <c r="L5379" i="1"/>
  <c r="V5378" i="1"/>
  <c r="U5378" i="1"/>
  <c r="T5378" i="1"/>
  <c r="S5378" i="1"/>
  <c r="R5378" i="1"/>
  <c r="Q5378" i="1"/>
  <c r="M5378" i="1"/>
  <c r="L5378" i="1"/>
  <c r="V5377" i="1"/>
  <c r="Z5377" i="1" s="1"/>
  <c r="U5377" i="1"/>
  <c r="T5377" i="1"/>
  <c r="W5377" i="1" s="1"/>
  <c r="S5377" i="1"/>
  <c r="R5377" i="1"/>
  <c r="Q5377" i="1"/>
  <c r="M5377" i="1"/>
  <c r="L5377" i="1"/>
  <c r="V5376" i="1"/>
  <c r="Z5376" i="1" s="1"/>
  <c r="U5376" i="1"/>
  <c r="T5376" i="1"/>
  <c r="W5376" i="1" s="1"/>
  <c r="S5376" i="1"/>
  <c r="R5376" i="1"/>
  <c r="Q5376" i="1"/>
  <c r="M5376" i="1"/>
  <c r="L5376" i="1"/>
  <c r="V5375" i="1"/>
  <c r="U5375" i="1"/>
  <c r="T5375" i="1"/>
  <c r="S5375" i="1"/>
  <c r="R5375" i="1"/>
  <c r="Q5375" i="1"/>
  <c r="M5375" i="1"/>
  <c r="L5375" i="1"/>
  <c r="V5374" i="1"/>
  <c r="Z5374" i="1" s="1"/>
  <c r="U5374" i="1"/>
  <c r="T5374" i="1"/>
  <c r="W5374" i="1" s="1"/>
  <c r="S5374" i="1"/>
  <c r="R5374" i="1"/>
  <c r="Q5374" i="1"/>
  <c r="M5374" i="1"/>
  <c r="L5374" i="1"/>
  <c r="V5373" i="1"/>
  <c r="Z5373" i="1" s="1"/>
  <c r="U5373" i="1"/>
  <c r="T5373" i="1"/>
  <c r="W5373" i="1" s="1"/>
  <c r="S5373" i="1"/>
  <c r="R5373" i="1"/>
  <c r="Q5373" i="1"/>
  <c r="M5373" i="1"/>
  <c r="L5373" i="1"/>
  <c r="V5372" i="1"/>
  <c r="Z5372" i="1" s="1"/>
  <c r="U5372" i="1"/>
  <c r="T5372" i="1"/>
  <c r="W5372" i="1" s="1"/>
  <c r="S5372" i="1"/>
  <c r="R5372" i="1"/>
  <c r="Q5372" i="1"/>
  <c r="M5372" i="1"/>
  <c r="L5372" i="1"/>
  <c r="V5371" i="1"/>
  <c r="U5371" i="1"/>
  <c r="T5371" i="1"/>
  <c r="S5371" i="1"/>
  <c r="R5371" i="1"/>
  <c r="Q5371" i="1"/>
  <c r="M5371" i="1"/>
  <c r="L5371" i="1"/>
  <c r="V5370" i="1"/>
  <c r="Z5370" i="1" s="1"/>
  <c r="U5370" i="1"/>
  <c r="T5370" i="1"/>
  <c r="S5370" i="1"/>
  <c r="R5370" i="1"/>
  <c r="Q5370" i="1"/>
  <c r="M5370" i="1"/>
  <c r="L5370" i="1"/>
  <c r="V5369" i="1"/>
  <c r="Z5369" i="1" s="1"/>
  <c r="U5369" i="1"/>
  <c r="T5369" i="1"/>
  <c r="W5369" i="1" s="1"/>
  <c r="S5369" i="1"/>
  <c r="R5369" i="1"/>
  <c r="Q5369" i="1"/>
  <c r="M5369" i="1"/>
  <c r="L5369" i="1"/>
  <c r="V5368" i="1"/>
  <c r="U5368" i="1"/>
  <c r="T5368" i="1"/>
  <c r="W5368" i="1" s="1"/>
  <c r="S5368" i="1"/>
  <c r="R5368" i="1"/>
  <c r="Q5368" i="1"/>
  <c r="M5368" i="1"/>
  <c r="L5368" i="1"/>
  <c r="V5367" i="1"/>
  <c r="Z5367" i="1" s="1"/>
  <c r="U5367" i="1"/>
  <c r="T5367" i="1"/>
  <c r="S5367" i="1"/>
  <c r="R5367" i="1"/>
  <c r="Q5367" i="1"/>
  <c r="M5367" i="1"/>
  <c r="L5367" i="1"/>
  <c r="V5366" i="1"/>
  <c r="Z5366" i="1" s="1"/>
  <c r="U5366" i="1"/>
  <c r="T5366" i="1"/>
  <c r="W5366" i="1" s="1"/>
  <c r="S5366" i="1"/>
  <c r="R5366" i="1"/>
  <c r="Q5366" i="1"/>
  <c r="M5366" i="1"/>
  <c r="L5366" i="1"/>
  <c r="V5365" i="1"/>
  <c r="U5365" i="1"/>
  <c r="T5365" i="1"/>
  <c r="W5365" i="1" s="1"/>
  <c r="S5365" i="1"/>
  <c r="R5365" i="1"/>
  <c r="Q5365" i="1"/>
  <c r="M5365" i="1"/>
  <c r="L5365" i="1"/>
  <c r="V5364" i="1"/>
  <c r="U5364" i="1"/>
  <c r="T5364" i="1"/>
  <c r="W5364" i="1" s="1"/>
  <c r="S5364" i="1"/>
  <c r="R5364" i="1"/>
  <c r="Q5364" i="1"/>
  <c r="M5364" i="1"/>
  <c r="L5364" i="1"/>
  <c r="V5363" i="1"/>
  <c r="U5363" i="1"/>
  <c r="T5363" i="1"/>
  <c r="S5363" i="1"/>
  <c r="R5363" i="1"/>
  <c r="Q5363" i="1"/>
  <c r="M5363" i="1"/>
  <c r="L5363" i="1"/>
  <c r="V5362" i="1"/>
  <c r="Z5362" i="1" s="1"/>
  <c r="U5362" i="1"/>
  <c r="T5362" i="1"/>
  <c r="W5362" i="1" s="1"/>
  <c r="S5362" i="1"/>
  <c r="R5362" i="1"/>
  <c r="Q5362" i="1"/>
  <c r="M5362" i="1"/>
  <c r="L5362" i="1"/>
  <c r="V5361" i="1"/>
  <c r="Z5361" i="1" s="1"/>
  <c r="U5361" i="1"/>
  <c r="T5361" i="1"/>
  <c r="W5361" i="1" s="1"/>
  <c r="S5361" i="1"/>
  <c r="R5361" i="1"/>
  <c r="Q5361" i="1"/>
  <c r="M5361" i="1"/>
  <c r="L5361" i="1"/>
  <c r="V5360" i="1"/>
  <c r="U5360" i="1"/>
  <c r="T5360" i="1"/>
  <c r="S5360" i="1"/>
  <c r="R5360" i="1"/>
  <c r="Q5360" i="1"/>
  <c r="M5360" i="1"/>
  <c r="L5360" i="1"/>
  <c r="V5359" i="1"/>
  <c r="Z5359" i="1" s="1"/>
  <c r="U5359" i="1"/>
  <c r="T5359" i="1"/>
  <c r="W5359" i="1" s="1"/>
  <c r="S5359" i="1"/>
  <c r="R5359" i="1"/>
  <c r="Q5359" i="1"/>
  <c r="M5359" i="1"/>
  <c r="L5359" i="1"/>
  <c r="V5358" i="1"/>
  <c r="U5358" i="1"/>
  <c r="T5358" i="1"/>
  <c r="W5358" i="1" s="1"/>
  <c r="S5358" i="1"/>
  <c r="R5358" i="1"/>
  <c r="Q5358" i="1"/>
  <c r="M5358" i="1"/>
  <c r="L5358" i="1"/>
  <c r="V5357" i="1"/>
  <c r="U5357" i="1"/>
  <c r="T5357" i="1"/>
  <c r="W5357" i="1" s="1"/>
  <c r="S5357" i="1"/>
  <c r="R5357" i="1"/>
  <c r="Q5357" i="1"/>
  <c r="M5357" i="1"/>
  <c r="L5357" i="1"/>
  <c r="V5356" i="1"/>
  <c r="U5356" i="1"/>
  <c r="T5356" i="1"/>
  <c r="S5356" i="1"/>
  <c r="R5356" i="1"/>
  <c r="Q5356" i="1"/>
  <c r="M5356" i="1"/>
  <c r="L5356" i="1"/>
  <c r="V5355" i="1"/>
  <c r="Z5355" i="1" s="1"/>
  <c r="U5355" i="1"/>
  <c r="T5355" i="1"/>
  <c r="S5355" i="1"/>
  <c r="R5355" i="1"/>
  <c r="Q5355" i="1"/>
  <c r="M5355" i="1"/>
  <c r="L5355" i="1"/>
  <c r="V5354" i="1"/>
  <c r="Z5354" i="1" s="1"/>
  <c r="U5354" i="1"/>
  <c r="T5354" i="1"/>
  <c r="W5354" i="1" s="1"/>
  <c r="S5354" i="1"/>
  <c r="R5354" i="1"/>
  <c r="Q5354" i="1"/>
  <c r="M5354" i="1"/>
  <c r="L5354" i="1"/>
  <c r="V5353" i="1"/>
  <c r="Z5353" i="1" s="1"/>
  <c r="U5353" i="1"/>
  <c r="T5353" i="1"/>
  <c r="W5353" i="1" s="1"/>
  <c r="S5353" i="1"/>
  <c r="R5353" i="1"/>
  <c r="Q5353" i="1"/>
  <c r="M5353" i="1"/>
  <c r="L5353" i="1"/>
  <c r="V5352" i="1"/>
  <c r="Z5352" i="1" s="1"/>
  <c r="U5352" i="1"/>
  <c r="T5352" i="1"/>
  <c r="S5352" i="1"/>
  <c r="R5352" i="1"/>
  <c r="Q5352" i="1"/>
  <c r="M5352" i="1"/>
  <c r="L5352" i="1"/>
  <c r="V5351" i="1"/>
  <c r="Z5351" i="1" s="1"/>
  <c r="U5351" i="1"/>
  <c r="T5351" i="1"/>
  <c r="W5351" i="1" s="1"/>
  <c r="S5351" i="1"/>
  <c r="R5351" i="1"/>
  <c r="Q5351" i="1"/>
  <c r="M5351" i="1"/>
  <c r="L5351" i="1"/>
  <c r="V5350" i="1"/>
  <c r="Z5350" i="1" s="1"/>
  <c r="U5350" i="1"/>
  <c r="T5350" i="1"/>
  <c r="W5350" i="1" s="1"/>
  <c r="S5350" i="1"/>
  <c r="R5350" i="1"/>
  <c r="Q5350" i="1"/>
  <c r="M5350" i="1"/>
  <c r="L5350" i="1"/>
  <c r="V5349" i="1"/>
  <c r="U5349" i="1"/>
  <c r="T5349" i="1"/>
  <c r="W5349" i="1" s="1"/>
  <c r="S5349" i="1"/>
  <c r="R5349" i="1"/>
  <c r="Q5349" i="1"/>
  <c r="M5349" i="1"/>
  <c r="L5349" i="1"/>
  <c r="V5348" i="1"/>
  <c r="U5348" i="1"/>
  <c r="T5348" i="1"/>
  <c r="S5348" i="1"/>
  <c r="R5348" i="1"/>
  <c r="Q5348" i="1"/>
  <c r="M5348" i="1"/>
  <c r="L5348" i="1"/>
  <c r="V5347" i="1"/>
  <c r="Z5347" i="1" s="1"/>
  <c r="U5347" i="1"/>
  <c r="T5347" i="1"/>
  <c r="W5347" i="1" s="1"/>
  <c r="S5347" i="1"/>
  <c r="R5347" i="1"/>
  <c r="Q5347" i="1"/>
  <c r="M5347" i="1"/>
  <c r="L5347" i="1"/>
  <c r="V5346" i="1"/>
  <c r="Z5346" i="1" s="1"/>
  <c r="U5346" i="1"/>
  <c r="T5346" i="1"/>
  <c r="W5346" i="1" s="1"/>
  <c r="S5346" i="1"/>
  <c r="R5346" i="1"/>
  <c r="Q5346" i="1"/>
  <c r="M5346" i="1"/>
  <c r="L5346" i="1"/>
  <c r="V5345" i="1"/>
  <c r="U5345" i="1"/>
  <c r="T5345" i="1"/>
  <c r="S5345" i="1"/>
  <c r="R5345" i="1"/>
  <c r="Q5345" i="1"/>
  <c r="M5345" i="1"/>
  <c r="L5345" i="1"/>
  <c r="V5344" i="1"/>
  <c r="Z5344" i="1" s="1"/>
  <c r="U5344" i="1"/>
  <c r="T5344" i="1"/>
  <c r="W5344" i="1" s="1"/>
  <c r="S5344" i="1"/>
  <c r="R5344" i="1"/>
  <c r="Q5344" i="1"/>
  <c r="M5344" i="1"/>
  <c r="L5344" i="1"/>
  <c r="V5343" i="1"/>
  <c r="Z5343" i="1" s="1"/>
  <c r="U5343" i="1"/>
  <c r="T5343" i="1"/>
  <c r="W5343" i="1" s="1"/>
  <c r="S5343" i="1"/>
  <c r="R5343" i="1"/>
  <c r="Q5343" i="1"/>
  <c r="M5343" i="1"/>
  <c r="L5343" i="1"/>
  <c r="V5342" i="1"/>
  <c r="Z5342" i="1" s="1"/>
  <c r="U5342" i="1"/>
  <c r="T5342" i="1"/>
  <c r="W5342" i="1" s="1"/>
  <c r="S5342" i="1"/>
  <c r="R5342" i="1"/>
  <c r="Q5342" i="1"/>
  <c r="M5342" i="1"/>
  <c r="L5342" i="1"/>
  <c r="V5341" i="1"/>
  <c r="U5341" i="1"/>
  <c r="T5341" i="1"/>
  <c r="S5341" i="1"/>
  <c r="R5341" i="1"/>
  <c r="Q5341" i="1"/>
  <c r="M5341" i="1"/>
  <c r="L5341" i="1"/>
  <c r="V5340" i="1"/>
  <c r="Z5340" i="1" s="1"/>
  <c r="U5340" i="1"/>
  <c r="T5340" i="1"/>
  <c r="S5340" i="1"/>
  <c r="R5340" i="1"/>
  <c r="Q5340" i="1"/>
  <c r="M5340" i="1"/>
  <c r="L5340" i="1"/>
  <c r="V5339" i="1"/>
  <c r="Z5339" i="1" s="1"/>
  <c r="U5339" i="1"/>
  <c r="T5339" i="1"/>
  <c r="W5339" i="1" s="1"/>
  <c r="S5339" i="1"/>
  <c r="R5339" i="1"/>
  <c r="Q5339" i="1"/>
  <c r="M5339" i="1"/>
  <c r="L5339" i="1"/>
  <c r="V5338" i="1"/>
  <c r="U5338" i="1"/>
  <c r="T5338" i="1"/>
  <c r="W5338" i="1" s="1"/>
  <c r="S5338" i="1"/>
  <c r="R5338" i="1"/>
  <c r="Q5338" i="1"/>
  <c r="M5338" i="1"/>
  <c r="L5338" i="1"/>
  <c r="V5337" i="1"/>
  <c r="U5337" i="1"/>
  <c r="T5337" i="1"/>
  <c r="S5337" i="1"/>
  <c r="R5337" i="1"/>
  <c r="Q5337" i="1"/>
  <c r="M5337" i="1"/>
  <c r="L5337" i="1"/>
  <c r="V5336" i="1"/>
  <c r="Z5336" i="1" s="1"/>
  <c r="U5336" i="1"/>
  <c r="T5336" i="1"/>
  <c r="W5336" i="1" s="1"/>
  <c r="S5336" i="1"/>
  <c r="R5336" i="1"/>
  <c r="Q5336" i="1"/>
  <c r="M5336" i="1"/>
  <c r="L5336" i="1"/>
  <c r="V5335" i="1"/>
  <c r="Z5335" i="1" s="1"/>
  <c r="U5335" i="1"/>
  <c r="T5335" i="1"/>
  <c r="S5335" i="1"/>
  <c r="R5335" i="1"/>
  <c r="Q5335" i="1"/>
  <c r="M5335" i="1"/>
  <c r="L5335" i="1"/>
  <c r="V5334" i="1"/>
  <c r="U5334" i="1"/>
  <c r="T5334" i="1"/>
  <c r="S5334" i="1"/>
  <c r="R5334" i="1"/>
  <c r="Q5334" i="1"/>
  <c r="M5334" i="1"/>
  <c r="L5334" i="1"/>
  <c r="V5333" i="1"/>
  <c r="U5333" i="1"/>
  <c r="T5333" i="1"/>
  <c r="W5333" i="1" s="1"/>
  <c r="S5333" i="1"/>
  <c r="R5333" i="1"/>
  <c r="Q5333" i="1"/>
  <c r="M5333" i="1"/>
  <c r="L5333" i="1"/>
  <c r="V5332" i="1"/>
  <c r="Z5332" i="1" s="1"/>
  <c r="U5332" i="1"/>
  <c r="T5332" i="1"/>
  <c r="W5332" i="1" s="1"/>
  <c r="S5332" i="1"/>
  <c r="R5332" i="1"/>
  <c r="Q5332" i="1"/>
  <c r="M5332" i="1"/>
  <c r="L5332" i="1"/>
  <c r="V5331" i="1"/>
  <c r="Z5331" i="1" s="1"/>
  <c r="U5331" i="1"/>
  <c r="T5331" i="1"/>
  <c r="W5331" i="1" s="1"/>
  <c r="S5331" i="1"/>
  <c r="R5331" i="1"/>
  <c r="Q5331" i="1"/>
  <c r="M5331" i="1"/>
  <c r="L5331" i="1"/>
  <c r="V5330" i="1"/>
  <c r="U5330" i="1"/>
  <c r="T5330" i="1"/>
  <c r="W5330" i="1" s="1"/>
  <c r="S5330" i="1"/>
  <c r="R5330" i="1"/>
  <c r="Q5330" i="1"/>
  <c r="M5330" i="1"/>
  <c r="L5330" i="1"/>
  <c r="V5329" i="1"/>
  <c r="Z5329" i="1" s="1"/>
  <c r="U5329" i="1"/>
  <c r="T5329" i="1"/>
  <c r="W5329" i="1" s="1"/>
  <c r="S5329" i="1"/>
  <c r="R5329" i="1"/>
  <c r="Q5329" i="1"/>
  <c r="M5329" i="1"/>
  <c r="L5329" i="1"/>
  <c r="V5328" i="1"/>
  <c r="U5328" i="1"/>
  <c r="T5328" i="1"/>
  <c r="W5328" i="1" s="1"/>
  <c r="S5328" i="1"/>
  <c r="R5328" i="1"/>
  <c r="Q5328" i="1"/>
  <c r="M5328" i="1"/>
  <c r="L5328" i="1"/>
  <c r="V5327" i="1"/>
  <c r="U5327" i="1"/>
  <c r="T5327" i="1"/>
  <c r="W5327" i="1" s="1"/>
  <c r="S5327" i="1"/>
  <c r="R5327" i="1"/>
  <c r="Q5327" i="1"/>
  <c r="M5327" i="1"/>
  <c r="L5327" i="1"/>
  <c r="V5326" i="1"/>
  <c r="U5326" i="1"/>
  <c r="T5326" i="1"/>
  <c r="S5326" i="1"/>
  <c r="R5326" i="1"/>
  <c r="Q5326" i="1"/>
  <c r="M5326" i="1"/>
  <c r="L5326" i="1"/>
  <c r="V5325" i="1"/>
  <c r="Z5325" i="1" s="1"/>
  <c r="U5325" i="1"/>
  <c r="T5325" i="1"/>
  <c r="W5325" i="1" s="1"/>
  <c r="S5325" i="1"/>
  <c r="R5325" i="1"/>
  <c r="Q5325" i="1"/>
  <c r="M5325" i="1"/>
  <c r="L5325" i="1"/>
  <c r="V5324" i="1"/>
  <c r="Z5324" i="1" s="1"/>
  <c r="U5324" i="1"/>
  <c r="T5324" i="1"/>
  <c r="W5324" i="1" s="1"/>
  <c r="S5324" i="1"/>
  <c r="R5324" i="1"/>
  <c r="Q5324" i="1"/>
  <c r="M5324" i="1"/>
  <c r="L5324" i="1"/>
  <c r="V5323" i="1"/>
  <c r="U5323" i="1"/>
  <c r="T5323" i="1"/>
  <c r="S5323" i="1"/>
  <c r="R5323" i="1"/>
  <c r="Q5323" i="1"/>
  <c r="M5323" i="1"/>
  <c r="L5323" i="1"/>
  <c r="V5322" i="1"/>
  <c r="U5322" i="1"/>
  <c r="T5322" i="1"/>
  <c r="S5322" i="1"/>
  <c r="R5322" i="1"/>
  <c r="Q5322" i="1"/>
  <c r="M5322" i="1"/>
  <c r="L5322" i="1"/>
  <c r="V5321" i="1"/>
  <c r="Z5321" i="1" s="1"/>
  <c r="U5321" i="1"/>
  <c r="T5321" i="1"/>
  <c r="W5321" i="1" s="1"/>
  <c r="S5321" i="1"/>
  <c r="R5321" i="1"/>
  <c r="Q5321" i="1"/>
  <c r="M5321" i="1"/>
  <c r="L5321" i="1"/>
  <c r="V5320" i="1"/>
  <c r="Z5320" i="1" s="1"/>
  <c r="U5320" i="1"/>
  <c r="T5320" i="1"/>
  <c r="W5320" i="1" s="1"/>
  <c r="S5320" i="1"/>
  <c r="R5320" i="1"/>
  <c r="Q5320" i="1"/>
  <c r="M5320" i="1"/>
  <c r="L5320" i="1"/>
  <c r="V5319" i="1"/>
  <c r="U5319" i="1"/>
  <c r="T5319" i="1"/>
  <c r="W5319" i="1" s="1"/>
  <c r="S5319" i="1"/>
  <c r="R5319" i="1"/>
  <c r="Q5319" i="1"/>
  <c r="M5319" i="1"/>
  <c r="L5319" i="1"/>
  <c r="V5318" i="1"/>
  <c r="U5318" i="1"/>
  <c r="T5318" i="1"/>
  <c r="S5318" i="1"/>
  <c r="R5318" i="1"/>
  <c r="Q5318" i="1"/>
  <c r="M5318" i="1"/>
  <c r="L5318" i="1"/>
  <c r="V5317" i="1"/>
  <c r="Z5317" i="1" s="1"/>
  <c r="U5317" i="1"/>
  <c r="T5317" i="1"/>
  <c r="W5317" i="1" s="1"/>
  <c r="S5317" i="1"/>
  <c r="R5317" i="1"/>
  <c r="Q5317" i="1"/>
  <c r="M5317" i="1"/>
  <c r="L5317" i="1"/>
  <c r="V5316" i="1"/>
  <c r="Z5316" i="1" s="1"/>
  <c r="U5316" i="1"/>
  <c r="T5316" i="1"/>
  <c r="S5316" i="1"/>
  <c r="R5316" i="1"/>
  <c r="Q5316" i="1"/>
  <c r="M5316" i="1"/>
  <c r="L5316" i="1"/>
  <c r="V5315" i="1"/>
  <c r="U5315" i="1"/>
  <c r="T5315" i="1"/>
  <c r="S5315" i="1"/>
  <c r="R5315" i="1"/>
  <c r="Q5315" i="1"/>
  <c r="M5315" i="1"/>
  <c r="L5315" i="1"/>
  <c r="V5314" i="1"/>
  <c r="U5314" i="1"/>
  <c r="T5314" i="1"/>
  <c r="S5314" i="1"/>
  <c r="R5314" i="1"/>
  <c r="Q5314" i="1"/>
  <c r="M5314" i="1"/>
  <c r="L5314" i="1"/>
  <c r="V5313" i="1"/>
  <c r="Z5313" i="1" s="1"/>
  <c r="U5313" i="1"/>
  <c r="T5313" i="1"/>
  <c r="W5313" i="1" s="1"/>
  <c r="S5313" i="1"/>
  <c r="R5313" i="1"/>
  <c r="Q5313" i="1"/>
  <c r="M5313" i="1"/>
  <c r="L5313" i="1"/>
  <c r="V5312" i="1"/>
  <c r="Z5312" i="1" s="1"/>
  <c r="U5312" i="1"/>
  <c r="T5312" i="1"/>
  <c r="S5312" i="1"/>
  <c r="R5312" i="1"/>
  <c r="Q5312" i="1"/>
  <c r="M5312" i="1"/>
  <c r="L5312" i="1"/>
  <c r="V5311" i="1"/>
  <c r="U5311" i="1"/>
  <c r="T5311" i="1"/>
  <c r="S5311" i="1"/>
  <c r="R5311" i="1"/>
  <c r="Q5311" i="1"/>
  <c r="M5311" i="1"/>
  <c r="L5311" i="1"/>
  <c r="V5310" i="1"/>
  <c r="U5310" i="1"/>
  <c r="T5310" i="1"/>
  <c r="S5310" i="1"/>
  <c r="R5310" i="1"/>
  <c r="Q5310" i="1"/>
  <c r="M5310" i="1"/>
  <c r="L5310" i="1"/>
  <c r="V5309" i="1"/>
  <c r="Z5309" i="1" s="1"/>
  <c r="U5309" i="1"/>
  <c r="T5309" i="1"/>
  <c r="W5309" i="1" s="1"/>
  <c r="S5309" i="1"/>
  <c r="R5309" i="1"/>
  <c r="Q5309" i="1"/>
  <c r="M5309" i="1"/>
  <c r="L5309" i="1"/>
  <c r="V5308" i="1"/>
  <c r="Z5308" i="1" s="1"/>
  <c r="U5308" i="1"/>
  <c r="T5308" i="1"/>
  <c r="W5308" i="1" s="1"/>
  <c r="S5308" i="1"/>
  <c r="R5308" i="1"/>
  <c r="Q5308" i="1"/>
  <c r="M5308" i="1"/>
  <c r="L5308" i="1"/>
  <c r="V5307" i="1"/>
  <c r="U5307" i="1"/>
  <c r="T5307" i="1"/>
  <c r="W5307" i="1" s="1"/>
  <c r="S5307" i="1"/>
  <c r="R5307" i="1"/>
  <c r="Q5307" i="1"/>
  <c r="M5307" i="1"/>
  <c r="L5307" i="1"/>
  <c r="V5306" i="1"/>
  <c r="U5306" i="1"/>
  <c r="T5306" i="1"/>
  <c r="S5306" i="1"/>
  <c r="R5306" i="1"/>
  <c r="Q5306" i="1"/>
  <c r="M5306" i="1"/>
  <c r="L5306" i="1"/>
  <c r="V5305" i="1"/>
  <c r="Z5305" i="1" s="1"/>
  <c r="U5305" i="1"/>
  <c r="T5305" i="1"/>
  <c r="W5305" i="1" s="1"/>
  <c r="S5305" i="1"/>
  <c r="R5305" i="1"/>
  <c r="Q5305" i="1"/>
  <c r="M5305" i="1"/>
  <c r="L5305" i="1"/>
  <c r="V5304" i="1"/>
  <c r="Z5304" i="1" s="1"/>
  <c r="U5304" i="1"/>
  <c r="T5304" i="1"/>
  <c r="W5304" i="1" s="1"/>
  <c r="S5304" i="1"/>
  <c r="R5304" i="1"/>
  <c r="Q5304" i="1"/>
  <c r="M5304" i="1"/>
  <c r="L5304" i="1"/>
  <c r="V5303" i="1"/>
  <c r="U5303" i="1"/>
  <c r="T5303" i="1"/>
  <c r="S5303" i="1"/>
  <c r="R5303" i="1"/>
  <c r="Q5303" i="1"/>
  <c r="M5303" i="1"/>
  <c r="L5303" i="1"/>
  <c r="V5302" i="1"/>
  <c r="U5302" i="1"/>
  <c r="T5302" i="1"/>
  <c r="S5302" i="1"/>
  <c r="R5302" i="1"/>
  <c r="Q5302" i="1"/>
  <c r="M5302" i="1"/>
  <c r="L5302" i="1"/>
  <c r="V5301" i="1"/>
  <c r="Z5301" i="1" s="1"/>
  <c r="U5301" i="1"/>
  <c r="T5301" i="1"/>
  <c r="W5301" i="1" s="1"/>
  <c r="S5301" i="1"/>
  <c r="R5301" i="1"/>
  <c r="Q5301" i="1"/>
  <c r="M5301" i="1"/>
  <c r="L5301" i="1"/>
  <c r="V5300" i="1"/>
  <c r="Z5300" i="1" s="1"/>
  <c r="U5300" i="1"/>
  <c r="T5300" i="1"/>
  <c r="S5300" i="1"/>
  <c r="R5300" i="1"/>
  <c r="Q5300" i="1"/>
  <c r="M5300" i="1"/>
  <c r="L5300" i="1"/>
  <c r="V5299" i="1"/>
  <c r="U5299" i="1"/>
  <c r="T5299" i="1"/>
  <c r="W5299" i="1" s="1"/>
  <c r="S5299" i="1"/>
  <c r="R5299" i="1"/>
  <c r="Q5299" i="1"/>
  <c r="M5299" i="1"/>
  <c r="L5299" i="1"/>
  <c r="V5298" i="1"/>
  <c r="U5298" i="1"/>
  <c r="T5298" i="1"/>
  <c r="S5298" i="1"/>
  <c r="R5298" i="1"/>
  <c r="Q5298" i="1"/>
  <c r="M5298" i="1"/>
  <c r="L5298" i="1"/>
  <c r="V5297" i="1"/>
  <c r="Z5297" i="1" s="1"/>
  <c r="U5297" i="1"/>
  <c r="T5297" i="1"/>
  <c r="W5297" i="1" s="1"/>
  <c r="S5297" i="1"/>
  <c r="R5297" i="1"/>
  <c r="Q5297" i="1"/>
  <c r="M5297" i="1"/>
  <c r="L5297" i="1"/>
  <c r="V5296" i="1"/>
  <c r="Z5296" i="1" s="1"/>
  <c r="U5296" i="1"/>
  <c r="T5296" i="1"/>
  <c r="W5296" i="1" s="1"/>
  <c r="S5296" i="1"/>
  <c r="R5296" i="1"/>
  <c r="Q5296" i="1"/>
  <c r="M5296" i="1"/>
  <c r="L5296" i="1"/>
  <c r="V5295" i="1"/>
  <c r="U5295" i="1"/>
  <c r="T5295" i="1"/>
  <c r="W5295" i="1" s="1"/>
  <c r="S5295" i="1"/>
  <c r="R5295" i="1"/>
  <c r="Q5295" i="1"/>
  <c r="M5295" i="1"/>
  <c r="L5295" i="1"/>
  <c r="V5294" i="1"/>
  <c r="U5294" i="1"/>
  <c r="T5294" i="1"/>
  <c r="S5294" i="1"/>
  <c r="R5294" i="1"/>
  <c r="Q5294" i="1"/>
  <c r="M5294" i="1"/>
  <c r="L5294" i="1"/>
  <c r="V5293" i="1"/>
  <c r="Z5293" i="1" s="1"/>
  <c r="U5293" i="1"/>
  <c r="T5293" i="1"/>
  <c r="W5293" i="1" s="1"/>
  <c r="S5293" i="1"/>
  <c r="R5293" i="1"/>
  <c r="Q5293" i="1"/>
  <c r="M5293" i="1"/>
  <c r="L5293" i="1"/>
  <c r="V5292" i="1"/>
  <c r="Z5292" i="1" s="1"/>
  <c r="U5292" i="1"/>
  <c r="T5292" i="1"/>
  <c r="W5292" i="1" s="1"/>
  <c r="S5292" i="1"/>
  <c r="R5292" i="1"/>
  <c r="Q5292" i="1"/>
  <c r="M5292" i="1"/>
  <c r="L5292" i="1"/>
  <c r="V5291" i="1"/>
  <c r="U5291" i="1"/>
  <c r="T5291" i="1"/>
  <c r="S5291" i="1"/>
  <c r="R5291" i="1"/>
  <c r="Q5291" i="1"/>
  <c r="M5291" i="1"/>
  <c r="L5291" i="1"/>
  <c r="V5290" i="1"/>
  <c r="U5290" i="1"/>
  <c r="T5290" i="1"/>
  <c r="S5290" i="1"/>
  <c r="R5290" i="1"/>
  <c r="Q5290" i="1"/>
  <c r="M5290" i="1"/>
  <c r="L5290" i="1"/>
  <c r="V5289" i="1"/>
  <c r="Z5289" i="1" s="1"/>
  <c r="U5289" i="1"/>
  <c r="T5289" i="1"/>
  <c r="W5289" i="1" s="1"/>
  <c r="S5289" i="1"/>
  <c r="R5289" i="1"/>
  <c r="Q5289" i="1"/>
  <c r="M5289" i="1"/>
  <c r="L5289" i="1"/>
  <c r="V5288" i="1"/>
  <c r="Z5288" i="1" s="1"/>
  <c r="U5288" i="1"/>
  <c r="T5288" i="1"/>
  <c r="S5288" i="1"/>
  <c r="R5288" i="1"/>
  <c r="Q5288" i="1"/>
  <c r="M5288" i="1"/>
  <c r="L5288" i="1"/>
  <c r="V5287" i="1"/>
  <c r="U5287" i="1"/>
  <c r="T5287" i="1"/>
  <c r="S5287" i="1"/>
  <c r="R5287" i="1"/>
  <c r="Q5287" i="1"/>
  <c r="M5287" i="1"/>
  <c r="L5287" i="1"/>
  <c r="V5286" i="1"/>
  <c r="U5286" i="1"/>
  <c r="T5286" i="1"/>
  <c r="S5286" i="1"/>
  <c r="R5286" i="1"/>
  <c r="Q5286" i="1"/>
  <c r="M5286" i="1"/>
  <c r="L5286" i="1"/>
  <c r="V5285" i="1"/>
  <c r="Z5285" i="1" s="1"/>
  <c r="U5285" i="1"/>
  <c r="T5285" i="1"/>
  <c r="W5285" i="1" s="1"/>
  <c r="S5285" i="1"/>
  <c r="R5285" i="1"/>
  <c r="Q5285" i="1"/>
  <c r="M5285" i="1"/>
  <c r="L5285" i="1"/>
  <c r="V5284" i="1"/>
  <c r="Z5284" i="1" s="1"/>
  <c r="U5284" i="1"/>
  <c r="T5284" i="1"/>
  <c r="W5284" i="1" s="1"/>
  <c r="S5284" i="1"/>
  <c r="R5284" i="1"/>
  <c r="Q5284" i="1"/>
  <c r="M5284" i="1"/>
  <c r="L5284" i="1"/>
  <c r="V5283" i="1"/>
  <c r="U5283" i="1"/>
  <c r="T5283" i="1"/>
  <c r="W5283" i="1" s="1"/>
  <c r="S5283" i="1"/>
  <c r="R5283" i="1"/>
  <c r="Q5283" i="1"/>
  <c r="M5283" i="1"/>
  <c r="L5283" i="1"/>
  <c r="V5282" i="1"/>
  <c r="U5282" i="1"/>
  <c r="T5282" i="1"/>
  <c r="S5282" i="1"/>
  <c r="R5282" i="1"/>
  <c r="Q5282" i="1"/>
  <c r="M5282" i="1"/>
  <c r="L5282" i="1"/>
  <c r="V5281" i="1"/>
  <c r="Z5281" i="1" s="1"/>
  <c r="U5281" i="1"/>
  <c r="T5281" i="1"/>
  <c r="W5281" i="1" s="1"/>
  <c r="S5281" i="1"/>
  <c r="R5281" i="1"/>
  <c r="Q5281" i="1"/>
  <c r="M5281" i="1"/>
  <c r="L5281" i="1"/>
  <c r="V5280" i="1"/>
  <c r="Z5280" i="1" s="1"/>
  <c r="U5280" i="1"/>
  <c r="T5280" i="1"/>
  <c r="W5280" i="1" s="1"/>
  <c r="S5280" i="1"/>
  <c r="R5280" i="1"/>
  <c r="Q5280" i="1"/>
  <c r="M5280" i="1"/>
  <c r="L5280" i="1"/>
  <c r="V5279" i="1"/>
  <c r="U5279" i="1"/>
  <c r="T5279" i="1"/>
  <c r="W5279" i="1" s="1"/>
  <c r="S5279" i="1"/>
  <c r="R5279" i="1"/>
  <c r="Q5279" i="1"/>
  <c r="M5279" i="1"/>
  <c r="L5279" i="1"/>
  <c r="V5278" i="1"/>
  <c r="U5278" i="1"/>
  <c r="T5278" i="1"/>
  <c r="S5278" i="1"/>
  <c r="R5278" i="1"/>
  <c r="Q5278" i="1"/>
  <c r="M5278" i="1"/>
  <c r="L5278" i="1"/>
  <c r="V5277" i="1"/>
  <c r="Z5277" i="1" s="1"/>
  <c r="U5277" i="1"/>
  <c r="T5277" i="1"/>
  <c r="W5277" i="1" s="1"/>
  <c r="S5277" i="1"/>
  <c r="R5277" i="1"/>
  <c r="Q5277" i="1"/>
  <c r="M5277" i="1"/>
  <c r="L5277" i="1"/>
  <c r="V5276" i="1"/>
  <c r="Z5276" i="1" s="1"/>
  <c r="U5276" i="1"/>
  <c r="T5276" i="1"/>
  <c r="S5276" i="1"/>
  <c r="R5276" i="1"/>
  <c r="Q5276" i="1"/>
  <c r="M5276" i="1"/>
  <c r="L5276" i="1"/>
  <c r="V5275" i="1"/>
  <c r="U5275" i="1"/>
  <c r="T5275" i="1"/>
  <c r="S5275" i="1"/>
  <c r="R5275" i="1"/>
  <c r="Q5275" i="1"/>
  <c r="M5275" i="1"/>
  <c r="L5275" i="1"/>
  <c r="V5274" i="1"/>
  <c r="U5274" i="1"/>
  <c r="T5274" i="1"/>
  <c r="S5274" i="1"/>
  <c r="R5274" i="1"/>
  <c r="Q5274" i="1"/>
  <c r="M5274" i="1"/>
  <c r="L5274" i="1"/>
  <c r="V5273" i="1"/>
  <c r="Z5273" i="1" s="1"/>
  <c r="U5273" i="1"/>
  <c r="T5273" i="1"/>
  <c r="W5273" i="1" s="1"/>
  <c r="S5273" i="1"/>
  <c r="R5273" i="1"/>
  <c r="Q5273" i="1"/>
  <c r="M5273" i="1"/>
  <c r="L5273" i="1"/>
  <c r="V5272" i="1"/>
  <c r="Z5272" i="1" s="1"/>
  <c r="U5272" i="1"/>
  <c r="T5272" i="1"/>
  <c r="S5272" i="1"/>
  <c r="R5272" i="1"/>
  <c r="Q5272" i="1"/>
  <c r="M5272" i="1"/>
  <c r="L5272" i="1"/>
  <c r="V5271" i="1"/>
  <c r="U5271" i="1"/>
  <c r="T5271" i="1"/>
  <c r="W5271" i="1" s="1"/>
  <c r="S5271" i="1"/>
  <c r="R5271" i="1"/>
  <c r="Q5271" i="1"/>
  <c r="M5271" i="1"/>
  <c r="L5271" i="1"/>
  <c r="V5270" i="1"/>
  <c r="U5270" i="1"/>
  <c r="T5270" i="1"/>
  <c r="S5270" i="1"/>
  <c r="R5270" i="1"/>
  <c r="Q5270" i="1"/>
  <c r="M5270" i="1"/>
  <c r="L5270" i="1"/>
  <c r="V5269" i="1"/>
  <c r="Z5269" i="1" s="1"/>
  <c r="U5269" i="1"/>
  <c r="T5269" i="1"/>
  <c r="W5269" i="1" s="1"/>
  <c r="S5269" i="1"/>
  <c r="R5269" i="1"/>
  <c r="Q5269" i="1"/>
  <c r="M5269" i="1"/>
  <c r="L5269" i="1"/>
  <c r="V5268" i="1"/>
  <c r="Z5268" i="1" s="1"/>
  <c r="U5268" i="1"/>
  <c r="T5268" i="1"/>
  <c r="W5268" i="1" s="1"/>
  <c r="S5268" i="1"/>
  <c r="R5268" i="1"/>
  <c r="Q5268" i="1"/>
  <c r="M5268" i="1"/>
  <c r="L5268" i="1"/>
  <c r="V5267" i="1"/>
  <c r="U5267" i="1"/>
  <c r="T5267" i="1"/>
  <c r="W5267" i="1" s="1"/>
  <c r="S5267" i="1"/>
  <c r="R5267" i="1"/>
  <c r="Q5267" i="1"/>
  <c r="M5267" i="1"/>
  <c r="L5267" i="1"/>
  <c r="V5266" i="1"/>
  <c r="U5266" i="1"/>
  <c r="T5266" i="1"/>
  <c r="S5266" i="1"/>
  <c r="R5266" i="1"/>
  <c r="Q5266" i="1"/>
  <c r="M5266" i="1"/>
  <c r="L5266" i="1"/>
  <c r="V5265" i="1"/>
  <c r="Z5265" i="1" s="1"/>
  <c r="U5265" i="1"/>
  <c r="T5265" i="1"/>
  <c r="W5265" i="1" s="1"/>
  <c r="S5265" i="1"/>
  <c r="R5265" i="1"/>
  <c r="Q5265" i="1"/>
  <c r="M5265" i="1"/>
  <c r="L5265" i="1"/>
  <c r="V5264" i="1"/>
  <c r="Z5264" i="1" s="1"/>
  <c r="U5264" i="1"/>
  <c r="T5264" i="1"/>
  <c r="S5264" i="1"/>
  <c r="R5264" i="1"/>
  <c r="Q5264" i="1"/>
  <c r="M5264" i="1"/>
  <c r="L5264" i="1"/>
  <c r="V5263" i="1"/>
  <c r="U5263" i="1"/>
  <c r="T5263" i="1"/>
  <c r="S5263" i="1"/>
  <c r="R5263" i="1"/>
  <c r="Q5263" i="1"/>
  <c r="M5263" i="1"/>
  <c r="L5263" i="1"/>
  <c r="V5262" i="1"/>
  <c r="U5262" i="1"/>
  <c r="T5262" i="1"/>
  <c r="S5262" i="1"/>
  <c r="R5262" i="1"/>
  <c r="Q5262" i="1"/>
  <c r="M5262" i="1"/>
  <c r="L5262" i="1"/>
  <c r="V5261" i="1"/>
  <c r="Z5261" i="1" s="1"/>
  <c r="U5261" i="1"/>
  <c r="T5261" i="1"/>
  <c r="W5261" i="1" s="1"/>
  <c r="S5261" i="1"/>
  <c r="R5261" i="1"/>
  <c r="Q5261" i="1"/>
  <c r="M5261" i="1"/>
  <c r="L5261" i="1"/>
  <c r="V5260" i="1"/>
  <c r="Z5260" i="1" s="1"/>
  <c r="U5260" i="1"/>
  <c r="T5260" i="1"/>
  <c r="W5260" i="1" s="1"/>
  <c r="S5260" i="1"/>
  <c r="R5260" i="1"/>
  <c r="Q5260" i="1"/>
  <c r="M5260" i="1"/>
  <c r="L5260" i="1"/>
  <c r="V5259" i="1"/>
  <c r="U5259" i="1"/>
  <c r="T5259" i="1"/>
  <c r="W5259" i="1" s="1"/>
  <c r="S5259" i="1"/>
  <c r="R5259" i="1"/>
  <c r="Q5259" i="1"/>
  <c r="M5259" i="1"/>
  <c r="L5259" i="1"/>
  <c r="V5258" i="1"/>
  <c r="U5258" i="1"/>
  <c r="T5258" i="1"/>
  <c r="S5258" i="1"/>
  <c r="R5258" i="1"/>
  <c r="Q5258" i="1"/>
  <c r="M5258" i="1"/>
  <c r="L5258" i="1"/>
  <c r="V5257" i="1"/>
  <c r="Z5257" i="1" s="1"/>
  <c r="U5257" i="1"/>
  <c r="T5257" i="1"/>
  <c r="W5257" i="1" s="1"/>
  <c r="S5257" i="1"/>
  <c r="R5257" i="1"/>
  <c r="Q5257" i="1"/>
  <c r="M5257" i="1"/>
  <c r="L5257" i="1"/>
  <c r="V5256" i="1"/>
  <c r="Z5256" i="1" s="1"/>
  <c r="U5256" i="1"/>
  <c r="T5256" i="1"/>
  <c r="W5256" i="1" s="1"/>
  <c r="S5256" i="1"/>
  <c r="R5256" i="1"/>
  <c r="Q5256" i="1"/>
  <c r="M5256" i="1"/>
  <c r="L5256" i="1"/>
  <c r="V5255" i="1"/>
  <c r="U5255" i="1"/>
  <c r="T5255" i="1"/>
  <c r="W5255" i="1" s="1"/>
  <c r="S5255" i="1"/>
  <c r="R5255" i="1"/>
  <c r="Q5255" i="1"/>
  <c r="M5255" i="1"/>
  <c r="L5255" i="1"/>
  <c r="V5254" i="1"/>
  <c r="U5254" i="1"/>
  <c r="T5254" i="1"/>
  <c r="S5254" i="1"/>
  <c r="R5254" i="1"/>
  <c r="Q5254" i="1"/>
  <c r="M5254" i="1"/>
  <c r="L5254" i="1"/>
  <c r="V5253" i="1"/>
  <c r="Z5253" i="1" s="1"/>
  <c r="U5253" i="1"/>
  <c r="T5253" i="1"/>
  <c r="W5253" i="1" s="1"/>
  <c r="S5253" i="1"/>
  <c r="R5253" i="1"/>
  <c r="Q5253" i="1"/>
  <c r="M5253" i="1"/>
  <c r="L5253" i="1"/>
  <c r="V5252" i="1"/>
  <c r="Z5252" i="1" s="1"/>
  <c r="U5252" i="1"/>
  <c r="T5252" i="1"/>
  <c r="S5252" i="1"/>
  <c r="R5252" i="1"/>
  <c r="Q5252" i="1"/>
  <c r="M5252" i="1"/>
  <c r="L5252" i="1"/>
  <c r="V5251" i="1"/>
  <c r="U5251" i="1"/>
  <c r="T5251" i="1"/>
  <c r="S5251" i="1"/>
  <c r="R5251" i="1"/>
  <c r="Q5251" i="1"/>
  <c r="M5251" i="1"/>
  <c r="L5251" i="1"/>
  <c r="V5250" i="1"/>
  <c r="U5250" i="1"/>
  <c r="T5250" i="1"/>
  <c r="S5250" i="1"/>
  <c r="R5250" i="1"/>
  <c r="Q5250" i="1"/>
  <c r="M5250" i="1"/>
  <c r="L5250" i="1"/>
  <c r="V5249" i="1"/>
  <c r="Z5249" i="1" s="1"/>
  <c r="U5249" i="1"/>
  <c r="T5249" i="1"/>
  <c r="W5249" i="1" s="1"/>
  <c r="S5249" i="1"/>
  <c r="R5249" i="1"/>
  <c r="Q5249" i="1"/>
  <c r="M5249" i="1"/>
  <c r="L5249" i="1"/>
  <c r="V5248" i="1"/>
  <c r="Z5248" i="1" s="1"/>
  <c r="U5248" i="1"/>
  <c r="T5248" i="1"/>
  <c r="S5248" i="1"/>
  <c r="R5248" i="1"/>
  <c r="Q5248" i="1"/>
  <c r="M5248" i="1"/>
  <c r="L5248" i="1"/>
  <c r="V5247" i="1"/>
  <c r="U5247" i="1"/>
  <c r="T5247" i="1"/>
  <c r="S5247" i="1"/>
  <c r="R5247" i="1"/>
  <c r="Q5247" i="1"/>
  <c r="M5247" i="1"/>
  <c r="L5247" i="1"/>
  <c r="V5246" i="1"/>
  <c r="U5246" i="1"/>
  <c r="T5246" i="1"/>
  <c r="S5246" i="1"/>
  <c r="R5246" i="1"/>
  <c r="Q5246" i="1"/>
  <c r="M5246" i="1"/>
  <c r="L5246" i="1"/>
  <c r="V5245" i="1"/>
  <c r="Z5245" i="1" s="1"/>
  <c r="U5245" i="1"/>
  <c r="T5245" i="1"/>
  <c r="W5245" i="1" s="1"/>
  <c r="S5245" i="1"/>
  <c r="R5245" i="1"/>
  <c r="Q5245" i="1"/>
  <c r="M5245" i="1"/>
  <c r="L5245" i="1"/>
  <c r="V5244" i="1"/>
  <c r="Z5244" i="1" s="1"/>
  <c r="U5244" i="1"/>
  <c r="T5244" i="1"/>
  <c r="W5244" i="1" s="1"/>
  <c r="S5244" i="1"/>
  <c r="R5244" i="1"/>
  <c r="Q5244" i="1"/>
  <c r="M5244" i="1"/>
  <c r="L5244" i="1"/>
  <c r="V5243" i="1"/>
  <c r="U5243" i="1"/>
  <c r="T5243" i="1"/>
  <c r="W5243" i="1" s="1"/>
  <c r="S5243" i="1"/>
  <c r="R5243" i="1"/>
  <c r="Q5243" i="1"/>
  <c r="M5243" i="1"/>
  <c r="L5243" i="1"/>
  <c r="V5242" i="1"/>
  <c r="U5242" i="1"/>
  <c r="T5242" i="1"/>
  <c r="S5242" i="1"/>
  <c r="R5242" i="1"/>
  <c r="Q5242" i="1"/>
  <c r="M5242" i="1"/>
  <c r="L5242" i="1"/>
  <c r="V5241" i="1"/>
  <c r="Z5241" i="1" s="1"/>
  <c r="U5241" i="1"/>
  <c r="T5241" i="1"/>
  <c r="W5241" i="1" s="1"/>
  <c r="S5241" i="1"/>
  <c r="R5241" i="1"/>
  <c r="Q5241" i="1"/>
  <c r="M5241" i="1"/>
  <c r="L5241" i="1"/>
  <c r="V5240" i="1"/>
  <c r="Z5240" i="1" s="1"/>
  <c r="U5240" i="1"/>
  <c r="T5240" i="1"/>
  <c r="W5240" i="1" s="1"/>
  <c r="S5240" i="1"/>
  <c r="R5240" i="1"/>
  <c r="Q5240" i="1"/>
  <c r="M5240" i="1"/>
  <c r="L5240" i="1"/>
  <c r="V5239" i="1"/>
  <c r="U5239" i="1"/>
  <c r="T5239" i="1"/>
  <c r="S5239" i="1"/>
  <c r="R5239" i="1"/>
  <c r="Q5239" i="1"/>
  <c r="M5239" i="1"/>
  <c r="L5239" i="1"/>
  <c r="V5238" i="1"/>
  <c r="U5238" i="1"/>
  <c r="T5238" i="1"/>
  <c r="S5238" i="1"/>
  <c r="R5238" i="1"/>
  <c r="Q5238" i="1"/>
  <c r="M5238" i="1"/>
  <c r="L5238" i="1"/>
  <c r="V5237" i="1"/>
  <c r="Z5237" i="1" s="1"/>
  <c r="U5237" i="1"/>
  <c r="T5237" i="1"/>
  <c r="W5237" i="1" s="1"/>
  <c r="S5237" i="1"/>
  <c r="R5237" i="1"/>
  <c r="Q5237" i="1"/>
  <c r="M5237" i="1"/>
  <c r="L5237" i="1"/>
  <c r="V5236" i="1"/>
  <c r="Z5236" i="1" s="1"/>
  <c r="U5236" i="1"/>
  <c r="T5236" i="1"/>
  <c r="S5236" i="1"/>
  <c r="R5236" i="1"/>
  <c r="Q5236" i="1"/>
  <c r="M5236" i="1"/>
  <c r="L5236" i="1"/>
  <c r="V5235" i="1"/>
  <c r="U5235" i="1"/>
  <c r="T5235" i="1"/>
  <c r="W5235" i="1" s="1"/>
  <c r="S5235" i="1"/>
  <c r="R5235" i="1"/>
  <c r="Q5235" i="1"/>
  <c r="M5235" i="1"/>
  <c r="L5235" i="1"/>
  <c r="V5234" i="1"/>
  <c r="U5234" i="1"/>
  <c r="T5234" i="1"/>
  <c r="S5234" i="1"/>
  <c r="R5234" i="1"/>
  <c r="Q5234" i="1"/>
  <c r="M5234" i="1"/>
  <c r="L5234" i="1"/>
  <c r="V5233" i="1"/>
  <c r="Z5233" i="1" s="1"/>
  <c r="U5233" i="1"/>
  <c r="T5233" i="1"/>
  <c r="W5233" i="1" s="1"/>
  <c r="S5233" i="1"/>
  <c r="R5233" i="1"/>
  <c r="Q5233" i="1"/>
  <c r="M5233" i="1"/>
  <c r="L5233" i="1"/>
  <c r="V5232" i="1"/>
  <c r="Z5232" i="1" s="1"/>
  <c r="U5232" i="1"/>
  <c r="T5232" i="1"/>
  <c r="W5232" i="1" s="1"/>
  <c r="S5232" i="1"/>
  <c r="R5232" i="1"/>
  <c r="Q5232" i="1"/>
  <c r="M5232" i="1"/>
  <c r="L5232" i="1"/>
  <c r="V5231" i="1"/>
  <c r="U5231" i="1"/>
  <c r="T5231" i="1"/>
  <c r="W5231" i="1" s="1"/>
  <c r="S5231" i="1"/>
  <c r="R5231" i="1"/>
  <c r="Q5231" i="1"/>
  <c r="M5231" i="1"/>
  <c r="L5231" i="1"/>
  <c r="V5230" i="1"/>
  <c r="U5230" i="1"/>
  <c r="T5230" i="1"/>
  <c r="S5230" i="1"/>
  <c r="R5230" i="1"/>
  <c r="Q5230" i="1"/>
  <c r="M5230" i="1"/>
  <c r="L5230" i="1"/>
  <c r="V5229" i="1"/>
  <c r="Z5229" i="1" s="1"/>
  <c r="U5229" i="1"/>
  <c r="T5229" i="1"/>
  <c r="W5229" i="1" s="1"/>
  <c r="S5229" i="1"/>
  <c r="R5229" i="1"/>
  <c r="Q5229" i="1"/>
  <c r="M5229" i="1"/>
  <c r="L5229" i="1"/>
  <c r="V5228" i="1"/>
  <c r="Z5228" i="1" s="1"/>
  <c r="U5228" i="1"/>
  <c r="T5228" i="1"/>
  <c r="W5228" i="1" s="1"/>
  <c r="S5228" i="1"/>
  <c r="R5228" i="1"/>
  <c r="Q5228" i="1"/>
  <c r="M5228" i="1"/>
  <c r="L5228" i="1"/>
  <c r="V5227" i="1"/>
  <c r="U5227" i="1"/>
  <c r="T5227" i="1"/>
  <c r="S5227" i="1"/>
  <c r="R5227" i="1"/>
  <c r="Q5227" i="1"/>
  <c r="M5227" i="1"/>
  <c r="L5227" i="1"/>
  <c r="V5226" i="1"/>
  <c r="U5226" i="1"/>
  <c r="T5226" i="1"/>
  <c r="S5226" i="1"/>
  <c r="R5226" i="1"/>
  <c r="Q5226" i="1"/>
  <c r="M5226" i="1"/>
  <c r="L5226" i="1"/>
  <c r="V5225" i="1"/>
  <c r="Z5225" i="1" s="1"/>
  <c r="U5225" i="1"/>
  <c r="T5225" i="1"/>
  <c r="W5225" i="1" s="1"/>
  <c r="S5225" i="1"/>
  <c r="R5225" i="1"/>
  <c r="Q5225" i="1"/>
  <c r="M5225" i="1"/>
  <c r="L5225" i="1"/>
  <c r="V5224" i="1"/>
  <c r="Z5224" i="1" s="1"/>
  <c r="U5224" i="1"/>
  <c r="T5224" i="1"/>
  <c r="S5224" i="1"/>
  <c r="R5224" i="1"/>
  <c r="Q5224" i="1"/>
  <c r="M5224" i="1"/>
  <c r="L5224" i="1"/>
  <c r="V5223" i="1"/>
  <c r="U5223" i="1"/>
  <c r="T5223" i="1"/>
  <c r="S5223" i="1"/>
  <c r="R5223" i="1"/>
  <c r="Q5223" i="1"/>
  <c r="M5223" i="1"/>
  <c r="L5223" i="1"/>
  <c r="V5222" i="1"/>
  <c r="U5222" i="1"/>
  <c r="T5222" i="1"/>
  <c r="S5222" i="1"/>
  <c r="R5222" i="1"/>
  <c r="Q5222" i="1"/>
  <c r="M5222" i="1"/>
  <c r="L5222" i="1"/>
  <c r="V5221" i="1"/>
  <c r="Z5221" i="1" s="1"/>
  <c r="U5221" i="1"/>
  <c r="T5221" i="1"/>
  <c r="W5221" i="1" s="1"/>
  <c r="S5221" i="1"/>
  <c r="R5221" i="1"/>
  <c r="Q5221" i="1"/>
  <c r="M5221" i="1"/>
  <c r="L5221" i="1"/>
  <c r="V5220" i="1"/>
  <c r="Z5220" i="1" s="1"/>
  <c r="U5220" i="1"/>
  <c r="T5220" i="1"/>
  <c r="W5220" i="1" s="1"/>
  <c r="S5220" i="1"/>
  <c r="R5220" i="1"/>
  <c r="Q5220" i="1"/>
  <c r="M5220" i="1"/>
  <c r="L5220" i="1"/>
  <c r="V5219" i="1"/>
  <c r="U5219" i="1"/>
  <c r="T5219" i="1"/>
  <c r="W5219" i="1" s="1"/>
  <c r="S5219" i="1"/>
  <c r="R5219" i="1"/>
  <c r="Q5219" i="1"/>
  <c r="M5219" i="1"/>
  <c r="L5219" i="1"/>
  <c r="V5218" i="1"/>
  <c r="U5218" i="1"/>
  <c r="T5218" i="1"/>
  <c r="S5218" i="1"/>
  <c r="R5218" i="1"/>
  <c r="Q5218" i="1"/>
  <c r="M5218" i="1"/>
  <c r="L5218" i="1"/>
  <c r="V5217" i="1"/>
  <c r="Z5217" i="1" s="1"/>
  <c r="U5217" i="1"/>
  <c r="T5217" i="1"/>
  <c r="W5217" i="1" s="1"/>
  <c r="S5217" i="1"/>
  <c r="R5217" i="1"/>
  <c r="Q5217" i="1"/>
  <c r="M5217" i="1"/>
  <c r="L5217" i="1"/>
  <c r="V5216" i="1"/>
  <c r="Z5216" i="1" s="1"/>
  <c r="U5216" i="1"/>
  <c r="T5216" i="1"/>
  <c r="W5216" i="1" s="1"/>
  <c r="S5216" i="1"/>
  <c r="R5216" i="1"/>
  <c r="Q5216" i="1"/>
  <c r="M5216" i="1"/>
  <c r="L5216" i="1"/>
  <c r="V5215" i="1"/>
  <c r="U5215" i="1"/>
  <c r="T5215" i="1"/>
  <c r="W5215" i="1" s="1"/>
  <c r="S5215" i="1"/>
  <c r="R5215" i="1"/>
  <c r="Q5215" i="1"/>
  <c r="M5215" i="1"/>
  <c r="L5215" i="1"/>
  <c r="V5214" i="1"/>
  <c r="U5214" i="1"/>
  <c r="T5214" i="1"/>
  <c r="S5214" i="1"/>
  <c r="R5214" i="1"/>
  <c r="Q5214" i="1"/>
  <c r="M5214" i="1"/>
  <c r="L5214" i="1"/>
  <c r="V5213" i="1"/>
  <c r="Z5213" i="1" s="1"/>
  <c r="U5213" i="1"/>
  <c r="T5213" i="1"/>
  <c r="W5213" i="1" s="1"/>
  <c r="S5213" i="1"/>
  <c r="R5213" i="1"/>
  <c r="Q5213" i="1"/>
  <c r="M5213" i="1"/>
  <c r="L5213" i="1"/>
  <c r="V5212" i="1"/>
  <c r="Z5212" i="1" s="1"/>
  <c r="U5212" i="1"/>
  <c r="T5212" i="1"/>
  <c r="S5212" i="1"/>
  <c r="R5212" i="1"/>
  <c r="Q5212" i="1"/>
  <c r="M5212" i="1"/>
  <c r="L5212" i="1"/>
  <c r="V5211" i="1"/>
  <c r="U5211" i="1"/>
  <c r="T5211" i="1"/>
  <c r="S5211" i="1"/>
  <c r="R5211" i="1"/>
  <c r="Q5211" i="1"/>
  <c r="M5211" i="1"/>
  <c r="L5211" i="1"/>
  <c r="V5210" i="1"/>
  <c r="U5210" i="1"/>
  <c r="T5210" i="1"/>
  <c r="S5210" i="1"/>
  <c r="R5210" i="1"/>
  <c r="Q5210" i="1"/>
  <c r="M5210" i="1"/>
  <c r="L5210" i="1"/>
  <c r="V5209" i="1"/>
  <c r="Z5209" i="1" s="1"/>
  <c r="U5209" i="1"/>
  <c r="T5209" i="1"/>
  <c r="W5209" i="1" s="1"/>
  <c r="S5209" i="1"/>
  <c r="R5209" i="1"/>
  <c r="Q5209" i="1"/>
  <c r="M5209" i="1"/>
  <c r="L5209" i="1"/>
  <c r="V5208" i="1"/>
  <c r="Z5208" i="1" s="1"/>
  <c r="U5208" i="1"/>
  <c r="T5208" i="1"/>
  <c r="W5208" i="1" s="1"/>
  <c r="S5208" i="1"/>
  <c r="R5208" i="1"/>
  <c r="Q5208" i="1"/>
  <c r="M5208" i="1"/>
  <c r="L5208" i="1"/>
  <c r="V5207" i="1"/>
  <c r="U5207" i="1"/>
  <c r="T5207" i="1"/>
  <c r="W5207" i="1" s="1"/>
  <c r="S5207" i="1"/>
  <c r="R5207" i="1"/>
  <c r="Q5207" i="1"/>
  <c r="M5207" i="1"/>
  <c r="L5207" i="1"/>
  <c r="V5206" i="1"/>
  <c r="U5206" i="1"/>
  <c r="T5206" i="1"/>
  <c r="S5206" i="1"/>
  <c r="R5206" i="1"/>
  <c r="Q5206" i="1"/>
  <c r="M5206" i="1"/>
  <c r="L5206" i="1"/>
  <c r="V5205" i="1"/>
  <c r="Z5205" i="1" s="1"/>
  <c r="U5205" i="1"/>
  <c r="T5205" i="1"/>
  <c r="W5205" i="1" s="1"/>
  <c r="S5205" i="1"/>
  <c r="R5205" i="1"/>
  <c r="Q5205" i="1"/>
  <c r="M5205" i="1"/>
  <c r="L5205" i="1"/>
  <c r="V5204" i="1"/>
  <c r="Z5204" i="1" s="1"/>
  <c r="U5204" i="1"/>
  <c r="T5204" i="1"/>
  <c r="W5204" i="1" s="1"/>
  <c r="S5204" i="1"/>
  <c r="R5204" i="1"/>
  <c r="Q5204" i="1"/>
  <c r="M5204" i="1"/>
  <c r="L5204" i="1"/>
  <c r="V5203" i="1"/>
  <c r="U5203" i="1"/>
  <c r="T5203" i="1"/>
  <c r="W5203" i="1" s="1"/>
  <c r="S5203" i="1"/>
  <c r="R5203" i="1"/>
  <c r="Q5203" i="1"/>
  <c r="M5203" i="1"/>
  <c r="L5203" i="1"/>
  <c r="V5202" i="1"/>
  <c r="U5202" i="1"/>
  <c r="T5202" i="1"/>
  <c r="S5202" i="1"/>
  <c r="R5202" i="1"/>
  <c r="Q5202" i="1"/>
  <c r="M5202" i="1"/>
  <c r="L5202" i="1"/>
  <c r="V5201" i="1"/>
  <c r="Z5201" i="1" s="1"/>
  <c r="U5201" i="1"/>
  <c r="T5201" i="1"/>
  <c r="W5201" i="1" s="1"/>
  <c r="S5201" i="1"/>
  <c r="R5201" i="1"/>
  <c r="Q5201" i="1"/>
  <c r="M5201" i="1"/>
  <c r="L5201" i="1"/>
  <c r="V5200" i="1"/>
  <c r="Z5200" i="1" s="1"/>
  <c r="U5200" i="1"/>
  <c r="T5200" i="1"/>
  <c r="S5200" i="1"/>
  <c r="R5200" i="1"/>
  <c r="Q5200" i="1"/>
  <c r="M5200" i="1"/>
  <c r="L5200" i="1"/>
  <c r="V5199" i="1"/>
  <c r="U5199" i="1"/>
  <c r="T5199" i="1"/>
  <c r="S5199" i="1"/>
  <c r="R5199" i="1"/>
  <c r="Q5199" i="1"/>
  <c r="M5199" i="1"/>
  <c r="L5199" i="1"/>
  <c r="V5198" i="1"/>
  <c r="U5198" i="1"/>
  <c r="T5198" i="1"/>
  <c r="S5198" i="1"/>
  <c r="R5198" i="1"/>
  <c r="Q5198" i="1"/>
  <c r="M5198" i="1"/>
  <c r="L5198" i="1"/>
  <c r="V5197" i="1"/>
  <c r="Z5197" i="1" s="1"/>
  <c r="U5197" i="1"/>
  <c r="T5197" i="1"/>
  <c r="W5197" i="1" s="1"/>
  <c r="S5197" i="1"/>
  <c r="R5197" i="1"/>
  <c r="Q5197" i="1"/>
  <c r="M5197" i="1"/>
  <c r="L5197" i="1"/>
  <c r="V5196" i="1"/>
  <c r="Z5196" i="1" s="1"/>
  <c r="U5196" i="1"/>
  <c r="T5196" i="1"/>
  <c r="W5196" i="1" s="1"/>
  <c r="S5196" i="1"/>
  <c r="R5196" i="1"/>
  <c r="Q5196" i="1"/>
  <c r="M5196" i="1"/>
  <c r="L5196" i="1"/>
  <c r="V5195" i="1"/>
  <c r="U5195" i="1"/>
  <c r="T5195" i="1"/>
  <c r="W5195" i="1" s="1"/>
  <c r="S5195" i="1"/>
  <c r="R5195" i="1"/>
  <c r="Q5195" i="1"/>
  <c r="M5195" i="1"/>
  <c r="L5195" i="1"/>
  <c r="V5194" i="1"/>
  <c r="U5194" i="1"/>
  <c r="T5194" i="1"/>
  <c r="S5194" i="1"/>
  <c r="R5194" i="1"/>
  <c r="Q5194" i="1"/>
  <c r="M5194" i="1"/>
  <c r="L5194" i="1"/>
  <c r="V5193" i="1"/>
  <c r="Z5193" i="1" s="1"/>
  <c r="U5193" i="1"/>
  <c r="T5193" i="1"/>
  <c r="W5193" i="1" s="1"/>
  <c r="S5193" i="1"/>
  <c r="R5193" i="1"/>
  <c r="Q5193" i="1"/>
  <c r="M5193" i="1"/>
  <c r="L5193" i="1"/>
  <c r="V5192" i="1"/>
  <c r="Z5192" i="1" s="1"/>
  <c r="U5192" i="1"/>
  <c r="T5192" i="1"/>
  <c r="W5192" i="1" s="1"/>
  <c r="S5192" i="1"/>
  <c r="R5192" i="1"/>
  <c r="Q5192" i="1"/>
  <c r="M5192" i="1"/>
  <c r="L5192" i="1"/>
  <c r="V5191" i="1"/>
  <c r="U5191" i="1"/>
  <c r="T5191" i="1"/>
  <c r="W5191" i="1" s="1"/>
  <c r="S5191" i="1"/>
  <c r="R5191" i="1"/>
  <c r="Q5191" i="1"/>
  <c r="M5191" i="1"/>
  <c r="L5191" i="1"/>
  <c r="V5190" i="1"/>
  <c r="U5190" i="1"/>
  <c r="T5190" i="1"/>
  <c r="S5190" i="1"/>
  <c r="R5190" i="1"/>
  <c r="Q5190" i="1"/>
  <c r="M5190" i="1"/>
  <c r="L5190" i="1"/>
  <c r="V5189" i="1"/>
  <c r="Z5189" i="1" s="1"/>
  <c r="U5189" i="1"/>
  <c r="T5189" i="1"/>
  <c r="W5189" i="1" s="1"/>
  <c r="S5189" i="1"/>
  <c r="R5189" i="1"/>
  <c r="Q5189" i="1"/>
  <c r="M5189" i="1"/>
  <c r="L5189" i="1"/>
  <c r="V5188" i="1"/>
  <c r="Z5188" i="1" s="1"/>
  <c r="U5188" i="1"/>
  <c r="T5188" i="1"/>
  <c r="S5188" i="1"/>
  <c r="R5188" i="1"/>
  <c r="Q5188" i="1"/>
  <c r="M5188" i="1"/>
  <c r="L5188" i="1"/>
  <c r="V5187" i="1"/>
  <c r="U5187" i="1"/>
  <c r="T5187" i="1"/>
  <c r="S5187" i="1"/>
  <c r="R5187" i="1"/>
  <c r="Q5187" i="1"/>
  <c r="M5187" i="1"/>
  <c r="L5187" i="1"/>
  <c r="V5186" i="1"/>
  <c r="U5186" i="1"/>
  <c r="T5186" i="1"/>
  <c r="S5186" i="1"/>
  <c r="R5186" i="1"/>
  <c r="Q5186" i="1"/>
  <c r="M5186" i="1"/>
  <c r="L5186" i="1"/>
  <c r="V5185" i="1"/>
  <c r="Z5185" i="1" s="1"/>
  <c r="U5185" i="1"/>
  <c r="T5185" i="1"/>
  <c r="W5185" i="1" s="1"/>
  <c r="S5185" i="1"/>
  <c r="R5185" i="1"/>
  <c r="Q5185" i="1"/>
  <c r="M5185" i="1"/>
  <c r="L5185" i="1"/>
  <c r="V5184" i="1"/>
  <c r="Z5184" i="1" s="1"/>
  <c r="U5184" i="1"/>
  <c r="T5184" i="1"/>
  <c r="S5184" i="1"/>
  <c r="R5184" i="1"/>
  <c r="Q5184" i="1"/>
  <c r="M5184" i="1"/>
  <c r="L5184" i="1"/>
  <c r="V5183" i="1"/>
  <c r="U5183" i="1"/>
  <c r="T5183" i="1"/>
  <c r="W5183" i="1" s="1"/>
  <c r="S5183" i="1"/>
  <c r="R5183" i="1"/>
  <c r="Q5183" i="1"/>
  <c r="M5183" i="1"/>
  <c r="L5183" i="1"/>
  <c r="V5182" i="1"/>
  <c r="U5182" i="1"/>
  <c r="T5182" i="1"/>
  <c r="S5182" i="1"/>
  <c r="R5182" i="1"/>
  <c r="Q5182" i="1"/>
  <c r="M5182" i="1"/>
  <c r="L5182" i="1"/>
  <c r="V5181" i="1"/>
  <c r="Z5181" i="1" s="1"/>
  <c r="U5181" i="1"/>
  <c r="T5181" i="1"/>
  <c r="W5181" i="1" s="1"/>
  <c r="S5181" i="1"/>
  <c r="R5181" i="1"/>
  <c r="Q5181" i="1"/>
  <c r="M5181" i="1"/>
  <c r="L5181" i="1"/>
  <c r="V5180" i="1"/>
  <c r="Z5180" i="1" s="1"/>
  <c r="U5180" i="1"/>
  <c r="T5180" i="1"/>
  <c r="W5180" i="1" s="1"/>
  <c r="S5180" i="1"/>
  <c r="R5180" i="1"/>
  <c r="Q5180" i="1"/>
  <c r="M5180" i="1"/>
  <c r="L5180" i="1"/>
  <c r="V5179" i="1"/>
  <c r="U5179" i="1"/>
  <c r="T5179" i="1"/>
  <c r="W5179" i="1" s="1"/>
  <c r="S5179" i="1"/>
  <c r="R5179" i="1"/>
  <c r="Q5179" i="1"/>
  <c r="M5179" i="1"/>
  <c r="L5179" i="1"/>
  <c r="V5178" i="1"/>
  <c r="U5178" i="1"/>
  <c r="T5178" i="1"/>
  <c r="S5178" i="1"/>
  <c r="R5178" i="1"/>
  <c r="Q5178" i="1"/>
  <c r="M5178" i="1"/>
  <c r="L5178" i="1"/>
  <c r="V5177" i="1"/>
  <c r="Z5177" i="1" s="1"/>
  <c r="U5177" i="1"/>
  <c r="T5177" i="1"/>
  <c r="W5177" i="1" s="1"/>
  <c r="S5177" i="1"/>
  <c r="R5177" i="1"/>
  <c r="Q5177" i="1"/>
  <c r="M5177" i="1"/>
  <c r="L5177" i="1"/>
  <c r="V5176" i="1"/>
  <c r="Z5176" i="1" s="1"/>
  <c r="U5176" i="1"/>
  <c r="T5176" i="1"/>
  <c r="W5176" i="1" s="1"/>
  <c r="S5176" i="1"/>
  <c r="R5176" i="1"/>
  <c r="Q5176" i="1"/>
  <c r="M5176" i="1"/>
  <c r="L5176" i="1"/>
  <c r="V5175" i="1"/>
  <c r="U5175" i="1"/>
  <c r="T5175" i="1"/>
  <c r="S5175" i="1"/>
  <c r="R5175" i="1"/>
  <c r="Q5175" i="1"/>
  <c r="M5175" i="1"/>
  <c r="L5175" i="1"/>
  <c r="V5174" i="1"/>
  <c r="U5174" i="1"/>
  <c r="T5174" i="1"/>
  <c r="S5174" i="1"/>
  <c r="R5174" i="1"/>
  <c r="Q5174" i="1"/>
  <c r="M5174" i="1"/>
  <c r="L5174" i="1"/>
  <c r="V5173" i="1"/>
  <c r="Z5173" i="1" s="1"/>
  <c r="U5173" i="1"/>
  <c r="T5173" i="1"/>
  <c r="W5173" i="1" s="1"/>
  <c r="S5173" i="1"/>
  <c r="R5173" i="1"/>
  <c r="Q5173" i="1"/>
  <c r="M5173" i="1"/>
  <c r="L5173" i="1"/>
  <c r="V5172" i="1"/>
  <c r="Z5172" i="1" s="1"/>
  <c r="U5172" i="1"/>
  <c r="T5172" i="1"/>
  <c r="S5172" i="1"/>
  <c r="R5172" i="1"/>
  <c r="Q5172" i="1"/>
  <c r="M5172" i="1"/>
  <c r="L5172" i="1"/>
  <c r="V5171" i="1"/>
  <c r="U5171" i="1"/>
  <c r="T5171" i="1"/>
  <c r="W5171" i="1" s="1"/>
  <c r="S5171" i="1"/>
  <c r="R5171" i="1"/>
  <c r="Q5171" i="1"/>
  <c r="M5171" i="1"/>
  <c r="L5171" i="1"/>
  <c r="V5170" i="1"/>
  <c r="U5170" i="1"/>
  <c r="T5170" i="1"/>
  <c r="S5170" i="1"/>
  <c r="R5170" i="1"/>
  <c r="Q5170" i="1"/>
  <c r="M5170" i="1"/>
  <c r="L5170" i="1"/>
  <c r="V5169" i="1"/>
  <c r="Z5169" i="1" s="1"/>
  <c r="U5169" i="1"/>
  <c r="T5169" i="1"/>
  <c r="W5169" i="1" s="1"/>
  <c r="S5169" i="1"/>
  <c r="R5169" i="1"/>
  <c r="Q5169" i="1"/>
  <c r="M5169" i="1"/>
  <c r="L5169" i="1"/>
  <c r="V5168" i="1"/>
  <c r="Z5168" i="1" s="1"/>
  <c r="U5168" i="1"/>
  <c r="T5168" i="1"/>
  <c r="W5168" i="1" s="1"/>
  <c r="S5168" i="1"/>
  <c r="R5168" i="1"/>
  <c r="Q5168" i="1"/>
  <c r="M5168" i="1"/>
  <c r="L5168" i="1"/>
  <c r="V5167" i="1"/>
  <c r="U5167" i="1"/>
  <c r="T5167" i="1"/>
  <c r="W5167" i="1" s="1"/>
  <c r="S5167" i="1"/>
  <c r="R5167" i="1"/>
  <c r="Q5167" i="1"/>
  <c r="M5167" i="1"/>
  <c r="L5167" i="1"/>
  <c r="V5166" i="1"/>
  <c r="U5166" i="1"/>
  <c r="T5166" i="1"/>
  <c r="S5166" i="1"/>
  <c r="R5166" i="1"/>
  <c r="Q5166" i="1"/>
  <c r="M5166" i="1"/>
  <c r="L5166" i="1"/>
  <c r="V5165" i="1"/>
  <c r="Z5165" i="1" s="1"/>
  <c r="U5165" i="1"/>
  <c r="T5165" i="1"/>
  <c r="W5165" i="1" s="1"/>
  <c r="S5165" i="1"/>
  <c r="R5165" i="1"/>
  <c r="Q5165" i="1"/>
  <c r="M5165" i="1"/>
  <c r="L5165" i="1"/>
  <c r="V5164" i="1"/>
  <c r="Z5164" i="1" s="1"/>
  <c r="U5164" i="1"/>
  <c r="T5164" i="1"/>
  <c r="W5164" i="1" s="1"/>
  <c r="S5164" i="1"/>
  <c r="R5164" i="1"/>
  <c r="Q5164" i="1"/>
  <c r="M5164" i="1"/>
  <c r="L5164" i="1"/>
  <c r="V5163" i="1"/>
  <c r="U5163" i="1"/>
  <c r="T5163" i="1"/>
  <c r="S5163" i="1"/>
  <c r="R5163" i="1"/>
  <c r="Q5163" i="1"/>
  <c r="M5163" i="1"/>
  <c r="L5163" i="1"/>
  <c r="V5162" i="1"/>
  <c r="U5162" i="1"/>
  <c r="T5162" i="1"/>
  <c r="S5162" i="1"/>
  <c r="R5162" i="1"/>
  <c r="Q5162" i="1"/>
  <c r="M5162" i="1"/>
  <c r="L5162" i="1"/>
  <c r="V5161" i="1"/>
  <c r="Z5161" i="1" s="1"/>
  <c r="U5161" i="1"/>
  <c r="T5161" i="1"/>
  <c r="W5161" i="1" s="1"/>
  <c r="S5161" i="1"/>
  <c r="R5161" i="1"/>
  <c r="Q5161" i="1"/>
  <c r="M5161" i="1"/>
  <c r="L5161" i="1"/>
  <c r="V5160" i="1"/>
  <c r="Z5160" i="1" s="1"/>
  <c r="U5160" i="1"/>
  <c r="T5160" i="1"/>
  <c r="S5160" i="1"/>
  <c r="R5160" i="1"/>
  <c r="Q5160" i="1"/>
  <c r="M5160" i="1"/>
  <c r="L5160" i="1"/>
  <c r="V5159" i="1"/>
  <c r="U5159" i="1"/>
  <c r="T5159" i="1"/>
  <c r="S5159" i="1"/>
  <c r="R5159" i="1"/>
  <c r="Q5159" i="1"/>
  <c r="M5159" i="1"/>
  <c r="L5159" i="1"/>
  <c r="V5158" i="1"/>
  <c r="U5158" i="1"/>
  <c r="T5158" i="1"/>
  <c r="S5158" i="1"/>
  <c r="R5158" i="1"/>
  <c r="Q5158" i="1"/>
  <c r="M5158" i="1"/>
  <c r="L5158" i="1"/>
  <c r="V5157" i="1"/>
  <c r="Z5157" i="1" s="1"/>
  <c r="U5157" i="1"/>
  <c r="T5157" i="1"/>
  <c r="W5157" i="1" s="1"/>
  <c r="S5157" i="1"/>
  <c r="R5157" i="1"/>
  <c r="Q5157" i="1"/>
  <c r="M5157" i="1"/>
  <c r="L5157" i="1"/>
  <c r="V5156" i="1"/>
  <c r="Z5156" i="1" s="1"/>
  <c r="U5156" i="1"/>
  <c r="T5156" i="1"/>
  <c r="W5156" i="1" s="1"/>
  <c r="S5156" i="1"/>
  <c r="R5156" i="1"/>
  <c r="Q5156" i="1"/>
  <c r="M5156" i="1"/>
  <c r="L5156" i="1"/>
  <c r="V5155" i="1"/>
  <c r="U5155" i="1"/>
  <c r="T5155" i="1"/>
  <c r="W5155" i="1" s="1"/>
  <c r="S5155" i="1"/>
  <c r="R5155" i="1"/>
  <c r="Q5155" i="1"/>
  <c r="M5155" i="1"/>
  <c r="L5155" i="1"/>
  <c r="V5154" i="1"/>
  <c r="U5154" i="1"/>
  <c r="T5154" i="1"/>
  <c r="S5154" i="1"/>
  <c r="R5154" i="1"/>
  <c r="Q5154" i="1"/>
  <c r="M5154" i="1"/>
  <c r="L5154" i="1"/>
  <c r="V5153" i="1"/>
  <c r="Z5153" i="1" s="1"/>
  <c r="U5153" i="1"/>
  <c r="T5153" i="1"/>
  <c r="W5153" i="1" s="1"/>
  <c r="S5153" i="1"/>
  <c r="R5153" i="1"/>
  <c r="Q5153" i="1"/>
  <c r="M5153" i="1"/>
  <c r="L5153" i="1"/>
  <c r="V5152" i="1"/>
  <c r="Z5152" i="1" s="1"/>
  <c r="U5152" i="1"/>
  <c r="T5152" i="1"/>
  <c r="W5152" i="1" s="1"/>
  <c r="S5152" i="1"/>
  <c r="R5152" i="1"/>
  <c r="Q5152" i="1"/>
  <c r="M5152" i="1"/>
  <c r="L5152" i="1"/>
  <c r="V5151" i="1"/>
  <c r="U5151" i="1"/>
  <c r="T5151" i="1"/>
  <c r="W5151" i="1" s="1"/>
  <c r="S5151" i="1"/>
  <c r="R5151" i="1"/>
  <c r="Q5151" i="1"/>
  <c r="M5151" i="1"/>
  <c r="L5151" i="1"/>
  <c r="V5150" i="1"/>
  <c r="U5150" i="1"/>
  <c r="T5150" i="1"/>
  <c r="S5150" i="1"/>
  <c r="R5150" i="1"/>
  <c r="Q5150" i="1"/>
  <c r="M5150" i="1"/>
  <c r="L5150" i="1"/>
  <c r="V5149" i="1"/>
  <c r="Z5149" i="1" s="1"/>
  <c r="U5149" i="1"/>
  <c r="T5149" i="1"/>
  <c r="W5149" i="1" s="1"/>
  <c r="S5149" i="1"/>
  <c r="R5149" i="1"/>
  <c r="Q5149" i="1"/>
  <c r="M5149" i="1"/>
  <c r="L5149" i="1"/>
  <c r="V5148" i="1"/>
  <c r="Z5148" i="1" s="1"/>
  <c r="U5148" i="1"/>
  <c r="T5148" i="1"/>
  <c r="W5148" i="1" s="1"/>
  <c r="S5148" i="1"/>
  <c r="R5148" i="1"/>
  <c r="Q5148" i="1"/>
  <c r="M5148" i="1"/>
  <c r="L5148" i="1"/>
  <c r="V5147" i="1"/>
  <c r="U5147" i="1"/>
  <c r="T5147" i="1"/>
  <c r="S5147" i="1"/>
  <c r="R5147" i="1"/>
  <c r="Q5147" i="1"/>
  <c r="M5147" i="1"/>
  <c r="L5147" i="1"/>
  <c r="V5146" i="1"/>
  <c r="U5146" i="1"/>
  <c r="T5146" i="1"/>
  <c r="S5146" i="1"/>
  <c r="R5146" i="1"/>
  <c r="Q5146" i="1"/>
  <c r="M5146" i="1"/>
  <c r="L5146" i="1"/>
  <c r="V5145" i="1"/>
  <c r="Z5145" i="1" s="1"/>
  <c r="U5145" i="1"/>
  <c r="T5145" i="1"/>
  <c r="W5145" i="1" s="1"/>
  <c r="S5145" i="1"/>
  <c r="R5145" i="1"/>
  <c r="Q5145" i="1"/>
  <c r="M5145" i="1"/>
  <c r="L5145" i="1"/>
  <c r="V5144" i="1"/>
  <c r="Z5144" i="1" s="1"/>
  <c r="U5144" i="1"/>
  <c r="T5144" i="1"/>
  <c r="W5144" i="1" s="1"/>
  <c r="S5144" i="1"/>
  <c r="R5144" i="1"/>
  <c r="Q5144" i="1"/>
  <c r="M5144" i="1"/>
  <c r="L5144" i="1"/>
  <c r="V5143" i="1"/>
  <c r="U5143" i="1"/>
  <c r="T5143" i="1"/>
  <c r="W5143" i="1" s="1"/>
  <c r="S5143" i="1"/>
  <c r="R5143" i="1"/>
  <c r="Q5143" i="1"/>
  <c r="M5143" i="1"/>
  <c r="L5143" i="1"/>
  <c r="V5142" i="1"/>
  <c r="U5142" i="1"/>
  <c r="T5142" i="1"/>
  <c r="S5142" i="1"/>
  <c r="R5142" i="1"/>
  <c r="Q5142" i="1"/>
  <c r="M5142" i="1"/>
  <c r="L5142" i="1"/>
  <c r="V5141" i="1"/>
  <c r="Z5141" i="1" s="1"/>
  <c r="U5141" i="1"/>
  <c r="T5141" i="1"/>
  <c r="W5141" i="1" s="1"/>
  <c r="S5141" i="1"/>
  <c r="R5141" i="1"/>
  <c r="Q5141" i="1"/>
  <c r="M5141" i="1"/>
  <c r="L5141" i="1"/>
  <c r="V5140" i="1"/>
  <c r="Z5140" i="1" s="1"/>
  <c r="U5140" i="1"/>
  <c r="T5140" i="1"/>
  <c r="W5140" i="1" s="1"/>
  <c r="S5140" i="1"/>
  <c r="R5140" i="1"/>
  <c r="Q5140" i="1"/>
  <c r="M5140" i="1"/>
  <c r="L5140" i="1"/>
  <c r="V5139" i="1"/>
  <c r="U5139" i="1"/>
  <c r="T5139" i="1"/>
  <c r="W5139" i="1" s="1"/>
  <c r="S5139" i="1"/>
  <c r="R5139" i="1"/>
  <c r="Q5139" i="1"/>
  <c r="M5139" i="1"/>
  <c r="L5139" i="1"/>
  <c r="V5138" i="1"/>
  <c r="U5138" i="1"/>
  <c r="T5138" i="1"/>
  <c r="S5138" i="1"/>
  <c r="R5138" i="1"/>
  <c r="Q5138" i="1"/>
  <c r="M5138" i="1"/>
  <c r="L5138" i="1"/>
  <c r="V5137" i="1"/>
  <c r="Z5137" i="1" s="1"/>
  <c r="U5137" i="1"/>
  <c r="T5137" i="1"/>
  <c r="W5137" i="1" s="1"/>
  <c r="S5137" i="1"/>
  <c r="R5137" i="1"/>
  <c r="Q5137" i="1"/>
  <c r="M5137" i="1"/>
  <c r="L5137" i="1"/>
  <c r="V5136" i="1"/>
  <c r="Z5136" i="1" s="1"/>
  <c r="U5136" i="1"/>
  <c r="T5136" i="1"/>
  <c r="S5136" i="1"/>
  <c r="R5136" i="1"/>
  <c r="Q5136" i="1"/>
  <c r="M5136" i="1"/>
  <c r="L5136" i="1"/>
  <c r="V5135" i="1"/>
  <c r="U5135" i="1"/>
  <c r="T5135" i="1"/>
  <c r="S5135" i="1"/>
  <c r="R5135" i="1"/>
  <c r="Q5135" i="1"/>
  <c r="M5135" i="1"/>
  <c r="L5135" i="1"/>
  <c r="V5134" i="1"/>
  <c r="U5134" i="1"/>
  <c r="T5134" i="1"/>
  <c r="S5134" i="1"/>
  <c r="R5134" i="1"/>
  <c r="Q5134" i="1"/>
  <c r="M5134" i="1"/>
  <c r="L5134" i="1"/>
  <c r="V5133" i="1"/>
  <c r="Z5133" i="1" s="1"/>
  <c r="U5133" i="1"/>
  <c r="T5133" i="1"/>
  <c r="W5133" i="1" s="1"/>
  <c r="S5133" i="1"/>
  <c r="R5133" i="1"/>
  <c r="Q5133" i="1"/>
  <c r="M5133" i="1"/>
  <c r="L5133" i="1"/>
  <c r="V5132" i="1"/>
  <c r="Z5132" i="1" s="1"/>
  <c r="U5132" i="1"/>
  <c r="T5132" i="1"/>
  <c r="W5132" i="1" s="1"/>
  <c r="S5132" i="1"/>
  <c r="R5132" i="1"/>
  <c r="Q5132" i="1"/>
  <c r="M5132" i="1"/>
  <c r="L5132" i="1"/>
  <c r="V5131" i="1"/>
  <c r="U5131" i="1"/>
  <c r="T5131" i="1"/>
  <c r="W5131" i="1" s="1"/>
  <c r="S5131" i="1"/>
  <c r="R5131" i="1"/>
  <c r="Q5131" i="1"/>
  <c r="M5131" i="1"/>
  <c r="L5131" i="1"/>
  <c r="V5130" i="1"/>
  <c r="U5130" i="1"/>
  <c r="T5130" i="1"/>
  <c r="S5130" i="1"/>
  <c r="R5130" i="1"/>
  <c r="Q5130" i="1"/>
  <c r="M5130" i="1"/>
  <c r="L5130" i="1"/>
  <c r="V5129" i="1"/>
  <c r="Z5129" i="1" s="1"/>
  <c r="U5129" i="1"/>
  <c r="T5129" i="1"/>
  <c r="W5129" i="1" s="1"/>
  <c r="S5129" i="1"/>
  <c r="R5129" i="1"/>
  <c r="Q5129" i="1"/>
  <c r="M5129" i="1"/>
  <c r="L5129" i="1"/>
  <c r="V5128" i="1"/>
  <c r="Z5128" i="1" s="1"/>
  <c r="U5128" i="1"/>
  <c r="T5128" i="1"/>
  <c r="S5128" i="1"/>
  <c r="R5128" i="1"/>
  <c r="Q5128" i="1"/>
  <c r="M5128" i="1"/>
  <c r="L5128" i="1"/>
  <c r="V5127" i="1"/>
  <c r="U5127" i="1"/>
  <c r="T5127" i="1"/>
  <c r="W5127" i="1" s="1"/>
  <c r="S5127" i="1"/>
  <c r="R5127" i="1"/>
  <c r="Q5127" i="1"/>
  <c r="M5127" i="1"/>
  <c r="L5127" i="1"/>
  <c r="V5126" i="1"/>
  <c r="U5126" i="1"/>
  <c r="T5126" i="1"/>
  <c r="S5126" i="1"/>
  <c r="R5126" i="1"/>
  <c r="Q5126" i="1"/>
  <c r="M5126" i="1"/>
  <c r="L5126" i="1"/>
  <c r="V5125" i="1"/>
  <c r="Z5125" i="1" s="1"/>
  <c r="U5125" i="1"/>
  <c r="T5125" i="1"/>
  <c r="W5125" i="1" s="1"/>
  <c r="S5125" i="1"/>
  <c r="R5125" i="1"/>
  <c r="Q5125" i="1"/>
  <c r="M5125" i="1"/>
  <c r="L5125" i="1"/>
  <c r="V5124" i="1"/>
  <c r="Z5124" i="1" s="1"/>
  <c r="U5124" i="1"/>
  <c r="T5124" i="1"/>
  <c r="S5124" i="1"/>
  <c r="R5124" i="1"/>
  <c r="Q5124" i="1"/>
  <c r="M5124" i="1"/>
  <c r="L5124" i="1"/>
  <c r="V5123" i="1"/>
  <c r="U5123" i="1"/>
  <c r="T5123" i="1"/>
  <c r="S5123" i="1"/>
  <c r="R5123" i="1"/>
  <c r="Q5123" i="1"/>
  <c r="M5123" i="1"/>
  <c r="L5123" i="1"/>
  <c r="V5122" i="1"/>
  <c r="U5122" i="1"/>
  <c r="T5122" i="1"/>
  <c r="S5122" i="1"/>
  <c r="R5122" i="1"/>
  <c r="Q5122" i="1"/>
  <c r="M5122" i="1"/>
  <c r="L5122" i="1"/>
  <c r="V5121" i="1"/>
  <c r="Z5121" i="1" s="1"/>
  <c r="U5121" i="1"/>
  <c r="T5121" i="1"/>
  <c r="W5121" i="1" s="1"/>
  <c r="S5121" i="1"/>
  <c r="R5121" i="1"/>
  <c r="Q5121" i="1"/>
  <c r="M5121" i="1"/>
  <c r="L5121" i="1"/>
  <c r="V5120" i="1"/>
  <c r="Z5120" i="1" s="1"/>
  <c r="U5120" i="1"/>
  <c r="T5120" i="1"/>
  <c r="S5120" i="1"/>
  <c r="R5120" i="1"/>
  <c r="Q5120" i="1"/>
  <c r="M5120" i="1"/>
  <c r="L5120" i="1"/>
  <c r="V5119" i="1"/>
  <c r="U5119" i="1"/>
  <c r="T5119" i="1"/>
  <c r="W5119" i="1" s="1"/>
  <c r="S5119" i="1"/>
  <c r="R5119" i="1"/>
  <c r="Q5119" i="1"/>
  <c r="M5119" i="1"/>
  <c r="L5119" i="1"/>
  <c r="V5118" i="1"/>
  <c r="U5118" i="1"/>
  <c r="T5118" i="1"/>
  <c r="S5118" i="1"/>
  <c r="R5118" i="1"/>
  <c r="Q5118" i="1"/>
  <c r="M5118" i="1"/>
  <c r="L5118" i="1"/>
  <c r="V5117" i="1"/>
  <c r="Z5117" i="1" s="1"/>
  <c r="U5117" i="1"/>
  <c r="T5117" i="1"/>
  <c r="W5117" i="1" s="1"/>
  <c r="S5117" i="1"/>
  <c r="R5117" i="1"/>
  <c r="Q5117" i="1"/>
  <c r="M5117" i="1"/>
  <c r="L5117" i="1"/>
  <c r="V5116" i="1"/>
  <c r="Z5116" i="1" s="1"/>
  <c r="U5116" i="1"/>
  <c r="T5116" i="1"/>
  <c r="W5116" i="1" s="1"/>
  <c r="S5116" i="1"/>
  <c r="R5116" i="1"/>
  <c r="Q5116" i="1"/>
  <c r="M5116" i="1"/>
  <c r="L5116" i="1"/>
  <c r="V5115" i="1"/>
  <c r="U5115" i="1"/>
  <c r="T5115" i="1"/>
  <c r="W5115" i="1" s="1"/>
  <c r="S5115" i="1"/>
  <c r="R5115" i="1"/>
  <c r="Q5115" i="1"/>
  <c r="M5115" i="1"/>
  <c r="L5115" i="1"/>
  <c r="V5114" i="1"/>
  <c r="U5114" i="1"/>
  <c r="T5114" i="1"/>
  <c r="S5114" i="1"/>
  <c r="R5114" i="1"/>
  <c r="Q5114" i="1"/>
  <c r="M5114" i="1"/>
  <c r="L5114" i="1"/>
  <c r="V5113" i="1"/>
  <c r="Z5113" i="1" s="1"/>
  <c r="U5113" i="1"/>
  <c r="T5113" i="1"/>
  <c r="W5113" i="1" s="1"/>
  <c r="S5113" i="1"/>
  <c r="R5113" i="1"/>
  <c r="Q5113" i="1"/>
  <c r="M5113" i="1"/>
  <c r="L5113" i="1"/>
  <c r="V5112" i="1"/>
  <c r="Z5112" i="1" s="1"/>
  <c r="U5112" i="1"/>
  <c r="T5112" i="1"/>
  <c r="W5112" i="1" s="1"/>
  <c r="S5112" i="1"/>
  <c r="R5112" i="1"/>
  <c r="Q5112" i="1"/>
  <c r="M5112" i="1"/>
  <c r="L5112" i="1"/>
  <c r="V5111" i="1"/>
  <c r="U5111" i="1"/>
  <c r="T5111" i="1"/>
  <c r="S5111" i="1"/>
  <c r="R5111" i="1"/>
  <c r="Q5111" i="1"/>
  <c r="M5111" i="1"/>
  <c r="L5111" i="1"/>
  <c r="V5110" i="1"/>
  <c r="U5110" i="1"/>
  <c r="T5110" i="1"/>
  <c r="S5110" i="1"/>
  <c r="R5110" i="1"/>
  <c r="Q5110" i="1"/>
  <c r="M5110" i="1"/>
  <c r="L5110" i="1"/>
  <c r="V5109" i="1"/>
  <c r="Z5109" i="1" s="1"/>
  <c r="U5109" i="1"/>
  <c r="T5109" i="1"/>
  <c r="W5109" i="1" s="1"/>
  <c r="S5109" i="1"/>
  <c r="R5109" i="1"/>
  <c r="Q5109" i="1"/>
  <c r="M5109" i="1"/>
  <c r="L5109" i="1"/>
  <c r="V5108" i="1"/>
  <c r="Z5108" i="1" s="1"/>
  <c r="U5108" i="1"/>
  <c r="T5108" i="1"/>
  <c r="S5108" i="1"/>
  <c r="R5108" i="1"/>
  <c r="Q5108" i="1"/>
  <c r="M5108" i="1"/>
  <c r="L5108" i="1"/>
  <c r="V5107" i="1"/>
  <c r="U5107" i="1"/>
  <c r="T5107" i="1"/>
  <c r="W5107" i="1" s="1"/>
  <c r="S5107" i="1"/>
  <c r="R5107" i="1"/>
  <c r="Q5107" i="1"/>
  <c r="M5107" i="1"/>
  <c r="L5107" i="1"/>
  <c r="V5106" i="1"/>
  <c r="U5106" i="1"/>
  <c r="T5106" i="1"/>
  <c r="S5106" i="1"/>
  <c r="R5106" i="1"/>
  <c r="Q5106" i="1"/>
  <c r="M5106" i="1"/>
  <c r="L5106" i="1"/>
  <c r="V5105" i="1"/>
  <c r="Z5105" i="1" s="1"/>
  <c r="U5105" i="1"/>
  <c r="T5105" i="1"/>
  <c r="W5105" i="1" s="1"/>
  <c r="S5105" i="1"/>
  <c r="R5105" i="1"/>
  <c r="Q5105" i="1"/>
  <c r="M5105" i="1"/>
  <c r="L5105" i="1"/>
  <c r="V5104" i="1"/>
  <c r="Z5104" i="1" s="1"/>
  <c r="U5104" i="1"/>
  <c r="T5104" i="1"/>
  <c r="W5104" i="1" s="1"/>
  <c r="S5104" i="1"/>
  <c r="R5104" i="1"/>
  <c r="Q5104" i="1"/>
  <c r="M5104" i="1"/>
  <c r="L5104" i="1"/>
  <c r="V5103" i="1"/>
  <c r="U5103" i="1"/>
  <c r="T5103" i="1"/>
  <c r="W5103" i="1" s="1"/>
  <c r="S5103" i="1"/>
  <c r="R5103" i="1"/>
  <c r="Q5103" i="1"/>
  <c r="M5103" i="1"/>
  <c r="L5103" i="1"/>
  <c r="V5102" i="1"/>
  <c r="U5102" i="1"/>
  <c r="T5102" i="1"/>
  <c r="S5102" i="1"/>
  <c r="R5102" i="1"/>
  <c r="Q5102" i="1"/>
  <c r="M5102" i="1"/>
  <c r="L5102" i="1"/>
  <c r="V5101" i="1"/>
  <c r="Z5101" i="1" s="1"/>
  <c r="U5101" i="1"/>
  <c r="T5101" i="1"/>
  <c r="W5101" i="1" s="1"/>
  <c r="S5101" i="1"/>
  <c r="R5101" i="1"/>
  <c r="Q5101" i="1"/>
  <c r="M5101" i="1"/>
  <c r="L5101" i="1"/>
  <c r="V5100" i="1"/>
  <c r="Z5100" i="1" s="1"/>
  <c r="U5100" i="1"/>
  <c r="T5100" i="1"/>
  <c r="W5100" i="1" s="1"/>
  <c r="S5100" i="1"/>
  <c r="R5100" i="1"/>
  <c r="Q5100" i="1"/>
  <c r="M5100" i="1"/>
  <c r="L5100" i="1"/>
  <c r="V5099" i="1"/>
  <c r="U5099" i="1"/>
  <c r="T5099" i="1"/>
  <c r="S5099" i="1"/>
  <c r="R5099" i="1"/>
  <c r="Q5099" i="1"/>
  <c r="M5099" i="1"/>
  <c r="L5099" i="1"/>
  <c r="V5098" i="1"/>
  <c r="U5098" i="1"/>
  <c r="T5098" i="1"/>
  <c r="S5098" i="1"/>
  <c r="R5098" i="1"/>
  <c r="Q5098" i="1"/>
  <c r="M5098" i="1"/>
  <c r="L5098" i="1"/>
  <c r="V5097" i="1"/>
  <c r="Z5097" i="1" s="1"/>
  <c r="U5097" i="1"/>
  <c r="T5097" i="1"/>
  <c r="W5097" i="1" s="1"/>
  <c r="S5097" i="1"/>
  <c r="R5097" i="1"/>
  <c r="Q5097" i="1"/>
  <c r="M5097" i="1"/>
  <c r="L5097" i="1"/>
  <c r="V5096" i="1"/>
  <c r="Z5096" i="1" s="1"/>
  <c r="U5096" i="1"/>
  <c r="T5096" i="1"/>
  <c r="S5096" i="1"/>
  <c r="R5096" i="1"/>
  <c r="Q5096" i="1"/>
  <c r="M5096" i="1"/>
  <c r="L5096" i="1"/>
  <c r="V5095" i="1"/>
  <c r="U5095" i="1"/>
  <c r="T5095" i="1"/>
  <c r="S5095" i="1"/>
  <c r="R5095" i="1"/>
  <c r="Q5095" i="1"/>
  <c r="M5095" i="1"/>
  <c r="L5095" i="1"/>
  <c r="V5094" i="1"/>
  <c r="U5094" i="1"/>
  <c r="T5094" i="1"/>
  <c r="S5094" i="1"/>
  <c r="R5094" i="1"/>
  <c r="Q5094" i="1"/>
  <c r="M5094" i="1"/>
  <c r="L5094" i="1"/>
  <c r="V5093" i="1"/>
  <c r="Z5093" i="1" s="1"/>
  <c r="U5093" i="1"/>
  <c r="T5093" i="1"/>
  <c r="W5093" i="1" s="1"/>
  <c r="S5093" i="1"/>
  <c r="R5093" i="1"/>
  <c r="Q5093" i="1"/>
  <c r="M5093" i="1"/>
  <c r="L5093" i="1"/>
  <c r="V5092" i="1"/>
  <c r="Z5092" i="1" s="1"/>
  <c r="U5092" i="1"/>
  <c r="T5092" i="1"/>
  <c r="W5092" i="1" s="1"/>
  <c r="S5092" i="1"/>
  <c r="R5092" i="1"/>
  <c r="Q5092" i="1"/>
  <c r="M5092" i="1"/>
  <c r="L5092" i="1"/>
  <c r="V5091" i="1"/>
  <c r="U5091" i="1"/>
  <c r="T5091" i="1"/>
  <c r="W5091" i="1" s="1"/>
  <c r="S5091" i="1"/>
  <c r="R5091" i="1"/>
  <c r="Q5091" i="1"/>
  <c r="M5091" i="1"/>
  <c r="L5091" i="1"/>
  <c r="V5090" i="1"/>
  <c r="U5090" i="1"/>
  <c r="T5090" i="1"/>
  <c r="S5090" i="1"/>
  <c r="R5090" i="1"/>
  <c r="Q5090" i="1"/>
  <c r="M5090" i="1"/>
  <c r="L5090" i="1"/>
  <c r="V5089" i="1"/>
  <c r="Z5089" i="1" s="1"/>
  <c r="U5089" i="1"/>
  <c r="T5089" i="1"/>
  <c r="W5089" i="1" s="1"/>
  <c r="S5089" i="1"/>
  <c r="R5089" i="1"/>
  <c r="Q5089" i="1"/>
  <c r="M5089" i="1"/>
  <c r="L5089" i="1"/>
  <c r="V5088" i="1"/>
  <c r="Z5088" i="1" s="1"/>
  <c r="U5088" i="1"/>
  <c r="T5088" i="1"/>
  <c r="W5088" i="1" s="1"/>
  <c r="S5088" i="1"/>
  <c r="R5088" i="1"/>
  <c r="Q5088" i="1"/>
  <c r="M5088" i="1"/>
  <c r="L5088" i="1"/>
  <c r="V5087" i="1"/>
  <c r="U5087" i="1"/>
  <c r="T5087" i="1"/>
  <c r="W5087" i="1" s="1"/>
  <c r="S5087" i="1"/>
  <c r="R5087" i="1"/>
  <c r="Q5087" i="1"/>
  <c r="M5087" i="1"/>
  <c r="L5087" i="1"/>
  <c r="V5086" i="1"/>
  <c r="U5086" i="1"/>
  <c r="T5086" i="1"/>
  <c r="S5086" i="1"/>
  <c r="R5086" i="1"/>
  <c r="Q5086" i="1"/>
  <c r="M5086" i="1"/>
  <c r="L5086" i="1"/>
  <c r="V5085" i="1"/>
  <c r="Z5085" i="1" s="1"/>
  <c r="U5085" i="1"/>
  <c r="T5085" i="1"/>
  <c r="W5085" i="1" s="1"/>
  <c r="S5085" i="1"/>
  <c r="R5085" i="1"/>
  <c r="Q5085" i="1"/>
  <c r="M5085" i="1"/>
  <c r="L5085" i="1"/>
  <c r="V5084" i="1"/>
  <c r="Z5084" i="1" s="1"/>
  <c r="U5084" i="1"/>
  <c r="T5084" i="1"/>
  <c r="W5084" i="1" s="1"/>
  <c r="S5084" i="1"/>
  <c r="R5084" i="1"/>
  <c r="Q5084" i="1"/>
  <c r="M5084" i="1"/>
  <c r="L5084" i="1"/>
  <c r="V5083" i="1"/>
  <c r="U5083" i="1"/>
  <c r="T5083" i="1"/>
  <c r="S5083" i="1"/>
  <c r="R5083" i="1"/>
  <c r="Q5083" i="1"/>
  <c r="M5083" i="1"/>
  <c r="L5083" i="1"/>
  <c r="V5082" i="1"/>
  <c r="U5082" i="1"/>
  <c r="T5082" i="1"/>
  <c r="S5082" i="1"/>
  <c r="R5082" i="1"/>
  <c r="Q5082" i="1"/>
  <c r="M5082" i="1"/>
  <c r="L5082" i="1"/>
  <c r="V5081" i="1"/>
  <c r="Z5081" i="1" s="1"/>
  <c r="U5081" i="1"/>
  <c r="T5081" i="1"/>
  <c r="W5081" i="1" s="1"/>
  <c r="S5081" i="1"/>
  <c r="R5081" i="1"/>
  <c r="Q5081" i="1"/>
  <c r="M5081" i="1"/>
  <c r="L5081" i="1"/>
  <c r="V5080" i="1"/>
  <c r="Z5080" i="1" s="1"/>
  <c r="U5080" i="1"/>
  <c r="T5080" i="1"/>
  <c r="W5080" i="1" s="1"/>
  <c r="S5080" i="1"/>
  <c r="R5080" i="1"/>
  <c r="Q5080" i="1"/>
  <c r="M5080" i="1"/>
  <c r="L5080" i="1"/>
  <c r="V5079" i="1"/>
  <c r="U5079" i="1"/>
  <c r="T5079" i="1"/>
  <c r="W5079" i="1" s="1"/>
  <c r="S5079" i="1"/>
  <c r="R5079" i="1"/>
  <c r="Q5079" i="1"/>
  <c r="M5079" i="1"/>
  <c r="L5079" i="1"/>
  <c r="V5078" i="1"/>
  <c r="U5078" i="1"/>
  <c r="T5078" i="1"/>
  <c r="S5078" i="1"/>
  <c r="R5078" i="1"/>
  <c r="Q5078" i="1"/>
  <c r="M5078" i="1"/>
  <c r="L5078" i="1"/>
  <c r="V5077" i="1"/>
  <c r="Z5077" i="1" s="1"/>
  <c r="U5077" i="1"/>
  <c r="T5077" i="1"/>
  <c r="W5077" i="1" s="1"/>
  <c r="S5077" i="1"/>
  <c r="R5077" i="1"/>
  <c r="Q5077" i="1"/>
  <c r="M5077" i="1"/>
  <c r="L5077" i="1"/>
  <c r="V5076" i="1"/>
  <c r="Z5076" i="1" s="1"/>
  <c r="U5076" i="1"/>
  <c r="T5076" i="1"/>
  <c r="W5076" i="1" s="1"/>
  <c r="S5076" i="1"/>
  <c r="R5076" i="1"/>
  <c r="Q5076" i="1"/>
  <c r="M5076" i="1"/>
  <c r="L5076" i="1"/>
  <c r="V5075" i="1"/>
  <c r="U5075" i="1"/>
  <c r="T5075" i="1"/>
  <c r="W5075" i="1" s="1"/>
  <c r="S5075" i="1"/>
  <c r="R5075" i="1"/>
  <c r="Q5075" i="1"/>
  <c r="M5075" i="1"/>
  <c r="L5075" i="1"/>
  <c r="V5074" i="1"/>
  <c r="U5074" i="1"/>
  <c r="T5074" i="1"/>
  <c r="S5074" i="1"/>
  <c r="R5074" i="1"/>
  <c r="Q5074" i="1"/>
  <c r="M5074" i="1"/>
  <c r="L5074" i="1"/>
  <c r="V5073" i="1"/>
  <c r="Z5073" i="1" s="1"/>
  <c r="U5073" i="1"/>
  <c r="T5073" i="1"/>
  <c r="W5073" i="1" s="1"/>
  <c r="S5073" i="1"/>
  <c r="R5073" i="1"/>
  <c r="Q5073" i="1"/>
  <c r="M5073" i="1"/>
  <c r="L5073" i="1"/>
  <c r="V5072" i="1"/>
  <c r="Z5072" i="1" s="1"/>
  <c r="U5072" i="1"/>
  <c r="T5072" i="1"/>
  <c r="S5072" i="1"/>
  <c r="R5072" i="1"/>
  <c r="Q5072" i="1"/>
  <c r="M5072" i="1"/>
  <c r="L5072" i="1"/>
  <c r="V5071" i="1"/>
  <c r="U5071" i="1"/>
  <c r="T5071" i="1"/>
  <c r="S5071" i="1"/>
  <c r="R5071" i="1"/>
  <c r="Q5071" i="1"/>
  <c r="M5071" i="1"/>
  <c r="L5071" i="1"/>
  <c r="V5070" i="1"/>
  <c r="U5070" i="1"/>
  <c r="T5070" i="1"/>
  <c r="S5070" i="1"/>
  <c r="R5070" i="1"/>
  <c r="Q5070" i="1"/>
  <c r="M5070" i="1"/>
  <c r="L5070" i="1"/>
  <c r="V5069" i="1"/>
  <c r="Z5069" i="1" s="1"/>
  <c r="U5069" i="1"/>
  <c r="T5069" i="1"/>
  <c r="W5069" i="1" s="1"/>
  <c r="S5069" i="1"/>
  <c r="R5069" i="1"/>
  <c r="Q5069" i="1"/>
  <c r="M5069" i="1"/>
  <c r="L5069" i="1"/>
  <c r="V5068" i="1"/>
  <c r="Z5068" i="1" s="1"/>
  <c r="U5068" i="1"/>
  <c r="T5068" i="1"/>
  <c r="W5068" i="1" s="1"/>
  <c r="S5068" i="1"/>
  <c r="R5068" i="1"/>
  <c r="Q5068" i="1"/>
  <c r="M5068" i="1"/>
  <c r="L5068" i="1"/>
  <c r="V5067" i="1"/>
  <c r="U5067" i="1"/>
  <c r="T5067" i="1"/>
  <c r="W5067" i="1" s="1"/>
  <c r="S5067" i="1"/>
  <c r="R5067" i="1"/>
  <c r="Q5067" i="1"/>
  <c r="M5067" i="1"/>
  <c r="L5067" i="1"/>
  <c r="V5066" i="1"/>
  <c r="U5066" i="1"/>
  <c r="T5066" i="1"/>
  <c r="S5066" i="1"/>
  <c r="R5066" i="1"/>
  <c r="Q5066" i="1"/>
  <c r="M5066" i="1"/>
  <c r="L5066" i="1"/>
  <c r="V5065" i="1"/>
  <c r="Z5065" i="1" s="1"/>
  <c r="U5065" i="1"/>
  <c r="T5065" i="1"/>
  <c r="W5065" i="1" s="1"/>
  <c r="S5065" i="1"/>
  <c r="R5065" i="1"/>
  <c r="Q5065" i="1"/>
  <c r="M5065" i="1"/>
  <c r="L5065" i="1"/>
  <c r="V5064" i="1"/>
  <c r="Z5064" i="1" s="1"/>
  <c r="U5064" i="1"/>
  <c r="T5064" i="1"/>
  <c r="W5064" i="1" s="1"/>
  <c r="S5064" i="1"/>
  <c r="R5064" i="1"/>
  <c r="Q5064" i="1"/>
  <c r="M5064" i="1"/>
  <c r="L5064" i="1"/>
  <c r="V5063" i="1"/>
  <c r="U5063" i="1"/>
  <c r="T5063" i="1"/>
  <c r="W5063" i="1" s="1"/>
  <c r="S5063" i="1"/>
  <c r="R5063" i="1"/>
  <c r="Q5063" i="1"/>
  <c r="M5063" i="1"/>
  <c r="L5063" i="1"/>
  <c r="V5062" i="1"/>
  <c r="U5062" i="1"/>
  <c r="T5062" i="1"/>
  <c r="S5062" i="1"/>
  <c r="R5062" i="1"/>
  <c r="Q5062" i="1"/>
  <c r="M5062" i="1"/>
  <c r="L5062" i="1"/>
  <c r="V5061" i="1"/>
  <c r="Z5061" i="1" s="1"/>
  <c r="U5061" i="1"/>
  <c r="T5061" i="1"/>
  <c r="W5061" i="1" s="1"/>
  <c r="S5061" i="1"/>
  <c r="R5061" i="1"/>
  <c r="Q5061" i="1"/>
  <c r="M5061" i="1"/>
  <c r="L5061" i="1"/>
  <c r="V5060" i="1"/>
  <c r="Z5060" i="1" s="1"/>
  <c r="U5060" i="1"/>
  <c r="T5060" i="1"/>
  <c r="S5060" i="1"/>
  <c r="R5060" i="1"/>
  <c r="Q5060" i="1"/>
  <c r="M5060" i="1"/>
  <c r="L5060" i="1"/>
  <c r="V5059" i="1"/>
  <c r="U5059" i="1"/>
  <c r="T5059" i="1"/>
  <c r="S5059" i="1"/>
  <c r="R5059" i="1"/>
  <c r="Q5059" i="1"/>
  <c r="M5059" i="1"/>
  <c r="L5059" i="1"/>
  <c r="V5058" i="1"/>
  <c r="U5058" i="1"/>
  <c r="T5058" i="1"/>
  <c r="S5058" i="1"/>
  <c r="R5058" i="1"/>
  <c r="Q5058" i="1"/>
  <c r="M5058" i="1"/>
  <c r="L5058" i="1"/>
  <c r="V5057" i="1"/>
  <c r="Z5057" i="1" s="1"/>
  <c r="U5057" i="1"/>
  <c r="T5057" i="1"/>
  <c r="W5057" i="1" s="1"/>
  <c r="S5057" i="1"/>
  <c r="R5057" i="1"/>
  <c r="Q5057" i="1"/>
  <c r="M5057" i="1"/>
  <c r="L5057" i="1"/>
  <c r="V5056" i="1"/>
  <c r="Z5056" i="1" s="1"/>
  <c r="U5056" i="1"/>
  <c r="T5056" i="1"/>
  <c r="S5056" i="1"/>
  <c r="R5056" i="1"/>
  <c r="Q5056" i="1"/>
  <c r="M5056" i="1"/>
  <c r="L5056" i="1"/>
  <c r="V5055" i="1"/>
  <c r="U5055" i="1"/>
  <c r="T5055" i="1"/>
  <c r="W5055" i="1" s="1"/>
  <c r="S5055" i="1"/>
  <c r="R5055" i="1"/>
  <c r="Q5055" i="1"/>
  <c r="M5055" i="1"/>
  <c r="L5055" i="1"/>
  <c r="V5054" i="1"/>
  <c r="U5054" i="1"/>
  <c r="T5054" i="1"/>
  <c r="S5054" i="1"/>
  <c r="R5054" i="1"/>
  <c r="Q5054" i="1"/>
  <c r="M5054" i="1"/>
  <c r="L5054" i="1"/>
  <c r="V5053" i="1"/>
  <c r="Z5053" i="1" s="1"/>
  <c r="U5053" i="1"/>
  <c r="T5053" i="1"/>
  <c r="W5053" i="1" s="1"/>
  <c r="S5053" i="1"/>
  <c r="R5053" i="1"/>
  <c r="Q5053" i="1"/>
  <c r="M5053" i="1"/>
  <c r="L5053" i="1"/>
  <c r="V5052" i="1"/>
  <c r="Z5052" i="1" s="1"/>
  <c r="U5052" i="1"/>
  <c r="T5052" i="1"/>
  <c r="W5052" i="1" s="1"/>
  <c r="S5052" i="1"/>
  <c r="R5052" i="1"/>
  <c r="Q5052" i="1"/>
  <c r="M5052" i="1"/>
  <c r="L5052" i="1"/>
  <c r="V5051" i="1"/>
  <c r="U5051" i="1"/>
  <c r="T5051" i="1"/>
  <c r="W5051" i="1" s="1"/>
  <c r="S5051" i="1"/>
  <c r="R5051" i="1"/>
  <c r="Q5051" i="1"/>
  <c r="M5051" i="1"/>
  <c r="L5051" i="1"/>
  <c r="V5050" i="1"/>
  <c r="U5050" i="1"/>
  <c r="T5050" i="1"/>
  <c r="S5050" i="1"/>
  <c r="R5050" i="1"/>
  <c r="Q5050" i="1"/>
  <c r="M5050" i="1"/>
  <c r="L5050" i="1"/>
  <c r="V5049" i="1"/>
  <c r="Z5049" i="1" s="1"/>
  <c r="U5049" i="1"/>
  <c r="T5049" i="1"/>
  <c r="W5049" i="1" s="1"/>
  <c r="S5049" i="1"/>
  <c r="R5049" i="1"/>
  <c r="Q5049" i="1"/>
  <c r="M5049" i="1"/>
  <c r="L5049" i="1"/>
  <c r="V5048" i="1"/>
  <c r="Z5048" i="1" s="1"/>
  <c r="U5048" i="1"/>
  <c r="T5048" i="1"/>
  <c r="W5048" i="1" s="1"/>
  <c r="S5048" i="1"/>
  <c r="R5048" i="1"/>
  <c r="Q5048" i="1"/>
  <c r="M5048" i="1"/>
  <c r="L5048" i="1"/>
  <c r="V5047" i="1"/>
  <c r="U5047" i="1"/>
  <c r="T5047" i="1"/>
  <c r="W5047" i="1" s="1"/>
  <c r="S5047" i="1"/>
  <c r="R5047" i="1"/>
  <c r="Q5047" i="1"/>
  <c r="M5047" i="1"/>
  <c r="L5047" i="1"/>
  <c r="V5046" i="1"/>
  <c r="U5046" i="1"/>
  <c r="T5046" i="1"/>
  <c r="S5046" i="1"/>
  <c r="R5046" i="1"/>
  <c r="Q5046" i="1"/>
  <c r="M5046" i="1"/>
  <c r="L5046" i="1"/>
  <c r="V5045" i="1"/>
  <c r="Z5045" i="1" s="1"/>
  <c r="U5045" i="1"/>
  <c r="T5045" i="1"/>
  <c r="W5045" i="1" s="1"/>
  <c r="S5045" i="1"/>
  <c r="R5045" i="1"/>
  <c r="Q5045" i="1"/>
  <c r="M5045" i="1"/>
  <c r="L5045" i="1"/>
  <c r="V5044" i="1"/>
  <c r="Z5044" i="1" s="1"/>
  <c r="U5044" i="1"/>
  <c r="T5044" i="1"/>
  <c r="S5044" i="1"/>
  <c r="R5044" i="1"/>
  <c r="Q5044" i="1"/>
  <c r="M5044" i="1"/>
  <c r="L5044" i="1"/>
  <c r="V5043" i="1"/>
  <c r="U5043" i="1"/>
  <c r="T5043" i="1"/>
  <c r="S5043" i="1"/>
  <c r="R5043" i="1"/>
  <c r="Q5043" i="1"/>
  <c r="M5043" i="1"/>
  <c r="L5043" i="1"/>
  <c r="V5042" i="1"/>
  <c r="U5042" i="1"/>
  <c r="T5042" i="1"/>
  <c r="S5042" i="1"/>
  <c r="R5042" i="1"/>
  <c r="Q5042" i="1"/>
  <c r="M5042" i="1"/>
  <c r="L5042" i="1"/>
  <c r="V5041" i="1"/>
  <c r="Z5041" i="1" s="1"/>
  <c r="U5041" i="1"/>
  <c r="T5041" i="1"/>
  <c r="W5041" i="1" s="1"/>
  <c r="S5041" i="1"/>
  <c r="R5041" i="1"/>
  <c r="Q5041" i="1"/>
  <c r="M5041" i="1"/>
  <c r="L5041" i="1"/>
  <c r="V5040" i="1"/>
  <c r="Z5040" i="1" s="1"/>
  <c r="U5040" i="1"/>
  <c r="T5040" i="1"/>
  <c r="W5040" i="1" s="1"/>
  <c r="S5040" i="1"/>
  <c r="R5040" i="1"/>
  <c r="Q5040" i="1"/>
  <c r="M5040" i="1"/>
  <c r="L5040" i="1"/>
  <c r="V5039" i="1"/>
  <c r="U5039" i="1"/>
  <c r="T5039" i="1"/>
  <c r="W5039" i="1" s="1"/>
  <c r="S5039" i="1"/>
  <c r="R5039" i="1"/>
  <c r="Q5039" i="1"/>
  <c r="M5039" i="1"/>
  <c r="L5039" i="1"/>
  <c r="V5038" i="1"/>
  <c r="U5038" i="1"/>
  <c r="T5038" i="1"/>
  <c r="S5038" i="1"/>
  <c r="R5038" i="1"/>
  <c r="Q5038" i="1"/>
  <c r="M5038" i="1"/>
  <c r="L5038" i="1"/>
  <c r="V5037" i="1"/>
  <c r="Z5037" i="1" s="1"/>
  <c r="U5037" i="1"/>
  <c r="T5037" i="1"/>
  <c r="W5037" i="1" s="1"/>
  <c r="S5037" i="1"/>
  <c r="R5037" i="1"/>
  <c r="Q5037" i="1"/>
  <c r="M5037" i="1"/>
  <c r="L5037" i="1"/>
  <c r="V5036" i="1"/>
  <c r="Z5036" i="1" s="1"/>
  <c r="U5036" i="1"/>
  <c r="T5036" i="1"/>
  <c r="S5036" i="1"/>
  <c r="R5036" i="1"/>
  <c r="Q5036" i="1"/>
  <c r="M5036" i="1"/>
  <c r="L5036" i="1"/>
  <c r="V5035" i="1"/>
  <c r="Z5035" i="1" s="1"/>
  <c r="U5035" i="1"/>
  <c r="T5035" i="1"/>
  <c r="S5035" i="1"/>
  <c r="R5035" i="1"/>
  <c r="Q5035" i="1"/>
  <c r="M5035" i="1"/>
  <c r="L5035" i="1"/>
  <c r="V5034" i="1"/>
  <c r="U5034" i="1"/>
  <c r="T5034" i="1"/>
  <c r="S5034" i="1"/>
  <c r="R5034" i="1"/>
  <c r="Q5034" i="1"/>
  <c r="M5034" i="1"/>
  <c r="L5034" i="1"/>
  <c r="V5033" i="1"/>
  <c r="Z5033" i="1" s="1"/>
  <c r="U5033" i="1"/>
  <c r="T5033" i="1"/>
  <c r="W5033" i="1" s="1"/>
  <c r="S5033" i="1"/>
  <c r="R5033" i="1"/>
  <c r="Q5033" i="1"/>
  <c r="M5033" i="1"/>
  <c r="L5033" i="1"/>
  <c r="V5032" i="1"/>
  <c r="Z5032" i="1" s="1"/>
  <c r="U5032" i="1"/>
  <c r="T5032" i="1"/>
  <c r="S5032" i="1"/>
  <c r="R5032" i="1"/>
  <c r="Q5032" i="1"/>
  <c r="M5032" i="1"/>
  <c r="L5032" i="1"/>
  <c r="V5031" i="1"/>
  <c r="Z5031" i="1" s="1"/>
  <c r="U5031" i="1"/>
  <c r="T5031" i="1"/>
  <c r="W5031" i="1" s="1"/>
  <c r="S5031" i="1"/>
  <c r="R5031" i="1"/>
  <c r="Q5031" i="1"/>
  <c r="M5031" i="1"/>
  <c r="L5031" i="1"/>
  <c r="V5030" i="1"/>
  <c r="U5030" i="1"/>
  <c r="T5030" i="1"/>
  <c r="S5030" i="1"/>
  <c r="R5030" i="1"/>
  <c r="Q5030" i="1"/>
  <c r="M5030" i="1"/>
  <c r="L5030" i="1"/>
  <c r="V5029" i="1"/>
  <c r="Z5029" i="1" s="1"/>
  <c r="U5029" i="1"/>
  <c r="T5029" i="1"/>
  <c r="W5029" i="1" s="1"/>
  <c r="S5029" i="1"/>
  <c r="R5029" i="1"/>
  <c r="Q5029" i="1"/>
  <c r="M5029" i="1"/>
  <c r="L5029" i="1"/>
  <c r="V5028" i="1"/>
  <c r="Z5028" i="1" s="1"/>
  <c r="U5028" i="1"/>
  <c r="T5028" i="1"/>
  <c r="W5028" i="1" s="1"/>
  <c r="S5028" i="1"/>
  <c r="R5028" i="1"/>
  <c r="Q5028" i="1"/>
  <c r="M5028" i="1"/>
  <c r="L5028" i="1"/>
  <c r="V5027" i="1"/>
  <c r="Z5027" i="1" s="1"/>
  <c r="U5027" i="1"/>
  <c r="T5027" i="1"/>
  <c r="W5027" i="1" s="1"/>
  <c r="S5027" i="1"/>
  <c r="R5027" i="1"/>
  <c r="Q5027" i="1"/>
  <c r="M5027" i="1"/>
  <c r="L5027" i="1"/>
  <c r="V5026" i="1"/>
  <c r="U5026" i="1"/>
  <c r="T5026" i="1"/>
  <c r="S5026" i="1"/>
  <c r="R5026" i="1"/>
  <c r="Q5026" i="1"/>
  <c r="M5026" i="1"/>
  <c r="L5026" i="1"/>
  <c r="V5025" i="1"/>
  <c r="Z5025" i="1" s="1"/>
  <c r="U5025" i="1"/>
  <c r="T5025" i="1"/>
  <c r="W5025" i="1" s="1"/>
  <c r="S5025" i="1"/>
  <c r="R5025" i="1"/>
  <c r="Q5025" i="1"/>
  <c r="M5025" i="1"/>
  <c r="L5025" i="1"/>
  <c r="V5024" i="1"/>
  <c r="Z5024" i="1" s="1"/>
  <c r="U5024" i="1"/>
  <c r="T5024" i="1"/>
  <c r="S5024" i="1"/>
  <c r="R5024" i="1"/>
  <c r="Q5024" i="1"/>
  <c r="M5024" i="1"/>
  <c r="L5024" i="1"/>
  <c r="V5023" i="1"/>
  <c r="U5023" i="1"/>
  <c r="T5023" i="1"/>
  <c r="W5023" i="1" s="1"/>
  <c r="S5023" i="1"/>
  <c r="R5023" i="1"/>
  <c r="Q5023" i="1"/>
  <c r="M5023" i="1"/>
  <c r="L5023" i="1"/>
  <c r="V5022" i="1"/>
  <c r="U5022" i="1"/>
  <c r="T5022" i="1"/>
  <c r="S5022" i="1"/>
  <c r="R5022" i="1"/>
  <c r="Q5022" i="1"/>
  <c r="M5022" i="1"/>
  <c r="L5022" i="1"/>
  <c r="V5021" i="1"/>
  <c r="Z5021" i="1" s="1"/>
  <c r="U5021" i="1"/>
  <c r="T5021" i="1"/>
  <c r="W5021" i="1" s="1"/>
  <c r="S5021" i="1"/>
  <c r="R5021" i="1"/>
  <c r="Q5021" i="1"/>
  <c r="M5021" i="1"/>
  <c r="L5021" i="1"/>
  <c r="V5020" i="1"/>
  <c r="Z5020" i="1" s="1"/>
  <c r="U5020" i="1"/>
  <c r="T5020" i="1"/>
  <c r="W5020" i="1" s="1"/>
  <c r="S5020" i="1"/>
  <c r="R5020" i="1"/>
  <c r="Q5020" i="1"/>
  <c r="M5020" i="1"/>
  <c r="L5020" i="1"/>
  <c r="V5019" i="1"/>
  <c r="Z5019" i="1" s="1"/>
  <c r="U5019" i="1"/>
  <c r="T5019" i="1"/>
  <c r="W5019" i="1" s="1"/>
  <c r="S5019" i="1"/>
  <c r="R5019" i="1"/>
  <c r="Q5019" i="1"/>
  <c r="M5019" i="1"/>
  <c r="L5019" i="1"/>
  <c r="V5018" i="1"/>
  <c r="U5018" i="1"/>
  <c r="T5018" i="1"/>
  <c r="S5018" i="1"/>
  <c r="R5018" i="1"/>
  <c r="Q5018" i="1"/>
  <c r="M5018" i="1"/>
  <c r="L5018" i="1"/>
  <c r="V5017" i="1"/>
  <c r="Z5017" i="1" s="1"/>
  <c r="U5017" i="1"/>
  <c r="T5017" i="1"/>
  <c r="W5017" i="1" s="1"/>
  <c r="S5017" i="1"/>
  <c r="R5017" i="1"/>
  <c r="Q5017" i="1"/>
  <c r="M5017" i="1"/>
  <c r="L5017" i="1"/>
  <c r="V5016" i="1"/>
  <c r="Z5016" i="1" s="1"/>
  <c r="U5016" i="1"/>
  <c r="T5016" i="1"/>
  <c r="W5016" i="1" s="1"/>
  <c r="S5016" i="1"/>
  <c r="R5016" i="1"/>
  <c r="Q5016" i="1"/>
  <c r="M5016" i="1"/>
  <c r="L5016" i="1"/>
  <c r="V5015" i="1"/>
  <c r="U5015" i="1"/>
  <c r="T5015" i="1"/>
  <c r="W5015" i="1" s="1"/>
  <c r="S5015" i="1"/>
  <c r="R5015" i="1"/>
  <c r="Q5015" i="1"/>
  <c r="M5015" i="1"/>
  <c r="L5015" i="1"/>
  <c r="V5014" i="1"/>
  <c r="U5014" i="1"/>
  <c r="T5014" i="1"/>
  <c r="S5014" i="1"/>
  <c r="R5014" i="1"/>
  <c r="Q5014" i="1"/>
  <c r="M5014" i="1"/>
  <c r="L5014" i="1"/>
  <c r="V5013" i="1"/>
  <c r="Z5013" i="1" s="1"/>
  <c r="U5013" i="1"/>
  <c r="T5013" i="1"/>
  <c r="W5013" i="1" s="1"/>
  <c r="S5013" i="1"/>
  <c r="R5013" i="1"/>
  <c r="Q5013" i="1"/>
  <c r="M5013" i="1"/>
  <c r="L5013" i="1"/>
  <c r="V5012" i="1"/>
  <c r="Z5012" i="1" s="1"/>
  <c r="U5012" i="1"/>
  <c r="T5012" i="1"/>
  <c r="S5012" i="1"/>
  <c r="R5012" i="1"/>
  <c r="Q5012" i="1"/>
  <c r="M5012" i="1"/>
  <c r="L5012" i="1"/>
  <c r="V5011" i="1"/>
  <c r="U5011" i="1"/>
  <c r="T5011" i="1"/>
  <c r="S5011" i="1"/>
  <c r="R5011" i="1"/>
  <c r="Q5011" i="1"/>
  <c r="M5011" i="1"/>
  <c r="L5011" i="1"/>
  <c r="V5010" i="1"/>
  <c r="U5010" i="1"/>
  <c r="T5010" i="1"/>
  <c r="S5010" i="1"/>
  <c r="R5010" i="1"/>
  <c r="Q5010" i="1"/>
  <c r="M5010" i="1"/>
  <c r="L5010" i="1"/>
  <c r="V5009" i="1"/>
  <c r="Z5009" i="1" s="1"/>
  <c r="U5009" i="1"/>
  <c r="T5009" i="1"/>
  <c r="W5009" i="1" s="1"/>
  <c r="S5009" i="1"/>
  <c r="R5009" i="1"/>
  <c r="Q5009" i="1"/>
  <c r="M5009" i="1"/>
  <c r="L5009" i="1"/>
  <c r="V5008" i="1"/>
  <c r="Z5008" i="1" s="1"/>
  <c r="U5008" i="1"/>
  <c r="T5008" i="1"/>
  <c r="W5008" i="1" s="1"/>
  <c r="S5008" i="1"/>
  <c r="R5008" i="1"/>
  <c r="Q5008" i="1"/>
  <c r="M5008" i="1"/>
  <c r="L5008" i="1"/>
  <c r="V5007" i="1"/>
  <c r="U5007" i="1"/>
  <c r="T5007" i="1"/>
  <c r="W5007" i="1" s="1"/>
  <c r="S5007" i="1"/>
  <c r="R5007" i="1"/>
  <c r="Q5007" i="1"/>
  <c r="M5007" i="1"/>
  <c r="L5007" i="1"/>
  <c r="V5006" i="1"/>
  <c r="U5006" i="1"/>
  <c r="T5006" i="1"/>
  <c r="S5006" i="1"/>
  <c r="R5006" i="1"/>
  <c r="Q5006" i="1"/>
  <c r="M5006" i="1"/>
  <c r="L5006" i="1"/>
  <c r="V5005" i="1"/>
  <c r="Z5005" i="1" s="1"/>
  <c r="U5005" i="1"/>
  <c r="T5005" i="1"/>
  <c r="W5005" i="1" s="1"/>
  <c r="S5005" i="1"/>
  <c r="R5005" i="1"/>
  <c r="Q5005" i="1"/>
  <c r="M5005" i="1"/>
  <c r="L5005" i="1"/>
  <c r="V5004" i="1"/>
  <c r="Z5004" i="1" s="1"/>
  <c r="U5004" i="1"/>
  <c r="T5004" i="1"/>
  <c r="S5004" i="1"/>
  <c r="R5004" i="1"/>
  <c r="Q5004" i="1"/>
  <c r="M5004" i="1"/>
  <c r="L5004" i="1"/>
  <c r="V5003" i="1"/>
  <c r="Z5003" i="1" s="1"/>
  <c r="U5003" i="1"/>
  <c r="T5003" i="1"/>
  <c r="S5003" i="1"/>
  <c r="R5003" i="1"/>
  <c r="Q5003" i="1"/>
  <c r="M5003" i="1"/>
  <c r="L5003" i="1"/>
  <c r="V5002" i="1"/>
  <c r="U5002" i="1"/>
  <c r="T5002" i="1"/>
  <c r="S5002" i="1"/>
  <c r="R5002" i="1"/>
  <c r="Q5002" i="1"/>
  <c r="M5002" i="1"/>
  <c r="L5002" i="1"/>
  <c r="V5001" i="1"/>
  <c r="Z5001" i="1" s="1"/>
  <c r="U5001" i="1"/>
  <c r="T5001" i="1"/>
  <c r="W5001" i="1" s="1"/>
  <c r="S5001" i="1"/>
  <c r="R5001" i="1"/>
  <c r="Q5001" i="1"/>
  <c r="M5001" i="1"/>
  <c r="L5001" i="1"/>
  <c r="V5000" i="1"/>
  <c r="Z5000" i="1" s="1"/>
  <c r="U5000" i="1"/>
  <c r="T5000" i="1"/>
  <c r="W5000" i="1" s="1"/>
  <c r="S5000" i="1"/>
  <c r="R5000" i="1"/>
  <c r="Q5000" i="1"/>
  <c r="M5000" i="1"/>
  <c r="L5000" i="1"/>
  <c r="V4999" i="1"/>
  <c r="Z4999" i="1" s="1"/>
  <c r="U4999" i="1"/>
  <c r="T4999" i="1"/>
  <c r="W4999" i="1" s="1"/>
  <c r="S4999" i="1"/>
  <c r="R4999" i="1"/>
  <c r="Q4999" i="1"/>
  <c r="M4999" i="1"/>
  <c r="L4999" i="1"/>
  <c r="V4998" i="1"/>
  <c r="U4998" i="1"/>
  <c r="T4998" i="1"/>
  <c r="S4998" i="1"/>
  <c r="R4998" i="1"/>
  <c r="Q4998" i="1"/>
  <c r="M4998" i="1"/>
  <c r="L4998" i="1"/>
  <c r="V4997" i="1"/>
  <c r="Z4997" i="1" s="1"/>
  <c r="U4997" i="1"/>
  <c r="T4997" i="1"/>
  <c r="W4997" i="1" s="1"/>
  <c r="S4997" i="1"/>
  <c r="R4997" i="1"/>
  <c r="Q4997" i="1"/>
  <c r="M4997" i="1"/>
  <c r="L4997" i="1"/>
  <c r="V4996" i="1"/>
  <c r="Z4996" i="1" s="1"/>
  <c r="U4996" i="1"/>
  <c r="T4996" i="1"/>
  <c r="W4996" i="1" s="1"/>
  <c r="S4996" i="1"/>
  <c r="R4996" i="1"/>
  <c r="Q4996" i="1"/>
  <c r="M4996" i="1"/>
  <c r="L4996" i="1"/>
  <c r="V4995" i="1"/>
  <c r="Z4995" i="1" s="1"/>
  <c r="U4995" i="1"/>
  <c r="T4995" i="1"/>
  <c r="W4995" i="1" s="1"/>
  <c r="S4995" i="1"/>
  <c r="R4995" i="1"/>
  <c r="Q4995" i="1"/>
  <c r="M4995" i="1"/>
  <c r="L4995" i="1"/>
  <c r="V4994" i="1"/>
  <c r="U4994" i="1"/>
  <c r="T4994" i="1"/>
  <c r="S4994" i="1"/>
  <c r="R4994" i="1"/>
  <c r="Q4994" i="1"/>
  <c r="M4994" i="1"/>
  <c r="L4994" i="1"/>
  <c r="V4993" i="1"/>
  <c r="Z4993" i="1" s="1"/>
  <c r="U4993" i="1"/>
  <c r="T4993" i="1"/>
  <c r="W4993" i="1" s="1"/>
  <c r="S4993" i="1"/>
  <c r="R4993" i="1"/>
  <c r="Q4993" i="1"/>
  <c r="M4993" i="1"/>
  <c r="L4993" i="1"/>
  <c r="V4992" i="1"/>
  <c r="Z4992" i="1" s="1"/>
  <c r="U4992" i="1"/>
  <c r="T4992" i="1"/>
  <c r="W4992" i="1" s="1"/>
  <c r="S4992" i="1"/>
  <c r="R4992" i="1"/>
  <c r="Q4992" i="1"/>
  <c r="M4992" i="1"/>
  <c r="L4992" i="1"/>
  <c r="V4991" i="1"/>
  <c r="U4991" i="1"/>
  <c r="T4991" i="1"/>
  <c r="W4991" i="1" s="1"/>
  <c r="S4991" i="1"/>
  <c r="R4991" i="1"/>
  <c r="Q4991" i="1"/>
  <c r="M4991" i="1"/>
  <c r="L4991" i="1"/>
  <c r="V4990" i="1"/>
  <c r="U4990" i="1"/>
  <c r="T4990" i="1"/>
  <c r="S4990" i="1"/>
  <c r="R4990" i="1"/>
  <c r="Q4990" i="1"/>
  <c r="M4990" i="1"/>
  <c r="L4990" i="1"/>
  <c r="V4989" i="1"/>
  <c r="Z4989" i="1" s="1"/>
  <c r="U4989" i="1"/>
  <c r="T4989" i="1"/>
  <c r="W4989" i="1" s="1"/>
  <c r="S4989" i="1"/>
  <c r="R4989" i="1"/>
  <c r="Q4989" i="1"/>
  <c r="M4989" i="1"/>
  <c r="L4989" i="1"/>
  <c r="V4988" i="1"/>
  <c r="Z4988" i="1" s="1"/>
  <c r="U4988" i="1"/>
  <c r="T4988" i="1"/>
  <c r="W4988" i="1" s="1"/>
  <c r="S4988" i="1"/>
  <c r="R4988" i="1"/>
  <c r="Q4988" i="1"/>
  <c r="M4988" i="1"/>
  <c r="L4988" i="1"/>
  <c r="V4987" i="1"/>
  <c r="U4987" i="1"/>
  <c r="T4987" i="1"/>
  <c r="W4987" i="1" s="1"/>
  <c r="S4987" i="1"/>
  <c r="R4987" i="1"/>
  <c r="Q4987" i="1"/>
  <c r="M4987" i="1"/>
  <c r="L4987" i="1"/>
  <c r="V4986" i="1"/>
  <c r="U4986" i="1"/>
  <c r="T4986" i="1"/>
  <c r="S4986" i="1"/>
  <c r="R4986" i="1"/>
  <c r="Q4986" i="1"/>
  <c r="M4986" i="1"/>
  <c r="L4986" i="1"/>
  <c r="V4985" i="1"/>
  <c r="Z4985" i="1" s="1"/>
  <c r="U4985" i="1"/>
  <c r="T4985" i="1"/>
  <c r="W4985" i="1" s="1"/>
  <c r="S4985" i="1"/>
  <c r="R4985" i="1"/>
  <c r="Q4985" i="1"/>
  <c r="M4985" i="1"/>
  <c r="L4985" i="1"/>
  <c r="V4984" i="1"/>
  <c r="Z4984" i="1" s="1"/>
  <c r="U4984" i="1"/>
  <c r="T4984" i="1"/>
  <c r="S4984" i="1"/>
  <c r="R4984" i="1"/>
  <c r="Q4984" i="1"/>
  <c r="M4984" i="1"/>
  <c r="L4984" i="1"/>
  <c r="V4983" i="1"/>
  <c r="U4983" i="1"/>
  <c r="T4983" i="1"/>
  <c r="W4983" i="1" s="1"/>
  <c r="S4983" i="1"/>
  <c r="R4983" i="1"/>
  <c r="Q4983" i="1"/>
  <c r="M4983" i="1"/>
  <c r="L4983" i="1"/>
  <c r="V4982" i="1"/>
  <c r="U4982" i="1"/>
  <c r="T4982" i="1"/>
  <c r="S4982" i="1"/>
  <c r="R4982" i="1"/>
  <c r="Q4982" i="1"/>
  <c r="M4982" i="1"/>
  <c r="L4982" i="1"/>
  <c r="V4981" i="1"/>
  <c r="Z4981" i="1" s="1"/>
  <c r="U4981" i="1"/>
  <c r="T4981" i="1"/>
  <c r="W4981" i="1" s="1"/>
  <c r="S4981" i="1"/>
  <c r="R4981" i="1"/>
  <c r="Q4981" i="1"/>
  <c r="M4981" i="1"/>
  <c r="L4981" i="1"/>
  <c r="V4980" i="1"/>
  <c r="Z4980" i="1" s="1"/>
  <c r="U4980" i="1"/>
  <c r="T4980" i="1"/>
  <c r="S4980" i="1"/>
  <c r="R4980" i="1"/>
  <c r="Q4980" i="1"/>
  <c r="M4980" i="1"/>
  <c r="L4980" i="1"/>
  <c r="V4979" i="1"/>
  <c r="U4979" i="1"/>
  <c r="T4979" i="1"/>
  <c r="S4979" i="1"/>
  <c r="R4979" i="1"/>
  <c r="Q4979" i="1"/>
  <c r="M4979" i="1"/>
  <c r="L4979" i="1"/>
  <c r="V4978" i="1"/>
  <c r="U4978" i="1"/>
  <c r="T4978" i="1"/>
  <c r="S4978" i="1"/>
  <c r="R4978" i="1"/>
  <c r="Q4978" i="1"/>
  <c r="M4978" i="1"/>
  <c r="L4978" i="1"/>
  <c r="V4977" i="1"/>
  <c r="Z4977" i="1" s="1"/>
  <c r="U4977" i="1"/>
  <c r="T4977" i="1"/>
  <c r="W4977" i="1" s="1"/>
  <c r="S4977" i="1"/>
  <c r="R4977" i="1"/>
  <c r="Q4977" i="1"/>
  <c r="M4977" i="1"/>
  <c r="L4977" i="1"/>
  <c r="V4976" i="1"/>
  <c r="Z4976" i="1" s="1"/>
  <c r="U4976" i="1"/>
  <c r="T4976" i="1"/>
  <c r="W4976" i="1" s="1"/>
  <c r="S4976" i="1"/>
  <c r="R4976" i="1"/>
  <c r="Q4976" i="1"/>
  <c r="M4976" i="1"/>
  <c r="L4976" i="1"/>
  <c r="V4975" i="1"/>
  <c r="U4975" i="1"/>
  <c r="T4975" i="1"/>
  <c r="W4975" i="1" s="1"/>
  <c r="S4975" i="1"/>
  <c r="R4975" i="1"/>
  <c r="Q4975" i="1"/>
  <c r="M4975" i="1"/>
  <c r="L4975" i="1"/>
  <c r="V4974" i="1"/>
  <c r="U4974" i="1"/>
  <c r="T4974" i="1"/>
  <c r="S4974" i="1"/>
  <c r="R4974" i="1"/>
  <c r="Q4974" i="1"/>
  <c r="M4974" i="1"/>
  <c r="L4974" i="1"/>
  <c r="V4973" i="1"/>
  <c r="Z4973" i="1" s="1"/>
  <c r="U4973" i="1"/>
  <c r="T4973" i="1"/>
  <c r="W4973" i="1" s="1"/>
  <c r="S4973" i="1"/>
  <c r="R4973" i="1"/>
  <c r="Q4973" i="1"/>
  <c r="M4973" i="1"/>
  <c r="L4973" i="1"/>
  <c r="V4972" i="1"/>
  <c r="Z4972" i="1" s="1"/>
  <c r="U4972" i="1"/>
  <c r="T4972" i="1"/>
  <c r="S4972" i="1"/>
  <c r="R4972" i="1"/>
  <c r="Q4972" i="1"/>
  <c r="M4972" i="1"/>
  <c r="L4972" i="1"/>
  <c r="V4971" i="1"/>
  <c r="Z4971" i="1" s="1"/>
  <c r="U4971" i="1"/>
  <c r="T4971" i="1"/>
  <c r="S4971" i="1"/>
  <c r="R4971" i="1"/>
  <c r="Q4971" i="1"/>
  <c r="M4971" i="1"/>
  <c r="L4971" i="1"/>
  <c r="V4970" i="1"/>
  <c r="U4970" i="1"/>
  <c r="T4970" i="1"/>
  <c r="S4970" i="1"/>
  <c r="R4970" i="1"/>
  <c r="Q4970" i="1"/>
  <c r="M4970" i="1"/>
  <c r="L4970" i="1"/>
  <c r="V4969" i="1"/>
  <c r="Z4969" i="1" s="1"/>
  <c r="U4969" i="1"/>
  <c r="T4969" i="1"/>
  <c r="W4969" i="1" s="1"/>
  <c r="S4969" i="1"/>
  <c r="R4969" i="1"/>
  <c r="Q4969" i="1"/>
  <c r="M4969" i="1"/>
  <c r="L4969" i="1"/>
  <c r="V4968" i="1"/>
  <c r="Z4968" i="1" s="1"/>
  <c r="U4968" i="1"/>
  <c r="T4968" i="1"/>
  <c r="W4968" i="1" s="1"/>
  <c r="S4968" i="1"/>
  <c r="R4968" i="1"/>
  <c r="Q4968" i="1"/>
  <c r="M4968" i="1"/>
  <c r="L4968" i="1"/>
  <c r="V4967" i="1"/>
  <c r="Z4967" i="1" s="1"/>
  <c r="U4967" i="1"/>
  <c r="T4967" i="1"/>
  <c r="W4967" i="1" s="1"/>
  <c r="S4967" i="1"/>
  <c r="R4967" i="1"/>
  <c r="Q4967" i="1"/>
  <c r="M4967" i="1"/>
  <c r="L4967" i="1"/>
  <c r="V4966" i="1"/>
  <c r="U4966" i="1"/>
  <c r="T4966" i="1"/>
  <c r="S4966" i="1"/>
  <c r="R4966" i="1"/>
  <c r="Q4966" i="1"/>
  <c r="M4966" i="1"/>
  <c r="L4966" i="1"/>
  <c r="V4965" i="1"/>
  <c r="Z4965" i="1" s="1"/>
  <c r="U4965" i="1"/>
  <c r="T4965" i="1"/>
  <c r="W4965" i="1" s="1"/>
  <c r="S4965" i="1"/>
  <c r="R4965" i="1"/>
  <c r="Q4965" i="1"/>
  <c r="M4965" i="1"/>
  <c r="L4965" i="1"/>
  <c r="V4964" i="1"/>
  <c r="Z4964" i="1" s="1"/>
  <c r="U4964" i="1"/>
  <c r="T4964" i="1"/>
  <c r="W4964" i="1" s="1"/>
  <c r="S4964" i="1"/>
  <c r="R4964" i="1"/>
  <c r="Q4964" i="1"/>
  <c r="M4964" i="1"/>
  <c r="L4964" i="1"/>
  <c r="V4963" i="1"/>
  <c r="Z4963" i="1" s="1"/>
  <c r="U4963" i="1"/>
  <c r="T4963" i="1"/>
  <c r="W4963" i="1" s="1"/>
  <c r="S4963" i="1"/>
  <c r="R4963" i="1"/>
  <c r="Q4963" i="1"/>
  <c r="M4963" i="1"/>
  <c r="L4963" i="1"/>
  <c r="V4962" i="1"/>
  <c r="U4962" i="1"/>
  <c r="T4962" i="1"/>
  <c r="S4962" i="1"/>
  <c r="R4962" i="1"/>
  <c r="Q4962" i="1"/>
  <c r="M4962" i="1"/>
  <c r="L4962" i="1"/>
  <c r="V4961" i="1"/>
  <c r="Z4961" i="1" s="1"/>
  <c r="U4961" i="1"/>
  <c r="T4961" i="1"/>
  <c r="W4961" i="1" s="1"/>
  <c r="S4961" i="1"/>
  <c r="R4961" i="1"/>
  <c r="Q4961" i="1"/>
  <c r="M4961" i="1"/>
  <c r="L4961" i="1"/>
  <c r="V4960" i="1"/>
  <c r="Z4960" i="1" s="1"/>
  <c r="U4960" i="1"/>
  <c r="T4960" i="1"/>
  <c r="W4960" i="1" s="1"/>
  <c r="S4960" i="1"/>
  <c r="R4960" i="1"/>
  <c r="Q4960" i="1"/>
  <c r="M4960" i="1"/>
  <c r="L4960" i="1"/>
  <c r="V4959" i="1"/>
  <c r="U4959" i="1"/>
  <c r="T4959" i="1"/>
  <c r="W4959" i="1" s="1"/>
  <c r="S4959" i="1"/>
  <c r="R4959" i="1"/>
  <c r="Q4959" i="1"/>
  <c r="M4959" i="1"/>
  <c r="L4959" i="1"/>
  <c r="V4958" i="1"/>
  <c r="U4958" i="1"/>
  <c r="T4958" i="1"/>
  <c r="S4958" i="1"/>
  <c r="R4958" i="1"/>
  <c r="Q4958" i="1"/>
  <c r="M4958" i="1"/>
  <c r="L4958" i="1"/>
  <c r="V4957" i="1"/>
  <c r="Z4957" i="1" s="1"/>
  <c r="U4957" i="1"/>
  <c r="T4957" i="1"/>
  <c r="W4957" i="1" s="1"/>
  <c r="S4957" i="1"/>
  <c r="R4957" i="1"/>
  <c r="Q4957" i="1"/>
  <c r="M4957" i="1"/>
  <c r="L4957" i="1"/>
  <c r="V4956" i="1"/>
  <c r="Z4956" i="1" s="1"/>
  <c r="U4956" i="1"/>
  <c r="T4956" i="1"/>
  <c r="W4956" i="1" s="1"/>
  <c r="S4956" i="1"/>
  <c r="R4956" i="1"/>
  <c r="Q4956" i="1"/>
  <c r="M4956" i="1"/>
  <c r="L4956" i="1"/>
  <c r="V4955" i="1"/>
  <c r="Z4955" i="1" s="1"/>
  <c r="U4955" i="1"/>
  <c r="T4955" i="1"/>
  <c r="W4955" i="1" s="1"/>
  <c r="S4955" i="1"/>
  <c r="R4955" i="1"/>
  <c r="Q4955" i="1"/>
  <c r="M4955" i="1"/>
  <c r="L4955" i="1"/>
  <c r="V4954" i="1"/>
  <c r="U4954" i="1"/>
  <c r="T4954" i="1"/>
  <c r="S4954" i="1"/>
  <c r="R4954" i="1"/>
  <c r="Q4954" i="1"/>
  <c r="M4954" i="1"/>
  <c r="L4954" i="1"/>
  <c r="V4953" i="1"/>
  <c r="Z4953" i="1" s="1"/>
  <c r="U4953" i="1"/>
  <c r="T4953" i="1"/>
  <c r="W4953" i="1" s="1"/>
  <c r="S4953" i="1"/>
  <c r="R4953" i="1"/>
  <c r="Q4953" i="1"/>
  <c r="M4953" i="1"/>
  <c r="L4953" i="1"/>
  <c r="V4952" i="1"/>
  <c r="Z4952" i="1" s="1"/>
  <c r="U4952" i="1"/>
  <c r="T4952" i="1"/>
  <c r="W4952" i="1" s="1"/>
  <c r="S4952" i="1"/>
  <c r="R4952" i="1"/>
  <c r="Q4952" i="1"/>
  <c r="M4952" i="1"/>
  <c r="L4952" i="1"/>
  <c r="V4951" i="1"/>
  <c r="U4951" i="1"/>
  <c r="T4951" i="1"/>
  <c r="W4951" i="1" s="1"/>
  <c r="S4951" i="1"/>
  <c r="R4951" i="1"/>
  <c r="Q4951" i="1"/>
  <c r="M4951" i="1"/>
  <c r="L4951" i="1"/>
  <c r="V4950" i="1"/>
  <c r="U4950" i="1"/>
  <c r="T4950" i="1"/>
  <c r="S4950" i="1"/>
  <c r="R4950" i="1"/>
  <c r="Q4950" i="1"/>
  <c r="M4950" i="1"/>
  <c r="L4950" i="1"/>
  <c r="V4949" i="1"/>
  <c r="Z4949" i="1" s="1"/>
  <c r="U4949" i="1"/>
  <c r="T4949" i="1"/>
  <c r="W4949" i="1" s="1"/>
  <c r="S4949" i="1"/>
  <c r="R4949" i="1"/>
  <c r="Q4949" i="1"/>
  <c r="M4949" i="1"/>
  <c r="L4949" i="1"/>
  <c r="V4948" i="1"/>
  <c r="Z4948" i="1" s="1"/>
  <c r="U4948" i="1"/>
  <c r="T4948" i="1"/>
  <c r="S4948" i="1"/>
  <c r="R4948" i="1"/>
  <c r="Q4948" i="1"/>
  <c r="M4948" i="1"/>
  <c r="L4948" i="1"/>
  <c r="V4947" i="1"/>
  <c r="U4947" i="1"/>
  <c r="T4947" i="1"/>
  <c r="S4947" i="1"/>
  <c r="R4947" i="1"/>
  <c r="Q4947" i="1"/>
  <c r="M4947" i="1"/>
  <c r="L4947" i="1"/>
  <c r="V4946" i="1"/>
  <c r="U4946" i="1"/>
  <c r="T4946" i="1"/>
  <c r="S4946" i="1"/>
  <c r="R4946" i="1"/>
  <c r="Q4946" i="1"/>
  <c r="M4946" i="1"/>
  <c r="L4946" i="1"/>
  <c r="V4945" i="1"/>
  <c r="Z4945" i="1" s="1"/>
  <c r="U4945" i="1"/>
  <c r="T4945" i="1"/>
  <c r="W4945" i="1" s="1"/>
  <c r="S4945" i="1"/>
  <c r="R4945" i="1"/>
  <c r="Q4945" i="1"/>
  <c r="M4945" i="1"/>
  <c r="L4945" i="1"/>
  <c r="V4944" i="1"/>
  <c r="Z4944" i="1" s="1"/>
  <c r="U4944" i="1"/>
  <c r="T4944" i="1"/>
  <c r="W4944" i="1" s="1"/>
  <c r="S4944" i="1"/>
  <c r="R4944" i="1"/>
  <c r="Q4944" i="1"/>
  <c r="M4944" i="1"/>
  <c r="L4944" i="1"/>
  <c r="V4943" i="1"/>
  <c r="U4943" i="1"/>
  <c r="T4943" i="1"/>
  <c r="W4943" i="1" s="1"/>
  <c r="S4943" i="1"/>
  <c r="R4943" i="1"/>
  <c r="Q4943" i="1"/>
  <c r="M4943" i="1"/>
  <c r="L4943" i="1"/>
  <c r="V4942" i="1"/>
  <c r="U4942" i="1"/>
  <c r="T4942" i="1"/>
  <c r="S4942" i="1"/>
  <c r="R4942" i="1"/>
  <c r="Q4942" i="1"/>
  <c r="M4942" i="1"/>
  <c r="L4942" i="1"/>
  <c r="V4941" i="1"/>
  <c r="Z4941" i="1" s="1"/>
  <c r="U4941" i="1"/>
  <c r="T4941" i="1"/>
  <c r="W4941" i="1" s="1"/>
  <c r="S4941" i="1"/>
  <c r="R4941" i="1"/>
  <c r="Q4941" i="1"/>
  <c r="M4941" i="1"/>
  <c r="L4941" i="1"/>
  <c r="V4940" i="1"/>
  <c r="Z4940" i="1" s="1"/>
  <c r="U4940" i="1"/>
  <c r="T4940" i="1"/>
  <c r="S4940" i="1"/>
  <c r="R4940" i="1"/>
  <c r="Q4940" i="1"/>
  <c r="M4940" i="1"/>
  <c r="L4940" i="1"/>
  <c r="V4939" i="1"/>
  <c r="Z4939" i="1" s="1"/>
  <c r="U4939" i="1"/>
  <c r="T4939" i="1"/>
  <c r="S4939" i="1"/>
  <c r="R4939" i="1"/>
  <c r="Q4939" i="1"/>
  <c r="M4939" i="1"/>
  <c r="L4939" i="1"/>
  <c r="V4938" i="1"/>
  <c r="U4938" i="1"/>
  <c r="T4938" i="1"/>
  <c r="S4938" i="1"/>
  <c r="R4938" i="1"/>
  <c r="Q4938" i="1"/>
  <c r="M4938" i="1"/>
  <c r="L4938" i="1"/>
  <c r="V4937" i="1"/>
  <c r="Z4937" i="1" s="1"/>
  <c r="U4937" i="1"/>
  <c r="T4937" i="1"/>
  <c r="W4937" i="1" s="1"/>
  <c r="S4937" i="1"/>
  <c r="R4937" i="1"/>
  <c r="Q4937" i="1"/>
  <c r="M4937" i="1"/>
  <c r="L4937" i="1"/>
  <c r="V4936" i="1"/>
  <c r="Z4936" i="1" s="1"/>
  <c r="U4936" i="1"/>
  <c r="T4936" i="1"/>
  <c r="W4936" i="1" s="1"/>
  <c r="S4936" i="1"/>
  <c r="R4936" i="1"/>
  <c r="Q4936" i="1"/>
  <c r="M4936" i="1"/>
  <c r="L4936" i="1"/>
  <c r="V4935" i="1"/>
  <c r="Z4935" i="1" s="1"/>
  <c r="U4935" i="1"/>
  <c r="T4935" i="1"/>
  <c r="S4935" i="1"/>
  <c r="R4935" i="1"/>
  <c r="Q4935" i="1"/>
  <c r="M4935" i="1"/>
  <c r="L4935" i="1"/>
  <c r="V4934" i="1"/>
  <c r="U4934" i="1"/>
  <c r="T4934" i="1"/>
  <c r="S4934" i="1"/>
  <c r="R4934" i="1"/>
  <c r="Q4934" i="1"/>
  <c r="M4934" i="1"/>
  <c r="L4934" i="1"/>
  <c r="V4933" i="1"/>
  <c r="Z4933" i="1" s="1"/>
  <c r="U4933" i="1"/>
  <c r="T4933" i="1"/>
  <c r="W4933" i="1" s="1"/>
  <c r="S4933" i="1"/>
  <c r="R4933" i="1"/>
  <c r="Q4933" i="1"/>
  <c r="M4933" i="1"/>
  <c r="L4933" i="1"/>
  <c r="V4932" i="1"/>
  <c r="Z4932" i="1" s="1"/>
  <c r="U4932" i="1"/>
  <c r="T4932" i="1"/>
  <c r="W4932" i="1" s="1"/>
  <c r="S4932" i="1"/>
  <c r="R4932" i="1"/>
  <c r="Q4932" i="1"/>
  <c r="M4932" i="1"/>
  <c r="L4932" i="1"/>
  <c r="V4931" i="1"/>
  <c r="Z4931" i="1" s="1"/>
  <c r="U4931" i="1"/>
  <c r="T4931" i="1"/>
  <c r="W4931" i="1" s="1"/>
  <c r="S4931" i="1"/>
  <c r="R4931" i="1"/>
  <c r="Q4931" i="1"/>
  <c r="M4931" i="1"/>
  <c r="L4931" i="1"/>
  <c r="V4930" i="1"/>
  <c r="U4930" i="1"/>
  <c r="T4930" i="1"/>
  <c r="S4930" i="1"/>
  <c r="R4930" i="1"/>
  <c r="Q4930" i="1"/>
  <c r="M4930" i="1"/>
  <c r="L4930" i="1"/>
  <c r="V4929" i="1"/>
  <c r="Z4929" i="1" s="1"/>
  <c r="U4929" i="1"/>
  <c r="T4929" i="1"/>
  <c r="W4929" i="1" s="1"/>
  <c r="S4929" i="1"/>
  <c r="R4929" i="1"/>
  <c r="Q4929" i="1"/>
  <c r="M4929" i="1"/>
  <c r="L4929" i="1"/>
  <c r="V4928" i="1"/>
  <c r="Z4928" i="1" s="1"/>
  <c r="U4928" i="1"/>
  <c r="T4928" i="1"/>
  <c r="S4928" i="1"/>
  <c r="R4928" i="1"/>
  <c r="Q4928" i="1"/>
  <c r="M4928" i="1"/>
  <c r="L4928" i="1"/>
  <c r="V4927" i="1"/>
  <c r="U4927" i="1"/>
  <c r="T4927" i="1"/>
  <c r="W4927" i="1" s="1"/>
  <c r="S4927" i="1"/>
  <c r="R4927" i="1"/>
  <c r="Q4927" i="1"/>
  <c r="M4927" i="1"/>
  <c r="L4927" i="1"/>
  <c r="V4926" i="1"/>
  <c r="U4926" i="1"/>
  <c r="T4926" i="1"/>
  <c r="S4926" i="1"/>
  <c r="R4926" i="1"/>
  <c r="Q4926" i="1"/>
  <c r="M4926" i="1"/>
  <c r="L4926" i="1"/>
  <c r="V4925" i="1"/>
  <c r="Z4925" i="1" s="1"/>
  <c r="U4925" i="1"/>
  <c r="T4925" i="1"/>
  <c r="W4925" i="1" s="1"/>
  <c r="S4925" i="1"/>
  <c r="R4925" i="1"/>
  <c r="Q4925" i="1"/>
  <c r="M4925" i="1"/>
  <c r="L4925" i="1"/>
  <c r="V4924" i="1"/>
  <c r="Z4924" i="1" s="1"/>
  <c r="U4924" i="1"/>
  <c r="T4924" i="1"/>
  <c r="W4924" i="1" s="1"/>
  <c r="S4924" i="1"/>
  <c r="R4924" i="1"/>
  <c r="Q4924" i="1"/>
  <c r="M4924" i="1"/>
  <c r="L4924" i="1"/>
  <c r="V4923" i="1"/>
  <c r="Z4923" i="1" s="1"/>
  <c r="U4923" i="1"/>
  <c r="T4923" i="1"/>
  <c r="W4923" i="1" s="1"/>
  <c r="S4923" i="1"/>
  <c r="R4923" i="1"/>
  <c r="Q4923" i="1"/>
  <c r="M4923" i="1"/>
  <c r="L4923" i="1"/>
  <c r="V4922" i="1"/>
  <c r="U4922" i="1"/>
  <c r="T4922" i="1"/>
  <c r="S4922" i="1"/>
  <c r="R4922" i="1"/>
  <c r="Q4922" i="1"/>
  <c r="M4922" i="1"/>
  <c r="L4922" i="1"/>
  <c r="V4921" i="1"/>
  <c r="Z4921" i="1" s="1"/>
  <c r="U4921" i="1"/>
  <c r="T4921" i="1"/>
  <c r="W4921" i="1" s="1"/>
  <c r="S4921" i="1"/>
  <c r="R4921" i="1"/>
  <c r="Q4921" i="1"/>
  <c r="M4921" i="1"/>
  <c r="L4921" i="1"/>
  <c r="V4920" i="1"/>
  <c r="Z4920" i="1" s="1"/>
  <c r="U4920" i="1"/>
  <c r="T4920" i="1"/>
  <c r="S4920" i="1"/>
  <c r="R4920" i="1"/>
  <c r="Q4920" i="1"/>
  <c r="M4920" i="1"/>
  <c r="L4920" i="1"/>
  <c r="V4919" i="1"/>
  <c r="U4919" i="1"/>
  <c r="T4919" i="1"/>
  <c r="W4919" i="1" s="1"/>
  <c r="S4919" i="1"/>
  <c r="R4919" i="1"/>
  <c r="Q4919" i="1"/>
  <c r="M4919" i="1"/>
  <c r="L4919" i="1"/>
  <c r="V4918" i="1"/>
  <c r="U4918" i="1"/>
  <c r="T4918" i="1"/>
  <c r="S4918" i="1"/>
  <c r="R4918" i="1"/>
  <c r="Q4918" i="1"/>
  <c r="M4918" i="1"/>
  <c r="L4918" i="1"/>
  <c r="V4917" i="1"/>
  <c r="Z4917" i="1" s="1"/>
  <c r="U4917" i="1"/>
  <c r="T4917" i="1"/>
  <c r="W4917" i="1" s="1"/>
  <c r="S4917" i="1"/>
  <c r="R4917" i="1"/>
  <c r="Q4917" i="1"/>
  <c r="M4917" i="1"/>
  <c r="L4917" i="1"/>
  <c r="V4916" i="1"/>
  <c r="Z4916" i="1" s="1"/>
  <c r="U4916" i="1"/>
  <c r="T4916" i="1"/>
  <c r="S4916" i="1"/>
  <c r="R4916" i="1"/>
  <c r="Q4916" i="1"/>
  <c r="M4916" i="1"/>
  <c r="L4916" i="1"/>
  <c r="V4915" i="1"/>
  <c r="Z4915" i="1" s="1"/>
  <c r="U4915" i="1"/>
  <c r="T4915" i="1"/>
  <c r="S4915" i="1"/>
  <c r="R4915" i="1"/>
  <c r="Q4915" i="1"/>
  <c r="M4915" i="1"/>
  <c r="L4915" i="1"/>
  <c r="V4914" i="1"/>
  <c r="U4914" i="1"/>
  <c r="T4914" i="1"/>
  <c r="S4914" i="1"/>
  <c r="R4914" i="1"/>
  <c r="Q4914" i="1"/>
  <c r="M4914" i="1"/>
  <c r="L4914" i="1"/>
  <c r="V4913" i="1"/>
  <c r="Z4913" i="1" s="1"/>
  <c r="U4913" i="1"/>
  <c r="T4913" i="1"/>
  <c r="W4913" i="1" s="1"/>
  <c r="S4913" i="1"/>
  <c r="R4913" i="1"/>
  <c r="Q4913" i="1"/>
  <c r="M4913" i="1"/>
  <c r="L4913" i="1"/>
  <c r="V4912" i="1"/>
  <c r="Z4912" i="1" s="1"/>
  <c r="U4912" i="1"/>
  <c r="T4912" i="1"/>
  <c r="W4912" i="1" s="1"/>
  <c r="S4912" i="1"/>
  <c r="R4912" i="1"/>
  <c r="Q4912" i="1"/>
  <c r="M4912" i="1"/>
  <c r="L4912" i="1"/>
  <c r="V4911" i="1"/>
  <c r="U4911" i="1"/>
  <c r="T4911" i="1"/>
  <c r="W4911" i="1" s="1"/>
  <c r="S4911" i="1"/>
  <c r="R4911" i="1"/>
  <c r="Q4911" i="1"/>
  <c r="M4911" i="1"/>
  <c r="L4911" i="1"/>
  <c r="V4910" i="1"/>
  <c r="U4910" i="1"/>
  <c r="T4910" i="1"/>
  <c r="S4910" i="1"/>
  <c r="R4910" i="1"/>
  <c r="Q4910" i="1"/>
  <c r="M4910" i="1"/>
  <c r="L4910" i="1"/>
  <c r="V4909" i="1"/>
  <c r="Z4909" i="1" s="1"/>
  <c r="U4909" i="1"/>
  <c r="T4909" i="1"/>
  <c r="W4909" i="1" s="1"/>
  <c r="S4909" i="1"/>
  <c r="R4909" i="1"/>
  <c r="Q4909" i="1"/>
  <c r="M4909" i="1"/>
  <c r="L4909" i="1"/>
  <c r="V4908" i="1"/>
  <c r="Z4908" i="1" s="1"/>
  <c r="U4908" i="1"/>
  <c r="T4908" i="1"/>
  <c r="S4908" i="1"/>
  <c r="R4908" i="1"/>
  <c r="Q4908" i="1"/>
  <c r="M4908" i="1"/>
  <c r="L4908" i="1"/>
  <c r="V4907" i="1"/>
  <c r="Z4907" i="1" s="1"/>
  <c r="U4907" i="1"/>
  <c r="T4907" i="1"/>
  <c r="S4907" i="1"/>
  <c r="R4907" i="1"/>
  <c r="Q4907" i="1"/>
  <c r="M4907" i="1"/>
  <c r="L4907" i="1"/>
  <c r="V4906" i="1"/>
  <c r="U4906" i="1"/>
  <c r="T4906" i="1"/>
  <c r="S4906" i="1"/>
  <c r="R4906" i="1"/>
  <c r="Q4906" i="1"/>
  <c r="M4906" i="1"/>
  <c r="L4906" i="1"/>
  <c r="V4905" i="1"/>
  <c r="Z4905" i="1" s="1"/>
  <c r="U4905" i="1"/>
  <c r="T4905" i="1"/>
  <c r="W4905" i="1" s="1"/>
  <c r="S4905" i="1"/>
  <c r="R4905" i="1"/>
  <c r="Q4905" i="1"/>
  <c r="M4905" i="1"/>
  <c r="L4905" i="1"/>
  <c r="V4904" i="1"/>
  <c r="Z4904" i="1" s="1"/>
  <c r="U4904" i="1"/>
  <c r="T4904" i="1"/>
  <c r="W4904" i="1" s="1"/>
  <c r="S4904" i="1"/>
  <c r="R4904" i="1"/>
  <c r="Q4904" i="1"/>
  <c r="M4904" i="1"/>
  <c r="L4904" i="1"/>
  <c r="V4903" i="1"/>
  <c r="Z4903" i="1" s="1"/>
  <c r="U4903" i="1"/>
  <c r="T4903" i="1"/>
  <c r="W4903" i="1" s="1"/>
  <c r="S4903" i="1"/>
  <c r="R4903" i="1"/>
  <c r="Q4903" i="1"/>
  <c r="M4903" i="1"/>
  <c r="L4903" i="1"/>
  <c r="V4902" i="1"/>
  <c r="U4902" i="1"/>
  <c r="T4902" i="1"/>
  <c r="S4902" i="1"/>
  <c r="R4902" i="1"/>
  <c r="Q4902" i="1"/>
  <c r="M4902" i="1"/>
  <c r="L4902" i="1"/>
  <c r="V4901" i="1"/>
  <c r="Z4901" i="1" s="1"/>
  <c r="U4901" i="1"/>
  <c r="T4901" i="1"/>
  <c r="W4901" i="1" s="1"/>
  <c r="S4901" i="1"/>
  <c r="R4901" i="1"/>
  <c r="Q4901" i="1"/>
  <c r="M4901" i="1"/>
  <c r="L4901" i="1"/>
  <c r="V4900" i="1"/>
  <c r="Z4900" i="1" s="1"/>
  <c r="U4900" i="1"/>
  <c r="T4900" i="1"/>
  <c r="W4900" i="1" s="1"/>
  <c r="S4900" i="1"/>
  <c r="R4900" i="1"/>
  <c r="Q4900" i="1"/>
  <c r="M4900" i="1"/>
  <c r="L4900" i="1"/>
  <c r="V4899" i="1"/>
  <c r="Z4899" i="1" s="1"/>
  <c r="U4899" i="1"/>
  <c r="T4899" i="1"/>
  <c r="W4899" i="1" s="1"/>
  <c r="S4899" i="1"/>
  <c r="R4899" i="1"/>
  <c r="Q4899" i="1"/>
  <c r="M4899" i="1"/>
  <c r="L4899" i="1"/>
  <c r="V4898" i="1"/>
  <c r="U4898" i="1"/>
  <c r="T4898" i="1"/>
  <c r="S4898" i="1"/>
  <c r="R4898" i="1"/>
  <c r="Q4898" i="1"/>
  <c r="M4898" i="1"/>
  <c r="L4898" i="1"/>
  <c r="V4897" i="1"/>
  <c r="Z4897" i="1" s="1"/>
  <c r="U4897" i="1"/>
  <c r="T4897" i="1"/>
  <c r="W4897" i="1" s="1"/>
  <c r="S4897" i="1"/>
  <c r="R4897" i="1"/>
  <c r="Q4897" i="1"/>
  <c r="M4897" i="1"/>
  <c r="L4897" i="1"/>
  <c r="V4896" i="1"/>
  <c r="Z4896" i="1" s="1"/>
  <c r="U4896" i="1"/>
  <c r="T4896" i="1"/>
  <c r="W4896" i="1" s="1"/>
  <c r="S4896" i="1"/>
  <c r="R4896" i="1"/>
  <c r="Q4896" i="1"/>
  <c r="M4896" i="1"/>
  <c r="L4896" i="1"/>
  <c r="V4895" i="1"/>
  <c r="U4895" i="1"/>
  <c r="T4895" i="1"/>
  <c r="W4895" i="1" s="1"/>
  <c r="S4895" i="1"/>
  <c r="R4895" i="1"/>
  <c r="Q4895" i="1"/>
  <c r="M4895" i="1"/>
  <c r="L4895" i="1"/>
  <c r="V4894" i="1"/>
  <c r="U4894" i="1"/>
  <c r="T4894" i="1"/>
  <c r="S4894" i="1"/>
  <c r="R4894" i="1"/>
  <c r="Q4894" i="1"/>
  <c r="M4894" i="1"/>
  <c r="L4894" i="1"/>
  <c r="V4893" i="1"/>
  <c r="Z4893" i="1" s="1"/>
  <c r="U4893" i="1"/>
  <c r="T4893" i="1"/>
  <c r="W4893" i="1" s="1"/>
  <c r="S4893" i="1"/>
  <c r="R4893" i="1"/>
  <c r="Q4893" i="1"/>
  <c r="M4893" i="1"/>
  <c r="L4893" i="1"/>
  <c r="V4892" i="1"/>
  <c r="Z4892" i="1" s="1"/>
  <c r="U4892" i="1"/>
  <c r="T4892" i="1"/>
  <c r="W4892" i="1" s="1"/>
  <c r="S4892" i="1"/>
  <c r="R4892" i="1"/>
  <c r="Q4892" i="1"/>
  <c r="M4892" i="1"/>
  <c r="L4892" i="1"/>
  <c r="V4891" i="1"/>
  <c r="U4891" i="1"/>
  <c r="T4891" i="1"/>
  <c r="W4891" i="1" s="1"/>
  <c r="S4891" i="1"/>
  <c r="R4891" i="1"/>
  <c r="Q4891" i="1"/>
  <c r="M4891" i="1"/>
  <c r="L4891" i="1"/>
  <c r="V4890" i="1"/>
  <c r="U4890" i="1"/>
  <c r="T4890" i="1"/>
  <c r="W4890" i="1" s="1"/>
  <c r="S4890" i="1"/>
  <c r="R4890" i="1"/>
  <c r="Q4890" i="1"/>
  <c r="M4890" i="1"/>
  <c r="L4890" i="1"/>
  <c r="V4889" i="1"/>
  <c r="Z4889" i="1" s="1"/>
  <c r="U4889" i="1"/>
  <c r="T4889" i="1"/>
  <c r="W4889" i="1" s="1"/>
  <c r="S4889" i="1"/>
  <c r="R4889" i="1"/>
  <c r="Q4889" i="1"/>
  <c r="M4889" i="1"/>
  <c r="L4889" i="1"/>
  <c r="V4888" i="1"/>
  <c r="Z4888" i="1" s="1"/>
  <c r="U4888" i="1"/>
  <c r="T4888" i="1"/>
  <c r="W4888" i="1" s="1"/>
  <c r="S4888" i="1"/>
  <c r="R4888" i="1"/>
  <c r="Q4888" i="1"/>
  <c r="M4888" i="1"/>
  <c r="L4888" i="1"/>
  <c r="V4887" i="1"/>
  <c r="Z4887" i="1" s="1"/>
  <c r="U4887" i="1"/>
  <c r="T4887" i="1"/>
  <c r="W4887" i="1" s="1"/>
  <c r="S4887" i="1"/>
  <c r="R4887" i="1"/>
  <c r="Q4887" i="1"/>
  <c r="M4887" i="1"/>
  <c r="L4887" i="1"/>
  <c r="V4886" i="1"/>
  <c r="U4886" i="1"/>
  <c r="T4886" i="1"/>
  <c r="W4886" i="1" s="1"/>
  <c r="S4886" i="1"/>
  <c r="R4886" i="1"/>
  <c r="Q4886" i="1"/>
  <c r="M4886" i="1"/>
  <c r="L4886" i="1"/>
  <c r="V4885" i="1"/>
  <c r="Z4885" i="1" s="1"/>
  <c r="U4885" i="1"/>
  <c r="T4885" i="1"/>
  <c r="W4885" i="1" s="1"/>
  <c r="S4885" i="1"/>
  <c r="R4885" i="1"/>
  <c r="Q4885" i="1"/>
  <c r="M4885" i="1"/>
  <c r="L4885" i="1"/>
  <c r="V4884" i="1"/>
  <c r="Z4884" i="1" s="1"/>
  <c r="U4884" i="1"/>
  <c r="T4884" i="1"/>
  <c r="W4884" i="1" s="1"/>
  <c r="S4884" i="1"/>
  <c r="R4884" i="1"/>
  <c r="Q4884" i="1"/>
  <c r="M4884" i="1"/>
  <c r="L4884" i="1"/>
  <c r="V4883" i="1"/>
  <c r="Z4883" i="1" s="1"/>
  <c r="U4883" i="1"/>
  <c r="T4883" i="1"/>
  <c r="W4883" i="1" s="1"/>
  <c r="S4883" i="1"/>
  <c r="R4883" i="1"/>
  <c r="Q4883" i="1"/>
  <c r="M4883" i="1"/>
  <c r="L4883" i="1"/>
  <c r="V4882" i="1"/>
  <c r="U4882" i="1"/>
  <c r="T4882" i="1"/>
  <c r="W4882" i="1" s="1"/>
  <c r="S4882" i="1"/>
  <c r="R4882" i="1"/>
  <c r="Q4882" i="1"/>
  <c r="M4882" i="1"/>
  <c r="L4882" i="1"/>
  <c r="V4881" i="1"/>
  <c r="Z4881" i="1" s="1"/>
  <c r="U4881" i="1"/>
  <c r="T4881" i="1"/>
  <c r="W4881" i="1" s="1"/>
  <c r="S4881" i="1"/>
  <c r="R4881" i="1"/>
  <c r="Q4881" i="1"/>
  <c r="M4881" i="1"/>
  <c r="L4881" i="1"/>
  <c r="V4880" i="1"/>
  <c r="Z4880" i="1" s="1"/>
  <c r="U4880" i="1"/>
  <c r="T4880" i="1"/>
  <c r="W4880" i="1" s="1"/>
  <c r="S4880" i="1"/>
  <c r="R4880" i="1"/>
  <c r="Q4880" i="1"/>
  <c r="M4880" i="1"/>
  <c r="L4880" i="1"/>
  <c r="V4879" i="1"/>
  <c r="Z4879" i="1" s="1"/>
  <c r="U4879" i="1"/>
  <c r="T4879" i="1"/>
  <c r="W4879" i="1" s="1"/>
  <c r="S4879" i="1"/>
  <c r="R4879" i="1"/>
  <c r="Q4879" i="1"/>
  <c r="M4879" i="1"/>
  <c r="L4879" i="1"/>
  <c r="V4878" i="1"/>
  <c r="U4878" i="1"/>
  <c r="T4878" i="1"/>
  <c r="W4878" i="1" s="1"/>
  <c r="S4878" i="1"/>
  <c r="R4878" i="1"/>
  <c r="Q4878" i="1"/>
  <c r="M4878" i="1"/>
  <c r="L4878" i="1"/>
  <c r="V4877" i="1"/>
  <c r="Z4877" i="1" s="1"/>
  <c r="U4877" i="1"/>
  <c r="T4877" i="1"/>
  <c r="W4877" i="1" s="1"/>
  <c r="S4877" i="1"/>
  <c r="R4877" i="1"/>
  <c r="Q4877" i="1"/>
  <c r="M4877" i="1"/>
  <c r="L4877" i="1"/>
  <c r="V4876" i="1"/>
  <c r="Z4876" i="1" s="1"/>
  <c r="U4876" i="1"/>
  <c r="T4876" i="1"/>
  <c r="S4876" i="1"/>
  <c r="R4876" i="1"/>
  <c r="Q4876" i="1"/>
  <c r="M4876" i="1"/>
  <c r="L4876" i="1"/>
  <c r="V4875" i="1"/>
  <c r="U4875" i="1"/>
  <c r="T4875" i="1"/>
  <c r="S4875" i="1"/>
  <c r="R4875" i="1"/>
  <c r="Q4875" i="1"/>
  <c r="M4875" i="1"/>
  <c r="L4875" i="1"/>
  <c r="V4874" i="1"/>
  <c r="U4874" i="1"/>
  <c r="T4874" i="1"/>
  <c r="W4874" i="1" s="1"/>
  <c r="S4874" i="1"/>
  <c r="R4874" i="1"/>
  <c r="Q4874" i="1"/>
  <c r="M4874" i="1"/>
  <c r="L4874" i="1"/>
  <c r="V4873" i="1"/>
  <c r="Z4873" i="1" s="1"/>
  <c r="U4873" i="1"/>
  <c r="T4873" i="1"/>
  <c r="W4873" i="1" s="1"/>
  <c r="S4873" i="1"/>
  <c r="R4873" i="1"/>
  <c r="Q4873" i="1"/>
  <c r="M4873" i="1"/>
  <c r="L4873" i="1"/>
  <c r="V4872" i="1"/>
  <c r="Z4872" i="1" s="1"/>
  <c r="U4872" i="1"/>
  <c r="T4872" i="1"/>
  <c r="S4872" i="1"/>
  <c r="R4872" i="1"/>
  <c r="Q4872" i="1"/>
  <c r="M4872" i="1"/>
  <c r="L4872" i="1"/>
  <c r="V4871" i="1"/>
  <c r="Z4871" i="1" s="1"/>
  <c r="U4871" i="1"/>
  <c r="T4871" i="1"/>
  <c r="S4871" i="1"/>
  <c r="R4871" i="1"/>
  <c r="Q4871" i="1"/>
  <c r="M4871" i="1"/>
  <c r="L4871" i="1"/>
  <c r="V4870" i="1"/>
  <c r="U4870" i="1"/>
  <c r="T4870" i="1"/>
  <c r="W4870" i="1" s="1"/>
  <c r="S4870" i="1"/>
  <c r="R4870" i="1"/>
  <c r="Q4870" i="1"/>
  <c r="M4870" i="1"/>
  <c r="L4870" i="1"/>
  <c r="V4869" i="1"/>
  <c r="Z4869" i="1" s="1"/>
  <c r="U4869" i="1"/>
  <c r="T4869" i="1"/>
  <c r="W4869" i="1" s="1"/>
  <c r="S4869" i="1"/>
  <c r="R4869" i="1"/>
  <c r="Q4869" i="1"/>
  <c r="M4869" i="1"/>
  <c r="L4869" i="1"/>
  <c r="V4868" i="1"/>
  <c r="Z4868" i="1" s="1"/>
  <c r="U4868" i="1"/>
  <c r="T4868" i="1"/>
  <c r="S4868" i="1"/>
  <c r="R4868" i="1"/>
  <c r="Q4868" i="1"/>
  <c r="M4868" i="1"/>
  <c r="L4868" i="1"/>
  <c r="V4867" i="1"/>
  <c r="Z4867" i="1" s="1"/>
  <c r="U4867" i="1"/>
  <c r="T4867" i="1"/>
  <c r="W4867" i="1" s="1"/>
  <c r="S4867" i="1"/>
  <c r="R4867" i="1"/>
  <c r="Q4867" i="1"/>
  <c r="M4867" i="1"/>
  <c r="L4867" i="1"/>
  <c r="V4866" i="1"/>
  <c r="U4866" i="1"/>
  <c r="T4866" i="1"/>
  <c r="W4866" i="1" s="1"/>
  <c r="S4866" i="1"/>
  <c r="R4866" i="1"/>
  <c r="Q4866" i="1"/>
  <c r="M4866" i="1"/>
  <c r="L4866" i="1"/>
  <c r="V4865" i="1"/>
  <c r="Z4865" i="1" s="1"/>
  <c r="U4865" i="1"/>
  <c r="T4865" i="1"/>
  <c r="W4865" i="1" s="1"/>
  <c r="S4865" i="1"/>
  <c r="R4865" i="1"/>
  <c r="Q4865" i="1"/>
  <c r="M4865" i="1"/>
  <c r="L4865" i="1"/>
  <c r="V4864" i="1"/>
  <c r="Z4864" i="1" s="1"/>
  <c r="U4864" i="1"/>
  <c r="T4864" i="1"/>
  <c r="W4864" i="1" s="1"/>
  <c r="S4864" i="1"/>
  <c r="R4864" i="1"/>
  <c r="Q4864" i="1"/>
  <c r="M4864" i="1"/>
  <c r="L4864" i="1"/>
  <c r="V4863" i="1"/>
  <c r="U4863" i="1"/>
  <c r="T4863" i="1"/>
  <c r="W4863" i="1" s="1"/>
  <c r="S4863" i="1"/>
  <c r="R4863" i="1"/>
  <c r="Q4863" i="1"/>
  <c r="M4863" i="1"/>
  <c r="L4863" i="1"/>
  <c r="V4862" i="1"/>
  <c r="U4862" i="1"/>
  <c r="T4862" i="1"/>
  <c r="S4862" i="1"/>
  <c r="R4862" i="1"/>
  <c r="Q4862" i="1"/>
  <c r="M4862" i="1"/>
  <c r="L4862" i="1"/>
  <c r="V4861" i="1"/>
  <c r="Z4861" i="1" s="1"/>
  <c r="U4861" i="1"/>
  <c r="T4861" i="1"/>
  <c r="S4861" i="1"/>
  <c r="R4861" i="1"/>
  <c r="Q4861" i="1"/>
  <c r="M4861" i="1"/>
  <c r="L4861" i="1"/>
  <c r="V4860" i="1"/>
  <c r="Z4860" i="1" s="1"/>
  <c r="U4860" i="1"/>
  <c r="T4860" i="1"/>
  <c r="W4860" i="1" s="1"/>
  <c r="S4860" i="1"/>
  <c r="R4860" i="1"/>
  <c r="Q4860" i="1"/>
  <c r="M4860" i="1"/>
  <c r="L4860" i="1"/>
  <c r="V4859" i="1"/>
  <c r="U4859" i="1"/>
  <c r="T4859" i="1"/>
  <c r="W4859" i="1" s="1"/>
  <c r="S4859" i="1"/>
  <c r="R4859" i="1"/>
  <c r="Q4859" i="1"/>
  <c r="M4859" i="1"/>
  <c r="L4859" i="1"/>
  <c r="V4858" i="1"/>
  <c r="U4858" i="1"/>
  <c r="T4858" i="1"/>
  <c r="W4858" i="1" s="1"/>
  <c r="S4858" i="1"/>
  <c r="R4858" i="1"/>
  <c r="Q4858" i="1"/>
  <c r="M4858" i="1"/>
  <c r="L4858" i="1"/>
  <c r="V4857" i="1"/>
  <c r="Z4857" i="1" s="1"/>
  <c r="U4857" i="1"/>
  <c r="T4857" i="1"/>
  <c r="S4857" i="1"/>
  <c r="R4857" i="1"/>
  <c r="Q4857" i="1"/>
  <c r="M4857" i="1"/>
  <c r="L4857" i="1"/>
  <c r="V4856" i="1"/>
  <c r="Z4856" i="1" s="1"/>
  <c r="U4856" i="1"/>
  <c r="T4856" i="1"/>
  <c r="W4856" i="1" s="1"/>
  <c r="S4856" i="1"/>
  <c r="R4856" i="1"/>
  <c r="Q4856" i="1"/>
  <c r="M4856" i="1"/>
  <c r="L4856" i="1"/>
  <c r="V4855" i="1"/>
  <c r="Z4855" i="1" s="1"/>
  <c r="U4855" i="1"/>
  <c r="T4855" i="1"/>
  <c r="S4855" i="1"/>
  <c r="R4855" i="1"/>
  <c r="Q4855" i="1"/>
  <c r="M4855" i="1"/>
  <c r="L4855" i="1"/>
  <c r="V4854" i="1"/>
  <c r="U4854" i="1"/>
  <c r="T4854" i="1"/>
  <c r="S4854" i="1"/>
  <c r="R4854" i="1"/>
  <c r="Q4854" i="1"/>
  <c r="M4854" i="1"/>
  <c r="L4854" i="1"/>
  <c r="V4853" i="1"/>
  <c r="Z4853" i="1" s="1"/>
  <c r="U4853" i="1"/>
  <c r="T4853" i="1"/>
  <c r="S4853" i="1"/>
  <c r="R4853" i="1"/>
  <c r="Q4853" i="1"/>
  <c r="M4853" i="1"/>
  <c r="L4853" i="1"/>
  <c r="V4852" i="1"/>
  <c r="Z4852" i="1" s="1"/>
  <c r="U4852" i="1"/>
  <c r="T4852" i="1"/>
  <c r="S4852" i="1"/>
  <c r="R4852" i="1"/>
  <c r="Q4852" i="1"/>
  <c r="M4852" i="1"/>
  <c r="L4852" i="1"/>
  <c r="V4851" i="1"/>
  <c r="U4851" i="1"/>
  <c r="T4851" i="1"/>
  <c r="S4851" i="1"/>
  <c r="R4851" i="1"/>
  <c r="Q4851" i="1"/>
  <c r="M4851" i="1"/>
  <c r="L4851" i="1"/>
  <c r="V4850" i="1"/>
  <c r="U4850" i="1"/>
  <c r="T4850" i="1"/>
  <c r="S4850" i="1"/>
  <c r="R4850" i="1"/>
  <c r="Q4850" i="1"/>
  <c r="M4850" i="1"/>
  <c r="L4850" i="1"/>
  <c r="V4849" i="1"/>
  <c r="Z4849" i="1" s="1"/>
  <c r="U4849" i="1"/>
  <c r="T4849" i="1"/>
  <c r="S4849" i="1"/>
  <c r="R4849" i="1"/>
  <c r="Q4849" i="1"/>
  <c r="M4849" i="1"/>
  <c r="L4849" i="1"/>
  <c r="V4848" i="1"/>
  <c r="Z4848" i="1" s="1"/>
  <c r="U4848" i="1"/>
  <c r="T4848" i="1"/>
  <c r="W4848" i="1" s="1"/>
  <c r="S4848" i="1"/>
  <c r="R4848" i="1"/>
  <c r="Q4848" i="1"/>
  <c r="M4848" i="1"/>
  <c r="L4848" i="1"/>
  <c r="V4847" i="1"/>
  <c r="U4847" i="1"/>
  <c r="T4847" i="1"/>
  <c r="W4847" i="1" s="1"/>
  <c r="S4847" i="1"/>
  <c r="R4847" i="1"/>
  <c r="Q4847" i="1"/>
  <c r="M4847" i="1"/>
  <c r="L4847" i="1"/>
  <c r="V4846" i="1"/>
  <c r="U4846" i="1"/>
  <c r="T4846" i="1"/>
  <c r="S4846" i="1"/>
  <c r="R4846" i="1"/>
  <c r="Q4846" i="1"/>
  <c r="M4846" i="1"/>
  <c r="L4846" i="1"/>
  <c r="V4845" i="1"/>
  <c r="Z4845" i="1" s="1"/>
  <c r="U4845" i="1"/>
  <c r="T4845" i="1"/>
  <c r="W4845" i="1" s="1"/>
  <c r="S4845" i="1"/>
  <c r="R4845" i="1"/>
  <c r="Q4845" i="1"/>
  <c r="M4845" i="1"/>
  <c r="L4845" i="1"/>
  <c r="V4844" i="1"/>
  <c r="Z4844" i="1" s="1"/>
  <c r="U4844" i="1"/>
  <c r="T4844" i="1"/>
  <c r="W4844" i="1" s="1"/>
  <c r="S4844" i="1"/>
  <c r="R4844" i="1"/>
  <c r="Q4844" i="1"/>
  <c r="M4844" i="1"/>
  <c r="L4844" i="1"/>
  <c r="V4843" i="1"/>
  <c r="U4843" i="1"/>
  <c r="T4843" i="1"/>
  <c r="W4843" i="1" s="1"/>
  <c r="S4843" i="1"/>
  <c r="R4843" i="1"/>
  <c r="Q4843" i="1"/>
  <c r="M4843" i="1"/>
  <c r="L4843" i="1"/>
  <c r="V4842" i="1"/>
  <c r="U4842" i="1"/>
  <c r="T4842" i="1"/>
  <c r="W4842" i="1" s="1"/>
  <c r="S4842" i="1"/>
  <c r="R4842" i="1"/>
  <c r="Q4842" i="1"/>
  <c r="M4842" i="1"/>
  <c r="L4842" i="1"/>
  <c r="V4841" i="1"/>
  <c r="Z4841" i="1" s="1"/>
  <c r="U4841" i="1"/>
  <c r="T4841" i="1"/>
  <c r="W4841" i="1" s="1"/>
  <c r="S4841" i="1"/>
  <c r="R4841" i="1"/>
  <c r="Q4841" i="1"/>
  <c r="M4841" i="1"/>
  <c r="L4841" i="1"/>
  <c r="V4840" i="1"/>
  <c r="Z4840" i="1" s="1"/>
  <c r="U4840" i="1"/>
  <c r="T4840" i="1"/>
  <c r="W4840" i="1" s="1"/>
  <c r="S4840" i="1"/>
  <c r="R4840" i="1"/>
  <c r="Q4840" i="1"/>
  <c r="M4840" i="1"/>
  <c r="L4840" i="1"/>
  <c r="V4839" i="1"/>
  <c r="U4839" i="1"/>
  <c r="T4839" i="1"/>
  <c r="W4839" i="1" s="1"/>
  <c r="S4839" i="1"/>
  <c r="R4839" i="1"/>
  <c r="Q4839" i="1"/>
  <c r="M4839" i="1"/>
  <c r="L4839" i="1"/>
  <c r="V4838" i="1"/>
  <c r="U4838" i="1"/>
  <c r="T4838" i="1"/>
  <c r="W4838" i="1" s="1"/>
  <c r="S4838" i="1"/>
  <c r="R4838" i="1"/>
  <c r="Q4838" i="1"/>
  <c r="M4838" i="1"/>
  <c r="L4838" i="1"/>
  <c r="V4837" i="1"/>
  <c r="Z4837" i="1" s="1"/>
  <c r="U4837" i="1"/>
  <c r="T4837" i="1"/>
  <c r="S4837" i="1"/>
  <c r="R4837" i="1"/>
  <c r="Q4837" i="1"/>
  <c r="M4837" i="1"/>
  <c r="L4837" i="1"/>
  <c r="V4836" i="1"/>
  <c r="Z4836" i="1" s="1"/>
  <c r="U4836" i="1"/>
  <c r="T4836" i="1"/>
  <c r="W4836" i="1" s="1"/>
  <c r="S4836" i="1"/>
  <c r="R4836" i="1"/>
  <c r="Q4836" i="1"/>
  <c r="M4836" i="1"/>
  <c r="L4836" i="1"/>
  <c r="V4835" i="1"/>
  <c r="Z4835" i="1" s="1"/>
  <c r="U4835" i="1"/>
  <c r="T4835" i="1"/>
  <c r="W4835" i="1" s="1"/>
  <c r="S4835" i="1"/>
  <c r="R4835" i="1"/>
  <c r="Q4835" i="1"/>
  <c r="M4835" i="1"/>
  <c r="L4835" i="1"/>
  <c r="V4834" i="1"/>
  <c r="U4834" i="1"/>
  <c r="T4834" i="1"/>
  <c r="W4834" i="1" s="1"/>
  <c r="S4834" i="1"/>
  <c r="R4834" i="1"/>
  <c r="Q4834" i="1"/>
  <c r="M4834" i="1"/>
  <c r="L4834" i="1"/>
  <c r="V4833" i="1"/>
  <c r="Z4833" i="1" s="1"/>
  <c r="U4833" i="1"/>
  <c r="T4833" i="1"/>
  <c r="W4833" i="1" s="1"/>
  <c r="S4833" i="1"/>
  <c r="R4833" i="1"/>
  <c r="Q4833" i="1"/>
  <c r="M4833" i="1"/>
  <c r="L4833" i="1"/>
  <c r="V4832" i="1"/>
  <c r="Z4832" i="1" s="1"/>
  <c r="U4832" i="1"/>
  <c r="T4832" i="1"/>
  <c r="W4832" i="1" s="1"/>
  <c r="S4832" i="1"/>
  <c r="R4832" i="1"/>
  <c r="Q4832" i="1"/>
  <c r="M4832" i="1"/>
  <c r="L4832" i="1"/>
  <c r="V4831" i="1"/>
  <c r="U4831" i="1"/>
  <c r="T4831" i="1"/>
  <c r="W4831" i="1" s="1"/>
  <c r="S4831" i="1"/>
  <c r="R4831" i="1"/>
  <c r="Q4831" i="1"/>
  <c r="M4831" i="1"/>
  <c r="L4831" i="1"/>
  <c r="V4830" i="1"/>
  <c r="U4830" i="1"/>
  <c r="T4830" i="1"/>
  <c r="S4830" i="1"/>
  <c r="R4830" i="1"/>
  <c r="Q4830" i="1"/>
  <c r="M4830" i="1"/>
  <c r="L4830" i="1"/>
  <c r="V4829" i="1"/>
  <c r="Z4829" i="1" s="1"/>
  <c r="U4829" i="1"/>
  <c r="T4829" i="1"/>
  <c r="W4829" i="1" s="1"/>
  <c r="S4829" i="1"/>
  <c r="R4829" i="1"/>
  <c r="Q4829" i="1"/>
  <c r="M4829" i="1"/>
  <c r="L4829" i="1"/>
  <c r="V4828" i="1"/>
  <c r="Z4828" i="1" s="1"/>
  <c r="U4828" i="1"/>
  <c r="T4828" i="1"/>
  <c r="W4828" i="1" s="1"/>
  <c r="S4828" i="1"/>
  <c r="R4828" i="1"/>
  <c r="Q4828" i="1"/>
  <c r="M4828" i="1"/>
  <c r="L4828" i="1"/>
  <c r="V4827" i="1"/>
  <c r="U4827" i="1"/>
  <c r="T4827" i="1"/>
  <c r="W4827" i="1" s="1"/>
  <c r="S4827" i="1"/>
  <c r="R4827" i="1"/>
  <c r="Q4827" i="1"/>
  <c r="M4827" i="1"/>
  <c r="L4827" i="1"/>
  <c r="V4826" i="1"/>
  <c r="U4826" i="1"/>
  <c r="T4826" i="1"/>
  <c r="W4826" i="1" s="1"/>
  <c r="S4826" i="1"/>
  <c r="R4826" i="1"/>
  <c r="Q4826" i="1"/>
  <c r="M4826" i="1"/>
  <c r="L4826" i="1"/>
  <c r="V4825" i="1"/>
  <c r="Z4825" i="1" s="1"/>
  <c r="U4825" i="1"/>
  <c r="T4825" i="1"/>
  <c r="W4825" i="1" s="1"/>
  <c r="S4825" i="1"/>
  <c r="R4825" i="1"/>
  <c r="Q4825" i="1"/>
  <c r="M4825" i="1"/>
  <c r="L4825" i="1"/>
  <c r="V4824" i="1"/>
  <c r="Z4824" i="1" s="1"/>
  <c r="U4824" i="1"/>
  <c r="T4824" i="1"/>
  <c r="W4824" i="1" s="1"/>
  <c r="S4824" i="1"/>
  <c r="R4824" i="1"/>
  <c r="Q4824" i="1"/>
  <c r="M4824" i="1"/>
  <c r="L4824" i="1"/>
  <c r="V4823" i="1"/>
  <c r="Z4823" i="1" s="1"/>
  <c r="U4823" i="1"/>
  <c r="T4823" i="1"/>
  <c r="W4823" i="1" s="1"/>
  <c r="S4823" i="1"/>
  <c r="R4823" i="1"/>
  <c r="Q4823" i="1"/>
  <c r="M4823" i="1"/>
  <c r="L4823" i="1"/>
  <c r="V4822" i="1"/>
  <c r="U4822" i="1"/>
  <c r="T4822" i="1"/>
  <c r="W4822" i="1" s="1"/>
  <c r="S4822" i="1"/>
  <c r="R4822" i="1"/>
  <c r="Q4822" i="1"/>
  <c r="M4822" i="1"/>
  <c r="L4822" i="1"/>
  <c r="V4821" i="1"/>
  <c r="Z4821" i="1" s="1"/>
  <c r="U4821" i="1"/>
  <c r="T4821" i="1"/>
  <c r="W4821" i="1" s="1"/>
  <c r="S4821" i="1"/>
  <c r="R4821" i="1"/>
  <c r="Q4821" i="1"/>
  <c r="M4821" i="1"/>
  <c r="L4821" i="1"/>
  <c r="V4820" i="1"/>
  <c r="Z4820" i="1" s="1"/>
  <c r="U4820" i="1"/>
  <c r="T4820" i="1"/>
  <c r="W4820" i="1" s="1"/>
  <c r="S4820" i="1"/>
  <c r="R4820" i="1"/>
  <c r="Q4820" i="1"/>
  <c r="M4820" i="1"/>
  <c r="L4820" i="1"/>
  <c r="V4819" i="1"/>
  <c r="Z4819" i="1" s="1"/>
  <c r="U4819" i="1"/>
  <c r="T4819" i="1"/>
  <c r="W4819" i="1" s="1"/>
  <c r="S4819" i="1"/>
  <c r="R4819" i="1"/>
  <c r="Q4819" i="1"/>
  <c r="M4819" i="1"/>
  <c r="L4819" i="1"/>
  <c r="V4818" i="1"/>
  <c r="U4818" i="1"/>
  <c r="T4818" i="1"/>
  <c r="W4818" i="1" s="1"/>
  <c r="S4818" i="1"/>
  <c r="R4818" i="1"/>
  <c r="Q4818" i="1"/>
  <c r="M4818" i="1"/>
  <c r="L4818" i="1"/>
  <c r="V4817" i="1"/>
  <c r="Z4817" i="1" s="1"/>
  <c r="U4817" i="1"/>
  <c r="T4817" i="1"/>
  <c r="W4817" i="1" s="1"/>
  <c r="S4817" i="1"/>
  <c r="R4817" i="1"/>
  <c r="Q4817" i="1"/>
  <c r="M4817" i="1"/>
  <c r="L4817" i="1"/>
  <c r="V4816" i="1"/>
  <c r="Z4816" i="1" s="1"/>
  <c r="U4816" i="1"/>
  <c r="T4816" i="1"/>
  <c r="W4816" i="1" s="1"/>
  <c r="S4816" i="1"/>
  <c r="R4816" i="1"/>
  <c r="Q4816" i="1"/>
  <c r="M4816" i="1"/>
  <c r="L4816" i="1"/>
  <c r="V4815" i="1"/>
  <c r="Z4815" i="1" s="1"/>
  <c r="U4815" i="1"/>
  <c r="T4815" i="1"/>
  <c r="W4815" i="1" s="1"/>
  <c r="S4815" i="1"/>
  <c r="R4815" i="1"/>
  <c r="Q4815" i="1"/>
  <c r="M4815" i="1"/>
  <c r="L4815" i="1"/>
  <c r="V4814" i="1"/>
  <c r="U4814" i="1"/>
  <c r="T4814" i="1"/>
  <c r="W4814" i="1" s="1"/>
  <c r="S4814" i="1"/>
  <c r="R4814" i="1"/>
  <c r="Q4814" i="1"/>
  <c r="M4814" i="1"/>
  <c r="L4814" i="1"/>
  <c r="V4813" i="1"/>
  <c r="Z4813" i="1" s="1"/>
  <c r="U4813" i="1"/>
  <c r="T4813" i="1"/>
  <c r="W4813" i="1" s="1"/>
  <c r="S4813" i="1"/>
  <c r="R4813" i="1"/>
  <c r="Q4813" i="1"/>
  <c r="M4813" i="1"/>
  <c r="L4813" i="1"/>
  <c r="V4812" i="1"/>
  <c r="Z4812" i="1" s="1"/>
  <c r="U4812" i="1"/>
  <c r="T4812" i="1"/>
  <c r="W4812" i="1" s="1"/>
  <c r="S4812" i="1"/>
  <c r="R4812" i="1"/>
  <c r="Q4812" i="1"/>
  <c r="M4812" i="1"/>
  <c r="L4812" i="1"/>
  <c r="V4811" i="1"/>
  <c r="U4811" i="1"/>
  <c r="T4811" i="1"/>
  <c r="S4811" i="1"/>
  <c r="R4811" i="1"/>
  <c r="Q4811" i="1"/>
  <c r="M4811" i="1"/>
  <c r="L4811" i="1"/>
  <c r="V4810" i="1"/>
  <c r="U4810" i="1"/>
  <c r="T4810" i="1"/>
  <c r="W4810" i="1" s="1"/>
  <c r="S4810" i="1"/>
  <c r="R4810" i="1"/>
  <c r="Q4810" i="1"/>
  <c r="M4810" i="1"/>
  <c r="L4810" i="1"/>
  <c r="V4809" i="1"/>
  <c r="Z4809" i="1" s="1"/>
  <c r="U4809" i="1"/>
  <c r="T4809" i="1"/>
  <c r="W4809" i="1" s="1"/>
  <c r="S4809" i="1"/>
  <c r="R4809" i="1"/>
  <c r="Q4809" i="1"/>
  <c r="M4809" i="1"/>
  <c r="L4809" i="1"/>
  <c r="V4808" i="1"/>
  <c r="Z4808" i="1" s="1"/>
  <c r="U4808" i="1"/>
  <c r="T4808" i="1"/>
  <c r="S4808" i="1"/>
  <c r="R4808" i="1"/>
  <c r="Q4808" i="1"/>
  <c r="M4808" i="1"/>
  <c r="L4808" i="1"/>
  <c r="V4807" i="1"/>
  <c r="Z4807" i="1" s="1"/>
  <c r="U4807" i="1"/>
  <c r="T4807" i="1"/>
  <c r="S4807" i="1"/>
  <c r="R4807" i="1"/>
  <c r="Q4807" i="1"/>
  <c r="M4807" i="1"/>
  <c r="L4807" i="1"/>
  <c r="V4806" i="1"/>
  <c r="U4806" i="1"/>
  <c r="T4806" i="1"/>
  <c r="W4806" i="1" s="1"/>
  <c r="S4806" i="1"/>
  <c r="R4806" i="1"/>
  <c r="Q4806" i="1"/>
  <c r="M4806" i="1"/>
  <c r="L4806" i="1"/>
  <c r="V4805" i="1"/>
  <c r="Z4805" i="1" s="1"/>
  <c r="U4805" i="1"/>
  <c r="T4805" i="1"/>
  <c r="W4805" i="1" s="1"/>
  <c r="S4805" i="1"/>
  <c r="R4805" i="1"/>
  <c r="Q4805" i="1"/>
  <c r="M4805" i="1"/>
  <c r="L4805" i="1"/>
  <c r="V4804" i="1"/>
  <c r="Z4804" i="1" s="1"/>
  <c r="U4804" i="1"/>
  <c r="T4804" i="1"/>
  <c r="S4804" i="1"/>
  <c r="R4804" i="1"/>
  <c r="Q4804" i="1"/>
  <c r="M4804" i="1"/>
  <c r="L4804" i="1"/>
  <c r="V4803" i="1"/>
  <c r="Z4803" i="1" s="1"/>
  <c r="U4803" i="1"/>
  <c r="T4803" i="1"/>
  <c r="W4803" i="1" s="1"/>
  <c r="S4803" i="1"/>
  <c r="R4803" i="1"/>
  <c r="Q4803" i="1"/>
  <c r="M4803" i="1"/>
  <c r="L4803" i="1"/>
  <c r="V4802" i="1"/>
  <c r="U4802" i="1"/>
  <c r="T4802" i="1"/>
  <c r="W4802" i="1" s="1"/>
  <c r="S4802" i="1"/>
  <c r="R4802" i="1"/>
  <c r="Q4802" i="1"/>
  <c r="M4802" i="1"/>
  <c r="L4802" i="1"/>
  <c r="V4801" i="1"/>
  <c r="Z4801" i="1" s="1"/>
  <c r="U4801" i="1"/>
  <c r="T4801" i="1"/>
  <c r="W4801" i="1" s="1"/>
  <c r="S4801" i="1"/>
  <c r="R4801" i="1"/>
  <c r="Q4801" i="1"/>
  <c r="M4801" i="1"/>
  <c r="L4801" i="1"/>
  <c r="V4800" i="1"/>
  <c r="Z4800" i="1" s="1"/>
  <c r="U4800" i="1"/>
  <c r="T4800" i="1"/>
  <c r="S4800" i="1"/>
  <c r="R4800" i="1"/>
  <c r="Q4800" i="1"/>
  <c r="M4800" i="1"/>
  <c r="L4800" i="1"/>
  <c r="V4799" i="1"/>
  <c r="U4799" i="1"/>
  <c r="T4799" i="1"/>
  <c r="S4799" i="1"/>
  <c r="R4799" i="1"/>
  <c r="Q4799" i="1"/>
  <c r="M4799" i="1"/>
  <c r="L4799" i="1"/>
  <c r="V4798" i="1"/>
  <c r="U4798" i="1"/>
  <c r="T4798" i="1"/>
  <c r="S4798" i="1"/>
  <c r="R4798" i="1"/>
  <c r="Q4798" i="1"/>
  <c r="M4798" i="1"/>
  <c r="L4798" i="1"/>
  <c r="V4797" i="1"/>
  <c r="Z4797" i="1" s="1"/>
  <c r="U4797" i="1"/>
  <c r="T4797" i="1"/>
  <c r="W4797" i="1" s="1"/>
  <c r="S4797" i="1"/>
  <c r="R4797" i="1"/>
  <c r="Q4797" i="1"/>
  <c r="M4797" i="1"/>
  <c r="L4797" i="1"/>
  <c r="V4796" i="1"/>
  <c r="Z4796" i="1" s="1"/>
  <c r="U4796" i="1"/>
  <c r="T4796" i="1"/>
  <c r="W4796" i="1" s="1"/>
  <c r="S4796" i="1"/>
  <c r="R4796" i="1"/>
  <c r="Q4796" i="1"/>
  <c r="M4796" i="1"/>
  <c r="L4796" i="1"/>
  <c r="V4795" i="1"/>
  <c r="U4795" i="1"/>
  <c r="T4795" i="1"/>
  <c r="W4795" i="1" s="1"/>
  <c r="S4795" i="1"/>
  <c r="R4795" i="1"/>
  <c r="Q4795" i="1"/>
  <c r="M4795" i="1"/>
  <c r="L4795" i="1"/>
  <c r="V4794" i="1"/>
  <c r="U4794" i="1"/>
  <c r="T4794" i="1"/>
  <c r="W4794" i="1" s="1"/>
  <c r="S4794" i="1"/>
  <c r="R4794" i="1"/>
  <c r="Q4794" i="1"/>
  <c r="M4794" i="1"/>
  <c r="L4794" i="1"/>
  <c r="V4793" i="1"/>
  <c r="Z4793" i="1" s="1"/>
  <c r="U4793" i="1"/>
  <c r="T4793" i="1"/>
  <c r="S4793" i="1"/>
  <c r="R4793" i="1"/>
  <c r="Q4793" i="1"/>
  <c r="M4793" i="1"/>
  <c r="L4793" i="1"/>
  <c r="V4792" i="1"/>
  <c r="Z4792" i="1" s="1"/>
  <c r="U4792" i="1"/>
  <c r="T4792" i="1"/>
  <c r="W4792" i="1" s="1"/>
  <c r="S4792" i="1"/>
  <c r="R4792" i="1"/>
  <c r="Q4792" i="1"/>
  <c r="M4792" i="1"/>
  <c r="L4792" i="1"/>
  <c r="V4791" i="1"/>
  <c r="U4791" i="1"/>
  <c r="T4791" i="1"/>
  <c r="S4791" i="1"/>
  <c r="R4791" i="1"/>
  <c r="Q4791" i="1"/>
  <c r="M4791" i="1"/>
  <c r="L4791" i="1"/>
  <c r="V4790" i="1"/>
  <c r="U4790" i="1"/>
  <c r="T4790" i="1"/>
  <c r="S4790" i="1"/>
  <c r="R4790" i="1"/>
  <c r="Q4790" i="1"/>
  <c r="M4790" i="1"/>
  <c r="L4790" i="1"/>
  <c r="V4789" i="1"/>
  <c r="Z4789" i="1" s="1"/>
  <c r="U4789" i="1"/>
  <c r="T4789" i="1"/>
  <c r="W4789" i="1" s="1"/>
  <c r="S4789" i="1"/>
  <c r="R4789" i="1"/>
  <c r="Q4789" i="1"/>
  <c r="M4789" i="1"/>
  <c r="L4789" i="1"/>
  <c r="V4788" i="1"/>
  <c r="Z4788" i="1" s="1"/>
  <c r="U4788" i="1"/>
  <c r="T4788" i="1"/>
  <c r="W4788" i="1" s="1"/>
  <c r="S4788" i="1"/>
  <c r="R4788" i="1"/>
  <c r="Q4788" i="1"/>
  <c r="M4788" i="1"/>
  <c r="L4788" i="1"/>
  <c r="V4787" i="1"/>
  <c r="U4787" i="1"/>
  <c r="T4787" i="1"/>
  <c r="W4787" i="1" s="1"/>
  <c r="S4787" i="1"/>
  <c r="R4787" i="1"/>
  <c r="Q4787" i="1"/>
  <c r="M4787" i="1"/>
  <c r="L4787" i="1"/>
  <c r="V4786" i="1"/>
  <c r="U4786" i="1"/>
  <c r="T4786" i="1"/>
  <c r="W4786" i="1" s="1"/>
  <c r="S4786" i="1"/>
  <c r="R4786" i="1"/>
  <c r="Q4786" i="1"/>
  <c r="M4786" i="1"/>
  <c r="L4786" i="1"/>
  <c r="V4785" i="1"/>
  <c r="Z4785" i="1" s="1"/>
  <c r="U4785" i="1"/>
  <c r="T4785" i="1"/>
  <c r="W4785" i="1" s="1"/>
  <c r="S4785" i="1"/>
  <c r="R4785" i="1"/>
  <c r="Q4785" i="1"/>
  <c r="M4785" i="1"/>
  <c r="L4785" i="1"/>
  <c r="V4784" i="1"/>
  <c r="Z4784" i="1" s="1"/>
  <c r="U4784" i="1"/>
  <c r="T4784" i="1"/>
  <c r="W4784" i="1" s="1"/>
  <c r="S4784" i="1"/>
  <c r="R4784" i="1"/>
  <c r="Q4784" i="1"/>
  <c r="M4784" i="1"/>
  <c r="L4784" i="1"/>
  <c r="V4783" i="1"/>
  <c r="Z4783" i="1" s="1"/>
  <c r="U4783" i="1"/>
  <c r="T4783" i="1"/>
  <c r="W4783" i="1" s="1"/>
  <c r="S4783" i="1"/>
  <c r="R4783" i="1"/>
  <c r="Q4783" i="1"/>
  <c r="M4783" i="1"/>
  <c r="L4783" i="1"/>
  <c r="V4782" i="1"/>
  <c r="U4782" i="1"/>
  <c r="T4782" i="1"/>
  <c r="W4782" i="1" s="1"/>
  <c r="S4782" i="1"/>
  <c r="R4782" i="1"/>
  <c r="Q4782" i="1"/>
  <c r="M4782" i="1"/>
  <c r="L4782" i="1"/>
  <c r="V4781" i="1"/>
  <c r="Z4781" i="1" s="1"/>
  <c r="U4781" i="1"/>
  <c r="T4781" i="1"/>
  <c r="W4781" i="1" s="1"/>
  <c r="S4781" i="1"/>
  <c r="R4781" i="1"/>
  <c r="Q4781" i="1"/>
  <c r="M4781" i="1"/>
  <c r="L4781" i="1"/>
  <c r="V4780" i="1"/>
  <c r="U4780" i="1"/>
  <c r="T4780" i="1"/>
  <c r="S4780" i="1"/>
  <c r="R4780" i="1"/>
  <c r="Q4780" i="1"/>
  <c r="M4780" i="1"/>
  <c r="L4780" i="1"/>
  <c r="V4779" i="1"/>
  <c r="Z4779" i="1" s="1"/>
  <c r="U4779" i="1"/>
  <c r="T4779" i="1"/>
  <c r="S4779" i="1"/>
  <c r="R4779" i="1"/>
  <c r="Q4779" i="1"/>
  <c r="M4779" i="1"/>
  <c r="L4779" i="1"/>
  <c r="V4778" i="1"/>
  <c r="U4778" i="1"/>
  <c r="T4778" i="1"/>
  <c r="W4778" i="1" s="1"/>
  <c r="S4778" i="1"/>
  <c r="R4778" i="1"/>
  <c r="Q4778" i="1"/>
  <c r="M4778" i="1"/>
  <c r="L4778" i="1"/>
  <c r="V4777" i="1"/>
  <c r="Z4777" i="1" s="1"/>
  <c r="U4777" i="1"/>
  <c r="T4777" i="1"/>
  <c r="S4777" i="1"/>
  <c r="R4777" i="1"/>
  <c r="Q4777" i="1"/>
  <c r="M4777" i="1"/>
  <c r="L4777" i="1"/>
  <c r="V4776" i="1"/>
  <c r="Z4776" i="1" s="1"/>
  <c r="U4776" i="1"/>
  <c r="T4776" i="1"/>
  <c r="W4776" i="1" s="1"/>
  <c r="S4776" i="1"/>
  <c r="R4776" i="1"/>
  <c r="Q4776" i="1"/>
  <c r="M4776" i="1"/>
  <c r="L4776" i="1"/>
  <c r="V4775" i="1"/>
  <c r="U4775" i="1"/>
  <c r="T4775" i="1"/>
  <c r="S4775" i="1"/>
  <c r="R4775" i="1"/>
  <c r="Q4775" i="1"/>
  <c r="M4775" i="1"/>
  <c r="L4775" i="1"/>
  <c r="V4774" i="1"/>
  <c r="U4774" i="1"/>
  <c r="T4774" i="1"/>
  <c r="S4774" i="1"/>
  <c r="R4774" i="1"/>
  <c r="Q4774" i="1"/>
  <c r="M4774" i="1"/>
  <c r="L4774" i="1"/>
  <c r="V4773" i="1"/>
  <c r="Z4773" i="1" s="1"/>
  <c r="U4773" i="1"/>
  <c r="T4773" i="1"/>
  <c r="W4773" i="1" s="1"/>
  <c r="S4773" i="1"/>
  <c r="R4773" i="1"/>
  <c r="Q4773" i="1"/>
  <c r="M4773" i="1"/>
  <c r="L4773" i="1"/>
  <c r="V4772" i="1"/>
  <c r="Z4772" i="1" s="1"/>
  <c r="U4772" i="1"/>
  <c r="T4772" i="1"/>
  <c r="W4772" i="1" s="1"/>
  <c r="S4772" i="1"/>
  <c r="R4772" i="1"/>
  <c r="Q4772" i="1"/>
  <c r="M4772" i="1"/>
  <c r="L4772" i="1"/>
  <c r="V4771" i="1"/>
  <c r="Z4771" i="1" s="1"/>
  <c r="U4771" i="1"/>
  <c r="T4771" i="1"/>
  <c r="W4771" i="1" s="1"/>
  <c r="S4771" i="1"/>
  <c r="R4771" i="1"/>
  <c r="Q4771" i="1"/>
  <c r="M4771" i="1"/>
  <c r="L4771" i="1"/>
  <c r="V4770" i="1"/>
  <c r="U4770" i="1"/>
  <c r="T4770" i="1"/>
  <c r="W4770" i="1" s="1"/>
  <c r="S4770" i="1"/>
  <c r="R4770" i="1"/>
  <c r="Q4770" i="1"/>
  <c r="M4770" i="1"/>
  <c r="L4770" i="1"/>
  <c r="V4769" i="1"/>
  <c r="Z4769" i="1" s="1"/>
  <c r="U4769" i="1"/>
  <c r="T4769" i="1"/>
  <c r="W4769" i="1" s="1"/>
  <c r="S4769" i="1"/>
  <c r="R4769" i="1"/>
  <c r="Q4769" i="1"/>
  <c r="M4769" i="1"/>
  <c r="L4769" i="1"/>
  <c r="V4768" i="1"/>
  <c r="Z4768" i="1" s="1"/>
  <c r="U4768" i="1"/>
  <c r="T4768" i="1"/>
  <c r="W4768" i="1" s="1"/>
  <c r="S4768" i="1"/>
  <c r="R4768" i="1"/>
  <c r="Q4768" i="1"/>
  <c r="M4768" i="1"/>
  <c r="L4768" i="1"/>
  <c r="V4767" i="1"/>
  <c r="Z4767" i="1" s="1"/>
  <c r="U4767" i="1"/>
  <c r="T4767" i="1"/>
  <c r="W4767" i="1" s="1"/>
  <c r="S4767" i="1"/>
  <c r="R4767" i="1"/>
  <c r="Q4767" i="1"/>
  <c r="M4767" i="1"/>
  <c r="L4767" i="1"/>
  <c r="V4766" i="1"/>
  <c r="U4766" i="1"/>
  <c r="T4766" i="1"/>
  <c r="W4766" i="1" s="1"/>
  <c r="S4766" i="1"/>
  <c r="R4766" i="1"/>
  <c r="Q4766" i="1"/>
  <c r="M4766" i="1"/>
  <c r="L4766" i="1"/>
  <c r="V4765" i="1"/>
  <c r="Z4765" i="1" s="1"/>
  <c r="U4765" i="1"/>
  <c r="T4765" i="1"/>
  <c r="W4765" i="1" s="1"/>
  <c r="S4765" i="1"/>
  <c r="R4765" i="1"/>
  <c r="Q4765" i="1"/>
  <c r="M4765" i="1"/>
  <c r="L4765" i="1"/>
  <c r="V4764" i="1"/>
  <c r="U4764" i="1"/>
  <c r="T4764" i="1"/>
  <c r="S4764" i="1"/>
  <c r="R4764" i="1"/>
  <c r="Q4764" i="1"/>
  <c r="M4764" i="1"/>
  <c r="L4764" i="1"/>
  <c r="V4763" i="1"/>
  <c r="Z4763" i="1" s="1"/>
  <c r="U4763" i="1"/>
  <c r="T4763" i="1"/>
  <c r="S4763" i="1"/>
  <c r="R4763" i="1"/>
  <c r="Q4763" i="1"/>
  <c r="M4763" i="1"/>
  <c r="L4763" i="1"/>
  <c r="V4762" i="1"/>
  <c r="U4762" i="1"/>
  <c r="T4762" i="1"/>
  <c r="W4762" i="1" s="1"/>
  <c r="S4762" i="1"/>
  <c r="R4762" i="1"/>
  <c r="Q4762" i="1"/>
  <c r="M4762" i="1"/>
  <c r="L4762" i="1"/>
  <c r="V4761" i="1"/>
  <c r="Z4761" i="1" s="1"/>
  <c r="U4761" i="1"/>
  <c r="T4761" i="1"/>
  <c r="S4761" i="1"/>
  <c r="R4761" i="1"/>
  <c r="Q4761" i="1"/>
  <c r="M4761" i="1"/>
  <c r="L4761" i="1"/>
  <c r="V4760" i="1"/>
  <c r="Z4760" i="1" s="1"/>
  <c r="U4760" i="1"/>
  <c r="T4760" i="1"/>
  <c r="W4760" i="1" s="1"/>
  <c r="S4760" i="1"/>
  <c r="R4760" i="1"/>
  <c r="Q4760" i="1"/>
  <c r="M4760" i="1"/>
  <c r="L4760" i="1"/>
  <c r="V4759" i="1"/>
  <c r="Z4759" i="1" s="1"/>
  <c r="U4759" i="1"/>
  <c r="T4759" i="1"/>
  <c r="S4759" i="1"/>
  <c r="R4759" i="1"/>
  <c r="Q4759" i="1"/>
  <c r="M4759" i="1"/>
  <c r="L4759" i="1"/>
  <c r="V4758" i="1"/>
  <c r="U4758" i="1"/>
  <c r="T4758" i="1"/>
  <c r="S4758" i="1"/>
  <c r="R4758" i="1"/>
  <c r="Q4758" i="1"/>
  <c r="M4758" i="1"/>
  <c r="L4758" i="1"/>
  <c r="V4757" i="1"/>
  <c r="Z4757" i="1" s="1"/>
  <c r="U4757" i="1"/>
  <c r="T4757" i="1"/>
  <c r="W4757" i="1" s="1"/>
  <c r="S4757" i="1"/>
  <c r="R4757" i="1"/>
  <c r="Q4757" i="1"/>
  <c r="M4757" i="1"/>
  <c r="L4757" i="1"/>
  <c r="V4756" i="1"/>
  <c r="Z4756" i="1" s="1"/>
  <c r="U4756" i="1"/>
  <c r="T4756" i="1"/>
  <c r="W4756" i="1" s="1"/>
  <c r="S4756" i="1"/>
  <c r="R4756" i="1"/>
  <c r="Q4756" i="1"/>
  <c r="M4756" i="1"/>
  <c r="L4756" i="1"/>
  <c r="V4755" i="1"/>
  <c r="Z4755" i="1" s="1"/>
  <c r="U4755" i="1"/>
  <c r="T4755" i="1"/>
  <c r="W4755" i="1" s="1"/>
  <c r="S4755" i="1"/>
  <c r="R4755" i="1"/>
  <c r="Q4755" i="1"/>
  <c r="M4755" i="1"/>
  <c r="L4755" i="1"/>
  <c r="V4754" i="1"/>
  <c r="U4754" i="1"/>
  <c r="T4754" i="1"/>
  <c r="W4754" i="1" s="1"/>
  <c r="S4754" i="1"/>
  <c r="R4754" i="1"/>
  <c r="Q4754" i="1"/>
  <c r="M4754" i="1"/>
  <c r="L4754" i="1"/>
  <c r="V4753" i="1"/>
  <c r="Z4753" i="1" s="1"/>
  <c r="U4753" i="1"/>
  <c r="T4753" i="1"/>
  <c r="W4753" i="1" s="1"/>
  <c r="S4753" i="1"/>
  <c r="R4753" i="1"/>
  <c r="Q4753" i="1"/>
  <c r="M4753" i="1"/>
  <c r="L4753" i="1"/>
  <c r="V4752" i="1"/>
  <c r="Z4752" i="1" s="1"/>
  <c r="U4752" i="1"/>
  <c r="T4752" i="1"/>
  <c r="W4752" i="1" s="1"/>
  <c r="S4752" i="1"/>
  <c r="R4752" i="1"/>
  <c r="Q4752" i="1"/>
  <c r="M4752" i="1"/>
  <c r="L4752" i="1"/>
  <c r="V4751" i="1"/>
  <c r="Z4751" i="1" s="1"/>
  <c r="U4751" i="1"/>
  <c r="T4751" i="1"/>
  <c r="W4751" i="1" s="1"/>
  <c r="S4751" i="1"/>
  <c r="R4751" i="1"/>
  <c r="Q4751" i="1"/>
  <c r="M4751" i="1"/>
  <c r="L4751" i="1"/>
  <c r="V4750" i="1"/>
  <c r="U4750" i="1"/>
  <c r="T4750" i="1"/>
  <c r="W4750" i="1" s="1"/>
  <c r="S4750" i="1"/>
  <c r="R4750" i="1"/>
  <c r="Q4750" i="1"/>
  <c r="M4750" i="1"/>
  <c r="L4750" i="1"/>
  <c r="V4749" i="1"/>
  <c r="Z4749" i="1" s="1"/>
  <c r="U4749" i="1"/>
  <c r="T4749" i="1"/>
  <c r="W4749" i="1" s="1"/>
  <c r="S4749" i="1"/>
  <c r="R4749" i="1"/>
  <c r="Q4749" i="1"/>
  <c r="M4749" i="1"/>
  <c r="L4749" i="1"/>
  <c r="V4748" i="1"/>
  <c r="Z4748" i="1" s="1"/>
  <c r="U4748" i="1"/>
  <c r="T4748" i="1"/>
  <c r="S4748" i="1"/>
  <c r="R4748" i="1"/>
  <c r="Q4748" i="1"/>
  <c r="M4748" i="1"/>
  <c r="L4748" i="1"/>
  <c r="V4747" i="1"/>
  <c r="Z4747" i="1" s="1"/>
  <c r="U4747" i="1"/>
  <c r="T4747" i="1"/>
  <c r="S4747" i="1"/>
  <c r="R4747" i="1"/>
  <c r="Q4747" i="1"/>
  <c r="M4747" i="1"/>
  <c r="L4747" i="1"/>
  <c r="V4746" i="1"/>
  <c r="U4746" i="1"/>
  <c r="T4746" i="1"/>
  <c r="W4746" i="1" s="1"/>
  <c r="S4746" i="1"/>
  <c r="R4746" i="1"/>
  <c r="Q4746" i="1"/>
  <c r="M4746" i="1"/>
  <c r="L4746" i="1"/>
  <c r="V4745" i="1"/>
  <c r="Z4745" i="1" s="1"/>
  <c r="U4745" i="1"/>
  <c r="T4745" i="1"/>
  <c r="S4745" i="1"/>
  <c r="R4745" i="1"/>
  <c r="Q4745" i="1"/>
  <c r="M4745" i="1"/>
  <c r="L4745" i="1"/>
  <c r="V4744" i="1"/>
  <c r="U4744" i="1"/>
  <c r="T4744" i="1"/>
  <c r="W4744" i="1" s="1"/>
  <c r="S4744" i="1"/>
  <c r="R4744" i="1"/>
  <c r="Q4744" i="1"/>
  <c r="M4744" i="1"/>
  <c r="L4744" i="1"/>
  <c r="V4743" i="1"/>
  <c r="Z4743" i="1" s="1"/>
  <c r="U4743" i="1"/>
  <c r="T4743" i="1"/>
  <c r="S4743" i="1"/>
  <c r="R4743" i="1"/>
  <c r="Q4743" i="1"/>
  <c r="M4743" i="1"/>
  <c r="L4743" i="1"/>
  <c r="V4742" i="1"/>
  <c r="U4742" i="1"/>
  <c r="T4742" i="1"/>
  <c r="S4742" i="1"/>
  <c r="R4742" i="1"/>
  <c r="Q4742" i="1"/>
  <c r="M4742" i="1"/>
  <c r="L4742" i="1"/>
  <c r="V4741" i="1"/>
  <c r="Z4741" i="1" s="1"/>
  <c r="U4741" i="1"/>
  <c r="T4741" i="1"/>
  <c r="W4741" i="1" s="1"/>
  <c r="S4741" i="1"/>
  <c r="R4741" i="1"/>
  <c r="Q4741" i="1"/>
  <c r="M4741" i="1"/>
  <c r="L4741" i="1"/>
  <c r="V4740" i="1"/>
  <c r="Z4740" i="1" s="1"/>
  <c r="U4740" i="1"/>
  <c r="T4740" i="1"/>
  <c r="W4740" i="1" s="1"/>
  <c r="S4740" i="1"/>
  <c r="R4740" i="1"/>
  <c r="Q4740" i="1"/>
  <c r="M4740" i="1"/>
  <c r="L4740" i="1"/>
  <c r="V4739" i="1"/>
  <c r="U4739" i="1"/>
  <c r="T4739" i="1"/>
  <c r="W4739" i="1" s="1"/>
  <c r="S4739" i="1"/>
  <c r="R4739" i="1"/>
  <c r="Q4739" i="1"/>
  <c r="M4739" i="1"/>
  <c r="L4739" i="1"/>
  <c r="V4738" i="1"/>
  <c r="U4738" i="1"/>
  <c r="T4738" i="1"/>
  <c r="W4738" i="1" s="1"/>
  <c r="S4738" i="1"/>
  <c r="R4738" i="1"/>
  <c r="Q4738" i="1"/>
  <c r="M4738" i="1"/>
  <c r="L4738" i="1"/>
  <c r="V4737" i="1"/>
  <c r="Z4737" i="1" s="1"/>
  <c r="U4737" i="1"/>
  <c r="T4737" i="1"/>
  <c r="W4737" i="1" s="1"/>
  <c r="S4737" i="1"/>
  <c r="R4737" i="1"/>
  <c r="Q4737" i="1"/>
  <c r="M4737" i="1"/>
  <c r="L4737" i="1"/>
  <c r="V4736" i="1"/>
  <c r="Z4736" i="1" s="1"/>
  <c r="U4736" i="1"/>
  <c r="T4736" i="1"/>
  <c r="W4736" i="1" s="1"/>
  <c r="S4736" i="1"/>
  <c r="R4736" i="1"/>
  <c r="Q4736" i="1"/>
  <c r="M4736" i="1"/>
  <c r="L4736" i="1"/>
  <c r="V4735" i="1"/>
  <c r="Z4735" i="1" s="1"/>
  <c r="U4735" i="1"/>
  <c r="T4735" i="1"/>
  <c r="W4735" i="1" s="1"/>
  <c r="S4735" i="1"/>
  <c r="R4735" i="1"/>
  <c r="Q4735" i="1"/>
  <c r="M4735" i="1"/>
  <c r="L4735" i="1"/>
  <c r="V4734" i="1"/>
  <c r="U4734" i="1"/>
  <c r="T4734" i="1"/>
  <c r="W4734" i="1" s="1"/>
  <c r="S4734" i="1"/>
  <c r="R4734" i="1"/>
  <c r="Q4734" i="1"/>
  <c r="M4734" i="1"/>
  <c r="L4734" i="1"/>
  <c r="V4733" i="1"/>
  <c r="Z4733" i="1" s="1"/>
  <c r="U4733" i="1"/>
  <c r="T4733" i="1"/>
  <c r="W4733" i="1" s="1"/>
  <c r="S4733" i="1"/>
  <c r="R4733" i="1"/>
  <c r="Q4733" i="1"/>
  <c r="M4733" i="1"/>
  <c r="L4733" i="1"/>
  <c r="V4732" i="1"/>
  <c r="Z4732" i="1" s="1"/>
  <c r="U4732" i="1"/>
  <c r="T4732" i="1"/>
  <c r="S4732" i="1"/>
  <c r="R4732" i="1"/>
  <c r="Q4732" i="1"/>
  <c r="M4732" i="1"/>
  <c r="L4732" i="1"/>
  <c r="V4731" i="1"/>
  <c r="Z4731" i="1" s="1"/>
  <c r="U4731" i="1"/>
  <c r="T4731" i="1"/>
  <c r="S4731" i="1"/>
  <c r="R4731" i="1"/>
  <c r="Q4731" i="1"/>
  <c r="M4731" i="1"/>
  <c r="L4731" i="1"/>
  <c r="V4730" i="1"/>
  <c r="U4730" i="1"/>
  <c r="T4730" i="1"/>
  <c r="W4730" i="1" s="1"/>
  <c r="S4730" i="1"/>
  <c r="R4730" i="1"/>
  <c r="Q4730" i="1"/>
  <c r="M4730" i="1"/>
  <c r="L4730" i="1"/>
  <c r="V4729" i="1"/>
  <c r="Z4729" i="1" s="1"/>
  <c r="U4729" i="1"/>
  <c r="T4729" i="1"/>
  <c r="S4729" i="1"/>
  <c r="R4729" i="1"/>
  <c r="Q4729" i="1"/>
  <c r="M4729" i="1"/>
  <c r="L4729" i="1"/>
  <c r="V4728" i="1"/>
  <c r="U4728" i="1"/>
  <c r="T4728" i="1"/>
  <c r="W4728" i="1" s="1"/>
  <c r="S4728" i="1"/>
  <c r="R4728" i="1"/>
  <c r="Q4728" i="1"/>
  <c r="M4728" i="1"/>
  <c r="L4728" i="1"/>
  <c r="V4727" i="1"/>
  <c r="U4727" i="1"/>
  <c r="T4727" i="1"/>
  <c r="S4727" i="1"/>
  <c r="R4727" i="1"/>
  <c r="Q4727" i="1"/>
  <c r="M4727" i="1"/>
  <c r="L4727" i="1"/>
  <c r="V4726" i="1"/>
  <c r="U4726" i="1"/>
  <c r="T4726" i="1"/>
  <c r="S4726" i="1"/>
  <c r="R4726" i="1"/>
  <c r="Q4726" i="1"/>
  <c r="M4726" i="1"/>
  <c r="L4726" i="1"/>
  <c r="V4725" i="1"/>
  <c r="Z4725" i="1" s="1"/>
  <c r="U4725" i="1"/>
  <c r="T4725" i="1"/>
  <c r="W4725" i="1" s="1"/>
  <c r="S4725" i="1"/>
  <c r="R4725" i="1"/>
  <c r="Q4725" i="1"/>
  <c r="M4725" i="1"/>
  <c r="L4725" i="1"/>
  <c r="V4724" i="1"/>
  <c r="Z4724" i="1" s="1"/>
  <c r="U4724" i="1"/>
  <c r="T4724" i="1"/>
  <c r="W4724" i="1" s="1"/>
  <c r="S4724" i="1"/>
  <c r="R4724" i="1"/>
  <c r="Q4724" i="1"/>
  <c r="M4724" i="1"/>
  <c r="L4724" i="1"/>
  <c r="V4723" i="1"/>
  <c r="U4723" i="1"/>
  <c r="T4723" i="1"/>
  <c r="W4723" i="1" s="1"/>
  <c r="S4723" i="1"/>
  <c r="R4723" i="1"/>
  <c r="Q4723" i="1"/>
  <c r="M4723" i="1"/>
  <c r="L4723" i="1"/>
  <c r="V4722" i="1"/>
  <c r="U4722" i="1"/>
  <c r="T4722" i="1"/>
  <c r="W4722" i="1" s="1"/>
  <c r="S4722" i="1"/>
  <c r="R4722" i="1"/>
  <c r="Q4722" i="1"/>
  <c r="M4722" i="1"/>
  <c r="L4722" i="1"/>
  <c r="V4721" i="1"/>
  <c r="Z4721" i="1" s="1"/>
  <c r="U4721" i="1"/>
  <c r="T4721" i="1"/>
  <c r="W4721" i="1" s="1"/>
  <c r="S4721" i="1"/>
  <c r="R4721" i="1"/>
  <c r="Q4721" i="1"/>
  <c r="M4721" i="1"/>
  <c r="L4721" i="1"/>
  <c r="V4720" i="1"/>
  <c r="Z4720" i="1" s="1"/>
  <c r="U4720" i="1"/>
  <c r="T4720" i="1"/>
  <c r="W4720" i="1" s="1"/>
  <c r="S4720" i="1"/>
  <c r="R4720" i="1"/>
  <c r="Q4720" i="1"/>
  <c r="M4720" i="1"/>
  <c r="L4720" i="1"/>
  <c r="V4719" i="1"/>
  <c r="Z4719" i="1" s="1"/>
  <c r="U4719" i="1"/>
  <c r="T4719" i="1"/>
  <c r="W4719" i="1" s="1"/>
  <c r="S4719" i="1"/>
  <c r="R4719" i="1"/>
  <c r="Q4719" i="1"/>
  <c r="M4719" i="1"/>
  <c r="L4719" i="1"/>
  <c r="V4718" i="1"/>
  <c r="U4718" i="1"/>
  <c r="T4718" i="1"/>
  <c r="W4718" i="1" s="1"/>
  <c r="S4718" i="1"/>
  <c r="R4718" i="1"/>
  <c r="Q4718" i="1"/>
  <c r="M4718" i="1"/>
  <c r="L4718" i="1"/>
  <c r="V4717" i="1"/>
  <c r="Z4717" i="1" s="1"/>
  <c r="U4717" i="1"/>
  <c r="T4717" i="1"/>
  <c r="W4717" i="1" s="1"/>
  <c r="S4717" i="1"/>
  <c r="R4717" i="1"/>
  <c r="Q4717" i="1"/>
  <c r="M4717" i="1"/>
  <c r="L4717" i="1"/>
  <c r="V4716" i="1"/>
  <c r="Z4716" i="1" s="1"/>
  <c r="U4716" i="1"/>
  <c r="T4716" i="1"/>
  <c r="S4716" i="1"/>
  <c r="R4716" i="1"/>
  <c r="Q4716" i="1"/>
  <c r="M4716" i="1"/>
  <c r="L4716" i="1"/>
  <c r="V4715" i="1"/>
  <c r="Z4715" i="1" s="1"/>
  <c r="U4715" i="1"/>
  <c r="T4715" i="1"/>
  <c r="S4715" i="1"/>
  <c r="R4715" i="1"/>
  <c r="Q4715" i="1"/>
  <c r="M4715" i="1"/>
  <c r="L4715" i="1"/>
  <c r="V4714" i="1"/>
  <c r="U4714" i="1"/>
  <c r="T4714" i="1"/>
  <c r="W4714" i="1" s="1"/>
  <c r="S4714" i="1"/>
  <c r="R4714" i="1"/>
  <c r="Q4714" i="1"/>
  <c r="M4714" i="1"/>
  <c r="L4714" i="1"/>
  <c r="V4713" i="1"/>
  <c r="Z4713" i="1" s="1"/>
  <c r="U4713" i="1"/>
  <c r="T4713" i="1"/>
  <c r="S4713" i="1"/>
  <c r="R4713" i="1"/>
  <c r="Q4713" i="1"/>
  <c r="M4713" i="1"/>
  <c r="L4713" i="1"/>
  <c r="V4712" i="1"/>
  <c r="Z4712" i="1" s="1"/>
  <c r="U4712" i="1"/>
  <c r="T4712" i="1"/>
  <c r="W4712" i="1" s="1"/>
  <c r="S4712" i="1"/>
  <c r="R4712" i="1"/>
  <c r="Q4712" i="1"/>
  <c r="M4712" i="1"/>
  <c r="L4712" i="1"/>
  <c r="V4711" i="1"/>
  <c r="Z4711" i="1" s="1"/>
  <c r="U4711" i="1"/>
  <c r="T4711" i="1"/>
  <c r="S4711" i="1"/>
  <c r="R4711" i="1"/>
  <c r="Q4711" i="1"/>
  <c r="M4711" i="1"/>
  <c r="L4711" i="1"/>
  <c r="V4710" i="1"/>
  <c r="U4710" i="1"/>
  <c r="T4710" i="1"/>
  <c r="S4710" i="1"/>
  <c r="R4710" i="1"/>
  <c r="Q4710" i="1"/>
  <c r="M4710" i="1"/>
  <c r="L4710" i="1"/>
  <c r="V4709" i="1"/>
  <c r="Z4709" i="1" s="1"/>
  <c r="U4709" i="1"/>
  <c r="T4709" i="1"/>
  <c r="W4709" i="1" s="1"/>
  <c r="S4709" i="1"/>
  <c r="R4709" i="1"/>
  <c r="Q4709" i="1"/>
  <c r="M4709" i="1"/>
  <c r="L4709" i="1"/>
  <c r="V4708" i="1"/>
  <c r="U4708" i="1"/>
  <c r="T4708" i="1"/>
  <c r="W4708" i="1" s="1"/>
  <c r="S4708" i="1"/>
  <c r="R4708" i="1"/>
  <c r="Q4708" i="1"/>
  <c r="M4708" i="1"/>
  <c r="L4708" i="1"/>
  <c r="V4707" i="1"/>
  <c r="Z4707" i="1" s="1"/>
  <c r="U4707" i="1"/>
  <c r="T4707" i="1"/>
  <c r="W4707" i="1" s="1"/>
  <c r="S4707" i="1"/>
  <c r="R4707" i="1"/>
  <c r="Q4707" i="1"/>
  <c r="M4707" i="1"/>
  <c r="L4707" i="1"/>
  <c r="V4706" i="1"/>
  <c r="U4706" i="1"/>
  <c r="T4706" i="1"/>
  <c r="W4706" i="1" s="1"/>
  <c r="S4706" i="1"/>
  <c r="R4706" i="1"/>
  <c r="Q4706" i="1"/>
  <c r="M4706" i="1"/>
  <c r="L4706" i="1"/>
  <c r="V4705" i="1"/>
  <c r="Z4705" i="1" s="1"/>
  <c r="U4705" i="1"/>
  <c r="T4705" i="1"/>
  <c r="W4705" i="1" s="1"/>
  <c r="S4705" i="1"/>
  <c r="R4705" i="1"/>
  <c r="Q4705" i="1"/>
  <c r="M4705" i="1"/>
  <c r="L4705" i="1"/>
  <c r="V4704" i="1"/>
  <c r="Z4704" i="1" s="1"/>
  <c r="U4704" i="1"/>
  <c r="T4704" i="1"/>
  <c r="W4704" i="1" s="1"/>
  <c r="S4704" i="1"/>
  <c r="R4704" i="1"/>
  <c r="Q4704" i="1"/>
  <c r="M4704" i="1"/>
  <c r="L4704" i="1"/>
  <c r="V4703" i="1"/>
  <c r="Z4703" i="1" s="1"/>
  <c r="U4703" i="1"/>
  <c r="T4703" i="1"/>
  <c r="W4703" i="1" s="1"/>
  <c r="S4703" i="1"/>
  <c r="R4703" i="1"/>
  <c r="Q4703" i="1"/>
  <c r="M4703" i="1"/>
  <c r="L4703" i="1"/>
  <c r="V4702" i="1"/>
  <c r="U4702" i="1"/>
  <c r="T4702" i="1"/>
  <c r="W4702" i="1" s="1"/>
  <c r="S4702" i="1"/>
  <c r="R4702" i="1"/>
  <c r="Q4702" i="1"/>
  <c r="M4702" i="1"/>
  <c r="L4702" i="1"/>
  <c r="V4701" i="1"/>
  <c r="Z4701" i="1" s="1"/>
  <c r="U4701" i="1"/>
  <c r="T4701" i="1"/>
  <c r="W4701" i="1" s="1"/>
  <c r="S4701" i="1"/>
  <c r="R4701" i="1"/>
  <c r="Q4701" i="1"/>
  <c r="M4701" i="1"/>
  <c r="L4701" i="1"/>
  <c r="V4700" i="1"/>
  <c r="Z4700" i="1" s="1"/>
  <c r="U4700" i="1"/>
  <c r="T4700" i="1"/>
  <c r="S4700" i="1"/>
  <c r="R4700" i="1"/>
  <c r="Q4700" i="1"/>
  <c r="M4700" i="1"/>
  <c r="L4700" i="1"/>
  <c r="V4699" i="1"/>
  <c r="Z4699" i="1" s="1"/>
  <c r="U4699" i="1"/>
  <c r="T4699" i="1"/>
  <c r="S4699" i="1"/>
  <c r="R4699" i="1"/>
  <c r="Q4699" i="1"/>
  <c r="M4699" i="1"/>
  <c r="L4699" i="1"/>
  <c r="V4698" i="1"/>
  <c r="U4698" i="1"/>
  <c r="T4698" i="1"/>
  <c r="W4698" i="1" s="1"/>
  <c r="S4698" i="1"/>
  <c r="R4698" i="1"/>
  <c r="Q4698" i="1"/>
  <c r="M4698" i="1"/>
  <c r="L4698" i="1"/>
  <c r="V4697" i="1"/>
  <c r="Z4697" i="1" s="1"/>
  <c r="U4697" i="1"/>
  <c r="T4697" i="1"/>
  <c r="S4697" i="1"/>
  <c r="R4697" i="1"/>
  <c r="Q4697" i="1"/>
  <c r="M4697" i="1"/>
  <c r="L4697" i="1"/>
  <c r="V4696" i="1"/>
  <c r="Z4696" i="1" s="1"/>
  <c r="U4696" i="1"/>
  <c r="T4696" i="1"/>
  <c r="W4696" i="1" s="1"/>
  <c r="S4696" i="1"/>
  <c r="R4696" i="1"/>
  <c r="Q4696" i="1"/>
  <c r="M4696" i="1"/>
  <c r="L4696" i="1"/>
  <c r="V4695" i="1"/>
  <c r="U4695" i="1"/>
  <c r="T4695" i="1"/>
  <c r="S4695" i="1"/>
  <c r="R4695" i="1"/>
  <c r="Q4695" i="1"/>
  <c r="M4695" i="1"/>
  <c r="L4695" i="1"/>
  <c r="V4694" i="1"/>
  <c r="U4694" i="1"/>
  <c r="T4694" i="1"/>
  <c r="S4694" i="1"/>
  <c r="R4694" i="1"/>
  <c r="Q4694" i="1"/>
  <c r="M4694" i="1"/>
  <c r="L4694" i="1"/>
  <c r="V4693" i="1"/>
  <c r="Z4693" i="1" s="1"/>
  <c r="U4693" i="1"/>
  <c r="T4693" i="1"/>
  <c r="W4693" i="1" s="1"/>
  <c r="S4693" i="1"/>
  <c r="R4693" i="1"/>
  <c r="Q4693" i="1"/>
  <c r="M4693" i="1"/>
  <c r="L4693" i="1"/>
  <c r="V4692" i="1"/>
  <c r="U4692" i="1"/>
  <c r="T4692" i="1"/>
  <c r="W4692" i="1" s="1"/>
  <c r="S4692" i="1"/>
  <c r="R4692" i="1"/>
  <c r="Q4692" i="1"/>
  <c r="M4692" i="1"/>
  <c r="L4692" i="1"/>
  <c r="V4691" i="1"/>
  <c r="Z4691" i="1" s="1"/>
  <c r="U4691" i="1"/>
  <c r="T4691" i="1"/>
  <c r="W4691" i="1" s="1"/>
  <c r="S4691" i="1"/>
  <c r="R4691" i="1"/>
  <c r="Q4691" i="1"/>
  <c r="M4691" i="1"/>
  <c r="L4691" i="1"/>
  <c r="V4690" i="1"/>
  <c r="U4690" i="1"/>
  <c r="T4690" i="1"/>
  <c r="W4690" i="1" s="1"/>
  <c r="S4690" i="1"/>
  <c r="R4690" i="1"/>
  <c r="Q4690" i="1"/>
  <c r="M4690" i="1"/>
  <c r="L4690" i="1"/>
  <c r="V4689" i="1"/>
  <c r="Z4689" i="1" s="1"/>
  <c r="U4689" i="1"/>
  <c r="T4689" i="1"/>
  <c r="W4689" i="1" s="1"/>
  <c r="S4689" i="1"/>
  <c r="R4689" i="1"/>
  <c r="Q4689" i="1"/>
  <c r="M4689" i="1"/>
  <c r="L4689" i="1"/>
  <c r="V4688" i="1"/>
  <c r="Z4688" i="1" s="1"/>
  <c r="U4688" i="1"/>
  <c r="T4688" i="1"/>
  <c r="W4688" i="1" s="1"/>
  <c r="S4688" i="1"/>
  <c r="R4688" i="1"/>
  <c r="Q4688" i="1"/>
  <c r="M4688" i="1"/>
  <c r="L4688" i="1"/>
  <c r="V4687" i="1"/>
  <c r="Z4687" i="1" s="1"/>
  <c r="U4687" i="1"/>
  <c r="T4687" i="1"/>
  <c r="W4687" i="1" s="1"/>
  <c r="S4687" i="1"/>
  <c r="R4687" i="1"/>
  <c r="Q4687" i="1"/>
  <c r="M4687" i="1"/>
  <c r="L4687" i="1"/>
  <c r="V4686" i="1"/>
  <c r="U4686" i="1"/>
  <c r="T4686" i="1"/>
  <c r="W4686" i="1" s="1"/>
  <c r="S4686" i="1"/>
  <c r="R4686" i="1"/>
  <c r="Q4686" i="1"/>
  <c r="M4686" i="1"/>
  <c r="L4686" i="1"/>
  <c r="V4685" i="1"/>
  <c r="Z4685" i="1" s="1"/>
  <c r="U4685" i="1"/>
  <c r="T4685" i="1"/>
  <c r="W4685" i="1" s="1"/>
  <c r="S4685" i="1"/>
  <c r="R4685" i="1"/>
  <c r="Q4685" i="1"/>
  <c r="M4685" i="1"/>
  <c r="L4685" i="1"/>
  <c r="V4684" i="1"/>
  <c r="Z4684" i="1" s="1"/>
  <c r="U4684" i="1"/>
  <c r="T4684" i="1"/>
  <c r="S4684" i="1"/>
  <c r="R4684" i="1"/>
  <c r="Q4684" i="1"/>
  <c r="M4684" i="1"/>
  <c r="L4684" i="1"/>
  <c r="V4683" i="1"/>
  <c r="Z4683" i="1" s="1"/>
  <c r="U4683" i="1"/>
  <c r="T4683" i="1"/>
  <c r="S4683" i="1"/>
  <c r="R4683" i="1"/>
  <c r="Q4683" i="1"/>
  <c r="M4683" i="1"/>
  <c r="L4683" i="1"/>
  <c r="V4682" i="1"/>
  <c r="U4682" i="1"/>
  <c r="T4682" i="1"/>
  <c r="W4682" i="1" s="1"/>
  <c r="S4682" i="1"/>
  <c r="R4682" i="1"/>
  <c r="Q4682" i="1"/>
  <c r="M4682" i="1"/>
  <c r="L4682" i="1"/>
  <c r="V4681" i="1"/>
  <c r="Z4681" i="1" s="1"/>
  <c r="U4681" i="1"/>
  <c r="T4681" i="1"/>
  <c r="S4681" i="1"/>
  <c r="R4681" i="1"/>
  <c r="Q4681" i="1"/>
  <c r="M4681" i="1"/>
  <c r="L4681" i="1"/>
  <c r="V4680" i="1"/>
  <c r="Z4680" i="1" s="1"/>
  <c r="U4680" i="1"/>
  <c r="T4680" i="1"/>
  <c r="W4680" i="1" s="1"/>
  <c r="S4680" i="1"/>
  <c r="R4680" i="1"/>
  <c r="Q4680" i="1"/>
  <c r="M4680" i="1"/>
  <c r="L4680" i="1"/>
  <c r="V4679" i="1"/>
  <c r="U4679" i="1"/>
  <c r="T4679" i="1"/>
  <c r="S4679" i="1"/>
  <c r="R4679" i="1"/>
  <c r="Q4679" i="1"/>
  <c r="M4679" i="1"/>
  <c r="L4679" i="1"/>
  <c r="V4678" i="1"/>
  <c r="U4678" i="1"/>
  <c r="T4678" i="1"/>
  <c r="S4678" i="1"/>
  <c r="R4678" i="1"/>
  <c r="Q4678" i="1"/>
  <c r="M4678" i="1"/>
  <c r="L4678" i="1"/>
  <c r="V4677" i="1"/>
  <c r="Z4677" i="1" s="1"/>
  <c r="U4677" i="1"/>
  <c r="T4677" i="1"/>
  <c r="W4677" i="1" s="1"/>
  <c r="S4677" i="1"/>
  <c r="R4677" i="1"/>
  <c r="Q4677" i="1"/>
  <c r="M4677" i="1"/>
  <c r="L4677" i="1"/>
  <c r="V4676" i="1"/>
  <c r="Z4676" i="1" s="1"/>
  <c r="U4676" i="1"/>
  <c r="T4676" i="1"/>
  <c r="W4676" i="1" s="1"/>
  <c r="S4676" i="1"/>
  <c r="R4676" i="1"/>
  <c r="Q4676" i="1"/>
  <c r="M4676" i="1"/>
  <c r="L4676" i="1"/>
  <c r="V4675" i="1"/>
  <c r="Z4675" i="1" s="1"/>
  <c r="U4675" i="1"/>
  <c r="T4675" i="1"/>
  <c r="W4675" i="1" s="1"/>
  <c r="S4675" i="1"/>
  <c r="R4675" i="1"/>
  <c r="Q4675" i="1"/>
  <c r="M4675" i="1"/>
  <c r="L4675" i="1"/>
  <c r="V4674" i="1"/>
  <c r="U4674" i="1"/>
  <c r="T4674" i="1"/>
  <c r="W4674" i="1" s="1"/>
  <c r="S4674" i="1"/>
  <c r="R4674" i="1"/>
  <c r="Q4674" i="1"/>
  <c r="M4674" i="1"/>
  <c r="L4674" i="1"/>
  <c r="V4673" i="1"/>
  <c r="Z4673" i="1" s="1"/>
  <c r="U4673" i="1"/>
  <c r="T4673" i="1"/>
  <c r="W4673" i="1" s="1"/>
  <c r="S4673" i="1"/>
  <c r="R4673" i="1"/>
  <c r="Q4673" i="1"/>
  <c r="M4673" i="1"/>
  <c r="L4673" i="1"/>
  <c r="V4672" i="1"/>
  <c r="Z4672" i="1" s="1"/>
  <c r="U4672" i="1"/>
  <c r="T4672" i="1"/>
  <c r="W4672" i="1" s="1"/>
  <c r="S4672" i="1"/>
  <c r="R4672" i="1"/>
  <c r="Q4672" i="1"/>
  <c r="M4672" i="1"/>
  <c r="L4672" i="1"/>
  <c r="V4671" i="1"/>
  <c r="Z4671" i="1" s="1"/>
  <c r="U4671" i="1"/>
  <c r="T4671" i="1"/>
  <c r="W4671" i="1" s="1"/>
  <c r="S4671" i="1"/>
  <c r="R4671" i="1"/>
  <c r="Q4671" i="1"/>
  <c r="M4671" i="1"/>
  <c r="L4671" i="1"/>
  <c r="V4670" i="1"/>
  <c r="U4670" i="1"/>
  <c r="T4670" i="1"/>
  <c r="W4670" i="1" s="1"/>
  <c r="S4670" i="1"/>
  <c r="R4670" i="1"/>
  <c r="Q4670" i="1"/>
  <c r="M4670" i="1"/>
  <c r="L4670" i="1"/>
  <c r="V4669" i="1"/>
  <c r="Z4669" i="1" s="1"/>
  <c r="U4669" i="1"/>
  <c r="T4669" i="1"/>
  <c r="W4669" i="1" s="1"/>
  <c r="S4669" i="1"/>
  <c r="R4669" i="1"/>
  <c r="Q4669" i="1"/>
  <c r="M4669" i="1"/>
  <c r="L4669" i="1"/>
  <c r="V4668" i="1"/>
  <c r="Z4668" i="1" s="1"/>
  <c r="U4668" i="1"/>
  <c r="T4668" i="1"/>
  <c r="S4668" i="1"/>
  <c r="R4668" i="1"/>
  <c r="Q4668" i="1"/>
  <c r="M4668" i="1"/>
  <c r="L4668" i="1"/>
  <c r="V4667" i="1"/>
  <c r="Z4667" i="1" s="1"/>
  <c r="U4667" i="1"/>
  <c r="T4667" i="1"/>
  <c r="S4667" i="1"/>
  <c r="R4667" i="1"/>
  <c r="Q4667" i="1"/>
  <c r="M4667" i="1"/>
  <c r="L4667" i="1"/>
  <c r="V4666" i="1"/>
  <c r="U4666" i="1"/>
  <c r="T4666" i="1"/>
  <c r="W4666" i="1" s="1"/>
  <c r="S4666" i="1"/>
  <c r="R4666" i="1"/>
  <c r="Q4666" i="1"/>
  <c r="M4666" i="1"/>
  <c r="L4666" i="1"/>
  <c r="V4665" i="1"/>
  <c r="Z4665" i="1" s="1"/>
  <c r="U4665" i="1"/>
  <c r="T4665" i="1"/>
  <c r="S4665" i="1"/>
  <c r="R4665" i="1"/>
  <c r="Q4665" i="1"/>
  <c r="M4665" i="1"/>
  <c r="L4665" i="1"/>
  <c r="V4664" i="1"/>
  <c r="Z4664" i="1" s="1"/>
  <c r="U4664" i="1"/>
  <c r="T4664" i="1"/>
  <c r="W4664" i="1" s="1"/>
  <c r="S4664" i="1"/>
  <c r="R4664" i="1"/>
  <c r="Q4664" i="1"/>
  <c r="M4664" i="1"/>
  <c r="L4664" i="1"/>
  <c r="V4663" i="1"/>
  <c r="Z4663" i="1" s="1"/>
  <c r="U4663" i="1"/>
  <c r="T4663" i="1"/>
  <c r="S4663" i="1"/>
  <c r="R4663" i="1"/>
  <c r="Q4663" i="1"/>
  <c r="M4663" i="1"/>
  <c r="L4663" i="1"/>
  <c r="V4662" i="1"/>
  <c r="U4662" i="1"/>
  <c r="T4662" i="1"/>
  <c r="S4662" i="1"/>
  <c r="R4662" i="1"/>
  <c r="Q4662" i="1"/>
  <c r="M4662" i="1"/>
  <c r="L4662" i="1"/>
  <c r="V4661" i="1"/>
  <c r="Z4661" i="1" s="1"/>
  <c r="U4661" i="1"/>
  <c r="T4661" i="1"/>
  <c r="W4661" i="1" s="1"/>
  <c r="S4661" i="1"/>
  <c r="R4661" i="1"/>
  <c r="Q4661" i="1"/>
  <c r="M4661" i="1"/>
  <c r="L4661" i="1"/>
  <c r="V4660" i="1"/>
  <c r="Z4660" i="1" s="1"/>
  <c r="U4660" i="1"/>
  <c r="T4660" i="1"/>
  <c r="W4660" i="1" s="1"/>
  <c r="S4660" i="1"/>
  <c r="R4660" i="1"/>
  <c r="Q4660" i="1"/>
  <c r="M4660" i="1"/>
  <c r="L4660" i="1"/>
  <c r="V4659" i="1"/>
  <c r="Z4659" i="1" s="1"/>
  <c r="U4659" i="1"/>
  <c r="T4659" i="1"/>
  <c r="W4659" i="1" s="1"/>
  <c r="S4659" i="1"/>
  <c r="R4659" i="1"/>
  <c r="Q4659" i="1"/>
  <c r="M4659" i="1"/>
  <c r="L4659" i="1"/>
  <c r="V4658" i="1"/>
  <c r="U4658" i="1"/>
  <c r="T4658" i="1"/>
  <c r="W4658" i="1" s="1"/>
  <c r="S4658" i="1"/>
  <c r="R4658" i="1"/>
  <c r="Q4658" i="1"/>
  <c r="M4658" i="1"/>
  <c r="L4658" i="1"/>
  <c r="V4657" i="1"/>
  <c r="Z4657" i="1" s="1"/>
  <c r="U4657" i="1"/>
  <c r="T4657" i="1"/>
  <c r="W4657" i="1" s="1"/>
  <c r="S4657" i="1"/>
  <c r="R4657" i="1"/>
  <c r="Q4657" i="1"/>
  <c r="M4657" i="1"/>
  <c r="L4657" i="1"/>
  <c r="V4656" i="1"/>
  <c r="U4656" i="1"/>
  <c r="T4656" i="1"/>
  <c r="W4656" i="1" s="1"/>
  <c r="S4656" i="1"/>
  <c r="R4656" i="1"/>
  <c r="Q4656" i="1"/>
  <c r="M4656" i="1"/>
  <c r="L4656" i="1"/>
  <c r="V4655" i="1"/>
  <c r="Z4655" i="1" s="1"/>
  <c r="U4655" i="1"/>
  <c r="T4655" i="1"/>
  <c r="W4655" i="1" s="1"/>
  <c r="S4655" i="1"/>
  <c r="R4655" i="1"/>
  <c r="Q4655" i="1"/>
  <c r="M4655" i="1"/>
  <c r="L4655" i="1"/>
  <c r="V4654" i="1"/>
  <c r="U4654" i="1"/>
  <c r="T4654" i="1"/>
  <c r="W4654" i="1" s="1"/>
  <c r="S4654" i="1"/>
  <c r="R4654" i="1"/>
  <c r="Q4654" i="1"/>
  <c r="M4654" i="1"/>
  <c r="L4654" i="1"/>
  <c r="V4653" i="1"/>
  <c r="Z4653" i="1" s="1"/>
  <c r="U4653" i="1"/>
  <c r="T4653" i="1"/>
  <c r="W4653" i="1" s="1"/>
  <c r="S4653" i="1"/>
  <c r="R4653" i="1"/>
  <c r="Q4653" i="1"/>
  <c r="M4653" i="1"/>
  <c r="L4653" i="1"/>
  <c r="V4652" i="1"/>
  <c r="U4652" i="1"/>
  <c r="T4652" i="1"/>
  <c r="S4652" i="1"/>
  <c r="R4652" i="1"/>
  <c r="Q4652" i="1"/>
  <c r="M4652" i="1"/>
  <c r="L4652" i="1"/>
  <c r="V4651" i="1"/>
  <c r="Z4651" i="1" s="1"/>
  <c r="U4651" i="1"/>
  <c r="T4651" i="1"/>
  <c r="S4651" i="1"/>
  <c r="R4651" i="1"/>
  <c r="Q4651" i="1"/>
  <c r="M4651" i="1"/>
  <c r="L4651" i="1"/>
  <c r="V4650" i="1"/>
  <c r="U4650" i="1"/>
  <c r="T4650" i="1"/>
  <c r="W4650" i="1" s="1"/>
  <c r="S4650" i="1"/>
  <c r="R4650" i="1"/>
  <c r="Q4650" i="1"/>
  <c r="M4650" i="1"/>
  <c r="L4650" i="1"/>
  <c r="V4649" i="1"/>
  <c r="Z4649" i="1" s="1"/>
  <c r="U4649" i="1"/>
  <c r="T4649" i="1"/>
  <c r="S4649" i="1"/>
  <c r="R4649" i="1"/>
  <c r="Q4649" i="1"/>
  <c r="M4649" i="1"/>
  <c r="L4649" i="1"/>
  <c r="V4648" i="1"/>
  <c r="Z4648" i="1" s="1"/>
  <c r="U4648" i="1"/>
  <c r="T4648" i="1"/>
  <c r="W4648" i="1" s="1"/>
  <c r="S4648" i="1"/>
  <c r="R4648" i="1"/>
  <c r="Q4648" i="1"/>
  <c r="M4648" i="1"/>
  <c r="L4648" i="1"/>
  <c r="V4647" i="1"/>
  <c r="Z4647" i="1" s="1"/>
  <c r="U4647" i="1"/>
  <c r="T4647" i="1"/>
  <c r="S4647" i="1"/>
  <c r="R4647" i="1"/>
  <c r="Q4647" i="1"/>
  <c r="M4647" i="1"/>
  <c r="L4647" i="1"/>
  <c r="V4646" i="1"/>
  <c r="U4646" i="1"/>
  <c r="T4646" i="1"/>
  <c r="S4646" i="1"/>
  <c r="R4646" i="1"/>
  <c r="Q4646" i="1"/>
  <c r="M4646" i="1"/>
  <c r="L4646" i="1"/>
  <c r="V4645" i="1"/>
  <c r="Z4645" i="1" s="1"/>
  <c r="U4645" i="1"/>
  <c r="T4645" i="1"/>
  <c r="W4645" i="1" s="1"/>
  <c r="S4645" i="1"/>
  <c r="R4645" i="1"/>
  <c r="Q4645" i="1"/>
  <c r="M4645" i="1"/>
  <c r="L4645" i="1"/>
  <c r="V4644" i="1"/>
  <c r="Z4644" i="1" s="1"/>
  <c r="U4644" i="1"/>
  <c r="T4644" i="1"/>
  <c r="W4644" i="1" s="1"/>
  <c r="S4644" i="1"/>
  <c r="R4644" i="1"/>
  <c r="Q4644" i="1"/>
  <c r="M4644" i="1"/>
  <c r="L4644" i="1"/>
  <c r="V4643" i="1"/>
  <c r="Z4643" i="1" s="1"/>
  <c r="U4643" i="1"/>
  <c r="T4643" i="1"/>
  <c r="W4643" i="1" s="1"/>
  <c r="S4643" i="1"/>
  <c r="R4643" i="1"/>
  <c r="Q4643" i="1"/>
  <c r="M4643" i="1"/>
  <c r="L4643" i="1"/>
  <c r="V4642" i="1"/>
  <c r="U4642" i="1"/>
  <c r="T4642" i="1"/>
  <c r="W4642" i="1" s="1"/>
  <c r="S4642" i="1"/>
  <c r="R4642" i="1"/>
  <c r="Q4642" i="1"/>
  <c r="M4642" i="1"/>
  <c r="L4642" i="1"/>
  <c r="V4641" i="1"/>
  <c r="Z4641" i="1" s="1"/>
  <c r="U4641" i="1"/>
  <c r="T4641" i="1"/>
  <c r="W4641" i="1" s="1"/>
  <c r="S4641" i="1"/>
  <c r="R4641" i="1"/>
  <c r="Q4641" i="1"/>
  <c r="M4641" i="1"/>
  <c r="L4641" i="1"/>
  <c r="V4640" i="1"/>
  <c r="Z4640" i="1" s="1"/>
  <c r="U4640" i="1"/>
  <c r="T4640" i="1"/>
  <c r="W4640" i="1" s="1"/>
  <c r="S4640" i="1"/>
  <c r="R4640" i="1"/>
  <c r="Q4640" i="1"/>
  <c r="M4640" i="1"/>
  <c r="L4640" i="1"/>
  <c r="V4639" i="1"/>
  <c r="Z4639" i="1" s="1"/>
  <c r="U4639" i="1"/>
  <c r="T4639" i="1"/>
  <c r="W4639" i="1" s="1"/>
  <c r="S4639" i="1"/>
  <c r="R4639" i="1"/>
  <c r="Q4639" i="1"/>
  <c r="M4639" i="1"/>
  <c r="L4639" i="1"/>
  <c r="V4638" i="1"/>
  <c r="U4638" i="1"/>
  <c r="T4638" i="1"/>
  <c r="W4638" i="1" s="1"/>
  <c r="S4638" i="1"/>
  <c r="R4638" i="1"/>
  <c r="Q4638" i="1"/>
  <c r="M4638" i="1"/>
  <c r="L4638" i="1"/>
  <c r="V4637" i="1"/>
  <c r="Z4637" i="1" s="1"/>
  <c r="U4637" i="1"/>
  <c r="T4637" i="1"/>
  <c r="W4637" i="1" s="1"/>
  <c r="S4637" i="1"/>
  <c r="R4637" i="1"/>
  <c r="Q4637" i="1"/>
  <c r="M4637" i="1"/>
  <c r="L4637" i="1"/>
  <c r="V4636" i="1"/>
  <c r="Z4636" i="1" s="1"/>
  <c r="U4636" i="1"/>
  <c r="T4636" i="1"/>
  <c r="S4636" i="1"/>
  <c r="R4636" i="1"/>
  <c r="Q4636" i="1"/>
  <c r="M4636" i="1"/>
  <c r="L4636" i="1"/>
  <c r="V4635" i="1"/>
  <c r="Z4635" i="1" s="1"/>
  <c r="U4635" i="1"/>
  <c r="T4635" i="1"/>
  <c r="W4635" i="1" s="1"/>
  <c r="S4635" i="1"/>
  <c r="R4635" i="1"/>
  <c r="Q4635" i="1"/>
  <c r="M4635" i="1"/>
  <c r="L4635" i="1"/>
  <c r="V4634" i="1"/>
  <c r="U4634" i="1"/>
  <c r="T4634" i="1"/>
  <c r="W4634" i="1" s="1"/>
  <c r="S4634" i="1"/>
  <c r="R4634" i="1"/>
  <c r="Q4634" i="1"/>
  <c r="M4634" i="1"/>
  <c r="L4634" i="1"/>
  <c r="V4633" i="1"/>
  <c r="Z4633" i="1" s="1"/>
  <c r="U4633" i="1"/>
  <c r="T4633" i="1"/>
  <c r="S4633" i="1"/>
  <c r="R4633" i="1"/>
  <c r="Q4633" i="1"/>
  <c r="M4633" i="1"/>
  <c r="L4633" i="1"/>
  <c r="V4632" i="1"/>
  <c r="U4632" i="1"/>
  <c r="T4632" i="1"/>
  <c r="W4632" i="1" s="1"/>
  <c r="S4632" i="1"/>
  <c r="R4632" i="1"/>
  <c r="Q4632" i="1"/>
  <c r="M4632" i="1"/>
  <c r="L4632" i="1"/>
  <c r="V4631" i="1"/>
  <c r="U4631" i="1"/>
  <c r="T4631" i="1"/>
  <c r="S4631" i="1"/>
  <c r="R4631" i="1"/>
  <c r="Q4631" i="1"/>
  <c r="M4631" i="1"/>
  <c r="L4631" i="1"/>
  <c r="V4630" i="1"/>
  <c r="U4630" i="1"/>
  <c r="T4630" i="1"/>
  <c r="S4630" i="1"/>
  <c r="R4630" i="1"/>
  <c r="Q4630" i="1"/>
  <c r="M4630" i="1"/>
  <c r="L4630" i="1"/>
  <c r="V4629" i="1"/>
  <c r="Z4629" i="1" s="1"/>
  <c r="U4629" i="1"/>
  <c r="T4629" i="1"/>
  <c r="W4629" i="1" s="1"/>
  <c r="S4629" i="1"/>
  <c r="R4629" i="1"/>
  <c r="Q4629" i="1"/>
  <c r="M4629" i="1"/>
  <c r="L4629" i="1"/>
  <c r="V4628" i="1"/>
  <c r="Z4628" i="1" s="1"/>
  <c r="U4628" i="1"/>
  <c r="T4628" i="1"/>
  <c r="W4628" i="1" s="1"/>
  <c r="S4628" i="1"/>
  <c r="R4628" i="1"/>
  <c r="Q4628" i="1"/>
  <c r="M4628" i="1"/>
  <c r="L4628" i="1"/>
  <c r="V4627" i="1"/>
  <c r="U4627" i="1"/>
  <c r="T4627" i="1"/>
  <c r="W4627" i="1" s="1"/>
  <c r="S4627" i="1"/>
  <c r="R4627" i="1"/>
  <c r="Q4627" i="1"/>
  <c r="M4627" i="1"/>
  <c r="L4627" i="1"/>
  <c r="V4626" i="1"/>
  <c r="U4626" i="1"/>
  <c r="T4626" i="1"/>
  <c r="W4626" i="1" s="1"/>
  <c r="S4626" i="1"/>
  <c r="R4626" i="1"/>
  <c r="Q4626" i="1"/>
  <c r="M4626" i="1"/>
  <c r="L4626" i="1"/>
  <c r="V4625" i="1"/>
  <c r="Z4625" i="1" s="1"/>
  <c r="U4625" i="1"/>
  <c r="T4625" i="1"/>
  <c r="W4625" i="1" s="1"/>
  <c r="S4625" i="1"/>
  <c r="R4625" i="1"/>
  <c r="Q4625" i="1"/>
  <c r="M4625" i="1"/>
  <c r="L4625" i="1"/>
  <c r="V4624" i="1"/>
  <c r="Z4624" i="1" s="1"/>
  <c r="U4624" i="1"/>
  <c r="T4624" i="1"/>
  <c r="W4624" i="1" s="1"/>
  <c r="S4624" i="1"/>
  <c r="R4624" i="1"/>
  <c r="Q4624" i="1"/>
  <c r="M4624" i="1"/>
  <c r="L4624" i="1"/>
  <c r="V4623" i="1"/>
  <c r="Z4623" i="1" s="1"/>
  <c r="U4623" i="1"/>
  <c r="T4623" i="1"/>
  <c r="W4623" i="1" s="1"/>
  <c r="S4623" i="1"/>
  <c r="R4623" i="1"/>
  <c r="Q4623" i="1"/>
  <c r="M4623" i="1"/>
  <c r="L4623" i="1"/>
  <c r="V4622" i="1"/>
  <c r="U4622" i="1"/>
  <c r="T4622" i="1"/>
  <c r="W4622" i="1" s="1"/>
  <c r="S4622" i="1"/>
  <c r="R4622" i="1"/>
  <c r="Q4622" i="1"/>
  <c r="M4622" i="1"/>
  <c r="L4622" i="1"/>
  <c r="V4621" i="1"/>
  <c r="Z4621" i="1" s="1"/>
  <c r="U4621" i="1"/>
  <c r="T4621" i="1"/>
  <c r="W4621" i="1" s="1"/>
  <c r="S4621" i="1"/>
  <c r="R4621" i="1"/>
  <c r="Q4621" i="1"/>
  <c r="M4621" i="1"/>
  <c r="L4621" i="1"/>
  <c r="V4620" i="1"/>
  <c r="Z4620" i="1" s="1"/>
  <c r="U4620" i="1"/>
  <c r="T4620" i="1"/>
  <c r="S4620" i="1"/>
  <c r="R4620" i="1"/>
  <c r="Q4620" i="1"/>
  <c r="M4620" i="1"/>
  <c r="L4620" i="1"/>
  <c r="V4619" i="1"/>
  <c r="Z4619" i="1" s="1"/>
  <c r="U4619" i="1"/>
  <c r="T4619" i="1"/>
  <c r="W4619" i="1" s="1"/>
  <c r="S4619" i="1"/>
  <c r="R4619" i="1"/>
  <c r="Q4619" i="1"/>
  <c r="M4619" i="1"/>
  <c r="L4619" i="1"/>
  <c r="V4618" i="1"/>
  <c r="U4618" i="1"/>
  <c r="T4618" i="1"/>
  <c r="W4618" i="1" s="1"/>
  <c r="S4618" i="1"/>
  <c r="R4618" i="1"/>
  <c r="Q4618" i="1"/>
  <c r="M4618" i="1"/>
  <c r="L4618" i="1"/>
  <c r="V4617" i="1"/>
  <c r="Z4617" i="1" s="1"/>
  <c r="U4617" i="1"/>
  <c r="T4617" i="1"/>
  <c r="S4617" i="1"/>
  <c r="R4617" i="1"/>
  <c r="Q4617" i="1"/>
  <c r="M4617" i="1"/>
  <c r="L4617" i="1"/>
  <c r="V4616" i="1"/>
  <c r="Z4616" i="1" s="1"/>
  <c r="U4616" i="1"/>
  <c r="T4616" i="1"/>
  <c r="W4616" i="1" s="1"/>
  <c r="S4616" i="1"/>
  <c r="R4616" i="1"/>
  <c r="Q4616" i="1"/>
  <c r="M4616" i="1"/>
  <c r="L4616" i="1"/>
  <c r="V4615" i="1"/>
  <c r="Z4615" i="1" s="1"/>
  <c r="U4615" i="1"/>
  <c r="T4615" i="1"/>
  <c r="S4615" i="1"/>
  <c r="R4615" i="1"/>
  <c r="Q4615" i="1"/>
  <c r="M4615" i="1"/>
  <c r="L4615" i="1"/>
  <c r="V4614" i="1"/>
  <c r="U4614" i="1"/>
  <c r="T4614" i="1"/>
  <c r="S4614" i="1"/>
  <c r="R4614" i="1"/>
  <c r="Q4614" i="1"/>
  <c r="M4614" i="1"/>
  <c r="L4614" i="1"/>
  <c r="V4613" i="1"/>
  <c r="Z4613" i="1" s="1"/>
  <c r="U4613" i="1"/>
  <c r="T4613" i="1"/>
  <c r="W4613" i="1" s="1"/>
  <c r="S4613" i="1"/>
  <c r="R4613" i="1"/>
  <c r="Q4613" i="1"/>
  <c r="M4613" i="1"/>
  <c r="L4613" i="1"/>
  <c r="V4612" i="1"/>
  <c r="Z4612" i="1" s="1"/>
  <c r="U4612" i="1"/>
  <c r="T4612" i="1"/>
  <c r="W4612" i="1" s="1"/>
  <c r="S4612" i="1"/>
  <c r="R4612" i="1"/>
  <c r="Q4612" i="1"/>
  <c r="M4612" i="1"/>
  <c r="L4612" i="1"/>
  <c r="V4611" i="1"/>
  <c r="U4611" i="1"/>
  <c r="T4611" i="1"/>
  <c r="W4611" i="1" s="1"/>
  <c r="S4611" i="1"/>
  <c r="R4611" i="1"/>
  <c r="Q4611" i="1"/>
  <c r="M4611" i="1"/>
  <c r="L4611" i="1"/>
  <c r="V4610" i="1"/>
  <c r="U4610" i="1"/>
  <c r="T4610" i="1"/>
  <c r="W4610" i="1" s="1"/>
  <c r="S4610" i="1"/>
  <c r="R4610" i="1"/>
  <c r="Q4610" i="1"/>
  <c r="M4610" i="1"/>
  <c r="L4610" i="1"/>
  <c r="V4609" i="1"/>
  <c r="Z4609" i="1" s="1"/>
  <c r="U4609" i="1"/>
  <c r="T4609" i="1"/>
  <c r="W4609" i="1" s="1"/>
  <c r="S4609" i="1"/>
  <c r="R4609" i="1"/>
  <c r="Q4609" i="1"/>
  <c r="M4609" i="1"/>
  <c r="L4609" i="1"/>
  <c r="V4608" i="1"/>
  <c r="Z4608" i="1" s="1"/>
  <c r="U4608" i="1"/>
  <c r="T4608" i="1"/>
  <c r="W4608" i="1" s="1"/>
  <c r="S4608" i="1"/>
  <c r="R4608" i="1"/>
  <c r="Q4608" i="1"/>
  <c r="M4608" i="1"/>
  <c r="L4608" i="1"/>
  <c r="V4607" i="1"/>
  <c r="Z4607" i="1" s="1"/>
  <c r="U4607" i="1"/>
  <c r="T4607" i="1"/>
  <c r="W4607" i="1" s="1"/>
  <c r="S4607" i="1"/>
  <c r="R4607" i="1"/>
  <c r="Q4607" i="1"/>
  <c r="M4607" i="1"/>
  <c r="L4607" i="1"/>
  <c r="V4606" i="1"/>
  <c r="U4606" i="1"/>
  <c r="T4606" i="1"/>
  <c r="W4606" i="1" s="1"/>
  <c r="S4606" i="1"/>
  <c r="R4606" i="1"/>
  <c r="Q4606" i="1"/>
  <c r="M4606" i="1"/>
  <c r="L4606" i="1"/>
  <c r="V4605" i="1"/>
  <c r="Z4605" i="1" s="1"/>
  <c r="U4605" i="1"/>
  <c r="T4605" i="1"/>
  <c r="W4605" i="1" s="1"/>
  <c r="S4605" i="1"/>
  <c r="R4605" i="1"/>
  <c r="Q4605" i="1"/>
  <c r="M4605" i="1"/>
  <c r="L4605" i="1"/>
  <c r="V4604" i="1"/>
  <c r="Z4604" i="1" s="1"/>
  <c r="U4604" i="1"/>
  <c r="T4604" i="1"/>
  <c r="W4604" i="1" s="1"/>
  <c r="S4604" i="1"/>
  <c r="R4604" i="1"/>
  <c r="Q4604" i="1"/>
  <c r="M4604" i="1"/>
  <c r="L4604" i="1"/>
  <c r="V4603" i="1"/>
  <c r="Z4603" i="1" s="1"/>
  <c r="U4603" i="1"/>
  <c r="T4603" i="1"/>
  <c r="W4603" i="1" s="1"/>
  <c r="S4603" i="1"/>
  <c r="R4603" i="1"/>
  <c r="Q4603" i="1"/>
  <c r="M4603" i="1"/>
  <c r="L4603" i="1"/>
  <c r="V4602" i="1"/>
  <c r="U4602" i="1"/>
  <c r="T4602" i="1"/>
  <c r="W4602" i="1" s="1"/>
  <c r="S4602" i="1"/>
  <c r="R4602" i="1"/>
  <c r="Q4602" i="1"/>
  <c r="M4602" i="1"/>
  <c r="L4602" i="1"/>
  <c r="V4601" i="1"/>
  <c r="Z4601" i="1" s="1"/>
  <c r="U4601" i="1"/>
  <c r="T4601" i="1"/>
  <c r="W4601" i="1" s="1"/>
  <c r="S4601" i="1"/>
  <c r="R4601" i="1"/>
  <c r="Q4601" i="1"/>
  <c r="M4601" i="1"/>
  <c r="L4601" i="1"/>
  <c r="V4600" i="1"/>
  <c r="Z4600" i="1" s="1"/>
  <c r="U4600" i="1"/>
  <c r="T4600" i="1"/>
  <c r="W4600" i="1" s="1"/>
  <c r="S4600" i="1"/>
  <c r="R4600" i="1"/>
  <c r="Q4600" i="1"/>
  <c r="M4600" i="1"/>
  <c r="L4600" i="1"/>
  <c r="V4599" i="1"/>
  <c r="U4599" i="1"/>
  <c r="T4599" i="1"/>
  <c r="S4599" i="1"/>
  <c r="R4599" i="1"/>
  <c r="Q4599" i="1"/>
  <c r="M4599" i="1"/>
  <c r="L4599" i="1"/>
  <c r="V4598" i="1"/>
  <c r="U4598" i="1"/>
  <c r="T4598" i="1"/>
  <c r="W4598" i="1" s="1"/>
  <c r="S4598" i="1"/>
  <c r="R4598" i="1"/>
  <c r="Q4598" i="1"/>
  <c r="M4598" i="1"/>
  <c r="L4598" i="1"/>
  <c r="V4597" i="1"/>
  <c r="Z4597" i="1" s="1"/>
  <c r="U4597" i="1"/>
  <c r="T4597" i="1"/>
  <c r="W4597" i="1" s="1"/>
  <c r="S4597" i="1"/>
  <c r="R4597" i="1"/>
  <c r="Q4597" i="1"/>
  <c r="M4597" i="1"/>
  <c r="L4597" i="1"/>
  <c r="V4596" i="1"/>
  <c r="Z4596" i="1" s="1"/>
  <c r="U4596" i="1"/>
  <c r="T4596" i="1"/>
  <c r="W4596" i="1" s="1"/>
  <c r="S4596" i="1"/>
  <c r="R4596" i="1"/>
  <c r="Q4596" i="1"/>
  <c r="M4596" i="1"/>
  <c r="L4596" i="1"/>
  <c r="V4595" i="1"/>
  <c r="Z4595" i="1" s="1"/>
  <c r="U4595" i="1"/>
  <c r="T4595" i="1"/>
  <c r="W4595" i="1" s="1"/>
  <c r="S4595" i="1"/>
  <c r="R4595" i="1"/>
  <c r="Q4595" i="1"/>
  <c r="M4595" i="1"/>
  <c r="L4595" i="1"/>
  <c r="V4594" i="1"/>
  <c r="U4594" i="1"/>
  <c r="T4594" i="1"/>
  <c r="S4594" i="1"/>
  <c r="R4594" i="1"/>
  <c r="Q4594" i="1"/>
  <c r="M4594" i="1"/>
  <c r="L4594" i="1"/>
  <c r="V4593" i="1"/>
  <c r="Z4593" i="1" s="1"/>
  <c r="U4593" i="1"/>
  <c r="T4593" i="1"/>
  <c r="W4593" i="1" s="1"/>
  <c r="S4593" i="1"/>
  <c r="R4593" i="1"/>
  <c r="Q4593" i="1"/>
  <c r="M4593" i="1"/>
  <c r="L4593" i="1"/>
  <c r="V4592" i="1"/>
  <c r="Z4592" i="1" s="1"/>
  <c r="U4592" i="1"/>
  <c r="T4592" i="1"/>
  <c r="W4592" i="1" s="1"/>
  <c r="S4592" i="1"/>
  <c r="R4592" i="1"/>
  <c r="Q4592" i="1"/>
  <c r="M4592" i="1"/>
  <c r="L4592" i="1"/>
  <c r="V4591" i="1"/>
  <c r="Z4591" i="1" s="1"/>
  <c r="U4591" i="1"/>
  <c r="T4591" i="1"/>
  <c r="W4591" i="1" s="1"/>
  <c r="S4591" i="1"/>
  <c r="R4591" i="1"/>
  <c r="Q4591" i="1"/>
  <c r="M4591" i="1"/>
  <c r="L4591" i="1"/>
  <c r="V4590" i="1"/>
  <c r="U4590" i="1"/>
  <c r="T4590" i="1"/>
  <c r="W4590" i="1" s="1"/>
  <c r="S4590" i="1"/>
  <c r="R4590" i="1"/>
  <c r="Q4590" i="1"/>
  <c r="M4590" i="1"/>
  <c r="L4590" i="1"/>
  <c r="V4589" i="1"/>
  <c r="Z4589" i="1" s="1"/>
  <c r="U4589" i="1"/>
  <c r="T4589" i="1"/>
  <c r="S4589" i="1"/>
  <c r="R4589" i="1"/>
  <c r="Q4589" i="1"/>
  <c r="M4589" i="1"/>
  <c r="L4589" i="1"/>
  <c r="V4588" i="1"/>
  <c r="Z4588" i="1" s="1"/>
  <c r="U4588" i="1"/>
  <c r="T4588" i="1"/>
  <c r="S4588" i="1"/>
  <c r="R4588" i="1"/>
  <c r="Q4588" i="1"/>
  <c r="M4588" i="1"/>
  <c r="L4588" i="1"/>
  <c r="V4587" i="1"/>
  <c r="U4587" i="1"/>
  <c r="T4587" i="1"/>
  <c r="S4587" i="1"/>
  <c r="R4587" i="1"/>
  <c r="Q4587" i="1"/>
  <c r="M4587" i="1"/>
  <c r="L4587" i="1"/>
  <c r="V4586" i="1"/>
  <c r="U4586" i="1"/>
  <c r="T4586" i="1"/>
  <c r="W4586" i="1" s="1"/>
  <c r="S4586" i="1"/>
  <c r="R4586" i="1"/>
  <c r="Q4586" i="1"/>
  <c r="M4586" i="1"/>
  <c r="L4586" i="1"/>
  <c r="V4585" i="1"/>
  <c r="Z4585" i="1" s="1"/>
  <c r="U4585" i="1"/>
  <c r="T4585" i="1"/>
  <c r="W4585" i="1" s="1"/>
  <c r="S4585" i="1"/>
  <c r="R4585" i="1"/>
  <c r="Q4585" i="1"/>
  <c r="M4585" i="1"/>
  <c r="L4585" i="1"/>
  <c r="V4584" i="1"/>
  <c r="U4584" i="1"/>
  <c r="T4584" i="1"/>
  <c r="S4584" i="1"/>
  <c r="R4584" i="1"/>
  <c r="Q4584" i="1"/>
  <c r="M4584" i="1"/>
  <c r="L4584" i="1"/>
  <c r="V4583" i="1"/>
  <c r="U4583" i="1"/>
  <c r="T4583" i="1"/>
  <c r="W4583" i="1" s="1"/>
  <c r="S4583" i="1"/>
  <c r="R4583" i="1"/>
  <c r="Q4583" i="1"/>
  <c r="M4583" i="1"/>
  <c r="L4583" i="1"/>
  <c r="V4582" i="1"/>
  <c r="U4582" i="1"/>
  <c r="T4582" i="1"/>
  <c r="S4582" i="1"/>
  <c r="R4582" i="1"/>
  <c r="Q4582" i="1"/>
  <c r="M4582" i="1"/>
  <c r="L4582" i="1"/>
  <c r="V4581" i="1"/>
  <c r="Z4581" i="1" s="1"/>
  <c r="U4581" i="1"/>
  <c r="T4581" i="1"/>
  <c r="W4581" i="1" s="1"/>
  <c r="S4581" i="1"/>
  <c r="R4581" i="1"/>
  <c r="Q4581" i="1"/>
  <c r="M4581" i="1"/>
  <c r="L4581" i="1"/>
  <c r="V4580" i="1"/>
  <c r="Z4580" i="1" s="1"/>
  <c r="U4580" i="1"/>
  <c r="T4580" i="1"/>
  <c r="W4580" i="1" s="1"/>
  <c r="S4580" i="1"/>
  <c r="R4580" i="1"/>
  <c r="Q4580" i="1"/>
  <c r="M4580" i="1"/>
  <c r="L4580" i="1"/>
  <c r="V4579" i="1"/>
  <c r="Z4579" i="1" s="1"/>
  <c r="U4579" i="1"/>
  <c r="T4579" i="1"/>
  <c r="W4579" i="1" s="1"/>
  <c r="S4579" i="1"/>
  <c r="R4579" i="1"/>
  <c r="Q4579" i="1"/>
  <c r="M4579" i="1"/>
  <c r="L4579" i="1"/>
  <c r="V4578" i="1"/>
  <c r="U4578" i="1"/>
  <c r="T4578" i="1"/>
  <c r="W4578" i="1" s="1"/>
  <c r="S4578" i="1"/>
  <c r="R4578" i="1"/>
  <c r="Q4578" i="1"/>
  <c r="M4578" i="1"/>
  <c r="L4578" i="1"/>
  <c r="V4577" i="1"/>
  <c r="Z4577" i="1" s="1"/>
  <c r="U4577" i="1"/>
  <c r="T4577" i="1"/>
  <c r="S4577" i="1"/>
  <c r="R4577" i="1"/>
  <c r="Q4577" i="1"/>
  <c r="M4577" i="1"/>
  <c r="L4577" i="1"/>
  <c r="V4576" i="1"/>
  <c r="Z4576" i="1" s="1"/>
  <c r="U4576" i="1"/>
  <c r="T4576" i="1"/>
  <c r="W4576" i="1" s="1"/>
  <c r="S4576" i="1"/>
  <c r="R4576" i="1"/>
  <c r="Q4576" i="1"/>
  <c r="M4576" i="1"/>
  <c r="L4576" i="1"/>
  <c r="V4575" i="1"/>
  <c r="Z4575" i="1" s="1"/>
  <c r="U4575" i="1"/>
  <c r="T4575" i="1"/>
  <c r="S4575" i="1"/>
  <c r="R4575" i="1"/>
  <c r="Q4575" i="1"/>
  <c r="M4575" i="1"/>
  <c r="L4575" i="1"/>
  <c r="V4574" i="1"/>
  <c r="U4574" i="1"/>
  <c r="T4574" i="1"/>
  <c r="W4574" i="1" s="1"/>
  <c r="S4574" i="1"/>
  <c r="R4574" i="1"/>
  <c r="Q4574" i="1"/>
  <c r="M4574" i="1"/>
  <c r="L4574" i="1"/>
  <c r="V4573" i="1"/>
  <c r="Z4573" i="1" s="1"/>
  <c r="U4573" i="1"/>
  <c r="T4573" i="1"/>
  <c r="W4573" i="1" s="1"/>
  <c r="S4573" i="1"/>
  <c r="R4573" i="1"/>
  <c r="Q4573" i="1"/>
  <c r="M4573" i="1"/>
  <c r="L4573" i="1"/>
  <c r="V4572" i="1"/>
  <c r="U4572" i="1"/>
  <c r="T4572" i="1"/>
  <c r="S4572" i="1"/>
  <c r="R4572" i="1"/>
  <c r="Q4572" i="1"/>
  <c r="M4572" i="1"/>
  <c r="L4572" i="1"/>
  <c r="V4571" i="1"/>
  <c r="U4571" i="1"/>
  <c r="T4571" i="1"/>
  <c r="W4571" i="1" s="1"/>
  <c r="S4571" i="1"/>
  <c r="R4571" i="1"/>
  <c r="Q4571" i="1"/>
  <c r="M4571" i="1"/>
  <c r="L4571" i="1"/>
  <c r="V4570" i="1"/>
  <c r="U4570" i="1"/>
  <c r="T4570" i="1"/>
  <c r="W4570" i="1" s="1"/>
  <c r="S4570" i="1"/>
  <c r="R4570" i="1"/>
  <c r="Q4570" i="1"/>
  <c r="M4570" i="1"/>
  <c r="L4570" i="1"/>
  <c r="V4569" i="1"/>
  <c r="Z4569" i="1" s="1"/>
  <c r="U4569" i="1"/>
  <c r="T4569" i="1"/>
  <c r="W4569" i="1" s="1"/>
  <c r="S4569" i="1"/>
  <c r="R4569" i="1"/>
  <c r="Q4569" i="1"/>
  <c r="M4569" i="1"/>
  <c r="L4569" i="1"/>
  <c r="V4568" i="1"/>
  <c r="Z4568" i="1" s="1"/>
  <c r="U4568" i="1"/>
  <c r="T4568" i="1"/>
  <c r="W4568" i="1" s="1"/>
  <c r="S4568" i="1"/>
  <c r="R4568" i="1"/>
  <c r="Q4568" i="1"/>
  <c r="M4568" i="1"/>
  <c r="L4568" i="1"/>
  <c r="V4567" i="1"/>
  <c r="U4567" i="1"/>
  <c r="T4567" i="1"/>
  <c r="W4567" i="1" s="1"/>
  <c r="S4567" i="1"/>
  <c r="R4567" i="1"/>
  <c r="Q4567" i="1"/>
  <c r="M4567" i="1"/>
  <c r="L4567" i="1"/>
  <c r="V4566" i="1"/>
  <c r="U4566" i="1"/>
  <c r="T4566" i="1"/>
  <c r="S4566" i="1"/>
  <c r="R4566" i="1"/>
  <c r="Q4566" i="1"/>
  <c r="M4566" i="1"/>
  <c r="L4566" i="1"/>
  <c r="V4565" i="1"/>
  <c r="Z4565" i="1" s="1"/>
  <c r="U4565" i="1"/>
  <c r="T4565" i="1"/>
  <c r="S4565" i="1"/>
  <c r="R4565" i="1"/>
  <c r="Q4565" i="1"/>
  <c r="M4565" i="1"/>
  <c r="L4565" i="1"/>
  <c r="V4564" i="1"/>
  <c r="Z4564" i="1" s="1"/>
  <c r="U4564" i="1"/>
  <c r="T4564" i="1"/>
  <c r="W4564" i="1" s="1"/>
  <c r="S4564" i="1"/>
  <c r="R4564" i="1"/>
  <c r="Q4564" i="1"/>
  <c r="M4564" i="1"/>
  <c r="L4564" i="1"/>
  <c r="V4563" i="1"/>
  <c r="Z4563" i="1" s="1"/>
  <c r="U4563" i="1"/>
  <c r="T4563" i="1"/>
  <c r="W4563" i="1" s="1"/>
  <c r="S4563" i="1"/>
  <c r="R4563" i="1"/>
  <c r="Q4563" i="1"/>
  <c r="M4563" i="1"/>
  <c r="L4563" i="1"/>
  <c r="V4562" i="1"/>
  <c r="U4562" i="1"/>
  <c r="T4562" i="1"/>
  <c r="W4562" i="1" s="1"/>
  <c r="S4562" i="1"/>
  <c r="R4562" i="1"/>
  <c r="Q4562" i="1"/>
  <c r="M4562" i="1"/>
  <c r="L4562" i="1"/>
  <c r="V4561" i="1"/>
  <c r="Z4561" i="1" s="1"/>
  <c r="U4561" i="1"/>
  <c r="T4561" i="1"/>
  <c r="W4561" i="1" s="1"/>
  <c r="S4561" i="1"/>
  <c r="R4561" i="1"/>
  <c r="Q4561" i="1"/>
  <c r="M4561" i="1"/>
  <c r="L4561" i="1"/>
  <c r="V4560" i="1"/>
  <c r="Z4560" i="1" s="1"/>
  <c r="U4560" i="1"/>
  <c r="T4560" i="1"/>
  <c r="S4560" i="1"/>
  <c r="R4560" i="1"/>
  <c r="Q4560" i="1"/>
  <c r="M4560" i="1"/>
  <c r="L4560" i="1"/>
  <c r="V4559" i="1"/>
  <c r="Z4559" i="1" s="1"/>
  <c r="U4559" i="1"/>
  <c r="T4559" i="1"/>
  <c r="W4559" i="1" s="1"/>
  <c r="S4559" i="1"/>
  <c r="R4559" i="1"/>
  <c r="Q4559" i="1"/>
  <c r="M4559" i="1"/>
  <c r="L4559" i="1"/>
  <c r="V4558" i="1"/>
  <c r="U4558" i="1"/>
  <c r="T4558" i="1"/>
  <c r="W4558" i="1" s="1"/>
  <c r="S4558" i="1"/>
  <c r="R4558" i="1"/>
  <c r="Q4558" i="1"/>
  <c r="M4558" i="1"/>
  <c r="L4558" i="1"/>
  <c r="V4557" i="1"/>
  <c r="Z4557" i="1" s="1"/>
  <c r="U4557" i="1"/>
  <c r="T4557" i="1"/>
  <c r="S4557" i="1"/>
  <c r="R4557" i="1"/>
  <c r="Q4557" i="1"/>
  <c r="M4557" i="1"/>
  <c r="L4557" i="1"/>
  <c r="V4556" i="1"/>
  <c r="Z4556" i="1" s="1"/>
  <c r="U4556" i="1"/>
  <c r="T4556" i="1"/>
  <c r="W4556" i="1" s="1"/>
  <c r="S4556" i="1"/>
  <c r="R4556" i="1"/>
  <c r="Q4556" i="1"/>
  <c r="M4556" i="1"/>
  <c r="L4556" i="1"/>
  <c r="V4555" i="1"/>
  <c r="U4555" i="1"/>
  <c r="T4555" i="1"/>
  <c r="W4555" i="1" s="1"/>
  <c r="S4555" i="1"/>
  <c r="R4555" i="1"/>
  <c r="Q4555" i="1"/>
  <c r="M4555" i="1"/>
  <c r="L4555" i="1"/>
  <c r="V4554" i="1"/>
  <c r="U4554" i="1"/>
  <c r="T4554" i="1"/>
  <c r="W4554" i="1" s="1"/>
  <c r="S4554" i="1"/>
  <c r="R4554" i="1"/>
  <c r="Q4554" i="1"/>
  <c r="M4554" i="1"/>
  <c r="L4554" i="1"/>
  <c r="V4553" i="1"/>
  <c r="Z4553" i="1" s="1"/>
  <c r="U4553" i="1"/>
  <c r="T4553" i="1"/>
  <c r="S4553" i="1"/>
  <c r="R4553" i="1"/>
  <c r="Q4553" i="1"/>
  <c r="M4553" i="1"/>
  <c r="L4553" i="1"/>
  <c r="V4552" i="1"/>
  <c r="Z4552" i="1" s="1"/>
  <c r="U4552" i="1"/>
  <c r="T4552" i="1"/>
  <c r="W4552" i="1" s="1"/>
  <c r="S4552" i="1"/>
  <c r="R4552" i="1"/>
  <c r="Q4552" i="1"/>
  <c r="M4552" i="1"/>
  <c r="L4552" i="1"/>
  <c r="V4551" i="1"/>
  <c r="Z4551" i="1" s="1"/>
  <c r="U4551" i="1"/>
  <c r="T4551" i="1"/>
  <c r="S4551" i="1"/>
  <c r="R4551" i="1"/>
  <c r="Q4551" i="1"/>
  <c r="M4551" i="1"/>
  <c r="L4551" i="1"/>
  <c r="V4550" i="1"/>
  <c r="U4550" i="1"/>
  <c r="T4550" i="1"/>
  <c r="W4550" i="1" s="1"/>
  <c r="S4550" i="1"/>
  <c r="R4550" i="1"/>
  <c r="Q4550" i="1"/>
  <c r="M4550" i="1"/>
  <c r="L4550" i="1"/>
  <c r="V4549" i="1"/>
  <c r="Z4549" i="1" s="1"/>
  <c r="U4549" i="1"/>
  <c r="T4549" i="1"/>
  <c r="W4549" i="1" s="1"/>
  <c r="S4549" i="1"/>
  <c r="R4549" i="1"/>
  <c r="Q4549" i="1"/>
  <c r="M4549" i="1"/>
  <c r="L4549" i="1"/>
  <c r="V4548" i="1"/>
  <c r="U4548" i="1"/>
  <c r="T4548" i="1"/>
  <c r="S4548" i="1"/>
  <c r="R4548" i="1"/>
  <c r="Q4548" i="1"/>
  <c r="M4548" i="1"/>
  <c r="L4548" i="1"/>
  <c r="V4547" i="1"/>
  <c r="U4547" i="1"/>
  <c r="T4547" i="1"/>
  <c r="W4547" i="1" s="1"/>
  <c r="S4547" i="1"/>
  <c r="R4547" i="1"/>
  <c r="Q4547" i="1"/>
  <c r="M4547" i="1"/>
  <c r="L4547" i="1"/>
  <c r="V4546" i="1"/>
  <c r="U4546" i="1"/>
  <c r="T4546" i="1"/>
  <c r="W4546" i="1" s="1"/>
  <c r="S4546" i="1"/>
  <c r="R4546" i="1"/>
  <c r="Q4546" i="1"/>
  <c r="M4546" i="1"/>
  <c r="L4546" i="1"/>
  <c r="V4545" i="1"/>
  <c r="Z4545" i="1" s="1"/>
  <c r="U4545" i="1"/>
  <c r="T4545" i="1"/>
  <c r="W4545" i="1" s="1"/>
  <c r="S4545" i="1"/>
  <c r="R4545" i="1"/>
  <c r="Q4545" i="1"/>
  <c r="M4545" i="1"/>
  <c r="L4545" i="1"/>
  <c r="V4544" i="1"/>
  <c r="Z4544" i="1" s="1"/>
  <c r="U4544" i="1"/>
  <c r="T4544" i="1"/>
  <c r="W4544" i="1" s="1"/>
  <c r="S4544" i="1"/>
  <c r="R4544" i="1"/>
  <c r="Q4544" i="1"/>
  <c r="M4544" i="1"/>
  <c r="L4544" i="1"/>
  <c r="V4543" i="1"/>
  <c r="Z4543" i="1" s="1"/>
  <c r="U4543" i="1"/>
  <c r="T4543" i="1"/>
  <c r="W4543" i="1" s="1"/>
  <c r="S4543" i="1"/>
  <c r="R4543" i="1"/>
  <c r="Q4543" i="1"/>
  <c r="M4543" i="1"/>
  <c r="L4543" i="1"/>
  <c r="V4542" i="1"/>
  <c r="U4542" i="1"/>
  <c r="T4542" i="1"/>
  <c r="W4542" i="1" s="1"/>
  <c r="S4542" i="1"/>
  <c r="R4542" i="1"/>
  <c r="Q4542" i="1"/>
  <c r="M4542" i="1"/>
  <c r="L4542" i="1"/>
  <c r="V4541" i="1"/>
  <c r="Z4541" i="1" s="1"/>
  <c r="U4541" i="1"/>
  <c r="T4541" i="1"/>
  <c r="S4541" i="1"/>
  <c r="R4541" i="1"/>
  <c r="Q4541" i="1"/>
  <c r="M4541" i="1"/>
  <c r="L4541" i="1"/>
  <c r="V4540" i="1"/>
  <c r="Z4540" i="1" s="1"/>
  <c r="U4540" i="1"/>
  <c r="T4540" i="1"/>
  <c r="W4540" i="1" s="1"/>
  <c r="S4540" i="1"/>
  <c r="R4540" i="1"/>
  <c r="Q4540" i="1"/>
  <c r="M4540" i="1"/>
  <c r="L4540" i="1"/>
  <c r="V4539" i="1"/>
  <c r="Z4539" i="1" s="1"/>
  <c r="U4539" i="1"/>
  <c r="T4539" i="1"/>
  <c r="W4539" i="1" s="1"/>
  <c r="S4539" i="1"/>
  <c r="R4539" i="1"/>
  <c r="Q4539" i="1"/>
  <c r="M4539" i="1"/>
  <c r="L4539" i="1"/>
  <c r="V4538" i="1"/>
  <c r="U4538" i="1"/>
  <c r="T4538" i="1"/>
  <c r="W4538" i="1" s="1"/>
  <c r="S4538" i="1"/>
  <c r="R4538" i="1"/>
  <c r="Q4538" i="1"/>
  <c r="M4538" i="1"/>
  <c r="L4538" i="1"/>
  <c r="V4537" i="1"/>
  <c r="Z4537" i="1" s="1"/>
  <c r="U4537" i="1"/>
  <c r="T4537" i="1"/>
  <c r="W4537" i="1" s="1"/>
  <c r="S4537" i="1"/>
  <c r="R4537" i="1"/>
  <c r="Q4537" i="1"/>
  <c r="M4537" i="1"/>
  <c r="L4537" i="1"/>
  <c r="V4536" i="1"/>
  <c r="Z4536" i="1" s="1"/>
  <c r="U4536" i="1"/>
  <c r="T4536" i="1"/>
  <c r="S4536" i="1"/>
  <c r="R4536" i="1"/>
  <c r="Q4536" i="1"/>
  <c r="M4536" i="1"/>
  <c r="L4536" i="1"/>
  <c r="V4535" i="1"/>
  <c r="U4535" i="1"/>
  <c r="T4535" i="1"/>
  <c r="S4535" i="1"/>
  <c r="R4535" i="1"/>
  <c r="Q4535" i="1"/>
  <c r="M4535" i="1"/>
  <c r="L4535" i="1"/>
  <c r="V4534" i="1"/>
  <c r="U4534" i="1"/>
  <c r="T4534" i="1"/>
  <c r="W4534" i="1" s="1"/>
  <c r="S4534" i="1"/>
  <c r="R4534" i="1"/>
  <c r="Q4534" i="1"/>
  <c r="M4534" i="1"/>
  <c r="L4534" i="1"/>
  <c r="V4533" i="1"/>
  <c r="Z4533" i="1" s="1"/>
  <c r="U4533" i="1"/>
  <c r="T4533" i="1"/>
  <c r="W4533" i="1" s="1"/>
  <c r="S4533" i="1"/>
  <c r="R4533" i="1"/>
  <c r="Q4533" i="1"/>
  <c r="M4533" i="1"/>
  <c r="L4533" i="1"/>
  <c r="V4532" i="1"/>
  <c r="U4532" i="1"/>
  <c r="T4532" i="1"/>
  <c r="S4532" i="1"/>
  <c r="R4532" i="1"/>
  <c r="Q4532" i="1"/>
  <c r="M4532" i="1"/>
  <c r="L4532" i="1"/>
  <c r="V4531" i="1"/>
  <c r="Z4531" i="1" s="1"/>
  <c r="U4531" i="1"/>
  <c r="T4531" i="1"/>
  <c r="W4531" i="1" s="1"/>
  <c r="S4531" i="1"/>
  <c r="R4531" i="1"/>
  <c r="Q4531" i="1"/>
  <c r="M4531" i="1"/>
  <c r="L4531" i="1"/>
  <c r="V4530" i="1"/>
  <c r="U4530" i="1"/>
  <c r="T4530" i="1"/>
  <c r="S4530" i="1"/>
  <c r="R4530" i="1"/>
  <c r="Q4530" i="1"/>
  <c r="M4530" i="1"/>
  <c r="L4530" i="1"/>
  <c r="V4529" i="1"/>
  <c r="Z4529" i="1" s="1"/>
  <c r="U4529" i="1"/>
  <c r="T4529" i="1"/>
  <c r="W4529" i="1" s="1"/>
  <c r="S4529" i="1"/>
  <c r="R4529" i="1"/>
  <c r="Q4529" i="1"/>
  <c r="M4529" i="1"/>
  <c r="L4529" i="1"/>
  <c r="V4528" i="1"/>
  <c r="U4528" i="1"/>
  <c r="T4528" i="1"/>
  <c r="W4528" i="1" s="1"/>
  <c r="S4528" i="1"/>
  <c r="R4528" i="1"/>
  <c r="Q4528" i="1"/>
  <c r="M4528" i="1"/>
  <c r="L4528" i="1"/>
  <c r="V4527" i="1"/>
  <c r="Z4527" i="1" s="1"/>
  <c r="U4527" i="1"/>
  <c r="T4527" i="1"/>
  <c r="W4527" i="1" s="1"/>
  <c r="S4527" i="1"/>
  <c r="R4527" i="1"/>
  <c r="Q4527" i="1"/>
  <c r="M4527" i="1"/>
  <c r="L4527" i="1"/>
  <c r="V4526" i="1"/>
  <c r="U4526" i="1"/>
  <c r="T4526" i="1"/>
  <c r="W4526" i="1" s="1"/>
  <c r="S4526" i="1"/>
  <c r="R4526" i="1"/>
  <c r="Q4526" i="1"/>
  <c r="M4526" i="1"/>
  <c r="L4526" i="1"/>
  <c r="V4525" i="1"/>
  <c r="Z4525" i="1" s="1"/>
  <c r="U4525" i="1"/>
  <c r="T4525" i="1"/>
  <c r="W4525" i="1" s="1"/>
  <c r="S4525" i="1"/>
  <c r="R4525" i="1"/>
  <c r="Q4525" i="1"/>
  <c r="M4525" i="1"/>
  <c r="L4525" i="1"/>
  <c r="V4524" i="1"/>
  <c r="Z4524" i="1" s="1"/>
  <c r="U4524" i="1"/>
  <c r="T4524" i="1"/>
  <c r="S4524" i="1"/>
  <c r="R4524" i="1"/>
  <c r="Q4524" i="1"/>
  <c r="M4524" i="1"/>
  <c r="L4524" i="1"/>
  <c r="V4523" i="1"/>
  <c r="Z4523" i="1" s="1"/>
  <c r="U4523" i="1"/>
  <c r="T4523" i="1"/>
  <c r="S4523" i="1"/>
  <c r="R4523" i="1"/>
  <c r="Q4523" i="1"/>
  <c r="M4523" i="1"/>
  <c r="L4523" i="1"/>
  <c r="V4522" i="1"/>
  <c r="U4522" i="1"/>
  <c r="T4522" i="1"/>
  <c r="W4522" i="1" s="1"/>
  <c r="S4522" i="1"/>
  <c r="R4522" i="1"/>
  <c r="Q4522" i="1"/>
  <c r="M4522" i="1"/>
  <c r="L4522" i="1"/>
  <c r="V4521" i="1"/>
  <c r="Z4521" i="1" s="1"/>
  <c r="U4521" i="1"/>
  <c r="T4521" i="1"/>
  <c r="W4521" i="1" s="1"/>
  <c r="S4521" i="1"/>
  <c r="R4521" i="1"/>
  <c r="Q4521" i="1"/>
  <c r="M4521" i="1"/>
  <c r="L4521" i="1"/>
  <c r="V4520" i="1"/>
  <c r="U4520" i="1"/>
  <c r="T4520" i="1"/>
  <c r="W4520" i="1" s="1"/>
  <c r="S4520" i="1"/>
  <c r="R4520" i="1"/>
  <c r="Q4520" i="1"/>
  <c r="M4520" i="1"/>
  <c r="L4520" i="1"/>
  <c r="V4519" i="1"/>
  <c r="U4519" i="1"/>
  <c r="T4519" i="1"/>
  <c r="W4519" i="1" s="1"/>
  <c r="S4519" i="1"/>
  <c r="R4519" i="1"/>
  <c r="Q4519" i="1"/>
  <c r="M4519" i="1"/>
  <c r="L4519" i="1"/>
  <c r="V4518" i="1"/>
  <c r="U4518" i="1"/>
  <c r="T4518" i="1"/>
  <c r="S4518" i="1"/>
  <c r="R4518" i="1"/>
  <c r="Q4518" i="1"/>
  <c r="M4518" i="1"/>
  <c r="L4518" i="1"/>
  <c r="V4517" i="1"/>
  <c r="Z4517" i="1" s="1"/>
  <c r="U4517" i="1"/>
  <c r="T4517" i="1"/>
  <c r="W4517" i="1" s="1"/>
  <c r="S4517" i="1"/>
  <c r="R4517" i="1"/>
  <c r="Q4517" i="1"/>
  <c r="M4517" i="1"/>
  <c r="L4517" i="1"/>
  <c r="V4516" i="1"/>
  <c r="Z4516" i="1" s="1"/>
  <c r="U4516" i="1"/>
  <c r="T4516" i="1"/>
  <c r="W4516" i="1" s="1"/>
  <c r="S4516" i="1"/>
  <c r="R4516" i="1"/>
  <c r="Q4516" i="1"/>
  <c r="M4516" i="1"/>
  <c r="L4516" i="1"/>
  <c r="V4515" i="1"/>
  <c r="Z4515" i="1" s="1"/>
  <c r="U4515" i="1"/>
  <c r="T4515" i="1"/>
  <c r="W4515" i="1" s="1"/>
  <c r="S4515" i="1"/>
  <c r="R4515" i="1"/>
  <c r="Q4515" i="1"/>
  <c r="M4515" i="1"/>
  <c r="L4515" i="1"/>
  <c r="V4514" i="1"/>
  <c r="U4514" i="1"/>
  <c r="T4514" i="1"/>
  <c r="W4514" i="1" s="1"/>
  <c r="S4514" i="1"/>
  <c r="R4514" i="1"/>
  <c r="Q4514" i="1"/>
  <c r="M4514" i="1"/>
  <c r="L4514" i="1"/>
  <c r="V4513" i="1"/>
  <c r="Z4513" i="1" s="1"/>
  <c r="U4513" i="1"/>
  <c r="T4513" i="1"/>
  <c r="S4513" i="1"/>
  <c r="R4513" i="1"/>
  <c r="Q4513" i="1"/>
  <c r="M4513" i="1"/>
  <c r="L4513" i="1"/>
  <c r="V4512" i="1"/>
  <c r="U4512" i="1"/>
  <c r="T4512" i="1"/>
  <c r="W4512" i="1" s="1"/>
  <c r="S4512" i="1"/>
  <c r="R4512" i="1"/>
  <c r="Q4512" i="1"/>
  <c r="M4512" i="1"/>
  <c r="L4512" i="1"/>
  <c r="V4511" i="1"/>
  <c r="U4511" i="1"/>
  <c r="T4511" i="1"/>
  <c r="S4511" i="1"/>
  <c r="R4511" i="1"/>
  <c r="Q4511" i="1"/>
  <c r="M4511" i="1"/>
  <c r="L4511" i="1"/>
  <c r="V4510" i="1"/>
  <c r="U4510" i="1"/>
  <c r="T4510" i="1"/>
  <c r="W4510" i="1" s="1"/>
  <c r="S4510" i="1"/>
  <c r="R4510" i="1"/>
  <c r="Q4510" i="1"/>
  <c r="M4510" i="1"/>
  <c r="L4510" i="1"/>
  <c r="V4509" i="1"/>
  <c r="Z4509" i="1" s="1"/>
  <c r="U4509" i="1"/>
  <c r="T4509" i="1"/>
  <c r="W4509" i="1" s="1"/>
  <c r="S4509" i="1"/>
  <c r="R4509" i="1"/>
  <c r="Q4509" i="1"/>
  <c r="M4509" i="1"/>
  <c r="L4509" i="1"/>
  <c r="V4508" i="1"/>
  <c r="U4508" i="1"/>
  <c r="T4508" i="1"/>
  <c r="W4508" i="1" s="1"/>
  <c r="S4508" i="1"/>
  <c r="R4508" i="1"/>
  <c r="Q4508" i="1"/>
  <c r="M4508" i="1"/>
  <c r="L4508" i="1"/>
  <c r="V4507" i="1"/>
  <c r="U4507" i="1"/>
  <c r="T4507" i="1"/>
  <c r="W4507" i="1" s="1"/>
  <c r="S4507" i="1"/>
  <c r="R4507" i="1"/>
  <c r="Q4507" i="1"/>
  <c r="M4507" i="1"/>
  <c r="L4507" i="1"/>
  <c r="V4506" i="1"/>
  <c r="U4506" i="1"/>
  <c r="T4506" i="1"/>
  <c r="W4506" i="1" s="1"/>
  <c r="S4506" i="1"/>
  <c r="R4506" i="1"/>
  <c r="Q4506" i="1"/>
  <c r="M4506" i="1"/>
  <c r="L4506" i="1"/>
  <c r="V4505" i="1"/>
  <c r="Z4505" i="1" s="1"/>
  <c r="U4505" i="1"/>
  <c r="T4505" i="1"/>
  <c r="S4505" i="1"/>
  <c r="R4505" i="1"/>
  <c r="Q4505" i="1"/>
  <c r="M4505" i="1"/>
  <c r="L4505" i="1"/>
  <c r="V4504" i="1"/>
  <c r="Z4504" i="1" s="1"/>
  <c r="U4504" i="1"/>
  <c r="T4504" i="1"/>
  <c r="W4504" i="1" s="1"/>
  <c r="S4504" i="1"/>
  <c r="R4504" i="1"/>
  <c r="Q4504" i="1"/>
  <c r="M4504" i="1"/>
  <c r="L4504" i="1"/>
  <c r="V4503" i="1"/>
  <c r="U4503" i="1"/>
  <c r="T4503" i="1"/>
  <c r="W4503" i="1" s="1"/>
  <c r="S4503" i="1"/>
  <c r="R4503" i="1"/>
  <c r="Q4503" i="1"/>
  <c r="M4503" i="1"/>
  <c r="L4503" i="1"/>
  <c r="V4502" i="1"/>
  <c r="U4502" i="1"/>
  <c r="T4502" i="1"/>
  <c r="W4502" i="1" s="1"/>
  <c r="S4502" i="1"/>
  <c r="R4502" i="1"/>
  <c r="Q4502" i="1"/>
  <c r="M4502" i="1"/>
  <c r="L4502" i="1"/>
  <c r="V4501" i="1"/>
  <c r="Z4501" i="1" s="1"/>
  <c r="U4501" i="1"/>
  <c r="T4501" i="1"/>
  <c r="S4501" i="1"/>
  <c r="R4501" i="1"/>
  <c r="Q4501" i="1"/>
  <c r="M4501" i="1"/>
  <c r="L4501" i="1"/>
  <c r="V4500" i="1"/>
  <c r="Z4500" i="1" s="1"/>
  <c r="U4500" i="1"/>
  <c r="T4500" i="1"/>
  <c r="W4500" i="1" s="1"/>
  <c r="S4500" i="1"/>
  <c r="R4500" i="1"/>
  <c r="Q4500" i="1"/>
  <c r="M4500" i="1"/>
  <c r="L4500" i="1"/>
  <c r="V4499" i="1"/>
  <c r="Z4499" i="1" s="1"/>
  <c r="U4499" i="1"/>
  <c r="T4499" i="1"/>
  <c r="W4499" i="1" s="1"/>
  <c r="S4499" i="1"/>
  <c r="R4499" i="1"/>
  <c r="Q4499" i="1"/>
  <c r="M4499" i="1"/>
  <c r="L4499" i="1"/>
  <c r="V4498" i="1"/>
  <c r="U4498" i="1"/>
  <c r="T4498" i="1"/>
  <c r="W4498" i="1" s="1"/>
  <c r="S4498" i="1"/>
  <c r="R4498" i="1"/>
  <c r="Q4498" i="1"/>
  <c r="M4498" i="1"/>
  <c r="L4498" i="1"/>
  <c r="V4497" i="1"/>
  <c r="Z4497" i="1" s="1"/>
  <c r="U4497" i="1"/>
  <c r="T4497" i="1"/>
  <c r="W4497" i="1" s="1"/>
  <c r="S4497" i="1"/>
  <c r="R4497" i="1"/>
  <c r="Q4497" i="1"/>
  <c r="M4497" i="1"/>
  <c r="L4497" i="1"/>
  <c r="V4496" i="1"/>
  <c r="Z4496" i="1" s="1"/>
  <c r="U4496" i="1"/>
  <c r="T4496" i="1"/>
  <c r="S4496" i="1"/>
  <c r="R4496" i="1"/>
  <c r="Q4496" i="1"/>
  <c r="M4496" i="1"/>
  <c r="L4496" i="1"/>
  <c r="V4495" i="1"/>
  <c r="Z4495" i="1" s="1"/>
  <c r="U4495" i="1"/>
  <c r="T4495" i="1"/>
  <c r="S4495" i="1"/>
  <c r="R4495" i="1"/>
  <c r="Q4495" i="1"/>
  <c r="M4495" i="1"/>
  <c r="L4495" i="1"/>
  <c r="V4494" i="1"/>
  <c r="U4494" i="1"/>
  <c r="T4494" i="1"/>
  <c r="W4494" i="1" s="1"/>
  <c r="S4494" i="1"/>
  <c r="R4494" i="1"/>
  <c r="Q4494" i="1"/>
  <c r="M4494" i="1"/>
  <c r="L4494" i="1"/>
  <c r="V4493" i="1"/>
  <c r="Z4493" i="1" s="1"/>
  <c r="U4493" i="1"/>
  <c r="T4493" i="1"/>
  <c r="W4493" i="1" s="1"/>
  <c r="S4493" i="1"/>
  <c r="R4493" i="1"/>
  <c r="Q4493" i="1"/>
  <c r="M4493" i="1"/>
  <c r="L4493" i="1"/>
  <c r="V4492" i="1"/>
  <c r="Z4492" i="1" s="1"/>
  <c r="U4492" i="1"/>
  <c r="T4492" i="1"/>
  <c r="W4492" i="1" s="1"/>
  <c r="S4492" i="1"/>
  <c r="R4492" i="1"/>
  <c r="Q4492" i="1"/>
  <c r="M4492" i="1"/>
  <c r="L4492" i="1"/>
  <c r="V4491" i="1"/>
  <c r="U4491" i="1"/>
  <c r="T4491" i="1"/>
  <c r="W4491" i="1" s="1"/>
  <c r="S4491" i="1"/>
  <c r="R4491" i="1"/>
  <c r="Q4491" i="1"/>
  <c r="M4491" i="1"/>
  <c r="L4491" i="1"/>
  <c r="V4490" i="1"/>
  <c r="U4490" i="1"/>
  <c r="T4490" i="1"/>
  <c r="S4490" i="1"/>
  <c r="R4490" i="1"/>
  <c r="Q4490" i="1"/>
  <c r="M4490" i="1"/>
  <c r="L4490" i="1"/>
  <c r="V4489" i="1"/>
  <c r="Z4489" i="1" s="1"/>
  <c r="U4489" i="1"/>
  <c r="T4489" i="1"/>
  <c r="W4489" i="1" s="1"/>
  <c r="S4489" i="1"/>
  <c r="R4489" i="1"/>
  <c r="Q4489" i="1"/>
  <c r="M4489" i="1"/>
  <c r="L4489" i="1"/>
  <c r="V4488" i="1"/>
  <c r="Z4488" i="1" s="1"/>
  <c r="U4488" i="1"/>
  <c r="T4488" i="1"/>
  <c r="W4488" i="1" s="1"/>
  <c r="S4488" i="1"/>
  <c r="R4488" i="1"/>
  <c r="Q4488" i="1"/>
  <c r="M4488" i="1"/>
  <c r="L4488" i="1"/>
  <c r="V4487" i="1"/>
  <c r="Z4487" i="1" s="1"/>
  <c r="U4487" i="1"/>
  <c r="T4487" i="1"/>
  <c r="W4487" i="1" s="1"/>
  <c r="S4487" i="1"/>
  <c r="R4487" i="1"/>
  <c r="Q4487" i="1"/>
  <c r="M4487" i="1"/>
  <c r="L4487" i="1"/>
  <c r="V4486" i="1"/>
  <c r="U4486" i="1"/>
  <c r="T4486" i="1"/>
  <c r="W4486" i="1" s="1"/>
  <c r="S4486" i="1"/>
  <c r="R4486" i="1"/>
  <c r="Q4486" i="1"/>
  <c r="M4486" i="1"/>
  <c r="L4486" i="1"/>
  <c r="V4485" i="1"/>
  <c r="Z4485" i="1" s="1"/>
  <c r="U4485" i="1"/>
  <c r="T4485" i="1"/>
  <c r="W4485" i="1" s="1"/>
  <c r="S4485" i="1"/>
  <c r="R4485" i="1"/>
  <c r="Q4485" i="1"/>
  <c r="M4485" i="1"/>
  <c r="L4485" i="1"/>
  <c r="V4484" i="1"/>
  <c r="Z4484" i="1" s="1"/>
  <c r="U4484" i="1"/>
  <c r="T4484" i="1"/>
  <c r="S4484" i="1"/>
  <c r="R4484" i="1"/>
  <c r="Q4484" i="1"/>
  <c r="M4484" i="1"/>
  <c r="L4484" i="1"/>
  <c r="V4483" i="1"/>
  <c r="U4483" i="1"/>
  <c r="T4483" i="1"/>
  <c r="W4483" i="1" s="1"/>
  <c r="S4483" i="1"/>
  <c r="R4483" i="1"/>
  <c r="Q4483" i="1"/>
  <c r="M4483" i="1"/>
  <c r="L4483" i="1"/>
  <c r="V4482" i="1"/>
  <c r="U4482" i="1"/>
  <c r="T4482" i="1"/>
  <c r="W4482" i="1" s="1"/>
  <c r="S4482" i="1"/>
  <c r="R4482" i="1"/>
  <c r="Q4482" i="1"/>
  <c r="M4482" i="1"/>
  <c r="L4482" i="1"/>
  <c r="V4481" i="1"/>
  <c r="Z4481" i="1" s="1"/>
  <c r="U4481" i="1"/>
  <c r="T4481" i="1"/>
  <c r="W4481" i="1" s="1"/>
  <c r="S4481" i="1"/>
  <c r="R4481" i="1"/>
  <c r="Q4481" i="1"/>
  <c r="M4481" i="1"/>
  <c r="L4481" i="1"/>
  <c r="V4480" i="1"/>
  <c r="Z4480" i="1" s="1"/>
  <c r="U4480" i="1"/>
  <c r="T4480" i="1"/>
  <c r="W4480" i="1" s="1"/>
  <c r="S4480" i="1"/>
  <c r="R4480" i="1"/>
  <c r="Q4480" i="1"/>
  <c r="M4480" i="1"/>
  <c r="L4480" i="1"/>
  <c r="V4479" i="1"/>
  <c r="Z4479" i="1" s="1"/>
  <c r="U4479" i="1"/>
  <c r="T4479" i="1"/>
  <c r="W4479" i="1" s="1"/>
  <c r="S4479" i="1"/>
  <c r="R4479" i="1"/>
  <c r="Q4479" i="1"/>
  <c r="M4479" i="1"/>
  <c r="L4479" i="1"/>
  <c r="V4478" i="1"/>
  <c r="U4478" i="1"/>
  <c r="T4478" i="1"/>
  <c r="W4478" i="1" s="1"/>
  <c r="S4478" i="1"/>
  <c r="R4478" i="1"/>
  <c r="Q4478" i="1"/>
  <c r="M4478" i="1"/>
  <c r="L4478" i="1"/>
  <c r="V4477" i="1"/>
  <c r="Z4477" i="1" s="1"/>
  <c r="U4477" i="1"/>
  <c r="T4477" i="1"/>
  <c r="W4477" i="1" s="1"/>
  <c r="S4477" i="1"/>
  <c r="R4477" i="1"/>
  <c r="Q4477" i="1"/>
  <c r="M4477" i="1"/>
  <c r="L4477" i="1"/>
  <c r="V4476" i="1"/>
  <c r="Z4476" i="1" s="1"/>
  <c r="U4476" i="1"/>
  <c r="T4476" i="1"/>
  <c r="S4476" i="1"/>
  <c r="R4476" i="1"/>
  <c r="Q4476" i="1"/>
  <c r="M4476" i="1"/>
  <c r="L4476" i="1"/>
  <c r="V4475" i="1"/>
  <c r="Z4475" i="1" s="1"/>
  <c r="U4475" i="1"/>
  <c r="T4475" i="1"/>
  <c r="W4475" i="1" s="1"/>
  <c r="S4475" i="1"/>
  <c r="R4475" i="1"/>
  <c r="Q4475" i="1"/>
  <c r="M4475" i="1"/>
  <c r="L4475" i="1"/>
  <c r="V4474" i="1"/>
  <c r="U4474" i="1"/>
  <c r="T4474" i="1"/>
  <c r="W4474" i="1" s="1"/>
  <c r="S4474" i="1"/>
  <c r="R4474" i="1"/>
  <c r="Q4474" i="1"/>
  <c r="M4474" i="1"/>
  <c r="L4474" i="1"/>
  <c r="V4473" i="1"/>
  <c r="Z4473" i="1" s="1"/>
  <c r="U4473" i="1"/>
  <c r="T4473" i="1"/>
  <c r="W4473" i="1" s="1"/>
  <c r="S4473" i="1"/>
  <c r="R4473" i="1"/>
  <c r="Q4473" i="1"/>
  <c r="M4473" i="1"/>
  <c r="L4473" i="1"/>
  <c r="V4472" i="1"/>
  <c r="Z4472" i="1" s="1"/>
  <c r="U4472" i="1"/>
  <c r="T4472" i="1"/>
  <c r="W4472" i="1" s="1"/>
  <c r="S4472" i="1"/>
  <c r="R4472" i="1"/>
  <c r="Q4472" i="1"/>
  <c r="M4472" i="1"/>
  <c r="L4472" i="1"/>
  <c r="V4471" i="1"/>
  <c r="Z4471" i="1" s="1"/>
  <c r="U4471" i="1"/>
  <c r="T4471" i="1"/>
  <c r="W4471" i="1" s="1"/>
  <c r="S4471" i="1"/>
  <c r="R4471" i="1"/>
  <c r="Q4471" i="1"/>
  <c r="M4471" i="1"/>
  <c r="L4471" i="1"/>
  <c r="V4470" i="1"/>
  <c r="U4470" i="1"/>
  <c r="T4470" i="1"/>
  <c r="W4470" i="1" s="1"/>
  <c r="S4470" i="1"/>
  <c r="R4470" i="1"/>
  <c r="Q4470" i="1"/>
  <c r="M4470" i="1"/>
  <c r="L4470" i="1"/>
  <c r="V4469" i="1"/>
  <c r="Z4469" i="1" s="1"/>
  <c r="U4469" i="1"/>
  <c r="T4469" i="1"/>
  <c r="W4469" i="1" s="1"/>
  <c r="S4469" i="1"/>
  <c r="R4469" i="1"/>
  <c r="Q4469" i="1"/>
  <c r="M4469" i="1"/>
  <c r="L4469" i="1"/>
  <c r="V4468" i="1"/>
  <c r="U4468" i="1"/>
  <c r="T4468" i="1"/>
  <c r="S4468" i="1"/>
  <c r="R4468" i="1"/>
  <c r="Q4468" i="1"/>
  <c r="M4468" i="1"/>
  <c r="L4468" i="1"/>
  <c r="V4467" i="1"/>
  <c r="U4467" i="1"/>
  <c r="T4467" i="1"/>
  <c r="W4467" i="1" s="1"/>
  <c r="S4467" i="1"/>
  <c r="R4467" i="1"/>
  <c r="Q4467" i="1"/>
  <c r="M4467" i="1"/>
  <c r="L4467" i="1"/>
  <c r="V4466" i="1"/>
  <c r="U4466" i="1"/>
  <c r="T4466" i="1"/>
  <c r="S4466" i="1"/>
  <c r="R4466" i="1"/>
  <c r="Q4466" i="1"/>
  <c r="M4466" i="1"/>
  <c r="L4466" i="1"/>
  <c r="V4465" i="1"/>
  <c r="Z4465" i="1" s="1"/>
  <c r="U4465" i="1"/>
  <c r="T4465" i="1"/>
  <c r="W4465" i="1" s="1"/>
  <c r="S4465" i="1"/>
  <c r="R4465" i="1"/>
  <c r="Q4465" i="1"/>
  <c r="M4465" i="1"/>
  <c r="L4465" i="1"/>
  <c r="V4464" i="1"/>
  <c r="Z4464" i="1" s="1"/>
  <c r="U4464" i="1"/>
  <c r="T4464" i="1"/>
  <c r="W4464" i="1" s="1"/>
  <c r="S4464" i="1"/>
  <c r="R4464" i="1"/>
  <c r="Q4464" i="1"/>
  <c r="M4464" i="1"/>
  <c r="L4464" i="1"/>
  <c r="V4463" i="1"/>
  <c r="Z4463" i="1" s="1"/>
  <c r="U4463" i="1"/>
  <c r="T4463" i="1"/>
  <c r="W4463" i="1" s="1"/>
  <c r="S4463" i="1"/>
  <c r="R4463" i="1"/>
  <c r="Q4463" i="1"/>
  <c r="M4463" i="1"/>
  <c r="L4463" i="1"/>
  <c r="V4462" i="1"/>
  <c r="U4462" i="1"/>
  <c r="T4462" i="1"/>
  <c r="W4462" i="1" s="1"/>
  <c r="S4462" i="1"/>
  <c r="R4462" i="1"/>
  <c r="Q4462" i="1"/>
  <c r="M4462" i="1"/>
  <c r="L4462" i="1"/>
  <c r="V4461" i="1"/>
  <c r="Z4461" i="1" s="1"/>
  <c r="U4461" i="1"/>
  <c r="T4461" i="1"/>
  <c r="W4461" i="1" s="1"/>
  <c r="S4461" i="1"/>
  <c r="R4461" i="1"/>
  <c r="Q4461" i="1"/>
  <c r="M4461" i="1"/>
  <c r="L4461" i="1"/>
  <c r="V4460" i="1"/>
  <c r="Z4460" i="1" s="1"/>
  <c r="U4460" i="1"/>
  <c r="T4460" i="1"/>
  <c r="W4460" i="1" s="1"/>
  <c r="S4460" i="1"/>
  <c r="R4460" i="1"/>
  <c r="Q4460" i="1"/>
  <c r="M4460" i="1"/>
  <c r="L4460" i="1"/>
  <c r="V4459" i="1"/>
  <c r="U4459" i="1"/>
  <c r="T4459" i="1"/>
  <c r="W4459" i="1" s="1"/>
  <c r="S4459" i="1"/>
  <c r="R4459" i="1"/>
  <c r="Q4459" i="1"/>
  <c r="M4459" i="1"/>
  <c r="L4459" i="1"/>
  <c r="V4458" i="1"/>
  <c r="U4458" i="1"/>
  <c r="T4458" i="1"/>
  <c r="W4458" i="1" s="1"/>
  <c r="S4458" i="1"/>
  <c r="R4458" i="1"/>
  <c r="Q4458" i="1"/>
  <c r="M4458" i="1"/>
  <c r="L4458" i="1"/>
  <c r="V4457" i="1"/>
  <c r="Z4457" i="1" s="1"/>
  <c r="U4457" i="1"/>
  <c r="T4457" i="1"/>
  <c r="W4457" i="1" s="1"/>
  <c r="S4457" i="1"/>
  <c r="R4457" i="1"/>
  <c r="Q4457" i="1"/>
  <c r="M4457" i="1"/>
  <c r="L4457" i="1"/>
  <c r="V4456" i="1"/>
  <c r="Z4456" i="1" s="1"/>
  <c r="U4456" i="1"/>
  <c r="T4456" i="1"/>
  <c r="W4456" i="1" s="1"/>
  <c r="S4456" i="1"/>
  <c r="R4456" i="1"/>
  <c r="Q4456" i="1"/>
  <c r="M4456" i="1"/>
  <c r="L4456" i="1"/>
  <c r="V4455" i="1"/>
  <c r="U4455" i="1"/>
  <c r="T4455" i="1"/>
  <c r="S4455" i="1"/>
  <c r="R4455" i="1"/>
  <c r="Q4455" i="1"/>
  <c r="M4455" i="1"/>
  <c r="L4455" i="1"/>
  <c r="V4454" i="1"/>
  <c r="U4454" i="1"/>
  <c r="T4454" i="1"/>
  <c r="W4454" i="1" s="1"/>
  <c r="S4454" i="1"/>
  <c r="R4454" i="1"/>
  <c r="Q4454" i="1"/>
  <c r="M4454" i="1"/>
  <c r="L4454" i="1"/>
  <c r="V4453" i="1"/>
  <c r="Z4453" i="1" s="1"/>
  <c r="U4453" i="1"/>
  <c r="T4453" i="1"/>
  <c r="S4453" i="1"/>
  <c r="R4453" i="1"/>
  <c r="Q4453" i="1"/>
  <c r="M4453" i="1"/>
  <c r="L4453" i="1"/>
  <c r="V4452" i="1"/>
  <c r="U4452" i="1"/>
  <c r="T4452" i="1"/>
  <c r="S4452" i="1"/>
  <c r="R4452" i="1"/>
  <c r="Q4452" i="1"/>
  <c r="M4452" i="1"/>
  <c r="L4452" i="1"/>
  <c r="V4451" i="1"/>
  <c r="Z4451" i="1" s="1"/>
  <c r="U4451" i="1"/>
  <c r="T4451" i="1"/>
  <c r="W4451" i="1" s="1"/>
  <c r="S4451" i="1"/>
  <c r="R4451" i="1"/>
  <c r="Q4451" i="1"/>
  <c r="M4451" i="1"/>
  <c r="L4451" i="1"/>
  <c r="V4450" i="1"/>
  <c r="U4450" i="1"/>
  <c r="T4450" i="1"/>
  <c r="W4450" i="1" s="1"/>
  <c r="S4450" i="1"/>
  <c r="R4450" i="1"/>
  <c r="Q4450" i="1"/>
  <c r="M4450" i="1"/>
  <c r="L4450" i="1"/>
  <c r="V4449" i="1"/>
  <c r="Z4449" i="1" s="1"/>
  <c r="U4449" i="1"/>
  <c r="T4449" i="1"/>
  <c r="W4449" i="1" s="1"/>
  <c r="S4449" i="1"/>
  <c r="R4449" i="1"/>
  <c r="Q4449" i="1"/>
  <c r="M4449" i="1"/>
  <c r="L4449" i="1"/>
  <c r="V4448" i="1"/>
  <c r="Z4448" i="1" s="1"/>
  <c r="U4448" i="1"/>
  <c r="T4448" i="1"/>
  <c r="S4448" i="1"/>
  <c r="R4448" i="1"/>
  <c r="Q4448" i="1"/>
  <c r="M4448" i="1"/>
  <c r="L4448" i="1"/>
  <c r="V4447" i="1"/>
  <c r="Z4447" i="1" s="1"/>
  <c r="U4447" i="1"/>
  <c r="T4447" i="1"/>
  <c r="W4447" i="1" s="1"/>
  <c r="S4447" i="1"/>
  <c r="R4447" i="1"/>
  <c r="Q4447" i="1"/>
  <c r="M4447" i="1"/>
  <c r="L4447" i="1"/>
  <c r="V4446" i="1"/>
  <c r="U4446" i="1"/>
  <c r="T4446" i="1"/>
  <c r="W4446" i="1" s="1"/>
  <c r="S4446" i="1"/>
  <c r="R4446" i="1"/>
  <c r="Q4446" i="1"/>
  <c r="M4446" i="1"/>
  <c r="L4446" i="1"/>
  <c r="V4445" i="1"/>
  <c r="Z4445" i="1" s="1"/>
  <c r="U4445" i="1"/>
  <c r="T4445" i="1"/>
  <c r="S4445" i="1"/>
  <c r="R4445" i="1"/>
  <c r="Q4445" i="1"/>
  <c r="M4445" i="1"/>
  <c r="L4445" i="1"/>
  <c r="V4444" i="1"/>
  <c r="Z4444" i="1" s="1"/>
  <c r="U4444" i="1"/>
  <c r="T4444" i="1"/>
  <c r="W4444" i="1" s="1"/>
  <c r="S4444" i="1"/>
  <c r="R4444" i="1"/>
  <c r="Q4444" i="1"/>
  <c r="M4444" i="1"/>
  <c r="L4444" i="1"/>
  <c r="V4443" i="1"/>
  <c r="Z4443" i="1" s="1"/>
  <c r="U4443" i="1"/>
  <c r="T4443" i="1"/>
  <c r="S4443" i="1"/>
  <c r="R4443" i="1"/>
  <c r="Q4443" i="1"/>
  <c r="M4443" i="1"/>
  <c r="L4443" i="1"/>
  <c r="V4442" i="1"/>
  <c r="U4442" i="1"/>
  <c r="T4442" i="1"/>
  <c r="W4442" i="1" s="1"/>
  <c r="S4442" i="1"/>
  <c r="R4442" i="1"/>
  <c r="Q4442" i="1"/>
  <c r="M4442" i="1"/>
  <c r="L4442" i="1"/>
  <c r="V4441" i="1"/>
  <c r="Z4441" i="1" s="1"/>
  <c r="U4441" i="1"/>
  <c r="T4441" i="1"/>
  <c r="S4441" i="1"/>
  <c r="R4441" i="1"/>
  <c r="Q4441" i="1"/>
  <c r="M4441" i="1"/>
  <c r="L4441" i="1"/>
  <c r="V4440" i="1"/>
  <c r="Z4440" i="1" s="1"/>
  <c r="U4440" i="1"/>
  <c r="T4440" i="1"/>
  <c r="W4440" i="1" s="1"/>
  <c r="S4440" i="1"/>
  <c r="R4440" i="1"/>
  <c r="Q4440" i="1"/>
  <c r="M4440" i="1"/>
  <c r="L4440" i="1"/>
  <c r="V4439" i="1"/>
  <c r="Z4439" i="1" s="1"/>
  <c r="U4439" i="1"/>
  <c r="T4439" i="1"/>
  <c r="W4439" i="1" s="1"/>
  <c r="S4439" i="1"/>
  <c r="R4439" i="1"/>
  <c r="Q4439" i="1"/>
  <c r="M4439" i="1"/>
  <c r="L4439" i="1"/>
  <c r="V4438" i="1"/>
  <c r="U4438" i="1"/>
  <c r="T4438" i="1"/>
  <c r="W4438" i="1" s="1"/>
  <c r="S4438" i="1"/>
  <c r="R4438" i="1"/>
  <c r="Q4438" i="1"/>
  <c r="M4438" i="1"/>
  <c r="L4438" i="1"/>
  <c r="V4437" i="1"/>
  <c r="Z4437" i="1" s="1"/>
  <c r="U4437" i="1"/>
  <c r="T4437" i="1"/>
  <c r="W4437" i="1" s="1"/>
  <c r="S4437" i="1"/>
  <c r="R4437" i="1"/>
  <c r="Q4437" i="1"/>
  <c r="M4437" i="1"/>
  <c r="L4437" i="1"/>
  <c r="V4436" i="1"/>
  <c r="Z4436" i="1" s="1"/>
  <c r="U4436" i="1"/>
  <c r="T4436" i="1"/>
  <c r="W4436" i="1" s="1"/>
  <c r="S4436" i="1"/>
  <c r="R4436" i="1"/>
  <c r="Q4436" i="1"/>
  <c r="M4436" i="1"/>
  <c r="L4436" i="1"/>
  <c r="V4435" i="1"/>
  <c r="Z4435" i="1" s="1"/>
  <c r="U4435" i="1"/>
  <c r="T4435" i="1"/>
  <c r="W4435" i="1" s="1"/>
  <c r="S4435" i="1"/>
  <c r="R4435" i="1"/>
  <c r="Q4435" i="1"/>
  <c r="M4435" i="1"/>
  <c r="L4435" i="1"/>
  <c r="V4434" i="1"/>
  <c r="U4434" i="1"/>
  <c r="T4434" i="1"/>
  <c r="S4434" i="1"/>
  <c r="R4434" i="1"/>
  <c r="Q4434" i="1"/>
  <c r="M4434" i="1"/>
  <c r="L4434" i="1"/>
  <c r="V4433" i="1"/>
  <c r="Z4433" i="1" s="1"/>
  <c r="U4433" i="1"/>
  <c r="T4433" i="1"/>
  <c r="W4433" i="1" s="1"/>
  <c r="S4433" i="1"/>
  <c r="R4433" i="1"/>
  <c r="Q4433" i="1"/>
  <c r="M4433" i="1"/>
  <c r="L4433" i="1"/>
  <c r="V4432" i="1"/>
  <c r="Z4432" i="1" s="1"/>
  <c r="U4432" i="1"/>
  <c r="T4432" i="1"/>
  <c r="W4432" i="1" s="1"/>
  <c r="S4432" i="1"/>
  <c r="R4432" i="1"/>
  <c r="Q4432" i="1"/>
  <c r="M4432" i="1"/>
  <c r="L4432" i="1"/>
  <c r="V4431" i="1"/>
  <c r="Z4431" i="1" s="1"/>
  <c r="U4431" i="1"/>
  <c r="T4431" i="1"/>
  <c r="W4431" i="1" s="1"/>
  <c r="S4431" i="1"/>
  <c r="R4431" i="1"/>
  <c r="Q4431" i="1"/>
  <c r="M4431" i="1"/>
  <c r="L4431" i="1"/>
  <c r="V4430" i="1"/>
  <c r="U4430" i="1"/>
  <c r="T4430" i="1"/>
  <c r="W4430" i="1" s="1"/>
  <c r="S4430" i="1"/>
  <c r="R4430" i="1"/>
  <c r="Q4430" i="1"/>
  <c r="M4430" i="1"/>
  <c r="L4430" i="1"/>
  <c r="V4429" i="1"/>
  <c r="Z4429" i="1" s="1"/>
  <c r="U4429" i="1"/>
  <c r="T4429" i="1"/>
  <c r="W4429" i="1" s="1"/>
  <c r="S4429" i="1"/>
  <c r="R4429" i="1"/>
  <c r="Q4429" i="1"/>
  <c r="M4429" i="1"/>
  <c r="L4429" i="1"/>
  <c r="V4428" i="1"/>
  <c r="Z4428" i="1" s="1"/>
  <c r="U4428" i="1"/>
  <c r="T4428" i="1"/>
  <c r="W4428" i="1" s="1"/>
  <c r="S4428" i="1"/>
  <c r="R4428" i="1"/>
  <c r="Q4428" i="1"/>
  <c r="M4428" i="1"/>
  <c r="L4428" i="1"/>
  <c r="V4427" i="1"/>
  <c r="U4427" i="1"/>
  <c r="T4427" i="1"/>
  <c r="W4427" i="1" s="1"/>
  <c r="S4427" i="1"/>
  <c r="R4427" i="1"/>
  <c r="Q4427" i="1"/>
  <c r="M4427" i="1"/>
  <c r="L4427" i="1"/>
  <c r="V4426" i="1"/>
  <c r="U4426" i="1"/>
  <c r="T4426" i="1"/>
  <c r="W4426" i="1" s="1"/>
  <c r="S4426" i="1"/>
  <c r="R4426" i="1"/>
  <c r="Q4426" i="1"/>
  <c r="M4426" i="1"/>
  <c r="L4426" i="1"/>
  <c r="V4425" i="1"/>
  <c r="Z4425" i="1" s="1"/>
  <c r="U4425" i="1"/>
  <c r="T4425" i="1"/>
  <c r="W4425" i="1" s="1"/>
  <c r="S4425" i="1"/>
  <c r="R4425" i="1"/>
  <c r="Q4425" i="1"/>
  <c r="M4425" i="1"/>
  <c r="L4425" i="1"/>
  <c r="V4424" i="1"/>
  <c r="Z4424" i="1" s="1"/>
  <c r="U4424" i="1"/>
  <c r="T4424" i="1"/>
  <c r="W4424" i="1" s="1"/>
  <c r="S4424" i="1"/>
  <c r="R4424" i="1"/>
  <c r="Q4424" i="1"/>
  <c r="M4424" i="1"/>
  <c r="L4424" i="1"/>
  <c r="V4423" i="1"/>
  <c r="U4423" i="1"/>
  <c r="T4423" i="1"/>
  <c r="S4423" i="1"/>
  <c r="R4423" i="1"/>
  <c r="Q4423" i="1"/>
  <c r="M4423" i="1"/>
  <c r="L4423" i="1"/>
  <c r="V4422" i="1"/>
  <c r="U4422" i="1"/>
  <c r="T4422" i="1"/>
  <c r="W4422" i="1" s="1"/>
  <c r="S4422" i="1"/>
  <c r="R4422" i="1"/>
  <c r="Q4422" i="1"/>
  <c r="M4422" i="1"/>
  <c r="L4422" i="1"/>
  <c r="V4421" i="1"/>
  <c r="Z4421" i="1" s="1"/>
  <c r="U4421" i="1"/>
  <c r="T4421" i="1"/>
  <c r="S4421" i="1"/>
  <c r="R4421" i="1"/>
  <c r="Q4421" i="1"/>
  <c r="M4421" i="1"/>
  <c r="L4421" i="1"/>
  <c r="V4420" i="1"/>
  <c r="U4420" i="1"/>
  <c r="T4420" i="1"/>
  <c r="S4420" i="1"/>
  <c r="R4420" i="1"/>
  <c r="Q4420" i="1"/>
  <c r="M4420" i="1"/>
  <c r="L4420" i="1"/>
  <c r="V4419" i="1"/>
  <c r="Z4419" i="1" s="1"/>
  <c r="U4419" i="1"/>
  <c r="T4419" i="1"/>
  <c r="W4419" i="1" s="1"/>
  <c r="S4419" i="1"/>
  <c r="R4419" i="1"/>
  <c r="Q4419" i="1"/>
  <c r="M4419" i="1"/>
  <c r="L4419" i="1"/>
  <c r="V4418" i="1"/>
  <c r="U4418" i="1"/>
  <c r="T4418" i="1"/>
  <c r="W4418" i="1" s="1"/>
  <c r="S4418" i="1"/>
  <c r="R4418" i="1"/>
  <c r="Q4418" i="1"/>
  <c r="M4418" i="1"/>
  <c r="L4418" i="1"/>
  <c r="V4417" i="1"/>
  <c r="Z4417" i="1" s="1"/>
  <c r="U4417" i="1"/>
  <c r="T4417" i="1"/>
  <c r="S4417" i="1"/>
  <c r="R4417" i="1"/>
  <c r="Q4417" i="1"/>
  <c r="M4417" i="1"/>
  <c r="L4417" i="1"/>
  <c r="V4416" i="1"/>
  <c r="Z4416" i="1" s="1"/>
  <c r="U4416" i="1"/>
  <c r="T4416" i="1"/>
  <c r="S4416" i="1"/>
  <c r="R4416" i="1"/>
  <c r="Q4416" i="1"/>
  <c r="M4416" i="1"/>
  <c r="L4416" i="1"/>
  <c r="V4415" i="1"/>
  <c r="Z4415" i="1" s="1"/>
  <c r="U4415" i="1"/>
  <c r="T4415" i="1"/>
  <c r="W4415" i="1" s="1"/>
  <c r="S4415" i="1"/>
  <c r="R4415" i="1"/>
  <c r="Q4415" i="1"/>
  <c r="M4415" i="1"/>
  <c r="L4415" i="1"/>
  <c r="V4414" i="1"/>
  <c r="Z4414" i="1" s="1"/>
  <c r="U4414" i="1"/>
  <c r="T4414" i="1"/>
  <c r="W4414" i="1" s="1"/>
  <c r="S4414" i="1"/>
  <c r="R4414" i="1"/>
  <c r="Q4414" i="1"/>
  <c r="M4414" i="1"/>
  <c r="L4414" i="1"/>
  <c r="V4413" i="1"/>
  <c r="U4413" i="1"/>
  <c r="T4413" i="1"/>
  <c r="W4413" i="1" s="1"/>
  <c r="S4413" i="1"/>
  <c r="R4413" i="1"/>
  <c r="Q4413" i="1"/>
  <c r="M4413" i="1"/>
  <c r="L4413" i="1"/>
  <c r="V4412" i="1"/>
  <c r="U4412" i="1"/>
  <c r="T4412" i="1"/>
  <c r="S4412" i="1"/>
  <c r="R4412" i="1"/>
  <c r="Q4412" i="1"/>
  <c r="M4412" i="1"/>
  <c r="L4412" i="1"/>
  <c r="V4411" i="1"/>
  <c r="Z4411" i="1" s="1"/>
  <c r="U4411" i="1"/>
  <c r="T4411" i="1"/>
  <c r="W4411" i="1" s="1"/>
  <c r="S4411" i="1"/>
  <c r="R4411" i="1"/>
  <c r="Q4411" i="1"/>
  <c r="M4411" i="1"/>
  <c r="L4411" i="1"/>
  <c r="V4410" i="1"/>
  <c r="U4410" i="1"/>
  <c r="T4410" i="1"/>
  <c r="W4410" i="1" s="1"/>
  <c r="S4410" i="1"/>
  <c r="R4410" i="1"/>
  <c r="Q4410" i="1"/>
  <c r="M4410" i="1"/>
  <c r="L4410" i="1"/>
  <c r="V4409" i="1"/>
  <c r="Z4409" i="1" s="1"/>
  <c r="U4409" i="1"/>
  <c r="T4409" i="1"/>
  <c r="W4409" i="1" s="1"/>
  <c r="S4409" i="1"/>
  <c r="R4409" i="1"/>
  <c r="Q4409" i="1"/>
  <c r="M4409" i="1"/>
  <c r="L4409" i="1"/>
  <c r="V4408" i="1"/>
  <c r="U4408" i="1"/>
  <c r="T4408" i="1"/>
  <c r="S4408" i="1"/>
  <c r="R4408" i="1"/>
  <c r="Q4408" i="1"/>
  <c r="M4408" i="1"/>
  <c r="L4408" i="1"/>
  <c r="V4407" i="1"/>
  <c r="U4407" i="1"/>
  <c r="T4407" i="1"/>
  <c r="W4407" i="1" s="1"/>
  <c r="S4407" i="1"/>
  <c r="R4407" i="1"/>
  <c r="Q4407" i="1"/>
  <c r="M4407" i="1"/>
  <c r="L4407" i="1"/>
  <c r="V4406" i="1"/>
  <c r="Z4406" i="1" s="1"/>
  <c r="U4406" i="1"/>
  <c r="T4406" i="1"/>
  <c r="W4406" i="1" s="1"/>
  <c r="S4406" i="1"/>
  <c r="R4406" i="1"/>
  <c r="Q4406" i="1"/>
  <c r="M4406" i="1"/>
  <c r="L4406" i="1"/>
  <c r="V4405" i="1"/>
  <c r="Z4405" i="1" s="1"/>
  <c r="U4405" i="1"/>
  <c r="T4405" i="1"/>
  <c r="W4405" i="1" s="1"/>
  <c r="S4405" i="1"/>
  <c r="R4405" i="1"/>
  <c r="Q4405" i="1"/>
  <c r="M4405" i="1"/>
  <c r="L4405" i="1"/>
  <c r="V4404" i="1"/>
  <c r="Z4404" i="1" s="1"/>
  <c r="U4404" i="1"/>
  <c r="T4404" i="1"/>
  <c r="S4404" i="1"/>
  <c r="R4404" i="1"/>
  <c r="Q4404" i="1"/>
  <c r="M4404" i="1"/>
  <c r="L4404" i="1"/>
  <c r="V4403" i="1"/>
  <c r="Z4403" i="1" s="1"/>
  <c r="U4403" i="1"/>
  <c r="T4403" i="1"/>
  <c r="W4403" i="1" s="1"/>
  <c r="S4403" i="1"/>
  <c r="R4403" i="1"/>
  <c r="Q4403" i="1"/>
  <c r="M4403" i="1"/>
  <c r="L4403" i="1"/>
  <c r="V4402" i="1"/>
  <c r="Z4402" i="1" s="1"/>
  <c r="U4402" i="1"/>
  <c r="T4402" i="1"/>
  <c r="W4402" i="1" s="1"/>
  <c r="S4402" i="1"/>
  <c r="R4402" i="1"/>
  <c r="Q4402" i="1"/>
  <c r="M4402" i="1"/>
  <c r="L4402" i="1"/>
  <c r="V4401" i="1"/>
  <c r="Z4401" i="1" s="1"/>
  <c r="U4401" i="1"/>
  <c r="T4401" i="1"/>
  <c r="W4401" i="1" s="1"/>
  <c r="S4401" i="1"/>
  <c r="R4401" i="1"/>
  <c r="Q4401" i="1"/>
  <c r="M4401" i="1"/>
  <c r="L4401" i="1"/>
  <c r="V4400" i="1"/>
  <c r="Z4400" i="1" s="1"/>
  <c r="U4400" i="1"/>
  <c r="T4400" i="1"/>
  <c r="S4400" i="1"/>
  <c r="R4400" i="1"/>
  <c r="Q4400" i="1"/>
  <c r="M4400" i="1"/>
  <c r="L4400" i="1"/>
  <c r="V4399" i="1"/>
  <c r="Z4399" i="1" s="1"/>
  <c r="U4399" i="1"/>
  <c r="T4399" i="1"/>
  <c r="W4399" i="1" s="1"/>
  <c r="S4399" i="1"/>
  <c r="R4399" i="1"/>
  <c r="Q4399" i="1"/>
  <c r="M4399" i="1"/>
  <c r="L4399" i="1"/>
  <c r="V4398" i="1"/>
  <c r="Z4398" i="1" s="1"/>
  <c r="U4398" i="1"/>
  <c r="T4398" i="1"/>
  <c r="W4398" i="1" s="1"/>
  <c r="S4398" i="1"/>
  <c r="R4398" i="1"/>
  <c r="Q4398" i="1"/>
  <c r="M4398" i="1"/>
  <c r="L4398" i="1"/>
  <c r="V4397" i="1"/>
  <c r="Z4397" i="1" s="1"/>
  <c r="U4397" i="1"/>
  <c r="T4397" i="1"/>
  <c r="S4397" i="1"/>
  <c r="R4397" i="1"/>
  <c r="Q4397" i="1"/>
  <c r="M4397" i="1"/>
  <c r="L4397" i="1"/>
  <c r="V4396" i="1"/>
  <c r="Z4396" i="1" s="1"/>
  <c r="U4396" i="1"/>
  <c r="T4396" i="1"/>
  <c r="S4396" i="1"/>
  <c r="R4396" i="1"/>
  <c r="Q4396" i="1"/>
  <c r="M4396" i="1"/>
  <c r="L4396" i="1"/>
  <c r="V4395" i="1"/>
  <c r="Z4395" i="1" s="1"/>
  <c r="U4395" i="1"/>
  <c r="T4395" i="1"/>
  <c r="W4395" i="1" s="1"/>
  <c r="S4395" i="1"/>
  <c r="R4395" i="1"/>
  <c r="Q4395" i="1"/>
  <c r="M4395" i="1"/>
  <c r="L4395" i="1"/>
  <c r="V4394" i="1"/>
  <c r="Z4394" i="1" s="1"/>
  <c r="U4394" i="1"/>
  <c r="T4394" i="1"/>
  <c r="W4394" i="1" s="1"/>
  <c r="S4394" i="1"/>
  <c r="R4394" i="1"/>
  <c r="Q4394" i="1"/>
  <c r="M4394" i="1"/>
  <c r="L4394" i="1"/>
  <c r="V4393" i="1"/>
  <c r="U4393" i="1"/>
  <c r="T4393" i="1"/>
  <c r="S4393" i="1"/>
  <c r="R4393" i="1"/>
  <c r="Q4393" i="1"/>
  <c r="M4393" i="1"/>
  <c r="L4393" i="1"/>
  <c r="V4392" i="1"/>
  <c r="Z4392" i="1" s="1"/>
  <c r="U4392" i="1"/>
  <c r="T4392" i="1"/>
  <c r="S4392" i="1"/>
  <c r="R4392" i="1"/>
  <c r="Q4392" i="1"/>
  <c r="M4392" i="1"/>
  <c r="L4392" i="1"/>
  <c r="V4391" i="1"/>
  <c r="Z4391" i="1" s="1"/>
  <c r="U4391" i="1"/>
  <c r="T4391" i="1"/>
  <c r="W4391" i="1" s="1"/>
  <c r="S4391" i="1"/>
  <c r="R4391" i="1"/>
  <c r="Q4391" i="1"/>
  <c r="M4391" i="1"/>
  <c r="L4391" i="1"/>
  <c r="V4390" i="1"/>
  <c r="U4390" i="1"/>
  <c r="T4390" i="1"/>
  <c r="W4390" i="1" s="1"/>
  <c r="S4390" i="1"/>
  <c r="R4390" i="1"/>
  <c r="Q4390" i="1"/>
  <c r="M4390" i="1"/>
  <c r="L4390" i="1"/>
  <c r="V4389" i="1"/>
  <c r="U4389" i="1"/>
  <c r="T4389" i="1"/>
  <c r="W4389" i="1" s="1"/>
  <c r="S4389" i="1"/>
  <c r="R4389" i="1"/>
  <c r="Q4389" i="1"/>
  <c r="M4389" i="1"/>
  <c r="L4389" i="1"/>
  <c r="V4388" i="1"/>
  <c r="Z4388" i="1" s="1"/>
  <c r="U4388" i="1"/>
  <c r="T4388" i="1"/>
  <c r="S4388" i="1"/>
  <c r="R4388" i="1"/>
  <c r="Q4388" i="1"/>
  <c r="M4388" i="1"/>
  <c r="L4388" i="1"/>
  <c r="V4387" i="1"/>
  <c r="U4387" i="1"/>
  <c r="T4387" i="1"/>
  <c r="W4387" i="1" s="1"/>
  <c r="S4387" i="1"/>
  <c r="R4387" i="1"/>
  <c r="Q4387" i="1"/>
  <c r="M4387" i="1"/>
  <c r="L4387" i="1"/>
  <c r="V4386" i="1"/>
  <c r="U4386" i="1"/>
  <c r="T4386" i="1"/>
  <c r="W4386" i="1" s="1"/>
  <c r="S4386" i="1"/>
  <c r="R4386" i="1"/>
  <c r="Q4386" i="1"/>
  <c r="M4386" i="1"/>
  <c r="L4386" i="1"/>
  <c r="V4385" i="1"/>
  <c r="Z4385" i="1" s="1"/>
  <c r="U4385" i="1"/>
  <c r="T4385" i="1"/>
  <c r="W4385" i="1" s="1"/>
  <c r="S4385" i="1"/>
  <c r="R4385" i="1"/>
  <c r="Q4385" i="1"/>
  <c r="M4385" i="1"/>
  <c r="L4385" i="1"/>
  <c r="V4384" i="1"/>
  <c r="U4384" i="1"/>
  <c r="T4384" i="1"/>
  <c r="S4384" i="1"/>
  <c r="R4384" i="1"/>
  <c r="Q4384" i="1"/>
  <c r="M4384" i="1"/>
  <c r="L4384" i="1"/>
  <c r="V4383" i="1"/>
  <c r="Z4383" i="1" s="1"/>
  <c r="U4383" i="1"/>
  <c r="T4383" i="1"/>
  <c r="W4383" i="1" s="1"/>
  <c r="S4383" i="1"/>
  <c r="R4383" i="1"/>
  <c r="Q4383" i="1"/>
  <c r="M4383" i="1"/>
  <c r="L4383" i="1"/>
  <c r="V4382" i="1"/>
  <c r="Z4382" i="1" s="1"/>
  <c r="U4382" i="1"/>
  <c r="T4382" i="1"/>
  <c r="W4382" i="1" s="1"/>
  <c r="S4382" i="1"/>
  <c r="R4382" i="1"/>
  <c r="Q4382" i="1"/>
  <c r="M4382" i="1"/>
  <c r="L4382" i="1"/>
  <c r="V4381" i="1"/>
  <c r="Z4381" i="1" s="1"/>
  <c r="U4381" i="1"/>
  <c r="T4381" i="1"/>
  <c r="W4381" i="1" s="1"/>
  <c r="S4381" i="1"/>
  <c r="R4381" i="1"/>
  <c r="Q4381" i="1"/>
  <c r="M4381" i="1"/>
  <c r="L4381" i="1"/>
  <c r="V4380" i="1"/>
  <c r="Z4380" i="1" s="1"/>
  <c r="U4380" i="1"/>
  <c r="T4380" i="1"/>
  <c r="S4380" i="1"/>
  <c r="R4380" i="1"/>
  <c r="Q4380" i="1"/>
  <c r="M4380" i="1"/>
  <c r="L4380" i="1"/>
  <c r="V4379" i="1"/>
  <c r="Z4379" i="1" s="1"/>
  <c r="U4379" i="1"/>
  <c r="T4379" i="1"/>
  <c r="W4379" i="1" s="1"/>
  <c r="S4379" i="1"/>
  <c r="R4379" i="1"/>
  <c r="Q4379" i="1"/>
  <c r="M4379" i="1"/>
  <c r="L4379" i="1"/>
  <c r="V4378" i="1"/>
  <c r="Z4378" i="1" s="1"/>
  <c r="U4378" i="1"/>
  <c r="T4378" i="1"/>
  <c r="W4378" i="1" s="1"/>
  <c r="S4378" i="1"/>
  <c r="R4378" i="1"/>
  <c r="Q4378" i="1"/>
  <c r="M4378" i="1"/>
  <c r="L4378" i="1"/>
  <c r="V4377" i="1"/>
  <c r="Z4377" i="1" s="1"/>
  <c r="U4377" i="1"/>
  <c r="T4377" i="1"/>
  <c r="W4377" i="1" s="1"/>
  <c r="S4377" i="1"/>
  <c r="R4377" i="1"/>
  <c r="Q4377" i="1"/>
  <c r="M4377" i="1"/>
  <c r="L4377" i="1"/>
  <c r="V4376" i="1"/>
  <c r="Z4376" i="1" s="1"/>
  <c r="U4376" i="1"/>
  <c r="T4376" i="1"/>
  <c r="S4376" i="1"/>
  <c r="R4376" i="1"/>
  <c r="Q4376" i="1"/>
  <c r="M4376" i="1"/>
  <c r="L4376" i="1"/>
  <c r="V4375" i="1"/>
  <c r="Z4375" i="1" s="1"/>
  <c r="U4375" i="1"/>
  <c r="T4375" i="1"/>
  <c r="W4375" i="1" s="1"/>
  <c r="S4375" i="1"/>
  <c r="R4375" i="1"/>
  <c r="Q4375" i="1"/>
  <c r="M4375" i="1"/>
  <c r="L4375" i="1"/>
  <c r="V4374" i="1"/>
  <c r="Z4374" i="1" s="1"/>
  <c r="U4374" i="1"/>
  <c r="T4374" i="1"/>
  <c r="W4374" i="1" s="1"/>
  <c r="S4374" i="1"/>
  <c r="R4374" i="1"/>
  <c r="Q4374" i="1"/>
  <c r="M4374" i="1"/>
  <c r="L4374" i="1"/>
  <c r="V4373" i="1"/>
  <c r="Z4373" i="1" s="1"/>
  <c r="U4373" i="1"/>
  <c r="T4373" i="1"/>
  <c r="W4373" i="1" s="1"/>
  <c r="S4373" i="1"/>
  <c r="R4373" i="1"/>
  <c r="Q4373" i="1"/>
  <c r="M4373" i="1"/>
  <c r="L4373" i="1"/>
  <c r="V4372" i="1"/>
  <c r="Z4372" i="1" s="1"/>
  <c r="U4372" i="1"/>
  <c r="T4372" i="1"/>
  <c r="S4372" i="1"/>
  <c r="R4372" i="1"/>
  <c r="Q4372" i="1"/>
  <c r="M4372" i="1"/>
  <c r="L4372" i="1"/>
  <c r="V4371" i="1"/>
  <c r="Z4371" i="1" s="1"/>
  <c r="U4371" i="1"/>
  <c r="T4371" i="1"/>
  <c r="W4371" i="1" s="1"/>
  <c r="S4371" i="1"/>
  <c r="R4371" i="1"/>
  <c r="Q4371" i="1"/>
  <c r="M4371" i="1"/>
  <c r="L4371" i="1"/>
  <c r="V4370" i="1"/>
  <c r="Z4370" i="1" s="1"/>
  <c r="U4370" i="1"/>
  <c r="T4370" i="1"/>
  <c r="W4370" i="1" s="1"/>
  <c r="S4370" i="1"/>
  <c r="R4370" i="1"/>
  <c r="Q4370" i="1"/>
  <c r="M4370" i="1"/>
  <c r="L4370" i="1"/>
  <c r="V4369" i="1"/>
  <c r="Z4369" i="1" s="1"/>
  <c r="U4369" i="1"/>
  <c r="T4369" i="1"/>
  <c r="W4369" i="1" s="1"/>
  <c r="S4369" i="1"/>
  <c r="R4369" i="1"/>
  <c r="Q4369" i="1"/>
  <c r="M4369" i="1"/>
  <c r="L4369" i="1"/>
  <c r="V4368" i="1"/>
  <c r="U4368" i="1"/>
  <c r="T4368" i="1"/>
  <c r="S4368" i="1"/>
  <c r="R4368" i="1"/>
  <c r="Q4368" i="1"/>
  <c r="M4368" i="1"/>
  <c r="L4368" i="1"/>
  <c r="V4367" i="1"/>
  <c r="U4367" i="1"/>
  <c r="T4367" i="1"/>
  <c r="W4367" i="1" s="1"/>
  <c r="S4367" i="1"/>
  <c r="R4367" i="1"/>
  <c r="Q4367" i="1"/>
  <c r="M4367" i="1"/>
  <c r="L4367" i="1"/>
  <c r="V4366" i="1"/>
  <c r="Z4366" i="1" s="1"/>
  <c r="U4366" i="1"/>
  <c r="T4366" i="1"/>
  <c r="W4366" i="1" s="1"/>
  <c r="S4366" i="1"/>
  <c r="R4366" i="1"/>
  <c r="Q4366" i="1"/>
  <c r="M4366" i="1"/>
  <c r="L4366" i="1"/>
  <c r="V4365" i="1"/>
  <c r="U4365" i="1"/>
  <c r="T4365" i="1"/>
  <c r="S4365" i="1"/>
  <c r="R4365" i="1"/>
  <c r="Q4365" i="1"/>
  <c r="M4365" i="1"/>
  <c r="L4365" i="1"/>
  <c r="V4364" i="1"/>
  <c r="Z4364" i="1" s="1"/>
  <c r="U4364" i="1"/>
  <c r="T4364" i="1"/>
  <c r="S4364" i="1"/>
  <c r="R4364" i="1"/>
  <c r="Q4364" i="1"/>
  <c r="M4364" i="1"/>
  <c r="L4364" i="1"/>
  <c r="V4363" i="1"/>
  <c r="Z4363" i="1" s="1"/>
  <c r="U4363" i="1"/>
  <c r="T4363" i="1"/>
  <c r="W4363" i="1" s="1"/>
  <c r="S4363" i="1"/>
  <c r="R4363" i="1"/>
  <c r="Q4363" i="1"/>
  <c r="M4363" i="1"/>
  <c r="L4363" i="1"/>
  <c r="V4362" i="1"/>
  <c r="U4362" i="1"/>
  <c r="T4362" i="1"/>
  <c r="W4362" i="1" s="1"/>
  <c r="S4362" i="1"/>
  <c r="R4362" i="1"/>
  <c r="Q4362" i="1"/>
  <c r="M4362" i="1"/>
  <c r="L4362" i="1"/>
  <c r="V4361" i="1"/>
  <c r="Z4361" i="1" s="1"/>
  <c r="U4361" i="1"/>
  <c r="T4361" i="1"/>
  <c r="W4361" i="1" s="1"/>
  <c r="S4361" i="1"/>
  <c r="R4361" i="1"/>
  <c r="Q4361" i="1"/>
  <c r="M4361" i="1"/>
  <c r="L4361" i="1"/>
  <c r="V4360" i="1"/>
  <c r="Z4360" i="1" s="1"/>
  <c r="U4360" i="1"/>
  <c r="T4360" i="1"/>
  <c r="S4360" i="1"/>
  <c r="R4360" i="1"/>
  <c r="Q4360" i="1"/>
  <c r="M4360" i="1"/>
  <c r="L4360" i="1"/>
  <c r="V4359" i="1"/>
  <c r="Z4359" i="1" s="1"/>
  <c r="U4359" i="1"/>
  <c r="T4359" i="1"/>
  <c r="W4359" i="1" s="1"/>
  <c r="S4359" i="1"/>
  <c r="R4359" i="1"/>
  <c r="Q4359" i="1"/>
  <c r="M4359" i="1"/>
  <c r="L4359" i="1"/>
  <c r="V4358" i="1"/>
  <c r="Z4358" i="1" s="1"/>
  <c r="U4358" i="1"/>
  <c r="T4358" i="1"/>
  <c r="W4358" i="1" s="1"/>
  <c r="S4358" i="1"/>
  <c r="R4358" i="1"/>
  <c r="Q4358" i="1"/>
  <c r="M4358" i="1"/>
  <c r="L4358" i="1"/>
  <c r="V4357" i="1"/>
  <c r="Z4357" i="1" s="1"/>
  <c r="U4357" i="1"/>
  <c r="T4357" i="1"/>
  <c r="W4357" i="1" s="1"/>
  <c r="S4357" i="1"/>
  <c r="R4357" i="1"/>
  <c r="Q4357" i="1"/>
  <c r="M4357" i="1"/>
  <c r="L4357" i="1"/>
  <c r="V4356" i="1"/>
  <c r="Z4356" i="1" s="1"/>
  <c r="U4356" i="1"/>
  <c r="T4356" i="1"/>
  <c r="S4356" i="1"/>
  <c r="R4356" i="1"/>
  <c r="Q4356" i="1"/>
  <c r="M4356" i="1"/>
  <c r="L4356" i="1"/>
  <c r="V4355" i="1"/>
  <c r="Z4355" i="1" s="1"/>
  <c r="U4355" i="1"/>
  <c r="T4355" i="1"/>
  <c r="W4355" i="1" s="1"/>
  <c r="S4355" i="1"/>
  <c r="R4355" i="1"/>
  <c r="Q4355" i="1"/>
  <c r="M4355" i="1"/>
  <c r="L4355" i="1"/>
  <c r="V4354" i="1"/>
  <c r="Z4354" i="1" s="1"/>
  <c r="U4354" i="1"/>
  <c r="T4354" i="1"/>
  <c r="W4354" i="1" s="1"/>
  <c r="S4354" i="1"/>
  <c r="R4354" i="1"/>
  <c r="Q4354" i="1"/>
  <c r="M4354" i="1"/>
  <c r="L4354" i="1"/>
  <c r="V4353" i="1"/>
  <c r="Z4353" i="1" s="1"/>
  <c r="U4353" i="1"/>
  <c r="T4353" i="1"/>
  <c r="W4353" i="1" s="1"/>
  <c r="S4353" i="1"/>
  <c r="R4353" i="1"/>
  <c r="Q4353" i="1"/>
  <c r="M4353" i="1"/>
  <c r="L4353" i="1"/>
  <c r="V4352" i="1"/>
  <c r="U4352" i="1"/>
  <c r="T4352" i="1"/>
  <c r="S4352" i="1"/>
  <c r="R4352" i="1"/>
  <c r="Q4352" i="1"/>
  <c r="M4352" i="1"/>
  <c r="L4352" i="1"/>
  <c r="V4351" i="1"/>
  <c r="Z4351" i="1" s="1"/>
  <c r="U4351" i="1"/>
  <c r="T4351" i="1"/>
  <c r="W4351" i="1" s="1"/>
  <c r="S4351" i="1"/>
  <c r="R4351" i="1"/>
  <c r="Q4351" i="1"/>
  <c r="M4351" i="1"/>
  <c r="L4351" i="1"/>
  <c r="V4350" i="1"/>
  <c r="Z4350" i="1" s="1"/>
  <c r="U4350" i="1"/>
  <c r="T4350" i="1"/>
  <c r="W4350" i="1" s="1"/>
  <c r="S4350" i="1"/>
  <c r="R4350" i="1"/>
  <c r="Q4350" i="1"/>
  <c r="M4350" i="1"/>
  <c r="L4350" i="1"/>
  <c r="V4349" i="1"/>
  <c r="U4349" i="1"/>
  <c r="T4349" i="1"/>
  <c r="S4349" i="1"/>
  <c r="R4349" i="1"/>
  <c r="Q4349" i="1"/>
  <c r="M4349" i="1"/>
  <c r="L4349" i="1"/>
  <c r="V4348" i="1"/>
  <c r="Z4348" i="1" s="1"/>
  <c r="U4348" i="1"/>
  <c r="T4348" i="1"/>
  <c r="S4348" i="1"/>
  <c r="R4348" i="1"/>
  <c r="Q4348" i="1"/>
  <c r="M4348" i="1"/>
  <c r="L4348" i="1"/>
  <c r="V4347" i="1"/>
  <c r="U4347" i="1"/>
  <c r="T4347" i="1"/>
  <c r="W4347" i="1" s="1"/>
  <c r="S4347" i="1"/>
  <c r="R4347" i="1"/>
  <c r="Q4347" i="1"/>
  <c r="M4347" i="1"/>
  <c r="L4347" i="1"/>
  <c r="V4346" i="1"/>
  <c r="U4346" i="1"/>
  <c r="T4346" i="1"/>
  <c r="W4346" i="1" s="1"/>
  <c r="S4346" i="1"/>
  <c r="R4346" i="1"/>
  <c r="Q4346" i="1"/>
  <c r="M4346" i="1"/>
  <c r="L4346" i="1"/>
  <c r="V4345" i="1"/>
  <c r="Z4345" i="1" s="1"/>
  <c r="U4345" i="1"/>
  <c r="T4345" i="1"/>
  <c r="W4345" i="1" s="1"/>
  <c r="S4345" i="1"/>
  <c r="R4345" i="1"/>
  <c r="Q4345" i="1"/>
  <c r="M4345" i="1"/>
  <c r="L4345" i="1"/>
  <c r="V4344" i="1"/>
  <c r="Z4344" i="1" s="1"/>
  <c r="U4344" i="1"/>
  <c r="T4344" i="1"/>
  <c r="S4344" i="1"/>
  <c r="R4344" i="1"/>
  <c r="Q4344" i="1"/>
  <c r="M4344" i="1"/>
  <c r="L4344" i="1"/>
  <c r="V4343" i="1"/>
  <c r="Z4343" i="1" s="1"/>
  <c r="U4343" i="1"/>
  <c r="T4343" i="1"/>
  <c r="W4343" i="1" s="1"/>
  <c r="S4343" i="1"/>
  <c r="R4343" i="1"/>
  <c r="Q4343" i="1"/>
  <c r="M4343" i="1"/>
  <c r="L4343" i="1"/>
  <c r="V4342" i="1"/>
  <c r="Z4342" i="1" s="1"/>
  <c r="U4342" i="1"/>
  <c r="T4342" i="1"/>
  <c r="W4342" i="1" s="1"/>
  <c r="S4342" i="1"/>
  <c r="R4342" i="1"/>
  <c r="Q4342" i="1"/>
  <c r="M4342" i="1"/>
  <c r="L4342" i="1"/>
  <c r="V4341" i="1"/>
  <c r="Z4341" i="1" s="1"/>
  <c r="U4341" i="1"/>
  <c r="T4341" i="1"/>
  <c r="W4341" i="1" s="1"/>
  <c r="S4341" i="1"/>
  <c r="R4341" i="1"/>
  <c r="Q4341" i="1"/>
  <c r="M4341" i="1"/>
  <c r="L4341" i="1"/>
  <c r="V4340" i="1"/>
  <c r="Z4340" i="1" s="1"/>
  <c r="U4340" i="1"/>
  <c r="T4340" i="1"/>
  <c r="S4340" i="1"/>
  <c r="R4340" i="1"/>
  <c r="Q4340" i="1"/>
  <c r="M4340" i="1"/>
  <c r="L4340" i="1"/>
  <c r="V4339" i="1"/>
  <c r="Z4339" i="1" s="1"/>
  <c r="U4339" i="1"/>
  <c r="T4339" i="1"/>
  <c r="W4339" i="1" s="1"/>
  <c r="S4339" i="1"/>
  <c r="R4339" i="1"/>
  <c r="Q4339" i="1"/>
  <c r="M4339" i="1"/>
  <c r="L4339" i="1"/>
  <c r="V4338" i="1"/>
  <c r="Z4338" i="1" s="1"/>
  <c r="U4338" i="1"/>
  <c r="T4338" i="1"/>
  <c r="W4338" i="1" s="1"/>
  <c r="S4338" i="1"/>
  <c r="R4338" i="1"/>
  <c r="Q4338" i="1"/>
  <c r="M4338" i="1"/>
  <c r="L4338" i="1"/>
  <c r="V4337" i="1"/>
  <c r="Z4337" i="1" s="1"/>
  <c r="U4337" i="1"/>
  <c r="T4337" i="1"/>
  <c r="W4337" i="1" s="1"/>
  <c r="S4337" i="1"/>
  <c r="R4337" i="1"/>
  <c r="Q4337" i="1"/>
  <c r="M4337" i="1"/>
  <c r="L4337" i="1"/>
  <c r="V4336" i="1"/>
  <c r="U4336" i="1"/>
  <c r="T4336" i="1"/>
  <c r="S4336" i="1"/>
  <c r="R4336" i="1"/>
  <c r="Q4336" i="1"/>
  <c r="M4336" i="1"/>
  <c r="L4336" i="1"/>
  <c r="V4335" i="1"/>
  <c r="Z4335" i="1" s="1"/>
  <c r="U4335" i="1"/>
  <c r="T4335" i="1"/>
  <c r="W4335" i="1" s="1"/>
  <c r="S4335" i="1"/>
  <c r="R4335" i="1"/>
  <c r="Q4335" i="1"/>
  <c r="M4335" i="1"/>
  <c r="L4335" i="1"/>
  <c r="V4334" i="1"/>
  <c r="Z4334" i="1" s="1"/>
  <c r="U4334" i="1"/>
  <c r="T4334" i="1"/>
  <c r="W4334" i="1" s="1"/>
  <c r="S4334" i="1"/>
  <c r="R4334" i="1"/>
  <c r="Q4334" i="1"/>
  <c r="M4334" i="1"/>
  <c r="L4334" i="1"/>
  <c r="V4333" i="1"/>
  <c r="U4333" i="1"/>
  <c r="T4333" i="1"/>
  <c r="S4333" i="1"/>
  <c r="R4333" i="1"/>
  <c r="Q4333" i="1"/>
  <c r="M4333" i="1"/>
  <c r="L4333" i="1"/>
  <c r="V4332" i="1"/>
  <c r="Z4332" i="1" s="1"/>
  <c r="U4332" i="1"/>
  <c r="T4332" i="1"/>
  <c r="S4332" i="1"/>
  <c r="R4332" i="1"/>
  <c r="Q4332" i="1"/>
  <c r="M4332" i="1"/>
  <c r="L4332" i="1"/>
  <c r="V4331" i="1"/>
  <c r="Z4331" i="1" s="1"/>
  <c r="U4331" i="1"/>
  <c r="T4331" i="1"/>
  <c r="W4331" i="1" s="1"/>
  <c r="S4331" i="1"/>
  <c r="R4331" i="1"/>
  <c r="Q4331" i="1"/>
  <c r="M4331" i="1"/>
  <c r="L4331" i="1"/>
  <c r="V4330" i="1"/>
  <c r="U4330" i="1"/>
  <c r="T4330" i="1"/>
  <c r="W4330" i="1" s="1"/>
  <c r="S4330" i="1"/>
  <c r="R4330" i="1"/>
  <c r="Q4330" i="1"/>
  <c r="M4330" i="1"/>
  <c r="L4330" i="1"/>
  <c r="V4329" i="1"/>
  <c r="Z4329" i="1" s="1"/>
  <c r="U4329" i="1"/>
  <c r="T4329" i="1"/>
  <c r="W4329" i="1" s="1"/>
  <c r="S4329" i="1"/>
  <c r="R4329" i="1"/>
  <c r="Q4329" i="1"/>
  <c r="M4329" i="1"/>
  <c r="L4329" i="1"/>
  <c r="V4328" i="1"/>
  <c r="Z4328" i="1" s="1"/>
  <c r="U4328" i="1"/>
  <c r="T4328" i="1"/>
  <c r="S4328" i="1"/>
  <c r="R4328" i="1"/>
  <c r="Q4328" i="1"/>
  <c r="M4328" i="1"/>
  <c r="L4328" i="1"/>
  <c r="V4327" i="1"/>
  <c r="Z4327" i="1" s="1"/>
  <c r="U4327" i="1"/>
  <c r="T4327" i="1"/>
  <c r="W4327" i="1" s="1"/>
  <c r="S4327" i="1"/>
  <c r="R4327" i="1"/>
  <c r="Q4327" i="1"/>
  <c r="M4327" i="1"/>
  <c r="L4327" i="1"/>
  <c r="V4326" i="1"/>
  <c r="Z4326" i="1" s="1"/>
  <c r="U4326" i="1"/>
  <c r="T4326" i="1"/>
  <c r="W4326" i="1" s="1"/>
  <c r="S4326" i="1"/>
  <c r="R4326" i="1"/>
  <c r="Q4326" i="1"/>
  <c r="M4326" i="1"/>
  <c r="L4326" i="1"/>
  <c r="V4325" i="1"/>
  <c r="Z4325" i="1" s="1"/>
  <c r="U4325" i="1"/>
  <c r="T4325" i="1"/>
  <c r="W4325" i="1" s="1"/>
  <c r="S4325" i="1"/>
  <c r="R4325" i="1"/>
  <c r="Q4325" i="1"/>
  <c r="M4325" i="1"/>
  <c r="L4325" i="1"/>
  <c r="V4324" i="1"/>
  <c r="Z4324" i="1" s="1"/>
  <c r="U4324" i="1"/>
  <c r="T4324" i="1"/>
  <c r="S4324" i="1"/>
  <c r="R4324" i="1"/>
  <c r="Q4324" i="1"/>
  <c r="M4324" i="1"/>
  <c r="L4324" i="1"/>
  <c r="V4323" i="1"/>
  <c r="Z4323" i="1" s="1"/>
  <c r="U4323" i="1"/>
  <c r="T4323" i="1"/>
  <c r="W4323" i="1" s="1"/>
  <c r="S4323" i="1"/>
  <c r="R4323" i="1"/>
  <c r="Q4323" i="1"/>
  <c r="M4323" i="1"/>
  <c r="L4323" i="1"/>
  <c r="V4322" i="1"/>
  <c r="Z4322" i="1" s="1"/>
  <c r="U4322" i="1"/>
  <c r="T4322" i="1"/>
  <c r="W4322" i="1" s="1"/>
  <c r="S4322" i="1"/>
  <c r="R4322" i="1"/>
  <c r="Q4322" i="1"/>
  <c r="M4322" i="1"/>
  <c r="L4322" i="1"/>
  <c r="V4321" i="1"/>
  <c r="Z4321" i="1" s="1"/>
  <c r="U4321" i="1"/>
  <c r="T4321" i="1"/>
  <c r="W4321" i="1" s="1"/>
  <c r="S4321" i="1"/>
  <c r="R4321" i="1"/>
  <c r="Q4321" i="1"/>
  <c r="M4321" i="1"/>
  <c r="L4321" i="1"/>
  <c r="V4320" i="1"/>
  <c r="U4320" i="1"/>
  <c r="T4320" i="1"/>
  <c r="S4320" i="1"/>
  <c r="R4320" i="1"/>
  <c r="Q4320" i="1"/>
  <c r="M4320" i="1"/>
  <c r="L4320" i="1"/>
  <c r="V4319" i="1"/>
  <c r="U4319" i="1"/>
  <c r="T4319" i="1"/>
  <c r="W4319" i="1" s="1"/>
  <c r="S4319" i="1"/>
  <c r="R4319" i="1"/>
  <c r="Q4319" i="1"/>
  <c r="M4319" i="1"/>
  <c r="L4319" i="1"/>
  <c r="V4318" i="1"/>
  <c r="U4318" i="1"/>
  <c r="T4318" i="1"/>
  <c r="W4318" i="1" s="1"/>
  <c r="S4318" i="1"/>
  <c r="R4318" i="1"/>
  <c r="Q4318" i="1"/>
  <c r="M4318" i="1"/>
  <c r="L4318" i="1"/>
  <c r="V4317" i="1"/>
  <c r="U4317" i="1"/>
  <c r="T4317" i="1"/>
  <c r="S4317" i="1"/>
  <c r="R4317" i="1"/>
  <c r="Q4317" i="1"/>
  <c r="M4317" i="1"/>
  <c r="L4317" i="1"/>
  <c r="V4316" i="1"/>
  <c r="Z4316" i="1" s="1"/>
  <c r="U4316" i="1"/>
  <c r="T4316" i="1"/>
  <c r="S4316" i="1"/>
  <c r="R4316" i="1"/>
  <c r="Q4316" i="1"/>
  <c r="M4316" i="1"/>
  <c r="L4316" i="1"/>
  <c r="V4315" i="1"/>
  <c r="Z4315" i="1" s="1"/>
  <c r="U4315" i="1"/>
  <c r="T4315" i="1"/>
  <c r="W4315" i="1" s="1"/>
  <c r="S4315" i="1"/>
  <c r="R4315" i="1"/>
  <c r="Q4315" i="1"/>
  <c r="M4315" i="1"/>
  <c r="L4315" i="1"/>
  <c r="V4314" i="1"/>
  <c r="U4314" i="1"/>
  <c r="T4314" i="1"/>
  <c r="W4314" i="1" s="1"/>
  <c r="S4314" i="1"/>
  <c r="R4314" i="1"/>
  <c r="Q4314" i="1"/>
  <c r="M4314" i="1"/>
  <c r="L4314" i="1"/>
  <c r="V4313" i="1"/>
  <c r="Z4313" i="1" s="1"/>
  <c r="U4313" i="1"/>
  <c r="T4313" i="1"/>
  <c r="W4313" i="1" s="1"/>
  <c r="S4313" i="1"/>
  <c r="R4313" i="1"/>
  <c r="Q4313" i="1"/>
  <c r="M4313" i="1"/>
  <c r="L4313" i="1"/>
  <c r="V4312" i="1"/>
  <c r="Z4312" i="1" s="1"/>
  <c r="U4312" i="1"/>
  <c r="T4312" i="1"/>
  <c r="S4312" i="1"/>
  <c r="R4312" i="1"/>
  <c r="Q4312" i="1"/>
  <c r="M4312" i="1"/>
  <c r="L4312" i="1"/>
  <c r="V4311" i="1"/>
  <c r="Z4311" i="1" s="1"/>
  <c r="U4311" i="1"/>
  <c r="T4311" i="1"/>
  <c r="W4311" i="1" s="1"/>
  <c r="S4311" i="1"/>
  <c r="R4311" i="1"/>
  <c r="Q4311" i="1"/>
  <c r="M4311" i="1"/>
  <c r="L4311" i="1"/>
  <c r="V4310" i="1"/>
  <c r="Z4310" i="1" s="1"/>
  <c r="U4310" i="1"/>
  <c r="T4310" i="1"/>
  <c r="W4310" i="1" s="1"/>
  <c r="S4310" i="1"/>
  <c r="R4310" i="1"/>
  <c r="Q4310" i="1"/>
  <c r="M4310" i="1"/>
  <c r="L4310" i="1"/>
  <c r="V4309" i="1"/>
  <c r="Z4309" i="1" s="1"/>
  <c r="U4309" i="1"/>
  <c r="T4309" i="1"/>
  <c r="W4309" i="1" s="1"/>
  <c r="S4309" i="1"/>
  <c r="R4309" i="1"/>
  <c r="Q4309" i="1"/>
  <c r="M4309" i="1"/>
  <c r="L4309" i="1"/>
  <c r="V4308" i="1"/>
  <c r="Z4308" i="1" s="1"/>
  <c r="U4308" i="1"/>
  <c r="T4308" i="1"/>
  <c r="S4308" i="1"/>
  <c r="R4308" i="1"/>
  <c r="Q4308" i="1"/>
  <c r="M4308" i="1"/>
  <c r="L4308" i="1"/>
  <c r="V4307" i="1"/>
  <c r="Z4307" i="1" s="1"/>
  <c r="U4307" i="1"/>
  <c r="T4307" i="1"/>
  <c r="W4307" i="1" s="1"/>
  <c r="S4307" i="1"/>
  <c r="R4307" i="1"/>
  <c r="Q4307" i="1"/>
  <c r="M4307" i="1"/>
  <c r="L4307" i="1"/>
  <c r="V4306" i="1"/>
  <c r="Z4306" i="1" s="1"/>
  <c r="U4306" i="1"/>
  <c r="T4306" i="1"/>
  <c r="W4306" i="1" s="1"/>
  <c r="S4306" i="1"/>
  <c r="R4306" i="1"/>
  <c r="Q4306" i="1"/>
  <c r="M4306" i="1"/>
  <c r="L4306" i="1"/>
  <c r="V4305" i="1"/>
  <c r="Z4305" i="1" s="1"/>
  <c r="U4305" i="1"/>
  <c r="T4305" i="1"/>
  <c r="W4305" i="1" s="1"/>
  <c r="S4305" i="1"/>
  <c r="R4305" i="1"/>
  <c r="Q4305" i="1"/>
  <c r="M4305" i="1"/>
  <c r="L4305" i="1"/>
  <c r="V4304" i="1"/>
  <c r="U4304" i="1"/>
  <c r="T4304" i="1"/>
  <c r="S4304" i="1"/>
  <c r="R4304" i="1"/>
  <c r="Q4304" i="1"/>
  <c r="M4304" i="1"/>
  <c r="L4304" i="1"/>
  <c r="V4303" i="1"/>
  <c r="U4303" i="1"/>
  <c r="T4303" i="1"/>
  <c r="W4303" i="1" s="1"/>
  <c r="S4303" i="1"/>
  <c r="R4303" i="1"/>
  <c r="Q4303" i="1"/>
  <c r="M4303" i="1"/>
  <c r="L4303" i="1"/>
  <c r="V4302" i="1"/>
  <c r="U4302" i="1"/>
  <c r="T4302" i="1"/>
  <c r="W4302" i="1" s="1"/>
  <c r="S4302" i="1"/>
  <c r="R4302" i="1"/>
  <c r="Q4302" i="1"/>
  <c r="M4302" i="1"/>
  <c r="L4302" i="1"/>
  <c r="V4301" i="1"/>
  <c r="U4301" i="1"/>
  <c r="T4301" i="1"/>
  <c r="S4301" i="1"/>
  <c r="R4301" i="1"/>
  <c r="Q4301" i="1"/>
  <c r="M4301" i="1"/>
  <c r="L4301" i="1"/>
  <c r="V4300" i="1"/>
  <c r="Z4300" i="1" s="1"/>
  <c r="U4300" i="1"/>
  <c r="T4300" i="1"/>
  <c r="S4300" i="1"/>
  <c r="R4300" i="1"/>
  <c r="Q4300" i="1"/>
  <c r="M4300" i="1"/>
  <c r="L4300" i="1"/>
  <c r="V4299" i="1"/>
  <c r="Z4299" i="1" s="1"/>
  <c r="U4299" i="1"/>
  <c r="T4299" i="1"/>
  <c r="W4299" i="1" s="1"/>
  <c r="S4299" i="1"/>
  <c r="R4299" i="1"/>
  <c r="Q4299" i="1"/>
  <c r="M4299" i="1"/>
  <c r="L4299" i="1"/>
  <c r="V4298" i="1"/>
  <c r="U4298" i="1"/>
  <c r="T4298" i="1"/>
  <c r="W4298" i="1" s="1"/>
  <c r="S4298" i="1"/>
  <c r="R4298" i="1"/>
  <c r="Q4298" i="1"/>
  <c r="M4298" i="1"/>
  <c r="L4298" i="1"/>
  <c r="V4297" i="1"/>
  <c r="Z4297" i="1" s="1"/>
  <c r="U4297" i="1"/>
  <c r="T4297" i="1"/>
  <c r="W4297" i="1" s="1"/>
  <c r="S4297" i="1"/>
  <c r="R4297" i="1"/>
  <c r="Q4297" i="1"/>
  <c r="M4297" i="1"/>
  <c r="L4297" i="1"/>
  <c r="V4296" i="1"/>
  <c r="Z4296" i="1" s="1"/>
  <c r="U4296" i="1"/>
  <c r="T4296" i="1"/>
  <c r="S4296" i="1"/>
  <c r="R4296" i="1"/>
  <c r="Q4296" i="1"/>
  <c r="M4296" i="1"/>
  <c r="L4296" i="1"/>
  <c r="V4295" i="1"/>
  <c r="Z4295" i="1" s="1"/>
  <c r="U4295" i="1"/>
  <c r="T4295" i="1"/>
  <c r="W4295" i="1" s="1"/>
  <c r="S4295" i="1"/>
  <c r="R4295" i="1"/>
  <c r="Q4295" i="1"/>
  <c r="M4295" i="1"/>
  <c r="L4295" i="1"/>
  <c r="V4294" i="1"/>
  <c r="Z4294" i="1" s="1"/>
  <c r="U4294" i="1"/>
  <c r="T4294" i="1"/>
  <c r="W4294" i="1" s="1"/>
  <c r="S4294" i="1"/>
  <c r="R4294" i="1"/>
  <c r="Q4294" i="1"/>
  <c r="M4294" i="1"/>
  <c r="L4294" i="1"/>
  <c r="V4293" i="1"/>
  <c r="Z4293" i="1" s="1"/>
  <c r="U4293" i="1"/>
  <c r="T4293" i="1"/>
  <c r="W4293" i="1" s="1"/>
  <c r="S4293" i="1"/>
  <c r="R4293" i="1"/>
  <c r="Q4293" i="1"/>
  <c r="M4293" i="1"/>
  <c r="L4293" i="1"/>
  <c r="V4292" i="1"/>
  <c r="Z4292" i="1" s="1"/>
  <c r="U4292" i="1"/>
  <c r="T4292" i="1"/>
  <c r="S4292" i="1"/>
  <c r="R4292" i="1"/>
  <c r="Q4292" i="1"/>
  <c r="M4292" i="1"/>
  <c r="L4292" i="1"/>
  <c r="V4291" i="1"/>
  <c r="Z4291" i="1" s="1"/>
  <c r="U4291" i="1"/>
  <c r="T4291" i="1"/>
  <c r="W4291" i="1" s="1"/>
  <c r="S4291" i="1"/>
  <c r="R4291" i="1"/>
  <c r="Q4291" i="1"/>
  <c r="M4291" i="1"/>
  <c r="L4291" i="1"/>
  <c r="V4290" i="1"/>
  <c r="Z4290" i="1" s="1"/>
  <c r="U4290" i="1"/>
  <c r="T4290" i="1"/>
  <c r="W4290" i="1" s="1"/>
  <c r="S4290" i="1"/>
  <c r="R4290" i="1"/>
  <c r="Q4290" i="1"/>
  <c r="M4290" i="1"/>
  <c r="L4290" i="1"/>
  <c r="V4289" i="1"/>
  <c r="Z4289" i="1" s="1"/>
  <c r="U4289" i="1"/>
  <c r="T4289" i="1"/>
  <c r="W4289" i="1" s="1"/>
  <c r="S4289" i="1"/>
  <c r="R4289" i="1"/>
  <c r="Q4289" i="1"/>
  <c r="M4289" i="1"/>
  <c r="L4289" i="1"/>
  <c r="V4288" i="1"/>
  <c r="U4288" i="1"/>
  <c r="T4288" i="1"/>
  <c r="S4288" i="1"/>
  <c r="R4288" i="1"/>
  <c r="Q4288" i="1"/>
  <c r="M4288" i="1"/>
  <c r="L4288" i="1"/>
  <c r="V4287" i="1"/>
  <c r="U4287" i="1"/>
  <c r="T4287" i="1"/>
  <c r="W4287" i="1" s="1"/>
  <c r="S4287" i="1"/>
  <c r="R4287" i="1"/>
  <c r="Q4287" i="1"/>
  <c r="M4287" i="1"/>
  <c r="L4287" i="1"/>
  <c r="V4286" i="1"/>
  <c r="U4286" i="1"/>
  <c r="T4286" i="1"/>
  <c r="W4286" i="1" s="1"/>
  <c r="S4286" i="1"/>
  <c r="R4286" i="1"/>
  <c r="Q4286" i="1"/>
  <c r="M4286" i="1"/>
  <c r="L4286" i="1"/>
  <c r="V4285" i="1"/>
  <c r="U4285" i="1"/>
  <c r="T4285" i="1"/>
  <c r="S4285" i="1"/>
  <c r="R4285" i="1"/>
  <c r="Q4285" i="1"/>
  <c r="M4285" i="1"/>
  <c r="L4285" i="1"/>
  <c r="V4284" i="1"/>
  <c r="Z4284" i="1" s="1"/>
  <c r="U4284" i="1"/>
  <c r="T4284" i="1"/>
  <c r="S4284" i="1"/>
  <c r="R4284" i="1"/>
  <c r="Q4284" i="1"/>
  <c r="M4284" i="1"/>
  <c r="L4284" i="1"/>
  <c r="V4283" i="1"/>
  <c r="Z4283" i="1" s="1"/>
  <c r="U4283" i="1"/>
  <c r="T4283" i="1"/>
  <c r="W4283" i="1" s="1"/>
  <c r="S4283" i="1"/>
  <c r="R4283" i="1"/>
  <c r="Q4283" i="1"/>
  <c r="M4283" i="1"/>
  <c r="L4283" i="1"/>
  <c r="V4282" i="1"/>
  <c r="U4282" i="1"/>
  <c r="T4282" i="1"/>
  <c r="W4282" i="1" s="1"/>
  <c r="S4282" i="1"/>
  <c r="R4282" i="1"/>
  <c r="Q4282" i="1"/>
  <c r="M4282" i="1"/>
  <c r="L4282" i="1"/>
  <c r="V4281" i="1"/>
  <c r="Z4281" i="1" s="1"/>
  <c r="U4281" i="1"/>
  <c r="T4281" i="1"/>
  <c r="W4281" i="1" s="1"/>
  <c r="S4281" i="1"/>
  <c r="R4281" i="1"/>
  <c r="Q4281" i="1"/>
  <c r="M4281" i="1"/>
  <c r="L4281" i="1"/>
  <c r="V4280" i="1"/>
  <c r="Z4280" i="1" s="1"/>
  <c r="U4280" i="1"/>
  <c r="T4280" i="1"/>
  <c r="S4280" i="1"/>
  <c r="R4280" i="1"/>
  <c r="Q4280" i="1"/>
  <c r="M4280" i="1"/>
  <c r="L4280" i="1"/>
  <c r="V4279" i="1"/>
  <c r="Z4279" i="1" s="1"/>
  <c r="U4279" i="1"/>
  <c r="T4279" i="1"/>
  <c r="W4279" i="1" s="1"/>
  <c r="S4279" i="1"/>
  <c r="R4279" i="1"/>
  <c r="Q4279" i="1"/>
  <c r="M4279" i="1"/>
  <c r="L4279" i="1"/>
  <c r="V4278" i="1"/>
  <c r="Z4278" i="1" s="1"/>
  <c r="U4278" i="1"/>
  <c r="T4278" i="1"/>
  <c r="W4278" i="1" s="1"/>
  <c r="S4278" i="1"/>
  <c r="R4278" i="1"/>
  <c r="Q4278" i="1"/>
  <c r="M4278" i="1"/>
  <c r="L4278" i="1"/>
  <c r="V4277" i="1"/>
  <c r="Z4277" i="1" s="1"/>
  <c r="U4277" i="1"/>
  <c r="T4277" i="1"/>
  <c r="W4277" i="1" s="1"/>
  <c r="S4277" i="1"/>
  <c r="R4277" i="1"/>
  <c r="Q4277" i="1"/>
  <c r="M4277" i="1"/>
  <c r="L4277" i="1"/>
  <c r="V4276" i="1"/>
  <c r="Z4276" i="1" s="1"/>
  <c r="U4276" i="1"/>
  <c r="T4276" i="1"/>
  <c r="S4276" i="1"/>
  <c r="R4276" i="1"/>
  <c r="Q4276" i="1"/>
  <c r="M4276" i="1"/>
  <c r="L4276" i="1"/>
  <c r="V4275" i="1"/>
  <c r="Z4275" i="1" s="1"/>
  <c r="U4275" i="1"/>
  <c r="T4275" i="1"/>
  <c r="W4275" i="1" s="1"/>
  <c r="S4275" i="1"/>
  <c r="R4275" i="1"/>
  <c r="Q4275" i="1"/>
  <c r="M4275" i="1"/>
  <c r="L4275" i="1"/>
  <c r="V4274" i="1"/>
  <c r="Z4274" i="1" s="1"/>
  <c r="U4274" i="1"/>
  <c r="T4274" i="1"/>
  <c r="W4274" i="1" s="1"/>
  <c r="S4274" i="1"/>
  <c r="R4274" i="1"/>
  <c r="Q4274" i="1"/>
  <c r="M4274" i="1"/>
  <c r="L4274" i="1"/>
  <c r="V4273" i="1"/>
  <c r="U4273" i="1"/>
  <c r="T4273" i="1"/>
  <c r="W4273" i="1" s="1"/>
  <c r="S4273" i="1"/>
  <c r="R4273" i="1"/>
  <c r="Q4273" i="1"/>
  <c r="M4273" i="1"/>
  <c r="L4273" i="1"/>
  <c r="V4272" i="1"/>
  <c r="U4272" i="1"/>
  <c r="T4272" i="1"/>
  <c r="S4272" i="1"/>
  <c r="R4272" i="1"/>
  <c r="Q4272" i="1"/>
  <c r="M4272" i="1"/>
  <c r="L4272" i="1"/>
  <c r="V4271" i="1"/>
  <c r="Z4271" i="1" s="1"/>
  <c r="U4271" i="1"/>
  <c r="T4271" i="1"/>
  <c r="W4271" i="1" s="1"/>
  <c r="S4271" i="1"/>
  <c r="R4271" i="1"/>
  <c r="Q4271" i="1"/>
  <c r="M4271" i="1"/>
  <c r="L4271" i="1"/>
  <c r="V4270" i="1"/>
  <c r="U4270" i="1"/>
  <c r="T4270" i="1"/>
  <c r="W4270" i="1" s="1"/>
  <c r="S4270" i="1"/>
  <c r="R4270" i="1"/>
  <c r="Q4270" i="1"/>
  <c r="M4270" i="1"/>
  <c r="L4270" i="1"/>
  <c r="V4269" i="1"/>
  <c r="U4269" i="1"/>
  <c r="T4269" i="1"/>
  <c r="S4269" i="1"/>
  <c r="R4269" i="1"/>
  <c r="Q4269" i="1"/>
  <c r="M4269" i="1"/>
  <c r="L4269" i="1"/>
  <c r="V4268" i="1"/>
  <c r="Z4268" i="1" s="1"/>
  <c r="U4268" i="1"/>
  <c r="T4268" i="1"/>
  <c r="S4268" i="1"/>
  <c r="R4268" i="1"/>
  <c r="Q4268" i="1"/>
  <c r="M4268" i="1"/>
  <c r="L4268" i="1"/>
  <c r="V4267" i="1"/>
  <c r="Z4267" i="1" s="1"/>
  <c r="U4267" i="1"/>
  <c r="T4267" i="1"/>
  <c r="W4267" i="1" s="1"/>
  <c r="S4267" i="1"/>
  <c r="R4267" i="1"/>
  <c r="Q4267" i="1"/>
  <c r="M4267" i="1"/>
  <c r="L4267" i="1"/>
  <c r="V4266" i="1"/>
  <c r="U4266" i="1"/>
  <c r="T4266" i="1"/>
  <c r="W4266" i="1" s="1"/>
  <c r="S4266" i="1"/>
  <c r="R4266" i="1"/>
  <c r="Q4266" i="1"/>
  <c r="M4266" i="1"/>
  <c r="L4266" i="1"/>
  <c r="V4265" i="1"/>
  <c r="Z4265" i="1" s="1"/>
  <c r="U4265" i="1"/>
  <c r="T4265" i="1"/>
  <c r="W4265" i="1" s="1"/>
  <c r="S4265" i="1"/>
  <c r="R4265" i="1"/>
  <c r="Q4265" i="1"/>
  <c r="M4265" i="1"/>
  <c r="L4265" i="1"/>
  <c r="V4264" i="1"/>
  <c r="Z4264" i="1" s="1"/>
  <c r="U4264" i="1"/>
  <c r="T4264" i="1"/>
  <c r="S4264" i="1"/>
  <c r="R4264" i="1"/>
  <c r="Q4264" i="1"/>
  <c r="M4264" i="1"/>
  <c r="L4264" i="1"/>
  <c r="V4263" i="1"/>
  <c r="Z4263" i="1" s="1"/>
  <c r="U4263" i="1"/>
  <c r="T4263" i="1"/>
  <c r="W4263" i="1" s="1"/>
  <c r="S4263" i="1"/>
  <c r="R4263" i="1"/>
  <c r="Q4263" i="1"/>
  <c r="M4263" i="1"/>
  <c r="L4263" i="1"/>
  <c r="V4262" i="1"/>
  <c r="Z4262" i="1" s="1"/>
  <c r="U4262" i="1"/>
  <c r="T4262" i="1"/>
  <c r="W4262" i="1" s="1"/>
  <c r="S4262" i="1"/>
  <c r="R4262" i="1"/>
  <c r="Q4262" i="1"/>
  <c r="M4262" i="1"/>
  <c r="L4262" i="1"/>
  <c r="V4261" i="1"/>
  <c r="Z4261" i="1" s="1"/>
  <c r="U4261" i="1"/>
  <c r="T4261" i="1"/>
  <c r="W4261" i="1" s="1"/>
  <c r="S4261" i="1"/>
  <c r="R4261" i="1"/>
  <c r="Q4261" i="1"/>
  <c r="M4261" i="1"/>
  <c r="L4261" i="1"/>
  <c r="V4260" i="1"/>
  <c r="Z4260" i="1" s="1"/>
  <c r="U4260" i="1"/>
  <c r="T4260" i="1"/>
  <c r="S4260" i="1"/>
  <c r="R4260" i="1"/>
  <c r="Q4260" i="1"/>
  <c r="M4260" i="1"/>
  <c r="L4260" i="1"/>
  <c r="V4259" i="1"/>
  <c r="Z4259" i="1" s="1"/>
  <c r="U4259" i="1"/>
  <c r="T4259" i="1"/>
  <c r="W4259" i="1" s="1"/>
  <c r="S4259" i="1"/>
  <c r="R4259" i="1"/>
  <c r="Q4259" i="1"/>
  <c r="M4259" i="1"/>
  <c r="L4259" i="1"/>
  <c r="V4258" i="1"/>
  <c r="Z4258" i="1" s="1"/>
  <c r="U4258" i="1"/>
  <c r="T4258" i="1"/>
  <c r="W4258" i="1" s="1"/>
  <c r="S4258" i="1"/>
  <c r="R4258" i="1"/>
  <c r="Q4258" i="1"/>
  <c r="M4258" i="1"/>
  <c r="L4258" i="1"/>
  <c r="V4257" i="1"/>
  <c r="Z4257" i="1" s="1"/>
  <c r="U4257" i="1"/>
  <c r="T4257" i="1"/>
  <c r="W4257" i="1" s="1"/>
  <c r="S4257" i="1"/>
  <c r="R4257" i="1"/>
  <c r="Q4257" i="1"/>
  <c r="M4257" i="1"/>
  <c r="L4257" i="1"/>
  <c r="V4256" i="1"/>
  <c r="U4256" i="1"/>
  <c r="T4256" i="1"/>
  <c r="S4256" i="1"/>
  <c r="R4256" i="1"/>
  <c r="Q4256" i="1"/>
  <c r="M4256" i="1"/>
  <c r="L4256" i="1"/>
  <c r="V4255" i="1"/>
  <c r="U4255" i="1"/>
  <c r="T4255" i="1"/>
  <c r="W4255" i="1" s="1"/>
  <c r="S4255" i="1"/>
  <c r="R4255" i="1"/>
  <c r="Q4255" i="1"/>
  <c r="M4255" i="1"/>
  <c r="L4255" i="1"/>
  <c r="V4254" i="1"/>
  <c r="U4254" i="1"/>
  <c r="T4254" i="1"/>
  <c r="W4254" i="1" s="1"/>
  <c r="S4254" i="1"/>
  <c r="R4254" i="1"/>
  <c r="Q4254" i="1"/>
  <c r="M4254" i="1"/>
  <c r="L4254" i="1"/>
  <c r="V4253" i="1"/>
  <c r="U4253" i="1"/>
  <c r="T4253" i="1"/>
  <c r="W4253" i="1" s="1"/>
  <c r="S4253" i="1"/>
  <c r="R4253" i="1"/>
  <c r="Q4253" i="1"/>
  <c r="M4253" i="1"/>
  <c r="L4253" i="1"/>
  <c r="V4252" i="1"/>
  <c r="Z4252" i="1" s="1"/>
  <c r="U4252" i="1"/>
  <c r="T4252" i="1"/>
  <c r="S4252" i="1"/>
  <c r="R4252" i="1"/>
  <c r="Q4252" i="1"/>
  <c r="M4252" i="1"/>
  <c r="L4252" i="1"/>
  <c r="V4251" i="1"/>
  <c r="Z4251" i="1" s="1"/>
  <c r="U4251" i="1"/>
  <c r="T4251" i="1"/>
  <c r="W4251" i="1" s="1"/>
  <c r="S4251" i="1"/>
  <c r="R4251" i="1"/>
  <c r="Q4251" i="1"/>
  <c r="M4251" i="1"/>
  <c r="L4251" i="1"/>
  <c r="V4250" i="1"/>
  <c r="U4250" i="1"/>
  <c r="T4250" i="1"/>
  <c r="W4250" i="1" s="1"/>
  <c r="S4250" i="1"/>
  <c r="R4250" i="1"/>
  <c r="Q4250" i="1"/>
  <c r="M4250" i="1"/>
  <c r="L4250" i="1"/>
  <c r="V4249" i="1"/>
  <c r="Z4249" i="1" s="1"/>
  <c r="U4249" i="1"/>
  <c r="T4249" i="1"/>
  <c r="W4249" i="1" s="1"/>
  <c r="S4249" i="1"/>
  <c r="R4249" i="1"/>
  <c r="Q4249" i="1"/>
  <c r="M4249" i="1"/>
  <c r="L4249" i="1"/>
  <c r="V4248" i="1"/>
  <c r="Z4248" i="1" s="1"/>
  <c r="U4248" i="1"/>
  <c r="T4248" i="1"/>
  <c r="S4248" i="1"/>
  <c r="R4248" i="1"/>
  <c r="Q4248" i="1"/>
  <c r="M4248" i="1"/>
  <c r="L4248" i="1"/>
  <c r="V4247" i="1"/>
  <c r="Z4247" i="1" s="1"/>
  <c r="U4247" i="1"/>
  <c r="T4247" i="1"/>
  <c r="W4247" i="1" s="1"/>
  <c r="S4247" i="1"/>
  <c r="R4247" i="1"/>
  <c r="Q4247" i="1"/>
  <c r="M4247" i="1"/>
  <c r="L4247" i="1"/>
  <c r="V4246" i="1"/>
  <c r="Z4246" i="1" s="1"/>
  <c r="U4246" i="1"/>
  <c r="T4246" i="1"/>
  <c r="W4246" i="1" s="1"/>
  <c r="S4246" i="1"/>
  <c r="R4246" i="1"/>
  <c r="Q4246" i="1"/>
  <c r="M4246" i="1"/>
  <c r="L4246" i="1"/>
  <c r="V4245" i="1"/>
  <c r="Z4245" i="1" s="1"/>
  <c r="U4245" i="1"/>
  <c r="T4245" i="1"/>
  <c r="W4245" i="1" s="1"/>
  <c r="S4245" i="1"/>
  <c r="R4245" i="1"/>
  <c r="Q4245" i="1"/>
  <c r="M4245" i="1"/>
  <c r="L4245" i="1"/>
  <c r="V4244" i="1"/>
  <c r="Z4244" i="1" s="1"/>
  <c r="U4244" i="1"/>
  <c r="T4244" i="1"/>
  <c r="S4244" i="1"/>
  <c r="R4244" i="1"/>
  <c r="Q4244" i="1"/>
  <c r="M4244" i="1"/>
  <c r="L4244" i="1"/>
  <c r="V4243" i="1"/>
  <c r="Z4243" i="1" s="1"/>
  <c r="U4243" i="1"/>
  <c r="T4243" i="1"/>
  <c r="W4243" i="1" s="1"/>
  <c r="S4243" i="1"/>
  <c r="R4243" i="1"/>
  <c r="Q4243" i="1"/>
  <c r="M4243" i="1"/>
  <c r="L4243" i="1"/>
  <c r="V4242" i="1"/>
  <c r="Z4242" i="1" s="1"/>
  <c r="U4242" i="1"/>
  <c r="T4242" i="1"/>
  <c r="W4242" i="1" s="1"/>
  <c r="S4242" i="1"/>
  <c r="R4242" i="1"/>
  <c r="Q4242" i="1"/>
  <c r="M4242" i="1"/>
  <c r="L4242" i="1"/>
  <c r="V4241" i="1"/>
  <c r="Z4241" i="1" s="1"/>
  <c r="U4241" i="1"/>
  <c r="T4241" i="1"/>
  <c r="W4241" i="1" s="1"/>
  <c r="S4241" i="1"/>
  <c r="R4241" i="1"/>
  <c r="Q4241" i="1"/>
  <c r="M4241" i="1"/>
  <c r="L4241" i="1"/>
  <c r="V4240" i="1"/>
  <c r="U4240" i="1"/>
  <c r="T4240" i="1"/>
  <c r="S4240" i="1"/>
  <c r="R4240" i="1"/>
  <c r="Q4240" i="1"/>
  <c r="M4240" i="1"/>
  <c r="L4240" i="1"/>
  <c r="V4239" i="1"/>
  <c r="U4239" i="1"/>
  <c r="T4239" i="1"/>
  <c r="W4239" i="1" s="1"/>
  <c r="S4239" i="1"/>
  <c r="R4239" i="1"/>
  <c r="Q4239" i="1"/>
  <c r="M4239" i="1"/>
  <c r="L4239" i="1"/>
  <c r="V4238" i="1"/>
  <c r="U4238" i="1"/>
  <c r="T4238" i="1"/>
  <c r="W4238" i="1" s="1"/>
  <c r="S4238" i="1"/>
  <c r="R4238" i="1"/>
  <c r="Q4238" i="1"/>
  <c r="M4238" i="1"/>
  <c r="L4238" i="1"/>
  <c r="V4237" i="1"/>
  <c r="U4237" i="1"/>
  <c r="T4237" i="1"/>
  <c r="W4237" i="1" s="1"/>
  <c r="S4237" i="1"/>
  <c r="R4237" i="1"/>
  <c r="Q4237" i="1"/>
  <c r="M4237" i="1"/>
  <c r="L4237" i="1"/>
  <c r="V4236" i="1"/>
  <c r="Z4236" i="1" s="1"/>
  <c r="U4236" i="1"/>
  <c r="T4236" i="1"/>
  <c r="S4236" i="1"/>
  <c r="R4236" i="1"/>
  <c r="Q4236" i="1"/>
  <c r="M4236" i="1"/>
  <c r="L4236" i="1"/>
  <c r="V4235" i="1"/>
  <c r="Z4235" i="1" s="1"/>
  <c r="U4235" i="1"/>
  <c r="T4235" i="1"/>
  <c r="W4235" i="1" s="1"/>
  <c r="S4235" i="1"/>
  <c r="R4235" i="1"/>
  <c r="Q4235" i="1"/>
  <c r="M4235" i="1"/>
  <c r="L4235" i="1"/>
  <c r="V4234" i="1"/>
  <c r="U4234" i="1"/>
  <c r="T4234" i="1"/>
  <c r="W4234" i="1" s="1"/>
  <c r="S4234" i="1"/>
  <c r="R4234" i="1"/>
  <c r="Q4234" i="1"/>
  <c r="M4234" i="1"/>
  <c r="L4234" i="1"/>
  <c r="V4233" i="1"/>
  <c r="Z4233" i="1" s="1"/>
  <c r="U4233" i="1"/>
  <c r="T4233" i="1"/>
  <c r="W4233" i="1" s="1"/>
  <c r="S4233" i="1"/>
  <c r="R4233" i="1"/>
  <c r="Q4233" i="1"/>
  <c r="M4233" i="1"/>
  <c r="L4233" i="1"/>
  <c r="V4232" i="1"/>
  <c r="Z4232" i="1" s="1"/>
  <c r="U4232" i="1"/>
  <c r="T4232" i="1"/>
  <c r="S4232" i="1"/>
  <c r="R4232" i="1"/>
  <c r="Q4232" i="1"/>
  <c r="M4232" i="1"/>
  <c r="L4232" i="1"/>
  <c r="V4231" i="1"/>
  <c r="Z4231" i="1" s="1"/>
  <c r="U4231" i="1"/>
  <c r="T4231" i="1"/>
  <c r="W4231" i="1" s="1"/>
  <c r="S4231" i="1"/>
  <c r="R4231" i="1"/>
  <c r="Q4231" i="1"/>
  <c r="M4231" i="1"/>
  <c r="L4231" i="1"/>
  <c r="V4230" i="1"/>
  <c r="Z4230" i="1" s="1"/>
  <c r="U4230" i="1"/>
  <c r="T4230" i="1"/>
  <c r="W4230" i="1" s="1"/>
  <c r="S4230" i="1"/>
  <c r="R4230" i="1"/>
  <c r="Q4230" i="1"/>
  <c r="M4230" i="1"/>
  <c r="L4230" i="1"/>
  <c r="V4229" i="1"/>
  <c r="Z4229" i="1" s="1"/>
  <c r="U4229" i="1"/>
  <c r="T4229" i="1"/>
  <c r="W4229" i="1" s="1"/>
  <c r="S4229" i="1"/>
  <c r="R4229" i="1"/>
  <c r="Q4229" i="1"/>
  <c r="M4229" i="1"/>
  <c r="L4229" i="1"/>
  <c r="V4228" i="1"/>
  <c r="Z4228" i="1" s="1"/>
  <c r="U4228" i="1"/>
  <c r="T4228" i="1"/>
  <c r="S4228" i="1"/>
  <c r="R4228" i="1"/>
  <c r="Q4228" i="1"/>
  <c r="M4228" i="1"/>
  <c r="L4228" i="1"/>
  <c r="V4227" i="1"/>
  <c r="Z4227" i="1" s="1"/>
  <c r="U4227" i="1"/>
  <c r="T4227" i="1"/>
  <c r="W4227" i="1" s="1"/>
  <c r="S4227" i="1"/>
  <c r="R4227" i="1"/>
  <c r="Q4227" i="1"/>
  <c r="M4227" i="1"/>
  <c r="L4227" i="1"/>
  <c r="V4226" i="1"/>
  <c r="Z4226" i="1" s="1"/>
  <c r="U4226" i="1"/>
  <c r="T4226" i="1"/>
  <c r="W4226" i="1" s="1"/>
  <c r="S4226" i="1"/>
  <c r="R4226" i="1"/>
  <c r="Q4226" i="1"/>
  <c r="M4226" i="1"/>
  <c r="L4226" i="1"/>
  <c r="V4225" i="1"/>
  <c r="Z4225" i="1" s="1"/>
  <c r="U4225" i="1"/>
  <c r="T4225" i="1"/>
  <c r="W4225" i="1" s="1"/>
  <c r="S4225" i="1"/>
  <c r="R4225" i="1"/>
  <c r="Q4225" i="1"/>
  <c r="M4225" i="1"/>
  <c r="L4225" i="1"/>
  <c r="V4224" i="1"/>
  <c r="U4224" i="1"/>
  <c r="T4224" i="1"/>
  <c r="S4224" i="1"/>
  <c r="R4224" i="1"/>
  <c r="Q4224" i="1"/>
  <c r="M4224" i="1"/>
  <c r="L4224" i="1"/>
  <c r="V4223" i="1"/>
  <c r="Z4223" i="1" s="1"/>
  <c r="U4223" i="1"/>
  <c r="T4223" i="1"/>
  <c r="W4223" i="1" s="1"/>
  <c r="S4223" i="1"/>
  <c r="R4223" i="1"/>
  <c r="Q4223" i="1"/>
  <c r="M4223" i="1"/>
  <c r="L4223" i="1"/>
  <c r="V4222" i="1"/>
  <c r="U4222" i="1"/>
  <c r="T4222" i="1"/>
  <c r="W4222" i="1" s="1"/>
  <c r="S4222" i="1"/>
  <c r="R4222" i="1"/>
  <c r="Q4222" i="1"/>
  <c r="M4222" i="1"/>
  <c r="L4222" i="1"/>
  <c r="V4221" i="1"/>
  <c r="U4221" i="1"/>
  <c r="T4221" i="1"/>
  <c r="W4221" i="1" s="1"/>
  <c r="S4221" i="1"/>
  <c r="R4221" i="1"/>
  <c r="Q4221" i="1"/>
  <c r="M4221" i="1"/>
  <c r="L4221" i="1"/>
  <c r="V4220" i="1"/>
  <c r="Z4220" i="1" s="1"/>
  <c r="U4220" i="1"/>
  <c r="T4220" i="1"/>
  <c r="S4220" i="1"/>
  <c r="R4220" i="1"/>
  <c r="Q4220" i="1"/>
  <c r="M4220" i="1"/>
  <c r="L4220" i="1"/>
  <c r="V4219" i="1"/>
  <c r="Z4219" i="1" s="1"/>
  <c r="U4219" i="1"/>
  <c r="T4219" i="1"/>
  <c r="W4219" i="1" s="1"/>
  <c r="S4219" i="1"/>
  <c r="R4219" i="1"/>
  <c r="Q4219" i="1"/>
  <c r="M4219" i="1"/>
  <c r="L4219" i="1"/>
  <c r="V4218" i="1"/>
  <c r="U4218" i="1"/>
  <c r="T4218" i="1"/>
  <c r="W4218" i="1" s="1"/>
  <c r="S4218" i="1"/>
  <c r="R4218" i="1"/>
  <c r="Q4218" i="1"/>
  <c r="M4218" i="1"/>
  <c r="L4218" i="1"/>
  <c r="V4217" i="1"/>
  <c r="Z4217" i="1" s="1"/>
  <c r="U4217" i="1"/>
  <c r="T4217" i="1"/>
  <c r="W4217" i="1" s="1"/>
  <c r="S4217" i="1"/>
  <c r="R4217" i="1"/>
  <c r="Q4217" i="1"/>
  <c r="M4217" i="1"/>
  <c r="L4217" i="1"/>
  <c r="V4216" i="1"/>
  <c r="Z4216" i="1" s="1"/>
  <c r="U4216" i="1"/>
  <c r="T4216" i="1"/>
  <c r="S4216" i="1"/>
  <c r="R4216" i="1"/>
  <c r="Q4216" i="1"/>
  <c r="M4216" i="1"/>
  <c r="L4216" i="1"/>
  <c r="V4215" i="1"/>
  <c r="Z4215" i="1" s="1"/>
  <c r="U4215" i="1"/>
  <c r="T4215" i="1"/>
  <c r="W4215" i="1" s="1"/>
  <c r="S4215" i="1"/>
  <c r="R4215" i="1"/>
  <c r="Q4215" i="1"/>
  <c r="M4215" i="1"/>
  <c r="L4215" i="1"/>
  <c r="V4214" i="1"/>
  <c r="Z4214" i="1" s="1"/>
  <c r="U4214" i="1"/>
  <c r="T4214" i="1"/>
  <c r="W4214" i="1" s="1"/>
  <c r="S4214" i="1"/>
  <c r="R4214" i="1"/>
  <c r="Q4214" i="1"/>
  <c r="M4214" i="1"/>
  <c r="L4214" i="1"/>
  <c r="V4213" i="1"/>
  <c r="Z4213" i="1" s="1"/>
  <c r="U4213" i="1"/>
  <c r="T4213" i="1"/>
  <c r="W4213" i="1" s="1"/>
  <c r="S4213" i="1"/>
  <c r="R4213" i="1"/>
  <c r="Q4213" i="1"/>
  <c r="M4213" i="1"/>
  <c r="L4213" i="1"/>
  <c r="V4212" i="1"/>
  <c r="Z4212" i="1" s="1"/>
  <c r="U4212" i="1"/>
  <c r="T4212" i="1"/>
  <c r="W4212" i="1" s="1"/>
  <c r="S4212" i="1"/>
  <c r="R4212" i="1"/>
  <c r="Q4212" i="1"/>
  <c r="M4212" i="1"/>
  <c r="L4212" i="1"/>
  <c r="V4211" i="1"/>
  <c r="Z4211" i="1" s="1"/>
  <c r="U4211" i="1"/>
  <c r="T4211" i="1"/>
  <c r="S4211" i="1"/>
  <c r="R4211" i="1"/>
  <c r="Q4211" i="1"/>
  <c r="M4211" i="1"/>
  <c r="L4211" i="1"/>
  <c r="V4210" i="1"/>
  <c r="U4210" i="1"/>
  <c r="T4210" i="1"/>
  <c r="W4210" i="1" s="1"/>
  <c r="S4210" i="1"/>
  <c r="R4210" i="1"/>
  <c r="Q4210" i="1"/>
  <c r="M4210" i="1"/>
  <c r="L4210" i="1"/>
  <c r="V4209" i="1"/>
  <c r="Z4209" i="1" s="1"/>
  <c r="U4209" i="1"/>
  <c r="T4209" i="1"/>
  <c r="W4209" i="1" s="1"/>
  <c r="S4209" i="1"/>
  <c r="R4209" i="1"/>
  <c r="Q4209" i="1"/>
  <c r="M4209" i="1"/>
  <c r="L4209" i="1"/>
  <c r="V4208" i="1"/>
  <c r="U4208" i="1"/>
  <c r="T4208" i="1"/>
  <c r="S4208" i="1"/>
  <c r="R4208" i="1"/>
  <c r="Q4208" i="1"/>
  <c r="M4208" i="1"/>
  <c r="L4208" i="1"/>
  <c r="V4207" i="1"/>
  <c r="Z4207" i="1" s="1"/>
  <c r="U4207" i="1"/>
  <c r="T4207" i="1"/>
  <c r="S4207" i="1"/>
  <c r="R4207" i="1"/>
  <c r="Q4207" i="1"/>
  <c r="M4207" i="1"/>
  <c r="L4207" i="1"/>
  <c r="V4206" i="1"/>
  <c r="Z4206" i="1" s="1"/>
  <c r="U4206" i="1"/>
  <c r="T4206" i="1"/>
  <c r="W4206" i="1" s="1"/>
  <c r="S4206" i="1"/>
  <c r="R4206" i="1"/>
  <c r="Q4206" i="1"/>
  <c r="M4206" i="1"/>
  <c r="L4206" i="1"/>
  <c r="V4205" i="1"/>
  <c r="Z4205" i="1" s="1"/>
  <c r="U4205" i="1"/>
  <c r="T4205" i="1"/>
  <c r="W4205" i="1" s="1"/>
  <c r="S4205" i="1"/>
  <c r="R4205" i="1"/>
  <c r="Q4205" i="1"/>
  <c r="M4205" i="1"/>
  <c r="L4205" i="1"/>
  <c r="V4204" i="1"/>
  <c r="Z4204" i="1" s="1"/>
  <c r="U4204" i="1"/>
  <c r="T4204" i="1"/>
  <c r="W4204" i="1" s="1"/>
  <c r="S4204" i="1"/>
  <c r="R4204" i="1"/>
  <c r="Q4204" i="1"/>
  <c r="M4204" i="1"/>
  <c r="L4204" i="1"/>
  <c r="V4203" i="1"/>
  <c r="Z4203" i="1" s="1"/>
  <c r="U4203" i="1"/>
  <c r="T4203" i="1"/>
  <c r="W4203" i="1" s="1"/>
  <c r="S4203" i="1"/>
  <c r="R4203" i="1"/>
  <c r="Q4203" i="1"/>
  <c r="M4203" i="1"/>
  <c r="L4203" i="1"/>
  <c r="V4202" i="1"/>
  <c r="U4202" i="1"/>
  <c r="T4202" i="1"/>
  <c r="W4202" i="1" s="1"/>
  <c r="S4202" i="1"/>
  <c r="R4202" i="1"/>
  <c r="Q4202" i="1"/>
  <c r="M4202" i="1"/>
  <c r="L4202" i="1"/>
  <c r="V4201" i="1"/>
  <c r="Z4201" i="1" s="1"/>
  <c r="U4201" i="1"/>
  <c r="T4201" i="1"/>
  <c r="W4201" i="1" s="1"/>
  <c r="S4201" i="1"/>
  <c r="R4201" i="1"/>
  <c r="Q4201" i="1"/>
  <c r="M4201" i="1"/>
  <c r="L4201" i="1"/>
  <c r="V4200" i="1"/>
  <c r="Z4200" i="1" s="1"/>
  <c r="U4200" i="1"/>
  <c r="T4200" i="1"/>
  <c r="W4200" i="1" s="1"/>
  <c r="S4200" i="1"/>
  <c r="R4200" i="1"/>
  <c r="Q4200" i="1"/>
  <c r="M4200" i="1"/>
  <c r="L4200" i="1"/>
  <c r="V4199" i="1"/>
  <c r="Z4199" i="1" s="1"/>
  <c r="U4199" i="1"/>
  <c r="T4199" i="1"/>
  <c r="W4199" i="1" s="1"/>
  <c r="S4199" i="1"/>
  <c r="R4199" i="1"/>
  <c r="Q4199" i="1"/>
  <c r="M4199" i="1"/>
  <c r="L4199" i="1"/>
  <c r="V4198" i="1"/>
  <c r="U4198" i="1"/>
  <c r="T4198" i="1"/>
  <c r="W4198" i="1" s="1"/>
  <c r="S4198" i="1"/>
  <c r="R4198" i="1"/>
  <c r="Q4198" i="1"/>
  <c r="M4198" i="1"/>
  <c r="L4198" i="1"/>
  <c r="V4197" i="1"/>
  <c r="Z4197" i="1" s="1"/>
  <c r="U4197" i="1"/>
  <c r="T4197" i="1"/>
  <c r="W4197" i="1" s="1"/>
  <c r="S4197" i="1"/>
  <c r="R4197" i="1"/>
  <c r="Q4197" i="1"/>
  <c r="M4197" i="1"/>
  <c r="L4197" i="1"/>
  <c r="V4196" i="1"/>
  <c r="U4196" i="1"/>
  <c r="T4196" i="1"/>
  <c r="S4196" i="1"/>
  <c r="R4196" i="1"/>
  <c r="Q4196" i="1"/>
  <c r="M4196" i="1"/>
  <c r="L4196" i="1"/>
  <c r="V4195" i="1"/>
  <c r="U4195" i="1"/>
  <c r="T4195" i="1"/>
  <c r="S4195" i="1"/>
  <c r="R4195" i="1"/>
  <c r="Q4195" i="1"/>
  <c r="M4195" i="1"/>
  <c r="L4195" i="1"/>
  <c r="V4194" i="1"/>
  <c r="Z4194" i="1" s="1"/>
  <c r="U4194" i="1"/>
  <c r="T4194" i="1"/>
  <c r="W4194" i="1" s="1"/>
  <c r="S4194" i="1"/>
  <c r="R4194" i="1"/>
  <c r="Q4194" i="1"/>
  <c r="M4194" i="1"/>
  <c r="L4194" i="1"/>
  <c r="V4193" i="1"/>
  <c r="Z4193" i="1" s="1"/>
  <c r="U4193" i="1"/>
  <c r="T4193" i="1"/>
  <c r="W4193" i="1" s="1"/>
  <c r="S4193" i="1"/>
  <c r="R4193" i="1"/>
  <c r="Q4193" i="1"/>
  <c r="M4193" i="1"/>
  <c r="L4193" i="1"/>
  <c r="V4192" i="1"/>
  <c r="Z4192" i="1" s="1"/>
  <c r="U4192" i="1"/>
  <c r="T4192" i="1"/>
  <c r="W4192" i="1" s="1"/>
  <c r="S4192" i="1"/>
  <c r="R4192" i="1"/>
  <c r="Q4192" i="1"/>
  <c r="M4192" i="1"/>
  <c r="L4192" i="1"/>
  <c r="V4191" i="1"/>
  <c r="Z4191" i="1" s="1"/>
  <c r="U4191" i="1"/>
  <c r="T4191" i="1"/>
  <c r="W4191" i="1" s="1"/>
  <c r="S4191" i="1"/>
  <c r="R4191" i="1"/>
  <c r="Q4191" i="1"/>
  <c r="M4191" i="1"/>
  <c r="L4191" i="1"/>
  <c r="V4190" i="1"/>
  <c r="Z4190" i="1" s="1"/>
  <c r="U4190" i="1"/>
  <c r="T4190" i="1"/>
  <c r="W4190" i="1" s="1"/>
  <c r="S4190" i="1"/>
  <c r="R4190" i="1"/>
  <c r="Q4190" i="1"/>
  <c r="M4190" i="1"/>
  <c r="L4190" i="1"/>
  <c r="V4189" i="1"/>
  <c r="Z4189" i="1" s="1"/>
  <c r="U4189" i="1"/>
  <c r="T4189" i="1"/>
  <c r="W4189" i="1" s="1"/>
  <c r="S4189" i="1"/>
  <c r="R4189" i="1"/>
  <c r="Q4189" i="1"/>
  <c r="M4189" i="1"/>
  <c r="L4189" i="1"/>
  <c r="V4188" i="1"/>
  <c r="Z4188" i="1" s="1"/>
  <c r="U4188" i="1"/>
  <c r="T4188" i="1"/>
  <c r="S4188" i="1"/>
  <c r="R4188" i="1"/>
  <c r="Q4188" i="1"/>
  <c r="M4188" i="1"/>
  <c r="L4188" i="1"/>
  <c r="V4187" i="1"/>
  <c r="Z4187" i="1" s="1"/>
  <c r="U4187" i="1"/>
  <c r="T4187" i="1"/>
  <c r="W4187" i="1" s="1"/>
  <c r="S4187" i="1"/>
  <c r="R4187" i="1"/>
  <c r="Q4187" i="1"/>
  <c r="M4187" i="1"/>
  <c r="L4187" i="1"/>
  <c r="V4186" i="1"/>
  <c r="Z4186" i="1" s="1"/>
  <c r="U4186" i="1"/>
  <c r="T4186" i="1"/>
  <c r="W4186" i="1" s="1"/>
  <c r="S4186" i="1"/>
  <c r="R4186" i="1"/>
  <c r="Q4186" i="1"/>
  <c r="M4186" i="1"/>
  <c r="L4186" i="1"/>
  <c r="V4185" i="1"/>
  <c r="U4185" i="1"/>
  <c r="T4185" i="1"/>
  <c r="S4185" i="1"/>
  <c r="R4185" i="1"/>
  <c r="Q4185" i="1"/>
  <c r="M4185" i="1"/>
  <c r="L4185" i="1"/>
  <c r="V4184" i="1"/>
  <c r="Z4184" i="1" s="1"/>
  <c r="U4184" i="1"/>
  <c r="T4184" i="1"/>
  <c r="S4184" i="1"/>
  <c r="R4184" i="1"/>
  <c r="Q4184" i="1"/>
  <c r="M4184" i="1"/>
  <c r="L4184" i="1"/>
  <c r="V4183" i="1"/>
  <c r="Z4183" i="1" s="1"/>
  <c r="U4183" i="1"/>
  <c r="T4183" i="1"/>
  <c r="S4183" i="1"/>
  <c r="R4183" i="1"/>
  <c r="Q4183" i="1"/>
  <c r="M4183" i="1"/>
  <c r="L4183" i="1"/>
  <c r="V4182" i="1"/>
  <c r="U4182" i="1"/>
  <c r="T4182" i="1"/>
  <c r="W4182" i="1" s="1"/>
  <c r="S4182" i="1"/>
  <c r="R4182" i="1"/>
  <c r="Q4182" i="1"/>
  <c r="M4182" i="1"/>
  <c r="L4182" i="1"/>
  <c r="V4181" i="1"/>
  <c r="U4181" i="1"/>
  <c r="T4181" i="1"/>
  <c r="W4181" i="1" s="1"/>
  <c r="S4181" i="1"/>
  <c r="R4181" i="1"/>
  <c r="Q4181" i="1"/>
  <c r="M4181" i="1"/>
  <c r="L4181" i="1"/>
  <c r="V4180" i="1"/>
  <c r="Z4180" i="1" s="1"/>
  <c r="U4180" i="1"/>
  <c r="T4180" i="1"/>
  <c r="W4180" i="1" s="1"/>
  <c r="S4180" i="1"/>
  <c r="R4180" i="1"/>
  <c r="Q4180" i="1"/>
  <c r="M4180" i="1"/>
  <c r="L4180" i="1"/>
  <c r="V4179" i="1"/>
  <c r="Z4179" i="1" s="1"/>
  <c r="U4179" i="1"/>
  <c r="T4179" i="1"/>
  <c r="W4179" i="1" s="1"/>
  <c r="S4179" i="1"/>
  <c r="R4179" i="1"/>
  <c r="Q4179" i="1"/>
  <c r="M4179" i="1"/>
  <c r="L4179" i="1"/>
  <c r="V4178" i="1"/>
  <c r="Z4178" i="1" s="1"/>
  <c r="U4178" i="1"/>
  <c r="T4178" i="1"/>
  <c r="W4178" i="1" s="1"/>
  <c r="S4178" i="1"/>
  <c r="R4178" i="1"/>
  <c r="Q4178" i="1"/>
  <c r="M4178" i="1"/>
  <c r="L4178" i="1"/>
  <c r="V4177" i="1"/>
  <c r="Z4177" i="1" s="1"/>
  <c r="U4177" i="1"/>
  <c r="T4177" i="1"/>
  <c r="W4177" i="1" s="1"/>
  <c r="S4177" i="1"/>
  <c r="R4177" i="1"/>
  <c r="Q4177" i="1"/>
  <c r="M4177" i="1"/>
  <c r="L4177" i="1"/>
  <c r="V4176" i="1"/>
  <c r="Z4176" i="1" s="1"/>
  <c r="U4176" i="1"/>
  <c r="T4176" i="1"/>
  <c r="W4176" i="1" s="1"/>
  <c r="S4176" i="1"/>
  <c r="R4176" i="1"/>
  <c r="Q4176" i="1"/>
  <c r="M4176" i="1"/>
  <c r="L4176" i="1"/>
  <c r="V4175" i="1"/>
  <c r="Z4175" i="1" s="1"/>
  <c r="U4175" i="1"/>
  <c r="T4175" i="1"/>
  <c r="W4175" i="1" s="1"/>
  <c r="S4175" i="1"/>
  <c r="R4175" i="1"/>
  <c r="Q4175" i="1"/>
  <c r="M4175" i="1"/>
  <c r="L4175" i="1"/>
  <c r="V4174" i="1"/>
  <c r="Z4174" i="1" s="1"/>
  <c r="U4174" i="1"/>
  <c r="T4174" i="1"/>
  <c r="W4174" i="1" s="1"/>
  <c r="S4174" i="1"/>
  <c r="R4174" i="1"/>
  <c r="Q4174" i="1"/>
  <c r="M4174" i="1"/>
  <c r="L4174" i="1"/>
  <c r="V4173" i="1"/>
  <c r="Z4173" i="1" s="1"/>
  <c r="U4173" i="1"/>
  <c r="T4173" i="1"/>
  <c r="W4173" i="1" s="1"/>
  <c r="S4173" i="1"/>
  <c r="R4173" i="1"/>
  <c r="Q4173" i="1"/>
  <c r="M4173" i="1"/>
  <c r="L4173" i="1"/>
  <c r="V4172" i="1"/>
  <c r="Z4172" i="1" s="1"/>
  <c r="U4172" i="1"/>
  <c r="T4172" i="1"/>
  <c r="W4172" i="1" s="1"/>
  <c r="S4172" i="1"/>
  <c r="R4172" i="1"/>
  <c r="Q4172" i="1"/>
  <c r="M4172" i="1"/>
  <c r="L4172" i="1"/>
  <c r="V4171" i="1"/>
  <c r="Z4171" i="1" s="1"/>
  <c r="U4171" i="1"/>
  <c r="T4171" i="1"/>
  <c r="S4171" i="1"/>
  <c r="R4171" i="1"/>
  <c r="Q4171" i="1"/>
  <c r="M4171" i="1"/>
  <c r="L4171" i="1"/>
  <c r="V4170" i="1"/>
  <c r="U4170" i="1"/>
  <c r="T4170" i="1"/>
  <c r="W4170" i="1" s="1"/>
  <c r="S4170" i="1"/>
  <c r="R4170" i="1"/>
  <c r="Q4170" i="1"/>
  <c r="M4170" i="1"/>
  <c r="L4170" i="1"/>
  <c r="V4169" i="1"/>
  <c r="U4169" i="1"/>
  <c r="T4169" i="1"/>
  <c r="W4169" i="1" s="1"/>
  <c r="S4169" i="1"/>
  <c r="R4169" i="1"/>
  <c r="Q4169" i="1"/>
  <c r="M4169" i="1"/>
  <c r="L4169" i="1"/>
  <c r="V4168" i="1"/>
  <c r="U4168" i="1"/>
  <c r="T4168" i="1"/>
  <c r="S4168" i="1"/>
  <c r="R4168" i="1"/>
  <c r="Q4168" i="1"/>
  <c r="M4168" i="1"/>
  <c r="L4168" i="1"/>
  <c r="V4167" i="1"/>
  <c r="Z4167" i="1" s="1"/>
  <c r="U4167" i="1"/>
  <c r="T4167" i="1"/>
  <c r="W4167" i="1" s="1"/>
  <c r="S4167" i="1"/>
  <c r="R4167" i="1"/>
  <c r="Q4167" i="1"/>
  <c r="M4167" i="1"/>
  <c r="L4167" i="1"/>
  <c r="V4166" i="1"/>
  <c r="Z4166" i="1" s="1"/>
  <c r="U4166" i="1"/>
  <c r="T4166" i="1"/>
  <c r="W4166" i="1" s="1"/>
  <c r="S4166" i="1"/>
  <c r="R4166" i="1"/>
  <c r="Q4166" i="1"/>
  <c r="M4166" i="1"/>
  <c r="L4166" i="1"/>
  <c r="V4165" i="1"/>
  <c r="Z4165" i="1" s="1"/>
  <c r="U4165" i="1"/>
  <c r="T4165" i="1"/>
  <c r="W4165" i="1" s="1"/>
  <c r="S4165" i="1"/>
  <c r="R4165" i="1"/>
  <c r="Q4165" i="1"/>
  <c r="M4165" i="1"/>
  <c r="L4165" i="1"/>
  <c r="V4164" i="1"/>
  <c r="Z4164" i="1" s="1"/>
  <c r="U4164" i="1"/>
  <c r="T4164" i="1"/>
  <c r="W4164" i="1" s="1"/>
  <c r="S4164" i="1"/>
  <c r="R4164" i="1"/>
  <c r="Q4164" i="1"/>
  <c r="M4164" i="1"/>
  <c r="L4164" i="1"/>
  <c r="V4163" i="1"/>
  <c r="Z4163" i="1" s="1"/>
  <c r="U4163" i="1"/>
  <c r="T4163" i="1"/>
  <c r="W4163" i="1" s="1"/>
  <c r="S4163" i="1"/>
  <c r="R4163" i="1"/>
  <c r="Q4163" i="1"/>
  <c r="M4163" i="1"/>
  <c r="L4163" i="1"/>
  <c r="V4162" i="1"/>
  <c r="Z4162" i="1" s="1"/>
  <c r="U4162" i="1"/>
  <c r="T4162" i="1"/>
  <c r="W4162" i="1" s="1"/>
  <c r="S4162" i="1"/>
  <c r="R4162" i="1"/>
  <c r="Q4162" i="1"/>
  <c r="M4162" i="1"/>
  <c r="L4162" i="1"/>
  <c r="V4161" i="1"/>
  <c r="Z4161" i="1" s="1"/>
  <c r="U4161" i="1"/>
  <c r="T4161" i="1"/>
  <c r="S4161" i="1"/>
  <c r="R4161" i="1"/>
  <c r="Q4161" i="1"/>
  <c r="M4161" i="1"/>
  <c r="L4161" i="1"/>
  <c r="V4160" i="1"/>
  <c r="Z4160" i="1" s="1"/>
  <c r="U4160" i="1"/>
  <c r="T4160" i="1"/>
  <c r="W4160" i="1" s="1"/>
  <c r="S4160" i="1"/>
  <c r="R4160" i="1"/>
  <c r="Q4160" i="1"/>
  <c r="M4160" i="1"/>
  <c r="L4160" i="1"/>
  <c r="V4159" i="1"/>
  <c r="Z4159" i="1" s="1"/>
  <c r="U4159" i="1"/>
  <c r="T4159" i="1"/>
  <c r="S4159" i="1"/>
  <c r="R4159" i="1"/>
  <c r="Q4159" i="1"/>
  <c r="M4159" i="1"/>
  <c r="L4159" i="1"/>
  <c r="V4158" i="1"/>
  <c r="U4158" i="1"/>
  <c r="T4158" i="1"/>
  <c r="W4158" i="1" s="1"/>
  <c r="S4158" i="1"/>
  <c r="R4158" i="1"/>
  <c r="Q4158" i="1"/>
  <c r="M4158" i="1"/>
  <c r="L4158" i="1"/>
  <c r="V4157" i="1"/>
  <c r="Z4157" i="1" s="1"/>
  <c r="U4157" i="1"/>
  <c r="T4157" i="1"/>
  <c r="S4157" i="1"/>
  <c r="R4157" i="1"/>
  <c r="Q4157" i="1"/>
  <c r="M4157" i="1"/>
  <c r="L4157" i="1"/>
  <c r="V4156" i="1"/>
  <c r="U4156" i="1"/>
  <c r="T4156" i="1"/>
  <c r="S4156" i="1"/>
  <c r="R4156" i="1"/>
  <c r="Q4156" i="1"/>
  <c r="M4156" i="1"/>
  <c r="L4156" i="1"/>
  <c r="V4155" i="1"/>
  <c r="Z4155" i="1" s="1"/>
  <c r="U4155" i="1"/>
  <c r="T4155" i="1"/>
  <c r="W4155" i="1" s="1"/>
  <c r="S4155" i="1"/>
  <c r="R4155" i="1"/>
  <c r="Q4155" i="1"/>
  <c r="M4155" i="1"/>
  <c r="L4155" i="1"/>
  <c r="V4154" i="1"/>
  <c r="Z4154" i="1" s="1"/>
  <c r="U4154" i="1"/>
  <c r="T4154" i="1"/>
  <c r="W4154" i="1" s="1"/>
  <c r="S4154" i="1"/>
  <c r="R4154" i="1"/>
  <c r="Q4154" i="1"/>
  <c r="M4154" i="1"/>
  <c r="L4154" i="1"/>
  <c r="V4153" i="1"/>
  <c r="Z4153" i="1" s="1"/>
  <c r="U4153" i="1"/>
  <c r="T4153" i="1"/>
  <c r="W4153" i="1" s="1"/>
  <c r="S4153" i="1"/>
  <c r="R4153" i="1"/>
  <c r="Q4153" i="1"/>
  <c r="M4153" i="1"/>
  <c r="L4153" i="1"/>
  <c r="V4152" i="1"/>
  <c r="Z4152" i="1" s="1"/>
  <c r="U4152" i="1"/>
  <c r="T4152" i="1"/>
  <c r="W4152" i="1" s="1"/>
  <c r="S4152" i="1"/>
  <c r="R4152" i="1"/>
  <c r="Q4152" i="1"/>
  <c r="M4152" i="1"/>
  <c r="L4152" i="1"/>
  <c r="V4151" i="1"/>
  <c r="Z4151" i="1" s="1"/>
  <c r="U4151" i="1"/>
  <c r="T4151" i="1"/>
  <c r="S4151" i="1"/>
  <c r="R4151" i="1"/>
  <c r="Q4151" i="1"/>
  <c r="M4151" i="1"/>
  <c r="L4151" i="1"/>
  <c r="V4150" i="1"/>
  <c r="Z4150" i="1" s="1"/>
  <c r="U4150" i="1"/>
  <c r="T4150" i="1"/>
  <c r="W4150" i="1" s="1"/>
  <c r="S4150" i="1"/>
  <c r="R4150" i="1"/>
  <c r="Q4150" i="1"/>
  <c r="M4150" i="1"/>
  <c r="L4150" i="1"/>
  <c r="V4149" i="1"/>
  <c r="Z4149" i="1" s="1"/>
  <c r="U4149" i="1"/>
  <c r="T4149" i="1"/>
  <c r="W4149" i="1" s="1"/>
  <c r="S4149" i="1"/>
  <c r="R4149" i="1"/>
  <c r="Q4149" i="1"/>
  <c r="M4149" i="1"/>
  <c r="L4149" i="1"/>
  <c r="V4148" i="1"/>
  <c r="Z4148" i="1" s="1"/>
  <c r="U4148" i="1"/>
  <c r="T4148" i="1"/>
  <c r="W4148" i="1" s="1"/>
  <c r="S4148" i="1"/>
  <c r="R4148" i="1"/>
  <c r="Q4148" i="1"/>
  <c r="M4148" i="1"/>
  <c r="L4148" i="1"/>
  <c r="V4147" i="1"/>
  <c r="Z4147" i="1" s="1"/>
  <c r="U4147" i="1"/>
  <c r="T4147" i="1"/>
  <c r="S4147" i="1"/>
  <c r="R4147" i="1"/>
  <c r="Q4147" i="1"/>
  <c r="M4147" i="1"/>
  <c r="L4147" i="1"/>
  <c r="V4146" i="1"/>
  <c r="Z4146" i="1" s="1"/>
  <c r="U4146" i="1"/>
  <c r="T4146" i="1"/>
  <c r="W4146" i="1" s="1"/>
  <c r="S4146" i="1"/>
  <c r="R4146" i="1"/>
  <c r="Q4146" i="1"/>
  <c r="M4146" i="1"/>
  <c r="L4146" i="1"/>
  <c r="V4145" i="1"/>
  <c r="Z4145" i="1" s="1"/>
  <c r="U4145" i="1"/>
  <c r="T4145" i="1"/>
  <c r="W4145" i="1" s="1"/>
  <c r="S4145" i="1"/>
  <c r="R4145" i="1"/>
  <c r="Q4145" i="1"/>
  <c r="M4145" i="1"/>
  <c r="L4145" i="1"/>
  <c r="V4144" i="1"/>
  <c r="Z4144" i="1" s="1"/>
  <c r="U4144" i="1"/>
  <c r="T4144" i="1"/>
  <c r="W4144" i="1" s="1"/>
  <c r="S4144" i="1"/>
  <c r="R4144" i="1"/>
  <c r="Q4144" i="1"/>
  <c r="M4144" i="1"/>
  <c r="L4144" i="1"/>
  <c r="V4143" i="1"/>
  <c r="Z4143" i="1" s="1"/>
  <c r="U4143" i="1"/>
  <c r="T4143" i="1"/>
  <c r="W4143" i="1" s="1"/>
  <c r="S4143" i="1"/>
  <c r="R4143" i="1"/>
  <c r="Q4143" i="1"/>
  <c r="M4143" i="1"/>
  <c r="L4143" i="1"/>
  <c r="V4142" i="1"/>
  <c r="Z4142" i="1" s="1"/>
  <c r="U4142" i="1"/>
  <c r="T4142" i="1"/>
  <c r="W4142" i="1" s="1"/>
  <c r="S4142" i="1"/>
  <c r="R4142" i="1"/>
  <c r="Q4142" i="1"/>
  <c r="M4142" i="1"/>
  <c r="L4142" i="1"/>
  <c r="V4141" i="1"/>
  <c r="Z4141" i="1" s="1"/>
  <c r="U4141" i="1"/>
  <c r="T4141" i="1"/>
  <c r="W4141" i="1" s="1"/>
  <c r="S4141" i="1"/>
  <c r="R4141" i="1"/>
  <c r="Q4141" i="1"/>
  <c r="M4141" i="1"/>
  <c r="L4141" i="1"/>
  <c r="V4140" i="1"/>
  <c r="Z4140" i="1" s="1"/>
  <c r="U4140" i="1"/>
  <c r="T4140" i="1"/>
  <c r="W4140" i="1" s="1"/>
  <c r="S4140" i="1"/>
  <c r="R4140" i="1"/>
  <c r="Q4140" i="1"/>
  <c r="M4140" i="1"/>
  <c r="L4140" i="1"/>
  <c r="V4139" i="1"/>
  <c r="Z4139" i="1" s="1"/>
  <c r="U4139" i="1"/>
  <c r="T4139" i="1"/>
  <c r="W4139" i="1" s="1"/>
  <c r="S4139" i="1"/>
  <c r="R4139" i="1"/>
  <c r="Q4139" i="1"/>
  <c r="M4139" i="1"/>
  <c r="L4139" i="1"/>
  <c r="V4138" i="1"/>
  <c r="Z4138" i="1" s="1"/>
  <c r="U4138" i="1"/>
  <c r="T4138" i="1"/>
  <c r="W4138" i="1" s="1"/>
  <c r="S4138" i="1"/>
  <c r="R4138" i="1"/>
  <c r="Q4138" i="1"/>
  <c r="M4138" i="1"/>
  <c r="L4138" i="1"/>
  <c r="V4137" i="1"/>
  <c r="Z4137" i="1" s="1"/>
  <c r="U4137" i="1"/>
  <c r="T4137" i="1"/>
  <c r="W4137" i="1" s="1"/>
  <c r="S4137" i="1"/>
  <c r="R4137" i="1"/>
  <c r="Q4137" i="1"/>
  <c r="M4137" i="1"/>
  <c r="L4137" i="1"/>
  <c r="V4136" i="1"/>
  <c r="Z4136" i="1" s="1"/>
  <c r="U4136" i="1"/>
  <c r="T4136" i="1"/>
  <c r="W4136" i="1" s="1"/>
  <c r="S4136" i="1"/>
  <c r="R4136" i="1"/>
  <c r="Q4136" i="1"/>
  <c r="M4136" i="1"/>
  <c r="L4136" i="1"/>
  <c r="V4135" i="1"/>
  <c r="Z4135" i="1" s="1"/>
  <c r="U4135" i="1"/>
  <c r="T4135" i="1"/>
  <c r="W4135" i="1" s="1"/>
  <c r="S4135" i="1"/>
  <c r="R4135" i="1"/>
  <c r="Q4135" i="1"/>
  <c r="M4135" i="1"/>
  <c r="L4135" i="1"/>
  <c r="V4134" i="1"/>
  <c r="Z4134" i="1" s="1"/>
  <c r="U4134" i="1"/>
  <c r="T4134" i="1"/>
  <c r="W4134" i="1" s="1"/>
  <c r="S4134" i="1"/>
  <c r="R4134" i="1"/>
  <c r="Q4134" i="1"/>
  <c r="M4134" i="1"/>
  <c r="L4134" i="1"/>
  <c r="V4133" i="1"/>
  <c r="U4133" i="1"/>
  <c r="T4133" i="1"/>
  <c r="S4133" i="1"/>
  <c r="R4133" i="1"/>
  <c r="Q4133" i="1"/>
  <c r="M4133" i="1"/>
  <c r="L4133" i="1"/>
  <c r="V4132" i="1"/>
  <c r="Z4132" i="1" s="1"/>
  <c r="U4132" i="1"/>
  <c r="T4132" i="1"/>
  <c r="W4132" i="1" s="1"/>
  <c r="S4132" i="1"/>
  <c r="R4132" i="1"/>
  <c r="Q4132" i="1"/>
  <c r="M4132" i="1"/>
  <c r="L4132" i="1"/>
  <c r="V4131" i="1"/>
  <c r="Z4131" i="1" s="1"/>
  <c r="U4131" i="1"/>
  <c r="T4131" i="1"/>
  <c r="W4131" i="1" s="1"/>
  <c r="S4131" i="1"/>
  <c r="R4131" i="1"/>
  <c r="Q4131" i="1"/>
  <c r="M4131" i="1"/>
  <c r="L4131" i="1"/>
  <c r="V4130" i="1"/>
  <c r="Z4130" i="1" s="1"/>
  <c r="U4130" i="1"/>
  <c r="T4130" i="1"/>
  <c r="W4130" i="1" s="1"/>
  <c r="S4130" i="1"/>
  <c r="R4130" i="1"/>
  <c r="Q4130" i="1"/>
  <c r="M4130" i="1"/>
  <c r="L4130" i="1"/>
  <c r="V4129" i="1"/>
  <c r="Z4129" i="1" s="1"/>
  <c r="U4129" i="1"/>
  <c r="T4129" i="1"/>
  <c r="S4129" i="1"/>
  <c r="R4129" i="1"/>
  <c r="Q4129" i="1"/>
  <c r="M4129" i="1"/>
  <c r="L4129" i="1"/>
  <c r="V4128" i="1"/>
  <c r="U4128" i="1"/>
  <c r="T4128" i="1"/>
  <c r="S4128" i="1"/>
  <c r="R4128" i="1"/>
  <c r="Q4128" i="1"/>
  <c r="M4128" i="1"/>
  <c r="L4128" i="1"/>
  <c r="V4127" i="1"/>
  <c r="U4127" i="1"/>
  <c r="T4127" i="1"/>
  <c r="W4127" i="1" s="1"/>
  <c r="S4127" i="1"/>
  <c r="R4127" i="1"/>
  <c r="Q4127" i="1"/>
  <c r="M4127" i="1"/>
  <c r="L4127" i="1"/>
  <c r="V4126" i="1"/>
  <c r="U4126" i="1"/>
  <c r="T4126" i="1"/>
  <c r="W4126" i="1" s="1"/>
  <c r="S4126" i="1"/>
  <c r="R4126" i="1"/>
  <c r="Q4126" i="1"/>
  <c r="M4126" i="1"/>
  <c r="L4126" i="1"/>
  <c r="V4125" i="1"/>
  <c r="Z4125" i="1" s="1"/>
  <c r="U4125" i="1"/>
  <c r="T4125" i="1"/>
  <c r="S4125" i="1"/>
  <c r="R4125" i="1"/>
  <c r="Q4125" i="1"/>
  <c r="M4125" i="1"/>
  <c r="L4125" i="1"/>
  <c r="V4124" i="1"/>
  <c r="Z4124" i="1" s="1"/>
  <c r="U4124" i="1"/>
  <c r="T4124" i="1"/>
  <c r="S4124" i="1"/>
  <c r="R4124" i="1"/>
  <c r="Q4124" i="1"/>
  <c r="M4124" i="1"/>
  <c r="L4124" i="1"/>
  <c r="V4123" i="1"/>
  <c r="U4123" i="1"/>
  <c r="T4123" i="1"/>
  <c r="S4123" i="1"/>
  <c r="R4123" i="1"/>
  <c r="Q4123" i="1"/>
  <c r="M4123" i="1"/>
  <c r="L4123" i="1"/>
  <c r="V4122" i="1"/>
  <c r="Z4122" i="1" s="1"/>
  <c r="U4122" i="1"/>
  <c r="T4122" i="1"/>
  <c r="W4122" i="1" s="1"/>
  <c r="S4122" i="1"/>
  <c r="R4122" i="1"/>
  <c r="Q4122" i="1"/>
  <c r="M4122" i="1"/>
  <c r="L4122" i="1"/>
  <c r="V4121" i="1"/>
  <c r="Z4121" i="1" s="1"/>
  <c r="U4121" i="1"/>
  <c r="T4121" i="1"/>
  <c r="W4121" i="1" s="1"/>
  <c r="S4121" i="1"/>
  <c r="R4121" i="1"/>
  <c r="Q4121" i="1"/>
  <c r="M4121" i="1"/>
  <c r="L4121" i="1"/>
  <c r="V4120" i="1"/>
  <c r="U4120" i="1"/>
  <c r="T4120" i="1"/>
  <c r="W4120" i="1" s="1"/>
  <c r="S4120" i="1"/>
  <c r="R4120" i="1"/>
  <c r="Q4120" i="1"/>
  <c r="M4120" i="1"/>
  <c r="L4120" i="1"/>
  <c r="V4119" i="1"/>
  <c r="U4119" i="1"/>
  <c r="T4119" i="1"/>
  <c r="S4119" i="1"/>
  <c r="R4119" i="1"/>
  <c r="Q4119" i="1"/>
  <c r="M4119" i="1"/>
  <c r="L4119" i="1"/>
  <c r="V4118" i="1"/>
  <c r="Z4118" i="1" s="1"/>
  <c r="U4118" i="1"/>
  <c r="T4118" i="1"/>
  <c r="W4118" i="1" s="1"/>
  <c r="S4118" i="1"/>
  <c r="R4118" i="1"/>
  <c r="Q4118" i="1"/>
  <c r="M4118" i="1"/>
  <c r="L4118" i="1"/>
  <c r="V4117" i="1"/>
  <c r="Z4117" i="1" s="1"/>
  <c r="U4117" i="1"/>
  <c r="T4117" i="1"/>
  <c r="W4117" i="1" s="1"/>
  <c r="S4117" i="1"/>
  <c r="R4117" i="1"/>
  <c r="Q4117" i="1"/>
  <c r="M4117" i="1"/>
  <c r="L4117" i="1"/>
  <c r="V4116" i="1"/>
  <c r="Z4116" i="1" s="1"/>
  <c r="U4116" i="1"/>
  <c r="T4116" i="1"/>
  <c r="W4116" i="1" s="1"/>
  <c r="S4116" i="1"/>
  <c r="R4116" i="1"/>
  <c r="Q4116" i="1"/>
  <c r="M4116" i="1"/>
  <c r="L4116" i="1"/>
  <c r="V4115" i="1"/>
  <c r="Z4115" i="1" s="1"/>
  <c r="U4115" i="1"/>
  <c r="T4115" i="1"/>
  <c r="W4115" i="1" s="1"/>
  <c r="S4115" i="1"/>
  <c r="R4115" i="1"/>
  <c r="Q4115" i="1"/>
  <c r="M4115" i="1"/>
  <c r="L4115" i="1"/>
  <c r="V4114" i="1"/>
  <c r="Z4114" i="1" s="1"/>
  <c r="U4114" i="1"/>
  <c r="T4114" i="1"/>
  <c r="W4114" i="1" s="1"/>
  <c r="S4114" i="1"/>
  <c r="R4114" i="1"/>
  <c r="Q4114" i="1"/>
  <c r="M4114" i="1"/>
  <c r="L4114" i="1"/>
  <c r="V4113" i="1"/>
  <c r="Z4113" i="1" s="1"/>
  <c r="U4113" i="1"/>
  <c r="T4113" i="1"/>
  <c r="W4113" i="1" s="1"/>
  <c r="S4113" i="1"/>
  <c r="R4113" i="1"/>
  <c r="Q4113" i="1"/>
  <c r="M4113" i="1"/>
  <c r="L4113" i="1"/>
  <c r="V4112" i="1"/>
  <c r="Z4112" i="1" s="1"/>
  <c r="U4112" i="1"/>
  <c r="T4112" i="1"/>
  <c r="W4112" i="1" s="1"/>
  <c r="S4112" i="1"/>
  <c r="R4112" i="1"/>
  <c r="Q4112" i="1"/>
  <c r="M4112" i="1"/>
  <c r="L4112" i="1"/>
  <c r="V4111" i="1"/>
  <c r="Z4111" i="1" s="1"/>
  <c r="U4111" i="1"/>
  <c r="T4111" i="1"/>
  <c r="S4111" i="1"/>
  <c r="R4111" i="1"/>
  <c r="Q4111" i="1"/>
  <c r="M4111" i="1"/>
  <c r="L4111" i="1"/>
  <c r="V4110" i="1"/>
  <c r="Z4110" i="1" s="1"/>
  <c r="U4110" i="1"/>
  <c r="T4110" i="1"/>
  <c r="W4110" i="1" s="1"/>
  <c r="S4110" i="1"/>
  <c r="R4110" i="1"/>
  <c r="Q4110" i="1"/>
  <c r="M4110" i="1"/>
  <c r="L4110" i="1"/>
  <c r="V4109" i="1"/>
  <c r="Z4109" i="1" s="1"/>
  <c r="U4109" i="1"/>
  <c r="T4109" i="1"/>
  <c r="W4109" i="1" s="1"/>
  <c r="S4109" i="1"/>
  <c r="R4109" i="1"/>
  <c r="Q4109" i="1"/>
  <c r="M4109" i="1"/>
  <c r="L4109" i="1"/>
  <c r="V4108" i="1"/>
  <c r="Z4108" i="1" s="1"/>
  <c r="U4108" i="1"/>
  <c r="T4108" i="1"/>
  <c r="W4108" i="1" s="1"/>
  <c r="S4108" i="1"/>
  <c r="R4108" i="1"/>
  <c r="Q4108" i="1"/>
  <c r="M4108" i="1"/>
  <c r="L4108" i="1"/>
  <c r="V4107" i="1"/>
  <c r="Z4107" i="1" s="1"/>
  <c r="U4107" i="1"/>
  <c r="T4107" i="1"/>
  <c r="W4107" i="1" s="1"/>
  <c r="S4107" i="1"/>
  <c r="R4107" i="1"/>
  <c r="Q4107" i="1"/>
  <c r="M4107" i="1"/>
  <c r="L4107" i="1"/>
  <c r="V4106" i="1"/>
  <c r="Z4106" i="1" s="1"/>
  <c r="U4106" i="1"/>
  <c r="T4106" i="1"/>
  <c r="W4106" i="1" s="1"/>
  <c r="S4106" i="1"/>
  <c r="R4106" i="1"/>
  <c r="Q4106" i="1"/>
  <c r="M4106" i="1"/>
  <c r="L4106" i="1"/>
  <c r="V4105" i="1"/>
  <c r="U4105" i="1"/>
  <c r="T4105" i="1"/>
  <c r="W4105" i="1" s="1"/>
  <c r="S4105" i="1"/>
  <c r="R4105" i="1"/>
  <c r="Q4105" i="1"/>
  <c r="M4105" i="1"/>
  <c r="L4105" i="1"/>
  <c r="V4104" i="1"/>
  <c r="Z4104" i="1" s="1"/>
  <c r="U4104" i="1"/>
  <c r="T4104" i="1"/>
  <c r="W4104" i="1" s="1"/>
  <c r="S4104" i="1"/>
  <c r="R4104" i="1"/>
  <c r="Q4104" i="1"/>
  <c r="M4104" i="1"/>
  <c r="L4104" i="1"/>
  <c r="V4103" i="1"/>
  <c r="Z4103" i="1" s="1"/>
  <c r="U4103" i="1"/>
  <c r="T4103" i="1"/>
  <c r="S4103" i="1"/>
  <c r="R4103" i="1"/>
  <c r="Q4103" i="1"/>
  <c r="M4103" i="1"/>
  <c r="L4103" i="1"/>
  <c r="V4102" i="1"/>
  <c r="Z4102" i="1" s="1"/>
  <c r="U4102" i="1"/>
  <c r="T4102" i="1"/>
  <c r="W4102" i="1" s="1"/>
  <c r="S4102" i="1"/>
  <c r="R4102" i="1"/>
  <c r="Q4102" i="1"/>
  <c r="M4102" i="1"/>
  <c r="L4102" i="1"/>
  <c r="V4101" i="1"/>
  <c r="Z4101" i="1" s="1"/>
  <c r="U4101" i="1"/>
  <c r="T4101" i="1"/>
  <c r="W4101" i="1" s="1"/>
  <c r="S4101" i="1"/>
  <c r="R4101" i="1"/>
  <c r="Q4101" i="1"/>
  <c r="M4101" i="1"/>
  <c r="L4101" i="1"/>
  <c r="V4100" i="1"/>
  <c r="U4100" i="1"/>
  <c r="T4100" i="1"/>
  <c r="W4100" i="1" s="1"/>
  <c r="S4100" i="1"/>
  <c r="R4100" i="1"/>
  <c r="Q4100" i="1"/>
  <c r="M4100" i="1"/>
  <c r="L4100" i="1"/>
  <c r="V4099" i="1"/>
  <c r="Z4099" i="1" s="1"/>
  <c r="U4099" i="1"/>
  <c r="T4099" i="1"/>
  <c r="S4099" i="1"/>
  <c r="R4099" i="1"/>
  <c r="Q4099" i="1"/>
  <c r="M4099" i="1"/>
  <c r="L4099" i="1"/>
  <c r="V4098" i="1"/>
  <c r="U4098" i="1"/>
  <c r="T4098" i="1"/>
  <c r="W4098" i="1" s="1"/>
  <c r="S4098" i="1"/>
  <c r="R4098" i="1"/>
  <c r="Q4098" i="1"/>
  <c r="M4098" i="1"/>
  <c r="L4098" i="1"/>
  <c r="V4097" i="1"/>
  <c r="Z4097" i="1" s="1"/>
  <c r="U4097" i="1"/>
  <c r="T4097" i="1"/>
  <c r="S4097" i="1"/>
  <c r="R4097" i="1"/>
  <c r="Q4097" i="1"/>
  <c r="M4097" i="1"/>
  <c r="L4097" i="1"/>
  <c r="V4096" i="1"/>
  <c r="Z4096" i="1" s="1"/>
  <c r="U4096" i="1"/>
  <c r="T4096" i="1"/>
  <c r="W4096" i="1" s="1"/>
  <c r="S4096" i="1"/>
  <c r="R4096" i="1"/>
  <c r="Q4096" i="1"/>
  <c r="M4096" i="1"/>
  <c r="L4096" i="1"/>
  <c r="V4095" i="1"/>
  <c r="Z4095" i="1" s="1"/>
  <c r="U4095" i="1"/>
  <c r="T4095" i="1"/>
  <c r="W4095" i="1" s="1"/>
  <c r="S4095" i="1"/>
  <c r="R4095" i="1"/>
  <c r="Q4095" i="1"/>
  <c r="M4095" i="1"/>
  <c r="L4095" i="1"/>
  <c r="V4094" i="1"/>
  <c r="Z4094" i="1" s="1"/>
  <c r="U4094" i="1"/>
  <c r="T4094" i="1"/>
  <c r="W4094" i="1" s="1"/>
  <c r="S4094" i="1"/>
  <c r="R4094" i="1"/>
  <c r="Q4094" i="1"/>
  <c r="M4094" i="1"/>
  <c r="L4094" i="1"/>
  <c r="V4093" i="1"/>
  <c r="Z4093" i="1" s="1"/>
  <c r="U4093" i="1"/>
  <c r="T4093" i="1"/>
  <c r="W4093" i="1" s="1"/>
  <c r="S4093" i="1"/>
  <c r="R4093" i="1"/>
  <c r="Q4093" i="1"/>
  <c r="M4093" i="1"/>
  <c r="L4093" i="1"/>
  <c r="V4092" i="1"/>
  <c r="Z4092" i="1" s="1"/>
  <c r="U4092" i="1"/>
  <c r="T4092" i="1"/>
  <c r="S4092" i="1"/>
  <c r="R4092" i="1"/>
  <c r="Q4092" i="1"/>
  <c r="M4092" i="1"/>
  <c r="L4092" i="1"/>
  <c r="V4091" i="1"/>
  <c r="Z4091" i="1" s="1"/>
  <c r="U4091" i="1"/>
  <c r="T4091" i="1"/>
  <c r="S4091" i="1"/>
  <c r="R4091" i="1"/>
  <c r="Q4091" i="1"/>
  <c r="M4091" i="1"/>
  <c r="L4091" i="1"/>
  <c r="V4090" i="1"/>
  <c r="U4090" i="1"/>
  <c r="T4090" i="1"/>
  <c r="W4090" i="1" s="1"/>
  <c r="S4090" i="1"/>
  <c r="R4090" i="1"/>
  <c r="Q4090" i="1"/>
  <c r="M4090" i="1"/>
  <c r="L4090" i="1"/>
  <c r="V4089" i="1"/>
  <c r="Z4089" i="1" s="1"/>
  <c r="U4089" i="1"/>
  <c r="T4089" i="1"/>
  <c r="S4089" i="1"/>
  <c r="R4089" i="1"/>
  <c r="Q4089" i="1"/>
  <c r="M4089" i="1"/>
  <c r="L4089" i="1"/>
  <c r="V4088" i="1"/>
  <c r="Z4088" i="1" s="1"/>
  <c r="U4088" i="1"/>
  <c r="T4088" i="1"/>
  <c r="W4088" i="1" s="1"/>
  <c r="S4088" i="1"/>
  <c r="R4088" i="1"/>
  <c r="Q4088" i="1"/>
  <c r="M4088" i="1"/>
  <c r="L4088" i="1"/>
  <c r="V4087" i="1"/>
  <c r="Z4087" i="1" s="1"/>
  <c r="U4087" i="1"/>
  <c r="T4087" i="1"/>
  <c r="W4087" i="1" s="1"/>
  <c r="S4087" i="1"/>
  <c r="R4087" i="1"/>
  <c r="Q4087" i="1"/>
  <c r="M4087" i="1"/>
  <c r="L4087" i="1"/>
  <c r="V4086" i="1"/>
  <c r="U4086" i="1"/>
  <c r="T4086" i="1"/>
  <c r="W4086" i="1" s="1"/>
  <c r="S4086" i="1"/>
  <c r="R4086" i="1"/>
  <c r="Q4086" i="1"/>
  <c r="M4086" i="1"/>
  <c r="L4086" i="1"/>
  <c r="V4085" i="1"/>
  <c r="U4085" i="1"/>
  <c r="T4085" i="1"/>
  <c r="W4085" i="1" s="1"/>
  <c r="S4085" i="1"/>
  <c r="R4085" i="1"/>
  <c r="Q4085" i="1"/>
  <c r="M4085" i="1"/>
  <c r="L4085" i="1"/>
  <c r="V4084" i="1"/>
  <c r="Z4084" i="1" s="1"/>
  <c r="U4084" i="1"/>
  <c r="T4084" i="1"/>
  <c r="W4084" i="1" s="1"/>
  <c r="S4084" i="1"/>
  <c r="R4084" i="1"/>
  <c r="Q4084" i="1"/>
  <c r="M4084" i="1"/>
  <c r="L4084" i="1"/>
  <c r="V4083" i="1"/>
  <c r="Z4083" i="1" s="1"/>
  <c r="U4083" i="1"/>
  <c r="T4083" i="1"/>
  <c r="S4083" i="1"/>
  <c r="R4083" i="1"/>
  <c r="Q4083" i="1"/>
  <c r="M4083" i="1"/>
  <c r="L4083" i="1"/>
  <c r="V4082" i="1"/>
  <c r="Z4082" i="1" s="1"/>
  <c r="U4082" i="1"/>
  <c r="T4082" i="1"/>
  <c r="W4082" i="1" s="1"/>
  <c r="S4082" i="1"/>
  <c r="R4082" i="1"/>
  <c r="Q4082" i="1"/>
  <c r="M4082" i="1"/>
  <c r="L4082" i="1"/>
  <c r="V4081" i="1"/>
  <c r="Z4081" i="1" s="1"/>
  <c r="U4081" i="1"/>
  <c r="T4081" i="1"/>
  <c r="W4081" i="1" s="1"/>
  <c r="S4081" i="1"/>
  <c r="R4081" i="1"/>
  <c r="Q4081" i="1"/>
  <c r="M4081" i="1"/>
  <c r="L4081" i="1"/>
  <c r="V4080" i="1"/>
  <c r="Z4080" i="1" s="1"/>
  <c r="U4080" i="1"/>
  <c r="T4080" i="1"/>
  <c r="W4080" i="1" s="1"/>
  <c r="S4080" i="1"/>
  <c r="R4080" i="1"/>
  <c r="Q4080" i="1"/>
  <c r="M4080" i="1"/>
  <c r="L4080" i="1"/>
  <c r="V4079" i="1"/>
  <c r="Z4079" i="1" s="1"/>
  <c r="U4079" i="1"/>
  <c r="T4079" i="1"/>
  <c r="W4079" i="1" s="1"/>
  <c r="S4079" i="1"/>
  <c r="R4079" i="1"/>
  <c r="Q4079" i="1"/>
  <c r="M4079" i="1"/>
  <c r="L4079" i="1"/>
  <c r="V4078" i="1"/>
  <c r="U4078" i="1"/>
  <c r="T4078" i="1"/>
  <c r="W4078" i="1" s="1"/>
  <c r="S4078" i="1"/>
  <c r="R4078" i="1"/>
  <c r="Q4078" i="1"/>
  <c r="M4078" i="1"/>
  <c r="L4078" i="1"/>
  <c r="V4077" i="1"/>
  <c r="Z4077" i="1" s="1"/>
  <c r="U4077" i="1"/>
  <c r="T4077" i="1"/>
  <c r="S4077" i="1"/>
  <c r="R4077" i="1"/>
  <c r="Q4077" i="1"/>
  <c r="M4077" i="1"/>
  <c r="L4077" i="1"/>
  <c r="V4076" i="1"/>
  <c r="Z4076" i="1" s="1"/>
  <c r="U4076" i="1"/>
  <c r="T4076" i="1"/>
  <c r="W4076" i="1" s="1"/>
  <c r="S4076" i="1"/>
  <c r="R4076" i="1"/>
  <c r="Q4076" i="1"/>
  <c r="M4076" i="1"/>
  <c r="L4076" i="1"/>
  <c r="V4075" i="1"/>
  <c r="U4075" i="1"/>
  <c r="T4075" i="1"/>
  <c r="S4075" i="1"/>
  <c r="R4075" i="1"/>
  <c r="Q4075" i="1"/>
  <c r="M4075" i="1"/>
  <c r="L4075" i="1"/>
  <c r="V4074" i="1"/>
  <c r="Z4074" i="1" s="1"/>
  <c r="U4074" i="1"/>
  <c r="T4074" i="1"/>
  <c r="W4074" i="1" s="1"/>
  <c r="S4074" i="1"/>
  <c r="R4074" i="1"/>
  <c r="Q4074" i="1"/>
  <c r="M4074" i="1"/>
  <c r="L4074" i="1"/>
  <c r="V4073" i="1"/>
  <c r="Z4073" i="1" s="1"/>
  <c r="U4073" i="1"/>
  <c r="T4073" i="1"/>
  <c r="W4073" i="1" s="1"/>
  <c r="S4073" i="1"/>
  <c r="R4073" i="1"/>
  <c r="Q4073" i="1"/>
  <c r="M4073" i="1"/>
  <c r="L4073" i="1"/>
  <c r="V4072" i="1"/>
  <c r="Z4072" i="1" s="1"/>
  <c r="U4072" i="1"/>
  <c r="T4072" i="1"/>
  <c r="W4072" i="1" s="1"/>
  <c r="S4072" i="1"/>
  <c r="R4072" i="1"/>
  <c r="Q4072" i="1"/>
  <c r="M4072" i="1"/>
  <c r="L4072" i="1"/>
  <c r="V4071" i="1"/>
  <c r="U4071" i="1"/>
  <c r="T4071" i="1"/>
  <c r="W4071" i="1" s="1"/>
  <c r="S4071" i="1"/>
  <c r="R4071" i="1"/>
  <c r="Q4071" i="1"/>
  <c r="M4071" i="1"/>
  <c r="L4071" i="1"/>
  <c r="V4070" i="1"/>
  <c r="U4070" i="1"/>
  <c r="T4070" i="1"/>
  <c r="W4070" i="1" s="1"/>
  <c r="S4070" i="1"/>
  <c r="R4070" i="1"/>
  <c r="Q4070" i="1"/>
  <c r="M4070" i="1"/>
  <c r="L4070" i="1"/>
  <c r="V4069" i="1"/>
  <c r="Z4069" i="1" s="1"/>
  <c r="U4069" i="1"/>
  <c r="T4069" i="1"/>
  <c r="S4069" i="1"/>
  <c r="R4069" i="1"/>
  <c r="Q4069" i="1"/>
  <c r="M4069" i="1"/>
  <c r="L4069" i="1"/>
  <c r="V4068" i="1"/>
  <c r="Z4068" i="1" s="1"/>
  <c r="U4068" i="1"/>
  <c r="T4068" i="1"/>
  <c r="W4068" i="1" s="1"/>
  <c r="S4068" i="1"/>
  <c r="R4068" i="1"/>
  <c r="Q4068" i="1"/>
  <c r="M4068" i="1"/>
  <c r="L4068" i="1"/>
  <c r="V4067" i="1"/>
  <c r="Z4067" i="1" s="1"/>
  <c r="U4067" i="1"/>
  <c r="T4067" i="1"/>
  <c r="W4067" i="1" s="1"/>
  <c r="S4067" i="1"/>
  <c r="R4067" i="1"/>
  <c r="Q4067" i="1"/>
  <c r="M4067" i="1"/>
  <c r="L4067" i="1"/>
  <c r="V4066" i="1"/>
  <c r="Z4066" i="1" s="1"/>
  <c r="U4066" i="1"/>
  <c r="T4066" i="1"/>
  <c r="W4066" i="1" s="1"/>
  <c r="S4066" i="1"/>
  <c r="R4066" i="1"/>
  <c r="Q4066" i="1"/>
  <c r="M4066" i="1"/>
  <c r="L4066" i="1"/>
  <c r="V4065" i="1"/>
  <c r="Z4065" i="1" s="1"/>
  <c r="U4065" i="1"/>
  <c r="T4065" i="1"/>
  <c r="W4065" i="1" s="1"/>
  <c r="S4065" i="1"/>
  <c r="R4065" i="1"/>
  <c r="Q4065" i="1"/>
  <c r="M4065" i="1"/>
  <c r="L4065" i="1"/>
  <c r="V4064" i="1"/>
  <c r="U4064" i="1"/>
  <c r="T4064" i="1"/>
  <c r="W4064" i="1" s="1"/>
  <c r="S4064" i="1"/>
  <c r="R4064" i="1"/>
  <c r="Q4064" i="1"/>
  <c r="M4064" i="1"/>
  <c r="L4064" i="1"/>
  <c r="V4063" i="1"/>
  <c r="Z4063" i="1" s="1"/>
  <c r="U4063" i="1"/>
  <c r="T4063" i="1"/>
  <c r="S4063" i="1"/>
  <c r="R4063" i="1"/>
  <c r="Q4063" i="1"/>
  <c r="M4063" i="1"/>
  <c r="L4063" i="1"/>
  <c r="V4062" i="1"/>
  <c r="U4062" i="1"/>
  <c r="T4062" i="1"/>
  <c r="W4062" i="1" s="1"/>
  <c r="S4062" i="1"/>
  <c r="R4062" i="1"/>
  <c r="Q4062" i="1"/>
  <c r="M4062" i="1"/>
  <c r="L4062" i="1"/>
  <c r="V4061" i="1"/>
  <c r="Z4061" i="1" s="1"/>
  <c r="U4061" i="1"/>
  <c r="T4061" i="1"/>
  <c r="W4061" i="1" s="1"/>
  <c r="S4061" i="1"/>
  <c r="R4061" i="1"/>
  <c r="Q4061" i="1"/>
  <c r="M4061" i="1"/>
  <c r="L4061" i="1"/>
  <c r="V4060" i="1"/>
  <c r="Z4060" i="1" s="1"/>
  <c r="U4060" i="1"/>
  <c r="T4060" i="1"/>
  <c r="W4060" i="1" s="1"/>
  <c r="S4060" i="1"/>
  <c r="R4060" i="1"/>
  <c r="Q4060" i="1"/>
  <c r="M4060" i="1"/>
  <c r="L4060" i="1"/>
  <c r="V4059" i="1"/>
  <c r="Z4059" i="1" s="1"/>
  <c r="U4059" i="1"/>
  <c r="T4059" i="1"/>
  <c r="W4059" i="1" s="1"/>
  <c r="S4059" i="1"/>
  <c r="R4059" i="1"/>
  <c r="Q4059" i="1"/>
  <c r="M4059" i="1"/>
  <c r="L4059" i="1"/>
  <c r="V4058" i="1"/>
  <c r="Z4058" i="1" s="1"/>
  <c r="U4058" i="1"/>
  <c r="T4058" i="1"/>
  <c r="W4058" i="1" s="1"/>
  <c r="S4058" i="1"/>
  <c r="R4058" i="1"/>
  <c r="Q4058" i="1"/>
  <c r="M4058" i="1"/>
  <c r="L4058" i="1"/>
  <c r="V4057" i="1"/>
  <c r="Z4057" i="1" s="1"/>
  <c r="U4057" i="1"/>
  <c r="T4057" i="1"/>
  <c r="W4057" i="1" s="1"/>
  <c r="S4057" i="1"/>
  <c r="R4057" i="1"/>
  <c r="Q4057" i="1"/>
  <c r="M4057" i="1"/>
  <c r="L4057" i="1"/>
  <c r="V4056" i="1"/>
  <c r="Z4056" i="1" s="1"/>
  <c r="U4056" i="1"/>
  <c r="T4056" i="1"/>
  <c r="W4056" i="1" s="1"/>
  <c r="S4056" i="1"/>
  <c r="R4056" i="1"/>
  <c r="Q4056" i="1"/>
  <c r="M4056" i="1"/>
  <c r="L4056" i="1"/>
  <c r="V4055" i="1"/>
  <c r="U4055" i="1"/>
  <c r="T4055" i="1"/>
  <c r="S4055" i="1"/>
  <c r="R4055" i="1"/>
  <c r="Q4055" i="1"/>
  <c r="M4055" i="1"/>
  <c r="L4055" i="1"/>
  <c r="V4054" i="1"/>
  <c r="Z4054" i="1" s="1"/>
  <c r="U4054" i="1"/>
  <c r="T4054" i="1"/>
  <c r="W4054" i="1" s="1"/>
  <c r="S4054" i="1"/>
  <c r="R4054" i="1"/>
  <c r="Q4054" i="1"/>
  <c r="M4054" i="1"/>
  <c r="L4054" i="1"/>
  <c r="V4053" i="1"/>
  <c r="Z4053" i="1" s="1"/>
  <c r="U4053" i="1"/>
  <c r="T4053" i="1"/>
  <c r="W4053" i="1" s="1"/>
  <c r="S4053" i="1"/>
  <c r="R4053" i="1"/>
  <c r="Q4053" i="1"/>
  <c r="M4053" i="1"/>
  <c r="L4053" i="1"/>
  <c r="V4052" i="1"/>
  <c r="Z4052" i="1" s="1"/>
  <c r="U4052" i="1"/>
  <c r="T4052" i="1"/>
  <c r="W4052" i="1" s="1"/>
  <c r="S4052" i="1"/>
  <c r="R4052" i="1"/>
  <c r="Q4052" i="1"/>
  <c r="M4052" i="1"/>
  <c r="L4052" i="1"/>
  <c r="V4051" i="1"/>
  <c r="Z4051" i="1" s="1"/>
  <c r="U4051" i="1"/>
  <c r="T4051" i="1"/>
  <c r="W4051" i="1" s="1"/>
  <c r="S4051" i="1"/>
  <c r="R4051" i="1"/>
  <c r="Q4051" i="1"/>
  <c r="M4051" i="1"/>
  <c r="L4051" i="1"/>
  <c r="V4050" i="1"/>
  <c r="Z4050" i="1" s="1"/>
  <c r="U4050" i="1"/>
  <c r="T4050" i="1"/>
  <c r="W4050" i="1" s="1"/>
  <c r="S4050" i="1"/>
  <c r="R4050" i="1"/>
  <c r="Q4050" i="1"/>
  <c r="M4050" i="1"/>
  <c r="L4050" i="1"/>
  <c r="V4049" i="1"/>
  <c r="U4049" i="1"/>
  <c r="T4049" i="1"/>
  <c r="S4049" i="1"/>
  <c r="R4049" i="1"/>
  <c r="Q4049" i="1"/>
  <c r="M4049" i="1"/>
  <c r="L4049" i="1"/>
  <c r="V4048" i="1"/>
  <c r="Z4048" i="1" s="1"/>
  <c r="U4048" i="1"/>
  <c r="T4048" i="1"/>
  <c r="S4048" i="1"/>
  <c r="R4048" i="1"/>
  <c r="Q4048" i="1"/>
  <c r="M4048" i="1"/>
  <c r="L4048" i="1"/>
  <c r="V4047" i="1"/>
  <c r="Z4047" i="1" s="1"/>
  <c r="U4047" i="1"/>
  <c r="T4047" i="1"/>
  <c r="S4047" i="1"/>
  <c r="R4047" i="1"/>
  <c r="Q4047" i="1"/>
  <c r="M4047" i="1"/>
  <c r="L4047" i="1"/>
  <c r="V4046" i="1"/>
  <c r="Z4046" i="1" s="1"/>
  <c r="U4046" i="1"/>
  <c r="T4046" i="1"/>
  <c r="W4046" i="1" s="1"/>
  <c r="S4046" i="1"/>
  <c r="R4046" i="1"/>
  <c r="Q4046" i="1"/>
  <c r="M4046" i="1"/>
  <c r="L4046" i="1"/>
  <c r="V4045" i="1"/>
  <c r="Z4045" i="1" s="1"/>
  <c r="U4045" i="1"/>
  <c r="T4045" i="1"/>
  <c r="W4045" i="1" s="1"/>
  <c r="S4045" i="1"/>
  <c r="R4045" i="1"/>
  <c r="Q4045" i="1"/>
  <c r="M4045" i="1"/>
  <c r="L4045" i="1"/>
  <c r="V4044" i="1"/>
  <c r="Z4044" i="1" s="1"/>
  <c r="U4044" i="1"/>
  <c r="T4044" i="1"/>
  <c r="W4044" i="1" s="1"/>
  <c r="S4044" i="1"/>
  <c r="R4044" i="1"/>
  <c r="Q4044" i="1"/>
  <c r="M4044" i="1"/>
  <c r="L4044" i="1"/>
  <c r="V4043" i="1"/>
  <c r="Z4043" i="1" s="1"/>
  <c r="U4043" i="1"/>
  <c r="T4043" i="1"/>
  <c r="W4043" i="1" s="1"/>
  <c r="S4043" i="1"/>
  <c r="R4043" i="1"/>
  <c r="Q4043" i="1"/>
  <c r="M4043" i="1"/>
  <c r="L4043" i="1"/>
  <c r="V4042" i="1"/>
  <c r="Z4042" i="1" s="1"/>
  <c r="U4042" i="1"/>
  <c r="T4042" i="1"/>
  <c r="W4042" i="1" s="1"/>
  <c r="S4042" i="1"/>
  <c r="R4042" i="1"/>
  <c r="Q4042" i="1"/>
  <c r="M4042" i="1"/>
  <c r="L4042" i="1"/>
  <c r="V4041" i="1"/>
  <c r="U4041" i="1"/>
  <c r="T4041" i="1"/>
  <c r="W4041" i="1" s="1"/>
  <c r="S4041" i="1"/>
  <c r="R4041" i="1"/>
  <c r="Q4041" i="1"/>
  <c r="M4041" i="1"/>
  <c r="L4041" i="1"/>
  <c r="V4040" i="1"/>
  <c r="Z4040" i="1" s="1"/>
  <c r="U4040" i="1"/>
  <c r="T4040" i="1"/>
  <c r="W4040" i="1" s="1"/>
  <c r="S4040" i="1"/>
  <c r="R4040" i="1"/>
  <c r="Q4040" i="1"/>
  <c r="M4040" i="1"/>
  <c r="L4040" i="1"/>
  <c r="V4039" i="1"/>
  <c r="Z4039" i="1" s="1"/>
  <c r="U4039" i="1"/>
  <c r="T4039" i="1"/>
  <c r="W4039" i="1" s="1"/>
  <c r="S4039" i="1"/>
  <c r="R4039" i="1"/>
  <c r="Q4039" i="1"/>
  <c r="M4039" i="1"/>
  <c r="L4039" i="1"/>
  <c r="V4038" i="1"/>
  <c r="Z4038" i="1" s="1"/>
  <c r="U4038" i="1"/>
  <c r="T4038" i="1"/>
  <c r="W4038" i="1" s="1"/>
  <c r="S4038" i="1"/>
  <c r="R4038" i="1"/>
  <c r="Q4038" i="1"/>
  <c r="M4038" i="1"/>
  <c r="L4038" i="1"/>
  <c r="V4037" i="1"/>
  <c r="Z4037" i="1" s="1"/>
  <c r="U4037" i="1"/>
  <c r="T4037" i="1"/>
  <c r="W4037" i="1" s="1"/>
  <c r="S4037" i="1"/>
  <c r="R4037" i="1"/>
  <c r="Q4037" i="1"/>
  <c r="M4037" i="1"/>
  <c r="L4037" i="1"/>
  <c r="V4036" i="1"/>
  <c r="U4036" i="1"/>
  <c r="T4036" i="1"/>
  <c r="W4036" i="1" s="1"/>
  <c r="S4036" i="1"/>
  <c r="R4036" i="1"/>
  <c r="Q4036" i="1"/>
  <c r="M4036" i="1"/>
  <c r="L4036" i="1"/>
  <c r="V4035" i="1"/>
  <c r="Z4035" i="1" s="1"/>
  <c r="U4035" i="1"/>
  <c r="T4035" i="1"/>
  <c r="S4035" i="1"/>
  <c r="R4035" i="1"/>
  <c r="Q4035" i="1"/>
  <c r="M4035" i="1"/>
  <c r="L4035" i="1"/>
  <c r="V4034" i="1"/>
  <c r="Z4034" i="1" s="1"/>
  <c r="U4034" i="1"/>
  <c r="T4034" i="1"/>
  <c r="W4034" i="1" s="1"/>
  <c r="S4034" i="1"/>
  <c r="R4034" i="1"/>
  <c r="Q4034" i="1"/>
  <c r="M4034" i="1"/>
  <c r="L4034" i="1"/>
  <c r="V4033" i="1"/>
  <c r="Z4033" i="1" s="1"/>
  <c r="U4033" i="1"/>
  <c r="T4033" i="1"/>
  <c r="S4033" i="1"/>
  <c r="R4033" i="1"/>
  <c r="Q4033" i="1"/>
  <c r="M4033" i="1"/>
  <c r="L4033" i="1"/>
  <c r="V4032" i="1"/>
  <c r="Z4032" i="1" s="1"/>
  <c r="U4032" i="1"/>
  <c r="T4032" i="1"/>
  <c r="W4032" i="1" s="1"/>
  <c r="S4032" i="1"/>
  <c r="R4032" i="1"/>
  <c r="Q4032" i="1"/>
  <c r="M4032" i="1"/>
  <c r="L4032" i="1"/>
  <c r="V4031" i="1"/>
  <c r="Z4031" i="1" s="1"/>
  <c r="U4031" i="1"/>
  <c r="T4031" i="1"/>
  <c r="W4031" i="1" s="1"/>
  <c r="S4031" i="1"/>
  <c r="R4031" i="1"/>
  <c r="Q4031" i="1"/>
  <c r="M4031" i="1"/>
  <c r="L4031" i="1"/>
  <c r="V4030" i="1"/>
  <c r="Z4030" i="1" s="1"/>
  <c r="U4030" i="1"/>
  <c r="T4030" i="1"/>
  <c r="W4030" i="1" s="1"/>
  <c r="S4030" i="1"/>
  <c r="R4030" i="1"/>
  <c r="Q4030" i="1"/>
  <c r="M4030" i="1"/>
  <c r="L4030" i="1"/>
  <c r="V4029" i="1"/>
  <c r="Z4029" i="1" s="1"/>
  <c r="U4029" i="1"/>
  <c r="T4029" i="1"/>
  <c r="W4029" i="1" s="1"/>
  <c r="S4029" i="1"/>
  <c r="R4029" i="1"/>
  <c r="Q4029" i="1"/>
  <c r="M4029" i="1"/>
  <c r="L4029" i="1"/>
  <c r="V4028" i="1"/>
  <c r="U4028" i="1"/>
  <c r="T4028" i="1"/>
  <c r="S4028" i="1"/>
  <c r="R4028" i="1"/>
  <c r="Q4028" i="1"/>
  <c r="M4028" i="1"/>
  <c r="L4028" i="1"/>
  <c r="V4027" i="1"/>
  <c r="Z4027" i="1" s="1"/>
  <c r="U4027" i="1"/>
  <c r="T4027" i="1"/>
  <c r="S4027" i="1"/>
  <c r="R4027" i="1"/>
  <c r="Q4027" i="1"/>
  <c r="M4027" i="1"/>
  <c r="L4027" i="1"/>
  <c r="V4026" i="1"/>
  <c r="Z4026" i="1" s="1"/>
  <c r="U4026" i="1"/>
  <c r="T4026" i="1"/>
  <c r="W4026" i="1" s="1"/>
  <c r="S4026" i="1"/>
  <c r="R4026" i="1"/>
  <c r="Q4026" i="1"/>
  <c r="M4026" i="1"/>
  <c r="L4026" i="1"/>
  <c r="V4025" i="1"/>
  <c r="Z4025" i="1" s="1"/>
  <c r="U4025" i="1"/>
  <c r="T4025" i="1"/>
  <c r="W4025" i="1" s="1"/>
  <c r="S4025" i="1"/>
  <c r="R4025" i="1"/>
  <c r="Q4025" i="1"/>
  <c r="M4025" i="1"/>
  <c r="L4025" i="1"/>
  <c r="V4024" i="1"/>
  <c r="Z4024" i="1" s="1"/>
  <c r="U4024" i="1"/>
  <c r="T4024" i="1"/>
  <c r="W4024" i="1" s="1"/>
  <c r="S4024" i="1"/>
  <c r="R4024" i="1"/>
  <c r="Q4024" i="1"/>
  <c r="M4024" i="1"/>
  <c r="L4024" i="1"/>
  <c r="V4023" i="1"/>
  <c r="Z4023" i="1" s="1"/>
  <c r="U4023" i="1"/>
  <c r="T4023" i="1"/>
  <c r="W4023" i="1" s="1"/>
  <c r="S4023" i="1"/>
  <c r="R4023" i="1"/>
  <c r="Q4023" i="1"/>
  <c r="M4023" i="1"/>
  <c r="L4023" i="1"/>
  <c r="V4022" i="1"/>
  <c r="Z4022" i="1" s="1"/>
  <c r="U4022" i="1"/>
  <c r="T4022" i="1"/>
  <c r="W4022" i="1" s="1"/>
  <c r="S4022" i="1"/>
  <c r="R4022" i="1"/>
  <c r="Q4022" i="1"/>
  <c r="M4022" i="1"/>
  <c r="L4022" i="1"/>
  <c r="V4021" i="1"/>
  <c r="U4021" i="1"/>
  <c r="T4021" i="1"/>
  <c r="S4021" i="1"/>
  <c r="R4021" i="1"/>
  <c r="Q4021" i="1"/>
  <c r="M4021" i="1"/>
  <c r="L4021" i="1"/>
  <c r="V4020" i="1"/>
  <c r="Z4020" i="1" s="1"/>
  <c r="U4020" i="1"/>
  <c r="T4020" i="1"/>
  <c r="W4020" i="1" s="1"/>
  <c r="S4020" i="1"/>
  <c r="R4020" i="1"/>
  <c r="Q4020" i="1"/>
  <c r="M4020" i="1"/>
  <c r="L4020" i="1"/>
  <c r="V4019" i="1"/>
  <c r="Z4019" i="1" s="1"/>
  <c r="U4019" i="1"/>
  <c r="T4019" i="1"/>
  <c r="S4019" i="1"/>
  <c r="R4019" i="1"/>
  <c r="Q4019" i="1"/>
  <c r="M4019" i="1"/>
  <c r="L4019" i="1"/>
  <c r="V4018" i="1"/>
  <c r="U4018" i="1"/>
  <c r="T4018" i="1"/>
  <c r="W4018" i="1" s="1"/>
  <c r="S4018" i="1"/>
  <c r="R4018" i="1"/>
  <c r="Q4018" i="1"/>
  <c r="M4018" i="1"/>
  <c r="L4018" i="1"/>
  <c r="V4017" i="1"/>
  <c r="Z4017" i="1" s="1"/>
  <c r="U4017" i="1"/>
  <c r="T4017" i="1"/>
  <c r="W4017" i="1" s="1"/>
  <c r="S4017" i="1"/>
  <c r="R4017" i="1"/>
  <c r="Q4017" i="1"/>
  <c r="M4017" i="1"/>
  <c r="L4017" i="1"/>
  <c r="V4016" i="1"/>
  <c r="Z4016" i="1" s="1"/>
  <c r="U4016" i="1"/>
  <c r="T4016" i="1"/>
  <c r="W4016" i="1" s="1"/>
  <c r="S4016" i="1"/>
  <c r="R4016" i="1"/>
  <c r="Q4016" i="1"/>
  <c r="M4016" i="1"/>
  <c r="L4016" i="1"/>
  <c r="V4015" i="1"/>
  <c r="Z4015" i="1" s="1"/>
  <c r="U4015" i="1"/>
  <c r="T4015" i="1"/>
  <c r="W4015" i="1" s="1"/>
  <c r="S4015" i="1"/>
  <c r="R4015" i="1"/>
  <c r="Q4015" i="1"/>
  <c r="M4015" i="1"/>
  <c r="L4015" i="1"/>
  <c r="V4014" i="1"/>
  <c r="Z4014" i="1" s="1"/>
  <c r="U4014" i="1"/>
  <c r="T4014" i="1"/>
  <c r="W4014" i="1" s="1"/>
  <c r="S4014" i="1"/>
  <c r="R4014" i="1"/>
  <c r="Q4014" i="1"/>
  <c r="M4014" i="1"/>
  <c r="L4014" i="1"/>
  <c r="V4013" i="1"/>
  <c r="U4013" i="1"/>
  <c r="T4013" i="1"/>
  <c r="S4013" i="1"/>
  <c r="R4013" i="1"/>
  <c r="Q4013" i="1"/>
  <c r="M4013" i="1"/>
  <c r="L4013" i="1"/>
  <c r="V4012" i="1"/>
  <c r="Z4012" i="1" s="1"/>
  <c r="U4012" i="1"/>
  <c r="T4012" i="1"/>
  <c r="W4012" i="1" s="1"/>
  <c r="S4012" i="1"/>
  <c r="R4012" i="1"/>
  <c r="Q4012" i="1"/>
  <c r="M4012" i="1"/>
  <c r="L4012" i="1"/>
  <c r="V4011" i="1"/>
  <c r="Z4011" i="1" s="1"/>
  <c r="U4011" i="1"/>
  <c r="T4011" i="1"/>
  <c r="W4011" i="1" s="1"/>
  <c r="S4011" i="1"/>
  <c r="R4011" i="1"/>
  <c r="Q4011" i="1"/>
  <c r="M4011" i="1"/>
  <c r="L4011" i="1"/>
  <c r="V4010" i="1"/>
  <c r="Z4010" i="1" s="1"/>
  <c r="U4010" i="1"/>
  <c r="T4010" i="1"/>
  <c r="W4010" i="1" s="1"/>
  <c r="S4010" i="1"/>
  <c r="R4010" i="1"/>
  <c r="Q4010" i="1"/>
  <c r="M4010" i="1"/>
  <c r="L4010" i="1"/>
  <c r="V4009" i="1"/>
  <c r="Z4009" i="1" s="1"/>
  <c r="U4009" i="1"/>
  <c r="T4009" i="1"/>
  <c r="W4009" i="1" s="1"/>
  <c r="S4009" i="1"/>
  <c r="R4009" i="1"/>
  <c r="Q4009" i="1"/>
  <c r="M4009" i="1"/>
  <c r="L4009" i="1"/>
  <c r="V4008" i="1"/>
  <c r="Z4008" i="1" s="1"/>
  <c r="U4008" i="1"/>
  <c r="T4008" i="1"/>
  <c r="W4008" i="1" s="1"/>
  <c r="S4008" i="1"/>
  <c r="R4008" i="1"/>
  <c r="Q4008" i="1"/>
  <c r="M4008" i="1"/>
  <c r="L4008" i="1"/>
  <c r="V4007" i="1"/>
  <c r="U4007" i="1"/>
  <c r="T4007" i="1"/>
  <c r="W4007" i="1" s="1"/>
  <c r="S4007" i="1"/>
  <c r="R4007" i="1"/>
  <c r="Q4007" i="1"/>
  <c r="M4007" i="1"/>
  <c r="L4007" i="1"/>
  <c r="V4006" i="1"/>
  <c r="Z4006" i="1" s="1"/>
  <c r="U4006" i="1"/>
  <c r="T4006" i="1"/>
  <c r="W4006" i="1" s="1"/>
  <c r="S4006" i="1"/>
  <c r="R4006" i="1"/>
  <c r="Q4006" i="1"/>
  <c r="M4006" i="1"/>
  <c r="L4006" i="1"/>
  <c r="V4005" i="1"/>
  <c r="Z4005" i="1" s="1"/>
  <c r="U4005" i="1"/>
  <c r="T4005" i="1"/>
  <c r="W4005" i="1" s="1"/>
  <c r="S4005" i="1"/>
  <c r="R4005" i="1"/>
  <c r="Q4005" i="1"/>
  <c r="M4005" i="1"/>
  <c r="L4005" i="1"/>
  <c r="V4004" i="1"/>
  <c r="U4004" i="1"/>
  <c r="T4004" i="1"/>
  <c r="S4004" i="1"/>
  <c r="R4004" i="1"/>
  <c r="Q4004" i="1"/>
  <c r="M4004" i="1"/>
  <c r="L4004" i="1"/>
  <c r="V4003" i="1"/>
  <c r="Z4003" i="1" s="1"/>
  <c r="U4003" i="1"/>
  <c r="T4003" i="1"/>
  <c r="W4003" i="1" s="1"/>
  <c r="S4003" i="1"/>
  <c r="R4003" i="1"/>
  <c r="Q4003" i="1"/>
  <c r="M4003" i="1"/>
  <c r="L4003" i="1"/>
  <c r="V4002" i="1"/>
  <c r="Z4002" i="1" s="1"/>
  <c r="U4002" i="1"/>
  <c r="T4002" i="1"/>
  <c r="W4002" i="1" s="1"/>
  <c r="S4002" i="1"/>
  <c r="R4002" i="1"/>
  <c r="Q4002" i="1"/>
  <c r="M4002" i="1"/>
  <c r="L4002" i="1"/>
  <c r="V4001" i="1"/>
  <c r="Z4001" i="1" s="1"/>
  <c r="U4001" i="1"/>
  <c r="T4001" i="1"/>
  <c r="W4001" i="1" s="1"/>
  <c r="S4001" i="1"/>
  <c r="R4001" i="1"/>
  <c r="Q4001" i="1"/>
  <c r="M4001" i="1"/>
  <c r="L4001" i="1"/>
  <c r="V4000" i="1"/>
  <c r="Z4000" i="1" s="1"/>
  <c r="U4000" i="1"/>
  <c r="T4000" i="1"/>
  <c r="W4000" i="1" s="1"/>
  <c r="S4000" i="1"/>
  <c r="R4000" i="1"/>
  <c r="Q4000" i="1"/>
  <c r="M4000" i="1"/>
  <c r="L4000" i="1"/>
  <c r="V3999" i="1"/>
  <c r="Z3999" i="1" s="1"/>
  <c r="U3999" i="1"/>
  <c r="T3999" i="1"/>
  <c r="W3999" i="1" s="1"/>
  <c r="S3999" i="1"/>
  <c r="R3999" i="1"/>
  <c r="Q3999" i="1"/>
  <c r="M3999" i="1"/>
  <c r="L3999" i="1"/>
  <c r="V3998" i="1"/>
  <c r="Z3998" i="1" s="1"/>
  <c r="U3998" i="1"/>
  <c r="T3998" i="1"/>
  <c r="S3998" i="1"/>
  <c r="R3998" i="1"/>
  <c r="Q3998" i="1"/>
  <c r="M3998" i="1"/>
  <c r="L3998" i="1"/>
  <c r="V3997" i="1"/>
  <c r="Z3997" i="1" s="1"/>
  <c r="U3997" i="1"/>
  <c r="T3997" i="1"/>
  <c r="W3997" i="1" s="1"/>
  <c r="S3997" i="1"/>
  <c r="R3997" i="1"/>
  <c r="Q3997" i="1"/>
  <c r="M3997" i="1"/>
  <c r="L3997" i="1"/>
  <c r="V3996" i="1"/>
  <c r="Z3996" i="1" s="1"/>
  <c r="U3996" i="1"/>
  <c r="T3996" i="1"/>
  <c r="W3996" i="1" s="1"/>
  <c r="S3996" i="1"/>
  <c r="R3996" i="1"/>
  <c r="Q3996" i="1"/>
  <c r="M3996" i="1"/>
  <c r="L3996" i="1"/>
  <c r="V3995" i="1"/>
  <c r="U3995" i="1"/>
  <c r="T3995" i="1"/>
  <c r="S3995" i="1"/>
  <c r="R3995" i="1"/>
  <c r="Q3995" i="1"/>
  <c r="M3995" i="1"/>
  <c r="L3995" i="1"/>
  <c r="V3994" i="1"/>
  <c r="Z3994" i="1" s="1"/>
  <c r="U3994" i="1"/>
  <c r="T3994" i="1"/>
  <c r="W3994" i="1" s="1"/>
  <c r="S3994" i="1"/>
  <c r="R3994" i="1"/>
  <c r="Q3994" i="1"/>
  <c r="M3994" i="1"/>
  <c r="L3994" i="1"/>
  <c r="V3993" i="1"/>
  <c r="Z3993" i="1" s="1"/>
  <c r="U3993" i="1"/>
  <c r="T3993" i="1"/>
  <c r="W3993" i="1" s="1"/>
  <c r="S3993" i="1"/>
  <c r="R3993" i="1"/>
  <c r="Q3993" i="1"/>
  <c r="M3993" i="1"/>
  <c r="L3993" i="1"/>
  <c r="V3992" i="1"/>
  <c r="Z3992" i="1" s="1"/>
  <c r="U3992" i="1"/>
  <c r="T3992" i="1"/>
  <c r="S3992" i="1"/>
  <c r="R3992" i="1"/>
  <c r="Q3992" i="1"/>
  <c r="M3992" i="1"/>
  <c r="L3992" i="1"/>
  <c r="V3991" i="1"/>
  <c r="Z3991" i="1" s="1"/>
  <c r="U3991" i="1"/>
  <c r="T3991" i="1"/>
  <c r="W3991" i="1" s="1"/>
  <c r="S3991" i="1"/>
  <c r="R3991" i="1"/>
  <c r="Q3991" i="1"/>
  <c r="M3991" i="1"/>
  <c r="L3991" i="1"/>
  <c r="V3990" i="1"/>
  <c r="Z3990" i="1" s="1"/>
  <c r="U3990" i="1"/>
  <c r="T3990" i="1"/>
  <c r="S3990" i="1"/>
  <c r="R3990" i="1"/>
  <c r="Q3990" i="1"/>
  <c r="M3990" i="1"/>
  <c r="L3990" i="1"/>
  <c r="V3989" i="1"/>
  <c r="Z3989" i="1" s="1"/>
  <c r="U3989" i="1"/>
  <c r="T3989" i="1"/>
  <c r="W3989" i="1" s="1"/>
  <c r="S3989" i="1"/>
  <c r="R3989" i="1"/>
  <c r="Q3989" i="1"/>
  <c r="M3989" i="1"/>
  <c r="L3989" i="1"/>
  <c r="V3988" i="1"/>
  <c r="Z3988" i="1" s="1"/>
  <c r="U3988" i="1"/>
  <c r="T3988" i="1"/>
  <c r="W3988" i="1" s="1"/>
  <c r="S3988" i="1"/>
  <c r="R3988" i="1"/>
  <c r="Q3988" i="1"/>
  <c r="M3988" i="1"/>
  <c r="L3988" i="1"/>
  <c r="V3987" i="1"/>
  <c r="Z3987" i="1" s="1"/>
  <c r="U3987" i="1"/>
  <c r="T3987" i="1"/>
  <c r="W3987" i="1" s="1"/>
  <c r="S3987" i="1"/>
  <c r="R3987" i="1"/>
  <c r="Q3987" i="1"/>
  <c r="M3987" i="1"/>
  <c r="L3987" i="1"/>
  <c r="V3986" i="1"/>
  <c r="Z3986" i="1" s="1"/>
  <c r="U3986" i="1"/>
  <c r="T3986" i="1"/>
  <c r="S3986" i="1"/>
  <c r="R3986" i="1"/>
  <c r="Q3986" i="1"/>
  <c r="M3986" i="1"/>
  <c r="L3986" i="1"/>
  <c r="V3985" i="1"/>
  <c r="Z3985" i="1" s="1"/>
  <c r="U3985" i="1"/>
  <c r="T3985" i="1"/>
  <c r="W3985" i="1" s="1"/>
  <c r="S3985" i="1"/>
  <c r="R3985" i="1"/>
  <c r="Q3985" i="1"/>
  <c r="M3985" i="1"/>
  <c r="L3985" i="1"/>
  <c r="V3984" i="1"/>
  <c r="Z3984" i="1" s="1"/>
  <c r="U3984" i="1"/>
  <c r="T3984" i="1"/>
  <c r="W3984" i="1" s="1"/>
  <c r="S3984" i="1"/>
  <c r="R3984" i="1"/>
  <c r="Q3984" i="1"/>
  <c r="M3984" i="1"/>
  <c r="L3984" i="1"/>
  <c r="V3983" i="1"/>
  <c r="Z3983" i="1" s="1"/>
  <c r="U3983" i="1"/>
  <c r="T3983" i="1"/>
  <c r="S3983" i="1"/>
  <c r="R3983" i="1"/>
  <c r="Q3983" i="1"/>
  <c r="M3983" i="1"/>
  <c r="L3983" i="1"/>
  <c r="V3982" i="1"/>
  <c r="Z3982" i="1" s="1"/>
  <c r="U3982" i="1"/>
  <c r="T3982" i="1"/>
  <c r="W3982" i="1" s="1"/>
  <c r="S3982" i="1"/>
  <c r="R3982" i="1"/>
  <c r="Q3982" i="1"/>
  <c r="M3982" i="1"/>
  <c r="L3982" i="1"/>
  <c r="V3981" i="1"/>
  <c r="Z3981" i="1" s="1"/>
  <c r="U3981" i="1"/>
  <c r="T3981" i="1"/>
  <c r="W3981" i="1" s="1"/>
  <c r="S3981" i="1"/>
  <c r="R3981" i="1"/>
  <c r="Q3981" i="1"/>
  <c r="M3981" i="1"/>
  <c r="L3981" i="1"/>
  <c r="V3980" i="1"/>
  <c r="Z3980" i="1" s="1"/>
  <c r="U3980" i="1"/>
  <c r="T3980" i="1"/>
  <c r="W3980" i="1" s="1"/>
  <c r="S3980" i="1"/>
  <c r="R3980" i="1"/>
  <c r="Q3980" i="1"/>
  <c r="M3980" i="1"/>
  <c r="L3980" i="1"/>
  <c r="V3979" i="1"/>
  <c r="Z3979" i="1" s="1"/>
  <c r="U3979" i="1"/>
  <c r="T3979" i="1"/>
  <c r="W3979" i="1" s="1"/>
  <c r="S3979" i="1"/>
  <c r="R3979" i="1"/>
  <c r="Q3979" i="1"/>
  <c r="M3979" i="1"/>
  <c r="L3979" i="1"/>
  <c r="V3978" i="1"/>
  <c r="Z3978" i="1" s="1"/>
  <c r="U3978" i="1"/>
  <c r="T3978" i="1"/>
  <c r="W3978" i="1" s="1"/>
  <c r="S3978" i="1"/>
  <c r="R3978" i="1"/>
  <c r="Q3978" i="1"/>
  <c r="M3978" i="1"/>
  <c r="L3978" i="1"/>
  <c r="V3977" i="1"/>
  <c r="Z3977" i="1" s="1"/>
  <c r="U3977" i="1"/>
  <c r="T3977" i="1"/>
  <c r="W3977" i="1" s="1"/>
  <c r="S3977" i="1"/>
  <c r="R3977" i="1"/>
  <c r="Q3977" i="1"/>
  <c r="M3977" i="1"/>
  <c r="L3977" i="1"/>
  <c r="V3976" i="1"/>
  <c r="Z3976" i="1" s="1"/>
  <c r="U3976" i="1"/>
  <c r="T3976" i="1"/>
  <c r="W3976" i="1" s="1"/>
  <c r="S3976" i="1"/>
  <c r="R3976" i="1"/>
  <c r="Q3976" i="1"/>
  <c r="M3976" i="1"/>
  <c r="L3976" i="1"/>
  <c r="V3975" i="1"/>
  <c r="U3975" i="1"/>
  <c r="T3975" i="1"/>
  <c r="W3975" i="1" s="1"/>
  <c r="S3975" i="1"/>
  <c r="R3975" i="1"/>
  <c r="Q3975" i="1"/>
  <c r="M3975" i="1"/>
  <c r="L3975" i="1"/>
  <c r="V3974" i="1"/>
  <c r="Z3974" i="1" s="1"/>
  <c r="U3974" i="1"/>
  <c r="T3974" i="1"/>
  <c r="W3974" i="1" s="1"/>
  <c r="S3974" i="1"/>
  <c r="R3974" i="1"/>
  <c r="Q3974" i="1"/>
  <c r="M3974" i="1"/>
  <c r="L3974" i="1"/>
  <c r="V3973" i="1"/>
  <c r="Z3973" i="1" s="1"/>
  <c r="U3973" i="1"/>
  <c r="T3973" i="1"/>
  <c r="W3973" i="1" s="1"/>
  <c r="S3973" i="1"/>
  <c r="R3973" i="1"/>
  <c r="Q3973" i="1"/>
  <c r="M3973" i="1"/>
  <c r="L3973" i="1"/>
  <c r="V3972" i="1"/>
  <c r="U3972" i="1"/>
  <c r="T3972" i="1"/>
  <c r="S3972" i="1"/>
  <c r="R3972" i="1"/>
  <c r="Q3972" i="1"/>
  <c r="M3972" i="1"/>
  <c r="L3972" i="1"/>
  <c r="V3971" i="1"/>
  <c r="Z3971" i="1" s="1"/>
  <c r="U3971" i="1"/>
  <c r="T3971" i="1"/>
  <c r="W3971" i="1" s="1"/>
  <c r="S3971" i="1"/>
  <c r="R3971" i="1"/>
  <c r="Q3971" i="1"/>
  <c r="M3971" i="1"/>
  <c r="L3971" i="1"/>
  <c r="V3970" i="1"/>
  <c r="Z3970" i="1" s="1"/>
  <c r="U3970" i="1"/>
  <c r="T3970" i="1"/>
  <c r="W3970" i="1" s="1"/>
  <c r="S3970" i="1"/>
  <c r="R3970" i="1"/>
  <c r="Q3970" i="1"/>
  <c r="M3970" i="1"/>
  <c r="L3970" i="1"/>
  <c r="V3969" i="1"/>
  <c r="Z3969" i="1" s="1"/>
  <c r="U3969" i="1"/>
  <c r="T3969" i="1"/>
  <c r="W3969" i="1" s="1"/>
  <c r="S3969" i="1"/>
  <c r="R3969" i="1"/>
  <c r="Q3969" i="1"/>
  <c r="M3969" i="1"/>
  <c r="L3969" i="1"/>
  <c r="V3968" i="1"/>
  <c r="Z3968" i="1" s="1"/>
  <c r="U3968" i="1"/>
  <c r="T3968" i="1"/>
  <c r="W3968" i="1" s="1"/>
  <c r="S3968" i="1"/>
  <c r="R3968" i="1"/>
  <c r="Q3968" i="1"/>
  <c r="M3968" i="1"/>
  <c r="L3968" i="1"/>
  <c r="V3967" i="1"/>
  <c r="Z3967" i="1" s="1"/>
  <c r="U3967" i="1"/>
  <c r="T3967" i="1"/>
  <c r="W3967" i="1" s="1"/>
  <c r="S3967" i="1"/>
  <c r="R3967" i="1"/>
  <c r="Q3967" i="1"/>
  <c r="M3967" i="1"/>
  <c r="L3967" i="1"/>
  <c r="V3966" i="1"/>
  <c r="Z3966" i="1" s="1"/>
  <c r="U3966" i="1"/>
  <c r="T3966" i="1"/>
  <c r="S3966" i="1"/>
  <c r="R3966" i="1"/>
  <c r="Q3966" i="1"/>
  <c r="M3966" i="1"/>
  <c r="L3966" i="1"/>
  <c r="V3965" i="1"/>
  <c r="Z3965" i="1" s="1"/>
  <c r="U3965" i="1"/>
  <c r="T3965" i="1"/>
  <c r="W3965" i="1" s="1"/>
  <c r="S3965" i="1"/>
  <c r="R3965" i="1"/>
  <c r="Q3965" i="1"/>
  <c r="M3965" i="1"/>
  <c r="L3965" i="1"/>
  <c r="V3964" i="1"/>
  <c r="Z3964" i="1" s="1"/>
  <c r="U3964" i="1"/>
  <c r="T3964" i="1"/>
  <c r="W3964" i="1" s="1"/>
  <c r="S3964" i="1"/>
  <c r="R3964" i="1"/>
  <c r="Q3964" i="1"/>
  <c r="M3964" i="1"/>
  <c r="L3964" i="1"/>
  <c r="V3963" i="1"/>
  <c r="U3963" i="1"/>
  <c r="T3963" i="1"/>
  <c r="S3963" i="1"/>
  <c r="R3963" i="1"/>
  <c r="Q3963" i="1"/>
  <c r="M3963" i="1"/>
  <c r="L3963" i="1"/>
  <c r="V3962" i="1"/>
  <c r="Z3962" i="1" s="1"/>
  <c r="U3962" i="1"/>
  <c r="T3962" i="1"/>
  <c r="W3962" i="1" s="1"/>
  <c r="S3962" i="1"/>
  <c r="R3962" i="1"/>
  <c r="Q3962" i="1"/>
  <c r="M3962" i="1"/>
  <c r="L3962" i="1"/>
  <c r="V3961" i="1"/>
  <c r="Z3961" i="1" s="1"/>
  <c r="U3961" i="1"/>
  <c r="T3961" i="1"/>
  <c r="W3961" i="1" s="1"/>
  <c r="S3961" i="1"/>
  <c r="R3961" i="1"/>
  <c r="Q3961" i="1"/>
  <c r="M3961" i="1"/>
  <c r="L3961" i="1"/>
  <c r="V3960" i="1"/>
  <c r="Z3960" i="1" s="1"/>
  <c r="U3960" i="1"/>
  <c r="T3960" i="1"/>
  <c r="S3960" i="1"/>
  <c r="R3960" i="1"/>
  <c r="Q3960" i="1"/>
  <c r="M3960" i="1"/>
  <c r="L3960" i="1"/>
  <c r="V3959" i="1"/>
  <c r="Z3959" i="1" s="1"/>
  <c r="U3959" i="1"/>
  <c r="T3959" i="1"/>
  <c r="W3959" i="1" s="1"/>
  <c r="S3959" i="1"/>
  <c r="R3959" i="1"/>
  <c r="Q3959" i="1"/>
  <c r="M3959" i="1"/>
  <c r="L3959" i="1"/>
  <c r="V3958" i="1"/>
  <c r="Z3958" i="1" s="1"/>
  <c r="U3958" i="1"/>
  <c r="T3958" i="1"/>
  <c r="S3958" i="1"/>
  <c r="R3958" i="1"/>
  <c r="Q3958" i="1"/>
  <c r="M3958" i="1"/>
  <c r="L3958" i="1"/>
  <c r="V3957" i="1"/>
  <c r="Z3957" i="1" s="1"/>
  <c r="U3957" i="1"/>
  <c r="T3957" i="1"/>
  <c r="W3957" i="1" s="1"/>
  <c r="S3957" i="1"/>
  <c r="R3957" i="1"/>
  <c r="Q3957" i="1"/>
  <c r="M3957" i="1"/>
  <c r="L3957" i="1"/>
  <c r="V3956" i="1"/>
  <c r="Z3956" i="1" s="1"/>
  <c r="U3956" i="1"/>
  <c r="T3956" i="1"/>
  <c r="W3956" i="1" s="1"/>
  <c r="S3956" i="1"/>
  <c r="R3956" i="1"/>
  <c r="Q3956" i="1"/>
  <c r="M3956" i="1"/>
  <c r="L3956" i="1"/>
  <c r="V3955" i="1"/>
  <c r="Z3955" i="1" s="1"/>
  <c r="U3955" i="1"/>
  <c r="T3955" i="1"/>
  <c r="S3955" i="1"/>
  <c r="R3955" i="1"/>
  <c r="Q3955" i="1"/>
  <c r="M3955" i="1"/>
  <c r="L3955" i="1"/>
  <c r="V3954" i="1"/>
  <c r="Z3954" i="1" s="1"/>
  <c r="U3954" i="1"/>
  <c r="T3954" i="1"/>
  <c r="S3954" i="1"/>
  <c r="R3954" i="1"/>
  <c r="Q3954" i="1"/>
  <c r="M3954" i="1"/>
  <c r="L3954" i="1"/>
  <c r="V3953" i="1"/>
  <c r="Z3953" i="1" s="1"/>
  <c r="U3953" i="1"/>
  <c r="T3953" i="1"/>
  <c r="W3953" i="1" s="1"/>
  <c r="S3953" i="1"/>
  <c r="R3953" i="1"/>
  <c r="Q3953" i="1"/>
  <c r="M3953" i="1"/>
  <c r="L3953" i="1"/>
  <c r="V3952" i="1"/>
  <c r="Z3952" i="1" s="1"/>
  <c r="U3952" i="1"/>
  <c r="T3952" i="1"/>
  <c r="W3952" i="1" s="1"/>
  <c r="S3952" i="1"/>
  <c r="R3952" i="1"/>
  <c r="Q3952" i="1"/>
  <c r="M3952" i="1"/>
  <c r="L3952" i="1"/>
  <c r="V3951" i="1"/>
  <c r="Z3951" i="1" s="1"/>
  <c r="U3951" i="1"/>
  <c r="T3951" i="1"/>
  <c r="S3951" i="1"/>
  <c r="R3951" i="1"/>
  <c r="Q3951" i="1"/>
  <c r="M3951" i="1"/>
  <c r="L3951" i="1"/>
  <c r="V3950" i="1"/>
  <c r="Z3950" i="1" s="1"/>
  <c r="U3950" i="1"/>
  <c r="T3950" i="1"/>
  <c r="W3950" i="1" s="1"/>
  <c r="S3950" i="1"/>
  <c r="R3950" i="1"/>
  <c r="Q3950" i="1"/>
  <c r="M3950" i="1"/>
  <c r="L3950" i="1"/>
  <c r="V3949" i="1"/>
  <c r="Z3949" i="1" s="1"/>
  <c r="U3949" i="1"/>
  <c r="T3949" i="1"/>
  <c r="W3949" i="1" s="1"/>
  <c r="S3949" i="1"/>
  <c r="R3949" i="1"/>
  <c r="Q3949" i="1"/>
  <c r="M3949" i="1"/>
  <c r="L3949" i="1"/>
  <c r="V3948" i="1"/>
  <c r="Z3948" i="1" s="1"/>
  <c r="U3948" i="1"/>
  <c r="T3948" i="1"/>
  <c r="W3948" i="1" s="1"/>
  <c r="S3948" i="1"/>
  <c r="R3948" i="1"/>
  <c r="Q3948" i="1"/>
  <c r="M3948" i="1"/>
  <c r="L3948" i="1"/>
  <c r="V3947" i="1"/>
  <c r="Z3947" i="1" s="1"/>
  <c r="U3947" i="1"/>
  <c r="T3947" i="1"/>
  <c r="W3947" i="1" s="1"/>
  <c r="S3947" i="1"/>
  <c r="R3947" i="1"/>
  <c r="Q3947" i="1"/>
  <c r="M3947" i="1"/>
  <c r="L3947" i="1"/>
  <c r="V3946" i="1"/>
  <c r="Z3946" i="1" s="1"/>
  <c r="U3946" i="1"/>
  <c r="T3946" i="1"/>
  <c r="W3946" i="1" s="1"/>
  <c r="S3946" i="1"/>
  <c r="R3946" i="1"/>
  <c r="Q3946" i="1"/>
  <c r="M3946" i="1"/>
  <c r="L3946" i="1"/>
  <c r="V3945" i="1"/>
  <c r="Z3945" i="1" s="1"/>
  <c r="U3945" i="1"/>
  <c r="T3945" i="1"/>
  <c r="W3945" i="1" s="1"/>
  <c r="S3945" i="1"/>
  <c r="R3945" i="1"/>
  <c r="Q3945" i="1"/>
  <c r="M3945" i="1"/>
  <c r="L3945" i="1"/>
  <c r="V3944" i="1"/>
  <c r="Z3944" i="1" s="1"/>
  <c r="U3944" i="1"/>
  <c r="T3944" i="1"/>
  <c r="W3944" i="1" s="1"/>
  <c r="S3944" i="1"/>
  <c r="R3944" i="1"/>
  <c r="Q3944" i="1"/>
  <c r="M3944" i="1"/>
  <c r="L3944" i="1"/>
  <c r="V3943" i="1"/>
  <c r="U3943" i="1"/>
  <c r="T3943" i="1"/>
  <c r="W3943" i="1" s="1"/>
  <c r="S3943" i="1"/>
  <c r="R3943" i="1"/>
  <c r="Q3943" i="1"/>
  <c r="M3943" i="1"/>
  <c r="L3943" i="1"/>
  <c r="V3942" i="1"/>
  <c r="Z3942" i="1" s="1"/>
  <c r="U3942" i="1"/>
  <c r="T3942" i="1"/>
  <c r="S3942" i="1"/>
  <c r="R3942" i="1"/>
  <c r="Q3942" i="1"/>
  <c r="M3942" i="1"/>
  <c r="L3942" i="1"/>
  <c r="V3941" i="1"/>
  <c r="Z3941" i="1" s="1"/>
  <c r="U3941" i="1"/>
  <c r="T3941" i="1"/>
  <c r="W3941" i="1" s="1"/>
  <c r="S3941" i="1"/>
  <c r="R3941" i="1"/>
  <c r="Q3941" i="1"/>
  <c r="M3941" i="1"/>
  <c r="L3941" i="1"/>
  <c r="V3940" i="1"/>
  <c r="Z3940" i="1" s="1"/>
  <c r="U3940" i="1"/>
  <c r="T3940" i="1"/>
  <c r="W3940" i="1" s="1"/>
  <c r="S3940" i="1"/>
  <c r="R3940" i="1"/>
  <c r="Q3940" i="1"/>
  <c r="M3940" i="1"/>
  <c r="L3940" i="1"/>
  <c r="V3939" i="1"/>
  <c r="Z3939" i="1" s="1"/>
  <c r="U3939" i="1"/>
  <c r="T3939" i="1"/>
  <c r="S3939" i="1"/>
  <c r="R3939" i="1"/>
  <c r="Q3939" i="1"/>
  <c r="M3939" i="1"/>
  <c r="L3939" i="1"/>
  <c r="V3938" i="1"/>
  <c r="Z3938" i="1" s="1"/>
  <c r="U3938" i="1"/>
  <c r="T3938" i="1"/>
  <c r="W3938" i="1" s="1"/>
  <c r="S3938" i="1"/>
  <c r="R3938" i="1"/>
  <c r="Q3938" i="1"/>
  <c r="M3938" i="1"/>
  <c r="L3938" i="1"/>
  <c r="V3937" i="1"/>
  <c r="Z3937" i="1" s="1"/>
  <c r="U3937" i="1"/>
  <c r="T3937" i="1"/>
  <c r="W3937" i="1" s="1"/>
  <c r="S3937" i="1"/>
  <c r="R3937" i="1"/>
  <c r="Q3937" i="1"/>
  <c r="M3937" i="1"/>
  <c r="L3937" i="1"/>
  <c r="V3936" i="1"/>
  <c r="Z3936" i="1" s="1"/>
  <c r="U3936" i="1"/>
  <c r="T3936" i="1"/>
  <c r="W3936" i="1" s="1"/>
  <c r="S3936" i="1"/>
  <c r="R3936" i="1"/>
  <c r="Q3936" i="1"/>
  <c r="M3936" i="1"/>
  <c r="L3936" i="1"/>
  <c r="V3935" i="1"/>
  <c r="Z3935" i="1" s="1"/>
  <c r="U3935" i="1"/>
  <c r="T3935" i="1"/>
  <c r="W3935" i="1" s="1"/>
  <c r="S3935" i="1"/>
  <c r="R3935" i="1"/>
  <c r="Q3935" i="1"/>
  <c r="M3935" i="1"/>
  <c r="L3935" i="1"/>
  <c r="V3934" i="1"/>
  <c r="Z3934" i="1" s="1"/>
  <c r="U3934" i="1"/>
  <c r="T3934" i="1"/>
  <c r="W3934" i="1" s="1"/>
  <c r="S3934" i="1"/>
  <c r="R3934" i="1"/>
  <c r="Q3934" i="1"/>
  <c r="M3934" i="1"/>
  <c r="L3934" i="1"/>
  <c r="V3933" i="1"/>
  <c r="Z3933" i="1" s="1"/>
  <c r="U3933" i="1"/>
  <c r="T3933" i="1"/>
  <c r="W3933" i="1" s="1"/>
  <c r="S3933" i="1"/>
  <c r="R3933" i="1"/>
  <c r="Q3933" i="1"/>
  <c r="M3933" i="1"/>
  <c r="L3933" i="1"/>
  <c r="V3932" i="1"/>
  <c r="Z3932" i="1" s="1"/>
  <c r="U3932" i="1"/>
  <c r="T3932" i="1"/>
  <c r="W3932" i="1" s="1"/>
  <c r="S3932" i="1"/>
  <c r="R3932" i="1"/>
  <c r="Q3932" i="1"/>
  <c r="M3932" i="1"/>
  <c r="L3932" i="1"/>
  <c r="V3931" i="1"/>
  <c r="Z3931" i="1" s="1"/>
  <c r="U3931" i="1"/>
  <c r="T3931" i="1"/>
  <c r="S3931" i="1"/>
  <c r="R3931" i="1"/>
  <c r="Q3931" i="1"/>
  <c r="M3931" i="1"/>
  <c r="L3931" i="1"/>
  <c r="V3930" i="1"/>
  <c r="Z3930" i="1" s="1"/>
  <c r="U3930" i="1"/>
  <c r="T3930" i="1"/>
  <c r="S3930" i="1"/>
  <c r="R3930" i="1"/>
  <c r="Q3930" i="1"/>
  <c r="M3930" i="1"/>
  <c r="L3930" i="1"/>
  <c r="V3929" i="1"/>
  <c r="Z3929" i="1" s="1"/>
  <c r="U3929" i="1"/>
  <c r="T3929" i="1"/>
  <c r="W3929" i="1" s="1"/>
  <c r="S3929" i="1"/>
  <c r="R3929" i="1"/>
  <c r="Q3929" i="1"/>
  <c r="M3929" i="1"/>
  <c r="L3929" i="1"/>
  <c r="V3928" i="1"/>
  <c r="Z3928" i="1" s="1"/>
  <c r="U3928" i="1"/>
  <c r="T3928" i="1"/>
  <c r="W3928" i="1" s="1"/>
  <c r="S3928" i="1"/>
  <c r="R3928" i="1"/>
  <c r="Q3928" i="1"/>
  <c r="M3928" i="1"/>
  <c r="L3928" i="1"/>
  <c r="V3927" i="1"/>
  <c r="Z3927" i="1" s="1"/>
  <c r="U3927" i="1"/>
  <c r="T3927" i="1"/>
  <c r="S3927" i="1"/>
  <c r="R3927" i="1"/>
  <c r="Q3927" i="1"/>
  <c r="M3927" i="1"/>
  <c r="L3927" i="1"/>
  <c r="V3926" i="1"/>
  <c r="Z3926" i="1" s="1"/>
  <c r="U3926" i="1"/>
  <c r="T3926" i="1"/>
  <c r="W3926" i="1" s="1"/>
  <c r="S3926" i="1"/>
  <c r="R3926" i="1"/>
  <c r="Q3926" i="1"/>
  <c r="M3926" i="1"/>
  <c r="L3926" i="1"/>
  <c r="V3925" i="1"/>
  <c r="Z3925" i="1" s="1"/>
  <c r="U3925" i="1"/>
  <c r="T3925" i="1"/>
  <c r="W3925" i="1" s="1"/>
  <c r="S3925" i="1"/>
  <c r="R3925" i="1"/>
  <c r="Q3925" i="1"/>
  <c r="M3925" i="1"/>
  <c r="L3925" i="1"/>
  <c r="V3924" i="1"/>
  <c r="Z3924" i="1" s="1"/>
  <c r="U3924" i="1"/>
  <c r="T3924" i="1"/>
  <c r="W3924" i="1" s="1"/>
  <c r="S3924" i="1"/>
  <c r="R3924" i="1"/>
  <c r="Q3924" i="1"/>
  <c r="M3924" i="1"/>
  <c r="L3924" i="1"/>
  <c r="V3923" i="1"/>
  <c r="Z3923" i="1" s="1"/>
  <c r="U3923" i="1"/>
  <c r="T3923" i="1"/>
  <c r="W3923" i="1" s="1"/>
  <c r="S3923" i="1"/>
  <c r="R3923" i="1"/>
  <c r="Q3923" i="1"/>
  <c r="M3923" i="1"/>
  <c r="L3923" i="1"/>
  <c r="V3922" i="1"/>
  <c r="Z3922" i="1" s="1"/>
  <c r="U3922" i="1"/>
  <c r="T3922" i="1"/>
  <c r="W3922" i="1" s="1"/>
  <c r="S3922" i="1"/>
  <c r="R3922" i="1"/>
  <c r="Q3922" i="1"/>
  <c r="M3922" i="1"/>
  <c r="L3922" i="1"/>
  <c r="V3921" i="1"/>
  <c r="Z3921" i="1" s="1"/>
  <c r="U3921" i="1"/>
  <c r="T3921" i="1"/>
  <c r="W3921" i="1" s="1"/>
  <c r="S3921" i="1"/>
  <c r="R3921" i="1"/>
  <c r="Q3921" i="1"/>
  <c r="M3921" i="1"/>
  <c r="L3921" i="1"/>
  <c r="V3920" i="1"/>
  <c r="Z3920" i="1" s="1"/>
  <c r="U3920" i="1"/>
  <c r="T3920" i="1"/>
  <c r="W3920" i="1" s="1"/>
  <c r="S3920" i="1"/>
  <c r="R3920" i="1"/>
  <c r="Q3920" i="1"/>
  <c r="M3920" i="1"/>
  <c r="L3920" i="1"/>
  <c r="V3919" i="1"/>
  <c r="U3919" i="1"/>
  <c r="T3919" i="1"/>
  <c r="W3919" i="1" s="1"/>
  <c r="S3919" i="1"/>
  <c r="R3919" i="1"/>
  <c r="Q3919" i="1"/>
  <c r="M3919" i="1"/>
  <c r="L3919" i="1"/>
  <c r="V3918" i="1"/>
  <c r="Z3918" i="1" s="1"/>
  <c r="U3918" i="1"/>
  <c r="T3918" i="1"/>
  <c r="S3918" i="1"/>
  <c r="R3918" i="1"/>
  <c r="Q3918" i="1"/>
  <c r="M3918" i="1"/>
  <c r="L3918" i="1"/>
  <c r="V3917" i="1"/>
  <c r="Z3917" i="1" s="1"/>
  <c r="U3917" i="1"/>
  <c r="T3917" i="1"/>
  <c r="W3917" i="1" s="1"/>
  <c r="S3917" i="1"/>
  <c r="R3917" i="1"/>
  <c r="Q3917" i="1"/>
  <c r="M3917" i="1"/>
  <c r="L3917" i="1"/>
  <c r="V3916" i="1"/>
  <c r="Z3916" i="1" s="1"/>
  <c r="U3916" i="1"/>
  <c r="T3916" i="1"/>
  <c r="W3916" i="1" s="1"/>
  <c r="S3916" i="1"/>
  <c r="R3916" i="1"/>
  <c r="Q3916" i="1"/>
  <c r="M3916" i="1"/>
  <c r="L3916" i="1"/>
  <c r="V3915" i="1"/>
  <c r="Z3915" i="1" s="1"/>
  <c r="U3915" i="1"/>
  <c r="T3915" i="1"/>
  <c r="S3915" i="1"/>
  <c r="R3915" i="1"/>
  <c r="Q3915" i="1"/>
  <c r="M3915" i="1"/>
  <c r="L3915" i="1"/>
  <c r="V3914" i="1"/>
  <c r="Z3914" i="1" s="1"/>
  <c r="U3914" i="1"/>
  <c r="T3914" i="1"/>
  <c r="W3914" i="1" s="1"/>
  <c r="S3914" i="1"/>
  <c r="R3914" i="1"/>
  <c r="Q3914" i="1"/>
  <c r="M3914" i="1"/>
  <c r="L3914" i="1"/>
  <c r="V3913" i="1"/>
  <c r="Z3913" i="1" s="1"/>
  <c r="U3913" i="1"/>
  <c r="T3913" i="1"/>
  <c r="W3913" i="1" s="1"/>
  <c r="S3913" i="1"/>
  <c r="R3913" i="1"/>
  <c r="Q3913" i="1"/>
  <c r="M3913" i="1"/>
  <c r="L3913" i="1"/>
  <c r="V3912" i="1"/>
  <c r="Z3912" i="1" s="1"/>
  <c r="U3912" i="1"/>
  <c r="T3912" i="1"/>
  <c r="W3912" i="1" s="1"/>
  <c r="S3912" i="1"/>
  <c r="R3912" i="1"/>
  <c r="Q3912" i="1"/>
  <c r="M3912" i="1"/>
  <c r="L3912" i="1"/>
  <c r="V3911" i="1"/>
  <c r="Z3911" i="1" s="1"/>
  <c r="U3911" i="1"/>
  <c r="T3911" i="1"/>
  <c r="W3911" i="1" s="1"/>
  <c r="S3911" i="1"/>
  <c r="R3911" i="1"/>
  <c r="Q3911" i="1"/>
  <c r="M3911" i="1"/>
  <c r="L3911" i="1"/>
  <c r="V3910" i="1"/>
  <c r="Z3910" i="1" s="1"/>
  <c r="U3910" i="1"/>
  <c r="T3910" i="1"/>
  <c r="W3910" i="1" s="1"/>
  <c r="S3910" i="1"/>
  <c r="R3910" i="1"/>
  <c r="Q3910" i="1"/>
  <c r="M3910" i="1"/>
  <c r="L3910" i="1"/>
  <c r="V3909" i="1"/>
  <c r="Z3909" i="1" s="1"/>
  <c r="U3909" i="1"/>
  <c r="T3909" i="1"/>
  <c r="W3909" i="1" s="1"/>
  <c r="S3909" i="1"/>
  <c r="R3909" i="1"/>
  <c r="Q3909" i="1"/>
  <c r="M3909" i="1"/>
  <c r="L3909" i="1"/>
  <c r="V3908" i="1"/>
  <c r="Z3908" i="1" s="1"/>
  <c r="U3908" i="1"/>
  <c r="T3908" i="1"/>
  <c r="W3908" i="1" s="1"/>
  <c r="S3908" i="1"/>
  <c r="R3908" i="1"/>
  <c r="Q3908" i="1"/>
  <c r="M3908" i="1"/>
  <c r="L3908" i="1"/>
  <c r="V3907" i="1"/>
  <c r="U3907" i="1"/>
  <c r="T3907" i="1"/>
  <c r="W3907" i="1" s="1"/>
  <c r="S3907" i="1"/>
  <c r="R3907" i="1"/>
  <c r="Q3907" i="1"/>
  <c r="M3907" i="1"/>
  <c r="L3907" i="1"/>
  <c r="V3906" i="1"/>
  <c r="Z3906" i="1" s="1"/>
  <c r="U3906" i="1"/>
  <c r="T3906" i="1"/>
  <c r="S3906" i="1"/>
  <c r="R3906" i="1"/>
  <c r="Q3906" i="1"/>
  <c r="M3906" i="1"/>
  <c r="L3906" i="1"/>
  <c r="V3905" i="1"/>
  <c r="Z3905" i="1" s="1"/>
  <c r="U3905" i="1"/>
  <c r="T3905" i="1"/>
  <c r="W3905" i="1" s="1"/>
  <c r="S3905" i="1"/>
  <c r="R3905" i="1"/>
  <c r="Q3905" i="1"/>
  <c r="M3905" i="1"/>
  <c r="L3905" i="1"/>
  <c r="V3904" i="1"/>
  <c r="Z3904" i="1" s="1"/>
  <c r="U3904" i="1"/>
  <c r="T3904" i="1"/>
  <c r="W3904" i="1" s="1"/>
  <c r="S3904" i="1"/>
  <c r="R3904" i="1"/>
  <c r="Q3904" i="1"/>
  <c r="M3904" i="1"/>
  <c r="L3904" i="1"/>
  <c r="V3903" i="1"/>
  <c r="Z3903" i="1" s="1"/>
  <c r="U3903" i="1"/>
  <c r="T3903" i="1"/>
  <c r="S3903" i="1"/>
  <c r="R3903" i="1"/>
  <c r="Q3903" i="1"/>
  <c r="M3903" i="1"/>
  <c r="L3903" i="1"/>
  <c r="V3902" i="1"/>
  <c r="Z3902" i="1" s="1"/>
  <c r="U3902" i="1"/>
  <c r="T3902" i="1"/>
  <c r="W3902" i="1" s="1"/>
  <c r="S3902" i="1"/>
  <c r="R3902" i="1"/>
  <c r="Q3902" i="1"/>
  <c r="M3902" i="1"/>
  <c r="L3902" i="1"/>
  <c r="V3901" i="1"/>
  <c r="Z3901" i="1" s="1"/>
  <c r="U3901" i="1"/>
  <c r="T3901" i="1"/>
  <c r="W3901" i="1" s="1"/>
  <c r="S3901" i="1"/>
  <c r="R3901" i="1"/>
  <c r="Q3901" i="1"/>
  <c r="M3901" i="1"/>
  <c r="L3901" i="1"/>
  <c r="V3900" i="1"/>
  <c r="Z3900" i="1" s="1"/>
  <c r="U3900" i="1"/>
  <c r="T3900" i="1"/>
  <c r="W3900" i="1" s="1"/>
  <c r="S3900" i="1"/>
  <c r="R3900" i="1"/>
  <c r="Q3900" i="1"/>
  <c r="M3900" i="1"/>
  <c r="L3900" i="1"/>
  <c r="V3899" i="1"/>
  <c r="Z3899" i="1" s="1"/>
  <c r="U3899" i="1"/>
  <c r="T3899" i="1"/>
  <c r="W3899" i="1" s="1"/>
  <c r="S3899" i="1"/>
  <c r="R3899" i="1"/>
  <c r="Q3899" i="1"/>
  <c r="M3899" i="1"/>
  <c r="L3899" i="1"/>
  <c r="V3898" i="1"/>
  <c r="Z3898" i="1" s="1"/>
  <c r="U3898" i="1"/>
  <c r="T3898" i="1"/>
  <c r="S3898" i="1"/>
  <c r="R3898" i="1"/>
  <c r="Q3898" i="1"/>
  <c r="M3898" i="1"/>
  <c r="L3898" i="1"/>
  <c r="V3897" i="1"/>
  <c r="Z3897" i="1" s="1"/>
  <c r="U3897" i="1"/>
  <c r="T3897" i="1"/>
  <c r="W3897" i="1" s="1"/>
  <c r="S3897" i="1"/>
  <c r="R3897" i="1"/>
  <c r="Q3897" i="1"/>
  <c r="M3897" i="1"/>
  <c r="L3897" i="1"/>
  <c r="V3896" i="1"/>
  <c r="U3896" i="1"/>
  <c r="T3896" i="1"/>
  <c r="W3896" i="1" s="1"/>
  <c r="S3896" i="1"/>
  <c r="R3896" i="1"/>
  <c r="Q3896" i="1"/>
  <c r="M3896" i="1"/>
  <c r="L3896" i="1"/>
  <c r="V3895" i="1"/>
  <c r="U3895" i="1"/>
  <c r="T3895" i="1"/>
  <c r="S3895" i="1"/>
  <c r="R3895" i="1"/>
  <c r="Q3895" i="1"/>
  <c r="M3895" i="1"/>
  <c r="L3895" i="1"/>
  <c r="V3894" i="1"/>
  <c r="Z3894" i="1" s="1"/>
  <c r="U3894" i="1"/>
  <c r="T3894" i="1"/>
  <c r="W3894" i="1" s="1"/>
  <c r="S3894" i="1"/>
  <c r="R3894" i="1"/>
  <c r="Q3894" i="1"/>
  <c r="M3894" i="1"/>
  <c r="L3894" i="1"/>
  <c r="V3893" i="1"/>
  <c r="Z3893" i="1" s="1"/>
  <c r="U3893" i="1"/>
  <c r="T3893" i="1"/>
  <c r="W3893" i="1" s="1"/>
  <c r="S3893" i="1"/>
  <c r="R3893" i="1"/>
  <c r="Q3893" i="1"/>
  <c r="M3893" i="1"/>
  <c r="L3893" i="1"/>
  <c r="V3892" i="1"/>
  <c r="Z3892" i="1" s="1"/>
  <c r="U3892" i="1"/>
  <c r="T3892" i="1"/>
  <c r="W3892" i="1" s="1"/>
  <c r="S3892" i="1"/>
  <c r="R3892" i="1"/>
  <c r="Q3892" i="1"/>
  <c r="M3892" i="1"/>
  <c r="L3892" i="1"/>
  <c r="V3891" i="1"/>
  <c r="Z3891" i="1" s="1"/>
  <c r="U3891" i="1"/>
  <c r="T3891" i="1"/>
  <c r="W3891" i="1" s="1"/>
  <c r="S3891" i="1"/>
  <c r="R3891" i="1"/>
  <c r="Q3891" i="1"/>
  <c r="M3891" i="1"/>
  <c r="L3891" i="1"/>
  <c r="V3890" i="1"/>
  <c r="Z3890" i="1" s="1"/>
  <c r="U3890" i="1"/>
  <c r="T3890" i="1"/>
  <c r="W3890" i="1" s="1"/>
  <c r="S3890" i="1"/>
  <c r="R3890" i="1"/>
  <c r="Q3890" i="1"/>
  <c r="M3890" i="1"/>
  <c r="L3890" i="1"/>
  <c r="V3889" i="1"/>
  <c r="Z3889" i="1" s="1"/>
  <c r="U3889" i="1"/>
  <c r="T3889" i="1"/>
  <c r="W3889" i="1" s="1"/>
  <c r="S3889" i="1"/>
  <c r="R3889" i="1"/>
  <c r="Q3889" i="1"/>
  <c r="M3889" i="1"/>
  <c r="L3889" i="1"/>
  <c r="V3888" i="1"/>
  <c r="Z3888" i="1" s="1"/>
  <c r="U3888" i="1"/>
  <c r="T3888" i="1"/>
  <c r="W3888" i="1" s="1"/>
  <c r="S3888" i="1"/>
  <c r="R3888" i="1"/>
  <c r="Q3888" i="1"/>
  <c r="M3888" i="1"/>
  <c r="L3888" i="1"/>
  <c r="V3887" i="1"/>
  <c r="Z3887" i="1" s="1"/>
  <c r="U3887" i="1"/>
  <c r="T3887" i="1"/>
  <c r="W3887" i="1" s="1"/>
  <c r="S3887" i="1"/>
  <c r="R3887" i="1"/>
  <c r="Q3887" i="1"/>
  <c r="M3887" i="1"/>
  <c r="L3887" i="1"/>
  <c r="V3886" i="1"/>
  <c r="Z3886" i="1" s="1"/>
  <c r="U3886" i="1"/>
  <c r="T3886" i="1"/>
  <c r="S3886" i="1"/>
  <c r="R3886" i="1"/>
  <c r="Q3886" i="1"/>
  <c r="M3886" i="1"/>
  <c r="L3886" i="1"/>
  <c r="V3885" i="1"/>
  <c r="Z3885" i="1" s="1"/>
  <c r="U3885" i="1"/>
  <c r="T3885" i="1"/>
  <c r="W3885" i="1" s="1"/>
  <c r="S3885" i="1"/>
  <c r="R3885" i="1"/>
  <c r="Q3885" i="1"/>
  <c r="M3885" i="1"/>
  <c r="L3885" i="1"/>
  <c r="V3884" i="1"/>
  <c r="Z3884" i="1" s="1"/>
  <c r="U3884" i="1"/>
  <c r="T3884" i="1"/>
  <c r="W3884" i="1" s="1"/>
  <c r="S3884" i="1"/>
  <c r="R3884" i="1"/>
  <c r="Q3884" i="1"/>
  <c r="M3884" i="1"/>
  <c r="L3884" i="1"/>
  <c r="V3883" i="1"/>
  <c r="U3883" i="1"/>
  <c r="T3883" i="1"/>
  <c r="S3883" i="1"/>
  <c r="R3883" i="1"/>
  <c r="Q3883" i="1"/>
  <c r="M3883" i="1"/>
  <c r="L3883" i="1"/>
  <c r="V3882" i="1"/>
  <c r="Z3882" i="1" s="1"/>
  <c r="U3882" i="1"/>
  <c r="T3882" i="1"/>
  <c r="W3882" i="1" s="1"/>
  <c r="S3882" i="1"/>
  <c r="R3882" i="1"/>
  <c r="Q3882" i="1"/>
  <c r="M3882" i="1"/>
  <c r="L3882" i="1"/>
  <c r="V3881" i="1"/>
  <c r="Z3881" i="1" s="1"/>
  <c r="U3881" i="1"/>
  <c r="T3881" i="1"/>
  <c r="W3881" i="1" s="1"/>
  <c r="S3881" i="1"/>
  <c r="R3881" i="1"/>
  <c r="Q3881" i="1"/>
  <c r="M3881" i="1"/>
  <c r="L3881" i="1"/>
  <c r="V3880" i="1"/>
  <c r="Z3880" i="1" s="1"/>
  <c r="U3880" i="1"/>
  <c r="T3880" i="1"/>
  <c r="S3880" i="1"/>
  <c r="R3880" i="1"/>
  <c r="Q3880" i="1"/>
  <c r="M3880" i="1"/>
  <c r="L3880" i="1"/>
  <c r="V3879" i="1"/>
  <c r="Z3879" i="1" s="1"/>
  <c r="U3879" i="1"/>
  <c r="T3879" i="1"/>
  <c r="W3879" i="1" s="1"/>
  <c r="S3879" i="1"/>
  <c r="R3879" i="1"/>
  <c r="Q3879" i="1"/>
  <c r="M3879" i="1"/>
  <c r="L3879" i="1"/>
  <c r="V3878" i="1"/>
  <c r="Z3878" i="1" s="1"/>
  <c r="U3878" i="1"/>
  <c r="T3878" i="1"/>
  <c r="S3878" i="1"/>
  <c r="R3878" i="1"/>
  <c r="Q3878" i="1"/>
  <c r="M3878" i="1"/>
  <c r="L3878" i="1"/>
  <c r="V3877" i="1"/>
  <c r="Z3877" i="1" s="1"/>
  <c r="U3877" i="1"/>
  <c r="T3877" i="1"/>
  <c r="W3877" i="1" s="1"/>
  <c r="S3877" i="1"/>
  <c r="R3877" i="1"/>
  <c r="Q3877" i="1"/>
  <c r="M3877" i="1"/>
  <c r="L3877" i="1"/>
  <c r="V3876" i="1"/>
  <c r="Z3876" i="1" s="1"/>
  <c r="U3876" i="1"/>
  <c r="T3876" i="1"/>
  <c r="W3876" i="1" s="1"/>
  <c r="S3876" i="1"/>
  <c r="R3876" i="1"/>
  <c r="Q3876" i="1"/>
  <c r="M3876" i="1"/>
  <c r="L3876" i="1"/>
  <c r="V3875" i="1"/>
  <c r="Z3875" i="1" s="1"/>
  <c r="U3875" i="1"/>
  <c r="T3875" i="1"/>
  <c r="W3875" i="1" s="1"/>
  <c r="S3875" i="1"/>
  <c r="R3875" i="1"/>
  <c r="Q3875" i="1"/>
  <c r="M3875" i="1"/>
  <c r="L3875" i="1"/>
  <c r="V3874" i="1"/>
  <c r="Z3874" i="1" s="1"/>
  <c r="U3874" i="1"/>
  <c r="T3874" i="1"/>
  <c r="S3874" i="1"/>
  <c r="R3874" i="1"/>
  <c r="Q3874" i="1"/>
  <c r="M3874" i="1"/>
  <c r="L3874" i="1"/>
  <c r="V3873" i="1"/>
  <c r="Z3873" i="1" s="1"/>
  <c r="U3873" i="1"/>
  <c r="T3873" i="1"/>
  <c r="W3873" i="1" s="1"/>
  <c r="S3873" i="1"/>
  <c r="R3873" i="1"/>
  <c r="Q3873" i="1"/>
  <c r="M3873" i="1"/>
  <c r="L3873" i="1"/>
  <c r="V3872" i="1"/>
  <c r="Z3872" i="1" s="1"/>
  <c r="U3872" i="1"/>
  <c r="T3872" i="1"/>
  <c r="W3872" i="1" s="1"/>
  <c r="S3872" i="1"/>
  <c r="R3872" i="1"/>
  <c r="Q3872" i="1"/>
  <c r="M3872" i="1"/>
  <c r="L3872" i="1"/>
  <c r="V3871" i="1"/>
  <c r="Z3871" i="1" s="1"/>
  <c r="U3871" i="1"/>
  <c r="T3871" i="1"/>
  <c r="S3871" i="1"/>
  <c r="R3871" i="1"/>
  <c r="Q3871" i="1"/>
  <c r="M3871" i="1"/>
  <c r="L3871" i="1"/>
  <c r="V3870" i="1"/>
  <c r="Z3870" i="1" s="1"/>
  <c r="U3870" i="1"/>
  <c r="T3870" i="1"/>
  <c r="W3870" i="1" s="1"/>
  <c r="S3870" i="1"/>
  <c r="R3870" i="1"/>
  <c r="Q3870" i="1"/>
  <c r="M3870" i="1"/>
  <c r="L3870" i="1"/>
  <c r="V3869" i="1"/>
  <c r="Z3869" i="1" s="1"/>
  <c r="U3869" i="1"/>
  <c r="T3869" i="1"/>
  <c r="W3869" i="1" s="1"/>
  <c r="S3869" i="1"/>
  <c r="R3869" i="1"/>
  <c r="Q3869" i="1"/>
  <c r="M3869" i="1"/>
  <c r="L3869" i="1"/>
  <c r="V3868" i="1"/>
  <c r="Z3868" i="1" s="1"/>
  <c r="U3868" i="1"/>
  <c r="T3868" i="1"/>
  <c r="W3868" i="1" s="1"/>
  <c r="S3868" i="1"/>
  <c r="R3868" i="1"/>
  <c r="Q3868" i="1"/>
  <c r="M3868" i="1"/>
  <c r="L3868" i="1"/>
  <c r="V3867" i="1"/>
  <c r="Z3867" i="1" s="1"/>
  <c r="U3867" i="1"/>
  <c r="T3867" i="1"/>
  <c r="W3867" i="1" s="1"/>
  <c r="S3867" i="1"/>
  <c r="R3867" i="1"/>
  <c r="Q3867" i="1"/>
  <c r="M3867" i="1"/>
  <c r="L3867" i="1"/>
  <c r="V3866" i="1"/>
  <c r="Z3866" i="1" s="1"/>
  <c r="U3866" i="1"/>
  <c r="T3866" i="1"/>
  <c r="S3866" i="1"/>
  <c r="R3866" i="1"/>
  <c r="Q3866" i="1"/>
  <c r="M3866" i="1"/>
  <c r="L3866" i="1"/>
  <c r="V3865" i="1"/>
  <c r="Z3865" i="1" s="1"/>
  <c r="U3865" i="1"/>
  <c r="T3865" i="1"/>
  <c r="S3865" i="1"/>
  <c r="R3865" i="1"/>
  <c r="Q3865" i="1"/>
  <c r="M3865" i="1"/>
  <c r="L3865" i="1"/>
  <c r="V3864" i="1"/>
  <c r="Z3864" i="1" s="1"/>
  <c r="U3864" i="1"/>
  <c r="T3864" i="1"/>
  <c r="W3864" i="1" s="1"/>
  <c r="S3864" i="1"/>
  <c r="R3864" i="1"/>
  <c r="Q3864" i="1"/>
  <c r="M3864" i="1"/>
  <c r="L3864" i="1"/>
  <c r="V3863" i="1"/>
  <c r="Z3863" i="1" s="1"/>
  <c r="U3863" i="1"/>
  <c r="T3863" i="1"/>
  <c r="W3863" i="1" s="1"/>
  <c r="S3863" i="1"/>
  <c r="R3863" i="1"/>
  <c r="Q3863" i="1"/>
  <c r="M3863" i="1"/>
  <c r="L3863" i="1"/>
  <c r="V3862" i="1"/>
  <c r="Z3862" i="1" s="1"/>
  <c r="U3862" i="1"/>
  <c r="T3862" i="1"/>
  <c r="S3862" i="1"/>
  <c r="R3862" i="1"/>
  <c r="Q3862" i="1"/>
  <c r="M3862" i="1"/>
  <c r="L3862" i="1"/>
  <c r="V3861" i="1"/>
  <c r="Z3861" i="1" s="1"/>
  <c r="U3861" i="1"/>
  <c r="T3861" i="1"/>
  <c r="W3861" i="1" s="1"/>
  <c r="S3861" i="1"/>
  <c r="R3861" i="1"/>
  <c r="Q3861" i="1"/>
  <c r="M3861" i="1"/>
  <c r="L3861" i="1"/>
  <c r="V3860" i="1"/>
  <c r="Z3860" i="1" s="1"/>
  <c r="U3860" i="1"/>
  <c r="T3860" i="1"/>
  <c r="W3860" i="1" s="1"/>
  <c r="S3860" i="1"/>
  <c r="R3860" i="1"/>
  <c r="Q3860" i="1"/>
  <c r="M3860" i="1"/>
  <c r="L3860" i="1"/>
  <c r="V3859" i="1"/>
  <c r="U3859" i="1"/>
  <c r="T3859" i="1"/>
  <c r="S3859" i="1"/>
  <c r="R3859" i="1"/>
  <c r="Q3859" i="1"/>
  <c r="M3859" i="1"/>
  <c r="L3859" i="1"/>
  <c r="V3858" i="1"/>
  <c r="Z3858" i="1" s="1"/>
  <c r="U3858" i="1"/>
  <c r="T3858" i="1"/>
  <c r="S3858" i="1"/>
  <c r="R3858" i="1"/>
  <c r="Q3858" i="1"/>
  <c r="M3858" i="1"/>
  <c r="L3858" i="1"/>
  <c r="V3857" i="1"/>
  <c r="Z3857" i="1" s="1"/>
  <c r="U3857" i="1"/>
  <c r="T3857" i="1"/>
  <c r="W3857" i="1" s="1"/>
  <c r="S3857" i="1"/>
  <c r="R3857" i="1"/>
  <c r="Q3857" i="1"/>
  <c r="M3857" i="1"/>
  <c r="L3857" i="1"/>
  <c r="V3856" i="1"/>
  <c r="Z3856" i="1" s="1"/>
  <c r="U3856" i="1"/>
  <c r="T3856" i="1"/>
  <c r="S3856" i="1"/>
  <c r="R3856" i="1"/>
  <c r="Q3856" i="1"/>
  <c r="M3856" i="1"/>
  <c r="L3856" i="1"/>
  <c r="V3855" i="1"/>
  <c r="Z3855" i="1" s="1"/>
  <c r="U3855" i="1"/>
  <c r="T3855" i="1"/>
  <c r="S3855" i="1"/>
  <c r="R3855" i="1"/>
  <c r="Q3855" i="1"/>
  <c r="M3855" i="1"/>
  <c r="L3855" i="1"/>
  <c r="V3854" i="1"/>
  <c r="Z3854" i="1" s="1"/>
  <c r="U3854" i="1"/>
  <c r="T3854" i="1"/>
  <c r="W3854" i="1" s="1"/>
  <c r="S3854" i="1"/>
  <c r="R3854" i="1"/>
  <c r="Q3854" i="1"/>
  <c r="M3854" i="1"/>
  <c r="L3854" i="1"/>
  <c r="V3853" i="1"/>
  <c r="Z3853" i="1" s="1"/>
  <c r="U3853" i="1"/>
  <c r="T3853" i="1"/>
  <c r="S3853" i="1"/>
  <c r="R3853" i="1"/>
  <c r="Q3853" i="1"/>
  <c r="M3853" i="1"/>
  <c r="L3853" i="1"/>
  <c r="V3852" i="1"/>
  <c r="Z3852" i="1" s="1"/>
  <c r="U3852" i="1"/>
  <c r="T3852" i="1"/>
  <c r="W3852" i="1" s="1"/>
  <c r="S3852" i="1"/>
  <c r="R3852" i="1"/>
  <c r="Q3852" i="1"/>
  <c r="M3852" i="1"/>
  <c r="L3852" i="1"/>
  <c r="V3851" i="1"/>
  <c r="Z3851" i="1" s="1"/>
  <c r="U3851" i="1"/>
  <c r="T3851" i="1"/>
  <c r="W3851" i="1" s="1"/>
  <c r="S3851" i="1"/>
  <c r="R3851" i="1"/>
  <c r="Q3851" i="1"/>
  <c r="M3851" i="1"/>
  <c r="L3851" i="1"/>
  <c r="V3850" i="1"/>
  <c r="Z3850" i="1" s="1"/>
  <c r="U3850" i="1"/>
  <c r="T3850" i="1"/>
  <c r="S3850" i="1"/>
  <c r="R3850" i="1"/>
  <c r="Q3850" i="1"/>
  <c r="M3850" i="1"/>
  <c r="L3850" i="1"/>
  <c r="V3849" i="1"/>
  <c r="Z3849" i="1" s="1"/>
  <c r="U3849" i="1"/>
  <c r="T3849" i="1"/>
  <c r="W3849" i="1" s="1"/>
  <c r="S3849" i="1"/>
  <c r="R3849" i="1"/>
  <c r="Q3849" i="1"/>
  <c r="M3849" i="1"/>
  <c r="L3849" i="1"/>
  <c r="V3848" i="1"/>
  <c r="Z3848" i="1" s="1"/>
  <c r="U3848" i="1"/>
  <c r="T3848" i="1"/>
  <c r="W3848" i="1" s="1"/>
  <c r="S3848" i="1"/>
  <c r="R3848" i="1"/>
  <c r="Q3848" i="1"/>
  <c r="M3848" i="1"/>
  <c r="L3848" i="1"/>
  <c r="V3847" i="1"/>
  <c r="U3847" i="1"/>
  <c r="T3847" i="1"/>
  <c r="S3847" i="1"/>
  <c r="R3847" i="1"/>
  <c r="Q3847" i="1"/>
  <c r="M3847" i="1"/>
  <c r="L3847" i="1"/>
  <c r="V3846" i="1"/>
  <c r="Z3846" i="1" s="1"/>
  <c r="U3846" i="1"/>
  <c r="T3846" i="1"/>
  <c r="W3846" i="1" s="1"/>
  <c r="S3846" i="1"/>
  <c r="R3846" i="1"/>
  <c r="Q3846" i="1"/>
  <c r="M3846" i="1"/>
  <c r="L3846" i="1"/>
  <c r="V3845" i="1"/>
  <c r="Z3845" i="1" s="1"/>
  <c r="U3845" i="1"/>
  <c r="T3845" i="1"/>
  <c r="W3845" i="1" s="1"/>
  <c r="S3845" i="1"/>
  <c r="R3845" i="1"/>
  <c r="Q3845" i="1"/>
  <c r="M3845" i="1"/>
  <c r="L3845" i="1"/>
  <c r="V3844" i="1"/>
  <c r="Z3844" i="1" s="1"/>
  <c r="U3844" i="1"/>
  <c r="T3844" i="1"/>
  <c r="W3844" i="1" s="1"/>
  <c r="S3844" i="1"/>
  <c r="R3844" i="1"/>
  <c r="Q3844" i="1"/>
  <c r="M3844" i="1"/>
  <c r="L3844" i="1"/>
  <c r="V3843" i="1"/>
  <c r="Z3843" i="1" s="1"/>
  <c r="U3843" i="1"/>
  <c r="T3843" i="1"/>
  <c r="W3843" i="1" s="1"/>
  <c r="S3843" i="1"/>
  <c r="R3843" i="1"/>
  <c r="Q3843" i="1"/>
  <c r="M3843" i="1"/>
  <c r="L3843" i="1"/>
  <c r="V3842" i="1"/>
  <c r="Z3842" i="1" s="1"/>
  <c r="U3842" i="1"/>
  <c r="T3842" i="1"/>
  <c r="W3842" i="1" s="1"/>
  <c r="S3842" i="1"/>
  <c r="R3842" i="1"/>
  <c r="Q3842" i="1"/>
  <c r="M3842" i="1"/>
  <c r="L3842" i="1"/>
  <c r="V3841" i="1"/>
  <c r="Z3841" i="1" s="1"/>
  <c r="U3841" i="1"/>
  <c r="T3841" i="1"/>
  <c r="S3841" i="1"/>
  <c r="R3841" i="1"/>
  <c r="Q3841" i="1"/>
  <c r="M3841" i="1"/>
  <c r="L3841" i="1"/>
  <c r="V3840" i="1"/>
  <c r="U3840" i="1"/>
  <c r="T3840" i="1"/>
  <c r="W3840" i="1" s="1"/>
  <c r="S3840" i="1"/>
  <c r="R3840" i="1"/>
  <c r="Q3840" i="1"/>
  <c r="M3840" i="1"/>
  <c r="L3840" i="1"/>
  <c r="V3839" i="1"/>
  <c r="Z3839" i="1" s="1"/>
  <c r="U3839" i="1"/>
  <c r="T3839" i="1"/>
  <c r="W3839" i="1" s="1"/>
  <c r="S3839" i="1"/>
  <c r="R3839" i="1"/>
  <c r="Q3839" i="1"/>
  <c r="M3839" i="1"/>
  <c r="L3839" i="1"/>
  <c r="V3838" i="1"/>
  <c r="Z3838" i="1" s="1"/>
  <c r="U3838" i="1"/>
  <c r="T3838" i="1"/>
  <c r="W3838" i="1" s="1"/>
  <c r="S3838" i="1"/>
  <c r="R3838" i="1"/>
  <c r="Q3838" i="1"/>
  <c r="M3838" i="1"/>
  <c r="L3838" i="1"/>
  <c r="V3837" i="1"/>
  <c r="Z3837" i="1" s="1"/>
  <c r="U3837" i="1"/>
  <c r="T3837" i="1"/>
  <c r="W3837" i="1" s="1"/>
  <c r="S3837" i="1"/>
  <c r="R3837" i="1"/>
  <c r="Q3837" i="1"/>
  <c r="M3837" i="1"/>
  <c r="L3837" i="1"/>
  <c r="V3836" i="1"/>
  <c r="Z3836" i="1" s="1"/>
  <c r="U3836" i="1"/>
  <c r="T3836" i="1"/>
  <c r="W3836" i="1" s="1"/>
  <c r="S3836" i="1"/>
  <c r="R3836" i="1"/>
  <c r="Q3836" i="1"/>
  <c r="M3836" i="1"/>
  <c r="L3836" i="1"/>
  <c r="V3835" i="1"/>
  <c r="U3835" i="1"/>
  <c r="T3835" i="1"/>
  <c r="W3835" i="1" s="1"/>
  <c r="S3835" i="1"/>
  <c r="R3835" i="1"/>
  <c r="Q3835" i="1"/>
  <c r="M3835" i="1"/>
  <c r="L3835" i="1"/>
  <c r="V3834" i="1"/>
  <c r="Z3834" i="1" s="1"/>
  <c r="U3834" i="1"/>
  <c r="T3834" i="1"/>
  <c r="S3834" i="1"/>
  <c r="R3834" i="1"/>
  <c r="Q3834" i="1"/>
  <c r="M3834" i="1"/>
  <c r="L3834" i="1"/>
  <c r="V3833" i="1"/>
  <c r="Z3833" i="1" s="1"/>
  <c r="U3833" i="1"/>
  <c r="T3833" i="1"/>
  <c r="W3833" i="1" s="1"/>
  <c r="S3833" i="1"/>
  <c r="R3833" i="1"/>
  <c r="Q3833" i="1"/>
  <c r="M3833" i="1"/>
  <c r="L3833" i="1"/>
  <c r="V3832" i="1"/>
  <c r="Z3832" i="1" s="1"/>
  <c r="U3832" i="1"/>
  <c r="T3832" i="1"/>
  <c r="W3832" i="1" s="1"/>
  <c r="S3832" i="1"/>
  <c r="R3832" i="1"/>
  <c r="Q3832" i="1"/>
  <c r="M3832" i="1"/>
  <c r="L3832" i="1"/>
  <c r="V3831" i="1"/>
  <c r="Z3831" i="1" s="1"/>
  <c r="U3831" i="1"/>
  <c r="T3831" i="1"/>
  <c r="S3831" i="1"/>
  <c r="R3831" i="1"/>
  <c r="Q3831" i="1"/>
  <c r="M3831" i="1"/>
  <c r="L3831" i="1"/>
  <c r="V3830" i="1"/>
  <c r="Z3830" i="1" s="1"/>
  <c r="U3830" i="1"/>
  <c r="T3830" i="1"/>
  <c r="S3830" i="1"/>
  <c r="R3830" i="1"/>
  <c r="Q3830" i="1"/>
  <c r="M3830" i="1"/>
  <c r="L3830" i="1"/>
  <c r="V3829" i="1"/>
  <c r="Z3829" i="1" s="1"/>
  <c r="U3829" i="1"/>
  <c r="T3829" i="1"/>
  <c r="W3829" i="1" s="1"/>
  <c r="S3829" i="1"/>
  <c r="R3829" i="1"/>
  <c r="Q3829" i="1"/>
  <c r="M3829" i="1"/>
  <c r="L3829" i="1"/>
  <c r="V3828" i="1"/>
  <c r="U3828" i="1"/>
  <c r="T3828" i="1"/>
  <c r="W3828" i="1" s="1"/>
  <c r="S3828" i="1"/>
  <c r="R3828" i="1"/>
  <c r="Q3828" i="1"/>
  <c r="M3828" i="1"/>
  <c r="L3828" i="1"/>
  <c r="V3827" i="1"/>
  <c r="Z3827" i="1" s="1"/>
  <c r="U3827" i="1"/>
  <c r="T3827" i="1"/>
  <c r="W3827" i="1" s="1"/>
  <c r="S3827" i="1"/>
  <c r="R3827" i="1"/>
  <c r="Q3827" i="1"/>
  <c r="M3827" i="1"/>
  <c r="L3827" i="1"/>
  <c r="V3826" i="1"/>
  <c r="Z3826" i="1" s="1"/>
  <c r="U3826" i="1"/>
  <c r="T3826" i="1"/>
  <c r="W3826" i="1" s="1"/>
  <c r="S3826" i="1"/>
  <c r="R3826" i="1"/>
  <c r="Q3826" i="1"/>
  <c r="M3826" i="1"/>
  <c r="L3826" i="1"/>
  <c r="V3825" i="1"/>
  <c r="Z3825" i="1" s="1"/>
  <c r="U3825" i="1"/>
  <c r="T3825" i="1"/>
  <c r="S3825" i="1"/>
  <c r="R3825" i="1"/>
  <c r="Q3825" i="1"/>
  <c r="M3825" i="1"/>
  <c r="L3825" i="1"/>
  <c r="V3824" i="1"/>
  <c r="U3824" i="1"/>
  <c r="T3824" i="1"/>
  <c r="W3824" i="1" s="1"/>
  <c r="S3824" i="1"/>
  <c r="R3824" i="1"/>
  <c r="Q3824" i="1"/>
  <c r="M3824" i="1"/>
  <c r="L3824" i="1"/>
  <c r="V3823" i="1"/>
  <c r="Z3823" i="1" s="1"/>
  <c r="U3823" i="1"/>
  <c r="T3823" i="1"/>
  <c r="W3823" i="1" s="1"/>
  <c r="S3823" i="1"/>
  <c r="R3823" i="1"/>
  <c r="Q3823" i="1"/>
  <c r="M3823" i="1"/>
  <c r="L3823" i="1"/>
  <c r="V3822" i="1"/>
  <c r="Z3822" i="1" s="1"/>
  <c r="U3822" i="1"/>
  <c r="T3822" i="1"/>
  <c r="W3822" i="1" s="1"/>
  <c r="S3822" i="1"/>
  <c r="R3822" i="1"/>
  <c r="Q3822" i="1"/>
  <c r="M3822" i="1"/>
  <c r="L3822" i="1"/>
  <c r="V3821" i="1"/>
  <c r="Z3821" i="1" s="1"/>
  <c r="U3821" i="1"/>
  <c r="T3821" i="1"/>
  <c r="W3821" i="1" s="1"/>
  <c r="S3821" i="1"/>
  <c r="R3821" i="1"/>
  <c r="Q3821" i="1"/>
  <c r="M3821" i="1"/>
  <c r="L3821" i="1"/>
  <c r="V3820" i="1"/>
  <c r="Z3820" i="1" s="1"/>
  <c r="U3820" i="1"/>
  <c r="T3820" i="1"/>
  <c r="W3820" i="1" s="1"/>
  <c r="S3820" i="1"/>
  <c r="R3820" i="1"/>
  <c r="Q3820" i="1"/>
  <c r="M3820" i="1"/>
  <c r="L3820" i="1"/>
  <c r="V3819" i="1"/>
  <c r="U3819" i="1"/>
  <c r="T3819" i="1"/>
  <c r="W3819" i="1" s="1"/>
  <c r="S3819" i="1"/>
  <c r="R3819" i="1"/>
  <c r="Q3819" i="1"/>
  <c r="M3819" i="1"/>
  <c r="L3819" i="1"/>
  <c r="V3818" i="1"/>
  <c r="Z3818" i="1" s="1"/>
  <c r="U3818" i="1"/>
  <c r="T3818" i="1"/>
  <c r="S3818" i="1"/>
  <c r="R3818" i="1"/>
  <c r="Q3818" i="1"/>
  <c r="M3818" i="1"/>
  <c r="L3818" i="1"/>
  <c r="V3817" i="1"/>
  <c r="Z3817" i="1" s="1"/>
  <c r="U3817" i="1"/>
  <c r="T3817" i="1"/>
  <c r="S3817" i="1"/>
  <c r="R3817" i="1"/>
  <c r="Q3817" i="1"/>
  <c r="M3817" i="1"/>
  <c r="L3817" i="1"/>
  <c r="V3816" i="1"/>
  <c r="Z3816" i="1" s="1"/>
  <c r="U3816" i="1"/>
  <c r="T3816" i="1"/>
  <c r="W3816" i="1" s="1"/>
  <c r="S3816" i="1"/>
  <c r="R3816" i="1"/>
  <c r="Q3816" i="1"/>
  <c r="M3816" i="1"/>
  <c r="L3816" i="1"/>
  <c r="V3815" i="1"/>
  <c r="U3815" i="1"/>
  <c r="T3815" i="1"/>
  <c r="S3815" i="1"/>
  <c r="R3815" i="1"/>
  <c r="Q3815" i="1"/>
  <c r="M3815" i="1"/>
  <c r="L3815" i="1"/>
  <c r="V3814" i="1"/>
  <c r="Z3814" i="1" s="1"/>
  <c r="U3814" i="1"/>
  <c r="T3814" i="1"/>
  <c r="W3814" i="1" s="1"/>
  <c r="S3814" i="1"/>
  <c r="R3814" i="1"/>
  <c r="Q3814" i="1"/>
  <c r="M3814" i="1"/>
  <c r="L3814" i="1"/>
  <c r="V3813" i="1"/>
  <c r="Z3813" i="1" s="1"/>
  <c r="U3813" i="1"/>
  <c r="T3813" i="1"/>
  <c r="W3813" i="1" s="1"/>
  <c r="S3813" i="1"/>
  <c r="R3813" i="1"/>
  <c r="Q3813" i="1"/>
  <c r="M3813" i="1"/>
  <c r="L3813" i="1"/>
  <c r="V3812" i="1"/>
  <c r="Z3812" i="1" s="1"/>
  <c r="U3812" i="1"/>
  <c r="T3812" i="1"/>
  <c r="W3812" i="1" s="1"/>
  <c r="S3812" i="1"/>
  <c r="R3812" i="1"/>
  <c r="Q3812" i="1"/>
  <c r="M3812" i="1"/>
  <c r="L3812" i="1"/>
  <c r="V3811" i="1"/>
  <c r="Z3811" i="1" s="1"/>
  <c r="U3811" i="1"/>
  <c r="T3811" i="1"/>
  <c r="W3811" i="1" s="1"/>
  <c r="S3811" i="1"/>
  <c r="R3811" i="1"/>
  <c r="Q3811" i="1"/>
  <c r="M3811" i="1"/>
  <c r="L3811" i="1"/>
  <c r="V3810" i="1"/>
  <c r="Z3810" i="1" s="1"/>
  <c r="U3810" i="1"/>
  <c r="T3810" i="1"/>
  <c r="W3810" i="1" s="1"/>
  <c r="S3810" i="1"/>
  <c r="R3810" i="1"/>
  <c r="Q3810" i="1"/>
  <c r="M3810" i="1"/>
  <c r="L3810" i="1"/>
  <c r="V3809" i="1"/>
  <c r="Z3809" i="1" s="1"/>
  <c r="U3809" i="1"/>
  <c r="T3809" i="1"/>
  <c r="S3809" i="1"/>
  <c r="R3809" i="1"/>
  <c r="Q3809" i="1"/>
  <c r="M3809" i="1"/>
  <c r="L3809" i="1"/>
  <c r="V3808" i="1"/>
  <c r="Z3808" i="1" s="1"/>
  <c r="U3808" i="1"/>
  <c r="T3808" i="1"/>
  <c r="S3808" i="1"/>
  <c r="R3808" i="1"/>
  <c r="Q3808" i="1"/>
  <c r="M3808" i="1"/>
  <c r="L3808" i="1"/>
  <c r="V3807" i="1"/>
  <c r="Z3807" i="1" s="1"/>
  <c r="U3807" i="1"/>
  <c r="T3807" i="1"/>
  <c r="S3807" i="1"/>
  <c r="R3807" i="1"/>
  <c r="Q3807" i="1"/>
  <c r="M3807" i="1"/>
  <c r="L3807" i="1"/>
  <c r="V3806" i="1"/>
  <c r="Z3806" i="1" s="1"/>
  <c r="U3806" i="1"/>
  <c r="T3806" i="1"/>
  <c r="W3806" i="1" s="1"/>
  <c r="S3806" i="1"/>
  <c r="R3806" i="1"/>
  <c r="Q3806" i="1"/>
  <c r="M3806" i="1"/>
  <c r="L3806" i="1"/>
  <c r="V3805" i="1"/>
  <c r="Z3805" i="1" s="1"/>
  <c r="U3805" i="1"/>
  <c r="T3805" i="1"/>
  <c r="S3805" i="1"/>
  <c r="R3805" i="1"/>
  <c r="Q3805" i="1"/>
  <c r="M3805" i="1"/>
  <c r="L3805" i="1"/>
  <c r="V3804" i="1"/>
  <c r="U3804" i="1"/>
  <c r="T3804" i="1"/>
  <c r="W3804" i="1" s="1"/>
  <c r="S3804" i="1"/>
  <c r="R3804" i="1"/>
  <c r="Q3804" i="1"/>
  <c r="M3804" i="1"/>
  <c r="L3804" i="1"/>
  <c r="V3803" i="1"/>
  <c r="Z3803" i="1" s="1"/>
  <c r="U3803" i="1"/>
  <c r="T3803" i="1"/>
  <c r="W3803" i="1" s="1"/>
  <c r="S3803" i="1"/>
  <c r="R3803" i="1"/>
  <c r="Q3803" i="1"/>
  <c r="M3803" i="1"/>
  <c r="L3803" i="1"/>
  <c r="V3802" i="1"/>
  <c r="Z3802" i="1" s="1"/>
  <c r="U3802" i="1"/>
  <c r="T3802" i="1"/>
  <c r="W3802" i="1" s="1"/>
  <c r="S3802" i="1"/>
  <c r="R3802" i="1"/>
  <c r="Q3802" i="1"/>
  <c r="M3802" i="1"/>
  <c r="L3802" i="1"/>
  <c r="V3801" i="1"/>
  <c r="Z3801" i="1" s="1"/>
  <c r="U3801" i="1"/>
  <c r="T3801" i="1"/>
  <c r="S3801" i="1"/>
  <c r="R3801" i="1"/>
  <c r="Q3801" i="1"/>
  <c r="M3801" i="1"/>
  <c r="L3801" i="1"/>
  <c r="V3800" i="1"/>
  <c r="Z3800" i="1" s="1"/>
  <c r="U3800" i="1"/>
  <c r="T3800" i="1"/>
  <c r="W3800" i="1" s="1"/>
  <c r="S3800" i="1"/>
  <c r="R3800" i="1"/>
  <c r="Q3800" i="1"/>
  <c r="M3800" i="1"/>
  <c r="L3800" i="1"/>
  <c r="V3799" i="1"/>
  <c r="Z3799" i="1" s="1"/>
  <c r="U3799" i="1"/>
  <c r="T3799" i="1"/>
  <c r="S3799" i="1"/>
  <c r="R3799" i="1"/>
  <c r="Q3799" i="1"/>
  <c r="M3799" i="1"/>
  <c r="L3799" i="1"/>
  <c r="V3798" i="1"/>
  <c r="Z3798" i="1" s="1"/>
  <c r="U3798" i="1"/>
  <c r="T3798" i="1"/>
  <c r="S3798" i="1"/>
  <c r="R3798" i="1"/>
  <c r="Q3798" i="1"/>
  <c r="M3798" i="1"/>
  <c r="L3798" i="1"/>
  <c r="V3797" i="1"/>
  <c r="Z3797" i="1" s="1"/>
  <c r="U3797" i="1"/>
  <c r="T3797" i="1"/>
  <c r="W3797" i="1" s="1"/>
  <c r="S3797" i="1"/>
  <c r="R3797" i="1"/>
  <c r="Q3797" i="1"/>
  <c r="M3797" i="1"/>
  <c r="L3797" i="1"/>
  <c r="V3796" i="1"/>
  <c r="Z3796" i="1" s="1"/>
  <c r="U3796" i="1"/>
  <c r="T3796" i="1"/>
  <c r="W3796" i="1" s="1"/>
  <c r="S3796" i="1"/>
  <c r="R3796" i="1"/>
  <c r="Q3796" i="1"/>
  <c r="M3796" i="1"/>
  <c r="L3796" i="1"/>
  <c r="V3795" i="1"/>
  <c r="U3795" i="1"/>
  <c r="T3795" i="1"/>
  <c r="S3795" i="1"/>
  <c r="R3795" i="1"/>
  <c r="Q3795" i="1"/>
  <c r="M3795" i="1"/>
  <c r="L3795" i="1"/>
  <c r="V3794" i="1"/>
  <c r="Z3794" i="1" s="1"/>
  <c r="U3794" i="1"/>
  <c r="T3794" i="1"/>
  <c r="W3794" i="1" s="1"/>
  <c r="S3794" i="1"/>
  <c r="R3794" i="1"/>
  <c r="Q3794" i="1"/>
  <c r="M3794" i="1"/>
  <c r="L3794" i="1"/>
  <c r="V3793" i="1"/>
  <c r="Z3793" i="1" s="1"/>
  <c r="U3793" i="1"/>
  <c r="T3793" i="1"/>
  <c r="W3793" i="1" s="1"/>
  <c r="S3793" i="1"/>
  <c r="R3793" i="1"/>
  <c r="Q3793" i="1"/>
  <c r="M3793" i="1"/>
  <c r="L3793" i="1"/>
  <c r="V3792" i="1"/>
  <c r="U3792" i="1"/>
  <c r="T3792" i="1"/>
  <c r="W3792" i="1" s="1"/>
  <c r="S3792" i="1"/>
  <c r="R3792" i="1"/>
  <c r="Q3792" i="1"/>
  <c r="M3792" i="1"/>
  <c r="L3792" i="1"/>
  <c r="V3791" i="1"/>
  <c r="Z3791" i="1" s="1"/>
  <c r="U3791" i="1"/>
  <c r="T3791" i="1"/>
  <c r="S3791" i="1"/>
  <c r="R3791" i="1"/>
  <c r="Q3791" i="1"/>
  <c r="M3791" i="1"/>
  <c r="L3791" i="1"/>
  <c r="V3790" i="1"/>
  <c r="Z3790" i="1" s="1"/>
  <c r="U3790" i="1"/>
  <c r="T3790" i="1"/>
  <c r="W3790" i="1" s="1"/>
  <c r="S3790" i="1"/>
  <c r="R3790" i="1"/>
  <c r="Q3790" i="1"/>
  <c r="M3790" i="1"/>
  <c r="L3790" i="1"/>
  <c r="V3789" i="1"/>
  <c r="Z3789" i="1" s="1"/>
  <c r="U3789" i="1"/>
  <c r="T3789" i="1"/>
  <c r="W3789" i="1" s="1"/>
  <c r="S3789" i="1"/>
  <c r="R3789" i="1"/>
  <c r="Q3789" i="1"/>
  <c r="M3789" i="1"/>
  <c r="L3789" i="1"/>
  <c r="V3788" i="1"/>
  <c r="U3788" i="1"/>
  <c r="T3788" i="1"/>
  <c r="W3788" i="1" s="1"/>
  <c r="S3788" i="1"/>
  <c r="R3788" i="1"/>
  <c r="Q3788" i="1"/>
  <c r="M3788" i="1"/>
  <c r="L3788" i="1"/>
  <c r="V3787" i="1"/>
  <c r="Z3787" i="1" s="1"/>
  <c r="U3787" i="1"/>
  <c r="T3787" i="1"/>
  <c r="W3787" i="1" s="1"/>
  <c r="S3787" i="1"/>
  <c r="R3787" i="1"/>
  <c r="Q3787" i="1"/>
  <c r="M3787" i="1"/>
  <c r="L3787" i="1"/>
  <c r="V3786" i="1"/>
  <c r="Z3786" i="1" s="1"/>
  <c r="U3786" i="1"/>
  <c r="T3786" i="1"/>
  <c r="W3786" i="1" s="1"/>
  <c r="S3786" i="1"/>
  <c r="R3786" i="1"/>
  <c r="Q3786" i="1"/>
  <c r="M3786" i="1"/>
  <c r="L3786" i="1"/>
  <c r="V3785" i="1"/>
  <c r="Z3785" i="1" s="1"/>
  <c r="U3785" i="1"/>
  <c r="T3785" i="1"/>
  <c r="W3785" i="1" s="1"/>
  <c r="S3785" i="1"/>
  <c r="R3785" i="1"/>
  <c r="Q3785" i="1"/>
  <c r="M3785" i="1"/>
  <c r="L3785" i="1"/>
  <c r="V3784" i="1"/>
  <c r="Z3784" i="1" s="1"/>
  <c r="U3784" i="1"/>
  <c r="T3784" i="1"/>
  <c r="W3784" i="1" s="1"/>
  <c r="S3784" i="1"/>
  <c r="R3784" i="1"/>
  <c r="Q3784" i="1"/>
  <c r="M3784" i="1"/>
  <c r="L3784" i="1"/>
  <c r="V3783" i="1"/>
  <c r="Z3783" i="1" s="1"/>
  <c r="U3783" i="1"/>
  <c r="T3783" i="1"/>
  <c r="W3783" i="1" s="1"/>
  <c r="S3783" i="1"/>
  <c r="R3783" i="1"/>
  <c r="Q3783" i="1"/>
  <c r="M3783" i="1"/>
  <c r="L3783" i="1"/>
  <c r="V3782" i="1"/>
  <c r="Z3782" i="1" s="1"/>
  <c r="U3782" i="1"/>
  <c r="T3782" i="1"/>
  <c r="W3782" i="1" s="1"/>
  <c r="S3782" i="1"/>
  <c r="R3782" i="1"/>
  <c r="Q3782" i="1"/>
  <c r="M3782" i="1"/>
  <c r="L3782" i="1"/>
  <c r="V3781" i="1"/>
  <c r="Z3781" i="1" s="1"/>
  <c r="U3781" i="1"/>
  <c r="T3781" i="1"/>
  <c r="S3781" i="1"/>
  <c r="R3781" i="1"/>
  <c r="Q3781" i="1"/>
  <c r="M3781" i="1"/>
  <c r="L3781" i="1"/>
  <c r="V3780" i="1"/>
  <c r="Z3780" i="1" s="1"/>
  <c r="U3780" i="1"/>
  <c r="T3780" i="1"/>
  <c r="W3780" i="1" s="1"/>
  <c r="S3780" i="1"/>
  <c r="R3780" i="1"/>
  <c r="Q3780" i="1"/>
  <c r="M3780" i="1"/>
  <c r="L3780" i="1"/>
  <c r="V3779" i="1"/>
  <c r="Z3779" i="1" s="1"/>
  <c r="U3779" i="1"/>
  <c r="T3779" i="1"/>
  <c r="W3779" i="1" s="1"/>
  <c r="S3779" i="1"/>
  <c r="R3779" i="1"/>
  <c r="Q3779" i="1"/>
  <c r="M3779" i="1"/>
  <c r="L3779" i="1"/>
  <c r="V3778" i="1"/>
  <c r="Z3778" i="1" s="1"/>
  <c r="U3778" i="1"/>
  <c r="T3778" i="1"/>
  <c r="S3778" i="1"/>
  <c r="R3778" i="1"/>
  <c r="Q3778" i="1"/>
  <c r="M3778" i="1"/>
  <c r="L3778" i="1"/>
  <c r="V3777" i="1"/>
  <c r="Z3777" i="1" s="1"/>
  <c r="U3777" i="1"/>
  <c r="T3777" i="1"/>
  <c r="W3777" i="1" s="1"/>
  <c r="S3777" i="1"/>
  <c r="R3777" i="1"/>
  <c r="Q3777" i="1"/>
  <c r="M3777" i="1"/>
  <c r="L3777" i="1"/>
  <c r="V3776" i="1"/>
  <c r="Z3776" i="1" s="1"/>
  <c r="U3776" i="1"/>
  <c r="T3776" i="1"/>
  <c r="W3776" i="1" s="1"/>
  <c r="S3776" i="1"/>
  <c r="R3776" i="1"/>
  <c r="Q3776" i="1"/>
  <c r="M3776" i="1"/>
  <c r="L3776" i="1"/>
  <c r="V3775" i="1"/>
  <c r="U3775" i="1"/>
  <c r="T3775" i="1"/>
  <c r="W3775" i="1" s="1"/>
  <c r="S3775" i="1"/>
  <c r="R3775" i="1"/>
  <c r="Q3775" i="1"/>
  <c r="M3775" i="1"/>
  <c r="L3775" i="1"/>
  <c r="V3774" i="1"/>
  <c r="Z3774" i="1" s="1"/>
  <c r="U3774" i="1"/>
  <c r="T3774" i="1"/>
  <c r="W3774" i="1" s="1"/>
  <c r="S3774" i="1"/>
  <c r="R3774" i="1"/>
  <c r="Q3774" i="1"/>
  <c r="M3774" i="1"/>
  <c r="L3774" i="1"/>
  <c r="V3773" i="1"/>
  <c r="Z3773" i="1" s="1"/>
  <c r="U3773" i="1"/>
  <c r="T3773" i="1"/>
  <c r="W3773" i="1" s="1"/>
  <c r="S3773" i="1"/>
  <c r="R3773" i="1"/>
  <c r="Q3773" i="1"/>
  <c r="M3773" i="1"/>
  <c r="L3773" i="1"/>
  <c r="V3772" i="1"/>
  <c r="Z3772" i="1" s="1"/>
  <c r="U3772" i="1"/>
  <c r="T3772" i="1"/>
  <c r="W3772" i="1" s="1"/>
  <c r="S3772" i="1"/>
  <c r="R3772" i="1"/>
  <c r="Q3772" i="1"/>
  <c r="M3772" i="1"/>
  <c r="L3772" i="1"/>
  <c r="V3771" i="1"/>
  <c r="Z3771" i="1" s="1"/>
  <c r="U3771" i="1"/>
  <c r="T3771" i="1"/>
  <c r="S3771" i="1"/>
  <c r="R3771" i="1"/>
  <c r="Q3771" i="1"/>
  <c r="M3771" i="1"/>
  <c r="L3771" i="1"/>
  <c r="V3770" i="1"/>
  <c r="Z3770" i="1" s="1"/>
  <c r="U3770" i="1"/>
  <c r="T3770" i="1"/>
  <c r="S3770" i="1"/>
  <c r="R3770" i="1"/>
  <c r="Q3770" i="1"/>
  <c r="M3770" i="1"/>
  <c r="L3770" i="1"/>
  <c r="V3769" i="1"/>
  <c r="Z3769" i="1" s="1"/>
  <c r="U3769" i="1"/>
  <c r="T3769" i="1"/>
  <c r="W3769" i="1" s="1"/>
  <c r="S3769" i="1"/>
  <c r="R3769" i="1"/>
  <c r="Q3769" i="1"/>
  <c r="M3769" i="1"/>
  <c r="L3769" i="1"/>
  <c r="V3768" i="1"/>
  <c r="U3768" i="1"/>
  <c r="T3768" i="1"/>
  <c r="S3768" i="1"/>
  <c r="R3768" i="1"/>
  <c r="Q3768" i="1"/>
  <c r="M3768" i="1"/>
  <c r="L3768" i="1"/>
  <c r="V3767" i="1"/>
  <c r="U3767" i="1"/>
  <c r="T3767" i="1"/>
  <c r="W3767" i="1" s="1"/>
  <c r="S3767" i="1"/>
  <c r="R3767" i="1"/>
  <c r="Q3767" i="1"/>
  <c r="M3767" i="1"/>
  <c r="L3767" i="1"/>
  <c r="V3766" i="1"/>
  <c r="Z3766" i="1" s="1"/>
  <c r="U3766" i="1"/>
  <c r="T3766" i="1"/>
  <c r="W3766" i="1" s="1"/>
  <c r="S3766" i="1"/>
  <c r="R3766" i="1"/>
  <c r="Q3766" i="1"/>
  <c r="M3766" i="1"/>
  <c r="L3766" i="1"/>
  <c r="V3765" i="1"/>
  <c r="Z3765" i="1" s="1"/>
  <c r="U3765" i="1"/>
  <c r="T3765" i="1"/>
  <c r="W3765" i="1" s="1"/>
  <c r="S3765" i="1"/>
  <c r="R3765" i="1"/>
  <c r="Q3765" i="1"/>
  <c r="M3765" i="1"/>
  <c r="L3765" i="1"/>
  <c r="V3764" i="1"/>
  <c r="Z3764" i="1" s="1"/>
  <c r="U3764" i="1"/>
  <c r="T3764" i="1"/>
  <c r="W3764" i="1" s="1"/>
  <c r="S3764" i="1"/>
  <c r="R3764" i="1"/>
  <c r="Q3764" i="1"/>
  <c r="M3764" i="1"/>
  <c r="L3764" i="1"/>
  <c r="V3763" i="1"/>
  <c r="Z3763" i="1" s="1"/>
  <c r="U3763" i="1"/>
  <c r="T3763" i="1"/>
  <c r="W3763" i="1" s="1"/>
  <c r="S3763" i="1"/>
  <c r="R3763" i="1"/>
  <c r="Q3763" i="1"/>
  <c r="M3763" i="1"/>
  <c r="L3763" i="1"/>
  <c r="V3762" i="1"/>
  <c r="Z3762" i="1" s="1"/>
  <c r="U3762" i="1"/>
  <c r="T3762" i="1"/>
  <c r="W3762" i="1" s="1"/>
  <c r="S3762" i="1"/>
  <c r="R3762" i="1"/>
  <c r="Q3762" i="1"/>
  <c r="M3762" i="1"/>
  <c r="L3762" i="1"/>
  <c r="V3761" i="1"/>
  <c r="Z3761" i="1" s="1"/>
  <c r="U3761" i="1"/>
  <c r="T3761" i="1"/>
  <c r="S3761" i="1"/>
  <c r="R3761" i="1"/>
  <c r="Q3761" i="1"/>
  <c r="M3761" i="1"/>
  <c r="L3761" i="1"/>
  <c r="V3760" i="1"/>
  <c r="Z3760" i="1" s="1"/>
  <c r="U3760" i="1"/>
  <c r="T3760" i="1"/>
  <c r="W3760" i="1" s="1"/>
  <c r="S3760" i="1"/>
  <c r="R3760" i="1"/>
  <c r="Q3760" i="1"/>
  <c r="M3760" i="1"/>
  <c r="L3760" i="1"/>
  <c r="V3759" i="1"/>
  <c r="U3759" i="1"/>
  <c r="T3759" i="1"/>
  <c r="W3759" i="1" s="1"/>
  <c r="S3759" i="1"/>
  <c r="R3759" i="1"/>
  <c r="Q3759" i="1"/>
  <c r="M3759" i="1"/>
  <c r="L3759" i="1"/>
  <c r="V3758" i="1"/>
  <c r="Z3758" i="1" s="1"/>
  <c r="U3758" i="1"/>
  <c r="T3758" i="1"/>
  <c r="S3758" i="1"/>
  <c r="R3758" i="1"/>
  <c r="Q3758" i="1"/>
  <c r="M3758" i="1"/>
  <c r="L3758" i="1"/>
  <c r="V3757" i="1"/>
  <c r="Z3757" i="1" s="1"/>
  <c r="U3757" i="1"/>
  <c r="T3757" i="1"/>
  <c r="W3757" i="1" s="1"/>
  <c r="S3757" i="1"/>
  <c r="R3757" i="1"/>
  <c r="Q3757" i="1"/>
  <c r="M3757" i="1"/>
  <c r="L3757" i="1"/>
  <c r="V3756" i="1"/>
  <c r="Z3756" i="1" s="1"/>
  <c r="U3756" i="1"/>
  <c r="T3756" i="1"/>
  <c r="W3756" i="1" s="1"/>
  <c r="S3756" i="1"/>
  <c r="R3756" i="1"/>
  <c r="Q3756" i="1"/>
  <c r="M3756" i="1"/>
  <c r="L3756" i="1"/>
  <c r="V3755" i="1"/>
  <c r="U3755" i="1"/>
  <c r="T3755" i="1"/>
  <c r="W3755" i="1" s="1"/>
  <c r="S3755" i="1"/>
  <c r="R3755" i="1"/>
  <c r="Q3755" i="1"/>
  <c r="M3755" i="1"/>
  <c r="L3755" i="1"/>
  <c r="V3754" i="1"/>
  <c r="Z3754" i="1" s="1"/>
  <c r="U3754" i="1"/>
  <c r="T3754" i="1"/>
  <c r="S3754" i="1"/>
  <c r="R3754" i="1"/>
  <c r="Q3754" i="1"/>
  <c r="M3754" i="1"/>
  <c r="L3754" i="1"/>
  <c r="V3753" i="1"/>
  <c r="Z3753" i="1" s="1"/>
  <c r="U3753" i="1"/>
  <c r="T3753" i="1"/>
  <c r="S3753" i="1"/>
  <c r="R3753" i="1"/>
  <c r="Q3753" i="1"/>
  <c r="M3753" i="1"/>
  <c r="L3753" i="1"/>
  <c r="V3752" i="1"/>
  <c r="Z3752" i="1" s="1"/>
  <c r="U3752" i="1"/>
  <c r="T3752" i="1"/>
  <c r="W3752" i="1" s="1"/>
  <c r="S3752" i="1"/>
  <c r="R3752" i="1"/>
  <c r="Q3752" i="1"/>
  <c r="M3752" i="1"/>
  <c r="L3752" i="1"/>
  <c r="V3751" i="1"/>
  <c r="U3751" i="1"/>
  <c r="T3751" i="1"/>
  <c r="S3751" i="1"/>
  <c r="R3751" i="1"/>
  <c r="Q3751" i="1"/>
  <c r="M3751" i="1"/>
  <c r="L3751" i="1"/>
  <c r="V3750" i="1"/>
  <c r="Z3750" i="1" s="1"/>
  <c r="U3750" i="1"/>
  <c r="T3750" i="1"/>
  <c r="W3750" i="1" s="1"/>
  <c r="S3750" i="1"/>
  <c r="R3750" i="1"/>
  <c r="Q3750" i="1"/>
  <c r="M3750" i="1"/>
  <c r="L3750" i="1"/>
  <c r="V3749" i="1"/>
  <c r="Z3749" i="1" s="1"/>
  <c r="U3749" i="1"/>
  <c r="T3749" i="1"/>
  <c r="W3749" i="1" s="1"/>
  <c r="S3749" i="1"/>
  <c r="R3749" i="1"/>
  <c r="Q3749" i="1"/>
  <c r="M3749" i="1"/>
  <c r="L3749" i="1"/>
  <c r="V3748" i="1"/>
  <c r="Z3748" i="1" s="1"/>
  <c r="U3748" i="1"/>
  <c r="T3748" i="1"/>
  <c r="W3748" i="1" s="1"/>
  <c r="S3748" i="1"/>
  <c r="R3748" i="1"/>
  <c r="Q3748" i="1"/>
  <c r="M3748" i="1"/>
  <c r="L3748" i="1"/>
  <c r="V3747" i="1"/>
  <c r="Z3747" i="1" s="1"/>
  <c r="U3747" i="1"/>
  <c r="T3747" i="1"/>
  <c r="W3747" i="1" s="1"/>
  <c r="S3747" i="1"/>
  <c r="R3747" i="1"/>
  <c r="Q3747" i="1"/>
  <c r="M3747" i="1"/>
  <c r="L3747" i="1"/>
  <c r="V3746" i="1"/>
  <c r="Z3746" i="1" s="1"/>
  <c r="U3746" i="1"/>
  <c r="T3746" i="1"/>
  <c r="W3746" i="1" s="1"/>
  <c r="S3746" i="1"/>
  <c r="R3746" i="1"/>
  <c r="Q3746" i="1"/>
  <c r="M3746" i="1"/>
  <c r="L3746" i="1"/>
  <c r="V3745" i="1"/>
  <c r="Z3745" i="1" s="1"/>
  <c r="U3745" i="1"/>
  <c r="T3745" i="1"/>
  <c r="W3745" i="1" s="1"/>
  <c r="S3745" i="1"/>
  <c r="R3745" i="1"/>
  <c r="Q3745" i="1"/>
  <c r="M3745" i="1"/>
  <c r="L3745" i="1"/>
  <c r="V3744" i="1"/>
  <c r="Z3744" i="1" s="1"/>
  <c r="U3744" i="1"/>
  <c r="T3744" i="1"/>
  <c r="S3744" i="1"/>
  <c r="R3744" i="1"/>
  <c r="Q3744" i="1"/>
  <c r="M3744" i="1"/>
  <c r="L3744" i="1"/>
  <c r="V3743" i="1"/>
  <c r="Z3743" i="1" s="1"/>
  <c r="U3743" i="1"/>
  <c r="T3743" i="1"/>
  <c r="S3743" i="1"/>
  <c r="R3743" i="1"/>
  <c r="Q3743" i="1"/>
  <c r="M3743" i="1"/>
  <c r="L3743" i="1"/>
  <c r="V3742" i="1"/>
  <c r="Z3742" i="1" s="1"/>
  <c r="U3742" i="1"/>
  <c r="T3742" i="1"/>
  <c r="W3742" i="1" s="1"/>
  <c r="S3742" i="1"/>
  <c r="R3742" i="1"/>
  <c r="Q3742" i="1"/>
  <c r="M3742" i="1"/>
  <c r="L3742" i="1"/>
  <c r="V3741" i="1"/>
  <c r="Z3741" i="1" s="1"/>
  <c r="U3741" i="1"/>
  <c r="T3741" i="1"/>
  <c r="S3741" i="1"/>
  <c r="R3741" i="1"/>
  <c r="Q3741" i="1"/>
  <c r="M3741" i="1"/>
  <c r="L3741" i="1"/>
  <c r="V3740" i="1"/>
  <c r="U3740" i="1"/>
  <c r="T3740" i="1"/>
  <c r="W3740" i="1" s="1"/>
  <c r="S3740" i="1"/>
  <c r="R3740" i="1"/>
  <c r="Q3740" i="1"/>
  <c r="M3740" i="1"/>
  <c r="L3740" i="1"/>
  <c r="V3739" i="1"/>
  <c r="Z3739" i="1" s="1"/>
  <c r="U3739" i="1"/>
  <c r="T3739" i="1"/>
  <c r="W3739" i="1" s="1"/>
  <c r="S3739" i="1"/>
  <c r="R3739" i="1"/>
  <c r="Q3739" i="1"/>
  <c r="M3739" i="1"/>
  <c r="L3739" i="1"/>
  <c r="V3738" i="1"/>
  <c r="Z3738" i="1" s="1"/>
  <c r="U3738" i="1"/>
  <c r="T3738" i="1"/>
  <c r="W3738" i="1" s="1"/>
  <c r="S3738" i="1"/>
  <c r="R3738" i="1"/>
  <c r="Q3738" i="1"/>
  <c r="M3738" i="1"/>
  <c r="L3738" i="1"/>
  <c r="V3737" i="1"/>
  <c r="Z3737" i="1" s="1"/>
  <c r="U3737" i="1"/>
  <c r="T3737" i="1"/>
  <c r="S3737" i="1"/>
  <c r="R3737" i="1"/>
  <c r="Q3737" i="1"/>
  <c r="M3737" i="1"/>
  <c r="L3737" i="1"/>
  <c r="V3736" i="1"/>
  <c r="Z3736" i="1" s="1"/>
  <c r="U3736" i="1"/>
  <c r="T3736" i="1"/>
  <c r="W3736" i="1" s="1"/>
  <c r="S3736" i="1"/>
  <c r="R3736" i="1"/>
  <c r="Q3736" i="1"/>
  <c r="M3736" i="1"/>
  <c r="L3736" i="1"/>
  <c r="V3735" i="1"/>
  <c r="Z3735" i="1" s="1"/>
  <c r="U3735" i="1"/>
  <c r="T3735" i="1"/>
  <c r="W3735" i="1" s="1"/>
  <c r="S3735" i="1"/>
  <c r="R3735" i="1"/>
  <c r="Q3735" i="1"/>
  <c r="M3735" i="1"/>
  <c r="L3735" i="1"/>
  <c r="V3734" i="1"/>
  <c r="Z3734" i="1" s="1"/>
  <c r="U3734" i="1"/>
  <c r="T3734" i="1"/>
  <c r="S3734" i="1"/>
  <c r="R3734" i="1"/>
  <c r="Q3734" i="1"/>
  <c r="M3734" i="1"/>
  <c r="L3734" i="1"/>
  <c r="V3733" i="1"/>
  <c r="Z3733" i="1" s="1"/>
  <c r="U3733" i="1"/>
  <c r="T3733" i="1"/>
  <c r="W3733" i="1" s="1"/>
  <c r="S3733" i="1"/>
  <c r="R3733" i="1"/>
  <c r="Q3733" i="1"/>
  <c r="M3733" i="1"/>
  <c r="L3733" i="1"/>
  <c r="V3732" i="1"/>
  <c r="Z3732" i="1" s="1"/>
  <c r="U3732" i="1"/>
  <c r="T3732" i="1"/>
  <c r="W3732" i="1" s="1"/>
  <c r="S3732" i="1"/>
  <c r="R3732" i="1"/>
  <c r="Q3732" i="1"/>
  <c r="M3732" i="1"/>
  <c r="L3732" i="1"/>
  <c r="V3731" i="1"/>
  <c r="U3731" i="1"/>
  <c r="T3731" i="1"/>
  <c r="S3731" i="1"/>
  <c r="R3731" i="1"/>
  <c r="Q3731" i="1"/>
  <c r="M3731" i="1"/>
  <c r="L3731" i="1"/>
  <c r="V3730" i="1"/>
  <c r="Z3730" i="1" s="1"/>
  <c r="U3730" i="1"/>
  <c r="T3730" i="1"/>
  <c r="W3730" i="1" s="1"/>
  <c r="S3730" i="1"/>
  <c r="R3730" i="1"/>
  <c r="Q3730" i="1"/>
  <c r="M3730" i="1"/>
  <c r="L3730" i="1"/>
  <c r="V3729" i="1"/>
  <c r="Z3729" i="1" s="1"/>
  <c r="U3729" i="1"/>
  <c r="T3729" i="1"/>
  <c r="W3729" i="1" s="1"/>
  <c r="S3729" i="1"/>
  <c r="R3729" i="1"/>
  <c r="Q3729" i="1"/>
  <c r="M3729" i="1"/>
  <c r="L3729" i="1"/>
  <c r="V3728" i="1"/>
  <c r="U3728" i="1"/>
  <c r="T3728" i="1"/>
  <c r="W3728" i="1" s="1"/>
  <c r="S3728" i="1"/>
  <c r="R3728" i="1"/>
  <c r="Q3728" i="1"/>
  <c r="M3728" i="1"/>
  <c r="L3728" i="1"/>
  <c r="V3727" i="1"/>
  <c r="Z3727" i="1" s="1"/>
  <c r="U3727" i="1"/>
  <c r="T3727" i="1"/>
  <c r="S3727" i="1"/>
  <c r="R3727" i="1"/>
  <c r="Q3727" i="1"/>
  <c r="M3727" i="1"/>
  <c r="L3727" i="1"/>
  <c r="V3726" i="1"/>
  <c r="Z3726" i="1" s="1"/>
  <c r="U3726" i="1"/>
  <c r="T3726" i="1"/>
  <c r="W3726" i="1" s="1"/>
  <c r="S3726" i="1"/>
  <c r="R3726" i="1"/>
  <c r="Q3726" i="1"/>
  <c r="M3726" i="1"/>
  <c r="L3726" i="1"/>
  <c r="V3725" i="1"/>
  <c r="Z3725" i="1" s="1"/>
  <c r="U3725" i="1"/>
  <c r="T3725" i="1"/>
  <c r="W3725" i="1" s="1"/>
  <c r="S3725" i="1"/>
  <c r="R3725" i="1"/>
  <c r="Q3725" i="1"/>
  <c r="M3725" i="1"/>
  <c r="L3725" i="1"/>
  <c r="V3724" i="1"/>
  <c r="U3724" i="1"/>
  <c r="T3724" i="1"/>
  <c r="W3724" i="1" s="1"/>
  <c r="S3724" i="1"/>
  <c r="R3724" i="1"/>
  <c r="Q3724" i="1"/>
  <c r="M3724" i="1"/>
  <c r="L3724" i="1"/>
  <c r="V3723" i="1"/>
  <c r="Z3723" i="1" s="1"/>
  <c r="U3723" i="1"/>
  <c r="T3723" i="1"/>
  <c r="W3723" i="1" s="1"/>
  <c r="S3723" i="1"/>
  <c r="R3723" i="1"/>
  <c r="Q3723" i="1"/>
  <c r="M3723" i="1"/>
  <c r="L3723" i="1"/>
  <c r="V3722" i="1"/>
  <c r="Z3722" i="1" s="1"/>
  <c r="U3722" i="1"/>
  <c r="T3722" i="1"/>
  <c r="W3722" i="1" s="1"/>
  <c r="S3722" i="1"/>
  <c r="R3722" i="1"/>
  <c r="Q3722" i="1"/>
  <c r="M3722" i="1"/>
  <c r="L3722" i="1"/>
  <c r="V3721" i="1"/>
  <c r="Z3721" i="1" s="1"/>
  <c r="U3721" i="1"/>
  <c r="T3721" i="1"/>
  <c r="W3721" i="1" s="1"/>
  <c r="S3721" i="1"/>
  <c r="R3721" i="1"/>
  <c r="Q3721" i="1"/>
  <c r="M3721" i="1"/>
  <c r="L3721" i="1"/>
  <c r="V3720" i="1"/>
  <c r="Z3720" i="1" s="1"/>
  <c r="U3720" i="1"/>
  <c r="T3720" i="1"/>
  <c r="W3720" i="1" s="1"/>
  <c r="S3720" i="1"/>
  <c r="R3720" i="1"/>
  <c r="Q3720" i="1"/>
  <c r="M3720" i="1"/>
  <c r="L3720" i="1"/>
  <c r="V3719" i="1"/>
  <c r="Z3719" i="1" s="1"/>
  <c r="U3719" i="1"/>
  <c r="T3719" i="1"/>
  <c r="W3719" i="1" s="1"/>
  <c r="S3719" i="1"/>
  <c r="R3719" i="1"/>
  <c r="Q3719" i="1"/>
  <c r="M3719" i="1"/>
  <c r="L3719" i="1"/>
  <c r="V3718" i="1"/>
  <c r="Z3718" i="1" s="1"/>
  <c r="U3718" i="1"/>
  <c r="T3718" i="1"/>
  <c r="W3718" i="1" s="1"/>
  <c r="S3718" i="1"/>
  <c r="R3718" i="1"/>
  <c r="Q3718" i="1"/>
  <c r="M3718" i="1"/>
  <c r="L3718" i="1"/>
  <c r="V3717" i="1"/>
  <c r="Z3717" i="1" s="1"/>
  <c r="U3717" i="1"/>
  <c r="T3717" i="1"/>
  <c r="S3717" i="1"/>
  <c r="R3717" i="1"/>
  <c r="Q3717" i="1"/>
  <c r="M3717" i="1"/>
  <c r="L3717" i="1"/>
  <c r="V3716" i="1"/>
  <c r="Z3716" i="1" s="1"/>
  <c r="U3716" i="1"/>
  <c r="T3716" i="1"/>
  <c r="W3716" i="1" s="1"/>
  <c r="S3716" i="1"/>
  <c r="R3716" i="1"/>
  <c r="Q3716" i="1"/>
  <c r="M3716" i="1"/>
  <c r="L3716" i="1"/>
  <c r="V3715" i="1"/>
  <c r="Z3715" i="1" s="1"/>
  <c r="U3715" i="1"/>
  <c r="T3715" i="1"/>
  <c r="W3715" i="1" s="1"/>
  <c r="S3715" i="1"/>
  <c r="R3715" i="1"/>
  <c r="Q3715" i="1"/>
  <c r="M3715" i="1"/>
  <c r="L3715" i="1"/>
  <c r="V3714" i="1"/>
  <c r="Z3714" i="1" s="1"/>
  <c r="U3714" i="1"/>
  <c r="T3714" i="1"/>
  <c r="S3714" i="1"/>
  <c r="R3714" i="1"/>
  <c r="Q3714" i="1"/>
  <c r="M3714" i="1"/>
  <c r="L3714" i="1"/>
  <c r="V3713" i="1"/>
  <c r="Z3713" i="1" s="1"/>
  <c r="U3713" i="1"/>
  <c r="T3713" i="1"/>
  <c r="W3713" i="1" s="1"/>
  <c r="S3713" i="1"/>
  <c r="R3713" i="1"/>
  <c r="Q3713" i="1"/>
  <c r="M3713" i="1"/>
  <c r="L3713" i="1"/>
  <c r="V3712" i="1"/>
  <c r="Z3712" i="1" s="1"/>
  <c r="U3712" i="1"/>
  <c r="T3712" i="1"/>
  <c r="W3712" i="1" s="1"/>
  <c r="S3712" i="1"/>
  <c r="R3712" i="1"/>
  <c r="Q3712" i="1"/>
  <c r="M3712" i="1"/>
  <c r="L3712" i="1"/>
  <c r="V3711" i="1"/>
  <c r="U3711" i="1"/>
  <c r="T3711" i="1"/>
  <c r="W3711" i="1" s="1"/>
  <c r="S3711" i="1"/>
  <c r="R3711" i="1"/>
  <c r="Q3711" i="1"/>
  <c r="M3711" i="1"/>
  <c r="L3711" i="1"/>
  <c r="V3710" i="1"/>
  <c r="Z3710" i="1" s="1"/>
  <c r="U3710" i="1"/>
  <c r="T3710" i="1"/>
  <c r="W3710" i="1" s="1"/>
  <c r="S3710" i="1"/>
  <c r="R3710" i="1"/>
  <c r="Q3710" i="1"/>
  <c r="M3710" i="1"/>
  <c r="L3710" i="1"/>
  <c r="V3709" i="1"/>
  <c r="Z3709" i="1" s="1"/>
  <c r="U3709" i="1"/>
  <c r="T3709" i="1"/>
  <c r="W3709" i="1" s="1"/>
  <c r="S3709" i="1"/>
  <c r="R3709" i="1"/>
  <c r="Q3709" i="1"/>
  <c r="M3709" i="1"/>
  <c r="L3709" i="1"/>
  <c r="V3708" i="1"/>
  <c r="Z3708" i="1" s="1"/>
  <c r="U3708" i="1"/>
  <c r="T3708" i="1"/>
  <c r="W3708" i="1" s="1"/>
  <c r="S3708" i="1"/>
  <c r="R3708" i="1"/>
  <c r="Q3708" i="1"/>
  <c r="M3708" i="1"/>
  <c r="L3708" i="1"/>
  <c r="V3707" i="1"/>
  <c r="Z3707" i="1" s="1"/>
  <c r="U3707" i="1"/>
  <c r="T3707" i="1"/>
  <c r="S3707" i="1"/>
  <c r="R3707" i="1"/>
  <c r="Q3707" i="1"/>
  <c r="M3707" i="1"/>
  <c r="L3707" i="1"/>
  <c r="V3706" i="1"/>
  <c r="Z3706" i="1" s="1"/>
  <c r="U3706" i="1"/>
  <c r="T3706" i="1"/>
  <c r="S3706" i="1"/>
  <c r="R3706" i="1"/>
  <c r="Q3706" i="1"/>
  <c r="M3706" i="1"/>
  <c r="L3706" i="1"/>
  <c r="V3705" i="1"/>
  <c r="Z3705" i="1" s="1"/>
  <c r="U3705" i="1"/>
  <c r="T3705" i="1"/>
  <c r="W3705" i="1" s="1"/>
  <c r="S3705" i="1"/>
  <c r="R3705" i="1"/>
  <c r="Q3705" i="1"/>
  <c r="M3705" i="1"/>
  <c r="L3705" i="1"/>
  <c r="V3704" i="1"/>
  <c r="U3704" i="1"/>
  <c r="T3704" i="1"/>
  <c r="S3704" i="1"/>
  <c r="R3704" i="1"/>
  <c r="Q3704" i="1"/>
  <c r="M3704" i="1"/>
  <c r="L3704" i="1"/>
  <c r="V3703" i="1"/>
  <c r="U3703" i="1"/>
  <c r="T3703" i="1"/>
  <c r="W3703" i="1" s="1"/>
  <c r="S3703" i="1"/>
  <c r="R3703" i="1"/>
  <c r="Q3703" i="1"/>
  <c r="M3703" i="1"/>
  <c r="L3703" i="1"/>
  <c r="V3702" i="1"/>
  <c r="Z3702" i="1" s="1"/>
  <c r="U3702" i="1"/>
  <c r="T3702" i="1"/>
  <c r="W3702" i="1" s="1"/>
  <c r="S3702" i="1"/>
  <c r="R3702" i="1"/>
  <c r="Q3702" i="1"/>
  <c r="M3702" i="1"/>
  <c r="L3702" i="1"/>
  <c r="V3701" i="1"/>
  <c r="Z3701" i="1" s="1"/>
  <c r="U3701" i="1"/>
  <c r="T3701" i="1"/>
  <c r="W3701" i="1" s="1"/>
  <c r="S3701" i="1"/>
  <c r="R3701" i="1"/>
  <c r="Q3701" i="1"/>
  <c r="M3701" i="1"/>
  <c r="L3701" i="1"/>
  <c r="V3700" i="1"/>
  <c r="Z3700" i="1" s="1"/>
  <c r="U3700" i="1"/>
  <c r="T3700" i="1"/>
  <c r="W3700" i="1" s="1"/>
  <c r="S3700" i="1"/>
  <c r="R3700" i="1"/>
  <c r="Q3700" i="1"/>
  <c r="M3700" i="1"/>
  <c r="L3700" i="1"/>
  <c r="V3699" i="1"/>
  <c r="Z3699" i="1" s="1"/>
  <c r="U3699" i="1"/>
  <c r="T3699" i="1"/>
  <c r="W3699" i="1" s="1"/>
  <c r="S3699" i="1"/>
  <c r="R3699" i="1"/>
  <c r="Q3699" i="1"/>
  <c r="M3699" i="1"/>
  <c r="L3699" i="1"/>
  <c r="V3698" i="1"/>
  <c r="Z3698" i="1" s="1"/>
  <c r="U3698" i="1"/>
  <c r="T3698" i="1"/>
  <c r="S3698" i="1"/>
  <c r="R3698" i="1"/>
  <c r="Q3698" i="1"/>
  <c r="M3698" i="1"/>
  <c r="L3698" i="1"/>
  <c r="V3697" i="1"/>
  <c r="Z3697" i="1" s="1"/>
  <c r="U3697" i="1"/>
  <c r="T3697" i="1"/>
  <c r="S3697" i="1"/>
  <c r="R3697" i="1"/>
  <c r="Q3697" i="1"/>
  <c r="M3697" i="1"/>
  <c r="L3697" i="1"/>
  <c r="V3696" i="1"/>
  <c r="Z3696" i="1" s="1"/>
  <c r="U3696" i="1"/>
  <c r="T3696" i="1"/>
  <c r="W3696" i="1" s="1"/>
  <c r="S3696" i="1"/>
  <c r="R3696" i="1"/>
  <c r="Q3696" i="1"/>
  <c r="M3696" i="1"/>
  <c r="L3696" i="1"/>
  <c r="V3695" i="1"/>
  <c r="Z3695" i="1" s="1"/>
  <c r="U3695" i="1"/>
  <c r="T3695" i="1"/>
  <c r="W3695" i="1" s="1"/>
  <c r="S3695" i="1"/>
  <c r="R3695" i="1"/>
  <c r="Q3695" i="1"/>
  <c r="M3695" i="1"/>
  <c r="L3695" i="1"/>
  <c r="V3694" i="1"/>
  <c r="Z3694" i="1" s="1"/>
  <c r="U3694" i="1"/>
  <c r="T3694" i="1"/>
  <c r="W3694" i="1" s="1"/>
  <c r="S3694" i="1"/>
  <c r="R3694" i="1"/>
  <c r="Q3694" i="1"/>
  <c r="M3694" i="1"/>
  <c r="L3694" i="1"/>
  <c r="V3693" i="1"/>
  <c r="Z3693" i="1" s="1"/>
  <c r="U3693" i="1"/>
  <c r="T3693" i="1"/>
  <c r="W3693" i="1" s="1"/>
  <c r="S3693" i="1"/>
  <c r="R3693" i="1"/>
  <c r="Q3693" i="1"/>
  <c r="M3693" i="1"/>
  <c r="L3693" i="1"/>
  <c r="V3692" i="1"/>
  <c r="Z3692" i="1" s="1"/>
  <c r="U3692" i="1"/>
  <c r="T3692" i="1"/>
  <c r="W3692" i="1" s="1"/>
  <c r="S3692" i="1"/>
  <c r="R3692" i="1"/>
  <c r="Q3692" i="1"/>
  <c r="M3692" i="1"/>
  <c r="L3692" i="1"/>
  <c r="V3691" i="1"/>
  <c r="Z3691" i="1" s="1"/>
  <c r="U3691" i="1"/>
  <c r="T3691" i="1"/>
  <c r="W3691" i="1" s="1"/>
  <c r="S3691" i="1"/>
  <c r="R3691" i="1"/>
  <c r="Q3691" i="1"/>
  <c r="M3691" i="1"/>
  <c r="L3691" i="1"/>
  <c r="V3690" i="1"/>
  <c r="Z3690" i="1" s="1"/>
  <c r="U3690" i="1"/>
  <c r="T3690" i="1"/>
  <c r="S3690" i="1"/>
  <c r="R3690" i="1"/>
  <c r="Q3690" i="1"/>
  <c r="M3690" i="1"/>
  <c r="L3690" i="1"/>
  <c r="V3689" i="1"/>
  <c r="Z3689" i="1" s="1"/>
  <c r="U3689" i="1"/>
  <c r="T3689" i="1"/>
  <c r="S3689" i="1"/>
  <c r="R3689" i="1"/>
  <c r="Q3689" i="1"/>
  <c r="M3689" i="1"/>
  <c r="L3689" i="1"/>
  <c r="V3688" i="1"/>
  <c r="Z3688" i="1" s="1"/>
  <c r="U3688" i="1"/>
  <c r="T3688" i="1"/>
  <c r="W3688" i="1" s="1"/>
  <c r="S3688" i="1"/>
  <c r="R3688" i="1"/>
  <c r="Q3688" i="1"/>
  <c r="M3688" i="1"/>
  <c r="L3688" i="1"/>
  <c r="V3687" i="1"/>
  <c r="U3687" i="1"/>
  <c r="T3687" i="1"/>
  <c r="S3687" i="1"/>
  <c r="R3687" i="1"/>
  <c r="Q3687" i="1"/>
  <c r="M3687" i="1"/>
  <c r="L3687" i="1"/>
  <c r="V3686" i="1"/>
  <c r="Z3686" i="1" s="1"/>
  <c r="U3686" i="1"/>
  <c r="T3686" i="1"/>
  <c r="W3686" i="1" s="1"/>
  <c r="S3686" i="1"/>
  <c r="R3686" i="1"/>
  <c r="Q3686" i="1"/>
  <c r="M3686" i="1"/>
  <c r="L3686" i="1"/>
  <c r="V3685" i="1"/>
  <c r="Z3685" i="1" s="1"/>
  <c r="U3685" i="1"/>
  <c r="T3685" i="1"/>
  <c r="W3685" i="1" s="1"/>
  <c r="S3685" i="1"/>
  <c r="R3685" i="1"/>
  <c r="Q3685" i="1"/>
  <c r="M3685" i="1"/>
  <c r="L3685" i="1"/>
  <c r="V3684" i="1"/>
  <c r="Z3684" i="1" s="1"/>
  <c r="U3684" i="1"/>
  <c r="T3684" i="1"/>
  <c r="W3684" i="1" s="1"/>
  <c r="S3684" i="1"/>
  <c r="R3684" i="1"/>
  <c r="Q3684" i="1"/>
  <c r="M3684" i="1"/>
  <c r="L3684" i="1"/>
  <c r="V3683" i="1"/>
  <c r="Z3683" i="1" s="1"/>
  <c r="U3683" i="1"/>
  <c r="T3683" i="1"/>
  <c r="W3683" i="1" s="1"/>
  <c r="S3683" i="1"/>
  <c r="R3683" i="1"/>
  <c r="Q3683" i="1"/>
  <c r="M3683" i="1"/>
  <c r="L3683" i="1"/>
  <c r="V3682" i="1"/>
  <c r="Z3682" i="1" s="1"/>
  <c r="U3682" i="1"/>
  <c r="T3682" i="1"/>
  <c r="W3682" i="1" s="1"/>
  <c r="S3682" i="1"/>
  <c r="R3682" i="1"/>
  <c r="Q3682" i="1"/>
  <c r="M3682" i="1"/>
  <c r="L3682" i="1"/>
  <c r="V3681" i="1"/>
  <c r="Z3681" i="1" s="1"/>
  <c r="U3681" i="1"/>
  <c r="T3681" i="1"/>
  <c r="W3681" i="1" s="1"/>
  <c r="S3681" i="1"/>
  <c r="R3681" i="1"/>
  <c r="Q3681" i="1"/>
  <c r="M3681" i="1"/>
  <c r="L3681" i="1"/>
  <c r="V3680" i="1"/>
  <c r="Z3680" i="1" s="1"/>
  <c r="U3680" i="1"/>
  <c r="T3680" i="1"/>
  <c r="S3680" i="1"/>
  <c r="R3680" i="1"/>
  <c r="Q3680" i="1"/>
  <c r="M3680" i="1"/>
  <c r="L3680" i="1"/>
  <c r="V3679" i="1"/>
  <c r="Z3679" i="1" s="1"/>
  <c r="U3679" i="1"/>
  <c r="T3679" i="1"/>
  <c r="S3679" i="1"/>
  <c r="R3679" i="1"/>
  <c r="Q3679" i="1"/>
  <c r="M3679" i="1"/>
  <c r="L3679" i="1"/>
  <c r="V3678" i="1"/>
  <c r="Z3678" i="1" s="1"/>
  <c r="U3678" i="1"/>
  <c r="T3678" i="1"/>
  <c r="W3678" i="1" s="1"/>
  <c r="S3678" i="1"/>
  <c r="R3678" i="1"/>
  <c r="Q3678" i="1"/>
  <c r="M3678" i="1"/>
  <c r="L3678" i="1"/>
  <c r="V3677" i="1"/>
  <c r="Z3677" i="1" s="1"/>
  <c r="U3677" i="1"/>
  <c r="T3677" i="1"/>
  <c r="W3677" i="1" s="1"/>
  <c r="S3677" i="1"/>
  <c r="R3677" i="1"/>
  <c r="Q3677" i="1"/>
  <c r="M3677" i="1"/>
  <c r="L3677" i="1"/>
  <c r="V3676" i="1"/>
  <c r="U3676" i="1"/>
  <c r="T3676" i="1"/>
  <c r="W3676" i="1" s="1"/>
  <c r="S3676" i="1"/>
  <c r="R3676" i="1"/>
  <c r="Q3676" i="1"/>
  <c r="M3676" i="1"/>
  <c r="L3676" i="1"/>
  <c r="V3675" i="1"/>
  <c r="Z3675" i="1" s="1"/>
  <c r="U3675" i="1"/>
  <c r="T3675" i="1"/>
  <c r="W3675" i="1" s="1"/>
  <c r="S3675" i="1"/>
  <c r="R3675" i="1"/>
  <c r="Q3675" i="1"/>
  <c r="M3675" i="1"/>
  <c r="L3675" i="1"/>
  <c r="V3674" i="1"/>
  <c r="Z3674" i="1" s="1"/>
  <c r="U3674" i="1"/>
  <c r="T3674" i="1"/>
  <c r="W3674" i="1" s="1"/>
  <c r="S3674" i="1"/>
  <c r="R3674" i="1"/>
  <c r="Q3674" i="1"/>
  <c r="M3674" i="1"/>
  <c r="L3674" i="1"/>
  <c r="V3673" i="1"/>
  <c r="Z3673" i="1" s="1"/>
  <c r="U3673" i="1"/>
  <c r="T3673" i="1"/>
  <c r="S3673" i="1"/>
  <c r="R3673" i="1"/>
  <c r="Q3673" i="1"/>
  <c r="M3673" i="1"/>
  <c r="L3673" i="1"/>
  <c r="V3672" i="1"/>
  <c r="Z3672" i="1" s="1"/>
  <c r="U3672" i="1"/>
  <c r="T3672" i="1"/>
  <c r="W3672" i="1" s="1"/>
  <c r="S3672" i="1"/>
  <c r="R3672" i="1"/>
  <c r="Q3672" i="1"/>
  <c r="M3672" i="1"/>
  <c r="L3672" i="1"/>
  <c r="V3671" i="1"/>
  <c r="Z3671" i="1" s="1"/>
  <c r="U3671" i="1"/>
  <c r="T3671" i="1"/>
  <c r="W3671" i="1" s="1"/>
  <c r="S3671" i="1"/>
  <c r="R3671" i="1"/>
  <c r="Q3671" i="1"/>
  <c r="M3671" i="1"/>
  <c r="L3671" i="1"/>
  <c r="V3670" i="1"/>
  <c r="Z3670" i="1" s="1"/>
  <c r="U3670" i="1"/>
  <c r="T3670" i="1"/>
  <c r="S3670" i="1"/>
  <c r="R3670" i="1"/>
  <c r="Q3670" i="1"/>
  <c r="M3670" i="1"/>
  <c r="L3670" i="1"/>
  <c r="V3669" i="1"/>
  <c r="Z3669" i="1" s="1"/>
  <c r="U3669" i="1"/>
  <c r="T3669" i="1"/>
  <c r="W3669" i="1" s="1"/>
  <c r="S3669" i="1"/>
  <c r="R3669" i="1"/>
  <c r="Q3669" i="1"/>
  <c r="M3669" i="1"/>
  <c r="L3669" i="1"/>
  <c r="V3668" i="1"/>
  <c r="Z3668" i="1" s="1"/>
  <c r="U3668" i="1"/>
  <c r="T3668" i="1"/>
  <c r="W3668" i="1" s="1"/>
  <c r="S3668" i="1"/>
  <c r="R3668" i="1"/>
  <c r="Q3668" i="1"/>
  <c r="M3668" i="1"/>
  <c r="L3668" i="1"/>
  <c r="V3667" i="1"/>
  <c r="U3667" i="1"/>
  <c r="T3667" i="1"/>
  <c r="W3667" i="1" s="1"/>
  <c r="S3667" i="1"/>
  <c r="R3667" i="1"/>
  <c r="Q3667" i="1"/>
  <c r="M3667" i="1"/>
  <c r="L3667" i="1"/>
  <c r="V3666" i="1"/>
  <c r="Z3666" i="1" s="1"/>
  <c r="U3666" i="1"/>
  <c r="T3666" i="1"/>
  <c r="W3666" i="1" s="1"/>
  <c r="S3666" i="1"/>
  <c r="R3666" i="1"/>
  <c r="Q3666" i="1"/>
  <c r="M3666" i="1"/>
  <c r="L3666" i="1"/>
  <c r="V3665" i="1"/>
  <c r="Z3665" i="1" s="1"/>
  <c r="U3665" i="1"/>
  <c r="T3665" i="1"/>
  <c r="W3665" i="1" s="1"/>
  <c r="S3665" i="1"/>
  <c r="R3665" i="1"/>
  <c r="Q3665" i="1"/>
  <c r="M3665" i="1"/>
  <c r="L3665" i="1"/>
  <c r="V3664" i="1"/>
  <c r="U3664" i="1"/>
  <c r="T3664" i="1"/>
  <c r="W3664" i="1" s="1"/>
  <c r="S3664" i="1"/>
  <c r="R3664" i="1"/>
  <c r="Q3664" i="1"/>
  <c r="M3664" i="1"/>
  <c r="L3664" i="1"/>
  <c r="V3663" i="1"/>
  <c r="Z3663" i="1" s="1"/>
  <c r="U3663" i="1"/>
  <c r="T3663" i="1"/>
  <c r="S3663" i="1"/>
  <c r="R3663" i="1"/>
  <c r="Q3663" i="1"/>
  <c r="M3663" i="1"/>
  <c r="L3663" i="1"/>
  <c r="V3662" i="1"/>
  <c r="Z3662" i="1" s="1"/>
  <c r="U3662" i="1"/>
  <c r="T3662" i="1"/>
  <c r="W3662" i="1" s="1"/>
  <c r="S3662" i="1"/>
  <c r="R3662" i="1"/>
  <c r="Q3662" i="1"/>
  <c r="M3662" i="1"/>
  <c r="L3662" i="1"/>
  <c r="V3661" i="1"/>
  <c r="Z3661" i="1" s="1"/>
  <c r="U3661" i="1"/>
  <c r="T3661" i="1"/>
  <c r="W3661" i="1" s="1"/>
  <c r="S3661" i="1"/>
  <c r="R3661" i="1"/>
  <c r="Q3661" i="1"/>
  <c r="M3661" i="1"/>
  <c r="L3661" i="1"/>
  <c r="V3660" i="1"/>
  <c r="U3660" i="1"/>
  <c r="T3660" i="1"/>
  <c r="W3660" i="1" s="1"/>
  <c r="S3660" i="1"/>
  <c r="R3660" i="1"/>
  <c r="Q3660" i="1"/>
  <c r="M3660" i="1"/>
  <c r="L3660" i="1"/>
  <c r="V3659" i="1"/>
  <c r="Z3659" i="1" s="1"/>
  <c r="U3659" i="1"/>
  <c r="T3659" i="1"/>
  <c r="W3659" i="1" s="1"/>
  <c r="S3659" i="1"/>
  <c r="R3659" i="1"/>
  <c r="Q3659" i="1"/>
  <c r="M3659" i="1"/>
  <c r="L3659" i="1"/>
  <c r="V3658" i="1"/>
  <c r="Z3658" i="1" s="1"/>
  <c r="U3658" i="1"/>
  <c r="T3658" i="1"/>
  <c r="W3658" i="1" s="1"/>
  <c r="S3658" i="1"/>
  <c r="R3658" i="1"/>
  <c r="Q3658" i="1"/>
  <c r="M3658" i="1"/>
  <c r="L3658" i="1"/>
  <c r="V3657" i="1"/>
  <c r="Z3657" i="1" s="1"/>
  <c r="U3657" i="1"/>
  <c r="T3657" i="1"/>
  <c r="W3657" i="1" s="1"/>
  <c r="S3657" i="1"/>
  <c r="R3657" i="1"/>
  <c r="Q3657" i="1"/>
  <c r="M3657" i="1"/>
  <c r="L3657" i="1"/>
  <c r="V3656" i="1"/>
  <c r="Z3656" i="1" s="1"/>
  <c r="U3656" i="1"/>
  <c r="T3656" i="1"/>
  <c r="W3656" i="1" s="1"/>
  <c r="S3656" i="1"/>
  <c r="R3656" i="1"/>
  <c r="Q3656" i="1"/>
  <c r="M3656" i="1"/>
  <c r="L3656" i="1"/>
  <c r="V3655" i="1"/>
  <c r="Z3655" i="1" s="1"/>
  <c r="U3655" i="1"/>
  <c r="T3655" i="1"/>
  <c r="W3655" i="1" s="1"/>
  <c r="S3655" i="1"/>
  <c r="R3655" i="1"/>
  <c r="Q3655" i="1"/>
  <c r="M3655" i="1"/>
  <c r="L3655" i="1"/>
  <c r="V3654" i="1"/>
  <c r="Z3654" i="1" s="1"/>
  <c r="U3654" i="1"/>
  <c r="T3654" i="1"/>
  <c r="W3654" i="1" s="1"/>
  <c r="S3654" i="1"/>
  <c r="R3654" i="1"/>
  <c r="Q3654" i="1"/>
  <c r="M3654" i="1"/>
  <c r="L3654" i="1"/>
  <c r="V3653" i="1"/>
  <c r="Z3653" i="1" s="1"/>
  <c r="U3653" i="1"/>
  <c r="T3653" i="1"/>
  <c r="S3653" i="1"/>
  <c r="R3653" i="1"/>
  <c r="Q3653" i="1"/>
  <c r="M3653" i="1"/>
  <c r="L3653" i="1"/>
  <c r="V3652" i="1"/>
  <c r="Z3652" i="1" s="1"/>
  <c r="U3652" i="1"/>
  <c r="T3652" i="1"/>
  <c r="W3652" i="1" s="1"/>
  <c r="S3652" i="1"/>
  <c r="R3652" i="1"/>
  <c r="Q3652" i="1"/>
  <c r="M3652" i="1"/>
  <c r="L3652" i="1"/>
  <c r="V3651" i="1"/>
  <c r="Z3651" i="1" s="1"/>
  <c r="U3651" i="1"/>
  <c r="T3651" i="1"/>
  <c r="W3651" i="1" s="1"/>
  <c r="S3651" i="1"/>
  <c r="R3651" i="1"/>
  <c r="Q3651" i="1"/>
  <c r="M3651" i="1"/>
  <c r="L3651" i="1"/>
  <c r="V3650" i="1"/>
  <c r="Z3650" i="1" s="1"/>
  <c r="U3650" i="1"/>
  <c r="T3650" i="1"/>
  <c r="S3650" i="1"/>
  <c r="R3650" i="1"/>
  <c r="Q3650" i="1"/>
  <c r="M3650" i="1"/>
  <c r="L3650" i="1"/>
  <c r="V3649" i="1"/>
  <c r="Z3649" i="1" s="1"/>
  <c r="U3649" i="1"/>
  <c r="T3649" i="1"/>
  <c r="W3649" i="1" s="1"/>
  <c r="S3649" i="1"/>
  <c r="R3649" i="1"/>
  <c r="Q3649" i="1"/>
  <c r="M3649" i="1"/>
  <c r="L3649" i="1"/>
  <c r="V3648" i="1"/>
  <c r="Z3648" i="1" s="1"/>
  <c r="U3648" i="1"/>
  <c r="T3648" i="1"/>
  <c r="W3648" i="1" s="1"/>
  <c r="S3648" i="1"/>
  <c r="R3648" i="1"/>
  <c r="Q3648" i="1"/>
  <c r="M3648" i="1"/>
  <c r="L3648" i="1"/>
  <c r="V3647" i="1"/>
  <c r="U3647" i="1"/>
  <c r="T3647" i="1"/>
  <c r="W3647" i="1" s="1"/>
  <c r="S3647" i="1"/>
  <c r="R3647" i="1"/>
  <c r="Q3647" i="1"/>
  <c r="M3647" i="1"/>
  <c r="L3647" i="1"/>
  <c r="V3646" i="1"/>
  <c r="Z3646" i="1" s="1"/>
  <c r="U3646" i="1"/>
  <c r="T3646" i="1"/>
  <c r="W3646" i="1" s="1"/>
  <c r="S3646" i="1"/>
  <c r="R3646" i="1"/>
  <c r="Q3646" i="1"/>
  <c r="M3646" i="1"/>
  <c r="L3646" i="1"/>
  <c r="V3645" i="1"/>
  <c r="Z3645" i="1" s="1"/>
  <c r="U3645" i="1"/>
  <c r="T3645" i="1"/>
  <c r="W3645" i="1" s="1"/>
  <c r="S3645" i="1"/>
  <c r="R3645" i="1"/>
  <c r="Q3645" i="1"/>
  <c r="M3645" i="1"/>
  <c r="L3645" i="1"/>
  <c r="V3644" i="1"/>
  <c r="Z3644" i="1" s="1"/>
  <c r="U3644" i="1"/>
  <c r="T3644" i="1"/>
  <c r="W3644" i="1" s="1"/>
  <c r="S3644" i="1"/>
  <c r="R3644" i="1"/>
  <c r="Q3644" i="1"/>
  <c r="M3644" i="1"/>
  <c r="L3644" i="1"/>
  <c r="V3643" i="1"/>
  <c r="Z3643" i="1" s="1"/>
  <c r="U3643" i="1"/>
  <c r="T3643" i="1"/>
  <c r="S3643" i="1"/>
  <c r="R3643" i="1"/>
  <c r="Q3643" i="1"/>
  <c r="M3643" i="1"/>
  <c r="L3643" i="1"/>
  <c r="V3642" i="1"/>
  <c r="Z3642" i="1" s="1"/>
  <c r="U3642" i="1"/>
  <c r="T3642" i="1"/>
  <c r="W3642" i="1" s="1"/>
  <c r="S3642" i="1"/>
  <c r="R3642" i="1"/>
  <c r="Q3642" i="1"/>
  <c r="M3642" i="1"/>
  <c r="L3642" i="1"/>
  <c r="V3641" i="1"/>
  <c r="Z3641" i="1" s="1"/>
  <c r="U3641" i="1"/>
  <c r="T3641" i="1"/>
  <c r="W3641" i="1" s="1"/>
  <c r="S3641" i="1"/>
  <c r="R3641" i="1"/>
  <c r="Q3641" i="1"/>
  <c r="M3641" i="1"/>
  <c r="L3641" i="1"/>
  <c r="V3640" i="1"/>
  <c r="U3640" i="1"/>
  <c r="T3640" i="1"/>
  <c r="W3640" i="1" s="1"/>
  <c r="S3640" i="1"/>
  <c r="R3640" i="1"/>
  <c r="Q3640" i="1"/>
  <c r="M3640" i="1"/>
  <c r="L3640" i="1"/>
  <c r="V3639" i="1"/>
  <c r="Z3639" i="1" s="1"/>
  <c r="U3639" i="1"/>
  <c r="T3639" i="1"/>
  <c r="W3639" i="1" s="1"/>
  <c r="S3639" i="1"/>
  <c r="R3639" i="1"/>
  <c r="Q3639" i="1"/>
  <c r="M3639" i="1"/>
  <c r="L3639" i="1"/>
  <c r="V3638" i="1"/>
  <c r="Z3638" i="1" s="1"/>
  <c r="U3638" i="1"/>
  <c r="T3638" i="1"/>
  <c r="W3638" i="1" s="1"/>
  <c r="S3638" i="1"/>
  <c r="R3638" i="1"/>
  <c r="Q3638" i="1"/>
  <c r="M3638" i="1"/>
  <c r="L3638" i="1"/>
  <c r="V3637" i="1"/>
  <c r="Z3637" i="1" s="1"/>
  <c r="U3637" i="1"/>
  <c r="T3637" i="1"/>
  <c r="W3637" i="1" s="1"/>
  <c r="S3637" i="1"/>
  <c r="R3637" i="1"/>
  <c r="Q3637" i="1"/>
  <c r="M3637" i="1"/>
  <c r="L3637" i="1"/>
  <c r="V3636" i="1"/>
  <c r="Z3636" i="1" s="1"/>
  <c r="U3636" i="1"/>
  <c r="T3636" i="1"/>
  <c r="S3636" i="1"/>
  <c r="R3636" i="1"/>
  <c r="Q3636" i="1"/>
  <c r="M3636" i="1"/>
  <c r="L3636" i="1"/>
  <c r="V3635" i="1"/>
  <c r="Z3635" i="1" s="1"/>
  <c r="U3635" i="1"/>
  <c r="T3635" i="1"/>
  <c r="W3635" i="1" s="1"/>
  <c r="S3635" i="1"/>
  <c r="R3635" i="1"/>
  <c r="Q3635" i="1"/>
  <c r="M3635" i="1"/>
  <c r="L3635" i="1"/>
  <c r="V3634" i="1"/>
  <c r="Z3634" i="1" s="1"/>
  <c r="U3634" i="1"/>
  <c r="T3634" i="1"/>
  <c r="S3634" i="1"/>
  <c r="R3634" i="1"/>
  <c r="Q3634" i="1"/>
  <c r="M3634" i="1"/>
  <c r="L3634" i="1"/>
  <c r="V3633" i="1"/>
  <c r="Z3633" i="1" s="1"/>
  <c r="U3633" i="1"/>
  <c r="T3633" i="1"/>
  <c r="S3633" i="1"/>
  <c r="R3633" i="1"/>
  <c r="Q3633" i="1"/>
  <c r="M3633" i="1"/>
  <c r="L3633" i="1"/>
  <c r="V3632" i="1"/>
  <c r="Z3632" i="1" s="1"/>
  <c r="U3632" i="1"/>
  <c r="T3632" i="1"/>
  <c r="W3632" i="1" s="1"/>
  <c r="S3632" i="1"/>
  <c r="R3632" i="1"/>
  <c r="Q3632" i="1"/>
  <c r="M3632" i="1"/>
  <c r="L3632" i="1"/>
  <c r="V3631" i="1"/>
  <c r="Z3631" i="1" s="1"/>
  <c r="U3631" i="1"/>
  <c r="T3631" i="1"/>
  <c r="W3631" i="1" s="1"/>
  <c r="S3631" i="1"/>
  <c r="R3631" i="1"/>
  <c r="Q3631" i="1"/>
  <c r="M3631" i="1"/>
  <c r="L3631" i="1"/>
  <c r="V3630" i="1"/>
  <c r="Z3630" i="1" s="1"/>
  <c r="U3630" i="1"/>
  <c r="T3630" i="1"/>
  <c r="W3630" i="1" s="1"/>
  <c r="S3630" i="1"/>
  <c r="R3630" i="1"/>
  <c r="Q3630" i="1"/>
  <c r="M3630" i="1"/>
  <c r="L3630" i="1"/>
  <c r="V3629" i="1"/>
  <c r="Z3629" i="1" s="1"/>
  <c r="U3629" i="1"/>
  <c r="T3629" i="1"/>
  <c r="W3629" i="1" s="1"/>
  <c r="S3629" i="1"/>
  <c r="R3629" i="1"/>
  <c r="Q3629" i="1"/>
  <c r="M3629" i="1"/>
  <c r="L3629" i="1"/>
  <c r="V3628" i="1"/>
  <c r="Z3628" i="1" s="1"/>
  <c r="U3628" i="1"/>
  <c r="T3628" i="1"/>
  <c r="W3628" i="1" s="1"/>
  <c r="S3628" i="1"/>
  <c r="R3628" i="1"/>
  <c r="Q3628" i="1"/>
  <c r="M3628" i="1"/>
  <c r="L3628" i="1"/>
  <c r="V3627" i="1"/>
  <c r="U3627" i="1"/>
  <c r="T3627" i="1"/>
  <c r="W3627" i="1" s="1"/>
  <c r="S3627" i="1"/>
  <c r="R3627" i="1"/>
  <c r="Q3627" i="1"/>
  <c r="M3627" i="1"/>
  <c r="L3627" i="1"/>
  <c r="V3626" i="1"/>
  <c r="Z3626" i="1" s="1"/>
  <c r="U3626" i="1"/>
  <c r="T3626" i="1"/>
  <c r="S3626" i="1"/>
  <c r="R3626" i="1"/>
  <c r="Q3626" i="1"/>
  <c r="M3626" i="1"/>
  <c r="L3626" i="1"/>
  <c r="V3625" i="1"/>
  <c r="Z3625" i="1" s="1"/>
  <c r="U3625" i="1"/>
  <c r="T3625" i="1"/>
  <c r="W3625" i="1" s="1"/>
  <c r="S3625" i="1"/>
  <c r="R3625" i="1"/>
  <c r="Q3625" i="1"/>
  <c r="M3625" i="1"/>
  <c r="L3625" i="1"/>
  <c r="V3624" i="1"/>
  <c r="Z3624" i="1" s="1"/>
  <c r="U3624" i="1"/>
  <c r="T3624" i="1"/>
  <c r="W3624" i="1" s="1"/>
  <c r="S3624" i="1"/>
  <c r="R3624" i="1"/>
  <c r="Q3624" i="1"/>
  <c r="M3624" i="1"/>
  <c r="L3624" i="1"/>
  <c r="V3623" i="1"/>
  <c r="U3623" i="1"/>
  <c r="T3623" i="1"/>
  <c r="S3623" i="1"/>
  <c r="R3623" i="1"/>
  <c r="Q3623" i="1"/>
  <c r="M3623" i="1"/>
  <c r="L3623" i="1"/>
  <c r="V3622" i="1"/>
  <c r="Z3622" i="1" s="1"/>
  <c r="U3622" i="1"/>
  <c r="T3622" i="1"/>
  <c r="W3622" i="1" s="1"/>
  <c r="S3622" i="1"/>
  <c r="R3622" i="1"/>
  <c r="Q3622" i="1"/>
  <c r="M3622" i="1"/>
  <c r="L3622" i="1"/>
  <c r="V3621" i="1"/>
  <c r="Z3621" i="1" s="1"/>
  <c r="U3621" i="1"/>
  <c r="T3621" i="1"/>
  <c r="W3621" i="1" s="1"/>
  <c r="S3621" i="1"/>
  <c r="R3621" i="1"/>
  <c r="Q3621" i="1"/>
  <c r="M3621" i="1"/>
  <c r="L3621" i="1"/>
  <c r="V3620" i="1"/>
  <c r="Z3620" i="1" s="1"/>
  <c r="U3620" i="1"/>
  <c r="T3620" i="1"/>
  <c r="W3620" i="1" s="1"/>
  <c r="S3620" i="1"/>
  <c r="R3620" i="1"/>
  <c r="Q3620" i="1"/>
  <c r="M3620" i="1"/>
  <c r="L3620" i="1"/>
  <c r="V3619" i="1"/>
  <c r="Z3619" i="1" s="1"/>
  <c r="U3619" i="1"/>
  <c r="T3619" i="1"/>
  <c r="W3619" i="1" s="1"/>
  <c r="S3619" i="1"/>
  <c r="R3619" i="1"/>
  <c r="Q3619" i="1"/>
  <c r="M3619" i="1"/>
  <c r="L3619" i="1"/>
  <c r="V3618" i="1"/>
  <c r="Z3618" i="1" s="1"/>
  <c r="U3618" i="1"/>
  <c r="T3618" i="1"/>
  <c r="W3618" i="1" s="1"/>
  <c r="S3618" i="1"/>
  <c r="R3618" i="1"/>
  <c r="Q3618" i="1"/>
  <c r="M3618" i="1"/>
  <c r="L3618" i="1"/>
  <c r="V3617" i="1"/>
  <c r="Z3617" i="1" s="1"/>
  <c r="U3617" i="1"/>
  <c r="T3617" i="1"/>
  <c r="W3617" i="1" s="1"/>
  <c r="S3617" i="1"/>
  <c r="R3617" i="1"/>
  <c r="Q3617" i="1"/>
  <c r="M3617" i="1"/>
  <c r="L3617" i="1"/>
  <c r="V3616" i="1"/>
  <c r="Z3616" i="1" s="1"/>
  <c r="U3616" i="1"/>
  <c r="T3616" i="1"/>
  <c r="S3616" i="1"/>
  <c r="R3616" i="1"/>
  <c r="Q3616" i="1"/>
  <c r="M3616" i="1"/>
  <c r="L3616" i="1"/>
  <c r="V3615" i="1"/>
  <c r="Z3615" i="1" s="1"/>
  <c r="U3615" i="1"/>
  <c r="T3615" i="1"/>
  <c r="W3615" i="1" s="1"/>
  <c r="S3615" i="1"/>
  <c r="R3615" i="1"/>
  <c r="Q3615" i="1"/>
  <c r="M3615" i="1"/>
  <c r="L3615" i="1"/>
  <c r="V3614" i="1"/>
  <c r="Z3614" i="1" s="1"/>
  <c r="U3614" i="1"/>
  <c r="T3614" i="1"/>
  <c r="W3614" i="1" s="1"/>
  <c r="S3614" i="1"/>
  <c r="R3614" i="1"/>
  <c r="Q3614" i="1"/>
  <c r="M3614" i="1"/>
  <c r="L3614" i="1"/>
  <c r="V3613" i="1"/>
  <c r="Z3613" i="1" s="1"/>
  <c r="U3613" i="1"/>
  <c r="T3613" i="1"/>
  <c r="W3613" i="1" s="1"/>
  <c r="S3613" i="1"/>
  <c r="R3613" i="1"/>
  <c r="Q3613" i="1"/>
  <c r="M3613" i="1"/>
  <c r="L3613" i="1"/>
  <c r="V3612" i="1"/>
  <c r="Z3612" i="1" s="1"/>
  <c r="U3612" i="1"/>
  <c r="T3612" i="1"/>
  <c r="W3612" i="1" s="1"/>
  <c r="S3612" i="1"/>
  <c r="R3612" i="1"/>
  <c r="Q3612" i="1"/>
  <c r="M3612" i="1"/>
  <c r="L3612" i="1"/>
  <c r="V3611" i="1"/>
  <c r="Z3611" i="1" s="1"/>
  <c r="U3611" i="1"/>
  <c r="T3611" i="1"/>
  <c r="W3611" i="1" s="1"/>
  <c r="S3611" i="1"/>
  <c r="R3611" i="1"/>
  <c r="Q3611" i="1"/>
  <c r="M3611" i="1"/>
  <c r="L3611" i="1"/>
  <c r="V3610" i="1"/>
  <c r="Z3610" i="1" s="1"/>
  <c r="U3610" i="1"/>
  <c r="T3610" i="1"/>
  <c r="W3610" i="1" s="1"/>
  <c r="S3610" i="1"/>
  <c r="R3610" i="1"/>
  <c r="Q3610" i="1"/>
  <c r="M3610" i="1"/>
  <c r="L3610" i="1"/>
  <c r="V3609" i="1"/>
  <c r="Z3609" i="1" s="1"/>
  <c r="U3609" i="1"/>
  <c r="T3609" i="1"/>
  <c r="S3609" i="1"/>
  <c r="R3609" i="1"/>
  <c r="Q3609" i="1"/>
  <c r="M3609" i="1"/>
  <c r="L3609" i="1"/>
  <c r="V3608" i="1"/>
  <c r="Z3608" i="1" s="1"/>
  <c r="U3608" i="1"/>
  <c r="T3608" i="1"/>
  <c r="W3608" i="1" s="1"/>
  <c r="S3608" i="1"/>
  <c r="R3608" i="1"/>
  <c r="Q3608" i="1"/>
  <c r="M3608" i="1"/>
  <c r="L3608" i="1"/>
  <c r="V3607" i="1"/>
  <c r="Z3607" i="1" s="1"/>
  <c r="U3607" i="1"/>
  <c r="T3607" i="1"/>
  <c r="W3607" i="1" s="1"/>
  <c r="S3607" i="1"/>
  <c r="R3607" i="1"/>
  <c r="Q3607" i="1"/>
  <c r="M3607" i="1"/>
  <c r="L3607" i="1"/>
  <c r="V3606" i="1"/>
  <c r="Z3606" i="1" s="1"/>
  <c r="U3606" i="1"/>
  <c r="T3606" i="1"/>
  <c r="S3606" i="1"/>
  <c r="R3606" i="1"/>
  <c r="Q3606" i="1"/>
  <c r="M3606" i="1"/>
  <c r="L3606" i="1"/>
  <c r="V3605" i="1"/>
  <c r="Z3605" i="1" s="1"/>
  <c r="U3605" i="1"/>
  <c r="T3605" i="1"/>
  <c r="W3605" i="1" s="1"/>
  <c r="S3605" i="1"/>
  <c r="R3605" i="1"/>
  <c r="Q3605" i="1"/>
  <c r="M3605" i="1"/>
  <c r="L3605" i="1"/>
  <c r="V3604" i="1"/>
  <c r="Z3604" i="1" s="1"/>
  <c r="U3604" i="1"/>
  <c r="T3604" i="1"/>
  <c r="W3604" i="1" s="1"/>
  <c r="S3604" i="1"/>
  <c r="R3604" i="1"/>
  <c r="Q3604" i="1"/>
  <c r="M3604" i="1"/>
  <c r="L3604" i="1"/>
  <c r="V3603" i="1"/>
  <c r="U3603" i="1"/>
  <c r="T3603" i="1"/>
  <c r="S3603" i="1"/>
  <c r="R3603" i="1"/>
  <c r="Q3603" i="1"/>
  <c r="M3603" i="1"/>
  <c r="L3603" i="1"/>
  <c r="V3602" i="1"/>
  <c r="Z3602" i="1" s="1"/>
  <c r="U3602" i="1"/>
  <c r="T3602" i="1"/>
  <c r="W3602" i="1" s="1"/>
  <c r="S3602" i="1"/>
  <c r="R3602" i="1"/>
  <c r="Q3602" i="1"/>
  <c r="M3602" i="1"/>
  <c r="L3602" i="1"/>
  <c r="V3601" i="1"/>
  <c r="Z3601" i="1" s="1"/>
  <c r="U3601" i="1"/>
  <c r="T3601" i="1"/>
  <c r="W3601" i="1" s="1"/>
  <c r="S3601" i="1"/>
  <c r="R3601" i="1"/>
  <c r="Q3601" i="1"/>
  <c r="M3601" i="1"/>
  <c r="L3601" i="1"/>
  <c r="V3600" i="1"/>
  <c r="Z3600" i="1" s="1"/>
  <c r="U3600" i="1"/>
  <c r="T3600" i="1"/>
  <c r="W3600" i="1" s="1"/>
  <c r="S3600" i="1"/>
  <c r="R3600" i="1"/>
  <c r="Q3600" i="1"/>
  <c r="M3600" i="1"/>
  <c r="L3600" i="1"/>
  <c r="V3599" i="1"/>
  <c r="Z3599" i="1" s="1"/>
  <c r="U3599" i="1"/>
  <c r="T3599" i="1"/>
  <c r="W3599" i="1" s="1"/>
  <c r="S3599" i="1"/>
  <c r="R3599" i="1"/>
  <c r="Q3599" i="1"/>
  <c r="M3599" i="1"/>
  <c r="L3599" i="1"/>
  <c r="V3598" i="1"/>
  <c r="Z3598" i="1" s="1"/>
  <c r="U3598" i="1"/>
  <c r="T3598" i="1"/>
  <c r="W3598" i="1" s="1"/>
  <c r="S3598" i="1"/>
  <c r="R3598" i="1"/>
  <c r="Q3598" i="1"/>
  <c r="M3598" i="1"/>
  <c r="L3598" i="1"/>
  <c r="V3597" i="1"/>
  <c r="Z3597" i="1" s="1"/>
  <c r="U3597" i="1"/>
  <c r="T3597" i="1"/>
  <c r="W3597" i="1" s="1"/>
  <c r="S3597" i="1"/>
  <c r="R3597" i="1"/>
  <c r="Q3597" i="1"/>
  <c r="M3597" i="1"/>
  <c r="L3597" i="1"/>
  <c r="V3596" i="1"/>
  <c r="Z3596" i="1" s="1"/>
  <c r="U3596" i="1"/>
  <c r="T3596" i="1"/>
  <c r="S3596" i="1"/>
  <c r="R3596" i="1"/>
  <c r="Q3596" i="1"/>
  <c r="M3596" i="1"/>
  <c r="L3596" i="1"/>
  <c r="V3595" i="1"/>
  <c r="Z3595" i="1" s="1"/>
  <c r="U3595" i="1"/>
  <c r="T3595" i="1"/>
  <c r="W3595" i="1" s="1"/>
  <c r="S3595" i="1"/>
  <c r="R3595" i="1"/>
  <c r="Q3595" i="1"/>
  <c r="M3595" i="1"/>
  <c r="L3595" i="1"/>
  <c r="V3594" i="1"/>
  <c r="Z3594" i="1" s="1"/>
  <c r="U3594" i="1"/>
  <c r="T3594" i="1"/>
  <c r="W3594" i="1" s="1"/>
  <c r="S3594" i="1"/>
  <c r="R3594" i="1"/>
  <c r="Q3594" i="1"/>
  <c r="M3594" i="1"/>
  <c r="L3594" i="1"/>
  <c r="V3593" i="1"/>
  <c r="Z3593" i="1" s="1"/>
  <c r="U3593" i="1"/>
  <c r="T3593" i="1"/>
  <c r="S3593" i="1"/>
  <c r="R3593" i="1"/>
  <c r="Q3593" i="1"/>
  <c r="M3593" i="1"/>
  <c r="L3593" i="1"/>
  <c r="V3592" i="1"/>
  <c r="Z3592" i="1" s="1"/>
  <c r="U3592" i="1"/>
  <c r="T3592" i="1"/>
  <c r="W3592" i="1" s="1"/>
  <c r="S3592" i="1"/>
  <c r="R3592" i="1"/>
  <c r="Q3592" i="1"/>
  <c r="M3592" i="1"/>
  <c r="L3592" i="1"/>
  <c r="V3591" i="1"/>
  <c r="U3591" i="1"/>
  <c r="T3591" i="1"/>
  <c r="W3591" i="1" s="1"/>
  <c r="S3591" i="1"/>
  <c r="R3591" i="1"/>
  <c r="Q3591" i="1"/>
  <c r="M3591" i="1"/>
  <c r="L3591" i="1"/>
  <c r="V3590" i="1"/>
  <c r="U3590" i="1"/>
  <c r="T3590" i="1"/>
  <c r="W3590" i="1" s="1"/>
  <c r="S3590" i="1"/>
  <c r="R3590" i="1"/>
  <c r="Q3590" i="1"/>
  <c r="M3590" i="1"/>
  <c r="L3590" i="1"/>
  <c r="V3589" i="1"/>
  <c r="Z3589" i="1" s="1"/>
  <c r="U3589" i="1"/>
  <c r="T3589" i="1"/>
  <c r="W3589" i="1" s="1"/>
  <c r="S3589" i="1"/>
  <c r="R3589" i="1"/>
  <c r="Q3589" i="1"/>
  <c r="M3589" i="1"/>
  <c r="L3589" i="1"/>
  <c r="V3588" i="1"/>
  <c r="Z3588" i="1" s="1"/>
  <c r="U3588" i="1"/>
  <c r="T3588" i="1"/>
  <c r="W3588" i="1" s="1"/>
  <c r="S3588" i="1"/>
  <c r="R3588" i="1"/>
  <c r="Q3588" i="1"/>
  <c r="M3588" i="1"/>
  <c r="L3588" i="1"/>
  <c r="V3587" i="1"/>
  <c r="Z3587" i="1" s="1"/>
  <c r="U3587" i="1"/>
  <c r="T3587" i="1"/>
  <c r="W3587" i="1" s="1"/>
  <c r="S3587" i="1"/>
  <c r="R3587" i="1"/>
  <c r="Q3587" i="1"/>
  <c r="M3587" i="1"/>
  <c r="L3587" i="1"/>
  <c r="V3586" i="1"/>
  <c r="Z3586" i="1" s="1"/>
  <c r="U3586" i="1"/>
  <c r="T3586" i="1"/>
  <c r="S3586" i="1"/>
  <c r="R3586" i="1"/>
  <c r="Q3586" i="1"/>
  <c r="M3586" i="1"/>
  <c r="L3586" i="1"/>
  <c r="V3585" i="1"/>
  <c r="Z3585" i="1" s="1"/>
  <c r="U3585" i="1"/>
  <c r="T3585" i="1"/>
  <c r="W3585" i="1" s="1"/>
  <c r="S3585" i="1"/>
  <c r="R3585" i="1"/>
  <c r="Q3585" i="1"/>
  <c r="M3585" i="1"/>
  <c r="L3585" i="1"/>
  <c r="V3584" i="1"/>
  <c r="Z3584" i="1" s="1"/>
  <c r="U3584" i="1"/>
  <c r="T3584" i="1"/>
  <c r="W3584" i="1" s="1"/>
  <c r="S3584" i="1"/>
  <c r="R3584" i="1"/>
  <c r="Q3584" i="1"/>
  <c r="M3584" i="1"/>
  <c r="L3584" i="1"/>
  <c r="V3583" i="1"/>
  <c r="U3583" i="1"/>
  <c r="T3583" i="1"/>
  <c r="S3583" i="1"/>
  <c r="R3583" i="1"/>
  <c r="Q3583" i="1"/>
  <c r="M3583" i="1"/>
  <c r="L3583" i="1"/>
  <c r="V3582" i="1"/>
  <c r="Z3582" i="1" s="1"/>
  <c r="U3582" i="1"/>
  <c r="T3582" i="1"/>
  <c r="W3582" i="1" s="1"/>
  <c r="S3582" i="1"/>
  <c r="R3582" i="1"/>
  <c r="Q3582" i="1"/>
  <c r="M3582" i="1"/>
  <c r="L3582" i="1"/>
  <c r="V3581" i="1"/>
  <c r="Z3581" i="1" s="1"/>
  <c r="U3581" i="1"/>
  <c r="T3581" i="1"/>
  <c r="W3581" i="1" s="1"/>
  <c r="S3581" i="1"/>
  <c r="R3581" i="1"/>
  <c r="Q3581" i="1"/>
  <c r="M3581" i="1"/>
  <c r="L3581" i="1"/>
  <c r="V3580" i="1"/>
  <c r="U3580" i="1"/>
  <c r="T3580" i="1"/>
  <c r="W3580" i="1" s="1"/>
  <c r="S3580" i="1"/>
  <c r="R3580" i="1"/>
  <c r="Q3580" i="1"/>
  <c r="M3580" i="1"/>
  <c r="L3580" i="1"/>
  <c r="V3579" i="1"/>
  <c r="Z3579" i="1" s="1"/>
  <c r="U3579" i="1"/>
  <c r="T3579" i="1"/>
  <c r="W3579" i="1" s="1"/>
  <c r="S3579" i="1"/>
  <c r="R3579" i="1"/>
  <c r="Q3579" i="1"/>
  <c r="M3579" i="1"/>
  <c r="L3579" i="1"/>
  <c r="V3578" i="1"/>
  <c r="Z3578" i="1" s="1"/>
  <c r="U3578" i="1"/>
  <c r="T3578" i="1"/>
  <c r="W3578" i="1" s="1"/>
  <c r="S3578" i="1"/>
  <c r="R3578" i="1"/>
  <c r="Q3578" i="1"/>
  <c r="M3578" i="1"/>
  <c r="L3578" i="1"/>
  <c r="V3577" i="1"/>
  <c r="Z3577" i="1" s="1"/>
  <c r="U3577" i="1"/>
  <c r="T3577" i="1"/>
  <c r="W3577" i="1" s="1"/>
  <c r="S3577" i="1"/>
  <c r="R3577" i="1"/>
  <c r="Q3577" i="1"/>
  <c r="M3577" i="1"/>
  <c r="L3577" i="1"/>
  <c r="V3576" i="1"/>
  <c r="Z3576" i="1" s="1"/>
  <c r="U3576" i="1"/>
  <c r="T3576" i="1"/>
  <c r="S3576" i="1"/>
  <c r="R3576" i="1"/>
  <c r="Q3576" i="1"/>
  <c r="M3576" i="1"/>
  <c r="L3576" i="1"/>
  <c r="V3575" i="1"/>
  <c r="Z3575" i="1" s="1"/>
  <c r="U3575" i="1"/>
  <c r="T3575" i="1"/>
  <c r="W3575" i="1" s="1"/>
  <c r="S3575" i="1"/>
  <c r="R3575" i="1"/>
  <c r="Q3575" i="1"/>
  <c r="M3575" i="1"/>
  <c r="L3575" i="1"/>
  <c r="V3574" i="1"/>
  <c r="Z3574" i="1" s="1"/>
  <c r="U3574" i="1"/>
  <c r="T3574" i="1"/>
  <c r="W3574" i="1" s="1"/>
  <c r="S3574" i="1"/>
  <c r="R3574" i="1"/>
  <c r="Q3574" i="1"/>
  <c r="M3574" i="1"/>
  <c r="L3574" i="1"/>
  <c r="V3573" i="1"/>
  <c r="Z3573" i="1" s="1"/>
  <c r="U3573" i="1"/>
  <c r="T3573" i="1"/>
  <c r="S3573" i="1"/>
  <c r="R3573" i="1"/>
  <c r="Q3573" i="1"/>
  <c r="M3573" i="1"/>
  <c r="L3573" i="1"/>
  <c r="V3572" i="1"/>
  <c r="Z3572" i="1" s="1"/>
  <c r="U3572" i="1"/>
  <c r="T3572" i="1"/>
  <c r="W3572" i="1" s="1"/>
  <c r="S3572" i="1"/>
  <c r="R3572" i="1"/>
  <c r="Q3572" i="1"/>
  <c r="M3572" i="1"/>
  <c r="L3572" i="1"/>
  <c r="V3571" i="1"/>
  <c r="Z3571" i="1" s="1"/>
  <c r="U3571" i="1"/>
  <c r="T3571" i="1"/>
  <c r="W3571" i="1" s="1"/>
  <c r="S3571" i="1"/>
  <c r="R3571" i="1"/>
  <c r="Q3571" i="1"/>
  <c r="M3571" i="1"/>
  <c r="L3571" i="1"/>
  <c r="V3570" i="1"/>
  <c r="U3570" i="1"/>
  <c r="T3570" i="1"/>
  <c r="W3570" i="1" s="1"/>
  <c r="S3570" i="1"/>
  <c r="R3570" i="1"/>
  <c r="Q3570" i="1"/>
  <c r="M3570" i="1"/>
  <c r="L3570" i="1"/>
  <c r="V3569" i="1"/>
  <c r="Z3569" i="1" s="1"/>
  <c r="U3569" i="1"/>
  <c r="T3569" i="1"/>
  <c r="W3569" i="1" s="1"/>
  <c r="S3569" i="1"/>
  <c r="R3569" i="1"/>
  <c r="Q3569" i="1"/>
  <c r="M3569" i="1"/>
  <c r="L3569" i="1"/>
  <c r="V3568" i="1"/>
  <c r="Z3568" i="1" s="1"/>
  <c r="U3568" i="1"/>
  <c r="T3568" i="1"/>
  <c r="W3568" i="1" s="1"/>
  <c r="S3568" i="1"/>
  <c r="R3568" i="1"/>
  <c r="Q3568" i="1"/>
  <c r="M3568" i="1"/>
  <c r="L3568" i="1"/>
  <c r="V3567" i="1"/>
  <c r="Z3567" i="1" s="1"/>
  <c r="U3567" i="1"/>
  <c r="T3567" i="1"/>
  <c r="S3567" i="1"/>
  <c r="R3567" i="1"/>
  <c r="Q3567" i="1"/>
  <c r="M3567" i="1"/>
  <c r="L3567" i="1"/>
  <c r="V3566" i="1"/>
  <c r="Z3566" i="1" s="1"/>
  <c r="U3566" i="1"/>
  <c r="T3566" i="1"/>
  <c r="S3566" i="1"/>
  <c r="R3566" i="1"/>
  <c r="Q3566" i="1"/>
  <c r="M3566" i="1"/>
  <c r="L3566" i="1"/>
  <c r="V3565" i="1"/>
  <c r="Z3565" i="1" s="1"/>
  <c r="U3565" i="1"/>
  <c r="T3565" i="1"/>
  <c r="W3565" i="1" s="1"/>
  <c r="S3565" i="1"/>
  <c r="R3565" i="1"/>
  <c r="Q3565" i="1"/>
  <c r="M3565" i="1"/>
  <c r="L3565" i="1"/>
  <c r="V3564" i="1"/>
  <c r="Z3564" i="1" s="1"/>
  <c r="U3564" i="1"/>
  <c r="T3564" i="1"/>
  <c r="W3564" i="1" s="1"/>
  <c r="S3564" i="1"/>
  <c r="R3564" i="1"/>
  <c r="Q3564" i="1"/>
  <c r="M3564" i="1"/>
  <c r="L3564" i="1"/>
  <c r="V3563" i="1"/>
  <c r="U3563" i="1"/>
  <c r="T3563" i="1"/>
  <c r="S3563" i="1"/>
  <c r="R3563" i="1"/>
  <c r="Q3563" i="1"/>
  <c r="M3563" i="1"/>
  <c r="L3563" i="1"/>
  <c r="V3562" i="1"/>
  <c r="Z3562" i="1" s="1"/>
  <c r="U3562" i="1"/>
  <c r="T3562" i="1"/>
  <c r="W3562" i="1" s="1"/>
  <c r="S3562" i="1"/>
  <c r="R3562" i="1"/>
  <c r="Q3562" i="1"/>
  <c r="M3562" i="1"/>
  <c r="L3562" i="1"/>
  <c r="V3561" i="1"/>
  <c r="Z3561" i="1" s="1"/>
  <c r="U3561" i="1"/>
  <c r="T3561" i="1"/>
  <c r="W3561" i="1" s="1"/>
  <c r="S3561" i="1"/>
  <c r="R3561" i="1"/>
  <c r="Q3561" i="1"/>
  <c r="M3561" i="1"/>
  <c r="L3561" i="1"/>
  <c r="V3560" i="1"/>
  <c r="Z3560" i="1" s="1"/>
  <c r="U3560" i="1"/>
  <c r="T3560" i="1"/>
  <c r="W3560" i="1" s="1"/>
  <c r="S3560" i="1"/>
  <c r="R3560" i="1"/>
  <c r="Q3560" i="1"/>
  <c r="M3560" i="1"/>
  <c r="L3560" i="1"/>
  <c r="V3559" i="1"/>
  <c r="Z3559" i="1" s="1"/>
  <c r="U3559" i="1"/>
  <c r="T3559" i="1"/>
  <c r="S3559" i="1"/>
  <c r="R3559" i="1"/>
  <c r="Q3559" i="1"/>
  <c r="M3559" i="1"/>
  <c r="L3559" i="1"/>
  <c r="V3558" i="1"/>
  <c r="Z3558" i="1" s="1"/>
  <c r="U3558" i="1"/>
  <c r="T3558" i="1"/>
  <c r="W3558" i="1" s="1"/>
  <c r="S3558" i="1"/>
  <c r="R3558" i="1"/>
  <c r="Q3558" i="1"/>
  <c r="M3558" i="1"/>
  <c r="L3558" i="1"/>
  <c r="V3557" i="1"/>
  <c r="Z3557" i="1" s="1"/>
  <c r="U3557" i="1"/>
  <c r="T3557" i="1"/>
  <c r="S3557" i="1"/>
  <c r="R3557" i="1"/>
  <c r="Q3557" i="1"/>
  <c r="M3557" i="1"/>
  <c r="L3557" i="1"/>
  <c r="V3556" i="1"/>
  <c r="Z3556" i="1" s="1"/>
  <c r="U3556" i="1"/>
  <c r="T3556" i="1"/>
  <c r="S3556" i="1"/>
  <c r="R3556" i="1"/>
  <c r="Q3556" i="1"/>
  <c r="M3556" i="1"/>
  <c r="L3556" i="1"/>
  <c r="V3555" i="1"/>
  <c r="Z3555" i="1" s="1"/>
  <c r="U3555" i="1"/>
  <c r="T3555" i="1"/>
  <c r="W3555" i="1" s="1"/>
  <c r="S3555" i="1"/>
  <c r="R3555" i="1"/>
  <c r="Q3555" i="1"/>
  <c r="M3555" i="1"/>
  <c r="L3555" i="1"/>
  <c r="V3554" i="1"/>
  <c r="U3554" i="1"/>
  <c r="T3554" i="1"/>
  <c r="W3554" i="1" s="1"/>
  <c r="S3554" i="1"/>
  <c r="R3554" i="1"/>
  <c r="Q3554" i="1"/>
  <c r="M3554" i="1"/>
  <c r="L3554" i="1"/>
  <c r="V3553" i="1"/>
  <c r="Z3553" i="1" s="1"/>
  <c r="U3553" i="1"/>
  <c r="T3553" i="1"/>
  <c r="S3553" i="1"/>
  <c r="R3553" i="1"/>
  <c r="Q3553" i="1"/>
  <c r="M3553" i="1"/>
  <c r="L3553" i="1"/>
  <c r="V3552" i="1"/>
  <c r="Z3552" i="1" s="1"/>
  <c r="U3552" i="1"/>
  <c r="T3552" i="1"/>
  <c r="W3552" i="1" s="1"/>
  <c r="S3552" i="1"/>
  <c r="R3552" i="1"/>
  <c r="Q3552" i="1"/>
  <c r="M3552" i="1"/>
  <c r="L3552" i="1"/>
  <c r="V3551" i="1"/>
  <c r="Z3551" i="1" s="1"/>
  <c r="U3551" i="1"/>
  <c r="T3551" i="1"/>
  <c r="W3551" i="1" s="1"/>
  <c r="S3551" i="1"/>
  <c r="R3551" i="1"/>
  <c r="Q3551" i="1"/>
  <c r="M3551" i="1"/>
  <c r="L3551" i="1"/>
  <c r="V3550" i="1"/>
  <c r="Z3550" i="1" s="1"/>
  <c r="U3550" i="1"/>
  <c r="T3550" i="1"/>
  <c r="W3550" i="1" s="1"/>
  <c r="S3550" i="1"/>
  <c r="R3550" i="1"/>
  <c r="Q3550" i="1"/>
  <c r="M3550" i="1"/>
  <c r="L3550" i="1"/>
  <c r="V3549" i="1"/>
  <c r="Z3549" i="1" s="1"/>
  <c r="U3549" i="1"/>
  <c r="T3549" i="1"/>
  <c r="S3549" i="1"/>
  <c r="R3549" i="1"/>
  <c r="Q3549" i="1"/>
  <c r="M3549" i="1"/>
  <c r="L3549" i="1"/>
  <c r="V3548" i="1"/>
  <c r="Z3548" i="1" s="1"/>
  <c r="U3548" i="1"/>
  <c r="T3548" i="1"/>
  <c r="W3548" i="1" s="1"/>
  <c r="S3548" i="1"/>
  <c r="R3548" i="1"/>
  <c r="Q3548" i="1"/>
  <c r="M3548" i="1"/>
  <c r="L3548" i="1"/>
  <c r="V3547" i="1"/>
  <c r="Z3547" i="1" s="1"/>
  <c r="U3547" i="1"/>
  <c r="T3547" i="1"/>
  <c r="W3547" i="1" s="1"/>
  <c r="S3547" i="1"/>
  <c r="R3547" i="1"/>
  <c r="Q3547" i="1"/>
  <c r="M3547" i="1"/>
  <c r="L3547" i="1"/>
  <c r="V3546" i="1"/>
  <c r="U3546" i="1"/>
  <c r="T3546" i="1"/>
  <c r="S3546" i="1"/>
  <c r="R3546" i="1"/>
  <c r="Q3546" i="1"/>
  <c r="M3546" i="1"/>
  <c r="L3546" i="1"/>
  <c r="V3545" i="1"/>
  <c r="Z3545" i="1" s="1"/>
  <c r="U3545" i="1"/>
  <c r="T3545" i="1"/>
  <c r="W3545" i="1" s="1"/>
  <c r="S3545" i="1"/>
  <c r="R3545" i="1"/>
  <c r="Q3545" i="1"/>
  <c r="M3545" i="1"/>
  <c r="L3545" i="1"/>
  <c r="V3544" i="1"/>
  <c r="Z3544" i="1" s="1"/>
  <c r="U3544" i="1"/>
  <c r="T3544" i="1"/>
  <c r="W3544" i="1" s="1"/>
  <c r="S3544" i="1"/>
  <c r="R3544" i="1"/>
  <c r="Q3544" i="1"/>
  <c r="M3544" i="1"/>
  <c r="L3544" i="1"/>
  <c r="V3543" i="1"/>
  <c r="U3543" i="1"/>
  <c r="T3543" i="1"/>
  <c r="W3543" i="1" s="1"/>
  <c r="S3543" i="1"/>
  <c r="R3543" i="1"/>
  <c r="Q3543" i="1"/>
  <c r="M3543" i="1"/>
  <c r="L3543" i="1"/>
  <c r="V3542" i="1"/>
  <c r="Z3542" i="1" s="1"/>
  <c r="U3542" i="1"/>
  <c r="T3542" i="1"/>
  <c r="S3542" i="1"/>
  <c r="R3542" i="1"/>
  <c r="Q3542" i="1"/>
  <c r="M3542" i="1"/>
  <c r="L3542" i="1"/>
  <c r="V3541" i="1"/>
  <c r="Z3541" i="1" s="1"/>
  <c r="U3541" i="1"/>
  <c r="T3541" i="1"/>
  <c r="W3541" i="1" s="1"/>
  <c r="S3541" i="1"/>
  <c r="R3541" i="1"/>
  <c r="Q3541" i="1"/>
  <c r="M3541" i="1"/>
  <c r="L3541" i="1"/>
  <c r="V3540" i="1"/>
  <c r="Z3540" i="1" s="1"/>
  <c r="U3540" i="1"/>
  <c r="T3540" i="1"/>
  <c r="W3540" i="1" s="1"/>
  <c r="S3540" i="1"/>
  <c r="R3540" i="1"/>
  <c r="Q3540" i="1"/>
  <c r="M3540" i="1"/>
  <c r="L3540" i="1"/>
  <c r="V3539" i="1"/>
  <c r="U3539" i="1"/>
  <c r="T3539" i="1"/>
  <c r="W3539" i="1" s="1"/>
  <c r="S3539" i="1"/>
  <c r="R3539" i="1"/>
  <c r="Q3539" i="1"/>
  <c r="M3539" i="1"/>
  <c r="L3539" i="1"/>
  <c r="V3538" i="1"/>
  <c r="Z3538" i="1" s="1"/>
  <c r="U3538" i="1"/>
  <c r="T3538" i="1"/>
  <c r="W3538" i="1" s="1"/>
  <c r="S3538" i="1"/>
  <c r="R3538" i="1"/>
  <c r="Q3538" i="1"/>
  <c r="M3538" i="1"/>
  <c r="L3538" i="1"/>
  <c r="V3537" i="1"/>
  <c r="Z3537" i="1" s="1"/>
  <c r="U3537" i="1"/>
  <c r="T3537" i="1"/>
  <c r="W3537" i="1" s="1"/>
  <c r="S3537" i="1"/>
  <c r="R3537" i="1"/>
  <c r="Q3537" i="1"/>
  <c r="M3537" i="1"/>
  <c r="L3537" i="1"/>
  <c r="V3536" i="1"/>
  <c r="Z3536" i="1" s="1"/>
  <c r="U3536" i="1"/>
  <c r="T3536" i="1"/>
  <c r="W3536" i="1" s="1"/>
  <c r="S3536" i="1"/>
  <c r="R3536" i="1"/>
  <c r="Q3536" i="1"/>
  <c r="M3536" i="1"/>
  <c r="L3536" i="1"/>
  <c r="V3535" i="1"/>
  <c r="Z3535" i="1" s="1"/>
  <c r="U3535" i="1"/>
  <c r="T3535" i="1"/>
  <c r="S3535" i="1"/>
  <c r="R3535" i="1"/>
  <c r="Q3535" i="1"/>
  <c r="M3535" i="1"/>
  <c r="L3535" i="1"/>
  <c r="V3534" i="1"/>
  <c r="Z3534" i="1" s="1"/>
  <c r="U3534" i="1"/>
  <c r="T3534" i="1"/>
  <c r="W3534" i="1" s="1"/>
  <c r="S3534" i="1"/>
  <c r="R3534" i="1"/>
  <c r="Q3534" i="1"/>
  <c r="M3534" i="1"/>
  <c r="L3534" i="1"/>
  <c r="V3533" i="1"/>
  <c r="Z3533" i="1" s="1"/>
  <c r="U3533" i="1"/>
  <c r="T3533" i="1"/>
  <c r="W3533" i="1" s="1"/>
  <c r="S3533" i="1"/>
  <c r="R3533" i="1"/>
  <c r="Q3533" i="1"/>
  <c r="M3533" i="1"/>
  <c r="L3533" i="1"/>
  <c r="V3532" i="1"/>
  <c r="U3532" i="1"/>
  <c r="T3532" i="1"/>
  <c r="W3532" i="1" s="1"/>
  <c r="S3532" i="1"/>
  <c r="R3532" i="1"/>
  <c r="Q3532" i="1"/>
  <c r="M3532" i="1"/>
  <c r="L3532" i="1"/>
  <c r="V3531" i="1"/>
  <c r="Z3531" i="1" s="1"/>
  <c r="U3531" i="1"/>
  <c r="T3531" i="1"/>
  <c r="W3531" i="1" s="1"/>
  <c r="S3531" i="1"/>
  <c r="R3531" i="1"/>
  <c r="Q3531" i="1"/>
  <c r="M3531" i="1"/>
  <c r="L3531" i="1"/>
  <c r="V3530" i="1"/>
  <c r="Z3530" i="1" s="1"/>
  <c r="U3530" i="1"/>
  <c r="T3530" i="1"/>
  <c r="W3530" i="1" s="1"/>
  <c r="S3530" i="1"/>
  <c r="R3530" i="1"/>
  <c r="Q3530" i="1"/>
  <c r="M3530" i="1"/>
  <c r="L3530" i="1"/>
  <c r="V3529" i="1"/>
  <c r="Z3529" i="1" s="1"/>
  <c r="U3529" i="1"/>
  <c r="T3529" i="1"/>
  <c r="W3529" i="1" s="1"/>
  <c r="S3529" i="1"/>
  <c r="R3529" i="1"/>
  <c r="Q3529" i="1"/>
  <c r="M3529" i="1"/>
  <c r="L3529" i="1"/>
  <c r="V3528" i="1"/>
  <c r="Z3528" i="1" s="1"/>
  <c r="U3528" i="1"/>
  <c r="T3528" i="1"/>
  <c r="S3528" i="1"/>
  <c r="R3528" i="1"/>
  <c r="Q3528" i="1"/>
  <c r="M3528" i="1"/>
  <c r="L3528" i="1"/>
  <c r="V3527" i="1"/>
  <c r="Z3527" i="1" s="1"/>
  <c r="U3527" i="1"/>
  <c r="T3527" i="1"/>
  <c r="W3527" i="1" s="1"/>
  <c r="S3527" i="1"/>
  <c r="R3527" i="1"/>
  <c r="Q3527" i="1"/>
  <c r="M3527" i="1"/>
  <c r="L3527" i="1"/>
  <c r="V3526" i="1"/>
  <c r="U3526" i="1"/>
  <c r="T3526" i="1"/>
  <c r="W3526" i="1" s="1"/>
  <c r="S3526" i="1"/>
  <c r="R3526" i="1"/>
  <c r="Q3526" i="1"/>
  <c r="M3526" i="1"/>
  <c r="L3526" i="1"/>
  <c r="V3525" i="1"/>
  <c r="Z3525" i="1" s="1"/>
  <c r="U3525" i="1"/>
  <c r="T3525" i="1"/>
  <c r="W3525" i="1" s="1"/>
  <c r="S3525" i="1"/>
  <c r="R3525" i="1"/>
  <c r="Q3525" i="1"/>
  <c r="M3525" i="1"/>
  <c r="L3525" i="1"/>
  <c r="V3524" i="1"/>
  <c r="Z3524" i="1" s="1"/>
  <c r="U3524" i="1"/>
  <c r="T3524" i="1"/>
  <c r="W3524" i="1" s="1"/>
  <c r="S3524" i="1"/>
  <c r="R3524" i="1"/>
  <c r="Q3524" i="1"/>
  <c r="M3524" i="1"/>
  <c r="L3524" i="1"/>
  <c r="V3523" i="1"/>
  <c r="Z3523" i="1" s="1"/>
  <c r="U3523" i="1"/>
  <c r="T3523" i="1"/>
  <c r="W3523" i="1" s="1"/>
  <c r="S3523" i="1"/>
  <c r="R3523" i="1"/>
  <c r="Q3523" i="1"/>
  <c r="M3523" i="1"/>
  <c r="L3523" i="1"/>
  <c r="V3522" i="1"/>
  <c r="Z3522" i="1" s="1"/>
  <c r="U3522" i="1"/>
  <c r="T3522" i="1"/>
  <c r="S3522" i="1"/>
  <c r="R3522" i="1"/>
  <c r="Q3522" i="1"/>
  <c r="M3522" i="1"/>
  <c r="L3522" i="1"/>
  <c r="V3521" i="1"/>
  <c r="Z3521" i="1" s="1"/>
  <c r="U3521" i="1"/>
  <c r="T3521" i="1"/>
  <c r="S3521" i="1"/>
  <c r="R3521" i="1"/>
  <c r="Q3521" i="1"/>
  <c r="M3521" i="1"/>
  <c r="L3521" i="1"/>
  <c r="Z3520" i="1"/>
  <c r="V3520" i="1"/>
  <c r="U3520" i="1"/>
  <c r="T3520" i="1"/>
  <c r="W3520" i="1" s="1"/>
  <c r="S3520" i="1"/>
  <c r="R3520" i="1"/>
  <c r="Q3520" i="1"/>
  <c r="M3520" i="1"/>
  <c r="L3520" i="1"/>
  <c r="V3519" i="1"/>
  <c r="Z3519" i="1" s="1"/>
  <c r="U3519" i="1"/>
  <c r="T3519" i="1"/>
  <c r="W3519" i="1" s="1"/>
  <c r="S3519" i="1"/>
  <c r="R3519" i="1"/>
  <c r="Q3519" i="1"/>
  <c r="M3519" i="1"/>
  <c r="L3519" i="1"/>
  <c r="V3518" i="1"/>
  <c r="U3518" i="1"/>
  <c r="T3518" i="1"/>
  <c r="W3518" i="1" s="1"/>
  <c r="S3518" i="1"/>
  <c r="R3518" i="1"/>
  <c r="Q3518" i="1"/>
  <c r="M3518" i="1"/>
  <c r="L3518" i="1"/>
  <c r="V3517" i="1"/>
  <c r="Z3517" i="1" s="1"/>
  <c r="U3517" i="1"/>
  <c r="T3517" i="1"/>
  <c r="W3517" i="1" s="1"/>
  <c r="S3517" i="1"/>
  <c r="R3517" i="1"/>
  <c r="Q3517" i="1"/>
  <c r="M3517" i="1"/>
  <c r="L3517" i="1"/>
  <c r="V3516" i="1"/>
  <c r="Z3516" i="1" s="1"/>
  <c r="U3516" i="1"/>
  <c r="T3516" i="1"/>
  <c r="W3516" i="1" s="1"/>
  <c r="S3516" i="1"/>
  <c r="R3516" i="1"/>
  <c r="Q3516" i="1"/>
  <c r="M3516" i="1"/>
  <c r="L3516" i="1"/>
  <c r="V3515" i="1"/>
  <c r="Z3515" i="1" s="1"/>
  <c r="U3515" i="1"/>
  <c r="T3515" i="1"/>
  <c r="W3515" i="1" s="1"/>
  <c r="S3515" i="1"/>
  <c r="R3515" i="1"/>
  <c r="Q3515" i="1"/>
  <c r="M3515" i="1"/>
  <c r="L3515" i="1"/>
  <c r="V3514" i="1"/>
  <c r="U3514" i="1"/>
  <c r="T3514" i="1"/>
  <c r="S3514" i="1"/>
  <c r="R3514" i="1"/>
  <c r="Q3514" i="1"/>
  <c r="M3514" i="1"/>
  <c r="L3514" i="1"/>
  <c r="V3513" i="1"/>
  <c r="Z3513" i="1" s="1"/>
  <c r="U3513" i="1"/>
  <c r="T3513" i="1"/>
  <c r="W3513" i="1" s="1"/>
  <c r="S3513" i="1"/>
  <c r="R3513" i="1"/>
  <c r="Q3513" i="1"/>
  <c r="M3513" i="1"/>
  <c r="L3513" i="1"/>
  <c r="V3512" i="1"/>
  <c r="Z3512" i="1" s="1"/>
  <c r="U3512" i="1"/>
  <c r="T3512" i="1"/>
  <c r="W3512" i="1" s="1"/>
  <c r="S3512" i="1"/>
  <c r="R3512" i="1"/>
  <c r="Q3512" i="1"/>
  <c r="M3512" i="1"/>
  <c r="L3512" i="1"/>
  <c r="V3511" i="1"/>
  <c r="Z3511" i="1" s="1"/>
  <c r="U3511" i="1"/>
  <c r="T3511" i="1"/>
  <c r="W3511" i="1" s="1"/>
  <c r="S3511" i="1"/>
  <c r="R3511" i="1"/>
  <c r="Q3511" i="1"/>
  <c r="M3511" i="1"/>
  <c r="L3511" i="1"/>
  <c r="V3510" i="1"/>
  <c r="Z3510" i="1" s="1"/>
  <c r="U3510" i="1"/>
  <c r="T3510" i="1"/>
  <c r="S3510" i="1"/>
  <c r="R3510" i="1"/>
  <c r="Q3510" i="1"/>
  <c r="M3510" i="1"/>
  <c r="L3510" i="1"/>
  <c r="V3509" i="1"/>
  <c r="Z3509" i="1" s="1"/>
  <c r="U3509" i="1"/>
  <c r="T3509" i="1"/>
  <c r="W3509" i="1" s="1"/>
  <c r="S3509" i="1"/>
  <c r="R3509" i="1"/>
  <c r="Q3509" i="1"/>
  <c r="M3509" i="1"/>
  <c r="L3509" i="1"/>
  <c r="V3508" i="1"/>
  <c r="Z3508" i="1" s="1"/>
  <c r="U3508" i="1"/>
  <c r="T3508" i="1"/>
  <c r="W3508" i="1" s="1"/>
  <c r="S3508" i="1"/>
  <c r="R3508" i="1"/>
  <c r="Q3508" i="1"/>
  <c r="M3508" i="1"/>
  <c r="L3508" i="1"/>
  <c r="V3507" i="1"/>
  <c r="U3507" i="1"/>
  <c r="T3507" i="1"/>
  <c r="W3507" i="1" s="1"/>
  <c r="S3507" i="1"/>
  <c r="R3507" i="1"/>
  <c r="Q3507" i="1"/>
  <c r="M3507" i="1"/>
  <c r="L3507" i="1"/>
  <c r="V3506" i="1"/>
  <c r="Z3506" i="1" s="1"/>
  <c r="U3506" i="1"/>
  <c r="T3506" i="1"/>
  <c r="W3506" i="1" s="1"/>
  <c r="S3506" i="1"/>
  <c r="R3506" i="1"/>
  <c r="Q3506" i="1"/>
  <c r="M3506" i="1"/>
  <c r="L3506" i="1"/>
  <c r="V3505" i="1"/>
  <c r="Z3505" i="1" s="1"/>
  <c r="U3505" i="1"/>
  <c r="T3505" i="1"/>
  <c r="W3505" i="1" s="1"/>
  <c r="S3505" i="1"/>
  <c r="R3505" i="1"/>
  <c r="Q3505" i="1"/>
  <c r="M3505" i="1"/>
  <c r="L3505" i="1"/>
  <c r="V3504" i="1"/>
  <c r="Z3504" i="1" s="1"/>
  <c r="U3504" i="1"/>
  <c r="T3504" i="1"/>
  <c r="W3504" i="1" s="1"/>
  <c r="S3504" i="1"/>
  <c r="R3504" i="1"/>
  <c r="Q3504" i="1"/>
  <c r="M3504" i="1"/>
  <c r="L3504" i="1"/>
  <c r="V3503" i="1"/>
  <c r="U3503" i="1"/>
  <c r="T3503" i="1"/>
  <c r="S3503" i="1"/>
  <c r="R3503" i="1"/>
  <c r="Q3503" i="1"/>
  <c r="M3503" i="1"/>
  <c r="L3503" i="1"/>
  <c r="V3502" i="1"/>
  <c r="Z3502" i="1" s="1"/>
  <c r="U3502" i="1"/>
  <c r="T3502" i="1"/>
  <c r="W3502" i="1" s="1"/>
  <c r="S3502" i="1"/>
  <c r="R3502" i="1"/>
  <c r="Q3502" i="1"/>
  <c r="M3502" i="1"/>
  <c r="L3502" i="1"/>
  <c r="V3501" i="1"/>
  <c r="Z3501" i="1" s="1"/>
  <c r="U3501" i="1"/>
  <c r="T3501" i="1"/>
  <c r="W3501" i="1" s="1"/>
  <c r="S3501" i="1"/>
  <c r="R3501" i="1"/>
  <c r="Q3501" i="1"/>
  <c r="M3501" i="1"/>
  <c r="L3501" i="1"/>
  <c r="V3500" i="1"/>
  <c r="U3500" i="1"/>
  <c r="T3500" i="1"/>
  <c r="W3500" i="1" s="1"/>
  <c r="S3500" i="1"/>
  <c r="R3500" i="1"/>
  <c r="Q3500" i="1"/>
  <c r="M3500" i="1"/>
  <c r="L3500" i="1"/>
  <c r="V3499" i="1"/>
  <c r="Z3499" i="1" s="1"/>
  <c r="U3499" i="1"/>
  <c r="T3499" i="1"/>
  <c r="S3499" i="1"/>
  <c r="R3499" i="1"/>
  <c r="Q3499" i="1"/>
  <c r="M3499" i="1"/>
  <c r="L3499" i="1"/>
  <c r="V3498" i="1"/>
  <c r="Z3498" i="1" s="1"/>
  <c r="U3498" i="1"/>
  <c r="T3498" i="1"/>
  <c r="W3498" i="1" s="1"/>
  <c r="S3498" i="1"/>
  <c r="R3498" i="1"/>
  <c r="Q3498" i="1"/>
  <c r="M3498" i="1"/>
  <c r="L3498" i="1"/>
  <c r="V3497" i="1"/>
  <c r="Z3497" i="1" s="1"/>
  <c r="U3497" i="1"/>
  <c r="T3497" i="1"/>
  <c r="W3497" i="1" s="1"/>
  <c r="S3497" i="1"/>
  <c r="R3497" i="1"/>
  <c r="Q3497" i="1"/>
  <c r="M3497" i="1"/>
  <c r="L3497" i="1"/>
  <c r="V3496" i="1"/>
  <c r="U3496" i="1"/>
  <c r="T3496" i="1"/>
  <c r="S3496" i="1"/>
  <c r="R3496" i="1"/>
  <c r="Q3496" i="1"/>
  <c r="M3496" i="1"/>
  <c r="L3496" i="1"/>
  <c r="V3495" i="1"/>
  <c r="Z3495" i="1" s="1"/>
  <c r="U3495" i="1"/>
  <c r="T3495" i="1"/>
  <c r="W3495" i="1" s="1"/>
  <c r="S3495" i="1"/>
  <c r="R3495" i="1"/>
  <c r="Q3495" i="1"/>
  <c r="M3495" i="1"/>
  <c r="L3495" i="1"/>
  <c r="V3494" i="1"/>
  <c r="Z3494" i="1" s="1"/>
  <c r="U3494" i="1"/>
  <c r="T3494" i="1"/>
  <c r="W3494" i="1" s="1"/>
  <c r="S3494" i="1"/>
  <c r="R3494" i="1"/>
  <c r="Q3494" i="1"/>
  <c r="M3494" i="1"/>
  <c r="L3494" i="1"/>
  <c r="V3493" i="1"/>
  <c r="Z3493" i="1" s="1"/>
  <c r="U3493" i="1"/>
  <c r="T3493" i="1"/>
  <c r="W3493" i="1" s="1"/>
  <c r="S3493" i="1"/>
  <c r="R3493" i="1"/>
  <c r="Q3493" i="1"/>
  <c r="M3493" i="1"/>
  <c r="L3493" i="1"/>
  <c r="V3492" i="1"/>
  <c r="Z3492" i="1" s="1"/>
  <c r="U3492" i="1"/>
  <c r="T3492" i="1"/>
  <c r="S3492" i="1"/>
  <c r="R3492" i="1"/>
  <c r="Q3492" i="1"/>
  <c r="M3492" i="1"/>
  <c r="L3492" i="1"/>
  <c r="V3491" i="1"/>
  <c r="Z3491" i="1" s="1"/>
  <c r="U3491" i="1"/>
  <c r="T3491" i="1"/>
  <c r="W3491" i="1" s="1"/>
  <c r="S3491" i="1"/>
  <c r="R3491" i="1"/>
  <c r="Q3491" i="1"/>
  <c r="M3491" i="1"/>
  <c r="L3491" i="1"/>
  <c r="V3490" i="1"/>
  <c r="Z3490" i="1" s="1"/>
  <c r="U3490" i="1"/>
  <c r="T3490" i="1"/>
  <c r="W3490" i="1" s="1"/>
  <c r="S3490" i="1"/>
  <c r="R3490" i="1"/>
  <c r="Q3490" i="1"/>
  <c r="M3490" i="1"/>
  <c r="L3490" i="1"/>
  <c r="V3489" i="1"/>
  <c r="Z3489" i="1" s="1"/>
  <c r="U3489" i="1"/>
  <c r="T3489" i="1"/>
  <c r="S3489" i="1"/>
  <c r="R3489" i="1"/>
  <c r="Q3489" i="1"/>
  <c r="M3489" i="1"/>
  <c r="L3489" i="1"/>
  <c r="V3488" i="1"/>
  <c r="Z3488" i="1" s="1"/>
  <c r="U3488" i="1"/>
  <c r="T3488" i="1"/>
  <c r="W3488" i="1" s="1"/>
  <c r="S3488" i="1"/>
  <c r="R3488" i="1"/>
  <c r="Q3488" i="1"/>
  <c r="M3488" i="1"/>
  <c r="L3488" i="1"/>
  <c r="V3487" i="1"/>
  <c r="Z3487" i="1" s="1"/>
  <c r="U3487" i="1"/>
  <c r="T3487" i="1"/>
  <c r="W3487" i="1" s="1"/>
  <c r="S3487" i="1"/>
  <c r="R3487" i="1"/>
  <c r="Q3487" i="1"/>
  <c r="M3487" i="1"/>
  <c r="L3487" i="1"/>
  <c r="V3486" i="1"/>
  <c r="Z3486" i="1" s="1"/>
  <c r="U3486" i="1"/>
  <c r="T3486" i="1"/>
  <c r="W3486" i="1" s="1"/>
  <c r="S3486" i="1"/>
  <c r="R3486" i="1"/>
  <c r="Q3486" i="1"/>
  <c r="M3486" i="1"/>
  <c r="L3486" i="1"/>
  <c r="V3485" i="1"/>
  <c r="Z3485" i="1" s="1"/>
  <c r="U3485" i="1"/>
  <c r="T3485" i="1"/>
  <c r="S3485" i="1"/>
  <c r="R3485" i="1"/>
  <c r="Q3485" i="1"/>
  <c r="M3485" i="1"/>
  <c r="L3485" i="1"/>
  <c r="V3484" i="1"/>
  <c r="Z3484" i="1" s="1"/>
  <c r="U3484" i="1"/>
  <c r="T3484" i="1"/>
  <c r="W3484" i="1" s="1"/>
  <c r="S3484" i="1"/>
  <c r="R3484" i="1"/>
  <c r="Q3484" i="1"/>
  <c r="M3484" i="1"/>
  <c r="L3484" i="1"/>
  <c r="V3483" i="1"/>
  <c r="Z3483" i="1" s="1"/>
  <c r="U3483" i="1"/>
  <c r="T3483" i="1"/>
  <c r="W3483" i="1" s="1"/>
  <c r="S3483" i="1"/>
  <c r="R3483" i="1"/>
  <c r="Q3483" i="1"/>
  <c r="M3483" i="1"/>
  <c r="L3483" i="1"/>
  <c r="V3482" i="1"/>
  <c r="U3482" i="1"/>
  <c r="T3482" i="1"/>
  <c r="W3482" i="1" s="1"/>
  <c r="S3482" i="1"/>
  <c r="R3482" i="1"/>
  <c r="Q3482" i="1"/>
  <c r="M3482" i="1"/>
  <c r="L3482" i="1"/>
  <c r="V3481" i="1"/>
  <c r="Z3481" i="1" s="1"/>
  <c r="U3481" i="1"/>
  <c r="T3481" i="1"/>
  <c r="W3481" i="1" s="1"/>
  <c r="S3481" i="1"/>
  <c r="R3481" i="1"/>
  <c r="Q3481" i="1"/>
  <c r="M3481" i="1"/>
  <c r="L3481" i="1"/>
  <c r="V3480" i="1"/>
  <c r="Z3480" i="1" s="1"/>
  <c r="U3480" i="1"/>
  <c r="T3480" i="1"/>
  <c r="W3480" i="1" s="1"/>
  <c r="S3480" i="1"/>
  <c r="R3480" i="1"/>
  <c r="Q3480" i="1"/>
  <c r="M3480" i="1"/>
  <c r="L3480" i="1"/>
  <c r="V3479" i="1"/>
  <c r="Z3479" i="1" s="1"/>
  <c r="U3479" i="1"/>
  <c r="T3479" i="1"/>
  <c r="W3479" i="1" s="1"/>
  <c r="S3479" i="1"/>
  <c r="R3479" i="1"/>
  <c r="Q3479" i="1"/>
  <c r="M3479" i="1"/>
  <c r="L3479" i="1"/>
  <c r="V3478" i="1"/>
  <c r="U3478" i="1"/>
  <c r="T3478" i="1"/>
  <c r="S3478" i="1"/>
  <c r="R3478" i="1"/>
  <c r="Q3478" i="1"/>
  <c r="M3478" i="1"/>
  <c r="L3478" i="1"/>
  <c r="V3477" i="1"/>
  <c r="Z3477" i="1" s="1"/>
  <c r="U3477" i="1"/>
  <c r="T3477" i="1"/>
  <c r="W3477" i="1" s="1"/>
  <c r="S3477" i="1"/>
  <c r="R3477" i="1"/>
  <c r="Q3477" i="1"/>
  <c r="M3477" i="1"/>
  <c r="L3477" i="1"/>
  <c r="V3476" i="1"/>
  <c r="Z3476" i="1" s="1"/>
  <c r="U3476" i="1"/>
  <c r="T3476" i="1"/>
  <c r="W3476" i="1" s="1"/>
  <c r="S3476" i="1"/>
  <c r="R3476" i="1"/>
  <c r="Q3476" i="1"/>
  <c r="M3476" i="1"/>
  <c r="L3476" i="1"/>
  <c r="V3475" i="1"/>
  <c r="Z3475" i="1" s="1"/>
  <c r="U3475" i="1"/>
  <c r="T3475" i="1"/>
  <c r="W3475" i="1" s="1"/>
  <c r="S3475" i="1"/>
  <c r="R3475" i="1"/>
  <c r="Q3475" i="1"/>
  <c r="M3475" i="1"/>
  <c r="L3475" i="1"/>
  <c r="V3474" i="1"/>
  <c r="Z3474" i="1" s="1"/>
  <c r="U3474" i="1"/>
  <c r="T3474" i="1"/>
  <c r="S3474" i="1"/>
  <c r="R3474" i="1"/>
  <c r="Q3474" i="1"/>
  <c r="M3474" i="1"/>
  <c r="L3474" i="1"/>
  <c r="V3473" i="1"/>
  <c r="Z3473" i="1" s="1"/>
  <c r="U3473" i="1"/>
  <c r="T3473" i="1"/>
  <c r="W3473" i="1" s="1"/>
  <c r="S3473" i="1"/>
  <c r="R3473" i="1"/>
  <c r="Q3473" i="1"/>
  <c r="M3473" i="1"/>
  <c r="L3473" i="1"/>
  <c r="V3472" i="1"/>
  <c r="Z3472" i="1" s="1"/>
  <c r="U3472" i="1"/>
  <c r="T3472" i="1"/>
  <c r="W3472" i="1" s="1"/>
  <c r="S3472" i="1"/>
  <c r="R3472" i="1"/>
  <c r="Q3472" i="1"/>
  <c r="M3472" i="1"/>
  <c r="L3472" i="1"/>
  <c r="V3471" i="1"/>
  <c r="U3471" i="1"/>
  <c r="T3471" i="1"/>
  <c r="S3471" i="1"/>
  <c r="R3471" i="1"/>
  <c r="Q3471" i="1"/>
  <c r="M3471" i="1"/>
  <c r="L3471" i="1"/>
  <c r="V3470" i="1"/>
  <c r="Z3470" i="1" s="1"/>
  <c r="U3470" i="1"/>
  <c r="T3470" i="1"/>
  <c r="W3470" i="1" s="1"/>
  <c r="S3470" i="1"/>
  <c r="R3470" i="1"/>
  <c r="Q3470" i="1"/>
  <c r="M3470" i="1"/>
  <c r="L3470" i="1"/>
  <c r="V3469" i="1"/>
  <c r="Z3469" i="1" s="1"/>
  <c r="U3469" i="1"/>
  <c r="T3469" i="1"/>
  <c r="W3469" i="1" s="1"/>
  <c r="S3469" i="1"/>
  <c r="R3469" i="1"/>
  <c r="Q3469" i="1"/>
  <c r="M3469" i="1"/>
  <c r="L3469" i="1"/>
  <c r="V3468" i="1"/>
  <c r="Z3468" i="1" s="1"/>
  <c r="U3468" i="1"/>
  <c r="T3468" i="1"/>
  <c r="W3468" i="1" s="1"/>
  <c r="S3468" i="1"/>
  <c r="R3468" i="1"/>
  <c r="Q3468" i="1"/>
  <c r="M3468" i="1"/>
  <c r="L3468" i="1"/>
  <c r="V3467" i="1"/>
  <c r="Z3467" i="1" s="1"/>
  <c r="U3467" i="1"/>
  <c r="T3467" i="1"/>
  <c r="S3467" i="1"/>
  <c r="R3467" i="1"/>
  <c r="Q3467" i="1"/>
  <c r="M3467" i="1"/>
  <c r="L3467" i="1"/>
  <c r="V3466" i="1"/>
  <c r="Z3466" i="1" s="1"/>
  <c r="U3466" i="1"/>
  <c r="T3466" i="1"/>
  <c r="W3466" i="1" s="1"/>
  <c r="S3466" i="1"/>
  <c r="R3466" i="1"/>
  <c r="Q3466" i="1"/>
  <c r="M3466" i="1"/>
  <c r="L3466" i="1"/>
  <c r="V3465" i="1"/>
  <c r="Z3465" i="1" s="1"/>
  <c r="U3465" i="1"/>
  <c r="T3465" i="1"/>
  <c r="W3465" i="1" s="1"/>
  <c r="S3465" i="1"/>
  <c r="R3465" i="1"/>
  <c r="Q3465" i="1"/>
  <c r="M3465" i="1"/>
  <c r="L3465" i="1"/>
  <c r="V3464" i="1"/>
  <c r="U3464" i="1"/>
  <c r="T3464" i="1"/>
  <c r="W3464" i="1" s="1"/>
  <c r="S3464" i="1"/>
  <c r="R3464" i="1"/>
  <c r="Q3464" i="1"/>
  <c r="M3464" i="1"/>
  <c r="L3464" i="1"/>
  <c r="V3463" i="1"/>
  <c r="Z3463" i="1" s="1"/>
  <c r="U3463" i="1"/>
  <c r="T3463" i="1"/>
  <c r="W3463" i="1" s="1"/>
  <c r="S3463" i="1"/>
  <c r="R3463" i="1"/>
  <c r="Q3463" i="1"/>
  <c r="M3463" i="1"/>
  <c r="L3463" i="1"/>
  <c r="V3462" i="1"/>
  <c r="Z3462" i="1" s="1"/>
  <c r="U3462" i="1"/>
  <c r="T3462" i="1"/>
  <c r="W3462" i="1" s="1"/>
  <c r="S3462" i="1"/>
  <c r="R3462" i="1"/>
  <c r="Q3462" i="1"/>
  <c r="M3462" i="1"/>
  <c r="L3462" i="1"/>
  <c r="V3461" i="1"/>
  <c r="Z3461" i="1" s="1"/>
  <c r="U3461" i="1"/>
  <c r="T3461" i="1"/>
  <c r="W3461" i="1" s="1"/>
  <c r="S3461" i="1"/>
  <c r="R3461" i="1"/>
  <c r="Q3461" i="1"/>
  <c r="M3461" i="1"/>
  <c r="L3461" i="1"/>
  <c r="V3460" i="1"/>
  <c r="Z3460" i="1" s="1"/>
  <c r="U3460" i="1"/>
  <c r="T3460" i="1"/>
  <c r="S3460" i="1"/>
  <c r="R3460" i="1"/>
  <c r="Q3460" i="1"/>
  <c r="M3460" i="1"/>
  <c r="L3460" i="1"/>
  <c r="V3459" i="1"/>
  <c r="Z3459" i="1" s="1"/>
  <c r="U3459" i="1"/>
  <c r="T3459" i="1"/>
  <c r="W3459" i="1" s="1"/>
  <c r="S3459" i="1"/>
  <c r="R3459" i="1"/>
  <c r="Q3459" i="1"/>
  <c r="M3459" i="1"/>
  <c r="L3459" i="1"/>
  <c r="V3458" i="1"/>
  <c r="U3458" i="1"/>
  <c r="T3458" i="1"/>
  <c r="W3458" i="1" s="1"/>
  <c r="S3458" i="1"/>
  <c r="R3458" i="1"/>
  <c r="Q3458" i="1"/>
  <c r="M3458" i="1"/>
  <c r="L3458" i="1"/>
  <c r="V3457" i="1"/>
  <c r="Z3457" i="1" s="1"/>
  <c r="U3457" i="1"/>
  <c r="T3457" i="1"/>
  <c r="W3457" i="1" s="1"/>
  <c r="S3457" i="1"/>
  <c r="R3457" i="1"/>
  <c r="Q3457" i="1"/>
  <c r="M3457" i="1"/>
  <c r="L3457" i="1"/>
  <c r="V3456" i="1"/>
  <c r="Z3456" i="1" s="1"/>
  <c r="U3456" i="1"/>
  <c r="T3456" i="1"/>
  <c r="W3456" i="1" s="1"/>
  <c r="S3456" i="1"/>
  <c r="R3456" i="1"/>
  <c r="Q3456" i="1"/>
  <c r="M3456" i="1"/>
  <c r="L3456" i="1"/>
  <c r="V3455" i="1"/>
  <c r="Z3455" i="1" s="1"/>
  <c r="U3455" i="1"/>
  <c r="T3455" i="1"/>
  <c r="W3455" i="1" s="1"/>
  <c r="S3455" i="1"/>
  <c r="R3455" i="1"/>
  <c r="Q3455" i="1"/>
  <c r="M3455" i="1"/>
  <c r="L3455" i="1"/>
  <c r="V3454" i="1"/>
  <c r="Z3454" i="1" s="1"/>
  <c r="U3454" i="1"/>
  <c r="T3454" i="1"/>
  <c r="W3454" i="1" s="1"/>
  <c r="S3454" i="1"/>
  <c r="R3454" i="1"/>
  <c r="Q3454" i="1"/>
  <c r="M3454" i="1"/>
  <c r="L3454" i="1"/>
  <c r="V3453" i="1"/>
  <c r="Z3453" i="1" s="1"/>
  <c r="U3453" i="1"/>
  <c r="T3453" i="1"/>
  <c r="S3453" i="1"/>
  <c r="R3453" i="1"/>
  <c r="Q3453" i="1"/>
  <c r="M3453" i="1"/>
  <c r="L3453" i="1"/>
  <c r="V3452" i="1"/>
  <c r="Z3452" i="1" s="1"/>
  <c r="U3452" i="1"/>
  <c r="T3452" i="1"/>
  <c r="W3452" i="1" s="1"/>
  <c r="S3452" i="1"/>
  <c r="R3452" i="1"/>
  <c r="Q3452" i="1"/>
  <c r="M3452" i="1"/>
  <c r="L3452" i="1"/>
  <c r="V3451" i="1"/>
  <c r="Z3451" i="1" s="1"/>
  <c r="U3451" i="1"/>
  <c r="T3451" i="1"/>
  <c r="W3451" i="1" s="1"/>
  <c r="S3451" i="1"/>
  <c r="R3451" i="1"/>
  <c r="Q3451" i="1"/>
  <c r="M3451" i="1"/>
  <c r="L3451" i="1"/>
  <c r="V3450" i="1"/>
  <c r="U3450" i="1"/>
  <c r="T3450" i="1"/>
  <c r="W3450" i="1" s="1"/>
  <c r="S3450" i="1"/>
  <c r="R3450" i="1"/>
  <c r="Q3450" i="1"/>
  <c r="M3450" i="1"/>
  <c r="L3450" i="1"/>
  <c r="V3449" i="1"/>
  <c r="Z3449" i="1" s="1"/>
  <c r="U3449" i="1"/>
  <c r="T3449" i="1"/>
  <c r="W3449" i="1" s="1"/>
  <c r="S3449" i="1"/>
  <c r="R3449" i="1"/>
  <c r="Q3449" i="1"/>
  <c r="M3449" i="1"/>
  <c r="L3449" i="1"/>
  <c r="V3448" i="1"/>
  <c r="Z3448" i="1" s="1"/>
  <c r="U3448" i="1"/>
  <c r="T3448" i="1"/>
  <c r="W3448" i="1" s="1"/>
  <c r="S3448" i="1"/>
  <c r="R3448" i="1"/>
  <c r="Q3448" i="1"/>
  <c r="M3448" i="1"/>
  <c r="L3448" i="1"/>
  <c r="V3447" i="1"/>
  <c r="Z3447" i="1" s="1"/>
  <c r="U3447" i="1"/>
  <c r="T3447" i="1"/>
  <c r="W3447" i="1" s="1"/>
  <c r="S3447" i="1"/>
  <c r="R3447" i="1"/>
  <c r="Q3447" i="1"/>
  <c r="M3447" i="1"/>
  <c r="L3447" i="1"/>
  <c r="V3446" i="1"/>
  <c r="U3446" i="1"/>
  <c r="T3446" i="1"/>
  <c r="S3446" i="1"/>
  <c r="R3446" i="1"/>
  <c r="Q3446" i="1"/>
  <c r="M3446" i="1"/>
  <c r="L3446" i="1"/>
  <c r="V3445" i="1"/>
  <c r="Z3445" i="1" s="1"/>
  <c r="U3445" i="1"/>
  <c r="T3445" i="1"/>
  <c r="W3445" i="1" s="1"/>
  <c r="S3445" i="1"/>
  <c r="R3445" i="1"/>
  <c r="Q3445" i="1"/>
  <c r="M3445" i="1"/>
  <c r="L3445" i="1"/>
  <c r="V3444" i="1"/>
  <c r="Z3444" i="1" s="1"/>
  <c r="U3444" i="1"/>
  <c r="T3444" i="1"/>
  <c r="W3444" i="1" s="1"/>
  <c r="S3444" i="1"/>
  <c r="R3444" i="1"/>
  <c r="Q3444" i="1"/>
  <c r="M3444" i="1"/>
  <c r="L3444" i="1"/>
  <c r="V3443" i="1"/>
  <c r="U3443" i="1"/>
  <c r="T3443" i="1"/>
  <c r="W3443" i="1" s="1"/>
  <c r="S3443" i="1"/>
  <c r="R3443" i="1"/>
  <c r="Q3443" i="1"/>
  <c r="M3443" i="1"/>
  <c r="L3443" i="1"/>
  <c r="V3442" i="1"/>
  <c r="Z3442" i="1" s="1"/>
  <c r="U3442" i="1"/>
  <c r="T3442" i="1"/>
  <c r="S3442" i="1"/>
  <c r="R3442" i="1"/>
  <c r="Q3442" i="1"/>
  <c r="M3442" i="1"/>
  <c r="L3442" i="1"/>
  <c r="V3441" i="1"/>
  <c r="Z3441" i="1" s="1"/>
  <c r="U3441" i="1"/>
  <c r="T3441" i="1"/>
  <c r="W3441" i="1" s="1"/>
  <c r="S3441" i="1"/>
  <c r="R3441" i="1"/>
  <c r="Q3441" i="1"/>
  <c r="M3441" i="1"/>
  <c r="L3441" i="1"/>
  <c r="V3440" i="1"/>
  <c r="Z3440" i="1" s="1"/>
  <c r="U3440" i="1"/>
  <c r="T3440" i="1"/>
  <c r="W3440" i="1" s="1"/>
  <c r="S3440" i="1"/>
  <c r="R3440" i="1"/>
  <c r="Q3440" i="1"/>
  <c r="M3440" i="1"/>
  <c r="L3440" i="1"/>
  <c r="V3439" i="1"/>
  <c r="U3439" i="1"/>
  <c r="T3439" i="1"/>
  <c r="W3439" i="1" s="1"/>
  <c r="S3439" i="1"/>
  <c r="R3439" i="1"/>
  <c r="Q3439" i="1"/>
  <c r="M3439" i="1"/>
  <c r="L3439" i="1"/>
  <c r="V3438" i="1"/>
  <c r="Z3438" i="1" s="1"/>
  <c r="U3438" i="1"/>
  <c r="T3438" i="1"/>
  <c r="W3438" i="1" s="1"/>
  <c r="S3438" i="1"/>
  <c r="R3438" i="1"/>
  <c r="Q3438" i="1"/>
  <c r="M3438" i="1"/>
  <c r="L3438" i="1"/>
  <c r="V3437" i="1"/>
  <c r="Z3437" i="1" s="1"/>
  <c r="U3437" i="1"/>
  <c r="T3437" i="1"/>
  <c r="W3437" i="1" s="1"/>
  <c r="S3437" i="1"/>
  <c r="R3437" i="1"/>
  <c r="Q3437" i="1"/>
  <c r="M3437" i="1"/>
  <c r="L3437" i="1"/>
  <c r="V3436" i="1"/>
  <c r="Z3436" i="1" s="1"/>
  <c r="U3436" i="1"/>
  <c r="T3436" i="1"/>
  <c r="W3436" i="1" s="1"/>
  <c r="S3436" i="1"/>
  <c r="R3436" i="1"/>
  <c r="Q3436" i="1"/>
  <c r="M3436" i="1"/>
  <c r="L3436" i="1"/>
  <c r="V3435" i="1"/>
  <c r="Z3435" i="1" s="1"/>
  <c r="U3435" i="1"/>
  <c r="T3435" i="1"/>
  <c r="S3435" i="1"/>
  <c r="R3435" i="1"/>
  <c r="Q3435" i="1"/>
  <c r="M3435" i="1"/>
  <c r="L3435" i="1"/>
  <c r="V3434" i="1"/>
  <c r="Z3434" i="1" s="1"/>
  <c r="U3434" i="1"/>
  <c r="T3434" i="1"/>
  <c r="W3434" i="1" s="1"/>
  <c r="S3434" i="1"/>
  <c r="R3434" i="1"/>
  <c r="Q3434" i="1"/>
  <c r="M3434" i="1"/>
  <c r="L3434" i="1"/>
  <c r="V3433" i="1"/>
  <c r="Z3433" i="1" s="1"/>
  <c r="U3433" i="1"/>
  <c r="T3433" i="1"/>
  <c r="W3433" i="1" s="1"/>
  <c r="S3433" i="1"/>
  <c r="R3433" i="1"/>
  <c r="Q3433" i="1"/>
  <c r="M3433" i="1"/>
  <c r="L3433" i="1"/>
  <c r="V3432" i="1"/>
  <c r="U3432" i="1"/>
  <c r="T3432" i="1"/>
  <c r="W3432" i="1" s="1"/>
  <c r="S3432" i="1"/>
  <c r="R3432" i="1"/>
  <c r="Q3432" i="1"/>
  <c r="M3432" i="1"/>
  <c r="L3432" i="1"/>
  <c r="V3431" i="1"/>
  <c r="Z3431" i="1" s="1"/>
  <c r="U3431" i="1"/>
  <c r="T3431" i="1"/>
  <c r="W3431" i="1" s="1"/>
  <c r="S3431" i="1"/>
  <c r="R3431" i="1"/>
  <c r="Q3431" i="1"/>
  <c r="M3431" i="1"/>
  <c r="L3431" i="1"/>
  <c r="V3430" i="1"/>
  <c r="Z3430" i="1" s="1"/>
  <c r="U3430" i="1"/>
  <c r="T3430" i="1"/>
  <c r="W3430" i="1" s="1"/>
  <c r="S3430" i="1"/>
  <c r="R3430" i="1"/>
  <c r="Q3430" i="1"/>
  <c r="M3430" i="1"/>
  <c r="L3430" i="1"/>
  <c r="V3429" i="1"/>
  <c r="Z3429" i="1" s="1"/>
  <c r="U3429" i="1"/>
  <c r="T3429" i="1"/>
  <c r="W3429" i="1" s="1"/>
  <c r="S3429" i="1"/>
  <c r="R3429" i="1"/>
  <c r="Q3429" i="1"/>
  <c r="M3429" i="1"/>
  <c r="L3429" i="1"/>
  <c r="V3428" i="1"/>
  <c r="Z3428" i="1" s="1"/>
  <c r="U3428" i="1"/>
  <c r="T3428" i="1"/>
  <c r="S3428" i="1"/>
  <c r="R3428" i="1"/>
  <c r="Q3428" i="1"/>
  <c r="M3428" i="1"/>
  <c r="L3428" i="1"/>
  <c r="V3427" i="1"/>
  <c r="Z3427" i="1" s="1"/>
  <c r="U3427" i="1"/>
  <c r="T3427" i="1"/>
  <c r="W3427" i="1" s="1"/>
  <c r="S3427" i="1"/>
  <c r="R3427" i="1"/>
  <c r="Q3427" i="1"/>
  <c r="M3427" i="1"/>
  <c r="L3427" i="1"/>
  <c r="V3426" i="1"/>
  <c r="Z3426" i="1" s="1"/>
  <c r="U3426" i="1"/>
  <c r="T3426" i="1"/>
  <c r="W3426" i="1" s="1"/>
  <c r="S3426" i="1"/>
  <c r="R3426" i="1"/>
  <c r="Q3426" i="1"/>
  <c r="M3426" i="1"/>
  <c r="L3426" i="1"/>
  <c r="V3425" i="1"/>
  <c r="Z3425" i="1" s="1"/>
  <c r="U3425" i="1"/>
  <c r="T3425" i="1"/>
  <c r="S3425" i="1"/>
  <c r="R3425" i="1"/>
  <c r="Q3425" i="1"/>
  <c r="M3425" i="1"/>
  <c r="L3425" i="1"/>
  <c r="V3424" i="1"/>
  <c r="Z3424" i="1" s="1"/>
  <c r="U3424" i="1"/>
  <c r="T3424" i="1"/>
  <c r="W3424" i="1" s="1"/>
  <c r="S3424" i="1"/>
  <c r="R3424" i="1"/>
  <c r="Q3424" i="1"/>
  <c r="M3424" i="1"/>
  <c r="L3424" i="1"/>
  <c r="V3423" i="1"/>
  <c r="Z3423" i="1" s="1"/>
  <c r="U3423" i="1"/>
  <c r="T3423" i="1"/>
  <c r="W3423" i="1" s="1"/>
  <c r="S3423" i="1"/>
  <c r="R3423" i="1"/>
  <c r="Q3423" i="1"/>
  <c r="M3423" i="1"/>
  <c r="L3423" i="1"/>
  <c r="V3422" i="1"/>
  <c r="Z3422" i="1" s="1"/>
  <c r="U3422" i="1"/>
  <c r="T3422" i="1"/>
  <c r="W3422" i="1" s="1"/>
  <c r="S3422" i="1"/>
  <c r="R3422" i="1"/>
  <c r="Q3422" i="1"/>
  <c r="M3422" i="1"/>
  <c r="L3422" i="1"/>
  <c r="V3421" i="1"/>
  <c r="Z3421" i="1" s="1"/>
  <c r="U3421" i="1"/>
  <c r="T3421" i="1"/>
  <c r="S3421" i="1"/>
  <c r="R3421" i="1"/>
  <c r="Q3421" i="1"/>
  <c r="M3421" i="1"/>
  <c r="L3421" i="1"/>
  <c r="V3420" i="1"/>
  <c r="Z3420" i="1" s="1"/>
  <c r="U3420" i="1"/>
  <c r="T3420" i="1"/>
  <c r="W3420" i="1" s="1"/>
  <c r="S3420" i="1"/>
  <c r="R3420" i="1"/>
  <c r="Q3420" i="1"/>
  <c r="M3420" i="1"/>
  <c r="L3420" i="1"/>
  <c r="V3419" i="1"/>
  <c r="Z3419" i="1" s="1"/>
  <c r="U3419" i="1"/>
  <c r="T3419" i="1"/>
  <c r="W3419" i="1" s="1"/>
  <c r="S3419" i="1"/>
  <c r="R3419" i="1"/>
  <c r="Q3419" i="1"/>
  <c r="M3419" i="1"/>
  <c r="L3419" i="1"/>
  <c r="V3418" i="1"/>
  <c r="U3418" i="1"/>
  <c r="T3418" i="1"/>
  <c r="W3418" i="1" s="1"/>
  <c r="S3418" i="1"/>
  <c r="R3418" i="1"/>
  <c r="Q3418" i="1"/>
  <c r="M3418" i="1"/>
  <c r="L3418" i="1"/>
  <c r="V3417" i="1"/>
  <c r="Z3417" i="1" s="1"/>
  <c r="U3417" i="1"/>
  <c r="T3417" i="1"/>
  <c r="W3417" i="1" s="1"/>
  <c r="S3417" i="1"/>
  <c r="R3417" i="1"/>
  <c r="Q3417" i="1"/>
  <c r="M3417" i="1"/>
  <c r="L3417" i="1"/>
  <c r="V3416" i="1"/>
  <c r="Z3416" i="1" s="1"/>
  <c r="U3416" i="1"/>
  <c r="T3416" i="1"/>
  <c r="W3416" i="1" s="1"/>
  <c r="S3416" i="1"/>
  <c r="R3416" i="1"/>
  <c r="Q3416" i="1"/>
  <c r="M3416" i="1"/>
  <c r="L3416" i="1"/>
  <c r="V3415" i="1"/>
  <c r="Z3415" i="1" s="1"/>
  <c r="U3415" i="1"/>
  <c r="T3415" i="1"/>
  <c r="W3415" i="1" s="1"/>
  <c r="S3415" i="1"/>
  <c r="R3415" i="1"/>
  <c r="Q3415" i="1"/>
  <c r="M3415" i="1"/>
  <c r="L3415" i="1"/>
  <c r="V3414" i="1"/>
  <c r="U3414" i="1"/>
  <c r="T3414" i="1"/>
  <c r="S3414" i="1"/>
  <c r="R3414" i="1"/>
  <c r="Q3414" i="1"/>
  <c r="M3414" i="1"/>
  <c r="L3414" i="1"/>
  <c r="V3413" i="1"/>
  <c r="Z3413" i="1" s="1"/>
  <c r="U3413" i="1"/>
  <c r="T3413" i="1"/>
  <c r="W3413" i="1" s="1"/>
  <c r="S3413" i="1"/>
  <c r="R3413" i="1"/>
  <c r="Q3413" i="1"/>
  <c r="M3413" i="1"/>
  <c r="L3413" i="1"/>
  <c r="V3412" i="1"/>
  <c r="Z3412" i="1" s="1"/>
  <c r="U3412" i="1"/>
  <c r="T3412" i="1"/>
  <c r="W3412" i="1" s="1"/>
  <c r="S3412" i="1"/>
  <c r="R3412" i="1"/>
  <c r="Q3412" i="1"/>
  <c r="M3412" i="1"/>
  <c r="L3412" i="1"/>
  <c r="V3411" i="1"/>
  <c r="Z3411" i="1" s="1"/>
  <c r="U3411" i="1"/>
  <c r="T3411" i="1"/>
  <c r="W3411" i="1" s="1"/>
  <c r="S3411" i="1"/>
  <c r="R3411" i="1"/>
  <c r="Q3411" i="1"/>
  <c r="M3411" i="1"/>
  <c r="L3411" i="1"/>
  <c r="V3410" i="1"/>
  <c r="Z3410" i="1" s="1"/>
  <c r="U3410" i="1"/>
  <c r="T3410" i="1"/>
  <c r="S3410" i="1"/>
  <c r="R3410" i="1"/>
  <c r="Q3410" i="1"/>
  <c r="M3410" i="1"/>
  <c r="L3410" i="1"/>
  <c r="V3409" i="1"/>
  <c r="Z3409" i="1" s="1"/>
  <c r="U3409" i="1"/>
  <c r="T3409" i="1"/>
  <c r="W3409" i="1" s="1"/>
  <c r="S3409" i="1"/>
  <c r="R3409" i="1"/>
  <c r="Q3409" i="1"/>
  <c r="M3409" i="1"/>
  <c r="L3409" i="1"/>
  <c r="V3408" i="1"/>
  <c r="Z3408" i="1" s="1"/>
  <c r="U3408" i="1"/>
  <c r="T3408" i="1"/>
  <c r="W3408" i="1" s="1"/>
  <c r="S3408" i="1"/>
  <c r="R3408" i="1"/>
  <c r="Q3408" i="1"/>
  <c r="M3408" i="1"/>
  <c r="L3408" i="1"/>
  <c r="V3407" i="1"/>
  <c r="U3407" i="1"/>
  <c r="T3407" i="1"/>
  <c r="S3407" i="1"/>
  <c r="R3407" i="1"/>
  <c r="Q3407" i="1"/>
  <c r="M3407" i="1"/>
  <c r="L3407" i="1"/>
  <c r="V3406" i="1"/>
  <c r="Z3406" i="1" s="1"/>
  <c r="U3406" i="1"/>
  <c r="T3406" i="1"/>
  <c r="W3406" i="1" s="1"/>
  <c r="S3406" i="1"/>
  <c r="R3406" i="1"/>
  <c r="Q3406" i="1"/>
  <c r="M3406" i="1"/>
  <c r="L3406" i="1"/>
  <c r="V3405" i="1"/>
  <c r="Z3405" i="1" s="1"/>
  <c r="U3405" i="1"/>
  <c r="T3405" i="1"/>
  <c r="W3405" i="1" s="1"/>
  <c r="S3405" i="1"/>
  <c r="R3405" i="1"/>
  <c r="Q3405" i="1"/>
  <c r="M3405" i="1"/>
  <c r="L3405" i="1"/>
  <c r="V3404" i="1"/>
  <c r="Z3404" i="1" s="1"/>
  <c r="U3404" i="1"/>
  <c r="T3404" i="1"/>
  <c r="W3404" i="1" s="1"/>
  <c r="S3404" i="1"/>
  <c r="R3404" i="1"/>
  <c r="Q3404" i="1"/>
  <c r="M3404" i="1"/>
  <c r="L3404" i="1"/>
  <c r="V3403" i="1"/>
  <c r="Z3403" i="1" s="1"/>
  <c r="U3403" i="1"/>
  <c r="T3403" i="1"/>
  <c r="S3403" i="1"/>
  <c r="R3403" i="1"/>
  <c r="Q3403" i="1"/>
  <c r="M3403" i="1"/>
  <c r="L3403" i="1"/>
  <c r="V3402" i="1"/>
  <c r="Z3402" i="1" s="1"/>
  <c r="U3402" i="1"/>
  <c r="T3402" i="1"/>
  <c r="W3402" i="1" s="1"/>
  <c r="S3402" i="1"/>
  <c r="R3402" i="1"/>
  <c r="Q3402" i="1"/>
  <c r="M3402" i="1"/>
  <c r="L3402" i="1"/>
  <c r="V3401" i="1"/>
  <c r="Z3401" i="1" s="1"/>
  <c r="U3401" i="1"/>
  <c r="T3401" i="1"/>
  <c r="W3401" i="1" s="1"/>
  <c r="S3401" i="1"/>
  <c r="R3401" i="1"/>
  <c r="Q3401" i="1"/>
  <c r="M3401" i="1"/>
  <c r="L3401" i="1"/>
  <c r="V3400" i="1"/>
  <c r="U3400" i="1"/>
  <c r="T3400" i="1"/>
  <c r="W3400" i="1" s="1"/>
  <c r="S3400" i="1"/>
  <c r="R3400" i="1"/>
  <c r="Q3400" i="1"/>
  <c r="M3400" i="1"/>
  <c r="L3400" i="1"/>
  <c r="V3399" i="1"/>
  <c r="Z3399" i="1" s="1"/>
  <c r="U3399" i="1"/>
  <c r="T3399" i="1"/>
  <c r="W3399" i="1" s="1"/>
  <c r="S3399" i="1"/>
  <c r="R3399" i="1"/>
  <c r="Q3399" i="1"/>
  <c r="M3399" i="1"/>
  <c r="L3399" i="1"/>
  <c r="V3398" i="1"/>
  <c r="Z3398" i="1" s="1"/>
  <c r="U3398" i="1"/>
  <c r="T3398" i="1"/>
  <c r="W3398" i="1" s="1"/>
  <c r="S3398" i="1"/>
  <c r="R3398" i="1"/>
  <c r="Q3398" i="1"/>
  <c r="M3398" i="1"/>
  <c r="L3398" i="1"/>
  <c r="V3397" i="1"/>
  <c r="Z3397" i="1" s="1"/>
  <c r="U3397" i="1"/>
  <c r="T3397" i="1"/>
  <c r="W3397" i="1" s="1"/>
  <c r="S3397" i="1"/>
  <c r="R3397" i="1"/>
  <c r="Q3397" i="1"/>
  <c r="M3397" i="1"/>
  <c r="L3397" i="1"/>
  <c r="V3396" i="1"/>
  <c r="Z3396" i="1" s="1"/>
  <c r="U3396" i="1"/>
  <c r="T3396" i="1"/>
  <c r="S3396" i="1"/>
  <c r="R3396" i="1"/>
  <c r="Q3396" i="1"/>
  <c r="M3396" i="1"/>
  <c r="L3396" i="1"/>
  <c r="V3395" i="1"/>
  <c r="Z3395" i="1" s="1"/>
  <c r="U3395" i="1"/>
  <c r="T3395" i="1"/>
  <c r="W3395" i="1" s="1"/>
  <c r="S3395" i="1"/>
  <c r="R3395" i="1"/>
  <c r="Q3395" i="1"/>
  <c r="M3395" i="1"/>
  <c r="L3395" i="1"/>
  <c r="V3394" i="1"/>
  <c r="U3394" i="1"/>
  <c r="T3394" i="1"/>
  <c r="W3394" i="1" s="1"/>
  <c r="S3394" i="1"/>
  <c r="R3394" i="1"/>
  <c r="Q3394" i="1"/>
  <c r="M3394" i="1"/>
  <c r="L3394" i="1"/>
  <c r="V3393" i="1"/>
  <c r="Z3393" i="1" s="1"/>
  <c r="U3393" i="1"/>
  <c r="T3393" i="1"/>
  <c r="W3393" i="1" s="1"/>
  <c r="S3393" i="1"/>
  <c r="R3393" i="1"/>
  <c r="Q3393" i="1"/>
  <c r="M3393" i="1"/>
  <c r="L3393" i="1"/>
  <c r="V3392" i="1"/>
  <c r="Z3392" i="1" s="1"/>
  <c r="U3392" i="1"/>
  <c r="T3392" i="1"/>
  <c r="W3392" i="1" s="1"/>
  <c r="S3392" i="1"/>
  <c r="R3392" i="1"/>
  <c r="Q3392" i="1"/>
  <c r="M3392" i="1"/>
  <c r="L3392" i="1"/>
  <c r="V3391" i="1"/>
  <c r="Z3391" i="1" s="1"/>
  <c r="U3391" i="1"/>
  <c r="T3391" i="1"/>
  <c r="W3391" i="1" s="1"/>
  <c r="S3391" i="1"/>
  <c r="R3391" i="1"/>
  <c r="Q3391" i="1"/>
  <c r="M3391" i="1"/>
  <c r="L3391" i="1"/>
  <c r="V3390" i="1"/>
  <c r="Z3390" i="1" s="1"/>
  <c r="U3390" i="1"/>
  <c r="T3390" i="1"/>
  <c r="W3390" i="1" s="1"/>
  <c r="S3390" i="1"/>
  <c r="R3390" i="1"/>
  <c r="Q3390" i="1"/>
  <c r="M3390" i="1"/>
  <c r="L3390" i="1"/>
  <c r="V3389" i="1"/>
  <c r="Z3389" i="1" s="1"/>
  <c r="U3389" i="1"/>
  <c r="T3389" i="1"/>
  <c r="S3389" i="1"/>
  <c r="R3389" i="1"/>
  <c r="Q3389" i="1"/>
  <c r="M3389" i="1"/>
  <c r="L3389" i="1"/>
  <c r="V3388" i="1"/>
  <c r="Z3388" i="1" s="1"/>
  <c r="U3388" i="1"/>
  <c r="T3388" i="1"/>
  <c r="W3388" i="1" s="1"/>
  <c r="S3388" i="1"/>
  <c r="R3388" i="1"/>
  <c r="Q3388" i="1"/>
  <c r="M3388" i="1"/>
  <c r="L3388" i="1"/>
  <c r="V3387" i="1"/>
  <c r="Z3387" i="1" s="1"/>
  <c r="U3387" i="1"/>
  <c r="T3387" i="1"/>
  <c r="W3387" i="1" s="1"/>
  <c r="S3387" i="1"/>
  <c r="R3387" i="1"/>
  <c r="Q3387" i="1"/>
  <c r="M3387" i="1"/>
  <c r="L3387" i="1"/>
  <c r="V3386" i="1"/>
  <c r="U3386" i="1"/>
  <c r="T3386" i="1"/>
  <c r="W3386" i="1" s="1"/>
  <c r="S3386" i="1"/>
  <c r="R3386" i="1"/>
  <c r="Q3386" i="1"/>
  <c r="M3386" i="1"/>
  <c r="L3386" i="1"/>
  <c r="V3385" i="1"/>
  <c r="Z3385" i="1" s="1"/>
  <c r="U3385" i="1"/>
  <c r="T3385" i="1"/>
  <c r="W3385" i="1" s="1"/>
  <c r="S3385" i="1"/>
  <c r="R3385" i="1"/>
  <c r="Q3385" i="1"/>
  <c r="M3385" i="1"/>
  <c r="L3385" i="1"/>
  <c r="V3384" i="1"/>
  <c r="Z3384" i="1" s="1"/>
  <c r="U3384" i="1"/>
  <c r="T3384" i="1"/>
  <c r="W3384" i="1" s="1"/>
  <c r="S3384" i="1"/>
  <c r="R3384" i="1"/>
  <c r="Q3384" i="1"/>
  <c r="M3384" i="1"/>
  <c r="L3384" i="1"/>
  <c r="V3383" i="1"/>
  <c r="Z3383" i="1" s="1"/>
  <c r="U3383" i="1"/>
  <c r="T3383" i="1"/>
  <c r="W3383" i="1" s="1"/>
  <c r="S3383" i="1"/>
  <c r="R3383" i="1"/>
  <c r="Q3383" i="1"/>
  <c r="M3383" i="1"/>
  <c r="L3383" i="1"/>
  <c r="V3382" i="1"/>
  <c r="U3382" i="1"/>
  <c r="T3382" i="1"/>
  <c r="S3382" i="1"/>
  <c r="R3382" i="1"/>
  <c r="Q3382" i="1"/>
  <c r="M3382" i="1"/>
  <c r="L3382" i="1"/>
  <c r="V3381" i="1"/>
  <c r="Z3381" i="1" s="1"/>
  <c r="U3381" i="1"/>
  <c r="T3381" i="1"/>
  <c r="W3381" i="1" s="1"/>
  <c r="S3381" i="1"/>
  <c r="R3381" i="1"/>
  <c r="Q3381" i="1"/>
  <c r="M3381" i="1"/>
  <c r="L3381" i="1"/>
  <c r="V3380" i="1"/>
  <c r="Z3380" i="1" s="1"/>
  <c r="U3380" i="1"/>
  <c r="T3380" i="1"/>
  <c r="W3380" i="1" s="1"/>
  <c r="S3380" i="1"/>
  <c r="R3380" i="1"/>
  <c r="Q3380" i="1"/>
  <c r="M3380" i="1"/>
  <c r="L3380" i="1"/>
  <c r="V3379" i="1"/>
  <c r="U3379" i="1"/>
  <c r="T3379" i="1"/>
  <c r="W3379" i="1" s="1"/>
  <c r="S3379" i="1"/>
  <c r="R3379" i="1"/>
  <c r="Q3379" i="1"/>
  <c r="M3379" i="1"/>
  <c r="L3379" i="1"/>
  <c r="V3378" i="1"/>
  <c r="Z3378" i="1" s="1"/>
  <c r="U3378" i="1"/>
  <c r="T3378" i="1"/>
  <c r="S3378" i="1"/>
  <c r="R3378" i="1"/>
  <c r="Q3378" i="1"/>
  <c r="M3378" i="1"/>
  <c r="L3378" i="1"/>
  <c r="V3377" i="1"/>
  <c r="Z3377" i="1" s="1"/>
  <c r="U3377" i="1"/>
  <c r="T3377" i="1"/>
  <c r="W3377" i="1" s="1"/>
  <c r="S3377" i="1"/>
  <c r="R3377" i="1"/>
  <c r="Q3377" i="1"/>
  <c r="M3377" i="1"/>
  <c r="L3377" i="1"/>
  <c r="V3376" i="1"/>
  <c r="Z3376" i="1" s="1"/>
  <c r="U3376" i="1"/>
  <c r="T3376" i="1"/>
  <c r="W3376" i="1" s="1"/>
  <c r="S3376" i="1"/>
  <c r="R3376" i="1"/>
  <c r="Q3376" i="1"/>
  <c r="M3376" i="1"/>
  <c r="L3376" i="1"/>
  <c r="V3375" i="1"/>
  <c r="U3375" i="1"/>
  <c r="T3375" i="1"/>
  <c r="W3375" i="1" s="1"/>
  <c r="S3375" i="1"/>
  <c r="R3375" i="1"/>
  <c r="Q3375" i="1"/>
  <c r="M3375" i="1"/>
  <c r="L3375" i="1"/>
  <c r="V3374" i="1"/>
  <c r="Z3374" i="1" s="1"/>
  <c r="U3374" i="1"/>
  <c r="T3374" i="1"/>
  <c r="W3374" i="1" s="1"/>
  <c r="S3374" i="1"/>
  <c r="R3374" i="1"/>
  <c r="Q3374" i="1"/>
  <c r="M3374" i="1"/>
  <c r="L3374" i="1"/>
  <c r="V3373" i="1"/>
  <c r="Z3373" i="1" s="1"/>
  <c r="U3373" i="1"/>
  <c r="T3373" i="1"/>
  <c r="W3373" i="1" s="1"/>
  <c r="S3373" i="1"/>
  <c r="R3373" i="1"/>
  <c r="Q3373" i="1"/>
  <c r="M3373" i="1"/>
  <c r="L3373" i="1"/>
  <c r="V3372" i="1"/>
  <c r="Z3372" i="1" s="1"/>
  <c r="U3372" i="1"/>
  <c r="T3372" i="1"/>
  <c r="W3372" i="1" s="1"/>
  <c r="S3372" i="1"/>
  <c r="R3372" i="1"/>
  <c r="Q3372" i="1"/>
  <c r="M3372" i="1"/>
  <c r="L3372" i="1"/>
  <c r="V3371" i="1"/>
  <c r="Z3371" i="1" s="1"/>
  <c r="U3371" i="1"/>
  <c r="T3371" i="1"/>
  <c r="S3371" i="1"/>
  <c r="R3371" i="1"/>
  <c r="Q3371" i="1"/>
  <c r="M3371" i="1"/>
  <c r="L3371" i="1"/>
  <c r="V3370" i="1"/>
  <c r="Z3370" i="1" s="1"/>
  <c r="U3370" i="1"/>
  <c r="T3370" i="1"/>
  <c r="W3370" i="1" s="1"/>
  <c r="S3370" i="1"/>
  <c r="R3370" i="1"/>
  <c r="Q3370" i="1"/>
  <c r="M3370" i="1"/>
  <c r="L3370" i="1"/>
  <c r="V3369" i="1"/>
  <c r="Z3369" i="1" s="1"/>
  <c r="U3369" i="1"/>
  <c r="T3369" i="1"/>
  <c r="W3369" i="1" s="1"/>
  <c r="S3369" i="1"/>
  <c r="R3369" i="1"/>
  <c r="Q3369" i="1"/>
  <c r="M3369" i="1"/>
  <c r="L3369" i="1"/>
  <c r="V3368" i="1"/>
  <c r="U3368" i="1"/>
  <c r="T3368" i="1"/>
  <c r="W3368" i="1" s="1"/>
  <c r="S3368" i="1"/>
  <c r="R3368" i="1"/>
  <c r="Q3368" i="1"/>
  <c r="M3368" i="1"/>
  <c r="L3368" i="1"/>
  <c r="V3367" i="1"/>
  <c r="Z3367" i="1" s="1"/>
  <c r="U3367" i="1"/>
  <c r="T3367" i="1"/>
  <c r="W3367" i="1" s="1"/>
  <c r="S3367" i="1"/>
  <c r="R3367" i="1"/>
  <c r="Q3367" i="1"/>
  <c r="M3367" i="1"/>
  <c r="L3367" i="1"/>
  <c r="V3366" i="1"/>
  <c r="Z3366" i="1" s="1"/>
  <c r="U3366" i="1"/>
  <c r="T3366" i="1"/>
  <c r="W3366" i="1" s="1"/>
  <c r="S3366" i="1"/>
  <c r="R3366" i="1"/>
  <c r="Q3366" i="1"/>
  <c r="M3366" i="1"/>
  <c r="L3366" i="1"/>
  <c r="V3365" i="1"/>
  <c r="Z3365" i="1" s="1"/>
  <c r="U3365" i="1"/>
  <c r="T3365" i="1"/>
  <c r="W3365" i="1" s="1"/>
  <c r="S3365" i="1"/>
  <c r="R3365" i="1"/>
  <c r="Q3365" i="1"/>
  <c r="M3365" i="1"/>
  <c r="L3365" i="1"/>
  <c r="V3364" i="1"/>
  <c r="Z3364" i="1" s="1"/>
  <c r="U3364" i="1"/>
  <c r="T3364" i="1"/>
  <c r="S3364" i="1"/>
  <c r="R3364" i="1"/>
  <c r="Q3364" i="1"/>
  <c r="M3364" i="1"/>
  <c r="L3364" i="1"/>
  <c r="V3363" i="1"/>
  <c r="Z3363" i="1" s="1"/>
  <c r="U3363" i="1"/>
  <c r="T3363" i="1"/>
  <c r="W3363" i="1" s="1"/>
  <c r="S3363" i="1"/>
  <c r="R3363" i="1"/>
  <c r="Q3363" i="1"/>
  <c r="M3363" i="1"/>
  <c r="L3363" i="1"/>
  <c r="V3362" i="1"/>
  <c r="Z3362" i="1" s="1"/>
  <c r="U3362" i="1"/>
  <c r="T3362" i="1"/>
  <c r="W3362" i="1" s="1"/>
  <c r="S3362" i="1"/>
  <c r="R3362" i="1"/>
  <c r="Q3362" i="1"/>
  <c r="M3362" i="1"/>
  <c r="L3362" i="1"/>
  <c r="V3361" i="1"/>
  <c r="Z3361" i="1" s="1"/>
  <c r="U3361" i="1"/>
  <c r="T3361" i="1"/>
  <c r="S3361" i="1"/>
  <c r="R3361" i="1"/>
  <c r="Q3361" i="1"/>
  <c r="M3361" i="1"/>
  <c r="L3361" i="1"/>
  <c r="V3360" i="1"/>
  <c r="Z3360" i="1" s="1"/>
  <c r="U3360" i="1"/>
  <c r="T3360" i="1"/>
  <c r="W3360" i="1" s="1"/>
  <c r="S3360" i="1"/>
  <c r="R3360" i="1"/>
  <c r="Q3360" i="1"/>
  <c r="M3360" i="1"/>
  <c r="L3360" i="1"/>
  <c r="V3359" i="1"/>
  <c r="Z3359" i="1" s="1"/>
  <c r="U3359" i="1"/>
  <c r="T3359" i="1"/>
  <c r="W3359" i="1" s="1"/>
  <c r="S3359" i="1"/>
  <c r="R3359" i="1"/>
  <c r="Q3359" i="1"/>
  <c r="M3359" i="1"/>
  <c r="L3359" i="1"/>
  <c r="V3358" i="1"/>
  <c r="Z3358" i="1" s="1"/>
  <c r="U3358" i="1"/>
  <c r="T3358" i="1"/>
  <c r="S3358" i="1"/>
  <c r="R3358" i="1"/>
  <c r="Q3358" i="1"/>
  <c r="M3358" i="1"/>
  <c r="L3358" i="1"/>
  <c r="V3357" i="1"/>
  <c r="Z3357" i="1" s="1"/>
  <c r="U3357" i="1"/>
  <c r="T3357" i="1"/>
  <c r="S3357" i="1"/>
  <c r="R3357" i="1"/>
  <c r="Q3357" i="1"/>
  <c r="M3357" i="1"/>
  <c r="L3357" i="1"/>
  <c r="V3356" i="1"/>
  <c r="Z3356" i="1" s="1"/>
  <c r="U3356" i="1"/>
  <c r="T3356" i="1"/>
  <c r="W3356" i="1" s="1"/>
  <c r="S3356" i="1"/>
  <c r="R3356" i="1"/>
  <c r="Q3356" i="1"/>
  <c r="M3356" i="1"/>
  <c r="L3356" i="1"/>
  <c r="V3355" i="1"/>
  <c r="Z3355" i="1" s="1"/>
  <c r="U3355" i="1"/>
  <c r="T3355" i="1"/>
  <c r="W3355" i="1" s="1"/>
  <c r="S3355" i="1"/>
  <c r="R3355" i="1"/>
  <c r="Q3355" i="1"/>
  <c r="M3355" i="1"/>
  <c r="L3355" i="1"/>
  <c r="V3354" i="1"/>
  <c r="U3354" i="1"/>
  <c r="T3354" i="1"/>
  <c r="W3354" i="1" s="1"/>
  <c r="S3354" i="1"/>
  <c r="R3354" i="1"/>
  <c r="Q3354" i="1"/>
  <c r="M3354" i="1"/>
  <c r="L3354" i="1"/>
  <c r="V3353" i="1"/>
  <c r="Z3353" i="1" s="1"/>
  <c r="U3353" i="1"/>
  <c r="T3353" i="1"/>
  <c r="S3353" i="1"/>
  <c r="R3353" i="1"/>
  <c r="Q3353" i="1"/>
  <c r="M3353" i="1"/>
  <c r="L3353" i="1"/>
  <c r="V3352" i="1"/>
  <c r="Z3352" i="1" s="1"/>
  <c r="U3352" i="1"/>
  <c r="T3352" i="1"/>
  <c r="W3352" i="1" s="1"/>
  <c r="S3352" i="1"/>
  <c r="R3352" i="1"/>
  <c r="Q3352" i="1"/>
  <c r="M3352" i="1"/>
  <c r="L3352" i="1"/>
  <c r="V3351" i="1"/>
  <c r="U3351" i="1"/>
  <c r="T3351" i="1"/>
  <c r="W3351" i="1" s="1"/>
  <c r="S3351" i="1"/>
  <c r="R3351" i="1"/>
  <c r="Q3351" i="1"/>
  <c r="M3351" i="1"/>
  <c r="L3351" i="1"/>
  <c r="V3350" i="1"/>
  <c r="U3350" i="1"/>
  <c r="T3350" i="1"/>
  <c r="W3350" i="1" s="1"/>
  <c r="S3350" i="1"/>
  <c r="R3350" i="1"/>
  <c r="Q3350" i="1"/>
  <c r="M3350" i="1"/>
  <c r="L3350" i="1"/>
  <c r="V3349" i="1"/>
  <c r="Z3349" i="1" s="1"/>
  <c r="U3349" i="1"/>
  <c r="T3349" i="1"/>
  <c r="S3349" i="1"/>
  <c r="R3349" i="1"/>
  <c r="Q3349" i="1"/>
  <c r="M3349" i="1"/>
  <c r="L3349" i="1"/>
  <c r="V3348" i="1"/>
  <c r="Z3348" i="1" s="1"/>
  <c r="U3348" i="1"/>
  <c r="T3348" i="1"/>
  <c r="W3348" i="1" s="1"/>
  <c r="S3348" i="1"/>
  <c r="R3348" i="1"/>
  <c r="Q3348" i="1"/>
  <c r="M3348" i="1"/>
  <c r="L3348" i="1"/>
  <c r="V3347" i="1"/>
  <c r="U3347" i="1"/>
  <c r="T3347" i="1"/>
  <c r="W3347" i="1" s="1"/>
  <c r="S3347" i="1"/>
  <c r="R3347" i="1"/>
  <c r="Q3347" i="1"/>
  <c r="M3347" i="1"/>
  <c r="L3347" i="1"/>
  <c r="V3346" i="1"/>
  <c r="U3346" i="1"/>
  <c r="T3346" i="1"/>
  <c r="W3346" i="1" s="1"/>
  <c r="S3346" i="1"/>
  <c r="R3346" i="1"/>
  <c r="Q3346" i="1"/>
  <c r="M3346" i="1"/>
  <c r="L3346" i="1"/>
  <c r="V3345" i="1"/>
  <c r="Z3345" i="1" s="1"/>
  <c r="U3345" i="1"/>
  <c r="T3345" i="1"/>
  <c r="S3345" i="1"/>
  <c r="R3345" i="1"/>
  <c r="Q3345" i="1"/>
  <c r="M3345" i="1"/>
  <c r="L3345" i="1"/>
  <c r="V3344" i="1"/>
  <c r="Z3344" i="1" s="1"/>
  <c r="U3344" i="1"/>
  <c r="T3344" i="1"/>
  <c r="W3344" i="1" s="1"/>
  <c r="S3344" i="1"/>
  <c r="R3344" i="1"/>
  <c r="Q3344" i="1"/>
  <c r="M3344" i="1"/>
  <c r="L3344" i="1"/>
  <c r="V3343" i="1"/>
  <c r="U3343" i="1"/>
  <c r="T3343" i="1"/>
  <c r="W3343" i="1" s="1"/>
  <c r="S3343" i="1"/>
  <c r="R3343" i="1"/>
  <c r="Q3343" i="1"/>
  <c r="M3343" i="1"/>
  <c r="L3343" i="1"/>
  <c r="V3342" i="1"/>
  <c r="U3342" i="1"/>
  <c r="T3342" i="1"/>
  <c r="W3342" i="1" s="1"/>
  <c r="S3342" i="1"/>
  <c r="R3342" i="1"/>
  <c r="Q3342" i="1"/>
  <c r="M3342" i="1"/>
  <c r="L3342" i="1"/>
  <c r="V3341" i="1"/>
  <c r="Z3341" i="1" s="1"/>
  <c r="U3341" i="1"/>
  <c r="T3341" i="1"/>
  <c r="S3341" i="1"/>
  <c r="R3341" i="1"/>
  <c r="Q3341" i="1"/>
  <c r="M3341" i="1"/>
  <c r="L3341" i="1"/>
  <c r="V3340" i="1"/>
  <c r="Z3340" i="1" s="1"/>
  <c r="U3340" i="1"/>
  <c r="T3340" i="1"/>
  <c r="W3340" i="1" s="1"/>
  <c r="S3340" i="1"/>
  <c r="R3340" i="1"/>
  <c r="Q3340" i="1"/>
  <c r="M3340" i="1"/>
  <c r="L3340" i="1"/>
  <c r="V3339" i="1"/>
  <c r="U3339" i="1"/>
  <c r="T3339" i="1"/>
  <c r="W3339" i="1" s="1"/>
  <c r="S3339" i="1"/>
  <c r="R3339" i="1"/>
  <c r="Q3339" i="1"/>
  <c r="M3339" i="1"/>
  <c r="L3339" i="1"/>
  <c r="V3338" i="1"/>
  <c r="U3338" i="1"/>
  <c r="T3338" i="1"/>
  <c r="W3338" i="1" s="1"/>
  <c r="S3338" i="1"/>
  <c r="R3338" i="1"/>
  <c r="Q3338" i="1"/>
  <c r="M3338" i="1"/>
  <c r="L3338" i="1"/>
  <c r="V3337" i="1"/>
  <c r="Z3337" i="1" s="1"/>
  <c r="U3337" i="1"/>
  <c r="T3337" i="1"/>
  <c r="S3337" i="1"/>
  <c r="R3337" i="1"/>
  <c r="Q3337" i="1"/>
  <c r="M3337" i="1"/>
  <c r="L3337" i="1"/>
  <c r="V3336" i="1"/>
  <c r="Z3336" i="1" s="1"/>
  <c r="U3336" i="1"/>
  <c r="T3336" i="1"/>
  <c r="W3336" i="1" s="1"/>
  <c r="S3336" i="1"/>
  <c r="R3336" i="1"/>
  <c r="Q3336" i="1"/>
  <c r="M3336" i="1"/>
  <c r="L3336" i="1"/>
  <c r="V3335" i="1"/>
  <c r="U3335" i="1"/>
  <c r="T3335" i="1"/>
  <c r="W3335" i="1" s="1"/>
  <c r="S3335" i="1"/>
  <c r="R3335" i="1"/>
  <c r="Q3335" i="1"/>
  <c r="M3335" i="1"/>
  <c r="L3335" i="1"/>
  <c r="V3334" i="1"/>
  <c r="U3334" i="1"/>
  <c r="T3334" i="1"/>
  <c r="W3334" i="1" s="1"/>
  <c r="S3334" i="1"/>
  <c r="R3334" i="1"/>
  <c r="Q3334" i="1"/>
  <c r="M3334" i="1"/>
  <c r="L3334" i="1"/>
  <c r="V3333" i="1"/>
  <c r="Z3333" i="1" s="1"/>
  <c r="U3333" i="1"/>
  <c r="T3333" i="1"/>
  <c r="S3333" i="1"/>
  <c r="R3333" i="1"/>
  <c r="Q3333" i="1"/>
  <c r="M3333" i="1"/>
  <c r="L3333" i="1"/>
  <c r="V3332" i="1"/>
  <c r="Z3332" i="1" s="1"/>
  <c r="U3332" i="1"/>
  <c r="T3332" i="1"/>
  <c r="W3332" i="1" s="1"/>
  <c r="S3332" i="1"/>
  <c r="R3332" i="1"/>
  <c r="Q3332" i="1"/>
  <c r="M3332" i="1"/>
  <c r="L3332" i="1"/>
  <c r="V3331" i="1"/>
  <c r="U3331" i="1"/>
  <c r="T3331" i="1"/>
  <c r="W3331" i="1" s="1"/>
  <c r="S3331" i="1"/>
  <c r="R3331" i="1"/>
  <c r="Q3331" i="1"/>
  <c r="M3331" i="1"/>
  <c r="L3331" i="1"/>
  <c r="V3330" i="1"/>
  <c r="U3330" i="1"/>
  <c r="T3330" i="1"/>
  <c r="W3330" i="1" s="1"/>
  <c r="S3330" i="1"/>
  <c r="R3330" i="1"/>
  <c r="Q3330" i="1"/>
  <c r="M3330" i="1"/>
  <c r="L3330" i="1"/>
  <c r="V3329" i="1"/>
  <c r="Z3329" i="1" s="1"/>
  <c r="U3329" i="1"/>
  <c r="T3329" i="1"/>
  <c r="S3329" i="1"/>
  <c r="R3329" i="1"/>
  <c r="Q3329" i="1"/>
  <c r="M3329" i="1"/>
  <c r="L3329" i="1"/>
  <c r="V3328" i="1"/>
  <c r="Z3328" i="1" s="1"/>
  <c r="U3328" i="1"/>
  <c r="T3328" i="1"/>
  <c r="W3328" i="1" s="1"/>
  <c r="S3328" i="1"/>
  <c r="R3328" i="1"/>
  <c r="Q3328" i="1"/>
  <c r="M3328" i="1"/>
  <c r="L3328" i="1"/>
  <c r="V3327" i="1"/>
  <c r="U3327" i="1"/>
  <c r="T3327" i="1"/>
  <c r="W3327" i="1" s="1"/>
  <c r="S3327" i="1"/>
  <c r="R3327" i="1"/>
  <c r="Q3327" i="1"/>
  <c r="M3327" i="1"/>
  <c r="L3327" i="1"/>
  <c r="V3326" i="1"/>
  <c r="U3326" i="1"/>
  <c r="T3326" i="1"/>
  <c r="W3326" i="1" s="1"/>
  <c r="S3326" i="1"/>
  <c r="R3326" i="1"/>
  <c r="Q3326" i="1"/>
  <c r="M3326" i="1"/>
  <c r="L3326" i="1"/>
  <c r="V3325" i="1"/>
  <c r="Z3325" i="1" s="1"/>
  <c r="U3325" i="1"/>
  <c r="T3325" i="1"/>
  <c r="S3325" i="1"/>
  <c r="R3325" i="1"/>
  <c r="Q3325" i="1"/>
  <c r="M3325" i="1"/>
  <c r="L3325" i="1"/>
  <c r="V3324" i="1"/>
  <c r="Z3324" i="1" s="1"/>
  <c r="U3324" i="1"/>
  <c r="T3324" i="1"/>
  <c r="W3324" i="1" s="1"/>
  <c r="S3324" i="1"/>
  <c r="R3324" i="1"/>
  <c r="Q3324" i="1"/>
  <c r="M3324" i="1"/>
  <c r="L3324" i="1"/>
  <c r="V3323" i="1"/>
  <c r="U3323" i="1"/>
  <c r="T3323" i="1"/>
  <c r="W3323" i="1" s="1"/>
  <c r="S3323" i="1"/>
  <c r="R3323" i="1"/>
  <c r="Q3323" i="1"/>
  <c r="M3323" i="1"/>
  <c r="L3323" i="1"/>
  <c r="V3322" i="1"/>
  <c r="U3322" i="1"/>
  <c r="T3322" i="1"/>
  <c r="W3322" i="1" s="1"/>
  <c r="S3322" i="1"/>
  <c r="R3322" i="1"/>
  <c r="Q3322" i="1"/>
  <c r="M3322" i="1"/>
  <c r="L3322" i="1"/>
  <c r="V3321" i="1"/>
  <c r="Z3321" i="1" s="1"/>
  <c r="U3321" i="1"/>
  <c r="T3321" i="1"/>
  <c r="S3321" i="1"/>
  <c r="R3321" i="1"/>
  <c r="Q3321" i="1"/>
  <c r="M3321" i="1"/>
  <c r="L3321" i="1"/>
  <c r="V3320" i="1"/>
  <c r="Z3320" i="1" s="1"/>
  <c r="U3320" i="1"/>
  <c r="T3320" i="1"/>
  <c r="W3320" i="1" s="1"/>
  <c r="S3320" i="1"/>
  <c r="R3320" i="1"/>
  <c r="Q3320" i="1"/>
  <c r="M3320" i="1"/>
  <c r="L3320" i="1"/>
  <c r="V3319" i="1"/>
  <c r="U3319" i="1"/>
  <c r="T3319" i="1"/>
  <c r="W3319" i="1" s="1"/>
  <c r="S3319" i="1"/>
  <c r="R3319" i="1"/>
  <c r="Q3319" i="1"/>
  <c r="M3319" i="1"/>
  <c r="L3319" i="1"/>
  <c r="V3318" i="1"/>
  <c r="U3318" i="1"/>
  <c r="T3318" i="1"/>
  <c r="W3318" i="1" s="1"/>
  <c r="S3318" i="1"/>
  <c r="R3318" i="1"/>
  <c r="Q3318" i="1"/>
  <c r="M3318" i="1"/>
  <c r="L3318" i="1"/>
  <c r="V3317" i="1"/>
  <c r="Z3317" i="1" s="1"/>
  <c r="U3317" i="1"/>
  <c r="T3317" i="1"/>
  <c r="S3317" i="1"/>
  <c r="R3317" i="1"/>
  <c r="Q3317" i="1"/>
  <c r="M3317" i="1"/>
  <c r="L3317" i="1"/>
  <c r="V3316" i="1"/>
  <c r="Z3316" i="1" s="1"/>
  <c r="U3316" i="1"/>
  <c r="T3316" i="1"/>
  <c r="W3316" i="1" s="1"/>
  <c r="S3316" i="1"/>
  <c r="R3316" i="1"/>
  <c r="Q3316" i="1"/>
  <c r="M3316" i="1"/>
  <c r="L3316" i="1"/>
  <c r="V3315" i="1"/>
  <c r="U3315" i="1"/>
  <c r="T3315" i="1"/>
  <c r="W3315" i="1" s="1"/>
  <c r="S3315" i="1"/>
  <c r="R3315" i="1"/>
  <c r="Q3315" i="1"/>
  <c r="M3315" i="1"/>
  <c r="L3315" i="1"/>
  <c r="V3314" i="1"/>
  <c r="U3314" i="1"/>
  <c r="T3314" i="1"/>
  <c r="W3314" i="1" s="1"/>
  <c r="S3314" i="1"/>
  <c r="R3314" i="1"/>
  <c r="Q3314" i="1"/>
  <c r="M3314" i="1"/>
  <c r="L3314" i="1"/>
  <c r="V3313" i="1"/>
  <c r="Z3313" i="1" s="1"/>
  <c r="U3313" i="1"/>
  <c r="T3313" i="1"/>
  <c r="S3313" i="1"/>
  <c r="R3313" i="1"/>
  <c r="Q3313" i="1"/>
  <c r="M3313" i="1"/>
  <c r="L3313" i="1"/>
  <c r="V3312" i="1"/>
  <c r="Z3312" i="1" s="1"/>
  <c r="U3312" i="1"/>
  <c r="T3312" i="1"/>
  <c r="W3312" i="1" s="1"/>
  <c r="S3312" i="1"/>
  <c r="R3312" i="1"/>
  <c r="Q3312" i="1"/>
  <c r="M3312" i="1"/>
  <c r="L3312" i="1"/>
  <c r="V3311" i="1"/>
  <c r="U3311" i="1"/>
  <c r="T3311" i="1"/>
  <c r="W3311" i="1" s="1"/>
  <c r="S3311" i="1"/>
  <c r="R3311" i="1"/>
  <c r="Q3311" i="1"/>
  <c r="M3311" i="1"/>
  <c r="L3311" i="1"/>
  <c r="V3310" i="1"/>
  <c r="U3310" i="1"/>
  <c r="T3310" i="1"/>
  <c r="W3310" i="1" s="1"/>
  <c r="S3310" i="1"/>
  <c r="R3310" i="1"/>
  <c r="Q3310" i="1"/>
  <c r="M3310" i="1"/>
  <c r="L3310" i="1"/>
  <c r="V3309" i="1"/>
  <c r="Z3309" i="1" s="1"/>
  <c r="U3309" i="1"/>
  <c r="T3309" i="1"/>
  <c r="S3309" i="1"/>
  <c r="R3309" i="1"/>
  <c r="Q3309" i="1"/>
  <c r="M3309" i="1"/>
  <c r="L3309" i="1"/>
  <c r="V3308" i="1"/>
  <c r="Z3308" i="1" s="1"/>
  <c r="U3308" i="1"/>
  <c r="T3308" i="1"/>
  <c r="W3308" i="1" s="1"/>
  <c r="S3308" i="1"/>
  <c r="R3308" i="1"/>
  <c r="Q3308" i="1"/>
  <c r="M3308" i="1"/>
  <c r="L3308" i="1"/>
  <c r="V3307" i="1"/>
  <c r="Z3307" i="1" s="1"/>
  <c r="U3307" i="1"/>
  <c r="T3307" i="1"/>
  <c r="W3307" i="1" s="1"/>
  <c r="S3307" i="1"/>
  <c r="R3307" i="1"/>
  <c r="Q3307" i="1"/>
  <c r="M3307" i="1"/>
  <c r="L3307" i="1"/>
  <c r="V3306" i="1"/>
  <c r="U3306" i="1"/>
  <c r="T3306" i="1"/>
  <c r="W3306" i="1" s="1"/>
  <c r="S3306" i="1"/>
  <c r="R3306" i="1"/>
  <c r="Q3306" i="1"/>
  <c r="M3306" i="1"/>
  <c r="L3306" i="1"/>
  <c r="V3305" i="1"/>
  <c r="Z3305" i="1" s="1"/>
  <c r="U3305" i="1"/>
  <c r="T3305" i="1"/>
  <c r="S3305" i="1"/>
  <c r="R3305" i="1"/>
  <c r="Q3305" i="1"/>
  <c r="M3305" i="1"/>
  <c r="L3305" i="1"/>
  <c r="V3304" i="1"/>
  <c r="Z3304" i="1" s="1"/>
  <c r="U3304" i="1"/>
  <c r="T3304" i="1"/>
  <c r="W3304" i="1" s="1"/>
  <c r="S3304" i="1"/>
  <c r="R3304" i="1"/>
  <c r="Q3304" i="1"/>
  <c r="M3304" i="1"/>
  <c r="L3304" i="1"/>
  <c r="V3303" i="1"/>
  <c r="Z3303" i="1" s="1"/>
  <c r="U3303" i="1"/>
  <c r="T3303" i="1"/>
  <c r="W3303" i="1" s="1"/>
  <c r="S3303" i="1"/>
  <c r="R3303" i="1"/>
  <c r="Q3303" i="1"/>
  <c r="M3303" i="1"/>
  <c r="L3303" i="1"/>
  <c r="V3302" i="1"/>
  <c r="U3302" i="1"/>
  <c r="T3302" i="1"/>
  <c r="W3302" i="1" s="1"/>
  <c r="S3302" i="1"/>
  <c r="R3302" i="1"/>
  <c r="Q3302" i="1"/>
  <c r="M3302" i="1"/>
  <c r="L3302" i="1"/>
  <c r="V3301" i="1"/>
  <c r="Z3301" i="1" s="1"/>
  <c r="U3301" i="1"/>
  <c r="T3301" i="1"/>
  <c r="S3301" i="1"/>
  <c r="R3301" i="1"/>
  <c r="Q3301" i="1"/>
  <c r="M3301" i="1"/>
  <c r="L3301" i="1"/>
  <c r="V3300" i="1"/>
  <c r="Z3300" i="1" s="1"/>
  <c r="U3300" i="1"/>
  <c r="T3300" i="1"/>
  <c r="W3300" i="1" s="1"/>
  <c r="S3300" i="1"/>
  <c r="R3300" i="1"/>
  <c r="Q3300" i="1"/>
  <c r="M3300" i="1"/>
  <c r="L3300" i="1"/>
  <c r="V3299" i="1"/>
  <c r="Z3299" i="1" s="1"/>
  <c r="U3299" i="1"/>
  <c r="T3299" i="1"/>
  <c r="W3299" i="1" s="1"/>
  <c r="S3299" i="1"/>
  <c r="R3299" i="1"/>
  <c r="Q3299" i="1"/>
  <c r="M3299" i="1"/>
  <c r="L3299" i="1"/>
  <c r="V3298" i="1"/>
  <c r="U3298" i="1"/>
  <c r="T3298" i="1"/>
  <c r="W3298" i="1" s="1"/>
  <c r="S3298" i="1"/>
  <c r="R3298" i="1"/>
  <c r="Q3298" i="1"/>
  <c r="M3298" i="1"/>
  <c r="L3298" i="1"/>
  <c r="V3297" i="1"/>
  <c r="Z3297" i="1" s="1"/>
  <c r="U3297" i="1"/>
  <c r="T3297" i="1"/>
  <c r="S3297" i="1"/>
  <c r="R3297" i="1"/>
  <c r="Q3297" i="1"/>
  <c r="M3297" i="1"/>
  <c r="L3297" i="1"/>
  <c r="V3296" i="1"/>
  <c r="Z3296" i="1" s="1"/>
  <c r="U3296" i="1"/>
  <c r="T3296" i="1"/>
  <c r="W3296" i="1" s="1"/>
  <c r="S3296" i="1"/>
  <c r="R3296" i="1"/>
  <c r="Q3296" i="1"/>
  <c r="M3296" i="1"/>
  <c r="L3296" i="1"/>
  <c r="V3295" i="1"/>
  <c r="Z3295" i="1" s="1"/>
  <c r="U3295" i="1"/>
  <c r="T3295" i="1"/>
  <c r="W3295" i="1" s="1"/>
  <c r="S3295" i="1"/>
  <c r="R3295" i="1"/>
  <c r="Q3295" i="1"/>
  <c r="M3295" i="1"/>
  <c r="L3295" i="1"/>
  <c r="V3294" i="1"/>
  <c r="U3294" i="1"/>
  <c r="T3294" i="1"/>
  <c r="S3294" i="1"/>
  <c r="R3294" i="1"/>
  <c r="Q3294" i="1"/>
  <c r="M3294" i="1"/>
  <c r="L3294" i="1"/>
  <c r="V3293" i="1"/>
  <c r="Z3293" i="1" s="1"/>
  <c r="U3293" i="1"/>
  <c r="T3293" i="1"/>
  <c r="S3293" i="1"/>
  <c r="R3293" i="1"/>
  <c r="Q3293" i="1"/>
  <c r="M3293" i="1"/>
  <c r="L3293" i="1"/>
  <c r="V3292" i="1"/>
  <c r="Z3292" i="1" s="1"/>
  <c r="U3292" i="1"/>
  <c r="T3292" i="1"/>
  <c r="W3292" i="1" s="1"/>
  <c r="S3292" i="1"/>
  <c r="R3292" i="1"/>
  <c r="Q3292" i="1"/>
  <c r="M3292" i="1"/>
  <c r="L3292" i="1"/>
  <c r="V3291" i="1"/>
  <c r="Z3291" i="1" s="1"/>
  <c r="U3291" i="1"/>
  <c r="T3291" i="1"/>
  <c r="W3291" i="1" s="1"/>
  <c r="S3291" i="1"/>
  <c r="R3291" i="1"/>
  <c r="Q3291" i="1"/>
  <c r="M3291" i="1"/>
  <c r="L3291" i="1"/>
  <c r="V3290" i="1"/>
  <c r="U3290" i="1"/>
  <c r="T3290" i="1"/>
  <c r="W3290" i="1" s="1"/>
  <c r="S3290" i="1"/>
  <c r="R3290" i="1"/>
  <c r="Q3290" i="1"/>
  <c r="M3290" i="1"/>
  <c r="L3290" i="1"/>
  <c r="V3289" i="1"/>
  <c r="Z3289" i="1" s="1"/>
  <c r="U3289" i="1"/>
  <c r="T3289" i="1"/>
  <c r="S3289" i="1"/>
  <c r="R3289" i="1"/>
  <c r="Q3289" i="1"/>
  <c r="M3289" i="1"/>
  <c r="L3289" i="1"/>
  <c r="V3288" i="1"/>
  <c r="Z3288" i="1" s="1"/>
  <c r="U3288" i="1"/>
  <c r="T3288" i="1"/>
  <c r="W3288" i="1" s="1"/>
  <c r="S3288" i="1"/>
  <c r="R3288" i="1"/>
  <c r="Q3288" i="1"/>
  <c r="M3288" i="1"/>
  <c r="L3288" i="1"/>
  <c r="V3287" i="1"/>
  <c r="Z3287" i="1" s="1"/>
  <c r="U3287" i="1"/>
  <c r="T3287" i="1"/>
  <c r="W3287" i="1" s="1"/>
  <c r="S3287" i="1"/>
  <c r="R3287" i="1"/>
  <c r="Q3287" i="1"/>
  <c r="M3287" i="1"/>
  <c r="L3287" i="1"/>
  <c r="V3286" i="1"/>
  <c r="U3286" i="1"/>
  <c r="T3286" i="1"/>
  <c r="W3286" i="1" s="1"/>
  <c r="S3286" i="1"/>
  <c r="R3286" i="1"/>
  <c r="Q3286" i="1"/>
  <c r="M3286" i="1"/>
  <c r="L3286" i="1"/>
  <c r="V3285" i="1"/>
  <c r="Z3285" i="1" s="1"/>
  <c r="U3285" i="1"/>
  <c r="T3285" i="1"/>
  <c r="S3285" i="1"/>
  <c r="R3285" i="1"/>
  <c r="Q3285" i="1"/>
  <c r="M3285" i="1"/>
  <c r="L3285" i="1"/>
  <c r="V3284" i="1"/>
  <c r="Z3284" i="1" s="1"/>
  <c r="U3284" i="1"/>
  <c r="T3284" i="1"/>
  <c r="W3284" i="1" s="1"/>
  <c r="S3284" i="1"/>
  <c r="R3284" i="1"/>
  <c r="Q3284" i="1"/>
  <c r="M3284" i="1"/>
  <c r="L3284" i="1"/>
  <c r="V3283" i="1"/>
  <c r="U3283" i="1"/>
  <c r="T3283" i="1"/>
  <c r="W3283" i="1" s="1"/>
  <c r="S3283" i="1"/>
  <c r="R3283" i="1"/>
  <c r="Q3283" i="1"/>
  <c r="M3283" i="1"/>
  <c r="L3283" i="1"/>
  <c r="V3282" i="1"/>
  <c r="U3282" i="1"/>
  <c r="T3282" i="1"/>
  <c r="W3282" i="1" s="1"/>
  <c r="S3282" i="1"/>
  <c r="R3282" i="1"/>
  <c r="Q3282" i="1"/>
  <c r="M3282" i="1"/>
  <c r="L3282" i="1"/>
  <c r="V3281" i="1"/>
  <c r="Z3281" i="1" s="1"/>
  <c r="U3281" i="1"/>
  <c r="T3281" i="1"/>
  <c r="S3281" i="1"/>
  <c r="R3281" i="1"/>
  <c r="Q3281" i="1"/>
  <c r="M3281" i="1"/>
  <c r="L3281" i="1"/>
  <c r="V3280" i="1"/>
  <c r="Z3280" i="1" s="1"/>
  <c r="U3280" i="1"/>
  <c r="T3280" i="1"/>
  <c r="W3280" i="1" s="1"/>
  <c r="S3280" i="1"/>
  <c r="R3280" i="1"/>
  <c r="Q3280" i="1"/>
  <c r="M3280" i="1"/>
  <c r="L3280" i="1"/>
  <c r="V3279" i="1"/>
  <c r="U3279" i="1"/>
  <c r="T3279" i="1"/>
  <c r="W3279" i="1" s="1"/>
  <c r="S3279" i="1"/>
  <c r="R3279" i="1"/>
  <c r="Q3279" i="1"/>
  <c r="M3279" i="1"/>
  <c r="L3279" i="1"/>
  <c r="V3278" i="1"/>
  <c r="U3278" i="1"/>
  <c r="T3278" i="1"/>
  <c r="W3278" i="1" s="1"/>
  <c r="S3278" i="1"/>
  <c r="R3278" i="1"/>
  <c r="Q3278" i="1"/>
  <c r="M3278" i="1"/>
  <c r="L3278" i="1"/>
  <c r="V3277" i="1"/>
  <c r="Z3277" i="1" s="1"/>
  <c r="U3277" i="1"/>
  <c r="T3277" i="1"/>
  <c r="S3277" i="1"/>
  <c r="R3277" i="1"/>
  <c r="Q3277" i="1"/>
  <c r="M3277" i="1"/>
  <c r="L3277" i="1"/>
  <c r="V3276" i="1"/>
  <c r="Z3276" i="1" s="1"/>
  <c r="U3276" i="1"/>
  <c r="T3276" i="1"/>
  <c r="W3276" i="1" s="1"/>
  <c r="S3276" i="1"/>
  <c r="R3276" i="1"/>
  <c r="Q3276" i="1"/>
  <c r="M3276" i="1"/>
  <c r="L3276" i="1"/>
  <c r="V3275" i="1"/>
  <c r="U3275" i="1"/>
  <c r="T3275" i="1"/>
  <c r="W3275" i="1" s="1"/>
  <c r="S3275" i="1"/>
  <c r="R3275" i="1"/>
  <c r="Q3275" i="1"/>
  <c r="M3275" i="1"/>
  <c r="L3275" i="1"/>
  <c r="V3274" i="1"/>
  <c r="U3274" i="1"/>
  <c r="T3274" i="1"/>
  <c r="W3274" i="1" s="1"/>
  <c r="S3274" i="1"/>
  <c r="R3274" i="1"/>
  <c r="Q3274" i="1"/>
  <c r="M3274" i="1"/>
  <c r="L3274" i="1"/>
  <c r="V3273" i="1"/>
  <c r="Z3273" i="1" s="1"/>
  <c r="U3273" i="1"/>
  <c r="T3273" i="1"/>
  <c r="S3273" i="1"/>
  <c r="R3273" i="1"/>
  <c r="Q3273" i="1"/>
  <c r="M3273" i="1"/>
  <c r="L3273" i="1"/>
  <c r="V3272" i="1"/>
  <c r="Z3272" i="1" s="1"/>
  <c r="U3272" i="1"/>
  <c r="T3272" i="1"/>
  <c r="W3272" i="1" s="1"/>
  <c r="S3272" i="1"/>
  <c r="R3272" i="1"/>
  <c r="Q3272" i="1"/>
  <c r="M3272" i="1"/>
  <c r="L3272" i="1"/>
  <c r="V3271" i="1"/>
  <c r="U3271" i="1"/>
  <c r="T3271" i="1"/>
  <c r="W3271" i="1" s="1"/>
  <c r="S3271" i="1"/>
  <c r="R3271" i="1"/>
  <c r="Q3271" i="1"/>
  <c r="M3271" i="1"/>
  <c r="L3271" i="1"/>
  <c r="V3270" i="1"/>
  <c r="U3270" i="1"/>
  <c r="T3270" i="1"/>
  <c r="W3270" i="1" s="1"/>
  <c r="S3270" i="1"/>
  <c r="R3270" i="1"/>
  <c r="Q3270" i="1"/>
  <c r="M3270" i="1"/>
  <c r="L3270" i="1"/>
  <c r="V3269" i="1"/>
  <c r="Z3269" i="1" s="1"/>
  <c r="U3269" i="1"/>
  <c r="T3269" i="1"/>
  <c r="S3269" i="1"/>
  <c r="R3269" i="1"/>
  <c r="Q3269" i="1"/>
  <c r="M3269" i="1"/>
  <c r="L3269" i="1"/>
  <c r="V3268" i="1"/>
  <c r="Z3268" i="1" s="1"/>
  <c r="U3268" i="1"/>
  <c r="T3268" i="1"/>
  <c r="W3268" i="1" s="1"/>
  <c r="S3268" i="1"/>
  <c r="R3268" i="1"/>
  <c r="Q3268" i="1"/>
  <c r="M3268" i="1"/>
  <c r="L3268" i="1"/>
  <c r="V3267" i="1"/>
  <c r="Z3267" i="1" s="1"/>
  <c r="U3267" i="1"/>
  <c r="T3267" i="1"/>
  <c r="W3267" i="1" s="1"/>
  <c r="S3267" i="1"/>
  <c r="R3267" i="1"/>
  <c r="Q3267" i="1"/>
  <c r="M3267" i="1"/>
  <c r="L3267" i="1"/>
  <c r="V3266" i="1"/>
  <c r="U3266" i="1"/>
  <c r="T3266" i="1"/>
  <c r="S3266" i="1"/>
  <c r="R3266" i="1"/>
  <c r="Q3266" i="1"/>
  <c r="M3266" i="1"/>
  <c r="L3266" i="1"/>
  <c r="V3265" i="1"/>
  <c r="Z3265" i="1" s="1"/>
  <c r="U3265" i="1"/>
  <c r="T3265" i="1"/>
  <c r="S3265" i="1"/>
  <c r="R3265" i="1"/>
  <c r="Q3265" i="1"/>
  <c r="M3265" i="1"/>
  <c r="L3265" i="1"/>
  <c r="V3264" i="1"/>
  <c r="Z3264" i="1" s="1"/>
  <c r="U3264" i="1"/>
  <c r="T3264" i="1"/>
  <c r="W3264" i="1" s="1"/>
  <c r="S3264" i="1"/>
  <c r="R3264" i="1"/>
  <c r="Q3264" i="1"/>
  <c r="M3264" i="1"/>
  <c r="L3264" i="1"/>
  <c r="V3263" i="1"/>
  <c r="U3263" i="1"/>
  <c r="T3263" i="1"/>
  <c r="W3263" i="1" s="1"/>
  <c r="S3263" i="1"/>
  <c r="R3263" i="1"/>
  <c r="Q3263" i="1"/>
  <c r="M3263" i="1"/>
  <c r="L3263" i="1"/>
  <c r="V3262" i="1"/>
  <c r="U3262" i="1"/>
  <c r="T3262" i="1"/>
  <c r="W3262" i="1" s="1"/>
  <c r="S3262" i="1"/>
  <c r="R3262" i="1"/>
  <c r="Q3262" i="1"/>
  <c r="M3262" i="1"/>
  <c r="L3262" i="1"/>
  <c r="V3261" i="1"/>
  <c r="Z3261" i="1" s="1"/>
  <c r="U3261" i="1"/>
  <c r="T3261" i="1"/>
  <c r="S3261" i="1"/>
  <c r="R3261" i="1"/>
  <c r="Q3261" i="1"/>
  <c r="M3261" i="1"/>
  <c r="L3261" i="1"/>
  <c r="V3260" i="1"/>
  <c r="Z3260" i="1" s="1"/>
  <c r="U3260" i="1"/>
  <c r="T3260" i="1"/>
  <c r="W3260" i="1" s="1"/>
  <c r="S3260" i="1"/>
  <c r="R3260" i="1"/>
  <c r="Q3260" i="1"/>
  <c r="M3260" i="1"/>
  <c r="L3260" i="1"/>
  <c r="V3259" i="1"/>
  <c r="Z3259" i="1" s="1"/>
  <c r="U3259" i="1"/>
  <c r="T3259" i="1"/>
  <c r="W3259" i="1" s="1"/>
  <c r="S3259" i="1"/>
  <c r="R3259" i="1"/>
  <c r="Q3259" i="1"/>
  <c r="M3259" i="1"/>
  <c r="L3259" i="1"/>
  <c r="V3258" i="1"/>
  <c r="U3258" i="1"/>
  <c r="T3258" i="1"/>
  <c r="S3258" i="1"/>
  <c r="R3258" i="1"/>
  <c r="Q3258" i="1"/>
  <c r="M3258" i="1"/>
  <c r="L3258" i="1"/>
  <c r="V3257" i="1"/>
  <c r="Z3257" i="1" s="1"/>
  <c r="U3257" i="1"/>
  <c r="T3257" i="1"/>
  <c r="S3257" i="1"/>
  <c r="R3257" i="1"/>
  <c r="Q3257" i="1"/>
  <c r="M3257" i="1"/>
  <c r="L3257" i="1"/>
  <c r="V3256" i="1"/>
  <c r="Z3256" i="1" s="1"/>
  <c r="U3256" i="1"/>
  <c r="T3256" i="1"/>
  <c r="W3256" i="1" s="1"/>
  <c r="S3256" i="1"/>
  <c r="R3256" i="1"/>
  <c r="Q3256" i="1"/>
  <c r="M3256" i="1"/>
  <c r="L3256" i="1"/>
  <c r="V3255" i="1"/>
  <c r="U3255" i="1"/>
  <c r="T3255" i="1"/>
  <c r="W3255" i="1" s="1"/>
  <c r="S3255" i="1"/>
  <c r="R3255" i="1"/>
  <c r="Q3255" i="1"/>
  <c r="M3255" i="1"/>
  <c r="L3255" i="1"/>
  <c r="V3254" i="1"/>
  <c r="U3254" i="1"/>
  <c r="T3254" i="1"/>
  <c r="W3254" i="1" s="1"/>
  <c r="S3254" i="1"/>
  <c r="R3254" i="1"/>
  <c r="Q3254" i="1"/>
  <c r="M3254" i="1"/>
  <c r="L3254" i="1"/>
  <c r="V3253" i="1"/>
  <c r="Z3253" i="1" s="1"/>
  <c r="U3253" i="1"/>
  <c r="T3253" i="1"/>
  <c r="S3253" i="1"/>
  <c r="R3253" i="1"/>
  <c r="Q3253" i="1"/>
  <c r="M3253" i="1"/>
  <c r="L3253" i="1"/>
  <c r="V3252" i="1"/>
  <c r="Z3252" i="1" s="1"/>
  <c r="U3252" i="1"/>
  <c r="T3252" i="1"/>
  <c r="W3252" i="1" s="1"/>
  <c r="S3252" i="1"/>
  <c r="R3252" i="1"/>
  <c r="Q3252" i="1"/>
  <c r="M3252" i="1"/>
  <c r="L3252" i="1"/>
  <c r="V3251" i="1"/>
  <c r="Z3251" i="1" s="1"/>
  <c r="U3251" i="1"/>
  <c r="T3251" i="1"/>
  <c r="W3251" i="1" s="1"/>
  <c r="S3251" i="1"/>
  <c r="R3251" i="1"/>
  <c r="Q3251" i="1"/>
  <c r="M3251" i="1"/>
  <c r="L3251" i="1"/>
  <c r="V3250" i="1"/>
  <c r="U3250" i="1"/>
  <c r="T3250" i="1"/>
  <c r="W3250" i="1" s="1"/>
  <c r="S3250" i="1"/>
  <c r="R3250" i="1"/>
  <c r="Q3250" i="1"/>
  <c r="M3250" i="1"/>
  <c r="L3250" i="1"/>
  <c r="V3249" i="1"/>
  <c r="Z3249" i="1" s="1"/>
  <c r="U3249" i="1"/>
  <c r="T3249" i="1"/>
  <c r="S3249" i="1"/>
  <c r="R3249" i="1"/>
  <c r="Q3249" i="1"/>
  <c r="M3249" i="1"/>
  <c r="L3249" i="1"/>
  <c r="V3248" i="1"/>
  <c r="Z3248" i="1" s="1"/>
  <c r="U3248" i="1"/>
  <c r="T3248" i="1"/>
  <c r="W3248" i="1" s="1"/>
  <c r="S3248" i="1"/>
  <c r="R3248" i="1"/>
  <c r="Q3248" i="1"/>
  <c r="M3248" i="1"/>
  <c r="L3248" i="1"/>
  <c r="V3247" i="1"/>
  <c r="Z3247" i="1" s="1"/>
  <c r="U3247" i="1"/>
  <c r="T3247" i="1"/>
  <c r="W3247" i="1" s="1"/>
  <c r="S3247" i="1"/>
  <c r="R3247" i="1"/>
  <c r="Q3247" i="1"/>
  <c r="M3247" i="1"/>
  <c r="L3247" i="1"/>
  <c r="V3246" i="1"/>
  <c r="U3246" i="1"/>
  <c r="T3246" i="1"/>
  <c r="S3246" i="1"/>
  <c r="R3246" i="1"/>
  <c r="Q3246" i="1"/>
  <c r="M3246" i="1"/>
  <c r="L3246" i="1"/>
  <c r="V3245" i="1"/>
  <c r="Z3245" i="1" s="1"/>
  <c r="U3245" i="1"/>
  <c r="T3245" i="1"/>
  <c r="S3245" i="1"/>
  <c r="R3245" i="1"/>
  <c r="Q3245" i="1"/>
  <c r="M3245" i="1"/>
  <c r="L3245" i="1"/>
  <c r="V3244" i="1"/>
  <c r="Z3244" i="1" s="1"/>
  <c r="U3244" i="1"/>
  <c r="T3244" i="1"/>
  <c r="W3244" i="1" s="1"/>
  <c r="S3244" i="1"/>
  <c r="R3244" i="1"/>
  <c r="Q3244" i="1"/>
  <c r="M3244" i="1"/>
  <c r="L3244" i="1"/>
  <c r="V3243" i="1"/>
  <c r="Z3243" i="1" s="1"/>
  <c r="U3243" i="1"/>
  <c r="T3243" i="1"/>
  <c r="W3243" i="1" s="1"/>
  <c r="S3243" i="1"/>
  <c r="R3243" i="1"/>
  <c r="Q3243" i="1"/>
  <c r="M3243" i="1"/>
  <c r="L3243" i="1"/>
  <c r="V3242" i="1"/>
  <c r="U3242" i="1"/>
  <c r="T3242" i="1"/>
  <c r="W3242" i="1" s="1"/>
  <c r="S3242" i="1"/>
  <c r="R3242" i="1"/>
  <c r="Q3242" i="1"/>
  <c r="M3242" i="1"/>
  <c r="L3242" i="1"/>
  <c r="V3241" i="1"/>
  <c r="Z3241" i="1" s="1"/>
  <c r="U3241" i="1"/>
  <c r="T3241" i="1"/>
  <c r="S3241" i="1"/>
  <c r="R3241" i="1"/>
  <c r="Q3241" i="1"/>
  <c r="M3241" i="1"/>
  <c r="L3241" i="1"/>
  <c r="V3240" i="1"/>
  <c r="Z3240" i="1" s="1"/>
  <c r="U3240" i="1"/>
  <c r="T3240" i="1"/>
  <c r="W3240" i="1" s="1"/>
  <c r="S3240" i="1"/>
  <c r="R3240" i="1"/>
  <c r="Q3240" i="1"/>
  <c r="M3240" i="1"/>
  <c r="L3240" i="1"/>
  <c r="V3239" i="1"/>
  <c r="Z3239" i="1" s="1"/>
  <c r="U3239" i="1"/>
  <c r="T3239" i="1"/>
  <c r="W3239" i="1" s="1"/>
  <c r="S3239" i="1"/>
  <c r="R3239" i="1"/>
  <c r="Q3239" i="1"/>
  <c r="M3239" i="1"/>
  <c r="L3239" i="1"/>
  <c r="V3238" i="1"/>
  <c r="U3238" i="1"/>
  <c r="T3238" i="1"/>
  <c r="W3238" i="1" s="1"/>
  <c r="S3238" i="1"/>
  <c r="R3238" i="1"/>
  <c r="Q3238" i="1"/>
  <c r="M3238" i="1"/>
  <c r="L3238" i="1"/>
  <c r="V3237" i="1"/>
  <c r="Z3237" i="1" s="1"/>
  <c r="U3237" i="1"/>
  <c r="T3237" i="1"/>
  <c r="S3237" i="1"/>
  <c r="R3237" i="1"/>
  <c r="Q3237" i="1"/>
  <c r="M3237" i="1"/>
  <c r="L3237" i="1"/>
  <c r="V3236" i="1"/>
  <c r="Z3236" i="1" s="1"/>
  <c r="U3236" i="1"/>
  <c r="T3236" i="1"/>
  <c r="W3236" i="1" s="1"/>
  <c r="S3236" i="1"/>
  <c r="R3236" i="1"/>
  <c r="Q3236" i="1"/>
  <c r="M3236" i="1"/>
  <c r="L3236" i="1"/>
  <c r="V3235" i="1"/>
  <c r="U3235" i="1"/>
  <c r="T3235" i="1"/>
  <c r="W3235" i="1" s="1"/>
  <c r="S3235" i="1"/>
  <c r="R3235" i="1"/>
  <c r="Q3235" i="1"/>
  <c r="M3235" i="1"/>
  <c r="L3235" i="1"/>
  <c r="V3234" i="1"/>
  <c r="U3234" i="1"/>
  <c r="T3234" i="1"/>
  <c r="W3234" i="1" s="1"/>
  <c r="S3234" i="1"/>
  <c r="R3234" i="1"/>
  <c r="Q3234" i="1"/>
  <c r="M3234" i="1"/>
  <c r="L3234" i="1"/>
  <c r="V3233" i="1"/>
  <c r="Z3233" i="1" s="1"/>
  <c r="U3233" i="1"/>
  <c r="T3233" i="1"/>
  <c r="S3233" i="1"/>
  <c r="R3233" i="1"/>
  <c r="Q3233" i="1"/>
  <c r="M3233" i="1"/>
  <c r="L3233" i="1"/>
  <c r="V3232" i="1"/>
  <c r="Z3232" i="1" s="1"/>
  <c r="U3232" i="1"/>
  <c r="T3232" i="1"/>
  <c r="W3232" i="1" s="1"/>
  <c r="S3232" i="1"/>
  <c r="R3232" i="1"/>
  <c r="Q3232" i="1"/>
  <c r="M3232" i="1"/>
  <c r="L3232" i="1"/>
  <c r="V3231" i="1"/>
  <c r="Z3231" i="1" s="1"/>
  <c r="U3231" i="1"/>
  <c r="T3231" i="1"/>
  <c r="W3231" i="1" s="1"/>
  <c r="S3231" i="1"/>
  <c r="R3231" i="1"/>
  <c r="Q3231" i="1"/>
  <c r="M3231" i="1"/>
  <c r="L3231" i="1"/>
  <c r="V3230" i="1"/>
  <c r="U3230" i="1"/>
  <c r="T3230" i="1"/>
  <c r="W3230" i="1" s="1"/>
  <c r="S3230" i="1"/>
  <c r="R3230" i="1"/>
  <c r="Q3230" i="1"/>
  <c r="M3230" i="1"/>
  <c r="L3230" i="1"/>
  <c r="V3229" i="1"/>
  <c r="Z3229" i="1" s="1"/>
  <c r="U3229" i="1"/>
  <c r="T3229" i="1"/>
  <c r="S3229" i="1"/>
  <c r="R3229" i="1"/>
  <c r="Q3229" i="1"/>
  <c r="M3229" i="1"/>
  <c r="L3229" i="1"/>
  <c r="V3228" i="1"/>
  <c r="Z3228" i="1" s="1"/>
  <c r="U3228" i="1"/>
  <c r="T3228" i="1"/>
  <c r="W3228" i="1" s="1"/>
  <c r="S3228" i="1"/>
  <c r="R3228" i="1"/>
  <c r="Q3228" i="1"/>
  <c r="M3228" i="1"/>
  <c r="L3228" i="1"/>
  <c r="V3227" i="1"/>
  <c r="Z3227" i="1" s="1"/>
  <c r="U3227" i="1"/>
  <c r="T3227" i="1"/>
  <c r="W3227" i="1" s="1"/>
  <c r="S3227" i="1"/>
  <c r="R3227" i="1"/>
  <c r="Q3227" i="1"/>
  <c r="M3227" i="1"/>
  <c r="L3227" i="1"/>
  <c r="V3226" i="1"/>
  <c r="U3226" i="1"/>
  <c r="T3226" i="1"/>
  <c r="S3226" i="1"/>
  <c r="R3226" i="1"/>
  <c r="Q3226" i="1"/>
  <c r="M3226" i="1"/>
  <c r="L3226" i="1"/>
  <c r="V3225" i="1"/>
  <c r="Z3225" i="1" s="1"/>
  <c r="U3225" i="1"/>
  <c r="T3225" i="1"/>
  <c r="S3225" i="1"/>
  <c r="R3225" i="1"/>
  <c r="Q3225" i="1"/>
  <c r="M3225" i="1"/>
  <c r="L3225" i="1"/>
  <c r="V3224" i="1"/>
  <c r="Z3224" i="1" s="1"/>
  <c r="U3224" i="1"/>
  <c r="T3224" i="1"/>
  <c r="W3224" i="1" s="1"/>
  <c r="S3224" i="1"/>
  <c r="R3224" i="1"/>
  <c r="Q3224" i="1"/>
  <c r="M3224" i="1"/>
  <c r="L3224" i="1"/>
  <c r="V3223" i="1"/>
  <c r="U3223" i="1"/>
  <c r="T3223" i="1"/>
  <c r="W3223" i="1" s="1"/>
  <c r="S3223" i="1"/>
  <c r="R3223" i="1"/>
  <c r="Q3223" i="1"/>
  <c r="M3223" i="1"/>
  <c r="L3223" i="1"/>
  <c r="V3222" i="1"/>
  <c r="U3222" i="1"/>
  <c r="T3222" i="1"/>
  <c r="W3222" i="1" s="1"/>
  <c r="S3222" i="1"/>
  <c r="R3222" i="1"/>
  <c r="Q3222" i="1"/>
  <c r="M3222" i="1"/>
  <c r="L3222" i="1"/>
  <c r="V3221" i="1"/>
  <c r="Z3221" i="1" s="1"/>
  <c r="U3221" i="1"/>
  <c r="T3221" i="1"/>
  <c r="S3221" i="1"/>
  <c r="R3221" i="1"/>
  <c r="Q3221" i="1"/>
  <c r="M3221" i="1"/>
  <c r="L3221" i="1"/>
  <c r="V3220" i="1"/>
  <c r="Z3220" i="1" s="1"/>
  <c r="U3220" i="1"/>
  <c r="T3220" i="1"/>
  <c r="W3220" i="1" s="1"/>
  <c r="S3220" i="1"/>
  <c r="R3220" i="1"/>
  <c r="Q3220" i="1"/>
  <c r="M3220" i="1"/>
  <c r="L3220" i="1"/>
  <c r="V3219" i="1"/>
  <c r="Z3219" i="1" s="1"/>
  <c r="U3219" i="1"/>
  <c r="T3219" i="1"/>
  <c r="W3219" i="1" s="1"/>
  <c r="S3219" i="1"/>
  <c r="R3219" i="1"/>
  <c r="Q3219" i="1"/>
  <c r="M3219" i="1"/>
  <c r="L3219" i="1"/>
  <c r="V3218" i="1"/>
  <c r="U3218" i="1"/>
  <c r="T3218" i="1"/>
  <c r="W3218" i="1" s="1"/>
  <c r="S3218" i="1"/>
  <c r="R3218" i="1"/>
  <c r="Q3218" i="1"/>
  <c r="M3218" i="1"/>
  <c r="L3218" i="1"/>
  <c r="V3217" i="1"/>
  <c r="Z3217" i="1" s="1"/>
  <c r="U3217" i="1"/>
  <c r="T3217" i="1"/>
  <c r="S3217" i="1"/>
  <c r="R3217" i="1"/>
  <c r="Q3217" i="1"/>
  <c r="M3217" i="1"/>
  <c r="L3217" i="1"/>
  <c r="V3216" i="1"/>
  <c r="Z3216" i="1" s="1"/>
  <c r="U3216" i="1"/>
  <c r="T3216" i="1"/>
  <c r="W3216" i="1" s="1"/>
  <c r="S3216" i="1"/>
  <c r="R3216" i="1"/>
  <c r="Q3216" i="1"/>
  <c r="M3216" i="1"/>
  <c r="L3216" i="1"/>
  <c r="V3215" i="1"/>
  <c r="Z3215" i="1" s="1"/>
  <c r="U3215" i="1"/>
  <c r="T3215" i="1"/>
  <c r="W3215" i="1" s="1"/>
  <c r="S3215" i="1"/>
  <c r="R3215" i="1"/>
  <c r="Q3215" i="1"/>
  <c r="M3215" i="1"/>
  <c r="L3215" i="1"/>
  <c r="V3214" i="1"/>
  <c r="U3214" i="1"/>
  <c r="T3214" i="1"/>
  <c r="S3214" i="1"/>
  <c r="R3214" i="1"/>
  <c r="Q3214" i="1"/>
  <c r="M3214" i="1"/>
  <c r="L3214" i="1"/>
  <c r="V3213" i="1"/>
  <c r="Z3213" i="1" s="1"/>
  <c r="U3213" i="1"/>
  <c r="T3213" i="1"/>
  <c r="S3213" i="1"/>
  <c r="R3213" i="1"/>
  <c r="Q3213" i="1"/>
  <c r="M3213" i="1"/>
  <c r="L3213" i="1"/>
  <c r="V3212" i="1"/>
  <c r="Z3212" i="1" s="1"/>
  <c r="U3212" i="1"/>
  <c r="T3212" i="1"/>
  <c r="W3212" i="1" s="1"/>
  <c r="S3212" i="1"/>
  <c r="R3212" i="1"/>
  <c r="Q3212" i="1"/>
  <c r="M3212" i="1"/>
  <c r="L3212" i="1"/>
  <c r="V3211" i="1"/>
  <c r="Z3211" i="1" s="1"/>
  <c r="U3211" i="1"/>
  <c r="T3211" i="1"/>
  <c r="W3211" i="1" s="1"/>
  <c r="S3211" i="1"/>
  <c r="R3211" i="1"/>
  <c r="Q3211" i="1"/>
  <c r="M3211" i="1"/>
  <c r="L3211" i="1"/>
  <c r="V3210" i="1"/>
  <c r="U3210" i="1"/>
  <c r="T3210" i="1"/>
  <c r="W3210" i="1" s="1"/>
  <c r="S3210" i="1"/>
  <c r="R3210" i="1"/>
  <c r="Q3210" i="1"/>
  <c r="M3210" i="1"/>
  <c r="L3210" i="1"/>
  <c r="V3209" i="1"/>
  <c r="Z3209" i="1" s="1"/>
  <c r="U3209" i="1"/>
  <c r="T3209" i="1"/>
  <c r="S3209" i="1"/>
  <c r="R3209" i="1"/>
  <c r="Q3209" i="1"/>
  <c r="M3209" i="1"/>
  <c r="L3209" i="1"/>
  <c r="V3208" i="1"/>
  <c r="Z3208" i="1" s="1"/>
  <c r="U3208" i="1"/>
  <c r="T3208" i="1"/>
  <c r="W3208" i="1" s="1"/>
  <c r="S3208" i="1"/>
  <c r="R3208" i="1"/>
  <c r="Q3208" i="1"/>
  <c r="M3208" i="1"/>
  <c r="L3208" i="1"/>
  <c r="V3207" i="1"/>
  <c r="Z3207" i="1" s="1"/>
  <c r="U3207" i="1"/>
  <c r="T3207" i="1"/>
  <c r="W3207" i="1" s="1"/>
  <c r="S3207" i="1"/>
  <c r="R3207" i="1"/>
  <c r="Q3207" i="1"/>
  <c r="M3207" i="1"/>
  <c r="L3207" i="1"/>
  <c r="V3206" i="1"/>
  <c r="U3206" i="1"/>
  <c r="T3206" i="1"/>
  <c r="W3206" i="1" s="1"/>
  <c r="S3206" i="1"/>
  <c r="R3206" i="1"/>
  <c r="Q3206" i="1"/>
  <c r="M3206" i="1"/>
  <c r="L3206" i="1"/>
  <c r="V3205" i="1"/>
  <c r="Z3205" i="1" s="1"/>
  <c r="U3205" i="1"/>
  <c r="T3205" i="1"/>
  <c r="S3205" i="1"/>
  <c r="R3205" i="1"/>
  <c r="Q3205" i="1"/>
  <c r="M3205" i="1"/>
  <c r="L3205" i="1"/>
  <c r="V3204" i="1"/>
  <c r="Z3204" i="1" s="1"/>
  <c r="U3204" i="1"/>
  <c r="T3204" i="1"/>
  <c r="W3204" i="1" s="1"/>
  <c r="S3204" i="1"/>
  <c r="R3204" i="1"/>
  <c r="Q3204" i="1"/>
  <c r="M3204" i="1"/>
  <c r="L3204" i="1"/>
  <c r="V3203" i="1"/>
  <c r="U3203" i="1"/>
  <c r="T3203" i="1"/>
  <c r="W3203" i="1" s="1"/>
  <c r="S3203" i="1"/>
  <c r="R3203" i="1"/>
  <c r="Q3203" i="1"/>
  <c r="M3203" i="1"/>
  <c r="L3203" i="1"/>
  <c r="V3202" i="1"/>
  <c r="U3202" i="1"/>
  <c r="T3202" i="1"/>
  <c r="W3202" i="1" s="1"/>
  <c r="S3202" i="1"/>
  <c r="R3202" i="1"/>
  <c r="Q3202" i="1"/>
  <c r="M3202" i="1"/>
  <c r="L3202" i="1"/>
  <c r="V3201" i="1"/>
  <c r="Z3201" i="1" s="1"/>
  <c r="U3201" i="1"/>
  <c r="T3201" i="1"/>
  <c r="S3201" i="1"/>
  <c r="R3201" i="1"/>
  <c r="Q3201" i="1"/>
  <c r="M3201" i="1"/>
  <c r="L3201" i="1"/>
  <c r="V3200" i="1"/>
  <c r="Z3200" i="1" s="1"/>
  <c r="U3200" i="1"/>
  <c r="T3200" i="1"/>
  <c r="W3200" i="1" s="1"/>
  <c r="S3200" i="1"/>
  <c r="R3200" i="1"/>
  <c r="Q3200" i="1"/>
  <c r="M3200" i="1"/>
  <c r="L3200" i="1"/>
  <c r="V3199" i="1"/>
  <c r="Z3199" i="1" s="1"/>
  <c r="U3199" i="1"/>
  <c r="T3199" i="1"/>
  <c r="W3199" i="1" s="1"/>
  <c r="S3199" i="1"/>
  <c r="R3199" i="1"/>
  <c r="Q3199" i="1"/>
  <c r="M3199" i="1"/>
  <c r="L3199" i="1"/>
  <c r="V3198" i="1"/>
  <c r="U3198" i="1"/>
  <c r="T3198" i="1"/>
  <c r="W3198" i="1" s="1"/>
  <c r="S3198" i="1"/>
  <c r="R3198" i="1"/>
  <c r="Q3198" i="1"/>
  <c r="M3198" i="1"/>
  <c r="L3198" i="1"/>
  <c r="V3197" i="1"/>
  <c r="Z3197" i="1" s="1"/>
  <c r="U3197" i="1"/>
  <c r="T3197" i="1"/>
  <c r="S3197" i="1"/>
  <c r="R3197" i="1"/>
  <c r="Q3197" i="1"/>
  <c r="M3197" i="1"/>
  <c r="L3197" i="1"/>
  <c r="V3196" i="1"/>
  <c r="Z3196" i="1" s="1"/>
  <c r="U3196" i="1"/>
  <c r="T3196" i="1"/>
  <c r="W3196" i="1" s="1"/>
  <c r="S3196" i="1"/>
  <c r="R3196" i="1"/>
  <c r="Q3196" i="1"/>
  <c r="M3196" i="1"/>
  <c r="L3196" i="1"/>
  <c r="V3195" i="1"/>
  <c r="Z3195" i="1" s="1"/>
  <c r="U3195" i="1"/>
  <c r="T3195" i="1"/>
  <c r="W3195" i="1" s="1"/>
  <c r="S3195" i="1"/>
  <c r="R3195" i="1"/>
  <c r="Q3195" i="1"/>
  <c r="M3195" i="1"/>
  <c r="L3195" i="1"/>
  <c r="V3194" i="1"/>
  <c r="U3194" i="1"/>
  <c r="T3194" i="1"/>
  <c r="S3194" i="1"/>
  <c r="R3194" i="1"/>
  <c r="Q3194" i="1"/>
  <c r="M3194" i="1"/>
  <c r="L3194" i="1"/>
  <c r="V3193" i="1"/>
  <c r="Z3193" i="1" s="1"/>
  <c r="U3193" i="1"/>
  <c r="T3193" i="1"/>
  <c r="S3193" i="1"/>
  <c r="R3193" i="1"/>
  <c r="Q3193" i="1"/>
  <c r="M3193" i="1"/>
  <c r="L3193" i="1"/>
  <c r="V3192" i="1"/>
  <c r="Z3192" i="1" s="1"/>
  <c r="U3192" i="1"/>
  <c r="T3192" i="1"/>
  <c r="W3192" i="1" s="1"/>
  <c r="S3192" i="1"/>
  <c r="R3192" i="1"/>
  <c r="Q3192" i="1"/>
  <c r="M3192" i="1"/>
  <c r="L3192" i="1"/>
  <c r="V3191" i="1"/>
  <c r="U3191" i="1"/>
  <c r="T3191" i="1"/>
  <c r="W3191" i="1" s="1"/>
  <c r="S3191" i="1"/>
  <c r="R3191" i="1"/>
  <c r="Q3191" i="1"/>
  <c r="M3191" i="1"/>
  <c r="L3191" i="1"/>
  <c r="V3190" i="1"/>
  <c r="U3190" i="1"/>
  <c r="T3190" i="1"/>
  <c r="W3190" i="1" s="1"/>
  <c r="S3190" i="1"/>
  <c r="R3190" i="1"/>
  <c r="Q3190" i="1"/>
  <c r="M3190" i="1"/>
  <c r="L3190" i="1"/>
  <c r="V3189" i="1"/>
  <c r="Z3189" i="1" s="1"/>
  <c r="U3189" i="1"/>
  <c r="T3189" i="1"/>
  <c r="S3189" i="1"/>
  <c r="R3189" i="1"/>
  <c r="Q3189" i="1"/>
  <c r="M3189" i="1"/>
  <c r="L3189" i="1"/>
  <c r="V3188" i="1"/>
  <c r="Z3188" i="1" s="1"/>
  <c r="U3188" i="1"/>
  <c r="T3188" i="1"/>
  <c r="W3188" i="1" s="1"/>
  <c r="S3188" i="1"/>
  <c r="R3188" i="1"/>
  <c r="Q3188" i="1"/>
  <c r="M3188" i="1"/>
  <c r="L3188" i="1"/>
  <c r="V3187" i="1"/>
  <c r="Z3187" i="1" s="1"/>
  <c r="U3187" i="1"/>
  <c r="T3187" i="1"/>
  <c r="W3187" i="1" s="1"/>
  <c r="S3187" i="1"/>
  <c r="R3187" i="1"/>
  <c r="Q3187" i="1"/>
  <c r="M3187" i="1"/>
  <c r="L3187" i="1"/>
  <c r="V3186" i="1"/>
  <c r="U3186" i="1"/>
  <c r="T3186" i="1"/>
  <c r="W3186" i="1" s="1"/>
  <c r="S3186" i="1"/>
  <c r="R3186" i="1"/>
  <c r="Q3186" i="1"/>
  <c r="M3186" i="1"/>
  <c r="L3186" i="1"/>
  <c r="V3185" i="1"/>
  <c r="Z3185" i="1" s="1"/>
  <c r="U3185" i="1"/>
  <c r="T3185" i="1"/>
  <c r="S3185" i="1"/>
  <c r="R3185" i="1"/>
  <c r="Q3185" i="1"/>
  <c r="M3185" i="1"/>
  <c r="L3185" i="1"/>
  <c r="V3184" i="1"/>
  <c r="Z3184" i="1" s="1"/>
  <c r="U3184" i="1"/>
  <c r="T3184" i="1"/>
  <c r="W3184" i="1" s="1"/>
  <c r="S3184" i="1"/>
  <c r="R3184" i="1"/>
  <c r="Q3184" i="1"/>
  <c r="M3184" i="1"/>
  <c r="L3184" i="1"/>
  <c r="V3183" i="1"/>
  <c r="Z3183" i="1" s="1"/>
  <c r="U3183" i="1"/>
  <c r="T3183" i="1"/>
  <c r="W3183" i="1" s="1"/>
  <c r="S3183" i="1"/>
  <c r="R3183" i="1"/>
  <c r="Q3183" i="1"/>
  <c r="M3183" i="1"/>
  <c r="L3183" i="1"/>
  <c r="V3182" i="1"/>
  <c r="U3182" i="1"/>
  <c r="T3182" i="1"/>
  <c r="S3182" i="1"/>
  <c r="R3182" i="1"/>
  <c r="Q3182" i="1"/>
  <c r="M3182" i="1"/>
  <c r="L3182" i="1"/>
  <c r="V3181" i="1"/>
  <c r="Z3181" i="1" s="1"/>
  <c r="U3181" i="1"/>
  <c r="T3181" i="1"/>
  <c r="S3181" i="1"/>
  <c r="R3181" i="1"/>
  <c r="Q3181" i="1"/>
  <c r="M3181" i="1"/>
  <c r="L3181" i="1"/>
  <c r="V3180" i="1"/>
  <c r="Z3180" i="1" s="1"/>
  <c r="U3180" i="1"/>
  <c r="T3180" i="1"/>
  <c r="W3180" i="1" s="1"/>
  <c r="S3180" i="1"/>
  <c r="R3180" i="1"/>
  <c r="Q3180" i="1"/>
  <c r="M3180" i="1"/>
  <c r="L3180" i="1"/>
  <c r="V3179" i="1"/>
  <c r="Z3179" i="1" s="1"/>
  <c r="U3179" i="1"/>
  <c r="T3179" i="1"/>
  <c r="W3179" i="1" s="1"/>
  <c r="S3179" i="1"/>
  <c r="R3179" i="1"/>
  <c r="Q3179" i="1"/>
  <c r="M3179" i="1"/>
  <c r="L3179" i="1"/>
  <c r="V3178" i="1"/>
  <c r="U3178" i="1"/>
  <c r="T3178" i="1"/>
  <c r="W3178" i="1" s="1"/>
  <c r="S3178" i="1"/>
  <c r="R3178" i="1"/>
  <c r="Q3178" i="1"/>
  <c r="M3178" i="1"/>
  <c r="L3178" i="1"/>
  <c r="V3177" i="1"/>
  <c r="Z3177" i="1" s="1"/>
  <c r="U3177" i="1"/>
  <c r="T3177" i="1"/>
  <c r="S3177" i="1"/>
  <c r="R3177" i="1"/>
  <c r="Q3177" i="1"/>
  <c r="M3177" i="1"/>
  <c r="L3177" i="1"/>
  <c r="V3176" i="1"/>
  <c r="Z3176" i="1" s="1"/>
  <c r="U3176" i="1"/>
  <c r="T3176" i="1"/>
  <c r="W3176" i="1" s="1"/>
  <c r="S3176" i="1"/>
  <c r="R3176" i="1"/>
  <c r="Q3176" i="1"/>
  <c r="M3176" i="1"/>
  <c r="L3176" i="1"/>
  <c r="V3175" i="1"/>
  <c r="Z3175" i="1" s="1"/>
  <c r="U3175" i="1"/>
  <c r="T3175" i="1"/>
  <c r="W3175" i="1" s="1"/>
  <c r="S3175" i="1"/>
  <c r="R3175" i="1"/>
  <c r="Q3175" i="1"/>
  <c r="M3175" i="1"/>
  <c r="L3175" i="1"/>
  <c r="V3174" i="1"/>
  <c r="U3174" i="1"/>
  <c r="T3174" i="1"/>
  <c r="W3174" i="1" s="1"/>
  <c r="S3174" i="1"/>
  <c r="R3174" i="1"/>
  <c r="Q3174" i="1"/>
  <c r="M3174" i="1"/>
  <c r="L3174" i="1"/>
  <c r="V3173" i="1"/>
  <c r="Z3173" i="1" s="1"/>
  <c r="U3173" i="1"/>
  <c r="T3173" i="1"/>
  <c r="S3173" i="1"/>
  <c r="R3173" i="1"/>
  <c r="Q3173" i="1"/>
  <c r="M3173" i="1"/>
  <c r="L3173" i="1"/>
  <c r="V3172" i="1"/>
  <c r="Z3172" i="1" s="1"/>
  <c r="U3172" i="1"/>
  <c r="T3172" i="1"/>
  <c r="W3172" i="1" s="1"/>
  <c r="S3172" i="1"/>
  <c r="R3172" i="1"/>
  <c r="Q3172" i="1"/>
  <c r="M3172" i="1"/>
  <c r="L3172" i="1"/>
  <c r="V3171" i="1"/>
  <c r="U3171" i="1"/>
  <c r="T3171" i="1"/>
  <c r="W3171" i="1" s="1"/>
  <c r="S3171" i="1"/>
  <c r="R3171" i="1"/>
  <c r="Q3171" i="1"/>
  <c r="M3171" i="1"/>
  <c r="L3171" i="1"/>
  <c r="V3170" i="1"/>
  <c r="U3170" i="1"/>
  <c r="T3170" i="1"/>
  <c r="W3170" i="1" s="1"/>
  <c r="S3170" i="1"/>
  <c r="R3170" i="1"/>
  <c r="Q3170" i="1"/>
  <c r="M3170" i="1"/>
  <c r="L3170" i="1"/>
  <c r="V3169" i="1"/>
  <c r="Z3169" i="1" s="1"/>
  <c r="U3169" i="1"/>
  <c r="T3169" i="1"/>
  <c r="S3169" i="1"/>
  <c r="R3169" i="1"/>
  <c r="Q3169" i="1"/>
  <c r="M3169" i="1"/>
  <c r="L3169" i="1"/>
  <c r="V3168" i="1"/>
  <c r="Z3168" i="1" s="1"/>
  <c r="U3168" i="1"/>
  <c r="T3168" i="1"/>
  <c r="W3168" i="1" s="1"/>
  <c r="S3168" i="1"/>
  <c r="R3168" i="1"/>
  <c r="Q3168" i="1"/>
  <c r="M3168" i="1"/>
  <c r="L3168" i="1"/>
  <c r="V3167" i="1"/>
  <c r="Z3167" i="1" s="1"/>
  <c r="U3167" i="1"/>
  <c r="T3167" i="1"/>
  <c r="W3167" i="1" s="1"/>
  <c r="S3167" i="1"/>
  <c r="R3167" i="1"/>
  <c r="Q3167" i="1"/>
  <c r="M3167" i="1"/>
  <c r="L3167" i="1"/>
  <c r="V3166" i="1"/>
  <c r="U3166" i="1"/>
  <c r="T3166" i="1"/>
  <c r="W3166" i="1" s="1"/>
  <c r="S3166" i="1"/>
  <c r="R3166" i="1"/>
  <c r="Q3166" i="1"/>
  <c r="M3166" i="1"/>
  <c r="L3166" i="1"/>
  <c r="V3165" i="1"/>
  <c r="Z3165" i="1" s="1"/>
  <c r="U3165" i="1"/>
  <c r="T3165" i="1"/>
  <c r="S3165" i="1"/>
  <c r="R3165" i="1"/>
  <c r="Q3165" i="1"/>
  <c r="M3165" i="1"/>
  <c r="L3165" i="1"/>
  <c r="V3164" i="1"/>
  <c r="Z3164" i="1" s="1"/>
  <c r="U3164" i="1"/>
  <c r="T3164" i="1"/>
  <c r="W3164" i="1" s="1"/>
  <c r="S3164" i="1"/>
  <c r="R3164" i="1"/>
  <c r="Q3164" i="1"/>
  <c r="M3164" i="1"/>
  <c r="L3164" i="1"/>
  <c r="V3163" i="1"/>
  <c r="Z3163" i="1" s="1"/>
  <c r="U3163" i="1"/>
  <c r="T3163" i="1"/>
  <c r="W3163" i="1" s="1"/>
  <c r="S3163" i="1"/>
  <c r="R3163" i="1"/>
  <c r="Q3163" i="1"/>
  <c r="M3163" i="1"/>
  <c r="L3163" i="1"/>
  <c r="V3162" i="1"/>
  <c r="U3162" i="1"/>
  <c r="T3162" i="1"/>
  <c r="S3162" i="1"/>
  <c r="R3162" i="1"/>
  <c r="Q3162" i="1"/>
  <c r="M3162" i="1"/>
  <c r="L3162" i="1"/>
  <c r="V3161" i="1"/>
  <c r="Z3161" i="1" s="1"/>
  <c r="U3161" i="1"/>
  <c r="T3161" i="1"/>
  <c r="S3161" i="1"/>
  <c r="R3161" i="1"/>
  <c r="Q3161" i="1"/>
  <c r="M3161" i="1"/>
  <c r="L3161" i="1"/>
  <c r="V3160" i="1"/>
  <c r="Z3160" i="1" s="1"/>
  <c r="U3160" i="1"/>
  <c r="T3160" i="1"/>
  <c r="W3160" i="1" s="1"/>
  <c r="S3160" i="1"/>
  <c r="R3160" i="1"/>
  <c r="Q3160" i="1"/>
  <c r="M3160" i="1"/>
  <c r="L3160" i="1"/>
  <c r="V3159" i="1"/>
  <c r="U3159" i="1"/>
  <c r="T3159" i="1"/>
  <c r="W3159" i="1" s="1"/>
  <c r="S3159" i="1"/>
  <c r="R3159" i="1"/>
  <c r="Q3159" i="1"/>
  <c r="M3159" i="1"/>
  <c r="L3159" i="1"/>
  <c r="V3158" i="1"/>
  <c r="U3158" i="1"/>
  <c r="T3158" i="1"/>
  <c r="W3158" i="1" s="1"/>
  <c r="S3158" i="1"/>
  <c r="R3158" i="1"/>
  <c r="Q3158" i="1"/>
  <c r="M3158" i="1"/>
  <c r="L3158" i="1"/>
  <c r="V3157" i="1"/>
  <c r="Z3157" i="1" s="1"/>
  <c r="U3157" i="1"/>
  <c r="T3157" i="1"/>
  <c r="S3157" i="1"/>
  <c r="R3157" i="1"/>
  <c r="Q3157" i="1"/>
  <c r="M3157" i="1"/>
  <c r="L3157" i="1"/>
  <c r="V3156" i="1"/>
  <c r="Z3156" i="1" s="1"/>
  <c r="U3156" i="1"/>
  <c r="T3156" i="1"/>
  <c r="W3156" i="1" s="1"/>
  <c r="S3156" i="1"/>
  <c r="R3156" i="1"/>
  <c r="Q3156" i="1"/>
  <c r="M3156" i="1"/>
  <c r="L3156" i="1"/>
  <c r="V3155" i="1"/>
  <c r="Z3155" i="1" s="1"/>
  <c r="U3155" i="1"/>
  <c r="T3155" i="1"/>
  <c r="W3155" i="1" s="1"/>
  <c r="S3155" i="1"/>
  <c r="R3155" i="1"/>
  <c r="Q3155" i="1"/>
  <c r="M3155" i="1"/>
  <c r="L3155" i="1"/>
  <c r="V3154" i="1"/>
  <c r="U3154" i="1"/>
  <c r="T3154" i="1"/>
  <c r="W3154" i="1" s="1"/>
  <c r="S3154" i="1"/>
  <c r="R3154" i="1"/>
  <c r="Q3154" i="1"/>
  <c r="M3154" i="1"/>
  <c r="L3154" i="1"/>
  <c r="V3153" i="1"/>
  <c r="Z3153" i="1" s="1"/>
  <c r="U3153" i="1"/>
  <c r="T3153" i="1"/>
  <c r="S3153" i="1"/>
  <c r="R3153" i="1"/>
  <c r="Q3153" i="1"/>
  <c r="M3153" i="1"/>
  <c r="L3153" i="1"/>
  <c r="V3152" i="1"/>
  <c r="Z3152" i="1" s="1"/>
  <c r="U3152" i="1"/>
  <c r="T3152" i="1"/>
  <c r="W3152" i="1" s="1"/>
  <c r="S3152" i="1"/>
  <c r="R3152" i="1"/>
  <c r="Q3152" i="1"/>
  <c r="M3152" i="1"/>
  <c r="L3152" i="1"/>
  <c r="V3151" i="1"/>
  <c r="Z3151" i="1" s="1"/>
  <c r="U3151" i="1"/>
  <c r="T3151" i="1"/>
  <c r="W3151" i="1" s="1"/>
  <c r="S3151" i="1"/>
  <c r="R3151" i="1"/>
  <c r="Q3151" i="1"/>
  <c r="M3151" i="1"/>
  <c r="L3151" i="1"/>
  <c r="V3150" i="1"/>
  <c r="U3150" i="1"/>
  <c r="T3150" i="1"/>
  <c r="S3150" i="1"/>
  <c r="R3150" i="1"/>
  <c r="Q3150" i="1"/>
  <c r="M3150" i="1"/>
  <c r="L3150" i="1"/>
  <c r="V3149" i="1"/>
  <c r="Z3149" i="1" s="1"/>
  <c r="U3149" i="1"/>
  <c r="T3149" i="1"/>
  <c r="S3149" i="1"/>
  <c r="R3149" i="1"/>
  <c r="Q3149" i="1"/>
  <c r="M3149" i="1"/>
  <c r="L3149" i="1"/>
  <c r="V3148" i="1"/>
  <c r="Z3148" i="1" s="1"/>
  <c r="U3148" i="1"/>
  <c r="T3148" i="1"/>
  <c r="W3148" i="1" s="1"/>
  <c r="S3148" i="1"/>
  <c r="R3148" i="1"/>
  <c r="Q3148" i="1"/>
  <c r="M3148" i="1"/>
  <c r="L3148" i="1"/>
  <c r="V3147" i="1"/>
  <c r="Z3147" i="1" s="1"/>
  <c r="U3147" i="1"/>
  <c r="T3147" i="1"/>
  <c r="W3147" i="1" s="1"/>
  <c r="S3147" i="1"/>
  <c r="R3147" i="1"/>
  <c r="Q3147" i="1"/>
  <c r="M3147" i="1"/>
  <c r="L3147" i="1"/>
  <c r="V3146" i="1"/>
  <c r="U3146" i="1"/>
  <c r="T3146" i="1"/>
  <c r="W3146" i="1" s="1"/>
  <c r="S3146" i="1"/>
  <c r="R3146" i="1"/>
  <c r="Q3146" i="1"/>
  <c r="M3146" i="1"/>
  <c r="L3146" i="1"/>
  <c r="V3145" i="1"/>
  <c r="Z3145" i="1" s="1"/>
  <c r="U3145" i="1"/>
  <c r="T3145" i="1"/>
  <c r="S3145" i="1"/>
  <c r="R3145" i="1"/>
  <c r="Q3145" i="1"/>
  <c r="M3145" i="1"/>
  <c r="L3145" i="1"/>
  <c r="V3144" i="1"/>
  <c r="Z3144" i="1" s="1"/>
  <c r="U3144" i="1"/>
  <c r="T3144" i="1"/>
  <c r="W3144" i="1" s="1"/>
  <c r="S3144" i="1"/>
  <c r="R3144" i="1"/>
  <c r="Q3144" i="1"/>
  <c r="M3144" i="1"/>
  <c r="L3144" i="1"/>
  <c r="V3143" i="1"/>
  <c r="Z3143" i="1" s="1"/>
  <c r="U3143" i="1"/>
  <c r="T3143" i="1"/>
  <c r="W3143" i="1" s="1"/>
  <c r="S3143" i="1"/>
  <c r="R3143" i="1"/>
  <c r="Q3143" i="1"/>
  <c r="M3143" i="1"/>
  <c r="L3143" i="1"/>
  <c r="V3142" i="1"/>
  <c r="U3142" i="1"/>
  <c r="T3142" i="1"/>
  <c r="W3142" i="1" s="1"/>
  <c r="S3142" i="1"/>
  <c r="R3142" i="1"/>
  <c r="Q3142" i="1"/>
  <c r="M3142" i="1"/>
  <c r="L3142" i="1"/>
  <c r="V3141" i="1"/>
  <c r="Z3141" i="1" s="1"/>
  <c r="U3141" i="1"/>
  <c r="T3141" i="1"/>
  <c r="S3141" i="1"/>
  <c r="R3141" i="1"/>
  <c r="Q3141" i="1"/>
  <c r="M3141" i="1"/>
  <c r="L3141" i="1"/>
  <c r="V3140" i="1"/>
  <c r="Z3140" i="1" s="1"/>
  <c r="U3140" i="1"/>
  <c r="T3140" i="1"/>
  <c r="W3140" i="1" s="1"/>
  <c r="S3140" i="1"/>
  <c r="R3140" i="1"/>
  <c r="Q3140" i="1"/>
  <c r="M3140" i="1"/>
  <c r="L3140" i="1"/>
  <c r="V3139" i="1"/>
  <c r="U3139" i="1"/>
  <c r="T3139" i="1"/>
  <c r="W3139" i="1" s="1"/>
  <c r="S3139" i="1"/>
  <c r="R3139" i="1"/>
  <c r="Q3139" i="1"/>
  <c r="M3139" i="1"/>
  <c r="L3139" i="1"/>
  <c r="V3138" i="1"/>
  <c r="U3138" i="1"/>
  <c r="T3138" i="1"/>
  <c r="W3138" i="1" s="1"/>
  <c r="S3138" i="1"/>
  <c r="R3138" i="1"/>
  <c r="Q3138" i="1"/>
  <c r="M3138" i="1"/>
  <c r="L3138" i="1"/>
  <c r="V3137" i="1"/>
  <c r="Z3137" i="1" s="1"/>
  <c r="U3137" i="1"/>
  <c r="T3137" i="1"/>
  <c r="S3137" i="1"/>
  <c r="R3137" i="1"/>
  <c r="Q3137" i="1"/>
  <c r="M3137" i="1"/>
  <c r="L3137" i="1"/>
  <c r="V3136" i="1"/>
  <c r="Z3136" i="1" s="1"/>
  <c r="U3136" i="1"/>
  <c r="T3136" i="1"/>
  <c r="W3136" i="1" s="1"/>
  <c r="S3136" i="1"/>
  <c r="R3136" i="1"/>
  <c r="Q3136" i="1"/>
  <c r="M3136" i="1"/>
  <c r="L3136" i="1"/>
  <c r="V3135" i="1"/>
  <c r="Z3135" i="1" s="1"/>
  <c r="U3135" i="1"/>
  <c r="T3135" i="1"/>
  <c r="W3135" i="1" s="1"/>
  <c r="S3135" i="1"/>
  <c r="R3135" i="1"/>
  <c r="Q3135" i="1"/>
  <c r="M3135" i="1"/>
  <c r="L3135" i="1"/>
  <c r="V3134" i="1"/>
  <c r="U3134" i="1"/>
  <c r="T3134" i="1"/>
  <c r="W3134" i="1" s="1"/>
  <c r="S3134" i="1"/>
  <c r="R3134" i="1"/>
  <c r="Q3134" i="1"/>
  <c r="M3134" i="1"/>
  <c r="L3134" i="1"/>
  <c r="V3133" i="1"/>
  <c r="Z3133" i="1" s="1"/>
  <c r="U3133" i="1"/>
  <c r="T3133" i="1"/>
  <c r="S3133" i="1"/>
  <c r="R3133" i="1"/>
  <c r="Q3133" i="1"/>
  <c r="M3133" i="1"/>
  <c r="L3133" i="1"/>
  <c r="V3132" i="1"/>
  <c r="Z3132" i="1" s="1"/>
  <c r="U3132" i="1"/>
  <c r="T3132" i="1"/>
  <c r="W3132" i="1" s="1"/>
  <c r="S3132" i="1"/>
  <c r="R3132" i="1"/>
  <c r="Q3132" i="1"/>
  <c r="M3132" i="1"/>
  <c r="L3132" i="1"/>
  <c r="V3131" i="1"/>
  <c r="Z3131" i="1" s="1"/>
  <c r="U3131" i="1"/>
  <c r="T3131" i="1"/>
  <c r="W3131" i="1" s="1"/>
  <c r="S3131" i="1"/>
  <c r="R3131" i="1"/>
  <c r="Q3131" i="1"/>
  <c r="M3131" i="1"/>
  <c r="L3131" i="1"/>
  <c r="V3130" i="1"/>
  <c r="U3130" i="1"/>
  <c r="T3130" i="1"/>
  <c r="S3130" i="1"/>
  <c r="R3130" i="1"/>
  <c r="Q3130" i="1"/>
  <c r="M3130" i="1"/>
  <c r="L3130" i="1"/>
  <c r="V3129" i="1"/>
  <c r="Z3129" i="1" s="1"/>
  <c r="U3129" i="1"/>
  <c r="T3129" i="1"/>
  <c r="S3129" i="1"/>
  <c r="R3129" i="1"/>
  <c r="Q3129" i="1"/>
  <c r="M3129" i="1"/>
  <c r="L3129" i="1"/>
  <c r="V3128" i="1"/>
  <c r="Z3128" i="1" s="1"/>
  <c r="U3128" i="1"/>
  <c r="T3128" i="1"/>
  <c r="W3128" i="1" s="1"/>
  <c r="S3128" i="1"/>
  <c r="R3128" i="1"/>
  <c r="Q3128" i="1"/>
  <c r="M3128" i="1"/>
  <c r="L3128" i="1"/>
  <c r="V3127" i="1"/>
  <c r="U3127" i="1"/>
  <c r="T3127" i="1"/>
  <c r="W3127" i="1" s="1"/>
  <c r="S3127" i="1"/>
  <c r="R3127" i="1"/>
  <c r="Q3127" i="1"/>
  <c r="M3127" i="1"/>
  <c r="L3127" i="1"/>
  <c r="V3126" i="1"/>
  <c r="U3126" i="1"/>
  <c r="T3126" i="1"/>
  <c r="W3126" i="1" s="1"/>
  <c r="S3126" i="1"/>
  <c r="R3126" i="1"/>
  <c r="Q3126" i="1"/>
  <c r="M3126" i="1"/>
  <c r="L3126" i="1"/>
  <c r="V3125" i="1"/>
  <c r="Z3125" i="1" s="1"/>
  <c r="U3125" i="1"/>
  <c r="T3125" i="1"/>
  <c r="S3125" i="1"/>
  <c r="R3125" i="1"/>
  <c r="Q3125" i="1"/>
  <c r="M3125" i="1"/>
  <c r="L3125" i="1"/>
  <c r="V3124" i="1"/>
  <c r="Z3124" i="1" s="1"/>
  <c r="U3124" i="1"/>
  <c r="T3124" i="1"/>
  <c r="W3124" i="1" s="1"/>
  <c r="S3124" i="1"/>
  <c r="R3124" i="1"/>
  <c r="Q3124" i="1"/>
  <c r="M3124" i="1"/>
  <c r="L3124" i="1"/>
  <c r="V3123" i="1"/>
  <c r="Z3123" i="1" s="1"/>
  <c r="U3123" i="1"/>
  <c r="T3123" i="1"/>
  <c r="W3123" i="1" s="1"/>
  <c r="S3123" i="1"/>
  <c r="R3123" i="1"/>
  <c r="Q3123" i="1"/>
  <c r="M3123" i="1"/>
  <c r="L3123" i="1"/>
  <c r="V3122" i="1"/>
  <c r="U3122" i="1"/>
  <c r="T3122" i="1"/>
  <c r="W3122" i="1" s="1"/>
  <c r="S3122" i="1"/>
  <c r="R3122" i="1"/>
  <c r="Q3122" i="1"/>
  <c r="M3122" i="1"/>
  <c r="L3122" i="1"/>
  <c r="V3121" i="1"/>
  <c r="Z3121" i="1" s="1"/>
  <c r="U3121" i="1"/>
  <c r="T3121" i="1"/>
  <c r="S3121" i="1"/>
  <c r="R3121" i="1"/>
  <c r="Q3121" i="1"/>
  <c r="M3121" i="1"/>
  <c r="L3121" i="1"/>
  <c r="V3120" i="1"/>
  <c r="Z3120" i="1" s="1"/>
  <c r="U3120" i="1"/>
  <c r="T3120" i="1"/>
  <c r="W3120" i="1" s="1"/>
  <c r="S3120" i="1"/>
  <c r="R3120" i="1"/>
  <c r="Q3120" i="1"/>
  <c r="M3120" i="1"/>
  <c r="L3120" i="1"/>
  <c r="V3119" i="1"/>
  <c r="Z3119" i="1" s="1"/>
  <c r="U3119" i="1"/>
  <c r="T3119" i="1"/>
  <c r="W3119" i="1" s="1"/>
  <c r="S3119" i="1"/>
  <c r="R3119" i="1"/>
  <c r="Q3119" i="1"/>
  <c r="M3119" i="1"/>
  <c r="L3119" i="1"/>
  <c r="V3118" i="1"/>
  <c r="U3118" i="1"/>
  <c r="T3118" i="1"/>
  <c r="S3118" i="1"/>
  <c r="R3118" i="1"/>
  <c r="Q3118" i="1"/>
  <c r="M3118" i="1"/>
  <c r="L3118" i="1"/>
  <c r="V3117" i="1"/>
  <c r="Z3117" i="1" s="1"/>
  <c r="U3117" i="1"/>
  <c r="T3117" i="1"/>
  <c r="S3117" i="1"/>
  <c r="R3117" i="1"/>
  <c r="Q3117" i="1"/>
  <c r="M3117" i="1"/>
  <c r="L3117" i="1"/>
  <c r="V3116" i="1"/>
  <c r="Z3116" i="1" s="1"/>
  <c r="U3116" i="1"/>
  <c r="T3116" i="1"/>
  <c r="W3116" i="1" s="1"/>
  <c r="S3116" i="1"/>
  <c r="R3116" i="1"/>
  <c r="Q3116" i="1"/>
  <c r="M3116" i="1"/>
  <c r="L3116" i="1"/>
  <c r="V3115" i="1"/>
  <c r="Z3115" i="1" s="1"/>
  <c r="U3115" i="1"/>
  <c r="T3115" i="1"/>
  <c r="W3115" i="1" s="1"/>
  <c r="S3115" i="1"/>
  <c r="R3115" i="1"/>
  <c r="Q3115" i="1"/>
  <c r="M3115" i="1"/>
  <c r="L3115" i="1"/>
  <c r="V3114" i="1"/>
  <c r="U3114" i="1"/>
  <c r="T3114" i="1"/>
  <c r="W3114" i="1" s="1"/>
  <c r="S3114" i="1"/>
  <c r="R3114" i="1"/>
  <c r="Q3114" i="1"/>
  <c r="M3114" i="1"/>
  <c r="L3114" i="1"/>
  <c r="V3113" i="1"/>
  <c r="Z3113" i="1" s="1"/>
  <c r="U3113" i="1"/>
  <c r="T3113" i="1"/>
  <c r="S3113" i="1"/>
  <c r="R3113" i="1"/>
  <c r="Q3113" i="1"/>
  <c r="M3113" i="1"/>
  <c r="L3113" i="1"/>
  <c r="V3112" i="1"/>
  <c r="Z3112" i="1" s="1"/>
  <c r="U3112" i="1"/>
  <c r="T3112" i="1"/>
  <c r="W3112" i="1" s="1"/>
  <c r="S3112" i="1"/>
  <c r="R3112" i="1"/>
  <c r="Q3112" i="1"/>
  <c r="M3112" i="1"/>
  <c r="L3112" i="1"/>
  <c r="V3111" i="1"/>
  <c r="Z3111" i="1" s="1"/>
  <c r="U3111" i="1"/>
  <c r="T3111" i="1"/>
  <c r="W3111" i="1" s="1"/>
  <c r="S3111" i="1"/>
  <c r="R3111" i="1"/>
  <c r="Q3111" i="1"/>
  <c r="M3111" i="1"/>
  <c r="L3111" i="1"/>
  <c r="V3110" i="1"/>
  <c r="U3110" i="1"/>
  <c r="T3110" i="1"/>
  <c r="W3110" i="1" s="1"/>
  <c r="S3110" i="1"/>
  <c r="R3110" i="1"/>
  <c r="Q3110" i="1"/>
  <c r="M3110" i="1"/>
  <c r="L3110" i="1"/>
  <c r="V3109" i="1"/>
  <c r="Z3109" i="1" s="1"/>
  <c r="U3109" i="1"/>
  <c r="T3109" i="1"/>
  <c r="S3109" i="1"/>
  <c r="R3109" i="1"/>
  <c r="Q3109" i="1"/>
  <c r="M3109" i="1"/>
  <c r="L3109" i="1"/>
  <c r="V3108" i="1"/>
  <c r="Z3108" i="1" s="1"/>
  <c r="U3108" i="1"/>
  <c r="T3108" i="1"/>
  <c r="W3108" i="1" s="1"/>
  <c r="S3108" i="1"/>
  <c r="R3108" i="1"/>
  <c r="Q3108" i="1"/>
  <c r="M3108" i="1"/>
  <c r="L3108" i="1"/>
  <c r="V3107" i="1"/>
  <c r="U3107" i="1"/>
  <c r="T3107" i="1"/>
  <c r="W3107" i="1" s="1"/>
  <c r="S3107" i="1"/>
  <c r="R3107" i="1"/>
  <c r="Q3107" i="1"/>
  <c r="M3107" i="1"/>
  <c r="L3107" i="1"/>
  <c r="V3106" i="1"/>
  <c r="U3106" i="1"/>
  <c r="T3106" i="1"/>
  <c r="W3106" i="1" s="1"/>
  <c r="S3106" i="1"/>
  <c r="R3106" i="1"/>
  <c r="Q3106" i="1"/>
  <c r="M3106" i="1"/>
  <c r="L3106" i="1"/>
  <c r="V3105" i="1"/>
  <c r="Z3105" i="1" s="1"/>
  <c r="U3105" i="1"/>
  <c r="T3105" i="1"/>
  <c r="S3105" i="1"/>
  <c r="R3105" i="1"/>
  <c r="Q3105" i="1"/>
  <c r="M3105" i="1"/>
  <c r="L3105" i="1"/>
  <c r="V3104" i="1"/>
  <c r="Z3104" i="1" s="1"/>
  <c r="U3104" i="1"/>
  <c r="T3104" i="1"/>
  <c r="W3104" i="1" s="1"/>
  <c r="S3104" i="1"/>
  <c r="R3104" i="1"/>
  <c r="Q3104" i="1"/>
  <c r="M3104" i="1"/>
  <c r="L3104" i="1"/>
  <c r="V3103" i="1"/>
  <c r="Z3103" i="1" s="1"/>
  <c r="U3103" i="1"/>
  <c r="T3103" i="1"/>
  <c r="W3103" i="1" s="1"/>
  <c r="S3103" i="1"/>
  <c r="R3103" i="1"/>
  <c r="Q3103" i="1"/>
  <c r="M3103" i="1"/>
  <c r="L3103" i="1"/>
  <c r="V3102" i="1"/>
  <c r="U3102" i="1"/>
  <c r="T3102" i="1"/>
  <c r="W3102" i="1" s="1"/>
  <c r="S3102" i="1"/>
  <c r="R3102" i="1"/>
  <c r="Q3102" i="1"/>
  <c r="M3102" i="1"/>
  <c r="L3102" i="1"/>
  <c r="V3101" i="1"/>
  <c r="Z3101" i="1" s="1"/>
  <c r="U3101" i="1"/>
  <c r="T3101" i="1"/>
  <c r="S3101" i="1"/>
  <c r="R3101" i="1"/>
  <c r="Q3101" i="1"/>
  <c r="M3101" i="1"/>
  <c r="L3101" i="1"/>
  <c r="V3100" i="1"/>
  <c r="Z3100" i="1" s="1"/>
  <c r="U3100" i="1"/>
  <c r="T3100" i="1"/>
  <c r="W3100" i="1" s="1"/>
  <c r="S3100" i="1"/>
  <c r="R3100" i="1"/>
  <c r="Q3100" i="1"/>
  <c r="M3100" i="1"/>
  <c r="L3100" i="1"/>
  <c r="V3099" i="1"/>
  <c r="Z3099" i="1" s="1"/>
  <c r="U3099" i="1"/>
  <c r="T3099" i="1"/>
  <c r="W3099" i="1" s="1"/>
  <c r="S3099" i="1"/>
  <c r="R3099" i="1"/>
  <c r="Q3099" i="1"/>
  <c r="M3099" i="1"/>
  <c r="L3099" i="1"/>
  <c r="V3098" i="1"/>
  <c r="U3098" i="1"/>
  <c r="T3098" i="1"/>
  <c r="S3098" i="1"/>
  <c r="R3098" i="1"/>
  <c r="Q3098" i="1"/>
  <c r="M3098" i="1"/>
  <c r="L3098" i="1"/>
  <c r="V3097" i="1"/>
  <c r="Z3097" i="1" s="1"/>
  <c r="U3097" i="1"/>
  <c r="T3097" i="1"/>
  <c r="S3097" i="1"/>
  <c r="R3097" i="1"/>
  <c r="Q3097" i="1"/>
  <c r="M3097" i="1"/>
  <c r="L3097" i="1"/>
  <c r="V3096" i="1"/>
  <c r="Z3096" i="1" s="1"/>
  <c r="U3096" i="1"/>
  <c r="T3096" i="1"/>
  <c r="W3096" i="1" s="1"/>
  <c r="S3096" i="1"/>
  <c r="R3096" i="1"/>
  <c r="Q3096" i="1"/>
  <c r="M3096" i="1"/>
  <c r="L3096" i="1"/>
  <c r="V3095" i="1"/>
  <c r="U3095" i="1"/>
  <c r="T3095" i="1"/>
  <c r="W3095" i="1" s="1"/>
  <c r="S3095" i="1"/>
  <c r="R3095" i="1"/>
  <c r="Q3095" i="1"/>
  <c r="M3095" i="1"/>
  <c r="L3095" i="1"/>
  <c r="V3094" i="1"/>
  <c r="U3094" i="1"/>
  <c r="T3094" i="1"/>
  <c r="W3094" i="1" s="1"/>
  <c r="S3094" i="1"/>
  <c r="R3094" i="1"/>
  <c r="Q3094" i="1"/>
  <c r="M3094" i="1"/>
  <c r="L3094" i="1"/>
  <c r="V3093" i="1"/>
  <c r="Z3093" i="1" s="1"/>
  <c r="U3093" i="1"/>
  <c r="T3093" i="1"/>
  <c r="S3093" i="1"/>
  <c r="R3093" i="1"/>
  <c r="Q3093" i="1"/>
  <c r="M3093" i="1"/>
  <c r="L3093" i="1"/>
  <c r="V3092" i="1"/>
  <c r="Z3092" i="1" s="1"/>
  <c r="U3092" i="1"/>
  <c r="T3092" i="1"/>
  <c r="W3092" i="1" s="1"/>
  <c r="S3092" i="1"/>
  <c r="R3092" i="1"/>
  <c r="Q3092" i="1"/>
  <c r="M3092" i="1"/>
  <c r="L3092" i="1"/>
  <c r="V3091" i="1"/>
  <c r="Z3091" i="1" s="1"/>
  <c r="U3091" i="1"/>
  <c r="T3091" i="1"/>
  <c r="W3091" i="1" s="1"/>
  <c r="S3091" i="1"/>
  <c r="R3091" i="1"/>
  <c r="Q3091" i="1"/>
  <c r="M3091" i="1"/>
  <c r="L3091" i="1"/>
  <c r="V3090" i="1"/>
  <c r="U3090" i="1"/>
  <c r="T3090" i="1"/>
  <c r="W3090" i="1" s="1"/>
  <c r="S3090" i="1"/>
  <c r="R3090" i="1"/>
  <c r="Q3090" i="1"/>
  <c r="M3090" i="1"/>
  <c r="L3090" i="1"/>
  <c r="V3089" i="1"/>
  <c r="Z3089" i="1" s="1"/>
  <c r="U3089" i="1"/>
  <c r="T3089" i="1"/>
  <c r="S3089" i="1"/>
  <c r="R3089" i="1"/>
  <c r="Q3089" i="1"/>
  <c r="M3089" i="1"/>
  <c r="L3089" i="1"/>
  <c r="V3088" i="1"/>
  <c r="Z3088" i="1" s="1"/>
  <c r="U3088" i="1"/>
  <c r="T3088" i="1"/>
  <c r="W3088" i="1" s="1"/>
  <c r="S3088" i="1"/>
  <c r="R3088" i="1"/>
  <c r="Q3088" i="1"/>
  <c r="M3088" i="1"/>
  <c r="L3088" i="1"/>
  <c r="V3087" i="1"/>
  <c r="Z3087" i="1" s="1"/>
  <c r="U3087" i="1"/>
  <c r="T3087" i="1"/>
  <c r="W3087" i="1" s="1"/>
  <c r="S3087" i="1"/>
  <c r="R3087" i="1"/>
  <c r="Q3087" i="1"/>
  <c r="M3087" i="1"/>
  <c r="L3087" i="1"/>
  <c r="V3086" i="1"/>
  <c r="U3086" i="1"/>
  <c r="T3086" i="1"/>
  <c r="S3086" i="1"/>
  <c r="R3086" i="1"/>
  <c r="Q3086" i="1"/>
  <c r="M3086" i="1"/>
  <c r="L3086" i="1"/>
  <c r="V3085" i="1"/>
  <c r="Z3085" i="1" s="1"/>
  <c r="U3085" i="1"/>
  <c r="T3085" i="1"/>
  <c r="S3085" i="1"/>
  <c r="R3085" i="1"/>
  <c r="Q3085" i="1"/>
  <c r="M3085" i="1"/>
  <c r="L3085" i="1"/>
  <c r="V3084" i="1"/>
  <c r="Z3084" i="1" s="1"/>
  <c r="U3084" i="1"/>
  <c r="T3084" i="1"/>
  <c r="W3084" i="1" s="1"/>
  <c r="S3084" i="1"/>
  <c r="R3084" i="1"/>
  <c r="Q3084" i="1"/>
  <c r="M3084" i="1"/>
  <c r="L3084" i="1"/>
  <c r="V3083" i="1"/>
  <c r="Z3083" i="1" s="1"/>
  <c r="U3083" i="1"/>
  <c r="T3083" i="1"/>
  <c r="W3083" i="1" s="1"/>
  <c r="S3083" i="1"/>
  <c r="R3083" i="1"/>
  <c r="Q3083" i="1"/>
  <c r="M3083" i="1"/>
  <c r="L3083" i="1"/>
  <c r="V3082" i="1"/>
  <c r="U3082" i="1"/>
  <c r="T3082" i="1"/>
  <c r="W3082" i="1" s="1"/>
  <c r="S3082" i="1"/>
  <c r="R3082" i="1"/>
  <c r="Q3082" i="1"/>
  <c r="M3082" i="1"/>
  <c r="L3082" i="1"/>
  <c r="V3081" i="1"/>
  <c r="Z3081" i="1" s="1"/>
  <c r="U3081" i="1"/>
  <c r="T3081" i="1"/>
  <c r="S3081" i="1"/>
  <c r="R3081" i="1"/>
  <c r="Q3081" i="1"/>
  <c r="M3081" i="1"/>
  <c r="L3081" i="1"/>
  <c r="V3080" i="1"/>
  <c r="Z3080" i="1" s="1"/>
  <c r="U3080" i="1"/>
  <c r="T3080" i="1"/>
  <c r="W3080" i="1" s="1"/>
  <c r="S3080" i="1"/>
  <c r="R3080" i="1"/>
  <c r="Q3080" i="1"/>
  <c r="M3080" i="1"/>
  <c r="L3080" i="1"/>
  <c r="V3079" i="1"/>
  <c r="Z3079" i="1" s="1"/>
  <c r="U3079" i="1"/>
  <c r="T3079" i="1"/>
  <c r="W3079" i="1" s="1"/>
  <c r="S3079" i="1"/>
  <c r="R3079" i="1"/>
  <c r="Q3079" i="1"/>
  <c r="M3079" i="1"/>
  <c r="L3079" i="1"/>
  <c r="V3078" i="1"/>
  <c r="U3078" i="1"/>
  <c r="T3078" i="1"/>
  <c r="W3078" i="1" s="1"/>
  <c r="S3078" i="1"/>
  <c r="R3078" i="1"/>
  <c r="Q3078" i="1"/>
  <c r="M3078" i="1"/>
  <c r="L3078" i="1"/>
  <c r="V3077" i="1"/>
  <c r="Z3077" i="1" s="1"/>
  <c r="U3077" i="1"/>
  <c r="T3077" i="1"/>
  <c r="S3077" i="1"/>
  <c r="R3077" i="1"/>
  <c r="Q3077" i="1"/>
  <c r="M3077" i="1"/>
  <c r="L3077" i="1"/>
  <c r="V3076" i="1"/>
  <c r="Z3076" i="1" s="1"/>
  <c r="U3076" i="1"/>
  <c r="T3076" i="1"/>
  <c r="W3076" i="1" s="1"/>
  <c r="S3076" i="1"/>
  <c r="R3076" i="1"/>
  <c r="Q3076" i="1"/>
  <c r="M3076" i="1"/>
  <c r="L3076" i="1"/>
  <c r="V3075" i="1"/>
  <c r="U3075" i="1"/>
  <c r="T3075" i="1"/>
  <c r="W3075" i="1" s="1"/>
  <c r="S3075" i="1"/>
  <c r="R3075" i="1"/>
  <c r="Q3075" i="1"/>
  <c r="M3075" i="1"/>
  <c r="L3075" i="1"/>
  <c r="V3074" i="1"/>
  <c r="U3074" i="1"/>
  <c r="T3074" i="1"/>
  <c r="W3074" i="1" s="1"/>
  <c r="S3074" i="1"/>
  <c r="R3074" i="1"/>
  <c r="Q3074" i="1"/>
  <c r="M3074" i="1"/>
  <c r="L3074" i="1"/>
  <c r="V3073" i="1"/>
  <c r="Z3073" i="1" s="1"/>
  <c r="U3073" i="1"/>
  <c r="T3073" i="1"/>
  <c r="S3073" i="1"/>
  <c r="R3073" i="1"/>
  <c r="Q3073" i="1"/>
  <c r="M3073" i="1"/>
  <c r="L3073" i="1"/>
  <c r="V3072" i="1"/>
  <c r="Z3072" i="1" s="1"/>
  <c r="U3072" i="1"/>
  <c r="T3072" i="1"/>
  <c r="W3072" i="1" s="1"/>
  <c r="S3072" i="1"/>
  <c r="R3072" i="1"/>
  <c r="Q3072" i="1"/>
  <c r="M3072" i="1"/>
  <c r="L3072" i="1"/>
  <c r="V3071" i="1"/>
  <c r="Z3071" i="1" s="1"/>
  <c r="U3071" i="1"/>
  <c r="T3071" i="1"/>
  <c r="W3071" i="1" s="1"/>
  <c r="S3071" i="1"/>
  <c r="R3071" i="1"/>
  <c r="Q3071" i="1"/>
  <c r="M3071" i="1"/>
  <c r="L3071" i="1"/>
  <c r="V3070" i="1"/>
  <c r="U3070" i="1"/>
  <c r="T3070" i="1"/>
  <c r="W3070" i="1" s="1"/>
  <c r="S3070" i="1"/>
  <c r="R3070" i="1"/>
  <c r="Q3070" i="1"/>
  <c r="M3070" i="1"/>
  <c r="L3070" i="1"/>
  <c r="V3069" i="1"/>
  <c r="Z3069" i="1" s="1"/>
  <c r="U3069" i="1"/>
  <c r="T3069" i="1"/>
  <c r="S3069" i="1"/>
  <c r="R3069" i="1"/>
  <c r="Q3069" i="1"/>
  <c r="M3069" i="1"/>
  <c r="L3069" i="1"/>
  <c r="V3068" i="1"/>
  <c r="Z3068" i="1" s="1"/>
  <c r="U3068" i="1"/>
  <c r="T3068" i="1"/>
  <c r="W3068" i="1" s="1"/>
  <c r="S3068" i="1"/>
  <c r="R3068" i="1"/>
  <c r="Q3068" i="1"/>
  <c r="M3068" i="1"/>
  <c r="L3068" i="1"/>
  <c r="V3067" i="1"/>
  <c r="Z3067" i="1" s="1"/>
  <c r="U3067" i="1"/>
  <c r="T3067" i="1"/>
  <c r="W3067" i="1" s="1"/>
  <c r="S3067" i="1"/>
  <c r="R3067" i="1"/>
  <c r="Q3067" i="1"/>
  <c r="M3067" i="1"/>
  <c r="L3067" i="1"/>
  <c r="V3066" i="1"/>
  <c r="U3066" i="1"/>
  <c r="T3066" i="1"/>
  <c r="S3066" i="1"/>
  <c r="R3066" i="1"/>
  <c r="Q3066" i="1"/>
  <c r="M3066" i="1"/>
  <c r="L3066" i="1"/>
  <c r="V3065" i="1"/>
  <c r="Z3065" i="1" s="1"/>
  <c r="U3065" i="1"/>
  <c r="T3065" i="1"/>
  <c r="S3065" i="1"/>
  <c r="R3065" i="1"/>
  <c r="Q3065" i="1"/>
  <c r="M3065" i="1"/>
  <c r="L3065" i="1"/>
  <c r="V3064" i="1"/>
  <c r="Z3064" i="1" s="1"/>
  <c r="U3064" i="1"/>
  <c r="T3064" i="1"/>
  <c r="W3064" i="1" s="1"/>
  <c r="S3064" i="1"/>
  <c r="R3064" i="1"/>
  <c r="Q3064" i="1"/>
  <c r="M3064" i="1"/>
  <c r="L3064" i="1"/>
  <c r="V3063" i="1"/>
  <c r="U3063" i="1"/>
  <c r="T3063" i="1"/>
  <c r="W3063" i="1" s="1"/>
  <c r="S3063" i="1"/>
  <c r="R3063" i="1"/>
  <c r="Q3063" i="1"/>
  <c r="M3063" i="1"/>
  <c r="L3063" i="1"/>
  <c r="V3062" i="1"/>
  <c r="U3062" i="1"/>
  <c r="T3062" i="1"/>
  <c r="W3062" i="1" s="1"/>
  <c r="S3062" i="1"/>
  <c r="R3062" i="1"/>
  <c r="Q3062" i="1"/>
  <c r="M3062" i="1"/>
  <c r="L3062" i="1"/>
  <c r="V3061" i="1"/>
  <c r="Z3061" i="1" s="1"/>
  <c r="U3061" i="1"/>
  <c r="T3061" i="1"/>
  <c r="S3061" i="1"/>
  <c r="R3061" i="1"/>
  <c r="Q3061" i="1"/>
  <c r="M3061" i="1"/>
  <c r="L3061" i="1"/>
  <c r="V3060" i="1"/>
  <c r="Z3060" i="1" s="1"/>
  <c r="U3060" i="1"/>
  <c r="T3060" i="1"/>
  <c r="W3060" i="1" s="1"/>
  <c r="S3060" i="1"/>
  <c r="R3060" i="1"/>
  <c r="Q3060" i="1"/>
  <c r="M3060" i="1"/>
  <c r="L3060" i="1"/>
  <c r="V3059" i="1"/>
  <c r="Z3059" i="1" s="1"/>
  <c r="U3059" i="1"/>
  <c r="T3059" i="1"/>
  <c r="W3059" i="1" s="1"/>
  <c r="S3059" i="1"/>
  <c r="R3059" i="1"/>
  <c r="Q3059" i="1"/>
  <c r="M3059" i="1"/>
  <c r="L3059" i="1"/>
  <c r="V3058" i="1"/>
  <c r="U3058" i="1"/>
  <c r="T3058" i="1"/>
  <c r="W3058" i="1" s="1"/>
  <c r="S3058" i="1"/>
  <c r="R3058" i="1"/>
  <c r="Q3058" i="1"/>
  <c r="M3058" i="1"/>
  <c r="L3058" i="1"/>
  <c r="V3057" i="1"/>
  <c r="Z3057" i="1" s="1"/>
  <c r="U3057" i="1"/>
  <c r="T3057" i="1"/>
  <c r="S3057" i="1"/>
  <c r="R3057" i="1"/>
  <c r="Q3057" i="1"/>
  <c r="M3057" i="1"/>
  <c r="L3057" i="1"/>
  <c r="V3056" i="1"/>
  <c r="Z3056" i="1" s="1"/>
  <c r="U3056" i="1"/>
  <c r="T3056" i="1"/>
  <c r="W3056" i="1" s="1"/>
  <c r="S3056" i="1"/>
  <c r="R3056" i="1"/>
  <c r="Q3056" i="1"/>
  <c r="M3056" i="1"/>
  <c r="L3056" i="1"/>
  <c r="V3055" i="1"/>
  <c r="Z3055" i="1" s="1"/>
  <c r="U3055" i="1"/>
  <c r="T3055" i="1"/>
  <c r="W3055" i="1" s="1"/>
  <c r="S3055" i="1"/>
  <c r="R3055" i="1"/>
  <c r="Q3055" i="1"/>
  <c r="M3055" i="1"/>
  <c r="L3055" i="1"/>
  <c r="V3054" i="1"/>
  <c r="U3054" i="1"/>
  <c r="T3054" i="1"/>
  <c r="S3054" i="1"/>
  <c r="R3054" i="1"/>
  <c r="Q3054" i="1"/>
  <c r="M3054" i="1"/>
  <c r="L3054" i="1"/>
  <c r="V3053" i="1"/>
  <c r="Z3053" i="1" s="1"/>
  <c r="U3053" i="1"/>
  <c r="T3053" i="1"/>
  <c r="S3053" i="1"/>
  <c r="R3053" i="1"/>
  <c r="Q3053" i="1"/>
  <c r="M3053" i="1"/>
  <c r="L3053" i="1"/>
  <c r="V3052" i="1"/>
  <c r="Z3052" i="1" s="1"/>
  <c r="U3052" i="1"/>
  <c r="T3052" i="1"/>
  <c r="W3052" i="1" s="1"/>
  <c r="S3052" i="1"/>
  <c r="R3052" i="1"/>
  <c r="Q3052" i="1"/>
  <c r="M3052" i="1"/>
  <c r="L3052" i="1"/>
  <c r="V3051" i="1"/>
  <c r="Z3051" i="1" s="1"/>
  <c r="U3051" i="1"/>
  <c r="T3051" i="1"/>
  <c r="W3051" i="1" s="1"/>
  <c r="S3051" i="1"/>
  <c r="R3051" i="1"/>
  <c r="Q3051" i="1"/>
  <c r="M3051" i="1"/>
  <c r="L3051" i="1"/>
  <c r="V3050" i="1"/>
  <c r="U3050" i="1"/>
  <c r="T3050" i="1"/>
  <c r="W3050" i="1" s="1"/>
  <c r="S3050" i="1"/>
  <c r="R3050" i="1"/>
  <c r="Q3050" i="1"/>
  <c r="M3050" i="1"/>
  <c r="L3050" i="1"/>
  <c r="V3049" i="1"/>
  <c r="Z3049" i="1" s="1"/>
  <c r="U3049" i="1"/>
  <c r="T3049" i="1"/>
  <c r="S3049" i="1"/>
  <c r="R3049" i="1"/>
  <c r="Q3049" i="1"/>
  <c r="M3049" i="1"/>
  <c r="L3049" i="1"/>
  <c r="V3048" i="1"/>
  <c r="Z3048" i="1" s="1"/>
  <c r="U3048" i="1"/>
  <c r="T3048" i="1"/>
  <c r="W3048" i="1" s="1"/>
  <c r="S3048" i="1"/>
  <c r="R3048" i="1"/>
  <c r="Q3048" i="1"/>
  <c r="M3048" i="1"/>
  <c r="L3048" i="1"/>
  <c r="V3047" i="1"/>
  <c r="Z3047" i="1" s="1"/>
  <c r="U3047" i="1"/>
  <c r="T3047" i="1"/>
  <c r="W3047" i="1" s="1"/>
  <c r="S3047" i="1"/>
  <c r="R3047" i="1"/>
  <c r="Q3047" i="1"/>
  <c r="M3047" i="1"/>
  <c r="L3047" i="1"/>
  <c r="V3046" i="1"/>
  <c r="U3046" i="1"/>
  <c r="T3046" i="1"/>
  <c r="W3046" i="1" s="1"/>
  <c r="S3046" i="1"/>
  <c r="R3046" i="1"/>
  <c r="Q3046" i="1"/>
  <c r="M3046" i="1"/>
  <c r="L3046" i="1"/>
  <c r="V3045" i="1"/>
  <c r="Z3045" i="1" s="1"/>
  <c r="U3045" i="1"/>
  <c r="T3045" i="1"/>
  <c r="S3045" i="1"/>
  <c r="R3045" i="1"/>
  <c r="Q3045" i="1"/>
  <c r="M3045" i="1"/>
  <c r="L3045" i="1"/>
  <c r="V3044" i="1"/>
  <c r="Z3044" i="1" s="1"/>
  <c r="U3044" i="1"/>
  <c r="T3044" i="1"/>
  <c r="W3044" i="1" s="1"/>
  <c r="S3044" i="1"/>
  <c r="R3044" i="1"/>
  <c r="Q3044" i="1"/>
  <c r="M3044" i="1"/>
  <c r="L3044" i="1"/>
  <c r="V3043" i="1"/>
  <c r="U3043" i="1"/>
  <c r="T3043" i="1"/>
  <c r="W3043" i="1" s="1"/>
  <c r="S3043" i="1"/>
  <c r="R3043" i="1"/>
  <c r="Q3043" i="1"/>
  <c r="M3043" i="1"/>
  <c r="L3043" i="1"/>
  <c r="V3042" i="1"/>
  <c r="U3042" i="1"/>
  <c r="T3042" i="1"/>
  <c r="W3042" i="1" s="1"/>
  <c r="S3042" i="1"/>
  <c r="R3042" i="1"/>
  <c r="Q3042" i="1"/>
  <c r="M3042" i="1"/>
  <c r="L3042" i="1"/>
  <c r="V3041" i="1"/>
  <c r="Z3041" i="1" s="1"/>
  <c r="U3041" i="1"/>
  <c r="T3041" i="1"/>
  <c r="S3041" i="1"/>
  <c r="R3041" i="1"/>
  <c r="Q3041" i="1"/>
  <c r="M3041" i="1"/>
  <c r="L3041" i="1"/>
  <c r="V3040" i="1"/>
  <c r="Z3040" i="1" s="1"/>
  <c r="U3040" i="1"/>
  <c r="T3040" i="1"/>
  <c r="W3040" i="1" s="1"/>
  <c r="S3040" i="1"/>
  <c r="R3040" i="1"/>
  <c r="Q3040" i="1"/>
  <c r="M3040" i="1"/>
  <c r="L3040" i="1"/>
  <c r="V3039" i="1"/>
  <c r="Z3039" i="1" s="1"/>
  <c r="U3039" i="1"/>
  <c r="T3039" i="1"/>
  <c r="W3039" i="1" s="1"/>
  <c r="S3039" i="1"/>
  <c r="R3039" i="1"/>
  <c r="Q3039" i="1"/>
  <c r="M3039" i="1"/>
  <c r="L3039" i="1"/>
  <c r="V3038" i="1"/>
  <c r="U3038" i="1"/>
  <c r="T3038" i="1"/>
  <c r="W3038" i="1" s="1"/>
  <c r="S3038" i="1"/>
  <c r="R3038" i="1"/>
  <c r="Q3038" i="1"/>
  <c r="M3038" i="1"/>
  <c r="L3038" i="1"/>
  <c r="V3037" i="1"/>
  <c r="Z3037" i="1" s="1"/>
  <c r="U3037" i="1"/>
  <c r="T3037" i="1"/>
  <c r="S3037" i="1"/>
  <c r="R3037" i="1"/>
  <c r="Q3037" i="1"/>
  <c r="M3037" i="1"/>
  <c r="L3037" i="1"/>
  <c r="V3036" i="1"/>
  <c r="Z3036" i="1" s="1"/>
  <c r="U3036" i="1"/>
  <c r="T3036" i="1"/>
  <c r="W3036" i="1" s="1"/>
  <c r="S3036" i="1"/>
  <c r="R3036" i="1"/>
  <c r="Q3036" i="1"/>
  <c r="M3036" i="1"/>
  <c r="L3036" i="1"/>
  <c r="V3035" i="1"/>
  <c r="Z3035" i="1" s="1"/>
  <c r="U3035" i="1"/>
  <c r="T3035" i="1"/>
  <c r="W3035" i="1" s="1"/>
  <c r="S3035" i="1"/>
  <c r="R3035" i="1"/>
  <c r="Q3035" i="1"/>
  <c r="M3035" i="1"/>
  <c r="L3035" i="1"/>
  <c r="V3034" i="1"/>
  <c r="U3034" i="1"/>
  <c r="T3034" i="1"/>
  <c r="S3034" i="1"/>
  <c r="R3034" i="1"/>
  <c r="Q3034" i="1"/>
  <c r="M3034" i="1"/>
  <c r="L3034" i="1"/>
  <c r="V3033" i="1"/>
  <c r="Z3033" i="1" s="1"/>
  <c r="U3033" i="1"/>
  <c r="T3033" i="1"/>
  <c r="S3033" i="1"/>
  <c r="R3033" i="1"/>
  <c r="Q3033" i="1"/>
  <c r="M3033" i="1"/>
  <c r="L3033" i="1"/>
  <c r="V3032" i="1"/>
  <c r="Z3032" i="1" s="1"/>
  <c r="U3032" i="1"/>
  <c r="T3032" i="1"/>
  <c r="W3032" i="1" s="1"/>
  <c r="S3032" i="1"/>
  <c r="R3032" i="1"/>
  <c r="Q3032" i="1"/>
  <c r="M3032" i="1"/>
  <c r="L3032" i="1"/>
  <c r="V3031" i="1"/>
  <c r="U3031" i="1"/>
  <c r="T3031" i="1"/>
  <c r="W3031" i="1" s="1"/>
  <c r="S3031" i="1"/>
  <c r="R3031" i="1"/>
  <c r="Q3031" i="1"/>
  <c r="M3031" i="1"/>
  <c r="L3031" i="1"/>
  <c r="V3030" i="1"/>
  <c r="U3030" i="1"/>
  <c r="T3030" i="1"/>
  <c r="W3030" i="1" s="1"/>
  <c r="S3030" i="1"/>
  <c r="R3030" i="1"/>
  <c r="Q3030" i="1"/>
  <c r="M3030" i="1"/>
  <c r="L3030" i="1"/>
  <c r="V3029" i="1"/>
  <c r="Z3029" i="1" s="1"/>
  <c r="U3029" i="1"/>
  <c r="T3029" i="1"/>
  <c r="S3029" i="1"/>
  <c r="R3029" i="1"/>
  <c r="Q3029" i="1"/>
  <c r="M3029" i="1"/>
  <c r="L3029" i="1"/>
  <c r="V3028" i="1"/>
  <c r="Z3028" i="1" s="1"/>
  <c r="U3028" i="1"/>
  <c r="T3028" i="1"/>
  <c r="W3028" i="1" s="1"/>
  <c r="S3028" i="1"/>
  <c r="R3028" i="1"/>
  <c r="Q3028" i="1"/>
  <c r="M3028" i="1"/>
  <c r="L3028" i="1"/>
  <c r="V3027" i="1"/>
  <c r="Z3027" i="1" s="1"/>
  <c r="U3027" i="1"/>
  <c r="T3027" i="1"/>
  <c r="W3027" i="1" s="1"/>
  <c r="S3027" i="1"/>
  <c r="R3027" i="1"/>
  <c r="Q3027" i="1"/>
  <c r="M3027" i="1"/>
  <c r="L3027" i="1"/>
  <c r="V3026" i="1"/>
  <c r="U3026" i="1"/>
  <c r="T3026" i="1"/>
  <c r="W3026" i="1" s="1"/>
  <c r="S3026" i="1"/>
  <c r="R3026" i="1"/>
  <c r="Q3026" i="1"/>
  <c r="M3026" i="1"/>
  <c r="L3026" i="1"/>
  <c r="V3025" i="1"/>
  <c r="Z3025" i="1" s="1"/>
  <c r="U3025" i="1"/>
  <c r="T3025" i="1"/>
  <c r="S3025" i="1"/>
  <c r="R3025" i="1"/>
  <c r="Q3025" i="1"/>
  <c r="M3025" i="1"/>
  <c r="L3025" i="1"/>
  <c r="V3024" i="1"/>
  <c r="Z3024" i="1" s="1"/>
  <c r="U3024" i="1"/>
  <c r="T3024" i="1"/>
  <c r="W3024" i="1" s="1"/>
  <c r="S3024" i="1"/>
  <c r="R3024" i="1"/>
  <c r="Q3024" i="1"/>
  <c r="M3024" i="1"/>
  <c r="L3024" i="1"/>
  <c r="V3023" i="1"/>
  <c r="Z3023" i="1" s="1"/>
  <c r="U3023" i="1"/>
  <c r="T3023" i="1"/>
  <c r="W3023" i="1" s="1"/>
  <c r="S3023" i="1"/>
  <c r="R3023" i="1"/>
  <c r="Q3023" i="1"/>
  <c r="M3023" i="1"/>
  <c r="L3023" i="1"/>
  <c r="V3022" i="1"/>
  <c r="U3022" i="1"/>
  <c r="T3022" i="1"/>
  <c r="S3022" i="1"/>
  <c r="R3022" i="1"/>
  <c r="Q3022" i="1"/>
  <c r="M3022" i="1"/>
  <c r="L3022" i="1"/>
  <c r="V3021" i="1"/>
  <c r="Z3021" i="1" s="1"/>
  <c r="U3021" i="1"/>
  <c r="T3021" i="1"/>
  <c r="S3021" i="1"/>
  <c r="R3021" i="1"/>
  <c r="Q3021" i="1"/>
  <c r="M3021" i="1"/>
  <c r="L3021" i="1"/>
  <c r="V3020" i="1"/>
  <c r="Z3020" i="1" s="1"/>
  <c r="U3020" i="1"/>
  <c r="T3020" i="1"/>
  <c r="W3020" i="1" s="1"/>
  <c r="S3020" i="1"/>
  <c r="R3020" i="1"/>
  <c r="Q3020" i="1"/>
  <c r="M3020" i="1"/>
  <c r="L3020" i="1"/>
  <c r="V3019" i="1"/>
  <c r="Z3019" i="1" s="1"/>
  <c r="U3019" i="1"/>
  <c r="T3019" i="1"/>
  <c r="W3019" i="1" s="1"/>
  <c r="S3019" i="1"/>
  <c r="R3019" i="1"/>
  <c r="Q3019" i="1"/>
  <c r="M3019" i="1"/>
  <c r="L3019" i="1"/>
  <c r="V3018" i="1"/>
  <c r="U3018" i="1"/>
  <c r="T3018" i="1"/>
  <c r="W3018" i="1" s="1"/>
  <c r="S3018" i="1"/>
  <c r="R3018" i="1"/>
  <c r="Q3018" i="1"/>
  <c r="M3018" i="1"/>
  <c r="L3018" i="1"/>
  <c r="V3017" i="1"/>
  <c r="U3017" i="1"/>
  <c r="T3017" i="1"/>
  <c r="S3017" i="1"/>
  <c r="R3017" i="1"/>
  <c r="Q3017" i="1"/>
  <c r="M3017" i="1"/>
  <c r="L3017" i="1"/>
  <c r="V3016" i="1"/>
  <c r="Z3016" i="1" s="1"/>
  <c r="U3016" i="1"/>
  <c r="T3016" i="1"/>
  <c r="W3016" i="1" s="1"/>
  <c r="S3016" i="1"/>
  <c r="R3016" i="1"/>
  <c r="Q3016" i="1"/>
  <c r="M3016" i="1"/>
  <c r="L3016" i="1"/>
  <c r="V3015" i="1"/>
  <c r="Z3015" i="1" s="1"/>
  <c r="U3015" i="1"/>
  <c r="T3015" i="1"/>
  <c r="W3015" i="1" s="1"/>
  <c r="S3015" i="1"/>
  <c r="R3015" i="1"/>
  <c r="Q3015" i="1"/>
  <c r="M3015" i="1"/>
  <c r="L3015" i="1"/>
  <c r="V3014" i="1"/>
  <c r="U3014" i="1"/>
  <c r="T3014" i="1"/>
  <c r="W3014" i="1" s="1"/>
  <c r="S3014" i="1"/>
  <c r="R3014" i="1"/>
  <c r="Q3014" i="1"/>
  <c r="M3014" i="1"/>
  <c r="L3014" i="1"/>
  <c r="V3013" i="1"/>
  <c r="U3013" i="1"/>
  <c r="T3013" i="1"/>
  <c r="S3013" i="1"/>
  <c r="R3013" i="1"/>
  <c r="Q3013" i="1"/>
  <c r="M3013" i="1"/>
  <c r="L3013" i="1"/>
  <c r="V3012" i="1"/>
  <c r="Z3012" i="1" s="1"/>
  <c r="U3012" i="1"/>
  <c r="T3012" i="1"/>
  <c r="W3012" i="1" s="1"/>
  <c r="S3012" i="1"/>
  <c r="R3012" i="1"/>
  <c r="Q3012" i="1"/>
  <c r="M3012" i="1"/>
  <c r="L3012" i="1"/>
  <c r="V3011" i="1"/>
  <c r="U3011" i="1"/>
  <c r="T3011" i="1"/>
  <c r="W3011" i="1" s="1"/>
  <c r="S3011" i="1"/>
  <c r="R3011" i="1"/>
  <c r="Q3011" i="1"/>
  <c r="M3011" i="1"/>
  <c r="L3011" i="1"/>
  <c r="V3010" i="1"/>
  <c r="U3010" i="1"/>
  <c r="T3010" i="1"/>
  <c r="W3010" i="1" s="1"/>
  <c r="S3010" i="1"/>
  <c r="R3010" i="1"/>
  <c r="Q3010" i="1"/>
  <c r="M3010" i="1"/>
  <c r="L3010" i="1"/>
  <c r="V3009" i="1"/>
  <c r="U3009" i="1"/>
  <c r="T3009" i="1"/>
  <c r="S3009" i="1"/>
  <c r="R3009" i="1"/>
  <c r="Q3009" i="1"/>
  <c r="M3009" i="1"/>
  <c r="L3009" i="1"/>
  <c r="V3008" i="1"/>
  <c r="Z3008" i="1" s="1"/>
  <c r="U3008" i="1"/>
  <c r="T3008" i="1"/>
  <c r="W3008" i="1" s="1"/>
  <c r="S3008" i="1"/>
  <c r="R3008" i="1"/>
  <c r="Q3008" i="1"/>
  <c r="M3008" i="1"/>
  <c r="L3008" i="1"/>
  <c r="V3007" i="1"/>
  <c r="Z3007" i="1" s="1"/>
  <c r="U3007" i="1"/>
  <c r="T3007" i="1"/>
  <c r="W3007" i="1" s="1"/>
  <c r="S3007" i="1"/>
  <c r="R3007" i="1"/>
  <c r="Q3007" i="1"/>
  <c r="M3007" i="1"/>
  <c r="L3007" i="1"/>
  <c r="V3006" i="1"/>
  <c r="U3006" i="1"/>
  <c r="T3006" i="1"/>
  <c r="W3006" i="1" s="1"/>
  <c r="S3006" i="1"/>
  <c r="R3006" i="1"/>
  <c r="Q3006" i="1"/>
  <c r="M3006" i="1"/>
  <c r="L3006" i="1"/>
  <c r="V3005" i="1"/>
  <c r="U3005" i="1"/>
  <c r="T3005" i="1"/>
  <c r="S3005" i="1"/>
  <c r="R3005" i="1"/>
  <c r="Q3005" i="1"/>
  <c r="M3005" i="1"/>
  <c r="L3005" i="1"/>
  <c r="V3004" i="1"/>
  <c r="Z3004" i="1" s="1"/>
  <c r="U3004" i="1"/>
  <c r="T3004" i="1"/>
  <c r="W3004" i="1" s="1"/>
  <c r="S3004" i="1"/>
  <c r="R3004" i="1"/>
  <c r="Q3004" i="1"/>
  <c r="M3004" i="1"/>
  <c r="L3004" i="1"/>
  <c r="V3003" i="1"/>
  <c r="U3003" i="1"/>
  <c r="T3003" i="1"/>
  <c r="W3003" i="1" s="1"/>
  <c r="S3003" i="1"/>
  <c r="R3003" i="1"/>
  <c r="Q3003" i="1"/>
  <c r="M3003" i="1"/>
  <c r="L3003" i="1"/>
  <c r="V3002" i="1"/>
  <c r="U3002" i="1"/>
  <c r="T3002" i="1"/>
  <c r="W3002" i="1" s="1"/>
  <c r="S3002" i="1"/>
  <c r="R3002" i="1"/>
  <c r="Q3002" i="1"/>
  <c r="M3002" i="1"/>
  <c r="L3002" i="1"/>
  <c r="V3001" i="1"/>
  <c r="U3001" i="1"/>
  <c r="T3001" i="1"/>
  <c r="S3001" i="1"/>
  <c r="R3001" i="1"/>
  <c r="Q3001" i="1"/>
  <c r="M3001" i="1"/>
  <c r="L3001" i="1"/>
  <c r="V3000" i="1"/>
  <c r="Z3000" i="1" s="1"/>
  <c r="U3000" i="1"/>
  <c r="T3000" i="1"/>
  <c r="W3000" i="1" s="1"/>
  <c r="S3000" i="1"/>
  <c r="R3000" i="1"/>
  <c r="Q3000" i="1"/>
  <c r="M3000" i="1"/>
  <c r="L3000" i="1"/>
  <c r="V2999" i="1"/>
  <c r="U2999" i="1"/>
  <c r="T2999" i="1"/>
  <c r="W2999" i="1" s="1"/>
  <c r="S2999" i="1"/>
  <c r="R2999" i="1"/>
  <c r="Q2999" i="1"/>
  <c r="M2999" i="1"/>
  <c r="L2999" i="1"/>
  <c r="V2998" i="1"/>
  <c r="U2998" i="1"/>
  <c r="T2998" i="1"/>
  <c r="W2998" i="1" s="1"/>
  <c r="S2998" i="1"/>
  <c r="R2998" i="1"/>
  <c r="Q2998" i="1"/>
  <c r="M2998" i="1"/>
  <c r="L2998" i="1"/>
  <c r="V2997" i="1"/>
  <c r="U2997" i="1"/>
  <c r="T2997" i="1"/>
  <c r="S2997" i="1"/>
  <c r="R2997" i="1"/>
  <c r="Q2997" i="1"/>
  <c r="M2997" i="1"/>
  <c r="L2997" i="1"/>
  <c r="V2996" i="1"/>
  <c r="Z2996" i="1" s="1"/>
  <c r="U2996" i="1"/>
  <c r="T2996" i="1"/>
  <c r="W2996" i="1" s="1"/>
  <c r="S2996" i="1"/>
  <c r="R2996" i="1"/>
  <c r="Q2996" i="1"/>
  <c r="M2996" i="1"/>
  <c r="L2996" i="1"/>
  <c r="V2995" i="1"/>
  <c r="Z2995" i="1" s="1"/>
  <c r="U2995" i="1"/>
  <c r="T2995" i="1"/>
  <c r="W2995" i="1" s="1"/>
  <c r="S2995" i="1"/>
  <c r="R2995" i="1"/>
  <c r="Q2995" i="1"/>
  <c r="M2995" i="1"/>
  <c r="L2995" i="1"/>
  <c r="V2994" i="1"/>
  <c r="U2994" i="1"/>
  <c r="T2994" i="1"/>
  <c r="S2994" i="1"/>
  <c r="R2994" i="1"/>
  <c r="Q2994" i="1"/>
  <c r="M2994" i="1"/>
  <c r="L2994" i="1"/>
  <c r="V2993" i="1"/>
  <c r="U2993" i="1"/>
  <c r="T2993" i="1"/>
  <c r="S2993" i="1"/>
  <c r="R2993" i="1"/>
  <c r="Q2993" i="1"/>
  <c r="M2993" i="1"/>
  <c r="L2993" i="1"/>
  <c r="V2992" i="1"/>
  <c r="Z2992" i="1" s="1"/>
  <c r="U2992" i="1"/>
  <c r="T2992" i="1"/>
  <c r="W2992" i="1" s="1"/>
  <c r="S2992" i="1"/>
  <c r="R2992" i="1"/>
  <c r="Q2992" i="1"/>
  <c r="M2992" i="1"/>
  <c r="L2992" i="1"/>
  <c r="V2991" i="1"/>
  <c r="Z2991" i="1" s="1"/>
  <c r="U2991" i="1"/>
  <c r="T2991" i="1"/>
  <c r="W2991" i="1" s="1"/>
  <c r="S2991" i="1"/>
  <c r="R2991" i="1"/>
  <c r="Q2991" i="1"/>
  <c r="M2991" i="1"/>
  <c r="L2991" i="1"/>
  <c r="V2990" i="1"/>
  <c r="U2990" i="1"/>
  <c r="T2990" i="1"/>
  <c r="W2990" i="1" s="1"/>
  <c r="S2990" i="1"/>
  <c r="R2990" i="1"/>
  <c r="Q2990" i="1"/>
  <c r="M2990" i="1"/>
  <c r="L2990" i="1"/>
  <c r="V2989" i="1"/>
  <c r="U2989" i="1"/>
  <c r="T2989" i="1"/>
  <c r="S2989" i="1"/>
  <c r="R2989" i="1"/>
  <c r="Q2989" i="1"/>
  <c r="M2989" i="1"/>
  <c r="L2989" i="1"/>
  <c r="V2988" i="1"/>
  <c r="Z2988" i="1" s="1"/>
  <c r="U2988" i="1"/>
  <c r="T2988" i="1"/>
  <c r="W2988" i="1" s="1"/>
  <c r="S2988" i="1"/>
  <c r="R2988" i="1"/>
  <c r="Q2988" i="1"/>
  <c r="M2988" i="1"/>
  <c r="L2988" i="1"/>
  <c r="V2987" i="1"/>
  <c r="Z2987" i="1" s="1"/>
  <c r="U2987" i="1"/>
  <c r="T2987" i="1"/>
  <c r="W2987" i="1" s="1"/>
  <c r="S2987" i="1"/>
  <c r="R2987" i="1"/>
  <c r="Q2987" i="1"/>
  <c r="M2987" i="1"/>
  <c r="L2987" i="1"/>
  <c r="V2986" i="1"/>
  <c r="U2986" i="1"/>
  <c r="T2986" i="1"/>
  <c r="S2986" i="1"/>
  <c r="R2986" i="1"/>
  <c r="Q2986" i="1"/>
  <c r="M2986" i="1"/>
  <c r="L2986" i="1"/>
  <c r="V2985" i="1"/>
  <c r="U2985" i="1"/>
  <c r="T2985" i="1"/>
  <c r="S2985" i="1"/>
  <c r="R2985" i="1"/>
  <c r="Q2985" i="1"/>
  <c r="M2985" i="1"/>
  <c r="L2985" i="1"/>
  <c r="V2984" i="1"/>
  <c r="Z2984" i="1" s="1"/>
  <c r="U2984" i="1"/>
  <c r="T2984" i="1"/>
  <c r="W2984" i="1" s="1"/>
  <c r="S2984" i="1"/>
  <c r="R2984" i="1"/>
  <c r="Q2984" i="1"/>
  <c r="M2984" i="1"/>
  <c r="L2984" i="1"/>
  <c r="V2983" i="1"/>
  <c r="Z2983" i="1" s="1"/>
  <c r="U2983" i="1"/>
  <c r="T2983" i="1"/>
  <c r="W2983" i="1" s="1"/>
  <c r="S2983" i="1"/>
  <c r="R2983" i="1"/>
  <c r="Q2983" i="1"/>
  <c r="M2983" i="1"/>
  <c r="L2983" i="1"/>
  <c r="V2982" i="1"/>
  <c r="U2982" i="1"/>
  <c r="T2982" i="1"/>
  <c r="S2982" i="1"/>
  <c r="R2982" i="1"/>
  <c r="Q2982" i="1"/>
  <c r="M2982" i="1"/>
  <c r="L2982" i="1"/>
  <c r="V2981" i="1"/>
  <c r="U2981" i="1"/>
  <c r="T2981" i="1"/>
  <c r="S2981" i="1"/>
  <c r="R2981" i="1"/>
  <c r="Q2981" i="1"/>
  <c r="M2981" i="1"/>
  <c r="L2981" i="1"/>
  <c r="V2980" i="1"/>
  <c r="Z2980" i="1" s="1"/>
  <c r="U2980" i="1"/>
  <c r="T2980" i="1"/>
  <c r="W2980" i="1" s="1"/>
  <c r="S2980" i="1"/>
  <c r="R2980" i="1"/>
  <c r="Q2980" i="1"/>
  <c r="M2980" i="1"/>
  <c r="L2980" i="1"/>
  <c r="V2979" i="1"/>
  <c r="Z2979" i="1" s="1"/>
  <c r="U2979" i="1"/>
  <c r="T2979" i="1"/>
  <c r="W2979" i="1" s="1"/>
  <c r="S2979" i="1"/>
  <c r="R2979" i="1"/>
  <c r="Q2979" i="1"/>
  <c r="M2979" i="1"/>
  <c r="L2979" i="1"/>
  <c r="V2978" i="1"/>
  <c r="U2978" i="1"/>
  <c r="T2978" i="1"/>
  <c r="W2978" i="1" s="1"/>
  <c r="S2978" i="1"/>
  <c r="R2978" i="1"/>
  <c r="Q2978" i="1"/>
  <c r="M2978" i="1"/>
  <c r="L2978" i="1"/>
  <c r="V2977" i="1"/>
  <c r="U2977" i="1"/>
  <c r="T2977" i="1"/>
  <c r="S2977" i="1"/>
  <c r="R2977" i="1"/>
  <c r="Q2977" i="1"/>
  <c r="M2977" i="1"/>
  <c r="L2977" i="1"/>
  <c r="V2976" i="1"/>
  <c r="Z2976" i="1" s="1"/>
  <c r="U2976" i="1"/>
  <c r="T2976" i="1"/>
  <c r="W2976" i="1" s="1"/>
  <c r="S2976" i="1"/>
  <c r="R2976" i="1"/>
  <c r="Q2976" i="1"/>
  <c r="M2976" i="1"/>
  <c r="L2976" i="1"/>
  <c r="V2975" i="1"/>
  <c r="U2975" i="1"/>
  <c r="T2975" i="1"/>
  <c r="W2975" i="1" s="1"/>
  <c r="S2975" i="1"/>
  <c r="R2975" i="1"/>
  <c r="Q2975" i="1"/>
  <c r="M2975" i="1"/>
  <c r="L2975" i="1"/>
  <c r="V2974" i="1"/>
  <c r="U2974" i="1"/>
  <c r="T2974" i="1"/>
  <c r="W2974" i="1" s="1"/>
  <c r="S2974" i="1"/>
  <c r="R2974" i="1"/>
  <c r="Q2974" i="1"/>
  <c r="M2974" i="1"/>
  <c r="L2974" i="1"/>
  <c r="V2973" i="1"/>
  <c r="U2973" i="1"/>
  <c r="T2973" i="1"/>
  <c r="S2973" i="1"/>
  <c r="R2973" i="1"/>
  <c r="Q2973" i="1"/>
  <c r="M2973" i="1"/>
  <c r="L2973" i="1"/>
  <c r="V2972" i="1"/>
  <c r="Z2972" i="1" s="1"/>
  <c r="U2972" i="1"/>
  <c r="T2972" i="1"/>
  <c r="W2972" i="1" s="1"/>
  <c r="S2972" i="1"/>
  <c r="R2972" i="1"/>
  <c r="Q2972" i="1"/>
  <c r="M2972" i="1"/>
  <c r="L2972" i="1"/>
  <c r="V2971" i="1"/>
  <c r="Z2971" i="1" s="1"/>
  <c r="U2971" i="1"/>
  <c r="T2971" i="1"/>
  <c r="W2971" i="1" s="1"/>
  <c r="S2971" i="1"/>
  <c r="R2971" i="1"/>
  <c r="Q2971" i="1"/>
  <c r="M2971" i="1"/>
  <c r="L2971" i="1"/>
  <c r="V2970" i="1"/>
  <c r="U2970" i="1"/>
  <c r="T2970" i="1"/>
  <c r="W2970" i="1" s="1"/>
  <c r="S2970" i="1"/>
  <c r="R2970" i="1"/>
  <c r="Q2970" i="1"/>
  <c r="M2970" i="1"/>
  <c r="L2970" i="1"/>
  <c r="V2969" i="1"/>
  <c r="U2969" i="1"/>
  <c r="T2969" i="1"/>
  <c r="S2969" i="1"/>
  <c r="R2969" i="1"/>
  <c r="Q2969" i="1"/>
  <c r="M2969" i="1"/>
  <c r="L2969" i="1"/>
  <c r="V2968" i="1"/>
  <c r="Z2968" i="1" s="1"/>
  <c r="U2968" i="1"/>
  <c r="T2968" i="1"/>
  <c r="W2968" i="1" s="1"/>
  <c r="S2968" i="1"/>
  <c r="R2968" i="1"/>
  <c r="Q2968" i="1"/>
  <c r="M2968" i="1"/>
  <c r="L2968" i="1"/>
  <c r="V2967" i="1"/>
  <c r="Z2967" i="1" s="1"/>
  <c r="U2967" i="1"/>
  <c r="T2967" i="1"/>
  <c r="W2967" i="1" s="1"/>
  <c r="S2967" i="1"/>
  <c r="R2967" i="1"/>
  <c r="Q2967" i="1"/>
  <c r="M2967" i="1"/>
  <c r="L2967" i="1"/>
  <c r="V2966" i="1"/>
  <c r="U2966" i="1"/>
  <c r="T2966" i="1"/>
  <c r="W2966" i="1" s="1"/>
  <c r="S2966" i="1"/>
  <c r="R2966" i="1"/>
  <c r="Q2966" i="1"/>
  <c r="M2966" i="1"/>
  <c r="L2966" i="1"/>
  <c r="V2965" i="1"/>
  <c r="U2965" i="1"/>
  <c r="T2965" i="1"/>
  <c r="S2965" i="1"/>
  <c r="R2965" i="1"/>
  <c r="Q2965" i="1"/>
  <c r="M2965" i="1"/>
  <c r="L2965" i="1"/>
  <c r="V2964" i="1"/>
  <c r="Z2964" i="1" s="1"/>
  <c r="U2964" i="1"/>
  <c r="T2964" i="1"/>
  <c r="W2964" i="1" s="1"/>
  <c r="S2964" i="1"/>
  <c r="R2964" i="1"/>
  <c r="Q2964" i="1"/>
  <c r="M2964" i="1"/>
  <c r="L2964" i="1"/>
  <c r="V2963" i="1"/>
  <c r="Z2963" i="1" s="1"/>
  <c r="U2963" i="1"/>
  <c r="T2963" i="1"/>
  <c r="W2963" i="1" s="1"/>
  <c r="S2963" i="1"/>
  <c r="R2963" i="1"/>
  <c r="Q2963" i="1"/>
  <c r="M2963" i="1"/>
  <c r="L2963" i="1"/>
  <c r="V2962" i="1"/>
  <c r="U2962" i="1"/>
  <c r="T2962" i="1"/>
  <c r="W2962" i="1" s="1"/>
  <c r="S2962" i="1"/>
  <c r="R2962" i="1"/>
  <c r="Q2962" i="1"/>
  <c r="M2962" i="1"/>
  <c r="L2962" i="1"/>
  <c r="V2961" i="1"/>
  <c r="U2961" i="1"/>
  <c r="T2961" i="1"/>
  <c r="S2961" i="1"/>
  <c r="R2961" i="1"/>
  <c r="Q2961" i="1"/>
  <c r="M2961" i="1"/>
  <c r="L2961" i="1"/>
  <c r="V2960" i="1"/>
  <c r="Z2960" i="1" s="1"/>
  <c r="U2960" i="1"/>
  <c r="T2960" i="1"/>
  <c r="W2960" i="1" s="1"/>
  <c r="S2960" i="1"/>
  <c r="R2960" i="1"/>
  <c r="Q2960" i="1"/>
  <c r="M2960" i="1"/>
  <c r="L2960" i="1"/>
  <c r="V2959" i="1"/>
  <c r="Z2959" i="1" s="1"/>
  <c r="U2959" i="1"/>
  <c r="T2959" i="1"/>
  <c r="W2959" i="1" s="1"/>
  <c r="S2959" i="1"/>
  <c r="R2959" i="1"/>
  <c r="Q2959" i="1"/>
  <c r="M2959" i="1"/>
  <c r="L2959" i="1"/>
  <c r="V2958" i="1"/>
  <c r="U2958" i="1"/>
  <c r="T2958" i="1"/>
  <c r="S2958" i="1"/>
  <c r="R2958" i="1"/>
  <c r="Q2958" i="1"/>
  <c r="M2958" i="1"/>
  <c r="L2958" i="1"/>
  <c r="V2957" i="1"/>
  <c r="U2957" i="1"/>
  <c r="T2957" i="1"/>
  <c r="S2957" i="1"/>
  <c r="R2957" i="1"/>
  <c r="Q2957" i="1"/>
  <c r="M2957" i="1"/>
  <c r="L2957" i="1"/>
  <c r="V2956" i="1"/>
  <c r="Z2956" i="1" s="1"/>
  <c r="U2956" i="1"/>
  <c r="T2956" i="1"/>
  <c r="W2956" i="1" s="1"/>
  <c r="S2956" i="1"/>
  <c r="R2956" i="1"/>
  <c r="Q2956" i="1"/>
  <c r="M2956" i="1"/>
  <c r="L2956" i="1"/>
  <c r="V2955" i="1"/>
  <c r="Z2955" i="1" s="1"/>
  <c r="U2955" i="1"/>
  <c r="T2955" i="1"/>
  <c r="W2955" i="1" s="1"/>
  <c r="S2955" i="1"/>
  <c r="R2955" i="1"/>
  <c r="Q2955" i="1"/>
  <c r="M2955" i="1"/>
  <c r="L2955" i="1"/>
  <c r="V2954" i="1"/>
  <c r="U2954" i="1"/>
  <c r="T2954" i="1"/>
  <c r="W2954" i="1" s="1"/>
  <c r="S2954" i="1"/>
  <c r="R2954" i="1"/>
  <c r="Q2954" i="1"/>
  <c r="M2954" i="1"/>
  <c r="L2954" i="1"/>
  <c r="V2953" i="1"/>
  <c r="U2953" i="1"/>
  <c r="T2953" i="1"/>
  <c r="S2953" i="1"/>
  <c r="R2953" i="1"/>
  <c r="Q2953" i="1"/>
  <c r="M2953" i="1"/>
  <c r="L2953" i="1"/>
  <c r="V2952" i="1"/>
  <c r="Z2952" i="1" s="1"/>
  <c r="U2952" i="1"/>
  <c r="T2952" i="1"/>
  <c r="W2952" i="1" s="1"/>
  <c r="S2952" i="1"/>
  <c r="R2952" i="1"/>
  <c r="Q2952" i="1"/>
  <c r="M2952" i="1"/>
  <c r="L2952" i="1"/>
  <c r="V2951" i="1"/>
  <c r="Z2951" i="1" s="1"/>
  <c r="U2951" i="1"/>
  <c r="T2951" i="1"/>
  <c r="W2951" i="1" s="1"/>
  <c r="S2951" i="1"/>
  <c r="R2951" i="1"/>
  <c r="Q2951" i="1"/>
  <c r="M2951" i="1"/>
  <c r="L2951" i="1"/>
  <c r="V2950" i="1"/>
  <c r="U2950" i="1"/>
  <c r="T2950" i="1"/>
  <c r="W2950" i="1" s="1"/>
  <c r="S2950" i="1"/>
  <c r="R2950" i="1"/>
  <c r="Q2950" i="1"/>
  <c r="M2950" i="1"/>
  <c r="L2950" i="1"/>
  <c r="V2949" i="1"/>
  <c r="U2949" i="1"/>
  <c r="T2949" i="1"/>
  <c r="S2949" i="1"/>
  <c r="R2949" i="1"/>
  <c r="Q2949" i="1"/>
  <c r="M2949" i="1"/>
  <c r="L2949" i="1"/>
  <c r="V2948" i="1"/>
  <c r="Z2948" i="1" s="1"/>
  <c r="U2948" i="1"/>
  <c r="T2948" i="1"/>
  <c r="W2948" i="1" s="1"/>
  <c r="S2948" i="1"/>
  <c r="R2948" i="1"/>
  <c r="Q2948" i="1"/>
  <c r="M2948" i="1"/>
  <c r="L2948" i="1"/>
  <c r="V2947" i="1"/>
  <c r="U2947" i="1"/>
  <c r="T2947" i="1"/>
  <c r="W2947" i="1" s="1"/>
  <c r="S2947" i="1"/>
  <c r="R2947" i="1"/>
  <c r="Q2947" i="1"/>
  <c r="M2947" i="1"/>
  <c r="L2947" i="1"/>
  <c r="V2946" i="1"/>
  <c r="U2946" i="1"/>
  <c r="T2946" i="1"/>
  <c r="W2946" i="1" s="1"/>
  <c r="S2946" i="1"/>
  <c r="R2946" i="1"/>
  <c r="Q2946" i="1"/>
  <c r="M2946" i="1"/>
  <c r="L2946" i="1"/>
  <c r="V2945" i="1"/>
  <c r="U2945" i="1"/>
  <c r="T2945" i="1"/>
  <c r="S2945" i="1"/>
  <c r="R2945" i="1"/>
  <c r="Q2945" i="1"/>
  <c r="M2945" i="1"/>
  <c r="L2945" i="1"/>
  <c r="V2944" i="1"/>
  <c r="Z2944" i="1" s="1"/>
  <c r="U2944" i="1"/>
  <c r="T2944" i="1"/>
  <c r="W2944" i="1" s="1"/>
  <c r="S2944" i="1"/>
  <c r="R2944" i="1"/>
  <c r="Q2944" i="1"/>
  <c r="M2944" i="1"/>
  <c r="L2944" i="1"/>
  <c r="V2943" i="1"/>
  <c r="Z2943" i="1" s="1"/>
  <c r="U2943" i="1"/>
  <c r="T2943" i="1"/>
  <c r="W2943" i="1" s="1"/>
  <c r="S2943" i="1"/>
  <c r="R2943" i="1"/>
  <c r="Q2943" i="1"/>
  <c r="M2943" i="1"/>
  <c r="L2943" i="1"/>
  <c r="V2942" i="1"/>
  <c r="U2942" i="1"/>
  <c r="T2942" i="1"/>
  <c r="W2942" i="1" s="1"/>
  <c r="S2942" i="1"/>
  <c r="R2942" i="1"/>
  <c r="Q2942" i="1"/>
  <c r="M2942" i="1"/>
  <c r="L2942" i="1"/>
  <c r="V2941" i="1"/>
  <c r="U2941" i="1"/>
  <c r="T2941" i="1"/>
  <c r="S2941" i="1"/>
  <c r="R2941" i="1"/>
  <c r="Q2941" i="1"/>
  <c r="M2941" i="1"/>
  <c r="L2941" i="1"/>
  <c r="V2940" i="1"/>
  <c r="Z2940" i="1" s="1"/>
  <c r="U2940" i="1"/>
  <c r="T2940" i="1"/>
  <c r="W2940" i="1" s="1"/>
  <c r="S2940" i="1"/>
  <c r="R2940" i="1"/>
  <c r="Q2940" i="1"/>
  <c r="M2940" i="1"/>
  <c r="L2940" i="1"/>
  <c r="V2939" i="1"/>
  <c r="U2939" i="1"/>
  <c r="T2939" i="1"/>
  <c r="W2939" i="1" s="1"/>
  <c r="S2939" i="1"/>
  <c r="R2939" i="1"/>
  <c r="Q2939" i="1"/>
  <c r="M2939" i="1"/>
  <c r="L2939" i="1"/>
  <c r="V2938" i="1"/>
  <c r="U2938" i="1"/>
  <c r="T2938" i="1"/>
  <c r="W2938" i="1" s="1"/>
  <c r="S2938" i="1"/>
  <c r="R2938" i="1"/>
  <c r="Q2938" i="1"/>
  <c r="M2938" i="1"/>
  <c r="L2938" i="1"/>
  <c r="V2937" i="1"/>
  <c r="U2937" i="1"/>
  <c r="T2937" i="1"/>
  <c r="S2937" i="1"/>
  <c r="R2937" i="1"/>
  <c r="Q2937" i="1"/>
  <c r="M2937" i="1"/>
  <c r="L2937" i="1"/>
  <c r="V2936" i="1"/>
  <c r="Z2936" i="1" s="1"/>
  <c r="U2936" i="1"/>
  <c r="T2936" i="1"/>
  <c r="W2936" i="1" s="1"/>
  <c r="S2936" i="1"/>
  <c r="R2936" i="1"/>
  <c r="Q2936" i="1"/>
  <c r="M2936" i="1"/>
  <c r="L2936" i="1"/>
  <c r="V2935" i="1"/>
  <c r="U2935" i="1"/>
  <c r="T2935" i="1"/>
  <c r="W2935" i="1" s="1"/>
  <c r="S2935" i="1"/>
  <c r="R2935" i="1"/>
  <c r="Q2935" i="1"/>
  <c r="M2935" i="1"/>
  <c r="L2935" i="1"/>
  <c r="V2934" i="1"/>
  <c r="U2934" i="1"/>
  <c r="T2934" i="1"/>
  <c r="W2934" i="1" s="1"/>
  <c r="S2934" i="1"/>
  <c r="R2934" i="1"/>
  <c r="Q2934" i="1"/>
  <c r="M2934" i="1"/>
  <c r="L2934" i="1"/>
  <c r="V2933" i="1"/>
  <c r="U2933" i="1"/>
  <c r="T2933" i="1"/>
  <c r="S2933" i="1"/>
  <c r="R2933" i="1"/>
  <c r="Q2933" i="1"/>
  <c r="M2933" i="1"/>
  <c r="L2933" i="1"/>
  <c r="V2932" i="1"/>
  <c r="Z2932" i="1" s="1"/>
  <c r="U2932" i="1"/>
  <c r="T2932" i="1"/>
  <c r="W2932" i="1" s="1"/>
  <c r="S2932" i="1"/>
  <c r="R2932" i="1"/>
  <c r="Q2932" i="1"/>
  <c r="M2932" i="1"/>
  <c r="L2932" i="1"/>
  <c r="V2931" i="1"/>
  <c r="Z2931" i="1" s="1"/>
  <c r="U2931" i="1"/>
  <c r="T2931" i="1"/>
  <c r="W2931" i="1" s="1"/>
  <c r="S2931" i="1"/>
  <c r="R2931" i="1"/>
  <c r="Q2931" i="1"/>
  <c r="M2931" i="1"/>
  <c r="L2931" i="1"/>
  <c r="V2930" i="1"/>
  <c r="U2930" i="1"/>
  <c r="T2930" i="1"/>
  <c r="S2930" i="1"/>
  <c r="R2930" i="1"/>
  <c r="Q2930" i="1"/>
  <c r="M2930" i="1"/>
  <c r="L2930" i="1"/>
  <c r="V2929" i="1"/>
  <c r="U2929" i="1"/>
  <c r="T2929" i="1"/>
  <c r="S2929" i="1"/>
  <c r="R2929" i="1"/>
  <c r="Q2929" i="1"/>
  <c r="M2929" i="1"/>
  <c r="L2929" i="1"/>
  <c r="V2928" i="1"/>
  <c r="Z2928" i="1" s="1"/>
  <c r="U2928" i="1"/>
  <c r="T2928" i="1"/>
  <c r="W2928" i="1" s="1"/>
  <c r="S2928" i="1"/>
  <c r="R2928" i="1"/>
  <c r="Q2928" i="1"/>
  <c r="M2928" i="1"/>
  <c r="L2928" i="1"/>
  <c r="V2927" i="1"/>
  <c r="Z2927" i="1" s="1"/>
  <c r="U2927" i="1"/>
  <c r="T2927" i="1"/>
  <c r="W2927" i="1" s="1"/>
  <c r="S2927" i="1"/>
  <c r="R2927" i="1"/>
  <c r="Q2927" i="1"/>
  <c r="M2927" i="1"/>
  <c r="L2927" i="1"/>
  <c r="V2926" i="1"/>
  <c r="U2926" i="1"/>
  <c r="T2926" i="1"/>
  <c r="W2926" i="1" s="1"/>
  <c r="S2926" i="1"/>
  <c r="R2926" i="1"/>
  <c r="Q2926" i="1"/>
  <c r="M2926" i="1"/>
  <c r="L2926" i="1"/>
  <c r="V2925" i="1"/>
  <c r="U2925" i="1"/>
  <c r="T2925" i="1"/>
  <c r="S2925" i="1"/>
  <c r="R2925" i="1"/>
  <c r="Q2925" i="1"/>
  <c r="M2925" i="1"/>
  <c r="L2925" i="1"/>
  <c r="V2924" i="1"/>
  <c r="Z2924" i="1" s="1"/>
  <c r="U2924" i="1"/>
  <c r="T2924" i="1"/>
  <c r="W2924" i="1" s="1"/>
  <c r="S2924" i="1"/>
  <c r="R2924" i="1"/>
  <c r="Q2924" i="1"/>
  <c r="M2924" i="1"/>
  <c r="L2924" i="1"/>
  <c r="V2923" i="1"/>
  <c r="Z2923" i="1" s="1"/>
  <c r="U2923" i="1"/>
  <c r="T2923" i="1"/>
  <c r="W2923" i="1" s="1"/>
  <c r="S2923" i="1"/>
  <c r="R2923" i="1"/>
  <c r="Q2923" i="1"/>
  <c r="M2923" i="1"/>
  <c r="L2923" i="1"/>
  <c r="V2922" i="1"/>
  <c r="U2922" i="1"/>
  <c r="T2922" i="1"/>
  <c r="S2922" i="1"/>
  <c r="R2922" i="1"/>
  <c r="Q2922" i="1"/>
  <c r="M2922" i="1"/>
  <c r="L2922" i="1"/>
  <c r="V2921" i="1"/>
  <c r="U2921" i="1"/>
  <c r="T2921" i="1"/>
  <c r="S2921" i="1"/>
  <c r="R2921" i="1"/>
  <c r="Q2921" i="1"/>
  <c r="M2921" i="1"/>
  <c r="L2921" i="1"/>
  <c r="V2920" i="1"/>
  <c r="Z2920" i="1" s="1"/>
  <c r="U2920" i="1"/>
  <c r="T2920" i="1"/>
  <c r="W2920" i="1" s="1"/>
  <c r="S2920" i="1"/>
  <c r="R2920" i="1"/>
  <c r="Q2920" i="1"/>
  <c r="M2920" i="1"/>
  <c r="L2920" i="1"/>
  <c r="V2919" i="1"/>
  <c r="Z2919" i="1" s="1"/>
  <c r="U2919" i="1"/>
  <c r="T2919" i="1"/>
  <c r="W2919" i="1" s="1"/>
  <c r="S2919" i="1"/>
  <c r="R2919" i="1"/>
  <c r="Q2919" i="1"/>
  <c r="M2919" i="1"/>
  <c r="L2919" i="1"/>
  <c r="V2918" i="1"/>
  <c r="U2918" i="1"/>
  <c r="T2918" i="1"/>
  <c r="S2918" i="1"/>
  <c r="R2918" i="1"/>
  <c r="Q2918" i="1"/>
  <c r="M2918" i="1"/>
  <c r="L2918" i="1"/>
  <c r="V2917" i="1"/>
  <c r="U2917" i="1"/>
  <c r="T2917" i="1"/>
  <c r="S2917" i="1"/>
  <c r="R2917" i="1"/>
  <c r="Q2917" i="1"/>
  <c r="M2917" i="1"/>
  <c r="L2917" i="1"/>
  <c r="V2916" i="1"/>
  <c r="Z2916" i="1" s="1"/>
  <c r="U2916" i="1"/>
  <c r="T2916" i="1"/>
  <c r="W2916" i="1" s="1"/>
  <c r="S2916" i="1"/>
  <c r="R2916" i="1"/>
  <c r="Q2916" i="1"/>
  <c r="M2916" i="1"/>
  <c r="L2916" i="1"/>
  <c r="V2915" i="1"/>
  <c r="Z2915" i="1" s="1"/>
  <c r="U2915" i="1"/>
  <c r="T2915" i="1"/>
  <c r="W2915" i="1" s="1"/>
  <c r="S2915" i="1"/>
  <c r="R2915" i="1"/>
  <c r="Q2915" i="1"/>
  <c r="M2915" i="1"/>
  <c r="L2915" i="1"/>
  <c r="V2914" i="1"/>
  <c r="U2914" i="1"/>
  <c r="T2914" i="1"/>
  <c r="W2914" i="1" s="1"/>
  <c r="S2914" i="1"/>
  <c r="R2914" i="1"/>
  <c r="Q2914" i="1"/>
  <c r="M2914" i="1"/>
  <c r="L2914" i="1"/>
  <c r="V2913" i="1"/>
  <c r="U2913" i="1"/>
  <c r="T2913" i="1"/>
  <c r="S2913" i="1"/>
  <c r="R2913" i="1"/>
  <c r="Q2913" i="1"/>
  <c r="M2913" i="1"/>
  <c r="L2913" i="1"/>
  <c r="V2912" i="1"/>
  <c r="Z2912" i="1" s="1"/>
  <c r="U2912" i="1"/>
  <c r="T2912" i="1"/>
  <c r="W2912" i="1" s="1"/>
  <c r="S2912" i="1"/>
  <c r="R2912" i="1"/>
  <c r="Q2912" i="1"/>
  <c r="M2912" i="1"/>
  <c r="L2912" i="1"/>
  <c r="V2911" i="1"/>
  <c r="U2911" i="1"/>
  <c r="T2911" i="1"/>
  <c r="W2911" i="1" s="1"/>
  <c r="S2911" i="1"/>
  <c r="R2911" i="1"/>
  <c r="Q2911" i="1"/>
  <c r="M2911" i="1"/>
  <c r="L2911" i="1"/>
  <c r="V2910" i="1"/>
  <c r="U2910" i="1"/>
  <c r="T2910" i="1"/>
  <c r="W2910" i="1" s="1"/>
  <c r="S2910" i="1"/>
  <c r="R2910" i="1"/>
  <c r="Q2910" i="1"/>
  <c r="M2910" i="1"/>
  <c r="L2910" i="1"/>
  <c r="V2909" i="1"/>
  <c r="U2909" i="1"/>
  <c r="T2909" i="1"/>
  <c r="S2909" i="1"/>
  <c r="R2909" i="1"/>
  <c r="Q2909" i="1"/>
  <c r="M2909" i="1"/>
  <c r="L2909" i="1"/>
  <c r="V2908" i="1"/>
  <c r="Z2908" i="1" s="1"/>
  <c r="U2908" i="1"/>
  <c r="T2908" i="1"/>
  <c r="W2908" i="1" s="1"/>
  <c r="S2908" i="1"/>
  <c r="R2908" i="1"/>
  <c r="Q2908" i="1"/>
  <c r="M2908" i="1"/>
  <c r="L2908" i="1"/>
  <c r="V2907" i="1"/>
  <c r="Z2907" i="1" s="1"/>
  <c r="U2907" i="1"/>
  <c r="T2907" i="1"/>
  <c r="W2907" i="1" s="1"/>
  <c r="S2907" i="1"/>
  <c r="R2907" i="1"/>
  <c r="Q2907" i="1"/>
  <c r="M2907" i="1"/>
  <c r="L2907" i="1"/>
  <c r="V2906" i="1"/>
  <c r="U2906" i="1"/>
  <c r="T2906" i="1"/>
  <c r="W2906" i="1" s="1"/>
  <c r="S2906" i="1"/>
  <c r="R2906" i="1"/>
  <c r="Q2906" i="1"/>
  <c r="M2906" i="1"/>
  <c r="L2906" i="1"/>
  <c r="V2905" i="1"/>
  <c r="U2905" i="1"/>
  <c r="T2905" i="1"/>
  <c r="S2905" i="1"/>
  <c r="R2905" i="1"/>
  <c r="Q2905" i="1"/>
  <c r="M2905" i="1"/>
  <c r="L2905" i="1"/>
  <c r="V2904" i="1"/>
  <c r="Z2904" i="1" s="1"/>
  <c r="U2904" i="1"/>
  <c r="T2904" i="1"/>
  <c r="W2904" i="1" s="1"/>
  <c r="S2904" i="1"/>
  <c r="R2904" i="1"/>
  <c r="Q2904" i="1"/>
  <c r="M2904" i="1"/>
  <c r="L2904" i="1"/>
  <c r="V2903" i="1"/>
  <c r="Z2903" i="1" s="1"/>
  <c r="U2903" i="1"/>
  <c r="T2903" i="1"/>
  <c r="W2903" i="1" s="1"/>
  <c r="S2903" i="1"/>
  <c r="R2903" i="1"/>
  <c r="Q2903" i="1"/>
  <c r="M2903" i="1"/>
  <c r="L2903" i="1"/>
  <c r="V2902" i="1"/>
  <c r="U2902" i="1"/>
  <c r="T2902" i="1"/>
  <c r="W2902" i="1" s="1"/>
  <c r="S2902" i="1"/>
  <c r="R2902" i="1"/>
  <c r="Q2902" i="1"/>
  <c r="M2902" i="1"/>
  <c r="L2902" i="1"/>
  <c r="V2901" i="1"/>
  <c r="U2901" i="1"/>
  <c r="T2901" i="1"/>
  <c r="S2901" i="1"/>
  <c r="R2901" i="1"/>
  <c r="Q2901" i="1"/>
  <c r="M2901" i="1"/>
  <c r="L2901" i="1"/>
  <c r="V2900" i="1"/>
  <c r="Z2900" i="1" s="1"/>
  <c r="U2900" i="1"/>
  <c r="T2900" i="1"/>
  <c r="W2900" i="1" s="1"/>
  <c r="S2900" i="1"/>
  <c r="R2900" i="1"/>
  <c r="Q2900" i="1"/>
  <c r="M2900" i="1"/>
  <c r="L2900" i="1"/>
  <c r="V2899" i="1"/>
  <c r="Z2899" i="1" s="1"/>
  <c r="U2899" i="1"/>
  <c r="T2899" i="1"/>
  <c r="W2899" i="1" s="1"/>
  <c r="S2899" i="1"/>
  <c r="R2899" i="1"/>
  <c r="Q2899" i="1"/>
  <c r="M2899" i="1"/>
  <c r="L2899" i="1"/>
  <c r="V2898" i="1"/>
  <c r="U2898" i="1"/>
  <c r="T2898" i="1"/>
  <c r="W2898" i="1" s="1"/>
  <c r="S2898" i="1"/>
  <c r="R2898" i="1"/>
  <c r="Q2898" i="1"/>
  <c r="M2898" i="1"/>
  <c r="L2898" i="1"/>
  <c r="V2897" i="1"/>
  <c r="U2897" i="1"/>
  <c r="T2897" i="1"/>
  <c r="S2897" i="1"/>
  <c r="R2897" i="1"/>
  <c r="Q2897" i="1"/>
  <c r="M2897" i="1"/>
  <c r="L2897" i="1"/>
  <c r="V2896" i="1"/>
  <c r="Z2896" i="1" s="1"/>
  <c r="U2896" i="1"/>
  <c r="T2896" i="1"/>
  <c r="W2896" i="1" s="1"/>
  <c r="S2896" i="1"/>
  <c r="R2896" i="1"/>
  <c r="Q2896" i="1"/>
  <c r="M2896" i="1"/>
  <c r="L2896" i="1"/>
  <c r="V2895" i="1"/>
  <c r="Z2895" i="1" s="1"/>
  <c r="U2895" i="1"/>
  <c r="T2895" i="1"/>
  <c r="W2895" i="1" s="1"/>
  <c r="S2895" i="1"/>
  <c r="R2895" i="1"/>
  <c r="Q2895" i="1"/>
  <c r="M2895" i="1"/>
  <c r="L2895" i="1"/>
  <c r="V2894" i="1"/>
  <c r="U2894" i="1"/>
  <c r="T2894" i="1"/>
  <c r="S2894" i="1"/>
  <c r="R2894" i="1"/>
  <c r="Q2894" i="1"/>
  <c r="M2894" i="1"/>
  <c r="L2894" i="1"/>
  <c r="V2893" i="1"/>
  <c r="U2893" i="1"/>
  <c r="T2893" i="1"/>
  <c r="S2893" i="1"/>
  <c r="R2893" i="1"/>
  <c r="Q2893" i="1"/>
  <c r="M2893" i="1"/>
  <c r="L2893" i="1"/>
  <c r="V2892" i="1"/>
  <c r="Z2892" i="1" s="1"/>
  <c r="U2892" i="1"/>
  <c r="T2892" i="1"/>
  <c r="W2892" i="1" s="1"/>
  <c r="S2892" i="1"/>
  <c r="R2892" i="1"/>
  <c r="Q2892" i="1"/>
  <c r="M2892" i="1"/>
  <c r="L2892" i="1"/>
  <c r="V2891" i="1"/>
  <c r="Z2891" i="1" s="1"/>
  <c r="U2891" i="1"/>
  <c r="T2891" i="1"/>
  <c r="W2891" i="1" s="1"/>
  <c r="S2891" i="1"/>
  <c r="R2891" i="1"/>
  <c r="Q2891" i="1"/>
  <c r="M2891" i="1"/>
  <c r="L2891" i="1"/>
  <c r="V2890" i="1"/>
  <c r="U2890" i="1"/>
  <c r="T2890" i="1"/>
  <c r="W2890" i="1" s="1"/>
  <c r="S2890" i="1"/>
  <c r="R2890" i="1"/>
  <c r="Q2890" i="1"/>
  <c r="M2890" i="1"/>
  <c r="L2890" i="1"/>
  <c r="V2889" i="1"/>
  <c r="U2889" i="1"/>
  <c r="T2889" i="1"/>
  <c r="S2889" i="1"/>
  <c r="R2889" i="1"/>
  <c r="Q2889" i="1"/>
  <c r="M2889" i="1"/>
  <c r="L2889" i="1"/>
  <c r="V2888" i="1"/>
  <c r="Z2888" i="1" s="1"/>
  <c r="U2888" i="1"/>
  <c r="T2888" i="1"/>
  <c r="W2888" i="1" s="1"/>
  <c r="S2888" i="1"/>
  <c r="R2888" i="1"/>
  <c r="Q2888" i="1"/>
  <c r="M2888" i="1"/>
  <c r="L2888" i="1"/>
  <c r="V2887" i="1"/>
  <c r="Z2887" i="1" s="1"/>
  <c r="U2887" i="1"/>
  <c r="T2887" i="1"/>
  <c r="W2887" i="1" s="1"/>
  <c r="S2887" i="1"/>
  <c r="R2887" i="1"/>
  <c r="Q2887" i="1"/>
  <c r="M2887" i="1"/>
  <c r="L2887" i="1"/>
  <c r="V2886" i="1"/>
  <c r="U2886" i="1"/>
  <c r="T2886" i="1"/>
  <c r="W2886" i="1" s="1"/>
  <c r="S2886" i="1"/>
  <c r="R2886" i="1"/>
  <c r="Q2886" i="1"/>
  <c r="M2886" i="1"/>
  <c r="L2886" i="1"/>
  <c r="V2885" i="1"/>
  <c r="U2885" i="1"/>
  <c r="T2885" i="1"/>
  <c r="S2885" i="1"/>
  <c r="R2885" i="1"/>
  <c r="Q2885" i="1"/>
  <c r="M2885" i="1"/>
  <c r="L2885" i="1"/>
  <c r="V2884" i="1"/>
  <c r="Z2884" i="1" s="1"/>
  <c r="U2884" i="1"/>
  <c r="T2884" i="1"/>
  <c r="W2884" i="1" s="1"/>
  <c r="S2884" i="1"/>
  <c r="R2884" i="1"/>
  <c r="Q2884" i="1"/>
  <c r="M2884" i="1"/>
  <c r="L2884" i="1"/>
  <c r="V2883" i="1"/>
  <c r="U2883" i="1"/>
  <c r="T2883" i="1"/>
  <c r="W2883" i="1" s="1"/>
  <c r="S2883" i="1"/>
  <c r="R2883" i="1"/>
  <c r="Q2883" i="1"/>
  <c r="M2883" i="1"/>
  <c r="L2883" i="1"/>
  <c r="V2882" i="1"/>
  <c r="U2882" i="1"/>
  <c r="T2882" i="1"/>
  <c r="W2882" i="1" s="1"/>
  <c r="S2882" i="1"/>
  <c r="R2882" i="1"/>
  <c r="Q2882" i="1"/>
  <c r="M2882" i="1"/>
  <c r="L2882" i="1"/>
  <c r="V2881" i="1"/>
  <c r="U2881" i="1"/>
  <c r="T2881" i="1"/>
  <c r="S2881" i="1"/>
  <c r="R2881" i="1"/>
  <c r="Q2881" i="1"/>
  <c r="M2881" i="1"/>
  <c r="L2881" i="1"/>
  <c r="V2880" i="1"/>
  <c r="Z2880" i="1" s="1"/>
  <c r="U2880" i="1"/>
  <c r="T2880" i="1"/>
  <c r="W2880" i="1" s="1"/>
  <c r="S2880" i="1"/>
  <c r="R2880" i="1"/>
  <c r="Q2880" i="1"/>
  <c r="M2880" i="1"/>
  <c r="L2880" i="1"/>
  <c r="V2879" i="1"/>
  <c r="Z2879" i="1" s="1"/>
  <c r="U2879" i="1"/>
  <c r="T2879" i="1"/>
  <c r="W2879" i="1" s="1"/>
  <c r="S2879" i="1"/>
  <c r="R2879" i="1"/>
  <c r="Q2879" i="1"/>
  <c r="M2879" i="1"/>
  <c r="L2879" i="1"/>
  <c r="V2878" i="1"/>
  <c r="U2878" i="1"/>
  <c r="T2878" i="1"/>
  <c r="W2878" i="1" s="1"/>
  <c r="S2878" i="1"/>
  <c r="R2878" i="1"/>
  <c r="Q2878" i="1"/>
  <c r="M2878" i="1"/>
  <c r="L2878" i="1"/>
  <c r="V2877" i="1"/>
  <c r="U2877" i="1"/>
  <c r="T2877" i="1"/>
  <c r="S2877" i="1"/>
  <c r="R2877" i="1"/>
  <c r="Q2877" i="1"/>
  <c r="M2877" i="1"/>
  <c r="L2877" i="1"/>
  <c r="V2876" i="1"/>
  <c r="Z2876" i="1" s="1"/>
  <c r="U2876" i="1"/>
  <c r="T2876" i="1"/>
  <c r="W2876" i="1" s="1"/>
  <c r="S2876" i="1"/>
  <c r="R2876" i="1"/>
  <c r="Q2876" i="1"/>
  <c r="M2876" i="1"/>
  <c r="L2876" i="1"/>
  <c r="V2875" i="1"/>
  <c r="U2875" i="1"/>
  <c r="T2875" i="1"/>
  <c r="W2875" i="1" s="1"/>
  <c r="S2875" i="1"/>
  <c r="R2875" i="1"/>
  <c r="Q2875" i="1"/>
  <c r="M2875" i="1"/>
  <c r="L2875" i="1"/>
  <c r="V2874" i="1"/>
  <c r="U2874" i="1"/>
  <c r="T2874" i="1"/>
  <c r="W2874" i="1" s="1"/>
  <c r="S2874" i="1"/>
  <c r="R2874" i="1"/>
  <c r="Q2874" i="1"/>
  <c r="M2874" i="1"/>
  <c r="L2874" i="1"/>
  <c r="V2873" i="1"/>
  <c r="U2873" i="1"/>
  <c r="T2873" i="1"/>
  <c r="S2873" i="1"/>
  <c r="R2873" i="1"/>
  <c r="Q2873" i="1"/>
  <c r="M2873" i="1"/>
  <c r="L2873" i="1"/>
  <c r="V2872" i="1"/>
  <c r="Z2872" i="1" s="1"/>
  <c r="U2872" i="1"/>
  <c r="T2872" i="1"/>
  <c r="W2872" i="1" s="1"/>
  <c r="S2872" i="1"/>
  <c r="R2872" i="1"/>
  <c r="Q2872" i="1"/>
  <c r="M2872" i="1"/>
  <c r="L2872" i="1"/>
  <c r="V2871" i="1"/>
  <c r="U2871" i="1"/>
  <c r="T2871" i="1"/>
  <c r="W2871" i="1" s="1"/>
  <c r="S2871" i="1"/>
  <c r="R2871" i="1"/>
  <c r="Q2871" i="1"/>
  <c r="M2871" i="1"/>
  <c r="L2871" i="1"/>
  <c r="V2870" i="1"/>
  <c r="U2870" i="1"/>
  <c r="T2870" i="1"/>
  <c r="W2870" i="1" s="1"/>
  <c r="S2870" i="1"/>
  <c r="R2870" i="1"/>
  <c r="Q2870" i="1"/>
  <c r="M2870" i="1"/>
  <c r="L2870" i="1"/>
  <c r="V2869" i="1"/>
  <c r="U2869" i="1"/>
  <c r="T2869" i="1"/>
  <c r="S2869" i="1"/>
  <c r="R2869" i="1"/>
  <c r="Q2869" i="1"/>
  <c r="M2869" i="1"/>
  <c r="L2869" i="1"/>
  <c r="V2868" i="1"/>
  <c r="Z2868" i="1" s="1"/>
  <c r="U2868" i="1"/>
  <c r="T2868" i="1"/>
  <c r="W2868" i="1" s="1"/>
  <c r="S2868" i="1"/>
  <c r="R2868" i="1"/>
  <c r="Q2868" i="1"/>
  <c r="M2868" i="1"/>
  <c r="L2868" i="1"/>
  <c r="V2867" i="1"/>
  <c r="Z2867" i="1" s="1"/>
  <c r="U2867" i="1"/>
  <c r="T2867" i="1"/>
  <c r="W2867" i="1" s="1"/>
  <c r="S2867" i="1"/>
  <c r="R2867" i="1"/>
  <c r="Q2867" i="1"/>
  <c r="M2867" i="1"/>
  <c r="L2867" i="1"/>
  <c r="V2866" i="1"/>
  <c r="U2866" i="1"/>
  <c r="T2866" i="1"/>
  <c r="S2866" i="1"/>
  <c r="R2866" i="1"/>
  <c r="Q2866" i="1"/>
  <c r="M2866" i="1"/>
  <c r="L2866" i="1"/>
  <c r="V2865" i="1"/>
  <c r="U2865" i="1"/>
  <c r="T2865" i="1"/>
  <c r="W2865" i="1" s="1"/>
  <c r="S2865" i="1"/>
  <c r="R2865" i="1"/>
  <c r="Q2865" i="1"/>
  <c r="M2865" i="1"/>
  <c r="L2865" i="1"/>
  <c r="V2864" i="1"/>
  <c r="Z2864" i="1" s="1"/>
  <c r="U2864" i="1"/>
  <c r="T2864" i="1"/>
  <c r="W2864" i="1" s="1"/>
  <c r="S2864" i="1"/>
  <c r="R2864" i="1"/>
  <c r="Q2864" i="1"/>
  <c r="M2864" i="1"/>
  <c r="L2864" i="1"/>
  <c r="V2863" i="1"/>
  <c r="Z2863" i="1" s="1"/>
  <c r="U2863" i="1"/>
  <c r="T2863" i="1"/>
  <c r="W2863" i="1" s="1"/>
  <c r="S2863" i="1"/>
  <c r="R2863" i="1"/>
  <c r="Q2863" i="1"/>
  <c r="M2863" i="1"/>
  <c r="L2863" i="1"/>
  <c r="V2862" i="1"/>
  <c r="U2862" i="1"/>
  <c r="T2862" i="1"/>
  <c r="W2862" i="1" s="1"/>
  <c r="S2862" i="1"/>
  <c r="R2862" i="1"/>
  <c r="Q2862" i="1"/>
  <c r="M2862" i="1"/>
  <c r="L2862" i="1"/>
  <c r="V2861" i="1"/>
  <c r="U2861" i="1"/>
  <c r="T2861" i="1"/>
  <c r="W2861" i="1" s="1"/>
  <c r="S2861" i="1"/>
  <c r="R2861" i="1"/>
  <c r="Q2861" i="1"/>
  <c r="M2861" i="1"/>
  <c r="L2861" i="1"/>
  <c r="V2860" i="1"/>
  <c r="Z2860" i="1" s="1"/>
  <c r="U2860" i="1"/>
  <c r="T2860" i="1"/>
  <c r="W2860" i="1" s="1"/>
  <c r="S2860" i="1"/>
  <c r="R2860" i="1"/>
  <c r="Q2860" i="1"/>
  <c r="M2860" i="1"/>
  <c r="L2860" i="1"/>
  <c r="V2859" i="1"/>
  <c r="Z2859" i="1" s="1"/>
  <c r="U2859" i="1"/>
  <c r="T2859" i="1"/>
  <c r="W2859" i="1" s="1"/>
  <c r="S2859" i="1"/>
  <c r="R2859" i="1"/>
  <c r="Q2859" i="1"/>
  <c r="M2859" i="1"/>
  <c r="L2859" i="1"/>
  <c r="V2858" i="1"/>
  <c r="U2858" i="1"/>
  <c r="T2858" i="1"/>
  <c r="W2858" i="1" s="1"/>
  <c r="S2858" i="1"/>
  <c r="R2858" i="1"/>
  <c r="Q2858" i="1"/>
  <c r="M2858" i="1"/>
  <c r="L2858" i="1"/>
  <c r="V2857" i="1"/>
  <c r="U2857" i="1"/>
  <c r="T2857" i="1"/>
  <c r="S2857" i="1"/>
  <c r="R2857" i="1"/>
  <c r="Q2857" i="1"/>
  <c r="M2857" i="1"/>
  <c r="L2857" i="1"/>
  <c r="V2856" i="1"/>
  <c r="Z2856" i="1" s="1"/>
  <c r="U2856" i="1"/>
  <c r="T2856" i="1"/>
  <c r="W2856" i="1" s="1"/>
  <c r="S2856" i="1"/>
  <c r="R2856" i="1"/>
  <c r="Q2856" i="1"/>
  <c r="M2856" i="1"/>
  <c r="L2856" i="1"/>
  <c r="V2855" i="1"/>
  <c r="U2855" i="1"/>
  <c r="T2855" i="1"/>
  <c r="W2855" i="1" s="1"/>
  <c r="S2855" i="1"/>
  <c r="R2855" i="1"/>
  <c r="Q2855" i="1"/>
  <c r="M2855" i="1"/>
  <c r="L2855" i="1"/>
  <c r="V2854" i="1"/>
  <c r="U2854" i="1"/>
  <c r="T2854" i="1"/>
  <c r="W2854" i="1" s="1"/>
  <c r="S2854" i="1"/>
  <c r="R2854" i="1"/>
  <c r="Q2854" i="1"/>
  <c r="M2854" i="1"/>
  <c r="L2854" i="1"/>
  <c r="V2853" i="1"/>
  <c r="U2853" i="1"/>
  <c r="T2853" i="1"/>
  <c r="W2853" i="1" s="1"/>
  <c r="S2853" i="1"/>
  <c r="R2853" i="1"/>
  <c r="Q2853" i="1"/>
  <c r="M2853" i="1"/>
  <c r="L2853" i="1"/>
  <c r="V2852" i="1"/>
  <c r="Z2852" i="1" s="1"/>
  <c r="U2852" i="1"/>
  <c r="T2852" i="1"/>
  <c r="W2852" i="1" s="1"/>
  <c r="S2852" i="1"/>
  <c r="R2852" i="1"/>
  <c r="Q2852" i="1"/>
  <c r="M2852" i="1"/>
  <c r="L2852" i="1"/>
  <c r="V2851" i="1"/>
  <c r="Z2851" i="1" s="1"/>
  <c r="U2851" i="1"/>
  <c r="T2851" i="1"/>
  <c r="W2851" i="1" s="1"/>
  <c r="S2851" i="1"/>
  <c r="R2851" i="1"/>
  <c r="Q2851" i="1"/>
  <c r="M2851" i="1"/>
  <c r="L2851" i="1"/>
  <c r="V2850" i="1"/>
  <c r="U2850" i="1"/>
  <c r="T2850" i="1"/>
  <c r="W2850" i="1" s="1"/>
  <c r="S2850" i="1"/>
  <c r="R2850" i="1"/>
  <c r="Q2850" i="1"/>
  <c r="M2850" i="1"/>
  <c r="L2850" i="1"/>
  <c r="V2849" i="1"/>
  <c r="U2849" i="1"/>
  <c r="T2849" i="1"/>
  <c r="S2849" i="1"/>
  <c r="R2849" i="1"/>
  <c r="Q2849" i="1"/>
  <c r="M2849" i="1"/>
  <c r="L2849" i="1"/>
  <c r="V2848" i="1"/>
  <c r="Z2848" i="1" s="1"/>
  <c r="U2848" i="1"/>
  <c r="T2848" i="1"/>
  <c r="W2848" i="1" s="1"/>
  <c r="S2848" i="1"/>
  <c r="R2848" i="1"/>
  <c r="Q2848" i="1"/>
  <c r="M2848" i="1"/>
  <c r="L2848" i="1"/>
  <c r="V2847" i="1"/>
  <c r="Z2847" i="1" s="1"/>
  <c r="U2847" i="1"/>
  <c r="T2847" i="1"/>
  <c r="W2847" i="1" s="1"/>
  <c r="S2847" i="1"/>
  <c r="R2847" i="1"/>
  <c r="Q2847" i="1"/>
  <c r="M2847" i="1"/>
  <c r="L2847" i="1"/>
  <c r="V2846" i="1"/>
  <c r="U2846" i="1"/>
  <c r="T2846" i="1"/>
  <c r="S2846" i="1"/>
  <c r="R2846" i="1"/>
  <c r="Q2846" i="1"/>
  <c r="M2846" i="1"/>
  <c r="L2846" i="1"/>
  <c r="V2845" i="1"/>
  <c r="U2845" i="1"/>
  <c r="T2845" i="1"/>
  <c r="S2845" i="1"/>
  <c r="R2845" i="1"/>
  <c r="Q2845" i="1"/>
  <c r="M2845" i="1"/>
  <c r="L2845" i="1"/>
  <c r="V2844" i="1"/>
  <c r="Z2844" i="1" s="1"/>
  <c r="U2844" i="1"/>
  <c r="T2844" i="1"/>
  <c r="W2844" i="1" s="1"/>
  <c r="S2844" i="1"/>
  <c r="R2844" i="1"/>
  <c r="Q2844" i="1"/>
  <c r="M2844" i="1"/>
  <c r="L2844" i="1"/>
  <c r="V2843" i="1"/>
  <c r="U2843" i="1"/>
  <c r="T2843" i="1"/>
  <c r="W2843" i="1" s="1"/>
  <c r="S2843" i="1"/>
  <c r="R2843" i="1"/>
  <c r="Q2843" i="1"/>
  <c r="M2843" i="1"/>
  <c r="L2843" i="1"/>
  <c r="V2842" i="1"/>
  <c r="U2842" i="1"/>
  <c r="T2842" i="1"/>
  <c r="W2842" i="1" s="1"/>
  <c r="S2842" i="1"/>
  <c r="R2842" i="1"/>
  <c r="Q2842" i="1"/>
  <c r="M2842" i="1"/>
  <c r="L2842" i="1"/>
  <c r="V2841" i="1"/>
  <c r="U2841" i="1"/>
  <c r="T2841" i="1"/>
  <c r="W2841" i="1" s="1"/>
  <c r="S2841" i="1"/>
  <c r="R2841" i="1"/>
  <c r="Q2841" i="1"/>
  <c r="M2841" i="1"/>
  <c r="L2841" i="1"/>
  <c r="V2840" i="1"/>
  <c r="Z2840" i="1" s="1"/>
  <c r="U2840" i="1"/>
  <c r="T2840" i="1"/>
  <c r="W2840" i="1" s="1"/>
  <c r="S2840" i="1"/>
  <c r="R2840" i="1"/>
  <c r="Q2840" i="1"/>
  <c r="M2840" i="1"/>
  <c r="L2840" i="1"/>
  <c r="V2839" i="1"/>
  <c r="Z2839" i="1" s="1"/>
  <c r="U2839" i="1"/>
  <c r="T2839" i="1"/>
  <c r="W2839" i="1" s="1"/>
  <c r="S2839" i="1"/>
  <c r="R2839" i="1"/>
  <c r="Q2839" i="1"/>
  <c r="M2839" i="1"/>
  <c r="L2839" i="1"/>
  <c r="V2838" i="1"/>
  <c r="U2838" i="1"/>
  <c r="T2838" i="1"/>
  <c r="W2838" i="1" s="1"/>
  <c r="S2838" i="1"/>
  <c r="R2838" i="1"/>
  <c r="Q2838" i="1"/>
  <c r="M2838" i="1"/>
  <c r="L2838" i="1"/>
  <c r="V2837" i="1"/>
  <c r="U2837" i="1"/>
  <c r="T2837" i="1"/>
  <c r="S2837" i="1"/>
  <c r="R2837" i="1"/>
  <c r="Q2837" i="1"/>
  <c r="M2837" i="1"/>
  <c r="L2837" i="1"/>
  <c r="V2836" i="1"/>
  <c r="Z2836" i="1" s="1"/>
  <c r="U2836" i="1"/>
  <c r="T2836" i="1"/>
  <c r="W2836" i="1" s="1"/>
  <c r="S2836" i="1"/>
  <c r="R2836" i="1"/>
  <c r="Q2836" i="1"/>
  <c r="M2836" i="1"/>
  <c r="L2836" i="1"/>
  <c r="V2835" i="1"/>
  <c r="Z2835" i="1" s="1"/>
  <c r="U2835" i="1"/>
  <c r="T2835" i="1"/>
  <c r="W2835" i="1" s="1"/>
  <c r="S2835" i="1"/>
  <c r="R2835" i="1"/>
  <c r="Q2835" i="1"/>
  <c r="M2835" i="1"/>
  <c r="L2835" i="1"/>
  <c r="V2834" i="1"/>
  <c r="U2834" i="1"/>
  <c r="T2834" i="1"/>
  <c r="S2834" i="1"/>
  <c r="R2834" i="1"/>
  <c r="Q2834" i="1"/>
  <c r="M2834" i="1"/>
  <c r="L2834" i="1"/>
  <c r="V2833" i="1"/>
  <c r="U2833" i="1"/>
  <c r="T2833" i="1"/>
  <c r="W2833" i="1" s="1"/>
  <c r="S2833" i="1"/>
  <c r="R2833" i="1"/>
  <c r="Q2833" i="1"/>
  <c r="M2833" i="1"/>
  <c r="L2833" i="1"/>
  <c r="V2832" i="1"/>
  <c r="Z2832" i="1" s="1"/>
  <c r="U2832" i="1"/>
  <c r="T2832" i="1"/>
  <c r="W2832" i="1" s="1"/>
  <c r="S2832" i="1"/>
  <c r="R2832" i="1"/>
  <c r="Q2832" i="1"/>
  <c r="M2832" i="1"/>
  <c r="L2832" i="1"/>
  <c r="V2831" i="1"/>
  <c r="Z2831" i="1" s="1"/>
  <c r="U2831" i="1"/>
  <c r="T2831" i="1"/>
  <c r="W2831" i="1" s="1"/>
  <c r="S2831" i="1"/>
  <c r="R2831" i="1"/>
  <c r="Q2831" i="1"/>
  <c r="M2831" i="1"/>
  <c r="L2831" i="1"/>
  <c r="V2830" i="1"/>
  <c r="U2830" i="1"/>
  <c r="T2830" i="1"/>
  <c r="W2830" i="1" s="1"/>
  <c r="S2830" i="1"/>
  <c r="R2830" i="1"/>
  <c r="Q2830" i="1"/>
  <c r="M2830" i="1"/>
  <c r="L2830" i="1"/>
  <c r="V2829" i="1"/>
  <c r="U2829" i="1"/>
  <c r="T2829" i="1"/>
  <c r="W2829" i="1" s="1"/>
  <c r="S2829" i="1"/>
  <c r="R2829" i="1"/>
  <c r="Q2829" i="1"/>
  <c r="M2829" i="1"/>
  <c r="L2829" i="1"/>
  <c r="V2828" i="1"/>
  <c r="Z2828" i="1" s="1"/>
  <c r="U2828" i="1"/>
  <c r="T2828" i="1"/>
  <c r="W2828" i="1" s="1"/>
  <c r="S2828" i="1"/>
  <c r="R2828" i="1"/>
  <c r="Q2828" i="1"/>
  <c r="M2828" i="1"/>
  <c r="L2828" i="1"/>
  <c r="V2827" i="1"/>
  <c r="Z2827" i="1" s="1"/>
  <c r="U2827" i="1"/>
  <c r="T2827" i="1"/>
  <c r="W2827" i="1" s="1"/>
  <c r="S2827" i="1"/>
  <c r="R2827" i="1"/>
  <c r="Q2827" i="1"/>
  <c r="M2827" i="1"/>
  <c r="L2827" i="1"/>
  <c r="V2826" i="1"/>
  <c r="U2826" i="1"/>
  <c r="T2826" i="1"/>
  <c r="W2826" i="1" s="1"/>
  <c r="S2826" i="1"/>
  <c r="R2826" i="1"/>
  <c r="Q2826" i="1"/>
  <c r="M2826" i="1"/>
  <c r="L2826" i="1"/>
  <c r="V2825" i="1"/>
  <c r="U2825" i="1"/>
  <c r="T2825" i="1"/>
  <c r="S2825" i="1"/>
  <c r="R2825" i="1"/>
  <c r="Q2825" i="1"/>
  <c r="M2825" i="1"/>
  <c r="L2825" i="1"/>
  <c r="V2824" i="1"/>
  <c r="Z2824" i="1" s="1"/>
  <c r="U2824" i="1"/>
  <c r="T2824" i="1"/>
  <c r="W2824" i="1" s="1"/>
  <c r="S2824" i="1"/>
  <c r="R2824" i="1"/>
  <c r="Q2824" i="1"/>
  <c r="M2824" i="1"/>
  <c r="L2824" i="1"/>
  <c r="V2823" i="1"/>
  <c r="U2823" i="1"/>
  <c r="T2823" i="1"/>
  <c r="W2823" i="1" s="1"/>
  <c r="S2823" i="1"/>
  <c r="R2823" i="1"/>
  <c r="Q2823" i="1"/>
  <c r="M2823" i="1"/>
  <c r="L2823" i="1"/>
  <c r="V2822" i="1"/>
  <c r="U2822" i="1"/>
  <c r="T2822" i="1"/>
  <c r="W2822" i="1" s="1"/>
  <c r="S2822" i="1"/>
  <c r="R2822" i="1"/>
  <c r="Q2822" i="1"/>
  <c r="M2822" i="1"/>
  <c r="L2822" i="1"/>
  <c r="V2821" i="1"/>
  <c r="U2821" i="1"/>
  <c r="T2821" i="1"/>
  <c r="W2821" i="1" s="1"/>
  <c r="S2821" i="1"/>
  <c r="R2821" i="1"/>
  <c r="Q2821" i="1"/>
  <c r="M2821" i="1"/>
  <c r="L2821" i="1"/>
  <c r="V2820" i="1"/>
  <c r="Z2820" i="1" s="1"/>
  <c r="U2820" i="1"/>
  <c r="T2820" i="1"/>
  <c r="W2820" i="1" s="1"/>
  <c r="S2820" i="1"/>
  <c r="R2820" i="1"/>
  <c r="Q2820" i="1"/>
  <c r="M2820" i="1"/>
  <c r="L2820" i="1"/>
  <c r="V2819" i="1"/>
  <c r="Z2819" i="1" s="1"/>
  <c r="U2819" i="1"/>
  <c r="T2819" i="1"/>
  <c r="W2819" i="1" s="1"/>
  <c r="S2819" i="1"/>
  <c r="R2819" i="1"/>
  <c r="Q2819" i="1"/>
  <c r="M2819" i="1"/>
  <c r="L2819" i="1"/>
  <c r="V2818" i="1"/>
  <c r="U2818" i="1"/>
  <c r="T2818" i="1"/>
  <c r="W2818" i="1" s="1"/>
  <c r="S2818" i="1"/>
  <c r="R2818" i="1"/>
  <c r="Q2818" i="1"/>
  <c r="M2818" i="1"/>
  <c r="L2818" i="1"/>
  <c r="V2817" i="1"/>
  <c r="U2817" i="1"/>
  <c r="T2817" i="1"/>
  <c r="S2817" i="1"/>
  <c r="R2817" i="1"/>
  <c r="Q2817" i="1"/>
  <c r="M2817" i="1"/>
  <c r="L2817" i="1"/>
  <c r="V2816" i="1"/>
  <c r="Z2816" i="1" s="1"/>
  <c r="U2816" i="1"/>
  <c r="T2816" i="1"/>
  <c r="W2816" i="1" s="1"/>
  <c r="S2816" i="1"/>
  <c r="R2816" i="1"/>
  <c r="Q2816" i="1"/>
  <c r="M2816" i="1"/>
  <c r="L2816" i="1"/>
  <c r="V2815" i="1"/>
  <c r="Z2815" i="1" s="1"/>
  <c r="U2815" i="1"/>
  <c r="T2815" i="1"/>
  <c r="W2815" i="1" s="1"/>
  <c r="S2815" i="1"/>
  <c r="R2815" i="1"/>
  <c r="Q2815" i="1"/>
  <c r="M2815" i="1"/>
  <c r="L2815" i="1"/>
  <c r="V2814" i="1"/>
  <c r="U2814" i="1"/>
  <c r="T2814" i="1"/>
  <c r="S2814" i="1"/>
  <c r="R2814" i="1"/>
  <c r="Q2814" i="1"/>
  <c r="M2814" i="1"/>
  <c r="L2814" i="1"/>
  <c r="V2813" i="1"/>
  <c r="U2813" i="1"/>
  <c r="T2813" i="1"/>
  <c r="S2813" i="1"/>
  <c r="R2813" i="1"/>
  <c r="Q2813" i="1"/>
  <c r="M2813" i="1"/>
  <c r="L2813" i="1"/>
  <c r="V2812" i="1"/>
  <c r="Z2812" i="1" s="1"/>
  <c r="U2812" i="1"/>
  <c r="T2812" i="1"/>
  <c r="W2812" i="1" s="1"/>
  <c r="S2812" i="1"/>
  <c r="R2812" i="1"/>
  <c r="Q2812" i="1"/>
  <c r="M2812" i="1"/>
  <c r="L2812" i="1"/>
  <c r="V2811" i="1"/>
  <c r="U2811" i="1"/>
  <c r="T2811" i="1"/>
  <c r="W2811" i="1" s="1"/>
  <c r="S2811" i="1"/>
  <c r="R2811" i="1"/>
  <c r="Q2811" i="1"/>
  <c r="M2811" i="1"/>
  <c r="L2811" i="1"/>
  <c r="V2810" i="1"/>
  <c r="U2810" i="1"/>
  <c r="T2810" i="1"/>
  <c r="W2810" i="1" s="1"/>
  <c r="S2810" i="1"/>
  <c r="R2810" i="1"/>
  <c r="Q2810" i="1"/>
  <c r="M2810" i="1"/>
  <c r="L2810" i="1"/>
  <c r="V2809" i="1"/>
  <c r="U2809" i="1"/>
  <c r="T2809" i="1"/>
  <c r="W2809" i="1" s="1"/>
  <c r="S2809" i="1"/>
  <c r="R2809" i="1"/>
  <c r="Q2809" i="1"/>
  <c r="M2809" i="1"/>
  <c r="L2809" i="1"/>
  <c r="V2808" i="1"/>
  <c r="Z2808" i="1" s="1"/>
  <c r="U2808" i="1"/>
  <c r="T2808" i="1"/>
  <c r="W2808" i="1" s="1"/>
  <c r="S2808" i="1"/>
  <c r="R2808" i="1"/>
  <c r="Q2808" i="1"/>
  <c r="M2808" i="1"/>
  <c r="L2808" i="1"/>
  <c r="V2807" i="1"/>
  <c r="Z2807" i="1" s="1"/>
  <c r="U2807" i="1"/>
  <c r="T2807" i="1"/>
  <c r="W2807" i="1" s="1"/>
  <c r="S2807" i="1"/>
  <c r="R2807" i="1"/>
  <c r="Q2807" i="1"/>
  <c r="M2807" i="1"/>
  <c r="L2807" i="1"/>
  <c r="V2806" i="1"/>
  <c r="U2806" i="1"/>
  <c r="T2806" i="1"/>
  <c r="W2806" i="1" s="1"/>
  <c r="S2806" i="1"/>
  <c r="R2806" i="1"/>
  <c r="Q2806" i="1"/>
  <c r="M2806" i="1"/>
  <c r="L2806" i="1"/>
  <c r="V2805" i="1"/>
  <c r="U2805" i="1"/>
  <c r="T2805" i="1"/>
  <c r="S2805" i="1"/>
  <c r="R2805" i="1"/>
  <c r="Q2805" i="1"/>
  <c r="M2805" i="1"/>
  <c r="L2805" i="1"/>
  <c r="V2804" i="1"/>
  <c r="Z2804" i="1" s="1"/>
  <c r="U2804" i="1"/>
  <c r="T2804" i="1"/>
  <c r="W2804" i="1" s="1"/>
  <c r="S2804" i="1"/>
  <c r="R2804" i="1"/>
  <c r="Q2804" i="1"/>
  <c r="M2804" i="1"/>
  <c r="L2804" i="1"/>
  <c r="V2803" i="1"/>
  <c r="Z2803" i="1" s="1"/>
  <c r="U2803" i="1"/>
  <c r="T2803" i="1"/>
  <c r="W2803" i="1" s="1"/>
  <c r="S2803" i="1"/>
  <c r="R2803" i="1"/>
  <c r="Q2803" i="1"/>
  <c r="M2803" i="1"/>
  <c r="L2803" i="1"/>
  <c r="V2802" i="1"/>
  <c r="Z2802" i="1" s="1"/>
  <c r="U2802" i="1"/>
  <c r="T2802" i="1"/>
  <c r="S2802" i="1"/>
  <c r="R2802" i="1"/>
  <c r="Q2802" i="1"/>
  <c r="M2802" i="1"/>
  <c r="L2802" i="1"/>
  <c r="V2801" i="1"/>
  <c r="U2801" i="1"/>
  <c r="T2801" i="1"/>
  <c r="W2801" i="1" s="1"/>
  <c r="S2801" i="1"/>
  <c r="R2801" i="1"/>
  <c r="Q2801" i="1"/>
  <c r="M2801" i="1"/>
  <c r="L2801" i="1"/>
  <c r="V2800" i="1"/>
  <c r="Z2800" i="1" s="1"/>
  <c r="U2800" i="1"/>
  <c r="T2800" i="1"/>
  <c r="W2800" i="1" s="1"/>
  <c r="S2800" i="1"/>
  <c r="R2800" i="1"/>
  <c r="Q2800" i="1"/>
  <c r="M2800" i="1"/>
  <c r="L2800" i="1"/>
  <c r="V2799" i="1"/>
  <c r="Z2799" i="1" s="1"/>
  <c r="U2799" i="1"/>
  <c r="T2799" i="1"/>
  <c r="W2799" i="1" s="1"/>
  <c r="S2799" i="1"/>
  <c r="R2799" i="1"/>
  <c r="Q2799" i="1"/>
  <c r="M2799" i="1"/>
  <c r="L2799" i="1"/>
  <c r="V2798" i="1"/>
  <c r="Z2798" i="1" s="1"/>
  <c r="U2798" i="1"/>
  <c r="T2798" i="1"/>
  <c r="W2798" i="1" s="1"/>
  <c r="S2798" i="1"/>
  <c r="R2798" i="1"/>
  <c r="Q2798" i="1"/>
  <c r="M2798" i="1"/>
  <c r="L2798" i="1"/>
  <c r="V2797" i="1"/>
  <c r="U2797" i="1"/>
  <c r="T2797" i="1"/>
  <c r="W2797" i="1" s="1"/>
  <c r="S2797" i="1"/>
  <c r="R2797" i="1"/>
  <c r="Q2797" i="1"/>
  <c r="M2797" i="1"/>
  <c r="L2797" i="1"/>
  <c r="V2796" i="1"/>
  <c r="Z2796" i="1" s="1"/>
  <c r="U2796" i="1"/>
  <c r="T2796" i="1"/>
  <c r="W2796" i="1" s="1"/>
  <c r="S2796" i="1"/>
  <c r="R2796" i="1"/>
  <c r="Q2796" i="1"/>
  <c r="M2796" i="1"/>
  <c r="L2796" i="1"/>
  <c r="V2795" i="1"/>
  <c r="Z2795" i="1" s="1"/>
  <c r="U2795" i="1"/>
  <c r="T2795" i="1"/>
  <c r="W2795" i="1" s="1"/>
  <c r="S2795" i="1"/>
  <c r="R2795" i="1"/>
  <c r="Q2795" i="1"/>
  <c r="M2795" i="1"/>
  <c r="L2795" i="1"/>
  <c r="V2794" i="1"/>
  <c r="Z2794" i="1" s="1"/>
  <c r="U2794" i="1"/>
  <c r="T2794" i="1"/>
  <c r="W2794" i="1" s="1"/>
  <c r="S2794" i="1"/>
  <c r="R2794" i="1"/>
  <c r="Q2794" i="1"/>
  <c r="M2794" i="1"/>
  <c r="L2794" i="1"/>
  <c r="V2793" i="1"/>
  <c r="U2793" i="1"/>
  <c r="T2793" i="1"/>
  <c r="S2793" i="1"/>
  <c r="R2793" i="1"/>
  <c r="Q2793" i="1"/>
  <c r="M2793" i="1"/>
  <c r="L2793" i="1"/>
  <c r="V2792" i="1"/>
  <c r="Z2792" i="1" s="1"/>
  <c r="U2792" i="1"/>
  <c r="T2792" i="1"/>
  <c r="W2792" i="1" s="1"/>
  <c r="S2792" i="1"/>
  <c r="R2792" i="1"/>
  <c r="Q2792" i="1"/>
  <c r="M2792" i="1"/>
  <c r="L2792" i="1"/>
  <c r="V2791" i="1"/>
  <c r="Z2791" i="1" s="1"/>
  <c r="U2791" i="1"/>
  <c r="T2791" i="1"/>
  <c r="W2791" i="1" s="1"/>
  <c r="S2791" i="1"/>
  <c r="R2791" i="1"/>
  <c r="Q2791" i="1"/>
  <c r="M2791" i="1"/>
  <c r="L2791" i="1"/>
  <c r="V2790" i="1"/>
  <c r="Z2790" i="1" s="1"/>
  <c r="U2790" i="1"/>
  <c r="T2790" i="1"/>
  <c r="S2790" i="1"/>
  <c r="R2790" i="1"/>
  <c r="Q2790" i="1"/>
  <c r="M2790" i="1"/>
  <c r="L2790" i="1"/>
  <c r="V2789" i="1"/>
  <c r="U2789" i="1"/>
  <c r="T2789" i="1"/>
  <c r="S2789" i="1"/>
  <c r="R2789" i="1"/>
  <c r="Q2789" i="1"/>
  <c r="M2789" i="1"/>
  <c r="L2789" i="1"/>
  <c r="V2788" i="1"/>
  <c r="Z2788" i="1" s="1"/>
  <c r="U2788" i="1"/>
  <c r="T2788" i="1"/>
  <c r="W2788" i="1" s="1"/>
  <c r="S2788" i="1"/>
  <c r="R2788" i="1"/>
  <c r="Q2788" i="1"/>
  <c r="M2788" i="1"/>
  <c r="L2788" i="1"/>
  <c r="V2787" i="1"/>
  <c r="U2787" i="1"/>
  <c r="T2787" i="1"/>
  <c r="W2787" i="1" s="1"/>
  <c r="S2787" i="1"/>
  <c r="R2787" i="1"/>
  <c r="Q2787" i="1"/>
  <c r="M2787" i="1"/>
  <c r="L2787" i="1"/>
  <c r="V2786" i="1"/>
  <c r="U2786" i="1"/>
  <c r="T2786" i="1"/>
  <c r="W2786" i="1" s="1"/>
  <c r="S2786" i="1"/>
  <c r="R2786" i="1"/>
  <c r="Q2786" i="1"/>
  <c r="M2786" i="1"/>
  <c r="L2786" i="1"/>
  <c r="V2785" i="1"/>
  <c r="U2785" i="1"/>
  <c r="T2785" i="1"/>
  <c r="W2785" i="1" s="1"/>
  <c r="S2785" i="1"/>
  <c r="R2785" i="1"/>
  <c r="Q2785" i="1"/>
  <c r="M2785" i="1"/>
  <c r="L2785" i="1"/>
  <c r="V2784" i="1"/>
  <c r="Z2784" i="1" s="1"/>
  <c r="U2784" i="1"/>
  <c r="T2784" i="1"/>
  <c r="W2784" i="1" s="1"/>
  <c r="S2784" i="1"/>
  <c r="R2784" i="1"/>
  <c r="Q2784" i="1"/>
  <c r="M2784" i="1"/>
  <c r="L2784" i="1"/>
  <c r="V2783" i="1"/>
  <c r="U2783" i="1"/>
  <c r="T2783" i="1"/>
  <c r="W2783" i="1" s="1"/>
  <c r="S2783" i="1"/>
  <c r="R2783" i="1"/>
  <c r="Q2783" i="1"/>
  <c r="M2783" i="1"/>
  <c r="L2783" i="1"/>
  <c r="V2782" i="1"/>
  <c r="Z2782" i="1" s="1"/>
  <c r="U2782" i="1"/>
  <c r="T2782" i="1"/>
  <c r="W2782" i="1" s="1"/>
  <c r="S2782" i="1"/>
  <c r="R2782" i="1"/>
  <c r="Q2782" i="1"/>
  <c r="M2782" i="1"/>
  <c r="L2782" i="1"/>
  <c r="V2781" i="1"/>
  <c r="U2781" i="1"/>
  <c r="T2781" i="1"/>
  <c r="S2781" i="1"/>
  <c r="R2781" i="1"/>
  <c r="Q2781" i="1"/>
  <c r="M2781" i="1"/>
  <c r="L2781" i="1"/>
  <c r="V2780" i="1"/>
  <c r="Z2780" i="1" s="1"/>
  <c r="U2780" i="1"/>
  <c r="T2780" i="1"/>
  <c r="W2780" i="1" s="1"/>
  <c r="S2780" i="1"/>
  <c r="R2780" i="1"/>
  <c r="Q2780" i="1"/>
  <c r="M2780" i="1"/>
  <c r="L2780" i="1"/>
  <c r="V2779" i="1"/>
  <c r="Z2779" i="1" s="1"/>
  <c r="U2779" i="1"/>
  <c r="T2779" i="1"/>
  <c r="W2779" i="1" s="1"/>
  <c r="S2779" i="1"/>
  <c r="R2779" i="1"/>
  <c r="Q2779" i="1"/>
  <c r="M2779" i="1"/>
  <c r="L2779" i="1"/>
  <c r="V2778" i="1"/>
  <c r="Z2778" i="1" s="1"/>
  <c r="U2778" i="1"/>
  <c r="T2778" i="1"/>
  <c r="W2778" i="1" s="1"/>
  <c r="S2778" i="1"/>
  <c r="R2778" i="1"/>
  <c r="Q2778" i="1"/>
  <c r="M2778" i="1"/>
  <c r="L2778" i="1"/>
  <c r="V2777" i="1"/>
  <c r="U2777" i="1"/>
  <c r="T2777" i="1"/>
  <c r="W2777" i="1" s="1"/>
  <c r="S2777" i="1"/>
  <c r="R2777" i="1"/>
  <c r="Q2777" i="1"/>
  <c r="M2777" i="1"/>
  <c r="L2777" i="1"/>
  <c r="V2776" i="1"/>
  <c r="Z2776" i="1" s="1"/>
  <c r="U2776" i="1"/>
  <c r="T2776" i="1"/>
  <c r="W2776" i="1" s="1"/>
  <c r="S2776" i="1"/>
  <c r="R2776" i="1"/>
  <c r="Q2776" i="1"/>
  <c r="M2776" i="1"/>
  <c r="L2776" i="1"/>
  <c r="V2775" i="1"/>
  <c r="U2775" i="1"/>
  <c r="T2775" i="1"/>
  <c r="W2775" i="1" s="1"/>
  <c r="S2775" i="1"/>
  <c r="R2775" i="1"/>
  <c r="Q2775" i="1"/>
  <c r="M2775" i="1"/>
  <c r="L2775" i="1"/>
  <c r="V2774" i="1"/>
  <c r="Z2774" i="1" s="1"/>
  <c r="U2774" i="1"/>
  <c r="T2774" i="1"/>
  <c r="W2774" i="1" s="1"/>
  <c r="S2774" i="1"/>
  <c r="R2774" i="1"/>
  <c r="Q2774" i="1"/>
  <c r="M2774" i="1"/>
  <c r="L2774" i="1"/>
  <c r="V2773" i="1"/>
  <c r="U2773" i="1"/>
  <c r="T2773" i="1"/>
  <c r="W2773" i="1" s="1"/>
  <c r="S2773" i="1"/>
  <c r="R2773" i="1"/>
  <c r="Q2773" i="1"/>
  <c r="M2773" i="1"/>
  <c r="L2773" i="1"/>
  <c r="V2772" i="1"/>
  <c r="Z2772" i="1" s="1"/>
  <c r="U2772" i="1"/>
  <c r="T2772" i="1"/>
  <c r="W2772" i="1" s="1"/>
  <c r="S2772" i="1"/>
  <c r="R2772" i="1"/>
  <c r="Q2772" i="1"/>
  <c r="M2772" i="1"/>
  <c r="L2772" i="1"/>
  <c r="V2771" i="1"/>
  <c r="Z2771" i="1" s="1"/>
  <c r="U2771" i="1"/>
  <c r="T2771" i="1"/>
  <c r="W2771" i="1" s="1"/>
  <c r="S2771" i="1"/>
  <c r="R2771" i="1"/>
  <c r="Q2771" i="1"/>
  <c r="M2771" i="1"/>
  <c r="L2771" i="1"/>
  <c r="V2770" i="1"/>
  <c r="Z2770" i="1" s="1"/>
  <c r="U2770" i="1"/>
  <c r="T2770" i="1"/>
  <c r="W2770" i="1" s="1"/>
  <c r="S2770" i="1"/>
  <c r="R2770" i="1"/>
  <c r="Q2770" i="1"/>
  <c r="M2770" i="1"/>
  <c r="L2770" i="1"/>
  <c r="V2769" i="1"/>
  <c r="U2769" i="1"/>
  <c r="T2769" i="1"/>
  <c r="S2769" i="1"/>
  <c r="R2769" i="1"/>
  <c r="Q2769" i="1"/>
  <c r="M2769" i="1"/>
  <c r="L2769" i="1"/>
  <c r="V2768" i="1"/>
  <c r="Z2768" i="1" s="1"/>
  <c r="U2768" i="1"/>
  <c r="T2768" i="1"/>
  <c r="W2768" i="1" s="1"/>
  <c r="S2768" i="1"/>
  <c r="R2768" i="1"/>
  <c r="Q2768" i="1"/>
  <c r="M2768" i="1"/>
  <c r="L2768" i="1"/>
  <c r="V2767" i="1"/>
  <c r="Z2767" i="1" s="1"/>
  <c r="U2767" i="1"/>
  <c r="T2767" i="1"/>
  <c r="W2767" i="1" s="1"/>
  <c r="S2767" i="1"/>
  <c r="R2767" i="1"/>
  <c r="Q2767" i="1"/>
  <c r="M2767" i="1"/>
  <c r="L2767" i="1"/>
  <c r="V2766" i="1"/>
  <c r="U2766" i="1"/>
  <c r="T2766" i="1"/>
  <c r="W2766" i="1" s="1"/>
  <c r="S2766" i="1"/>
  <c r="R2766" i="1"/>
  <c r="Q2766" i="1"/>
  <c r="M2766" i="1"/>
  <c r="L2766" i="1"/>
  <c r="V2765" i="1"/>
  <c r="U2765" i="1"/>
  <c r="T2765" i="1"/>
  <c r="S2765" i="1"/>
  <c r="R2765" i="1"/>
  <c r="Q2765" i="1"/>
  <c r="M2765" i="1"/>
  <c r="L2765" i="1"/>
  <c r="V2764" i="1"/>
  <c r="Z2764" i="1" s="1"/>
  <c r="U2764" i="1"/>
  <c r="T2764" i="1"/>
  <c r="W2764" i="1" s="1"/>
  <c r="S2764" i="1"/>
  <c r="R2764" i="1"/>
  <c r="Q2764" i="1"/>
  <c r="M2764" i="1"/>
  <c r="L2764" i="1"/>
  <c r="V2763" i="1"/>
  <c r="U2763" i="1"/>
  <c r="T2763" i="1"/>
  <c r="W2763" i="1" s="1"/>
  <c r="S2763" i="1"/>
  <c r="R2763" i="1"/>
  <c r="Q2763" i="1"/>
  <c r="M2763" i="1"/>
  <c r="L2763" i="1"/>
  <c r="V2762" i="1"/>
  <c r="Z2762" i="1" s="1"/>
  <c r="U2762" i="1"/>
  <c r="T2762" i="1"/>
  <c r="W2762" i="1" s="1"/>
  <c r="S2762" i="1"/>
  <c r="R2762" i="1"/>
  <c r="Q2762" i="1"/>
  <c r="M2762" i="1"/>
  <c r="L2762" i="1"/>
  <c r="V2761" i="1"/>
  <c r="U2761" i="1"/>
  <c r="T2761" i="1"/>
  <c r="W2761" i="1" s="1"/>
  <c r="S2761" i="1"/>
  <c r="R2761" i="1"/>
  <c r="Q2761" i="1"/>
  <c r="M2761" i="1"/>
  <c r="L2761" i="1"/>
  <c r="V2760" i="1"/>
  <c r="Z2760" i="1" s="1"/>
  <c r="U2760" i="1"/>
  <c r="T2760" i="1"/>
  <c r="W2760" i="1" s="1"/>
  <c r="S2760" i="1"/>
  <c r="R2760" i="1"/>
  <c r="Q2760" i="1"/>
  <c r="M2760" i="1"/>
  <c r="L2760" i="1"/>
  <c r="V2759" i="1"/>
  <c r="Z2759" i="1" s="1"/>
  <c r="U2759" i="1"/>
  <c r="T2759" i="1"/>
  <c r="W2759" i="1" s="1"/>
  <c r="S2759" i="1"/>
  <c r="R2759" i="1"/>
  <c r="Q2759" i="1"/>
  <c r="M2759" i="1"/>
  <c r="L2759" i="1"/>
  <c r="V2758" i="1"/>
  <c r="Z2758" i="1" s="1"/>
  <c r="U2758" i="1"/>
  <c r="T2758" i="1"/>
  <c r="W2758" i="1" s="1"/>
  <c r="S2758" i="1"/>
  <c r="R2758" i="1"/>
  <c r="Q2758" i="1"/>
  <c r="M2758" i="1"/>
  <c r="L2758" i="1"/>
  <c r="V2757" i="1"/>
  <c r="U2757" i="1"/>
  <c r="T2757" i="1"/>
  <c r="W2757" i="1" s="1"/>
  <c r="S2757" i="1"/>
  <c r="R2757" i="1"/>
  <c r="Q2757" i="1"/>
  <c r="M2757" i="1"/>
  <c r="L2757" i="1"/>
  <c r="V2756" i="1"/>
  <c r="Z2756" i="1" s="1"/>
  <c r="U2756" i="1"/>
  <c r="T2756" i="1"/>
  <c r="W2756" i="1" s="1"/>
  <c r="S2756" i="1"/>
  <c r="R2756" i="1"/>
  <c r="Q2756" i="1"/>
  <c r="M2756" i="1"/>
  <c r="L2756" i="1"/>
  <c r="V2755" i="1"/>
  <c r="Z2755" i="1" s="1"/>
  <c r="U2755" i="1"/>
  <c r="T2755" i="1"/>
  <c r="W2755" i="1" s="1"/>
  <c r="S2755" i="1"/>
  <c r="R2755" i="1"/>
  <c r="Q2755" i="1"/>
  <c r="M2755" i="1"/>
  <c r="L2755" i="1"/>
  <c r="V2754" i="1"/>
  <c r="Z2754" i="1" s="1"/>
  <c r="U2754" i="1"/>
  <c r="T2754" i="1"/>
  <c r="W2754" i="1" s="1"/>
  <c r="S2754" i="1"/>
  <c r="R2754" i="1"/>
  <c r="Q2754" i="1"/>
  <c r="M2754" i="1"/>
  <c r="L2754" i="1"/>
  <c r="V2753" i="1"/>
  <c r="U2753" i="1"/>
  <c r="T2753" i="1"/>
  <c r="W2753" i="1" s="1"/>
  <c r="S2753" i="1"/>
  <c r="R2753" i="1"/>
  <c r="Q2753" i="1"/>
  <c r="M2753" i="1"/>
  <c r="L2753" i="1"/>
  <c r="V2752" i="1"/>
  <c r="Z2752" i="1" s="1"/>
  <c r="U2752" i="1"/>
  <c r="T2752" i="1"/>
  <c r="W2752" i="1" s="1"/>
  <c r="S2752" i="1"/>
  <c r="R2752" i="1"/>
  <c r="Q2752" i="1"/>
  <c r="M2752" i="1"/>
  <c r="L2752" i="1"/>
  <c r="V2751" i="1"/>
  <c r="Z2751" i="1" s="1"/>
  <c r="U2751" i="1"/>
  <c r="T2751" i="1"/>
  <c r="W2751" i="1" s="1"/>
  <c r="S2751" i="1"/>
  <c r="R2751" i="1"/>
  <c r="Q2751" i="1"/>
  <c r="M2751" i="1"/>
  <c r="L2751" i="1"/>
  <c r="V2750" i="1"/>
  <c r="Z2750" i="1" s="1"/>
  <c r="U2750" i="1"/>
  <c r="T2750" i="1"/>
  <c r="S2750" i="1"/>
  <c r="R2750" i="1"/>
  <c r="Q2750" i="1"/>
  <c r="M2750" i="1"/>
  <c r="L2750" i="1"/>
  <c r="V2749" i="1"/>
  <c r="U2749" i="1"/>
  <c r="T2749" i="1"/>
  <c r="W2749" i="1" s="1"/>
  <c r="S2749" i="1"/>
  <c r="R2749" i="1"/>
  <c r="Q2749" i="1"/>
  <c r="M2749" i="1"/>
  <c r="L2749" i="1"/>
  <c r="V2748" i="1"/>
  <c r="Z2748" i="1" s="1"/>
  <c r="U2748" i="1"/>
  <c r="T2748" i="1"/>
  <c r="W2748" i="1" s="1"/>
  <c r="S2748" i="1"/>
  <c r="R2748" i="1"/>
  <c r="Q2748" i="1"/>
  <c r="M2748" i="1"/>
  <c r="L2748" i="1"/>
  <c r="V2747" i="1"/>
  <c r="Z2747" i="1" s="1"/>
  <c r="U2747" i="1"/>
  <c r="T2747" i="1"/>
  <c r="S2747" i="1"/>
  <c r="R2747" i="1"/>
  <c r="Q2747" i="1"/>
  <c r="M2747" i="1"/>
  <c r="L2747" i="1"/>
  <c r="V2746" i="1"/>
  <c r="Z2746" i="1" s="1"/>
  <c r="U2746" i="1"/>
  <c r="T2746" i="1"/>
  <c r="S2746" i="1"/>
  <c r="R2746" i="1"/>
  <c r="Q2746" i="1"/>
  <c r="M2746" i="1"/>
  <c r="L2746" i="1"/>
  <c r="V2745" i="1"/>
  <c r="U2745" i="1"/>
  <c r="T2745" i="1"/>
  <c r="W2745" i="1" s="1"/>
  <c r="S2745" i="1"/>
  <c r="R2745" i="1"/>
  <c r="Q2745" i="1"/>
  <c r="M2745" i="1"/>
  <c r="L2745" i="1"/>
  <c r="V2744" i="1"/>
  <c r="Z2744" i="1" s="1"/>
  <c r="U2744" i="1"/>
  <c r="T2744" i="1"/>
  <c r="W2744" i="1" s="1"/>
  <c r="S2744" i="1"/>
  <c r="R2744" i="1"/>
  <c r="Q2744" i="1"/>
  <c r="M2744" i="1"/>
  <c r="L2744" i="1"/>
  <c r="V2743" i="1"/>
  <c r="Z2743" i="1" s="1"/>
  <c r="U2743" i="1"/>
  <c r="T2743" i="1"/>
  <c r="W2743" i="1" s="1"/>
  <c r="S2743" i="1"/>
  <c r="R2743" i="1"/>
  <c r="Q2743" i="1"/>
  <c r="M2743" i="1"/>
  <c r="L2743" i="1"/>
  <c r="V2742" i="1"/>
  <c r="Z2742" i="1" s="1"/>
  <c r="U2742" i="1"/>
  <c r="T2742" i="1"/>
  <c r="W2742" i="1" s="1"/>
  <c r="S2742" i="1"/>
  <c r="R2742" i="1"/>
  <c r="Q2742" i="1"/>
  <c r="M2742" i="1"/>
  <c r="L2742" i="1"/>
  <c r="V2741" i="1"/>
  <c r="U2741" i="1"/>
  <c r="T2741" i="1"/>
  <c r="S2741" i="1"/>
  <c r="R2741" i="1"/>
  <c r="Q2741" i="1"/>
  <c r="M2741" i="1"/>
  <c r="L2741" i="1"/>
  <c r="V2740" i="1"/>
  <c r="Z2740" i="1" s="1"/>
  <c r="U2740" i="1"/>
  <c r="T2740" i="1"/>
  <c r="W2740" i="1" s="1"/>
  <c r="S2740" i="1"/>
  <c r="R2740" i="1"/>
  <c r="Q2740" i="1"/>
  <c r="M2740" i="1"/>
  <c r="L2740" i="1"/>
  <c r="V2739" i="1"/>
  <c r="Z2739" i="1" s="1"/>
  <c r="U2739" i="1"/>
  <c r="T2739" i="1"/>
  <c r="W2739" i="1" s="1"/>
  <c r="S2739" i="1"/>
  <c r="R2739" i="1"/>
  <c r="Q2739" i="1"/>
  <c r="M2739" i="1"/>
  <c r="L2739" i="1"/>
  <c r="V2738" i="1"/>
  <c r="Z2738" i="1" s="1"/>
  <c r="U2738" i="1"/>
  <c r="T2738" i="1"/>
  <c r="W2738" i="1" s="1"/>
  <c r="S2738" i="1"/>
  <c r="R2738" i="1"/>
  <c r="Q2738" i="1"/>
  <c r="M2738" i="1"/>
  <c r="L2738" i="1"/>
  <c r="V2737" i="1"/>
  <c r="U2737" i="1"/>
  <c r="T2737" i="1"/>
  <c r="W2737" i="1" s="1"/>
  <c r="S2737" i="1"/>
  <c r="R2737" i="1"/>
  <c r="Q2737" i="1"/>
  <c r="M2737" i="1"/>
  <c r="L2737" i="1"/>
  <c r="V2736" i="1"/>
  <c r="Z2736" i="1" s="1"/>
  <c r="U2736" i="1"/>
  <c r="T2736" i="1"/>
  <c r="W2736" i="1" s="1"/>
  <c r="S2736" i="1"/>
  <c r="R2736" i="1"/>
  <c r="Q2736" i="1"/>
  <c r="M2736" i="1"/>
  <c r="L2736" i="1"/>
  <c r="V2735" i="1"/>
  <c r="U2735" i="1"/>
  <c r="T2735" i="1"/>
  <c r="W2735" i="1" s="1"/>
  <c r="S2735" i="1"/>
  <c r="R2735" i="1"/>
  <c r="Q2735" i="1"/>
  <c r="M2735" i="1"/>
  <c r="L2735" i="1"/>
  <c r="V2734" i="1"/>
  <c r="Z2734" i="1" s="1"/>
  <c r="U2734" i="1"/>
  <c r="T2734" i="1"/>
  <c r="W2734" i="1" s="1"/>
  <c r="S2734" i="1"/>
  <c r="R2734" i="1"/>
  <c r="Q2734" i="1"/>
  <c r="M2734" i="1"/>
  <c r="L2734" i="1"/>
  <c r="V2733" i="1"/>
  <c r="U2733" i="1"/>
  <c r="T2733" i="1"/>
  <c r="W2733" i="1" s="1"/>
  <c r="S2733" i="1"/>
  <c r="R2733" i="1"/>
  <c r="Q2733" i="1"/>
  <c r="M2733" i="1"/>
  <c r="L2733" i="1"/>
  <c r="V2732" i="1"/>
  <c r="Z2732" i="1" s="1"/>
  <c r="U2732" i="1"/>
  <c r="T2732" i="1"/>
  <c r="W2732" i="1" s="1"/>
  <c r="S2732" i="1"/>
  <c r="R2732" i="1"/>
  <c r="Q2732" i="1"/>
  <c r="M2732" i="1"/>
  <c r="L2732" i="1"/>
  <c r="V2731" i="1"/>
  <c r="Z2731" i="1" s="1"/>
  <c r="U2731" i="1"/>
  <c r="T2731" i="1"/>
  <c r="S2731" i="1"/>
  <c r="R2731" i="1"/>
  <c r="Q2731" i="1"/>
  <c r="M2731" i="1"/>
  <c r="L2731" i="1"/>
  <c r="V2730" i="1"/>
  <c r="Z2730" i="1" s="1"/>
  <c r="U2730" i="1"/>
  <c r="T2730" i="1"/>
  <c r="S2730" i="1"/>
  <c r="R2730" i="1"/>
  <c r="Q2730" i="1"/>
  <c r="M2730" i="1"/>
  <c r="L2730" i="1"/>
  <c r="V2729" i="1"/>
  <c r="U2729" i="1"/>
  <c r="T2729" i="1"/>
  <c r="W2729" i="1" s="1"/>
  <c r="S2729" i="1"/>
  <c r="R2729" i="1"/>
  <c r="Q2729" i="1"/>
  <c r="M2729" i="1"/>
  <c r="L2729" i="1"/>
  <c r="V2728" i="1"/>
  <c r="Z2728" i="1" s="1"/>
  <c r="U2728" i="1"/>
  <c r="T2728" i="1"/>
  <c r="W2728" i="1" s="1"/>
  <c r="S2728" i="1"/>
  <c r="R2728" i="1"/>
  <c r="Q2728" i="1"/>
  <c r="M2728" i="1"/>
  <c r="L2728" i="1"/>
  <c r="V2727" i="1"/>
  <c r="Z2727" i="1" s="1"/>
  <c r="U2727" i="1"/>
  <c r="T2727" i="1"/>
  <c r="W2727" i="1" s="1"/>
  <c r="S2727" i="1"/>
  <c r="R2727" i="1"/>
  <c r="Q2727" i="1"/>
  <c r="M2727" i="1"/>
  <c r="L2727" i="1"/>
  <c r="V2726" i="1"/>
  <c r="Z2726" i="1" s="1"/>
  <c r="U2726" i="1"/>
  <c r="T2726" i="1"/>
  <c r="W2726" i="1" s="1"/>
  <c r="S2726" i="1"/>
  <c r="R2726" i="1"/>
  <c r="Q2726" i="1"/>
  <c r="M2726" i="1"/>
  <c r="L2726" i="1"/>
  <c r="V2725" i="1"/>
  <c r="U2725" i="1"/>
  <c r="T2725" i="1"/>
  <c r="W2725" i="1" s="1"/>
  <c r="S2725" i="1"/>
  <c r="R2725" i="1"/>
  <c r="Q2725" i="1"/>
  <c r="M2725" i="1"/>
  <c r="L2725" i="1"/>
  <c r="V2724" i="1"/>
  <c r="Z2724" i="1" s="1"/>
  <c r="U2724" i="1"/>
  <c r="T2724" i="1"/>
  <c r="W2724" i="1" s="1"/>
  <c r="S2724" i="1"/>
  <c r="R2724" i="1"/>
  <c r="Q2724" i="1"/>
  <c r="M2724" i="1"/>
  <c r="L2724" i="1"/>
  <c r="V2723" i="1"/>
  <c r="Z2723" i="1" s="1"/>
  <c r="U2723" i="1"/>
  <c r="T2723" i="1"/>
  <c r="W2723" i="1" s="1"/>
  <c r="S2723" i="1"/>
  <c r="R2723" i="1"/>
  <c r="Q2723" i="1"/>
  <c r="M2723" i="1"/>
  <c r="L2723" i="1"/>
  <c r="V2722" i="1"/>
  <c r="Z2722" i="1" s="1"/>
  <c r="U2722" i="1"/>
  <c r="T2722" i="1"/>
  <c r="W2722" i="1" s="1"/>
  <c r="S2722" i="1"/>
  <c r="R2722" i="1"/>
  <c r="Q2722" i="1"/>
  <c r="M2722" i="1"/>
  <c r="L2722" i="1"/>
  <c r="V2721" i="1"/>
  <c r="U2721" i="1"/>
  <c r="T2721" i="1"/>
  <c r="W2721" i="1" s="1"/>
  <c r="S2721" i="1"/>
  <c r="R2721" i="1"/>
  <c r="Q2721" i="1"/>
  <c r="M2721" i="1"/>
  <c r="L2721" i="1"/>
  <c r="V2720" i="1"/>
  <c r="Z2720" i="1" s="1"/>
  <c r="U2720" i="1"/>
  <c r="T2720" i="1"/>
  <c r="W2720" i="1" s="1"/>
  <c r="S2720" i="1"/>
  <c r="R2720" i="1"/>
  <c r="Q2720" i="1"/>
  <c r="M2720" i="1"/>
  <c r="L2720" i="1"/>
  <c r="V2719" i="1"/>
  <c r="U2719" i="1"/>
  <c r="T2719" i="1"/>
  <c r="W2719" i="1" s="1"/>
  <c r="S2719" i="1"/>
  <c r="R2719" i="1"/>
  <c r="Q2719" i="1"/>
  <c r="M2719" i="1"/>
  <c r="L2719" i="1"/>
  <c r="V2718" i="1"/>
  <c r="Z2718" i="1" s="1"/>
  <c r="U2718" i="1"/>
  <c r="T2718" i="1"/>
  <c r="W2718" i="1" s="1"/>
  <c r="S2718" i="1"/>
  <c r="R2718" i="1"/>
  <c r="Q2718" i="1"/>
  <c r="M2718" i="1"/>
  <c r="L2718" i="1"/>
  <c r="V2717" i="1"/>
  <c r="U2717" i="1"/>
  <c r="T2717" i="1"/>
  <c r="W2717" i="1" s="1"/>
  <c r="S2717" i="1"/>
  <c r="R2717" i="1"/>
  <c r="Q2717" i="1"/>
  <c r="M2717" i="1"/>
  <c r="L2717" i="1"/>
  <c r="V2716" i="1"/>
  <c r="Z2716" i="1" s="1"/>
  <c r="U2716" i="1"/>
  <c r="T2716" i="1"/>
  <c r="W2716" i="1" s="1"/>
  <c r="S2716" i="1"/>
  <c r="R2716" i="1"/>
  <c r="Q2716" i="1"/>
  <c r="M2716" i="1"/>
  <c r="L2716" i="1"/>
  <c r="V2715" i="1"/>
  <c r="Z2715" i="1" s="1"/>
  <c r="U2715" i="1"/>
  <c r="T2715" i="1"/>
  <c r="W2715" i="1" s="1"/>
  <c r="S2715" i="1"/>
  <c r="R2715" i="1"/>
  <c r="Q2715" i="1"/>
  <c r="M2715" i="1"/>
  <c r="L2715" i="1"/>
  <c r="V2714" i="1"/>
  <c r="U2714" i="1"/>
  <c r="T2714" i="1"/>
  <c r="S2714" i="1"/>
  <c r="R2714" i="1"/>
  <c r="Q2714" i="1"/>
  <c r="M2714" i="1"/>
  <c r="L2714" i="1"/>
  <c r="V2713" i="1"/>
  <c r="U2713" i="1"/>
  <c r="T2713" i="1"/>
  <c r="W2713" i="1" s="1"/>
  <c r="S2713" i="1"/>
  <c r="R2713" i="1"/>
  <c r="Q2713" i="1"/>
  <c r="M2713" i="1"/>
  <c r="L2713" i="1"/>
  <c r="V2712" i="1"/>
  <c r="Z2712" i="1" s="1"/>
  <c r="U2712" i="1"/>
  <c r="T2712" i="1"/>
  <c r="W2712" i="1" s="1"/>
  <c r="S2712" i="1"/>
  <c r="R2712" i="1"/>
  <c r="Q2712" i="1"/>
  <c r="M2712" i="1"/>
  <c r="L2712" i="1"/>
  <c r="V2711" i="1"/>
  <c r="Z2711" i="1" s="1"/>
  <c r="U2711" i="1"/>
  <c r="T2711" i="1"/>
  <c r="W2711" i="1" s="1"/>
  <c r="S2711" i="1"/>
  <c r="R2711" i="1"/>
  <c r="Q2711" i="1"/>
  <c r="M2711" i="1"/>
  <c r="L2711" i="1"/>
  <c r="V2710" i="1"/>
  <c r="Z2710" i="1" s="1"/>
  <c r="U2710" i="1"/>
  <c r="T2710" i="1"/>
  <c r="W2710" i="1" s="1"/>
  <c r="S2710" i="1"/>
  <c r="R2710" i="1"/>
  <c r="Q2710" i="1"/>
  <c r="M2710" i="1"/>
  <c r="L2710" i="1"/>
  <c r="V2709" i="1"/>
  <c r="U2709" i="1"/>
  <c r="T2709" i="1"/>
  <c r="W2709" i="1" s="1"/>
  <c r="S2709" i="1"/>
  <c r="R2709" i="1"/>
  <c r="Q2709" i="1"/>
  <c r="M2709" i="1"/>
  <c r="L2709" i="1"/>
  <c r="V2708" i="1"/>
  <c r="Z2708" i="1" s="1"/>
  <c r="U2708" i="1"/>
  <c r="T2708" i="1"/>
  <c r="W2708" i="1" s="1"/>
  <c r="S2708" i="1"/>
  <c r="R2708" i="1"/>
  <c r="Q2708" i="1"/>
  <c r="M2708" i="1"/>
  <c r="L2708" i="1"/>
  <c r="V2707" i="1"/>
  <c r="Z2707" i="1" s="1"/>
  <c r="U2707" i="1"/>
  <c r="T2707" i="1"/>
  <c r="S2707" i="1"/>
  <c r="R2707" i="1"/>
  <c r="Q2707" i="1"/>
  <c r="M2707" i="1"/>
  <c r="L2707" i="1"/>
  <c r="V2706" i="1"/>
  <c r="Z2706" i="1" s="1"/>
  <c r="U2706" i="1"/>
  <c r="T2706" i="1"/>
  <c r="W2706" i="1" s="1"/>
  <c r="S2706" i="1"/>
  <c r="R2706" i="1"/>
  <c r="Q2706" i="1"/>
  <c r="M2706" i="1"/>
  <c r="L2706" i="1"/>
  <c r="V2705" i="1"/>
  <c r="U2705" i="1"/>
  <c r="T2705" i="1"/>
  <c r="W2705" i="1" s="1"/>
  <c r="S2705" i="1"/>
  <c r="R2705" i="1"/>
  <c r="Q2705" i="1"/>
  <c r="M2705" i="1"/>
  <c r="L2705" i="1"/>
  <c r="V2704" i="1"/>
  <c r="Z2704" i="1" s="1"/>
  <c r="U2704" i="1"/>
  <c r="T2704" i="1"/>
  <c r="W2704" i="1" s="1"/>
  <c r="S2704" i="1"/>
  <c r="R2704" i="1"/>
  <c r="Q2704" i="1"/>
  <c r="M2704" i="1"/>
  <c r="L2704" i="1"/>
  <c r="V2703" i="1"/>
  <c r="Z2703" i="1" s="1"/>
  <c r="U2703" i="1"/>
  <c r="T2703" i="1"/>
  <c r="W2703" i="1" s="1"/>
  <c r="S2703" i="1"/>
  <c r="R2703" i="1"/>
  <c r="Q2703" i="1"/>
  <c r="M2703" i="1"/>
  <c r="L2703" i="1"/>
  <c r="V2702" i="1"/>
  <c r="U2702" i="1"/>
  <c r="T2702" i="1"/>
  <c r="W2702" i="1" s="1"/>
  <c r="S2702" i="1"/>
  <c r="R2702" i="1"/>
  <c r="Q2702" i="1"/>
  <c r="M2702" i="1"/>
  <c r="L2702" i="1"/>
  <c r="V2701" i="1"/>
  <c r="U2701" i="1"/>
  <c r="T2701" i="1"/>
  <c r="S2701" i="1"/>
  <c r="R2701" i="1"/>
  <c r="Q2701" i="1"/>
  <c r="M2701" i="1"/>
  <c r="L2701" i="1"/>
  <c r="V2700" i="1"/>
  <c r="Z2700" i="1" s="1"/>
  <c r="U2700" i="1"/>
  <c r="T2700" i="1"/>
  <c r="W2700" i="1" s="1"/>
  <c r="S2700" i="1"/>
  <c r="R2700" i="1"/>
  <c r="Q2700" i="1"/>
  <c r="M2700" i="1"/>
  <c r="L2700" i="1"/>
  <c r="V2699" i="1"/>
  <c r="Z2699" i="1" s="1"/>
  <c r="U2699" i="1"/>
  <c r="T2699" i="1"/>
  <c r="S2699" i="1"/>
  <c r="R2699" i="1"/>
  <c r="Q2699" i="1"/>
  <c r="M2699" i="1"/>
  <c r="L2699" i="1"/>
  <c r="V2698" i="1"/>
  <c r="Z2698" i="1" s="1"/>
  <c r="U2698" i="1"/>
  <c r="T2698" i="1"/>
  <c r="W2698" i="1" s="1"/>
  <c r="S2698" i="1"/>
  <c r="R2698" i="1"/>
  <c r="Q2698" i="1"/>
  <c r="M2698" i="1"/>
  <c r="L2698" i="1"/>
  <c r="V2697" i="1"/>
  <c r="U2697" i="1"/>
  <c r="T2697" i="1"/>
  <c r="W2697" i="1" s="1"/>
  <c r="S2697" i="1"/>
  <c r="R2697" i="1"/>
  <c r="Q2697" i="1"/>
  <c r="M2697" i="1"/>
  <c r="L2697" i="1"/>
  <c r="V2696" i="1"/>
  <c r="Z2696" i="1" s="1"/>
  <c r="U2696" i="1"/>
  <c r="T2696" i="1"/>
  <c r="W2696" i="1" s="1"/>
  <c r="S2696" i="1"/>
  <c r="R2696" i="1"/>
  <c r="Q2696" i="1"/>
  <c r="M2696" i="1"/>
  <c r="L2696" i="1"/>
  <c r="V2695" i="1"/>
  <c r="Z2695" i="1" s="1"/>
  <c r="U2695" i="1"/>
  <c r="T2695" i="1"/>
  <c r="S2695" i="1"/>
  <c r="R2695" i="1"/>
  <c r="Q2695" i="1"/>
  <c r="M2695" i="1"/>
  <c r="L2695" i="1"/>
  <c r="V2694" i="1"/>
  <c r="Z2694" i="1" s="1"/>
  <c r="U2694" i="1"/>
  <c r="T2694" i="1"/>
  <c r="W2694" i="1" s="1"/>
  <c r="S2694" i="1"/>
  <c r="R2694" i="1"/>
  <c r="Q2694" i="1"/>
  <c r="M2694" i="1"/>
  <c r="L2694" i="1"/>
  <c r="V2693" i="1"/>
  <c r="U2693" i="1"/>
  <c r="T2693" i="1"/>
  <c r="W2693" i="1" s="1"/>
  <c r="S2693" i="1"/>
  <c r="R2693" i="1"/>
  <c r="Q2693" i="1"/>
  <c r="M2693" i="1"/>
  <c r="L2693" i="1"/>
  <c r="V2692" i="1"/>
  <c r="Z2692" i="1" s="1"/>
  <c r="U2692" i="1"/>
  <c r="T2692" i="1"/>
  <c r="W2692" i="1" s="1"/>
  <c r="S2692" i="1"/>
  <c r="R2692" i="1"/>
  <c r="Q2692" i="1"/>
  <c r="M2692" i="1"/>
  <c r="L2692" i="1"/>
  <c r="V2691" i="1"/>
  <c r="U2691" i="1"/>
  <c r="T2691" i="1"/>
  <c r="W2691" i="1" s="1"/>
  <c r="S2691" i="1"/>
  <c r="R2691" i="1"/>
  <c r="Q2691" i="1"/>
  <c r="M2691" i="1"/>
  <c r="L2691" i="1"/>
  <c r="V2690" i="1"/>
  <c r="Z2690" i="1" s="1"/>
  <c r="U2690" i="1"/>
  <c r="T2690" i="1"/>
  <c r="S2690" i="1"/>
  <c r="R2690" i="1"/>
  <c r="Q2690" i="1"/>
  <c r="M2690" i="1"/>
  <c r="L2690" i="1"/>
  <c r="V2689" i="1"/>
  <c r="U2689" i="1"/>
  <c r="T2689" i="1"/>
  <c r="W2689" i="1" s="1"/>
  <c r="S2689" i="1"/>
  <c r="R2689" i="1"/>
  <c r="Q2689" i="1"/>
  <c r="M2689" i="1"/>
  <c r="L2689" i="1"/>
  <c r="V2688" i="1"/>
  <c r="Z2688" i="1" s="1"/>
  <c r="U2688" i="1"/>
  <c r="T2688" i="1"/>
  <c r="W2688" i="1" s="1"/>
  <c r="S2688" i="1"/>
  <c r="R2688" i="1"/>
  <c r="Q2688" i="1"/>
  <c r="M2688" i="1"/>
  <c r="L2688" i="1"/>
  <c r="V2687" i="1"/>
  <c r="Z2687" i="1" s="1"/>
  <c r="U2687" i="1"/>
  <c r="T2687" i="1"/>
  <c r="W2687" i="1" s="1"/>
  <c r="S2687" i="1"/>
  <c r="R2687" i="1"/>
  <c r="Q2687" i="1"/>
  <c r="M2687" i="1"/>
  <c r="L2687" i="1"/>
  <c r="V2686" i="1"/>
  <c r="Z2686" i="1" s="1"/>
  <c r="U2686" i="1"/>
  <c r="T2686" i="1"/>
  <c r="W2686" i="1" s="1"/>
  <c r="S2686" i="1"/>
  <c r="R2686" i="1"/>
  <c r="Q2686" i="1"/>
  <c r="M2686" i="1"/>
  <c r="L2686" i="1"/>
  <c r="V2685" i="1"/>
  <c r="U2685" i="1"/>
  <c r="T2685" i="1"/>
  <c r="S2685" i="1"/>
  <c r="R2685" i="1"/>
  <c r="Q2685" i="1"/>
  <c r="M2685" i="1"/>
  <c r="L2685" i="1"/>
  <c r="V2684" i="1"/>
  <c r="Z2684" i="1" s="1"/>
  <c r="U2684" i="1"/>
  <c r="T2684" i="1"/>
  <c r="W2684" i="1" s="1"/>
  <c r="S2684" i="1"/>
  <c r="R2684" i="1"/>
  <c r="Q2684" i="1"/>
  <c r="M2684" i="1"/>
  <c r="L2684" i="1"/>
  <c r="V2683" i="1"/>
  <c r="Z2683" i="1" s="1"/>
  <c r="U2683" i="1"/>
  <c r="T2683" i="1"/>
  <c r="W2683" i="1" s="1"/>
  <c r="S2683" i="1"/>
  <c r="R2683" i="1"/>
  <c r="Q2683" i="1"/>
  <c r="M2683" i="1"/>
  <c r="L2683" i="1"/>
  <c r="V2682" i="1"/>
  <c r="Z2682" i="1" s="1"/>
  <c r="U2682" i="1"/>
  <c r="T2682" i="1"/>
  <c r="S2682" i="1"/>
  <c r="R2682" i="1"/>
  <c r="Q2682" i="1"/>
  <c r="M2682" i="1"/>
  <c r="L2682" i="1"/>
  <c r="V2681" i="1"/>
  <c r="U2681" i="1"/>
  <c r="T2681" i="1"/>
  <c r="W2681" i="1" s="1"/>
  <c r="S2681" i="1"/>
  <c r="R2681" i="1"/>
  <c r="Q2681" i="1"/>
  <c r="M2681" i="1"/>
  <c r="L2681" i="1"/>
  <c r="V2680" i="1"/>
  <c r="Z2680" i="1" s="1"/>
  <c r="U2680" i="1"/>
  <c r="T2680" i="1"/>
  <c r="W2680" i="1" s="1"/>
  <c r="S2680" i="1"/>
  <c r="R2680" i="1"/>
  <c r="Q2680" i="1"/>
  <c r="M2680" i="1"/>
  <c r="L2680" i="1"/>
  <c r="V2679" i="1"/>
  <c r="Z2679" i="1" s="1"/>
  <c r="U2679" i="1"/>
  <c r="T2679" i="1"/>
  <c r="W2679" i="1" s="1"/>
  <c r="S2679" i="1"/>
  <c r="R2679" i="1"/>
  <c r="Q2679" i="1"/>
  <c r="M2679" i="1"/>
  <c r="L2679" i="1"/>
  <c r="V2678" i="1"/>
  <c r="Z2678" i="1" s="1"/>
  <c r="U2678" i="1"/>
  <c r="T2678" i="1"/>
  <c r="S2678" i="1"/>
  <c r="R2678" i="1"/>
  <c r="Q2678" i="1"/>
  <c r="M2678" i="1"/>
  <c r="L2678" i="1"/>
  <c r="V2677" i="1"/>
  <c r="U2677" i="1"/>
  <c r="T2677" i="1"/>
  <c r="S2677" i="1"/>
  <c r="R2677" i="1"/>
  <c r="Q2677" i="1"/>
  <c r="M2677" i="1"/>
  <c r="L2677" i="1"/>
  <c r="V2676" i="1"/>
  <c r="Z2676" i="1" s="1"/>
  <c r="U2676" i="1"/>
  <c r="T2676" i="1"/>
  <c r="W2676" i="1" s="1"/>
  <c r="S2676" i="1"/>
  <c r="R2676" i="1"/>
  <c r="Q2676" i="1"/>
  <c r="M2676" i="1"/>
  <c r="L2676" i="1"/>
  <c r="V2675" i="1"/>
  <c r="Z2675" i="1" s="1"/>
  <c r="U2675" i="1"/>
  <c r="T2675" i="1"/>
  <c r="W2675" i="1" s="1"/>
  <c r="S2675" i="1"/>
  <c r="R2675" i="1"/>
  <c r="Q2675" i="1"/>
  <c r="M2675" i="1"/>
  <c r="L2675" i="1"/>
  <c r="V2674" i="1"/>
  <c r="U2674" i="1"/>
  <c r="T2674" i="1"/>
  <c r="W2674" i="1" s="1"/>
  <c r="S2674" i="1"/>
  <c r="R2674" i="1"/>
  <c r="Q2674" i="1"/>
  <c r="M2674" i="1"/>
  <c r="L2674" i="1"/>
  <c r="V2673" i="1"/>
  <c r="U2673" i="1"/>
  <c r="T2673" i="1"/>
  <c r="W2673" i="1" s="1"/>
  <c r="S2673" i="1"/>
  <c r="R2673" i="1"/>
  <c r="Q2673" i="1"/>
  <c r="M2673" i="1"/>
  <c r="L2673" i="1"/>
  <c r="V2672" i="1"/>
  <c r="Z2672" i="1" s="1"/>
  <c r="U2672" i="1"/>
  <c r="T2672" i="1"/>
  <c r="W2672" i="1" s="1"/>
  <c r="S2672" i="1"/>
  <c r="R2672" i="1"/>
  <c r="Q2672" i="1"/>
  <c r="M2672" i="1"/>
  <c r="L2672" i="1"/>
  <c r="V2671" i="1"/>
  <c r="Z2671" i="1" s="1"/>
  <c r="U2671" i="1"/>
  <c r="T2671" i="1"/>
  <c r="W2671" i="1" s="1"/>
  <c r="S2671" i="1"/>
  <c r="R2671" i="1"/>
  <c r="Q2671" i="1"/>
  <c r="M2671" i="1"/>
  <c r="L2671" i="1"/>
  <c r="V2670" i="1"/>
  <c r="Z2670" i="1" s="1"/>
  <c r="U2670" i="1"/>
  <c r="T2670" i="1"/>
  <c r="W2670" i="1" s="1"/>
  <c r="S2670" i="1"/>
  <c r="R2670" i="1"/>
  <c r="Q2670" i="1"/>
  <c r="M2670" i="1"/>
  <c r="L2670" i="1"/>
  <c r="V2669" i="1"/>
  <c r="U2669" i="1"/>
  <c r="T2669" i="1"/>
  <c r="S2669" i="1"/>
  <c r="R2669" i="1"/>
  <c r="Q2669" i="1"/>
  <c r="M2669" i="1"/>
  <c r="L2669" i="1"/>
  <c r="V2668" i="1"/>
  <c r="Z2668" i="1" s="1"/>
  <c r="U2668" i="1"/>
  <c r="T2668" i="1"/>
  <c r="W2668" i="1" s="1"/>
  <c r="S2668" i="1"/>
  <c r="R2668" i="1"/>
  <c r="Q2668" i="1"/>
  <c r="M2668" i="1"/>
  <c r="L2668" i="1"/>
  <c r="V2667" i="1"/>
  <c r="U2667" i="1"/>
  <c r="T2667" i="1"/>
  <c r="S2667" i="1"/>
  <c r="R2667" i="1"/>
  <c r="Q2667" i="1"/>
  <c r="M2667" i="1"/>
  <c r="L2667" i="1"/>
  <c r="V2666" i="1"/>
  <c r="Z2666" i="1" s="1"/>
  <c r="U2666" i="1"/>
  <c r="T2666" i="1"/>
  <c r="W2666" i="1" s="1"/>
  <c r="S2666" i="1"/>
  <c r="R2666" i="1"/>
  <c r="Q2666" i="1"/>
  <c r="M2666" i="1"/>
  <c r="L2666" i="1"/>
  <c r="V2665" i="1"/>
  <c r="U2665" i="1"/>
  <c r="T2665" i="1"/>
  <c r="S2665" i="1"/>
  <c r="R2665" i="1"/>
  <c r="Q2665" i="1"/>
  <c r="M2665" i="1"/>
  <c r="L2665" i="1"/>
  <c r="V2664" i="1"/>
  <c r="Z2664" i="1" s="1"/>
  <c r="U2664" i="1"/>
  <c r="T2664" i="1"/>
  <c r="W2664" i="1" s="1"/>
  <c r="S2664" i="1"/>
  <c r="R2664" i="1"/>
  <c r="Q2664" i="1"/>
  <c r="M2664" i="1"/>
  <c r="L2664" i="1"/>
  <c r="V2663" i="1"/>
  <c r="Z2663" i="1" s="1"/>
  <c r="U2663" i="1"/>
  <c r="T2663" i="1"/>
  <c r="W2663" i="1" s="1"/>
  <c r="S2663" i="1"/>
  <c r="R2663" i="1"/>
  <c r="Q2663" i="1"/>
  <c r="M2663" i="1"/>
  <c r="L2663" i="1"/>
  <c r="V2662" i="1"/>
  <c r="Z2662" i="1" s="1"/>
  <c r="U2662" i="1"/>
  <c r="T2662" i="1"/>
  <c r="W2662" i="1" s="1"/>
  <c r="S2662" i="1"/>
  <c r="R2662" i="1"/>
  <c r="Q2662" i="1"/>
  <c r="M2662" i="1"/>
  <c r="L2662" i="1"/>
  <c r="V2661" i="1"/>
  <c r="U2661" i="1"/>
  <c r="T2661" i="1"/>
  <c r="S2661" i="1"/>
  <c r="R2661" i="1"/>
  <c r="Q2661" i="1"/>
  <c r="M2661" i="1"/>
  <c r="L2661" i="1"/>
  <c r="V2660" i="1"/>
  <c r="Z2660" i="1" s="1"/>
  <c r="U2660" i="1"/>
  <c r="T2660" i="1"/>
  <c r="W2660" i="1" s="1"/>
  <c r="S2660" i="1"/>
  <c r="R2660" i="1"/>
  <c r="Q2660" i="1"/>
  <c r="M2660" i="1"/>
  <c r="L2660" i="1"/>
  <c r="V2659" i="1"/>
  <c r="U2659" i="1"/>
  <c r="T2659" i="1"/>
  <c r="W2659" i="1" s="1"/>
  <c r="S2659" i="1"/>
  <c r="R2659" i="1"/>
  <c r="Q2659" i="1"/>
  <c r="M2659" i="1"/>
  <c r="L2659" i="1"/>
  <c r="V2658" i="1"/>
  <c r="Z2658" i="1" s="1"/>
  <c r="U2658" i="1"/>
  <c r="T2658" i="1"/>
  <c r="W2658" i="1" s="1"/>
  <c r="S2658" i="1"/>
  <c r="R2658" i="1"/>
  <c r="Q2658" i="1"/>
  <c r="M2658" i="1"/>
  <c r="L2658" i="1"/>
  <c r="V2657" i="1"/>
  <c r="U2657" i="1"/>
  <c r="T2657" i="1"/>
  <c r="S2657" i="1"/>
  <c r="R2657" i="1"/>
  <c r="Q2657" i="1"/>
  <c r="M2657" i="1"/>
  <c r="L2657" i="1"/>
  <c r="V2656" i="1"/>
  <c r="Z2656" i="1" s="1"/>
  <c r="U2656" i="1"/>
  <c r="T2656" i="1"/>
  <c r="W2656" i="1" s="1"/>
  <c r="S2656" i="1"/>
  <c r="R2656" i="1"/>
  <c r="Q2656" i="1"/>
  <c r="M2656" i="1"/>
  <c r="L2656" i="1"/>
  <c r="V2655" i="1"/>
  <c r="Z2655" i="1" s="1"/>
  <c r="U2655" i="1"/>
  <c r="T2655" i="1"/>
  <c r="W2655" i="1" s="1"/>
  <c r="S2655" i="1"/>
  <c r="R2655" i="1"/>
  <c r="Q2655" i="1"/>
  <c r="M2655" i="1"/>
  <c r="L2655" i="1"/>
  <c r="V2654" i="1"/>
  <c r="Z2654" i="1" s="1"/>
  <c r="U2654" i="1"/>
  <c r="T2654" i="1"/>
  <c r="W2654" i="1" s="1"/>
  <c r="S2654" i="1"/>
  <c r="R2654" i="1"/>
  <c r="Q2654" i="1"/>
  <c r="M2654" i="1"/>
  <c r="L2654" i="1"/>
  <c r="V2653" i="1"/>
  <c r="Z2653" i="1" s="1"/>
  <c r="U2653" i="1"/>
  <c r="T2653" i="1"/>
  <c r="S2653" i="1"/>
  <c r="R2653" i="1"/>
  <c r="Q2653" i="1"/>
  <c r="M2653" i="1"/>
  <c r="L2653" i="1"/>
  <c r="V2652" i="1"/>
  <c r="Z2652" i="1" s="1"/>
  <c r="U2652" i="1"/>
  <c r="T2652" i="1"/>
  <c r="W2652" i="1" s="1"/>
  <c r="S2652" i="1"/>
  <c r="R2652" i="1"/>
  <c r="Q2652" i="1"/>
  <c r="M2652" i="1"/>
  <c r="L2652" i="1"/>
  <c r="V2651" i="1"/>
  <c r="Z2651" i="1" s="1"/>
  <c r="U2651" i="1"/>
  <c r="T2651" i="1"/>
  <c r="W2651" i="1" s="1"/>
  <c r="S2651" i="1"/>
  <c r="R2651" i="1"/>
  <c r="Q2651" i="1"/>
  <c r="M2651" i="1"/>
  <c r="L2651" i="1"/>
  <c r="V2650" i="1"/>
  <c r="U2650" i="1"/>
  <c r="T2650" i="1"/>
  <c r="W2650" i="1" s="1"/>
  <c r="S2650" i="1"/>
  <c r="R2650" i="1"/>
  <c r="Q2650" i="1"/>
  <c r="M2650" i="1"/>
  <c r="L2650" i="1"/>
  <c r="V2649" i="1"/>
  <c r="Z2649" i="1" s="1"/>
  <c r="U2649" i="1"/>
  <c r="T2649" i="1"/>
  <c r="W2649" i="1" s="1"/>
  <c r="S2649" i="1"/>
  <c r="R2649" i="1"/>
  <c r="Q2649" i="1"/>
  <c r="M2649" i="1"/>
  <c r="L2649" i="1"/>
  <c r="V2648" i="1"/>
  <c r="Z2648" i="1" s="1"/>
  <c r="U2648" i="1"/>
  <c r="T2648" i="1"/>
  <c r="W2648" i="1" s="1"/>
  <c r="S2648" i="1"/>
  <c r="R2648" i="1"/>
  <c r="Q2648" i="1"/>
  <c r="M2648" i="1"/>
  <c r="L2648" i="1"/>
  <c r="V2647" i="1"/>
  <c r="Z2647" i="1" s="1"/>
  <c r="U2647" i="1"/>
  <c r="T2647" i="1"/>
  <c r="W2647" i="1" s="1"/>
  <c r="S2647" i="1"/>
  <c r="R2647" i="1"/>
  <c r="Q2647" i="1"/>
  <c r="M2647" i="1"/>
  <c r="L2647" i="1"/>
  <c r="V2646" i="1"/>
  <c r="U2646" i="1"/>
  <c r="T2646" i="1"/>
  <c r="S2646" i="1"/>
  <c r="R2646" i="1"/>
  <c r="Q2646" i="1"/>
  <c r="M2646" i="1"/>
  <c r="L2646" i="1"/>
  <c r="V2645" i="1"/>
  <c r="U2645" i="1"/>
  <c r="T2645" i="1"/>
  <c r="W2645" i="1" s="1"/>
  <c r="S2645" i="1"/>
  <c r="R2645" i="1"/>
  <c r="Q2645" i="1"/>
  <c r="M2645" i="1"/>
  <c r="L2645" i="1"/>
  <c r="V2644" i="1"/>
  <c r="Z2644" i="1" s="1"/>
  <c r="U2644" i="1"/>
  <c r="T2644" i="1"/>
  <c r="W2644" i="1" s="1"/>
  <c r="S2644" i="1"/>
  <c r="R2644" i="1"/>
  <c r="Q2644" i="1"/>
  <c r="M2644" i="1"/>
  <c r="L2644" i="1"/>
  <c r="V2643" i="1"/>
  <c r="U2643" i="1"/>
  <c r="T2643" i="1"/>
  <c r="W2643" i="1" s="1"/>
  <c r="S2643" i="1"/>
  <c r="R2643" i="1"/>
  <c r="Q2643" i="1"/>
  <c r="M2643" i="1"/>
  <c r="L2643" i="1"/>
  <c r="V2642" i="1"/>
  <c r="Z2642" i="1" s="1"/>
  <c r="U2642" i="1"/>
  <c r="T2642" i="1"/>
  <c r="S2642" i="1"/>
  <c r="R2642" i="1"/>
  <c r="Q2642" i="1"/>
  <c r="M2642" i="1"/>
  <c r="L2642" i="1"/>
  <c r="V2641" i="1"/>
  <c r="Z2641" i="1" s="1"/>
  <c r="U2641" i="1"/>
  <c r="T2641" i="1"/>
  <c r="S2641" i="1"/>
  <c r="R2641" i="1"/>
  <c r="Q2641" i="1"/>
  <c r="M2641" i="1"/>
  <c r="L2641" i="1"/>
  <c r="V2640" i="1"/>
  <c r="Z2640" i="1" s="1"/>
  <c r="U2640" i="1"/>
  <c r="T2640" i="1"/>
  <c r="W2640" i="1" s="1"/>
  <c r="S2640" i="1"/>
  <c r="R2640" i="1"/>
  <c r="Q2640" i="1"/>
  <c r="M2640" i="1"/>
  <c r="L2640" i="1"/>
  <c r="V2639" i="1"/>
  <c r="U2639" i="1"/>
  <c r="T2639" i="1"/>
  <c r="S2639" i="1"/>
  <c r="R2639" i="1"/>
  <c r="Q2639" i="1"/>
  <c r="M2639" i="1"/>
  <c r="L2639" i="1"/>
  <c r="V2638" i="1"/>
  <c r="Z2638" i="1" s="1"/>
  <c r="U2638" i="1"/>
  <c r="T2638" i="1"/>
  <c r="W2638" i="1" s="1"/>
  <c r="S2638" i="1"/>
  <c r="R2638" i="1"/>
  <c r="Q2638" i="1"/>
  <c r="M2638" i="1"/>
  <c r="L2638" i="1"/>
  <c r="V2637" i="1"/>
  <c r="Z2637" i="1" s="1"/>
  <c r="U2637" i="1"/>
  <c r="T2637" i="1"/>
  <c r="W2637" i="1" s="1"/>
  <c r="S2637" i="1"/>
  <c r="R2637" i="1"/>
  <c r="Q2637" i="1"/>
  <c r="M2637" i="1"/>
  <c r="L2637" i="1"/>
  <c r="V2636" i="1"/>
  <c r="U2636" i="1"/>
  <c r="T2636" i="1"/>
  <c r="W2636" i="1" s="1"/>
  <c r="S2636" i="1"/>
  <c r="R2636" i="1"/>
  <c r="Q2636" i="1"/>
  <c r="M2636" i="1"/>
  <c r="L2636" i="1"/>
  <c r="V2635" i="1"/>
  <c r="Z2635" i="1" s="1"/>
  <c r="U2635" i="1"/>
  <c r="T2635" i="1"/>
  <c r="S2635" i="1"/>
  <c r="R2635" i="1"/>
  <c r="Q2635" i="1"/>
  <c r="M2635" i="1"/>
  <c r="L2635" i="1"/>
  <c r="V2634" i="1"/>
  <c r="U2634" i="1"/>
  <c r="T2634" i="1"/>
  <c r="W2634" i="1" s="1"/>
  <c r="S2634" i="1"/>
  <c r="R2634" i="1"/>
  <c r="Q2634" i="1"/>
  <c r="M2634" i="1"/>
  <c r="L2634" i="1"/>
  <c r="V2633" i="1"/>
  <c r="Z2633" i="1" s="1"/>
  <c r="U2633" i="1"/>
  <c r="T2633" i="1"/>
  <c r="S2633" i="1"/>
  <c r="R2633" i="1"/>
  <c r="Q2633" i="1"/>
  <c r="M2633" i="1"/>
  <c r="L2633" i="1"/>
  <c r="V2632" i="1"/>
  <c r="U2632" i="1"/>
  <c r="T2632" i="1"/>
  <c r="W2632" i="1" s="1"/>
  <c r="S2632" i="1"/>
  <c r="R2632" i="1"/>
  <c r="Q2632" i="1"/>
  <c r="M2632" i="1"/>
  <c r="L2632" i="1"/>
  <c r="V2631" i="1"/>
  <c r="Z2631" i="1" s="1"/>
  <c r="U2631" i="1"/>
  <c r="T2631" i="1"/>
  <c r="W2631" i="1" s="1"/>
  <c r="S2631" i="1"/>
  <c r="R2631" i="1"/>
  <c r="Q2631" i="1"/>
  <c r="M2631" i="1"/>
  <c r="L2631" i="1"/>
  <c r="V2630" i="1"/>
  <c r="Z2630" i="1" s="1"/>
  <c r="U2630" i="1"/>
  <c r="T2630" i="1"/>
  <c r="W2630" i="1" s="1"/>
  <c r="S2630" i="1"/>
  <c r="R2630" i="1"/>
  <c r="Q2630" i="1"/>
  <c r="M2630" i="1"/>
  <c r="L2630" i="1"/>
  <c r="V2629" i="1"/>
  <c r="Z2629" i="1" s="1"/>
  <c r="U2629" i="1"/>
  <c r="T2629" i="1"/>
  <c r="S2629" i="1"/>
  <c r="R2629" i="1"/>
  <c r="Q2629" i="1"/>
  <c r="M2629" i="1"/>
  <c r="L2629" i="1"/>
  <c r="V2628" i="1"/>
  <c r="Z2628" i="1" s="1"/>
  <c r="U2628" i="1"/>
  <c r="T2628" i="1"/>
  <c r="W2628" i="1" s="1"/>
  <c r="S2628" i="1"/>
  <c r="R2628" i="1"/>
  <c r="Q2628" i="1"/>
  <c r="M2628" i="1"/>
  <c r="L2628" i="1"/>
  <c r="V2627" i="1"/>
  <c r="Z2627" i="1" s="1"/>
  <c r="U2627" i="1"/>
  <c r="T2627" i="1"/>
  <c r="W2627" i="1" s="1"/>
  <c r="S2627" i="1"/>
  <c r="R2627" i="1"/>
  <c r="Q2627" i="1"/>
  <c r="M2627" i="1"/>
  <c r="L2627" i="1"/>
  <c r="V2626" i="1"/>
  <c r="Z2626" i="1" s="1"/>
  <c r="U2626" i="1"/>
  <c r="T2626" i="1"/>
  <c r="W2626" i="1" s="1"/>
  <c r="S2626" i="1"/>
  <c r="R2626" i="1"/>
  <c r="Q2626" i="1"/>
  <c r="M2626" i="1"/>
  <c r="L2626" i="1"/>
  <c r="V2625" i="1"/>
  <c r="U2625" i="1"/>
  <c r="T2625" i="1"/>
  <c r="S2625" i="1"/>
  <c r="R2625" i="1"/>
  <c r="Q2625" i="1"/>
  <c r="M2625" i="1"/>
  <c r="L2625" i="1"/>
  <c r="V2624" i="1"/>
  <c r="Z2624" i="1" s="1"/>
  <c r="U2624" i="1"/>
  <c r="T2624" i="1"/>
  <c r="W2624" i="1" s="1"/>
  <c r="S2624" i="1"/>
  <c r="R2624" i="1"/>
  <c r="Q2624" i="1"/>
  <c r="M2624" i="1"/>
  <c r="L2624" i="1"/>
  <c r="V2623" i="1"/>
  <c r="Z2623" i="1" s="1"/>
  <c r="U2623" i="1"/>
  <c r="T2623" i="1"/>
  <c r="S2623" i="1"/>
  <c r="R2623" i="1"/>
  <c r="Q2623" i="1"/>
  <c r="M2623" i="1"/>
  <c r="L2623" i="1"/>
  <c r="V2622" i="1"/>
  <c r="Z2622" i="1" s="1"/>
  <c r="U2622" i="1"/>
  <c r="T2622" i="1"/>
  <c r="W2622" i="1" s="1"/>
  <c r="S2622" i="1"/>
  <c r="R2622" i="1"/>
  <c r="Q2622" i="1"/>
  <c r="M2622" i="1"/>
  <c r="L2622" i="1"/>
  <c r="V2621" i="1"/>
  <c r="Z2621" i="1" s="1"/>
  <c r="U2621" i="1"/>
  <c r="T2621" i="1"/>
  <c r="S2621" i="1"/>
  <c r="R2621" i="1"/>
  <c r="Q2621" i="1"/>
  <c r="M2621" i="1"/>
  <c r="L2621" i="1"/>
  <c r="V2620" i="1"/>
  <c r="U2620" i="1"/>
  <c r="T2620" i="1"/>
  <c r="W2620" i="1" s="1"/>
  <c r="S2620" i="1"/>
  <c r="R2620" i="1"/>
  <c r="Q2620" i="1"/>
  <c r="M2620" i="1"/>
  <c r="L2620" i="1"/>
  <c r="V2619" i="1"/>
  <c r="Z2619" i="1" s="1"/>
  <c r="U2619" i="1"/>
  <c r="T2619" i="1"/>
  <c r="W2619" i="1" s="1"/>
  <c r="S2619" i="1"/>
  <c r="R2619" i="1"/>
  <c r="Q2619" i="1"/>
  <c r="M2619" i="1"/>
  <c r="L2619" i="1"/>
  <c r="V2618" i="1"/>
  <c r="U2618" i="1"/>
  <c r="T2618" i="1"/>
  <c r="W2618" i="1" s="1"/>
  <c r="S2618" i="1"/>
  <c r="R2618" i="1"/>
  <c r="Q2618" i="1"/>
  <c r="M2618" i="1"/>
  <c r="L2618" i="1"/>
  <c r="V2617" i="1"/>
  <c r="Z2617" i="1" s="1"/>
  <c r="U2617" i="1"/>
  <c r="T2617" i="1"/>
  <c r="W2617" i="1" s="1"/>
  <c r="S2617" i="1"/>
  <c r="R2617" i="1"/>
  <c r="Q2617" i="1"/>
  <c r="M2617" i="1"/>
  <c r="L2617" i="1"/>
  <c r="V2616" i="1"/>
  <c r="Z2616" i="1" s="1"/>
  <c r="U2616" i="1"/>
  <c r="T2616" i="1"/>
  <c r="W2616" i="1" s="1"/>
  <c r="S2616" i="1"/>
  <c r="R2616" i="1"/>
  <c r="Q2616" i="1"/>
  <c r="M2616" i="1"/>
  <c r="L2616" i="1"/>
  <c r="V2615" i="1"/>
  <c r="Z2615" i="1" s="1"/>
  <c r="U2615" i="1"/>
  <c r="T2615" i="1"/>
  <c r="W2615" i="1" s="1"/>
  <c r="S2615" i="1"/>
  <c r="R2615" i="1"/>
  <c r="Q2615" i="1"/>
  <c r="M2615" i="1"/>
  <c r="L2615" i="1"/>
  <c r="V2614" i="1"/>
  <c r="U2614" i="1"/>
  <c r="T2614" i="1"/>
  <c r="S2614" i="1"/>
  <c r="R2614" i="1"/>
  <c r="Q2614" i="1"/>
  <c r="M2614" i="1"/>
  <c r="L2614" i="1"/>
  <c r="V2613" i="1"/>
  <c r="U2613" i="1"/>
  <c r="T2613" i="1"/>
  <c r="W2613" i="1" s="1"/>
  <c r="S2613" i="1"/>
  <c r="R2613" i="1"/>
  <c r="Q2613" i="1"/>
  <c r="M2613" i="1"/>
  <c r="L2613" i="1"/>
  <c r="V2612" i="1"/>
  <c r="Z2612" i="1" s="1"/>
  <c r="U2612" i="1"/>
  <c r="T2612" i="1"/>
  <c r="W2612" i="1" s="1"/>
  <c r="S2612" i="1"/>
  <c r="R2612" i="1"/>
  <c r="Q2612" i="1"/>
  <c r="M2612" i="1"/>
  <c r="L2612" i="1"/>
  <c r="V2611" i="1"/>
  <c r="U2611" i="1"/>
  <c r="T2611" i="1"/>
  <c r="W2611" i="1" s="1"/>
  <c r="S2611" i="1"/>
  <c r="R2611" i="1"/>
  <c r="Q2611" i="1"/>
  <c r="M2611" i="1"/>
  <c r="L2611" i="1"/>
  <c r="V2610" i="1"/>
  <c r="Z2610" i="1" s="1"/>
  <c r="U2610" i="1"/>
  <c r="T2610" i="1"/>
  <c r="S2610" i="1"/>
  <c r="R2610" i="1"/>
  <c r="Q2610" i="1"/>
  <c r="M2610" i="1"/>
  <c r="L2610" i="1"/>
  <c r="V2609" i="1"/>
  <c r="Z2609" i="1" s="1"/>
  <c r="U2609" i="1"/>
  <c r="T2609" i="1"/>
  <c r="S2609" i="1"/>
  <c r="R2609" i="1"/>
  <c r="Q2609" i="1"/>
  <c r="M2609" i="1"/>
  <c r="L2609" i="1"/>
  <c r="V2608" i="1"/>
  <c r="Z2608" i="1" s="1"/>
  <c r="U2608" i="1"/>
  <c r="T2608" i="1"/>
  <c r="W2608" i="1" s="1"/>
  <c r="S2608" i="1"/>
  <c r="R2608" i="1"/>
  <c r="Q2608" i="1"/>
  <c r="M2608" i="1"/>
  <c r="L2608" i="1"/>
  <c r="V2607" i="1"/>
  <c r="U2607" i="1"/>
  <c r="T2607" i="1"/>
  <c r="S2607" i="1"/>
  <c r="R2607" i="1"/>
  <c r="Q2607" i="1"/>
  <c r="M2607" i="1"/>
  <c r="L2607" i="1"/>
  <c r="V2606" i="1"/>
  <c r="Z2606" i="1" s="1"/>
  <c r="U2606" i="1"/>
  <c r="T2606" i="1"/>
  <c r="W2606" i="1" s="1"/>
  <c r="S2606" i="1"/>
  <c r="R2606" i="1"/>
  <c r="Q2606" i="1"/>
  <c r="M2606" i="1"/>
  <c r="L2606" i="1"/>
  <c r="V2605" i="1"/>
  <c r="Z2605" i="1" s="1"/>
  <c r="U2605" i="1"/>
  <c r="T2605" i="1"/>
  <c r="W2605" i="1" s="1"/>
  <c r="S2605" i="1"/>
  <c r="R2605" i="1"/>
  <c r="Q2605" i="1"/>
  <c r="M2605" i="1"/>
  <c r="L2605" i="1"/>
  <c r="V2604" i="1"/>
  <c r="U2604" i="1"/>
  <c r="T2604" i="1"/>
  <c r="W2604" i="1" s="1"/>
  <c r="S2604" i="1"/>
  <c r="R2604" i="1"/>
  <c r="Q2604" i="1"/>
  <c r="M2604" i="1"/>
  <c r="L2604" i="1"/>
  <c r="V2603" i="1"/>
  <c r="Z2603" i="1" s="1"/>
  <c r="U2603" i="1"/>
  <c r="T2603" i="1"/>
  <c r="S2603" i="1"/>
  <c r="R2603" i="1"/>
  <c r="Q2603" i="1"/>
  <c r="M2603" i="1"/>
  <c r="L2603" i="1"/>
  <c r="V2602" i="1"/>
  <c r="Z2602" i="1" s="1"/>
  <c r="U2602" i="1"/>
  <c r="T2602" i="1"/>
  <c r="W2602" i="1" s="1"/>
  <c r="S2602" i="1"/>
  <c r="R2602" i="1"/>
  <c r="Q2602" i="1"/>
  <c r="M2602" i="1"/>
  <c r="L2602" i="1"/>
  <c r="V2601" i="1"/>
  <c r="Z2601" i="1" s="1"/>
  <c r="U2601" i="1"/>
  <c r="T2601" i="1"/>
  <c r="S2601" i="1"/>
  <c r="R2601" i="1"/>
  <c r="Q2601" i="1"/>
  <c r="M2601" i="1"/>
  <c r="L2601" i="1"/>
  <c r="V2600" i="1"/>
  <c r="U2600" i="1"/>
  <c r="T2600" i="1"/>
  <c r="W2600" i="1" s="1"/>
  <c r="S2600" i="1"/>
  <c r="R2600" i="1"/>
  <c r="Q2600" i="1"/>
  <c r="M2600" i="1"/>
  <c r="L2600" i="1"/>
  <c r="V2599" i="1"/>
  <c r="Z2599" i="1" s="1"/>
  <c r="U2599" i="1"/>
  <c r="T2599" i="1"/>
  <c r="W2599" i="1" s="1"/>
  <c r="S2599" i="1"/>
  <c r="R2599" i="1"/>
  <c r="Q2599" i="1"/>
  <c r="M2599" i="1"/>
  <c r="L2599" i="1"/>
  <c r="V2598" i="1"/>
  <c r="Z2598" i="1" s="1"/>
  <c r="U2598" i="1"/>
  <c r="T2598" i="1"/>
  <c r="S2598" i="1"/>
  <c r="R2598" i="1"/>
  <c r="Q2598" i="1"/>
  <c r="M2598" i="1"/>
  <c r="L2598" i="1"/>
  <c r="V2597" i="1"/>
  <c r="Z2597" i="1" s="1"/>
  <c r="U2597" i="1"/>
  <c r="T2597" i="1"/>
  <c r="W2597" i="1" s="1"/>
  <c r="S2597" i="1"/>
  <c r="R2597" i="1"/>
  <c r="Q2597" i="1"/>
  <c r="M2597" i="1"/>
  <c r="L2597" i="1"/>
  <c r="V2596" i="1"/>
  <c r="Z2596" i="1" s="1"/>
  <c r="U2596" i="1"/>
  <c r="T2596" i="1"/>
  <c r="W2596" i="1" s="1"/>
  <c r="S2596" i="1"/>
  <c r="R2596" i="1"/>
  <c r="Q2596" i="1"/>
  <c r="M2596" i="1"/>
  <c r="L2596" i="1"/>
  <c r="V2595" i="1"/>
  <c r="Z2595" i="1" s="1"/>
  <c r="U2595" i="1"/>
  <c r="T2595" i="1"/>
  <c r="W2595" i="1" s="1"/>
  <c r="S2595" i="1"/>
  <c r="R2595" i="1"/>
  <c r="Q2595" i="1"/>
  <c r="M2595" i="1"/>
  <c r="L2595" i="1"/>
  <c r="V2594" i="1"/>
  <c r="U2594" i="1"/>
  <c r="T2594" i="1"/>
  <c r="W2594" i="1" s="1"/>
  <c r="S2594" i="1"/>
  <c r="R2594" i="1"/>
  <c r="Q2594" i="1"/>
  <c r="M2594" i="1"/>
  <c r="L2594" i="1"/>
  <c r="V2593" i="1"/>
  <c r="Z2593" i="1" s="1"/>
  <c r="U2593" i="1"/>
  <c r="T2593" i="1"/>
  <c r="W2593" i="1" s="1"/>
  <c r="S2593" i="1"/>
  <c r="R2593" i="1"/>
  <c r="Q2593" i="1"/>
  <c r="M2593" i="1"/>
  <c r="L2593" i="1"/>
  <c r="V2592" i="1"/>
  <c r="Z2592" i="1" s="1"/>
  <c r="U2592" i="1"/>
  <c r="T2592" i="1"/>
  <c r="W2592" i="1" s="1"/>
  <c r="S2592" i="1"/>
  <c r="R2592" i="1"/>
  <c r="Q2592" i="1"/>
  <c r="M2592" i="1"/>
  <c r="L2592" i="1"/>
  <c r="V2591" i="1"/>
  <c r="Z2591" i="1" s="1"/>
  <c r="U2591" i="1"/>
  <c r="T2591" i="1"/>
  <c r="W2591" i="1" s="1"/>
  <c r="S2591" i="1"/>
  <c r="R2591" i="1"/>
  <c r="Q2591" i="1"/>
  <c r="M2591" i="1"/>
  <c r="L2591" i="1"/>
  <c r="V2590" i="1"/>
  <c r="U2590" i="1"/>
  <c r="T2590" i="1"/>
  <c r="W2590" i="1" s="1"/>
  <c r="S2590" i="1"/>
  <c r="R2590" i="1"/>
  <c r="Q2590" i="1"/>
  <c r="M2590" i="1"/>
  <c r="L2590" i="1"/>
  <c r="V2589" i="1"/>
  <c r="Z2589" i="1" s="1"/>
  <c r="U2589" i="1"/>
  <c r="T2589" i="1"/>
  <c r="W2589" i="1" s="1"/>
  <c r="S2589" i="1"/>
  <c r="R2589" i="1"/>
  <c r="Q2589" i="1"/>
  <c r="M2589" i="1"/>
  <c r="L2589" i="1"/>
  <c r="V2588" i="1"/>
  <c r="Z2588" i="1" s="1"/>
  <c r="U2588" i="1"/>
  <c r="T2588" i="1"/>
  <c r="W2588" i="1" s="1"/>
  <c r="S2588" i="1"/>
  <c r="R2588" i="1"/>
  <c r="Q2588" i="1"/>
  <c r="M2588" i="1"/>
  <c r="L2588" i="1"/>
  <c r="V2587" i="1"/>
  <c r="Z2587" i="1" s="1"/>
  <c r="U2587" i="1"/>
  <c r="T2587" i="1"/>
  <c r="W2587" i="1" s="1"/>
  <c r="S2587" i="1"/>
  <c r="R2587" i="1"/>
  <c r="Q2587" i="1"/>
  <c r="M2587" i="1"/>
  <c r="L2587" i="1"/>
  <c r="V2586" i="1"/>
  <c r="U2586" i="1"/>
  <c r="T2586" i="1"/>
  <c r="W2586" i="1" s="1"/>
  <c r="S2586" i="1"/>
  <c r="R2586" i="1"/>
  <c r="Q2586" i="1"/>
  <c r="M2586" i="1"/>
  <c r="L2586" i="1"/>
  <c r="V2585" i="1"/>
  <c r="Z2585" i="1" s="1"/>
  <c r="U2585" i="1"/>
  <c r="T2585" i="1"/>
  <c r="W2585" i="1" s="1"/>
  <c r="S2585" i="1"/>
  <c r="R2585" i="1"/>
  <c r="Q2585" i="1"/>
  <c r="M2585" i="1"/>
  <c r="L2585" i="1"/>
  <c r="V2584" i="1"/>
  <c r="Z2584" i="1" s="1"/>
  <c r="U2584" i="1"/>
  <c r="T2584" i="1"/>
  <c r="W2584" i="1" s="1"/>
  <c r="S2584" i="1"/>
  <c r="R2584" i="1"/>
  <c r="Q2584" i="1"/>
  <c r="M2584" i="1"/>
  <c r="L2584" i="1"/>
  <c r="V2583" i="1"/>
  <c r="Z2583" i="1" s="1"/>
  <c r="U2583" i="1"/>
  <c r="T2583" i="1"/>
  <c r="W2583" i="1" s="1"/>
  <c r="S2583" i="1"/>
  <c r="R2583" i="1"/>
  <c r="Q2583" i="1"/>
  <c r="M2583" i="1"/>
  <c r="L2583" i="1"/>
  <c r="V2582" i="1"/>
  <c r="U2582" i="1"/>
  <c r="T2582" i="1"/>
  <c r="W2582" i="1" s="1"/>
  <c r="S2582" i="1"/>
  <c r="R2582" i="1"/>
  <c r="Q2582" i="1"/>
  <c r="M2582" i="1"/>
  <c r="L2582" i="1"/>
  <c r="V2581" i="1"/>
  <c r="Z2581" i="1" s="1"/>
  <c r="U2581" i="1"/>
  <c r="T2581" i="1"/>
  <c r="W2581" i="1" s="1"/>
  <c r="S2581" i="1"/>
  <c r="R2581" i="1"/>
  <c r="Q2581" i="1"/>
  <c r="M2581" i="1"/>
  <c r="L2581" i="1"/>
  <c r="V2580" i="1"/>
  <c r="Z2580" i="1" s="1"/>
  <c r="U2580" i="1"/>
  <c r="T2580" i="1"/>
  <c r="W2580" i="1" s="1"/>
  <c r="S2580" i="1"/>
  <c r="R2580" i="1"/>
  <c r="Q2580" i="1"/>
  <c r="M2580" i="1"/>
  <c r="L2580" i="1"/>
  <c r="V2579" i="1"/>
  <c r="Z2579" i="1" s="1"/>
  <c r="U2579" i="1"/>
  <c r="T2579" i="1"/>
  <c r="W2579" i="1" s="1"/>
  <c r="S2579" i="1"/>
  <c r="R2579" i="1"/>
  <c r="Q2579" i="1"/>
  <c r="M2579" i="1"/>
  <c r="L2579" i="1"/>
  <c r="V2578" i="1"/>
  <c r="U2578" i="1"/>
  <c r="T2578" i="1"/>
  <c r="W2578" i="1" s="1"/>
  <c r="S2578" i="1"/>
  <c r="R2578" i="1"/>
  <c r="Q2578" i="1"/>
  <c r="M2578" i="1"/>
  <c r="L2578" i="1"/>
  <c r="V2577" i="1"/>
  <c r="Z2577" i="1" s="1"/>
  <c r="U2577" i="1"/>
  <c r="T2577" i="1"/>
  <c r="W2577" i="1" s="1"/>
  <c r="S2577" i="1"/>
  <c r="R2577" i="1"/>
  <c r="Q2577" i="1"/>
  <c r="M2577" i="1"/>
  <c r="L2577" i="1"/>
  <c r="V2576" i="1"/>
  <c r="Z2576" i="1" s="1"/>
  <c r="U2576" i="1"/>
  <c r="T2576" i="1"/>
  <c r="S2576" i="1"/>
  <c r="R2576" i="1"/>
  <c r="Q2576" i="1"/>
  <c r="M2576" i="1"/>
  <c r="L2576" i="1"/>
  <c r="V2575" i="1"/>
  <c r="Z2575" i="1" s="1"/>
  <c r="U2575" i="1"/>
  <c r="T2575" i="1"/>
  <c r="W2575" i="1" s="1"/>
  <c r="S2575" i="1"/>
  <c r="R2575" i="1"/>
  <c r="Q2575" i="1"/>
  <c r="M2575" i="1"/>
  <c r="L2575" i="1"/>
  <c r="V2574" i="1"/>
  <c r="U2574" i="1"/>
  <c r="T2574" i="1"/>
  <c r="W2574" i="1" s="1"/>
  <c r="S2574" i="1"/>
  <c r="R2574" i="1"/>
  <c r="Q2574" i="1"/>
  <c r="M2574" i="1"/>
  <c r="L2574" i="1"/>
  <c r="V2573" i="1"/>
  <c r="Z2573" i="1" s="1"/>
  <c r="U2573" i="1"/>
  <c r="T2573" i="1"/>
  <c r="W2573" i="1" s="1"/>
  <c r="S2573" i="1"/>
  <c r="R2573" i="1"/>
  <c r="Q2573" i="1"/>
  <c r="M2573" i="1"/>
  <c r="L2573" i="1"/>
  <c r="V2572" i="1"/>
  <c r="Z2572" i="1" s="1"/>
  <c r="U2572" i="1"/>
  <c r="T2572" i="1"/>
  <c r="S2572" i="1"/>
  <c r="R2572" i="1"/>
  <c r="Q2572" i="1"/>
  <c r="M2572" i="1"/>
  <c r="L2572" i="1"/>
  <c r="V2571" i="1"/>
  <c r="Z2571" i="1" s="1"/>
  <c r="U2571" i="1"/>
  <c r="T2571" i="1"/>
  <c r="W2571" i="1" s="1"/>
  <c r="S2571" i="1"/>
  <c r="R2571" i="1"/>
  <c r="Q2571" i="1"/>
  <c r="M2571" i="1"/>
  <c r="L2571" i="1"/>
  <c r="V2570" i="1"/>
  <c r="U2570" i="1"/>
  <c r="T2570" i="1"/>
  <c r="W2570" i="1" s="1"/>
  <c r="S2570" i="1"/>
  <c r="R2570" i="1"/>
  <c r="Q2570" i="1"/>
  <c r="M2570" i="1"/>
  <c r="L2570" i="1"/>
  <c r="V2569" i="1"/>
  <c r="Z2569" i="1" s="1"/>
  <c r="U2569" i="1"/>
  <c r="T2569" i="1"/>
  <c r="W2569" i="1" s="1"/>
  <c r="S2569" i="1"/>
  <c r="R2569" i="1"/>
  <c r="Q2569" i="1"/>
  <c r="M2569" i="1"/>
  <c r="L2569" i="1"/>
  <c r="V2568" i="1"/>
  <c r="Z2568" i="1" s="1"/>
  <c r="U2568" i="1"/>
  <c r="T2568" i="1"/>
  <c r="S2568" i="1"/>
  <c r="R2568" i="1"/>
  <c r="Q2568" i="1"/>
  <c r="M2568" i="1"/>
  <c r="L2568" i="1"/>
  <c r="V2567" i="1"/>
  <c r="Z2567" i="1" s="1"/>
  <c r="U2567" i="1"/>
  <c r="T2567" i="1"/>
  <c r="W2567" i="1" s="1"/>
  <c r="S2567" i="1"/>
  <c r="R2567" i="1"/>
  <c r="Q2567" i="1"/>
  <c r="M2567" i="1"/>
  <c r="L2567" i="1"/>
  <c r="V2566" i="1"/>
  <c r="U2566" i="1"/>
  <c r="T2566" i="1"/>
  <c r="W2566" i="1" s="1"/>
  <c r="S2566" i="1"/>
  <c r="R2566" i="1"/>
  <c r="Q2566" i="1"/>
  <c r="M2566" i="1"/>
  <c r="L2566" i="1"/>
  <c r="V2565" i="1"/>
  <c r="Z2565" i="1" s="1"/>
  <c r="U2565" i="1"/>
  <c r="T2565" i="1"/>
  <c r="W2565" i="1" s="1"/>
  <c r="S2565" i="1"/>
  <c r="R2565" i="1"/>
  <c r="Q2565" i="1"/>
  <c r="M2565" i="1"/>
  <c r="L2565" i="1"/>
  <c r="V2564" i="1"/>
  <c r="Z2564" i="1" s="1"/>
  <c r="U2564" i="1"/>
  <c r="T2564" i="1"/>
  <c r="S2564" i="1"/>
  <c r="R2564" i="1"/>
  <c r="Q2564" i="1"/>
  <c r="M2564" i="1"/>
  <c r="L2564" i="1"/>
  <c r="V2563" i="1"/>
  <c r="Z2563" i="1" s="1"/>
  <c r="U2563" i="1"/>
  <c r="T2563" i="1"/>
  <c r="W2563" i="1" s="1"/>
  <c r="S2563" i="1"/>
  <c r="R2563" i="1"/>
  <c r="Q2563" i="1"/>
  <c r="M2563" i="1"/>
  <c r="L2563" i="1"/>
  <c r="V2562" i="1"/>
  <c r="U2562" i="1"/>
  <c r="T2562" i="1"/>
  <c r="W2562" i="1" s="1"/>
  <c r="S2562" i="1"/>
  <c r="R2562" i="1"/>
  <c r="Q2562" i="1"/>
  <c r="M2562" i="1"/>
  <c r="L2562" i="1"/>
  <c r="V2561" i="1"/>
  <c r="Z2561" i="1" s="1"/>
  <c r="U2561" i="1"/>
  <c r="T2561" i="1"/>
  <c r="W2561" i="1" s="1"/>
  <c r="S2561" i="1"/>
  <c r="R2561" i="1"/>
  <c r="Q2561" i="1"/>
  <c r="M2561" i="1"/>
  <c r="L2561" i="1"/>
  <c r="V2560" i="1"/>
  <c r="Z2560" i="1" s="1"/>
  <c r="U2560" i="1"/>
  <c r="T2560" i="1"/>
  <c r="S2560" i="1"/>
  <c r="R2560" i="1"/>
  <c r="Q2560" i="1"/>
  <c r="M2560" i="1"/>
  <c r="L2560" i="1"/>
  <c r="V2559" i="1"/>
  <c r="Z2559" i="1" s="1"/>
  <c r="U2559" i="1"/>
  <c r="T2559" i="1"/>
  <c r="W2559" i="1" s="1"/>
  <c r="S2559" i="1"/>
  <c r="R2559" i="1"/>
  <c r="Q2559" i="1"/>
  <c r="M2559" i="1"/>
  <c r="L2559" i="1"/>
  <c r="V2558" i="1"/>
  <c r="U2558" i="1"/>
  <c r="T2558" i="1"/>
  <c r="W2558" i="1" s="1"/>
  <c r="S2558" i="1"/>
  <c r="R2558" i="1"/>
  <c r="Q2558" i="1"/>
  <c r="M2558" i="1"/>
  <c r="L2558" i="1"/>
  <c r="V2557" i="1"/>
  <c r="Z2557" i="1" s="1"/>
  <c r="U2557" i="1"/>
  <c r="T2557" i="1"/>
  <c r="W2557" i="1" s="1"/>
  <c r="S2557" i="1"/>
  <c r="R2557" i="1"/>
  <c r="Q2557" i="1"/>
  <c r="M2557" i="1"/>
  <c r="L2557" i="1"/>
  <c r="V2556" i="1"/>
  <c r="Z2556" i="1" s="1"/>
  <c r="U2556" i="1"/>
  <c r="T2556" i="1"/>
  <c r="S2556" i="1"/>
  <c r="R2556" i="1"/>
  <c r="Q2556" i="1"/>
  <c r="M2556" i="1"/>
  <c r="L2556" i="1"/>
  <c r="V2555" i="1"/>
  <c r="Z2555" i="1" s="1"/>
  <c r="U2555" i="1"/>
  <c r="T2555" i="1"/>
  <c r="W2555" i="1" s="1"/>
  <c r="S2555" i="1"/>
  <c r="R2555" i="1"/>
  <c r="Q2555" i="1"/>
  <c r="M2555" i="1"/>
  <c r="L2555" i="1"/>
  <c r="V2554" i="1"/>
  <c r="U2554" i="1"/>
  <c r="T2554" i="1"/>
  <c r="W2554" i="1" s="1"/>
  <c r="S2554" i="1"/>
  <c r="R2554" i="1"/>
  <c r="Q2554" i="1"/>
  <c r="M2554" i="1"/>
  <c r="L2554" i="1"/>
  <c r="V2553" i="1"/>
  <c r="Z2553" i="1" s="1"/>
  <c r="U2553" i="1"/>
  <c r="T2553" i="1"/>
  <c r="W2553" i="1" s="1"/>
  <c r="S2553" i="1"/>
  <c r="R2553" i="1"/>
  <c r="Q2553" i="1"/>
  <c r="M2553" i="1"/>
  <c r="L2553" i="1"/>
  <c r="V2552" i="1"/>
  <c r="Z2552" i="1" s="1"/>
  <c r="U2552" i="1"/>
  <c r="T2552" i="1"/>
  <c r="S2552" i="1"/>
  <c r="R2552" i="1"/>
  <c r="Q2552" i="1"/>
  <c r="M2552" i="1"/>
  <c r="L2552" i="1"/>
  <c r="V2551" i="1"/>
  <c r="Z2551" i="1" s="1"/>
  <c r="U2551" i="1"/>
  <c r="T2551" i="1"/>
  <c r="W2551" i="1" s="1"/>
  <c r="S2551" i="1"/>
  <c r="R2551" i="1"/>
  <c r="Q2551" i="1"/>
  <c r="M2551" i="1"/>
  <c r="L2551" i="1"/>
  <c r="V2550" i="1"/>
  <c r="U2550" i="1"/>
  <c r="T2550" i="1"/>
  <c r="W2550" i="1" s="1"/>
  <c r="S2550" i="1"/>
  <c r="R2550" i="1"/>
  <c r="Q2550" i="1"/>
  <c r="M2550" i="1"/>
  <c r="L2550" i="1"/>
  <c r="V2549" i="1"/>
  <c r="Z2549" i="1" s="1"/>
  <c r="U2549" i="1"/>
  <c r="T2549" i="1"/>
  <c r="W2549" i="1" s="1"/>
  <c r="S2549" i="1"/>
  <c r="R2549" i="1"/>
  <c r="Q2549" i="1"/>
  <c r="M2549" i="1"/>
  <c r="L2549" i="1"/>
  <c r="V2548" i="1"/>
  <c r="Z2548" i="1" s="1"/>
  <c r="U2548" i="1"/>
  <c r="T2548" i="1"/>
  <c r="S2548" i="1"/>
  <c r="R2548" i="1"/>
  <c r="Q2548" i="1"/>
  <c r="M2548" i="1"/>
  <c r="L2548" i="1"/>
  <c r="V2547" i="1"/>
  <c r="Z2547" i="1" s="1"/>
  <c r="U2547" i="1"/>
  <c r="T2547" i="1"/>
  <c r="W2547" i="1" s="1"/>
  <c r="S2547" i="1"/>
  <c r="R2547" i="1"/>
  <c r="Q2547" i="1"/>
  <c r="M2547" i="1"/>
  <c r="L2547" i="1"/>
  <c r="V2546" i="1"/>
  <c r="U2546" i="1"/>
  <c r="T2546" i="1"/>
  <c r="W2546" i="1" s="1"/>
  <c r="S2546" i="1"/>
  <c r="R2546" i="1"/>
  <c r="Q2546" i="1"/>
  <c r="M2546" i="1"/>
  <c r="L2546" i="1"/>
  <c r="V2545" i="1"/>
  <c r="Z2545" i="1" s="1"/>
  <c r="U2545" i="1"/>
  <c r="T2545" i="1"/>
  <c r="W2545" i="1" s="1"/>
  <c r="S2545" i="1"/>
  <c r="R2545" i="1"/>
  <c r="Q2545" i="1"/>
  <c r="M2545" i="1"/>
  <c r="L2545" i="1"/>
  <c r="V2544" i="1"/>
  <c r="Z2544" i="1" s="1"/>
  <c r="U2544" i="1"/>
  <c r="T2544" i="1"/>
  <c r="W2544" i="1" s="1"/>
  <c r="S2544" i="1"/>
  <c r="R2544" i="1"/>
  <c r="Q2544" i="1"/>
  <c r="M2544" i="1"/>
  <c r="L2544" i="1"/>
  <c r="V2543" i="1"/>
  <c r="Z2543" i="1" s="1"/>
  <c r="U2543" i="1"/>
  <c r="T2543" i="1"/>
  <c r="S2543" i="1"/>
  <c r="R2543" i="1"/>
  <c r="Q2543" i="1"/>
  <c r="M2543" i="1"/>
  <c r="L2543" i="1"/>
  <c r="V2542" i="1"/>
  <c r="U2542" i="1"/>
  <c r="T2542" i="1"/>
  <c r="W2542" i="1" s="1"/>
  <c r="S2542" i="1"/>
  <c r="R2542" i="1"/>
  <c r="Q2542" i="1"/>
  <c r="M2542" i="1"/>
  <c r="L2542" i="1"/>
  <c r="V2541" i="1"/>
  <c r="Z2541" i="1" s="1"/>
  <c r="U2541" i="1"/>
  <c r="T2541" i="1"/>
  <c r="W2541" i="1" s="1"/>
  <c r="S2541" i="1"/>
  <c r="R2541" i="1"/>
  <c r="Q2541" i="1"/>
  <c r="M2541" i="1"/>
  <c r="L2541" i="1"/>
  <c r="V2540" i="1"/>
  <c r="Z2540" i="1" s="1"/>
  <c r="U2540" i="1"/>
  <c r="T2540" i="1"/>
  <c r="W2540" i="1" s="1"/>
  <c r="S2540" i="1"/>
  <c r="R2540" i="1"/>
  <c r="Q2540" i="1"/>
  <c r="M2540" i="1"/>
  <c r="L2540" i="1"/>
  <c r="V2539" i="1"/>
  <c r="Z2539" i="1" s="1"/>
  <c r="U2539" i="1"/>
  <c r="T2539" i="1"/>
  <c r="W2539" i="1" s="1"/>
  <c r="S2539" i="1"/>
  <c r="R2539" i="1"/>
  <c r="Q2539" i="1"/>
  <c r="M2539" i="1"/>
  <c r="L2539" i="1"/>
  <c r="V2538" i="1"/>
  <c r="U2538" i="1"/>
  <c r="T2538" i="1"/>
  <c r="W2538" i="1" s="1"/>
  <c r="S2538" i="1"/>
  <c r="R2538" i="1"/>
  <c r="Q2538" i="1"/>
  <c r="M2538" i="1"/>
  <c r="L2538" i="1"/>
  <c r="V2537" i="1"/>
  <c r="Z2537" i="1" s="1"/>
  <c r="U2537" i="1"/>
  <c r="T2537" i="1"/>
  <c r="W2537" i="1" s="1"/>
  <c r="S2537" i="1"/>
  <c r="R2537" i="1"/>
  <c r="Q2537" i="1"/>
  <c r="M2537" i="1"/>
  <c r="L2537" i="1"/>
  <c r="V2536" i="1"/>
  <c r="Z2536" i="1" s="1"/>
  <c r="U2536" i="1"/>
  <c r="T2536" i="1"/>
  <c r="W2536" i="1" s="1"/>
  <c r="S2536" i="1"/>
  <c r="R2536" i="1"/>
  <c r="Q2536" i="1"/>
  <c r="M2536" i="1"/>
  <c r="L2536" i="1"/>
  <c r="V2535" i="1"/>
  <c r="Z2535" i="1" s="1"/>
  <c r="U2535" i="1"/>
  <c r="T2535" i="1"/>
  <c r="S2535" i="1"/>
  <c r="R2535" i="1"/>
  <c r="Q2535" i="1"/>
  <c r="M2535" i="1"/>
  <c r="L2535" i="1"/>
  <c r="V2534" i="1"/>
  <c r="U2534" i="1"/>
  <c r="T2534" i="1"/>
  <c r="W2534" i="1" s="1"/>
  <c r="S2534" i="1"/>
  <c r="R2534" i="1"/>
  <c r="Q2534" i="1"/>
  <c r="M2534" i="1"/>
  <c r="L2534" i="1"/>
  <c r="V2533" i="1"/>
  <c r="Z2533" i="1" s="1"/>
  <c r="U2533" i="1"/>
  <c r="T2533" i="1"/>
  <c r="W2533" i="1" s="1"/>
  <c r="S2533" i="1"/>
  <c r="R2533" i="1"/>
  <c r="Q2533" i="1"/>
  <c r="M2533" i="1"/>
  <c r="L2533" i="1"/>
  <c r="V2532" i="1"/>
  <c r="Z2532" i="1" s="1"/>
  <c r="U2532" i="1"/>
  <c r="T2532" i="1"/>
  <c r="W2532" i="1" s="1"/>
  <c r="S2532" i="1"/>
  <c r="R2532" i="1"/>
  <c r="Q2532" i="1"/>
  <c r="M2532" i="1"/>
  <c r="L2532" i="1"/>
  <c r="V2531" i="1"/>
  <c r="Z2531" i="1" s="1"/>
  <c r="U2531" i="1"/>
  <c r="T2531" i="1"/>
  <c r="W2531" i="1" s="1"/>
  <c r="S2531" i="1"/>
  <c r="R2531" i="1"/>
  <c r="Q2531" i="1"/>
  <c r="M2531" i="1"/>
  <c r="L2531" i="1"/>
  <c r="V2530" i="1"/>
  <c r="U2530" i="1"/>
  <c r="T2530" i="1"/>
  <c r="W2530" i="1" s="1"/>
  <c r="S2530" i="1"/>
  <c r="R2530" i="1"/>
  <c r="Q2530" i="1"/>
  <c r="M2530" i="1"/>
  <c r="L2530" i="1"/>
  <c r="V2529" i="1"/>
  <c r="Z2529" i="1" s="1"/>
  <c r="U2529" i="1"/>
  <c r="T2529" i="1"/>
  <c r="W2529" i="1" s="1"/>
  <c r="S2529" i="1"/>
  <c r="R2529" i="1"/>
  <c r="Q2529" i="1"/>
  <c r="M2529" i="1"/>
  <c r="L2529" i="1"/>
  <c r="V2528" i="1"/>
  <c r="Z2528" i="1" s="1"/>
  <c r="U2528" i="1"/>
  <c r="T2528" i="1"/>
  <c r="W2528" i="1" s="1"/>
  <c r="S2528" i="1"/>
  <c r="R2528" i="1"/>
  <c r="Q2528" i="1"/>
  <c r="M2528" i="1"/>
  <c r="L2528" i="1"/>
  <c r="V2527" i="1"/>
  <c r="Z2527" i="1" s="1"/>
  <c r="U2527" i="1"/>
  <c r="T2527" i="1"/>
  <c r="W2527" i="1" s="1"/>
  <c r="S2527" i="1"/>
  <c r="R2527" i="1"/>
  <c r="Q2527" i="1"/>
  <c r="M2527" i="1"/>
  <c r="L2527" i="1"/>
  <c r="V2526" i="1"/>
  <c r="U2526" i="1"/>
  <c r="T2526" i="1"/>
  <c r="W2526" i="1" s="1"/>
  <c r="S2526" i="1"/>
  <c r="R2526" i="1"/>
  <c r="Q2526" i="1"/>
  <c r="M2526" i="1"/>
  <c r="L2526" i="1"/>
  <c r="V2525" i="1"/>
  <c r="Z2525" i="1" s="1"/>
  <c r="U2525" i="1"/>
  <c r="T2525" i="1"/>
  <c r="W2525" i="1" s="1"/>
  <c r="S2525" i="1"/>
  <c r="R2525" i="1"/>
  <c r="Q2525" i="1"/>
  <c r="M2525" i="1"/>
  <c r="L2525" i="1"/>
  <c r="V2524" i="1"/>
  <c r="Z2524" i="1" s="1"/>
  <c r="U2524" i="1"/>
  <c r="T2524" i="1"/>
  <c r="W2524" i="1" s="1"/>
  <c r="S2524" i="1"/>
  <c r="R2524" i="1"/>
  <c r="Q2524" i="1"/>
  <c r="M2524" i="1"/>
  <c r="L2524" i="1"/>
  <c r="V2523" i="1"/>
  <c r="Z2523" i="1" s="1"/>
  <c r="U2523" i="1"/>
  <c r="T2523" i="1"/>
  <c r="W2523" i="1" s="1"/>
  <c r="S2523" i="1"/>
  <c r="R2523" i="1"/>
  <c r="Q2523" i="1"/>
  <c r="M2523" i="1"/>
  <c r="L2523" i="1"/>
  <c r="V2522" i="1"/>
  <c r="U2522" i="1"/>
  <c r="T2522" i="1"/>
  <c r="W2522" i="1" s="1"/>
  <c r="S2522" i="1"/>
  <c r="R2522" i="1"/>
  <c r="Q2522" i="1"/>
  <c r="M2522" i="1"/>
  <c r="L2522" i="1"/>
  <c r="V2521" i="1"/>
  <c r="Z2521" i="1" s="1"/>
  <c r="U2521" i="1"/>
  <c r="T2521" i="1"/>
  <c r="W2521" i="1" s="1"/>
  <c r="S2521" i="1"/>
  <c r="R2521" i="1"/>
  <c r="Q2521" i="1"/>
  <c r="M2521" i="1"/>
  <c r="L2521" i="1"/>
  <c r="V2520" i="1"/>
  <c r="Z2520" i="1" s="1"/>
  <c r="U2520" i="1"/>
  <c r="T2520" i="1"/>
  <c r="W2520" i="1" s="1"/>
  <c r="S2520" i="1"/>
  <c r="R2520" i="1"/>
  <c r="Q2520" i="1"/>
  <c r="M2520" i="1"/>
  <c r="L2520" i="1"/>
  <c r="V2519" i="1"/>
  <c r="Z2519" i="1" s="1"/>
  <c r="U2519" i="1"/>
  <c r="T2519" i="1"/>
  <c r="W2519" i="1" s="1"/>
  <c r="S2519" i="1"/>
  <c r="R2519" i="1"/>
  <c r="Q2519" i="1"/>
  <c r="M2519" i="1"/>
  <c r="L2519" i="1"/>
  <c r="V2518" i="1"/>
  <c r="U2518" i="1"/>
  <c r="T2518" i="1"/>
  <c r="W2518" i="1" s="1"/>
  <c r="S2518" i="1"/>
  <c r="R2518" i="1"/>
  <c r="Q2518" i="1"/>
  <c r="M2518" i="1"/>
  <c r="L2518" i="1"/>
  <c r="V2517" i="1"/>
  <c r="Z2517" i="1" s="1"/>
  <c r="U2517" i="1"/>
  <c r="T2517" i="1"/>
  <c r="W2517" i="1" s="1"/>
  <c r="S2517" i="1"/>
  <c r="R2517" i="1"/>
  <c r="Q2517" i="1"/>
  <c r="M2517" i="1"/>
  <c r="L2517" i="1"/>
  <c r="V2516" i="1"/>
  <c r="Z2516" i="1" s="1"/>
  <c r="U2516" i="1"/>
  <c r="T2516" i="1"/>
  <c r="W2516" i="1" s="1"/>
  <c r="S2516" i="1"/>
  <c r="R2516" i="1"/>
  <c r="Q2516" i="1"/>
  <c r="M2516" i="1"/>
  <c r="L2516" i="1"/>
  <c r="V2515" i="1"/>
  <c r="Z2515" i="1" s="1"/>
  <c r="U2515" i="1"/>
  <c r="T2515" i="1"/>
  <c r="W2515" i="1" s="1"/>
  <c r="S2515" i="1"/>
  <c r="R2515" i="1"/>
  <c r="Q2515" i="1"/>
  <c r="M2515" i="1"/>
  <c r="L2515" i="1"/>
  <c r="V2514" i="1"/>
  <c r="U2514" i="1"/>
  <c r="T2514" i="1"/>
  <c r="W2514" i="1" s="1"/>
  <c r="S2514" i="1"/>
  <c r="R2514" i="1"/>
  <c r="Q2514" i="1"/>
  <c r="M2514" i="1"/>
  <c r="L2514" i="1"/>
  <c r="V2513" i="1"/>
  <c r="Z2513" i="1" s="1"/>
  <c r="U2513" i="1"/>
  <c r="T2513" i="1"/>
  <c r="W2513" i="1" s="1"/>
  <c r="S2513" i="1"/>
  <c r="R2513" i="1"/>
  <c r="Q2513" i="1"/>
  <c r="M2513" i="1"/>
  <c r="L2513" i="1"/>
  <c r="V2512" i="1"/>
  <c r="Z2512" i="1" s="1"/>
  <c r="U2512" i="1"/>
  <c r="T2512" i="1"/>
  <c r="W2512" i="1" s="1"/>
  <c r="S2512" i="1"/>
  <c r="R2512" i="1"/>
  <c r="Q2512" i="1"/>
  <c r="M2512" i="1"/>
  <c r="L2512" i="1"/>
  <c r="V2511" i="1"/>
  <c r="Z2511" i="1" s="1"/>
  <c r="U2511" i="1"/>
  <c r="T2511" i="1"/>
  <c r="W2511" i="1" s="1"/>
  <c r="S2511" i="1"/>
  <c r="R2511" i="1"/>
  <c r="Q2511" i="1"/>
  <c r="M2511" i="1"/>
  <c r="L2511" i="1"/>
  <c r="V2510" i="1"/>
  <c r="U2510" i="1"/>
  <c r="T2510" i="1"/>
  <c r="W2510" i="1" s="1"/>
  <c r="S2510" i="1"/>
  <c r="R2510" i="1"/>
  <c r="Q2510" i="1"/>
  <c r="M2510" i="1"/>
  <c r="L2510" i="1"/>
  <c r="V2509" i="1"/>
  <c r="Z2509" i="1" s="1"/>
  <c r="U2509" i="1"/>
  <c r="T2509" i="1"/>
  <c r="W2509" i="1" s="1"/>
  <c r="S2509" i="1"/>
  <c r="R2509" i="1"/>
  <c r="Q2509" i="1"/>
  <c r="M2509" i="1"/>
  <c r="L2509" i="1"/>
  <c r="V2508" i="1"/>
  <c r="Z2508" i="1" s="1"/>
  <c r="U2508" i="1"/>
  <c r="T2508" i="1"/>
  <c r="W2508" i="1" s="1"/>
  <c r="S2508" i="1"/>
  <c r="R2508" i="1"/>
  <c r="Q2508" i="1"/>
  <c r="M2508" i="1"/>
  <c r="L2508" i="1"/>
  <c r="V2507" i="1"/>
  <c r="Z2507" i="1" s="1"/>
  <c r="U2507" i="1"/>
  <c r="T2507" i="1"/>
  <c r="W2507" i="1" s="1"/>
  <c r="S2507" i="1"/>
  <c r="R2507" i="1"/>
  <c r="Q2507" i="1"/>
  <c r="M2507" i="1"/>
  <c r="L2507" i="1"/>
  <c r="V2506" i="1"/>
  <c r="U2506" i="1"/>
  <c r="T2506" i="1"/>
  <c r="W2506" i="1" s="1"/>
  <c r="S2506" i="1"/>
  <c r="R2506" i="1"/>
  <c r="Q2506" i="1"/>
  <c r="M2506" i="1"/>
  <c r="L2506" i="1"/>
  <c r="V2505" i="1"/>
  <c r="Z2505" i="1" s="1"/>
  <c r="U2505" i="1"/>
  <c r="T2505" i="1"/>
  <c r="W2505" i="1" s="1"/>
  <c r="S2505" i="1"/>
  <c r="R2505" i="1"/>
  <c r="Q2505" i="1"/>
  <c r="M2505" i="1"/>
  <c r="L2505" i="1"/>
  <c r="V2504" i="1"/>
  <c r="Z2504" i="1" s="1"/>
  <c r="U2504" i="1"/>
  <c r="T2504" i="1"/>
  <c r="W2504" i="1" s="1"/>
  <c r="S2504" i="1"/>
  <c r="R2504" i="1"/>
  <c r="Q2504" i="1"/>
  <c r="M2504" i="1"/>
  <c r="L2504" i="1"/>
  <c r="V2503" i="1"/>
  <c r="Z2503" i="1" s="1"/>
  <c r="U2503" i="1"/>
  <c r="T2503" i="1"/>
  <c r="W2503" i="1" s="1"/>
  <c r="S2503" i="1"/>
  <c r="R2503" i="1"/>
  <c r="Q2503" i="1"/>
  <c r="M2503" i="1"/>
  <c r="L2503" i="1"/>
  <c r="V2502" i="1"/>
  <c r="U2502" i="1"/>
  <c r="T2502" i="1"/>
  <c r="W2502" i="1" s="1"/>
  <c r="S2502" i="1"/>
  <c r="R2502" i="1"/>
  <c r="Q2502" i="1"/>
  <c r="M2502" i="1"/>
  <c r="L2502" i="1"/>
  <c r="V2501" i="1"/>
  <c r="Z2501" i="1" s="1"/>
  <c r="U2501" i="1"/>
  <c r="T2501" i="1"/>
  <c r="S2501" i="1"/>
  <c r="R2501" i="1"/>
  <c r="Q2501" i="1"/>
  <c r="M2501" i="1"/>
  <c r="L2501" i="1"/>
  <c r="V2500" i="1"/>
  <c r="Z2500" i="1" s="1"/>
  <c r="U2500" i="1"/>
  <c r="T2500" i="1"/>
  <c r="W2500" i="1" s="1"/>
  <c r="S2500" i="1"/>
  <c r="R2500" i="1"/>
  <c r="Q2500" i="1"/>
  <c r="M2500" i="1"/>
  <c r="L2500" i="1"/>
  <c r="V2499" i="1"/>
  <c r="Z2499" i="1" s="1"/>
  <c r="U2499" i="1"/>
  <c r="T2499" i="1"/>
  <c r="W2499" i="1" s="1"/>
  <c r="S2499" i="1"/>
  <c r="R2499" i="1"/>
  <c r="Q2499" i="1"/>
  <c r="M2499" i="1"/>
  <c r="L2499" i="1"/>
  <c r="V2498" i="1"/>
  <c r="U2498" i="1"/>
  <c r="T2498" i="1"/>
  <c r="W2498" i="1" s="1"/>
  <c r="S2498" i="1"/>
  <c r="R2498" i="1"/>
  <c r="Q2498" i="1"/>
  <c r="M2498" i="1"/>
  <c r="L2498" i="1"/>
  <c r="V2497" i="1"/>
  <c r="Z2497" i="1" s="1"/>
  <c r="U2497" i="1"/>
  <c r="T2497" i="1"/>
  <c r="S2497" i="1"/>
  <c r="R2497" i="1"/>
  <c r="Q2497" i="1"/>
  <c r="M2497" i="1"/>
  <c r="L2497" i="1"/>
  <c r="V2496" i="1"/>
  <c r="Z2496" i="1" s="1"/>
  <c r="U2496" i="1"/>
  <c r="T2496" i="1"/>
  <c r="W2496" i="1" s="1"/>
  <c r="S2496" i="1"/>
  <c r="R2496" i="1"/>
  <c r="Q2496" i="1"/>
  <c r="M2496" i="1"/>
  <c r="L2496" i="1"/>
  <c r="V2495" i="1"/>
  <c r="Z2495" i="1" s="1"/>
  <c r="U2495" i="1"/>
  <c r="T2495" i="1"/>
  <c r="W2495" i="1" s="1"/>
  <c r="S2495" i="1"/>
  <c r="R2495" i="1"/>
  <c r="Q2495" i="1"/>
  <c r="M2495" i="1"/>
  <c r="L2495" i="1"/>
  <c r="V2494" i="1"/>
  <c r="U2494" i="1"/>
  <c r="T2494" i="1"/>
  <c r="W2494" i="1" s="1"/>
  <c r="S2494" i="1"/>
  <c r="R2494" i="1"/>
  <c r="Q2494" i="1"/>
  <c r="M2494" i="1"/>
  <c r="L2494" i="1"/>
  <c r="V2493" i="1"/>
  <c r="Z2493" i="1" s="1"/>
  <c r="U2493" i="1"/>
  <c r="T2493" i="1"/>
  <c r="W2493" i="1" s="1"/>
  <c r="S2493" i="1"/>
  <c r="R2493" i="1"/>
  <c r="Q2493" i="1"/>
  <c r="M2493" i="1"/>
  <c r="L2493" i="1"/>
  <c r="V2492" i="1"/>
  <c r="Z2492" i="1" s="1"/>
  <c r="U2492" i="1"/>
  <c r="T2492" i="1"/>
  <c r="W2492" i="1" s="1"/>
  <c r="S2492" i="1"/>
  <c r="R2492" i="1"/>
  <c r="Q2492" i="1"/>
  <c r="M2492" i="1"/>
  <c r="L2492" i="1"/>
  <c r="V2491" i="1"/>
  <c r="Z2491" i="1" s="1"/>
  <c r="U2491" i="1"/>
  <c r="T2491" i="1"/>
  <c r="S2491" i="1"/>
  <c r="R2491" i="1"/>
  <c r="Q2491" i="1"/>
  <c r="M2491" i="1"/>
  <c r="L2491" i="1"/>
  <c r="V2490" i="1"/>
  <c r="U2490" i="1"/>
  <c r="T2490" i="1"/>
  <c r="W2490" i="1" s="1"/>
  <c r="S2490" i="1"/>
  <c r="R2490" i="1"/>
  <c r="Q2490" i="1"/>
  <c r="M2490" i="1"/>
  <c r="L2490" i="1"/>
  <c r="V2489" i="1"/>
  <c r="Z2489" i="1" s="1"/>
  <c r="U2489" i="1"/>
  <c r="T2489" i="1"/>
  <c r="W2489" i="1" s="1"/>
  <c r="S2489" i="1"/>
  <c r="R2489" i="1"/>
  <c r="Q2489" i="1"/>
  <c r="M2489" i="1"/>
  <c r="L2489" i="1"/>
  <c r="V2488" i="1"/>
  <c r="Z2488" i="1" s="1"/>
  <c r="U2488" i="1"/>
  <c r="T2488" i="1"/>
  <c r="W2488" i="1" s="1"/>
  <c r="S2488" i="1"/>
  <c r="R2488" i="1"/>
  <c r="Q2488" i="1"/>
  <c r="M2488" i="1"/>
  <c r="L2488" i="1"/>
  <c r="V2487" i="1"/>
  <c r="Z2487" i="1" s="1"/>
  <c r="U2487" i="1"/>
  <c r="T2487" i="1"/>
  <c r="S2487" i="1"/>
  <c r="R2487" i="1"/>
  <c r="Q2487" i="1"/>
  <c r="M2487" i="1"/>
  <c r="L2487" i="1"/>
  <c r="V2486" i="1"/>
  <c r="U2486" i="1"/>
  <c r="T2486" i="1"/>
  <c r="W2486" i="1" s="1"/>
  <c r="S2486" i="1"/>
  <c r="R2486" i="1"/>
  <c r="Q2486" i="1"/>
  <c r="M2486" i="1"/>
  <c r="L2486" i="1"/>
  <c r="V2485" i="1"/>
  <c r="Z2485" i="1" s="1"/>
  <c r="U2485" i="1"/>
  <c r="T2485" i="1"/>
  <c r="W2485" i="1" s="1"/>
  <c r="S2485" i="1"/>
  <c r="R2485" i="1"/>
  <c r="Q2485" i="1"/>
  <c r="M2485" i="1"/>
  <c r="L2485" i="1"/>
  <c r="V2484" i="1"/>
  <c r="Z2484" i="1" s="1"/>
  <c r="U2484" i="1"/>
  <c r="T2484" i="1"/>
  <c r="W2484" i="1" s="1"/>
  <c r="S2484" i="1"/>
  <c r="R2484" i="1"/>
  <c r="Q2484" i="1"/>
  <c r="M2484" i="1"/>
  <c r="L2484" i="1"/>
  <c r="V2483" i="1"/>
  <c r="Z2483" i="1" s="1"/>
  <c r="U2483" i="1"/>
  <c r="T2483" i="1"/>
  <c r="S2483" i="1"/>
  <c r="R2483" i="1"/>
  <c r="Q2483" i="1"/>
  <c r="M2483" i="1"/>
  <c r="L2483" i="1"/>
  <c r="V2482" i="1"/>
  <c r="U2482" i="1"/>
  <c r="T2482" i="1"/>
  <c r="W2482" i="1" s="1"/>
  <c r="S2482" i="1"/>
  <c r="R2482" i="1"/>
  <c r="Q2482" i="1"/>
  <c r="M2482" i="1"/>
  <c r="L2482" i="1"/>
  <c r="V2481" i="1"/>
  <c r="Z2481" i="1" s="1"/>
  <c r="U2481" i="1"/>
  <c r="T2481" i="1"/>
  <c r="W2481" i="1" s="1"/>
  <c r="S2481" i="1"/>
  <c r="R2481" i="1"/>
  <c r="Q2481" i="1"/>
  <c r="M2481" i="1"/>
  <c r="L2481" i="1"/>
  <c r="V2480" i="1"/>
  <c r="Z2480" i="1" s="1"/>
  <c r="U2480" i="1"/>
  <c r="T2480" i="1"/>
  <c r="W2480" i="1" s="1"/>
  <c r="S2480" i="1"/>
  <c r="R2480" i="1"/>
  <c r="Q2480" i="1"/>
  <c r="M2480" i="1"/>
  <c r="L2480" i="1"/>
  <c r="V2479" i="1"/>
  <c r="Z2479" i="1" s="1"/>
  <c r="U2479" i="1"/>
  <c r="T2479" i="1"/>
  <c r="W2479" i="1" s="1"/>
  <c r="S2479" i="1"/>
  <c r="R2479" i="1"/>
  <c r="Q2479" i="1"/>
  <c r="M2479" i="1"/>
  <c r="L2479" i="1"/>
  <c r="V2478" i="1"/>
  <c r="U2478" i="1"/>
  <c r="T2478" i="1"/>
  <c r="W2478" i="1" s="1"/>
  <c r="S2478" i="1"/>
  <c r="R2478" i="1"/>
  <c r="Q2478" i="1"/>
  <c r="M2478" i="1"/>
  <c r="L2478" i="1"/>
  <c r="V2477" i="1"/>
  <c r="Z2477" i="1" s="1"/>
  <c r="U2477" i="1"/>
  <c r="T2477" i="1"/>
  <c r="S2477" i="1"/>
  <c r="R2477" i="1"/>
  <c r="Q2477" i="1"/>
  <c r="M2477" i="1"/>
  <c r="L2477" i="1"/>
  <c r="V2476" i="1"/>
  <c r="Z2476" i="1" s="1"/>
  <c r="U2476" i="1"/>
  <c r="T2476" i="1"/>
  <c r="W2476" i="1" s="1"/>
  <c r="S2476" i="1"/>
  <c r="R2476" i="1"/>
  <c r="Q2476" i="1"/>
  <c r="M2476" i="1"/>
  <c r="L2476" i="1"/>
  <c r="V2475" i="1"/>
  <c r="Z2475" i="1" s="1"/>
  <c r="U2475" i="1"/>
  <c r="T2475" i="1"/>
  <c r="S2475" i="1"/>
  <c r="R2475" i="1"/>
  <c r="Q2475" i="1"/>
  <c r="M2475" i="1"/>
  <c r="L2475" i="1"/>
  <c r="V2474" i="1"/>
  <c r="U2474" i="1"/>
  <c r="T2474" i="1"/>
  <c r="W2474" i="1" s="1"/>
  <c r="S2474" i="1"/>
  <c r="R2474" i="1"/>
  <c r="Q2474" i="1"/>
  <c r="M2474" i="1"/>
  <c r="L2474" i="1"/>
  <c r="V2473" i="1"/>
  <c r="Z2473" i="1" s="1"/>
  <c r="U2473" i="1"/>
  <c r="T2473" i="1"/>
  <c r="S2473" i="1"/>
  <c r="R2473" i="1"/>
  <c r="Q2473" i="1"/>
  <c r="M2473" i="1"/>
  <c r="L2473" i="1"/>
  <c r="V2472" i="1"/>
  <c r="Z2472" i="1" s="1"/>
  <c r="U2472" i="1"/>
  <c r="T2472" i="1"/>
  <c r="W2472" i="1" s="1"/>
  <c r="S2472" i="1"/>
  <c r="R2472" i="1"/>
  <c r="Q2472" i="1"/>
  <c r="M2472" i="1"/>
  <c r="L2472" i="1"/>
  <c r="V2471" i="1"/>
  <c r="Z2471" i="1" s="1"/>
  <c r="U2471" i="1"/>
  <c r="T2471" i="1"/>
  <c r="W2471" i="1" s="1"/>
  <c r="S2471" i="1"/>
  <c r="R2471" i="1"/>
  <c r="Q2471" i="1"/>
  <c r="M2471" i="1"/>
  <c r="L2471" i="1"/>
  <c r="V2470" i="1"/>
  <c r="U2470" i="1"/>
  <c r="T2470" i="1"/>
  <c r="W2470" i="1" s="1"/>
  <c r="S2470" i="1"/>
  <c r="R2470" i="1"/>
  <c r="Q2470" i="1"/>
  <c r="M2470" i="1"/>
  <c r="L2470" i="1"/>
  <c r="V2469" i="1"/>
  <c r="Z2469" i="1" s="1"/>
  <c r="U2469" i="1"/>
  <c r="T2469" i="1"/>
  <c r="S2469" i="1"/>
  <c r="R2469" i="1"/>
  <c r="Q2469" i="1"/>
  <c r="M2469" i="1"/>
  <c r="L2469" i="1"/>
  <c r="V2468" i="1"/>
  <c r="Z2468" i="1" s="1"/>
  <c r="U2468" i="1"/>
  <c r="T2468" i="1"/>
  <c r="W2468" i="1" s="1"/>
  <c r="S2468" i="1"/>
  <c r="R2468" i="1"/>
  <c r="Q2468" i="1"/>
  <c r="M2468" i="1"/>
  <c r="L2468" i="1"/>
  <c r="V2467" i="1"/>
  <c r="Z2467" i="1" s="1"/>
  <c r="U2467" i="1"/>
  <c r="T2467" i="1"/>
  <c r="W2467" i="1" s="1"/>
  <c r="S2467" i="1"/>
  <c r="R2467" i="1"/>
  <c r="Q2467" i="1"/>
  <c r="M2467" i="1"/>
  <c r="L2467" i="1"/>
  <c r="V2466" i="1"/>
  <c r="U2466" i="1"/>
  <c r="T2466" i="1"/>
  <c r="W2466" i="1" s="1"/>
  <c r="S2466" i="1"/>
  <c r="R2466" i="1"/>
  <c r="Q2466" i="1"/>
  <c r="M2466" i="1"/>
  <c r="L2466" i="1"/>
  <c r="V2465" i="1"/>
  <c r="Z2465" i="1" s="1"/>
  <c r="U2465" i="1"/>
  <c r="T2465" i="1"/>
  <c r="W2465" i="1" s="1"/>
  <c r="S2465" i="1"/>
  <c r="R2465" i="1"/>
  <c r="Q2465" i="1"/>
  <c r="M2465" i="1"/>
  <c r="L2465" i="1"/>
  <c r="V2464" i="1"/>
  <c r="Z2464" i="1" s="1"/>
  <c r="U2464" i="1"/>
  <c r="T2464" i="1"/>
  <c r="W2464" i="1" s="1"/>
  <c r="S2464" i="1"/>
  <c r="R2464" i="1"/>
  <c r="Q2464" i="1"/>
  <c r="M2464" i="1"/>
  <c r="L2464" i="1"/>
  <c r="V2463" i="1"/>
  <c r="Z2463" i="1" s="1"/>
  <c r="U2463" i="1"/>
  <c r="T2463" i="1"/>
  <c r="S2463" i="1"/>
  <c r="R2463" i="1"/>
  <c r="Q2463" i="1"/>
  <c r="M2463" i="1"/>
  <c r="L2463" i="1"/>
  <c r="V2462" i="1"/>
  <c r="U2462" i="1"/>
  <c r="T2462" i="1"/>
  <c r="W2462" i="1" s="1"/>
  <c r="S2462" i="1"/>
  <c r="R2462" i="1"/>
  <c r="Q2462" i="1"/>
  <c r="M2462" i="1"/>
  <c r="L2462" i="1"/>
  <c r="V2461" i="1"/>
  <c r="Z2461" i="1" s="1"/>
  <c r="U2461" i="1"/>
  <c r="T2461" i="1"/>
  <c r="S2461" i="1"/>
  <c r="R2461" i="1"/>
  <c r="Q2461" i="1"/>
  <c r="M2461" i="1"/>
  <c r="L2461" i="1"/>
  <c r="V2460" i="1"/>
  <c r="Z2460" i="1" s="1"/>
  <c r="U2460" i="1"/>
  <c r="T2460" i="1"/>
  <c r="W2460" i="1" s="1"/>
  <c r="S2460" i="1"/>
  <c r="R2460" i="1"/>
  <c r="Q2460" i="1"/>
  <c r="M2460" i="1"/>
  <c r="L2460" i="1"/>
  <c r="V2459" i="1"/>
  <c r="Z2459" i="1" s="1"/>
  <c r="U2459" i="1"/>
  <c r="T2459" i="1"/>
  <c r="S2459" i="1"/>
  <c r="R2459" i="1"/>
  <c r="Q2459" i="1"/>
  <c r="M2459" i="1"/>
  <c r="L2459" i="1"/>
  <c r="V2458" i="1"/>
  <c r="U2458" i="1"/>
  <c r="T2458" i="1"/>
  <c r="W2458" i="1" s="1"/>
  <c r="S2458" i="1"/>
  <c r="R2458" i="1"/>
  <c r="Q2458" i="1"/>
  <c r="M2458" i="1"/>
  <c r="L2458" i="1"/>
  <c r="V2457" i="1"/>
  <c r="Z2457" i="1" s="1"/>
  <c r="U2457" i="1"/>
  <c r="T2457" i="1"/>
  <c r="W2457" i="1" s="1"/>
  <c r="S2457" i="1"/>
  <c r="R2457" i="1"/>
  <c r="Q2457" i="1"/>
  <c r="M2457" i="1"/>
  <c r="L2457" i="1"/>
  <c r="V2456" i="1"/>
  <c r="Z2456" i="1" s="1"/>
  <c r="U2456" i="1"/>
  <c r="T2456" i="1"/>
  <c r="W2456" i="1" s="1"/>
  <c r="S2456" i="1"/>
  <c r="R2456" i="1"/>
  <c r="Q2456" i="1"/>
  <c r="M2456" i="1"/>
  <c r="L2456" i="1"/>
  <c r="V2455" i="1"/>
  <c r="Z2455" i="1" s="1"/>
  <c r="U2455" i="1"/>
  <c r="T2455" i="1"/>
  <c r="S2455" i="1"/>
  <c r="R2455" i="1"/>
  <c r="Q2455" i="1"/>
  <c r="M2455" i="1"/>
  <c r="L2455" i="1"/>
  <c r="V2454" i="1"/>
  <c r="U2454" i="1"/>
  <c r="T2454" i="1"/>
  <c r="W2454" i="1" s="1"/>
  <c r="S2454" i="1"/>
  <c r="R2454" i="1"/>
  <c r="Q2454" i="1"/>
  <c r="M2454" i="1"/>
  <c r="L2454" i="1"/>
  <c r="V2453" i="1"/>
  <c r="Z2453" i="1" s="1"/>
  <c r="U2453" i="1"/>
  <c r="T2453" i="1"/>
  <c r="W2453" i="1" s="1"/>
  <c r="S2453" i="1"/>
  <c r="R2453" i="1"/>
  <c r="Q2453" i="1"/>
  <c r="M2453" i="1"/>
  <c r="L2453" i="1"/>
  <c r="V2452" i="1"/>
  <c r="Z2452" i="1" s="1"/>
  <c r="U2452" i="1"/>
  <c r="T2452" i="1"/>
  <c r="W2452" i="1" s="1"/>
  <c r="S2452" i="1"/>
  <c r="R2452" i="1"/>
  <c r="Q2452" i="1"/>
  <c r="M2452" i="1"/>
  <c r="L2452" i="1"/>
  <c r="V2451" i="1"/>
  <c r="Z2451" i="1" s="1"/>
  <c r="U2451" i="1"/>
  <c r="T2451" i="1"/>
  <c r="S2451" i="1"/>
  <c r="R2451" i="1"/>
  <c r="Q2451" i="1"/>
  <c r="M2451" i="1"/>
  <c r="L2451" i="1"/>
  <c r="V2450" i="1"/>
  <c r="U2450" i="1"/>
  <c r="T2450" i="1"/>
  <c r="W2450" i="1" s="1"/>
  <c r="S2450" i="1"/>
  <c r="R2450" i="1"/>
  <c r="Q2450" i="1"/>
  <c r="M2450" i="1"/>
  <c r="L2450" i="1"/>
  <c r="V2449" i="1"/>
  <c r="Z2449" i="1" s="1"/>
  <c r="U2449" i="1"/>
  <c r="T2449" i="1"/>
  <c r="W2449" i="1" s="1"/>
  <c r="S2449" i="1"/>
  <c r="R2449" i="1"/>
  <c r="Q2449" i="1"/>
  <c r="M2449" i="1"/>
  <c r="L2449" i="1"/>
  <c r="V2448" i="1"/>
  <c r="Z2448" i="1" s="1"/>
  <c r="U2448" i="1"/>
  <c r="T2448" i="1"/>
  <c r="W2448" i="1" s="1"/>
  <c r="S2448" i="1"/>
  <c r="R2448" i="1"/>
  <c r="Q2448" i="1"/>
  <c r="M2448" i="1"/>
  <c r="L2448" i="1"/>
  <c r="V2447" i="1"/>
  <c r="Z2447" i="1" s="1"/>
  <c r="U2447" i="1"/>
  <c r="T2447" i="1"/>
  <c r="S2447" i="1"/>
  <c r="R2447" i="1"/>
  <c r="Q2447" i="1"/>
  <c r="M2447" i="1"/>
  <c r="L2447" i="1"/>
  <c r="V2446" i="1"/>
  <c r="U2446" i="1"/>
  <c r="T2446" i="1"/>
  <c r="W2446" i="1" s="1"/>
  <c r="S2446" i="1"/>
  <c r="R2446" i="1"/>
  <c r="Q2446" i="1"/>
  <c r="M2446" i="1"/>
  <c r="L2446" i="1"/>
  <c r="V2445" i="1"/>
  <c r="Z2445" i="1" s="1"/>
  <c r="U2445" i="1"/>
  <c r="T2445" i="1"/>
  <c r="S2445" i="1"/>
  <c r="R2445" i="1"/>
  <c r="Q2445" i="1"/>
  <c r="M2445" i="1"/>
  <c r="L2445" i="1"/>
  <c r="V2444" i="1"/>
  <c r="Z2444" i="1" s="1"/>
  <c r="U2444" i="1"/>
  <c r="T2444" i="1"/>
  <c r="W2444" i="1" s="1"/>
  <c r="S2444" i="1"/>
  <c r="R2444" i="1"/>
  <c r="Q2444" i="1"/>
  <c r="M2444" i="1"/>
  <c r="L2444" i="1"/>
  <c r="V2443" i="1"/>
  <c r="Z2443" i="1" s="1"/>
  <c r="U2443" i="1"/>
  <c r="T2443" i="1"/>
  <c r="W2443" i="1" s="1"/>
  <c r="S2443" i="1"/>
  <c r="R2443" i="1"/>
  <c r="Q2443" i="1"/>
  <c r="M2443" i="1"/>
  <c r="L2443" i="1"/>
  <c r="V2442" i="1"/>
  <c r="U2442" i="1"/>
  <c r="T2442" i="1"/>
  <c r="W2442" i="1" s="1"/>
  <c r="S2442" i="1"/>
  <c r="R2442" i="1"/>
  <c r="Q2442" i="1"/>
  <c r="M2442" i="1"/>
  <c r="L2442" i="1"/>
  <c r="V2441" i="1"/>
  <c r="Z2441" i="1" s="1"/>
  <c r="U2441" i="1"/>
  <c r="T2441" i="1"/>
  <c r="W2441" i="1" s="1"/>
  <c r="S2441" i="1"/>
  <c r="R2441" i="1"/>
  <c r="Q2441" i="1"/>
  <c r="M2441" i="1"/>
  <c r="L2441" i="1"/>
  <c r="V2440" i="1"/>
  <c r="Z2440" i="1" s="1"/>
  <c r="U2440" i="1"/>
  <c r="T2440" i="1"/>
  <c r="W2440" i="1" s="1"/>
  <c r="S2440" i="1"/>
  <c r="R2440" i="1"/>
  <c r="Q2440" i="1"/>
  <c r="M2440" i="1"/>
  <c r="L2440" i="1"/>
  <c r="V2439" i="1"/>
  <c r="Z2439" i="1" s="1"/>
  <c r="U2439" i="1"/>
  <c r="T2439" i="1"/>
  <c r="S2439" i="1"/>
  <c r="R2439" i="1"/>
  <c r="Q2439" i="1"/>
  <c r="M2439" i="1"/>
  <c r="L2439" i="1"/>
  <c r="V2438" i="1"/>
  <c r="U2438" i="1"/>
  <c r="T2438" i="1"/>
  <c r="W2438" i="1" s="1"/>
  <c r="S2438" i="1"/>
  <c r="R2438" i="1"/>
  <c r="Q2438" i="1"/>
  <c r="M2438" i="1"/>
  <c r="L2438" i="1"/>
  <c r="V2437" i="1"/>
  <c r="Z2437" i="1" s="1"/>
  <c r="U2437" i="1"/>
  <c r="T2437" i="1"/>
  <c r="S2437" i="1"/>
  <c r="R2437" i="1"/>
  <c r="Q2437" i="1"/>
  <c r="M2437" i="1"/>
  <c r="L2437" i="1"/>
  <c r="V2436" i="1"/>
  <c r="Z2436" i="1" s="1"/>
  <c r="U2436" i="1"/>
  <c r="T2436" i="1"/>
  <c r="W2436" i="1" s="1"/>
  <c r="S2436" i="1"/>
  <c r="R2436" i="1"/>
  <c r="Q2436" i="1"/>
  <c r="M2436" i="1"/>
  <c r="L2436" i="1"/>
  <c r="V2435" i="1"/>
  <c r="Z2435" i="1" s="1"/>
  <c r="U2435" i="1"/>
  <c r="T2435" i="1"/>
  <c r="W2435" i="1" s="1"/>
  <c r="S2435" i="1"/>
  <c r="R2435" i="1"/>
  <c r="Q2435" i="1"/>
  <c r="M2435" i="1"/>
  <c r="L2435" i="1"/>
  <c r="V2434" i="1"/>
  <c r="U2434" i="1"/>
  <c r="T2434" i="1"/>
  <c r="W2434" i="1" s="1"/>
  <c r="S2434" i="1"/>
  <c r="R2434" i="1"/>
  <c r="Q2434" i="1"/>
  <c r="M2434" i="1"/>
  <c r="L2434" i="1"/>
  <c r="V2433" i="1"/>
  <c r="Z2433" i="1" s="1"/>
  <c r="U2433" i="1"/>
  <c r="T2433" i="1"/>
  <c r="S2433" i="1"/>
  <c r="R2433" i="1"/>
  <c r="Q2433" i="1"/>
  <c r="M2433" i="1"/>
  <c r="L2433" i="1"/>
  <c r="V2432" i="1"/>
  <c r="Z2432" i="1" s="1"/>
  <c r="U2432" i="1"/>
  <c r="T2432" i="1"/>
  <c r="W2432" i="1" s="1"/>
  <c r="S2432" i="1"/>
  <c r="R2432" i="1"/>
  <c r="Q2432" i="1"/>
  <c r="M2432" i="1"/>
  <c r="L2432" i="1"/>
  <c r="V2431" i="1"/>
  <c r="Z2431" i="1" s="1"/>
  <c r="U2431" i="1"/>
  <c r="T2431" i="1"/>
  <c r="W2431" i="1" s="1"/>
  <c r="S2431" i="1"/>
  <c r="R2431" i="1"/>
  <c r="Q2431" i="1"/>
  <c r="M2431" i="1"/>
  <c r="L2431" i="1"/>
  <c r="V2430" i="1"/>
  <c r="U2430" i="1"/>
  <c r="T2430" i="1"/>
  <c r="W2430" i="1" s="1"/>
  <c r="S2430" i="1"/>
  <c r="R2430" i="1"/>
  <c r="Q2430" i="1"/>
  <c r="M2430" i="1"/>
  <c r="L2430" i="1"/>
  <c r="V2429" i="1"/>
  <c r="Z2429" i="1" s="1"/>
  <c r="U2429" i="1"/>
  <c r="T2429" i="1"/>
  <c r="W2429" i="1" s="1"/>
  <c r="S2429" i="1"/>
  <c r="R2429" i="1"/>
  <c r="Q2429" i="1"/>
  <c r="M2429" i="1"/>
  <c r="L2429" i="1"/>
  <c r="V2428" i="1"/>
  <c r="Z2428" i="1" s="1"/>
  <c r="U2428" i="1"/>
  <c r="T2428" i="1"/>
  <c r="W2428" i="1" s="1"/>
  <c r="S2428" i="1"/>
  <c r="R2428" i="1"/>
  <c r="Q2428" i="1"/>
  <c r="M2428" i="1"/>
  <c r="L2428" i="1"/>
  <c r="V2427" i="1"/>
  <c r="Z2427" i="1" s="1"/>
  <c r="U2427" i="1"/>
  <c r="T2427" i="1"/>
  <c r="S2427" i="1"/>
  <c r="R2427" i="1"/>
  <c r="Q2427" i="1"/>
  <c r="M2427" i="1"/>
  <c r="L2427" i="1"/>
  <c r="V2426" i="1"/>
  <c r="U2426" i="1"/>
  <c r="T2426" i="1"/>
  <c r="W2426" i="1" s="1"/>
  <c r="S2426" i="1"/>
  <c r="R2426" i="1"/>
  <c r="Q2426" i="1"/>
  <c r="M2426" i="1"/>
  <c r="L2426" i="1"/>
  <c r="V2425" i="1"/>
  <c r="Z2425" i="1" s="1"/>
  <c r="U2425" i="1"/>
  <c r="T2425" i="1"/>
  <c r="S2425" i="1"/>
  <c r="R2425" i="1"/>
  <c r="Q2425" i="1"/>
  <c r="M2425" i="1"/>
  <c r="L2425" i="1"/>
  <c r="V2424" i="1"/>
  <c r="Z2424" i="1" s="1"/>
  <c r="U2424" i="1"/>
  <c r="T2424" i="1"/>
  <c r="W2424" i="1" s="1"/>
  <c r="S2424" i="1"/>
  <c r="R2424" i="1"/>
  <c r="Q2424" i="1"/>
  <c r="M2424" i="1"/>
  <c r="L2424" i="1"/>
  <c r="V2423" i="1"/>
  <c r="Z2423" i="1" s="1"/>
  <c r="U2423" i="1"/>
  <c r="T2423" i="1"/>
  <c r="S2423" i="1"/>
  <c r="R2423" i="1"/>
  <c r="Q2423" i="1"/>
  <c r="M2423" i="1"/>
  <c r="L2423" i="1"/>
  <c r="V2422" i="1"/>
  <c r="U2422" i="1"/>
  <c r="T2422" i="1"/>
  <c r="W2422" i="1" s="1"/>
  <c r="S2422" i="1"/>
  <c r="R2422" i="1"/>
  <c r="Q2422" i="1"/>
  <c r="M2422" i="1"/>
  <c r="L2422" i="1"/>
  <c r="V2421" i="1"/>
  <c r="Z2421" i="1" s="1"/>
  <c r="U2421" i="1"/>
  <c r="T2421" i="1"/>
  <c r="W2421" i="1" s="1"/>
  <c r="S2421" i="1"/>
  <c r="R2421" i="1"/>
  <c r="Q2421" i="1"/>
  <c r="M2421" i="1"/>
  <c r="L2421" i="1"/>
  <c r="V2420" i="1"/>
  <c r="Z2420" i="1" s="1"/>
  <c r="U2420" i="1"/>
  <c r="T2420" i="1"/>
  <c r="W2420" i="1" s="1"/>
  <c r="S2420" i="1"/>
  <c r="R2420" i="1"/>
  <c r="Q2420" i="1"/>
  <c r="M2420" i="1"/>
  <c r="L2420" i="1"/>
  <c r="V2419" i="1"/>
  <c r="Z2419" i="1" s="1"/>
  <c r="U2419" i="1"/>
  <c r="T2419" i="1"/>
  <c r="S2419" i="1"/>
  <c r="R2419" i="1"/>
  <c r="Q2419" i="1"/>
  <c r="M2419" i="1"/>
  <c r="L2419" i="1"/>
  <c r="V2418" i="1"/>
  <c r="U2418" i="1"/>
  <c r="T2418" i="1"/>
  <c r="W2418" i="1" s="1"/>
  <c r="S2418" i="1"/>
  <c r="R2418" i="1"/>
  <c r="Q2418" i="1"/>
  <c r="M2418" i="1"/>
  <c r="L2418" i="1"/>
  <c r="V2417" i="1"/>
  <c r="Z2417" i="1" s="1"/>
  <c r="U2417" i="1"/>
  <c r="T2417" i="1"/>
  <c r="W2417" i="1" s="1"/>
  <c r="S2417" i="1"/>
  <c r="R2417" i="1"/>
  <c r="Q2417" i="1"/>
  <c r="M2417" i="1"/>
  <c r="L2417" i="1"/>
  <c r="V2416" i="1"/>
  <c r="Z2416" i="1" s="1"/>
  <c r="U2416" i="1"/>
  <c r="T2416" i="1"/>
  <c r="W2416" i="1" s="1"/>
  <c r="S2416" i="1"/>
  <c r="R2416" i="1"/>
  <c r="Q2416" i="1"/>
  <c r="M2416" i="1"/>
  <c r="L2416" i="1"/>
  <c r="V2415" i="1"/>
  <c r="Z2415" i="1" s="1"/>
  <c r="U2415" i="1"/>
  <c r="T2415" i="1"/>
  <c r="W2415" i="1" s="1"/>
  <c r="S2415" i="1"/>
  <c r="R2415" i="1"/>
  <c r="Q2415" i="1"/>
  <c r="M2415" i="1"/>
  <c r="L2415" i="1"/>
  <c r="V2414" i="1"/>
  <c r="U2414" i="1"/>
  <c r="T2414" i="1"/>
  <c r="W2414" i="1" s="1"/>
  <c r="S2414" i="1"/>
  <c r="R2414" i="1"/>
  <c r="Q2414" i="1"/>
  <c r="M2414" i="1"/>
  <c r="L2414" i="1"/>
  <c r="V2413" i="1"/>
  <c r="Z2413" i="1" s="1"/>
  <c r="U2413" i="1"/>
  <c r="T2413" i="1"/>
  <c r="S2413" i="1"/>
  <c r="R2413" i="1"/>
  <c r="Q2413" i="1"/>
  <c r="M2413" i="1"/>
  <c r="L2413" i="1"/>
  <c r="V2412" i="1"/>
  <c r="Z2412" i="1" s="1"/>
  <c r="U2412" i="1"/>
  <c r="T2412" i="1"/>
  <c r="W2412" i="1" s="1"/>
  <c r="S2412" i="1"/>
  <c r="R2412" i="1"/>
  <c r="Q2412" i="1"/>
  <c r="M2412" i="1"/>
  <c r="L2412" i="1"/>
  <c r="V2411" i="1"/>
  <c r="Z2411" i="1" s="1"/>
  <c r="U2411" i="1"/>
  <c r="T2411" i="1"/>
  <c r="S2411" i="1"/>
  <c r="R2411" i="1"/>
  <c r="Q2411" i="1"/>
  <c r="M2411" i="1"/>
  <c r="L2411" i="1"/>
  <c r="V2410" i="1"/>
  <c r="U2410" i="1"/>
  <c r="T2410" i="1"/>
  <c r="W2410" i="1" s="1"/>
  <c r="S2410" i="1"/>
  <c r="R2410" i="1"/>
  <c r="Q2410" i="1"/>
  <c r="M2410" i="1"/>
  <c r="L2410" i="1"/>
  <c r="V2409" i="1"/>
  <c r="Z2409" i="1" s="1"/>
  <c r="U2409" i="1"/>
  <c r="T2409" i="1"/>
  <c r="S2409" i="1"/>
  <c r="R2409" i="1"/>
  <c r="Q2409" i="1"/>
  <c r="M2409" i="1"/>
  <c r="L2409" i="1"/>
  <c r="V2408" i="1"/>
  <c r="Z2408" i="1" s="1"/>
  <c r="U2408" i="1"/>
  <c r="T2408" i="1"/>
  <c r="W2408" i="1" s="1"/>
  <c r="S2408" i="1"/>
  <c r="R2408" i="1"/>
  <c r="Q2408" i="1"/>
  <c r="M2408" i="1"/>
  <c r="L2408" i="1"/>
  <c r="V2407" i="1"/>
  <c r="Z2407" i="1" s="1"/>
  <c r="U2407" i="1"/>
  <c r="T2407" i="1"/>
  <c r="W2407" i="1" s="1"/>
  <c r="S2407" i="1"/>
  <c r="R2407" i="1"/>
  <c r="Q2407" i="1"/>
  <c r="M2407" i="1"/>
  <c r="L2407" i="1"/>
  <c r="V2406" i="1"/>
  <c r="U2406" i="1"/>
  <c r="T2406" i="1"/>
  <c r="W2406" i="1" s="1"/>
  <c r="S2406" i="1"/>
  <c r="R2406" i="1"/>
  <c r="Q2406" i="1"/>
  <c r="M2406" i="1"/>
  <c r="L2406" i="1"/>
  <c r="V2405" i="1"/>
  <c r="Z2405" i="1" s="1"/>
  <c r="U2405" i="1"/>
  <c r="T2405" i="1"/>
  <c r="S2405" i="1"/>
  <c r="R2405" i="1"/>
  <c r="Q2405" i="1"/>
  <c r="M2405" i="1"/>
  <c r="L2405" i="1"/>
  <c r="V2404" i="1"/>
  <c r="Z2404" i="1" s="1"/>
  <c r="U2404" i="1"/>
  <c r="T2404" i="1"/>
  <c r="W2404" i="1" s="1"/>
  <c r="S2404" i="1"/>
  <c r="R2404" i="1"/>
  <c r="Q2404" i="1"/>
  <c r="M2404" i="1"/>
  <c r="L2404" i="1"/>
  <c r="V2403" i="1"/>
  <c r="Z2403" i="1" s="1"/>
  <c r="U2403" i="1"/>
  <c r="T2403" i="1"/>
  <c r="W2403" i="1" s="1"/>
  <c r="S2403" i="1"/>
  <c r="R2403" i="1"/>
  <c r="Q2403" i="1"/>
  <c r="M2403" i="1"/>
  <c r="L2403" i="1"/>
  <c r="V2402" i="1"/>
  <c r="U2402" i="1"/>
  <c r="T2402" i="1"/>
  <c r="W2402" i="1" s="1"/>
  <c r="S2402" i="1"/>
  <c r="R2402" i="1"/>
  <c r="Q2402" i="1"/>
  <c r="M2402" i="1"/>
  <c r="L2402" i="1"/>
  <c r="V2401" i="1"/>
  <c r="Z2401" i="1" s="1"/>
  <c r="U2401" i="1"/>
  <c r="T2401" i="1"/>
  <c r="W2401" i="1" s="1"/>
  <c r="S2401" i="1"/>
  <c r="R2401" i="1"/>
  <c r="Q2401" i="1"/>
  <c r="M2401" i="1"/>
  <c r="L2401" i="1"/>
  <c r="V2400" i="1"/>
  <c r="Z2400" i="1" s="1"/>
  <c r="U2400" i="1"/>
  <c r="T2400" i="1"/>
  <c r="W2400" i="1" s="1"/>
  <c r="S2400" i="1"/>
  <c r="R2400" i="1"/>
  <c r="Q2400" i="1"/>
  <c r="M2400" i="1"/>
  <c r="L2400" i="1"/>
  <c r="V2399" i="1"/>
  <c r="Z2399" i="1" s="1"/>
  <c r="U2399" i="1"/>
  <c r="T2399" i="1"/>
  <c r="S2399" i="1"/>
  <c r="R2399" i="1"/>
  <c r="Q2399" i="1"/>
  <c r="M2399" i="1"/>
  <c r="L2399" i="1"/>
  <c r="V2398" i="1"/>
  <c r="U2398" i="1"/>
  <c r="T2398" i="1"/>
  <c r="W2398" i="1" s="1"/>
  <c r="S2398" i="1"/>
  <c r="R2398" i="1"/>
  <c r="Q2398" i="1"/>
  <c r="M2398" i="1"/>
  <c r="L2398" i="1"/>
  <c r="V2397" i="1"/>
  <c r="Z2397" i="1" s="1"/>
  <c r="U2397" i="1"/>
  <c r="T2397" i="1"/>
  <c r="W2397" i="1" s="1"/>
  <c r="S2397" i="1"/>
  <c r="R2397" i="1"/>
  <c r="Q2397" i="1"/>
  <c r="M2397" i="1"/>
  <c r="L2397" i="1"/>
  <c r="V2396" i="1"/>
  <c r="Z2396" i="1" s="1"/>
  <c r="U2396" i="1"/>
  <c r="T2396" i="1"/>
  <c r="W2396" i="1" s="1"/>
  <c r="S2396" i="1"/>
  <c r="R2396" i="1"/>
  <c r="Q2396" i="1"/>
  <c r="M2396" i="1"/>
  <c r="L2396" i="1"/>
  <c r="V2395" i="1"/>
  <c r="Z2395" i="1" s="1"/>
  <c r="U2395" i="1"/>
  <c r="T2395" i="1"/>
  <c r="S2395" i="1"/>
  <c r="R2395" i="1"/>
  <c r="Q2395" i="1"/>
  <c r="M2395" i="1"/>
  <c r="L2395" i="1"/>
  <c r="V2394" i="1"/>
  <c r="U2394" i="1"/>
  <c r="T2394" i="1"/>
  <c r="W2394" i="1" s="1"/>
  <c r="S2394" i="1"/>
  <c r="R2394" i="1"/>
  <c r="Q2394" i="1"/>
  <c r="M2394" i="1"/>
  <c r="L2394" i="1"/>
  <c r="V2393" i="1"/>
  <c r="Z2393" i="1" s="1"/>
  <c r="U2393" i="1"/>
  <c r="T2393" i="1"/>
  <c r="W2393" i="1" s="1"/>
  <c r="S2393" i="1"/>
  <c r="R2393" i="1"/>
  <c r="Q2393" i="1"/>
  <c r="M2393" i="1"/>
  <c r="L2393" i="1"/>
  <c r="V2392" i="1"/>
  <c r="Z2392" i="1" s="1"/>
  <c r="U2392" i="1"/>
  <c r="T2392" i="1"/>
  <c r="W2392" i="1" s="1"/>
  <c r="S2392" i="1"/>
  <c r="R2392" i="1"/>
  <c r="Q2392" i="1"/>
  <c r="M2392" i="1"/>
  <c r="L2392" i="1"/>
  <c r="V2391" i="1"/>
  <c r="Z2391" i="1" s="1"/>
  <c r="U2391" i="1"/>
  <c r="T2391" i="1"/>
  <c r="S2391" i="1"/>
  <c r="R2391" i="1"/>
  <c r="Q2391" i="1"/>
  <c r="M2391" i="1"/>
  <c r="L2391" i="1"/>
  <c r="V2390" i="1"/>
  <c r="U2390" i="1"/>
  <c r="T2390" i="1"/>
  <c r="W2390" i="1" s="1"/>
  <c r="S2390" i="1"/>
  <c r="R2390" i="1"/>
  <c r="Q2390" i="1"/>
  <c r="M2390" i="1"/>
  <c r="L2390" i="1"/>
  <c r="V2389" i="1"/>
  <c r="Z2389" i="1" s="1"/>
  <c r="U2389" i="1"/>
  <c r="T2389" i="1"/>
  <c r="W2389" i="1" s="1"/>
  <c r="S2389" i="1"/>
  <c r="R2389" i="1"/>
  <c r="Q2389" i="1"/>
  <c r="M2389" i="1"/>
  <c r="L2389" i="1"/>
  <c r="V2388" i="1"/>
  <c r="Z2388" i="1" s="1"/>
  <c r="U2388" i="1"/>
  <c r="T2388" i="1"/>
  <c r="W2388" i="1" s="1"/>
  <c r="S2388" i="1"/>
  <c r="R2388" i="1"/>
  <c r="Q2388" i="1"/>
  <c r="M2388" i="1"/>
  <c r="L2388" i="1"/>
  <c r="V2387" i="1"/>
  <c r="Z2387" i="1" s="1"/>
  <c r="U2387" i="1"/>
  <c r="T2387" i="1"/>
  <c r="S2387" i="1"/>
  <c r="R2387" i="1"/>
  <c r="Q2387" i="1"/>
  <c r="M2387" i="1"/>
  <c r="L2387" i="1"/>
  <c r="V2386" i="1"/>
  <c r="U2386" i="1"/>
  <c r="T2386" i="1"/>
  <c r="W2386" i="1" s="1"/>
  <c r="S2386" i="1"/>
  <c r="R2386" i="1"/>
  <c r="Q2386" i="1"/>
  <c r="M2386" i="1"/>
  <c r="L2386" i="1"/>
  <c r="V2385" i="1"/>
  <c r="Z2385" i="1" s="1"/>
  <c r="U2385" i="1"/>
  <c r="T2385" i="1"/>
  <c r="W2385" i="1" s="1"/>
  <c r="S2385" i="1"/>
  <c r="R2385" i="1"/>
  <c r="Q2385" i="1"/>
  <c r="M2385" i="1"/>
  <c r="L2385" i="1"/>
  <c r="V2384" i="1"/>
  <c r="Z2384" i="1" s="1"/>
  <c r="U2384" i="1"/>
  <c r="T2384" i="1"/>
  <c r="W2384" i="1" s="1"/>
  <c r="S2384" i="1"/>
  <c r="R2384" i="1"/>
  <c r="Q2384" i="1"/>
  <c r="M2384" i="1"/>
  <c r="L2384" i="1"/>
  <c r="V2383" i="1"/>
  <c r="Z2383" i="1" s="1"/>
  <c r="U2383" i="1"/>
  <c r="T2383" i="1"/>
  <c r="S2383" i="1"/>
  <c r="R2383" i="1"/>
  <c r="Q2383" i="1"/>
  <c r="M2383" i="1"/>
  <c r="L2383" i="1"/>
  <c r="V2382" i="1"/>
  <c r="U2382" i="1"/>
  <c r="T2382" i="1"/>
  <c r="W2382" i="1" s="1"/>
  <c r="S2382" i="1"/>
  <c r="R2382" i="1"/>
  <c r="Q2382" i="1"/>
  <c r="M2382" i="1"/>
  <c r="L2382" i="1"/>
  <c r="V2381" i="1"/>
  <c r="Z2381" i="1" s="1"/>
  <c r="U2381" i="1"/>
  <c r="T2381" i="1"/>
  <c r="S2381" i="1"/>
  <c r="R2381" i="1"/>
  <c r="Q2381" i="1"/>
  <c r="M2381" i="1"/>
  <c r="L2381" i="1"/>
  <c r="V2380" i="1"/>
  <c r="Z2380" i="1" s="1"/>
  <c r="U2380" i="1"/>
  <c r="T2380" i="1"/>
  <c r="W2380" i="1" s="1"/>
  <c r="S2380" i="1"/>
  <c r="R2380" i="1"/>
  <c r="Q2380" i="1"/>
  <c r="M2380" i="1"/>
  <c r="L2380" i="1"/>
  <c r="V2379" i="1"/>
  <c r="Z2379" i="1" s="1"/>
  <c r="U2379" i="1"/>
  <c r="T2379" i="1"/>
  <c r="W2379" i="1" s="1"/>
  <c r="S2379" i="1"/>
  <c r="R2379" i="1"/>
  <c r="Q2379" i="1"/>
  <c r="M2379" i="1"/>
  <c r="L2379" i="1"/>
  <c r="V2378" i="1"/>
  <c r="U2378" i="1"/>
  <c r="T2378" i="1"/>
  <c r="W2378" i="1" s="1"/>
  <c r="S2378" i="1"/>
  <c r="R2378" i="1"/>
  <c r="Q2378" i="1"/>
  <c r="M2378" i="1"/>
  <c r="L2378" i="1"/>
  <c r="V2377" i="1"/>
  <c r="Z2377" i="1" s="1"/>
  <c r="U2377" i="1"/>
  <c r="T2377" i="1"/>
  <c r="W2377" i="1" s="1"/>
  <c r="S2377" i="1"/>
  <c r="R2377" i="1"/>
  <c r="Q2377" i="1"/>
  <c r="M2377" i="1"/>
  <c r="L2377" i="1"/>
  <c r="V2376" i="1"/>
  <c r="Z2376" i="1" s="1"/>
  <c r="U2376" i="1"/>
  <c r="T2376" i="1"/>
  <c r="W2376" i="1" s="1"/>
  <c r="S2376" i="1"/>
  <c r="R2376" i="1"/>
  <c r="Q2376" i="1"/>
  <c r="M2376" i="1"/>
  <c r="L2376" i="1"/>
  <c r="V2375" i="1"/>
  <c r="Z2375" i="1" s="1"/>
  <c r="U2375" i="1"/>
  <c r="T2375" i="1"/>
  <c r="S2375" i="1"/>
  <c r="R2375" i="1"/>
  <c r="Q2375" i="1"/>
  <c r="M2375" i="1"/>
  <c r="L2375" i="1"/>
  <c r="V2374" i="1"/>
  <c r="Z2374" i="1" s="1"/>
  <c r="U2374" i="1"/>
  <c r="T2374" i="1"/>
  <c r="W2374" i="1" s="1"/>
  <c r="S2374" i="1"/>
  <c r="R2374" i="1"/>
  <c r="Q2374" i="1"/>
  <c r="M2374" i="1"/>
  <c r="L2374" i="1"/>
  <c r="V2373" i="1"/>
  <c r="Z2373" i="1" s="1"/>
  <c r="U2373" i="1"/>
  <c r="T2373" i="1"/>
  <c r="W2373" i="1" s="1"/>
  <c r="S2373" i="1"/>
  <c r="R2373" i="1"/>
  <c r="Q2373" i="1"/>
  <c r="M2373" i="1"/>
  <c r="L2373" i="1"/>
  <c r="V2372" i="1"/>
  <c r="Z2372" i="1" s="1"/>
  <c r="U2372" i="1"/>
  <c r="T2372" i="1"/>
  <c r="W2372" i="1" s="1"/>
  <c r="S2372" i="1"/>
  <c r="R2372" i="1"/>
  <c r="Q2372" i="1"/>
  <c r="M2372" i="1"/>
  <c r="L2372" i="1"/>
  <c r="V2371" i="1"/>
  <c r="Z2371" i="1" s="1"/>
  <c r="U2371" i="1"/>
  <c r="T2371" i="1"/>
  <c r="S2371" i="1"/>
  <c r="R2371" i="1"/>
  <c r="Q2371" i="1"/>
  <c r="M2371" i="1"/>
  <c r="L2371" i="1"/>
  <c r="V2370" i="1"/>
  <c r="U2370" i="1"/>
  <c r="T2370" i="1"/>
  <c r="W2370" i="1" s="1"/>
  <c r="S2370" i="1"/>
  <c r="R2370" i="1"/>
  <c r="Q2370" i="1"/>
  <c r="M2370" i="1"/>
  <c r="L2370" i="1"/>
  <c r="V2369" i="1"/>
  <c r="Z2369" i="1" s="1"/>
  <c r="U2369" i="1"/>
  <c r="T2369" i="1"/>
  <c r="S2369" i="1"/>
  <c r="R2369" i="1"/>
  <c r="Q2369" i="1"/>
  <c r="M2369" i="1"/>
  <c r="L2369" i="1"/>
  <c r="V2368" i="1"/>
  <c r="Z2368" i="1" s="1"/>
  <c r="U2368" i="1"/>
  <c r="T2368" i="1"/>
  <c r="W2368" i="1" s="1"/>
  <c r="S2368" i="1"/>
  <c r="R2368" i="1"/>
  <c r="Q2368" i="1"/>
  <c r="M2368" i="1"/>
  <c r="L2368" i="1"/>
  <c r="V2367" i="1"/>
  <c r="Z2367" i="1" s="1"/>
  <c r="U2367" i="1"/>
  <c r="T2367" i="1"/>
  <c r="S2367" i="1"/>
  <c r="R2367" i="1"/>
  <c r="Q2367" i="1"/>
  <c r="M2367" i="1"/>
  <c r="L2367" i="1"/>
  <c r="V2366" i="1"/>
  <c r="U2366" i="1"/>
  <c r="T2366" i="1"/>
  <c r="W2366" i="1" s="1"/>
  <c r="S2366" i="1"/>
  <c r="R2366" i="1"/>
  <c r="Q2366" i="1"/>
  <c r="M2366" i="1"/>
  <c r="L2366" i="1"/>
  <c r="V2365" i="1"/>
  <c r="Z2365" i="1" s="1"/>
  <c r="U2365" i="1"/>
  <c r="T2365" i="1"/>
  <c r="W2365" i="1" s="1"/>
  <c r="S2365" i="1"/>
  <c r="R2365" i="1"/>
  <c r="Q2365" i="1"/>
  <c r="M2365" i="1"/>
  <c r="L2365" i="1"/>
  <c r="V2364" i="1"/>
  <c r="Z2364" i="1" s="1"/>
  <c r="U2364" i="1"/>
  <c r="T2364" i="1"/>
  <c r="W2364" i="1" s="1"/>
  <c r="S2364" i="1"/>
  <c r="R2364" i="1"/>
  <c r="Q2364" i="1"/>
  <c r="M2364" i="1"/>
  <c r="L2364" i="1"/>
  <c r="V2363" i="1"/>
  <c r="Z2363" i="1" s="1"/>
  <c r="U2363" i="1"/>
  <c r="T2363" i="1"/>
  <c r="S2363" i="1"/>
  <c r="R2363" i="1"/>
  <c r="Q2363" i="1"/>
  <c r="M2363" i="1"/>
  <c r="L2363" i="1"/>
  <c r="V2362" i="1"/>
  <c r="Z2362" i="1" s="1"/>
  <c r="U2362" i="1"/>
  <c r="T2362" i="1"/>
  <c r="W2362" i="1" s="1"/>
  <c r="S2362" i="1"/>
  <c r="R2362" i="1"/>
  <c r="Q2362" i="1"/>
  <c r="M2362" i="1"/>
  <c r="L2362" i="1"/>
  <c r="V2361" i="1"/>
  <c r="Z2361" i="1" s="1"/>
  <c r="U2361" i="1"/>
  <c r="T2361" i="1"/>
  <c r="S2361" i="1"/>
  <c r="R2361" i="1"/>
  <c r="Q2361" i="1"/>
  <c r="M2361" i="1"/>
  <c r="L2361" i="1"/>
  <c r="V2360" i="1"/>
  <c r="Z2360" i="1" s="1"/>
  <c r="U2360" i="1"/>
  <c r="T2360" i="1"/>
  <c r="W2360" i="1" s="1"/>
  <c r="S2360" i="1"/>
  <c r="R2360" i="1"/>
  <c r="Q2360" i="1"/>
  <c r="M2360" i="1"/>
  <c r="L2360" i="1"/>
  <c r="V2359" i="1"/>
  <c r="Z2359" i="1" s="1"/>
  <c r="U2359" i="1"/>
  <c r="T2359" i="1"/>
  <c r="W2359" i="1" s="1"/>
  <c r="S2359" i="1"/>
  <c r="R2359" i="1"/>
  <c r="Q2359" i="1"/>
  <c r="M2359" i="1"/>
  <c r="L2359" i="1"/>
  <c r="V2358" i="1"/>
  <c r="Z2358" i="1" s="1"/>
  <c r="U2358" i="1"/>
  <c r="T2358" i="1"/>
  <c r="W2358" i="1" s="1"/>
  <c r="S2358" i="1"/>
  <c r="R2358" i="1"/>
  <c r="Q2358" i="1"/>
  <c r="M2358" i="1"/>
  <c r="L2358" i="1"/>
  <c r="V2357" i="1"/>
  <c r="Z2357" i="1" s="1"/>
  <c r="U2357" i="1"/>
  <c r="T2357" i="1"/>
  <c r="S2357" i="1"/>
  <c r="R2357" i="1"/>
  <c r="Q2357" i="1"/>
  <c r="M2357" i="1"/>
  <c r="L2357" i="1"/>
  <c r="V2356" i="1"/>
  <c r="Z2356" i="1" s="1"/>
  <c r="U2356" i="1"/>
  <c r="T2356" i="1"/>
  <c r="W2356" i="1" s="1"/>
  <c r="S2356" i="1"/>
  <c r="R2356" i="1"/>
  <c r="Q2356" i="1"/>
  <c r="M2356" i="1"/>
  <c r="L2356" i="1"/>
  <c r="V2355" i="1"/>
  <c r="Z2355" i="1" s="1"/>
  <c r="U2355" i="1"/>
  <c r="T2355" i="1"/>
  <c r="W2355" i="1" s="1"/>
  <c r="S2355" i="1"/>
  <c r="R2355" i="1"/>
  <c r="Q2355" i="1"/>
  <c r="M2355" i="1"/>
  <c r="L2355" i="1"/>
  <c r="V2354" i="1"/>
  <c r="U2354" i="1"/>
  <c r="T2354" i="1"/>
  <c r="W2354" i="1" s="1"/>
  <c r="S2354" i="1"/>
  <c r="R2354" i="1"/>
  <c r="Q2354" i="1"/>
  <c r="M2354" i="1"/>
  <c r="L2354" i="1"/>
  <c r="V2353" i="1"/>
  <c r="Z2353" i="1" s="1"/>
  <c r="U2353" i="1"/>
  <c r="T2353" i="1"/>
  <c r="W2353" i="1" s="1"/>
  <c r="S2353" i="1"/>
  <c r="R2353" i="1"/>
  <c r="Q2353" i="1"/>
  <c r="M2353" i="1"/>
  <c r="L2353" i="1"/>
  <c r="V2352" i="1"/>
  <c r="Z2352" i="1" s="1"/>
  <c r="U2352" i="1"/>
  <c r="T2352" i="1"/>
  <c r="W2352" i="1" s="1"/>
  <c r="S2352" i="1"/>
  <c r="R2352" i="1"/>
  <c r="Q2352" i="1"/>
  <c r="M2352" i="1"/>
  <c r="L2352" i="1"/>
  <c r="V2351" i="1"/>
  <c r="Z2351" i="1" s="1"/>
  <c r="U2351" i="1"/>
  <c r="T2351" i="1"/>
  <c r="S2351" i="1"/>
  <c r="R2351" i="1"/>
  <c r="Q2351" i="1"/>
  <c r="M2351" i="1"/>
  <c r="L2351" i="1"/>
  <c r="V2350" i="1"/>
  <c r="U2350" i="1"/>
  <c r="T2350" i="1"/>
  <c r="W2350" i="1" s="1"/>
  <c r="S2350" i="1"/>
  <c r="R2350" i="1"/>
  <c r="Q2350" i="1"/>
  <c r="M2350" i="1"/>
  <c r="L2350" i="1"/>
  <c r="V2349" i="1"/>
  <c r="Z2349" i="1" s="1"/>
  <c r="U2349" i="1"/>
  <c r="T2349" i="1"/>
  <c r="W2349" i="1" s="1"/>
  <c r="S2349" i="1"/>
  <c r="R2349" i="1"/>
  <c r="Q2349" i="1"/>
  <c r="M2349" i="1"/>
  <c r="L2349" i="1"/>
  <c r="V2348" i="1"/>
  <c r="Z2348" i="1" s="1"/>
  <c r="U2348" i="1"/>
  <c r="T2348" i="1"/>
  <c r="W2348" i="1" s="1"/>
  <c r="S2348" i="1"/>
  <c r="R2348" i="1"/>
  <c r="Q2348" i="1"/>
  <c r="M2348" i="1"/>
  <c r="L2348" i="1"/>
  <c r="V2347" i="1"/>
  <c r="Z2347" i="1" s="1"/>
  <c r="U2347" i="1"/>
  <c r="T2347" i="1"/>
  <c r="W2347" i="1" s="1"/>
  <c r="S2347" i="1"/>
  <c r="R2347" i="1"/>
  <c r="Q2347" i="1"/>
  <c r="M2347" i="1"/>
  <c r="L2347" i="1"/>
  <c r="V2346" i="1"/>
  <c r="U2346" i="1"/>
  <c r="T2346" i="1"/>
  <c r="W2346" i="1" s="1"/>
  <c r="S2346" i="1"/>
  <c r="R2346" i="1"/>
  <c r="Q2346" i="1"/>
  <c r="M2346" i="1"/>
  <c r="L2346" i="1"/>
  <c r="V2345" i="1"/>
  <c r="Z2345" i="1" s="1"/>
  <c r="U2345" i="1"/>
  <c r="T2345" i="1"/>
  <c r="W2345" i="1" s="1"/>
  <c r="S2345" i="1"/>
  <c r="R2345" i="1"/>
  <c r="Q2345" i="1"/>
  <c r="M2345" i="1"/>
  <c r="L2345" i="1"/>
  <c r="V2344" i="1"/>
  <c r="Z2344" i="1" s="1"/>
  <c r="U2344" i="1"/>
  <c r="T2344" i="1"/>
  <c r="W2344" i="1" s="1"/>
  <c r="S2344" i="1"/>
  <c r="R2344" i="1"/>
  <c r="Q2344" i="1"/>
  <c r="M2344" i="1"/>
  <c r="L2344" i="1"/>
  <c r="V2343" i="1"/>
  <c r="Z2343" i="1" s="1"/>
  <c r="U2343" i="1"/>
  <c r="T2343" i="1"/>
  <c r="S2343" i="1"/>
  <c r="R2343" i="1"/>
  <c r="Q2343" i="1"/>
  <c r="M2343" i="1"/>
  <c r="L2343" i="1"/>
  <c r="V2342" i="1"/>
  <c r="Z2342" i="1" s="1"/>
  <c r="U2342" i="1"/>
  <c r="T2342" i="1"/>
  <c r="W2342" i="1" s="1"/>
  <c r="S2342" i="1"/>
  <c r="R2342" i="1"/>
  <c r="Q2342" i="1"/>
  <c r="M2342" i="1"/>
  <c r="L2342" i="1"/>
  <c r="V2341" i="1"/>
  <c r="Z2341" i="1" s="1"/>
  <c r="U2341" i="1"/>
  <c r="T2341" i="1"/>
  <c r="W2341" i="1" s="1"/>
  <c r="S2341" i="1"/>
  <c r="R2341" i="1"/>
  <c r="Q2341" i="1"/>
  <c r="M2341" i="1"/>
  <c r="L2341" i="1"/>
  <c r="V2340" i="1"/>
  <c r="Z2340" i="1" s="1"/>
  <c r="U2340" i="1"/>
  <c r="T2340" i="1"/>
  <c r="W2340" i="1" s="1"/>
  <c r="S2340" i="1"/>
  <c r="R2340" i="1"/>
  <c r="Q2340" i="1"/>
  <c r="M2340" i="1"/>
  <c r="L2340" i="1"/>
  <c r="V2339" i="1"/>
  <c r="Z2339" i="1" s="1"/>
  <c r="U2339" i="1"/>
  <c r="T2339" i="1"/>
  <c r="S2339" i="1"/>
  <c r="R2339" i="1"/>
  <c r="Q2339" i="1"/>
  <c r="M2339" i="1"/>
  <c r="L2339" i="1"/>
  <c r="V2338" i="1"/>
  <c r="U2338" i="1"/>
  <c r="T2338" i="1"/>
  <c r="W2338" i="1" s="1"/>
  <c r="S2338" i="1"/>
  <c r="R2338" i="1"/>
  <c r="Q2338" i="1"/>
  <c r="M2338" i="1"/>
  <c r="L2338" i="1"/>
  <c r="V2337" i="1"/>
  <c r="Z2337" i="1" s="1"/>
  <c r="U2337" i="1"/>
  <c r="T2337" i="1"/>
  <c r="S2337" i="1"/>
  <c r="R2337" i="1"/>
  <c r="Q2337" i="1"/>
  <c r="M2337" i="1"/>
  <c r="L2337" i="1"/>
  <c r="V2336" i="1"/>
  <c r="Z2336" i="1" s="1"/>
  <c r="U2336" i="1"/>
  <c r="T2336" i="1"/>
  <c r="W2336" i="1" s="1"/>
  <c r="S2336" i="1"/>
  <c r="R2336" i="1"/>
  <c r="Q2336" i="1"/>
  <c r="M2336" i="1"/>
  <c r="L2336" i="1"/>
  <c r="V2335" i="1"/>
  <c r="Z2335" i="1" s="1"/>
  <c r="U2335" i="1"/>
  <c r="T2335" i="1"/>
  <c r="S2335" i="1"/>
  <c r="R2335" i="1"/>
  <c r="Q2335" i="1"/>
  <c r="M2335" i="1"/>
  <c r="L2335" i="1"/>
  <c r="V2334" i="1"/>
  <c r="U2334" i="1"/>
  <c r="T2334" i="1"/>
  <c r="W2334" i="1" s="1"/>
  <c r="S2334" i="1"/>
  <c r="R2334" i="1"/>
  <c r="Q2334" i="1"/>
  <c r="M2334" i="1"/>
  <c r="L2334" i="1"/>
  <c r="V2333" i="1"/>
  <c r="Z2333" i="1" s="1"/>
  <c r="U2333" i="1"/>
  <c r="T2333" i="1"/>
  <c r="W2333" i="1" s="1"/>
  <c r="S2333" i="1"/>
  <c r="R2333" i="1"/>
  <c r="Q2333" i="1"/>
  <c r="M2333" i="1"/>
  <c r="L2333" i="1"/>
  <c r="V2332" i="1"/>
  <c r="Z2332" i="1" s="1"/>
  <c r="U2332" i="1"/>
  <c r="T2332" i="1"/>
  <c r="W2332" i="1" s="1"/>
  <c r="S2332" i="1"/>
  <c r="R2332" i="1"/>
  <c r="Q2332" i="1"/>
  <c r="M2332" i="1"/>
  <c r="L2332" i="1"/>
  <c r="V2331" i="1"/>
  <c r="Z2331" i="1" s="1"/>
  <c r="U2331" i="1"/>
  <c r="T2331" i="1"/>
  <c r="S2331" i="1"/>
  <c r="R2331" i="1"/>
  <c r="Q2331" i="1"/>
  <c r="M2331" i="1"/>
  <c r="L2331" i="1"/>
  <c r="V2330" i="1"/>
  <c r="Z2330" i="1" s="1"/>
  <c r="U2330" i="1"/>
  <c r="T2330" i="1"/>
  <c r="W2330" i="1" s="1"/>
  <c r="S2330" i="1"/>
  <c r="R2330" i="1"/>
  <c r="Q2330" i="1"/>
  <c r="M2330" i="1"/>
  <c r="L2330" i="1"/>
  <c r="V2329" i="1"/>
  <c r="Z2329" i="1" s="1"/>
  <c r="U2329" i="1"/>
  <c r="T2329" i="1"/>
  <c r="S2329" i="1"/>
  <c r="R2329" i="1"/>
  <c r="Q2329" i="1"/>
  <c r="M2329" i="1"/>
  <c r="L2329" i="1"/>
  <c r="V2328" i="1"/>
  <c r="Z2328" i="1" s="1"/>
  <c r="U2328" i="1"/>
  <c r="T2328" i="1"/>
  <c r="W2328" i="1" s="1"/>
  <c r="S2328" i="1"/>
  <c r="R2328" i="1"/>
  <c r="Q2328" i="1"/>
  <c r="M2328" i="1"/>
  <c r="L2328" i="1"/>
  <c r="V2327" i="1"/>
  <c r="Z2327" i="1" s="1"/>
  <c r="U2327" i="1"/>
  <c r="T2327" i="1"/>
  <c r="W2327" i="1" s="1"/>
  <c r="S2327" i="1"/>
  <c r="R2327" i="1"/>
  <c r="Q2327" i="1"/>
  <c r="M2327" i="1"/>
  <c r="L2327" i="1"/>
  <c r="V2326" i="1"/>
  <c r="Z2326" i="1" s="1"/>
  <c r="U2326" i="1"/>
  <c r="T2326" i="1"/>
  <c r="W2326" i="1" s="1"/>
  <c r="S2326" i="1"/>
  <c r="R2326" i="1"/>
  <c r="Q2326" i="1"/>
  <c r="M2326" i="1"/>
  <c r="L2326" i="1"/>
  <c r="V2325" i="1"/>
  <c r="Z2325" i="1" s="1"/>
  <c r="U2325" i="1"/>
  <c r="T2325" i="1"/>
  <c r="S2325" i="1"/>
  <c r="R2325" i="1"/>
  <c r="Q2325" i="1"/>
  <c r="M2325" i="1"/>
  <c r="L2325" i="1"/>
  <c r="V2324" i="1"/>
  <c r="Z2324" i="1" s="1"/>
  <c r="U2324" i="1"/>
  <c r="T2324" i="1"/>
  <c r="W2324" i="1" s="1"/>
  <c r="S2324" i="1"/>
  <c r="R2324" i="1"/>
  <c r="Q2324" i="1"/>
  <c r="M2324" i="1"/>
  <c r="L2324" i="1"/>
  <c r="V2323" i="1"/>
  <c r="Z2323" i="1" s="1"/>
  <c r="U2323" i="1"/>
  <c r="T2323" i="1"/>
  <c r="W2323" i="1" s="1"/>
  <c r="S2323" i="1"/>
  <c r="R2323" i="1"/>
  <c r="Q2323" i="1"/>
  <c r="M2323" i="1"/>
  <c r="L2323" i="1"/>
  <c r="V2322" i="1"/>
  <c r="U2322" i="1"/>
  <c r="T2322" i="1"/>
  <c r="W2322" i="1" s="1"/>
  <c r="S2322" i="1"/>
  <c r="R2322" i="1"/>
  <c r="Q2322" i="1"/>
  <c r="M2322" i="1"/>
  <c r="L2322" i="1"/>
  <c r="V2321" i="1"/>
  <c r="Z2321" i="1" s="1"/>
  <c r="U2321" i="1"/>
  <c r="T2321" i="1"/>
  <c r="W2321" i="1" s="1"/>
  <c r="S2321" i="1"/>
  <c r="R2321" i="1"/>
  <c r="Q2321" i="1"/>
  <c r="M2321" i="1"/>
  <c r="L2321" i="1"/>
  <c r="V2320" i="1"/>
  <c r="Z2320" i="1" s="1"/>
  <c r="U2320" i="1"/>
  <c r="T2320" i="1"/>
  <c r="W2320" i="1" s="1"/>
  <c r="S2320" i="1"/>
  <c r="R2320" i="1"/>
  <c r="Q2320" i="1"/>
  <c r="M2320" i="1"/>
  <c r="L2320" i="1"/>
  <c r="V2319" i="1"/>
  <c r="Z2319" i="1" s="1"/>
  <c r="U2319" i="1"/>
  <c r="T2319" i="1"/>
  <c r="W2319" i="1" s="1"/>
  <c r="S2319" i="1"/>
  <c r="R2319" i="1"/>
  <c r="Q2319" i="1"/>
  <c r="M2319" i="1"/>
  <c r="L2319" i="1"/>
  <c r="V2318" i="1"/>
  <c r="U2318" i="1"/>
  <c r="T2318" i="1"/>
  <c r="W2318" i="1" s="1"/>
  <c r="S2318" i="1"/>
  <c r="R2318" i="1"/>
  <c r="Q2318" i="1"/>
  <c r="M2318" i="1"/>
  <c r="L2318" i="1"/>
  <c r="V2317" i="1"/>
  <c r="Z2317" i="1" s="1"/>
  <c r="U2317" i="1"/>
  <c r="T2317" i="1"/>
  <c r="W2317" i="1" s="1"/>
  <c r="S2317" i="1"/>
  <c r="R2317" i="1"/>
  <c r="Q2317" i="1"/>
  <c r="M2317" i="1"/>
  <c r="L2317" i="1"/>
  <c r="V2316" i="1"/>
  <c r="Z2316" i="1" s="1"/>
  <c r="U2316" i="1"/>
  <c r="T2316" i="1"/>
  <c r="W2316" i="1" s="1"/>
  <c r="S2316" i="1"/>
  <c r="R2316" i="1"/>
  <c r="Q2316" i="1"/>
  <c r="M2316" i="1"/>
  <c r="L2316" i="1"/>
  <c r="V2315" i="1"/>
  <c r="Z2315" i="1" s="1"/>
  <c r="U2315" i="1"/>
  <c r="T2315" i="1"/>
  <c r="W2315" i="1" s="1"/>
  <c r="S2315" i="1"/>
  <c r="R2315" i="1"/>
  <c r="Q2315" i="1"/>
  <c r="M2315" i="1"/>
  <c r="L2315" i="1"/>
  <c r="V2314" i="1"/>
  <c r="U2314" i="1"/>
  <c r="T2314" i="1"/>
  <c r="W2314" i="1" s="1"/>
  <c r="S2314" i="1"/>
  <c r="R2314" i="1"/>
  <c r="Q2314" i="1"/>
  <c r="M2314" i="1"/>
  <c r="L2314" i="1"/>
  <c r="V2313" i="1"/>
  <c r="Z2313" i="1" s="1"/>
  <c r="U2313" i="1"/>
  <c r="T2313" i="1"/>
  <c r="W2313" i="1" s="1"/>
  <c r="S2313" i="1"/>
  <c r="R2313" i="1"/>
  <c r="Q2313" i="1"/>
  <c r="M2313" i="1"/>
  <c r="L2313" i="1"/>
  <c r="V2312" i="1"/>
  <c r="Z2312" i="1" s="1"/>
  <c r="U2312" i="1"/>
  <c r="T2312" i="1"/>
  <c r="W2312" i="1" s="1"/>
  <c r="S2312" i="1"/>
  <c r="R2312" i="1"/>
  <c r="Q2312" i="1"/>
  <c r="M2312" i="1"/>
  <c r="L2312" i="1"/>
  <c r="V2311" i="1"/>
  <c r="Z2311" i="1" s="1"/>
  <c r="U2311" i="1"/>
  <c r="T2311" i="1"/>
  <c r="S2311" i="1"/>
  <c r="R2311" i="1"/>
  <c r="Q2311" i="1"/>
  <c r="M2311" i="1"/>
  <c r="L2311" i="1"/>
  <c r="V2310" i="1"/>
  <c r="Z2310" i="1" s="1"/>
  <c r="U2310" i="1"/>
  <c r="T2310" i="1"/>
  <c r="W2310" i="1" s="1"/>
  <c r="S2310" i="1"/>
  <c r="R2310" i="1"/>
  <c r="Q2310" i="1"/>
  <c r="M2310" i="1"/>
  <c r="L2310" i="1"/>
  <c r="V2309" i="1"/>
  <c r="Z2309" i="1" s="1"/>
  <c r="U2309" i="1"/>
  <c r="T2309" i="1"/>
  <c r="W2309" i="1" s="1"/>
  <c r="S2309" i="1"/>
  <c r="R2309" i="1"/>
  <c r="Q2309" i="1"/>
  <c r="M2309" i="1"/>
  <c r="L2309" i="1"/>
  <c r="V2308" i="1"/>
  <c r="Z2308" i="1" s="1"/>
  <c r="U2308" i="1"/>
  <c r="T2308" i="1"/>
  <c r="W2308" i="1" s="1"/>
  <c r="S2308" i="1"/>
  <c r="R2308" i="1"/>
  <c r="Q2308" i="1"/>
  <c r="M2308" i="1"/>
  <c r="L2308" i="1"/>
  <c r="V2307" i="1"/>
  <c r="Z2307" i="1" s="1"/>
  <c r="U2307" i="1"/>
  <c r="T2307" i="1"/>
  <c r="S2307" i="1"/>
  <c r="R2307" i="1"/>
  <c r="Q2307" i="1"/>
  <c r="M2307" i="1"/>
  <c r="L2307" i="1"/>
  <c r="V2306" i="1"/>
  <c r="U2306" i="1"/>
  <c r="T2306" i="1"/>
  <c r="W2306" i="1" s="1"/>
  <c r="S2306" i="1"/>
  <c r="R2306" i="1"/>
  <c r="Q2306" i="1"/>
  <c r="M2306" i="1"/>
  <c r="L2306" i="1"/>
  <c r="V2305" i="1"/>
  <c r="Z2305" i="1" s="1"/>
  <c r="U2305" i="1"/>
  <c r="T2305" i="1"/>
  <c r="S2305" i="1"/>
  <c r="R2305" i="1"/>
  <c r="Q2305" i="1"/>
  <c r="M2305" i="1"/>
  <c r="L2305" i="1"/>
  <c r="V2304" i="1"/>
  <c r="Z2304" i="1" s="1"/>
  <c r="U2304" i="1"/>
  <c r="T2304" i="1"/>
  <c r="W2304" i="1" s="1"/>
  <c r="S2304" i="1"/>
  <c r="R2304" i="1"/>
  <c r="Q2304" i="1"/>
  <c r="M2304" i="1"/>
  <c r="L2304" i="1"/>
  <c r="V2303" i="1"/>
  <c r="Z2303" i="1" s="1"/>
  <c r="U2303" i="1"/>
  <c r="T2303" i="1"/>
  <c r="S2303" i="1"/>
  <c r="R2303" i="1"/>
  <c r="Q2303" i="1"/>
  <c r="M2303" i="1"/>
  <c r="L2303" i="1"/>
  <c r="V2302" i="1"/>
  <c r="U2302" i="1"/>
  <c r="T2302" i="1"/>
  <c r="W2302" i="1" s="1"/>
  <c r="S2302" i="1"/>
  <c r="R2302" i="1"/>
  <c r="Q2302" i="1"/>
  <c r="M2302" i="1"/>
  <c r="L2302" i="1"/>
  <c r="V2301" i="1"/>
  <c r="Z2301" i="1" s="1"/>
  <c r="U2301" i="1"/>
  <c r="T2301" i="1"/>
  <c r="W2301" i="1" s="1"/>
  <c r="S2301" i="1"/>
  <c r="R2301" i="1"/>
  <c r="Q2301" i="1"/>
  <c r="M2301" i="1"/>
  <c r="L2301" i="1"/>
  <c r="V2300" i="1"/>
  <c r="Z2300" i="1" s="1"/>
  <c r="U2300" i="1"/>
  <c r="T2300" i="1"/>
  <c r="W2300" i="1" s="1"/>
  <c r="S2300" i="1"/>
  <c r="R2300" i="1"/>
  <c r="Q2300" i="1"/>
  <c r="M2300" i="1"/>
  <c r="L2300" i="1"/>
  <c r="V2299" i="1"/>
  <c r="Z2299" i="1" s="1"/>
  <c r="U2299" i="1"/>
  <c r="T2299" i="1"/>
  <c r="S2299" i="1"/>
  <c r="R2299" i="1"/>
  <c r="Q2299" i="1"/>
  <c r="M2299" i="1"/>
  <c r="L2299" i="1"/>
  <c r="V2298" i="1"/>
  <c r="Z2298" i="1" s="1"/>
  <c r="U2298" i="1"/>
  <c r="T2298" i="1"/>
  <c r="W2298" i="1" s="1"/>
  <c r="S2298" i="1"/>
  <c r="R2298" i="1"/>
  <c r="Q2298" i="1"/>
  <c r="M2298" i="1"/>
  <c r="L2298" i="1"/>
  <c r="V2297" i="1"/>
  <c r="Z2297" i="1" s="1"/>
  <c r="U2297" i="1"/>
  <c r="T2297" i="1"/>
  <c r="S2297" i="1"/>
  <c r="R2297" i="1"/>
  <c r="Q2297" i="1"/>
  <c r="M2297" i="1"/>
  <c r="L2297" i="1"/>
  <c r="V2296" i="1"/>
  <c r="Z2296" i="1" s="1"/>
  <c r="U2296" i="1"/>
  <c r="T2296" i="1"/>
  <c r="W2296" i="1" s="1"/>
  <c r="S2296" i="1"/>
  <c r="R2296" i="1"/>
  <c r="Q2296" i="1"/>
  <c r="M2296" i="1"/>
  <c r="L2296" i="1"/>
  <c r="V2295" i="1"/>
  <c r="Z2295" i="1" s="1"/>
  <c r="U2295" i="1"/>
  <c r="T2295" i="1"/>
  <c r="W2295" i="1" s="1"/>
  <c r="S2295" i="1"/>
  <c r="R2295" i="1"/>
  <c r="Q2295" i="1"/>
  <c r="M2295" i="1"/>
  <c r="L2295" i="1"/>
  <c r="V2294" i="1"/>
  <c r="Z2294" i="1" s="1"/>
  <c r="U2294" i="1"/>
  <c r="T2294" i="1"/>
  <c r="W2294" i="1" s="1"/>
  <c r="S2294" i="1"/>
  <c r="R2294" i="1"/>
  <c r="Q2294" i="1"/>
  <c r="M2294" i="1"/>
  <c r="L2294" i="1"/>
  <c r="V2293" i="1"/>
  <c r="Z2293" i="1" s="1"/>
  <c r="U2293" i="1"/>
  <c r="T2293" i="1"/>
  <c r="S2293" i="1"/>
  <c r="R2293" i="1"/>
  <c r="Q2293" i="1"/>
  <c r="M2293" i="1"/>
  <c r="L2293" i="1"/>
  <c r="V2292" i="1"/>
  <c r="Z2292" i="1" s="1"/>
  <c r="U2292" i="1"/>
  <c r="T2292" i="1"/>
  <c r="W2292" i="1" s="1"/>
  <c r="S2292" i="1"/>
  <c r="R2292" i="1"/>
  <c r="Q2292" i="1"/>
  <c r="M2292" i="1"/>
  <c r="L2292" i="1"/>
  <c r="V2291" i="1"/>
  <c r="Z2291" i="1" s="1"/>
  <c r="U2291" i="1"/>
  <c r="T2291" i="1"/>
  <c r="W2291" i="1" s="1"/>
  <c r="S2291" i="1"/>
  <c r="R2291" i="1"/>
  <c r="Q2291" i="1"/>
  <c r="M2291" i="1"/>
  <c r="L2291" i="1"/>
  <c r="V2290" i="1"/>
  <c r="U2290" i="1"/>
  <c r="T2290" i="1"/>
  <c r="W2290" i="1" s="1"/>
  <c r="S2290" i="1"/>
  <c r="R2290" i="1"/>
  <c r="Q2290" i="1"/>
  <c r="M2290" i="1"/>
  <c r="L2290" i="1"/>
  <c r="V2289" i="1"/>
  <c r="Z2289" i="1" s="1"/>
  <c r="U2289" i="1"/>
  <c r="T2289" i="1"/>
  <c r="W2289" i="1" s="1"/>
  <c r="S2289" i="1"/>
  <c r="R2289" i="1"/>
  <c r="Q2289" i="1"/>
  <c r="M2289" i="1"/>
  <c r="L2289" i="1"/>
  <c r="V2288" i="1"/>
  <c r="Z2288" i="1" s="1"/>
  <c r="U2288" i="1"/>
  <c r="T2288" i="1"/>
  <c r="W2288" i="1" s="1"/>
  <c r="S2288" i="1"/>
  <c r="R2288" i="1"/>
  <c r="Q2288" i="1"/>
  <c r="M2288" i="1"/>
  <c r="L2288" i="1"/>
  <c r="V2287" i="1"/>
  <c r="Z2287" i="1" s="1"/>
  <c r="U2287" i="1"/>
  <c r="T2287" i="1"/>
  <c r="W2287" i="1" s="1"/>
  <c r="S2287" i="1"/>
  <c r="R2287" i="1"/>
  <c r="Q2287" i="1"/>
  <c r="M2287" i="1"/>
  <c r="L2287" i="1"/>
  <c r="V2286" i="1"/>
  <c r="U2286" i="1"/>
  <c r="T2286" i="1"/>
  <c r="W2286" i="1" s="1"/>
  <c r="S2286" i="1"/>
  <c r="R2286" i="1"/>
  <c r="Q2286" i="1"/>
  <c r="M2286" i="1"/>
  <c r="L2286" i="1"/>
  <c r="V2285" i="1"/>
  <c r="Z2285" i="1" s="1"/>
  <c r="U2285" i="1"/>
  <c r="T2285" i="1"/>
  <c r="W2285" i="1" s="1"/>
  <c r="S2285" i="1"/>
  <c r="R2285" i="1"/>
  <c r="Q2285" i="1"/>
  <c r="M2285" i="1"/>
  <c r="L2285" i="1"/>
  <c r="V2284" i="1"/>
  <c r="Z2284" i="1" s="1"/>
  <c r="U2284" i="1"/>
  <c r="T2284" i="1"/>
  <c r="W2284" i="1" s="1"/>
  <c r="S2284" i="1"/>
  <c r="R2284" i="1"/>
  <c r="Q2284" i="1"/>
  <c r="M2284" i="1"/>
  <c r="L2284" i="1"/>
  <c r="V2283" i="1"/>
  <c r="Z2283" i="1" s="1"/>
  <c r="U2283" i="1"/>
  <c r="T2283" i="1"/>
  <c r="W2283" i="1" s="1"/>
  <c r="S2283" i="1"/>
  <c r="R2283" i="1"/>
  <c r="Q2283" i="1"/>
  <c r="M2283" i="1"/>
  <c r="L2283" i="1"/>
  <c r="V2282" i="1"/>
  <c r="U2282" i="1"/>
  <c r="T2282" i="1"/>
  <c r="W2282" i="1" s="1"/>
  <c r="S2282" i="1"/>
  <c r="R2282" i="1"/>
  <c r="Q2282" i="1"/>
  <c r="M2282" i="1"/>
  <c r="L2282" i="1"/>
  <c r="V2281" i="1"/>
  <c r="Z2281" i="1" s="1"/>
  <c r="U2281" i="1"/>
  <c r="T2281" i="1"/>
  <c r="W2281" i="1" s="1"/>
  <c r="S2281" i="1"/>
  <c r="R2281" i="1"/>
  <c r="Q2281" i="1"/>
  <c r="M2281" i="1"/>
  <c r="L2281" i="1"/>
  <c r="V2280" i="1"/>
  <c r="Z2280" i="1" s="1"/>
  <c r="U2280" i="1"/>
  <c r="T2280" i="1"/>
  <c r="W2280" i="1" s="1"/>
  <c r="S2280" i="1"/>
  <c r="R2280" i="1"/>
  <c r="Q2280" i="1"/>
  <c r="M2280" i="1"/>
  <c r="L2280" i="1"/>
  <c r="V2279" i="1"/>
  <c r="Z2279" i="1" s="1"/>
  <c r="U2279" i="1"/>
  <c r="T2279" i="1"/>
  <c r="S2279" i="1"/>
  <c r="R2279" i="1"/>
  <c r="Q2279" i="1"/>
  <c r="M2279" i="1"/>
  <c r="L2279" i="1"/>
  <c r="V2278" i="1"/>
  <c r="Z2278" i="1" s="1"/>
  <c r="U2278" i="1"/>
  <c r="T2278" i="1"/>
  <c r="W2278" i="1" s="1"/>
  <c r="S2278" i="1"/>
  <c r="R2278" i="1"/>
  <c r="Q2278" i="1"/>
  <c r="M2278" i="1"/>
  <c r="L2278" i="1"/>
  <c r="V2277" i="1"/>
  <c r="Z2277" i="1" s="1"/>
  <c r="U2277" i="1"/>
  <c r="T2277" i="1"/>
  <c r="W2277" i="1" s="1"/>
  <c r="S2277" i="1"/>
  <c r="R2277" i="1"/>
  <c r="Q2277" i="1"/>
  <c r="M2277" i="1"/>
  <c r="L2277" i="1"/>
  <c r="V2276" i="1"/>
  <c r="Z2276" i="1" s="1"/>
  <c r="U2276" i="1"/>
  <c r="T2276" i="1"/>
  <c r="W2276" i="1" s="1"/>
  <c r="S2276" i="1"/>
  <c r="R2276" i="1"/>
  <c r="Q2276" i="1"/>
  <c r="M2276" i="1"/>
  <c r="L2276" i="1"/>
  <c r="V2275" i="1"/>
  <c r="Z2275" i="1" s="1"/>
  <c r="U2275" i="1"/>
  <c r="T2275" i="1"/>
  <c r="S2275" i="1"/>
  <c r="R2275" i="1"/>
  <c r="Q2275" i="1"/>
  <c r="M2275" i="1"/>
  <c r="L2275" i="1"/>
  <c r="V2274" i="1"/>
  <c r="U2274" i="1"/>
  <c r="T2274" i="1"/>
  <c r="W2274" i="1" s="1"/>
  <c r="S2274" i="1"/>
  <c r="R2274" i="1"/>
  <c r="Q2274" i="1"/>
  <c r="M2274" i="1"/>
  <c r="L2274" i="1"/>
  <c r="V2273" i="1"/>
  <c r="Z2273" i="1" s="1"/>
  <c r="U2273" i="1"/>
  <c r="T2273" i="1"/>
  <c r="S2273" i="1"/>
  <c r="R2273" i="1"/>
  <c r="Q2273" i="1"/>
  <c r="M2273" i="1"/>
  <c r="L2273" i="1"/>
  <c r="V2272" i="1"/>
  <c r="Z2272" i="1" s="1"/>
  <c r="U2272" i="1"/>
  <c r="T2272" i="1"/>
  <c r="W2272" i="1" s="1"/>
  <c r="S2272" i="1"/>
  <c r="R2272" i="1"/>
  <c r="Q2272" i="1"/>
  <c r="M2272" i="1"/>
  <c r="L2272" i="1"/>
  <c r="V2271" i="1"/>
  <c r="Z2271" i="1" s="1"/>
  <c r="U2271" i="1"/>
  <c r="T2271" i="1"/>
  <c r="S2271" i="1"/>
  <c r="R2271" i="1"/>
  <c r="Q2271" i="1"/>
  <c r="M2271" i="1"/>
  <c r="L2271" i="1"/>
  <c r="V2270" i="1"/>
  <c r="U2270" i="1"/>
  <c r="T2270" i="1"/>
  <c r="W2270" i="1" s="1"/>
  <c r="S2270" i="1"/>
  <c r="R2270" i="1"/>
  <c r="Q2270" i="1"/>
  <c r="M2270" i="1"/>
  <c r="L2270" i="1"/>
  <c r="V2269" i="1"/>
  <c r="Z2269" i="1" s="1"/>
  <c r="U2269" i="1"/>
  <c r="T2269" i="1"/>
  <c r="W2269" i="1" s="1"/>
  <c r="S2269" i="1"/>
  <c r="R2269" i="1"/>
  <c r="Q2269" i="1"/>
  <c r="M2269" i="1"/>
  <c r="L2269" i="1"/>
  <c r="V2268" i="1"/>
  <c r="Z2268" i="1" s="1"/>
  <c r="U2268" i="1"/>
  <c r="T2268" i="1"/>
  <c r="W2268" i="1" s="1"/>
  <c r="S2268" i="1"/>
  <c r="R2268" i="1"/>
  <c r="Q2268" i="1"/>
  <c r="M2268" i="1"/>
  <c r="L2268" i="1"/>
  <c r="V2267" i="1"/>
  <c r="Z2267" i="1" s="1"/>
  <c r="U2267" i="1"/>
  <c r="T2267" i="1"/>
  <c r="S2267" i="1"/>
  <c r="R2267" i="1"/>
  <c r="Q2267" i="1"/>
  <c r="M2267" i="1"/>
  <c r="L2267" i="1"/>
  <c r="V2266" i="1"/>
  <c r="Z2266" i="1" s="1"/>
  <c r="U2266" i="1"/>
  <c r="T2266" i="1"/>
  <c r="W2266" i="1" s="1"/>
  <c r="S2266" i="1"/>
  <c r="R2266" i="1"/>
  <c r="Q2266" i="1"/>
  <c r="M2266" i="1"/>
  <c r="L2266" i="1"/>
  <c r="V2265" i="1"/>
  <c r="Z2265" i="1" s="1"/>
  <c r="U2265" i="1"/>
  <c r="T2265" i="1"/>
  <c r="S2265" i="1"/>
  <c r="R2265" i="1"/>
  <c r="Q2265" i="1"/>
  <c r="M2265" i="1"/>
  <c r="L2265" i="1"/>
  <c r="V2264" i="1"/>
  <c r="Z2264" i="1" s="1"/>
  <c r="U2264" i="1"/>
  <c r="T2264" i="1"/>
  <c r="W2264" i="1" s="1"/>
  <c r="S2264" i="1"/>
  <c r="R2264" i="1"/>
  <c r="Q2264" i="1"/>
  <c r="M2264" i="1"/>
  <c r="L2264" i="1"/>
  <c r="V2263" i="1"/>
  <c r="Z2263" i="1" s="1"/>
  <c r="U2263" i="1"/>
  <c r="T2263" i="1"/>
  <c r="W2263" i="1" s="1"/>
  <c r="S2263" i="1"/>
  <c r="R2263" i="1"/>
  <c r="Q2263" i="1"/>
  <c r="M2263" i="1"/>
  <c r="L2263" i="1"/>
  <c r="V2262" i="1"/>
  <c r="Z2262" i="1" s="1"/>
  <c r="U2262" i="1"/>
  <c r="T2262" i="1"/>
  <c r="W2262" i="1" s="1"/>
  <c r="S2262" i="1"/>
  <c r="R2262" i="1"/>
  <c r="Q2262" i="1"/>
  <c r="M2262" i="1"/>
  <c r="L2262" i="1"/>
  <c r="V2261" i="1"/>
  <c r="Z2261" i="1" s="1"/>
  <c r="U2261" i="1"/>
  <c r="T2261" i="1"/>
  <c r="S2261" i="1"/>
  <c r="R2261" i="1"/>
  <c r="Q2261" i="1"/>
  <c r="M2261" i="1"/>
  <c r="L2261" i="1"/>
  <c r="V2260" i="1"/>
  <c r="Z2260" i="1" s="1"/>
  <c r="U2260" i="1"/>
  <c r="T2260" i="1"/>
  <c r="W2260" i="1" s="1"/>
  <c r="S2260" i="1"/>
  <c r="R2260" i="1"/>
  <c r="Q2260" i="1"/>
  <c r="M2260" i="1"/>
  <c r="L2260" i="1"/>
  <c r="V2259" i="1"/>
  <c r="Z2259" i="1" s="1"/>
  <c r="U2259" i="1"/>
  <c r="T2259" i="1"/>
  <c r="W2259" i="1" s="1"/>
  <c r="S2259" i="1"/>
  <c r="R2259" i="1"/>
  <c r="Q2259" i="1"/>
  <c r="M2259" i="1"/>
  <c r="L2259" i="1"/>
  <c r="V2258" i="1"/>
  <c r="U2258" i="1"/>
  <c r="T2258" i="1"/>
  <c r="W2258" i="1" s="1"/>
  <c r="S2258" i="1"/>
  <c r="R2258" i="1"/>
  <c r="Q2258" i="1"/>
  <c r="M2258" i="1"/>
  <c r="L2258" i="1"/>
  <c r="V2257" i="1"/>
  <c r="Z2257" i="1" s="1"/>
  <c r="U2257" i="1"/>
  <c r="T2257" i="1"/>
  <c r="W2257" i="1" s="1"/>
  <c r="S2257" i="1"/>
  <c r="R2257" i="1"/>
  <c r="Q2257" i="1"/>
  <c r="M2257" i="1"/>
  <c r="L2257" i="1"/>
  <c r="V2256" i="1"/>
  <c r="Z2256" i="1" s="1"/>
  <c r="U2256" i="1"/>
  <c r="T2256" i="1"/>
  <c r="W2256" i="1" s="1"/>
  <c r="S2256" i="1"/>
  <c r="R2256" i="1"/>
  <c r="Q2256" i="1"/>
  <c r="M2256" i="1"/>
  <c r="L2256" i="1"/>
  <c r="V2255" i="1"/>
  <c r="Z2255" i="1" s="1"/>
  <c r="U2255" i="1"/>
  <c r="T2255" i="1"/>
  <c r="W2255" i="1" s="1"/>
  <c r="S2255" i="1"/>
  <c r="R2255" i="1"/>
  <c r="Q2255" i="1"/>
  <c r="M2255" i="1"/>
  <c r="L2255" i="1"/>
  <c r="V2254" i="1"/>
  <c r="U2254" i="1"/>
  <c r="T2254" i="1"/>
  <c r="W2254" i="1" s="1"/>
  <c r="S2254" i="1"/>
  <c r="R2254" i="1"/>
  <c r="Q2254" i="1"/>
  <c r="M2254" i="1"/>
  <c r="L2254" i="1"/>
  <c r="V2253" i="1"/>
  <c r="Z2253" i="1" s="1"/>
  <c r="U2253" i="1"/>
  <c r="T2253" i="1"/>
  <c r="W2253" i="1" s="1"/>
  <c r="S2253" i="1"/>
  <c r="R2253" i="1"/>
  <c r="Q2253" i="1"/>
  <c r="M2253" i="1"/>
  <c r="L2253" i="1"/>
  <c r="V2252" i="1"/>
  <c r="Z2252" i="1" s="1"/>
  <c r="U2252" i="1"/>
  <c r="T2252" i="1"/>
  <c r="W2252" i="1" s="1"/>
  <c r="S2252" i="1"/>
  <c r="R2252" i="1"/>
  <c r="Q2252" i="1"/>
  <c r="M2252" i="1"/>
  <c r="L2252" i="1"/>
  <c r="V2251" i="1"/>
  <c r="Z2251" i="1" s="1"/>
  <c r="U2251" i="1"/>
  <c r="T2251" i="1"/>
  <c r="W2251" i="1" s="1"/>
  <c r="S2251" i="1"/>
  <c r="R2251" i="1"/>
  <c r="Q2251" i="1"/>
  <c r="M2251" i="1"/>
  <c r="L2251" i="1"/>
  <c r="V2250" i="1"/>
  <c r="U2250" i="1"/>
  <c r="T2250" i="1"/>
  <c r="W2250" i="1" s="1"/>
  <c r="S2250" i="1"/>
  <c r="R2250" i="1"/>
  <c r="Q2250" i="1"/>
  <c r="M2250" i="1"/>
  <c r="L2250" i="1"/>
  <c r="V2249" i="1"/>
  <c r="Z2249" i="1" s="1"/>
  <c r="U2249" i="1"/>
  <c r="T2249" i="1"/>
  <c r="W2249" i="1" s="1"/>
  <c r="S2249" i="1"/>
  <c r="R2249" i="1"/>
  <c r="Q2249" i="1"/>
  <c r="M2249" i="1"/>
  <c r="L2249" i="1"/>
  <c r="V2248" i="1"/>
  <c r="Z2248" i="1" s="1"/>
  <c r="U2248" i="1"/>
  <c r="T2248" i="1"/>
  <c r="W2248" i="1" s="1"/>
  <c r="S2248" i="1"/>
  <c r="R2248" i="1"/>
  <c r="Q2248" i="1"/>
  <c r="M2248" i="1"/>
  <c r="L2248" i="1"/>
  <c r="V2247" i="1"/>
  <c r="Z2247" i="1" s="1"/>
  <c r="U2247" i="1"/>
  <c r="T2247" i="1"/>
  <c r="S2247" i="1"/>
  <c r="R2247" i="1"/>
  <c r="Q2247" i="1"/>
  <c r="M2247" i="1"/>
  <c r="L2247" i="1"/>
  <c r="V2246" i="1"/>
  <c r="Z2246" i="1" s="1"/>
  <c r="U2246" i="1"/>
  <c r="T2246" i="1"/>
  <c r="W2246" i="1" s="1"/>
  <c r="S2246" i="1"/>
  <c r="R2246" i="1"/>
  <c r="Q2246" i="1"/>
  <c r="M2246" i="1"/>
  <c r="L2246" i="1"/>
  <c r="V2245" i="1"/>
  <c r="Z2245" i="1" s="1"/>
  <c r="U2245" i="1"/>
  <c r="T2245" i="1"/>
  <c r="W2245" i="1" s="1"/>
  <c r="S2245" i="1"/>
  <c r="R2245" i="1"/>
  <c r="Q2245" i="1"/>
  <c r="M2245" i="1"/>
  <c r="L2245" i="1"/>
  <c r="V2244" i="1"/>
  <c r="Z2244" i="1" s="1"/>
  <c r="U2244" i="1"/>
  <c r="T2244" i="1"/>
  <c r="W2244" i="1" s="1"/>
  <c r="S2244" i="1"/>
  <c r="R2244" i="1"/>
  <c r="Q2244" i="1"/>
  <c r="M2244" i="1"/>
  <c r="L2244" i="1"/>
  <c r="V2243" i="1"/>
  <c r="Z2243" i="1" s="1"/>
  <c r="U2243" i="1"/>
  <c r="T2243" i="1"/>
  <c r="S2243" i="1"/>
  <c r="R2243" i="1"/>
  <c r="Q2243" i="1"/>
  <c r="M2243" i="1"/>
  <c r="L2243" i="1"/>
  <c r="V2242" i="1"/>
  <c r="U2242" i="1"/>
  <c r="T2242" i="1"/>
  <c r="W2242" i="1" s="1"/>
  <c r="S2242" i="1"/>
  <c r="R2242" i="1"/>
  <c r="Q2242" i="1"/>
  <c r="M2242" i="1"/>
  <c r="L2242" i="1"/>
  <c r="V2241" i="1"/>
  <c r="Z2241" i="1" s="1"/>
  <c r="U2241" i="1"/>
  <c r="T2241" i="1"/>
  <c r="S2241" i="1"/>
  <c r="R2241" i="1"/>
  <c r="Q2241" i="1"/>
  <c r="M2241" i="1"/>
  <c r="L2241" i="1"/>
  <c r="V2240" i="1"/>
  <c r="Z2240" i="1" s="1"/>
  <c r="U2240" i="1"/>
  <c r="T2240" i="1"/>
  <c r="W2240" i="1" s="1"/>
  <c r="S2240" i="1"/>
  <c r="R2240" i="1"/>
  <c r="Q2240" i="1"/>
  <c r="M2240" i="1"/>
  <c r="L2240" i="1"/>
  <c r="V2239" i="1"/>
  <c r="Z2239" i="1" s="1"/>
  <c r="U2239" i="1"/>
  <c r="T2239" i="1"/>
  <c r="S2239" i="1"/>
  <c r="R2239" i="1"/>
  <c r="Q2239" i="1"/>
  <c r="M2239" i="1"/>
  <c r="L2239" i="1"/>
  <c r="V2238" i="1"/>
  <c r="U2238" i="1"/>
  <c r="T2238" i="1"/>
  <c r="W2238" i="1" s="1"/>
  <c r="S2238" i="1"/>
  <c r="R2238" i="1"/>
  <c r="Q2238" i="1"/>
  <c r="M2238" i="1"/>
  <c r="L2238" i="1"/>
  <c r="V2237" i="1"/>
  <c r="Z2237" i="1" s="1"/>
  <c r="U2237" i="1"/>
  <c r="T2237" i="1"/>
  <c r="W2237" i="1" s="1"/>
  <c r="S2237" i="1"/>
  <c r="R2237" i="1"/>
  <c r="Q2237" i="1"/>
  <c r="M2237" i="1"/>
  <c r="L2237" i="1"/>
  <c r="V2236" i="1"/>
  <c r="Z2236" i="1" s="1"/>
  <c r="U2236" i="1"/>
  <c r="T2236" i="1"/>
  <c r="W2236" i="1" s="1"/>
  <c r="S2236" i="1"/>
  <c r="R2236" i="1"/>
  <c r="Q2236" i="1"/>
  <c r="M2236" i="1"/>
  <c r="L2236" i="1"/>
  <c r="V2235" i="1"/>
  <c r="Z2235" i="1" s="1"/>
  <c r="U2235" i="1"/>
  <c r="T2235" i="1"/>
  <c r="S2235" i="1"/>
  <c r="R2235" i="1"/>
  <c r="Q2235" i="1"/>
  <c r="M2235" i="1"/>
  <c r="L2235" i="1"/>
  <c r="V2234" i="1"/>
  <c r="Z2234" i="1" s="1"/>
  <c r="U2234" i="1"/>
  <c r="T2234" i="1"/>
  <c r="W2234" i="1" s="1"/>
  <c r="S2234" i="1"/>
  <c r="R2234" i="1"/>
  <c r="Q2234" i="1"/>
  <c r="M2234" i="1"/>
  <c r="L2234" i="1"/>
  <c r="V2233" i="1"/>
  <c r="Z2233" i="1" s="1"/>
  <c r="U2233" i="1"/>
  <c r="T2233" i="1"/>
  <c r="S2233" i="1"/>
  <c r="R2233" i="1"/>
  <c r="Q2233" i="1"/>
  <c r="M2233" i="1"/>
  <c r="L2233" i="1"/>
  <c r="V2232" i="1"/>
  <c r="Z2232" i="1" s="1"/>
  <c r="U2232" i="1"/>
  <c r="T2232" i="1"/>
  <c r="W2232" i="1" s="1"/>
  <c r="S2232" i="1"/>
  <c r="R2232" i="1"/>
  <c r="Q2232" i="1"/>
  <c r="M2232" i="1"/>
  <c r="L2232" i="1"/>
  <c r="V2231" i="1"/>
  <c r="Z2231" i="1" s="1"/>
  <c r="U2231" i="1"/>
  <c r="T2231" i="1"/>
  <c r="W2231" i="1" s="1"/>
  <c r="S2231" i="1"/>
  <c r="R2231" i="1"/>
  <c r="Q2231" i="1"/>
  <c r="M2231" i="1"/>
  <c r="L2231" i="1"/>
  <c r="V2230" i="1"/>
  <c r="Z2230" i="1" s="1"/>
  <c r="U2230" i="1"/>
  <c r="T2230" i="1"/>
  <c r="W2230" i="1" s="1"/>
  <c r="S2230" i="1"/>
  <c r="R2230" i="1"/>
  <c r="Q2230" i="1"/>
  <c r="M2230" i="1"/>
  <c r="L2230" i="1"/>
  <c r="V2229" i="1"/>
  <c r="Z2229" i="1" s="1"/>
  <c r="U2229" i="1"/>
  <c r="T2229" i="1"/>
  <c r="S2229" i="1"/>
  <c r="R2229" i="1"/>
  <c r="Q2229" i="1"/>
  <c r="M2229" i="1"/>
  <c r="L2229" i="1"/>
  <c r="V2228" i="1"/>
  <c r="Z2228" i="1" s="1"/>
  <c r="U2228" i="1"/>
  <c r="T2228" i="1"/>
  <c r="W2228" i="1" s="1"/>
  <c r="S2228" i="1"/>
  <c r="R2228" i="1"/>
  <c r="Q2228" i="1"/>
  <c r="M2228" i="1"/>
  <c r="L2228" i="1"/>
  <c r="V2227" i="1"/>
  <c r="Z2227" i="1" s="1"/>
  <c r="U2227" i="1"/>
  <c r="T2227" i="1"/>
  <c r="W2227" i="1" s="1"/>
  <c r="S2227" i="1"/>
  <c r="R2227" i="1"/>
  <c r="Q2227" i="1"/>
  <c r="M2227" i="1"/>
  <c r="L2227" i="1"/>
  <c r="V2226" i="1"/>
  <c r="U2226" i="1"/>
  <c r="T2226" i="1"/>
  <c r="W2226" i="1" s="1"/>
  <c r="S2226" i="1"/>
  <c r="R2226" i="1"/>
  <c r="Q2226" i="1"/>
  <c r="M2226" i="1"/>
  <c r="L2226" i="1"/>
  <c r="V2225" i="1"/>
  <c r="Z2225" i="1" s="1"/>
  <c r="U2225" i="1"/>
  <c r="T2225" i="1"/>
  <c r="W2225" i="1" s="1"/>
  <c r="S2225" i="1"/>
  <c r="R2225" i="1"/>
  <c r="Q2225" i="1"/>
  <c r="M2225" i="1"/>
  <c r="L2225" i="1"/>
  <c r="V2224" i="1"/>
  <c r="Z2224" i="1" s="1"/>
  <c r="U2224" i="1"/>
  <c r="T2224" i="1"/>
  <c r="W2224" i="1" s="1"/>
  <c r="S2224" i="1"/>
  <c r="R2224" i="1"/>
  <c r="Q2224" i="1"/>
  <c r="M2224" i="1"/>
  <c r="L2224" i="1"/>
  <c r="V2223" i="1"/>
  <c r="Z2223" i="1" s="1"/>
  <c r="U2223" i="1"/>
  <c r="T2223" i="1"/>
  <c r="W2223" i="1" s="1"/>
  <c r="S2223" i="1"/>
  <c r="R2223" i="1"/>
  <c r="Q2223" i="1"/>
  <c r="M2223" i="1"/>
  <c r="L2223" i="1"/>
  <c r="V2222" i="1"/>
  <c r="U2222" i="1"/>
  <c r="T2222" i="1"/>
  <c r="W2222" i="1" s="1"/>
  <c r="S2222" i="1"/>
  <c r="R2222" i="1"/>
  <c r="Q2222" i="1"/>
  <c r="M2222" i="1"/>
  <c r="L2222" i="1"/>
  <c r="V2221" i="1"/>
  <c r="Z2221" i="1" s="1"/>
  <c r="U2221" i="1"/>
  <c r="T2221" i="1"/>
  <c r="W2221" i="1" s="1"/>
  <c r="S2221" i="1"/>
  <c r="R2221" i="1"/>
  <c r="Q2221" i="1"/>
  <c r="M2221" i="1"/>
  <c r="L2221" i="1"/>
  <c r="V2220" i="1"/>
  <c r="Z2220" i="1" s="1"/>
  <c r="U2220" i="1"/>
  <c r="T2220" i="1"/>
  <c r="W2220" i="1" s="1"/>
  <c r="S2220" i="1"/>
  <c r="R2220" i="1"/>
  <c r="Q2220" i="1"/>
  <c r="M2220" i="1"/>
  <c r="L2220" i="1"/>
  <c r="V2219" i="1"/>
  <c r="Z2219" i="1" s="1"/>
  <c r="U2219" i="1"/>
  <c r="T2219" i="1"/>
  <c r="W2219" i="1" s="1"/>
  <c r="S2219" i="1"/>
  <c r="R2219" i="1"/>
  <c r="Q2219" i="1"/>
  <c r="M2219" i="1"/>
  <c r="L2219" i="1"/>
  <c r="V2218" i="1"/>
  <c r="U2218" i="1"/>
  <c r="T2218" i="1"/>
  <c r="W2218" i="1" s="1"/>
  <c r="S2218" i="1"/>
  <c r="R2218" i="1"/>
  <c r="Q2218" i="1"/>
  <c r="M2218" i="1"/>
  <c r="L2218" i="1"/>
  <c r="V2217" i="1"/>
  <c r="Z2217" i="1" s="1"/>
  <c r="U2217" i="1"/>
  <c r="T2217" i="1"/>
  <c r="W2217" i="1" s="1"/>
  <c r="S2217" i="1"/>
  <c r="R2217" i="1"/>
  <c r="Q2217" i="1"/>
  <c r="M2217" i="1"/>
  <c r="L2217" i="1"/>
  <c r="V2216" i="1"/>
  <c r="Z2216" i="1" s="1"/>
  <c r="U2216" i="1"/>
  <c r="T2216" i="1"/>
  <c r="W2216" i="1" s="1"/>
  <c r="S2216" i="1"/>
  <c r="R2216" i="1"/>
  <c r="Q2216" i="1"/>
  <c r="M2216" i="1"/>
  <c r="L2216" i="1"/>
  <c r="V2215" i="1"/>
  <c r="Z2215" i="1" s="1"/>
  <c r="U2215" i="1"/>
  <c r="T2215" i="1"/>
  <c r="S2215" i="1"/>
  <c r="R2215" i="1"/>
  <c r="Q2215" i="1"/>
  <c r="M2215" i="1"/>
  <c r="L2215" i="1"/>
  <c r="V2214" i="1"/>
  <c r="Z2214" i="1" s="1"/>
  <c r="U2214" i="1"/>
  <c r="T2214" i="1"/>
  <c r="W2214" i="1" s="1"/>
  <c r="S2214" i="1"/>
  <c r="R2214" i="1"/>
  <c r="Q2214" i="1"/>
  <c r="M2214" i="1"/>
  <c r="L2214" i="1"/>
  <c r="V2213" i="1"/>
  <c r="Z2213" i="1" s="1"/>
  <c r="U2213" i="1"/>
  <c r="T2213" i="1"/>
  <c r="W2213" i="1" s="1"/>
  <c r="S2213" i="1"/>
  <c r="R2213" i="1"/>
  <c r="Q2213" i="1"/>
  <c r="M2213" i="1"/>
  <c r="L2213" i="1"/>
  <c r="V2212" i="1"/>
  <c r="Z2212" i="1" s="1"/>
  <c r="U2212" i="1"/>
  <c r="T2212" i="1"/>
  <c r="W2212" i="1" s="1"/>
  <c r="S2212" i="1"/>
  <c r="R2212" i="1"/>
  <c r="Q2212" i="1"/>
  <c r="M2212" i="1"/>
  <c r="L2212" i="1"/>
  <c r="V2211" i="1"/>
  <c r="Z2211" i="1" s="1"/>
  <c r="U2211" i="1"/>
  <c r="T2211" i="1"/>
  <c r="S2211" i="1"/>
  <c r="R2211" i="1"/>
  <c r="Q2211" i="1"/>
  <c r="M2211" i="1"/>
  <c r="L2211" i="1"/>
  <c r="V2210" i="1"/>
  <c r="U2210" i="1"/>
  <c r="T2210" i="1"/>
  <c r="W2210" i="1" s="1"/>
  <c r="S2210" i="1"/>
  <c r="R2210" i="1"/>
  <c r="Q2210" i="1"/>
  <c r="M2210" i="1"/>
  <c r="L2210" i="1"/>
  <c r="V2209" i="1"/>
  <c r="Z2209" i="1" s="1"/>
  <c r="U2209" i="1"/>
  <c r="T2209" i="1"/>
  <c r="S2209" i="1"/>
  <c r="R2209" i="1"/>
  <c r="Q2209" i="1"/>
  <c r="M2209" i="1"/>
  <c r="L2209" i="1"/>
  <c r="V2208" i="1"/>
  <c r="Z2208" i="1" s="1"/>
  <c r="U2208" i="1"/>
  <c r="T2208" i="1"/>
  <c r="W2208" i="1" s="1"/>
  <c r="S2208" i="1"/>
  <c r="R2208" i="1"/>
  <c r="Q2208" i="1"/>
  <c r="M2208" i="1"/>
  <c r="L2208" i="1"/>
  <c r="V2207" i="1"/>
  <c r="Z2207" i="1" s="1"/>
  <c r="U2207" i="1"/>
  <c r="T2207" i="1"/>
  <c r="S2207" i="1"/>
  <c r="R2207" i="1"/>
  <c r="Q2207" i="1"/>
  <c r="M2207" i="1"/>
  <c r="L2207" i="1"/>
  <c r="V2206" i="1"/>
  <c r="U2206" i="1"/>
  <c r="T2206" i="1"/>
  <c r="W2206" i="1" s="1"/>
  <c r="S2206" i="1"/>
  <c r="R2206" i="1"/>
  <c r="Q2206" i="1"/>
  <c r="M2206" i="1"/>
  <c r="L2206" i="1"/>
  <c r="V2205" i="1"/>
  <c r="Z2205" i="1" s="1"/>
  <c r="U2205" i="1"/>
  <c r="T2205" i="1"/>
  <c r="W2205" i="1" s="1"/>
  <c r="S2205" i="1"/>
  <c r="R2205" i="1"/>
  <c r="Q2205" i="1"/>
  <c r="M2205" i="1"/>
  <c r="L2205" i="1"/>
  <c r="V2204" i="1"/>
  <c r="Z2204" i="1" s="1"/>
  <c r="U2204" i="1"/>
  <c r="T2204" i="1"/>
  <c r="W2204" i="1" s="1"/>
  <c r="S2204" i="1"/>
  <c r="R2204" i="1"/>
  <c r="Q2204" i="1"/>
  <c r="M2204" i="1"/>
  <c r="L2204" i="1"/>
  <c r="V2203" i="1"/>
  <c r="Z2203" i="1" s="1"/>
  <c r="U2203" i="1"/>
  <c r="T2203" i="1"/>
  <c r="S2203" i="1"/>
  <c r="R2203" i="1"/>
  <c r="Q2203" i="1"/>
  <c r="M2203" i="1"/>
  <c r="L2203" i="1"/>
  <c r="V2202" i="1"/>
  <c r="Z2202" i="1" s="1"/>
  <c r="U2202" i="1"/>
  <c r="T2202" i="1"/>
  <c r="W2202" i="1" s="1"/>
  <c r="S2202" i="1"/>
  <c r="R2202" i="1"/>
  <c r="Q2202" i="1"/>
  <c r="M2202" i="1"/>
  <c r="L2202" i="1"/>
  <c r="V2201" i="1"/>
  <c r="Z2201" i="1" s="1"/>
  <c r="U2201" i="1"/>
  <c r="T2201" i="1"/>
  <c r="S2201" i="1"/>
  <c r="R2201" i="1"/>
  <c r="Q2201" i="1"/>
  <c r="M2201" i="1"/>
  <c r="L2201" i="1"/>
  <c r="V2200" i="1"/>
  <c r="Z2200" i="1" s="1"/>
  <c r="U2200" i="1"/>
  <c r="T2200" i="1"/>
  <c r="W2200" i="1" s="1"/>
  <c r="S2200" i="1"/>
  <c r="R2200" i="1"/>
  <c r="Q2200" i="1"/>
  <c r="M2200" i="1"/>
  <c r="L2200" i="1"/>
  <c r="V2199" i="1"/>
  <c r="Z2199" i="1" s="1"/>
  <c r="U2199" i="1"/>
  <c r="T2199" i="1"/>
  <c r="W2199" i="1" s="1"/>
  <c r="S2199" i="1"/>
  <c r="R2199" i="1"/>
  <c r="Q2199" i="1"/>
  <c r="M2199" i="1"/>
  <c r="L2199" i="1"/>
  <c r="V2198" i="1"/>
  <c r="Z2198" i="1" s="1"/>
  <c r="U2198" i="1"/>
  <c r="T2198" i="1"/>
  <c r="W2198" i="1" s="1"/>
  <c r="S2198" i="1"/>
  <c r="R2198" i="1"/>
  <c r="Q2198" i="1"/>
  <c r="M2198" i="1"/>
  <c r="L2198" i="1"/>
  <c r="V2197" i="1"/>
  <c r="Z2197" i="1" s="1"/>
  <c r="U2197" i="1"/>
  <c r="T2197" i="1"/>
  <c r="S2197" i="1"/>
  <c r="R2197" i="1"/>
  <c r="Q2197" i="1"/>
  <c r="M2197" i="1"/>
  <c r="L2197" i="1"/>
  <c r="V2196" i="1"/>
  <c r="Z2196" i="1" s="1"/>
  <c r="U2196" i="1"/>
  <c r="T2196" i="1"/>
  <c r="W2196" i="1" s="1"/>
  <c r="S2196" i="1"/>
  <c r="R2196" i="1"/>
  <c r="Q2196" i="1"/>
  <c r="M2196" i="1"/>
  <c r="L2196" i="1"/>
  <c r="V2195" i="1"/>
  <c r="Z2195" i="1" s="1"/>
  <c r="U2195" i="1"/>
  <c r="T2195" i="1"/>
  <c r="W2195" i="1" s="1"/>
  <c r="S2195" i="1"/>
  <c r="R2195" i="1"/>
  <c r="Q2195" i="1"/>
  <c r="M2195" i="1"/>
  <c r="L2195" i="1"/>
  <c r="V2194" i="1"/>
  <c r="U2194" i="1"/>
  <c r="T2194" i="1"/>
  <c r="W2194" i="1" s="1"/>
  <c r="S2194" i="1"/>
  <c r="R2194" i="1"/>
  <c r="Q2194" i="1"/>
  <c r="M2194" i="1"/>
  <c r="L2194" i="1"/>
  <c r="V2193" i="1"/>
  <c r="Z2193" i="1" s="1"/>
  <c r="U2193" i="1"/>
  <c r="T2193" i="1"/>
  <c r="W2193" i="1" s="1"/>
  <c r="S2193" i="1"/>
  <c r="R2193" i="1"/>
  <c r="Q2193" i="1"/>
  <c r="M2193" i="1"/>
  <c r="L2193" i="1"/>
  <c r="V2192" i="1"/>
  <c r="Z2192" i="1" s="1"/>
  <c r="U2192" i="1"/>
  <c r="T2192" i="1"/>
  <c r="W2192" i="1" s="1"/>
  <c r="S2192" i="1"/>
  <c r="R2192" i="1"/>
  <c r="Q2192" i="1"/>
  <c r="M2192" i="1"/>
  <c r="L2192" i="1"/>
  <c r="V2191" i="1"/>
  <c r="Z2191" i="1" s="1"/>
  <c r="U2191" i="1"/>
  <c r="T2191" i="1"/>
  <c r="W2191" i="1" s="1"/>
  <c r="S2191" i="1"/>
  <c r="R2191" i="1"/>
  <c r="Q2191" i="1"/>
  <c r="M2191" i="1"/>
  <c r="L2191" i="1"/>
  <c r="V2190" i="1"/>
  <c r="U2190" i="1"/>
  <c r="T2190" i="1"/>
  <c r="W2190" i="1" s="1"/>
  <c r="S2190" i="1"/>
  <c r="R2190" i="1"/>
  <c r="Q2190" i="1"/>
  <c r="M2190" i="1"/>
  <c r="L2190" i="1"/>
  <c r="V2189" i="1"/>
  <c r="Z2189" i="1" s="1"/>
  <c r="U2189" i="1"/>
  <c r="T2189" i="1"/>
  <c r="W2189" i="1" s="1"/>
  <c r="S2189" i="1"/>
  <c r="R2189" i="1"/>
  <c r="Q2189" i="1"/>
  <c r="M2189" i="1"/>
  <c r="L2189" i="1"/>
  <c r="V2188" i="1"/>
  <c r="Z2188" i="1" s="1"/>
  <c r="U2188" i="1"/>
  <c r="T2188" i="1"/>
  <c r="W2188" i="1" s="1"/>
  <c r="S2188" i="1"/>
  <c r="R2188" i="1"/>
  <c r="Q2188" i="1"/>
  <c r="M2188" i="1"/>
  <c r="L2188" i="1"/>
  <c r="V2187" i="1"/>
  <c r="Z2187" i="1" s="1"/>
  <c r="U2187" i="1"/>
  <c r="T2187" i="1"/>
  <c r="W2187" i="1" s="1"/>
  <c r="S2187" i="1"/>
  <c r="R2187" i="1"/>
  <c r="Q2187" i="1"/>
  <c r="M2187" i="1"/>
  <c r="L2187" i="1"/>
  <c r="V2186" i="1"/>
  <c r="U2186" i="1"/>
  <c r="T2186" i="1"/>
  <c r="W2186" i="1" s="1"/>
  <c r="S2186" i="1"/>
  <c r="R2186" i="1"/>
  <c r="Q2186" i="1"/>
  <c r="M2186" i="1"/>
  <c r="L2186" i="1"/>
  <c r="V2185" i="1"/>
  <c r="Z2185" i="1" s="1"/>
  <c r="U2185" i="1"/>
  <c r="T2185" i="1"/>
  <c r="W2185" i="1" s="1"/>
  <c r="S2185" i="1"/>
  <c r="R2185" i="1"/>
  <c r="Q2185" i="1"/>
  <c r="M2185" i="1"/>
  <c r="L2185" i="1"/>
  <c r="V2184" i="1"/>
  <c r="Z2184" i="1" s="1"/>
  <c r="U2184" i="1"/>
  <c r="T2184" i="1"/>
  <c r="W2184" i="1" s="1"/>
  <c r="S2184" i="1"/>
  <c r="R2184" i="1"/>
  <c r="Q2184" i="1"/>
  <c r="M2184" i="1"/>
  <c r="L2184" i="1"/>
  <c r="V2183" i="1"/>
  <c r="Z2183" i="1" s="1"/>
  <c r="U2183" i="1"/>
  <c r="T2183" i="1"/>
  <c r="S2183" i="1"/>
  <c r="R2183" i="1"/>
  <c r="Q2183" i="1"/>
  <c r="M2183" i="1"/>
  <c r="L2183" i="1"/>
  <c r="V2182" i="1"/>
  <c r="Z2182" i="1" s="1"/>
  <c r="U2182" i="1"/>
  <c r="T2182" i="1"/>
  <c r="W2182" i="1" s="1"/>
  <c r="S2182" i="1"/>
  <c r="R2182" i="1"/>
  <c r="Q2182" i="1"/>
  <c r="M2182" i="1"/>
  <c r="L2182" i="1"/>
  <c r="V2181" i="1"/>
  <c r="Z2181" i="1" s="1"/>
  <c r="U2181" i="1"/>
  <c r="T2181" i="1"/>
  <c r="W2181" i="1" s="1"/>
  <c r="S2181" i="1"/>
  <c r="R2181" i="1"/>
  <c r="Q2181" i="1"/>
  <c r="M2181" i="1"/>
  <c r="L2181" i="1"/>
  <c r="V2180" i="1"/>
  <c r="Z2180" i="1" s="1"/>
  <c r="U2180" i="1"/>
  <c r="T2180" i="1"/>
  <c r="W2180" i="1" s="1"/>
  <c r="S2180" i="1"/>
  <c r="R2180" i="1"/>
  <c r="Q2180" i="1"/>
  <c r="M2180" i="1"/>
  <c r="L2180" i="1"/>
  <c r="V2179" i="1"/>
  <c r="Z2179" i="1" s="1"/>
  <c r="U2179" i="1"/>
  <c r="T2179" i="1"/>
  <c r="S2179" i="1"/>
  <c r="R2179" i="1"/>
  <c r="Q2179" i="1"/>
  <c r="M2179" i="1"/>
  <c r="L2179" i="1"/>
  <c r="V2178" i="1"/>
  <c r="U2178" i="1"/>
  <c r="T2178" i="1"/>
  <c r="W2178" i="1" s="1"/>
  <c r="S2178" i="1"/>
  <c r="R2178" i="1"/>
  <c r="Q2178" i="1"/>
  <c r="M2178" i="1"/>
  <c r="L2178" i="1"/>
  <c r="V2177" i="1"/>
  <c r="Z2177" i="1" s="1"/>
  <c r="U2177" i="1"/>
  <c r="T2177" i="1"/>
  <c r="S2177" i="1"/>
  <c r="R2177" i="1"/>
  <c r="Q2177" i="1"/>
  <c r="M2177" i="1"/>
  <c r="L2177" i="1"/>
  <c r="V2176" i="1"/>
  <c r="Z2176" i="1" s="1"/>
  <c r="U2176" i="1"/>
  <c r="T2176" i="1"/>
  <c r="W2176" i="1" s="1"/>
  <c r="S2176" i="1"/>
  <c r="R2176" i="1"/>
  <c r="Q2176" i="1"/>
  <c r="M2176" i="1"/>
  <c r="L2176" i="1"/>
  <c r="V2175" i="1"/>
  <c r="Z2175" i="1" s="1"/>
  <c r="U2175" i="1"/>
  <c r="T2175" i="1"/>
  <c r="S2175" i="1"/>
  <c r="R2175" i="1"/>
  <c r="Q2175" i="1"/>
  <c r="M2175" i="1"/>
  <c r="L2175" i="1"/>
  <c r="V2174" i="1"/>
  <c r="U2174" i="1"/>
  <c r="T2174" i="1"/>
  <c r="W2174" i="1" s="1"/>
  <c r="S2174" i="1"/>
  <c r="R2174" i="1"/>
  <c r="Q2174" i="1"/>
  <c r="M2174" i="1"/>
  <c r="L2174" i="1"/>
  <c r="V2173" i="1"/>
  <c r="Z2173" i="1" s="1"/>
  <c r="U2173" i="1"/>
  <c r="T2173" i="1"/>
  <c r="W2173" i="1" s="1"/>
  <c r="S2173" i="1"/>
  <c r="R2173" i="1"/>
  <c r="Q2173" i="1"/>
  <c r="M2173" i="1"/>
  <c r="L2173" i="1"/>
  <c r="V2172" i="1"/>
  <c r="Z2172" i="1" s="1"/>
  <c r="U2172" i="1"/>
  <c r="T2172" i="1"/>
  <c r="W2172" i="1" s="1"/>
  <c r="S2172" i="1"/>
  <c r="R2172" i="1"/>
  <c r="Q2172" i="1"/>
  <c r="M2172" i="1"/>
  <c r="L2172" i="1"/>
  <c r="V2171" i="1"/>
  <c r="Z2171" i="1" s="1"/>
  <c r="U2171" i="1"/>
  <c r="T2171" i="1"/>
  <c r="S2171" i="1"/>
  <c r="R2171" i="1"/>
  <c r="Q2171" i="1"/>
  <c r="M2171" i="1"/>
  <c r="L2171" i="1"/>
  <c r="V2170" i="1"/>
  <c r="Z2170" i="1" s="1"/>
  <c r="U2170" i="1"/>
  <c r="T2170" i="1"/>
  <c r="W2170" i="1" s="1"/>
  <c r="S2170" i="1"/>
  <c r="R2170" i="1"/>
  <c r="Q2170" i="1"/>
  <c r="M2170" i="1"/>
  <c r="L2170" i="1"/>
  <c r="V2169" i="1"/>
  <c r="Z2169" i="1" s="1"/>
  <c r="U2169" i="1"/>
  <c r="T2169" i="1"/>
  <c r="S2169" i="1"/>
  <c r="R2169" i="1"/>
  <c r="Q2169" i="1"/>
  <c r="M2169" i="1"/>
  <c r="L2169" i="1"/>
  <c r="V2168" i="1"/>
  <c r="Z2168" i="1" s="1"/>
  <c r="U2168" i="1"/>
  <c r="T2168" i="1"/>
  <c r="W2168" i="1" s="1"/>
  <c r="S2168" i="1"/>
  <c r="R2168" i="1"/>
  <c r="Q2168" i="1"/>
  <c r="M2168" i="1"/>
  <c r="L2168" i="1"/>
  <c r="V2167" i="1"/>
  <c r="Z2167" i="1" s="1"/>
  <c r="U2167" i="1"/>
  <c r="T2167" i="1"/>
  <c r="W2167" i="1" s="1"/>
  <c r="S2167" i="1"/>
  <c r="R2167" i="1"/>
  <c r="Q2167" i="1"/>
  <c r="M2167" i="1"/>
  <c r="L2167" i="1"/>
  <c r="V2166" i="1"/>
  <c r="Z2166" i="1" s="1"/>
  <c r="U2166" i="1"/>
  <c r="T2166" i="1"/>
  <c r="W2166" i="1" s="1"/>
  <c r="S2166" i="1"/>
  <c r="R2166" i="1"/>
  <c r="Q2166" i="1"/>
  <c r="M2166" i="1"/>
  <c r="L2166" i="1"/>
  <c r="V2165" i="1"/>
  <c r="Z2165" i="1" s="1"/>
  <c r="U2165" i="1"/>
  <c r="T2165" i="1"/>
  <c r="S2165" i="1"/>
  <c r="R2165" i="1"/>
  <c r="Q2165" i="1"/>
  <c r="M2165" i="1"/>
  <c r="L2165" i="1"/>
  <c r="V2164" i="1"/>
  <c r="Z2164" i="1" s="1"/>
  <c r="U2164" i="1"/>
  <c r="T2164" i="1"/>
  <c r="W2164" i="1" s="1"/>
  <c r="S2164" i="1"/>
  <c r="R2164" i="1"/>
  <c r="Q2164" i="1"/>
  <c r="M2164" i="1"/>
  <c r="L2164" i="1"/>
  <c r="V2163" i="1"/>
  <c r="Z2163" i="1" s="1"/>
  <c r="U2163" i="1"/>
  <c r="T2163" i="1"/>
  <c r="W2163" i="1" s="1"/>
  <c r="S2163" i="1"/>
  <c r="R2163" i="1"/>
  <c r="Q2163" i="1"/>
  <c r="M2163" i="1"/>
  <c r="L2163" i="1"/>
  <c r="V2162" i="1"/>
  <c r="U2162" i="1"/>
  <c r="T2162" i="1"/>
  <c r="W2162" i="1" s="1"/>
  <c r="S2162" i="1"/>
  <c r="R2162" i="1"/>
  <c r="Q2162" i="1"/>
  <c r="M2162" i="1"/>
  <c r="L2162" i="1"/>
  <c r="V2161" i="1"/>
  <c r="Z2161" i="1" s="1"/>
  <c r="U2161" i="1"/>
  <c r="T2161" i="1"/>
  <c r="W2161" i="1" s="1"/>
  <c r="S2161" i="1"/>
  <c r="R2161" i="1"/>
  <c r="Q2161" i="1"/>
  <c r="M2161" i="1"/>
  <c r="L2161" i="1"/>
  <c r="V2160" i="1"/>
  <c r="Z2160" i="1" s="1"/>
  <c r="U2160" i="1"/>
  <c r="T2160" i="1"/>
  <c r="W2160" i="1" s="1"/>
  <c r="S2160" i="1"/>
  <c r="R2160" i="1"/>
  <c r="Q2160" i="1"/>
  <c r="M2160" i="1"/>
  <c r="L2160" i="1"/>
  <c r="V2159" i="1"/>
  <c r="Z2159" i="1" s="1"/>
  <c r="U2159" i="1"/>
  <c r="T2159" i="1"/>
  <c r="W2159" i="1" s="1"/>
  <c r="S2159" i="1"/>
  <c r="R2159" i="1"/>
  <c r="Q2159" i="1"/>
  <c r="M2159" i="1"/>
  <c r="L2159" i="1"/>
  <c r="V2158" i="1"/>
  <c r="U2158" i="1"/>
  <c r="T2158" i="1"/>
  <c r="W2158" i="1" s="1"/>
  <c r="S2158" i="1"/>
  <c r="R2158" i="1"/>
  <c r="Q2158" i="1"/>
  <c r="M2158" i="1"/>
  <c r="L2158" i="1"/>
  <c r="V2157" i="1"/>
  <c r="Z2157" i="1" s="1"/>
  <c r="U2157" i="1"/>
  <c r="T2157" i="1"/>
  <c r="W2157" i="1" s="1"/>
  <c r="S2157" i="1"/>
  <c r="R2157" i="1"/>
  <c r="Q2157" i="1"/>
  <c r="M2157" i="1"/>
  <c r="L2157" i="1"/>
  <c r="V2156" i="1"/>
  <c r="Z2156" i="1" s="1"/>
  <c r="U2156" i="1"/>
  <c r="T2156" i="1"/>
  <c r="W2156" i="1" s="1"/>
  <c r="S2156" i="1"/>
  <c r="R2156" i="1"/>
  <c r="Q2156" i="1"/>
  <c r="M2156" i="1"/>
  <c r="L2156" i="1"/>
  <c r="V2155" i="1"/>
  <c r="Z2155" i="1" s="1"/>
  <c r="U2155" i="1"/>
  <c r="T2155" i="1"/>
  <c r="W2155" i="1" s="1"/>
  <c r="S2155" i="1"/>
  <c r="R2155" i="1"/>
  <c r="Q2155" i="1"/>
  <c r="M2155" i="1"/>
  <c r="L2155" i="1"/>
  <c r="V2154" i="1"/>
  <c r="U2154" i="1"/>
  <c r="T2154" i="1"/>
  <c r="W2154" i="1" s="1"/>
  <c r="S2154" i="1"/>
  <c r="R2154" i="1"/>
  <c r="Q2154" i="1"/>
  <c r="M2154" i="1"/>
  <c r="L2154" i="1"/>
  <c r="V2153" i="1"/>
  <c r="Z2153" i="1" s="1"/>
  <c r="U2153" i="1"/>
  <c r="T2153" i="1"/>
  <c r="W2153" i="1" s="1"/>
  <c r="S2153" i="1"/>
  <c r="R2153" i="1"/>
  <c r="Q2153" i="1"/>
  <c r="M2153" i="1"/>
  <c r="L2153" i="1"/>
  <c r="V2152" i="1"/>
  <c r="Z2152" i="1" s="1"/>
  <c r="U2152" i="1"/>
  <c r="T2152" i="1"/>
  <c r="W2152" i="1" s="1"/>
  <c r="S2152" i="1"/>
  <c r="R2152" i="1"/>
  <c r="Q2152" i="1"/>
  <c r="M2152" i="1"/>
  <c r="L2152" i="1"/>
  <c r="V2151" i="1"/>
  <c r="Z2151" i="1" s="1"/>
  <c r="U2151" i="1"/>
  <c r="T2151" i="1"/>
  <c r="S2151" i="1"/>
  <c r="R2151" i="1"/>
  <c r="Q2151" i="1"/>
  <c r="M2151" i="1"/>
  <c r="L2151" i="1"/>
  <c r="V2150" i="1"/>
  <c r="U2150" i="1"/>
  <c r="T2150" i="1"/>
  <c r="W2150" i="1" s="1"/>
  <c r="S2150" i="1"/>
  <c r="R2150" i="1"/>
  <c r="Q2150" i="1"/>
  <c r="M2150" i="1"/>
  <c r="L2150" i="1"/>
  <c r="V2149" i="1"/>
  <c r="Z2149" i="1" s="1"/>
  <c r="U2149" i="1"/>
  <c r="T2149" i="1"/>
  <c r="W2149" i="1" s="1"/>
  <c r="S2149" i="1"/>
  <c r="R2149" i="1"/>
  <c r="Q2149" i="1"/>
  <c r="M2149" i="1"/>
  <c r="L2149" i="1"/>
  <c r="V2148" i="1"/>
  <c r="Z2148" i="1" s="1"/>
  <c r="U2148" i="1"/>
  <c r="T2148" i="1"/>
  <c r="W2148" i="1" s="1"/>
  <c r="S2148" i="1"/>
  <c r="R2148" i="1"/>
  <c r="Q2148" i="1"/>
  <c r="M2148" i="1"/>
  <c r="L2148" i="1"/>
  <c r="V2147" i="1"/>
  <c r="Z2147" i="1" s="1"/>
  <c r="U2147" i="1"/>
  <c r="T2147" i="1"/>
  <c r="S2147" i="1"/>
  <c r="R2147" i="1"/>
  <c r="Q2147" i="1"/>
  <c r="M2147" i="1"/>
  <c r="L2147" i="1"/>
  <c r="V2146" i="1"/>
  <c r="U2146" i="1"/>
  <c r="T2146" i="1"/>
  <c r="W2146" i="1" s="1"/>
  <c r="S2146" i="1"/>
  <c r="R2146" i="1"/>
  <c r="Q2146" i="1"/>
  <c r="M2146" i="1"/>
  <c r="L2146" i="1"/>
  <c r="V2145" i="1"/>
  <c r="Z2145" i="1" s="1"/>
  <c r="U2145" i="1"/>
  <c r="T2145" i="1"/>
  <c r="W2145" i="1" s="1"/>
  <c r="S2145" i="1"/>
  <c r="R2145" i="1"/>
  <c r="Q2145" i="1"/>
  <c r="M2145" i="1"/>
  <c r="L2145" i="1"/>
  <c r="V2144" i="1"/>
  <c r="Z2144" i="1" s="1"/>
  <c r="U2144" i="1"/>
  <c r="T2144" i="1"/>
  <c r="W2144" i="1" s="1"/>
  <c r="S2144" i="1"/>
  <c r="R2144" i="1"/>
  <c r="Q2144" i="1"/>
  <c r="M2144" i="1"/>
  <c r="L2144" i="1"/>
  <c r="V2143" i="1"/>
  <c r="Z2143" i="1" s="1"/>
  <c r="U2143" i="1"/>
  <c r="T2143" i="1"/>
  <c r="W2143" i="1" s="1"/>
  <c r="S2143" i="1"/>
  <c r="R2143" i="1"/>
  <c r="Q2143" i="1"/>
  <c r="M2143" i="1"/>
  <c r="L2143" i="1"/>
  <c r="V2142" i="1"/>
  <c r="U2142" i="1"/>
  <c r="T2142" i="1"/>
  <c r="W2142" i="1" s="1"/>
  <c r="S2142" i="1"/>
  <c r="R2142" i="1"/>
  <c r="Q2142" i="1"/>
  <c r="M2142" i="1"/>
  <c r="L2142" i="1"/>
  <c r="V2141" i="1"/>
  <c r="Z2141" i="1" s="1"/>
  <c r="U2141" i="1"/>
  <c r="T2141" i="1"/>
  <c r="W2141" i="1" s="1"/>
  <c r="S2141" i="1"/>
  <c r="R2141" i="1"/>
  <c r="Q2141" i="1"/>
  <c r="M2141" i="1"/>
  <c r="L2141" i="1"/>
  <c r="V2140" i="1"/>
  <c r="Z2140" i="1" s="1"/>
  <c r="U2140" i="1"/>
  <c r="T2140" i="1"/>
  <c r="W2140" i="1" s="1"/>
  <c r="S2140" i="1"/>
  <c r="R2140" i="1"/>
  <c r="Q2140" i="1"/>
  <c r="M2140" i="1"/>
  <c r="L2140" i="1"/>
  <c r="V2139" i="1"/>
  <c r="Z2139" i="1" s="1"/>
  <c r="U2139" i="1"/>
  <c r="T2139" i="1"/>
  <c r="W2139" i="1" s="1"/>
  <c r="S2139" i="1"/>
  <c r="R2139" i="1"/>
  <c r="Q2139" i="1"/>
  <c r="M2139" i="1"/>
  <c r="L2139" i="1"/>
  <c r="V2138" i="1"/>
  <c r="U2138" i="1"/>
  <c r="T2138" i="1"/>
  <c r="W2138" i="1" s="1"/>
  <c r="S2138" i="1"/>
  <c r="R2138" i="1"/>
  <c r="Q2138" i="1"/>
  <c r="M2138" i="1"/>
  <c r="L2138" i="1"/>
  <c r="V2137" i="1"/>
  <c r="Z2137" i="1" s="1"/>
  <c r="U2137" i="1"/>
  <c r="T2137" i="1"/>
  <c r="W2137" i="1" s="1"/>
  <c r="S2137" i="1"/>
  <c r="R2137" i="1"/>
  <c r="Q2137" i="1"/>
  <c r="M2137" i="1"/>
  <c r="L2137" i="1"/>
  <c r="V2136" i="1"/>
  <c r="Z2136" i="1" s="1"/>
  <c r="U2136" i="1"/>
  <c r="T2136" i="1"/>
  <c r="W2136" i="1" s="1"/>
  <c r="S2136" i="1"/>
  <c r="R2136" i="1"/>
  <c r="Q2136" i="1"/>
  <c r="M2136" i="1"/>
  <c r="L2136" i="1"/>
  <c r="V2135" i="1"/>
  <c r="Z2135" i="1" s="1"/>
  <c r="U2135" i="1"/>
  <c r="T2135" i="1"/>
  <c r="W2135" i="1" s="1"/>
  <c r="S2135" i="1"/>
  <c r="R2135" i="1"/>
  <c r="Q2135" i="1"/>
  <c r="M2135" i="1"/>
  <c r="L2135" i="1"/>
  <c r="V2134" i="1"/>
  <c r="U2134" i="1"/>
  <c r="T2134" i="1"/>
  <c r="W2134" i="1" s="1"/>
  <c r="S2134" i="1"/>
  <c r="R2134" i="1"/>
  <c r="Q2134" i="1"/>
  <c r="M2134" i="1"/>
  <c r="L2134" i="1"/>
  <c r="V2133" i="1"/>
  <c r="Z2133" i="1" s="1"/>
  <c r="U2133" i="1"/>
  <c r="T2133" i="1"/>
  <c r="W2133" i="1" s="1"/>
  <c r="S2133" i="1"/>
  <c r="R2133" i="1"/>
  <c r="Q2133" i="1"/>
  <c r="M2133" i="1"/>
  <c r="L2133" i="1"/>
  <c r="V2132" i="1"/>
  <c r="Z2132" i="1" s="1"/>
  <c r="U2132" i="1"/>
  <c r="T2132" i="1"/>
  <c r="W2132" i="1" s="1"/>
  <c r="S2132" i="1"/>
  <c r="R2132" i="1"/>
  <c r="Q2132" i="1"/>
  <c r="M2132" i="1"/>
  <c r="L2132" i="1"/>
  <c r="V2131" i="1"/>
  <c r="Z2131" i="1" s="1"/>
  <c r="U2131" i="1"/>
  <c r="T2131" i="1"/>
  <c r="W2131" i="1" s="1"/>
  <c r="S2131" i="1"/>
  <c r="R2131" i="1"/>
  <c r="Q2131" i="1"/>
  <c r="M2131" i="1"/>
  <c r="L2131" i="1"/>
  <c r="V2130" i="1"/>
  <c r="U2130" i="1"/>
  <c r="T2130" i="1"/>
  <c r="W2130" i="1" s="1"/>
  <c r="S2130" i="1"/>
  <c r="R2130" i="1"/>
  <c r="Q2130" i="1"/>
  <c r="M2130" i="1"/>
  <c r="L2130" i="1"/>
  <c r="V2129" i="1"/>
  <c r="Z2129" i="1" s="1"/>
  <c r="U2129" i="1"/>
  <c r="T2129" i="1"/>
  <c r="S2129" i="1"/>
  <c r="R2129" i="1"/>
  <c r="Q2129" i="1"/>
  <c r="M2129" i="1"/>
  <c r="L2129" i="1"/>
  <c r="V2128" i="1"/>
  <c r="Z2128" i="1" s="1"/>
  <c r="U2128" i="1"/>
  <c r="T2128" i="1"/>
  <c r="W2128" i="1" s="1"/>
  <c r="S2128" i="1"/>
  <c r="R2128" i="1"/>
  <c r="Q2128" i="1"/>
  <c r="M2128" i="1"/>
  <c r="L2128" i="1"/>
  <c r="V2127" i="1"/>
  <c r="Z2127" i="1" s="1"/>
  <c r="U2127" i="1"/>
  <c r="T2127" i="1"/>
  <c r="W2127" i="1" s="1"/>
  <c r="S2127" i="1"/>
  <c r="R2127" i="1"/>
  <c r="Q2127" i="1"/>
  <c r="M2127" i="1"/>
  <c r="L2127" i="1"/>
  <c r="V2126" i="1"/>
  <c r="U2126" i="1"/>
  <c r="T2126" i="1"/>
  <c r="W2126" i="1" s="1"/>
  <c r="S2126" i="1"/>
  <c r="R2126" i="1"/>
  <c r="Q2126" i="1"/>
  <c r="M2126" i="1"/>
  <c r="L2126" i="1"/>
  <c r="V2125" i="1"/>
  <c r="Z2125" i="1" s="1"/>
  <c r="U2125" i="1"/>
  <c r="T2125" i="1"/>
  <c r="W2125" i="1" s="1"/>
  <c r="S2125" i="1"/>
  <c r="R2125" i="1"/>
  <c r="Q2125" i="1"/>
  <c r="M2125" i="1"/>
  <c r="L2125" i="1"/>
  <c r="V2124" i="1"/>
  <c r="Z2124" i="1" s="1"/>
  <c r="U2124" i="1"/>
  <c r="T2124" i="1"/>
  <c r="W2124" i="1" s="1"/>
  <c r="S2124" i="1"/>
  <c r="R2124" i="1"/>
  <c r="Q2124" i="1"/>
  <c r="M2124" i="1"/>
  <c r="L2124" i="1"/>
  <c r="V2123" i="1"/>
  <c r="Z2123" i="1" s="1"/>
  <c r="U2123" i="1"/>
  <c r="T2123" i="1"/>
  <c r="S2123" i="1"/>
  <c r="R2123" i="1"/>
  <c r="Q2123" i="1"/>
  <c r="M2123" i="1"/>
  <c r="L2123" i="1"/>
  <c r="V2122" i="1"/>
  <c r="Z2122" i="1" s="1"/>
  <c r="U2122" i="1"/>
  <c r="T2122" i="1"/>
  <c r="W2122" i="1" s="1"/>
  <c r="S2122" i="1"/>
  <c r="R2122" i="1"/>
  <c r="Q2122" i="1"/>
  <c r="M2122" i="1"/>
  <c r="L2122" i="1"/>
  <c r="V2121" i="1"/>
  <c r="Z2121" i="1" s="1"/>
  <c r="U2121" i="1"/>
  <c r="T2121" i="1"/>
  <c r="S2121" i="1"/>
  <c r="R2121" i="1"/>
  <c r="Q2121" i="1"/>
  <c r="M2121" i="1"/>
  <c r="L2121" i="1"/>
  <c r="V2120" i="1"/>
  <c r="Z2120" i="1" s="1"/>
  <c r="U2120" i="1"/>
  <c r="T2120" i="1"/>
  <c r="W2120" i="1" s="1"/>
  <c r="S2120" i="1"/>
  <c r="R2120" i="1"/>
  <c r="Q2120" i="1"/>
  <c r="M2120" i="1"/>
  <c r="L2120" i="1"/>
  <c r="V2119" i="1"/>
  <c r="Z2119" i="1" s="1"/>
  <c r="U2119" i="1"/>
  <c r="T2119" i="1"/>
  <c r="W2119" i="1" s="1"/>
  <c r="S2119" i="1"/>
  <c r="R2119" i="1"/>
  <c r="Q2119" i="1"/>
  <c r="M2119" i="1"/>
  <c r="L2119" i="1"/>
  <c r="V2118" i="1"/>
  <c r="Z2118" i="1" s="1"/>
  <c r="U2118" i="1"/>
  <c r="T2118" i="1"/>
  <c r="W2118" i="1" s="1"/>
  <c r="S2118" i="1"/>
  <c r="R2118" i="1"/>
  <c r="Q2118" i="1"/>
  <c r="M2118" i="1"/>
  <c r="L2118" i="1"/>
  <c r="V2117" i="1"/>
  <c r="Z2117" i="1" s="1"/>
  <c r="U2117" i="1"/>
  <c r="T2117" i="1"/>
  <c r="S2117" i="1"/>
  <c r="R2117" i="1"/>
  <c r="Q2117" i="1"/>
  <c r="M2117" i="1"/>
  <c r="L2117" i="1"/>
  <c r="V2116" i="1"/>
  <c r="Z2116" i="1" s="1"/>
  <c r="U2116" i="1"/>
  <c r="T2116" i="1"/>
  <c r="W2116" i="1" s="1"/>
  <c r="S2116" i="1"/>
  <c r="R2116" i="1"/>
  <c r="Q2116" i="1"/>
  <c r="M2116" i="1"/>
  <c r="L2116" i="1"/>
  <c r="V2115" i="1"/>
  <c r="Z2115" i="1" s="1"/>
  <c r="U2115" i="1"/>
  <c r="T2115" i="1"/>
  <c r="S2115" i="1"/>
  <c r="R2115" i="1"/>
  <c r="Q2115" i="1"/>
  <c r="M2115" i="1"/>
  <c r="L2115" i="1"/>
  <c r="V2114" i="1"/>
  <c r="Z2114" i="1" s="1"/>
  <c r="U2114" i="1"/>
  <c r="T2114" i="1"/>
  <c r="W2114" i="1" s="1"/>
  <c r="S2114" i="1"/>
  <c r="R2114" i="1"/>
  <c r="Q2114" i="1"/>
  <c r="M2114" i="1"/>
  <c r="L2114" i="1"/>
  <c r="V2113" i="1"/>
  <c r="Z2113" i="1" s="1"/>
  <c r="U2113" i="1"/>
  <c r="T2113" i="1"/>
  <c r="W2113" i="1" s="1"/>
  <c r="S2113" i="1"/>
  <c r="R2113" i="1"/>
  <c r="Q2113" i="1"/>
  <c r="M2113" i="1"/>
  <c r="L2113" i="1"/>
  <c r="V2112" i="1"/>
  <c r="Z2112" i="1" s="1"/>
  <c r="U2112" i="1"/>
  <c r="T2112" i="1"/>
  <c r="W2112" i="1" s="1"/>
  <c r="S2112" i="1"/>
  <c r="R2112" i="1"/>
  <c r="Q2112" i="1"/>
  <c r="M2112" i="1"/>
  <c r="L2112" i="1"/>
  <c r="V2111" i="1"/>
  <c r="Z2111" i="1" s="1"/>
  <c r="U2111" i="1"/>
  <c r="T2111" i="1"/>
  <c r="S2111" i="1"/>
  <c r="R2111" i="1"/>
  <c r="Q2111" i="1"/>
  <c r="M2111" i="1"/>
  <c r="L2111" i="1"/>
  <c r="V2110" i="1"/>
  <c r="Z2110" i="1" s="1"/>
  <c r="U2110" i="1"/>
  <c r="T2110" i="1"/>
  <c r="W2110" i="1" s="1"/>
  <c r="S2110" i="1"/>
  <c r="R2110" i="1"/>
  <c r="Q2110" i="1"/>
  <c r="M2110" i="1"/>
  <c r="L2110" i="1"/>
  <c r="V2109" i="1"/>
  <c r="Z2109" i="1" s="1"/>
  <c r="U2109" i="1"/>
  <c r="T2109" i="1"/>
  <c r="S2109" i="1"/>
  <c r="R2109" i="1"/>
  <c r="Q2109" i="1"/>
  <c r="M2109" i="1"/>
  <c r="L2109" i="1"/>
  <c r="V2108" i="1"/>
  <c r="Z2108" i="1" s="1"/>
  <c r="U2108" i="1"/>
  <c r="T2108" i="1"/>
  <c r="W2108" i="1" s="1"/>
  <c r="S2108" i="1"/>
  <c r="R2108" i="1"/>
  <c r="Q2108" i="1"/>
  <c r="M2108" i="1"/>
  <c r="L2108" i="1"/>
  <c r="V2107" i="1"/>
  <c r="Z2107" i="1" s="1"/>
  <c r="U2107" i="1"/>
  <c r="T2107" i="1"/>
  <c r="S2107" i="1"/>
  <c r="R2107" i="1"/>
  <c r="Q2107" i="1"/>
  <c r="M2107" i="1"/>
  <c r="L2107" i="1"/>
  <c r="V2106" i="1"/>
  <c r="Z2106" i="1" s="1"/>
  <c r="U2106" i="1"/>
  <c r="T2106" i="1"/>
  <c r="W2106" i="1" s="1"/>
  <c r="S2106" i="1"/>
  <c r="R2106" i="1"/>
  <c r="Q2106" i="1"/>
  <c r="M2106" i="1"/>
  <c r="L2106" i="1"/>
  <c r="V2105" i="1"/>
  <c r="Z2105" i="1" s="1"/>
  <c r="U2105" i="1"/>
  <c r="T2105" i="1"/>
  <c r="W2105" i="1" s="1"/>
  <c r="S2105" i="1"/>
  <c r="R2105" i="1"/>
  <c r="Q2105" i="1"/>
  <c r="M2105" i="1"/>
  <c r="L2105" i="1"/>
  <c r="V2104" i="1"/>
  <c r="Z2104" i="1" s="1"/>
  <c r="U2104" i="1"/>
  <c r="T2104" i="1"/>
  <c r="W2104" i="1" s="1"/>
  <c r="S2104" i="1"/>
  <c r="R2104" i="1"/>
  <c r="Q2104" i="1"/>
  <c r="M2104" i="1"/>
  <c r="L2104" i="1"/>
  <c r="V2103" i="1"/>
  <c r="Z2103" i="1" s="1"/>
  <c r="U2103" i="1"/>
  <c r="T2103" i="1"/>
  <c r="S2103" i="1"/>
  <c r="R2103" i="1"/>
  <c r="Q2103" i="1"/>
  <c r="M2103" i="1"/>
  <c r="L2103" i="1"/>
  <c r="V2102" i="1"/>
  <c r="U2102" i="1"/>
  <c r="T2102" i="1"/>
  <c r="W2102" i="1" s="1"/>
  <c r="S2102" i="1"/>
  <c r="R2102" i="1"/>
  <c r="Q2102" i="1"/>
  <c r="M2102" i="1"/>
  <c r="L2102" i="1"/>
  <c r="V2101" i="1"/>
  <c r="Z2101" i="1" s="1"/>
  <c r="U2101" i="1"/>
  <c r="T2101" i="1"/>
  <c r="W2101" i="1" s="1"/>
  <c r="S2101" i="1"/>
  <c r="R2101" i="1"/>
  <c r="Q2101" i="1"/>
  <c r="M2101" i="1"/>
  <c r="L2101" i="1"/>
  <c r="V2100" i="1"/>
  <c r="Z2100" i="1" s="1"/>
  <c r="U2100" i="1"/>
  <c r="T2100" i="1"/>
  <c r="W2100" i="1" s="1"/>
  <c r="S2100" i="1"/>
  <c r="R2100" i="1"/>
  <c r="Q2100" i="1"/>
  <c r="M2100" i="1"/>
  <c r="L2100" i="1"/>
  <c r="V2099" i="1"/>
  <c r="Z2099" i="1" s="1"/>
  <c r="U2099" i="1"/>
  <c r="T2099" i="1"/>
  <c r="S2099" i="1"/>
  <c r="R2099" i="1"/>
  <c r="Q2099" i="1"/>
  <c r="M2099" i="1"/>
  <c r="L2099" i="1"/>
  <c r="V2098" i="1"/>
  <c r="Z2098" i="1" s="1"/>
  <c r="U2098" i="1"/>
  <c r="T2098" i="1"/>
  <c r="W2098" i="1" s="1"/>
  <c r="S2098" i="1"/>
  <c r="R2098" i="1"/>
  <c r="Q2098" i="1"/>
  <c r="M2098" i="1"/>
  <c r="L2098" i="1"/>
  <c r="V2097" i="1"/>
  <c r="Z2097" i="1" s="1"/>
  <c r="U2097" i="1"/>
  <c r="T2097" i="1"/>
  <c r="S2097" i="1"/>
  <c r="R2097" i="1"/>
  <c r="Q2097" i="1"/>
  <c r="M2097" i="1"/>
  <c r="L2097" i="1"/>
  <c r="V2096" i="1"/>
  <c r="Z2096" i="1" s="1"/>
  <c r="U2096" i="1"/>
  <c r="T2096" i="1"/>
  <c r="W2096" i="1" s="1"/>
  <c r="S2096" i="1"/>
  <c r="R2096" i="1"/>
  <c r="Q2096" i="1"/>
  <c r="M2096" i="1"/>
  <c r="L2096" i="1"/>
  <c r="V2095" i="1"/>
  <c r="Z2095" i="1" s="1"/>
  <c r="U2095" i="1"/>
  <c r="T2095" i="1"/>
  <c r="S2095" i="1"/>
  <c r="R2095" i="1"/>
  <c r="Q2095" i="1"/>
  <c r="M2095" i="1"/>
  <c r="L2095" i="1"/>
  <c r="V2094" i="1"/>
  <c r="U2094" i="1"/>
  <c r="T2094" i="1"/>
  <c r="W2094" i="1" s="1"/>
  <c r="S2094" i="1"/>
  <c r="R2094" i="1"/>
  <c r="Q2094" i="1"/>
  <c r="M2094" i="1"/>
  <c r="L2094" i="1"/>
  <c r="V2093" i="1"/>
  <c r="Z2093" i="1" s="1"/>
  <c r="U2093" i="1"/>
  <c r="T2093" i="1"/>
  <c r="S2093" i="1"/>
  <c r="R2093" i="1"/>
  <c r="Q2093" i="1"/>
  <c r="M2093" i="1"/>
  <c r="L2093" i="1"/>
  <c r="V2092" i="1"/>
  <c r="Z2092" i="1" s="1"/>
  <c r="U2092" i="1"/>
  <c r="T2092" i="1"/>
  <c r="W2092" i="1" s="1"/>
  <c r="S2092" i="1"/>
  <c r="R2092" i="1"/>
  <c r="Q2092" i="1"/>
  <c r="M2092" i="1"/>
  <c r="L2092" i="1"/>
  <c r="V2091" i="1"/>
  <c r="Z2091" i="1" s="1"/>
  <c r="U2091" i="1"/>
  <c r="T2091" i="1"/>
  <c r="S2091" i="1"/>
  <c r="R2091" i="1"/>
  <c r="Q2091" i="1"/>
  <c r="M2091" i="1"/>
  <c r="L2091" i="1"/>
  <c r="V2090" i="1"/>
  <c r="Z2090" i="1" s="1"/>
  <c r="U2090" i="1"/>
  <c r="T2090" i="1"/>
  <c r="W2090" i="1" s="1"/>
  <c r="S2090" i="1"/>
  <c r="R2090" i="1"/>
  <c r="Q2090" i="1"/>
  <c r="M2090" i="1"/>
  <c r="L2090" i="1"/>
  <c r="V2089" i="1"/>
  <c r="U2089" i="1"/>
  <c r="T2089" i="1"/>
  <c r="W2089" i="1" s="1"/>
  <c r="S2089" i="1"/>
  <c r="R2089" i="1"/>
  <c r="Q2089" i="1"/>
  <c r="M2089" i="1"/>
  <c r="L2089" i="1"/>
  <c r="V2088" i="1"/>
  <c r="Z2088" i="1" s="1"/>
  <c r="U2088" i="1"/>
  <c r="T2088" i="1"/>
  <c r="W2088" i="1" s="1"/>
  <c r="S2088" i="1"/>
  <c r="R2088" i="1"/>
  <c r="Q2088" i="1"/>
  <c r="M2088" i="1"/>
  <c r="L2088" i="1"/>
  <c r="V2087" i="1"/>
  <c r="Z2087" i="1" s="1"/>
  <c r="U2087" i="1"/>
  <c r="T2087" i="1"/>
  <c r="W2087" i="1" s="1"/>
  <c r="S2087" i="1"/>
  <c r="R2087" i="1"/>
  <c r="Q2087" i="1"/>
  <c r="M2087" i="1"/>
  <c r="L2087" i="1"/>
  <c r="V2086" i="1"/>
  <c r="U2086" i="1"/>
  <c r="T2086" i="1"/>
  <c r="W2086" i="1" s="1"/>
  <c r="S2086" i="1"/>
  <c r="R2086" i="1"/>
  <c r="Q2086" i="1"/>
  <c r="M2086" i="1"/>
  <c r="L2086" i="1"/>
  <c r="V2085" i="1"/>
  <c r="Z2085" i="1" s="1"/>
  <c r="U2085" i="1"/>
  <c r="T2085" i="1"/>
  <c r="W2085" i="1" s="1"/>
  <c r="S2085" i="1"/>
  <c r="R2085" i="1"/>
  <c r="Q2085" i="1"/>
  <c r="M2085" i="1"/>
  <c r="L2085" i="1"/>
  <c r="V2084" i="1"/>
  <c r="Z2084" i="1" s="1"/>
  <c r="U2084" i="1"/>
  <c r="T2084" i="1"/>
  <c r="W2084" i="1" s="1"/>
  <c r="S2084" i="1"/>
  <c r="R2084" i="1"/>
  <c r="Q2084" i="1"/>
  <c r="M2084" i="1"/>
  <c r="L2084" i="1"/>
  <c r="V2083" i="1"/>
  <c r="Z2083" i="1" s="1"/>
  <c r="U2083" i="1"/>
  <c r="T2083" i="1"/>
  <c r="S2083" i="1"/>
  <c r="R2083" i="1"/>
  <c r="Q2083" i="1"/>
  <c r="M2083" i="1"/>
  <c r="L2083" i="1"/>
  <c r="V2082" i="1"/>
  <c r="Z2082" i="1" s="1"/>
  <c r="U2082" i="1"/>
  <c r="T2082" i="1"/>
  <c r="W2082" i="1" s="1"/>
  <c r="S2082" i="1"/>
  <c r="R2082" i="1"/>
  <c r="Q2082" i="1"/>
  <c r="M2082" i="1"/>
  <c r="L2082" i="1"/>
  <c r="V2081" i="1"/>
  <c r="Z2081" i="1" s="1"/>
  <c r="U2081" i="1"/>
  <c r="T2081" i="1"/>
  <c r="S2081" i="1"/>
  <c r="R2081" i="1"/>
  <c r="Q2081" i="1"/>
  <c r="M2081" i="1"/>
  <c r="L2081" i="1"/>
  <c r="V2080" i="1"/>
  <c r="Z2080" i="1" s="1"/>
  <c r="U2080" i="1"/>
  <c r="T2080" i="1"/>
  <c r="W2080" i="1" s="1"/>
  <c r="S2080" i="1"/>
  <c r="R2080" i="1"/>
  <c r="Q2080" i="1"/>
  <c r="M2080" i="1"/>
  <c r="L2080" i="1"/>
  <c r="V2079" i="1"/>
  <c r="Z2079" i="1" s="1"/>
  <c r="U2079" i="1"/>
  <c r="T2079" i="1"/>
  <c r="S2079" i="1"/>
  <c r="R2079" i="1"/>
  <c r="Q2079" i="1"/>
  <c r="M2079" i="1"/>
  <c r="L2079" i="1"/>
  <c r="V2078" i="1"/>
  <c r="U2078" i="1"/>
  <c r="T2078" i="1"/>
  <c r="W2078" i="1" s="1"/>
  <c r="S2078" i="1"/>
  <c r="R2078" i="1"/>
  <c r="Q2078" i="1"/>
  <c r="M2078" i="1"/>
  <c r="L2078" i="1"/>
  <c r="V2077" i="1"/>
  <c r="U2077" i="1"/>
  <c r="T2077" i="1"/>
  <c r="S2077" i="1"/>
  <c r="R2077" i="1"/>
  <c r="Q2077" i="1"/>
  <c r="M2077" i="1"/>
  <c r="L2077" i="1"/>
  <c r="V2076" i="1"/>
  <c r="Z2076" i="1" s="1"/>
  <c r="U2076" i="1"/>
  <c r="T2076" i="1"/>
  <c r="W2076" i="1" s="1"/>
  <c r="S2076" i="1"/>
  <c r="R2076" i="1"/>
  <c r="Q2076" i="1"/>
  <c r="M2076" i="1"/>
  <c r="L2076" i="1"/>
  <c r="V2075" i="1"/>
  <c r="Z2075" i="1" s="1"/>
  <c r="U2075" i="1"/>
  <c r="T2075" i="1"/>
  <c r="W2075" i="1" s="1"/>
  <c r="S2075" i="1"/>
  <c r="R2075" i="1"/>
  <c r="Q2075" i="1"/>
  <c r="M2075" i="1"/>
  <c r="L2075" i="1"/>
  <c r="V2074" i="1"/>
  <c r="U2074" i="1"/>
  <c r="T2074" i="1"/>
  <c r="W2074" i="1" s="1"/>
  <c r="S2074" i="1"/>
  <c r="R2074" i="1"/>
  <c r="Q2074" i="1"/>
  <c r="M2074" i="1"/>
  <c r="L2074" i="1"/>
  <c r="V2073" i="1"/>
  <c r="U2073" i="1"/>
  <c r="T2073" i="1"/>
  <c r="S2073" i="1"/>
  <c r="R2073" i="1"/>
  <c r="Q2073" i="1"/>
  <c r="M2073" i="1"/>
  <c r="L2073" i="1"/>
  <c r="V2072" i="1"/>
  <c r="Z2072" i="1" s="1"/>
  <c r="U2072" i="1"/>
  <c r="T2072" i="1"/>
  <c r="W2072" i="1" s="1"/>
  <c r="S2072" i="1"/>
  <c r="R2072" i="1"/>
  <c r="Q2072" i="1"/>
  <c r="M2072" i="1"/>
  <c r="L2072" i="1"/>
  <c r="V2071" i="1"/>
  <c r="Z2071" i="1" s="1"/>
  <c r="U2071" i="1"/>
  <c r="T2071" i="1"/>
  <c r="S2071" i="1"/>
  <c r="R2071" i="1"/>
  <c r="Q2071" i="1"/>
  <c r="M2071" i="1"/>
  <c r="L2071" i="1"/>
  <c r="V2070" i="1"/>
  <c r="U2070" i="1"/>
  <c r="T2070" i="1"/>
  <c r="W2070" i="1" s="1"/>
  <c r="S2070" i="1"/>
  <c r="R2070" i="1"/>
  <c r="Q2070" i="1"/>
  <c r="M2070" i="1"/>
  <c r="L2070" i="1"/>
  <c r="V2069" i="1"/>
  <c r="Z2069" i="1" s="1"/>
  <c r="U2069" i="1"/>
  <c r="T2069" i="1"/>
  <c r="W2069" i="1" s="1"/>
  <c r="S2069" i="1"/>
  <c r="R2069" i="1"/>
  <c r="Q2069" i="1"/>
  <c r="M2069" i="1"/>
  <c r="L2069" i="1"/>
  <c r="V2068" i="1"/>
  <c r="Z2068" i="1" s="1"/>
  <c r="U2068" i="1"/>
  <c r="T2068" i="1"/>
  <c r="W2068" i="1" s="1"/>
  <c r="S2068" i="1"/>
  <c r="R2068" i="1"/>
  <c r="Q2068" i="1"/>
  <c r="M2068" i="1"/>
  <c r="L2068" i="1"/>
  <c r="V2067" i="1"/>
  <c r="Z2067" i="1" s="1"/>
  <c r="U2067" i="1"/>
  <c r="T2067" i="1"/>
  <c r="S2067" i="1"/>
  <c r="R2067" i="1"/>
  <c r="Q2067" i="1"/>
  <c r="M2067" i="1"/>
  <c r="L2067" i="1"/>
  <c r="V2066" i="1"/>
  <c r="Z2066" i="1" s="1"/>
  <c r="U2066" i="1"/>
  <c r="T2066" i="1"/>
  <c r="W2066" i="1" s="1"/>
  <c r="S2066" i="1"/>
  <c r="R2066" i="1"/>
  <c r="Q2066" i="1"/>
  <c r="M2066" i="1"/>
  <c r="L2066" i="1"/>
  <c r="V2065" i="1"/>
  <c r="U2065" i="1"/>
  <c r="T2065" i="1"/>
  <c r="W2065" i="1" s="1"/>
  <c r="S2065" i="1"/>
  <c r="R2065" i="1"/>
  <c r="Q2065" i="1"/>
  <c r="M2065" i="1"/>
  <c r="L2065" i="1"/>
  <c r="V2064" i="1"/>
  <c r="Z2064" i="1" s="1"/>
  <c r="U2064" i="1"/>
  <c r="T2064" i="1"/>
  <c r="W2064" i="1" s="1"/>
  <c r="S2064" i="1"/>
  <c r="R2064" i="1"/>
  <c r="Q2064" i="1"/>
  <c r="M2064" i="1"/>
  <c r="L2064" i="1"/>
  <c r="V2063" i="1"/>
  <c r="Z2063" i="1" s="1"/>
  <c r="U2063" i="1"/>
  <c r="T2063" i="1"/>
  <c r="W2063" i="1" s="1"/>
  <c r="S2063" i="1"/>
  <c r="R2063" i="1"/>
  <c r="Q2063" i="1"/>
  <c r="M2063" i="1"/>
  <c r="L2063" i="1"/>
  <c r="V2062" i="1"/>
  <c r="Z2062" i="1" s="1"/>
  <c r="U2062" i="1"/>
  <c r="T2062" i="1"/>
  <c r="W2062" i="1" s="1"/>
  <c r="S2062" i="1"/>
  <c r="R2062" i="1"/>
  <c r="Q2062" i="1"/>
  <c r="M2062" i="1"/>
  <c r="L2062" i="1"/>
  <c r="V2061" i="1"/>
  <c r="Z2061" i="1" s="1"/>
  <c r="U2061" i="1"/>
  <c r="T2061" i="1"/>
  <c r="S2061" i="1"/>
  <c r="R2061" i="1"/>
  <c r="Q2061" i="1"/>
  <c r="M2061" i="1"/>
  <c r="L2061" i="1"/>
  <c r="V2060" i="1"/>
  <c r="Z2060" i="1" s="1"/>
  <c r="U2060" i="1"/>
  <c r="T2060" i="1"/>
  <c r="W2060" i="1" s="1"/>
  <c r="S2060" i="1"/>
  <c r="R2060" i="1"/>
  <c r="Q2060" i="1"/>
  <c r="M2060" i="1"/>
  <c r="L2060" i="1"/>
  <c r="V2059" i="1"/>
  <c r="Z2059" i="1" s="1"/>
  <c r="U2059" i="1"/>
  <c r="T2059" i="1"/>
  <c r="W2059" i="1" s="1"/>
  <c r="S2059" i="1"/>
  <c r="R2059" i="1"/>
  <c r="Q2059" i="1"/>
  <c r="M2059" i="1"/>
  <c r="L2059" i="1"/>
  <c r="V2058" i="1"/>
  <c r="U2058" i="1"/>
  <c r="T2058" i="1"/>
  <c r="W2058" i="1" s="1"/>
  <c r="S2058" i="1"/>
  <c r="R2058" i="1"/>
  <c r="Q2058" i="1"/>
  <c r="M2058" i="1"/>
  <c r="L2058" i="1"/>
  <c r="V2057" i="1"/>
  <c r="U2057" i="1"/>
  <c r="T2057" i="1"/>
  <c r="W2057" i="1" s="1"/>
  <c r="S2057" i="1"/>
  <c r="R2057" i="1"/>
  <c r="Q2057" i="1"/>
  <c r="M2057" i="1"/>
  <c r="L2057" i="1"/>
  <c r="V2056" i="1"/>
  <c r="Z2056" i="1" s="1"/>
  <c r="U2056" i="1"/>
  <c r="T2056" i="1"/>
  <c r="W2056" i="1" s="1"/>
  <c r="S2056" i="1"/>
  <c r="R2056" i="1"/>
  <c r="Q2056" i="1"/>
  <c r="M2056" i="1"/>
  <c r="L2056" i="1"/>
  <c r="V2055" i="1"/>
  <c r="Z2055" i="1" s="1"/>
  <c r="U2055" i="1"/>
  <c r="T2055" i="1"/>
  <c r="W2055" i="1" s="1"/>
  <c r="S2055" i="1"/>
  <c r="R2055" i="1"/>
  <c r="Q2055" i="1"/>
  <c r="M2055" i="1"/>
  <c r="L2055" i="1"/>
  <c r="V2054" i="1"/>
  <c r="Z2054" i="1" s="1"/>
  <c r="U2054" i="1"/>
  <c r="T2054" i="1"/>
  <c r="S2054" i="1"/>
  <c r="R2054" i="1"/>
  <c r="Q2054" i="1"/>
  <c r="M2054" i="1"/>
  <c r="L2054" i="1"/>
  <c r="V2053" i="1"/>
  <c r="Z2053" i="1" s="1"/>
  <c r="U2053" i="1"/>
  <c r="T2053" i="1"/>
  <c r="S2053" i="1"/>
  <c r="R2053" i="1"/>
  <c r="Q2053" i="1"/>
  <c r="M2053" i="1"/>
  <c r="L2053" i="1"/>
  <c r="V2052" i="1"/>
  <c r="Z2052" i="1" s="1"/>
  <c r="U2052" i="1"/>
  <c r="T2052" i="1"/>
  <c r="W2052" i="1" s="1"/>
  <c r="S2052" i="1"/>
  <c r="R2052" i="1"/>
  <c r="Q2052" i="1"/>
  <c r="M2052" i="1"/>
  <c r="L2052" i="1"/>
  <c r="V2051" i="1"/>
  <c r="Z2051" i="1" s="1"/>
  <c r="U2051" i="1"/>
  <c r="T2051" i="1"/>
  <c r="S2051" i="1"/>
  <c r="R2051" i="1"/>
  <c r="Q2051" i="1"/>
  <c r="M2051" i="1"/>
  <c r="L2051" i="1"/>
  <c r="V2050" i="1"/>
  <c r="U2050" i="1"/>
  <c r="T2050" i="1"/>
  <c r="W2050" i="1" s="1"/>
  <c r="S2050" i="1"/>
  <c r="R2050" i="1"/>
  <c r="Q2050" i="1"/>
  <c r="M2050" i="1"/>
  <c r="L2050" i="1"/>
  <c r="V2049" i="1"/>
  <c r="U2049" i="1"/>
  <c r="T2049" i="1"/>
  <c r="S2049" i="1"/>
  <c r="R2049" i="1"/>
  <c r="Q2049" i="1"/>
  <c r="M2049" i="1"/>
  <c r="L2049" i="1"/>
  <c r="V2048" i="1"/>
  <c r="Z2048" i="1" s="1"/>
  <c r="U2048" i="1"/>
  <c r="T2048" i="1"/>
  <c r="W2048" i="1" s="1"/>
  <c r="S2048" i="1"/>
  <c r="R2048" i="1"/>
  <c r="Q2048" i="1"/>
  <c r="M2048" i="1"/>
  <c r="L2048" i="1"/>
  <c r="V2047" i="1"/>
  <c r="Z2047" i="1" s="1"/>
  <c r="U2047" i="1"/>
  <c r="T2047" i="1"/>
  <c r="W2047" i="1" s="1"/>
  <c r="S2047" i="1"/>
  <c r="R2047" i="1"/>
  <c r="Q2047" i="1"/>
  <c r="M2047" i="1"/>
  <c r="L2047" i="1"/>
  <c r="V2046" i="1"/>
  <c r="U2046" i="1"/>
  <c r="T2046" i="1"/>
  <c r="W2046" i="1" s="1"/>
  <c r="S2046" i="1"/>
  <c r="R2046" i="1"/>
  <c r="Q2046" i="1"/>
  <c r="M2046" i="1"/>
  <c r="L2046" i="1"/>
  <c r="V2045" i="1"/>
  <c r="Z2045" i="1" s="1"/>
  <c r="U2045" i="1"/>
  <c r="T2045" i="1"/>
  <c r="W2045" i="1" s="1"/>
  <c r="S2045" i="1"/>
  <c r="R2045" i="1"/>
  <c r="Q2045" i="1"/>
  <c r="M2045" i="1"/>
  <c r="L2045" i="1"/>
  <c r="V2044" i="1"/>
  <c r="Z2044" i="1" s="1"/>
  <c r="U2044" i="1"/>
  <c r="T2044" i="1"/>
  <c r="W2044" i="1" s="1"/>
  <c r="S2044" i="1"/>
  <c r="R2044" i="1"/>
  <c r="Q2044" i="1"/>
  <c r="M2044" i="1"/>
  <c r="L2044" i="1"/>
  <c r="V2043" i="1"/>
  <c r="Z2043" i="1" s="1"/>
  <c r="U2043" i="1"/>
  <c r="T2043" i="1"/>
  <c r="S2043" i="1"/>
  <c r="R2043" i="1"/>
  <c r="Q2043" i="1"/>
  <c r="M2043" i="1"/>
  <c r="L2043" i="1"/>
  <c r="V2042" i="1"/>
  <c r="Z2042" i="1" s="1"/>
  <c r="U2042" i="1"/>
  <c r="T2042" i="1"/>
  <c r="W2042" i="1" s="1"/>
  <c r="S2042" i="1"/>
  <c r="R2042" i="1"/>
  <c r="Q2042" i="1"/>
  <c r="M2042" i="1"/>
  <c r="L2042" i="1"/>
  <c r="V2041" i="1"/>
  <c r="U2041" i="1"/>
  <c r="T2041" i="1"/>
  <c r="S2041" i="1"/>
  <c r="R2041" i="1"/>
  <c r="Q2041" i="1"/>
  <c r="M2041" i="1"/>
  <c r="L2041" i="1"/>
  <c r="V2040" i="1"/>
  <c r="Z2040" i="1" s="1"/>
  <c r="U2040" i="1"/>
  <c r="T2040" i="1"/>
  <c r="W2040" i="1" s="1"/>
  <c r="S2040" i="1"/>
  <c r="R2040" i="1"/>
  <c r="Q2040" i="1"/>
  <c r="M2040" i="1"/>
  <c r="L2040" i="1"/>
  <c r="V2039" i="1"/>
  <c r="Z2039" i="1" s="1"/>
  <c r="U2039" i="1"/>
  <c r="T2039" i="1"/>
  <c r="S2039" i="1"/>
  <c r="R2039" i="1"/>
  <c r="Q2039" i="1"/>
  <c r="M2039" i="1"/>
  <c r="L2039" i="1"/>
  <c r="V2038" i="1"/>
  <c r="U2038" i="1"/>
  <c r="T2038" i="1"/>
  <c r="W2038" i="1" s="1"/>
  <c r="S2038" i="1"/>
  <c r="R2038" i="1"/>
  <c r="Q2038" i="1"/>
  <c r="M2038" i="1"/>
  <c r="L2038" i="1"/>
  <c r="V2037" i="1"/>
  <c r="Z2037" i="1" s="1"/>
  <c r="U2037" i="1"/>
  <c r="T2037" i="1"/>
  <c r="W2037" i="1" s="1"/>
  <c r="S2037" i="1"/>
  <c r="R2037" i="1"/>
  <c r="Q2037" i="1"/>
  <c r="M2037" i="1"/>
  <c r="L2037" i="1"/>
  <c r="V2036" i="1"/>
  <c r="Z2036" i="1" s="1"/>
  <c r="U2036" i="1"/>
  <c r="T2036" i="1"/>
  <c r="W2036" i="1" s="1"/>
  <c r="S2036" i="1"/>
  <c r="R2036" i="1"/>
  <c r="Q2036" i="1"/>
  <c r="M2036" i="1"/>
  <c r="L2036" i="1"/>
  <c r="V2035" i="1"/>
  <c r="Z2035" i="1" s="1"/>
  <c r="U2035" i="1"/>
  <c r="T2035" i="1"/>
  <c r="W2035" i="1" s="1"/>
  <c r="S2035" i="1"/>
  <c r="R2035" i="1"/>
  <c r="Q2035" i="1"/>
  <c r="M2035" i="1"/>
  <c r="L2035" i="1"/>
  <c r="V2034" i="1"/>
  <c r="Z2034" i="1" s="1"/>
  <c r="U2034" i="1"/>
  <c r="T2034" i="1"/>
  <c r="S2034" i="1"/>
  <c r="R2034" i="1"/>
  <c r="Q2034" i="1"/>
  <c r="M2034" i="1"/>
  <c r="L2034" i="1"/>
  <c r="V2033" i="1"/>
  <c r="U2033" i="1"/>
  <c r="T2033" i="1"/>
  <c r="W2033" i="1" s="1"/>
  <c r="S2033" i="1"/>
  <c r="R2033" i="1"/>
  <c r="Q2033" i="1"/>
  <c r="M2033" i="1"/>
  <c r="L2033" i="1"/>
  <c r="V2032" i="1"/>
  <c r="Z2032" i="1" s="1"/>
  <c r="U2032" i="1"/>
  <c r="T2032" i="1"/>
  <c r="W2032" i="1" s="1"/>
  <c r="S2032" i="1"/>
  <c r="R2032" i="1"/>
  <c r="Q2032" i="1"/>
  <c r="M2032" i="1"/>
  <c r="L2032" i="1"/>
  <c r="V2031" i="1"/>
  <c r="Z2031" i="1" s="1"/>
  <c r="U2031" i="1"/>
  <c r="T2031" i="1"/>
  <c r="S2031" i="1"/>
  <c r="R2031" i="1"/>
  <c r="Q2031" i="1"/>
  <c r="M2031" i="1"/>
  <c r="L2031" i="1"/>
  <c r="V2030" i="1"/>
  <c r="Z2030" i="1" s="1"/>
  <c r="U2030" i="1"/>
  <c r="T2030" i="1"/>
  <c r="W2030" i="1" s="1"/>
  <c r="S2030" i="1"/>
  <c r="R2030" i="1"/>
  <c r="Q2030" i="1"/>
  <c r="M2030" i="1"/>
  <c r="L2030" i="1"/>
  <c r="V2029" i="1"/>
  <c r="U2029" i="1"/>
  <c r="T2029" i="1"/>
  <c r="W2029" i="1" s="1"/>
  <c r="S2029" i="1"/>
  <c r="R2029" i="1"/>
  <c r="Q2029" i="1"/>
  <c r="M2029" i="1"/>
  <c r="L2029" i="1"/>
  <c r="V2028" i="1"/>
  <c r="Z2028" i="1" s="1"/>
  <c r="U2028" i="1"/>
  <c r="T2028" i="1"/>
  <c r="W2028" i="1" s="1"/>
  <c r="S2028" i="1"/>
  <c r="R2028" i="1"/>
  <c r="Q2028" i="1"/>
  <c r="M2028" i="1"/>
  <c r="L2028" i="1"/>
  <c r="V2027" i="1"/>
  <c r="Z2027" i="1" s="1"/>
  <c r="U2027" i="1"/>
  <c r="T2027" i="1"/>
  <c r="W2027" i="1" s="1"/>
  <c r="S2027" i="1"/>
  <c r="R2027" i="1"/>
  <c r="Q2027" i="1"/>
  <c r="M2027" i="1"/>
  <c r="L2027" i="1"/>
  <c r="V2026" i="1"/>
  <c r="Z2026" i="1" s="1"/>
  <c r="U2026" i="1"/>
  <c r="T2026" i="1"/>
  <c r="S2026" i="1"/>
  <c r="R2026" i="1"/>
  <c r="Q2026" i="1"/>
  <c r="M2026" i="1"/>
  <c r="L2026" i="1"/>
  <c r="V2025" i="1"/>
  <c r="Z2025" i="1" s="1"/>
  <c r="U2025" i="1"/>
  <c r="T2025" i="1"/>
  <c r="W2025" i="1" s="1"/>
  <c r="S2025" i="1"/>
  <c r="R2025" i="1"/>
  <c r="Q2025" i="1"/>
  <c r="M2025" i="1"/>
  <c r="L2025" i="1"/>
  <c r="V2024" i="1"/>
  <c r="Z2024" i="1" s="1"/>
  <c r="U2024" i="1"/>
  <c r="T2024" i="1"/>
  <c r="W2024" i="1" s="1"/>
  <c r="S2024" i="1"/>
  <c r="R2024" i="1"/>
  <c r="Q2024" i="1"/>
  <c r="M2024" i="1"/>
  <c r="L2024" i="1"/>
  <c r="V2023" i="1"/>
  <c r="Z2023" i="1" s="1"/>
  <c r="U2023" i="1"/>
  <c r="T2023" i="1"/>
  <c r="W2023" i="1" s="1"/>
  <c r="S2023" i="1"/>
  <c r="R2023" i="1"/>
  <c r="Q2023" i="1"/>
  <c r="M2023" i="1"/>
  <c r="L2023" i="1"/>
  <c r="V2022" i="1"/>
  <c r="Z2022" i="1" s="1"/>
  <c r="U2022" i="1"/>
  <c r="T2022" i="1"/>
  <c r="S2022" i="1"/>
  <c r="R2022" i="1"/>
  <c r="Q2022" i="1"/>
  <c r="M2022" i="1"/>
  <c r="L2022" i="1"/>
  <c r="V2021" i="1"/>
  <c r="U2021" i="1"/>
  <c r="T2021" i="1"/>
  <c r="W2021" i="1" s="1"/>
  <c r="S2021" i="1"/>
  <c r="R2021" i="1"/>
  <c r="Q2021" i="1"/>
  <c r="M2021" i="1"/>
  <c r="L2021" i="1"/>
  <c r="V2020" i="1"/>
  <c r="Z2020" i="1" s="1"/>
  <c r="U2020" i="1"/>
  <c r="T2020" i="1"/>
  <c r="W2020" i="1" s="1"/>
  <c r="S2020" i="1"/>
  <c r="R2020" i="1"/>
  <c r="Q2020" i="1"/>
  <c r="M2020" i="1"/>
  <c r="L2020" i="1"/>
  <c r="V2019" i="1"/>
  <c r="Z2019" i="1" s="1"/>
  <c r="U2019" i="1"/>
  <c r="T2019" i="1"/>
  <c r="W2019" i="1" s="1"/>
  <c r="S2019" i="1"/>
  <c r="R2019" i="1"/>
  <c r="Q2019" i="1"/>
  <c r="M2019" i="1"/>
  <c r="L2019" i="1"/>
  <c r="V2018" i="1"/>
  <c r="Z2018" i="1" s="1"/>
  <c r="U2018" i="1"/>
  <c r="T2018" i="1"/>
  <c r="W2018" i="1" s="1"/>
  <c r="S2018" i="1"/>
  <c r="R2018" i="1"/>
  <c r="Q2018" i="1"/>
  <c r="M2018" i="1"/>
  <c r="L2018" i="1"/>
  <c r="V2017" i="1"/>
  <c r="Z2017" i="1" s="1"/>
  <c r="U2017" i="1"/>
  <c r="T2017" i="1"/>
  <c r="S2017" i="1"/>
  <c r="R2017" i="1"/>
  <c r="Q2017" i="1"/>
  <c r="M2017" i="1"/>
  <c r="L2017" i="1"/>
  <c r="V2016" i="1"/>
  <c r="Z2016" i="1" s="1"/>
  <c r="U2016" i="1"/>
  <c r="T2016" i="1"/>
  <c r="W2016" i="1" s="1"/>
  <c r="S2016" i="1"/>
  <c r="R2016" i="1"/>
  <c r="Q2016" i="1"/>
  <c r="M2016" i="1"/>
  <c r="L2016" i="1"/>
  <c r="V2015" i="1"/>
  <c r="Z2015" i="1" s="1"/>
  <c r="U2015" i="1"/>
  <c r="T2015" i="1"/>
  <c r="W2015" i="1" s="1"/>
  <c r="S2015" i="1"/>
  <c r="R2015" i="1"/>
  <c r="Q2015" i="1"/>
  <c r="M2015" i="1"/>
  <c r="L2015" i="1"/>
  <c r="V2014" i="1"/>
  <c r="U2014" i="1"/>
  <c r="T2014" i="1"/>
  <c r="S2014" i="1"/>
  <c r="R2014" i="1"/>
  <c r="Q2014" i="1"/>
  <c r="M2014" i="1"/>
  <c r="L2014" i="1"/>
  <c r="V2013" i="1"/>
  <c r="U2013" i="1"/>
  <c r="T2013" i="1"/>
  <c r="W2013" i="1" s="1"/>
  <c r="S2013" i="1"/>
  <c r="R2013" i="1"/>
  <c r="Q2013" i="1"/>
  <c r="M2013" i="1"/>
  <c r="L2013" i="1"/>
  <c r="V2012" i="1"/>
  <c r="Z2012" i="1" s="1"/>
  <c r="U2012" i="1"/>
  <c r="T2012" i="1"/>
  <c r="W2012" i="1" s="1"/>
  <c r="S2012" i="1"/>
  <c r="R2012" i="1"/>
  <c r="Q2012" i="1"/>
  <c r="M2012" i="1"/>
  <c r="L2012" i="1"/>
  <c r="V2011" i="1"/>
  <c r="Z2011" i="1" s="1"/>
  <c r="U2011" i="1"/>
  <c r="T2011" i="1"/>
  <c r="W2011" i="1" s="1"/>
  <c r="S2011" i="1"/>
  <c r="R2011" i="1"/>
  <c r="Q2011" i="1"/>
  <c r="M2011" i="1"/>
  <c r="L2011" i="1"/>
  <c r="V2010" i="1"/>
  <c r="Z2010" i="1" s="1"/>
  <c r="U2010" i="1"/>
  <c r="T2010" i="1"/>
  <c r="W2010" i="1" s="1"/>
  <c r="S2010" i="1"/>
  <c r="R2010" i="1"/>
  <c r="Q2010" i="1"/>
  <c r="M2010" i="1"/>
  <c r="L2010" i="1"/>
  <c r="V2009" i="1"/>
  <c r="U2009" i="1"/>
  <c r="T2009" i="1"/>
  <c r="W2009" i="1" s="1"/>
  <c r="S2009" i="1"/>
  <c r="R2009" i="1"/>
  <c r="Q2009" i="1"/>
  <c r="M2009" i="1"/>
  <c r="L2009" i="1"/>
  <c r="V2008" i="1"/>
  <c r="Z2008" i="1" s="1"/>
  <c r="U2008" i="1"/>
  <c r="T2008" i="1"/>
  <c r="W2008" i="1" s="1"/>
  <c r="S2008" i="1"/>
  <c r="R2008" i="1"/>
  <c r="Q2008" i="1"/>
  <c r="M2008" i="1"/>
  <c r="L2008" i="1"/>
  <c r="V2007" i="1"/>
  <c r="Z2007" i="1" s="1"/>
  <c r="U2007" i="1"/>
  <c r="T2007" i="1"/>
  <c r="S2007" i="1"/>
  <c r="R2007" i="1"/>
  <c r="Q2007" i="1"/>
  <c r="M2007" i="1"/>
  <c r="L2007" i="1"/>
  <c r="V2006" i="1"/>
  <c r="Z2006" i="1" s="1"/>
  <c r="U2006" i="1"/>
  <c r="T2006" i="1"/>
  <c r="W2006" i="1" s="1"/>
  <c r="S2006" i="1"/>
  <c r="R2006" i="1"/>
  <c r="Q2006" i="1"/>
  <c r="M2006" i="1"/>
  <c r="L2006" i="1"/>
  <c r="V2005" i="1"/>
  <c r="Z2005" i="1" s="1"/>
  <c r="U2005" i="1"/>
  <c r="T2005" i="1"/>
  <c r="S2005" i="1"/>
  <c r="R2005" i="1"/>
  <c r="Q2005" i="1"/>
  <c r="M2005" i="1"/>
  <c r="L2005" i="1"/>
  <c r="V2004" i="1"/>
  <c r="Z2004" i="1" s="1"/>
  <c r="U2004" i="1"/>
  <c r="T2004" i="1"/>
  <c r="W2004" i="1" s="1"/>
  <c r="S2004" i="1"/>
  <c r="R2004" i="1"/>
  <c r="Q2004" i="1"/>
  <c r="M2004" i="1"/>
  <c r="L2004" i="1"/>
  <c r="V2003" i="1"/>
  <c r="Z2003" i="1" s="1"/>
  <c r="U2003" i="1"/>
  <c r="T2003" i="1"/>
  <c r="W2003" i="1" s="1"/>
  <c r="S2003" i="1"/>
  <c r="R2003" i="1"/>
  <c r="Q2003" i="1"/>
  <c r="M2003" i="1"/>
  <c r="L2003" i="1"/>
  <c r="V2002" i="1"/>
  <c r="U2002" i="1"/>
  <c r="T2002" i="1"/>
  <c r="W2002" i="1" s="1"/>
  <c r="S2002" i="1"/>
  <c r="R2002" i="1"/>
  <c r="Q2002" i="1"/>
  <c r="M2002" i="1"/>
  <c r="L2002" i="1"/>
  <c r="V2001" i="1"/>
  <c r="U2001" i="1"/>
  <c r="T2001" i="1"/>
  <c r="W2001" i="1" s="1"/>
  <c r="S2001" i="1"/>
  <c r="R2001" i="1"/>
  <c r="Q2001" i="1"/>
  <c r="M2001" i="1"/>
  <c r="L2001" i="1"/>
  <c r="V2000" i="1"/>
  <c r="Z2000" i="1" s="1"/>
  <c r="U2000" i="1"/>
  <c r="T2000" i="1"/>
  <c r="W2000" i="1" s="1"/>
  <c r="S2000" i="1"/>
  <c r="R2000" i="1"/>
  <c r="Q2000" i="1"/>
  <c r="M2000" i="1"/>
  <c r="L2000" i="1"/>
  <c r="V1999" i="1"/>
  <c r="Z1999" i="1" s="1"/>
  <c r="U1999" i="1"/>
  <c r="T1999" i="1"/>
  <c r="W1999" i="1" s="1"/>
  <c r="S1999" i="1"/>
  <c r="R1999" i="1"/>
  <c r="Q1999" i="1"/>
  <c r="M1999" i="1"/>
  <c r="L1999" i="1"/>
  <c r="V1998" i="1"/>
  <c r="Z1998" i="1" s="1"/>
  <c r="U1998" i="1"/>
  <c r="T1998" i="1"/>
  <c r="W1998" i="1" s="1"/>
  <c r="S1998" i="1"/>
  <c r="R1998" i="1"/>
  <c r="Q1998" i="1"/>
  <c r="M1998" i="1"/>
  <c r="L1998" i="1"/>
  <c r="V1997" i="1"/>
  <c r="Z1997" i="1" s="1"/>
  <c r="U1997" i="1"/>
  <c r="T1997" i="1"/>
  <c r="S1997" i="1"/>
  <c r="R1997" i="1"/>
  <c r="Q1997" i="1"/>
  <c r="M1997" i="1"/>
  <c r="L1997" i="1"/>
  <c r="V1996" i="1"/>
  <c r="Z1996" i="1" s="1"/>
  <c r="U1996" i="1"/>
  <c r="T1996" i="1"/>
  <c r="W1996" i="1" s="1"/>
  <c r="S1996" i="1"/>
  <c r="R1996" i="1"/>
  <c r="Q1996" i="1"/>
  <c r="M1996" i="1"/>
  <c r="L1996" i="1"/>
  <c r="V1995" i="1"/>
  <c r="Z1995" i="1" s="1"/>
  <c r="U1995" i="1"/>
  <c r="T1995" i="1"/>
  <c r="S1995" i="1"/>
  <c r="R1995" i="1"/>
  <c r="Q1995" i="1"/>
  <c r="M1995" i="1"/>
  <c r="L1995" i="1"/>
  <c r="V1994" i="1"/>
  <c r="U1994" i="1"/>
  <c r="T1994" i="1"/>
  <c r="W1994" i="1" s="1"/>
  <c r="S1994" i="1"/>
  <c r="R1994" i="1"/>
  <c r="Q1994" i="1"/>
  <c r="M1994" i="1"/>
  <c r="L1994" i="1"/>
  <c r="V1993" i="1"/>
  <c r="U1993" i="1"/>
  <c r="T1993" i="1"/>
  <c r="W1993" i="1" s="1"/>
  <c r="S1993" i="1"/>
  <c r="R1993" i="1"/>
  <c r="Q1993" i="1"/>
  <c r="M1993" i="1"/>
  <c r="L1993" i="1"/>
  <c r="V1992" i="1"/>
  <c r="Z1992" i="1" s="1"/>
  <c r="U1992" i="1"/>
  <c r="T1992" i="1"/>
  <c r="W1992" i="1" s="1"/>
  <c r="S1992" i="1"/>
  <c r="R1992" i="1"/>
  <c r="Q1992" i="1"/>
  <c r="M1992" i="1"/>
  <c r="L1992" i="1"/>
  <c r="V1991" i="1"/>
  <c r="Z1991" i="1" s="1"/>
  <c r="U1991" i="1"/>
  <c r="T1991" i="1"/>
  <c r="W1991" i="1" s="1"/>
  <c r="S1991" i="1"/>
  <c r="R1991" i="1"/>
  <c r="Q1991" i="1"/>
  <c r="M1991" i="1"/>
  <c r="L1991" i="1"/>
  <c r="V1990" i="1"/>
  <c r="Z1990" i="1" s="1"/>
  <c r="U1990" i="1"/>
  <c r="T1990" i="1"/>
  <c r="S1990" i="1"/>
  <c r="R1990" i="1"/>
  <c r="Q1990" i="1"/>
  <c r="M1990" i="1"/>
  <c r="L1990" i="1"/>
  <c r="V1989" i="1"/>
  <c r="Z1989" i="1" s="1"/>
  <c r="U1989" i="1"/>
  <c r="T1989" i="1"/>
  <c r="S1989" i="1"/>
  <c r="R1989" i="1"/>
  <c r="Q1989" i="1"/>
  <c r="M1989" i="1"/>
  <c r="L1989" i="1"/>
  <c r="V1988" i="1"/>
  <c r="Z1988" i="1" s="1"/>
  <c r="U1988" i="1"/>
  <c r="T1988" i="1"/>
  <c r="W1988" i="1" s="1"/>
  <c r="S1988" i="1"/>
  <c r="R1988" i="1"/>
  <c r="Q1988" i="1"/>
  <c r="M1988" i="1"/>
  <c r="L1988" i="1"/>
  <c r="V1987" i="1"/>
  <c r="Z1987" i="1" s="1"/>
  <c r="U1987" i="1"/>
  <c r="T1987" i="1"/>
  <c r="S1987" i="1"/>
  <c r="R1987" i="1"/>
  <c r="Q1987" i="1"/>
  <c r="M1987" i="1"/>
  <c r="L1987" i="1"/>
  <c r="V1986" i="1"/>
  <c r="U1986" i="1"/>
  <c r="T1986" i="1"/>
  <c r="W1986" i="1" s="1"/>
  <c r="S1986" i="1"/>
  <c r="R1986" i="1"/>
  <c r="Q1986" i="1"/>
  <c r="M1986" i="1"/>
  <c r="L1986" i="1"/>
  <c r="V1985" i="1"/>
  <c r="U1985" i="1"/>
  <c r="T1985" i="1"/>
  <c r="S1985" i="1"/>
  <c r="R1985" i="1"/>
  <c r="Q1985" i="1"/>
  <c r="M1985" i="1"/>
  <c r="L1985" i="1"/>
  <c r="V1984" i="1"/>
  <c r="Z1984" i="1" s="1"/>
  <c r="U1984" i="1"/>
  <c r="T1984" i="1"/>
  <c r="W1984" i="1" s="1"/>
  <c r="S1984" i="1"/>
  <c r="R1984" i="1"/>
  <c r="Q1984" i="1"/>
  <c r="M1984" i="1"/>
  <c r="L1984" i="1"/>
  <c r="V1983" i="1"/>
  <c r="Z1983" i="1" s="1"/>
  <c r="U1983" i="1"/>
  <c r="T1983" i="1"/>
  <c r="W1983" i="1" s="1"/>
  <c r="S1983" i="1"/>
  <c r="R1983" i="1"/>
  <c r="Q1983" i="1"/>
  <c r="M1983" i="1"/>
  <c r="L1983" i="1"/>
  <c r="V1982" i="1"/>
  <c r="U1982" i="1"/>
  <c r="T1982" i="1"/>
  <c r="W1982" i="1" s="1"/>
  <c r="S1982" i="1"/>
  <c r="R1982" i="1"/>
  <c r="Q1982" i="1"/>
  <c r="M1982" i="1"/>
  <c r="L1982" i="1"/>
  <c r="V1981" i="1"/>
  <c r="Z1981" i="1" s="1"/>
  <c r="U1981" i="1"/>
  <c r="T1981" i="1"/>
  <c r="W1981" i="1" s="1"/>
  <c r="S1981" i="1"/>
  <c r="R1981" i="1"/>
  <c r="Q1981" i="1"/>
  <c r="M1981" i="1"/>
  <c r="L1981" i="1"/>
  <c r="V1980" i="1"/>
  <c r="Z1980" i="1" s="1"/>
  <c r="U1980" i="1"/>
  <c r="T1980" i="1"/>
  <c r="W1980" i="1" s="1"/>
  <c r="S1980" i="1"/>
  <c r="R1980" i="1"/>
  <c r="Q1980" i="1"/>
  <c r="M1980" i="1"/>
  <c r="L1980" i="1"/>
  <c r="V1979" i="1"/>
  <c r="Z1979" i="1" s="1"/>
  <c r="U1979" i="1"/>
  <c r="T1979" i="1"/>
  <c r="S1979" i="1"/>
  <c r="R1979" i="1"/>
  <c r="Q1979" i="1"/>
  <c r="M1979" i="1"/>
  <c r="L1979" i="1"/>
  <c r="V1978" i="1"/>
  <c r="Z1978" i="1" s="1"/>
  <c r="U1978" i="1"/>
  <c r="T1978" i="1"/>
  <c r="S1978" i="1"/>
  <c r="R1978" i="1"/>
  <c r="Q1978" i="1"/>
  <c r="M1978" i="1"/>
  <c r="L1978" i="1"/>
  <c r="V1977" i="1"/>
  <c r="U1977" i="1"/>
  <c r="T1977" i="1"/>
  <c r="S1977" i="1"/>
  <c r="R1977" i="1"/>
  <c r="Q1977" i="1"/>
  <c r="M1977" i="1"/>
  <c r="L1977" i="1"/>
  <c r="V1976" i="1"/>
  <c r="Z1976" i="1" s="1"/>
  <c r="U1976" i="1"/>
  <c r="T1976" i="1"/>
  <c r="W1976" i="1" s="1"/>
  <c r="S1976" i="1"/>
  <c r="R1976" i="1"/>
  <c r="Q1976" i="1"/>
  <c r="M1976" i="1"/>
  <c r="L1976" i="1"/>
  <c r="V1975" i="1"/>
  <c r="Z1975" i="1" s="1"/>
  <c r="U1975" i="1"/>
  <c r="T1975" i="1"/>
  <c r="S1975" i="1"/>
  <c r="R1975" i="1"/>
  <c r="Q1975" i="1"/>
  <c r="M1975" i="1"/>
  <c r="L1975" i="1"/>
  <c r="V1974" i="1"/>
  <c r="U1974" i="1"/>
  <c r="T1974" i="1"/>
  <c r="W1974" i="1" s="1"/>
  <c r="S1974" i="1"/>
  <c r="R1974" i="1"/>
  <c r="Q1974" i="1"/>
  <c r="M1974" i="1"/>
  <c r="L1974" i="1"/>
  <c r="V1973" i="1"/>
  <c r="Z1973" i="1" s="1"/>
  <c r="U1973" i="1"/>
  <c r="T1973" i="1"/>
  <c r="W1973" i="1" s="1"/>
  <c r="S1973" i="1"/>
  <c r="R1973" i="1"/>
  <c r="Q1973" i="1"/>
  <c r="M1973" i="1"/>
  <c r="L1973" i="1"/>
  <c r="V1972" i="1"/>
  <c r="Z1972" i="1" s="1"/>
  <c r="U1972" i="1"/>
  <c r="T1972" i="1"/>
  <c r="W1972" i="1" s="1"/>
  <c r="S1972" i="1"/>
  <c r="R1972" i="1"/>
  <c r="Q1972" i="1"/>
  <c r="M1972" i="1"/>
  <c r="L1972" i="1"/>
  <c r="V1971" i="1"/>
  <c r="Z1971" i="1" s="1"/>
  <c r="U1971" i="1"/>
  <c r="T1971" i="1"/>
  <c r="W1971" i="1" s="1"/>
  <c r="S1971" i="1"/>
  <c r="R1971" i="1"/>
  <c r="Q1971" i="1"/>
  <c r="M1971" i="1"/>
  <c r="L1971" i="1"/>
  <c r="V1970" i="1"/>
  <c r="Z1970" i="1" s="1"/>
  <c r="U1970" i="1"/>
  <c r="T1970" i="1"/>
  <c r="S1970" i="1"/>
  <c r="R1970" i="1"/>
  <c r="Q1970" i="1"/>
  <c r="M1970" i="1"/>
  <c r="L1970" i="1"/>
  <c r="V1969" i="1"/>
  <c r="Z1969" i="1" s="1"/>
  <c r="U1969" i="1"/>
  <c r="T1969" i="1"/>
  <c r="W1969" i="1" s="1"/>
  <c r="S1969" i="1"/>
  <c r="R1969" i="1"/>
  <c r="Q1969" i="1"/>
  <c r="M1969" i="1"/>
  <c r="L1969" i="1"/>
  <c r="V1968" i="1"/>
  <c r="Z1968" i="1" s="1"/>
  <c r="U1968" i="1"/>
  <c r="T1968" i="1"/>
  <c r="W1968" i="1" s="1"/>
  <c r="S1968" i="1"/>
  <c r="R1968" i="1"/>
  <c r="Q1968" i="1"/>
  <c r="M1968" i="1"/>
  <c r="L1968" i="1"/>
  <c r="V1967" i="1"/>
  <c r="Z1967" i="1" s="1"/>
  <c r="U1967" i="1"/>
  <c r="T1967" i="1"/>
  <c r="S1967" i="1"/>
  <c r="R1967" i="1"/>
  <c r="Q1967" i="1"/>
  <c r="M1967" i="1"/>
  <c r="L1967" i="1"/>
  <c r="V1966" i="1"/>
  <c r="Z1966" i="1" s="1"/>
  <c r="U1966" i="1"/>
  <c r="T1966" i="1"/>
  <c r="W1966" i="1" s="1"/>
  <c r="S1966" i="1"/>
  <c r="R1966" i="1"/>
  <c r="Q1966" i="1"/>
  <c r="M1966" i="1"/>
  <c r="L1966" i="1"/>
  <c r="V1965" i="1"/>
  <c r="U1965" i="1"/>
  <c r="T1965" i="1"/>
  <c r="W1965" i="1" s="1"/>
  <c r="S1965" i="1"/>
  <c r="R1965" i="1"/>
  <c r="Q1965" i="1"/>
  <c r="M1965" i="1"/>
  <c r="L1965" i="1"/>
  <c r="V1964" i="1"/>
  <c r="Z1964" i="1" s="1"/>
  <c r="U1964" i="1"/>
  <c r="T1964" i="1"/>
  <c r="W1964" i="1" s="1"/>
  <c r="S1964" i="1"/>
  <c r="R1964" i="1"/>
  <c r="Q1964" i="1"/>
  <c r="M1964" i="1"/>
  <c r="L1964" i="1"/>
  <c r="V1963" i="1"/>
  <c r="Z1963" i="1" s="1"/>
  <c r="U1963" i="1"/>
  <c r="T1963" i="1"/>
  <c r="W1963" i="1" s="1"/>
  <c r="S1963" i="1"/>
  <c r="R1963" i="1"/>
  <c r="Q1963" i="1"/>
  <c r="M1963" i="1"/>
  <c r="L1963" i="1"/>
  <c r="V1962" i="1"/>
  <c r="Z1962" i="1" s="1"/>
  <c r="U1962" i="1"/>
  <c r="T1962" i="1"/>
  <c r="S1962" i="1"/>
  <c r="R1962" i="1"/>
  <c r="Q1962" i="1"/>
  <c r="M1962" i="1"/>
  <c r="L1962" i="1"/>
  <c r="V1961" i="1"/>
  <c r="Z1961" i="1" s="1"/>
  <c r="U1961" i="1"/>
  <c r="T1961" i="1"/>
  <c r="W1961" i="1" s="1"/>
  <c r="S1961" i="1"/>
  <c r="R1961" i="1"/>
  <c r="Q1961" i="1"/>
  <c r="M1961" i="1"/>
  <c r="L1961" i="1"/>
  <c r="V1960" i="1"/>
  <c r="Z1960" i="1" s="1"/>
  <c r="U1960" i="1"/>
  <c r="T1960" i="1"/>
  <c r="W1960" i="1" s="1"/>
  <c r="S1960" i="1"/>
  <c r="R1960" i="1"/>
  <c r="Q1960" i="1"/>
  <c r="M1960" i="1"/>
  <c r="L1960" i="1"/>
  <c r="V1959" i="1"/>
  <c r="Z1959" i="1" s="1"/>
  <c r="U1959" i="1"/>
  <c r="T1959" i="1"/>
  <c r="W1959" i="1" s="1"/>
  <c r="S1959" i="1"/>
  <c r="R1959" i="1"/>
  <c r="Q1959" i="1"/>
  <c r="M1959" i="1"/>
  <c r="L1959" i="1"/>
  <c r="V1958" i="1"/>
  <c r="Z1958" i="1" s="1"/>
  <c r="U1958" i="1"/>
  <c r="T1958" i="1"/>
  <c r="S1958" i="1"/>
  <c r="R1958" i="1"/>
  <c r="Q1958" i="1"/>
  <c r="M1958" i="1"/>
  <c r="L1958" i="1"/>
  <c r="V1957" i="1"/>
  <c r="U1957" i="1"/>
  <c r="T1957" i="1"/>
  <c r="W1957" i="1" s="1"/>
  <c r="S1957" i="1"/>
  <c r="R1957" i="1"/>
  <c r="Q1957" i="1"/>
  <c r="M1957" i="1"/>
  <c r="L1957" i="1"/>
  <c r="V1956" i="1"/>
  <c r="Z1956" i="1" s="1"/>
  <c r="U1956" i="1"/>
  <c r="T1956" i="1"/>
  <c r="W1956" i="1" s="1"/>
  <c r="S1956" i="1"/>
  <c r="R1956" i="1"/>
  <c r="Q1956" i="1"/>
  <c r="M1956" i="1"/>
  <c r="L1956" i="1"/>
  <c r="V1955" i="1"/>
  <c r="Z1955" i="1" s="1"/>
  <c r="U1955" i="1"/>
  <c r="T1955" i="1"/>
  <c r="W1955" i="1" s="1"/>
  <c r="S1955" i="1"/>
  <c r="R1955" i="1"/>
  <c r="Q1955" i="1"/>
  <c r="M1955" i="1"/>
  <c r="L1955" i="1"/>
  <c r="V1954" i="1"/>
  <c r="Z1954" i="1" s="1"/>
  <c r="U1954" i="1"/>
  <c r="T1954" i="1"/>
  <c r="W1954" i="1" s="1"/>
  <c r="S1954" i="1"/>
  <c r="R1954" i="1"/>
  <c r="Q1954" i="1"/>
  <c r="M1954" i="1"/>
  <c r="L1954" i="1"/>
  <c r="V1953" i="1"/>
  <c r="Z1953" i="1" s="1"/>
  <c r="U1953" i="1"/>
  <c r="T1953" i="1"/>
  <c r="S1953" i="1"/>
  <c r="R1953" i="1"/>
  <c r="Q1953" i="1"/>
  <c r="M1953" i="1"/>
  <c r="L1953" i="1"/>
  <c r="V1952" i="1"/>
  <c r="Z1952" i="1" s="1"/>
  <c r="U1952" i="1"/>
  <c r="T1952" i="1"/>
  <c r="W1952" i="1" s="1"/>
  <c r="S1952" i="1"/>
  <c r="R1952" i="1"/>
  <c r="Q1952" i="1"/>
  <c r="M1952" i="1"/>
  <c r="L1952" i="1"/>
  <c r="V1951" i="1"/>
  <c r="Z1951" i="1" s="1"/>
  <c r="U1951" i="1"/>
  <c r="T1951" i="1"/>
  <c r="W1951" i="1" s="1"/>
  <c r="S1951" i="1"/>
  <c r="R1951" i="1"/>
  <c r="Q1951" i="1"/>
  <c r="M1951" i="1"/>
  <c r="L1951" i="1"/>
  <c r="V1950" i="1"/>
  <c r="U1950" i="1"/>
  <c r="T1950" i="1"/>
  <c r="S1950" i="1"/>
  <c r="R1950" i="1"/>
  <c r="Q1950" i="1"/>
  <c r="M1950" i="1"/>
  <c r="L1950" i="1"/>
  <c r="V1949" i="1"/>
  <c r="U1949" i="1"/>
  <c r="T1949" i="1"/>
  <c r="W1949" i="1" s="1"/>
  <c r="S1949" i="1"/>
  <c r="R1949" i="1"/>
  <c r="Q1949" i="1"/>
  <c r="M1949" i="1"/>
  <c r="L1949" i="1"/>
  <c r="V1948" i="1"/>
  <c r="Z1948" i="1" s="1"/>
  <c r="U1948" i="1"/>
  <c r="T1948" i="1"/>
  <c r="W1948" i="1" s="1"/>
  <c r="S1948" i="1"/>
  <c r="R1948" i="1"/>
  <c r="Q1948" i="1"/>
  <c r="M1948" i="1"/>
  <c r="L1948" i="1"/>
  <c r="V1947" i="1"/>
  <c r="Z1947" i="1" s="1"/>
  <c r="U1947" i="1"/>
  <c r="T1947" i="1"/>
  <c r="W1947" i="1" s="1"/>
  <c r="S1947" i="1"/>
  <c r="R1947" i="1"/>
  <c r="Q1947" i="1"/>
  <c r="M1947" i="1"/>
  <c r="L1947" i="1"/>
  <c r="V1946" i="1"/>
  <c r="Z1946" i="1" s="1"/>
  <c r="U1946" i="1"/>
  <c r="T1946" i="1"/>
  <c r="W1946" i="1" s="1"/>
  <c r="S1946" i="1"/>
  <c r="R1946" i="1"/>
  <c r="Q1946" i="1"/>
  <c r="M1946" i="1"/>
  <c r="L1946" i="1"/>
  <c r="V1945" i="1"/>
  <c r="U1945" i="1"/>
  <c r="T1945" i="1"/>
  <c r="W1945" i="1" s="1"/>
  <c r="S1945" i="1"/>
  <c r="R1945" i="1"/>
  <c r="Q1945" i="1"/>
  <c r="M1945" i="1"/>
  <c r="L1945" i="1"/>
  <c r="V1944" i="1"/>
  <c r="Z1944" i="1" s="1"/>
  <c r="U1944" i="1"/>
  <c r="T1944" i="1"/>
  <c r="W1944" i="1" s="1"/>
  <c r="S1944" i="1"/>
  <c r="R1944" i="1"/>
  <c r="Q1944" i="1"/>
  <c r="M1944" i="1"/>
  <c r="L1944" i="1"/>
  <c r="V1943" i="1"/>
  <c r="Z1943" i="1" s="1"/>
  <c r="U1943" i="1"/>
  <c r="T1943" i="1"/>
  <c r="S1943" i="1"/>
  <c r="R1943" i="1"/>
  <c r="Q1943" i="1"/>
  <c r="M1943" i="1"/>
  <c r="L1943" i="1"/>
  <c r="V1942" i="1"/>
  <c r="Z1942" i="1" s="1"/>
  <c r="U1942" i="1"/>
  <c r="T1942" i="1"/>
  <c r="W1942" i="1" s="1"/>
  <c r="S1942" i="1"/>
  <c r="R1942" i="1"/>
  <c r="Q1942" i="1"/>
  <c r="M1942" i="1"/>
  <c r="L1942" i="1"/>
  <c r="V1941" i="1"/>
  <c r="Z1941" i="1" s="1"/>
  <c r="U1941" i="1"/>
  <c r="T1941" i="1"/>
  <c r="S1941" i="1"/>
  <c r="R1941" i="1"/>
  <c r="Q1941" i="1"/>
  <c r="M1941" i="1"/>
  <c r="L1941" i="1"/>
  <c r="V1940" i="1"/>
  <c r="Z1940" i="1" s="1"/>
  <c r="U1940" i="1"/>
  <c r="T1940" i="1"/>
  <c r="W1940" i="1" s="1"/>
  <c r="S1940" i="1"/>
  <c r="R1940" i="1"/>
  <c r="Q1940" i="1"/>
  <c r="M1940" i="1"/>
  <c r="L1940" i="1"/>
  <c r="V1939" i="1"/>
  <c r="Z1939" i="1" s="1"/>
  <c r="U1939" i="1"/>
  <c r="T1939" i="1"/>
  <c r="W1939" i="1" s="1"/>
  <c r="S1939" i="1"/>
  <c r="R1939" i="1"/>
  <c r="Q1939" i="1"/>
  <c r="M1939" i="1"/>
  <c r="L1939" i="1"/>
  <c r="V1938" i="1"/>
  <c r="U1938" i="1"/>
  <c r="T1938" i="1"/>
  <c r="W1938" i="1" s="1"/>
  <c r="S1938" i="1"/>
  <c r="R1938" i="1"/>
  <c r="Q1938" i="1"/>
  <c r="M1938" i="1"/>
  <c r="L1938" i="1"/>
  <c r="V1937" i="1"/>
  <c r="U1937" i="1"/>
  <c r="T1937" i="1"/>
  <c r="W1937" i="1" s="1"/>
  <c r="S1937" i="1"/>
  <c r="R1937" i="1"/>
  <c r="Q1937" i="1"/>
  <c r="M1937" i="1"/>
  <c r="L1937" i="1"/>
  <c r="V1936" i="1"/>
  <c r="Z1936" i="1" s="1"/>
  <c r="U1936" i="1"/>
  <c r="T1936" i="1"/>
  <c r="W1936" i="1" s="1"/>
  <c r="S1936" i="1"/>
  <c r="R1936" i="1"/>
  <c r="Q1936" i="1"/>
  <c r="M1936" i="1"/>
  <c r="L1936" i="1"/>
  <c r="V1935" i="1"/>
  <c r="Z1935" i="1" s="1"/>
  <c r="U1935" i="1"/>
  <c r="T1935" i="1"/>
  <c r="W1935" i="1" s="1"/>
  <c r="S1935" i="1"/>
  <c r="R1935" i="1"/>
  <c r="Q1935" i="1"/>
  <c r="M1935" i="1"/>
  <c r="L1935" i="1"/>
  <c r="V1934" i="1"/>
  <c r="Z1934" i="1" s="1"/>
  <c r="U1934" i="1"/>
  <c r="T1934" i="1"/>
  <c r="W1934" i="1" s="1"/>
  <c r="S1934" i="1"/>
  <c r="R1934" i="1"/>
  <c r="Q1934" i="1"/>
  <c r="M1934" i="1"/>
  <c r="L1934" i="1"/>
  <c r="V1933" i="1"/>
  <c r="Z1933" i="1" s="1"/>
  <c r="U1933" i="1"/>
  <c r="T1933" i="1"/>
  <c r="S1933" i="1"/>
  <c r="R1933" i="1"/>
  <c r="Q1933" i="1"/>
  <c r="M1933" i="1"/>
  <c r="L1933" i="1"/>
  <c r="V1932" i="1"/>
  <c r="Z1932" i="1" s="1"/>
  <c r="U1932" i="1"/>
  <c r="T1932" i="1"/>
  <c r="W1932" i="1" s="1"/>
  <c r="S1932" i="1"/>
  <c r="R1932" i="1"/>
  <c r="Q1932" i="1"/>
  <c r="M1932" i="1"/>
  <c r="L1932" i="1"/>
  <c r="V1931" i="1"/>
  <c r="Z1931" i="1" s="1"/>
  <c r="U1931" i="1"/>
  <c r="T1931" i="1"/>
  <c r="S1931" i="1"/>
  <c r="R1931" i="1"/>
  <c r="Q1931" i="1"/>
  <c r="M1931" i="1"/>
  <c r="L1931" i="1"/>
  <c r="V1930" i="1"/>
  <c r="U1930" i="1"/>
  <c r="T1930" i="1"/>
  <c r="W1930" i="1" s="1"/>
  <c r="S1930" i="1"/>
  <c r="R1930" i="1"/>
  <c r="Q1930" i="1"/>
  <c r="M1930" i="1"/>
  <c r="L1930" i="1"/>
  <c r="V1929" i="1"/>
  <c r="U1929" i="1"/>
  <c r="T1929" i="1"/>
  <c r="W1929" i="1" s="1"/>
  <c r="S1929" i="1"/>
  <c r="R1929" i="1"/>
  <c r="Q1929" i="1"/>
  <c r="M1929" i="1"/>
  <c r="L1929" i="1"/>
  <c r="V1928" i="1"/>
  <c r="Z1928" i="1" s="1"/>
  <c r="U1928" i="1"/>
  <c r="T1928" i="1"/>
  <c r="W1928" i="1" s="1"/>
  <c r="S1928" i="1"/>
  <c r="R1928" i="1"/>
  <c r="Q1928" i="1"/>
  <c r="M1928" i="1"/>
  <c r="L1928" i="1"/>
  <c r="V1927" i="1"/>
  <c r="Z1927" i="1" s="1"/>
  <c r="U1927" i="1"/>
  <c r="T1927" i="1"/>
  <c r="W1927" i="1" s="1"/>
  <c r="S1927" i="1"/>
  <c r="R1927" i="1"/>
  <c r="Q1927" i="1"/>
  <c r="M1927" i="1"/>
  <c r="L1927" i="1"/>
  <c r="V1926" i="1"/>
  <c r="Z1926" i="1" s="1"/>
  <c r="U1926" i="1"/>
  <c r="T1926" i="1"/>
  <c r="S1926" i="1"/>
  <c r="R1926" i="1"/>
  <c r="Q1926" i="1"/>
  <c r="M1926" i="1"/>
  <c r="L1926" i="1"/>
  <c r="V1925" i="1"/>
  <c r="Z1925" i="1" s="1"/>
  <c r="U1925" i="1"/>
  <c r="T1925" i="1"/>
  <c r="S1925" i="1"/>
  <c r="R1925" i="1"/>
  <c r="Q1925" i="1"/>
  <c r="M1925" i="1"/>
  <c r="L1925" i="1"/>
  <c r="V1924" i="1"/>
  <c r="Z1924" i="1" s="1"/>
  <c r="U1924" i="1"/>
  <c r="T1924" i="1"/>
  <c r="W1924" i="1" s="1"/>
  <c r="S1924" i="1"/>
  <c r="R1924" i="1"/>
  <c r="Q1924" i="1"/>
  <c r="M1924" i="1"/>
  <c r="L1924" i="1"/>
  <c r="V1923" i="1"/>
  <c r="Z1923" i="1" s="1"/>
  <c r="U1923" i="1"/>
  <c r="T1923" i="1"/>
  <c r="S1923" i="1"/>
  <c r="R1923" i="1"/>
  <c r="Q1923" i="1"/>
  <c r="M1923" i="1"/>
  <c r="L1923" i="1"/>
  <c r="V1922" i="1"/>
  <c r="U1922" i="1"/>
  <c r="T1922" i="1"/>
  <c r="W1922" i="1" s="1"/>
  <c r="S1922" i="1"/>
  <c r="R1922" i="1"/>
  <c r="Q1922" i="1"/>
  <c r="M1922" i="1"/>
  <c r="L1922" i="1"/>
  <c r="V1921" i="1"/>
  <c r="U1921" i="1"/>
  <c r="T1921" i="1"/>
  <c r="S1921" i="1"/>
  <c r="R1921" i="1"/>
  <c r="Q1921" i="1"/>
  <c r="M1921" i="1"/>
  <c r="L1921" i="1"/>
  <c r="V1920" i="1"/>
  <c r="Z1920" i="1" s="1"/>
  <c r="U1920" i="1"/>
  <c r="T1920" i="1"/>
  <c r="W1920" i="1" s="1"/>
  <c r="S1920" i="1"/>
  <c r="R1920" i="1"/>
  <c r="Q1920" i="1"/>
  <c r="M1920" i="1"/>
  <c r="L1920" i="1"/>
  <c r="V1919" i="1"/>
  <c r="Z1919" i="1" s="1"/>
  <c r="U1919" i="1"/>
  <c r="T1919" i="1"/>
  <c r="W1919" i="1" s="1"/>
  <c r="S1919" i="1"/>
  <c r="R1919" i="1"/>
  <c r="Q1919" i="1"/>
  <c r="M1919" i="1"/>
  <c r="L1919" i="1"/>
  <c r="V1918" i="1"/>
  <c r="U1918" i="1"/>
  <c r="T1918" i="1"/>
  <c r="W1918" i="1" s="1"/>
  <c r="S1918" i="1"/>
  <c r="R1918" i="1"/>
  <c r="Q1918" i="1"/>
  <c r="M1918" i="1"/>
  <c r="L1918" i="1"/>
  <c r="V1917" i="1"/>
  <c r="Z1917" i="1" s="1"/>
  <c r="U1917" i="1"/>
  <c r="T1917" i="1"/>
  <c r="W1917" i="1" s="1"/>
  <c r="S1917" i="1"/>
  <c r="R1917" i="1"/>
  <c r="Q1917" i="1"/>
  <c r="M1917" i="1"/>
  <c r="L1917" i="1"/>
  <c r="V1916" i="1"/>
  <c r="Z1916" i="1" s="1"/>
  <c r="U1916" i="1"/>
  <c r="T1916" i="1"/>
  <c r="S1916" i="1"/>
  <c r="R1916" i="1"/>
  <c r="Q1916" i="1"/>
  <c r="M1916" i="1"/>
  <c r="L1916" i="1"/>
  <c r="V1915" i="1"/>
  <c r="Z1915" i="1" s="1"/>
  <c r="U1915" i="1"/>
  <c r="T1915" i="1"/>
  <c r="W1915" i="1" s="1"/>
  <c r="S1915" i="1"/>
  <c r="R1915" i="1"/>
  <c r="Q1915" i="1"/>
  <c r="M1915" i="1"/>
  <c r="L1915" i="1"/>
  <c r="V1914" i="1"/>
  <c r="Z1914" i="1" s="1"/>
  <c r="U1914" i="1"/>
  <c r="T1914" i="1"/>
  <c r="S1914" i="1"/>
  <c r="R1914" i="1"/>
  <c r="Q1914" i="1"/>
  <c r="M1914" i="1"/>
  <c r="L1914" i="1"/>
  <c r="V1913" i="1"/>
  <c r="U1913" i="1"/>
  <c r="T1913" i="1"/>
  <c r="W1913" i="1" s="1"/>
  <c r="S1913" i="1"/>
  <c r="R1913" i="1"/>
  <c r="Q1913" i="1"/>
  <c r="M1913" i="1"/>
  <c r="L1913" i="1"/>
  <c r="V1912" i="1"/>
  <c r="Z1912" i="1" s="1"/>
  <c r="U1912" i="1"/>
  <c r="T1912" i="1"/>
  <c r="W1912" i="1" s="1"/>
  <c r="S1912" i="1"/>
  <c r="R1912" i="1"/>
  <c r="Q1912" i="1"/>
  <c r="M1912" i="1"/>
  <c r="L1912" i="1"/>
  <c r="V1911" i="1"/>
  <c r="Z1911" i="1" s="1"/>
  <c r="U1911" i="1"/>
  <c r="T1911" i="1"/>
  <c r="W1911" i="1" s="1"/>
  <c r="S1911" i="1"/>
  <c r="R1911" i="1"/>
  <c r="Q1911" i="1"/>
  <c r="M1911" i="1"/>
  <c r="L1911" i="1"/>
  <c r="V1910" i="1"/>
  <c r="Z1910" i="1" s="1"/>
  <c r="U1910" i="1"/>
  <c r="T1910" i="1"/>
  <c r="W1910" i="1" s="1"/>
  <c r="S1910" i="1"/>
  <c r="R1910" i="1"/>
  <c r="Q1910" i="1"/>
  <c r="M1910" i="1"/>
  <c r="L1910" i="1"/>
  <c r="V1909" i="1"/>
  <c r="Z1909" i="1" s="1"/>
  <c r="U1909" i="1"/>
  <c r="T1909" i="1"/>
  <c r="S1909" i="1"/>
  <c r="R1909" i="1"/>
  <c r="Q1909" i="1"/>
  <c r="M1909" i="1"/>
  <c r="L1909" i="1"/>
  <c r="V1908" i="1"/>
  <c r="Z1908" i="1" s="1"/>
  <c r="U1908" i="1"/>
  <c r="T1908" i="1"/>
  <c r="W1908" i="1" s="1"/>
  <c r="S1908" i="1"/>
  <c r="R1908" i="1"/>
  <c r="Q1908" i="1"/>
  <c r="M1908" i="1"/>
  <c r="L1908" i="1"/>
  <c r="V1907" i="1"/>
  <c r="Z1907" i="1" s="1"/>
  <c r="U1907" i="1"/>
  <c r="T1907" i="1"/>
  <c r="S1907" i="1"/>
  <c r="R1907" i="1"/>
  <c r="Q1907" i="1"/>
  <c r="M1907" i="1"/>
  <c r="L1907" i="1"/>
  <c r="V1906" i="1"/>
  <c r="U1906" i="1"/>
  <c r="T1906" i="1"/>
  <c r="W1906" i="1" s="1"/>
  <c r="S1906" i="1"/>
  <c r="R1906" i="1"/>
  <c r="Q1906" i="1"/>
  <c r="M1906" i="1"/>
  <c r="L1906" i="1"/>
  <c r="V1905" i="1"/>
  <c r="Z1905" i="1" s="1"/>
  <c r="U1905" i="1"/>
  <c r="T1905" i="1"/>
  <c r="W1905" i="1" s="1"/>
  <c r="S1905" i="1"/>
  <c r="R1905" i="1"/>
  <c r="Q1905" i="1"/>
  <c r="M1905" i="1"/>
  <c r="L1905" i="1"/>
  <c r="V1904" i="1"/>
  <c r="Z1904" i="1" s="1"/>
  <c r="U1904" i="1"/>
  <c r="T1904" i="1"/>
  <c r="S1904" i="1"/>
  <c r="R1904" i="1"/>
  <c r="Q1904" i="1"/>
  <c r="M1904" i="1"/>
  <c r="L1904" i="1"/>
  <c r="V1903" i="1"/>
  <c r="Z1903" i="1" s="1"/>
  <c r="U1903" i="1"/>
  <c r="T1903" i="1"/>
  <c r="W1903" i="1" s="1"/>
  <c r="S1903" i="1"/>
  <c r="R1903" i="1"/>
  <c r="Q1903" i="1"/>
  <c r="M1903" i="1"/>
  <c r="L1903" i="1"/>
  <c r="V1902" i="1"/>
  <c r="U1902" i="1"/>
  <c r="T1902" i="1"/>
  <c r="S1902" i="1"/>
  <c r="R1902" i="1"/>
  <c r="Q1902" i="1"/>
  <c r="M1902" i="1"/>
  <c r="L1902" i="1"/>
  <c r="V1901" i="1"/>
  <c r="U1901" i="1"/>
  <c r="T1901" i="1"/>
  <c r="W1901" i="1" s="1"/>
  <c r="S1901" i="1"/>
  <c r="R1901" i="1"/>
  <c r="Q1901" i="1"/>
  <c r="M1901" i="1"/>
  <c r="L1901" i="1"/>
  <c r="V1900" i="1"/>
  <c r="Z1900" i="1" s="1"/>
  <c r="U1900" i="1"/>
  <c r="T1900" i="1"/>
  <c r="W1900" i="1" s="1"/>
  <c r="S1900" i="1"/>
  <c r="R1900" i="1"/>
  <c r="Q1900" i="1"/>
  <c r="M1900" i="1"/>
  <c r="L1900" i="1"/>
  <c r="V1899" i="1"/>
  <c r="Z1899" i="1" s="1"/>
  <c r="U1899" i="1"/>
  <c r="T1899" i="1"/>
  <c r="W1899" i="1" s="1"/>
  <c r="S1899" i="1"/>
  <c r="R1899" i="1"/>
  <c r="Q1899" i="1"/>
  <c r="M1899" i="1"/>
  <c r="L1899" i="1"/>
  <c r="V1898" i="1"/>
  <c r="Z1898" i="1" s="1"/>
  <c r="U1898" i="1"/>
  <c r="T1898" i="1"/>
  <c r="W1898" i="1" s="1"/>
  <c r="S1898" i="1"/>
  <c r="R1898" i="1"/>
  <c r="Q1898" i="1"/>
  <c r="M1898" i="1"/>
  <c r="L1898" i="1"/>
  <c r="V1897" i="1"/>
  <c r="Z1897" i="1" s="1"/>
  <c r="U1897" i="1"/>
  <c r="T1897" i="1"/>
  <c r="S1897" i="1"/>
  <c r="R1897" i="1"/>
  <c r="Q1897" i="1"/>
  <c r="M1897" i="1"/>
  <c r="L1897" i="1"/>
  <c r="V1896" i="1"/>
  <c r="Z1896" i="1" s="1"/>
  <c r="U1896" i="1"/>
  <c r="T1896" i="1"/>
  <c r="S1896" i="1"/>
  <c r="R1896" i="1"/>
  <c r="Q1896" i="1"/>
  <c r="M1896" i="1"/>
  <c r="L1896" i="1"/>
  <c r="V1895" i="1"/>
  <c r="Z1895" i="1" s="1"/>
  <c r="U1895" i="1"/>
  <c r="T1895" i="1"/>
  <c r="S1895" i="1"/>
  <c r="R1895" i="1"/>
  <c r="Q1895" i="1"/>
  <c r="M1895" i="1"/>
  <c r="L1895" i="1"/>
  <c r="V1894" i="1"/>
  <c r="Z1894" i="1" s="1"/>
  <c r="U1894" i="1"/>
  <c r="T1894" i="1"/>
  <c r="W1894" i="1" s="1"/>
  <c r="S1894" i="1"/>
  <c r="R1894" i="1"/>
  <c r="Q1894" i="1"/>
  <c r="M1894" i="1"/>
  <c r="L1894" i="1"/>
  <c r="V1893" i="1"/>
  <c r="U1893" i="1"/>
  <c r="T1893" i="1"/>
  <c r="W1893" i="1" s="1"/>
  <c r="S1893" i="1"/>
  <c r="R1893" i="1"/>
  <c r="Q1893" i="1"/>
  <c r="M1893" i="1"/>
  <c r="L1893" i="1"/>
  <c r="V1892" i="1"/>
  <c r="Z1892" i="1" s="1"/>
  <c r="U1892" i="1"/>
  <c r="T1892" i="1"/>
  <c r="W1892" i="1" s="1"/>
  <c r="S1892" i="1"/>
  <c r="R1892" i="1"/>
  <c r="Q1892" i="1"/>
  <c r="M1892" i="1"/>
  <c r="L1892" i="1"/>
  <c r="V1891" i="1"/>
  <c r="Z1891" i="1" s="1"/>
  <c r="U1891" i="1"/>
  <c r="T1891" i="1"/>
  <c r="S1891" i="1"/>
  <c r="R1891" i="1"/>
  <c r="Q1891" i="1"/>
  <c r="M1891" i="1"/>
  <c r="L1891" i="1"/>
  <c r="V1890" i="1"/>
  <c r="Z1890" i="1" s="1"/>
  <c r="U1890" i="1"/>
  <c r="T1890" i="1"/>
  <c r="W1890" i="1" s="1"/>
  <c r="S1890" i="1"/>
  <c r="R1890" i="1"/>
  <c r="Q1890" i="1"/>
  <c r="M1890" i="1"/>
  <c r="L1890" i="1"/>
  <c r="V1889" i="1"/>
  <c r="Z1889" i="1" s="1"/>
  <c r="U1889" i="1"/>
  <c r="T1889" i="1"/>
  <c r="S1889" i="1"/>
  <c r="R1889" i="1"/>
  <c r="Q1889" i="1"/>
  <c r="M1889" i="1"/>
  <c r="L1889" i="1"/>
  <c r="V1888" i="1"/>
  <c r="Z1888" i="1" s="1"/>
  <c r="U1888" i="1"/>
  <c r="T1888" i="1"/>
  <c r="W1888" i="1" s="1"/>
  <c r="S1888" i="1"/>
  <c r="R1888" i="1"/>
  <c r="Q1888" i="1"/>
  <c r="M1888" i="1"/>
  <c r="L1888" i="1"/>
  <c r="V1887" i="1"/>
  <c r="Z1887" i="1" s="1"/>
  <c r="U1887" i="1"/>
  <c r="T1887" i="1"/>
  <c r="W1887" i="1" s="1"/>
  <c r="S1887" i="1"/>
  <c r="R1887" i="1"/>
  <c r="Q1887" i="1"/>
  <c r="M1887" i="1"/>
  <c r="L1887" i="1"/>
  <c r="V1886" i="1"/>
  <c r="U1886" i="1"/>
  <c r="T1886" i="1"/>
  <c r="W1886" i="1" s="1"/>
  <c r="S1886" i="1"/>
  <c r="R1886" i="1"/>
  <c r="Q1886" i="1"/>
  <c r="M1886" i="1"/>
  <c r="L1886" i="1"/>
  <c r="V1885" i="1"/>
  <c r="Z1885" i="1" s="1"/>
  <c r="U1885" i="1"/>
  <c r="T1885" i="1"/>
  <c r="W1885" i="1" s="1"/>
  <c r="S1885" i="1"/>
  <c r="R1885" i="1"/>
  <c r="Q1885" i="1"/>
  <c r="M1885" i="1"/>
  <c r="L1885" i="1"/>
  <c r="V1884" i="1"/>
  <c r="Z1884" i="1" s="1"/>
  <c r="U1884" i="1"/>
  <c r="T1884" i="1"/>
  <c r="S1884" i="1"/>
  <c r="R1884" i="1"/>
  <c r="Q1884" i="1"/>
  <c r="M1884" i="1"/>
  <c r="L1884" i="1"/>
  <c r="V1883" i="1"/>
  <c r="Z1883" i="1" s="1"/>
  <c r="U1883" i="1"/>
  <c r="T1883" i="1"/>
  <c r="W1883" i="1" s="1"/>
  <c r="S1883" i="1"/>
  <c r="R1883" i="1"/>
  <c r="Q1883" i="1"/>
  <c r="M1883" i="1"/>
  <c r="L1883" i="1"/>
  <c r="V1882" i="1"/>
  <c r="Z1882" i="1" s="1"/>
  <c r="U1882" i="1"/>
  <c r="T1882" i="1"/>
  <c r="S1882" i="1"/>
  <c r="R1882" i="1"/>
  <c r="Q1882" i="1"/>
  <c r="M1882" i="1"/>
  <c r="L1882" i="1"/>
  <c r="V1881" i="1"/>
  <c r="U1881" i="1"/>
  <c r="T1881" i="1"/>
  <c r="W1881" i="1" s="1"/>
  <c r="S1881" i="1"/>
  <c r="R1881" i="1"/>
  <c r="Q1881" i="1"/>
  <c r="M1881" i="1"/>
  <c r="L1881" i="1"/>
  <c r="V1880" i="1"/>
  <c r="Z1880" i="1" s="1"/>
  <c r="U1880" i="1"/>
  <c r="T1880" i="1"/>
  <c r="W1880" i="1" s="1"/>
  <c r="S1880" i="1"/>
  <c r="R1880" i="1"/>
  <c r="Q1880" i="1"/>
  <c r="M1880" i="1"/>
  <c r="L1880" i="1"/>
  <c r="V1879" i="1"/>
  <c r="Z1879" i="1" s="1"/>
  <c r="U1879" i="1"/>
  <c r="T1879" i="1"/>
  <c r="W1879" i="1" s="1"/>
  <c r="S1879" i="1"/>
  <c r="R1879" i="1"/>
  <c r="Q1879" i="1"/>
  <c r="M1879" i="1"/>
  <c r="L1879" i="1"/>
  <c r="V1878" i="1"/>
  <c r="Z1878" i="1" s="1"/>
  <c r="U1878" i="1"/>
  <c r="T1878" i="1"/>
  <c r="W1878" i="1" s="1"/>
  <c r="S1878" i="1"/>
  <c r="R1878" i="1"/>
  <c r="Q1878" i="1"/>
  <c r="M1878" i="1"/>
  <c r="L1878" i="1"/>
  <c r="V1877" i="1"/>
  <c r="Z1877" i="1" s="1"/>
  <c r="U1877" i="1"/>
  <c r="T1877" i="1"/>
  <c r="S1877" i="1"/>
  <c r="R1877" i="1"/>
  <c r="Q1877" i="1"/>
  <c r="M1877" i="1"/>
  <c r="L1877" i="1"/>
  <c r="V1876" i="1"/>
  <c r="Z1876" i="1" s="1"/>
  <c r="U1876" i="1"/>
  <c r="T1876" i="1"/>
  <c r="W1876" i="1" s="1"/>
  <c r="S1876" i="1"/>
  <c r="R1876" i="1"/>
  <c r="Q1876" i="1"/>
  <c r="M1876" i="1"/>
  <c r="L1876" i="1"/>
  <c r="V1875" i="1"/>
  <c r="Z1875" i="1" s="1"/>
  <c r="U1875" i="1"/>
  <c r="T1875" i="1"/>
  <c r="S1875" i="1"/>
  <c r="R1875" i="1"/>
  <c r="Q1875" i="1"/>
  <c r="M1875" i="1"/>
  <c r="L1875" i="1"/>
  <c r="V1874" i="1"/>
  <c r="U1874" i="1"/>
  <c r="T1874" i="1"/>
  <c r="W1874" i="1" s="1"/>
  <c r="S1874" i="1"/>
  <c r="R1874" i="1"/>
  <c r="Q1874" i="1"/>
  <c r="M1874" i="1"/>
  <c r="L1874" i="1"/>
  <c r="V1873" i="1"/>
  <c r="Z1873" i="1" s="1"/>
  <c r="U1873" i="1"/>
  <c r="T1873" i="1"/>
  <c r="W1873" i="1" s="1"/>
  <c r="S1873" i="1"/>
  <c r="R1873" i="1"/>
  <c r="Q1873" i="1"/>
  <c r="M1873" i="1"/>
  <c r="L1873" i="1"/>
  <c r="V1872" i="1"/>
  <c r="Z1872" i="1" s="1"/>
  <c r="U1872" i="1"/>
  <c r="T1872" i="1"/>
  <c r="S1872" i="1"/>
  <c r="R1872" i="1"/>
  <c r="Q1872" i="1"/>
  <c r="M1872" i="1"/>
  <c r="L1872" i="1"/>
  <c r="V1871" i="1"/>
  <c r="Z1871" i="1" s="1"/>
  <c r="U1871" i="1"/>
  <c r="T1871" i="1"/>
  <c r="W1871" i="1" s="1"/>
  <c r="S1871" i="1"/>
  <c r="R1871" i="1"/>
  <c r="Q1871" i="1"/>
  <c r="M1871" i="1"/>
  <c r="L1871" i="1"/>
  <c r="V1870" i="1"/>
  <c r="U1870" i="1"/>
  <c r="T1870" i="1"/>
  <c r="S1870" i="1"/>
  <c r="R1870" i="1"/>
  <c r="Q1870" i="1"/>
  <c r="M1870" i="1"/>
  <c r="L1870" i="1"/>
  <c r="V1869" i="1"/>
  <c r="U1869" i="1"/>
  <c r="T1869" i="1"/>
  <c r="W1869" i="1" s="1"/>
  <c r="S1869" i="1"/>
  <c r="R1869" i="1"/>
  <c r="Q1869" i="1"/>
  <c r="M1869" i="1"/>
  <c r="L1869" i="1"/>
  <c r="V1868" i="1"/>
  <c r="Z1868" i="1" s="1"/>
  <c r="U1868" i="1"/>
  <c r="T1868" i="1"/>
  <c r="W1868" i="1" s="1"/>
  <c r="S1868" i="1"/>
  <c r="R1868" i="1"/>
  <c r="Q1868" i="1"/>
  <c r="M1868" i="1"/>
  <c r="L1868" i="1"/>
  <c r="V1867" i="1"/>
  <c r="Z1867" i="1" s="1"/>
  <c r="U1867" i="1"/>
  <c r="T1867" i="1"/>
  <c r="W1867" i="1" s="1"/>
  <c r="S1867" i="1"/>
  <c r="R1867" i="1"/>
  <c r="Q1867" i="1"/>
  <c r="M1867" i="1"/>
  <c r="L1867" i="1"/>
  <c r="V1866" i="1"/>
  <c r="Z1866" i="1" s="1"/>
  <c r="U1866" i="1"/>
  <c r="T1866" i="1"/>
  <c r="S1866" i="1"/>
  <c r="R1866" i="1"/>
  <c r="Q1866" i="1"/>
  <c r="M1866" i="1"/>
  <c r="L1866" i="1"/>
  <c r="V1865" i="1"/>
  <c r="Z1865" i="1" s="1"/>
  <c r="U1865" i="1"/>
  <c r="T1865" i="1"/>
  <c r="S1865" i="1"/>
  <c r="R1865" i="1"/>
  <c r="Q1865" i="1"/>
  <c r="M1865" i="1"/>
  <c r="L1865" i="1"/>
  <c r="V1864" i="1"/>
  <c r="Z1864" i="1" s="1"/>
  <c r="U1864" i="1"/>
  <c r="T1864" i="1"/>
  <c r="S1864" i="1"/>
  <c r="R1864" i="1"/>
  <c r="Q1864" i="1"/>
  <c r="M1864" i="1"/>
  <c r="L1864" i="1"/>
  <c r="V1863" i="1"/>
  <c r="Z1863" i="1" s="1"/>
  <c r="U1863" i="1"/>
  <c r="T1863" i="1"/>
  <c r="S1863" i="1"/>
  <c r="R1863" i="1"/>
  <c r="Q1863" i="1"/>
  <c r="M1863" i="1"/>
  <c r="L1863" i="1"/>
  <c r="V1862" i="1"/>
  <c r="Z1862" i="1" s="1"/>
  <c r="U1862" i="1"/>
  <c r="T1862" i="1"/>
  <c r="W1862" i="1" s="1"/>
  <c r="S1862" i="1"/>
  <c r="R1862" i="1"/>
  <c r="Q1862" i="1"/>
  <c r="M1862" i="1"/>
  <c r="L1862" i="1"/>
  <c r="V1861" i="1"/>
  <c r="U1861" i="1"/>
  <c r="T1861" i="1"/>
  <c r="W1861" i="1" s="1"/>
  <c r="S1861" i="1"/>
  <c r="R1861" i="1"/>
  <c r="Q1861" i="1"/>
  <c r="M1861" i="1"/>
  <c r="L1861" i="1"/>
  <c r="V1860" i="1"/>
  <c r="Z1860" i="1" s="1"/>
  <c r="U1860" i="1"/>
  <c r="T1860" i="1"/>
  <c r="W1860" i="1" s="1"/>
  <c r="S1860" i="1"/>
  <c r="R1860" i="1"/>
  <c r="Q1860" i="1"/>
  <c r="M1860" i="1"/>
  <c r="L1860" i="1"/>
  <c r="V1859" i="1"/>
  <c r="Z1859" i="1" s="1"/>
  <c r="U1859" i="1"/>
  <c r="T1859" i="1"/>
  <c r="S1859" i="1"/>
  <c r="R1859" i="1"/>
  <c r="Q1859" i="1"/>
  <c r="M1859" i="1"/>
  <c r="L1859" i="1"/>
  <c r="V1858" i="1"/>
  <c r="Z1858" i="1" s="1"/>
  <c r="U1858" i="1"/>
  <c r="T1858" i="1"/>
  <c r="W1858" i="1" s="1"/>
  <c r="S1858" i="1"/>
  <c r="R1858" i="1"/>
  <c r="Q1858" i="1"/>
  <c r="M1858" i="1"/>
  <c r="L1858" i="1"/>
  <c r="V1857" i="1"/>
  <c r="Z1857" i="1" s="1"/>
  <c r="U1857" i="1"/>
  <c r="T1857" i="1"/>
  <c r="S1857" i="1"/>
  <c r="R1857" i="1"/>
  <c r="Q1857" i="1"/>
  <c r="M1857" i="1"/>
  <c r="L1857" i="1"/>
  <c r="V1856" i="1"/>
  <c r="Z1856" i="1" s="1"/>
  <c r="U1856" i="1"/>
  <c r="T1856" i="1"/>
  <c r="W1856" i="1" s="1"/>
  <c r="S1856" i="1"/>
  <c r="R1856" i="1"/>
  <c r="Q1856" i="1"/>
  <c r="M1856" i="1"/>
  <c r="L1856" i="1"/>
  <c r="V1855" i="1"/>
  <c r="Z1855" i="1" s="1"/>
  <c r="U1855" i="1"/>
  <c r="T1855" i="1"/>
  <c r="W1855" i="1" s="1"/>
  <c r="S1855" i="1"/>
  <c r="R1855" i="1"/>
  <c r="Q1855" i="1"/>
  <c r="M1855" i="1"/>
  <c r="L1855" i="1"/>
  <c r="V1854" i="1"/>
  <c r="U1854" i="1"/>
  <c r="T1854" i="1"/>
  <c r="W1854" i="1" s="1"/>
  <c r="S1854" i="1"/>
  <c r="R1854" i="1"/>
  <c r="Q1854" i="1"/>
  <c r="M1854" i="1"/>
  <c r="L1854" i="1"/>
  <c r="V1853" i="1"/>
  <c r="Z1853" i="1" s="1"/>
  <c r="U1853" i="1"/>
  <c r="T1853" i="1"/>
  <c r="W1853" i="1" s="1"/>
  <c r="S1853" i="1"/>
  <c r="R1853" i="1"/>
  <c r="Q1853" i="1"/>
  <c r="M1853" i="1"/>
  <c r="L1853" i="1"/>
  <c r="V1852" i="1"/>
  <c r="Z1852" i="1" s="1"/>
  <c r="U1852" i="1"/>
  <c r="T1852" i="1"/>
  <c r="S1852" i="1"/>
  <c r="R1852" i="1"/>
  <c r="Q1852" i="1"/>
  <c r="M1852" i="1"/>
  <c r="L1852" i="1"/>
  <c r="V1851" i="1"/>
  <c r="Z1851" i="1" s="1"/>
  <c r="U1851" i="1"/>
  <c r="T1851" i="1"/>
  <c r="W1851" i="1" s="1"/>
  <c r="S1851" i="1"/>
  <c r="R1851" i="1"/>
  <c r="Q1851" i="1"/>
  <c r="M1851" i="1"/>
  <c r="L1851" i="1"/>
  <c r="V1850" i="1"/>
  <c r="Z1850" i="1" s="1"/>
  <c r="U1850" i="1"/>
  <c r="T1850" i="1"/>
  <c r="S1850" i="1"/>
  <c r="R1850" i="1"/>
  <c r="Q1850" i="1"/>
  <c r="M1850" i="1"/>
  <c r="L1850" i="1"/>
  <c r="V1849" i="1"/>
  <c r="U1849" i="1"/>
  <c r="T1849" i="1"/>
  <c r="W1849" i="1" s="1"/>
  <c r="S1849" i="1"/>
  <c r="R1849" i="1"/>
  <c r="Q1849" i="1"/>
  <c r="M1849" i="1"/>
  <c r="L1849" i="1"/>
  <c r="V1848" i="1"/>
  <c r="Z1848" i="1" s="1"/>
  <c r="U1848" i="1"/>
  <c r="T1848" i="1"/>
  <c r="W1848" i="1" s="1"/>
  <c r="S1848" i="1"/>
  <c r="R1848" i="1"/>
  <c r="Q1848" i="1"/>
  <c r="M1848" i="1"/>
  <c r="L1848" i="1"/>
  <c r="V1847" i="1"/>
  <c r="Z1847" i="1" s="1"/>
  <c r="U1847" i="1"/>
  <c r="T1847" i="1"/>
  <c r="W1847" i="1" s="1"/>
  <c r="S1847" i="1"/>
  <c r="R1847" i="1"/>
  <c r="Q1847" i="1"/>
  <c r="M1847" i="1"/>
  <c r="L1847" i="1"/>
  <c r="V1846" i="1"/>
  <c r="Z1846" i="1" s="1"/>
  <c r="U1846" i="1"/>
  <c r="T1846" i="1"/>
  <c r="W1846" i="1" s="1"/>
  <c r="S1846" i="1"/>
  <c r="R1846" i="1"/>
  <c r="Q1846" i="1"/>
  <c r="M1846" i="1"/>
  <c r="L1846" i="1"/>
  <c r="V1845" i="1"/>
  <c r="Z1845" i="1" s="1"/>
  <c r="U1845" i="1"/>
  <c r="T1845" i="1"/>
  <c r="S1845" i="1"/>
  <c r="R1845" i="1"/>
  <c r="Q1845" i="1"/>
  <c r="M1845" i="1"/>
  <c r="L1845" i="1"/>
  <c r="V1844" i="1"/>
  <c r="Z1844" i="1" s="1"/>
  <c r="U1844" i="1"/>
  <c r="T1844" i="1"/>
  <c r="W1844" i="1" s="1"/>
  <c r="S1844" i="1"/>
  <c r="R1844" i="1"/>
  <c r="Q1844" i="1"/>
  <c r="M1844" i="1"/>
  <c r="L1844" i="1"/>
  <c r="V1843" i="1"/>
  <c r="Z1843" i="1" s="1"/>
  <c r="U1843" i="1"/>
  <c r="T1843" i="1"/>
  <c r="S1843" i="1"/>
  <c r="R1843" i="1"/>
  <c r="Q1843" i="1"/>
  <c r="M1843" i="1"/>
  <c r="L1843" i="1"/>
  <c r="V1842" i="1"/>
  <c r="U1842" i="1"/>
  <c r="T1842" i="1"/>
  <c r="W1842" i="1" s="1"/>
  <c r="S1842" i="1"/>
  <c r="R1842" i="1"/>
  <c r="Q1842" i="1"/>
  <c r="M1842" i="1"/>
  <c r="L1842" i="1"/>
  <c r="V1841" i="1"/>
  <c r="Z1841" i="1" s="1"/>
  <c r="U1841" i="1"/>
  <c r="T1841" i="1"/>
  <c r="W1841" i="1" s="1"/>
  <c r="S1841" i="1"/>
  <c r="R1841" i="1"/>
  <c r="Q1841" i="1"/>
  <c r="M1841" i="1"/>
  <c r="L1841" i="1"/>
  <c r="V1840" i="1"/>
  <c r="Z1840" i="1" s="1"/>
  <c r="U1840" i="1"/>
  <c r="T1840" i="1"/>
  <c r="S1840" i="1"/>
  <c r="R1840" i="1"/>
  <c r="Q1840" i="1"/>
  <c r="M1840" i="1"/>
  <c r="L1840" i="1"/>
  <c r="V1839" i="1"/>
  <c r="Z1839" i="1" s="1"/>
  <c r="U1839" i="1"/>
  <c r="T1839" i="1"/>
  <c r="W1839" i="1" s="1"/>
  <c r="S1839" i="1"/>
  <c r="R1839" i="1"/>
  <c r="Q1839" i="1"/>
  <c r="M1839" i="1"/>
  <c r="L1839" i="1"/>
  <c r="V1838" i="1"/>
  <c r="U1838" i="1"/>
  <c r="T1838" i="1"/>
  <c r="S1838" i="1"/>
  <c r="R1838" i="1"/>
  <c r="Q1838" i="1"/>
  <c r="M1838" i="1"/>
  <c r="L1838" i="1"/>
  <c r="V1837" i="1"/>
  <c r="U1837" i="1"/>
  <c r="T1837" i="1"/>
  <c r="W1837" i="1" s="1"/>
  <c r="S1837" i="1"/>
  <c r="R1837" i="1"/>
  <c r="Q1837" i="1"/>
  <c r="M1837" i="1"/>
  <c r="L1837" i="1"/>
  <c r="V1836" i="1"/>
  <c r="Z1836" i="1" s="1"/>
  <c r="U1836" i="1"/>
  <c r="T1836" i="1"/>
  <c r="W1836" i="1" s="1"/>
  <c r="S1836" i="1"/>
  <c r="R1836" i="1"/>
  <c r="Q1836" i="1"/>
  <c r="M1836" i="1"/>
  <c r="L1836" i="1"/>
  <c r="V1835" i="1"/>
  <c r="Z1835" i="1" s="1"/>
  <c r="U1835" i="1"/>
  <c r="T1835" i="1"/>
  <c r="W1835" i="1" s="1"/>
  <c r="S1835" i="1"/>
  <c r="R1835" i="1"/>
  <c r="Q1835" i="1"/>
  <c r="M1835" i="1"/>
  <c r="L1835" i="1"/>
  <c r="V1834" i="1"/>
  <c r="Z1834" i="1" s="1"/>
  <c r="U1834" i="1"/>
  <c r="T1834" i="1"/>
  <c r="S1834" i="1"/>
  <c r="R1834" i="1"/>
  <c r="Q1834" i="1"/>
  <c r="M1834" i="1"/>
  <c r="L1834" i="1"/>
  <c r="V1833" i="1"/>
  <c r="Z1833" i="1" s="1"/>
  <c r="U1833" i="1"/>
  <c r="T1833" i="1"/>
  <c r="S1833" i="1"/>
  <c r="R1833" i="1"/>
  <c r="Q1833" i="1"/>
  <c r="M1833" i="1"/>
  <c r="L1833" i="1"/>
  <c r="V1832" i="1"/>
  <c r="Z1832" i="1" s="1"/>
  <c r="U1832" i="1"/>
  <c r="T1832" i="1"/>
  <c r="S1832" i="1"/>
  <c r="R1832" i="1"/>
  <c r="Q1832" i="1"/>
  <c r="M1832" i="1"/>
  <c r="L1832" i="1"/>
  <c r="V1831" i="1"/>
  <c r="Z1831" i="1" s="1"/>
  <c r="U1831" i="1"/>
  <c r="T1831" i="1"/>
  <c r="S1831" i="1"/>
  <c r="R1831" i="1"/>
  <c r="Q1831" i="1"/>
  <c r="M1831" i="1"/>
  <c r="L1831" i="1"/>
  <c r="V1830" i="1"/>
  <c r="Z1830" i="1" s="1"/>
  <c r="U1830" i="1"/>
  <c r="T1830" i="1"/>
  <c r="W1830" i="1" s="1"/>
  <c r="S1830" i="1"/>
  <c r="R1830" i="1"/>
  <c r="Q1830" i="1"/>
  <c r="M1830" i="1"/>
  <c r="L1830" i="1"/>
  <c r="V1829" i="1"/>
  <c r="U1829" i="1"/>
  <c r="T1829" i="1"/>
  <c r="W1829" i="1" s="1"/>
  <c r="S1829" i="1"/>
  <c r="R1829" i="1"/>
  <c r="Q1829" i="1"/>
  <c r="M1829" i="1"/>
  <c r="L1829" i="1"/>
  <c r="V1828" i="1"/>
  <c r="Z1828" i="1" s="1"/>
  <c r="U1828" i="1"/>
  <c r="T1828" i="1"/>
  <c r="W1828" i="1" s="1"/>
  <c r="S1828" i="1"/>
  <c r="R1828" i="1"/>
  <c r="Q1828" i="1"/>
  <c r="M1828" i="1"/>
  <c r="L1828" i="1"/>
  <c r="V1827" i="1"/>
  <c r="Z1827" i="1" s="1"/>
  <c r="U1827" i="1"/>
  <c r="T1827" i="1"/>
  <c r="S1827" i="1"/>
  <c r="R1827" i="1"/>
  <c r="Q1827" i="1"/>
  <c r="M1827" i="1"/>
  <c r="L1827" i="1"/>
  <c r="V1826" i="1"/>
  <c r="Z1826" i="1" s="1"/>
  <c r="U1826" i="1"/>
  <c r="T1826" i="1"/>
  <c r="W1826" i="1" s="1"/>
  <c r="S1826" i="1"/>
  <c r="R1826" i="1"/>
  <c r="Q1826" i="1"/>
  <c r="M1826" i="1"/>
  <c r="L1826" i="1"/>
  <c r="V1825" i="1"/>
  <c r="Z1825" i="1" s="1"/>
  <c r="U1825" i="1"/>
  <c r="T1825" i="1"/>
  <c r="S1825" i="1"/>
  <c r="R1825" i="1"/>
  <c r="Q1825" i="1"/>
  <c r="M1825" i="1"/>
  <c r="L1825" i="1"/>
  <c r="V1824" i="1"/>
  <c r="Z1824" i="1" s="1"/>
  <c r="U1824" i="1"/>
  <c r="T1824" i="1"/>
  <c r="W1824" i="1" s="1"/>
  <c r="S1824" i="1"/>
  <c r="R1824" i="1"/>
  <c r="Q1824" i="1"/>
  <c r="M1824" i="1"/>
  <c r="L1824" i="1"/>
  <c r="V1823" i="1"/>
  <c r="Z1823" i="1" s="1"/>
  <c r="U1823" i="1"/>
  <c r="T1823" i="1"/>
  <c r="W1823" i="1" s="1"/>
  <c r="S1823" i="1"/>
  <c r="R1823" i="1"/>
  <c r="Q1823" i="1"/>
  <c r="M1823" i="1"/>
  <c r="L1823" i="1"/>
  <c r="V1822" i="1"/>
  <c r="U1822" i="1"/>
  <c r="T1822" i="1"/>
  <c r="W1822" i="1" s="1"/>
  <c r="S1822" i="1"/>
  <c r="R1822" i="1"/>
  <c r="Q1822" i="1"/>
  <c r="M1822" i="1"/>
  <c r="L1822" i="1"/>
  <c r="V1821" i="1"/>
  <c r="Z1821" i="1" s="1"/>
  <c r="U1821" i="1"/>
  <c r="T1821" i="1"/>
  <c r="W1821" i="1" s="1"/>
  <c r="S1821" i="1"/>
  <c r="R1821" i="1"/>
  <c r="Q1821" i="1"/>
  <c r="M1821" i="1"/>
  <c r="L1821" i="1"/>
  <c r="V1820" i="1"/>
  <c r="Z1820" i="1" s="1"/>
  <c r="U1820" i="1"/>
  <c r="T1820" i="1"/>
  <c r="W1820" i="1" s="1"/>
  <c r="S1820" i="1"/>
  <c r="R1820" i="1"/>
  <c r="Q1820" i="1"/>
  <c r="M1820" i="1"/>
  <c r="L1820" i="1"/>
  <c r="V1819" i="1"/>
  <c r="Z1819" i="1" s="1"/>
  <c r="U1819" i="1"/>
  <c r="T1819" i="1"/>
  <c r="W1819" i="1" s="1"/>
  <c r="S1819" i="1"/>
  <c r="R1819" i="1"/>
  <c r="Q1819" i="1"/>
  <c r="M1819" i="1"/>
  <c r="L1819" i="1"/>
  <c r="V1818" i="1"/>
  <c r="Z1818" i="1" s="1"/>
  <c r="U1818" i="1"/>
  <c r="T1818" i="1"/>
  <c r="S1818" i="1"/>
  <c r="R1818" i="1"/>
  <c r="Q1818" i="1"/>
  <c r="M1818" i="1"/>
  <c r="L1818" i="1"/>
  <c r="V1817" i="1"/>
  <c r="U1817" i="1"/>
  <c r="T1817" i="1"/>
  <c r="W1817" i="1" s="1"/>
  <c r="S1817" i="1"/>
  <c r="R1817" i="1"/>
  <c r="Q1817" i="1"/>
  <c r="M1817" i="1"/>
  <c r="L1817" i="1"/>
  <c r="V1816" i="1"/>
  <c r="Z1816" i="1" s="1"/>
  <c r="U1816" i="1"/>
  <c r="T1816" i="1"/>
  <c r="W1816" i="1" s="1"/>
  <c r="S1816" i="1"/>
  <c r="R1816" i="1"/>
  <c r="Q1816" i="1"/>
  <c r="M1816" i="1"/>
  <c r="L1816" i="1"/>
  <c r="V1815" i="1"/>
  <c r="Z1815" i="1" s="1"/>
  <c r="U1815" i="1"/>
  <c r="T1815" i="1"/>
  <c r="W1815" i="1" s="1"/>
  <c r="S1815" i="1"/>
  <c r="R1815" i="1"/>
  <c r="Q1815" i="1"/>
  <c r="M1815" i="1"/>
  <c r="L1815" i="1"/>
  <c r="V1814" i="1"/>
  <c r="Z1814" i="1" s="1"/>
  <c r="U1814" i="1"/>
  <c r="T1814" i="1"/>
  <c r="W1814" i="1" s="1"/>
  <c r="S1814" i="1"/>
  <c r="R1814" i="1"/>
  <c r="Q1814" i="1"/>
  <c r="M1814" i="1"/>
  <c r="L1814" i="1"/>
  <c r="V1813" i="1"/>
  <c r="Z1813" i="1" s="1"/>
  <c r="U1813" i="1"/>
  <c r="T1813" i="1"/>
  <c r="W1813" i="1" s="1"/>
  <c r="S1813" i="1"/>
  <c r="R1813" i="1"/>
  <c r="Q1813" i="1"/>
  <c r="M1813" i="1"/>
  <c r="L1813" i="1"/>
  <c r="V1812" i="1"/>
  <c r="Z1812" i="1" s="1"/>
  <c r="U1812" i="1"/>
  <c r="T1812" i="1"/>
  <c r="S1812" i="1"/>
  <c r="R1812" i="1"/>
  <c r="Q1812" i="1"/>
  <c r="M1812" i="1"/>
  <c r="L1812" i="1"/>
  <c r="V1811" i="1"/>
  <c r="Z1811" i="1" s="1"/>
  <c r="U1811" i="1"/>
  <c r="T1811" i="1"/>
  <c r="S1811" i="1"/>
  <c r="R1811" i="1"/>
  <c r="Q1811" i="1"/>
  <c r="M1811" i="1"/>
  <c r="L1811" i="1"/>
  <c r="V1810" i="1"/>
  <c r="U1810" i="1"/>
  <c r="T1810" i="1"/>
  <c r="W1810" i="1" s="1"/>
  <c r="S1810" i="1"/>
  <c r="R1810" i="1"/>
  <c r="Q1810" i="1"/>
  <c r="M1810" i="1"/>
  <c r="L1810" i="1"/>
  <c r="V1809" i="1"/>
  <c r="U1809" i="1"/>
  <c r="T1809" i="1"/>
  <c r="W1809" i="1" s="1"/>
  <c r="S1809" i="1"/>
  <c r="R1809" i="1"/>
  <c r="Q1809" i="1"/>
  <c r="M1809" i="1"/>
  <c r="L1809" i="1"/>
  <c r="V1808" i="1"/>
  <c r="Z1808" i="1" s="1"/>
  <c r="U1808" i="1"/>
  <c r="T1808" i="1"/>
  <c r="S1808" i="1"/>
  <c r="R1808" i="1"/>
  <c r="Q1808" i="1"/>
  <c r="M1808" i="1"/>
  <c r="L1808" i="1"/>
  <c r="V1807" i="1"/>
  <c r="Z1807" i="1" s="1"/>
  <c r="U1807" i="1"/>
  <c r="T1807" i="1"/>
  <c r="W1807" i="1" s="1"/>
  <c r="S1807" i="1"/>
  <c r="R1807" i="1"/>
  <c r="Q1807" i="1"/>
  <c r="M1807" i="1"/>
  <c r="L1807" i="1"/>
  <c r="V1806" i="1"/>
  <c r="Z1806" i="1" s="1"/>
  <c r="U1806" i="1"/>
  <c r="T1806" i="1"/>
  <c r="S1806" i="1"/>
  <c r="R1806" i="1"/>
  <c r="Q1806" i="1"/>
  <c r="M1806" i="1"/>
  <c r="L1806" i="1"/>
  <c r="V1805" i="1"/>
  <c r="U1805" i="1"/>
  <c r="T1805" i="1"/>
  <c r="S1805" i="1"/>
  <c r="R1805" i="1"/>
  <c r="Q1805" i="1"/>
  <c r="M1805" i="1"/>
  <c r="L1805" i="1"/>
  <c r="V1804" i="1"/>
  <c r="Z1804" i="1" s="1"/>
  <c r="U1804" i="1"/>
  <c r="T1804" i="1"/>
  <c r="W1804" i="1" s="1"/>
  <c r="S1804" i="1"/>
  <c r="R1804" i="1"/>
  <c r="Q1804" i="1"/>
  <c r="M1804" i="1"/>
  <c r="L1804" i="1"/>
  <c r="V1803" i="1"/>
  <c r="Z1803" i="1" s="1"/>
  <c r="U1803" i="1"/>
  <c r="T1803" i="1"/>
  <c r="W1803" i="1" s="1"/>
  <c r="S1803" i="1"/>
  <c r="R1803" i="1"/>
  <c r="Q1803" i="1"/>
  <c r="M1803" i="1"/>
  <c r="L1803" i="1"/>
  <c r="V1802" i="1"/>
  <c r="Z1802" i="1" s="1"/>
  <c r="U1802" i="1"/>
  <c r="T1802" i="1"/>
  <c r="W1802" i="1" s="1"/>
  <c r="S1802" i="1"/>
  <c r="R1802" i="1"/>
  <c r="Q1802" i="1"/>
  <c r="M1802" i="1"/>
  <c r="L1802" i="1"/>
  <c r="V1801" i="1"/>
  <c r="Z1801" i="1" s="1"/>
  <c r="U1801" i="1"/>
  <c r="T1801" i="1"/>
  <c r="S1801" i="1"/>
  <c r="R1801" i="1"/>
  <c r="Q1801" i="1"/>
  <c r="M1801" i="1"/>
  <c r="L1801" i="1"/>
  <c r="V1800" i="1"/>
  <c r="Z1800" i="1" s="1"/>
  <c r="U1800" i="1"/>
  <c r="T1800" i="1"/>
  <c r="S1800" i="1"/>
  <c r="R1800" i="1"/>
  <c r="Q1800" i="1"/>
  <c r="M1800" i="1"/>
  <c r="L1800" i="1"/>
  <c r="V1799" i="1"/>
  <c r="Z1799" i="1" s="1"/>
  <c r="U1799" i="1"/>
  <c r="T1799" i="1"/>
  <c r="S1799" i="1"/>
  <c r="R1799" i="1"/>
  <c r="Q1799" i="1"/>
  <c r="M1799" i="1"/>
  <c r="L1799" i="1"/>
  <c r="V1798" i="1"/>
  <c r="Z1798" i="1" s="1"/>
  <c r="U1798" i="1"/>
  <c r="T1798" i="1"/>
  <c r="W1798" i="1" s="1"/>
  <c r="S1798" i="1"/>
  <c r="R1798" i="1"/>
  <c r="Q1798" i="1"/>
  <c r="M1798" i="1"/>
  <c r="L1798" i="1"/>
  <c r="V1797" i="1"/>
  <c r="U1797" i="1"/>
  <c r="T1797" i="1"/>
  <c r="W1797" i="1" s="1"/>
  <c r="S1797" i="1"/>
  <c r="R1797" i="1"/>
  <c r="Q1797" i="1"/>
  <c r="M1797" i="1"/>
  <c r="L1797" i="1"/>
  <c r="V1796" i="1"/>
  <c r="Z1796" i="1" s="1"/>
  <c r="U1796" i="1"/>
  <c r="T1796" i="1"/>
  <c r="W1796" i="1" s="1"/>
  <c r="S1796" i="1"/>
  <c r="R1796" i="1"/>
  <c r="Q1796" i="1"/>
  <c r="M1796" i="1"/>
  <c r="L1796" i="1"/>
  <c r="V1795" i="1"/>
  <c r="Z1795" i="1" s="1"/>
  <c r="U1795" i="1"/>
  <c r="T1795" i="1"/>
  <c r="W1795" i="1" s="1"/>
  <c r="S1795" i="1"/>
  <c r="R1795" i="1"/>
  <c r="Q1795" i="1"/>
  <c r="M1795" i="1"/>
  <c r="L1795" i="1"/>
  <c r="V1794" i="1"/>
  <c r="Z1794" i="1" s="1"/>
  <c r="U1794" i="1"/>
  <c r="T1794" i="1"/>
  <c r="W1794" i="1" s="1"/>
  <c r="S1794" i="1"/>
  <c r="R1794" i="1"/>
  <c r="Q1794" i="1"/>
  <c r="M1794" i="1"/>
  <c r="L1794" i="1"/>
  <c r="V1793" i="1"/>
  <c r="Z1793" i="1" s="1"/>
  <c r="U1793" i="1"/>
  <c r="T1793" i="1"/>
  <c r="S1793" i="1"/>
  <c r="R1793" i="1"/>
  <c r="Q1793" i="1"/>
  <c r="M1793" i="1"/>
  <c r="L1793" i="1"/>
  <c r="V1792" i="1"/>
  <c r="Z1792" i="1" s="1"/>
  <c r="U1792" i="1"/>
  <c r="T1792" i="1"/>
  <c r="W1792" i="1" s="1"/>
  <c r="S1792" i="1"/>
  <c r="R1792" i="1"/>
  <c r="Q1792" i="1"/>
  <c r="M1792" i="1"/>
  <c r="L1792" i="1"/>
  <c r="V1791" i="1"/>
  <c r="Z1791" i="1" s="1"/>
  <c r="U1791" i="1"/>
  <c r="T1791" i="1"/>
  <c r="W1791" i="1" s="1"/>
  <c r="S1791" i="1"/>
  <c r="R1791" i="1"/>
  <c r="Q1791" i="1"/>
  <c r="M1791" i="1"/>
  <c r="L1791" i="1"/>
  <c r="V1790" i="1"/>
  <c r="U1790" i="1"/>
  <c r="T1790" i="1"/>
  <c r="W1790" i="1" s="1"/>
  <c r="S1790" i="1"/>
  <c r="R1790" i="1"/>
  <c r="Q1790" i="1"/>
  <c r="M1790" i="1"/>
  <c r="L1790" i="1"/>
  <c r="V1789" i="1"/>
  <c r="Z1789" i="1" s="1"/>
  <c r="U1789" i="1"/>
  <c r="T1789" i="1"/>
  <c r="W1789" i="1" s="1"/>
  <c r="S1789" i="1"/>
  <c r="R1789" i="1"/>
  <c r="Q1789" i="1"/>
  <c r="M1789" i="1"/>
  <c r="L1789" i="1"/>
  <c r="V1788" i="1"/>
  <c r="Z1788" i="1" s="1"/>
  <c r="U1788" i="1"/>
  <c r="T1788" i="1"/>
  <c r="W1788" i="1" s="1"/>
  <c r="S1788" i="1"/>
  <c r="R1788" i="1"/>
  <c r="Q1788" i="1"/>
  <c r="M1788" i="1"/>
  <c r="L1788" i="1"/>
  <c r="V1787" i="1"/>
  <c r="Z1787" i="1" s="1"/>
  <c r="U1787" i="1"/>
  <c r="T1787" i="1"/>
  <c r="W1787" i="1" s="1"/>
  <c r="S1787" i="1"/>
  <c r="R1787" i="1"/>
  <c r="Q1787" i="1"/>
  <c r="M1787" i="1"/>
  <c r="L1787" i="1"/>
  <c r="V1786" i="1"/>
  <c r="Z1786" i="1" s="1"/>
  <c r="U1786" i="1"/>
  <c r="T1786" i="1"/>
  <c r="S1786" i="1"/>
  <c r="R1786" i="1"/>
  <c r="Q1786" i="1"/>
  <c r="M1786" i="1"/>
  <c r="L1786" i="1"/>
  <c r="V1785" i="1"/>
  <c r="U1785" i="1"/>
  <c r="T1785" i="1"/>
  <c r="W1785" i="1" s="1"/>
  <c r="S1785" i="1"/>
  <c r="R1785" i="1"/>
  <c r="Q1785" i="1"/>
  <c r="M1785" i="1"/>
  <c r="L1785" i="1"/>
  <c r="V1784" i="1"/>
  <c r="Z1784" i="1" s="1"/>
  <c r="U1784" i="1"/>
  <c r="T1784" i="1"/>
  <c r="W1784" i="1" s="1"/>
  <c r="S1784" i="1"/>
  <c r="R1784" i="1"/>
  <c r="Q1784" i="1"/>
  <c r="M1784" i="1"/>
  <c r="L1784" i="1"/>
  <c r="V1783" i="1"/>
  <c r="Z1783" i="1" s="1"/>
  <c r="U1783" i="1"/>
  <c r="T1783" i="1"/>
  <c r="W1783" i="1" s="1"/>
  <c r="S1783" i="1"/>
  <c r="R1783" i="1"/>
  <c r="Q1783" i="1"/>
  <c r="M1783" i="1"/>
  <c r="L1783" i="1"/>
  <c r="V1782" i="1"/>
  <c r="Z1782" i="1" s="1"/>
  <c r="U1782" i="1"/>
  <c r="T1782" i="1"/>
  <c r="W1782" i="1" s="1"/>
  <c r="S1782" i="1"/>
  <c r="R1782" i="1"/>
  <c r="Q1782" i="1"/>
  <c r="M1782" i="1"/>
  <c r="L1782" i="1"/>
  <c r="V1781" i="1"/>
  <c r="Z1781" i="1" s="1"/>
  <c r="U1781" i="1"/>
  <c r="T1781" i="1"/>
  <c r="W1781" i="1" s="1"/>
  <c r="S1781" i="1"/>
  <c r="R1781" i="1"/>
  <c r="Q1781" i="1"/>
  <c r="M1781" i="1"/>
  <c r="L1781" i="1"/>
  <c r="V1780" i="1"/>
  <c r="Z1780" i="1" s="1"/>
  <c r="U1780" i="1"/>
  <c r="T1780" i="1"/>
  <c r="S1780" i="1"/>
  <c r="R1780" i="1"/>
  <c r="Q1780" i="1"/>
  <c r="M1780" i="1"/>
  <c r="L1780" i="1"/>
  <c r="V1779" i="1"/>
  <c r="Z1779" i="1" s="1"/>
  <c r="U1779" i="1"/>
  <c r="T1779" i="1"/>
  <c r="S1779" i="1"/>
  <c r="R1779" i="1"/>
  <c r="Q1779" i="1"/>
  <c r="M1779" i="1"/>
  <c r="L1779" i="1"/>
  <c r="V1778" i="1"/>
  <c r="U1778" i="1"/>
  <c r="T1778" i="1"/>
  <c r="W1778" i="1" s="1"/>
  <c r="S1778" i="1"/>
  <c r="R1778" i="1"/>
  <c r="Q1778" i="1"/>
  <c r="M1778" i="1"/>
  <c r="L1778" i="1"/>
  <c r="V1777" i="1"/>
  <c r="U1777" i="1"/>
  <c r="T1777" i="1"/>
  <c r="W1777" i="1" s="1"/>
  <c r="S1777" i="1"/>
  <c r="R1777" i="1"/>
  <c r="Q1777" i="1"/>
  <c r="M1777" i="1"/>
  <c r="L1777" i="1"/>
  <c r="V1776" i="1"/>
  <c r="Z1776" i="1" s="1"/>
  <c r="U1776" i="1"/>
  <c r="T1776" i="1"/>
  <c r="S1776" i="1"/>
  <c r="R1776" i="1"/>
  <c r="Q1776" i="1"/>
  <c r="M1776" i="1"/>
  <c r="L1776" i="1"/>
  <c r="V1775" i="1"/>
  <c r="Z1775" i="1" s="1"/>
  <c r="U1775" i="1"/>
  <c r="T1775" i="1"/>
  <c r="W1775" i="1" s="1"/>
  <c r="S1775" i="1"/>
  <c r="R1775" i="1"/>
  <c r="Q1775" i="1"/>
  <c r="M1775" i="1"/>
  <c r="L1775" i="1"/>
  <c r="V1774" i="1"/>
  <c r="Z1774" i="1" s="1"/>
  <c r="U1774" i="1"/>
  <c r="T1774" i="1"/>
  <c r="S1774" i="1"/>
  <c r="R1774" i="1"/>
  <c r="Q1774" i="1"/>
  <c r="M1774" i="1"/>
  <c r="L1774" i="1"/>
  <c r="V1773" i="1"/>
  <c r="U1773" i="1"/>
  <c r="T1773" i="1"/>
  <c r="S1773" i="1"/>
  <c r="R1773" i="1"/>
  <c r="Q1773" i="1"/>
  <c r="M1773" i="1"/>
  <c r="L1773" i="1"/>
  <c r="V1772" i="1"/>
  <c r="Z1772" i="1" s="1"/>
  <c r="U1772" i="1"/>
  <c r="T1772" i="1"/>
  <c r="W1772" i="1" s="1"/>
  <c r="S1772" i="1"/>
  <c r="R1772" i="1"/>
  <c r="Q1772" i="1"/>
  <c r="M1772" i="1"/>
  <c r="L1772" i="1"/>
  <c r="V1771" i="1"/>
  <c r="Z1771" i="1" s="1"/>
  <c r="U1771" i="1"/>
  <c r="T1771" i="1"/>
  <c r="W1771" i="1" s="1"/>
  <c r="S1771" i="1"/>
  <c r="R1771" i="1"/>
  <c r="Q1771" i="1"/>
  <c r="M1771" i="1"/>
  <c r="L1771" i="1"/>
  <c r="V1770" i="1"/>
  <c r="Z1770" i="1" s="1"/>
  <c r="U1770" i="1"/>
  <c r="T1770" i="1"/>
  <c r="W1770" i="1" s="1"/>
  <c r="S1770" i="1"/>
  <c r="R1770" i="1"/>
  <c r="Q1770" i="1"/>
  <c r="M1770" i="1"/>
  <c r="L1770" i="1"/>
  <c r="V1769" i="1"/>
  <c r="Z1769" i="1" s="1"/>
  <c r="U1769" i="1"/>
  <c r="T1769" i="1"/>
  <c r="S1769" i="1"/>
  <c r="R1769" i="1"/>
  <c r="Q1769" i="1"/>
  <c r="M1769" i="1"/>
  <c r="L1769" i="1"/>
  <c r="V1768" i="1"/>
  <c r="Z1768" i="1" s="1"/>
  <c r="U1768" i="1"/>
  <c r="T1768" i="1"/>
  <c r="S1768" i="1"/>
  <c r="R1768" i="1"/>
  <c r="Q1768" i="1"/>
  <c r="M1768" i="1"/>
  <c r="L1768" i="1"/>
  <c r="V1767" i="1"/>
  <c r="Z1767" i="1" s="1"/>
  <c r="U1767" i="1"/>
  <c r="T1767" i="1"/>
  <c r="W1767" i="1" s="1"/>
  <c r="S1767" i="1"/>
  <c r="R1767" i="1"/>
  <c r="Q1767" i="1"/>
  <c r="M1767" i="1"/>
  <c r="L1767" i="1"/>
  <c r="V1766" i="1"/>
  <c r="U1766" i="1"/>
  <c r="T1766" i="1"/>
  <c r="W1766" i="1" s="1"/>
  <c r="S1766" i="1"/>
  <c r="R1766" i="1"/>
  <c r="Q1766" i="1"/>
  <c r="M1766" i="1"/>
  <c r="L1766" i="1"/>
  <c r="V1765" i="1"/>
  <c r="Z1765" i="1" s="1"/>
  <c r="U1765" i="1"/>
  <c r="T1765" i="1"/>
  <c r="S1765" i="1"/>
  <c r="R1765" i="1"/>
  <c r="Q1765" i="1"/>
  <c r="M1765" i="1"/>
  <c r="L1765" i="1"/>
  <c r="V1764" i="1"/>
  <c r="Z1764" i="1" s="1"/>
  <c r="U1764" i="1"/>
  <c r="T1764" i="1"/>
  <c r="S1764" i="1"/>
  <c r="R1764" i="1"/>
  <c r="Q1764" i="1"/>
  <c r="M1764" i="1"/>
  <c r="L1764" i="1"/>
  <c r="V1763" i="1"/>
  <c r="Z1763" i="1" s="1"/>
  <c r="U1763" i="1"/>
  <c r="T1763" i="1"/>
  <c r="W1763" i="1" s="1"/>
  <c r="S1763" i="1"/>
  <c r="R1763" i="1"/>
  <c r="Q1763" i="1"/>
  <c r="M1763" i="1"/>
  <c r="L1763" i="1"/>
  <c r="V1762" i="1"/>
  <c r="U1762" i="1"/>
  <c r="T1762" i="1"/>
  <c r="W1762" i="1" s="1"/>
  <c r="S1762" i="1"/>
  <c r="R1762" i="1"/>
  <c r="Q1762" i="1"/>
  <c r="M1762" i="1"/>
  <c r="L1762" i="1"/>
  <c r="V1761" i="1"/>
  <c r="Z1761" i="1" s="1"/>
  <c r="U1761" i="1"/>
  <c r="T1761" i="1"/>
  <c r="S1761" i="1"/>
  <c r="R1761" i="1"/>
  <c r="Q1761" i="1"/>
  <c r="M1761" i="1"/>
  <c r="L1761" i="1"/>
  <c r="V1760" i="1"/>
  <c r="Z1760" i="1" s="1"/>
  <c r="U1760" i="1"/>
  <c r="T1760" i="1"/>
  <c r="S1760" i="1"/>
  <c r="R1760" i="1"/>
  <c r="Q1760" i="1"/>
  <c r="M1760" i="1"/>
  <c r="L1760" i="1"/>
  <c r="V1759" i="1"/>
  <c r="Z1759" i="1" s="1"/>
  <c r="U1759" i="1"/>
  <c r="T1759" i="1"/>
  <c r="W1759" i="1" s="1"/>
  <c r="S1759" i="1"/>
  <c r="R1759" i="1"/>
  <c r="Q1759" i="1"/>
  <c r="M1759" i="1"/>
  <c r="L1759" i="1"/>
  <c r="V1758" i="1"/>
  <c r="U1758" i="1"/>
  <c r="T1758" i="1"/>
  <c r="W1758" i="1" s="1"/>
  <c r="S1758" i="1"/>
  <c r="R1758" i="1"/>
  <c r="Q1758" i="1"/>
  <c r="M1758" i="1"/>
  <c r="L1758" i="1"/>
  <c r="V1757" i="1"/>
  <c r="Z1757" i="1" s="1"/>
  <c r="U1757" i="1"/>
  <c r="T1757" i="1"/>
  <c r="S1757" i="1"/>
  <c r="R1757" i="1"/>
  <c r="Q1757" i="1"/>
  <c r="M1757" i="1"/>
  <c r="L1757" i="1"/>
  <c r="V1756" i="1"/>
  <c r="Z1756" i="1" s="1"/>
  <c r="U1756" i="1"/>
  <c r="T1756" i="1"/>
  <c r="S1756" i="1"/>
  <c r="R1756" i="1"/>
  <c r="Q1756" i="1"/>
  <c r="M1756" i="1"/>
  <c r="L1756" i="1"/>
  <c r="V1755" i="1"/>
  <c r="Z1755" i="1" s="1"/>
  <c r="U1755" i="1"/>
  <c r="T1755" i="1"/>
  <c r="W1755" i="1" s="1"/>
  <c r="S1755" i="1"/>
  <c r="R1755" i="1"/>
  <c r="Q1755" i="1"/>
  <c r="M1755" i="1"/>
  <c r="L1755" i="1"/>
  <c r="V1754" i="1"/>
  <c r="U1754" i="1"/>
  <c r="T1754" i="1"/>
  <c r="W1754" i="1" s="1"/>
  <c r="S1754" i="1"/>
  <c r="R1754" i="1"/>
  <c r="Q1754" i="1"/>
  <c r="M1754" i="1"/>
  <c r="L1754" i="1"/>
  <c r="V1753" i="1"/>
  <c r="Z1753" i="1" s="1"/>
  <c r="U1753" i="1"/>
  <c r="T1753" i="1"/>
  <c r="S1753" i="1"/>
  <c r="R1753" i="1"/>
  <c r="Q1753" i="1"/>
  <c r="M1753" i="1"/>
  <c r="L1753" i="1"/>
  <c r="V1752" i="1"/>
  <c r="Z1752" i="1" s="1"/>
  <c r="U1752" i="1"/>
  <c r="T1752" i="1"/>
  <c r="S1752" i="1"/>
  <c r="R1752" i="1"/>
  <c r="Q1752" i="1"/>
  <c r="M1752" i="1"/>
  <c r="L1752" i="1"/>
  <c r="V1751" i="1"/>
  <c r="Z1751" i="1" s="1"/>
  <c r="U1751" i="1"/>
  <c r="T1751" i="1"/>
  <c r="W1751" i="1" s="1"/>
  <c r="S1751" i="1"/>
  <c r="R1751" i="1"/>
  <c r="Q1751" i="1"/>
  <c r="M1751" i="1"/>
  <c r="L1751" i="1"/>
  <c r="V1750" i="1"/>
  <c r="U1750" i="1"/>
  <c r="T1750" i="1"/>
  <c r="W1750" i="1" s="1"/>
  <c r="S1750" i="1"/>
  <c r="R1750" i="1"/>
  <c r="Q1750" i="1"/>
  <c r="M1750" i="1"/>
  <c r="L1750" i="1"/>
  <c r="V1749" i="1"/>
  <c r="Z1749" i="1" s="1"/>
  <c r="U1749" i="1"/>
  <c r="T1749" i="1"/>
  <c r="S1749" i="1"/>
  <c r="R1749" i="1"/>
  <c r="Q1749" i="1"/>
  <c r="M1749" i="1"/>
  <c r="L1749" i="1"/>
  <c r="V1748" i="1"/>
  <c r="Z1748" i="1" s="1"/>
  <c r="U1748" i="1"/>
  <c r="T1748" i="1"/>
  <c r="S1748" i="1"/>
  <c r="R1748" i="1"/>
  <c r="Q1748" i="1"/>
  <c r="M1748" i="1"/>
  <c r="L1748" i="1"/>
  <c r="V1747" i="1"/>
  <c r="Z1747" i="1" s="1"/>
  <c r="U1747" i="1"/>
  <c r="T1747" i="1"/>
  <c r="W1747" i="1" s="1"/>
  <c r="S1747" i="1"/>
  <c r="R1747" i="1"/>
  <c r="Q1747" i="1"/>
  <c r="M1747" i="1"/>
  <c r="L1747" i="1"/>
  <c r="V1746" i="1"/>
  <c r="U1746" i="1"/>
  <c r="T1746" i="1"/>
  <c r="W1746" i="1" s="1"/>
  <c r="S1746" i="1"/>
  <c r="R1746" i="1"/>
  <c r="Q1746" i="1"/>
  <c r="M1746" i="1"/>
  <c r="L1746" i="1"/>
  <c r="V1745" i="1"/>
  <c r="Z1745" i="1" s="1"/>
  <c r="U1745" i="1"/>
  <c r="T1745" i="1"/>
  <c r="S1745" i="1"/>
  <c r="R1745" i="1"/>
  <c r="Q1745" i="1"/>
  <c r="M1745" i="1"/>
  <c r="L1745" i="1"/>
  <c r="V1744" i="1"/>
  <c r="Z1744" i="1" s="1"/>
  <c r="U1744" i="1"/>
  <c r="T1744" i="1"/>
  <c r="S1744" i="1"/>
  <c r="R1744" i="1"/>
  <c r="Q1744" i="1"/>
  <c r="M1744" i="1"/>
  <c r="L1744" i="1"/>
  <c r="V1743" i="1"/>
  <c r="Z1743" i="1" s="1"/>
  <c r="U1743" i="1"/>
  <c r="T1743" i="1"/>
  <c r="W1743" i="1" s="1"/>
  <c r="S1743" i="1"/>
  <c r="R1743" i="1"/>
  <c r="Q1743" i="1"/>
  <c r="M1743" i="1"/>
  <c r="L1743" i="1"/>
  <c r="V1742" i="1"/>
  <c r="U1742" i="1"/>
  <c r="T1742" i="1"/>
  <c r="W1742" i="1" s="1"/>
  <c r="S1742" i="1"/>
  <c r="R1742" i="1"/>
  <c r="Q1742" i="1"/>
  <c r="M1742" i="1"/>
  <c r="L1742" i="1"/>
  <c r="V1741" i="1"/>
  <c r="Z1741" i="1" s="1"/>
  <c r="U1741" i="1"/>
  <c r="T1741" i="1"/>
  <c r="S1741" i="1"/>
  <c r="R1741" i="1"/>
  <c r="Q1741" i="1"/>
  <c r="M1741" i="1"/>
  <c r="L1741" i="1"/>
  <c r="V1740" i="1"/>
  <c r="Z1740" i="1" s="1"/>
  <c r="U1740" i="1"/>
  <c r="T1740" i="1"/>
  <c r="S1740" i="1"/>
  <c r="R1740" i="1"/>
  <c r="Q1740" i="1"/>
  <c r="M1740" i="1"/>
  <c r="L1740" i="1"/>
  <c r="V1739" i="1"/>
  <c r="Z1739" i="1" s="1"/>
  <c r="U1739" i="1"/>
  <c r="T1739" i="1"/>
  <c r="W1739" i="1" s="1"/>
  <c r="S1739" i="1"/>
  <c r="R1739" i="1"/>
  <c r="Q1739" i="1"/>
  <c r="M1739" i="1"/>
  <c r="L1739" i="1"/>
  <c r="V1738" i="1"/>
  <c r="U1738" i="1"/>
  <c r="T1738" i="1"/>
  <c r="W1738" i="1" s="1"/>
  <c r="S1738" i="1"/>
  <c r="R1738" i="1"/>
  <c r="Q1738" i="1"/>
  <c r="M1738" i="1"/>
  <c r="L1738" i="1"/>
  <c r="V1737" i="1"/>
  <c r="Z1737" i="1" s="1"/>
  <c r="U1737" i="1"/>
  <c r="T1737" i="1"/>
  <c r="S1737" i="1"/>
  <c r="R1737" i="1"/>
  <c r="Q1737" i="1"/>
  <c r="M1737" i="1"/>
  <c r="L1737" i="1"/>
  <c r="V1736" i="1"/>
  <c r="Z1736" i="1" s="1"/>
  <c r="U1736" i="1"/>
  <c r="T1736" i="1"/>
  <c r="S1736" i="1"/>
  <c r="R1736" i="1"/>
  <c r="Q1736" i="1"/>
  <c r="M1736" i="1"/>
  <c r="L1736" i="1"/>
  <c r="V1735" i="1"/>
  <c r="Z1735" i="1" s="1"/>
  <c r="U1735" i="1"/>
  <c r="T1735" i="1"/>
  <c r="W1735" i="1" s="1"/>
  <c r="S1735" i="1"/>
  <c r="R1735" i="1"/>
  <c r="Q1735" i="1"/>
  <c r="M1735" i="1"/>
  <c r="L1735" i="1"/>
  <c r="V1734" i="1"/>
  <c r="U1734" i="1"/>
  <c r="T1734" i="1"/>
  <c r="W1734" i="1" s="1"/>
  <c r="S1734" i="1"/>
  <c r="R1734" i="1"/>
  <c r="Q1734" i="1"/>
  <c r="M1734" i="1"/>
  <c r="L1734" i="1"/>
  <c r="V1733" i="1"/>
  <c r="Z1733" i="1" s="1"/>
  <c r="U1733" i="1"/>
  <c r="T1733" i="1"/>
  <c r="S1733" i="1"/>
  <c r="R1733" i="1"/>
  <c r="Q1733" i="1"/>
  <c r="M1733" i="1"/>
  <c r="L1733" i="1"/>
  <c r="V1732" i="1"/>
  <c r="Z1732" i="1" s="1"/>
  <c r="U1732" i="1"/>
  <c r="T1732" i="1"/>
  <c r="S1732" i="1"/>
  <c r="R1732" i="1"/>
  <c r="Q1732" i="1"/>
  <c r="M1732" i="1"/>
  <c r="L1732" i="1"/>
  <c r="V1731" i="1"/>
  <c r="Z1731" i="1" s="1"/>
  <c r="U1731" i="1"/>
  <c r="T1731" i="1"/>
  <c r="W1731" i="1" s="1"/>
  <c r="S1731" i="1"/>
  <c r="R1731" i="1"/>
  <c r="Q1731" i="1"/>
  <c r="M1731" i="1"/>
  <c r="L1731" i="1"/>
  <c r="V1730" i="1"/>
  <c r="U1730" i="1"/>
  <c r="T1730" i="1"/>
  <c r="W1730" i="1" s="1"/>
  <c r="S1730" i="1"/>
  <c r="R1730" i="1"/>
  <c r="Q1730" i="1"/>
  <c r="M1730" i="1"/>
  <c r="L1730" i="1"/>
  <c r="V1729" i="1"/>
  <c r="Z1729" i="1" s="1"/>
  <c r="U1729" i="1"/>
  <c r="T1729" i="1"/>
  <c r="S1729" i="1"/>
  <c r="R1729" i="1"/>
  <c r="Q1729" i="1"/>
  <c r="M1729" i="1"/>
  <c r="L1729" i="1"/>
  <c r="V1728" i="1"/>
  <c r="Z1728" i="1" s="1"/>
  <c r="U1728" i="1"/>
  <c r="T1728" i="1"/>
  <c r="S1728" i="1"/>
  <c r="R1728" i="1"/>
  <c r="Q1728" i="1"/>
  <c r="M1728" i="1"/>
  <c r="L1728" i="1"/>
  <c r="V1727" i="1"/>
  <c r="Z1727" i="1" s="1"/>
  <c r="U1727" i="1"/>
  <c r="T1727" i="1"/>
  <c r="W1727" i="1" s="1"/>
  <c r="S1727" i="1"/>
  <c r="R1727" i="1"/>
  <c r="Q1727" i="1"/>
  <c r="M1727" i="1"/>
  <c r="L1727" i="1"/>
  <c r="V1726" i="1"/>
  <c r="U1726" i="1"/>
  <c r="T1726" i="1"/>
  <c r="W1726" i="1" s="1"/>
  <c r="S1726" i="1"/>
  <c r="R1726" i="1"/>
  <c r="Q1726" i="1"/>
  <c r="M1726" i="1"/>
  <c r="L1726" i="1"/>
  <c r="V1725" i="1"/>
  <c r="Z1725" i="1" s="1"/>
  <c r="U1725" i="1"/>
  <c r="T1725" i="1"/>
  <c r="S1725" i="1"/>
  <c r="R1725" i="1"/>
  <c r="Q1725" i="1"/>
  <c r="M1725" i="1"/>
  <c r="L1725" i="1"/>
  <c r="V1724" i="1"/>
  <c r="Z1724" i="1" s="1"/>
  <c r="U1724" i="1"/>
  <c r="T1724" i="1"/>
  <c r="S1724" i="1"/>
  <c r="R1724" i="1"/>
  <c r="Q1724" i="1"/>
  <c r="M1724" i="1"/>
  <c r="L1724" i="1"/>
  <c r="V1723" i="1"/>
  <c r="Z1723" i="1" s="1"/>
  <c r="U1723" i="1"/>
  <c r="T1723" i="1"/>
  <c r="W1723" i="1" s="1"/>
  <c r="S1723" i="1"/>
  <c r="R1723" i="1"/>
  <c r="Q1723" i="1"/>
  <c r="M1723" i="1"/>
  <c r="L1723" i="1"/>
  <c r="V1722" i="1"/>
  <c r="U1722" i="1"/>
  <c r="T1722" i="1"/>
  <c r="W1722" i="1" s="1"/>
  <c r="S1722" i="1"/>
  <c r="R1722" i="1"/>
  <c r="Q1722" i="1"/>
  <c r="M1722" i="1"/>
  <c r="L1722" i="1"/>
  <c r="V1721" i="1"/>
  <c r="Z1721" i="1" s="1"/>
  <c r="U1721" i="1"/>
  <c r="T1721" i="1"/>
  <c r="S1721" i="1"/>
  <c r="R1721" i="1"/>
  <c r="Q1721" i="1"/>
  <c r="M1721" i="1"/>
  <c r="L1721" i="1"/>
  <c r="V1720" i="1"/>
  <c r="Z1720" i="1" s="1"/>
  <c r="U1720" i="1"/>
  <c r="T1720" i="1"/>
  <c r="S1720" i="1"/>
  <c r="R1720" i="1"/>
  <c r="Q1720" i="1"/>
  <c r="M1720" i="1"/>
  <c r="L1720" i="1"/>
  <c r="V1719" i="1"/>
  <c r="Z1719" i="1" s="1"/>
  <c r="U1719" i="1"/>
  <c r="T1719" i="1"/>
  <c r="W1719" i="1" s="1"/>
  <c r="S1719" i="1"/>
  <c r="R1719" i="1"/>
  <c r="Q1719" i="1"/>
  <c r="M1719" i="1"/>
  <c r="L1719" i="1"/>
  <c r="V1718" i="1"/>
  <c r="U1718" i="1"/>
  <c r="T1718" i="1"/>
  <c r="W1718" i="1" s="1"/>
  <c r="S1718" i="1"/>
  <c r="R1718" i="1"/>
  <c r="Q1718" i="1"/>
  <c r="M1718" i="1"/>
  <c r="L1718" i="1"/>
  <c r="V1717" i="1"/>
  <c r="Z1717" i="1" s="1"/>
  <c r="U1717" i="1"/>
  <c r="T1717" i="1"/>
  <c r="S1717" i="1"/>
  <c r="R1717" i="1"/>
  <c r="Q1717" i="1"/>
  <c r="M1717" i="1"/>
  <c r="L1717" i="1"/>
  <c r="V1716" i="1"/>
  <c r="Z1716" i="1" s="1"/>
  <c r="U1716" i="1"/>
  <c r="T1716" i="1"/>
  <c r="S1716" i="1"/>
  <c r="R1716" i="1"/>
  <c r="Q1716" i="1"/>
  <c r="M1716" i="1"/>
  <c r="L1716" i="1"/>
  <c r="V1715" i="1"/>
  <c r="Z1715" i="1" s="1"/>
  <c r="U1715" i="1"/>
  <c r="T1715" i="1"/>
  <c r="W1715" i="1" s="1"/>
  <c r="S1715" i="1"/>
  <c r="R1715" i="1"/>
  <c r="Q1715" i="1"/>
  <c r="M1715" i="1"/>
  <c r="L1715" i="1"/>
  <c r="V1714" i="1"/>
  <c r="U1714" i="1"/>
  <c r="T1714" i="1"/>
  <c r="W1714" i="1" s="1"/>
  <c r="S1714" i="1"/>
  <c r="R1714" i="1"/>
  <c r="Q1714" i="1"/>
  <c r="M1714" i="1"/>
  <c r="L1714" i="1"/>
  <c r="V1713" i="1"/>
  <c r="Z1713" i="1" s="1"/>
  <c r="U1713" i="1"/>
  <c r="T1713" i="1"/>
  <c r="S1713" i="1"/>
  <c r="R1713" i="1"/>
  <c r="Q1713" i="1"/>
  <c r="M1713" i="1"/>
  <c r="L1713" i="1"/>
  <c r="V1712" i="1"/>
  <c r="Z1712" i="1" s="1"/>
  <c r="U1712" i="1"/>
  <c r="T1712" i="1"/>
  <c r="S1712" i="1"/>
  <c r="R1712" i="1"/>
  <c r="Q1712" i="1"/>
  <c r="M1712" i="1"/>
  <c r="L1712" i="1"/>
  <c r="V1711" i="1"/>
  <c r="Z1711" i="1" s="1"/>
  <c r="U1711" i="1"/>
  <c r="T1711" i="1"/>
  <c r="W1711" i="1" s="1"/>
  <c r="S1711" i="1"/>
  <c r="R1711" i="1"/>
  <c r="Q1711" i="1"/>
  <c r="M1711" i="1"/>
  <c r="L1711" i="1"/>
  <c r="V1710" i="1"/>
  <c r="U1710" i="1"/>
  <c r="T1710" i="1"/>
  <c r="W1710" i="1" s="1"/>
  <c r="S1710" i="1"/>
  <c r="R1710" i="1"/>
  <c r="Q1710" i="1"/>
  <c r="M1710" i="1"/>
  <c r="L1710" i="1"/>
  <c r="V1709" i="1"/>
  <c r="Z1709" i="1" s="1"/>
  <c r="U1709" i="1"/>
  <c r="T1709" i="1"/>
  <c r="S1709" i="1"/>
  <c r="R1709" i="1"/>
  <c r="Q1709" i="1"/>
  <c r="M1709" i="1"/>
  <c r="L1709" i="1"/>
  <c r="V1708" i="1"/>
  <c r="Z1708" i="1" s="1"/>
  <c r="U1708" i="1"/>
  <c r="T1708" i="1"/>
  <c r="S1708" i="1"/>
  <c r="R1708" i="1"/>
  <c r="Q1708" i="1"/>
  <c r="M1708" i="1"/>
  <c r="L1708" i="1"/>
  <c r="V1707" i="1"/>
  <c r="Z1707" i="1" s="1"/>
  <c r="U1707" i="1"/>
  <c r="T1707" i="1"/>
  <c r="W1707" i="1" s="1"/>
  <c r="S1707" i="1"/>
  <c r="R1707" i="1"/>
  <c r="Q1707" i="1"/>
  <c r="M1707" i="1"/>
  <c r="L1707" i="1"/>
  <c r="V1706" i="1"/>
  <c r="U1706" i="1"/>
  <c r="T1706" i="1"/>
  <c r="W1706" i="1" s="1"/>
  <c r="S1706" i="1"/>
  <c r="R1706" i="1"/>
  <c r="Q1706" i="1"/>
  <c r="M1706" i="1"/>
  <c r="L1706" i="1"/>
  <c r="V1705" i="1"/>
  <c r="Z1705" i="1" s="1"/>
  <c r="U1705" i="1"/>
  <c r="T1705" i="1"/>
  <c r="S1705" i="1"/>
  <c r="R1705" i="1"/>
  <c r="Q1705" i="1"/>
  <c r="M1705" i="1"/>
  <c r="L1705" i="1"/>
  <c r="V1704" i="1"/>
  <c r="Z1704" i="1" s="1"/>
  <c r="U1704" i="1"/>
  <c r="T1704" i="1"/>
  <c r="S1704" i="1"/>
  <c r="R1704" i="1"/>
  <c r="Q1704" i="1"/>
  <c r="M1704" i="1"/>
  <c r="L1704" i="1"/>
  <c r="V1703" i="1"/>
  <c r="Z1703" i="1" s="1"/>
  <c r="U1703" i="1"/>
  <c r="T1703" i="1"/>
  <c r="W1703" i="1" s="1"/>
  <c r="S1703" i="1"/>
  <c r="R1703" i="1"/>
  <c r="Q1703" i="1"/>
  <c r="M1703" i="1"/>
  <c r="L1703" i="1"/>
  <c r="V1702" i="1"/>
  <c r="U1702" i="1"/>
  <c r="T1702" i="1"/>
  <c r="W1702" i="1" s="1"/>
  <c r="S1702" i="1"/>
  <c r="R1702" i="1"/>
  <c r="Q1702" i="1"/>
  <c r="M1702" i="1"/>
  <c r="L1702" i="1"/>
  <c r="V1701" i="1"/>
  <c r="Z1701" i="1" s="1"/>
  <c r="U1701" i="1"/>
  <c r="T1701" i="1"/>
  <c r="S1701" i="1"/>
  <c r="R1701" i="1"/>
  <c r="Q1701" i="1"/>
  <c r="M1701" i="1"/>
  <c r="L1701" i="1"/>
  <c r="V1700" i="1"/>
  <c r="Z1700" i="1" s="1"/>
  <c r="U1700" i="1"/>
  <c r="T1700" i="1"/>
  <c r="S1700" i="1"/>
  <c r="R1700" i="1"/>
  <c r="Q1700" i="1"/>
  <c r="M1700" i="1"/>
  <c r="L1700" i="1"/>
  <c r="V1699" i="1"/>
  <c r="Z1699" i="1" s="1"/>
  <c r="U1699" i="1"/>
  <c r="T1699" i="1"/>
  <c r="W1699" i="1" s="1"/>
  <c r="S1699" i="1"/>
  <c r="R1699" i="1"/>
  <c r="Q1699" i="1"/>
  <c r="M1699" i="1"/>
  <c r="L1699" i="1"/>
  <c r="V1698" i="1"/>
  <c r="U1698" i="1"/>
  <c r="T1698" i="1"/>
  <c r="W1698" i="1" s="1"/>
  <c r="S1698" i="1"/>
  <c r="R1698" i="1"/>
  <c r="Q1698" i="1"/>
  <c r="M1698" i="1"/>
  <c r="L1698" i="1"/>
  <c r="V1697" i="1"/>
  <c r="Z1697" i="1" s="1"/>
  <c r="U1697" i="1"/>
  <c r="T1697" i="1"/>
  <c r="S1697" i="1"/>
  <c r="R1697" i="1"/>
  <c r="Q1697" i="1"/>
  <c r="M1697" i="1"/>
  <c r="L1697" i="1"/>
  <c r="V1696" i="1"/>
  <c r="Z1696" i="1" s="1"/>
  <c r="U1696" i="1"/>
  <c r="T1696" i="1"/>
  <c r="S1696" i="1"/>
  <c r="R1696" i="1"/>
  <c r="Q1696" i="1"/>
  <c r="M1696" i="1"/>
  <c r="L1696" i="1"/>
  <c r="V1695" i="1"/>
  <c r="Z1695" i="1" s="1"/>
  <c r="U1695" i="1"/>
  <c r="T1695" i="1"/>
  <c r="W1695" i="1" s="1"/>
  <c r="S1695" i="1"/>
  <c r="R1695" i="1"/>
  <c r="Q1695" i="1"/>
  <c r="M1695" i="1"/>
  <c r="L1695" i="1"/>
  <c r="V1694" i="1"/>
  <c r="U1694" i="1"/>
  <c r="T1694" i="1"/>
  <c r="W1694" i="1" s="1"/>
  <c r="S1694" i="1"/>
  <c r="R1694" i="1"/>
  <c r="Q1694" i="1"/>
  <c r="M1694" i="1"/>
  <c r="L1694" i="1"/>
  <c r="V1693" i="1"/>
  <c r="Z1693" i="1" s="1"/>
  <c r="U1693" i="1"/>
  <c r="T1693" i="1"/>
  <c r="S1693" i="1"/>
  <c r="R1693" i="1"/>
  <c r="Q1693" i="1"/>
  <c r="M1693" i="1"/>
  <c r="L1693" i="1"/>
  <c r="V1692" i="1"/>
  <c r="Z1692" i="1" s="1"/>
  <c r="U1692" i="1"/>
  <c r="T1692" i="1"/>
  <c r="S1692" i="1"/>
  <c r="R1692" i="1"/>
  <c r="Q1692" i="1"/>
  <c r="M1692" i="1"/>
  <c r="L1692" i="1"/>
  <c r="V1691" i="1"/>
  <c r="Z1691" i="1" s="1"/>
  <c r="U1691" i="1"/>
  <c r="T1691" i="1"/>
  <c r="W1691" i="1" s="1"/>
  <c r="S1691" i="1"/>
  <c r="R1691" i="1"/>
  <c r="Q1691" i="1"/>
  <c r="M1691" i="1"/>
  <c r="L1691" i="1"/>
  <c r="V1690" i="1"/>
  <c r="U1690" i="1"/>
  <c r="T1690" i="1"/>
  <c r="W1690" i="1" s="1"/>
  <c r="S1690" i="1"/>
  <c r="R1690" i="1"/>
  <c r="Q1690" i="1"/>
  <c r="M1690" i="1"/>
  <c r="L1690" i="1"/>
  <c r="V1689" i="1"/>
  <c r="Z1689" i="1" s="1"/>
  <c r="U1689" i="1"/>
  <c r="T1689" i="1"/>
  <c r="S1689" i="1"/>
  <c r="R1689" i="1"/>
  <c r="Q1689" i="1"/>
  <c r="M1689" i="1"/>
  <c r="L1689" i="1"/>
  <c r="V1688" i="1"/>
  <c r="Z1688" i="1" s="1"/>
  <c r="U1688" i="1"/>
  <c r="T1688" i="1"/>
  <c r="S1688" i="1"/>
  <c r="R1688" i="1"/>
  <c r="Q1688" i="1"/>
  <c r="M1688" i="1"/>
  <c r="L1688" i="1"/>
  <c r="V1687" i="1"/>
  <c r="Z1687" i="1" s="1"/>
  <c r="U1687" i="1"/>
  <c r="T1687" i="1"/>
  <c r="W1687" i="1" s="1"/>
  <c r="S1687" i="1"/>
  <c r="R1687" i="1"/>
  <c r="Q1687" i="1"/>
  <c r="M1687" i="1"/>
  <c r="L1687" i="1"/>
  <c r="V1686" i="1"/>
  <c r="U1686" i="1"/>
  <c r="T1686" i="1"/>
  <c r="W1686" i="1" s="1"/>
  <c r="S1686" i="1"/>
  <c r="R1686" i="1"/>
  <c r="Q1686" i="1"/>
  <c r="M1686" i="1"/>
  <c r="L1686" i="1"/>
  <c r="V1685" i="1"/>
  <c r="Z1685" i="1" s="1"/>
  <c r="U1685" i="1"/>
  <c r="T1685" i="1"/>
  <c r="S1685" i="1"/>
  <c r="R1685" i="1"/>
  <c r="Q1685" i="1"/>
  <c r="M1685" i="1"/>
  <c r="L1685" i="1"/>
  <c r="V1684" i="1"/>
  <c r="Z1684" i="1" s="1"/>
  <c r="U1684" i="1"/>
  <c r="T1684" i="1"/>
  <c r="S1684" i="1"/>
  <c r="R1684" i="1"/>
  <c r="Q1684" i="1"/>
  <c r="M1684" i="1"/>
  <c r="L1684" i="1"/>
  <c r="V1683" i="1"/>
  <c r="Z1683" i="1" s="1"/>
  <c r="U1683" i="1"/>
  <c r="T1683" i="1"/>
  <c r="W1683" i="1" s="1"/>
  <c r="S1683" i="1"/>
  <c r="R1683" i="1"/>
  <c r="Q1683" i="1"/>
  <c r="M1683" i="1"/>
  <c r="L1683" i="1"/>
  <c r="V1682" i="1"/>
  <c r="U1682" i="1"/>
  <c r="T1682" i="1"/>
  <c r="W1682" i="1" s="1"/>
  <c r="S1682" i="1"/>
  <c r="R1682" i="1"/>
  <c r="Q1682" i="1"/>
  <c r="M1682" i="1"/>
  <c r="L1682" i="1"/>
  <c r="V1681" i="1"/>
  <c r="Z1681" i="1" s="1"/>
  <c r="U1681" i="1"/>
  <c r="T1681" i="1"/>
  <c r="S1681" i="1"/>
  <c r="R1681" i="1"/>
  <c r="Q1681" i="1"/>
  <c r="M1681" i="1"/>
  <c r="L1681" i="1"/>
  <c r="V1680" i="1"/>
  <c r="Z1680" i="1" s="1"/>
  <c r="U1680" i="1"/>
  <c r="T1680" i="1"/>
  <c r="S1680" i="1"/>
  <c r="R1680" i="1"/>
  <c r="Q1680" i="1"/>
  <c r="M1680" i="1"/>
  <c r="L1680" i="1"/>
  <c r="V1679" i="1"/>
  <c r="Z1679" i="1" s="1"/>
  <c r="U1679" i="1"/>
  <c r="T1679" i="1"/>
  <c r="W1679" i="1" s="1"/>
  <c r="S1679" i="1"/>
  <c r="R1679" i="1"/>
  <c r="Q1679" i="1"/>
  <c r="M1679" i="1"/>
  <c r="L1679" i="1"/>
  <c r="V1678" i="1"/>
  <c r="U1678" i="1"/>
  <c r="T1678" i="1"/>
  <c r="W1678" i="1" s="1"/>
  <c r="S1678" i="1"/>
  <c r="R1678" i="1"/>
  <c r="Q1678" i="1"/>
  <c r="M1678" i="1"/>
  <c r="L1678" i="1"/>
  <c r="V1677" i="1"/>
  <c r="Z1677" i="1" s="1"/>
  <c r="U1677" i="1"/>
  <c r="T1677" i="1"/>
  <c r="S1677" i="1"/>
  <c r="R1677" i="1"/>
  <c r="Q1677" i="1"/>
  <c r="M1677" i="1"/>
  <c r="L1677" i="1"/>
  <c r="V1676" i="1"/>
  <c r="Z1676" i="1" s="1"/>
  <c r="U1676" i="1"/>
  <c r="T1676" i="1"/>
  <c r="S1676" i="1"/>
  <c r="R1676" i="1"/>
  <c r="Q1676" i="1"/>
  <c r="M1676" i="1"/>
  <c r="L1676" i="1"/>
  <c r="V1675" i="1"/>
  <c r="Z1675" i="1" s="1"/>
  <c r="U1675" i="1"/>
  <c r="T1675" i="1"/>
  <c r="W1675" i="1" s="1"/>
  <c r="S1675" i="1"/>
  <c r="R1675" i="1"/>
  <c r="Q1675" i="1"/>
  <c r="M1675" i="1"/>
  <c r="L1675" i="1"/>
  <c r="V1674" i="1"/>
  <c r="U1674" i="1"/>
  <c r="T1674" i="1"/>
  <c r="W1674" i="1" s="1"/>
  <c r="S1674" i="1"/>
  <c r="R1674" i="1"/>
  <c r="Q1674" i="1"/>
  <c r="M1674" i="1"/>
  <c r="L1674" i="1"/>
  <c r="V1673" i="1"/>
  <c r="Z1673" i="1" s="1"/>
  <c r="U1673" i="1"/>
  <c r="T1673" i="1"/>
  <c r="S1673" i="1"/>
  <c r="R1673" i="1"/>
  <c r="Q1673" i="1"/>
  <c r="M1673" i="1"/>
  <c r="L1673" i="1"/>
  <c r="V1672" i="1"/>
  <c r="Z1672" i="1" s="1"/>
  <c r="U1672" i="1"/>
  <c r="T1672" i="1"/>
  <c r="S1672" i="1"/>
  <c r="R1672" i="1"/>
  <c r="Q1672" i="1"/>
  <c r="M1672" i="1"/>
  <c r="L1672" i="1"/>
  <c r="V1671" i="1"/>
  <c r="Z1671" i="1" s="1"/>
  <c r="U1671" i="1"/>
  <c r="T1671" i="1"/>
  <c r="W1671" i="1" s="1"/>
  <c r="S1671" i="1"/>
  <c r="R1671" i="1"/>
  <c r="Q1671" i="1"/>
  <c r="M1671" i="1"/>
  <c r="L1671" i="1"/>
  <c r="V1670" i="1"/>
  <c r="U1670" i="1"/>
  <c r="T1670" i="1"/>
  <c r="W1670" i="1" s="1"/>
  <c r="S1670" i="1"/>
  <c r="R1670" i="1"/>
  <c r="Q1670" i="1"/>
  <c r="M1670" i="1"/>
  <c r="L1670" i="1"/>
  <c r="V1669" i="1"/>
  <c r="Z1669" i="1" s="1"/>
  <c r="U1669" i="1"/>
  <c r="T1669" i="1"/>
  <c r="S1669" i="1"/>
  <c r="R1669" i="1"/>
  <c r="Q1669" i="1"/>
  <c r="M1669" i="1"/>
  <c r="L1669" i="1"/>
  <c r="V1668" i="1"/>
  <c r="Z1668" i="1" s="1"/>
  <c r="U1668" i="1"/>
  <c r="T1668" i="1"/>
  <c r="S1668" i="1"/>
  <c r="R1668" i="1"/>
  <c r="Q1668" i="1"/>
  <c r="M1668" i="1"/>
  <c r="L1668" i="1"/>
  <c r="V1667" i="1"/>
  <c r="Z1667" i="1" s="1"/>
  <c r="U1667" i="1"/>
  <c r="T1667" i="1"/>
  <c r="W1667" i="1" s="1"/>
  <c r="S1667" i="1"/>
  <c r="R1667" i="1"/>
  <c r="Q1667" i="1"/>
  <c r="M1667" i="1"/>
  <c r="L1667" i="1"/>
  <c r="V1666" i="1"/>
  <c r="U1666" i="1"/>
  <c r="T1666" i="1"/>
  <c r="W1666" i="1" s="1"/>
  <c r="S1666" i="1"/>
  <c r="R1666" i="1"/>
  <c r="Q1666" i="1"/>
  <c r="M1666" i="1"/>
  <c r="L1666" i="1"/>
  <c r="V1665" i="1"/>
  <c r="Z1665" i="1" s="1"/>
  <c r="U1665" i="1"/>
  <c r="T1665" i="1"/>
  <c r="S1665" i="1"/>
  <c r="R1665" i="1"/>
  <c r="Q1665" i="1"/>
  <c r="M1665" i="1"/>
  <c r="L1665" i="1"/>
  <c r="V1664" i="1"/>
  <c r="Z1664" i="1" s="1"/>
  <c r="U1664" i="1"/>
  <c r="T1664" i="1"/>
  <c r="S1664" i="1"/>
  <c r="R1664" i="1"/>
  <c r="Q1664" i="1"/>
  <c r="M1664" i="1"/>
  <c r="L1664" i="1"/>
  <c r="V1663" i="1"/>
  <c r="Z1663" i="1" s="1"/>
  <c r="U1663" i="1"/>
  <c r="T1663" i="1"/>
  <c r="W1663" i="1" s="1"/>
  <c r="S1663" i="1"/>
  <c r="R1663" i="1"/>
  <c r="Q1663" i="1"/>
  <c r="M1663" i="1"/>
  <c r="L1663" i="1"/>
  <c r="V1662" i="1"/>
  <c r="U1662" i="1"/>
  <c r="T1662" i="1"/>
  <c r="W1662" i="1" s="1"/>
  <c r="S1662" i="1"/>
  <c r="R1662" i="1"/>
  <c r="Q1662" i="1"/>
  <c r="M1662" i="1"/>
  <c r="L1662" i="1"/>
  <c r="V1661" i="1"/>
  <c r="Z1661" i="1" s="1"/>
  <c r="U1661" i="1"/>
  <c r="T1661" i="1"/>
  <c r="S1661" i="1"/>
  <c r="R1661" i="1"/>
  <c r="Q1661" i="1"/>
  <c r="M1661" i="1"/>
  <c r="L1661" i="1"/>
  <c r="V1660" i="1"/>
  <c r="Z1660" i="1" s="1"/>
  <c r="U1660" i="1"/>
  <c r="T1660" i="1"/>
  <c r="S1660" i="1"/>
  <c r="R1660" i="1"/>
  <c r="Q1660" i="1"/>
  <c r="M1660" i="1"/>
  <c r="L1660" i="1"/>
  <c r="V1659" i="1"/>
  <c r="Z1659" i="1" s="1"/>
  <c r="U1659" i="1"/>
  <c r="T1659" i="1"/>
  <c r="W1659" i="1" s="1"/>
  <c r="S1659" i="1"/>
  <c r="R1659" i="1"/>
  <c r="Q1659" i="1"/>
  <c r="M1659" i="1"/>
  <c r="L1659" i="1"/>
  <c r="V1658" i="1"/>
  <c r="U1658" i="1"/>
  <c r="T1658" i="1"/>
  <c r="W1658" i="1" s="1"/>
  <c r="S1658" i="1"/>
  <c r="R1658" i="1"/>
  <c r="Q1658" i="1"/>
  <c r="M1658" i="1"/>
  <c r="L1658" i="1"/>
  <c r="V1657" i="1"/>
  <c r="Z1657" i="1" s="1"/>
  <c r="U1657" i="1"/>
  <c r="T1657" i="1"/>
  <c r="S1657" i="1"/>
  <c r="R1657" i="1"/>
  <c r="Q1657" i="1"/>
  <c r="M1657" i="1"/>
  <c r="L1657" i="1"/>
  <c r="V1656" i="1"/>
  <c r="Z1656" i="1" s="1"/>
  <c r="U1656" i="1"/>
  <c r="T1656" i="1"/>
  <c r="S1656" i="1"/>
  <c r="R1656" i="1"/>
  <c r="Q1656" i="1"/>
  <c r="M1656" i="1"/>
  <c r="L1656" i="1"/>
  <c r="V1655" i="1"/>
  <c r="Z1655" i="1" s="1"/>
  <c r="U1655" i="1"/>
  <c r="T1655" i="1"/>
  <c r="W1655" i="1" s="1"/>
  <c r="S1655" i="1"/>
  <c r="R1655" i="1"/>
  <c r="Q1655" i="1"/>
  <c r="M1655" i="1"/>
  <c r="L1655" i="1"/>
  <c r="V1654" i="1"/>
  <c r="U1654" i="1"/>
  <c r="T1654" i="1"/>
  <c r="W1654" i="1" s="1"/>
  <c r="S1654" i="1"/>
  <c r="R1654" i="1"/>
  <c r="Q1654" i="1"/>
  <c r="M1654" i="1"/>
  <c r="L1654" i="1"/>
  <c r="V1653" i="1"/>
  <c r="Z1653" i="1" s="1"/>
  <c r="U1653" i="1"/>
  <c r="T1653" i="1"/>
  <c r="S1653" i="1"/>
  <c r="R1653" i="1"/>
  <c r="Q1653" i="1"/>
  <c r="M1653" i="1"/>
  <c r="L1653" i="1"/>
  <c r="V1652" i="1"/>
  <c r="Z1652" i="1" s="1"/>
  <c r="U1652" i="1"/>
  <c r="T1652" i="1"/>
  <c r="S1652" i="1"/>
  <c r="R1652" i="1"/>
  <c r="Q1652" i="1"/>
  <c r="M1652" i="1"/>
  <c r="L1652" i="1"/>
  <c r="V1651" i="1"/>
  <c r="Z1651" i="1" s="1"/>
  <c r="U1651" i="1"/>
  <c r="T1651" i="1"/>
  <c r="W1651" i="1" s="1"/>
  <c r="S1651" i="1"/>
  <c r="R1651" i="1"/>
  <c r="Q1651" i="1"/>
  <c r="M1651" i="1"/>
  <c r="L1651" i="1"/>
  <c r="V1650" i="1"/>
  <c r="U1650" i="1"/>
  <c r="T1650" i="1"/>
  <c r="W1650" i="1" s="1"/>
  <c r="S1650" i="1"/>
  <c r="R1650" i="1"/>
  <c r="Q1650" i="1"/>
  <c r="M1650" i="1"/>
  <c r="L1650" i="1"/>
  <c r="V1649" i="1"/>
  <c r="Z1649" i="1" s="1"/>
  <c r="U1649" i="1"/>
  <c r="T1649" i="1"/>
  <c r="S1649" i="1"/>
  <c r="R1649" i="1"/>
  <c r="Q1649" i="1"/>
  <c r="M1649" i="1"/>
  <c r="L1649" i="1"/>
  <c r="V1648" i="1"/>
  <c r="Z1648" i="1" s="1"/>
  <c r="U1648" i="1"/>
  <c r="T1648" i="1"/>
  <c r="S1648" i="1"/>
  <c r="R1648" i="1"/>
  <c r="Q1648" i="1"/>
  <c r="M1648" i="1"/>
  <c r="L1648" i="1"/>
  <c r="V1647" i="1"/>
  <c r="Z1647" i="1" s="1"/>
  <c r="U1647" i="1"/>
  <c r="T1647" i="1"/>
  <c r="W1647" i="1" s="1"/>
  <c r="S1647" i="1"/>
  <c r="R1647" i="1"/>
  <c r="Q1647" i="1"/>
  <c r="M1647" i="1"/>
  <c r="L1647" i="1"/>
  <c r="V1646" i="1"/>
  <c r="U1646" i="1"/>
  <c r="T1646" i="1"/>
  <c r="W1646" i="1" s="1"/>
  <c r="S1646" i="1"/>
  <c r="R1646" i="1"/>
  <c r="Q1646" i="1"/>
  <c r="M1646" i="1"/>
  <c r="L1646" i="1"/>
  <c r="V1645" i="1"/>
  <c r="Z1645" i="1" s="1"/>
  <c r="U1645" i="1"/>
  <c r="T1645" i="1"/>
  <c r="S1645" i="1"/>
  <c r="R1645" i="1"/>
  <c r="Q1645" i="1"/>
  <c r="M1645" i="1"/>
  <c r="L1645" i="1"/>
  <c r="V1644" i="1"/>
  <c r="Z1644" i="1" s="1"/>
  <c r="U1644" i="1"/>
  <c r="T1644" i="1"/>
  <c r="S1644" i="1"/>
  <c r="R1644" i="1"/>
  <c r="Q1644" i="1"/>
  <c r="M1644" i="1"/>
  <c r="L1644" i="1"/>
  <c r="V1643" i="1"/>
  <c r="Z1643" i="1" s="1"/>
  <c r="U1643" i="1"/>
  <c r="T1643" i="1"/>
  <c r="W1643" i="1" s="1"/>
  <c r="S1643" i="1"/>
  <c r="R1643" i="1"/>
  <c r="Q1643" i="1"/>
  <c r="M1643" i="1"/>
  <c r="L1643" i="1"/>
  <c r="V1642" i="1"/>
  <c r="U1642" i="1"/>
  <c r="T1642" i="1"/>
  <c r="W1642" i="1" s="1"/>
  <c r="S1642" i="1"/>
  <c r="R1642" i="1"/>
  <c r="Q1642" i="1"/>
  <c r="M1642" i="1"/>
  <c r="L1642" i="1"/>
  <c r="V1641" i="1"/>
  <c r="Z1641" i="1" s="1"/>
  <c r="U1641" i="1"/>
  <c r="T1641" i="1"/>
  <c r="S1641" i="1"/>
  <c r="R1641" i="1"/>
  <c r="Q1641" i="1"/>
  <c r="M1641" i="1"/>
  <c r="L1641" i="1"/>
  <c r="V1640" i="1"/>
  <c r="Z1640" i="1" s="1"/>
  <c r="U1640" i="1"/>
  <c r="T1640" i="1"/>
  <c r="S1640" i="1"/>
  <c r="R1640" i="1"/>
  <c r="Q1640" i="1"/>
  <c r="M1640" i="1"/>
  <c r="L1640" i="1"/>
  <c r="V1639" i="1"/>
  <c r="Z1639" i="1" s="1"/>
  <c r="U1639" i="1"/>
  <c r="T1639" i="1"/>
  <c r="W1639" i="1" s="1"/>
  <c r="S1639" i="1"/>
  <c r="R1639" i="1"/>
  <c r="Q1639" i="1"/>
  <c r="M1639" i="1"/>
  <c r="L1639" i="1"/>
  <c r="V1638" i="1"/>
  <c r="U1638" i="1"/>
  <c r="T1638" i="1"/>
  <c r="W1638" i="1" s="1"/>
  <c r="S1638" i="1"/>
  <c r="R1638" i="1"/>
  <c r="Q1638" i="1"/>
  <c r="M1638" i="1"/>
  <c r="L1638" i="1"/>
  <c r="V1637" i="1"/>
  <c r="Z1637" i="1" s="1"/>
  <c r="U1637" i="1"/>
  <c r="T1637" i="1"/>
  <c r="S1637" i="1"/>
  <c r="R1637" i="1"/>
  <c r="Q1637" i="1"/>
  <c r="M1637" i="1"/>
  <c r="L1637" i="1"/>
  <c r="V1636" i="1"/>
  <c r="Z1636" i="1" s="1"/>
  <c r="U1636" i="1"/>
  <c r="T1636" i="1"/>
  <c r="S1636" i="1"/>
  <c r="R1636" i="1"/>
  <c r="Q1636" i="1"/>
  <c r="M1636" i="1"/>
  <c r="L1636" i="1"/>
  <c r="V1635" i="1"/>
  <c r="Z1635" i="1" s="1"/>
  <c r="U1635" i="1"/>
  <c r="T1635" i="1"/>
  <c r="W1635" i="1" s="1"/>
  <c r="S1635" i="1"/>
  <c r="R1635" i="1"/>
  <c r="Q1635" i="1"/>
  <c r="M1635" i="1"/>
  <c r="L1635" i="1"/>
  <c r="V1634" i="1"/>
  <c r="U1634" i="1"/>
  <c r="T1634" i="1"/>
  <c r="W1634" i="1" s="1"/>
  <c r="S1634" i="1"/>
  <c r="R1634" i="1"/>
  <c r="Q1634" i="1"/>
  <c r="M1634" i="1"/>
  <c r="L1634" i="1"/>
  <c r="V1633" i="1"/>
  <c r="Z1633" i="1" s="1"/>
  <c r="U1633" i="1"/>
  <c r="T1633" i="1"/>
  <c r="S1633" i="1"/>
  <c r="R1633" i="1"/>
  <c r="Q1633" i="1"/>
  <c r="M1633" i="1"/>
  <c r="L1633" i="1"/>
  <c r="V1632" i="1"/>
  <c r="Z1632" i="1" s="1"/>
  <c r="U1632" i="1"/>
  <c r="T1632" i="1"/>
  <c r="S1632" i="1"/>
  <c r="R1632" i="1"/>
  <c r="Q1632" i="1"/>
  <c r="M1632" i="1"/>
  <c r="L1632" i="1"/>
  <c r="V1631" i="1"/>
  <c r="Z1631" i="1" s="1"/>
  <c r="U1631" i="1"/>
  <c r="T1631" i="1"/>
  <c r="W1631" i="1" s="1"/>
  <c r="S1631" i="1"/>
  <c r="R1631" i="1"/>
  <c r="Q1631" i="1"/>
  <c r="M1631" i="1"/>
  <c r="L1631" i="1"/>
  <c r="V1630" i="1"/>
  <c r="U1630" i="1"/>
  <c r="T1630" i="1"/>
  <c r="W1630" i="1" s="1"/>
  <c r="S1630" i="1"/>
  <c r="R1630" i="1"/>
  <c r="Q1630" i="1"/>
  <c r="M1630" i="1"/>
  <c r="L1630" i="1"/>
  <c r="V1629" i="1"/>
  <c r="Z1629" i="1" s="1"/>
  <c r="U1629" i="1"/>
  <c r="T1629" i="1"/>
  <c r="S1629" i="1"/>
  <c r="R1629" i="1"/>
  <c r="Q1629" i="1"/>
  <c r="M1629" i="1"/>
  <c r="L1629" i="1"/>
  <c r="V1628" i="1"/>
  <c r="Z1628" i="1" s="1"/>
  <c r="U1628" i="1"/>
  <c r="T1628" i="1"/>
  <c r="S1628" i="1"/>
  <c r="R1628" i="1"/>
  <c r="Q1628" i="1"/>
  <c r="M1628" i="1"/>
  <c r="L1628" i="1"/>
  <c r="V1627" i="1"/>
  <c r="Z1627" i="1" s="1"/>
  <c r="U1627" i="1"/>
  <c r="T1627" i="1"/>
  <c r="W1627" i="1" s="1"/>
  <c r="S1627" i="1"/>
  <c r="R1627" i="1"/>
  <c r="Q1627" i="1"/>
  <c r="M1627" i="1"/>
  <c r="L1627" i="1"/>
  <c r="V1626" i="1"/>
  <c r="U1626" i="1"/>
  <c r="T1626" i="1"/>
  <c r="W1626" i="1" s="1"/>
  <c r="S1626" i="1"/>
  <c r="R1626" i="1"/>
  <c r="Q1626" i="1"/>
  <c r="M1626" i="1"/>
  <c r="L1626" i="1"/>
  <c r="V1625" i="1"/>
  <c r="Z1625" i="1" s="1"/>
  <c r="U1625" i="1"/>
  <c r="T1625" i="1"/>
  <c r="S1625" i="1"/>
  <c r="R1625" i="1"/>
  <c r="Q1625" i="1"/>
  <c r="M1625" i="1"/>
  <c r="L1625" i="1"/>
  <c r="V1624" i="1"/>
  <c r="Z1624" i="1" s="1"/>
  <c r="U1624" i="1"/>
  <c r="T1624" i="1"/>
  <c r="S1624" i="1"/>
  <c r="R1624" i="1"/>
  <c r="Q1624" i="1"/>
  <c r="M1624" i="1"/>
  <c r="L1624" i="1"/>
  <c r="V1623" i="1"/>
  <c r="Z1623" i="1" s="1"/>
  <c r="U1623" i="1"/>
  <c r="T1623" i="1"/>
  <c r="W1623" i="1" s="1"/>
  <c r="S1623" i="1"/>
  <c r="R1623" i="1"/>
  <c r="Q1623" i="1"/>
  <c r="M1623" i="1"/>
  <c r="L1623" i="1"/>
  <c r="V1622" i="1"/>
  <c r="U1622" i="1"/>
  <c r="T1622" i="1"/>
  <c r="W1622" i="1" s="1"/>
  <c r="S1622" i="1"/>
  <c r="R1622" i="1"/>
  <c r="Q1622" i="1"/>
  <c r="M1622" i="1"/>
  <c r="L1622" i="1"/>
  <c r="V1621" i="1"/>
  <c r="Z1621" i="1" s="1"/>
  <c r="U1621" i="1"/>
  <c r="T1621" i="1"/>
  <c r="S1621" i="1"/>
  <c r="R1621" i="1"/>
  <c r="Q1621" i="1"/>
  <c r="M1621" i="1"/>
  <c r="L1621" i="1"/>
  <c r="V1620" i="1"/>
  <c r="Z1620" i="1" s="1"/>
  <c r="U1620" i="1"/>
  <c r="T1620" i="1"/>
  <c r="S1620" i="1"/>
  <c r="R1620" i="1"/>
  <c r="Q1620" i="1"/>
  <c r="M1620" i="1"/>
  <c r="L1620" i="1"/>
  <c r="V1619" i="1"/>
  <c r="Z1619" i="1" s="1"/>
  <c r="U1619" i="1"/>
  <c r="T1619" i="1"/>
  <c r="W1619" i="1" s="1"/>
  <c r="S1619" i="1"/>
  <c r="R1619" i="1"/>
  <c r="Q1619" i="1"/>
  <c r="M1619" i="1"/>
  <c r="L1619" i="1"/>
  <c r="V1618" i="1"/>
  <c r="U1618" i="1"/>
  <c r="T1618" i="1"/>
  <c r="W1618" i="1" s="1"/>
  <c r="S1618" i="1"/>
  <c r="R1618" i="1"/>
  <c r="Q1618" i="1"/>
  <c r="M1618" i="1"/>
  <c r="L1618" i="1"/>
  <c r="V1617" i="1"/>
  <c r="Z1617" i="1" s="1"/>
  <c r="U1617" i="1"/>
  <c r="T1617" i="1"/>
  <c r="S1617" i="1"/>
  <c r="R1617" i="1"/>
  <c r="Q1617" i="1"/>
  <c r="M1617" i="1"/>
  <c r="L1617" i="1"/>
  <c r="V1616" i="1"/>
  <c r="Z1616" i="1" s="1"/>
  <c r="U1616" i="1"/>
  <c r="T1616" i="1"/>
  <c r="S1616" i="1"/>
  <c r="R1616" i="1"/>
  <c r="Q1616" i="1"/>
  <c r="M1616" i="1"/>
  <c r="L1616" i="1"/>
  <c r="V1615" i="1"/>
  <c r="Z1615" i="1" s="1"/>
  <c r="U1615" i="1"/>
  <c r="T1615" i="1"/>
  <c r="W1615" i="1" s="1"/>
  <c r="S1615" i="1"/>
  <c r="R1615" i="1"/>
  <c r="Q1615" i="1"/>
  <c r="M1615" i="1"/>
  <c r="L1615" i="1"/>
  <c r="V1614" i="1"/>
  <c r="U1614" i="1"/>
  <c r="T1614" i="1"/>
  <c r="W1614" i="1" s="1"/>
  <c r="S1614" i="1"/>
  <c r="R1614" i="1"/>
  <c r="Q1614" i="1"/>
  <c r="M1614" i="1"/>
  <c r="L1614" i="1"/>
  <c r="V1613" i="1"/>
  <c r="Z1613" i="1" s="1"/>
  <c r="U1613" i="1"/>
  <c r="T1613" i="1"/>
  <c r="S1613" i="1"/>
  <c r="R1613" i="1"/>
  <c r="Q1613" i="1"/>
  <c r="M1613" i="1"/>
  <c r="L1613" i="1"/>
  <c r="V1612" i="1"/>
  <c r="Z1612" i="1" s="1"/>
  <c r="U1612" i="1"/>
  <c r="T1612" i="1"/>
  <c r="S1612" i="1"/>
  <c r="R1612" i="1"/>
  <c r="Q1612" i="1"/>
  <c r="M1612" i="1"/>
  <c r="L1612" i="1"/>
  <c r="V1611" i="1"/>
  <c r="Z1611" i="1" s="1"/>
  <c r="U1611" i="1"/>
  <c r="T1611" i="1"/>
  <c r="W1611" i="1" s="1"/>
  <c r="S1611" i="1"/>
  <c r="R1611" i="1"/>
  <c r="Q1611" i="1"/>
  <c r="M1611" i="1"/>
  <c r="L1611" i="1"/>
  <c r="V1610" i="1"/>
  <c r="U1610" i="1"/>
  <c r="T1610" i="1"/>
  <c r="W1610" i="1" s="1"/>
  <c r="S1610" i="1"/>
  <c r="R1610" i="1"/>
  <c r="Q1610" i="1"/>
  <c r="M1610" i="1"/>
  <c r="L1610" i="1"/>
  <c r="V1609" i="1"/>
  <c r="Z1609" i="1" s="1"/>
  <c r="U1609" i="1"/>
  <c r="T1609" i="1"/>
  <c r="S1609" i="1"/>
  <c r="R1609" i="1"/>
  <c r="Q1609" i="1"/>
  <c r="M1609" i="1"/>
  <c r="L1609" i="1"/>
  <c r="V1608" i="1"/>
  <c r="Z1608" i="1" s="1"/>
  <c r="U1608" i="1"/>
  <c r="T1608" i="1"/>
  <c r="S1608" i="1"/>
  <c r="R1608" i="1"/>
  <c r="Q1608" i="1"/>
  <c r="M1608" i="1"/>
  <c r="L1608" i="1"/>
  <c r="V1607" i="1"/>
  <c r="Z1607" i="1" s="1"/>
  <c r="U1607" i="1"/>
  <c r="T1607" i="1"/>
  <c r="W1607" i="1" s="1"/>
  <c r="S1607" i="1"/>
  <c r="R1607" i="1"/>
  <c r="Q1607" i="1"/>
  <c r="M1607" i="1"/>
  <c r="L1607" i="1"/>
  <c r="V1606" i="1"/>
  <c r="U1606" i="1"/>
  <c r="T1606" i="1"/>
  <c r="W1606" i="1" s="1"/>
  <c r="S1606" i="1"/>
  <c r="R1606" i="1"/>
  <c r="Q1606" i="1"/>
  <c r="M1606" i="1"/>
  <c r="L1606" i="1"/>
  <c r="V1605" i="1"/>
  <c r="Z1605" i="1" s="1"/>
  <c r="U1605" i="1"/>
  <c r="T1605" i="1"/>
  <c r="S1605" i="1"/>
  <c r="R1605" i="1"/>
  <c r="Q1605" i="1"/>
  <c r="M1605" i="1"/>
  <c r="L1605" i="1"/>
  <c r="V1604" i="1"/>
  <c r="Z1604" i="1" s="1"/>
  <c r="U1604" i="1"/>
  <c r="T1604" i="1"/>
  <c r="S1604" i="1"/>
  <c r="R1604" i="1"/>
  <c r="Q1604" i="1"/>
  <c r="M1604" i="1"/>
  <c r="L1604" i="1"/>
  <c r="V1603" i="1"/>
  <c r="Z1603" i="1" s="1"/>
  <c r="U1603" i="1"/>
  <c r="T1603" i="1"/>
  <c r="W1603" i="1" s="1"/>
  <c r="S1603" i="1"/>
  <c r="R1603" i="1"/>
  <c r="Q1603" i="1"/>
  <c r="M1603" i="1"/>
  <c r="L1603" i="1"/>
  <c r="V1602" i="1"/>
  <c r="U1602" i="1"/>
  <c r="T1602" i="1"/>
  <c r="W1602" i="1" s="1"/>
  <c r="S1602" i="1"/>
  <c r="R1602" i="1"/>
  <c r="Q1602" i="1"/>
  <c r="M1602" i="1"/>
  <c r="L1602" i="1"/>
  <c r="V1601" i="1"/>
  <c r="Z1601" i="1" s="1"/>
  <c r="U1601" i="1"/>
  <c r="T1601" i="1"/>
  <c r="S1601" i="1"/>
  <c r="R1601" i="1"/>
  <c r="Q1601" i="1"/>
  <c r="M1601" i="1"/>
  <c r="L1601" i="1"/>
  <c r="V1600" i="1"/>
  <c r="Z1600" i="1" s="1"/>
  <c r="U1600" i="1"/>
  <c r="T1600" i="1"/>
  <c r="S1600" i="1"/>
  <c r="R1600" i="1"/>
  <c r="Q1600" i="1"/>
  <c r="M1600" i="1"/>
  <c r="L1600" i="1"/>
  <c r="V1599" i="1"/>
  <c r="Z1599" i="1" s="1"/>
  <c r="U1599" i="1"/>
  <c r="T1599" i="1"/>
  <c r="W1599" i="1" s="1"/>
  <c r="S1599" i="1"/>
  <c r="R1599" i="1"/>
  <c r="Q1599" i="1"/>
  <c r="M1599" i="1"/>
  <c r="L1599" i="1"/>
  <c r="V1598" i="1"/>
  <c r="U1598" i="1"/>
  <c r="T1598" i="1"/>
  <c r="W1598" i="1" s="1"/>
  <c r="S1598" i="1"/>
  <c r="R1598" i="1"/>
  <c r="Q1598" i="1"/>
  <c r="M1598" i="1"/>
  <c r="L1598" i="1"/>
  <c r="V1597" i="1"/>
  <c r="Z1597" i="1" s="1"/>
  <c r="U1597" i="1"/>
  <c r="T1597" i="1"/>
  <c r="S1597" i="1"/>
  <c r="R1597" i="1"/>
  <c r="Q1597" i="1"/>
  <c r="M1597" i="1"/>
  <c r="L1597" i="1"/>
  <c r="V1596" i="1"/>
  <c r="Z1596" i="1" s="1"/>
  <c r="U1596" i="1"/>
  <c r="T1596" i="1"/>
  <c r="S1596" i="1"/>
  <c r="R1596" i="1"/>
  <c r="Q1596" i="1"/>
  <c r="M1596" i="1"/>
  <c r="L1596" i="1"/>
  <c r="V1595" i="1"/>
  <c r="Z1595" i="1" s="1"/>
  <c r="U1595" i="1"/>
  <c r="T1595" i="1"/>
  <c r="W1595" i="1" s="1"/>
  <c r="S1595" i="1"/>
  <c r="R1595" i="1"/>
  <c r="Q1595" i="1"/>
  <c r="M1595" i="1"/>
  <c r="L1595" i="1"/>
  <c r="V1594" i="1"/>
  <c r="U1594" i="1"/>
  <c r="T1594" i="1"/>
  <c r="W1594" i="1" s="1"/>
  <c r="S1594" i="1"/>
  <c r="R1594" i="1"/>
  <c r="Q1594" i="1"/>
  <c r="M1594" i="1"/>
  <c r="L1594" i="1"/>
  <c r="V1593" i="1"/>
  <c r="Z1593" i="1" s="1"/>
  <c r="U1593" i="1"/>
  <c r="T1593" i="1"/>
  <c r="S1593" i="1"/>
  <c r="R1593" i="1"/>
  <c r="Q1593" i="1"/>
  <c r="M1593" i="1"/>
  <c r="L1593" i="1"/>
  <c r="V1592" i="1"/>
  <c r="Z1592" i="1" s="1"/>
  <c r="U1592" i="1"/>
  <c r="T1592" i="1"/>
  <c r="S1592" i="1"/>
  <c r="R1592" i="1"/>
  <c r="Q1592" i="1"/>
  <c r="M1592" i="1"/>
  <c r="L1592" i="1"/>
  <c r="V1591" i="1"/>
  <c r="Z1591" i="1" s="1"/>
  <c r="U1591" i="1"/>
  <c r="T1591" i="1"/>
  <c r="W1591" i="1" s="1"/>
  <c r="S1591" i="1"/>
  <c r="R1591" i="1"/>
  <c r="Q1591" i="1"/>
  <c r="M1591" i="1"/>
  <c r="L1591" i="1"/>
  <c r="V1590" i="1"/>
  <c r="U1590" i="1"/>
  <c r="T1590" i="1"/>
  <c r="W1590" i="1" s="1"/>
  <c r="S1590" i="1"/>
  <c r="R1590" i="1"/>
  <c r="Q1590" i="1"/>
  <c r="M1590" i="1"/>
  <c r="L1590" i="1"/>
  <c r="V1589" i="1"/>
  <c r="Z1589" i="1" s="1"/>
  <c r="U1589" i="1"/>
  <c r="T1589" i="1"/>
  <c r="S1589" i="1"/>
  <c r="R1589" i="1"/>
  <c r="Q1589" i="1"/>
  <c r="M1589" i="1"/>
  <c r="L1589" i="1"/>
  <c r="V1588" i="1"/>
  <c r="Z1588" i="1" s="1"/>
  <c r="U1588" i="1"/>
  <c r="T1588" i="1"/>
  <c r="S1588" i="1"/>
  <c r="R1588" i="1"/>
  <c r="Q1588" i="1"/>
  <c r="M1588" i="1"/>
  <c r="L1588" i="1"/>
  <c r="V1587" i="1"/>
  <c r="Z1587" i="1" s="1"/>
  <c r="U1587" i="1"/>
  <c r="T1587" i="1"/>
  <c r="W1587" i="1" s="1"/>
  <c r="S1587" i="1"/>
  <c r="R1587" i="1"/>
  <c r="Q1587" i="1"/>
  <c r="M1587" i="1"/>
  <c r="L1587" i="1"/>
  <c r="V1586" i="1"/>
  <c r="U1586" i="1"/>
  <c r="T1586" i="1"/>
  <c r="W1586" i="1" s="1"/>
  <c r="S1586" i="1"/>
  <c r="R1586" i="1"/>
  <c r="Q1586" i="1"/>
  <c r="M1586" i="1"/>
  <c r="L1586" i="1"/>
  <c r="V1585" i="1"/>
  <c r="Z1585" i="1" s="1"/>
  <c r="U1585" i="1"/>
  <c r="T1585" i="1"/>
  <c r="S1585" i="1"/>
  <c r="R1585" i="1"/>
  <c r="Q1585" i="1"/>
  <c r="M1585" i="1"/>
  <c r="L1585" i="1"/>
  <c r="V1584" i="1"/>
  <c r="Z1584" i="1" s="1"/>
  <c r="U1584" i="1"/>
  <c r="T1584" i="1"/>
  <c r="S1584" i="1"/>
  <c r="R1584" i="1"/>
  <c r="Q1584" i="1"/>
  <c r="M1584" i="1"/>
  <c r="L1584" i="1"/>
  <c r="V1583" i="1"/>
  <c r="Z1583" i="1" s="1"/>
  <c r="U1583" i="1"/>
  <c r="T1583" i="1"/>
  <c r="W1583" i="1" s="1"/>
  <c r="S1583" i="1"/>
  <c r="R1583" i="1"/>
  <c r="Q1583" i="1"/>
  <c r="M1583" i="1"/>
  <c r="L1583" i="1"/>
  <c r="V1582" i="1"/>
  <c r="U1582" i="1"/>
  <c r="T1582" i="1"/>
  <c r="W1582" i="1" s="1"/>
  <c r="S1582" i="1"/>
  <c r="R1582" i="1"/>
  <c r="Q1582" i="1"/>
  <c r="M1582" i="1"/>
  <c r="L1582" i="1"/>
  <c r="V1581" i="1"/>
  <c r="Z1581" i="1" s="1"/>
  <c r="U1581" i="1"/>
  <c r="T1581" i="1"/>
  <c r="S1581" i="1"/>
  <c r="R1581" i="1"/>
  <c r="Q1581" i="1"/>
  <c r="M1581" i="1"/>
  <c r="L1581" i="1"/>
  <c r="V1580" i="1"/>
  <c r="Z1580" i="1" s="1"/>
  <c r="U1580" i="1"/>
  <c r="T1580" i="1"/>
  <c r="S1580" i="1"/>
  <c r="R1580" i="1"/>
  <c r="Q1580" i="1"/>
  <c r="M1580" i="1"/>
  <c r="L1580" i="1"/>
  <c r="V1579" i="1"/>
  <c r="Z1579" i="1" s="1"/>
  <c r="U1579" i="1"/>
  <c r="T1579" i="1"/>
  <c r="W1579" i="1" s="1"/>
  <c r="S1579" i="1"/>
  <c r="R1579" i="1"/>
  <c r="Q1579" i="1"/>
  <c r="M1579" i="1"/>
  <c r="L1579" i="1"/>
  <c r="V1578" i="1"/>
  <c r="U1578" i="1"/>
  <c r="T1578" i="1"/>
  <c r="W1578" i="1" s="1"/>
  <c r="S1578" i="1"/>
  <c r="R1578" i="1"/>
  <c r="Q1578" i="1"/>
  <c r="M1578" i="1"/>
  <c r="L1578" i="1"/>
  <c r="V1577" i="1"/>
  <c r="Z1577" i="1" s="1"/>
  <c r="U1577" i="1"/>
  <c r="T1577" i="1"/>
  <c r="S1577" i="1"/>
  <c r="R1577" i="1"/>
  <c r="Q1577" i="1"/>
  <c r="M1577" i="1"/>
  <c r="L1577" i="1"/>
  <c r="V1576" i="1"/>
  <c r="Z1576" i="1" s="1"/>
  <c r="U1576" i="1"/>
  <c r="T1576" i="1"/>
  <c r="S1576" i="1"/>
  <c r="R1576" i="1"/>
  <c r="Q1576" i="1"/>
  <c r="M1576" i="1"/>
  <c r="L1576" i="1"/>
  <c r="V1575" i="1"/>
  <c r="Z1575" i="1" s="1"/>
  <c r="U1575" i="1"/>
  <c r="T1575" i="1"/>
  <c r="W1575" i="1" s="1"/>
  <c r="S1575" i="1"/>
  <c r="R1575" i="1"/>
  <c r="Q1575" i="1"/>
  <c r="M1575" i="1"/>
  <c r="L1575" i="1"/>
  <c r="V1574" i="1"/>
  <c r="U1574" i="1"/>
  <c r="T1574" i="1"/>
  <c r="W1574" i="1" s="1"/>
  <c r="S1574" i="1"/>
  <c r="R1574" i="1"/>
  <c r="Q1574" i="1"/>
  <c r="M1574" i="1"/>
  <c r="L1574" i="1"/>
  <c r="V1573" i="1"/>
  <c r="Z1573" i="1" s="1"/>
  <c r="U1573" i="1"/>
  <c r="T1573" i="1"/>
  <c r="S1573" i="1"/>
  <c r="R1573" i="1"/>
  <c r="Q1573" i="1"/>
  <c r="M1573" i="1"/>
  <c r="L1573" i="1"/>
  <c r="V1572" i="1"/>
  <c r="Z1572" i="1" s="1"/>
  <c r="U1572" i="1"/>
  <c r="T1572" i="1"/>
  <c r="S1572" i="1"/>
  <c r="R1572" i="1"/>
  <c r="Q1572" i="1"/>
  <c r="M1572" i="1"/>
  <c r="L1572" i="1"/>
  <c r="V1571" i="1"/>
  <c r="Z1571" i="1" s="1"/>
  <c r="U1571" i="1"/>
  <c r="T1571" i="1"/>
  <c r="W1571" i="1" s="1"/>
  <c r="S1571" i="1"/>
  <c r="R1571" i="1"/>
  <c r="Q1571" i="1"/>
  <c r="M1571" i="1"/>
  <c r="L1571" i="1"/>
  <c r="V1570" i="1"/>
  <c r="U1570" i="1"/>
  <c r="T1570" i="1"/>
  <c r="W1570" i="1" s="1"/>
  <c r="S1570" i="1"/>
  <c r="R1570" i="1"/>
  <c r="Q1570" i="1"/>
  <c r="M1570" i="1"/>
  <c r="L1570" i="1"/>
  <c r="V1569" i="1"/>
  <c r="Z1569" i="1" s="1"/>
  <c r="U1569" i="1"/>
  <c r="T1569" i="1"/>
  <c r="S1569" i="1"/>
  <c r="R1569" i="1"/>
  <c r="Q1569" i="1"/>
  <c r="M1569" i="1"/>
  <c r="L1569" i="1"/>
  <c r="V1568" i="1"/>
  <c r="Z1568" i="1" s="1"/>
  <c r="U1568" i="1"/>
  <c r="T1568" i="1"/>
  <c r="S1568" i="1"/>
  <c r="R1568" i="1"/>
  <c r="Q1568" i="1"/>
  <c r="M1568" i="1"/>
  <c r="L1568" i="1"/>
  <c r="V1567" i="1"/>
  <c r="Z1567" i="1" s="1"/>
  <c r="U1567" i="1"/>
  <c r="T1567" i="1"/>
  <c r="W1567" i="1" s="1"/>
  <c r="S1567" i="1"/>
  <c r="R1567" i="1"/>
  <c r="Q1567" i="1"/>
  <c r="M1567" i="1"/>
  <c r="L1567" i="1"/>
  <c r="V1566" i="1"/>
  <c r="U1566" i="1"/>
  <c r="T1566" i="1"/>
  <c r="W1566" i="1" s="1"/>
  <c r="S1566" i="1"/>
  <c r="R1566" i="1"/>
  <c r="Q1566" i="1"/>
  <c r="M1566" i="1"/>
  <c r="L1566" i="1"/>
  <c r="V1565" i="1"/>
  <c r="Z1565" i="1" s="1"/>
  <c r="U1565" i="1"/>
  <c r="T1565" i="1"/>
  <c r="S1565" i="1"/>
  <c r="R1565" i="1"/>
  <c r="Q1565" i="1"/>
  <c r="M1565" i="1"/>
  <c r="L1565" i="1"/>
  <c r="V1564" i="1"/>
  <c r="Z1564" i="1" s="1"/>
  <c r="U1564" i="1"/>
  <c r="T1564" i="1"/>
  <c r="S1564" i="1"/>
  <c r="R1564" i="1"/>
  <c r="Q1564" i="1"/>
  <c r="M1564" i="1"/>
  <c r="L1564" i="1"/>
  <c r="V1563" i="1"/>
  <c r="Z1563" i="1" s="1"/>
  <c r="U1563" i="1"/>
  <c r="T1563" i="1"/>
  <c r="W1563" i="1" s="1"/>
  <c r="S1563" i="1"/>
  <c r="R1563" i="1"/>
  <c r="Q1563" i="1"/>
  <c r="M1563" i="1"/>
  <c r="L1563" i="1"/>
  <c r="V1562" i="1"/>
  <c r="U1562" i="1"/>
  <c r="T1562" i="1"/>
  <c r="W1562" i="1" s="1"/>
  <c r="S1562" i="1"/>
  <c r="R1562" i="1"/>
  <c r="Q1562" i="1"/>
  <c r="M1562" i="1"/>
  <c r="L1562" i="1"/>
  <c r="V1561" i="1"/>
  <c r="Z1561" i="1" s="1"/>
  <c r="U1561" i="1"/>
  <c r="T1561" i="1"/>
  <c r="S1561" i="1"/>
  <c r="R1561" i="1"/>
  <c r="Q1561" i="1"/>
  <c r="M1561" i="1"/>
  <c r="L1561" i="1"/>
  <c r="V1560" i="1"/>
  <c r="Z1560" i="1" s="1"/>
  <c r="U1560" i="1"/>
  <c r="T1560" i="1"/>
  <c r="S1560" i="1"/>
  <c r="R1560" i="1"/>
  <c r="Q1560" i="1"/>
  <c r="M1560" i="1"/>
  <c r="L1560" i="1"/>
  <c r="V1559" i="1"/>
  <c r="Z1559" i="1" s="1"/>
  <c r="U1559" i="1"/>
  <c r="T1559" i="1"/>
  <c r="W1559" i="1" s="1"/>
  <c r="S1559" i="1"/>
  <c r="R1559" i="1"/>
  <c r="Q1559" i="1"/>
  <c r="M1559" i="1"/>
  <c r="L1559" i="1"/>
  <c r="V1558" i="1"/>
  <c r="U1558" i="1"/>
  <c r="T1558" i="1"/>
  <c r="W1558" i="1" s="1"/>
  <c r="S1558" i="1"/>
  <c r="R1558" i="1"/>
  <c r="Q1558" i="1"/>
  <c r="M1558" i="1"/>
  <c r="L1558" i="1"/>
  <c r="V1557" i="1"/>
  <c r="Z1557" i="1" s="1"/>
  <c r="U1557" i="1"/>
  <c r="T1557" i="1"/>
  <c r="S1557" i="1"/>
  <c r="R1557" i="1"/>
  <c r="Q1557" i="1"/>
  <c r="M1557" i="1"/>
  <c r="L1557" i="1"/>
  <c r="V1556" i="1"/>
  <c r="Z1556" i="1" s="1"/>
  <c r="U1556" i="1"/>
  <c r="T1556" i="1"/>
  <c r="S1556" i="1"/>
  <c r="R1556" i="1"/>
  <c r="Q1556" i="1"/>
  <c r="M1556" i="1"/>
  <c r="L1556" i="1"/>
  <c r="V1555" i="1"/>
  <c r="Z1555" i="1" s="1"/>
  <c r="U1555" i="1"/>
  <c r="T1555" i="1"/>
  <c r="W1555" i="1" s="1"/>
  <c r="S1555" i="1"/>
  <c r="R1555" i="1"/>
  <c r="Q1555" i="1"/>
  <c r="M1555" i="1"/>
  <c r="L1555" i="1"/>
  <c r="V1554" i="1"/>
  <c r="U1554" i="1"/>
  <c r="T1554" i="1"/>
  <c r="W1554" i="1" s="1"/>
  <c r="S1554" i="1"/>
  <c r="R1554" i="1"/>
  <c r="Q1554" i="1"/>
  <c r="M1554" i="1"/>
  <c r="L1554" i="1"/>
  <c r="V1553" i="1"/>
  <c r="Z1553" i="1" s="1"/>
  <c r="U1553" i="1"/>
  <c r="T1553" i="1"/>
  <c r="S1553" i="1"/>
  <c r="R1553" i="1"/>
  <c r="Q1553" i="1"/>
  <c r="M1553" i="1"/>
  <c r="L1553" i="1"/>
  <c r="V1552" i="1"/>
  <c r="Z1552" i="1" s="1"/>
  <c r="U1552" i="1"/>
  <c r="T1552" i="1"/>
  <c r="S1552" i="1"/>
  <c r="R1552" i="1"/>
  <c r="Q1552" i="1"/>
  <c r="M1552" i="1"/>
  <c r="L1552" i="1"/>
  <c r="V1551" i="1"/>
  <c r="Z1551" i="1" s="1"/>
  <c r="U1551" i="1"/>
  <c r="T1551" i="1"/>
  <c r="W1551" i="1" s="1"/>
  <c r="S1551" i="1"/>
  <c r="R1551" i="1"/>
  <c r="Q1551" i="1"/>
  <c r="M1551" i="1"/>
  <c r="L1551" i="1"/>
  <c r="V1550" i="1"/>
  <c r="U1550" i="1"/>
  <c r="T1550" i="1"/>
  <c r="W1550" i="1" s="1"/>
  <c r="S1550" i="1"/>
  <c r="R1550" i="1"/>
  <c r="Q1550" i="1"/>
  <c r="M1550" i="1"/>
  <c r="L1550" i="1"/>
  <c r="V1549" i="1"/>
  <c r="Z1549" i="1" s="1"/>
  <c r="U1549" i="1"/>
  <c r="T1549" i="1"/>
  <c r="S1549" i="1"/>
  <c r="R1549" i="1"/>
  <c r="Q1549" i="1"/>
  <c r="M1549" i="1"/>
  <c r="L1549" i="1"/>
  <c r="V1548" i="1"/>
  <c r="Z1548" i="1" s="1"/>
  <c r="U1548" i="1"/>
  <c r="T1548" i="1"/>
  <c r="S1548" i="1"/>
  <c r="R1548" i="1"/>
  <c r="Q1548" i="1"/>
  <c r="M1548" i="1"/>
  <c r="L1548" i="1"/>
  <c r="V1547" i="1"/>
  <c r="Z1547" i="1" s="1"/>
  <c r="U1547" i="1"/>
  <c r="T1547" i="1"/>
  <c r="W1547" i="1" s="1"/>
  <c r="S1547" i="1"/>
  <c r="R1547" i="1"/>
  <c r="Q1547" i="1"/>
  <c r="M1547" i="1"/>
  <c r="L1547" i="1"/>
  <c r="V1546" i="1"/>
  <c r="U1546" i="1"/>
  <c r="T1546" i="1"/>
  <c r="W1546" i="1" s="1"/>
  <c r="S1546" i="1"/>
  <c r="R1546" i="1"/>
  <c r="Q1546" i="1"/>
  <c r="M1546" i="1"/>
  <c r="L1546" i="1"/>
  <c r="V1545" i="1"/>
  <c r="Z1545" i="1" s="1"/>
  <c r="U1545" i="1"/>
  <c r="T1545" i="1"/>
  <c r="S1545" i="1"/>
  <c r="R1545" i="1"/>
  <c r="Q1545" i="1"/>
  <c r="M1545" i="1"/>
  <c r="L1545" i="1"/>
  <c r="V1544" i="1"/>
  <c r="Z1544" i="1" s="1"/>
  <c r="U1544" i="1"/>
  <c r="T1544" i="1"/>
  <c r="S1544" i="1"/>
  <c r="R1544" i="1"/>
  <c r="Q1544" i="1"/>
  <c r="M1544" i="1"/>
  <c r="L1544" i="1"/>
  <c r="V1543" i="1"/>
  <c r="Z1543" i="1" s="1"/>
  <c r="U1543" i="1"/>
  <c r="T1543" i="1"/>
  <c r="W1543" i="1" s="1"/>
  <c r="S1543" i="1"/>
  <c r="R1543" i="1"/>
  <c r="Q1543" i="1"/>
  <c r="M1543" i="1"/>
  <c r="L1543" i="1"/>
  <c r="V1542" i="1"/>
  <c r="U1542" i="1"/>
  <c r="T1542" i="1"/>
  <c r="W1542" i="1" s="1"/>
  <c r="S1542" i="1"/>
  <c r="R1542" i="1"/>
  <c r="Q1542" i="1"/>
  <c r="M1542" i="1"/>
  <c r="L1542" i="1"/>
  <c r="V1541" i="1"/>
  <c r="Z1541" i="1" s="1"/>
  <c r="U1541" i="1"/>
  <c r="T1541" i="1"/>
  <c r="S1541" i="1"/>
  <c r="R1541" i="1"/>
  <c r="Q1541" i="1"/>
  <c r="M1541" i="1"/>
  <c r="L1541" i="1"/>
  <c r="V1540" i="1"/>
  <c r="Z1540" i="1" s="1"/>
  <c r="U1540" i="1"/>
  <c r="T1540" i="1"/>
  <c r="S1540" i="1"/>
  <c r="R1540" i="1"/>
  <c r="Q1540" i="1"/>
  <c r="M1540" i="1"/>
  <c r="L1540" i="1"/>
  <c r="V1539" i="1"/>
  <c r="Z1539" i="1" s="1"/>
  <c r="U1539" i="1"/>
  <c r="T1539" i="1"/>
  <c r="W1539" i="1" s="1"/>
  <c r="S1539" i="1"/>
  <c r="R1539" i="1"/>
  <c r="Q1539" i="1"/>
  <c r="M1539" i="1"/>
  <c r="L1539" i="1"/>
  <c r="V1538" i="1"/>
  <c r="U1538" i="1"/>
  <c r="T1538" i="1"/>
  <c r="W1538" i="1" s="1"/>
  <c r="S1538" i="1"/>
  <c r="R1538" i="1"/>
  <c r="Q1538" i="1"/>
  <c r="M1538" i="1"/>
  <c r="L1538" i="1"/>
  <c r="V1537" i="1"/>
  <c r="Z1537" i="1" s="1"/>
  <c r="U1537" i="1"/>
  <c r="T1537" i="1"/>
  <c r="S1537" i="1"/>
  <c r="R1537" i="1"/>
  <c r="Q1537" i="1"/>
  <c r="M1537" i="1"/>
  <c r="L1537" i="1"/>
  <c r="V1536" i="1"/>
  <c r="Z1536" i="1" s="1"/>
  <c r="U1536" i="1"/>
  <c r="T1536" i="1"/>
  <c r="S1536" i="1"/>
  <c r="R1536" i="1"/>
  <c r="Q1536" i="1"/>
  <c r="M1536" i="1"/>
  <c r="L1536" i="1"/>
  <c r="V1535" i="1"/>
  <c r="Z1535" i="1" s="1"/>
  <c r="U1535" i="1"/>
  <c r="T1535" i="1"/>
  <c r="W1535" i="1" s="1"/>
  <c r="S1535" i="1"/>
  <c r="R1535" i="1"/>
  <c r="Q1535" i="1"/>
  <c r="M1535" i="1"/>
  <c r="L1535" i="1"/>
  <c r="V1534" i="1"/>
  <c r="U1534" i="1"/>
  <c r="T1534" i="1"/>
  <c r="W1534" i="1" s="1"/>
  <c r="S1534" i="1"/>
  <c r="R1534" i="1"/>
  <c r="Q1534" i="1"/>
  <c r="M1534" i="1"/>
  <c r="L1534" i="1"/>
  <c r="V1533" i="1"/>
  <c r="Z1533" i="1" s="1"/>
  <c r="U1533" i="1"/>
  <c r="T1533" i="1"/>
  <c r="S1533" i="1"/>
  <c r="R1533" i="1"/>
  <c r="Q1533" i="1"/>
  <c r="M1533" i="1"/>
  <c r="L1533" i="1"/>
  <c r="V1532" i="1"/>
  <c r="Z1532" i="1" s="1"/>
  <c r="U1532" i="1"/>
  <c r="T1532" i="1"/>
  <c r="S1532" i="1"/>
  <c r="R1532" i="1"/>
  <c r="Q1532" i="1"/>
  <c r="M1532" i="1"/>
  <c r="L1532" i="1"/>
  <c r="V1531" i="1"/>
  <c r="Z1531" i="1" s="1"/>
  <c r="U1531" i="1"/>
  <c r="T1531" i="1"/>
  <c r="W1531" i="1" s="1"/>
  <c r="S1531" i="1"/>
  <c r="R1531" i="1"/>
  <c r="Q1531" i="1"/>
  <c r="M1531" i="1"/>
  <c r="L1531" i="1"/>
  <c r="V1530" i="1"/>
  <c r="U1530" i="1"/>
  <c r="T1530" i="1"/>
  <c r="W1530" i="1" s="1"/>
  <c r="S1530" i="1"/>
  <c r="R1530" i="1"/>
  <c r="Q1530" i="1"/>
  <c r="M1530" i="1"/>
  <c r="L1530" i="1"/>
  <c r="V1529" i="1"/>
  <c r="Z1529" i="1" s="1"/>
  <c r="U1529" i="1"/>
  <c r="T1529" i="1"/>
  <c r="S1529" i="1"/>
  <c r="R1529" i="1"/>
  <c r="Q1529" i="1"/>
  <c r="M1529" i="1"/>
  <c r="L1529" i="1"/>
  <c r="V1528" i="1"/>
  <c r="Z1528" i="1" s="1"/>
  <c r="U1528" i="1"/>
  <c r="T1528" i="1"/>
  <c r="S1528" i="1"/>
  <c r="R1528" i="1"/>
  <c r="Q1528" i="1"/>
  <c r="M1528" i="1"/>
  <c r="L1528" i="1"/>
  <c r="V1527" i="1"/>
  <c r="Z1527" i="1" s="1"/>
  <c r="U1527" i="1"/>
  <c r="T1527" i="1"/>
  <c r="W1527" i="1" s="1"/>
  <c r="S1527" i="1"/>
  <c r="R1527" i="1"/>
  <c r="Q1527" i="1"/>
  <c r="M1527" i="1"/>
  <c r="L1527" i="1"/>
  <c r="W1526" i="1"/>
  <c r="V1526" i="1"/>
  <c r="U1526" i="1"/>
  <c r="T1526" i="1"/>
  <c r="S1526" i="1"/>
  <c r="R1526" i="1"/>
  <c r="Q1526" i="1"/>
  <c r="M1526" i="1"/>
  <c r="L1526" i="1"/>
  <c r="V1525" i="1"/>
  <c r="Z1525" i="1" s="1"/>
  <c r="U1525" i="1"/>
  <c r="T1525" i="1"/>
  <c r="S1525" i="1"/>
  <c r="R1525" i="1"/>
  <c r="Q1525" i="1"/>
  <c r="M1525" i="1"/>
  <c r="L1525" i="1"/>
  <c r="V1524" i="1"/>
  <c r="Z1524" i="1" s="1"/>
  <c r="U1524" i="1"/>
  <c r="T1524" i="1"/>
  <c r="S1524" i="1"/>
  <c r="R1524" i="1"/>
  <c r="Q1524" i="1"/>
  <c r="M1524" i="1"/>
  <c r="L1524" i="1"/>
  <c r="V1523" i="1"/>
  <c r="Z1523" i="1" s="1"/>
  <c r="U1523" i="1"/>
  <c r="T1523" i="1"/>
  <c r="W1523" i="1" s="1"/>
  <c r="S1523" i="1"/>
  <c r="R1523" i="1"/>
  <c r="Q1523" i="1"/>
  <c r="M1523" i="1"/>
  <c r="L1523" i="1"/>
  <c r="V1522" i="1"/>
  <c r="U1522" i="1"/>
  <c r="T1522" i="1"/>
  <c r="W1522" i="1" s="1"/>
  <c r="S1522" i="1"/>
  <c r="R1522" i="1"/>
  <c r="Q1522" i="1"/>
  <c r="M1522" i="1"/>
  <c r="L1522" i="1"/>
  <c r="V1521" i="1"/>
  <c r="Z1521" i="1" s="1"/>
  <c r="U1521" i="1"/>
  <c r="T1521" i="1"/>
  <c r="S1521" i="1"/>
  <c r="R1521" i="1"/>
  <c r="Q1521" i="1"/>
  <c r="M1521" i="1"/>
  <c r="L1521" i="1"/>
  <c r="V1520" i="1"/>
  <c r="Z1520" i="1" s="1"/>
  <c r="U1520" i="1"/>
  <c r="T1520" i="1"/>
  <c r="S1520" i="1"/>
  <c r="R1520" i="1"/>
  <c r="Q1520" i="1"/>
  <c r="M1520" i="1"/>
  <c r="L1520" i="1"/>
  <c r="V1519" i="1"/>
  <c r="Z1519" i="1" s="1"/>
  <c r="U1519" i="1"/>
  <c r="T1519" i="1"/>
  <c r="W1519" i="1" s="1"/>
  <c r="S1519" i="1"/>
  <c r="R1519" i="1"/>
  <c r="Q1519" i="1"/>
  <c r="M1519" i="1"/>
  <c r="L1519" i="1"/>
  <c r="V1518" i="1"/>
  <c r="U1518" i="1"/>
  <c r="T1518" i="1"/>
  <c r="W1518" i="1" s="1"/>
  <c r="S1518" i="1"/>
  <c r="R1518" i="1"/>
  <c r="Q1518" i="1"/>
  <c r="M1518" i="1"/>
  <c r="L1518" i="1"/>
  <c r="V1517" i="1"/>
  <c r="Z1517" i="1" s="1"/>
  <c r="U1517" i="1"/>
  <c r="T1517" i="1"/>
  <c r="S1517" i="1"/>
  <c r="R1517" i="1"/>
  <c r="Q1517" i="1"/>
  <c r="M1517" i="1"/>
  <c r="L1517" i="1"/>
  <c r="V1516" i="1"/>
  <c r="Z1516" i="1" s="1"/>
  <c r="U1516" i="1"/>
  <c r="T1516" i="1"/>
  <c r="S1516" i="1"/>
  <c r="R1516" i="1"/>
  <c r="Q1516" i="1"/>
  <c r="M1516" i="1"/>
  <c r="L1516" i="1"/>
  <c r="V1515" i="1"/>
  <c r="Z1515" i="1" s="1"/>
  <c r="U1515" i="1"/>
  <c r="T1515" i="1"/>
  <c r="W1515" i="1" s="1"/>
  <c r="S1515" i="1"/>
  <c r="R1515" i="1"/>
  <c r="Q1515" i="1"/>
  <c r="M1515" i="1"/>
  <c r="L1515" i="1"/>
  <c r="V1514" i="1"/>
  <c r="U1514" i="1"/>
  <c r="T1514" i="1"/>
  <c r="W1514" i="1" s="1"/>
  <c r="S1514" i="1"/>
  <c r="R1514" i="1"/>
  <c r="Q1514" i="1"/>
  <c r="M1514" i="1"/>
  <c r="L1514" i="1"/>
  <c r="V1513" i="1"/>
  <c r="Z1513" i="1" s="1"/>
  <c r="U1513" i="1"/>
  <c r="T1513" i="1"/>
  <c r="S1513" i="1"/>
  <c r="R1513" i="1"/>
  <c r="Q1513" i="1"/>
  <c r="M1513" i="1"/>
  <c r="L1513" i="1"/>
  <c r="V1512" i="1"/>
  <c r="Z1512" i="1" s="1"/>
  <c r="U1512" i="1"/>
  <c r="T1512" i="1"/>
  <c r="S1512" i="1"/>
  <c r="R1512" i="1"/>
  <c r="Q1512" i="1"/>
  <c r="M1512" i="1"/>
  <c r="L1512" i="1"/>
  <c r="V1511" i="1"/>
  <c r="Z1511" i="1" s="1"/>
  <c r="U1511" i="1"/>
  <c r="T1511" i="1"/>
  <c r="W1511" i="1" s="1"/>
  <c r="S1511" i="1"/>
  <c r="R1511" i="1"/>
  <c r="Q1511" i="1"/>
  <c r="M1511" i="1"/>
  <c r="L1511" i="1"/>
  <c r="V1510" i="1"/>
  <c r="U1510" i="1"/>
  <c r="T1510" i="1"/>
  <c r="W1510" i="1" s="1"/>
  <c r="S1510" i="1"/>
  <c r="R1510" i="1"/>
  <c r="Q1510" i="1"/>
  <c r="M1510" i="1"/>
  <c r="L1510" i="1"/>
  <c r="V1509" i="1"/>
  <c r="Z1509" i="1" s="1"/>
  <c r="U1509" i="1"/>
  <c r="T1509" i="1"/>
  <c r="S1509" i="1"/>
  <c r="R1509" i="1"/>
  <c r="Q1509" i="1"/>
  <c r="M1509" i="1"/>
  <c r="L1509" i="1"/>
  <c r="V1508" i="1"/>
  <c r="Z1508" i="1" s="1"/>
  <c r="U1508" i="1"/>
  <c r="T1508" i="1"/>
  <c r="S1508" i="1"/>
  <c r="R1508" i="1"/>
  <c r="Q1508" i="1"/>
  <c r="M1508" i="1"/>
  <c r="L1508" i="1"/>
  <c r="V1507" i="1"/>
  <c r="Z1507" i="1" s="1"/>
  <c r="U1507" i="1"/>
  <c r="T1507" i="1"/>
  <c r="W1507" i="1" s="1"/>
  <c r="S1507" i="1"/>
  <c r="R1507" i="1"/>
  <c r="Q1507" i="1"/>
  <c r="M1507" i="1"/>
  <c r="L1507" i="1"/>
  <c r="V1506" i="1"/>
  <c r="U1506" i="1"/>
  <c r="T1506" i="1"/>
  <c r="W1506" i="1" s="1"/>
  <c r="S1506" i="1"/>
  <c r="R1506" i="1"/>
  <c r="Q1506" i="1"/>
  <c r="M1506" i="1"/>
  <c r="L1506" i="1"/>
  <c r="V1505" i="1"/>
  <c r="Z1505" i="1" s="1"/>
  <c r="U1505" i="1"/>
  <c r="T1505" i="1"/>
  <c r="S1505" i="1"/>
  <c r="R1505" i="1"/>
  <c r="Q1505" i="1"/>
  <c r="M1505" i="1"/>
  <c r="L1505" i="1"/>
  <c r="V1504" i="1"/>
  <c r="Z1504" i="1" s="1"/>
  <c r="U1504" i="1"/>
  <c r="T1504" i="1"/>
  <c r="S1504" i="1"/>
  <c r="R1504" i="1"/>
  <c r="Q1504" i="1"/>
  <c r="M1504" i="1"/>
  <c r="L1504" i="1"/>
  <c r="V1503" i="1"/>
  <c r="Z1503" i="1" s="1"/>
  <c r="U1503" i="1"/>
  <c r="T1503" i="1"/>
  <c r="W1503" i="1" s="1"/>
  <c r="S1503" i="1"/>
  <c r="R1503" i="1"/>
  <c r="Q1503" i="1"/>
  <c r="M1503" i="1"/>
  <c r="L1503" i="1"/>
  <c r="V1502" i="1"/>
  <c r="U1502" i="1"/>
  <c r="T1502" i="1"/>
  <c r="W1502" i="1" s="1"/>
  <c r="S1502" i="1"/>
  <c r="R1502" i="1"/>
  <c r="Q1502" i="1"/>
  <c r="M1502" i="1"/>
  <c r="L1502" i="1"/>
  <c r="V1501" i="1"/>
  <c r="Z1501" i="1" s="1"/>
  <c r="U1501" i="1"/>
  <c r="T1501" i="1"/>
  <c r="S1501" i="1"/>
  <c r="R1501" i="1"/>
  <c r="Q1501" i="1"/>
  <c r="M1501" i="1"/>
  <c r="L1501" i="1"/>
  <c r="V1500" i="1"/>
  <c r="Z1500" i="1" s="1"/>
  <c r="U1500" i="1"/>
  <c r="T1500" i="1"/>
  <c r="S1500" i="1"/>
  <c r="R1500" i="1"/>
  <c r="Q1500" i="1"/>
  <c r="M1500" i="1"/>
  <c r="L1500" i="1"/>
  <c r="V1499" i="1"/>
  <c r="Z1499" i="1" s="1"/>
  <c r="U1499" i="1"/>
  <c r="T1499" i="1"/>
  <c r="W1499" i="1" s="1"/>
  <c r="S1499" i="1"/>
  <c r="R1499" i="1"/>
  <c r="Q1499" i="1"/>
  <c r="M1499" i="1"/>
  <c r="L1499" i="1"/>
  <c r="V1498" i="1"/>
  <c r="U1498" i="1"/>
  <c r="T1498" i="1"/>
  <c r="W1498" i="1" s="1"/>
  <c r="S1498" i="1"/>
  <c r="R1498" i="1"/>
  <c r="Q1498" i="1"/>
  <c r="M1498" i="1"/>
  <c r="L1498" i="1"/>
  <c r="V1497" i="1"/>
  <c r="Z1497" i="1" s="1"/>
  <c r="U1497" i="1"/>
  <c r="T1497" i="1"/>
  <c r="S1497" i="1"/>
  <c r="R1497" i="1"/>
  <c r="Q1497" i="1"/>
  <c r="M1497" i="1"/>
  <c r="L1497" i="1"/>
  <c r="V1496" i="1"/>
  <c r="Z1496" i="1" s="1"/>
  <c r="U1496" i="1"/>
  <c r="T1496" i="1"/>
  <c r="S1496" i="1"/>
  <c r="R1496" i="1"/>
  <c r="Q1496" i="1"/>
  <c r="M1496" i="1"/>
  <c r="L1496" i="1"/>
  <c r="V1495" i="1"/>
  <c r="Z1495" i="1" s="1"/>
  <c r="U1495" i="1"/>
  <c r="T1495" i="1"/>
  <c r="W1495" i="1" s="1"/>
  <c r="S1495" i="1"/>
  <c r="R1495" i="1"/>
  <c r="Q1495" i="1"/>
  <c r="M1495" i="1"/>
  <c r="L1495" i="1"/>
  <c r="V1494" i="1"/>
  <c r="U1494" i="1"/>
  <c r="T1494" i="1"/>
  <c r="W1494" i="1" s="1"/>
  <c r="S1494" i="1"/>
  <c r="R1494" i="1"/>
  <c r="Q1494" i="1"/>
  <c r="M1494" i="1"/>
  <c r="L1494" i="1"/>
  <c r="V1493" i="1"/>
  <c r="Z1493" i="1" s="1"/>
  <c r="U1493" i="1"/>
  <c r="T1493" i="1"/>
  <c r="S1493" i="1"/>
  <c r="R1493" i="1"/>
  <c r="Q1493" i="1"/>
  <c r="M1493" i="1"/>
  <c r="L1493" i="1"/>
  <c r="V1492" i="1"/>
  <c r="Z1492" i="1" s="1"/>
  <c r="U1492" i="1"/>
  <c r="T1492" i="1"/>
  <c r="S1492" i="1"/>
  <c r="R1492" i="1"/>
  <c r="Q1492" i="1"/>
  <c r="M1492" i="1"/>
  <c r="L1492" i="1"/>
  <c r="V1491" i="1"/>
  <c r="Z1491" i="1" s="1"/>
  <c r="U1491" i="1"/>
  <c r="T1491" i="1"/>
  <c r="W1491" i="1" s="1"/>
  <c r="S1491" i="1"/>
  <c r="R1491" i="1"/>
  <c r="Q1491" i="1"/>
  <c r="M1491" i="1"/>
  <c r="L1491" i="1"/>
  <c r="V1490" i="1"/>
  <c r="U1490" i="1"/>
  <c r="T1490" i="1"/>
  <c r="W1490" i="1" s="1"/>
  <c r="S1490" i="1"/>
  <c r="R1490" i="1"/>
  <c r="Q1490" i="1"/>
  <c r="M1490" i="1"/>
  <c r="L1490" i="1"/>
  <c r="V1489" i="1"/>
  <c r="Z1489" i="1" s="1"/>
  <c r="U1489" i="1"/>
  <c r="T1489" i="1"/>
  <c r="S1489" i="1"/>
  <c r="R1489" i="1"/>
  <c r="Q1489" i="1"/>
  <c r="M1489" i="1"/>
  <c r="L1489" i="1"/>
  <c r="V1488" i="1"/>
  <c r="Z1488" i="1" s="1"/>
  <c r="U1488" i="1"/>
  <c r="T1488" i="1"/>
  <c r="S1488" i="1"/>
  <c r="R1488" i="1"/>
  <c r="Q1488" i="1"/>
  <c r="M1488" i="1"/>
  <c r="L1488" i="1"/>
  <c r="V1487" i="1"/>
  <c r="Z1487" i="1" s="1"/>
  <c r="U1487" i="1"/>
  <c r="T1487" i="1"/>
  <c r="W1487" i="1" s="1"/>
  <c r="S1487" i="1"/>
  <c r="R1487" i="1"/>
  <c r="Q1487" i="1"/>
  <c r="M1487" i="1"/>
  <c r="L1487" i="1"/>
  <c r="V1486" i="1"/>
  <c r="U1486" i="1"/>
  <c r="T1486" i="1"/>
  <c r="W1486" i="1" s="1"/>
  <c r="S1486" i="1"/>
  <c r="R1486" i="1"/>
  <c r="Q1486" i="1"/>
  <c r="M1486" i="1"/>
  <c r="L1486" i="1"/>
  <c r="V1485" i="1"/>
  <c r="Z1485" i="1" s="1"/>
  <c r="U1485" i="1"/>
  <c r="T1485" i="1"/>
  <c r="S1485" i="1"/>
  <c r="R1485" i="1"/>
  <c r="Q1485" i="1"/>
  <c r="M1485" i="1"/>
  <c r="L1485" i="1"/>
  <c r="V1484" i="1"/>
  <c r="Z1484" i="1" s="1"/>
  <c r="U1484" i="1"/>
  <c r="T1484" i="1"/>
  <c r="S1484" i="1"/>
  <c r="R1484" i="1"/>
  <c r="Q1484" i="1"/>
  <c r="M1484" i="1"/>
  <c r="L1484" i="1"/>
  <c r="V1483" i="1"/>
  <c r="Z1483" i="1" s="1"/>
  <c r="U1483" i="1"/>
  <c r="T1483" i="1"/>
  <c r="W1483" i="1" s="1"/>
  <c r="S1483" i="1"/>
  <c r="R1483" i="1"/>
  <c r="Q1483" i="1"/>
  <c r="M1483" i="1"/>
  <c r="L1483" i="1"/>
  <c r="V1482" i="1"/>
  <c r="U1482" i="1"/>
  <c r="T1482" i="1"/>
  <c r="W1482" i="1" s="1"/>
  <c r="S1482" i="1"/>
  <c r="R1482" i="1"/>
  <c r="Q1482" i="1"/>
  <c r="M1482" i="1"/>
  <c r="L1482" i="1"/>
  <c r="V1481" i="1"/>
  <c r="Z1481" i="1" s="1"/>
  <c r="U1481" i="1"/>
  <c r="T1481" i="1"/>
  <c r="S1481" i="1"/>
  <c r="R1481" i="1"/>
  <c r="Q1481" i="1"/>
  <c r="M1481" i="1"/>
  <c r="L1481" i="1"/>
  <c r="V1480" i="1"/>
  <c r="Z1480" i="1" s="1"/>
  <c r="U1480" i="1"/>
  <c r="T1480" i="1"/>
  <c r="S1480" i="1"/>
  <c r="R1480" i="1"/>
  <c r="Q1480" i="1"/>
  <c r="M1480" i="1"/>
  <c r="L1480" i="1"/>
  <c r="V1479" i="1"/>
  <c r="Z1479" i="1" s="1"/>
  <c r="U1479" i="1"/>
  <c r="T1479" i="1"/>
  <c r="W1479" i="1" s="1"/>
  <c r="S1479" i="1"/>
  <c r="R1479" i="1"/>
  <c r="Q1479" i="1"/>
  <c r="M1479" i="1"/>
  <c r="L1479" i="1"/>
  <c r="V1478" i="1"/>
  <c r="U1478" i="1"/>
  <c r="T1478" i="1"/>
  <c r="W1478" i="1" s="1"/>
  <c r="S1478" i="1"/>
  <c r="R1478" i="1"/>
  <c r="Q1478" i="1"/>
  <c r="M1478" i="1"/>
  <c r="L1478" i="1"/>
  <c r="V1477" i="1"/>
  <c r="Z1477" i="1" s="1"/>
  <c r="U1477" i="1"/>
  <c r="T1477" i="1"/>
  <c r="S1477" i="1"/>
  <c r="R1477" i="1"/>
  <c r="Q1477" i="1"/>
  <c r="M1477" i="1"/>
  <c r="L1477" i="1"/>
  <c r="V1476" i="1"/>
  <c r="Z1476" i="1" s="1"/>
  <c r="U1476" i="1"/>
  <c r="T1476" i="1"/>
  <c r="S1476" i="1"/>
  <c r="R1476" i="1"/>
  <c r="Q1476" i="1"/>
  <c r="M1476" i="1"/>
  <c r="L1476" i="1"/>
  <c r="V1475" i="1"/>
  <c r="Z1475" i="1" s="1"/>
  <c r="U1475" i="1"/>
  <c r="T1475" i="1"/>
  <c r="W1475" i="1" s="1"/>
  <c r="S1475" i="1"/>
  <c r="R1475" i="1"/>
  <c r="Q1475" i="1"/>
  <c r="M1475" i="1"/>
  <c r="L1475" i="1"/>
  <c r="V1474" i="1"/>
  <c r="U1474" i="1"/>
  <c r="T1474" i="1"/>
  <c r="W1474" i="1" s="1"/>
  <c r="S1474" i="1"/>
  <c r="R1474" i="1"/>
  <c r="Q1474" i="1"/>
  <c r="M1474" i="1"/>
  <c r="L1474" i="1"/>
  <c r="V1473" i="1"/>
  <c r="Z1473" i="1" s="1"/>
  <c r="U1473" i="1"/>
  <c r="T1473" i="1"/>
  <c r="S1473" i="1"/>
  <c r="R1473" i="1"/>
  <c r="Q1473" i="1"/>
  <c r="M1473" i="1"/>
  <c r="L1473" i="1"/>
  <c r="V1472" i="1"/>
  <c r="Z1472" i="1" s="1"/>
  <c r="U1472" i="1"/>
  <c r="T1472" i="1"/>
  <c r="S1472" i="1"/>
  <c r="R1472" i="1"/>
  <c r="Q1472" i="1"/>
  <c r="M1472" i="1"/>
  <c r="L1472" i="1"/>
  <c r="V1471" i="1"/>
  <c r="Z1471" i="1" s="1"/>
  <c r="U1471" i="1"/>
  <c r="T1471" i="1"/>
  <c r="W1471" i="1" s="1"/>
  <c r="S1471" i="1"/>
  <c r="R1471" i="1"/>
  <c r="Q1471" i="1"/>
  <c r="M1471" i="1"/>
  <c r="L1471" i="1"/>
  <c r="V1470" i="1"/>
  <c r="U1470" i="1"/>
  <c r="T1470" i="1"/>
  <c r="W1470" i="1" s="1"/>
  <c r="S1470" i="1"/>
  <c r="R1470" i="1"/>
  <c r="Q1470" i="1"/>
  <c r="M1470" i="1"/>
  <c r="L1470" i="1"/>
  <c r="V1469" i="1"/>
  <c r="Z1469" i="1" s="1"/>
  <c r="U1469" i="1"/>
  <c r="T1469" i="1"/>
  <c r="S1469" i="1"/>
  <c r="R1469" i="1"/>
  <c r="Q1469" i="1"/>
  <c r="M1469" i="1"/>
  <c r="L1469" i="1"/>
  <c r="V1468" i="1"/>
  <c r="Z1468" i="1" s="1"/>
  <c r="U1468" i="1"/>
  <c r="T1468" i="1"/>
  <c r="S1468" i="1"/>
  <c r="R1468" i="1"/>
  <c r="Q1468" i="1"/>
  <c r="M1468" i="1"/>
  <c r="L1468" i="1"/>
  <c r="V1467" i="1"/>
  <c r="Z1467" i="1" s="1"/>
  <c r="U1467" i="1"/>
  <c r="T1467" i="1"/>
  <c r="W1467" i="1" s="1"/>
  <c r="S1467" i="1"/>
  <c r="R1467" i="1"/>
  <c r="Q1467" i="1"/>
  <c r="M1467" i="1"/>
  <c r="L1467" i="1"/>
  <c r="V1466" i="1"/>
  <c r="U1466" i="1"/>
  <c r="T1466" i="1"/>
  <c r="W1466" i="1" s="1"/>
  <c r="S1466" i="1"/>
  <c r="R1466" i="1"/>
  <c r="Q1466" i="1"/>
  <c r="M1466" i="1"/>
  <c r="L1466" i="1"/>
  <c r="V1465" i="1"/>
  <c r="Z1465" i="1" s="1"/>
  <c r="U1465" i="1"/>
  <c r="T1465" i="1"/>
  <c r="S1465" i="1"/>
  <c r="R1465" i="1"/>
  <c r="Q1465" i="1"/>
  <c r="M1465" i="1"/>
  <c r="L1465" i="1"/>
  <c r="V1464" i="1"/>
  <c r="Z1464" i="1" s="1"/>
  <c r="U1464" i="1"/>
  <c r="T1464" i="1"/>
  <c r="S1464" i="1"/>
  <c r="R1464" i="1"/>
  <c r="Q1464" i="1"/>
  <c r="M1464" i="1"/>
  <c r="L1464" i="1"/>
  <c r="V1463" i="1"/>
  <c r="Z1463" i="1" s="1"/>
  <c r="U1463" i="1"/>
  <c r="T1463" i="1"/>
  <c r="W1463" i="1" s="1"/>
  <c r="S1463" i="1"/>
  <c r="R1463" i="1"/>
  <c r="Q1463" i="1"/>
  <c r="M1463" i="1"/>
  <c r="L1463" i="1"/>
  <c r="V1462" i="1"/>
  <c r="U1462" i="1"/>
  <c r="T1462" i="1"/>
  <c r="W1462" i="1" s="1"/>
  <c r="S1462" i="1"/>
  <c r="R1462" i="1"/>
  <c r="Q1462" i="1"/>
  <c r="M1462" i="1"/>
  <c r="L1462" i="1"/>
  <c r="V1461" i="1"/>
  <c r="Z1461" i="1" s="1"/>
  <c r="U1461" i="1"/>
  <c r="T1461" i="1"/>
  <c r="S1461" i="1"/>
  <c r="R1461" i="1"/>
  <c r="Q1461" i="1"/>
  <c r="M1461" i="1"/>
  <c r="L1461" i="1"/>
  <c r="V1460" i="1"/>
  <c r="Z1460" i="1" s="1"/>
  <c r="U1460" i="1"/>
  <c r="T1460" i="1"/>
  <c r="S1460" i="1"/>
  <c r="R1460" i="1"/>
  <c r="Q1460" i="1"/>
  <c r="M1460" i="1"/>
  <c r="L1460" i="1"/>
  <c r="V1459" i="1"/>
  <c r="Z1459" i="1" s="1"/>
  <c r="U1459" i="1"/>
  <c r="T1459" i="1"/>
  <c r="W1459" i="1" s="1"/>
  <c r="S1459" i="1"/>
  <c r="R1459" i="1"/>
  <c r="Q1459" i="1"/>
  <c r="M1459" i="1"/>
  <c r="L1459" i="1"/>
  <c r="V1458" i="1"/>
  <c r="U1458" i="1"/>
  <c r="T1458" i="1"/>
  <c r="W1458" i="1" s="1"/>
  <c r="S1458" i="1"/>
  <c r="R1458" i="1"/>
  <c r="Q1458" i="1"/>
  <c r="M1458" i="1"/>
  <c r="L1458" i="1"/>
  <c r="V1457" i="1"/>
  <c r="Z1457" i="1" s="1"/>
  <c r="U1457" i="1"/>
  <c r="T1457" i="1"/>
  <c r="W1457" i="1" s="1"/>
  <c r="S1457" i="1"/>
  <c r="R1457" i="1"/>
  <c r="Q1457" i="1"/>
  <c r="M1457" i="1"/>
  <c r="L1457" i="1"/>
  <c r="V1456" i="1"/>
  <c r="Z1456" i="1" s="1"/>
  <c r="U1456" i="1"/>
  <c r="T1456" i="1"/>
  <c r="S1456" i="1"/>
  <c r="R1456" i="1"/>
  <c r="Q1456" i="1"/>
  <c r="M1456" i="1"/>
  <c r="L1456" i="1"/>
  <c r="V1455" i="1"/>
  <c r="Z1455" i="1" s="1"/>
  <c r="U1455" i="1"/>
  <c r="T1455" i="1"/>
  <c r="W1455" i="1" s="1"/>
  <c r="S1455" i="1"/>
  <c r="R1455" i="1"/>
  <c r="Q1455" i="1"/>
  <c r="M1455" i="1"/>
  <c r="L1455" i="1"/>
  <c r="V1454" i="1"/>
  <c r="U1454" i="1"/>
  <c r="T1454" i="1"/>
  <c r="W1454" i="1" s="1"/>
  <c r="S1454" i="1"/>
  <c r="R1454" i="1"/>
  <c r="Q1454" i="1"/>
  <c r="M1454" i="1"/>
  <c r="L1454" i="1"/>
  <c r="V1453" i="1"/>
  <c r="Z1453" i="1" s="1"/>
  <c r="U1453" i="1"/>
  <c r="T1453" i="1"/>
  <c r="W1453" i="1" s="1"/>
  <c r="S1453" i="1"/>
  <c r="R1453" i="1"/>
  <c r="Q1453" i="1"/>
  <c r="M1453" i="1"/>
  <c r="L1453" i="1"/>
  <c r="V1452" i="1"/>
  <c r="Z1452" i="1" s="1"/>
  <c r="U1452" i="1"/>
  <c r="T1452" i="1"/>
  <c r="S1452" i="1"/>
  <c r="R1452" i="1"/>
  <c r="Q1452" i="1"/>
  <c r="M1452" i="1"/>
  <c r="L1452" i="1"/>
  <c r="V1451" i="1"/>
  <c r="Z1451" i="1" s="1"/>
  <c r="U1451" i="1"/>
  <c r="T1451" i="1"/>
  <c r="W1451" i="1" s="1"/>
  <c r="S1451" i="1"/>
  <c r="R1451" i="1"/>
  <c r="Q1451" i="1"/>
  <c r="M1451" i="1"/>
  <c r="L1451" i="1"/>
  <c r="V1450" i="1"/>
  <c r="U1450" i="1"/>
  <c r="T1450" i="1"/>
  <c r="W1450" i="1" s="1"/>
  <c r="S1450" i="1"/>
  <c r="R1450" i="1"/>
  <c r="Q1450" i="1"/>
  <c r="M1450" i="1"/>
  <c r="L1450" i="1"/>
  <c r="V1449" i="1"/>
  <c r="Z1449" i="1" s="1"/>
  <c r="U1449" i="1"/>
  <c r="T1449" i="1"/>
  <c r="W1449" i="1" s="1"/>
  <c r="S1449" i="1"/>
  <c r="R1449" i="1"/>
  <c r="Q1449" i="1"/>
  <c r="M1449" i="1"/>
  <c r="L1449" i="1"/>
  <c r="V1448" i="1"/>
  <c r="Z1448" i="1" s="1"/>
  <c r="U1448" i="1"/>
  <c r="T1448" i="1"/>
  <c r="S1448" i="1"/>
  <c r="R1448" i="1"/>
  <c r="Q1448" i="1"/>
  <c r="M1448" i="1"/>
  <c r="L1448" i="1"/>
  <c r="V1447" i="1"/>
  <c r="Z1447" i="1" s="1"/>
  <c r="U1447" i="1"/>
  <c r="T1447" i="1"/>
  <c r="W1447" i="1" s="1"/>
  <c r="S1447" i="1"/>
  <c r="R1447" i="1"/>
  <c r="Q1447" i="1"/>
  <c r="M1447" i="1"/>
  <c r="L1447" i="1"/>
  <c r="V1446" i="1"/>
  <c r="U1446" i="1"/>
  <c r="T1446" i="1"/>
  <c r="W1446" i="1" s="1"/>
  <c r="S1446" i="1"/>
  <c r="R1446" i="1"/>
  <c r="Q1446" i="1"/>
  <c r="M1446" i="1"/>
  <c r="L1446" i="1"/>
  <c r="V1445" i="1"/>
  <c r="Z1445" i="1" s="1"/>
  <c r="U1445" i="1"/>
  <c r="T1445" i="1"/>
  <c r="W1445" i="1" s="1"/>
  <c r="S1445" i="1"/>
  <c r="R1445" i="1"/>
  <c r="Q1445" i="1"/>
  <c r="M1445" i="1"/>
  <c r="L1445" i="1"/>
  <c r="V1444" i="1"/>
  <c r="Z1444" i="1" s="1"/>
  <c r="U1444" i="1"/>
  <c r="T1444" i="1"/>
  <c r="S1444" i="1"/>
  <c r="R1444" i="1"/>
  <c r="Q1444" i="1"/>
  <c r="M1444" i="1"/>
  <c r="L1444" i="1"/>
  <c r="V1443" i="1"/>
  <c r="Z1443" i="1" s="1"/>
  <c r="U1443" i="1"/>
  <c r="T1443" i="1"/>
  <c r="W1443" i="1" s="1"/>
  <c r="S1443" i="1"/>
  <c r="R1443" i="1"/>
  <c r="Q1443" i="1"/>
  <c r="M1443" i="1"/>
  <c r="L1443" i="1"/>
  <c r="V1442" i="1"/>
  <c r="U1442" i="1"/>
  <c r="T1442" i="1"/>
  <c r="W1442" i="1" s="1"/>
  <c r="S1442" i="1"/>
  <c r="R1442" i="1"/>
  <c r="Q1442" i="1"/>
  <c r="M1442" i="1"/>
  <c r="L1442" i="1"/>
  <c r="V1441" i="1"/>
  <c r="Z1441" i="1" s="1"/>
  <c r="U1441" i="1"/>
  <c r="T1441" i="1"/>
  <c r="S1441" i="1"/>
  <c r="R1441" i="1"/>
  <c r="Q1441" i="1"/>
  <c r="M1441" i="1"/>
  <c r="L1441" i="1"/>
  <c r="V1440" i="1"/>
  <c r="Z1440" i="1" s="1"/>
  <c r="U1440" i="1"/>
  <c r="T1440" i="1"/>
  <c r="S1440" i="1"/>
  <c r="R1440" i="1"/>
  <c r="Q1440" i="1"/>
  <c r="M1440" i="1"/>
  <c r="L1440" i="1"/>
  <c r="V1439" i="1"/>
  <c r="Z1439" i="1" s="1"/>
  <c r="U1439" i="1"/>
  <c r="T1439" i="1"/>
  <c r="W1439" i="1" s="1"/>
  <c r="S1439" i="1"/>
  <c r="R1439" i="1"/>
  <c r="Q1439" i="1"/>
  <c r="M1439" i="1"/>
  <c r="L1439" i="1"/>
  <c r="V1438" i="1"/>
  <c r="U1438" i="1"/>
  <c r="T1438" i="1"/>
  <c r="W1438" i="1" s="1"/>
  <c r="S1438" i="1"/>
  <c r="R1438" i="1"/>
  <c r="Q1438" i="1"/>
  <c r="M1438" i="1"/>
  <c r="L1438" i="1"/>
  <c r="V1437" i="1"/>
  <c r="Z1437" i="1" s="1"/>
  <c r="U1437" i="1"/>
  <c r="T1437" i="1"/>
  <c r="S1437" i="1"/>
  <c r="R1437" i="1"/>
  <c r="Q1437" i="1"/>
  <c r="M1437" i="1"/>
  <c r="L1437" i="1"/>
  <c r="V1436" i="1"/>
  <c r="Z1436" i="1" s="1"/>
  <c r="U1436" i="1"/>
  <c r="T1436" i="1"/>
  <c r="S1436" i="1"/>
  <c r="R1436" i="1"/>
  <c r="Q1436" i="1"/>
  <c r="M1436" i="1"/>
  <c r="L1436" i="1"/>
  <c r="V1435" i="1"/>
  <c r="Z1435" i="1" s="1"/>
  <c r="U1435" i="1"/>
  <c r="T1435" i="1"/>
  <c r="W1435" i="1" s="1"/>
  <c r="S1435" i="1"/>
  <c r="R1435" i="1"/>
  <c r="Q1435" i="1"/>
  <c r="M1435" i="1"/>
  <c r="L1435" i="1"/>
  <c r="V1434" i="1"/>
  <c r="U1434" i="1"/>
  <c r="T1434" i="1"/>
  <c r="W1434" i="1" s="1"/>
  <c r="S1434" i="1"/>
  <c r="R1434" i="1"/>
  <c r="Q1434" i="1"/>
  <c r="M1434" i="1"/>
  <c r="L1434" i="1"/>
  <c r="V1433" i="1"/>
  <c r="Z1433" i="1" s="1"/>
  <c r="U1433" i="1"/>
  <c r="T1433" i="1"/>
  <c r="S1433" i="1"/>
  <c r="R1433" i="1"/>
  <c r="Q1433" i="1"/>
  <c r="M1433" i="1"/>
  <c r="L1433" i="1"/>
  <c r="V1432" i="1"/>
  <c r="Z1432" i="1" s="1"/>
  <c r="U1432" i="1"/>
  <c r="T1432" i="1"/>
  <c r="S1432" i="1"/>
  <c r="R1432" i="1"/>
  <c r="Q1432" i="1"/>
  <c r="M1432" i="1"/>
  <c r="L1432" i="1"/>
  <c r="V1431" i="1"/>
  <c r="Z1431" i="1" s="1"/>
  <c r="U1431" i="1"/>
  <c r="T1431" i="1"/>
  <c r="W1431" i="1" s="1"/>
  <c r="S1431" i="1"/>
  <c r="R1431" i="1"/>
  <c r="Q1431" i="1"/>
  <c r="M1431" i="1"/>
  <c r="L1431" i="1"/>
  <c r="V1430" i="1"/>
  <c r="U1430" i="1"/>
  <c r="T1430" i="1"/>
  <c r="W1430" i="1" s="1"/>
  <c r="S1430" i="1"/>
  <c r="R1430" i="1"/>
  <c r="Q1430" i="1"/>
  <c r="M1430" i="1"/>
  <c r="L1430" i="1"/>
  <c r="V1429" i="1"/>
  <c r="Z1429" i="1" s="1"/>
  <c r="U1429" i="1"/>
  <c r="T1429" i="1"/>
  <c r="S1429" i="1"/>
  <c r="R1429" i="1"/>
  <c r="Q1429" i="1"/>
  <c r="M1429" i="1"/>
  <c r="L1429" i="1"/>
  <c r="V1428" i="1"/>
  <c r="Z1428" i="1" s="1"/>
  <c r="U1428" i="1"/>
  <c r="T1428" i="1"/>
  <c r="S1428" i="1"/>
  <c r="R1428" i="1"/>
  <c r="Q1428" i="1"/>
  <c r="M1428" i="1"/>
  <c r="L1428" i="1"/>
  <c r="V1427" i="1"/>
  <c r="Z1427" i="1" s="1"/>
  <c r="U1427" i="1"/>
  <c r="T1427" i="1"/>
  <c r="W1427" i="1" s="1"/>
  <c r="S1427" i="1"/>
  <c r="R1427" i="1"/>
  <c r="Q1427" i="1"/>
  <c r="M1427" i="1"/>
  <c r="L1427" i="1"/>
  <c r="V1426" i="1"/>
  <c r="U1426" i="1"/>
  <c r="T1426" i="1"/>
  <c r="W1426" i="1" s="1"/>
  <c r="S1426" i="1"/>
  <c r="R1426" i="1"/>
  <c r="Q1426" i="1"/>
  <c r="M1426" i="1"/>
  <c r="L1426" i="1"/>
  <c r="V1425" i="1"/>
  <c r="Z1425" i="1" s="1"/>
  <c r="U1425" i="1"/>
  <c r="T1425" i="1"/>
  <c r="S1425" i="1"/>
  <c r="R1425" i="1"/>
  <c r="Q1425" i="1"/>
  <c r="M1425" i="1"/>
  <c r="L1425" i="1"/>
  <c r="V1424" i="1"/>
  <c r="Z1424" i="1" s="1"/>
  <c r="U1424" i="1"/>
  <c r="T1424" i="1"/>
  <c r="S1424" i="1"/>
  <c r="R1424" i="1"/>
  <c r="Q1424" i="1"/>
  <c r="M1424" i="1"/>
  <c r="L1424" i="1"/>
  <c r="V1423" i="1"/>
  <c r="Z1423" i="1" s="1"/>
  <c r="U1423" i="1"/>
  <c r="T1423" i="1"/>
  <c r="W1423" i="1" s="1"/>
  <c r="S1423" i="1"/>
  <c r="R1423" i="1"/>
  <c r="Q1423" i="1"/>
  <c r="M1423" i="1"/>
  <c r="L1423" i="1"/>
  <c r="V1422" i="1"/>
  <c r="U1422" i="1"/>
  <c r="T1422" i="1"/>
  <c r="W1422" i="1" s="1"/>
  <c r="S1422" i="1"/>
  <c r="R1422" i="1"/>
  <c r="Q1422" i="1"/>
  <c r="M1422" i="1"/>
  <c r="L1422" i="1"/>
  <c r="V1421" i="1"/>
  <c r="Z1421" i="1" s="1"/>
  <c r="U1421" i="1"/>
  <c r="T1421" i="1"/>
  <c r="W1421" i="1" s="1"/>
  <c r="S1421" i="1"/>
  <c r="R1421" i="1"/>
  <c r="Q1421" i="1"/>
  <c r="M1421" i="1"/>
  <c r="L1421" i="1"/>
  <c r="V1420" i="1"/>
  <c r="Z1420" i="1" s="1"/>
  <c r="U1420" i="1"/>
  <c r="T1420" i="1"/>
  <c r="S1420" i="1"/>
  <c r="R1420" i="1"/>
  <c r="Q1420" i="1"/>
  <c r="M1420" i="1"/>
  <c r="L1420" i="1"/>
  <c r="V1419" i="1"/>
  <c r="Z1419" i="1" s="1"/>
  <c r="U1419" i="1"/>
  <c r="T1419" i="1"/>
  <c r="W1419" i="1" s="1"/>
  <c r="S1419" i="1"/>
  <c r="R1419" i="1"/>
  <c r="Q1419" i="1"/>
  <c r="M1419" i="1"/>
  <c r="L1419" i="1"/>
  <c r="V1418" i="1"/>
  <c r="U1418" i="1"/>
  <c r="T1418" i="1"/>
  <c r="W1418" i="1" s="1"/>
  <c r="S1418" i="1"/>
  <c r="R1418" i="1"/>
  <c r="Q1418" i="1"/>
  <c r="M1418" i="1"/>
  <c r="L1418" i="1"/>
  <c r="V1417" i="1"/>
  <c r="Z1417" i="1" s="1"/>
  <c r="U1417" i="1"/>
  <c r="T1417" i="1"/>
  <c r="W1417" i="1" s="1"/>
  <c r="S1417" i="1"/>
  <c r="R1417" i="1"/>
  <c r="Q1417" i="1"/>
  <c r="M1417" i="1"/>
  <c r="L1417" i="1"/>
  <c r="V1416" i="1"/>
  <c r="Z1416" i="1" s="1"/>
  <c r="U1416" i="1"/>
  <c r="T1416" i="1"/>
  <c r="S1416" i="1"/>
  <c r="R1416" i="1"/>
  <c r="Q1416" i="1"/>
  <c r="M1416" i="1"/>
  <c r="L1416" i="1"/>
  <c r="V1415" i="1"/>
  <c r="Z1415" i="1" s="1"/>
  <c r="U1415" i="1"/>
  <c r="T1415" i="1"/>
  <c r="W1415" i="1" s="1"/>
  <c r="S1415" i="1"/>
  <c r="R1415" i="1"/>
  <c r="Q1415" i="1"/>
  <c r="M1415" i="1"/>
  <c r="L1415" i="1"/>
  <c r="V1414" i="1"/>
  <c r="U1414" i="1"/>
  <c r="T1414" i="1"/>
  <c r="W1414" i="1" s="1"/>
  <c r="S1414" i="1"/>
  <c r="R1414" i="1"/>
  <c r="Q1414" i="1"/>
  <c r="M1414" i="1"/>
  <c r="L1414" i="1"/>
  <c r="V1413" i="1"/>
  <c r="Z1413" i="1" s="1"/>
  <c r="U1413" i="1"/>
  <c r="T1413" i="1"/>
  <c r="W1413" i="1" s="1"/>
  <c r="S1413" i="1"/>
  <c r="R1413" i="1"/>
  <c r="Q1413" i="1"/>
  <c r="M1413" i="1"/>
  <c r="L1413" i="1"/>
  <c r="V1412" i="1"/>
  <c r="Z1412" i="1" s="1"/>
  <c r="U1412" i="1"/>
  <c r="T1412" i="1"/>
  <c r="S1412" i="1"/>
  <c r="R1412" i="1"/>
  <c r="Q1412" i="1"/>
  <c r="M1412" i="1"/>
  <c r="L1412" i="1"/>
  <c r="V1411" i="1"/>
  <c r="Z1411" i="1" s="1"/>
  <c r="U1411" i="1"/>
  <c r="T1411" i="1"/>
  <c r="W1411" i="1" s="1"/>
  <c r="S1411" i="1"/>
  <c r="R1411" i="1"/>
  <c r="Q1411" i="1"/>
  <c r="M1411" i="1"/>
  <c r="L1411" i="1"/>
  <c r="V1410" i="1"/>
  <c r="U1410" i="1"/>
  <c r="T1410" i="1"/>
  <c r="W1410" i="1" s="1"/>
  <c r="S1410" i="1"/>
  <c r="R1410" i="1"/>
  <c r="Q1410" i="1"/>
  <c r="M1410" i="1"/>
  <c r="L1410" i="1"/>
  <c r="V1409" i="1"/>
  <c r="Z1409" i="1" s="1"/>
  <c r="U1409" i="1"/>
  <c r="T1409" i="1"/>
  <c r="S1409" i="1"/>
  <c r="R1409" i="1"/>
  <c r="Q1409" i="1"/>
  <c r="M1409" i="1"/>
  <c r="L1409" i="1"/>
  <c r="V1408" i="1"/>
  <c r="Z1408" i="1" s="1"/>
  <c r="U1408" i="1"/>
  <c r="T1408" i="1"/>
  <c r="S1408" i="1"/>
  <c r="R1408" i="1"/>
  <c r="Q1408" i="1"/>
  <c r="M1408" i="1"/>
  <c r="L1408" i="1"/>
  <c r="V1407" i="1"/>
  <c r="Z1407" i="1" s="1"/>
  <c r="U1407" i="1"/>
  <c r="T1407" i="1"/>
  <c r="W1407" i="1" s="1"/>
  <c r="S1407" i="1"/>
  <c r="R1407" i="1"/>
  <c r="Q1407" i="1"/>
  <c r="M1407" i="1"/>
  <c r="L1407" i="1"/>
  <c r="W1406" i="1"/>
  <c r="V1406" i="1"/>
  <c r="U1406" i="1"/>
  <c r="T1406" i="1"/>
  <c r="S1406" i="1"/>
  <c r="R1406" i="1"/>
  <c r="Q1406" i="1"/>
  <c r="M1406" i="1"/>
  <c r="L1406" i="1"/>
  <c r="V1405" i="1"/>
  <c r="Z1405" i="1" s="1"/>
  <c r="U1405" i="1"/>
  <c r="T1405" i="1"/>
  <c r="S1405" i="1"/>
  <c r="R1405" i="1"/>
  <c r="Q1405" i="1"/>
  <c r="M1405" i="1"/>
  <c r="L1405" i="1"/>
  <c r="V1404" i="1"/>
  <c r="Z1404" i="1" s="1"/>
  <c r="U1404" i="1"/>
  <c r="T1404" i="1"/>
  <c r="S1404" i="1"/>
  <c r="R1404" i="1"/>
  <c r="Q1404" i="1"/>
  <c r="M1404" i="1"/>
  <c r="L1404" i="1"/>
  <c r="V1403" i="1"/>
  <c r="Z1403" i="1" s="1"/>
  <c r="U1403" i="1"/>
  <c r="T1403" i="1"/>
  <c r="W1403" i="1" s="1"/>
  <c r="S1403" i="1"/>
  <c r="R1403" i="1"/>
  <c r="Q1403" i="1"/>
  <c r="M1403" i="1"/>
  <c r="L1403" i="1"/>
  <c r="V1402" i="1"/>
  <c r="U1402" i="1"/>
  <c r="T1402" i="1"/>
  <c r="W1402" i="1" s="1"/>
  <c r="S1402" i="1"/>
  <c r="R1402" i="1"/>
  <c r="Q1402" i="1"/>
  <c r="M1402" i="1"/>
  <c r="L1402" i="1"/>
  <c r="V1401" i="1"/>
  <c r="Z1401" i="1" s="1"/>
  <c r="U1401" i="1"/>
  <c r="T1401" i="1"/>
  <c r="S1401" i="1"/>
  <c r="R1401" i="1"/>
  <c r="Q1401" i="1"/>
  <c r="M1401" i="1"/>
  <c r="L1401" i="1"/>
  <c r="V1400" i="1"/>
  <c r="Z1400" i="1" s="1"/>
  <c r="U1400" i="1"/>
  <c r="T1400" i="1"/>
  <c r="S1400" i="1"/>
  <c r="R1400" i="1"/>
  <c r="Q1400" i="1"/>
  <c r="M1400" i="1"/>
  <c r="L1400" i="1"/>
  <c r="V1399" i="1"/>
  <c r="Z1399" i="1" s="1"/>
  <c r="U1399" i="1"/>
  <c r="T1399" i="1"/>
  <c r="W1399" i="1" s="1"/>
  <c r="S1399" i="1"/>
  <c r="R1399" i="1"/>
  <c r="Q1399" i="1"/>
  <c r="M1399" i="1"/>
  <c r="L1399" i="1"/>
  <c r="V1398" i="1"/>
  <c r="U1398" i="1"/>
  <c r="T1398" i="1"/>
  <c r="W1398" i="1" s="1"/>
  <c r="S1398" i="1"/>
  <c r="R1398" i="1"/>
  <c r="Q1398" i="1"/>
  <c r="M1398" i="1"/>
  <c r="L1398" i="1"/>
  <c r="V1397" i="1"/>
  <c r="Z1397" i="1" s="1"/>
  <c r="U1397" i="1"/>
  <c r="T1397" i="1"/>
  <c r="S1397" i="1"/>
  <c r="R1397" i="1"/>
  <c r="Q1397" i="1"/>
  <c r="M1397" i="1"/>
  <c r="L1397" i="1"/>
  <c r="V1396" i="1"/>
  <c r="Z1396" i="1" s="1"/>
  <c r="U1396" i="1"/>
  <c r="T1396" i="1"/>
  <c r="S1396" i="1"/>
  <c r="R1396" i="1"/>
  <c r="Q1396" i="1"/>
  <c r="M1396" i="1"/>
  <c r="L1396" i="1"/>
  <c r="V1395" i="1"/>
  <c r="Z1395" i="1" s="1"/>
  <c r="U1395" i="1"/>
  <c r="T1395" i="1"/>
  <c r="W1395" i="1" s="1"/>
  <c r="S1395" i="1"/>
  <c r="R1395" i="1"/>
  <c r="Q1395" i="1"/>
  <c r="M1395" i="1"/>
  <c r="L1395" i="1"/>
  <c r="V1394" i="1"/>
  <c r="U1394" i="1"/>
  <c r="T1394" i="1"/>
  <c r="W1394" i="1" s="1"/>
  <c r="S1394" i="1"/>
  <c r="R1394" i="1"/>
  <c r="Q1394" i="1"/>
  <c r="M1394" i="1"/>
  <c r="L1394" i="1"/>
  <c r="V1393" i="1"/>
  <c r="Z1393" i="1" s="1"/>
  <c r="U1393" i="1"/>
  <c r="T1393" i="1"/>
  <c r="W1393" i="1" s="1"/>
  <c r="S1393" i="1"/>
  <c r="R1393" i="1"/>
  <c r="Q1393" i="1"/>
  <c r="M1393" i="1"/>
  <c r="L1393" i="1"/>
  <c r="V1392" i="1"/>
  <c r="Z1392" i="1" s="1"/>
  <c r="U1392" i="1"/>
  <c r="T1392" i="1"/>
  <c r="S1392" i="1"/>
  <c r="R1392" i="1"/>
  <c r="Q1392" i="1"/>
  <c r="M1392" i="1"/>
  <c r="L1392" i="1"/>
  <c r="V1391" i="1"/>
  <c r="Z1391" i="1" s="1"/>
  <c r="U1391" i="1"/>
  <c r="T1391" i="1"/>
  <c r="W1391" i="1" s="1"/>
  <c r="S1391" i="1"/>
  <c r="R1391" i="1"/>
  <c r="Q1391" i="1"/>
  <c r="M1391" i="1"/>
  <c r="L1391" i="1"/>
  <c r="V1390" i="1"/>
  <c r="U1390" i="1"/>
  <c r="T1390" i="1"/>
  <c r="W1390" i="1" s="1"/>
  <c r="S1390" i="1"/>
  <c r="R1390" i="1"/>
  <c r="Q1390" i="1"/>
  <c r="M1390" i="1"/>
  <c r="L1390" i="1"/>
  <c r="V1389" i="1"/>
  <c r="Z1389" i="1" s="1"/>
  <c r="U1389" i="1"/>
  <c r="T1389" i="1"/>
  <c r="W1389" i="1" s="1"/>
  <c r="S1389" i="1"/>
  <c r="R1389" i="1"/>
  <c r="Q1389" i="1"/>
  <c r="M1389" i="1"/>
  <c r="L1389" i="1"/>
  <c r="V1388" i="1"/>
  <c r="Z1388" i="1" s="1"/>
  <c r="U1388" i="1"/>
  <c r="T1388" i="1"/>
  <c r="S1388" i="1"/>
  <c r="R1388" i="1"/>
  <c r="Q1388" i="1"/>
  <c r="M1388" i="1"/>
  <c r="L1388" i="1"/>
  <c r="V1387" i="1"/>
  <c r="Z1387" i="1" s="1"/>
  <c r="U1387" i="1"/>
  <c r="T1387" i="1"/>
  <c r="W1387" i="1" s="1"/>
  <c r="S1387" i="1"/>
  <c r="R1387" i="1"/>
  <c r="Q1387" i="1"/>
  <c r="M1387" i="1"/>
  <c r="L1387" i="1"/>
  <c r="V1386" i="1"/>
  <c r="U1386" i="1"/>
  <c r="T1386" i="1"/>
  <c r="W1386" i="1" s="1"/>
  <c r="S1386" i="1"/>
  <c r="R1386" i="1"/>
  <c r="Q1386" i="1"/>
  <c r="M1386" i="1"/>
  <c r="L1386" i="1"/>
  <c r="V1385" i="1"/>
  <c r="Z1385" i="1" s="1"/>
  <c r="U1385" i="1"/>
  <c r="T1385" i="1"/>
  <c r="S1385" i="1"/>
  <c r="R1385" i="1"/>
  <c r="Q1385" i="1"/>
  <c r="M1385" i="1"/>
  <c r="L1385" i="1"/>
  <c r="V1384" i="1"/>
  <c r="Z1384" i="1" s="1"/>
  <c r="U1384" i="1"/>
  <c r="T1384" i="1"/>
  <c r="S1384" i="1"/>
  <c r="R1384" i="1"/>
  <c r="Q1384" i="1"/>
  <c r="M1384" i="1"/>
  <c r="L1384" i="1"/>
  <c r="V1383" i="1"/>
  <c r="Z1383" i="1" s="1"/>
  <c r="U1383" i="1"/>
  <c r="T1383" i="1"/>
  <c r="W1383" i="1" s="1"/>
  <c r="S1383" i="1"/>
  <c r="R1383" i="1"/>
  <c r="Q1383" i="1"/>
  <c r="M1383" i="1"/>
  <c r="L1383" i="1"/>
  <c r="V1382" i="1"/>
  <c r="Z1382" i="1" s="1"/>
  <c r="U1382" i="1"/>
  <c r="T1382" i="1"/>
  <c r="W1382" i="1" s="1"/>
  <c r="S1382" i="1"/>
  <c r="R1382" i="1"/>
  <c r="Q1382" i="1"/>
  <c r="M1382" i="1"/>
  <c r="L1382" i="1"/>
  <c r="V1381" i="1"/>
  <c r="Z1381" i="1" s="1"/>
  <c r="U1381" i="1"/>
  <c r="T1381" i="1"/>
  <c r="S1381" i="1"/>
  <c r="R1381" i="1"/>
  <c r="Q1381" i="1"/>
  <c r="M1381" i="1"/>
  <c r="L1381" i="1"/>
  <c r="V1380" i="1"/>
  <c r="Z1380" i="1" s="1"/>
  <c r="U1380" i="1"/>
  <c r="T1380" i="1"/>
  <c r="S1380" i="1"/>
  <c r="R1380" i="1"/>
  <c r="Q1380" i="1"/>
  <c r="M1380" i="1"/>
  <c r="L1380" i="1"/>
  <c r="V1379" i="1"/>
  <c r="Z1379" i="1" s="1"/>
  <c r="U1379" i="1"/>
  <c r="T1379" i="1"/>
  <c r="W1379" i="1" s="1"/>
  <c r="S1379" i="1"/>
  <c r="R1379" i="1"/>
  <c r="Q1379" i="1"/>
  <c r="M1379" i="1"/>
  <c r="L1379" i="1"/>
  <c r="V1378" i="1"/>
  <c r="U1378" i="1"/>
  <c r="T1378" i="1"/>
  <c r="W1378" i="1" s="1"/>
  <c r="S1378" i="1"/>
  <c r="R1378" i="1"/>
  <c r="Q1378" i="1"/>
  <c r="M1378" i="1"/>
  <c r="L1378" i="1"/>
  <c r="V1377" i="1"/>
  <c r="Z1377" i="1" s="1"/>
  <c r="U1377" i="1"/>
  <c r="T1377" i="1"/>
  <c r="W1377" i="1" s="1"/>
  <c r="S1377" i="1"/>
  <c r="R1377" i="1"/>
  <c r="Q1377" i="1"/>
  <c r="M1377" i="1"/>
  <c r="L1377" i="1"/>
  <c r="V1376" i="1"/>
  <c r="Z1376" i="1" s="1"/>
  <c r="U1376" i="1"/>
  <c r="T1376" i="1"/>
  <c r="S1376" i="1"/>
  <c r="R1376" i="1"/>
  <c r="Q1376" i="1"/>
  <c r="M1376" i="1"/>
  <c r="L1376" i="1"/>
  <c r="V1375" i="1"/>
  <c r="Z1375" i="1" s="1"/>
  <c r="U1375" i="1"/>
  <c r="T1375" i="1"/>
  <c r="W1375" i="1" s="1"/>
  <c r="S1375" i="1"/>
  <c r="R1375" i="1"/>
  <c r="Q1375" i="1"/>
  <c r="M1375" i="1"/>
  <c r="L1375" i="1"/>
  <c r="V1374" i="1"/>
  <c r="U1374" i="1"/>
  <c r="T1374" i="1"/>
  <c r="W1374" i="1" s="1"/>
  <c r="S1374" i="1"/>
  <c r="R1374" i="1"/>
  <c r="Q1374" i="1"/>
  <c r="M1374" i="1"/>
  <c r="L1374" i="1"/>
  <c r="V1373" i="1"/>
  <c r="Z1373" i="1" s="1"/>
  <c r="U1373" i="1"/>
  <c r="T1373" i="1"/>
  <c r="W1373" i="1" s="1"/>
  <c r="S1373" i="1"/>
  <c r="R1373" i="1"/>
  <c r="Q1373" i="1"/>
  <c r="M1373" i="1"/>
  <c r="L1373" i="1"/>
  <c r="V1372" i="1"/>
  <c r="Z1372" i="1" s="1"/>
  <c r="U1372" i="1"/>
  <c r="T1372" i="1"/>
  <c r="S1372" i="1"/>
  <c r="R1372" i="1"/>
  <c r="Q1372" i="1"/>
  <c r="M1372" i="1"/>
  <c r="L1372" i="1"/>
  <c r="V1371" i="1"/>
  <c r="Z1371" i="1" s="1"/>
  <c r="U1371" i="1"/>
  <c r="T1371" i="1"/>
  <c r="W1371" i="1" s="1"/>
  <c r="S1371" i="1"/>
  <c r="R1371" i="1"/>
  <c r="Q1371" i="1"/>
  <c r="M1371" i="1"/>
  <c r="L1371" i="1"/>
  <c r="V1370" i="1"/>
  <c r="Z1370" i="1" s="1"/>
  <c r="U1370" i="1"/>
  <c r="T1370" i="1"/>
  <c r="W1370" i="1" s="1"/>
  <c r="S1370" i="1"/>
  <c r="R1370" i="1"/>
  <c r="Q1370" i="1"/>
  <c r="M1370" i="1"/>
  <c r="L1370" i="1"/>
  <c r="V1369" i="1"/>
  <c r="Z1369" i="1" s="1"/>
  <c r="U1369" i="1"/>
  <c r="T1369" i="1"/>
  <c r="S1369" i="1"/>
  <c r="R1369" i="1"/>
  <c r="Q1369" i="1"/>
  <c r="M1369" i="1"/>
  <c r="L1369" i="1"/>
  <c r="V1368" i="1"/>
  <c r="Z1368" i="1" s="1"/>
  <c r="U1368" i="1"/>
  <c r="T1368" i="1"/>
  <c r="S1368" i="1"/>
  <c r="R1368" i="1"/>
  <c r="Q1368" i="1"/>
  <c r="M1368" i="1"/>
  <c r="L1368" i="1"/>
  <c r="V1367" i="1"/>
  <c r="Z1367" i="1" s="1"/>
  <c r="U1367" i="1"/>
  <c r="T1367" i="1"/>
  <c r="W1367" i="1" s="1"/>
  <c r="S1367" i="1"/>
  <c r="R1367" i="1"/>
  <c r="Q1367" i="1"/>
  <c r="M1367" i="1"/>
  <c r="L1367" i="1"/>
  <c r="V1366" i="1"/>
  <c r="Z1366" i="1" s="1"/>
  <c r="U1366" i="1"/>
  <c r="T1366" i="1"/>
  <c r="W1366" i="1" s="1"/>
  <c r="S1366" i="1"/>
  <c r="R1366" i="1"/>
  <c r="Q1366" i="1"/>
  <c r="M1366" i="1"/>
  <c r="L1366" i="1"/>
  <c r="V1365" i="1"/>
  <c r="Z1365" i="1" s="1"/>
  <c r="U1365" i="1"/>
  <c r="T1365" i="1"/>
  <c r="S1365" i="1"/>
  <c r="R1365" i="1"/>
  <c r="Q1365" i="1"/>
  <c r="M1365" i="1"/>
  <c r="L1365" i="1"/>
  <c r="V1364" i="1"/>
  <c r="Z1364" i="1" s="1"/>
  <c r="U1364" i="1"/>
  <c r="T1364" i="1"/>
  <c r="S1364" i="1"/>
  <c r="R1364" i="1"/>
  <c r="Q1364" i="1"/>
  <c r="M1364" i="1"/>
  <c r="L1364" i="1"/>
  <c r="V1363" i="1"/>
  <c r="Z1363" i="1" s="1"/>
  <c r="U1363" i="1"/>
  <c r="T1363" i="1"/>
  <c r="W1363" i="1" s="1"/>
  <c r="S1363" i="1"/>
  <c r="R1363" i="1"/>
  <c r="Q1363" i="1"/>
  <c r="M1363" i="1"/>
  <c r="L1363" i="1"/>
  <c r="V1362" i="1"/>
  <c r="U1362" i="1"/>
  <c r="T1362" i="1"/>
  <c r="W1362" i="1" s="1"/>
  <c r="S1362" i="1"/>
  <c r="R1362" i="1"/>
  <c r="Q1362" i="1"/>
  <c r="M1362" i="1"/>
  <c r="L1362" i="1"/>
  <c r="V1361" i="1"/>
  <c r="Z1361" i="1" s="1"/>
  <c r="U1361" i="1"/>
  <c r="T1361" i="1"/>
  <c r="W1361" i="1" s="1"/>
  <c r="S1361" i="1"/>
  <c r="R1361" i="1"/>
  <c r="Q1361" i="1"/>
  <c r="M1361" i="1"/>
  <c r="L1361" i="1"/>
  <c r="V1360" i="1"/>
  <c r="Z1360" i="1" s="1"/>
  <c r="U1360" i="1"/>
  <c r="T1360" i="1"/>
  <c r="S1360" i="1"/>
  <c r="R1360" i="1"/>
  <c r="Q1360" i="1"/>
  <c r="M1360" i="1"/>
  <c r="L1360" i="1"/>
  <c r="V1359" i="1"/>
  <c r="Z1359" i="1" s="1"/>
  <c r="U1359" i="1"/>
  <c r="T1359" i="1"/>
  <c r="W1359" i="1" s="1"/>
  <c r="S1359" i="1"/>
  <c r="R1359" i="1"/>
  <c r="Q1359" i="1"/>
  <c r="M1359" i="1"/>
  <c r="L1359" i="1"/>
  <c r="V1358" i="1"/>
  <c r="U1358" i="1"/>
  <c r="T1358" i="1"/>
  <c r="W1358" i="1" s="1"/>
  <c r="S1358" i="1"/>
  <c r="R1358" i="1"/>
  <c r="Q1358" i="1"/>
  <c r="M1358" i="1"/>
  <c r="L1358" i="1"/>
  <c r="V1357" i="1"/>
  <c r="Z1357" i="1" s="1"/>
  <c r="U1357" i="1"/>
  <c r="T1357" i="1"/>
  <c r="W1357" i="1" s="1"/>
  <c r="S1357" i="1"/>
  <c r="R1357" i="1"/>
  <c r="Q1357" i="1"/>
  <c r="M1357" i="1"/>
  <c r="L1357" i="1"/>
  <c r="V1356" i="1"/>
  <c r="Z1356" i="1" s="1"/>
  <c r="U1356" i="1"/>
  <c r="T1356" i="1"/>
  <c r="S1356" i="1"/>
  <c r="R1356" i="1"/>
  <c r="Q1356" i="1"/>
  <c r="M1356" i="1"/>
  <c r="L1356" i="1"/>
  <c r="V1355" i="1"/>
  <c r="Z1355" i="1" s="1"/>
  <c r="U1355" i="1"/>
  <c r="T1355" i="1"/>
  <c r="W1355" i="1" s="1"/>
  <c r="S1355" i="1"/>
  <c r="R1355" i="1"/>
  <c r="Q1355" i="1"/>
  <c r="M1355" i="1"/>
  <c r="L1355" i="1"/>
  <c r="V1354" i="1"/>
  <c r="U1354" i="1"/>
  <c r="T1354" i="1"/>
  <c r="W1354" i="1" s="1"/>
  <c r="S1354" i="1"/>
  <c r="R1354" i="1"/>
  <c r="Q1354" i="1"/>
  <c r="M1354" i="1"/>
  <c r="L1354" i="1"/>
  <c r="V1353" i="1"/>
  <c r="Z1353" i="1" s="1"/>
  <c r="U1353" i="1"/>
  <c r="T1353" i="1"/>
  <c r="S1353" i="1"/>
  <c r="R1353" i="1"/>
  <c r="Q1353" i="1"/>
  <c r="M1353" i="1"/>
  <c r="L1353" i="1"/>
  <c r="V1352" i="1"/>
  <c r="Z1352" i="1" s="1"/>
  <c r="U1352" i="1"/>
  <c r="T1352" i="1"/>
  <c r="S1352" i="1"/>
  <c r="R1352" i="1"/>
  <c r="Q1352" i="1"/>
  <c r="M1352" i="1"/>
  <c r="L1352" i="1"/>
  <c r="V1351" i="1"/>
  <c r="Z1351" i="1" s="1"/>
  <c r="U1351" i="1"/>
  <c r="T1351" i="1"/>
  <c r="W1351" i="1" s="1"/>
  <c r="S1351" i="1"/>
  <c r="R1351" i="1"/>
  <c r="Q1351" i="1"/>
  <c r="M1351" i="1"/>
  <c r="L1351" i="1"/>
  <c r="V1350" i="1"/>
  <c r="Z1350" i="1" s="1"/>
  <c r="U1350" i="1"/>
  <c r="T1350" i="1"/>
  <c r="W1350" i="1" s="1"/>
  <c r="S1350" i="1"/>
  <c r="R1350" i="1"/>
  <c r="Q1350" i="1"/>
  <c r="M1350" i="1"/>
  <c r="L1350" i="1"/>
  <c r="V1349" i="1"/>
  <c r="Z1349" i="1" s="1"/>
  <c r="U1349" i="1"/>
  <c r="T1349" i="1"/>
  <c r="S1349" i="1"/>
  <c r="R1349" i="1"/>
  <c r="Q1349" i="1"/>
  <c r="M1349" i="1"/>
  <c r="L1349" i="1"/>
  <c r="V1348" i="1"/>
  <c r="Z1348" i="1" s="1"/>
  <c r="U1348" i="1"/>
  <c r="T1348" i="1"/>
  <c r="S1348" i="1"/>
  <c r="R1348" i="1"/>
  <c r="Q1348" i="1"/>
  <c r="M1348" i="1"/>
  <c r="L1348" i="1"/>
  <c r="V1347" i="1"/>
  <c r="Z1347" i="1" s="1"/>
  <c r="U1347" i="1"/>
  <c r="T1347" i="1"/>
  <c r="W1347" i="1" s="1"/>
  <c r="S1347" i="1"/>
  <c r="R1347" i="1"/>
  <c r="Q1347" i="1"/>
  <c r="M1347" i="1"/>
  <c r="L1347" i="1"/>
  <c r="V1346" i="1"/>
  <c r="U1346" i="1"/>
  <c r="T1346" i="1"/>
  <c r="S1346" i="1"/>
  <c r="R1346" i="1"/>
  <c r="Q1346" i="1"/>
  <c r="M1346" i="1"/>
  <c r="L1346" i="1"/>
  <c r="V1345" i="1"/>
  <c r="Z1345" i="1" s="1"/>
  <c r="U1345" i="1"/>
  <c r="T1345" i="1"/>
  <c r="W1345" i="1" s="1"/>
  <c r="S1345" i="1"/>
  <c r="R1345" i="1"/>
  <c r="Q1345" i="1"/>
  <c r="M1345" i="1"/>
  <c r="L1345" i="1"/>
  <c r="V1344" i="1"/>
  <c r="Z1344" i="1" s="1"/>
  <c r="U1344" i="1"/>
  <c r="T1344" i="1"/>
  <c r="S1344" i="1"/>
  <c r="R1344" i="1"/>
  <c r="Q1344" i="1"/>
  <c r="M1344" i="1"/>
  <c r="L1344" i="1"/>
  <c r="V1343" i="1"/>
  <c r="Z1343" i="1" s="1"/>
  <c r="U1343" i="1"/>
  <c r="T1343" i="1"/>
  <c r="W1343" i="1" s="1"/>
  <c r="S1343" i="1"/>
  <c r="R1343" i="1"/>
  <c r="Q1343" i="1"/>
  <c r="M1343" i="1"/>
  <c r="L1343" i="1"/>
  <c r="V1342" i="1"/>
  <c r="U1342" i="1"/>
  <c r="T1342" i="1"/>
  <c r="W1342" i="1" s="1"/>
  <c r="S1342" i="1"/>
  <c r="R1342" i="1"/>
  <c r="Q1342" i="1"/>
  <c r="M1342" i="1"/>
  <c r="L1342" i="1"/>
  <c r="V1341" i="1"/>
  <c r="Z1341" i="1" s="1"/>
  <c r="U1341" i="1"/>
  <c r="T1341" i="1"/>
  <c r="S1341" i="1"/>
  <c r="R1341" i="1"/>
  <c r="Q1341" i="1"/>
  <c r="M1341" i="1"/>
  <c r="L1341" i="1"/>
  <c r="V1340" i="1"/>
  <c r="Z1340" i="1" s="1"/>
  <c r="U1340" i="1"/>
  <c r="T1340" i="1"/>
  <c r="S1340" i="1"/>
  <c r="R1340" i="1"/>
  <c r="Q1340" i="1"/>
  <c r="M1340" i="1"/>
  <c r="L1340" i="1"/>
  <c r="V1339" i="1"/>
  <c r="Z1339" i="1" s="1"/>
  <c r="U1339" i="1"/>
  <c r="T1339" i="1"/>
  <c r="W1339" i="1" s="1"/>
  <c r="S1339" i="1"/>
  <c r="R1339" i="1"/>
  <c r="Q1339" i="1"/>
  <c r="M1339" i="1"/>
  <c r="L1339" i="1"/>
  <c r="V1338" i="1"/>
  <c r="U1338" i="1"/>
  <c r="T1338" i="1"/>
  <c r="S1338" i="1"/>
  <c r="R1338" i="1"/>
  <c r="Q1338" i="1"/>
  <c r="M1338" i="1"/>
  <c r="L1338" i="1"/>
  <c r="V1337" i="1"/>
  <c r="Z1337" i="1" s="1"/>
  <c r="U1337" i="1"/>
  <c r="T1337" i="1"/>
  <c r="W1337" i="1" s="1"/>
  <c r="S1337" i="1"/>
  <c r="R1337" i="1"/>
  <c r="Q1337" i="1"/>
  <c r="M1337" i="1"/>
  <c r="L1337" i="1"/>
  <c r="V1336" i="1"/>
  <c r="Z1336" i="1" s="1"/>
  <c r="U1336" i="1"/>
  <c r="T1336" i="1"/>
  <c r="S1336" i="1"/>
  <c r="R1336" i="1"/>
  <c r="Q1336" i="1"/>
  <c r="M1336" i="1"/>
  <c r="L1336" i="1"/>
  <c r="V1335" i="1"/>
  <c r="Z1335" i="1" s="1"/>
  <c r="U1335" i="1"/>
  <c r="T1335" i="1"/>
  <c r="W1335" i="1" s="1"/>
  <c r="S1335" i="1"/>
  <c r="R1335" i="1"/>
  <c r="Q1335" i="1"/>
  <c r="M1335" i="1"/>
  <c r="L1335" i="1"/>
  <c r="V1334" i="1"/>
  <c r="U1334" i="1"/>
  <c r="T1334" i="1"/>
  <c r="W1334" i="1" s="1"/>
  <c r="S1334" i="1"/>
  <c r="R1334" i="1"/>
  <c r="Q1334" i="1"/>
  <c r="M1334" i="1"/>
  <c r="L1334" i="1"/>
  <c r="V1333" i="1"/>
  <c r="Z1333" i="1" s="1"/>
  <c r="U1333" i="1"/>
  <c r="T1333" i="1"/>
  <c r="W1333" i="1" s="1"/>
  <c r="S1333" i="1"/>
  <c r="R1333" i="1"/>
  <c r="Q1333" i="1"/>
  <c r="M1333" i="1"/>
  <c r="L1333" i="1"/>
  <c r="V1332" i="1"/>
  <c r="Z1332" i="1" s="1"/>
  <c r="U1332" i="1"/>
  <c r="T1332" i="1"/>
  <c r="S1332" i="1"/>
  <c r="R1332" i="1"/>
  <c r="Q1332" i="1"/>
  <c r="M1332" i="1"/>
  <c r="L1332" i="1"/>
  <c r="V1331" i="1"/>
  <c r="Z1331" i="1" s="1"/>
  <c r="U1331" i="1"/>
  <c r="T1331" i="1"/>
  <c r="W1331" i="1" s="1"/>
  <c r="S1331" i="1"/>
  <c r="R1331" i="1"/>
  <c r="Q1331" i="1"/>
  <c r="M1331" i="1"/>
  <c r="L1331" i="1"/>
  <c r="V1330" i="1"/>
  <c r="Z1330" i="1" s="1"/>
  <c r="U1330" i="1"/>
  <c r="T1330" i="1"/>
  <c r="W1330" i="1" s="1"/>
  <c r="S1330" i="1"/>
  <c r="R1330" i="1"/>
  <c r="Q1330" i="1"/>
  <c r="M1330" i="1"/>
  <c r="L1330" i="1"/>
  <c r="V1329" i="1"/>
  <c r="Z1329" i="1" s="1"/>
  <c r="U1329" i="1"/>
  <c r="T1329" i="1"/>
  <c r="S1329" i="1"/>
  <c r="R1329" i="1"/>
  <c r="Q1329" i="1"/>
  <c r="M1329" i="1"/>
  <c r="L1329" i="1"/>
  <c r="V1328" i="1"/>
  <c r="Z1328" i="1" s="1"/>
  <c r="U1328" i="1"/>
  <c r="T1328" i="1"/>
  <c r="S1328" i="1"/>
  <c r="R1328" i="1"/>
  <c r="Q1328" i="1"/>
  <c r="M1328" i="1"/>
  <c r="L1328" i="1"/>
  <c r="V1327" i="1"/>
  <c r="Z1327" i="1" s="1"/>
  <c r="U1327" i="1"/>
  <c r="T1327" i="1"/>
  <c r="W1327" i="1" s="1"/>
  <c r="S1327" i="1"/>
  <c r="R1327" i="1"/>
  <c r="Q1327" i="1"/>
  <c r="M1327" i="1"/>
  <c r="L1327" i="1"/>
  <c r="V1326" i="1"/>
  <c r="U1326" i="1"/>
  <c r="T1326" i="1"/>
  <c r="S1326" i="1"/>
  <c r="R1326" i="1"/>
  <c r="Q1326" i="1"/>
  <c r="M1326" i="1"/>
  <c r="L1326" i="1"/>
  <c r="V1325" i="1"/>
  <c r="Z1325" i="1" s="1"/>
  <c r="U1325" i="1"/>
  <c r="T1325" i="1"/>
  <c r="W1325" i="1" s="1"/>
  <c r="S1325" i="1"/>
  <c r="R1325" i="1"/>
  <c r="Q1325" i="1"/>
  <c r="M1325" i="1"/>
  <c r="L1325" i="1"/>
  <c r="V1324" i="1"/>
  <c r="Z1324" i="1" s="1"/>
  <c r="U1324" i="1"/>
  <c r="T1324" i="1"/>
  <c r="S1324" i="1"/>
  <c r="R1324" i="1"/>
  <c r="Q1324" i="1"/>
  <c r="M1324" i="1"/>
  <c r="L1324" i="1"/>
  <c r="V1323" i="1"/>
  <c r="Z1323" i="1" s="1"/>
  <c r="U1323" i="1"/>
  <c r="T1323" i="1"/>
  <c r="W1323" i="1" s="1"/>
  <c r="S1323" i="1"/>
  <c r="R1323" i="1"/>
  <c r="Q1323" i="1"/>
  <c r="M1323" i="1"/>
  <c r="L1323" i="1"/>
  <c r="V1322" i="1"/>
  <c r="U1322" i="1"/>
  <c r="T1322" i="1"/>
  <c r="W1322" i="1" s="1"/>
  <c r="S1322" i="1"/>
  <c r="R1322" i="1"/>
  <c r="Q1322" i="1"/>
  <c r="M1322" i="1"/>
  <c r="L1322" i="1"/>
  <c r="V1321" i="1"/>
  <c r="Z1321" i="1" s="1"/>
  <c r="U1321" i="1"/>
  <c r="T1321" i="1"/>
  <c r="W1321" i="1" s="1"/>
  <c r="S1321" i="1"/>
  <c r="R1321" i="1"/>
  <c r="Q1321" i="1"/>
  <c r="M1321" i="1"/>
  <c r="L1321" i="1"/>
  <c r="V1320" i="1"/>
  <c r="Z1320" i="1" s="1"/>
  <c r="U1320" i="1"/>
  <c r="T1320" i="1"/>
  <c r="S1320" i="1"/>
  <c r="R1320" i="1"/>
  <c r="Q1320" i="1"/>
  <c r="M1320" i="1"/>
  <c r="L1320" i="1"/>
  <c r="V1319" i="1"/>
  <c r="Z1319" i="1" s="1"/>
  <c r="U1319" i="1"/>
  <c r="T1319" i="1"/>
  <c r="W1319" i="1" s="1"/>
  <c r="S1319" i="1"/>
  <c r="R1319" i="1"/>
  <c r="Q1319" i="1"/>
  <c r="M1319" i="1"/>
  <c r="L1319" i="1"/>
  <c r="V1318" i="1"/>
  <c r="U1318" i="1"/>
  <c r="T1318" i="1"/>
  <c r="W1318" i="1" s="1"/>
  <c r="S1318" i="1"/>
  <c r="R1318" i="1"/>
  <c r="Q1318" i="1"/>
  <c r="M1318" i="1"/>
  <c r="L1318" i="1"/>
  <c r="V1317" i="1"/>
  <c r="Z1317" i="1" s="1"/>
  <c r="U1317" i="1"/>
  <c r="T1317" i="1"/>
  <c r="W1317" i="1" s="1"/>
  <c r="S1317" i="1"/>
  <c r="R1317" i="1"/>
  <c r="Q1317" i="1"/>
  <c r="M1317" i="1"/>
  <c r="L1317" i="1"/>
  <c r="V1316" i="1"/>
  <c r="Z1316" i="1" s="1"/>
  <c r="U1316" i="1"/>
  <c r="T1316" i="1"/>
  <c r="S1316" i="1"/>
  <c r="R1316" i="1"/>
  <c r="Q1316" i="1"/>
  <c r="M1316" i="1"/>
  <c r="L1316" i="1"/>
  <c r="V1315" i="1"/>
  <c r="Z1315" i="1" s="1"/>
  <c r="U1315" i="1"/>
  <c r="T1315" i="1"/>
  <c r="W1315" i="1" s="1"/>
  <c r="S1315" i="1"/>
  <c r="R1315" i="1"/>
  <c r="Q1315" i="1"/>
  <c r="M1315" i="1"/>
  <c r="L1315" i="1"/>
  <c r="V1314" i="1"/>
  <c r="U1314" i="1"/>
  <c r="T1314" i="1"/>
  <c r="W1314" i="1" s="1"/>
  <c r="S1314" i="1"/>
  <c r="R1314" i="1"/>
  <c r="Q1314" i="1"/>
  <c r="M1314" i="1"/>
  <c r="L1314" i="1"/>
  <c r="V1313" i="1"/>
  <c r="Z1313" i="1" s="1"/>
  <c r="U1313" i="1"/>
  <c r="T1313" i="1"/>
  <c r="W1313" i="1" s="1"/>
  <c r="S1313" i="1"/>
  <c r="R1313" i="1"/>
  <c r="Q1313" i="1"/>
  <c r="M1313" i="1"/>
  <c r="L1313" i="1"/>
  <c r="V1312" i="1"/>
  <c r="Z1312" i="1" s="1"/>
  <c r="U1312" i="1"/>
  <c r="T1312" i="1"/>
  <c r="S1312" i="1"/>
  <c r="R1312" i="1"/>
  <c r="Q1312" i="1"/>
  <c r="M1312" i="1"/>
  <c r="L1312" i="1"/>
  <c r="V1311" i="1"/>
  <c r="Z1311" i="1" s="1"/>
  <c r="U1311" i="1"/>
  <c r="T1311" i="1"/>
  <c r="W1311" i="1" s="1"/>
  <c r="S1311" i="1"/>
  <c r="R1311" i="1"/>
  <c r="Q1311" i="1"/>
  <c r="M1311" i="1"/>
  <c r="L1311" i="1"/>
  <c r="V1310" i="1"/>
  <c r="Z1310" i="1" s="1"/>
  <c r="U1310" i="1"/>
  <c r="T1310" i="1"/>
  <c r="W1310" i="1" s="1"/>
  <c r="S1310" i="1"/>
  <c r="R1310" i="1"/>
  <c r="Q1310" i="1"/>
  <c r="M1310" i="1"/>
  <c r="L1310" i="1"/>
  <c r="V1309" i="1"/>
  <c r="Z1309" i="1" s="1"/>
  <c r="U1309" i="1"/>
  <c r="T1309" i="1"/>
  <c r="W1309" i="1" s="1"/>
  <c r="S1309" i="1"/>
  <c r="R1309" i="1"/>
  <c r="Q1309" i="1"/>
  <c r="M1309" i="1"/>
  <c r="L1309" i="1"/>
  <c r="V1308" i="1"/>
  <c r="Z1308" i="1" s="1"/>
  <c r="U1308" i="1"/>
  <c r="T1308" i="1"/>
  <c r="S1308" i="1"/>
  <c r="R1308" i="1"/>
  <c r="Q1308" i="1"/>
  <c r="M1308" i="1"/>
  <c r="L1308" i="1"/>
  <c r="V1307" i="1"/>
  <c r="Z1307" i="1" s="1"/>
  <c r="U1307" i="1"/>
  <c r="T1307" i="1"/>
  <c r="W1307" i="1" s="1"/>
  <c r="S1307" i="1"/>
  <c r="R1307" i="1"/>
  <c r="Q1307" i="1"/>
  <c r="M1307" i="1"/>
  <c r="L1307" i="1"/>
  <c r="V1306" i="1"/>
  <c r="Z1306" i="1" s="1"/>
  <c r="U1306" i="1"/>
  <c r="T1306" i="1"/>
  <c r="W1306" i="1" s="1"/>
  <c r="S1306" i="1"/>
  <c r="R1306" i="1"/>
  <c r="Q1306" i="1"/>
  <c r="M1306" i="1"/>
  <c r="L1306" i="1"/>
  <c r="V1305" i="1"/>
  <c r="Z1305" i="1" s="1"/>
  <c r="U1305" i="1"/>
  <c r="T1305" i="1"/>
  <c r="S1305" i="1"/>
  <c r="R1305" i="1"/>
  <c r="Q1305" i="1"/>
  <c r="M1305" i="1"/>
  <c r="L1305" i="1"/>
  <c r="V1304" i="1"/>
  <c r="Z1304" i="1" s="1"/>
  <c r="U1304" i="1"/>
  <c r="T1304" i="1"/>
  <c r="W1304" i="1" s="1"/>
  <c r="S1304" i="1"/>
  <c r="R1304" i="1"/>
  <c r="Q1304" i="1"/>
  <c r="M1304" i="1"/>
  <c r="L1304" i="1"/>
  <c r="V1303" i="1"/>
  <c r="Z1303" i="1" s="1"/>
  <c r="U1303" i="1"/>
  <c r="T1303" i="1"/>
  <c r="S1303" i="1"/>
  <c r="R1303" i="1"/>
  <c r="Q1303" i="1"/>
  <c r="M1303" i="1"/>
  <c r="L1303" i="1"/>
  <c r="V1302" i="1"/>
  <c r="Z1302" i="1" s="1"/>
  <c r="U1302" i="1"/>
  <c r="T1302" i="1"/>
  <c r="W1302" i="1" s="1"/>
  <c r="S1302" i="1"/>
  <c r="R1302" i="1"/>
  <c r="Q1302" i="1"/>
  <c r="M1302" i="1"/>
  <c r="L1302" i="1"/>
  <c r="V1301" i="1"/>
  <c r="Z1301" i="1" s="1"/>
  <c r="U1301" i="1"/>
  <c r="T1301" i="1"/>
  <c r="S1301" i="1"/>
  <c r="R1301" i="1"/>
  <c r="Q1301" i="1"/>
  <c r="M1301" i="1"/>
  <c r="L1301" i="1"/>
  <c r="V1300" i="1"/>
  <c r="Z1300" i="1" s="1"/>
  <c r="U1300" i="1"/>
  <c r="T1300" i="1"/>
  <c r="W1300" i="1" s="1"/>
  <c r="S1300" i="1"/>
  <c r="R1300" i="1"/>
  <c r="Q1300" i="1"/>
  <c r="M1300" i="1"/>
  <c r="L1300" i="1"/>
  <c r="V1299" i="1"/>
  <c r="Z1299" i="1" s="1"/>
  <c r="U1299" i="1"/>
  <c r="T1299" i="1"/>
  <c r="W1299" i="1" s="1"/>
  <c r="S1299" i="1"/>
  <c r="R1299" i="1"/>
  <c r="Q1299" i="1"/>
  <c r="M1299" i="1"/>
  <c r="L1299" i="1"/>
  <c r="V1298" i="1"/>
  <c r="U1298" i="1"/>
  <c r="T1298" i="1"/>
  <c r="S1298" i="1"/>
  <c r="R1298" i="1"/>
  <c r="Q1298" i="1"/>
  <c r="M1298" i="1"/>
  <c r="L1298" i="1"/>
  <c r="V1297" i="1"/>
  <c r="Z1297" i="1" s="1"/>
  <c r="U1297" i="1"/>
  <c r="T1297" i="1"/>
  <c r="W1297" i="1" s="1"/>
  <c r="S1297" i="1"/>
  <c r="R1297" i="1"/>
  <c r="Q1297" i="1"/>
  <c r="M1297" i="1"/>
  <c r="L1297" i="1"/>
  <c r="V1296" i="1"/>
  <c r="Z1296" i="1" s="1"/>
  <c r="U1296" i="1"/>
  <c r="T1296" i="1"/>
  <c r="W1296" i="1" s="1"/>
  <c r="S1296" i="1"/>
  <c r="R1296" i="1"/>
  <c r="Q1296" i="1"/>
  <c r="M1296" i="1"/>
  <c r="L1296" i="1"/>
  <c r="V1295" i="1"/>
  <c r="Z1295" i="1" s="1"/>
  <c r="U1295" i="1"/>
  <c r="T1295" i="1"/>
  <c r="S1295" i="1"/>
  <c r="R1295" i="1"/>
  <c r="Q1295" i="1"/>
  <c r="M1295" i="1"/>
  <c r="L1295" i="1"/>
  <c r="V1294" i="1"/>
  <c r="Z1294" i="1" s="1"/>
  <c r="U1294" i="1"/>
  <c r="T1294" i="1"/>
  <c r="W1294" i="1" s="1"/>
  <c r="S1294" i="1"/>
  <c r="R1294" i="1"/>
  <c r="Q1294" i="1"/>
  <c r="M1294" i="1"/>
  <c r="L1294" i="1"/>
  <c r="V1293" i="1"/>
  <c r="Z1293" i="1" s="1"/>
  <c r="U1293" i="1"/>
  <c r="T1293" i="1"/>
  <c r="S1293" i="1"/>
  <c r="R1293" i="1"/>
  <c r="Q1293" i="1"/>
  <c r="M1293" i="1"/>
  <c r="L1293" i="1"/>
  <c r="V1292" i="1"/>
  <c r="Z1292" i="1" s="1"/>
  <c r="U1292" i="1"/>
  <c r="T1292" i="1"/>
  <c r="S1292" i="1"/>
  <c r="R1292" i="1"/>
  <c r="Q1292" i="1"/>
  <c r="M1292" i="1"/>
  <c r="L1292" i="1"/>
  <c r="V1291" i="1"/>
  <c r="Z1291" i="1" s="1"/>
  <c r="U1291" i="1"/>
  <c r="T1291" i="1"/>
  <c r="S1291" i="1"/>
  <c r="R1291" i="1"/>
  <c r="Q1291" i="1"/>
  <c r="M1291" i="1"/>
  <c r="L1291" i="1"/>
  <c r="V1290" i="1"/>
  <c r="U1290" i="1"/>
  <c r="T1290" i="1"/>
  <c r="W1290" i="1" s="1"/>
  <c r="S1290" i="1"/>
  <c r="R1290" i="1"/>
  <c r="Q1290" i="1"/>
  <c r="M1290" i="1"/>
  <c r="L1290" i="1"/>
  <c r="V1289" i="1"/>
  <c r="Z1289" i="1" s="1"/>
  <c r="U1289" i="1"/>
  <c r="T1289" i="1"/>
  <c r="W1289" i="1" s="1"/>
  <c r="S1289" i="1"/>
  <c r="R1289" i="1"/>
  <c r="Q1289" i="1"/>
  <c r="M1289" i="1"/>
  <c r="L1289" i="1"/>
  <c r="V1288" i="1"/>
  <c r="Z1288" i="1" s="1"/>
  <c r="U1288" i="1"/>
  <c r="T1288" i="1"/>
  <c r="W1288" i="1" s="1"/>
  <c r="S1288" i="1"/>
  <c r="R1288" i="1"/>
  <c r="Q1288" i="1"/>
  <c r="M1288" i="1"/>
  <c r="L1288" i="1"/>
  <c r="V1287" i="1"/>
  <c r="Z1287" i="1" s="1"/>
  <c r="U1287" i="1"/>
  <c r="T1287" i="1"/>
  <c r="W1287" i="1" s="1"/>
  <c r="S1287" i="1"/>
  <c r="R1287" i="1"/>
  <c r="Q1287" i="1"/>
  <c r="M1287" i="1"/>
  <c r="L1287" i="1"/>
  <c r="V1286" i="1"/>
  <c r="Z1286" i="1" s="1"/>
  <c r="U1286" i="1"/>
  <c r="T1286" i="1"/>
  <c r="W1286" i="1" s="1"/>
  <c r="S1286" i="1"/>
  <c r="R1286" i="1"/>
  <c r="Q1286" i="1"/>
  <c r="M1286" i="1"/>
  <c r="L1286" i="1"/>
  <c r="V1285" i="1"/>
  <c r="Z1285" i="1" s="1"/>
  <c r="U1285" i="1"/>
  <c r="T1285" i="1"/>
  <c r="S1285" i="1"/>
  <c r="R1285" i="1"/>
  <c r="Q1285" i="1"/>
  <c r="M1285" i="1"/>
  <c r="L1285" i="1"/>
  <c r="V1284" i="1"/>
  <c r="Z1284" i="1" s="1"/>
  <c r="U1284" i="1"/>
  <c r="T1284" i="1"/>
  <c r="S1284" i="1"/>
  <c r="R1284" i="1"/>
  <c r="Q1284" i="1"/>
  <c r="M1284" i="1"/>
  <c r="L1284" i="1"/>
  <c r="V1283" i="1"/>
  <c r="Z1283" i="1" s="1"/>
  <c r="U1283" i="1"/>
  <c r="T1283" i="1"/>
  <c r="S1283" i="1"/>
  <c r="R1283" i="1"/>
  <c r="Q1283" i="1"/>
  <c r="M1283" i="1"/>
  <c r="L1283" i="1"/>
  <c r="V1282" i="1"/>
  <c r="U1282" i="1"/>
  <c r="T1282" i="1"/>
  <c r="S1282" i="1"/>
  <c r="R1282" i="1"/>
  <c r="Q1282" i="1"/>
  <c r="M1282" i="1"/>
  <c r="L1282" i="1"/>
  <c r="V1281" i="1"/>
  <c r="Z1281" i="1" s="1"/>
  <c r="U1281" i="1"/>
  <c r="T1281" i="1"/>
  <c r="S1281" i="1"/>
  <c r="R1281" i="1"/>
  <c r="Q1281" i="1"/>
  <c r="M1281" i="1"/>
  <c r="L1281" i="1"/>
  <c r="V1280" i="1"/>
  <c r="Z1280" i="1" s="1"/>
  <c r="U1280" i="1"/>
  <c r="T1280" i="1"/>
  <c r="W1280" i="1" s="1"/>
  <c r="S1280" i="1"/>
  <c r="R1280" i="1"/>
  <c r="Q1280" i="1"/>
  <c r="M1280" i="1"/>
  <c r="L1280" i="1"/>
  <c r="V1279" i="1"/>
  <c r="Z1279" i="1" s="1"/>
  <c r="U1279" i="1"/>
  <c r="T1279" i="1"/>
  <c r="W1279" i="1" s="1"/>
  <c r="S1279" i="1"/>
  <c r="R1279" i="1"/>
  <c r="Q1279" i="1"/>
  <c r="M1279" i="1"/>
  <c r="L1279" i="1"/>
  <c r="V1278" i="1"/>
  <c r="U1278" i="1"/>
  <c r="T1278" i="1"/>
  <c r="W1278" i="1" s="1"/>
  <c r="S1278" i="1"/>
  <c r="R1278" i="1"/>
  <c r="Q1278" i="1"/>
  <c r="M1278" i="1"/>
  <c r="L1278" i="1"/>
  <c r="V1277" i="1"/>
  <c r="Z1277" i="1" s="1"/>
  <c r="U1277" i="1"/>
  <c r="T1277" i="1"/>
  <c r="W1277" i="1" s="1"/>
  <c r="S1277" i="1"/>
  <c r="R1277" i="1"/>
  <c r="Q1277" i="1"/>
  <c r="M1277" i="1"/>
  <c r="L1277" i="1"/>
  <c r="V1276" i="1"/>
  <c r="Z1276" i="1" s="1"/>
  <c r="U1276" i="1"/>
  <c r="T1276" i="1"/>
  <c r="S1276" i="1"/>
  <c r="R1276" i="1"/>
  <c r="Q1276" i="1"/>
  <c r="M1276" i="1"/>
  <c r="L1276" i="1"/>
  <c r="V1275" i="1"/>
  <c r="Z1275" i="1" s="1"/>
  <c r="U1275" i="1"/>
  <c r="T1275" i="1"/>
  <c r="W1275" i="1" s="1"/>
  <c r="S1275" i="1"/>
  <c r="R1275" i="1"/>
  <c r="Q1275" i="1"/>
  <c r="M1275" i="1"/>
  <c r="L1275" i="1"/>
  <c r="V1274" i="1"/>
  <c r="Z1274" i="1" s="1"/>
  <c r="U1274" i="1"/>
  <c r="T1274" i="1"/>
  <c r="S1274" i="1"/>
  <c r="R1274" i="1"/>
  <c r="Q1274" i="1"/>
  <c r="M1274" i="1"/>
  <c r="L1274" i="1"/>
  <c r="V1273" i="1"/>
  <c r="Z1273" i="1" s="1"/>
  <c r="U1273" i="1"/>
  <c r="T1273" i="1"/>
  <c r="S1273" i="1"/>
  <c r="R1273" i="1"/>
  <c r="Q1273" i="1"/>
  <c r="M1273" i="1"/>
  <c r="L1273" i="1"/>
  <c r="V1272" i="1"/>
  <c r="Z1272" i="1" s="1"/>
  <c r="U1272" i="1"/>
  <c r="T1272" i="1"/>
  <c r="W1272" i="1" s="1"/>
  <c r="S1272" i="1"/>
  <c r="R1272" i="1"/>
  <c r="Q1272" i="1"/>
  <c r="M1272" i="1"/>
  <c r="L1272" i="1"/>
  <c r="V1271" i="1"/>
  <c r="Z1271" i="1" s="1"/>
  <c r="U1271" i="1"/>
  <c r="T1271" i="1"/>
  <c r="S1271" i="1"/>
  <c r="R1271" i="1"/>
  <c r="Q1271" i="1"/>
  <c r="M1271" i="1"/>
  <c r="L1271" i="1"/>
  <c r="V1270" i="1"/>
  <c r="U1270" i="1"/>
  <c r="T1270" i="1"/>
  <c r="W1270" i="1" s="1"/>
  <c r="S1270" i="1"/>
  <c r="R1270" i="1"/>
  <c r="Q1270" i="1"/>
  <c r="M1270" i="1"/>
  <c r="L1270" i="1"/>
  <c r="V1269" i="1"/>
  <c r="Z1269" i="1" s="1"/>
  <c r="U1269" i="1"/>
  <c r="T1269" i="1"/>
  <c r="W1269" i="1" s="1"/>
  <c r="S1269" i="1"/>
  <c r="R1269" i="1"/>
  <c r="Q1269" i="1"/>
  <c r="M1269" i="1"/>
  <c r="L1269" i="1"/>
  <c r="V1268" i="1"/>
  <c r="Z1268" i="1" s="1"/>
  <c r="U1268" i="1"/>
  <c r="T1268" i="1"/>
  <c r="S1268" i="1"/>
  <c r="R1268" i="1"/>
  <c r="Q1268" i="1"/>
  <c r="M1268" i="1"/>
  <c r="L1268" i="1"/>
  <c r="V1267" i="1"/>
  <c r="Z1267" i="1" s="1"/>
  <c r="U1267" i="1"/>
  <c r="T1267" i="1"/>
  <c r="W1267" i="1" s="1"/>
  <c r="S1267" i="1"/>
  <c r="R1267" i="1"/>
  <c r="Q1267" i="1"/>
  <c r="M1267" i="1"/>
  <c r="L1267" i="1"/>
  <c r="V1266" i="1"/>
  <c r="U1266" i="1"/>
  <c r="T1266" i="1"/>
  <c r="S1266" i="1"/>
  <c r="R1266" i="1"/>
  <c r="Q1266" i="1"/>
  <c r="M1266" i="1"/>
  <c r="L1266" i="1"/>
  <c r="V1265" i="1"/>
  <c r="Z1265" i="1" s="1"/>
  <c r="U1265" i="1"/>
  <c r="T1265" i="1"/>
  <c r="W1265" i="1" s="1"/>
  <c r="S1265" i="1"/>
  <c r="R1265" i="1"/>
  <c r="Q1265" i="1"/>
  <c r="M1265" i="1"/>
  <c r="L1265" i="1"/>
  <c r="V1264" i="1"/>
  <c r="Z1264" i="1" s="1"/>
  <c r="U1264" i="1"/>
  <c r="T1264" i="1"/>
  <c r="S1264" i="1"/>
  <c r="R1264" i="1"/>
  <c r="Q1264" i="1"/>
  <c r="M1264" i="1"/>
  <c r="L1264" i="1"/>
  <c r="V1263" i="1"/>
  <c r="Z1263" i="1" s="1"/>
  <c r="U1263" i="1"/>
  <c r="T1263" i="1"/>
  <c r="W1263" i="1" s="1"/>
  <c r="S1263" i="1"/>
  <c r="R1263" i="1"/>
  <c r="Q1263" i="1"/>
  <c r="M1263" i="1"/>
  <c r="L1263" i="1"/>
  <c r="V1262" i="1"/>
  <c r="Z1262" i="1" s="1"/>
  <c r="U1262" i="1"/>
  <c r="T1262" i="1"/>
  <c r="W1262" i="1" s="1"/>
  <c r="S1262" i="1"/>
  <c r="R1262" i="1"/>
  <c r="Q1262" i="1"/>
  <c r="M1262" i="1"/>
  <c r="L1262" i="1"/>
  <c r="V1261" i="1"/>
  <c r="Z1261" i="1" s="1"/>
  <c r="U1261" i="1"/>
  <c r="T1261" i="1"/>
  <c r="S1261" i="1"/>
  <c r="R1261" i="1"/>
  <c r="Q1261" i="1"/>
  <c r="M1261" i="1"/>
  <c r="L1261" i="1"/>
  <c r="V1260" i="1"/>
  <c r="Z1260" i="1" s="1"/>
  <c r="U1260" i="1"/>
  <c r="T1260" i="1"/>
  <c r="W1260" i="1" s="1"/>
  <c r="S1260" i="1"/>
  <c r="R1260" i="1"/>
  <c r="Q1260" i="1"/>
  <c r="M1260" i="1"/>
  <c r="L1260" i="1"/>
  <c r="V1259" i="1"/>
  <c r="Z1259" i="1" s="1"/>
  <c r="U1259" i="1"/>
  <c r="T1259" i="1"/>
  <c r="W1259" i="1" s="1"/>
  <c r="S1259" i="1"/>
  <c r="R1259" i="1"/>
  <c r="Q1259" i="1"/>
  <c r="M1259" i="1"/>
  <c r="L1259" i="1"/>
  <c r="V1258" i="1"/>
  <c r="U1258" i="1"/>
  <c r="T1258" i="1"/>
  <c r="S1258" i="1"/>
  <c r="R1258" i="1"/>
  <c r="Q1258" i="1"/>
  <c r="M1258" i="1"/>
  <c r="L1258" i="1"/>
  <c r="V1257" i="1"/>
  <c r="Z1257" i="1" s="1"/>
  <c r="U1257" i="1"/>
  <c r="T1257" i="1"/>
  <c r="W1257" i="1" s="1"/>
  <c r="S1257" i="1"/>
  <c r="R1257" i="1"/>
  <c r="Q1257" i="1"/>
  <c r="M1257" i="1"/>
  <c r="L1257" i="1"/>
  <c r="V1256" i="1"/>
  <c r="Z1256" i="1" s="1"/>
  <c r="U1256" i="1"/>
  <c r="T1256" i="1"/>
  <c r="S1256" i="1"/>
  <c r="R1256" i="1"/>
  <c r="Q1256" i="1"/>
  <c r="M1256" i="1"/>
  <c r="L1256" i="1"/>
  <c r="V1255" i="1"/>
  <c r="Z1255" i="1" s="1"/>
  <c r="U1255" i="1"/>
  <c r="T1255" i="1"/>
  <c r="S1255" i="1"/>
  <c r="R1255" i="1"/>
  <c r="Q1255" i="1"/>
  <c r="M1255" i="1"/>
  <c r="L1255" i="1"/>
  <c r="V1254" i="1"/>
  <c r="U1254" i="1"/>
  <c r="T1254" i="1"/>
  <c r="S1254" i="1"/>
  <c r="R1254" i="1"/>
  <c r="Q1254" i="1"/>
  <c r="M1254" i="1"/>
  <c r="L1254" i="1"/>
  <c r="V1253" i="1"/>
  <c r="Z1253" i="1" s="1"/>
  <c r="U1253" i="1"/>
  <c r="T1253" i="1"/>
  <c r="W1253" i="1" s="1"/>
  <c r="S1253" i="1"/>
  <c r="R1253" i="1"/>
  <c r="Q1253" i="1"/>
  <c r="M1253" i="1"/>
  <c r="L1253" i="1"/>
  <c r="V1252" i="1"/>
  <c r="Z1252" i="1" s="1"/>
  <c r="U1252" i="1"/>
  <c r="T1252" i="1"/>
  <c r="W1252" i="1" s="1"/>
  <c r="S1252" i="1"/>
  <c r="R1252" i="1"/>
  <c r="Q1252" i="1"/>
  <c r="M1252" i="1"/>
  <c r="L1252" i="1"/>
  <c r="V1251" i="1"/>
  <c r="Z1251" i="1" s="1"/>
  <c r="U1251" i="1"/>
  <c r="T1251" i="1"/>
  <c r="W1251" i="1" s="1"/>
  <c r="S1251" i="1"/>
  <c r="R1251" i="1"/>
  <c r="Q1251" i="1"/>
  <c r="M1251" i="1"/>
  <c r="L1251" i="1"/>
  <c r="V1250" i="1"/>
  <c r="Z1250" i="1" s="1"/>
  <c r="U1250" i="1"/>
  <c r="T1250" i="1"/>
  <c r="W1250" i="1" s="1"/>
  <c r="S1250" i="1"/>
  <c r="R1250" i="1"/>
  <c r="Q1250" i="1"/>
  <c r="M1250" i="1"/>
  <c r="L1250" i="1"/>
  <c r="V1249" i="1"/>
  <c r="Z1249" i="1" s="1"/>
  <c r="U1249" i="1"/>
  <c r="T1249" i="1"/>
  <c r="W1249" i="1" s="1"/>
  <c r="S1249" i="1"/>
  <c r="R1249" i="1"/>
  <c r="Q1249" i="1"/>
  <c r="M1249" i="1"/>
  <c r="L1249" i="1"/>
  <c r="V1248" i="1"/>
  <c r="Z1248" i="1" s="1"/>
  <c r="U1248" i="1"/>
  <c r="T1248" i="1"/>
  <c r="W1248" i="1" s="1"/>
  <c r="S1248" i="1"/>
  <c r="R1248" i="1"/>
  <c r="Q1248" i="1"/>
  <c r="M1248" i="1"/>
  <c r="L1248" i="1"/>
  <c r="V1247" i="1"/>
  <c r="Z1247" i="1" s="1"/>
  <c r="U1247" i="1"/>
  <c r="T1247" i="1"/>
  <c r="S1247" i="1"/>
  <c r="R1247" i="1"/>
  <c r="Q1247" i="1"/>
  <c r="M1247" i="1"/>
  <c r="L1247" i="1"/>
  <c r="V1246" i="1"/>
  <c r="Z1246" i="1" s="1"/>
  <c r="U1246" i="1"/>
  <c r="T1246" i="1"/>
  <c r="S1246" i="1"/>
  <c r="R1246" i="1"/>
  <c r="Q1246" i="1"/>
  <c r="M1246" i="1"/>
  <c r="L1246" i="1"/>
  <c r="V1245" i="1"/>
  <c r="Z1245" i="1" s="1"/>
  <c r="U1245" i="1"/>
  <c r="T1245" i="1"/>
  <c r="S1245" i="1"/>
  <c r="R1245" i="1"/>
  <c r="Q1245" i="1"/>
  <c r="M1245" i="1"/>
  <c r="L1245" i="1"/>
  <c r="V1244" i="1"/>
  <c r="Z1244" i="1" s="1"/>
  <c r="U1244" i="1"/>
  <c r="T1244" i="1"/>
  <c r="S1244" i="1"/>
  <c r="R1244" i="1"/>
  <c r="Q1244" i="1"/>
  <c r="M1244" i="1"/>
  <c r="L1244" i="1"/>
  <c r="V1243" i="1"/>
  <c r="Z1243" i="1" s="1"/>
  <c r="U1243" i="1"/>
  <c r="T1243" i="1"/>
  <c r="W1243" i="1" s="1"/>
  <c r="S1243" i="1"/>
  <c r="R1243" i="1"/>
  <c r="Q1243" i="1"/>
  <c r="M1243" i="1"/>
  <c r="L1243" i="1"/>
  <c r="V1242" i="1"/>
  <c r="U1242" i="1"/>
  <c r="T1242" i="1"/>
  <c r="W1242" i="1" s="1"/>
  <c r="S1242" i="1"/>
  <c r="R1242" i="1"/>
  <c r="Q1242" i="1"/>
  <c r="M1242" i="1"/>
  <c r="L1242" i="1"/>
  <c r="V1241" i="1"/>
  <c r="Z1241" i="1" s="1"/>
  <c r="U1241" i="1"/>
  <c r="T1241" i="1"/>
  <c r="W1241" i="1" s="1"/>
  <c r="S1241" i="1"/>
  <c r="R1241" i="1"/>
  <c r="Q1241" i="1"/>
  <c r="M1241" i="1"/>
  <c r="L1241" i="1"/>
  <c r="V1240" i="1"/>
  <c r="Z1240" i="1" s="1"/>
  <c r="U1240" i="1"/>
  <c r="T1240" i="1"/>
  <c r="W1240" i="1" s="1"/>
  <c r="S1240" i="1"/>
  <c r="R1240" i="1"/>
  <c r="Q1240" i="1"/>
  <c r="M1240" i="1"/>
  <c r="L1240" i="1"/>
  <c r="V1239" i="1"/>
  <c r="Z1239" i="1" s="1"/>
  <c r="U1239" i="1"/>
  <c r="T1239" i="1"/>
  <c r="S1239" i="1"/>
  <c r="R1239" i="1"/>
  <c r="Q1239" i="1"/>
  <c r="M1239" i="1"/>
  <c r="L1239" i="1"/>
  <c r="V1238" i="1"/>
  <c r="Z1238" i="1" s="1"/>
  <c r="U1238" i="1"/>
  <c r="T1238" i="1"/>
  <c r="W1238" i="1" s="1"/>
  <c r="S1238" i="1"/>
  <c r="R1238" i="1"/>
  <c r="Q1238" i="1"/>
  <c r="M1238" i="1"/>
  <c r="L1238" i="1"/>
  <c r="V1237" i="1"/>
  <c r="Z1237" i="1" s="1"/>
  <c r="U1237" i="1"/>
  <c r="T1237" i="1"/>
  <c r="S1237" i="1"/>
  <c r="R1237" i="1"/>
  <c r="Q1237" i="1"/>
  <c r="M1237" i="1"/>
  <c r="L1237" i="1"/>
  <c r="V1236" i="1"/>
  <c r="Z1236" i="1" s="1"/>
  <c r="U1236" i="1"/>
  <c r="T1236" i="1"/>
  <c r="W1236" i="1" s="1"/>
  <c r="S1236" i="1"/>
  <c r="R1236" i="1"/>
  <c r="Q1236" i="1"/>
  <c r="M1236" i="1"/>
  <c r="L1236" i="1"/>
  <c r="V1235" i="1"/>
  <c r="Z1235" i="1" s="1"/>
  <c r="U1235" i="1"/>
  <c r="T1235" i="1"/>
  <c r="W1235" i="1" s="1"/>
  <c r="S1235" i="1"/>
  <c r="R1235" i="1"/>
  <c r="Q1235" i="1"/>
  <c r="M1235" i="1"/>
  <c r="L1235" i="1"/>
  <c r="V1234" i="1"/>
  <c r="U1234" i="1"/>
  <c r="T1234" i="1"/>
  <c r="S1234" i="1"/>
  <c r="R1234" i="1"/>
  <c r="Q1234" i="1"/>
  <c r="M1234" i="1"/>
  <c r="L1234" i="1"/>
  <c r="V1233" i="1"/>
  <c r="Z1233" i="1" s="1"/>
  <c r="U1233" i="1"/>
  <c r="T1233" i="1"/>
  <c r="W1233" i="1" s="1"/>
  <c r="S1233" i="1"/>
  <c r="R1233" i="1"/>
  <c r="Q1233" i="1"/>
  <c r="M1233" i="1"/>
  <c r="L1233" i="1"/>
  <c r="V1232" i="1"/>
  <c r="Z1232" i="1" s="1"/>
  <c r="U1232" i="1"/>
  <c r="T1232" i="1"/>
  <c r="W1232" i="1" s="1"/>
  <c r="S1232" i="1"/>
  <c r="R1232" i="1"/>
  <c r="Q1232" i="1"/>
  <c r="M1232" i="1"/>
  <c r="L1232" i="1"/>
  <c r="V1231" i="1"/>
  <c r="Z1231" i="1" s="1"/>
  <c r="U1231" i="1"/>
  <c r="T1231" i="1"/>
  <c r="S1231" i="1"/>
  <c r="R1231" i="1"/>
  <c r="Q1231" i="1"/>
  <c r="M1231" i="1"/>
  <c r="L1231" i="1"/>
  <c r="V1230" i="1"/>
  <c r="Z1230" i="1" s="1"/>
  <c r="U1230" i="1"/>
  <c r="T1230" i="1"/>
  <c r="W1230" i="1" s="1"/>
  <c r="S1230" i="1"/>
  <c r="R1230" i="1"/>
  <c r="Q1230" i="1"/>
  <c r="M1230" i="1"/>
  <c r="L1230" i="1"/>
  <c r="V1229" i="1"/>
  <c r="Z1229" i="1" s="1"/>
  <c r="U1229" i="1"/>
  <c r="T1229" i="1"/>
  <c r="S1229" i="1"/>
  <c r="R1229" i="1"/>
  <c r="Q1229" i="1"/>
  <c r="M1229" i="1"/>
  <c r="L1229" i="1"/>
  <c r="V1228" i="1"/>
  <c r="Z1228" i="1" s="1"/>
  <c r="U1228" i="1"/>
  <c r="T1228" i="1"/>
  <c r="S1228" i="1"/>
  <c r="R1228" i="1"/>
  <c r="Q1228" i="1"/>
  <c r="M1228" i="1"/>
  <c r="L1228" i="1"/>
  <c r="V1227" i="1"/>
  <c r="Z1227" i="1" s="1"/>
  <c r="U1227" i="1"/>
  <c r="T1227" i="1"/>
  <c r="S1227" i="1"/>
  <c r="R1227" i="1"/>
  <c r="Q1227" i="1"/>
  <c r="M1227" i="1"/>
  <c r="L1227" i="1"/>
  <c r="V1226" i="1"/>
  <c r="U1226" i="1"/>
  <c r="T1226" i="1"/>
  <c r="W1226" i="1" s="1"/>
  <c r="S1226" i="1"/>
  <c r="R1226" i="1"/>
  <c r="Q1226" i="1"/>
  <c r="M1226" i="1"/>
  <c r="L1226" i="1"/>
  <c r="V1225" i="1"/>
  <c r="Z1225" i="1" s="1"/>
  <c r="U1225" i="1"/>
  <c r="T1225" i="1"/>
  <c r="W1225" i="1" s="1"/>
  <c r="S1225" i="1"/>
  <c r="R1225" i="1"/>
  <c r="Q1225" i="1"/>
  <c r="M1225" i="1"/>
  <c r="L1225" i="1"/>
  <c r="V1224" i="1"/>
  <c r="Z1224" i="1" s="1"/>
  <c r="U1224" i="1"/>
  <c r="T1224" i="1"/>
  <c r="W1224" i="1" s="1"/>
  <c r="S1224" i="1"/>
  <c r="R1224" i="1"/>
  <c r="Q1224" i="1"/>
  <c r="M1224" i="1"/>
  <c r="L1224" i="1"/>
  <c r="V1223" i="1"/>
  <c r="Z1223" i="1" s="1"/>
  <c r="U1223" i="1"/>
  <c r="T1223" i="1"/>
  <c r="W1223" i="1" s="1"/>
  <c r="S1223" i="1"/>
  <c r="R1223" i="1"/>
  <c r="Q1223" i="1"/>
  <c r="M1223" i="1"/>
  <c r="L1223" i="1"/>
  <c r="V1222" i="1"/>
  <c r="Z1222" i="1" s="1"/>
  <c r="U1222" i="1"/>
  <c r="T1222" i="1"/>
  <c r="W1222" i="1" s="1"/>
  <c r="S1222" i="1"/>
  <c r="R1222" i="1"/>
  <c r="Q1222" i="1"/>
  <c r="M1222" i="1"/>
  <c r="L1222" i="1"/>
  <c r="V1221" i="1"/>
  <c r="Z1221" i="1" s="1"/>
  <c r="U1221" i="1"/>
  <c r="T1221" i="1"/>
  <c r="S1221" i="1"/>
  <c r="R1221" i="1"/>
  <c r="Q1221" i="1"/>
  <c r="M1221" i="1"/>
  <c r="L1221" i="1"/>
  <c r="V1220" i="1"/>
  <c r="Z1220" i="1" s="1"/>
  <c r="U1220" i="1"/>
  <c r="T1220" i="1"/>
  <c r="S1220" i="1"/>
  <c r="R1220" i="1"/>
  <c r="Q1220" i="1"/>
  <c r="M1220" i="1"/>
  <c r="L1220" i="1"/>
  <c r="V1219" i="1"/>
  <c r="Z1219" i="1" s="1"/>
  <c r="U1219" i="1"/>
  <c r="T1219" i="1"/>
  <c r="S1219" i="1"/>
  <c r="R1219" i="1"/>
  <c r="Q1219" i="1"/>
  <c r="M1219" i="1"/>
  <c r="L1219" i="1"/>
  <c r="V1218" i="1"/>
  <c r="U1218" i="1"/>
  <c r="T1218" i="1"/>
  <c r="S1218" i="1"/>
  <c r="R1218" i="1"/>
  <c r="Q1218" i="1"/>
  <c r="M1218" i="1"/>
  <c r="L1218" i="1"/>
  <c r="V1217" i="1"/>
  <c r="Z1217" i="1" s="1"/>
  <c r="U1217" i="1"/>
  <c r="T1217" i="1"/>
  <c r="S1217" i="1"/>
  <c r="R1217" i="1"/>
  <c r="Q1217" i="1"/>
  <c r="M1217" i="1"/>
  <c r="L1217" i="1"/>
  <c r="V1216" i="1"/>
  <c r="Z1216" i="1" s="1"/>
  <c r="U1216" i="1"/>
  <c r="T1216" i="1"/>
  <c r="W1216" i="1" s="1"/>
  <c r="S1216" i="1"/>
  <c r="R1216" i="1"/>
  <c r="Q1216" i="1"/>
  <c r="M1216" i="1"/>
  <c r="L1216" i="1"/>
  <c r="V1215" i="1"/>
  <c r="Z1215" i="1" s="1"/>
  <c r="U1215" i="1"/>
  <c r="T1215" i="1"/>
  <c r="W1215" i="1" s="1"/>
  <c r="S1215" i="1"/>
  <c r="R1215" i="1"/>
  <c r="Q1215" i="1"/>
  <c r="M1215" i="1"/>
  <c r="L1215" i="1"/>
  <c r="V1214" i="1"/>
  <c r="U1214" i="1"/>
  <c r="T1214" i="1"/>
  <c r="W1214" i="1" s="1"/>
  <c r="S1214" i="1"/>
  <c r="R1214" i="1"/>
  <c r="Q1214" i="1"/>
  <c r="M1214" i="1"/>
  <c r="L1214" i="1"/>
  <c r="V1213" i="1"/>
  <c r="Z1213" i="1" s="1"/>
  <c r="U1213" i="1"/>
  <c r="T1213" i="1"/>
  <c r="W1213" i="1" s="1"/>
  <c r="S1213" i="1"/>
  <c r="R1213" i="1"/>
  <c r="Q1213" i="1"/>
  <c r="M1213" i="1"/>
  <c r="L1213" i="1"/>
  <c r="V1212" i="1"/>
  <c r="Z1212" i="1" s="1"/>
  <c r="U1212" i="1"/>
  <c r="T1212" i="1"/>
  <c r="S1212" i="1"/>
  <c r="R1212" i="1"/>
  <c r="Q1212" i="1"/>
  <c r="M1212" i="1"/>
  <c r="L1212" i="1"/>
  <c r="V1211" i="1"/>
  <c r="Z1211" i="1" s="1"/>
  <c r="U1211" i="1"/>
  <c r="T1211" i="1"/>
  <c r="W1211" i="1" s="1"/>
  <c r="S1211" i="1"/>
  <c r="R1211" i="1"/>
  <c r="Q1211" i="1"/>
  <c r="M1211" i="1"/>
  <c r="L1211" i="1"/>
  <c r="V1210" i="1"/>
  <c r="Z1210" i="1" s="1"/>
  <c r="U1210" i="1"/>
  <c r="T1210" i="1"/>
  <c r="S1210" i="1"/>
  <c r="R1210" i="1"/>
  <c r="Q1210" i="1"/>
  <c r="M1210" i="1"/>
  <c r="L1210" i="1"/>
  <c r="V1209" i="1"/>
  <c r="Z1209" i="1" s="1"/>
  <c r="U1209" i="1"/>
  <c r="T1209" i="1"/>
  <c r="S1209" i="1"/>
  <c r="R1209" i="1"/>
  <c r="Q1209" i="1"/>
  <c r="M1209" i="1"/>
  <c r="L1209" i="1"/>
  <c r="V1208" i="1"/>
  <c r="Z1208" i="1" s="1"/>
  <c r="U1208" i="1"/>
  <c r="T1208" i="1"/>
  <c r="W1208" i="1" s="1"/>
  <c r="S1208" i="1"/>
  <c r="R1208" i="1"/>
  <c r="Q1208" i="1"/>
  <c r="M1208" i="1"/>
  <c r="L1208" i="1"/>
  <c r="V1207" i="1"/>
  <c r="Z1207" i="1" s="1"/>
  <c r="U1207" i="1"/>
  <c r="T1207" i="1"/>
  <c r="S1207" i="1"/>
  <c r="R1207" i="1"/>
  <c r="Q1207" i="1"/>
  <c r="M1207" i="1"/>
  <c r="L1207" i="1"/>
  <c r="V1206" i="1"/>
  <c r="U1206" i="1"/>
  <c r="T1206" i="1"/>
  <c r="W1206" i="1" s="1"/>
  <c r="S1206" i="1"/>
  <c r="R1206" i="1"/>
  <c r="Q1206" i="1"/>
  <c r="M1206" i="1"/>
  <c r="L1206" i="1"/>
  <c r="V1205" i="1"/>
  <c r="Z1205" i="1" s="1"/>
  <c r="U1205" i="1"/>
  <c r="T1205" i="1"/>
  <c r="W1205" i="1" s="1"/>
  <c r="S1205" i="1"/>
  <c r="R1205" i="1"/>
  <c r="Q1205" i="1"/>
  <c r="M1205" i="1"/>
  <c r="L1205" i="1"/>
  <c r="V1204" i="1"/>
  <c r="Z1204" i="1" s="1"/>
  <c r="U1204" i="1"/>
  <c r="T1204" i="1"/>
  <c r="S1204" i="1"/>
  <c r="R1204" i="1"/>
  <c r="Q1204" i="1"/>
  <c r="M1204" i="1"/>
  <c r="L1204" i="1"/>
  <c r="V1203" i="1"/>
  <c r="Z1203" i="1" s="1"/>
  <c r="U1203" i="1"/>
  <c r="T1203" i="1"/>
  <c r="W1203" i="1" s="1"/>
  <c r="S1203" i="1"/>
  <c r="R1203" i="1"/>
  <c r="Q1203" i="1"/>
  <c r="M1203" i="1"/>
  <c r="L1203" i="1"/>
  <c r="V1202" i="1"/>
  <c r="U1202" i="1"/>
  <c r="T1202" i="1"/>
  <c r="S1202" i="1"/>
  <c r="R1202" i="1"/>
  <c r="Q1202" i="1"/>
  <c r="M1202" i="1"/>
  <c r="L1202" i="1"/>
  <c r="V1201" i="1"/>
  <c r="Z1201" i="1" s="1"/>
  <c r="U1201" i="1"/>
  <c r="T1201" i="1"/>
  <c r="W1201" i="1" s="1"/>
  <c r="S1201" i="1"/>
  <c r="R1201" i="1"/>
  <c r="Q1201" i="1"/>
  <c r="M1201" i="1"/>
  <c r="L1201" i="1"/>
  <c r="V1200" i="1"/>
  <c r="Z1200" i="1" s="1"/>
  <c r="U1200" i="1"/>
  <c r="T1200" i="1"/>
  <c r="S1200" i="1"/>
  <c r="R1200" i="1"/>
  <c r="Q1200" i="1"/>
  <c r="M1200" i="1"/>
  <c r="L1200" i="1"/>
  <c r="V1199" i="1"/>
  <c r="Z1199" i="1" s="1"/>
  <c r="U1199" i="1"/>
  <c r="T1199" i="1"/>
  <c r="W1199" i="1" s="1"/>
  <c r="S1199" i="1"/>
  <c r="R1199" i="1"/>
  <c r="Q1199" i="1"/>
  <c r="M1199" i="1"/>
  <c r="L1199" i="1"/>
  <c r="V1198" i="1"/>
  <c r="Z1198" i="1" s="1"/>
  <c r="U1198" i="1"/>
  <c r="T1198" i="1"/>
  <c r="W1198" i="1" s="1"/>
  <c r="S1198" i="1"/>
  <c r="R1198" i="1"/>
  <c r="Q1198" i="1"/>
  <c r="M1198" i="1"/>
  <c r="L1198" i="1"/>
  <c r="V1197" i="1"/>
  <c r="Z1197" i="1" s="1"/>
  <c r="U1197" i="1"/>
  <c r="T1197" i="1"/>
  <c r="S1197" i="1"/>
  <c r="R1197" i="1"/>
  <c r="Q1197" i="1"/>
  <c r="M1197" i="1"/>
  <c r="L1197" i="1"/>
  <c r="V1196" i="1"/>
  <c r="Z1196" i="1" s="1"/>
  <c r="U1196" i="1"/>
  <c r="T1196" i="1"/>
  <c r="W1196" i="1" s="1"/>
  <c r="S1196" i="1"/>
  <c r="R1196" i="1"/>
  <c r="Q1196" i="1"/>
  <c r="M1196" i="1"/>
  <c r="L1196" i="1"/>
  <c r="V1195" i="1"/>
  <c r="Z1195" i="1" s="1"/>
  <c r="U1195" i="1"/>
  <c r="T1195" i="1"/>
  <c r="W1195" i="1" s="1"/>
  <c r="S1195" i="1"/>
  <c r="R1195" i="1"/>
  <c r="Q1195" i="1"/>
  <c r="M1195" i="1"/>
  <c r="L1195" i="1"/>
  <c r="V1194" i="1"/>
  <c r="U1194" i="1"/>
  <c r="T1194" i="1"/>
  <c r="S1194" i="1"/>
  <c r="R1194" i="1"/>
  <c r="Q1194" i="1"/>
  <c r="M1194" i="1"/>
  <c r="L1194" i="1"/>
  <c r="V1193" i="1"/>
  <c r="Z1193" i="1" s="1"/>
  <c r="U1193" i="1"/>
  <c r="T1193" i="1"/>
  <c r="W1193" i="1" s="1"/>
  <c r="S1193" i="1"/>
  <c r="R1193" i="1"/>
  <c r="Q1193" i="1"/>
  <c r="M1193" i="1"/>
  <c r="L1193" i="1"/>
  <c r="V1192" i="1"/>
  <c r="Z1192" i="1" s="1"/>
  <c r="U1192" i="1"/>
  <c r="T1192" i="1"/>
  <c r="S1192" i="1"/>
  <c r="R1192" i="1"/>
  <c r="Q1192" i="1"/>
  <c r="M1192" i="1"/>
  <c r="L1192" i="1"/>
  <c r="V1191" i="1"/>
  <c r="Z1191" i="1" s="1"/>
  <c r="U1191" i="1"/>
  <c r="T1191" i="1"/>
  <c r="S1191" i="1"/>
  <c r="R1191" i="1"/>
  <c r="Q1191" i="1"/>
  <c r="M1191" i="1"/>
  <c r="L1191" i="1"/>
  <c r="V1190" i="1"/>
  <c r="U1190" i="1"/>
  <c r="T1190" i="1"/>
  <c r="S1190" i="1"/>
  <c r="R1190" i="1"/>
  <c r="Q1190" i="1"/>
  <c r="M1190" i="1"/>
  <c r="L1190" i="1"/>
  <c r="V1189" i="1"/>
  <c r="Z1189" i="1" s="1"/>
  <c r="U1189" i="1"/>
  <c r="T1189" i="1"/>
  <c r="W1189" i="1" s="1"/>
  <c r="S1189" i="1"/>
  <c r="R1189" i="1"/>
  <c r="Q1189" i="1"/>
  <c r="M1189" i="1"/>
  <c r="L1189" i="1"/>
  <c r="V1188" i="1"/>
  <c r="Z1188" i="1" s="1"/>
  <c r="U1188" i="1"/>
  <c r="T1188" i="1"/>
  <c r="W1188" i="1" s="1"/>
  <c r="S1188" i="1"/>
  <c r="R1188" i="1"/>
  <c r="Q1188" i="1"/>
  <c r="M1188" i="1"/>
  <c r="L1188" i="1"/>
  <c r="V1187" i="1"/>
  <c r="Z1187" i="1" s="1"/>
  <c r="U1187" i="1"/>
  <c r="T1187" i="1"/>
  <c r="W1187" i="1" s="1"/>
  <c r="S1187" i="1"/>
  <c r="R1187" i="1"/>
  <c r="Q1187" i="1"/>
  <c r="M1187" i="1"/>
  <c r="L1187" i="1"/>
  <c r="V1186" i="1"/>
  <c r="Z1186" i="1" s="1"/>
  <c r="U1186" i="1"/>
  <c r="T1186" i="1"/>
  <c r="W1186" i="1" s="1"/>
  <c r="S1186" i="1"/>
  <c r="R1186" i="1"/>
  <c r="Q1186" i="1"/>
  <c r="M1186" i="1"/>
  <c r="L1186" i="1"/>
  <c r="V1185" i="1"/>
  <c r="Z1185" i="1" s="1"/>
  <c r="U1185" i="1"/>
  <c r="T1185" i="1"/>
  <c r="W1185" i="1" s="1"/>
  <c r="S1185" i="1"/>
  <c r="R1185" i="1"/>
  <c r="Q1185" i="1"/>
  <c r="M1185" i="1"/>
  <c r="L1185" i="1"/>
  <c r="V1184" i="1"/>
  <c r="Z1184" i="1" s="1"/>
  <c r="U1184" i="1"/>
  <c r="T1184" i="1"/>
  <c r="W1184" i="1" s="1"/>
  <c r="S1184" i="1"/>
  <c r="R1184" i="1"/>
  <c r="Q1184" i="1"/>
  <c r="M1184" i="1"/>
  <c r="L1184" i="1"/>
  <c r="V1183" i="1"/>
  <c r="Z1183" i="1" s="1"/>
  <c r="U1183" i="1"/>
  <c r="T1183" i="1"/>
  <c r="S1183" i="1"/>
  <c r="R1183" i="1"/>
  <c r="Q1183" i="1"/>
  <c r="M1183" i="1"/>
  <c r="L1183" i="1"/>
  <c r="V1182" i="1"/>
  <c r="Z1182" i="1" s="1"/>
  <c r="U1182" i="1"/>
  <c r="T1182" i="1"/>
  <c r="S1182" i="1"/>
  <c r="R1182" i="1"/>
  <c r="Q1182" i="1"/>
  <c r="M1182" i="1"/>
  <c r="L1182" i="1"/>
  <c r="V1181" i="1"/>
  <c r="Z1181" i="1" s="1"/>
  <c r="U1181" i="1"/>
  <c r="T1181" i="1"/>
  <c r="S1181" i="1"/>
  <c r="R1181" i="1"/>
  <c r="Q1181" i="1"/>
  <c r="M1181" i="1"/>
  <c r="L1181" i="1"/>
  <c r="V1180" i="1"/>
  <c r="Z1180" i="1" s="1"/>
  <c r="U1180" i="1"/>
  <c r="T1180" i="1"/>
  <c r="S1180" i="1"/>
  <c r="R1180" i="1"/>
  <c r="Q1180" i="1"/>
  <c r="M1180" i="1"/>
  <c r="L1180" i="1"/>
  <c r="V1179" i="1"/>
  <c r="Z1179" i="1" s="1"/>
  <c r="U1179" i="1"/>
  <c r="T1179" i="1"/>
  <c r="W1179" i="1" s="1"/>
  <c r="S1179" i="1"/>
  <c r="R1179" i="1"/>
  <c r="Q1179" i="1"/>
  <c r="M1179" i="1"/>
  <c r="L1179" i="1"/>
  <c r="V1178" i="1"/>
  <c r="U1178" i="1"/>
  <c r="T1178" i="1"/>
  <c r="W1178" i="1" s="1"/>
  <c r="S1178" i="1"/>
  <c r="R1178" i="1"/>
  <c r="Q1178" i="1"/>
  <c r="M1178" i="1"/>
  <c r="L1178" i="1"/>
  <c r="V1177" i="1"/>
  <c r="Z1177" i="1" s="1"/>
  <c r="U1177" i="1"/>
  <c r="T1177" i="1"/>
  <c r="W1177" i="1" s="1"/>
  <c r="S1177" i="1"/>
  <c r="R1177" i="1"/>
  <c r="Q1177" i="1"/>
  <c r="M1177" i="1"/>
  <c r="L1177" i="1"/>
  <c r="V1176" i="1"/>
  <c r="Z1176" i="1" s="1"/>
  <c r="U1176" i="1"/>
  <c r="T1176" i="1"/>
  <c r="W1176" i="1" s="1"/>
  <c r="S1176" i="1"/>
  <c r="R1176" i="1"/>
  <c r="Q1176" i="1"/>
  <c r="M1176" i="1"/>
  <c r="L1176" i="1"/>
  <c r="V1175" i="1"/>
  <c r="Z1175" i="1" s="1"/>
  <c r="U1175" i="1"/>
  <c r="T1175" i="1"/>
  <c r="S1175" i="1"/>
  <c r="R1175" i="1"/>
  <c r="Q1175" i="1"/>
  <c r="M1175" i="1"/>
  <c r="L1175" i="1"/>
  <c r="V1174" i="1"/>
  <c r="Z1174" i="1" s="1"/>
  <c r="U1174" i="1"/>
  <c r="T1174" i="1"/>
  <c r="W1174" i="1" s="1"/>
  <c r="S1174" i="1"/>
  <c r="R1174" i="1"/>
  <c r="Q1174" i="1"/>
  <c r="M1174" i="1"/>
  <c r="L1174" i="1"/>
  <c r="V1173" i="1"/>
  <c r="Z1173" i="1" s="1"/>
  <c r="U1173" i="1"/>
  <c r="T1173" i="1"/>
  <c r="S1173" i="1"/>
  <c r="R1173" i="1"/>
  <c r="Q1173" i="1"/>
  <c r="M1173" i="1"/>
  <c r="L1173" i="1"/>
  <c r="V1172" i="1"/>
  <c r="Z1172" i="1" s="1"/>
  <c r="U1172" i="1"/>
  <c r="T1172" i="1"/>
  <c r="W1172" i="1" s="1"/>
  <c r="S1172" i="1"/>
  <c r="R1172" i="1"/>
  <c r="Q1172" i="1"/>
  <c r="M1172" i="1"/>
  <c r="L1172" i="1"/>
  <c r="V1171" i="1"/>
  <c r="Z1171" i="1" s="1"/>
  <c r="U1171" i="1"/>
  <c r="T1171" i="1"/>
  <c r="W1171" i="1" s="1"/>
  <c r="S1171" i="1"/>
  <c r="R1171" i="1"/>
  <c r="Q1171" i="1"/>
  <c r="M1171" i="1"/>
  <c r="L1171" i="1"/>
  <c r="V1170" i="1"/>
  <c r="U1170" i="1"/>
  <c r="T1170" i="1"/>
  <c r="S1170" i="1"/>
  <c r="R1170" i="1"/>
  <c r="Q1170" i="1"/>
  <c r="M1170" i="1"/>
  <c r="L1170" i="1"/>
  <c r="V1169" i="1"/>
  <c r="Z1169" i="1" s="1"/>
  <c r="U1169" i="1"/>
  <c r="T1169" i="1"/>
  <c r="W1169" i="1" s="1"/>
  <c r="S1169" i="1"/>
  <c r="R1169" i="1"/>
  <c r="Q1169" i="1"/>
  <c r="M1169" i="1"/>
  <c r="L1169" i="1"/>
  <c r="V1168" i="1"/>
  <c r="Z1168" i="1" s="1"/>
  <c r="U1168" i="1"/>
  <c r="T1168" i="1"/>
  <c r="W1168" i="1" s="1"/>
  <c r="S1168" i="1"/>
  <c r="R1168" i="1"/>
  <c r="Q1168" i="1"/>
  <c r="M1168" i="1"/>
  <c r="L1168" i="1"/>
  <c r="V1167" i="1"/>
  <c r="Z1167" i="1" s="1"/>
  <c r="U1167" i="1"/>
  <c r="T1167" i="1"/>
  <c r="S1167" i="1"/>
  <c r="R1167" i="1"/>
  <c r="Q1167" i="1"/>
  <c r="M1167" i="1"/>
  <c r="L1167" i="1"/>
  <c r="V1166" i="1"/>
  <c r="Z1166" i="1" s="1"/>
  <c r="U1166" i="1"/>
  <c r="T1166" i="1"/>
  <c r="W1166" i="1" s="1"/>
  <c r="S1166" i="1"/>
  <c r="R1166" i="1"/>
  <c r="Q1166" i="1"/>
  <c r="M1166" i="1"/>
  <c r="L1166" i="1"/>
  <c r="V1165" i="1"/>
  <c r="Z1165" i="1" s="1"/>
  <c r="U1165" i="1"/>
  <c r="T1165" i="1"/>
  <c r="S1165" i="1"/>
  <c r="R1165" i="1"/>
  <c r="Q1165" i="1"/>
  <c r="M1165" i="1"/>
  <c r="L1165" i="1"/>
  <c r="V1164" i="1"/>
  <c r="Z1164" i="1" s="1"/>
  <c r="U1164" i="1"/>
  <c r="T1164" i="1"/>
  <c r="S1164" i="1"/>
  <c r="R1164" i="1"/>
  <c r="Q1164" i="1"/>
  <c r="M1164" i="1"/>
  <c r="L1164" i="1"/>
  <c r="V1163" i="1"/>
  <c r="Z1163" i="1" s="1"/>
  <c r="U1163" i="1"/>
  <c r="T1163" i="1"/>
  <c r="S1163" i="1"/>
  <c r="R1163" i="1"/>
  <c r="Q1163" i="1"/>
  <c r="M1163" i="1"/>
  <c r="L1163" i="1"/>
  <c r="V1162" i="1"/>
  <c r="U1162" i="1"/>
  <c r="T1162" i="1"/>
  <c r="W1162" i="1" s="1"/>
  <c r="S1162" i="1"/>
  <c r="R1162" i="1"/>
  <c r="Q1162" i="1"/>
  <c r="M1162" i="1"/>
  <c r="L1162" i="1"/>
  <c r="V1161" i="1"/>
  <c r="Z1161" i="1" s="1"/>
  <c r="U1161" i="1"/>
  <c r="T1161" i="1"/>
  <c r="W1161" i="1" s="1"/>
  <c r="S1161" i="1"/>
  <c r="R1161" i="1"/>
  <c r="Q1161" i="1"/>
  <c r="M1161" i="1"/>
  <c r="L1161" i="1"/>
  <c r="V1160" i="1"/>
  <c r="Z1160" i="1" s="1"/>
  <c r="U1160" i="1"/>
  <c r="T1160" i="1"/>
  <c r="W1160" i="1" s="1"/>
  <c r="S1160" i="1"/>
  <c r="R1160" i="1"/>
  <c r="Q1160" i="1"/>
  <c r="M1160" i="1"/>
  <c r="L1160" i="1"/>
  <c r="V1159" i="1"/>
  <c r="Z1159" i="1" s="1"/>
  <c r="U1159" i="1"/>
  <c r="T1159" i="1"/>
  <c r="W1159" i="1" s="1"/>
  <c r="S1159" i="1"/>
  <c r="R1159" i="1"/>
  <c r="Q1159" i="1"/>
  <c r="M1159" i="1"/>
  <c r="L1159" i="1"/>
  <c r="V1158" i="1"/>
  <c r="Z1158" i="1" s="1"/>
  <c r="U1158" i="1"/>
  <c r="T1158" i="1"/>
  <c r="W1158" i="1" s="1"/>
  <c r="S1158" i="1"/>
  <c r="R1158" i="1"/>
  <c r="Q1158" i="1"/>
  <c r="M1158" i="1"/>
  <c r="L1158" i="1"/>
  <c r="V1157" i="1"/>
  <c r="Z1157" i="1" s="1"/>
  <c r="U1157" i="1"/>
  <c r="T1157" i="1"/>
  <c r="S1157" i="1"/>
  <c r="R1157" i="1"/>
  <c r="Q1157" i="1"/>
  <c r="M1157" i="1"/>
  <c r="L1157" i="1"/>
  <c r="V1156" i="1"/>
  <c r="Z1156" i="1" s="1"/>
  <c r="U1156" i="1"/>
  <c r="T1156" i="1"/>
  <c r="S1156" i="1"/>
  <c r="R1156" i="1"/>
  <c r="Q1156" i="1"/>
  <c r="M1156" i="1"/>
  <c r="L1156" i="1"/>
  <c r="V1155" i="1"/>
  <c r="Z1155" i="1" s="1"/>
  <c r="U1155" i="1"/>
  <c r="T1155" i="1"/>
  <c r="S1155" i="1"/>
  <c r="R1155" i="1"/>
  <c r="Q1155" i="1"/>
  <c r="M1155" i="1"/>
  <c r="L1155" i="1"/>
  <c r="V1154" i="1"/>
  <c r="U1154" i="1"/>
  <c r="T1154" i="1"/>
  <c r="S1154" i="1"/>
  <c r="R1154" i="1"/>
  <c r="Q1154" i="1"/>
  <c r="M1154" i="1"/>
  <c r="L1154" i="1"/>
  <c r="V1153" i="1"/>
  <c r="Z1153" i="1" s="1"/>
  <c r="U1153" i="1"/>
  <c r="T1153" i="1"/>
  <c r="S1153" i="1"/>
  <c r="R1153" i="1"/>
  <c r="Q1153" i="1"/>
  <c r="M1153" i="1"/>
  <c r="L1153" i="1"/>
  <c r="V1152" i="1"/>
  <c r="Z1152" i="1" s="1"/>
  <c r="U1152" i="1"/>
  <c r="T1152" i="1"/>
  <c r="W1152" i="1" s="1"/>
  <c r="S1152" i="1"/>
  <c r="R1152" i="1"/>
  <c r="Q1152" i="1"/>
  <c r="M1152" i="1"/>
  <c r="L1152" i="1"/>
  <c r="V1151" i="1"/>
  <c r="Z1151" i="1" s="1"/>
  <c r="U1151" i="1"/>
  <c r="T1151" i="1"/>
  <c r="W1151" i="1" s="1"/>
  <c r="S1151" i="1"/>
  <c r="R1151" i="1"/>
  <c r="Q1151" i="1"/>
  <c r="M1151" i="1"/>
  <c r="L1151" i="1"/>
  <c r="V1150" i="1"/>
  <c r="U1150" i="1"/>
  <c r="T1150" i="1"/>
  <c r="W1150" i="1" s="1"/>
  <c r="S1150" i="1"/>
  <c r="R1150" i="1"/>
  <c r="Q1150" i="1"/>
  <c r="M1150" i="1"/>
  <c r="L1150" i="1"/>
  <c r="V1149" i="1"/>
  <c r="Z1149" i="1" s="1"/>
  <c r="U1149" i="1"/>
  <c r="T1149" i="1"/>
  <c r="W1149" i="1" s="1"/>
  <c r="S1149" i="1"/>
  <c r="R1149" i="1"/>
  <c r="Q1149" i="1"/>
  <c r="M1149" i="1"/>
  <c r="L1149" i="1"/>
  <c r="V1148" i="1"/>
  <c r="Z1148" i="1" s="1"/>
  <c r="U1148" i="1"/>
  <c r="T1148" i="1"/>
  <c r="S1148" i="1"/>
  <c r="R1148" i="1"/>
  <c r="Q1148" i="1"/>
  <c r="M1148" i="1"/>
  <c r="L1148" i="1"/>
  <c r="V1147" i="1"/>
  <c r="Z1147" i="1" s="1"/>
  <c r="U1147" i="1"/>
  <c r="T1147" i="1"/>
  <c r="W1147" i="1" s="1"/>
  <c r="S1147" i="1"/>
  <c r="R1147" i="1"/>
  <c r="Q1147" i="1"/>
  <c r="M1147" i="1"/>
  <c r="L1147" i="1"/>
  <c r="V1146" i="1"/>
  <c r="Z1146" i="1" s="1"/>
  <c r="U1146" i="1"/>
  <c r="T1146" i="1"/>
  <c r="S1146" i="1"/>
  <c r="R1146" i="1"/>
  <c r="Q1146" i="1"/>
  <c r="M1146" i="1"/>
  <c r="L1146" i="1"/>
  <c r="V1145" i="1"/>
  <c r="Z1145" i="1" s="1"/>
  <c r="U1145" i="1"/>
  <c r="T1145" i="1"/>
  <c r="S1145" i="1"/>
  <c r="R1145" i="1"/>
  <c r="Q1145" i="1"/>
  <c r="M1145" i="1"/>
  <c r="L1145" i="1"/>
  <c r="V1144" i="1"/>
  <c r="Z1144" i="1" s="1"/>
  <c r="U1144" i="1"/>
  <c r="T1144" i="1"/>
  <c r="W1144" i="1" s="1"/>
  <c r="S1144" i="1"/>
  <c r="R1144" i="1"/>
  <c r="Q1144" i="1"/>
  <c r="M1144" i="1"/>
  <c r="L1144" i="1"/>
  <c r="V1143" i="1"/>
  <c r="Z1143" i="1" s="1"/>
  <c r="U1143" i="1"/>
  <c r="T1143" i="1"/>
  <c r="S1143" i="1"/>
  <c r="R1143" i="1"/>
  <c r="Q1143" i="1"/>
  <c r="M1143" i="1"/>
  <c r="L1143" i="1"/>
  <c r="V1142" i="1"/>
  <c r="U1142" i="1"/>
  <c r="T1142" i="1"/>
  <c r="W1142" i="1" s="1"/>
  <c r="S1142" i="1"/>
  <c r="R1142" i="1"/>
  <c r="Q1142" i="1"/>
  <c r="M1142" i="1"/>
  <c r="L1142" i="1"/>
  <c r="V1141" i="1"/>
  <c r="Z1141" i="1" s="1"/>
  <c r="U1141" i="1"/>
  <c r="T1141" i="1"/>
  <c r="W1141" i="1" s="1"/>
  <c r="S1141" i="1"/>
  <c r="R1141" i="1"/>
  <c r="Q1141" i="1"/>
  <c r="M1141" i="1"/>
  <c r="L1141" i="1"/>
  <c r="V1140" i="1"/>
  <c r="Z1140" i="1" s="1"/>
  <c r="U1140" i="1"/>
  <c r="T1140" i="1"/>
  <c r="S1140" i="1"/>
  <c r="R1140" i="1"/>
  <c r="Q1140" i="1"/>
  <c r="M1140" i="1"/>
  <c r="L1140" i="1"/>
  <c r="V1139" i="1"/>
  <c r="Z1139" i="1" s="1"/>
  <c r="U1139" i="1"/>
  <c r="T1139" i="1"/>
  <c r="W1139" i="1" s="1"/>
  <c r="S1139" i="1"/>
  <c r="R1139" i="1"/>
  <c r="Q1139" i="1"/>
  <c r="M1139" i="1"/>
  <c r="L1139" i="1"/>
  <c r="V1138" i="1"/>
  <c r="U1138" i="1"/>
  <c r="T1138" i="1"/>
  <c r="S1138" i="1"/>
  <c r="R1138" i="1"/>
  <c r="Q1138" i="1"/>
  <c r="M1138" i="1"/>
  <c r="L1138" i="1"/>
  <c r="V1137" i="1"/>
  <c r="Z1137" i="1" s="1"/>
  <c r="U1137" i="1"/>
  <c r="T1137" i="1"/>
  <c r="W1137" i="1" s="1"/>
  <c r="S1137" i="1"/>
  <c r="R1137" i="1"/>
  <c r="Q1137" i="1"/>
  <c r="M1137" i="1"/>
  <c r="L1137" i="1"/>
  <c r="V1136" i="1"/>
  <c r="Z1136" i="1" s="1"/>
  <c r="U1136" i="1"/>
  <c r="T1136" i="1"/>
  <c r="S1136" i="1"/>
  <c r="R1136" i="1"/>
  <c r="Q1136" i="1"/>
  <c r="M1136" i="1"/>
  <c r="L1136" i="1"/>
  <c r="V1135" i="1"/>
  <c r="Z1135" i="1" s="1"/>
  <c r="U1135" i="1"/>
  <c r="T1135" i="1"/>
  <c r="W1135" i="1" s="1"/>
  <c r="S1135" i="1"/>
  <c r="R1135" i="1"/>
  <c r="Q1135" i="1"/>
  <c r="M1135" i="1"/>
  <c r="L1135" i="1"/>
  <c r="V1134" i="1"/>
  <c r="Z1134" i="1" s="1"/>
  <c r="U1134" i="1"/>
  <c r="T1134" i="1"/>
  <c r="W1134" i="1" s="1"/>
  <c r="S1134" i="1"/>
  <c r="R1134" i="1"/>
  <c r="Q1134" i="1"/>
  <c r="M1134" i="1"/>
  <c r="L1134" i="1"/>
  <c r="V1133" i="1"/>
  <c r="U1133" i="1"/>
  <c r="T1133" i="1"/>
  <c r="S1133" i="1"/>
  <c r="R1133" i="1"/>
  <c r="Q1133" i="1"/>
  <c r="M1133" i="1"/>
  <c r="L1133" i="1"/>
  <c r="V1132" i="1"/>
  <c r="Z1132" i="1" s="1"/>
  <c r="U1132" i="1"/>
  <c r="T1132" i="1"/>
  <c r="W1132" i="1" s="1"/>
  <c r="S1132" i="1"/>
  <c r="R1132" i="1"/>
  <c r="Q1132" i="1"/>
  <c r="M1132" i="1"/>
  <c r="L1132" i="1"/>
  <c r="V1131" i="1"/>
  <c r="Z1131" i="1" s="1"/>
  <c r="U1131" i="1"/>
  <c r="T1131" i="1"/>
  <c r="W1131" i="1" s="1"/>
  <c r="S1131" i="1"/>
  <c r="R1131" i="1"/>
  <c r="Q1131" i="1"/>
  <c r="M1131" i="1"/>
  <c r="L1131" i="1"/>
  <c r="V1130" i="1"/>
  <c r="Z1130" i="1" s="1"/>
  <c r="U1130" i="1"/>
  <c r="T1130" i="1"/>
  <c r="W1130" i="1" s="1"/>
  <c r="S1130" i="1"/>
  <c r="R1130" i="1"/>
  <c r="Q1130" i="1"/>
  <c r="M1130" i="1"/>
  <c r="L1130" i="1"/>
  <c r="V1129" i="1"/>
  <c r="Z1129" i="1" s="1"/>
  <c r="U1129" i="1"/>
  <c r="T1129" i="1"/>
  <c r="S1129" i="1"/>
  <c r="R1129" i="1"/>
  <c r="Q1129" i="1"/>
  <c r="M1129" i="1"/>
  <c r="L1129" i="1"/>
  <c r="V1128" i="1"/>
  <c r="Z1128" i="1" s="1"/>
  <c r="U1128" i="1"/>
  <c r="T1128" i="1"/>
  <c r="W1128" i="1" s="1"/>
  <c r="S1128" i="1"/>
  <c r="R1128" i="1"/>
  <c r="Q1128" i="1"/>
  <c r="M1128" i="1"/>
  <c r="L1128" i="1"/>
  <c r="V1127" i="1"/>
  <c r="Z1127" i="1" s="1"/>
  <c r="U1127" i="1"/>
  <c r="T1127" i="1"/>
  <c r="W1127" i="1" s="1"/>
  <c r="S1127" i="1"/>
  <c r="R1127" i="1"/>
  <c r="Q1127" i="1"/>
  <c r="M1127" i="1"/>
  <c r="L1127" i="1"/>
  <c r="V1126" i="1"/>
  <c r="U1126" i="1"/>
  <c r="T1126" i="1"/>
  <c r="W1126" i="1" s="1"/>
  <c r="S1126" i="1"/>
  <c r="R1126" i="1"/>
  <c r="Q1126" i="1"/>
  <c r="M1126" i="1"/>
  <c r="L1126" i="1"/>
  <c r="V1125" i="1"/>
  <c r="Z1125" i="1" s="1"/>
  <c r="U1125" i="1"/>
  <c r="T1125" i="1"/>
  <c r="W1125" i="1" s="1"/>
  <c r="S1125" i="1"/>
  <c r="R1125" i="1"/>
  <c r="Q1125" i="1"/>
  <c r="M1125" i="1"/>
  <c r="L1125" i="1"/>
  <c r="V1124" i="1"/>
  <c r="Z1124" i="1" s="1"/>
  <c r="U1124" i="1"/>
  <c r="T1124" i="1"/>
  <c r="S1124" i="1"/>
  <c r="R1124" i="1"/>
  <c r="Q1124" i="1"/>
  <c r="M1124" i="1"/>
  <c r="L1124" i="1"/>
  <c r="V1123" i="1"/>
  <c r="Z1123" i="1" s="1"/>
  <c r="U1123" i="1"/>
  <c r="T1123" i="1"/>
  <c r="W1123" i="1" s="1"/>
  <c r="S1123" i="1"/>
  <c r="R1123" i="1"/>
  <c r="Q1123" i="1"/>
  <c r="M1123" i="1"/>
  <c r="L1123" i="1"/>
  <c r="V1122" i="1"/>
  <c r="Z1122" i="1" s="1"/>
  <c r="U1122" i="1"/>
  <c r="T1122" i="1"/>
  <c r="S1122" i="1"/>
  <c r="R1122" i="1"/>
  <c r="Q1122" i="1"/>
  <c r="M1122" i="1"/>
  <c r="L1122" i="1"/>
  <c r="V1121" i="1"/>
  <c r="U1121" i="1"/>
  <c r="T1121" i="1"/>
  <c r="W1121" i="1" s="1"/>
  <c r="S1121" i="1"/>
  <c r="R1121" i="1"/>
  <c r="Q1121" i="1"/>
  <c r="M1121" i="1"/>
  <c r="L1121" i="1"/>
  <c r="V1120" i="1"/>
  <c r="Z1120" i="1" s="1"/>
  <c r="U1120" i="1"/>
  <c r="T1120" i="1"/>
  <c r="W1120" i="1" s="1"/>
  <c r="S1120" i="1"/>
  <c r="R1120" i="1"/>
  <c r="Q1120" i="1"/>
  <c r="M1120" i="1"/>
  <c r="L1120" i="1"/>
  <c r="V1119" i="1"/>
  <c r="Z1119" i="1" s="1"/>
  <c r="U1119" i="1"/>
  <c r="T1119" i="1"/>
  <c r="W1119" i="1" s="1"/>
  <c r="S1119" i="1"/>
  <c r="R1119" i="1"/>
  <c r="Q1119" i="1"/>
  <c r="M1119" i="1"/>
  <c r="L1119" i="1"/>
  <c r="V1118" i="1"/>
  <c r="Z1118" i="1" s="1"/>
  <c r="U1118" i="1"/>
  <c r="T1118" i="1"/>
  <c r="W1118" i="1" s="1"/>
  <c r="S1118" i="1"/>
  <c r="R1118" i="1"/>
  <c r="Q1118" i="1"/>
  <c r="M1118" i="1"/>
  <c r="L1118" i="1"/>
  <c r="V1117" i="1"/>
  <c r="U1117" i="1"/>
  <c r="T1117" i="1"/>
  <c r="S1117" i="1"/>
  <c r="R1117" i="1"/>
  <c r="Q1117" i="1"/>
  <c r="M1117" i="1"/>
  <c r="L1117" i="1"/>
  <c r="V1116" i="1"/>
  <c r="Z1116" i="1" s="1"/>
  <c r="U1116" i="1"/>
  <c r="T1116" i="1"/>
  <c r="S1116" i="1"/>
  <c r="R1116" i="1"/>
  <c r="Q1116" i="1"/>
  <c r="M1116" i="1"/>
  <c r="L1116" i="1"/>
  <c r="V1115" i="1"/>
  <c r="Z1115" i="1" s="1"/>
  <c r="U1115" i="1"/>
  <c r="T1115" i="1"/>
  <c r="S1115" i="1"/>
  <c r="R1115" i="1"/>
  <c r="Q1115" i="1"/>
  <c r="M1115" i="1"/>
  <c r="L1115" i="1"/>
  <c r="V1114" i="1"/>
  <c r="U1114" i="1"/>
  <c r="T1114" i="1"/>
  <c r="W1114" i="1" s="1"/>
  <c r="S1114" i="1"/>
  <c r="R1114" i="1"/>
  <c r="Q1114" i="1"/>
  <c r="M1114" i="1"/>
  <c r="L1114" i="1"/>
  <c r="V1113" i="1"/>
  <c r="U1113" i="1"/>
  <c r="T1113" i="1"/>
  <c r="W1113" i="1" s="1"/>
  <c r="S1113" i="1"/>
  <c r="R1113" i="1"/>
  <c r="Q1113" i="1"/>
  <c r="M1113" i="1"/>
  <c r="L1113" i="1"/>
  <c r="V1112" i="1"/>
  <c r="Z1112" i="1" s="1"/>
  <c r="U1112" i="1"/>
  <c r="T1112" i="1"/>
  <c r="S1112" i="1"/>
  <c r="R1112" i="1"/>
  <c r="Q1112" i="1"/>
  <c r="M1112" i="1"/>
  <c r="L1112" i="1"/>
  <c r="V1111" i="1"/>
  <c r="Z1111" i="1" s="1"/>
  <c r="U1111" i="1"/>
  <c r="T1111" i="1"/>
  <c r="W1111" i="1" s="1"/>
  <c r="S1111" i="1"/>
  <c r="R1111" i="1"/>
  <c r="Q1111" i="1"/>
  <c r="M1111" i="1"/>
  <c r="L1111" i="1"/>
  <c r="V1110" i="1"/>
  <c r="Z1110" i="1" s="1"/>
  <c r="U1110" i="1"/>
  <c r="T1110" i="1"/>
  <c r="S1110" i="1"/>
  <c r="R1110" i="1"/>
  <c r="Q1110" i="1"/>
  <c r="M1110" i="1"/>
  <c r="L1110" i="1"/>
  <c r="V1109" i="1"/>
  <c r="U1109" i="1"/>
  <c r="T1109" i="1"/>
  <c r="S1109" i="1"/>
  <c r="R1109" i="1"/>
  <c r="Q1109" i="1"/>
  <c r="M1109" i="1"/>
  <c r="L1109" i="1"/>
  <c r="V1108" i="1"/>
  <c r="Z1108" i="1" s="1"/>
  <c r="U1108" i="1"/>
  <c r="T1108" i="1"/>
  <c r="S1108" i="1"/>
  <c r="R1108" i="1"/>
  <c r="Q1108" i="1"/>
  <c r="M1108" i="1"/>
  <c r="L1108" i="1"/>
  <c r="V1107" i="1"/>
  <c r="Z1107" i="1" s="1"/>
  <c r="U1107" i="1"/>
  <c r="T1107" i="1"/>
  <c r="W1107" i="1" s="1"/>
  <c r="S1107" i="1"/>
  <c r="R1107" i="1"/>
  <c r="Q1107" i="1"/>
  <c r="M1107" i="1"/>
  <c r="L1107" i="1"/>
  <c r="V1106" i="1"/>
  <c r="Z1106" i="1" s="1"/>
  <c r="U1106" i="1"/>
  <c r="T1106" i="1"/>
  <c r="W1106" i="1" s="1"/>
  <c r="S1106" i="1"/>
  <c r="R1106" i="1"/>
  <c r="Q1106" i="1"/>
  <c r="M1106" i="1"/>
  <c r="L1106" i="1"/>
  <c r="V1105" i="1"/>
  <c r="U1105" i="1"/>
  <c r="T1105" i="1"/>
  <c r="S1105" i="1"/>
  <c r="R1105" i="1"/>
  <c r="Q1105" i="1"/>
  <c r="M1105" i="1"/>
  <c r="L1105" i="1"/>
  <c r="V1104" i="1"/>
  <c r="Z1104" i="1" s="1"/>
  <c r="U1104" i="1"/>
  <c r="T1104" i="1"/>
  <c r="S1104" i="1"/>
  <c r="R1104" i="1"/>
  <c r="Q1104" i="1"/>
  <c r="M1104" i="1"/>
  <c r="L1104" i="1"/>
  <c r="V1103" i="1"/>
  <c r="Z1103" i="1" s="1"/>
  <c r="U1103" i="1"/>
  <c r="T1103" i="1"/>
  <c r="S1103" i="1"/>
  <c r="R1103" i="1"/>
  <c r="Q1103" i="1"/>
  <c r="M1103" i="1"/>
  <c r="L1103" i="1"/>
  <c r="V1102" i="1"/>
  <c r="Z1102" i="1" s="1"/>
  <c r="U1102" i="1"/>
  <c r="T1102" i="1"/>
  <c r="W1102" i="1" s="1"/>
  <c r="S1102" i="1"/>
  <c r="R1102" i="1"/>
  <c r="Q1102" i="1"/>
  <c r="M1102" i="1"/>
  <c r="L1102" i="1"/>
  <c r="V1101" i="1"/>
  <c r="U1101" i="1"/>
  <c r="T1101" i="1"/>
  <c r="S1101" i="1"/>
  <c r="R1101" i="1"/>
  <c r="Q1101" i="1"/>
  <c r="M1101" i="1"/>
  <c r="L1101" i="1"/>
  <c r="V1100" i="1"/>
  <c r="Z1100" i="1" s="1"/>
  <c r="U1100" i="1"/>
  <c r="T1100" i="1"/>
  <c r="W1100" i="1" s="1"/>
  <c r="S1100" i="1"/>
  <c r="R1100" i="1"/>
  <c r="Q1100" i="1"/>
  <c r="M1100" i="1"/>
  <c r="L1100" i="1"/>
  <c r="V1099" i="1"/>
  <c r="Z1099" i="1" s="1"/>
  <c r="U1099" i="1"/>
  <c r="T1099" i="1"/>
  <c r="W1099" i="1" s="1"/>
  <c r="S1099" i="1"/>
  <c r="R1099" i="1"/>
  <c r="Q1099" i="1"/>
  <c r="M1099" i="1"/>
  <c r="L1099" i="1"/>
  <c r="V1098" i="1"/>
  <c r="Z1098" i="1" s="1"/>
  <c r="U1098" i="1"/>
  <c r="T1098" i="1"/>
  <c r="W1098" i="1" s="1"/>
  <c r="S1098" i="1"/>
  <c r="R1098" i="1"/>
  <c r="Q1098" i="1"/>
  <c r="M1098" i="1"/>
  <c r="L1098" i="1"/>
  <c r="V1097" i="1"/>
  <c r="Z1097" i="1" s="1"/>
  <c r="U1097" i="1"/>
  <c r="T1097" i="1"/>
  <c r="S1097" i="1"/>
  <c r="R1097" i="1"/>
  <c r="Q1097" i="1"/>
  <c r="M1097" i="1"/>
  <c r="L1097" i="1"/>
  <c r="V1096" i="1"/>
  <c r="Z1096" i="1" s="1"/>
  <c r="U1096" i="1"/>
  <c r="T1096" i="1"/>
  <c r="W1096" i="1" s="1"/>
  <c r="S1096" i="1"/>
  <c r="R1096" i="1"/>
  <c r="Q1096" i="1"/>
  <c r="M1096" i="1"/>
  <c r="L1096" i="1"/>
  <c r="V1095" i="1"/>
  <c r="Z1095" i="1" s="1"/>
  <c r="U1095" i="1"/>
  <c r="T1095" i="1"/>
  <c r="W1095" i="1" s="1"/>
  <c r="S1095" i="1"/>
  <c r="R1095" i="1"/>
  <c r="Q1095" i="1"/>
  <c r="M1095" i="1"/>
  <c r="L1095" i="1"/>
  <c r="V1094" i="1"/>
  <c r="U1094" i="1"/>
  <c r="T1094" i="1"/>
  <c r="W1094" i="1" s="1"/>
  <c r="S1094" i="1"/>
  <c r="R1094" i="1"/>
  <c r="Q1094" i="1"/>
  <c r="M1094" i="1"/>
  <c r="L1094" i="1"/>
  <c r="V1093" i="1"/>
  <c r="Z1093" i="1" s="1"/>
  <c r="U1093" i="1"/>
  <c r="T1093" i="1"/>
  <c r="W1093" i="1" s="1"/>
  <c r="S1093" i="1"/>
  <c r="R1093" i="1"/>
  <c r="Q1093" i="1"/>
  <c r="M1093" i="1"/>
  <c r="L1093" i="1"/>
  <c r="V1092" i="1"/>
  <c r="Z1092" i="1" s="1"/>
  <c r="U1092" i="1"/>
  <c r="T1092" i="1"/>
  <c r="S1092" i="1"/>
  <c r="R1092" i="1"/>
  <c r="Q1092" i="1"/>
  <c r="M1092" i="1"/>
  <c r="L1092" i="1"/>
  <c r="V1091" i="1"/>
  <c r="Z1091" i="1" s="1"/>
  <c r="U1091" i="1"/>
  <c r="T1091" i="1"/>
  <c r="W1091" i="1" s="1"/>
  <c r="S1091" i="1"/>
  <c r="R1091" i="1"/>
  <c r="Q1091" i="1"/>
  <c r="M1091" i="1"/>
  <c r="L1091" i="1"/>
  <c r="V1090" i="1"/>
  <c r="Z1090" i="1" s="1"/>
  <c r="U1090" i="1"/>
  <c r="T1090" i="1"/>
  <c r="S1090" i="1"/>
  <c r="R1090" i="1"/>
  <c r="Q1090" i="1"/>
  <c r="M1090" i="1"/>
  <c r="L1090" i="1"/>
  <c r="V1089" i="1"/>
  <c r="U1089" i="1"/>
  <c r="T1089" i="1"/>
  <c r="W1089" i="1" s="1"/>
  <c r="S1089" i="1"/>
  <c r="R1089" i="1"/>
  <c r="Q1089" i="1"/>
  <c r="M1089" i="1"/>
  <c r="L1089" i="1"/>
  <c r="V1088" i="1"/>
  <c r="Z1088" i="1" s="1"/>
  <c r="U1088" i="1"/>
  <c r="T1088" i="1"/>
  <c r="W1088" i="1" s="1"/>
  <c r="S1088" i="1"/>
  <c r="R1088" i="1"/>
  <c r="Q1088" i="1"/>
  <c r="M1088" i="1"/>
  <c r="L1088" i="1"/>
  <c r="V1087" i="1"/>
  <c r="Z1087" i="1" s="1"/>
  <c r="U1087" i="1"/>
  <c r="T1087" i="1"/>
  <c r="W1087" i="1" s="1"/>
  <c r="S1087" i="1"/>
  <c r="R1087" i="1"/>
  <c r="Q1087" i="1"/>
  <c r="M1087" i="1"/>
  <c r="L1087" i="1"/>
  <c r="V1086" i="1"/>
  <c r="Z1086" i="1" s="1"/>
  <c r="U1086" i="1"/>
  <c r="T1086" i="1"/>
  <c r="W1086" i="1" s="1"/>
  <c r="S1086" i="1"/>
  <c r="R1086" i="1"/>
  <c r="Q1086" i="1"/>
  <c r="M1086" i="1"/>
  <c r="L1086" i="1"/>
  <c r="V1085" i="1"/>
  <c r="U1085" i="1"/>
  <c r="T1085" i="1"/>
  <c r="S1085" i="1"/>
  <c r="R1085" i="1"/>
  <c r="Q1085" i="1"/>
  <c r="M1085" i="1"/>
  <c r="L1085" i="1"/>
  <c r="V1084" i="1"/>
  <c r="Z1084" i="1" s="1"/>
  <c r="U1084" i="1"/>
  <c r="T1084" i="1"/>
  <c r="S1084" i="1"/>
  <c r="R1084" i="1"/>
  <c r="Q1084" i="1"/>
  <c r="M1084" i="1"/>
  <c r="L1084" i="1"/>
  <c r="V1083" i="1"/>
  <c r="Z1083" i="1" s="1"/>
  <c r="U1083" i="1"/>
  <c r="T1083" i="1"/>
  <c r="S1083" i="1"/>
  <c r="R1083" i="1"/>
  <c r="Q1083" i="1"/>
  <c r="M1083" i="1"/>
  <c r="L1083" i="1"/>
  <c r="V1082" i="1"/>
  <c r="U1082" i="1"/>
  <c r="T1082" i="1"/>
  <c r="W1082" i="1" s="1"/>
  <c r="S1082" i="1"/>
  <c r="R1082" i="1"/>
  <c r="Q1082" i="1"/>
  <c r="M1082" i="1"/>
  <c r="L1082" i="1"/>
  <c r="V1081" i="1"/>
  <c r="U1081" i="1"/>
  <c r="T1081" i="1"/>
  <c r="W1081" i="1" s="1"/>
  <c r="S1081" i="1"/>
  <c r="R1081" i="1"/>
  <c r="Q1081" i="1"/>
  <c r="M1081" i="1"/>
  <c r="L1081" i="1"/>
  <c r="V1080" i="1"/>
  <c r="Z1080" i="1" s="1"/>
  <c r="U1080" i="1"/>
  <c r="T1080" i="1"/>
  <c r="S1080" i="1"/>
  <c r="R1080" i="1"/>
  <c r="Q1080" i="1"/>
  <c r="M1080" i="1"/>
  <c r="L1080" i="1"/>
  <c r="V1079" i="1"/>
  <c r="Z1079" i="1" s="1"/>
  <c r="U1079" i="1"/>
  <c r="T1079" i="1"/>
  <c r="W1079" i="1" s="1"/>
  <c r="S1079" i="1"/>
  <c r="R1079" i="1"/>
  <c r="Q1079" i="1"/>
  <c r="M1079" i="1"/>
  <c r="L1079" i="1"/>
  <c r="V1078" i="1"/>
  <c r="Z1078" i="1" s="1"/>
  <c r="U1078" i="1"/>
  <c r="T1078" i="1"/>
  <c r="S1078" i="1"/>
  <c r="R1078" i="1"/>
  <c r="Q1078" i="1"/>
  <c r="M1078" i="1"/>
  <c r="L1078" i="1"/>
  <c r="V1077" i="1"/>
  <c r="U1077" i="1"/>
  <c r="T1077" i="1"/>
  <c r="S1077" i="1"/>
  <c r="R1077" i="1"/>
  <c r="Q1077" i="1"/>
  <c r="M1077" i="1"/>
  <c r="L1077" i="1"/>
  <c r="V1076" i="1"/>
  <c r="Z1076" i="1" s="1"/>
  <c r="U1076" i="1"/>
  <c r="T1076" i="1"/>
  <c r="S1076" i="1"/>
  <c r="R1076" i="1"/>
  <c r="Q1076" i="1"/>
  <c r="M1076" i="1"/>
  <c r="L1076" i="1"/>
  <c r="V1075" i="1"/>
  <c r="Z1075" i="1" s="1"/>
  <c r="U1075" i="1"/>
  <c r="T1075" i="1"/>
  <c r="W1075" i="1" s="1"/>
  <c r="S1075" i="1"/>
  <c r="R1075" i="1"/>
  <c r="Q1075" i="1"/>
  <c r="M1075" i="1"/>
  <c r="L1075" i="1"/>
  <c r="V1074" i="1"/>
  <c r="Z1074" i="1" s="1"/>
  <c r="U1074" i="1"/>
  <c r="T1074" i="1"/>
  <c r="W1074" i="1" s="1"/>
  <c r="S1074" i="1"/>
  <c r="R1074" i="1"/>
  <c r="Q1074" i="1"/>
  <c r="M1074" i="1"/>
  <c r="L1074" i="1"/>
  <c r="V1073" i="1"/>
  <c r="U1073" i="1"/>
  <c r="T1073" i="1"/>
  <c r="S1073" i="1"/>
  <c r="R1073" i="1"/>
  <c r="Q1073" i="1"/>
  <c r="M1073" i="1"/>
  <c r="L1073" i="1"/>
  <c r="V1072" i="1"/>
  <c r="Z1072" i="1" s="1"/>
  <c r="U1072" i="1"/>
  <c r="T1072" i="1"/>
  <c r="S1072" i="1"/>
  <c r="R1072" i="1"/>
  <c r="Q1072" i="1"/>
  <c r="M1072" i="1"/>
  <c r="L1072" i="1"/>
  <c r="V1071" i="1"/>
  <c r="Z1071" i="1" s="1"/>
  <c r="U1071" i="1"/>
  <c r="T1071" i="1"/>
  <c r="S1071" i="1"/>
  <c r="R1071" i="1"/>
  <c r="Q1071" i="1"/>
  <c r="M1071" i="1"/>
  <c r="L1071" i="1"/>
  <c r="V1070" i="1"/>
  <c r="Z1070" i="1" s="1"/>
  <c r="U1070" i="1"/>
  <c r="T1070" i="1"/>
  <c r="W1070" i="1" s="1"/>
  <c r="S1070" i="1"/>
  <c r="R1070" i="1"/>
  <c r="Q1070" i="1"/>
  <c r="M1070" i="1"/>
  <c r="L1070" i="1"/>
  <c r="V1069" i="1"/>
  <c r="U1069" i="1"/>
  <c r="T1069" i="1"/>
  <c r="S1069" i="1"/>
  <c r="R1069" i="1"/>
  <c r="Q1069" i="1"/>
  <c r="M1069" i="1"/>
  <c r="L1069" i="1"/>
  <c r="V1068" i="1"/>
  <c r="Z1068" i="1" s="1"/>
  <c r="U1068" i="1"/>
  <c r="T1068" i="1"/>
  <c r="W1068" i="1" s="1"/>
  <c r="S1068" i="1"/>
  <c r="R1068" i="1"/>
  <c r="Q1068" i="1"/>
  <c r="M1068" i="1"/>
  <c r="L1068" i="1"/>
  <c r="V1067" i="1"/>
  <c r="Z1067" i="1" s="1"/>
  <c r="U1067" i="1"/>
  <c r="T1067" i="1"/>
  <c r="W1067" i="1" s="1"/>
  <c r="S1067" i="1"/>
  <c r="R1067" i="1"/>
  <c r="Q1067" i="1"/>
  <c r="M1067" i="1"/>
  <c r="L1067" i="1"/>
  <c r="V1066" i="1"/>
  <c r="Z1066" i="1" s="1"/>
  <c r="U1066" i="1"/>
  <c r="T1066" i="1"/>
  <c r="W1066" i="1" s="1"/>
  <c r="S1066" i="1"/>
  <c r="R1066" i="1"/>
  <c r="Q1066" i="1"/>
  <c r="M1066" i="1"/>
  <c r="L1066" i="1"/>
  <c r="V1065" i="1"/>
  <c r="Z1065" i="1" s="1"/>
  <c r="U1065" i="1"/>
  <c r="T1065" i="1"/>
  <c r="S1065" i="1"/>
  <c r="R1065" i="1"/>
  <c r="Q1065" i="1"/>
  <c r="M1065" i="1"/>
  <c r="L1065" i="1"/>
  <c r="V1064" i="1"/>
  <c r="Z1064" i="1" s="1"/>
  <c r="U1064" i="1"/>
  <c r="T1064" i="1"/>
  <c r="W1064" i="1" s="1"/>
  <c r="S1064" i="1"/>
  <c r="R1064" i="1"/>
  <c r="Q1064" i="1"/>
  <c r="M1064" i="1"/>
  <c r="L1064" i="1"/>
  <c r="V1063" i="1"/>
  <c r="Z1063" i="1" s="1"/>
  <c r="U1063" i="1"/>
  <c r="T1063" i="1"/>
  <c r="W1063" i="1" s="1"/>
  <c r="S1063" i="1"/>
  <c r="R1063" i="1"/>
  <c r="Q1063" i="1"/>
  <c r="M1063" i="1"/>
  <c r="L1063" i="1"/>
  <c r="V1062" i="1"/>
  <c r="U1062" i="1"/>
  <c r="T1062" i="1"/>
  <c r="W1062" i="1" s="1"/>
  <c r="S1062" i="1"/>
  <c r="R1062" i="1"/>
  <c r="Q1062" i="1"/>
  <c r="M1062" i="1"/>
  <c r="L1062" i="1"/>
  <c r="V1061" i="1"/>
  <c r="Z1061" i="1" s="1"/>
  <c r="U1061" i="1"/>
  <c r="T1061" i="1"/>
  <c r="W1061" i="1" s="1"/>
  <c r="S1061" i="1"/>
  <c r="R1061" i="1"/>
  <c r="Q1061" i="1"/>
  <c r="M1061" i="1"/>
  <c r="L1061" i="1"/>
  <c r="V1060" i="1"/>
  <c r="Z1060" i="1" s="1"/>
  <c r="U1060" i="1"/>
  <c r="T1060" i="1"/>
  <c r="S1060" i="1"/>
  <c r="R1060" i="1"/>
  <c r="Q1060" i="1"/>
  <c r="M1060" i="1"/>
  <c r="L1060" i="1"/>
  <c r="V1059" i="1"/>
  <c r="Z1059" i="1" s="1"/>
  <c r="U1059" i="1"/>
  <c r="T1059" i="1"/>
  <c r="W1059" i="1" s="1"/>
  <c r="S1059" i="1"/>
  <c r="R1059" i="1"/>
  <c r="Q1059" i="1"/>
  <c r="M1059" i="1"/>
  <c r="L1059" i="1"/>
  <c r="V1058" i="1"/>
  <c r="Z1058" i="1" s="1"/>
  <c r="U1058" i="1"/>
  <c r="T1058" i="1"/>
  <c r="S1058" i="1"/>
  <c r="R1058" i="1"/>
  <c r="Q1058" i="1"/>
  <c r="M1058" i="1"/>
  <c r="L1058" i="1"/>
  <c r="V1057" i="1"/>
  <c r="U1057" i="1"/>
  <c r="T1057" i="1"/>
  <c r="W1057" i="1" s="1"/>
  <c r="S1057" i="1"/>
  <c r="R1057" i="1"/>
  <c r="Q1057" i="1"/>
  <c r="M1057" i="1"/>
  <c r="L1057" i="1"/>
  <c r="V1056" i="1"/>
  <c r="Z1056" i="1" s="1"/>
  <c r="U1056" i="1"/>
  <c r="T1056" i="1"/>
  <c r="W1056" i="1" s="1"/>
  <c r="S1056" i="1"/>
  <c r="R1056" i="1"/>
  <c r="Q1056" i="1"/>
  <c r="M1056" i="1"/>
  <c r="L1056" i="1"/>
  <c r="V1055" i="1"/>
  <c r="Z1055" i="1" s="1"/>
  <c r="U1055" i="1"/>
  <c r="T1055" i="1"/>
  <c r="S1055" i="1"/>
  <c r="R1055" i="1"/>
  <c r="Q1055" i="1"/>
  <c r="M1055" i="1"/>
  <c r="L1055" i="1"/>
  <c r="V1054" i="1"/>
  <c r="Z1054" i="1" s="1"/>
  <c r="U1054" i="1"/>
  <c r="T1054" i="1"/>
  <c r="W1054" i="1" s="1"/>
  <c r="S1054" i="1"/>
  <c r="R1054" i="1"/>
  <c r="Q1054" i="1"/>
  <c r="M1054" i="1"/>
  <c r="L1054" i="1"/>
  <c r="V1053" i="1"/>
  <c r="U1053" i="1"/>
  <c r="T1053" i="1"/>
  <c r="S1053" i="1"/>
  <c r="R1053" i="1"/>
  <c r="Q1053" i="1"/>
  <c r="M1053" i="1"/>
  <c r="L1053" i="1"/>
  <c r="V1052" i="1"/>
  <c r="Z1052" i="1" s="1"/>
  <c r="U1052" i="1"/>
  <c r="T1052" i="1"/>
  <c r="S1052" i="1"/>
  <c r="R1052" i="1"/>
  <c r="Q1052" i="1"/>
  <c r="M1052" i="1"/>
  <c r="L1052" i="1"/>
  <c r="V1051" i="1"/>
  <c r="Z1051" i="1" s="1"/>
  <c r="U1051" i="1"/>
  <c r="T1051" i="1"/>
  <c r="S1051" i="1"/>
  <c r="R1051" i="1"/>
  <c r="Q1051" i="1"/>
  <c r="M1051" i="1"/>
  <c r="L1051" i="1"/>
  <c r="V1050" i="1"/>
  <c r="U1050" i="1"/>
  <c r="T1050" i="1"/>
  <c r="W1050" i="1" s="1"/>
  <c r="S1050" i="1"/>
  <c r="R1050" i="1"/>
  <c r="Q1050" i="1"/>
  <c r="M1050" i="1"/>
  <c r="L1050" i="1"/>
  <c r="V1049" i="1"/>
  <c r="U1049" i="1"/>
  <c r="T1049" i="1"/>
  <c r="W1049" i="1" s="1"/>
  <c r="S1049" i="1"/>
  <c r="R1049" i="1"/>
  <c r="Q1049" i="1"/>
  <c r="M1049" i="1"/>
  <c r="L1049" i="1"/>
  <c r="V1048" i="1"/>
  <c r="Z1048" i="1" s="1"/>
  <c r="U1048" i="1"/>
  <c r="T1048" i="1"/>
  <c r="S1048" i="1"/>
  <c r="R1048" i="1"/>
  <c r="Q1048" i="1"/>
  <c r="M1048" i="1"/>
  <c r="L1048" i="1"/>
  <c r="V1047" i="1"/>
  <c r="Z1047" i="1" s="1"/>
  <c r="U1047" i="1"/>
  <c r="T1047" i="1"/>
  <c r="W1047" i="1" s="1"/>
  <c r="S1047" i="1"/>
  <c r="R1047" i="1"/>
  <c r="Q1047" i="1"/>
  <c r="M1047" i="1"/>
  <c r="L1047" i="1"/>
  <c r="V1046" i="1"/>
  <c r="Z1046" i="1" s="1"/>
  <c r="U1046" i="1"/>
  <c r="T1046" i="1"/>
  <c r="S1046" i="1"/>
  <c r="R1046" i="1"/>
  <c r="Q1046" i="1"/>
  <c r="M1046" i="1"/>
  <c r="L1046" i="1"/>
  <c r="V1045" i="1"/>
  <c r="U1045" i="1"/>
  <c r="T1045" i="1"/>
  <c r="S1045" i="1"/>
  <c r="R1045" i="1"/>
  <c r="Q1045" i="1"/>
  <c r="M1045" i="1"/>
  <c r="L1045" i="1"/>
  <c r="V1044" i="1"/>
  <c r="Z1044" i="1" s="1"/>
  <c r="U1044" i="1"/>
  <c r="T1044" i="1"/>
  <c r="S1044" i="1"/>
  <c r="R1044" i="1"/>
  <c r="Q1044" i="1"/>
  <c r="M1044" i="1"/>
  <c r="L1044" i="1"/>
  <c r="V1043" i="1"/>
  <c r="Z1043" i="1" s="1"/>
  <c r="U1043" i="1"/>
  <c r="T1043" i="1"/>
  <c r="W1043" i="1" s="1"/>
  <c r="S1043" i="1"/>
  <c r="R1043" i="1"/>
  <c r="Q1043" i="1"/>
  <c r="M1043" i="1"/>
  <c r="L1043" i="1"/>
  <c r="V1042" i="1"/>
  <c r="Z1042" i="1" s="1"/>
  <c r="U1042" i="1"/>
  <c r="T1042" i="1"/>
  <c r="W1042" i="1" s="1"/>
  <c r="S1042" i="1"/>
  <c r="R1042" i="1"/>
  <c r="Q1042" i="1"/>
  <c r="M1042" i="1"/>
  <c r="L1042" i="1"/>
  <c r="V1041" i="1"/>
  <c r="U1041" i="1"/>
  <c r="T1041" i="1"/>
  <c r="S1041" i="1"/>
  <c r="R1041" i="1"/>
  <c r="Q1041" i="1"/>
  <c r="M1041" i="1"/>
  <c r="L1041" i="1"/>
  <c r="V1040" i="1"/>
  <c r="Z1040" i="1" s="1"/>
  <c r="U1040" i="1"/>
  <c r="T1040" i="1"/>
  <c r="S1040" i="1"/>
  <c r="R1040" i="1"/>
  <c r="Q1040" i="1"/>
  <c r="M1040" i="1"/>
  <c r="L1040" i="1"/>
  <c r="V1039" i="1"/>
  <c r="Z1039" i="1" s="1"/>
  <c r="U1039" i="1"/>
  <c r="T1039" i="1"/>
  <c r="S1039" i="1"/>
  <c r="R1039" i="1"/>
  <c r="Q1039" i="1"/>
  <c r="M1039" i="1"/>
  <c r="L1039" i="1"/>
  <c r="V1038" i="1"/>
  <c r="Z1038" i="1" s="1"/>
  <c r="U1038" i="1"/>
  <c r="T1038" i="1"/>
  <c r="W1038" i="1" s="1"/>
  <c r="S1038" i="1"/>
  <c r="R1038" i="1"/>
  <c r="Q1038" i="1"/>
  <c r="M1038" i="1"/>
  <c r="L1038" i="1"/>
  <c r="V1037" i="1"/>
  <c r="U1037" i="1"/>
  <c r="T1037" i="1"/>
  <c r="S1037" i="1"/>
  <c r="R1037" i="1"/>
  <c r="Q1037" i="1"/>
  <c r="M1037" i="1"/>
  <c r="L1037" i="1"/>
  <c r="V1036" i="1"/>
  <c r="Z1036" i="1" s="1"/>
  <c r="U1036" i="1"/>
  <c r="T1036" i="1"/>
  <c r="W1036" i="1" s="1"/>
  <c r="S1036" i="1"/>
  <c r="R1036" i="1"/>
  <c r="Q1036" i="1"/>
  <c r="M1036" i="1"/>
  <c r="L1036" i="1"/>
  <c r="V1035" i="1"/>
  <c r="Z1035" i="1" s="1"/>
  <c r="U1035" i="1"/>
  <c r="T1035" i="1"/>
  <c r="W1035" i="1" s="1"/>
  <c r="S1035" i="1"/>
  <c r="R1035" i="1"/>
  <c r="Q1035" i="1"/>
  <c r="M1035" i="1"/>
  <c r="L1035" i="1"/>
  <c r="V1034" i="1"/>
  <c r="U1034" i="1"/>
  <c r="T1034" i="1"/>
  <c r="W1034" i="1" s="1"/>
  <c r="S1034" i="1"/>
  <c r="R1034" i="1"/>
  <c r="Q1034" i="1"/>
  <c r="M1034" i="1"/>
  <c r="L1034" i="1"/>
  <c r="V1033" i="1"/>
  <c r="Z1033" i="1" s="1"/>
  <c r="U1033" i="1"/>
  <c r="T1033" i="1"/>
  <c r="S1033" i="1"/>
  <c r="R1033" i="1"/>
  <c r="Q1033" i="1"/>
  <c r="M1033" i="1"/>
  <c r="L1033" i="1"/>
  <c r="V1032" i="1"/>
  <c r="U1032" i="1"/>
  <c r="T1032" i="1"/>
  <c r="W1032" i="1" s="1"/>
  <c r="S1032" i="1"/>
  <c r="R1032" i="1"/>
  <c r="Q1032" i="1"/>
  <c r="M1032" i="1"/>
  <c r="L1032" i="1"/>
  <c r="V1031" i="1"/>
  <c r="Z1031" i="1" s="1"/>
  <c r="U1031" i="1"/>
  <c r="T1031" i="1"/>
  <c r="W1031" i="1" s="1"/>
  <c r="S1031" i="1"/>
  <c r="R1031" i="1"/>
  <c r="Q1031" i="1"/>
  <c r="M1031" i="1"/>
  <c r="L1031" i="1"/>
  <c r="V1030" i="1"/>
  <c r="U1030" i="1"/>
  <c r="T1030" i="1"/>
  <c r="S1030" i="1"/>
  <c r="R1030" i="1"/>
  <c r="Q1030" i="1"/>
  <c r="M1030" i="1"/>
  <c r="L1030" i="1"/>
  <c r="V1029" i="1"/>
  <c r="Z1029" i="1" s="1"/>
  <c r="U1029" i="1"/>
  <c r="T1029" i="1"/>
  <c r="S1029" i="1"/>
  <c r="R1029" i="1"/>
  <c r="Q1029" i="1"/>
  <c r="M1029" i="1"/>
  <c r="L1029" i="1"/>
  <c r="V1028" i="1"/>
  <c r="U1028" i="1"/>
  <c r="T1028" i="1"/>
  <c r="W1028" i="1" s="1"/>
  <c r="S1028" i="1"/>
  <c r="R1028" i="1"/>
  <c r="Q1028" i="1"/>
  <c r="M1028" i="1"/>
  <c r="L1028" i="1"/>
  <c r="V1027" i="1"/>
  <c r="Z1027" i="1" s="1"/>
  <c r="U1027" i="1"/>
  <c r="T1027" i="1"/>
  <c r="W1027" i="1" s="1"/>
  <c r="S1027" i="1"/>
  <c r="R1027" i="1"/>
  <c r="Q1027" i="1"/>
  <c r="M1027" i="1"/>
  <c r="L1027" i="1"/>
  <c r="V1026" i="1"/>
  <c r="U1026" i="1"/>
  <c r="T1026" i="1"/>
  <c r="S1026" i="1"/>
  <c r="R1026" i="1"/>
  <c r="Q1026" i="1"/>
  <c r="M1026" i="1"/>
  <c r="L1026" i="1"/>
  <c r="V1025" i="1"/>
  <c r="Z1025" i="1" s="1"/>
  <c r="U1025" i="1"/>
  <c r="T1025" i="1"/>
  <c r="W1025" i="1" s="1"/>
  <c r="S1025" i="1"/>
  <c r="R1025" i="1"/>
  <c r="Q1025" i="1"/>
  <c r="M1025" i="1"/>
  <c r="L1025" i="1"/>
  <c r="V1024" i="1"/>
  <c r="Z1024" i="1" s="1"/>
  <c r="U1024" i="1"/>
  <c r="T1024" i="1"/>
  <c r="S1024" i="1"/>
  <c r="R1024" i="1"/>
  <c r="Q1024" i="1"/>
  <c r="M1024" i="1"/>
  <c r="L1024" i="1"/>
  <c r="V1023" i="1"/>
  <c r="Z1023" i="1" s="1"/>
  <c r="U1023" i="1"/>
  <c r="T1023" i="1"/>
  <c r="S1023" i="1"/>
  <c r="R1023" i="1"/>
  <c r="Q1023" i="1"/>
  <c r="M1023" i="1"/>
  <c r="L1023" i="1"/>
  <c r="V1022" i="1"/>
  <c r="U1022" i="1"/>
  <c r="T1022" i="1"/>
  <c r="S1022" i="1"/>
  <c r="R1022" i="1"/>
  <c r="Q1022" i="1"/>
  <c r="M1022" i="1"/>
  <c r="L1022" i="1"/>
  <c r="V1021" i="1"/>
  <c r="Z1021" i="1" s="1"/>
  <c r="U1021" i="1"/>
  <c r="T1021" i="1"/>
  <c r="W1021" i="1" s="1"/>
  <c r="S1021" i="1"/>
  <c r="R1021" i="1"/>
  <c r="Q1021" i="1"/>
  <c r="M1021" i="1"/>
  <c r="L1021" i="1"/>
  <c r="V1020" i="1"/>
  <c r="Z1020" i="1" s="1"/>
  <c r="U1020" i="1"/>
  <c r="T1020" i="1"/>
  <c r="S1020" i="1"/>
  <c r="R1020" i="1"/>
  <c r="Q1020" i="1"/>
  <c r="M1020" i="1"/>
  <c r="L1020" i="1"/>
  <c r="V1019" i="1"/>
  <c r="Z1019" i="1" s="1"/>
  <c r="U1019" i="1"/>
  <c r="T1019" i="1"/>
  <c r="W1019" i="1" s="1"/>
  <c r="S1019" i="1"/>
  <c r="R1019" i="1"/>
  <c r="Q1019" i="1"/>
  <c r="M1019" i="1"/>
  <c r="L1019" i="1"/>
  <c r="V1018" i="1"/>
  <c r="Z1018" i="1" s="1"/>
  <c r="U1018" i="1"/>
  <c r="T1018" i="1"/>
  <c r="S1018" i="1"/>
  <c r="R1018" i="1"/>
  <c r="Q1018" i="1"/>
  <c r="M1018" i="1"/>
  <c r="L1018" i="1"/>
  <c r="V1017" i="1"/>
  <c r="U1017" i="1"/>
  <c r="T1017" i="1"/>
  <c r="W1017" i="1" s="1"/>
  <c r="S1017" i="1"/>
  <c r="R1017" i="1"/>
  <c r="Q1017" i="1"/>
  <c r="M1017" i="1"/>
  <c r="L1017" i="1"/>
  <c r="V1016" i="1"/>
  <c r="Z1016" i="1" s="1"/>
  <c r="U1016" i="1"/>
  <c r="T1016" i="1"/>
  <c r="W1016" i="1" s="1"/>
  <c r="S1016" i="1"/>
  <c r="R1016" i="1"/>
  <c r="Q1016" i="1"/>
  <c r="M1016" i="1"/>
  <c r="L1016" i="1"/>
  <c r="V1015" i="1"/>
  <c r="Z1015" i="1" s="1"/>
  <c r="U1015" i="1"/>
  <c r="T1015" i="1"/>
  <c r="S1015" i="1"/>
  <c r="R1015" i="1"/>
  <c r="Q1015" i="1"/>
  <c r="M1015" i="1"/>
  <c r="L1015" i="1"/>
  <c r="V1014" i="1"/>
  <c r="Z1014" i="1" s="1"/>
  <c r="U1014" i="1"/>
  <c r="T1014" i="1"/>
  <c r="S1014" i="1"/>
  <c r="R1014" i="1"/>
  <c r="Q1014" i="1"/>
  <c r="M1014" i="1"/>
  <c r="L1014" i="1"/>
  <c r="V1013" i="1"/>
  <c r="U1013" i="1"/>
  <c r="T1013" i="1"/>
  <c r="W1013" i="1" s="1"/>
  <c r="S1013" i="1"/>
  <c r="R1013" i="1"/>
  <c r="Q1013" i="1"/>
  <c r="M1013" i="1"/>
  <c r="L1013" i="1"/>
  <c r="V1012" i="1"/>
  <c r="U1012" i="1"/>
  <c r="T1012" i="1"/>
  <c r="W1012" i="1" s="1"/>
  <c r="S1012" i="1"/>
  <c r="R1012" i="1"/>
  <c r="Q1012" i="1"/>
  <c r="M1012" i="1"/>
  <c r="L1012" i="1"/>
  <c r="V1011" i="1"/>
  <c r="U1011" i="1"/>
  <c r="T1011" i="1"/>
  <c r="S1011" i="1"/>
  <c r="R1011" i="1"/>
  <c r="Q1011" i="1"/>
  <c r="M1011" i="1"/>
  <c r="L1011" i="1"/>
  <c r="V1010" i="1"/>
  <c r="Z1010" i="1" s="1"/>
  <c r="U1010" i="1"/>
  <c r="T1010" i="1"/>
  <c r="S1010" i="1"/>
  <c r="R1010" i="1"/>
  <c r="Q1010" i="1"/>
  <c r="M1010" i="1"/>
  <c r="L1010" i="1"/>
  <c r="V1009" i="1"/>
  <c r="U1009" i="1"/>
  <c r="T1009" i="1"/>
  <c r="W1009" i="1" s="1"/>
  <c r="S1009" i="1"/>
  <c r="R1009" i="1"/>
  <c r="Q1009" i="1"/>
  <c r="M1009" i="1"/>
  <c r="L1009" i="1"/>
  <c r="V1008" i="1"/>
  <c r="U1008" i="1"/>
  <c r="T1008" i="1"/>
  <c r="W1008" i="1" s="1"/>
  <c r="S1008" i="1"/>
  <c r="R1008" i="1"/>
  <c r="Q1008" i="1"/>
  <c r="M1008" i="1"/>
  <c r="L1008" i="1"/>
  <c r="V1007" i="1"/>
  <c r="U1007" i="1"/>
  <c r="T1007" i="1"/>
  <c r="S1007" i="1"/>
  <c r="R1007" i="1"/>
  <c r="Q1007" i="1"/>
  <c r="M1007" i="1"/>
  <c r="L1007" i="1"/>
  <c r="V1006" i="1"/>
  <c r="Z1006" i="1" s="1"/>
  <c r="U1006" i="1"/>
  <c r="T1006" i="1"/>
  <c r="S1006" i="1"/>
  <c r="R1006" i="1"/>
  <c r="Q1006" i="1"/>
  <c r="M1006" i="1"/>
  <c r="L1006" i="1"/>
  <c r="V1005" i="1"/>
  <c r="U1005" i="1"/>
  <c r="T1005" i="1"/>
  <c r="W1005" i="1" s="1"/>
  <c r="S1005" i="1"/>
  <c r="R1005" i="1"/>
  <c r="Q1005" i="1"/>
  <c r="M1005" i="1"/>
  <c r="L1005" i="1"/>
  <c r="V1004" i="1"/>
  <c r="U1004" i="1"/>
  <c r="T1004" i="1"/>
  <c r="W1004" i="1" s="1"/>
  <c r="S1004" i="1"/>
  <c r="R1004" i="1"/>
  <c r="Q1004" i="1"/>
  <c r="M1004" i="1"/>
  <c r="L1004" i="1"/>
  <c r="V1003" i="1"/>
  <c r="U1003" i="1"/>
  <c r="T1003" i="1"/>
  <c r="S1003" i="1"/>
  <c r="R1003" i="1"/>
  <c r="Q1003" i="1"/>
  <c r="M1003" i="1"/>
  <c r="L1003" i="1"/>
  <c r="V1002" i="1"/>
  <c r="Z1002" i="1" s="1"/>
  <c r="U1002" i="1"/>
  <c r="T1002" i="1"/>
  <c r="S1002" i="1"/>
  <c r="R1002" i="1"/>
  <c r="Q1002" i="1"/>
  <c r="M1002" i="1"/>
  <c r="L1002" i="1"/>
  <c r="V1001" i="1"/>
  <c r="U1001" i="1"/>
  <c r="T1001" i="1"/>
  <c r="W1001" i="1" s="1"/>
  <c r="S1001" i="1"/>
  <c r="R1001" i="1"/>
  <c r="Q1001" i="1"/>
  <c r="M1001" i="1"/>
  <c r="L1001" i="1"/>
  <c r="V1000" i="1"/>
  <c r="U1000" i="1"/>
  <c r="T1000" i="1"/>
  <c r="W1000" i="1" s="1"/>
  <c r="S1000" i="1"/>
  <c r="R1000" i="1"/>
  <c r="Q1000" i="1"/>
  <c r="M1000" i="1"/>
  <c r="L1000" i="1"/>
  <c r="V999" i="1"/>
  <c r="U999" i="1"/>
  <c r="T999" i="1"/>
  <c r="S999" i="1"/>
  <c r="R999" i="1"/>
  <c r="Q999" i="1"/>
  <c r="M999" i="1"/>
  <c r="L999" i="1"/>
  <c r="V998" i="1"/>
  <c r="Z998" i="1" s="1"/>
  <c r="U998" i="1"/>
  <c r="T998" i="1"/>
  <c r="S998" i="1"/>
  <c r="R998" i="1"/>
  <c r="Q998" i="1"/>
  <c r="M998" i="1"/>
  <c r="L998" i="1"/>
  <c r="V997" i="1"/>
  <c r="U997" i="1"/>
  <c r="T997" i="1"/>
  <c r="W997" i="1" s="1"/>
  <c r="S997" i="1"/>
  <c r="R997" i="1"/>
  <c r="Q997" i="1"/>
  <c r="M997" i="1"/>
  <c r="L997" i="1"/>
  <c r="V996" i="1"/>
  <c r="U996" i="1"/>
  <c r="T996" i="1"/>
  <c r="W996" i="1" s="1"/>
  <c r="S996" i="1"/>
  <c r="R996" i="1"/>
  <c r="Q996" i="1"/>
  <c r="M996" i="1"/>
  <c r="L996" i="1"/>
  <c r="V995" i="1"/>
  <c r="U995" i="1"/>
  <c r="T995" i="1"/>
  <c r="S995" i="1"/>
  <c r="R995" i="1"/>
  <c r="Q995" i="1"/>
  <c r="M995" i="1"/>
  <c r="L995" i="1"/>
  <c r="V994" i="1"/>
  <c r="Z994" i="1" s="1"/>
  <c r="U994" i="1"/>
  <c r="T994" i="1"/>
  <c r="S994" i="1"/>
  <c r="R994" i="1"/>
  <c r="Q994" i="1"/>
  <c r="M994" i="1"/>
  <c r="L994" i="1"/>
  <c r="V993" i="1"/>
  <c r="U993" i="1"/>
  <c r="T993" i="1"/>
  <c r="W993" i="1" s="1"/>
  <c r="S993" i="1"/>
  <c r="R993" i="1"/>
  <c r="Q993" i="1"/>
  <c r="M993" i="1"/>
  <c r="L993" i="1"/>
  <c r="V992" i="1"/>
  <c r="U992" i="1"/>
  <c r="T992" i="1"/>
  <c r="W992" i="1" s="1"/>
  <c r="S992" i="1"/>
  <c r="R992" i="1"/>
  <c r="Q992" i="1"/>
  <c r="M992" i="1"/>
  <c r="L992" i="1"/>
  <c r="V991" i="1"/>
  <c r="U991" i="1"/>
  <c r="T991" i="1"/>
  <c r="S991" i="1"/>
  <c r="R991" i="1"/>
  <c r="Q991" i="1"/>
  <c r="M991" i="1"/>
  <c r="L991" i="1"/>
  <c r="V990" i="1"/>
  <c r="Z990" i="1" s="1"/>
  <c r="U990" i="1"/>
  <c r="T990" i="1"/>
  <c r="S990" i="1"/>
  <c r="R990" i="1"/>
  <c r="Q990" i="1"/>
  <c r="M990" i="1"/>
  <c r="L990" i="1"/>
  <c r="V989" i="1"/>
  <c r="U989" i="1"/>
  <c r="T989" i="1"/>
  <c r="W989" i="1" s="1"/>
  <c r="S989" i="1"/>
  <c r="R989" i="1"/>
  <c r="Q989" i="1"/>
  <c r="M989" i="1"/>
  <c r="L989" i="1"/>
  <c r="V988" i="1"/>
  <c r="U988" i="1"/>
  <c r="T988" i="1"/>
  <c r="W988" i="1" s="1"/>
  <c r="S988" i="1"/>
  <c r="R988" i="1"/>
  <c r="Q988" i="1"/>
  <c r="M988" i="1"/>
  <c r="L988" i="1"/>
  <c r="V987" i="1"/>
  <c r="U987" i="1"/>
  <c r="T987" i="1"/>
  <c r="S987" i="1"/>
  <c r="R987" i="1"/>
  <c r="Q987" i="1"/>
  <c r="M987" i="1"/>
  <c r="L987" i="1"/>
  <c r="V986" i="1"/>
  <c r="Z986" i="1" s="1"/>
  <c r="U986" i="1"/>
  <c r="T986" i="1"/>
  <c r="S986" i="1"/>
  <c r="R986" i="1"/>
  <c r="Q986" i="1"/>
  <c r="M986" i="1"/>
  <c r="L986" i="1"/>
  <c r="V985" i="1"/>
  <c r="U985" i="1"/>
  <c r="T985" i="1"/>
  <c r="W985" i="1" s="1"/>
  <c r="S985" i="1"/>
  <c r="R985" i="1"/>
  <c r="Q985" i="1"/>
  <c r="M985" i="1"/>
  <c r="L985" i="1"/>
  <c r="V984" i="1"/>
  <c r="U984" i="1"/>
  <c r="T984" i="1"/>
  <c r="W984" i="1" s="1"/>
  <c r="S984" i="1"/>
  <c r="R984" i="1"/>
  <c r="Q984" i="1"/>
  <c r="M984" i="1"/>
  <c r="L984" i="1"/>
  <c r="V983" i="1"/>
  <c r="U983" i="1"/>
  <c r="T983" i="1"/>
  <c r="S983" i="1"/>
  <c r="R983" i="1"/>
  <c r="Q983" i="1"/>
  <c r="M983" i="1"/>
  <c r="L983" i="1"/>
  <c r="V982" i="1"/>
  <c r="Z982" i="1" s="1"/>
  <c r="U982" i="1"/>
  <c r="T982" i="1"/>
  <c r="S982" i="1"/>
  <c r="R982" i="1"/>
  <c r="Q982" i="1"/>
  <c r="M982" i="1"/>
  <c r="L982" i="1"/>
  <c r="V981" i="1"/>
  <c r="U981" i="1"/>
  <c r="T981" i="1"/>
  <c r="W981" i="1" s="1"/>
  <c r="S981" i="1"/>
  <c r="R981" i="1"/>
  <c r="Q981" i="1"/>
  <c r="M981" i="1"/>
  <c r="L981" i="1"/>
  <c r="V980" i="1"/>
  <c r="U980" i="1"/>
  <c r="T980" i="1"/>
  <c r="W980" i="1" s="1"/>
  <c r="S980" i="1"/>
  <c r="R980" i="1"/>
  <c r="Q980" i="1"/>
  <c r="M980" i="1"/>
  <c r="L980" i="1"/>
  <c r="V979" i="1"/>
  <c r="U979" i="1"/>
  <c r="T979" i="1"/>
  <c r="S979" i="1"/>
  <c r="R979" i="1"/>
  <c r="Q979" i="1"/>
  <c r="M979" i="1"/>
  <c r="L979" i="1"/>
  <c r="V978" i="1"/>
  <c r="Z978" i="1" s="1"/>
  <c r="U978" i="1"/>
  <c r="T978" i="1"/>
  <c r="S978" i="1"/>
  <c r="R978" i="1"/>
  <c r="Q978" i="1"/>
  <c r="M978" i="1"/>
  <c r="L978" i="1"/>
  <c r="V977" i="1"/>
  <c r="U977" i="1"/>
  <c r="T977" i="1"/>
  <c r="W977" i="1" s="1"/>
  <c r="S977" i="1"/>
  <c r="R977" i="1"/>
  <c r="Q977" i="1"/>
  <c r="M977" i="1"/>
  <c r="L977" i="1"/>
  <c r="V976" i="1"/>
  <c r="U976" i="1"/>
  <c r="T976" i="1"/>
  <c r="W976" i="1" s="1"/>
  <c r="S976" i="1"/>
  <c r="R976" i="1"/>
  <c r="Q976" i="1"/>
  <c r="M976" i="1"/>
  <c r="L976" i="1"/>
  <c r="V975" i="1"/>
  <c r="U975" i="1"/>
  <c r="T975" i="1"/>
  <c r="S975" i="1"/>
  <c r="R975" i="1"/>
  <c r="Q975" i="1"/>
  <c r="M975" i="1"/>
  <c r="L975" i="1"/>
  <c r="V974" i="1"/>
  <c r="Z974" i="1" s="1"/>
  <c r="U974" i="1"/>
  <c r="T974" i="1"/>
  <c r="S974" i="1"/>
  <c r="R974" i="1"/>
  <c r="Q974" i="1"/>
  <c r="M974" i="1"/>
  <c r="L974" i="1"/>
  <c r="V973" i="1"/>
  <c r="U973" i="1"/>
  <c r="T973" i="1"/>
  <c r="W973" i="1" s="1"/>
  <c r="S973" i="1"/>
  <c r="R973" i="1"/>
  <c r="Q973" i="1"/>
  <c r="M973" i="1"/>
  <c r="L973" i="1"/>
  <c r="V972" i="1"/>
  <c r="U972" i="1"/>
  <c r="T972" i="1"/>
  <c r="W972" i="1" s="1"/>
  <c r="S972" i="1"/>
  <c r="R972" i="1"/>
  <c r="Q972" i="1"/>
  <c r="M972" i="1"/>
  <c r="L972" i="1"/>
  <c r="V971" i="1"/>
  <c r="U971" i="1"/>
  <c r="T971" i="1"/>
  <c r="S971" i="1"/>
  <c r="R971" i="1"/>
  <c r="Q971" i="1"/>
  <c r="M971" i="1"/>
  <c r="L971" i="1"/>
  <c r="V970" i="1"/>
  <c r="Z970" i="1" s="1"/>
  <c r="U970" i="1"/>
  <c r="T970" i="1"/>
  <c r="S970" i="1"/>
  <c r="R970" i="1"/>
  <c r="Q970" i="1"/>
  <c r="M970" i="1"/>
  <c r="L970" i="1"/>
  <c r="V969" i="1"/>
  <c r="U969" i="1"/>
  <c r="T969" i="1"/>
  <c r="W969" i="1" s="1"/>
  <c r="S969" i="1"/>
  <c r="R969" i="1"/>
  <c r="Q969" i="1"/>
  <c r="M969" i="1"/>
  <c r="L969" i="1"/>
  <c r="V968" i="1"/>
  <c r="U968" i="1"/>
  <c r="T968" i="1"/>
  <c r="W968" i="1" s="1"/>
  <c r="S968" i="1"/>
  <c r="R968" i="1"/>
  <c r="Q968" i="1"/>
  <c r="M968" i="1"/>
  <c r="L968" i="1"/>
  <c r="V967" i="1"/>
  <c r="U967" i="1"/>
  <c r="T967" i="1"/>
  <c r="S967" i="1"/>
  <c r="R967" i="1"/>
  <c r="Q967" i="1"/>
  <c r="M967" i="1"/>
  <c r="L967" i="1"/>
  <c r="V966" i="1"/>
  <c r="Z966" i="1" s="1"/>
  <c r="U966" i="1"/>
  <c r="T966" i="1"/>
  <c r="S966" i="1"/>
  <c r="R966" i="1"/>
  <c r="Q966" i="1"/>
  <c r="M966" i="1"/>
  <c r="L966" i="1"/>
  <c r="V965" i="1"/>
  <c r="U965" i="1"/>
  <c r="T965" i="1"/>
  <c r="W965" i="1" s="1"/>
  <c r="S965" i="1"/>
  <c r="R965" i="1"/>
  <c r="Q965" i="1"/>
  <c r="M965" i="1"/>
  <c r="L965" i="1"/>
  <c r="V964" i="1"/>
  <c r="U964" i="1"/>
  <c r="T964" i="1"/>
  <c r="W964" i="1" s="1"/>
  <c r="S964" i="1"/>
  <c r="R964" i="1"/>
  <c r="Q964" i="1"/>
  <c r="M964" i="1"/>
  <c r="L964" i="1"/>
  <c r="V963" i="1"/>
  <c r="U963" i="1"/>
  <c r="T963" i="1"/>
  <c r="S963" i="1"/>
  <c r="R963" i="1"/>
  <c r="Q963" i="1"/>
  <c r="M963" i="1"/>
  <c r="L963" i="1"/>
  <c r="V962" i="1"/>
  <c r="Z962" i="1" s="1"/>
  <c r="U962" i="1"/>
  <c r="T962" i="1"/>
  <c r="S962" i="1"/>
  <c r="R962" i="1"/>
  <c r="Q962" i="1"/>
  <c r="M962" i="1"/>
  <c r="L962" i="1"/>
  <c r="V961" i="1"/>
  <c r="U961" i="1"/>
  <c r="T961" i="1"/>
  <c r="W961" i="1" s="1"/>
  <c r="S961" i="1"/>
  <c r="R961" i="1"/>
  <c r="Q961" i="1"/>
  <c r="M961" i="1"/>
  <c r="L961" i="1"/>
  <c r="V960" i="1"/>
  <c r="U960" i="1"/>
  <c r="T960" i="1"/>
  <c r="W960" i="1" s="1"/>
  <c r="S960" i="1"/>
  <c r="R960" i="1"/>
  <c r="Q960" i="1"/>
  <c r="M960" i="1"/>
  <c r="L960" i="1"/>
  <c r="V959" i="1"/>
  <c r="U959" i="1"/>
  <c r="T959" i="1"/>
  <c r="S959" i="1"/>
  <c r="R959" i="1"/>
  <c r="Q959" i="1"/>
  <c r="M959" i="1"/>
  <c r="L959" i="1"/>
  <c r="V958" i="1"/>
  <c r="Z958" i="1" s="1"/>
  <c r="U958" i="1"/>
  <c r="T958" i="1"/>
  <c r="S958" i="1"/>
  <c r="R958" i="1"/>
  <c r="Q958" i="1"/>
  <c r="M958" i="1"/>
  <c r="L958" i="1"/>
  <c r="V957" i="1"/>
  <c r="U957" i="1"/>
  <c r="T957" i="1"/>
  <c r="W957" i="1" s="1"/>
  <c r="S957" i="1"/>
  <c r="R957" i="1"/>
  <c r="Q957" i="1"/>
  <c r="M957" i="1"/>
  <c r="L957" i="1"/>
  <c r="V956" i="1"/>
  <c r="U956" i="1"/>
  <c r="T956" i="1"/>
  <c r="W956" i="1" s="1"/>
  <c r="S956" i="1"/>
  <c r="R956" i="1"/>
  <c r="Q956" i="1"/>
  <c r="M956" i="1"/>
  <c r="L956" i="1"/>
  <c r="V955" i="1"/>
  <c r="U955" i="1"/>
  <c r="T955" i="1"/>
  <c r="S955" i="1"/>
  <c r="R955" i="1"/>
  <c r="Q955" i="1"/>
  <c r="M955" i="1"/>
  <c r="L955" i="1"/>
  <c r="V954" i="1"/>
  <c r="Z954" i="1" s="1"/>
  <c r="U954" i="1"/>
  <c r="T954" i="1"/>
  <c r="S954" i="1"/>
  <c r="R954" i="1"/>
  <c r="Q954" i="1"/>
  <c r="M954" i="1"/>
  <c r="L954" i="1"/>
  <c r="V953" i="1"/>
  <c r="U953" i="1"/>
  <c r="T953" i="1"/>
  <c r="W953" i="1" s="1"/>
  <c r="S953" i="1"/>
  <c r="R953" i="1"/>
  <c r="Q953" i="1"/>
  <c r="M953" i="1"/>
  <c r="L953" i="1"/>
  <c r="V952" i="1"/>
  <c r="U952" i="1"/>
  <c r="T952" i="1"/>
  <c r="W952" i="1" s="1"/>
  <c r="S952" i="1"/>
  <c r="R952" i="1"/>
  <c r="Q952" i="1"/>
  <c r="M952" i="1"/>
  <c r="L952" i="1"/>
  <c r="V951" i="1"/>
  <c r="U951" i="1"/>
  <c r="T951" i="1"/>
  <c r="S951" i="1"/>
  <c r="R951" i="1"/>
  <c r="Q951" i="1"/>
  <c r="M951" i="1"/>
  <c r="L951" i="1"/>
  <c r="V950" i="1"/>
  <c r="Z950" i="1" s="1"/>
  <c r="U950" i="1"/>
  <c r="T950" i="1"/>
  <c r="S950" i="1"/>
  <c r="R950" i="1"/>
  <c r="Q950" i="1"/>
  <c r="M950" i="1"/>
  <c r="L950" i="1"/>
  <c r="V949" i="1"/>
  <c r="U949" i="1"/>
  <c r="T949" i="1"/>
  <c r="W949" i="1" s="1"/>
  <c r="S949" i="1"/>
  <c r="R949" i="1"/>
  <c r="Q949" i="1"/>
  <c r="M949" i="1"/>
  <c r="L949" i="1"/>
  <c r="V948" i="1"/>
  <c r="U948" i="1"/>
  <c r="T948" i="1"/>
  <c r="W948" i="1" s="1"/>
  <c r="S948" i="1"/>
  <c r="R948" i="1"/>
  <c r="Q948" i="1"/>
  <c r="M948" i="1"/>
  <c r="L948" i="1"/>
  <c r="V947" i="1"/>
  <c r="U947" i="1"/>
  <c r="T947" i="1"/>
  <c r="S947" i="1"/>
  <c r="R947" i="1"/>
  <c r="Q947" i="1"/>
  <c r="M947" i="1"/>
  <c r="L947" i="1"/>
  <c r="V946" i="1"/>
  <c r="Z946" i="1" s="1"/>
  <c r="U946" i="1"/>
  <c r="T946" i="1"/>
  <c r="S946" i="1"/>
  <c r="R946" i="1"/>
  <c r="Q946" i="1"/>
  <c r="M946" i="1"/>
  <c r="L946" i="1"/>
  <c r="V945" i="1"/>
  <c r="U945" i="1"/>
  <c r="T945" i="1"/>
  <c r="W945" i="1" s="1"/>
  <c r="S945" i="1"/>
  <c r="R945" i="1"/>
  <c r="Q945" i="1"/>
  <c r="M945" i="1"/>
  <c r="L945" i="1"/>
  <c r="V944" i="1"/>
  <c r="U944" i="1"/>
  <c r="T944" i="1"/>
  <c r="W944" i="1" s="1"/>
  <c r="S944" i="1"/>
  <c r="R944" i="1"/>
  <c r="Q944" i="1"/>
  <c r="M944" i="1"/>
  <c r="L944" i="1"/>
  <c r="V943" i="1"/>
  <c r="U943" i="1"/>
  <c r="T943" i="1"/>
  <c r="S943" i="1"/>
  <c r="R943" i="1"/>
  <c r="Q943" i="1"/>
  <c r="M943" i="1"/>
  <c r="L943" i="1"/>
  <c r="V942" i="1"/>
  <c r="Z942" i="1" s="1"/>
  <c r="U942" i="1"/>
  <c r="T942" i="1"/>
  <c r="S942" i="1"/>
  <c r="R942" i="1"/>
  <c r="Q942" i="1"/>
  <c r="M942" i="1"/>
  <c r="L942" i="1"/>
  <c r="V941" i="1"/>
  <c r="U941" i="1"/>
  <c r="T941" i="1"/>
  <c r="W941" i="1" s="1"/>
  <c r="S941" i="1"/>
  <c r="R941" i="1"/>
  <c r="Q941" i="1"/>
  <c r="M941" i="1"/>
  <c r="L941" i="1"/>
  <c r="V940" i="1"/>
  <c r="U940" i="1"/>
  <c r="T940" i="1"/>
  <c r="W940" i="1" s="1"/>
  <c r="S940" i="1"/>
  <c r="R940" i="1"/>
  <c r="Q940" i="1"/>
  <c r="M940" i="1"/>
  <c r="L940" i="1"/>
  <c r="V939" i="1"/>
  <c r="U939" i="1"/>
  <c r="T939" i="1"/>
  <c r="S939" i="1"/>
  <c r="R939" i="1"/>
  <c r="Q939" i="1"/>
  <c r="M939" i="1"/>
  <c r="L939" i="1"/>
  <c r="V938" i="1"/>
  <c r="Z938" i="1" s="1"/>
  <c r="U938" i="1"/>
  <c r="T938" i="1"/>
  <c r="S938" i="1"/>
  <c r="R938" i="1"/>
  <c r="Q938" i="1"/>
  <c r="M938" i="1"/>
  <c r="L938" i="1"/>
  <c r="V937" i="1"/>
  <c r="U937" i="1"/>
  <c r="T937" i="1"/>
  <c r="W937" i="1" s="1"/>
  <c r="S937" i="1"/>
  <c r="R937" i="1"/>
  <c r="Q937" i="1"/>
  <c r="M937" i="1"/>
  <c r="L937" i="1"/>
  <c r="V936" i="1"/>
  <c r="U936" i="1"/>
  <c r="T936" i="1"/>
  <c r="W936" i="1" s="1"/>
  <c r="S936" i="1"/>
  <c r="R936" i="1"/>
  <c r="Q936" i="1"/>
  <c r="M936" i="1"/>
  <c r="L936" i="1"/>
  <c r="V935" i="1"/>
  <c r="U935" i="1"/>
  <c r="T935" i="1"/>
  <c r="S935" i="1"/>
  <c r="R935" i="1"/>
  <c r="Q935" i="1"/>
  <c r="M935" i="1"/>
  <c r="L935" i="1"/>
  <c r="V934" i="1"/>
  <c r="Z934" i="1" s="1"/>
  <c r="U934" i="1"/>
  <c r="T934" i="1"/>
  <c r="S934" i="1"/>
  <c r="R934" i="1"/>
  <c r="Q934" i="1"/>
  <c r="M934" i="1"/>
  <c r="L934" i="1"/>
  <c r="V933" i="1"/>
  <c r="U933" i="1"/>
  <c r="T933" i="1"/>
  <c r="W933" i="1" s="1"/>
  <c r="S933" i="1"/>
  <c r="R933" i="1"/>
  <c r="Q933" i="1"/>
  <c r="M933" i="1"/>
  <c r="L933" i="1"/>
  <c r="V932" i="1"/>
  <c r="U932" i="1"/>
  <c r="T932" i="1"/>
  <c r="W932" i="1" s="1"/>
  <c r="S932" i="1"/>
  <c r="R932" i="1"/>
  <c r="Q932" i="1"/>
  <c r="M932" i="1"/>
  <c r="L932" i="1"/>
  <c r="V931" i="1"/>
  <c r="U931" i="1"/>
  <c r="T931" i="1"/>
  <c r="S931" i="1"/>
  <c r="R931" i="1"/>
  <c r="Q931" i="1"/>
  <c r="M931" i="1"/>
  <c r="L931" i="1"/>
  <c r="V930" i="1"/>
  <c r="Z930" i="1" s="1"/>
  <c r="U930" i="1"/>
  <c r="T930" i="1"/>
  <c r="S930" i="1"/>
  <c r="R930" i="1"/>
  <c r="Q930" i="1"/>
  <c r="M930" i="1"/>
  <c r="L930" i="1"/>
  <c r="V929" i="1"/>
  <c r="U929" i="1"/>
  <c r="T929" i="1"/>
  <c r="W929" i="1" s="1"/>
  <c r="S929" i="1"/>
  <c r="R929" i="1"/>
  <c r="Q929" i="1"/>
  <c r="M929" i="1"/>
  <c r="L929" i="1"/>
  <c r="V928" i="1"/>
  <c r="U928" i="1"/>
  <c r="T928" i="1"/>
  <c r="W928" i="1" s="1"/>
  <c r="S928" i="1"/>
  <c r="R928" i="1"/>
  <c r="Q928" i="1"/>
  <c r="M928" i="1"/>
  <c r="L928" i="1"/>
  <c r="V927" i="1"/>
  <c r="U927" i="1"/>
  <c r="T927" i="1"/>
  <c r="S927" i="1"/>
  <c r="R927" i="1"/>
  <c r="Q927" i="1"/>
  <c r="M927" i="1"/>
  <c r="L927" i="1"/>
  <c r="V926" i="1"/>
  <c r="Z926" i="1" s="1"/>
  <c r="U926" i="1"/>
  <c r="T926" i="1"/>
  <c r="S926" i="1"/>
  <c r="R926" i="1"/>
  <c r="Q926" i="1"/>
  <c r="M926" i="1"/>
  <c r="L926" i="1"/>
  <c r="V925" i="1"/>
  <c r="U925" i="1"/>
  <c r="T925" i="1"/>
  <c r="W925" i="1" s="1"/>
  <c r="S925" i="1"/>
  <c r="R925" i="1"/>
  <c r="Q925" i="1"/>
  <c r="M925" i="1"/>
  <c r="L925" i="1"/>
  <c r="V924" i="1"/>
  <c r="U924" i="1"/>
  <c r="T924" i="1"/>
  <c r="W924" i="1" s="1"/>
  <c r="S924" i="1"/>
  <c r="R924" i="1"/>
  <c r="Q924" i="1"/>
  <c r="M924" i="1"/>
  <c r="L924" i="1"/>
  <c r="V923" i="1"/>
  <c r="U923" i="1"/>
  <c r="T923" i="1"/>
  <c r="S923" i="1"/>
  <c r="R923" i="1"/>
  <c r="Q923" i="1"/>
  <c r="M923" i="1"/>
  <c r="L923" i="1"/>
  <c r="V922" i="1"/>
  <c r="Z922" i="1" s="1"/>
  <c r="U922" i="1"/>
  <c r="T922" i="1"/>
  <c r="S922" i="1"/>
  <c r="R922" i="1"/>
  <c r="Q922" i="1"/>
  <c r="M922" i="1"/>
  <c r="L922" i="1"/>
  <c r="V921" i="1"/>
  <c r="U921" i="1"/>
  <c r="T921" i="1"/>
  <c r="W921" i="1" s="1"/>
  <c r="S921" i="1"/>
  <c r="R921" i="1"/>
  <c r="Q921" i="1"/>
  <c r="M921" i="1"/>
  <c r="L921" i="1"/>
  <c r="V920" i="1"/>
  <c r="U920" i="1"/>
  <c r="T920" i="1"/>
  <c r="W920" i="1" s="1"/>
  <c r="S920" i="1"/>
  <c r="R920" i="1"/>
  <c r="Q920" i="1"/>
  <c r="M920" i="1"/>
  <c r="L920" i="1"/>
  <c r="V919" i="1"/>
  <c r="U919" i="1"/>
  <c r="T919" i="1"/>
  <c r="S919" i="1"/>
  <c r="R919" i="1"/>
  <c r="Q919" i="1"/>
  <c r="M919" i="1"/>
  <c r="L919" i="1"/>
  <c r="V918" i="1"/>
  <c r="Z918" i="1" s="1"/>
  <c r="U918" i="1"/>
  <c r="T918" i="1"/>
  <c r="S918" i="1"/>
  <c r="R918" i="1"/>
  <c r="Q918" i="1"/>
  <c r="M918" i="1"/>
  <c r="L918" i="1"/>
  <c r="V917" i="1"/>
  <c r="U917" i="1"/>
  <c r="T917" i="1"/>
  <c r="W917" i="1" s="1"/>
  <c r="S917" i="1"/>
  <c r="R917" i="1"/>
  <c r="Q917" i="1"/>
  <c r="M917" i="1"/>
  <c r="L917" i="1"/>
  <c r="V916" i="1"/>
  <c r="U916" i="1"/>
  <c r="T916" i="1"/>
  <c r="W916" i="1" s="1"/>
  <c r="S916" i="1"/>
  <c r="R916" i="1"/>
  <c r="Q916" i="1"/>
  <c r="M916" i="1"/>
  <c r="L916" i="1"/>
  <c r="V915" i="1"/>
  <c r="U915" i="1"/>
  <c r="T915" i="1"/>
  <c r="S915" i="1"/>
  <c r="R915" i="1"/>
  <c r="Q915" i="1"/>
  <c r="M915" i="1"/>
  <c r="L915" i="1"/>
  <c r="V914" i="1"/>
  <c r="Z914" i="1" s="1"/>
  <c r="U914" i="1"/>
  <c r="T914" i="1"/>
  <c r="S914" i="1"/>
  <c r="R914" i="1"/>
  <c r="Q914" i="1"/>
  <c r="M914" i="1"/>
  <c r="L914" i="1"/>
  <c r="V913" i="1"/>
  <c r="U913" i="1"/>
  <c r="T913" i="1"/>
  <c r="S913" i="1"/>
  <c r="R913" i="1"/>
  <c r="Q913" i="1"/>
  <c r="M913" i="1"/>
  <c r="L913" i="1"/>
  <c r="V912" i="1"/>
  <c r="U912" i="1"/>
  <c r="T912" i="1"/>
  <c r="W912" i="1" s="1"/>
  <c r="S912" i="1"/>
  <c r="R912" i="1"/>
  <c r="Q912" i="1"/>
  <c r="M912" i="1"/>
  <c r="L912" i="1"/>
  <c r="V911" i="1"/>
  <c r="U911" i="1"/>
  <c r="T911" i="1"/>
  <c r="S911" i="1"/>
  <c r="R911" i="1"/>
  <c r="Q911" i="1"/>
  <c r="M911" i="1"/>
  <c r="L911" i="1"/>
  <c r="V910" i="1"/>
  <c r="Z910" i="1" s="1"/>
  <c r="U910" i="1"/>
  <c r="T910" i="1"/>
  <c r="W910" i="1" s="1"/>
  <c r="S910" i="1"/>
  <c r="R910" i="1"/>
  <c r="Q910" i="1"/>
  <c r="M910" i="1"/>
  <c r="L910" i="1"/>
  <c r="V909" i="1"/>
  <c r="U909" i="1"/>
  <c r="T909" i="1"/>
  <c r="S909" i="1"/>
  <c r="R909" i="1"/>
  <c r="Q909" i="1"/>
  <c r="M909" i="1"/>
  <c r="L909" i="1"/>
  <c r="V908" i="1"/>
  <c r="U908" i="1"/>
  <c r="T908" i="1"/>
  <c r="W908" i="1" s="1"/>
  <c r="S908" i="1"/>
  <c r="R908" i="1"/>
  <c r="Q908" i="1"/>
  <c r="M908" i="1"/>
  <c r="L908" i="1"/>
  <c r="V907" i="1"/>
  <c r="U907" i="1"/>
  <c r="T907" i="1"/>
  <c r="S907" i="1"/>
  <c r="R907" i="1"/>
  <c r="Q907" i="1"/>
  <c r="M907" i="1"/>
  <c r="L907" i="1"/>
  <c r="V906" i="1"/>
  <c r="Z906" i="1" s="1"/>
  <c r="U906" i="1"/>
  <c r="T906" i="1"/>
  <c r="W906" i="1" s="1"/>
  <c r="S906" i="1"/>
  <c r="R906" i="1"/>
  <c r="Q906" i="1"/>
  <c r="M906" i="1"/>
  <c r="L906" i="1"/>
  <c r="V905" i="1"/>
  <c r="U905" i="1"/>
  <c r="T905" i="1"/>
  <c r="S905" i="1"/>
  <c r="R905" i="1"/>
  <c r="Q905" i="1"/>
  <c r="M905" i="1"/>
  <c r="L905" i="1"/>
  <c r="V904" i="1"/>
  <c r="U904" i="1"/>
  <c r="T904" i="1"/>
  <c r="W904" i="1" s="1"/>
  <c r="S904" i="1"/>
  <c r="R904" i="1"/>
  <c r="Q904" i="1"/>
  <c r="M904" i="1"/>
  <c r="L904" i="1"/>
  <c r="V903" i="1"/>
  <c r="U903" i="1"/>
  <c r="T903" i="1"/>
  <c r="S903" i="1"/>
  <c r="R903" i="1"/>
  <c r="Q903" i="1"/>
  <c r="M903" i="1"/>
  <c r="L903" i="1"/>
  <c r="V902" i="1"/>
  <c r="Z902" i="1" s="1"/>
  <c r="U902" i="1"/>
  <c r="T902" i="1"/>
  <c r="W902" i="1" s="1"/>
  <c r="S902" i="1"/>
  <c r="R902" i="1"/>
  <c r="Q902" i="1"/>
  <c r="M902" i="1"/>
  <c r="L902" i="1"/>
  <c r="V901" i="1"/>
  <c r="U901" i="1"/>
  <c r="T901" i="1"/>
  <c r="S901" i="1"/>
  <c r="R901" i="1"/>
  <c r="Q901" i="1"/>
  <c r="M901" i="1"/>
  <c r="L901" i="1"/>
  <c r="V900" i="1"/>
  <c r="U900" i="1"/>
  <c r="T900" i="1"/>
  <c r="W900" i="1" s="1"/>
  <c r="S900" i="1"/>
  <c r="R900" i="1"/>
  <c r="Q900" i="1"/>
  <c r="M900" i="1"/>
  <c r="L900" i="1"/>
  <c r="V899" i="1"/>
  <c r="U899" i="1"/>
  <c r="T899" i="1"/>
  <c r="S899" i="1"/>
  <c r="R899" i="1"/>
  <c r="Q899" i="1"/>
  <c r="M899" i="1"/>
  <c r="L899" i="1"/>
  <c r="V898" i="1"/>
  <c r="Z898" i="1" s="1"/>
  <c r="U898" i="1"/>
  <c r="T898" i="1"/>
  <c r="W898" i="1" s="1"/>
  <c r="S898" i="1"/>
  <c r="R898" i="1"/>
  <c r="Q898" i="1"/>
  <c r="M898" i="1"/>
  <c r="L898" i="1"/>
  <c r="V897" i="1"/>
  <c r="U897" i="1"/>
  <c r="T897" i="1"/>
  <c r="S897" i="1"/>
  <c r="R897" i="1"/>
  <c r="Q897" i="1"/>
  <c r="M897" i="1"/>
  <c r="L897" i="1"/>
  <c r="V896" i="1"/>
  <c r="U896" i="1"/>
  <c r="T896" i="1"/>
  <c r="W896" i="1" s="1"/>
  <c r="S896" i="1"/>
  <c r="R896" i="1"/>
  <c r="Q896" i="1"/>
  <c r="M896" i="1"/>
  <c r="L896" i="1"/>
  <c r="V895" i="1"/>
  <c r="U895" i="1"/>
  <c r="T895" i="1"/>
  <c r="S895" i="1"/>
  <c r="R895" i="1"/>
  <c r="Q895" i="1"/>
  <c r="M895" i="1"/>
  <c r="L895" i="1"/>
  <c r="V894" i="1"/>
  <c r="Z894" i="1" s="1"/>
  <c r="U894" i="1"/>
  <c r="T894" i="1"/>
  <c r="W894" i="1" s="1"/>
  <c r="S894" i="1"/>
  <c r="R894" i="1"/>
  <c r="Q894" i="1"/>
  <c r="M894" i="1"/>
  <c r="L894" i="1"/>
  <c r="V893" i="1"/>
  <c r="U893" i="1"/>
  <c r="T893" i="1"/>
  <c r="S893" i="1"/>
  <c r="R893" i="1"/>
  <c r="Q893" i="1"/>
  <c r="M893" i="1"/>
  <c r="L893" i="1"/>
  <c r="V892" i="1"/>
  <c r="U892" i="1"/>
  <c r="T892" i="1"/>
  <c r="W892" i="1" s="1"/>
  <c r="S892" i="1"/>
  <c r="R892" i="1"/>
  <c r="Q892" i="1"/>
  <c r="M892" i="1"/>
  <c r="L892" i="1"/>
  <c r="V891" i="1"/>
  <c r="U891" i="1"/>
  <c r="T891" i="1"/>
  <c r="S891" i="1"/>
  <c r="R891" i="1"/>
  <c r="Q891" i="1"/>
  <c r="M891" i="1"/>
  <c r="L891" i="1"/>
  <c r="V890" i="1"/>
  <c r="Z890" i="1" s="1"/>
  <c r="U890" i="1"/>
  <c r="T890" i="1"/>
  <c r="W890" i="1" s="1"/>
  <c r="S890" i="1"/>
  <c r="R890" i="1"/>
  <c r="Q890" i="1"/>
  <c r="M890" i="1"/>
  <c r="L890" i="1"/>
  <c r="V889" i="1"/>
  <c r="U889" i="1"/>
  <c r="T889" i="1"/>
  <c r="S889" i="1"/>
  <c r="R889" i="1"/>
  <c r="Q889" i="1"/>
  <c r="M889" i="1"/>
  <c r="L889" i="1"/>
  <c r="V888" i="1"/>
  <c r="U888" i="1"/>
  <c r="T888" i="1"/>
  <c r="W888" i="1" s="1"/>
  <c r="S888" i="1"/>
  <c r="R888" i="1"/>
  <c r="Q888" i="1"/>
  <c r="M888" i="1"/>
  <c r="L888" i="1"/>
  <c r="V887" i="1"/>
  <c r="U887" i="1"/>
  <c r="T887" i="1"/>
  <c r="S887" i="1"/>
  <c r="R887" i="1"/>
  <c r="Q887" i="1"/>
  <c r="M887" i="1"/>
  <c r="L887" i="1"/>
  <c r="V886" i="1"/>
  <c r="Z886" i="1" s="1"/>
  <c r="U886" i="1"/>
  <c r="T886" i="1"/>
  <c r="W886" i="1" s="1"/>
  <c r="S886" i="1"/>
  <c r="R886" i="1"/>
  <c r="Q886" i="1"/>
  <c r="M886" i="1"/>
  <c r="L886" i="1"/>
  <c r="V885" i="1"/>
  <c r="U885" i="1"/>
  <c r="T885" i="1"/>
  <c r="S885" i="1"/>
  <c r="R885" i="1"/>
  <c r="Q885" i="1"/>
  <c r="M885" i="1"/>
  <c r="L885" i="1"/>
  <c r="V884" i="1"/>
  <c r="U884" i="1"/>
  <c r="T884" i="1"/>
  <c r="W884" i="1" s="1"/>
  <c r="S884" i="1"/>
  <c r="R884" i="1"/>
  <c r="Q884" i="1"/>
  <c r="M884" i="1"/>
  <c r="L884" i="1"/>
  <c r="V883" i="1"/>
  <c r="U883" i="1"/>
  <c r="T883" i="1"/>
  <c r="S883" i="1"/>
  <c r="R883" i="1"/>
  <c r="Q883" i="1"/>
  <c r="M883" i="1"/>
  <c r="L883" i="1"/>
  <c r="V882" i="1"/>
  <c r="Z882" i="1" s="1"/>
  <c r="U882" i="1"/>
  <c r="T882" i="1"/>
  <c r="W882" i="1" s="1"/>
  <c r="S882" i="1"/>
  <c r="R882" i="1"/>
  <c r="Q882" i="1"/>
  <c r="M882" i="1"/>
  <c r="L882" i="1"/>
  <c r="V881" i="1"/>
  <c r="U881" i="1"/>
  <c r="T881" i="1"/>
  <c r="S881" i="1"/>
  <c r="R881" i="1"/>
  <c r="Q881" i="1"/>
  <c r="M881" i="1"/>
  <c r="L881" i="1"/>
  <c r="V880" i="1"/>
  <c r="U880" i="1"/>
  <c r="T880" i="1"/>
  <c r="W880" i="1" s="1"/>
  <c r="S880" i="1"/>
  <c r="R880" i="1"/>
  <c r="Q880" i="1"/>
  <c r="M880" i="1"/>
  <c r="L880" i="1"/>
  <c r="V879" i="1"/>
  <c r="U879" i="1"/>
  <c r="T879" i="1"/>
  <c r="S879" i="1"/>
  <c r="R879" i="1"/>
  <c r="Q879" i="1"/>
  <c r="M879" i="1"/>
  <c r="L879" i="1"/>
  <c r="V878" i="1"/>
  <c r="Z878" i="1" s="1"/>
  <c r="U878" i="1"/>
  <c r="T878" i="1"/>
  <c r="W878" i="1" s="1"/>
  <c r="S878" i="1"/>
  <c r="R878" i="1"/>
  <c r="Q878" i="1"/>
  <c r="M878" i="1"/>
  <c r="L878" i="1"/>
  <c r="V877" i="1"/>
  <c r="U877" i="1"/>
  <c r="T877" i="1"/>
  <c r="S877" i="1"/>
  <c r="R877" i="1"/>
  <c r="Q877" i="1"/>
  <c r="M877" i="1"/>
  <c r="L877" i="1"/>
  <c r="V876" i="1"/>
  <c r="U876" i="1"/>
  <c r="T876" i="1"/>
  <c r="W876" i="1" s="1"/>
  <c r="S876" i="1"/>
  <c r="R876" i="1"/>
  <c r="Q876" i="1"/>
  <c r="M876" i="1"/>
  <c r="L876" i="1"/>
  <c r="V875" i="1"/>
  <c r="U875" i="1"/>
  <c r="T875" i="1"/>
  <c r="S875" i="1"/>
  <c r="R875" i="1"/>
  <c r="Q875" i="1"/>
  <c r="M875" i="1"/>
  <c r="L875" i="1"/>
  <c r="V874" i="1"/>
  <c r="Z874" i="1" s="1"/>
  <c r="U874" i="1"/>
  <c r="T874" i="1"/>
  <c r="W874" i="1" s="1"/>
  <c r="S874" i="1"/>
  <c r="R874" i="1"/>
  <c r="Q874" i="1"/>
  <c r="M874" i="1"/>
  <c r="L874" i="1"/>
  <c r="V873" i="1"/>
  <c r="U873" i="1"/>
  <c r="T873" i="1"/>
  <c r="S873" i="1"/>
  <c r="R873" i="1"/>
  <c r="Q873" i="1"/>
  <c r="M873" i="1"/>
  <c r="L873" i="1"/>
  <c r="V872" i="1"/>
  <c r="U872" i="1"/>
  <c r="T872" i="1"/>
  <c r="W872" i="1" s="1"/>
  <c r="S872" i="1"/>
  <c r="R872" i="1"/>
  <c r="Q872" i="1"/>
  <c r="M872" i="1"/>
  <c r="L872" i="1"/>
  <c r="V871" i="1"/>
  <c r="U871" i="1"/>
  <c r="T871" i="1"/>
  <c r="S871" i="1"/>
  <c r="R871" i="1"/>
  <c r="Q871" i="1"/>
  <c r="M871" i="1"/>
  <c r="L871" i="1"/>
  <c r="V870" i="1"/>
  <c r="Z870" i="1" s="1"/>
  <c r="U870" i="1"/>
  <c r="T870" i="1"/>
  <c r="W870" i="1" s="1"/>
  <c r="S870" i="1"/>
  <c r="R870" i="1"/>
  <c r="Q870" i="1"/>
  <c r="M870" i="1"/>
  <c r="L870" i="1"/>
  <c r="V869" i="1"/>
  <c r="U869" i="1"/>
  <c r="T869" i="1"/>
  <c r="S869" i="1"/>
  <c r="R869" i="1"/>
  <c r="Q869" i="1"/>
  <c r="M869" i="1"/>
  <c r="L869" i="1"/>
  <c r="V868" i="1"/>
  <c r="U868" i="1"/>
  <c r="T868" i="1"/>
  <c r="W868" i="1" s="1"/>
  <c r="S868" i="1"/>
  <c r="R868" i="1"/>
  <c r="Q868" i="1"/>
  <c r="M868" i="1"/>
  <c r="L868" i="1"/>
  <c r="V867" i="1"/>
  <c r="U867" i="1"/>
  <c r="T867" i="1"/>
  <c r="S867" i="1"/>
  <c r="R867" i="1"/>
  <c r="Q867" i="1"/>
  <c r="M867" i="1"/>
  <c r="L867" i="1"/>
  <c r="V866" i="1"/>
  <c r="Z866" i="1" s="1"/>
  <c r="U866" i="1"/>
  <c r="T866" i="1"/>
  <c r="W866" i="1" s="1"/>
  <c r="S866" i="1"/>
  <c r="R866" i="1"/>
  <c r="Q866" i="1"/>
  <c r="M866" i="1"/>
  <c r="L866" i="1"/>
  <c r="V865" i="1"/>
  <c r="U865" i="1"/>
  <c r="T865" i="1"/>
  <c r="S865" i="1"/>
  <c r="R865" i="1"/>
  <c r="Q865" i="1"/>
  <c r="M865" i="1"/>
  <c r="L865" i="1"/>
  <c r="V864" i="1"/>
  <c r="U864" i="1"/>
  <c r="T864" i="1"/>
  <c r="W864" i="1" s="1"/>
  <c r="S864" i="1"/>
  <c r="R864" i="1"/>
  <c r="Q864" i="1"/>
  <c r="M864" i="1"/>
  <c r="L864" i="1"/>
  <c r="V863" i="1"/>
  <c r="U863" i="1"/>
  <c r="T863" i="1"/>
  <c r="S863" i="1"/>
  <c r="R863" i="1"/>
  <c r="Q863" i="1"/>
  <c r="M863" i="1"/>
  <c r="L863" i="1"/>
  <c r="V862" i="1"/>
  <c r="Z862" i="1" s="1"/>
  <c r="U862" i="1"/>
  <c r="T862" i="1"/>
  <c r="W862" i="1" s="1"/>
  <c r="S862" i="1"/>
  <c r="R862" i="1"/>
  <c r="Q862" i="1"/>
  <c r="M862" i="1"/>
  <c r="L862" i="1"/>
  <c r="V861" i="1"/>
  <c r="U861" i="1"/>
  <c r="T861" i="1"/>
  <c r="S861" i="1"/>
  <c r="R861" i="1"/>
  <c r="Q861" i="1"/>
  <c r="M861" i="1"/>
  <c r="L861" i="1"/>
  <c r="V860" i="1"/>
  <c r="U860" i="1"/>
  <c r="T860" i="1"/>
  <c r="W860" i="1" s="1"/>
  <c r="S860" i="1"/>
  <c r="R860" i="1"/>
  <c r="Q860" i="1"/>
  <c r="M860" i="1"/>
  <c r="L860" i="1"/>
  <c r="V859" i="1"/>
  <c r="U859" i="1"/>
  <c r="T859" i="1"/>
  <c r="S859" i="1"/>
  <c r="R859" i="1"/>
  <c r="Q859" i="1"/>
  <c r="M859" i="1"/>
  <c r="L859" i="1"/>
  <c r="V858" i="1"/>
  <c r="Z858" i="1" s="1"/>
  <c r="U858" i="1"/>
  <c r="T858" i="1"/>
  <c r="W858" i="1" s="1"/>
  <c r="S858" i="1"/>
  <c r="R858" i="1"/>
  <c r="Q858" i="1"/>
  <c r="M858" i="1"/>
  <c r="L858" i="1"/>
  <c r="V857" i="1"/>
  <c r="U857" i="1"/>
  <c r="T857" i="1"/>
  <c r="S857" i="1"/>
  <c r="R857" i="1"/>
  <c r="Q857" i="1"/>
  <c r="M857" i="1"/>
  <c r="L857" i="1"/>
  <c r="V856" i="1"/>
  <c r="U856" i="1"/>
  <c r="T856" i="1"/>
  <c r="W856" i="1" s="1"/>
  <c r="S856" i="1"/>
  <c r="R856" i="1"/>
  <c r="Q856" i="1"/>
  <c r="M856" i="1"/>
  <c r="L856" i="1"/>
  <c r="V855" i="1"/>
  <c r="U855" i="1"/>
  <c r="T855" i="1"/>
  <c r="S855" i="1"/>
  <c r="R855" i="1"/>
  <c r="Q855" i="1"/>
  <c r="M855" i="1"/>
  <c r="L855" i="1"/>
  <c r="V854" i="1"/>
  <c r="Z854" i="1" s="1"/>
  <c r="U854" i="1"/>
  <c r="T854" i="1"/>
  <c r="W854" i="1" s="1"/>
  <c r="S854" i="1"/>
  <c r="R854" i="1"/>
  <c r="Q854" i="1"/>
  <c r="M854" i="1"/>
  <c r="L854" i="1"/>
  <c r="V853" i="1"/>
  <c r="U853" i="1"/>
  <c r="T853" i="1"/>
  <c r="S853" i="1"/>
  <c r="R853" i="1"/>
  <c r="Q853" i="1"/>
  <c r="M853" i="1"/>
  <c r="L853" i="1"/>
  <c r="V852" i="1"/>
  <c r="U852" i="1"/>
  <c r="T852" i="1"/>
  <c r="W852" i="1" s="1"/>
  <c r="S852" i="1"/>
  <c r="R852" i="1"/>
  <c r="Q852" i="1"/>
  <c r="M852" i="1"/>
  <c r="L852" i="1"/>
  <c r="V851" i="1"/>
  <c r="U851" i="1"/>
  <c r="T851" i="1"/>
  <c r="S851" i="1"/>
  <c r="R851" i="1"/>
  <c r="Q851" i="1"/>
  <c r="M851" i="1"/>
  <c r="L851" i="1"/>
  <c r="V850" i="1"/>
  <c r="Z850" i="1" s="1"/>
  <c r="U850" i="1"/>
  <c r="T850" i="1"/>
  <c r="W850" i="1" s="1"/>
  <c r="S850" i="1"/>
  <c r="R850" i="1"/>
  <c r="Q850" i="1"/>
  <c r="M850" i="1"/>
  <c r="L850" i="1"/>
  <c r="V849" i="1"/>
  <c r="U849" i="1"/>
  <c r="T849" i="1"/>
  <c r="S849" i="1"/>
  <c r="R849" i="1"/>
  <c r="Q849" i="1"/>
  <c r="M849" i="1"/>
  <c r="L849" i="1"/>
  <c r="V848" i="1"/>
  <c r="U848" i="1"/>
  <c r="T848" i="1"/>
  <c r="W848" i="1" s="1"/>
  <c r="S848" i="1"/>
  <c r="R848" i="1"/>
  <c r="Q848" i="1"/>
  <c r="M848" i="1"/>
  <c r="L848" i="1"/>
  <c r="V847" i="1"/>
  <c r="U847" i="1"/>
  <c r="T847" i="1"/>
  <c r="S847" i="1"/>
  <c r="R847" i="1"/>
  <c r="Q847" i="1"/>
  <c r="M847" i="1"/>
  <c r="L847" i="1"/>
  <c r="V846" i="1"/>
  <c r="Z846" i="1" s="1"/>
  <c r="U846" i="1"/>
  <c r="T846" i="1"/>
  <c r="W846" i="1" s="1"/>
  <c r="S846" i="1"/>
  <c r="R846" i="1"/>
  <c r="Q846" i="1"/>
  <c r="M846" i="1"/>
  <c r="L846" i="1"/>
  <c r="V845" i="1"/>
  <c r="U845" i="1"/>
  <c r="T845" i="1"/>
  <c r="S845" i="1"/>
  <c r="R845" i="1"/>
  <c r="Q845" i="1"/>
  <c r="M845" i="1"/>
  <c r="L845" i="1"/>
  <c r="V844" i="1"/>
  <c r="U844" i="1"/>
  <c r="T844" i="1"/>
  <c r="W844" i="1" s="1"/>
  <c r="S844" i="1"/>
  <c r="R844" i="1"/>
  <c r="Q844" i="1"/>
  <c r="M844" i="1"/>
  <c r="L844" i="1"/>
  <c r="V843" i="1"/>
  <c r="U843" i="1"/>
  <c r="T843" i="1"/>
  <c r="S843" i="1"/>
  <c r="R843" i="1"/>
  <c r="Q843" i="1"/>
  <c r="M843" i="1"/>
  <c r="L843" i="1"/>
  <c r="V842" i="1"/>
  <c r="Z842" i="1" s="1"/>
  <c r="U842" i="1"/>
  <c r="T842" i="1"/>
  <c r="W842" i="1" s="1"/>
  <c r="S842" i="1"/>
  <c r="R842" i="1"/>
  <c r="Q842" i="1"/>
  <c r="M842" i="1"/>
  <c r="L842" i="1"/>
  <c r="V841" i="1"/>
  <c r="U841" i="1"/>
  <c r="T841" i="1"/>
  <c r="S841" i="1"/>
  <c r="R841" i="1"/>
  <c r="Q841" i="1"/>
  <c r="M841" i="1"/>
  <c r="L841" i="1"/>
  <c r="V840" i="1"/>
  <c r="U840" i="1"/>
  <c r="T840" i="1"/>
  <c r="W840" i="1" s="1"/>
  <c r="S840" i="1"/>
  <c r="R840" i="1"/>
  <c r="Q840" i="1"/>
  <c r="M840" i="1"/>
  <c r="L840" i="1"/>
  <c r="V839" i="1"/>
  <c r="U839" i="1"/>
  <c r="T839" i="1"/>
  <c r="S839" i="1"/>
  <c r="R839" i="1"/>
  <c r="Q839" i="1"/>
  <c r="M839" i="1"/>
  <c r="L839" i="1"/>
  <c r="V838" i="1"/>
  <c r="Z838" i="1" s="1"/>
  <c r="U838" i="1"/>
  <c r="T838" i="1"/>
  <c r="W838" i="1" s="1"/>
  <c r="S838" i="1"/>
  <c r="R838" i="1"/>
  <c r="Q838" i="1"/>
  <c r="M838" i="1"/>
  <c r="L838" i="1"/>
  <c r="V837" i="1"/>
  <c r="U837" i="1"/>
  <c r="T837" i="1"/>
  <c r="S837" i="1"/>
  <c r="R837" i="1"/>
  <c r="Q837" i="1"/>
  <c r="M837" i="1"/>
  <c r="L837" i="1"/>
  <c r="V836" i="1"/>
  <c r="U836" i="1"/>
  <c r="T836" i="1"/>
  <c r="W836" i="1" s="1"/>
  <c r="S836" i="1"/>
  <c r="R836" i="1"/>
  <c r="Q836" i="1"/>
  <c r="M836" i="1"/>
  <c r="L836" i="1"/>
  <c r="V835" i="1"/>
  <c r="U835" i="1"/>
  <c r="T835" i="1"/>
  <c r="S835" i="1"/>
  <c r="R835" i="1"/>
  <c r="Q835" i="1"/>
  <c r="M835" i="1"/>
  <c r="L835" i="1"/>
  <c r="V834" i="1"/>
  <c r="Z834" i="1" s="1"/>
  <c r="U834" i="1"/>
  <c r="T834" i="1"/>
  <c r="W834" i="1" s="1"/>
  <c r="S834" i="1"/>
  <c r="R834" i="1"/>
  <c r="Q834" i="1"/>
  <c r="M834" i="1"/>
  <c r="L834" i="1"/>
  <c r="V833" i="1"/>
  <c r="U833" i="1"/>
  <c r="T833" i="1"/>
  <c r="S833" i="1"/>
  <c r="R833" i="1"/>
  <c r="Q833" i="1"/>
  <c r="M833" i="1"/>
  <c r="L833" i="1"/>
  <c r="V832" i="1"/>
  <c r="U832" i="1"/>
  <c r="T832" i="1"/>
  <c r="W832" i="1" s="1"/>
  <c r="S832" i="1"/>
  <c r="R832" i="1"/>
  <c r="Q832" i="1"/>
  <c r="M832" i="1"/>
  <c r="L832" i="1"/>
  <c r="V831" i="1"/>
  <c r="U831" i="1"/>
  <c r="T831" i="1"/>
  <c r="S831" i="1"/>
  <c r="R831" i="1"/>
  <c r="Q831" i="1"/>
  <c r="M831" i="1"/>
  <c r="L831" i="1"/>
  <c r="V830" i="1"/>
  <c r="Z830" i="1" s="1"/>
  <c r="U830" i="1"/>
  <c r="T830" i="1"/>
  <c r="W830" i="1" s="1"/>
  <c r="S830" i="1"/>
  <c r="R830" i="1"/>
  <c r="Q830" i="1"/>
  <c r="M830" i="1"/>
  <c r="L830" i="1"/>
  <c r="V829" i="1"/>
  <c r="U829" i="1"/>
  <c r="T829" i="1"/>
  <c r="S829" i="1"/>
  <c r="R829" i="1"/>
  <c r="Q829" i="1"/>
  <c r="M829" i="1"/>
  <c r="L829" i="1"/>
  <c r="V828" i="1"/>
  <c r="U828" i="1"/>
  <c r="T828" i="1"/>
  <c r="W828" i="1" s="1"/>
  <c r="S828" i="1"/>
  <c r="R828" i="1"/>
  <c r="Q828" i="1"/>
  <c r="M828" i="1"/>
  <c r="L828" i="1"/>
  <c r="V827" i="1"/>
  <c r="U827" i="1"/>
  <c r="T827" i="1"/>
  <c r="S827" i="1"/>
  <c r="R827" i="1"/>
  <c r="Q827" i="1"/>
  <c r="M827" i="1"/>
  <c r="L827" i="1"/>
  <c r="V826" i="1"/>
  <c r="Z826" i="1" s="1"/>
  <c r="U826" i="1"/>
  <c r="T826" i="1"/>
  <c r="W826" i="1" s="1"/>
  <c r="S826" i="1"/>
  <c r="R826" i="1"/>
  <c r="Q826" i="1"/>
  <c r="M826" i="1"/>
  <c r="L826" i="1"/>
  <c r="V825" i="1"/>
  <c r="U825" i="1"/>
  <c r="T825" i="1"/>
  <c r="S825" i="1"/>
  <c r="R825" i="1"/>
  <c r="Q825" i="1"/>
  <c r="M825" i="1"/>
  <c r="L825" i="1"/>
  <c r="V824" i="1"/>
  <c r="U824" i="1"/>
  <c r="T824" i="1"/>
  <c r="W824" i="1" s="1"/>
  <c r="S824" i="1"/>
  <c r="R824" i="1"/>
  <c r="Q824" i="1"/>
  <c r="M824" i="1"/>
  <c r="L824" i="1"/>
  <c r="V823" i="1"/>
  <c r="U823" i="1"/>
  <c r="T823" i="1"/>
  <c r="S823" i="1"/>
  <c r="R823" i="1"/>
  <c r="Q823" i="1"/>
  <c r="M823" i="1"/>
  <c r="L823" i="1"/>
  <c r="V822" i="1"/>
  <c r="Z822" i="1" s="1"/>
  <c r="U822" i="1"/>
  <c r="T822" i="1"/>
  <c r="W822" i="1" s="1"/>
  <c r="S822" i="1"/>
  <c r="R822" i="1"/>
  <c r="Q822" i="1"/>
  <c r="M822" i="1"/>
  <c r="L822" i="1"/>
  <c r="V821" i="1"/>
  <c r="U821" i="1"/>
  <c r="T821" i="1"/>
  <c r="S821" i="1"/>
  <c r="R821" i="1"/>
  <c r="Q821" i="1"/>
  <c r="M821" i="1"/>
  <c r="L821" i="1"/>
  <c r="V820" i="1"/>
  <c r="U820" i="1"/>
  <c r="T820" i="1"/>
  <c r="W820" i="1" s="1"/>
  <c r="S820" i="1"/>
  <c r="R820" i="1"/>
  <c r="Q820" i="1"/>
  <c r="M820" i="1"/>
  <c r="L820" i="1"/>
  <c r="V819" i="1"/>
  <c r="U819" i="1"/>
  <c r="T819" i="1"/>
  <c r="S819" i="1"/>
  <c r="R819" i="1"/>
  <c r="Q819" i="1"/>
  <c r="M819" i="1"/>
  <c r="L819" i="1"/>
  <c r="V818" i="1"/>
  <c r="Z818" i="1" s="1"/>
  <c r="U818" i="1"/>
  <c r="T818" i="1"/>
  <c r="W818" i="1" s="1"/>
  <c r="S818" i="1"/>
  <c r="R818" i="1"/>
  <c r="Q818" i="1"/>
  <c r="M818" i="1"/>
  <c r="L818" i="1"/>
  <c r="V817" i="1"/>
  <c r="U817" i="1"/>
  <c r="T817" i="1"/>
  <c r="S817" i="1"/>
  <c r="R817" i="1"/>
  <c r="Q817" i="1"/>
  <c r="M817" i="1"/>
  <c r="L817" i="1"/>
  <c r="V816" i="1"/>
  <c r="U816" i="1"/>
  <c r="T816" i="1"/>
  <c r="W816" i="1" s="1"/>
  <c r="S816" i="1"/>
  <c r="R816" i="1"/>
  <c r="Q816" i="1"/>
  <c r="M816" i="1"/>
  <c r="L816" i="1"/>
  <c r="V815" i="1"/>
  <c r="U815" i="1"/>
  <c r="T815" i="1"/>
  <c r="S815" i="1"/>
  <c r="R815" i="1"/>
  <c r="Q815" i="1"/>
  <c r="M815" i="1"/>
  <c r="L815" i="1"/>
  <c r="V814" i="1"/>
  <c r="Z814" i="1" s="1"/>
  <c r="U814" i="1"/>
  <c r="T814" i="1"/>
  <c r="W814" i="1" s="1"/>
  <c r="S814" i="1"/>
  <c r="R814" i="1"/>
  <c r="Q814" i="1"/>
  <c r="M814" i="1"/>
  <c r="L814" i="1"/>
  <c r="V813" i="1"/>
  <c r="U813" i="1"/>
  <c r="T813" i="1"/>
  <c r="S813" i="1"/>
  <c r="R813" i="1"/>
  <c r="Q813" i="1"/>
  <c r="M813" i="1"/>
  <c r="L813" i="1"/>
  <c r="V812" i="1"/>
  <c r="U812" i="1"/>
  <c r="T812" i="1"/>
  <c r="W812" i="1" s="1"/>
  <c r="S812" i="1"/>
  <c r="R812" i="1"/>
  <c r="Q812" i="1"/>
  <c r="M812" i="1"/>
  <c r="L812" i="1"/>
  <c r="V811" i="1"/>
  <c r="U811" i="1"/>
  <c r="T811" i="1"/>
  <c r="S811" i="1"/>
  <c r="R811" i="1"/>
  <c r="Q811" i="1"/>
  <c r="M811" i="1"/>
  <c r="L811" i="1"/>
  <c r="V810" i="1"/>
  <c r="Z810" i="1" s="1"/>
  <c r="U810" i="1"/>
  <c r="T810" i="1"/>
  <c r="W810" i="1" s="1"/>
  <c r="S810" i="1"/>
  <c r="R810" i="1"/>
  <c r="Q810" i="1"/>
  <c r="M810" i="1"/>
  <c r="L810" i="1"/>
  <c r="V809" i="1"/>
  <c r="U809" i="1"/>
  <c r="T809" i="1"/>
  <c r="S809" i="1"/>
  <c r="R809" i="1"/>
  <c r="Q809" i="1"/>
  <c r="M809" i="1"/>
  <c r="L809" i="1"/>
  <c r="V808" i="1"/>
  <c r="U808" i="1"/>
  <c r="T808" i="1"/>
  <c r="W808" i="1" s="1"/>
  <c r="S808" i="1"/>
  <c r="R808" i="1"/>
  <c r="Q808" i="1"/>
  <c r="M808" i="1"/>
  <c r="L808" i="1"/>
  <c r="V807" i="1"/>
  <c r="U807" i="1"/>
  <c r="T807" i="1"/>
  <c r="S807" i="1"/>
  <c r="R807" i="1"/>
  <c r="Q807" i="1"/>
  <c r="M807" i="1"/>
  <c r="L807" i="1"/>
  <c r="V806" i="1"/>
  <c r="Z806" i="1" s="1"/>
  <c r="U806" i="1"/>
  <c r="T806" i="1"/>
  <c r="W806" i="1" s="1"/>
  <c r="S806" i="1"/>
  <c r="R806" i="1"/>
  <c r="Q806" i="1"/>
  <c r="M806" i="1"/>
  <c r="L806" i="1"/>
  <c r="V805" i="1"/>
  <c r="U805" i="1"/>
  <c r="T805" i="1"/>
  <c r="S805" i="1"/>
  <c r="R805" i="1"/>
  <c r="Q805" i="1"/>
  <c r="M805" i="1"/>
  <c r="L805" i="1"/>
  <c r="V804" i="1"/>
  <c r="U804" i="1"/>
  <c r="T804" i="1"/>
  <c r="W804" i="1" s="1"/>
  <c r="S804" i="1"/>
  <c r="R804" i="1"/>
  <c r="Q804" i="1"/>
  <c r="M804" i="1"/>
  <c r="L804" i="1"/>
  <c r="V803" i="1"/>
  <c r="U803" i="1"/>
  <c r="T803" i="1"/>
  <c r="S803" i="1"/>
  <c r="R803" i="1"/>
  <c r="Q803" i="1"/>
  <c r="M803" i="1"/>
  <c r="L803" i="1"/>
  <c r="V802" i="1"/>
  <c r="Z802" i="1" s="1"/>
  <c r="U802" i="1"/>
  <c r="T802" i="1"/>
  <c r="W802" i="1" s="1"/>
  <c r="S802" i="1"/>
  <c r="R802" i="1"/>
  <c r="Q802" i="1"/>
  <c r="M802" i="1"/>
  <c r="L802" i="1"/>
  <c r="V801" i="1"/>
  <c r="U801" i="1"/>
  <c r="T801" i="1"/>
  <c r="S801" i="1"/>
  <c r="R801" i="1"/>
  <c r="Q801" i="1"/>
  <c r="M801" i="1"/>
  <c r="L801" i="1"/>
  <c r="V800" i="1"/>
  <c r="U800" i="1"/>
  <c r="T800" i="1"/>
  <c r="W800" i="1" s="1"/>
  <c r="S800" i="1"/>
  <c r="R800" i="1"/>
  <c r="Q800" i="1"/>
  <c r="M800" i="1"/>
  <c r="L800" i="1"/>
  <c r="V799" i="1"/>
  <c r="U799" i="1"/>
  <c r="T799" i="1"/>
  <c r="S799" i="1"/>
  <c r="R799" i="1"/>
  <c r="Q799" i="1"/>
  <c r="M799" i="1"/>
  <c r="L799" i="1"/>
  <c r="V798" i="1"/>
  <c r="Z798" i="1" s="1"/>
  <c r="U798" i="1"/>
  <c r="T798" i="1"/>
  <c r="W798" i="1" s="1"/>
  <c r="S798" i="1"/>
  <c r="R798" i="1"/>
  <c r="Q798" i="1"/>
  <c r="M798" i="1"/>
  <c r="L798" i="1"/>
  <c r="V797" i="1"/>
  <c r="U797" i="1"/>
  <c r="T797" i="1"/>
  <c r="S797" i="1"/>
  <c r="R797" i="1"/>
  <c r="Q797" i="1"/>
  <c r="M797" i="1"/>
  <c r="L797" i="1"/>
  <c r="V796" i="1"/>
  <c r="U796" i="1"/>
  <c r="T796" i="1"/>
  <c r="W796" i="1" s="1"/>
  <c r="S796" i="1"/>
  <c r="R796" i="1"/>
  <c r="Q796" i="1"/>
  <c r="M796" i="1"/>
  <c r="L796" i="1"/>
  <c r="V795" i="1"/>
  <c r="U795" i="1"/>
  <c r="T795" i="1"/>
  <c r="S795" i="1"/>
  <c r="R795" i="1"/>
  <c r="Q795" i="1"/>
  <c r="M795" i="1"/>
  <c r="L795" i="1"/>
  <c r="V794" i="1"/>
  <c r="Z794" i="1" s="1"/>
  <c r="U794" i="1"/>
  <c r="T794" i="1"/>
  <c r="W794" i="1" s="1"/>
  <c r="S794" i="1"/>
  <c r="R794" i="1"/>
  <c r="Q794" i="1"/>
  <c r="M794" i="1"/>
  <c r="L794" i="1"/>
  <c r="V793" i="1"/>
  <c r="U793" i="1"/>
  <c r="T793" i="1"/>
  <c r="S793" i="1"/>
  <c r="R793" i="1"/>
  <c r="Q793" i="1"/>
  <c r="M793" i="1"/>
  <c r="L793" i="1"/>
  <c r="V792" i="1"/>
  <c r="U792" i="1"/>
  <c r="T792" i="1"/>
  <c r="W792" i="1" s="1"/>
  <c r="S792" i="1"/>
  <c r="R792" i="1"/>
  <c r="Q792" i="1"/>
  <c r="M792" i="1"/>
  <c r="L792" i="1"/>
  <c r="V791" i="1"/>
  <c r="U791" i="1"/>
  <c r="T791" i="1"/>
  <c r="S791" i="1"/>
  <c r="R791" i="1"/>
  <c r="Q791" i="1"/>
  <c r="M791" i="1"/>
  <c r="L791" i="1"/>
  <c r="V790" i="1"/>
  <c r="Z790" i="1" s="1"/>
  <c r="U790" i="1"/>
  <c r="T790" i="1"/>
  <c r="W790" i="1" s="1"/>
  <c r="S790" i="1"/>
  <c r="R790" i="1"/>
  <c r="Q790" i="1"/>
  <c r="M790" i="1"/>
  <c r="L790" i="1"/>
  <c r="V789" i="1"/>
  <c r="U789" i="1"/>
  <c r="T789" i="1"/>
  <c r="S789" i="1"/>
  <c r="R789" i="1"/>
  <c r="Q789" i="1"/>
  <c r="M789" i="1"/>
  <c r="L789" i="1"/>
  <c r="V788" i="1"/>
  <c r="U788" i="1"/>
  <c r="T788" i="1"/>
  <c r="W788" i="1" s="1"/>
  <c r="S788" i="1"/>
  <c r="R788" i="1"/>
  <c r="Q788" i="1"/>
  <c r="M788" i="1"/>
  <c r="L788" i="1"/>
  <c r="V787" i="1"/>
  <c r="U787" i="1"/>
  <c r="T787" i="1"/>
  <c r="S787" i="1"/>
  <c r="R787" i="1"/>
  <c r="Q787" i="1"/>
  <c r="M787" i="1"/>
  <c r="L787" i="1"/>
  <c r="V786" i="1"/>
  <c r="Z786" i="1" s="1"/>
  <c r="U786" i="1"/>
  <c r="T786" i="1"/>
  <c r="W786" i="1" s="1"/>
  <c r="S786" i="1"/>
  <c r="R786" i="1"/>
  <c r="Q786" i="1"/>
  <c r="M786" i="1"/>
  <c r="L786" i="1"/>
  <c r="V785" i="1"/>
  <c r="U785" i="1"/>
  <c r="T785" i="1"/>
  <c r="S785" i="1"/>
  <c r="R785" i="1"/>
  <c r="Q785" i="1"/>
  <c r="M785" i="1"/>
  <c r="L785" i="1"/>
  <c r="V784" i="1"/>
  <c r="U784" i="1"/>
  <c r="T784" i="1"/>
  <c r="W784" i="1" s="1"/>
  <c r="S784" i="1"/>
  <c r="R784" i="1"/>
  <c r="Q784" i="1"/>
  <c r="M784" i="1"/>
  <c r="L784" i="1"/>
  <c r="V783" i="1"/>
  <c r="U783" i="1"/>
  <c r="T783" i="1"/>
  <c r="S783" i="1"/>
  <c r="R783" i="1"/>
  <c r="Q783" i="1"/>
  <c r="M783" i="1"/>
  <c r="L783" i="1"/>
  <c r="V782" i="1"/>
  <c r="Z782" i="1" s="1"/>
  <c r="U782" i="1"/>
  <c r="T782" i="1"/>
  <c r="W782" i="1" s="1"/>
  <c r="S782" i="1"/>
  <c r="R782" i="1"/>
  <c r="Q782" i="1"/>
  <c r="M782" i="1"/>
  <c r="L782" i="1"/>
  <c r="V781" i="1"/>
  <c r="U781" i="1"/>
  <c r="T781" i="1"/>
  <c r="S781" i="1"/>
  <c r="R781" i="1"/>
  <c r="Q781" i="1"/>
  <c r="M781" i="1"/>
  <c r="L781" i="1"/>
  <c r="V780" i="1"/>
  <c r="U780" i="1"/>
  <c r="T780" i="1"/>
  <c r="W780" i="1" s="1"/>
  <c r="S780" i="1"/>
  <c r="R780" i="1"/>
  <c r="Q780" i="1"/>
  <c r="M780" i="1"/>
  <c r="L780" i="1"/>
  <c r="V779" i="1"/>
  <c r="U779" i="1"/>
  <c r="T779" i="1"/>
  <c r="S779" i="1"/>
  <c r="R779" i="1"/>
  <c r="Q779" i="1"/>
  <c r="M779" i="1"/>
  <c r="L779" i="1"/>
  <c r="V778" i="1"/>
  <c r="Z778" i="1" s="1"/>
  <c r="U778" i="1"/>
  <c r="T778" i="1"/>
  <c r="W778" i="1" s="1"/>
  <c r="S778" i="1"/>
  <c r="R778" i="1"/>
  <c r="Q778" i="1"/>
  <c r="M778" i="1"/>
  <c r="L778" i="1"/>
  <c r="V777" i="1"/>
  <c r="U777" i="1"/>
  <c r="T777" i="1"/>
  <c r="S777" i="1"/>
  <c r="R777" i="1"/>
  <c r="Q777" i="1"/>
  <c r="M777" i="1"/>
  <c r="L777" i="1"/>
  <c r="V776" i="1"/>
  <c r="U776" i="1"/>
  <c r="T776" i="1"/>
  <c r="W776" i="1" s="1"/>
  <c r="S776" i="1"/>
  <c r="R776" i="1"/>
  <c r="Q776" i="1"/>
  <c r="M776" i="1"/>
  <c r="L776" i="1"/>
  <c r="V775" i="1"/>
  <c r="U775" i="1"/>
  <c r="T775" i="1"/>
  <c r="S775" i="1"/>
  <c r="R775" i="1"/>
  <c r="Q775" i="1"/>
  <c r="M775" i="1"/>
  <c r="L775" i="1"/>
  <c r="V774" i="1"/>
  <c r="Z774" i="1" s="1"/>
  <c r="U774" i="1"/>
  <c r="T774" i="1"/>
  <c r="W774" i="1" s="1"/>
  <c r="S774" i="1"/>
  <c r="R774" i="1"/>
  <c r="Q774" i="1"/>
  <c r="M774" i="1"/>
  <c r="L774" i="1"/>
  <c r="V773" i="1"/>
  <c r="U773" i="1"/>
  <c r="T773" i="1"/>
  <c r="S773" i="1"/>
  <c r="R773" i="1"/>
  <c r="Q773" i="1"/>
  <c r="M773" i="1"/>
  <c r="L773" i="1"/>
  <c r="V772" i="1"/>
  <c r="U772" i="1"/>
  <c r="T772" i="1"/>
  <c r="W772" i="1" s="1"/>
  <c r="S772" i="1"/>
  <c r="R772" i="1"/>
  <c r="Q772" i="1"/>
  <c r="M772" i="1"/>
  <c r="L772" i="1"/>
  <c r="V771" i="1"/>
  <c r="U771" i="1"/>
  <c r="T771" i="1"/>
  <c r="S771" i="1"/>
  <c r="R771" i="1"/>
  <c r="Q771" i="1"/>
  <c r="M771" i="1"/>
  <c r="L771" i="1"/>
  <c r="V770" i="1"/>
  <c r="Z770" i="1" s="1"/>
  <c r="U770" i="1"/>
  <c r="T770" i="1"/>
  <c r="W770" i="1" s="1"/>
  <c r="S770" i="1"/>
  <c r="R770" i="1"/>
  <c r="Q770" i="1"/>
  <c r="M770" i="1"/>
  <c r="L770" i="1"/>
  <c r="V769" i="1"/>
  <c r="U769" i="1"/>
  <c r="T769" i="1"/>
  <c r="S769" i="1"/>
  <c r="R769" i="1"/>
  <c r="Q769" i="1"/>
  <c r="M769" i="1"/>
  <c r="L769" i="1"/>
  <c r="V768" i="1"/>
  <c r="U768" i="1"/>
  <c r="T768" i="1"/>
  <c r="W768" i="1" s="1"/>
  <c r="S768" i="1"/>
  <c r="R768" i="1"/>
  <c r="Q768" i="1"/>
  <c r="M768" i="1"/>
  <c r="L768" i="1"/>
  <c r="V767" i="1"/>
  <c r="U767" i="1"/>
  <c r="T767" i="1"/>
  <c r="S767" i="1"/>
  <c r="R767" i="1"/>
  <c r="Q767" i="1"/>
  <c r="M767" i="1"/>
  <c r="L767" i="1"/>
  <c r="V766" i="1"/>
  <c r="Z766" i="1" s="1"/>
  <c r="U766" i="1"/>
  <c r="T766" i="1"/>
  <c r="W766" i="1" s="1"/>
  <c r="S766" i="1"/>
  <c r="R766" i="1"/>
  <c r="Q766" i="1"/>
  <c r="M766" i="1"/>
  <c r="L766" i="1"/>
  <c r="V765" i="1"/>
  <c r="U765" i="1"/>
  <c r="T765" i="1"/>
  <c r="S765" i="1"/>
  <c r="R765" i="1"/>
  <c r="Q765" i="1"/>
  <c r="M765" i="1"/>
  <c r="L765" i="1"/>
  <c r="V764" i="1"/>
  <c r="U764" i="1"/>
  <c r="T764" i="1"/>
  <c r="W764" i="1" s="1"/>
  <c r="S764" i="1"/>
  <c r="R764" i="1"/>
  <c r="Q764" i="1"/>
  <c r="M764" i="1"/>
  <c r="L764" i="1"/>
  <c r="V763" i="1"/>
  <c r="U763" i="1"/>
  <c r="T763" i="1"/>
  <c r="S763" i="1"/>
  <c r="R763" i="1"/>
  <c r="Q763" i="1"/>
  <c r="M763" i="1"/>
  <c r="L763" i="1"/>
  <c r="V762" i="1"/>
  <c r="Z762" i="1" s="1"/>
  <c r="U762" i="1"/>
  <c r="T762" i="1"/>
  <c r="W762" i="1" s="1"/>
  <c r="S762" i="1"/>
  <c r="R762" i="1"/>
  <c r="Q762" i="1"/>
  <c r="M762" i="1"/>
  <c r="L762" i="1"/>
  <c r="V761" i="1"/>
  <c r="U761" i="1"/>
  <c r="T761" i="1"/>
  <c r="S761" i="1"/>
  <c r="R761" i="1"/>
  <c r="Q761" i="1"/>
  <c r="M761" i="1"/>
  <c r="L761" i="1"/>
  <c r="V760" i="1"/>
  <c r="U760" i="1"/>
  <c r="T760" i="1"/>
  <c r="W760" i="1" s="1"/>
  <c r="S760" i="1"/>
  <c r="R760" i="1"/>
  <c r="Q760" i="1"/>
  <c r="M760" i="1"/>
  <c r="L760" i="1"/>
  <c r="V759" i="1"/>
  <c r="U759" i="1"/>
  <c r="T759" i="1"/>
  <c r="S759" i="1"/>
  <c r="R759" i="1"/>
  <c r="Q759" i="1"/>
  <c r="M759" i="1"/>
  <c r="L759" i="1"/>
  <c r="V758" i="1"/>
  <c r="Z758" i="1" s="1"/>
  <c r="U758" i="1"/>
  <c r="T758" i="1"/>
  <c r="W758" i="1" s="1"/>
  <c r="S758" i="1"/>
  <c r="R758" i="1"/>
  <c r="Q758" i="1"/>
  <c r="M758" i="1"/>
  <c r="L758" i="1"/>
  <c r="V757" i="1"/>
  <c r="U757" i="1"/>
  <c r="T757" i="1"/>
  <c r="S757" i="1"/>
  <c r="R757" i="1"/>
  <c r="Q757" i="1"/>
  <c r="M757" i="1"/>
  <c r="L757" i="1"/>
  <c r="V756" i="1"/>
  <c r="U756" i="1"/>
  <c r="T756" i="1"/>
  <c r="W756" i="1" s="1"/>
  <c r="S756" i="1"/>
  <c r="R756" i="1"/>
  <c r="Q756" i="1"/>
  <c r="M756" i="1"/>
  <c r="L756" i="1"/>
  <c r="V755" i="1"/>
  <c r="U755" i="1"/>
  <c r="T755" i="1"/>
  <c r="S755" i="1"/>
  <c r="R755" i="1"/>
  <c r="Q755" i="1"/>
  <c r="M755" i="1"/>
  <c r="L755" i="1"/>
  <c r="V754" i="1"/>
  <c r="Z754" i="1" s="1"/>
  <c r="U754" i="1"/>
  <c r="T754" i="1"/>
  <c r="W754" i="1" s="1"/>
  <c r="S754" i="1"/>
  <c r="R754" i="1"/>
  <c r="Q754" i="1"/>
  <c r="M754" i="1"/>
  <c r="L754" i="1"/>
  <c r="V753" i="1"/>
  <c r="U753" i="1"/>
  <c r="T753" i="1"/>
  <c r="S753" i="1"/>
  <c r="R753" i="1"/>
  <c r="Q753" i="1"/>
  <c r="M753" i="1"/>
  <c r="L753" i="1"/>
  <c r="V752" i="1"/>
  <c r="U752" i="1"/>
  <c r="T752" i="1"/>
  <c r="W752" i="1" s="1"/>
  <c r="S752" i="1"/>
  <c r="R752" i="1"/>
  <c r="Q752" i="1"/>
  <c r="M752" i="1"/>
  <c r="L752" i="1"/>
  <c r="V751" i="1"/>
  <c r="U751" i="1"/>
  <c r="T751" i="1"/>
  <c r="S751" i="1"/>
  <c r="R751" i="1"/>
  <c r="Q751" i="1"/>
  <c r="M751" i="1"/>
  <c r="L751" i="1"/>
  <c r="V750" i="1"/>
  <c r="Z750" i="1" s="1"/>
  <c r="U750" i="1"/>
  <c r="T750" i="1"/>
  <c r="W750" i="1" s="1"/>
  <c r="S750" i="1"/>
  <c r="R750" i="1"/>
  <c r="Q750" i="1"/>
  <c r="M750" i="1"/>
  <c r="L750" i="1"/>
  <c r="V749" i="1"/>
  <c r="U749" i="1"/>
  <c r="T749" i="1"/>
  <c r="S749" i="1"/>
  <c r="R749" i="1"/>
  <c r="Q749" i="1"/>
  <c r="M749" i="1"/>
  <c r="L749" i="1"/>
  <c r="V748" i="1"/>
  <c r="U748" i="1"/>
  <c r="T748" i="1"/>
  <c r="W748" i="1" s="1"/>
  <c r="S748" i="1"/>
  <c r="R748" i="1"/>
  <c r="Q748" i="1"/>
  <c r="M748" i="1"/>
  <c r="L748" i="1"/>
  <c r="V747" i="1"/>
  <c r="U747" i="1"/>
  <c r="T747" i="1"/>
  <c r="S747" i="1"/>
  <c r="R747" i="1"/>
  <c r="Q747" i="1"/>
  <c r="M747" i="1"/>
  <c r="L747" i="1"/>
  <c r="V746" i="1"/>
  <c r="Z746" i="1" s="1"/>
  <c r="U746" i="1"/>
  <c r="T746" i="1"/>
  <c r="W746" i="1" s="1"/>
  <c r="S746" i="1"/>
  <c r="R746" i="1"/>
  <c r="Q746" i="1"/>
  <c r="M746" i="1"/>
  <c r="L746" i="1"/>
  <c r="V745" i="1"/>
  <c r="U745" i="1"/>
  <c r="T745" i="1"/>
  <c r="S745" i="1"/>
  <c r="R745" i="1"/>
  <c r="Q745" i="1"/>
  <c r="M745" i="1"/>
  <c r="L745" i="1"/>
  <c r="V744" i="1"/>
  <c r="U744" i="1"/>
  <c r="T744" i="1"/>
  <c r="W744" i="1" s="1"/>
  <c r="S744" i="1"/>
  <c r="R744" i="1"/>
  <c r="Q744" i="1"/>
  <c r="M744" i="1"/>
  <c r="L744" i="1"/>
  <c r="V743" i="1"/>
  <c r="U743" i="1"/>
  <c r="T743" i="1"/>
  <c r="S743" i="1"/>
  <c r="R743" i="1"/>
  <c r="Q743" i="1"/>
  <c r="M743" i="1"/>
  <c r="L743" i="1"/>
  <c r="V742" i="1"/>
  <c r="Z742" i="1" s="1"/>
  <c r="U742" i="1"/>
  <c r="T742" i="1"/>
  <c r="W742" i="1" s="1"/>
  <c r="S742" i="1"/>
  <c r="R742" i="1"/>
  <c r="Q742" i="1"/>
  <c r="M742" i="1"/>
  <c r="L742" i="1"/>
  <c r="V741" i="1"/>
  <c r="U741" i="1"/>
  <c r="T741" i="1"/>
  <c r="S741" i="1"/>
  <c r="R741" i="1"/>
  <c r="Q741" i="1"/>
  <c r="M741" i="1"/>
  <c r="L741" i="1"/>
  <c r="V740" i="1"/>
  <c r="U740" i="1"/>
  <c r="T740" i="1"/>
  <c r="W740" i="1" s="1"/>
  <c r="S740" i="1"/>
  <c r="R740" i="1"/>
  <c r="Q740" i="1"/>
  <c r="M740" i="1"/>
  <c r="L740" i="1"/>
  <c r="V739" i="1"/>
  <c r="U739" i="1"/>
  <c r="T739" i="1"/>
  <c r="S739" i="1"/>
  <c r="R739" i="1"/>
  <c r="Q739" i="1"/>
  <c r="M739" i="1"/>
  <c r="L739" i="1"/>
  <c r="V738" i="1"/>
  <c r="Z738" i="1" s="1"/>
  <c r="U738" i="1"/>
  <c r="T738" i="1"/>
  <c r="W738" i="1" s="1"/>
  <c r="S738" i="1"/>
  <c r="R738" i="1"/>
  <c r="Q738" i="1"/>
  <c r="M738" i="1"/>
  <c r="L738" i="1"/>
  <c r="V737" i="1"/>
  <c r="U737" i="1"/>
  <c r="T737" i="1"/>
  <c r="S737" i="1"/>
  <c r="R737" i="1"/>
  <c r="Q737" i="1"/>
  <c r="M737" i="1"/>
  <c r="L737" i="1"/>
  <c r="V736" i="1"/>
  <c r="U736" i="1"/>
  <c r="T736" i="1"/>
  <c r="W736" i="1" s="1"/>
  <c r="S736" i="1"/>
  <c r="R736" i="1"/>
  <c r="Q736" i="1"/>
  <c r="M736" i="1"/>
  <c r="L736" i="1"/>
  <c r="V735" i="1"/>
  <c r="U735" i="1"/>
  <c r="T735" i="1"/>
  <c r="S735" i="1"/>
  <c r="R735" i="1"/>
  <c r="Q735" i="1"/>
  <c r="M735" i="1"/>
  <c r="L735" i="1"/>
  <c r="V734" i="1"/>
  <c r="Z734" i="1" s="1"/>
  <c r="U734" i="1"/>
  <c r="T734" i="1"/>
  <c r="W734" i="1" s="1"/>
  <c r="S734" i="1"/>
  <c r="R734" i="1"/>
  <c r="Q734" i="1"/>
  <c r="M734" i="1"/>
  <c r="L734" i="1"/>
  <c r="V733" i="1"/>
  <c r="U733" i="1"/>
  <c r="T733" i="1"/>
  <c r="S733" i="1"/>
  <c r="R733" i="1"/>
  <c r="Q733" i="1"/>
  <c r="M733" i="1"/>
  <c r="L733" i="1"/>
  <c r="V732" i="1"/>
  <c r="U732" i="1"/>
  <c r="T732" i="1"/>
  <c r="W732" i="1" s="1"/>
  <c r="S732" i="1"/>
  <c r="R732" i="1"/>
  <c r="Q732" i="1"/>
  <c r="M732" i="1"/>
  <c r="L732" i="1"/>
  <c r="V731" i="1"/>
  <c r="U731" i="1"/>
  <c r="T731" i="1"/>
  <c r="S731" i="1"/>
  <c r="R731" i="1"/>
  <c r="Q731" i="1"/>
  <c r="M731" i="1"/>
  <c r="L731" i="1"/>
  <c r="V730" i="1"/>
  <c r="Z730" i="1" s="1"/>
  <c r="U730" i="1"/>
  <c r="T730" i="1"/>
  <c r="W730" i="1" s="1"/>
  <c r="S730" i="1"/>
  <c r="R730" i="1"/>
  <c r="Q730" i="1"/>
  <c r="M730" i="1"/>
  <c r="L730" i="1"/>
  <c r="V729" i="1"/>
  <c r="U729" i="1"/>
  <c r="T729" i="1"/>
  <c r="S729" i="1"/>
  <c r="R729" i="1"/>
  <c r="Q729" i="1"/>
  <c r="M729" i="1"/>
  <c r="L729" i="1"/>
  <c r="V728" i="1"/>
  <c r="U728" i="1"/>
  <c r="T728" i="1"/>
  <c r="W728" i="1" s="1"/>
  <c r="S728" i="1"/>
  <c r="R728" i="1"/>
  <c r="Q728" i="1"/>
  <c r="M728" i="1"/>
  <c r="L728" i="1"/>
  <c r="V727" i="1"/>
  <c r="U727" i="1"/>
  <c r="T727" i="1"/>
  <c r="S727" i="1"/>
  <c r="R727" i="1"/>
  <c r="Q727" i="1"/>
  <c r="M727" i="1"/>
  <c r="L727" i="1"/>
  <c r="V726" i="1"/>
  <c r="Z726" i="1" s="1"/>
  <c r="U726" i="1"/>
  <c r="T726" i="1"/>
  <c r="W726" i="1" s="1"/>
  <c r="S726" i="1"/>
  <c r="R726" i="1"/>
  <c r="Q726" i="1"/>
  <c r="M726" i="1"/>
  <c r="L726" i="1"/>
  <c r="V725" i="1"/>
  <c r="U725" i="1"/>
  <c r="T725" i="1"/>
  <c r="S725" i="1"/>
  <c r="R725" i="1"/>
  <c r="Q725" i="1"/>
  <c r="M725" i="1"/>
  <c r="L725" i="1"/>
  <c r="V724" i="1"/>
  <c r="U724" i="1"/>
  <c r="T724" i="1"/>
  <c r="W724" i="1" s="1"/>
  <c r="S724" i="1"/>
  <c r="R724" i="1"/>
  <c r="Q724" i="1"/>
  <c r="M724" i="1"/>
  <c r="L724" i="1"/>
  <c r="V723" i="1"/>
  <c r="U723" i="1"/>
  <c r="T723" i="1"/>
  <c r="S723" i="1"/>
  <c r="R723" i="1"/>
  <c r="Q723" i="1"/>
  <c r="M723" i="1"/>
  <c r="L723" i="1"/>
  <c r="V722" i="1"/>
  <c r="Z722" i="1" s="1"/>
  <c r="U722" i="1"/>
  <c r="T722" i="1"/>
  <c r="W722" i="1" s="1"/>
  <c r="S722" i="1"/>
  <c r="R722" i="1"/>
  <c r="Q722" i="1"/>
  <c r="M722" i="1"/>
  <c r="L722" i="1"/>
  <c r="V721" i="1"/>
  <c r="U721" i="1"/>
  <c r="T721" i="1"/>
  <c r="S721" i="1"/>
  <c r="R721" i="1"/>
  <c r="Q721" i="1"/>
  <c r="M721" i="1"/>
  <c r="L721" i="1"/>
  <c r="V720" i="1"/>
  <c r="U720" i="1"/>
  <c r="T720" i="1"/>
  <c r="W720" i="1" s="1"/>
  <c r="S720" i="1"/>
  <c r="R720" i="1"/>
  <c r="Q720" i="1"/>
  <c r="M720" i="1"/>
  <c r="L720" i="1"/>
  <c r="V719" i="1"/>
  <c r="U719" i="1"/>
  <c r="T719" i="1"/>
  <c r="S719" i="1"/>
  <c r="R719" i="1"/>
  <c r="Q719" i="1"/>
  <c r="M719" i="1"/>
  <c r="L719" i="1"/>
  <c r="V718" i="1"/>
  <c r="Z718" i="1" s="1"/>
  <c r="U718" i="1"/>
  <c r="T718" i="1"/>
  <c r="W718" i="1" s="1"/>
  <c r="S718" i="1"/>
  <c r="R718" i="1"/>
  <c r="Q718" i="1"/>
  <c r="M718" i="1"/>
  <c r="L718" i="1"/>
  <c r="V717" i="1"/>
  <c r="U717" i="1"/>
  <c r="T717" i="1"/>
  <c r="S717" i="1"/>
  <c r="R717" i="1"/>
  <c r="Q717" i="1"/>
  <c r="M717" i="1"/>
  <c r="L717" i="1"/>
  <c r="V716" i="1"/>
  <c r="U716" i="1"/>
  <c r="T716" i="1"/>
  <c r="W716" i="1" s="1"/>
  <c r="S716" i="1"/>
  <c r="R716" i="1"/>
  <c r="Q716" i="1"/>
  <c r="M716" i="1"/>
  <c r="L716" i="1"/>
  <c r="V715" i="1"/>
  <c r="U715" i="1"/>
  <c r="T715" i="1"/>
  <c r="S715" i="1"/>
  <c r="R715" i="1"/>
  <c r="Q715" i="1"/>
  <c r="M715" i="1"/>
  <c r="L715" i="1"/>
  <c r="V714" i="1"/>
  <c r="Z714" i="1" s="1"/>
  <c r="U714" i="1"/>
  <c r="T714" i="1"/>
  <c r="W714" i="1" s="1"/>
  <c r="S714" i="1"/>
  <c r="R714" i="1"/>
  <c r="Q714" i="1"/>
  <c r="M714" i="1"/>
  <c r="L714" i="1"/>
  <c r="V713" i="1"/>
  <c r="U713" i="1"/>
  <c r="T713" i="1"/>
  <c r="S713" i="1"/>
  <c r="R713" i="1"/>
  <c r="Q713" i="1"/>
  <c r="M713" i="1"/>
  <c r="L713" i="1"/>
  <c r="V712" i="1"/>
  <c r="U712" i="1"/>
  <c r="T712" i="1"/>
  <c r="W712" i="1" s="1"/>
  <c r="S712" i="1"/>
  <c r="R712" i="1"/>
  <c r="Q712" i="1"/>
  <c r="M712" i="1"/>
  <c r="L712" i="1"/>
  <c r="V711" i="1"/>
  <c r="U711" i="1"/>
  <c r="T711" i="1"/>
  <c r="S711" i="1"/>
  <c r="R711" i="1"/>
  <c r="Q711" i="1"/>
  <c r="M711" i="1"/>
  <c r="L711" i="1"/>
  <c r="V710" i="1"/>
  <c r="Z710" i="1" s="1"/>
  <c r="U710" i="1"/>
  <c r="T710" i="1"/>
  <c r="W710" i="1" s="1"/>
  <c r="S710" i="1"/>
  <c r="R710" i="1"/>
  <c r="Q710" i="1"/>
  <c r="M710" i="1"/>
  <c r="L710" i="1"/>
  <c r="V709" i="1"/>
  <c r="U709" i="1"/>
  <c r="T709" i="1"/>
  <c r="S709" i="1"/>
  <c r="R709" i="1"/>
  <c r="Q709" i="1"/>
  <c r="M709" i="1"/>
  <c r="L709" i="1"/>
  <c r="V708" i="1"/>
  <c r="U708" i="1"/>
  <c r="T708" i="1"/>
  <c r="W708" i="1" s="1"/>
  <c r="S708" i="1"/>
  <c r="R708" i="1"/>
  <c r="Q708" i="1"/>
  <c r="M708" i="1"/>
  <c r="L708" i="1"/>
  <c r="V707" i="1"/>
  <c r="U707" i="1"/>
  <c r="T707" i="1"/>
  <c r="S707" i="1"/>
  <c r="R707" i="1"/>
  <c r="Q707" i="1"/>
  <c r="M707" i="1"/>
  <c r="L707" i="1"/>
  <c r="V706" i="1"/>
  <c r="Z706" i="1" s="1"/>
  <c r="U706" i="1"/>
  <c r="T706" i="1"/>
  <c r="W706" i="1" s="1"/>
  <c r="S706" i="1"/>
  <c r="R706" i="1"/>
  <c r="Q706" i="1"/>
  <c r="M706" i="1"/>
  <c r="L706" i="1"/>
  <c r="V705" i="1"/>
  <c r="U705" i="1"/>
  <c r="T705" i="1"/>
  <c r="S705" i="1"/>
  <c r="R705" i="1"/>
  <c r="Q705" i="1"/>
  <c r="M705" i="1"/>
  <c r="L705" i="1"/>
  <c r="V704" i="1"/>
  <c r="U704" i="1"/>
  <c r="T704" i="1"/>
  <c r="W704" i="1" s="1"/>
  <c r="S704" i="1"/>
  <c r="R704" i="1"/>
  <c r="Q704" i="1"/>
  <c r="M704" i="1"/>
  <c r="L704" i="1"/>
  <c r="V703" i="1"/>
  <c r="U703" i="1"/>
  <c r="T703" i="1"/>
  <c r="S703" i="1"/>
  <c r="R703" i="1"/>
  <c r="Q703" i="1"/>
  <c r="M703" i="1"/>
  <c r="L703" i="1"/>
  <c r="V702" i="1"/>
  <c r="Z702" i="1" s="1"/>
  <c r="U702" i="1"/>
  <c r="T702" i="1"/>
  <c r="W702" i="1" s="1"/>
  <c r="S702" i="1"/>
  <c r="R702" i="1"/>
  <c r="Q702" i="1"/>
  <c r="M702" i="1"/>
  <c r="L702" i="1"/>
  <c r="V701" i="1"/>
  <c r="U701" i="1"/>
  <c r="T701" i="1"/>
  <c r="S701" i="1"/>
  <c r="R701" i="1"/>
  <c r="Q701" i="1"/>
  <c r="M701" i="1"/>
  <c r="L701" i="1"/>
  <c r="V700" i="1"/>
  <c r="U700" i="1"/>
  <c r="T700" i="1"/>
  <c r="W700" i="1" s="1"/>
  <c r="S700" i="1"/>
  <c r="R700" i="1"/>
  <c r="Q700" i="1"/>
  <c r="M700" i="1"/>
  <c r="L700" i="1"/>
  <c r="V699" i="1"/>
  <c r="U699" i="1"/>
  <c r="T699" i="1"/>
  <c r="S699" i="1"/>
  <c r="R699" i="1"/>
  <c r="Q699" i="1"/>
  <c r="M699" i="1"/>
  <c r="L699" i="1"/>
  <c r="V698" i="1"/>
  <c r="Z698" i="1" s="1"/>
  <c r="U698" i="1"/>
  <c r="T698" i="1"/>
  <c r="W698" i="1" s="1"/>
  <c r="S698" i="1"/>
  <c r="R698" i="1"/>
  <c r="Q698" i="1"/>
  <c r="M698" i="1"/>
  <c r="L698" i="1"/>
  <c r="V697" i="1"/>
  <c r="U697" i="1"/>
  <c r="T697" i="1"/>
  <c r="S697" i="1"/>
  <c r="R697" i="1"/>
  <c r="Q697" i="1"/>
  <c r="M697" i="1"/>
  <c r="L697" i="1"/>
  <c r="V696" i="1"/>
  <c r="U696" i="1"/>
  <c r="T696" i="1"/>
  <c r="W696" i="1" s="1"/>
  <c r="S696" i="1"/>
  <c r="R696" i="1"/>
  <c r="Q696" i="1"/>
  <c r="M696" i="1"/>
  <c r="L696" i="1"/>
  <c r="V695" i="1"/>
  <c r="U695" i="1"/>
  <c r="T695" i="1"/>
  <c r="S695" i="1"/>
  <c r="R695" i="1"/>
  <c r="Q695" i="1"/>
  <c r="M695" i="1"/>
  <c r="L695" i="1"/>
  <c r="V694" i="1"/>
  <c r="Z694" i="1" s="1"/>
  <c r="U694" i="1"/>
  <c r="T694" i="1"/>
  <c r="W694" i="1" s="1"/>
  <c r="S694" i="1"/>
  <c r="R694" i="1"/>
  <c r="Q694" i="1"/>
  <c r="M694" i="1"/>
  <c r="L694" i="1"/>
  <c r="V693" i="1"/>
  <c r="U693" i="1"/>
  <c r="T693" i="1"/>
  <c r="S693" i="1"/>
  <c r="R693" i="1"/>
  <c r="Q693" i="1"/>
  <c r="M693" i="1"/>
  <c r="L693" i="1"/>
  <c r="V692" i="1"/>
  <c r="U692" i="1"/>
  <c r="T692" i="1"/>
  <c r="W692" i="1" s="1"/>
  <c r="S692" i="1"/>
  <c r="R692" i="1"/>
  <c r="Q692" i="1"/>
  <c r="M692" i="1"/>
  <c r="L692" i="1"/>
  <c r="V691" i="1"/>
  <c r="U691" i="1"/>
  <c r="T691" i="1"/>
  <c r="S691" i="1"/>
  <c r="R691" i="1"/>
  <c r="Q691" i="1"/>
  <c r="M691" i="1"/>
  <c r="L691" i="1"/>
  <c r="V690" i="1"/>
  <c r="Z690" i="1" s="1"/>
  <c r="U690" i="1"/>
  <c r="T690" i="1"/>
  <c r="W690" i="1" s="1"/>
  <c r="S690" i="1"/>
  <c r="R690" i="1"/>
  <c r="Q690" i="1"/>
  <c r="M690" i="1"/>
  <c r="L690" i="1"/>
  <c r="V689" i="1"/>
  <c r="U689" i="1"/>
  <c r="T689" i="1"/>
  <c r="S689" i="1"/>
  <c r="R689" i="1"/>
  <c r="Q689" i="1"/>
  <c r="M689" i="1"/>
  <c r="L689" i="1"/>
  <c r="V688" i="1"/>
  <c r="U688" i="1"/>
  <c r="T688" i="1"/>
  <c r="W688" i="1" s="1"/>
  <c r="S688" i="1"/>
  <c r="R688" i="1"/>
  <c r="Q688" i="1"/>
  <c r="M688" i="1"/>
  <c r="L688" i="1"/>
  <c r="V687" i="1"/>
  <c r="U687" i="1"/>
  <c r="T687" i="1"/>
  <c r="S687" i="1"/>
  <c r="R687" i="1"/>
  <c r="Q687" i="1"/>
  <c r="M687" i="1"/>
  <c r="L687" i="1"/>
  <c r="V686" i="1"/>
  <c r="Z686" i="1" s="1"/>
  <c r="U686" i="1"/>
  <c r="T686" i="1"/>
  <c r="W686" i="1" s="1"/>
  <c r="S686" i="1"/>
  <c r="R686" i="1"/>
  <c r="Q686" i="1"/>
  <c r="M686" i="1"/>
  <c r="L686" i="1"/>
  <c r="V685" i="1"/>
  <c r="U685" i="1"/>
  <c r="T685" i="1"/>
  <c r="S685" i="1"/>
  <c r="R685" i="1"/>
  <c r="Q685" i="1"/>
  <c r="M685" i="1"/>
  <c r="L685" i="1"/>
  <c r="V684" i="1"/>
  <c r="U684" i="1"/>
  <c r="T684" i="1"/>
  <c r="W684" i="1" s="1"/>
  <c r="S684" i="1"/>
  <c r="R684" i="1"/>
  <c r="Q684" i="1"/>
  <c r="M684" i="1"/>
  <c r="L684" i="1"/>
  <c r="V683" i="1"/>
  <c r="U683" i="1"/>
  <c r="T683" i="1"/>
  <c r="S683" i="1"/>
  <c r="R683" i="1"/>
  <c r="Q683" i="1"/>
  <c r="M683" i="1"/>
  <c r="L683" i="1"/>
  <c r="V682" i="1"/>
  <c r="Z682" i="1" s="1"/>
  <c r="U682" i="1"/>
  <c r="T682" i="1"/>
  <c r="W682" i="1" s="1"/>
  <c r="S682" i="1"/>
  <c r="R682" i="1"/>
  <c r="Q682" i="1"/>
  <c r="M682" i="1"/>
  <c r="L682" i="1"/>
  <c r="V681" i="1"/>
  <c r="U681" i="1"/>
  <c r="T681" i="1"/>
  <c r="S681" i="1"/>
  <c r="R681" i="1"/>
  <c r="Q681" i="1"/>
  <c r="M681" i="1"/>
  <c r="L681" i="1"/>
  <c r="V680" i="1"/>
  <c r="U680" i="1"/>
  <c r="T680" i="1"/>
  <c r="W680" i="1" s="1"/>
  <c r="S680" i="1"/>
  <c r="R680" i="1"/>
  <c r="Q680" i="1"/>
  <c r="M680" i="1"/>
  <c r="L680" i="1"/>
  <c r="V679" i="1"/>
  <c r="U679" i="1"/>
  <c r="T679" i="1"/>
  <c r="S679" i="1"/>
  <c r="R679" i="1"/>
  <c r="Q679" i="1"/>
  <c r="M679" i="1"/>
  <c r="L679" i="1"/>
  <c r="V678" i="1"/>
  <c r="Z678" i="1" s="1"/>
  <c r="U678" i="1"/>
  <c r="T678" i="1"/>
  <c r="W678" i="1" s="1"/>
  <c r="S678" i="1"/>
  <c r="R678" i="1"/>
  <c r="Q678" i="1"/>
  <c r="M678" i="1"/>
  <c r="L678" i="1"/>
  <c r="V677" i="1"/>
  <c r="U677" i="1"/>
  <c r="T677" i="1"/>
  <c r="S677" i="1"/>
  <c r="R677" i="1"/>
  <c r="Q677" i="1"/>
  <c r="M677" i="1"/>
  <c r="L677" i="1"/>
  <c r="V676" i="1"/>
  <c r="U676" i="1"/>
  <c r="T676" i="1"/>
  <c r="W676" i="1" s="1"/>
  <c r="S676" i="1"/>
  <c r="R676" i="1"/>
  <c r="Q676" i="1"/>
  <c r="M676" i="1"/>
  <c r="L676" i="1"/>
  <c r="V675" i="1"/>
  <c r="U675" i="1"/>
  <c r="T675" i="1"/>
  <c r="S675" i="1"/>
  <c r="R675" i="1"/>
  <c r="Q675" i="1"/>
  <c r="M675" i="1"/>
  <c r="L675" i="1"/>
  <c r="V674" i="1"/>
  <c r="Z674" i="1" s="1"/>
  <c r="U674" i="1"/>
  <c r="T674" i="1"/>
  <c r="W674" i="1" s="1"/>
  <c r="S674" i="1"/>
  <c r="R674" i="1"/>
  <c r="Q674" i="1"/>
  <c r="M674" i="1"/>
  <c r="L674" i="1"/>
  <c r="V673" i="1"/>
  <c r="U673" i="1"/>
  <c r="T673" i="1"/>
  <c r="S673" i="1"/>
  <c r="R673" i="1"/>
  <c r="Q673" i="1"/>
  <c r="M673" i="1"/>
  <c r="L673" i="1"/>
  <c r="V672" i="1"/>
  <c r="U672" i="1"/>
  <c r="T672" i="1"/>
  <c r="W672" i="1" s="1"/>
  <c r="S672" i="1"/>
  <c r="R672" i="1"/>
  <c r="Q672" i="1"/>
  <c r="M672" i="1"/>
  <c r="L672" i="1"/>
  <c r="V671" i="1"/>
  <c r="U671" i="1"/>
  <c r="T671" i="1"/>
  <c r="S671" i="1"/>
  <c r="R671" i="1"/>
  <c r="Q671" i="1"/>
  <c r="M671" i="1"/>
  <c r="L671" i="1"/>
  <c r="V670" i="1"/>
  <c r="Z670" i="1" s="1"/>
  <c r="U670" i="1"/>
  <c r="T670" i="1"/>
  <c r="W670" i="1" s="1"/>
  <c r="S670" i="1"/>
  <c r="R670" i="1"/>
  <c r="Q670" i="1"/>
  <c r="M670" i="1"/>
  <c r="L670" i="1"/>
  <c r="V669" i="1"/>
  <c r="U669" i="1"/>
  <c r="T669" i="1"/>
  <c r="S669" i="1"/>
  <c r="R669" i="1"/>
  <c r="Q669" i="1"/>
  <c r="M669" i="1"/>
  <c r="L669" i="1"/>
  <c r="V668" i="1"/>
  <c r="U668" i="1"/>
  <c r="T668" i="1"/>
  <c r="W668" i="1" s="1"/>
  <c r="S668" i="1"/>
  <c r="R668" i="1"/>
  <c r="Q668" i="1"/>
  <c r="M668" i="1"/>
  <c r="L668" i="1"/>
  <c r="V667" i="1"/>
  <c r="U667" i="1"/>
  <c r="T667" i="1"/>
  <c r="S667" i="1"/>
  <c r="R667" i="1"/>
  <c r="Q667" i="1"/>
  <c r="M667" i="1"/>
  <c r="L667" i="1"/>
  <c r="V666" i="1"/>
  <c r="Z666" i="1" s="1"/>
  <c r="U666" i="1"/>
  <c r="T666" i="1"/>
  <c r="W666" i="1" s="1"/>
  <c r="S666" i="1"/>
  <c r="R666" i="1"/>
  <c r="Q666" i="1"/>
  <c r="M666" i="1"/>
  <c r="L666" i="1"/>
  <c r="V665" i="1"/>
  <c r="U665" i="1"/>
  <c r="T665" i="1"/>
  <c r="S665" i="1"/>
  <c r="R665" i="1"/>
  <c r="Q665" i="1"/>
  <c r="M665" i="1"/>
  <c r="L665" i="1"/>
  <c r="V664" i="1"/>
  <c r="U664" i="1"/>
  <c r="T664" i="1"/>
  <c r="W664" i="1" s="1"/>
  <c r="S664" i="1"/>
  <c r="R664" i="1"/>
  <c r="Q664" i="1"/>
  <c r="M664" i="1"/>
  <c r="L664" i="1"/>
  <c r="V663" i="1"/>
  <c r="U663" i="1"/>
  <c r="T663" i="1"/>
  <c r="S663" i="1"/>
  <c r="R663" i="1"/>
  <c r="Q663" i="1"/>
  <c r="M663" i="1"/>
  <c r="L663" i="1"/>
  <c r="V662" i="1"/>
  <c r="Z662" i="1" s="1"/>
  <c r="U662" i="1"/>
  <c r="T662" i="1"/>
  <c r="W662" i="1" s="1"/>
  <c r="S662" i="1"/>
  <c r="R662" i="1"/>
  <c r="Q662" i="1"/>
  <c r="M662" i="1"/>
  <c r="L662" i="1"/>
  <c r="V661" i="1"/>
  <c r="U661" i="1"/>
  <c r="T661" i="1"/>
  <c r="S661" i="1"/>
  <c r="R661" i="1"/>
  <c r="Q661" i="1"/>
  <c r="M661" i="1"/>
  <c r="L661" i="1"/>
  <c r="V660" i="1"/>
  <c r="U660" i="1"/>
  <c r="T660" i="1"/>
  <c r="W660" i="1" s="1"/>
  <c r="S660" i="1"/>
  <c r="R660" i="1"/>
  <c r="Q660" i="1"/>
  <c r="M660" i="1"/>
  <c r="L660" i="1"/>
  <c r="V659" i="1"/>
  <c r="U659" i="1"/>
  <c r="T659" i="1"/>
  <c r="S659" i="1"/>
  <c r="R659" i="1"/>
  <c r="Q659" i="1"/>
  <c r="M659" i="1"/>
  <c r="L659" i="1"/>
  <c r="V658" i="1"/>
  <c r="Z658" i="1" s="1"/>
  <c r="U658" i="1"/>
  <c r="T658" i="1"/>
  <c r="W658" i="1" s="1"/>
  <c r="S658" i="1"/>
  <c r="R658" i="1"/>
  <c r="Q658" i="1"/>
  <c r="M658" i="1"/>
  <c r="L658" i="1"/>
  <c r="V657" i="1"/>
  <c r="U657" i="1"/>
  <c r="T657" i="1"/>
  <c r="S657" i="1"/>
  <c r="R657" i="1"/>
  <c r="Q657" i="1"/>
  <c r="M657" i="1"/>
  <c r="L657" i="1"/>
  <c r="V656" i="1"/>
  <c r="U656" i="1"/>
  <c r="T656" i="1"/>
  <c r="W656" i="1" s="1"/>
  <c r="S656" i="1"/>
  <c r="R656" i="1"/>
  <c r="Q656" i="1"/>
  <c r="M656" i="1"/>
  <c r="L656" i="1"/>
  <c r="V655" i="1"/>
  <c r="U655" i="1"/>
  <c r="T655" i="1"/>
  <c r="S655" i="1"/>
  <c r="R655" i="1"/>
  <c r="Q655" i="1"/>
  <c r="M655" i="1"/>
  <c r="L655" i="1"/>
  <c r="V654" i="1"/>
  <c r="Z654" i="1" s="1"/>
  <c r="U654" i="1"/>
  <c r="T654" i="1"/>
  <c r="W654" i="1" s="1"/>
  <c r="S654" i="1"/>
  <c r="R654" i="1"/>
  <c r="Q654" i="1"/>
  <c r="M654" i="1"/>
  <c r="L654" i="1"/>
  <c r="V653" i="1"/>
  <c r="U653" i="1"/>
  <c r="T653" i="1"/>
  <c r="S653" i="1"/>
  <c r="R653" i="1"/>
  <c r="Q653" i="1"/>
  <c r="M653" i="1"/>
  <c r="L653" i="1"/>
  <c r="V652" i="1"/>
  <c r="U652" i="1"/>
  <c r="T652" i="1"/>
  <c r="W652" i="1" s="1"/>
  <c r="S652" i="1"/>
  <c r="R652" i="1"/>
  <c r="Q652" i="1"/>
  <c r="M652" i="1"/>
  <c r="L652" i="1"/>
  <c r="V651" i="1"/>
  <c r="U651" i="1"/>
  <c r="T651" i="1"/>
  <c r="S651" i="1"/>
  <c r="R651" i="1"/>
  <c r="Q651" i="1"/>
  <c r="M651" i="1"/>
  <c r="L651" i="1"/>
  <c r="V650" i="1"/>
  <c r="Z650" i="1" s="1"/>
  <c r="U650" i="1"/>
  <c r="T650" i="1"/>
  <c r="W650" i="1" s="1"/>
  <c r="S650" i="1"/>
  <c r="R650" i="1"/>
  <c r="Q650" i="1"/>
  <c r="M650" i="1"/>
  <c r="L650" i="1"/>
  <c r="V649" i="1"/>
  <c r="U649" i="1"/>
  <c r="T649" i="1"/>
  <c r="S649" i="1"/>
  <c r="R649" i="1"/>
  <c r="Q649" i="1"/>
  <c r="M649" i="1"/>
  <c r="L649" i="1"/>
  <c r="V648" i="1"/>
  <c r="U648" i="1"/>
  <c r="T648" i="1"/>
  <c r="W648" i="1" s="1"/>
  <c r="S648" i="1"/>
  <c r="R648" i="1"/>
  <c r="Q648" i="1"/>
  <c r="M648" i="1"/>
  <c r="L648" i="1"/>
  <c r="V647" i="1"/>
  <c r="U647" i="1"/>
  <c r="T647" i="1"/>
  <c r="S647" i="1"/>
  <c r="R647" i="1"/>
  <c r="Q647" i="1"/>
  <c r="M647" i="1"/>
  <c r="L647" i="1"/>
  <c r="V646" i="1"/>
  <c r="Z646" i="1" s="1"/>
  <c r="U646" i="1"/>
  <c r="T646" i="1"/>
  <c r="W646" i="1" s="1"/>
  <c r="S646" i="1"/>
  <c r="R646" i="1"/>
  <c r="Q646" i="1"/>
  <c r="M646" i="1"/>
  <c r="L646" i="1"/>
  <c r="V645" i="1"/>
  <c r="U645" i="1"/>
  <c r="T645" i="1"/>
  <c r="S645" i="1"/>
  <c r="R645" i="1"/>
  <c r="Q645" i="1"/>
  <c r="M645" i="1"/>
  <c r="L645" i="1"/>
  <c r="V644" i="1"/>
  <c r="U644" i="1"/>
  <c r="T644" i="1"/>
  <c r="W644" i="1" s="1"/>
  <c r="S644" i="1"/>
  <c r="R644" i="1"/>
  <c r="Q644" i="1"/>
  <c r="M644" i="1"/>
  <c r="L644" i="1"/>
  <c r="V643" i="1"/>
  <c r="U643" i="1"/>
  <c r="T643" i="1"/>
  <c r="S643" i="1"/>
  <c r="R643" i="1"/>
  <c r="Q643" i="1"/>
  <c r="M643" i="1"/>
  <c r="L643" i="1"/>
  <c r="V642" i="1"/>
  <c r="Z642" i="1" s="1"/>
  <c r="U642" i="1"/>
  <c r="T642" i="1"/>
  <c r="W642" i="1" s="1"/>
  <c r="S642" i="1"/>
  <c r="R642" i="1"/>
  <c r="Q642" i="1"/>
  <c r="M642" i="1"/>
  <c r="L642" i="1"/>
  <c r="V641" i="1"/>
  <c r="U641" i="1"/>
  <c r="T641" i="1"/>
  <c r="S641" i="1"/>
  <c r="R641" i="1"/>
  <c r="Q641" i="1"/>
  <c r="M641" i="1"/>
  <c r="L641" i="1"/>
  <c r="V640" i="1"/>
  <c r="U640" i="1"/>
  <c r="T640" i="1"/>
  <c r="W640" i="1" s="1"/>
  <c r="S640" i="1"/>
  <c r="R640" i="1"/>
  <c r="Q640" i="1"/>
  <c r="M640" i="1"/>
  <c r="L640" i="1"/>
  <c r="V639" i="1"/>
  <c r="U639" i="1"/>
  <c r="T639" i="1"/>
  <c r="S639" i="1"/>
  <c r="R639" i="1"/>
  <c r="Q639" i="1"/>
  <c r="M639" i="1"/>
  <c r="L639" i="1"/>
  <c r="V638" i="1"/>
  <c r="Z638" i="1" s="1"/>
  <c r="U638" i="1"/>
  <c r="T638" i="1"/>
  <c r="W638" i="1" s="1"/>
  <c r="S638" i="1"/>
  <c r="R638" i="1"/>
  <c r="Q638" i="1"/>
  <c r="M638" i="1"/>
  <c r="L638" i="1"/>
  <c r="V637" i="1"/>
  <c r="U637" i="1"/>
  <c r="T637" i="1"/>
  <c r="S637" i="1"/>
  <c r="R637" i="1"/>
  <c r="Q637" i="1"/>
  <c r="M637" i="1"/>
  <c r="L637" i="1"/>
  <c r="V636" i="1"/>
  <c r="U636" i="1"/>
  <c r="T636" i="1"/>
  <c r="W636" i="1" s="1"/>
  <c r="S636" i="1"/>
  <c r="R636" i="1"/>
  <c r="Q636" i="1"/>
  <c r="M636" i="1"/>
  <c r="L636" i="1"/>
  <c r="V635" i="1"/>
  <c r="U635" i="1"/>
  <c r="T635" i="1"/>
  <c r="S635" i="1"/>
  <c r="R635" i="1"/>
  <c r="Q635" i="1"/>
  <c r="M635" i="1"/>
  <c r="L635" i="1"/>
  <c r="V634" i="1"/>
  <c r="Z634" i="1" s="1"/>
  <c r="U634" i="1"/>
  <c r="T634" i="1"/>
  <c r="W634" i="1" s="1"/>
  <c r="S634" i="1"/>
  <c r="R634" i="1"/>
  <c r="Q634" i="1"/>
  <c r="M634" i="1"/>
  <c r="L634" i="1"/>
  <c r="V633" i="1"/>
  <c r="U633" i="1"/>
  <c r="T633" i="1"/>
  <c r="S633" i="1"/>
  <c r="R633" i="1"/>
  <c r="Q633" i="1"/>
  <c r="M633" i="1"/>
  <c r="L633" i="1"/>
  <c r="V632" i="1"/>
  <c r="U632" i="1"/>
  <c r="T632" i="1"/>
  <c r="W632" i="1" s="1"/>
  <c r="S632" i="1"/>
  <c r="R632" i="1"/>
  <c r="Q632" i="1"/>
  <c r="M632" i="1"/>
  <c r="L632" i="1"/>
  <c r="V631" i="1"/>
  <c r="U631" i="1"/>
  <c r="T631" i="1"/>
  <c r="S631" i="1"/>
  <c r="R631" i="1"/>
  <c r="Q631" i="1"/>
  <c r="M631" i="1"/>
  <c r="L631" i="1"/>
  <c r="V630" i="1"/>
  <c r="Z630" i="1" s="1"/>
  <c r="U630" i="1"/>
  <c r="T630" i="1"/>
  <c r="W630" i="1" s="1"/>
  <c r="S630" i="1"/>
  <c r="R630" i="1"/>
  <c r="Q630" i="1"/>
  <c r="M630" i="1"/>
  <c r="L630" i="1"/>
  <c r="V629" i="1"/>
  <c r="U629" i="1"/>
  <c r="T629" i="1"/>
  <c r="S629" i="1"/>
  <c r="R629" i="1"/>
  <c r="Q629" i="1"/>
  <c r="M629" i="1"/>
  <c r="L629" i="1"/>
  <c r="V628" i="1"/>
  <c r="U628" i="1"/>
  <c r="T628" i="1"/>
  <c r="W628" i="1" s="1"/>
  <c r="S628" i="1"/>
  <c r="R628" i="1"/>
  <c r="Q628" i="1"/>
  <c r="M628" i="1"/>
  <c r="L628" i="1"/>
  <c r="V627" i="1"/>
  <c r="U627" i="1"/>
  <c r="T627" i="1"/>
  <c r="S627" i="1"/>
  <c r="R627" i="1"/>
  <c r="Q627" i="1"/>
  <c r="M627" i="1"/>
  <c r="L627" i="1"/>
  <c r="V626" i="1"/>
  <c r="Z626" i="1" s="1"/>
  <c r="U626" i="1"/>
  <c r="T626" i="1"/>
  <c r="W626" i="1" s="1"/>
  <c r="S626" i="1"/>
  <c r="R626" i="1"/>
  <c r="Q626" i="1"/>
  <c r="M626" i="1"/>
  <c r="L626" i="1"/>
  <c r="V625" i="1"/>
  <c r="U625" i="1"/>
  <c r="T625" i="1"/>
  <c r="S625" i="1"/>
  <c r="R625" i="1"/>
  <c r="Q625" i="1"/>
  <c r="M625" i="1"/>
  <c r="L625" i="1"/>
  <c r="V624" i="1"/>
  <c r="U624" i="1"/>
  <c r="T624" i="1"/>
  <c r="W624" i="1" s="1"/>
  <c r="S624" i="1"/>
  <c r="R624" i="1"/>
  <c r="Q624" i="1"/>
  <c r="M624" i="1"/>
  <c r="L624" i="1"/>
  <c r="V623" i="1"/>
  <c r="U623" i="1"/>
  <c r="T623" i="1"/>
  <c r="S623" i="1"/>
  <c r="R623" i="1"/>
  <c r="Q623" i="1"/>
  <c r="M623" i="1"/>
  <c r="L623" i="1"/>
  <c r="V622" i="1"/>
  <c r="Z622" i="1" s="1"/>
  <c r="U622" i="1"/>
  <c r="T622" i="1"/>
  <c r="W622" i="1" s="1"/>
  <c r="S622" i="1"/>
  <c r="R622" i="1"/>
  <c r="Q622" i="1"/>
  <c r="M622" i="1"/>
  <c r="L622" i="1"/>
  <c r="V621" i="1"/>
  <c r="U621" i="1"/>
  <c r="T621" i="1"/>
  <c r="S621" i="1"/>
  <c r="R621" i="1"/>
  <c r="Q621" i="1"/>
  <c r="M621" i="1"/>
  <c r="L621" i="1"/>
  <c r="V620" i="1"/>
  <c r="U620" i="1"/>
  <c r="T620" i="1"/>
  <c r="W620" i="1" s="1"/>
  <c r="S620" i="1"/>
  <c r="R620" i="1"/>
  <c r="Q620" i="1"/>
  <c r="M620" i="1"/>
  <c r="L620" i="1"/>
  <c r="V619" i="1"/>
  <c r="U619" i="1"/>
  <c r="T619" i="1"/>
  <c r="S619" i="1"/>
  <c r="R619" i="1"/>
  <c r="Q619" i="1"/>
  <c r="M619" i="1"/>
  <c r="L619" i="1"/>
  <c r="V618" i="1"/>
  <c r="Z618" i="1" s="1"/>
  <c r="U618" i="1"/>
  <c r="T618" i="1"/>
  <c r="W618" i="1" s="1"/>
  <c r="S618" i="1"/>
  <c r="R618" i="1"/>
  <c r="Q618" i="1"/>
  <c r="M618" i="1"/>
  <c r="L618" i="1"/>
  <c r="V617" i="1"/>
  <c r="U617" i="1"/>
  <c r="T617" i="1"/>
  <c r="S617" i="1"/>
  <c r="R617" i="1"/>
  <c r="Q617" i="1"/>
  <c r="M617" i="1"/>
  <c r="L617" i="1"/>
  <c r="V616" i="1"/>
  <c r="U616" i="1"/>
  <c r="T616" i="1"/>
  <c r="W616" i="1" s="1"/>
  <c r="S616" i="1"/>
  <c r="R616" i="1"/>
  <c r="Q616" i="1"/>
  <c r="M616" i="1"/>
  <c r="L616" i="1"/>
  <c r="V615" i="1"/>
  <c r="U615" i="1"/>
  <c r="T615" i="1"/>
  <c r="S615" i="1"/>
  <c r="R615" i="1"/>
  <c r="Q615" i="1"/>
  <c r="M615" i="1"/>
  <c r="L615" i="1"/>
  <c r="V614" i="1"/>
  <c r="Z614" i="1" s="1"/>
  <c r="U614" i="1"/>
  <c r="T614" i="1"/>
  <c r="W614" i="1" s="1"/>
  <c r="S614" i="1"/>
  <c r="R614" i="1"/>
  <c r="Q614" i="1"/>
  <c r="M614" i="1"/>
  <c r="L614" i="1"/>
  <c r="V613" i="1"/>
  <c r="U613" i="1"/>
  <c r="T613" i="1"/>
  <c r="S613" i="1"/>
  <c r="R613" i="1"/>
  <c r="Q613" i="1"/>
  <c r="M613" i="1"/>
  <c r="L613" i="1"/>
  <c r="V612" i="1"/>
  <c r="U612" i="1"/>
  <c r="T612" i="1"/>
  <c r="W612" i="1" s="1"/>
  <c r="S612" i="1"/>
  <c r="R612" i="1"/>
  <c r="Q612" i="1"/>
  <c r="M612" i="1"/>
  <c r="L612" i="1"/>
  <c r="V611" i="1"/>
  <c r="U611" i="1"/>
  <c r="T611" i="1"/>
  <c r="S611" i="1"/>
  <c r="R611" i="1"/>
  <c r="Q611" i="1"/>
  <c r="M611" i="1"/>
  <c r="L611" i="1"/>
  <c r="V610" i="1"/>
  <c r="Z610" i="1" s="1"/>
  <c r="U610" i="1"/>
  <c r="T610" i="1"/>
  <c r="W610" i="1" s="1"/>
  <c r="S610" i="1"/>
  <c r="R610" i="1"/>
  <c r="Q610" i="1"/>
  <c r="M610" i="1"/>
  <c r="L610" i="1"/>
  <c r="V609" i="1"/>
  <c r="U609" i="1"/>
  <c r="T609" i="1"/>
  <c r="S609" i="1"/>
  <c r="R609" i="1"/>
  <c r="Q609" i="1"/>
  <c r="M609" i="1"/>
  <c r="L609" i="1"/>
  <c r="V608" i="1"/>
  <c r="U608" i="1"/>
  <c r="T608" i="1"/>
  <c r="W608" i="1" s="1"/>
  <c r="S608" i="1"/>
  <c r="R608" i="1"/>
  <c r="Q608" i="1"/>
  <c r="M608" i="1"/>
  <c r="L608" i="1"/>
  <c r="V607" i="1"/>
  <c r="U607" i="1"/>
  <c r="T607" i="1"/>
  <c r="S607" i="1"/>
  <c r="R607" i="1"/>
  <c r="Q607" i="1"/>
  <c r="M607" i="1"/>
  <c r="L607" i="1"/>
  <c r="V606" i="1"/>
  <c r="Z606" i="1" s="1"/>
  <c r="U606" i="1"/>
  <c r="T606" i="1"/>
  <c r="W606" i="1" s="1"/>
  <c r="S606" i="1"/>
  <c r="R606" i="1"/>
  <c r="Q606" i="1"/>
  <c r="M606" i="1"/>
  <c r="L606" i="1"/>
  <c r="V605" i="1"/>
  <c r="U605" i="1"/>
  <c r="T605" i="1"/>
  <c r="S605" i="1"/>
  <c r="R605" i="1"/>
  <c r="Q605" i="1"/>
  <c r="M605" i="1"/>
  <c r="L605" i="1"/>
  <c r="V604" i="1"/>
  <c r="U604" i="1"/>
  <c r="T604" i="1"/>
  <c r="W604" i="1" s="1"/>
  <c r="S604" i="1"/>
  <c r="R604" i="1"/>
  <c r="Q604" i="1"/>
  <c r="M604" i="1"/>
  <c r="L604" i="1"/>
  <c r="V603" i="1"/>
  <c r="U603" i="1"/>
  <c r="T603" i="1"/>
  <c r="S603" i="1"/>
  <c r="R603" i="1"/>
  <c r="Q603" i="1"/>
  <c r="M603" i="1"/>
  <c r="L603" i="1"/>
  <c r="V602" i="1"/>
  <c r="Z602" i="1" s="1"/>
  <c r="U602" i="1"/>
  <c r="T602" i="1"/>
  <c r="W602" i="1" s="1"/>
  <c r="S602" i="1"/>
  <c r="R602" i="1"/>
  <c r="Q602" i="1"/>
  <c r="M602" i="1"/>
  <c r="L602" i="1"/>
  <c r="V601" i="1"/>
  <c r="U601" i="1"/>
  <c r="T601" i="1"/>
  <c r="S601" i="1"/>
  <c r="R601" i="1"/>
  <c r="Q601" i="1"/>
  <c r="M601" i="1"/>
  <c r="L601" i="1"/>
  <c r="V600" i="1"/>
  <c r="U600" i="1"/>
  <c r="T600" i="1"/>
  <c r="W600" i="1" s="1"/>
  <c r="S600" i="1"/>
  <c r="R600" i="1"/>
  <c r="Q600" i="1"/>
  <c r="M600" i="1"/>
  <c r="L600" i="1"/>
  <c r="V599" i="1"/>
  <c r="U599" i="1"/>
  <c r="T599" i="1"/>
  <c r="S599" i="1"/>
  <c r="R599" i="1"/>
  <c r="Q599" i="1"/>
  <c r="M599" i="1"/>
  <c r="L599" i="1"/>
  <c r="V598" i="1"/>
  <c r="Z598" i="1" s="1"/>
  <c r="U598" i="1"/>
  <c r="T598" i="1"/>
  <c r="W598" i="1" s="1"/>
  <c r="S598" i="1"/>
  <c r="R598" i="1"/>
  <c r="Q598" i="1"/>
  <c r="M598" i="1"/>
  <c r="L598" i="1"/>
  <c r="V597" i="1"/>
  <c r="U597" i="1"/>
  <c r="T597" i="1"/>
  <c r="S597" i="1"/>
  <c r="R597" i="1"/>
  <c r="Q597" i="1"/>
  <c r="M597" i="1"/>
  <c r="L597" i="1"/>
  <c r="V596" i="1"/>
  <c r="U596" i="1"/>
  <c r="T596" i="1"/>
  <c r="W596" i="1" s="1"/>
  <c r="S596" i="1"/>
  <c r="R596" i="1"/>
  <c r="Q596" i="1"/>
  <c r="M596" i="1"/>
  <c r="L596" i="1"/>
  <c r="V595" i="1"/>
  <c r="U595" i="1"/>
  <c r="T595" i="1"/>
  <c r="S595" i="1"/>
  <c r="R595" i="1"/>
  <c r="Q595" i="1"/>
  <c r="M595" i="1"/>
  <c r="L595" i="1"/>
  <c r="V594" i="1"/>
  <c r="Z594" i="1" s="1"/>
  <c r="U594" i="1"/>
  <c r="T594" i="1"/>
  <c r="W594" i="1" s="1"/>
  <c r="S594" i="1"/>
  <c r="R594" i="1"/>
  <c r="Q594" i="1"/>
  <c r="M594" i="1"/>
  <c r="L594" i="1"/>
  <c r="V593" i="1"/>
  <c r="U593" i="1"/>
  <c r="T593" i="1"/>
  <c r="S593" i="1"/>
  <c r="R593" i="1"/>
  <c r="Q593" i="1"/>
  <c r="M593" i="1"/>
  <c r="L593" i="1"/>
  <c r="V592" i="1"/>
  <c r="U592" i="1"/>
  <c r="T592" i="1"/>
  <c r="W592" i="1" s="1"/>
  <c r="S592" i="1"/>
  <c r="R592" i="1"/>
  <c r="Q592" i="1"/>
  <c r="M592" i="1"/>
  <c r="L592" i="1"/>
  <c r="V591" i="1"/>
  <c r="U591" i="1"/>
  <c r="T591" i="1"/>
  <c r="S591" i="1"/>
  <c r="R591" i="1"/>
  <c r="Q591" i="1"/>
  <c r="M591" i="1"/>
  <c r="L591" i="1"/>
  <c r="V590" i="1"/>
  <c r="Z590" i="1" s="1"/>
  <c r="U590" i="1"/>
  <c r="T590" i="1"/>
  <c r="W590" i="1" s="1"/>
  <c r="S590" i="1"/>
  <c r="R590" i="1"/>
  <c r="Q590" i="1"/>
  <c r="M590" i="1"/>
  <c r="L590" i="1"/>
  <c r="V589" i="1"/>
  <c r="U589" i="1"/>
  <c r="T589" i="1"/>
  <c r="S589" i="1"/>
  <c r="R589" i="1"/>
  <c r="Q589" i="1"/>
  <c r="M589" i="1"/>
  <c r="L589" i="1"/>
  <c r="V588" i="1"/>
  <c r="U588" i="1"/>
  <c r="T588" i="1"/>
  <c r="W588" i="1" s="1"/>
  <c r="S588" i="1"/>
  <c r="R588" i="1"/>
  <c r="Q588" i="1"/>
  <c r="M588" i="1"/>
  <c r="L588" i="1"/>
  <c r="V587" i="1"/>
  <c r="U587" i="1"/>
  <c r="T587" i="1"/>
  <c r="S587" i="1"/>
  <c r="R587" i="1"/>
  <c r="Q587" i="1"/>
  <c r="M587" i="1"/>
  <c r="L587" i="1"/>
  <c r="V586" i="1"/>
  <c r="Z586" i="1" s="1"/>
  <c r="U586" i="1"/>
  <c r="T586" i="1"/>
  <c r="W586" i="1" s="1"/>
  <c r="S586" i="1"/>
  <c r="R586" i="1"/>
  <c r="Q586" i="1"/>
  <c r="M586" i="1"/>
  <c r="L586" i="1"/>
  <c r="V585" i="1"/>
  <c r="U585" i="1"/>
  <c r="T585" i="1"/>
  <c r="S585" i="1"/>
  <c r="R585" i="1"/>
  <c r="Q585" i="1"/>
  <c r="M585" i="1"/>
  <c r="L585" i="1"/>
  <c r="V584" i="1"/>
  <c r="U584" i="1"/>
  <c r="T584" i="1"/>
  <c r="W584" i="1" s="1"/>
  <c r="S584" i="1"/>
  <c r="R584" i="1"/>
  <c r="Q584" i="1"/>
  <c r="M584" i="1"/>
  <c r="L584" i="1"/>
  <c r="V583" i="1"/>
  <c r="U583" i="1"/>
  <c r="T583" i="1"/>
  <c r="S583" i="1"/>
  <c r="R583" i="1"/>
  <c r="Q583" i="1"/>
  <c r="M583" i="1"/>
  <c r="L583" i="1"/>
  <c r="V582" i="1"/>
  <c r="Z582" i="1" s="1"/>
  <c r="U582" i="1"/>
  <c r="T582" i="1"/>
  <c r="W582" i="1" s="1"/>
  <c r="S582" i="1"/>
  <c r="R582" i="1"/>
  <c r="Q582" i="1"/>
  <c r="M582" i="1"/>
  <c r="L582" i="1"/>
  <c r="V581" i="1"/>
  <c r="U581" i="1"/>
  <c r="T581" i="1"/>
  <c r="S581" i="1"/>
  <c r="R581" i="1"/>
  <c r="Q581" i="1"/>
  <c r="M581" i="1"/>
  <c r="L581" i="1"/>
  <c r="V580" i="1"/>
  <c r="U580" i="1"/>
  <c r="T580" i="1"/>
  <c r="W580" i="1" s="1"/>
  <c r="S580" i="1"/>
  <c r="R580" i="1"/>
  <c r="Q580" i="1"/>
  <c r="M580" i="1"/>
  <c r="L580" i="1"/>
  <c r="V579" i="1"/>
  <c r="U579" i="1"/>
  <c r="T579" i="1"/>
  <c r="S579" i="1"/>
  <c r="R579" i="1"/>
  <c r="Q579" i="1"/>
  <c r="M579" i="1"/>
  <c r="L579" i="1"/>
  <c r="V578" i="1"/>
  <c r="Z578" i="1" s="1"/>
  <c r="U578" i="1"/>
  <c r="T578" i="1"/>
  <c r="W578" i="1" s="1"/>
  <c r="S578" i="1"/>
  <c r="R578" i="1"/>
  <c r="Q578" i="1"/>
  <c r="M578" i="1"/>
  <c r="L578" i="1"/>
  <c r="V577" i="1"/>
  <c r="U577" i="1"/>
  <c r="T577" i="1"/>
  <c r="S577" i="1"/>
  <c r="R577" i="1"/>
  <c r="Q577" i="1"/>
  <c r="M577" i="1"/>
  <c r="L577" i="1"/>
  <c r="V576" i="1"/>
  <c r="U576" i="1"/>
  <c r="T576" i="1"/>
  <c r="W576" i="1" s="1"/>
  <c r="S576" i="1"/>
  <c r="R576" i="1"/>
  <c r="Q576" i="1"/>
  <c r="M576" i="1"/>
  <c r="L576" i="1"/>
  <c r="V575" i="1"/>
  <c r="U575" i="1"/>
  <c r="T575" i="1"/>
  <c r="S575" i="1"/>
  <c r="R575" i="1"/>
  <c r="Q575" i="1"/>
  <c r="M575" i="1"/>
  <c r="L575" i="1"/>
  <c r="V574" i="1"/>
  <c r="Z574" i="1" s="1"/>
  <c r="U574" i="1"/>
  <c r="T574" i="1"/>
  <c r="W574" i="1" s="1"/>
  <c r="S574" i="1"/>
  <c r="R574" i="1"/>
  <c r="Q574" i="1"/>
  <c r="M574" i="1"/>
  <c r="L574" i="1"/>
  <c r="V573" i="1"/>
  <c r="U573" i="1"/>
  <c r="T573" i="1"/>
  <c r="S573" i="1"/>
  <c r="R573" i="1"/>
  <c r="Q573" i="1"/>
  <c r="M573" i="1"/>
  <c r="L573" i="1"/>
  <c r="V572" i="1"/>
  <c r="U572" i="1"/>
  <c r="T572" i="1"/>
  <c r="W572" i="1" s="1"/>
  <c r="S572" i="1"/>
  <c r="R572" i="1"/>
  <c r="Q572" i="1"/>
  <c r="M572" i="1"/>
  <c r="L572" i="1"/>
  <c r="V571" i="1"/>
  <c r="U571" i="1"/>
  <c r="T571" i="1"/>
  <c r="S571" i="1"/>
  <c r="R571" i="1"/>
  <c r="Q571" i="1"/>
  <c r="M571" i="1"/>
  <c r="L571" i="1"/>
  <c r="V570" i="1"/>
  <c r="Z570" i="1" s="1"/>
  <c r="U570" i="1"/>
  <c r="T570" i="1"/>
  <c r="W570" i="1" s="1"/>
  <c r="S570" i="1"/>
  <c r="R570" i="1"/>
  <c r="Q570" i="1"/>
  <c r="M570" i="1"/>
  <c r="L570" i="1"/>
  <c r="V569" i="1"/>
  <c r="U569" i="1"/>
  <c r="T569" i="1"/>
  <c r="S569" i="1"/>
  <c r="R569" i="1"/>
  <c r="Q569" i="1"/>
  <c r="M569" i="1"/>
  <c r="L569" i="1"/>
  <c r="V568" i="1"/>
  <c r="U568" i="1"/>
  <c r="T568" i="1"/>
  <c r="W568" i="1" s="1"/>
  <c r="S568" i="1"/>
  <c r="R568" i="1"/>
  <c r="Q568" i="1"/>
  <c r="M568" i="1"/>
  <c r="L568" i="1"/>
  <c r="V567" i="1"/>
  <c r="U567" i="1"/>
  <c r="T567" i="1"/>
  <c r="S567" i="1"/>
  <c r="R567" i="1"/>
  <c r="Q567" i="1"/>
  <c r="M567" i="1"/>
  <c r="L567" i="1"/>
  <c r="V566" i="1"/>
  <c r="Z566" i="1" s="1"/>
  <c r="U566" i="1"/>
  <c r="T566" i="1"/>
  <c r="W566" i="1" s="1"/>
  <c r="S566" i="1"/>
  <c r="R566" i="1"/>
  <c r="Q566" i="1"/>
  <c r="M566" i="1"/>
  <c r="L566" i="1"/>
  <c r="V565" i="1"/>
  <c r="U565" i="1"/>
  <c r="T565" i="1"/>
  <c r="S565" i="1"/>
  <c r="R565" i="1"/>
  <c r="Q565" i="1"/>
  <c r="M565" i="1"/>
  <c r="L565" i="1"/>
  <c r="V564" i="1"/>
  <c r="U564" i="1"/>
  <c r="T564" i="1"/>
  <c r="W564" i="1" s="1"/>
  <c r="S564" i="1"/>
  <c r="R564" i="1"/>
  <c r="Q564" i="1"/>
  <c r="M564" i="1"/>
  <c r="L564" i="1"/>
  <c r="V563" i="1"/>
  <c r="U563" i="1"/>
  <c r="T563" i="1"/>
  <c r="S563" i="1"/>
  <c r="R563" i="1"/>
  <c r="Q563" i="1"/>
  <c r="M563" i="1"/>
  <c r="L563" i="1"/>
  <c r="V562" i="1"/>
  <c r="Z562" i="1" s="1"/>
  <c r="U562" i="1"/>
  <c r="T562" i="1"/>
  <c r="W562" i="1" s="1"/>
  <c r="S562" i="1"/>
  <c r="R562" i="1"/>
  <c r="Q562" i="1"/>
  <c r="M562" i="1"/>
  <c r="L562" i="1"/>
  <c r="V561" i="1"/>
  <c r="U561" i="1"/>
  <c r="T561" i="1"/>
  <c r="S561" i="1"/>
  <c r="R561" i="1"/>
  <c r="Q561" i="1"/>
  <c r="M561" i="1"/>
  <c r="L561" i="1"/>
  <c r="V560" i="1"/>
  <c r="U560" i="1"/>
  <c r="T560" i="1"/>
  <c r="W560" i="1" s="1"/>
  <c r="S560" i="1"/>
  <c r="R560" i="1"/>
  <c r="Q560" i="1"/>
  <c r="M560" i="1"/>
  <c r="L560" i="1"/>
  <c r="V559" i="1"/>
  <c r="U559" i="1"/>
  <c r="T559" i="1"/>
  <c r="S559" i="1"/>
  <c r="R559" i="1"/>
  <c r="Q559" i="1"/>
  <c r="M559" i="1"/>
  <c r="L559" i="1"/>
  <c r="V558" i="1"/>
  <c r="Z558" i="1" s="1"/>
  <c r="U558" i="1"/>
  <c r="T558" i="1"/>
  <c r="W558" i="1" s="1"/>
  <c r="S558" i="1"/>
  <c r="R558" i="1"/>
  <c r="Q558" i="1"/>
  <c r="M558" i="1"/>
  <c r="L558" i="1"/>
  <c r="V557" i="1"/>
  <c r="U557" i="1"/>
  <c r="T557" i="1"/>
  <c r="S557" i="1"/>
  <c r="R557" i="1"/>
  <c r="Q557" i="1"/>
  <c r="M557" i="1"/>
  <c r="L557" i="1"/>
  <c r="V556" i="1"/>
  <c r="U556" i="1"/>
  <c r="T556" i="1"/>
  <c r="W556" i="1" s="1"/>
  <c r="S556" i="1"/>
  <c r="R556" i="1"/>
  <c r="Q556" i="1"/>
  <c r="M556" i="1"/>
  <c r="L556" i="1"/>
  <c r="V555" i="1"/>
  <c r="U555" i="1"/>
  <c r="T555" i="1"/>
  <c r="S555" i="1"/>
  <c r="R555" i="1"/>
  <c r="Q555" i="1"/>
  <c r="M555" i="1"/>
  <c r="L555" i="1"/>
  <c r="V554" i="1"/>
  <c r="Z554" i="1" s="1"/>
  <c r="U554" i="1"/>
  <c r="T554" i="1"/>
  <c r="W554" i="1" s="1"/>
  <c r="S554" i="1"/>
  <c r="R554" i="1"/>
  <c r="Q554" i="1"/>
  <c r="M554" i="1"/>
  <c r="L554" i="1"/>
  <c r="V553" i="1"/>
  <c r="U553" i="1"/>
  <c r="T553" i="1"/>
  <c r="S553" i="1"/>
  <c r="R553" i="1"/>
  <c r="Q553" i="1"/>
  <c r="M553" i="1"/>
  <c r="L553" i="1"/>
  <c r="V552" i="1"/>
  <c r="U552" i="1"/>
  <c r="T552" i="1"/>
  <c r="W552" i="1" s="1"/>
  <c r="S552" i="1"/>
  <c r="R552" i="1"/>
  <c r="Q552" i="1"/>
  <c r="M552" i="1"/>
  <c r="L552" i="1"/>
  <c r="V551" i="1"/>
  <c r="U551" i="1"/>
  <c r="T551" i="1"/>
  <c r="S551" i="1"/>
  <c r="R551" i="1"/>
  <c r="Q551" i="1"/>
  <c r="M551" i="1"/>
  <c r="L551" i="1"/>
  <c r="V550" i="1"/>
  <c r="Z550" i="1" s="1"/>
  <c r="U550" i="1"/>
  <c r="T550" i="1"/>
  <c r="W550" i="1" s="1"/>
  <c r="S550" i="1"/>
  <c r="R550" i="1"/>
  <c r="Q550" i="1"/>
  <c r="M550" i="1"/>
  <c r="L550" i="1"/>
  <c r="V549" i="1"/>
  <c r="U549" i="1"/>
  <c r="T549" i="1"/>
  <c r="S549" i="1"/>
  <c r="R549" i="1"/>
  <c r="Q549" i="1"/>
  <c r="M549" i="1"/>
  <c r="L549" i="1"/>
  <c r="V548" i="1"/>
  <c r="U548" i="1"/>
  <c r="T548" i="1"/>
  <c r="W548" i="1" s="1"/>
  <c r="S548" i="1"/>
  <c r="R548" i="1"/>
  <c r="Q548" i="1"/>
  <c r="M548" i="1"/>
  <c r="L548" i="1"/>
  <c r="V547" i="1"/>
  <c r="U547" i="1"/>
  <c r="T547" i="1"/>
  <c r="S547" i="1"/>
  <c r="R547" i="1"/>
  <c r="Q547" i="1"/>
  <c r="M547" i="1"/>
  <c r="L547" i="1"/>
  <c r="V546" i="1"/>
  <c r="Z546" i="1" s="1"/>
  <c r="U546" i="1"/>
  <c r="T546" i="1"/>
  <c r="W546" i="1" s="1"/>
  <c r="S546" i="1"/>
  <c r="R546" i="1"/>
  <c r="Q546" i="1"/>
  <c r="M546" i="1"/>
  <c r="L546" i="1"/>
  <c r="V545" i="1"/>
  <c r="U545" i="1"/>
  <c r="T545" i="1"/>
  <c r="S545" i="1"/>
  <c r="R545" i="1"/>
  <c r="Q545" i="1"/>
  <c r="M545" i="1"/>
  <c r="L545" i="1"/>
  <c r="V544" i="1"/>
  <c r="U544" i="1"/>
  <c r="T544" i="1"/>
  <c r="W544" i="1" s="1"/>
  <c r="S544" i="1"/>
  <c r="R544" i="1"/>
  <c r="Q544" i="1"/>
  <c r="M544" i="1"/>
  <c r="L544" i="1"/>
  <c r="V543" i="1"/>
  <c r="U543" i="1"/>
  <c r="T543" i="1"/>
  <c r="S543" i="1"/>
  <c r="R543" i="1"/>
  <c r="Q543" i="1"/>
  <c r="M543" i="1"/>
  <c r="L543" i="1"/>
  <c r="V542" i="1"/>
  <c r="Z542" i="1" s="1"/>
  <c r="U542" i="1"/>
  <c r="T542" i="1"/>
  <c r="W542" i="1" s="1"/>
  <c r="S542" i="1"/>
  <c r="R542" i="1"/>
  <c r="Q542" i="1"/>
  <c r="M542" i="1"/>
  <c r="L542" i="1"/>
  <c r="V541" i="1"/>
  <c r="U541" i="1"/>
  <c r="T541" i="1"/>
  <c r="S541" i="1"/>
  <c r="R541" i="1"/>
  <c r="Q541" i="1"/>
  <c r="M541" i="1"/>
  <c r="L541" i="1"/>
  <c r="V540" i="1"/>
  <c r="U540" i="1"/>
  <c r="T540" i="1"/>
  <c r="W540" i="1" s="1"/>
  <c r="S540" i="1"/>
  <c r="R540" i="1"/>
  <c r="Q540" i="1"/>
  <c r="M540" i="1"/>
  <c r="L540" i="1"/>
  <c r="V539" i="1"/>
  <c r="U539" i="1"/>
  <c r="T539" i="1"/>
  <c r="S539" i="1"/>
  <c r="R539" i="1"/>
  <c r="Q539" i="1"/>
  <c r="M539" i="1"/>
  <c r="L539" i="1"/>
  <c r="V538" i="1"/>
  <c r="Z538" i="1" s="1"/>
  <c r="U538" i="1"/>
  <c r="T538" i="1"/>
  <c r="W538" i="1" s="1"/>
  <c r="S538" i="1"/>
  <c r="R538" i="1"/>
  <c r="Q538" i="1"/>
  <c r="M538" i="1"/>
  <c r="L538" i="1"/>
  <c r="V537" i="1"/>
  <c r="U537" i="1"/>
  <c r="T537" i="1"/>
  <c r="S537" i="1"/>
  <c r="R537" i="1"/>
  <c r="Q537" i="1"/>
  <c r="M537" i="1"/>
  <c r="L537" i="1"/>
  <c r="V536" i="1"/>
  <c r="U536" i="1"/>
  <c r="T536" i="1"/>
  <c r="W536" i="1" s="1"/>
  <c r="S536" i="1"/>
  <c r="R536" i="1"/>
  <c r="Q536" i="1"/>
  <c r="M536" i="1"/>
  <c r="L536" i="1"/>
  <c r="V535" i="1"/>
  <c r="U535" i="1"/>
  <c r="T535" i="1"/>
  <c r="S535" i="1"/>
  <c r="R535" i="1"/>
  <c r="Q535" i="1"/>
  <c r="M535" i="1"/>
  <c r="L535" i="1"/>
  <c r="V534" i="1"/>
  <c r="Z534" i="1" s="1"/>
  <c r="U534" i="1"/>
  <c r="T534" i="1"/>
  <c r="W534" i="1" s="1"/>
  <c r="S534" i="1"/>
  <c r="R534" i="1"/>
  <c r="Q534" i="1"/>
  <c r="M534" i="1"/>
  <c r="L534" i="1"/>
  <c r="V533" i="1"/>
  <c r="U533" i="1"/>
  <c r="T533" i="1"/>
  <c r="S533" i="1"/>
  <c r="R533" i="1"/>
  <c r="Q533" i="1"/>
  <c r="M533" i="1"/>
  <c r="L533" i="1"/>
  <c r="V532" i="1"/>
  <c r="U532" i="1"/>
  <c r="T532" i="1"/>
  <c r="W532" i="1" s="1"/>
  <c r="S532" i="1"/>
  <c r="R532" i="1"/>
  <c r="Q532" i="1"/>
  <c r="M532" i="1"/>
  <c r="L532" i="1"/>
  <c r="V531" i="1"/>
  <c r="U531" i="1"/>
  <c r="T531" i="1"/>
  <c r="S531" i="1"/>
  <c r="R531" i="1"/>
  <c r="Q531" i="1"/>
  <c r="M531" i="1"/>
  <c r="L531" i="1"/>
  <c r="V530" i="1"/>
  <c r="Z530" i="1" s="1"/>
  <c r="U530" i="1"/>
  <c r="T530" i="1"/>
  <c r="W530" i="1" s="1"/>
  <c r="S530" i="1"/>
  <c r="R530" i="1"/>
  <c r="Q530" i="1"/>
  <c r="M530" i="1"/>
  <c r="L530" i="1"/>
  <c r="V529" i="1"/>
  <c r="U529" i="1"/>
  <c r="T529" i="1"/>
  <c r="S529" i="1"/>
  <c r="R529" i="1"/>
  <c r="Q529" i="1"/>
  <c r="M529" i="1"/>
  <c r="L529" i="1"/>
  <c r="V528" i="1"/>
  <c r="U528" i="1"/>
  <c r="T528" i="1"/>
  <c r="W528" i="1" s="1"/>
  <c r="S528" i="1"/>
  <c r="R528" i="1"/>
  <c r="Q528" i="1"/>
  <c r="M528" i="1"/>
  <c r="L528" i="1"/>
  <c r="V527" i="1"/>
  <c r="U527" i="1"/>
  <c r="T527" i="1"/>
  <c r="S527" i="1"/>
  <c r="R527" i="1"/>
  <c r="Q527" i="1"/>
  <c r="M527" i="1"/>
  <c r="L527" i="1"/>
  <c r="V526" i="1"/>
  <c r="Z526" i="1" s="1"/>
  <c r="U526" i="1"/>
  <c r="T526" i="1"/>
  <c r="W526" i="1" s="1"/>
  <c r="S526" i="1"/>
  <c r="R526" i="1"/>
  <c r="Q526" i="1"/>
  <c r="M526" i="1"/>
  <c r="L526" i="1"/>
  <c r="V525" i="1"/>
  <c r="U525" i="1"/>
  <c r="T525" i="1"/>
  <c r="S525" i="1"/>
  <c r="R525" i="1"/>
  <c r="Q525" i="1"/>
  <c r="M525" i="1"/>
  <c r="L525" i="1"/>
  <c r="V524" i="1"/>
  <c r="U524" i="1"/>
  <c r="T524" i="1"/>
  <c r="W524" i="1" s="1"/>
  <c r="S524" i="1"/>
  <c r="R524" i="1"/>
  <c r="Q524" i="1"/>
  <c r="M524" i="1"/>
  <c r="L524" i="1"/>
  <c r="V523" i="1"/>
  <c r="U523" i="1"/>
  <c r="T523" i="1"/>
  <c r="S523" i="1"/>
  <c r="R523" i="1"/>
  <c r="Q523" i="1"/>
  <c r="M523" i="1"/>
  <c r="L523" i="1"/>
  <c r="V522" i="1"/>
  <c r="Z522" i="1" s="1"/>
  <c r="U522" i="1"/>
  <c r="T522" i="1"/>
  <c r="W522" i="1" s="1"/>
  <c r="S522" i="1"/>
  <c r="R522" i="1"/>
  <c r="Q522" i="1"/>
  <c r="M522" i="1"/>
  <c r="L522" i="1"/>
  <c r="V521" i="1"/>
  <c r="U521" i="1"/>
  <c r="T521" i="1"/>
  <c r="S521" i="1"/>
  <c r="R521" i="1"/>
  <c r="Q521" i="1"/>
  <c r="M521" i="1"/>
  <c r="L521" i="1"/>
  <c r="V520" i="1"/>
  <c r="U520" i="1"/>
  <c r="T520" i="1"/>
  <c r="W520" i="1" s="1"/>
  <c r="S520" i="1"/>
  <c r="R520" i="1"/>
  <c r="Q520" i="1"/>
  <c r="M520" i="1"/>
  <c r="L520" i="1"/>
  <c r="V519" i="1"/>
  <c r="U519" i="1"/>
  <c r="T519" i="1"/>
  <c r="S519" i="1"/>
  <c r="R519" i="1"/>
  <c r="Q519" i="1"/>
  <c r="M519" i="1"/>
  <c r="L519" i="1"/>
  <c r="V518" i="1"/>
  <c r="Z518" i="1" s="1"/>
  <c r="U518" i="1"/>
  <c r="T518" i="1"/>
  <c r="W518" i="1" s="1"/>
  <c r="S518" i="1"/>
  <c r="R518" i="1"/>
  <c r="Q518" i="1"/>
  <c r="M518" i="1"/>
  <c r="L518" i="1"/>
  <c r="V517" i="1"/>
  <c r="U517" i="1"/>
  <c r="T517" i="1"/>
  <c r="S517" i="1"/>
  <c r="R517" i="1"/>
  <c r="Q517" i="1"/>
  <c r="M517" i="1"/>
  <c r="L517" i="1"/>
  <c r="V516" i="1"/>
  <c r="U516" i="1"/>
  <c r="T516" i="1"/>
  <c r="W516" i="1" s="1"/>
  <c r="S516" i="1"/>
  <c r="R516" i="1"/>
  <c r="Q516" i="1"/>
  <c r="M516" i="1"/>
  <c r="L516" i="1"/>
  <c r="V515" i="1"/>
  <c r="U515" i="1"/>
  <c r="T515" i="1"/>
  <c r="S515" i="1"/>
  <c r="R515" i="1"/>
  <c r="Q515" i="1"/>
  <c r="M515" i="1"/>
  <c r="L515" i="1"/>
  <c r="V514" i="1"/>
  <c r="Z514" i="1" s="1"/>
  <c r="U514" i="1"/>
  <c r="T514" i="1"/>
  <c r="W514" i="1" s="1"/>
  <c r="S514" i="1"/>
  <c r="R514" i="1"/>
  <c r="Q514" i="1"/>
  <c r="M514" i="1"/>
  <c r="L514" i="1"/>
  <c r="V513" i="1"/>
  <c r="U513" i="1"/>
  <c r="T513" i="1"/>
  <c r="S513" i="1"/>
  <c r="R513" i="1"/>
  <c r="Q513" i="1"/>
  <c r="M513" i="1"/>
  <c r="L513" i="1"/>
  <c r="V512" i="1"/>
  <c r="U512" i="1"/>
  <c r="T512" i="1"/>
  <c r="W512" i="1" s="1"/>
  <c r="S512" i="1"/>
  <c r="R512" i="1"/>
  <c r="Q512" i="1"/>
  <c r="M512" i="1"/>
  <c r="L512" i="1"/>
  <c r="V511" i="1"/>
  <c r="U511" i="1"/>
  <c r="T511" i="1"/>
  <c r="S511" i="1"/>
  <c r="R511" i="1"/>
  <c r="Q511" i="1"/>
  <c r="M511" i="1"/>
  <c r="L511" i="1"/>
  <c r="V510" i="1"/>
  <c r="Z510" i="1" s="1"/>
  <c r="U510" i="1"/>
  <c r="T510" i="1"/>
  <c r="W510" i="1" s="1"/>
  <c r="S510" i="1"/>
  <c r="R510" i="1"/>
  <c r="Q510" i="1"/>
  <c r="M510" i="1"/>
  <c r="L510" i="1"/>
  <c r="V509" i="1"/>
  <c r="U509" i="1"/>
  <c r="T509" i="1"/>
  <c r="S509" i="1"/>
  <c r="R509" i="1"/>
  <c r="Q509" i="1"/>
  <c r="M509" i="1"/>
  <c r="L509" i="1"/>
  <c r="V508" i="1"/>
  <c r="U508" i="1"/>
  <c r="T508" i="1"/>
  <c r="W508" i="1" s="1"/>
  <c r="S508" i="1"/>
  <c r="R508" i="1"/>
  <c r="Q508" i="1"/>
  <c r="M508" i="1"/>
  <c r="L508" i="1"/>
  <c r="V507" i="1"/>
  <c r="U507" i="1"/>
  <c r="T507" i="1"/>
  <c r="S507" i="1"/>
  <c r="R507" i="1"/>
  <c r="Q507" i="1"/>
  <c r="M507" i="1"/>
  <c r="L507" i="1"/>
  <c r="V506" i="1"/>
  <c r="Z506" i="1" s="1"/>
  <c r="U506" i="1"/>
  <c r="T506" i="1"/>
  <c r="W506" i="1" s="1"/>
  <c r="S506" i="1"/>
  <c r="R506" i="1"/>
  <c r="Q506" i="1"/>
  <c r="M506" i="1"/>
  <c r="L506" i="1"/>
  <c r="V505" i="1"/>
  <c r="U505" i="1"/>
  <c r="T505" i="1"/>
  <c r="S505" i="1"/>
  <c r="R505" i="1"/>
  <c r="Q505" i="1"/>
  <c r="M505" i="1"/>
  <c r="L505" i="1"/>
  <c r="V504" i="1"/>
  <c r="U504" i="1"/>
  <c r="T504" i="1"/>
  <c r="W504" i="1" s="1"/>
  <c r="S504" i="1"/>
  <c r="R504" i="1"/>
  <c r="Q504" i="1"/>
  <c r="M504" i="1"/>
  <c r="L504" i="1"/>
  <c r="V503" i="1"/>
  <c r="U503" i="1"/>
  <c r="T503" i="1"/>
  <c r="S503" i="1"/>
  <c r="R503" i="1"/>
  <c r="Q503" i="1"/>
  <c r="M503" i="1"/>
  <c r="L503" i="1"/>
  <c r="V502" i="1"/>
  <c r="Z502" i="1" s="1"/>
  <c r="U502" i="1"/>
  <c r="T502" i="1"/>
  <c r="W502" i="1" s="1"/>
  <c r="S502" i="1"/>
  <c r="R502" i="1"/>
  <c r="Q502" i="1"/>
  <c r="M502" i="1"/>
  <c r="L502" i="1"/>
  <c r="V501" i="1"/>
  <c r="U501" i="1"/>
  <c r="T501" i="1"/>
  <c r="S501" i="1"/>
  <c r="R501" i="1"/>
  <c r="Q501" i="1"/>
  <c r="M501" i="1"/>
  <c r="L501" i="1"/>
  <c r="V500" i="1"/>
  <c r="U500" i="1"/>
  <c r="T500" i="1"/>
  <c r="W500" i="1" s="1"/>
  <c r="S500" i="1"/>
  <c r="R500" i="1"/>
  <c r="Q500" i="1"/>
  <c r="M500" i="1"/>
  <c r="L500" i="1"/>
  <c r="V499" i="1"/>
  <c r="U499" i="1"/>
  <c r="T499" i="1"/>
  <c r="S499" i="1"/>
  <c r="R499" i="1"/>
  <c r="Q499" i="1"/>
  <c r="M499" i="1"/>
  <c r="L499" i="1"/>
  <c r="V498" i="1"/>
  <c r="Z498" i="1" s="1"/>
  <c r="U498" i="1"/>
  <c r="T498" i="1"/>
  <c r="W498" i="1" s="1"/>
  <c r="S498" i="1"/>
  <c r="R498" i="1"/>
  <c r="Q498" i="1"/>
  <c r="M498" i="1"/>
  <c r="L498" i="1"/>
  <c r="V497" i="1"/>
  <c r="U497" i="1"/>
  <c r="T497" i="1"/>
  <c r="S497" i="1"/>
  <c r="R497" i="1"/>
  <c r="Q497" i="1"/>
  <c r="M497" i="1"/>
  <c r="L497" i="1"/>
  <c r="V496" i="1"/>
  <c r="U496" i="1"/>
  <c r="T496" i="1"/>
  <c r="W496" i="1" s="1"/>
  <c r="S496" i="1"/>
  <c r="R496" i="1"/>
  <c r="Q496" i="1"/>
  <c r="M496" i="1"/>
  <c r="L496" i="1"/>
  <c r="V495" i="1"/>
  <c r="U495" i="1"/>
  <c r="T495" i="1"/>
  <c r="S495" i="1"/>
  <c r="R495" i="1"/>
  <c r="Q495" i="1"/>
  <c r="M495" i="1"/>
  <c r="L495" i="1"/>
  <c r="V494" i="1"/>
  <c r="Z494" i="1" s="1"/>
  <c r="U494" i="1"/>
  <c r="T494" i="1"/>
  <c r="W494" i="1" s="1"/>
  <c r="S494" i="1"/>
  <c r="R494" i="1"/>
  <c r="Q494" i="1"/>
  <c r="M494" i="1"/>
  <c r="L494" i="1"/>
  <c r="V493" i="1"/>
  <c r="U493" i="1"/>
  <c r="T493" i="1"/>
  <c r="S493" i="1"/>
  <c r="R493" i="1"/>
  <c r="Q493" i="1"/>
  <c r="M493" i="1"/>
  <c r="L493" i="1"/>
  <c r="V492" i="1"/>
  <c r="U492" i="1"/>
  <c r="T492" i="1"/>
  <c r="W492" i="1" s="1"/>
  <c r="S492" i="1"/>
  <c r="R492" i="1"/>
  <c r="Q492" i="1"/>
  <c r="M492" i="1"/>
  <c r="L492" i="1"/>
  <c r="V491" i="1"/>
  <c r="U491" i="1"/>
  <c r="T491" i="1"/>
  <c r="S491" i="1"/>
  <c r="R491" i="1"/>
  <c r="Q491" i="1"/>
  <c r="M491" i="1"/>
  <c r="L491" i="1"/>
  <c r="V490" i="1"/>
  <c r="Z490" i="1" s="1"/>
  <c r="U490" i="1"/>
  <c r="T490" i="1"/>
  <c r="W490" i="1" s="1"/>
  <c r="S490" i="1"/>
  <c r="R490" i="1"/>
  <c r="Q490" i="1"/>
  <c r="M490" i="1"/>
  <c r="L490" i="1"/>
  <c r="V489" i="1"/>
  <c r="U489" i="1"/>
  <c r="T489" i="1"/>
  <c r="S489" i="1"/>
  <c r="R489" i="1"/>
  <c r="Q489" i="1"/>
  <c r="M489" i="1"/>
  <c r="L489" i="1"/>
  <c r="V488" i="1"/>
  <c r="U488" i="1"/>
  <c r="T488" i="1"/>
  <c r="W488" i="1" s="1"/>
  <c r="S488" i="1"/>
  <c r="R488" i="1"/>
  <c r="Q488" i="1"/>
  <c r="M488" i="1"/>
  <c r="L488" i="1"/>
  <c r="V487" i="1"/>
  <c r="U487" i="1"/>
  <c r="T487" i="1"/>
  <c r="S487" i="1"/>
  <c r="R487" i="1"/>
  <c r="Q487" i="1"/>
  <c r="M487" i="1"/>
  <c r="L487" i="1"/>
  <c r="V486" i="1"/>
  <c r="Z486" i="1" s="1"/>
  <c r="U486" i="1"/>
  <c r="T486" i="1"/>
  <c r="W486" i="1" s="1"/>
  <c r="S486" i="1"/>
  <c r="R486" i="1"/>
  <c r="Q486" i="1"/>
  <c r="M486" i="1"/>
  <c r="L486" i="1"/>
  <c r="V485" i="1"/>
  <c r="U485" i="1"/>
  <c r="T485" i="1"/>
  <c r="S485" i="1"/>
  <c r="R485" i="1"/>
  <c r="Q485" i="1"/>
  <c r="M485" i="1"/>
  <c r="L485" i="1"/>
  <c r="V484" i="1"/>
  <c r="U484" i="1"/>
  <c r="T484" i="1"/>
  <c r="W484" i="1" s="1"/>
  <c r="S484" i="1"/>
  <c r="R484" i="1"/>
  <c r="Q484" i="1"/>
  <c r="M484" i="1"/>
  <c r="L484" i="1"/>
  <c r="V483" i="1"/>
  <c r="U483" i="1"/>
  <c r="T483" i="1"/>
  <c r="S483" i="1"/>
  <c r="R483" i="1"/>
  <c r="Q483" i="1"/>
  <c r="M483" i="1"/>
  <c r="L483" i="1"/>
  <c r="V482" i="1"/>
  <c r="Z482" i="1" s="1"/>
  <c r="U482" i="1"/>
  <c r="T482" i="1"/>
  <c r="W482" i="1" s="1"/>
  <c r="S482" i="1"/>
  <c r="R482" i="1"/>
  <c r="Q482" i="1"/>
  <c r="M482" i="1"/>
  <c r="L482" i="1"/>
  <c r="V481" i="1"/>
  <c r="U481" i="1"/>
  <c r="T481" i="1"/>
  <c r="S481" i="1"/>
  <c r="R481" i="1"/>
  <c r="Q481" i="1"/>
  <c r="M481" i="1"/>
  <c r="L481" i="1"/>
  <c r="V480" i="1"/>
  <c r="U480" i="1"/>
  <c r="T480" i="1"/>
  <c r="W480" i="1" s="1"/>
  <c r="S480" i="1"/>
  <c r="R480" i="1"/>
  <c r="Q480" i="1"/>
  <c r="M480" i="1"/>
  <c r="L480" i="1"/>
  <c r="V479" i="1"/>
  <c r="U479" i="1"/>
  <c r="T479" i="1"/>
  <c r="S479" i="1"/>
  <c r="R479" i="1"/>
  <c r="Q479" i="1"/>
  <c r="M479" i="1"/>
  <c r="L479" i="1"/>
  <c r="V478" i="1"/>
  <c r="Z478" i="1" s="1"/>
  <c r="U478" i="1"/>
  <c r="T478" i="1"/>
  <c r="W478" i="1" s="1"/>
  <c r="S478" i="1"/>
  <c r="R478" i="1"/>
  <c r="Q478" i="1"/>
  <c r="M478" i="1"/>
  <c r="L478" i="1"/>
  <c r="V477" i="1"/>
  <c r="U477" i="1"/>
  <c r="T477" i="1"/>
  <c r="S477" i="1"/>
  <c r="R477" i="1"/>
  <c r="Q477" i="1"/>
  <c r="M477" i="1"/>
  <c r="L477" i="1"/>
  <c r="V476" i="1"/>
  <c r="U476" i="1"/>
  <c r="T476" i="1"/>
  <c r="W476" i="1" s="1"/>
  <c r="S476" i="1"/>
  <c r="R476" i="1"/>
  <c r="Q476" i="1"/>
  <c r="M476" i="1"/>
  <c r="L476" i="1"/>
  <c r="V475" i="1"/>
  <c r="U475" i="1"/>
  <c r="T475" i="1"/>
  <c r="S475" i="1"/>
  <c r="R475" i="1"/>
  <c r="Q475" i="1"/>
  <c r="M475" i="1"/>
  <c r="L475" i="1"/>
  <c r="V474" i="1"/>
  <c r="Z474" i="1" s="1"/>
  <c r="U474" i="1"/>
  <c r="T474" i="1"/>
  <c r="W474" i="1" s="1"/>
  <c r="S474" i="1"/>
  <c r="R474" i="1"/>
  <c r="Q474" i="1"/>
  <c r="M474" i="1"/>
  <c r="L474" i="1"/>
  <c r="V473" i="1"/>
  <c r="U473" i="1"/>
  <c r="T473" i="1"/>
  <c r="S473" i="1"/>
  <c r="R473" i="1"/>
  <c r="Q473" i="1"/>
  <c r="M473" i="1"/>
  <c r="L473" i="1"/>
  <c r="V472" i="1"/>
  <c r="U472" i="1"/>
  <c r="T472" i="1"/>
  <c r="W472" i="1" s="1"/>
  <c r="S472" i="1"/>
  <c r="R472" i="1"/>
  <c r="Q472" i="1"/>
  <c r="M472" i="1"/>
  <c r="L472" i="1"/>
  <c r="V471" i="1"/>
  <c r="U471" i="1"/>
  <c r="T471" i="1"/>
  <c r="S471" i="1"/>
  <c r="R471" i="1"/>
  <c r="Q471" i="1"/>
  <c r="M471" i="1"/>
  <c r="L471" i="1"/>
  <c r="V470" i="1"/>
  <c r="Z470" i="1" s="1"/>
  <c r="U470" i="1"/>
  <c r="T470" i="1"/>
  <c r="W470" i="1" s="1"/>
  <c r="S470" i="1"/>
  <c r="R470" i="1"/>
  <c r="Q470" i="1"/>
  <c r="M470" i="1"/>
  <c r="L470" i="1"/>
  <c r="V469" i="1"/>
  <c r="U469" i="1"/>
  <c r="T469" i="1"/>
  <c r="S469" i="1"/>
  <c r="R469" i="1"/>
  <c r="Q469" i="1"/>
  <c r="M469" i="1"/>
  <c r="L469" i="1"/>
  <c r="V468" i="1"/>
  <c r="U468" i="1"/>
  <c r="T468" i="1"/>
  <c r="W468" i="1" s="1"/>
  <c r="S468" i="1"/>
  <c r="R468" i="1"/>
  <c r="Q468" i="1"/>
  <c r="M468" i="1"/>
  <c r="L468" i="1"/>
  <c r="V467" i="1"/>
  <c r="U467" i="1"/>
  <c r="T467" i="1"/>
  <c r="S467" i="1"/>
  <c r="R467" i="1"/>
  <c r="Q467" i="1"/>
  <c r="M467" i="1"/>
  <c r="L467" i="1"/>
  <c r="V466" i="1"/>
  <c r="Z466" i="1" s="1"/>
  <c r="U466" i="1"/>
  <c r="T466" i="1"/>
  <c r="W466" i="1" s="1"/>
  <c r="S466" i="1"/>
  <c r="R466" i="1"/>
  <c r="Q466" i="1"/>
  <c r="M466" i="1"/>
  <c r="L466" i="1"/>
  <c r="V465" i="1"/>
  <c r="U465" i="1"/>
  <c r="T465" i="1"/>
  <c r="S465" i="1"/>
  <c r="R465" i="1"/>
  <c r="Q465" i="1"/>
  <c r="M465" i="1"/>
  <c r="L465" i="1"/>
  <c r="V464" i="1"/>
  <c r="U464" i="1"/>
  <c r="T464" i="1"/>
  <c r="W464" i="1" s="1"/>
  <c r="S464" i="1"/>
  <c r="R464" i="1"/>
  <c r="Q464" i="1"/>
  <c r="M464" i="1"/>
  <c r="L464" i="1"/>
  <c r="V463" i="1"/>
  <c r="U463" i="1"/>
  <c r="T463" i="1"/>
  <c r="S463" i="1"/>
  <c r="R463" i="1"/>
  <c r="Q463" i="1"/>
  <c r="M463" i="1"/>
  <c r="L463" i="1"/>
  <c r="V462" i="1"/>
  <c r="Z462" i="1" s="1"/>
  <c r="U462" i="1"/>
  <c r="T462" i="1"/>
  <c r="W462" i="1" s="1"/>
  <c r="S462" i="1"/>
  <c r="R462" i="1"/>
  <c r="Q462" i="1"/>
  <c r="M462" i="1"/>
  <c r="L462" i="1"/>
  <c r="V461" i="1"/>
  <c r="U461" i="1"/>
  <c r="T461" i="1"/>
  <c r="S461" i="1"/>
  <c r="R461" i="1"/>
  <c r="Q461" i="1"/>
  <c r="M461" i="1"/>
  <c r="L461" i="1"/>
  <c r="V460" i="1"/>
  <c r="U460" i="1"/>
  <c r="T460" i="1"/>
  <c r="W460" i="1" s="1"/>
  <c r="S460" i="1"/>
  <c r="R460" i="1"/>
  <c r="Q460" i="1"/>
  <c r="M460" i="1"/>
  <c r="L460" i="1"/>
  <c r="V459" i="1"/>
  <c r="U459" i="1"/>
  <c r="T459" i="1"/>
  <c r="S459" i="1"/>
  <c r="R459" i="1"/>
  <c r="Q459" i="1"/>
  <c r="M459" i="1"/>
  <c r="L459" i="1"/>
  <c r="V458" i="1"/>
  <c r="Z458" i="1" s="1"/>
  <c r="U458" i="1"/>
  <c r="T458" i="1"/>
  <c r="W458" i="1" s="1"/>
  <c r="S458" i="1"/>
  <c r="R458" i="1"/>
  <c r="Q458" i="1"/>
  <c r="M458" i="1"/>
  <c r="L458" i="1"/>
  <c r="V457" i="1"/>
  <c r="U457" i="1"/>
  <c r="T457" i="1"/>
  <c r="S457" i="1"/>
  <c r="R457" i="1"/>
  <c r="Q457" i="1"/>
  <c r="M457" i="1"/>
  <c r="L457" i="1"/>
  <c r="V456" i="1"/>
  <c r="U456" i="1"/>
  <c r="T456" i="1"/>
  <c r="W456" i="1" s="1"/>
  <c r="S456" i="1"/>
  <c r="R456" i="1"/>
  <c r="Q456" i="1"/>
  <c r="M456" i="1"/>
  <c r="L456" i="1"/>
  <c r="V455" i="1"/>
  <c r="U455" i="1"/>
  <c r="T455" i="1"/>
  <c r="S455" i="1"/>
  <c r="R455" i="1"/>
  <c r="Q455" i="1"/>
  <c r="M455" i="1"/>
  <c r="L455" i="1"/>
  <c r="V454" i="1"/>
  <c r="Z454" i="1" s="1"/>
  <c r="U454" i="1"/>
  <c r="T454" i="1"/>
  <c r="W454" i="1" s="1"/>
  <c r="S454" i="1"/>
  <c r="R454" i="1"/>
  <c r="Q454" i="1"/>
  <c r="M454" i="1"/>
  <c r="L454" i="1"/>
  <c r="V453" i="1"/>
  <c r="U453" i="1"/>
  <c r="T453" i="1"/>
  <c r="S453" i="1"/>
  <c r="R453" i="1"/>
  <c r="Q453" i="1"/>
  <c r="M453" i="1"/>
  <c r="L453" i="1"/>
  <c r="V452" i="1"/>
  <c r="U452" i="1"/>
  <c r="T452" i="1"/>
  <c r="W452" i="1" s="1"/>
  <c r="S452" i="1"/>
  <c r="R452" i="1"/>
  <c r="Q452" i="1"/>
  <c r="M452" i="1"/>
  <c r="L452" i="1"/>
  <c r="V451" i="1"/>
  <c r="U451" i="1"/>
  <c r="T451" i="1"/>
  <c r="S451" i="1"/>
  <c r="R451" i="1"/>
  <c r="Q451" i="1"/>
  <c r="M451" i="1"/>
  <c r="L451" i="1"/>
  <c r="V450" i="1"/>
  <c r="Z450" i="1" s="1"/>
  <c r="U450" i="1"/>
  <c r="T450" i="1"/>
  <c r="W450" i="1" s="1"/>
  <c r="S450" i="1"/>
  <c r="R450" i="1"/>
  <c r="Q450" i="1"/>
  <c r="M450" i="1"/>
  <c r="L450" i="1"/>
  <c r="V449" i="1"/>
  <c r="U449" i="1"/>
  <c r="T449" i="1"/>
  <c r="S449" i="1"/>
  <c r="R449" i="1"/>
  <c r="Q449" i="1"/>
  <c r="M449" i="1"/>
  <c r="L449" i="1"/>
  <c r="V448" i="1"/>
  <c r="U448" i="1"/>
  <c r="T448" i="1"/>
  <c r="W448" i="1" s="1"/>
  <c r="S448" i="1"/>
  <c r="R448" i="1"/>
  <c r="Q448" i="1"/>
  <c r="M448" i="1"/>
  <c r="L448" i="1"/>
  <c r="V447" i="1"/>
  <c r="U447" i="1"/>
  <c r="T447" i="1"/>
  <c r="S447" i="1"/>
  <c r="R447" i="1"/>
  <c r="Q447" i="1"/>
  <c r="M447" i="1"/>
  <c r="L447" i="1"/>
  <c r="V446" i="1"/>
  <c r="Z446" i="1" s="1"/>
  <c r="U446" i="1"/>
  <c r="T446" i="1"/>
  <c r="W446" i="1" s="1"/>
  <c r="S446" i="1"/>
  <c r="R446" i="1"/>
  <c r="Q446" i="1"/>
  <c r="M446" i="1"/>
  <c r="L446" i="1"/>
  <c r="V445" i="1"/>
  <c r="U445" i="1"/>
  <c r="T445" i="1"/>
  <c r="S445" i="1"/>
  <c r="R445" i="1"/>
  <c r="Q445" i="1"/>
  <c r="M445" i="1"/>
  <c r="L445" i="1"/>
  <c r="V444" i="1"/>
  <c r="U444" i="1"/>
  <c r="T444" i="1"/>
  <c r="W444" i="1" s="1"/>
  <c r="S444" i="1"/>
  <c r="R444" i="1"/>
  <c r="Q444" i="1"/>
  <c r="M444" i="1"/>
  <c r="L444" i="1"/>
  <c r="V443" i="1"/>
  <c r="U443" i="1"/>
  <c r="T443" i="1"/>
  <c r="S443" i="1"/>
  <c r="R443" i="1"/>
  <c r="Q443" i="1"/>
  <c r="M443" i="1"/>
  <c r="L443" i="1"/>
  <c r="V442" i="1"/>
  <c r="Z442" i="1" s="1"/>
  <c r="U442" i="1"/>
  <c r="T442" i="1"/>
  <c r="W442" i="1" s="1"/>
  <c r="S442" i="1"/>
  <c r="R442" i="1"/>
  <c r="Q442" i="1"/>
  <c r="M442" i="1"/>
  <c r="L442" i="1"/>
  <c r="V441" i="1"/>
  <c r="U441" i="1"/>
  <c r="T441" i="1"/>
  <c r="S441" i="1"/>
  <c r="R441" i="1"/>
  <c r="Q441" i="1"/>
  <c r="M441" i="1"/>
  <c r="L441" i="1"/>
  <c r="V440" i="1"/>
  <c r="U440" i="1"/>
  <c r="T440" i="1"/>
  <c r="W440" i="1" s="1"/>
  <c r="S440" i="1"/>
  <c r="R440" i="1"/>
  <c r="Q440" i="1"/>
  <c r="M440" i="1"/>
  <c r="L440" i="1"/>
  <c r="V439" i="1"/>
  <c r="U439" i="1"/>
  <c r="T439" i="1"/>
  <c r="S439" i="1"/>
  <c r="R439" i="1"/>
  <c r="Q439" i="1"/>
  <c r="M439" i="1"/>
  <c r="L439" i="1"/>
  <c r="V438" i="1"/>
  <c r="Z438" i="1" s="1"/>
  <c r="U438" i="1"/>
  <c r="T438" i="1"/>
  <c r="W438" i="1" s="1"/>
  <c r="S438" i="1"/>
  <c r="R438" i="1"/>
  <c r="Q438" i="1"/>
  <c r="M438" i="1"/>
  <c r="L438" i="1"/>
  <c r="V437" i="1"/>
  <c r="U437" i="1"/>
  <c r="T437" i="1"/>
  <c r="S437" i="1"/>
  <c r="R437" i="1"/>
  <c r="Q437" i="1"/>
  <c r="M437" i="1"/>
  <c r="L437" i="1"/>
  <c r="V436" i="1"/>
  <c r="U436" i="1"/>
  <c r="T436" i="1"/>
  <c r="W436" i="1" s="1"/>
  <c r="S436" i="1"/>
  <c r="R436" i="1"/>
  <c r="Q436" i="1"/>
  <c r="M436" i="1"/>
  <c r="L436" i="1"/>
  <c r="V435" i="1"/>
  <c r="U435" i="1"/>
  <c r="T435" i="1"/>
  <c r="S435" i="1"/>
  <c r="R435" i="1"/>
  <c r="Q435" i="1"/>
  <c r="M435" i="1"/>
  <c r="L435" i="1"/>
  <c r="V434" i="1"/>
  <c r="Z434" i="1" s="1"/>
  <c r="U434" i="1"/>
  <c r="T434" i="1"/>
  <c r="W434" i="1" s="1"/>
  <c r="S434" i="1"/>
  <c r="R434" i="1"/>
  <c r="Q434" i="1"/>
  <c r="M434" i="1"/>
  <c r="L434" i="1"/>
  <c r="V433" i="1"/>
  <c r="U433" i="1"/>
  <c r="T433" i="1"/>
  <c r="S433" i="1"/>
  <c r="R433" i="1"/>
  <c r="Q433" i="1"/>
  <c r="M433" i="1"/>
  <c r="L433" i="1"/>
  <c r="V432" i="1"/>
  <c r="U432" i="1"/>
  <c r="T432" i="1"/>
  <c r="W432" i="1" s="1"/>
  <c r="S432" i="1"/>
  <c r="R432" i="1"/>
  <c r="Q432" i="1"/>
  <c r="M432" i="1"/>
  <c r="L432" i="1"/>
  <c r="V431" i="1"/>
  <c r="U431" i="1"/>
  <c r="T431" i="1"/>
  <c r="S431" i="1"/>
  <c r="R431" i="1"/>
  <c r="Q431" i="1"/>
  <c r="M431" i="1"/>
  <c r="L431" i="1"/>
  <c r="V430" i="1"/>
  <c r="Z430" i="1" s="1"/>
  <c r="U430" i="1"/>
  <c r="T430" i="1"/>
  <c r="W430" i="1" s="1"/>
  <c r="S430" i="1"/>
  <c r="R430" i="1"/>
  <c r="Q430" i="1"/>
  <c r="M430" i="1"/>
  <c r="L430" i="1"/>
  <c r="V429" i="1"/>
  <c r="U429" i="1"/>
  <c r="T429" i="1"/>
  <c r="S429" i="1"/>
  <c r="R429" i="1"/>
  <c r="Q429" i="1"/>
  <c r="M429" i="1"/>
  <c r="L429" i="1"/>
  <c r="V428" i="1"/>
  <c r="U428" i="1"/>
  <c r="T428" i="1"/>
  <c r="W428" i="1" s="1"/>
  <c r="S428" i="1"/>
  <c r="R428" i="1"/>
  <c r="Q428" i="1"/>
  <c r="M428" i="1"/>
  <c r="L428" i="1"/>
  <c r="V427" i="1"/>
  <c r="U427" i="1"/>
  <c r="T427" i="1"/>
  <c r="S427" i="1"/>
  <c r="R427" i="1"/>
  <c r="Q427" i="1"/>
  <c r="M427" i="1"/>
  <c r="L427" i="1"/>
  <c r="V426" i="1"/>
  <c r="Z426" i="1" s="1"/>
  <c r="U426" i="1"/>
  <c r="T426" i="1"/>
  <c r="W426" i="1" s="1"/>
  <c r="S426" i="1"/>
  <c r="R426" i="1"/>
  <c r="Q426" i="1"/>
  <c r="M426" i="1"/>
  <c r="L426" i="1"/>
  <c r="V425" i="1"/>
  <c r="U425" i="1"/>
  <c r="T425" i="1"/>
  <c r="S425" i="1"/>
  <c r="R425" i="1"/>
  <c r="Q425" i="1"/>
  <c r="M425" i="1"/>
  <c r="L425" i="1"/>
  <c r="V424" i="1"/>
  <c r="U424" i="1"/>
  <c r="T424" i="1"/>
  <c r="W424" i="1" s="1"/>
  <c r="S424" i="1"/>
  <c r="R424" i="1"/>
  <c r="Q424" i="1"/>
  <c r="M424" i="1"/>
  <c r="L424" i="1"/>
  <c r="V423" i="1"/>
  <c r="U423" i="1"/>
  <c r="T423" i="1"/>
  <c r="S423" i="1"/>
  <c r="R423" i="1"/>
  <c r="Q423" i="1"/>
  <c r="M423" i="1"/>
  <c r="L423" i="1"/>
  <c r="V422" i="1"/>
  <c r="Z422" i="1" s="1"/>
  <c r="U422" i="1"/>
  <c r="T422" i="1"/>
  <c r="W422" i="1" s="1"/>
  <c r="S422" i="1"/>
  <c r="R422" i="1"/>
  <c r="Q422" i="1"/>
  <c r="M422" i="1"/>
  <c r="L422" i="1"/>
  <c r="V421" i="1"/>
  <c r="U421" i="1"/>
  <c r="T421" i="1"/>
  <c r="S421" i="1"/>
  <c r="R421" i="1"/>
  <c r="Q421" i="1"/>
  <c r="M421" i="1"/>
  <c r="L421" i="1"/>
  <c r="V420" i="1"/>
  <c r="U420" i="1"/>
  <c r="T420" i="1"/>
  <c r="W420" i="1" s="1"/>
  <c r="S420" i="1"/>
  <c r="R420" i="1"/>
  <c r="Q420" i="1"/>
  <c r="M420" i="1"/>
  <c r="L420" i="1"/>
  <c r="V419" i="1"/>
  <c r="U419" i="1"/>
  <c r="T419" i="1"/>
  <c r="S419" i="1"/>
  <c r="R419" i="1"/>
  <c r="Q419" i="1"/>
  <c r="M419" i="1"/>
  <c r="L419" i="1"/>
  <c r="V418" i="1"/>
  <c r="Z418" i="1" s="1"/>
  <c r="U418" i="1"/>
  <c r="T418" i="1"/>
  <c r="W418" i="1" s="1"/>
  <c r="S418" i="1"/>
  <c r="R418" i="1"/>
  <c r="Q418" i="1"/>
  <c r="M418" i="1"/>
  <c r="L418" i="1"/>
  <c r="V417" i="1"/>
  <c r="U417" i="1"/>
  <c r="T417" i="1"/>
  <c r="S417" i="1"/>
  <c r="R417" i="1"/>
  <c r="Q417" i="1"/>
  <c r="M417" i="1"/>
  <c r="L417" i="1"/>
  <c r="V416" i="1"/>
  <c r="U416" i="1"/>
  <c r="T416" i="1"/>
  <c r="W416" i="1" s="1"/>
  <c r="S416" i="1"/>
  <c r="R416" i="1"/>
  <c r="Q416" i="1"/>
  <c r="M416" i="1"/>
  <c r="L416" i="1"/>
  <c r="V415" i="1"/>
  <c r="U415" i="1"/>
  <c r="T415" i="1"/>
  <c r="S415" i="1"/>
  <c r="R415" i="1"/>
  <c r="Q415" i="1"/>
  <c r="M415" i="1"/>
  <c r="L415" i="1"/>
  <c r="V414" i="1"/>
  <c r="Z414" i="1" s="1"/>
  <c r="U414" i="1"/>
  <c r="T414" i="1"/>
  <c r="W414" i="1" s="1"/>
  <c r="S414" i="1"/>
  <c r="R414" i="1"/>
  <c r="Q414" i="1"/>
  <c r="M414" i="1"/>
  <c r="L414" i="1"/>
  <c r="V413" i="1"/>
  <c r="U413" i="1"/>
  <c r="T413" i="1"/>
  <c r="S413" i="1"/>
  <c r="R413" i="1"/>
  <c r="Q413" i="1"/>
  <c r="M413" i="1"/>
  <c r="L413" i="1"/>
  <c r="V412" i="1"/>
  <c r="U412" i="1"/>
  <c r="T412" i="1"/>
  <c r="W412" i="1" s="1"/>
  <c r="S412" i="1"/>
  <c r="R412" i="1"/>
  <c r="Q412" i="1"/>
  <c r="M412" i="1"/>
  <c r="L412" i="1"/>
  <c r="V411" i="1"/>
  <c r="U411" i="1"/>
  <c r="T411" i="1"/>
  <c r="S411" i="1"/>
  <c r="R411" i="1"/>
  <c r="Q411" i="1"/>
  <c r="M411" i="1"/>
  <c r="L411" i="1"/>
  <c r="V410" i="1"/>
  <c r="Z410" i="1" s="1"/>
  <c r="U410" i="1"/>
  <c r="T410" i="1"/>
  <c r="W410" i="1" s="1"/>
  <c r="S410" i="1"/>
  <c r="R410" i="1"/>
  <c r="Q410" i="1"/>
  <c r="M410" i="1"/>
  <c r="L410" i="1"/>
  <c r="V409" i="1"/>
  <c r="U409" i="1"/>
  <c r="T409" i="1"/>
  <c r="S409" i="1"/>
  <c r="R409" i="1"/>
  <c r="Q409" i="1"/>
  <c r="M409" i="1"/>
  <c r="L409" i="1"/>
  <c r="V408" i="1"/>
  <c r="U408" i="1"/>
  <c r="T408" i="1"/>
  <c r="W408" i="1" s="1"/>
  <c r="S408" i="1"/>
  <c r="R408" i="1"/>
  <c r="Q408" i="1"/>
  <c r="M408" i="1"/>
  <c r="L408" i="1"/>
  <c r="V407" i="1"/>
  <c r="U407" i="1"/>
  <c r="T407" i="1"/>
  <c r="S407" i="1"/>
  <c r="R407" i="1"/>
  <c r="Q407" i="1"/>
  <c r="M407" i="1"/>
  <c r="L407" i="1"/>
  <c r="V406" i="1"/>
  <c r="Z406" i="1" s="1"/>
  <c r="U406" i="1"/>
  <c r="T406" i="1"/>
  <c r="W406" i="1" s="1"/>
  <c r="S406" i="1"/>
  <c r="R406" i="1"/>
  <c r="Q406" i="1"/>
  <c r="M406" i="1"/>
  <c r="L406" i="1"/>
  <c r="V405" i="1"/>
  <c r="U405" i="1"/>
  <c r="T405" i="1"/>
  <c r="S405" i="1"/>
  <c r="R405" i="1"/>
  <c r="Q405" i="1"/>
  <c r="M405" i="1"/>
  <c r="L405" i="1"/>
  <c r="V404" i="1"/>
  <c r="U404" i="1"/>
  <c r="T404" i="1"/>
  <c r="W404" i="1" s="1"/>
  <c r="S404" i="1"/>
  <c r="R404" i="1"/>
  <c r="Q404" i="1"/>
  <c r="M404" i="1"/>
  <c r="L404" i="1"/>
  <c r="V403" i="1"/>
  <c r="U403" i="1"/>
  <c r="T403" i="1"/>
  <c r="S403" i="1"/>
  <c r="R403" i="1"/>
  <c r="Q403" i="1"/>
  <c r="M403" i="1"/>
  <c r="L403" i="1"/>
  <c r="V402" i="1"/>
  <c r="Z402" i="1" s="1"/>
  <c r="U402" i="1"/>
  <c r="T402" i="1"/>
  <c r="W402" i="1" s="1"/>
  <c r="S402" i="1"/>
  <c r="R402" i="1"/>
  <c r="Q402" i="1"/>
  <c r="M402" i="1"/>
  <c r="L402" i="1"/>
  <c r="V401" i="1"/>
  <c r="U401" i="1"/>
  <c r="T401" i="1"/>
  <c r="S401" i="1"/>
  <c r="R401" i="1"/>
  <c r="Q401" i="1"/>
  <c r="M401" i="1"/>
  <c r="L401" i="1"/>
  <c r="V400" i="1"/>
  <c r="U400" i="1"/>
  <c r="T400" i="1"/>
  <c r="W400" i="1" s="1"/>
  <c r="S400" i="1"/>
  <c r="R400" i="1"/>
  <c r="Q400" i="1"/>
  <c r="M400" i="1"/>
  <c r="L400" i="1"/>
  <c r="V399" i="1"/>
  <c r="U399" i="1"/>
  <c r="T399" i="1"/>
  <c r="S399" i="1"/>
  <c r="R399" i="1"/>
  <c r="Q399" i="1"/>
  <c r="M399" i="1"/>
  <c r="L399" i="1"/>
  <c r="V398" i="1"/>
  <c r="Z398" i="1" s="1"/>
  <c r="U398" i="1"/>
  <c r="T398" i="1"/>
  <c r="W398" i="1" s="1"/>
  <c r="S398" i="1"/>
  <c r="R398" i="1"/>
  <c r="Q398" i="1"/>
  <c r="M398" i="1"/>
  <c r="L398" i="1"/>
  <c r="V397" i="1"/>
  <c r="U397" i="1"/>
  <c r="T397" i="1"/>
  <c r="S397" i="1"/>
  <c r="R397" i="1"/>
  <c r="Q397" i="1"/>
  <c r="M397" i="1"/>
  <c r="L397" i="1"/>
  <c r="V396" i="1"/>
  <c r="U396" i="1"/>
  <c r="T396" i="1"/>
  <c r="W396" i="1" s="1"/>
  <c r="S396" i="1"/>
  <c r="R396" i="1"/>
  <c r="Q396" i="1"/>
  <c r="M396" i="1"/>
  <c r="L396" i="1"/>
  <c r="V395" i="1"/>
  <c r="U395" i="1"/>
  <c r="T395" i="1"/>
  <c r="S395" i="1"/>
  <c r="R395" i="1"/>
  <c r="Q395" i="1"/>
  <c r="M395" i="1"/>
  <c r="L395" i="1"/>
  <c r="V394" i="1"/>
  <c r="Z394" i="1" s="1"/>
  <c r="U394" i="1"/>
  <c r="T394" i="1"/>
  <c r="W394" i="1" s="1"/>
  <c r="S394" i="1"/>
  <c r="R394" i="1"/>
  <c r="Q394" i="1"/>
  <c r="M394" i="1"/>
  <c r="L394" i="1"/>
  <c r="V393" i="1"/>
  <c r="U393" i="1"/>
  <c r="T393" i="1"/>
  <c r="S393" i="1"/>
  <c r="R393" i="1"/>
  <c r="Q393" i="1"/>
  <c r="M393" i="1"/>
  <c r="L393" i="1"/>
  <c r="V392" i="1"/>
  <c r="U392" i="1"/>
  <c r="T392" i="1"/>
  <c r="W392" i="1" s="1"/>
  <c r="S392" i="1"/>
  <c r="R392" i="1"/>
  <c r="Q392" i="1"/>
  <c r="M392" i="1"/>
  <c r="L392" i="1"/>
  <c r="V391" i="1"/>
  <c r="U391" i="1"/>
  <c r="T391" i="1"/>
  <c r="S391" i="1"/>
  <c r="R391" i="1"/>
  <c r="Q391" i="1"/>
  <c r="M391" i="1"/>
  <c r="L391" i="1"/>
  <c r="V390" i="1"/>
  <c r="Z390" i="1" s="1"/>
  <c r="U390" i="1"/>
  <c r="T390" i="1"/>
  <c r="W390" i="1" s="1"/>
  <c r="S390" i="1"/>
  <c r="R390" i="1"/>
  <c r="Q390" i="1"/>
  <c r="M390" i="1"/>
  <c r="L390" i="1"/>
  <c r="V389" i="1"/>
  <c r="U389" i="1"/>
  <c r="T389" i="1"/>
  <c r="S389" i="1"/>
  <c r="R389" i="1"/>
  <c r="Q389" i="1"/>
  <c r="M389" i="1"/>
  <c r="L389" i="1"/>
  <c r="V388" i="1"/>
  <c r="U388" i="1"/>
  <c r="T388" i="1"/>
  <c r="W388" i="1" s="1"/>
  <c r="S388" i="1"/>
  <c r="R388" i="1"/>
  <c r="Q388" i="1"/>
  <c r="M388" i="1"/>
  <c r="L388" i="1"/>
  <c r="V387" i="1"/>
  <c r="U387" i="1"/>
  <c r="T387" i="1"/>
  <c r="S387" i="1"/>
  <c r="R387" i="1"/>
  <c r="Q387" i="1"/>
  <c r="M387" i="1"/>
  <c r="L387" i="1"/>
  <c r="V386" i="1"/>
  <c r="Z386" i="1" s="1"/>
  <c r="U386" i="1"/>
  <c r="T386" i="1"/>
  <c r="W386" i="1" s="1"/>
  <c r="S386" i="1"/>
  <c r="R386" i="1"/>
  <c r="Q386" i="1"/>
  <c r="M386" i="1"/>
  <c r="L386" i="1"/>
  <c r="V385" i="1"/>
  <c r="U385" i="1"/>
  <c r="T385" i="1"/>
  <c r="S385" i="1"/>
  <c r="R385" i="1"/>
  <c r="Q385" i="1"/>
  <c r="M385" i="1"/>
  <c r="L385" i="1"/>
  <c r="V384" i="1"/>
  <c r="U384" i="1"/>
  <c r="T384" i="1"/>
  <c r="W384" i="1" s="1"/>
  <c r="S384" i="1"/>
  <c r="R384" i="1"/>
  <c r="Q384" i="1"/>
  <c r="M384" i="1"/>
  <c r="L384" i="1"/>
  <c r="V383" i="1"/>
  <c r="U383" i="1"/>
  <c r="T383" i="1"/>
  <c r="S383" i="1"/>
  <c r="R383" i="1"/>
  <c r="Q383" i="1"/>
  <c r="M383" i="1"/>
  <c r="L383" i="1"/>
  <c r="V382" i="1"/>
  <c r="Z382" i="1" s="1"/>
  <c r="U382" i="1"/>
  <c r="T382" i="1"/>
  <c r="W382" i="1" s="1"/>
  <c r="S382" i="1"/>
  <c r="R382" i="1"/>
  <c r="Q382" i="1"/>
  <c r="M382" i="1"/>
  <c r="L382" i="1"/>
  <c r="V381" i="1"/>
  <c r="U381" i="1"/>
  <c r="T381" i="1"/>
  <c r="S381" i="1"/>
  <c r="R381" i="1"/>
  <c r="Q381" i="1"/>
  <c r="M381" i="1"/>
  <c r="L381" i="1"/>
  <c r="V380" i="1"/>
  <c r="U380" i="1"/>
  <c r="T380" i="1"/>
  <c r="W380" i="1" s="1"/>
  <c r="S380" i="1"/>
  <c r="R380" i="1"/>
  <c r="Q380" i="1"/>
  <c r="M380" i="1"/>
  <c r="L380" i="1"/>
  <c r="V379" i="1"/>
  <c r="U379" i="1"/>
  <c r="T379" i="1"/>
  <c r="S379" i="1"/>
  <c r="R379" i="1"/>
  <c r="Q379" i="1"/>
  <c r="M379" i="1"/>
  <c r="L379" i="1"/>
  <c r="V378" i="1"/>
  <c r="Z378" i="1" s="1"/>
  <c r="U378" i="1"/>
  <c r="T378" i="1"/>
  <c r="W378" i="1" s="1"/>
  <c r="S378" i="1"/>
  <c r="R378" i="1"/>
  <c r="Q378" i="1"/>
  <c r="M378" i="1"/>
  <c r="L378" i="1"/>
  <c r="V377" i="1"/>
  <c r="U377" i="1"/>
  <c r="T377" i="1"/>
  <c r="S377" i="1"/>
  <c r="R377" i="1"/>
  <c r="Q377" i="1"/>
  <c r="M377" i="1"/>
  <c r="L377" i="1"/>
  <c r="V376" i="1"/>
  <c r="U376" i="1"/>
  <c r="T376" i="1"/>
  <c r="W376" i="1" s="1"/>
  <c r="S376" i="1"/>
  <c r="R376" i="1"/>
  <c r="Q376" i="1"/>
  <c r="M376" i="1"/>
  <c r="L376" i="1"/>
  <c r="V375" i="1"/>
  <c r="U375" i="1"/>
  <c r="T375" i="1"/>
  <c r="S375" i="1"/>
  <c r="R375" i="1"/>
  <c r="Q375" i="1"/>
  <c r="M375" i="1"/>
  <c r="L375" i="1"/>
  <c r="V374" i="1"/>
  <c r="Z374" i="1" s="1"/>
  <c r="U374" i="1"/>
  <c r="T374" i="1"/>
  <c r="W374" i="1" s="1"/>
  <c r="S374" i="1"/>
  <c r="R374" i="1"/>
  <c r="Q374" i="1"/>
  <c r="M374" i="1"/>
  <c r="L374" i="1"/>
  <c r="V373" i="1"/>
  <c r="U373" i="1"/>
  <c r="T373" i="1"/>
  <c r="S373" i="1"/>
  <c r="R373" i="1"/>
  <c r="Q373" i="1"/>
  <c r="M373" i="1"/>
  <c r="L373" i="1"/>
  <c r="V372" i="1"/>
  <c r="U372" i="1"/>
  <c r="T372" i="1"/>
  <c r="W372" i="1" s="1"/>
  <c r="S372" i="1"/>
  <c r="R372" i="1"/>
  <c r="Q372" i="1"/>
  <c r="M372" i="1"/>
  <c r="L372" i="1"/>
  <c r="V371" i="1"/>
  <c r="U371" i="1"/>
  <c r="T371" i="1"/>
  <c r="S371" i="1"/>
  <c r="R371" i="1"/>
  <c r="Q371" i="1"/>
  <c r="M371" i="1"/>
  <c r="L371" i="1"/>
  <c r="V370" i="1"/>
  <c r="Z370" i="1" s="1"/>
  <c r="U370" i="1"/>
  <c r="T370" i="1"/>
  <c r="W370" i="1" s="1"/>
  <c r="S370" i="1"/>
  <c r="R370" i="1"/>
  <c r="Q370" i="1"/>
  <c r="M370" i="1"/>
  <c r="L370" i="1"/>
  <c r="V369" i="1"/>
  <c r="U369" i="1"/>
  <c r="T369" i="1"/>
  <c r="S369" i="1"/>
  <c r="R369" i="1"/>
  <c r="Q369" i="1"/>
  <c r="M369" i="1"/>
  <c r="L369" i="1"/>
  <c r="V368" i="1"/>
  <c r="U368" i="1"/>
  <c r="T368" i="1"/>
  <c r="W368" i="1" s="1"/>
  <c r="S368" i="1"/>
  <c r="R368" i="1"/>
  <c r="Q368" i="1"/>
  <c r="M368" i="1"/>
  <c r="L368" i="1"/>
  <c r="V367" i="1"/>
  <c r="U367" i="1"/>
  <c r="T367" i="1"/>
  <c r="S367" i="1"/>
  <c r="R367" i="1"/>
  <c r="Q367" i="1"/>
  <c r="M367" i="1"/>
  <c r="L367" i="1"/>
  <c r="V366" i="1"/>
  <c r="Z366" i="1" s="1"/>
  <c r="U366" i="1"/>
  <c r="T366" i="1"/>
  <c r="W366" i="1" s="1"/>
  <c r="S366" i="1"/>
  <c r="R366" i="1"/>
  <c r="Q366" i="1"/>
  <c r="M366" i="1"/>
  <c r="L366" i="1"/>
  <c r="V365" i="1"/>
  <c r="U365" i="1"/>
  <c r="T365" i="1"/>
  <c r="S365" i="1"/>
  <c r="R365" i="1"/>
  <c r="Q365" i="1"/>
  <c r="M365" i="1"/>
  <c r="L365" i="1"/>
  <c r="V364" i="1"/>
  <c r="U364" i="1"/>
  <c r="T364" i="1"/>
  <c r="W364" i="1" s="1"/>
  <c r="S364" i="1"/>
  <c r="R364" i="1"/>
  <c r="Q364" i="1"/>
  <c r="M364" i="1"/>
  <c r="L364" i="1"/>
  <c r="V363" i="1"/>
  <c r="U363" i="1"/>
  <c r="T363" i="1"/>
  <c r="S363" i="1"/>
  <c r="R363" i="1"/>
  <c r="Q363" i="1"/>
  <c r="M363" i="1"/>
  <c r="L363" i="1"/>
  <c r="V362" i="1"/>
  <c r="Z362" i="1" s="1"/>
  <c r="U362" i="1"/>
  <c r="T362" i="1"/>
  <c r="W362" i="1" s="1"/>
  <c r="S362" i="1"/>
  <c r="R362" i="1"/>
  <c r="Q362" i="1"/>
  <c r="M362" i="1"/>
  <c r="L362" i="1"/>
  <c r="V361" i="1"/>
  <c r="U361" i="1"/>
  <c r="T361" i="1"/>
  <c r="S361" i="1"/>
  <c r="R361" i="1"/>
  <c r="Q361" i="1"/>
  <c r="M361" i="1"/>
  <c r="L361" i="1"/>
  <c r="V360" i="1"/>
  <c r="U360" i="1"/>
  <c r="T360" i="1"/>
  <c r="W360" i="1" s="1"/>
  <c r="S360" i="1"/>
  <c r="R360" i="1"/>
  <c r="Q360" i="1"/>
  <c r="M360" i="1"/>
  <c r="L360" i="1"/>
  <c r="V359" i="1"/>
  <c r="U359" i="1"/>
  <c r="T359" i="1"/>
  <c r="S359" i="1"/>
  <c r="R359" i="1"/>
  <c r="Q359" i="1"/>
  <c r="M359" i="1"/>
  <c r="L359" i="1"/>
  <c r="V358" i="1"/>
  <c r="Z358" i="1" s="1"/>
  <c r="U358" i="1"/>
  <c r="T358" i="1"/>
  <c r="W358" i="1" s="1"/>
  <c r="S358" i="1"/>
  <c r="R358" i="1"/>
  <c r="Q358" i="1"/>
  <c r="M358" i="1"/>
  <c r="L358" i="1"/>
  <c r="V357" i="1"/>
  <c r="U357" i="1"/>
  <c r="T357" i="1"/>
  <c r="S357" i="1"/>
  <c r="R357" i="1"/>
  <c r="Q357" i="1"/>
  <c r="M357" i="1"/>
  <c r="L357" i="1"/>
  <c r="V356" i="1"/>
  <c r="U356" i="1"/>
  <c r="T356" i="1"/>
  <c r="W356" i="1" s="1"/>
  <c r="S356" i="1"/>
  <c r="R356" i="1"/>
  <c r="Q356" i="1"/>
  <c r="M356" i="1"/>
  <c r="L356" i="1"/>
  <c r="V355" i="1"/>
  <c r="U355" i="1"/>
  <c r="T355" i="1"/>
  <c r="S355" i="1"/>
  <c r="R355" i="1"/>
  <c r="Q355" i="1"/>
  <c r="M355" i="1"/>
  <c r="L355" i="1"/>
  <c r="V354" i="1"/>
  <c r="Z354" i="1" s="1"/>
  <c r="U354" i="1"/>
  <c r="T354" i="1"/>
  <c r="W354" i="1" s="1"/>
  <c r="S354" i="1"/>
  <c r="R354" i="1"/>
  <c r="Q354" i="1"/>
  <c r="M354" i="1"/>
  <c r="L354" i="1"/>
  <c r="V353" i="1"/>
  <c r="U353" i="1"/>
  <c r="T353" i="1"/>
  <c r="S353" i="1"/>
  <c r="R353" i="1"/>
  <c r="Q353" i="1"/>
  <c r="M353" i="1"/>
  <c r="L353" i="1"/>
  <c r="V352" i="1"/>
  <c r="U352" i="1"/>
  <c r="T352" i="1"/>
  <c r="W352" i="1" s="1"/>
  <c r="S352" i="1"/>
  <c r="R352" i="1"/>
  <c r="Q352" i="1"/>
  <c r="M352" i="1"/>
  <c r="L352" i="1"/>
  <c r="V351" i="1"/>
  <c r="U351" i="1"/>
  <c r="T351" i="1"/>
  <c r="S351" i="1"/>
  <c r="R351" i="1"/>
  <c r="Q351" i="1"/>
  <c r="M351" i="1"/>
  <c r="L351" i="1"/>
  <c r="V350" i="1"/>
  <c r="Z350" i="1" s="1"/>
  <c r="U350" i="1"/>
  <c r="T350" i="1"/>
  <c r="W350" i="1" s="1"/>
  <c r="S350" i="1"/>
  <c r="R350" i="1"/>
  <c r="Q350" i="1"/>
  <c r="M350" i="1"/>
  <c r="L350" i="1"/>
  <c r="V349" i="1"/>
  <c r="U349" i="1"/>
  <c r="T349" i="1"/>
  <c r="S349" i="1"/>
  <c r="R349" i="1"/>
  <c r="Q349" i="1"/>
  <c r="M349" i="1"/>
  <c r="L349" i="1"/>
  <c r="V348" i="1"/>
  <c r="U348" i="1"/>
  <c r="T348" i="1"/>
  <c r="W348" i="1" s="1"/>
  <c r="S348" i="1"/>
  <c r="R348" i="1"/>
  <c r="Q348" i="1"/>
  <c r="M348" i="1"/>
  <c r="L348" i="1"/>
  <c r="V347" i="1"/>
  <c r="U347" i="1"/>
  <c r="T347" i="1"/>
  <c r="S347" i="1"/>
  <c r="R347" i="1"/>
  <c r="Q347" i="1"/>
  <c r="M347" i="1"/>
  <c r="L347" i="1"/>
  <c r="V346" i="1"/>
  <c r="Z346" i="1" s="1"/>
  <c r="U346" i="1"/>
  <c r="T346" i="1"/>
  <c r="W346" i="1" s="1"/>
  <c r="S346" i="1"/>
  <c r="R346" i="1"/>
  <c r="Q346" i="1"/>
  <c r="M346" i="1"/>
  <c r="L346" i="1"/>
  <c r="V345" i="1"/>
  <c r="U345" i="1"/>
  <c r="T345" i="1"/>
  <c r="S345" i="1"/>
  <c r="R345" i="1"/>
  <c r="Q345" i="1"/>
  <c r="M345" i="1"/>
  <c r="L345" i="1"/>
  <c r="V344" i="1"/>
  <c r="U344" i="1"/>
  <c r="T344" i="1"/>
  <c r="W344" i="1" s="1"/>
  <c r="S344" i="1"/>
  <c r="R344" i="1"/>
  <c r="Q344" i="1"/>
  <c r="M344" i="1"/>
  <c r="L344" i="1"/>
  <c r="V343" i="1"/>
  <c r="U343" i="1"/>
  <c r="T343" i="1"/>
  <c r="S343" i="1"/>
  <c r="R343" i="1"/>
  <c r="Q343" i="1"/>
  <c r="M343" i="1"/>
  <c r="L343" i="1"/>
  <c r="V342" i="1"/>
  <c r="Z342" i="1" s="1"/>
  <c r="U342" i="1"/>
  <c r="T342" i="1"/>
  <c r="W342" i="1" s="1"/>
  <c r="S342" i="1"/>
  <c r="R342" i="1"/>
  <c r="Q342" i="1"/>
  <c r="M342" i="1"/>
  <c r="L342" i="1"/>
  <c r="V341" i="1"/>
  <c r="Z341" i="1" s="1"/>
  <c r="U341" i="1"/>
  <c r="T341" i="1"/>
  <c r="S341" i="1"/>
  <c r="R341" i="1"/>
  <c r="Q341" i="1"/>
  <c r="M341" i="1"/>
  <c r="L341" i="1"/>
  <c r="V340" i="1"/>
  <c r="U340" i="1"/>
  <c r="T340" i="1"/>
  <c r="W340" i="1" s="1"/>
  <c r="S340" i="1"/>
  <c r="R340" i="1"/>
  <c r="Q340" i="1"/>
  <c r="M340" i="1"/>
  <c r="L340" i="1"/>
  <c r="V339" i="1"/>
  <c r="U339" i="1"/>
  <c r="T339" i="1"/>
  <c r="S339" i="1"/>
  <c r="R339" i="1"/>
  <c r="Q339" i="1"/>
  <c r="M339" i="1"/>
  <c r="L339" i="1"/>
  <c r="V338" i="1"/>
  <c r="Z338" i="1" s="1"/>
  <c r="U338" i="1"/>
  <c r="T338" i="1"/>
  <c r="W338" i="1" s="1"/>
  <c r="S338" i="1"/>
  <c r="R338" i="1"/>
  <c r="Q338" i="1"/>
  <c r="M338" i="1"/>
  <c r="L338" i="1"/>
  <c r="V337" i="1"/>
  <c r="Z337" i="1" s="1"/>
  <c r="U337" i="1"/>
  <c r="T337" i="1"/>
  <c r="S337" i="1"/>
  <c r="R337" i="1"/>
  <c r="Q337" i="1"/>
  <c r="M337" i="1"/>
  <c r="L337" i="1"/>
  <c r="V336" i="1"/>
  <c r="U336" i="1"/>
  <c r="T336" i="1"/>
  <c r="W336" i="1" s="1"/>
  <c r="S336" i="1"/>
  <c r="R336" i="1"/>
  <c r="Q336" i="1"/>
  <c r="M336" i="1"/>
  <c r="L336" i="1"/>
  <c r="V335" i="1"/>
  <c r="U335" i="1"/>
  <c r="T335" i="1"/>
  <c r="S335" i="1"/>
  <c r="R335" i="1"/>
  <c r="Q335" i="1"/>
  <c r="M335" i="1"/>
  <c r="L335" i="1"/>
  <c r="V334" i="1"/>
  <c r="Z334" i="1" s="1"/>
  <c r="U334" i="1"/>
  <c r="T334" i="1"/>
  <c r="W334" i="1" s="1"/>
  <c r="S334" i="1"/>
  <c r="R334" i="1"/>
  <c r="Q334" i="1"/>
  <c r="M334" i="1"/>
  <c r="L334" i="1"/>
  <c r="V333" i="1"/>
  <c r="Z333" i="1" s="1"/>
  <c r="U333" i="1"/>
  <c r="T333" i="1"/>
  <c r="S333" i="1"/>
  <c r="R333" i="1"/>
  <c r="Q333" i="1"/>
  <c r="M333" i="1"/>
  <c r="L333" i="1"/>
  <c r="V332" i="1"/>
  <c r="U332" i="1"/>
  <c r="T332" i="1"/>
  <c r="W332" i="1" s="1"/>
  <c r="S332" i="1"/>
  <c r="R332" i="1"/>
  <c r="Q332" i="1"/>
  <c r="M332" i="1"/>
  <c r="L332" i="1"/>
  <c r="V331" i="1"/>
  <c r="U331" i="1"/>
  <c r="T331" i="1"/>
  <c r="S331" i="1"/>
  <c r="R331" i="1"/>
  <c r="Q331" i="1"/>
  <c r="M331" i="1"/>
  <c r="L331" i="1"/>
  <c r="V330" i="1"/>
  <c r="Z330" i="1" s="1"/>
  <c r="U330" i="1"/>
  <c r="T330" i="1"/>
  <c r="W330" i="1" s="1"/>
  <c r="S330" i="1"/>
  <c r="R330" i="1"/>
  <c r="Q330" i="1"/>
  <c r="M330" i="1"/>
  <c r="L330" i="1"/>
  <c r="V329" i="1"/>
  <c r="Z329" i="1" s="1"/>
  <c r="U329" i="1"/>
  <c r="T329" i="1"/>
  <c r="S329" i="1"/>
  <c r="R329" i="1"/>
  <c r="Q329" i="1"/>
  <c r="M329" i="1"/>
  <c r="L329" i="1"/>
  <c r="V328" i="1"/>
  <c r="U328" i="1"/>
  <c r="T328" i="1"/>
  <c r="W328" i="1" s="1"/>
  <c r="S328" i="1"/>
  <c r="R328" i="1"/>
  <c r="Q328" i="1"/>
  <c r="M328" i="1"/>
  <c r="L328" i="1"/>
  <c r="V327" i="1"/>
  <c r="U327" i="1"/>
  <c r="T327" i="1"/>
  <c r="S327" i="1"/>
  <c r="R327" i="1"/>
  <c r="Q327" i="1"/>
  <c r="M327" i="1"/>
  <c r="L327" i="1"/>
  <c r="V326" i="1"/>
  <c r="Z326" i="1" s="1"/>
  <c r="U326" i="1"/>
  <c r="T326" i="1"/>
  <c r="W326" i="1" s="1"/>
  <c r="S326" i="1"/>
  <c r="R326" i="1"/>
  <c r="Q326" i="1"/>
  <c r="M326" i="1"/>
  <c r="L326" i="1"/>
  <c r="V325" i="1"/>
  <c r="Z325" i="1" s="1"/>
  <c r="U325" i="1"/>
  <c r="T325" i="1"/>
  <c r="S325" i="1"/>
  <c r="R325" i="1"/>
  <c r="Q325" i="1"/>
  <c r="M325" i="1"/>
  <c r="L325" i="1"/>
  <c r="V324" i="1"/>
  <c r="U324" i="1"/>
  <c r="T324" i="1"/>
  <c r="W324" i="1" s="1"/>
  <c r="S324" i="1"/>
  <c r="R324" i="1"/>
  <c r="Q324" i="1"/>
  <c r="M324" i="1"/>
  <c r="L324" i="1"/>
  <c r="V323" i="1"/>
  <c r="U323" i="1"/>
  <c r="T323" i="1"/>
  <c r="S323" i="1"/>
  <c r="R323" i="1"/>
  <c r="Q323" i="1"/>
  <c r="M323" i="1"/>
  <c r="L323" i="1"/>
  <c r="V322" i="1"/>
  <c r="Z322" i="1" s="1"/>
  <c r="U322" i="1"/>
  <c r="T322" i="1"/>
  <c r="W322" i="1" s="1"/>
  <c r="S322" i="1"/>
  <c r="R322" i="1"/>
  <c r="Q322" i="1"/>
  <c r="M322" i="1"/>
  <c r="L322" i="1"/>
  <c r="V321" i="1"/>
  <c r="Z321" i="1" s="1"/>
  <c r="U321" i="1"/>
  <c r="T321" i="1"/>
  <c r="S321" i="1"/>
  <c r="R321" i="1"/>
  <c r="Q321" i="1"/>
  <c r="M321" i="1"/>
  <c r="L321" i="1"/>
  <c r="V320" i="1"/>
  <c r="Z320" i="1" s="1"/>
  <c r="U320" i="1"/>
  <c r="T320" i="1"/>
  <c r="W320" i="1" s="1"/>
  <c r="S320" i="1"/>
  <c r="R320" i="1"/>
  <c r="Q320" i="1"/>
  <c r="M320" i="1"/>
  <c r="L320" i="1"/>
  <c r="V319" i="1"/>
  <c r="U319" i="1"/>
  <c r="T319" i="1"/>
  <c r="S319" i="1"/>
  <c r="R319" i="1"/>
  <c r="Q319" i="1"/>
  <c r="M319" i="1"/>
  <c r="L319" i="1"/>
  <c r="V318" i="1"/>
  <c r="Z318" i="1" s="1"/>
  <c r="U318" i="1"/>
  <c r="T318" i="1"/>
  <c r="W318" i="1" s="1"/>
  <c r="S318" i="1"/>
  <c r="R318" i="1"/>
  <c r="Q318" i="1"/>
  <c r="M318" i="1"/>
  <c r="L318" i="1"/>
  <c r="V317" i="1"/>
  <c r="Z317" i="1" s="1"/>
  <c r="U317" i="1"/>
  <c r="T317" i="1"/>
  <c r="S317" i="1"/>
  <c r="R317" i="1"/>
  <c r="Q317" i="1"/>
  <c r="M317" i="1"/>
  <c r="L317" i="1"/>
  <c r="V316" i="1"/>
  <c r="Z316" i="1" s="1"/>
  <c r="U316" i="1"/>
  <c r="T316" i="1"/>
  <c r="W316" i="1" s="1"/>
  <c r="S316" i="1"/>
  <c r="R316" i="1"/>
  <c r="Q316" i="1"/>
  <c r="M316" i="1"/>
  <c r="L316" i="1"/>
  <c r="V315" i="1"/>
  <c r="U315" i="1"/>
  <c r="T315" i="1"/>
  <c r="S315" i="1"/>
  <c r="R315" i="1"/>
  <c r="Q315" i="1"/>
  <c r="M315" i="1"/>
  <c r="L315" i="1"/>
  <c r="V314" i="1"/>
  <c r="Z314" i="1" s="1"/>
  <c r="U314" i="1"/>
  <c r="T314" i="1"/>
  <c r="W314" i="1" s="1"/>
  <c r="S314" i="1"/>
  <c r="R314" i="1"/>
  <c r="Q314" i="1"/>
  <c r="M314" i="1"/>
  <c r="L314" i="1"/>
  <c r="V313" i="1"/>
  <c r="Z313" i="1" s="1"/>
  <c r="U313" i="1"/>
  <c r="T313" i="1"/>
  <c r="S313" i="1"/>
  <c r="R313" i="1"/>
  <c r="Q313" i="1"/>
  <c r="M313" i="1"/>
  <c r="L313" i="1"/>
  <c r="V312" i="1"/>
  <c r="U312" i="1"/>
  <c r="T312" i="1"/>
  <c r="W312" i="1" s="1"/>
  <c r="S312" i="1"/>
  <c r="R312" i="1"/>
  <c r="Q312" i="1"/>
  <c r="M312" i="1"/>
  <c r="L312" i="1"/>
  <c r="V311" i="1"/>
  <c r="U311" i="1"/>
  <c r="T311" i="1"/>
  <c r="S311" i="1"/>
  <c r="R311" i="1"/>
  <c r="Q311" i="1"/>
  <c r="M311" i="1"/>
  <c r="L311" i="1"/>
  <c r="V310" i="1"/>
  <c r="Z310" i="1" s="1"/>
  <c r="U310" i="1"/>
  <c r="T310" i="1"/>
  <c r="W310" i="1" s="1"/>
  <c r="S310" i="1"/>
  <c r="R310" i="1"/>
  <c r="Q310" i="1"/>
  <c r="M310" i="1"/>
  <c r="L310" i="1"/>
  <c r="V309" i="1"/>
  <c r="Z309" i="1" s="1"/>
  <c r="U309" i="1"/>
  <c r="T309" i="1"/>
  <c r="S309" i="1"/>
  <c r="R309" i="1"/>
  <c r="Q309" i="1"/>
  <c r="M309" i="1"/>
  <c r="L309" i="1"/>
  <c r="V308" i="1"/>
  <c r="U308" i="1"/>
  <c r="T308" i="1"/>
  <c r="W308" i="1" s="1"/>
  <c r="S308" i="1"/>
  <c r="R308" i="1"/>
  <c r="Q308" i="1"/>
  <c r="M308" i="1"/>
  <c r="L308" i="1"/>
  <c r="V307" i="1"/>
  <c r="U307" i="1"/>
  <c r="T307" i="1"/>
  <c r="S307" i="1"/>
  <c r="R307" i="1"/>
  <c r="Q307" i="1"/>
  <c r="M307" i="1"/>
  <c r="L307" i="1"/>
  <c r="V306" i="1"/>
  <c r="Z306" i="1" s="1"/>
  <c r="U306" i="1"/>
  <c r="T306" i="1"/>
  <c r="W306" i="1" s="1"/>
  <c r="S306" i="1"/>
  <c r="R306" i="1"/>
  <c r="Q306" i="1"/>
  <c r="M306" i="1"/>
  <c r="L306" i="1"/>
  <c r="V305" i="1"/>
  <c r="Z305" i="1" s="1"/>
  <c r="U305" i="1"/>
  <c r="T305" i="1"/>
  <c r="S305" i="1"/>
  <c r="R305" i="1"/>
  <c r="Q305" i="1"/>
  <c r="M305" i="1"/>
  <c r="L305" i="1"/>
  <c r="V304" i="1"/>
  <c r="U304" i="1"/>
  <c r="T304" i="1"/>
  <c r="W304" i="1" s="1"/>
  <c r="S304" i="1"/>
  <c r="R304" i="1"/>
  <c r="Q304" i="1"/>
  <c r="M304" i="1"/>
  <c r="L304" i="1"/>
  <c r="V303" i="1"/>
  <c r="U303" i="1"/>
  <c r="T303" i="1"/>
  <c r="S303" i="1"/>
  <c r="R303" i="1"/>
  <c r="Q303" i="1"/>
  <c r="M303" i="1"/>
  <c r="L303" i="1"/>
  <c r="V302" i="1"/>
  <c r="Z302" i="1" s="1"/>
  <c r="U302" i="1"/>
  <c r="T302" i="1"/>
  <c r="W302" i="1" s="1"/>
  <c r="S302" i="1"/>
  <c r="R302" i="1"/>
  <c r="Q302" i="1"/>
  <c r="M302" i="1"/>
  <c r="L302" i="1"/>
  <c r="V301" i="1"/>
  <c r="Z301" i="1" s="1"/>
  <c r="U301" i="1"/>
  <c r="T301" i="1"/>
  <c r="S301" i="1"/>
  <c r="R301" i="1"/>
  <c r="Q301" i="1"/>
  <c r="M301" i="1"/>
  <c r="L301" i="1"/>
  <c r="V300" i="1"/>
  <c r="Z300" i="1" s="1"/>
  <c r="U300" i="1"/>
  <c r="T300" i="1"/>
  <c r="W300" i="1" s="1"/>
  <c r="S300" i="1"/>
  <c r="R300" i="1"/>
  <c r="Q300" i="1"/>
  <c r="M300" i="1"/>
  <c r="L300" i="1"/>
  <c r="V299" i="1"/>
  <c r="U299" i="1"/>
  <c r="T299" i="1"/>
  <c r="S299" i="1"/>
  <c r="R299" i="1"/>
  <c r="Q299" i="1"/>
  <c r="M299" i="1"/>
  <c r="L299" i="1"/>
  <c r="V298" i="1"/>
  <c r="Z298" i="1" s="1"/>
  <c r="U298" i="1"/>
  <c r="T298" i="1"/>
  <c r="W298" i="1" s="1"/>
  <c r="S298" i="1"/>
  <c r="R298" i="1"/>
  <c r="Q298" i="1"/>
  <c r="M298" i="1"/>
  <c r="L298" i="1"/>
  <c r="V297" i="1"/>
  <c r="Z297" i="1" s="1"/>
  <c r="U297" i="1"/>
  <c r="T297" i="1"/>
  <c r="S297" i="1"/>
  <c r="R297" i="1"/>
  <c r="Q297" i="1"/>
  <c r="M297" i="1"/>
  <c r="L297" i="1"/>
  <c r="V296" i="1"/>
  <c r="Z296" i="1" s="1"/>
  <c r="U296" i="1"/>
  <c r="T296" i="1"/>
  <c r="W296" i="1" s="1"/>
  <c r="S296" i="1"/>
  <c r="R296" i="1"/>
  <c r="Q296" i="1"/>
  <c r="M296" i="1"/>
  <c r="L296" i="1"/>
  <c r="V295" i="1"/>
  <c r="U295" i="1"/>
  <c r="T295" i="1"/>
  <c r="S295" i="1"/>
  <c r="R295" i="1"/>
  <c r="Q295" i="1"/>
  <c r="M295" i="1"/>
  <c r="L295" i="1"/>
  <c r="V294" i="1"/>
  <c r="Z294" i="1" s="1"/>
  <c r="U294" i="1"/>
  <c r="T294" i="1"/>
  <c r="W294" i="1" s="1"/>
  <c r="S294" i="1"/>
  <c r="R294" i="1"/>
  <c r="Q294" i="1"/>
  <c r="M294" i="1"/>
  <c r="L294" i="1"/>
  <c r="V293" i="1"/>
  <c r="Z293" i="1" s="1"/>
  <c r="U293" i="1"/>
  <c r="T293" i="1"/>
  <c r="S293" i="1"/>
  <c r="R293" i="1"/>
  <c r="Q293" i="1"/>
  <c r="M293" i="1"/>
  <c r="L293" i="1"/>
  <c r="V292" i="1"/>
  <c r="Z292" i="1" s="1"/>
  <c r="U292" i="1"/>
  <c r="T292" i="1"/>
  <c r="W292" i="1" s="1"/>
  <c r="S292" i="1"/>
  <c r="R292" i="1"/>
  <c r="Q292" i="1"/>
  <c r="M292" i="1"/>
  <c r="L292" i="1"/>
  <c r="V291" i="1"/>
  <c r="U291" i="1"/>
  <c r="T291" i="1"/>
  <c r="S291" i="1"/>
  <c r="R291" i="1"/>
  <c r="Q291" i="1"/>
  <c r="M291" i="1"/>
  <c r="L291" i="1"/>
  <c r="V290" i="1"/>
  <c r="Z290" i="1" s="1"/>
  <c r="U290" i="1"/>
  <c r="T290" i="1"/>
  <c r="W290" i="1" s="1"/>
  <c r="S290" i="1"/>
  <c r="R290" i="1"/>
  <c r="Q290" i="1"/>
  <c r="M290" i="1"/>
  <c r="L290" i="1"/>
  <c r="V289" i="1"/>
  <c r="Z289" i="1" s="1"/>
  <c r="U289" i="1"/>
  <c r="T289" i="1"/>
  <c r="S289" i="1"/>
  <c r="R289" i="1"/>
  <c r="Q289" i="1"/>
  <c r="M289" i="1"/>
  <c r="L289" i="1"/>
  <c r="V288" i="1"/>
  <c r="Z288" i="1" s="1"/>
  <c r="U288" i="1"/>
  <c r="T288" i="1"/>
  <c r="W288" i="1" s="1"/>
  <c r="S288" i="1"/>
  <c r="R288" i="1"/>
  <c r="Q288" i="1"/>
  <c r="M288" i="1"/>
  <c r="L288" i="1"/>
  <c r="V287" i="1"/>
  <c r="U287" i="1"/>
  <c r="T287" i="1"/>
  <c r="S287" i="1"/>
  <c r="R287" i="1"/>
  <c r="Q287" i="1"/>
  <c r="M287" i="1"/>
  <c r="L287" i="1"/>
  <c r="V286" i="1"/>
  <c r="Z286" i="1" s="1"/>
  <c r="U286" i="1"/>
  <c r="T286" i="1"/>
  <c r="W286" i="1" s="1"/>
  <c r="S286" i="1"/>
  <c r="R286" i="1"/>
  <c r="Q286" i="1"/>
  <c r="M286" i="1"/>
  <c r="L286" i="1"/>
  <c r="V285" i="1"/>
  <c r="Z285" i="1" s="1"/>
  <c r="U285" i="1"/>
  <c r="T285" i="1"/>
  <c r="S285" i="1"/>
  <c r="R285" i="1"/>
  <c r="Q285" i="1"/>
  <c r="M285" i="1"/>
  <c r="L285" i="1"/>
  <c r="V284" i="1"/>
  <c r="U284" i="1"/>
  <c r="T284" i="1"/>
  <c r="W284" i="1" s="1"/>
  <c r="S284" i="1"/>
  <c r="R284" i="1"/>
  <c r="Q284" i="1"/>
  <c r="M284" i="1"/>
  <c r="L284" i="1"/>
  <c r="V283" i="1"/>
  <c r="U283" i="1"/>
  <c r="T283" i="1"/>
  <c r="S283" i="1"/>
  <c r="R283" i="1"/>
  <c r="Q283" i="1"/>
  <c r="M283" i="1"/>
  <c r="L283" i="1"/>
  <c r="V282" i="1"/>
  <c r="Z282" i="1" s="1"/>
  <c r="U282" i="1"/>
  <c r="T282" i="1"/>
  <c r="W282" i="1" s="1"/>
  <c r="S282" i="1"/>
  <c r="R282" i="1"/>
  <c r="Q282" i="1"/>
  <c r="M282" i="1"/>
  <c r="L282" i="1"/>
  <c r="V281" i="1"/>
  <c r="Z281" i="1" s="1"/>
  <c r="U281" i="1"/>
  <c r="T281" i="1"/>
  <c r="S281" i="1"/>
  <c r="R281" i="1"/>
  <c r="Q281" i="1"/>
  <c r="M281" i="1"/>
  <c r="L281" i="1"/>
  <c r="V280" i="1"/>
  <c r="Z280" i="1" s="1"/>
  <c r="U280" i="1"/>
  <c r="T280" i="1"/>
  <c r="W280" i="1" s="1"/>
  <c r="S280" i="1"/>
  <c r="R280" i="1"/>
  <c r="Q280" i="1"/>
  <c r="M280" i="1"/>
  <c r="L280" i="1"/>
  <c r="V279" i="1"/>
  <c r="U279" i="1"/>
  <c r="T279" i="1"/>
  <c r="S279" i="1"/>
  <c r="R279" i="1"/>
  <c r="Q279" i="1"/>
  <c r="M279" i="1"/>
  <c r="L279" i="1"/>
  <c r="V278" i="1"/>
  <c r="Z278" i="1" s="1"/>
  <c r="U278" i="1"/>
  <c r="T278" i="1"/>
  <c r="W278" i="1" s="1"/>
  <c r="S278" i="1"/>
  <c r="R278" i="1"/>
  <c r="Q278" i="1"/>
  <c r="M278" i="1"/>
  <c r="L278" i="1"/>
  <c r="V277" i="1"/>
  <c r="Z277" i="1" s="1"/>
  <c r="U277" i="1"/>
  <c r="T277" i="1"/>
  <c r="S277" i="1"/>
  <c r="R277" i="1"/>
  <c r="Q277" i="1"/>
  <c r="M277" i="1"/>
  <c r="L277" i="1"/>
  <c r="V276" i="1"/>
  <c r="Z276" i="1" s="1"/>
  <c r="U276" i="1"/>
  <c r="T276" i="1"/>
  <c r="W276" i="1" s="1"/>
  <c r="S276" i="1"/>
  <c r="R276" i="1"/>
  <c r="Q276" i="1"/>
  <c r="M276" i="1"/>
  <c r="L276" i="1"/>
  <c r="V275" i="1"/>
  <c r="U275" i="1"/>
  <c r="T275" i="1"/>
  <c r="S275" i="1"/>
  <c r="R275" i="1"/>
  <c r="Q275" i="1"/>
  <c r="M275" i="1"/>
  <c r="L275" i="1"/>
  <c r="V274" i="1"/>
  <c r="Z274" i="1" s="1"/>
  <c r="U274" i="1"/>
  <c r="T274" i="1"/>
  <c r="W274" i="1" s="1"/>
  <c r="S274" i="1"/>
  <c r="R274" i="1"/>
  <c r="Q274" i="1"/>
  <c r="M274" i="1"/>
  <c r="L274" i="1"/>
  <c r="V273" i="1"/>
  <c r="Z273" i="1" s="1"/>
  <c r="U273" i="1"/>
  <c r="T273" i="1"/>
  <c r="S273" i="1"/>
  <c r="R273" i="1"/>
  <c r="Q273" i="1"/>
  <c r="M273" i="1"/>
  <c r="L273" i="1"/>
  <c r="V272" i="1"/>
  <c r="Z272" i="1" s="1"/>
  <c r="U272" i="1"/>
  <c r="T272" i="1"/>
  <c r="W272" i="1" s="1"/>
  <c r="S272" i="1"/>
  <c r="R272" i="1"/>
  <c r="Q272" i="1"/>
  <c r="M272" i="1"/>
  <c r="L272" i="1"/>
  <c r="V271" i="1"/>
  <c r="Z271" i="1" s="1"/>
  <c r="U271" i="1"/>
  <c r="T271" i="1"/>
  <c r="S271" i="1"/>
  <c r="R271" i="1"/>
  <c r="Q271" i="1"/>
  <c r="M271" i="1"/>
  <c r="L271" i="1"/>
  <c r="V270" i="1"/>
  <c r="Z270" i="1" s="1"/>
  <c r="U270" i="1"/>
  <c r="T270" i="1"/>
  <c r="W270" i="1" s="1"/>
  <c r="S270" i="1"/>
  <c r="R270" i="1"/>
  <c r="Q270" i="1"/>
  <c r="M270" i="1"/>
  <c r="L270" i="1"/>
  <c r="V269" i="1"/>
  <c r="Z269" i="1" s="1"/>
  <c r="U269" i="1"/>
  <c r="T269" i="1"/>
  <c r="S269" i="1"/>
  <c r="R269" i="1"/>
  <c r="Q269" i="1"/>
  <c r="M269" i="1"/>
  <c r="L269" i="1"/>
  <c r="V268" i="1"/>
  <c r="Z268" i="1" s="1"/>
  <c r="U268" i="1"/>
  <c r="T268" i="1"/>
  <c r="W268" i="1" s="1"/>
  <c r="S268" i="1"/>
  <c r="R268" i="1"/>
  <c r="Q268" i="1"/>
  <c r="M268" i="1"/>
  <c r="L268" i="1"/>
  <c r="V267" i="1"/>
  <c r="U267" i="1"/>
  <c r="T267" i="1"/>
  <c r="S267" i="1"/>
  <c r="R267" i="1"/>
  <c r="Q267" i="1"/>
  <c r="M267" i="1"/>
  <c r="L267" i="1"/>
  <c r="V266" i="1"/>
  <c r="Z266" i="1" s="1"/>
  <c r="U266" i="1"/>
  <c r="T266" i="1"/>
  <c r="W266" i="1" s="1"/>
  <c r="S266" i="1"/>
  <c r="R266" i="1"/>
  <c r="Q266" i="1"/>
  <c r="M266" i="1"/>
  <c r="L266" i="1"/>
  <c r="V265" i="1"/>
  <c r="Z265" i="1" s="1"/>
  <c r="U265" i="1"/>
  <c r="T265" i="1"/>
  <c r="S265" i="1"/>
  <c r="R265" i="1"/>
  <c r="Q265" i="1"/>
  <c r="M265" i="1"/>
  <c r="L265" i="1"/>
  <c r="V264" i="1"/>
  <c r="Z264" i="1" s="1"/>
  <c r="U264" i="1"/>
  <c r="T264" i="1"/>
  <c r="W264" i="1" s="1"/>
  <c r="S264" i="1"/>
  <c r="R264" i="1"/>
  <c r="Q264" i="1"/>
  <c r="M264" i="1"/>
  <c r="L264" i="1"/>
  <c r="V263" i="1"/>
  <c r="U263" i="1"/>
  <c r="T263" i="1"/>
  <c r="S263" i="1"/>
  <c r="R263" i="1"/>
  <c r="Q263" i="1"/>
  <c r="M263" i="1"/>
  <c r="L263" i="1"/>
  <c r="V262" i="1"/>
  <c r="Z262" i="1" s="1"/>
  <c r="U262" i="1"/>
  <c r="T262" i="1"/>
  <c r="W262" i="1" s="1"/>
  <c r="S262" i="1"/>
  <c r="R262" i="1"/>
  <c r="Q262" i="1"/>
  <c r="M262" i="1"/>
  <c r="L262" i="1"/>
  <c r="V261" i="1"/>
  <c r="Z261" i="1" s="1"/>
  <c r="U261" i="1"/>
  <c r="T261" i="1"/>
  <c r="S261" i="1"/>
  <c r="R261" i="1"/>
  <c r="Q261" i="1"/>
  <c r="M261" i="1"/>
  <c r="L261" i="1"/>
  <c r="V260" i="1"/>
  <c r="Z260" i="1" s="1"/>
  <c r="U260" i="1"/>
  <c r="T260" i="1"/>
  <c r="W260" i="1" s="1"/>
  <c r="S260" i="1"/>
  <c r="R260" i="1"/>
  <c r="Q260" i="1"/>
  <c r="M260" i="1"/>
  <c r="L260" i="1"/>
  <c r="V259" i="1"/>
  <c r="U259" i="1"/>
  <c r="T259" i="1"/>
  <c r="S259" i="1"/>
  <c r="R259" i="1"/>
  <c r="Q259" i="1"/>
  <c r="M259" i="1"/>
  <c r="L259" i="1"/>
  <c r="V258" i="1"/>
  <c r="Z258" i="1" s="1"/>
  <c r="U258" i="1"/>
  <c r="T258" i="1"/>
  <c r="W258" i="1" s="1"/>
  <c r="S258" i="1"/>
  <c r="R258" i="1"/>
  <c r="Q258" i="1"/>
  <c r="M258" i="1"/>
  <c r="L258" i="1"/>
  <c r="V257" i="1"/>
  <c r="Z257" i="1" s="1"/>
  <c r="U257" i="1"/>
  <c r="T257" i="1"/>
  <c r="S257" i="1"/>
  <c r="R257" i="1"/>
  <c r="Q257" i="1"/>
  <c r="M257" i="1"/>
  <c r="L257" i="1"/>
  <c r="V256" i="1"/>
  <c r="Z256" i="1" s="1"/>
  <c r="U256" i="1"/>
  <c r="T256" i="1"/>
  <c r="W256" i="1" s="1"/>
  <c r="S256" i="1"/>
  <c r="R256" i="1"/>
  <c r="Q256" i="1"/>
  <c r="M256" i="1"/>
  <c r="L256" i="1"/>
  <c r="V255" i="1"/>
  <c r="U255" i="1"/>
  <c r="T255" i="1"/>
  <c r="S255" i="1"/>
  <c r="R255" i="1"/>
  <c r="Q255" i="1"/>
  <c r="M255" i="1"/>
  <c r="L255" i="1"/>
  <c r="V254" i="1"/>
  <c r="Z254" i="1" s="1"/>
  <c r="U254" i="1"/>
  <c r="T254" i="1"/>
  <c r="W254" i="1" s="1"/>
  <c r="S254" i="1"/>
  <c r="R254" i="1"/>
  <c r="Q254" i="1"/>
  <c r="M254" i="1"/>
  <c r="L254" i="1"/>
  <c r="V253" i="1"/>
  <c r="Z253" i="1" s="1"/>
  <c r="U253" i="1"/>
  <c r="T253" i="1"/>
  <c r="S253" i="1"/>
  <c r="R253" i="1"/>
  <c r="Q253" i="1"/>
  <c r="M253" i="1"/>
  <c r="L253" i="1"/>
  <c r="V252" i="1"/>
  <c r="Z252" i="1" s="1"/>
  <c r="U252" i="1"/>
  <c r="T252" i="1"/>
  <c r="W252" i="1" s="1"/>
  <c r="S252" i="1"/>
  <c r="R252" i="1"/>
  <c r="Q252" i="1"/>
  <c r="M252" i="1"/>
  <c r="L252" i="1"/>
  <c r="V251" i="1"/>
  <c r="U251" i="1"/>
  <c r="T251" i="1"/>
  <c r="S251" i="1"/>
  <c r="R251" i="1"/>
  <c r="Q251" i="1"/>
  <c r="M251" i="1"/>
  <c r="L251" i="1"/>
  <c r="V250" i="1"/>
  <c r="Z250" i="1" s="1"/>
  <c r="U250" i="1"/>
  <c r="T250" i="1"/>
  <c r="W250" i="1" s="1"/>
  <c r="S250" i="1"/>
  <c r="R250" i="1"/>
  <c r="Q250" i="1"/>
  <c r="M250" i="1"/>
  <c r="L250" i="1"/>
  <c r="V249" i="1"/>
  <c r="Z249" i="1" s="1"/>
  <c r="U249" i="1"/>
  <c r="T249" i="1"/>
  <c r="S249" i="1"/>
  <c r="R249" i="1"/>
  <c r="Q249" i="1"/>
  <c r="M249" i="1"/>
  <c r="L249" i="1"/>
  <c r="V248" i="1"/>
  <c r="U248" i="1"/>
  <c r="T248" i="1"/>
  <c r="W248" i="1" s="1"/>
  <c r="S248" i="1"/>
  <c r="R248" i="1"/>
  <c r="Q248" i="1"/>
  <c r="M248" i="1"/>
  <c r="L248" i="1"/>
  <c r="V247" i="1"/>
  <c r="U247" i="1"/>
  <c r="T247" i="1"/>
  <c r="S247" i="1"/>
  <c r="R247" i="1"/>
  <c r="Q247" i="1"/>
  <c r="M247" i="1"/>
  <c r="L247" i="1"/>
  <c r="V246" i="1"/>
  <c r="Z246" i="1" s="1"/>
  <c r="U246" i="1"/>
  <c r="T246" i="1"/>
  <c r="W246" i="1" s="1"/>
  <c r="S246" i="1"/>
  <c r="R246" i="1"/>
  <c r="Q246" i="1"/>
  <c r="M246" i="1"/>
  <c r="L246" i="1"/>
  <c r="V245" i="1"/>
  <c r="Z245" i="1" s="1"/>
  <c r="U245" i="1"/>
  <c r="T245" i="1"/>
  <c r="S245" i="1"/>
  <c r="R245" i="1"/>
  <c r="Q245" i="1"/>
  <c r="M245" i="1"/>
  <c r="L245" i="1"/>
  <c r="V244" i="1"/>
  <c r="U244" i="1"/>
  <c r="T244" i="1"/>
  <c r="W244" i="1" s="1"/>
  <c r="S244" i="1"/>
  <c r="R244" i="1"/>
  <c r="Q244" i="1"/>
  <c r="M244" i="1"/>
  <c r="L244" i="1"/>
  <c r="V243" i="1"/>
  <c r="U243" i="1"/>
  <c r="T243" i="1"/>
  <c r="S243" i="1"/>
  <c r="R243" i="1"/>
  <c r="Q243" i="1"/>
  <c r="M243" i="1"/>
  <c r="L243" i="1"/>
  <c r="V242" i="1"/>
  <c r="Z242" i="1" s="1"/>
  <c r="U242" i="1"/>
  <c r="T242" i="1"/>
  <c r="W242" i="1" s="1"/>
  <c r="S242" i="1"/>
  <c r="R242" i="1"/>
  <c r="Q242" i="1"/>
  <c r="M242" i="1"/>
  <c r="L242" i="1"/>
  <c r="V241" i="1"/>
  <c r="Z241" i="1" s="1"/>
  <c r="U241" i="1"/>
  <c r="T241" i="1"/>
  <c r="S241" i="1"/>
  <c r="R241" i="1"/>
  <c r="Q241" i="1"/>
  <c r="M241" i="1"/>
  <c r="L241" i="1"/>
  <c r="V240" i="1"/>
  <c r="U240" i="1"/>
  <c r="T240" i="1"/>
  <c r="W240" i="1" s="1"/>
  <c r="S240" i="1"/>
  <c r="R240" i="1"/>
  <c r="Q240" i="1"/>
  <c r="M240" i="1"/>
  <c r="L240" i="1"/>
  <c r="V239" i="1"/>
  <c r="U239" i="1"/>
  <c r="T239" i="1"/>
  <c r="S239" i="1"/>
  <c r="R239" i="1"/>
  <c r="Q239" i="1"/>
  <c r="M239" i="1"/>
  <c r="L239" i="1"/>
  <c r="V238" i="1"/>
  <c r="Z238" i="1" s="1"/>
  <c r="U238" i="1"/>
  <c r="T238" i="1"/>
  <c r="W238" i="1" s="1"/>
  <c r="S238" i="1"/>
  <c r="R238" i="1"/>
  <c r="Q238" i="1"/>
  <c r="M238" i="1"/>
  <c r="L238" i="1"/>
  <c r="V237" i="1"/>
  <c r="Z237" i="1" s="1"/>
  <c r="U237" i="1"/>
  <c r="T237" i="1"/>
  <c r="S237" i="1"/>
  <c r="R237" i="1"/>
  <c r="Q237" i="1"/>
  <c r="M237" i="1"/>
  <c r="L237" i="1"/>
  <c r="V236" i="1"/>
  <c r="Z236" i="1" s="1"/>
  <c r="U236" i="1"/>
  <c r="T236" i="1"/>
  <c r="W236" i="1" s="1"/>
  <c r="S236" i="1"/>
  <c r="R236" i="1"/>
  <c r="Q236" i="1"/>
  <c r="M236" i="1"/>
  <c r="L236" i="1"/>
  <c r="V235" i="1"/>
  <c r="Z235" i="1" s="1"/>
  <c r="U235" i="1"/>
  <c r="T235" i="1"/>
  <c r="S235" i="1"/>
  <c r="R235" i="1"/>
  <c r="Q235" i="1"/>
  <c r="M235" i="1"/>
  <c r="L235" i="1"/>
  <c r="V234" i="1"/>
  <c r="Z234" i="1" s="1"/>
  <c r="U234" i="1"/>
  <c r="T234" i="1"/>
  <c r="W234" i="1" s="1"/>
  <c r="S234" i="1"/>
  <c r="R234" i="1"/>
  <c r="Q234" i="1"/>
  <c r="M234" i="1"/>
  <c r="L234" i="1"/>
  <c r="V233" i="1"/>
  <c r="Z233" i="1" s="1"/>
  <c r="U233" i="1"/>
  <c r="T233" i="1"/>
  <c r="S233" i="1"/>
  <c r="R233" i="1"/>
  <c r="Q233" i="1"/>
  <c r="M233" i="1"/>
  <c r="L233" i="1"/>
  <c r="V232" i="1"/>
  <c r="Z232" i="1" s="1"/>
  <c r="U232" i="1"/>
  <c r="T232" i="1"/>
  <c r="W232" i="1" s="1"/>
  <c r="S232" i="1"/>
  <c r="R232" i="1"/>
  <c r="Q232" i="1"/>
  <c r="M232" i="1"/>
  <c r="L232" i="1"/>
  <c r="V231" i="1"/>
  <c r="U231" i="1"/>
  <c r="T231" i="1"/>
  <c r="S231" i="1"/>
  <c r="R231" i="1"/>
  <c r="Q231" i="1"/>
  <c r="M231" i="1"/>
  <c r="L231" i="1"/>
  <c r="V230" i="1"/>
  <c r="Z230" i="1" s="1"/>
  <c r="U230" i="1"/>
  <c r="T230" i="1"/>
  <c r="W230" i="1" s="1"/>
  <c r="S230" i="1"/>
  <c r="R230" i="1"/>
  <c r="Q230" i="1"/>
  <c r="M230" i="1"/>
  <c r="L230" i="1"/>
  <c r="V229" i="1"/>
  <c r="Z229" i="1" s="1"/>
  <c r="U229" i="1"/>
  <c r="T229" i="1"/>
  <c r="S229" i="1"/>
  <c r="R229" i="1"/>
  <c r="Q229" i="1"/>
  <c r="M229" i="1"/>
  <c r="L229" i="1"/>
  <c r="V228" i="1"/>
  <c r="Z228" i="1" s="1"/>
  <c r="U228" i="1"/>
  <c r="T228" i="1"/>
  <c r="W228" i="1" s="1"/>
  <c r="S228" i="1"/>
  <c r="R228" i="1"/>
  <c r="Q228" i="1"/>
  <c r="M228" i="1"/>
  <c r="L228" i="1"/>
  <c r="V227" i="1"/>
  <c r="U227" i="1"/>
  <c r="T227" i="1"/>
  <c r="S227" i="1"/>
  <c r="R227" i="1"/>
  <c r="Q227" i="1"/>
  <c r="M227" i="1"/>
  <c r="L227" i="1"/>
  <c r="V226" i="1"/>
  <c r="Z226" i="1" s="1"/>
  <c r="U226" i="1"/>
  <c r="T226" i="1"/>
  <c r="W226" i="1" s="1"/>
  <c r="S226" i="1"/>
  <c r="R226" i="1"/>
  <c r="Q226" i="1"/>
  <c r="M226" i="1"/>
  <c r="L226" i="1"/>
  <c r="V225" i="1"/>
  <c r="Z225" i="1" s="1"/>
  <c r="U225" i="1"/>
  <c r="T225" i="1"/>
  <c r="S225" i="1"/>
  <c r="R225" i="1"/>
  <c r="Q225" i="1"/>
  <c r="M225" i="1"/>
  <c r="L225" i="1"/>
  <c r="V224" i="1"/>
  <c r="Z224" i="1" s="1"/>
  <c r="U224" i="1"/>
  <c r="T224" i="1"/>
  <c r="W224" i="1" s="1"/>
  <c r="S224" i="1"/>
  <c r="R224" i="1"/>
  <c r="Q224" i="1"/>
  <c r="M224" i="1"/>
  <c r="L224" i="1"/>
  <c r="V223" i="1"/>
  <c r="U223" i="1"/>
  <c r="T223" i="1"/>
  <c r="S223" i="1"/>
  <c r="R223" i="1"/>
  <c r="Q223" i="1"/>
  <c r="M223" i="1"/>
  <c r="L223" i="1"/>
  <c r="V222" i="1"/>
  <c r="Z222" i="1" s="1"/>
  <c r="U222" i="1"/>
  <c r="T222" i="1"/>
  <c r="W222" i="1" s="1"/>
  <c r="S222" i="1"/>
  <c r="R222" i="1"/>
  <c r="Q222" i="1"/>
  <c r="M222" i="1"/>
  <c r="L222" i="1"/>
  <c r="V221" i="1"/>
  <c r="Z221" i="1" s="1"/>
  <c r="U221" i="1"/>
  <c r="T221" i="1"/>
  <c r="S221" i="1"/>
  <c r="R221" i="1"/>
  <c r="Q221" i="1"/>
  <c r="M221" i="1"/>
  <c r="L221" i="1"/>
  <c r="V220" i="1"/>
  <c r="U220" i="1"/>
  <c r="T220" i="1"/>
  <c r="W220" i="1" s="1"/>
  <c r="S220" i="1"/>
  <c r="R220" i="1"/>
  <c r="Q220" i="1"/>
  <c r="M220" i="1"/>
  <c r="L220" i="1"/>
  <c r="V219" i="1"/>
  <c r="U219" i="1"/>
  <c r="T219" i="1"/>
  <c r="S219" i="1"/>
  <c r="R219" i="1"/>
  <c r="Q219" i="1"/>
  <c r="M219" i="1"/>
  <c r="L219" i="1"/>
  <c r="V218" i="1"/>
  <c r="Z218" i="1" s="1"/>
  <c r="U218" i="1"/>
  <c r="T218" i="1"/>
  <c r="W218" i="1" s="1"/>
  <c r="S218" i="1"/>
  <c r="R218" i="1"/>
  <c r="Q218" i="1"/>
  <c r="M218" i="1"/>
  <c r="L218" i="1"/>
  <c r="V217" i="1"/>
  <c r="Z217" i="1" s="1"/>
  <c r="U217" i="1"/>
  <c r="T217" i="1"/>
  <c r="S217" i="1"/>
  <c r="R217" i="1"/>
  <c r="Q217" i="1"/>
  <c r="M217" i="1"/>
  <c r="L217" i="1"/>
  <c r="V216" i="1"/>
  <c r="U216" i="1"/>
  <c r="T216" i="1"/>
  <c r="W216" i="1" s="1"/>
  <c r="S216" i="1"/>
  <c r="R216" i="1"/>
  <c r="Q216" i="1"/>
  <c r="M216" i="1"/>
  <c r="L216" i="1"/>
  <c r="V215" i="1"/>
  <c r="U215" i="1"/>
  <c r="T215" i="1"/>
  <c r="S215" i="1"/>
  <c r="R215" i="1"/>
  <c r="Q215" i="1"/>
  <c r="M215" i="1"/>
  <c r="L215" i="1"/>
  <c r="V214" i="1"/>
  <c r="Z214" i="1" s="1"/>
  <c r="U214" i="1"/>
  <c r="T214" i="1"/>
  <c r="W214" i="1" s="1"/>
  <c r="S214" i="1"/>
  <c r="R214" i="1"/>
  <c r="Q214" i="1"/>
  <c r="M214" i="1"/>
  <c r="L214" i="1"/>
  <c r="V213" i="1"/>
  <c r="Z213" i="1" s="1"/>
  <c r="U213" i="1"/>
  <c r="T213" i="1"/>
  <c r="S213" i="1"/>
  <c r="R213" i="1"/>
  <c r="Q213" i="1"/>
  <c r="M213" i="1"/>
  <c r="L213" i="1"/>
  <c r="V212" i="1"/>
  <c r="U212" i="1"/>
  <c r="T212" i="1"/>
  <c r="W212" i="1" s="1"/>
  <c r="S212" i="1"/>
  <c r="R212" i="1"/>
  <c r="Q212" i="1"/>
  <c r="M212" i="1"/>
  <c r="L212" i="1"/>
  <c r="V211" i="1"/>
  <c r="U211" i="1"/>
  <c r="T211" i="1"/>
  <c r="S211" i="1"/>
  <c r="R211" i="1"/>
  <c r="Q211" i="1"/>
  <c r="M211" i="1"/>
  <c r="L211" i="1"/>
  <c r="V210" i="1"/>
  <c r="Z210" i="1" s="1"/>
  <c r="U210" i="1"/>
  <c r="T210" i="1"/>
  <c r="W210" i="1" s="1"/>
  <c r="S210" i="1"/>
  <c r="R210" i="1"/>
  <c r="Q210" i="1"/>
  <c r="M210" i="1"/>
  <c r="L210" i="1"/>
  <c r="V209" i="1"/>
  <c r="Z209" i="1" s="1"/>
  <c r="U209" i="1"/>
  <c r="T209" i="1"/>
  <c r="S209" i="1"/>
  <c r="R209" i="1"/>
  <c r="Q209" i="1"/>
  <c r="M209" i="1"/>
  <c r="L209" i="1"/>
  <c r="V208" i="1"/>
  <c r="Z208" i="1" s="1"/>
  <c r="U208" i="1"/>
  <c r="T208" i="1"/>
  <c r="W208" i="1" s="1"/>
  <c r="S208" i="1"/>
  <c r="R208" i="1"/>
  <c r="Q208" i="1"/>
  <c r="M208" i="1"/>
  <c r="L208" i="1"/>
  <c r="V207" i="1"/>
  <c r="U207" i="1"/>
  <c r="T207" i="1"/>
  <c r="S207" i="1"/>
  <c r="R207" i="1"/>
  <c r="Q207" i="1"/>
  <c r="M207" i="1"/>
  <c r="L207" i="1"/>
  <c r="V206" i="1"/>
  <c r="Z206" i="1" s="1"/>
  <c r="U206" i="1"/>
  <c r="T206" i="1"/>
  <c r="W206" i="1" s="1"/>
  <c r="S206" i="1"/>
  <c r="R206" i="1"/>
  <c r="Q206" i="1"/>
  <c r="M206" i="1"/>
  <c r="L206" i="1"/>
  <c r="V205" i="1"/>
  <c r="Z205" i="1" s="1"/>
  <c r="U205" i="1"/>
  <c r="T205" i="1"/>
  <c r="S205" i="1"/>
  <c r="R205" i="1"/>
  <c r="Q205" i="1"/>
  <c r="M205" i="1"/>
  <c r="L205" i="1"/>
  <c r="V204" i="1"/>
  <c r="Z204" i="1" s="1"/>
  <c r="U204" i="1"/>
  <c r="T204" i="1"/>
  <c r="W204" i="1" s="1"/>
  <c r="S204" i="1"/>
  <c r="R204" i="1"/>
  <c r="Q204" i="1"/>
  <c r="M204" i="1"/>
  <c r="L204" i="1"/>
  <c r="V203" i="1"/>
  <c r="U203" i="1"/>
  <c r="T203" i="1"/>
  <c r="S203" i="1"/>
  <c r="R203" i="1"/>
  <c r="Q203" i="1"/>
  <c r="M203" i="1"/>
  <c r="L203" i="1"/>
  <c r="V202" i="1"/>
  <c r="Z202" i="1" s="1"/>
  <c r="U202" i="1"/>
  <c r="T202" i="1"/>
  <c r="W202" i="1" s="1"/>
  <c r="S202" i="1"/>
  <c r="R202" i="1"/>
  <c r="Q202" i="1"/>
  <c r="M202" i="1"/>
  <c r="L202" i="1"/>
  <c r="V201" i="1"/>
  <c r="Z201" i="1" s="1"/>
  <c r="U201" i="1"/>
  <c r="T201" i="1"/>
  <c r="S201" i="1"/>
  <c r="R201" i="1"/>
  <c r="Q201" i="1"/>
  <c r="M201" i="1"/>
  <c r="L201" i="1"/>
  <c r="V200" i="1"/>
  <c r="Z200" i="1" s="1"/>
  <c r="U200" i="1"/>
  <c r="T200" i="1"/>
  <c r="W200" i="1" s="1"/>
  <c r="S200" i="1"/>
  <c r="R200" i="1"/>
  <c r="Q200" i="1"/>
  <c r="M200" i="1"/>
  <c r="L200" i="1"/>
  <c r="V199" i="1"/>
  <c r="U199" i="1"/>
  <c r="T199" i="1"/>
  <c r="S199" i="1"/>
  <c r="R199" i="1"/>
  <c r="Q199" i="1"/>
  <c r="M199" i="1"/>
  <c r="L199" i="1"/>
  <c r="V198" i="1"/>
  <c r="Z198" i="1" s="1"/>
  <c r="U198" i="1"/>
  <c r="T198" i="1"/>
  <c r="W198" i="1" s="1"/>
  <c r="S198" i="1"/>
  <c r="R198" i="1"/>
  <c r="Q198" i="1"/>
  <c r="M198" i="1"/>
  <c r="L198" i="1"/>
  <c r="V197" i="1"/>
  <c r="Z197" i="1" s="1"/>
  <c r="U197" i="1"/>
  <c r="T197" i="1"/>
  <c r="S197" i="1"/>
  <c r="R197" i="1"/>
  <c r="Q197" i="1"/>
  <c r="M197" i="1"/>
  <c r="L197" i="1"/>
  <c r="V196" i="1"/>
  <c r="Z196" i="1" s="1"/>
  <c r="U196" i="1"/>
  <c r="T196" i="1"/>
  <c r="W196" i="1" s="1"/>
  <c r="S196" i="1"/>
  <c r="R196" i="1"/>
  <c r="Q196" i="1"/>
  <c r="M196" i="1"/>
  <c r="L196" i="1"/>
  <c r="V195" i="1"/>
  <c r="Z195" i="1" s="1"/>
  <c r="U195" i="1"/>
  <c r="T195" i="1"/>
  <c r="S195" i="1"/>
  <c r="R195" i="1"/>
  <c r="Q195" i="1"/>
  <c r="M195" i="1"/>
  <c r="L195" i="1"/>
  <c r="V194" i="1"/>
  <c r="Z194" i="1" s="1"/>
  <c r="U194" i="1"/>
  <c r="T194" i="1"/>
  <c r="W194" i="1" s="1"/>
  <c r="S194" i="1"/>
  <c r="R194" i="1"/>
  <c r="Q194" i="1"/>
  <c r="M194" i="1"/>
  <c r="L194" i="1"/>
  <c r="V193" i="1"/>
  <c r="Z193" i="1" s="1"/>
  <c r="U193" i="1"/>
  <c r="T193" i="1"/>
  <c r="S193" i="1"/>
  <c r="R193" i="1"/>
  <c r="Q193" i="1"/>
  <c r="M193" i="1"/>
  <c r="L193" i="1"/>
  <c r="V192" i="1"/>
  <c r="Z192" i="1" s="1"/>
  <c r="U192" i="1"/>
  <c r="T192" i="1"/>
  <c r="W192" i="1" s="1"/>
  <c r="S192" i="1"/>
  <c r="R192" i="1"/>
  <c r="Q192" i="1"/>
  <c r="M192" i="1"/>
  <c r="L192" i="1"/>
  <c r="V191" i="1"/>
  <c r="U191" i="1"/>
  <c r="T191" i="1"/>
  <c r="S191" i="1"/>
  <c r="R191" i="1"/>
  <c r="Q191" i="1"/>
  <c r="M191" i="1"/>
  <c r="L191" i="1"/>
  <c r="V190" i="1"/>
  <c r="Z190" i="1" s="1"/>
  <c r="U190" i="1"/>
  <c r="T190" i="1"/>
  <c r="W190" i="1" s="1"/>
  <c r="S190" i="1"/>
  <c r="R190" i="1"/>
  <c r="Q190" i="1"/>
  <c r="M190" i="1"/>
  <c r="L190" i="1"/>
  <c r="V189" i="1"/>
  <c r="Z189" i="1" s="1"/>
  <c r="U189" i="1"/>
  <c r="T189" i="1"/>
  <c r="S189" i="1"/>
  <c r="R189" i="1"/>
  <c r="Q189" i="1"/>
  <c r="M189" i="1"/>
  <c r="L189" i="1"/>
  <c r="V188" i="1"/>
  <c r="Z188" i="1" s="1"/>
  <c r="U188" i="1"/>
  <c r="T188" i="1"/>
  <c r="W188" i="1" s="1"/>
  <c r="S188" i="1"/>
  <c r="R188" i="1"/>
  <c r="Q188" i="1"/>
  <c r="M188" i="1"/>
  <c r="L188" i="1"/>
  <c r="V187" i="1"/>
  <c r="U187" i="1"/>
  <c r="T187" i="1"/>
  <c r="S187" i="1"/>
  <c r="R187" i="1"/>
  <c r="Q187" i="1"/>
  <c r="M187" i="1"/>
  <c r="L187" i="1"/>
  <c r="V186" i="1"/>
  <c r="Z186" i="1" s="1"/>
  <c r="U186" i="1"/>
  <c r="T186" i="1"/>
  <c r="W186" i="1" s="1"/>
  <c r="S186" i="1"/>
  <c r="R186" i="1"/>
  <c r="Q186" i="1"/>
  <c r="M186" i="1"/>
  <c r="L186" i="1"/>
  <c r="V185" i="1"/>
  <c r="Z185" i="1" s="1"/>
  <c r="U185" i="1"/>
  <c r="T185" i="1"/>
  <c r="S185" i="1"/>
  <c r="R185" i="1"/>
  <c r="Q185" i="1"/>
  <c r="M185" i="1"/>
  <c r="L185" i="1"/>
  <c r="V184" i="1"/>
  <c r="U184" i="1"/>
  <c r="T184" i="1"/>
  <c r="W184" i="1" s="1"/>
  <c r="S184" i="1"/>
  <c r="R184" i="1"/>
  <c r="Q184" i="1"/>
  <c r="M184" i="1"/>
  <c r="L184" i="1"/>
  <c r="V183" i="1"/>
  <c r="U183" i="1"/>
  <c r="T183" i="1"/>
  <c r="W183" i="1" s="1"/>
  <c r="S183" i="1"/>
  <c r="R183" i="1"/>
  <c r="Q183" i="1"/>
  <c r="M183" i="1"/>
  <c r="L183" i="1"/>
  <c r="V182" i="1"/>
  <c r="Z182" i="1" s="1"/>
  <c r="U182" i="1"/>
  <c r="T182" i="1"/>
  <c r="W182" i="1" s="1"/>
  <c r="S182" i="1"/>
  <c r="R182" i="1"/>
  <c r="Q182" i="1"/>
  <c r="M182" i="1"/>
  <c r="L182" i="1"/>
  <c r="V181" i="1"/>
  <c r="Z181" i="1" s="1"/>
  <c r="U181" i="1"/>
  <c r="T181" i="1"/>
  <c r="S181" i="1"/>
  <c r="R181" i="1"/>
  <c r="Q181" i="1"/>
  <c r="M181" i="1"/>
  <c r="L181" i="1"/>
  <c r="V180" i="1"/>
  <c r="Z180" i="1" s="1"/>
  <c r="U180" i="1"/>
  <c r="T180" i="1"/>
  <c r="W180" i="1" s="1"/>
  <c r="S180" i="1"/>
  <c r="R180" i="1"/>
  <c r="Q180" i="1"/>
  <c r="M180" i="1"/>
  <c r="L180" i="1"/>
  <c r="V179" i="1"/>
  <c r="U179" i="1"/>
  <c r="T179" i="1"/>
  <c r="W179" i="1" s="1"/>
  <c r="S179" i="1"/>
  <c r="R179" i="1"/>
  <c r="Q179" i="1"/>
  <c r="M179" i="1"/>
  <c r="L179" i="1"/>
  <c r="V178" i="1"/>
  <c r="Z178" i="1" s="1"/>
  <c r="U178" i="1"/>
  <c r="T178" i="1"/>
  <c r="W178" i="1" s="1"/>
  <c r="S178" i="1"/>
  <c r="R178" i="1"/>
  <c r="Q178" i="1"/>
  <c r="M178" i="1"/>
  <c r="L178" i="1"/>
  <c r="V177" i="1"/>
  <c r="Z177" i="1" s="1"/>
  <c r="U177" i="1"/>
  <c r="T177" i="1"/>
  <c r="S177" i="1"/>
  <c r="R177" i="1"/>
  <c r="Q177" i="1"/>
  <c r="M177" i="1"/>
  <c r="L177" i="1"/>
  <c r="V176" i="1"/>
  <c r="U176" i="1"/>
  <c r="T176" i="1"/>
  <c r="W176" i="1" s="1"/>
  <c r="S176" i="1"/>
  <c r="R176" i="1"/>
  <c r="Q176" i="1"/>
  <c r="M176" i="1"/>
  <c r="L176" i="1"/>
  <c r="V175" i="1"/>
  <c r="U175" i="1"/>
  <c r="T175" i="1"/>
  <c r="W175" i="1" s="1"/>
  <c r="S175" i="1"/>
  <c r="R175" i="1"/>
  <c r="Q175" i="1"/>
  <c r="M175" i="1"/>
  <c r="L175" i="1"/>
  <c r="V174" i="1"/>
  <c r="Z174" i="1" s="1"/>
  <c r="U174" i="1"/>
  <c r="T174" i="1"/>
  <c r="W174" i="1" s="1"/>
  <c r="S174" i="1"/>
  <c r="R174" i="1"/>
  <c r="Q174" i="1"/>
  <c r="M174" i="1"/>
  <c r="L174" i="1"/>
  <c r="V173" i="1"/>
  <c r="Z173" i="1" s="1"/>
  <c r="U173" i="1"/>
  <c r="T173" i="1"/>
  <c r="S173" i="1"/>
  <c r="R173" i="1"/>
  <c r="Q173" i="1"/>
  <c r="M173" i="1"/>
  <c r="L173" i="1"/>
  <c r="V172" i="1"/>
  <c r="U172" i="1"/>
  <c r="T172" i="1"/>
  <c r="W172" i="1" s="1"/>
  <c r="S172" i="1"/>
  <c r="R172" i="1"/>
  <c r="Q172" i="1"/>
  <c r="M172" i="1"/>
  <c r="L172" i="1"/>
  <c r="V171" i="1"/>
  <c r="U171" i="1"/>
  <c r="T171" i="1"/>
  <c r="W171" i="1" s="1"/>
  <c r="S171" i="1"/>
  <c r="R171" i="1"/>
  <c r="Q171" i="1"/>
  <c r="M171" i="1"/>
  <c r="L171" i="1"/>
  <c r="V170" i="1"/>
  <c r="Z170" i="1" s="1"/>
  <c r="U170" i="1"/>
  <c r="T170" i="1"/>
  <c r="W170" i="1" s="1"/>
  <c r="S170" i="1"/>
  <c r="R170" i="1"/>
  <c r="Q170" i="1"/>
  <c r="M170" i="1"/>
  <c r="L170" i="1"/>
  <c r="V169" i="1"/>
  <c r="Z169" i="1" s="1"/>
  <c r="U169" i="1"/>
  <c r="T169" i="1"/>
  <c r="S169" i="1"/>
  <c r="R169" i="1"/>
  <c r="Q169" i="1"/>
  <c r="M169" i="1"/>
  <c r="L169" i="1"/>
  <c r="V168" i="1"/>
  <c r="Z168" i="1" s="1"/>
  <c r="U168" i="1"/>
  <c r="T168" i="1"/>
  <c r="W168" i="1" s="1"/>
  <c r="S168" i="1"/>
  <c r="R168" i="1"/>
  <c r="Q168" i="1"/>
  <c r="M168" i="1"/>
  <c r="L168" i="1"/>
  <c r="V167" i="1"/>
  <c r="U167" i="1"/>
  <c r="T167" i="1"/>
  <c r="W167" i="1" s="1"/>
  <c r="S167" i="1"/>
  <c r="R167" i="1"/>
  <c r="Q167" i="1"/>
  <c r="M167" i="1"/>
  <c r="L167" i="1"/>
  <c r="V166" i="1"/>
  <c r="Z166" i="1" s="1"/>
  <c r="U166" i="1"/>
  <c r="T166" i="1"/>
  <c r="W166" i="1" s="1"/>
  <c r="S166" i="1"/>
  <c r="R166" i="1"/>
  <c r="Q166" i="1"/>
  <c r="M166" i="1"/>
  <c r="L166" i="1"/>
  <c r="V165" i="1"/>
  <c r="Z165" i="1" s="1"/>
  <c r="U165" i="1"/>
  <c r="T165" i="1"/>
  <c r="W165" i="1" s="1"/>
  <c r="S165" i="1"/>
  <c r="R165" i="1"/>
  <c r="Q165" i="1"/>
  <c r="M165" i="1"/>
  <c r="L165" i="1"/>
  <c r="V164" i="1"/>
  <c r="Z164" i="1" s="1"/>
  <c r="U164" i="1"/>
  <c r="T164" i="1"/>
  <c r="W164" i="1" s="1"/>
  <c r="S164" i="1"/>
  <c r="R164" i="1"/>
  <c r="Q164" i="1"/>
  <c r="M164" i="1"/>
  <c r="L164" i="1"/>
  <c r="V163" i="1"/>
  <c r="U163" i="1"/>
  <c r="T163" i="1"/>
  <c r="W163" i="1" s="1"/>
  <c r="S163" i="1"/>
  <c r="R163" i="1"/>
  <c r="Q163" i="1"/>
  <c r="M163" i="1"/>
  <c r="L163" i="1"/>
  <c r="V162" i="1"/>
  <c r="Z162" i="1" s="1"/>
  <c r="U162" i="1"/>
  <c r="T162" i="1"/>
  <c r="W162" i="1" s="1"/>
  <c r="S162" i="1"/>
  <c r="R162" i="1"/>
  <c r="Q162" i="1"/>
  <c r="M162" i="1"/>
  <c r="L162" i="1"/>
  <c r="V161" i="1"/>
  <c r="Z161" i="1" s="1"/>
  <c r="U161" i="1"/>
  <c r="T161" i="1"/>
  <c r="W161" i="1" s="1"/>
  <c r="S161" i="1"/>
  <c r="R161" i="1"/>
  <c r="Q161" i="1"/>
  <c r="M161" i="1"/>
  <c r="L161" i="1"/>
  <c r="V160" i="1"/>
  <c r="U160" i="1"/>
  <c r="T160" i="1"/>
  <c r="S160" i="1"/>
  <c r="R160" i="1"/>
  <c r="Q160" i="1"/>
  <c r="M160" i="1"/>
  <c r="L160" i="1"/>
  <c r="V159" i="1"/>
  <c r="U159" i="1"/>
  <c r="T159" i="1"/>
  <c r="W159" i="1" s="1"/>
  <c r="S159" i="1"/>
  <c r="R159" i="1"/>
  <c r="Q159" i="1"/>
  <c r="M159" i="1"/>
  <c r="L159" i="1"/>
  <c r="V158" i="1"/>
  <c r="Z158" i="1" s="1"/>
  <c r="U158" i="1"/>
  <c r="T158" i="1"/>
  <c r="W158" i="1" s="1"/>
  <c r="S158" i="1"/>
  <c r="R158" i="1"/>
  <c r="Q158" i="1"/>
  <c r="M158" i="1"/>
  <c r="L158" i="1"/>
  <c r="V157" i="1"/>
  <c r="U157" i="1"/>
  <c r="T157" i="1"/>
  <c r="S157" i="1"/>
  <c r="R157" i="1"/>
  <c r="Q157" i="1"/>
  <c r="M157" i="1"/>
  <c r="L157" i="1"/>
  <c r="V156" i="1"/>
  <c r="Z156" i="1" s="1"/>
  <c r="U156" i="1"/>
  <c r="T156" i="1"/>
  <c r="W156" i="1" s="1"/>
  <c r="S156" i="1"/>
  <c r="R156" i="1"/>
  <c r="Q156" i="1"/>
  <c r="M156" i="1"/>
  <c r="L156" i="1"/>
  <c r="V155" i="1"/>
  <c r="U155" i="1"/>
  <c r="T155" i="1"/>
  <c r="W155" i="1" s="1"/>
  <c r="S155" i="1"/>
  <c r="R155" i="1"/>
  <c r="Q155" i="1"/>
  <c r="M155" i="1"/>
  <c r="L155" i="1"/>
  <c r="V154" i="1"/>
  <c r="Z154" i="1" s="1"/>
  <c r="U154" i="1"/>
  <c r="T154" i="1"/>
  <c r="W154" i="1" s="1"/>
  <c r="S154" i="1"/>
  <c r="R154" i="1"/>
  <c r="Q154" i="1"/>
  <c r="M154" i="1"/>
  <c r="L154" i="1"/>
  <c r="V153" i="1"/>
  <c r="Z153" i="1" s="1"/>
  <c r="U153" i="1"/>
  <c r="T153" i="1"/>
  <c r="W153" i="1" s="1"/>
  <c r="S153" i="1"/>
  <c r="R153" i="1"/>
  <c r="Q153" i="1"/>
  <c r="M153" i="1"/>
  <c r="L153" i="1"/>
  <c r="V152" i="1"/>
  <c r="Z152" i="1" s="1"/>
  <c r="U152" i="1"/>
  <c r="T152" i="1"/>
  <c r="S152" i="1"/>
  <c r="R152" i="1"/>
  <c r="Q152" i="1"/>
  <c r="M152" i="1"/>
  <c r="L152" i="1"/>
  <c r="V151" i="1"/>
  <c r="U151" i="1"/>
  <c r="T151" i="1"/>
  <c r="S151" i="1"/>
  <c r="R151" i="1"/>
  <c r="Q151" i="1"/>
  <c r="M151" i="1"/>
  <c r="L151" i="1"/>
  <c r="V150" i="1"/>
  <c r="Z150" i="1" s="1"/>
  <c r="U150" i="1"/>
  <c r="T150" i="1"/>
  <c r="W150" i="1" s="1"/>
  <c r="S150" i="1"/>
  <c r="R150" i="1"/>
  <c r="Q150" i="1"/>
  <c r="M150" i="1"/>
  <c r="L150" i="1"/>
  <c r="V149" i="1"/>
  <c r="Z149" i="1" s="1"/>
  <c r="U149" i="1"/>
  <c r="T149" i="1"/>
  <c r="S149" i="1"/>
  <c r="R149" i="1"/>
  <c r="Q149" i="1"/>
  <c r="M149" i="1"/>
  <c r="L149" i="1"/>
  <c r="V148" i="1"/>
  <c r="Z148" i="1" s="1"/>
  <c r="U148" i="1"/>
  <c r="T148" i="1"/>
  <c r="W148" i="1" s="1"/>
  <c r="S148" i="1"/>
  <c r="R148" i="1"/>
  <c r="Q148" i="1"/>
  <c r="M148" i="1"/>
  <c r="L148" i="1"/>
  <c r="V147" i="1"/>
  <c r="Z147" i="1" s="1"/>
  <c r="U147" i="1"/>
  <c r="T147" i="1"/>
  <c r="W147" i="1" s="1"/>
  <c r="S147" i="1"/>
  <c r="R147" i="1"/>
  <c r="Q147" i="1"/>
  <c r="M147" i="1"/>
  <c r="L147" i="1"/>
  <c r="V146" i="1"/>
  <c r="Z146" i="1" s="1"/>
  <c r="U146" i="1"/>
  <c r="T146" i="1"/>
  <c r="W146" i="1" s="1"/>
  <c r="S146" i="1"/>
  <c r="R146" i="1"/>
  <c r="Q146" i="1"/>
  <c r="M146" i="1"/>
  <c r="L146" i="1"/>
  <c r="V145" i="1"/>
  <c r="U145" i="1"/>
  <c r="T145" i="1"/>
  <c r="S145" i="1"/>
  <c r="R145" i="1"/>
  <c r="Q145" i="1"/>
  <c r="M145" i="1"/>
  <c r="L145" i="1"/>
  <c r="V144" i="1"/>
  <c r="Z144" i="1" s="1"/>
  <c r="U144" i="1"/>
  <c r="T144" i="1"/>
  <c r="W144" i="1" s="1"/>
  <c r="S144" i="1"/>
  <c r="R144" i="1"/>
  <c r="Q144" i="1"/>
  <c r="M144" i="1"/>
  <c r="L144" i="1"/>
  <c r="V143" i="1"/>
  <c r="Z143" i="1" s="1"/>
  <c r="U143" i="1"/>
  <c r="T143" i="1"/>
  <c r="S143" i="1"/>
  <c r="R143" i="1"/>
  <c r="Q143" i="1"/>
  <c r="M143" i="1"/>
  <c r="L143" i="1"/>
  <c r="V142" i="1"/>
  <c r="Z142" i="1" s="1"/>
  <c r="U142" i="1"/>
  <c r="T142" i="1"/>
  <c r="W142" i="1" s="1"/>
  <c r="S142" i="1"/>
  <c r="R142" i="1"/>
  <c r="Q142" i="1"/>
  <c r="M142" i="1"/>
  <c r="L142" i="1"/>
  <c r="V141" i="1"/>
  <c r="Z141" i="1" s="1"/>
  <c r="U141" i="1"/>
  <c r="T141" i="1"/>
  <c r="W141" i="1" s="1"/>
  <c r="S141" i="1"/>
  <c r="R141" i="1"/>
  <c r="Q141" i="1"/>
  <c r="M141" i="1"/>
  <c r="L141" i="1"/>
  <c r="V140" i="1"/>
  <c r="U140" i="1"/>
  <c r="T140" i="1"/>
  <c r="S140" i="1"/>
  <c r="R140" i="1"/>
  <c r="Q140" i="1"/>
  <c r="M140" i="1"/>
  <c r="L140" i="1"/>
  <c r="V139" i="1"/>
  <c r="Z139" i="1" s="1"/>
  <c r="U139" i="1"/>
  <c r="T139" i="1"/>
  <c r="W139" i="1" s="1"/>
  <c r="S139" i="1"/>
  <c r="R139" i="1"/>
  <c r="Q139" i="1"/>
  <c r="M139" i="1"/>
  <c r="L139" i="1"/>
  <c r="V138" i="1"/>
  <c r="Z138" i="1" s="1"/>
  <c r="U138" i="1"/>
  <c r="T138" i="1"/>
  <c r="W138" i="1" s="1"/>
  <c r="S138" i="1"/>
  <c r="R138" i="1"/>
  <c r="Q138" i="1"/>
  <c r="M138" i="1"/>
  <c r="L138" i="1"/>
  <c r="V137" i="1"/>
  <c r="Z137" i="1" s="1"/>
  <c r="U137" i="1"/>
  <c r="T137" i="1"/>
  <c r="S137" i="1"/>
  <c r="R137" i="1"/>
  <c r="Q137" i="1"/>
  <c r="M137" i="1"/>
  <c r="L137" i="1"/>
  <c r="V136" i="1"/>
  <c r="Z136" i="1" s="1"/>
  <c r="U136" i="1"/>
  <c r="T136" i="1"/>
  <c r="W136" i="1" s="1"/>
  <c r="S136" i="1"/>
  <c r="R136" i="1"/>
  <c r="Q136" i="1"/>
  <c r="M136" i="1"/>
  <c r="L136" i="1"/>
  <c r="V135" i="1"/>
  <c r="Z135" i="1" s="1"/>
  <c r="U135" i="1"/>
  <c r="T135" i="1"/>
  <c r="S135" i="1"/>
  <c r="R135" i="1"/>
  <c r="Q135" i="1"/>
  <c r="M135" i="1"/>
  <c r="L135" i="1"/>
  <c r="V134" i="1"/>
  <c r="Z134" i="1" s="1"/>
  <c r="U134" i="1"/>
  <c r="T134" i="1"/>
  <c r="W134" i="1" s="1"/>
  <c r="S134" i="1"/>
  <c r="R134" i="1"/>
  <c r="Q134" i="1"/>
  <c r="M134" i="1"/>
  <c r="L134" i="1"/>
  <c r="V133" i="1"/>
  <c r="U133" i="1"/>
  <c r="T133" i="1"/>
  <c r="W133" i="1" s="1"/>
  <c r="S133" i="1"/>
  <c r="R133" i="1"/>
  <c r="Q133" i="1"/>
  <c r="M133" i="1"/>
  <c r="L133" i="1"/>
  <c r="V132" i="1"/>
  <c r="U132" i="1"/>
  <c r="T132" i="1"/>
  <c r="W132" i="1" s="1"/>
  <c r="S132" i="1"/>
  <c r="R132" i="1"/>
  <c r="Q132" i="1"/>
  <c r="M132" i="1"/>
  <c r="L132" i="1"/>
  <c r="V131" i="1"/>
  <c r="U131" i="1"/>
  <c r="T131" i="1"/>
  <c r="S131" i="1"/>
  <c r="R131" i="1"/>
  <c r="Q131" i="1"/>
  <c r="M131" i="1"/>
  <c r="L131" i="1"/>
  <c r="V130" i="1"/>
  <c r="Z130" i="1" s="1"/>
  <c r="U130" i="1"/>
  <c r="T130" i="1"/>
  <c r="W130" i="1" s="1"/>
  <c r="S130" i="1"/>
  <c r="R130" i="1"/>
  <c r="Q130" i="1"/>
  <c r="M130" i="1"/>
  <c r="L130" i="1"/>
  <c r="V129" i="1"/>
  <c r="Z129" i="1" s="1"/>
  <c r="U129" i="1"/>
  <c r="T129" i="1"/>
  <c r="W129" i="1" s="1"/>
  <c r="S129" i="1"/>
  <c r="R129" i="1"/>
  <c r="Q129" i="1"/>
  <c r="M129" i="1"/>
  <c r="L129" i="1"/>
  <c r="V128" i="1"/>
  <c r="U128" i="1"/>
  <c r="T128" i="1"/>
  <c r="S128" i="1"/>
  <c r="R128" i="1"/>
  <c r="Q128" i="1"/>
  <c r="M128" i="1"/>
  <c r="L128" i="1"/>
  <c r="V127" i="1"/>
  <c r="U127" i="1"/>
  <c r="T127" i="1"/>
  <c r="W127" i="1" s="1"/>
  <c r="S127" i="1"/>
  <c r="R127" i="1"/>
  <c r="Q127" i="1"/>
  <c r="M127" i="1"/>
  <c r="L127" i="1"/>
  <c r="V126" i="1"/>
  <c r="Z126" i="1" s="1"/>
  <c r="U126" i="1"/>
  <c r="T126" i="1"/>
  <c r="W126" i="1" s="1"/>
  <c r="S126" i="1"/>
  <c r="R126" i="1"/>
  <c r="Q126" i="1"/>
  <c r="M126" i="1"/>
  <c r="L126" i="1"/>
  <c r="V125" i="1"/>
  <c r="U125" i="1"/>
  <c r="T125" i="1"/>
  <c r="S125" i="1"/>
  <c r="R125" i="1"/>
  <c r="Q125" i="1"/>
  <c r="M125" i="1"/>
  <c r="L125" i="1"/>
  <c r="V124" i="1"/>
  <c r="Z124" i="1" s="1"/>
  <c r="U124" i="1"/>
  <c r="T124" i="1"/>
  <c r="W124" i="1" s="1"/>
  <c r="S124" i="1"/>
  <c r="R124" i="1"/>
  <c r="Q124" i="1"/>
  <c r="M124" i="1"/>
  <c r="L124" i="1"/>
  <c r="V123" i="1"/>
  <c r="U123" i="1"/>
  <c r="T123" i="1"/>
  <c r="W123" i="1" s="1"/>
  <c r="S123" i="1"/>
  <c r="R123" i="1"/>
  <c r="Q123" i="1"/>
  <c r="M123" i="1"/>
  <c r="L123" i="1"/>
  <c r="V122" i="1"/>
  <c r="Z122" i="1" s="1"/>
  <c r="U122" i="1"/>
  <c r="T122" i="1"/>
  <c r="W122" i="1" s="1"/>
  <c r="S122" i="1"/>
  <c r="R122" i="1"/>
  <c r="Q122" i="1"/>
  <c r="M122" i="1"/>
  <c r="L122" i="1"/>
  <c r="V121" i="1"/>
  <c r="U121" i="1"/>
  <c r="T121" i="1"/>
  <c r="W121" i="1" s="1"/>
  <c r="S121" i="1"/>
  <c r="R121" i="1"/>
  <c r="Q121" i="1"/>
  <c r="M121" i="1"/>
  <c r="L121" i="1"/>
  <c r="V120" i="1"/>
  <c r="Z120" i="1" s="1"/>
  <c r="U120" i="1"/>
  <c r="T120" i="1"/>
  <c r="S120" i="1"/>
  <c r="R120" i="1"/>
  <c r="Q120" i="1"/>
  <c r="M120" i="1"/>
  <c r="L120" i="1"/>
  <c r="V119" i="1"/>
  <c r="Z119" i="1" s="1"/>
  <c r="U119" i="1"/>
  <c r="T119" i="1"/>
  <c r="S119" i="1"/>
  <c r="R119" i="1"/>
  <c r="Q119" i="1"/>
  <c r="M119" i="1"/>
  <c r="L119" i="1"/>
  <c r="V118" i="1"/>
  <c r="Z118" i="1" s="1"/>
  <c r="U118" i="1"/>
  <c r="T118" i="1"/>
  <c r="W118" i="1" s="1"/>
  <c r="S118" i="1"/>
  <c r="R118" i="1"/>
  <c r="Q118" i="1"/>
  <c r="M118" i="1"/>
  <c r="L118" i="1"/>
  <c r="V117" i="1"/>
  <c r="Z117" i="1" s="1"/>
  <c r="U117" i="1"/>
  <c r="T117" i="1"/>
  <c r="S117" i="1"/>
  <c r="R117" i="1"/>
  <c r="Q117" i="1"/>
  <c r="M117" i="1"/>
  <c r="L117" i="1"/>
  <c r="V116" i="1"/>
  <c r="U116" i="1"/>
  <c r="T116" i="1"/>
  <c r="W116" i="1" s="1"/>
  <c r="S116" i="1"/>
  <c r="R116" i="1"/>
  <c r="Q116" i="1"/>
  <c r="M116" i="1"/>
  <c r="L116" i="1"/>
  <c r="V115" i="1"/>
  <c r="Z115" i="1" s="1"/>
  <c r="U115" i="1"/>
  <c r="T115" i="1"/>
  <c r="W115" i="1" s="1"/>
  <c r="S115" i="1"/>
  <c r="R115" i="1"/>
  <c r="Q115" i="1"/>
  <c r="M115" i="1"/>
  <c r="L115" i="1"/>
  <c r="V114" i="1"/>
  <c r="Z114" i="1" s="1"/>
  <c r="U114" i="1"/>
  <c r="T114" i="1"/>
  <c r="W114" i="1" s="1"/>
  <c r="S114" i="1"/>
  <c r="R114" i="1"/>
  <c r="Q114" i="1"/>
  <c r="M114" i="1"/>
  <c r="L114" i="1"/>
  <c r="V113" i="1"/>
  <c r="U113" i="1"/>
  <c r="T113" i="1"/>
  <c r="W113" i="1" s="1"/>
  <c r="S113" i="1"/>
  <c r="R113" i="1"/>
  <c r="Q113" i="1"/>
  <c r="M113" i="1"/>
  <c r="L113" i="1"/>
  <c r="V112" i="1"/>
  <c r="Z112" i="1" s="1"/>
  <c r="U112" i="1"/>
  <c r="T112" i="1"/>
  <c r="W112" i="1" s="1"/>
  <c r="S112" i="1"/>
  <c r="R112" i="1"/>
  <c r="Q112" i="1"/>
  <c r="M112" i="1"/>
  <c r="L112" i="1"/>
  <c r="V111" i="1"/>
  <c r="U111" i="1"/>
  <c r="T111" i="1"/>
  <c r="W111" i="1" s="1"/>
  <c r="S111" i="1"/>
  <c r="R111" i="1"/>
  <c r="Q111" i="1"/>
  <c r="M111" i="1"/>
  <c r="L111" i="1"/>
  <c r="V110" i="1"/>
  <c r="Z110" i="1" s="1"/>
  <c r="U110" i="1"/>
  <c r="T110" i="1"/>
  <c r="W110" i="1" s="1"/>
  <c r="S110" i="1"/>
  <c r="R110" i="1"/>
  <c r="Q110" i="1"/>
  <c r="M110" i="1"/>
  <c r="L110" i="1"/>
  <c r="V109" i="1"/>
  <c r="Z109" i="1" s="1"/>
  <c r="U109" i="1"/>
  <c r="T109" i="1"/>
  <c r="W109" i="1" s="1"/>
  <c r="S109" i="1"/>
  <c r="R109" i="1"/>
  <c r="Q109" i="1"/>
  <c r="M109" i="1"/>
  <c r="L109" i="1"/>
  <c r="V108" i="1"/>
  <c r="Z108" i="1" s="1"/>
  <c r="U108" i="1"/>
  <c r="T108" i="1"/>
  <c r="S108" i="1"/>
  <c r="R108" i="1"/>
  <c r="Q108" i="1"/>
  <c r="M108" i="1"/>
  <c r="L108" i="1"/>
  <c r="V107" i="1"/>
  <c r="Z107" i="1" s="1"/>
  <c r="U107" i="1"/>
  <c r="T107" i="1"/>
  <c r="S107" i="1"/>
  <c r="R107" i="1"/>
  <c r="Q107" i="1"/>
  <c r="M107" i="1"/>
  <c r="L107" i="1"/>
  <c r="V106" i="1"/>
  <c r="Z106" i="1" s="1"/>
  <c r="U106" i="1"/>
  <c r="T106" i="1"/>
  <c r="W106" i="1" s="1"/>
  <c r="S106" i="1"/>
  <c r="R106" i="1"/>
  <c r="Q106" i="1"/>
  <c r="M106" i="1"/>
  <c r="L106" i="1"/>
  <c r="V105" i="1"/>
  <c r="Z105" i="1" s="1"/>
  <c r="U105" i="1"/>
  <c r="T105" i="1"/>
  <c r="S105" i="1"/>
  <c r="R105" i="1"/>
  <c r="Q105" i="1"/>
  <c r="M105" i="1"/>
  <c r="L105" i="1"/>
  <c r="V104" i="1"/>
  <c r="U104" i="1"/>
  <c r="T104" i="1"/>
  <c r="W104" i="1" s="1"/>
  <c r="S104" i="1"/>
  <c r="R104" i="1"/>
  <c r="Q104" i="1"/>
  <c r="M104" i="1"/>
  <c r="L104" i="1"/>
  <c r="V103" i="1"/>
  <c r="U103" i="1"/>
  <c r="T103" i="1"/>
  <c r="W103" i="1" s="1"/>
  <c r="S103" i="1"/>
  <c r="R103" i="1"/>
  <c r="Q103" i="1"/>
  <c r="M103" i="1"/>
  <c r="L103" i="1"/>
  <c r="V102" i="1"/>
  <c r="Z102" i="1" s="1"/>
  <c r="U102" i="1"/>
  <c r="T102" i="1"/>
  <c r="W102" i="1" s="1"/>
  <c r="S102" i="1"/>
  <c r="R102" i="1"/>
  <c r="Q102" i="1"/>
  <c r="M102" i="1"/>
  <c r="L102" i="1"/>
  <c r="V101" i="1"/>
  <c r="U101" i="1"/>
  <c r="T101" i="1"/>
  <c r="W101" i="1" s="1"/>
  <c r="S101" i="1"/>
  <c r="R101" i="1"/>
  <c r="Q101" i="1"/>
  <c r="M101" i="1"/>
  <c r="L101" i="1"/>
  <c r="V100" i="1"/>
  <c r="Z100" i="1" s="1"/>
  <c r="U100" i="1"/>
  <c r="T100" i="1"/>
  <c r="W100" i="1" s="1"/>
  <c r="S100" i="1"/>
  <c r="R100" i="1"/>
  <c r="Q100" i="1"/>
  <c r="M100" i="1"/>
  <c r="L100" i="1"/>
  <c r="V99" i="1"/>
  <c r="U99" i="1"/>
  <c r="T99" i="1"/>
  <c r="W99" i="1" s="1"/>
  <c r="S99" i="1"/>
  <c r="R99" i="1"/>
  <c r="Q99" i="1"/>
  <c r="M99" i="1"/>
  <c r="L99" i="1"/>
  <c r="V98" i="1"/>
  <c r="Z98" i="1" s="1"/>
  <c r="U98" i="1"/>
  <c r="T98" i="1"/>
  <c r="W98" i="1" s="1"/>
  <c r="S98" i="1"/>
  <c r="R98" i="1"/>
  <c r="Q98" i="1"/>
  <c r="M98" i="1"/>
  <c r="L98" i="1"/>
  <c r="V97" i="1"/>
  <c r="Z97" i="1" s="1"/>
  <c r="U97" i="1"/>
  <c r="T97" i="1"/>
  <c r="W97" i="1" s="1"/>
  <c r="S97" i="1"/>
  <c r="R97" i="1"/>
  <c r="Q97" i="1"/>
  <c r="M97" i="1"/>
  <c r="L97" i="1"/>
  <c r="V96" i="1"/>
  <c r="Z96" i="1" s="1"/>
  <c r="U96" i="1"/>
  <c r="T96" i="1"/>
  <c r="S96" i="1"/>
  <c r="R96" i="1"/>
  <c r="Q96" i="1"/>
  <c r="M96" i="1"/>
  <c r="L96" i="1"/>
  <c r="V95" i="1"/>
  <c r="U95" i="1"/>
  <c r="T95" i="1"/>
  <c r="W95" i="1" s="1"/>
  <c r="S95" i="1"/>
  <c r="R95" i="1"/>
  <c r="Q95" i="1"/>
  <c r="M95" i="1"/>
  <c r="L95" i="1"/>
  <c r="V94" i="1"/>
  <c r="Z94" i="1" s="1"/>
  <c r="U94" i="1"/>
  <c r="T94" i="1"/>
  <c r="W94" i="1" s="1"/>
  <c r="S94" i="1"/>
  <c r="R94" i="1"/>
  <c r="Q94" i="1"/>
  <c r="M94" i="1"/>
  <c r="L94" i="1"/>
  <c r="V93" i="1"/>
  <c r="U93" i="1"/>
  <c r="T93" i="1"/>
  <c r="S93" i="1"/>
  <c r="R93" i="1"/>
  <c r="Q93" i="1"/>
  <c r="M93" i="1"/>
  <c r="L93" i="1"/>
  <c r="V92" i="1"/>
  <c r="Z92" i="1" s="1"/>
  <c r="U92" i="1"/>
  <c r="T92" i="1"/>
  <c r="W92" i="1" s="1"/>
  <c r="S92" i="1"/>
  <c r="R92" i="1"/>
  <c r="Q92" i="1"/>
  <c r="M92" i="1"/>
  <c r="L92" i="1"/>
  <c r="V91" i="1"/>
  <c r="Z91" i="1" s="1"/>
  <c r="U91" i="1"/>
  <c r="T91" i="1"/>
  <c r="W91" i="1" s="1"/>
  <c r="S91" i="1"/>
  <c r="R91" i="1"/>
  <c r="Q91" i="1"/>
  <c r="M91" i="1"/>
  <c r="L91" i="1"/>
  <c r="V90" i="1"/>
  <c r="Z90" i="1" s="1"/>
  <c r="U90" i="1"/>
  <c r="T90" i="1"/>
  <c r="W90" i="1" s="1"/>
  <c r="S90" i="1"/>
  <c r="R90" i="1"/>
  <c r="Q90" i="1"/>
  <c r="M90" i="1"/>
  <c r="L90" i="1"/>
  <c r="V89" i="1"/>
  <c r="Z89" i="1" s="1"/>
  <c r="U89" i="1"/>
  <c r="T89" i="1"/>
  <c r="W89" i="1" s="1"/>
  <c r="S89" i="1"/>
  <c r="R89" i="1"/>
  <c r="Q89" i="1"/>
  <c r="M89" i="1"/>
  <c r="L89" i="1"/>
  <c r="V88" i="1"/>
  <c r="Z88" i="1" s="1"/>
  <c r="U88" i="1"/>
  <c r="T88" i="1"/>
  <c r="S88" i="1"/>
  <c r="R88" i="1"/>
  <c r="Q88" i="1"/>
  <c r="M88" i="1"/>
  <c r="L88" i="1"/>
  <c r="V87" i="1"/>
  <c r="U87" i="1"/>
  <c r="T87" i="1"/>
  <c r="S87" i="1"/>
  <c r="R87" i="1"/>
  <c r="Q87" i="1"/>
  <c r="M87" i="1"/>
  <c r="L87" i="1"/>
  <c r="V86" i="1"/>
  <c r="Z86" i="1" s="1"/>
  <c r="U86" i="1"/>
  <c r="T86" i="1"/>
  <c r="W86" i="1" s="1"/>
  <c r="S86" i="1"/>
  <c r="R86" i="1"/>
  <c r="Q86" i="1"/>
  <c r="M86" i="1"/>
  <c r="L86" i="1"/>
  <c r="V85" i="1"/>
  <c r="Z85" i="1" s="1"/>
  <c r="U85" i="1"/>
  <c r="T85" i="1"/>
  <c r="S85" i="1"/>
  <c r="R85" i="1"/>
  <c r="Q85" i="1"/>
  <c r="M85" i="1"/>
  <c r="L85" i="1"/>
  <c r="V84" i="1"/>
  <c r="U84" i="1"/>
  <c r="T84" i="1"/>
  <c r="W84" i="1" s="1"/>
  <c r="S84" i="1"/>
  <c r="R84" i="1"/>
  <c r="Q84" i="1"/>
  <c r="M84" i="1"/>
  <c r="L84" i="1"/>
  <c r="V83" i="1"/>
  <c r="Z83" i="1" s="1"/>
  <c r="U83" i="1"/>
  <c r="T83" i="1"/>
  <c r="W83" i="1" s="1"/>
  <c r="S83" i="1"/>
  <c r="R83" i="1"/>
  <c r="Q83" i="1"/>
  <c r="M83" i="1"/>
  <c r="L83" i="1"/>
  <c r="V82" i="1"/>
  <c r="Z82" i="1" s="1"/>
  <c r="U82" i="1"/>
  <c r="T82" i="1"/>
  <c r="W82" i="1" s="1"/>
  <c r="S82" i="1"/>
  <c r="R82" i="1"/>
  <c r="Q82" i="1"/>
  <c r="M82" i="1"/>
  <c r="L82" i="1"/>
  <c r="V81" i="1"/>
  <c r="U81" i="1"/>
  <c r="T81" i="1"/>
  <c r="W81" i="1" s="1"/>
  <c r="S81" i="1"/>
  <c r="R81" i="1"/>
  <c r="Q81" i="1"/>
  <c r="M81" i="1"/>
  <c r="L81" i="1"/>
  <c r="V80" i="1"/>
  <c r="Z80" i="1" s="1"/>
  <c r="U80" i="1"/>
  <c r="T80" i="1"/>
  <c r="W80" i="1" s="1"/>
  <c r="S80" i="1"/>
  <c r="R80" i="1"/>
  <c r="Q80" i="1"/>
  <c r="M80" i="1"/>
  <c r="L80" i="1"/>
  <c r="V79" i="1"/>
  <c r="U79" i="1"/>
  <c r="T79" i="1"/>
  <c r="S79" i="1"/>
  <c r="R79" i="1"/>
  <c r="Q79" i="1"/>
  <c r="M79" i="1"/>
  <c r="L79" i="1"/>
  <c r="V78" i="1"/>
  <c r="Z78" i="1" s="1"/>
  <c r="U78" i="1"/>
  <c r="T78" i="1"/>
  <c r="W78" i="1" s="1"/>
  <c r="S78" i="1"/>
  <c r="R78" i="1"/>
  <c r="Q78" i="1"/>
  <c r="M78" i="1"/>
  <c r="L78" i="1"/>
  <c r="V77" i="1"/>
  <c r="Z77" i="1" s="1"/>
  <c r="U77" i="1"/>
  <c r="T77" i="1"/>
  <c r="W77" i="1" s="1"/>
  <c r="S77" i="1"/>
  <c r="R77" i="1"/>
  <c r="Q77" i="1"/>
  <c r="M77" i="1"/>
  <c r="L77" i="1"/>
  <c r="V76" i="1"/>
  <c r="U76" i="1"/>
  <c r="T76" i="1"/>
  <c r="S76" i="1"/>
  <c r="R76" i="1"/>
  <c r="Q76" i="1"/>
  <c r="M76" i="1"/>
  <c r="L76" i="1"/>
  <c r="V75" i="1"/>
  <c r="U75" i="1"/>
  <c r="T75" i="1"/>
  <c r="W75" i="1" s="1"/>
  <c r="S75" i="1"/>
  <c r="R75" i="1"/>
  <c r="Q75" i="1"/>
  <c r="M75" i="1"/>
  <c r="L75" i="1"/>
  <c r="V74" i="1"/>
  <c r="Z74" i="1" s="1"/>
  <c r="U74" i="1"/>
  <c r="T74" i="1"/>
  <c r="W74" i="1" s="1"/>
  <c r="S74" i="1"/>
  <c r="R74" i="1"/>
  <c r="Q74" i="1"/>
  <c r="M74" i="1"/>
  <c r="L74" i="1"/>
  <c r="V73" i="1"/>
  <c r="Z73" i="1" s="1"/>
  <c r="U73" i="1"/>
  <c r="T73" i="1"/>
  <c r="S73" i="1"/>
  <c r="R73" i="1"/>
  <c r="Q73" i="1"/>
  <c r="M73" i="1"/>
  <c r="L73" i="1"/>
  <c r="V72" i="1"/>
  <c r="Z72" i="1" s="1"/>
  <c r="U72" i="1"/>
  <c r="T72" i="1"/>
  <c r="W72" i="1" s="1"/>
  <c r="S72" i="1"/>
  <c r="R72" i="1"/>
  <c r="Q72" i="1"/>
  <c r="M72" i="1"/>
  <c r="L72" i="1"/>
  <c r="V71" i="1"/>
  <c r="U71" i="1"/>
  <c r="T71" i="1"/>
  <c r="S71" i="1"/>
  <c r="R71" i="1"/>
  <c r="Q71" i="1"/>
  <c r="M71" i="1"/>
  <c r="L71" i="1"/>
  <c r="V70" i="1"/>
  <c r="Z70" i="1" s="1"/>
  <c r="U70" i="1"/>
  <c r="T70" i="1"/>
  <c r="W70" i="1" s="1"/>
  <c r="S70" i="1"/>
  <c r="R70" i="1"/>
  <c r="Q70" i="1"/>
  <c r="M70" i="1"/>
  <c r="L70" i="1"/>
  <c r="V69" i="1"/>
  <c r="U69" i="1"/>
  <c r="T69" i="1"/>
  <c r="W69" i="1" s="1"/>
  <c r="S69" i="1"/>
  <c r="R69" i="1"/>
  <c r="Q69" i="1"/>
  <c r="M69" i="1"/>
  <c r="L69" i="1"/>
  <c r="V68" i="1"/>
  <c r="U68" i="1"/>
  <c r="T68" i="1"/>
  <c r="W68" i="1" s="1"/>
  <c r="S68" i="1"/>
  <c r="R68" i="1"/>
  <c r="Q68" i="1"/>
  <c r="M68" i="1"/>
  <c r="L68" i="1"/>
  <c r="V67" i="1"/>
  <c r="U67" i="1"/>
  <c r="T67" i="1"/>
  <c r="S67" i="1"/>
  <c r="R67" i="1"/>
  <c r="Q67" i="1"/>
  <c r="M67" i="1"/>
  <c r="L67" i="1"/>
  <c r="V66" i="1"/>
  <c r="Z66" i="1" s="1"/>
  <c r="U66" i="1"/>
  <c r="T66" i="1"/>
  <c r="W66" i="1" s="1"/>
  <c r="S66" i="1"/>
  <c r="R66" i="1"/>
  <c r="Q66" i="1"/>
  <c r="M66" i="1"/>
  <c r="L66" i="1"/>
  <c r="V65" i="1"/>
  <c r="Z65" i="1" s="1"/>
  <c r="U65" i="1"/>
  <c r="T65" i="1"/>
  <c r="W65" i="1" s="1"/>
  <c r="S65" i="1"/>
  <c r="R65" i="1"/>
  <c r="Q65" i="1"/>
  <c r="M65" i="1"/>
  <c r="L65" i="1"/>
  <c r="V64" i="1"/>
  <c r="U64" i="1"/>
  <c r="T64" i="1"/>
  <c r="S64" i="1"/>
  <c r="R64" i="1"/>
  <c r="Q64" i="1"/>
  <c r="M64" i="1"/>
  <c r="L64" i="1"/>
  <c r="V63" i="1"/>
  <c r="Z63" i="1" s="1"/>
  <c r="U63" i="1"/>
  <c r="T63" i="1"/>
  <c r="W63" i="1" s="1"/>
  <c r="S63" i="1"/>
  <c r="R63" i="1"/>
  <c r="Q63" i="1"/>
  <c r="M63" i="1"/>
  <c r="L63" i="1"/>
  <c r="V62" i="1"/>
  <c r="Z62" i="1" s="1"/>
  <c r="U62" i="1"/>
  <c r="T62" i="1"/>
  <c r="W62" i="1" s="1"/>
  <c r="S62" i="1"/>
  <c r="R62" i="1"/>
  <c r="Q62" i="1"/>
  <c r="M62" i="1"/>
  <c r="L62" i="1"/>
  <c r="V61" i="1"/>
  <c r="U61" i="1"/>
  <c r="T61" i="1"/>
  <c r="S61" i="1"/>
  <c r="R61" i="1"/>
  <c r="Q61" i="1"/>
  <c r="M61" i="1"/>
  <c r="L61" i="1"/>
  <c r="V60" i="1"/>
  <c r="Z60" i="1" s="1"/>
  <c r="U60" i="1"/>
  <c r="T60" i="1"/>
  <c r="W60" i="1" s="1"/>
  <c r="S60" i="1"/>
  <c r="R60" i="1"/>
  <c r="Q60" i="1"/>
  <c r="M60" i="1"/>
  <c r="L60" i="1"/>
  <c r="V59" i="1"/>
  <c r="U59" i="1"/>
  <c r="T59" i="1"/>
  <c r="W59" i="1" s="1"/>
  <c r="S59" i="1"/>
  <c r="R59" i="1"/>
  <c r="Q59" i="1"/>
  <c r="M59" i="1"/>
  <c r="L59" i="1"/>
  <c r="V58" i="1"/>
  <c r="Z58" i="1" s="1"/>
  <c r="U58" i="1"/>
  <c r="T58" i="1"/>
  <c r="W58" i="1" s="1"/>
  <c r="S58" i="1"/>
  <c r="R58" i="1"/>
  <c r="Q58" i="1"/>
  <c r="M58" i="1"/>
  <c r="L58" i="1"/>
  <c r="V57" i="1"/>
  <c r="Z57" i="1" s="1"/>
  <c r="U57" i="1"/>
  <c r="T57" i="1"/>
  <c r="W57" i="1" s="1"/>
  <c r="S57" i="1"/>
  <c r="R57" i="1"/>
  <c r="Q57" i="1"/>
  <c r="M57" i="1"/>
  <c r="L57" i="1"/>
  <c r="V56" i="1"/>
  <c r="Z56" i="1" s="1"/>
  <c r="U56" i="1"/>
  <c r="T56" i="1"/>
  <c r="S56" i="1"/>
  <c r="R56" i="1"/>
  <c r="Q56" i="1"/>
  <c r="M56" i="1"/>
  <c r="L56" i="1"/>
  <c r="V55" i="1"/>
  <c r="U55" i="1"/>
  <c r="T55" i="1"/>
  <c r="S55" i="1"/>
  <c r="R55" i="1"/>
  <c r="Q55" i="1"/>
  <c r="M55" i="1"/>
  <c r="L55" i="1"/>
  <c r="V54" i="1"/>
  <c r="Z54" i="1" s="1"/>
  <c r="U54" i="1"/>
  <c r="T54" i="1"/>
  <c r="W54" i="1" s="1"/>
  <c r="S54" i="1"/>
  <c r="R54" i="1"/>
  <c r="Q54" i="1"/>
  <c r="M54" i="1"/>
  <c r="L54" i="1"/>
  <c r="V53" i="1"/>
  <c r="Z53" i="1" s="1"/>
  <c r="U53" i="1"/>
  <c r="T53" i="1"/>
  <c r="S53" i="1"/>
  <c r="R53" i="1"/>
  <c r="Q53" i="1"/>
  <c r="M53" i="1"/>
  <c r="L53" i="1"/>
  <c r="V52" i="1"/>
  <c r="U52" i="1"/>
  <c r="T52" i="1"/>
  <c r="W52" i="1" s="1"/>
  <c r="S52" i="1"/>
  <c r="R52" i="1"/>
  <c r="Q52" i="1"/>
  <c r="M52" i="1"/>
  <c r="L52" i="1"/>
  <c r="V51" i="1"/>
  <c r="Z51" i="1" s="1"/>
  <c r="U51" i="1"/>
  <c r="T51" i="1"/>
  <c r="W51" i="1" s="1"/>
  <c r="S51" i="1"/>
  <c r="R51" i="1"/>
  <c r="Q51" i="1"/>
  <c r="M51" i="1"/>
  <c r="L51" i="1"/>
  <c r="V50" i="1"/>
  <c r="Z50" i="1" s="1"/>
  <c r="U50" i="1"/>
  <c r="T50" i="1"/>
  <c r="W50" i="1" s="1"/>
  <c r="S50" i="1"/>
  <c r="R50" i="1"/>
  <c r="Q50" i="1"/>
  <c r="M50" i="1"/>
  <c r="L50" i="1"/>
  <c r="V49" i="1"/>
  <c r="U49" i="1"/>
  <c r="T49" i="1"/>
  <c r="W49" i="1" s="1"/>
  <c r="S49" i="1"/>
  <c r="R49" i="1"/>
  <c r="Q49" i="1"/>
  <c r="M49" i="1"/>
  <c r="L49" i="1"/>
  <c r="V48" i="1"/>
  <c r="Z48" i="1" s="1"/>
  <c r="U48" i="1"/>
  <c r="T48" i="1"/>
  <c r="W48" i="1" s="1"/>
  <c r="S48" i="1"/>
  <c r="R48" i="1"/>
  <c r="Q48" i="1"/>
  <c r="M48" i="1"/>
  <c r="L48" i="1"/>
  <c r="V47" i="1"/>
  <c r="U47" i="1"/>
  <c r="T47" i="1"/>
  <c r="W47" i="1" s="1"/>
  <c r="S47" i="1"/>
  <c r="R47" i="1"/>
  <c r="Q47" i="1"/>
  <c r="M47" i="1"/>
  <c r="L47" i="1"/>
  <c r="V46" i="1"/>
  <c r="Z46" i="1" s="1"/>
  <c r="U46" i="1"/>
  <c r="T46" i="1"/>
  <c r="W46" i="1" s="1"/>
  <c r="S46" i="1"/>
  <c r="R46" i="1"/>
  <c r="Q46" i="1"/>
  <c r="M46" i="1"/>
  <c r="L46" i="1"/>
  <c r="V45" i="1"/>
  <c r="Z45" i="1" s="1"/>
  <c r="U45" i="1"/>
  <c r="T45" i="1"/>
  <c r="W45" i="1" s="1"/>
  <c r="S45" i="1"/>
  <c r="R45" i="1"/>
  <c r="Q45" i="1"/>
  <c r="M45" i="1"/>
  <c r="L45" i="1"/>
  <c r="V44" i="1"/>
  <c r="Z44" i="1" s="1"/>
  <c r="U44" i="1"/>
  <c r="T44" i="1"/>
  <c r="S44" i="1"/>
  <c r="R44" i="1"/>
  <c r="Q44" i="1"/>
  <c r="M44" i="1"/>
  <c r="L44" i="1"/>
  <c r="V43" i="1"/>
  <c r="U43" i="1"/>
  <c r="T43" i="1"/>
  <c r="S43" i="1"/>
  <c r="R43" i="1"/>
  <c r="Q43" i="1"/>
  <c r="M43" i="1"/>
  <c r="L43" i="1"/>
  <c r="V42" i="1"/>
  <c r="Z42" i="1" s="1"/>
  <c r="U42" i="1"/>
  <c r="T42" i="1"/>
  <c r="W42" i="1" s="1"/>
  <c r="S42" i="1"/>
  <c r="R42" i="1"/>
  <c r="Q42" i="1"/>
  <c r="M42" i="1"/>
  <c r="L42" i="1"/>
  <c r="V41" i="1"/>
  <c r="Z41" i="1" s="1"/>
  <c r="U41" i="1"/>
  <c r="T41" i="1"/>
  <c r="S41" i="1"/>
  <c r="R41" i="1"/>
  <c r="Q41" i="1"/>
  <c r="M41" i="1"/>
  <c r="L41" i="1"/>
  <c r="V40" i="1"/>
  <c r="U40" i="1"/>
  <c r="T40" i="1"/>
  <c r="W40" i="1" s="1"/>
  <c r="S40" i="1"/>
  <c r="R40" i="1"/>
  <c r="Q40" i="1"/>
  <c r="M40" i="1"/>
  <c r="L40" i="1"/>
  <c r="V39" i="1"/>
  <c r="U39" i="1"/>
  <c r="T39" i="1"/>
  <c r="W39" i="1" s="1"/>
  <c r="S39" i="1"/>
  <c r="R39" i="1"/>
  <c r="Q39" i="1"/>
  <c r="M39" i="1"/>
  <c r="L39" i="1"/>
  <c r="V38" i="1"/>
  <c r="Z38" i="1" s="1"/>
  <c r="U38" i="1"/>
  <c r="T38" i="1"/>
  <c r="W38" i="1" s="1"/>
  <c r="S38" i="1"/>
  <c r="R38" i="1"/>
  <c r="Q38" i="1"/>
  <c r="M38" i="1"/>
  <c r="L38" i="1"/>
  <c r="V37" i="1"/>
  <c r="U37" i="1"/>
  <c r="T37" i="1"/>
  <c r="W37" i="1" s="1"/>
  <c r="S37" i="1"/>
  <c r="R37" i="1"/>
  <c r="Q37" i="1"/>
  <c r="M37" i="1"/>
  <c r="L37" i="1"/>
  <c r="V36" i="1"/>
  <c r="Z36" i="1" s="1"/>
  <c r="U36" i="1"/>
  <c r="T36" i="1"/>
  <c r="W36" i="1" s="1"/>
  <c r="S36" i="1"/>
  <c r="R36" i="1"/>
  <c r="Q36" i="1"/>
  <c r="M36" i="1"/>
  <c r="L36" i="1"/>
  <c r="V35" i="1"/>
  <c r="U35" i="1"/>
  <c r="T35" i="1"/>
  <c r="W35" i="1" s="1"/>
  <c r="S35" i="1"/>
  <c r="R35" i="1"/>
  <c r="Q35" i="1"/>
  <c r="M35" i="1"/>
  <c r="L35" i="1"/>
  <c r="V34" i="1"/>
  <c r="Z34" i="1" s="1"/>
  <c r="U34" i="1"/>
  <c r="T34" i="1"/>
  <c r="W34" i="1" s="1"/>
  <c r="S34" i="1"/>
  <c r="R34" i="1"/>
  <c r="Q34" i="1"/>
  <c r="M34" i="1"/>
  <c r="L34" i="1"/>
  <c r="V33" i="1"/>
  <c r="Z33" i="1" s="1"/>
  <c r="U33" i="1"/>
  <c r="T33" i="1"/>
  <c r="W33" i="1" s="1"/>
  <c r="S33" i="1"/>
  <c r="R33" i="1"/>
  <c r="Q33" i="1"/>
  <c r="M33" i="1"/>
  <c r="L33" i="1"/>
  <c r="V32" i="1"/>
  <c r="Z32" i="1" s="1"/>
  <c r="U32" i="1"/>
  <c r="T32" i="1"/>
  <c r="S32" i="1"/>
  <c r="R32" i="1"/>
  <c r="Q32" i="1"/>
  <c r="M32" i="1"/>
  <c r="L32" i="1"/>
  <c r="V31" i="1"/>
  <c r="U31" i="1"/>
  <c r="T31" i="1"/>
  <c r="W31" i="1" s="1"/>
  <c r="S31" i="1"/>
  <c r="R31" i="1"/>
  <c r="Q31" i="1"/>
  <c r="M31" i="1"/>
  <c r="L31" i="1"/>
  <c r="V30" i="1"/>
  <c r="Z30" i="1" s="1"/>
  <c r="U30" i="1"/>
  <c r="T30" i="1"/>
  <c r="W30" i="1" s="1"/>
  <c r="S30" i="1"/>
  <c r="R30" i="1"/>
  <c r="Q30" i="1"/>
  <c r="M30" i="1"/>
  <c r="L30" i="1"/>
  <c r="V29" i="1"/>
  <c r="U29" i="1"/>
  <c r="T29" i="1"/>
  <c r="S29" i="1"/>
  <c r="R29" i="1"/>
  <c r="Q29" i="1"/>
  <c r="M29" i="1"/>
  <c r="L29" i="1"/>
  <c r="V28" i="1"/>
  <c r="Z28" i="1" s="1"/>
  <c r="U28" i="1"/>
  <c r="T28" i="1"/>
  <c r="W28" i="1" s="1"/>
  <c r="S28" i="1"/>
  <c r="R28" i="1"/>
  <c r="Q28" i="1"/>
  <c r="M28" i="1"/>
  <c r="L28" i="1"/>
  <c r="V27" i="1"/>
  <c r="U27" i="1"/>
  <c r="T27" i="1"/>
  <c r="W27" i="1" s="1"/>
  <c r="S27" i="1"/>
  <c r="R27" i="1"/>
  <c r="Q27" i="1"/>
  <c r="M27" i="1"/>
  <c r="L27" i="1"/>
  <c r="V26" i="1"/>
  <c r="Z26" i="1" s="1"/>
  <c r="U26" i="1"/>
  <c r="T26" i="1"/>
  <c r="W26" i="1" s="1"/>
  <c r="S26" i="1"/>
  <c r="R26" i="1"/>
  <c r="Q26" i="1"/>
  <c r="M26" i="1"/>
  <c r="L26" i="1"/>
  <c r="V25" i="1"/>
  <c r="Z25" i="1" s="1"/>
  <c r="U25" i="1"/>
  <c r="T25" i="1"/>
  <c r="W25" i="1" s="1"/>
  <c r="S25" i="1"/>
  <c r="R25" i="1"/>
  <c r="Q25" i="1"/>
  <c r="M25" i="1"/>
  <c r="L25" i="1"/>
  <c r="V24" i="1"/>
  <c r="Z24" i="1" s="1"/>
  <c r="U24" i="1"/>
  <c r="T24" i="1"/>
  <c r="S24" i="1"/>
  <c r="R24" i="1"/>
  <c r="Q24" i="1"/>
  <c r="M24" i="1"/>
  <c r="L24" i="1"/>
  <c r="V23" i="1"/>
  <c r="U23" i="1"/>
  <c r="T23" i="1"/>
  <c r="W23" i="1" s="1"/>
  <c r="S23" i="1"/>
  <c r="R23" i="1"/>
  <c r="Q23" i="1"/>
  <c r="M23" i="1"/>
  <c r="L23" i="1"/>
  <c r="V22" i="1"/>
  <c r="Z22" i="1" s="1"/>
  <c r="U22" i="1"/>
  <c r="T22" i="1"/>
  <c r="W22" i="1" s="1"/>
  <c r="S22" i="1"/>
  <c r="R22" i="1"/>
  <c r="Q22" i="1"/>
  <c r="M22" i="1"/>
  <c r="L22" i="1"/>
  <c r="V21" i="1"/>
  <c r="Z21" i="1" s="1"/>
  <c r="U21" i="1"/>
  <c r="T21" i="1"/>
  <c r="S21" i="1"/>
  <c r="R21" i="1"/>
  <c r="Q21" i="1"/>
  <c r="M21" i="1"/>
  <c r="L21" i="1"/>
  <c r="V20" i="1"/>
  <c r="U20" i="1"/>
  <c r="T20" i="1"/>
  <c r="W20" i="1" s="1"/>
  <c r="S20" i="1"/>
  <c r="R20" i="1"/>
  <c r="Q20" i="1"/>
  <c r="M20" i="1"/>
  <c r="L20" i="1"/>
  <c r="V19" i="1"/>
  <c r="U19" i="1"/>
  <c r="T19" i="1"/>
  <c r="W19" i="1" s="1"/>
  <c r="S19" i="1"/>
  <c r="R19" i="1"/>
  <c r="Q19" i="1"/>
  <c r="M19" i="1"/>
  <c r="L19" i="1"/>
  <c r="V18" i="1"/>
  <c r="Z18" i="1" s="1"/>
  <c r="U18" i="1"/>
  <c r="T18" i="1"/>
  <c r="W18" i="1" s="1"/>
  <c r="S18" i="1"/>
  <c r="R18" i="1"/>
  <c r="Q18" i="1"/>
  <c r="M18" i="1"/>
  <c r="L18" i="1"/>
  <c r="V17" i="1"/>
  <c r="U17" i="1"/>
  <c r="T17" i="1"/>
  <c r="W17" i="1" s="1"/>
  <c r="S17" i="1"/>
  <c r="R17" i="1"/>
  <c r="Q17" i="1"/>
  <c r="M17" i="1"/>
  <c r="L17" i="1"/>
  <c r="V16" i="1"/>
  <c r="Z16" i="1" s="1"/>
  <c r="U16" i="1"/>
  <c r="T16" i="1"/>
  <c r="W16" i="1" s="1"/>
  <c r="S16" i="1"/>
  <c r="R16" i="1"/>
  <c r="Q16" i="1"/>
  <c r="M16" i="1"/>
  <c r="L16" i="1"/>
  <c r="V15" i="1"/>
  <c r="U15" i="1"/>
  <c r="T15" i="1"/>
  <c r="S15" i="1"/>
  <c r="R15" i="1"/>
  <c r="Q15" i="1"/>
  <c r="M15" i="1"/>
  <c r="L15" i="1"/>
  <c r="V14" i="1"/>
  <c r="Z14" i="1" s="1"/>
  <c r="U14" i="1"/>
  <c r="T14" i="1"/>
  <c r="W14" i="1" s="1"/>
  <c r="S14" i="1"/>
  <c r="R14" i="1"/>
  <c r="Q14" i="1"/>
  <c r="M14" i="1"/>
  <c r="L14" i="1"/>
  <c r="V13" i="1"/>
  <c r="Z13" i="1" s="1"/>
  <c r="U13" i="1"/>
  <c r="T13" i="1"/>
  <c r="W13" i="1" s="1"/>
  <c r="S13" i="1"/>
  <c r="R13" i="1"/>
  <c r="Q13" i="1"/>
  <c r="M13" i="1"/>
  <c r="L13" i="1"/>
  <c r="V12" i="1"/>
  <c r="U12" i="1"/>
  <c r="T12" i="1"/>
  <c r="W12" i="1" s="1"/>
  <c r="S12" i="1"/>
  <c r="R12" i="1"/>
  <c r="Q12" i="1"/>
  <c r="M12" i="1"/>
  <c r="L12" i="1"/>
  <c r="V11" i="1"/>
  <c r="U11" i="1"/>
  <c r="T11" i="1"/>
  <c r="W11" i="1" s="1"/>
  <c r="S11" i="1"/>
  <c r="R11" i="1"/>
  <c r="Q11" i="1"/>
  <c r="M11" i="1"/>
  <c r="L11" i="1"/>
  <c r="V10" i="1"/>
  <c r="Z10" i="1" s="1"/>
  <c r="U10" i="1"/>
  <c r="T10" i="1"/>
  <c r="S10" i="1"/>
  <c r="R10" i="1"/>
  <c r="Q10" i="1"/>
  <c r="O10" i="1"/>
  <c r="M10" i="1"/>
  <c r="L10" i="1"/>
  <c r="V9" i="1"/>
  <c r="U9" i="1"/>
  <c r="T9" i="1"/>
  <c r="W9" i="1" s="1"/>
  <c r="S9" i="1"/>
  <c r="R9" i="1"/>
  <c r="Q9" i="1"/>
  <c r="M9" i="1"/>
  <c r="L9" i="1"/>
  <c r="V8" i="1"/>
  <c r="Z8" i="1" s="1"/>
  <c r="U8" i="1"/>
  <c r="T8" i="1"/>
  <c r="W8" i="1" s="1"/>
  <c r="S8" i="1"/>
  <c r="R8" i="1"/>
  <c r="Q8" i="1"/>
  <c r="M8" i="1"/>
  <c r="L8" i="1"/>
  <c r="V7" i="1"/>
  <c r="Z7" i="1" s="1"/>
  <c r="U7" i="1"/>
  <c r="T7" i="1"/>
  <c r="S7" i="1"/>
  <c r="R7" i="1"/>
  <c r="Q7" i="1"/>
  <c r="O7" i="1"/>
  <c r="M7" i="1"/>
  <c r="L7" i="1"/>
  <c r="V6" i="1"/>
  <c r="U6" i="1"/>
  <c r="T6" i="1"/>
  <c r="S6" i="1"/>
  <c r="R6" i="1"/>
  <c r="Q6" i="1"/>
  <c r="M6" i="1"/>
  <c r="L6" i="1"/>
  <c r="O5" i="1"/>
  <c r="W204" i="6"/>
  <c r="M204" i="6" s="1"/>
  <c r="O204" i="6"/>
  <c r="W203" i="6"/>
  <c r="M203" i="6" s="1"/>
  <c r="O203" i="6"/>
  <c r="W202" i="6"/>
  <c r="M202" i="6" s="1"/>
  <c r="O202" i="6"/>
  <c r="W201" i="6"/>
  <c r="M201" i="6" s="1"/>
  <c r="O201" i="6"/>
  <c r="W200" i="6"/>
  <c r="M200" i="6" s="1"/>
  <c r="O200" i="6"/>
  <c r="W199" i="6"/>
  <c r="M199" i="6" s="1"/>
  <c r="O199" i="6"/>
  <c r="W198" i="6"/>
  <c r="M198" i="6" s="1"/>
  <c r="O198" i="6"/>
  <c r="W197" i="6"/>
  <c r="O197" i="6"/>
  <c r="M197" i="6"/>
  <c r="W196" i="6"/>
  <c r="O196" i="6"/>
  <c r="M196" i="6"/>
  <c r="W195" i="6"/>
  <c r="O195" i="6"/>
  <c r="M195" i="6"/>
  <c r="W194" i="6"/>
  <c r="M194" i="6" s="1"/>
  <c r="O194" i="6"/>
  <c r="W193" i="6"/>
  <c r="M193" i="6" s="1"/>
  <c r="O193" i="6"/>
  <c r="W192" i="6"/>
  <c r="M192" i="6" s="1"/>
  <c r="O192" i="6"/>
  <c r="W191" i="6"/>
  <c r="O191" i="6"/>
  <c r="M191" i="6"/>
  <c r="W190" i="6"/>
  <c r="M190" i="6" s="1"/>
  <c r="O190" i="6"/>
  <c r="W189" i="6"/>
  <c r="M189" i="6" s="1"/>
  <c r="O189" i="6"/>
  <c r="W188" i="6"/>
  <c r="O188" i="6"/>
  <c r="M188" i="6"/>
  <c r="W187" i="6"/>
  <c r="M187" i="6" s="1"/>
  <c r="O187" i="6"/>
  <c r="W186" i="6"/>
  <c r="M186" i="6" s="1"/>
  <c r="O186" i="6"/>
  <c r="W185" i="6"/>
  <c r="M185" i="6" s="1"/>
  <c r="O185" i="6"/>
  <c r="W184" i="6"/>
  <c r="M184" i="6" s="1"/>
  <c r="O184" i="6"/>
  <c r="W183" i="6"/>
  <c r="M183" i="6" s="1"/>
  <c r="O183" i="6"/>
  <c r="W182" i="6"/>
  <c r="M182" i="6" s="1"/>
  <c r="O182" i="6"/>
  <c r="W181" i="6"/>
  <c r="M181" i="6" s="1"/>
  <c r="O181" i="6"/>
  <c r="W180" i="6"/>
  <c r="M180" i="6" s="1"/>
  <c r="O180" i="6"/>
  <c r="W179" i="6"/>
  <c r="O179" i="6"/>
  <c r="M179" i="6"/>
  <c r="W178" i="6"/>
  <c r="M178" i="6" s="1"/>
  <c r="O178" i="6"/>
  <c r="W177" i="6"/>
  <c r="M177" i="6" s="1"/>
  <c r="O177" i="6"/>
  <c r="W176" i="6"/>
  <c r="M176" i="6" s="1"/>
  <c r="O176" i="6"/>
  <c r="W175" i="6"/>
  <c r="M175" i="6" s="1"/>
  <c r="O175" i="6"/>
  <c r="W174" i="6"/>
  <c r="M174" i="6" s="1"/>
  <c r="O174" i="6"/>
  <c r="W173" i="6"/>
  <c r="M173" i="6" s="1"/>
  <c r="O173" i="6"/>
  <c r="W172" i="6"/>
  <c r="M172" i="6" s="1"/>
  <c r="O172" i="6"/>
  <c r="W171" i="6"/>
  <c r="M171" i="6" s="1"/>
  <c r="O171" i="6"/>
  <c r="W170" i="6"/>
  <c r="M170" i="6" s="1"/>
  <c r="O170" i="6"/>
  <c r="W169" i="6"/>
  <c r="M169" i="6" s="1"/>
  <c r="O169" i="6"/>
  <c r="W168" i="6"/>
  <c r="M168" i="6" s="1"/>
  <c r="O168" i="6"/>
  <c r="W167" i="6"/>
  <c r="M167" i="6" s="1"/>
  <c r="O167" i="6"/>
  <c r="W166" i="6"/>
  <c r="M166" i="6" s="1"/>
  <c r="O166" i="6"/>
  <c r="W165" i="6"/>
  <c r="O165" i="6"/>
  <c r="M165" i="6"/>
  <c r="W164" i="6"/>
  <c r="O164" i="6"/>
  <c r="M164" i="6"/>
  <c r="W163" i="6"/>
  <c r="M163" i="6" s="1"/>
  <c r="O163" i="6"/>
  <c r="W162" i="6"/>
  <c r="M162" i="6" s="1"/>
  <c r="O162" i="6"/>
  <c r="W161" i="6"/>
  <c r="O161" i="6"/>
  <c r="M161" i="6"/>
  <c r="W160" i="6"/>
  <c r="M160" i="6" s="1"/>
  <c r="O160" i="6"/>
  <c r="W159" i="6"/>
  <c r="O159" i="6"/>
  <c r="M159" i="6"/>
  <c r="W158" i="6"/>
  <c r="M158" i="6" s="1"/>
  <c r="O158" i="6"/>
  <c r="W157" i="6"/>
  <c r="M157" i="6" s="1"/>
  <c r="O157" i="6"/>
  <c r="W156" i="6"/>
  <c r="M156" i="6" s="1"/>
  <c r="O156" i="6"/>
  <c r="W155" i="6"/>
  <c r="O155" i="6"/>
  <c r="M155" i="6"/>
  <c r="W154" i="6"/>
  <c r="M154" i="6" s="1"/>
  <c r="O154" i="6"/>
  <c r="W153" i="6"/>
  <c r="M153" i="6" s="1"/>
  <c r="O153" i="6"/>
  <c r="W152" i="6"/>
  <c r="M152" i="6" s="1"/>
  <c r="O152" i="6"/>
  <c r="W151" i="6"/>
  <c r="M151" i="6" s="1"/>
  <c r="O151" i="6"/>
  <c r="W150" i="6"/>
  <c r="M150" i="6" s="1"/>
  <c r="O150" i="6"/>
  <c r="W149" i="6"/>
  <c r="O149" i="6"/>
  <c r="M149" i="6"/>
  <c r="W148" i="6"/>
  <c r="M148" i="6" s="1"/>
  <c r="O148" i="6"/>
  <c r="W147" i="6"/>
  <c r="M147" i="6" s="1"/>
  <c r="O147" i="6"/>
  <c r="W146" i="6"/>
  <c r="M146" i="6" s="1"/>
  <c r="O146" i="6"/>
  <c r="W145" i="6"/>
  <c r="O145" i="6"/>
  <c r="M145" i="6"/>
  <c r="W144" i="6"/>
  <c r="M144" i="6" s="1"/>
  <c r="O144" i="6"/>
  <c r="W143" i="6"/>
  <c r="M143" i="6" s="1"/>
  <c r="O143" i="6"/>
  <c r="W142" i="6"/>
  <c r="M142" i="6" s="1"/>
  <c r="O142" i="6"/>
  <c r="W141" i="6"/>
  <c r="O141" i="6"/>
  <c r="M141" i="6"/>
  <c r="W140" i="6"/>
  <c r="M140" i="6" s="1"/>
  <c r="O140" i="6"/>
  <c r="W139" i="6"/>
  <c r="M139" i="6" s="1"/>
  <c r="O139" i="6"/>
  <c r="W138" i="6"/>
  <c r="M138" i="6" s="1"/>
  <c r="O138" i="6"/>
  <c r="W137" i="6"/>
  <c r="O137" i="6"/>
  <c r="M137" i="6"/>
  <c r="W136" i="6"/>
  <c r="M136" i="6" s="1"/>
  <c r="O136" i="6"/>
  <c r="W135" i="6"/>
  <c r="M135" i="6" s="1"/>
  <c r="O135" i="6"/>
  <c r="W134" i="6"/>
  <c r="M134" i="6" s="1"/>
  <c r="O134" i="6"/>
  <c r="W133" i="6"/>
  <c r="M133" i="6" s="1"/>
  <c r="O133" i="6"/>
  <c r="W132" i="6"/>
  <c r="O132" i="6"/>
  <c r="M132" i="6"/>
  <c r="W131" i="6"/>
  <c r="O131" i="6"/>
  <c r="M131" i="6"/>
  <c r="W130" i="6"/>
  <c r="M130" i="6" s="1"/>
  <c r="O130" i="6"/>
  <c r="W129" i="6"/>
  <c r="M129" i="6" s="1"/>
  <c r="O129" i="6"/>
  <c r="W128" i="6"/>
  <c r="O128" i="6"/>
  <c r="M128" i="6"/>
  <c r="W127" i="6"/>
  <c r="O127" i="6"/>
  <c r="M127" i="6"/>
  <c r="W126" i="6"/>
  <c r="M126" i="6" s="1"/>
  <c r="O126" i="6"/>
  <c r="W125" i="6"/>
  <c r="O125" i="6"/>
  <c r="M125" i="6"/>
  <c r="W124" i="6"/>
  <c r="O124" i="6"/>
  <c r="M124" i="6"/>
  <c r="W123" i="6"/>
  <c r="M123" i="6" s="1"/>
  <c r="O123" i="6"/>
  <c r="W122" i="6"/>
  <c r="M122" i="6" s="1"/>
  <c r="O122" i="6"/>
  <c r="W121" i="6"/>
  <c r="M121" i="6" s="1"/>
  <c r="O121" i="6"/>
  <c r="W120" i="6"/>
  <c r="M120" i="6" s="1"/>
  <c r="O120" i="6"/>
  <c r="W119" i="6"/>
  <c r="M119" i="6" s="1"/>
  <c r="O119" i="6"/>
  <c r="W118" i="6"/>
  <c r="M118" i="6" s="1"/>
  <c r="O118" i="6"/>
  <c r="W117" i="6"/>
  <c r="O117" i="6"/>
  <c r="M117" i="6"/>
  <c r="W116" i="6"/>
  <c r="M116" i="6" s="1"/>
  <c r="O116" i="6"/>
  <c r="W115" i="6"/>
  <c r="M115" i="6" s="1"/>
  <c r="O115" i="6"/>
  <c r="W114" i="6"/>
  <c r="M114" i="6" s="1"/>
  <c r="O114" i="6"/>
  <c r="W113" i="6"/>
  <c r="M113" i="6" s="1"/>
  <c r="O113" i="6"/>
  <c r="W112" i="6"/>
  <c r="M112" i="6" s="1"/>
  <c r="O112" i="6"/>
  <c r="W111" i="6"/>
  <c r="M111" i="6" s="1"/>
  <c r="O111" i="6"/>
  <c r="W110" i="6"/>
  <c r="M110" i="6" s="1"/>
  <c r="O110" i="6"/>
  <c r="W109" i="6"/>
  <c r="M109" i="6" s="1"/>
  <c r="O109" i="6"/>
  <c r="W108" i="6"/>
  <c r="O108" i="6"/>
  <c r="M108" i="6"/>
  <c r="W107" i="6"/>
  <c r="M107" i="6" s="1"/>
  <c r="O107" i="6"/>
  <c r="W106" i="6"/>
  <c r="M106" i="6" s="1"/>
  <c r="O106" i="6"/>
  <c r="W105" i="6"/>
  <c r="M105" i="6" s="1"/>
  <c r="O105" i="6"/>
  <c r="W104" i="6"/>
  <c r="M104" i="6" s="1"/>
  <c r="O104" i="6"/>
  <c r="W103" i="6"/>
  <c r="O103" i="6"/>
  <c r="M103" i="6"/>
  <c r="W102" i="6"/>
  <c r="M102" i="6" s="1"/>
  <c r="O102" i="6"/>
  <c r="W101" i="6"/>
  <c r="M101" i="6" s="1"/>
  <c r="O101" i="6"/>
  <c r="W100" i="6"/>
  <c r="M100" i="6" s="1"/>
  <c r="O100" i="6"/>
  <c r="W99" i="6"/>
  <c r="O99" i="6"/>
  <c r="M99" i="6"/>
  <c r="W98" i="6"/>
  <c r="M98" i="6" s="1"/>
  <c r="O98" i="6"/>
  <c r="W97" i="6"/>
  <c r="M97" i="6" s="1"/>
  <c r="O97" i="6"/>
  <c r="W96" i="6"/>
  <c r="M96" i="6" s="1"/>
  <c r="O96" i="6"/>
  <c r="W95" i="6"/>
  <c r="O95" i="6"/>
  <c r="M95" i="6"/>
  <c r="W94" i="6"/>
  <c r="M94" i="6" s="1"/>
  <c r="O94" i="6"/>
  <c r="W93" i="6"/>
  <c r="M93" i="6" s="1"/>
  <c r="O93" i="6"/>
  <c r="W92" i="6"/>
  <c r="M92" i="6" s="1"/>
  <c r="O92" i="6"/>
  <c r="W91" i="6"/>
  <c r="O91" i="6"/>
  <c r="M91" i="6"/>
  <c r="W90" i="6"/>
  <c r="M90" i="6" s="1"/>
  <c r="O90" i="6"/>
  <c r="W89" i="6"/>
  <c r="M89" i="6" s="1"/>
  <c r="O89" i="6"/>
  <c r="W88" i="6"/>
  <c r="M88" i="6" s="1"/>
  <c r="O88" i="6"/>
  <c r="W87" i="6"/>
  <c r="M87" i="6" s="1"/>
  <c r="O87" i="6"/>
  <c r="W86" i="6"/>
  <c r="M86" i="6" s="1"/>
  <c r="O86" i="6"/>
  <c r="W85" i="6"/>
  <c r="O85" i="6"/>
  <c r="M85" i="6"/>
  <c r="W84" i="6"/>
  <c r="M84" i="6" s="1"/>
  <c r="O84" i="6"/>
  <c r="W83" i="6"/>
  <c r="M83" i="6" s="1"/>
  <c r="O83" i="6"/>
  <c r="W82" i="6"/>
  <c r="M82" i="6" s="1"/>
  <c r="O82" i="6"/>
  <c r="W81" i="6"/>
  <c r="O81" i="6"/>
  <c r="M81" i="6"/>
  <c r="W80" i="6"/>
  <c r="O80" i="6"/>
  <c r="M80" i="6"/>
  <c r="W79" i="6"/>
  <c r="M79" i="6" s="1"/>
  <c r="O79" i="6"/>
  <c r="W78" i="6"/>
  <c r="M78" i="6" s="1"/>
  <c r="O78" i="6"/>
  <c r="W77" i="6"/>
  <c r="O77" i="6"/>
  <c r="M77" i="6"/>
  <c r="W76" i="6"/>
  <c r="M76" i="6" s="1"/>
  <c r="O76" i="6"/>
  <c r="W75" i="6"/>
  <c r="M75" i="6" s="1"/>
  <c r="O75" i="6"/>
  <c r="W74" i="6"/>
  <c r="M74" i="6" s="1"/>
  <c r="O74" i="6"/>
  <c r="W73" i="6"/>
  <c r="M73" i="6" s="1"/>
  <c r="O73" i="6"/>
  <c r="W72" i="6"/>
  <c r="M72" i="6" s="1"/>
  <c r="O72" i="6"/>
  <c r="W71" i="6"/>
  <c r="M71" i="6" s="1"/>
  <c r="O71" i="6"/>
  <c r="W70" i="6"/>
  <c r="M70" i="6" s="1"/>
  <c r="O70" i="6"/>
  <c r="W69" i="6"/>
  <c r="O69" i="6"/>
  <c r="M69" i="6"/>
  <c r="W68" i="6"/>
  <c r="O68" i="6"/>
  <c r="M68" i="6"/>
  <c r="W67" i="6"/>
  <c r="O67" i="6"/>
  <c r="M67" i="6"/>
  <c r="W66" i="6"/>
  <c r="M66" i="6" s="1"/>
  <c r="O66" i="6"/>
  <c r="W65" i="6"/>
  <c r="M65" i="6" s="1"/>
  <c r="O65" i="6"/>
  <c r="W64" i="6"/>
  <c r="M64" i="6" s="1"/>
  <c r="O64" i="6"/>
  <c r="W63" i="6"/>
  <c r="M63" i="6" s="1"/>
  <c r="O63" i="6"/>
  <c r="W62" i="6"/>
  <c r="M62" i="6" s="1"/>
  <c r="O62" i="6"/>
  <c r="W61" i="6"/>
  <c r="M61" i="6" s="1"/>
  <c r="O61" i="6"/>
  <c r="W60" i="6"/>
  <c r="M60" i="6" s="1"/>
  <c r="O60" i="6"/>
  <c r="W59" i="6"/>
  <c r="M59" i="6" s="1"/>
  <c r="O59" i="6"/>
  <c r="W58" i="6"/>
  <c r="M58" i="6" s="1"/>
  <c r="O58" i="6"/>
  <c r="W57" i="6"/>
  <c r="M57" i="6" s="1"/>
  <c r="O57" i="6"/>
  <c r="W56" i="6"/>
  <c r="M56" i="6" s="1"/>
  <c r="O56" i="6"/>
  <c r="W55" i="6"/>
  <c r="M55" i="6" s="1"/>
  <c r="O55" i="6"/>
  <c r="W54" i="6"/>
  <c r="M54" i="6" s="1"/>
  <c r="O54" i="6"/>
  <c r="W53" i="6"/>
  <c r="O53" i="6"/>
  <c r="M53" i="6"/>
  <c r="W52" i="6"/>
  <c r="M52" i="6" s="1"/>
  <c r="O52" i="6"/>
  <c r="W51" i="6"/>
  <c r="M51" i="6" s="1"/>
  <c r="O51" i="6"/>
  <c r="W50" i="6"/>
  <c r="M50" i="6" s="1"/>
  <c r="O50" i="6"/>
  <c r="W49" i="6"/>
  <c r="M49" i="6" s="1"/>
  <c r="O49" i="6"/>
  <c r="W48" i="6"/>
  <c r="O48" i="6"/>
  <c r="M48" i="6"/>
  <c r="W47" i="6"/>
  <c r="M47" i="6" s="1"/>
  <c r="O47" i="6"/>
  <c r="W46" i="6"/>
  <c r="M46" i="6" s="1"/>
  <c r="O46" i="6"/>
  <c r="W45" i="6"/>
  <c r="M45" i="6" s="1"/>
  <c r="O45" i="6"/>
  <c r="W44" i="6"/>
  <c r="O44" i="6"/>
  <c r="M44" i="6"/>
  <c r="W43" i="6"/>
  <c r="M43" i="6" s="1"/>
  <c r="O43" i="6"/>
  <c r="W42" i="6"/>
  <c r="M42" i="6" s="1"/>
  <c r="O42" i="6"/>
  <c r="W41" i="6"/>
  <c r="M41" i="6" s="1"/>
  <c r="O41" i="6"/>
  <c r="W40" i="6"/>
  <c r="M40" i="6" s="1"/>
  <c r="O40" i="6"/>
  <c r="W39" i="6"/>
  <c r="O39" i="6"/>
  <c r="M39" i="6"/>
  <c r="W38" i="6"/>
  <c r="M38" i="6" s="1"/>
  <c r="O38" i="6"/>
  <c r="W37" i="6"/>
  <c r="M37" i="6" s="1"/>
  <c r="O37" i="6"/>
  <c r="W36" i="6"/>
  <c r="O36" i="6"/>
  <c r="M36" i="6"/>
  <c r="W35" i="6"/>
  <c r="O35" i="6"/>
  <c r="M35" i="6"/>
  <c r="W34" i="6"/>
  <c r="M34" i="6" s="1"/>
  <c r="O34" i="6"/>
  <c r="W33" i="6"/>
  <c r="O33" i="6"/>
  <c r="M33" i="6"/>
  <c r="W32" i="6"/>
  <c r="M32" i="6" s="1"/>
  <c r="O32" i="6"/>
  <c r="W31" i="6"/>
  <c r="M31" i="6" s="1"/>
  <c r="O31" i="6"/>
  <c r="W30" i="6"/>
  <c r="M30" i="6" s="1"/>
  <c r="O30" i="6"/>
  <c r="W29" i="6"/>
  <c r="M29" i="6" s="1"/>
  <c r="O29" i="6"/>
  <c r="W28" i="6"/>
  <c r="M28" i="6" s="1"/>
  <c r="O28" i="6"/>
  <c r="W27" i="6"/>
  <c r="O27" i="6"/>
  <c r="M27" i="6"/>
  <c r="W26" i="6"/>
  <c r="M26" i="6" s="1"/>
  <c r="O26" i="6"/>
  <c r="W25" i="6"/>
  <c r="M25" i="6" s="1"/>
  <c r="O25" i="6"/>
  <c r="W24" i="6"/>
  <c r="M24" i="6" s="1"/>
  <c r="O24" i="6"/>
  <c r="W23" i="6"/>
  <c r="M23" i="6" s="1"/>
  <c r="O23" i="6"/>
  <c r="W22" i="6"/>
  <c r="M22" i="6" s="1"/>
  <c r="O22" i="6"/>
  <c r="W21" i="6"/>
  <c r="M21" i="6" s="1"/>
  <c r="O21" i="6"/>
  <c r="W20" i="6"/>
  <c r="O20" i="6"/>
  <c r="M20" i="6"/>
  <c r="W19" i="6"/>
  <c r="M19" i="6" s="1"/>
  <c r="O19" i="6"/>
  <c r="W18" i="6"/>
  <c r="M18" i="6" s="1"/>
  <c r="O18" i="6"/>
  <c r="W17" i="6"/>
  <c r="O17" i="6"/>
  <c r="M17" i="6"/>
  <c r="W16" i="6"/>
  <c r="O16" i="6"/>
  <c r="M16" i="6"/>
  <c r="W15" i="6"/>
  <c r="M15" i="6" s="1"/>
  <c r="O15" i="6"/>
  <c r="W14" i="6"/>
  <c r="M14" i="6" s="1"/>
  <c r="O14" i="6"/>
  <c r="W13" i="6"/>
  <c r="O13" i="6"/>
  <c r="M13" i="6"/>
  <c r="W12" i="6"/>
  <c r="M12" i="6" s="1"/>
  <c r="O12" i="6"/>
  <c r="W11" i="6"/>
  <c r="M11" i="6" s="1"/>
  <c r="O11" i="6"/>
  <c r="W10" i="6"/>
  <c r="M10" i="6" s="1"/>
  <c r="O10" i="6"/>
  <c r="W9" i="6"/>
  <c r="M9" i="6" s="1"/>
  <c r="O9" i="6"/>
  <c r="W8" i="6"/>
  <c r="M8" i="6" s="1"/>
  <c r="O8" i="6"/>
  <c r="W7" i="6"/>
  <c r="M7" i="6" s="1"/>
  <c r="O7" i="6"/>
  <c r="W6" i="6"/>
  <c r="M6" i="6" s="1"/>
  <c r="O6" i="6"/>
  <c r="W5" i="6"/>
  <c r="M5" i="6" s="1"/>
  <c r="O5" i="6"/>
  <c r="O6" i="1" l="1"/>
  <c r="Z10004" i="1"/>
  <c r="W10004" i="1"/>
  <c r="Z10003" i="1"/>
  <c r="W10003" i="1"/>
  <c r="Z10002" i="1"/>
  <c r="W10002" i="1"/>
  <c r="Z10001" i="1"/>
  <c r="W10001" i="1"/>
  <c r="Z10000" i="1"/>
  <c r="W10000" i="1"/>
  <c r="Z9999" i="1"/>
  <c r="W9999" i="1"/>
  <c r="Z9998" i="1"/>
  <c r="W9998" i="1"/>
  <c r="Z9997" i="1"/>
  <c r="W9997" i="1"/>
  <c r="Z9996" i="1"/>
  <c r="W9996" i="1"/>
  <c r="Z9995" i="1"/>
  <c r="W9995" i="1"/>
  <c r="Z9994" i="1"/>
  <c r="W9994" i="1"/>
  <c r="Z9993" i="1"/>
  <c r="W9993" i="1"/>
  <c r="Z9992" i="1"/>
  <c r="W9992" i="1"/>
  <c r="Z9991" i="1"/>
  <c r="W9991" i="1"/>
  <c r="Z9990" i="1"/>
  <c r="W9990" i="1"/>
  <c r="Z9989" i="1"/>
  <c r="W9989" i="1"/>
  <c r="Z9988" i="1"/>
  <c r="W9988" i="1"/>
  <c r="Z9987" i="1"/>
  <c r="W9987" i="1"/>
  <c r="Z9986" i="1"/>
  <c r="W9986" i="1"/>
  <c r="Z9985" i="1"/>
  <c r="W9985" i="1"/>
  <c r="Z9984" i="1"/>
  <c r="W9984" i="1"/>
  <c r="Z9983" i="1"/>
  <c r="W9983" i="1"/>
  <c r="Z9982" i="1"/>
  <c r="W9982" i="1"/>
  <c r="Z9981" i="1"/>
  <c r="W9981" i="1"/>
  <c r="Z9980" i="1"/>
  <c r="W9980" i="1"/>
  <c r="Z9979" i="1"/>
  <c r="W9979" i="1"/>
  <c r="Z9978" i="1"/>
  <c r="W9978" i="1"/>
  <c r="Z9977" i="1"/>
  <c r="W9977" i="1"/>
  <c r="Z9976" i="1"/>
  <c r="W9976" i="1"/>
  <c r="Z9975" i="1"/>
  <c r="W9975" i="1"/>
  <c r="Z9974" i="1"/>
  <c r="W9974" i="1"/>
  <c r="Z9973" i="1"/>
  <c r="W9973" i="1"/>
  <c r="Z9972" i="1"/>
  <c r="W9972" i="1"/>
  <c r="Z9971" i="1"/>
  <c r="W9971" i="1"/>
  <c r="Z9970" i="1"/>
  <c r="W9970" i="1"/>
  <c r="Z9969" i="1"/>
  <c r="W9969" i="1"/>
  <c r="Z9968" i="1"/>
  <c r="W9968" i="1"/>
  <c r="Z9967" i="1"/>
  <c r="W9967" i="1"/>
  <c r="Z9966" i="1"/>
  <c r="W9966" i="1"/>
  <c r="Z9965" i="1"/>
  <c r="W9965" i="1"/>
  <c r="Z9964" i="1"/>
  <c r="W9964" i="1"/>
  <c r="Z9963" i="1"/>
  <c r="W9963" i="1"/>
  <c r="Z9962" i="1"/>
  <c r="W9962" i="1"/>
  <c r="Z9961" i="1"/>
  <c r="W9961" i="1"/>
  <c r="Z9960" i="1"/>
  <c r="W9960" i="1"/>
  <c r="Z9959" i="1"/>
  <c r="W9959" i="1"/>
  <c r="Z9958" i="1"/>
  <c r="W9958" i="1"/>
  <c r="Z9957" i="1"/>
  <c r="W9957" i="1"/>
  <c r="Z9956" i="1"/>
  <c r="W9956" i="1"/>
  <c r="Z9955" i="1"/>
  <c r="W9955" i="1"/>
  <c r="Z9954" i="1"/>
  <c r="W9954" i="1"/>
  <c r="Z9953" i="1"/>
  <c r="W9953" i="1"/>
  <c r="Z9952" i="1"/>
  <c r="W9952" i="1"/>
  <c r="Z9951" i="1"/>
  <c r="W9951" i="1"/>
  <c r="Z9950" i="1"/>
  <c r="W9950" i="1"/>
  <c r="Z9949" i="1"/>
  <c r="W9949" i="1"/>
  <c r="Z9948" i="1"/>
  <c r="W9948" i="1"/>
  <c r="Z9947" i="1"/>
  <c r="W9947" i="1"/>
  <c r="Z9946" i="1"/>
  <c r="W9946" i="1"/>
  <c r="Z9945" i="1"/>
  <c r="W9945" i="1"/>
  <c r="Z9944" i="1"/>
  <c r="W9944" i="1"/>
  <c r="Z9943" i="1"/>
  <c r="W9943" i="1"/>
  <c r="Z9942" i="1"/>
  <c r="W9942" i="1"/>
  <c r="Z9941" i="1"/>
  <c r="W9941" i="1"/>
  <c r="Z9940" i="1"/>
  <c r="W9940" i="1"/>
  <c r="Z9939" i="1"/>
  <c r="W9939" i="1"/>
  <c r="Z9938" i="1"/>
  <c r="W9938" i="1"/>
  <c r="Z9937" i="1"/>
  <c r="W9937" i="1"/>
  <c r="Z9936" i="1"/>
  <c r="W9936" i="1"/>
  <c r="Z9935" i="1"/>
  <c r="W9935" i="1"/>
  <c r="Z9934" i="1"/>
  <c r="W9934" i="1"/>
  <c r="Z9933" i="1"/>
  <c r="W9933" i="1"/>
  <c r="Z9932" i="1"/>
  <c r="W9932" i="1"/>
  <c r="Z9931" i="1"/>
  <c r="W9931" i="1"/>
  <c r="Z9930" i="1"/>
  <c r="W9930" i="1"/>
  <c r="Z9929" i="1"/>
  <c r="W9929" i="1"/>
  <c r="Z9928" i="1"/>
  <c r="W9928" i="1"/>
  <c r="Z9927" i="1"/>
  <c r="W9927" i="1"/>
  <c r="Z9926" i="1"/>
  <c r="W9926" i="1"/>
  <c r="Z9925" i="1"/>
  <c r="W9925" i="1"/>
  <c r="Z9924" i="1"/>
  <c r="W9924" i="1"/>
  <c r="Z9923" i="1"/>
  <c r="W9923" i="1"/>
  <c r="Z9922" i="1"/>
  <c r="W9922" i="1"/>
  <c r="Z9921" i="1"/>
  <c r="W9921" i="1"/>
  <c r="Z9920" i="1"/>
  <c r="W9920" i="1"/>
  <c r="Z9919" i="1"/>
  <c r="W9919" i="1"/>
  <c r="Z9918" i="1"/>
  <c r="W9918" i="1"/>
  <c r="Z9917" i="1"/>
  <c r="W9917" i="1"/>
  <c r="Z9916" i="1"/>
  <c r="W9916" i="1"/>
  <c r="Z9915" i="1"/>
  <c r="W9915" i="1"/>
  <c r="Z9914" i="1"/>
  <c r="W9914" i="1"/>
  <c r="Z9913" i="1"/>
  <c r="W9913" i="1"/>
  <c r="Z9912" i="1"/>
  <c r="W9912" i="1"/>
  <c r="Z9911" i="1"/>
  <c r="W9911" i="1"/>
  <c r="Z9910" i="1"/>
  <c r="W9910" i="1"/>
  <c r="Z9909" i="1"/>
  <c r="W9909" i="1"/>
  <c r="Z9908" i="1"/>
  <c r="W9908" i="1"/>
  <c r="Z9907" i="1"/>
  <c r="W9907" i="1"/>
  <c r="Z9906" i="1"/>
  <c r="W9906" i="1"/>
  <c r="Z9905" i="1"/>
  <c r="W9905" i="1"/>
  <c r="Z9904" i="1"/>
  <c r="W9904" i="1"/>
  <c r="Z9903" i="1"/>
  <c r="W9903" i="1"/>
  <c r="Z9902" i="1"/>
  <c r="W9902" i="1"/>
  <c r="Z9901" i="1"/>
  <c r="W9901" i="1"/>
  <c r="Z9900" i="1"/>
  <c r="W9900" i="1"/>
  <c r="Z9899" i="1"/>
  <c r="W9899" i="1"/>
  <c r="Z9898" i="1"/>
  <c r="W9898" i="1"/>
  <c r="Z9897" i="1"/>
  <c r="W9897" i="1"/>
  <c r="Z9896" i="1"/>
  <c r="W9896" i="1"/>
  <c r="Z9895" i="1"/>
  <c r="W9895" i="1"/>
  <c r="Z9894" i="1"/>
  <c r="W9894" i="1"/>
  <c r="Z9893" i="1"/>
  <c r="W9893" i="1"/>
  <c r="Z9892" i="1"/>
  <c r="W9892" i="1"/>
  <c r="Z9891" i="1"/>
  <c r="W9891" i="1"/>
  <c r="Z9890" i="1"/>
  <c r="W9890" i="1"/>
  <c r="Z9889" i="1"/>
  <c r="W9889" i="1"/>
  <c r="Z9888" i="1"/>
  <c r="W9888" i="1"/>
  <c r="Z9887" i="1"/>
  <c r="W9887" i="1"/>
  <c r="Z9886" i="1"/>
  <c r="W9886" i="1"/>
  <c r="Z9885" i="1"/>
  <c r="W9885" i="1"/>
  <c r="Z9884" i="1"/>
  <c r="W9884" i="1"/>
  <c r="Z9883" i="1"/>
  <c r="W9883" i="1"/>
  <c r="Z9882" i="1"/>
  <c r="W9882" i="1"/>
  <c r="Z9881" i="1"/>
  <c r="W9881" i="1"/>
  <c r="Z9880" i="1"/>
  <c r="W9880" i="1"/>
  <c r="Z9879" i="1"/>
  <c r="W9879" i="1"/>
  <c r="Z9878" i="1"/>
  <c r="W9878" i="1"/>
  <c r="Z9877" i="1"/>
  <c r="W9877" i="1"/>
  <c r="Z9876" i="1"/>
  <c r="W9876" i="1"/>
  <c r="Z9875" i="1"/>
  <c r="W9875" i="1"/>
  <c r="Z9874" i="1"/>
  <c r="W9874" i="1"/>
  <c r="Z9873" i="1"/>
  <c r="W9873" i="1"/>
  <c r="Z9872" i="1"/>
  <c r="W9872" i="1"/>
  <c r="Z9871" i="1"/>
  <c r="W9871" i="1"/>
  <c r="Z9870" i="1"/>
  <c r="W9870" i="1"/>
  <c r="Z9869" i="1"/>
  <c r="W9869" i="1"/>
  <c r="Z9868" i="1"/>
  <c r="W9868" i="1"/>
  <c r="Z9867" i="1"/>
  <c r="W9867" i="1"/>
  <c r="Z9866" i="1"/>
  <c r="W9866" i="1"/>
  <c r="Z9865" i="1"/>
  <c r="W9865" i="1"/>
  <c r="Z9864" i="1"/>
  <c r="W9864" i="1"/>
  <c r="Z9863" i="1"/>
  <c r="W9863" i="1"/>
  <c r="Z9862" i="1"/>
  <c r="W9862" i="1"/>
  <c r="Z9861" i="1"/>
  <c r="W9861" i="1"/>
  <c r="Z9860" i="1"/>
  <c r="W9860" i="1"/>
  <c r="Z9859" i="1"/>
  <c r="W9859" i="1"/>
  <c r="Z9858" i="1"/>
  <c r="W9858" i="1"/>
  <c r="Z9857" i="1"/>
  <c r="W9857" i="1"/>
  <c r="Z9856" i="1"/>
  <c r="W9856" i="1"/>
  <c r="Z9855" i="1"/>
  <c r="W9855" i="1"/>
  <c r="Z9854" i="1"/>
  <c r="W9854" i="1"/>
  <c r="Z9853" i="1"/>
  <c r="W9853" i="1"/>
  <c r="Z9852" i="1"/>
  <c r="W9852" i="1"/>
  <c r="Z9851" i="1"/>
  <c r="W9851" i="1"/>
  <c r="Z9850" i="1"/>
  <c r="W9850" i="1"/>
  <c r="Z9849" i="1"/>
  <c r="W9849" i="1"/>
  <c r="Z9848" i="1"/>
  <c r="W9848" i="1"/>
  <c r="Z9847" i="1"/>
  <c r="W9847" i="1"/>
  <c r="Z9846" i="1"/>
  <c r="W9846" i="1"/>
  <c r="Z9845" i="1"/>
  <c r="W9845" i="1"/>
  <c r="Z9844" i="1"/>
  <c r="W9844" i="1"/>
  <c r="Z9843" i="1"/>
  <c r="W9843" i="1"/>
  <c r="Z9842" i="1"/>
  <c r="W9842" i="1"/>
  <c r="Z9841" i="1"/>
  <c r="W9841" i="1"/>
  <c r="Z9840" i="1"/>
  <c r="W9840" i="1"/>
  <c r="Z9839" i="1"/>
  <c r="W9839" i="1"/>
  <c r="Z9838" i="1"/>
  <c r="W9838" i="1"/>
  <c r="Z9837" i="1"/>
  <c r="W9837" i="1"/>
  <c r="Z9836" i="1"/>
  <c r="W9836" i="1"/>
  <c r="Z9835" i="1"/>
  <c r="W9835" i="1"/>
  <c r="Z9834" i="1"/>
  <c r="W9834" i="1"/>
  <c r="Z9833" i="1"/>
  <c r="W9833" i="1"/>
  <c r="Z9832" i="1"/>
  <c r="W9832" i="1"/>
  <c r="Z9831" i="1"/>
  <c r="W9831" i="1"/>
  <c r="Z9830" i="1"/>
  <c r="W9830" i="1"/>
  <c r="Z9829" i="1"/>
  <c r="W9829" i="1"/>
  <c r="Z9828" i="1"/>
  <c r="W9828" i="1"/>
  <c r="Z9827" i="1"/>
  <c r="W9827" i="1"/>
  <c r="Z9826" i="1"/>
  <c r="W9826" i="1"/>
  <c r="Z9825" i="1"/>
  <c r="W9825" i="1"/>
  <c r="Z9824" i="1"/>
  <c r="W9824" i="1"/>
  <c r="Z9823" i="1"/>
  <c r="W9823" i="1"/>
  <c r="Z9822" i="1"/>
  <c r="W9822" i="1"/>
  <c r="Z9821" i="1"/>
  <c r="W9821" i="1"/>
  <c r="Z9820" i="1"/>
  <c r="W9820" i="1"/>
  <c r="Z9819" i="1"/>
  <c r="W9819" i="1"/>
  <c r="Z9818" i="1"/>
  <c r="W9818" i="1"/>
  <c r="Z9817" i="1"/>
  <c r="W9817" i="1"/>
  <c r="Z9816" i="1"/>
  <c r="W9816" i="1"/>
  <c r="Z9815" i="1"/>
  <c r="W9815" i="1"/>
  <c r="Z9814" i="1"/>
  <c r="W9814" i="1"/>
  <c r="Z9813" i="1"/>
  <c r="W9813" i="1"/>
  <c r="Z9812" i="1"/>
  <c r="W9812" i="1"/>
  <c r="Z9811" i="1"/>
  <c r="W9811" i="1"/>
  <c r="Z9810" i="1"/>
  <c r="W9810" i="1"/>
  <c r="Z9809" i="1"/>
  <c r="W9809" i="1"/>
  <c r="Z9808" i="1"/>
  <c r="W9808" i="1"/>
  <c r="Z9807" i="1"/>
  <c r="W9807" i="1"/>
  <c r="Z9806" i="1"/>
  <c r="W9806" i="1"/>
  <c r="Z9805" i="1"/>
  <c r="W9805" i="1"/>
  <c r="Z9804" i="1"/>
  <c r="W9804" i="1"/>
  <c r="Z9803" i="1"/>
  <c r="W9803" i="1"/>
  <c r="Z9802" i="1"/>
  <c r="W9802" i="1"/>
  <c r="Z9801" i="1"/>
  <c r="W9801" i="1"/>
  <c r="Z9800" i="1"/>
  <c r="W9800" i="1"/>
  <c r="Z9799" i="1"/>
  <c r="W9799" i="1"/>
  <c r="Z9798" i="1"/>
  <c r="W9798" i="1"/>
  <c r="Z9797" i="1"/>
  <c r="W9797" i="1"/>
  <c r="Z9796" i="1"/>
  <c r="W9796" i="1"/>
  <c r="Z9795" i="1"/>
  <c r="W9795" i="1"/>
  <c r="Z9794" i="1"/>
  <c r="W9794" i="1"/>
  <c r="Z9793" i="1"/>
  <c r="W9793" i="1"/>
  <c r="Z9792" i="1"/>
  <c r="W9792" i="1"/>
  <c r="Z9791" i="1"/>
  <c r="W9791" i="1"/>
  <c r="Z9790" i="1"/>
  <c r="W9790" i="1"/>
  <c r="Z9789" i="1"/>
  <c r="W9789" i="1"/>
  <c r="Z9788" i="1"/>
  <c r="W9788" i="1"/>
  <c r="Z9787" i="1"/>
  <c r="W9787" i="1"/>
  <c r="Z9786" i="1"/>
  <c r="W9786" i="1"/>
  <c r="Z9785" i="1"/>
  <c r="W9785" i="1"/>
  <c r="Z9784" i="1"/>
  <c r="W9784" i="1"/>
  <c r="Z9783" i="1"/>
  <c r="W9783" i="1"/>
  <c r="Z9782" i="1"/>
  <c r="W9782" i="1"/>
  <c r="Z9781" i="1"/>
  <c r="W9781" i="1"/>
  <c r="Z9780" i="1"/>
  <c r="W9780" i="1"/>
  <c r="Z9779" i="1"/>
  <c r="W9779" i="1"/>
  <c r="Z9778" i="1"/>
  <c r="W9778" i="1"/>
  <c r="Z9777" i="1"/>
  <c r="W9777" i="1"/>
  <c r="Z9776" i="1"/>
  <c r="W9776" i="1"/>
  <c r="Z9775" i="1"/>
  <c r="W9775" i="1"/>
  <c r="Z9774" i="1"/>
  <c r="W9774" i="1"/>
  <c r="Z9773" i="1"/>
  <c r="W9773" i="1"/>
  <c r="Z9772" i="1"/>
  <c r="W9772" i="1"/>
  <c r="Z9771" i="1"/>
  <c r="W9771" i="1"/>
  <c r="Z9770" i="1"/>
  <c r="W9770" i="1"/>
  <c r="Z9769" i="1"/>
  <c r="W9769" i="1"/>
  <c r="Z9768" i="1"/>
  <c r="W9768" i="1"/>
  <c r="Z9767" i="1"/>
  <c r="W9767" i="1"/>
  <c r="Z9766" i="1"/>
  <c r="W9766" i="1"/>
  <c r="Z9765" i="1"/>
  <c r="W9765" i="1"/>
  <c r="Z9764" i="1"/>
  <c r="W9764" i="1"/>
  <c r="Z9763" i="1"/>
  <c r="W9763" i="1"/>
  <c r="Z9762" i="1"/>
  <c r="W9762" i="1"/>
  <c r="Z9761" i="1"/>
  <c r="W9761" i="1"/>
  <c r="Z9760" i="1"/>
  <c r="W9760" i="1"/>
  <c r="Z9759" i="1"/>
  <c r="W9759" i="1"/>
  <c r="Z9758" i="1"/>
  <c r="W9758" i="1"/>
  <c r="Z9757" i="1"/>
  <c r="W9757" i="1"/>
  <c r="Z9756" i="1"/>
  <c r="W9756" i="1"/>
  <c r="Z9755" i="1"/>
  <c r="W9755" i="1"/>
  <c r="Z9754" i="1"/>
  <c r="W9754" i="1"/>
  <c r="Z9753" i="1"/>
  <c r="W9753" i="1"/>
  <c r="Z9752" i="1"/>
  <c r="W9752" i="1"/>
  <c r="Z9751" i="1"/>
  <c r="W9751" i="1"/>
  <c r="Z9750" i="1"/>
  <c r="W9750" i="1"/>
  <c r="Z9749" i="1"/>
  <c r="W9749" i="1"/>
  <c r="Z9748" i="1"/>
  <c r="W9748" i="1"/>
  <c r="Z9747" i="1"/>
  <c r="W9747" i="1"/>
  <c r="Z9746" i="1"/>
  <c r="W9746" i="1"/>
  <c r="Z9745" i="1"/>
  <c r="W9745" i="1"/>
  <c r="Z9744" i="1"/>
  <c r="W9744" i="1"/>
  <c r="Z9743" i="1"/>
  <c r="W9743" i="1"/>
  <c r="Z9742" i="1"/>
  <c r="W9742" i="1"/>
  <c r="Z9741" i="1"/>
  <c r="W9741" i="1"/>
  <c r="Z9740" i="1"/>
  <c r="W9740" i="1"/>
  <c r="Z9739" i="1"/>
  <c r="W9739" i="1"/>
  <c r="Z9738" i="1"/>
  <c r="W9738" i="1"/>
  <c r="Z9737" i="1"/>
  <c r="W9737" i="1"/>
  <c r="Z9736" i="1"/>
  <c r="W9736" i="1"/>
  <c r="Z9735" i="1"/>
  <c r="W9735" i="1"/>
  <c r="Z9734" i="1"/>
  <c r="W9734" i="1"/>
  <c r="Z9733" i="1"/>
  <c r="W9733" i="1"/>
  <c r="Z9732" i="1"/>
  <c r="W9732" i="1"/>
  <c r="Z9731" i="1"/>
  <c r="W9731" i="1"/>
  <c r="Z9730" i="1"/>
  <c r="W9730" i="1"/>
  <c r="Z9729" i="1"/>
  <c r="W9729" i="1"/>
  <c r="Z9728" i="1"/>
  <c r="W9728" i="1"/>
  <c r="Z9727" i="1"/>
  <c r="W9727" i="1"/>
  <c r="Z9726" i="1"/>
  <c r="W9726" i="1"/>
  <c r="Z9725" i="1"/>
  <c r="W9725" i="1"/>
  <c r="Z9724" i="1"/>
  <c r="W9724" i="1"/>
  <c r="Z9723" i="1"/>
  <c r="W9723" i="1"/>
  <c r="Z9722" i="1"/>
  <c r="W9722" i="1"/>
  <c r="Z9721" i="1"/>
  <c r="W9721" i="1"/>
  <c r="Z9720" i="1"/>
  <c r="W9720" i="1"/>
  <c r="Z9719" i="1"/>
  <c r="W9719" i="1"/>
  <c r="Z9718" i="1"/>
  <c r="W9718" i="1"/>
  <c r="Z9717" i="1"/>
  <c r="W9717" i="1"/>
  <c r="Z9716" i="1"/>
  <c r="W9716" i="1"/>
  <c r="Z9715" i="1"/>
  <c r="W9715" i="1"/>
  <c r="Z9714" i="1"/>
  <c r="W9714" i="1"/>
  <c r="Z9713" i="1"/>
  <c r="W9713" i="1"/>
  <c r="Z9712" i="1"/>
  <c r="W9712" i="1"/>
  <c r="Z9711" i="1"/>
  <c r="W9711" i="1"/>
  <c r="Z9710" i="1"/>
  <c r="W9710" i="1"/>
  <c r="Z9709" i="1"/>
  <c r="W9709" i="1"/>
  <c r="Z9708" i="1"/>
  <c r="W9708" i="1"/>
  <c r="Z9707" i="1"/>
  <c r="W9707" i="1"/>
  <c r="Z9706" i="1"/>
  <c r="W9706" i="1"/>
  <c r="Z9705" i="1"/>
  <c r="W9705" i="1"/>
  <c r="Z9704" i="1"/>
  <c r="W9704" i="1"/>
  <c r="Z9703" i="1"/>
  <c r="W9703" i="1"/>
  <c r="Z9702" i="1"/>
  <c r="W9702" i="1"/>
  <c r="Z9701" i="1"/>
  <c r="W9701" i="1"/>
  <c r="Z9700" i="1"/>
  <c r="W9700" i="1"/>
  <c r="Z9699" i="1"/>
  <c r="W9699" i="1"/>
  <c r="Z9698" i="1"/>
  <c r="W9698" i="1"/>
  <c r="Z9697" i="1"/>
  <c r="W9697" i="1"/>
  <c r="Z9696" i="1"/>
  <c r="W9696" i="1"/>
  <c r="Z9695" i="1"/>
  <c r="W9695" i="1"/>
  <c r="Z9694" i="1"/>
  <c r="W9694" i="1"/>
  <c r="Z9693" i="1"/>
  <c r="W9693" i="1"/>
  <c r="Z9692" i="1"/>
  <c r="W9692" i="1"/>
  <c r="Z9691" i="1"/>
  <c r="W9691" i="1"/>
  <c r="Z9690" i="1"/>
  <c r="W9690" i="1"/>
  <c r="Z9689" i="1"/>
  <c r="W9689" i="1"/>
  <c r="Z9688" i="1"/>
  <c r="W9688" i="1"/>
  <c r="Z9687" i="1"/>
  <c r="W9687" i="1"/>
  <c r="Z9686" i="1"/>
  <c r="W9686" i="1"/>
  <c r="Z9685" i="1"/>
  <c r="W9685" i="1"/>
  <c r="Z9684" i="1"/>
  <c r="W9684" i="1"/>
  <c r="Z9683" i="1"/>
  <c r="W9683" i="1"/>
  <c r="Z9682" i="1"/>
  <c r="W9682" i="1"/>
  <c r="Z9681" i="1"/>
  <c r="W9681" i="1"/>
  <c r="Z9680" i="1"/>
  <c r="W9680" i="1"/>
  <c r="Z9679" i="1"/>
  <c r="W9679" i="1"/>
  <c r="Z9678" i="1"/>
  <c r="W9678" i="1"/>
  <c r="Z9677" i="1"/>
  <c r="W9677" i="1"/>
  <c r="Z9676" i="1"/>
  <c r="W9676" i="1"/>
  <c r="Z9675" i="1"/>
  <c r="W9675" i="1"/>
  <c r="Z9674" i="1"/>
  <c r="W9674" i="1"/>
  <c r="Z9673" i="1"/>
  <c r="W9673" i="1"/>
  <c r="Z9672" i="1"/>
  <c r="W9672" i="1"/>
  <c r="Z9671" i="1"/>
  <c r="W9671" i="1"/>
  <c r="Z9670" i="1"/>
  <c r="W9670" i="1"/>
  <c r="Z9669" i="1"/>
  <c r="W9669" i="1"/>
  <c r="Z9668" i="1"/>
  <c r="W9668" i="1"/>
  <c r="Z9667" i="1"/>
  <c r="W9667" i="1"/>
  <c r="Z9666" i="1"/>
  <c r="W9666" i="1"/>
  <c r="Z9665" i="1"/>
  <c r="W9665" i="1"/>
  <c r="Z9664" i="1"/>
  <c r="W9664" i="1"/>
  <c r="Z9663" i="1"/>
  <c r="W9663" i="1"/>
  <c r="Z9662" i="1"/>
  <c r="W9662" i="1"/>
  <c r="Z9661" i="1"/>
  <c r="W9661" i="1"/>
  <c r="Z9660" i="1"/>
  <c r="W9660" i="1"/>
  <c r="Z9659" i="1"/>
  <c r="W9659" i="1"/>
  <c r="Z9658" i="1"/>
  <c r="W9658" i="1"/>
  <c r="Z9657" i="1"/>
  <c r="W9657" i="1"/>
  <c r="Z9656" i="1"/>
  <c r="W9656" i="1"/>
  <c r="Z9655" i="1"/>
  <c r="W9655" i="1"/>
  <c r="Z9654" i="1"/>
  <c r="W9654" i="1"/>
  <c r="Z9653" i="1"/>
  <c r="W9653" i="1"/>
  <c r="Z9652" i="1"/>
  <c r="W9652" i="1"/>
  <c r="Z9651" i="1"/>
  <c r="W9651" i="1"/>
  <c r="Z9650" i="1"/>
  <c r="W9650" i="1"/>
  <c r="Z9649" i="1"/>
  <c r="W9649" i="1"/>
  <c r="Z9648" i="1"/>
  <c r="W9648" i="1"/>
  <c r="Z9647" i="1"/>
  <c r="W9647" i="1"/>
  <c r="Z9646" i="1"/>
  <c r="W9646" i="1"/>
  <c r="Z9645" i="1"/>
  <c r="W9645" i="1"/>
  <c r="Z9644" i="1"/>
  <c r="W9644" i="1"/>
  <c r="Z9643" i="1"/>
  <c r="W9643" i="1"/>
  <c r="Z9642" i="1"/>
  <c r="W9642" i="1"/>
  <c r="Z9641" i="1"/>
  <c r="W9641" i="1"/>
  <c r="Z9640" i="1"/>
  <c r="W9640" i="1"/>
  <c r="Z9639" i="1"/>
  <c r="W9639" i="1"/>
  <c r="Z9638" i="1"/>
  <c r="W9638" i="1"/>
  <c r="Z9637" i="1"/>
  <c r="W9637" i="1"/>
  <c r="Z9636" i="1"/>
  <c r="W9636" i="1"/>
  <c r="Z9635" i="1"/>
  <c r="W9635" i="1"/>
  <c r="Z9634" i="1"/>
  <c r="W9634" i="1"/>
  <c r="Z9633" i="1"/>
  <c r="W9633" i="1"/>
  <c r="Z9632" i="1"/>
  <c r="W9632" i="1"/>
  <c r="Z9631" i="1"/>
  <c r="W9631" i="1"/>
  <c r="Z9630" i="1"/>
  <c r="W9630" i="1"/>
  <c r="Z9629" i="1"/>
  <c r="W9629" i="1"/>
  <c r="Z9628" i="1"/>
  <c r="W9628" i="1"/>
  <c r="Z9627" i="1"/>
  <c r="W9627" i="1"/>
  <c r="Z9626" i="1"/>
  <c r="W9626" i="1"/>
  <c r="Z9625" i="1"/>
  <c r="W9625" i="1"/>
  <c r="Z9624" i="1"/>
  <c r="W9624" i="1"/>
  <c r="Z9623" i="1"/>
  <c r="W9623" i="1"/>
  <c r="Z9622" i="1"/>
  <c r="W9622" i="1"/>
  <c r="Z9621" i="1"/>
  <c r="W9621" i="1"/>
  <c r="Z9620" i="1"/>
  <c r="W9620" i="1"/>
  <c r="Z9619" i="1"/>
  <c r="W9619" i="1"/>
  <c r="Z9618" i="1"/>
  <c r="W9618" i="1"/>
  <c r="Z9617" i="1"/>
  <c r="W9617" i="1"/>
  <c r="Z9616" i="1"/>
  <c r="W9616" i="1"/>
  <c r="Z9615" i="1"/>
  <c r="W9615" i="1"/>
  <c r="Z9614" i="1"/>
  <c r="W9614" i="1"/>
  <c r="Z9613" i="1"/>
  <c r="W9613" i="1"/>
  <c r="Z9612" i="1"/>
  <c r="W9612" i="1"/>
  <c r="Z9611" i="1"/>
  <c r="W9611" i="1"/>
  <c r="Z9610" i="1"/>
  <c r="W9610" i="1"/>
  <c r="Z9609" i="1"/>
  <c r="W9609" i="1"/>
  <c r="Z9608" i="1"/>
  <c r="W9608" i="1"/>
  <c r="Z9607" i="1"/>
  <c r="W9607" i="1"/>
  <c r="Z9606" i="1"/>
  <c r="W9606" i="1"/>
  <c r="Z9605" i="1"/>
  <c r="W9605" i="1"/>
  <c r="Z9604" i="1"/>
  <c r="W9604" i="1"/>
  <c r="Z9603" i="1"/>
  <c r="W9603" i="1"/>
  <c r="Z9602" i="1"/>
  <c r="W9602" i="1"/>
  <c r="Z9601" i="1"/>
  <c r="W9601" i="1"/>
  <c r="Z9600" i="1"/>
  <c r="W9600" i="1"/>
  <c r="Z9599" i="1"/>
  <c r="W9599" i="1"/>
  <c r="Z9598" i="1"/>
  <c r="W9598" i="1"/>
  <c r="Z9597" i="1"/>
  <c r="W9597" i="1"/>
  <c r="Z9596" i="1"/>
  <c r="W9596" i="1"/>
  <c r="Z9595" i="1"/>
  <c r="W9595" i="1"/>
  <c r="Z9594" i="1"/>
  <c r="W9594" i="1"/>
  <c r="Z9593" i="1"/>
  <c r="W9593" i="1"/>
  <c r="Z9592" i="1"/>
  <c r="W9592" i="1"/>
  <c r="Z9591" i="1"/>
  <c r="W9591" i="1"/>
  <c r="Z9590" i="1"/>
  <c r="W9590" i="1"/>
  <c r="Z9589" i="1"/>
  <c r="W9589" i="1"/>
  <c r="Z9588" i="1"/>
  <c r="W9588" i="1"/>
  <c r="Z9587" i="1"/>
  <c r="W9587" i="1"/>
  <c r="Z9586" i="1"/>
  <c r="W9586" i="1"/>
  <c r="Z9585" i="1"/>
  <c r="W9585" i="1"/>
  <c r="Z9584" i="1"/>
  <c r="W9584" i="1"/>
  <c r="Z9583" i="1"/>
  <c r="W9583" i="1"/>
  <c r="Z9582" i="1"/>
  <c r="W9582" i="1"/>
  <c r="Z9581" i="1"/>
  <c r="W9581" i="1"/>
  <c r="Z9580" i="1"/>
  <c r="W9580" i="1"/>
  <c r="Z9579" i="1"/>
  <c r="W9579" i="1"/>
  <c r="Z9578" i="1"/>
  <c r="W9578" i="1"/>
  <c r="Z9577" i="1"/>
  <c r="W9577" i="1"/>
  <c r="Z9576" i="1"/>
  <c r="W9576" i="1"/>
  <c r="Z9575" i="1"/>
  <c r="W9575" i="1"/>
  <c r="Z9574" i="1"/>
  <c r="W9574" i="1"/>
  <c r="Z9573" i="1"/>
  <c r="W9573" i="1"/>
  <c r="Z9572" i="1"/>
  <c r="W9572" i="1"/>
  <c r="Z9571" i="1"/>
  <c r="W9571" i="1"/>
  <c r="Z9570" i="1"/>
  <c r="W9570" i="1"/>
  <c r="Z9569" i="1"/>
  <c r="W9569" i="1"/>
  <c r="Z9568" i="1"/>
  <c r="W9568" i="1"/>
  <c r="Z9567" i="1"/>
  <c r="W9567" i="1"/>
  <c r="Z9566" i="1"/>
  <c r="W9566" i="1"/>
  <c r="Z9565" i="1"/>
  <c r="W9565" i="1"/>
  <c r="Z9564" i="1"/>
  <c r="W9564" i="1"/>
  <c r="Z9563" i="1"/>
  <c r="W9563" i="1"/>
  <c r="Z9562" i="1"/>
  <c r="W9562" i="1"/>
  <c r="Z9561" i="1"/>
  <c r="W9561" i="1"/>
  <c r="Z9560" i="1"/>
  <c r="W9560" i="1"/>
  <c r="Z9559" i="1"/>
  <c r="W9559" i="1"/>
  <c r="Z9558" i="1"/>
  <c r="W9558" i="1"/>
  <c r="Z9557" i="1"/>
  <c r="W9557" i="1"/>
  <c r="Z9556" i="1"/>
  <c r="W9556" i="1"/>
  <c r="Z9555" i="1"/>
  <c r="W9555" i="1"/>
  <c r="Z9554" i="1"/>
  <c r="W9554" i="1"/>
  <c r="Z9553" i="1"/>
  <c r="W9553" i="1"/>
  <c r="Z9552" i="1"/>
  <c r="W9552" i="1"/>
  <c r="Z9551" i="1"/>
  <c r="W9551" i="1"/>
  <c r="Z9550" i="1"/>
  <c r="W9550" i="1"/>
  <c r="Z9549" i="1"/>
  <c r="W9549" i="1"/>
  <c r="Z9548" i="1"/>
  <c r="W9548" i="1"/>
  <c r="Z9547" i="1"/>
  <c r="W9547" i="1"/>
  <c r="Z9546" i="1"/>
  <c r="W9546" i="1"/>
  <c r="Z9545" i="1"/>
  <c r="W9545" i="1"/>
  <c r="Z9544" i="1"/>
  <c r="W9544" i="1"/>
  <c r="Z9543" i="1"/>
  <c r="W9543" i="1"/>
  <c r="Z9542" i="1"/>
  <c r="W9542" i="1"/>
  <c r="Z9541" i="1"/>
  <c r="W9541" i="1"/>
  <c r="Z9540" i="1"/>
  <c r="W9540" i="1"/>
  <c r="Z9539" i="1"/>
  <c r="W9539" i="1"/>
  <c r="Z9538" i="1"/>
  <c r="W9538" i="1"/>
  <c r="Z9537" i="1"/>
  <c r="W9537" i="1"/>
  <c r="Z9536" i="1"/>
  <c r="W9536" i="1"/>
  <c r="Z9535" i="1"/>
  <c r="W9535" i="1"/>
  <c r="Z9534" i="1"/>
  <c r="W9534" i="1"/>
  <c r="Z9533" i="1"/>
  <c r="W9533" i="1"/>
  <c r="Z9532" i="1"/>
  <c r="W9532" i="1"/>
  <c r="Z9531" i="1"/>
  <c r="W9531" i="1"/>
  <c r="Z9530" i="1"/>
  <c r="W9530" i="1"/>
  <c r="Z9529" i="1"/>
  <c r="W9529" i="1"/>
  <c r="Z9528" i="1"/>
  <c r="W9528" i="1"/>
  <c r="Z9527" i="1"/>
  <c r="W9527" i="1"/>
  <c r="Z9526" i="1"/>
  <c r="W9526" i="1"/>
  <c r="Z9525" i="1"/>
  <c r="W9525" i="1"/>
  <c r="Z9524" i="1"/>
  <c r="W9524" i="1"/>
  <c r="Z9523" i="1"/>
  <c r="W9523" i="1"/>
  <c r="Z9522" i="1"/>
  <c r="W9522" i="1"/>
  <c r="Z9521" i="1"/>
  <c r="W9521" i="1"/>
  <c r="Z9520" i="1"/>
  <c r="W9520" i="1"/>
  <c r="Z9519" i="1"/>
  <c r="W9519" i="1"/>
  <c r="Z9518" i="1"/>
  <c r="W9518" i="1"/>
  <c r="Z9517" i="1"/>
  <c r="W9517" i="1"/>
  <c r="Z9516" i="1"/>
  <c r="W9516" i="1"/>
  <c r="Z9515" i="1"/>
  <c r="W9515" i="1"/>
  <c r="Z9514" i="1"/>
  <c r="W9514" i="1"/>
  <c r="Z9513" i="1"/>
  <c r="W9513" i="1"/>
  <c r="Z9512" i="1"/>
  <c r="W9512" i="1"/>
  <c r="Z9511" i="1"/>
  <c r="W9511" i="1"/>
  <c r="Z9510" i="1"/>
  <c r="W9510" i="1"/>
  <c r="Z9509" i="1"/>
  <c r="W9509" i="1"/>
  <c r="Z9508" i="1"/>
  <c r="W9508" i="1"/>
  <c r="Z9507" i="1"/>
  <c r="W9507" i="1"/>
  <c r="Z9506" i="1"/>
  <c r="W9506" i="1"/>
  <c r="Z9505" i="1"/>
  <c r="W9505" i="1"/>
  <c r="Z9504" i="1"/>
  <c r="W9504" i="1"/>
  <c r="Z9503" i="1"/>
  <c r="W9503" i="1"/>
  <c r="Z9502" i="1"/>
  <c r="W9502" i="1"/>
  <c r="Z9501" i="1"/>
  <c r="W9501" i="1"/>
  <c r="Z9500" i="1"/>
  <c r="W9500" i="1"/>
  <c r="Z9499" i="1"/>
  <c r="W9499" i="1"/>
  <c r="Z9498" i="1"/>
  <c r="W9498" i="1"/>
  <c r="Z9497" i="1"/>
  <c r="W9497" i="1"/>
  <c r="Z9496" i="1"/>
  <c r="W9496" i="1"/>
  <c r="Z9495" i="1"/>
  <c r="W9495" i="1"/>
  <c r="Z9494" i="1"/>
  <c r="W9494" i="1"/>
  <c r="Z9493" i="1"/>
  <c r="W9493" i="1"/>
  <c r="Z9492" i="1"/>
  <c r="W9492" i="1"/>
  <c r="Z9491" i="1"/>
  <c r="W9491" i="1"/>
  <c r="Z9490" i="1"/>
  <c r="W9490" i="1"/>
  <c r="Z9489" i="1"/>
  <c r="W9489" i="1"/>
  <c r="Z9488" i="1"/>
  <c r="W9488" i="1"/>
  <c r="Z9487" i="1"/>
  <c r="W9487" i="1"/>
  <c r="Z9486" i="1"/>
  <c r="W9486" i="1"/>
  <c r="Z9485" i="1"/>
  <c r="W9485" i="1"/>
  <c r="Z9484" i="1"/>
  <c r="W9484" i="1"/>
  <c r="Z9483" i="1"/>
  <c r="W9483" i="1"/>
  <c r="Z9482" i="1"/>
  <c r="W9482" i="1"/>
  <c r="Z9481" i="1"/>
  <c r="W9481" i="1"/>
  <c r="Z9480" i="1"/>
  <c r="W9480" i="1"/>
  <c r="Z9479" i="1"/>
  <c r="W9479" i="1"/>
  <c r="Z9478" i="1"/>
  <c r="W9478" i="1"/>
  <c r="Z9477" i="1"/>
  <c r="W9477" i="1"/>
  <c r="Z9476" i="1"/>
  <c r="W9476" i="1"/>
  <c r="Z9475" i="1"/>
  <c r="W9475" i="1"/>
  <c r="Z9474" i="1"/>
  <c r="W9474" i="1"/>
  <c r="Z9473" i="1"/>
  <c r="W9473" i="1"/>
  <c r="Z9472" i="1"/>
  <c r="W9472" i="1"/>
  <c r="Z9471" i="1"/>
  <c r="W9471" i="1"/>
  <c r="Z9470" i="1"/>
  <c r="W9470" i="1"/>
  <c r="Z9469" i="1"/>
  <c r="W9469" i="1"/>
  <c r="Z9468" i="1"/>
  <c r="W9468" i="1"/>
  <c r="Z9467" i="1"/>
  <c r="W9467" i="1"/>
  <c r="Z9466" i="1"/>
  <c r="W9466" i="1"/>
  <c r="Z9465" i="1"/>
  <c r="W9465" i="1"/>
  <c r="Z9464" i="1"/>
  <c r="W9464" i="1"/>
  <c r="Z9463" i="1"/>
  <c r="W9463" i="1"/>
  <c r="Z9462" i="1"/>
  <c r="W9462" i="1"/>
  <c r="Z9461" i="1"/>
  <c r="W9461" i="1"/>
  <c r="Z9460" i="1"/>
  <c r="W9460" i="1"/>
  <c r="Z9459" i="1"/>
  <c r="W9459" i="1"/>
  <c r="Z9458" i="1"/>
  <c r="W9458" i="1"/>
  <c r="Z9457" i="1"/>
  <c r="W9457" i="1"/>
  <c r="Z9456" i="1"/>
  <c r="W9456" i="1"/>
  <c r="Z9455" i="1"/>
  <c r="W9455" i="1"/>
  <c r="Z9454" i="1"/>
  <c r="W9454" i="1"/>
  <c r="Z9453" i="1"/>
  <c r="W9453" i="1"/>
  <c r="Z9452" i="1"/>
  <c r="W9452" i="1"/>
  <c r="Z9451" i="1"/>
  <c r="W9451" i="1"/>
  <c r="Z9450" i="1"/>
  <c r="W9450" i="1"/>
  <c r="Z9449" i="1"/>
  <c r="W9449" i="1"/>
  <c r="Z9448" i="1"/>
  <c r="W9448" i="1"/>
  <c r="Z9447" i="1"/>
  <c r="W9447" i="1"/>
  <c r="Z9446" i="1"/>
  <c r="W9446" i="1"/>
  <c r="Z9445" i="1"/>
  <c r="W9445" i="1"/>
  <c r="Z9444" i="1"/>
  <c r="W9444" i="1"/>
  <c r="Z9443" i="1"/>
  <c r="W9443" i="1"/>
  <c r="Z9442" i="1"/>
  <c r="W9442" i="1"/>
  <c r="Z9441" i="1"/>
  <c r="W9441" i="1"/>
  <c r="Z9440" i="1"/>
  <c r="W9440" i="1"/>
  <c r="Z9439" i="1"/>
  <c r="W9439" i="1"/>
  <c r="Z9438" i="1"/>
  <c r="W9438" i="1"/>
  <c r="Z9437" i="1"/>
  <c r="W9437" i="1"/>
  <c r="Z9436" i="1"/>
  <c r="W9436" i="1"/>
  <c r="Z9435" i="1"/>
  <c r="W9435" i="1"/>
  <c r="Z9434" i="1"/>
  <c r="W9434" i="1"/>
  <c r="Z9433" i="1"/>
  <c r="W9433" i="1"/>
  <c r="Z9432" i="1"/>
  <c r="W9432" i="1"/>
  <c r="Z9431" i="1"/>
  <c r="W9431" i="1"/>
  <c r="Z9430" i="1"/>
  <c r="W9430" i="1"/>
  <c r="Z9429" i="1"/>
  <c r="W9429" i="1"/>
  <c r="Z9428" i="1"/>
  <c r="W9428" i="1"/>
  <c r="Z9427" i="1"/>
  <c r="W9427" i="1"/>
  <c r="Z9426" i="1"/>
  <c r="W9426" i="1"/>
  <c r="Z9425" i="1"/>
  <c r="W9425" i="1"/>
  <c r="Z9424" i="1"/>
  <c r="W9424" i="1"/>
  <c r="Z9423" i="1"/>
  <c r="W9423" i="1"/>
  <c r="Z9422" i="1"/>
  <c r="W9422" i="1"/>
  <c r="Z9421" i="1"/>
  <c r="W9421" i="1"/>
  <c r="Z9420" i="1"/>
  <c r="W9420" i="1"/>
  <c r="Z9419" i="1"/>
  <c r="W9419" i="1"/>
  <c r="Z9418" i="1"/>
  <c r="W9418" i="1"/>
  <c r="Z9417" i="1"/>
  <c r="W9417" i="1"/>
  <c r="Z9416" i="1"/>
  <c r="W9416" i="1"/>
  <c r="Z9415" i="1"/>
  <c r="W9415" i="1"/>
  <c r="Z9414" i="1"/>
  <c r="W9414" i="1"/>
  <c r="Z9413" i="1"/>
  <c r="W9413" i="1"/>
  <c r="Z9412" i="1"/>
  <c r="W9412" i="1"/>
  <c r="Z9411" i="1"/>
  <c r="W9411" i="1"/>
  <c r="Z9410" i="1"/>
  <c r="W9410" i="1"/>
  <c r="Z9409" i="1"/>
  <c r="W9409" i="1"/>
  <c r="Z9408" i="1"/>
  <c r="W9408" i="1"/>
  <c r="Z9407" i="1"/>
  <c r="W9407" i="1"/>
  <c r="Z9406" i="1"/>
  <c r="W9406" i="1"/>
  <c r="Z9405" i="1"/>
  <c r="W9405" i="1"/>
  <c r="Z9404" i="1"/>
  <c r="W9404" i="1"/>
  <c r="Z9403" i="1"/>
  <c r="W9403" i="1"/>
  <c r="Z9402" i="1"/>
  <c r="W9402" i="1"/>
  <c r="Z9401" i="1"/>
  <c r="W9401" i="1"/>
  <c r="Z9400" i="1"/>
  <c r="W9400" i="1"/>
  <c r="Z9399" i="1"/>
  <c r="W9399" i="1"/>
  <c r="Z9398" i="1"/>
  <c r="W9398" i="1"/>
  <c r="Z9397" i="1"/>
  <c r="W9397" i="1"/>
  <c r="Z9396" i="1"/>
  <c r="W9396" i="1"/>
  <c r="Z9395" i="1"/>
  <c r="W9395" i="1"/>
  <c r="Z9394" i="1"/>
  <c r="W9394" i="1"/>
  <c r="Z9393" i="1"/>
  <c r="W9393" i="1"/>
  <c r="Z9392" i="1"/>
  <c r="W9392" i="1"/>
  <c r="Z9391" i="1"/>
  <c r="W9391" i="1"/>
  <c r="Z9390" i="1"/>
  <c r="W9390" i="1"/>
  <c r="Z9389" i="1"/>
  <c r="W9389" i="1"/>
  <c r="Z9388" i="1"/>
  <c r="W9388" i="1"/>
  <c r="Z9387" i="1"/>
  <c r="W9387" i="1"/>
  <c r="Z9386" i="1"/>
  <c r="W9386" i="1"/>
  <c r="Z9385" i="1"/>
  <c r="W9385" i="1"/>
  <c r="Z9384" i="1"/>
  <c r="W9384" i="1"/>
  <c r="Z9383" i="1"/>
  <c r="W9383" i="1"/>
  <c r="Z9382" i="1"/>
  <c r="W9382" i="1"/>
  <c r="Z9381" i="1"/>
  <c r="W9381" i="1"/>
  <c r="Z9380" i="1"/>
  <c r="W9380" i="1"/>
  <c r="Z9379" i="1"/>
  <c r="W9379" i="1"/>
  <c r="Z9378" i="1"/>
  <c r="W9378" i="1"/>
  <c r="Z9377" i="1"/>
  <c r="W9377" i="1"/>
  <c r="Z9376" i="1"/>
  <c r="W9376" i="1"/>
  <c r="Z9375" i="1"/>
  <c r="W9375" i="1"/>
  <c r="Z9374" i="1"/>
  <c r="W9374" i="1"/>
  <c r="Z9373" i="1"/>
  <c r="W9373" i="1"/>
  <c r="Z9372" i="1"/>
  <c r="W9372" i="1"/>
  <c r="Z9371" i="1"/>
  <c r="W9371" i="1"/>
  <c r="Z9370" i="1"/>
  <c r="W9370" i="1"/>
  <c r="Z9369" i="1"/>
  <c r="W9369" i="1"/>
  <c r="Z9368" i="1"/>
  <c r="W9368" i="1"/>
  <c r="Z9367" i="1"/>
  <c r="W9367" i="1"/>
  <c r="Z9366" i="1"/>
  <c r="W9366" i="1"/>
  <c r="Z9365" i="1"/>
  <c r="W9365" i="1"/>
  <c r="Z9364" i="1"/>
  <c r="W9364" i="1"/>
  <c r="Z9363" i="1"/>
  <c r="W9363" i="1"/>
  <c r="Z9362" i="1"/>
  <c r="W9362" i="1"/>
  <c r="Z9361" i="1"/>
  <c r="W9361" i="1"/>
  <c r="Z9360" i="1"/>
  <c r="W9360" i="1"/>
  <c r="Z9359" i="1"/>
  <c r="W9359" i="1"/>
  <c r="Z9358" i="1"/>
  <c r="W9358" i="1"/>
  <c r="Z9357" i="1"/>
  <c r="W9357" i="1"/>
  <c r="Z9356" i="1"/>
  <c r="W9356" i="1"/>
  <c r="Z9355" i="1"/>
  <c r="W9355" i="1"/>
  <c r="Z9354" i="1"/>
  <c r="W9354" i="1"/>
  <c r="Z9353" i="1"/>
  <c r="W9353" i="1"/>
  <c r="Z9352" i="1"/>
  <c r="W9352" i="1"/>
  <c r="Z9351" i="1"/>
  <c r="W9351" i="1"/>
  <c r="Z9350" i="1"/>
  <c r="W9350" i="1"/>
  <c r="Z9349" i="1"/>
  <c r="W9349" i="1"/>
  <c r="Z9348" i="1"/>
  <c r="W9348" i="1"/>
  <c r="Z9347" i="1"/>
  <c r="W9347" i="1"/>
  <c r="Z9346" i="1"/>
  <c r="W9346" i="1"/>
  <c r="Z9345" i="1"/>
  <c r="W9345" i="1"/>
  <c r="Z9344" i="1"/>
  <c r="W9344" i="1"/>
  <c r="Z9343" i="1"/>
  <c r="W9343" i="1"/>
  <c r="Z9342" i="1"/>
  <c r="W9342" i="1"/>
  <c r="Z9341" i="1"/>
  <c r="W9341" i="1"/>
  <c r="Z9340" i="1"/>
  <c r="W9340" i="1"/>
  <c r="Z9339" i="1"/>
  <c r="W9339" i="1"/>
  <c r="Z9338" i="1"/>
  <c r="W9338" i="1"/>
  <c r="Z9337" i="1"/>
  <c r="W9337" i="1"/>
  <c r="Z9336" i="1"/>
  <c r="W9336" i="1"/>
  <c r="Z9335" i="1"/>
  <c r="W9335" i="1"/>
  <c r="Z9334" i="1"/>
  <c r="W9334" i="1"/>
  <c r="Z9333" i="1"/>
  <c r="W9333" i="1"/>
  <c r="Z9332" i="1"/>
  <c r="W9332" i="1"/>
  <c r="Z9331" i="1"/>
  <c r="W9331" i="1"/>
  <c r="Z9330" i="1"/>
  <c r="W9330" i="1"/>
  <c r="Z9329" i="1"/>
  <c r="W9329" i="1"/>
  <c r="Z9328" i="1"/>
  <c r="W9328" i="1"/>
  <c r="Z9327" i="1"/>
  <c r="W9327" i="1"/>
  <c r="Z9326" i="1"/>
  <c r="W9326" i="1"/>
  <c r="Z9325" i="1"/>
  <c r="W9325" i="1"/>
  <c r="Z9324" i="1"/>
  <c r="W9324" i="1"/>
  <c r="Z9323" i="1"/>
  <c r="W9323" i="1"/>
  <c r="Z9322" i="1"/>
  <c r="W9322" i="1"/>
  <c r="Z9321" i="1"/>
  <c r="W9321" i="1"/>
  <c r="Z9320" i="1"/>
  <c r="W9320" i="1"/>
  <c r="Z9319" i="1"/>
  <c r="W9319" i="1"/>
  <c r="Z9318" i="1"/>
  <c r="W9318" i="1"/>
  <c r="Z9317" i="1"/>
  <c r="W9317" i="1"/>
  <c r="Z9316" i="1"/>
  <c r="W9316" i="1"/>
  <c r="Z9315" i="1"/>
  <c r="W9315" i="1"/>
  <c r="Z9314" i="1"/>
  <c r="W9314" i="1"/>
  <c r="Z9313" i="1"/>
  <c r="W9313" i="1"/>
  <c r="Z9312" i="1"/>
  <c r="W9312" i="1"/>
  <c r="Z9311" i="1"/>
  <c r="W9311" i="1"/>
  <c r="Z9310" i="1"/>
  <c r="W9310" i="1"/>
  <c r="Z9309" i="1"/>
  <c r="W9309" i="1"/>
  <c r="Z9308" i="1"/>
  <c r="W9308" i="1"/>
  <c r="Z9307" i="1"/>
  <c r="W9307" i="1"/>
  <c r="Z9306" i="1"/>
  <c r="W9306" i="1"/>
  <c r="Z9305" i="1"/>
  <c r="W9305" i="1"/>
  <c r="Z9304" i="1"/>
  <c r="W9304" i="1"/>
  <c r="Z9303" i="1"/>
  <c r="W9303" i="1"/>
  <c r="Z9302" i="1"/>
  <c r="W9302" i="1"/>
  <c r="Z9301" i="1"/>
  <c r="W9301" i="1"/>
  <c r="Z9300" i="1"/>
  <c r="W9300" i="1"/>
  <c r="Z9299" i="1"/>
  <c r="W9299" i="1"/>
  <c r="Z9298" i="1"/>
  <c r="W9298" i="1"/>
  <c r="Z9297" i="1"/>
  <c r="W9297" i="1"/>
  <c r="Z9296" i="1"/>
  <c r="W9296" i="1"/>
  <c r="Z9295" i="1"/>
  <c r="W9295" i="1"/>
  <c r="Z9294" i="1"/>
  <c r="W9294" i="1"/>
  <c r="Z9293" i="1"/>
  <c r="W9293" i="1"/>
  <c r="Z9292" i="1"/>
  <c r="W9292" i="1"/>
  <c r="Z9291" i="1"/>
  <c r="W9291" i="1"/>
  <c r="Z9290" i="1"/>
  <c r="W9290" i="1"/>
  <c r="Z9289" i="1"/>
  <c r="W9289" i="1"/>
  <c r="Z9288" i="1"/>
  <c r="W9288" i="1"/>
  <c r="Z9287" i="1"/>
  <c r="W9287" i="1"/>
  <c r="Z9286" i="1"/>
  <c r="W9286" i="1"/>
  <c r="Z9285" i="1"/>
  <c r="W9285" i="1"/>
  <c r="Z9284" i="1"/>
  <c r="W9284" i="1"/>
  <c r="Z9283" i="1"/>
  <c r="W9283" i="1"/>
  <c r="Z9282" i="1"/>
  <c r="W9282" i="1"/>
  <c r="Z9281" i="1"/>
  <c r="W9281" i="1"/>
  <c r="Z9280" i="1"/>
  <c r="W9280" i="1"/>
  <c r="Z9279" i="1"/>
  <c r="W9279" i="1"/>
  <c r="Z9278" i="1"/>
  <c r="W9278" i="1"/>
  <c r="Z9277" i="1"/>
  <c r="W9277" i="1"/>
  <c r="Z9276" i="1"/>
  <c r="W9276" i="1"/>
  <c r="Z9275" i="1"/>
  <c r="W9275" i="1"/>
  <c r="Z9274" i="1"/>
  <c r="W9274" i="1"/>
  <c r="Z9273" i="1"/>
  <c r="W9273" i="1"/>
  <c r="Z9272" i="1"/>
  <c r="W9272" i="1"/>
  <c r="Z9271" i="1"/>
  <c r="W9271" i="1"/>
  <c r="Z9270" i="1"/>
  <c r="W9270" i="1"/>
  <c r="Z9269" i="1"/>
  <c r="W9269" i="1"/>
  <c r="Z9268" i="1"/>
  <c r="W9268" i="1"/>
  <c r="Z9267" i="1"/>
  <c r="W9267" i="1"/>
  <c r="Z9266" i="1"/>
  <c r="W9266" i="1"/>
  <c r="Z9265" i="1"/>
  <c r="W9265" i="1"/>
  <c r="Z9264" i="1"/>
  <c r="W9264" i="1"/>
  <c r="Z9263" i="1"/>
  <c r="W9263" i="1"/>
  <c r="Z9262" i="1"/>
  <c r="W9262" i="1"/>
  <c r="Z9261" i="1"/>
  <c r="W9261" i="1"/>
  <c r="Z9260" i="1"/>
  <c r="W9260" i="1"/>
  <c r="Z9259" i="1"/>
  <c r="W9259" i="1"/>
  <c r="Z9258" i="1"/>
  <c r="W9258" i="1"/>
  <c r="Z9257" i="1"/>
  <c r="W9257" i="1"/>
  <c r="Z9256" i="1"/>
  <c r="W9256" i="1"/>
  <c r="Z9255" i="1"/>
  <c r="W9255" i="1"/>
  <c r="Z9254" i="1"/>
  <c r="W9254" i="1"/>
  <c r="Z9253" i="1"/>
  <c r="W9253" i="1"/>
  <c r="Z9252" i="1"/>
  <c r="W9252" i="1"/>
  <c r="Z9251" i="1"/>
  <c r="W9251" i="1"/>
  <c r="Z9250" i="1"/>
  <c r="W9250" i="1"/>
  <c r="Z9249" i="1"/>
  <c r="W9249" i="1"/>
  <c r="Z9248" i="1"/>
  <c r="W9248" i="1"/>
  <c r="Z9247" i="1"/>
  <c r="W9247" i="1"/>
  <c r="Z9246" i="1"/>
  <c r="W9246" i="1"/>
  <c r="Z9245" i="1"/>
  <c r="W9245" i="1"/>
  <c r="Z9244" i="1"/>
  <c r="W9244" i="1"/>
  <c r="Z9243" i="1"/>
  <c r="W9243" i="1"/>
  <c r="Z9242" i="1"/>
  <c r="W9242" i="1"/>
  <c r="Z9241" i="1"/>
  <c r="W9241" i="1"/>
  <c r="Z9240" i="1"/>
  <c r="W9240" i="1"/>
  <c r="Z9239" i="1"/>
  <c r="W9239" i="1"/>
  <c r="Z9238" i="1"/>
  <c r="W9238" i="1"/>
  <c r="Z9237" i="1"/>
  <c r="W9237" i="1"/>
  <c r="Z9236" i="1"/>
  <c r="W9236" i="1"/>
  <c r="Z9235" i="1"/>
  <c r="W9235" i="1"/>
  <c r="Z9234" i="1"/>
  <c r="W9234" i="1"/>
  <c r="Z9233" i="1"/>
  <c r="W9233" i="1"/>
  <c r="Z9232" i="1"/>
  <c r="W9232" i="1"/>
  <c r="Z9231" i="1"/>
  <c r="W9231" i="1"/>
  <c r="Z9230" i="1"/>
  <c r="W9230" i="1"/>
  <c r="Z9229" i="1"/>
  <c r="W9229" i="1"/>
  <c r="Z9228" i="1"/>
  <c r="W9228" i="1"/>
  <c r="Z9227" i="1"/>
  <c r="W9227" i="1"/>
  <c r="Z9226" i="1"/>
  <c r="W9226" i="1"/>
  <c r="Z9225" i="1"/>
  <c r="W9225" i="1"/>
  <c r="Z9224" i="1"/>
  <c r="W9224" i="1"/>
  <c r="Z9223" i="1"/>
  <c r="W9223" i="1"/>
  <c r="Z9222" i="1"/>
  <c r="W9222" i="1"/>
  <c r="Z9221" i="1"/>
  <c r="W9221" i="1"/>
  <c r="Z9220" i="1"/>
  <c r="W9220" i="1"/>
  <c r="Z9219" i="1"/>
  <c r="W9219" i="1"/>
  <c r="Z9218" i="1"/>
  <c r="W9218" i="1"/>
  <c r="Z9217" i="1"/>
  <c r="W9217" i="1"/>
  <c r="Z9216" i="1"/>
  <c r="W9216" i="1"/>
  <c r="Z9215" i="1"/>
  <c r="W9215" i="1"/>
  <c r="Z9214" i="1"/>
  <c r="W9214" i="1"/>
  <c r="Z9213" i="1"/>
  <c r="W9213" i="1"/>
  <c r="Z9212" i="1"/>
  <c r="W9212" i="1"/>
  <c r="Z9211" i="1"/>
  <c r="W9211" i="1"/>
  <c r="Z9210" i="1"/>
  <c r="W9210" i="1"/>
  <c r="Z9209" i="1"/>
  <c r="W9209" i="1"/>
  <c r="Z9208" i="1"/>
  <c r="W9208" i="1"/>
  <c r="Z9207" i="1"/>
  <c r="W9207" i="1"/>
  <c r="Z9206" i="1"/>
  <c r="W9206" i="1"/>
  <c r="Z9205" i="1"/>
  <c r="W9205" i="1"/>
  <c r="Z9204" i="1"/>
  <c r="W9204" i="1"/>
  <c r="Z9203" i="1"/>
  <c r="W9203" i="1"/>
  <c r="Z9202" i="1"/>
  <c r="W9202" i="1"/>
  <c r="Z9201" i="1"/>
  <c r="W9201" i="1"/>
  <c r="Z9200" i="1"/>
  <c r="W9200" i="1"/>
  <c r="Z9199" i="1"/>
  <c r="W9199" i="1"/>
  <c r="Z9198" i="1"/>
  <c r="W9198" i="1"/>
  <c r="Z9197" i="1"/>
  <c r="W9197" i="1"/>
  <c r="Z9196" i="1"/>
  <c r="W9196" i="1"/>
  <c r="Z9195" i="1"/>
  <c r="W9195" i="1"/>
  <c r="Z9194" i="1"/>
  <c r="W9194" i="1"/>
  <c r="Z9193" i="1"/>
  <c r="W9193" i="1"/>
  <c r="Z9192" i="1"/>
  <c r="W9192" i="1"/>
  <c r="Z9191" i="1"/>
  <c r="W9191" i="1"/>
  <c r="Z9190" i="1"/>
  <c r="W9190" i="1"/>
  <c r="Z9189" i="1"/>
  <c r="W9189" i="1"/>
  <c r="Z9188" i="1"/>
  <c r="W9188" i="1"/>
  <c r="Z9187" i="1"/>
  <c r="W9187" i="1"/>
  <c r="Z9186" i="1"/>
  <c r="W9186" i="1"/>
  <c r="Z9185" i="1"/>
  <c r="W9185" i="1"/>
  <c r="Z9184" i="1"/>
  <c r="W9184" i="1"/>
  <c r="Z9183" i="1"/>
  <c r="W9183" i="1"/>
  <c r="Z9182" i="1"/>
  <c r="W9182" i="1"/>
  <c r="Z9181" i="1"/>
  <c r="W9181" i="1"/>
  <c r="Z9180" i="1"/>
  <c r="W9180" i="1"/>
  <c r="Z9179" i="1"/>
  <c r="W9179" i="1"/>
  <c r="Z9178" i="1"/>
  <c r="W9178" i="1"/>
  <c r="Z9177" i="1"/>
  <c r="W9177" i="1"/>
  <c r="Z9176" i="1"/>
  <c r="W9176" i="1"/>
  <c r="Z9175" i="1"/>
  <c r="W9175" i="1"/>
  <c r="Z9174" i="1"/>
  <c r="W9174" i="1"/>
  <c r="Z9173" i="1"/>
  <c r="W9173" i="1"/>
  <c r="Z9172" i="1"/>
  <c r="W9172" i="1"/>
  <c r="Z9171" i="1"/>
  <c r="W9171" i="1"/>
  <c r="Z9170" i="1"/>
  <c r="W9170" i="1"/>
  <c r="Z9169" i="1"/>
  <c r="W9169" i="1"/>
  <c r="Z9168" i="1"/>
  <c r="W9168" i="1"/>
  <c r="Z9167" i="1"/>
  <c r="W9167" i="1"/>
  <c r="Z9166" i="1"/>
  <c r="W9166" i="1"/>
  <c r="Z9165" i="1"/>
  <c r="W9165" i="1"/>
  <c r="Z9164" i="1"/>
  <c r="W9164" i="1"/>
  <c r="Z9163" i="1"/>
  <c r="W9163" i="1"/>
  <c r="Z9162" i="1"/>
  <c r="W9162" i="1"/>
  <c r="Z9161" i="1"/>
  <c r="W9161" i="1"/>
  <c r="Z9160" i="1"/>
  <c r="W9160" i="1"/>
  <c r="Z9159" i="1"/>
  <c r="W9159" i="1"/>
  <c r="Z9158" i="1"/>
  <c r="W9158" i="1"/>
  <c r="Z9157" i="1"/>
  <c r="W9157" i="1"/>
  <c r="Z9156" i="1"/>
  <c r="W9156" i="1"/>
  <c r="Z9155" i="1"/>
  <c r="W9155" i="1"/>
  <c r="Z9154" i="1"/>
  <c r="W9154" i="1"/>
  <c r="Z9153" i="1"/>
  <c r="W9153" i="1"/>
  <c r="Z9152" i="1"/>
  <c r="W9152" i="1"/>
  <c r="Z9151" i="1"/>
  <c r="W9151" i="1"/>
  <c r="Z9150" i="1"/>
  <c r="W9150" i="1"/>
  <c r="Z9149" i="1"/>
  <c r="W9149" i="1"/>
  <c r="Z9148" i="1"/>
  <c r="W9148" i="1"/>
  <c r="Z9147" i="1"/>
  <c r="W9147" i="1"/>
  <c r="Z9146" i="1"/>
  <c r="W9146" i="1"/>
  <c r="Z9145" i="1"/>
  <c r="W9145" i="1"/>
  <c r="Z9144" i="1"/>
  <c r="W9144" i="1"/>
  <c r="Z9143" i="1"/>
  <c r="W9143" i="1"/>
  <c r="Z9142" i="1"/>
  <c r="W9142" i="1"/>
  <c r="Z9141" i="1"/>
  <c r="W9141" i="1"/>
  <c r="Z9140" i="1"/>
  <c r="W9140" i="1"/>
  <c r="Z9139" i="1"/>
  <c r="W9139" i="1"/>
  <c r="Z9138" i="1"/>
  <c r="W9138" i="1"/>
  <c r="Z9137" i="1"/>
  <c r="W9137" i="1"/>
  <c r="Z9136" i="1"/>
  <c r="W9136" i="1"/>
  <c r="Z9135" i="1"/>
  <c r="W9135" i="1"/>
  <c r="Z9134" i="1"/>
  <c r="W9134" i="1"/>
  <c r="Z9133" i="1"/>
  <c r="W9133" i="1"/>
  <c r="Z9132" i="1"/>
  <c r="W9132" i="1"/>
  <c r="Z9131" i="1"/>
  <c r="W9131" i="1"/>
  <c r="Z9130" i="1"/>
  <c r="W9130" i="1"/>
  <c r="Z9129" i="1"/>
  <c r="W9129" i="1"/>
  <c r="Z9128" i="1"/>
  <c r="W9128" i="1"/>
  <c r="Z9127" i="1"/>
  <c r="W9127" i="1"/>
  <c r="Z9126" i="1"/>
  <c r="W9126" i="1"/>
  <c r="Z9125" i="1"/>
  <c r="W9125" i="1"/>
  <c r="Z9124" i="1"/>
  <c r="W9124" i="1"/>
  <c r="Z9123" i="1"/>
  <c r="W9123" i="1"/>
  <c r="Z9122" i="1"/>
  <c r="W9122" i="1"/>
  <c r="Z9121" i="1"/>
  <c r="W9121" i="1"/>
  <c r="Z9120" i="1"/>
  <c r="W9120" i="1"/>
  <c r="Z9119" i="1"/>
  <c r="W9119" i="1"/>
  <c r="Z9118" i="1"/>
  <c r="W9118" i="1"/>
  <c r="Z9117" i="1"/>
  <c r="W9117" i="1"/>
  <c r="Z9116" i="1"/>
  <c r="W9116" i="1"/>
  <c r="Z9115" i="1"/>
  <c r="W9115" i="1"/>
  <c r="Z9114" i="1"/>
  <c r="W9114" i="1"/>
  <c r="Z9113" i="1"/>
  <c r="W9113" i="1"/>
  <c r="Z9112" i="1"/>
  <c r="W9112" i="1"/>
  <c r="Z9111" i="1"/>
  <c r="W9111" i="1"/>
  <c r="Z9110" i="1"/>
  <c r="W9110" i="1"/>
  <c r="Z9109" i="1"/>
  <c r="W9109" i="1"/>
  <c r="Z9108" i="1"/>
  <c r="W9108" i="1"/>
  <c r="Z9107" i="1"/>
  <c r="W9107" i="1"/>
  <c r="Z9106" i="1"/>
  <c r="W9106" i="1"/>
  <c r="Z9105" i="1"/>
  <c r="W9105" i="1"/>
  <c r="Z9104" i="1"/>
  <c r="W9104" i="1"/>
  <c r="Z9103" i="1"/>
  <c r="W9103" i="1"/>
  <c r="Z9102" i="1"/>
  <c r="W9102" i="1"/>
  <c r="Z9101" i="1"/>
  <c r="W9101" i="1"/>
  <c r="Z9100" i="1"/>
  <c r="W9100" i="1"/>
  <c r="Z9099" i="1"/>
  <c r="W9099" i="1"/>
  <c r="Z9098" i="1"/>
  <c r="W9098" i="1"/>
  <c r="Z9097" i="1"/>
  <c r="W9097" i="1"/>
  <c r="Z9096" i="1"/>
  <c r="W9096" i="1"/>
  <c r="Z9095" i="1"/>
  <c r="W9095" i="1"/>
  <c r="Z9094" i="1"/>
  <c r="W9094" i="1"/>
  <c r="Z9093" i="1"/>
  <c r="W9093" i="1"/>
  <c r="Z9092" i="1"/>
  <c r="W9092" i="1"/>
  <c r="Z9091" i="1"/>
  <c r="W9091" i="1"/>
  <c r="Z9090" i="1"/>
  <c r="W9090" i="1"/>
  <c r="Z9089" i="1"/>
  <c r="W9089" i="1"/>
  <c r="Z9088" i="1"/>
  <c r="W9088" i="1"/>
  <c r="Z9087" i="1"/>
  <c r="W9087" i="1"/>
  <c r="Z9086" i="1"/>
  <c r="W9086" i="1"/>
  <c r="Z9085" i="1"/>
  <c r="W9085" i="1"/>
  <c r="Z9084" i="1"/>
  <c r="W9084" i="1"/>
  <c r="Z9083" i="1"/>
  <c r="W9083" i="1"/>
  <c r="Z9082" i="1"/>
  <c r="W9082" i="1"/>
  <c r="Z9081" i="1"/>
  <c r="W9081" i="1"/>
  <c r="Z9080" i="1"/>
  <c r="W9080" i="1"/>
  <c r="Z9079" i="1"/>
  <c r="W9079" i="1"/>
  <c r="Z9078" i="1"/>
  <c r="W9078" i="1"/>
  <c r="Z9077" i="1"/>
  <c r="W9077" i="1"/>
  <c r="Z9076" i="1"/>
  <c r="W9076" i="1"/>
  <c r="Z9075" i="1"/>
  <c r="W9075" i="1"/>
  <c r="Z9074" i="1"/>
  <c r="W9074" i="1"/>
  <c r="Z9073" i="1"/>
  <c r="W9073" i="1"/>
  <c r="Z9072" i="1"/>
  <c r="W9072" i="1"/>
  <c r="Z9071" i="1"/>
  <c r="W9071" i="1"/>
  <c r="Z9070" i="1"/>
  <c r="W9070" i="1"/>
  <c r="Z9069" i="1"/>
  <c r="W9069" i="1"/>
  <c r="Z9068" i="1"/>
  <c r="W9068" i="1"/>
  <c r="Z9067" i="1"/>
  <c r="W9067" i="1"/>
  <c r="Z9066" i="1"/>
  <c r="W9066" i="1"/>
  <c r="Z9065" i="1"/>
  <c r="W9065" i="1"/>
  <c r="Z9064" i="1"/>
  <c r="W9064" i="1"/>
  <c r="Z9063" i="1"/>
  <c r="W9063" i="1"/>
  <c r="Z9062" i="1"/>
  <c r="W9062" i="1"/>
  <c r="Z9061" i="1"/>
  <c r="W9061" i="1"/>
  <c r="Z9060" i="1"/>
  <c r="W9060" i="1"/>
  <c r="Z9059" i="1"/>
  <c r="W9059" i="1"/>
  <c r="Z9058" i="1"/>
  <c r="W9058" i="1"/>
  <c r="Z9057" i="1"/>
  <c r="W9057" i="1"/>
  <c r="Z9056" i="1"/>
  <c r="W9056" i="1"/>
  <c r="Z9055" i="1"/>
  <c r="W9055" i="1"/>
  <c r="Z9054" i="1"/>
  <c r="W9054" i="1"/>
  <c r="Z9053" i="1"/>
  <c r="W9053" i="1"/>
  <c r="Z9052" i="1"/>
  <c r="W9052" i="1"/>
  <c r="Z9051" i="1"/>
  <c r="W9051" i="1"/>
  <c r="Z9050" i="1"/>
  <c r="W9050" i="1"/>
  <c r="Z9049" i="1"/>
  <c r="W9049" i="1"/>
  <c r="Z9048" i="1"/>
  <c r="W9048" i="1"/>
  <c r="Z9047" i="1"/>
  <c r="W9047" i="1"/>
  <c r="Z9046" i="1"/>
  <c r="W9046" i="1"/>
  <c r="Z9045" i="1"/>
  <c r="W9045" i="1"/>
  <c r="Z9044" i="1"/>
  <c r="W9044" i="1"/>
  <c r="Z9043" i="1"/>
  <c r="W9043" i="1"/>
  <c r="Z9042" i="1"/>
  <c r="W9042" i="1"/>
  <c r="Z9041" i="1"/>
  <c r="W9041" i="1"/>
  <c r="Z9040" i="1"/>
  <c r="W9040" i="1"/>
  <c r="Z9039" i="1"/>
  <c r="W9039" i="1"/>
  <c r="Z9038" i="1"/>
  <c r="W9038" i="1"/>
  <c r="Z9037" i="1"/>
  <c r="W9037" i="1"/>
  <c r="Z9036" i="1"/>
  <c r="W9036" i="1"/>
  <c r="Z9035" i="1"/>
  <c r="W9035" i="1"/>
  <c r="Z9034" i="1"/>
  <c r="W9034" i="1"/>
  <c r="Z9033" i="1"/>
  <c r="W9033" i="1"/>
  <c r="Z9032" i="1"/>
  <c r="W9032" i="1"/>
  <c r="Z9031" i="1"/>
  <c r="W9031" i="1"/>
  <c r="Z9030" i="1"/>
  <c r="W9030" i="1"/>
  <c r="Z9029" i="1"/>
  <c r="W9029" i="1"/>
  <c r="Z9028" i="1"/>
  <c r="W9028" i="1"/>
  <c r="Z9027" i="1"/>
  <c r="W9027" i="1"/>
  <c r="Z9026" i="1"/>
  <c r="W9026" i="1"/>
  <c r="Z9025" i="1"/>
  <c r="W9025" i="1"/>
  <c r="Z9024" i="1"/>
  <c r="W9024" i="1"/>
  <c r="Z9023" i="1"/>
  <c r="W9023" i="1"/>
  <c r="Z9022" i="1"/>
  <c r="W9022" i="1"/>
  <c r="Z9021" i="1"/>
  <c r="W9021" i="1"/>
  <c r="Z9020" i="1"/>
  <c r="W9020" i="1"/>
  <c r="Z9019" i="1"/>
  <c r="W9019" i="1"/>
  <c r="Z9018" i="1"/>
  <c r="W9018" i="1"/>
  <c r="Z9017" i="1"/>
  <c r="W9017" i="1"/>
  <c r="Z9016" i="1"/>
  <c r="W9016" i="1"/>
  <c r="Z9015" i="1"/>
  <c r="W9015" i="1"/>
  <c r="Z9014" i="1"/>
  <c r="W9014" i="1"/>
  <c r="Z9013" i="1"/>
  <c r="W9013" i="1"/>
  <c r="Z9012" i="1"/>
  <c r="W9012" i="1"/>
  <c r="Z9011" i="1"/>
  <c r="W9011" i="1"/>
  <c r="Z9010" i="1"/>
  <c r="W9010" i="1"/>
  <c r="Z9009" i="1"/>
  <c r="W9009" i="1"/>
  <c r="Z9008" i="1"/>
  <c r="W9008" i="1"/>
  <c r="Z9007" i="1"/>
  <c r="W9007" i="1"/>
  <c r="Z9006" i="1"/>
  <c r="W9006" i="1"/>
  <c r="Z9005" i="1"/>
  <c r="W9005" i="1"/>
  <c r="Z9004" i="1"/>
  <c r="W9004" i="1"/>
  <c r="Z9003" i="1"/>
  <c r="W9003" i="1"/>
  <c r="Z9002" i="1"/>
  <c r="W9002" i="1"/>
  <c r="Z9001" i="1"/>
  <c r="W9001" i="1"/>
  <c r="Z9000" i="1"/>
  <c r="W9000" i="1"/>
  <c r="Z8999" i="1"/>
  <c r="W8999" i="1"/>
  <c r="Z8998" i="1"/>
  <c r="W8998" i="1"/>
  <c r="Z8997" i="1"/>
  <c r="W8997" i="1"/>
  <c r="Z8996" i="1"/>
  <c r="W8996" i="1"/>
  <c r="Z8995" i="1"/>
  <c r="W8995" i="1"/>
  <c r="Z8994" i="1"/>
  <c r="W8994" i="1"/>
  <c r="Z8993" i="1"/>
  <c r="W8993" i="1"/>
  <c r="Z8992" i="1"/>
  <c r="W8992" i="1"/>
  <c r="Z8991" i="1"/>
  <c r="W8991" i="1"/>
  <c r="Z8990" i="1"/>
  <c r="W8990" i="1"/>
  <c r="Z8989" i="1"/>
  <c r="W8989" i="1"/>
  <c r="Z8988" i="1"/>
  <c r="W8988" i="1"/>
  <c r="Z8987" i="1"/>
  <c r="W8987" i="1"/>
  <c r="Z8986" i="1"/>
  <c r="W8986" i="1"/>
  <c r="Z8985" i="1"/>
  <c r="W8985" i="1"/>
  <c r="Z8984" i="1"/>
  <c r="W8984" i="1"/>
  <c r="Z8983" i="1"/>
  <c r="W8983" i="1"/>
  <c r="Z8982" i="1"/>
  <c r="W8982" i="1"/>
  <c r="Z8981" i="1"/>
  <c r="W8981" i="1"/>
  <c r="Z8980" i="1"/>
  <c r="W8980" i="1"/>
  <c r="Z8979" i="1"/>
  <c r="W8979" i="1"/>
  <c r="Z8978" i="1"/>
  <c r="W8978" i="1"/>
  <c r="Z8977" i="1"/>
  <c r="W8977" i="1"/>
  <c r="Z8976" i="1"/>
  <c r="W8976" i="1"/>
  <c r="Z8975" i="1"/>
  <c r="W8975" i="1"/>
  <c r="Z8974" i="1"/>
  <c r="W8974" i="1"/>
  <c r="Z8973" i="1"/>
  <c r="W8973" i="1"/>
  <c r="Z8972" i="1"/>
  <c r="W8972" i="1"/>
  <c r="Z8971" i="1"/>
  <c r="W8971" i="1"/>
  <c r="Z8970" i="1"/>
  <c r="W8970" i="1"/>
  <c r="Z8969" i="1"/>
  <c r="W8969" i="1"/>
  <c r="Z8968" i="1"/>
  <c r="W8968" i="1"/>
  <c r="Z8967" i="1"/>
  <c r="W8967" i="1"/>
  <c r="Z8966" i="1"/>
  <c r="W8966" i="1"/>
  <c r="Z8965" i="1"/>
  <c r="W8965" i="1"/>
  <c r="Z8964" i="1"/>
  <c r="W8964" i="1"/>
  <c r="Z8963" i="1"/>
  <c r="W8963" i="1"/>
  <c r="Z8962" i="1"/>
  <c r="W8962" i="1"/>
  <c r="Z8961" i="1"/>
  <c r="W8961" i="1"/>
  <c r="Z8960" i="1"/>
  <c r="W8960" i="1"/>
  <c r="Z8959" i="1"/>
  <c r="W8959" i="1"/>
  <c r="Z8958" i="1"/>
  <c r="W8958" i="1"/>
  <c r="Z8957" i="1"/>
  <c r="W8957" i="1"/>
  <c r="Z8956" i="1"/>
  <c r="W8956" i="1"/>
  <c r="Z8955" i="1"/>
  <c r="W8955" i="1"/>
  <c r="Z8954" i="1"/>
  <c r="W8954" i="1"/>
  <c r="Z8953" i="1"/>
  <c r="W8953" i="1"/>
  <c r="Z8952" i="1"/>
  <c r="W8952" i="1"/>
  <c r="Z8951" i="1"/>
  <c r="W8951" i="1"/>
  <c r="W8950" i="1"/>
  <c r="Z8949" i="1"/>
  <c r="W8949" i="1"/>
  <c r="Z8948" i="1"/>
  <c r="W8948" i="1"/>
  <c r="Z8947" i="1"/>
  <c r="W8947" i="1"/>
  <c r="Z8946" i="1"/>
  <c r="W8946" i="1"/>
  <c r="Z8945" i="1"/>
  <c r="W8945" i="1"/>
  <c r="Z8944" i="1"/>
  <c r="W8944" i="1"/>
  <c r="Z8943" i="1"/>
  <c r="W8943" i="1"/>
  <c r="Z8942" i="1"/>
  <c r="W8942" i="1"/>
  <c r="Z8941" i="1"/>
  <c r="W8941" i="1"/>
  <c r="Z8940" i="1"/>
  <c r="W8940" i="1"/>
  <c r="Z8939" i="1"/>
  <c r="W8939" i="1"/>
  <c r="Z8938" i="1"/>
  <c r="W8938" i="1"/>
  <c r="Z8937" i="1"/>
  <c r="W8937" i="1"/>
  <c r="Z8936" i="1"/>
  <c r="W8936" i="1"/>
  <c r="Z8935" i="1"/>
  <c r="W8935" i="1"/>
  <c r="Z8934" i="1"/>
  <c r="W8934" i="1"/>
  <c r="Z8933" i="1"/>
  <c r="W8933" i="1"/>
  <c r="Z8932" i="1"/>
  <c r="W8932" i="1"/>
  <c r="Z8931" i="1"/>
  <c r="W8931" i="1"/>
  <c r="Z8930" i="1"/>
  <c r="W8930" i="1"/>
  <c r="Z8929" i="1"/>
  <c r="W8929" i="1"/>
  <c r="Z8928" i="1"/>
  <c r="W8928" i="1"/>
  <c r="Z8927" i="1"/>
  <c r="W8927" i="1"/>
  <c r="Z8926" i="1"/>
  <c r="W8926" i="1"/>
  <c r="Z8925" i="1"/>
  <c r="W8925" i="1"/>
  <c r="Z8924" i="1"/>
  <c r="W8924" i="1"/>
  <c r="Z8923" i="1"/>
  <c r="W8923" i="1"/>
  <c r="Z8922" i="1"/>
  <c r="W8922" i="1"/>
  <c r="Z8921" i="1"/>
  <c r="W8921" i="1"/>
  <c r="Z8920" i="1"/>
  <c r="W8920" i="1"/>
  <c r="Z8919" i="1"/>
  <c r="W8919" i="1"/>
  <c r="Z8918" i="1"/>
  <c r="W8918" i="1"/>
  <c r="Z8917" i="1"/>
  <c r="W8917" i="1"/>
  <c r="Z8916" i="1"/>
  <c r="W8916" i="1"/>
  <c r="Z8915" i="1"/>
  <c r="W8915" i="1"/>
  <c r="Z8914" i="1"/>
  <c r="W8914" i="1"/>
  <c r="Z8913" i="1"/>
  <c r="W8913" i="1"/>
  <c r="Z8912" i="1"/>
  <c r="W8912" i="1"/>
  <c r="Z8911" i="1"/>
  <c r="W8911" i="1"/>
  <c r="Z8910" i="1"/>
  <c r="W8910" i="1"/>
  <c r="Z8909" i="1"/>
  <c r="W8909" i="1"/>
  <c r="Z8908" i="1"/>
  <c r="W8908" i="1"/>
  <c r="Z8907" i="1"/>
  <c r="W8907" i="1"/>
  <c r="Z8906" i="1"/>
  <c r="W8906" i="1"/>
  <c r="Z8905" i="1"/>
  <c r="W8905" i="1"/>
  <c r="Z8904" i="1"/>
  <c r="W8904" i="1"/>
  <c r="Z8903" i="1"/>
  <c r="W8903" i="1"/>
  <c r="Z8902" i="1"/>
  <c r="W8902" i="1"/>
  <c r="Z8901" i="1"/>
  <c r="W8901" i="1"/>
  <c r="Z8900" i="1"/>
  <c r="W8900" i="1"/>
  <c r="Z8899" i="1"/>
  <c r="W8899" i="1"/>
  <c r="Z8898" i="1"/>
  <c r="W8898" i="1"/>
  <c r="W8897" i="1"/>
  <c r="Z8896" i="1"/>
  <c r="W8896" i="1"/>
  <c r="Z8895" i="1"/>
  <c r="W8895" i="1"/>
  <c r="Z8894" i="1"/>
  <c r="W8894" i="1"/>
  <c r="Z8893" i="1"/>
  <c r="W8893" i="1"/>
  <c r="Z8892" i="1"/>
  <c r="W8892" i="1"/>
  <c r="Z8891" i="1"/>
  <c r="W8891" i="1"/>
  <c r="Z8890" i="1"/>
  <c r="W8890" i="1"/>
  <c r="Z8889" i="1"/>
  <c r="W8889" i="1"/>
  <c r="Z8888" i="1"/>
  <c r="W8888" i="1"/>
  <c r="Z8887" i="1"/>
  <c r="W8887" i="1"/>
  <c r="Z8886" i="1"/>
  <c r="W8886" i="1"/>
  <c r="Z8885" i="1"/>
  <c r="W8885" i="1"/>
  <c r="Z8884" i="1"/>
  <c r="W8884" i="1"/>
  <c r="Z8883" i="1"/>
  <c r="W8883" i="1"/>
  <c r="Z8882" i="1"/>
  <c r="W8882" i="1"/>
  <c r="Z8881" i="1"/>
  <c r="W8881" i="1"/>
  <c r="Z8880" i="1"/>
  <c r="W8880" i="1"/>
  <c r="Z8879" i="1"/>
  <c r="W8879" i="1"/>
  <c r="Z8878" i="1"/>
  <c r="W8878" i="1"/>
  <c r="Z8877" i="1"/>
  <c r="W8877" i="1"/>
  <c r="Z8876" i="1"/>
  <c r="W8876" i="1"/>
  <c r="Z8875" i="1"/>
  <c r="W8875" i="1"/>
  <c r="Z8874" i="1"/>
  <c r="W8874" i="1"/>
  <c r="Z8873" i="1"/>
  <c r="W8873" i="1"/>
  <c r="Z8872" i="1"/>
  <c r="W8872" i="1"/>
  <c r="Z8871" i="1"/>
  <c r="W8871" i="1"/>
  <c r="Z8870" i="1"/>
  <c r="W8870" i="1"/>
  <c r="Z8869" i="1"/>
  <c r="W8869" i="1"/>
  <c r="Z8868" i="1"/>
  <c r="W8868" i="1"/>
  <c r="Z8867" i="1"/>
  <c r="W8867" i="1"/>
  <c r="Z8866" i="1"/>
  <c r="W8866" i="1"/>
  <c r="Z8865" i="1"/>
  <c r="W8865" i="1"/>
  <c r="Z8864" i="1"/>
  <c r="W8864" i="1"/>
  <c r="Z8863" i="1"/>
  <c r="W8863" i="1"/>
  <c r="Z8862" i="1"/>
  <c r="W8862" i="1"/>
  <c r="Z8861" i="1"/>
  <c r="W8861" i="1"/>
  <c r="Z8860" i="1"/>
  <c r="W8860" i="1"/>
  <c r="Z8859" i="1"/>
  <c r="W8859" i="1"/>
  <c r="Z8858" i="1"/>
  <c r="W8858" i="1"/>
  <c r="Z8857" i="1"/>
  <c r="W8857" i="1"/>
  <c r="Z8856" i="1"/>
  <c r="W8856" i="1"/>
  <c r="Z8855" i="1"/>
  <c r="W8855" i="1"/>
  <c r="Z8854" i="1"/>
  <c r="W8854" i="1"/>
  <c r="Z8853" i="1"/>
  <c r="W8853" i="1"/>
  <c r="Z8852" i="1"/>
  <c r="W8852" i="1"/>
  <c r="Z8851" i="1"/>
  <c r="W8851" i="1"/>
  <c r="Z8850" i="1"/>
  <c r="W8850" i="1"/>
  <c r="Z8849" i="1"/>
  <c r="W8849" i="1"/>
  <c r="Z8848" i="1"/>
  <c r="W8848" i="1"/>
  <c r="Z8847" i="1"/>
  <c r="W8847" i="1"/>
  <c r="Z8846" i="1"/>
  <c r="W8846" i="1"/>
  <c r="Z8845" i="1"/>
  <c r="W8845" i="1"/>
  <c r="Z8844" i="1"/>
  <c r="W8844" i="1"/>
  <c r="Z8843" i="1"/>
  <c r="W8843" i="1"/>
  <c r="Z8842" i="1"/>
  <c r="W8842" i="1"/>
  <c r="Z8841" i="1"/>
  <c r="W8841" i="1"/>
  <c r="Z8840" i="1"/>
  <c r="W8840" i="1"/>
  <c r="Z8839" i="1"/>
  <c r="W8839" i="1"/>
  <c r="Z8838" i="1"/>
  <c r="W8838" i="1"/>
  <c r="Z8837" i="1"/>
  <c r="W8837" i="1"/>
  <c r="Z8836" i="1"/>
  <c r="W8836" i="1"/>
  <c r="Z8835" i="1"/>
  <c r="W8835" i="1"/>
  <c r="Z8834" i="1"/>
  <c r="W8834" i="1"/>
  <c r="Z8833" i="1"/>
  <c r="W8833" i="1"/>
  <c r="Z8832" i="1"/>
  <c r="W8832" i="1"/>
  <c r="Z8831" i="1"/>
  <c r="W8831" i="1"/>
  <c r="Z8830" i="1"/>
  <c r="W8830" i="1"/>
  <c r="Z8829" i="1"/>
  <c r="W8829" i="1"/>
  <c r="Z8828" i="1"/>
  <c r="W8828" i="1"/>
  <c r="Z8827" i="1"/>
  <c r="W8827" i="1"/>
  <c r="Z8826" i="1"/>
  <c r="W8826" i="1"/>
  <c r="Z8825" i="1"/>
  <c r="W8825" i="1"/>
  <c r="Z8824" i="1"/>
  <c r="W8824" i="1"/>
  <c r="Z8823" i="1"/>
  <c r="W8823" i="1"/>
  <c r="Z8822" i="1"/>
  <c r="W8822" i="1"/>
  <c r="Z8821" i="1"/>
  <c r="W8821" i="1"/>
  <c r="Z8820" i="1"/>
  <c r="W8820" i="1"/>
  <c r="Z8819" i="1"/>
  <c r="W8819" i="1"/>
  <c r="Z8818" i="1"/>
  <c r="W8818" i="1"/>
  <c r="Z8817" i="1"/>
  <c r="W8817" i="1"/>
  <c r="Z8816" i="1"/>
  <c r="W8816" i="1"/>
  <c r="Z8815" i="1"/>
  <c r="W8815" i="1"/>
  <c r="Z8814" i="1"/>
  <c r="W8814" i="1"/>
  <c r="Z8813" i="1"/>
  <c r="W8813" i="1"/>
  <c r="Z8812" i="1"/>
  <c r="W8812" i="1"/>
  <c r="Z8811" i="1"/>
  <c r="W8811" i="1"/>
  <c r="Z8810" i="1"/>
  <c r="W8810" i="1"/>
  <c r="Z8809" i="1"/>
  <c r="W8809" i="1"/>
  <c r="Z8808" i="1"/>
  <c r="W8808" i="1"/>
  <c r="Z8807" i="1"/>
  <c r="W8807" i="1"/>
  <c r="Z8806" i="1"/>
  <c r="W8806" i="1"/>
  <c r="Z8805" i="1"/>
  <c r="W8805" i="1"/>
  <c r="Z8804" i="1"/>
  <c r="W8804" i="1"/>
  <c r="Z8803" i="1"/>
  <c r="W8803" i="1"/>
  <c r="Z8802" i="1"/>
  <c r="W8802" i="1"/>
  <c r="Z8801" i="1"/>
  <c r="W8801" i="1"/>
  <c r="Z8800" i="1"/>
  <c r="W8800" i="1"/>
  <c r="Z8799" i="1"/>
  <c r="W8799" i="1"/>
  <c r="Z8798" i="1"/>
  <c r="W8798" i="1"/>
  <c r="Z8797" i="1"/>
  <c r="W8797" i="1"/>
  <c r="Z8796" i="1"/>
  <c r="W8796" i="1"/>
  <c r="Z8795" i="1"/>
  <c r="W8795" i="1"/>
  <c r="Z8794" i="1"/>
  <c r="W8794" i="1"/>
  <c r="Z8793" i="1"/>
  <c r="W8793" i="1"/>
  <c r="Z8792" i="1"/>
  <c r="W8792" i="1"/>
  <c r="Z8791" i="1"/>
  <c r="W8791" i="1"/>
  <c r="Z8790" i="1"/>
  <c r="W8790" i="1"/>
  <c r="Z8789" i="1"/>
  <c r="W8789" i="1"/>
  <c r="Z8788" i="1"/>
  <c r="W8788" i="1"/>
  <c r="Z8787" i="1"/>
  <c r="W8787" i="1"/>
  <c r="Z8786" i="1"/>
  <c r="W8786" i="1"/>
  <c r="Z8785" i="1"/>
  <c r="W8785" i="1"/>
  <c r="Z8784" i="1"/>
  <c r="W8784" i="1"/>
  <c r="Z8783" i="1"/>
  <c r="W8783" i="1"/>
  <c r="Z8782" i="1"/>
  <c r="W8782" i="1"/>
  <c r="Z8781" i="1"/>
  <c r="W8781" i="1"/>
  <c r="Z8780" i="1"/>
  <c r="W8780" i="1"/>
  <c r="Z8779" i="1"/>
  <c r="W8779" i="1"/>
  <c r="Z8778" i="1"/>
  <c r="W8778" i="1"/>
  <c r="Z8777" i="1"/>
  <c r="W8777" i="1"/>
  <c r="Z8776" i="1"/>
  <c r="W8776" i="1"/>
  <c r="Z8775" i="1"/>
  <c r="W8775" i="1"/>
  <c r="Z8774" i="1"/>
  <c r="W8774" i="1"/>
  <c r="Z8773" i="1"/>
  <c r="W8773" i="1"/>
  <c r="Z8772" i="1"/>
  <c r="W8772" i="1"/>
  <c r="Z8771" i="1"/>
  <c r="W8771" i="1"/>
  <c r="Z8770" i="1"/>
  <c r="W8770" i="1"/>
  <c r="Z8769" i="1"/>
  <c r="W8769" i="1"/>
  <c r="Z8768" i="1"/>
  <c r="W8768" i="1"/>
  <c r="Z8767" i="1"/>
  <c r="W8767" i="1"/>
  <c r="Z8766" i="1"/>
  <c r="W8766" i="1"/>
  <c r="Z8765" i="1"/>
  <c r="W8765" i="1"/>
  <c r="Z8764" i="1"/>
  <c r="W8764" i="1"/>
  <c r="Z8763" i="1"/>
  <c r="W8763" i="1"/>
  <c r="Z8762" i="1"/>
  <c r="W8762" i="1"/>
  <c r="Z8761" i="1"/>
  <c r="W8761" i="1"/>
  <c r="Z8760" i="1"/>
  <c r="W8760" i="1"/>
  <c r="Z8759" i="1"/>
  <c r="W8759" i="1"/>
  <c r="Z8758" i="1"/>
  <c r="W8758" i="1"/>
  <c r="Z8757" i="1"/>
  <c r="W8757" i="1"/>
  <c r="Z8756" i="1"/>
  <c r="W8756" i="1"/>
  <c r="Z8755" i="1"/>
  <c r="W8755" i="1"/>
  <c r="Z8754" i="1"/>
  <c r="W8754" i="1"/>
  <c r="Z8753" i="1"/>
  <c r="W8753" i="1"/>
  <c r="Z8752" i="1"/>
  <c r="W8752" i="1"/>
  <c r="Z8751" i="1"/>
  <c r="W8751" i="1"/>
  <c r="Z8750" i="1"/>
  <c r="W8750" i="1"/>
  <c r="Z8749" i="1"/>
  <c r="W8749" i="1"/>
  <c r="Z8748" i="1"/>
  <c r="W8748" i="1"/>
  <c r="Z8747" i="1"/>
  <c r="W8747" i="1"/>
  <c r="Z8746" i="1"/>
  <c r="W8746" i="1"/>
  <c r="Z8745" i="1"/>
  <c r="W8745" i="1"/>
  <c r="Z8744" i="1"/>
  <c r="W8744" i="1"/>
  <c r="Z8743" i="1"/>
  <c r="W8743" i="1"/>
  <c r="Z8742" i="1"/>
  <c r="W8742" i="1"/>
  <c r="Z8741" i="1"/>
  <c r="W8741" i="1"/>
  <c r="Z8740" i="1"/>
  <c r="W8740" i="1"/>
  <c r="Z8739" i="1"/>
  <c r="W8739" i="1"/>
  <c r="Z8738" i="1"/>
  <c r="W8738" i="1"/>
  <c r="Z8737" i="1"/>
  <c r="W8737" i="1"/>
  <c r="Z8736" i="1"/>
  <c r="W8736" i="1"/>
  <c r="Z8735" i="1"/>
  <c r="W8735" i="1"/>
  <c r="Z8734" i="1"/>
  <c r="W8734" i="1"/>
  <c r="Z8733" i="1"/>
  <c r="W8733" i="1"/>
  <c r="Z8732" i="1"/>
  <c r="W8732" i="1"/>
  <c r="Z8731" i="1"/>
  <c r="W8731" i="1"/>
  <c r="Z8730" i="1"/>
  <c r="W8730" i="1"/>
  <c r="Z8729" i="1"/>
  <c r="W8729" i="1"/>
  <c r="Z8728" i="1"/>
  <c r="W8728" i="1"/>
  <c r="Z8727" i="1"/>
  <c r="W8727" i="1"/>
  <c r="Z8726" i="1"/>
  <c r="W8726" i="1"/>
  <c r="Z8725" i="1"/>
  <c r="W8725" i="1"/>
  <c r="Z8724" i="1"/>
  <c r="W8724" i="1"/>
  <c r="Z8723" i="1"/>
  <c r="W8723" i="1"/>
  <c r="Z8722" i="1"/>
  <c r="W8722" i="1"/>
  <c r="Z8721" i="1"/>
  <c r="W8721" i="1"/>
  <c r="Z8720" i="1"/>
  <c r="W8720" i="1"/>
  <c r="Z8719" i="1"/>
  <c r="W8719" i="1"/>
  <c r="Z8718" i="1"/>
  <c r="W8718" i="1"/>
  <c r="Z8717" i="1"/>
  <c r="W8717" i="1"/>
  <c r="Z8716" i="1"/>
  <c r="W8716" i="1"/>
  <c r="Z8715" i="1"/>
  <c r="W8715" i="1"/>
  <c r="Z8714" i="1"/>
  <c r="W8714" i="1"/>
  <c r="Z8713" i="1"/>
  <c r="W8713" i="1"/>
  <c r="Z8712" i="1"/>
  <c r="W8712" i="1"/>
  <c r="Z8711" i="1"/>
  <c r="W8711" i="1"/>
  <c r="Z8710" i="1"/>
  <c r="W8710" i="1"/>
  <c r="Z8709" i="1"/>
  <c r="W8709" i="1"/>
  <c r="Z8708" i="1"/>
  <c r="W8708" i="1"/>
  <c r="Z8707" i="1"/>
  <c r="W8707" i="1"/>
  <c r="Z8706" i="1"/>
  <c r="W8706" i="1"/>
  <c r="Z8705" i="1"/>
  <c r="W8705" i="1"/>
  <c r="Z8704" i="1"/>
  <c r="W8704" i="1"/>
  <c r="Z8703" i="1"/>
  <c r="W8703" i="1"/>
  <c r="Z8702" i="1"/>
  <c r="W8702" i="1"/>
  <c r="Z8701" i="1"/>
  <c r="W8701" i="1"/>
  <c r="Z8700" i="1"/>
  <c r="W8700" i="1"/>
  <c r="Z8699" i="1"/>
  <c r="W8699" i="1"/>
  <c r="Z8698" i="1"/>
  <c r="W8698" i="1"/>
  <c r="Z8697" i="1"/>
  <c r="W8697" i="1"/>
  <c r="Z8696" i="1"/>
  <c r="W8696" i="1"/>
  <c r="Z8695" i="1"/>
  <c r="W8695" i="1"/>
  <c r="Z8694" i="1"/>
  <c r="W8694" i="1"/>
  <c r="Z8693" i="1"/>
  <c r="W8693" i="1"/>
  <c r="Z8692" i="1"/>
  <c r="W8692" i="1"/>
  <c r="Z8691" i="1"/>
  <c r="W8691" i="1"/>
  <c r="Z8690" i="1"/>
  <c r="W8690" i="1"/>
  <c r="Z8689" i="1"/>
  <c r="W8689" i="1"/>
  <c r="Z8688" i="1"/>
  <c r="W8688" i="1"/>
  <c r="Z8687" i="1"/>
  <c r="W8687" i="1"/>
  <c r="Z8686" i="1"/>
  <c r="W8686" i="1"/>
  <c r="Z8685" i="1"/>
  <c r="W8685" i="1"/>
  <c r="Z8684" i="1"/>
  <c r="W8684" i="1"/>
  <c r="Z8683" i="1"/>
  <c r="W8683" i="1"/>
  <c r="Z8682" i="1"/>
  <c r="W8682" i="1"/>
  <c r="Z8681" i="1"/>
  <c r="W8681" i="1"/>
  <c r="Z8680" i="1"/>
  <c r="W8680" i="1"/>
  <c r="Z8679" i="1"/>
  <c r="W8679" i="1"/>
  <c r="Z8678" i="1"/>
  <c r="W8678" i="1"/>
  <c r="Z8677" i="1"/>
  <c r="W8677" i="1"/>
  <c r="Z8676" i="1"/>
  <c r="W8676" i="1"/>
  <c r="Z8675" i="1"/>
  <c r="W8675" i="1"/>
  <c r="Z8674" i="1"/>
  <c r="W8674" i="1"/>
  <c r="Z8673" i="1"/>
  <c r="W8673" i="1"/>
  <c r="Z8672" i="1"/>
  <c r="W8672" i="1"/>
  <c r="Z8671" i="1"/>
  <c r="W8671" i="1"/>
  <c r="Z8670" i="1"/>
  <c r="W8670" i="1"/>
  <c r="Z8669" i="1"/>
  <c r="W8669" i="1"/>
  <c r="Z8668" i="1"/>
  <c r="W8668" i="1"/>
  <c r="Z8667" i="1"/>
  <c r="W8667" i="1"/>
  <c r="Z8666" i="1"/>
  <c r="W8666" i="1"/>
  <c r="Z8665" i="1"/>
  <c r="W8665" i="1"/>
  <c r="Z8664" i="1"/>
  <c r="W8664" i="1"/>
  <c r="Z8663" i="1"/>
  <c r="W8663" i="1"/>
  <c r="Z8662" i="1"/>
  <c r="W8662" i="1"/>
  <c r="Z8661" i="1"/>
  <c r="W8661" i="1"/>
  <c r="Z8660" i="1"/>
  <c r="W8660" i="1"/>
  <c r="Z8659" i="1"/>
  <c r="W8659" i="1"/>
  <c r="Z8658" i="1"/>
  <c r="W8658" i="1"/>
  <c r="Z8657" i="1"/>
  <c r="W8657" i="1"/>
  <c r="Z8656" i="1"/>
  <c r="W8656" i="1"/>
  <c r="Z8655" i="1"/>
  <c r="W8655" i="1"/>
  <c r="Z8654" i="1"/>
  <c r="W8654" i="1"/>
  <c r="Z8653" i="1"/>
  <c r="W8653" i="1"/>
  <c r="Z8652" i="1"/>
  <c r="W8652" i="1"/>
  <c r="Z8651" i="1"/>
  <c r="W8651" i="1"/>
  <c r="Z8650" i="1"/>
  <c r="W8650" i="1"/>
  <c r="Z8649" i="1"/>
  <c r="W8649" i="1"/>
  <c r="Z8648" i="1"/>
  <c r="W8648" i="1"/>
  <c r="Z8647" i="1"/>
  <c r="W8647" i="1"/>
  <c r="Z8646" i="1"/>
  <c r="W8646" i="1"/>
  <c r="Z8645" i="1"/>
  <c r="W8645" i="1"/>
  <c r="Z8644" i="1"/>
  <c r="W8644" i="1"/>
  <c r="Z8643" i="1"/>
  <c r="W8643" i="1"/>
  <c r="Z8642" i="1"/>
  <c r="W8642" i="1"/>
  <c r="Z8641" i="1"/>
  <c r="W8641" i="1"/>
  <c r="Z8640" i="1"/>
  <c r="W8640" i="1"/>
  <c r="Z8639" i="1"/>
  <c r="W8639" i="1"/>
  <c r="Z8638" i="1"/>
  <c r="W8638" i="1"/>
  <c r="Z8637" i="1"/>
  <c r="W8637" i="1"/>
  <c r="Z8636" i="1"/>
  <c r="W8636" i="1"/>
  <c r="Z8635" i="1"/>
  <c r="W8635" i="1"/>
  <c r="Z8634" i="1"/>
  <c r="W8634" i="1"/>
  <c r="Z8633" i="1"/>
  <c r="W8633" i="1"/>
  <c r="Z8632" i="1"/>
  <c r="W8632" i="1"/>
  <c r="Z8631" i="1"/>
  <c r="W8631" i="1"/>
  <c r="Z8630" i="1"/>
  <c r="W8630" i="1"/>
  <c r="Z8629" i="1"/>
  <c r="W8629" i="1"/>
  <c r="Z8628" i="1"/>
  <c r="W8628" i="1"/>
  <c r="Z8627" i="1"/>
  <c r="W8627" i="1"/>
  <c r="Z8626" i="1"/>
  <c r="W8626" i="1"/>
  <c r="Z8625" i="1"/>
  <c r="W8625" i="1"/>
  <c r="Z8624" i="1"/>
  <c r="W8624" i="1"/>
  <c r="Z8623" i="1"/>
  <c r="W8623" i="1"/>
  <c r="Z8622" i="1"/>
  <c r="W8622" i="1"/>
  <c r="Z8621" i="1"/>
  <c r="W8621" i="1"/>
  <c r="Z8620" i="1"/>
  <c r="W8620" i="1"/>
  <c r="Z8619" i="1"/>
  <c r="W8619" i="1"/>
  <c r="Z8618" i="1"/>
  <c r="W8618" i="1"/>
  <c r="Z8617" i="1"/>
  <c r="W8617" i="1"/>
  <c r="Z8616" i="1"/>
  <c r="W8616" i="1"/>
  <c r="Z8615" i="1"/>
  <c r="W8615" i="1"/>
  <c r="Z8614" i="1"/>
  <c r="W8614" i="1"/>
  <c r="Z8613" i="1"/>
  <c r="W8613" i="1"/>
  <c r="Z8612" i="1"/>
  <c r="W8612" i="1"/>
  <c r="Z8611" i="1"/>
  <c r="W8611" i="1"/>
  <c r="Z8610" i="1"/>
  <c r="W8610" i="1"/>
  <c r="Z8609" i="1"/>
  <c r="W8609" i="1"/>
  <c r="Z8608" i="1"/>
  <c r="W8608" i="1"/>
  <c r="Z8607" i="1"/>
  <c r="W8607" i="1"/>
  <c r="Z8606" i="1"/>
  <c r="W8606" i="1"/>
  <c r="Z8605" i="1"/>
  <c r="W8605" i="1"/>
  <c r="Z8604" i="1"/>
  <c r="W8604" i="1"/>
  <c r="Z8603" i="1"/>
  <c r="W8603" i="1"/>
  <c r="Z8602" i="1"/>
  <c r="W8602" i="1"/>
  <c r="Z8601" i="1"/>
  <c r="W8601" i="1"/>
  <c r="Z8600" i="1"/>
  <c r="W8600" i="1"/>
  <c r="Z8599" i="1"/>
  <c r="W8599" i="1"/>
  <c r="Z8598" i="1"/>
  <c r="W8598" i="1"/>
  <c r="Z8597" i="1"/>
  <c r="W8597" i="1"/>
  <c r="Z8596" i="1"/>
  <c r="W8596" i="1"/>
  <c r="Z8595" i="1"/>
  <c r="W8595" i="1"/>
  <c r="Z8594" i="1"/>
  <c r="W8594" i="1"/>
  <c r="Z8593" i="1"/>
  <c r="W8593" i="1"/>
  <c r="Z8592" i="1"/>
  <c r="W8592" i="1"/>
  <c r="Z8591" i="1"/>
  <c r="W8591" i="1"/>
  <c r="Z8590" i="1"/>
  <c r="W8590" i="1"/>
  <c r="Z8589" i="1"/>
  <c r="W8589" i="1"/>
  <c r="Z8588" i="1"/>
  <c r="W8588" i="1"/>
  <c r="Z8587" i="1"/>
  <c r="W8587" i="1"/>
  <c r="Z8586" i="1"/>
  <c r="W8586" i="1"/>
  <c r="Z8585" i="1"/>
  <c r="W8585" i="1"/>
  <c r="Z8584" i="1"/>
  <c r="W8584" i="1"/>
  <c r="Z8583" i="1"/>
  <c r="W8583" i="1"/>
  <c r="Z8582" i="1"/>
  <c r="W8582" i="1"/>
  <c r="Z8581" i="1"/>
  <c r="W8581" i="1"/>
  <c r="Z8580" i="1"/>
  <c r="W8580" i="1"/>
  <c r="Z8579" i="1"/>
  <c r="W8579" i="1"/>
  <c r="Z8578" i="1"/>
  <c r="W8578" i="1"/>
  <c r="Z8577" i="1"/>
  <c r="W8577" i="1"/>
  <c r="Z8576" i="1"/>
  <c r="W8576" i="1"/>
  <c r="Z8575" i="1"/>
  <c r="W8575" i="1"/>
  <c r="Z8574" i="1"/>
  <c r="W8574" i="1"/>
  <c r="Z8573" i="1"/>
  <c r="W8573" i="1"/>
  <c r="Z8572" i="1"/>
  <c r="W8572" i="1"/>
  <c r="Z8571" i="1"/>
  <c r="W8571" i="1"/>
  <c r="Z8570" i="1"/>
  <c r="W8570" i="1"/>
  <c r="Z8569" i="1"/>
  <c r="W8569" i="1"/>
  <c r="Z8568" i="1"/>
  <c r="W8568" i="1"/>
  <c r="Z8567" i="1"/>
  <c r="W8567" i="1"/>
  <c r="Z8566" i="1"/>
  <c r="W8566" i="1"/>
  <c r="Z8565" i="1"/>
  <c r="W8565" i="1"/>
  <c r="Z8564" i="1"/>
  <c r="W8564" i="1"/>
  <c r="Z8563" i="1"/>
  <c r="W8563" i="1"/>
  <c r="Z8562" i="1"/>
  <c r="W8562" i="1"/>
  <c r="Z8561" i="1"/>
  <c r="W8561" i="1"/>
  <c r="Z8560" i="1"/>
  <c r="W8560" i="1"/>
  <c r="Z8559" i="1"/>
  <c r="W8559" i="1"/>
  <c r="Z8558" i="1"/>
  <c r="W8558" i="1"/>
  <c r="Z8557" i="1"/>
  <c r="W8557" i="1"/>
  <c r="Z8556" i="1"/>
  <c r="W8556" i="1"/>
  <c r="Z8555" i="1"/>
  <c r="W8555" i="1"/>
  <c r="Z8554" i="1"/>
  <c r="W8554" i="1"/>
  <c r="Z8553" i="1"/>
  <c r="W8553" i="1"/>
  <c r="Z8552" i="1"/>
  <c r="W8552" i="1"/>
  <c r="Z8551" i="1"/>
  <c r="W8551" i="1"/>
  <c r="Z8550" i="1"/>
  <c r="W8550" i="1"/>
  <c r="Z8549" i="1"/>
  <c r="W8549" i="1"/>
  <c r="Z8548" i="1"/>
  <c r="W8548" i="1"/>
  <c r="Z8547" i="1"/>
  <c r="W8547" i="1"/>
  <c r="Z8546" i="1"/>
  <c r="W8546" i="1"/>
  <c r="Z8545" i="1"/>
  <c r="W8545" i="1"/>
  <c r="Z8544" i="1"/>
  <c r="W8544" i="1"/>
  <c r="Z8543" i="1"/>
  <c r="W8543" i="1"/>
  <c r="Z8542" i="1"/>
  <c r="W8542" i="1"/>
  <c r="Z8541" i="1"/>
  <c r="W8541" i="1"/>
  <c r="Z8540" i="1"/>
  <c r="W8540" i="1"/>
  <c r="Z8539" i="1"/>
  <c r="W8539" i="1"/>
  <c r="Z8538" i="1"/>
  <c r="W8538" i="1"/>
  <c r="Z8537" i="1"/>
  <c r="W8537" i="1"/>
  <c r="Z8536" i="1"/>
  <c r="W8536" i="1"/>
  <c r="Z8535" i="1"/>
  <c r="W8535" i="1"/>
  <c r="Z8534" i="1"/>
  <c r="W8534" i="1"/>
  <c r="Z8533" i="1"/>
  <c r="W8533" i="1"/>
  <c r="Z8532" i="1"/>
  <c r="W8532" i="1"/>
  <c r="Z8531" i="1"/>
  <c r="W8531" i="1"/>
  <c r="Z8530" i="1"/>
  <c r="W8530" i="1"/>
  <c r="Z8529" i="1"/>
  <c r="W8529" i="1"/>
  <c r="Z8528" i="1"/>
  <c r="W8528" i="1"/>
  <c r="Z8527" i="1"/>
  <c r="W8527" i="1"/>
  <c r="Z8526" i="1"/>
  <c r="W8526" i="1"/>
  <c r="Z8525" i="1"/>
  <c r="W8525" i="1"/>
  <c r="Z8524" i="1"/>
  <c r="W8524" i="1"/>
  <c r="Z8523" i="1"/>
  <c r="W8523" i="1"/>
  <c r="Z8522" i="1"/>
  <c r="W8522" i="1"/>
  <c r="Z8521" i="1"/>
  <c r="W8521" i="1"/>
  <c r="Z8520" i="1"/>
  <c r="W8520" i="1"/>
  <c r="Z8519" i="1"/>
  <c r="W8519" i="1"/>
  <c r="Z8518" i="1"/>
  <c r="W8518" i="1"/>
  <c r="Z8517" i="1"/>
  <c r="W8517" i="1"/>
  <c r="Z8516" i="1"/>
  <c r="W8516" i="1"/>
  <c r="Z8515" i="1"/>
  <c r="W8515" i="1"/>
  <c r="Z8514" i="1"/>
  <c r="W8514" i="1"/>
  <c r="Z8513" i="1"/>
  <c r="W8513" i="1"/>
  <c r="Z8512" i="1"/>
  <c r="W8512" i="1"/>
  <c r="Z8511" i="1"/>
  <c r="W8511" i="1"/>
  <c r="Z8510" i="1"/>
  <c r="W8510" i="1"/>
  <c r="Z8509" i="1"/>
  <c r="W8509" i="1"/>
  <c r="Z8508" i="1"/>
  <c r="W8508" i="1"/>
  <c r="Z8507" i="1"/>
  <c r="W8507" i="1"/>
  <c r="Z8506" i="1"/>
  <c r="W8506" i="1"/>
  <c r="Z8505" i="1"/>
  <c r="W8505" i="1"/>
  <c r="Z8504" i="1"/>
  <c r="W8504" i="1"/>
  <c r="Z8503" i="1"/>
  <c r="W8503" i="1"/>
  <c r="Z8502" i="1"/>
  <c r="W8502" i="1"/>
  <c r="Z8501" i="1"/>
  <c r="W8501" i="1"/>
  <c r="Z8500" i="1"/>
  <c r="W8500" i="1"/>
  <c r="Z8499" i="1"/>
  <c r="W8499" i="1"/>
  <c r="Z8498" i="1"/>
  <c r="W8498" i="1"/>
  <c r="Z8497" i="1"/>
  <c r="W8497" i="1"/>
  <c r="Z8496" i="1"/>
  <c r="W8496" i="1"/>
  <c r="Z8495" i="1"/>
  <c r="W8495" i="1"/>
  <c r="Z8494" i="1"/>
  <c r="W8494" i="1"/>
  <c r="Z8493" i="1"/>
  <c r="W8493" i="1"/>
  <c r="Z8492" i="1"/>
  <c r="W8492" i="1"/>
  <c r="Z8491" i="1"/>
  <c r="W8491" i="1"/>
  <c r="Z8490" i="1"/>
  <c r="W8490" i="1"/>
  <c r="Z8489" i="1"/>
  <c r="W8489" i="1"/>
  <c r="Z8488" i="1"/>
  <c r="W8488" i="1"/>
  <c r="Z8487" i="1"/>
  <c r="W8487" i="1"/>
  <c r="Z8486" i="1"/>
  <c r="W8486" i="1"/>
  <c r="Z8485" i="1"/>
  <c r="W8485" i="1"/>
  <c r="Z8484" i="1"/>
  <c r="W8484" i="1"/>
  <c r="Z8483" i="1"/>
  <c r="W8483" i="1"/>
  <c r="Z8482" i="1"/>
  <c r="W8482" i="1"/>
  <c r="Z8481" i="1"/>
  <c r="W8481" i="1"/>
  <c r="Z8480" i="1"/>
  <c r="W8480" i="1"/>
  <c r="Z8479" i="1"/>
  <c r="W8479" i="1"/>
  <c r="Z8478" i="1"/>
  <c r="W8478" i="1"/>
  <c r="Z8477" i="1"/>
  <c r="W8477" i="1"/>
  <c r="Z8476" i="1"/>
  <c r="W8476" i="1"/>
  <c r="Z8475" i="1"/>
  <c r="W8475" i="1"/>
  <c r="Z8474" i="1"/>
  <c r="W8474" i="1"/>
  <c r="Z8473" i="1"/>
  <c r="W8473" i="1"/>
  <c r="Z8472" i="1"/>
  <c r="W8472" i="1"/>
  <c r="Z8471" i="1"/>
  <c r="W8471" i="1"/>
  <c r="Z8470" i="1"/>
  <c r="W8470" i="1"/>
  <c r="Z8469" i="1"/>
  <c r="W8469" i="1"/>
  <c r="Z8468" i="1"/>
  <c r="W8468" i="1"/>
  <c r="Z8467" i="1"/>
  <c r="W8467" i="1"/>
  <c r="Z8466" i="1"/>
  <c r="W8466" i="1"/>
  <c r="Z8465" i="1"/>
  <c r="W8465" i="1"/>
  <c r="Z8464" i="1"/>
  <c r="W8464" i="1"/>
  <c r="Z8463" i="1"/>
  <c r="W8463" i="1"/>
  <c r="Z8462" i="1"/>
  <c r="W8462" i="1"/>
  <c r="Z8461" i="1"/>
  <c r="W8461" i="1"/>
  <c r="Z8460" i="1"/>
  <c r="W8460" i="1"/>
  <c r="Z8459" i="1"/>
  <c r="W8459" i="1"/>
  <c r="Z8458" i="1"/>
  <c r="W8458" i="1"/>
  <c r="Z8457" i="1"/>
  <c r="W8457" i="1"/>
  <c r="Z8456" i="1"/>
  <c r="W8456" i="1"/>
  <c r="Z8455" i="1"/>
  <c r="W8455" i="1"/>
  <c r="Z8454" i="1"/>
  <c r="W8454" i="1"/>
  <c r="Z8453" i="1"/>
  <c r="W8453" i="1"/>
  <c r="Z8452" i="1"/>
  <c r="W8452" i="1"/>
  <c r="Z8451" i="1"/>
  <c r="W8451" i="1"/>
  <c r="Z8450" i="1"/>
  <c r="W8450" i="1"/>
  <c r="Z8449" i="1"/>
  <c r="W8449" i="1"/>
  <c r="Z8448" i="1"/>
  <c r="W8448" i="1"/>
  <c r="Z8447" i="1"/>
  <c r="W8447" i="1"/>
  <c r="Z8446" i="1"/>
  <c r="W8446" i="1"/>
  <c r="Z8445" i="1"/>
  <c r="W8445" i="1"/>
  <c r="Z8444" i="1"/>
  <c r="W8444" i="1"/>
  <c r="Z8443" i="1"/>
  <c r="W8443" i="1"/>
  <c r="Z8442" i="1"/>
  <c r="W8442" i="1"/>
  <c r="Z8441" i="1"/>
  <c r="W8441" i="1"/>
  <c r="Z8440" i="1"/>
  <c r="W8440" i="1"/>
  <c r="Z8439" i="1"/>
  <c r="W8439" i="1"/>
  <c r="Z8438" i="1"/>
  <c r="W8438" i="1"/>
  <c r="Z8437" i="1"/>
  <c r="W8437" i="1"/>
  <c r="Z8436" i="1"/>
  <c r="W8436" i="1"/>
  <c r="Z8435" i="1"/>
  <c r="W8435" i="1"/>
  <c r="Z8434" i="1"/>
  <c r="W8434" i="1"/>
  <c r="Z8433" i="1"/>
  <c r="W8433" i="1"/>
  <c r="Z8432" i="1"/>
  <c r="W8432" i="1"/>
  <c r="Z8431" i="1"/>
  <c r="W8431" i="1"/>
  <c r="Z8430" i="1"/>
  <c r="W8430" i="1"/>
  <c r="Z8429" i="1"/>
  <c r="W8429" i="1"/>
  <c r="Z8428" i="1"/>
  <c r="W8428" i="1"/>
  <c r="Z8427" i="1"/>
  <c r="W8427" i="1"/>
  <c r="Z8426" i="1"/>
  <c r="W8426" i="1"/>
  <c r="Z8425" i="1"/>
  <c r="W8425" i="1"/>
  <c r="Z8424" i="1"/>
  <c r="W8424" i="1"/>
  <c r="Z8423" i="1"/>
  <c r="W8423" i="1"/>
  <c r="Z8422" i="1"/>
  <c r="W8422" i="1"/>
  <c r="Z8421" i="1"/>
  <c r="W8421" i="1"/>
  <c r="Z8420" i="1"/>
  <c r="W8420" i="1"/>
  <c r="Z8419" i="1"/>
  <c r="W8419" i="1"/>
  <c r="Z8418" i="1"/>
  <c r="W8418" i="1"/>
  <c r="Z8417" i="1"/>
  <c r="W8417" i="1"/>
  <c r="Z8416" i="1"/>
  <c r="W8416" i="1"/>
  <c r="Z8415" i="1"/>
  <c r="W8415" i="1"/>
  <c r="Z8414" i="1"/>
  <c r="W8414" i="1"/>
  <c r="Z8413" i="1"/>
  <c r="W8413" i="1"/>
  <c r="Z8412" i="1"/>
  <c r="W8412" i="1"/>
  <c r="Z8411" i="1"/>
  <c r="W8411" i="1"/>
  <c r="Z8410" i="1"/>
  <c r="W8410" i="1"/>
  <c r="Z8409" i="1"/>
  <c r="W8409" i="1"/>
  <c r="Z8408" i="1"/>
  <c r="W8408" i="1"/>
  <c r="Z8407" i="1"/>
  <c r="W8407" i="1"/>
  <c r="Z8406" i="1"/>
  <c r="W8406" i="1"/>
  <c r="Z8405" i="1"/>
  <c r="W8405" i="1"/>
  <c r="Z8404" i="1"/>
  <c r="W8404" i="1"/>
  <c r="Z8403" i="1"/>
  <c r="W8403" i="1"/>
  <c r="Z8402" i="1"/>
  <c r="W8402" i="1"/>
  <c r="Z8401" i="1"/>
  <c r="W8401" i="1"/>
  <c r="Z8400" i="1"/>
  <c r="W8400" i="1"/>
  <c r="Z8399" i="1"/>
  <c r="W8399" i="1"/>
  <c r="Z8398" i="1"/>
  <c r="W8398" i="1"/>
  <c r="Z8397" i="1"/>
  <c r="W8397" i="1"/>
  <c r="Z8396" i="1"/>
  <c r="W8396" i="1"/>
  <c r="Z8395" i="1"/>
  <c r="W8395" i="1"/>
  <c r="Z8394" i="1"/>
  <c r="W8394" i="1"/>
  <c r="Z8393" i="1"/>
  <c r="W8393" i="1"/>
  <c r="Z8392" i="1"/>
  <c r="W8392" i="1"/>
  <c r="Z8391" i="1"/>
  <c r="W8391" i="1"/>
  <c r="Z8390" i="1"/>
  <c r="W8390" i="1"/>
  <c r="Z8389" i="1"/>
  <c r="W8389" i="1"/>
  <c r="Z8388" i="1"/>
  <c r="W8388" i="1"/>
  <c r="Z8387" i="1"/>
  <c r="W8387" i="1"/>
  <c r="Z8386" i="1"/>
  <c r="W8386" i="1"/>
  <c r="Z8385" i="1"/>
  <c r="W8385" i="1"/>
  <c r="Z8384" i="1"/>
  <c r="W8384" i="1"/>
  <c r="Z8383" i="1"/>
  <c r="W8383" i="1"/>
  <c r="Z8382" i="1"/>
  <c r="W8382" i="1"/>
  <c r="Z8381" i="1"/>
  <c r="W8381" i="1"/>
  <c r="Z8380" i="1"/>
  <c r="W8380" i="1"/>
  <c r="Z8379" i="1"/>
  <c r="W8379" i="1"/>
  <c r="Z8378" i="1"/>
  <c r="W8378" i="1"/>
  <c r="Z8377" i="1"/>
  <c r="W8377" i="1"/>
  <c r="Z8376" i="1"/>
  <c r="W8376" i="1"/>
  <c r="Z8375" i="1"/>
  <c r="W8375" i="1"/>
  <c r="Z8374" i="1"/>
  <c r="W8374" i="1"/>
  <c r="Z8373" i="1"/>
  <c r="W8373" i="1"/>
  <c r="Z8372" i="1"/>
  <c r="W8372" i="1"/>
  <c r="Z8371" i="1"/>
  <c r="W8371" i="1"/>
  <c r="Z8370" i="1"/>
  <c r="W8370" i="1"/>
  <c r="Z8369" i="1"/>
  <c r="W8369" i="1"/>
  <c r="Z8368" i="1"/>
  <c r="W8368" i="1"/>
  <c r="Z8367" i="1"/>
  <c r="W8367" i="1"/>
  <c r="Z8366" i="1"/>
  <c r="W8366" i="1"/>
  <c r="Z8365" i="1"/>
  <c r="W8365" i="1"/>
  <c r="Z8364" i="1"/>
  <c r="W8364" i="1"/>
  <c r="Z8363" i="1"/>
  <c r="W8363" i="1"/>
  <c r="Z8362" i="1"/>
  <c r="W8362" i="1"/>
  <c r="Z8361" i="1"/>
  <c r="W8361" i="1"/>
  <c r="Z8360" i="1"/>
  <c r="W8360" i="1"/>
  <c r="Z8359" i="1"/>
  <c r="W8359" i="1"/>
  <c r="Z8358" i="1"/>
  <c r="W8358" i="1"/>
  <c r="Z8357" i="1"/>
  <c r="W8357" i="1"/>
  <c r="Z8356" i="1"/>
  <c r="W8356" i="1"/>
  <c r="Z8355" i="1"/>
  <c r="W8355" i="1"/>
  <c r="Z8354" i="1"/>
  <c r="W8354" i="1"/>
  <c r="Z8353" i="1"/>
  <c r="W8353" i="1"/>
  <c r="Z8352" i="1"/>
  <c r="W8352" i="1"/>
  <c r="Z8351" i="1"/>
  <c r="W8351" i="1"/>
  <c r="Z8350" i="1"/>
  <c r="W8350" i="1"/>
  <c r="Z8349" i="1"/>
  <c r="W8349" i="1"/>
  <c r="Z8348" i="1"/>
  <c r="W8348" i="1"/>
  <c r="Z8347" i="1"/>
  <c r="W8347" i="1"/>
  <c r="Z8346" i="1"/>
  <c r="W8346" i="1"/>
  <c r="Z8345" i="1"/>
  <c r="W8345" i="1"/>
  <c r="Z8344" i="1"/>
  <c r="W8344" i="1"/>
  <c r="Z8343" i="1"/>
  <c r="W8343" i="1"/>
  <c r="Z8342" i="1"/>
  <c r="W8342" i="1"/>
  <c r="Z8341" i="1"/>
  <c r="W8341" i="1"/>
  <c r="Z8340" i="1"/>
  <c r="W8340" i="1"/>
  <c r="Z8339" i="1"/>
  <c r="W8339" i="1"/>
  <c r="Z8338" i="1"/>
  <c r="W8338" i="1"/>
  <c r="Z8337" i="1"/>
  <c r="W8337" i="1"/>
  <c r="Z8336" i="1"/>
  <c r="W8336" i="1"/>
  <c r="Z8335" i="1"/>
  <c r="W8335" i="1"/>
  <c r="Z8334" i="1"/>
  <c r="W8334" i="1"/>
  <c r="Z8333" i="1"/>
  <c r="W8333" i="1"/>
  <c r="Z8332" i="1"/>
  <c r="W8332" i="1"/>
  <c r="Z8331" i="1"/>
  <c r="W8331" i="1"/>
  <c r="Z8330" i="1"/>
  <c r="W8330" i="1"/>
  <c r="Z8329" i="1"/>
  <c r="W8329" i="1"/>
  <c r="Z8328" i="1"/>
  <c r="W8328" i="1"/>
  <c r="Z8327" i="1"/>
  <c r="W8327" i="1"/>
  <c r="Z8326" i="1"/>
  <c r="W8326" i="1"/>
  <c r="Z8325" i="1"/>
  <c r="W8325" i="1"/>
  <c r="Z8324" i="1"/>
  <c r="W8324" i="1"/>
  <c r="Z8323" i="1"/>
  <c r="W8323" i="1"/>
  <c r="Z8322" i="1"/>
  <c r="W8322" i="1"/>
  <c r="Z8321" i="1"/>
  <c r="W8321" i="1"/>
  <c r="Z8320" i="1"/>
  <c r="W8320" i="1"/>
  <c r="Z8319" i="1"/>
  <c r="W8319" i="1"/>
  <c r="Z8318" i="1"/>
  <c r="W8318" i="1"/>
  <c r="Z8317" i="1"/>
  <c r="W8317" i="1"/>
  <c r="Z8316" i="1"/>
  <c r="W8316" i="1"/>
  <c r="Z8315" i="1"/>
  <c r="W8315" i="1"/>
  <c r="Z8314" i="1"/>
  <c r="W8314" i="1"/>
  <c r="Z8313" i="1"/>
  <c r="W8313" i="1"/>
  <c r="Z8312" i="1"/>
  <c r="W8312" i="1"/>
  <c r="Z8311" i="1"/>
  <c r="W8311" i="1"/>
  <c r="Z8310" i="1"/>
  <c r="W8310" i="1"/>
  <c r="Z8309" i="1"/>
  <c r="W8309" i="1"/>
  <c r="Z8308" i="1"/>
  <c r="W8308" i="1"/>
  <c r="Z8307" i="1"/>
  <c r="W8307" i="1"/>
  <c r="Z8306" i="1"/>
  <c r="W8306" i="1"/>
  <c r="Z8305" i="1"/>
  <c r="W8305" i="1"/>
  <c r="Z8304" i="1"/>
  <c r="W8304" i="1"/>
  <c r="Z8303" i="1"/>
  <c r="W8303" i="1"/>
  <c r="Z8302" i="1"/>
  <c r="W8302" i="1"/>
  <c r="Z8301" i="1"/>
  <c r="W8301" i="1"/>
  <c r="Z8300" i="1"/>
  <c r="W8300" i="1"/>
  <c r="Z8299" i="1"/>
  <c r="W8299" i="1"/>
  <c r="Z8298" i="1"/>
  <c r="W8298" i="1"/>
  <c r="Z8297" i="1"/>
  <c r="W8297" i="1"/>
  <c r="Z8296" i="1"/>
  <c r="W8296" i="1"/>
  <c r="Z8295" i="1"/>
  <c r="W8295" i="1"/>
  <c r="Z8294" i="1"/>
  <c r="W8294" i="1"/>
  <c r="Z8293" i="1"/>
  <c r="W8293" i="1"/>
  <c r="Z8292" i="1"/>
  <c r="W8292" i="1"/>
  <c r="Z8291" i="1"/>
  <c r="W8291" i="1"/>
  <c r="Z8290" i="1"/>
  <c r="W8290" i="1"/>
  <c r="Z8289" i="1"/>
  <c r="W8289" i="1"/>
  <c r="Z8288" i="1"/>
  <c r="W8288" i="1"/>
  <c r="Z8287" i="1"/>
  <c r="W8287" i="1"/>
  <c r="Z8286" i="1"/>
  <c r="W8286" i="1"/>
  <c r="Z8285" i="1"/>
  <c r="W8285" i="1"/>
  <c r="Z8284" i="1"/>
  <c r="W8284" i="1"/>
  <c r="Z8283" i="1"/>
  <c r="W8283" i="1"/>
  <c r="Z8282" i="1"/>
  <c r="W8282" i="1"/>
  <c r="Z8281" i="1"/>
  <c r="W8281" i="1"/>
  <c r="Z8280" i="1"/>
  <c r="W8280" i="1"/>
  <c r="Z8279" i="1"/>
  <c r="W8279" i="1"/>
  <c r="Z8278" i="1"/>
  <c r="W8278" i="1"/>
  <c r="Z8277" i="1"/>
  <c r="W8277" i="1"/>
  <c r="Z8276" i="1"/>
  <c r="W8276" i="1"/>
  <c r="Z8275" i="1"/>
  <c r="W8275" i="1"/>
  <c r="Z8274" i="1"/>
  <c r="W8274" i="1"/>
  <c r="Z8273" i="1"/>
  <c r="W8273" i="1"/>
  <c r="Z8272" i="1"/>
  <c r="W8272" i="1"/>
  <c r="Z8271" i="1"/>
  <c r="W8271" i="1"/>
  <c r="Z8270" i="1"/>
  <c r="W8270" i="1"/>
  <c r="Z8269" i="1"/>
  <c r="W8269" i="1"/>
  <c r="Z8268" i="1"/>
  <c r="W8268" i="1"/>
  <c r="Z8267" i="1"/>
  <c r="W8267" i="1"/>
  <c r="Z8266" i="1"/>
  <c r="W8266" i="1"/>
  <c r="Z8265" i="1"/>
  <c r="W8265" i="1"/>
  <c r="Z8264" i="1"/>
  <c r="W8264" i="1"/>
  <c r="Z8263" i="1"/>
  <c r="W8263" i="1"/>
  <c r="Z8262" i="1"/>
  <c r="W8262" i="1"/>
  <c r="Z8261" i="1"/>
  <c r="W8261" i="1"/>
  <c r="Z8260" i="1"/>
  <c r="W8260" i="1"/>
  <c r="Z8259" i="1"/>
  <c r="W8259" i="1"/>
  <c r="Z8258" i="1"/>
  <c r="W8258" i="1"/>
  <c r="Z8257" i="1"/>
  <c r="W8257" i="1"/>
  <c r="Z8256" i="1"/>
  <c r="W8256" i="1"/>
  <c r="Z8255" i="1"/>
  <c r="W8255" i="1"/>
  <c r="Z8254" i="1"/>
  <c r="W8254" i="1"/>
  <c r="Z8253" i="1"/>
  <c r="W8253" i="1"/>
  <c r="Z8252" i="1"/>
  <c r="W8252" i="1"/>
  <c r="Z8251" i="1"/>
  <c r="W8251" i="1"/>
  <c r="Z8250" i="1"/>
  <c r="W8250" i="1"/>
  <c r="Z8249" i="1"/>
  <c r="W8249" i="1"/>
  <c r="Z8248" i="1"/>
  <c r="W8248" i="1"/>
  <c r="Z8247" i="1"/>
  <c r="W8247" i="1"/>
  <c r="Z8246" i="1"/>
  <c r="W8246" i="1"/>
  <c r="Z8245" i="1"/>
  <c r="W8245" i="1"/>
  <c r="Z8244" i="1"/>
  <c r="W8244" i="1"/>
  <c r="Z8243" i="1"/>
  <c r="W8243" i="1"/>
  <c r="Z8242" i="1"/>
  <c r="W8242" i="1"/>
  <c r="Z8241" i="1"/>
  <c r="W8241" i="1"/>
  <c r="Z8240" i="1"/>
  <c r="W8240" i="1"/>
  <c r="Z8239" i="1"/>
  <c r="W8239" i="1"/>
  <c r="Z8238" i="1"/>
  <c r="W8238" i="1"/>
  <c r="Z8237" i="1"/>
  <c r="W8237" i="1"/>
  <c r="Z8236" i="1"/>
  <c r="W8236" i="1"/>
  <c r="Z8235" i="1"/>
  <c r="W8235" i="1"/>
  <c r="Z8234" i="1"/>
  <c r="W8234" i="1"/>
  <c r="Z8233" i="1"/>
  <c r="W8233" i="1"/>
  <c r="Z8232" i="1"/>
  <c r="W8232" i="1"/>
  <c r="Z8231" i="1"/>
  <c r="W8231" i="1"/>
  <c r="Z8230" i="1"/>
  <c r="W8230" i="1"/>
  <c r="Z8229" i="1"/>
  <c r="W8229" i="1"/>
  <c r="Z8228" i="1"/>
  <c r="W8228" i="1"/>
  <c r="Z8227" i="1"/>
  <c r="W8227" i="1"/>
  <c r="Z8226" i="1"/>
  <c r="W8226" i="1"/>
  <c r="Z8225" i="1"/>
  <c r="W8225" i="1"/>
  <c r="Z8224" i="1"/>
  <c r="W8224" i="1"/>
  <c r="Z8223" i="1"/>
  <c r="W8223" i="1"/>
  <c r="Z8222" i="1"/>
  <c r="W8222" i="1"/>
  <c r="Z8221" i="1"/>
  <c r="W8221" i="1"/>
  <c r="Z8220" i="1"/>
  <c r="W8220" i="1"/>
  <c r="Z8219" i="1"/>
  <c r="W8219" i="1"/>
  <c r="Z8218" i="1"/>
  <c r="W8218" i="1"/>
  <c r="Z8217" i="1"/>
  <c r="W8217" i="1"/>
  <c r="Z8216" i="1"/>
  <c r="W8216" i="1"/>
  <c r="Z8215" i="1"/>
  <c r="W8215" i="1"/>
  <c r="Z8214" i="1"/>
  <c r="W8214" i="1"/>
  <c r="Z8213" i="1"/>
  <c r="W8213" i="1"/>
  <c r="Z8212" i="1"/>
  <c r="W8212" i="1"/>
  <c r="Z8211" i="1"/>
  <c r="W8211" i="1"/>
  <c r="Z8210" i="1"/>
  <c r="W8210" i="1"/>
  <c r="Z8209" i="1"/>
  <c r="W8209" i="1"/>
  <c r="Z8208" i="1"/>
  <c r="W8208" i="1"/>
  <c r="Z8207" i="1"/>
  <c r="W8207" i="1"/>
  <c r="Z8206" i="1"/>
  <c r="W8206" i="1"/>
  <c r="Z8205" i="1"/>
  <c r="W8205" i="1"/>
  <c r="Z8204" i="1"/>
  <c r="W8204" i="1"/>
  <c r="Z8203" i="1"/>
  <c r="W8203" i="1"/>
  <c r="Z8202" i="1"/>
  <c r="W8202" i="1"/>
  <c r="Z8201" i="1"/>
  <c r="W8201" i="1"/>
  <c r="Z8200" i="1"/>
  <c r="W8200" i="1"/>
  <c r="Z8199" i="1"/>
  <c r="W8199" i="1"/>
  <c r="Z8198" i="1"/>
  <c r="W8198" i="1"/>
  <c r="Z8197" i="1"/>
  <c r="W8197" i="1"/>
  <c r="Z8196" i="1"/>
  <c r="W8196" i="1"/>
  <c r="Z8195" i="1"/>
  <c r="W8195" i="1"/>
  <c r="Z8194" i="1"/>
  <c r="W8194" i="1"/>
  <c r="Z8193" i="1"/>
  <c r="W8193" i="1"/>
  <c r="Z8192" i="1"/>
  <c r="W8192" i="1"/>
  <c r="Z8191" i="1"/>
  <c r="W8191" i="1"/>
  <c r="Z8190" i="1"/>
  <c r="W8190" i="1"/>
  <c r="Z8189" i="1"/>
  <c r="W8189" i="1"/>
  <c r="Z8188" i="1"/>
  <c r="W8188" i="1"/>
  <c r="Z8187" i="1"/>
  <c r="W8187" i="1"/>
  <c r="Z8186" i="1"/>
  <c r="W8186" i="1"/>
  <c r="Z8185" i="1"/>
  <c r="W8185" i="1"/>
  <c r="Z8184" i="1"/>
  <c r="W8184" i="1"/>
  <c r="Z8183" i="1"/>
  <c r="W8183" i="1"/>
  <c r="Z8182" i="1"/>
  <c r="W8182" i="1"/>
  <c r="Z8181" i="1"/>
  <c r="W8181" i="1"/>
  <c r="Z8180" i="1"/>
  <c r="W8180" i="1"/>
  <c r="Z8179" i="1"/>
  <c r="W8179" i="1"/>
  <c r="Z8178" i="1"/>
  <c r="W8178" i="1"/>
  <c r="Z8177" i="1"/>
  <c r="W8177" i="1"/>
  <c r="Z8176" i="1"/>
  <c r="W8176" i="1"/>
  <c r="Z8175" i="1"/>
  <c r="W8175" i="1"/>
  <c r="Z8174" i="1"/>
  <c r="W8174" i="1"/>
  <c r="Z8173" i="1"/>
  <c r="W8173" i="1"/>
  <c r="Z8172" i="1"/>
  <c r="W8172" i="1"/>
  <c r="Z8171" i="1"/>
  <c r="W8171" i="1"/>
  <c r="Z8170" i="1"/>
  <c r="W8170" i="1"/>
  <c r="Z8169" i="1"/>
  <c r="W8169" i="1"/>
  <c r="Z8168" i="1"/>
  <c r="W8168" i="1"/>
  <c r="Z8167" i="1"/>
  <c r="W8167" i="1"/>
  <c r="Z8166" i="1"/>
  <c r="W8166" i="1"/>
  <c r="Z8165" i="1"/>
  <c r="W8165" i="1"/>
  <c r="Z8164" i="1"/>
  <c r="W8164" i="1"/>
  <c r="Z8163" i="1"/>
  <c r="W8163" i="1"/>
  <c r="Z8162" i="1"/>
  <c r="W8162" i="1"/>
  <c r="Z8161" i="1"/>
  <c r="W8161" i="1"/>
  <c r="Z8160" i="1"/>
  <c r="W8160" i="1"/>
  <c r="Z8159" i="1"/>
  <c r="W8159" i="1"/>
  <c r="Z8158" i="1"/>
  <c r="W8158" i="1"/>
  <c r="Z8157" i="1"/>
  <c r="W8157" i="1"/>
  <c r="Z8156" i="1"/>
  <c r="W8156" i="1"/>
  <c r="Z8155" i="1"/>
  <c r="W8155" i="1"/>
  <c r="Z8154" i="1"/>
  <c r="W8154" i="1"/>
  <c r="Z8153" i="1"/>
  <c r="W8153" i="1"/>
  <c r="Z8152" i="1"/>
  <c r="W8152" i="1"/>
  <c r="Z8151" i="1"/>
  <c r="W8151" i="1"/>
  <c r="Z8150" i="1"/>
  <c r="W8150" i="1"/>
  <c r="Z8149" i="1"/>
  <c r="W8149" i="1"/>
  <c r="Z8148" i="1"/>
  <c r="W8148" i="1"/>
  <c r="Z8147" i="1"/>
  <c r="W8147" i="1"/>
  <c r="Z8146" i="1"/>
  <c r="W8146" i="1"/>
  <c r="Z8145" i="1"/>
  <c r="W8145" i="1"/>
  <c r="Z8144" i="1"/>
  <c r="W8144" i="1"/>
  <c r="Z8143" i="1"/>
  <c r="W8143" i="1"/>
  <c r="Z8142" i="1"/>
  <c r="W8142" i="1"/>
  <c r="Z8141" i="1"/>
  <c r="W8141" i="1"/>
  <c r="Z8140" i="1"/>
  <c r="W8140" i="1"/>
  <c r="Z8139" i="1"/>
  <c r="W8139" i="1"/>
  <c r="Z8138" i="1"/>
  <c r="W8138" i="1"/>
  <c r="Z8137" i="1"/>
  <c r="W8137" i="1"/>
  <c r="Z8136" i="1"/>
  <c r="W8136" i="1"/>
  <c r="Z8135" i="1"/>
  <c r="W8135" i="1"/>
  <c r="Z8134" i="1"/>
  <c r="W8134" i="1"/>
  <c r="Z8133" i="1"/>
  <c r="W8133" i="1"/>
  <c r="Z8132" i="1"/>
  <c r="W8132" i="1"/>
  <c r="Z8131" i="1"/>
  <c r="W8131" i="1"/>
  <c r="Z8130" i="1"/>
  <c r="W8130" i="1"/>
  <c r="Z8129" i="1"/>
  <c r="W8129" i="1"/>
  <c r="Z8128" i="1"/>
  <c r="W8128" i="1"/>
  <c r="Z8127" i="1"/>
  <c r="W8127" i="1"/>
  <c r="Z8126" i="1"/>
  <c r="W8126" i="1"/>
  <c r="Z8125" i="1"/>
  <c r="W8125" i="1"/>
  <c r="Z8124" i="1"/>
  <c r="W8124" i="1"/>
  <c r="Z8123" i="1"/>
  <c r="W8123" i="1"/>
  <c r="Z8122" i="1"/>
  <c r="W8122" i="1"/>
  <c r="Z8121" i="1"/>
  <c r="W8121" i="1"/>
  <c r="Z8120" i="1"/>
  <c r="W8120" i="1"/>
  <c r="Z8119" i="1"/>
  <c r="W8119" i="1"/>
  <c r="Z8118" i="1"/>
  <c r="W8118" i="1"/>
  <c r="Z8117" i="1"/>
  <c r="W8117" i="1"/>
  <c r="Z8116" i="1"/>
  <c r="W8116" i="1"/>
  <c r="Z8115" i="1"/>
  <c r="W8115" i="1"/>
  <c r="Z8114" i="1"/>
  <c r="W8114" i="1"/>
  <c r="Z8113" i="1"/>
  <c r="W8113" i="1"/>
  <c r="Z8112" i="1"/>
  <c r="W8112" i="1"/>
  <c r="Z8111" i="1"/>
  <c r="W8111" i="1"/>
  <c r="Z8110" i="1"/>
  <c r="W8110" i="1"/>
  <c r="Z8109" i="1"/>
  <c r="W8109" i="1"/>
  <c r="Z8108" i="1"/>
  <c r="W8108" i="1"/>
  <c r="Z8107" i="1"/>
  <c r="W8107" i="1"/>
  <c r="Z8106" i="1"/>
  <c r="W8106" i="1"/>
  <c r="Z8105" i="1"/>
  <c r="W8105" i="1"/>
  <c r="Z8104" i="1"/>
  <c r="W8104" i="1"/>
  <c r="Z8103" i="1"/>
  <c r="W8103" i="1"/>
  <c r="Z8102" i="1"/>
  <c r="W8102" i="1"/>
  <c r="Z8101" i="1"/>
  <c r="W8101" i="1"/>
  <c r="Z8100" i="1"/>
  <c r="W8100" i="1"/>
  <c r="Z8099" i="1"/>
  <c r="W8099" i="1"/>
  <c r="Z8098" i="1"/>
  <c r="W8098" i="1"/>
  <c r="Z8097" i="1"/>
  <c r="W8097" i="1"/>
  <c r="Z8096" i="1"/>
  <c r="W8096" i="1"/>
  <c r="Z8095" i="1"/>
  <c r="W8095" i="1"/>
  <c r="Z8094" i="1"/>
  <c r="W8094" i="1"/>
  <c r="Z8093" i="1"/>
  <c r="W8093" i="1"/>
  <c r="Z8092" i="1"/>
  <c r="W8092" i="1"/>
  <c r="Z8091" i="1"/>
  <c r="W8091" i="1"/>
  <c r="Z8090" i="1"/>
  <c r="W8090" i="1"/>
  <c r="Z8089" i="1"/>
  <c r="W8089" i="1"/>
  <c r="Z8088" i="1"/>
  <c r="W8088" i="1"/>
  <c r="Z8087" i="1"/>
  <c r="W8087" i="1"/>
  <c r="Z8086" i="1"/>
  <c r="W8086" i="1"/>
  <c r="Z8085" i="1"/>
  <c r="W8085" i="1"/>
  <c r="Z8084" i="1"/>
  <c r="W8084" i="1"/>
  <c r="Z8083" i="1"/>
  <c r="W8083" i="1"/>
  <c r="Z8082" i="1"/>
  <c r="W8082" i="1"/>
  <c r="Z8081" i="1"/>
  <c r="W8081" i="1"/>
  <c r="Z8080" i="1"/>
  <c r="W8080" i="1"/>
  <c r="Z8079" i="1"/>
  <c r="W8079" i="1"/>
  <c r="Z8078" i="1"/>
  <c r="W8078" i="1"/>
  <c r="Z8077" i="1"/>
  <c r="W8077" i="1"/>
  <c r="Z8076" i="1"/>
  <c r="W8076" i="1"/>
  <c r="Z8075" i="1"/>
  <c r="W8075" i="1"/>
  <c r="Z8074" i="1"/>
  <c r="W8074" i="1"/>
  <c r="Z8073" i="1"/>
  <c r="W8073" i="1"/>
  <c r="Z8072" i="1"/>
  <c r="W8072" i="1"/>
  <c r="Z8071" i="1"/>
  <c r="W8071" i="1"/>
  <c r="Z8070" i="1"/>
  <c r="W8070" i="1"/>
  <c r="Z8069" i="1"/>
  <c r="W8069" i="1"/>
  <c r="Z8068" i="1"/>
  <c r="W8068" i="1"/>
  <c r="Z8067" i="1"/>
  <c r="W8067" i="1"/>
  <c r="Z8066" i="1"/>
  <c r="W8066" i="1"/>
  <c r="Z8065" i="1"/>
  <c r="W8065" i="1"/>
  <c r="Z8064" i="1"/>
  <c r="W8064" i="1"/>
  <c r="Z8063" i="1"/>
  <c r="W8063" i="1"/>
  <c r="Z8062" i="1"/>
  <c r="W8062" i="1"/>
  <c r="Z8061" i="1"/>
  <c r="W8061" i="1"/>
  <c r="Z8060" i="1"/>
  <c r="W8060" i="1"/>
  <c r="Z8059" i="1"/>
  <c r="W8059" i="1"/>
  <c r="Z8058" i="1"/>
  <c r="W8058" i="1"/>
  <c r="Z8057" i="1"/>
  <c r="W8057" i="1"/>
  <c r="Z8056" i="1"/>
  <c r="W8056" i="1"/>
  <c r="Z8055" i="1"/>
  <c r="W8055" i="1"/>
  <c r="Z8054" i="1"/>
  <c r="W8054" i="1"/>
  <c r="Z8053" i="1"/>
  <c r="W8053" i="1"/>
  <c r="Z8052" i="1"/>
  <c r="W8052" i="1"/>
  <c r="Z8051" i="1"/>
  <c r="W8051" i="1"/>
  <c r="Z8050" i="1"/>
  <c r="W8050" i="1"/>
  <c r="Z8049" i="1"/>
  <c r="W8049" i="1"/>
  <c r="Z8048" i="1"/>
  <c r="W8048" i="1"/>
  <c r="Z8047" i="1"/>
  <c r="W8047" i="1"/>
  <c r="Z8046" i="1"/>
  <c r="W8046" i="1"/>
  <c r="Z8045" i="1"/>
  <c r="W8045" i="1"/>
  <c r="Z8044" i="1"/>
  <c r="W8044" i="1"/>
  <c r="Z8043" i="1"/>
  <c r="W8043" i="1"/>
  <c r="Z8042" i="1"/>
  <c r="W8042" i="1"/>
  <c r="Z8041" i="1"/>
  <c r="W8041" i="1"/>
  <c r="Z8040" i="1"/>
  <c r="W8040" i="1"/>
  <c r="Z8039" i="1"/>
  <c r="W8039" i="1"/>
  <c r="Z8038" i="1"/>
  <c r="W8038" i="1"/>
  <c r="Z8037" i="1"/>
  <c r="W8037" i="1"/>
  <c r="Z8036" i="1"/>
  <c r="W8036" i="1"/>
  <c r="Z8035" i="1"/>
  <c r="W8035" i="1"/>
  <c r="Z8034" i="1"/>
  <c r="W8034" i="1"/>
  <c r="Z8033" i="1"/>
  <c r="W8033" i="1"/>
  <c r="Z8032" i="1"/>
  <c r="W8032" i="1"/>
  <c r="Z8031" i="1"/>
  <c r="W8031" i="1"/>
  <c r="Z8030" i="1"/>
  <c r="W8030" i="1"/>
  <c r="Z8029" i="1"/>
  <c r="W8029" i="1"/>
  <c r="Z8028" i="1"/>
  <c r="W8028" i="1"/>
  <c r="Z8027" i="1"/>
  <c r="W8027" i="1"/>
  <c r="Z8026" i="1"/>
  <c r="W8026" i="1"/>
  <c r="Z8025" i="1"/>
  <c r="W8025" i="1"/>
  <c r="Z8024" i="1"/>
  <c r="W8024" i="1"/>
  <c r="Z8023" i="1"/>
  <c r="W8023" i="1"/>
  <c r="Z8022" i="1"/>
  <c r="W8022" i="1"/>
  <c r="Z8021" i="1"/>
  <c r="W8021" i="1"/>
  <c r="Z8020" i="1"/>
  <c r="W8020" i="1"/>
  <c r="Z8019" i="1"/>
  <c r="W8019" i="1"/>
  <c r="Z8018" i="1"/>
  <c r="W8018" i="1"/>
  <c r="Z8017" i="1"/>
  <c r="W8017" i="1"/>
  <c r="Z8016" i="1"/>
  <c r="W8016" i="1"/>
  <c r="Z8015" i="1"/>
  <c r="W8015" i="1"/>
  <c r="Z8014" i="1"/>
  <c r="W8014" i="1"/>
  <c r="Z8013" i="1"/>
  <c r="W8013" i="1"/>
  <c r="Z8012" i="1"/>
  <c r="W8012" i="1"/>
  <c r="Z8011" i="1"/>
  <c r="W8011" i="1"/>
  <c r="Z8010" i="1"/>
  <c r="W8010" i="1"/>
  <c r="Z8009" i="1"/>
  <c r="W8009" i="1"/>
  <c r="Z8008" i="1"/>
  <c r="W8008" i="1"/>
  <c r="Z8007" i="1"/>
  <c r="W8007" i="1"/>
  <c r="Z8006" i="1"/>
  <c r="W8006" i="1"/>
  <c r="Z8005" i="1"/>
  <c r="W8005" i="1"/>
  <c r="Z8004" i="1"/>
  <c r="W8004" i="1"/>
  <c r="Z8003" i="1"/>
  <c r="W8003" i="1"/>
  <c r="Z8002" i="1"/>
  <c r="W8002" i="1"/>
  <c r="Z8001" i="1"/>
  <c r="W8001" i="1"/>
  <c r="Z8000" i="1"/>
  <c r="W8000" i="1"/>
  <c r="Z7999" i="1"/>
  <c r="W7999" i="1"/>
  <c r="Z7998" i="1"/>
  <c r="W7998" i="1"/>
  <c r="Z7997" i="1"/>
  <c r="W7997" i="1"/>
  <c r="Z7996" i="1"/>
  <c r="W7996" i="1"/>
  <c r="Z7995" i="1"/>
  <c r="W7995" i="1"/>
  <c r="Z7994" i="1"/>
  <c r="W7994" i="1"/>
  <c r="Z7993" i="1"/>
  <c r="W7993" i="1"/>
  <c r="Z7992" i="1"/>
  <c r="W7992" i="1"/>
  <c r="Z7991" i="1"/>
  <c r="W7991" i="1"/>
  <c r="Z7990" i="1"/>
  <c r="W7990" i="1"/>
  <c r="Z7989" i="1"/>
  <c r="W7989" i="1"/>
  <c r="Z7988" i="1"/>
  <c r="W7988" i="1"/>
  <c r="Z7987" i="1"/>
  <c r="W7987" i="1"/>
  <c r="Z7986" i="1"/>
  <c r="W7986" i="1"/>
  <c r="Z7985" i="1"/>
  <c r="W7985" i="1"/>
  <c r="Z7984" i="1"/>
  <c r="W7984" i="1"/>
  <c r="Z7983" i="1"/>
  <c r="W7983" i="1"/>
  <c r="Z7982" i="1"/>
  <c r="W7982" i="1"/>
  <c r="Z7981" i="1"/>
  <c r="W7981" i="1"/>
  <c r="Z7980" i="1"/>
  <c r="W7980" i="1"/>
  <c r="Z7979" i="1"/>
  <c r="W7979" i="1"/>
  <c r="Z7978" i="1"/>
  <c r="W7978" i="1"/>
  <c r="Z7977" i="1"/>
  <c r="W7977" i="1"/>
  <c r="Z7976" i="1"/>
  <c r="W7976" i="1"/>
  <c r="Z7975" i="1"/>
  <c r="W7975" i="1"/>
  <c r="Z7974" i="1"/>
  <c r="W7974" i="1"/>
  <c r="Z7973" i="1"/>
  <c r="W7973" i="1"/>
  <c r="Z7972" i="1"/>
  <c r="W7972" i="1"/>
  <c r="Z7971" i="1"/>
  <c r="W7971" i="1"/>
  <c r="Z7970" i="1"/>
  <c r="W7970" i="1"/>
  <c r="Z7969" i="1"/>
  <c r="W7969" i="1"/>
  <c r="Z7968" i="1"/>
  <c r="W7968" i="1"/>
  <c r="Z7967" i="1"/>
  <c r="W7967" i="1"/>
  <c r="Z7966" i="1"/>
  <c r="W7966" i="1"/>
  <c r="Z7965" i="1"/>
  <c r="W7965" i="1"/>
  <c r="Z7964" i="1"/>
  <c r="W7964" i="1"/>
  <c r="Z7963" i="1"/>
  <c r="W7963" i="1"/>
  <c r="Z7962" i="1"/>
  <c r="W7962" i="1"/>
  <c r="Z7961" i="1"/>
  <c r="W7961" i="1"/>
  <c r="Z7960" i="1"/>
  <c r="W7960" i="1"/>
  <c r="Z7959" i="1"/>
  <c r="W7959" i="1"/>
  <c r="Z7958" i="1"/>
  <c r="W7958" i="1"/>
  <c r="Z7957" i="1"/>
  <c r="W7957" i="1"/>
  <c r="Z7956" i="1"/>
  <c r="W7956" i="1"/>
  <c r="Z7955" i="1"/>
  <c r="W7955" i="1"/>
  <c r="Z7954" i="1"/>
  <c r="W7954" i="1"/>
  <c r="Z7953" i="1"/>
  <c r="W7953" i="1"/>
  <c r="Z7952" i="1"/>
  <c r="W7952" i="1"/>
  <c r="Z7951" i="1"/>
  <c r="W7951" i="1"/>
  <c r="Z7950" i="1"/>
  <c r="W7950" i="1"/>
  <c r="Z7949" i="1"/>
  <c r="W7949" i="1"/>
  <c r="Z7948" i="1"/>
  <c r="W7948" i="1"/>
  <c r="Z7947" i="1"/>
  <c r="W7947" i="1"/>
  <c r="Z7946" i="1"/>
  <c r="W7946" i="1"/>
  <c r="Z7945" i="1"/>
  <c r="W7945" i="1"/>
  <c r="Z7944" i="1"/>
  <c r="W7944" i="1"/>
  <c r="Z7943" i="1"/>
  <c r="W7943" i="1"/>
  <c r="Z7942" i="1"/>
  <c r="W7942" i="1"/>
  <c r="Z7941" i="1"/>
  <c r="W7941" i="1"/>
  <c r="Z7940" i="1"/>
  <c r="W7940" i="1"/>
  <c r="Z7939" i="1"/>
  <c r="W7939" i="1"/>
  <c r="Z7938" i="1"/>
  <c r="W7938" i="1"/>
  <c r="Z7937" i="1"/>
  <c r="W7937" i="1"/>
  <c r="Z7936" i="1"/>
  <c r="W7936" i="1"/>
  <c r="Z7935" i="1"/>
  <c r="W7935" i="1"/>
  <c r="Z7934" i="1"/>
  <c r="W7934" i="1"/>
  <c r="Z7933" i="1"/>
  <c r="W7933" i="1"/>
  <c r="Z7932" i="1"/>
  <c r="W7932" i="1"/>
  <c r="Z7931" i="1"/>
  <c r="W7931" i="1"/>
  <c r="Z7930" i="1"/>
  <c r="W7930" i="1"/>
  <c r="Z7929" i="1"/>
  <c r="W7929" i="1"/>
  <c r="Z7928" i="1"/>
  <c r="W7928" i="1"/>
  <c r="Z7927" i="1"/>
  <c r="W7927" i="1"/>
  <c r="Z7926" i="1"/>
  <c r="W7926" i="1"/>
  <c r="Z7925" i="1"/>
  <c r="W7925" i="1"/>
  <c r="Z7924" i="1"/>
  <c r="W7924" i="1"/>
  <c r="Z7923" i="1"/>
  <c r="W7923" i="1"/>
  <c r="Z7922" i="1"/>
  <c r="W7922" i="1"/>
  <c r="Z7921" i="1"/>
  <c r="W7921" i="1"/>
  <c r="Z7920" i="1"/>
  <c r="W7920" i="1"/>
  <c r="Z7919" i="1"/>
  <c r="W7919" i="1"/>
  <c r="Z7918" i="1"/>
  <c r="W7918" i="1"/>
  <c r="Z7917" i="1"/>
  <c r="W7917" i="1"/>
  <c r="Z7916" i="1"/>
  <c r="W7916" i="1"/>
  <c r="Z7915" i="1"/>
  <c r="W7915" i="1"/>
  <c r="Z7914" i="1"/>
  <c r="W7914" i="1"/>
  <c r="Z7913" i="1"/>
  <c r="W7913" i="1"/>
  <c r="Z7912" i="1"/>
  <c r="W7912" i="1"/>
  <c r="Z7911" i="1"/>
  <c r="W7911" i="1"/>
  <c r="Z7910" i="1"/>
  <c r="W7910" i="1"/>
  <c r="Z7909" i="1"/>
  <c r="W7909" i="1"/>
  <c r="Z7908" i="1"/>
  <c r="W7908" i="1"/>
  <c r="Z7907" i="1"/>
  <c r="W7907" i="1"/>
  <c r="Z7906" i="1"/>
  <c r="W7906" i="1"/>
  <c r="Z7905" i="1"/>
  <c r="W7905" i="1"/>
  <c r="Z7904" i="1"/>
  <c r="W7904" i="1"/>
  <c r="Z7903" i="1"/>
  <c r="W7903" i="1"/>
  <c r="Z7902" i="1"/>
  <c r="W7902" i="1"/>
  <c r="Z7901" i="1"/>
  <c r="W7901" i="1"/>
  <c r="Z7900" i="1"/>
  <c r="W7900" i="1"/>
  <c r="Z7899" i="1"/>
  <c r="W7899" i="1"/>
  <c r="Z7898" i="1"/>
  <c r="W7898" i="1"/>
  <c r="Z7897" i="1"/>
  <c r="W7897" i="1"/>
  <c r="Z7896" i="1"/>
  <c r="W7896" i="1"/>
  <c r="Z7895" i="1"/>
  <c r="W7895" i="1"/>
  <c r="Z7894" i="1"/>
  <c r="W7894" i="1"/>
  <c r="Z7893" i="1"/>
  <c r="W7893" i="1"/>
  <c r="Z7892" i="1"/>
  <c r="W7892" i="1"/>
  <c r="Z7891" i="1"/>
  <c r="W7891" i="1"/>
  <c r="Z7890" i="1"/>
  <c r="W7890" i="1"/>
  <c r="Z7889" i="1"/>
  <c r="W7889" i="1"/>
  <c r="Z7888" i="1"/>
  <c r="W7888" i="1"/>
  <c r="Z7887" i="1"/>
  <c r="W7887" i="1"/>
  <c r="Z7886" i="1"/>
  <c r="W7886" i="1"/>
  <c r="Z7885" i="1"/>
  <c r="W7885" i="1"/>
  <c r="Z7884" i="1"/>
  <c r="W7884" i="1"/>
  <c r="Z7883" i="1"/>
  <c r="W7883" i="1"/>
  <c r="Z7882" i="1"/>
  <c r="W7882" i="1"/>
  <c r="Z7881" i="1"/>
  <c r="W7881" i="1"/>
  <c r="Z7880" i="1"/>
  <c r="W7880" i="1"/>
  <c r="Z7879" i="1"/>
  <c r="W7879" i="1"/>
  <c r="Z7878" i="1"/>
  <c r="W7878" i="1"/>
  <c r="Z7877" i="1"/>
  <c r="W7877" i="1"/>
  <c r="Z7876" i="1"/>
  <c r="W7876" i="1"/>
  <c r="Z7875" i="1"/>
  <c r="W7875" i="1"/>
  <c r="Z7874" i="1"/>
  <c r="W7874" i="1"/>
  <c r="Z7873" i="1"/>
  <c r="W7873" i="1"/>
  <c r="Z7872" i="1"/>
  <c r="W7872" i="1"/>
  <c r="Z7871" i="1"/>
  <c r="W7871" i="1"/>
  <c r="Z7870" i="1"/>
  <c r="W7870" i="1"/>
  <c r="Z7869" i="1"/>
  <c r="W7869" i="1"/>
  <c r="Z7868" i="1"/>
  <c r="W7868" i="1"/>
  <c r="Z7867" i="1"/>
  <c r="W7867" i="1"/>
  <c r="Z7866" i="1"/>
  <c r="W7866" i="1"/>
  <c r="Z7865" i="1"/>
  <c r="W7865" i="1"/>
  <c r="Z7864" i="1"/>
  <c r="W7864" i="1"/>
  <c r="Z7863" i="1"/>
  <c r="W7863" i="1"/>
  <c r="Z7862" i="1"/>
  <c r="W7862" i="1"/>
  <c r="Z7861" i="1"/>
  <c r="W7861" i="1"/>
  <c r="Z7860" i="1"/>
  <c r="W7860" i="1"/>
  <c r="Z7859" i="1"/>
  <c r="W7859" i="1"/>
  <c r="Z7858" i="1"/>
  <c r="W7858" i="1"/>
  <c r="Z7857" i="1"/>
  <c r="W7857" i="1"/>
  <c r="Z7856" i="1"/>
  <c r="W7856" i="1"/>
  <c r="Z7855" i="1"/>
  <c r="W7855" i="1"/>
  <c r="Z7854" i="1"/>
  <c r="W7854" i="1"/>
  <c r="Z7853" i="1"/>
  <c r="W7853" i="1"/>
  <c r="Z7852" i="1"/>
  <c r="W7852" i="1"/>
  <c r="Z7851" i="1"/>
  <c r="W7851" i="1"/>
  <c r="Z7850" i="1"/>
  <c r="W7850" i="1"/>
  <c r="Z7849" i="1"/>
  <c r="W7849" i="1"/>
  <c r="Z7848" i="1"/>
  <c r="W7848" i="1"/>
  <c r="Z7847" i="1"/>
  <c r="W7847" i="1"/>
  <c r="Z7846" i="1"/>
  <c r="W7846" i="1"/>
  <c r="Z7845" i="1"/>
  <c r="W7845" i="1"/>
  <c r="Z7844" i="1"/>
  <c r="W7844" i="1"/>
  <c r="Z7843" i="1"/>
  <c r="W7843" i="1"/>
  <c r="Z7842" i="1"/>
  <c r="W7842" i="1"/>
  <c r="Z7841" i="1"/>
  <c r="W7841" i="1"/>
  <c r="Z7840" i="1"/>
  <c r="W7840" i="1"/>
  <c r="Z7839" i="1"/>
  <c r="W7839" i="1"/>
  <c r="Z7838" i="1"/>
  <c r="W7838" i="1"/>
  <c r="Z7837" i="1"/>
  <c r="W7837" i="1"/>
  <c r="Z7836" i="1"/>
  <c r="W7836" i="1"/>
  <c r="Z7835" i="1"/>
  <c r="W7835" i="1"/>
  <c r="Z7834" i="1"/>
  <c r="W7834" i="1"/>
  <c r="Z7833" i="1"/>
  <c r="W7833" i="1"/>
  <c r="Z7832" i="1"/>
  <c r="W7832" i="1"/>
  <c r="Z7831" i="1"/>
  <c r="W7831" i="1"/>
  <c r="Z7830" i="1"/>
  <c r="W7830" i="1"/>
  <c r="Z7829" i="1"/>
  <c r="W7829" i="1"/>
  <c r="Z7828" i="1"/>
  <c r="W7828" i="1"/>
  <c r="Z7827" i="1"/>
  <c r="W7827" i="1"/>
  <c r="Z7826" i="1"/>
  <c r="W7826" i="1"/>
  <c r="Z7825" i="1"/>
  <c r="W7825" i="1"/>
  <c r="Z7824" i="1"/>
  <c r="W7824" i="1"/>
  <c r="Z7823" i="1"/>
  <c r="W7823" i="1"/>
  <c r="Z7822" i="1"/>
  <c r="W7822" i="1"/>
  <c r="Z7821" i="1"/>
  <c r="W7821" i="1"/>
  <c r="Z7820" i="1"/>
  <c r="W7820" i="1"/>
  <c r="Z7819" i="1"/>
  <c r="W7819" i="1"/>
  <c r="Z7818" i="1"/>
  <c r="W7818" i="1"/>
  <c r="Z7817" i="1"/>
  <c r="W7817" i="1"/>
  <c r="Z7816" i="1"/>
  <c r="W7816" i="1"/>
  <c r="Z7815" i="1"/>
  <c r="W7815" i="1"/>
  <c r="Z7814" i="1"/>
  <c r="W7814" i="1"/>
  <c r="Z7813" i="1"/>
  <c r="W7813" i="1"/>
  <c r="Z7812" i="1"/>
  <c r="W7812" i="1"/>
  <c r="Z7811" i="1"/>
  <c r="W7811" i="1"/>
  <c r="Z7810" i="1"/>
  <c r="W7810" i="1"/>
  <c r="Z7809" i="1"/>
  <c r="W7809" i="1"/>
  <c r="Z7808" i="1"/>
  <c r="W7808" i="1"/>
  <c r="Z7807" i="1"/>
  <c r="W7807" i="1"/>
  <c r="Z7806" i="1"/>
  <c r="W7806" i="1"/>
  <c r="Z7805" i="1"/>
  <c r="W7805" i="1"/>
  <c r="Z7804" i="1"/>
  <c r="W7804" i="1"/>
  <c r="Z7803" i="1"/>
  <c r="W7803" i="1"/>
  <c r="Z7802" i="1"/>
  <c r="W7802" i="1"/>
  <c r="Z7801" i="1"/>
  <c r="W7801" i="1"/>
  <c r="Z7800" i="1"/>
  <c r="W7800" i="1"/>
  <c r="Z7799" i="1"/>
  <c r="W7799" i="1"/>
  <c r="Z7798" i="1"/>
  <c r="W7798" i="1"/>
  <c r="Z7797" i="1"/>
  <c r="W7797" i="1"/>
  <c r="Z7796" i="1"/>
  <c r="W7796" i="1"/>
  <c r="Z7795" i="1"/>
  <c r="W7795" i="1"/>
  <c r="Z7794" i="1"/>
  <c r="W7794" i="1"/>
  <c r="Z7793" i="1"/>
  <c r="W7793" i="1"/>
  <c r="Z7792" i="1"/>
  <c r="W7792" i="1"/>
  <c r="Z7791" i="1"/>
  <c r="W7791" i="1"/>
  <c r="Z7789" i="1"/>
  <c r="W7789" i="1"/>
  <c r="Z7788" i="1"/>
  <c r="W7788" i="1"/>
  <c r="Z7787" i="1"/>
  <c r="W7787" i="1"/>
  <c r="Z7786" i="1"/>
  <c r="W7786" i="1"/>
  <c r="Z7785" i="1"/>
  <c r="W7785" i="1"/>
  <c r="Z7784" i="1"/>
  <c r="W7784" i="1"/>
  <c r="Z7783" i="1"/>
  <c r="W7783" i="1"/>
  <c r="Z7782" i="1"/>
  <c r="W7782" i="1"/>
  <c r="Z7781" i="1"/>
  <c r="W7781" i="1"/>
  <c r="Z7780" i="1"/>
  <c r="W7780" i="1"/>
  <c r="Z7779" i="1"/>
  <c r="W7779" i="1"/>
  <c r="Z7778" i="1"/>
  <c r="W7778" i="1"/>
  <c r="Z7777" i="1"/>
  <c r="W7777" i="1"/>
  <c r="Z7776" i="1"/>
  <c r="W7776" i="1"/>
  <c r="Z7775" i="1"/>
  <c r="W7775" i="1"/>
  <c r="Z7774" i="1"/>
  <c r="W7774" i="1"/>
  <c r="Z7773" i="1"/>
  <c r="W7773" i="1"/>
  <c r="Z7772" i="1"/>
  <c r="W7772" i="1"/>
  <c r="Z7771" i="1"/>
  <c r="W7771" i="1"/>
  <c r="Z7770" i="1"/>
  <c r="W7770" i="1"/>
  <c r="Z7769" i="1"/>
  <c r="W7769" i="1"/>
  <c r="Z7768" i="1"/>
  <c r="W7768" i="1"/>
  <c r="Z7767" i="1"/>
  <c r="W7767" i="1"/>
  <c r="Z7766" i="1"/>
  <c r="W7766" i="1"/>
  <c r="Z7765" i="1"/>
  <c r="W7765" i="1"/>
  <c r="Z7764" i="1"/>
  <c r="W7764" i="1"/>
  <c r="Z7763" i="1"/>
  <c r="W7763" i="1"/>
  <c r="Z7762" i="1"/>
  <c r="W7762" i="1"/>
  <c r="Z7761" i="1"/>
  <c r="W7761" i="1"/>
  <c r="Z7760" i="1"/>
  <c r="W7760" i="1"/>
  <c r="Z7759" i="1"/>
  <c r="W7759" i="1"/>
  <c r="Z7758" i="1"/>
  <c r="W7758" i="1"/>
  <c r="Z7757" i="1"/>
  <c r="W7757" i="1"/>
  <c r="Z7756" i="1"/>
  <c r="W7756" i="1"/>
  <c r="Z7755" i="1"/>
  <c r="W7755" i="1"/>
  <c r="Z7754" i="1"/>
  <c r="W7754" i="1"/>
  <c r="Z7753" i="1"/>
  <c r="W7753" i="1"/>
  <c r="Z7752" i="1"/>
  <c r="W7752" i="1"/>
  <c r="Z7751" i="1"/>
  <c r="W7751" i="1"/>
  <c r="Z7750" i="1"/>
  <c r="W7750" i="1"/>
  <c r="Z7749" i="1"/>
  <c r="W7749" i="1"/>
  <c r="Z7748" i="1"/>
  <c r="W7748" i="1"/>
  <c r="Z7747" i="1"/>
  <c r="W7747" i="1"/>
  <c r="Z7746" i="1"/>
  <c r="W7746" i="1"/>
  <c r="Z7745" i="1"/>
  <c r="W7745" i="1"/>
  <c r="Z7744" i="1"/>
  <c r="W7744" i="1"/>
  <c r="Z7743" i="1"/>
  <c r="W7743" i="1"/>
  <c r="Z7742" i="1"/>
  <c r="W7742" i="1"/>
  <c r="Z7741" i="1"/>
  <c r="W7741" i="1"/>
  <c r="Z7740" i="1"/>
  <c r="W7740" i="1"/>
  <c r="Z7739" i="1"/>
  <c r="W7739" i="1"/>
  <c r="Z7738" i="1"/>
  <c r="W7738" i="1"/>
  <c r="Z7737" i="1"/>
  <c r="W7737" i="1"/>
  <c r="Z7736" i="1"/>
  <c r="W7736" i="1"/>
  <c r="Z7735" i="1"/>
  <c r="W7735" i="1"/>
  <c r="Z7734" i="1"/>
  <c r="W7734" i="1"/>
  <c r="Z7733" i="1"/>
  <c r="W7733" i="1"/>
  <c r="Z7732" i="1"/>
  <c r="W7732" i="1"/>
  <c r="Z7731" i="1"/>
  <c r="W7731" i="1"/>
  <c r="Z7730" i="1"/>
  <c r="W7730" i="1"/>
  <c r="Z7729" i="1"/>
  <c r="W7729" i="1"/>
  <c r="Z7728" i="1"/>
  <c r="W7728" i="1"/>
  <c r="Z7727" i="1"/>
  <c r="W7727" i="1"/>
  <c r="Z7726" i="1"/>
  <c r="W7726" i="1"/>
  <c r="Z7725" i="1"/>
  <c r="W7725" i="1"/>
  <c r="Z7724" i="1"/>
  <c r="W7724" i="1"/>
  <c r="Z7723" i="1"/>
  <c r="W7723" i="1"/>
  <c r="Z7722" i="1"/>
  <c r="W7722" i="1"/>
  <c r="Z7721" i="1"/>
  <c r="W7721" i="1"/>
  <c r="Z7720" i="1"/>
  <c r="W7720" i="1"/>
  <c r="Z7719" i="1"/>
  <c r="W7719" i="1"/>
  <c r="Z7718" i="1"/>
  <c r="W7718" i="1"/>
  <c r="Z7717" i="1"/>
  <c r="W7717" i="1"/>
  <c r="Z7716" i="1"/>
  <c r="W7716" i="1"/>
  <c r="Z7715" i="1"/>
  <c r="W7715" i="1"/>
  <c r="Z7714" i="1"/>
  <c r="W7714" i="1"/>
  <c r="Z7713" i="1"/>
  <c r="W7713" i="1"/>
  <c r="Z7712" i="1"/>
  <c r="W7712" i="1"/>
  <c r="Z7711" i="1"/>
  <c r="W7711" i="1"/>
  <c r="Z7710" i="1"/>
  <c r="W7710" i="1"/>
  <c r="Z7709" i="1"/>
  <c r="W7709" i="1"/>
  <c r="Z7708" i="1"/>
  <c r="W7708" i="1"/>
  <c r="Z7707" i="1"/>
  <c r="W7707" i="1"/>
  <c r="Z7706" i="1"/>
  <c r="W7706" i="1"/>
  <c r="Z7705" i="1"/>
  <c r="W7705" i="1"/>
  <c r="Z7704" i="1"/>
  <c r="W7704" i="1"/>
  <c r="Z7703" i="1"/>
  <c r="W7703" i="1"/>
  <c r="Z7702" i="1"/>
  <c r="W7702" i="1"/>
  <c r="Z7701" i="1"/>
  <c r="W7701" i="1"/>
  <c r="Z7700" i="1"/>
  <c r="W7700" i="1"/>
  <c r="Z7699" i="1"/>
  <c r="W7699" i="1"/>
  <c r="Z7698" i="1"/>
  <c r="W7698" i="1"/>
  <c r="Z7697" i="1"/>
  <c r="W7697" i="1"/>
  <c r="Z7696" i="1"/>
  <c r="W7696" i="1"/>
  <c r="Z7695" i="1"/>
  <c r="W7695" i="1"/>
  <c r="Z7694" i="1"/>
  <c r="W7694" i="1"/>
  <c r="Z7693" i="1"/>
  <c r="W7693" i="1"/>
  <c r="Z7692" i="1"/>
  <c r="W7692" i="1"/>
  <c r="Z7691" i="1"/>
  <c r="W7691" i="1"/>
  <c r="Z7690" i="1"/>
  <c r="W7690" i="1"/>
  <c r="Z7689" i="1"/>
  <c r="W7689" i="1"/>
  <c r="Z7688" i="1"/>
  <c r="W7688" i="1"/>
  <c r="Z7687" i="1"/>
  <c r="W7687" i="1"/>
  <c r="Z7686" i="1"/>
  <c r="W7686" i="1"/>
  <c r="Z7685" i="1"/>
  <c r="W7685" i="1"/>
  <c r="Z7684" i="1"/>
  <c r="W7684" i="1"/>
  <c r="Z7683" i="1"/>
  <c r="W7683" i="1"/>
  <c r="Z7682" i="1"/>
  <c r="W7682" i="1"/>
  <c r="Z7681" i="1"/>
  <c r="W7681" i="1"/>
  <c r="Z7680" i="1"/>
  <c r="W7680" i="1"/>
  <c r="Z7679" i="1"/>
  <c r="W7679" i="1"/>
  <c r="Z7678" i="1"/>
  <c r="W7678" i="1"/>
  <c r="Z7677" i="1"/>
  <c r="W7677" i="1"/>
  <c r="Z7676" i="1"/>
  <c r="W7676" i="1"/>
  <c r="Z7675" i="1"/>
  <c r="W7675" i="1"/>
  <c r="Z7674" i="1"/>
  <c r="W7674" i="1"/>
  <c r="Z7673" i="1"/>
  <c r="W7673" i="1"/>
  <c r="Z7672" i="1"/>
  <c r="W7672" i="1"/>
  <c r="Z7671" i="1"/>
  <c r="W7671" i="1"/>
  <c r="Z7670" i="1"/>
  <c r="W7670" i="1"/>
  <c r="Z7669" i="1"/>
  <c r="W7669" i="1"/>
  <c r="Z7668" i="1"/>
  <c r="W7668" i="1"/>
  <c r="Z7667" i="1"/>
  <c r="W7667" i="1"/>
  <c r="Z7666" i="1"/>
  <c r="W7666" i="1"/>
  <c r="Z7665" i="1"/>
  <c r="W7665" i="1"/>
  <c r="Z7664" i="1"/>
  <c r="W7664" i="1"/>
  <c r="Z7663" i="1"/>
  <c r="W7663" i="1"/>
  <c r="Z7662" i="1"/>
  <c r="W7662" i="1"/>
  <c r="Z7661" i="1"/>
  <c r="W7661" i="1"/>
  <c r="Z7660" i="1"/>
  <c r="W7660" i="1"/>
  <c r="Z7659" i="1"/>
  <c r="W7659" i="1"/>
  <c r="Z7658" i="1"/>
  <c r="W7658" i="1"/>
  <c r="Z7657" i="1"/>
  <c r="W7657" i="1"/>
  <c r="Z7656" i="1"/>
  <c r="W7656" i="1"/>
  <c r="Z7655" i="1"/>
  <c r="W7655" i="1"/>
  <c r="Z7654" i="1"/>
  <c r="W7654" i="1"/>
  <c r="Z7653" i="1"/>
  <c r="W7653" i="1"/>
  <c r="Z7652" i="1"/>
  <c r="W7652" i="1"/>
  <c r="Z7651" i="1"/>
  <c r="W7651" i="1"/>
  <c r="Z7650" i="1"/>
  <c r="W7650" i="1"/>
  <c r="Z7649" i="1"/>
  <c r="W7649" i="1"/>
  <c r="Z7648" i="1"/>
  <c r="W7648" i="1"/>
  <c r="Z7647" i="1"/>
  <c r="W7647" i="1"/>
  <c r="Z7646" i="1"/>
  <c r="W7646" i="1"/>
  <c r="Z7645" i="1"/>
  <c r="W7645" i="1"/>
  <c r="Z7644" i="1"/>
  <c r="W7644" i="1"/>
  <c r="Z7643" i="1"/>
  <c r="W7643" i="1"/>
  <c r="Z7642" i="1"/>
  <c r="W7642" i="1"/>
  <c r="Z7641" i="1"/>
  <c r="W7641" i="1"/>
  <c r="Z7640" i="1"/>
  <c r="W7640" i="1"/>
  <c r="Z7639" i="1"/>
  <c r="W7639" i="1"/>
  <c r="Z7638" i="1"/>
  <c r="W7638" i="1"/>
  <c r="Z7637" i="1"/>
  <c r="W7637" i="1"/>
  <c r="Z7636" i="1"/>
  <c r="W7636" i="1"/>
  <c r="Z7635" i="1"/>
  <c r="W7635" i="1"/>
  <c r="Z7634" i="1"/>
  <c r="W7634" i="1"/>
  <c r="Z7633" i="1"/>
  <c r="W7633" i="1"/>
  <c r="Z7632" i="1"/>
  <c r="W7632" i="1"/>
  <c r="Z7631" i="1"/>
  <c r="W7631" i="1"/>
  <c r="Z7630" i="1"/>
  <c r="W7630" i="1"/>
  <c r="Z7629" i="1"/>
  <c r="W7629" i="1"/>
  <c r="Z7628" i="1"/>
  <c r="W7628" i="1"/>
  <c r="Z7627" i="1"/>
  <c r="W7627" i="1"/>
  <c r="Z7626" i="1"/>
  <c r="W7626" i="1"/>
  <c r="Z7625" i="1"/>
  <c r="W7625" i="1"/>
  <c r="Z7624" i="1"/>
  <c r="W7624" i="1"/>
  <c r="Z7623" i="1"/>
  <c r="W7623" i="1"/>
  <c r="Z7622" i="1"/>
  <c r="W7622" i="1"/>
  <c r="Z7621" i="1"/>
  <c r="W7621" i="1"/>
  <c r="Z7620" i="1"/>
  <c r="W7620" i="1"/>
  <c r="Z7619" i="1"/>
  <c r="W7619" i="1"/>
  <c r="Z7618" i="1"/>
  <c r="W7618" i="1"/>
  <c r="Z7617" i="1"/>
  <c r="W7617" i="1"/>
  <c r="Z7616" i="1"/>
  <c r="W7616" i="1"/>
  <c r="Z7615" i="1"/>
  <c r="W7615" i="1"/>
  <c r="Z7614" i="1"/>
  <c r="W7614" i="1"/>
  <c r="Z7613" i="1"/>
  <c r="W7613" i="1"/>
  <c r="Z7612" i="1"/>
  <c r="W7612" i="1"/>
  <c r="Z7611" i="1"/>
  <c r="W7611" i="1"/>
  <c r="Z7610" i="1"/>
  <c r="W7610" i="1"/>
  <c r="Z7609" i="1"/>
  <c r="W7609" i="1"/>
  <c r="Z7608" i="1"/>
  <c r="W7608" i="1"/>
  <c r="Z7607" i="1"/>
  <c r="W7607" i="1"/>
  <c r="Z7606" i="1"/>
  <c r="W7606" i="1"/>
  <c r="Z7605" i="1"/>
  <c r="W7605" i="1"/>
  <c r="Z7604" i="1"/>
  <c r="W7604" i="1"/>
  <c r="Z7603" i="1"/>
  <c r="W7603" i="1"/>
  <c r="Z7602" i="1"/>
  <c r="W7602" i="1"/>
  <c r="Z7601" i="1"/>
  <c r="W7601" i="1"/>
  <c r="Z7600" i="1"/>
  <c r="W7600" i="1"/>
  <c r="Z7599" i="1"/>
  <c r="W7599" i="1"/>
  <c r="Z7598" i="1"/>
  <c r="W7598" i="1"/>
  <c r="Z7597" i="1"/>
  <c r="W7597" i="1"/>
  <c r="Z7596" i="1"/>
  <c r="W7596" i="1"/>
  <c r="Z7595" i="1"/>
  <c r="W7595" i="1"/>
  <c r="Z7594" i="1"/>
  <c r="W7594" i="1"/>
  <c r="Z7593" i="1"/>
  <c r="W7593" i="1"/>
  <c r="Z7592" i="1"/>
  <c r="W7592" i="1"/>
  <c r="Z7591" i="1"/>
  <c r="W7591" i="1"/>
  <c r="Z7590" i="1"/>
  <c r="W7590" i="1"/>
  <c r="Z7589" i="1"/>
  <c r="W7589" i="1"/>
  <c r="Z7588" i="1"/>
  <c r="W7588" i="1"/>
  <c r="Z7587" i="1"/>
  <c r="W7587" i="1"/>
  <c r="Z7586" i="1"/>
  <c r="W7586" i="1"/>
  <c r="Z7585" i="1"/>
  <c r="W7585" i="1"/>
  <c r="Z7584" i="1"/>
  <c r="W7584" i="1"/>
  <c r="Z7583" i="1"/>
  <c r="W7583" i="1"/>
  <c r="Z7582" i="1"/>
  <c r="W7582" i="1"/>
  <c r="Z7581" i="1"/>
  <c r="W7581" i="1"/>
  <c r="Z7580" i="1"/>
  <c r="W7580" i="1"/>
  <c r="Z7579" i="1"/>
  <c r="W7579" i="1"/>
  <c r="Z7578" i="1"/>
  <c r="W7578" i="1"/>
  <c r="Z7577" i="1"/>
  <c r="W7577" i="1"/>
  <c r="Z7576" i="1"/>
  <c r="W7576" i="1"/>
  <c r="Z7575" i="1"/>
  <c r="W7575" i="1"/>
  <c r="Z7574" i="1"/>
  <c r="W7574" i="1"/>
  <c r="Z7573" i="1"/>
  <c r="W7573" i="1"/>
  <c r="Z7572" i="1"/>
  <c r="W7572" i="1"/>
  <c r="Z7571" i="1"/>
  <c r="W7571" i="1"/>
  <c r="Z7570" i="1"/>
  <c r="W7570" i="1"/>
  <c r="Z7569" i="1"/>
  <c r="W7569" i="1"/>
  <c r="Z7568" i="1"/>
  <c r="W7568" i="1"/>
  <c r="Z7567" i="1"/>
  <c r="W7567" i="1"/>
  <c r="Z7566" i="1"/>
  <c r="W7566" i="1"/>
  <c r="Z7565" i="1"/>
  <c r="W7565" i="1"/>
  <c r="Z7564" i="1"/>
  <c r="W7564" i="1"/>
  <c r="Z7563" i="1"/>
  <c r="W7563" i="1"/>
  <c r="Z7562" i="1"/>
  <c r="W7562" i="1"/>
  <c r="Z7561" i="1"/>
  <c r="W7561" i="1"/>
  <c r="Z7560" i="1"/>
  <c r="W7560" i="1"/>
  <c r="Z7559" i="1"/>
  <c r="W7559" i="1"/>
  <c r="Z7558" i="1"/>
  <c r="W7558" i="1"/>
  <c r="Z7557" i="1"/>
  <c r="W7557" i="1"/>
  <c r="Z7556" i="1"/>
  <c r="W7556" i="1"/>
  <c r="Z7555" i="1"/>
  <c r="W7555" i="1"/>
  <c r="Z7554" i="1"/>
  <c r="W7554" i="1"/>
  <c r="Z7553" i="1"/>
  <c r="W7553" i="1"/>
  <c r="Z7552" i="1"/>
  <c r="W7552" i="1"/>
  <c r="Z7551" i="1"/>
  <c r="W7551" i="1"/>
  <c r="Z7550" i="1"/>
  <c r="W7550" i="1"/>
  <c r="Z7549" i="1"/>
  <c r="W7549" i="1"/>
  <c r="Z7548" i="1"/>
  <c r="W7548" i="1"/>
  <c r="Z7547" i="1"/>
  <c r="W7547" i="1"/>
  <c r="Z7546" i="1"/>
  <c r="W7546" i="1"/>
  <c r="Z7545" i="1"/>
  <c r="W7545" i="1"/>
  <c r="Z7544" i="1"/>
  <c r="W7544" i="1"/>
  <c r="Z7543" i="1"/>
  <c r="W7543" i="1"/>
  <c r="Z7542" i="1"/>
  <c r="W7542" i="1"/>
  <c r="Z7541" i="1"/>
  <c r="W7541" i="1"/>
  <c r="Z7540" i="1"/>
  <c r="W7540" i="1"/>
  <c r="Z7539" i="1"/>
  <c r="W7539" i="1"/>
  <c r="Z7538" i="1"/>
  <c r="W7538" i="1"/>
  <c r="Z7537" i="1"/>
  <c r="W7537" i="1"/>
  <c r="Z7536" i="1"/>
  <c r="W7536" i="1"/>
  <c r="Z7535" i="1"/>
  <c r="W7535" i="1"/>
  <c r="Z7534" i="1"/>
  <c r="W7534" i="1"/>
  <c r="Z7533" i="1"/>
  <c r="W7533" i="1"/>
  <c r="Z7532" i="1"/>
  <c r="W7532" i="1"/>
  <c r="Z7531" i="1"/>
  <c r="W7531" i="1"/>
  <c r="Z7530" i="1"/>
  <c r="W7530" i="1"/>
  <c r="Z7529" i="1"/>
  <c r="W7529" i="1"/>
  <c r="Z7528" i="1"/>
  <c r="W7528" i="1"/>
  <c r="Z7527" i="1"/>
  <c r="W7527" i="1"/>
  <c r="Z7526" i="1"/>
  <c r="W7526" i="1"/>
  <c r="Z7525" i="1"/>
  <c r="W7525" i="1"/>
  <c r="Z7524" i="1"/>
  <c r="W7524" i="1"/>
  <c r="Z7523" i="1"/>
  <c r="W7523" i="1"/>
  <c r="Z7522" i="1"/>
  <c r="W7522" i="1"/>
  <c r="Z7521" i="1"/>
  <c r="W7521" i="1"/>
  <c r="Z7520" i="1"/>
  <c r="W7520" i="1"/>
  <c r="Z7519" i="1"/>
  <c r="W7519" i="1"/>
  <c r="Z7518" i="1"/>
  <c r="W7518" i="1"/>
  <c r="Z7517" i="1"/>
  <c r="W7517" i="1"/>
  <c r="Z7516" i="1"/>
  <c r="W7516" i="1"/>
  <c r="Z7515" i="1"/>
  <c r="W7515" i="1"/>
  <c r="Z7514" i="1"/>
  <c r="W7514" i="1"/>
  <c r="Z7513" i="1"/>
  <c r="W7513" i="1"/>
  <c r="Z7512" i="1"/>
  <c r="W7512" i="1"/>
  <c r="Z7511" i="1"/>
  <c r="W7511" i="1"/>
  <c r="Z7510" i="1"/>
  <c r="W7510" i="1"/>
  <c r="Z7509" i="1"/>
  <c r="W7509" i="1"/>
  <c r="Z7508" i="1"/>
  <c r="W7508" i="1"/>
  <c r="Z7507" i="1"/>
  <c r="W7507" i="1"/>
  <c r="Z7506" i="1"/>
  <c r="W7506" i="1"/>
  <c r="Z7505" i="1"/>
  <c r="W7505" i="1"/>
  <c r="Z7504" i="1"/>
  <c r="W7504" i="1"/>
  <c r="Z7503" i="1"/>
  <c r="W7503" i="1"/>
  <c r="Z7502" i="1"/>
  <c r="W7502" i="1"/>
  <c r="Z7501" i="1"/>
  <c r="W7501" i="1"/>
  <c r="Z7500" i="1"/>
  <c r="W7500" i="1"/>
  <c r="Z7499" i="1"/>
  <c r="W7499" i="1"/>
  <c r="Z7498" i="1"/>
  <c r="W7498" i="1"/>
  <c r="Z7497" i="1"/>
  <c r="W7497" i="1"/>
  <c r="Z7496" i="1"/>
  <c r="W7496" i="1"/>
  <c r="Z7495" i="1"/>
  <c r="W7495" i="1"/>
  <c r="Z7494" i="1"/>
  <c r="W7494" i="1"/>
  <c r="Z7493" i="1"/>
  <c r="W7493" i="1"/>
  <c r="Z7492" i="1"/>
  <c r="W7492" i="1"/>
  <c r="Z7491" i="1"/>
  <c r="W7491" i="1"/>
  <c r="Z7490" i="1"/>
  <c r="W7490" i="1"/>
  <c r="Z7489" i="1"/>
  <c r="W7489" i="1"/>
  <c r="Z7488" i="1"/>
  <c r="W7488" i="1"/>
  <c r="Z7487" i="1"/>
  <c r="W7487" i="1"/>
  <c r="Z7486" i="1"/>
  <c r="W7486" i="1"/>
  <c r="Z7485" i="1"/>
  <c r="W7485" i="1"/>
  <c r="Z7484" i="1"/>
  <c r="W7484" i="1"/>
  <c r="Z7483" i="1"/>
  <c r="W7483" i="1"/>
  <c r="Z7482" i="1"/>
  <c r="W7482" i="1"/>
  <c r="Z7481" i="1"/>
  <c r="W7481" i="1"/>
  <c r="Z7480" i="1"/>
  <c r="W7480" i="1"/>
  <c r="Z7479" i="1"/>
  <c r="W7479" i="1"/>
  <c r="Z7478" i="1"/>
  <c r="W7478" i="1"/>
  <c r="Z7477" i="1"/>
  <c r="W7477" i="1"/>
  <c r="Z7476" i="1"/>
  <c r="W7476" i="1"/>
  <c r="Z7475" i="1"/>
  <c r="W7475" i="1"/>
  <c r="Z7474" i="1"/>
  <c r="W7474" i="1"/>
  <c r="Z7473" i="1"/>
  <c r="W7473" i="1"/>
  <c r="Z7472" i="1"/>
  <c r="W7472" i="1"/>
  <c r="Z7471" i="1"/>
  <c r="W7471" i="1"/>
  <c r="Z7470" i="1"/>
  <c r="W7470" i="1"/>
  <c r="Z7469" i="1"/>
  <c r="W7469" i="1"/>
  <c r="Z7468" i="1"/>
  <c r="W7468" i="1"/>
  <c r="Z7467" i="1"/>
  <c r="W7467" i="1"/>
  <c r="Z7466" i="1"/>
  <c r="W7466" i="1"/>
  <c r="Z7465" i="1"/>
  <c r="W7465" i="1"/>
  <c r="Z7464" i="1"/>
  <c r="W7464" i="1"/>
  <c r="Z7463" i="1"/>
  <c r="W7463" i="1"/>
  <c r="Z7462" i="1"/>
  <c r="W7462" i="1"/>
  <c r="Z7461" i="1"/>
  <c r="W7461" i="1"/>
  <c r="Z7460" i="1"/>
  <c r="W7460" i="1"/>
  <c r="Z7459" i="1"/>
  <c r="W7459" i="1"/>
  <c r="Z7458" i="1"/>
  <c r="W7458" i="1"/>
  <c r="Z7457" i="1"/>
  <c r="W7457" i="1"/>
  <c r="Z7456" i="1"/>
  <c r="W7456" i="1"/>
  <c r="Z7455" i="1"/>
  <c r="W7455" i="1"/>
  <c r="Z7454" i="1"/>
  <c r="W7454" i="1"/>
  <c r="Z7453" i="1"/>
  <c r="W7453" i="1"/>
  <c r="Z7452" i="1"/>
  <c r="W7452" i="1"/>
  <c r="Z7451" i="1"/>
  <c r="W7451" i="1"/>
  <c r="Z7450" i="1"/>
  <c r="W7450" i="1"/>
  <c r="Z7449" i="1"/>
  <c r="W7449" i="1"/>
  <c r="Z7448" i="1"/>
  <c r="W7448" i="1"/>
  <c r="Z7447" i="1"/>
  <c r="W7447" i="1"/>
  <c r="Z7446" i="1"/>
  <c r="W7446" i="1"/>
  <c r="Z7445" i="1"/>
  <c r="W7445" i="1"/>
  <c r="Z7444" i="1"/>
  <c r="W7444" i="1"/>
  <c r="Z7443" i="1"/>
  <c r="W7443" i="1"/>
  <c r="Z7442" i="1"/>
  <c r="W7442" i="1"/>
  <c r="Z7441" i="1"/>
  <c r="W7441" i="1"/>
  <c r="Z7440" i="1"/>
  <c r="W7440" i="1"/>
  <c r="Z7439" i="1"/>
  <c r="W7439" i="1"/>
  <c r="Z7438" i="1"/>
  <c r="W7438" i="1"/>
  <c r="Z7437" i="1"/>
  <c r="W7437" i="1"/>
  <c r="Z7436" i="1"/>
  <c r="W7436" i="1"/>
  <c r="Z7435" i="1"/>
  <c r="W7435" i="1"/>
  <c r="Z7434" i="1"/>
  <c r="W7434" i="1"/>
  <c r="Z7433" i="1"/>
  <c r="W7433" i="1"/>
  <c r="Z7432" i="1"/>
  <c r="W7432" i="1"/>
  <c r="Z7431" i="1"/>
  <c r="W7431" i="1"/>
  <c r="Z7430" i="1"/>
  <c r="W7430" i="1"/>
  <c r="Z7429" i="1"/>
  <c r="W7429" i="1"/>
  <c r="Z7428" i="1"/>
  <c r="W7428" i="1"/>
  <c r="Z7427" i="1"/>
  <c r="W7427" i="1"/>
  <c r="Z7426" i="1"/>
  <c r="W7426" i="1"/>
  <c r="Z7425" i="1"/>
  <c r="W7425" i="1"/>
  <c r="Z7424" i="1"/>
  <c r="W7424" i="1"/>
  <c r="Z7423" i="1"/>
  <c r="W7423" i="1"/>
  <c r="Z7422" i="1"/>
  <c r="W7422" i="1"/>
  <c r="Z7421" i="1"/>
  <c r="W7421" i="1"/>
  <c r="Z7420" i="1"/>
  <c r="W7420" i="1"/>
  <c r="Z7419" i="1"/>
  <c r="W7419" i="1"/>
  <c r="Z7418" i="1"/>
  <c r="W7418" i="1"/>
  <c r="Z7417" i="1"/>
  <c r="W7417" i="1"/>
  <c r="Z7416" i="1"/>
  <c r="W7416" i="1"/>
  <c r="Z7415" i="1"/>
  <c r="W7415" i="1"/>
  <c r="Z7414" i="1"/>
  <c r="W7414" i="1"/>
  <c r="Z7413" i="1"/>
  <c r="W7413" i="1"/>
  <c r="Z7412" i="1"/>
  <c r="W7412" i="1"/>
  <c r="Z7411" i="1"/>
  <c r="W7411" i="1"/>
  <c r="Z7410" i="1"/>
  <c r="W7410" i="1"/>
  <c r="Z7409" i="1"/>
  <c r="W7409" i="1"/>
  <c r="Z7408" i="1"/>
  <c r="W7408" i="1"/>
  <c r="Z7407" i="1"/>
  <c r="W7407" i="1"/>
  <c r="Z7406" i="1"/>
  <c r="W7406" i="1"/>
  <c r="Z7405" i="1"/>
  <c r="W7405" i="1"/>
  <c r="Z7404" i="1"/>
  <c r="W7404" i="1"/>
  <c r="Z7403" i="1"/>
  <c r="W7403" i="1"/>
  <c r="Z7402" i="1"/>
  <c r="W7402" i="1"/>
  <c r="Z7401" i="1"/>
  <c r="W7401" i="1"/>
  <c r="Z7400" i="1"/>
  <c r="W7400" i="1"/>
  <c r="Z7399" i="1"/>
  <c r="W7399" i="1"/>
  <c r="Z7398" i="1"/>
  <c r="W7398" i="1"/>
  <c r="Z7397" i="1"/>
  <c r="W7397" i="1"/>
  <c r="Z7396" i="1"/>
  <c r="W7396" i="1"/>
  <c r="Z7395" i="1"/>
  <c r="W7395" i="1"/>
  <c r="Z7394" i="1"/>
  <c r="W7394" i="1"/>
  <c r="Z7393" i="1"/>
  <c r="W7393" i="1"/>
  <c r="Z7392" i="1"/>
  <c r="W7392" i="1"/>
  <c r="Z7391" i="1"/>
  <c r="W7391" i="1"/>
  <c r="Z7390" i="1"/>
  <c r="W7390" i="1"/>
  <c r="Z7389" i="1"/>
  <c r="W7389" i="1"/>
  <c r="Z7388" i="1"/>
  <c r="W7388" i="1"/>
  <c r="Z7387" i="1"/>
  <c r="W7387" i="1"/>
  <c r="Z7386" i="1"/>
  <c r="W7386" i="1"/>
  <c r="Z7385" i="1"/>
  <c r="W7385" i="1"/>
  <c r="Z7384" i="1"/>
  <c r="W7384" i="1"/>
  <c r="Z7383" i="1"/>
  <c r="W7383" i="1"/>
  <c r="Z7382" i="1"/>
  <c r="W7382" i="1"/>
  <c r="Z7381" i="1"/>
  <c r="W7381" i="1"/>
  <c r="Z7380" i="1"/>
  <c r="W7380" i="1"/>
  <c r="Z7379" i="1"/>
  <c r="W7379" i="1"/>
  <c r="Z7378" i="1"/>
  <c r="W7378" i="1"/>
  <c r="Z7377" i="1"/>
  <c r="W7377" i="1"/>
  <c r="Z7376" i="1"/>
  <c r="W7376" i="1"/>
  <c r="Z7375" i="1"/>
  <c r="W7375" i="1"/>
  <c r="Z7374" i="1"/>
  <c r="W7374" i="1"/>
  <c r="Z7373" i="1"/>
  <c r="W7373" i="1"/>
  <c r="Z7372" i="1"/>
  <c r="W7372" i="1"/>
  <c r="Z7371" i="1"/>
  <c r="W7371" i="1"/>
  <c r="Z7370" i="1"/>
  <c r="W7370" i="1"/>
  <c r="Z7369" i="1"/>
  <c r="W7369" i="1"/>
  <c r="Z7368" i="1"/>
  <c r="W7368" i="1"/>
  <c r="Z7367" i="1"/>
  <c r="W7367" i="1"/>
  <c r="Z7366" i="1"/>
  <c r="W7366" i="1"/>
  <c r="Z7365" i="1"/>
  <c r="W7365" i="1"/>
  <c r="Z7364" i="1"/>
  <c r="W7364" i="1"/>
  <c r="Z7363" i="1"/>
  <c r="W7363" i="1"/>
  <c r="Z7362" i="1"/>
  <c r="W7362" i="1"/>
  <c r="Z7361" i="1"/>
  <c r="W7361" i="1"/>
  <c r="Z7360" i="1"/>
  <c r="W7360" i="1"/>
  <c r="Z7359" i="1"/>
  <c r="W7359" i="1"/>
  <c r="Z7358" i="1"/>
  <c r="W7358" i="1"/>
  <c r="Z7357" i="1"/>
  <c r="W7357" i="1"/>
  <c r="Z7356" i="1"/>
  <c r="W7356" i="1"/>
  <c r="Z7355" i="1"/>
  <c r="W7355" i="1"/>
  <c r="Z7354" i="1"/>
  <c r="W7354" i="1"/>
  <c r="Z7353" i="1"/>
  <c r="W7353" i="1"/>
  <c r="Z7352" i="1"/>
  <c r="W7352" i="1"/>
  <c r="Z7351" i="1"/>
  <c r="W7351" i="1"/>
  <c r="Z7350" i="1"/>
  <c r="W7350" i="1"/>
  <c r="Z7349" i="1"/>
  <c r="W7349" i="1"/>
  <c r="Z7348" i="1"/>
  <c r="W7348" i="1"/>
  <c r="Z7347" i="1"/>
  <c r="W7347" i="1"/>
  <c r="Z7346" i="1"/>
  <c r="W7346" i="1"/>
  <c r="Z7345" i="1"/>
  <c r="W7345" i="1"/>
  <c r="Z7344" i="1"/>
  <c r="W7344" i="1"/>
  <c r="Z7343" i="1"/>
  <c r="W7343" i="1"/>
  <c r="Z7342" i="1"/>
  <c r="W7342" i="1"/>
  <c r="Z7341" i="1"/>
  <c r="W7341" i="1"/>
  <c r="Z7340" i="1"/>
  <c r="W7340" i="1"/>
  <c r="Z7339" i="1"/>
  <c r="W7339" i="1"/>
  <c r="Z7338" i="1"/>
  <c r="W7338" i="1"/>
  <c r="Z7337" i="1"/>
  <c r="W7337" i="1"/>
  <c r="Z7336" i="1"/>
  <c r="W7336" i="1"/>
  <c r="Z7335" i="1"/>
  <c r="W7335" i="1"/>
  <c r="Z7334" i="1"/>
  <c r="W7334" i="1"/>
  <c r="Z7333" i="1"/>
  <c r="W7333" i="1"/>
  <c r="Z7332" i="1"/>
  <c r="W7332" i="1"/>
  <c r="Z7331" i="1"/>
  <c r="W7331" i="1"/>
  <c r="Z7330" i="1"/>
  <c r="W7330" i="1"/>
  <c r="Z7329" i="1"/>
  <c r="W7329" i="1"/>
  <c r="Z7328" i="1"/>
  <c r="W7328" i="1"/>
  <c r="Z7327" i="1"/>
  <c r="W7327" i="1"/>
  <c r="Z7326" i="1"/>
  <c r="W7326" i="1"/>
  <c r="Z7325" i="1"/>
  <c r="W7325" i="1"/>
  <c r="Z7324" i="1"/>
  <c r="W7324" i="1"/>
  <c r="Z7323" i="1"/>
  <c r="W7323" i="1"/>
  <c r="Z7322" i="1"/>
  <c r="W7322" i="1"/>
  <c r="Z7321" i="1"/>
  <c r="W7321" i="1"/>
  <c r="Z7320" i="1"/>
  <c r="W7320" i="1"/>
  <c r="Z7319" i="1"/>
  <c r="W7319" i="1"/>
  <c r="Z7318" i="1"/>
  <c r="W7318" i="1"/>
  <c r="Z7317" i="1"/>
  <c r="W7317" i="1"/>
  <c r="Z7316" i="1"/>
  <c r="W7316" i="1"/>
  <c r="Z7315" i="1"/>
  <c r="W7315" i="1"/>
  <c r="Z7314" i="1"/>
  <c r="W7314" i="1"/>
  <c r="Z7313" i="1"/>
  <c r="W7313" i="1"/>
  <c r="Z7312" i="1"/>
  <c r="W7312" i="1"/>
  <c r="Z7311" i="1"/>
  <c r="W7311" i="1"/>
  <c r="Z7310" i="1"/>
  <c r="W7310" i="1"/>
  <c r="Z7309" i="1"/>
  <c r="W7309" i="1"/>
  <c r="Z7308" i="1"/>
  <c r="W7308" i="1"/>
  <c r="Z7307" i="1"/>
  <c r="W7307" i="1"/>
  <c r="Z7306" i="1"/>
  <c r="W7306" i="1"/>
  <c r="Z7305" i="1"/>
  <c r="W7305" i="1"/>
  <c r="Z7304" i="1"/>
  <c r="W7304" i="1"/>
  <c r="Z7303" i="1"/>
  <c r="W7303" i="1"/>
  <c r="Z7302" i="1"/>
  <c r="W7302" i="1"/>
  <c r="Z7301" i="1"/>
  <c r="W7301" i="1"/>
  <c r="Z7300" i="1"/>
  <c r="W7300" i="1"/>
  <c r="Z7299" i="1"/>
  <c r="W7299" i="1"/>
  <c r="Z7298" i="1"/>
  <c r="W7298" i="1"/>
  <c r="Z7297" i="1"/>
  <c r="W7297" i="1"/>
  <c r="Z7296" i="1"/>
  <c r="W7296" i="1"/>
  <c r="Z7295" i="1"/>
  <c r="W7295" i="1"/>
  <c r="Z7294" i="1"/>
  <c r="W7294" i="1"/>
  <c r="Z7293" i="1"/>
  <c r="W7293" i="1"/>
  <c r="Z7292" i="1"/>
  <c r="W7292" i="1"/>
  <c r="Z7291" i="1"/>
  <c r="W7291" i="1"/>
  <c r="Z7290" i="1"/>
  <c r="W7290" i="1"/>
  <c r="Z7289" i="1"/>
  <c r="W7289" i="1"/>
  <c r="Z7288" i="1"/>
  <c r="W7288" i="1"/>
  <c r="Z7287" i="1"/>
  <c r="W7287" i="1"/>
  <c r="Z7286" i="1"/>
  <c r="W7286" i="1"/>
  <c r="Z7285" i="1"/>
  <c r="W7285" i="1"/>
  <c r="Z7284" i="1"/>
  <c r="W7284" i="1"/>
  <c r="Z7283" i="1"/>
  <c r="W7283" i="1"/>
  <c r="Z7282" i="1"/>
  <c r="W7282" i="1"/>
  <c r="Z7281" i="1"/>
  <c r="W7281" i="1"/>
  <c r="Z7280" i="1"/>
  <c r="W7280" i="1"/>
  <c r="Z7279" i="1"/>
  <c r="W7279" i="1"/>
  <c r="Z7278" i="1"/>
  <c r="W7278" i="1"/>
  <c r="Z7277" i="1"/>
  <c r="W7277" i="1"/>
  <c r="Z7276" i="1"/>
  <c r="W7276" i="1"/>
  <c r="Z7275" i="1"/>
  <c r="W7275" i="1"/>
  <c r="Z7274" i="1"/>
  <c r="W7274" i="1"/>
  <c r="Z7273" i="1"/>
  <c r="W7273" i="1"/>
  <c r="Z7272" i="1"/>
  <c r="W7272" i="1"/>
  <c r="Z7271" i="1"/>
  <c r="W7271" i="1"/>
  <c r="Z7270" i="1"/>
  <c r="W7270" i="1"/>
  <c r="Z7269" i="1"/>
  <c r="W7269" i="1"/>
  <c r="Z7268" i="1"/>
  <c r="W7268" i="1"/>
  <c r="Z7267" i="1"/>
  <c r="W7267" i="1"/>
  <c r="Z7266" i="1"/>
  <c r="W7266" i="1"/>
  <c r="Z7265" i="1"/>
  <c r="W7265" i="1"/>
  <c r="Z7264" i="1"/>
  <c r="W7264" i="1"/>
  <c r="Z7263" i="1"/>
  <c r="W7263" i="1"/>
  <c r="Z7262" i="1"/>
  <c r="W7262" i="1"/>
  <c r="Z7261" i="1"/>
  <c r="W7261" i="1"/>
  <c r="Z7260" i="1"/>
  <c r="W7260" i="1"/>
  <c r="Z7259" i="1"/>
  <c r="W7259" i="1"/>
  <c r="Z7258" i="1"/>
  <c r="W7258" i="1"/>
  <c r="Z7257" i="1"/>
  <c r="W7257" i="1"/>
  <c r="Z7256" i="1"/>
  <c r="W7256" i="1"/>
  <c r="Z7255" i="1"/>
  <c r="W7255" i="1"/>
  <c r="Z7254" i="1"/>
  <c r="W7254" i="1"/>
  <c r="Z7253" i="1"/>
  <c r="W7253" i="1"/>
  <c r="Z7252" i="1"/>
  <c r="W7252" i="1"/>
  <c r="Z7251" i="1"/>
  <c r="W7251" i="1"/>
  <c r="Z7250" i="1"/>
  <c r="W7250" i="1"/>
  <c r="Z7249" i="1"/>
  <c r="W7249" i="1"/>
  <c r="Z7248" i="1"/>
  <c r="W7248" i="1"/>
  <c r="Z7247" i="1"/>
  <c r="W7247" i="1"/>
  <c r="Z7246" i="1"/>
  <c r="W7246" i="1"/>
  <c r="Z7245" i="1"/>
  <c r="W7245" i="1"/>
  <c r="Z7244" i="1"/>
  <c r="W7244" i="1"/>
  <c r="Z7243" i="1"/>
  <c r="W7243" i="1"/>
  <c r="Z7242" i="1"/>
  <c r="W7242" i="1"/>
  <c r="Z7241" i="1"/>
  <c r="W7241" i="1"/>
  <c r="Z7240" i="1"/>
  <c r="W7240" i="1"/>
  <c r="Z7239" i="1"/>
  <c r="W7239" i="1"/>
  <c r="Z7238" i="1"/>
  <c r="W7238" i="1"/>
  <c r="Z7237" i="1"/>
  <c r="W7237" i="1"/>
  <c r="Z7236" i="1"/>
  <c r="W7236" i="1"/>
  <c r="Z7235" i="1"/>
  <c r="W7235" i="1"/>
  <c r="Z7234" i="1"/>
  <c r="W7234" i="1"/>
  <c r="Z7233" i="1"/>
  <c r="W7233" i="1"/>
  <c r="Z7232" i="1"/>
  <c r="W7232" i="1"/>
  <c r="Z7231" i="1"/>
  <c r="W7231" i="1"/>
  <c r="Z7230" i="1"/>
  <c r="W7230" i="1"/>
  <c r="Z7229" i="1"/>
  <c r="W7229" i="1"/>
  <c r="Z7228" i="1"/>
  <c r="W7228" i="1"/>
  <c r="Z7227" i="1"/>
  <c r="W7227" i="1"/>
  <c r="Z7226" i="1"/>
  <c r="W7226" i="1"/>
  <c r="Z7225" i="1"/>
  <c r="W7225" i="1"/>
  <c r="Z7224" i="1"/>
  <c r="W7224" i="1"/>
  <c r="Z7223" i="1"/>
  <c r="W7223" i="1"/>
  <c r="Z7222" i="1"/>
  <c r="W7222" i="1"/>
  <c r="Z7221" i="1"/>
  <c r="W7221" i="1"/>
  <c r="Z7220" i="1"/>
  <c r="W7220" i="1"/>
  <c r="Z7219" i="1"/>
  <c r="W7219" i="1"/>
  <c r="Z7218" i="1"/>
  <c r="W7218" i="1"/>
  <c r="Z7217" i="1"/>
  <c r="W7217" i="1"/>
  <c r="Z7216" i="1"/>
  <c r="W7216" i="1"/>
  <c r="Z7215" i="1"/>
  <c r="W7215" i="1"/>
  <c r="Z7214" i="1"/>
  <c r="W7214" i="1"/>
  <c r="Z7213" i="1"/>
  <c r="W7213" i="1"/>
  <c r="Z7212" i="1"/>
  <c r="W7212" i="1"/>
  <c r="Z7211" i="1"/>
  <c r="W7211" i="1"/>
  <c r="Z7210" i="1"/>
  <c r="W7210" i="1"/>
  <c r="Z7209" i="1"/>
  <c r="W7209" i="1"/>
  <c r="Z7208" i="1"/>
  <c r="W7208" i="1"/>
  <c r="Z7207" i="1"/>
  <c r="W7207" i="1"/>
  <c r="Z7206" i="1"/>
  <c r="W7206" i="1"/>
  <c r="Z7205" i="1"/>
  <c r="W7205" i="1"/>
  <c r="Z7204" i="1"/>
  <c r="W7204" i="1"/>
  <c r="Z7203" i="1"/>
  <c r="W7203" i="1"/>
  <c r="Z7202" i="1"/>
  <c r="W7202" i="1"/>
  <c r="Z7201" i="1"/>
  <c r="W7201" i="1"/>
  <c r="Z7200" i="1"/>
  <c r="W7200" i="1"/>
  <c r="Z7199" i="1"/>
  <c r="W7199" i="1"/>
  <c r="Z7198" i="1"/>
  <c r="W7198" i="1"/>
  <c r="Z7197" i="1"/>
  <c r="W7197" i="1"/>
  <c r="Z7196" i="1"/>
  <c r="W7196" i="1"/>
  <c r="Z7195" i="1"/>
  <c r="W7195" i="1"/>
  <c r="Z7194" i="1"/>
  <c r="W7194" i="1"/>
  <c r="Z7193" i="1"/>
  <c r="W7193" i="1"/>
  <c r="Z7192" i="1"/>
  <c r="W7192" i="1"/>
  <c r="Z7191" i="1"/>
  <c r="W7191" i="1"/>
  <c r="Z7190" i="1"/>
  <c r="W7190" i="1"/>
  <c r="Z7189" i="1"/>
  <c r="W7189" i="1"/>
  <c r="Z7188" i="1"/>
  <c r="W7188" i="1"/>
  <c r="Z7187" i="1"/>
  <c r="W7187" i="1"/>
  <c r="Z7186" i="1"/>
  <c r="W7186" i="1"/>
  <c r="Z7185" i="1"/>
  <c r="W7185" i="1"/>
  <c r="Z7184" i="1"/>
  <c r="W7184" i="1"/>
  <c r="Z7183" i="1"/>
  <c r="W7183" i="1"/>
  <c r="Z7182" i="1"/>
  <c r="W7182" i="1"/>
  <c r="Z7181" i="1"/>
  <c r="W7181" i="1"/>
  <c r="Z7180" i="1"/>
  <c r="W7180" i="1"/>
  <c r="Z7179" i="1"/>
  <c r="W7179" i="1"/>
  <c r="Z7178" i="1"/>
  <c r="W7178" i="1"/>
  <c r="Z7177" i="1"/>
  <c r="W7177" i="1"/>
  <c r="Z7176" i="1"/>
  <c r="W7176" i="1"/>
  <c r="Z7175" i="1"/>
  <c r="W7175" i="1"/>
  <c r="Z7174" i="1"/>
  <c r="W7174" i="1"/>
  <c r="Z7173" i="1"/>
  <c r="W7173" i="1"/>
  <c r="Z7172" i="1"/>
  <c r="W7172" i="1"/>
  <c r="Z7171" i="1"/>
  <c r="W7171" i="1"/>
  <c r="Z7170" i="1"/>
  <c r="W7170" i="1"/>
  <c r="Z7169" i="1"/>
  <c r="W7169" i="1"/>
  <c r="Z7168" i="1"/>
  <c r="W7168" i="1"/>
  <c r="Z7167" i="1"/>
  <c r="W7167" i="1"/>
  <c r="Z7166" i="1"/>
  <c r="W7166" i="1"/>
  <c r="Z7165" i="1"/>
  <c r="W7165" i="1"/>
  <c r="Z7164" i="1"/>
  <c r="W7164" i="1"/>
  <c r="Z7163" i="1"/>
  <c r="W7163" i="1"/>
  <c r="Z7162" i="1"/>
  <c r="W7162" i="1"/>
  <c r="Z7161" i="1"/>
  <c r="W7161" i="1"/>
  <c r="Z7160" i="1"/>
  <c r="W7160" i="1"/>
  <c r="Z7159" i="1"/>
  <c r="W7159" i="1"/>
  <c r="Z7158" i="1"/>
  <c r="W7158" i="1"/>
  <c r="Z7157" i="1"/>
  <c r="W7157" i="1"/>
  <c r="Z7156" i="1"/>
  <c r="W7156" i="1"/>
  <c r="Z7155" i="1"/>
  <c r="W7155" i="1"/>
  <c r="Z7154" i="1"/>
  <c r="W7154" i="1"/>
  <c r="Z7153" i="1"/>
  <c r="W7153" i="1"/>
  <c r="Z7152" i="1"/>
  <c r="W7152" i="1"/>
  <c r="Z7151" i="1"/>
  <c r="W7151" i="1"/>
  <c r="Z7150" i="1"/>
  <c r="W7150" i="1"/>
  <c r="Z7149" i="1"/>
  <c r="W7149" i="1"/>
  <c r="Z7148" i="1"/>
  <c r="W7148" i="1"/>
  <c r="Z7147" i="1"/>
  <c r="W7147" i="1"/>
  <c r="Z7146" i="1"/>
  <c r="W7146" i="1"/>
  <c r="Z7145" i="1"/>
  <c r="W7145" i="1"/>
  <c r="Z7144" i="1"/>
  <c r="W7144" i="1"/>
  <c r="Z7143" i="1"/>
  <c r="W7143" i="1"/>
  <c r="Z7142" i="1"/>
  <c r="W7142" i="1"/>
  <c r="Z7141" i="1"/>
  <c r="W7141" i="1"/>
  <c r="Z7140" i="1"/>
  <c r="W7140" i="1"/>
  <c r="Z7139" i="1"/>
  <c r="W7139" i="1"/>
  <c r="Z7138" i="1"/>
  <c r="W7138" i="1"/>
  <c r="Z7137" i="1"/>
  <c r="W7137" i="1"/>
  <c r="Z7136" i="1"/>
  <c r="W7136" i="1"/>
  <c r="Z7135" i="1"/>
  <c r="W7135" i="1"/>
  <c r="Z7134" i="1"/>
  <c r="W7134" i="1"/>
  <c r="Z7133" i="1"/>
  <c r="W7133" i="1"/>
  <c r="Z7132" i="1"/>
  <c r="W7132" i="1"/>
  <c r="Z7131" i="1"/>
  <c r="W7131" i="1"/>
  <c r="Z7130" i="1"/>
  <c r="W7130" i="1"/>
  <c r="Z7129" i="1"/>
  <c r="W7129" i="1"/>
  <c r="Z7128" i="1"/>
  <c r="W7128" i="1"/>
  <c r="Z7127" i="1"/>
  <c r="W7127" i="1"/>
  <c r="Z7126" i="1"/>
  <c r="W7126" i="1"/>
  <c r="Z7125" i="1"/>
  <c r="W7125" i="1"/>
  <c r="Z7124" i="1"/>
  <c r="W7124" i="1"/>
  <c r="Z7123" i="1"/>
  <c r="W7123" i="1"/>
  <c r="Z7122" i="1"/>
  <c r="W7122" i="1"/>
  <c r="Z7121" i="1"/>
  <c r="W7121" i="1"/>
  <c r="Z7120" i="1"/>
  <c r="W7120" i="1"/>
  <c r="Z7119" i="1"/>
  <c r="W7119" i="1"/>
  <c r="Z7118" i="1"/>
  <c r="W7118" i="1"/>
  <c r="Z7117" i="1"/>
  <c r="W7117" i="1"/>
  <c r="Z7116" i="1"/>
  <c r="W7116" i="1"/>
  <c r="Z7115" i="1"/>
  <c r="W7115" i="1"/>
  <c r="Z7114" i="1"/>
  <c r="W7114" i="1"/>
  <c r="Z7113" i="1"/>
  <c r="W7113" i="1"/>
  <c r="Z7112" i="1"/>
  <c r="W7112" i="1"/>
  <c r="Z7111" i="1"/>
  <c r="W7111" i="1"/>
  <c r="Z7110" i="1"/>
  <c r="W7110" i="1"/>
  <c r="Z7109" i="1"/>
  <c r="W7109" i="1"/>
  <c r="Z7108" i="1"/>
  <c r="W7108" i="1"/>
  <c r="Z7107" i="1"/>
  <c r="W7107" i="1"/>
  <c r="Z7106" i="1"/>
  <c r="W7106" i="1"/>
  <c r="Z7105" i="1"/>
  <c r="W7105" i="1"/>
  <c r="Z7104" i="1"/>
  <c r="W7104" i="1"/>
  <c r="Z7103" i="1"/>
  <c r="W7103" i="1"/>
  <c r="Z7102" i="1"/>
  <c r="W7102" i="1"/>
  <c r="Z7101" i="1"/>
  <c r="W7101" i="1"/>
  <c r="Z7100" i="1"/>
  <c r="W7100" i="1"/>
  <c r="Z7099" i="1"/>
  <c r="W7099" i="1"/>
  <c r="Z7098" i="1"/>
  <c r="W7098" i="1"/>
  <c r="Z7097" i="1"/>
  <c r="W7097" i="1"/>
  <c r="Z7096" i="1"/>
  <c r="W7096" i="1"/>
  <c r="Z7095" i="1"/>
  <c r="W7095" i="1"/>
  <c r="Z7094" i="1"/>
  <c r="W7094" i="1"/>
  <c r="Z7093" i="1"/>
  <c r="W7093" i="1"/>
  <c r="Z7092" i="1"/>
  <c r="W7092" i="1"/>
  <c r="Z7091" i="1"/>
  <c r="W7091" i="1"/>
  <c r="Z7090" i="1"/>
  <c r="W7090" i="1"/>
  <c r="Z7089" i="1"/>
  <c r="W7089" i="1"/>
  <c r="Z7088" i="1"/>
  <c r="W7088" i="1"/>
  <c r="Z7087" i="1"/>
  <c r="W7087" i="1"/>
  <c r="Z7086" i="1"/>
  <c r="W7086" i="1"/>
  <c r="Z7085" i="1"/>
  <c r="W7085" i="1"/>
  <c r="Z7084" i="1"/>
  <c r="W7084" i="1"/>
  <c r="Z7083" i="1"/>
  <c r="W7083" i="1"/>
  <c r="Z7082" i="1"/>
  <c r="W7082" i="1"/>
  <c r="Z7081" i="1"/>
  <c r="W7081" i="1"/>
  <c r="Z7080" i="1"/>
  <c r="W7080" i="1"/>
  <c r="Z7079" i="1"/>
  <c r="W7079" i="1"/>
  <c r="Z7078" i="1"/>
  <c r="W7078" i="1"/>
  <c r="Z7077" i="1"/>
  <c r="W7077" i="1"/>
  <c r="Z7076" i="1"/>
  <c r="W7076" i="1"/>
  <c r="Z7075" i="1"/>
  <c r="W7075" i="1"/>
  <c r="Z7074" i="1"/>
  <c r="W7074" i="1"/>
  <c r="Z7073" i="1"/>
  <c r="W7073" i="1"/>
  <c r="Z7072" i="1"/>
  <c r="W7072" i="1"/>
  <c r="Z7071" i="1"/>
  <c r="W7071" i="1"/>
  <c r="Z7070" i="1"/>
  <c r="W7070" i="1"/>
  <c r="Z7069" i="1"/>
  <c r="W7069" i="1"/>
  <c r="Z7068" i="1"/>
  <c r="W7068" i="1"/>
  <c r="Z7067" i="1"/>
  <c r="W7067" i="1"/>
  <c r="Z7066" i="1"/>
  <c r="W7066" i="1"/>
  <c r="Z7065" i="1"/>
  <c r="W7065" i="1"/>
  <c r="Z7064" i="1"/>
  <c r="W7064" i="1"/>
  <c r="Z7063" i="1"/>
  <c r="W7063" i="1"/>
  <c r="Z7062" i="1"/>
  <c r="W7062" i="1"/>
  <c r="Z7061" i="1"/>
  <c r="W7061" i="1"/>
  <c r="Z7060" i="1"/>
  <c r="W7060" i="1"/>
  <c r="Z7059" i="1"/>
  <c r="W7059" i="1"/>
  <c r="Z7058" i="1"/>
  <c r="W7058" i="1"/>
  <c r="Z7057" i="1"/>
  <c r="W7057" i="1"/>
  <c r="Z7056" i="1"/>
  <c r="W7056" i="1"/>
  <c r="Z7055" i="1"/>
  <c r="W7055" i="1"/>
  <c r="Z7054" i="1"/>
  <c r="W7054" i="1"/>
  <c r="Z7053" i="1"/>
  <c r="W7053" i="1"/>
  <c r="Z7052" i="1"/>
  <c r="W7052" i="1"/>
  <c r="Z7051" i="1"/>
  <c r="W7051" i="1"/>
  <c r="Z7050" i="1"/>
  <c r="W7050" i="1"/>
  <c r="Z7049" i="1"/>
  <c r="W7049" i="1"/>
  <c r="Z7048" i="1"/>
  <c r="W7048" i="1"/>
  <c r="Z7047" i="1"/>
  <c r="W7047" i="1"/>
  <c r="Z7046" i="1"/>
  <c r="W7046" i="1"/>
  <c r="Z7045" i="1"/>
  <c r="W7045" i="1"/>
  <c r="Z7044" i="1"/>
  <c r="W7044" i="1"/>
  <c r="Z7043" i="1"/>
  <c r="W7043" i="1"/>
  <c r="Z7042" i="1"/>
  <c r="W7042" i="1"/>
  <c r="Z7041" i="1"/>
  <c r="W7041" i="1"/>
  <c r="Z7040" i="1"/>
  <c r="W7040" i="1"/>
  <c r="Z7039" i="1"/>
  <c r="W7039" i="1"/>
  <c r="Z7038" i="1"/>
  <c r="W7038" i="1"/>
  <c r="Z7037" i="1"/>
  <c r="W7037" i="1"/>
  <c r="Z7036" i="1"/>
  <c r="W7036" i="1"/>
  <c r="Z7035" i="1"/>
  <c r="W7035" i="1"/>
  <c r="Z7034" i="1"/>
  <c r="W7034" i="1"/>
  <c r="Z7033" i="1"/>
  <c r="W7033" i="1"/>
  <c r="Z7032" i="1"/>
  <c r="W7032" i="1"/>
  <c r="Z7031" i="1"/>
  <c r="W7031" i="1"/>
  <c r="Z7030" i="1"/>
  <c r="W7030" i="1"/>
  <c r="Z7029" i="1"/>
  <c r="W7029" i="1"/>
  <c r="Z7028" i="1"/>
  <c r="W7028" i="1"/>
  <c r="Z7027" i="1"/>
  <c r="W7027" i="1"/>
  <c r="Z7026" i="1"/>
  <c r="W7026" i="1"/>
  <c r="Z7025" i="1"/>
  <c r="W7025" i="1"/>
  <c r="Z7024" i="1"/>
  <c r="W7024" i="1"/>
  <c r="Z7023" i="1"/>
  <c r="W7023" i="1"/>
  <c r="Z7022" i="1"/>
  <c r="W7022" i="1"/>
  <c r="Z7021" i="1"/>
  <c r="W7021" i="1"/>
  <c r="Z7020" i="1"/>
  <c r="W7020" i="1"/>
  <c r="Z7019" i="1"/>
  <c r="W7019" i="1"/>
  <c r="Z7018" i="1"/>
  <c r="W7018" i="1"/>
  <c r="Z7017" i="1"/>
  <c r="W7017" i="1"/>
  <c r="Z7016" i="1"/>
  <c r="W7016" i="1"/>
  <c r="Z7015" i="1"/>
  <c r="W7015" i="1"/>
  <c r="Z7014" i="1"/>
  <c r="W7014" i="1"/>
  <c r="Z7013" i="1"/>
  <c r="W7013" i="1"/>
  <c r="Z7012" i="1"/>
  <c r="W7012" i="1"/>
  <c r="Z7011" i="1"/>
  <c r="W7011" i="1"/>
  <c r="Z7010" i="1"/>
  <c r="W7010" i="1"/>
  <c r="Z7009" i="1"/>
  <c r="W7009" i="1"/>
  <c r="Z7008" i="1"/>
  <c r="W7008" i="1"/>
  <c r="Z7007" i="1"/>
  <c r="W7007" i="1"/>
  <c r="Z7006" i="1"/>
  <c r="W7006" i="1"/>
  <c r="Z7005" i="1"/>
  <c r="W7005" i="1"/>
  <c r="Z7004" i="1"/>
  <c r="W7004" i="1"/>
  <c r="Z7003" i="1"/>
  <c r="W7003" i="1"/>
  <c r="Z7002" i="1"/>
  <c r="W7002" i="1"/>
  <c r="Z7001" i="1"/>
  <c r="W7001" i="1"/>
  <c r="Z7000" i="1"/>
  <c r="W7000" i="1"/>
  <c r="Z6999" i="1"/>
  <c r="W6999" i="1"/>
  <c r="Z6998" i="1"/>
  <c r="W6998" i="1"/>
  <c r="Z6997" i="1"/>
  <c r="W6997" i="1"/>
  <c r="Z6996" i="1"/>
  <c r="W6996" i="1"/>
  <c r="Z6995" i="1"/>
  <c r="W6995" i="1"/>
  <c r="Z6994" i="1"/>
  <c r="W6994" i="1"/>
  <c r="Z6993" i="1"/>
  <c r="W6993" i="1"/>
  <c r="Z6992" i="1"/>
  <c r="W6992" i="1"/>
  <c r="Z6991" i="1"/>
  <c r="W6991" i="1"/>
  <c r="Z6990" i="1"/>
  <c r="W6990" i="1"/>
  <c r="Z6989" i="1"/>
  <c r="W6989" i="1"/>
  <c r="Z6988" i="1"/>
  <c r="W6988" i="1"/>
  <c r="Z6987" i="1"/>
  <c r="W6987" i="1"/>
  <c r="Z6986" i="1"/>
  <c r="W6986" i="1"/>
  <c r="Z6985" i="1"/>
  <c r="W6985" i="1"/>
  <c r="Z6984" i="1"/>
  <c r="W6984" i="1"/>
  <c r="Z6983" i="1"/>
  <c r="W6983" i="1"/>
  <c r="Z6982" i="1"/>
  <c r="W6982" i="1"/>
  <c r="Z6981" i="1"/>
  <c r="W6981" i="1"/>
  <c r="Z6980" i="1"/>
  <c r="W6980" i="1"/>
  <c r="Z6979" i="1"/>
  <c r="W6979" i="1"/>
  <c r="Z6978" i="1"/>
  <c r="W6978" i="1"/>
  <c r="Z6977" i="1"/>
  <c r="W6977" i="1"/>
  <c r="Z6976" i="1"/>
  <c r="W6976" i="1"/>
  <c r="Z6975" i="1"/>
  <c r="W6975" i="1"/>
  <c r="Z6974" i="1"/>
  <c r="W6974" i="1"/>
  <c r="Z6973" i="1"/>
  <c r="W6973" i="1"/>
  <c r="Z6972" i="1"/>
  <c r="W6972" i="1"/>
  <c r="Z6971" i="1"/>
  <c r="W6971" i="1"/>
  <c r="Z6970" i="1"/>
  <c r="W6970" i="1"/>
  <c r="Z6969" i="1"/>
  <c r="W6969" i="1"/>
  <c r="Z6968" i="1"/>
  <c r="W6968" i="1"/>
  <c r="Z6967" i="1"/>
  <c r="W6967" i="1"/>
  <c r="Z6966" i="1"/>
  <c r="W6966" i="1"/>
  <c r="Z6965" i="1"/>
  <c r="W6965" i="1"/>
  <c r="Z6964" i="1"/>
  <c r="W6964" i="1"/>
  <c r="Z6963" i="1"/>
  <c r="W6963" i="1"/>
  <c r="Z6962" i="1"/>
  <c r="W6962" i="1"/>
  <c r="Z6961" i="1"/>
  <c r="W6961" i="1"/>
  <c r="Z6960" i="1"/>
  <c r="W6960" i="1"/>
  <c r="Z6959" i="1"/>
  <c r="W6959" i="1"/>
  <c r="Z6958" i="1"/>
  <c r="W6958" i="1"/>
  <c r="Z6957" i="1"/>
  <c r="W6957" i="1"/>
  <c r="Z6956" i="1"/>
  <c r="W6956" i="1"/>
  <c r="Z6955" i="1"/>
  <c r="W6955" i="1"/>
  <c r="Z6954" i="1"/>
  <c r="W6954" i="1"/>
  <c r="Z6953" i="1"/>
  <c r="W6953" i="1"/>
  <c r="Z6952" i="1"/>
  <c r="W6952" i="1"/>
  <c r="Z6951" i="1"/>
  <c r="W6951" i="1"/>
  <c r="Z6950" i="1"/>
  <c r="W6950" i="1"/>
  <c r="Z6949" i="1"/>
  <c r="W6949" i="1"/>
  <c r="Z6948" i="1"/>
  <c r="W6948" i="1"/>
  <c r="Z6947" i="1"/>
  <c r="W6947" i="1"/>
  <c r="Z6946" i="1"/>
  <c r="W6946" i="1"/>
  <c r="Z6945" i="1"/>
  <c r="W6945" i="1"/>
  <c r="Z6944" i="1"/>
  <c r="W6944" i="1"/>
  <c r="Z6943" i="1"/>
  <c r="W6943" i="1"/>
  <c r="Z6942" i="1"/>
  <c r="W6942" i="1"/>
  <c r="Z6941" i="1"/>
  <c r="W6941" i="1"/>
  <c r="Z6940" i="1"/>
  <c r="W6940" i="1"/>
  <c r="Z6939" i="1"/>
  <c r="W6939" i="1"/>
  <c r="Z6938" i="1"/>
  <c r="W6938" i="1"/>
  <c r="Z6937" i="1"/>
  <c r="W6937" i="1"/>
  <c r="Z6936" i="1"/>
  <c r="W6936" i="1"/>
  <c r="Z6935" i="1"/>
  <c r="W6935" i="1"/>
  <c r="Z6934" i="1"/>
  <c r="W6934" i="1"/>
  <c r="Z6933" i="1"/>
  <c r="W6933" i="1"/>
  <c r="Z6932" i="1"/>
  <c r="W6932" i="1"/>
  <c r="Z6931" i="1"/>
  <c r="W6931" i="1"/>
  <c r="Z6930" i="1"/>
  <c r="W6930" i="1"/>
  <c r="Z6929" i="1"/>
  <c r="W6929" i="1"/>
  <c r="Z6928" i="1"/>
  <c r="W6928" i="1"/>
  <c r="Z6927" i="1"/>
  <c r="W6927" i="1"/>
  <c r="Z6926" i="1"/>
  <c r="W6926" i="1"/>
  <c r="Z6925" i="1"/>
  <c r="W6925" i="1"/>
  <c r="Z6924" i="1"/>
  <c r="W6924" i="1"/>
  <c r="Z6923" i="1"/>
  <c r="W6923" i="1"/>
  <c r="Z6922" i="1"/>
  <c r="W6922" i="1"/>
  <c r="Z6921" i="1"/>
  <c r="W6921" i="1"/>
  <c r="Z6920" i="1"/>
  <c r="W6920" i="1"/>
  <c r="Z6919" i="1"/>
  <c r="W6919" i="1"/>
  <c r="Z6918" i="1"/>
  <c r="W6918" i="1"/>
  <c r="Z6917" i="1"/>
  <c r="W6917" i="1"/>
  <c r="Z6916" i="1"/>
  <c r="W6916" i="1"/>
  <c r="Z6915" i="1"/>
  <c r="W6915" i="1"/>
  <c r="Z6914" i="1"/>
  <c r="W6914" i="1"/>
  <c r="Z6913" i="1"/>
  <c r="W6913" i="1"/>
  <c r="Z6912" i="1"/>
  <c r="W6912" i="1"/>
  <c r="Z6911" i="1"/>
  <c r="W6911" i="1"/>
  <c r="Z6910" i="1"/>
  <c r="W6910" i="1"/>
  <c r="Z6909" i="1"/>
  <c r="W6909" i="1"/>
  <c r="Z6908" i="1"/>
  <c r="W6908" i="1"/>
  <c r="Z6907" i="1"/>
  <c r="W6907" i="1"/>
  <c r="Z6906" i="1"/>
  <c r="W6906" i="1"/>
  <c r="Z6905" i="1"/>
  <c r="W6905" i="1"/>
  <c r="Z6904" i="1"/>
  <c r="W6904" i="1"/>
  <c r="Z6903" i="1"/>
  <c r="W6903" i="1"/>
  <c r="Z6902" i="1"/>
  <c r="W6902" i="1"/>
  <c r="Z6901" i="1"/>
  <c r="W6901" i="1"/>
  <c r="Z6900" i="1"/>
  <c r="W6900" i="1"/>
  <c r="Z6899" i="1"/>
  <c r="W6899" i="1"/>
  <c r="Z6898" i="1"/>
  <c r="W6898" i="1"/>
  <c r="Z6897" i="1"/>
  <c r="W6897" i="1"/>
  <c r="Z6896" i="1"/>
  <c r="W6896" i="1"/>
  <c r="Z6895" i="1"/>
  <c r="W6895" i="1"/>
  <c r="Z6894" i="1"/>
  <c r="W6894" i="1"/>
  <c r="Z6893" i="1"/>
  <c r="W6893" i="1"/>
  <c r="Z6892" i="1"/>
  <c r="W6892" i="1"/>
  <c r="Z6891" i="1"/>
  <c r="W6891" i="1"/>
  <c r="Z6890" i="1"/>
  <c r="W6890" i="1"/>
  <c r="Z6889" i="1"/>
  <c r="W6889" i="1"/>
  <c r="Z6888" i="1"/>
  <c r="W6888" i="1"/>
  <c r="Z6887" i="1"/>
  <c r="W6887" i="1"/>
  <c r="Z6886" i="1"/>
  <c r="W6886" i="1"/>
  <c r="Z6885" i="1"/>
  <c r="W6885" i="1"/>
  <c r="Z6884" i="1"/>
  <c r="W6884" i="1"/>
  <c r="Z6883" i="1"/>
  <c r="W6883" i="1"/>
  <c r="Z6882" i="1"/>
  <c r="W6882" i="1"/>
  <c r="Z6881" i="1"/>
  <c r="W6881" i="1"/>
  <c r="Z6880" i="1"/>
  <c r="W6880" i="1"/>
  <c r="Z6879" i="1"/>
  <c r="W6879" i="1"/>
  <c r="Z6878" i="1"/>
  <c r="W6878" i="1"/>
  <c r="Z6877" i="1"/>
  <c r="W6877" i="1"/>
  <c r="Z6876" i="1"/>
  <c r="W6876" i="1"/>
  <c r="Z6875" i="1"/>
  <c r="W6875" i="1"/>
  <c r="Z6874" i="1"/>
  <c r="W6874" i="1"/>
  <c r="Z6873" i="1"/>
  <c r="W6873" i="1"/>
  <c r="Z6872" i="1"/>
  <c r="W6872" i="1"/>
  <c r="Z6871" i="1"/>
  <c r="W6871" i="1"/>
  <c r="Z6870" i="1"/>
  <c r="W6870" i="1"/>
  <c r="Z6869" i="1"/>
  <c r="W6869" i="1"/>
  <c r="Z6868" i="1"/>
  <c r="W6868" i="1"/>
  <c r="Z6867" i="1"/>
  <c r="W6867" i="1"/>
  <c r="Z6866" i="1"/>
  <c r="W6866" i="1"/>
  <c r="Z6865" i="1"/>
  <c r="W6865" i="1"/>
  <c r="Z6864" i="1"/>
  <c r="W6864" i="1"/>
  <c r="Z6863" i="1"/>
  <c r="W6863" i="1"/>
  <c r="Z6862" i="1"/>
  <c r="W6862" i="1"/>
  <c r="Z6861" i="1"/>
  <c r="W6861" i="1"/>
  <c r="Z6860" i="1"/>
  <c r="W6860" i="1"/>
  <c r="Z6859" i="1"/>
  <c r="W6859" i="1"/>
  <c r="Z6858" i="1"/>
  <c r="W6858" i="1"/>
  <c r="Z6857" i="1"/>
  <c r="W6857" i="1"/>
  <c r="Z6856" i="1"/>
  <c r="W6856" i="1"/>
  <c r="Z6855" i="1"/>
  <c r="W6855" i="1"/>
  <c r="Z6854" i="1"/>
  <c r="W6854" i="1"/>
  <c r="Z6853" i="1"/>
  <c r="W6853" i="1"/>
  <c r="Z6852" i="1"/>
  <c r="W6852" i="1"/>
  <c r="Z6851" i="1"/>
  <c r="W6851" i="1"/>
  <c r="Z6850" i="1"/>
  <c r="W6850" i="1"/>
  <c r="Z6849" i="1"/>
  <c r="W6849" i="1"/>
  <c r="Z6848" i="1"/>
  <c r="W6848" i="1"/>
  <c r="Z6847" i="1"/>
  <c r="W6847" i="1"/>
  <c r="Z6846" i="1"/>
  <c r="W6846" i="1"/>
  <c r="Z6845" i="1"/>
  <c r="W6845" i="1"/>
  <c r="Z6844" i="1"/>
  <c r="W6844" i="1"/>
  <c r="Z6843" i="1"/>
  <c r="W6843" i="1"/>
  <c r="Z6842" i="1"/>
  <c r="W6842" i="1"/>
  <c r="Z6841" i="1"/>
  <c r="W6841" i="1"/>
  <c r="Z6840" i="1"/>
  <c r="W6840" i="1"/>
  <c r="Z6839" i="1"/>
  <c r="W6839" i="1"/>
  <c r="Z6838" i="1"/>
  <c r="W6838" i="1"/>
  <c r="Z6837" i="1"/>
  <c r="W6837" i="1"/>
  <c r="Z6836" i="1"/>
  <c r="W6836" i="1"/>
  <c r="Z6835" i="1"/>
  <c r="W6835" i="1"/>
  <c r="Z6834" i="1"/>
  <c r="W6834" i="1"/>
  <c r="Z6833" i="1"/>
  <c r="W6833" i="1"/>
  <c r="Z6832" i="1"/>
  <c r="W6832" i="1"/>
  <c r="Z6831" i="1"/>
  <c r="W6831" i="1"/>
  <c r="Z6830" i="1"/>
  <c r="W6830" i="1"/>
  <c r="Z6829" i="1"/>
  <c r="W6829" i="1"/>
  <c r="Z6828" i="1"/>
  <c r="W6828" i="1"/>
  <c r="Z6827" i="1"/>
  <c r="W6827" i="1"/>
  <c r="Z6826" i="1"/>
  <c r="W6826" i="1"/>
  <c r="Z6825" i="1"/>
  <c r="W6825" i="1"/>
  <c r="Z6824" i="1"/>
  <c r="W6824" i="1"/>
  <c r="Z6823" i="1"/>
  <c r="W6823" i="1"/>
  <c r="Z6822" i="1"/>
  <c r="W6822" i="1"/>
  <c r="Z6821" i="1"/>
  <c r="W6821" i="1"/>
  <c r="Z6820" i="1"/>
  <c r="W6820" i="1"/>
  <c r="Z6819" i="1"/>
  <c r="W6819" i="1"/>
  <c r="Z6818" i="1"/>
  <c r="W6818" i="1"/>
  <c r="Z6817" i="1"/>
  <c r="W6817" i="1"/>
  <c r="Z6816" i="1"/>
  <c r="W6816" i="1"/>
  <c r="Z6815" i="1"/>
  <c r="W6815" i="1"/>
  <c r="Z6814" i="1"/>
  <c r="W6814" i="1"/>
  <c r="Z6813" i="1"/>
  <c r="W6813" i="1"/>
  <c r="Z6812" i="1"/>
  <c r="W6812" i="1"/>
  <c r="Z6811" i="1"/>
  <c r="W6811" i="1"/>
  <c r="Z6810" i="1"/>
  <c r="W6810" i="1"/>
  <c r="Z6809" i="1"/>
  <c r="W6809" i="1"/>
  <c r="Z6808" i="1"/>
  <c r="W6808" i="1"/>
  <c r="Z6807" i="1"/>
  <c r="W6807" i="1"/>
  <c r="Z6806" i="1"/>
  <c r="W6806" i="1"/>
  <c r="Z6805" i="1"/>
  <c r="W6805" i="1"/>
  <c r="Z6804" i="1"/>
  <c r="W6804" i="1"/>
  <c r="Z6803" i="1"/>
  <c r="W6803" i="1"/>
  <c r="Z6802" i="1"/>
  <c r="W6802" i="1"/>
  <c r="Z6801" i="1"/>
  <c r="W6801" i="1"/>
  <c r="Z6800" i="1"/>
  <c r="W6800" i="1"/>
  <c r="Z6799" i="1"/>
  <c r="W6799" i="1"/>
  <c r="Z6798" i="1"/>
  <c r="W6798" i="1"/>
  <c r="Z6797" i="1"/>
  <c r="W6797" i="1"/>
  <c r="Z6796" i="1"/>
  <c r="W6796" i="1"/>
  <c r="Z6795" i="1"/>
  <c r="W6795" i="1"/>
  <c r="Z6794" i="1"/>
  <c r="W6794" i="1"/>
  <c r="Z6793" i="1"/>
  <c r="W6793" i="1"/>
  <c r="Z6792" i="1"/>
  <c r="W6792" i="1"/>
  <c r="Z6791" i="1"/>
  <c r="W6791" i="1"/>
  <c r="Z6790" i="1"/>
  <c r="W6790" i="1"/>
  <c r="Z6789" i="1"/>
  <c r="W6789" i="1"/>
  <c r="Z6788" i="1"/>
  <c r="W6788" i="1"/>
  <c r="Z6787" i="1"/>
  <c r="W6787" i="1"/>
  <c r="Z6786" i="1"/>
  <c r="W6786" i="1"/>
  <c r="Z6785" i="1"/>
  <c r="W6785" i="1"/>
  <c r="Z6784" i="1"/>
  <c r="W6784" i="1"/>
  <c r="Z6783" i="1"/>
  <c r="W6783" i="1"/>
  <c r="Z6782" i="1"/>
  <c r="W6782" i="1"/>
  <c r="Z6781" i="1"/>
  <c r="W6781" i="1"/>
  <c r="Z6780" i="1"/>
  <c r="W6780" i="1"/>
  <c r="Z6779" i="1"/>
  <c r="W6779" i="1"/>
  <c r="Z6778" i="1"/>
  <c r="W6778" i="1"/>
  <c r="Z6777" i="1"/>
  <c r="W6777" i="1"/>
  <c r="Z6776" i="1"/>
  <c r="W6776" i="1"/>
  <c r="Z6775" i="1"/>
  <c r="W6775" i="1"/>
  <c r="Z6774" i="1"/>
  <c r="W6774" i="1"/>
  <c r="Z6773" i="1"/>
  <c r="W6773" i="1"/>
  <c r="Z6772" i="1"/>
  <c r="W6772" i="1"/>
  <c r="Z6771" i="1"/>
  <c r="W6771" i="1"/>
  <c r="Z6770" i="1"/>
  <c r="W6770" i="1"/>
  <c r="Z6769" i="1"/>
  <c r="W6769" i="1"/>
  <c r="Z6768" i="1"/>
  <c r="W6768" i="1"/>
  <c r="Z6767" i="1"/>
  <c r="W6767" i="1"/>
  <c r="Z6766" i="1"/>
  <c r="W6766" i="1"/>
  <c r="Z6765" i="1"/>
  <c r="W6765" i="1"/>
  <c r="Z6764" i="1"/>
  <c r="W6764" i="1"/>
  <c r="Z6763" i="1"/>
  <c r="W6763" i="1"/>
  <c r="Z6762" i="1"/>
  <c r="W6762" i="1"/>
  <c r="Z6761" i="1"/>
  <c r="W6761" i="1"/>
  <c r="Z6760" i="1"/>
  <c r="W6760" i="1"/>
  <c r="Z6759" i="1"/>
  <c r="W6759" i="1"/>
  <c r="Z6758" i="1"/>
  <c r="W6758" i="1"/>
  <c r="Z6757" i="1"/>
  <c r="W6757" i="1"/>
  <c r="Z6756" i="1"/>
  <c r="W6756" i="1"/>
  <c r="Z6755" i="1"/>
  <c r="W6755" i="1"/>
  <c r="Z6754" i="1"/>
  <c r="W6754" i="1"/>
  <c r="Z6753" i="1"/>
  <c r="W6753" i="1"/>
  <c r="Z6752" i="1"/>
  <c r="W6752" i="1"/>
  <c r="Z6751" i="1"/>
  <c r="W6751" i="1"/>
  <c r="Z6750" i="1"/>
  <c r="W6750" i="1"/>
  <c r="Z6749" i="1"/>
  <c r="W6749" i="1"/>
  <c r="Z6748" i="1"/>
  <c r="W6748" i="1"/>
  <c r="Z6747" i="1"/>
  <c r="W6747" i="1"/>
  <c r="Z6746" i="1"/>
  <c r="W6746" i="1"/>
  <c r="Z6745" i="1"/>
  <c r="W6745" i="1"/>
  <c r="Z6744" i="1"/>
  <c r="W6744" i="1"/>
  <c r="Z6743" i="1"/>
  <c r="W6743" i="1"/>
  <c r="Z6742" i="1"/>
  <c r="W6742" i="1"/>
  <c r="Z6741" i="1"/>
  <c r="W6741" i="1"/>
  <c r="Z6740" i="1"/>
  <c r="W6740" i="1"/>
  <c r="Z6739" i="1"/>
  <c r="W6739" i="1"/>
  <c r="Z6738" i="1"/>
  <c r="W6738" i="1"/>
  <c r="Z6737" i="1"/>
  <c r="W6737" i="1"/>
  <c r="Z6736" i="1"/>
  <c r="W6736" i="1"/>
  <c r="Z6735" i="1"/>
  <c r="W6735" i="1"/>
  <c r="Z6734" i="1"/>
  <c r="W6734" i="1"/>
  <c r="Z6733" i="1"/>
  <c r="W6733" i="1"/>
  <c r="Z6732" i="1"/>
  <c r="W6732" i="1"/>
  <c r="Z6731" i="1"/>
  <c r="W6731" i="1"/>
  <c r="Z6730" i="1"/>
  <c r="W6730" i="1"/>
  <c r="Z6729" i="1"/>
  <c r="W6729" i="1"/>
  <c r="Z6728" i="1"/>
  <c r="W6728" i="1"/>
  <c r="Z6727" i="1"/>
  <c r="W6727" i="1"/>
  <c r="Z6726" i="1"/>
  <c r="W6726" i="1"/>
  <c r="Z6725" i="1"/>
  <c r="W6725" i="1"/>
  <c r="Z6724" i="1"/>
  <c r="W6724" i="1"/>
  <c r="Z6723" i="1"/>
  <c r="W6723" i="1"/>
  <c r="Z6722" i="1"/>
  <c r="W6722" i="1"/>
  <c r="Z6721" i="1"/>
  <c r="W6721" i="1"/>
  <c r="Z6720" i="1"/>
  <c r="W6720" i="1"/>
  <c r="Z6719" i="1"/>
  <c r="W6719" i="1"/>
  <c r="Z6718" i="1"/>
  <c r="W6718" i="1"/>
  <c r="Z6717" i="1"/>
  <c r="W6717" i="1"/>
  <c r="Z6716" i="1"/>
  <c r="W6716" i="1"/>
  <c r="Z6715" i="1"/>
  <c r="W6715" i="1"/>
  <c r="Z6714" i="1"/>
  <c r="W6714" i="1"/>
  <c r="Z6713" i="1"/>
  <c r="W6713" i="1"/>
  <c r="Z6712" i="1"/>
  <c r="W6712" i="1"/>
  <c r="Z6711" i="1"/>
  <c r="W6711" i="1"/>
  <c r="Z6710" i="1"/>
  <c r="W6710" i="1"/>
  <c r="Z6709" i="1"/>
  <c r="W6709" i="1"/>
  <c r="Z6708" i="1"/>
  <c r="W6708" i="1"/>
  <c r="Z6707" i="1"/>
  <c r="W6707" i="1"/>
  <c r="Z6706" i="1"/>
  <c r="W6706" i="1"/>
  <c r="Z6705" i="1"/>
  <c r="W6705" i="1"/>
  <c r="Z6704" i="1"/>
  <c r="W6704" i="1"/>
  <c r="Z6703" i="1"/>
  <c r="W6703" i="1"/>
  <c r="Z6702" i="1"/>
  <c r="W6702" i="1"/>
  <c r="Z6701" i="1"/>
  <c r="W6701" i="1"/>
  <c r="Z6700" i="1"/>
  <c r="W6700" i="1"/>
  <c r="Z6699" i="1"/>
  <c r="W6699" i="1"/>
  <c r="Z6698" i="1"/>
  <c r="W6698" i="1"/>
  <c r="Z6697" i="1"/>
  <c r="W6697" i="1"/>
  <c r="Z6696" i="1"/>
  <c r="W6696" i="1"/>
  <c r="Z6695" i="1"/>
  <c r="W6695" i="1"/>
  <c r="Z6694" i="1"/>
  <c r="W6694" i="1"/>
  <c r="Z6693" i="1"/>
  <c r="W6693" i="1"/>
  <c r="Z6692" i="1"/>
  <c r="W6692" i="1"/>
  <c r="Z6691" i="1"/>
  <c r="W6691" i="1"/>
  <c r="Z6690" i="1"/>
  <c r="W6690" i="1"/>
  <c r="Z6689" i="1"/>
  <c r="W6689" i="1"/>
  <c r="Z6688" i="1"/>
  <c r="W6688" i="1"/>
  <c r="Z6687" i="1"/>
  <c r="W6687" i="1"/>
  <c r="Z6686" i="1"/>
  <c r="W6686" i="1"/>
  <c r="Z6685" i="1"/>
  <c r="W6685" i="1"/>
  <c r="Z6684" i="1"/>
  <c r="W6684" i="1"/>
  <c r="Z6683" i="1"/>
  <c r="Z6682" i="1"/>
  <c r="W6682" i="1"/>
  <c r="Z6681" i="1"/>
  <c r="W6681" i="1"/>
  <c r="Z6680" i="1"/>
  <c r="W6680" i="1"/>
  <c r="Z6679" i="1"/>
  <c r="W6679" i="1"/>
  <c r="Z6678" i="1"/>
  <c r="W6678" i="1"/>
  <c r="Z6677" i="1"/>
  <c r="W6677" i="1"/>
  <c r="Z6676" i="1"/>
  <c r="W6676" i="1"/>
  <c r="Z6675" i="1"/>
  <c r="W6675" i="1"/>
  <c r="Z6674" i="1"/>
  <c r="W6674" i="1"/>
  <c r="Z6673" i="1"/>
  <c r="W6673" i="1"/>
  <c r="Z6672" i="1"/>
  <c r="W6672" i="1"/>
  <c r="Z6671" i="1"/>
  <c r="W6671" i="1"/>
  <c r="Z6670" i="1"/>
  <c r="W6670" i="1"/>
  <c r="Z6669" i="1"/>
  <c r="W6669" i="1"/>
  <c r="Z6668" i="1"/>
  <c r="W6668" i="1"/>
  <c r="Z6667" i="1"/>
  <c r="W6667" i="1"/>
  <c r="Z6666" i="1"/>
  <c r="W6666" i="1"/>
  <c r="Z6665" i="1"/>
  <c r="W6665" i="1"/>
  <c r="Z6664" i="1"/>
  <c r="W6664" i="1"/>
  <c r="Z6663" i="1"/>
  <c r="W6663" i="1"/>
  <c r="Z6662" i="1"/>
  <c r="W6662" i="1"/>
  <c r="Z6661" i="1"/>
  <c r="W6661" i="1"/>
  <c r="Z6660" i="1"/>
  <c r="W6660" i="1"/>
  <c r="Z6659" i="1"/>
  <c r="W6659" i="1"/>
  <c r="Z6658" i="1"/>
  <c r="W6658" i="1"/>
  <c r="Z6657" i="1"/>
  <c r="W6657" i="1"/>
  <c r="Z6656" i="1"/>
  <c r="W6656" i="1"/>
  <c r="Z6655" i="1"/>
  <c r="W6655" i="1"/>
  <c r="Z6654" i="1"/>
  <c r="W6654" i="1"/>
  <c r="Z6653" i="1"/>
  <c r="W6653" i="1"/>
  <c r="Z6652" i="1"/>
  <c r="W6652" i="1"/>
  <c r="Z6651" i="1"/>
  <c r="W6651" i="1"/>
  <c r="Z6650" i="1"/>
  <c r="W6650" i="1"/>
  <c r="Z6649" i="1"/>
  <c r="W6649" i="1"/>
  <c r="Z6648" i="1"/>
  <c r="W6648" i="1"/>
  <c r="Z6647" i="1"/>
  <c r="W6647" i="1"/>
  <c r="Z6646" i="1"/>
  <c r="W6646" i="1"/>
  <c r="Z6645" i="1"/>
  <c r="W6645" i="1"/>
  <c r="Z6644" i="1"/>
  <c r="W6644" i="1"/>
  <c r="Z6643" i="1"/>
  <c r="W6643" i="1"/>
  <c r="Z6642" i="1"/>
  <c r="W6642" i="1"/>
  <c r="Z6641" i="1"/>
  <c r="W6641" i="1"/>
  <c r="Z6640" i="1"/>
  <c r="W6640" i="1"/>
  <c r="Z6639" i="1"/>
  <c r="W6639" i="1"/>
  <c r="Z6638" i="1"/>
  <c r="W6638" i="1"/>
  <c r="Z6637" i="1"/>
  <c r="W6637" i="1"/>
  <c r="Z6636" i="1"/>
  <c r="W6636" i="1"/>
  <c r="Z6635" i="1"/>
  <c r="W6635" i="1"/>
  <c r="Z6634" i="1"/>
  <c r="W6634" i="1"/>
  <c r="Z6633" i="1"/>
  <c r="W6633" i="1"/>
  <c r="Z6632" i="1"/>
  <c r="W6632" i="1"/>
  <c r="Z6631" i="1"/>
  <c r="W6631" i="1"/>
  <c r="Z6630" i="1"/>
  <c r="W6630" i="1"/>
  <c r="Z6629" i="1"/>
  <c r="W6629" i="1"/>
  <c r="Z6628" i="1"/>
  <c r="W6628" i="1"/>
  <c r="Z6627" i="1"/>
  <c r="W6627" i="1"/>
  <c r="Z6626" i="1"/>
  <c r="W6626" i="1"/>
  <c r="Z6625" i="1"/>
  <c r="W6625" i="1"/>
  <c r="Z6624" i="1"/>
  <c r="W6624" i="1"/>
  <c r="Z6623" i="1"/>
  <c r="W6623" i="1"/>
  <c r="Z6622" i="1"/>
  <c r="W6622" i="1"/>
  <c r="Z6621" i="1"/>
  <c r="W6621" i="1"/>
  <c r="Z6620" i="1"/>
  <c r="W6620" i="1"/>
  <c r="Z6619" i="1"/>
  <c r="W6619" i="1"/>
  <c r="Z6618" i="1"/>
  <c r="W6618" i="1"/>
  <c r="Z6617" i="1"/>
  <c r="W6617" i="1"/>
  <c r="Z6616" i="1"/>
  <c r="W6616" i="1"/>
  <c r="Z6615" i="1"/>
  <c r="W6615" i="1"/>
  <c r="Z6614" i="1"/>
  <c r="W6614" i="1"/>
  <c r="Z6613" i="1"/>
  <c r="W6613" i="1"/>
  <c r="Z6612" i="1"/>
  <c r="W6612" i="1"/>
  <c r="Z6611" i="1"/>
  <c r="W6611" i="1"/>
  <c r="Z6610" i="1"/>
  <c r="W6610" i="1"/>
  <c r="Z6609" i="1"/>
  <c r="W6609" i="1"/>
  <c r="Z6608" i="1"/>
  <c r="W6608" i="1"/>
  <c r="Z6607" i="1"/>
  <c r="W6607" i="1"/>
  <c r="Z6606" i="1"/>
  <c r="W6606" i="1"/>
  <c r="Z6605" i="1"/>
  <c r="W6605" i="1"/>
  <c r="Z6604" i="1"/>
  <c r="W6604" i="1"/>
  <c r="Z6603" i="1"/>
  <c r="W6603" i="1"/>
  <c r="Z6602" i="1"/>
  <c r="W6602" i="1"/>
  <c r="Z6601" i="1"/>
  <c r="W6601" i="1"/>
  <c r="Z6600" i="1"/>
  <c r="W6600" i="1"/>
  <c r="Z6599" i="1"/>
  <c r="W6599" i="1"/>
  <c r="Z6598" i="1"/>
  <c r="W6598" i="1"/>
  <c r="Z6597" i="1"/>
  <c r="W6597" i="1"/>
  <c r="Z6596" i="1"/>
  <c r="W6596" i="1"/>
  <c r="Z6595" i="1"/>
  <c r="W6595" i="1"/>
  <c r="Z6594" i="1"/>
  <c r="W6594" i="1"/>
  <c r="Z6593" i="1"/>
  <c r="W6593" i="1"/>
  <c r="Z6592" i="1"/>
  <c r="W6592" i="1"/>
  <c r="Z6591" i="1"/>
  <c r="W6591" i="1"/>
  <c r="Z6590" i="1"/>
  <c r="W6590" i="1"/>
  <c r="Z6589" i="1"/>
  <c r="W6589" i="1"/>
  <c r="Z6588" i="1"/>
  <c r="W6588" i="1"/>
  <c r="Z6587" i="1"/>
  <c r="W6587" i="1"/>
  <c r="Z6586" i="1"/>
  <c r="W6586" i="1"/>
  <c r="Z6585" i="1"/>
  <c r="W6585" i="1"/>
  <c r="Z6584" i="1"/>
  <c r="W6584" i="1"/>
  <c r="Z6583" i="1"/>
  <c r="W6583" i="1"/>
  <c r="Z6582" i="1"/>
  <c r="W6582" i="1"/>
  <c r="Z6581" i="1"/>
  <c r="W6581" i="1"/>
  <c r="Z6580" i="1"/>
  <c r="W6580" i="1"/>
  <c r="Z6579" i="1"/>
  <c r="W6579" i="1"/>
  <c r="Z6578" i="1"/>
  <c r="W6578" i="1"/>
  <c r="Z6577" i="1"/>
  <c r="W6577" i="1"/>
  <c r="Z6576" i="1"/>
  <c r="W6576" i="1"/>
  <c r="Z6575" i="1"/>
  <c r="W6575" i="1"/>
  <c r="Z6574" i="1"/>
  <c r="W6574" i="1"/>
  <c r="Z6573" i="1"/>
  <c r="W6573" i="1"/>
  <c r="Z6572" i="1"/>
  <c r="W6572" i="1"/>
  <c r="Z6571" i="1"/>
  <c r="W6571" i="1"/>
  <c r="Z6570" i="1"/>
  <c r="W6570" i="1"/>
  <c r="Z6569" i="1"/>
  <c r="W6569" i="1"/>
  <c r="Z6568" i="1"/>
  <c r="W6568" i="1"/>
  <c r="Z6567" i="1"/>
  <c r="W6567" i="1"/>
  <c r="Z6566" i="1"/>
  <c r="W6566" i="1"/>
  <c r="Z6565" i="1"/>
  <c r="W6565" i="1"/>
  <c r="Z6564" i="1"/>
  <c r="W6564" i="1"/>
  <c r="Z6563" i="1"/>
  <c r="W6563" i="1"/>
  <c r="Z6562" i="1"/>
  <c r="W6562" i="1"/>
  <c r="Z6561" i="1"/>
  <c r="W6561" i="1"/>
  <c r="Z6560" i="1"/>
  <c r="W6560" i="1"/>
  <c r="Z6559" i="1"/>
  <c r="W6559" i="1"/>
  <c r="Z6558" i="1"/>
  <c r="W6558" i="1"/>
  <c r="Z6557" i="1"/>
  <c r="W6557" i="1"/>
  <c r="Z6556" i="1"/>
  <c r="W6556" i="1"/>
  <c r="Z6555" i="1"/>
  <c r="W6555" i="1"/>
  <c r="Z6554" i="1"/>
  <c r="W6554" i="1"/>
  <c r="Z6553" i="1"/>
  <c r="W6553" i="1"/>
  <c r="Z6552" i="1"/>
  <c r="W6552" i="1"/>
  <c r="Z6551" i="1"/>
  <c r="W6551" i="1"/>
  <c r="Z6550" i="1"/>
  <c r="W6550" i="1"/>
  <c r="Z6549" i="1"/>
  <c r="W6549" i="1"/>
  <c r="Z6548" i="1"/>
  <c r="W6548" i="1"/>
  <c r="Z6547" i="1"/>
  <c r="W6547" i="1"/>
  <c r="Z6546" i="1"/>
  <c r="W6546" i="1"/>
  <c r="Z6545" i="1"/>
  <c r="W6545" i="1"/>
  <c r="Z6544" i="1"/>
  <c r="W6544" i="1"/>
  <c r="Z6543" i="1"/>
  <c r="W6543" i="1"/>
  <c r="Z6542" i="1"/>
  <c r="W6542" i="1"/>
  <c r="Z6541" i="1"/>
  <c r="W6541" i="1"/>
  <c r="Z6540" i="1"/>
  <c r="W6540" i="1"/>
  <c r="Z6539" i="1"/>
  <c r="W6539" i="1"/>
  <c r="Z6538" i="1"/>
  <c r="W6538" i="1"/>
  <c r="Z6537" i="1"/>
  <c r="W6537" i="1"/>
  <c r="Z6536" i="1"/>
  <c r="W6536" i="1"/>
  <c r="Z6535" i="1"/>
  <c r="W6535" i="1"/>
  <c r="Z6534" i="1"/>
  <c r="W6534" i="1"/>
  <c r="Z6533" i="1"/>
  <c r="W6533" i="1"/>
  <c r="Z6532" i="1"/>
  <c r="W6532" i="1"/>
  <c r="Z6531" i="1"/>
  <c r="W6531" i="1"/>
  <c r="Z6530" i="1"/>
  <c r="W6530" i="1"/>
  <c r="Z6529" i="1"/>
  <c r="W6529" i="1"/>
  <c r="Z6528" i="1"/>
  <c r="W6528" i="1"/>
  <c r="Z6527" i="1"/>
  <c r="W6527" i="1"/>
  <c r="Z6526" i="1"/>
  <c r="W6526" i="1"/>
  <c r="Z6525" i="1"/>
  <c r="W6525" i="1"/>
  <c r="Z6524" i="1"/>
  <c r="W6524" i="1"/>
  <c r="Z6523" i="1"/>
  <c r="W6523" i="1"/>
  <c r="Z6522" i="1"/>
  <c r="W6522" i="1"/>
  <c r="Z6521" i="1"/>
  <c r="W6521" i="1"/>
  <c r="Z6520" i="1"/>
  <c r="W6520" i="1"/>
  <c r="Z6519" i="1"/>
  <c r="W6519" i="1"/>
  <c r="Z6518" i="1"/>
  <c r="W6518" i="1"/>
  <c r="Z6517" i="1"/>
  <c r="W6517" i="1"/>
  <c r="Z6516" i="1"/>
  <c r="W6516" i="1"/>
  <c r="Z6515" i="1"/>
  <c r="W6515" i="1"/>
  <c r="Z6514" i="1"/>
  <c r="W6514" i="1"/>
  <c r="Z6513" i="1"/>
  <c r="W6513" i="1"/>
  <c r="Z6512" i="1"/>
  <c r="W6512" i="1"/>
  <c r="Z6511" i="1"/>
  <c r="W6511" i="1"/>
  <c r="Z6510" i="1"/>
  <c r="W6510" i="1"/>
  <c r="Z6509" i="1"/>
  <c r="W6509" i="1"/>
  <c r="Z6508" i="1"/>
  <c r="W6508" i="1"/>
  <c r="Z6507" i="1"/>
  <c r="W6507" i="1"/>
  <c r="Z6506" i="1"/>
  <c r="W6506" i="1"/>
  <c r="Z6505" i="1"/>
  <c r="W6505" i="1"/>
  <c r="Z6504" i="1"/>
  <c r="W6504" i="1"/>
  <c r="Z6503" i="1"/>
  <c r="W6503" i="1"/>
  <c r="Z6502" i="1"/>
  <c r="W6502" i="1"/>
  <c r="Z6501" i="1"/>
  <c r="W6501" i="1"/>
  <c r="Z6500" i="1"/>
  <c r="W6500" i="1"/>
  <c r="Z6499" i="1"/>
  <c r="W6499" i="1"/>
  <c r="Z6498" i="1"/>
  <c r="W6498" i="1"/>
  <c r="Z6497" i="1"/>
  <c r="W6497" i="1"/>
  <c r="Z6496" i="1"/>
  <c r="W6496" i="1"/>
  <c r="Z6495" i="1"/>
  <c r="W6495" i="1"/>
  <c r="Z6494" i="1"/>
  <c r="W6494" i="1"/>
  <c r="Z6493" i="1"/>
  <c r="W6493" i="1"/>
  <c r="Z6492" i="1"/>
  <c r="W6492" i="1"/>
  <c r="Z6491" i="1"/>
  <c r="W6491" i="1"/>
  <c r="Z6490" i="1"/>
  <c r="W6490" i="1"/>
  <c r="Z6489" i="1"/>
  <c r="W6489" i="1"/>
  <c r="Z6488" i="1"/>
  <c r="W6488" i="1"/>
  <c r="Z6487" i="1"/>
  <c r="W6487" i="1"/>
  <c r="Z6486" i="1"/>
  <c r="W6486" i="1"/>
  <c r="Z6485" i="1"/>
  <c r="W6485" i="1"/>
  <c r="Z6484" i="1"/>
  <c r="W6484" i="1"/>
  <c r="Z6483" i="1"/>
  <c r="W6483" i="1"/>
  <c r="Z6482" i="1"/>
  <c r="W6482" i="1"/>
  <c r="Z6481" i="1"/>
  <c r="W6481" i="1"/>
  <c r="Z6480" i="1"/>
  <c r="W6480" i="1"/>
  <c r="Z6479" i="1"/>
  <c r="W6479" i="1"/>
  <c r="Z6478" i="1"/>
  <c r="W6478" i="1"/>
  <c r="Z6477" i="1"/>
  <c r="W6477" i="1"/>
  <c r="Z6476" i="1"/>
  <c r="W6476" i="1"/>
  <c r="Z6475" i="1"/>
  <c r="W6475" i="1"/>
  <c r="Z6474" i="1"/>
  <c r="W6474" i="1"/>
  <c r="Z6473" i="1"/>
  <c r="W6473" i="1"/>
  <c r="Z6472" i="1"/>
  <c r="W6472" i="1"/>
  <c r="Z6471" i="1"/>
  <c r="W6471" i="1"/>
  <c r="Z6470" i="1"/>
  <c r="W6470" i="1"/>
  <c r="Z6469" i="1"/>
  <c r="W6469" i="1"/>
  <c r="Z6468" i="1"/>
  <c r="W6468" i="1"/>
  <c r="Z6467" i="1"/>
  <c r="W6467" i="1"/>
  <c r="Z6466" i="1"/>
  <c r="W6466" i="1"/>
  <c r="Z6465" i="1"/>
  <c r="W6465" i="1"/>
  <c r="Z6464" i="1"/>
  <c r="W6464" i="1"/>
  <c r="Z6463" i="1"/>
  <c r="W6463" i="1"/>
  <c r="Z6462" i="1"/>
  <c r="W6462" i="1"/>
  <c r="Z6461" i="1"/>
  <c r="W6461" i="1"/>
  <c r="Z6460" i="1"/>
  <c r="W6460" i="1"/>
  <c r="Z6459" i="1"/>
  <c r="W6459" i="1"/>
  <c r="Z6458" i="1"/>
  <c r="W6458" i="1"/>
  <c r="Z6457" i="1"/>
  <c r="W6457" i="1"/>
  <c r="Z6456" i="1"/>
  <c r="W6456" i="1"/>
  <c r="Z6455" i="1"/>
  <c r="W6455" i="1"/>
  <c r="Z6454" i="1"/>
  <c r="W6454" i="1"/>
  <c r="Z6453" i="1"/>
  <c r="W6453" i="1"/>
  <c r="Z6452" i="1"/>
  <c r="W6452" i="1"/>
  <c r="Z6451" i="1"/>
  <c r="W6451" i="1"/>
  <c r="Z6450" i="1"/>
  <c r="W6450" i="1"/>
  <c r="Z6449" i="1"/>
  <c r="W6449" i="1"/>
  <c r="Z6448" i="1"/>
  <c r="W6448" i="1"/>
  <c r="Z6447" i="1"/>
  <c r="Z6446" i="1"/>
  <c r="W6446" i="1"/>
  <c r="Z6445" i="1"/>
  <c r="W6445" i="1"/>
  <c r="Z6444" i="1"/>
  <c r="W6444" i="1"/>
  <c r="Z6443" i="1"/>
  <c r="W6443" i="1"/>
  <c r="Z6442" i="1"/>
  <c r="W6442" i="1"/>
  <c r="Z6441" i="1"/>
  <c r="W6441" i="1"/>
  <c r="Z6440" i="1"/>
  <c r="W6440" i="1"/>
  <c r="Z6439" i="1"/>
  <c r="W6439" i="1"/>
  <c r="Z6438" i="1"/>
  <c r="W6438" i="1"/>
  <c r="Z6437" i="1"/>
  <c r="W6437" i="1"/>
  <c r="Z6436" i="1"/>
  <c r="W6436" i="1"/>
  <c r="Z6435" i="1"/>
  <c r="W6435" i="1"/>
  <c r="Z6434" i="1"/>
  <c r="W6434" i="1"/>
  <c r="Z6433" i="1"/>
  <c r="W6433" i="1"/>
  <c r="Z6432" i="1"/>
  <c r="W6432" i="1"/>
  <c r="Z6431" i="1"/>
  <c r="W6431" i="1"/>
  <c r="Z6430" i="1"/>
  <c r="W6430" i="1"/>
  <c r="Z6429" i="1"/>
  <c r="W6429" i="1"/>
  <c r="Z6428" i="1"/>
  <c r="W6428" i="1"/>
  <c r="Z6427" i="1"/>
  <c r="W6427" i="1"/>
  <c r="Z6426" i="1"/>
  <c r="W6426" i="1"/>
  <c r="Z6425" i="1"/>
  <c r="W6425" i="1"/>
  <c r="Z6424" i="1"/>
  <c r="W6424" i="1"/>
  <c r="Z6423" i="1"/>
  <c r="W6423" i="1"/>
  <c r="Z6422" i="1"/>
  <c r="W6422" i="1"/>
  <c r="Z6421" i="1"/>
  <c r="W6421" i="1"/>
  <c r="Z6420" i="1"/>
  <c r="W6420" i="1"/>
  <c r="Z6419" i="1"/>
  <c r="W6419" i="1"/>
  <c r="Z6418" i="1"/>
  <c r="W6418" i="1"/>
  <c r="Z6417" i="1"/>
  <c r="W6417" i="1"/>
  <c r="Z6416" i="1"/>
  <c r="W6416" i="1"/>
  <c r="Z6415" i="1"/>
  <c r="W6415" i="1"/>
  <c r="Z6414" i="1"/>
  <c r="W6414" i="1"/>
  <c r="Z6413" i="1"/>
  <c r="W6413" i="1"/>
  <c r="Z6412" i="1"/>
  <c r="W6412" i="1"/>
  <c r="Z6411" i="1"/>
  <c r="W6411" i="1"/>
  <c r="Z6410" i="1"/>
  <c r="W6410" i="1"/>
  <c r="Z6409" i="1"/>
  <c r="W6409" i="1"/>
  <c r="Z6408" i="1"/>
  <c r="W6408" i="1"/>
  <c r="Z6407" i="1"/>
  <c r="W6407" i="1"/>
  <c r="Z6406" i="1"/>
  <c r="W6406" i="1"/>
  <c r="Z6405" i="1"/>
  <c r="W6405" i="1"/>
  <c r="Z6404" i="1"/>
  <c r="W6404" i="1"/>
  <c r="Z6403" i="1"/>
  <c r="W6403" i="1"/>
  <c r="Z6402" i="1"/>
  <c r="W6402" i="1"/>
  <c r="Z6401" i="1"/>
  <c r="W6401" i="1"/>
  <c r="Z6400" i="1"/>
  <c r="W6400" i="1"/>
  <c r="Z6399" i="1"/>
  <c r="W6399" i="1"/>
  <c r="Z6398" i="1"/>
  <c r="W6398" i="1"/>
  <c r="Z6397" i="1"/>
  <c r="W6397" i="1"/>
  <c r="Z6396" i="1"/>
  <c r="W6396" i="1"/>
  <c r="Z6395" i="1"/>
  <c r="W6395" i="1"/>
  <c r="Z6394" i="1"/>
  <c r="W6394" i="1"/>
  <c r="Z6393" i="1"/>
  <c r="W6393" i="1"/>
  <c r="Z6392" i="1"/>
  <c r="W6392" i="1"/>
  <c r="Z6391" i="1"/>
  <c r="W6391" i="1"/>
  <c r="Z6390" i="1"/>
  <c r="W6390" i="1"/>
  <c r="Z6389" i="1"/>
  <c r="W6389" i="1"/>
  <c r="Z6388" i="1"/>
  <c r="W6388" i="1"/>
  <c r="Z6387" i="1"/>
  <c r="W6387" i="1"/>
  <c r="Z6386" i="1"/>
  <c r="W6386" i="1"/>
  <c r="Z6385" i="1"/>
  <c r="W6385" i="1"/>
  <c r="Z6384" i="1"/>
  <c r="W6384" i="1"/>
  <c r="Z6383" i="1"/>
  <c r="W6383" i="1"/>
  <c r="Z6382" i="1"/>
  <c r="W6382" i="1"/>
  <c r="Z6381" i="1"/>
  <c r="W6381" i="1"/>
  <c r="Z6380" i="1"/>
  <c r="W6380" i="1"/>
  <c r="Z6379" i="1"/>
  <c r="W6379" i="1"/>
  <c r="Z6378" i="1"/>
  <c r="W6378" i="1"/>
  <c r="Z6377" i="1"/>
  <c r="W6377" i="1"/>
  <c r="Z6376" i="1"/>
  <c r="W6376" i="1"/>
  <c r="Z6375" i="1"/>
  <c r="W6375" i="1"/>
  <c r="Z6374" i="1"/>
  <c r="W6374" i="1"/>
  <c r="Z6373" i="1"/>
  <c r="W6373" i="1"/>
  <c r="Z6372" i="1"/>
  <c r="W6372" i="1"/>
  <c r="Z6371" i="1"/>
  <c r="W6371" i="1"/>
  <c r="Z6370" i="1"/>
  <c r="W6370" i="1"/>
  <c r="Z6369" i="1"/>
  <c r="W6369" i="1"/>
  <c r="Z6368" i="1"/>
  <c r="W6368" i="1"/>
  <c r="Z6367" i="1"/>
  <c r="W6367" i="1"/>
  <c r="Z6366" i="1"/>
  <c r="W6366" i="1"/>
  <c r="Z6365" i="1"/>
  <c r="W6365" i="1"/>
  <c r="Z6364" i="1"/>
  <c r="W6364" i="1"/>
  <c r="Z6363" i="1"/>
  <c r="W6363" i="1"/>
  <c r="Z6362" i="1"/>
  <c r="W6362" i="1"/>
  <c r="Z6361" i="1"/>
  <c r="W6361" i="1"/>
  <c r="Z6360" i="1"/>
  <c r="W6360" i="1"/>
  <c r="Z6359" i="1"/>
  <c r="W6359" i="1"/>
  <c r="Z6358" i="1"/>
  <c r="W6358" i="1"/>
  <c r="Z6357" i="1"/>
  <c r="W6357" i="1"/>
  <c r="Z6356" i="1"/>
  <c r="W6356" i="1"/>
  <c r="Z6355" i="1"/>
  <c r="W6355" i="1"/>
  <c r="Z6354" i="1"/>
  <c r="W6354" i="1"/>
  <c r="Z6353" i="1"/>
  <c r="W6353" i="1"/>
  <c r="Z6352" i="1"/>
  <c r="W6352" i="1"/>
  <c r="Z6351" i="1"/>
  <c r="W6351" i="1"/>
  <c r="Z6350" i="1"/>
  <c r="W6350" i="1"/>
  <c r="Z6349" i="1"/>
  <c r="W6349" i="1"/>
  <c r="Z6348" i="1"/>
  <c r="W6348" i="1"/>
  <c r="Z6347" i="1"/>
  <c r="W6347" i="1"/>
  <c r="Z6346" i="1"/>
  <c r="W6346" i="1"/>
  <c r="Z6345" i="1"/>
  <c r="W6345" i="1"/>
  <c r="Z6344" i="1"/>
  <c r="W6344" i="1"/>
  <c r="Z6343" i="1"/>
  <c r="W6343" i="1"/>
  <c r="Z6342" i="1"/>
  <c r="W6342" i="1"/>
  <c r="Z6341" i="1"/>
  <c r="W6341" i="1"/>
  <c r="Z6340" i="1"/>
  <c r="W6340" i="1"/>
  <c r="Z6339" i="1"/>
  <c r="W6339" i="1"/>
  <c r="Z6338" i="1"/>
  <c r="W6338" i="1"/>
  <c r="Z6337" i="1"/>
  <c r="W6337" i="1"/>
  <c r="Z6336" i="1"/>
  <c r="W6336" i="1"/>
  <c r="Z6335" i="1"/>
  <c r="W6335" i="1"/>
  <c r="Z6334" i="1"/>
  <c r="W6334" i="1"/>
  <c r="Z6333" i="1"/>
  <c r="W6333" i="1"/>
  <c r="Z6332" i="1"/>
  <c r="W6332" i="1"/>
  <c r="Z6331" i="1"/>
  <c r="W6331" i="1"/>
  <c r="Z6330" i="1"/>
  <c r="W6330" i="1"/>
  <c r="Z6329" i="1"/>
  <c r="W6329" i="1"/>
  <c r="Z6328" i="1"/>
  <c r="W6328" i="1"/>
  <c r="Z6327" i="1"/>
  <c r="W6327" i="1"/>
  <c r="Z6326" i="1"/>
  <c r="W6326" i="1"/>
  <c r="Z6325" i="1"/>
  <c r="W6325" i="1"/>
  <c r="Z6324" i="1"/>
  <c r="W6324" i="1"/>
  <c r="Z6323" i="1"/>
  <c r="W6323" i="1"/>
  <c r="Z6322" i="1"/>
  <c r="W6322" i="1"/>
  <c r="Z6321" i="1"/>
  <c r="W6321" i="1"/>
  <c r="Z6320" i="1"/>
  <c r="W6320" i="1"/>
  <c r="Z6319" i="1"/>
  <c r="W6319" i="1"/>
  <c r="Z6318" i="1"/>
  <c r="W6318" i="1"/>
  <c r="Z6317" i="1"/>
  <c r="W6317" i="1"/>
  <c r="Z6316" i="1"/>
  <c r="W6316" i="1"/>
  <c r="Z6315" i="1"/>
  <c r="W6315" i="1"/>
  <c r="Z6314" i="1"/>
  <c r="W6314" i="1"/>
  <c r="Z6313" i="1"/>
  <c r="W6313" i="1"/>
  <c r="Z6312" i="1"/>
  <c r="W6312" i="1"/>
  <c r="Z6311" i="1"/>
  <c r="W6311" i="1"/>
  <c r="Z6310" i="1"/>
  <c r="W6310" i="1"/>
  <c r="Z6309" i="1"/>
  <c r="W6309" i="1"/>
  <c r="Z6308" i="1"/>
  <c r="W6308" i="1"/>
  <c r="Z6307" i="1"/>
  <c r="W6307" i="1"/>
  <c r="Z6306" i="1"/>
  <c r="W6306" i="1"/>
  <c r="Z6305" i="1"/>
  <c r="W6305" i="1"/>
  <c r="Z6304" i="1"/>
  <c r="W6304" i="1"/>
  <c r="Z6303" i="1"/>
  <c r="W6303" i="1"/>
  <c r="Z6302" i="1"/>
  <c r="W6302" i="1"/>
  <c r="Z6301" i="1"/>
  <c r="W6301" i="1"/>
  <c r="Z6300" i="1"/>
  <c r="W6300" i="1"/>
  <c r="Z6299" i="1"/>
  <c r="W6299" i="1"/>
  <c r="Z6298" i="1"/>
  <c r="W6298" i="1"/>
  <c r="Z6297" i="1"/>
  <c r="W6297" i="1"/>
  <c r="Z6296" i="1"/>
  <c r="W6296" i="1"/>
  <c r="Z6295" i="1"/>
  <c r="W6295" i="1"/>
  <c r="Z6294" i="1"/>
  <c r="W6294" i="1"/>
  <c r="Z6293" i="1"/>
  <c r="W6293" i="1"/>
  <c r="Z6292" i="1"/>
  <c r="W6292" i="1"/>
  <c r="Z6291" i="1"/>
  <c r="W6291" i="1"/>
  <c r="Z6290" i="1"/>
  <c r="W6290" i="1"/>
  <c r="Z6289" i="1"/>
  <c r="W6289" i="1"/>
  <c r="Z6288" i="1"/>
  <c r="W6288" i="1"/>
  <c r="Z6287" i="1"/>
  <c r="W6287" i="1"/>
  <c r="Z6286" i="1"/>
  <c r="W6286" i="1"/>
  <c r="Z6285" i="1"/>
  <c r="W6285" i="1"/>
  <c r="Z6284" i="1"/>
  <c r="W6284" i="1"/>
  <c r="Z6283" i="1"/>
  <c r="W6283" i="1"/>
  <c r="Z6282" i="1"/>
  <c r="W6282" i="1"/>
  <c r="Z6281" i="1"/>
  <c r="W6281" i="1"/>
  <c r="Z6280" i="1"/>
  <c r="W6280" i="1"/>
  <c r="Z6279" i="1"/>
  <c r="W6279" i="1"/>
  <c r="Z6278" i="1"/>
  <c r="W6278" i="1"/>
  <c r="Z6277" i="1"/>
  <c r="W6277" i="1"/>
  <c r="Z6276" i="1"/>
  <c r="W6276" i="1"/>
  <c r="Z6275" i="1"/>
  <c r="W6275" i="1"/>
  <c r="Z6274" i="1"/>
  <c r="W6274" i="1"/>
  <c r="Z6273" i="1"/>
  <c r="W6273" i="1"/>
  <c r="Z6272" i="1"/>
  <c r="W6272" i="1"/>
  <c r="Z6271" i="1"/>
  <c r="W6271" i="1"/>
  <c r="Z6270" i="1"/>
  <c r="W6270" i="1"/>
  <c r="Z6269" i="1"/>
  <c r="W6269" i="1"/>
  <c r="Z6268" i="1"/>
  <c r="W6268" i="1"/>
  <c r="Z6267" i="1"/>
  <c r="W6267" i="1"/>
  <c r="Z6266" i="1"/>
  <c r="W6266" i="1"/>
  <c r="Z6265" i="1"/>
  <c r="W6265" i="1"/>
  <c r="Z6264" i="1"/>
  <c r="W6264" i="1"/>
  <c r="Z6263" i="1"/>
  <c r="W6263" i="1"/>
  <c r="Z6262" i="1"/>
  <c r="W6262" i="1"/>
  <c r="Z6261" i="1"/>
  <c r="W6261" i="1"/>
  <c r="Z6260" i="1"/>
  <c r="W6260" i="1"/>
  <c r="Z6259" i="1"/>
  <c r="W6259" i="1"/>
  <c r="Z6258" i="1"/>
  <c r="W6258" i="1"/>
  <c r="Z6257" i="1"/>
  <c r="W6257" i="1"/>
  <c r="Z6256" i="1"/>
  <c r="W6256" i="1"/>
  <c r="Z6255" i="1"/>
  <c r="W6255" i="1"/>
  <c r="Z6254" i="1"/>
  <c r="W6254" i="1"/>
  <c r="Z6253" i="1"/>
  <c r="W6253" i="1"/>
  <c r="Z6252" i="1"/>
  <c r="W6252" i="1"/>
  <c r="Z6251" i="1"/>
  <c r="W6251" i="1"/>
  <c r="Z6250" i="1"/>
  <c r="W6250" i="1"/>
  <c r="Z6249" i="1"/>
  <c r="W6249" i="1"/>
  <c r="Z6248" i="1"/>
  <c r="W6248" i="1"/>
  <c r="Z6247" i="1"/>
  <c r="W6247" i="1"/>
  <c r="Z6246" i="1"/>
  <c r="W6246" i="1"/>
  <c r="Z6245" i="1"/>
  <c r="W6245" i="1"/>
  <c r="Z6244" i="1"/>
  <c r="W6244" i="1"/>
  <c r="Z6243" i="1"/>
  <c r="W6243" i="1"/>
  <c r="Z6242" i="1"/>
  <c r="W6242" i="1"/>
  <c r="Z6241" i="1"/>
  <c r="W6241" i="1"/>
  <c r="Z6240" i="1"/>
  <c r="W6240" i="1"/>
  <c r="Z6239" i="1"/>
  <c r="W6239" i="1"/>
  <c r="Z6238" i="1"/>
  <c r="W6238" i="1"/>
  <c r="Z6237" i="1"/>
  <c r="W6237" i="1"/>
  <c r="Z6236" i="1"/>
  <c r="W6236" i="1"/>
  <c r="Z6235" i="1"/>
  <c r="W6235" i="1"/>
  <c r="Z6234" i="1"/>
  <c r="W6234" i="1"/>
  <c r="Z6233" i="1"/>
  <c r="W6233" i="1"/>
  <c r="Z6232" i="1"/>
  <c r="W6232" i="1"/>
  <c r="Z6231" i="1"/>
  <c r="W6231" i="1"/>
  <c r="Z6230" i="1"/>
  <c r="W6230" i="1"/>
  <c r="Z6229" i="1"/>
  <c r="W6229" i="1"/>
  <c r="Z6228" i="1"/>
  <c r="W6228" i="1"/>
  <c r="Z6227" i="1"/>
  <c r="W6227" i="1"/>
  <c r="Z6226" i="1"/>
  <c r="W6226" i="1"/>
  <c r="Z6225" i="1"/>
  <c r="W6225" i="1"/>
  <c r="Z6224" i="1"/>
  <c r="W6224" i="1"/>
  <c r="Z6223" i="1"/>
  <c r="W6223" i="1"/>
  <c r="Z6222" i="1"/>
  <c r="W6222" i="1"/>
  <c r="Z6221" i="1"/>
  <c r="W6221" i="1"/>
  <c r="Z6220" i="1"/>
  <c r="W6220" i="1"/>
  <c r="Z6219" i="1"/>
  <c r="W6219" i="1"/>
  <c r="Z6218" i="1"/>
  <c r="W6218" i="1"/>
  <c r="Z6217" i="1"/>
  <c r="W6217" i="1"/>
  <c r="Z6216" i="1"/>
  <c r="W6216" i="1"/>
  <c r="Z6215" i="1"/>
  <c r="W6215" i="1"/>
  <c r="Z6214" i="1"/>
  <c r="W6214" i="1"/>
  <c r="Z6213" i="1"/>
  <c r="W6213" i="1"/>
  <c r="Z6212" i="1"/>
  <c r="W6212" i="1"/>
  <c r="Z6211" i="1"/>
  <c r="W6211" i="1"/>
  <c r="Z6210" i="1"/>
  <c r="W6210" i="1"/>
  <c r="Z6209" i="1"/>
  <c r="W6209" i="1"/>
  <c r="Z6208" i="1"/>
  <c r="W6208" i="1"/>
  <c r="Z6207" i="1"/>
  <c r="W6207" i="1"/>
  <c r="Z6206" i="1"/>
  <c r="W6206" i="1"/>
  <c r="Z6205" i="1"/>
  <c r="W6205" i="1"/>
  <c r="Z6204" i="1"/>
  <c r="W6204" i="1"/>
  <c r="Z6203" i="1"/>
  <c r="W6203" i="1"/>
  <c r="Z6202" i="1"/>
  <c r="W6202" i="1"/>
  <c r="Z6201" i="1"/>
  <c r="W6201" i="1"/>
  <c r="Z6200" i="1"/>
  <c r="W6200" i="1"/>
  <c r="Z6199" i="1"/>
  <c r="W6199" i="1"/>
  <c r="Z6198" i="1"/>
  <c r="W6198" i="1"/>
  <c r="Z6197" i="1"/>
  <c r="W6197" i="1"/>
  <c r="Z6196" i="1"/>
  <c r="W6196" i="1"/>
  <c r="Z6195" i="1"/>
  <c r="W6195" i="1"/>
  <c r="Z6194" i="1"/>
  <c r="W6194" i="1"/>
  <c r="Z6193" i="1"/>
  <c r="W6193" i="1"/>
  <c r="Z6192" i="1"/>
  <c r="W6192" i="1"/>
  <c r="Z6191" i="1"/>
  <c r="W6191" i="1"/>
  <c r="Z6190" i="1"/>
  <c r="W6190" i="1"/>
  <c r="Z6189" i="1"/>
  <c r="W6189" i="1"/>
  <c r="Z6188" i="1"/>
  <c r="W6188" i="1"/>
  <c r="Z6187" i="1"/>
  <c r="W6187" i="1"/>
  <c r="Z6186" i="1"/>
  <c r="W6186" i="1"/>
  <c r="Z6185" i="1"/>
  <c r="W6185" i="1"/>
  <c r="Z6184" i="1"/>
  <c r="W6184" i="1"/>
  <c r="Z6183" i="1"/>
  <c r="W6183" i="1"/>
  <c r="Z6182" i="1"/>
  <c r="W6182" i="1"/>
  <c r="Z6181" i="1"/>
  <c r="W6181" i="1"/>
  <c r="Z6180" i="1"/>
  <c r="W6180" i="1"/>
  <c r="Z6179" i="1"/>
  <c r="W6179" i="1"/>
  <c r="Z6178" i="1"/>
  <c r="W6178" i="1"/>
  <c r="Z6177" i="1"/>
  <c r="W6177" i="1"/>
  <c r="Z6176" i="1"/>
  <c r="W6176" i="1"/>
  <c r="Z6175" i="1"/>
  <c r="W6175" i="1"/>
  <c r="Z6174" i="1"/>
  <c r="W6174" i="1"/>
  <c r="Z6173" i="1"/>
  <c r="W6173" i="1"/>
  <c r="Z6172" i="1"/>
  <c r="W6172" i="1"/>
  <c r="Z6171" i="1"/>
  <c r="W6171" i="1"/>
  <c r="Z6170" i="1"/>
  <c r="W6170" i="1"/>
  <c r="Z6169" i="1"/>
  <c r="W6169" i="1"/>
  <c r="Z6168" i="1"/>
  <c r="W6168" i="1"/>
  <c r="Z6167" i="1"/>
  <c r="W6167" i="1"/>
  <c r="Z6166" i="1"/>
  <c r="W6166" i="1"/>
  <c r="Z6165" i="1"/>
  <c r="W6165" i="1"/>
  <c r="Z6164" i="1"/>
  <c r="W6164" i="1"/>
  <c r="Z6163" i="1"/>
  <c r="W6163" i="1"/>
  <c r="Z6162" i="1"/>
  <c r="W6162" i="1"/>
  <c r="Z6161" i="1"/>
  <c r="W6161" i="1"/>
  <c r="Z6160" i="1"/>
  <c r="W6160" i="1"/>
  <c r="Z6159" i="1"/>
  <c r="W6159" i="1"/>
  <c r="Z6158" i="1"/>
  <c r="W6158" i="1"/>
  <c r="Z6157" i="1"/>
  <c r="W6157" i="1"/>
  <c r="Z6156" i="1"/>
  <c r="W6156" i="1"/>
  <c r="Z6155" i="1"/>
  <c r="W6155" i="1"/>
  <c r="Z6154" i="1"/>
  <c r="W6154" i="1"/>
  <c r="Z6153" i="1"/>
  <c r="W6153" i="1"/>
  <c r="Z6152" i="1"/>
  <c r="W6152" i="1"/>
  <c r="Z6151" i="1"/>
  <c r="W6151" i="1"/>
  <c r="Z6150" i="1"/>
  <c r="W6150" i="1"/>
  <c r="Z6149" i="1"/>
  <c r="W6149" i="1"/>
  <c r="Z6148" i="1"/>
  <c r="W6148" i="1"/>
  <c r="Z6147" i="1"/>
  <c r="W6147" i="1"/>
  <c r="Z6146" i="1"/>
  <c r="W6146" i="1"/>
  <c r="Z6145" i="1"/>
  <c r="W6145" i="1"/>
  <c r="Z6144" i="1"/>
  <c r="W6144" i="1"/>
  <c r="Z6143" i="1"/>
  <c r="W6143" i="1"/>
  <c r="Z6142" i="1"/>
  <c r="W6142" i="1"/>
  <c r="Z6141" i="1"/>
  <c r="W6141" i="1"/>
  <c r="Z6140" i="1"/>
  <c r="W6140" i="1"/>
  <c r="Z6139" i="1"/>
  <c r="W6139" i="1"/>
  <c r="Z6138" i="1"/>
  <c r="W6138" i="1"/>
  <c r="Z6137" i="1"/>
  <c r="W6137" i="1"/>
  <c r="Z6136" i="1"/>
  <c r="W6136" i="1"/>
  <c r="Z6135" i="1"/>
  <c r="W6135" i="1"/>
  <c r="Z6134" i="1"/>
  <c r="W6134" i="1"/>
  <c r="Z6133" i="1"/>
  <c r="W6133" i="1"/>
  <c r="Z6132" i="1"/>
  <c r="W6132" i="1"/>
  <c r="Z6131" i="1"/>
  <c r="W6131" i="1"/>
  <c r="Z6130" i="1"/>
  <c r="W6130" i="1"/>
  <c r="W6129" i="1"/>
  <c r="Z6128" i="1"/>
  <c r="W6128" i="1"/>
  <c r="Z6127" i="1"/>
  <c r="W6127" i="1"/>
  <c r="Z6126" i="1"/>
  <c r="W6126" i="1"/>
  <c r="Z6125" i="1"/>
  <c r="W6125" i="1"/>
  <c r="Z6124" i="1"/>
  <c r="W6124" i="1"/>
  <c r="Z6123" i="1"/>
  <c r="W6123" i="1"/>
  <c r="Z6122" i="1"/>
  <c r="W6122" i="1"/>
  <c r="Z6121" i="1"/>
  <c r="W6121" i="1"/>
  <c r="Z6120" i="1"/>
  <c r="W6120" i="1"/>
  <c r="Z6119" i="1"/>
  <c r="W6119" i="1"/>
  <c r="Z6118" i="1"/>
  <c r="W6118" i="1"/>
  <c r="Z6117" i="1"/>
  <c r="W6117" i="1"/>
  <c r="Z6116" i="1"/>
  <c r="W6116" i="1"/>
  <c r="Z6115" i="1"/>
  <c r="W6115" i="1"/>
  <c r="Z6114" i="1"/>
  <c r="W6114" i="1"/>
  <c r="Z6113" i="1"/>
  <c r="W6113" i="1"/>
  <c r="Z6112" i="1"/>
  <c r="W6112" i="1"/>
  <c r="Z6111" i="1"/>
  <c r="W6111" i="1"/>
  <c r="Z6110" i="1"/>
  <c r="W6110" i="1"/>
  <c r="Z6109" i="1"/>
  <c r="W6109" i="1"/>
  <c r="Z6108" i="1"/>
  <c r="W6108" i="1"/>
  <c r="Z6107" i="1"/>
  <c r="W6107" i="1"/>
  <c r="Z6106" i="1"/>
  <c r="W6106" i="1"/>
  <c r="Z6105" i="1"/>
  <c r="W6105" i="1"/>
  <c r="Z6104" i="1"/>
  <c r="W6104" i="1"/>
  <c r="Z6103" i="1"/>
  <c r="W6103" i="1"/>
  <c r="Z6102" i="1"/>
  <c r="W6102" i="1"/>
  <c r="Z6101" i="1"/>
  <c r="W6101" i="1"/>
  <c r="Z6100" i="1"/>
  <c r="W6100" i="1"/>
  <c r="Z6099" i="1"/>
  <c r="W6099" i="1"/>
  <c r="Z6098" i="1"/>
  <c r="W6098" i="1"/>
  <c r="Z6097" i="1"/>
  <c r="W6097" i="1"/>
  <c r="Z6096" i="1"/>
  <c r="W6096" i="1"/>
  <c r="Z6095" i="1"/>
  <c r="W6095" i="1"/>
  <c r="Z6094" i="1"/>
  <c r="W6094" i="1"/>
  <c r="Z6093" i="1"/>
  <c r="W6093" i="1"/>
  <c r="Z6092" i="1"/>
  <c r="W6092" i="1"/>
  <c r="Z6091" i="1"/>
  <c r="W6091" i="1"/>
  <c r="Z6090" i="1"/>
  <c r="W6090" i="1"/>
  <c r="Z6089" i="1"/>
  <c r="W6089" i="1"/>
  <c r="Z6088" i="1"/>
  <c r="W6088" i="1"/>
  <c r="Z6087" i="1"/>
  <c r="W6087" i="1"/>
  <c r="Z6086" i="1"/>
  <c r="W6086" i="1"/>
  <c r="Z6085" i="1"/>
  <c r="W6085" i="1"/>
  <c r="Z6084" i="1"/>
  <c r="W6084" i="1"/>
  <c r="Z6083" i="1"/>
  <c r="W6083" i="1"/>
  <c r="Z6082" i="1"/>
  <c r="W6082" i="1"/>
  <c r="Z6081" i="1"/>
  <c r="W6081" i="1"/>
  <c r="Z6080" i="1"/>
  <c r="W6080" i="1"/>
  <c r="Z6079" i="1"/>
  <c r="W6079" i="1"/>
  <c r="Z6078" i="1"/>
  <c r="W6078" i="1"/>
  <c r="Z6077" i="1"/>
  <c r="W6077" i="1"/>
  <c r="Z6076" i="1"/>
  <c r="W6076" i="1"/>
  <c r="Z6075" i="1"/>
  <c r="W6075" i="1"/>
  <c r="Z6074" i="1"/>
  <c r="W6074" i="1"/>
  <c r="Z6073" i="1"/>
  <c r="W6073" i="1"/>
  <c r="Z6072" i="1"/>
  <c r="W6072" i="1"/>
  <c r="Z6071" i="1"/>
  <c r="W6071" i="1"/>
  <c r="Z6070" i="1"/>
  <c r="W6070" i="1"/>
  <c r="Z6069" i="1"/>
  <c r="W6069" i="1"/>
  <c r="Z6068" i="1"/>
  <c r="W6068" i="1"/>
  <c r="Z6067" i="1"/>
  <c r="W6067" i="1"/>
  <c r="Z6066" i="1"/>
  <c r="W6066" i="1"/>
  <c r="Z6065" i="1"/>
  <c r="W6065" i="1"/>
  <c r="Z6064" i="1"/>
  <c r="W6064" i="1"/>
  <c r="Z6063" i="1"/>
  <c r="W6063" i="1"/>
  <c r="Z6062" i="1"/>
  <c r="W6062" i="1"/>
  <c r="Z6061" i="1"/>
  <c r="W6061" i="1"/>
  <c r="Z6060" i="1"/>
  <c r="W6060" i="1"/>
  <c r="Z6059" i="1"/>
  <c r="W6059" i="1"/>
  <c r="Z6058" i="1"/>
  <c r="W6058" i="1"/>
  <c r="Z6057" i="1"/>
  <c r="W6057" i="1"/>
  <c r="Z6056" i="1"/>
  <c r="W6056" i="1"/>
  <c r="Z6055" i="1"/>
  <c r="W6055" i="1"/>
  <c r="Z6054" i="1"/>
  <c r="W6054" i="1"/>
  <c r="Z6053" i="1"/>
  <c r="W6053" i="1"/>
  <c r="Z6052" i="1"/>
  <c r="W6052" i="1"/>
  <c r="Z6051" i="1"/>
  <c r="W6051" i="1"/>
  <c r="Z6050" i="1"/>
  <c r="W6050" i="1"/>
  <c r="Z6049" i="1"/>
  <c r="W6049" i="1"/>
  <c r="Z6048" i="1"/>
  <c r="W6048" i="1"/>
  <c r="Z6047" i="1"/>
  <c r="W6047" i="1"/>
  <c r="Z6046" i="1"/>
  <c r="W6046" i="1"/>
  <c r="Z6045" i="1"/>
  <c r="W6045" i="1"/>
  <c r="Z6044" i="1"/>
  <c r="Z6043" i="1"/>
  <c r="W6043" i="1"/>
  <c r="Z6042" i="1"/>
  <c r="W6042" i="1"/>
  <c r="Z6041" i="1"/>
  <c r="W6041" i="1"/>
  <c r="Z6040" i="1"/>
  <c r="W6040" i="1"/>
  <c r="Z6039" i="1"/>
  <c r="W6039" i="1"/>
  <c r="Z6038" i="1"/>
  <c r="W6038" i="1"/>
  <c r="Z6037" i="1"/>
  <c r="W6037" i="1"/>
  <c r="Z6036" i="1"/>
  <c r="W6036" i="1"/>
  <c r="Z6035" i="1"/>
  <c r="W6035" i="1"/>
  <c r="Z6034" i="1"/>
  <c r="W6034" i="1"/>
  <c r="Z6033" i="1"/>
  <c r="W6033" i="1"/>
  <c r="Z6032" i="1"/>
  <c r="W6032" i="1"/>
  <c r="Z6031" i="1"/>
  <c r="W6031" i="1"/>
  <c r="Z6030" i="1"/>
  <c r="W6030" i="1"/>
  <c r="Z6029" i="1"/>
  <c r="W6029" i="1"/>
  <c r="Z6028" i="1"/>
  <c r="W6028" i="1"/>
  <c r="Z6027" i="1"/>
  <c r="W6027" i="1"/>
  <c r="Z6026" i="1"/>
  <c r="W6026" i="1"/>
  <c r="Z6025" i="1"/>
  <c r="W6025" i="1"/>
  <c r="Z6024" i="1"/>
  <c r="W6024" i="1"/>
  <c r="Z6023" i="1"/>
  <c r="W6023" i="1"/>
  <c r="Z6022" i="1"/>
  <c r="W6022" i="1"/>
  <c r="Z6021" i="1"/>
  <c r="W6021" i="1"/>
  <c r="Z6020" i="1"/>
  <c r="W6020" i="1"/>
  <c r="Z6019" i="1"/>
  <c r="W6019" i="1"/>
  <c r="Z6018" i="1"/>
  <c r="W6018" i="1"/>
  <c r="Z6017" i="1"/>
  <c r="W6017" i="1"/>
  <c r="Z6016" i="1"/>
  <c r="W6016" i="1"/>
  <c r="Z6015" i="1"/>
  <c r="W6015" i="1"/>
  <c r="Z6014" i="1"/>
  <c r="W6014" i="1"/>
  <c r="Z6013" i="1"/>
  <c r="W6013" i="1"/>
  <c r="Z6012" i="1"/>
  <c r="W6012" i="1"/>
  <c r="Z6011" i="1"/>
  <c r="W6011" i="1"/>
  <c r="Z6010" i="1"/>
  <c r="W6010" i="1"/>
  <c r="Z6009" i="1"/>
  <c r="W6009" i="1"/>
  <c r="Z6008" i="1"/>
  <c r="W6008" i="1"/>
  <c r="Z6007" i="1"/>
  <c r="W6007" i="1"/>
  <c r="Z6006" i="1"/>
  <c r="W6006" i="1"/>
  <c r="Z6005" i="1"/>
  <c r="W6005" i="1"/>
  <c r="W6" i="1"/>
  <c r="X6" i="1"/>
  <c r="X7" i="1" s="1"/>
  <c r="X8" i="1" s="1"/>
  <c r="X9" i="1" s="1"/>
  <c r="Z469" i="1"/>
  <c r="W483" i="1"/>
  <c r="W509" i="1"/>
  <c r="Z521" i="1"/>
  <c r="Z537" i="1"/>
  <c r="Z553" i="1"/>
  <c r="Z569" i="1"/>
  <c r="Z585" i="1"/>
  <c r="Z601" i="1"/>
  <c r="Z617" i="1"/>
  <c r="Z633" i="1"/>
  <c r="Z649" i="1"/>
  <c r="Z697" i="1"/>
  <c r="Z729" i="1"/>
  <c r="W217" i="1"/>
  <c r="Z121" i="1"/>
  <c r="W313" i="1"/>
  <c r="W333" i="1"/>
  <c r="W343" i="1"/>
  <c r="W369" i="1"/>
  <c r="Z393" i="1"/>
  <c r="W407" i="1"/>
  <c r="W433" i="1"/>
  <c r="Z457" i="1"/>
  <c r="W471" i="1"/>
  <c r="W497" i="1"/>
  <c r="Z669" i="1"/>
  <c r="W299" i="1"/>
  <c r="W327" i="1"/>
  <c r="Z332" i="1"/>
  <c r="Z361" i="1"/>
  <c r="W375" i="1"/>
  <c r="W401" i="1"/>
  <c r="W145" i="1"/>
  <c r="W29" i="1"/>
  <c r="W32" i="1"/>
  <c r="Z69" i="1"/>
  <c r="W93" i="1"/>
  <c r="W96" i="1"/>
  <c r="Z133" i="1"/>
  <c r="W157" i="1"/>
  <c r="W160" i="1"/>
  <c r="W169" i="1"/>
  <c r="W213" i="1"/>
  <c r="W231" i="1"/>
  <c r="W277" i="1"/>
  <c r="W295" i="1"/>
  <c r="W357" i="1"/>
  <c r="Z381" i="1"/>
  <c r="W395" i="1"/>
  <c r="W421" i="1"/>
  <c r="Z445" i="1"/>
  <c r="W459" i="1"/>
  <c r="W485" i="1"/>
  <c r="Z509" i="1"/>
  <c r="W525" i="1"/>
  <c r="W541" i="1"/>
  <c r="W557" i="1"/>
  <c r="W573" i="1"/>
  <c r="W589" i="1"/>
  <c r="W605" i="1"/>
  <c r="W621" i="1"/>
  <c r="W637" i="1"/>
  <c r="W653" i="1"/>
  <c r="Z701" i="1"/>
  <c r="W249" i="1"/>
  <c r="W267" i="1"/>
  <c r="W7" i="1"/>
  <c r="J390" i="3" s="1"/>
  <c r="Z17" i="1"/>
  <c r="Z20" i="1"/>
  <c r="W41" i="1"/>
  <c r="W44" i="1"/>
  <c r="Z81" i="1"/>
  <c r="Z84" i="1"/>
  <c r="W87" i="1"/>
  <c r="W105" i="1"/>
  <c r="W108" i="1"/>
  <c r="Z145" i="1"/>
  <c r="W151" i="1"/>
  <c r="Z172" i="1"/>
  <c r="W195" i="1"/>
  <c r="Z216" i="1"/>
  <c r="W241" i="1"/>
  <c r="W259" i="1"/>
  <c r="W305" i="1"/>
  <c r="W323" i="1"/>
  <c r="Z328" i="1"/>
  <c r="W345" i="1"/>
  <c r="Z369" i="1"/>
  <c r="W383" i="1"/>
  <c r="W409" i="1"/>
  <c r="Z433" i="1"/>
  <c r="W447" i="1"/>
  <c r="W473" i="1"/>
  <c r="Z497" i="1"/>
  <c r="W511" i="1"/>
  <c r="W173" i="1"/>
  <c r="W181" i="1"/>
  <c r="W177" i="1"/>
  <c r="W185" i="1"/>
  <c r="W203" i="1"/>
  <c r="X10" i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X1032" i="1" s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X1106" i="1" s="1"/>
  <c r="X1107" i="1" s="1"/>
  <c r="X1108" i="1" s="1"/>
  <c r="X1109" i="1" s="1"/>
  <c r="X1110" i="1" s="1"/>
  <c r="X1111" i="1" s="1"/>
  <c r="X1112" i="1" s="1"/>
  <c r="X1113" i="1" s="1"/>
  <c r="X1114" i="1" s="1"/>
  <c r="X1115" i="1" s="1"/>
  <c r="X1116" i="1" s="1"/>
  <c r="X1117" i="1" s="1"/>
  <c r="X1118" i="1" s="1"/>
  <c r="X1119" i="1" s="1"/>
  <c r="X1120" i="1" s="1"/>
  <c r="X1121" i="1" s="1"/>
  <c r="X1122" i="1" s="1"/>
  <c r="X1123" i="1" s="1"/>
  <c r="X1124" i="1" s="1"/>
  <c r="X1125" i="1" s="1"/>
  <c r="X1126" i="1" s="1"/>
  <c r="X1127" i="1" s="1"/>
  <c r="X1128" i="1" s="1"/>
  <c r="X1129" i="1" s="1"/>
  <c r="X1130" i="1" s="1"/>
  <c r="X1131" i="1" s="1"/>
  <c r="X1132" i="1" s="1"/>
  <c r="X1133" i="1" s="1"/>
  <c r="X1134" i="1" s="1"/>
  <c r="X1135" i="1" s="1"/>
  <c r="X1136" i="1" s="1"/>
  <c r="X1137" i="1" s="1"/>
  <c r="X1138" i="1" s="1"/>
  <c r="X1139" i="1" s="1"/>
  <c r="X1140" i="1" s="1"/>
  <c r="X1141" i="1" s="1"/>
  <c r="X1142" i="1" s="1"/>
  <c r="X1143" i="1" s="1"/>
  <c r="X1144" i="1" s="1"/>
  <c r="X1145" i="1" s="1"/>
  <c r="X1146" i="1" s="1"/>
  <c r="X1147" i="1" s="1"/>
  <c r="X1148" i="1" s="1"/>
  <c r="X1149" i="1" s="1"/>
  <c r="X1150" i="1" s="1"/>
  <c r="X1151" i="1" s="1"/>
  <c r="X1152" i="1" s="1"/>
  <c r="X1153" i="1" s="1"/>
  <c r="X1154" i="1" s="1"/>
  <c r="X1155" i="1" s="1"/>
  <c r="X1156" i="1" s="1"/>
  <c r="X1157" i="1" s="1"/>
  <c r="X1158" i="1" s="1"/>
  <c r="X1159" i="1" s="1"/>
  <c r="X1160" i="1" s="1"/>
  <c r="X1161" i="1" s="1"/>
  <c r="X1162" i="1" s="1"/>
  <c r="X1163" i="1" s="1"/>
  <c r="X1164" i="1" s="1"/>
  <c r="X1165" i="1" s="1"/>
  <c r="X1166" i="1" s="1"/>
  <c r="X1167" i="1" s="1"/>
  <c r="X1168" i="1" s="1"/>
  <c r="X1169" i="1" s="1"/>
  <c r="X1170" i="1" s="1"/>
  <c r="X1171" i="1" s="1"/>
  <c r="X1172" i="1" s="1"/>
  <c r="X1173" i="1" s="1"/>
  <c r="X1174" i="1" s="1"/>
  <c r="X1175" i="1" s="1"/>
  <c r="X1176" i="1" s="1"/>
  <c r="X1177" i="1" s="1"/>
  <c r="X1178" i="1" s="1"/>
  <c r="X1179" i="1" s="1"/>
  <c r="X1180" i="1" s="1"/>
  <c r="X1181" i="1" s="1"/>
  <c r="X1182" i="1" s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X1194" i="1" s="1"/>
  <c r="X1195" i="1" s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X1207" i="1" s="1"/>
  <c r="X1208" i="1" s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X1253" i="1" s="1"/>
  <c r="X1254" i="1" s="1"/>
  <c r="X1255" i="1" s="1"/>
  <c r="X1256" i="1" s="1"/>
  <c r="X1257" i="1" s="1"/>
  <c r="X1258" i="1" s="1"/>
  <c r="X1259" i="1" s="1"/>
  <c r="X1260" i="1" s="1"/>
  <c r="X1261" i="1" s="1"/>
  <c r="X1262" i="1" s="1"/>
  <c r="X1263" i="1" s="1"/>
  <c r="X1264" i="1" s="1"/>
  <c r="X1265" i="1" s="1"/>
  <c r="X1266" i="1" s="1"/>
  <c r="X1267" i="1" s="1"/>
  <c r="X1268" i="1" s="1"/>
  <c r="X1269" i="1" s="1"/>
  <c r="X1270" i="1" s="1"/>
  <c r="X1271" i="1" s="1"/>
  <c r="X1272" i="1" s="1"/>
  <c r="X1273" i="1" s="1"/>
  <c r="X1274" i="1" s="1"/>
  <c r="X1275" i="1" s="1"/>
  <c r="X1276" i="1" s="1"/>
  <c r="X1277" i="1" s="1"/>
  <c r="X1278" i="1" s="1"/>
  <c r="X1279" i="1" s="1"/>
  <c r="X1280" i="1" s="1"/>
  <c r="X1281" i="1" s="1"/>
  <c r="X1282" i="1" s="1"/>
  <c r="X1283" i="1" s="1"/>
  <c r="X1284" i="1" s="1"/>
  <c r="X1285" i="1" s="1"/>
  <c r="X1286" i="1" s="1"/>
  <c r="X1287" i="1" s="1"/>
  <c r="X1288" i="1" s="1"/>
  <c r="X1289" i="1" s="1"/>
  <c r="X1290" i="1" s="1"/>
  <c r="X1291" i="1" s="1"/>
  <c r="X1292" i="1" s="1"/>
  <c r="X1293" i="1" s="1"/>
  <c r="X1294" i="1" s="1"/>
  <c r="X1295" i="1" s="1"/>
  <c r="X1296" i="1" s="1"/>
  <c r="X1297" i="1" s="1"/>
  <c r="X1298" i="1" s="1"/>
  <c r="X1299" i="1" s="1"/>
  <c r="X1300" i="1" s="1"/>
  <c r="X1301" i="1" s="1"/>
  <c r="X1302" i="1" s="1"/>
  <c r="X1303" i="1" s="1"/>
  <c r="X1304" i="1" s="1"/>
  <c r="X1305" i="1" s="1"/>
  <c r="X1306" i="1" s="1"/>
  <c r="X1307" i="1" s="1"/>
  <c r="X1308" i="1" s="1"/>
  <c r="X1309" i="1" s="1"/>
  <c r="X1310" i="1" s="1"/>
  <c r="X1311" i="1" s="1"/>
  <c r="X1312" i="1" s="1"/>
  <c r="X1313" i="1" s="1"/>
  <c r="X1314" i="1" s="1"/>
  <c r="X1315" i="1" s="1"/>
  <c r="X1316" i="1" s="1"/>
  <c r="X1317" i="1" s="1"/>
  <c r="X1318" i="1" s="1"/>
  <c r="X1319" i="1" s="1"/>
  <c r="X1320" i="1" s="1"/>
  <c r="X1321" i="1" s="1"/>
  <c r="X1322" i="1" s="1"/>
  <c r="X1323" i="1" s="1"/>
  <c r="X1324" i="1" s="1"/>
  <c r="X1325" i="1" s="1"/>
  <c r="X1326" i="1" s="1"/>
  <c r="X1327" i="1" s="1"/>
  <c r="X1328" i="1" s="1"/>
  <c r="X1329" i="1" s="1"/>
  <c r="X1330" i="1" s="1"/>
  <c r="X1331" i="1" s="1"/>
  <c r="X1332" i="1" s="1"/>
  <c r="X1333" i="1" s="1"/>
  <c r="X1334" i="1" s="1"/>
  <c r="X1335" i="1" s="1"/>
  <c r="X1336" i="1" s="1"/>
  <c r="X1337" i="1" s="1"/>
  <c r="X1338" i="1" s="1"/>
  <c r="X1339" i="1" s="1"/>
  <c r="X1340" i="1" s="1"/>
  <c r="X1341" i="1" s="1"/>
  <c r="X1342" i="1" s="1"/>
  <c r="X1343" i="1" s="1"/>
  <c r="X1344" i="1" s="1"/>
  <c r="X1345" i="1" s="1"/>
  <c r="X1346" i="1" s="1"/>
  <c r="X1347" i="1" s="1"/>
  <c r="X1348" i="1" s="1"/>
  <c r="X1349" i="1" s="1"/>
  <c r="X1350" i="1" s="1"/>
  <c r="X1351" i="1" s="1"/>
  <c r="X1352" i="1" s="1"/>
  <c r="X1353" i="1" s="1"/>
  <c r="X1354" i="1" s="1"/>
  <c r="X1355" i="1" s="1"/>
  <c r="X1356" i="1" s="1"/>
  <c r="X1357" i="1" s="1"/>
  <c r="X1358" i="1" s="1"/>
  <c r="X1359" i="1" s="1"/>
  <c r="X1360" i="1" s="1"/>
  <c r="X1361" i="1" s="1"/>
  <c r="X1362" i="1" s="1"/>
  <c r="X1363" i="1" s="1"/>
  <c r="X1364" i="1" s="1"/>
  <c r="X1365" i="1" s="1"/>
  <c r="X1366" i="1" s="1"/>
  <c r="X1367" i="1" s="1"/>
  <c r="X1368" i="1" s="1"/>
  <c r="X1369" i="1" s="1"/>
  <c r="X1370" i="1" s="1"/>
  <c r="X1371" i="1" s="1"/>
  <c r="X1372" i="1" s="1"/>
  <c r="X1373" i="1" s="1"/>
  <c r="X1374" i="1" s="1"/>
  <c r="X1375" i="1" s="1"/>
  <c r="X1376" i="1" s="1"/>
  <c r="X1377" i="1" s="1"/>
  <c r="X1378" i="1" s="1"/>
  <c r="X1379" i="1" s="1"/>
  <c r="X1380" i="1" s="1"/>
  <c r="X1381" i="1" s="1"/>
  <c r="X1382" i="1" s="1"/>
  <c r="X1383" i="1" s="1"/>
  <c r="X1384" i="1" s="1"/>
  <c r="X1385" i="1" s="1"/>
  <c r="X1386" i="1" s="1"/>
  <c r="X1387" i="1" s="1"/>
  <c r="X1388" i="1" s="1"/>
  <c r="X1389" i="1" s="1"/>
  <c r="X1390" i="1" s="1"/>
  <c r="X1391" i="1" s="1"/>
  <c r="X1392" i="1" s="1"/>
  <c r="X1393" i="1" s="1"/>
  <c r="X1394" i="1" s="1"/>
  <c r="X1395" i="1" s="1"/>
  <c r="X1396" i="1" s="1"/>
  <c r="X1397" i="1" s="1"/>
  <c r="X1398" i="1" s="1"/>
  <c r="X1399" i="1" s="1"/>
  <c r="X1400" i="1" s="1"/>
  <c r="X1401" i="1" s="1"/>
  <c r="X1402" i="1" s="1"/>
  <c r="X1403" i="1" s="1"/>
  <c r="X1404" i="1" s="1"/>
  <c r="X1405" i="1" s="1"/>
  <c r="X1406" i="1" s="1"/>
  <c r="X1407" i="1" s="1"/>
  <c r="X1408" i="1" s="1"/>
  <c r="X1409" i="1" s="1"/>
  <c r="X1410" i="1" s="1"/>
  <c r="X1411" i="1" s="1"/>
  <c r="X1412" i="1" s="1"/>
  <c r="X1413" i="1" s="1"/>
  <c r="X1414" i="1" s="1"/>
  <c r="X1415" i="1" s="1"/>
  <c r="X1416" i="1" s="1"/>
  <c r="X1417" i="1" s="1"/>
  <c r="X1418" i="1" s="1"/>
  <c r="X1419" i="1" s="1"/>
  <c r="X1420" i="1" s="1"/>
  <c r="X1421" i="1" s="1"/>
  <c r="X1422" i="1" s="1"/>
  <c r="X1423" i="1" s="1"/>
  <c r="X1424" i="1" s="1"/>
  <c r="X1425" i="1" s="1"/>
  <c r="X1426" i="1" s="1"/>
  <c r="X1427" i="1" s="1"/>
  <c r="X1428" i="1" s="1"/>
  <c r="X1429" i="1" s="1"/>
  <c r="X1430" i="1" s="1"/>
  <c r="X1431" i="1" s="1"/>
  <c r="X1432" i="1" s="1"/>
  <c r="X1433" i="1" s="1"/>
  <c r="X1434" i="1" s="1"/>
  <c r="X1435" i="1" s="1"/>
  <c r="X1436" i="1" s="1"/>
  <c r="X1437" i="1" s="1"/>
  <c r="X1438" i="1" s="1"/>
  <c r="X1439" i="1" s="1"/>
  <c r="X1440" i="1" s="1"/>
  <c r="X1441" i="1" s="1"/>
  <c r="X1442" i="1" s="1"/>
  <c r="X1443" i="1" s="1"/>
  <c r="X1444" i="1" s="1"/>
  <c r="X1445" i="1" s="1"/>
  <c r="X1446" i="1" s="1"/>
  <c r="X1447" i="1" s="1"/>
  <c r="X1448" i="1" s="1"/>
  <c r="X1449" i="1" s="1"/>
  <c r="X1450" i="1" s="1"/>
  <c r="X1451" i="1" s="1"/>
  <c r="X1452" i="1" s="1"/>
  <c r="X1453" i="1" s="1"/>
  <c r="X1454" i="1" s="1"/>
  <c r="X1455" i="1" s="1"/>
  <c r="X1456" i="1" s="1"/>
  <c r="X1457" i="1" s="1"/>
  <c r="X1458" i="1" s="1"/>
  <c r="X1459" i="1" s="1"/>
  <c r="X1460" i="1" s="1"/>
  <c r="X1461" i="1" s="1"/>
  <c r="X1462" i="1" s="1"/>
  <c r="X1463" i="1" s="1"/>
  <c r="X1464" i="1" s="1"/>
  <c r="X1465" i="1" s="1"/>
  <c r="X1466" i="1" s="1"/>
  <c r="X1467" i="1" s="1"/>
  <c r="X1468" i="1" s="1"/>
  <c r="X1469" i="1" s="1"/>
  <c r="X1470" i="1" s="1"/>
  <c r="X1471" i="1" s="1"/>
  <c r="X1472" i="1" s="1"/>
  <c r="X1473" i="1" s="1"/>
  <c r="X1474" i="1" s="1"/>
  <c r="X1475" i="1" s="1"/>
  <c r="X1476" i="1" s="1"/>
  <c r="X1477" i="1" s="1"/>
  <c r="X1478" i="1" s="1"/>
  <c r="X1479" i="1" s="1"/>
  <c r="X1480" i="1" s="1"/>
  <c r="X1481" i="1" s="1"/>
  <c r="X1482" i="1" s="1"/>
  <c r="X1483" i="1" s="1"/>
  <c r="X1484" i="1" s="1"/>
  <c r="X1485" i="1" s="1"/>
  <c r="X1486" i="1" s="1"/>
  <c r="X1487" i="1" s="1"/>
  <c r="X1488" i="1" s="1"/>
  <c r="X1489" i="1" s="1"/>
  <c r="X1490" i="1" s="1"/>
  <c r="X1491" i="1" s="1"/>
  <c r="X1492" i="1" s="1"/>
  <c r="X1493" i="1" s="1"/>
  <c r="X1494" i="1" s="1"/>
  <c r="X1495" i="1" s="1"/>
  <c r="X1496" i="1" s="1"/>
  <c r="X1497" i="1" s="1"/>
  <c r="X1498" i="1" s="1"/>
  <c r="X1499" i="1" s="1"/>
  <c r="X1500" i="1" s="1"/>
  <c r="X1501" i="1" s="1"/>
  <c r="X1502" i="1" s="1"/>
  <c r="X1503" i="1" s="1"/>
  <c r="X1504" i="1" s="1"/>
  <c r="X1505" i="1" s="1"/>
  <c r="X1506" i="1" s="1"/>
  <c r="X1507" i="1" s="1"/>
  <c r="X1508" i="1" s="1"/>
  <c r="X1509" i="1" s="1"/>
  <c r="X1510" i="1" s="1"/>
  <c r="X1511" i="1" s="1"/>
  <c r="X1512" i="1" s="1"/>
  <c r="X1513" i="1" s="1"/>
  <c r="X1514" i="1" s="1"/>
  <c r="X1515" i="1" s="1"/>
  <c r="X1516" i="1" s="1"/>
  <c r="X1517" i="1" s="1"/>
  <c r="X1518" i="1" s="1"/>
  <c r="X1519" i="1" s="1"/>
  <c r="X1520" i="1" s="1"/>
  <c r="X1521" i="1" s="1"/>
  <c r="X1522" i="1" s="1"/>
  <c r="X1523" i="1" s="1"/>
  <c r="X1524" i="1" s="1"/>
  <c r="X1525" i="1" s="1"/>
  <c r="X1526" i="1" s="1"/>
  <c r="X1527" i="1" s="1"/>
  <c r="X1528" i="1" s="1"/>
  <c r="X1529" i="1" s="1"/>
  <c r="X1530" i="1" s="1"/>
  <c r="X1531" i="1" s="1"/>
  <c r="X1532" i="1" s="1"/>
  <c r="X1533" i="1" s="1"/>
  <c r="X1534" i="1" s="1"/>
  <c r="X1535" i="1" s="1"/>
  <c r="X1536" i="1" s="1"/>
  <c r="X1537" i="1" s="1"/>
  <c r="X1538" i="1" s="1"/>
  <c r="X1539" i="1" s="1"/>
  <c r="X1540" i="1" s="1"/>
  <c r="X1541" i="1" s="1"/>
  <c r="X1542" i="1" s="1"/>
  <c r="X1543" i="1" s="1"/>
  <c r="X1544" i="1" s="1"/>
  <c r="X1545" i="1" s="1"/>
  <c r="X1546" i="1" s="1"/>
  <c r="X1547" i="1" s="1"/>
  <c r="X1548" i="1" s="1"/>
  <c r="X1549" i="1" s="1"/>
  <c r="X1550" i="1" s="1"/>
  <c r="X1551" i="1" s="1"/>
  <c r="X1552" i="1" s="1"/>
  <c r="X1553" i="1" s="1"/>
  <c r="X1554" i="1" s="1"/>
  <c r="X1555" i="1" s="1"/>
  <c r="X1556" i="1" s="1"/>
  <c r="X1557" i="1" s="1"/>
  <c r="X1558" i="1" s="1"/>
  <c r="X1559" i="1" s="1"/>
  <c r="X1560" i="1" s="1"/>
  <c r="X1561" i="1" s="1"/>
  <c r="X1562" i="1" s="1"/>
  <c r="X1563" i="1" s="1"/>
  <c r="X1564" i="1" s="1"/>
  <c r="X1565" i="1" s="1"/>
  <c r="X1566" i="1" s="1"/>
  <c r="X1567" i="1" s="1"/>
  <c r="X1568" i="1" s="1"/>
  <c r="X1569" i="1" s="1"/>
  <c r="X1570" i="1" s="1"/>
  <c r="X1571" i="1" s="1"/>
  <c r="X1572" i="1" s="1"/>
  <c r="X1573" i="1" s="1"/>
  <c r="X1574" i="1" s="1"/>
  <c r="X1575" i="1" s="1"/>
  <c r="X1576" i="1" s="1"/>
  <c r="X1577" i="1" s="1"/>
  <c r="X1578" i="1" s="1"/>
  <c r="X1579" i="1" s="1"/>
  <c r="X1580" i="1" s="1"/>
  <c r="X1581" i="1" s="1"/>
  <c r="X1582" i="1" s="1"/>
  <c r="X1583" i="1" s="1"/>
  <c r="X1584" i="1" s="1"/>
  <c r="X1585" i="1" s="1"/>
  <c r="X1586" i="1" s="1"/>
  <c r="X1587" i="1" s="1"/>
  <c r="X1588" i="1" s="1"/>
  <c r="X1589" i="1" s="1"/>
  <c r="X1590" i="1" s="1"/>
  <c r="X1591" i="1" s="1"/>
  <c r="X1592" i="1" s="1"/>
  <c r="X1593" i="1" s="1"/>
  <c r="X1594" i="1" s="1"/>
  <c r="X1595" i="1" s="1"/>
  <c r="X1596" i="1" s="1"/>
  <c r="X1597" i="1" s="1"/>
  <c r="X1598" i="1" s="1"/>
  <c r="X1599" i="1" s="1"/>
  <c r="X1600" i="1" s="1"/>
  <c r="X1601" i="1" s="1"/>
  <c r="X1602" i="1" s="1"/>
  <c r="X1603" i="1" s="1"/>
  <c r="X1604" i="1" s="1"/>
  <c r="X1605" i="1" s="1"/>
  <c r="X1606" i="1" s="1"/>
  <c r="X1607" i="1" s="1"/>
  <c r="X1608" i="1" s="1"/>
  <c r="X1609" i="1" s="1"/>
  <c r="X1610" i="1" s="1"/>
  <c r="X1611" i="1" s="1"/>
  <c r="X1612" i="1" s="1"/>
  <c r="X1613" i="1" s="1"/>
  <c r="X1614" i="1" s="1"/>
  <c r="X1615" i="1" s="1"/>
  <c r="X1616" i="1" s="1"/>
  <c r="X1617" i="1" s="1"/>
  <c r="X1618" i="1" s="1"/>
  <c r="X1619" i="1" s="1"/>
  <c r="X1620" i="1" s="1"/>
  <c r="X1621" i="1" s="1"/>
  <c r="X1622" i="1" s="1"/>
  <c r="X1623" i="1" s="1"/>
  <c r="X1624" i="1" s="1"/>
  <c r="X1625" i="1" s="1"/>
  <c r="X1626" i="1" s="1"/>
  <c r="X1627" i="1" s="1"/>
  <c r="X1628" i="1" s="1"/>
  <c r="X1629" i="1" s="1"/>
  <c r="X1630" i="1" s="1"/>
  <c r="X1631" i="1" s="1"/>
  <c r="X1632" i="1" s="1"/>
  <c r="X1633" i="1" s="1"/>
  <c r="X1634" i="1" s="1"/>
  <c r="X1635" i="1" s="1"/>
  <c r="X1636" i="1" s="1"/>
  <c r="X1637" i="1" s="1"/>
  <c r="X1638" i="1" s="1"/>
  <c r="X1639" i="1" s="1"/>
  <c r="X1640" i="1" s="1"/>
  <c r="X1641" i="1" s="1"/>
  <c r="X1642" i="1" s="1"/>
  <c r="X1643" i="1" s="1"/>
  <c r="X1644" i="1" s="1"/>
  <c r="X1645" i="1" s="1"/>
  <c r="X1646" i="1" s="1"/>
  <c r="X1647" i="1" s="1"/>
  <c r="X1648" i="1" s="1"/>
  <c r="X1649" i="1" s="1"/>
  <c r="X1650" i="1" s="1"/>
  <c r="X1651" i="1" s="1"/>
  <c r="X1652" i="1" s="1"/>
  <c r="X1653" i="1" s="1"/>
  <c r="X1654" i="1" s="1"/>
  <c r="X1655" i="1" s="1"/>
  <c r="X1656" i="1" s="1"/>
  <c r="X1657" i="1" s="1"/>
  <c r="X1658" i="1" s="1"/>
  <c r="X1659" i="1" s="1"/>
  <c r="X1660" i="1" s="1"/>
  <c r="X1661" i="1" s="1"/>
  <c r="X1662" i="1" s="1"/>
  <c r="X1663" i="1" s="1"/>
  <c r="X1664" i="1" s="1"/>
  <c r="X1665" i="1" s="1"/>
  <c r="X1666" i="1" s="1"/>
  <c r="X1667" i="1" s="1"/>
  <c r="X1668" i="1" s="1"/>
  <c r="X1669" i="1" s="1"/>
  <c r="X1670" i="1" s="1"/>
  <c r="X1671" i="1" s="1"/>
  <c r="X1672" i="1" s="1"/>
  <c r="X1673" i="1" s="1"/>
  <c r="X1674" i="1" s="1"/>
  <c r="X1675" i="1" s="1"/>
  <c r="X1676" i="1" s="1"/>
  <c r="X1677" i="1" s="1"/>
  <c r="X1678" i="1" s="1"/>
  <c r="X1679" i="1" s="1"/>
  <c r="X1680" i="1" s="1"/>
  <c r="X1681" i="1" s="1"/>
  <c r="X1682" i="1" s="1"/>
  <c r="X1683" i="1" s="1"/>
  <c r="X1684" i="1" s="1"/>
  <c r="X1685" i="1" s="1"/>
  <c r="X1686" i="1" s="1"/>
  <c r="X1687" i="1" s="1"/>
  <c r="X1688" i="1" s="1"/>
  <c r="X1689" i="1" s="1"/>
  <c r="X1690" i="1" s="1"/>
  <c r="X1691" i="1" s="1"/>
  <c r="X1692" i="1" s="1"/>
  <c r="X1693" i="1" s="1"/>
  <c r="X1694" i="1" s="1"/>
  <c r="X1695" i="1" s="1"/>
  <c r="X1696" i="1" s="1"/>
  <c r="X1697" i="1" s="1"/>
  <c r="X1698" i="1" s="1"/>
  <c r="X1699" i="1" s="1"/>
  <c r="X1700" i="1" s="1"/>
  <c r="X1701" i="1" s="1"/>
  <c r="X1702" i="1" s="1"/>
  <c r="X1703" i="1" s="1"/>
  <c r="X1704" i="1" s="1"/>
  <c r="X1705" i="1" s="1"/>
  <c r="X1706" i="1" s="1"/>
  <c r="X1707" i="1" s="1"/>
  <c r="X1708" i="1" s="1"/>
  <c r="X1709" i="1" s="1"/>
  <c r="X1710" i="1" s="1"/>
  <c r="X1711" i="1" s="1"/>
  <c r="X1712" i="1" s="1"/>
  <c r="X1713" i="1" s="1"/>
  <c r="X1714" i="1" s="1"/>
  <c r="X1715" i="1" s="1"/>
  <c r="X1716" i="1" s="1"/>
  <c r="X1717" i="1" s="1"/>
  <c r="X1718" i="1" s="1"/>
  <c r="X1719" i="1" s="1"/>
  <c r="X1720" i="1" s="1"/>
  <c r="X1721" i="1" s="1"/>
  <c r="X1722" i="1" s="1"/>
  <c r="X1723" i="1" s="1"/>
  <c r="X1724" i="1" s="1"/>
  <c r="X1725" i="1" s="1"/>
  <c r="X1726" i="1" s="1"/>
  <c r="X1727" i="1" s="1"/>
  <c r="X1728" i="1" s="1"/>
  <c r="X1729" i="1" s="1"/>
  <c r="X1730" i="1" s="1"/>
  <c r="X1731" i="1" s="1"/>
  <c r="X1732" i="1" s="1"/>
  <c r="X1733" i="1" s="1"/>
  <c r="X1734" i="1" s="1"/>
  <c r="X1735" i="1" s="1"/>
  <c r="X1736" i="1" s="1"/>
  <c r="X1737" i="1" s="1"/>
  <c r="X1738" i="1" s="1"/>
  <c r="X1739" i="1" s="1"/>
  <c r="X1740" i="1" s="1"/>
  <c r="X1741" i="1" s="1"/>
  <c r="X1742" i="1" s="1"/>
  <c r="X1743" i="1" s="1"/>
  <c r="X1744" i="1" s="1"/>
  <c r="X1745" i="1" s="1"/>
  <c r="X1746" i="1" s="1"/>
  <c r="X1747" i="1" s="1"/>
  <c r="X1748" i="1" s="1"/>
  <c r="X1749" i="1" s="1"/>
  <c r="X1750" i="1" s="1"/>
  <c r="X1751" i="1" s="1"/>
  <c r="X1752" i="1" s="1"/>
  <c r="X1753" i="1" s="1"/>
  <c r="X1754" i="1" s="1"/>
  <c r="X1755" i="1" s="1"/>
  <c r="X1756" i="1" s="1"/>
  <c r="X1757" i="1" s="1"/>
  <c r="X1758" i="1" s="1"/>
  <c r="X1759" i="1" s="1"/>
  <c r="X1760" i="1" s="1"/>
  <c r="X1761" i="1" s="1"/>
  <c r="X1762" i="1" s="1"/>
  <c r="X1763" i="1" s="1"/>
  <c r="X1764" i="1" s="1"/>
  <c r="X1765" i="1" s="1"/>
  <c r="X1766" i="1" s="1"/>
  <c r="X1767" i="1" s="1"/>
  <c r="X1768" i="1" s="1"/>
  <c r="X1769" i="1" s="1"/>
  <c r="X1770" i="1" s="1"/>
  <c r="X1771" i="1" s="1"/>
  <c r="X1772" i="1" s="1"/>
  <c r="X1773" i="1" s="1"/>
  <c r="X1774" i="1" s="1"/>
  <c r="X1775" i="1" s="1"/>
  <c r="X1776" i="1" s="1"/>
  <c r="X1777" i="1" s="1"/>
  <c r="X1778" i="1" s="1"/>
  <c r="X1779" i="1" s="1"/>
  <c r="X1780" i="1" s="1"/>
  <c r="X1781" i="1" s="1"/>
  <c r="X1782" i="1" s="1"/>
  <c r="X1783" i="1" s="1"/>
  <c r="X1784" i="1" s="1"/>
  <c r="X1785" i="1" s="1"/>
  <c r="X1786" i="1" s="1"/>
  <c r="X1787" i="1" s="1"/>
  <c r="X1788" i="1" s="1"/>
  <c r="X1789" i="1" s="1"/>
  <c r="X1790" i="1" s="1"/>
  <c r="X1791" i="1" s="1"/>
  <c r="X1792" i="1" s="1"/>
  <c r="X1793" i="1" s="1"/>
  <c r="X1794" i="1" s="1"/>
  <c r="X1795" i="1" s="1"/>
  <c r="X1796" i="1" s="1"/>
  <c r="X1797" i="1" s="1"/>
  <c r="X1798" i="1" s="1"/>
  <c r="X1799" i="1" s="1"/>
  <c r="X1800" i="1" s="1"/>
  <c r="X1801" i="1" s="1"/>
  <c r="X1802" i="1" s="1"/>
  <c r="X1803" i="1" s="1"/>
  <c r="X1804" i="1" s="1"/>
  <c r="X1805" i="1" s="1"/>
  <c r="X1806" i="1" s="1"/>
  <c r="X1807" i="1" s="1"/>
  <c r="X1808" i="1" s="1"/>
  <c r="X1809" i="1" s="1"/>
  <c r="X1810" i="1" s="1"/>
  <c r="X1811" i="1" s="1"/>
  <c r="X1812" i="1" s="1"/>
  <c r="X1813" i="1" s="1"/>
  <c r="X1814" i="1" s="1"/>
  <c r="X1815" i="1" s="1"/>
  <c r="X1816" i="1" s="1"/>
  <c r="X1817" i="1" s="1"/>
  <c r="X1818" i="1" s="1"/>
  <c r="X1819" i="1" s="1"/>
  <c r="X1820" i="1" s="1"/>
  <c r="X1821" i="1" s="1"/>
  <c r="X1822" i="1" s="1"/>
  <c r="X1823" i="1" s="1"/>
  <c r="X1824" i="1" s="1"/>
  <c r="X1825" i="1" s="1"/>
  <c r="X1826" i="1" s="1"/>
  <c r="X1827" i="1" s="1"/>
  <c r="X1828" i="1" s="1"/>
  <c r="X1829" i="1" s="1"/>
  <c r="X1830" i="1" s="1"/>
  <c r="X1831" i="1" s="1"/>
  <c r="X1832" i="1" s="1"/>
  <c r="X1833" i="1" s="1"/>
  <c r="X1834" i="1" s="1"/>
  <c r="X1835" i="1" s="1"/>
  <c r="X1836" i="1" s="1"/>
  <c r="X1837" i="1" s="1"/>
  <c r="X1838" i="1" s="1"/>
  <c r="X1839" i="1" s="1"/>
  <c r="X1840" i="1" s="1"/>
  <c r="X1841" i="1" s="1"/>
  <c r="X1842" i="1" s="1"/>
  <c r="X1843" i="1" s="1"/>
  <c r="X1844" i="1" s="1"/>
  <c r="X1845" i="1" s="1"/>
  <c r="X1846" i="1" s="1"/>
  <c r="X1847" i="1" s="1"/>
  <c r="X1848" i="1" s="1"/>
  <c r="X1849" i="1" s="1"/>
  <c r="X1850" i="1" s="1"/>
  <c r="X1851" i="1" s="1"/>
  <c r="X1852" i="1" s="1"/>
  <c r="X1853" i="1" s="1"/>
  <c r="X1854" i="1" s="1"/>
  <c r="X1855" i="1" s="1"/>
  <c r="X1856" i="1" s="1"/>
  <c r="X1857" i="1" s="1"/>
  <c r="X1858" i="1" s="1"/>
  <c r="X1859" i="1" s="1"/>
  <c r="X1860" i="1" s="1"/>
  <c r="X1861" i="1" s="1"/>
  <c r="X1862" i="1" s="1"/>
  <c r="X1863" i="1" s="1"/>
  <c r="X1864" i="1" s="1"/>
  <c r="X1865" i="1" s="1"/>
  <c r="X1866" i="1" s="1"/>
  <c r="X1867" i="1" s="1"/>
  <c r="X1868" i="1" s="1"/>
  <c r="X1869" i="1" s="1"/>
  <c r="X1870" i="1" s="1"/>
  <c r="X1871" i="1" s="1"/>
  <c r="X1872" i="1" s="1"/>
  <c r="X1873" i="1" s="1"/>
  <c r="X1874" i="1" s="1"/>
  <c r="X1875" i="1" s="1"/>
  <c r="X1876" i="1" s="1"/>
  <c r="X1877" i="1" s="1"/>
  <c r="X1878" i="1" s="1"/>
  <c r="X1879" i="1" s="1"/>
  <c r="X1880" i="1" s="1"/>
  <c r="X1881" i="1" s="1"/>
  <c r="X1882" i="1" s="1"/>
  <c r="X1883" i="1" s="1"/>
  <c r="X1884" i="1" s="1"/>
  <c r="X1885" i="1" s="1"/>
  <c r="X1886" i="1" s="1"/>
  <c r="X1887" i="1" s="1"/>
  <c r="X1888" i="1" s="1"/>
  <c r="X1889" i="1" s="1"/>
  <c r="X1890" i="1" s="1"/>
  <c r="X1891" i="1" s="1"/>
  <c r="X1892" i="1" s="1"/>
  <c r="X1893" i="1" s="1"/>
  <c r="X1894" i="1" s="1"/>
  <c r="X1895" i="1" s="1"/>
  <c r="X1896" i="1" s="1"/>
  <c r="X1897" i="1" s="1"/>
  <c r="X1898" i="1" s="1"/>
  <c r="X1899" i="1" s="1"/>
  <c r="X1900" i="1" s="1"/>
  <c r="X1901" i="1" s="1"/>
  <c r="X1902" i="1" s="1"/>
  <c r="X1903" i="1" s="1"/>
  <c r="X1904" i="1" s="1"/>
  <c r="X1905" i="1" s="1"/>
  <c r="X1906" i="1" s="1"/>
  <c r="X1907" i="1" s="1"/>
  <c r="X1908" i="1" s="1"/>
  <c r="X1909" i="1" s="1"/>
  <c r="X1910" i="1" s="1"/>
  <c r="X1911" i="1" s="1"/>
  <c r="X1912" i="1" s="1"/>
  <c r="X1913" i="1" s="1"/>
  <c r="X1914" i="1" s="1"/>
  <c r="X1915" i="1" s="1"/>
  <c r="X1916" i="1" s="1"/>
  <c r="X1917" i="1" s="1"/>
  <c r="X1918" i="1" s="1"/>
  <c r="X1919" i="1" s="1"/>
  <c r="X1920" i="1" s="1"/>
  <c r="X1921" i="1" s="1"/>
  <c r="X1922" i="1" s="1"/>
  <c r="X1923" i="1" s="1"/>
  <c r="X1924" i="1" s="1"/>
  <c r="X1925" i="1" s="1"/>
  <c r="X1926" i="1" s="1"/>
  <c r="X1927" i="1" s="1"/>
  <c r="X1928" i="1" s="1"/>
  <c r="X1929" i="1" s="1"/>
  <c r="X1930" i="1" s="1"/>
  <c r="X1931" i="1" s="1"/>
  <c r="X1932" i="1" s="1"/>
  <c r="X1933" i="1" s="1"/>
  <c r="X1934" i="1" s="1"/>
  <c r="X1935" i="1" s="1"/>
  <c r="X1936" i="1" s="1"/>
  <c r="X1937" i="1" s="1"/>
  <c r="X1938" i="1" s="1"/>
  <c r="X1939" i="1" s="1"/>
  <c r="X1940" i="1" s="1"/>
  <c r="X1941" i="1" s="1"/>
  <c r="X1942" i="1" s="1"/>
  <c r="X1943" i="1" s="1"/>
  <c r="X1944" i="1" s="1"/>
  <c r="X1945" i="1" s="1"/>
  <c r="X1946" i="1" s="1"/>
  <c r="X1947" i="1" s="1"/>
  <c r="X1948" i="1" s="1"/>
  <c r="X1949" i="1" s="1"/>
  <c r="X1950" i="1" s="1"/>
  <c r="X1951" i="1" s="1"/>
  <c r="X1952" i="1" s="1"/>
  <c r="X1953" i="1" s="1"/>
  <c r="X1954" i="1" s="1"/>
  <c r="X1955" i="1" s="1"/>
  <c r="X1956" i="1" s="1"/>
  <c r="X1957" i="1" s="1"/>
  <c r="X1958" i="1" s="1"/>
  <c r="X1959" i="1" s="1"/>
  <c r="X1960" i="1" s="1"/>
  <c r="X1961" i="1" s="1"/>
  <c r="X1962" i="1" s="1"/>
  <c r="X1963" i="1" s="1"/>
  <c r="X1964" i="1" s="1"/>
  <c r="X1965" i="1" s="1"/>
  <c r="X1966" i="1" s="1"/>
  <c r="X1967" i="1" s="1"/>
  <c r="X1968" i="1" s="1"/>
  <c r="X1969" i="1" s="1"/>
  <c r="X1970" i="1" s="1"/>
  <c r="X1971" i="1" s="1"/>
  <c r="X1972" i="1" s="1"/>
  <c r="X1973" i="1" s="1"/>
  <c r="X1974" i="1" s="1"/>
  <c r="X1975" i="1" s="1"/>
  <c r="X1976" i="1" s="1"/>
  <c r="X1977" i="1" s="1"/>
  <c r="X1978" i="1" s="1"/>
  <c r="X1979" i="1" s="1"/>
  <c r="X1980" i="1" s="1"/>
  <c r="X1981" i="1" s="1"/>
  <c r="X1982" i="1" s="1"/>
  <c r="X1983" i="1" s="1"/>
  <c r="X1984" i="1" s="1"/>
  <c r="X1985" i="1" s="1"/>
  <c r="X1986" i="1" s="1"/>
  <c r="X1987" i="1" s="1"/>
  <c r="X1988" i="1" s="1"/>
  <c r="X1989" i="1" s="1"/>
  <c r="X1990" i="1" s="1"/>
  <c r="X1991" i="1" s="1"/>
  <c r="X1992" i="1" s="1"/>
  <c r="X1993" i="1" s="1"/>
  <c r="X1994" i="1" s="1"/>
  <c r="X1995" i="1" s="1"/>
  <c r="X1996" i="1" s="1"/>
  <c r="X1997" i="1" s="1"/>
  <c r="X1998" i="1" s="1"/>
  <c r="X1999" i="1" s="1"/>
  <c r="X2000" i="1" s="1"/>
  <c r="X2001" i="1" s="1"/>
  <c r="X2002" i="1" s="1"/>
  <c r="X2003" i="1" s="1"/>
  <c r="X2004" i="1" s="1"/>
  <c r="X2005" i="1" s="1"/>
  <c r="X2006" i="1" s="1"/>
  <c r="X2007" i="1" s="1"/>
  <c r="X2008" i="1" s="1"/>
  <c r="X2009" i="1" s="1"/>
  <c r="X2010" i="1" s="1"/>
  <c r="X2011" i="1" s="1"/>
  <c r="X2012" i="1" s="1"/>
  <c r="X2013" i="1" s="1"/>
  <c r="X2014" i="1" s="1"/>
  <c r="X2015" i="1" s="1"/>
  <c r="X2016" i="1" s="1"/>
  <c r="X2017" i="1" s="1"/>
  <c r="X2018" i="1" s="1"/>
  <c r="X2019" i="1" s="1"/>
  <c r="X2020" i="1" s="1"/>
  <c r="X2021" i="1" s="1"/>
  <c r="X2022" i="1" s="1"/>
  <c r="X2023" i="1" s="1"/>
  <c r="X2024" i="1" s="1"/>
  <c r="X2025" i="1" s="1"/>
  <c r="X2026" i="1" s="1"/>
  <c r="X2027" i="1" s="1"/>
  <c r="X2028" i="1" s="1"/>
  <c r="X2029" i="1" s="1"/>
  <c r="X2030" i="1" s="1"/>
  <c r="X2031" i="1" s="1"/>
  <c r="X2032" i="1" s="1"/>
  <c r="X2033" i="1" s="1"/>
  <c r="X2034" i="1" s="1"/>
  <c r="X2035" i="1" s="1"/>
  <c r="X2036" i="1" s="1"/>
  <c r="X2037" i="1" s="1"/>
  <c r="X2038" i="1" s="1"/>
  <c r="X2039" i="1" s="1"/>
  <c r="X2040" i="1" s="1"/>
  <c r="X2041" i="1" s="1"/>
  <c r="X2042" i="1" s="1"/>
  <c r="X2043" i="1" s="1"/>
  <c r="X2044" i="1" s="1"/>
  <c r="X2045" i="1" s="1"/>
  <c r="X2046" i="1" s="1"/>
  <c r="X2047" i="1" s="1"/>
  <c r="X2048" i="1" s="1"/>
  <c r="X2049" i="1" s="1"/>
  <c r="X2050" i="1" s="1"/>
  <c r="X2051" i="1" s="1"/>
  <c r="X2052" i="1" s="1"/>
  <c r="X2053" i="1" s="1"/>
  <c r="X2054" i="1" s="1"/>
  <c r="X2055" i="1" s="1"/>
  <c r="X2056" i="1" s="1"/>
  <c r="X2057" i="1" s="1"/>
  <c r="X2058" i="1" s="1"/>
  <c r="X2059" i="1" s="1"/>
  <c r="X2060" i="1" s="1"/>
  <c r="X2061" i="1" s="1"/>
  <c r="X2062" i="1" s="1"/>
  <c r="X2063" i="1" s="1"/>
  <c r="X2064" i="1" s="1"/>
  <c r="X2065" i="1" s="1"/>
  <c r="X2066" i="1" s="1"/>
  <c r="X2067" i="1" s="1"/>
  <c r="X2068" i="1" s="1"/>
  <c r="X2069" i="1" s="1"/>
  <c r="X2070" i="1" s="1"/>
  <c r="X2071" i="1" s="1"/>
  <c r="X2072" i="1" s="1"/>
  <c r="X2073" i="1" s="1"/>
  <c r="X2074" i="1" s="1"/>
  <c r="X2075" i="1" s="1"/>
  <c r="X2076" i="1" s="1"/>
  <c r="X2077" i="1" s="1"/>
  <c r="X2078" i="1" s="1"/>
  <c r="X2079" i="1" s="1"/>
  <c r="X2080" i="1" s="1"/>
  <c r="X2081" i="1" s="1"/>
  <c r="X2082" i="1" s="1"/>
  <c r="X2083" i="1" s="1"/>
  <c r="X2084" i="1" s="1"/>
  <c r="X2085" i="1" s="1"/>
  <c r="X2086" i="1" s="1"/>
  <c r="X2087" i="1" s="1"/>
  <c r="X2088" i="1" s="1"/>
  <c r="X2089" i="1" s="1"/>
  <c r="X2090" i="1" s="1"/>
  <c r="X2091" i="1" s="1"/>
  <c r="X2092" i="1" s="1"/>
  <c r="X2093" i="1" s="1"/>
  <c r="X2094" i="1" s="1"/>
  <c r="X2095" i="1" s="1"/>
  <c r="X2096" i="1" s="1"/>
  <c r="X2097" i="1" s="1"/>
  <c r="X2098" i="1" s="1"/>
  <c r="X2099" i="1" s="1"/>
  <c r="X2100" i="1" s="1"/>
  <c r="X2101" i="1" s="1"/>
  <c r="X2102" i="1" s="1"/>
  <c r="X2103" i="1" s="1"/>
  <c r="X2104" i="1" s="1"/>
  <c r="X2105" i="1" s="1"/>
  <c r="X2106" i="1" s="1"/>
  <c r="X2107" i="1" s="1"/>
  <c r="X2108" i="1" s="1"/>
  <c r="X2109" i="1" s="1"/>
  <c r="X2110" i="1" s="1"/>
  <c r="X2111" i="1" s="1"/>
  <c r="X2112" i="1" s="1"/>
  <c r="X2113" i="1" s="1"/>
  <c r="X2114" i="1" s="1"/>
  <c r="X2115" i="1" s="1"/>
  <c r="X2116" i="1" s="1"/>
  <c r="X2117" i="1" s="1"/>
  <c r="X2118" i="1" s="1"/>
  <c r="X2119" i="1" s="1"/>
  <c r="X2120" i="1" s="1"/>
  <c r="X2121" i="1" s="1"/>
  <c r="X2122" i="1" s="1"/>
  <c r="X2123" i="1" s="1"/>
  <c r="X2124" i="1" s="1"/>
  <c r="X2125" i="1" s="1"/>
  <c r="X2126" i="1" s="1"/>
  <c r="X2127" i="1" s="1"/>
  <c r="X2128" i="1" s="1"/>
  <c r="X2129" i="1" s="1"/>
  <c r="X2130" i="1" s="1"/>
  <c r="X2131" i="1" s="1"/>
  <c r="X2132" i="1" s="1"/>
  <c r="X2133" i="1" s="1"/>
  <c r="X2134" i="1" s="1"/>
  <c r="X2135" i="1" s="1"/>
  <c r="X2136" i="1" s="1"/>
  <c r="X2137" i="1" s="1"/>
  <c r="X2138" i="1" s="1"/>
  <c r="X2139" i="1" s="1"/>
  <c r="X2140" i="1" s="1"/>
  <c r="X2141" i="1" s="1"/>
  <c r="X2142" i="1" s="1"/>
  <c r="X2143" i="1" s="1"/>
  <c r="X2144" i="1" s="1"/>
  <c r="X2145" i="1" s="1"/>
  <c r="X2146" i="1" s="1"/>
  <c r="X2147" i="1" s="1"/>
  <c r="X2148" i="1" s="1"/>
  <c r="X2149" i="1" s="1"/>
  <c r="X2150" i="1" s="1"/>
  <c r="X2151" i="1" s="1"/>
  <c r="X2152" i="1" s="1"/>
  <c r="X2153" i="1" s="1"/>
  <c r="X2154" i="1" s="1"/>
  <c r="X2155" i="1" s="1"/>
  <c r="X2156" i="1" s="1"/>
  <c r="X2157" i="1" s="1"/>
  <c r="X2158" i="1" s="1"/>
  <c r="X2159" i="1" s="1"/>
  <c r="X2160" i="1" s="1"/>
  <c r="X2161" i="1" s="1"/>
  <c r="X2162" i="1" s="1"/>
  <c r="X2163" i="1" s="1"/>
  <c r="X2164" i="1" s="1"/>
  <c r="X2165" i="1" s="1"/>
  <c r="X2166" i="1" s="1"/>
  <c r="X2167" i="1" s="1"/>
  <c r="X2168" i="1" s="1"/>
  <c r="X2169" i="1" s="1"/>
  <c r="X2170" i="1" s="1"/>
  <c r="X2171" i="1" s="1"/>
  <c r="X2172" i="1" s="1"/>
  <c r="X2173" i="1" s="1"/>
  <c r="X2174" i="1" s="1"/>
  <c r="X2175" i="1" s="1"/>
  <c r="X2176" i="1" s="1"/>
  <c r="X2177" i="1" s="1"/>
  <c r="X2178" i="1" s="1"/>
  <c r="X2179" i="1" s="1"/>
  <c r="X2180" i="1" s="1"/>
  <c r="X2181" i="1" s="1"/>
  <c r="X2182" i="1" s="1"/>
  <c r="X2183" i="1" s="1"/>
  <c r="X2184" i="1" s="1"/>
  <c r="X2185" i="1" s="1"/>
  <c r="X2186" i="1" s="1"/>
  <c r="X2187" i="1" s="1"/>
  <c r="X2188" i="1" s="1"/>
  <c r="X2189" i="1" s="1"/>
  <c r="X2190" i="1" s="1"/>
  <c r="X2191" i="1" s="1"/>
  <c r="X2192" i="1" s="1"/>
  <c r="X2193" i="1" s="1"/>
  <c r="X2194" i="1" s="1"/>
  <c r="X2195" i="1" s="1"/>
  <c r="X2196" i="1" s="1"/>
  <c r="X2197" i="1" s="1"/>
  <c r="X2198" i="1" s="1"/>
  <c r="X2199" i="1" s="1"/>
  <c r="X2200" i="1" s="1"/>
  <c r="X2201" i="1" s="1"/>
  <c r="X2202" i="1" s="1"/>
  <c r="X2203" i="1" s="1"/>
  <c r="X2204" i="1" s="1"/>
  <c r="X2205" i="1" s="1"/>
  <c r="X2206" i="1" s="1"/>
  <c r="X2207" i="1" s="1"/>
  <c r="X2208" i="1" s="1"/>
  <c r="X2209" i="1" s="1"/>
  <c r="X2210" i="1" s="1"/>
  <c r="X2211" i="1" s="1"/>
  <c r="X2212" i="1" s="1"/>
  <c r="X2213" i="1" s="1"/>
  <c r="X2214" i="1" s="1"/>
  <c r="X2215" i="1" s="1"/>
  <c r="X2216" i="1" s="1"/>
  <c r="X2217" i="1" s="1"/>
  <c r="X2218" i="1" s="1"/>
  <c r="X2219" i="1" s="1"/>
  <c r="X2220" i="1" s="1"/>
  <c r="X2221" i="1" s="1"/>
  <c r="X2222" i="1" s="1"/>
  <c r="X2223" i="1" s="1"/>
  <c r="X2224" i="1" s="1"/>
  <c r="X2225" i="1" s="1"/>
  <c r="X2226" i="1" s="1"/>
  <c r="X2227" i="1" s="1"/>
  <c r="X2228" i="1" s="1"/>
  <c r="X2229" i="1" s="1"/>
  <c r="X2230" i="1" s="1"/>
  <c r="X2231" i="1" s="1"/>
  <c r="X2232" i="1" s="1"/>
  <c r="X2233" i="1" s="1"/>
  <c r="X2234" i="1" s="1"/>
  <c r="X2235" i="1" s="1"/>
  <c r="X2236" i="1" s="1"/>
  <c r="X2237" i="1" s="1"/>
  <c r="X2238" i="1" s="1"/>
  <c r="X2239" i="1" s="1"/>
  <c r="X2240" i="1" s="1"/>
  <c r="X2241" i="1" s="1"/>
  <c r="X2242" i="1" s="1"/>
  <c r="X2243" i="1" s="1"/>
  <c r="X2244" i="1" s="1"/>
  <c r="X2245" i="1" s="1"/>
  <c r="X2246" i="1" s="1"/>
  <c r="X2247" i="1" s="1"/>
  <c r="X2248" i="1" s="1"/>
  <c r="X2249" i="1" s="1"/>
  <c r="X2250" i="1" s="1"/>
  <c r="X2251" i="1" s="1"/>
  <c r="X2252" i="1" s="1"/>
  <c r="X2253" i="1" s="1"/>
  <c r="X2254" i="1" s="1"/>
  <c r="X2255" i="1" s="1"/>
  <c r="X2256" i="1" s="1"/>
  <c r="X2257" i="1" s="1"/>
  <c r="X2258" i="1" s="1"/>
  <c r="X2259" i="1" s="1"/>
  <c r="X2260" i="1" s="1"/>
  <c r="X2261" i="1" s="1"/>
  <c r="X2262" i="1" s="1"/>
  <c r="X2263" i="1" s="1"/>
  <c r="X2264" i="1" s="1"/>
  <c r="X2265" i="1" s="1"/>
  <c r="X2266" i="1" s="1"/>
  <c r="X2267" i="1" s="1"/>
  <c r="X2268" i="1" s="1"/>
  <c r="X2269" i="1" s="1"/>
  <c r="X2270" i="1" s="1"/>
  <c r="X2271" i="1" s="1"/>
  <c r="X2272" i="1" s="1"/>
  <c r="X2273" i="1" s="1"/>
  <c r="X2274" i="1" s="1"/>
  <c r="X2275" i="1" s="1"/>
  <c r="X2276" i="1" s="1"/>
  <c r="X2277" i="1" s="1"/>
  <c r="X2278" i="1" s="1"/>
  <c r="X2279" i="1" s="1"/>
  <c r="X2280" i="1" s="1"/>
  <c r="X2281" i="1" s="1"/>
  <c r="X2282" i="1" s="1"/>
  <c r="X2283" i="1" s="1"/>
  <c r="X2284" i="1" s="1"/>
  <c r="X2285" i="1" s="1"/>
  <c r="X2286" i="1" s="1"/>
  <c r="X2287" i="1" s="1"/>
  <c r="X2288" i="1" s="1"/>
  <c r="X2289" i="1" s="1"/>
  <c r="X2290" i="1" s="1"/>
  <c r="X2291" i="1" s="1"/>
  <c r="X2292" i="1" s="1"/>
  <c r="X2293" i="1" s="1"/>
  <c r="X2294" i="1" s="1"/>
  <c r="X2295" i="1" s="1"/>
  <c r="X2296" i="1" s="1"/>
  <c r="X2297" i="1" s="1"/>
  <c r="X2298" i="1" s="1"/>
  <c r="X2299" i="1" s="1"/>
  <c r="X2300" i="1" s="1"/>
  <c r="X2301" i="1" s="1"/>
  <c r="X2302" i="1" s="1"/>
  <c r="X2303" i="1" s="1"/>
  <c r="X2304" i="1" s="1"/>
  <c r="X2305" i="1" s="1"/>
  <c r="X2306" i="1" s="1"/>
  <c r="X2307" i="1" s="1"/>
  <c r="X2308" i="1" s="1"/>
  <c r="X2309" i="1" s="1"/>
  <c r="X2310" i="1" s="1"/>
  <c r="X2311" i="1" s="1"/>
  <c r="X2312" i="1" s="1"/>
  <c r="X2313" i="1" s="1"/>
  <c r="X2314" i="1" s="1"/>
  <c r="X2315" i="1" s="1"/>
  <c r="X2316" i="1" s="1"/>
  <c r="X2317" i="1" s="1"/>
  <c r="X2318" i="1" s="1"/>
  <c r="X2319" i="1" s="1"/>
  <c r="X2320" i="1" s="1"/>
  <c r="X2321" i="1" s="1"/>
  <c r="X2322" i="1" s="1"/>
  <c r="X2323" i="1" s="1"/>
  <c r="X2324" i="1" s="1"/>
  <c r="X2325" i="1" s="1"/>
  <c r="X2326" i="1" s="1"/>
  <c r="X2327" i="1" s="1"/>
  <c r="X2328" i="1" s="1"/>
  <c r="X2329" i="1" s="1"/>
  <c r="X2330" i="1" s="1"/>
  <c r="X2331" i="1" s="1"/>
  <c r="X2332" i="1" s="1"/>
  <c r="X2333" i="1" s="1"/>
  <c r="X2334" i="1" s="1"/>
  <c r="X2335" i="1" s="1"/>
  <c r="X2336" i="1" s="1"/>
  <c r="X2337" i="1" s="1"/>
  <c r="X2338" i="1" s="1"/>
  <c r="X2339" i="1" s="1"/>
  <c r="X2340" i="1" s="1"/>
  <c r="X2341" i="1" s="1"/>
  <c r="X2342" i="1" s="1"/>
  <c r="X2343" i="1" s="1"/>
  <c r="X2344" i="1" s="1"/>
  <c r="X2345" i="1" s="1"/>
  <c r="X2346" i="1" s="1"/>
  <c r="X2347" i="1" s="1"/>
  <c r="X2348" i="1" s="1"/>
  <c r="X2349" i="1" s="1"/>
  <c r="X2350" i="1" s="1"/>
  <c r="X2351" i="1" s="1"/>
  <c r="X2352" i="1" s="1"/>
  <c r="X2353" i="1" s="1"/>
  <c r="X2354" i="1" s="1"/>
  <c r="X2355" i="1" s="1"/>
  <c r="X2356" i="1" s="1"/>
  <c r="X2357" i="1" s="1"/>
  <c r="X2358" i="1" s="1"/>
  <c r="X2359" i="1" s="1"/>
  <c r="X2360" i="1" s="1"/>
  <c r="X2361" i="1" s="1"/>
  <c r="X2362" i="1" s="1"/>
  <c r="X2363" i="1" s="1"/>
  <c r="X2364" i="1" s="1"/>
  <c r="X2365" i="1" s="1"/>
  <c r="X2366" i="1" s="1"/>
  <c r="X2367" i="1" s="1"/>
  <c r="X2368" i="1" s="1"/>
  <c r="X2369" i="1" s="1"/>
  <c r="X2370" i="1" s="1"/>
  <c r="X2371" i="1" s="1"/>
  <c r="X2372" i="1" s="1"/>
  <c r="X2373" i="1" s="1"/>
  <c r="X2374" i="1" s="1"/>
  <c r="X2375" i="1" s="1"/>
  <c r="X2376" i="1" s="1"/>
  <c r="X2377" i="1" s="1"/>
  <c r="X2378" i="1" s="1"/>
  <c r="X2379" i="1" s="1"/>
  <c r="X2380" i="1" s="1"/>
  <c r="X2381" i="1" s="1"/>
  <c r="X2382" i="1" s="1"/>
  <c r="X2383" i="1" s="1"/>
  <c r="X2384" i="1" s="1"/>
  <c r="X2385" i="1" s="1"/>
  <c r="X2386" i="1" s="1"/>
  <c r="X2387" i="1" s="1"/>
  <c r="X2388" i="1" s="1"/>
  <c r="X2389" i="1" s="1"/>
  <c r="X2390" i="1" s="1"/>
  <c r="X2391" i="1" s="1"/>
  <c r="X2392" i="1" s="1"/>
  <c r="X2393" i="1" s="1"/>
  <c r="X2394" i="1" s="1"/>
  <c r="X2395" i="1" s="1"/>
  <c r="X2396" i="1" s="1"/>
  <c r="X2397" i="1" s="1"/>
  <c r="X2398" i="1" s="1"/>
  <c r="X2399" i="1" s="1"/>
  <c r="X2400" i="1" s="1"/>
  <c r="X2401" i="1" s="1"/>
  <c r="X2402" i="1" s="1"/>
  <c r="X2403" i="1" s="1"/>
  <c r="X2404" i="1" s="1"/>
  <c r="X2405" i="1" s="1"/>
  <c r="X2406" i="1" s="1"/>
  <c r="X2407" i="1" s="1"/>
  <c r="X2408" i="1" s="1"/>
  <c r="X2409" i="1" s="1"/>
  <c r="X2410" i="1" s="1"/>
  <c r="X2411" i="1" s="1"/>
  <c r="X2412" i="1" s="1"/>
  <c r="X2413" i="1" s="1"/>
  <c r="X2414" i="1" s="1"/>
  <c r="X2415" i="1" s="1"/>
  <c r="X2416" i="1" s="1"/>
  <c r="X2417" i="1" s="1"/>
  <c r="X2418" i="1" s="1"/>
  <c r="X2419" i="1" s="1"/>
  <c r="X2420" i="1" s="1"/>
  <c r="X2421" i="1" s="1"/>
  <c r="X2422" i="1" s="1"/>
  <c r="X2423" i="1" s="1"/>
  <c r="X2424" i="1" s="1"/>
  <c r="X2425" i="1" s="1"/>
  <c r="X2426" i="1" s="1"/>
  <c r="X2427" i="1" s="1"/>
  <c r="X2428" i="1" s="1"/>
  <c r="X2429" i="1" s="1"/>
  <c r="X2430" i="1" s="1"/>
  <c r="X2431" i="1" s="1"/>
  <c r="X2432" i="1" s="1"/>
  <c r="X2433" i="1" s="1"/>
  <c r="X2434" i="1" s="1"/>
  <c r="X2435" i="1" s="1"/>
  <c r="X2436" i="1" s="1"/>
  <c r="X2437" i="1" s="1"/>
  <c r="X2438" i="1" s="1"/>
  <c r="X2439" i="1" s="1"/>
  <c r="X2440" i="1" s="1"/>
  <c r="X2441" i="1" s="1"/>
  <c r="X2442" i="1" s="1"/>
  <c r="X2443" i="1" s="1"/>
  <c r="X2444" i="1" s="1"/>
  <c r="X2445" i="1" s="1"/>
  <c r="X2446" i="1" s="1"/>
  <c r="X2447" i="1" s="1"/>
  <c r="X2448" i="1" s="1"/>
  <c r="X2449" i="1" s="1"/>
  <c r="X2450" i="1" s="1"/>
  <c r="X2451" i="1" s="1"/>
  <c r="X2452" i="1" s="1"/>
  <c r="X2453" i="1" s="1"/>
  <c r="X2454" i="1" s="1"/>
  <c r="X2455" i="1" s="1"/>
  <c r="X2456" i="1" s="1"/>
  <c r="X2457" i="1" s="1"/>
  <c r="X2458" i="1" s="1"/>
  <c r="X2459" i="1" s="1"/>
  <c r="X2460" i="1" s="1"/>
  <c r="X2461" i="1" s="1"/>
  <c r="X2462" i="1" s="1"/>
  <c r="X2463" i="1" s="1"/>
  <c r="X2464" i="1" s="1"/>
  <c r="X2465" i="1" s="1"/>
  <c r="X2466" i="1" s="1"/>
  <c r="X2467" i="1" s="1"/>
  <c r="X2468" i="1" s="1"/>
  <c r="X2469" i="1" s="1"/>
  <c r="X2470" i="1" s="1"/>
  <c r="X2471" i="1" s="1"/>
  <c r="X2472" i="1" s="1"/>
  <c r="X2473" i="1" s="1"/>
  <c r="X2474" i="1" s="1"/>
  <c r="X2475" i="1" s="1"/>
  <c r="X2476" i="1" s="1"/>
  <c r="X2477" i="1" s="1"/>
  <c r="X2478" i="1" s="1"/>
  <c r="X2479" i="1" s="1"/>
  <c r="X2480" i="1" s="1"/>
  <c r="X2481" i="1" s="1"/>
  <c r="X2482" i="1" s="1"/>
  <c r="X2483" i="1" s="1"/>
  <c r="X2484" i="1" s="1"/>
  <c r="X2485" i="1" s="1"/>
  <c r="X2486" i="1" s="1"/>
  <c r="X2487" i="1" s="1"/>
  <c r="X2488" i="1" s="1"/>
  <c r="X2489" i="1" s="1"/>
  <c r="X2490" i="1" s="1"/>
  <c r="X2491" i="1" s="1"/>
  <c r="X2492" i="1" s="1"/>
  <c r="X2493" i="1" s="1"/>
  <c r="X2494" i="1" s="1"/>
  <c r="X2495" i="1" s="1"/>
  <c r="X2496" i="1" s="1"/>
  <c r="X2497" i="1" s="1"/>
  <c r="X2498" i="1" s="1"/>
  <c r="X2499" i="1" s="1"/>
  <c r="X2500" i="1" s="1"/>
  <c r="X2501" i="1" s="1"/>
  <c r="X2502" i="1" s="1"/>
  <c r="X2503" i="1" s="1"/>
  <c r="X2504" i="1" s="1"/>
  <c r="X2505" i="1" s="1"/>
  <c r="X2506" i="1" s="1"/>
  <c r="X2507" i="1" s="1"/>
  <c r="X2508" i="1" s="1"/>
  <c r="X2509" i="1" s="1"/>
  <c r="X2510" i="1" s="1"/>
  <c r="X2511" i="1" s="1"/>
  <c r="X2512" i="1" s="1"/>
  <c r="X2513" i="1" s="1"/>
  <c r="X2514" i="1" s="1"/>
  <c r="X2515" i="1" s="1"/>
  <c r="X2516" i="1" s="1"/>
  <c r="X2517" i="1" s="1"/>
  <c r="X2518" i="1" s="1"/>
  <c r="X2519" i="1" s="1"/>
  <c r="X2520" i="1" s="1"/>
  <c r="X2521" i="1" s="1"/>
  <c r="X2522" i="1" s="1"/>
  <c r="X2523" i="1" s="1"/>
  <c r="X2524" i="1" s="1"/>
  <c r="X2525" i="1" s="1"/>
  <c r="X2526" i="1" s="1"/>
  <c r="X2527" i="1" s="1"/>
  <c r="X2528" i="1" s="1"/>
  <c r="X2529" i="1" s="1"/>
  <c r="X2530" i="1" s="1"/>
  <c r="X2531" i="1" s="1"/>
  <c r="X2532" i="1" s="1"/>
  <c r="X2533" i="1" s="1"/>
  <c r="X2534" i="1" s="1"/>
  <c r="X2535" i="1" s="1"/>
  <c r="X2536" i="1" s="1"/>
  <c r="X2537" i="1" s="1"/>
  <c r="X2538" i="1" s="1"/>
  <c r="X2539" i="1" s="1"/>
  <c r="X2540" i="1" s="1"/>
  <c r="X2541" i="1" s="1"/>
  <c r="X2542" i="1" s="1"/>
  <c r="X2543" i="1" s="1"/>
  <c r="X2544" i="1" s="1"/>
  <c r="X2545" i="1" s="1"/>
  <c r="X2546" i="1" s="1"/>
  <c r="X2547" i="1" s="1"/>
  <c r="X2548" i="1" s="1"/>
  <c r="X2549" i="1" s="1"/>
  <c r="X2550" i="1" s="1"/>
  <c r="X2551" i="1" s="1"/>
  <c r="X2552" i="1" s="1"/>
  <c r="X2553" i="1" s="1"/>
  <c r="X2554" i="1" s="1"/>
  <c r="X2555" i="1" s="1"/>
  <c r="X2556" i="1" s="1"/>
  <c r="X2557" i="1" s="1"/>
  <c r="X2558" i="1" s="1"/>
  <c r="X2559" i="1" s="1"/>
  <c r="X2560" i="1" s="1"/>
  <c r="X2561" i="1" s="1"/>
  <c r="X2562" i="1" s="1"/>
  <c r="X2563" i="1" s="1"/>
  <c r="X2564" i="1" s="1"/>
  <c r="X2565" i="1" s="1"/>
  <c r="X2566" i="1" s="1"/>
  <c r="X2567" i="1" s="1"/>
  <c r="X2568" i="1" s="1"/>
  <c r="X2569" i="1" s="1"/>
  <c r="X2570" i="1" s="1"/>
  <c r="X2571" i="1" s="1"/>
  <c r="X2572" i="1" s="1"/>
  <c r="X2573" i="1" s="1"/>
  <c r="X2574" i="1" s="1"/>
  <c r="X2575" i="1" s="1"/>
  <c r="X2576" i="1" s="1"/>
  <c r="X2577" i="1" s="1"/>
  <c r="X2578" i="1" s="1"/>
  <c r="X2579" i="1" s="1"/>
  <c r="X2580" i="1" s="1"/>
  <c r="X2581" i="1" s="1"/>
  <c r="X2582" i="1" s="1"/>
  <c r="X2583" i="1" s="1"/>
  <c r="X2584" i="1" s="1"/>
  <c r="X2585" i="1" s="1"/>
  <c r="X2586" i="1" s="1"/>
  <c r="X2587" i="1" s="1"/>
  <c r="X2588" i="1" s="1"/>
  <c r="X2589" i="1" s="1"/>
  <c r="X2590" i="1" s="1"/>
  <c r="X2591" i="1" s="1"/>
  <c r="X2592" i="1" s="1"/>
  <c r="X2593" i="1" s="1"/>
  <c r="X2594" i="1" s="1"/>
  <c r="X2595" i="1" s="1"/>
  <c r="X2596" i="1" s="1"/>
  <c r="X2597" i="1" s="1"/>
  <c r="X2598" i="1" s="1"/>
  <c r="X2599" i="1" s="1"/>
  <c r="X2600" i="1" s="1"/>
  <c r="X2601" i="1" s="1"/>
  <c r="X2602" i="1" s="1"/>
  <c r="X2603" i="1" s="1"/>
  <c r="X2604" i="1" s="1"/>
  <c r="X2605" i="1" s="1"/>
  <c r="X2606" i="1" s="1"/>
  <c r="X2607" i="1" s="1"/>
  <c r="X2608" i="1" s="1"/>
  <c r="X2609" i="1" s="1"/>
  <c r="X2610" i="1" s="1"/>
  <c r="X2611" i="1" s="1"/>
  <c r="X2612" i="1" s="1"/>
  <c r="X2613" i="1" s="1"/>
  <c r="X2614" i="1" s="1"/>
  <c r="X2615" i="1" s="1"/>
  <c r="X2616" i="1" s="1"/>
  <c r="X2617" i="1" s="1"/>
  <c r="X2618" i="1" s="1"/>
  <c r="X2619" i="1" s="1"/>
  <c r="X2620" i="1" s="1"/>
  <c r="X2621" i="1" s="1"/>
  <c r="X2622" i="1" s="1"/>
  <c r="X2623" i="1" s="1"/>
  <c r="X2624" i="1" s="1"/>
  <c r="X2625" i="1" s="1"/>
  <c r="X2626" i="1" s="1"/>
  <c r="X2627" i="1" s="1"/>
  <c r="X2628" i="1" s="1"/>
  <c r="X2629" i="1" s="1"/>
  <c r="X2630" i="1" s="1"/>
  <c r="X2631" i="1" s="1"/>
  <c r="X2632" i="1" s="1"/>
  <c r="X2633" i="1" s="1"/>
  <c r="X2634" i="1" s="1"/>
  <c r="X2635" i="1" s="1"/>
  <c r="X2636" i="1" s="1"/>
  <c r="X2637" i="1" s="1"/>
  <c r="X2638" i="1" s="1"/>
  <c r="X2639" i="1" s="1"/>
  <c r="X2640" i="1" s="1"/>
  <c r="X2641" i="1" s="1"/>
  <c r="X2642" i="1" s="1"/>
  <c r="X2643" i="1" s="1"/>
  <c r="X2644" i="1" s="1"/>
  <c r="X2645" i="1" s="1"/>
  <c r="X2646" i="1" s="1"/>
  <c r="X2647" i="1" s="1"/>
  <c r="X2648" i="1" s="1"/>
  <c r="X2649" i="1" s="1"/>
  <c r="X2650" i="1" s="1"/>
  <c r="X2651" i="1" s="1"/>
  <c r="X2652" i="1" s="1"/>
  <c r="X2653" i="1" s="1"/>
  <c r="X2654" i="1" s="1"/>
  <c r="X2655" i="1" s="1"/>
  <c r="X2656" i="1" s="1"/>
  <c r="X2657" i="1" s="1"/>
  <c r="X2658" i="1" s="1"/>
  <c r="X2659" i="1" s="1"/>
  <c r="X2660" i="1" s="1"/>
  <c r="X2661" i="1" s="1"/>
  <c r="X2662" i="1" s="1"/>
  <c r="X2663" i="1" s="1"/>
  <c r="X2664" i="1" s="1"/>
  <c r="X2665" i="1" s="1"/>
  <c r="X2666" i="1" s="1"/>
  <c r="X2667" i="1" s="1"/>
  <c r="X2668" i="1" s="1"/>
  <c r="X2669" i="1" s="1"/>
  <c r="X2670" i="1" s="1"/>
  <c r="X2671" i="1" s="1"/>
  <c r="X2672" i="1" s="1"/>
  <c r="X2673" i="1" s="1"/>
  <c r="X2674" i="1" s="1"/>
  <c r="X2675" i="1" s="1"/>
  <c r="X2676" i="1" s="1"/>
  <c r="X2677" i="1" s="1"/>
  <c r="X2678" i="1" s="1"/>
  <c r="X2679" i="1" s="1"/>
  <c r="X2680" i="1" s="1"/>
  <c r="X2681" i="1" s="1"/>
  <c r="X2682" i="1" s="1"/>
  <c r="X2683" i="1" s="1"/>
  <c r="X2684" i="1" s="1"/>
  <c r="X2685" i="1" s="1"/>
  <c r="X2686" i="1" s="1"/>
  <c r="X2687" i="1" s="1"/>
  <c r="X2688" i="1" s="1"/>
  <c r="X2689" i="1" s="1"/>
  <c r="X2690" i="1" s="1"/>
  <c r="X2691" i="1" s="1"/>
  <c r="X2692" i="1" s="1"/>
  <c r="X2693" i="1" s="1"/>
  <c r="X2694" i="1" s="1"/>
  <c r="X2695" i="1" s="1"/>
  <c r="X2696" i="1" s="1"/>
  <c r="X2697" i="1" s="1"/>
  <c r="X2698" i="1" s="1"/>
  <c r="X2699" i="1" s="1"/>
  <c r="X2700" i="1" s="1"/>
  <c r="X2701" i="1" s="1"/>
  <c r="X2702" i="1" s="1"/>
  <c r="X2703" i="1" s="1"/>
  <c r="X2704" i="1" s="1"/>
  <c r="X2705" i="1" s="1"/>
  <c r="X2706" i="1" s="1"/>
  <c r="X2707" i="1" s="1"/>
  <c r="X2708" i="1" s="1"/>
  <c r="X2709" i="1" s="1"/>
  <c r="X2710" i="1" s="1"/>
  <c r="X2711" i="1" s="1"/>
  <c r="X2712" i="1" s="1"/>
  <c r="X2713" i="1" s="1"/>
  <c r="X2714" i="1" s="1"/>
  <c r="X2715" i="1" s="1"/>
  <c r="X2716" i="1" s="1"/>
  <c r="X2717" i="1" s="1"/>
  <c r="X2718" i="1" s="1"/>
  <c r="X2719" i="1" s="1"/>
  <c r="X2720" i="1" s="1"/>
  <c r="X2721" i="1" s="1"/>
  <c r="X2722" i="1" s="1"/>
  <c r="X2723" i="1" s="1"/>
  <c r="X2724" i="1" s="1"/>
  <c r="X2725" i="1" s="1"/>
  <c r="X2726" i="1" s="1"/>
  <c r="X2727" i="1" s="1"/>
  <c r="X2728" i="1" s="1"/>
  <c r="X2729" i="1" s="1"/>
  <c r="X2730" i="1" s="1"/>
  <c r="X2731" i="1" s="1"/>
  <c r="X2732" i="1" s="1"/>
  <c r="X2733" i="1" s="1"/>
  <c r="X2734" i="1" s="1"/>
  <c r="X2735" i="1" s="1"/>
  <c r="X2736" i="1" s="1"/>
  <c r="X2737" i="1" s="1"/>
  <c r="X2738" i="1" s="1"/>
  <c r="X2739" i="1" s="1"/>
  <c r="X2740" i="1" s="1"/>
  <c r="X2741" i="1" s="1"/>
  <c r="X2742" i="1" s="1"/>
  <c r="X2743" i="1" s="1"/>
  <c r="X2744" i="1" s="1"/>
  <c r="X2745" i="1" s="1"/>
  <c r="X2746" i="1" s="1"/>
  <c r="X2747" i="1" s="1"/>
  <c r="X2748" i="1" s="1"/>
  <c r="X2749" i="1" s="1"/>
  <c r="X2750" i="1" s="1"/>
  <c r="X2751" i="1" s="1"/>
  <c r="X2752" i="1" s="1"/>
  <c r="X2753" i="1" s="1"/>
  <c r="X2754" i="1" s="1"/>
  <c r="X2755" i="1" s="1"/>
  <c r="X2756" i="1" s="1"/>
  <c r="X2757" i="1" s="1"/>
  <c r="X2758" i="1" s="1"/>
  <c r="X2759" i="1" s="1"/>
  <c r="X2760" i="1" s="1"/>
  <c r="X2761" i="1" s="1"/>
  <c r="X2762" i="1" s="1"/>
  <c r="X2763" i="1" s="1"/>
  <c r="X2764" i="1" s="1"/>
  <c r="X2765" i="1" s="1"/>
  <c r="X2766" i="1" s="1"/>
  <c r="X2767" i="1" s="1"/>
  <c r="X2768" i="1" s="1"/>
  <c r="X2769" i="1" s="1"/>
  <c r="X2770" i="1" s="1"/>
  <c r="X2771" i="1" s="1"/>
  <c r="X2772" i="1" s="1"/>
  <c r="X2773" i="1" s="1"/>
  <c r="X2774" i="1" s="1"/>
  <c r="X2775" i="1" s="1"/>
  <c r="X2776" i="1" s="1"/>
  <c r="X2777" i="1" s="1"/>
  <c r="X2778" i="1" s="1"/>
  <c r="X2779" i="1" s="1"/>
  <c r="X2780" i="1" s="1"/>
  <c r="X2781" i="1" s="1"/>
  <c r="X2782" i="1" s="1"/>
  <c r="X2783" i="1" s="1"/>
  <c r="X2784" i="1" s="1"/>
  <c r="X2785" i="1" s="1"/>
  <c r="X2786" i="1" s="1"/>
  <c r="X2787" i="1" s="1"/>
  <c r="X2788" i="1" s="1"/>
  <c r="X2789" i="1" s="1"/>
  <c r="X2790" i="1" s="1"/>
  <c r="X2791" i="1" s="1"/>
  <c r="X2792" i="1" s="1"/>
  <c r="X2793" i="1" s="1"/>
  <c r="X2794" i="1" s="1"/>
  <c r="X2795" i="1" s="1"/>
  <c r="X2796" i="1" s="1"/>
  <c r="X2797" i="1" s="1"/>
  <c r="X2798" i="1" s="1"/>
  <c r="X2799" i="1" s="1"/>
  <c r="X2800" i="1" s="1"/>
  <c r="X2801" i="1" s="1"/>
  <c r="X2802" i="1" s="1"/>
  <c r="X2803" i="1" s="1"/>
  <c r="X2804" i="1" s="1"/>
  <c r="X2805" i="1" s="1"/>
  <c r="X2806" i="1" s="1"/>
  <c r="X2807" i="1" s="1"/>
  <c r="X2808" i="1" s="1"/>
  <c r="X2809" i="1" s="1"/>
  <c r="X2810" i="1" s="1"/>
  <c r="X2811" i="1" s="1"/>
  <c r="X2812" i="1" s="1"/>
  <c r="X2813" i="1" s="1"/>
  <c r="X2814" i="1" s="1"/>
  <c r="X2815" i="1" s="1"/>
  <c r="X2816" i="1" s="1"/>
  <c r="X2817" i="1" s="1"/>
  <c r="X2818" i="1" s="1"/>
  <c r="X2819" i="1" s="1"/>
  <c r="X2820" i="1" s="1"/>
  <c r="X2821" i="1" s="1"/>
  <c r="X2822" i="1" s="1"/>
  <c r="X2823" i="1" s="1"/>
  <c r="X2824" i="1" s="1"/>
  <c r="X2825" i="1" s="1"/>
  <c r="X2826" i="1" s="1"/>
  <c r="X2827" i="1" s="1"/>
  <c r="X2828" i="1" s="1"/>
  <c r="X2829" i="1" s="1"/>
  <c r="X2830" i="1" s="1"/>
  <c r="X2831" i="1" s="1"/>
  <c r="X2832" i="1" s="1"/>
  <c r="X2833" i="1" s="1"/>
  <c r="X2834" i="1" s="1"/>
  <c r="X2835" i="1" s="1"/>
  <c r="X2836" i="1" s="1"/>
  <c r="X2837" i="1" s="1"/>
  <c r="X2838" i="1" s="1"/>
  <c r="X2839" i="1" s="1"/>
  <c r="X2840" i="1" s="1"/>
  <c r="X2841" i="1" s="1"/>
  <c r="X2842" i="1" s="1"/>
  <c r="X2843" i="1" s="1"/>
  <c r="X2844" i="1" s="1"/>
  <c r="X2845" i="1" s="1"/>
  <c r="X2846" i="1" s="1"/>
  <c r="X2847" i="1" s="1"/>
  <c r="X2848" i="1" s="1"/>
  <c r="X2849" i="1" s="1"/>
  <c r="X2850" i="1" s="1"/>
  <c r="X2851" i="1" s="1"/>
  <c r="X2852" i="1" s="1"/>
  <c r="X2853" i="1" s="1"/>
  <c r="X2854" i="1" s="1"/>
  <c r="X2855" i="1" s="1"/>
  <c r="X2856" i="1" s="1"/>
  <c r="X2857" i="1" s="1"/>
  <c r="X2858" i="1" s="1"/>
  <c r="X2859" i="1" s="1"/>
  <c r="X2860" i="1" s="1"/>
  <c r="X2861" i="1" s="1"/>
  <c r="X2862" i="1" s="1"/>
  <c r="X2863" i="1" s="1"/>
  <c r="X2864" i="1" s="1"/>
  <c r="X2865" i="1" s="1"/>
  <c r="X2866" i="1" s="1"/>
  <c r="X2867" i="1" s="1"/>
  <c r="X2868" i="1" s="1"/>
  <c r="X2869" i="1" s="1"/>
  <c r="X2870" i="1" s="1"/>
  <c r="X2871" i="1" s="1"/>
  <c r="X2872" i="1" s="1"/>
  <c r="X2873" i="1" s="1"/>
  <c r="X2874" i="1" s="1"/>
  <c r="X2875" i="1" s="1"/>
  <c r="X2876" i="1" s="1"/>
  <c r="X2877" i="1" s="1"/>
  <c r="X2878" i="1" s="1"/>
  <c r="X2879" i="1" s="1"/>
  <c r="X2880" i="1" s="1"/>
  <c r="X2881" i="1" s="1"/>
  <c r="X2882" i="1" s="1"/>
  <c r="X2883" i="1" s="1"/>
  <c r="X2884" i="1" s="1"/>
  <c r="X2885" i="1" s="1"/>
  <c r="X2886" i="1" s="1"/>
  <c r="X2887" i="1" s="1"/>
  <c r="X2888" i="1" s="1"/>
  <c r="X2889" i="1" s="1"/>
  <c r="X2890" i="1" s="1"/>
  <c r="X2891" i="1" s="1"/>
  <c r="X2892" i="1" s="1"/>
  <c r="X2893" i="1" s="1"/>
  <c r="X2894" i="1" s="1"/>
  <c r="X2895" i="1" s="1"/>
  <c r="X2896" i="1" s="1"/>
  <c r="X2897" i="1" s="1"/>
  <c r="X2898" i="1" s="1"/>
  <c r="X2899" i="1" s="1"/>
  <c r="X2900" i="1" s="1"/>
  <c r="X2901" i="1" s="1"/>
  <c r="X2902" i="1" s="1"/>
  <c r="X2903" i="1" s="1"/>
  <c r="X2904" i="1" s="1"/>
  <c r="X2905" i="1" s="1"/>
  <c r="X2906" i="1" s="1"/>
  <c r="X2907" i="1" s="1"/>
  <c r="X2908" i="1" s="1"/>
  <c r="X2909" i="1" s="1"/>
  <c r="X2910" i="1" s="1"/>
  <c r="X2911" i="1" s="1"/>
  <c r="X2912" i="1" s="1"/>
  <c r="X2913" i="1" s="1"/>
  <c r="X2914" i="1" s="1"/>
  <c r="X2915" i="1" s="1"/>
  <c r="X2916" i="1" s="1"/>
  <c r="X2917" i="1" s="1"/>
  <c r="X2918" i="1" s="1"/>
  <c r="X2919" i="1" s="1"/>
  <c r="X2920" i="1" s="1"/>
  <c r="X2921" i="1" s="1"/>
  <c r="X2922" i="1" s="1"/>
  <c r="X2923" i="1" s="1"/>
  <c r="X2924" i="1" s="1"/>
  <c r="X2925" i="1" s="1"/>
  <c r="X2926" i="1" s="1"/>
  <c r="X2927" i="1" s="1"/>
  <c r="X2928" i="1" s="1"/>
  <c r="X2929" i="1" s="1"/>
  <c r="X2930" i="1" s="1"/>
  <c r="X2931" i="1" s="1"/>
  <c r="X2932" i="1" s="1"/>
  <c r="X2933" i="1" s="1"/>
  <c r="X2934" i="1" s="1"/>
  <c r="X2935" i="1" s="1"/>
  <c r="X2936" i="1" s="1"/>
  <c r="X2937" i="1" s="1"/>
  <c r="X2938" i="1" s="1"/>
  <c r="X2939" i="1" s="1"/>
  <c r="X2940" i="1" s="1"/>
  <c r="X2941" i="1" s="1"/>
  <c r="X2942" i="1" s="1"/>
  <c r="X2943" i="1" s="1"/>
  <c r="X2944" i="1" s="1"/>
  <c r="X2945" i="1" s="1"/>
  <c r="X2946" i="1" s="1"/>
  <c r="X2947" i="1" s="1"/>
  <c r="X2948" i="1" s="1"/>
  <c r="X2949" i="1" s="1"/>
  <c r="X2950" i="1" s="1"/>
  <c r="X2951" i="1" s="1"/>
  <c r="X2952" i="1" s="1"/>
  <c r="X2953" i="1" s="1"/>
  <c r="X2954" i="1" s="1"/>
  <c r="X2955" i="1" s="1"/>
  <c r="X2956" i="1" s="1"/>
  <c r="X2957" i="1" s="1"/>
  <c r="X2958" i="1" s="1"/>
  <c r="X2959" i="1" s="1"/>
  <c r="X2960" i="1" s="1"/>
  <c r="X2961" i="1" s="1"/>
  <c r="X2962" i="1" s="1"/>
  <c r="X2963" i="1" s="1"/>
  <c r="X2964" i="1" s="1"/>
  <c r="X2965" i="1" s="1"/>
  <c r="X2966" i="1" s="1"/>
  <c r="X2967" i="1" s="1"/>
  <c r="X2968" i="1" s="1"/>
  <c r="X2969" i="1" s="1"/>
  <c r="X2970" i="1" s="1"/>
  <c r="X2971" i="1" s="1"/>
  <c r="X2972" i="1" s="1"/>
  <c r="X2973" i="1" s="1"/>
  <c r="X2974" i="1" s="1"/>
  <c r="X2975" i="1" s="1"/>
  <c r="X2976" i="1" s="1"/>
  <c r="X2977" i="1" s="1"/>
  <c r="X2978" i="1" s="1"/>
  <c r="X2979" i="1" s="1"/>
  <c r="X2980" i="1" s="1"/>
  <c r="X2981" i="1" s="1"/>
  <c r="X2982" i="1" s="1"/>
  <c r="X2983" i="1" s="1"/>
  <c r="X2984" i="1" s="1"/>
  <c r="X2985" i="1" s="1"/>
  <c r="X2986" i="1" s="1"/>
  <c r="X2987" i="1" s="1"/>
  <c r="X2988" i="1" s="1"/>
  <c r="X2989" i="1" s="1"/>
  <c r="X2990" i="1" s="1"/>
  <c r="X2991" i="1" s="1"/>
  <c r="X2992" i="1" s="1"/>
  <c r="X2993" i="1" s="1"/>
  <c r="X2994" i="1" s="1"/>
  <c r="X2995" i="1" s="1"/>
  <c r="X2996" i="1" s="1"/>
  <c r="X2997" i="1" s="1"/>
  <c r="X2998" i="1" s="1"/>
  <c r="X2999" i="1" s="1"/>
  <c r="X3000" i="1" s="1"/>
  <c r="X3001" i="1" s="1"/>
  <c r="X3002" i="1" s="1"/>
  <c r="X3003" i="1" s="1"/>
  <c r="X3004" i="1" s="1"/>
  <c r="X3005" i="1" s="1"/>
  <c r="X3006" i="1" s="1"/>
  <c r="X3007" i="1" s="1"/>
  <c r="X3008" i="1" s="1"/>
  <c r="X3009" i="1" s="1"/>
  <c r="X3010" i="1" s="1"/>
  <c r="X3011" i="1" s="1"/>
  <c r="X3012" i="1" s="1"/>
  <c r="X3013" i="1" s="1"/>
  <c r="X3014" i="1" s="1"/>
  <c r="X3015" i="1" s="1"/>
  <c r="X3016" i="1" s="1"/>
  <c r="X3017" i="1" s="1"/>
  <c r="X3018" i="1" s="1"/>
  <c r="X3019" i="1" s="1"/>
  <c r="X3020" i="1" s="1"/>
  <c r="X3021" i="1" s="1"/>
  <c r="X3022" i="1" s="1"/>
  <c r="X3023" i="1" s="1"/>
  <c r="X3024" i="1" s="1"/>
  <c r="X3025" i="1" s="1"/>
  <c r="X3026" i="1" s="1"/>
  <c r="X3027" i="1" s="1"/>
  <c r="X3028" i="1" s="1"/>
  <c r="X3029" i="1" s="1"/>
  <c r="X3030" i="1" s="1"/>
  <c r="X3031" i="1" s="1"/>
  <c r="X3032" i="1" s="1"/>
  <c r="X3033" i="1" s="1"/>
  <c r="X3034" i="1" s="1"/>
  <c r="X3035" i="1" s="1"/>
  <c r="X3036" i="1" s="1"/>
  <c r="X3037" i="1" s="1"/>
  <c r="X3038" i="1" s="1"/>
  <c r="X3039" i="1" s="1"/>
  <c r="X3040" i="1" s="1"/>
  <c r="X3041" i="1" s="1"/>
  <c r="X3042" i="1" s="1"/>
  <c r="X3043" i="1" s="1"/>
  <c r="X3044" i="1" s="1"/>
  <c r="X3045" i="1" s="1"/>
  <c r="X3046" i="1" s="1"/>
  <c r="X3047" i="1" s="1"/>
  <c r="X3048" i="1" s="1"/>
  <c r="X3049" i="1" s="1"/>
  <c r="X3050" i="1" s="1"/>
  <c r="X3051" i="1" s="1"/>
  <c r="X3052" i="1" s="1"/>
  <c r="X3053" i="1" s="1"/>
  <c r="X3054" i="1" s="1"/>
  <c r="X3055" i="1" s="1"/>
  <c r="X3056" i="1" s="1"/>
  <c r="X3057" i="1" s="1"/>
  <c r="X3058" i="1" s="1"/>
  <c r="X3059" i="1" s="1"/>
  <c r="X3060" i="1" s="1"/>
  <c r="X3061" i="1" s="1"/>
  <c r="X3062" i="1" s="1"/>
  <c r="X3063" i="1" s="1"/>
  <c r="X3064" i="1" s="1"/>
  <c r="X3065" i="1" s="1"/>
  <c r="X3066" i="1" s="1"/>
  <c r="X3067" i="1" s="1"/>
  <c r="X3068" i="1" s="1"/>
  <c r="X3069" i="1" s="1"/>
  <c r="X3070" i="1" s="1"/>
  <c r="X3071" i="1" s="1"/>
  <c r="X3072" i="1" s="1"/>
  <c r="X3073" i="1" s="1"/>
  <c r="X3074" i="1" s="1"/>
  <c r="X3075" i="1" s="1"/>
  <c r="X3076" i="1" s="1"/>
  <c r="X3077" i="1" s="1"/>
  <c r="X3078" i="1" s="1"/>
  <c r="X3079" i="1" s="1"/>
  <c r="X3080" i="1" s="1"/>
  <c r="X3081" i="1" s="1"/>
  <c r="X3082" i="1" s="1"/>
  <c r="X3083" i="1" s="1"/>
  <c r="X3084" i="1" s="1"/>
  <c r="X3085" i="1" s="1"/>
  <c r="X3086" i="1" s="1"/>
  <c r="X3087" i="1" s="1"/>
  <c r="X3088" i="1" s="1"/>
  <c r="X3089" i="1" s="1"/>
  <c r="X3090" i="1" s="1"/>
  <c r="X3091" i="1" s="1"/>
  <c r="X3092" i="1" s="1"/>
  <c r="X3093" i="1" s="1"/>
  <c r="X3094" i="1" s="1"/>
  <c r="X3095" i="1" s="1"/>
  <c r="X3096" i="1" s="1"/>
  <c r="X3097" i="1" s="1"/>
  <c r="X3098" i="1" s="1"/>
  <c r="X3099" i="1" s="1"/>
  <c r="X3100" i="1" s="1"/>
  <c r="X3101" i="1" s="1"/>
  <c r="X3102" i="1" s="1"/>
  <c r="X3103" i="1" s="1"/>
  <c r="X3104" i="1" s="1"/>
  <c r="X3105" i="1" s="1"/>
  <c r="X3106" i="1" s="1"/>
  <c r="X3107" i="1" s="1"/>
  <c r="X3108" i="1" s="1"/>
  <c r="X3109" i="1" s="1"/>
  <c r="X3110" i="1" s="1"/>
  <c r="X3111" i="1" s="1"/>
  <c r="X3112" i="1" s="1"/>
  <c r="X3113" i="1" s="1"/>
  <c r="X3114" i="1" s="1"/>
  <c r="X3115" i="1" s="1"/>
  <c r="X3116" i="1" s="1"/>
  <c r="X3117" i="1" s="1"/>
  <c r="X3118" i="1" s="1"/>
  <c r="X3119" i="1" s="1"/>
  <c r="X3120" i="1" s="1"/>
  <c r="X3121" i="1" s="1"/>
  <c r="X3122" i="1" s="1"/>
  <c r="X3123" i="1" s="1"/>
  <c r="X3124" i="1" s="1"/>
  <c r="X3125" i="1" s="1"/>
  <c r="X3126" i="1" s="1"/>
  <c r="X3127" i="1" s="1"/>
  <c r="X3128" i="1" s="1"/>
  <c r="X3129" i="1" s="1"/>
  <c r="X3130" i="1" s="1"/>
  <c r="X3131" i="1" s="1"/>
  <c r="X3132" i="1" s="1"/>
  <c r="X3133" i="1" s="1"/>
  <c r="X3134" i="1" s="1"/>
  <c r="X3135" i="1" s="1"/>
  <c r="X3136" i="1" s="1"/>
  <c r="X3137" i="1" s="1"/>
  <c r="X3138" i="1" s="1"/>
  <c r="X3139" i="1" s="1"/>
  <c r="X3140" i="1" s="1"/>
  <c r="X3141" i="1" s="1"/>
  <c r="X3142" i="1" s="1"/>
  <c r="X3143" i="1" s="1"/>
  <c r="X3144" i="1" s="1"/>
  <c r="X3145" i="1" s="1"/>
  <c r="X3146" i="1" s="1"/>
  <c r="X3147" i="1" s="1"/>
  <c r="X3148" i="1" s="1"/>
  <c r="X3149" i="1" s="1"/>
  <c r="X3150" i="1" s="1"/>
  <c r="X3151" i="1" s="1"/>
  <c r="X3152" i="1" s="1"/>
  <c r="X3153" i="1" s="1"/>
  <c r="X3154" i="1" s="1"/>
  <c r="X3155" i="1" s="1"/>
  <c r="X3156" i="1" s="1"/>
  <c r="X3157" i="1" s="1"/>
  <c r="X3158" i="1" s="1"/>
  <c r="X3159" i="1" s="1"/>
  <c r="X3160" i="1" s="1"/>
  <c r="X3161" i="1" s="1"/>
  <c r="X3162" i="1" s="1"/>
  <c r="X3163" i="1" s="1"/>
  <c r="X3164" i="1" s="1"/>
  <c r="X3165" i="1" s="1"/>
  <c r="X3166" i="1" s="1"/>
  <c r="X3167" i="1" s="1"/>
  <c r="X3168" i="1" s="1"/>
  <c r="X3169" i="1" s="1"/>
  <c r="X3170" i="1" s="1"/>
  <c r="X3171" i="1" s="1"/>
  <c r="X3172" i="1" s="1"/>
  <c r="X3173" i="1" s="1"/>
  <c r="X3174" i="1" s="1"/>
  <c r="X3175" i="1" s="1"/>
  <c r="X3176" i="1" s="1"/>
  <c r="X3177" i="1" s="1"/>
  <c r="X3178" i="1" s="1"/>
  <c r="X3179" i="1" s="1"/>
  <c r="X3180" i="1" s="1"/>
  <c r="X3181" i="1" s="1"/>
  <c r="X3182" i="1" s="1"/>
  <c r="X3183" i="1" s="1"/>
  <c r="X3184" i="1" s="1"/>
  <c r="X3185" i="1" s="1"/>
  <c r="X3186" i="1" s="1"/>
  <c r="X3187" i="1" s="1"/>
  <c r="X3188" i="1" s="1"/>
  <c r="X3189" i="1" s="1"/>
  <c r="X3190" i="1" s="1"/>
  <c r="X3191" i="1" s="1"/>
  <c r="X3192" i="1" s="1"/>
  <c r="X3193" i="1" s="1"/>
  <c r="X3194" i="1" s="1"/>
  <c r="X3195" i="1" s="1"/>
  <c r="X3196" i="1" s="1"/>
  <c r="X3197" i="1" s="1"/>
  <c r="X3198" i="1" s="1"/>
  <c r="X3199" i="1" s="1"/>
  <c r="X3200" i="1" s="1"/>
  <c r="X3201" i="1" s="1"/>
  <c r="X3202" i="1" s="1"/>
  <c r="X3203" i="1" s="1"/>
  <c r="X3204" i="1" s="1"/>
  <c r="X3205" i="1" s="1"/>
  <c r="X3206" i="1" s="1"/>
  <c r="X3207" i="1" s="1"/>
  <c r="X3208" i="1" s="1"/>
  <c r="X3209" i="1" s="1"/>
  <c r="X3210" i="1" s="1"/>
  <c r="X3211" i="1" s="1"/>
  <c r="X3212" i="1" s="1"/>
  <c r="X3213" i="1" s="1"/>
  <c r="X3214" i="1" s="1"/>
  <c r="X3215" i="1" s="1"/>
  <c r="X3216" i="1" s="1"/>
  <c r="X3217" i="1" s="1"/>
  <c r="X3218" i="1" s="1"/>
  <c r="X3219" i="1" s="1"/>
  <c r="X3220" i="1" s="1"/>
  <c r="X3221" i="1" s="1"/>
  <c r="X3222" i="1" s="1"/>
  <c r="X3223" i="1" s="1"/>
  <c r="X3224" i="1" s="1"/>
  <c r="X3225" i="1" s="1"/>
  <c r="X3226" i="1" s="1"/>
  <c r="X3227" i="1" s="1"/>
  <c r="X3228" i="1" s="1"/>
  <c r="X3229" i="1" s="1"/>
  <c r="X3230" i="1" s="1"/>
  <c r="X3231" i="1" s="1"/>
  <c r="X3232" i="1" s="1"/>
  <c r="X3233" i="1" s="1"/>
  <c r="X3234" i="1" s="1"/>
  <c r="X3235" i="1" s="1"/>
  <c r="X3236" i="1" s="1"/>
  <c r="X3237" i="1" s="1"/>
  <c r="X3238" i="1" s="1"/>
  <c r="X3239" i="1" s="1"/>
  <c r="X3240" i="1" s="1"/>
  <c r="X3241" i="1" s="1"/>
  <c r="X3242" i="1" s="1"/>
  <c r="X3243" i="1" s="1"/>
  <c r="X3244" i="1" s="1"/>
  <c r="X3245" i="1" s="1"/>
  <c r="X3246" i="1" s="1"/>
  <c r="X3247" i="1" s="1"/>
  <c r="X3248" i="1" s="1"/>
  <c r="X3249" i="1" s="1"/>
  <c r="X3250" i="1" s="1"/>
  <c r="X3251" i="1" s="1"/>
  <c r="X3252" i="1" s="1"/>
  <c r="X3253" i="1" s="1"/>
  <c r="X3254" i="1" s="1"/>
  <c r="X3255" i="1" s="1"/>
  <c r="X3256" i="1" s="1"/>
  <c r="X3257" i="1" s="1"/>
  <c r="X3258" i="1" s="1"/>
  <c r="X3259" i="1" s="1"/>
  <c r="X3260" i="1" s="1"/>
  <c r="X3261" i="1" s="1"/>
  <c r="X3262" i="1" s="1"/>
  <c r="X3263" i="1" s="1"/>
  <c r="X3264" i="1" s="1"/>
  <c r="X3265" i="1" s="1"/>
  <c r="X3266" i="1" s="1"/>
  <c r="X3267" i="1" s="1"/>
  <c r="X3268" i="1" s="1"/>
  <c r="X3269" i="1" s="1"/>
  <c r="X3270" i="1" s="1"/>
  <c r="X3271" i="1" s="1"/>
  <c r="X3272" i="1" s="1"/>
  <c r="X3273" i="1" s="1"/>
  <c r="X3274" i="1" s="1"/>
  <c r="X3275" i="1" s="1"/>
  <c r="X3276" i="1" s="1"/>
  <c r="X3277" i="1" s="1"/>
  <c r="X3278" i="1" s="1"/>
  <c r="X3279" i="1" s="1"/>
  <c r="X3280" i="1" s="1"/>
  <c r="X3281" i="1" s="1"/>
  <c r="X3282" i="1" s="1"/>
  <c r="X3283" i="1" s="1"/>
  <c r="X3284" i="1" s="1"/>
  <c r="X3285" i="1" s="1"/>
  <c r="X3286" i="1" s="1"/>
  <c r="X3287" i="1" s="1"/>
  <c r="X3288" i="1" s="1"/>
  <c r="X3289" i="1" s="1"/>
  <c r="X3290" i="1" s="1"/>
  <c r="X3291" i="1" s="1"/>
  <c r="X3292" i="1" s="1"/>
  <c r="X3293" i="1" s="1"/>
  <c r="X3294" i="1" s="1"/>
  <c r="X3295" i="1" s="1"/>
  <c r="X3296" i="1" s="1"/>
  <c r="X3297" i="1" s="1"/>
  <c r="X3298" i="1" s="1"/>
  <c r="X3299" i="1" s="1"/>
  <c r="X3300" i="1" s="1"/>
  <c r="X3301" i="1" s="1"/>
  <c r="X3302" i="1" s="1"/>
  <c r="X3303" i="1" s="1"/>
  <c r="X3304" i="1" s="1"/>
  <c r="X3305" i="1" s="1"/>
  <c r="X3306" i="1" s="1"/>
  <c r="X3307" i="1" s="1"/>
  <c r="X3308" i="1" s="1"/>
  <c r="X3309" i="1" s="1"/>
  <c r="X3310" i="1" s="1"/>
  <c r="X3311" i="1" s="1"/>
  <c r="X3312" i="1" s="1"/>
  <c r="X3313" i="1" s="1"/>
  <c r="X3314" i="1" s="1"/>
  <c r="X3315" i="1" s="1"/>
  <c r="X3316" i="1" s="1"/>
  <c r="X3317" i="1" s="1"/>
  <c r="X3318" i="1" s="1"/>
  <c r="X3319" i="1" s="1"/>
  <c r="X3320" i="1" s="1"/>
  <c r="X3321" i="1" s="1"/>
  <c r="X3322" i="1" s="1"/>
  <c r="X3323" i="1" s="1"/>
  <c r="X3324" i="1" s="1"/>
  <c r="X3325" i="1" s="1"/>
  <c r="X3326" i="1" s="1"/>
  <c r="X3327" i="1" s="1"/>
  <c r="X3328" i="1" s="1"/>
  <c r="X3329" i="1" s="1"/>
  <c r="X3330" i="1" s="1"/>
  <c r="X3331" i="1" s="1"/>
  <c r="X3332" i="1" s="1"/>
  <c r="X3333" i="1" s="1"/>
  <c r="X3334" i="1" s="1"/>
  <c r="X3335" i="1" s="1"/>
  <c r="X3336" i="1" s="1"/>
  <c r="X3337" i="1" s="1"/>
  <c r="X3338" i="1" s="1"/>
  <c r="X3339" i="1" s="1"/>
  <c r="X3340" i="1" s="1"/>
  <c r="X3341" i="1" s="1"/>
  <c r="X3342" i="1" s="1"/>
  <c r="X3343" i="1" s="1"/>
  <c r="X3344" i="1" s="1"/>
  <c r="X3345" i="1" s="1"/>
  <c r="X3346" i="1" s="1"/>
  <c r="X3347" i="1" s="1"/>
  <c r="X3348" i="1" s="1"/>
  <c r="X3349" i="1" s="1"/>
  <c r="X3350" i="1" s="1"/>
  <c r="X3351" i="1" s="1"/>
  <c r="X3352" i="1" s="1"/>
  <c r="X3353" i="1" s="1"/>
  <c r="X3354" i="1" s="1"/>
  <c r="X3355" i="1" s="1"/>
  <c r="X3356" i="1" s="1"/>
  <c r="X3357" i="1" s="1"/>
  <c r="X3358" i="1" s="1"/>
  <c r="X3359" i="1" s="1"/>
  <c r="X3360" i="1" s="1"/>
  <c r="X3361" i="1" s="1"/>
  <c r="X3362" i="1" s="1"/>
  <c r="X3363" i="1" s="1"/>
  <c r="X3364" i="1" s="1"/>
  <c r="X3365" i="1" s="1"/>
  <c r="X3366" i="1" s="1"/>
  <c r="X3367" i="1" s="1"/>
  <c r="X3368" i="1" s="1"/>
  <c r="X3369" i="1" s="1"/>
  <c r="X3370" i="1" s="1"/>
  <c r="X3371" i="1" s="1"/>
  <c r="X3372" i="1" s="1"/>
  <c r="X3373" i="1" s="1"/>
  <c r="X3374" i="1" s="1"/>
  <c r="X3375" i="1" s="1"/>
  <c r="X3376" i="1" s="1"/>
  <c r="X3377" i="1" s="1"/>
  <c r="X3378" i="1" s="1"/>
  <c r="X3379" i="1" s="1"/>
  <c r="X3380" i="1" s="1"/>
  <c r="X3381" i="1" s="1"/>
  <c r="X3382" i="1" s="1"/>
  <c r="X3383" i="1" s="1"/>
  <c r="X3384" i="1" s="1"/>
  <c r="X3385" i="1" s="1"/>
  <c r="X3386" i="1" s="1"/>
  <c r="X3387" i="1" s="1"/>
  <c r="X3388" i="1" s="1"/>
  <c r="X3389" i="1" s="1"/>
  <c r="X3390" i="1" s="1"/>
  <c r="X3391" i="1" s="1"/>
  <c r="X3392" i="1" s="1"/>
  <c r="X3393" i="1" s="1"/>
  <c r="X3394" i="1" s="1"/>
  <c r="X3395" i="1" s="1"/>
  <c r="X3396" i="1" s="1"/>
  <c r="X3397" i="1" s="1"/>
  <c r="X3398" i="1" s="1"/>
  <c r="X3399" i="1" s="1"/>
  <c r="X3400" i="1" s="1"/>
  <c r="X3401" i="1" s="1"/>
  <c r="X3402" i="1" s="1"/>
  <c r="X3403" i="1" s="1"/>
  <c r="X3404" i="1" s="1"/>
  <c r="X3405" i="1" s="1"/>
  <c r="X3406" i="1" s="1"/>
  <c r="X3407" i="1" s="1"/>
  <c r="X3408" i="1" s="1"/>
  <c r="X3409" i="1" s="1"/>
  <c r="X3410" i="1" s="1"/>
  <c r="X3411" i="1" s="1"/>
  <c r="X3412" i="1" s="1"/>
  <c r="X3413" i="1" s="1"/>
  <c r="X3414" i="1" s="1"/>
  <c r="X3415" i="1" s="1"/>
  <c r="X3416" i="1" s="1"/>
  <c r="X3417" i="1" s="1"/>
  <c r="X3418" i="1" s="1"/>
  <c r="X3419" i="1" s="1"/>
  <c r="X3420" i="1" s="1"/>
  <c r="X3421" i="1" s="1"/>
  <c r="X3422" i="1" s="1"/>
  <c r="X3423" i="1" s="1"/>
  <c r="X3424" i="1" s="1"/>
  <c r="X3425" i="1" s="1"/>
  <c r="X3426" i="1" s="1"/>
  <c r="X3427" i="1" s="1"/>
  <c r="X3428" i="1" s="1"/>
  <c r="X3429" i="1" s="1"/>
  <c r="X3430" i="1" s="1"/>
  <c r="X3431" i="1" s="1"/>
  <c r="X3432" i="1" s="1"/>
  <c r="X3433" i="1" s="1"/>
  <c r="X3434" i="1" s="1"/>
  <c r="X3435" i="1" s="1"/>
  <c r="X3436" i="1" s="1"/>
  <c r="X3437" i="1" s="1"/>
  <c r="X3438" i="1" s="1"/>
  <c r="X3439" i="1" s="1"/>
  <c r="X3440" i="1" s="1"/>
  <c r="X3441" i="1" s="1"/>
  <c r="X3442" i="1" s="1"/>
  <c r="X3443" i="1" s="1"/>
  <c r="X3444" i="1" s="1"/>
  <c r="X3445" i="1" s="1"/>
  <c r="X3446" i="1" s="1"/>
  <c r="X3447" i="1" s="1"/>
  <c r="X3448" i="1" s="1"/>
  <c r="X3449" i="1" s="1"/>
  <c r="X3450" i="1" s="1"/>
  <c r="X3451" i="1" s="1"/>
  <c r="X3452" i="1" s="1"/>
  <c r="X3453" i="1" s="1"/>
  <c r="X3454" i="1" s="1"/>
  <c r="X3455" i="1" s="1"/>
  <c r="X3456" i="1" s="1"/>
  <c r="X3457" i="1" s="1"/>
  <c r="X3458" i="1" s="1"/>
  <c r="X3459" i="1" s="1"/>
  <c r="X3460" i="1" s="1"/>
  <c r="X3461" i="1" s="1"/>
  <c r="X3462" i="1" s="1"/>
  <c r="X3463" i="1" s="1"/>
  <c r="X3464" i="1" s="1"/>
  <c r="X3465" i="1" s="1"/>
  <c r="X3466" i="1" s="1"/>
  <c r="X3467" i="1" s="1"/>
  <c r="X3468" i="1" s="1"/>
  <c r="X3469" i="1" s="1"/>
  <c r="X3470" i="1" s="1"/>
  <c r="X3471" i="1" s="1"/>
  <c r="X3472" i="1" s="1"/>
  <c r="X3473" i="1" s="1"/>
  <c r="X3474" i="1" s="1"/>
  <c r="X3475" i="1" s="1"/>
  <c r="X3476" i="1" s="1"/>
  <c r="X3477" i="1" s="1"/>
  <c r="X3478" i="1" s="1"/>
  <c r="X3479" i="1" s="1"/>
  <c r="X3480" i="1" s="1"/>
  <c r="X3481" i="1" s="1"/>
  <c r="X3482" i="1" s="1"/>
  <c r="X3483" i="1" s="1"/>
  <c r="X3484" i="1" s="1"/>
  <c r="X3485" i="1" s="1"/>
  <c r="X3486" i="1" s="1"/>
  <c r="X3487" i="1" s="1"/>
  <c r="X3488" i="1" s="1"/>
  <c r="X3489" i="1" s="1"/>
  <c r="X3490" i="1" s="1"/>
  <c r="X3491" i="1" s="1"/>
  <c r="X3492" i="1" s="1"/>
  <c r="X3493" i="1" s="1"/>
  <c r="X3494" i="1" s="1"/>
  <c r="X3495" i="1" s="1"/>
  <c r="X3496" i="1" s="1"/>
  <c r="X3497" i="1" s="1"/>
  <c r="X3498" i="1" s="1"/>
  <c r="X3499" i="1" s="1"/>
  <c r="X3500" i="1" s="1"/>
  <c r="X3501" i="1" s="1"/>
  <c r="X3502" i="1" s="1"/>
  <c r="X3503" i="1" s="1"/>
  <c r="X3504" i="1" s="1"/>
  <c r="X3505" i="1" s="1"/>
  <c r="X3506" i="1" s="1"/>
  <c r="X3507" i="1" s="1"/>
  <c r="X3508" i="1" s="1"/>
  <c r="X3509" i="1" s="1"/>
  <c r="X3510" i="1" s="1"/>
  <c r="X3511" i="1" s="1"/>
  <c r="X3512" i="1" s="1"/>
  <c r="X3513" i="1" s="1"/>
  <c r="X3514" i="1" s="1"/>
  <c r="X3515" i="1" s="1"/>
  <c r="X3516" i="1" s="1"/>
  <c r="X3517" i="1" s="1"/>
  <c r="X3518" i="1" s="1"/>
  <c r="X3519" i="1" s="1"/>
  <c r="X3520" i="1" s="1"/>
  <c r="X3521" i="1" s="1"/>
  <c r="X3522" i="1" s="1"/>
  <c r="X3523" i="1" s="1"/>
  <c r="X3524" i="1" s="1"/>
  <c r="X3525" i="1" s="1"/>
  <c r="X3526" i="1" s="1"/>
  <c r="X3527" i="1" s="1"/>
  <c r="X3528" i="1" s="1"/>
  <c r="X3529" i="1" s="1"/>
  <c r="X3530" i="1" s="1"/>
  <c r="X3531" i="1" s="1"/>
  <c r="X3532" i="1" s="1"/>
  <c r="X3533" i="1" s="1"/>
  <c r="X3534" i="1" s="1"/>
  <c r="X3535" i="1" s="1"/>
  <c r="X3536" i="1" s="1"/>
  <c r="X3537" i="1" s="1"/>
  <c r="X3538" i="1" s="1"/>
  <c r="X3539" i="1" s="1"/>
  <c r="X3540" i="1" s="1"/>
  <c r="X3541" i="1" s="1"/>
  <c r="X3542" i="1" s="1"/>
  <c r="X3543" i="1" s="1"/>
  <c r="X3544" i="1" s="1"/>
  <c r="X3545" i="1" s="1"/>
  <c r="X3546" i="1" s="1"/>
  <c r="X3547" i="1" s="1"/>
  <c r="X3548" i="1" s="1"/>
  <c r="X3549" i="1" s="1"/>
  <c r="X3550" i="1" s="1"/>
  <c r="X3551" i="1" s="1"/>
  <c r="X3552" i="1" s="1"/>
  <c r="X3553" i="1" s="1"/>
  <c r="X3554" i="1" s="1"/>
  <c r="X3555" i="1" s="1"/>
  <c r="X3556" i="1" s="1"/>
  <c r="X3557" i="1" s="1"/>
  <c r="X3558" i="1" s="1"/>
  <c r="X3559" i="1" s="1"/>
  <c r="X3560" i="1" s="1"/>
  <c r="X3561" i="1" s="1"/>
  <c r="X3562" i="1" s="1"/>
  <c r="X3563" i="1" s="1"/>
  <c r="X3564" i="1" s="1"/>
  <c r="X3565" i="1" s="1"/>
  <c r="X3566" i="1" s="1"/>
  <c r="X3567" i="1" s="1"/>
  <c r="X3568" i="1" s="1"/>
  <c r="X3569" i="1" s="1"/>
  <c r="X3570" i="1" s="1"/>
  <c r="X3571" i="1" s="1"/>
  <c r="X3572" i="1" s="1"/>
  <c r="X3573" i="1" s="1"/>
  <c r="X3574" i="1" s="1"/>
  <c r="X3575" i="1" s="1"/>
  <c r="X3576" i="1" s="1"/>
  <c r="X3577" i="1" s="1"/>
  <c r="X3578" i="1" s="1"/>
  <c r="X3579" i="1" s="1"/>
  <c r="X3580" i="1" s="1"/>
  <c r="X3581" i="1" s="1"/>
  <c r="X3582" i="1" s="1"/>
  <c r="X3583" i="1" s="1"/>
  <c r="X3584" i="1" s="1"/>
  <c r="X3585" i="1" s="1"/>
  <c r="X3586" i="1" s="1"/>
  <c r="X3587" i="1" s="1"/>
  <c r="X3588" i="1" s="1"/>
  <c r="X3589" i="1" s="1"/>
  <c r="X3590" i="1" s="1"/>
  <c r="X3591" i="1" s="1"/>
  <c r="X3592" i="1" s="1"/>
  <c r="X3593" i="1" s="1"/>
  <c r="X3594" i="1" s="1"/>
  <c r="X3595" i="1" s="1"/>
  <c r="X3596" i="1" s="1"/>
  <c r="X3597" i="1" s="1"/>
  <c r="X3598" i="1" s="1"/>
  <c r="X3599" i="1" s="1"/>
  <c r="X3600" i="1" s="1"/>
  <c r="X3601" i="1" s="1"/>
  <c r="X3602" i="1" s="1"/>
  <c r="X3603" i="1" s="1"/>
  <c r="X3604" i="1" s="1"/>
  <c r="X3605" i="1" s="1"/>
  <c r="X3606" i="1" s="1"/>
  <c r="X3607" i="1" s="1"/>
  <c r="X3608" i="1" s="1"/>
  <c r="X3609" i="1" s="1"/>
  <c r="X3610" i="1" s="1"/>
  <c r="X3611" i="1" s="1"/>
  <c r="X3612" i="1" s="1"/>
  <c r="X3613" i="1" s="1"/>
  <c r="X3614" i="1" s="1"/>
  <c r="X3615" i="1" s="1"/>
  <c r="X3616" i="1" s="1"/>
  <c r="X3617" i="1" s="1"/>
  <c r="X3618" i="1" s="1"/>
  <c r="X3619" i="1" s="1"/>
  <c r="X3620" i="1" s="1"/>
  <c r="X3621" i="1" s="1"/>
  <c r="X3622" i="1" s="1"/>
  <c r="X3623" i="1" s="1"/>
  <c r="X3624" i="1" s="1"/>
  <c r="X3625" i="1" s="1"/>
  <c r="X3626" i="1" s="1"/>
  <c r="X3627" i="1" s="1"/>
  <c r="X3628" i="1" s="1"/>
  <c r="X3629" i="1" s="1"/>
  <c r="X3630" i="1" s="1"/>
  <c r="X3631" i="1" s="1"/>
  <c r="X3632" i="1" s="1"/>
  <c r="X3633" i="1" s="1"/>
  <c r="X3634" i="1" s="1"/>
  <c r="X3635" i="1" s="1"/>
  <c r="X3636" i="1" s="1"/>
  <c r="X3637" i="1" s="1"/>
  <c r="X3638" i="1" s="1"/>
  <c r="X3639" i="1" s="1"/>
  <c r="X3640" i="1" s="1"/>
  <c r="X3641" i="1" s="1"/>
  <c r="X3642" i="1" s="1"/>
  <c r="X3643" i="1" s="1"/>
  <c r="X3644" i="1" s="1"/>
  <c r="X3645" i="1" s="1"/>
  <c r="X3646" i="1" s="1"/>
  <c r="X3647" i="1" s="1"/>
  <c r="X3648" i="1" s="1"/>
  <c r="X3649" i="1" s="1"/>
  <c r="X3650" i="1" s="1"/>
  <c r="X3651" i="1" s="1"/>
  <c r="X3652" i="1" s="1"/>
  <c r="X3653" i="1" s="1"/>
  <c r="X3654" i="1" s="1"/>
  <c r="X3655" i="1" s="1"/>
  <c r="X3656" i="1" s="1"/>
  <c r="X3657" i="1" s="1"/>
  <c r="X3658" i="1" s="1"/>
  <c r="X3659" i="1" s="1"/>
  <c r="X3660" i="1" s="1"/>
  <c r="X3661" i="1" s="1"/>
  <c r="X3662" i="1" s="1"/>
  <c r="X3663" i="1" s="1"/>
  <c r="X3664" i="1" s="1"/>
  <c r="X3665" i="1" s="1"/>
  <c r="X3666" i="1" s="1"/>
  <c r="X3667" i="1" s="1"/>
  <c r="X3668" i="1" s="1"/>
  <c r="X3669" i="1" s="1"/>
  <c r="X3670" i="1" s="1"/>
  <c r="X3671" i="1" s="1"/>
  <c r="X3672" i="1" s="1"/>
  <c r="X3673" i="1" s="1"/>
  <c r="X3674" i="1" s="1"/>
  <c r="X3675" i="1" s="1"/>
  <c r="X3676" i="1" s="1"/>
  <c r="X3677" i="1" s="1"/>
  <c r="X3678" i="1" s="1"/>
  <c r="X3679" i="1" s="1"/>
  <c r="X3680" i="1" s="1"/>
  <c r="X3681" i="1" s="1"/>
  <c r="X3682" i="1" s="1"/>
  <c r="X3683" i="1" s="1"/>
  <c r="X3684" i="1" s="1"/>
  <c r="X3685" i="1" s="1"/>
  <c r="X3686" i="1" s="1"/>
  <c r="X3687" i="1" s="1"/>
  <c r="X3688" i="1" s="1"/>
  <c r="X3689" i="1" s="1"/>
  <c r="X3690" i="1" s="1"/>
  <c r="X3691" i="1" s="1"/>
  <c r="X3692" i="1" s="1"/>
  <c r="X3693" i="1" s="1"/>
  <c r="X3694" i="1" s="1"/>
  <c r="X3695" i="1" s="1"/>
  <c r="X3696" i="1" s="1"/>
  <c r="X3697" i="1" s="1"/>
  <c r="X3698" i="1" s="1"/>
  <c r="X3699" i="1" s="1"/>
  <c r="X3700" i="1" s="1"/>
  <c r="X3701" i="1" s="1"/>
  <c r="X3702" i="1" s="1"/>
  <c r="X3703" i="1" s="1"/>
  <c r="X3704" i="1" s="1"/>
  <c r="X3705" i="1" s="1"/>
  <c r="X3706" i="1" s="1"/>
  <c r="X3707" i="1" s="1"/>
  <c r="X3708" i="1" s="1"/>
  <c r="X3709" i="1" s="1"/>
  <c r="X3710" i="1" s="1"/>
  <c r="X3711" i="1" s="1"/>
  <c r="X3712" i="1" s="1"/>
  <c r="X3713" i="1" s="1"/>
  <c r="X3714" i="1" s="1"/>
  <c r="X3715" i="1" s="1"/>
  <c r="X3716" i="1" s="1"/>
  <c r="X3717" i="1" s="1"/>
  <c r="X3718" i="1" s="1"/>
  <c r="X3719" i="1" s="1"/>
  <c r="X3720" i="1" s="1"/>
  <c r="X3721" i="1" s="1"/>
  <c r="X3722" i="1" s="1"/>
  <c r="X3723" i="1" s="1"/>
  <c r="X3724" i="1" s="1"/>
  <c r="X3725" i="1" s="1"/>
  <c r="X3726" i="1" s="1"/>
  <c r="X3727" i="1" s="1"/>
  <c r="X3728" i="1" s="1"/>
  <c r="X3729" i="1" s="1"/>
  <c r="X3730" i="1" s="1"/>
  <c r="X3731" i="1" s="1"/>
  <c r="X3732" i="1" s="1"/>
  <c r="X3733" i="1" s="1"/>
  <c r="X3734" i="1" s="1"/>
  <c r="X3735" i="1" s="1"/>
  <c r="X3736" i="1" s="1"/>
  <c r="X3737" i="1" s="1"/>
  <c r="X3738" i="1" s="1"/>
  <c r="X3739" i="1" s="1"/>
  <c r="X3740" i="1" s="1"/>
  <c r="X3741" i="1" s="1"/>
  <c r="X3742" i="1" s="1"/>
  <c r="X3743" i="1" s="1"/>
  <c r="X3744" i="1" s="1"/>
  <c r="X3745" i="1" s="1"/>
  <c r="X3746" i="1" s="1"/>
  <c r="X3747" i="1" s="1"/>
  <c r="X3748" i="1" s="1"/>
  <c r="X3749" i="1" s="1"/>
  <c r="X3750" i="1" s="1"/>
  <c r="X3751" i="1" s="1"/>
  <c r="X3752" i="1" s="1"/>
  <c r="X3753" i="1" s="1"/>
  <c r="X3754" i="1" s="1"/>
  <c r="X3755" i="1" s="1"/>
  <c r="X3756" i="1" s="1"/>
  <c r="X3757" i="1" s="1"/>
  <c r="X3758" i="1" s="1"/>
  <c r="X3759" i="1" s="1"/>
  <c r="X3760" i="1" s="1"/>
  <c r="X3761" i="1" s="1"/>
  <c r="X3762" i="1" s="1"/>
  <c r="X3763" i="1" s="1"/>
  <c r="X3764" i="1" s="1"/>
  <c r="X3765" i="1" s="1"/>
  <c r="X3766" i="1" s="1"/>
  <c r="X3767" i="1" s="1"/>
  <c r="X3768" i="1" s="1"/>
  <c r="X3769" i="1" s="1"/>
  <c r="X3770" i="1" s="1"/>
  <c r="X3771" i="1" s="1"/>
  <c r="X3772" i="1" s="1"/>
  <c r="X3773" i="1" s="1"/>
  <c r="X3774" i="1" s="1"/>
  <c r="X3775" i="1" s="1"/>
  <c r="X3776" i="1" s="1"/>
  <c r="X3777" i="1" s="1"/>
  <c r="X3778" i="1" s="1"/>
  <c r="X3779" i="1" s="1"/>
  <c r="X3780" i="1" s="1"/>
  <c r="X3781" i="1" s="1"/>
  <c r="X3782" i="1" s="1"/>
  <c r="X3783" i="1" s="1"/>
  <c r="X3784" i="1" s="1"/>
  <c r="X3785" i="1" s="1"/>
  <c r="X3786" i="1" s="1"/>
  <c r="X3787" i="1" s="1"/>
  <c r="X3788" i="1" s="1"/>
  <c r="X3789" i="1" s="1"/>
  <c r="X3790" i="1" s="1"/>
  <c r="X3791" i="1" s="1"/>
  <c r="X3792" i="1" s="1"/>
  <c r="X3793" i="1" s="1"/>
  <c r="X3794" i="1" s="1"/>
  <c r="X3795" i="1" s="1"/>
  <c r="X3796" i="1" s="1"/>
  <c r="X3797" i="1" s="1"/>
  <c r="X3798" i="1" s="1"/>
  <c r="X3799" i="1" s="1"/>
  <c r="X3800" i="1" s="1"/>
  <c r="X3801" i="1" s="1"/>
  <c r="X3802" i="1" s="1"/>
  <c r="X3803" i="1" s="1"/>
  <c r="X3804" i="1" s="1"/>
  <c r="X3805" i="1" s="1"/>
  <c r="X3806" i="1" s="1"/>
  <c r="X3807" i="1" s="1"/>
  <c r="X3808" i="1" s="1"/>
  <c r="X3809" i="1" s="1"/>
  <c r="X3810" i="1" s="1"/>
  <c r="X3811" i="1" s="1"/>
  <c r="X3812" i="1" s="1"/>
  <c r="X3813" i="1" s="1"/>
  <c r="X3814" i="1" s="1"/>
  <c r="X3815" i="1" s="1"/>
  <c r="X3816" i="1" s="1"/>
  <c r="X3817" i="1" s="1"/>
  <c r="X3818" i="1" s="1"/>
  <c r="X3819" i="1" s="1"/>
  <c r="X3820" i="1" s="1"/>
  <c r="X3821" i="1" s="1"/>
  <c r="X3822" i="1" s="1"/>
  <c r="X3823" i="1" s="1"/>
  <c r="X3824" i="1" s="1"/>
  <c r="X3825" i="1" s="1"/>
  <c r="X3826" i="1" s="1"/>
  <c r="X3827" i="1" s="1"/>
  <c r="X3828" i="1" s="1"/>
  <c r="X3829" i="1" s="1"/>
  <c r="X3830" i="1" s="1"/>
  <c r="X3831" i="1" s="1"/>
  <c r="X3832" i="1" s="1"/>
  <c r="X3833" i="1" s="1"/>
  <c r="X3834" i="1" s="1"/>
  <c r="X3835" i="1" s="1"/>
  <c r="X3836" i="1" s="1"/>
  <c r="X3837" i="1" s="1"/>
  <c r="X3838" i="1" s="1"/>
  <c r="X3839" i="1" s="1"/>
  <c r="X3840" i="1" s="1"/>
  <c r="X3841" i="1" s="1"/>
  <c r="X3842" i="1" s="1"/>
  <c r="X3843" i="1" s="1"/>
  <c r="X3844" i="1" s="1"/>
  <c r="X3845" i="1" s="1"/>
  <c r="X3846" i="1" s="1"/>
  <c r="X3847" i="1" s="1"/>
  <c r="X3848" i="1" s="1"/>
  <c r="X3849" i="1" s="1"/>
  <c r="X3850" i="1" s="1"/>
  <c r="X3851" i="1" s="1"/>
  <c r="X3852" i="1" s="1"/>
  <c r="X3853" i="1" s="1"/>
  <c r="X3854" i="1" s="1"/>
  <c r="X3855" i="1" s="1"/>
  <c r="X3856" i="1" s="1"/>
  <c r="X3857" i="1" s="1"/>
  <c r="X3858" i="1" s="1"/>
  <c r="X3859" i="1" s="1"/>
  <c r="X3860" i="1" s="1"/>
  <c r="X3861" i="1" s="1"/>
  <c r="X3862" i="1" s="1"/>
  <c r="X3863" i="1" s="1"/>
  <c r="X3864" i="1" s="1"/>
  <c r="X3865" i="1" s="1"/>
  <c r="X3866" i="1" s="1"/>
  <c r="X3867" i="1" s="1"/>
  <c r="X3868" i="1" s="1"/>
  <c r="X3869" i="1" s="1"/>
  <c r="X3870" i="1" s="1"/>
  <c r="X3871" i="1" s="1"/>
  <c r="X3872" i="1" s="1"/>
  <c r="X3873" i="1" s="1"/>
  <c r="X3874" i="1" s="1"/>
  <c r="X3875" i="1" s="1"/>
  <c r="X3876" i="1" s="1"/>
  <c r="X3877" i="1" s="1"/>
  <c r="X3878" i="1" s="1"/>
  <c r="X3879" i="1" s="1"/>
  <c r="X3880" i="1" s="1"/>
  <c r="X3881" i="1" s="1"/>
  <c r="X3882" i="1" s="1"/>
  <c r="X3883" i="1" s="1"/>
  <c r="X3884" i="1" s="1"/>
  <c r="X3885" i="1" s="1"/>
  <c r="X3886" i="1" s="1"/>
  <c r="X3887" i="1" s="1"/>
  <c r="X3888" i="1" s="1"/>
  <c r="X3889" i="1" s="1"/>
  <c r="X3890" i="1" s="1"/>
  <c r="X3891" i="1" s="1"/>
  <c r="X3892" i="1" s="1"/>
  <c r="X3893" i="1" s="1"/>
  <c r="X3894" i="1" s="1"/>
  <c r="X3895" i="1" s="1"/>
  <c r="X3896" i="1" s="1"/>
  <c r="X3897" i="1" s="1"/>
  <c r="X3898" i="1" s="1"/>
  <c r="X3899" i="1" s="1"/>
  <c r="X3900" i="1" s="1"/>
  <c r="X3901" i="1" s="1"/>
  <c r="X3902" i="1" s="1"/>
  <c r="X3903" i="1" s="1"/>
  <c r="X3904" i="1" s="1"/>
  <c r="X3905" i="1" s="1"/>
  <c r="X3906" i="1" s="1"/>
  <c r="X3907" i="1" s="1"/>
  <c r="X3908" i="1" s="1"/>
  <c r="X3909" i="1" s="1"/>
  <c r="X3910" i="1" s="1"/>
  <c r="X3911" i="1" s="1"/>
  <c r="X3912" i="1" s="1"/>
  <c r="X3913" i="1" s="1"/>
  <c r="X3914" i="1" s="1"/>
  <c r="X3915" i="1" s="1"/>
  <c r="X3916" i="1" s="1"/>
  <c r="X3917" i="1" s="1"/>
  <c r="X3918" i="1" s="1"/>
  <c r="X3919" i="1" s="1"/>
  <c r="X3920" i="1" s="1"/>
  <c r="X3921" i="1" s="1"/>
  <c r="X3922" i="1" s="1"/>
  <c r="X3923" i="1" s="1"/>
  <c r="X3924" i="1" s="1"/>
  <c r="X3925" i="1" s="1"/>
  <c r="X3926" i="1" s="1"/>
  <c r="X3927" i="1" s="1"/>
  <c r="X3928" i="1" s="1"/>
  <c r="X3929" i="1" s="1"/>
  <c r="X3930" i="1" s="1"/>
  <c r="X3931" i="1" s="1"/>
  <c r="X3932" i="1" s="1"/>
  <c r="X3933" i="1" s="1"/>
  <c r="X3934" i="1" s="1"/>
  <c r="X3935" i="1" s="1"/>
  <c r="X3936" i="1" s="1"/>
  <c r="X3937" i="1" s="1"/>
  <c r="X3938" i="1" s="1"/>
  <c r="X3939" i="1" s="1"/>
  <c r="X3940" i="1" s="1"/>
  <c r="X3941" i="1" s="1"/>
  <c r="X3942" i="1" s="1"/>
  <c r="X3943" i="1" s="1"/>
  <c r="X3944" i="1" s="1"/>
  <c r="X3945" i="1" s="1"/>
  <c r="X3946" i="1" s="1"/>
  <c r="X3947" i="1" s="1"/>
  <c r="X3948" i="1" s="1"/>
  <c r="X3949" i="1" s="1"/>
  <c r="X3950" i="1" s="1"/>
  <c r="X3951" i="1" s="1"/>
  <c r="X3952" i="1" s="1"/>
  <c r="X3953" i="1" s="1"/>
  <c r="X3954" i="1" s="1"/>
  <c r="X3955" i="1" s="1"/>
  <c r="X3956" i="1" s="1"/>
  <c r="X3957" i="1" s="1"/>
  <c r="X3958" i="1" s="1"/>
  <c r="X3959" i="1" s="1"/>
  <c r="X3960" i="1" s="1"/>
  <c r="X3961" i="1" s="1"/>
  <c r="X3962" i="1" s="1"/>
  <c r="X3963" i="1" s="1"/>
  <c r="X3964" i="1" s="1"/>
  <c r="X3965" i="1" s="1"/>
  <c r="X3966" i="1" s="1"/>
  <c r="X3967" i="1" s="1"/>
  <c r="X3968" i="1" s="1"/>
  <c r="X3969" i="1" s="1"/>
  <c r="X3970" i="1" s="1"/>
  <c r="X3971" i="1" s="1"/>
  <c r="X3972" i="1" s="1"/>
  <c r="X3973" i="1" s="1"/>
  <c r="X3974" i="1" s="1"/>
  <c r="X3975" i="1" s="1"/>
  <c r="X3976" i="1" s="1"/>
  <c r="X3977" i="1" s="1"/>
  <c r="X3978" i="1" s="1"/>
  <c r="X3979" i="1" s="1"/>
  <c r="X3980" i="1" s="1"/>
  <c r="X3981" i="1" s="1"/>
  <c r="X3982" i="1" s="1"/>
  <c r="X3983" i="1" s="1"/>
  <c r="X3984" i="1" s="1"/>
  <c r="X3985" i="1" s="1"/>
  <c r="X3986" i="1" s="1"/>
  <c r="X3987" i="1" s="1"/>
  <c r="X3988" i="1" s="1"/>
  <c r="X3989" i="1" s="1"/>
  <c r="X3990" i="1" s="1"/>
  <c r="X3991" i="1" s="1"/>
  <c r="X3992" i="1" s="1"/>
  <c r="X3993" i="1" s="1"/>
  <c r="X3994" i="1" s="1"/>
  <c r="X3995" i="1" s="1"/>
  <c r="X3996" i="1" s="1"/>
  <c r="X3997" i="1" s="1"/>
  <c r="X3998" i="1" s="1"/>
  <c r="X3999" i="1" s="1"/>
  <c r="X4000" i="1" s="1"/>
  <c r="X4001" i="1" s="1"/>
  <c r="X4002" i="1" s="1"/>
  <c r="X4003" i="1" s="1"/>
  <c r="X4004" i="1" s="1"/>
  <c r="X4005" i="1" s="1"/>
  <c r="X4006" i="1" s="1"/>
  <c r="X4007" i="1" s="1"/>
  <c r="X4008" i="1" s="1"/>
  <c r="X4009" i="1" s="1"/>
  <c r="X4010" i="1" s="1"/>
  <c r="X4011" i="1" s="1"/>
  <c r="X4012" i="1" s="1"/>
  <c r="X4013" i="1" s="1"/>
  <c r="X4014" i="1" s="1"/>
  <c r="X4015" i="1" s="1"/>
  <c r="X4016" i="1" s="1"/>
  <c r="X4017" i="1" s="1"/>
  <c r="X4018" i="1" s="1"/>
  <c r="X4019" i="1" s="1"/>
  <c r="X4020" i="1" s="1"/>
  <c r="X4021" i="1" s="1"/>
  <c r="X4022" i="1" s="1"/>
  <c r="X4023" i="1" s="1"/>
  <c r="X4024" i="1" s="1"/>
  <c r="X4025" i="1" s="1"/>
  <c r="X4026" i="1" s="1"/>
  <c r="X4027" i="1" s="1"/>
  <c r="X4028" i="1" s="1"/>
  <c r="X4029" i="1" s="1"/>
  <c r="X4030" i="1" s="1"/>
  <c r="X4031" i="1" s="1"/>
  <c r="X4032" i="1" s="1"/>
  <c r="X4033" i="1" s="1"/>
  <c r="X4034" i="1" s="1"/>
  <c r="X4035" i="1" s="1"/>
  <c r="X4036" i="1" s="1"/>
  <c r="X4037" i="1" s="1"/>
  <c r="X4038" i="1" s="1"/>
  <c r="X4039" i="1" s="1"/>
  <c r="X4040" i="1" s="1"/>
  <c r="X4041" i="1" s="1"/>
  <c r="X4042" i="1" s="1"/>
  <c r="X4043" i="1" s="1"/>
  <c r="X4044" i="1" s="1"/>
  <c r="X4045" i="1" s="1"/>
  <c r="X4046" i="1" s="1"/>
  <c r="X4047" i="1" s="1"/>
  <c r="X4048" i="1" s="1"/>
  <c r="X4049" i="1" s="1"/>
  <c r="X4050" i="1" s="1"/>
  <c r="X4051" i="1" s="1"/>
  <c r="X4052" i="1" s="1"/>
  <c r="X4053" i="1" s="1"/>
  <c r="X4054" i="1" s="1"/>
  <c r="X4055" i="1" s="1"/>
  <c r="X4056" i="1" s="1"/>
  <c r="X4057" i="1" s="1"/>
  <c r="X4058" i="1" s="1"/>
  <c r="X4059" i="1" s="1"/>
  <c r="X4060" i="1" s="1"/>
  <c r="X4061" i="1" s="1"/>
  <c r="X4062" i="1" s="1"/>
  <c r="X4063" i="1" s="1"/>
  <c r="X4064" i="1" s="1"/>
  <c r="X4065" i="1" s="1"/>
  <c r="X4066" i="1" s="1"/>
  <c r="X4067" i="1" s="1"/>
  <c r="X4068" i="1" s="1"/>
  <c r="X4069" i="1" s="1"/>
  <c r="X4070" i="1" s="1"/>
  <c r="X4071" i="1" s="1"/>
  <c r="X4072" i="1" s="1"/>
  <c r="X4073" i="1" s="1"/>
  <c r="X4074" i="1" s="1"/>
  <c r="X4075" i="1" s="1"/>
  <c r="X4076" i="1" s="1"/>
  <c r="X4077" i="1" s="1"/>
  <c r="X4078" i="1" s="1"/>
  <c r="X4079" i="1" s="1"/>
  <c r="X4080" i="1" s="1"/>
  <c r="X4081" i="1" s="1"/>
  <c r="X4082" i="1" s="1"/>
  <c r="X4083" i="1" s="1"/>
  <c r="X4084" i="1" s="1"/>
  <c r="X4085" i="1" s="1"/>
  <c r="X4086" i="1" s="1"/>
  <c r="X4087" i="1" s="1"/>
  <c r="X4088" i="1" s="1"/>
  <c r="X4089" i="1" s="1"/>
  <c r="X4090" i="1" s="1"/>
  <c r="X4091" i="1" s="1"/>
  <c r="X4092" i="1" s="1"/>
  <c r="X4093" i="1" s="1"/>
  <c r="X4094" i="1" s="1"/>
  <c r="X4095" i="1" s="1"/>
  <c r="X4096" i="1" s="1"/>
  <c r="X4097" i="1" s="1"/>
  <c r="X4098" i="1" s="1"/>
  <c r="X4099" i="1" s="1"/>
  <c r="X4100" i="1" s="1"/>
  <c r="X4101" i="1" s="1"/>
  <c r="X4102" i="1" s="1"/>
  <c r="X4103" i="1" s="1"/>
  <c r="X4104" i="1" s="1"/>
  <c r="X4105" i="1" s="1"/>
  <c r="X4106" i="1" s="1"/>
  <c r="X4107" i="1" s="1"/>
  <c r="X4108" i="1" s="1"/>
  <c r="X4109" i="1" s="1"/>
  <c r="X4110" i="1" s="1"/>
  <c r="X4111" i="1" s="1"/>
  <c r="X4112" i="1" s="1"/>
  <c r="X4113" i="1" s="1"/>
  <c r="X4114" i="1" s="1"/>
  <c r="X4115" i="1" s="1"/>
  <c r="X4116" i="1" s="1"/>
  <c r="X4117" i="1" s="1"/>
  <c r="X4118" i="1" s="1"/>
  <c r="X4119" i="1" s="1"/>
  <c r="X4120" i="1" s="1"/>
  <c r="X4121" i="1" s="1"/>
  <c r="X4122" i="1" s="1"/>
  <c r="X4123" i="1" s="1"/>
  <c r="X4124" i="1" s="1"/>
  <c r="X4125" i="1" s="1"/>
  <c r="X4126" i="1" s="1"/>
  <c r="X4127" i="1" s="1"/>
  <c r="X4128" i="1" s="1"/>
  <c r="X4129" i="1" s="1"/>
  <c r="X4130" i="1" s="1"/>
  <c r="X4131" i="1" s="1"/>
  <c r="X4132" i="1" s="1"/>
  <c r="X4133" i="1" s="1"/>
  <c r="X4134" i="1" s="1"/>
  <c r="X4135" i="1" s="1"/>
  <c r="X4136" i="1" s="1"/>
  <c r="X4137" i="1" s="1"/>
  <c r="X4138" i="1" s="1"/>
  <c r="X4139" i="1" s="1"/>
  <c r="X4140" i="1" s="1"/>
  <c r="X4141" i="1" s="1"/>
  <c r="X4142" i="1" s="1"/>
  <c r="X4143" i="1" s="1"/>
  <c r="X4144" i="1" s="1"/>
  <c r="X4145" i="1" s="1"/>
  <c r="X4146" i="1" s="1"/>
  <c r="X4147" i="1" s="1"/>
  <c r="X4148" i="1" s="1"/>
  <c r="X4149" i="1" s="1"/>
  <c r="X4150" i="1" s="1"/>
  <c r="X4151" i="1" s="1"/>
  <c r="X4152" i="1" s="1"/>
  <c r="X4153" i="1" s="1"/>
  <c r="X4154" i="1" s="1"/>
  <c r="X4155" i="1" s="1"/>
  <c r="X4156" i="1" s="1"/>
  <c r="X4157" i="1" s="1"/>
  <c r="X4158" i="1" s="1"/>
  <c r="X4159" i="1" s="1"/>
  <c r="X4160" i="1" s="1"/>
  <c r="X4161" i="1" s="1"/>
  <c r="X4162" i="1" s="1"/>
  <c r="X4163" i="1" s="1"/>
  <c r="X4164" i="1" s="1"/>
  <c r="X4165" i="1" s="1"/>
  <c r="X4166" i="1" s="1"/>
  <c r="X4167" i="1" s="1"/>
  <c r="X4168" i="1" s="1"/>
  <c r="X4169" i="1" s="1"/>
  <c r="X4170" i="1" s="1"/>
  <c r="X4171" i="1" s="1"/>
  <c r="X4172" i="1" s="1"/>
  <c r="X4173" i="1" s="1"/>
  <c r="X4174" i="1" s="1"/>
  <c r="X4175" i="1" s="1"/>
  <c r="X4176" i="1" s="1"/>
  <c r="X4177" i="1" s="1"/>
  <c r="X4178" i="1" s="1"/>
  <c r="X4179" i="1" s="1"/>
  <c r="X4180" i="1" s="1"/>
  <c r="X4181" i="1" s="1"/>
  <c r="X4182" i="1" s="1"/>
  <c r="X4183" i="1" s="1"/>
  <c r="X4184" i="1" s="1"/>
  <c r="X4185" i="1" s="1"/>
  <c r="X4186" i="1" s="1"/>
  <c r="X4187" i="1" s="1"/>
  <c r="X4188" i="1" s="1"/>
  <c r="X4189" i="1" s="1"/>
  <c r="X4190" i="1" s="1"/>
  <c r="X4191" i="1" s="1"/>
  <c r="X4192" i="1" s="1"/>
  <c r="X4193" i="1" s="1"/>
  <c r="X4194" i="1" s="1"/>
  <c r="X4195" i="1" s="1"/>
  <c r="X4196" i="1" s="1"/>
  <c r="X4197" i="1" s="1"/>
  <c r="X4198" i="1" s="1"/>
  <c r="X4199" i="1" s="1"/>
  <c r="X4200" i="1" s="1"/>
  <c r="X4201" i="1" s="1"/>
  <c r="X4202" i="1" s="1"/>
  <c r="X4203" i="1" s="1"/>
  <c r="X4204" i="1" s="1"/>
  <c r="X4205" i="1" s="1"/>
  <c r="X4206" i="1" s="1"/>
  <c r="X4207" i="1" s="1"/>
  <c r="X4208" i="1" s="1"/>
  <c r="X4209" i="1" s="1"/>
  <c r="X4210" i="1" s="1"/>
  <c r="X4211" i="1" s="1"/>
  <c r="X4212" i="1" s="1"/>
  <c r="X4213" i="1" s="1"/>
  <c r="X4214" i="1" s="1"/>
  <c r="X4215" i="1" s="1"/>
  <c r="X4216" i="1" s="1"/>
  <c r="X4217" i="1" s="1"/>
  <c r="X4218" i="1" s="1"/>
  <c r="X4219" i="1" s="1"/>
  <c r="X4220" i="1" s="1"/>
  <c r="X4221" i="1" s="1"/>
  <c r="X4222" i="1" s="1"/>
  <c r="X4223" i="1" s="1"/>
  <c r="X4224" i="1" s="1"/>
  <c r="X4225" i="1" s="1"/>
  <c r="X4226" i="1" s="1"/>
  <c r="X4227" i="1" s="1"/>
  <c r="X4228" i="1" s="1"/>
  <c r="X4229" i="1" s="1"/>
  <c r="X4230" i="1" s="1"/>
  <c r="X4231" i="1" s="1"/>
  <c r="X4232" i="1" s="1"/>
  <c r="X4233" i="1" s="1"/>
  <c r="X4234" i="1" s="1"/>
  <c r="X4235" i="1" s="1"/>
  <c r="X4236" i="1" s="1"/>
  <c r="X4237" i="1" s="1"/>
  <c r="X4238" i="1" s="1"/>
  <c r="X4239" i="1" s="1"/>
  <c r="X4240" i="1" s="1"/>
  <c r="X4241" i="1" s="1"/>
  <c r="X4242" i="1" s="1"/>
  <c r="X4243" i="1" s="1"/>
  <c r="X4244" i="1" s="1"/>
  <c r="X4245" i="1" s="1"/>
  <c r="X4246" i="1" s="1"/>
  <c r="X4247" i="1" s="1"/>
  <c r="X4248" i="1" s="1"/>
  <c r="X4249" i="1" s="1"/>
  <c r="X4250" i="1" s="1"/>
  <c r="X4251" i="1" s="1"/>
  <c r="X4252" i="1" s="1"/>
  <c r="X4253" i="1" s="1"/>
  <c r="X4254" i="1" s="1"/>
  <c r="X4255" i="1" s="1"/>
  <c r="X4256" i="1" s="1"/>
  <c r="X4257" i="1" s="1"/>
  <c r="X4258" i="1" s="1"/>
  <c r="X4259" i="1" s="1"/>
  <c r="X4260" i="1" s="1"/>
  <c r="X4261" i="1" s="1"/>
  <c r="X4262" i="1" s="1"/>
  <c r="X4263" i="1" s="1"/>
  <c r="X4264" i="1" s="1"/>
  <c r="X4265" i="1" s="1"/>
  <c r="X4266" i="1" s="1"/>
  <c r="X4267" i="1" s="1"/>
  <c r="X4268" i="1" s="1"/>
  <c r="X4269" i="1" s="1"/>
  <c r="X4270" i="1" s="1"/>
  <c r="X4271" i="1" s="1"/>
  <c r="X4272" i="1" s="1"/>
  <c r="X4273" i="1" s="1"/>
  <c r="X4274" i="1" s="1"/>
  <c r="X4275" i="1" s="1"/>
  <c r="X4276" i="1" s="1"/>
  <c r="X4277" i="1" s="1"/>
  <c r="X4278" i="1" s="1"/>
  <c r="X4279" i="1" s="1"/>
  <c r="X4280" i="1" s="1"/>
  <c r="X4281" i="1" s="1"/>
  <c r="X4282" i="1" s="1"/>
  <c r="X4283" i="1" s="1"/>
  <c r="X4284" i="1" s="1"/>
  <c r="X4285" i="1" s="1"/>
  <c r="X4286" i="1" s="1"/>
  <c r="X4287" i="1" s="1"/>
  <c r="X4288" i="1" s="1"/>
  <c r="X4289" i="1" s="1"/>
  <c r="X4290" i="1" s="1"/>
  <c r="X4291" i="1" s="1"/>
  <c r="X4292" i="1" s="1"/>
  <c r="X4293" i="1" s="1"/>
  <c r="X4294" i="1" s="1"/>
  <c r="X4295" i="1" s="1"/>
  <c r="X4296" i="1" s="1"/>
  <c r="X4297" i="1" s="1"/>
  <c r="X4298" i="1" s="1"/>
  <c r="X4299" i="1" s="1"/>
  <c r="X4300" i="1" s="1"/>
  <c r="X4301" i="1" s="1"/>
  <c r="X4302" i="1" s="1"/>
  <c r="X4303" i="1" s="1"/>
  <c r="X4304" i="1" s="1"/>
  <c r="X4305" i="1" s="1"/>
  <c r="X4306" i="1" s="1"/>
  <c r="X4307" i="1" s="1"/>
  <c r="X4308" i="1" s="1"/>
  <c r="X4309" i="1" s="1"/>
  <c r="X4310" i="1" s="1"/>
  <c r="X4311" i="1" s="1"/>
  <c r="X4312" i="1" s="1"/>
  <c r="X4313" i="1" s="1"/>
  <c r="X4314" i="1" s="1"/>
  <c r="X4315" i="1" s="1"/>
  <c r="X4316" i="1" s="1"/>
  <c r="X4317" i="1" s="1"/>
  <c r="X4318" i="1" s="1"/>
  <c r="X4319" i="1" s="1"/>
  <c r="X4320" i="1" s="1"/>
  <c r="X4321" i="1" s="1"/>
  <c r="X4322" i="1" s="1"/>
  <c r="X4323" i="1" s="1"/>
  <c r="X4324" i="1" s="1"/>
  <c r="X4325" i="1" s="1"/>
  <c r="X4326" i="1" s="1"/>
  <c r="X4327" i="1" s="1"/>
  <c r="X4328" i="1" s="1"/>
  <c r="X4329" i="1" s="1"/>
  <c r="X4330" i="1" s="1"/>
  <c r="X4331" i="1" s="1"/>
  <c r="X4332" i="1" s="1"/>
  <c r="X4333" i="1" s="1"/>
  <c r="X4334" i="1" s="1"/>
  <c r="X4335" i="1" s="1"/>
  <c r="X4336" i="1" s="1"/>
  <c r="X4337" i="1" s="1"/>
  <c r="X4338" i="1" s="1"/>
  <c r="X4339" i="1" s="1"/>
  <c r="X4340" i="1" s="1"/>
  <c r="X4341" i="1" s="1"/>
  <c r="X4342" i="1" s="1"/>
  <c r="X4343" i="1" s="1"/>
  <c r="X4344" i="1" s="1"/>
  <c r="X4345" i="1" s="1"/>
  <c r="X4346" i="1" s="1"/>
  <c r="X4347" i="1" s="1"/>
  <c r="X4348" i="1" s="1"/>
  <c r="X4349" i="1" s="1"/>
  <c r="X4350" i="1" s="1"/>
  <c r="X4351" i="1" s="1"/>
  <c r="X4352" i="1" s="1"/>
  <c r="X4353" i="1" s="1"/>
  <c r="X4354" i="1" s="1"/>
  <c r="X4355" i="1" s="1"/>
  <c r="X4356" i="1" s="1"/>
  <c r="X4357" i="1" s="1"/>
  <c r="X4358" i="1" s="1"/>
  <c r="X4359" i="1" s="1"/>
  <c r="X4360" i="1" s="1"/>
  <c r="X4361" i="1" s="1"/>
  <c r="X4362" i="1" s="1"/>
  <c r="X4363" i="1" s="1"/>
  <c r="X4364" i="1" s="1"/>
  <c r="X4365" i="1" s="1"/>
  <c r="X4366" i="1" s="1"/>
  <c r="X4367" i="1" s="1"/>
  <c r="X4368" i="1" s="1"/>
  <c r="X4369" i="1" s="1"/>
  <c r="X4370" i="1" s="1"/>
  <c r="X4371" i="1" s="1"/>
  <c r="X4372" i="1" s="1"/>
  <c r="X4373" i="1" s="1"/>
  <c r="X4374" i="1" s="1"/>
  <c r="X4375" i="1" s="1"/>
  <c r="X4376" i="1" s="1"/>
  <c r="X4377" i="1" s="1"/>
  <c r="X4378" i="1" s="1"/>
  <c r="X4379" i="1" s="1"/>
  <c r="X4380" i="1" s="1"/>
  <c r="X4381" i="1" s="1"/>
  <c r="X4382" i="1" s="1"/>
  <c r="X4383" i="1" s="1"/>
  <c r="X4384" i="1" s="1"/>
  <c r="X4385" i="1" s="1"/>
  <c r="X4386" i="1" s="1"/>
  <c r="X4387" i="1" s="1"/>
  <c r="X4388" i="1" s="1"/>
  <c r="X4389" i="1" s="1"/>
  <c r="X4390" i="1" s="1"/>
  <c r="X4391" i="1" s="1"/>
  <c r="X4392" i="1" s="1"/>
  <c r="X4393" i="1" s="1"/>
  <c r="X4394" i="1" s="1"/>
  <c r="X4395" i="1" s="1"/>
  <c r="X4396" i="1" s="1"/>
  <c r="X4397" i="1" s="1"/>
  <c r="X4398" i="1" s="1"/>
  <c r="X4399" i="1" s="1"/>
  <c r="X4400" i="1" s="1"/>
  <c r="X4401" i="1" s="1"/>
  <c r="X4402" i="1" s="1"/>
  <c r="X4403" i="1" s="1"/>
  <c r="X4404" i="1" s="1"/>
  <c r="X4405" i="1" s="1"/>
  <c r="X4406" i="1" s="1"/>
  <c r="X4407" i="1" s="1"/>
  <c r="X4408" i="1" s="1"/>
  <c r="X4409" i="1" s="1"/>
  <c r="X4410" i="1" s="1"/>
  <c r="X4411" i="1" s="1"/>
  <c r="X4412" i="1" s="1"/>
  <c r="X4413" i="1" s="1"/>
  <c r="X4414" i="1" s="1"/>
  <c r="X4415" i="1" s="1"/>
  <c r="X4416" i="1" s="1"/>
  <c r="X4417" i="1" s="1"/>
  <c r="X4418" i="1" s="1"/>
  <c r="X4419" i="1" s="1"/>
  <c r="X4420" i="1" s="1"/>
  <c r="X4421" i="1" s="1"/>
  <c r="X4422" i="1" s="1"/>
  <c r="X4423" i="1" s="1"/>
  <c r="X4424" i="1" s="1"/>
  <c r="X4425" i="1" s="1"/>
  <c r="X4426" i="1" s="1"/>
  <c r="X4427" i="1" s="1"/>
  <c r="X4428" i="1" s="1"/>
  <c r="X4429" i="1" s="1"/>
  <c r="X4430" i="1" s="1"/>
  <c r="X4431" i="1" s="1"/>
  <c r="X4432" i="1" s="1"/>
  <c r="X4433" i="1" s="1"/>
  <c r="X4434" i="1" s="1"/>
  <c r="X4435" i="1" s="1"/>
  <c r="X4436" i="1" s="1"/>
  <c r="X4437" i="1" s="1"/>
  <c r="X4438" i="1" s="1"/>
  <c r="X4439" i="1" s="1"/>
  <c r="X4440" i="1" s="1"/>
  <c r="X4441" i="1" s="1"/>
  <c r="X4442" i="1" s="1"/>
  <c r="X4443" i="1" s="1"/>
  <c r="X4444" i="1" s="1"/>
  <c r="X4445" i="1" s="1"/>
  <c r="X4446" i="1" s="1"/>
  <c r="X4447" i="1" s="1"/>
  <c r="X4448" i="1" s="1"/>
  <c r="X4449" i="1" s="1"/>
  <c r="X4450" i="1" s="1"/>
  <c r="X4451" i="1" s="1"/>
  <c r="X4452" i="1" s="1"/>
  <c r="X4453" i="1" s="1"/>
  <c r="X4454" i="1" s="1"/>
  <c r="X4455" i="1" s="1"/>
  <c r="X4456" i="1" s="1"/>
  <c r="X4457" i="1" s="1"/>
  <c r="X4458" i="1" s="1"/>
  <c r="X4459" i="1" s="1"/>
  <c r="X4460" i="1" s="1"/>
  <c r="X4461" i="1" s="1"/>
  <c r="X4462" i="1" s="1"/>
  <c r="X4463" i="1" s="1"/>
  <c r="X4464" i="1" s="1"/>
  <c r="X4465" i="1" s="1"/>
  <c r="X4466" i="1" s="1"/>
  <c r="X4467" i="1" s="1"/>
  <c r="X4468" i="1" s="1"/>
  <c r="X4469" i="1" s="1"/>
  <c r="X4470" i="1" s="1"/>
  <c r="X4471" i="1" s="1"/>
  <c r="X4472" i="1" s="1"/>
  <c r="X4473" i="1" s="1"/>
  <c r="X4474" i="1" s="1"/>
  <c r="X4475" i="1" s="1"/>
  <c r="X4476" i="1" s="1"/>
  <c r="X4477" i="1" s="1"/>
  <c r="X4478" i="1" s="1"/>
  <c r="X4479" i="1" s="1"/>
  <c r="X4480" i="1" s="1"/>
  <c r="X4481" i="1" s="1"/>
  <c r="X4482" i="1" s="1"/>
  <c r="X4483" i="1" s="1"/>
  <c r="X4484" i="1" s="1"/>
  <c r="X4485" i="1" s="1"/>
  <c r="X4486" i="1" s="1"/>
  <c r="X4487" i="1" s="1"/>
  <c r="X4488" i="1" s="1"/>
  <c r="X4489" i="1" s="1"/>
  <c r="X4490" i="1" s="1"/>
  <c r="X4491" i="1" s="1"/>
  <c r="X4492" i="1" s="1"/>
  <c r="X4493" i="1" s="1"/>
  <c r="X4494" i="1" s="1"/>
  <c r="X4495" i="1" s="1"/>
  <c r="X4496" i="1" s="1"/>
  <c r="X4497" i="1" s="1"/>
  <c r="X4498" i="1" s="1"/>
  <c r="X4499" i="1" s="1"/>
  <c r="X4500" i="1" s="1"/>
  <c r="X4501" i="1" s="1"/>
  <c r="X4502" i="1" s="1"/>
  <c r="X4503" i="1" s="1"/>
  <c r="X4504" i="1" s="1"/>
  <c r="X4505" i="1" s="1"/>
  <c r="X4506" i="1" s="1"/>
  <c r="X4507" i="1" s="1"/>
  <c r="X4508" i="1" s="1"/>
  <c r="X4509" i="1" s="1"/>
  <c r="X4510" i="1" s="1"/>
  <c r="X4511" i="1" s="1"/>
  <c r="X4512" i="1" s="1"/>
  <c r="X4513" i="1" s="1"/>
  <c r="X4514" i="1" s="1"/>
  <c r="X4515" i="1" s="1"/>
  <c r="X4516" i="1" s="1"/>
  <c r="X4517" i="1" s="1"/>
  <c r="X4518" i="1" s="1"/>
  <c r="X4519" i="1" s="1"/>
  <c r="X4520" i="1" s="1"/>
  <c r="X4521" i="1" s="1"/>
  <c r="X4522" i="1" s="1"/>
  <c r="X4523" i="1" s="1"/>
  <c r="X4524" i="1" s="1"/>
  <c r="X4525" i="1" s="1"/>
  <c r="X4526" i="1" s="1"/>
  <c r="X4527" i="1" s="1"/>
  <c r="X4528" i="1" s="1"/>
  <c r="X4529" i="1" s="1"/>
  <c r="X4530" i="1" s="1"/>
  <c r="X4531" i="1" s="1"/>
  <c r="X4532" i="1" s="1"/>
  <c r="X4533" i="1" s="1"/>
  <c r="X4534" i="1" s="1"/>
  <c r="X4535" i="1" s="1"/>
  <c r="X4536" i="1" s="1"/>
  <c r="X4537" i="1" s="1"/>
  <c r="X4538" i="1" s="1"/>
  <c r="X4539" i="1" s="1"/>
  <c r="X4540" i="1" s="1"/>
  <c r="X4541" i="1" s="1"/>
  <c r="X4542" i="1" s="1"/>
  <c r="X4543" i="1" s="1"/>
  <c r="X4544" i="1" s="1"/>
  <c r="X4545" i="1" s="1"/>
  <c r="X4546" i="1" s="1"/>
  <c r="X4547" i="1" s="1"/>
  <c r="X4548" i="1" s="1"/>
  <c r="X4549" i="1" s="1"/>
  <c r="X4550" i="1" s="1"/>
  <c r="X4551" i="1" s="1"/>
  <c r="X4552" i="1" s="1"/>
  <c r="X4553" i="1" s="1"/>
  <c r="X4554" i="1" s="1"/>
  <c r="X4555" i="1" s="1"/>
  <c r="X4556" i="1" s="1"/>
  <c r="X4557" i="1" s="1"/>
  <c r="X4558" i="1" s="1"/>
  <c r="X4559" i="1" s="1"/>
  <c r="X4560" i="1" s="1"/>
  <c r="X4561" i="1" s="1"/>
  <c r="X4562" i="1" s="1"/>
  <c r="X4563" i="1" s="1"/>
  <c r="X4564" i="1" s="1"/>
  <c r="X4565" i="1" s="1"/>
  <c r="X4566" i="1" s="1"/>
  <c r="X4567" i="1" s="1"/>
  <c r="X4568" i="1" s="1"/>
  <c r="X4569" i="1" s="1"/>
  <c r="X4570" i="1" s="1"/>
  <c r="X4571" i="1" s="1"/>
  <c r="X4572" i="1" s="1"/>
  <c r="X4573" i="1" s="1"/>
  <c r="X4574" i="1" s="1"/>
  <c r="X4575" i="1" s="1"/>
  <c r="X4576" i="1" s="1"/>
  <c r="X4577" i="1" s="1"/>
  <c r="X4578" i="1" s="1"/>
  <c r="X4579" i="1" s="1"/>
  <c r="X4580" i="1" s="1"/>
  <c r="X4581" i="1" s="1"/>
  <c r="X4582" i="1" s="1"/>
  <c r="X4583" i="1" s="1"/>
  <c r="X4584" i="1" s="1"/>
  <c r="X4585" i="1" s="1"/>
  <c r="X4586" i="1" s="1"/>
  <c r="X4587" i="1" s="1"/>
  <c r="X4588" i="1" s="1"/>
  <c r="X4589" i="1" s="1"/>
  <c r="X4590" i="1" s="1"/>
  <c r="X4591" i="1" s="1"/>
  <c r="X4592" i="1" s="1"/>
  <c r="X4593" i="1" s="1"/>
  <c r="X4594" i="1" s="1"/>
  <c r="X4595" i="1" s="1"/>
  <c r="X4596" i="1" s="1"/>
  <c r="X4597" i="1" s="1"/>
  <c r="X4598" i="1" s="1"/>
  <c r="X4599" i="1" s="1"/>
  <c r="X4600" i="1" s="1"/>
  <c r="X4601" i="1" s="1"/>
  <c r="X4602" i="1" s="1"/>
  <c r="X4603" i="1" s="1"/>
  <c r="X4604" i="1" s="1"/>
  <c r="X4605" i="1" s="1"/>
  <c r="X4606" i="1" s="1"/>
  <c r="X4607" i="1" s="1"/>
  <c r="X4608" i="1" s="1"/>
  <c r="X4609" i="1" s="1"/>
  <c r="X4610" i="1" s="1"/>
  <c r="X4611" i="1" s="1"/>
  <c r="X4612" i="1" s="1"/>
  <c r="X4613" i="1" s="1"/>
  <c r="X4614" i="1" s="1"/>
  <c r="X4615" i="1" s="1"/>
  <c r="X4616" i="1" s="1"/>
  <c r="X4617" i="1" s="1"/>
  <c r="X4618" i="1" s="1"/>
  <c r="X4619" i="1" s="1"/>
  <c r="X4620" i="1" s="1"/>
  <c r="X4621" i="1" s="1"/>
  <c r="X4622" i="1" s="1"/>
  <c r="X4623" i="1" s="1"/>
  <c r="X4624" i="1" s="1"/>
  <c r="X4625" i="1" s="1"/>
  <c r="X4626" i="1" s="1"/>
  <c r="X4627" i="1" s="1"/>
  <c r="X4628" i="1" s="1"/>
  <c r="X4629" i="1" s="1"/>
  <c r="X4630" i="1" s="1"/>
  <c r="X4631" i="1" s="1"/>
  <c r="X4632" i="1" s="1"/>
  <c r="X4633" i="1" s="1"/>
  <c r="X4634" i="1" s="1"/>
  <c r="X4635" i="1" s="1"/>
  <c r="X4636" i="1" s="1"/>
  <c r="X4637" i="1" s="1"/>
  <c r="X4638" i="1" s="1"/>
  <c r="X4639" i="1" s="1"/>
  <c r="X4640" i="1" s="1"/>
  <c r="X4641" i="1" s="1"/>
  <c r="X4642" i="1" s="1"/>
  <c r="X4643" i="1" s="1"/>
  <c r="X4644" i="1" s="1"/>
  <c r="X4645" i="1" s="1"/>
  <c r="X4646" i="1" s="1"/>
  <c r="X4647" i="1" s="1"/>
  <c r="X4648" i="1" s="1"/>
  <c r="X4649" i="1" s="1"/>
  <c r="X4650" i="1" s="1"/>
  <c r="X4651" i="1" s="1"/>
  <c r="X4652" i="1" s="1"/>
  <c r="X4653" i="1" s="1"/>
  <c r="X4654" i="1" s="1"/>
  <c r="X4655" i="1" s="1"/>
  <c r="X4656" i="1" s="1"/>
  <c r="X4657" i="1" s="1"/>
  <c r="X4658" i="1" s="1"/>
  <c r="X4659" i="1" s="1"/>
  <c r="X4660" i="1" s="1"/>
  <c r="X4661" i="1" s="1"/>
  <c r="X4662" i="1" s="1"/>
  <c r="X4663" i="1" s="1"/>
  <c r="X4664" i="1" s="1"/>
  <c r="X4665" i="1" s="1"/>
  <c r="X4666" i="1" s="1"/>
  <c r="X4667" i="1" s="1"/>
  <c r="X4668" i="1" s="1"/>
  <c r="X4669" i="1" s="1"/>
  <c r="X4670" i="1" s="1"/>
  <c r="X4671" i="1" s="1"/>
  <c r="X4672" i="1" s="1"/>
  <c r="X4673" i="1" s="1"/>
  <c r="X4674" i="1" s="1"/>
  <c r="X4675" i="1" s="1"/>
  <c r="X4676" i="1" s="1"/>
  <c r="X4677" i="1" s="1"/>
  <c r="X4678" i="1" s="1"/>
  <c r="X4679" i="1" s="1"/>
  <c r="X4680" i="1" s="1"/>
  <c r="X4681" i="1" s="1"/>
  <c r="X4682" i="1" s="1"/>
  <c r="X4683" i="1" s="1"/>
  <c r="X4684" i="1" s="1"/>
  <c r="X4685" i="1" s="1"/>
  <c r="X4686" i="1" s="1"/>
  <c r="X4687" i="1" s="1"/>
  <c r="X4688" i="1" s="1"/>
  <c r="X4689" i="1" s="1"/>
  <c r="X4690" i="1" s="1"/>
  <c r="X4691" i="1" s="1"/>
  <c r="X4692" i="1" s="1"/>
  <c r="X4693" i="1" s="1"/>
  <c r="X4694" i="1" s="1"/>
  <c r="X4695" i="1" s="1"/>
  <c r="X4696" i="1" s="1"/>
  <c r="X4697" i="1" s="1"/>
  <c r="X4698" i="1" s="1"/>
  <c r="X4699" i="1" s="1"/>
  <c r="X4700" i="1" s="1"/>
  <c r="X4701" i="1" s="1"/>
  <c r="X4702" i="1" s="1"/>
  <c r="X4703" i="1" s="1"/>
  <c r="X4704" i="1" s="1"/>
  <c r="X4705" i="1" s="1"/>
  <c r="X4706" i="1" s="1"/>
  <c r="X4707" i="1" s="1"/>
  <c r="X4708" i="1" s="1"/>
  <c r="X4709" i="1" s="1"/>
  <c r="X4710" i="1" s="1"/>
  <c r="X4711" i="1" s="1"/>
  <c r="X4712" i="1" s="1"/>
  <c r="X4713" i="1" s="1"/>
  <c r="X4714" i="1" s="1"/>
  <c r="X4715" i="1" s="1"/>
  <c r="X4716" i="1" s="1"/>
  <c r="X4717" i="1" s="1"/>
  <c r="X4718" i="1" s="1"/>
  <c r="X4719" i="1" s="1"/>
  <c r="X4720" i="1" s="1"/>
  <c r="X4721" i="1" s="1"/>
  <c r="X4722" i="1" s="1"/>
  <c r="X4723" i="1" s="1"/>
  <c r="X4724" i="1" s="1"/>
  <c r="X4725" i="1" s="1"/>
  <c r="X4726" i="1" s="1"/>
  <c r="X4727" i="1" s="1"/>
  <c r="X4728" i="1" s="1"/>
  <c r="X4729" i="1" s="1"/>
  <c r="X4730" i="1" s="1"/>
  <c r="X4731" i="1" s="1"/>
  <c r="X4732" i="1" s="1"/>
  <c r="X4733" i="1" s="1"/>
  <c r="X4734" i="1" s="1"/>
  <c r="X4735" i="1" s="1"/>
  <c r="X4736" i="1" s="1"/>
  <c r="X4737" i="1" s="1"/>
  <c r="X4738" i="1" s="1"/>
  <c r="X4739" i="1" s="1"/>
  <c r="X4740" i="1" s="1"/>
  <c r="X4741" i="1" s="1"/>
  <c r="X4742" i="1" s="1"/>
  <c r="X4743" i="1" s="1"/>
  <c r="X4744" i="1" s="1"/>
  <c r="X4745" i="1" s="1"/>
  <c r="X4746" i="1" s="1"/>
  <c r="X4747" i="1" s="1"/>
  <c r="X4748" i="1" s="1"/>
  <c r="X4749" i="1" s="1"/>
  <c r="X4750" i="1" s="1"/>
  <c r="X4751" i="1" s="1"/>
  <c r="X4752" i="1" s="1"/>
  <c r="X4753" i="1" s="1"/>
  <c r="X4754" i="1" s="1"/>
  <c r="X4755" i="1" s="1"/>
  <c r="X4756" i="1" s="1"/>
  <c r="X4757" i="1" s="1"/>
  <c r="X4758" i="1" s="1"/>
  <c r="X4759" i="1" s="1"/>
  <c r="X4760" i="1" s="1"/>
  <c r="X4761" i="1" s="1"/>
  <c r="X4762" i="1" s="1"/>
  <c r="X4763" i="1" s="1"/>
  <c r="X4764" i="1" s="1"/>
  <c r="X4765" i="1" s="1"/>
  <c r="X4766" i="1" s="1"/>
  <c r="X4767" i="1" s="1"/>
  <c r="X4768" i="1" s="1"/>
  <c r="X4769" i="1" s="1"/>
  <c r="X4770" i="1" s="1"/>
  <c r="X4771" i="1" s="1"/>
  <c r="X4772" i="1" s="1"/>
  <c r="X4773" i="1" s="1"/>
  <c r="X4774" i="1" s="1"/>
  <c r="X4775" i="1" s="1"/>
  <c r="X4776" i="1" s="1"/>
  <c r="X4777" i="1" s="1"/>
  <c r="X4778" i="1" s="1"/>
  <c r="X4779" i="1" s="1"/>
  <c r="X4780" i="1" s="1"/>
  <c r="X4781" i="1" s="1"/>
  <c r="X4782" i="1" s="1"/>
  <c r="X4783" i="1" s="1"/>
  <c r="X4784" i="1" s="1"/>
  <c r="X4785" i="1" s="1"/>
  <c r="X4786" i="1" s="1"/>
  <c r="X4787" i="1" s="1"/>
  <c r="X4788" i="1" s="1"/>
  <c r="X4789" i="1" s="1"/>
  <c r="X4790" i="1" s="1"/>
  <c r="X4791" i="1" s="1"/>
  <c r="X4792" i="1" s="1"/>
  <c r="X4793" i="1" s="1"/>
  <c r="X4794" i="1" s="1"/>
  <c r="X4795" i="1" s="1"/>
  <c r="X4796" i="1" s="1"/>
  <c r="X4797" i="1" s="1"/>
  <c r="X4798" i="1" s="1"/>
  <c r="X4799" i="1" s="1"/>
  <c r="X4800" i="1" s="1"/>
  <c r="X4801" i="1" s="1"/>
  <c r="X4802" i="1" s="1"/>
  <c r="X4803" i="1" s="1"/>
  <c r="X4804" i="1" s="1"/>
  <c r="X4805" i="1" s="1"/>
  <c r="X4806" i="1" s="1"/>
  <c r="X4807" i="1" s="1"/>
  <c r="X4808" i="1" s="1"/>
  <c r="X4809" i="1" s="1"/>
  <c r="X4810" i="1" s="1"/>
  <c r="X4811" i="1" s="1"/>
  <c r="X4812" i="1" s="1"/>
  <c r="X4813" i="1" s="1"/>
  <c r="X4814" i="1" s="1"/>
  <c r="X4815" i="1" s="1"/>
  <c r="X4816" i="1" s="1"/>
  <c r="X4817" i="1" s="1"/>
  <c r="X4818" i="1" s="1"/>
  <c r="X4819" i="1" s="1"/>
  <c r="X4820" i="1" s="1"/>
  <c r="X4821" i="1" s="1"/>
  <c r="X4822" i="1" s="1"/>
  <c r="X4823" i="1" s="1"/>
  <c r="X4824" i="1" s="1"/>
  <c r="X4825" i="1" s="1"/>
  <c r="X4826" i="1" s="1"/>
  <c r="X4827" i="1" s="1"/>
  <c r="X4828" i="1" s="1"/>
  <c r="X4829" i="1" s="1"/>
  <c r="X4830" i="1" s="1"/>
  <c r="X4831" i="1" s="1"/>
  <c r="X4832" i="1" s="1"/>
  <c r="X4833" i="1" s="1"/>
  <c r="X4834" i="1" s="1"/>
  <c r="X4835" i="1" s="1"/>
  <c r="X4836" i="1" s="1"/>
  <c r="X4837" i="1" s="1"/>
  <c r="X4838" i="1" s="1"/>
  <c r="X4839" i="1" s="1"/>
  <c r="X4840" i="1" s="1"/>
  <c r="X4841" i="1" s="1"/>
  <c r="X4842" i="1" s="1"/>
  <c r="X4843" i="1" s="1"/>
  <c r="X4844" i="1" s="1"/>
  <c r="X4845" i="1" s="1"/>
  <c r="X4846" i="1" s="1"/>
  <c r="X4847" i="1" s="1"/>
  <c r="X4848" i="1" s="1"/>
  <c r="X4849" i="1" s="1"/>
  <c r="X4850" i="1" s="1"/>
  <c r="X4851" i="1" s="1"/>
  <c r="X4852" i="1" s="1"/>
  <c r="X4853" i="1" s="1"/>
  <c r="X4854" i="1" s="1"/>
  <c r="X4855" i="1" s="1"/>
  <c r="X4856" i="1" s="1"/>
  <c r="X4857" i="1" s="1"/>
  <c r="X4858" i="1" s="1"/>
  <c r="X4859" i="1" s="1"/>
  <c r="X4860" i="1" s="1"/>
  <c r="X4861" i="1" s="1"/>
  <c r="X4862" i="1" s="1"/>
  <c r="X4863" i="1" s="1"/>
  <c r="X4864" i="1" s="1"/>
  <c r="X4865" i="1" s="1"/>
  <c r="X4866" i="1" s="1"/>
  <c r="X4867" i="1" s="1"/>
  <c r="X4868" i="1" s="1"/>
  <c r="X4869" i="1" s="1"/>
  <c r="X4870" i="1" s="1"/>
  <c r="X4871" i="1" s="1"/>
  <c r="X4872" i="1" s="1"/>
  <c r="X4873" i="1" s="1"/>
  <c r="X4874" i="1" s="1"/>
  <c r="X4875" i="1" s="1"/>
  <c r="X4876" i="1" s="1"/>
  <c r="X4877" i="1" s="1"/>
  <c r="X4878" i="1" s="1"/>
  <c r="X4879" i="1" s="1"/>
  <c r="X4880" i="1" s="1"/>
  <c r="X4881" i="1" s="1"/>
  <c r="X4882" i="1" s="1"/>
  <c r="X4883" i="1" s="1"/>
  <c r="X4884" i="1" s="1"/>
  <c r="X4885" i="1" s="1"/>
  <c r="X4886" i="1" s="1"/>
  <c r="X4887" i="1" s="1"/>
  <c r="X4888" i="1" s="1"/>
  <c r="X4889" i="1" s="1"/>
  <c r="X4890" i="1" s="1"/>
  <c r="X4891" i="1" s="1"/>
  <c r="X4892" i="1" s="1"/>
  <c r="X4893" i="1" s="1"/>
  <c r="X4894" i="1" s="1"/>
  <c r="X4895" i="1" s="1"/>
  <c r="X4896" i="1" s="1"/>
  <c r="X4897" i="1" s="1"/>
  <c r="X4898" i="1" s="1"/>
  <c r="X4899" i="1" s="1"/>
  <c r="X4900" i="1" s="1"/>
  <c r="X4901" i="1" s="1"/>
  <c r="X4902" i="1" s="1"/>
  <c r="X4903" i="1" s="1"/>
  <c r="X4904" i="1" s="1"/>
  <c r="X4905" i="1" s="1"/>
  <c r="X4906" i="1" s="1"/>
  <c r="X4907" i="1" s="1"/>
  <c r="X4908" i="1" s="1"/>
  <c r="X4909" i="1" s="1"/>
  <c r="X4910" i="1" s="1"/>
  <c r="X4911" i="1" s="1"/>
  <c r="X4912" i="1" s="1"/>
  <c r="X4913" i="1" s="1"/>
  <c r="X4914" i="1" s="1"/>
  <c r="X4915" i="1" s="1"/>
  <c r="X4916" i="1" s="1"/>
  <c r="X4917" i="1" s="1"/>
  <c r="X4918" i="1" s="1"/>
  <c r="X4919" i="1" s="1"/>
  <c r="X4920" i="1" s="1"/>
  <c r="X4921" i="1" s="1"/>
  <c r="X4922" i="1" s="1"/>
  <c r="X4923" i="1" s="1"/>
  <c r="X4924" i="1" s="1"/>
  <c r="X4925" i="1" s="1"/>
  <c r="X4926" i="1" s="1"/>
  <c r="X4927" i="1" s="1"/>
  <c r="X4928" i="1" s="1"/>
  <c r="X4929" i="1" s="1"/>
  <c r="X4930" i="1" s="1"/>
  <c r="X4931" i="1" s="1"/>
  <c r="X4932" i="1" s="1"/>
  <c r="X4933" i="1" s="1"/>
  <c r="X4934" i="1" s="1"/>
  <c r="X4935" i="1" s="1"/>
  <c r="X4936" i="1" s="1"/>
  <c r="X4937" i="1" s="1"/>
  <c r="X4938" i="1" s="1"/>
  <c r="X4939" i="1" s="1"/>
  <c r="X4940" i="1" s="1"/>
  <c r="X4941" i="1" s="1"/>
  <c r="X4942" i="1" s="1"/>
  <c r="X4943" i="1" s="1"/>
  <c r="X4944" i="1" s="1"/>
  <c r="X4945" i="1" s="1"/>
  <c r="X4946" i="1" s="1"/>
  <c r="X4947" i="1" s="1"/>
  <c r="X4948" i="1" s="1"/>
  <c r="X4949" i="1" s="1"/>
  <c r="X4950" i="1" s="1"/>
  <c r="X4951" i="1" s="1"/>
  <c r="X4952" i="1" s="1"/>
  <c r="X4953" i="1" s="1"/>
  <c r="X4954" i="1" s="1"/>
  <c r="X4955" i="1" s="1"/>
  <c r="X4956" i="1" s="1"/>
  <c r="X4957" i="1" s="1"/>
  <c r="X4958" i="1" s="1"/>
  <c r="X4959" i="1" s="1"/>
  <c r="X4960" i="1" s="1"/>
  <c r="X4961" i="1" s="1"/>
  <c r="X4962" i="1" s="1"/>
  <c r="X4963" i="1" s="1"/>
  <c r="X4964" i="1" s="1"/>
  <c r="X4965" i="1" s="1"/>
  <c r="X4966" i="1" s="1"/>
  <c r="X4967" i="1" s="1"/>
  <c r="X4968" i="1" s="1"/>
  <c r="X4969" i="1" s="1"/>
  <c r="X4970" i="1" s="1"/>
  <c r="X4971" i="1" s="1"/>
  <c r="X4972" i="1" s="1"/>
  <c r="X4973" i="1" s="1"/>
  <c r="X4974" i="1" s="1"/>
  <c r="X4975" i="1" s="1"/>
  <c r="X4976" i="1" s="1"/>
  <c r="X4977" i="1" s="1"/>
  <c r="X4978" i="1" s="1"/>
  <c r="X4979" i="1" s="1"/>
  <c r="X4980" i="1" s="1"/>
  <c r="X4981" i="1" s="1"/>
  <c r="X4982" i="1" s="1"/>
  <c r="X4983" i="1" s="1"/>
  <c r="X4984" i="1" s="1"/>
  <c r="X4985" i="1" s="1"/>
  <c r="X4986" i="1" s="1"/>
  <c r="X4987" i="1" s="1"/>
  <c r="X4988" i="1" s="1"/>
  <c r="X4989" i="1" s="1"/>
  <c r="X4990" i="1" s="1"/>
  <c r="X4991" i="1" s="1"/>
  <c r="X4992" i="1" s="1"/>
  <c r="X4993" i="1" s="1"/>
  <c r="X4994" i="1" s="1"/>
  <c r="X4995" i="1" s="1"/>
  <c r="X4996" i="1" s="1"/>
  <c r="X4997" i="1" s="1"/>
  <c r="X4998" i="1" s="1"/>
  <c r="X4999" i="1" s="1"/>
  <c r="X5000" i="1" s="1"/>
  <c r="X5001" i="1" s="1"/>
  <c r="X5002" i="1" s="1"/>
  <c r="X5003" i="1" s="1"/>
  <c r="X5004" i="1" s="1"/>
  <c r="X5005" i="1" s="1"/>
  <c r="X5006" i="1" s="1"/>
  <c r="X5007" i="1" s="1"/>
  <c r="X5008" i="1" s="1"/>
  <c r="X5009" i="1" s="1"/>
  <c r="X5010" i="1" s="1"/>
  <c r="X5011" i="1" s="1"/>
  <c r="X5012" i="1" s="1"/>
  <c r="X5013" i="1" s="1"/>
  <c r="X5014" i="1" s="1"/>
  <c r="X5015" i="1" s="1"/>
  <c r="X5016" i="1" s="1"/>
  <c r="X5017" i="1" s="1"/>
  <c r="X5018" i="1" s="1"/>
  <c r="X5019" i="1" s="1"/>
  <c r="X5020" i="1" s="1"/>
  <c r="X5021" i="1" s="1"/>
  <c r="X5022" i="1" s="1"/>
  <c r="X5023" i="1" s="1"/>
  <c r="X5024" i="1" s="1"/>
  <c r="X5025" i="1" s="1"/>
  <c r="X5026" i="1" s="1"/>
  <c r="X5027" i="1" s="1"/>
  <c r="X5028" i="1" s="1"/>
  <c r="X5029" i="1" s="1"/>
  <c r="X5030" i="1" s="1"/>
  <c r="X5031" i="1" s="1"/>
  <c r="X5032" i="1" s="1"/>
  <c r="X5033" i="1" s="1"/>
  <c r="X5034" i="1" s="1"/>
  <c r="X5035" i="1" s="1"/>
  <c r="X5036" i="1" s="1"/>
  <c r="X5037" i="1" s="1"/>
  <c r="X5038" i="1" s="1"/>
  <c r="X5039" i="1" s="1"/>
  <c r="X5040" i="1" s="1"/>
  <c r="X5041" i="1" s="1"/>
  <c r="X5042" i="1" s="1"/>
  <c r="X5043" i="1" s="1"/>
  <c r="X5044" i="1" s="1"/>
  <c r="X5045" i="1" s="1"/>
  <c r="X5046" i="1" s="1"/>
  <c r="X5047" i="1" s="1"/>
  <c r="X5048" i="1" s="1"/>
  <c r="X5049" i="1" s="1"/>
  <c r="X5050" i="1" s="1"/>
  <c r="X5051" i="1" s="1"/>
  <c r="X5052" i="1" s="1"/>
  <c r="X5053" i="1" s="1"/>
  <c r="X5054" i="1" s="1"/>
  <c r="X5055" i="1" s="1"/>
  <c r="X5056" i="1" s="1"/>
  <c r="X5057" i="1" s="1"/>
  <c r="X5058" i="1" s="1"/>
  <c r="X5059" i="1" s="1"/>
  <c r="X5060" i="1" s="1"/>
  <c r="X5061" i="1" s="1"/>
  <c r="X5062" i="1" s="1"/>
  <c r="X5063" i="1" s="1"/>
  <c r="X5064" i="1" s="1"/>
  <c r="X5065" i="1" s="1"/>
  <c r="X5066" i="1" s="1"/>
  <c r="X5067" i="1" s="1"/>
  <c r="X5068" i="1" s="1"/>
  <c r="X5069" i="1" s="1"/>
  <c r="X5070" i="1" s="1"/>
  <c r="X5071" i="1" s="1"/>
  <c r="X5072" i="1" s="1"/>
  <c r="X5073" i="1" s="1"/>
  <c r="X5074" i="1" s="1"/>
  <c r="X5075" i="1" s="1"/>
  <c r="X5076" i="1" s="1"/>
  <c r="X5077" i="1" s="1"/>
  <c r="X5078" i="1" s="1"/>
  <c r="X5079" i="1" s="1"/>
  <c r="X5080" i="1" s="1"/>
  <c r="X5081" i="1" s="1"/>
  <c r="X5082" i="1" s="1"/>
  <c r="X5083" i="1" s="1"/>
  <c r="X5084" i="1" s="1"/>
  <c r="X5085" i="1" s="1"/>
  <c r="X5086" i="1" s="1"/>
  <c r="X5087" i="1" s="1"/>
  <c r="X5088" i="1" s="1"/>
  <c r="X5089" i="1" s="1"/>
  <c r="X5090" i="1" s="1"/>
  <c r="X5091" i="1" s="1"/>
  <c r="X5092" i="1" s="1"/>
  <c r="X5093" i="1" s="1"/>
  <c r="X5094" i="1" s="1"/>
  <c r="X5095" i="1" s="1"/>
  <c r="X5096" i="1" s="1"/>
  <c r="X5097" i="1" s="1"/>
  <c r="X5098" i="1" s="1"/>
  <c r="X5099" i="1" s="1"/>
  <c r="X5100" i="1" s="1"/>
  <c r="X5101" i="1" s="1"/>
  <c r="X5102" i="1" s="1"/>
  <c r="X5103" i="1" s="1"/>
  <c r="X5104" i="1" s="1"/>
  <c r="X5105" i="1" s="1"/>
  <c r="X5106" i="1" s="1"/>
  <c r="X5107" i="1" s="1"/>
  <c r="X5108" i="1" s="1"/>
  <c r="X5109" i="1" s="1"/>
  <c r="X5110" i="1" s="1"/>
  <c r="X5111" i="1" s="1"/>
  <c r="X5112" i="1" s="1"/>
  <c r="X5113" i="1" s="1"/>
  <c r="X5114" i="1" s="1"/>
  <c r="X5115" i="1" s="1"/>
  <c r="X5116" i="1" s="1"/>
  <c r="X5117" i="1" s="1"/>
  <c r="X5118" i="1" s="1"/>
  <c r="X5119" i="1" s="1"/>
  <c r="X5120" i="1" s="1"/>
  <c r="X5121" i="1" s="1"/>
  <c r="X5122" i="1" s="1"/>
  <c r="X5123" i="1" s="1"/>
  <c r="X5124" i="1" s="1"/>
  <c r="X5125" i="1" s="1"/>
  <c r="X5126" i="1" s="1"/>
  <c r="X5127" i="1" s="1"/>
  <c r="X5128" i="1" s="1"/>
  <c r="X5129" i="1" s="1"/>
  <c r="X5130" i="1" s="1"/>
  <c r="X5131" i="1" s="1"/>
  <c r="X5132" i="1" s="1"/>
  <c r="X5133" i="1" s="1"/>
  <c r="X5134" i="1" s="1"/>
  <c r="X5135" i="1" s="1"/>
  <c r="X5136" i="1" s="1"/>
  <c r="X5137" i="1" s="1"/>
  <c r="X5138" i="1" s="1"/>
  <c r="X5139" i="1" s="1"/>
  <c r="X5140" i="1" s="1"/>
  <c r="X5141" i="1" s="1"/>
  <c r="X5142" i="1" s="1"/>
  <c r="X5143" i="1" s="1"/>
  <c r="X5144" i="1" s="1"/>
  <c r="X5145" i="1" s="1"/>
  <c r="X5146" i="1" s="1"/>
  <c r="X5147" i="1" s="1"/>
  <c r="X5148" i="1" s="1"/>
  <c r="X5149" i="1" s="1"/>
  <c r="X5150" i="1" s="1"/>
  <c r="X5151" i="1" s="1"/>
  <c r="X5152" i="1" s="1"/>
  <c r="X5153" i="1" s="1"/>
  <c r="X5154" i="1" s="1"/>
  <c r="X5155" i="1" s="1"/>
  <c r="X5156" i="1" s="1"/>
  <c r="X5157" i="1" s="1"/>
  <c r="X5158" i="1" s="1"/>
  <c r="X5159" i="1" s="1"/>
  <c r="X5160" i="1" s="1"/>
  <c r="X5161" i="1" s="1"/>
  <c r="X5162" i="1" s="1"/>
  <c r="X5163" i="1" s="1"/>
  <c r="X5164" i="1" s="1"/>
  <c r="X5165" i="1" s="1"/>
  <c r="X5166" i="1" s="1"/>
  <c r="X5167" i="1" s="1"/>
  <c r="X5168" i="1" s="1"/>
  <c r="X5169" i="1" s="1"/>
  <c r="X5170" i="1" s="1"/>
  <c r="X5171" i="1" s="1"/>
  <c r="X5172" i="1" s="1"/>
  <c r="X5173" i="1" s="1"/>
  <c r="X5174" i="1" s="1"/>
  <c r="X5175" i="1" s="1"/>
  <c r="X5176" i="1" s="1"/>
  <c r="X5177" i="1" s="1"/>
  <c r="X5178" i="1" s="1"/>
  <c r="X5179" i="1" s="1"/>
  <c r="X5180" i="1" s="1"/>
  <c r="X5181" i="1" s="1"/>
  <c r="X5182" i="1" s="1"/>
  <c r="X5183" i="1" s="1"/>
  <c r="X5184" i="1" s="1"/>
  <c r="X5185" i="1" s="1"/>
  <c r="X5186" i="1" s="1"/>
  <c r="X5187" i="1" s="1"/>
  <c r="X5188" i="1" s="1"/>
  <c r="X5189" i="1" s="1"/>
  <c r="X5190" i="1" s="1"/>
  <c r="X5191" i="1" s="1"/>
  <c r="X5192" i="1" s="1"/>
  <c r="X5193" i="1" s="1"/>
  <c r="X5194" i="1" s="1"/>
  <c r="X5195" i="1" s="1"/>
  <c r="X5196" i="1" s="1"/>
  <c r="X5197" i="1" s="1"/>
  <c r="X5198" i="1" s="1"/>
  <c r="X5199" i="1" s="1"/>
  <c r="X5200" i="1" s="1"/>
  <c r="X5201" i="1" s="1"/>
  <c r="X5202" i="1" s="1"/>
  <c r="X5203" i="1" s="1"/>
  <c r="X5204" i="1" s="1"/>
  <c r="X5205" i="1" s="1"/>
  <c r="X5206" i="1" s="1"/>
  <c r="X5207" i="1" s="1"/>
  <c r="X5208" i="1" s="1"/>
  <c r="X5209" i="1" s="1"/>
  <c r="X5210" i="1" s="1"/>
  <c r="X5211" i="1" s="1"/>
  <c r="X5212" i="1" s="1"/>
  <c r="X5213" i="1" s="1"/>
  <c r="X5214" i="1" s="1"/>
  <c r="X5215" i="1" s="1"/>
  <c r="X5216" i="1" s="1"/>
  <c r="X5217" i="1" s="1"/>
  <c r="X5218" i="1" s="1"/>
  <c r="X5219" i="1" s="1"/>
  <c r="X5220" i="1" s="1"/>
  <c r="X5221" i="1" s="1"/>
  <c r="X5222" i="1" s="1"/>
  <c r="X5223" i="1" s="1"/>
  <c r="X5224" i="1" s="1"/>
  <c r="X5225" i="1" s="1"/>
  <c r="X5226" i="1" s="1"/>
  <c r="X5227" i="1" s="1"/>
  <c r="X5228" i="1" s="1"/>
  <c r="X5229" i="1" s="1"/>
  <c r="X5230" i="1" s="1"/>
  <c r="X5231" i="1" s="1"/>
  <c r="X5232" i="1" s="1"/>
  <c r="X5233" i="1" s="1"/>
  <c r="X5234" i="1" s="1"/>
  <c r="X5235" i="1" s="1"/>
  <c r="X5236" i="1" s="1"/>
  <c r="X5237" i="1" s="1"/>
  <c r="X5238" i="1" s="1"/>
  <c r="X5239" i="1" s="1"/>
  <c r="X5240" i="1" s="1"/>
  <c r="X5241" i="1" s="1"/>
  <c r="X5242" i="1" s="1"/>
  <c r="X5243" i="1" s="1"/>
  <c r="X5244" i="1" s="1"/>
  <c r="X5245" i="1" s="1"/>
  <c r="X5246" i="1" s="1"/>
  <c r="X5247" i="1" s="1"/>
  <c r="X5248" i="1" s="1"/>
  <c r="X5249" i="1" s="1"/>
  <c r="X5250" i="1" s="1"/>
  <c r="X5251" i="1" s="1"/>
  <c r="X5252" i="1" s="1"/>
  <c r="X5253" i="1" s="1"/>
  <c r="X5254" i="1" s="1"/>
  <c r="X5255" i="1" s="1"/>
  <c r="X5256" i="1" s="1"/>
  <c r="X5257" i="1" s="1"/>
  <c r="X5258" i="1" s="1"/>
  <c r="X5259" i="1" s="1"/>
  <c r="X5260" i="1" s="1"/>
  <c r="X5261" i="1" s="1"/>
  <c r="X5262" i="1" s="1"/>
  <c r="X5263" i="1" s="1"/>
  <c r="X5264" i="1" s="1"/>
  <c r="X5265" i="1" s="1"/>
  <c r="X5266" i="1" s="1"/>
  <c r="X5267" i="1" s="1"/>
  <c r="X5268" i="1" s="1"/>
  <c r="X5269" i="1" s="1"/>
  <c r="X5270" i="1" s="1"/>
  <c r="X5271" i="1" s="1"/>
  <c r="X5272" i="1" s="1"/>
  <c r="X5273" i="1" s="1"/>
  <c r="X5274" i="1" s="1"/>
  <c r="X5275" i="1" s="1"/>
  <c r="X5276" i="1" s="1"/>
  <c r="X5277" i="1" s="1"/>
  <c r="X5278" i="1" s="1"/>
  <c r="X5279" i="1" s="1"/>
  <c r="X5280" i="1" s="1"/>
  <c r="X5281" i="1" s="1"/>
  <c r="X5282" i="1" s="1"/>
  <c r="X5283" i="1" s="1"/>
  <c r="X5284" i="1" s="1"/>
  <c r="X5285" i="1" s="1"/>
  <c r="X5286" i="1" s="1"/>
  <c r="X5287" i="1" s="1"/>
  <c r="X5288" i="1" s="1"/>
  <c r="X5289" i="1" s="1"/>
  <c r="X5290" i="1" s="1"/>
  <c r="X5291" i="1" s="1"/>
  <c r="X5292" i="1" s="1"/>
  <c r="X5293" i="1" s="1"/>
  <c r="X5294" i="1" s="1"/>
  <c r="X5295" i="1" s="1"/>
  <c r="X5296" i="1" s="1"/>
  <c r="X5297" i="1" s="1"/>
  <c r="X5298" i="1" s="1"/>
  <c r="X5299" i="1" s="1"/>
  <c r="X5300" i="1" s="1"/>
  <c r="X5301" i="1" s="1"/>
  <c r="X5302" i="1" s="1"/>
  <c r="X5303" i="1" s="1"/>
  <c r="X5304" i="1" s="1"/>
  <c r="X5305" i="1" s="1"/>
  <c r="X5306" i="1" s="1"/>
  <c r="X5307" i="1" s="1"/>
  <c r="X5308" i="1" s="1"/>
  <c r="X5309" i="1" s="1"/>
  <c r="X5310" i="1" s="1"/>
  <c r="X5311" i="1" s="1"/>
  <c r="X5312" i="1" s="1"/>
  <c r="X5313" i="1" s="1"/>
  <c r="X5314" i="1" s="1"/>
  <c r="X5315" i="1" s="1"/>
  <c r="X5316" i="1" s="1"/>
  <c r="X5317" i="1" s="1"/>
  <c r="X5318" i="1" s="1"/>
  <c r="X5319" i="1" s="1"/>
  <c r="X5320" i="1" s="1"/>
  <c r="X5321" i="1" s="1"/>
  <c r="X5322" i="1" s="1"/>
  <c r="X5323" i="1" s="1"/>
  <c r="X5324" i="1" s="1"/>
  <c r="X5325" i="1" s="1"/>
  <c r="X5326" i="1" s="1"/>
  <c r="X5327" i="1" s="1"/>
  <c r="X5328" i="1" s="1"/>
  <c r="X5329" i="1" s="1"/>
  <c r="X5330" i="1" s="1"/>
  <c r="X5331" i="1" s="1"/>
  <c r="X5332" i="1" s="1"/>
  <c r="X5333" i="1" s="1"/>
  <c r="X5334" i="1" s="1"/>
  <c r="X5335" i="1" s="1"/>
  <c r="X5336" i="1" s="1"/>
  <c r="X5337" i="1" s="1"/>
  <c r="X5338" i="1" s="1"/>
  <c r="X5339" i="1" s="1"/>
  <c r="X5340" i="1" s="1"/>
  <c r="X5341" i="1" s="1"/>
  <c r="X5342" i="1" s="1"/>
  <c r="X5343" i="1" s="1"/>
  <c r="X5344" i="1" s="1"/>
  <c r="X5345" i="1" s="1"/>
  <c r="X5346" i="1" s="1"/>
  <c r="X5347" i="1" s="1"/>
  <c r="X5348" i="1" s="1"/>
  <c r="X5349" i="1" s="1"/>
  <c r="X5350" i="1" s="1"/>
  <c r="X5351" i="1" s="1"/>
  <c r="X5352" i="1" s="1"/>
  <c r="X5353" i="1" s="1"/>
  <c r="X5354" i="1" s="1"/>
  <c r="X5355" i="1" s="1"/>
  <c r="X5356" i="1" s="1"/>
  <c r="X5357" i="1" s="1"/>
  <c r="X5358" i="1" s="1"/>
  <c r="X5359" i="1" s="1"/>
  <c r="X5360" i="1" s="1"/>
  <c r="X5361" i="1" s="1"/>
  <c r="X5362" i="1" s="1"/>
  <c r="X5363" i="1" s="1"/>
  <c r="X5364" i="1" s="1"/>
  <c r="X5365" i="1" s="1"/>
  <c r="X5366" i="1" s="1"/>
  <c r="X5367" i="1" s="1"/>
  <c r="X5368" i="1" s="1"/>
  <c r="X5369" i="1" s="1"/>
  <c r="X5370" i="1" s="1"/>
  <c r="X5371" i="1" s="1"/>
  <c r="X5372" i="1" s="1"/>
  <c r="X5373" i="1" s="1"/>
  <c r="X5374" i="1" s="1"/>
  <c r="X5375" i="1" s="1"/>
  <c r="X5376" i="1" s="1"/>
  <c r="X5377" i="1" s="1"/>
  <c r="X5378" i="1" s="1"/>
  <c r="X5379" i="1" s="1"/>
  <c r="X5380" i="1" s="1"/>
  <c r="X5381" i="1" s="1"/>
  <c r="X5382" i="1" s="1"/>
  <c r="X5383" i="1" s="1"/>
  <c r="X5384" i="1" s="1"/>
  <c r="X5385" i="1" s="1"/>
  <c r="X5386" i="1" s="1"/>
  <c r="X5387" i="1" s="1"/>
  <c r="X5388" i="1" s="1"/>
  <c r="X5389" i="1" s="1"/>
  <c r="X5390" i="1" s="1"/>
  <c r="X5391" i="1" s="1"/>
  <c r="X5392" i="1" s="1"/>
  <c r="X5393" i="1" s="1"/>
  <c r="X5394" i="1" s="1"/>
  <c r="X5395" i="1" s="1"/>
  <c r="X5396" i="1" s="1"/>
  <c r="X5397" i="1" s="1"/>
  <c r="X5398" i="1" s="1"/>
  <c r="X5399" i="1" s="1"/>
  <c r="X5400" i="1" s="1"/>
  <c r="X5401" i="1" s="1"/>
  <c r="X5402" i="1" s="1"/>
  <c r="X5403" i="1" s="1"/>
  <c r="X5404" i="1" s="1"/>
  <c r="X5405" i="1" s="1"/>
  <c r="X5406" i="1" s="1"/>
  <c r="X5407" i="1" s="1"/>
  <c r="X5408" i="1" s="1"/>
  <c r="X5409" i="1" s="1"/>
  <c r="X5410" i="1" s="1"/>
  <c r="X5411" i="1" s="1"/>
  <c r="X5412" i="1" s="1"/>
  <c r="X5413" i="1" s="1"/>
  <c r="X5414" i="1" s="1"/>
  <c r="X5415" i="1" s="1"/>
  <c r="X5416" i="1" s="1"/>
  <c r="X5417" i="1" s="1"/>
  <c r="X5418" i="1" s="1"/>
  <c r="X5419" i="1" s="1"/>
  <c r="X5420" i="1" s="1"/>
  <c r="X5421" i="1" s="1"/>
  <c r="X5422" i="1" s="1"/>
  <c r="X5423" i="1" s="1"/>
  <c r="X5424" i="1" s="1"/>
  <c r="X5425" i="1" s="1"/>
  <c r="X5426" i="1" s="1"/>
  <c r="X5427" i="1" s="1"/>
  <c r="X5428" i="1" s="1"/>
  <c r="X5429" i="1" s="1"/>
  <c r="X5430" i="1" s="1"/>
  <c r="X5431" i="1" s="1"/>
  <c r="X5432" i="1" s="1"/>
  <c r="X5433" i="1" s="1"/>
  <c r="X5434" i="1" s="1"/>
  <c r="X5435" i="1" s="1"/>
  <c r="X5436" i="1" s="1"/>
  <c r="X5437" i="1" s="1"/>
  <c r="X5438" i="1" s="1"/>
  <c r="X5439" i="1" s="1"/>
  <c r="X5440" i="1" s="1"/>
  <c r="X5441" i="1" s="1"/>
  <c r="X5442" i="1" s="1"/>
  <c r="X5443" i="1" s="1"/>
  <c r="X5444" i="1" s="1"/>
  <c r="X5445" i="1" s="1"/>
  <c r="X5446" i="1" s="1"/>
  <c r="X5447" i="1" s="1"/>
  <c r="X5448" i="1" s="1"/>
  <c r="X5449" i="1" s="1"/>
  <c r="X5450" i="1" s="1"/>
  <c r="X5451" i="1" s="1"/>
  <c r="X5452" i="1" s="1"/>
  <c r="X5453" i="1" s="1"/>
  <c r="X5454" i="1" s="1"/>
  <c r="X5455" i="1" s="1"/>
  <c r="X5456" i="1" s="1"/>
  <c r="X5457" i="1" s="1"/>
  <c r="X5458" i="1" s="1"/>
  <c r="X5459" i="1" s="1"/>
  <c r="X5460" i="1" s="1"/>
  <c r="X5461" i="1" s="1"/>
  <c r="X5462" i="1" s="1"/>
  <c r="X5463" i="1" s="1"/>
  <c r="X5464" i="1" s="1"/>
  <c r="X5465" i="1" s="1"/>
  <c r="X5466" i="1" s="1"/>
  <c r="X5467" i="1" s="1"/>
  <c r="X5468" i="1" s="1"/>
  <c r="X5469" i="1" s="1"/>
  <c r="X5470" i="1" s="1"/>
  <c r="X5471" i="1" s="1"/>
  <c r="X5472" i="1" s="1"/>
  <c r="X5473" i="1" s="1"/>
  <c r="X5474" i="1" s="1"/>
  <c r="X5475" i="1" s="1"/>
  <c r="X5476" i="1" s="1"/>
  <c r="X5477" i="1" s="1"/>
  <c r="X5478" i="1" s="1"/>
  <c r="X5479" i="1" s="1"/>
  <c r="X5480" i="1" s="1"/>
  <c r="X5481" i="1" s="1"/>
  <c r="X5482" i="1" s="1"/>
  <c r="X5483" i="1" s="1"/>
  <c r="X5484" i="1" s="1"/>
  <c r="X5485" i="1" s="1"/>
  <c r="X5486" i="1" s="1"/>
  <c r="X5487" i="1" s="1"/>
  <c r="X5488" i="1" s="1"/>
  <c r="X5489" i="1" s="1"/>
  <c r="X5490" i="1" s="1"/>
  <c r="X5491" i="1" s="1"/>
  <c r="X5492" i="1" s="1"/>
  <c r="X5493" i="1" s="1"/>
  <c r="X5494" i="1" s="1"/>
  <c r="X5495" i="1" s="1"/>
  <c r="X5496" i="1" s="1"/>
  <c r="X5497" i="1" s="1"/>
  <c r="X5498" i="1" s="1"/>
  <c r="X5499" i="1" s="1"/>
  <c r="X5500" i="1" s="1"/>
  <c r="X5501" i="1" s="1"/>
  <c r="X5502" i="1" s="1"/>
  <c r="X5503" i="1" s="1"/>
  <c r="X5504" i="1" s="1"/>
  <c r="X5505" i="1" s="1"/>
  <c r="X5506" i="1" s="1"/>
  <c r="X5507" i="1" s="1"/>
  <c r="X5508" i="1" s="1"/>
  <c r="X5509" i="1" s="1"/>
  <c r="X5510" i="1" s="1"/>
  <c r="X5511" i="1" s="1"/>
  <c r="X5512" i="1" s="1"/>
  <c r="X5513" i="1" s="1"/>
  <c r="X5514" i="1" s="1"/>
  <c r="X5515" i="1" s="1"/>
  <c r="X5516" i="1" s="1"/>
  <c r="X5517" i="1" s="1"/>
  <c r="X5518" i="1" s="1"/>
  <c r="X5519" i="1" s="1"/>
  <c r="X5520" i="1" s="1"/>
  <c r="X5521" i="1" s="1"/>
  <c r="X5522" i="1" s="1"/>
  <c r="X5523" i="1" s="1"/>
  <c r="X5524" i="1" s="1"/>
  <c r="X5525" i="1" s="1"/>
  <c r="X5526" i="1" s="1"/>
  <c r="X5527" i="1" s="1"/>
  <c r="X5528" i="1" s="1"/>
  <c r="X5529" i="1" s="1"/>
  <c r="X5530" i="1" s="1"/>
  <c r="X5531" i="1" s="1"/>
  <c r="X5532" i="1" s="1"/>
  <c r="X5533" i="1" s="1"/>
  <c r="X5534" i="1" s="1"/>
  <c r="X5535" i="1" s="1"/>
  <c r="X5536" i="1" s="1"/>
  <c r="X5537" i="1" s="1"/>
  <c r="X5538" i="1" s="1"/>
  <c r="X5539" i="1" s="1"/>
  <c r="X5540" i="1" s="1"/>
  <c r="X5541" i="1" s="1"/>
  <c r="X5542" i="1" s="1"/>
  <c r="X5543" i="1" s="1"/>
  <c r="X5544" i="1" s="1"/>
  <c r="X5545" i="1" s="1"/>
  <c r="X5546" i="1" s="1"/>
  <c r="X5547" i="1" s="1"/>
  <c r="X5548" i="1" s="1"/>
  <c r="X5549" i="1" s="1"/>
  <c r="X5550" i="1" s="1"/>
  <c r="X5551" i="1" s="1"/>
  <c r="X5552" i="1" s="1"/>
  <c r="X5553" i="1" s="1"/>
  <c r="X5554" i="1" s="1"/>
  <c r="X5555" i="1" s="1"/>
  <c r="X5556" i="1" s="1"/>
  <c r="X5557" i="1" s="1"/>
  <c r="X5558" i="1" s="1"/>
  <c r="X5559" i="1" s="1"/>
  <c r="X5560" i="1" s="1"/>
  <c r="X5561" i="1" s="1"/>
  <c r="X5562" i="1" s="1"/>
  <c r="X5563" i="1" s="1"/>
  <c r="X5564" i="1" s="1"/>
  <c r="X5565" i="1" s="1"/>
  <c r="X5566" i="1" s="1"/>
  <c r="X5567" i="1" s="1"/>
  <c r="X5568" i="1" s="1"/>
  <c r="X5569" i="1" s="1"/>
  <c r="X5570" i="1" s="1"/>
  <c r="X5571" i="1" s="1"/>
  <c r="X5572" i="1" s="1"/>
  <c r="X5573" i="1" s="1"/>
  <c r="X5574" i="1" s="1"/>
  <c r="X5575" i="1" s="1"/>
  <c r="X5576" i="1" s="1"/>
  <c r="X5577" i="1" s="1"/>
  <c r="X5578" i="1" s="1"/>
  <c r="X5579" i="1" s="1"/>
  <c r="X5580" i="1" s="1"/>
  <c r="X5581" i="1" s="1"/>
  <c r="X5582" i="1" s="1"/>
  <c r="X5583" i="1" s="1"/>
  <c r="X5584" i="1" s="1"/>
  <c r="X5585" i="1" s="1"/>
  <c r="X5586" i="1" s="1"/>
  <c r="X5587" i="1" s="1"/>
  <c r="X5588" i="1" s="1"/>
  <c r="X5589" i="1" s="1"/>
  <c r="X5590" i="1" s="1"/>
  <c r="X5591" i="1" s="1"/>
  <c r="X5592" i="1" s="1"/>
  <c r="X5593" i="1" s="1"/>
  <c r="X5594" i="1" s="1"/>
  <c r="X5595" i="1" s="1"/>
  <c r="X5596" i="1" s="1"/>
  <c r="X5597" i="1" s="1"/>
  <c r="X5598" i="1" s="1"/>
  <c r="X5599" i="1" s="1"/>
  <c r="X5600" i="1" s="1"/>
  <c r="X5601" i="1" s="1"/>
  <c r="X5602" i="1" s="1"/>
  <c r="X5603" i="1" s="1"/>
  <c r="X5604" i="1" s="1"/>
  <c r="X5605" i="1" s="1"/>
  <c r="X5606" i="1" s="1"/>
  <c r="X5607" i="1" s="1"/>
  <c r="X5608" i="1" s="1"/>
  <c r="X5609" i="1" s="1"/>
  <c r="X5610" i="1" s="1"/>
  <c r="X5611" i="1" s="1"/>
  <c r="X5612" i="1" s="1"/>
  <c r="X5613" i="1" s="1"/>
  <c r="X5614" i="1" s="1"/>
  <c r="X5615" i="1" s="1"/>
  <c r="X5616" i="1" s="1"/>
  <c r="X5617" i="1" s="1"/>
  <c r="X5618" i="1" s="1"/>
  <c r="X5619" i="1" s="1"/>
  <c r="X5620" i="1" s="1"/>
  <c r="X5621" i="1" s="1"/>
  <c r="X5622" i="1" s="1"/>
  <c r="X5623" i="1" s="1"/>
  <c r="X5624" i="1" s="1"/>
  <c r="X5625" i="1" s="1"/>
  <c r="X5626" i="1" s="1"/>
  <c r="X5627" i="1" s="1"/>
  <c r="X5628" i="1" s="1"/>
  <c r="X5629" i="1" s="1"/>
  <c r="X5630" i="1" s="1"/>
  <c r="X5631" i="1" s="1"/>
  <c r="X5632" i="1" s="1"/>
  <c r="X5633" i="1" s="1"/>
  <c r="X5634" i="1" s="1"/>
  <c r="X5635" i="1" s="1"/>
  <c r="X5636" i="1" s="1"/>
  <c r="X5637" i="1" s="1"/>
  <c r="X5638" i="1" s="1"/>
  <c r="X5639" i="1" s="1"/>
  <c r="X5640" i="1" s="1"/>
  <c r="X5641" i="1" s="1"/>
  <c r="X5642" i="1" s="1"/>
  <c r="X5643" i="1" s="1"/>
  <c r="X5644" i="1" s="1"/>
  <c r="X5645" i="1" s="1"/>
  <c r="X5646" i="1" s="1"/>
  <c r="X5647" i="1" s="1"/>
  <c r="X5648" i="1" s="1"/>
  <c r="X5649" i="1" s="1"/>
  <c r="X5650" i="1" s="1"/>
  <c r="X5651" i="1" s="1"/>
  <c r="X5652" i="1" s="1"/>
  <c r="X5653" i="1" s="1"/>
  <c r="X5654" i="1" s="1"/>
  <c r="X5655" i="1" s="1"/>
  <c r="X5656" i="1" s="1"/>
  <c r="X5657" i="1" s="1"/>
  <c r="X5658" i="1" s="1"/>
  <c r="X5659" i="1" s="1"/>
  <c r="X5660" i="1" s="1"/>
  <c r="X5661" i="1" s="1"/>
  <c r="X5662" i="1" s="1"/>
  <c r="X5663" i="1" s="1"/>
  <c r="X5664" i="1" s="1"/>
  <c r="X5665" i="1" s="1"/>
  <c r="X5666" i="1" s="1"/>
  <c r="X5667" i="1" s="1"/>
  <c r="X5668" i="1" s="1"/>
  <c r="X5669" i="1" s="1"/>
  <c r="X5670" i="1" s="1"/>
  <c r="X5671" i="1" s="1"/>
  <c r="X5672" i="1" s="1"/>
  <c r="X5673" i="1" s="1"/>
  <c r="X5674" i="1" s="1"/>
  <c r="X5675" i="1" s="1"/>
  <c r="X5676" i="1" s="1"/>
  <c r="X5677" i="1" s="1"/>
  <c r="X5678" i="1" s="1"/>
  <c r="X5679" i="1" s="1"/>
  <c r="X5680" i="1" s="1"/>
  <c r="X5681" i="1" s="1"/>
  <c r="X5682" i="1" s="1"/>
  <c r="X5683" i="1" s="1"/>
  <c r="X5684" i="1" s="1"/>
  <c r="X5685" i="1" s="1"/>
  <c r="X5686" i="1" s="1"/>
  <c r="X5687" i="1" s="1"/>
  <c r="X5688" i="1" s="1"/>
  <c r="X5689" i="1" s="1"/>
  <c r="X5690" i="1" s="1"/>
  <c r="X5691" i="1" s="1"/>
  <c r="X5692" i="1" s="1"/>
  <c r="X5693" i="1" s="1"/>
  <c r="X5694" i="1" s="1"/>
  <c r="X5695" i="1" s="1"/>
  <c r="X5696" i="1" s="1"/>
  <c r="X5697" i="1" s="1"/>
  <c r="X5698" i="1" s="1"/>
  <c r="X5699" i="1" s="1"/>
  <c r="X5700" i="1" s="1"/>
  <c r="X5701" i="1" s="1"/>
  <c r="X5702" i="1" s="1"/>
  <c r="X5703" i="1" s="1"/>
  <c r="X5704" i="1" s="1"/>
  <c r="X5705" i="1" s="1"/>
  <c r="X5706" i="1" s="1"/>
  <c r="X5707" i="1" s="1"/>
  <c r="X5708" i="1" s="1"/>
  <c r="X5709" i="1" s="1"/>
  <c r="X5710" i="1" s="1"/>
  <c r="X5711" i="1" s="1"/>
  <c r="X5712" i="1" s="1"/>
  <c r="X5713" i="1" s="1"/>
  <c r="X5714" i="1" s="1"/>
  <c r="X5715" i="1" s="1"/>
  <c r="X5716" i="1" s="1"/>
  <c r="X5717" i="1" s="1"/>
  <c r="X5718" i="1" s="1"/>
  <c r="X5719" i="1" s="1"/>
  <c r="X5720" i="1" s="1"/>
  <c r="X5721" i="1" s="1"/>
  <c r="X5722" i="1" s="1"/>
  <c r="X5723" i="1" s="1"/>
  <c r="X5724" i="1" s="1"/>
  <c r="X5725" i="1" s="1"/>
  <c r="X5726" i="1" s="1"/>
  <c r="X5727" i="1" s="1"/>
  <c r="X5728" i="1" s="1"/>
  <c r="X5729" i="1" s="1"/>
  <c r="X5730" i="1" s="1"/>
  <c r="X5731" i="1" s="1"/>
  <c r="X5732" i="1" s="1"/>
  <c r="X5733" i="1" s="1"/>
  <c r="X5734" i="1" s="1"/>
  <c r="X5735" i="1" s="1"/>
  <c r="X5736" i="1" s="1"/>
  <c r="X5737" i="1" s="1"/>
  <c r="X5738" i="1" s="1"/>
  <c r="X5739" i="1" s="1"/>
  <c r="X5740" i="1" s="1"/>
  <c r="X5741" i="1" s="1"/>
  <c r="X5742" i="1" s="1"/>
  <c r="X5743" i="1" s="1"/>
  <c r="X5744" i="1" s="1"/>
  <c r="X5745" i="1" s="1"/>
  <c r="X5746" i="1" s="1"/>
  <c r="X5747" i="1" s="1"/>
  <c r="X5748" i="1" s="1"/>
  <c r="X5749" i="1" s="1"/>
  <c r="X5750" i="1" s="1"/>
  <c r="X5751" i="1" s="1"/>
  <c r="X5752" i="1" s="1"/>
  <c r="X5753" i="1" s="1"/>
  <c r="X5754" i="1" s="1"/>
  <c r="X5755" i="1" s="1"/>
  <c r="X5756" i="1" s="1"/>
  <c r="X5757" i="1" s="1"/>
  <c r="X5758" i="1" s="1"/>
  <c r="X5759" i="1" s="1"/>
  <c r="X5760" i="1" s="1"/>
  <c r="X5761" i="1" s="1"/>
  <c r="X5762" i="1" s="1"/>
  <c r="X5763" i="1" s="1"/>
  <c r="X5764" i="1" s="1"/>
  <c r="X5765" i="1" s="1"/>
  <c r="X5766" i="1" s="1"/>
  <c r="X5767" i="1" s="1"/>
  <c r="X5768" i="1" s="1"/>
  <c r="X5769" i="1" s="1"/>
  <c r="X5770" i="1" s="1"/>
  <c r="X5771" i="1" s="1"/>
  <c r="X5772" i="1" s="1"/>
  <c r="X5773" i="1" s="1"/>
  <c r="X5774" i="1" s="1"/>
  <c r="X5775" i="1" s="1"/>
  <c r="X5776" i="1" s="1"/>
  <c r="X5777" i="1" s="1"/>
  <c r="X5778" i="1" s="1"/>
  <c r="X5779" i="1" s="1"/>
  <c r="X5780" i="1" s="1"/>
  <c r="X5781" i="1" s="1"/>
  <c r="X5782" i="1" s="1"/>
  <c r="X5783" i="1" s="1"/>
  <c r="X5784" i="1" s="1"/>
  <c r="X5785" i="1" s="1"/>
  <c r="X5786" i="1" s="1"/>
  <c r="X5787" i="1" s="1"/>
  <c r="X5788" i="1" s="1"/>
  <c r="X5789" i="1" s="1"/>
  <c r="X5790" i="1" s="1"/>
  <c r="X5791" i="1" s="1"/>
  <c r="X5792" i="1" s="1"/>
  <c r="X5793" i="1" s="1"/>
  <c r="X5794" i="1" s="1"/>
  <c r="X5795" i="1" s="1"/>
  <c r="X5796" i="1" s="1"/>
  <c r="X5797" i="1" s="1"/>
  <c r="X5798" i="1" s="1"/>
  <c r="X5799" i="1" s="1"/>
  <c r="X5800" i="1" s="1"/>
  <c r="X5801" i="1" s="1"/>
  <c r="X5802" i="1" s="1"/>
  <c r="X5803" i="1" s="1"/>
  <c r="X5804" i="1" s="1"/>
  <c r="X5805" i="1" s="1"/>
  <c r="X5806" i="1" s="1"/>
  <c r="X5807" i="1" s="1"/>
  <c r="X5808" i="1" s="1"/>
  <c r="X5809" i="1" s="1"/>
  <c r="X5810" i="1" s="1"/>
  <c r="X5811" i="1" s="1"/>
  <c r="X5812" i="1" s="1"/>
  <c r="X5813" i="1" s="1"/>
  <c r="X5814" i="1" s="1"/>
  <c r="X5815" i="1" s="1"/>
  <c r="X5816" i="1" s="1"/>
  <c r="X5817" i="1" s="1"/>
  <c r="X5818" i="1" s="1"/>
  <c r="X5819" i="1" s="1"/>
  <c r="X5820" i="1" s="1"/>
  <c r="X5821" i="1" s="1"/>
  <c r="X5822" i="1" s="1"/>
  <c r="X5823" i="1" s="1"/>
  <c r="X5824" i="1" s="1"/>
  <c r="X5825" i="1" s="1"/>
  <c r="X5826" i="1" s="1"/>
  <c r="X5827" i="1" s="1"/>
  <c r="X5828" i="1" s="1"/>
  <c r="X5829" i="1" s="1"/>
  <c r="X5830" i="1" s="1"/>
  <c r="X5831" i="1" s="1"/>
  <c r="X5832" i="1" s="1"/>
  <c r="X5833" i="1" s="1"/>
  <c r="X5834" i="1" s="1"/>
  <c r="X5835" i="1" s="1"/>
  <c r="X5836" i="1" s="1"/>
  <c r="X5837" i="1" s="1"/>
  <c r="X5838" i="1" s="1"/>
  <c r="X5839" i="1" s="1"/>
  <c r="X5840" i="1" s="1"/>
  <c r="X5841" i="1" s="1"/>
  <c r="X5842" i="1" s="1"/>
  <c r="X5843" i="1" s="1"/>
  <c r="X5844" i="1" s="1"/>
  <c r="X5845" i="1" s="1"/>
  <c r="X5846" i="1" s="1"/>
  <c r="X5847" i="1" s="1"/>
  <c r="X5848" i="1" s="1"/>
  <c r="X5849" i="1" s="1"/>
  <c r="X5850" i="1" s="1"/>
  <c r="X5851" i="1" s="1"/>
  <c r="X5852" i="1" s="1"/>
  <c r="X5853" i="1" s="1"/>
  <c r="X5854" i="1" s="1"/>
  <c r="X5855" i="1" s="1"/>
  <c r="X5856" i="1" s="1"/>
  <c r="X5857" i="1" s="1"/>
  <c r="X5858" i="1" s="1"/>
  <c r="X5859" i="1" s="1"/>
  <c r="X5860" i="1" s="1"/>
  <c r="X5861" i="1" s="1"/>
  <c r="X5862" i="1" s="1"/>
  <c r="X5863" i="1" s="1"/>
  <c r="X5864" i="1" s="1"/>
  <c r="X5865" i="1" s="1"/>
  <c r="X5866" i="1" s="1"/>
  <c r="X5867" i="1" s="1"/>
  <c r="X5868" i="1" s="1"/>
  <c r="X5869" i="1" s="1"/>
  <c r="X5870" i="1" s="1"/>
  <c r="X5871" i="1" s="1"/>
  <c r="X5872" i="1" s="1"/>
  <c r="X5873" i="1" s="1"/>
  <c r="X5874" i="1" s="1"/>
  <c r="X5875" i="1" s="1"/>
  <c r="X5876" i="1" s="1"/>
  <c r="X5877" i="1" s="1"/>
  <c r="X5878" i="1" s="1"/>
  <c r="X5879" i="1" s="1"/>
  <c r="X5880" i="1" s="1"/>
  <c r="X5881" i="1" s="1"/>
  <c r="X5882" i="1" s="1"/>
  <c r="X5883" i="1" s="1"/>
  <c r="X5884" i="1" s="1"/>
  <c r="X5885" i="1" s="1"/>
  <c r="X5886" i="1" s="1"/>
  <c r="X5887" i="1" s="1"/>
  <c r="X5888" i="1" s="1"/>
  <c r="X5889" i="1" s="1"/>
  <c r="X5890" i="1" s="1"/>
  <c r="X5891" i="1" s="1"/>
  <c r="X5892" i="1" s="1"/>
  <c r="X5893" i="1" s="1"/>
  <c r="X5894" i="1" s="1"/>
  <c r="X5895" i="1" s="1"/>
  <c r="X5896" i="1" s="1"/>
  <c r="X5897" i="1" s="1"/>
  <c r="X5898" i="1" s="1"/>
  <c r="X5899" i="1" s="1"/>
  <c r="X5900" i="1" s="1"/>
  <c r="X5901" i="1" s="1"/>
  <c r="X5902" i="1" s="1"/>
  <c r="X5903" i="1" s="1"/>
  <c r="X5904" i="1" s="1"/>
  <c r="X5905" i="1" s="1"/>
  <c r="X5906" i="1" s="1"/>
  <c r="X5907" i="1" s="1"/>
  <c r="X5908" i="1" s="1"/>
  <c r="X5909" i="1" s="1"/>
  <c r="X5910" i="1" s="1"/>
  <c r="X5911" i="1" s="1"/>
  <c r="X5912" i="1" s="1"/>
  <c r="X5913" i="1" s="1"/>
  <c r="X5914" i="1" s="1"/>
  <c r="X5915" i="1" s="1"/>
  <c r="X5916" i="1" s="1"/>
  <c r="X5917" i="1" s="1"/>
  <c r="X5918" i="1" s="1"/>
  <c r="X5919" i="1" s="1"/>
  <c r="X5920" i="1" s="1"/>
  <c r="X5921" i="1" s="1"/>
  <c r="X5922" i="1" s="1"/>
  <c r="X5923" i="1" s="1"/>
  <c r="X5924" i="1" s="1"/>
  <c r="X5925" i="1" s="1"/>
  <c r="X5926" i="1" s="1"/>
  <c r="X5927" i="1" s="1"/>
  <c r="X5928" i="1" s="1"/>
  <c r="X5929" i="1" s="1"/>
  <c r="X5930" i="1" s="1"/>
  <c r="X5931" i="1" s="1"/>
  <c r="X5932" i="1" s="1"/>
  <c r="X5933" i="1" s="1"/>
  <c r="X5934" i="1" s="1"/>
  <c r="X5935" i="1" s="1"/>
  <c r="X5936" i="1" s="1"/>
  <c r="X5937" i="1" s="1"/>
  <c r="X5938" i="1" s="1"/>
  <c r="X5939" i="1" s="1"/>
  <c r="X5940" i="1" s="1"/>
  <c r="X5941" i="1" s="1"/>
  <c r="X5942" i="1" s="1"/>
  <c r="X5943" i="1" s="1"/>
  <c r="X5944" i="1" s="1"/>
  <c r="X5945" i="1" s="1"/>
  <c r="X5946" i="1" s="1"/>
  <c r="X5947" i="1" s="1"/>
  <c r="X5948" i="1" s="1"/>
  <c r="X5949" i="1" s="1"/>
  <c r="X5950" i="1" s="1"/>
  <c r="X5951" i="1" s="1"/>
  <c r="X5952" i="1" s="1"/>
  <c r="X5953" i="1" s="1"/>
  <c r="X5954" i="1" s="1"/>
  <c r="X5955" i="1" s="1"/>
  <c r="X5956" i="1" s="1"/>
  <c r="X5957" i="1" s="1"/>
  <c r="X5958" i="1" s="1"/>
  <c r="X5959" i="1" s="1"/>
  <c r="X5960" i="1" s="1"/>
  <c r="X5961" i="1" s="1"/>
  <c r="X5962" i="1" s="1"/>
  <c r="X5963" i="1" s="1"/>
  <c r="X5964" i="1" s="1"/>
  <c r="X5965" i="1" s="1"/>
  <c r="X5966" i="1" s="1"/>
  <c r="X5967" i="1" s="1"/>
  <c r="X5968" i="1" s="1"/>
  <c r="X5969" i="1" s="1"/>
  <c r="X5970" i="1" s="1"/>
  <c r="X5971" i="1" s="1"/>
  <c r="X5972" i="1" s="1"/>
  <c r="X5973" i="1" s="1"/>
  <c r="X5974" i="1" s="1"/>
  <c r="X5975" i="1" s="1"/>
  <c r="X5976" i="1" s="1"/>
  <c r="X5977" i="1" s="1"/>
  <c r="X5978" i="1" s="1"/>
  <c r="X5979" i="1" s="1"/>
  <c r="X5980" i="1" s="1"/>
  <c r="X5981" i="1" s="1"/>
  <c r="X5982" i="1" s="1"/>
  <c r="X5983" i="1" s="1"/>
  <c r="X5984" i="1" s="1"/>
  <c r="X5985" i="1" s="1"/>
  <c r="X5986" i="1" s="1"/>
  <c r="X5987" i="1" s="1"/>
  <c r="X5988" i="1" s="1"/>
  <c r="X5989" i="1" s="1"/>
  <c r="X5990" i="1" s="1"/>
  <c r="X5991" i="1" s="1"/>
  <c r="X5992" i="1" s="1"/>
  <c r="X5993" i="1" s="1"/>
  <c r="X5994" i="1" s="1"/>
  <c r="X5995" i="1" s="1"/>
  <c r="X5996" i="1" s="1"/>
  <c r="X5997" i="1" s="1"/>
  <c r="X5998" i="1" s="1"/>
  <c r="X5999" i="1" s="1"/>
  <c r="X6000" i="1" s="1"/>
  <c r="X6001" i="1" s="1"/>
  <c r="X6002" i="1" s="1"/>
  <c r="X6003" i="1" s="1"/>
  <c r="X6004" i="1" s="1"/>
  <c r="W10" i="1"/>
  <c r="Z29" i="1"/>
  <c r="W53" i="1"/>
  <c r="W56" i="1"/>
  <c r="Z93" i="1"/>
  <c r="W117" i="1"/>
  <c r="W120" i="1"/>
  <c r="Z157" i="1"/>
  <c r="Z160" i="1"/>
  <c r="W205" i="1"/>
  <c r="W223" i="1"/>
  <c r="Z244" i="1"/>
  <c r="W269" i="1"/>
  <c r="W287" i="1"/>
  <c r="Z308" i="1"/>
  <c r="Z357" i="1"/>
  <c r="W371" i="1"/>
  <c r="W397" i="1"/>
  <c r="Z421" i="1"/>
  <c r="W435" i="1"/>
  <c r="W461" i="1"/>
  <c r="Z485" i="1"/>
  <c r="W499" i="1"/>
  <c r="Z525" i="1"/>
  <c r="Z541" i="1"/>
  <c r="Z557" i="1"/>
  <c r="Z573" i="1"/>
  <c r="Z589" i="1"/>
  <c r="Z605" i="1"/>
  <c r="Z621" i="1"/>
  <c r="Z637" i="1"/>
  <c r="Z653" i="1"/>
  <c r="Z673" i="1"/>
  <c r="Z705" i="1"/>
  <c r="W187" i="1"/>
  <c r="W233" i="1"/>
  <c r="W251" i="1"/>
  <c r="W297" i="1"/>
  <c r="W315" i="1"/>
  <c r="W325" i="1"/>
  <c r="W335" i="1"/>
  <c r="Z340" i="1"/>
  <c r="Z345" i="1"/>
  <c r="W359" i="1"/>
  <c r="W385" i="1"/>
  <c r="Z409" i="1"/>
  <c r="W423" i="1"/>
  <c r="W449" i="1"/>
  <c r="Z473" i="1"/>
  <c r="W487" i="1"/>
  <c r="W513" i="1"/>
  <c r="W197" i="1"/>
  <c r="W215" i="1"/>
  <c r="W261" i="1"/>
  <c r="W279" i="1"/>
  <c r="W347" i="1"/>
  <c r="W373" i="1"/>
  <c r="Z397" i="1"/>
  <c r="W411" i="1"/>
  <c r="W437" i="1"/>
  <c r="Z461" i="1"/>
  <c r="W475" i="1"/>
  <c r="W501" i="1"/>
  <c r="W529" i="1"/>
  <c r="W545" i="1"/>
  <c r="W561" i="1"/>
  <c r="W577" i="1"/>
  <c r="W593" i="1"/>
  <c r="W609" i="1"/>
  <c r="W625" i="1"/>
  <c r="W641" i="1"/>
  <c r="Z677" i="1"/>
  <c r="Z709" i="1"/>
  <c r="Z68" i="1"/>
  <c r="W71" i="1"/>
  <c r="Z132" i="1"/>
  <c r="W135" i="1"/>
  <c r="W225" i="1"/>
  <c r="W243" i="1"/>
  <c r="W289" i="1"/>
  <c r="W307" i="1"/>
  <c r="W337" i="1"/>
  <c r="W361" i="1"/>
  <c r="Z385" i="1"/>
  <c r="W399" i="1"/>
  <c r="W425" i="1"/>
  <c r="Z449" i="1"/>
  <c r="W463" i="1"/>
  <c r="W489" i="1"/>
  <c r="Z513" i="1"/>
  <c r="W221" i="1"/>
  <c r="W239" i="1"/>
  <c r="W285" i="1"/>
  <c r="W303" i="1"/>
  <c r="W355" i="1"/>
  <c r="W381" i="1"/>
  <c r="Z405" i="1"/>
  <c r="W419" i="1"/>
  <c r="W445" i="1"/>
  <c r="AA6" i="1"/>
  <c r="AA7" i="1" s="1"/>
  <c r="AA8" i="1" s="1"/>
  <c r="AA9" i="1" s="1"/>
  <c r="AA10" i="1" s="1"/>
  <c r="AA11" i="1" s="1"/>
  <c r="Z6" i="1"/>
  <c r="W189" i="1"/>
  <c r="W207" i="1"/>
  <c r="W253" i="1"/>
  <c r="W271" i="1"/>
  <c r="W317" i="1"/>
  <c r="W349" i="1"/>
  <c r="Z373" i="1"/>
  <c r="W387" i="1"/>
  <c r="W413" i="1"/>
  <c r="Z437" i="1"/>
  <c r="W451" i="1"/>
  <c r="W477" i="1"/>
  <c r="Z501" i="1"/>
  <c r="W515" i="1"/>
  <c r="Z529" i="1"/>
  <c r="Z545" i="1"/>
  <c r="Z561" i="1"/>
  <c r="Z577" i="1"/>
  <c r="Z593" i="1"/>
  <c r="Z609" i="1"/>
  <c r="Z625" i="1"/>
  <c r="Z641" i="1"/>
  <c r="Z657" i="1"/>
  <c r="Z681" i="1"/>
  <c r="Z713" i="1"/>
  <c r="AA12" i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A1258" i="1" s="1"/>
  <c r="AA1259" i="1" s="1"/>
  <c r="AA1260" i="1" s="1"/>
  <c r="AA1261" i="1" s="1"/>
  <c r="AA1262" i="1" s="1"/>
  <c r="AA1263" i="1" s="1"/>
  <c r="AA1264" i="1" s="1"/>
  <c r="AA1265" i="1" s="1"/>
  <c r="AA1266" i="1" s="1"/>
  <c r="AA1267" i="1" s="1"/>
  <c r="AA1268" i="1" s="1"/>
  <c r="AA1269" i="1" s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AA1280" i="1" s="1"/>
  <c r="AA1281" i="1" s="1"/>
  <c r="AA1282" i="1" s="1"/>
  <c r="AA1283" i="1" s="1"/>
  <c r="AA1284" i="1" s="1"/>
  <c r="AA1285" i="1" s="1"/>
  <c r="AA1286" i="1" s="1"/>
  <c r="AA1287" i="1" s="1"/>
  <c r="AA1288" i="1" s="1"/>
  <c r="AA1289" i="1" s="1"/>
  <c r="AA1290" i="1" s="1"/>
  <c r="AA1291" i="1" s="1"/>
  <c r="AA1292" i="1" s="1"/>
  <c r="AA1293" i="1" s="1"/>
  <c r="AA1294" i="1" s="1"/>
  <c r="AA1295" i="1" s="1"/>
  <c r="AA1296" i="1" s="1"/>
  <c r="AA1297" i="1" s="1"/>
  <c r="AA1298" i="1" s="1"/>
  <c r="AA1299" i="1" s="1"/>
  <c r="AA1300" i="1" s="1"/>
  <c r="AA1301" i="1" s="1"/>
  <c r="AA1302" i="1" s="1"/>
  <c r="AA1303" i="1" s="1"/>
  <c r="AA1304" i="1" s="1"/>
  <c r="AA1305" i="1" s="1"/>
  <c r="AA1306" i="1" s="1"/>
  <c r="AA1307" i="1" s="1"/>
  <c r="AA1308" i="1" s="1"/>
  <c r="AA1309" i="1" s="1"/>
  <c r="AA1310" i="1" s="1"/>
  <c r="AA1311" i="1" s="1"/>
  <c r="AA1312" i="1" s="1"/>
  <c r="AA1313" i="1" s="1"/>
  <c r="AA1314" i="1" s="1"/>
  <c r="AA1315" i="1" s="1"/>
  <c r="AA1316" i="1" s="1"/>
  <c r="AA1317" i="1" s="1"/>
  <c r="AA1318" i="1" s="1"/>
  <c r="AA1319" i="1" s="1"/>
  <c r="AA1320" i="1" s="1"/>
  <c r="AA1321" i="1" s="1"/>
  <c r="AA1322" i="1" s="1"/>
  <c r="AA1323" i="1" s="1"/>
  <c r="AA1324" i="1" s="1"/>
  <c r="AA1325" i="1" s="1"/>
  <c r="AA1326" i="1" s="1"/>
  <c r="AA1327" i="1" s="1"/>
  <c r="AA1328" i="1" s="1"/>
  <c r="AA1329" i="1" s="1"/>
  <c r="AA1330" i="1" s="1"/>
  <c r="AA1331" i="1" s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AA1342" i="1" s="1"/>
  <c r="AA1343" i="1" s="1"/>
  <c r="AA1344" i="1" s="1"/>
  <c r="AA1345" i="1" s="1"/>
  <c r="AA1346" i="1" s="1"/>
  <c r="AA1347" i="1" s="1"/>
  <c r="AA1348" i="1" s="1"/>
  <c r="AA1349" i="1" s="1"/>
  <c r="AA1350" i="1" s="1"/>
  <c r="AA1351" i="1" s="1"/>
  <c r="AA1352" i="1" s="1"/>
  <c r="AA1353" i="1" s="1"/>
  <c r="AA1354" i="1" s="1"/>
  <c r="AA1355" i="1" s="1"/>
  <c r="AA1356" i="1" s="1"/>
  <c r="AA1357" i="1" s="1"/>
  <c r="AA1358" i="1" s="1"/>
  <c r="AA1359" i="1" s="1"/>
  <c r="AA1360" i="1" s="1"/>
  <c r="AA1361" i="1" s="1"/>
  <c r="AA1362" i="1" s="1"/>
  <c r="AA1363" i="1" s="1"/>
  <c r="AA1364" i="1" s="1"/>
  <c r="AA1365" i="1" s="1"/>
  <c r="AA1366" i="1" s="1"/>
  <c r="AA1367" i="1" s="1"/>
  <c r="AA1368" i="1" s="1"/>
  <c r="AA1369" i="1" s="1"/>
  <c r="AA1370" i="1" s="1"/>
  <c r="AA1371" i="1" s="1"/>
  <c r="AA1372" i="1" s="1"/>
  <c r="AA1373" i="1" s="1"/>
  <c r="AA1374" i="1" s="1"/>
  <c r="AA1375" i="1" s="1"/>
  <c r="AA1376" i="1" s="1"/>
  <c r="AA1377" i="1" s="1"/>
  <c r="AA1378" i="1" s="1"/>
  <c r="AA1379" i="1" s="1"/>
  <c r="AA1380" i="1" s="1"/>
  <c r="AA1381" i="1" s="1"/>
  <c r="AA1382" i="1" s="1"/>
  <c r="AA1383" i="1" s="1"/>
  <c r="AA1384" i="1" s="1"/>
  <c r="AA1385" i="1" s="1"/>
  <c r="AA1386" i="1" s="1"/>
  <c r="AA1387" i="1" s="1"/>
  <c r="AA1388" i="1" s="1"/>
  <c r="AA1389" i="1" s="1"/>
  <c r="AA1390" i="1" s="1"/>
  <c r="AA1391" i="1" s="1"/>
  <c r="AA1392" i="1" s="1"/>
  <c r="AA1393" i="1" s="1"/>
  <c r="AA1394" i="1" s="1"/>
  <c r="AA1395" i="1" s="1"/>
  <c r="AA1396" i="1" s="1"/>
  <c r="AA1397" i="1" s="1"/>
  <c r="AA1398" i="1" s="1"/>
  <c r="AA1399" i="1" s="1"/>
  <c r="AA1400" i="1" s="1"/>
  <c r="AA1401" i="1" s="1"/>
  <c r="AA1402" i="1" s="1"/>
  <c r="AA1403" i="1" s="1"/>
  <c r="AA1404" i="1" s="1"/>
  <c r="AA1405" i="1" s="1"/>
  <c r="AA1406" i="1" s="1"/>
  <c r="AA1407" i="1" s="1"/>
  <c r="AA1408" i="1" s="1"/>
  <c r="AA1409" i="1" s="1"/>
  <c r="AA1410" i="1" s="1"/>
  <c r="AA1411" i="1" s="1"/>
  <c r="AA1412" i="1" s="1"/>
  <c r="AA1413" i="1" s="1"/>
  <c r="AA1414" i="1" s="1"/>
  <c r="AA1415" i="1" s="1"/>
  <c r="AA1416" i="1" s="1"/>
  <c r="AA1417" i="1" s="1"/>
  <c r="AA1418" i="1" s="1"/>
  <c r="AA1419" i="1" s="1"/>
  <c r="AA1420" i="1" s="1"/>
  <c r="AA1421" i="1" s="1"/>
  <c r="AA1422" i="1" s="1"/>
  <c r="AA1423" i="1" s="1"/>
  <c r="AA1424" i="1" s="1"/>
  <c r="AA1425" i="1" s="1"/>
  <c r="AA1426" i="1" s="1"/>
  <c r="AA1427" i="1" s="1"/>
  <c r="AA1428" i="1" s="1"/>
  <c r="AA1429" i="1" s="1"/>
  <c r="AA1430" i="1" s="1"/>
  <c r="AA1431" i="1" s="1"/>
  <c r="AA1432" i="1" s="1"/>
  <c r="AA1433" i="1" s="1"/>
  <c r="AA1434" i="1" s="1"/>
  <c r="AA1435" i="1" s="1"/>
  <c r="AA1436" i="1" s="1"/>
  <c r="AA1437" i="1" s="1"/>
  <c r="AA1438" i="1" s="1"/>
  <c r="AA1439" i="1" s="1"/>
  <c r="AA1440" i="1" s="1"/>
  <c r="AA1441" i="1" s="1"/>
  <c r="AA1442" i="1" s="1"/>
  <c r="AA1443" i="1" s="1"/>
  <c r="AA1444" i="1" s="1"/>
  <c r="AA1445" i="1" s="1"/>
  <c r="AA1446" i="1" s="1"/>
  <c r="AA1447" i="1" s="1"/>
  <c r="AA1448" i="1" s="1"/>
  <c r="AA1449" i="1" s="1"/>
  <c r="AA1450" i="1" s="1"/>
  <c r="AA1451" i="1" s="1"/>
  <c r="AA1452" i="1" s="1"/>
  <c r="AA1453" i="1" s="1"/>
  <c r="AA1454" i="1" s="1"/>
  <c r="AA1455" i="1" s="1"/>
  <c r="AA1456" i="1" s="1"/>
  <c r="AA1457" i="1" s="1"/>
  <c r="AA1458" i="1" s="1"/>
  <c r="AA1459" i="1" s="1"/>
  <c r="AA1460" i="1" s="1"/>
  <c r="AA1461" i="1" s="1"/>
  <c r="AA1462" i="1" s="1"/>
  <c r="AA1463" i="1" s="1"/>
  <c r="AA1464" i="1" s="1"/>
  <c r="AA1465" i="1" s="1"/>
  <c r="AA1466" i="1" s="1"/>
  <c r="AA1467" i="1" s="1"/>
  <c r="AA1468" i="1" s="1"/>
  <c r="AA1469" i="1" s="1"/>
  <c r="AA1470" i="1" s="1"/>
  <c r="AA1471" i="1" s="1"/>
  <c r="AA1472" i="1" s="1"/>
  <c r="AA1473" i="1" s="1"/>
  <c r="AA1474" i="1" s="1"/>
  <c r="AA1475" i="1" s="1"/>
  <c r="AA1476" i="1" s="1"/>
  <c r="AA1477" i="1" s="1"/>
  <c r="AA1478" i="1" s="1"/>
  <c r="AA1479" i="1" s="1"/>
  <c r="AA1480" i="1" s="1"/>
  <c r="AA1481" i="1" s="1"/>
  <c r="AA1482" i="1" s="1"/>
  <c r="AA1483" i="1" s="1"/>
  <c r="AA1484" i="1" s="1"/>
  <c r="AA1485" i="1" s="1"/>
  <c r="AA1486" i="1" s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AA1497" i="1" s="1"/>
  <c r="AA1498" i="1" s="1"/>
  <c r="AA1499" i="1" s="1"/>
  <c r="AA1500" i="1" s="1"/>
  <c r="AA1501" i="1" s="1"/>
  <c r="AA1502" i="1" s="1"/>
  <c r="AA1503" i="1" s="1"/>
  <c r="AA1504" i="1" s="1"/>
  <c r="AA1505" i="1" s="1"/>
  <c r="AA1506" i="1" s="1"/>
  <c r="AA1507" i="1" s="1"/>
  <c r="AA1508" i="1" s="1"/>
  <c r="AA1509" i="1" s="1"/>
  <c r="AA1510" i="1" s="1"/>
  <c r="AA1511" i="1" s="1"/>
  <c r="AA1512" i="1" s="1"/>
  <c r="AA1513" i="1" s="1"/>
  <c r="AA1514" i="1" s="1"/>
  <c r="AA1515" i="1" s="1"/>
  <c r="AA1516" i="1" s="1"/>
  <c r="AA1517" i="1" s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AA1527" i="1" s="1"/>
  <c r="AA1528" i="1" s="1"/>
  <c r="AA1529" i="1" s="1"/>
  <c r="AA1530" i="1" s="1"/>
  <c r="AA1531" i="1" s="1"/>
  <c r="AA1532" i="1" s="1"/>
  <c r="AA1533" i="1" s="1"/>
  <c r="AA1534" i="1" s="1"/>
  <c r="AA1535" i="1" s="1"/>
  <c r="AA1536" i="1" s="1"/>
  <c r="AA1537" i="1" s="1"/>
  <c r="AA1538" i="1" s="1"/>
  <c r="AA1539" i="1" s="1"/>
  <c r="AA1540" i="1" s="1"/>
  <c r="AA1541" i="1" s="1"/>
  <c r="AA1542" i="1" s="1"/>
  <c r="AA1543" i="1" s="1"/>
  <c r="AA1544" i="1" s="1"/>
  <c r="AA1545" i="1" s="1"/>
  <c r="AA1546" i="1" s="1"/>
  <c r="AA1547" i="1" s="1"/>
  <c r="AA1548" i="1" s="1"/>
  <c r="AA1549" i="1" s="1"/>
  <c r="AA1550" i="1" s="1"/>
  <c r="AA1551" i="1" s="1"/>
  <c r="AA1552" i="1" s="1"/>
  <c r="AA1553" i="1" s="1"/>
  <c r="AA1554" i="1" s="1"/>
  <c r="AA1555" i="1" s="1"/>
  <c r="AA1556" i="1" s="1"/>
  <c r="AA1557" i="1" s="1"/>
  <c r="AA1558" i="1" s="1"/>
  <c r="AA1559" i="1" s="1"/>
  <c r="AA1560" i="1" s="1"/>
  <c r="AA1561" i="1" s="1"/>
  <c r="AA1562" i="1" s="1"/>
  <c r="AA1563" i="1" s="1"/>
  <c r="AA1564" i="1" s="1"/>
  <c r="AA1565" i="1" s="1"/>
  <c r="AA1566" i="1" s="1"/>
  <c r="AA1567" i="1" s="1"/>
  <c r="AA1568" i="1" s="1"/>
  <c r="AA1569" i="1" s="1"/>
  <c r="AA1570" i="1" s="1"/>
  <c r="AA1571" i="1" s="1"/>
  <c r="AA1572" i="1" s="1"/>
  <c r="AA1573" i="1" s="1"/>
  <c r="AA1574" i="1" s="1"/>
  <c r="AA1575" i="1" s="1"/>
  <c r="AA1576" i="1" s="1"/>
  <c r="AA1577" i="1" s="1"/>
  <c r="AA1578" i="1" s="1"/>
  <c r="AA1579" i="1" s="1"/>
  <c r="AA1580" i="1" s="1"/>
  <c r="AA1581" i="1" s="1"/>
  <c r="AA1582" i="1" s="1"/>
  <c r="AA1583" i="1" s="1"/>
  <c r="AA1584" i="1" s="1"/>
  <c r="AA1585" i="1" s="1"/>
  <c r="AA1586" i="1" s="1"/>
  <c r="AA1587" i="1" s="1"/>
  <c r="AA1588" i="1" s="1"/>
  <c r="AA1589" i="1" s="1"/>
  <c r="AA1590" i="1" s="1"/>
  <c r="AA1591" i="1" s="1"/>
  <c r="AA1592" i="1" s="1"/>
  <c r="AA1593" i="1" s="1"/>
  <c r="AA1594" i="1" s="1"/>
  <c r="AA1595" i="1" s="1"/>
  <c r="AA1596" i="1" s="1"/>
  <c r="AA1597" i="1" s="1"/>
  <c r="AA1598" i="1" s="1"/>
  <c r="AA1599" i="1" s="1"/>
  <c r="AA1600" i="1" s="1"/>
  <c r="AA1601" i="1" s="1"/>
  <c r="AA1602" i="1" s="1"/>
  <c r="AA1603" i="1" s="1"/>
  <c r="AA1604" i="1" s="1"/>
  <c r="AA1605" i="1" s="1"/>
  <c r="AA1606" i="1" s="1"/>
  <c r="AA1607" i="1" s="1"/>
  <c r="AA1608" i="1" s="1"/>
  <c r="AA1609" i="1" s="1"/>
  <c r="AA1610" i="1" s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AA1621" i="1" s="1"/>
  <c r="AA1622" i="1" s="1"/>
  <c r="AA1623" i="1" s="1"/>
  <c r="AA1624" i="1" s="1"/>
  <c r="AA1625" i="1" s="1"/>
  <c r="AA1626" i="1" s="1"/>
  <c r="AA1627" i="1" s="1"/>
  <c r="AA1628" i="1" s="1"/>
  <c r="AA1629" i="1" s="1"/>
  <c r="AA1630" i="1" s="1"/>
  <c r="AA1631" i="1" s="1"/>
  <c r="AA1632" i="1" s="1"/>
  <c r="AA1633" i="1" s="1"/>
  <c r="AA1634" i="1" s="1"/>
  <c r="AA1635" i="1" s="1"/>
  <c r="AA1636" i="1" s="1"/>
  <c r="AA1637" i="1" s="1"/>
  <c r="AA1638" i="1" s="1"/>
  <c r="AA1639" i="1" s="1"/>
  <c r="AA1640" i="1" s="1"/>
  <c r="AA1641" i="1" s="1"/>
  <c r="AA1642" i="1" s="1"/>
  <c r="AA1643" i="1" s="1"/>
  <c r="AA1644" i="1" s="1"/>
  <c r="AA1645" i="1" s="1"/>
  <c r="AA1646" i="1" s="1"/>
  <c r="AA1647" i="1" s="1"/>
  <c r="AA1648" i="1" s="1"/>
  <c r="AA1649" i="1" s="1"/>
  <c r="AA1650" i="1" s="1"/>
  <c r="AA1651" i="1" s="1"/>
  <c r="AA1652" i="1" s="1"/>
  <c r="AA1653" i="1" s="1"/>
  <c r="AA1654" i="1" s="1"/>
  <c r="AA1655" i="1" s="1"/>
  <c r="AA1656" i="1" s="1"/>
  <c r="AA1657" i="1" s="1"/>
  <c r="AA1658" i="1" s="1"/>
  <c r="AA1659" i="1" s="1"/>
  <c r="AA1660" i="1" s="1"/>
  <c r="AA1661" i="1" s="1"/>
  <c r="AA1662" i="1" s="1"/>
  <c r="AA1663" i="1" s="1"/>
  <c r="AA1664" i="1" s="1"/>
  <c r="AA1665" i="1" s="1"/>
  <c r="AA1666" i="1" s="1"/>
  <c r="AA1667" i="1" s="1"/>
  <c r="AA1668" i="1" s="1"/>
  <c r="AA1669" i="1" s="1"/>
  <c r="AA1670" i="1" s="1"/>
  <c r="AA1671" i="1" s="1"/>
  <c r="AA1672" i="1" s="1"/>
  <c r="AA1673" i="1" s="1"/>
  <c r="AA1674" i="1" s="1"/>
  <c r="AA1675" i="1" s="1"/>
  <c r="AA1676" i="1" s="1"/>
  <c r="AA1677" i="1" s="1"/>
  <c r="AA1678" i="1" s="1"/>
  <c r="AA1679" i="1" s="1"/>
  <c r="AA1680" i="1" s="1"/>
  <c r="AA1681" i="1" s="1"/>
  <c r="AA1682" i="1" s="1"/>
  <c r="AA1683" i="1" s="1"/>
  <c r="AA1684" i="1" s="1"/>
  <c r="AA1685" i="1" s="1"/>
  <c r="AA1686" i="1" s="1"/>
  <c r="AA1687" i="1" s="1"/>
  <c r="AA1688" i="1" s="1"/>
  <c r="AA1689" i="1" s="1"/>
  <c r="AA1690" i="1" s="1"/>
  <c r="AA1691" i="1" s="1"/>
  <c r="AA1692" i="1" s="1"/>
  <c r="AA1693" i="1" s="1"/>
  <c r="AA1694" i="1" s="1"/>
  <c r="AA1695" i="1" s="1"/>
  <c r="AA1696" i="1" s="1"/>
  <c r="AA1697" i="1" s="1"/>
  <c r="AA1698" i="1" s="1"/>
  <c r="AA1699" i="1" s="1"/>
  <c r="AA1700" i="1" s="1"/>
  <c r="AA1701" i="1" s="1"/>
  <c r="AA1702" i="1" s="1"/>
  <c r="AA1703" i="1" s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AA1714" i="1" s="1"/>
  <c r="AA1715" i="1" s="1"/>
  <c r="AA1716" i="1" s="1"/>
  <c r="AA1717" i="1" s="1"/>
  <c r="AA1718" i="1" s="1"/>
  <c r="AA1719" i="1" s="1"/>
  <c r="AA1720" i="1" s="1"/>
  <c r="AA1721" i="1" s="1"/>
  <c r="AA1722" i="1" s="1"/>
  <c r="AA1723" i="1" s="1"/>
  <c r="AA1724" i="1" s="1"/>
  <c r="AA1725" i="1" s="1"/>
  <c r="AA1726" i="1" s="1"/>
  <c r="AA1727" i="1" s="1"/>
  <c r="AA1728" i="1" s="1"/>
  <c r="AA1729" i="1" s="1"/>
  <c r="AA1730" i="1" s="1"/>
  <c r="AA1731" i="1" s="1"/>
  <c r="AA1732" i="1" s="1"/>
  <c r="AA1733" i="1" s="1"/>
  <c r="AA1734" i="1" s="1"/>
  <c r="AA1735" i="1" s="1"/>
  <c r="AA1736" i="1" s="1"/>
  <c r="AA1737" i="1" s="1"/>
  <c r="AA1738" i="1" s="1"/>
  <c r="AA1739" i="1" s="1"/>
  <c r="AA1740" i="1" s="1"/>
  <c r="AA1741" i="1" s="1"/>
  <c r="AA1742" i="1" s="1"/>
  <c r="AA1743" i="1" s="1"/>
  <c r="AA1744" i="1" s="1"/>
  <c r="AA1745" i="1" s="1"/>
  <c r="AA1746" i="1" s="1"/>
  <c r="AA1747" i="1" s="1"/>
  <c r="AA1748" i="1" s="1"/>
  <c r="AA1749" i="1" s="1"/>
  <c r="AA1750" i="1" s="1"/>
  <c r="AA1751" i="1" s="1"/>
  <c r="AA1752" i="1" s="1"/>
  <c r="AA1753" i="1" s="1"/>
  <c r="AA1754" i="1" s="1"/>
  <c r="AA1755" i="1" s="1"/>
  <c r="AA1756" i="1" s="1"/>
  <c r="AA1757" i="1" s="1"/>
  <c r="AA1758" i="1" s="1"/>
  <c r="AA1759" i="1" s="1"/>
  <c r="AA1760" i="1" s="1"/>
  <c r="AA1761" i="1" s="1"/>
  <c r="AA1762" i="1" s="1"/>
  <c r="AA1763" i="1" s="1"/>
  <c r="AA1764" i="1" s="1"/>
  <c r="AA1765" i="1" s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AA1776" i="1" s="1"/>
  <c r="AA1777" i="1" s="1"/>
  <c r="AA1778" i="1" s="1"/>
  <c r="AA1779" i="1" s="1"/>
  <c r="AA1780" i="1" s="1"/>
  <c r="AA1781" i="1" s="1"/>
  <c r="AA1782" i="1" s="1"/>
  <c r="AA1783" i="1" s="1"/>
  <c r="AA1784" i="1" s="1"/>
  <c r="AA1785" i="1" s="1"/>
  <c r="AA1786" i="1" s="1"/>
  <c r="AA1787" i="1" s="1"/>
  <c r="AA1788" i="1" s="1"/>
  <c r="AA1789" i="1" s="1"/>
  <c r="AA1790" i="1" s="1"/>
  <c r="AA1791" i="1" s="1"/>
  <c r="AA1792" i="1" s="1"/>
  <c r="AA1793" i="1" s="1"/>
  <c r="AA1794" i="1" s="1"/>
  <c r="AA1795" i="1" s="1"/>
  <c r="AA1796" i="1" s="1"/>
  <c r="AA1797" i="1" s="1"/>
  <c r="AA1798" i="1" s="1"/>
  <c r="AA1799" i="1" s="1"/>
  <c r="AA1800" i="1" s="1"/>
  <c r="AA1801" i="1" s="1"/>
  <c r="AA1802" i="1" s="1"/>
  <c r="AA1803" i="1" s="1"/>
  <c r="AA1804" i="1" s="1"/>
  <c r="AA1805" i="1" s="1"/>
  <c r="AA1806" i="1" s="1"/>
  <c r="AA1807" i="1" s="1"/>
  <c r="AA1808" i="1" s="1"/>
  <c r="AA1809" i="1" s="1"/>
  <c r="AA1810" i="1" s="1"/>
  <c r="AA1811" i="1" s="1"/>
  <c r="AA1812" i="1" s="1"/>
  <c r="AA1813" i="1" s="1"/>
  <c r="AA1814" i="1" s="1"/>
  <c r="AA1815" i="1" s="1"/>
  <c r="AA1816" i="1" s="1"/>
  <c r="AA1817" i="1" s="1"/>
  <c r="AA1818" i="1" s="1"/>
  <c r="AA1819" i="1" s="1"/>
  <c r="AA1820" i="1" s="1"/>
  <c r="AA1821" i="1" s="1"/>
  <c r="AA1822" i="1" s="1"/>
  <c r="AA1823" i="1" s="1"/>
  <c r="AA1824" i="1" s="1"/>
  <c r="AA1825" i="1" s="1"/>
  <c r="AA1826" i="1" s="1"/>
  <c r="AA1827" i="1" s="1"/>
  <c r="AA1828" i="1" s="1"/>
  <c r="AA1829" i="1" s="1"/>
  <c r="AA1830" i="1" s="1"/>
  <c r="AA1831" i="1" s="1"/>
  <c r="AA1832" i="1" s="1"/>
  <c r="AA1833" i="1" s="1"/>
  <c r="AA1834" i="1" s="1"/>
  <c r="AA1835" i="1" s="1"/>
  <c r="AA1836" i="1" s="1"/>
  <c r="AA1837" i="1" s="1"/>
  <c r="AA1838" i="1" s="1"/>
  <c r="AA1839" i="1" s="1"/>
  <c r="AA1840" i="1" s="1"/>
  <c r="AA1841" i="1" s="1"/>
  <c r="AA1842" i="1" s="1"/>
  <c r="AA1843" i="1" s="1"/>
  <c r="AA1844" i="1" s="1"/>
  <c r="AA1845" i="1" s="1"/>
  <c r="AA1846" i="1" s="1"/>
  <c r="AA1847" i="1" s="1"/>
  <c r="AA1848" i="1" s="1"/>
  <c r="AA1849" i="1" s="1"/>
  <c r="AA1850" i="1" s="1"/>
  <c r="AA1851" i="1" s="1"/>
  <c r="AA1852" i="1" s="1"/>
  <c r="AA1853" i="1" s="1"/>
  <c r="AA1854" i="1" s="1"/>
  <c r="AA1855" i="1" s="1"/>
  <c r="AA1856" i="1" s="1"/>
  <c r="AA1857" i="1" s="1"/>
  <c r="AA1858" i="1" s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AA1868" i="1" s="1"/>
  <c r="AA1869" i="1" s="1"/>
  <c r="AA1870" i="1" s="1"/>
  <c r="AA1871" i="1" s="1"/>
  <c r="AA1872" i="1" s="1"/>
  <c r="AA1873" i="1" s="1"/>
  <c r="AA1874" i="1" s="1"/>
  <c r="AA1875" i="1" s="1"/>
  <c r="AA1876" i="1" s="1"/>
  <c r="AA1877" i="1" s="1"/>
  <c r="AA1878" i="1" s="1"/>
  <c r="AA1879" i="1" s="1"/>
  <c r="AA1880" i="1" s="1"/>
  <c r="AA1881" i="1" s="1"/>
  <c r="AA1882" i="1" s="1"/>
  <c r="AA1883" i="1" s="1"/>
  <c r="AA1884" i="1" s="1"/>
  <c r="AA1885" i="1" s="1"/>
  <c r="AA1886" i="1" s="1"/>
  <c r="AA1887" i="1" s="1"/>
  <c r="AA1888" i="1" s="1"/>
  <c r="AA1889" i="1" s="1"/>
  <c r="AA1890" i="1" s="1"/>
  <c r="AA1891" i="1" s="1"/>
  <c r="AA1892" i="1" s="1"/>
  <c r="AA1893" i="1" s="1"/>
  <c r="AA1894" i="1" s="1"/>
  <c r="AA1895" i="1" s="1"/>
  <c r="AA1896" i="1" s="1"/>
  <c r="AA1897" i="1" s="1"/>
  <c r="AA1898" i="1" s="1"/>
  <c r="AA1899" i="1" s="1"/>
  <c r="AA1900" i="1" s="1"/>
  <c r="AA1901" i="1" s="1"/>
  <c r="AA1902" i="1" s="1"/>
  <c r="AA1903" i="1" s="1"/>
  <c r="AA1904" i="1" s="1"/>
  <c r="AA1905" i="1" s="1"/>
  <c r="AA1906" i="1" s="1"/>
  <c r="AA1907" i="1" s="1"/>
  <c r="AA1908" i="1" s="1"/>
  <c r="AA1909" i="1" s="1"/>
  <c r="AA1910" i="1" s="1"/>
  <c r="AA1911" i="1" s="1"/>
  <c r="AA1912" i="1" s="1"/>
  <c r="AA1913" i="1" s="1"/>
  <c r="AA1914" i="1" s="1"/>
  <c r="AA1915" i="1" s="1"/>
  <c r="AA1916" i="1" s="1"/>
  <c r="AA1917" i="1" s="1"/>
  <c r="AA1918" i="1" s="1"/>
  <c r="AA1919" i="1" s="1"/>
  <c r="AA1920" i="1" s="1"/>
  <c r="AA1921" i="1" s="1"/>
  <c r="AA1922" i="1" s="1"/>
  <c r="AA1923" i="1" s="1"/>
  <c r="AA1924" i="1" s="1"/>
  <c r="AA1925" i="1" s="1"/>
  <c r="AA1926" i="1" s="1"/>
  <c r="AA1927" i="1" s="1"/>
  <c r="AA1928" i="1" s="1"/>
  <c r="AA1929" i="1" s="1"/>
  <c r="AA1930" i="1" s="1"/>
  <c r="AA1931" i="1" s="1"/>
  <c r="AA1932" i="1" s="1"/>
  <c r="AA1933" i="1" s="1"/>
  <c r="AA1934" i="1" s="1"/>
  <c r="AA1935" i="1" s="1"/>
  <c r="AA1936" i="1" s="1"/>
  <c r="AA1937" i="1" s="1"/>
  <c r="AA1938" i="1" s="1"/>
  <c r="AA1939" i="1" s="1"/>
  <c r="AA1940" i="1" s="1"/>
  <c r="AA1941" i="1" s="1"/>
  <c r="AA1942" i="1" s="1"/>
  <c r="AA1943" i="1" s="1"/>
  <c r="AA1944" i="1" s="1"/>
  <c r="AA1945" i="1" s="1"/>
  <c r="AA1946" i="1" s="1"/>
  <c r="AA1947" i="1" s="1"/>
  <c r="AA1948" i="1" s="1"/>
  <c r="AA1949" i="1" s="1"/>
  <c r="AA1950" i="1" s="1"/>
  <c r="AA1951" i="1" s="1"/>
  <c r="AA1952" i="1" s="1"/>
  <c r="AA1953" i="1" s="1"/>
  <c r="AA1954" i="1" s="1"/>
  <c r="AA1955" i="1" s="1"/>
  <c r="AA1956" i="1" s="1"/>
  <c r="AA1957" i="1" s="1"/>
  <c r="AA1958" i="1" s="1"/>
  <c r="AA1959" i="1" s="1"/>
  <c r="AA1960" i="1" s="1"/>
  <c r="AA1961" i="1" s="1"/>
  <c r="AA1962" i="1" s="1"/>
  <c r="AA1963" i="1" s="1"/>
  <c r="AA1964" i="1" s="1"/>
  <c r="AA1965" i="1" s="1"/>
  <c r="AA1966" i="1" s="1"/>
  <c r="AA1967" i="1" s="1"/>
  <c r="AA1968" i="1" s="1"/>
  <c r="AA1969" i="1" s="1"/>
  <c r="AA1970" i="1" s="1"/>
  <c r="AA1971" i="1" s="1"/>
  <c r="AA1972" i="1" s="1"/>
  <c r="AA1973" i="1" s="1"/>
  <c r="AA1974" i="1" s="1"/>
  <c r="AA1975" i="1" s="1"/>
  <c r="AA1976" i="1" s="1"/>
  <c r="AA1977" i="1" s="1"/>
  <c r="AA1978" i="1" s="1"/>
  <c r="AA1979" i="1" s="1"/>
  <c r="AA1980" i="1" s="1"/>
  <c r="AA1981" i="1" s="1"/>
  <c r="AA1982" i="1" s="1"/>
  <c r="AA1983" i="1" s="1"/>
  <c r="AA1984" i="1" s="1"/>
  <c r="AA1985" i="1" s="1"/>
  <c r="AA1986" i="1" s="1"/>
  <c r="AA1987" i="1" s="1"/>
  <c r="AA1988" i="1" s="1"/>
  <c r="AA1989" i="1" s="1"/>
  <c r="AA1990" i="1" s="1"/>
  <c r="AA1991" i="1" s="1"/>
  <c r="AA1992" i="1" s="1"/>
  <c r="AA1993" i="1" s="1"/>
  <c r="AA1994" i="1" s="1"/>
  <c r="AA1995" i="1" s="1"/>
  <c r="AA1996" i="1" s="1"/>
  <c r="AA1997" i="1" s="1"/>
  <c r="AA1998" i="1" s="1"/>
  <c r="AA1999" i="1" s="1"/>
  <c r="AA2000" i="1" s="1"/>
  <c r="AA2001" i="1" s="1"/>
  <c r="AA2002" i="1" s="1"/>
  <c r="AA2003" i="1" s="1"/>
  <c r="AA2004" i="1" s="1"/>
  <c r="AA2005" i="1" s="1"/>
  <c r="AA2006" i="1" s="1"/>
  <c r="AA2007" i="1" s="1"/>
  <c r="AA2008" i="1" s="1"/>
  <c r="AA2009" i="1" s="1"/>
  <c r="AA2010" i="1" s="1"/>
  <c r="AA2011" i="1" s="1"/>
  <c r="AA2012" i="1" s="1"/>
  <c r="AA2013" i="1" s="1"/>
  <c r="AA2014" i="1" s="1"/>
  <c r="AA2015" i="1" s="1"/>
  <c r="AA2016" i="1" s="1"/>
  <c r="AA2017" i="1" s="1"/>
  <c r="AA2018" i="1" s="1"/>
  <c r="AA2019" i="1" s="1"/>
  <c r="AA2020" i="1" s="1"/>
  <c r="AA2021" i="1" s="1"/>
  <c r="AA2022" i="1" s="1"/>
  <c r="AA2023" i="1" s="1"/>
  <c r="AA2024" i="1" s="1"/>
  <c r="AA2025" i="1" s="1"/>
  <c r="AA2026" i="1" s="1"/>
  <c r="AA2027" i="1" s="1"/>
  <c r="AA2028" i="1" s="1"/>
  <c r="AA2029" i="1" s="1"/>
  <c r="AA2030" i="1" s="1"/>
  <c r="AA2031" i="1" s="1"/>
  <c r="AA2032" i="1" s="1"/>
  <c r="AA2033" i="1" s="1"/>
  <c r="AA2034" i="1" s="1"/>
  <c r="AA2035" i="1" s="1"/>
  <c r="AA2036" i="1" s="1"/>
  <c r="AA2037" i="1" s="1"/>
  <c r="AA2038" i="1" s="1"/>
  <c r="AA2039" i="1" s="1"/>
  <c r="AA2040" i="1" s="1"/>
  <c r="AA2041" i="1" s="1"/>
  <c r="AA2042" i="1" s="1"/>
  <c r="AA2043" i="1" s="1"/>
  <c r="AA2044" i="1" s="1"/>
  <c r="AA2045" i="1" s="1"/>
  <c r="AA2046" i="1" s="1"/>
  <c r="AA2047" i="1" s="1"/>
  <c r="AA2048" i="1" s="1"/>
  <c r="AA2049" i="1" s="1"/>
  <c r="AA2050" i="1" s="1"/>
  <c r="AA2051" i="1" s="1"/>
  <c r="AA2052" i="1" s="1"/>
  <c r="AA2053" i="1" s="1"/>
  <c r="AA2054" i="1" s="1"/>
  <c r="AA2055" i="1" s="1"/>
  <c r="AA2056" i="1" s="1"/>
  <c r="AA2057" i="1" s="1"/>
  <c r="AA2058" i="1" s="1"/>
  <c r="AA2059" i="1" s="1"/>
  <c r="AA2060" i="1" s="1"/>
  <c r="AA2061" i="1" s="1"/>
  <c r="AA2062" i="1" s="1"/>
  <c r="AA2063" i="1" s="1"/>
  <c r="AA2064" i="1" s="1"/>
  <c r="AA2065" i="1" s="1"/>
  <c r="AA2066" i="1" s="1"/>
  <c r="AA2067" i="1" s="1"/>
  <c r="AA2068" i="1" s="1"/>
  <c r="AA2069" i="1" s="1"/>
  <c r="AA2070" i="1" s="1"/>
  <c r="AA2071" i="1" s="1"/>
  <c r="AA2072" i="1" s="1"/>
  <c r="AA2073" i="1" s="1"/>
  <c r="AA2074" i="1" s="1"/>
  <c r="AA2075" i="1" s="1"/>
  <c r="AA2076" i="1" s="1"/>
  <c r="AA2077" i="1" s="1"/>
  <c r="AA2078" i="1" s="1"/>
  <c r="AA2079" i="1" s="1"/>
  <c r="AA2080" i="1" s="1"/>
  <c r="AA2081" i="1" s="1"/>
  <c r="AA2082" i="1" s="1"/>
  <c r="AA2083" i="1" s="1"/>
  <c r="AA2084" i="1" s="1"/>
  <c r="AA2085" i="1" s="1"/>
  <c r="AA2086" i="1" s="1"/>
  <c r="AA2087" i="1" s="1"/>
  <c r="AA2088" i="1" s="1"/>
  <c r="AA2089" i="1" s="1"/>
  <c r="AA2090" i="1" s="1"/>
  <c r="AA2091" i="1" s="1"/>
  <c r="AA2092" i="1" s="1"/>
  <c r="AA2093" i="1" s="1"/>
  <c r="AA2094" i="1" s="1"/>
  <c r="AA2095" i="1" s="1"/>
  <c r="AA2096" i="1" s="1"/>
  <c r="AA2097" i="1" s="1"/>
  <c r="AA2098" i="1" s="1"/>
  <c r="AA2099" i="1" s="1"/>
  <c r="AA2100" i="1" s="1"/>
  <c r="AA2101" i="1" s="1"/>
  <c r="AA2102" i="1" s="1"/>
  <c r="AA2103" i="1" s="1"/>
  <c r="AA2104" i="1" s="1"/>
  <c r="AA2105" i="1" s="1"/>
  <c r="AA2106" i="1" s="1"/>
  <c r="AA2107" i="1" s="1"/>
  <c r="AA2108" i="1" s="1"/>
  <c r="AA2109" i="1" s="1"/>
  <c r="AA2110" i="1" s="1"/>
  <c r="AA2111" i="1" s="1"/>
  <c r="AA2112" i="1" s="1"/>
  <c r="AA2113" i="1" s="1"/>
  <c r="AA2114" i="1" s="1"/>
  <c r="AA2115" i="1" s="1"/>
  <c r="AA2116" i="1" s="1"/>
  <c r="AA2117" i="1" s="1"/>
  <c r="AA2118" i="1" s="1"/>
  <c r="AA2119" i="1" s="1"/>
  <c r="AA2120" i="1" s="1"/>
  <c r="AA2121" i="1" s="1"/>
  <c r="AA2122" i="1" s="1"/>
  <c r="AA2123" i="1" s="1"/>
  <c r="AA2124" i="1" s="1"/>
  <c r="AA2125" i="1" s="1"/>
  <c r="AA2126" i="1" s="1"/>
  <c r="AA2127" i="1" s="1"/>
  <c r="AA2128" i="1" s="1"/>
  <c r="AA2129" i="1" s="1"/>
  <c r="AA2130" i="1" s="1"/>
  <c r="AA2131" i="1" s="1"/>
  <c r="AA2132" i="1" s="1"/>
  <c r="AA2133" i="1" s="1"/>
  <c r="AA2134" i="1" s="1"/>
  <c r="AA2135" i="1" s="1"/>
  <c r="AA2136" i="1" s="1"/>
  <c r="AA2137" i="1" s="1"/>
  <c r="AA2138" i="1" s="1"/>
  <c r="AA2139" i="1" s="1"/>
  <c r="AA2140" i="1" s="1"/>
  <c r="AA2141" i="1" s="1"/>
  <c r="AA2142" i="1" s="1"/>
  <c r="AA2143" i="1" s="1"/>
  <c r="AA2144" i="1" s="1"/>
  <c r="AA2145" i="1" s="1"/>
  <c r="AA2146" i="1" s="1"/>
  <c r="AA2147" i="1" s="1"/>
  <c r="AA2148" i="1" s="1"/>
  <c r="AA2149" i="1" s="1"/>
  <c r="AA2150" i="1" s="1"/>
  <c r="AA2151" i="1" s="1"/>
  <c r="AA2152" i="1" s="1"/>
  <c r="AA2153" i="1" s="1"/>
  <c r="AA2154" i="1" s="1"/>
  <c r="AA2155" i="1" s="1"/>
  <c r="AA2156" i="1" s="1"/>
  <c r="AA2157" i="1" s="1"/>
  <c r="AA2158" i="1" s="1"/>
  <c r="AA2159" i="1" s="1"/>
  <c r="AA2160" i="1" s="1"/>
  <c r="AA2161" i="1" s="1"/>
  <c r="AA2162" i="1" s="1"/>
  <c r="AA2163" i="1" s="1"/>
  <c r="AA2164" i="1" s="1"/>
  <c r="AA2165" i="1" s="1"/>
  <c r="AA2166" i="1" s="1"/>
  <c r="AA2167" i="1" s="1"/>
  <c r="AA2168" i="1" s="1"/>
  <c r="AA2169" i="1" s="1"/>
  <c r="AA2170" i="1" s="1"/>
  <c r="AA2171" i="1" s="1"/>
  <c r="AA2172" i="1" s="1"/>
  <c r="AA2173" i="1" s="1"/>
  <c r="AA2174" i="1" s="1"/>
  <c r="AA2175" i="1" s="1"/>
  <c r="AA2176" i="1" s="1"/>
  <c r="AA2177" i="1" s="1"/>
  <c r="AA2178" i="1" s="1"/>
  <c r="AA2179" i="1" s="1"/>
  <c r="AA2180" i="1" s="1"/>
  <c r="AA2181" i="1" s="1"/>
  <c r="AA2182" i="1" s="1"/>
  <c r="AA2183" i="1" s="1"/>
  <c r="AA2184" i="1" s="1"/>
  <c r="AA2185" i="1" s="1"/>
  <c r="AA2186" i="1" s="1"/>
  <c r="AA2187" i="1" s="1"/>
  <c r="AA2188" i="1" s="1"/>
  <c r="AA2189" i="1" s="1"/>
  <c r="AA2190" i="1" s="1"/>
  <c r="AA2191" i="1" s="1"/>
  <c r="AA2192" i="1" s="1"/>
  <c r="AA2193" i="1" s="1"/>
  <c r="AA2194" i="1" s="1"/>
  <c r="AA2195" i="1" s="1"/>
  <c r="AA2196" i="1" s="1"/>
  <c r="AA2197" i="1" s="1"/>
  <c r="AA2198" i="1" s="1"/>
  <c r="AA2199" i="1" s="1"/>
  <c r="AA2200" i="1" s="1"/>
  <c r="AA2201" i="1" s="1"/>
  <c r="AA2202" i="1" s="1"/>
  <c r="AA2203" i="1" s="1"/>
  <c r="AA2204" i="1" s="1"/>
  <c r="AA2205" i="1" s="1"/>
  <c r="AA2206" i="1" s="1"/>
  <c r="AA2207" i="1" s="1"/>
  <c r="AA2208" i="1" s="1"/>
  <c r="AA2209" i="1" s="1"/>
  <c r="AA2210" i="1" s="1"/>
  <c r="AA2211" i="1" s="1"/>
  <c r="AA2212" i="1" s="1"/>
  <c r="AA2213" i="1" s="1"/>
  <c r="AA2214" i="1" s="1"/>
  <c r="AA2215" i="1" s="1"/>
  <c r="AA2216" i="1" s="1"/>
  <c r="AA2217" i="1" s="1"/>
  <c r="AA2218" i="1" s="1"/>
  <c r="AA2219" i="1" s="1"/>
  <c r="AA2220" i="1" s="1"/>
  <c r="AA2221" i="1" s="1"/>
  <c r="AA2222" i="1" s="1"/>
  <c r="AA2223" i="1" s="1"/>
  <c r="AA2224" i="1" s="1"/>
  <c r="AA2225" i="1" s="1"/>
  <c r="AA2226" i="1" s="1"/>
  <c r="AA2227" i="1" s="1"/>
  <c r="AA2228" i="1" s="1"/>
  <c r="AA2229" i="1" s="1"/>
  <c r="AA2230" i="1" s="1"/>
  <c r="AA2231" i="1" s="1"/>
  <c r="AA2232" i="1" s="1"/>
  <c r="AA2233" i="1" s="1"/>
  <c r="AA2234" i="1" s="1"/>
  <c r="AA2235" i="1" s="1"/>
  <c r="AA2236" i="1" s="1"/>
  <c r="AA2237" i="1" s="1"/>
  <c r="AA2238" i="1" s="1"/>
  <c r="AA2239" i="1" s="1"/>
  <c r="AA2240" i="1" s="1"/>
  <c r="AA2241" i="1" s="1"/>
  <c r="AA2242" i="1" s="1"/>
  <c r="AA2243" i="1" s="1"/>
  <c r="AA2244" i="1" s="1"/>
  <c r="AA2245" i="1" s="1"/>
  <c r="AA2246" i="1" s="1"/>
  <c r="AA2247" i="1" s="1"/>
  <c r="AA2248" i="1" s="1"/>
  <c r="AA2249" i="1" s="1"/>
  <c r="AA2250" i="1" s="1"/>
  <c r="AA2251" i="1" s="1"/>
  <c r="AA2252" i="1" s="1"/>
  <c r="AA2253" i="1" s="1"/>
  <c r="AA2254" i="1" s="1"/>
  <c r="AA2255" i="1" s="1"/>
  <c r="AA2256" i="1" s="1"/>
  <c r="AA2257" i="1" s="1"/>
  <c r="AA2258" i="1" s="1"/>
  <c r="AA2259" i="1" s="1"/>
  <c r="AA2260" i="1" s="1"/>
  <c r="AA2261" i="1" s="1"/>
  <c r="AA2262" i="1" s="1"/>
  <c r="AA2263" i="1" s="1"/>
  <c r="AA2264" i="1" s="1"/>
  <c r="AA2265" i="1" s="1"/>
  <c r="AA2266" i="1" s="1"/>
  <c r="AA2267" i="1" s="1"/>
  <c r="AA2268" i="1" s="1"/>
  <c r="AA2269" i="1" s="1"/>
  <c r="AA2270" i="1" s="1"/>
  <c r="AA2271" i="1" s="1"/>
  <c r="AA2272" i="1" s="1"/>
  <c r="AA2273" i="1" s="1"/>
  <c r="AA2274" i="1" s="1"/>
  <c r="AA2275" i="1" s="1"/>
  <c r="AA2276" i="1" s="1"/>
  <c r="AA2277" i="1" s="1"/>
  <c r="AA2278" i="1" s="1"/>
  <c r="AA2279" i="1" s="1"/>
  <c r="AA2280" i="1" s="1"/>
  <c r="AA2281" i="1" s="1"/>
  <c r="AA2282" i="1" s="1"/>
  <c r="AA2283" i="1" s="1"/>
  <c r="AA2284" i="1" s="1"/>
  <c r="AA2285" i="1" s="1"/>
  <c r="AA2286" i="1" s="1"/>
  <c r="AA2287" i="1" s="1"/>
  <c r="AA2288" i="1" s="1"/>
  <c r="AA2289" i="1" s="1"/>
  <c r="AA2290" i="1" s="1"/>
  <c r="AA2291" i="1" s="1"/>
  <c r="AA2292" i="1" s="1"/>
  <c r="AA2293" i="1" s="1"/>
  <c r="AA2294" i="1" s="1"/>
  <c r="AA2295" i="1" s="1"/>
  <c r="AA2296" i="1" s="1"/>
  <c r="AA2297" i="1" s="1"/>
  <c r="AA2298" i="1" s="1"/>
  <c r="AA2299" i="1" s="1"/>
  <c r="AA2300" i="1" s="1"/>
  <c r="AA2301" i="1" s="1"/>
  <c r="AA2302" i="1" s="1"/>
  <c r="AA2303" i="1" s="1"/>
  <c r="AA2304" i="1" s="1"/>
  <c r="AA2305" i="1" s="1"/>
  <c r="AA2306" i="1" s="1"/>
  <c r="AA2307" i="1" s="1"/>
  <c r="AA2308" i="1" s="1"/>
  <c r="AA2309" i="1" s="1"/>
  <c r="AA2310" i="1" s="1"/>
  <c r="AA2311" i="1" s="1"/>
  <c r="AA2312" i="1" s="1"/>
  <c r="AA2313" i="1" s="1"/>
  <c r="AA2314" i="1" s="1"/>
  <c r="AA2315" i="1" s="1"/>
  <c r="AA2316" i="1" s="1"/>
  <c r="AA2317" i="1" s="1"/>
  <c r="AA2318" i="1" s="1"/>
  <c r="AA2319" i="1" s="1"/>
  <c r="AA2320" i="1" s="1"/>
  <c r="AA2321" i="1" s="1"/>
  <c r="AA2322" i="1" s="1"/>
  <c r="AA2323" i="1" s="1"/>
  <c r="AA2324" i="1" s="1"/>
  <c r="AA2325" i="1" s="1"/>
  <c r="AA2326" i="1" s="1"/>
  <c r="AA2327" i="1" s="1"/>
  <c r="AA2328" i="1" s="1"/>
  <c r="AA2329" i="1" s="1"/>
  <c r="AA2330" i="1" s="1"/>
  <c r="AA2331" i="1" s="1"/>
  <c r="AA2332" i="1" s="1"/>
  <c r="AA2333" i="1" s="1"/>
  <c r="AA2334" i="1" s="1"/>
  <c r="AA2335" i="1" s="1"/>
  <c r="AA2336" i="1" s="1"/>
  <c r="AA2337" i="1" s="1"/>
  <c r="AA2338" i="1" s="1"/>
  <c r="AA2339" i="1" s="1"/>
  <c r="AA2340" i="1" s="1"/>
  <c r="AA2341" i="1" s="1"/>
  <c r="AA2342" i="1" s="1"/>
  <c r="AA2343" i="1" s="1"/>
  <c r="AA2344" i="1" s="1"/>
  <c r="AA2345" i="1" s="1"/>
  <c r="AA2346" i="1" s="1"/>
  <c r="AA2347" i="1" s="1"/>
  <c r="AA2348" i="1" s="1"/>
  <c r="AA2349" i="1" s="1"/>
  <c r="AA2350" i="1" s="1"/>
  <c r="AA2351" i="1" s="1"/>
  <c r="AA2352" i="1" s="1"/>
  <c r="AA2353" i="1" s="1"/>
  <c r="AA2354" i="1" s="1"/>
  <c r="AA2355" i="1" s="1"/>
  <c r="AA2356" i="1" s="1"/>
  <c r="AA2357" i="1" s="1"/>
  <c r="AA2358" i="1" s="1"/>
  <c r="AA2359" i="1" s="1"/>
  <c r="AA2360" i="1" s="1"/>
  <c r="AA2361" i="1" s="1"/>
  <c r="AA2362" i="1" s="1"/>
  <c r="AA2363" i="1" s="1"/>
  <c r="AA2364" i="1" s="1"/>
  <c r="AA2365" i="1" s="1"/>
  <c r="AA2366" i="1" s="1"/>
  <c r="AA2367" i="1" s="1"/>
  <c r="AA2368" i="1" s="1"/>
  <c r="AA2369" i="1" s="1"/>
  <c r="AA2370" i="1" s="1"/>
  <c r="AA2371" i="1" s="1"/>
  <c r="AA2372" i="1" s="1"/>
  <c r="AA2373" i="1" s="1"/>
  <c r="AA2374" i="1" s="1"/>
  <c r="AA2375" i="1" s="1"/>
  <c r="AA2376" i="1" s="1"/>
  <c r="AA2377" i="1" s="1"/>
  <c r="AA2378" i="1" s="1"/>
  <c r="AA2379" i="1" s="1"/>
  <c r="AA2380" i="1" s="1"/>
  <c r="AA2381" i="1" s="1"/>
  <c r="AA2382" i="1" s="1"/>
  <c r="AA2383" i="1" s="1"/>
  <c r="AA2384" i="1" s="1"/>
  <c r="AA2385" i="1" s="1"/>
  <c r="AA2386" i="1" s="1"/>
  <c r="AA2387" i="1" s="1"/>
  <c r="AA2388" i="1" s="1"/>
  <c r="AA2389" i="1" s="1"/>
  <c r="AA2390" i="1" s="1"/>
  <c r="AA2391" i="1" s="1"/>
  <c r="AA2392" i="1" s="1"/>
  <c r="AA2393" i="1" s="1"/>
  <c r="AA2394" i="1" s="1"/>
  <c r="AA2395" i="1" s="1"/>
  <c r="AA2396" i="1" s="1"/>
  <c r="AA2397" i="1" s="1"/>
  <c r="AA2398" i="1" s="1"/>
  <c r="AA2399" i="1" s="1"/>
  <c r="AA2400" i="1" s="1"/>
  <c r="AA2401" i="1" s="1"/>
  <c r="AA2402" i="1" s="1"/>
  <c r="AA2403" i="1" s="1"/>
  <c r="AA2404" i="1" s="1"/>
  <c r="AA2405" i="1" s="1"/>
  <c r="AA2406" i="1" s="1"/>
  <c r="AA2407" i="1" s="1"/>
  <c r="AA2408" i="1" s="1"/>
  <c r="AA2409" i="1" s="1"/>
  <c r="AA2410" i="1" s="1"/>
  <c r="AA2411" i="1" s="1"/>
  <c r="AA2412" i="1" s="1"/>
  <c r="AA2413" i="1" s="1"/>
  <c r="AA2414" i="1" s="1"/>
  <c r="AA2415" i="1" s="1"/>
  <c r="AA2416" i="1" s="1"/>
  <c r="AA2417" i="1" s="1"/>
  <c r="AA2418" i="1" s="1"/>
  <c r="AA2419" i="1" s="1"/>
  <c r="AA2420" i="1" s="1"/>
  <c r="AA2421" i="1" s="1"/>
  <c r="AA2422" i="1" s="1"/>
  <c r="AA2423" i="1" s="1"/>
  <c r="AA2424" i="1" s="1"/>
  <c r="AA2425" i="1" s="1"/>
  <c r="AA2426" i="1" s="1"/>
  <c r="AA2427" i="1" s="1"/>
  <c r="AA2428" i="1" s="1"/>
  <c r="AA2429" i="1" s="1"/>
  <c r="AA2430" i="1" s="1"/>
  <c r="AA2431" i="1" s="1"/>
  <c r="AA2432" i="1" s="1"/>
  <c r="AA2433" i="1" s="1"/>
  <c r="AA2434" i="1" s="1"/>
  <c r="AA2435" i="1" s="1"/>
  <c r="AA2436" i="1" s="1"/>
  <c r="AA2437" i="1" s="1"/>
  <c r="AA2438" i="1" s="1"/>
  <c r="AA2439" i="1" s="1"/>
  <c r="AA2440" i="1" s="1"/>
  <c r="AA2441" i="1" s="1"/>
  <c r="AA2442" i="1" s="1"/>
  <c r="AA2443" i="1" s="1"/>
  <c r="AA2444" i="1" s="1"/>
  <c r="AA2445" i="1" s="1"/>
  <c r="AA2446" i="1" s="1"/>
  <c r="AA2447" i="1" s="1"/>
  <c r="AA2448" i="1" s="1"/>
  <c r="AA2449" i="1" s="1"/>
  <c r="AA2450" i="1" s="1"/>
  <c r="AA2451" i="1" s="1"/>
  <c r="AA2452" i="1" s="1"/>
  <c r="AA2453" i="1" s="1"/>
  <c r="AA2454" i="1" s="1"/>
  <c r="AA2455" i="1" s="1"/>
  <c r="AA2456" i="1" s="1"/>
  <c r="AA2457" i="1" s="1"/>
  <c r="AA2458" i="1" s="1"/>
  <c r="AA2459" i="1" s="1"/>
  <c r="AA2460" i="1" s="1"/>
  <c r="AA2461" i="1" s="1"/>
  <c r="AA2462" i="1" s="1"/>
  <c r="AA2463" i="1" s="1"/>
  <c r="AA2464" i="1" s="1"/>
  <c r="AA2465" i="1" s="1"/>
  <c r="AA2466" i="1" s="1"/>
  <c r="AA2467" i="1" s="1"/>
  <c r="AA2468" i="1" s="1"/>
  <c r="AA2469" i="1" s="1"/>
  <c r="AA2470" i="1" s="1"/>
  <c r="AA2471" i="1" s="1"/>
  <c r="AA2472" i="1" s="1"/>
  <c r="AA2473" i="1" s="1"/>
  <c r="AA2474" i="1" s="1"/>
  <c r="AA2475" i="1" s="1"/>
  <c r="AA2476" i="1" s="1"/>
  <c r="AA2477" i="1" s="1"/>
  <c r="AA2478" i="1" s="1"/>
  <c r="AA2479" i="1" s="1"/>
  <c r="AA2480" i="1" s="1"/>
  <c r="AA2481" i="1" s="1"/>
  <c r="AA2482" i="1" s="1"/>
  <c r="AA2483" i="1" s="1"/>
  <c r="AA2484" i="1" s="1"/>
  <c r="AA2485" i="1" s="1"/>
  <c r="AA2486" i="1" s="1"/>
  <c r="AA2487" i="1" s="1"/>
  <c r="AA2488" i="1" s="1"/>
  <c r="AA2489" i="1" s="1"/>
  <c r="AA2490" i="1" s="1"/>
  <c r="AA2491" i="1" s="1"/>
  <c r="AA2492" i="1" s="1"/>
  <c r="AA2493" i="1" s="1"/>
  <c r="AA2494" i="1" s="1"/>
  <c r="AA2495" i="1" s="1"/>
  <c r="AA2496" i="1" s="1"/>
  <c r="AA2497" i="1" s="1"/>
  <c r="AA2498" i="1" s="1"/>
  <c r="AA2499" i="1" s="1"/>
  <c r="AA2500" i="1" s="1"/>
  <c r="AA2501" i="1" s="1"/>
  <c r="AA2502" i="1" s="1"/>
  <c r="AA2503" i="1" s="1"/>
  <c r="AA2504" i="1" s="1"/>
  <c r="AA2505" i="1" s="1"/>
  <c r="AA2506" i="1" s="1"/>
  <c r="AA2507" i="1" s="1"/>
  <c r="AA2508" i="1" s="1"/>
  <c r="AA2509" i="1" s="1"/>
  <c r="AA2510" i="1" s="1"/>
  <c r="AA2511" i="1" s="1"/>
  <c r="AA2512" i="1" s="1"/>
  <c r="AA2513" i="1" s="1"/>
  <c r="AA2514" i="1" s="1"/>
  <c r="AA2515" i="1" s="1"/>
  <c r="AA2516" i="1" s="1"/>
  <c r="AA2517" i="1" s="1"/>
  <c r="AA2518" i="1" s="1"/>
  <c r="AA2519" i="1" s="1"/>
  <c r="AA2520" i="1" s="1"/>
  <c r="AA2521" i="1" s="1"/>
  <c r="AA2522" i="1" s="1"/>
  <c r="AA2523" i="1" s="1"/>
  <c r="AA2524" i="1" s="1"/>
  <c r="AA2525" i="1" s="1"/>
  <c r="AA2526" i="1" s="1"/>
  <c r="AA2527" i="1" s="1"/>
  <c r="AA2528" i="1" s="1"/>
  <c r="AA2529" i="1" s="1"/>
  <c r="AA2530" i="1" s="1"/>
  <c r="AA2531" i="1" s="1"/>
  <c r="AA2532" i="1" s="1"/>
  <c r="AA2533" i="1" s="1"/>
  <c r="AA2534" i="1" s="1"/>
  <c r="AA2535" i="1" s="1"/>
  <c r="AA2536" i="1" s="1"/>
  <c r="AA2537" i="1" s="1"/>
  <c r="AA2538" i="1" s="1"/>
  <c r="AA2539" i="1" s="1"/>
  <c r="AA2540" i="1" s="1"/>
  <c r="AA2541" i="1" s="1"/>
  <c r="AA2542" i="1" s="1"/>
  <c r="AA2543" i="1" s="1"/>
  <c r="AA2544" i="1" s="1"/>
  <c r="AA2545" i="1" s="1"/>
  <c r="AA2546" i="1" s="1"/>
  <c r="AA2547" i="1" s="1"/>
  <c r="AA2548" i="1" s="1"/>
  <c r="AA2549" i="1" s="1"/>
  <c r="AA2550" i="1" s="1"/>
  <c r="AA2551" i="1" s="1"/>
  <c r="AA2552" i="1" s="1"/>
  <c r="AA2553" i="1" s="1"/>
  <c r="AA2554" i="1" s="1"/>
  <c r="AA2555" i="1" s="1"/>
  <c r="AA2556" i="1" s="1"/>
  <c r="AA2557" i="1" s="1"/>
  <c r="AA2558" i="1" s="1"/>
  <c r="AA2559" i="1" s="1"/>
  <c r="AA2560" i="1" s="1"/>
  <c r="AA2561" i="1" s="1"/>
  <c r="AA2562" i="1" s="1"/>
  <c r="AA2563" i="1" s="1"/>
  <c r="AA2564" i="1" s="1"/>
  <c r="AA2565" i="1" s="1"/>
  <c r="AA2566" i="1" s="1"/>
  <c r="AA2567" i="1" s="1"/>
  <c r="AA2568" i="1" s="1"/>
  <c r="AA2569" i="1" s="1"/>
  <c r="AA2570" i="1" s="1"/>
  <c r="AA2571" i="1" s="1"/>
  <c r="AA2572" i="1" s="1"/>
  <c r="AA2573" i="1" s="1"/>
  <c r="AA2574" i="1" s="1"/>
  <c r="AA2575" i="1" s="1"/>
  <c r="AA2576" i="1" s="1"/>
  <c r="AA2577" i="1" s="1"/>
  <c r="AA2578" i="1" s="1"/>
  <c r="AA2579" i="1" s="1"/>
  <c r="AA2580" i="1" s="1"/>
  <c r="AA2581" i="1" s="1"/>
  <c r="AA2582" i="1" s="1"/>
  <c r="AA2583" i="1" s="1"/>
  <c r="AA2584" i="1" s="1"/>
  <c r="AA2585" i="1" s="1"/>
  <c r="AA2586" i="1" s="1"/>
  <c r="AA2587" i="1" s="1"/>
  <c r="AA2588" i="1" s="1"/>
  <c r="AA2589" i="1" s="1"/>
  <c r="AA2590" i="1" s="1"/>
  <c r="AA2591" i="1" s="1"/>
  <c r="AA2592" i="1" s="1"/>
  <c r="AA2593" i="1" s="1"/>
  <c r="AA2594" i="1" s="1"/>
  <c r="AA2595" i="1" s="1"/>
  <c r="AA2596" i="1" s="1"/>
  <c r="AA2597" i="1" s="1"/>
  <c r="AA2598" i="1" s="1"/>
  <c r="AA2599" i="1" s="1"/>
  <c r="AA2600" i="1" s="1"/>
  <c r="AA2601" i="1" s="1"/>
  <c r="AA2602" i="1" s="1"/>
  <c r="AA2603" i="1" s="1"/>
  <c r="AA2604" i="1" s="1"/>
  <c r="AA2605" i="1" s="1"/>
  <c r="AA2606" i="1" s="1"/>
  <c r="AA2607" i="1" s="1"/>
  <c r="AA2608" i="1" s="1"/>
  <c r="AA2609" i="1" s="1"/>
  <c r="AA2610" i="1" s="1"/>
  <c r="AA2611" i="1" s="1"/>
  <c r="AA2612" i="1" s="1"/>
  <c r="AA2613" i="1" s="1"/>
  <c r="AA2614" i="1" s="1"/>
  <c r="AA2615" i="1" s="1"/>
  <c r="AA2616" i="1" s="1"/>
  <c r="AA2617" i="1" s="1"/>
  <c r="AA2618" i="1" s="1"/>
  <c r="AA2619" i="1" s="1"/>
  <c r="AA2620" i="1" s="1"/>
  <c r="AA2621" i="1" s="1"/>
  <c r="AA2622" i="1" s="1"/>
  <c r="AA2623" i="1" s="1"/>
  <c r="AA2624" i="1" s="1"/>
  <c r="AA2625" i="1" s="1"/>
  <c r="AA2626" i="1" s="1"/>
  <c r="AA2627" i="1" s="1"/>
  <c r="AA2628" i="1" s="1"/>
  <c r="AA2629" i="1" s="1"/>
  <c r="AA2630" i="1" s="1"/>
  <c r="AA2631" i="1" s="1"/>
  <c r="AA2632" i="1" s="1"/>
  <c r="AA2633" i="1" s="1"/>
  <c r="AA2634" i="1" s="1"/>
  <c r="AA2635" i="1" s="1"/>
  <c r="AA2636" i="1" s="1"/>
  <c r="AA2637" i="1" s="1"/>
  <c r="AA2638" i="1" s="1"/>
  <c r="AA2639" i="1" s="1"/>
  <c r="AA2640" i="1" s="1"/>
  <c r="AA2641" i="1" s="1"/>
  <c r="AA2642" i="1" s="1"/>
  <c r="AA2643" i="1" s="1"/>
  <c r="AA2644" i="1" s="1"/>
  <c r="AA2645" i="1" s="1"/>
  <c r="AA2646" i="1" s="1"/>
  <c r="AA2647" i="1" s="1"/>
  <c r="AA2648" i="1" s="1"/>
  <c r="AA2649" i="1" s="1"/>
  <c r="AA2650" i="1" s="1"/>
  <c r="AA2651" i="1" s="1"/>
  <c r="AA2652" i="1" s="1"/>
  <c r="AA2653" i="1" s="1"/>
  <c r="AA2654" i="1" s="1"/>
  <c r="AA2655" i="1" s="1"/>
  <c r="AA2656" i="1" s="1"/>
  <c r="AA2657" i="1" s="1"/>
  <c r="AA2658" i="1" s="1"/>
  <c r="AA2659" i="1" s="1"/>
  <c r="AA2660" i="1" s="1"/>
  <c r="AA2661" i="1" s="1"/>
  <c r="AA2662" i="1" s="1"/>
  <c r="AA2663" i="1" s="1"/>
  <c r="AA2664" i="1" s="1"/>
  <c r="AA2665" i="1" s="1"/>
  <c r="AA2666" i="1" s="1"/>
  <c r="AA2667" i="1" s="1"/>
  <c r="AA2668" i="1" s="1"/>
  <c r="AA2669" i="1" s="1"/>
  <c r="AA2670" i="1" s="1"/>
  <c r="AA2671" i="1" s="1"/>
  <c r="AA2672" i="1" s="1"/>
  <c r="AA2673" i="1" s="1"/>
  <c r="AA2674" i="1" s="1"/>
  <c r="AA2675" i="1" s="1"/>
  <c r="AA2676" i="1" s="1"/>
  <c r="AA2677" i="1" s="1"/>
  <c r="AA2678" i="1" s="1"/>
  <c r="AA2679" i="1" s="1"/>
  <c r="AA2680" i="1" s="1"/>
  <c r="AA2681" i="1" s="1"/>
  <c r="AA2682" i="1" s="1"/>
  <c r="AA2683" i="1" s="1"/>
  <c r="AA2684" i="1" s="1"/>
  <c r="AA2685" i="1" s="1"/>
  <c r="AA2686" i="1" s="1"/>
  <c r="AA2687" i="1" s="1"/>
  <c r="AA2688" i="1" s="1"/>
  <c r="AA2689" i="1" s="1"/>
  <c r="AA2690" i="1" s="1"/>
  <c r="AA2691" i="1" s="1"/>
  <c r="AA2692" i="1" s="1"/>
  <c r="AA2693" i="1" s="1"/>
  <c r="AA2694" i="1" s="1"/>
  <c r="AA2695" i="1" s="1"/>
  <c r="AA2696" i="1" s="1"/>
  <c r="AA2697" i="1" s="1"/>
  <c r="AA2698" i="1" s="1"/>
  <c r="AA2699" i="1" s="1"/>
  <c r="AA2700" i="1" s="1"/>
  <c r="AA2701" i="1" s="1"/>
  <c r="AA2702" i="1" s="1"/>
  <c r="AA2703" i="1" s="1"/>
  <c r="AA2704" i="1" s="1"/>
  <c r="AA2705" i="1" s="1"/>
  <c r="AA2706" i="1" s="1"/>
  <c r="AA2707" i="1" s="1"/>
  <c r="AA2708" i="1" s="1"/>
  <c r="AA2709" i="1" s="1"/>
  <c r="AA2710" i="1" s="1"/>
  <c r="AA2711" i="1" s="1"/>
  <c r="AA2712" i="1" s="1"/>
  <c r="AA2713" i="1" s="1"/>
  <c r="AA2714" i="1" s="1"/>
  <c r="AA2715" i="1" s="1"/>
  <c r="AA2716" i="1" s="1"/>
  <c r="AA2717" i="1" s="1"/>
  <c r="AA2718" i="1" s="1"/>
  <c r="AA2719" i="1" s="1"/>
  <c r="AA2720" i="1" s="1"/>
  <c r="AA2721" i="1" s="1"/>
  <c r="AA2722" i="1" s="1"/>
  <c r="AA2723" i="1" s="1"/>
  <c r="AA2724" i="1" s="1"/>
  <c r="AA2725" i="1" s="1"/>
  <c r="AA2726" i="1" s="1"/>
  <c r="AA2727" i="1" s="1"/>
  <c r="AA2728" i="1" s="1"/>
  <c r="AA2729" i="1" s="1"/>
  <c r="AA2730" i="1" s="1"/>
  <c r="AA2731" i="1" s="1"/>
  <c r="AA2732" i="1" s="1"/>
  <c r="AA2733" i="1" s="1"/>
  <c r="AA2734" i="1" s="1"/>
  <c r="AA2735" i="1" s="1"/>
  <c r="AA2736" i="1" s="1"/>
  <c r="AA2737" i="1" s="1"/>
  <c r="AA2738" i="1" s="1"/>
  <c r="AA2739" i="1" s="1"/>
  <c r="AA2740" i="1" s="1"/>
  <c r="AA2741" i="1" s="1"/>
  <c r="AA2742" i="1" s="1"/>
  <c r="AA2743" i="1" s="1"/>
  <c r="AA2744" i="1" s="1"/>
  <c r="AA2745" i="1" s="1"/>
  <c r="AA2746" i="1" s="1"/>
  <c r="AA2747" i="1" s="1"/>
  <c r="AA2748" i="1" s="1"/>
  <c r="AA2749" i="1" s="1"/>
  <c r="AA2750" i="1" s="1"/>
  <c r="AA2751" i="1" s="1"/>
  <c r="AA2752" i="1" s="1"/>
  <c r="AA2753" i="1" s="1"/>
  <c r="AA2754" i="1" s="1"/>
  <c r="AA2755" i="1" s="1"/>
  <c r="AA2756" i="1" s="1"/>
  <c r="AA2757" i="1" s="1"/>
  <c r="AA2758" i="1" s="1"/>
  <c r="AA2759" i="1" s="1"/>
  <c r="AA2760" i="1" s="1"/>
  <c r="AA2761" i="1" s="1"/>
  <c r="AA2762" i="1" s="1"/>
  <c r="AA2763" i="1" s="1"/>
  <c r="AA2764" i="1" s="1"/>
  <c r="AA2765" i="1" s="1"/>
  <c r="AA2766" i="1" s="1"/>
  <c r="AA2767" i="1" s="1"/>
  <c r="AA2768" i="1" s="1"/>
  <c r="AA2769" i="1" s="1"/>
  <c r="AA2770" i="1" s="1"/>
  <c r="AA2771" i="1" s="1"/>
  <c r="AA2772" i="1" s="1"/>
  <c r="AA2773" i="1" s="1"/>
  <c r="AA2774" i="1" s="1"/>
  <c r="AA2775" i="1" s="1"/>
  <c r="AA2776" i="1" s="1"/>
  <c r="AA2777" i="1" s="1"/>
  <c r="AA2778" i="1" s="1"/>
  <c r="AA2779" i="1" s="1"/>
  <c r="AA2780" i="1" s="1"/>
  <c r="AA2781" i="1" s="1"/>
  <c r="AA2782" i="1" s="1"/>
  <c r="AA2783" i="1" s="1"/>
  <c r="AA2784" i="1" s="1"/>
  <c r="AA2785" i="1" s="1"/>
  <c r="AA2786" i="1" s="1"/>
  <c r="AA2787" i="1" s="1"/>
  <c r="AA2788" i="1" s="1"/>
  <c r="AA2789" i="1" s="1"/>
  <c r="AA2790" i="1" s="1"/>
  <c r="AA2791" i="1" s="1"/>
  <c r="AA2792" i="1" s="1"/>
  <c r="AA2793" i="1" s="1"/>
  <c r="AA2794" i="1" s="1"/>
  <c r="AA2795" i="1" s="1"/>
  <c r="AA2796" i="1" s="1"/>
  <c r="AA2797" i="1" s="1"/>
  <c r="AA2798" i="1" s="1"/>
  <c r="AA2799" i="1" s="1"/>
  <c r="AA2800" i="1" s="1"/>
  <c r="AA2801" i="1" s="1"/>
  <c r="AA2802" i="1" s="1"/>
  <c r="AA2803" i="1" s="1"/>
  <c r="AA2804" i="1" s="1"/>
  <c r="AA2805" i="1" s="1"/>
  <c r="AA2806" i="1" s="1"/>
  <c r="AA2807" i="1" s="1"/>
  <c r="AA2808" i="1" s="1"/>
  <c r="AA2809" i="1" s="1"/>
  <c r="AA2810" i="1" s="1"/>
  <c r="AA2811" i="1" s="1"/>
  <c r="AA2812" i="1" s="1"/>
  <c r="AA2813" i="1" s="1"/>
  <c r="AA2814" i="1" s="1"/>
  <c r="AA2815" i="1" s="1"/>
  <c r="AA2816" i="1" s="1"/>
  <c r="AA2817" i="1" s="1"/>
  <c r="AA2818" i="1" s="1"/>
  <c r="AA2819" i="1" s="1"/>
  <c r="AA2820" i="1" s="1"/>
  <c r="AA2821" i="1" s="1"/>
  <c r="AA2822" i="1" s="1"/>
  <c r="AA2823" i="1" s="1"/>
  <c r="AA2824" i="1" s="1"/>
  <c r="AA2825" i="1" s="1"/>
  <c r="AA2826" i="1" s="1"/>
  <c r="AA2827" i="1" s="1"/>
  <c r="AA2828" i="1" s="1"/>
  <c r="AA2829" i="1" s="1"/>
  <c r="AA2830" i="1" s="1"/>
  <c r="AA2831" i="1" s="1"/>
  <c r="AA2832" i="1" s="1"/>
  <c r="AA2833" i="1" s="1"/>
  <c r="AA2834" i="1" s="1"/>
  <c r="AA2835" i="1" s="1"/>
  <c r="AA2836" i="1" s="1"/>
  <c r="AA2837" i="1" s="1"/>
  <c r="AA2838" i="1" s="1"/>
  <c r="AA2839" i="1" s="1"/>
  <c r="AA2840" i="1" s="1"/>
  <c r="AA2841" i="1" s="1"/>
  <c r="AA2842" i="1" s="1"/>
  <c r="AA2843" i="1" s="1"/>
  <c r="AA2844" i="1" s="1"/>
  <c r="AA2845" i="1" s="1"/>
  <c r="AA2846" i="1" s="1"/>
  <c r="AA2847" i="1" s="1"/>
  <c r="AA2848" i="1" s="1"/>
  <c r="AA2849" i="1" s="1"/>
  <c r="AA2850" i="1" s="1"/>
  <c r="AA2851" i="1" s="1"/>
  <c r="AA2852" i="1" s="1"/>
  <c r="AA2853" i="1" s="1"/>
  <c r="AA2854" i="1" s="1"/>
  <c r="AA2855" i="1" s="1"/>
  <c r="AA2856" i="1" s="1"/>
  <c r="AA2857" i="1" s="1"/>
  <c r="AA2858" i="1" s="1"/>
  <c r="AA2859" i="1" s="1"/>
  <c r="AA2860" i="1" s="1"/>
  <c r="AA2861" i="1" s="1"/>
  <c r="AA2862" i="1" s="1"/>
  <c r="AA2863" i="1" s="1"/>
  <c r="AA2864" i="1" s="1"/>
  <c r="AA2865" i="1" s="1"/>
  <c r="AA2866" i="1" s="1"/>
  <c r="AA2867" i="1" s="1"/>
  <c r="AA2868" i="1" s="1"/>
  <c r="AA2869" i="1" s="1"/>
  <c r="AA2870" i="1" s="1"/>
  <c r="AA2871" i="1" s="1"/>
  <c r="AA2872" i="1" s="1"/>
  <c r="AA2873" i="1" s="1"/>
  <c r="AA2874" i="1" s="1"/>
  <c r="AA2875" i="1" s="1"/>
  <c r="AA2876" i="1" s="1"/>
  <c r="AA2877" i="1" s="1"/>
  <c r="AA2878" i="1" s="1"/>
  <c r="AA2879" i="1" s="1"/>
  <c r="AA2880" i="1" s="1"/>
  <c r="AA2881" i="1" s="1"/>
  <c r="AA2882" i="1" s="1"/>
  <c r="AA2883" i="1" s="1"/>
  <c r="AA2884" i="1" s="1"/>
  <c r="AA2885" i="1" s="1"/>
  <c r="AA2886" i="1" s="1"/>
  <c r="AA2887" i="1" s="1"/>
  <c r="AA2888" i="1" s="1"/>
  <c r="AA2889" i="1" s="1"/>
  <c r="AA2890" i="1" s="1"/>
  <c r="AA2891" i="1" s="1"/>
  <c r="AA2892" i="1" s="1"/>
  <c r="AA2893" i="1" s="1"/>
  <c r="AA2894" i="1" s="1"/>
  <c r="AA2895" i="1" s="1"/>
  <c r="AA2896" i="1" s="1"/>
  <c r="AA2897" i="1" s="1"/>
  <c r="AA2898" i="1" s="1"/>
  <c r="AA2899" i="1" s="1"/>
  <c r="AA2900" i="1" s="1"/>
  <c r="AA2901" i="1" s="1"/>
  <c r="AA2902" i="1" s="1"/>
  <c r="AA2903" i="1" s="1"/>
  <c r="AA2904" i="1" s="1"/>
  <c r="AA2905" i="1" s="1"/>
  <c r="AA2906" i="1" s="1"/>
  <c r="AA2907" i="1" s="1"/>
  <c r="AA2908" i="1" s="1"/>
  <c r="AA2909" i="1" s="1"/>
  <c r="AA2910" i="1" s="1"/>
  <c r="AA2911" i="1" s="1"/>
  <c r="AA2912" i="1" s="1"/>
  <c r="AA2913" i="1" s="1"/>
  <c r="AA2914" i="1" s="1"/>
  <c r="AA2915" i="1" s="1"/>
  <c r="AA2916" i="1" s="1"/>
  <c r="AA2917" i="1" s="1"/>
  <c r="AA2918" i="1" s="1"/>
  <c r="AA2919" i="1" s="1"/>
  <c r="AA2920" i="1" s="1"/>
  <c r="AA2921" i="1" s="1"/>
  <c r="AA2922" i="1" s="1"/>
  <c r="AA2923" i="1" s="1"/>
  <c r="AA2924" i="1" s="1"/>
  <c r="AA2925" i="1" s="1"/>
  <c r="AA2926" i="1" s="1"/>
  <c r="AA2927" i="1" s="1"/>
  <c r="AA2928" i="1" s="1"/>
  <c r="AA2929" i="1" s="1"/>
  <c r="AA2930" i="1" s="1"/>
  <c r="AA2931" i="1" s="1"/>
  <c r="AA2932" i="1" s="1"/>
  <c r="AA2933" i="1" s="1"/>
  <c r="AA2934" i="1" s="1"/>
  <c r="AA2935" i="1" s="1"/>
  <c r="AA2936" i="1" s="1"/>
  <c r="AA2937" i="1" s="1"/>
  <c r="AA2938" i="1" s="1"/>
  <c r="AA2939" i="1" s="1"/>
  <c r="AA2940" i="1" s="1"/>
  <c r="AA2941" i="1" s="1"/>
  <c r="AA2942" i="1" s="1"/>
  <c r="AA2943" i="1" s="1"/>
  <c r="AA2944" i="1" s="1"/>
  <c r="AA2945" i="1" s="1"/>
  <c r="AA2946" i="1" s="1"/>
  <c r="AA2947" i="1" s="1"/>
  <c r="AA2948" i="1" s="1"/>
  <c r="AA2949" i="1" s="1"/>
  <c r="AA2950" i="1" s="1"/>
  <c r="AA2951" i="1" s="1"/>
  <c r="AA2952" i="1" s="1"/>
  <c r="AA2953" i="1" s="1"/>
  <c r="AA2954" i="1" s="1"/>
  <c r="AA2955" i="1" s="1"/>
  <c r="AA2956" i="1" s="1"/>
  <c r="AA2957" i="1" s="1"/>
  <c r="AA2958" i="1" s="1"/>
  <c r="AA2959" i="1" s="1"/>
  <c r="AA2960" i="1" s="1"/>
  <c r="AA2961" i="1" s="1"/>
  <c r="AA2962" i="1" s="1"/>
  <c r="AA2963" i="1" s="1"/>
  <c r="AA2964" i="1" s="1"/>
  <c r="AA2965" i="1" s="1"/>
  <c r="AA2966" i="1" s="1"/>
  <c r="AA2967" i="1" s="1"/>
  <c r="AA2968" i="1" s="1"/>
  <c r="AA2969" i="1" s="1"/>
  <c r="AA2970" i="1" s="1"/>
  <c r="AA2971" i="1" s="1"/>
  <c r="AA2972" i="1" s="1"/>
  <c r="AA2973" i="1" s="1"/>
  <c r="AA2974" i="1" s="1"/>
  <c r="AA2975" i="1" s="1"/>
  <c r="AA2976" i="1" s="1"/>
  <c r="AA2977" i="1" s="1"/>
  <c r="AA2978" i="1" s="1"/>
  <c r="AA2979" i="1" s="1"/>
  <c r="AA2980" i="1" s="1"/>
  <c r="AA2981" i="1" s="1"/>
  <c r="AA2982" i="1" s="1"/>
  <c r="AA2983" i="1" s="1"/>
  <c r="AA2984" i="1" s="1"/>
  <c r="AA2985" i="1" s="1"/>
  <c r="AA2986" i="1" s="1"/>
  <c r="AA2987" i="1" s="1"/>
  <c r="AA2988" i="1" s="1"/>
  <c r="AA2989" i="1" s="1"/>
  <c r="AA2990" i="1" s="1"/>
  <c r="AA2991" i="1" s="1"/>
  <c r="AA2992" i="1" s="1"/>
  <c r="AA2993" i="1" s="1"/>
  <c r="AA2994" i="1" s="1"/>
  <c r="AA2995" i="1" s="1"/>
  <c r="AA2996" i="1" s="1"/>
  <c r="AA2997" i="1" s="1"/>
  <c r="AA2998" i="1" s="1"/>
  <c r="AA2999" i="1" s="1"/>
  <c r="AA3000" i="1" s="1"/>
  <c r="AA3001" i="1" s="1"/>
  <c r="AA3002" i="1" s="1"/>
  <c r="AA3003" i="1" s="1"/>
  <c r="AA3004" i="1" s="1"/>
  <c r="AA3005" i="1" s="1"/>
  <c r="AA3006" i="1" s="1"/>
  <c r="AA3007" i="1" s="1"/>
  <c r="AA3008" i="1" s="1"/>
  <c r="AA3009" i="1" s="1"/>
  <c r="AA3010" i="1" s="1"/>
  <c r="AA3011" i="1" s="1"/>
  <c r="AA3012" i="1" s="1"/>
  <c r="AA3013" i="1" s="1"/>
  <c r="AA3014" i="1" s="1"/>
  <c r="AA3015" i="1" s="1"/>
  <c r="AA3016" i="1" s="1"/>
  <c r="AA3017" i="1" s="1"/>
  <c r="AA3018" i="1" s="1"/>
  <c r="AA3019" i="1" s="1"/>
  <c r="AA3020" i="1" s="1"/>
  <c r="AA3021" i="1" s="1"/>
  <c r="AA3022" i="1" s="1"/>
  <c r="AA3023" i="1" s="1"/>
  <c r="AA3024" i="1" s="1"/>
  <c r="AA3025" i="1" s="1"/>
  <c r="AA3026" i="1" s="1"/>
  <c r="AA3027" i="1" s="1"/>
  <c r="AA3028" i="1" s="1"/>
  <c r="AA3029" i="1" s="1"/>
  <c r="AA3030" i="1" s="1"/>
  <c r="AA3031" i="1" s="1"/>
  <c r="AA3032" i="1" s="1"/>
  <c r="AA3033" i="1" s="1"/>
  <c r="AA3034" i="1" s="1"/>
  <c r="AA3035" i="1" s="1"/>
  <c r="AA3036" i="1" s="1"/>
  <c r="AA3037" i="1" s="1"/>
  <c r="AA3038" i="1" s="1"/>
  <c r="AA3039" i="1" s="1"/>
  <c r="AA3040" i="1" s="1"/>
  <c r="AA3041" i="1" s="1"/>
  <c r="AA3042" i="1" s="1"/>
  <c r="AA3043" i="1" s="1"/>
  <c r="AA3044" i="1" s="1"/>
  <c r="AA3045" i="1" s="1"/>
  <c r="AA3046" i="1" s="1"/>
  <c r="AA3047" i="1" s="1"/>
  <c r="AA3048" i="1" s="1"/>
  <c r="AA3049" i="1" s="1"/>
  <c r="AA3050" i="1" s="1"/>
  <c r="AA3051" i="1" s="1"/>
  <c r="AA3052" i="1" s="1"/>
  <c r="AA3053" i="1" s="1"/>
  <c r="AA3054" i="1" s="1"/>
  <c r="AA3055" i="1" s="1"/>
  <c r="AA3056" i="1" s="1"/>
  <c r="AA3057" i="1" s="1"/>
  <c r="AA3058" i="1" s="1"/>
  <c r="AA3059" i="1" s="1"/>
  <c r="AA3060" i="1" s="1"/>
  <c r="AA3061" i="1" s="1"/>
  <c r="AA3062" i="1" s="1"/>
  <c r="AA3063" i="1" s="1"/>
  <c r="AA3064" i="1" s="1"/>
  <c r="AA3065" i="1" s="1"/>
  <c r="AA3066" i="1" s="1"/>
  <c r="AA3067" i="1" s="1"/>
  <c r="AA3068" i="1" s="1"/>
  <c r="AA3069" i="1" s="1"/>
  <c r="AA3070" i="1" s="1"/>
  <c r="AA3071" i="1" s="1"/>
  <c r="AA3072" i="1" s="1"/>
  <c r="AA3073" i="1" s="1"/>
  <c r="AA3074" i="1" s="1"/>
  <c r="AA3075" i="1" s="1"/>
  <c r="AA3076" i="1" s="1"/>
  <c r="AA3077" i="1" s="1"/>
  <c r="AA3078" i="1" s="1"/>
  <c r="AA3079" i="1" s="1"/>
  <c r="AA3080" i="1" s="1"/>
  <c r="AA3081" i="1" s="1"/>
  <c r="AA3082" i="1" s="1"/>
  <c r="AA3083" i="1" s="1"/>
  <c r="AA3084" i="1" s="1"/>
  <c r="AA3085" i="1" s="1"/>
  <c r="AA3086" i="1" s="1"/>
  <c r="AA3087" i="1" s="1"/>
  <c r="AA3088" i="1" s="1"/>
  <c r="AA3089" i="1" s="1"/>
  <c r="AA3090" i="1" s="1"/>
  <c r="AA3091" i="1" s="1"/>
  <c r="AA3092" i="1" s="1"/>
  <c r="AA3093" i="1" s="1"/>
  <c r="AA3094" i="1" s="1"/>
  <c r="AA3095" i="1" s="1"/>
  <c r="AA3096" i="1" s="1"/>
  <c r="AA3097" i="1" s="1"/>
  <c r="AA3098" i="1" s="1"/>
  <c r="AA3099" i="1" s="1"/>
  <c r="AA3100" i="1" s="1"/>
  <c r="AA3101" i="1" s="1"/>
  <c r="AA3102" i="1" s="1"/>
  <c r="AA3103" i="1" s="1"/>
  <c r="AA3104" i="1" s="1"/>
  <c r="AA3105" i="1" s="1"/>
  <c r="AA3106" i="1" s="1"/>
  <c r="AA3107" i="1" s="1"/>
  <c r="AA3108" i="1" s="1"/>
  <c r="AA3109" i="1" s="1"/>
  <c r="AA3110" i="1" s="1"/>
  <c r="AA3111" i="1" s="1"/>
  <c r="AA3112" i="1" s="1"/>
  <c r="AA3113" i="1" s="1"/>
  <c r="AA3114" i="1" s="1"/>
  <c r="AA3115" i="1" s="1"/>
  <c r="AA3116" i="1" s="1"/>
  <c r="AA3117" i="1" s="1"/>
  <c r="AA3118" i="1" s="1"/>
  <c r="AA3119" i="1" s="1"/>
  <c r="AA3120" i="1" s="1"/>
  <c r="AA3121" i="1" s="1"/>
  <c r="AA3122" i="1" s="1"/>
  <c r="AA3123" i="1" s="1"/>
  <c r="AA3124" i="1" s="1"/>
  <c r="AA3125" i="1" s="1"/>
  <c r="AA3126" i="1" s="1"/>
  <c r="AA3127" i="1" s="1"/>
  <c r="AA3128" i="1" s="1"/>
  <c r="AA3129" i="1" s="1"/>
  <c r="AA3130" i="1" s="1"/>
  <c r="AA3131" i="1" s="1"/>
  <c r="AA3132" i="1" s="1"/>
  <c r="AA3133" i="1" s="1"/>
  <c r="AA3134" i="1" s="1"/>
  <c r="AA3135" i="1" s="1"/>
  <c r="AA3136" i="1" s="1"/>
  <c r="AA3137" i="1" s="1"/>
  <c r="AA3138" i="1" s="1"/>
  <c r="AA3139" i="1" s="1"/>
  <c r="AA3140" i="1" s="1"/>
  <c r="AA3141" i="1" s="1"/>
  <c r="AA3142" i="1" s="1"/>
  <c r="AA3143" i="1" s="1"/>
  <c r="AA3144" i="1" s="1"/>
  <c r="AA3145" i="1" s="1"/>
  <c r="AA3146" i="1" s="1"/>
  <c r="AA3147" i="1" s="1"/>
  <c r="AA3148" i="1" s="1"/>
  <c r="AA3149" i="1" s="1"/>
  <c r="AA3150" i="1" s="1"/>
  <c r="AA3151" i="1" s="1"/>
  <c r="AA3152" i="1" s="1"/>
  <c r="AA3153" i="1" s="1"/>
  <c r="AA3154" i="1" s="1"/>
  <c r="AA3155" i="1" s="1"/>
  <c r="AA3156" i="1" s="1"/>
  <c r="AA3157" i="1" s="1"/>
  <c r="AA3158" i="1" s="1"/>
  <c r="AA3159" i="1" s="1"/>
  <c r="AA3160" i="1" s="1"/>
  <c r="AA3161" i="1" s="1"/>
  <c r="AA3162" i="1" s="1"/>
  <c r="AA3163" i="1" s="1"/>
  <c r="AA3164" i="1" s="1"/>
  <c r="AA3165" i="1" s="1"/>
  <c r="AA3166" i="1" s="1"/>
  <c r="AA3167" i="1" s="1"/>
  <c r="AA3168" i="1" s="1"/>
  <c r="AA3169" i="1" s="1"/>
  <c r="AA3170" i="1" s="1"/>
  <c r="AA3171" i="1" s="1"/>
  <c r="AA3172" i="1" s="1"/>
  <c r="AA3173" i="1" s="1"/>
  <c r="AA3174" i="1" s="1"/>
  <c r="AA3175" i="1" s="1"/>
  <c r="AA3176" i="1" s="1"/>
  <c r="AA3177" i="1" s="1"/>
  <c r="AA3178" i="1" s="1"/>
  <c r="AA3179" i="1" s="1"/>
  <c r="AA3180" i="1" s="1"/>
  <c r="AA3181" i="1" s="1"/>
  <c r="AA3182" i="1" s="1"/>
  <c r="AA3183" i="1" s="1"/>
  <c r="AA3184" i="1" s="1"/>
  <c r="AA3185" i="1" s="1"/>
  <c r="AA3186" i="1" s="1"/>
  <c r="AA3187" i="1" s="1"/>
  <c r="AA3188" i="1" s="1"/>
  <c r="AA3189" i="1" s="1"/>
  <c r="AA3190" i="1" s="1"/>
  <c r="AA3191" i="1" s="1"/>
  <c r="AA3192" i="1" s="1"/>
  <c r="AA3193" i="1" s="1"/>
  <c r="AA3194" i="1" s="1"/>
  <c r="AA3195" i="1" s="1"/>
  <c r="AA3196" i="1" s="1"/>
  <c r="AA3197" i="1" s="1"/>
  <c r="AA3198" i="1" s="1"/>
  <c r="AA3199" i="1" s="1"/>
  <c r="AA3200" i="1" s="1"/>
  <c r="AA3201" i="1" s="1"/>
  <c r="AA3202" i="1" s="1"/>
  <c r="AA3203" i="1" s="1"/>
  <c r="AA3204" i="1" s="1"/>
  <c r="AA3205" i="1" s="1"/>
  <c r="AA3206" i="1" s="1"/>
  <c r="AA3207" i="1" s="1"/>
  <c r="AA3208" i="1" s="1"/>
  <c r="AA3209" i="1" s="1"/>
  <c r="AA3210" i="1" s="1"/>
  <c r="AA3211" i="1" s="1"/>
  <c r="AA3212" i="1" s="1"/>
  <c r="AA3213" i="1" s="1"/>
  <c r="AA3214" i="1" s="1"/>
  <c r="AA3215" i="1" s="1"/>
  <c r="AA3216" i="1" s="1"/>
  <c r="AA3217" i="1" s="1"/>
  <c r="AA3218" i="1" s="1"/>
  <c r="AA3219" i="1" s="1"/>
  <c r="AA3220" i="1" s="1"/>
  <c r="AA3221" i="1" s="1"/>
  <c r="AA3222" i="1" s="1"/>
  <c r="AA3223" i="1" s="1"/>
  <c r="AA3224" i="1" s="1"/>
  <c r="AA3225" i="1" s="1"/>
  <c r="AA3226" i="1" s="1"/>
  <c r="AA3227" i="1" s="1"/>
  <c r="AA3228" i="1" s="1"/>
  <c r="AA3229" i="1" s="1"/>
  <c r="AA3230" i="1" s="1"/>
  <c r="AA3231" i="1" s="1"/>
  <c r="AA3232" i="1" s="1"/>
  <c r="AA3233" i="1" s="1"/>
  <c r="AA3234" i="1" s="1"/>
  <c r="AA3235" i="1" s="1"/>
  <c r="AA3236" i="1" s="1"/>
  <c r="AA3237" i="1" s="1"/>
  <c r="AA3238" i="1" s="1"/>
  <c r="AA3239" i="1" s="1"/>
  <c r="AA3240" i="1" s="1"/>
  <c r="AA3241" i="1" s="1"/>
  <c r="AA3242" i="1" s="1"/>
  <c r="AA3243" i="1" s="1"/>
  <c r="AA3244" i="1" s="1"/>
  <c r="AA3245" i="1" s="1"/>
  <c r="AA3246" i="1" s="1"/>
  <c r="AA3247" i="1" s="1"/>
  <c r="AA3248" i="1" s="1"/>
  <c r="AA3249" i="1" s="1"/>
  <c r="AA3250" i="1" s="1"/>
  <c r="AA3251" i="1" s="1"/>
  <c r="AA3252" i="1" s="1"/>
  <c r="AA3253" i="1" s="1"/>
  <c r="AA3254" i="1" s="1"/>
  <c r="AA3255" i="1" s="1"/>
  <c r="AA3256" i="1" s="1"/>
  <c r="AA3257" i="1" s="1"/>
  <c r="AA3258" i="1" s="1"/>
  <c r="AA3259" i="1" s="1"/>
  <c r="AA3260" i="1" s="1"/>
  <c r="AA3261" i="1" s="1"/>
  <c r="AA3262" i="1" s="1"/>
  <c r="AA3263" i="1" s="1"/>
  <c r="AA3264" i="1" s="1"/>
  <c r="AA3265" i="1" s="1"/>
  <c r="AA3266" i="1" s="1"/>
  <c r="AA3267" i="1" s="1"/>
  <c r="AA3268" i="1" s="1"/>
  <c r="AA3269" i="1" s="1"/>
  <c r="AA3270" i="1" s="1"/>
  <c r="AA3271" i="1" s="1"/>
  <c r="AA3272" i="1" s="1"/>
  <c r="AA3273" i="1" s="1"/>
  <c r="AA3274" i="1" s="1"/>
  <c r="AA3275" i="1" s="1"/>
  <c r="AA3276" i="1" s="1"/>
  <c r="AA3277" i="1" s="1"/>
  <c r="AA3278" i="1" s="1"/>
  <c r="AA3279" i="1" s="1"/>
  <c r="AA3280" i="1" s="1"/>
  <c r="AA3281" i="1" s="1"/>
  <c r="AA3282" i="1" s="1"/>
  <c r="AA3283" i="1" s="1"/>
  <c r="AA3284" i="1" s="1"/>
  <c r="AA3285" i="1" s="1"/>
  <c r="AA3286" i="1" s="1"/>
  <c r="AA3287" i="1" s="1"/>
  <c r="AA3288" i="1" s="1"/>
  <c r="AA3289" i="1" s="1"/>
  <c r="AA3290" i="1" s="1"/>
  <c r="AA3291" i="1" s="1"/>
  <c r="AA3292" i="1" s="1"/>
  <c r="AA3293" i="1" s="1"/>
  <c r="AA3294" i="1" s="1"/>
  <c r="AA3295" i="1" s="1"/>
  <c r="AA3296" i="1" s="1"/>
  <c r="AA3297" i="1" s="1"/>
  <c r="AA3298" i="1" s="1"/>
  <c r="AA3299" i="1" s="1"/>
  <c r="AA3300" i="1" s="1"/>
  <c r="AA3301" i="1" s="1"/>
  <c r="AA3302" i="1" s="1"/>
  <c r="AA3303" i="1" s="1"/>
  <c r="AA3304" i="1" s="1"/>
  <c r="AA3305" i="1" s="1"/>
  <c r="AA3306" i="1" s="1"/>
  <c r="AA3307" i="1" s="1"/>
  <c r="AA3308" i="1" s="1"/>
  <c r="AA3309" i="1" s="1"/>
  <c r="AA3310" i="1" s="1"/>
  <c r="AA3311" i="1" s="1"/>
  <c r="AA3312" i="1" s="1"/>
  <c r="AA3313" i="1" s="1"/>
  <c r="AA3314" i="1" s="1"/>
  <c r="AA3315" i="1" s="1"/>
  <c r="AA3316" i="1" s="1"/>
  <c r="AA3317" i="1" s="1"/>
  <c r="AA3318" i="1" s="1"/>
  <c r="AA3319" i="1" s="1"/>
  <c r="AA3320" i="1" s="1"/>
  <c r="AA3321" i="1" s="1"/>
  <c r="AA3322" i="1" s="1"/>
  <c r="AA3323" i="1" s="1"/>
  <c r="AA3324" i="1" s="1"/>
  <c r="AA3325" i="1" s="1"/>
  <c r="AA3326" i="1" s="1"/>
  <c r="AA3327" i="1" s="1"/>
  <c r="AA3328" i="1" s="1"/>
  <c r="AA3329" i="1" s="1"/>
  <c r="AA3330" i="1" s="1"/>
  <c r="AA3331" i="1" s="1"/>
  <c r="AA3332" i="1" s="1"/>
  <c r="AA3333" i="1" s="1"/>
  <c r="AA3334" i="1" s="1"/>
  <c r="AA3335" i="1" s="1"/>
  <c r="AA3336" i="1" s="1"/>
  <c r="AA3337" i="1" s="1"/>
  <c r="AA3338" i="1" s="1"/>
  <c r="AA3339" i="1" s="1"/>
  <c r="AA3340" i="1" s="1"/>
  <c r="AA3341" i="1" s="1"/>
  <c r="AA3342" i="1" s="1"/>
  <c r="AA3343" i="1" s="1"/>
  <c r="AA3344" i="1" s="1"/>
  <c r="AA3345" i="1" s="1"/>
  <c r="AA3346" i="1" s="1"/>
  <c r="AA3347" i="1" s="1"/>
  <c r="AA3348" i="1" s="1"/>
  <c r="AA3349" i="1" s="1"/>
  <c r="AA3350" i="1" s="1"/>
  <c r="AA3351" i="1" s="1"/>
  <c r="AA3352" i="1" s="1"/>
  <c r="AA3353" i="1" s="1"/>
  <c r="AA3354" i="1" s="1"/>
  <c r="AA3355" i="1" s="1"/>
  <c r="AA3356" i="1" s="1"/>
  <c r="AA3357" i="1" s="1"/>
  <c r="AA3358" i="1" s="1"/>
  <c r="AA3359" i="1" s="1"/>
  <c r="AA3360" i="1" s="1"/>
  <c r="AA3361" i="1" s="1"/>
  <c r="AA3362" i="1" s="1"/>
  <c r="AA3363" i="1" s="1"/>
  <c r="AA3364" i="1" s="1"/>
  <c r="AA3365" i="1" s="1"/>
  <c r="AA3366" i="1" s="1"/>
  <c r="AA3367" i="1" s="1"/>
  <c r="AA3368" i="1" s="1"/>
  <c r="AA3369" i="1" s="1"/>
  <c r="AA3370" i="1" s="1"/>
  <c r="AA3371" i="1" s="1"/>
  <c r="AA3372" i="1" s="1"/>
  <c r="AA3373" i="1" s="1"/>
  <c r="AA3374" i="1" s="1"/>
  <c r="AA3375" i="1" s="1"/>
  <c r="AA3376" i="1" s="1"/>
  <c r="AA3377" i="1" s="1"/>
  <c r="AA3378" i="1" s="1"/>
  <c r="AA3379" i="1" s="1"/>
  <c r="AA3380" i="1" s="1"/>
  <c r="AA3381" i="1" s="1"/>
  <c r="AA3382" i="1" s="1"/>
  <c r="AA3383" i="1" s="1"/>
  <c r="AA3384" i="1" s="1"/>
  <c r="AA3385" i="1" s="1"/>
  <c r="AA3386" i="1" s="1"/>
  <c r="AA3387" i="1" s="1"/>
  <c r="AA3388" i="1" s="1"/>
  <c r="AA3389" i="1" s="1"/>
  <c r="AA3390" i="1" s="1"/>
  <c r="AA3391" i="1" s="1"/>
  <c r="AA3392" i="1" s="1"/>
  <c r="AA3393" i="1" s="1"/>
  <c r="AA3394" i="1" s="1"/>
  <c r="AA3395" i="1" s="1"/>
  <c r="AA3396" i="1" s="1"/>
  <c r="AA3397" i="1" s="1"/>
  <c r="AA3398" i="1" s="1"/>
  <c r="AA3399" i="1" s="1"/>
  <c r="AA3400" i="1" s="1"/>
  <c r="AA3401" i="1" s="1"/>
  <c r="AA3402" i="1" s="1"/>
  <c r="AA3403" i="1" s="1"/>
  <c r="AA3404" i="1" s="1"/>
  <c r="AA3405" i="1" s="1"/>
  <c r="AA3406" i="1" s="1"/>
  <c r="AA3407" i="1" s="1"/>
  <c r="AA3408" i="1" s="1"/>
  <c r="AA3409" i="1" s="1"/>
  <c r="AA3410" i="1" s="1"/>
  <c r="AA3411" i="1" s="1"/>
  <c r="AA3412" i="1" s="1"/>
  <c r="AA3413" i="1" s="1"/>
  <c r="AA3414" i="1" s="1"/>
  <c r="AA3415" i="1" s="1"/>
  <c r="AA3416" i="1" s="1"/>
  <c r="AA3417" i="1" s="1"/>
  <c r="AA3418" i="1" s="1"/>
  <c r="AA3419" i="1" s="1"/>
  <c r="AA3420" i="1" s="1"/>
  <c r="AA3421" i="1" s="1"/>
  <c r="AA3422" i="1" s="1"/>
  <c r="AA3423" i="1" s="1"/>
  <c r="AA3424" i="1" s="1"/>
  <c r="AA3425" i="1" s="1"/>
  <c r="AA3426" i="1" s="1"/>
  <c r="AA3427" i="1" s="1"/>
  <c r="AA3428" i="1" s="1"/>
  <c r="AA3429" i="1" s="1"/>
  <c r="AA3430" i="1" s="1"/>
  <c r="AA3431" i="1" s="1"/>
  <c r="AA3432" i="1" s="1"/>
  <c r="AA3433" i="1" s="1"/>
  <c r="AA3434" i="1" s="1"/>
  <c r="AA3435" i="1" s="1"/>
  <c r="AA3436" i="1" s="1"/>
  <c r="AA3437" i="1" s="1"/>
  <c r="AA3438" i="1" s="1"/>
  <c r="AA3439" i="1" s="1"/>
  <c r="AA3440" i="1" s="1"/>
  <c r="AA3441" i="1" s="1"/>
  <c r="AA3442" i="1" s="1"/>
  <c r="AA3443" i="1" s="1"/>
  <c r="AA3444" i="1" s="1"/>
  <c r="AA3445" i="1" s="1"/>
  <c r="AA3446" i="1" s="1"/>
  <c r="AA3447" i="1" s="1"/>
  <c r="AA3448" i="1" s="1"/>
  <c r="AA3449" i="1" s="1"/>
  <c r="AA3450" i="1" s="1"/>
  <c r="AA3451" i="1" s="1"/>
  <c r="AA3452" i="1" s="1"/>
  <c r="AA3453" i="1" s="1"/>
  <c r="AA3454" i="1" s="1"/>
  <c r="AA3455" i="1" s="1"/>
  <c r="AA3456" i="1" s="1"/>
  <c r="AA3457" i="1" s="1"/>
  <c r="AA3458" i="1" s="1"/>
  <c r="AA3459" i="1" s="1"/>
  <c r="AA3460" i="1" s="1"/>
  <c r="AA3461" i="1" s="1"/>
  <c r="AA3462" i="1" s="1"/>
  <c r="AA3463" i="1" s="1"/>
  <c r="AA3464" i="1" s="1"/>
  <c r="AA3465" i="1" s="1"/>
  <c r="AA3466" i="1" s="1"/>
  <c r="AA3467" i="1" s="1"/>
  <c r="AA3468" i="1" s="1"/>
  <c r="AA3469" i="1" s="1"/>
  <c r="AA3470" i="1" s="1"/>
  <c r="AA3471" i="1" s="1"/>
  <c r="AA3472" i="1" s="1"/>
  <c r="AA3473" i="1" s="1"/>
  <c r="AA3474" i="1" s="1"/>
  <c r="AA3475" i="1" s="1"/>
  <c r="AA3476" i="1" s="1"/>
  <c r="AA3477" i="1" s="1"/>
  <c r="AA3478" i="1" s="1"/>
  <c r="AA3479" i="1" s="1"/>
  <c r="AA3480" i="1" s="1"/>
  <c r="AA3481" i="1" s="1"/>
  <c r="AA3482" i="1" s="1"/>
  <c r="AA3483" i="1" s="1"/>
  <c r="AA3484" i="1" s="1"/>
  <c r="AA3485" i="1" s="1"/>
  <c r="AA3486" i="1" s="1"/>
  <c r="AA3487" i="1" s="1"/>
  <c r="AA3488" i="1" s="1"/>
  <c r="AA3489" i="1" s="1"/>
  <c r="AA3490" i="1" s="1"/>
  <c r="AA3491" i="1" s="1"/>
  <c r="AA3492" i="1" s="1"/>
  <c r="AA3493" i="1" s="1"/>
  <c r="AA3494" i="1" s="1"/>
  <c r="AA3495" i="1" s="1"/>
  <c r="AA3496" i="1" s="1"/>
  <c r="AA3497" i="1" s="1"/>
  <c r="AA3498" i="1" s="1"/>
  <c r="AA3499" i="1" s="1"/>
  <c r="AA3500" i="1" s="1"/>
  <c r="AA3501" i="1" s="1"/>
  <c r="AA3502" i="1" s="1"/>
  <c r="AA3503" i="1" s="1"/>
  <c r="AA3504" i="1" s="1"/>
  <c r="AA3505" i="1" s="1"/>
  <c r="AA3506" i="1" s="1"/>
  <c r="AA3507" i="1" s="1"/>
  <c r="AA3508" i="1" s="1"/>
  <c r="AA3509" i="1" s="1"/>
  <c r="AA3510" i="1" s="1"/>
  <c r="AA3511" i="1" s="1"/>
  <c r="AA3512" i="1" s="1"/>
  <c r="AA3513" i="1" s="1"/>
  <c r="AA3514" i="1" s="1"/>
  <c r="AA3515" i="1" s="1"/>
  <c r="AA3516" i="1" s="1"/>
  <c r="AA3517" i="1" s="1"/>
  <c r="AA3518" i="1" s="1"/>
  <c r="AA3519" i="1" s="1"/>
  <c r="AA3520" i="1" s="1"/>
  <c r="AA3521" i="1" s="1"/>
  <c r="AA3522" i="1" s="1"/>
  <c r="AA3523" i="1" s="1"/>
  <c r="AA3524" i="1" s="1"/>
  <c r="AA3525" i="1" s="1"/>
  <c r="AA3526" i="1" s="1"/>
  <c r="AA3527" i="1" s="1"/>
  <c r="AA3528" i="1" s="1"/>
  <c r="AA3529" i="1" s="1"/>
  <c r="AA3530" i="1" s="1"/>
  <c r="AA3531" i="1" s="1"/>
  <c r="AA3532" i="1" s="1"/>
  <c r="AA3533" i="1" s="1"/>
  <c r="AA3534" i="1" s="1"/>
  <c r="AA3535" i="1" s="1"/>
  <c r="AA3536" i="1" s="1"/>
  <c r="AA3537" i="1" s="1"/>
  <c r="AA3538" i="1" s="1"/>
  <c r="AA3539" i="1" s="1"/>
  <c r="AA3540" i="1" s="1"/>
  <c r="AA3541" i="1" s="1"/>
  <c r="AA3542" i="1" s="1"/>
  <c r="AA3543" i="1" s="1"/>
  <c r="AA3544" i="1" s="1"/>
  <c r="AA3545" i="1" s="1"/>
  <c r="AA3546" i="1" s="1"/>
  <c r="AA3547" i="1" s="1"/>
  <c r="AA3548" i="1" s="1"/>
  <c r="AA3549" i="1" s="1"/>
  <c r="AA3550" i="1" s="1"/>
  <c r="AA3551" i="1" s="1"/>
  <c r="AA3552" i="1" s="1"/>
  <c r="AA3553" i="1" s="1"/>
  <c r="AA3554" i="1" s="1"/>
  <c r="AA3555" i="1" s="1"/>
  <c r="AA3556" i="1" s="1"/>
  <c r="AA3557" i="1" s="1"/>
  <c r="AA3558" i="1" s="1"/>
  <c r="AA3559" i="1" s="1"/>
  <c r="AA3560" i="1" s="1"/>
  <c r="AA3561" i="1" s="1"/>
  <c r="AA3562" i="1" s="1"/>
  <c r="AA3563" i="1" s="1"/>
  <c r="AA3564" i="1" s="1"/>
  <c r="AA3565" i="1" s="1"/>
  <c r="AA3566" i="1" s="1"/>
  <c r="AA3567" i="1" s="1"/>
  <c r="AA3568" i="1" s="1"/>
  <c r="AA3569" i="1" s="1"/>
  <c r="AA3570" i="1" s="1"/>
  <c r="AA3571" i="1" s="1"/>
  <c r="AA3572" i="1" s="1"/>
  <c r="AA3573" i="1" s="1"/>
  <c r="AA3574" i="1" s="1"/>
  <c r="AA3575" i="1" s="1"/>
  <c r="AA3576" i="1" s="1"/>
  <c r="AA3577" i="1" s="1"/>
  <c r="AA3578" i="1" s="1"/>
  <c r="AA3579" i="1" s="1"/>
  <c r="AA3580" i="1" s="1"/>
  <c r="AA3581" i="1" s="1"/>
  <c r="AA3582" i="1" s="1"/>
  <c r="AA3583" i="1" s="1"/>
  <c r="AA3584" i="1" s="1"/>
  <c r="AA3585" i="1" s="1"/>
  <c r="AA3586" i="1" s="1"/>
  <c r="AA3587" i="1" s="1"/>
  <c r="AA3588" i="1" s="1"/>
  <c r="AA3589" i="1" s="1"/>
  <c r="AA3590" i="1" s="1"/>
  <c r="AA3591" i="1" s="1"/>
  <c r="AA3592" i="1" s="1"/>
  <c r="AA3593" i="1" s="1"/>
  <c r="AA3594" i="1" s="1"/>
  <c r="AA3595" i="1" s="1"/>
  <c r="AA3596" i="1" s="1"/>
  <c r="AA3597" i="1" s="1"/>
  <c r="AA3598" i="1" s="1"/>
  <c r="AA3599" i="1" s="1"/>
  <c r="AA3600" i="1" s="1"/>
  <c r="AA3601" i="1" s="1"/>
  <c r="AA3602" i="1" s="1"/>
  <c r="AA3603" i="1" s="1"/>
  <c r="AA3604" i="1" s="1"/>
  <c r="AA3605" i="1" s="1"/>
  <c r="AA3606" i="1" s="1"/>
  <c r="AA3607" i="1" s="1"/>
  <c r="AA3608" i="1" s="1"/>
  <c r="AA3609" i="1" s="1"/>
  <c r="AA3610" i="1" s="1"/>
  <c r="AA3611" i="1" s="1"/>
  <c r="AA3612" i="1" s="1"/>
  <c r="AA3613" i="1" s="1"/>
  <c r="AA3614" i="1" s="1"/>
  <c r="AA3615" i="1" s="1"/>
  <c r="AA3616" i="1" s="1"/>
  <c r="AA3617" i="1" s="1"/>
  <c r="AA3618" i="1" s="1"/>
  <c r="AA3619" i="1" s="1"/>
  <c r="AA3620" i="1" s="1"/>
  <c r="AA3621" i="1" s="1"/>
  <c r="AA3622" i="1" s="1"/>
  <c r="AA3623" i="1" s="1"/>
  <c r="AA3624" i="1" s="1"/>
  <c r="AA3625" i="1" s="1"/>
  <c r="AA3626" i="1" s="1"/>
  <c r="AA3627" i="1" s="1"/>
  <c r="AA3628" i="1" s="1"/>
  <c r="AA3629" i="1" s="1"/>
  <c r="AA3630" i="1" s="1"/>
  <c r="AA3631" i="1" s="1"/>
  <c r="AA3632" i="1" s="1"/>
  <c r="AA3633" i="1" s="1"/>
  <c r="AA3634" i="1" s="1"/>
  <c r="AA3635" i="1" s="1"/>
  <c r="AA3636" i="1" s="1"/>
  <c r="AA3637" i="1" s="1"/>
  <c r="AA3638" i="1" s="1"/>
  <c r="AA3639" i="1" s="1"/>
  <c r="AA3640" i="1" s="1"/>
  <c r="AA3641" i="1" s="1"/>
  <c r="AA3642" i="1" s="1"/>
  <c r="AA3643" i="1" s="1"/>
  <c r="AA3644" i="1" s="1"/>
  <c r="AA3645" i="1" s="1"/>
  <c r="AA3646" i="1" s="1"/>
  <c r="AA3647" i="1" s="1"/>
  <c r="AA3648" i="1" s="1"/>
  <c r="AA3649" i="1" s="1"/>
  <c r="AA3650" i="1" s="1"/>
  <c r="AA3651" i="1" s="1"/>
  <c r="AA3652" i="1" s="1"/>
  <c r="AA3653" i="1" s="1"/>
  <c r="AA3654" i="1" s="1"/>
  <c r="AA3655" i="1" s="1"/>
  <c r="AA3656" i="1" s="1"/>
  <c r="AA3657" i="1" s="1"/>
  <c r="AA3658" i="1" s="1"/>
  <c r="AA3659" i="1" s="1"/>
  <c r="AA3660" i="1" s="1"/>
  <c r="AA3661" i="1" s="1"/>
  <c r="AA3662" i="1" s="1"/>
  <c r="AA3663" i="1" s="1"/>
  <c r="AA3664" i="1" s="1"/>
  <c r="AA3665" i="1" s="1"/>
  <c r="AA3666" i="1" s="1"/>
  <c r="AA3667" i="1" s="1"/>
  <c r="AA3668" i="1" s="1"/>
  <c r="AA3669" i="1" s="1"/>
  <c r="AA3670" i="1" s="1"/>
  <c r="AA3671" i="1" s="1"/>
  <c r="AA3672" i="1" s="1"/>
  <c r="AA3673" i="1" s="1"/>
  <c r="AA3674" i="1" s="1"/>
  <c r="AA3675" i="1" s="1"/>
  <c r="AA3676" i="1" s="1"/>
  <c r="AA3677" i="1" s="1"/>
  <c r="AA3678" i="1" s="1"/>
  <c r="AA3679" i="1" s="1"/>
  <c r="AA3680" i="1" s="1"/>
  <c r="AA3681" i="1" s="1"/>
  <c r="AA3682" i="1" s="1"/>
  <c r="AA3683" i="1" s="1"/>
  <c r="AA3684" i="1" s="1"/>
  <c r="AA3685" i="1" s="1"/>
  <c r="AA3686" i="1" s="1"/>
  <c r="AA3687" i="1" s="1"/>
  <c r="AA3688" i="1" s="1"/>
  <c r="AA3689" i="1" s="1"/>
  <c r="AA3690" i="1" s="1"/>
  <c r="AA3691" i="1" s="1"/>
  <c r="AA3692" i="1" s="1"/>
  <c r="AA3693" i="1" s="1"/>
  <c r="AA3694" i="1" s="1"/>
  <c r="AA3695" i="1" s="1"/>
  <c r="AA3696" i="1" s="1"/>
  <c r="AA3697" i="1" s="1"/>
  <c r="AA3698" i="1" s="1"/>
  <c r="AA3699" i="1" s="1"/>
  <c r="AA3700" i="1" s="1"/>
  <c r="AA3701" i="1" s="1"/>
  <c r="AA3702" i="1" s="1"/>
  <c r="AA3703" i="1" s="1"/>
  <c r="AA3704" i="1" s="1"/>
  <c r="AA3705" i="1" s="1"/>
  <c r="AA3706" i="1" s="1"/>
  <c r="AA3707" i="1" s="1"/>
  <c r="AA3708" i="1" s="1"/>
  <c r="AA3709" i="1" s="1"/>
  <c r="AA3710" i="1" s="1"/>
  <c r="AA3711" i="1" s="1"/>
  <c r="AA3712" i="1" s="1"/>
  <c r="AA3713" i="1" s="1"/>
  <c r="AA3714" i="1" s="1"/>
  <c r="AA3715" i="1" s="1"/>
  <c r="AA3716" i="1" s="1"/>
  <c r="AA3717" i="1" s="1"/>
  <c r="AA3718" i="1" s="1"/>
  <c r="AA3719" i="1" s="1"/>
  <c r="AA3720" i="1" s="1"/>
  <c r="AA3721" i="1" s="1"/>
  <c r="AA3722" i="1" s="1"/>
  <c r="AA3723" i="1" s="1"/>
  <c r="AA3724" i="1" s="1"/>
  <c r="AA3725" i="1" s="1"/>
  <c r="AA3726" i="1" s="1"/>
  <c r="AA3727" i="1" s="1"/>
  <c r="AA3728" i="1" s="1"/>
  <c r="AA3729" i="1" s="1"/>
  <c r="AA3730" i="1" s="1"/>
  <c r="AA3731" i="1" s="1"/>
  <c r="AA3732" i="1" s="1"/>
  <c r="AA3733" i="1" s="1"/>
  <c r="AA3734" i="1" s="1"/>
  <c r="AA3735" i="1" s="1"/>
  <c r="AA3736" i="1" s="1"/>
  <c r="AA3737" i="1" s="1"/>
  <c r="AA3738" i="1" s="1"/>
  <c r="AA3739" i="1" s="1"/>
  <c r="AA3740" i="1" s="1"/>
  <c r="AA3741" i="1" s="1"/>
  <c r="AA3742" i="1" s="1"/>
  <c r="AA3743" i="1" s="1"/>
  <c r="AA3744" i="1" s="1"/>
  <c r="AA3745" i="1" s="1"/>
  <c r="AA3746" i="1" s="1"/>
  <c r="AA3747" i="1" s="1"/>
  <c r="AA3748" i="1" s="1"/>
  <c r="AA3749" i="1" s="1"/>
  <c r="AA3750" i="1" s="1"/>
  <c r="AA3751" i="1" s="1"/>
  <c r="AA3752" i="1" s="1"/>
  <c r="AA3753" i="1" s="1"/>
  <c r="AA3754" i="1" s="1"/>
  <c r="AA3755" i="1" s="1"/>
  <c r="AA3756" i="1" s="1"/>
  <c r="AA3757" i="1" s="1"/>
  <c r="AA3758" i="1" s="1"/>
  <c r="AA3759" i="1" s="1"/>
  <c r="AA3760" i="1" s="1"/>
  <c r="AA3761" i="1" s="1"/>
  <c r="AA3762" i="1" s="1"/>
  <c r="AA3763" i="1" s="1"/>
  <c r="AA3764" i="1" s="1"/>
  <c r="AA3765" i="1" s="1"/>
  <c r="AA3766" i="1" s="1"/>
  <c r="AA3767" i="1" s="1"/>
  <c r="AA3768" i="1" s="1"/>
  <c r="AA3769" i="1" s="1"/>
  <c r="AA3770" i="1" s="1"/>
  <c r="AA3771" i="1" s="1"/>
  <c r="AA3772" i="1" s="1"/>
  <c r="AA3773" i="1" s="1"/>
  <c r="AA3774" i="1" s="1"/>
  <c r="AA3775" i="1" s="1"/>
  <c r="AA3776" i="1" s="1"/>
  <c r="AA3777" i="1" s="1"/>
  <c r="AA3778" i="1" s="1"/>
  <c r="AA3779" i="1" s="1"/>
  <c r="AA3780" i="1" s="1"/>
  <c r="AA3781" i="1" s="1"/>
  <c r="AA3782" i="1" s="1"/>
  <c r="AA3783" i="1" s="1"/>
  <c r="AA3784" i="1" s="1"/>
  <c r="AA3785" i="1" s="1"/>
  <c r="AA3786" i="1" s="1"/>
  <c r="AA3787" i="1" s="1"/>
  <c r="AA3788" i="1" s="1"/>
  <c r="AA3789" i="1" s="1"/>
  <c r="AA3790" i="1" s="1"/>
  <c r="AA3791" i="1" s="1"/>
  <c r="AA3792" i="1" s="1"/>
  <c r="AA3793" i="1" s="1"/>
  <c r="AA3794" i="1" s="1"/>
  <c r="AA3795" i="1" s="1"/>
  <c r="AA3796" i="1" s="1"/>
  <c r="AA3797" i="1" s="1"/>
  <c r="AA3798" i="1" s="1"/>
  <c r="AA3799" i="1" s="1"/>
  <c r="AA3800" i="1" s="1"/>
  <c r="AA3801" i="1" s="1"/>
  <c r="AA3802" i="1" s="1"/>
  <c r="AA3803" i="1" s="1"/>
  <c r="AA3804" i="1" s="1"/>
  <c r="AA3805" i="1" s="1"/>
  <c r="AA3806" i="1" s="1"/>
  <c r="AA3807" i="1" s="1"/>
  <c r="AA3808" i="1" s="1"/>
  <c r="AA3809" i="1" s="1"/>
  <c r="AA3810" i="1" s="1"/>
  <c r="AA3811" i="1" s="1"/>
  <c r="AA3812" i="1" s="1"/>
  <c r="AA3813" i="1" s="1"/>
  <c r="AA3814" i="1" s="1"/>
  <c r="AA3815" i="1" s="1"/>
  <c r="AA3816" i="1" s="1"/>
  <c r="AA3817" i="1" s="1"/>
  <c r="AA3818" i="1" s="1"/>
  <c r="AA3819" i="1" s="1"/>
  <c r="AA3820" i="1" s="1"/>
  <c r="AA3821" i="1" s="1"/>
  <c r="AA3822" i="1" s="1"/>
  <c r="AA3823" i="1" s="1"/>
  <c r="AA3824" i="1" s="1"/>
  <c r="AA3825" i="1" s="1"/>
  <c r="AA3826" i="1" s="1"/>
  <c r="AA3827" i="1" s="1"/>
  <c r="AA3828" i="1" s="1"/>
  <c r="AA3829" i="1" s="1"/>
  <c r="AA3830" i="1" s="1"/>
  <c r="AA3831" i="1" s="1"/>
  <c r="AA3832" i="1" s="1"/>
  <c r="AA3833" i="1" s="1"/>
  <c r="AA3834" i="1" s="1"/>
  <c r="AA3835" i="1" s="1"/>
  <c r="AA3836" i="1" s="1"/>
  <c r="AA3837" i="1" s="1"/>
  <c r="AA3838" i="1" s="1"/>
  <c r="AA3839" i="1" s="1"/>
  <c r="AA3840" i="1" s="1"/>
  <c r="AA3841" i="1" s="1"/>
  <c r="AA3842" i="1" s="1"/>
  <c r="AA3843" i="1" s="1"/>
  <c r="AA3844" i="1" s="1"/>
  <c r="AA3845" i="1" s="1"/>
  <c r="AA3846" i="1" s="1"/>
  <c r="AA3847" i="1" s="1"/>
  <c r="AA3848" i="1" s="1"/>
  <c r="AA3849" i="1" s="1"/>
  <c r="AA3850" i="1" s="1"/>
  <c r="AA3851" i="1" s="1"/>
  <c r="AA3852" i="1" s="1"/>
  <c r="AA3853" i="1" s="1"/>
  <c r="AA3854" i="1" s="1"/>
  <c r="AA3855" i="1" s="1"/>
  <c r="AA3856" i="1" s="1"/>
  <c r="AA3857" i="1" s="1"/>
  <c r="AA3858" i="1" s="1"/>
  <c r="AA3859" i="1" s="1"/>
  <c r="AA3860" i="1" s="1"/>
  <c r="AA3861" i="1" s="1"/>
  <c r="AA3862" i="1" s="1"/>
  <c r="AA3863" i="1" s="1"/>
  <c r="AA3864" i="1" s="1"/>
  <c r="AA3865" i="1" s="1"/>
  <c r="AA3866" i="1" s="1"/>
  <c r="AA3867" i="1" s="1"/>
  <c r="AA3868" i="1" s="1"/>
  <c r="AA3869" i="1" s="1"/>
  <c r="AA3870" i="1" s="1"/>
  <c r="AA3871" i="1" s="1"/>
  <c r="AA3872" i="1" s="1"/>
  <c r="AA3873" i="1" s="1"/>
  <c r="AA3874" i="1" s="1"/>
  <c r="AA3875" i="1" s="1"/>
  <c r="AA3876" i="1" s="1"/>
  <c r="AA3877" i="1" s="1"/>
  <c r="AA3878" i="1" s="1"/>
  <c r="AA3879" i="1" s="1"/>
  <c r="AA3880" i="1" s="1"/>
  <c r="AA3881" i="1" s="1"/>
  <c r="AA3882" i="1" s="1"/>
  <c r="AA3883" i="1" s="1"/>
  <c r="AA3884" i="1" s="1"/>
  <c r="AA3885" i="1" s="1"/>
  <c r="AA3886" i="1" s="1"/>
  <c r="AA3887" i="1" s="1"/>
  <c r="AA3888" i="1" s="1"/>
  <c r="AA3889" i="1" s="1"/>
  <c r="AA3890" i="1" s="1"/>
  <c r="AA3891" i="1" s="1"/>
  <c r="AA3892" i="1" s="1"/>
  <c r="AA3893" i="1" s="1"/>
  <c r="AA3894" i="1" s="1"/>
  <c r="AA3895" i="1" s="1"/>
  <c r="AA3896" i="1" s="1"/>
  <c r="AA3897" i="1" s="1"/>
  <c r="AA3898" i="1" s="1"/>
  <c r="AA3899" i="1" s="1"/>
  <c r="AA3900" i="1" s="1"/>
  <c r="AA3901" i="1" s="1"/>
  <c r="AA3902" i="1" s="1"/>
  <c r="AA3903" i="1" s="1"/>
  <c r="AA3904" i="1" s="1"/>
  <c r="AA3905" i="1" s="1"/>
  <c r="AA3906" i="1" s="1"/>
  <c r="AA3907" i="1" s="1"/>
  <c r="AA3908" i="1" s="1"/>
  <c r="AA3909" i="1" s="1"/>
  <c r="AA3910" i="1" s="1"/>
  <c r="AA3911" i="1" s="1"/>
  <c r="AA3912" i="1" s="1"/>
  <c r="AA3913" i="1" s="1"/>
  <c r="AA3914" i="1" s="1"/>
  <c r="AA3915" i="1" s="1"/>
  <c r="AA3916" i="1" s="1"/>
  <c r="AA3917" i="1" s="1"/>
  <c r="AA3918" i="1" s="1"/>
  <c r="AA3919" i="1" s="1"/>
  <c r="AA3920" i="1" s="1"/>
  <c r="AA3921" i="1" s="1"/>
  <c r="AA3922" i="1" s="1"/>
  <c r="AA3923" i="1" s="1"/>
  <c r="AA3924" i="1" s="1"/>
  <c r="AA3925" i="1" s="1"/>
  <c r="AA3926" i="1" s="1"/>
  <c r="AA3927" i="1" s="1"/>
  <c r="AA3928" i="1" s="1"/>
  <c r="AA3929" i="1" s="1"/>
  <c r="AA3930" i="1" s="1"/>
  <c r="AA3931" i="1" s="1"/>
  <c r="AA3932" i="1" s="1"/>
  <c r="AA3933" i="1" s="1"/>
  <c r="AA3934" i="1" s="1"/>
  <c r="AA3935" i="1" s="1"/>
  <c r="AA3936" i="1" s="1"/>
  <c r="AA3937" i="1" s="1"/>
  <c r="AA3938" i="1" s="1"/>
  <c r="AA3939" i="1" s="1"/>
  <c r="AA3940" i="1" s="1"/>
  <c r="AA3941" i="1" s="1"/>
  <c r="AA3942" i="1" s="1"/>
  <c r="AA3943" i="1" s="1"/>
  <c r="AA3944" i="1" s="1"/>
  <c r="AA3945" i="1" s="1"/>
  <c r="AA3946" i="1" s="1"/>
  <c r="AA3947" i="1" s="1"/>
  <c r="AA3948" i="1" s="1"/>
  <c r="AA3949" i="1" s="1"/>
  <c r="AA3950" i="1" s="1"/>
  <c r="AA3951" i="1" s="1"/>
  <c r="AA3952" i="1" s="1"/>
  <c r="AA3953" i="1" s="1"/>
  <c r="AA3954" i="1" s="1"/>
  <c r="AA3955" i="1" s="1"/>
  <c r="AA3956" i="1" s="1"/>
  <c r="AA3957" i="1" s="1"/>
  <c r="AA3958" i="1" s="1"/>
  <c r="AA3959" i="1" s="1"/>
  <c r="AA3960" i="1" s="1"/>
  <c r="AA3961" i="1" s="1"/>
  <c r="AA3962" i="1" s="1"/>
  <c r="AA3963" i="1" s="1"/>
  <c r="AA3964" i="1" s="1"/>
  <c r="AA3965" i="1" s="1"/>
  <c r="AA3966" i="1" s="1"/>
  <c r="AA3967" i="1" s="1"/>
  <c r="AA3968" i="1" s="1"/>
  <c r="AA3969" i="1" s="1"/>
  <c r="AA3970" i="1" s="1"/>
  <c r="AA3971" i="1" s="1"/>
  <c r="AA3972" i="1" s="1"/>
  <c r="AA3973" i="1" s="1"/>
  <c r="AA3974" i="1" s="1"/>
  <c r="AA3975" i="1" s="1"/>
  <c r="AA3976" i="1" s="1"/>
  <c r="AA3977" i="1" s="1"/>
  <c r="AA3978" i="1" s="1"/>
  <c r="AA3979" i="1" s="1"/>
  <c r="AA3980" i="1" s="1"/>
  <c r="AA3981" i="1" s="1"/>
  <c r="AA3982" i="1" s="1"/>
  <c r="AA3983" i="1" s="1"/>
  <c r="AA3984" i="1" s="1"/>
  <c r="AA3985" i="1" s="1"/>
  <c r="AA3986" i="1" s="1"/>
  <c r="AA3987" i="1" s="1"/>
  <c r="AA3988" i="1" s="1"/>
  <c r="AA3989" i="1" s="1"/>
  <c r="AA3990" i="1" s="1"/>
  <c r="AA3991" i="1" s="1"/>
  <c r="AA3992" i="1" s="1"/>
  <c r="AA3993" i="1" s="1"/>
  <c r="AA3994" i="1" s="1"/>
  <c r="AA3995" i="1" s="1"/>
  <c r="AA3996" i="1" s="1"/>
  <c r="AA3997" i="1" s="1"/>
  <c r="AA3998" i="1" s="1"/>
  <c r="AA3999" i="1" s="1"/>
  <c r="AA4000" i="1" s="1"/>
  <c r="AA4001" i="1" s="1"/>
  <c r="AA4002" i="1" s="1"/>
  <c r="AA4003" i="1" s="1"/>
  <c r="AA4004" i="1" s="1"/>
  <c r="AA4005" i="1" s="1"/>
  <c r="AA4006" i="1" s="1"/>
  <c r="AA4007" i="1" s="1"/>
  <c r="AA4008" i="1" s="1"/>
  <c r="AA4009" i="1" s="1"/>
  <c r="AA4010" i="1" s="1"/>
  <c r="AA4011" i="1" s="1"/>
  <c r="AA4012" i="1" s="1"/>
  <c r="AA4013" i="1" s="1"/>
  <c r="AA4014" i="1" s="1"/>
  <c r="AA4015" i="1" s="1"/>
  <c r="AA4016" i="1" s="1"/>
  <c r="AA4017" i="1" s="1"/>
  <c r="AA4018" i="1" s="1"/>
  <c r="AA4019" i="1" s="1"/>
  <c r="AA4020" i="1" s="1"/>
  <c r="AA4021" i="1" s="1"/>
  <c r="AA4022" i="1" s="1"/>
  <c r="AA4023" i="1" s="1"/>
  <c r="AA4024" i="1" s="1"/>
  <c r="AA4025" i="1" s="1"/>
  <c r="AA4026" i="1" s="1"/>
  <c r="AA4027" i="1" s="1"/>
  <c r="AA4028" i="1" s="1"/>
  <c r="AA4029" i="1" s="1"/>
  <c r="AA4030" i="1" s="1"/>
  <c r="AA4031" i="1" s="1"/>
  <c r="AA4032" i="1" s="1"/>
  <c r="AA4033" i="1" s="1"/>
  <c r="AA4034" i="1" s="1"/>
  <c r="AA4035" i="1" s="1"/>
  <c r="AA4036" i="1" s="1"/>
  <c r="AA4037" i="1" s="1"/>
  <c r="AA4038" i="1" s="1"/>
  <c r="AA4039" i="1" s="1"/>
  <c r="AA4040" i="1" s="1"/>
  <c r="AA4041" i="1" s="1"/>
  <c r="AA4042" i="1" s="1"/>
  <c r="AA4043" i="1" s="1"/>
  <c r="AA4044" i="1" s="1"/>
  <c r="AA4045" i="1" s="1"/>
  <c r="AA4046" i="1" s="1"/>
  <c r="AA4047" i="1" s="1"/>
  <c r="AA4048" i="1" s="1"/>
  <c r="AA4049" i="1" s="1"/>
  <c r="AA4050" i="1" s="1"/>
  <c r="AA4051" i="1" s="1"/>
  <c r="AA4052" i="1" s="1"/>
  <c r="AA4053" i="1" s="1"/>
  <c r="AA4054" i="1" s="1"/>
  <c r="AA4055" i="1" s="1"/>
  <c r="AA4056" i="1" s="1"/>
  <c r="AA4057" i="1" s="1"/>
  <c r="AA4058" i="1" s="1"/>
  <c r="AA4059" i="1" s="1"/>
  <c r="AA4060" i="1" s="1"/>
  <c r="AA4061" i="1" s="1"/>
  <c r="AA4062" i="1" s="1"/>
  <c r="AA4063" i="1" s="1"/>
  <c r="AA4064" i="1" s="1"/>
  <c r="AA4065" i="1" s="1"/>
  <c r="AA4066" i="1" s="1"/>
  <c r="AA4067" i="1" s="1"/>
  <c r="AA4068" i="1" s="1"/>
  <c r="AA4069" i="1" s="1"/>
  <c r="AA4070" i="1" s="1"/>
  <c r="AA4071" i="1" s="1"/>
  <c r="AA4072" i="1" s="1"/>
  <c r="AA4073" i="1" s="1"/>
  <c r="AA4074" i="1" s="1"/>
  <c r="AA4075" i="1" s="1"/>
  <c r="AA4076" i="1" s="1"/>
  <c r="AA4077" i="1" s="1"/>
  <c r="AA4078" i="1" s="1"/>
  <c r="AA4079" i="1" s="1"/>
  <c r="AA4080" i="1" s="1"/>
  <c r="AA4081" i="1" s="1"/>
  <c r="AA4082" i="1" s="1"/>
  <c r="AA4083" i="1" s="1"/>
  <c r="AA4084" i="1" s="1"/>
  <c r="AA4085" i="1" s="1"/>
  <c r="AA4086" i="1" s="1"/>
  <c r="AA4087" i="1" s="1"/>
  <c r="AA4088" i="1" s="1"/>
  <c r="AA4089" i="1" s="1"/>
  <c r="AA4090" i="1" s="1"/>
  <c r="AA4091" i="1" s="1"/>
  <c r="AA4092" i="1" s="1"/>
  <c r="AA4093" i="1" s="1"/>
  <c r="AA4094" i="1" s="1"/>
  <c r="AA4095" i="1" s="1"/>
  <c r="AA4096" i="1" s="1"/>
  <c r="AA4097" i="1" s="1"/>
  <c r="AA4098" i="1" s="1"/>
  <c r="AA4099" i="1" s="1"/>
  <c r="AA4100" i="1" s="1"/>
  <c r="AA4101" i="1" s="1"/>
  <c r="AA4102" i="1" s="1"/>
  <c r="AA4103" i="1" s="1"/>
  <c r="AA4104" i="1" s="1"/>
  <c r="AA4105" i="1" s="1"/>
  <c r="AA4106" i="1" s="1"/>
  <c r="AA4107" i="1" s="1"/>
  <c r="AA4108" i="1" s="1"/>
  <c r="AA4109" i="1" s="1"/>
  <c r="AA4110" i="1" s="1"/>
  <c r="AA4111" i="1" s="1"/>
  <c r="AA4112" i="1" s="1"/>
  <c r="AA4113" i="1" s="1"/>
  <c r="AA4114" i="1" s="1"/>
  <c r="AA4115" i="1" s="1"/>
  <c r="AA4116" i="1" s="1"/>
  <c r="AA4117" i="1" s="1"/>
  <c r="AA4118" i="1" s="1"/>
  <c r="AA4119" i="1" s="1"/>
  <c r="AA4120" i="1" s="1"/>
  <c r="AA4121" i="1" s="1"/>
  <c r="AA4122" i="1" s="1"/>
  <c r="AA4123" i="1" s="1"/>
  <c r="AA4124" i="1" s="1"/>
  <c r="AA4125" i="1" s="1"/>
  <c r="AA4126" i="1" s="1"/>
  <c r="AA4127" i="1" s="1"/>
  <c r="AA4128" i="1" s="1"/>
  <c r="AA4129" i="1" s="1"/>
  <c r="AA4130" i="1" s="1"/>
  <c r="AA4131" i="1" s="1"/>
  <c r="AA4132" i="1" s="1"/>
  <c r="AA4133" i="1" s="1"/>
  <c r="AA4134" i="1" s="1"/>
  <c r="AA4135" i="1" s="1"/>
  <c r="AA4136" i="1" s="1"/>
  <c r="AA4137" i="1" s="1"/>
  <c r="AA4138" i="1" s="1"/>
  <c r="AA4139" i="1" s="1"/>
  <c r="AA4140" i="1" s="1"/>
  <c r="AA4141" i="1" s="1"/>
  <c r="AA4142" i="1" s="1"/>
  <c r="AA4143" i="1" s="1"/>
  <c r="AA4144" i="1" s="1"/>
  <c r="AA4145" i="1" s="1"/>
  <c r="AA4146" i="1" s="1"/>
  <c r="AA4147" i="1" s="1"/>
  <c r="AA4148" i="1" s="1"/>
  <c r="AA4149" i="1" s="1"/>
  <c r="AA4150" i="1" s="1"/>
  <c r="AA4151" i="1" s="1"/>
  <c r="AA4152" i="1" s="1"/>
  <c r="AA4153" i="1" s="1"/>
  <c r="AA4154" i="1" s="1"/>
  <c r="AA4155" i="1" s="1"/>
  <c r="AA4156" i="1" s="1"/>
  <c r="AA4157" i="1" s="1"/>
  <c r="AA4158" i="1" s="1"/>
  <c r="AA4159" i="1" s="1"/>
  <c r="AA4160" i="1" s="1"/>
  <c r="AA4161" i="1" s="1"/>
  <c r="AA4162" i="1" s="1"/>
  <c r="AA4163" i="1" s="1"/>
  <c r="AA4164" i="1" s="1"/>
  <c r="AA4165" i="1" s="1"/>
  <c r="AA4166" i="1" s="1"/>
  <c r="AA4167" i="1" s="1"/>
  <c r="AA4168" i="1" s="1"/>
  <c r="AA4169" i="1" s="1"/>
  <c r="AA4170" i="1" s="1"/>
  <c r="AA4171" i="1" s="1"/>
  <c r="AA4172" i="1" s="1"/>
  <c r="AA4173" i="1" s="1"/>
  <c r="AA4174" i="1" s="1"/>
  <c r="AA4175" i="1" s="1"/>
  <c r="AA4176" i="1" s="1"/>
  <c r="AA4177" i="1" s="1"/>
  <c r="AA4178" i="1" s="1"/>
  <c r="AA4179" i="1" s="1"/>
  <c r="AA4180" i="1" s="1"/>
  <c r="AA4181" i="1" s="1"/>
  <c r="AA4182" i="1" s="1"/>
  <c r="AA4183" i="1" s="1"/>
  <c r="AA4184" i="1" s="1"/>
  <c r="AA4185" i="1" s="1"/>
  <c r="AA4186" i="1" s="1"/>
  <c r="AA4187" i="1" s="1"/>
  <c r="AA4188" i="1" s="1"/>
  <c r="AA4189" i="1" s="1"/>
  <c r="AA4190" i="1" s="1"/>
  <c r="AA4191" i="1" s="1"/>
  <c r="AA4192" i="1" s="1"/>
  <c r="AA4193" i="1" s="1"/>
  <c r="AA4194" i="1" s="1"/>
  <c r="AA4195" i="1" s="1"/>
  <c r="AA4196" i="1" s="1"/>
  <c r="AA4197" i="1" s="1"/>
  <c r="AA4198" i="1" s="1"/>
  <c r="AA4199" i="1" s="1"/>
  <c r="AA4200" i="1" s="1"/>
  <c r="AA4201" i="1" s="1"/>
  <c r="AA4202" i="1" s="1"/>
  <c r="AA4203" i="1" s="1"/>
  <c r="AA4204" i="1" s="1"/>
  <c r="AA4205" i="1" s="1"/>
  <c r="AA4206" i="1" s="1"/>
  <c r="AA4207" i="1" s="1"/>
  <c r="AA4208" i="1" s="1"/>
  <c r="AA4209" i="1" s="1"/>
  <c r="AA4210" i="1" s="1"/>
  <c r="AA4211" i="1" s="1"/>
  <c r="AA4212" i="1" s="1"/>
  <c r="AA4213" i="1" s="1"/>
  <c r="AA4214" i="1" s="1"/>
  <c r="AA4215" i="1" s="1"/>
  <c r="AA4216" i="1" s="1"/>
  <c r="AA4217" i="1" s="1"/>
  <c r="AA4218" i="1" s="1"/>
  <c r="AA4219" i="1" s="1"/>
  <c r="AA4220" i="1" s="1"/>
  <c r="AA4221" i="1" s="1"/>
  <c r="AA4222" i="1" s="1"/>
  <c r="AA4223" i="1" s="1"/>
  <c r="AA4224" i="1" s="1"/>
  <c r="AA4225" i="1" s="1"/>
  <c r="AA4226" i="1" s="1"/>
  <c r="AA4227" i="1" s="1"/>
  <c r="AA4228" i="1" s="1"/>
  <c r="AA4229" i="1" s="1"/>
  <c r="AA4230" i="1" s="1"/>
  <c r="AA4231" i="1" s="1"/>
  <c r="AA4232" i="1" s="1"/>
  <c r="AA4233" i="1" s="1"/>
  <c r="AA4234" i="1" s="1"/>
  <c r="AA4235" i="1" s="1"/>
  <c r="AA4236" i="1" s="1"/>
  <c r="AA4237" i="1" s="1"/>
  <c r="AA4238" i="1" s="1"/>
  <c r="AA4239" i="1" s="1"/>
  <c r="AA4240" i="1" s="1"/>
  <c r="AA4241" i="1" s="1"/>
  <c r="AA4242" i="1" s="1"/>
  <c r="AA4243" i="1" s="1"/>
  <c r="AA4244" i="1" s="1"/>
  <c r="AA4245" i="1" s="1"/>
  <c r="AA4246" i="1" s="1"/>
  <c r="AA4247" i="1" s="1"/>
  <c r="AA4248" i="1" s="1"/>
  <c r="AA4249" i="1" s="1"/>
  <c r="AA4250" i="1" s="1"/>
  <c r="AA4251" i="1" s="1"/>
  <c r="AA4252" i="1" s="1"/>
  <c r="AA4253" i="1" s="1"/>
  <c r="AA4254" i="1" s="1"/>
  <c r="AA4255" i="1" s="1"/>
  <c r="AA4256" i="1" s="1"/>
  <c r="AA4257" i="1" s="1"/>
  <c r="AA4258" i="1" s="1"/>
  <c r="AA4259" i="1" s="1"/>
  <c r="AA4260" i="1" s="1"/>
  <c r="AA4261" i="1" s="1"/>
  <c r="AA4262" i="1" s="1"/>
  <c r="AA4263" i="1" s="1"/>
  <c r="AA4264" i="1" s="1"/>
  <c r="AA4265" i="1" s="1"/>
  <c r="AA4266" i="1" s="1"/>
  <c r="AA4267" i="1" s="1"/>
  <c r="AA4268" i="1" s="1"/>
  <c r="AA4269" i="1" s="1"/>
  <c r="AA4270" i="1" s="1"/>
  <c r="AA4271" i="1" s="1"/>
  <c r="AA4272" i="1" s="1"/>
  <c r="AA4273" i="1" s="1"/>
  <c r="AA4274" i="1" s="1"/>
  <c r="AA4275" i="1" s="1"/>
  <c r="AA4276" i="1" s="1"/>
  <c r="AA4277" i="1" s="1"/>
  <c r="AA4278" i="1" s="1"/>
  <c r="AA4279" i="1" s="1"/>
  <c r="AA4280" i="1" s="1"/>
  <c r="AA4281" i="1" s="1"/>
  <c r="AA4282" i="1" s="1"/>
  <c r="AA4283" i="1" s="1"/>
  <c r="AA4284" i="1" s="1"/>
  <c r="AA4285" i="1" s="1"/>
  <c r="AA4286" i="1" s="1"/>
  <c r="AA4287" i="1" s="1"/>
  <c r="AA4288" i="1" s="1"/>
  <c r="AA4289" i="1" s="1"/>
  <c r="AA4290" i="1" s="1"/>
  <c r="AA4291" i="1" s="1"/>
  <c r="AA4292" i="1" s="1"/>
  <c r="AA4293" i="1" s="1"/>
  <c r="AA4294" i="1" s="1"/>
  <c r="AA4295" i="1" s="1"/>
  <c r="AA4296" i="1" s="1"/>
  <c r="AA4297" i="1" s="1"/>
  <c r="AA4298" i="1" s="1"/>
  <c r="AA4299" i="1" s="1"/>
  <c r="AA4300" i="1" s="1"/>
  <c r="AA4301" i="1" s="1"/>
  <c r="AA4302" i="1" s="1"/>
  <c r="AA4303" i="1" s="1"/>
  <c r="AA4304" i="1" s="1"/>
  <c r="AA4305" i="1" s="1"/>
  <c r="AA4306" i="1" s="1"/>
  <c r="AA4307" i="1" s="1"/>
  <c r="AA4308" i="1" s="1"/>
  <c r="AA4309" i="1" s="1"/>
  <c r="AA4310" i="1" s="1"/>
  <c r="AA4311" i="1" s="1"/>
  <c r="AA4312" i="1" s="1"/>
  <c r="AA4313" i="1" s="1"/>
  <c r="AA4314" i="1" s="1"/>
  <c r="AA4315" i="1" s="1"/>
  <c r="AA4316" i="1" s="1"/>
  <c r="AA4317" i="1" s="1"/>
  <c r="AA4318" i="1" s="1"/>
  <c r="AA4319" i="1" s="1"/>
  <c r="AA4320" i="1" s="1"/>
  <c r="AA4321" i="1" s="1"/>
  <c r="AA4322" i="1" s="1"/>
  <c r="AA4323" i="1" s="1"/>
  <c r="AA4324" i="1" s="1"/>
  <c r="AA4325" i="1" s="1"/>
  <c r="AA4326" i="1" s="1"/>
  <c r="AA4327" i="1" s="1"/>
  <c r="AA4328" i="1" s="1"/>
  <c r="AA4329" i="1" s="1"/>
  <c r="AA4330" i="1" s="1"/>
  <c r="AA4331" i="1" s="1"/>
  <c r="AA4332" i="1" s="1"/>
  <c r="AA4333" i="1" s="1"/>
  <c r="AA4334" i="1" s="1"/>
  <c r="AA4335" i="1" s="1"/>
  <c r="AA4336" i="1" s="1"/>
  <c r="AA4337" i="1" s="1"/>
  <c r="AA4338" i="1" s="1"/>
  <c r="AA4339" i="1" s="1"/>
  <c r="AA4340" i="1" s="1"/>
  <c r="AA4341" i="1" s="1"/>
  <c r="AA4342" i="1" s="1"/>
  <c r="AA4343" i="1" s="1"/>
  <c r="AA4344" i="1" s="1"/>
  <c r="AA4345" i="1" s="1"/>
  <c r="AA4346" i="1" s="1"/>
  <c r="AA4347" i="1" s="1"/>
  <c r="AA4348" i="1" s="1"/>
  <c r="AA4349" i="1" s="1"/>
  <c r="AA4350" i="1" s="1"/>
  <c r="AA4351" i="1" s="1"/>
  <c r="AA4352" i="1" s="1"/>
  <c r="AA4353" i="1" s="1"/>
  <c r="AA4354" i="1" s="1"/>
  <c r="AA4355" i="1" s="1"/>
  <c r="AA4356" i="1" s="1"/>
  <c r="AA4357" i="1" s="1"/>
  <c r="AA4358" i="1" s="1"/>
  <c r="AA4359" i="1" s="1"/>
  <c r="AA4360" i="1" s="1"/>
  <c r="AA4361" i="1" s="1"/>
  <c r="AA4362" i="1" s="1"/>
  <c r="AA4363" i="1" s="1"/>
  <c r="AA4364" i="1" s="1"/>
  <c r="AA4365" i="1" s="1"/>
  <c r="AA4366" i="1" s="1"/>
  <c r="AA4367" i="1" s="1"/>
  <c r="AA4368" i="1" s="1"/>
  <c r="AA4369" i="1" s="1"/>
  <c r="AA4370" i="1" s="1"/>
  <c r="AA4371" i="1" s="1"/>
  <c r="AA4372" i="1" s="1"/>
  <c r="AA4373" i="1" s="1"/>
  <c r="AA4374" i="1" s="1"/>
  <c r="AA4375" i="1" s="1"/>
  <c r="AA4376" i="1" s="1"/>
  <c r="AA4377" i="1" s="1"/>
  <c r="AA4378" i="1" s="1"/>
  <c r="AA4379" i="1" s="1"/>
  <c r="AA4380" i="1" s="1"/>
  <c r="AA4381" i="1" s="1"/>
  <c r="AA4382" i="1" s="1"/>
  <c r="AA4383" i="1" s="1"/>
  <c r="AA4384" i="1" s="1"/>
  <c r="AA4385" i="1" s="1"/>
  <c r="AA4386" i="1" s="1"/>
  <c r="AA4387" i="1" s="1"/>
  <c r="AA4388" i="1" s="1"/>
  <c r="AA4389" i="1" s="1"/>
  <c r="AA4390" i="1" s="1"/>
  <c r="AA4391" i="1" s="1"/>
  <c r="AA4392" i="1" s="1"/>
  <c r="AA4393" i="1" s="1"/>
  <c r="AA4394" i="1" s="1"/>
  <c r="AA4395" i="1" s="1"/>
  <c r="AA4396" i="1" s="1"/>
  <c r="AA4397" i="1" s="1"/>
  <c r="AA4398" i="1" s="1"/>
  <c r="AA4399" i="1" s="1"/>
  <c r="AA4400" i="1" s="1"/>
  <c r="AA4401" i="1" s="1"/>
  <c r="AA4402" i="1" s="1"/>
  <c r="AA4403" i="1" s="1"/>
  <c r="AA4404" i="1" s="1"/>
  <c r="AA4405" i="1" s="1"/>
  <c r="AA4406" i="1" s="1"/>
  <c r="AA4407" i="1" s="1"/>
  <c r="AA4408" i="1" s="1"/>
  <c r="AA4409" i="1" s="1"/>
  <c r="AA4410" i="1" s="1"/>
  <c r="AA4411" i="1" s="1"/>
  <c r="AA4412" i="1" s="1"/>
  <c r="AA4413" i="1" s="1"/>
  <c r="AA4414" i="1" s="1"/>
  <c r="AA4415" i="1" s="1"/>
  <c r="AA4416" i="1" s="1"/>
  <c r="AA4417" i="1" s="1"/>
  <c r="AA4418" i="1" s="1"/>
  <c r="AA4419" i="1" s="1"/>
  <c r="AA4420" i="1" s="1"/>
  <c r="AA4421" i="1" s="1"/>
  <c r="AA4422" i="1" s="1"/>
  <c r="AA4423" i="1" s="1"/>
  <c r="AA4424" i="1" s="1"/>
  <c r="AA4425" i="1" s="1"/>
  <c r="AA4426" i="1" s="1"/>
  <c r="AA4427" i="1" s="1"/>
  <c r="AA4428" i="1" s="1"/>
  <c r="AA4429" i="1" s="1"/>
  <c r="AA4430" i="1" s="1"/>
  <c r="AA4431" i="1" s="1"/>
  <c r="AA4432" i="1" s="1"/>
  <c r="AA4433" i="1" s="1"/>
  <c r="AA4434" i="1" s="1"/>
  <c r="AA4435" i="1" s="1"/>
  <c r="AA4436" i="1" s="1"/>
  <c r="AA4437" i="1" s="1"/>
  <c r="AA4438" i="1" s="1"/>
  <c r="AA4439" i="1" s="1"/>
  <c r="AA4440" i="1" s="1"/>
  <c r="AA4441" i="1" s="1"/>
  <c r="AA4442" i="1" s="1"/>
  <c r="AA4443" i="1" s="1"/>
  <c r="AA4444" i="1" s="1"/>
  <c r="AA4445" i="1" s="1"/>
  <c r="AA4446" i="1" s="1"/>
  <c r="AA4447" i="1" s="1"/>
  <c r="AA4448" i="1" s="1"/>
  <c r="AA4449" i="1" s="1"/>
  <c r="AA4450" i="1" s="1"/>
  <c r="AA4451" i="1" s="1"/>
  <c r="AA4452" i="1" s="1"/>
  <c r="AA4453" i="1" s="1"/>
  <c r="AA4454" i="1" s="1"/>
  <c r="AA4455" i="1" s="1"/>
  <c r="AA4456" i="1" s="1"/>
  <c r="AA4457" i="1" s="1"/>
  <c r="AA4458" i="1" s="1"/>
  <c r="AA4459" i="1" s="1"/>
  <c r="AA4460" i="1" s="1"/>
  <c r="AA4461" i="1" s="1"/>
  <c r="AA4462" i="1" s="1"/>
  <c r="AA4463" i="1" s="1"/>
  <c r="AA4464" i="1" s="1"/>
  <c r="AA4465" i="1" s="1"/>
  <c r="AA4466" i="1" s="1"/>
  <c r="AA4467" i="1" s="1"/>
  <c r="AA4468" i="1" s="1"/>
  <c r="AA4469" i="1" s="1"/>
  <c r="AA4470" i="1" s="1"/>
  <c r="AA4471" i="1" s="1"/>
  <c r="AA4472" i="1" s="1"/>
  <c r="AA4473" i="1" s="1"/>
  <c r="AA4474" i="1" s="1"/>
  <c r="AA4475" i="1" s="1"/>
  <c r="AA4476" i="1" s="1"/>
  <c r="AA4477" i="1" s="1"/>
  <c r="AA4478" i="1" s="1"/>
  <c r="AA4479" i="1" s="1"/>
  <c r="AA4480" i="1" s="1"/>
  <c r="AA4481" i="1" s="1"/>
  <c r="AA4482" i="1" s="1"/>
  <c r="AA4483" i="1" s="1"/>
  <c r="AA4484" i="1" s="1"/>
  <c r="AA4485" i="1" s="1"/>
  <c r="AA4486" i="1" s="1"/>
  <c r="AA4487" i="1" s="1"/>
  <c r="AA4488" i="1" s="1"/>
  <c r="AA4489" i="1" s="1"/>
  <c r="AA4490" i="1" s="1"/>
  <c r="AA4491" i="1" s="1"/>
  <c r="AA4492" i="1" s="1"/>
  <c r="AA4493" i="1" s="1"/>
  <c r="AA4494" i="1" s="1"/>
  <c r="AA4495" i="1" s="1"/>
  <c r="AA4496" i="1" s="1"/>
  <c r="AA4497" i="1" s="1"/>
  <c r="AA4498" i="1" s="1"/>
  <c r="AA4499" i="1" s="1"/>
  <c r="AA4500" i="1" s="1"/>
  <c r="AA4501" i="1" s="1"/>
  <c r="AA4502" i="1" s="1"/>
  <c r="AA4503" i="1" s="1"/>
  <c r="AA4504" i="1" s="1"/>
  <c r="AA4505" i="1" s="1"/>
  <c r="AA4506" i="1" s="1"/>
  <c r="AA4507" i="1" s="1"/>
  <c r="AA4508" i="1" s="1"/>
  <c r="AA4509" i="1" s="1"/>
  <c r="AA4510" i="1" s="1"/>
  <c r="AA4511" i="1" s="1"/>
  <c r="AA4512" i="1" s="1"/>
  <c r="AA4513" i="1" s="1"/>
  <c r="AA4514" i="1" s="1"/>
  <c r="AA4515" i="1" s="1"/>
  <c r="AA4516" i="1" s="1"/>
  <c r="AA4517" i="1" s="1"/>
  <c r="AA4518" i="1" s="1"/>
  <c r="AA4519" i="1" s="1"/>
  <c r="AA4520" i="1" s="1"/>
  <c r="AA4521" i="1" s="1"/>
  <c r="AA4522" i="1" s="1"/>
  <c r="AA4523" i="1" s="1"/>
  <c r="AA4524" i="1" s="1"/>
  <c r="AA4525" i="1" s="1"/>
  <c r="AA4526" i="1" s="1"/>
  <c r="AA4527" i="1" s="1"/>
  <c r="AA4528" i="1" s="1"/>
  <c r="AA4529" i="1" s="1"/>
  <c r="AA4530" i="1" s="1"/>
  <c r="AA4531" i="1" s="1"/>
  <c r="AA4532" i="1" s="1"/>
  <c r="AA4533" i="1" s="1"/>
  <c r="AA4534" i="1" s="1"/>
  <c r="AA4535" i="1" s="1"/>
  <c r="AA4536" i="1" s="1"/>
  <c r="AA4537" i="1" s="1"/>
  <c r="AA4538" i="1" s="1"/>
  <c r="AA4539" i="1" s="1"/>
  <c r="AA4540" i="1" s="1"/>
  <c r="AA4541" i="1" s="1"/>
  <c r="AA4542" i="1" s="1"/>
  <c r="AA4543" i="1" s="1"/>
  <c r="AA4544" i="1" s="1"/>
  <c r="AA4545" i="1" s="1"/>
  <c r="AA4546" i="1" s="1"/>
  <c r="AA4547" i="1" s="1"/>
  <c r="AA4548" i="1" s="1"/>
  <c r="AA4549" i="1" s="1"/>
  <c r="AA4550" i="1" s="1"/>
  <c r="AA4551" i="1" s="1"/>
  <c r="AA4552" i="1" s="1"/>
  <c r="AA4553" i="1" s="1"/>
  <c r="AA4554" i="1" s="1"/>
  <c r="AA4555" i="1" s="1"/>
  <c r="AA4556" i="1" s="1"/>
  <c r="AA4557" i="1" s="1"/>
  <c r="AA4558" i="1" s="1"/>
  <c r="AA4559" i="1" s="1"/>
  <c r="AA4560" i="1" s="1"/>
  <c r="AA4561" i="1" s="1"/>
  <c r="AA4562" i="1" s="1"/>
  <c r="AA4563" i="1" s="1"/>
  <c r="AA4564" i="1" s="1"/>
  <c r="AA4565" i="1" s="1"/>
  <c r="AA4566" i="1" s="1"/>
  <c r="AA4567" i="1" s="1"/>
  <c r="AA4568" i="1" s="1"/>
  <c r="AA4569" i="1" s="1"/>
  <c r="AA4570" i="1" s="1"/>
  <c r="AA4571" i="1" s="1"/>
  <c r="AA4572" i="1" s="1"/>
  <c r="AA4573" i="1" s="1"/>
  <c r="AA4574" i="1" s="1"/>
  <c r="AA4575" i="1" s="1"/>
  <c r="AA4576" i="1" s="1"/>
  <c r="AA4577" i="1" s="1"/>
  <c r="AA4578" i="1" s="1"/>
  <c r="AA4579" i="1" s="1"/>
  <c r="AA4580" i="1" s="1"/>
  <c r="AA4581" i="1" s="1"/>
  <c r="AA4582" i="1" s="1"/>
  <c r="AA4583" i="1" s="1"/>
  <c r="AA4584" i="1" s="1"/>
  <c r="AA4585" i="1" s="1"/>
  <c r="AA4586" i="1" s="1"/>
  <c r="AA4587" i="1" s="1"/>
  <c r="AA4588" i="1" s="1"/>
  <c r="AA4589" i="1" s="1"/>
  <c r="AA4590" i="1" s="1"/>
  <c r="AA4591" i="1" s="1"/>
  <c r="AA4592" i="1" s="1"/>
  <c r="AA4593" i="1" s="1"/>
  <c r="AA4594" i="1" s="1"/>
  <c r="AA4595" i="1" s="1"/>
  <c r="AA4596" i="1" s="1"/>
  <c r="AA4597" i="1" s="1"/>
  <c r="AA4598" i="1" s="1"/>
  <c r="AA4599" i="1" s="1"/>
  <c r="AA4600" i="1" s="1"/>
  <c r="AA4601" i="1" s="1"/>
  <c r="AA4602" i="1" s="1"/>
  <c r="AA4603" i="1" s="1"/>
  <c r="AA4604" i="1" s="1"/>
  <c r="AA4605" i="1" s="1"/>
  <c r="AA4606" i="1" s="1"/>
  <c r="AA4607" i="1" s="1"/>
  <c r="AA4608" i="1" s="1"/>
  <c r="AA4609" i="1" s="1"/>
  <c r="AA4610" i="1" s="1"/>
  <c r="AA4611" i="1" s="1"/>
  <c r="AA4612" i="1" s="1"/>
  <c r="AA4613" i="1" s="1"/>
  <c r="AA4614" i="1" s="1"/>
  <c r="AA4615" i="1" s="1"/>
  <c r="AA4616" i="1" s="1"/>
  <c r="AA4617" i="1" s="1"/>
  <c r="AA4618" i="1" s="1"/>
  <c r="AA4619" i="1" s="1"/>
  <c r="AA4620" i="1" s="1"/>
  <c r="AA4621" i="1" s="1"/>
  <c r="AA4622" i="1" s="1"/>
  <c r="AA4623" i="1" s="1"/>
  <c r="AA4624" i="1" s="1"/>
  <c r="AA4625" i="1" s="1"/>
  <c r="AA4626" i="1" s="1"/>
  <c r="AA4627" i="1" s="1"/>
  <c r="AA4628" i="1" s="1"/>
  <c r="AA4629" i="1" s="1"/>
  <c r="AA4630" i="1" s="1"/>
  <c r="AA4631" i="1" s="1"/>
  <c r="AA4632" i="1" s="1"/>
  <c r="AA4633" i="1" s="1"/>
  <c r="AA4634" i="1" s="1"/>
  <c r="AA4635" i="1" s="1"/>
  <c r="AA4636" i="1" s="1"/>
  <c r="AA4637" i="1" s="1"/>
  <c r="AA4638" i="1" s="1"/>
  <c r="AA4639" i="1" s="1"/>
  <c r="AA4640" i="1" s="1"/>
  <c r="AA4641" i="1" s="1"/>
  <c r="AA4642" i="1" s="1"/>
  <c r="AA4643" i="1" s="1"/>
  <c r="AA4644" i="1" s="1"/>
  <c r="AA4645" i="1" s="1"/>
  <c r="AA4646" i="1" s="1"/>
  <c r="AA4647" i="1" s="1"/>
  <c r="AA4648" i="1" s="1"/>
  <c r="AA4649" i="1" s="1"/>
  <c r="AA4650" i="1" s="1"/>
  <c r="AA4651" i="1" s="1"/>
  <c r="AA4652" i="1" s="1"/>
  <c r="AA4653" i="1" s="1"/>
  <c r="AA4654" i="1" s="1"/>
  <c r="AA4655" i="1" s="1"/>
  <c r="AA4656" i="1" s="1"/>
  <c r="AA4657" i="1" s="1"/>
  <c r="AA4658" i="1" s="1"/>
  <c r="AA4659" i="1" s="1"/>
  <c r="AA4660" i="1" s="1"/>
  <c r="AA4661" i="1" s="1"/>
  <c r="AA4662" i="1" s="1"/>
  <c r="AA4663" i="1" s="1"/>
  <c r="AA4664" i="1" s="1"/>
  <c r="AA4665" i="1" s="1"/>
  <c r="AA4666" i="1" s="1"/>
  <c r="AA4667" i="1" s="1"/>
  <c r="AA4668" i="1" s="1"/>
  <c r="AA4669" i="1" s="1"/>
  <c r="AA4670" i="1" s="1"/>
  <c r="AA4671" i="1" s="1"/>
  <c r="AA4672" i="1" s="1"/>
  <c r="AA4673" i="1" s="1"/>
  <c r="AA4674" i="1" s="1"/>
  <c r="AA4675" i="1" s="1"/>
  <c r="AA4676" i="1" s="1"/>
  <c r="AA4677" i="1" s="1"/>
  <c r="AA4678" i="1" s="1"/>
  <c r="AA4679" i="1" s="1"/>
  <c r="AA4680" i="1" s="1"/>
  <c r="AA4681" i="1" s="1"/>
  <c r="AA4682" i="1" s="1"/>
  <c r="AA4683" i="1" s="1"/>
  <c r="AA4684" i="1" s="1"/>
  <c r="AA4685" i="1" s="1"/>
  <c r="AA4686" i="1" s="1"/>
  <c r="AA4687" i="1" s="1"/>
  <c r="AA4688" i="1" s="1"/>
  <c r="AA4689" i="1" s="1"/>
  <c r="AA4690" i="1" s="1"/>
  <c r="AA4691" i="1" s="1"/>
  <c r="AA4692" i="1" s="1"/>
  <c r="AA4693" i="1" s="1"/>
  <c r="AA4694" i="1" s="1"/>
  <c r="AA4695" i="1" s="1"/>
  <c r="AA4696" i="1" s="1"/>
  <c r="AA4697" i="1" s="1"/>
  <c r="AA4698" i="1" s="1"/>
  <c r="AA4699" i="1" s="1"/>
  <c r="AA4700" i="1" s="1"/>
  <c r="AA4701" i="1" s="1"/>
  <c r="AA4702" i="1" s="1"/>
  <c r="AA4703" i="1" s="1"/>
  <c r="AA4704" i="1" s="1"/>
  <c r="AA4705" i="1" s="1"/>
  <c r="AA4706" i="1" s="1"/>
  <c r="AA4707" i="1" s="1"/>
  <c r="AA4708" i="1" s="1"/>
  <c r="AA4709" i="1" s="1"/>
  <c r="AA4710" i="1" s="1"/>
  <c r="AA4711" i="1" s="1"/>
  <c r="AA4712" i="1" s="1"/>
  <c r="AA4713" i="1" s="1"/>
  <c r="AA4714" i="1" s="1"/>
  <c r="AA4715" i="1" s="1"/>
  <c r="AA4716" i="1" s="1"/>
  <c r="AA4717" i="1" s="1"/>
  <c r="AA4718" i="1" s="1"/>
  <c r="AA4719" i="1" s="1"/>
  <c r="AA4720" i="1" s="1"/>
  <c r="AA4721" i="1" s="1"/>
  <c r="AA4722" i="1" s="1"/>
  <c r="AA4723" i="1" s="1"/>
  <c r="AA4724" i="1" s="1"/>
  <c r="AA4725" i="1" s="1"/>
  <c r="AA4726" i="1" s="1"/>
  <c r="AA4727" i="1" s="1"/>
  <c r="AA4728" i="1" s="1"/>
  <c r="AA4729" i="1" s="1"/>
  <c r="AA4730" i="1" s="1"/>
  <c r="AA4731" i="1" s="1"/>
  <c r="AA4732" i="1" s="1"/>
  <c r="AA4733" i="1" s="1"/>
  <c r="AA4734" i="1" s="1"/>
  <c r="AA4735" i="1" s="1"/>
  <c r="AA4736" i="1" s="1"/>
  <c r="AA4737" i="1" s="1"/>
  <c r="AA4738" i="1" s="1"/>
  <c r="AA4739" i="1" s="1"/>
  <c r="AA4740" i="1" s="1"/>
  <c r="AA4741" i="1" s="1"/>
  <c r="AA4742" i="1" s="1"/>
  <c r="AA4743" i="1" s="1"/>
  <c r="AA4744" i="1" s="1"/>
  <c r="AA4745" i="1" s="1"/>
  <c r="AA4746" i="1" s="1"/>
  <c r="AA4747" i="1" s="1"/>
  <c r="AA4748" i="1" s="1"/>
  <c r="AA4749" i="1" s="1"/>
  <c r="AA4750" i="1" s="1"/>
  <c r="AA4751" i="1" s="1"/>
  <c r="AA4752" i="1" s="1"/>
  <c r="AA4753" i="1" s="1"/>
  <c r="AA4754" i="1" s="1"/>
  <c r="AA4755" i="1" s="1"/>
  <c r="AA4756" i="1" s="1"/>
  <c r="AA4757" i="1" s="1"/>
  <c r="AA4758" i="1" s="1"/>
  <c r="AA4759" i="1" s="1"/>
  <c r="AA4760" i="1" s="1"/>
  <c r="AA4761" i="1" s="1"/>
  <c r="AA4762" i="1" s="1"/>
  <c r="AA4763" i="1" s="1"/>
  <c r="AA4764" i="1" s="1"/>
  <c r="AA4765" i="1" s="1"/>
  <c r="AA4766" i="1" s="1"/>
  <c r="AA4767" i="1" s="1"/>
  <c r="AA4768" i="1" s="1"/>
  <c r="AA4769" i="1" s="1"/>
  <c r="AA4770" i="1" s="1"/>
  <c r="AA4771" i="1" s="1"/>
  <c r="AA4772" i="1" s="1"/>
  <c r="AA4773" i="1" s="1"/>
  <c r="AA4774" i="1" s="1"/>
  <c r="AA4775" i="1" s="1"/>
  <c r="AA4776" i="1" s="1"/>
  <c r="AA4777" i="1" s="1"/>
  <c r="AA4778" i="1" s="1"/>
  <c r="AA4779" i="1" s="1"/>
  <c r="AA4780" i="1" s="1"/>
  <c r="AA4781" i="1" s="1"/>
  <c r="AA4782" i="1" s="1"/>
  <c r="AA4783" i="1" s="1"/>
  <c r="AA4784" i="1" s="1"/>
  <c r="AA4785" i="1" s="1"/>
  <c r="AA4786" i="1" s="1"/>
  <c r="AA4787" i="1" s="1"/>
  <c r="AA4788" i="1" s="1"/>
  <c r="AA4789" i="1" s="1"/>
  <c r="AA4790" i="1" s="1"/>
  <c r="AA4791" i="1" s="1"/>
  <c r="AA4792" i="1" s="1"/>
  <c r="AA4793" i="1" s="1"/>
  <c r="AA4794" i="1" s="1"/>
  <c r="AA4795" i="1" s="1"/>
  <c r="AA4796" i="1" s="1"/>
  <c r="AA4797" i="1" s="1"/>
  <c r="AA4798" i="1" s="1"/>
  <c r="AA4799" i="1" s="1"/>
  <c r="AA4800" i="1" s="1"/>
  <c r="AA4801" i="1" s="1"/>
  <c r="AA4802" i="1" s="1"/>
  <c r="AA4803" i="1" s="1"/>
  <c r="AA4804" i="1" s="1"/>
  <c r="AA4805" i="1" s="1"/>
  <c r="AA4806" i="1" s="1"/>
  <c r="AA4807" i="1" s="1"/>
  <c r="AA4808" i="1" s="1"/>
  <c r="AA4809" i="1" s="1"/>
  <c r="AA4810" i="1" s="1"/>
  <c r="AA4811" i="1" s="1"/>
  <c r="AA4812" i="1" s="1"/>
  <c r="AA4813" i="1" s="1"/>
  <c r="AA4814" i="1" s="1"/>
  <c r="AA4815" i="1" s="1"/>
  <c r="AA4816" i="1" s="1"/>
  <c r="AA4817" i="1" s="1"/>
  <c r="AA4818" i="1" s="1"/>
  <c r="AA4819" i="1" s="1"/>
  <c r="AA4820" i="1" s="1"/>
  <c r="AA4821" i="1" s="1"/>
  <c r="AA4822" i="1" s="1"/>
  <c r="AA4823" i="1" s="1"/>
  <c r="AA4824" i="1" s="1"/>
  <c r="AA4825" i="1" s="1"/>
  <c r="AA4826" i="1" s="1"/>
  <c r="AA4827" i="1" s="1"/>
  <c r="AA4828" i="1" s="1"/>
  <c r="AA4829" i="1" s="1"/>
  <c r="AA4830" i="1" s="1"/>
  <c r="AA4831" i="1" s="1"/>
  <c r="AA4832" i="1" s="1"/>
  <c r="AA4833" i="1" s="1"/>
  <c r="AA4834" i="1" s="1"/>
  <c r="AA4835" i="1" s="1"/>
  <c r="AA4836" i="1" s="1"/>
  <c r="AA4837" i="1" s="1"/>
  <c r="AA4838" i="1" s="1"/>
  <c r="AA4839" i="1" s="1"/>
  <c r="AA4840" i="1" s="1"/>
  <c r="AA4841" i="1" s="1"/>
  <c r="AA4842" i="1" s="1"/>
  <c r="AA4843" i="1" s="1"/>
  <c r="AA4844" i="1" s="1"/>
  <c r="AA4845" i="1" s="1"/>
  <c r="AA4846" i="1" s="1"/>
  <c r="AA4847" i="1" s="1"/>
  <c r="AA4848" i="1" s="1"/>
  <c r="AA4849" i="1" s="1"/>
  <c r="AA4850" i="1" s="1"/>
  <c r="AA4851" i="1" s="1"/>
  <c r="AA4852" i="1" s="1"/>
  <c r="AA4853" i="1" s="1"/>
  <c r="AA4854" i="1" s="1"/>
  <c r="AA4855" i="1" s="1"/>
  <c r="AA4856" i="1" s="1"/>
  <c r="AA4857" i="1" s="1"/>
  <c r="AA4858" i="1" s="1"/>
  <c r="AA4859" i="1" s="1"/>
  <c r="AA4860" i="1" s="1"/>
  <c r="AA4861" i="1" s="1"/>
  <c r="AA4862" i="1" s="1"/>
  <c r="AA4863" i="1" s="1"/>
  <c r="AA4864" i="1" s="1"/>
  <c r="AA4865" i="1" s="1"/>
  <c r="AA4866" i="1" s="1"/>
  <c r="AA4867" i="1" s="1"/>
  <c r="AA4868" i="1" s="1"/>
  <c r="AA4869" i="1" s="1"/>
  <c r="AA4870" i="1" s="1"/>
  <c r="AA4871" i="1" s="1"/>
  <c r="AA4872" i="1" s="1"/>
  <c r="AA4873" i="1" s="1"/>
  <c r="AA4874" i="1" s="1"/>
  <c r="AA4875" i="1" s="1"/>
  <c r="AA4876" i="1" s="1"/>
  <c r="AA4877" i="1" s="1"/>
  <c r="AA4878" i="1" s="1"/>
  <c r="AA4879" i="1" s="1"/>
  <c r="AA4880" i="1" s="1"/>
  <c r="AA4881" i="1" s="1"/>
  <c r="AA4882" i="1" s="1"/>
  <c r="AA4883" i="1" s="1"/>
  <c r="AA4884" i="1" s="1"/>
  <c r="AA4885" i="1" s="1"/>
  <c r="AA4886" i="1" s="1"/>
  <c r="AA4887" i="1" s="1"/>
  <c r="AA4888" i="1" s="1"/>
  <c r="AA4889" i="1" s="1"/>
  <c r="AA4890" i="1" s="1"/>
  <c r="AA4891" i="1" s="1"/>
  <c r="AA4892" i="1" s="1"/>
  <c r="AA4893" i="1" s="1"/>
  <c r="AA4894" i="1" s="1"/>
  <c r="AA4895" i="1" s="1"/>
  <c r="AA4896" i="1" s="1"/>
  <c r="AA4897" i="1" s="1"/>
  <c r="AA4898" i="1" s="1"/>
  <c r="AA4899" i="1" s="1"/>
  <c r="AA4900" i="1" s="1"/>
  <c r="AA4901" i="1" s="1"/>
  <c r="AA4902" i="1" s="1"/>
  <c r="AA4903" i="1" s="1"/>
  <c r="AA4904" i="1" s="1"/>
  <c r="AA4905" i="1" s="1"/>
  <c r="AA4906" i="1" s="1"/>
  <c r="AA4907" i="1" s="1"/>
  <c r="AA4908" i="1" s="1"/>
  <c r="AA4909" i="1" s="1"/>
  <c r="AA4910" i="1" s="1"/>
  <c r="AA4911" i="1" s="1"/>
  <c r="AA4912" i="1" s="1"/>
  <c r="AA4913" i="1" s="1"/>
  <c r="AA4914" i="1" s="1"/>
  <c r="AA4915" i="1" s="1"/>
  <c r="AA4916" i="1" s="1"/>
  <c r="AA4917" i="1" s="1"/>
  <c r="AA4918" i="1" s="1"/>
  <c r="AA4919" i="1" s="1"/>
  <c r="AA4920" i="1" s="1"/>
  <c r="AA4921" i="1" s="1"/>
  <c r="AA4922" i="1" s="1"/>
  <c r="AA4923" i="1" s="1"/>
  <c r="AA4924" i="1" s="1"/>
  <c r="AA4925" i="1" s="1"/>
  <c r="AA4926" i="1" s="1"/>
  <c r="AA4927" i="1" s="1"/>
  <c r="AA4928" i="1" s="1"/>
  <c r="AA4929" i="1" s="1"/>
  <c r="AA4930" i="1" s="1"/>
  <c r="AA4931" i="1" s="1"/>
  <c r="AA4932" i="1" s="1"/>
  <c r="AA4933" i="1" s="1"/>
  <c r="AA4934" i="1" s="1"/>
  <c r="AA4935" i="1" s="1"/>
  <c r="AA4936" i="1" s="1"/>
  <c r="AA4937" i="1" s="1"/>
  <c r="AA4938" i="1" s="1"/>
  <c r="AA4939" i="1" s="1"/>
  <c r="AA4940" i="1" s="1"/>
  <c r="AA4941" i="1" s="1"/>
  <c r="AA4942" i="1" s="1"/>
  <c r="AA4943" i="1" s="1"/>
  <c r="AA4944" i="1" s="1"/>
  <c r="AA4945" i="1" s="1"/>
  <c r="AA4946" i="1" s="1"/>
  <c r="AA4947" i="1" s="1"/>
  <c r="AA4948" i="1" s="1"/>
  <c r="AA4949" i="1" s="1"/>
  <c r="AA4950" i="1" s="1"/>
  <c r="AA4951" i="1" s="1"/>
  <c r="AA4952" i="1" s="1"/>
  <c r="AA4953" i="1" s="1"/>
  <c r="AA4954" i="1" s="1"/>
  <c r="AA4955" i="1" s="1"/>
  <c r="AA4956" i="1" s="1"/>
  <c r="AA4957" i="1" s="1"/>
  <c r="AA4958" i="1" s="1"/>
  <c r="AA4959" i="1" s="1"/>
  <c r="AA4960" i="1" s="1"/>
  <c r="AA4961" i="1" s="1"/>
  <c r="AA4962" i="1" s="1"/>
  <c r="AA4963" i="1" s="1"/>
  <c r="AA4964" i="1" s="1"/>
  <c r="AA4965" i="1" s="1"/>
  <c r="AA4966" i="1" s="1"/>
  <c r="AA4967" i="1" s="1"/>
  <c r="AA4968" i="1" s="1"/>
  <c r="AA4969" i="1" s="1"/>
  <c r="AA4970" i="1" s="1"/>
  <c r="AA4971" i="1" s="1"/>
  <c r="AA4972" i="1" s="1"/>
  <c r="AA4973" i="1" s="1"/>
  <c r="AA4974" i="1" s="1"/>
  <c r="AA4975" i="1" s="1"/>
  <c r="AA4976" i="1" s="1"/>
  <c r="AA4977" i="1" s="1"/>
  <c r="AA4978" i="1" s="1"/>
  <c r="AA4979" i="1" s="1"/>
  <c r="AA4980" i="1" s="1"/>
  <c r="AA4981" i="1" s="1"/>
  <c r="AA4982" i="1" s="1"/>
  <c r="AA4983" i="1" s="1"/>
  <c r="AA4984" i="1" s="1"/>
  <c r="AA4985" i="1" s="1"/>
  <c r="AA4986" i="1" s="1"/>
  <c r="AA4987" i="1" s="1"/>
  <c r="AA4988" i="1" s="1"/>
  <c r="AA4989" i="1" s="1"/>
  <c r="AA4990" i="1" s="1"/>
  <c r="AA4991" i="1" s="1"/>
  <c r="AA4992" i="1" s="1"/>
  <c r="AA4993" i="1" s="1"/>
  <c r="AA4994" i="1" s="1"/>
  <c r="AA4995" i="1" s="1"/>
  <c r="AA4996" i="1" s="1"/>
  <c r="AA4997" i="1" s="1"/>
  <c r="AA4998" i="1" s="1"/>
  <c r="AA4999" i="1" s="1"/>
  <c r="AA5000" i="1" s="1"/>
  <c r="AA5001" i="1" s="1"/>
  <c r="AA5002" i="1" s="1"/>
  <c r="AA5003" i="1" s="1"/>
  <c r="AA5004" i="1" s="1"/>
  <c r="AA5005" i="1" s="1"/>
  <c r="AA5006" i="1" s="1"/>
  <c r="AA5007" i="1" s="1"/>
  <c r="AA5008" i="1" s="1"/>
  <c r="AA5009" i="1" s="1"/>
  <c r="AA5010" i="1" s="1"/>
  <c r="AA5011" i="1" s="1"/>
  <c r="AA5012" i="1" s="1"/>
  <c r="AA5013" i="1" s="1"/>
  <c r="AA5014" i="1" s="1"/>
  <c r="AA5015" i="1" s="1"/>
  <c r="AA5016" i="1" s="1"/>
  <c r="AA5017" i="1" s="1"/>
  <c r="AA5018" i="1" s="1"/>
  <c r="AA5019" i="1" s="1"/>
  <c r="AA5020" i="1" s="1"/>
  <c r="AA5021" i="1" s="1"/>
  <c r="AA5022" i="1" s="1"/>
  <c r="AA5023" i="1" s="1"/>
  <c r="AA5024" i="1" s="1"/>
  <c r="AA5025" i="1" s="1"/>
  <c r="AA5026" i="1" s="1"/>
  <c r="AA5027" i="1" s="1"/>
  <c r="AA5028" i="1" s="1"/>
  <c r="AA5029" i="1" s="1"/>
  <c r="AA5030" i="1" s="1"/>
  <c r="AA5031" i="1" s="1"/>
  <c r="AA5032" i="1" s="1"/>
  <c r="AA5033" i="1" s="1"/>
  <c r="AA5034" i="1" s="1"/>
  <c r="AA5035" i="1" s="1"/>
  <c r="AA5036" i="1" s="1"/>
  <c r="AA5037" i="1" s="1"/>
  <c r="AA5038" i="1" s="1"/>
  <c r="AA5039" i="1" s="1"/>
  <c r="AA5040" i="1" s="1"/>
  <c r="AA5041" i="1" s="1"/>
  <c r="AA5042" i="1" s="1"/>
  <c r="AA5043" i="1" s="1"/>
  <c r="AA5044" i="1" s="1"/>
  <c r="AA5045" i="1" s="1"/>
  <c r="AA5046" i="1" s="1"/>
  <c r="AA5047" i="1" s="1"/>
  <c r="AA5048" i="1" s="1"/>
  <c r="AA5049" i="1" s="1"/>
  <c r="AA5050" i="1" s="1"/>
  <c r="AA5051" i="1" s="1"/>
  <c r="AA5052" i="1" s="1"/>
  <c r="AA5053" i="1" s="1"/>
  <c r="AA5054" i="1" s="1"/>
  <c r="AA5055" i="1" s="1"/>
  <c r="AA5056" i="1" s="1"/>
  <c r="AA5057" i="1" s="1"/>
  <c r="AA5058" i="1" s="1"/>
  <c r="AA5059" i="1" s="1"/>
  <c r="AA5060" i="1" s="1"/>
  <c r="AA5061" i="1" s="1"/>
  <c r="AA5062" i="1" s="1"/>
  <c r="AA5063" i="1" s="1"/>
  <c r="AA5064" i="1" s="1"/>
  <c r="AA5065" i="1" s="1"/>
  <c r="AA5066" i="1" s="1"/>
  <c r="AA5067" i="1" s="1"/>
  <c r="AA5068" i="1" s="1"/>
  <c r="AA5069" i="1" s="1"/>
  <c r="AA5070" i="1" s="1"/>
  <c r="AA5071" i="1" s="1"/>
  <c r="AA5072" i="1" s="1"/>
  <c r="AA5073" i="1" s="1"/>
  <c r="AA5074" i="1" s="1"/>
  <c r="AA5075" i="1" s="1"/>
  <c r="AA5076" i="1" s="1"/>
  <c r="AA5077" i="1" s="1"/>
  <c r="AA5078" i="1" s="1"/>
  <c r="AA5079" i="1" s="1"/>
  <c r="AA5080" i="1" s="1"/>
  <c r="AA5081" i="1" s="1"/>
  <c r="AA5082" i="1" s="1"/>
  <c r="AA5083" i="1" s="1"/>
  <c r="AA5084" i="1" s="1"/>
  <c r="AA5085" i="1" s="1"/>
  <c r="AA5086" i="1" s="1"/>
  <c r="AA5087" i="1" s="1"/>
  <c r="AA5088" i="1" s="1"/>
  <c r="AA5089" i="1" s="1"/>
  <c r="AA5090" i="1" s="1"/>
  <c r="AA5091" i="1" s="1"/>
  <c r="AA5092" i="1" s="1"/>
  <c r="AA5093" i="1" s="1"/>
  <c r="AA5094" i="1" s="1"/>
  <c r="AA5095" i="1" s="1"/>
  <c r="AA5096" i="1" s="1"/>
  <c r="AA5097" i="1" s="1"/>
  <c r="AA5098" i="1" s="1"/>
  <c r="AA5099" i="1" s="1"/>
  <c r="AA5100" i="1" s="1"/>
  <c r="AA5101" i="1" s="1"/>
  <c r="AA5102" i="1" s="1"/>
  <c r="AA5103" i="1" s="1"/>
  <c r="AA5104" i="1" s="1"/>
  <c r="AA5105" i="1" s="1"/>
  <c r="AA5106" i="1" s="1"/>
  <c r="AA5107" i="1" s="1"/>
  <c r="AA5108" i="1" s="1"/>
  <c r="AA5109" i="1" s="1"/>
  <c r="AA5110" i="1" s="1"/>
  <c r="AA5111" i="1" s="1"/>
  <c r="AA5112" i="1" s="1"/>
  <c r="AA5113" i="1" s="1"/>
  <c r="AA5114" i="1" s="1"/>
  <c r="AA5115" i="1" s="1"/>
  <c r="AA5116" i="1" s="1"/>
  <c r="AA5117" i="1" s="1"/>
  <c r="AA5118" i="1" s="1"/>
  <c r="AA5119" i="1" s="1"/>
  <c r="AA5120" i="1" s="1"/>
  <c r="AA5121" i="1" s="1"/>
  <c r="AA5122" i="1" s="1"/>
  <c r="AA5123" i="1" s="1"/>
  <c r="AA5124" i="1" s="1"/>
  <c r="AA5125" i="1" s="1"/>
  <c r="AA5126" i="1" s="1"/>
  <c r="AA5127" i="1" s="1"/>
  <c r="AA5128" i="1" s="1"/>
  <c r="AA5129" i="1" s="1"/>
  <c r="AA5130" i="1" s="1"/>
  <c r="AA5131" i="1" s="1"/>
  <c r="AA5132" i="1" s="1"/>
  <c r="AA5133" i="1" s="1"/>
  <c r="AA5134" i="1" s="1"/>
  <c r="AA5135" i="1" s="1"/>
  <c r="AA5136" i="1" s="1"/>
  <c r="AA5137" i="1" s="1"/>
  <c r="AA5138" i="1" s="1"/>
  <c r="AA5139" i="1" s="1"/>
  <c r="AA5140" i="1" s="1"/>
  <c r="AA5141" i="1" s="1"/>
  <c r="AA5142" i="1" s="1"/>
  <c r="AA5143" i="1" s="1"/>
  <c r="AA5144" i="1" s="1"/>
  <c r="AA5145" i="1" s="1"/>
  <c r="AA5146" i="1" s="1"/>
  <c r="AA5147" i="1" s="1"/>
  <c r="AA5148" i="1" s="1"/>
  <c r="AA5149" i="1" s="1"/>
  <c r="AA5150" i="1" s="1"/>
  <c r="AA5151" i="1" s="1"/>
  <c r="AA5152" i="1" s="1"/>
  <c r="AA5153" i="1" s="1"/>
  <c r="AA5154" i="1" s="1"/>
  <c r="AA5155" i="1" s="1"/>
  <c r="AA5156" i="1" s="1"/>
  <c r="AA5157" i="1" s="1"/>
  <c r="AA5158" i="1" s="1"/>
  <c r="AA5159" i="1" s="1"/>
  <c r="AA5160" i="1" s="1"/>
  <c r="AA5161" i="1" s="1"/>
  <c r="AA5162" i="1" s="1"/>
  <c r="AA5163" i="1" s="1"/>
  <c r="AA5164" i="1" s="1"/>
  <c r="AA5165" i="1" s="1"/>
  <c r="AA5166" i="1" s="1"/>
  <c r="AA5167" i="1" s="1"/>
  <c r="AA5168" i="1" s="1"/>
  <c r="AA5169" i="1" s="1"/>
  <c r="AA5170" i="1" s="1"/>
  <c r="AA5171" i="1" s="1"/>
  <c r="AA5172" i="1" s="1"/>
  <c r="AA5173" i="1" s="1"/>
  <c r="AA5174" i="1" s="1"/>
  <c r="AA5175" i="1" s="1"/>
  <c r="AA5176" i="1" s="1"/>
  <c r="AA5177" i="1" s="1"/>
  <c r="AA5178" i="1" s="1"/>
  <c r="AA5179" i="1" s="1"/>
  <c r="AA5180" i="1" s="1"/>
  <c r="AA5181" i="1" s="1"/>
  <c r="AA5182" i="1" s="1"/>
  <c r="AA5183" i="1" s="1"/>
  <c r="AA5184" i="1" s="1"/>
  <c r="AA5185" i="1" s="1"/>
  <c r="AA5186" i="1" s="1"/>
  <c r="AA5187" i="1" s="1"/>
  <c r="AA5188" i="1" s="1"/>
  <c r="AA5189" i="1" s="1"/>
  <c r="AA5190" i="1" s="1"/>
  <c r="AA5191" i="1" s="1"/>
  <c r="AA5192" i="1" s="1"/>
  <c r="AA5193" i="1" s="1"/>
  <c r="AA5194" i="1" s="1"/>
  <c r="AA5195" i="1" s="1"/>
  <c r="AA5196" i="1" s="1"/>
  <c r="AA5197" i="1" s="1"/>
  <c r="AA5198" i="1" s="1"/>
  <c r="AA5199" i="1" s="1"/>
  <c r="AA5200" i="1" s="1"/>
  <c r="AA5201" i="1" s="1"/>
  <c r="AA5202" i="1" s="1"/>
  <c r="AA5203" i="1" s="1"/>
  <c r="AA5204" i="1" s="1"/>
  <c r="AA5205" i="1" s="1"/>
  <c r="AA5206" i="1" s="1"/>
  <c r="AA5207" i="1" s="1"/>
  <c r="AA5208" i="1" s="1"/>
  <c r="AA5209" i="1" s="1"/>
  <c r="AA5210" i="1" s="1"/>
  <c r="AA5211" i="1" s="1"/>
  <c r="AA5212" i="1" s="1"/>
  <c r="AA5213" i="1" s="1"/>
  <c r="AA5214" i="1" s="1"/>
  <c r="AA5215" i="1" s="1"/>
  <c r="AA5216" i="1" s="1"/>
  <c r="AA5217" i="1" s="1"/>
  <c r="AA5218" i="1" s="1"/>
  <c r="AA5219" i="1" s="1"/>
  <c r="AA5220" i="1" s="1"/>
  <c r="AA5221" i="1" s="1"/>
  <c r="AA5222" i="1" s="1"/>
  <c r="AA5223" i="1" s="1"/>
  <c r="AA5224" i="1" s="1"/>
  <c r="AA5225" i="1" s="1"/>
  <c r="AA5226" i="1" s="1"/>
  <c r="AA5227" i="1" s="1"/>
  <c r="AA5228" i="1" s="1"/>
  <c r="AA5229" i="1" s="1"/>
  <c r="AA5230" i="1" s="1"/>
  <c r="AA5231" i="1" s="1"/>
  <c r="AA5232" i="1" s="1"/>
  <c r="AA5233" i="1" s="1"/>
  <c r="AA5234" i="1" s="1"/>
  <c r="AA5235" i="1" s="1"/>
  <c r="AA5236" i="1" s="1"/>
  <c r="AA5237" i="1" s="1"/>
  <c r="AA5238" i="1" s="1"/>
  <c r="AA5239" i="1" s="1"/>
  <c r="AA5240" i="1" s="1"/>
  <c r="AA5241" i="1" s="1"/>
  <c r="AA5242" i="1" s="1"/>
  <c r="AA5243" i="1" s="1"/>
  <c r="AA5244" i="1" s="1"/>
  <c r="AA5245" i="1" s="1"/>
  <c r="AA5246" i="1" s="1"/>
  <c r="AA5247" i="1" s="1"/>
  <c r="AA5248" i="1" s="1"/>
  <c r="AA5249" i="1" s="1"/>
  <c r="AA5250" i="1" s="1"/>
  <c r="AA5251" i="1" s="1"/>
  <c r="AA5252" i="1" s="1"/>
  <c r="AA5253" i="1" s="1"/>
  <c r="AA5254" i="1" s="1"/>
  <c r="AA5255" i="1" s="1"/>
  <c r="AA5256" i="1" s="1"/>
  <c r="AA5257" i="1" s="1"/>
  <c r="AA5258" i="1" s="1"/>
  <c r="AA5259" i="1" s="1"/>
  <c r="AA5260" i="1" s="1"/>
  <c r="AA5261" i="1" s="1"/>
  <c r="AA5262" i="1" s="1"/>
  <c r="AA5263" i="1" s="1"/>
  <c r="AA5264" i="1" s="1"/>
  <c r="AA5265" i="1" s="1"/>
  <c r="AA5266" i="1" s="1"/>
  <c r="AA5267" i="1" s="1"/>
  <c r="AA5268" i="1" s="1"/>
  <c r="AA5269" i="1" s="1"/>
  <c r="AA5270" i="1" s="1"/>
  <c r="AA5271" i="1" s="1"/>
  <c r="AA5272" i="1" s="1"/>
  <c r="AA5273" i="1" s="1"/>
  <c r="AA5274" i="1" s="1"/>
  <c r="AA5275" i="1" s="1"/>
  <c r="AA5276" i="1" s="1"/>
  <c r="AA5277" i="1" s="1"/>
  <c r="AA5278" i="1" s="1"/>
  <c r="AA5279" i="1" s="1"/>
  <c r="AA5280" i="1" s="1"/>
  <c r="AA5281" i="1" s="1"/>
  <c r="AA5282" i="1" s="1"/>
  <c r="AA5283" i="1" s="1"/>
  <c r="AA5284" i="1" s="1"/>
  <c r="AA5285" i="1" s="1"/>
  <c r="AA5286" i="1" s="1"/>
  <c r="AA5287" i="1" s="1"/>
  <c r="AA5288" i="1" s="1"/>
  <c r="AA5289" i="1" s="1"/>
  <c r="AA5290" i="1" s="1"/>
  <c r="AA5291" i="1" s="1"/>
  <c r="AA5292" i="1" s="1"/>
  <c r="AA5293" i="1" s="1"/>
  <c r="AA5294" i="1" s="1"/>
  <c r="AA5295" i="1" s="1"/>
  <c r="AA5296" i="1" s="1"/>
  <c r="AA5297" i="1" s="1"/>
  <c r="AA5298" i="1" s="1"/>
  <c r="AA5299" i="1" s="1"/>
  <c r="AA5300" i="1" s="1"/>
  <c r="AA5301" i="1" s="1"/>
  <c r="AA5302" i="1" s="1"/>
  <c r="AA5303" i="1" s="1"/>
  <c r="AA5304" i="1" s="1"/>
  <c r="AA5305" i="1" s="1"/>
  <c r="AA5306" i="1" s="1"/>
  <c r="AA5307" i="1" s="1"/>
  <c r="AA5308" i="1" s="1"/>
  <c r="AA5309" i="1" s="1"/>
  <c r="AA5310" i="1" s="1"/>
  <c r="AA5311" i="1" s="1"/>
  <c r="AA5312" i="1" s="1"/>
  <c r="AA5313" i="1" s="1"/>
  <c r="AA5314" i="1" s="1"/>
  <c r="AA5315" i="1" s="1"/>
  <c r="AA5316" i="1" s="1"/>
  <c r="AA5317" i="1" s="1"/>
  <c r="AA5318" i="1" s="1"/>
  <c r="AA5319" i="1" s="1"/>
  <c r="AA5320" i="1" s="1"/>
  <c r="AA5321" i="1" s="1"/>
  <c r="AA5322" i="1" s="1"/>
  <c r="AA5323" i="1" s="1"/>
  <c r="AA5324" i="1" s="1"/>
  <c r="AA5325" i="1" s="1"/>
  <c r="AA5326" i="1" s="1"/>
  <c r="AA5327" i="1" s="1"/>
  <c r="AA5328" i="1" s="1"/>
  <c r="AA5329" i="1" s="1"/>
  <c r="AA5330" i="1" s="1"/>
  <c r="AA5331" i="1" s="1"/>
  <c r="AA5332" i="1" s="1"/>
  <c r="AA5333" i="1" s="1"/>
  <c r="AA5334" i="1" s="1"/>
  <c r="AA5335" i="1" s="1"/>
  <c r="AA5336" i="1" s="1"/>
  <c r="AA5337" i="1" s="1"/>
  <c r="AA5338" i="1" s="1"/>
  <c r="AA5339" i="1" s="1"/>
  <c r="AA5340" i="1" s="1"/>
  <c r="AA5341" i="1" s="1"/>
  <c r="AA5342" i="1" s="1"/>
  <c r="AA5343" i="1" s="1"/>
  <c r="AA5344" i="1" s="1"/>
  <c r="AA5345" i="1" s="1"/>
  <c r="AA5346" i="1" s="1"/>
  <c r="AA5347" i="1" s="1"/>
  <c r="AA5348" i="1" s="1"/>
  <c r="AA5349" i="1" s="1"/>
  <c r="AA5350" i="1" s="1"/>
  <c r="AA5351" i="1" s="1"/>
  <c r="AA5352" i="1" s="1"/>
  <c r="AA5353" i="1" s="1"/>
  <c r="AA5354" i="1" s="1"/>
  <c r="AA5355" i="1" s="1"/>
  <c r="AA5356" i="1" s="1"/>
  <c r="AA5357" i="1" s="1"/>
  <c r="AA5358" i="1" s="1"/>
  <c r="AA5359" i="1" s="1"/>
  <c r="AA5360" i="1" s="1"/>
  <c r="AA5361" i="1" s="1"/>
  <c r="AA5362" i="1" s="1"/>
  <c r="AA5363" i="1" s="1"/>
  <c r="AA5364" i="1" s="1"/>
  <c r="AA5365" i="1" s="1"/>
  <c r="AA5366" i="1" s="1"/>
  <c r="AA5367" i="1" s="1"/>
  <c r="AA5368" i="1" s="1"/>
  <c r="AA5369" i="1" s="1"/>
  <c r="AA5370" i="1" s="1"/>
  <c r="AA5371" i="1" s="1"/>
  <c r="AA5372" i="1" s="1"/>
  <c r="AA5373" i="1" s="1"/>
  <c r="AA5374" i="1" s="1"/>
  <c r="AA5375" i="1" s="1"/>
  <c r="AA5376" i="1" s="1"/>
  <c r="AA5377" i="1" s="1"/>
  <c r="AA5378" i="1" s="1"/>
  <c r="AA5379" i="1" s="1"/>
  <c r="AA5380" i="1" s="1"/>
  <c r="AA5381" i="1" s="1"/>
  <c r="AA5382" i="1" s="1"/>
  <c r="AA5383" i="1" s="1"/>
  <c r="AA5384" i="1" s="1"/>
  <c r="AA5385" i="1" s="1"/>
  <c r="AA5386" i="1" s="1"/>
  <c r="AA5387" i="1" s="1"/>
  <c r="AA5388" i="1" s="1"/>
  <c r="AA5389" i="1" s="1"/>
  <c r="AA5390" i="1" s="1"/>
  <c r="AA5391" i="1" s="1"/>
  <c r="AA5392" i="1" s="1"/>
  <c r="AA5393" i="1" s="1"/>
  <c r="AA5394" i="1" s="1"/>
  <c r="AA5395" i="1" s="1"/>
  <c r="AA5396" i="1" s="1"/>
  <c r="AA5397" i="1" s="1"/>
  <c r="AA5398" i="1" s="1"/>
  <c r="AA5399" i="1" s="1"/>
  <c r="AA5400" i="1" s="1"/>
  <c r="AA5401" i="1" s="1"/>
  <c r="AA5402" i="1" s="1"/>
  <c r="AA5403" i="1" s="1"/>
  <c r="AA5404" i="1" s="1"/>
  <c r="AA5405" i="1" s="1"/>
  <c r="AA5406" i="1" s="1"/>
  <c r="AA5407" i="1" s="1"/>
  <c r="AA5408" i="1" s="1"/>
  <c r="AA5409" i="1" s="1"/>
  <c r="AA5410" i="1" s="1"/>
  <c r="AA5411" i="1" s="1"/>
  <c r="AA5412" i="1" s="1"/>
  <c r="AA5413" i="1" s="1"/>
  <c r="AA5414" i="1" s="1"/>
  <c r="AA5415" i="1" s="1"/>
  <c r="AA5416" i="1" s="1"/>
  <c r="AA5417" i="1" s="1"/>
  <c r="AA5418" i="1" s="1"/>
  <c r="AA5419" i="1" s="1"/>
  <c r="AA5420" i="1" s="1"/>
  <c r="AA5421" i="1" s="1"/>
  <c r="AA5422" i="1" s="1"/>
  <c r="AA5423" i="1" s="1"/>
  <c r="AA5424" i="1" s="1"/>
  <c r="AA5425" i="1" s="1"/>
  <c r="AA5426" i="1" s="1"/>
  <c r="AA5427" i="1" s="1"/>
  <c r="AA5428" i="1" s="1"/>
  <c r="AA5429" i="1" s="1"/>
  <c r="AA5430" i="1" s="1"/>
  <c r="AA5431" i="1" s="1"/>
  <c r="AA5432" i="1" s="1"/>
  <c r="AA5433" i="1" s="1"/>
  <c r="AA5434" i="1" s="1"/>
  <c r="AA5435" i="1" s="1"/>
  <c r="AA5436" i="1" s="1"/>
  <c r="AA5437" i="1" s="1"/>
  <c r="AA5438" i="1" s="1"/>
  <c r="AA5439" i="1" s="1"/>
  <c r="AA5440" i="1" s="1"/>
  <c r="AA5441" i="1" s="1"/>
  <c r="AA5442" i="1" s="1"/>
  <c r="AA5443" i="1" s="1"/>
  <c r="AA5444" i="1" s="1"/>
  <c r="AA5445" i="1" s="1"/>
  <c r="AA5446" i="1" s="1"/>
  <c r="AA5447" i="1" s="1"/>
  <c r="AA5448" i="1" s="1"/>
  <c r="AA5449" i="1" s="1"/>
  <c r="AA5450" i="1" s="1"/>
  <c r="AA5451" i="1" s="1"/>
  <c r="AA5452" i="1" s="1"/>
  <c r="AA5453" i="1" s="1"/>
  <c r="AA5454" i="1" s="1"/>
  <c r="AA5455" i="1" s="1"/>
  <c r="AA5456" i="1" s="1"/>
  <c r="AA5457" i="1" s="1"/>
  <c r="AA5458" i="1" s="1"/>
  <c r="AA5459" i="1" s="1"/>
  <c r="AA5460" i="1" s="1"/>
  <c r="AA5461" i="1" s="1"/>
  <c r="AA5462" i="1" s="1"/>
  <c r="AA5463" i="1" s="1"/>
  <c r="AA5464" i="1" s="1"/>
  <c r="AA5465" i="1" s="1"/>
  <c r="AA5466" i="1" s="1"/>
  <c r="AA5467" i="1" s="1"/>
  <c r="AA5468" i="1" s="1"/>
  <c r="AA5469" i="1" s="1"/>
  <c r="AA5470" i="1" s="1"/>
  <c r="AA5471" i="1" s="1"/>
  <c r="AA5472" i="1" s="1"/>
  <c r="AA5473" i="1" s="1"/>
  <c r="AA5474" i="1" s="1"/>
  <c r="AA5475" i="1" s="1"/>
  <c r="AA5476" i="1" s="1"/>
  <c r="AA5477" i="1" s="1"/>
  <c r="AA5478" i="1" s="1"/>
  <c r="AA5479" i="1" s="1"/>
  <c r="AA5480" i="1" s="1"/>
  <c r="AA5481" i="1" s="1"/>
  <c r="AA5482" i="1" s="1"/>
  <c r="AA5483" i="1" s="1"/>
  <c r="AA5484" i="1" s="1"/>
  <c r="AA5485" i="1" s="1"/>
  <c r="AA5486" i="1" s="1"/>
  <c r="AA5487" i="1" s="1"/>
  <c r="AA5488" i="1" s="1"/>
  <c r="AA5489" i="1" s="1"/>
  <c r="AA5490" i="1" s="1"/>
  <c r="AA5491" i="1" s="1"/>
  <c r="AA5492" i="1" s="1"/>
  <c r="AA5493" i="1" s="1"/>
  <c r="AA5494" i="1" s="1"/>
  <c r="AA5495" i="1" s="1"/>
  <c r="AA5496" i="1" s="1"/>
  <c r="AA5497" i="1" s="1"/>
  <c r="AA5498" i="1" s="1"/>
  <c r="AA5499" i="1" s="1"/>
  <c r="AA5500" i="1" s="1"/>
  <c r="AA5501" i="1" s="1"/>
  <c r="AA5502" i="1" s="1"/>
  <c r="AA5503" i="1" s="1"/>
  <c r="AA5504" i="1" s="1"/>
  <c r="AA5505" i="1" s="1"/>
  <c r="AA5506" i="1" s="1"/>
  <c r="AA5507" i="1" s="1"/>
  <c r="AA5508" i="1" s="1"/>
  <c r="AA5509" i="1" s="1"/>
  <c r="AA5510" i="1" s="1"/>
  <c r="AA5511" i="1" s="1"/>
  <c r="AA5512" i="1" s="1"/>
  <c r="AA5513" i="1" s="1"/>
  <c r="AA5514" i="1" s="1"/>
  <c r="AA5515" i="1" s="1"/>
  <c r="AA5516" i="1" s="1"/>
  <c r="AA5517" i="1" s="1"/>
  <c r="AA5518" i="1" s="1"/>
  <c r="AA5519" i="1" s="1"/>
  <c r="AA5520" i="1" s="1"/>
  <c r="AA5521" i="1" s="1"/>
  <c r="AA5522" i="1" s="1"/>
  <c r="AA5523" i="1" s="1"/>
  <c r="AA5524" i="1" s="1"/>
  <c r="AA5525" i="1" s="1"/>
  <c r="AA5526" i="1" s="1"/>
  <c r="AA5527" i="1" s="1"/>
  <c r="AA5528" i="1" s="1"/>
  <c r="AA5529" i="1" s="1"/>
  <c r="AA5530" i="1" s="1"/>
  <c r="AA5531" i="1" s="1"/>
  <c r="AA5532" i="1" s="1"/>
  <c r="AA5533" i="1" s="1"/>
  <c r="AA5534" i="1" s="1"/>
  <c r="AA5535" i="1" s="1"/>
  <c r="AA5536" i="1" s="1"/>
  <c r="AA5537" i="1" s="1"/>
  <c r="AA5538" i="1" s="1"/>
  <c r="AA5539" i="1" s="1"/>
  <c r="AA5540" i="1" s="1"/>
  <c r="AA5541" i="1" s="1"/>
  <c r="AA5542" i="1" s="1"/>
  <c r="AA5543" i="1" s="1"/>
  <c r="AA5544" i="1" s="1"/>
  <c r="AA5545" i="1" s="1"/>
  <c r="AA5546" i="1" s="1"/>
  <c r="AA5547" i="1" s="1"/>
  <c r="AA5548" i="1" s="1"/>
  <c r="AA5549" i="1" s="1"/>
  <c r="AA5550" i="1" s="1"/>
  <c r="AA5551" i="1" s="1"/>
  <c r="AA5552" i="1" s="1"/>
  <c r="AA5553" i="1" s="1"/>
  <c r="AA5554" i="1" s="1"/>
  <c r="AA5555" i="1" s="1"/>
  <c r="AA5556" i="1" s="1"/>
  <c r="AA5557" i="1" s="1"/>
  <c r="AA5558" i="1" s="1"/>
  <c r="AA5559" i="1" s="1"/>
  <c r="AA5560" i="1" s="1"/>
  <c r="AA5561" i="1" s="1"/>
  <c r="AA5562" i="1" s="1"/>
  <c r="AA5563" i="1" s="1"/>
  <c r="AA5564" i="1" s="1"/>
  <c r="AA5565" i="1" s="1"/>
  <c r="AA5566" i="1" s="1"/>
  <c r="AA5567" i="1" s="1"/>
  <c r="AA5568" i="1" s="1"/>
  <c r="AA5569" i="1" s="1"/>
  <c r="AA5570" i="1" s="1"/>
  <c r="AA5571" i="1" s="1"/>
  <c r="AA5572" i="1" s="1"/>
  <c r="AA5573" i="1" s="1"/>
  <c r="AA5574" i="1" s="1"/>
  <c r="AA5575" i="1" s="1"/>
  <c r="AA5576" i="1" s="1"/>
  <c r="AA5577" i="1" s="1"/>
  <c r="AA5578" i="1" s="1"/>
  <c r="AA5579" i="1" s="1"/>
  <c r="AA5580" i="1" s="1"/>
  <c r="AA5581" i="1" s="1"/>
  <c r="AA5582" i="1" s="1"/>
  <c r="AA5583" i="1" s="1"/>
  <c r="AA5584" i="1" s="1"/>
  <c r="AA5585" i="1" s="1"/>
  <c r="AA5586" i="1" s="1"/>
  <c r="AA5587" i="1" s="1"/>
  <c r="AA5588" i="1" s="1"/>
  <c r="AA5589" i="1" s="1"/>
  <c r="AA5590" i="1" s="1"/>
  <c r="AA5591" i="1" s="1"/>
  <c r="AA5592" i="1" s="1"/>
  <c r="AA5593" i="1" s="1"/>
  <c r="AA5594" i="1" s="1"/>
  <c r="AA5595" i="1" s="1"/>
  <c r="AA5596" i="1" s="1"/>
  <c r="AA5597" i="1" s="1"/>
  <c r="AA5598" i="1" s="1"/>
  <c r="AA5599" i="1" s="1"/>
  <c r="AA5600" i="1" s="1"/>
  <c r="AA5601" i="1" s="1"/>
  <c r="AA5602" i="1" s="1"/>
  <c r="AA5603" i="1" s="1"/>
  <c r="AA5604" i="1" s="1"/>
  <c r="AA5605" i="1" s="1"/>
  <c r="AA5606" i="1" s="1"/>
  <c r="AA5607" i="1" s="1"/>
  <c r="AA5608" i="1" s="1"/>
  <c r="AA5609" i="1" s="1"/>
  <c r="AA5610" i="1" s="1"/>
  <c r="AA5611" i="1" s="1"/>
  <c r="AA5612" i="1" s="1"/>
  <c r="AA5613" i="1" s="1"/>
  <c r="AA5614" i="1" s="1"/>
  <c r="AA5615" i="1" s="1"/>
  <c r="AA5616" i="1" s="1"/>
  <c r="AA5617" i="1" s="1"/>
  <c r="AA5618" i="1" s="1"/>
  <c r="AA5619" i="1" s="1"/>
  <c r="AA5620" i="1" s="1"/>
  <c r="AA5621" i="1" s="1"/>
  <c r="AA5622" i="1" s="1"/>
  <c r="AA5623" i="1" s="1"/>
  <c r="AA5624" i="1" s="1"/>
  <c r="AA5625" i="1" s="1"/>
  <c r="AA5626" i="1" s="1"/>
  <c r="AA5627" i="1" s="1"/>
  <c r="AA5628" i="1" s="1"/>
  <c r="AA5629" i="1" s="1"/>
  <c r="AA5630" i="1" s="1"/>
  <c r="AA5631" i="1" s="1"/>
  <c r="AA5632" i="1" s="1"/>
  <c r="AA5633" i="1" s="1"/>
  <c r="AA5634" i="1" s="1"/>
  <c r="AA5635" i="1" s="1"/>
  <c r="AA5636" i="1" s="1"/>
  <c r="AA5637" i="1" s="1"/>
  <c r="AA5638" i="1" s="1"/>
  <c r="AA5639" i="1" s="1"/>
  <c r="AA5640" i="1" s="1"/>
  <c r="AA5641" i="1" s="1"/>
  <c r="AA5642" i="1" s="1"/>
  <c r="AA5643" i="1" s="1"/>
  <c r="AA5644" i="1" s="1"/>
  <c r="AA5645" i="1" s="1"/>
  <c r="AA5646" i="1" s="1"/>
  <c r="AA5647" i="1" s="1"/>
  <c r="AA5648" i="1" s="1"/>
  <c r="AA5649" i="1" s="1"/>
  <c r="AA5650" i="1" s="1"/>
  <c r="AA5651" i="1" s="1"/>
  <c r="AA5652" i="1" s="1"/>
  <c r="AA5653" i="1" s="1"/>
  <c r="AA5654" i="1" s="1"/>
  <c r="AA5655" i="1" s="1"/>
  <c r="AA5656" i="1" s="1"/>
  <c r="AA5657" i="1" s="1"/>
  <c r="AA5658" i="1" s="1"/>
  <c r="AA5659" i="1" s="1"/>
  <c r="AA5660" i="1" s="1"/>
  <c r="AA5661" i="1" s="1"/>
  <c r="AA5662" i="1" s="1"/>
  <c r="AA5663" i="1" s="1"/>
  <c r="AA5664" i="1" s="1"/>
  <c r="AA5665" i="1" s="1"/>
  <c r="AA5666" i="1" s="1"/>
  <c r="AA5667" i="1" s="1"/>
  <c r="AA5668" i="1" s="1"/>
  <c r="AA5669" i="1" s="1"/>
  <c r="AA5670" i="1" s="1"/>
  <c r="AA5671" i="1" s="1"/>
  <c r="AA5672" i="1" s="1"/>
  <c r="AA5673" i="1" s="1"/>
  <c r="AA5674" i="1" s="1"/>
  <c r="AA5675" i="1" s="1"/>
  <c r="AA5676" i="1" s="1"/>
  <c r="AA5677" i="1" s="1"/>
  <c r="AA5678" i="1" s="1"/>
  <c r="AA5679" i="1" s="1"/>
  <c r="AA5680" i="1" s="1"/>
  <c r="AA5681" i="1" s="1"/>
  <c r="AA5682" i="1" s="1"/>
  <c r="AA5683" i="1" s="1"/>
  <c r="AA5684" i="1" s="1"/>
  <c r="AA5685" i="1" s="1"/>
  <c r="AA5686" i="1" s="1"/>
  <c r="AA5687" i="1" s="1"/>
  <c r="AA5688" i="1" s="1"/>
  <c r="AA5689" i="1" s="1"/>
  <c r="AA5690" i="1" s="1"/>
  <c r="AA5691" i="1" s="1"/>
  <c r="AA5692" i="1" s="1"/>
  <c r="AA5693" i="1" s="1"/>
  <c r="AA5694" i="1" s="1"/>
  <c r="AA5695" i="1" s="1"/>
  <c r="AA5696" i="1" s="1"/>
  <c r="AA5697" i="1" s="1"/>
  <c r="AA5698" i="1" s="1"/>
  <c r="AA5699" i="1" s="1"/>
  <c r="AA5700" i="1" s="1"/>
  <c r="AA5701" i="1" s="1"/>
  <c r="AA5702" i="1" s="1"/>
  <c r="AA5703" i="1" s="1"/>
  <c r="AA5704" i="1" s="1"/>
  <c r="AA5705" i="1" s="1"/>
  <c r="AA5706" i="1" s="1"/>
  <c r="AA5707" i="1" s="1"/>
  <c r="AA5708" i="1" s="1"/>
  <c r="AA5709" i="1" s="1"/>
  <c r="AA5710" i="1" s="1"/>
  <c r="AA5711" i="1" s="1"/>
  <c r="AA5712" i="1" s="1"/>
  <c r="AA5713" i="1" s="1"/>
  <c r="AA5714" i="1" s="1"/>
  <c r="AA5715" i="1" s="1"/>
  <c r="AA5716" i="1" s="1"/>
  <c r="AA5717" i="1" s="1"/>
  <c r="AA5718" i="1" s="1"/>
  <c r="AA5719" i="1" s="1"/>
  <c r="AA5720" i="1" s="1"/>
  <c r="AA5721" i="1" s="1"/>
  <c r="AA5722" i="1" s="1"/>
  <c r="AA5723" i="1" s="1"/>
  <c r="AA5724" i="1" s="1"/>
  <c r="AA5725" i="1" s="1"/>
  <c r="AA5726" i="1" s="1"/>
  <c r="AA5727" i="1" s="1"/>
  <c r="AA5728" i="1" s="1"/>
  <c r="AA5729" i="1" s="1"/>
  <c r="AA5730" i="1" s="1"/>
  <c r="AA5731" i="1" s="1"/>
  <c r="AA5732" i="1" s="1"/>
  <c r="AA5733" i="1" s="1"/>
  <c r="AA5734" i="1" s="1"/>
  <c r="AA5735" i="1" s="1"/>
  <c r="AA5736" i="1" s="1"/>
  <c r="AA5737" i="1" s="1"/>
  <c r="AA5738" i="1" s="1"/>
  <c r="AA5739" i="1" s="1"/>
  <c r="AA5740" i="1" s="1"/>
  <c r="AA5741" i="1" s="1"/>
  <c r="AA5742" i="1" s="1"/>
  <c r="AA5743" i="1" s="1"/>
  <c r="AA5744" i="1" s="1"/>
  <c r="AA5745" i="1" s="1"/>
  <c r="AA5746" i="1" s="1"/>
  <c r="AA5747" i="1" s="1"/>
  <c r="AA5748" i="1" s="1"/>
  <c r="AA5749" i="1" s="1"/>
  <c r="AA5750" i="1" s="1"/>
  <c r="AA5751" i="1" s="1"/>
  <c r="AA5752" i="1" s="1"/>
  <c r="AA5753" i="1" s="1"/>
  <c r="AA5754" i="1" s="1"/>
  <c r="AA5755" i="1" s="1"/>
  <c r="AA5756" i="1" s="1"/>
  <c r="AA5757" i="1" s="1"/>
  <c r="AA5758" i="1" s="1"/>
  <c r="AA5759" i="1" s="1"/>
  <c r="AA5760" i="1" s="1"/>
  <c r="AA5761" i="1" s="1"/>
  <c r="AA5762" i="1" s="1"/>
  <c r="AA5763" i="1" s="1"/>
  <c r="AA5764" i="1" s="1"/>
  <c r="AA5765" i="1" s="1"/>
  <c r="AA5766" i="1" s="1"/>
  <c r="AA5767" i="1" s="1"/>
  <c r="AA5768" i="1" s="1"/>
  <c r="AA5769" i="1" s="1"/>
  <c r="AA5770" i="1" s="1"/>
  <c r="AA5771" i="1" s="1"/>
  <c r="AA5772" i="1" s="1"/>
  <c r="AA5773" i="1" s="1"/>
  <c r="AA5774" i="1" s="1"/>
  <c r="AA5775" i="1" s="1"/>
  <c r="AA5776" i="1" s="1"/>
  <c r="AA5777" i="1" s="1"/>
  <c r="AA5778" i="1" s="1"/>
  <c r="AA5779" i="1" s="1"/>
  <c r="AA5780" i="1" s="1"/>
  <c r="AA5781" i="1" s="1"/>
  <c r="AA5782" i="1" s="1"/>
  <c r="AA5783" i="1" s="1"/>
  <c r="AA5784" i="1" s="1"/>
  <c r="AA5785" i="1" s="1"/>
  <c r="AA5786" i="1" s="1"/>
  <c r="AA5787" i="1" s="1"/>
  <c r="AA5788" i="1" s="1"/>
  <c r="AA5789" i="1" s="1"/>
  <c r="AA5790" i="1" s="1"/>
  <c r="AA5791" i="1" s="1"/>
  <c r="AA5792" i="1" s="1"/>
  <c r="AA5793" i="1" s="1"/>
  <c r="AA5794" i="1" s="1"/>
  <c r="AA5795" i="1" s="1"/>
  <c r="AA5796" i="1" s="1"/>
  <c r="AA5797" i="1" s="1"/>
  <c r="AA5798" i="1" s="1"/>
  <c r="AA5799" i="1" s="1"/>
  <c r="AA5800" i="1" s="1"/>
  <c r="AA5801" i="1" s="1"/>
  <c r="AA5802" i="1" s="1"/>
  <c r="AA5803" i="1" s="1"/>
  <c r="AA5804" i="1" s="1"/>
  <c r="AA5805" i="1" s="1"/>
  <c r="AA5806" i="1" s="1"/>
  <c r="AA5807" i="1" s="1"/>
  <c r="AA5808" i="1" s="1"/>
  <c r="AA5809" i="1" s="1"/>
  <c r="AA5810" i="1" s="1"/>
  <c r="AA5811" i="1" s="1"/>
  <c r="AA5812" i="1" s="1"/>
  <c r="AA5813" i="1" s="1"/>
  <c r="AA5814" i="1" s="1"/>
  <c r="AA5815" i="1" s="1"/>
  <c r="AA5816" i="1" s="1"/>
  <c r="AA5817" i="1" s="1"/>
  <c r="AA5818" i="1" s="1"/>
  <c r="AA5819" i="1" s="1"/>
  <c r="AA5820" i="1" s="1"/>
  <c r="AA5821" i="1" s="1"/>
  <c r="AA5822" i="1" s="1"/>
  <c r="AA5823" i="1" s="1"/>
  <c r="AA5824" i="1" s="1"/>
  <c r="AA5825" i="1" s="1"/>
  <c r="AA5826" i="1" s="1"/>
  <c r="AA5827" i="1" s="1"/>
  <c r="AA5828" i="1" s="1"/>
  <c r="AA5829" i="1" s="1"/>
  <c r="AA5830" i="1" s="1"/>
  <c r="AA5831" i="1" s="1"/>
  <c r="AA5832" i="1" s="1"/>
  <c r="AA5833" i="1" s="1"/>
  <c r="AA5834" i="1" s="1"/>
  <c r="AA5835" i="1" s="1"/>
  <c r="AA5836" i="1" s="1"/>
  <c r="AA5837" i="1" s="1"/>
  <c r="AA5838" i="1" s="1"/>
  <c r="AA5839" i="1" s="1"/>
  <c r="AA5840" i="1" s="1"/>
  <c r="AA5841" i="1" s="1"/>
  <c r="AA5842" i="1" s="1"/>
  <c r="AA5843" i="1" s="1"/>
  <c r="AA5844" i="1" s="1"/>
  <c r="AA5845" i="1" s="1"/>
  <c r="AA5846" i="1" s="1"/>
  <c r="AA5847" i="1" s="1"/>
  <c r="AA5848" i="1" s="1"/>
  <c r="AA5849" i="1" s="1"/>
  <c r="AA5850" i="1" s="1"/>
  <c r="AA5851" i="1" s="1"/>
  <c r="AA5852" i="1" s="1"/>
  <c r="AA5853" i="1" s="1"/>
  <c r="AA5854" i="1" s="1"/>
  <c r="AA5855" i="1" s="1"/>
  <c r="AA5856" i="1" s="1"/>
  <c r="AA5857" i="1" s="1"/>
  <c r="AA5858" i="1" s="1"/>
  <c r="AA5859" i="1" s="1"/>
  <c r="AA5860" i="1" s="1"/>
  <c r="AA5861" i="1" s="1"/>
  <c r="AA5862" i="1" s="1"/>
  <c r="AA5863" i="1" s="1"/>
  <c r="AA5864" i="1" s="1"/>
  <c r="AA5865" i="1" s="1"/>
  <c r="AA5866" i="1" s="1"/>
  <c r="AA5867" i="1" s="1"/>
  <c r="AA5868" i="1" s="1"/>
  <c r="AA5869" i="1" s="1"/>
  <c r="AA5870" i="1" s="1"/>
  <c r="AA5871" i="1" s="1"/>
  <c r="AA5872" i="1" s="1"/>
  <c r="AA5873" i="1" s="1"/>
  <c r="AA5874" i="1" s="1"/>
  <c r="AA5875" i="1" s="1"/>
  <c r="AA5876" i="1" s="1"/>
  <c r="AA5877" i="1" s="1"/>
  <c r="AA5878" i="1" s="1"/>
  <c r="AA5879" i="1" s="1"/>
  <c r="AA5880" i="1" s="1"/>
  <c r="AA5881" i="1" s="1"/>
  <c r="AA5882" i="1" s="1"/>
  <c r="AA5883" i="1" s="1"/>
  <c r="AA5884" i="1" s="1"/>
  <c r="AA5885" i="1" s="1"/>
  <c r="AA5886" i="1" s="1"/>
  <c r="AA5887" i="1" s="1"/>
  <c r="AA5888" i="1" s="1"/>
  <c r="AA5889" i="1" s="1"/>
  <c r="AA5890" i="1" s="1"/>
  <c r="AA5891" i="1" s="1"/>
  <c r="AA5892" i="1" s="1"/>
  <c r="AA5893" i="1" s="1"/>
  <c r="AA5894" i="1" s="1"/>
  <c r="AA5895" i="1" s="1"/>
  <c r="AA5896" i="1" s="1"/>
  <c r="AA5897" i="1" s="1"/>
  <c r="AA5898" i="1" s="1"/>
  <c r="AA5899" i="1" s="1"/>
  <c r="AA5900" i="1" s="1"/>
  <c r="AA5901" i="1" s="1"/>
  <c r="AA5902" i="1" s="1"/>
  <c r="AA5903" i="1" s="1"/>
  <c r="AA5904" i="1" s="1"/>
  <c r="AA5905" i="1" s="1"/>
  <c r="AA5906" i="1" s="1"/>
  <c r="AA5907" i="1" s="1"/>
  <c r="AA5908" i="1" s="1"/>
  <c r="AA5909" i="1" s="1"/>
  <c r="AA5910" i="1" s="1"/>
  <c r="AA5911" i="1" s="1"/>
  <c r="AA5912" i="1" s="1"/>
  <c r="AA5913" i="1" s="1"/>
  <c r="AA5914" i="1" s="1"/>
  <c r="AA5915" i="1" s="1"/>
  <c r="AA5916" i="1" s="1"/>
  <c r="AA5917" i="1" s="1"/>
  <c r="AA5918" i="1" s="1"/>
  <c r="AA5919" i="1" s="1"/>
  <c r="AA5920" i="1" s="1"/>
  <c r="AA5921" i="1" s="1"/>
  <c r="AA5922" i="1" s="1"/>
  <c r="AA5923" i="1" s="1"/>
  <c r="AA5924" i="1" s="1"/>
  <c r="AA5925" i="1" s="1"/>
  <c r="AA5926" i="1" s="1"/>
  <c r="AA5927" i="1" s="1"/>
  <c r="AA5928" i="1" s="1"/>
  <c r="AA5929" i="1" s="1"/>
  <c r="AA5930" i="1" s="1"/>
  <c r="AA5931" i="1" s="1"/>
  <c r="AA5932" i="1" s="1"/>
  <c r="AA5933" i="1" s="1"/>
  <c r="AA5934" i="1" s="1"/>
  <c r="AA5935" i="1" s="1"/>
  <c r="AA5936" i="1" s="1"/>
  <c r="AA5937" i="1" s="1"/>
  <c r="AA5938" i="1" s="1"/>
  <c r="AA5939" i="1" s="1"/>
  <c r="AA5940" i="1" s="1"/>
  <c r="AA5941" i="1" s="1"/>
  <c r="AA5942" i="1" s="1"/>
  <c r="AA5943" i="1" s="1"/>
  <c r="AA5944" i="1" s="1"/>
  <c r="AA5945" i="1" s="1"/>
  <c r="AA5946" i="1" s="1"/>
  <c r="AA5947" i="1" s="1"/>
  <c r="AA5948" i="1" s="1"/>
  <c r="AA5949" i="1" s="1"/>
  <c r="AA5950" i="1" s="1"/>
  <c r="AA5951" i="1" s="1"/>
  <c r="AA5952" i="1" s="1"/>
  <c r="AA5953" i="1" s="1"/>
  <c r="AA5954" i="1" s="1"/>
  <c r="AA5955" i="1" s="1"/>
  <c r="AA5956" i="1" s="1"/>
  <c r="AA5957" i="1" s="1"/>
  <c r="AA5958" i="1" s="1"/>
  <c r="AA5959" i="1" s="1"/>
  <c r="AA5960" i="1" s="1"/>
  <c r="AA5961" i="1" s="1"/>
  <c r="AA5962" i="1" s="1"/>
  <c r="AA5963" i="1" s="1"/>
  <c r="AA5964" i="1" s="1"/>
  <c r="AA5965" i="1" s="1"/>
  <c r="AA5966" i="1" s="1"/>
  <c r="AA5967" i="1" s="1"/>
  <c r="AA5968" i="1" s="1"/>
  <c r="AA5969" i="1" s="1"/>
  <c r="AA5970" i="1" s="1"/>
  <c r="AA5971" i="1" s="1"/>
  <c r="AA5972" i="1" s="1"/>
  <c r="AA5973" i="1" s="1"/>
  <c r="AA5974" i="1" s="1"/>
  <c r="AA5975" i="1" s="1"/>
  <c r="AA5976" i="1" s="1"/>
  <c r="AA5977" i="1" s="1"/>
  <c r="AA5978" i="1" s="1"/>
  <c r="AA5979" i="1" s="1"/>
  <c r="AA5980" i="1" s="1"/>
  <c r="AA5981" i="1" s="1"/>
  <c r="AA5982" i="1" s="1"/>
  <c r="AA5983" i="1" s="1"/>
  <c r="AA5984" i="1" s="1"/>
  <c r="AA5985" i="1" s="1"/>
  <c r="AA5986" i="1" s="1"/>
  <c r="AA5987" i="1" s="1"/>
  <c r="AA5988" i="1" s="1"/>
  <c r="AA5989" i="1" s="1"/>
  <c r="AA5990" i="1" s="1"/>
  <c r="AA5991" i="1" s="1"/>
  <c r="AA5992" i="1" s="1"/>
  <c r="AA5993" i="1" s="1"/>
  <c r="AA5994" i="1" s="1"/>
  <c r="AA5995" i="1" s="1"/>
  <c r="AA5996" i="1" s="1"/>
  <c r="AA5997" i="1" s="1"/>
  <c r="AA5998" i="1" s="1"/>
  <c r="AA5999" i="1" s="1"/>
  <c r="AA6000" i="1" s="1"/>
  <c r="AA6001" i="1" s="1"/>
  <c r="AA6002" i="1" s="1"/>
  <c r="AA6003" i="1" s="1"/>
  <c r="AA6004" i="1" s="1"/>
  <c r="Z37" i="1"/>
  <c r="Z40" i="1"/>
  <c r="W43" i="1"/>
  <c r="W61" i="1"/>
  <c r="W64" i="1"/>
  <c r="Z101" i="1"/>
  <c r="Z104" i="1"/>
  <c r="W107" i="1"/>
  <c r="W125" i="1"/>
  <c r="W128" i="1"/>
  <c r="W199" i="1"/>
  <c r="Z220" i="1"/>
  <c r="W245" i="1"/>
  <c r="W263" i="1"/>
  <c r="Z284" i="1"/>
  <c r="W309" i="1"/>
  <c r="Z349" i="1"/>
  <c r="W363" i="1"/>
  <c r="W389" i="1"/>
  <c r="Z413" i="1"/>
  <c r="W427" i="1"/>
  <c r="W453" i="1"/>
  <c r="Z477" i="1"/>
  <c r="W491" i="1"/>
  <c r="W517" i="1"/>
  <c r="W533" i="1"/>
  <c r="W549" i="1"/>
  <c r="W565" i="1"/>
  <c r="W581" i="1"/>
  <c r="W597" i="1"/>
  <c r="W613" i="1"/>
  <c r="W629" i="1"/>
  <c r="W645" i="1"/>
  <c r="Z685" i="1"/>
  <c r="Z717" i="1"/>
  <c r="W235" i="1"/>
  <c r="W439" i="1"/>
  <c r="W465" i="1"/>
  <c r="Z49" i="1"/>
  <c r="Z52" i="1"/>
  <c r="W55" i="1"/>
  <c r="W73" i="1"/>
  <c r="W76" i="1"/>
  <c r="Z113" i="1"/>
  <c r="Z116" i="1"/>
  <c r="W119" i="1"/>
  <c r="W137" i="1"/>
  <c r="W140" i="1"/>
  <c r="Z176" i="1"/>
  <c r="Z184" i="1"/>
  <c r="W209" i="1"/>
  <c r="W227" i="1"/>
  <c r="Z248" i="1"/>
  <c r="W273" i="1"/>
  <c r="W291" i="1"/>
  <c r="Z312" i="1"/>
  <c r="W329" i="1"/>
  <c r="W339" i="1"/>
  <c r="W351" i="1"/>
  <c r="W377" i="1"/>
  <c r="Z401" i="1"/>
  <c r="W415" i="1"/>
  <c r="W441" i="1"/>
  <c r="Z465" i="1"/>
  <c r="W479" i="1"/>
  <c r="W505" i="1"/>
  <c r="Z661" i="1"/>
  <c r="Z9" i="1"/>
  <c r="W21" i="1"/>
  <c r="W24" i="1"/>
  <c r="Z61" i="1"/>
  <c r="Z64" i="1"/>
  <c r="W67" i="1"/>
  <c r="W85" i="1"/>
  <c r="W88" i="1"/>
  <c r="Z125" i="1"/>
  <c r="Z128" i="1"/>
  <c r="W131" i="1"/>
  <c r="W149" i="1"/>
  <c r="W152" i="1"/>
  <c r="W191" i="1"/>
  <c r="Z212" i="1"/>
  <c r="W237" i="1"/>
  <c r="W255" i="1"/>
  <c r="W301" i="1"/>
  <c r="W319" i="1"/>
  <c r="W365" i="1"/>
  <c r="Z389" i="1"/>
  <c r="W403" i="1"/>
  <c r="W429" i="1"/>
  <c r="Z453" i="1"/>
  <c r="W467" i="1"/>
  <c r="W493" i="1"/>
  <c r="Z517" i="1"/>
  <c r="Z533" i="1"/>
  <c r="Z549" i="1"/>
  <c r="Z565" i="1"/>
  <c r="Z581" i="1"/>
  <c r="Z597" i="1"/>
  <c r="Z613" i="1"/>
  <c r="Z629" i="1"/>
  <c r="Z645" i="1"/>
  <c r="Z689" i="1"/>
  <c r="Z721" i="1"/>
  <c r="W281" i="1"/>
  <c r="Z425" i="1"/>
  <c r="Z489" i="1"/>
  <c r="W503" i="1"/>
  <c r="Z12" i="1"/>
  <c r="W15" i="1"/>
  <c r="Z76" i="1"/>
  <c r="W79" i="1"/>
  <c r="Z140" i="1"/>
  <c r="W143" i="1"/>
  <c r="W201" i="1"/>
  <c r="W219" i="1"/>
  <c r="Z240" i="1"/>
  <c r="W265" i="1"/>
  <c r="W283" i="1"/>
  <c r="Z304" i="1"/>
  <c r="Z324" i="1"/>
  <c r="W341" i="1"/>
  <c r="W353" i="1"/>
  <c r="Z377" i="1"/>
  <c r="W391" i="1"/>
  <c r="W417" i="1"/>
  <c r="Z441" i="1"/>
  <c r="W455" i="1"/>
  <c r="W481" i="1"/>
  <c r="Z505" i="1"/>
  <c r="W519" i="1"/>
  <c r="W229" i="1"/>
  <c r="W247" i="1"/>
  <c r="W293" i="1"/>
  <c r="W311" i="1"/>
  <c r="Z365" i="1"/>
  <c r="W379" i="1"/>
  <c r="W405" i="1"/>
  <c r="Z429" i="1"/>
  <c r="W443" i="1"/>
  <c r="W469" i="1"/>
  <c r="Z493" i="1"/>
  <c r="W507" i="1"/>
  <c r="W521" i="1"/>
  <c r="W537" i="1"/>
  <c r="W553" i="1"/>
  <c r="W569" i="1"/>
  <c r="W585" i="1"/>
  <c r="W601" i="1"/>
  <c r="W617" i="1"/>
  <c r="W633" i="1"/>
  <c r="W649" i="1"/>
  <c r="Z665" i="1"/>
  <c r="Z693" i="1"/>
  <c r="Z725" i="1"/>
  <c r="W193" i="1"/>
  <c r="W211" i="1"/>
  <c r="W257" i="1"/>
  <c r="W275" i="1"/>
  <c r="W321" i="1"/>
  <c r="W331" i="1"/>
  <c r="Z336" i="1"/>
  <c r="Z353" i="1"/>
  <c r="W367" i="1"/>
  <c r="W393" i="1"/>
  <c r="Z417" i="1"/>
  <c r="W431" i="1"/>
  <c r="W457" i="1"/>
  <c r="Z481" i="1"/>
  <c r="W495" i="1"/>
  <c r="W1340" i="1"/>
  <c r="W1352" i="1"/>
  <c r="W1384" i="1"/>
  <c r="W1404" i="1"/>
  <c r="Z1410" i="1"/>
  <c r="W1597" i="1"/>
  <c r="Z1610" i="1"/>
  <c r="W1661" i="1"/>
  <c r="Z1674" i="1"/>
  <c r="W1725" i="1"/>
  <c r="Z1750" i="1"/>
  <c r="W1440" i="1"/>
  <c r="Z1446" i="1"/>
  <c r="W1561" i="1"/>
  <c r="Z1574" i="1"/>
  <c r="W1625" i="1"/>
  <c r="Z1638" i="1"/>
  <c r="W1689" i="1"/>
  <c r="Z1702" i="1"/>
  <c r="W657" i="1"/>
  <c r="W661" i="1"/>
  <c r="W665" i="1"/>
  <c r="W669" i="1"/>
  <c r="W673" i="1"/>
  <c r="W677" i="1"/>
  <c r="W681" i="1"/>
  <c r="W685" i="1"/>
  <c r="W689" i="1"/>
  <c r="W693" i="1"/>
  <c r="W697" i="1"/>
  <c r="W701" i="1"/>
  <c r="W705" i="1"/>
  <c r="W709" i="1"/>
  <c r="W713" i="1"/>
  <c r="W717" i="1"/>
  <c r="W721" i="1"/>
  <c r="W725" i="1"/>
  <c r="W729" i="1"/>
  <c r="W733" i="1"/>
  <c r="W737" i="1"/>
  <c r="W741" i="1"/>
  <c r="W745" i="1"/>
  <c r="W749" i="1"/>
  <c r="W753" i="1"/>
  <c r="W757" i="1"/>
  <c r="W761" i="1"/>
  <c r="W765" i="1"/>
  <c r="W769" i="1"/>
  <c r="W773" i="1"/>
  <c r="W777" i="1"/>
  <c r="W781" i="1"/>
  <c r="W785" i="1"/>
  <c r="W789" i="1"/>
  <c r="W793" i="1"/>
  <c r="W797" i="1"/>
  <c r="W801" i="1"/>
  <c r="W805" i="1"/>
  <c r="W809" i="1"/>
  <c r="W813" i="1"/>
  <c r="W817" i="1"/>
  <c r="W821" i="1"/>
  <c r="W825" i="1"/>
  <c r="W829" i="1"/>
  <c r="W833" i="1"/>
  <c r="W837" i="1"/>
  <c r="W841" i="1"/>
  <c r="W845" i="1"/>
  <c r="W849" i="1"/>
  <c r="W853" i="1"/>
  <c r="W857" i="1"/>
  <c r="W861" i="1"/>
  <c r="W865" i="1"/>
  <c r="W869" i="1"/>
  <c r="W873" i="1"/>
  <c r="W877" i="1"/>
  <c r="W881" i="1"/>
  <c r="W885" i="1"/>
  <c r="W889" i="1"/>
  <c r="W893" i="1"/>
  <c r="W897" i="1"/>
  <c r="W901" i="1"/>
  <c r="W905" i="1"/>
  <c r="W909" i="1"/>
  <c r="W913" i="1"/>
  <c r="W1372" i="1"/>
  <c r="W1412" i="1"/>
  <c r="Z1418" i="1"/>
  <c r="W1589" i="1"/>
  <c r="Z1602" i="1"/>
  <c r="W1653" i="1"/>
  <c r="Z1666" i="1"/>
  <c r="W1717" i="1"/>
  <c r="Z1730" i="1"/>
  <c r="Z1762" i="1"/>
  <c r="Z1017" i="1"/>
  <c r="W1024" i="1"/>
  <c r="Z1032" i="1"/>
  <c r="W1039" i="1"/>
  <c r="W1046" i="1"/>
  <c r="Z1050" i="1"/>
  <c r="W1071" i="1"/>
  <c r="W1078" i="1"/>
  <c r="Z1082" i="1"/>
  <c r="W1103" i="1"/>
  <c r="W1110" i="1"/>
  <c r="Z1114" i="1"/>
  <c r="Z1142" i="1"/>
  <c r="W1145" i="1"/>
  <c r="W1155" i="1"/>
  <c r="W1182" i="1"/>
  <c r="W1192" i="1"/>
  <c r="Z1206" i="1"/>
  <c r="W1209" i="1"/>
  <c r="W1219" i="1"/>
  <c r="W1246" i="1"/>
  <c r="W1256" i="1"/>
  <c r="Z1270" i="1"/>
  <c r="W1273" i="1"/>
  <c r="W1283" i="1"/>
  <c r="W1312" i="1"/>
  <c r="Z1322" i="1"/>
  <c r="W1346" i="1"/>
  <c r="W1349" i="1"/>
  <c r="W1381" i="1"/>
  <c r="W1429" i="1"/>
  <c r="W1448" i="1"/>
  <c r="Z1454" i="1"/>
  <c r="Z1566" i="1"/>
  <c r="W1617" i="1"/>
  <c r="Z1630" i="1"/>
  <c r="W1681" i="1"/>
  <c r="Z1694" i="1"/>
  <c r="Z1809" i="1"/>
  <c r="Z733" i="1"/>
  <c r="Z737" i="1"/>
  <c r="Z741" i="1"/>
  <c r="Z745" i="1"/>
  <c r="Z749" i="1"/>
  <c r="Z753" i="1"/>
  <c r="Z757" i="1"/>
  <c r="Z761" i="1"/>
  <c r="Z765" i="1"/>
  <c r="Z769" i="1"/>
  <c r="Z773" i="1"/>
  <c r="Z777" i="1"/>
  <c r="Z781" i="1"/>
  <c r="Z785" i="1"/>
  <c r="Z789" i="1"/>
  <c r="Z793" i="1"/>
  <c r="Z797" i="1"/>
  <c r="Z801" i="1"/>
  <c r="Z805" i="1"/>
  <c r="Z809" i="1"/>
  <c r="Z813" i="1"/>
  <c r="Z817" i="1"/>
  <c r="Z821" i="1"/>
  <c r="Z825" i="1"/>
  <c r="Z829" i="1"/>
  <c r="Z833" i="1"/>
  <c r="Z837" i="1"/>
  <c r="Z841" i="1"/>
  <c r="Z845" i="1"/>
  <c r="Z849" i="1"/>
  <c r="Z853" i="1"/>
  <c r="Z857" i="1"/>
  <c r="Z861" i="1"/>
  <c r="Z865" i="1"/>
  <c r="Z869" i="1"/>
  <c r="Z873" i="1"/>
  <c r="Z877" i="1"/>
  <c r="Z881" i="1"/>
  <c r="Z885" i="1"/>
  <c r="Z889" i="1"/>
  <c r="Z893" i="1"/>
  <c r="Z897" i="1"/>
  <c r="Z901" i="1"/>
  <c r="Z905" i="1"/>
  <c r="Z909" i="1"/>
  <c r="Z913" i="1"/>
  <c r="Z917" i="1"/>
  <c r="Z921" i="1"/>
  <c r="Z925" i="1"/>
  <c r="Z929" i="1"/>
  <c r="Z933" i="1"/>
  <c r="Z937" i="1"/>
  <c r="Z941" i="1"/>
  <c r="Z945" i="1"/>
  <c r="Z949" i="1"/>
  <c r="Z953" i="1"/>
  <c r="Z957" i="1"/>
  <c r="Z961" i="1"/>
  <c r="Z965" i="1"/>
  <c r="Z969" i="1"/>
  <c r="Z973" i="1"/>
  <c r="Z977" i="1"/>
  <c r="Z981" i="1"/>
  <c r="Z985" i="1"/>
  <c r="Z989" i="1"/>
  <c r="Z993" i="1"/>
  <c r="Z997" i="1"/>
  <c r="Z1001" i="1"/>
  <c r="Z1005" i="1"/>
  <c r="Z1009" i="1"/>
  <c r="Z1013" i="1"/>
  <c r="W1020" i="1"/>
  <c r="Z1028" i="1"/>
  <c r="W1053" i="1"/>
  <c r="Z1057" i="1"/>
  <c r="W1060" i="1"/>
  <c r="W1085" i="1"/>
  <c r="Z1089" i="1"/>
  <c r="W1092" i="1"/>
  <c r="W1117" i="1"/>
  <c r="Z1121" i="1"/>
  <c r="W1124" i="1"/>
  <c r="W1138" i="1"/>
  <c r="W1148" i="1"/>
  <c r="Z1162" i="1"/>
  <c r="W1165" i="1"/>
  <c r="W1175" i="1"/>
  <c r="W1202" i="1"/>
  <c r="W1212" i="1"/>
  <c r="Z1226" i="1"/>
  <c r="W1229" i="1"/>
  <c r="W1239" i="1"/>
  <c r="W1266" i="1"/>
  <c r="W1276" i="1"/>
  <c r="Z1290" i="1"/>
  <c r="W1293" i="1"/>
  <c r="W1303" i="1"/>
  <c r="W1324" i="1"/>
  <c r="Z1334" i="1"/>
  <c r="Z1358" i="1"/>
  <c r="W1360" i="1"/>
  <c r="Z1390" i="1"/>
  <c r="W1392" i="1"/>
  <c r="W1401" i="1"/>
  <c r="W1420" i="1"/>
  <c r="Z1426" i="1"/>
  <c r="W1465" i="1"/>
  <c r="W1581" i="1"/>
  <c r="Z1594" i="1"/>
  <c r="W1645" i="1"/>
  <c r="Z1658" i="1"/>
  <c r="W1709" i="1"/>
  <c r="Z1722" i="1"/>
  <c r="Z1742" i="1"/>
  <c r="W1336" i="1"/>
  <c r="Z1346" i="1"/>
  <c r="W1369" i="1"/>
  <c r="Z1398" i="1"/>
  <c r="W1437" i="1"/>
  <c r="W1456" i="1"/>
  <c r="Z1462" i="1"/>
  <c r="W1473" i="1"/>
  <c r="W1481" i="1"/>
  <c r="W1489" i="1"/>
  <c r="W1497" i="1"/>
  <c r="W1505" i="1"/>
  <c r="W1513" i="1"/>
  <c r="W1521" i="1"/>
  <c r="W1529" i="1"/>
  <c r="W1537" i="1"/>
  <c r="W1545" i="1"/>
  <c r="W1553" i="1"/>
  <c r="Z1558" i="1"/>
  <c r="W1609" i="1"/>
  <c r="Z1622" i="1"/>
  <c r="W1673" i="1"/>
  <c r="Z1686" i="1"/>
  <c r="Z1053" i="1"/>
  <c r="Z1085" i="1"/>
  <c r="Z1117" i="1"/>
  <c r="Z1138" i="1"/>
  <c r="Z1202" i="1"/>
  <c r="Z1266" i="1"/>
  <c r="W1348" i="1"/>
  <c r="Z1378" i="1"/>
  <c r="W1380" i="1"/>
  <c r="W1409" i="1"/>
  <c r="W1428" i="1"/>
  <c r="Z1434" i="1"/>
  <c r="Z1470" i="1"/>
  <c r="Z1478" i="1"/>
  <c r="Z1486" i="1"/>
  <c r="Z1494" i="1"/>
  <c r="Z1502" i="1"/>
  <c r="Z1510" i="1"/>
  <c r="Z1518" i="1"/>
  <c r="Z1526" i="1"/>
  <c r="Z1534" i="1"/>
  <c r="Z1542" i="1"/>
  <c r="Z1550" i="1"/>
  <c r="W1573" i="1"/>
  <c r="Z1586" i="1"/>
  <c r="W1637" i="1"/>
  <c r="Z1650" i="1"/>
  <c r="W1701" i="1"/>
  <c r="Z1714" i="1"/>
  <c r="Z1754" i="1"/>
  <c r="W1780" i="1"/>
  <c r="W1400" i="1"/>
  <c r="Z1406" i="1"/>
  <c r="W1464" i="1"/>
  <c r="W1601" i="1"/>
  <c r="Z1614" i="1"/>
  <c r="W1665" i="1"/>
  <c r="Z1678" i="1"/>
  <c r="Z1785" i="1"/>
  <c r="Z344" i="1"/>
  <c r="Z348" i="1"/>
  <c r="Z352" i="1"/>
  <c r="Z356" i="1"/>
  <c r="Z360" i="1"/>
  <c r="Z364" i="1"/>
  <c r="Z368" i="1"/>
  <c r="Z372" i="1"/>
  <c r="Z376" i="1"/>
  <c r="Z380" i="1"/>
  <c r="Z384" i="1"/>
  <c r="Z388" i="1"/>
  <c r="Z392" i="1"/>
  <c r="Z396" i="1"/>
  <c r="Z400" i="1"/>
  <c r="Z404" i="1"/>
  <c r="Z408" i="1"/>
  <c r="Z412" i="1"/>
  <c r="Z416" i="1"/>
  <c r="Z420" i="1"/>
  <c r="Z424" i="1"/>
  <c r="Z428" i="1"/>
  <c r="Z432" i="1"/>
  <c r="Z436" i="1"/>
  <c r="Z440" i="1"/>
  <c r="Z444" i="1"/>
  <c r="Z448" i="1"/>
  <c r="Z452" i="1"/>
  <c r="Z456" i="1"/>
  <c r="Z460" i="1"/>
  <c r="Z464" i="1"/>
  <c r="Z468" i="1"/>
  <c r="Z472" i="1"/>
  <c r="Z476" i="1"/>
  <c r="Z480" i="1"/>
  <c r="Z484" i="1"/>
  <c r="Z488" i="1"/>
  <c r="Z492" i="1"/>
  <c r="Z496" i="1"/>
  <c r="Z500" i="1"/>
  <c r="Z504" i="1"/>
  <c r="Z508" i="1"/>
  <c r="Z512" i="1"/>
  <c r="Z516" i="1"/>
  <c r="Z520" i="1"/>
  <c r="Z524" i="1"/>
  <c r="Z528" i="1"/>
  <c r="Z532" i="1"/>
  <c r="Z536" i="1"/>
  <c r="Z540" i="1"/>
  <c r="Z544" i="1"/>
  <c r="Z548" i="1"/>
  <c r="Z552" i="1"/>
  <c r="Z556" i="1"/>
  <c r="Z560" i="1"/>
  <c r="Z564" i="1"/>
  <c r="Z568" i="1"/>
  <c r="Z572" i="1"/>
  <c r="Z576" i="1"/>
  <c r="Z580" i="1"/>
  <c r="Z584" i="1"/>
  <c r="Z588" i="1"/>
  <c r="Z592" i="1"/>
  <c r="Z596" i="1"/>
  <c r="Z600" i="1"/>
  <c r="Z604" i="1"/>
  <c r="Z608" i="1"/>
  <c r="Z612" i="1"/>
  <c r="Z616" i="1"/>
  <c r="Z620" i="1"/>
  <c r="Z624" i="1"/>
  <c r="Z628" i="1"/>
  <c r="Z632" i="1"/>
  <c r="Z636" i="1"/>
  <c r="Z640" i="1"/>
  <c r="Z644" i="1"/>
  <c r="Z648" i="1"/>
  <c r="Z652" i="1"/>
  <c r="Z656" i="1"/>
  <c r="Z660" i="1"/>
  <c r="Z664" i="1"/>
  <c r="Z668" i="1"/>
  <c r="Z672" i="1"/>
  <c r="Z676" i="1"/>
  <c r="Z680" i="1"/>
  <c r="Z684" i="1"/>
  <c r="Z688" i="1"/>
  <c r="Z692" i="1"/>
  <c r="Z696" i="1"/>
  <c r="Z700" i="1"/>
  <c r="Z704" i="1"/>
  <c r="Z708" i="1"/>
  <c r="Z712" i="1"/>
  <c r="Z716" i="1"/>
  <c r="Z720" i="1"/>
  <c r="Z724" i="1"/>
  <c r="Z728" i="1"/>
  <c r="Z732" i="1"/>
  <c r="Z736" i="1"/>
  <c r="Z740" i="1"/>
  <c r="Z744" i="1"/>
  <c r="Z748" i="1"/>
  <c r="Z752" i="1"/>
  <c r="Z756" i="1"/>
  <c r="Z760" i="1"/>
  <c r="Z764" i="1"/>
  <c r="Z768" i="1"/>
  <c r="Z772" i="1"/>
  <c r="Z776" i="1"/>
  <c r="Z780" i="1"/>
  <c r="Z784" i="1"/>
  <c r="Z788" i="1"/>
  <c r="Z792" i="1"/>
  <c r="Z796" i="1"/>
  <c r="Z800" i="1"/>
  <c r="Z804" i="1"/>
  <c r="Z808" i="1"/>
  <c r="Z812" i="1"/>
  <c r="Z816" i="1"/>
  <c r="Z820" i="1"/>
  <c r="Z824" i="1"/>
  <c r="Z828" i="1"/>
  <c r="Z832" i="1"/>
  <c r="Z836" i="1"/>
  <c r="Z840" i="1"/>
  <c r="Z844" i="1"/>
  <c r="Z848" i="1"/>
  <c r="Z852" i="1"/>
  <c r="Z856" i="1"/>
  <c r="Z860" i="1"/>
  <c r="Z864" i="1"/>
  <c r="Z868" i="1"/>
  <c r="Z872" i="1"/>
  <c r="Z876" i="1"/>
  <c r="Z880" i="1"/>
  <c r="Z884" i="1"/>
  <c r="Z888" i="1"/>
  <c r="Z892" i="1"/>
  <c r="Z896" i="1"/>
  <c r="Z900" i="1"/>
  <c r="Z904" i="1"/>
  <c r="Z908" i="1"/>
  <c r="Z912" i="1"/>
  <c r="Z916" i="1"/>
  <c r="Z920" i="1"/>
  <c r="Z924" i="1"/>
  <c r="Z928" i="1"/>
  <c r="Z932" i="1"/>
  <c r="Z936" i="1"/>
  <c r="Z940" i="1"/>
  <c r="Z944" i="1"/>
  <c r="Z948" i="1"/>
  <c r="Z952" i="1"/>
  <c r="Z956" i="1"/>
  <c r="Z960" i="1"/>
  <c r="Z964" i="1"/>
  <c r="Z968" i="1"/>
  <c r="Z972" i="1"/>
  <c r="Z976" i="1"/>
  <c r="Z980" i="1"/>
  <c r="Z984" i="1"/>
  <c r="Z988" i="1"/>
  <c r="Z992" i="1"/>
  <c r="Z996" i="1"/>
  <c r="Z1000" i="1"/>
  <c r="Z1004" i="1"/>
  <c r="Z1008" i="1"/>
  <c r="Z1012" i="1"/>
  <c r="W1023" i="1"/>
  <c r="W1045" i="1"/>
  <c r="Z1049" i="1"/>
  <c r="W1052" i="1"/>
  <c r="W1077" i="1"/>
  <c r="Z1081" i="1"/>
  <c r="W1084" i="1"/>
  <c r="W1109" i="1"/>
  <c r="Z1113" i="1"/>
  <c r="W1116" i="1"/>
  <c r="W1154" i="1"/>
  <c r="W1164" i="1"/>
  <c r="Z1178" i="1"/>
  <c r="W1181" i="1"/>
  <c r="W1191" i="1"/>
  <c r="W1218" i="1"/>
  <c r="W1228" i="1"/>
  <c r="Z1242" i="1"/>
  <c r="W1245" i="1"/>
  <c r="W1255" i="1"/>
  <c r="W1282" i="1"/>
  <c r="W1292" i="1"/>
  <c r="W1308" i="1"/>
  <c r="Z1318" i="1"/>
  <c r="W1368" i="1"/>
  <c r="W1436" i="1"/>
  <c r="Z1442" i="1"/>
  <c r="W1565" i="1"/>
  <c r="Z1578" i="1"/>
  <c r="W1629" i="1"/>
  <c r="Z1642" i="1"/>
  <c r="W1693" i="1"/>
  <c r="Z1706" i="1"/>
  <c r="Z1734" i="1"/>
  <c r="Z1766" i="1"/>
  <c r="W1320" i="1"/>
  <c r="W1408" i="1"/>
  <c r="Z1414" i="1"/>
  <c r="W1593" i="1"/>
  <c r="Z1606" i="1"/>
  <c r="W1657" i="1"/>
  <c r="Z1670" i="1"/>
  <c r="W1721" i="1"/>
  <c r="W1773" i="1"/>
  <c r="W523" i="1"/>
  <c r="W527" i="1"/>
  <c r="W531" i="1"/>
  <c r="W535" i="1"/>
  <c r="W539" i="1"/>
  <c r="W543" i="1"/>
  <c r="W547" i="1"/>
  <c r="W551" i="1"/>
  <c r="W555" i="1"/>
  <c r="W559" i="1"/>
  <c r="W563" i="1"/>
  <c r="W567" i="1"/>
  <c r="W571" i="1"/>
  <c r="W575" i="1"/>
  <c r="W579" i="1"/>
  <c r="W583" i="1"/>
  <c r="W587" i="1"/>
  <c r="W591" i="1"/>
  <c r="W595" i="1"/>
  <c r="W599" i="1"/>
  <c r="W603" i="1"/>
  <c r="W607" i="1"/>
  <c r="W611" i="1"/>
  <c r="W615" i="1"/>
  <c r="W619" i="1"/>
  <c r="W623" i="1"/>
  <c r="W627" i="1"/>
  <c r="W631" i="1"/>
  <c r="W635" i="1"/>
  <c r="W639" i="1"/>
  <c r="W643" i="1"/>
  <c r="W647" i="1"/>
  <c r="W651" i="1"/>
  <c r="W655" i="1"/>
  <c r="W659" i="1"/>
  <c r="W663" i="1"/>
  <c r="W667" i="1"/>
  <c r="W671" i="1"/>
  <c r="W675" i="1"/>
  <c r="W679" i="1"/>
  <c r="W683" i="1"/>
  <c r="W687" i="1"/>
  <c r="W691" i="1"/>
  <c r="W695" i="1"/>
  <c r="W699" i="1"/>
  <c r="W703" i="1"/>
  <c r="W707" i="1"/>
  <c r="W711" i="1"/>
  <c r="W715" i="1"/>
  <c r="W719" i="1"/>
  <c r="W723" i="1"/>
  <c r="W727" i="1"/>
  <c r="W731" i="1"/>
  <c r="W735" i="1"/>
  <c r="W739" i="1"/>
  <c r="W743" i="1"/>
  <c r="W747" i="1"/>
  <c r="W751" i="1"/>
  <c r="W755" i="1"/>
  <c r="W759" i="1"/>
  <c r="W763" i="1"/>
  <c r="W767" i="1"/>
  <c r="W771" i="1"/>
  <c r="W775" i="1"/>
  <c r="W779" i="1"/>
  <c r="W783" i="1"/>
  <c r="W787" i="1"/>
  <c r="W791" i="1"/>
  <c r="W795" i="1"/>
  <c r="W799" i="1"/>
  <c r="W803" i="1"/>
  <c r="W807" i="1"/>
  <c r="W811" i="1"/>
  <c r="W815" i="1"/>
  <c r="W819" i="1"/>
  <c r="W823" i="1"/>
  <c r="W827" i="1"/>
  <c r="W831" i="1"/>
  <c r="W835" i="1"/>
  <c r="W839" i="1"/>
  <c r="W843" i="1"/>
  <c r="W847" i="1"/>
  <c r="W851" i="1"/>
  <c r="W855" i="1"/>
  <c r="W859" i="1"/>
  <c r="W863" i="1"/>
  <c r="W867" i="1"/>
  <c r="W871" i="1"/>
  <c r="W875" i="1"/>
  <c r="W879" i="1"/>
  <c r="W883" i="1"/>
  <c r="W887" i="1"/>
  <c r="W891" i="1"/>
  <c r="W895" i="1"/>
  <c r="W899" i="1"/>
  <c r="W903" i="1"/>
  <c r="W907" i="1"/>
  <c r="W911" i="1"/>
  <c r="W915" i="1"/>
  <c r="W919" i="1"/>
  <c r="W923" i="1"/>
  <c r="W927" i="1"/>
  <c r="W931" i="1"/>
  <c r="W935" i="1"/>
  <c r="W939" i="1"/>
  <c r="W943" i="1"/>
  <c r="W947" i="1"/>
  <c r="W951" i="1"/>
  <c r="W955" i="1"/>
  <c r="W959" i="1"/>
  <c r="W963" i="1"/>
  <c r="W967" i="1"/>
  <c r="W971" i="1"/>
  <c r="W975" i="1"/>
  <c r="W979" i="1"/>
  <c r="W983" i="1"/>
  <c r="W987" i="1"/>
  <c r="W991" i="1"/>
  <c r="W995" i="1"/>
  <c r="W999" i="1"/>
  <c r="W1003" i="1"/>
  <c r="W1007" i="1"/>
  <c r="W1011" i="1"/>
  <c r="W1015" i="1"/>
  <c r="W1030" i="1"/>
  <c r="W1041" i="1"/>
  <c r="Z1045" i="1"/>
  <c r="W1048" i="1"/>
  <c r="W1073" i="1"/>
  <c r="Z1077" i="1"/>
  <c r="W1080" i="1"/>
  <c r="W1105" i="1"/>
  <c r="Z1109" i="1"/>
  <c r="W1112" i="1"/>
  <c r="W1140" i="1"/>
  <c r="Z1154" i="1"/>
  <c r="W1157" i="1"/>
  <c r="W1167" i="1"/>
  <c r="W1194" i="1"/>
  <c r="W1204" i="1"/>
  <c r="Z1218" i="1"/>
  <c r="W1221" i="1"/>
  <c r="W1231" i="1"/>
  <c r="W1258" i="1"/>
  <c r="W1268" i="1"/>
  <c r="Z1282" i="1"/>
  <c r="W1285" i="1"/>
  <c r="W1295" i="1"/>
  <c r="W1305" i="1"/>
  <c r="W1332" i="1"/>
  <c r="Z1342" i="1"/>
  <c r="Z1354" i="1"/>
  <c r="W1356" i="1"/>
  <c r="Z1386" i="1"/>
  <c r="W1388" i="1"/>
  <c r="W1425" i="1"/>
  <c r="W1444" i="1"/>
  <c r="Z1450" i="1"/>
  <c r="W1557" i="1"/>
  <c r="Z1570" i="1"/>
  <c r="W1621" i="1"/>
  <c r="Z1634" i="1"/>
  <c r="W1685" i="1"/>
  <c r="Z1698" i="1"/>
  <c r="Z1746" i="1"/>
  <c r="W1026" i="1"/>
  <c r="Z1034" i="1"/>
  <c r="W1055" i="1"/>
  <c r="W1344" i="1"/>
  <c r="W1365" i="1"/>
  <c r="W1397" i="1"/>
  <c r="W1416" i="1"/>
  <c r="Z1422" i="1"/>
  <c r="W1461" i="1"/>
  <c r="W1585" i="1"/>
  <c r="Z1598" i="1"/>
  <c r="W1649" i="1"/>
  <c r="Z1662" i="1"/>
  <c r="W1713" i="1"/>
  <c r="Z1726" i="1"/>
  <c r="W1812" i="1"/>
  <c r="Z15" i="1"/>
  <c r="Z27" i="1"/>
  <c r="Z39" i="1"/>
  <c r="Z43" i="1"/>
  <c r="Z59" i="1"/>
  <c r="Z71" i="1"/>
  <c r="Z75" i="1"/>
  <c r="Z87" i="1"/>
  <c r="Z95" i="1"/>
  <c r="Z103" i="1"/>
  <c r="Z111" i="1"/>
  <c r="Z127" i="1"/>
  <c r="Z151" i="1"/>
  <c r="Z155" i="1"/>
  <c r="Z163" i="1"/>
  <c r="Z171" i="1"/>
  <c r="Z175" i="1"/>
  <c r="Z187" i="1"/>
  <c r="Z191" i="1"/>
  <c r="Z199" i="1"/>
  <c r="Z211" i="1"/>
  <c r="Z215" i="1"/>
  <c r="Z223" i="1"/>
  <c r="Z231" i="1"/>
  <c r="Z239" i="1"/>
  <c r="Z243" i="1"/>
  <c r="Z247" i="1"/>
  <c r="Z251" i="1"/>
  <c r="Z255" i="1"/>
  <c r="Z259" i="1"/>
  <c r="Z263" i="1"/>
  <c r="Z267" i="1"/>
  <c r="Z275" i="1"/>
  <c r="Z279" i="1"/>
  <c r="Z283" i="1"/>
  <c r="Z287" i="1"/>
  <c r="Z291" i="1"/>
  <c r="Z295" i="1"/>
  <c r="Z299" i="1"/>
  <c r="Z303" i="1"/>
  <c r="Z307" i="1"/>
  <c r="Z311" i="1"/>
  <c r="Z315" i="1"/>
  <c r="Z319" i="1"/>
  <c r="Z323" i="1"/>
  <c r="Z327" i="1"/>
  <c r="Z331" i="1"/>
  <c r="Z335" i="1"/>
  <c r="Z339" i="1"/>
  <c r="Z343" i="1"/>
  <c r="Z347" i="1"/>
  <c r="Z351" i="1"/>
  <c r="Z355" i="1"/>
  <c r="Z359" i="1"/>
  <c r="Z363" i="1"/>
  <c r="Z367" i="1"/>
  <c r="Z371" i="1"/>
  <c r="Z375" i="1"/>
  <c r="Z379" i="1"/>
  <c r="Z383" i="1"/>
  <c r="Z387" i="1"/>
  <c r="Z391" i="1"/>
  <c r="Z395" i="1"/>
  <c r="Z399" i="1"/>
  <c r="Z403" i="1"/>
  <c r="Z407" i="1"/>
  <c r="Z411" i="1"/>
  <c r="Z415" i="1"/>
  <c r="Z419" i="1"/>
  <c r="Z423" i="1"/>
  <c r="Z427" i="1"/>
  <c r="Z431" i="1"/>
  <c r="Z435" i="1"/>
  <c r="Z439" i="1"/>
  <c r="Z443" i="1"/>
  <c r="Z447" i="1"/>
  <c r="Z451" i="1"/>
  <c r="Z455" i="1"/>
  <c r="Z459" i="1"/>
  <c r="Z463" i="1"/>
  <c r="Z467" i="1"/>
  <c r="Z471" i="1"/>
  <c r="Z475" i="1"/>
  <c r="Z479" i="1"/>
  <c r="Z483" i="1"/>
  <c r="Z487" i="1"/>
  <c r="Z491" i="1"/>
  <c r="Z495" i="1"/>
  <c r="Z499" i="1"/>
  <c r="Z503" i="1"/>
  <c r="Z507" i="1"/>
  <c r="Z511" i="1"/>
  <c r="Z515" i="1"/>
  <c r="Z519" i="1"/>
  <c r="Z523" i="1"/>
  <c r="Z527" i="1"/>
  <c r="Z531" i="1"/>
  <c r="Z535" i="1"/>
  <c r="Z539" i="1"/>
  <c r="Z543" i="1"/>
  <c r="Z547" i="1"/>
  <c r="Z551" i="1"/>
  <c r="Z555" i="1"/>
  <c r="Z559" i="1"/>
  <c r="Z563" i="1"/>
  <c r="Z567" i="1"/>
  <c r="Z571" i="1"/>
  <c r="Z575" i="1"/>
  <c r="Z579" i="1"/>
  <c r="Z583" i="1"/>
  <c r="Z587" i="1"/>
  <c r="Z591" i="1"/>
  <c r="Z595" i="1"/>
  <c r="Z599" i="1"/>
  <c r="Z603" i="1"/>
  <c r="Z607" i="1"/>
  <c r="Z611" i="1"/>
  <c r="Z615" i="1"/>
  <c r="Z619" i="1"/>
  <c r="Z623" i="1"/>
  <c r="Z627" i="1"/>
  <c r="Z631" i="1"/>
  <c r="Z635" i="1"/>
  <c r="Z639" i="1"/>
  <c r="Z643" i="1"/>
  <c r="Z647" i="1"/>
  <c r="Z651" i="1"/>
  <c r="Z655" i="1"/>
  <c r="Z659" i="1"/>
  <c r="Z663" i="1"/>
  <c r="Z667" i="1"/>
  <c r="Z671" i="1"/>
  <c r="Z675" i="1"/>
  <c r="Z679" i="1"/>
  <c r="Z683" i="1"/>
  <c r="Z687" i="1"/>
  <c r="Z691" i="1"/>
  <c r="Z695" i="1"/>
  <c r="Z699" i="1"/>
  <c r="Z703" i="1"/>
  <c r="Z707" i="1"/>
  <c r="Z711" i="1"/>
  <c r="Z715" i="1"/>
  <c r="Z719" i="1"/>
  <c r="Z723" i="1"/>
  <c r="Z727" i="1"/>
  <c r="Z731" i="1"/>
  <c r="Z735" i="1"/>
  <c r="Z739" i="1"/>
  <c r="Z743" i="1"/>
  <c r="Z747" i="1"/>
  <c r="Z751" i="1"/>
  <c r="Z755" i="1"/>
  <c r="Z759" i="1"/>
  <c r="Z763" i="1"/>
  <c r="Z767" i="1"/>
  <c r="Z771" i="1"/>
  <c r="Z775" i="1"/>
  <c r="Z779" i="1"/>
  <c r="Z783" i="1"/>
  <c r="Z787" i="1"/>
  <c r="Z791" i="1"/>
  <c r="Z795" i="1"/>
  <c r="Z799" i="1"/>
  <c r="Z803" i="1"/>
  <c r="Z807" i="1"/>
  <c r="Z811" i="1"/>
  <c r="Z815" i="1"/>
  <c r="Z819" i="1"/>
  <c r="Z823" i="1"/>
  <c r="Z827" i="1"/>
  <c r="Z831" i="1"/>
  <c r="Z835" i="1"/>
  <c r="Z839" i="1"/>
  <c r="Z843" i="1"/>
  <c r="Z847" i="1"/>
  <c r="Z851" i="1"/>
  <c r="Z855" i="1"/>
  <c r="Z859" i="1"/>
  <c r="Z863" i="1"/>
  <c r="Z867" i="1"/>
  <c r="Z871" i="1"/>
  <c r="Z875" i="1"/>
  <c r="Z879" i="1"/>
  <c r="Z883" i="1"/>
  <c r="Z887" i="1"/>
  <c r="Z891" i="1"/>
  <c r="Z895" i="1"/>
  <c r="Z899" i="1"/>
  <c r="Z903" i="1"/>
  <c r="Z907" i="1"/>
  <c r="Z911" i="1"/>
  <c r="Z915" i="1"/>
  <c r="Z919" i="1"/>
  <c r="Z923" i="1"/>
  <c r="Z927" i="1"/>
  <c r="Z931" i="1"/>
  <c r="Z935" i="1"/>
  <c r="Z939" i="1"/>
  <c r="Z943" i="1"/>
  <c r="Z947" i="1"/>
  <c r="Z951" i="1"/>
  <c r="Z955" i="1"/>
  <c r="Z959" i="1"/>
  <c r="Z963" i="1"/>
  <c r="Z967" i="1"/>
  <c r="Z971" i="1"/>
  <c r="Z975" i="1"/>
  <c r="Z979" i="1"/>
  <c r="Z983" i="1"/>
  <c r="Z987" i="1"/>
  <c r="Z991" i="1"/>
  <c r="Z995" i="1"/>
  <c r="Z999" i="1"/>
  <c r="Z1003" i="1"/>
  <c r="Z1007" i="1"/>
  <c r="Z1011" i="1"/>
  <c r="W1022" i="1"/>
  <c r="Z1030" i="1"/>
  <c r="W1037" i="1"/>
  <c r="Z1041" i="1"/>
  <c r="W1044" i="1"/>
  <c r="W1069" i="1"/>
  <c r="Z1073" i="1"/>
  <c r="W1076" i="1"/>
  <c r="W1101" i="1"/>
  <c r="Z1105" i="1"/>
  <c r="W1108" i="1"/>
  <c r="W1133" i="1"/>
  <c r="W1143" i="1"/>
  <c r="W1170" i="1"/>
  <c r="W1180" i="1"/>
  <c r="Z1194" i="1"/>
  <c r="W1197" i="1"/>
  <c r="W1207" i="1"/>
  <c r="W1234" i="1"/>
  <c r="W1244" i="1"/>
  <c r="Z1258" i="1"/>
  <c r="W1261" i="1"/>
  <c r="W1271" i="1"/>
  <c r="W1298" i="1"/>
  <c r="W1326" i="1"/>
  <c r="W1329" i="1"/>
  <c r="Z1374" i="1"/>
  <c r="W1376" i="1"/>
  <c r="W1433" i="1"/>
  <c r="W1452" i="1"/>
  <c r="Z1458" i="1"/>
  <c r="Z1562" i="1"/>
  <c r="W1613" i="1"/>
  <c r="Z1626" i="1"/>
  <c r="W1677" i="1"/>
  <c r="Z1690" i="1"/>
  <c r="Z1758" i="1"/>
  <c r="Z11" i="1"/>
  <c r="Z19" i="1"/>
  <c r="Z31" i="1"/>
  <c r="Z35" i="1"/>
  <c r="Z47" i="1"/>
  <c r="Z67" i="1"/>
  <c r="Z99" i="1"/>
  <c r="Z123" i="1"/>
  <c r="Z131" i="1"/>
  <c r="Z159" i="1"/>
  <c r="Z167" i="1"/>
  <c r="Z179" i="1"/>
  <c r="Z183" i="1"/>
  <c r="Z203" i="1"/>
  <c r="Z207" i="1"/>
  <c r="Z219" i="1"/>
  <c r="Z227" i="1"/>
  <c r="W1018" i="1"/>
  <c r="Z1026" i="1"/>
  <c r="W1033" i="1"/>
  <c r="W1051" i="1"/>
  <c r="W1058" i="1"/>
  <c r="Z1062" i="1"/>
  <c r="W1083" i="1"/>
  <c r="W1090" i="1"/>
  <c r="Z1094" i="1"/>
  <c r="W1115" i="1"/>
  <c r="W1122" i="1"/>
  <c r="Z1126" i="1"/>
  <c r="W1136" i="1"/>
  <c r="Z1150" i="1"/>
  <c r="W1153" i="1"/>
  <c r="W1163" i="1"/>
  <c r="W1190" i="1"/>
  <c r="W1200" i="1"/>
  <c r="Z1214" i="1"/>
  <c r="W1217" i="1"/>
  <c r="W1227" i="1"/>
  <c r="W1254" i="1"/>
  <c r="W1264" i="1"/>
  <c r="Z1278" i="1"/>
  <c r="W1281" i="1"/>
  <c r="W1291" i="1"/>
  <c r="Z1314" i="1"/>
  <c r="W1338" i="1"/>
  <c r="W1341" i="1"/>
  <c r="W1353" i="1"/>
  <c r="W1385" i="1"/>
  <c r="W1405" i="1"/>
  <c r="W1424" i="1"/>
  <c r="Z1430" i="1"/>
  <c r="W1469" i="1"/>
  <c r="W1477" i="1"/>
  <c r="W1485" i="1"/>
  <c r="W1493" i="1"/>
  <c r="W1501" i="1"/>
  <c r="W1509" i="1"/>
  <c r="W1517" i="1"/>
  <c r="W1525" i="1"/>
  <c r="W1533" i="1"/>
  <c r="W1541" i="1"/>
  <c r="W1549" i="1"/>
  <c r="W1577" i="1"/>
  <c r="Z1590" i="1"/>
  <c r="W1641" i="1"/>
  <c r="Z1654" i="1"/>
  <c r="W1705" i="1"/>
  <c r="Z1718" i="1"/>
  <c r="Z23" i="1"/>
  <c r="Z55" i="1"/>
  <c r="Z79" i="1"/>
  <c r="W914" i="1"/>
  <c r="W918" i="1"/>
  <c r="W922" i="1"/>
  <c r="W926" i="1"/>
  <c r="W930" i="1"/>
  <c r="W934" i="1"/>
  <c r="W938" i="1"/>
  <c r="W942" i="1"/>
  <c r="W946" i="1"/>
  <c r="W950" i="1"/>
  <c r="W954" i="1"/>
  <c r="W958" i="1"/>
  <c r="W962" i="1"/>
  <c r="W966" i="1"/>
  <c r="W970" i="1"/>
  <c r="W974" i="1"/>
  <c r="W978" i="1"/>
  <c r="W982" i="1"/>
  <c r="W986" i="1"/>
  <c r="W990" i="1"/>
  <c r="W994" i="1"/>
  <c r="W998" i="1"/>
  <c r="W1002" i="1"/>
  <c r="W1006" i="1"/>
  <c r="W1010" i="1"/>
  <c r="W1014" i="1"/>
  <c r="Z1022" i="1"/>
  <c r="W1029" i="1"/>
  <c r="Z1037" i="1"/>
  <c r="W1040" i="1"/>
  <c r="W1065" i="1"/>
  <c r="Z1069" i="1"/>
  <c r="W1072" i="1"/>
  <c r="W1097" i="1"/>
  <c r="Z1101" i="1"/>
  <c r="W1104" i="1"/>
  <c r="W1129" i="1"/>
  <c r="Z1133" i="1"/>
  <c r="W1146" i="1"/>
  <c r="W1156" i="1"/>
  <c r="Z1170" i="1"/>
  <c r="W1173" i="1"/>
  <c r="W1183" i="1"/>
  <c r="W1210" i="1"/>
  <c r="W1220" i="1"/>
  <c r="Z1234" i="1"/>
  <c r="W1237" i="1"/>
  <c r="W1247" i="1"/>
  <c r="W1274" i="1"/>
  <c r="W1284" i="1"/>
  <c r="Z1298" i="1"/>
  <c r="W1301" i="1"/>
  <c r="W1316" i="1"/>
  <c r="Z1326" i="1"/>
  <c r="Z1362" i="1"/>
  <c r="W1364" i="1"/>
  <c r="Z1394" i="1"/>
  <c r="W1396" i="1"/>
  <c r="Z1402" i="1"/>
  <c r="W1441" i="1"/>
  <c r="W1460" i="1"/>
  <c r="Z1466" i="1"/>
  <c r="Z1474" i="1"/>
  <c r="Z1482" i="1"/>
  <c r="Z1490" i="1"/>
  <c r="Z1498" i="1"/>
  <c r="Z1506" i="1"/>
  <c r="Z1514" i="1"/>
  <c r="Z1522" i="1"/>
  <c r="Z1530" i="1"/>
  <c r="Z1538" i="1"/>
  <c r="Z1546" i="1"/>
  <c r="Z1554" i="1"/>
  <c r="W1605" i="1"/>
  <c r="Z1618" i="1"/>
  <c r="W1669" i="1"/>
  <c r="Z1682" i="1"/>
  <c r="Z1738" i="1"/>
  <c r="Z1777" i="1"/>
  <c r="Z1190" i="1"/>
  <c r="Z1254" i="1"/>
  <c r="W1328" i="1"/>
  <c r="Z1338" i="1"/>
  <c r="W1432" i="1"/>
  <c r="Z1438" i="1"/>
  <c r="W1569" i="1"/>
  <c r="Z1582" i="1"/>
  <c r="W1633" i="1"/>
  <c r="Z1646" i="1"/>
  <c r="W1697" i="1"/>
  <c r="Z1710" i="1"/>
  <c r="W1805" i="1"/>
  <c r="Z2418" i="1"/>
  <c r="Z2482" i="1"/>
  <c r="Z2570" i="1"/>
  <c r="Z2590" i="1"/>
  <c r="W2635" i="1"/>
  <c r="Z2643" i="1"/>
  <c r="Z2701" i="1"/>
  <c r="W2769" i="1"/>
  <c r="W2790" i="1"/>
  <c r="Z2914" i="1"/>
  <c r="W3033" i="1"/>
  <c r="W3261" i="1"/>
  <c r="W3407" i="1"/>
  <c r="Z2390" i="1"/>
  <c r="Z2454" i="1"/>
  <c r="W2572" i="1"/>
  <c r="Z2600" i="1"/>
  <c r="Z2625" i="1"/>
  <c r="W2665" i="1"/>
  <c r="W2690" i="1"/>
  <c r="Z2693" i="1"/>
  <c r="Z2855" i="1"/>
  <c r="W2953" i="1"/>
  <c r="Z2426" i="1"/>
  <c r="Z2490" i="1"/>
  <c r="Z2562" i="1"/>
  <c r="Z2620" i="1"/>
  <c r="Z2650" i="1"/>
  <c r="W2695" i="1"/>
  <c r="Z2735" i="1"/>
  <c r="Z2745" i="1"/>
  <c r="W2814" i="1"/>
  <c r="Z2826" i="1"/>
  <c r="W3471" i="1"/>
  <c r="W1774" i="1"/>
  <c r="Z1778" i="1"/>
  <c r="W1799" i="1"/>
  <c r="W1806" i="1"/>
  <c r="Z1810" i="1"/>
  <c r="W1831" i="1"/>
  <c r="W1838" i="1"/>
  <c r="Z1842" i="1"/>
  <c r="W1863" i="1"/>
  <c r="W1870" i="1"/>
  <c r="Z1874" i="1"/>
  <c r="W1895" i="1"/>
  <c r="W1902" i="1"/>
  <c r="Z1906" i="1"/>
  <c r="Z1937" i="1"/>
  <c r="W1950" i="1"/>
  <c r="W1967" i="1"/>
  <c r="Z1974" i="1"/>
  <c r="W1977" i="1"/>
  <c r="Z2001" i="1"/>
  <c r="W2014" i="1"/>
  <c r="W2031" i="1"/>
  <c r="Z2038" i="1"/>
  <c r="W2041" i="1"/>
  <c r="Z2065" i="1"/>
  <c r="W2091" i="1"/>
  <c r="W2097" i="1"/>
  <c r="Z2134" i="1"/>
  <c r="Z2158" i="1"/>
  <c r="Z2190" i="1"/>
  <c r="Z2222" i="1"/>
  <c r="Z2254" i="1"/>
  <c r="Z2286" i="1"/>
  <c r="Z2318" i="1"/>
  <c r="Z2350" i="1"/>
  <c r="W2387" i="1"/>
  <c r="Z2398" i="1"/>
  <c r="W2437" i="1"/>
  <c r="W2451" i="1"/>
  <c r="Z2462" i="1"/>
  <c r="W2501" i="1"/>
  <c r="W2564" i="1"/>
  <c r="W2607" i="1"/>
  <c r="Z2645" i="1"/>
  <c r="W2730" i="1"/>
  <c r="W2918" i="1"/>
  <c r="Z2939" i="1"/>
  <c r="W3378" i="1"/>
  <c r="Z3507" i="1"/>
  <c r="Z1817" i="1"/>
  <c r="W1845" i="1"/>
  <c r="Z1849" i="1"/>
  <c r="W1852" i="1"/>
  <c r="W1877" i="1"/>
  <c r="Z1881" i="1"/>
  <c r="W1884" i="1"/>
  <c r="W1909" i="1"/>
  <c r="Z1913" i="1"/>
  <c r="W1916" i="1"/>
  <c r="W1923" i="1"/>
  <c r="Z1930" i="1"/>
  <c r="W1933" i="1"/>
  <c r="Z1957" i="1"/>
  <c r="W1970" i="1"/>
  <c r="W1987" i="1"/>
  <c r="Z1994" i="1"/>
  <c r="W1997" i="1"/>
  <c r="Z2021" i="1"/>
  <c r="W2034" i="1"/>
  <c r="W2051" i="1"/>
  <c r="Z2058" i="1"/>
  <c r="W2061" i="1"/>
  <c r="W2081" i="1"/>
  <c r="W2103" i="1"/>
  <c r="W2109" i="1"/>
  <c r="Z2146" i="1"/>
  <c r="W2169" i="1"/>
  <c r="W2175" i="1"/>
  <c r="W2201" i="1"/>
  <c r="W2207" i="1"/>
  <c r="W2233" i="1"/>
  <c r="W2239" i="1"/>
  <c r="W2265" i="1"/>
  <c r="W2271" i="1"/>
  <c r="W2297" i="1"/>
  <c r="W2303" i="1"/>
  <c r="W2329" i="1"/>
  <c r="W2335" i="1"/>
  <c r="W2361" i="1"/>
  <c r="W2367" i="1"/>
  <c r="W2409" i="1"/>
  <c r="W2423" i="1"/>
  <c r="Z2434" i="1"/>
  <c r="W2473" i="1"/>
  <c r="W2487" i="1"/>
  <c r="Z2498" i="1"/>
  <c r="Z2554" i="1"/>
  <c r="Z2582" i="1"/>
  <c r="W2642" i="1"/>
  <c r="W2657" i="1"/>
  <c r="W2667" i="1"/>
  <c r="Z2783" i="1"/>
  <c r="W2845" i="1"/>
  <c r="W2885" i="1"/>
  <c r="Z2974" i="1"/>
  <c r="W3013" i="1"/>
  <c r="W3130" i="1"/>
  <c r="W3162" i="1"/>
  <c r="W3194" i="1"/>
  <c r="W3226" i="1"/>
  <c r="W3258" i="1"/>
  <c r="Z3275" i="1"/>
  <c r="W3361" i="1"/>
  <c r="W1827" i="1"/>
  <c r="W1834" i="1"/>
  <c r="Z1838" i="1"/>
  <c r="W1859" i="1"/>
  <c r="W1866" i="1"/>
  <c r="Z1870" i="1"/>
  <c r="W1891" i="1"/>
  <c r="Z1902" i="1"/>
  <c r="W1926" i="1"/>
  <c r="W1943" i="1"/>
  <c r="Z1950" i="1"/>
  <c r="W1953" i="1"/>
  <c r="Z1977" i="1"/>
  <c r="W1990" i="1"/>
  <c r="W2007" i="1"/>
  <c r="Z2014" i="1"/>
  <c r="W2017" i="1"/>
  <c r="Z2041" i="1"/>
  <c r="W2054" i="1"/>
  <c r="W2071" i="1"/>
  <c r="Z2078" i="1"/>
  <c r="Z2094" i="1"/>
  <c r="W2115" i="1"/>
  <c r="W2121" i="1"/>
  <c r="Z2178" i="1"/>
  <c r="Z2210" i="1"/>
  <c r="Z2242" i="1"/>
  <c r="Z2274" i="1"/>
  <c r="Z2306" i="1"/>
  <c r="Z2338" i="1"/>
  <c r="Z2370" i="1"/>
  <c r="W2381" i="1"/>
  <c r="W2395" i="1"/>
  <c r="Z2406" i="1"/>
  <c r="W2445" i="1"/>
  <c r="W2459" i="1"/>
  <c r="Z2470" i="1"/>
  <c r="W2556" i="1"/>
  <c r="Z2607" i="1"/>
  <c r="W2614" i="1"/>
  <c r="W2677" i="1"/>
  <c r="Z2766" i="1"/>
  <c r="W3098" i="1"/>
  <c r="W3442" i="1"/>
  <c r="Z2378" i="1"/>
  <c r="Z2442" i="1"/>
  <c r="Z2506" i="1"/>
  <c r="Z2514" i="1"/>
  <c r="Z2522" i="1"/>
  <c r="Z2530" i="1"/>
  <c r="Z2538" i="1"/>
  <c r="Z2546" i="1"/>
  <c r="Z2594" i="1"/>
  <c r="Z2632" i="1"/>
  <c r="Z2657" i="1"/>
  <c r="Z2667" i="1"/>
  <c r="W2682" i="1"/>
  <c r="W2707" i="1"/>
  <c r="Z2871" i="1"/>
  <c r="W3425" i="1"/>
  <c r="W3499" i="1"/>
  <c r="Z2414" i="1"/>
  <c r="Z2478" i="1"/>
  <c r="W2548" i="1"/>
  <c r="Z2574" i="1"/>
  <c r="Z2604" i="1"/>
  <c r="Z2614" i="1"/>
  <c r="Z2823" i="1"/>
  <c r="W2922" i="1"/>
  <c r="Z2999" i="1"/>
  <c r="W3066" i="1"/>
  <c r="Z3110" i="1"/>
  <c r="Z3142" i="1"/>
  <c r="Z3174" i="1"/>
  <c r="Z3206" i="1"/>
  <c r="Z3238" i="1"/>
  <c r="W2067" i="1"/>
  <c r="Z2074" i="1"/>
  <c r="W2077" i="1"/>
  <c r="W2093" i="1"/>
  <c r="Z2130" i="1"/>
  <c r="W2151" i="1"/>
  <c r="W2177" i="1"/>
  <c r="W2183" i="1"/>
  <c r="W2209" i="1"/>
  <c r="W2215" i="1"/>
  <c r="W2241" i="1"/>
  <c r="W2247" i="1"/>
  <c r="W2273" i="1"/>
  <c r="W2279" i="1"/>
  <c r="W2305" i="1"/>
  <c r="W2311" i="1"/>
  <c r="W2337" i="1"/>
  <c r="W2343" i="1"/>
  <c r="W2369" i="1"/>
  <c r="W2375" i="1"/>
  <c r="Z2386" i="1"/>
  <c r="W2425" i="1"/>
  <c r="W2439" i="1"/>
  <c r="Z2450" i="1"/>
  <c r="W2535" i="1"/>
  <c r="W2543" i="1"/>
  <c r="W2576" i="1"/>
  <c r="W2621" i="1"/>
  <c r="W2639" i="1"/>
  <c r="Z2702" i="1"/>
  <c r="W2789" i="1"/>
  <c r="Z2978" i="1"/>
  <c r="W3489" i="1"/>
  <c r="Z1929" i="1"/>
  <c r="Z1993" i="1"/>
  <c r="Z2057" i="1"/>
  <c r="W2099" i="1"/>
  <c r="Z2142" i="1"/>
  <c r="Z2154" i="1"/>
  <c r="Z2186" i="1"/>
  <c r="Z2218" i="1"/>
  <c r="Z2250" i="1"/>
  <c r="Z2282" i="1"/>
  <c r="Z2314" i="1"/>
  <c r="Z2346" i="1"/>
  <c r="W2411" i="1"/>
  <c r="Z2422" i="1"/>
  <c r="W2461" i="1"/>
  <c r="W2475" i="1"/>
  <c r="Z2486" i="1"/>
  <c r="Z2566" i="1"/>
  <c r="W2609" i="1"/>
  <c r="W2746" i="1"/>
  <c r="W2889" i="1"/>
  <c r="W3017" i="1"/>
  <c r="W3034" i="1"/>
  <c r="Z3078" i="1"/>
  <c r="W1729" i="1"/>
  <c r="W1733" i="1"/>
  <c r="W1737" i="1"/>
  <c r="W1741" i="1"/>
  <c r="W1745" i="1"/>
  <c r="W1749" i="1"/>
  <c r="W1753" i="1"/>
  <c r="W1757" i="1"/>
  <c r="W1761" i="1"/>
  <c r="W1765" i="1"/>
  <c r="W1769" i="1"/>
  <c r="Z1773" i="1"/>
  <c r="W1776" i="1"/>
  <c r="W1801" i="1"/>
  <c r="Z1805" i="1"/>
  <c r="W1808" i="1"/>
  <c r="W1833" i="1"/>
  <c r="Z1837" i="1"/>
  <c r="W1840" i="1"/>
  <c r="W1865" i="1"/>
  <c r="Z1869" i="1"/>
  <c r="W1872" i="1"/>
  <c r="W1897" i="1"/>
  <c r="Z1901" i="1"/>
  <c r="W1904" i="1"/>
  <c r="Z1922" i="1"/>
  <c r="W1925" i="1"/>
  <c r="Z1949" i="1"/>
  <c r="W1962" i="1"/>
  <c r="W1979" i="1"/>
  <c r="Z1986" i="1"/>
  <c r="W1989" i="1"/>
  <c r="Z2013" i="1"/>
  <c r="W2026" i="1"/>
  <c r="W2043" i="1"/>
  <c r="Z2050" i="1"/>
  <c r="W2053" i="1"/>
  <c r="Z2077" i="1"/>
  <c r="W2111" i="1"/>
  <c r="W2117" i="1"/>
  <c r="W2165" i="1"/>
  <c r="W2171" i="1"/>
  <c r="W2197" i="1"/>
  <c r="W2203" i="1"/>
  <c r="W2229" i="1"/>
  <c r="W2235" i="1"/>
  <c r="W2261" i="1"/>
  <c r="W2267" i="1"/>
  <c r="W2293" i="1"/>
  <c r="W2299" i="1"/>
  <c r="W2325" i="1"/>
  <c r="W2331" i="1"/>
  <c r="W2357" i="1"/>
  <c r="W2363" i="1"/>
  <c r="W2383" i="1"/>
  <c r="Z2394" i="1"/>
  <c r="W2433" i="1"/>
  <c r="W2447" i="1"/>
  <c r="Z2458" i="1"/>
  <c r="W2497" i="1"/>
  <c r="W2568" i="1"/>
  <c r="Z2586" i="1"/>
  <c r="Z2634" i="1"/>
  <c r="Z2639" i="1"/>
  <c r="W2646" i="1"/>
  <c r="Z2659" i="1"/>
  <c r="Z2674" i="1"/>
  <c r="Z2689" i="1"/>
  <c r="W2714" i="1"/>
  <c r="Z2763" i="1"/>
  <c r="W2813" i="1"/>
  <c r="Z2875" i="1"/>
  <c r="Z3382" i="1"/>
  <c r="W3542" i="1"/>
  <c r="Z2033" i="1"/>
  <c r="Z2070" i="1"/>
  <c r="W2073" i="1"/>
  <c r="W2083" i="1"/>
  <c r="Z2102" i="1"/>
  <c r="W2123" i="1"/>
  <c r="W2129" i="1"/>
  <c r="Z2174" i="1"/>
  <c r="Z2206" i="1"/>
  <c r="Z2238" i="1"/>
  <c r="Z2270" i="1"/>
  <c r="Z2302" i="1"/>
  <c r="Z2334" i="1"/>
  <c r="Z2366" i="1"/>
  <c r="W2405" i="1"/>
  <c r="W2419" i="1"/>
  <c r="Z2430" i="1"/>
  <c r="W2469" i="1"/>
  <c r="W2483" i="1"/>
  <c r="Z2494" i="1"/>
  <c r="Z2558" i="1"/>
  <c r="W2603" i="1"/>
  <c r="Z2611" i="1"/>
  <c r="W2669" i="1"/>
  <c r="Z2719" i="1"/>
  <c r="W2982" i="1"/>
  <c r="Z3003" i="1"/>
  <c r="Z3046" i="1"/>
  <c r="Z3107" i="1"/>
  <c r="W3129" i="1"/>
  <c r="Z3139" i="1"/>
  <c r="W3161" i="1"/>
  <c r="Z3171" i="1"/>
  <c r="W3193" i="1"/>
  <c r="Z3203" i="1"/>
  <c r="W3225" i="1"/>
  <c r="Z3235" i="1"/>
  <c r="W3257" i="1"/>
  <c r="W2351" i="1"/>
  <c r="W2391" i="1"/>
  <c r="Z2402" i="1"/>
  <c r="W2455" i="1"/>
  <c r="Z2466" i="1"/>
  <c r="W2560" i="1"/>
  <c r="Z2636" i="1"/>
  <c r="Z2646" i="1"/>
  <c r="W2699" i="1"/>
  <c r="Z2714" i="1"/>
  <c r="Z2729" i="1"/>
  <c r="W2846" i="1"/>
  <c r="Z2858" i="1"/>
  <c r="Z2910" i="1"/>
  <c r="W2949" i="1"/>
  <c r="W3097" i="1"/>
  <c r="Z3446" i="1"/>
  <c r="W1779" i="1"/>
  <c r="W1786" i="1"/>
  <c r="Z1790" i="1"/>
  <c r="W1811" i="1"/>
  <c r="W1818" i="1"/>
  <c r="Z1822" i="1"/>
  <c r="W1843" i="1"/>
  <c r="W1850" i="1"/>
  <c r="Z1854" i="1"/>
  <c r="W1875" i="1"/>
  <c r="W1882" i="1"/>
  <c r="Z1886" i="1"/>
  <c r="W1907" i="1"/>
  <c r="W1914" i="1"/>
  <c r="Z1918" i="1"/>
  <c r="W1921" i="1"/>
  <c r="Z1945" i="1"/>
  <c r="W1958" i="1"/>
  <c r="W1975" i="1"/>
  <c r="Z1982" i="1"/>
  <c r="W1985" i="1"/>
  <c r="Z2009" i="1"/>
  <c r="W2022" i="1"/>
  <c r="W2039" i="1"/>
  <c r="Z2046" i="1"/>
  <c r="W2049" i="1"/>
  <c r="Z2073" i="1"/>
  <c r="Z2086" i="1"/>
  <c r="Z2126" i="1"/>
  <c r="W2147" i="1"/>
  <c r="Z2162" i="1"/>
  <c r="Z2194" i="1"/>
  <c r="Z2226" i="1"/>
  <c r="Z2258" i="1"/>
  <c r="Z2290" i="1"/>
  <c r="Z2322" i="1"/>
  <c r="Z2354" i="1"/>
  <c r="W2413" i="1"/>
  <c r="W2427" i="1"/>
  <c r="Z2438" i="1"/>
  <c r="W2477" i="1"/>
  <c r="W2491" i="1"/>
  <c r="Z2502" i="1"/>
  <c r="Z2550" i="1"/>
  <c r="W2598" i="1"/>
  <c r="Z2618" i="1"/>
  <c r="W2623" i="1"/>
  <c r="W2653" i="1"/>
  <c r="Z2661" i="1"/>
  <c r="W2678" i="1"/>
  <c r="Z2691" i="1"/>
  <c r="Z2765" i="1"/>
  <c r="Z3075" i="1"/>
  <c r="W1468" i="1"/>
  <c r="W1472" i="1"/>
  <c r="W1476" i="1"/>
  <c r="W1480" i="1"/>
  <c r="W1484" i="1"/>
  <c r="W1488" i="1"/>
  <c r="W1492" i="1"/>
  <c r="W1496" i="1"/>
  <c r="W1500" i="1"/>
  <c r="W1504" i="1"/>
  <c r="W1508" i="1"/>
  <c r="W1512" i="1"/>
  <c r="W1516" i="1"/>
  <c r="W1520" i="1"/>
  <c r="W1524" i="1"/>
  <c r="W1528" i="1"/>
  <c r="W1532" i="1"/>
  <c r="W1536" i="1"/>
  <c r="W1540" i="1"/>
  <c r="W1544" i="1"/>
  <c r="W1548" i="1"/>
  <c r="W1552" i="1"/>
  <c r="W1556" i="1"/>
  <c r="W1560" i="1"/>
  <c r="W1564" i="1"/>
  <c r="W1568" i="1"/>
  <c r="W1572" i="1"/>
  <c r="W1576" i="1"/>
  <c r="W1580" i="1"/>
  <c r="W1584" i="1"/>
  <c r="W1588" i="1"/>
  <c r="W1592" i="1"/>
  <c r="W1596" i="1"/>
  <c r="W1600" i="1"/>
  <c r="W1604" i="1"/>
  <c r="W1608" i="1"/>
  <c r="W1612" i="1"/>
  <c r="W1616" i="1"/>
  <c r="W1620" i="1"/>
  <c r="W1624" i="1"/>
  <c r="W1628" i="1"/>
  <c r="W1632" i="1"/>
  <c r="W1636" i="1"/>
  <c r="W1640" i="1"/>
  <c r="W1644" i="1"/>
  <c r="W1648" i="1"/>
  <c r="W1652" i="1"/>
  <c r="W1656" i="1"/>
  <c r="W1660" i="1"/>
  <c r="W1664" i="1"/>
  <c r="W1668" i="1"/>
  <c r="W1672" i="1"/>
  <c r="W1676" i="1"/>
  <c r="W1680" i="1"/>
  <c r="W1684" i="1"/>
  <c r="W1688" i="1"/>
  <c r="W1692" i="1"/>
  <c r="W1696" i="1"/>
  <c r="W1700" i="1"/>
  <c r="W1704" i="1"/>
  <c r="W1708" i="1"/>
  <c r="W1712" i="1"/>
  <c r="W1716" i="1"/>
  <c r="W1720" i="1"/>
  <c r="W1724" i="1"/>
  <c r="W1728" i="1"/>
  <c r="W1732" i="1"/>
  <c r="W1736" i="1"/>
  <c r="W1740" i="1"/>
  <c r="W1744" i="1"/>
  <c r="W1748" i="1"/>
  <c r="W1752" i="1"/>
  <c r="W1756" i="1"/>
  <c r="W1760" i="1"/>
  <c r="W1764" i="1"/>
  <c r="W1768" i="1"/>
  <c r="W1793" i="1"/>
  <c r="Z1797" i="1"/>
  <c r="W1800" i="1"/>
  <c r="W1825" i="1"/>
  <c r="Z1829" i="1"/>
  <c r="W1832" i="1"/>
  <c r="W1857" i="1"/>
  <c r="Z1861" i="1"/>
  <c r="W1864" i="1"/>
  <c r="W1889" i="1"/>
  <c r="Z1893" i="1"/>
  <c r="W1896" i="1"/>
  <c r="W1931" i="1"/>
  <c r="Z1938" i="1"/>
  <c r="W1941" i="1"/>
  <c r="Z1965" i="1"/>
  <c r="W1978" i="1"/>
  <c r="W1995" i="1"/>
  <c r="Z2002" i="1"/>
  <c r="W2005" i="1"/>
  <c r="Z2029" i="1"/>
  <c r="Z2089" i="1"/>
  <c r="W2095" i="1"/>
  <c r="Z2138" i="1"/>
  <c r="W2179" i="1"/>
  <c r="W2211" i="1"/>
  <c r="W2243" i="1"/>
  <c r="W2275" i="1"/>
  <c r="W2307" i="1"/>
  <c r="W2339" i="1"/>
  <c r="W2371" i="1"/>
  <c r="W2399" i="1"/>
  <c r="Z2410" i="1"/>
  <c r="W2463" i="1"/>
  <c r="Z2474" i="1"/>
  <c r="Z2510" i="1"/>
  <c r="Z2518" i="1"/>
  <c r="Z2526" i="1"/>
  <c r="Z2534" i="1"/>
  <c r="Z2542" i="1"/>
  <c r="W2552" i="1"/>
  <c r="Z2578" i="1"/>
  <c r="Z2613" i="1"/>
  <c r="W2641" i="1"/>
  <c r="W2701" i="1"/>
  <c r="W3065" i="1"/>
  <c r="Z1921" i="1"/>
  <c r="Z1985" i="1"/>
  <c r="Z2049" i="1"/>
  <c r="W2079" i="1"/>
  <c r="W2107" i="1"/>
  <c r="Z2150" i="1"/>
  <c r="Z2382" i="1"/>
  <c r="Z2446" i="1"/>
  <c r="W2610" i="1"/>
  <c r="W2625" i="1"/>
  <c r="Z2786" i="1"/>
  <c r="Z2935" i="1"/>
  <c r="W2986" i="1"/>
  <c r="Z3043" i="1"/>
  <c r="Z3271" i="1"/>
  <c r="Z2773" i="1"/>
  <c r="Z2870" i="1"/>
  <c r="W2909" i="1"/>
  <c r="Z2934" i="1"/>
  <c r="W2973" i="1"/>
  <c r="Z2998" i="1"/>
  <c r="W3029" i="1"/>
  <c r="W3061" i="1"/>
  <c r="W3093" i="1"/>
  <c r="W3125" i="1"/>
  <c r="W3157" i="1"/>
  <c r="W3189" i="1"/>
  <c r="W3221" i="1"/>
  <c r="W3253" i="1"/>
  <c r="W3281" i="1"/>
  <c r="W3510" i="1"/>
  <c r="W3609" i="1"/>
  <c r="W3653" i="1"/>
  <c r="W3992" i="1"/>
  <c r="Z4004" i="1"/>
  <c r="Z4098" i="1"/>
  <c r="W4133" i="1"/>
  <c r="Z4202" i="1"/>
  <c r="Z4365" i="1"/>
  <c r="Z2713" i="1"/>
  <c r="Z2785" i="1"/>
  <c r="Z2806" i="1"/>
  <c r="Z2838" i="1"/>
  <c r="W2881" i="1"/>
  <c r="Z2906" i="1"/>
  <c r="W2945" i="1"/>
  <c r="Z2970" i="1"/>
  <c r="W3009" i="1"/>
  <c r="Z3026" i="1"/>
  <c r="Z3058" i="1"/>
  <c r="Z3090" i="1"/>
  <c r="Z3122" i="1"/>
  <c r="Z3154" i="1"/>
  <c r="Z3186" i="1"/>
  <c r="Z3218" i="1"/>
  <c r="Z3250" i="1"/>
  <c r="Z3400" i="1"/>
  <c r="Z3464" i="1"/>
  <c r="W3576" i="1"/>
  <c r="Z3664" i="1"/>
  <c r="W3795" i="1"/>
  <c r="Z4367" i="1"/>
  <c r="W4541" i="1"/>
  <c r="W4851" i="1"/>
  <c r="Z2669" i="1"/>
  <c r="Z2797" i="1"/>
  <c r="Z2878" i="1"/>
  <c r="W2917" i="1"/>
  <c r="Z2942" i="1"/>
  <c r="W2981" i="1"/>
  <c r="Z3006" i="1"/>
  <c r="W3049" i="1"/>
  <c r="W3081" i="1"/>
  <c r="W3113" i="1"/>
  <c r="W3145" i="1"/>
  <c r="W3177" i="1"/>
  <c r="W3209" i="1"/>
  <c r="W3241" i="1"/>
  <c r="W3289" i="1"/>
  <c r="W3410" i="1"/>
  <c r="W3474" i="1"/>
  <c r="Z3554" i="1"/>
  <c r="W3556" i="1"/>
  <c r="W3596" i="1"/>
  <c r="Z3687" i="1"/>
  <c r="W3862" i="1"/>
  <c r="Z3907" i="1"/>
  <c r="Z4064" i="1"/>
  <c r="W4301" i="1"/>
  <c r="Z3640" i="1"/>
  <c r="W3704" i="1"/>
  <c r="W3744" i="1"/>
  <c r="Z3795" i="1"/>
  <c r="W3841" i="1"/>
  <c r="Z3919" i="1"/>
  <c r="W4161" i="1"/>
  <c r="W4244" i="1"/>
  <c r="Z2709" i="1"/>
  <c r="Z2757" i="1"/>
  <c r="Z2886" i="1"/>
  <c r="W2925" i="1"/>
  <c r="Z2950" i="1"/>
  <c r="W2989" i="1"/>
  <c r="Z3014" i="1"/>
  <c r="W3037" i="1"/>
  <c r="W3069" i="1"/>
  <c r="W3101" i="1"/>
  <c r="W3133" i="1"/>
  <c r="W3165" i="1"/>
  <c r="W3197" i="1"/>
  <c r="W3229" i="1"/>
  <c r="W3297" i="1"/>
  <c r="W3371" i="1"/>
  <c r="W3435" i="1"/>
  <c r="W3535" i="1"/>
  <c r="Z3546" i="1"/>
  <c r="W3586" i="1"/>
  <c r="W3606" i="1"/>
  <c r="W3831" i="1"/>
  <c r="W3895" i="1"/>
  <c r="Z4013" i="1"/>
  <c r="W4049" i="1"/>
  <c r="Z4078" i="1"/>
  <c r="Z4532" i="1"/>
  <c r="W4536" i="1"/>
  <c r="Z2665" i="1"/>
  <c r="Z2769" i="1"/>
  <c r="Z2814" i="1"/>
  <c r="Z2846" i="1"/>
  <c r="W2897" i="1"/>
  <c r="Z2922" i="1"/>
  <c r="W2961" i="1"/>
  <c r="Z2986" i="1"/>
  <c r="Z3034" i="1"/>
  <c r="Z3066" i="1"/>
  <c r="Z3098" i="1"/>
  <c r="Z3130" i="1"/>
  <c r="Z3162" i="1"/>
  <c r="Z3194" i="1"/>
  <c r="Z3226" i="1"/>
  <c r="Z3258" i="1"/>
  <c r="W3269" i="1"/>
  <c r="Z3407" i="1"/>
  <c r="Z3471" i="1"/>
  <c r="W3616" i="1"/>
  <c r="W3663" i="1"/>
  <c r="W3673" i="1"/>
  <c r="Z3704" i="1"/>
  <c r="W3734" i="1"/>
  <c r="W3771" i="1"/>
  <c r="W3972" i="1"/>
  <c r="Z2685" i="1"/>
  <c r="Z2781" i="1"/>
  <c r="W2869" i="1"/>
  <c r="Z2894" i="1"/>
  <c r="W2933" i="1"/>
  <c r="Z2958" i="1"/>
  <c r="W2997" i="1"/>
  <c r="W3025" i="1"/>
  <c r="W3057" i="1"/>
  <c r="W3089" i="1"/>
  <c r="W3121" i="1"/>
  <c r="W3153" i="1"/>
  <c r="W3185" i="1"/>
  <c r="W3217" i="1"/>
  <c r="W3249" i="1"/>
  <c r="W3305" i="1"/>
  <c r="Z3311" i="1"/>
  <c r="Z3319" i="1"/>
  <c r="Z3327" i="1"/>
  <c r="Z3335" i="1"/>
  <c r="Z3343" i="1"/>
  <c r="Z3351" i="1"/>
  <c r="W3389" i="1"/>
  <c r="W3453" i="1"/>
  <c r="Z3563" i="1"/>
  <c r="W3593" i="1"/>
  <c r="Z3627" i="1"/>
  <c r="W3741" i="1"/>
  <c r="W3781" i="1"/>
  <c r="Z3792" i="1"/>
  <c r="W3809" i="1"/>
  <c r="Z3895" i="1"/>
  <c r="W3958" i="1"/>
  <c r="W4123" i="1"/>
  <c r="Z4237" i="1"/>
  <c r="Z4317" i="1"/>
  <c r="W4352" i="1"/>
  <c r="Z4412" i="1"/>
  <c r="W2601" i="1"/>
  <c r="W2633" i="1"/>
  <c r="W2685" i="1"/>
  <c r="Z2705" i="1"/>
  <c r="Z2725" i="1"/>
  <c r="Z2741" i="1"/>
  <c r="Z2775" i="1"/>
  <c r="W2781" i="1"/>
  <c r="Z2793" i="1"/>
  <c r="W2802" i="1"/>
  <c r="W2817" i="1"/>
  <c r="Z2834" i="1"/>
  <c r="W2849" i="1"/>
  <c r="Z2866" i="1"/>
  <c r="W2894" i="1"/>
  <c r="W2905" i="1"/>
  <c r="Z2911" i="1"/>
  <c r="Z2930" i="1"/>
  <c r="W2958" i="1"/>
  <c r="W2969" i="1"/>
  <c r="Z2975" i="1"/>
  <c r="Z2994" i="1"/>
  <c r="Z3022" i="1"/>
  <c r="Z3054" i="1"/>
  <c r="Z3086" i="1"/>
  <c r="Z3118" i="1"/>
  <c r="Z3150" i="1"/>
  <c r="Z3182" i="1"/>
  <c r="Z3214" i="1"/>
  <c r="Z3246" i="1"/>
  <c r="W3277" i="1"/>
  <c r="W3294" i="1"/>
  <c r="W3313" i="1"/>
  <c r="W3321" i="1"/>
  <c r="W3329" i="1"/>
  <c r="W3337" i="1"/>
  <c r="W3345" i="1"/>
  <c r="W3353" i="1"/>
  <c r="W3396" i="1"/>
  <c r="W3460" i="1"/>
  <c r="W3522" i="1"/>
  <c r="W3563" i="1"/>
  <c r="Z3759" i="1"/>
  <c r="Z3819" i="1"/>
  <c r="W3931" i="1"/>
  <c r="Z3943" i="1"/>
  <c r="W3960" i="1"/>
  <c r="Z3972" i="1"/>
  <c r="W4075" i="1"/>
  <c r="Z4090" i="1"/>
  <c r="Z4319" i="1"/>
  <c r="W4584" i="1"/>
  <c r="W5128" i="1"/>
  <c r="W2731" i="1"/>
  <c r="W2741" i="1"/>
  <c r="W2747" i="1"/>
  <c r="W2750" i="1"/>
  <c r="Z2787" i="1"/>
  <c r="W2793" i="1"/>
  <c r="Z2811" i="1"/>
  <c r="W2834" i="1"/>
  <c r="Z2843" i="1"/>
  <c r="W2866" i="1"/>
  <c r="W2877" i="1"/>
  <c r="Z2883" i="1"/>
  <c r="Z2902" i="1"/>
  <c r="W2930" i="1"/>
  <c r="W2941" i="1"/>
  <c r="Z2947" i="1"/>
  <c r="Z2966" i="1"/>
  <c r="W2994" i="1"/>
  <c r="W3005" i="1"/>
  <c r="Z3011" i="1"/>
  <c r="W3022" i="1"/>
  <c r="Z3031" i="1"/>
  <c r="W3045" i="1"/>
  <c r="W3054" i="1"/>
  <c r="Z3063" i="1"/>
  <c r="W3077" i="1"/>
  <c r="W3086" i="1"/>
  <c r="Z3095" i="1"/>
  <c r="W3109" i="1"/>
  <c r="W3118" i="1"/>
  <c r="Z3127" i="1"/>
  <c r="W3141" i="1"/>
  <c r="W3150" i="1"/>
  <c r="Z3159" i="1"/>
  <c r="W3173" i="1"/>
  <c r="W3182" i="1"/>
  <c r="Z3191" i="1"/>
  <c r="W3205" i="1"/>
  <c r="W3214" i="1"/>
  <c r="Z3223" i="1"/>
  <c r="W3237" i="1"/>
  <c r="W3246" i="1"/>
  <c r="Z3255" i="1"/>
  <c r="W3266" i="1"/>
  <c r="Z3283" i="1"/>
  <c r="Z3379" i="1"/>
  <c r="Z3394" i="1"/>
  <c r="Z3443" i="1"/>
  <c r="Z3458" i="1"/>
  <c r="Z3543" i="1"/>
  <c r="W3553" i="1"/>
  <c r="Z3591" i="1"/>
  <c r="W3626" i="1"/>
  <c r="W3634" i="1"/>
  <c r="W3799" i="1"/>
  <c r="W3859" i="1"/>
  <c r="W3866" i="1"/>
  <c r="W3878" i="1"/>
  <c r="Z4123" i="1"/>
  <c r="W4156" i="1"/>
  <c r="W4448" i="1"/>
  <c r="W2629" i="1"/>
  <c r="W2661" i="1"/>
  <c r="Z2681" i="1"/>
  <c r="Z2753" i="1"/>
  <c r="W2805" i="1"/>
  <c r="Z2822" i="1"/>
  <c r="W2837" i="1"/>
  <c r="Z2854" i="1"/>
  <c r="Z2874" i="1"/>
  <c r="W2913" i="1"/>
  <c r="Z2938" i="1"/>
  <c r="W2977" i="1"/>
  <c r="Z3002" i="1"/>
  <c r="Z3042" i="1"/>
  <c r="Z3074" i="1"/>
  <c r="Z3106" i="1"/>
  <c r="Z3138" i="1"/>
  <c r="Z3170" i="1"/>
  <c r="Z3202" i="1"/>
  <c r="Z3234" i="1"/>
  <c r="W3285" i="1"/>
  <c r="W3358" i="1"/>
  <c r="Z3368" i="1"/>
  <c r="Z3432" i="1"/>
  <c r="Z3496" i="1"/>
  <c r="Z3514" i="1"/>
  <c r="Z3532" i="1"/>
  <c r="Z3583" i="1"/>
  <c r="W3636" i="1"/>
  <c r="Z3660" i="1"/>
  <c r="W3670" i="1"/>
  <c r="W3680" i="1"/>
  <c r="W3880" i="1"/>
  <c r="Z4075" i="1"/>
  <c r="Z4286" i="1"/>
  <c r="Z4407" i="1"/>
  <c r="Z4584" i="1"/>
  <c r="W4588" i="1"/>
  <c r="Z4775" i="1"/>
  <c r="Z3603" i="1"/>
  <c r="W3731" i="1"/>
  <c r="W3758" i="1"/>
  <c r="W3768" i="1"/>
  <c r="Z4156" i="1"/>
  <c r="Z4210" i="1"/>
  <c r="Z4234" i="1"/>
  <c r="W4288" i="1"/>
  <c r="Z4347" i="1"/>
  <c r="Z2721" i="1"/>
  <c r="Z2737" i="1"/>
  <c r="W2765" i="1"/>
  <c r="Z2777" i="1"/>
  <c r="Z2810" i="1"/>
  <c r="W2825" i="1"/>
  <c r="Z2842" i="1"/>
  <c r="W2857" i="1"/>
  <c r="Z2882" i="1"/>
  <c r="W2921" i="1"/>
  <c r="Z2946" i="1"/>
  <c r="W2985" i="1"/>
  <c r="Z3010" i="1"/>
  <c r="Z3030" i="1"/>
  <c r="Z3062" i="1"/>
  <c r="Z3094" i="1"/>
  <c r="Z3126" i="1"/>
  <c r="Z3158" i="1"/>
  <c r="Z3190" i="1"/>
  <c r="Z3222" i="1"/>
  <c r="Z3254" i="1"/>
  <c r="Z3263" i="1"/>
  <c r="W3293" i="1"/>
  <c r="Z3414" i="1"/>
  <c r="Z3478" i="1"/>
  <c r="Z3503" i="1"/>
  <c r="W3567" i="1"/>
  <c r="W3603" i="1"/>
  <c r="W3690" i="1"/>
  <c r="W3698" i="1"/>
  <c r="W3808" i="1"/>
  <c r="W3955" i="1"/>
  <c r="W4151" i="1"/>
  <c r="Z4255" i="1"/>
  <c r="Z2677" i="1"/>
  <c r="Z2789" i="1"/>
  <c r="W2893" i="1"/>
  <c r="Z2918" i="1"/>
  <c r="W2957" i="1"/>
  <c r="Z2982" i="1"/>
  <c r="W3021" i="1"/>
  <c r="W3053" i="1"/>
  <c r="W3085" i="1"/>
  <c r="W3117" i="1"/>
  <c r="W3149" i="1"/>
  <c r="W3181" i="1"/>
  <c r="W3213" i="1"/>
  <c r="W3245" i="1"/>
  <c r="W3265" i="1"/>
  <c r="W3403" i="1"/>
  <c r="W3467" i="1"/>
  <c r="W3521" i="1"/>
  <c r="Z3580" i="1"/>
  <c r="Z3731" i="1"/>
  <c r="Z3768" i="1"/>
  <c r="W3798" i="1"/>
  <c r="W4021" i="1"/>
  <c r="W4188" i="1"/>
  <c r="Z2697" i="1"/>
  <c r="Z2801" i="1"/>
  <c r="Z2830" i="1"/>
  <c r="Z2862" i="1"/>
  <c r="Z2890" i="1"/>
  <c r="W2929" i="1"/>
  <c r="Z2954" i="1"/>
  <c r="W2993" i="1"/>
  <c r="Z3018" i="1"/>
  <c r="Z3050" i="1"/>
  <c r="Z3082" i="1"/>
  <c r="Z3114" i="1"/>
  <c r="Z3146" i="1"/>
  <c r="Z3178" i="1"/>
  <c r="Z3210" i="1"/>
  <c r="Z3242" i="1"/>
  <c r="W3301" i="1"/>
  <c r="Z3375" i="1"/>
  <c r="Z3439" i="1"/>
  <c r="Z3539" i="1"/>
  <c r="W3557" i="1"/>
  <c r="Z3590" i="1"/>
  <c r="W3825" i="1"/>
  <c r="Z3835" i="1"/>
  <c r="W3856" i="1"/>
  <c r="W3865" i="1"/>
  <c r="W3898" i="1"/>
  <c r="W4103" i="1"/>
  <c r="Z4512" i="1"/>
  <c r="Z4627" i="1"/>
  <c r="Z2717" i="1"/>
  <c r="Z2749" i="1"/>
  <c r="W2901" i="1"/>
  <c r="Z2926" i="1"/>
  <c r="W2965" i="1"/>
  <c r="Z2990" i="1"/>
  <c r="W3041" i="1"/>
  <c r="W3073" i="1"/>
  <c r="W3105" i="1"/>
  <c r="W3137" i="1"/>
  <c r="W3169" i="1"/>
  <c r="W3201" i="1"/>
  <c r="W3233" i="1"/>
  <c r="W3273" i="1"/>
  <c r="Z3315" i="1"/>
  <c r="Z3323" i="1"/>
  <c r="Z3331" i="1"/>
  <c r="Z3339" i="1"/>
  <c r="Z3347" i="1"/>
  <c r="W3357" i="1"/>
  <c r="W3421" i="1"/>
  <c r="W3485" i="1"/>
  <c r="Z3526" i="1"/>
  <c r="W3528" i="1"/>
  <c r="W3559" i="1"/>
  <c r="Z3623" i="1"/>
  <c r="W3643" i="1"/>
  <c r="W3707" i="1"/>
  <c r="W3805" i="1"/>
  <c r="Z3896" i="1"/>
  <c r="W4004" i="1"/>
  <c r="Z4021" i="1"/>
  <c r="W4397" i="1"/>
  <c r="Z4468" i="1"/>
  <c r="Z2673" i="1"/>
  <c r="Z2733" i="1"/>
  <c r="Z2761" i="1"/>
  <c r="Z2818" i="1"/>
  <c r="Z2850" i="1"/>
  <c r="W2873" i="1"/>
  <c r="Z2898" i="1"/>
  <c r="W2937" i="1"/>
  <c r="Z2962" i="1"/>
  <c r="W3001" i="1"/>
  <c r="Z3038" i="1"/>
  <c r="Z3070" i="1"/>
  <c r="Z3102" i="1"/>
  <c r="Z3134" i="1"/>
  <c r="Z3166" i="1"/>
  <c r="Z3198" i="1"/>
  <c r="Z3230" i="1"/>
  <c r="Z3279" i="1"/>
  <c r="W3309" i="1"/>
  <c r="W3317" i="1"/>
  <c r="W3325" i="1"/>
  <c r="W3333" i="1"/>
  <c r="W3341" i="1"/>
  <c r="W3349" i="1"/>
  <c r="W3364" i="1"/>
  <c r="W3428" i="1"/>
  <c r="W3492" i="1"/>
  <c r="W3549" i="1"/>
  <c r="W3566" i="1"/>
  <c r="Z3667" i="1"/>
  <c r="W3717" i="1"/>
  <c r="Z3728" i="1"/>
  <c r="Z3755" i="1"/>
  <c r="W3990" i="1"/>
  <c r="W4033" i="1"/>
  <c r="Z4062" i="1"/>
  <c r="Z4086" i="1"/>
  <c r="Z4273" i="1"/>
  <c r="W4631" i="1"/>
  <c r="W4013" i="1"/>
  <c r="Z4036" i="1"/>
  <c r="Z4170" i="1"/>
  <c r="Z4181" i="1"/>
  <c r="Z4224" i="1"/>
  <c r="W4304" i="1"/>
  <c r="W4317" i="1"/>
  <c r="W4365" i="1"/>
  <c r="Z4390" i="1"/>
  <c r="Z4410" i="1"/>
  <c r="W4468" i="1"/>
  <c r="W4532" i="1"/>
  <c r="Z5453" i="1"/>
  <c r="W4027" i="1"/>
  <c r="W4047" i="1"/>
  <c r="Z4070" i="1"/>
  <c r="W4092" i="1"/>
  <c r="Z4126" i="1"/>
  <c r="W4183" i="1"/>
  <c r="Z4208" i="1"/>
  <c r="Z4253" i="1"/>
  <c r="Z4266" i="1"/>
  <c r="Z4330" i="1"/>
  <c r="W4417" i="1"/>
  <c r="W4505" i="1"/>
  <c r="W4668" i="1"/>
  <c r="Z4692" i="1"/>
  <c r="Z4847" i="1"/>
  <c r="W4849" i="1"/>
  <c r="W4876" i="1"/>
  <c r="Z4987" i="1"/>
  <c r="W5282" i="1"/>
  <c r="W4055" i="1"/>
  <c r="W4128" i="1"/>
  <c r="W4196" i="1"/>
  <c r="Z4221" i="1"/>
  <c r="Z4250" i="1"/>
  <c r="W4260" i="1"/>
  <c r="W4324" i="1"/>
  <c r="Z4434" i="1"/>
  <c r="W4453" i="1"/>
  <c r="W4548" i="1"/>
  <c r="W4572" i="1"/>
  <c r="Z4708" i="1"/>
  <c r="W4928" i="1"/>
  <c r="W4982" i="1"/>
  <c r="W5024" i="1"/>
  <c r="W4710" i="1"/>
  <c r="Z4795" i="1"/>
  <c r="W4984" i="1"/>
  <c r="W5114" i="1"/>
  <c r="W4083" i="1"/>
  <c r="Z4218" i="1"/>
  <c r="W4228" i="1"/>
  <c r="Z4314" i="1"/>
  <c r="Z4362" i="1"/>
  <c r="Z4387" i="1"/>
  <c r="W4421" i="1"/>
  <c r="W4490" i="1"/>
  <c r="W4495" i="1"/>
  <c r="Z4507" i="1"/>
  <c r="Z4656" i="1"/>
  <c r="W4684" i="1"/>
  <c r="W4726" i="1"/>
  <c r="Z4839" i="1"/>
  <c r="W4871" i="1"/>
  <c r="W5123" i="1"/>
  <c r="W5272" i="1"/>
  <c r="W5803" i="1"/>
  <c r="Z3262" i="1"/>
  <c r="Z3266" i="1"/>
  <c r="Z3270" i="1"/>
  <c r="Z3274" i="1"/>
  <c r="Z3278" i="1"/>
  <c r="Z3282" i="1"/>
  <c r="Z3286" i="1"/>
  <c r="Z3290" i="1"/>
  <c r="Z3294" i="1"/>
  <c r="Z3298" i="1"/>
  <c r="Z3302" i="1"/>
  <c r="Z3306" i="1"/>
  <c r="Z3310" i="1"/>
  <c r="Z3314" i="1"/>
  <c r="Z3318" i="1"/>
  <c r="Z3322" i="1"/>
  <c r="Z3326" i="1"/>
  <c r="Z3330" i="1"/>
  <c r="Z3334" i="1"/>
  <c r="Z3338" i="1"/>
  <c r="Z3342" i="1"/>
  <c r="Z3346" i="1"/>
  <c r="Z3350" i="1"/>
  <c r="Z3354" i="1"/>
  <c r="W3382" i="1"/>
  <c r="Z3386" i="1"/>
  <c r="W3414" i="1"/>
  <c r="Z3418" i="1"/>
  <c r="W3446" i="1"/>
  <c r="Z3450" i="1"/>
  <c r="W3478" i="1"/>
  <c r="Z3482" i="1"/>
  <c r="W3496" i="1"/>
  <c r="Z3500" i="1"/>
  <c r="W3503" i="1"/>
  <c r="W3514" i="1"/>
  <c r="Z3518" i="1"/>
  <c r="W3546" i="1"/>
  <c r="Z3570" i="1"/>
  <c r="W3573" i="1"/>
  <c r="W3583" i="1"/>
  <c r="W3623" i="1"/>
  <c r="W3633" i="1"/>
  <c r="Z3647" i="1"/>
  <c r="W3650" i="1"/>
  <c r="W3687" i="1"/>
  <c r="W3697" i="1"/>
  <c r="Z3711" i="1"/>
  <c r="W3714" i="1"/>
  <c r="W3751" i="1"/>
  <c r="W3761" i="1"/>
  <c r="Z3775" i="1"/>
  <c r="W3778" i="1"/>
  <c r="W3815" i="1"/>
  <c r="W3847" i="1"/>
  <c r="W3850" i="1"/>
  <c r="W3853" i="1"/>
  <c r="W3883" i="1"/>
  <c r="W3886" i="1"/>
  <c r="W3963" i="1"/>
  <c r="W3966" i="1"/>
  <c r="Z3975" i="1"/>
  <c r="W3995" i="1"/>
  <c r="W3998" i="1"/>
  <c r="Z4007" i="1"/>
  <c r="Z4041" i="1"/>
  <c r="Z4055" i="1"/>
  <c r="W4089" i="1"/>
  <c r="Z4128" i="1"/>
  <c r="Z4133" i="1"/>
  <c r="Z4158" i="1"/>
  <c r="W4185" i="1"/>
  <c r="Z4196" i="1"/>
  <c r="Z4270" i="1"/>
  <c r="Z4301" i="1"/>
  <c r="W4349" i="1"/>
  <c r="W4404" i="1"/>
  <c r="W4443" i="1"/>
  <c r="W4455" i="1"/>
  <c r="Z4519" i="1"/>
  <c r="W4524" i="1"/>
  <c r="Z3724" i="1"/>
  <c r="Z3788" i="1"/>
  <c r="Z3828" i="1"/>
  <c r="W4063" i="1"/>
  <c r="W4077" i="1"/>
  <c r="Z4100" i="1"/>
  <c r="Z4120" i="1"/>
  <c r="W4147" i="1"/>
  <c r="Z4169" i="1"/>
  <c r="Z4185" i="1"/>
  <c r="Z4239" i="1"/>
  <c r="W4308" i="1"/>
  <c r="W4384" i="1"/>
  <c r="Z4389" i="1"/>
  <c r="W4614" i="1"/>
  <c r="Z4728" i="1"/>
  <c r="W3727" i="1"/>
  <c r="W3737" i="1"/>
  <c r="Z3751" i="1"/>
  <c r="W3754" i="1"/>
  <c r="W3791" i="1"/>
  <c r="W3801" i="1"/>
  <c r="Z3815" i="1"/>
  <c r="W3818" i="1"/>
  <c r="W3834" i="1"/>
  <c r="Z3847" i="1"/>
  <c r="W3871" i="1"/>
  <c r="W3874" i="1"/>
  <c r="Z3883" i="1"/>
  <c r="W3915" i="1"/>
  <c r="W3927" i="1"/>
  <c r="W3930" i="1"/>
  <c r="W3939" i="1"/>
  <c r="W3951" i="1"/>
  <c r="W3954" i="1"/>
  <c r="Z3963" i="1"/>
  <c r="W3983" i="1"/>
  <c r="W3986" i="1"/>
  <c r="Z3995" i="1"/>
  <c r="Z4018" i="1"/>
  <c r="Z4049" i="1"/>
  <c r="W4069" i="1"/>
  <c r="W4091" i="1"/>
  <c r="W4111" i="1"/>
  <c r="W4125" i="1"/>
  <c r="W4171" i="1"/>
  <c r="W4272" i="1"/>
  <c r="W4285" i="1"/>
  <c r="W4336" i="1"/>
  <c r="Z4349" i="1"/>
  <c r="W4423" i="1"/>
  <c r="Z4455" i="1"/>
  <c r="Z4744" i="1"/>
  <c r="W4920" i="1"/>
  <c r="Z4951" i="1"/>
  <c r="Z5047" i="1"/>
  <c r="W5102" i="1"/>
  <c r="W5251" i="1"/>
  <c r="Z5553" i="1"/>
  <c r="Z5581" i="1"/>
  <c r="Z3859" i="1"/>
  <c r="W3903" i="1"/>
  <c r="W3906" i="1"/>
  <c r="W3918" i="1"/>
  <c r="W3942" i="1"/>
  <c r="W4097" i="1"/>
  <c r="Z4182" i="1"/>
  <c r="Z4198" i="1"/>
  <c r="Z4298" i="1"/>
  <c r="Z4384" i="1"/>
  <c r="W4445" i="1"/>
  <c r="Z4467" i="1"/>
  <c r="W4599" i="1"/>
  <c r="Z2805" i="1"/>
  <c r="Z2809" i="1"/>
  <c r="Z2813" i="1"/>
  <c r="Z2817" i="1"/>
  <c r="Z2821" i="1"/>
  <c r="Z2825" i="1"/>
  <c r="Z2829" i="1"/>
  <c r="Z2833" i="1"/>
  <c r="Z2837" i="1"/>
  <c r="Z2841" i="1"/>
  <c r="Z2845" i="1"/>
  <c r="Z2849" i="1"/>
  <c r="Z2853" i="1"/>
  <c r="Z2857" i="1"/>
  <c r="Z2861" i="1"/>
  <c r="Z2865" i="1"/>
  <c r="Z2869" i="1"/>
  <c r="Z2873" i="1"/>
  <c r="Z2877" i="1"/>
  <c r="Z2881" i="1"/>
  <c r="Z2885" i="1"/>
  <c r="Z2889" i="1"/>
  <c r="Z2893" i="1"/>
  <c r="Z2897" i="1"/>
  <c r="Z2901" i="1"/>
  <c r="Z2905" i="1"/>
  <c r="Z2909" i="1"/>
  <c r="Z2913" i="1"/>
  <c r="Z2917" i="1"/>
  <c r="Z2921" i="1"/>
  <c r="Z2925" i="1"/>
  <c r="Z2929" i="1"/>
  <c r="Z2933" i="1"/>
  <c r="Z2937" i="1"/>
  <c r="Z2941" i="1"/>
  <c r="Z2945" i="1"/>
  <c r="Z2949" i="1"/>
  <c r="Z2953" i="1"/>
  <c r="Z2957" i="1"/>
  <c r="Z2961" i="1"/>
  <c r="Z2965" i="1"/>
  <c r="Z2969" i="1"/>
  <c r="Z2973" i="1"/>
  <c r="Z2977" i="1"/>
  <c r="Z2981" i="1"/>
  <c r="Z2985" i="1"/>
  <c r="Z2989" i="1"/>
  <c r="Z2993" i="1"/>
  <c r="Z2997" i="1"/>
  <c r="Z3001" i="1"/>
  <c r="Z3005" i="1"/>
  <c r="Z3009" i="1"/>
  <c r="Z3013" i="1"/>
  <c r="Z3017" i="1"/>
  <c r="W4028" i="1"/>
  <c r="W4119" i="1"/>
  <c r="W4168" i="1"/>
  <c r="W4184" i="1"/>
  <c r="W4195" i="1"/>
  <c r="Z4254" i="1"/>
  <c r="Z4285" i="1"/>
  <c r="Z4303" i="1"/>
  <c r="Z4318" i="1"/>
  <c r="Z4423" i="1"/>
  <c r="Z4450" i="1"/>
  <c r="W4566" i="1"/>
  <c r="W4764" i="1"/>
  <c r="W5035" i="1"/>
  <c r="Z3676" i="1"/>
  <c r="Z3740" i="1"/>
  <c r="Z3804" i="1"/>
  <c r="Z3824" i="1"/>
  <c r="Z3840" i="1"/>
  <c r="Z4085" i="1"/>
  <c r="W4124" i="1"/>
  <c r="W4157" i="1"/>
  <c r="Z4238" i="1"/>
  <c r="W4292" i="1"/>
  <c r="Z4346" i="1"/>
  <c r="Z4386" i="1"/>
  <c r="W4393" i="1"/>
  <c r="W4452" i="1"/>
  <c r="Z4679" i="1"/>
  <c r="Z4723" i="1"/>
  <c r="Z4739" i="1"/>
  <c r="W5150" i="1"/>
  <c r="W5516" i="1"/>
  <c r="W3679" i="1"/>
  <c r="W3689" i="1"/>
  <c r="Z3703" i="1"/>
  <c r="W3706" i="1"/>
  <c r="W3743" i="1"/>
  <c r="W3753" i="1"/>
  <c r="Z3767" i="1"/>
  <c r="W3770" i="1"/>
  <c r="W3807" i="1"/>
  <c r="W3817" i="1"/>
  <c r="W3830" i="1"/>
  <c r="W3855" i="1"/>
  <c r="W3858" i="1"/>
  <c r="W4129" i="1"/>
  <c r="W4211" i="1"/>
  <c r="Z4222" i="1"/>
  <c r="W4256" i="1"/>
  <c r="W4269" i="1"/>
  <c r="W4320" i="1"/>
  <c r="W4333" i="1"/>
  <c r="W4368" i="1"/>
  <c r="W4388" i="1"/>
  <c r="W4408" i="1"/>
  <c r="Z4418" i="1"/>
  <c r="Z4511" i="1"/>
  <c r="W4513" i="1"/>
  <c r="Z4571" i="1"/>
  <c r="W4630" i="1"/>
  <c r="Z4764" i="1"/>
  <c r="W4861" i="1"/>
  <c r="W4908" i="1"/>
  <c r="Z4028" i="1"/>
  <c r="W4048" i="1"/>
  <c r="Z4071" i="1"/>
  <c r="Z4105" i="1"/>
  <c r="Z4119" i="1"/>
  <c r="Z4127" i="1"/>
  <c r="Z4168" i="1"/>
  <c r="Z4195" i="1"/>
  <c r="W4240" i="1"/>
  <c r="Z4282" i="1"/>
  <c r="Z4393" i="1"/>
  <c r="Z4413" i="1"/>
  <c r="W4420" i="1"/>
  <c r="W4476" i="1"/>
  <c r="Z4528" i="1"/>
  <c r="Z4547" i="1"/>
  <c r="W4551" i="1"/>
  <c r="W4589" i="1"/>
  <c r="W4697" i="1"/>
  <c r="W5090" i="1"/>
  <c r="W4019" i="1"/>
  <c r="W4159" i="1"/>
  <c r="W4208" i="1"/>
  <c r="W4224" i="1"/>
  <c r="Z4269" i="1"/>
  <c r="Z4287" i="1"/>
  <c r="Z4302" i="1"/>
  <c r="Z4333" i="1"/>
  <c r="W4501" i="1"/>
  <c r="W4535" i="1"/>
  <c r="Z4587" i="1"/>
  <c r="Z4632" i="1"/>
  <c r="Z4695" i="1"/>
  <c r="Z4780" i="1"/>
  <c r="W5032" i="1"/>
  <c r="W5147" i="1"/>
  <c r="Z5496" i="1"/>
  <c r="Z4240" i="1"/>
  <c r="W4276" i="1"/>
  <c r="W4715" i="1"/>
  <c r="W4798" i="1"/>
  <c r="W4800" i="1"/>
  <c r="W5071" i="1"/>
  <c r="Z5462" i="1"/>
  <c r="W4633" i="1"/>
  <c r="W4662" i="1"/>
  <c r="W4811" i="1"/>
  <c r="W4830" i="1"/>
  <c r="W4862" i="1"/>
  <c r="Z4919" i="1"/>
  <c r="W5134" i="1"/>
  <c r="W5160" i="1"/>
  <c r="W5172" i="1"/>
  <c r="Z5203" i="1"/>
  <c r="Z5243" i="1"/>
  <c r="W5278" i="1"/>
  <c r="W5306" i="1"/>
  <c r="W5674" i="1"/>
  <c r="Z5701" i="1"/>
  <c r="W4400" i="1"/>
  <c r="Z4427" i="1"/>
  <c r="Z4459" i="1"/>
  <c r="Z4555" i="1"/>
  <c r="W4617" i="1"/>
  <c r="W4651" i="1"/>
  <c r="W4700" i="1"/>
  <c r="W4742" i="1"/>
  <c r="W4990" i="1"/>
  <c r="W5003" i="1"/>
  <c r="W5050" i="1"/>
  <c r="W5086" i="1"/>
  <c r="Z5191" i="1"/>
  <c r="W5212" i="1"/>
  <c r="W5315" i="1"/>
  <c r="W5371" i="1"/>
  <c r="Z5472" i="1"/>
  <c r="W4412" i="1"/>
  <c r="W4560" i="1"/>
  <c r="W4713" i="1"/>
  <c r="W4731" i="1"/>
  <c r="W4780" i="1"/>
  <c r="W4808" i="1"/>
  <c r="W5435" i="1"/>
  <c r="Z5604" i="1"/>
  <c r="W4340" i="1"/>
  <c r="W4356" i="1"/>
  <c r="W4372" i="1"/>
  <c r="W4441" i="1"/>
  <c r="W4511" i="1"/>
  <c r="W4530" i="1"/>
  <c r="W4582" i="1"/>
  <c r="W4587" i="1"/>
  <c r="W4646" i="1"/>
  <c r="Z4791" i="1"/>
  <c r="W4793" i="1"/>
  <c r="Z4811" i="1"/>
  <c r="Z4827" i="1"/>
  <c r="W4854" i="1"/>
  <c r="Z4859" i="1"/>
  <c r="W4926" i="1"/>
  <c r="W4939" i="1"/>
  <c r="Z4947" i="1"/>
  <c r="W4954" i="1"/>
  <c r="W4972" i="1"/>
  <c r="Z5015" i="1"/>
  <c r="W5083" i="1"/>
  <c r="Z5179" i="1"/>
  <c r="W5247" i="1"/>
  <c r="W5275" i="1"/>
  <c r="W5492" i="1"/>
  <c r="W5642" i="1"/>
  <c r="W5727" i="1"/>
  <c r="Z5765" i="1"/>
  <c r="W4396" i="1"/>
  <c r="Z4438" i="1"/>
  <c r="Z4508" i="1"/>
  <c r="Z4535" i="1"/>
  <c r="W4557" i="1"/>
  <c r="W4565" i="1"/>
  <c r="W4777" i="1"/>
  <c r="W4918" i="1"/>
  <c r="W5022" i="1"/>
  <c r="W5059" i="1"/>
  <c r="Z5095" i="1"/>
  <c r="W5214" i="1"/>
  <c r="W5242" i="1"/>
  <c r="Z5303" i="1"/>
  <c r="W5610" i="1"/>
  <c r="Z5720" i="1"/>
  <c r="W5796" i="1"/>
  <c r="Z4426" i="1"/>
  <c r="Z4458" i="1"/>
  <c r="Z4483" i="1"/>
  <c r="W4681" i="1"/>
  <c r="W4699" i="1"/>
  <c r="W4748" i="1"/>
  <c r="W4790" i="1"/>
  <c r="W4868" i="1"/>
  <c r="W5135" i="1"/>
  <c r="W5166" i="1"/>
  <c r="W5300" i="1"/>
  <c r="Z5328" i="1"/>
  <c r="W5448" i="1"/>
  <c r="W5648" i="1"/>
  <c r="Z4420" i="1"/>
  <c r="Z4452" i="1"/>
  <c r="Z4491" i="1"/>
  <c r="W4761" i="1"/>
  <c r="W4779" i="1"/>
  <c r="W4807" i="1"/>
  <c r="Z4851" i="1"/>
  <c r="W5178" i="1"/>
  <c r="W5211" i="1"/>
  <c r="W5502" i="1"/>
  <c r="Z4256" i="1"/>
  <c r="Z4272" i="1"/>
  <c r="Z4288" i="1"/>
  <c r="Z4304" i="1"/>
  <c r="Z4320" i="1"/>
  <c r="Z4336" i="1"/>
  <c r="Z4352" i="1"/>
  <c r="Z4368" i="1"/>
  <c r="W4380" i="1"/>
  <c r="Z4408" i="1"/>
  <c r="W4434" i="1"/>
  <c r="Z4446" i="1"/>
  <c r="W4466" i="1"/>
  <c r="W4496" i="1"/>
  <c r="Z4548" i="1"/>
  <c r="Z4611" i="1"/>
  <c r="W4652" i="1"/>
  <c r="W4694" i="1"/>
  <c r="W4846" i="1"/>
  <c r="W4853" i="1"/>
  <c r="W4958" i="1"/>
  <c r="W4971" i="1"/>
  <c r="Z4979" i="1"/>
  <c r="W4986" i="1"/>
  <c r="Z5063" i="1"/>
  <c r="Z5075" i="1"/>
  <c r="Z5111" i="1"/>
  <c r="Z5159" i="1"/>
  <c r="W5199" i="1"/>
  <c r="Z5307" i="1"/>
  <c r="W5323" i="1"/>
  <c r="Z5379" i="1"/>
  <c r="Z5411" i="1"/>
  <c r="Z5418" i="1"/>
  <c r="W4220" i="1"/>
  <c r="W4236" i="1"/>
  <c r="W4252" i="1"/>
  <c r="W4268" i="1"/>
  <c r="W4284" i="1"/>
  <c r="W4300" i="1"/>
  <c r="W4316" i="1"/>
  <c r="W4332" i="1"/>
  <c r="W4348" i="1"/>
  <c r="W4364" i="1"/>
  <c r="W4392" i="1"/>
  <c r="W4518" i="1"/>
  <c r="W4523" i="1"/>
  <c r="W4575" i="1"/>
  <c r="W4594" i="1"/>
  <c r="W4647" i="1"/>
  <c r="W4665" i="1"/>
  <c r="W4683" i="1"/>
  <c r="W4732" i="1"/>
  <c r="W4774" i="1"/>
  <c r="Z5051" i="1"/>
  <c r="W5154" i="1"/>
  <c r="W5187" i="1"/>
  <c r="W5218" i="1"/>
  <c r="Z5267" i="1"/>
  <c r="W5276" i="1"/>
  <c r="Z5459" i="1"/>
  <c r="Z5466" i="1"/>
  <c r="Z5489" i="1"/>
  <c r="W5616" i="1"/>
  <c r="W5748" i="1"/>
  <c r="W5835" i="1"/>
  <c r="W4745" i="1"/>
  <c r="W4763" i="1"/>
  <c r="W4804" i="1"/>
  <c r="W4875" i="1"/>
  <c r="W4894" i="1"/>
  <c r="W4907" i="1"/>
  <c r="W4922" i="1"/>
  <c r="W4940" i="1"/>
  <c r="W5070" i="1"/>
  <c r="W5096" i="1"/>
  <c r="W5108" i="1"/>
  <c r="Z5239" i="1"/>
  <c r="W5367" i="1"/>
  <c r="W5506" i="1"/>
  <c r="W5576" i="1"/>
  <c r="Z5668" i="1"/>
  <c r="W5679" i="1"/>
  <c r="Z5706" i="1"/>
  <c r="Z5833" i="1"/>
  <c r="W4035" i="1"/>
  <c r="W4099" i="1"/>
  <c r="W4207" i="1"/>
  <c r="W4416" i="1"/>
  <c r="Z4583" i="1"/>
  <c r="W4615" i="1"/>
  <c r="W4636" i="1"/>
  <c r="Z4652" i="1"/>
  <c r="W4678" i="1"/>
  <c r="Z4787" i="1"/>
  <c r="W4950" i="1"/>
  <c r="W5311" i="1"/>
  <c r="W5334" i="1"/>
  <c r="Z5358" i="1"/>
  <c r="W5479" i="1"/>
  <c r="W5486" i="1"/>
  <c r="W4553" i="1"/>
  <c r="Z4572" i="1"/>
  <c r="Z4599" i="1"/>
  <c r="W4620" i="1"/>
  <c r="W4649" i="1"/>
  <c r="W4667" i="1"/>
  <c r="W4716" i="1"/>
  <c r="W4758" i="1"/>
  <c r="W4872" i="1"/>
  <c r="W4935" i="1"/>
  <c r="Z4983" i="1"/>
  <c r="Z5127" i="1"/>
  <c r="Z5139" i="1"/>
  <c r="Z5175" i="1"/>
  <c r="W5236" i="1"/>
  <c r="W5408" i="1"/>
  <c r="Z5415" i="1"/>
  <c r="Z5741" i="1"/>
  <c r="W5828" i="1"/>
  <c r="W4216" i="1"/>
  <c r="W4232" i="1"/>
  <c r="W4248" i="1"/>
  <c r="W4264" i="1"/>
  <c r="W4280" i="1"/>
  <c r="W4296" i="1"/>
  <c r="W4312" i="1"/>
  <c r="W4328" i="1"/>
  <c r="W4344" i="1"/>
  <c r="W4360" i="1"/>
  <c r="W4376" i="1"/>
  <c r="Z4442" i="1"/>
  <c r="W4484" i="1"/>
  <c r="Z4520" i="1"/>
  <c r="W4577" i="1"/>
  <c r="Z4631" i="1"/>
  <c r="Z4727" i="1"/>
  <c r="W4729" i="1"/>
  <c r="W4747" i="1"/>
  <c r="W4799" i="1"/>
  <c r="Z4843" i="1"/>
  <c r="W4850" i="1"/>
  <c r="W4857" i="1"/>
  <c r="Z4875" i="1"/>
  <c r="Z4891" i="1"/>
  <c r="Z5011" i="1"/>
  <c r="W5018" i="1"/>
  <c r="Z5115" i="1"/>
  <c r="Z5636" i="1"/>
  <c r="W4914" i="1"/>
  <c r="W4946" i="1"/>
  <c r="W4978" i="1"/>
  <c r="W5010" i="1"/>
  <c r="W5042" i="1"/>
  <c r="Z5059" i="1"/>
  <c r="W5098" i="1"/>
  <c r="Z5123" i="1"/>
  <c r="W5162" i="1"/>
  <c r="Z5187" i="1"/>
  <c r="W5226" i="1"/>
  <c r="Z5251" i="1"/>
  <c r="W5290" i="1"/>
  <c r="Z5315" i="1"/>
  <c r="Z5334" i="1"/>
  <c r="W5356" i="1"/>
  <c r="Z5479" i="1"/>
  <c r="W5606" i="1"/>
  <c r="Z5616" i="1"/>
  <c r="W5638" i="1"/>
  <c r="Z5648" i="1"/>
  <c r="W5670" i="1"/>
  <c r="W5711" i="1"/>
  <c r="W5756" i="1"/>
  <c r="Z5813" i="1"/>
  <c r="W5847" i="1"/>
  <c r="W5198" i="1"/>
  <c r="Z5223" i="1"/>
  <c r="W5262" i="1"/>
  <c r="Z5287" i="1"/>
  <c r="Z5326" i="1"/>
  <c r="W5345" i="1"/>
  <c r="Z5364" i="1"/>
  <c r="W5382" i="1"/>
  <c r="Z5469" i="1"/>
  <c r="W5519" i="1"/>
  <c r="W5751" i="1"/>
  <c r="W5780" i="1"/>
  <c r="Z5845" i="1"/>
  <c r="W4902" i="1"/>
  <c r="W4934" i="1"/>
  <c r="W4966" i="1"/>
  <c r="W4998" i="1"/>
  <c r="W5004" i="1"/>
  <c r="W5030" i="1"/>
  <c r="W5036" i="1"/>
  <c r="W5056" i="1"/>
  <c r="Z5067" i="1"/>
  <c r="W5095" i="1"/>
  <c r="W5106" i="1"/>
  <c r="W5120" i="1"/>
  <c r="Z5131" i="1"/>
  <c r="W5159" i="1"/>
  <c r="W5170" i="1"/>
  <c r="W5184" i="1"/>
  <c r="Z5195" i="1"/>
  <c r="W5223" i="1"/>
  <c r="W5234" i="1"/>
  <c r="W5248" i="1"/>
  <c r="Z5259" i="1"/>
  <c r="W5287" i="1"/>
  <c r="W5298" i="1"/>
  <c r="W5312" i="1"/>
  <c r="W5400" i="1"/>
  <c r="W5418" i="1"/>
  <c r="Z5499" i="1"/>
  <c r="Z5557" i="1"/>
  <c r="W5559" i="1"/>
  <c r="Z5577" i="1"/>
  <c r="Z5692" i="1"/>
  <c r="W5775" i="1"/>
  <c r="W5808" i="1"/>
  <c r="Z4430" i="1"/>
  <c r="Z4462" i="1"/>
  <c r="Z4503" i="1"/>
  <c r="Z4567" i="1"/>
  <c r="Z4799" i="1"/>
  <c r="Z4863" i="1"/>
  <c r="Z4911" i="1"/>
  <c r="Z4943" i="1"/>
  <c r="Z4975" i="1"/>
  <c r="Z5007" i="1"/>
  <c r="Z5039" i="1"/>
  <c r="W5078" i="1"/>
  <c r="Z5103" i="1"/>
  <c r="W5142" i="1"/>
  <c r="Z5167" i="1"/>
  <c r="W5206" i="1"/>
  <c r="Z5231" i="1"/>
  <c r="W5270" i="1"/>
  <c r="Z5295" i="1"/>
  <c r="Z5323" i="1"/>
  <c r="Z5345" i="1"/>
  <c r="W5390" i="1"/>
  <c r="Z5408" i="1"/>
  <c r="W5428" i="1"/>
  <c r="W5438" i="1"/>
  <c r="W5499" i="1"/>
  <c r="Z5519" i="1"/>
  <c r="W5539" i="1"/>
  <c r="W5692" i="1"/>
  <c r="Z5801" i="1"/>
  <c r="W4910" i="1"/>
  <c r="W4916" i="1"/>
  <c r="W4942" i="1"/>
  <c r="W4948" i="1"/>
  <c r="W4974" i="1"/>
  <c r="W4980" i="1"/>
  <c r="W5006" i="1"/>
  <c r="W5012" i="1"/>
  <c r="W5038" i="1"/>
  <c r="W5044" i="1"/>
  <c r="W5058" i="1"/>
  <c r="W5072" i="1"/>
  <c r="Z5083" i="1"/>
  <c r="W5111" i="1"/>
  <c r="W5122" i="1"/>
  <c r="W5136" i="1"/>
  <c r="Z5147" i="1"/>
  <c r="W5175" i="1"/>
  <c r="W5186" i="1"/>
  <c r="W5200" i="1"/>
  <c r="Z5211" i="1"/>
  <c r="W5239" i="1"/>
  <c r="W5250" i="1"/>
  <c r="W5264" i="1"/>
  <c r="Z5275" i="1"/>
  <c r="W5303" i="1"/>
  <c r="W5314" i="1"/>
  <c r="W5322" i="1"/>
  <c r="Z5387" i="1"/>
  <c r="W5407" i="1"/>
  <c r="W5455" i="1"/>
  <c r="W5496" i="1"/>
  <c r="Z5516" i="1"/>
  <c r="W5556" i="1"/>
  <c r="Z5564" i="1"/>
  <c r="W5566" i="1"/>
  <c r="W5583" i="1"/>
  <c r="Z5689" i="1"/>
  <c r="W5703" i="1"/>
  <c r="W5743" i="1"/>
  <c r="W5772" i="1"/>
  <c r="Z5789" i="1"/>
  <c r="W5891" i="1"/>
  <c r="Z4422" i="1"/>
  <c r="Z4454" i="1"/>
  <c r="Z5055" i="1"/>
  <c r="W5094" i="1"/>
  <c r="Z5119" i="1"/>
  <c r="W5158" i="1"/>
  <c r="Z5183" i="1"/>
  <c r="W5222" i="1"/>
  <c r="Z5247" i="1"/>
  <c r="W5286" i="1"/>
  <c r="Z5311" i="1"/>
  <c r="W5341" i="1"/>
  <c r="Z5397" i="1"/>
  <c r="Z5435" i="1"/>
  <c r="Z5506" i="1"/>
  <c r="W5526" i="1"/>
  <c r="W5536" i="1"/>
  <c r="Z5722" i="1"/>
  <c r="W5767" i="1"/>
  <c r="W5791" i="1"/>
  <c r="W4898" i="1"/>
  <c r="W4930" i="1"/>
  <c r="W4962" i="1"/>
  <c r="W4994" i="1"/>
  <c r="W5026" i="1"/>
  <c r="W5066" i="1"/>
  <c r="Z5091" i="1"/>
  <c r="W5130" i="1"/>
  <c r="Z5155" i="1"/>
  <c r="W5194" i="1"/>
  <c r="Z5219" i="1"/>
  <c r="W5258" i="1"/>
  <c r="Z5283" i="1"/>
  <c r="Z5330" i="1"/>
  <c r="W5352" i="1"/>
  <c r="Z5455" i="1"/>
  <c r="W5475" i="1"/>
  <c r="W5546" i="1"/>
  <c r="Z5583" i="1"/>
  <c r="Z5600" i="1"/>
  <c r="W5622" i="1"/>
  <c r="Z5632" i="1"/>
  <c r="W5654" i="1"/>
  <c r="Z5664" i="1"/>
  <c r="Z5821" i="1"/>
  <c r="W5823" i="1"/>
  <c r="W5230" i="1"/>
  <c r="Z5255" i="1"/>
  <c r="W5294" i="1"/>
  <c r="Z5319" i="1"/>
  <c r="W5360" i="1"/>
  <c r="Z5368" i="1"/>
  <c r="W5386" i="1"/>
  <c r="Z5526" i="1"/>
  <c r="Z5536" i="1"/>
  <c r="W5590" i="1"/>
  <c r="W5875" i="1"/>
  <c r="W5014" i="1"/>
  <c r="W5046" i="1"/>
  <c r="W5074" i="1"/>
  <c r="Z5099" i="1"/>
  <c r="W5138" i="1"/>
  <c r="Z5163" i="1"/>
  <c r="W5202" i="1"/>
  <c r="Z5227" i="1"/>
  <c r="W5266" i="1"/>
  <c r="Z5291" i="1"/>
  <c r="Z5349" i="1"/>
  <c r="Z5404" i="1"/>
  <c r="W5414" i="1"/>
  <c r="Z5425" i="1"/>
  <c r="Z5432" i="1"/>
  <c r="Z5493" i="1"/>
  <c r="W5495" i="1"/>
  <c r="Z5563" i="1"/>
  <c r="W5719" i="1"/>
  <c r="W5740" i="1"/>
  <c r="W4663" i="1"/>
  <c r="W4679" i="1"/>
  <c r="W4695" i="1"/>
  <c r="W4711" i="1"/>
  <c r="W4727" i="1"/>
  <c r="W4743" i="1"/>
  <c r="W4759" i="1"/>
  <c r="W4775" i="1"/>
  <c r="W4791" i="1"/>
  <c r="Z4831" i="1"/>
  <c r="W4837" i="1"/>
  <c r="W4852" i="1"/>
  <c r="W4855" i="1"/>
  <c r="Z4895" i="1"/>
  <c r="W4915" i="1"/>
  <c r="Z4927" i="1"/>
  <c r="W4947" i="1"/>
  <c r="Z4959" i="1"/>
  <c r="W4979" i="1"/>
  <c r="Z4991" i="1"/>
  <c r="W5011" i="1"/>
  <c r="Z5023" i="1"/>
  <c r="W5043" i="1"/>
  <c r="W5060" i="1"/>
  <c r="Z5071" i="1"/>
  <c r="W5099" i="1"/>
  <c r="W5110" i="1"/>
  <c r="W5124" i="1"/>
  <c r="Z5135" i="1"/>
  <c r="W5163" i="1"/>
  <c r="W5174" i="1"/>
  <c r="W5188" i="1"/>
  <c r="Z5199" i="1"/>
  <c r="W5227" i="1"/>
  <c r="W5238" i="1"/>
  <c r="W5252" i="1"/>
  <c r="Z5263" i="1"/>
  <c r="W5291" i="1"/>
  <c r="W5302" i="1"/>
  <c r="W5316" i="1"/>
  <c r="W5335" i="1"/>
  <c r="Z5360" i="1"/>
  <c r="Z5386" i="1"/>
  <c r="Z5394" i="1"/>
  <c r="W5404" i="1"/>
  <c r="W5432" i="1"/>
  <c r="Z5452" i="1"/>
  <c r="Z5503" i="1"/>
  <c r="Z5543" i="1"/>
  <c r="W5563" i="1"/>
  <c r="Z5580" i="1"/>
  <c r="Z5590" i="1"/>
  <c r="W5683" i="1"/>
  <c r="W5700" i="1"/>
  <c r="Z5712" i="1"/>
  <c r="W5764" i="1"/>
  <c r="W5859" i="1"/>
  <c r="W4906" i="1"/>
  <c r="W4938" i="1"/>
  <c r="W4970" i="1"/>
  <c r="W5002" i="1"/>
  <c r="W5034" i="1"/>
  <c r="W5082" i="1"/>
  <c r="Z5107" i="1"/>
  <c r="W5146" i="1"/>
  <c r="Z5171" i="1"/>
  <c r="W5210" i="1"/>
  <c r="W5224" i="1"/>
  <c r="Z5235" i="1"/>
  <c r="W5263" i="1"/>
  <c r="W5274" i="1"/>
  <c r="W5288" i="1"/>
  <c r="Z5299" i="1"/>
  <c r="Z5327" i="1"/>
  <c r="Z5338" i="1"/>
  <c r="Z5357" i="1"/>
  <c r="Z5365" i="1"/>
  <c r="W5383" i="1"/>
  <c r="W5422" i="1"/>
  <c r="Z5442" i="1"/>
  <c r="W5452" i="1"/>
  <c r="W5462" i="1"/>
  <c r="W5472" i="1"/>
  <c r="Z5513" i="1"/>
  <c r="Z5523" i="1"/>
  <c r="Z5533" i="1"/>
  <c r="W5543" i="1"/>
  <c r="W5580" i="1"/>
  <c r="W5695" i="1"/>
  <c r="W5735" i="1"/>
  <c r="W5759" i="1"/>
  <c r="W5788" i="1"/>
  <c r="Z5857" i="1"/>
  <c r="Z5043" i="1"/>
  <c r="W5054" i="1"/>
  <c r="Z5079" i="1"/>
  <c r="W5118" i="1"/>
  <c r="Z5143" i="1"/>
  <c r="W5182" i="1"/>
  <c r="Z5207" i="1"/>
  <c r="W5246" i="1"/>
  <c r="Z5271" i="1"/>
  <c r="W5310" i="1"/>
  <c r="W5375" i="1"/>
  <c r="W5442" i="1"/>
  <c r="W5482" i="1"/>
  <c r="Z5560" i="1"/>
  <c r="W5619" i="1"/>
  <c r="Z5629" i="1"/>
  <c r="W5651" i="1"/>
  <c r="Z5661" i="1"/>
  <c r="Z5714" i="1"/>
  <c r="W5783" i="1"/>
  <c r="W5811" i="1"/>
  <c r="W5820" i="1"/>
  <c r="W5062" i="1"/>
  <c r="Z5087" i="1"/>
  <c r="W5126" i="1"/>
  <c r="Z5151" i="1"/>
  <c r="W5190" i="1"/>
  <c r="Z5215" i="1"/>
  <c r="W5254" i="1"/>
  <c r="Z5279" i="1"/>
  <c r="W5318" i="1"/>
  <c r="W5326" i="1"/>
  <c r="W5337" i="1"/>
  <c r="Z5375" i="1"/>
  <c r="W5431" i="1"/>
  <c r="W5512" i="1"/>
  <c r="Z5570" i="1"/>
  <c r="Z5680" i="1"/>
  <c r="Z5728" i="1"/>
  <c r="Z5740" i="1"/>
  <c r="Z5748" i="1"/>
  <c r="Z5756" i="1"/>
  <c r="Z5764" i="1"/>
  <c r="Z5772" i="1"/>
  <c r="Z5780" i="1"/>
  <c r="Z5793" i="1"/>
  <c r="W5815" i="1"/>
  <c r="Z5825" i="1"/>
  <c r="Z5861" i="1"/>
  <c r="W5863" i="1"/>
  <c r="W5879" i="1"/>
  <c r="W5895" i="1"/>
  <c r="Z5341" i="1"/>
  <c r="Z5393" i="1"/>
  <c r="Z5445" i="1"/>
  <c r="Z5509" i="1"/>
  <c r="Z5573" i="1"/>
  <c r="Z5732" i="1"/>
  <c r="W5827" i="1"/>
  <c r="Z5849" i="1"/>
  <c r="W5851" i="1"/>
  <c r="Z5322" i="1"/>
  <c r="Z5337" i="1"/>
  <c r="W5348" i="1"/>
  <c r="Z5356" i="1"/>
  <c r="W5363" i="1"/>
  <c r="Z5371" i="1"/>
  <c r="W5378" i="1"/>
  <c r="W5396" i="1"/>
  <c r="Z5400" i="1"/>
  <c r="W5403" i="1"/>
  <c r="Z5407" i="1"/>
  <c r="Z5428" i="1"/>
  <c r="W5451" i="1"/>
  <c r="W5458" i="1"/>
  <c r="W5468" i="1"/>
  <c r="Z5475" i="1"/>
  <c r="Z5492" i="1"/>
  <c r="W5515" i="1"/>
  <c r="W5522" i="1"/>
  <c r="W5532" i="1"/>
  <c r="Z5539" i="1"/>
  <c r="Z5556" i="1"/>
  <c r="W5579" i="1"/>
  <c r="W5586" i="1"/>
  <c r="W5596" i="1"/>
  <c r="W5599" i="1"/>
  <c r="W5612" i="1"/>
  <c r="W5615" i="1"/>
  <c r="W5628" i="1"/>
  <c r="W5631" i="1"/>
  <c r="W5644" i="1"/>
  <c r="W5647" i="1"/>
  <c r="W5660" i="1"/>
  <c r="W5663" i="1"/>
  <c r="W5676" i="1"/>
  <c r="W5682" i="1"/>
  <c r="W5691" i="1"/>
  <c r="Z5700" i="1"/>
  <c r="W5708" i="1"/>
  <c r="Z5716" i="1"/>
  <c r="Z5724" i="1"/>
  <c r="W5732" i="1"/>
  <c r="W5795" i="1"/>
  <c r="Z5805" i="1"/>
  <c r="Z5837" i="1"/>
  <c r="W5839" i="1"/>
  <c r="Z4466" i="1"/>
  <c r="Z4470" i="1"/>
  <c r="Z4474" i="1"/>
  <c r="Z4478" i="1"/>
  <c r="Z4482" i="1"/>
  <c r="Z4486" i="1"/>
  <c r="Z4490" i="1"/>
  <c r="Z4494" i="1"/>
  <c r="Z4498" i="1"/>
  <c r="Z4502" i="1"/>
  <c r="Z4506" i="1"/>
  <c r="Z4510" i="1"/>
  <c r="Z4514" i="1"/>
  <c r="Z4518" i="1"/>
  <c r="Z4522" i="1"/>
  <c r="Z4526" i="1"/>
  <c r="Z4530" i="1"/>
  <c r="Z4534" i="1"/>
  <c r="Z4538" i="1"/>
  <c r="Z4542" i="1"/>
  <c r="Z4546" i="1"/>
  <c r="Z4550" i="1"/>
  <c r="Z4554" i="1"/>
  <c r="Z4558" i="1"/>
  <c r="Z4562" i="1"/>
  <c r="Z4566" i="1"/>
  <c r="Z4570" i="1"/>
  <c r="Z4574" i="1"/>
  <c r="Z4578" i="1"/>
  <c r="Z4582" i="1"/>
  <c r="Z4586" i="1"/>
  <c r="Z4590" i="1"/>
  <c r="Z4594" i="1"/>
  <c r="Z4598" i="1"/>
  <c r="Z4602" i="1"/>
  <c r="Z4606" i="1"/>
  <c r="Z4610" i="1"/>
  <c r="Z4614" i="1"/>
  <c r="Z4618" i="1"/>
  <c r="Z4622" i="1"/>
  <c r="Z4626" i="1"/>
  <c r="Z4630" i="1"/>
  <c r="Z4634" i="1"/>
  <c r="Z4638" i="1"/>
  <c r="Z4642" i="1"/>
  <c r="Z4646" i="1"/>
  <c r="Z4650" i="1"/>
  <c r="Z4654" i="1"/>
  <c r="Z4658" i="1"/>
  <c r="Z4662" i="1"/>
  <c r="Z4666" i="1"/>
  <c r="Z4670" i="1"/>
  <c r="Z4674" i="1"/>
  <c r="Z4678" i="1"/>
  <c r="Z4682" i="1"/>
  <c r="Z4686" i="1"/>
  <c r="Z4690" i="1"/>
  <c r="Z4694" i="1"/>
  <c r="Z4698" i="1"/>
  <c r="Z4702" i="1"/>
  <c r="Z4706" i="1"/>
  <c r="Z4710" i="1"/>
  <c r="Z4714" i="1"/>
  <c r="Z4718" i="1"/>
  <c r="Z4722" i="1"/>
  <c r="Z4726" i="1"/>
  <c r="Z4730" i="1"/>
  <c r="Z4734" i="1"/>
  <c r="Z4738" i="1"/>
  <c r="Z4742" i="1"/>
  <c r="Z4746" i="1"/>
  <c r="Z4750" i="1"/>
  <c r="Z4754" i="1"/>
  <c r="Z4758" i="1"/>
  <c r="Z4762" i="1"/>
  <c r="Z4766" i="1"/>
  <c r="Z4770" i="1"/>
  <c r="Z4774" i="1"/>
  <c r="Z4778" i="1"/>
  <c r="Z4782" i="1"/>
  <c r="Z4786" i="1"/>
  <c r="Z4790" i="1"/>
  <c r="Z4794" i="1"/>
  <c r="Z4798" i="1"/>
  <c r="Z4802" i="1"/>
  <c r="Z4806" i="1"/>
  <c r="Z4810" i="1"/>
  <c r="Z4814" i="1"/>
  <c r="Z4818" i="1"/>
  <c r="Z4822" i="1"/>
  <c r="Z4826" i="1"/>
  <c r="Z4830" i="1"/>
  <c r="Z4834" i="1"/>
  <c r="Z4838" i="1"/>
  <c r="Z4842" i="1"/>
  <c r="Z4846" i="1"/>
  <c r="Z4850" i="1"/>
  <c r="Z4854" i="1"/>
  <c r="Z4858" i="1"/>
  <c r="Z4862" i="1"/>
  <c r="Z4866" i="1"/>
  <c r="Z4870" i="1"/>
  <c r="Z4874" i="1"/>
  <c r="Z4878" i="1"/>
  <c r="Z4882" i="1"/>
  <c r="Z4886" i="1"/>
  <c r="Z4890" i="1"/>
  <c r="Z4894" i="1"/>
  <c r="Z4898" i="1"/>
  <c r="Z4902" i="1"/>
  <c r="Z4906" i="1"/>
  <c r="Z4910" i="1"/>
  <c r="Z4914" i="1"/>
  <c r="Z4918" i="1"/>
  <c r="Z4922" i="1"/>
  <c r="Z4926" i="1"/>
  <c r="Z4930" i="1"/>
  <c r="Z4934" i="1"/>
  <c r="Z4938" i="1"/>
  <c r="Z4942" i="1"/>
  <c r="Z4946" i="1"/>
  <c r="Z4950" i="1"/>
  <c r="Z4954" i="1"/>
  <c r="Z4958" i="1"/>
  <c r="Z4962" i="1"/>
  <c r="Z4966" i="1"/>
  <c r="Z4970" i="1"/>
  <c r="Z4974" i="1"/>
  <c r="Z4978" i="1"/>
  <c r="Z4982" i="1"/>
  <c r="Z4986" i="1"/>
  <c r="Z4990" i="1"/>
  <c r="Z4994" i="1"/>
  <c r="Z4998" i="1"/>
  <c r="Z5002" i="1"/>
  <c r="Z5006" i="1"/>
  <c r="Z5010" i="1"/>
  <c r="Z5014" i="1"/>
  <c r="Z5018" i="1"/>
  <c r="Z5022" i="1"/>
  <c r="Z5026" i="1"/>
  <c r="Z5030" i="1"/>
  <c r="Z5034" i="1"/>
  <c r="Z5038" i="1"/>
  <c r="Z5042" i="1"/>
  <c r="Z5046" i="1"/>
  <c r="Z5050" i="1"/>
  <c r="Z5054" i="1"/>
  <c r="Z5058" i="1"/>
  <c r="Z5062" i="1"/>
  <c r="Z5066" i="1"/>
  <c r="Z5070" i="1"/>
  <c r="Z5074" i="1"/>
  <c r="Z5078" i="1"/>
  <c r="Z5082" i="1"/>
  <c r="Z5086" i="1"/>
  <c r="Z5090" i="1"/>
  <c r="Z5094" i="1"/>
  <c r="Z5098" i="1"/>
  <c r="Z5102" i="1"/>
  <c r="Z5106" i="1"/>
  <c r="Z5110" i="1"/>
  <c r="Z5114" i="1"/>
  <c r="Z5118" i="1"/>
  <c r="Z5122" i="1"/>
  <c r="Z5126" i="1"/>
  <c r="Z5130" i="1"/>
  <c r="Z5134" i="1"/>
  <c r="Z5138" i="1"/>
  <c r="Z5142" i="1"/>
  <c r="Z5146" i="1"/>
  <c r="Z5150" i="1"/>
  <c r="Z5154" i="1"/>
  <c r="Z5158" i="1"/>
  <c r="Z5162" i="1"/>
  <c r="Z5166" i="1"/>
  <c r="Z5170" i="1"/>
  <c r="Z5174" i="1"/>
  <c r="Z5178" i="1"/>
  <c r="Z5182" i="1"/>
  <c r="Z5186" i="1"/>
  <c r="Z5190" i="1"/>
  <c r="Z5194" i="1"/>
  <c r="Z5198" i="1"/>
  <c r="Z5202" i="1"/>
  <c r="Z5206" i="1"/>
  <c r="Z5210" i="1"/>
  <c r="Z5214" i="1"/>
  <c r="Z5218" i="1"/>
  <c r="Z5222" i="1"/>
  <c r="Z5226" i="1"/>
  <c r="Z5230" i="1"/>
  <c r="Z5234" i="1"/>
  <c r="Z5238" i="1"/>
  <c r="Z5242" i="1"/>
  <c r="Z5246" i="1"/>
  <c r="Z5250" i="1"/>
  <c r="Z5254" i="1"/>
  <c r="Z5258" i="1"/>
  <c r="Z5262" i="1"/>
  <c r="Z5266" i="1"/>
  <c r="Z5270" i="1"/>
  <c r="Z5274" i="1"/>
  <c r="Z5278" i="1"/>
  <c r="Z5282" i="1"/>
  <c r="Z5286" i="1"/>
  <c r="Z5290" i="1"/>
  <c r="Z5294" i="1"/>
  <c r="Z5298" i="1"/>
  <c r="Z5302" i="1"/>
  <c r="Z5306" i="1"/>
  <c r="Z5310" i="1"/>
  <c r="Z5314" i="1"/>
  <c r="Z5318" i="1"/>
  <c r="Z5333" i="1"/>
  <c r="Z5389" i="1"/>
  <c r="Z5421" i="1"/>
  <c r="Z5485" i="1"/>
  <c r="Z5549" i="1"/>
  <c r="W5699" i="1"/>
  <c r="W5340" i="1"/>
  <c r="Z5348" i="1"/>
  <c r="W5355" i="1"/>
  <c r="Z5363" i="1"/>
  <c r="W5370" i="1"/>
  <c r="Z5378" i="1"/>
  <c r="W5392" i="1"/>
  <c r="Z5396" i="1"/>
  <c r="W5399" i="1"/>
  <c r="Z5403" i="1"/>
  <c r="W5427" i="1"/>
  <c r="W5434" i="1"/>
  <c r="W5444" i="1"/>
  <c r="Z5451" i="1"/>
  <c r="Z5468" i="1"/>
  <c r="W5491" i="1"/>
  <c r="W5498" i="1"/>
  <c r="W5508" i="1"/>
  <c r="Z5515" i="1"/>
  <c r="Z5532" i="1"/>
  <c r="W5555" i="1"/>
  <c r="W5562" i="1"/>
  <c r="W5572" i="1"/>
  <c r="Z5579" i="1"/>
  <c r="Z5596" i="1"/>
  <c r="W5602" i="1"/>
  <c r="Z5612" i="1"/>
  <c r="W5618" i="1"/>
  <c r="Z5628" i="1"/>
  <c r="W5634" i="1"/>
  <c r="Z5644" i="1"/>
  <c r="W5650" i="1"/>
  <c r="Z5660" i="1"/>
  <c r="W5666" i="1"/>
  <c r="Z5676" i="1"/>
  <c r="Z5708" i="1"/>
  <c r="W5739" i="1"/>
  <c r="W5747" i="1"/>
  <c r="W5755" i="1"/>
  <c r="W5763" i="1"/>
  <c r="W5771" i="1"/>
  <c r="W5779" i="1"/>
  <c r="W5787" i="1"/>
  <c r="W5807" i="1"/>
  <c r="Z5817" i="1"/>
  <c r="W5867" i="1"/>
  <c r="W5883" i="1"/>
  <c r="W5899" i="1"/>
  <c r="Z5589" i="1"/>
  <c r="Z5688" i="1"/>
  <c r="W5707" i="1"/>
  <c r="W5819" i="1"/>
  <c r="W5715" i="1"/>
  <c r="W5723" i="1"/>
  <c r="W5731" i="1"/>
  <c r="Z5797" i="1"/>
  <c r="Z5829" i="1"/>
  <c r="Z5853" i="1"/>
  <c r="W5855" i="1"/>
  <c r="Z5744" i="1"/>
  <c r="Z5752" i="1"/>
  <c r="Z5760" i="1"/>
  <c r="Z5768" i="1"/>
  <c r="Z5776" i="1"/>
  <c r="Z5784" i="1"/>
  <c r="W5831" i="1"/>
  <c r="Z5841" i="1"/>
  <c r="W5843" i="1"/>
  <c r="W5578" i="1"/>
  <c r="W5598" i="1"/>
  <c r="Z5736" i="1"/>
  <c r="W5799" i="1"/>
  <c r="Z5809" i="1"/>
  <c r="W5871" i="1"/>
  <c r="W5887" i="1"/>
  <c r="W5903" i="1"/>
  <c r="Z5788" i="1"/>
  <c r="Z5792" i="1"/>
  <c r="Z5796" i="1"/>
  <c r="Z5800" i="1"/>
  <c r="Z5804" i="1"/>
  <c r="Z5808" i="1"/>
  <c r="Z5812" i="1"/>
  <c r="Z5816" i="1"/>
  <c r="W5907" i="1"/>
  <c r="W5911" i="1"/>
  <c r="W5915" i="1"/>
  <c r="W5919" i="1"/>
  <c r="W5923" i="1"/>
  <c r="W5927" i="1"/>
  <c r="W5931" i="1"/>
  <c r="W5935" i="1"/>
  <c r="W5939" i="1"/>
  <c r="W5943" i="1"/>
  <c r="W5947" i="1"/>
  <c r="W5951" i="1"/>
  <c r="W5955" i="1"/>
  <c r="W5959" i="1"/>
  <c r="W5963" i="1"/>
  <c r="W5967" i="1"/>
  <c r="W5971" i="1"/>
  <c r="W5975" i="1"/>
  <c r="W5979" i="1"/>
  <c r="W5983" i="1"/>
  <c r="W5987" i="1"/>
  <c r="W5991" i="1"/>
  <c r="W5995" i="1"/>
  <c r="W5999" i="1"/>
  <c r="W6003" i="1"/>
  <c r="W5818" i="1"/>
  <c r="W5822" i="1"/>
  <c r="W5826" i="1"/>
  <c r="W5830" i="1"/>
  <c r="W5834" i="1"/>
  <c r="W5838" i="1"/>
  <c r="W5842" i="1"/>
  <c r="W5846" i="1"/>
  <c r="W5850" i="1"/>
  <c r="W5854" i="1"/>
  <c r="W5858" i="1"/>
  <c r="W5862" i="1"/>
  <c r="W5866" i="1"/>
  <c r="W5870" i="1"/>
  <c r="W5874" i="1"/>
  <c r="W5878" i="1"/>
  <c r="W5882" i="1"/>
  <c r="W5886" i="1"/>
  <c r="W5890" i="1"/>
  <c r="W5894" i="1"/>
  <c r="W5898" i="1"/>
  <c r="W5902" i="1"/>
  <c r="W5906" i="1"/>
  <c r="W5910" i="1"/>
  <c r="W5914" i="1"/>
  <c r="W5918" i="1"/>
  <c r="W5922" i="1"/>
  <c r="W5926" i="1"/>
  <c r="W5930" i="1"/>
  <c r="W5934" i="1"/>
  <c r="W5938" i="1"/>
  <c r="W5942" i="1"/>
  <c r="W5946" i="1"/>
  <c r="W5950" i="1"/>
  <c r="W5954" i="1"/>
  <c r="W5958" i="1"/>
  <c r="W5962" i="1"/>
  <c r="W5966" i="1"/>
  <c r="W5970" i="1"/>
  <c r="W5974" i="1"/>
  <c r="W5978" i="1"/>
  <c r="W5982" i="1"/>
  <c r="W5986" i="1"/>
  <c r="W5990" i="1"/>
  <c r="W5994" i="1"/>
  <c r="W5998" i="1"/>
  <c r="W6002" i="1"/>
  <c r="Z5865" i="1"/>
  <c r="Z5869" i="1"/>
  <c r="Z5873" i="1"/>
  <c r="Z5877" i="1"/>
  <c r="Z5881" i="1"/>
  <c r="Z5885" i="1"/>
  <c r="Z5889" i="1"/>
  <c r="Z5893" i="1"/>
  <c r="Z5897" i="1"/>
  <c r="Z5901" i="1"/>
  <c r="Z5905" i="1"/>
  <c r="J393" i="3" l="1"/>
  <c r="J355" i="3"/>
  <c r="X6005" i="1"/>
  <c r="X6006" i="1" s="1"/>
  <c r="X6007" i="1" s="1"/>
  <c r="X6008" i="1" s="1"/>
  <c r="X6009" i="1" s="1"/>
  <c r="X6010" i="1" s="1"/>
  <c r="X6011" i="1" s="1"/>
  <c r="X6012" i="1" s="1"/>
  <c r="X6013" i="1" s="1"/>
  <c r="X6014" i="1" s="1"/>
  <c r="X6015" i="1" s="1"/>
  <c r="X6016" i="1" s="1"/>
  <c r="X6017" i="1" s="1"/>
  <c r="X6018" i="1" s="1"/>
  <c r="X6019" i="1" s="1"/>
  <c r="X6020" i="1" s="1"/>
  <c r="X6021" i="1" s="1"/>
  <c r="X6022" i="1" s="1"/>
  <c r="X6023" i="1" s="1"/>
  <c r="X6024" i="1" s="1"/>
  <c r="X6025" i="1" s="1"/>
  <c r="X6026" i="1" s="1"/>
  <c r="X6027" i="1" s="1"/>
  <c r="X6028" i="1" s="1"/>
  <c r="X6029" i="1" s="1"/>
  <c r="X6030" i="1" s="1"/>
  <c r="X6031" i="1" s="1"/>
  <c r="X6032" i="1" s="1"/>
  <c r="X6033" i="1" s="1"/>
  <c r="X6034" i="1" s="1"/>
  <c r="X6035" i="1" s="1"/>
  <c r="X6036" i="1" s="1"/>
  <c r="X6037" i="1" s="1"/>
  <c r="X6038" i="1" s="1"/>
  <c r="X6039" i="1" s="1"/>
  <c r="X6040" i="1" s="1"/>
  <c r="X6041" i="1" s="1"/>
  <c r="X6042" i="1" s="1"/>
  <c r="X6043" i="1" s="1"/>
  <c r="X6044" i="1" s="1"/>
  <c r="X6045" i="1" s="1"/>
  <c r="X6046" i="1" s="1"/>
  <c r="X6047" i="1" s="1"/>
  <c r="X6048" i="1" s="1"/>
  <c r="X6049" i="1" s="1"/>
  <c r="X6050" i="1" s="1"/>
  <c r="X6051" i="1" s="1"/>
  <c r="X6052" i="1" s="1"/>
  <c r="X6053" i="1" s="1"/>
  <c r="X6054" i="1" s="1"/>
  <c r="X6055" i="1" s="1"/>
  <c r="X6056" i="1" s="1"/>
  <c r="X6057" i="1" s="1"/>
  <c r="X6058" i="1" s="1"/>
  <c r="X6059" i="1" s="1"/>
  <c r="X6060" i="1" s="1"/>
  <c r="X6061" i="1" s="1"/>
  <c r="X6062" i="1" s="1"/>
  <c r="X6063" i="1" s="1"/>
  <c r="X6064" i="1" s="1"/>
  <c r="X6065" i="1" s="1"/>
  <c r="X6066" i="1" s="1"/>
  <c r="X6067" i="1" s="1"/>
  <c r="X6068" i="1" s="1"/>
  <c r="X6069" i="1" s="1"/>
  <c r="X6070" i="1" s="1"/>
  <c r="X6071" i="1" s="1"/>
  <c r="X6072" i="1" s="1"/>
  <c r="X6073" i="1" s="1"/>
  <c r="X6074" i="1" s="1"/>
  <c r="X6075" i="1" s="1"/>
  <c r="X6076" i="1" s="1"/>
  <c r="X6077" i="1" s="1"/>
  <c r="X6078" i="1" s="1"/>
  <c r="X6079" i="1" s="1"/>
  <c r="X6080" i="1" s="1"/>
  <c r="X6081" i="1" s="1"/>
  <c r="X6082" i="1" s="1"/>
  <c r="X6083" i="1" s="1"/>
  <c r="X6084" i="1" s="1"/>
  <c r="X6085" i="1" s="1"/>
  <c r="X6086" i="1" s="1"/>
  <c r="X6087" i="1" s="1"/>
  <c r="X6088" i="1" s="1"/>
  <c r="X6089" i="1" s="1"/>
  <c r="X6090" i="1" s="1"/>
  <c r="X6091" i="1" s="1"/>
  <c r="X6092" i="1" s="1"/>
  <c r="X6093" i="1" s="1"/>
  <c r="X6094" i="1" s="1"/>
  <c r="X6095" i="1" s="1"/>
  <c r="X6096" i="1" s="1"/>
  <c r="X6097" i="1" s="1"/>
  <c r="X6098" i="1" s="1"/>
  <c r="X6099" i="1" s="1"/>
  <c r="X6100" i="1" s="1"/>
  <c r="X6101" i="1" s="1"/>
  <c r="X6102" i="1" s="1"/>
  <c r="X6103" i="1" s="1"/>
  <c r="X6104" i="1" s="1"/>
  <c r="X6105" i="1" s="1"/>
  <c r="X6106" i="1" s="1"/>
  <c r="X6107" i="1" s="1"/>
  <c r="X6108" i="1" s="1"/>
  <c r="X6109" i="1" s="1"/>
  <c r="X6110" i="1" s="1"/>
  <c r="X6111" i="1" s="1"/>
  <c r="X6112" i="1" s="1"/>
  <c r="X6113" i="1" s="1"/>
  <c r="X6114" i="1" s="1"/>
  <c r="X6115" i="1" s="1"/>
  <c r="X6116" i="1" s="1"/>
  <c r="X6117" i="1" s="1"/>
  <c r="X6118" i="1" s="1"/>
  <c r="X6119" i="1" s="1"/>
  <c r="X6120" i="1" s="1"/>
  <c r="X6121" i="1" s="1"/>
  <c r="X6122" i="1" s="1"/>
  <c r="X6123" i="1" s="1"/>
  <c r="X6124" i="1" s="1"/>
  <c r="X6125" i="1" s="1"/>
  <c r="X6126" i="1" s="1"/>
  <c r="X6127" i="1" s="1"/>
  <c r="X6128" i="1" s="1"/>
  <c r="X6129" i="1" s="1"/>
  <c r="X6130" i="1" s="1"/>
  <c r="X6131" i="1" s="1"/>
  <c r="X6132" i="1" s="1"/>
  <c r="X6133" i="1" s="1"/>
  <c r="X6134" i="1" s="1"/>
  <c r="X6135" i="1" s="1"/>
  <c r="X6136" i="1" s="1"/>
  <c r="X6137" i="1" s="1"/>
  <c r="X6138" i="1" s="1"/>
  <c r="X6139" i="1" s="1"/>
  <c r="X6140" i="1" s="1"/>
  <c r="X6141" i="1" s="1"/>
  <c r="X6142" i="1" s="1"/>
  <c r="X6143" i="1" s="1"/>
  <c r="X6144" i="1" s="1"/>
  <c r="X6145" i="1" s="1"/>
  <c r="X6146" i="1" s="1"/>
  <c r="X6147" i="1" s="1"/>
  <c r="X6148" i="1" s="1"/>
  <c r="X6149" i="1" s="1"/>
  <c r="X6150" i="1" s="1"/>
  <c r="X6151" i="1" s="1"/>
  <c r="X6152" i="1" s="1"/>
  <c r="X6153" i="1" s="1"/>
  <c r="X6154" i="1" s="1"/>
  <c r="X6155" i="1" s="1"/>
  <c r="X6156" i="1" s="1"/>
  <c r="X6157" i="1" s="1"/>
  <c r="X6158" i="1" s="1"/>
  <c r="X6159" i="1" s="1"/>
  <c r="X6160" i="1" s="1"/>
  <c r="X6161" i="1" s="1"/>
  <c r="X6162" i="1" s="1"/>
  <c r="X6163" i="1" s="1"/>
  <c r="X6164" i="1" s="1"/>
  <c r="X6165" i="1" s="1"/>
  <c r="X6166" i="1" s="1"/>
  <c r="X6167" i="1" s="1"/>
  <c r="X6168" i="1" s="1"/>
  <c r="X6169" i="1" s="1"/>
  <c r="X6170" i="1" s="1"/>
  <c r="X6171" i="1" s="1"/>
  <c r="X6172" i="1" s="1"/>
  <c r="X6173" i="1" s="1"/>
  <c r="X6174" i="1" s="1"/>
  <c r="X6175" i="1" s="1"/>
  <c r="X6176" i="1" s="1"/>
  <c r="X6177" i="1" s="1"/>
  <c r="X6178" i="1" s="1"/>
  <c r="X6179" i="1" s="1"/>
  <c r="X6180" i="1" s="1"/>
  <c r="X6181" i="1" s="1"/>
  <c r="X6182" i="1" s="1"/>
  <c r="X6183" i="1" s="1"/>
  <c r="X6184" i="1" s="1"/>
  <c r="X6185" i="1" s="1"/>
  <c r="X6186" i="1" s="1"/>
  <c r="X6187" i="1" s="1"/>
  <c r="X6188" i="1" s="1"/>
  <c r="X6189" i="1" s="1"/>
  <c r="X6190" i="1" s="1"/>
  <c r="X6191" i="1" s="1"/>
  <c r="X6192" i="1" s="1"/>
  <c r="X6193" i="1" s="1"/>
  <c r="X6194" i="1" s="1"/>
  <c r="X6195" i="1" s="1"/>
  <c r="X6196" i="1" s="1"/>
  <c r="X6197" i="1" s="1"/>
  <c r="X6198" i="1" s="1"/>
  <c r="X6199" i="1" s="1"/>
  <c r="X6200" i="1" s="1"/>
  <c r="X6201" i="1" s="1"/>
  <c r="X6202" i="1" s="1"/>
  <c r="X6203" i="1" s="1"/>
  <c r="X6204" i="1" s="1"/>
  <c r="X6205" i="1" s="1"/>
  <c r="X6206" i="1" s="1"/>
  <c r="X6207" i="1" s="1"/>
  <c r="X6208" i="1" s="1"/>
  <c r="X6209" i="1" s="1"/>
  <c r="X6210" i="1" s="1"/>
  <c r="X6211" i="1" s="1"/>
  <c r="X6212" i="1" s="1"/>
  <c r="X6213" i="1" s="1"/>
  <c r="X6214" i="1" s="1"/>
  <c r="X6215" i="1" s="1"/>
  <c r="X6216" i="1" s="1"/>
  <c r="X6217" i="1" s="1"/>
  <c r="X6218" i="1" s="1"/>
  <c r="X6219" i="1" s="1"/>
  <c r="X6220" i="1" s="1"/>
  <c r="X6221" i="1" s="1"/>
  <c r="X6222" i="1" s="1"/>
  <c r="X6223" i="1" s="1"/>
  <c r="X6224" i="1" s="1"/>
  <c r="X6225" i="1" s="1"/>
  <c r="X6226" i="1" s="1"/>
  <c r="X6227" i="1" s="1"/>
  <c r="X6228" i="1" s="1"/>
  <c r="X6229" i="1" s="1"/>
  <c r="X6230" i="1" s="1"/>
  <c r="X6231" i="1" s="1"/>
  <c r="X6232" i="1" s="1"/>
  <c r="X6233" i="1" s="1"/>
  <c r="X6234" i="1" s="1"/>
  <c r="X6235" i="1" s="1"/>
  <c r="X6236" i="1" s="1"/>
  <c r="X6237" i="1" s="1"/>
  <c r="X6238" i="1" s="1"/>
  <c r="X6239" i="1" s="1"/>
  <c r="X6240" i="1" s="1"/>
  <c r="X6241" i="1" s="1"/>
  <c r="X6242" i="1" s="1"/>
  <c r="X6243" i="1" s="1"/>
  <c r="X6244" i="1" s="1"/>
  <c r="X6245" i="1" s="1"/>
  <c r="X6246" i="1" s="1"/>
  <c r="X6247" i="1" s="1"/>
  <c r="X6248" i="1" s="1"/>
  <c r="X6249" i="1" s="1"/>
  <c r="X6250" i="1" s="1"/>
  <c r="X6251" i="1" s="1"/>
  <c r="X6252" i="1" s="1"/>
  <c r="X6253" i="1" s="1"/>
  <c r="X6254" i="1" s="1"/>
  <c r="X6255" i="1" s="1"/>
  <c r="X6256" i="1" s="1"/>
  <c r="X6257" i="1" s="1"/>
  <c r="X6258" i="1" s="1"/>
  <c r="X6259" i="1" s="1"/>
  <c r="X6260" i="1" s="1"/>
  <c r="X6261" i="1" s="1"/>
  <c r="X6262" i="1" s="1"/>
  <c r="X6263" i="1" s="1"/>
  <c r="X6264" i="1" s="1"/>
  <c r="X6265" i="1" s="1"/>
  <c r="X6266" i="1" s="1"/>
  <c r="X6267" i="1" s="1"/>
  <c r="X6268" i="1" s="1"/>
  <c r="X6269" i="1" s="1"/>
  <c r="X6270" i="1" s="1"/>
  <c r="X6271" i="1" s="1"/>
  <c r="X6272" i="1" s="1"/>
  <c r="X6273" i="1" s="1"/>
  <c r="X6274" i="1" s="1"/>
  <c r="X6275" i="1" s="1"/>
  <c r="X6276" i="1" s="1"/>
  <c r="X6277" i="1" s="1"/>
  <c r="X6278" i="1" s="1"/>
  <c r="X6279" i="1" s="1"/>
  <c r="X6280" i="1" s="1"/>
  <c r="X6281" i="1" s="1"/>
  <c r="X6282" i="1" s="1"/>
  <c r="X6283" i="1" s="1"/>
  <c r="X6284" i="1" s="1"/>
  <c r="X6285" i="1" s="1"/>
  <c r="X6286" i="1" s="1"/>
  <c r="X6287" i="1" s="1"/>
  <c r="X6288" i="1" s="1"/>
  <c r="X6289" i="1" s="1"/>
  <c r="X6290" i="1" s="1"/>
  <c r="X6291" i="1" s="1"/>
  <c r="X6292" i="1" s="1"/>
  <c r="X6293" i="1" s="1"/>
  <c r="X6294" i="1" s="1"/>
  <c r="X6295" i="1" s="1"/>
  <c r="X6296" i="1" s="1"/>
  <c r="X6297" i="1" s="1"/>
  <c r="X6298" i="1" s="1"/>
  <c r="X6299" i="1" s="1"/>
  <c r="X6300" i="1" s="1"/>
  <c r="X6301" i="1" s="1"/>
  <c r="X6302" i="1" s="1"/>
  <c r="X6303" i="1" s="1"/>
  <c r="X6304" i="1" s="1"/>
  <c r="X6305" i="1" s="1"/>
  <c r="X6306" i="1" s="1"/>
  <c r="X6307" i="1" s="1"/>
  <c r="X6308" i="1" s="1"/>
  <c r="X6309" i="1" s="1"/>
  <c r="X6310" i="1" s="1"/>
  <c r="X6311" i="1" s="1"/>
  <c r="X6312" i="1" s="1"/>
  <c r="X6313" i="1" s="1"/>
  <c r="X6314" i="1" s="1"/>
  <c r="X6315" i="1" s="1"/>
  <c r="X6316" i="1" s="1"/>
  <c r="X6317" i="1" s="1"/>
  <c r="X6318" i="1" s="1"/>
  <c r="X6319" i="1" s="1"/>
  <c r="X6320" i="1" s="1"/>
  <c r="X6321" i="1" s="1"/>
  <c r="X6322" i="1" s="1"/>
  <c r="X6323" i="1" s="1"/>
  <c r="X6324" i="1" s="1"/>
  <c r="X6325" i="1" s="1"/>
  <c r="X6326" i="1" s="1"/>
  <c r="X6327" i="1" s="1"/>
  <c r="X6328" i="1" s="1"/>
  <c r="X6329" i="1" s="1"/>
  <c r="X6330" i="1" s="1"/>
  <c r="X6331" i="1" s="1"/>
  <c r="X6332" i="1" s="1"/>
  <c r="X6333" i="1" s="1"/>
  <c r="X6334" i="1" s="1"/>
  <c r="X6335" i="1" s="1"/>
  <c r="X6336" i="1" s="1"/>
  <c r="X6337" i="1" s="1"/>
  <c r="X6338" i="1" s="1"/>
  <c r="X6339" i="1" s="1"/>
  <c r="X6340" i="1" s="1"/>
  <c r="X6341" i="1" s="1"/>
  <c r="X6342" i="1" s="1"/>
  <c r="X6343" i="1" s="1"/>
  <c r="X6344" i="1" s="1"/>
  <c r="X6345" i="1" s="1"/>
  <c r="X6346" i="1" s="1"/>
  <c r="X6347" i="1" s="1"/>
  <c r="X6348" i="1" s="1"/>
  <c r="X6349" i="1" s="1"/>
  <c r="X6350" i="1" s="1"/>
  <c r="X6351" i="1" s="1"/>
  <c r="X6352" i="1" s="1"/>
  <c r="X6353" i="1" s="1"/>
  <c r="X6354" i="1" s="1"/>
  <c r="X6355" i="1" s="1"/>
  <c r="X6356" i="1" s="1"/>
  <c r="X6357" i="1" s="1"/>
  <c r="X6358" i="1" s="1"/>
  <c r="X6359" i="1" s="1"/>
  <c r="X6360" i="1" s="1"/>
  <c r="X6361" i="1" s="1"/>
  <c r="X6362" i="1" s="1"/>
  <c r="X6363" i="1" s="1"/>
  <c r="X6364" i="1" s="1"/>
  <c r="X6365" i="1" s="1"/>
  <c r="X6366" i="1" s="1"/>
  <c r="X6367" i="1" s="1"/>
  <c r="X6368" i="1" s="1"/>
  <c r="X6369" i="1" s="1"/>
  <c r="X6370" i="1" s="1"/>
  <c r="X6371" i="1" s="1"/>
  <c r="X6372" i="1" s="1"/>
  <c r="X6373" i="1" s="1"/>
  <c r="X6374" i="1" s="1"/>
  <c r="X6375" i="1" s="1"/>
  <c r="X6376" i="1" s="1"/>
  <c r="X6377" i="1" s="1"/>
  <c r="X6378" i="1" s="1"/>
  <c r="X6379" i="1" s="1"/>
  <c r="X6380" i="1" s="1"/>
  <c r="X6381" i="1" s="1"/>
  <c r="X6382" i="1" s="1"/>
  <c r="X6383" i="1" s="1"/>
  <c r="X6384" i="1" s="1"/>
  <c r="X6385" i="1" s="1"/>
  <c r="X6386" i="1" s="1"/>
  <c r="X6387" i="1" s="1"/>
  <c r="X6388" i="1" s="1"/>
  <c r="X6389" i="1" s="1"/>
  <c r="X6390" i="1" s="1"/>
  <c r="X6391" i="1" s="1"/>
  <c r="X6392" i="1" s="1"/>
  <c r="X6393" i="1" s="1"/>
  <c r="X6394" i="1" s="1"/>
  <c r="X6395" i="1" s="1"/>
  <c r="X6396" i="1" s="1"/>
  <c r="X6397" i="1" s="1"/>
  <c r="X6398" i="1" s="1"/>
  <c r="X6399" i="1" s="1"/>
  <c r="X6400" i="1" s="1"/>
  <c r="X6401" i="1" s="1"/>
  <c r="X6402" i="1" s="1"/>
  <c r="X6403" i="1" s="1"/>
  <c r="X6404" i="1" s="1"/>
  <c r="X6405" i="1" s="1"/>
  <c r="X6406" i="1" s="1"/>
  <c r="X6407" i="1" s="1"/>
  <c r="X6408" i="1" s="1"/>
  <c r="X6409" i="1" s="1"/>
  <c r="X6410" i="1" s="1"/>
  <c r="X6411" i="1" s="1"/>
  <c r="X6412" i="1" s="1"/>
  <c r="X6413" i="1" s="1"/>
  <c r="X6414" i="1" s="1"/>
  <c r="X6415" i="1" s="1"/>
  <c r="X6416" i="1" s="1"/>
  <c r="X6417" i="1" s="1"/>
  <c r="X6418" i="1" s="1"/>
  <c r="X6419" i="1" s="1"/>
  <c r="X6420" i="1" s="1"/>
  <c r="X6421" i="1" s="1"/>
  <c r="X6422" i="1" s="1"/>
  <c r="X6423" i="1" s="1"/>
  <c r="X6424" i="1" s="1"/>
  <c r="X6425" i="1" s="1"/>
  <c r="X6426" i="1" s="1"/>
  <c r="X6427" i="1" s="1"/>
  <c r="X6428" i="1" s="1"/>
  <c r="X6429" i="1" s="1"/>
  <c r="X6430" i="1" s="1"/>
  <c r="X6431" i="1" s="1"/>
  <c r="X6432" i="1" s="1"/>
  <c r="X6433" i="1" s="1"/>
  <c r="X6434" i="1" s="1"/>
  <c r="X6435" i="1" s="1"/>
  <c r="X6436" i="1" s="1"/>
  <c r="X6437" i="1" s="1"/>
  <c r="X6438" i="1" s="1"/>
  <c r="X6439" i="1" s="1"/>
  <c r="X6440" i="1" s="1"/>
  <c r="X6441" i="1" s="1"/>
  <c r="X6442" i="1" s="1"/>
  <c r="X6443" i="1" s="1"/>
  <c r="X6444" i="1" s="1"/>
  <c r="X6445" i="1" s="1"/>
  <c r="X6446" i="1" s="1"/>
  <c r="X6447" i="1" s="1"/>
  <c r="X6448" i="1" s="1"/>
  <c r="X6449" i="1" s="1"/>
  <c r="X6450" i="1" s="1"/>
  <c r="X6451" i="1" s="1"/>
  <c r="X6452" i="1" s="1"/>
  <c r="X6453" i="1" s="1"/>
  <c r="X6454" i="1" s="1"/>
  <c r="X6455" i="1" s="1"/>
  <c r="X6456" i="1" s="1"/>
  <c r="X6457" i="1" s="1"/>
  <c r="X6458" i="1" s="1"/>
  <c r="X6459" i="1" s="1"/>
  <c r="X6460" i="1" s="1"/>
  <c r="X6461" i="1" s="1"/>
  <c r="X6462" i="1" s="1"/>
  <c r="X6463" i="1" s="1"/>
  <c r="X6464" i="1" s="1"/>
  <c r="X6465" i="1" s="1"/>
  <c r="X6466" i="1" s="1"/>
  <c r="X6467" i="1" s="1"/>
  <c r="X6468" i="1" s="1"/>
  <c r="X6469" i="1" s="1"/>
  <c r="X6470" i="1" s="1"/>
  <c r="X6471" i="1" s="1"/>
  <c r="X6472" i="1" s="1"/>
  <c r="X6473" i="1" s="1"/>
  <c r="X6474" i="1" s="1"/>
  <c r="X6475" i="1" s="1"/>
  <c r="X6476" i="1" s="1"/>
  <c r="X6477" i="1" s="1"/>
  <c r="X6478" i="1" s="1"/>
  <c r="X6479" i="1" s="1"/>
  <c r="X6480" i="1" s="1"/>
  <c r="X6481" i="1" s="1"/>
  <c r="X6482" i="1" s="1"/>
  <c r="X6483" i="1" s="1"/>
  <c r="X6484" i="1" s="1"/>
  <c r="X6485" i="1" s="1"/>
  <c r="X6486" i="1" s="1"/>
  <c r="X6487" i="1" s="1"/>
  <c r="X6488" i="1" s="1"/>
  <c r="X6489" i="1" s="1"/>
  <c r="X6490" i="1" s="1"/>
  <c r="X6491" i="1" s="1"/>
  <c r="X6492" i="1" s="1"/>
  <c r="X6493" i="1" s="1"/>
  <c r="X6494" i="1" s="1"/>
  <c r="X6495" i="1" s="1"/>
  <c r="X6496" i="1" s="1"/>
  <c r="X6497" i="1" s="1"/>
  <c r="X6498" i="1" s="1"/>
  <c r="X6499" i="1" s="1"/>
  <c r="X6500" i="1" s="1"/>
  <c r="X6501" i="1" s="1"/>
  <c r="X6502" i="1" s="1"/>
  <c r="X6503" i="1" s="1"/>
  <c r="X6504" i="1" s="1"/>
  <c r="X6505" i="1" s="1"/>
  <c r="X6506" i="1" s="1"/>
  <c r="X6507" i="1" s="1"/>
  <c r="X6508" i="1" s="1"/>
  <c r="X6509" i="1" s="1"/>
  <c r="X6510" i="1" s="1"/>
  <c r="X6511" i="1" s="1"/>
  <c r="X6512" i="1" s="1"/>
  <c r="X6513" i="1" s="1"/>
  <c r="X6514" i="1" s="1"/>
  <c r="X6515" i="1" s="1"/>
  <c r="X6516" i="1" s="1"/>
  <c r="X6517" i="1" s="1"/>
  <c r="X6518" i="1" s="1"/>
  <c r="X6519" i="1" s="1"/>
  <c r="X6520" i="1" s="1"/>
  <c r="X6521" i="1" s="1"/>
  <c r="X6522" i="1" s="1"/>
  <c r="X6523" i="1" s="1"/>
  <c r="X6524" i="1" s="1"/>
  <c r="X6525" i="1" s="1"/>
  <c r="X6526" i="1" s="1"/>
  <c r="X6527" i="1" s="1"/>
  <c r="X6528" i="1" s="1"/>
  <c r="X6529" i="1" s="1"/>
  <c r="X6530" i="1" s="1"/>
  <c r="X6531" i="1" s="1"/>
  <c r="X6532" i="1" s="1"/>
  <c r="X6533" i="1" s="1"/>
  <c r="X6534" i="1" s="1"/>
  <c r="X6535" i="1" s="1"/>
  <c r="X6536" i="1" s="1"/>
  <c r="X6537" i="1" s="1"/>
  <c r="X6538" i="1" s="1"/>
  <c r="X6539" i="1" s="1"/>
  <c r="X6540" i="1" s="1"/>
  <c r="X6541" i="1" s="1"/>
  <c r="X6542" i="1" s="1"/>
  <c r="X6543" i="1" s="1"/>
  <c r="X6544" i="1" s="1"/>
  <c r="X6545" i="1" s="1"/>
  <c r="X6546" i="1" s="1"/>
  <c r="X6547" i="1" s="1"/>
  <c r="X6548" i="1" s="1"/>
  <c r="X6549" i="1" s="1"/>
  <c r="X6550" i="1" s="1"/>
  <c r="X6551" i="1" s="1"/>
  <c r="X6552" i="1" s="1"/>
  <c r="X6553" i="1" s="1"/>
  <c r="X6554" i="1" s="1"/>
  <c r="X6555" i="1" s="1"/>
  <c r="X6556" i="1" s="1"/>
  <c r="X6557" i="1" s="1"/>
  <c r="X6558" i="1" s="1"/>
  <c r="X6559" i="1" s="1"/>
  <c r="X6560" i="1" s="1"/>
  <c r="X6561" i="1" s="1"/>
  <c r="X6562" i="1" s="1"/>
  <c r="X6563" i="1" s="1"/>
  <c r="X6564" i="1" s="1"/>
  <c r="X6565" i="1" s="1"/>
  <c r="X6566" i="1" s="1"/>
  <c r="X6567" i="1" s="1"/>
  <c r="X6568" i="1" s="1"/>
  <c r="X6569" i="1" s="1"/>
  <c r="X6570" i="1" s="1"/>
  <c r="X6571" i="1" s="1"/>
  <c r="X6572" i="1" s="1"/>
  <c r="X6573" i="1" s="1"/>
  <c r="X6574" i="1" s="1"/>
  <c r="X6575" i="1" s="1"/>
  <c r="X6576" i="1" s="1"/>
  <c r="X6577" i="1" s="1"/>
  <c r="X6578" i="1" s="1"/>
  <c r="X6579" i="1" s="1"/>
  <c r="X6580" i="1" s="1"/>
  <c r="X6581" i="1" s="1"/>
  <c r="X6582" i="1" s="1"/>
  <c r="X6583" i="1" s="1"/>
  <c r="X6584" i="1" s="1"/>
  <c r="X6585" i="1" s="1"/>
  <c r="X6586" i="1" s="1"/>
  <c r="X6587" i="1" s="1"/>
  <c r="X6588" i="1" s="1"/>
  <c r="X6589" i="1" s="1"/>
  <c r="X6590" i="1" s="1"/>
  <c r="X6591" i="1" s="1"/>
  <c r="X6592" i="1" s="1"/>
  <c r="X6593" i="1" s="1"/>
  <c r="X6594" i="1" s="1"/>
  <c r="X6595" i="1" s="1"/>
  <c r="X6596" i="1" s="1"/>
  <c r="X6597" i="1" s="1"/>
  <c r="X6598" i="1" s="1"/>
  <c r="X6599" i="1" s="1"/>
  <c r="X6600" i="1" s="1"/>
  <c r="X6601" i="1" s="1"/>
  <c r="X6602" i="1" s="1"/>
  <c r="X6603" i="1" s="1"/>
  <c r="X6604" i="1" s="1"/>
  <c r="X6605" i="1" s="1"/>
  <c r="X6606" i="1" s="1"/>
  <c r="X6607" i="1" s="1"/>
  <c r="X6608" i="1" s="1"/>
  <c r="X6609" i="1" s="1"/>
  <c r="X6610" i="1" s="1"/>
  <c r="X6611" i="1" s="1"/>
  <c r="X6612" i="1" s="1"/>
  <c r="X6613" i="1" s="1"/>
  <c r="X6614" i="1" s="1"/>
  <c r="X6615" i="1" s="1"/>
  <c r="X6616" i="1" s="1"/>
  <c r="X6617" i="1" s="1"/>
  <c r="X6618" i="1" s="1"/>
  <c r="X6619" i="1" s="1"/>
  <c r="X6620" i="1" s="1"/>
  <c r="X6621" i="1" s="1"/>
  <c r="X6622" i="1" s="1"/>
  <c r="X6623" i="1" s="1"/>
  <c r="X6624" i="1" s="1"/>
  <c r="X6625" i="1" s="1"/>
  <c r="X6626" i="1" s="1"/>
  <c r="X6627" i="1" s="1"/>
  <c r="X6628" i="1" s="1"/>
  <c r="X6629" i="1" s="1"/>
  <c r="X6630" i="1" s="1"/>
  <c r="X6631" i="1" s="1"/>
  <c r="X6632" i="1" s="1"/>
  <c r="X6633" i="1" s="1"/>
  <c r="X6634" i="1" s="1"/>
  <c r="X6635" i="1" s="1"/>
  <c r="X6636" i="1" s="1"/>
  <c r="X6637" i="1" s="1"/>
  <c r="X6638" i="1" s="1"/>
  <c r="X6639" i="1" s="1"/>
  <c r="X6640" i="1" s="1"/>
  <c r="X6641" i="1" s="1"/>
  <c r="X6642" i="1" s="1"/>
  <c r="X6643" i="1" s="1"/>
  <c r="X6644" i="1" s="1"/>
  <c r="X6645" i="1" s="1"/>
  <c r="X6646" i="1" s="1"/>
  <c r="X6647" i="1" s="1"/>
  <c r="X6648" i="1" s="1"/>
  <c r="X6649" i="1" s="1"/>
  <c r="X6650" i="1" s="1"/>
  <c r="X6651" i="1" s="1"/>
  <c r="X6652" i="1" s="1"/>
  <c r="X6653" i="1" s="1"/>
  <c r="X6654" i="1" s="1"/>
  <c r="X6655" i="1" s="1"/>
  <c r="X6656" i="1" s="1"/>
  <c r="X6657" i="1" s="1"/>
  <c r="X6658" i="1" s="1"/>
  <c r="X6659" i="1" s="1"/>
  <c r="X6660" i="1" s="1"/>
  <c r="X6661" i="1" s="1"/>
  <c r="X6662" i="1" s="1"/>
  <c r="X6663" i="1" s="1"/>
  <c r="X6664" i="1" s="1"/>
  <c r="X6665" i="1" s="1"/>
  <c r="X6666" i="1" s="1"/>
  <c r="X6667" i="1" s="1"/>
  <c r="X6668" i="1" s="1"/>
  <c r="X6669" i="1" s="1"/>
  <c r="X6670" i="1" s="1"/>
  <c r="X6671" i="1" s="1"/>
  <c r="X6672" i="1" s="1"/>
  <c r="X6673" i="1" s="1"/>
  <c r="X6674" i="1" s="1"/>
  <c r="X6675" i="1" s="1"/>
  <c r="X6676" i="1" s="1"/>
  <c r="X6677" i="1" s="1"/>
  <c r="X6678" i="1" s="1"/>
  <c r="X6679" i="1" s="1"/>
  <c r="X6680" i="1" s="1"/>
  <c r="X6681" i="1" s="1"/>
  <c r="X6682" i="1" s="1"/>
  <c r="X6683" i="1" s="1"/>
  <c r="X6684" i="1" s="1"/>
  <c r="X6685" i="1" s="1"/>
  <c r="X6686" i="1" s="1"/>
  <c r="X6687" i="1" s="1"/>
  <c r="X6688" i="1" s="1"/>
  <c r="X6689" i="1" s="1"/>
  <c r="X6690" i="1" s="1"/>
  <c r="X6691" i="1" s="1"/>
  <c r="X6692" i="1" s="1"/>
  <c r="X6693" i="1" s="1"/>
  <c r="X6694" i="1" s="1"/>
  <c r="X6695" i="1" s="1"/>
  <c r="X6696" i="1" s="1"/>
  <c r="X6697" i="1" s="1"/>
  <c r="X6698" i="1" s="1"/>
  <c r="X6699" i="1" s="1"/>
  <c r="X6700" i="1" s="1"/>
  <c r="X6701" i="1" s="1"/>
  <c r="X6702" i="1" s="1"/>
  <c r="X6703" i="1" s="1"/>
  <c r="X6704" i="1" s="1"/>
  <c r="X6705" i="1" s="1"/>
  <c r="X6706" i="1" s="1"/>
  <c r="X6707" i="1" s="1"/>
  <c r="X6708" i="1" s="1"/>
  <c r="X6709" i="1" s="1"/>
  <c r="X6710" i="1" s="1"/>
  <c r="X6711" i="1" s="1"/>
  <c r="X6712" i="1" s="1"/>
  <c r="X6713" i="1" s="1"/>
  <c r="X6714" i="1" s="1"/>
  <c r="X6715" i="1" s="1"/>
  <c r="X6716" i="1" s="1"/>
  <c r="X6717" i="1" s="1"/>
  <c r="X6718" i="1" s="1"/>
  <c r="X6719" i="1" s="1"/>
  <c r="X6720" i="1" s="1"/>
  <c r="X6721" i="1" s="1"/>
  <c r="X6722" i="1" s="1"/>
  <c r="X6723" i="1" s="1"/>
  <c r="X6724" i="1" s="1"/>
  <c r="X6725" i="1" s="1"/>
  <c r="X6726" i="1" s="1"/>
  <c r="X6727" i="1" s="1"/>
  <c r="X6728" i="1" s="1"/>
  <c r="X6729" i="1" s="1"/>
  <c r="X6730" i="1" s="1"/>
  <c r="X6731" i="1" s="1"/>
  <c r="X6732" i="1" s="1"/>
  <c r="X6733" i="1" s="1"/>
  <c r="X6734" i="1" s="1"/>
  <c r="X6735" i="1" s="1"/>
  <c r="X6736" i="1" s="1"/>
  <c r="X6737" i="1" s="1"/>
  <c r="X6738" i="1" s="1"/>
  <c r="X6739" i="1" s="1"/>
  <c r="X6740" i="1" s="1"/>
  <c r="X6741" i="1" s="1"/>
  <c r="X6742" i="1" s="1"/>
  <c r="X6743" i="1" s="1"/>
  <c r="X6744" i="1" s="1"/>
  <c r="X6745" i="1" s="1"/>
  <c r="X6746" i="1" s="1"/>
  <c r="X6747" i="1" s="1"/>
  <c r="X6748" i="1" s="1"/>
  <c r="X6749" i="1" s="1"/>
  <c r="X6750" i="1" s="1"/>
  <c r="X6751" i="1" s="1"/>
  <c r="X6752" i="1" s="1"/>
  <c r="X6753" i="1" s="1"/>
  <c r="X6754" i="1" s="1"/>
  <c r="X6755" i="1" s="1"/>
  <c r="X6756" i="1" s="1"/>
  <c r="X6757" i="1" s="1"/>
  <c r="X6758" i="1" s="1"/>
  <c r="X6759" i="1" s="1"/>
  <c r="X6760" i="1" s="1"/>
  <c r="X6761" i="1" s="1"/>
  <c r="X6762" i="1" s="1"/>
  <c r="X6763" i="1" s="1"/>
  <c r="X6764" i="1" s="1"/>
  <c r="X6765" i="1" s="1"/>
  <c r="X6766" i="1" s="1"/>
  <c r="X6767" i="1" s="1"/>
  <c r="X6768" i="1" s="1"/>
  <c r="X6769" i="1" s="1"/>
  <c r="X6770" i="1" s="1"/>
  <c r="X6771" i="1" s="1"/>
  <c r="X6772" i="1" s="1"/>
  <c r="X6773" i="1" s="1"/>
  <c r="X6774" i="1" s="1"/>
  <c r="X6775" i="1" s="1"/>
  <c r="X6776" i="1" s="1"/>
  <c r="X6777" i="1" s="1"/>
  <c r="X6778" i="1" s="1"/>
  <c r="X6779" i="1" s="1"/>
  <c r="X6780" i="1" s="1"/>
  <c r="X6781" i="1" s="1"/>
  <c r="X6782" i="1" s="1"/>
  <c r="X6783" i="1" s="1"/>
  <c r="X6784" i="1" s="1"/>
  <c r="X6785" i="1" s="1"/>
  <c r="X6786" i="1" s="1"/>
  <c r="X6787" i="1" s="1"/>
  <c r="X6788" i="1" s="1"/>
  <c r="X6789" i="1" s="1"/>
  <c r="X6790" i="1" s="1"/>
  <c r="X6791" i="1" s="1"/>
  <c r="X6792" i="1" s="1"/>
  <c r="X6793" i="1" s="1"/>
  <c r="X6794" i="1" s="1"/>
  <c r="X6795" i="1" s="1"/>
  <c r="X6796" i="1" s="1"/>
  <c r="X6797" i="1" s="1"/>
  <c r="X6798" i="1" s="1"/>
  <c r="X6799" i="1" s="1"/>
  <c r="X6800" i="1" s="1"/>
  <c r="X6801" i="1" s="1"/>
  <c r="X6802" i="1" s="1"/>
  <c r="X6803" i="1" s="1"/>
  <c r="X6804" i="1" s="1"/>
  <c r="X6805" i="1" s="1"/>
  <c r="X6806" i="1" s="1"/>
  <c r="X6807" i="1" s="1"/>
  <c r="X6808" i="1" s="1"/>
  <c r="X6809" i="1" s="1"/>
  <c r="X6810" i="1" s="1"/>
  <c r="X6811" i="1" s="1"/>
  <c r="X6812" i="1" s="1"/>
  <c r="X6813" i="1" s="1"/>
  <c r="X6814" i="1" s="1"/>
  <c r="X6815" i="1" s="1"/>
  <c r="X6816" i="1" s="1"/>
  <c r="X6817" i="1" s="1"/>
  <c r="X6818" i="1" s="1"/>
  <c r="X6819" i="1" s="1"/>
  <c r="X6820" i="1" s="1"/>
  <c r="X6821" i="1" s="1"/>
  <c r="X6822" i="1" s="1"/>
  <c r="X6823" i="1" s="1"/>
  <c r="X6824" i="1" s="1"/>
  <c r="X6825" i="1" s="1"/>
  <c r="X6826" i="1" s="1"/>
  <c r="X6827" i="1" s="1"/>
  <c r="X6828" i="1" s="1"/>
  <c r="X6829" i="1" s="1"/>
  <c r="X6830" i="1" s="1"/>
  <c r="X6831" i="1" s="1"/>
  <c r="X6832" i="1" s="1"/>
  <c r="X6833" i="1" s="1"/>
  <c r="X6834" i="1" s="1"/>
  <c r="X6835" i="1" s="1"/>
  <c r="X6836" i="1" s="1"/>
  <c r="X6837" i="1" s="1"/>
  <c r="X6838" i="1" s="1"/>
  <c r="X6839" i="1" s="1"/>
  <c r="X6840" i="1" s="1"/>
  <c r="X6841" i="1" s="1"/>
  <c r="X6842" i="1" s="1"/>
  <c r="X6843" i="1" s="1"/>
  <c r="X6844" i="1" s="1"/>
  <c r="X6845" i="1" s="1"/>
  <c r="X6846" i="1" s="1"/>
  <c r="X6847" i="1" s="1"/>
  <c r="X6848" i="1" s="1"/>
  <c r="X6849" i="1" s="1"/>
  <c r="X6850" i="1" s="1"/>
  <c r="X6851" i="1" s="1"/>
  <c r="X6852" i="1" s="1"/>
  <c r="X6853" i="1" s="1"/>
  <c r="X6854" i="1" s="1"/>
  <c r="X6855" i="1" s="1"/>
  <c r="X6856" i="1" s="1"/>
  <c r="X6857" i="1" s="1"/>
  <c r="X6858" i="1" s="1"/>
  <c r="X6859" i="1" s="1"/>
  <c r="X6860" i="1" s="1"/>
  <c r="X6861" i="1" s="1"/>
  <c r="X6862" i="1" s="1"/>
  <c r="X6863" i="1" s="1"/>
  <c r="X6864" i="1" s="1"/>
  <c r="X6865" i="1" s="1"/>
  <c r="X6866" i="1" s="1"/>
  <c r="X6867" i="1" s="1"/>
  <c r="X6868" i="1" s="1"/>
  <c r="X6869" i="1" s="1"/>
  <c r="X6870" i="1" s="1"/>
  <c r="X6871" i="1" s="1"/>
  <c r="X6872" i="1" s="1"/>
  <c r="X6873" i="1" s="1"/>
  <c r="X6874" i="1" s="1"/>
  <c r="X6875" i="1" s="1"/>
  <c r="X6876" i="1" s="1"/>
  <c r="X6877" i="1" s="1"/>
  <c r="X6878" i="1" s="1"/>
  <c r="X6879" i="1" s="1"/>
  <c r="X6880" i="1" s="1"/>
  <c r="X6881" i="1" s="1"/>
  <c r="X6882" i="1" s="1"/>
  <c r="X6883" i="1" s="1"/>
  <c r="X6884" i="1" s="1"/>
  <c r="X6885" i="1" s="1"/>
  <c r="X6886" i="1" s="1"/>
  <c r="X6887" i="1" s="1"/>
  <c r="X6888" i="1" s="1"/>
  <c r="X6889" i="1" s="1"/>
  <c r="X6890" i="1" s="1"/>
  <c r="X6891" i="1" s="1"/>
  <c r="X6892" i="1" s="1"/>
  <c r="X6893" i="1" s="1"/>
  <c r="X6894" i="1" s="1"/>
  <c r="X6895" i="1" s="1"/>
  <c r="X6896" i="1" s="1"/>
  <c r="X6897" i="1" s="1"/>
  <c r="X6898" i="1" s="1"/>
  <c r="X6899" i="1" s="1"/>
  <c r="X6900" i="1" s="1"/>
  <c r="X6901" i="1" s="1"/>
  <c r="X6902" i="1" s="1"/>
  <c r="X6903" i="1" s="1"/>
  <c r="X6904" i="1" s="1"/>
  <c r="X6905" i="1" s="1"/>
  <c r="X6906" i="1" s="1"/>
  <c r="X6907" i="1" s="1"/>
  <c r="X6908" i="1" s="1"/>
  <c r="X6909" i="1" s="1"/>
  <c r="X6910" i="1" s="1"/>
  <c r="X6911" i="1" s="1"/>
  <c r="X6912" i="1" s="1"/>
  <c r="X6913" i="1" s="1"/>
  <c r="X6914" i="1" s="1"/>
  <c r="X6915" i="1" s="1"/>
  <c r="X6916" i="1" s="1"/>
  <c r="X6917" i="1" s="1"/>
  <c r="X6918" i="1" s="1"/>
  <c r="X6919" i="1" s="1"/>
  <c r="X6920" i="1" s="1"/>
  <c r="X6921" i="1" s="1"/>
  <c r="X6922" i="1" s="1"/>
  <c r="X6923" i="1" s="1"/>
  <c r="X6924" i="1" s="1"/>
  <c r="X6925" i="1" s="1"/>
  <c r="X6926" i="1" s="1"/>
  <c r="X6927" i="1" s="1"/>
  <c r="X6928" i="1" s="1"/>
  <c r="X6929" i="1" s="1"/>
  <c r="X6930" i="1" s="1"/>
  <c r="X6931" i="1" s="1"/>
  <c r="X6932" i="1" s="1"/>
  <c r="X6933" i="1" s="1"/>
  <c r="X6934" i="1" s="1"/>
  <c r="X6935" i="1" s="1"/>
  <c r="X6936" i="1" s="1"/>
  <c r="X6937" i="1" s="1"/>
  <c r="X6938" i="1" s="1"/>
  <c r="X6939" i="1" s="1"/>
  <c r="X6940" i="1" s="1"/>
  <c r="X6941" i="1" s="1"/>
  <c r="X6942" i="1" s="1"/>
  <c r="X6943" i="1" s="1"/>
  <c r="X6944" i="1" s="1"/>
  <c r="X6945" i="1" s="1"/>
  <c r="X6946" i="1" s="1"/>
  <c r="X6947" i="1" s="1"/>
  <c r="X6948" i="1" s="1"/>
  <c r="X6949" i="1" s="1"/>
  <c r="X6950" i="1" s="1"/>
  <c r="X6951" i="1" s="1"/>
  <c r="X6952" i="1" s="1"/>
  <c r="X6953" i="1" s="1"/>
  <c r="X6954" i="1" s="1"/>
  <c r="X6955" i="1" s="1"/>
  <c r="X6956" i="1" s="1"/>
  <c r="X6957" i="1" s="1"/>
  <c r="X6958" i="1" s="1"/>
  <c r="X6959" i="1" s="1"/>
  <c r="X6960" i="1" s="1"/>
  <c r="X6961" i="1" s="1"/>
  <c r="X6962" i="1" s="1"/>
  <c r="X6963" i="1" s="1"/>
  <c r="X6964" i="1" s="1"/>
  <c r="X6965" i="1" s="1"/>
  <c r="X6966" i="1" s="1"/>
  <c r="X6967" i="1" s="1"/>
  <c r="X6968" i="1" s="1"/>
  <c r="X6969" i="1" s="1"/>
  <c r="X6970" i="1" s="1"/>
  <c r="X6971" i="1" s="1"/>
  <c r="X6972" i="1" s="1"/>
  <c r="X6973" i="1" s="1"/>
  <c r="X6974" i="1" s="1"/>
  <c r="X6975" i="1" s="1"/>
  <c r="X6976" i="1" s="1"/>
  <c r="X6977" i="1" s="1"/>
  <c r="X6978" i="1" s="1"/>
  <c r="X6979" i="1" s="1"/>
  <c r="X6980" i="1" s="1"/>
  <c r="X6981" i="1" s="1"/>
  <c r="X6982" i="1" s="1"/>
  <c r="X6983" i="1" s="1"/>
  <c r="X6984" i="1" s="1"/>
  <c r="X6985" i="1" s="1"/>
  <c r="X6986" i="1" s="1"/>
  <c r="X6987" i="1" s="1"/>
  <c r="X6988" i="1" s="1"/>
  <c r="X6989" i="1" s="1"/>
  <c r="X6990" i="1" s="1"/>
  <c r="X6991" i="1" s="1"/>
  <c r="X6992" i="1" s="1"/>
  <c r="X6993" i="1" s="1"/>
  <c r="X6994" i="1" s="1"/>
  <c r="X6995" i="1" s="1"/>
  <c r="X6996" i="1" s="1"/>
  <c r="X6997" i="1" s="1"/>
  <c r="X6998" i="1" s="1"/>
  <c r="X6999" i="1" s="1"/>
  <c r="X7000" i="1" s="1"/>
  <c r="X7001" i="1" s="1"/>
  <c r="X7002" i="1" s="1"/>
  <c r="X7003" i="1" s="1"/>
  <c r="X7004" i="1" s="1"/>
  <c r="X7005" i="1" s="1"/>
  <c r="X7006" i="1" s="1"/>
  <c r="X7007" i="1" s="1"/>
  <c r="X7008" i="1" s="1"/>
  <c r="X7009" i="1" s="1"/>
  <c r="X7010" i="1" s="1"/>
  <c r="X7011" i="1" s="1"/>
  <c r="X7012" i="1" s="1"/>
  <c r="X7013" i="1" s="1"/>
  <c r="X7014" i="1" s="1"/>
  <c r="X7015" i="1" s="1"/>
  <c r="X7016" i="1" s="1"/>
  <c r="X7017" i="1" s="1"/>
  <c r="X7018" i="1" s="1"/>
  <c r="X7019" i="1" s="1"/>
  <c r="X7020" i="1" s="1"/>
  <c r="X7021" i="1" s="1"/>
  <c r="X7022" i="1" s="1"/>
  <c r="X7023" i="1" s="1"/>
  <c r="X7024" i="1" s="1"/>
  <c r="X7025" i="1" s="1"/>
  <c r="X7026" i="1" s="1"/>
  <c r="X7027" i="1" s="1"/>
  <c r="X7028" i="1" s="1"/>
  <c r="X7029" i="1" s="1"/>
  <c r="X7030" i="1" s="1"/>
  <c r="X7031" i="1" s="1"/>
  <c r="X7032" i="1" s="1"/>
  <c r="X7033" i="1" s="1"/>
  <c r="X7034" i="1" s="1"/>
  <c r="X7035" i="1" s="1"/>
  <c r="X7036" i="1" s="1"/>
  <c r="X7037" i="1" s="1"/>
  <c r="X7038" i="1" s="1"/>
  <c r="X7039" i="1" s="1"/>
  <c r="X7040" i="1" s="1"/>
  <c r="X7041" i="1" s="1"/>
  <c r="X7042" i="1" s="1"/>
  <c r="X7043" i="1" s="1"/>
  <c r="X7044" i="1" s="1"/>
  <c r="X7045" i="1" s="1"/>
  <c r="X7046" i="1" s="1"/>
  <c r="X7047" i="1" s="1"/>
  <c r="X7048" i="1" s="1"/>
  <c r="X7049" i="1" s="1"/>
  <c r="X7050" i="1" s="1"/>
  <c r="X7051" i="1" s="1"/>
  <c r="X7052" i="1" s="1"/>
  <c r="X7053" i="1" s="1"/>
  <c r="X7054" i="1" s="1"/>
  <c r="X7055" i="1" s="1"/>
  <c r="X7056" i="1" s="1"/>
  <c r="X7057" i="1" s="1"/>
  <c r="X7058" i="1" s="1"/>
  <c r="X7059" i="1" s="1"/>
  <c r="X7060" i="1" s="1"/>
  <c r="X7061" i="1" s="1"/>
  <c r="X7062" i="1" s="1"/>
  <c r="X7063" i="1" s="1"/>
  <c r="X7064" i="1" s="1"/>
  <c r="X7065" i="1" s="1"/>
  <c r="X7066" i="1" s="1"/>
  <c r="X7067" i="1" s="1"/>
  <c r="X7068" i="1" s="1"/>
  <c r="X7069" i="1" s="1"/>
  <c r="X7070" i="1" s="1"/>
  <c r="X7071" i="1" s="1"/>
  <c r="X7072" i="1" s="1"/>
  <c r="X7073" i="1" s="1"/>
  <c r="X7074" i="1" s="1"/>
  <c r="X7075" i="1" s="1"/>
  <c r="X7076" i="1" s="1"/>
  <c r="X7077" i="1" s="1"/>
  <c r="X7078" i="1" s="1"/>
  <c r="X7079" i="1" s="1"/>
  <c r="X7080" i="1" s="1"/>
  <c r="X7081" i="1" s="1"/>
  <c r="X7082" i="1" s="1"/>
  <c r="X7083" i="1" s="1"/>
  <c r="X7084" i="1" s="1"/>
  <c r="X7085" i="1" s="1"/>
  <c r="X7086" i="1" s="1"/>
  <c r="X7087" i="1" s="1"/>
  <c r="X7088" i="1" s="1"/>
  <c r="X7089" i="1" s="1"/>
  <c r="X7090" i="1" s="1"/>
  <c r="X7091" i="1" s="1"/>
  <c r="X7092" i="1" s="1"/>
  <c r="X7093" i="1" s="1"/>
  <c r="X7094" i="1" s="1"/>
  <c r="X7095" i="1" s="1"/>
  <c r="X7096" i="1" s="1"/>
  <c r="X7097" i="1" s="1"/>
  <c r="X7098" i="1" s="1"/>
  <c r="X7099" i="1" s="1"/>
  <c r="X7100" i="1" s="1"/>
  <c r="X7101" i="1" s="1"/>
  <c r="X7102" i="1" s="1"/>
  <c r="X7103" i="1" s="1"/>
  <c r="X7104" i="1" s="1"/>
  <c r="X7105" i="1" s="1"/>
  <c r="X7106" i="1" s="1"/>
  <c r="X7107" i="1" s="1"/>
  <c r="X7108" i="1" s="1"/>
  <c r="X7109" i="1" s="1"/>
  <c r="X7110" i="1" s="1"/>
  <c r="X7111" i="1" s="1"/>
  <c r="X7112" i="1" s="1"/>
  <c r="X7113" i="1" s="1"/>
  <c r="X7114" i="1" s="1"/>
  <c r="X7115" i="1" s="1"/>
  <c r="X7116" i="1" s="1"/>
  <c r="X7117" i="1" s="1"/>
  <c r="X7118" i="1" s="1"/>
  <c r="X7119" i="1" s="1"/>
  <c r="X7120" i="1" s="1"/>
  <c r="X7121" i="1" s="1"/>
  <c r="X7122" i="1" s="1"/>
  <c r="X7123" i="1" s="1"/>
  <c r="X7124" i="1" s="1"/>
  <c r="X7125" i="1" s="1"/>
  <c r="X7126" i="1" s="1"/>
  <c r="X7127" i="1" s="1"/>
  <c r="X7128" i="1" s="1"/>
  <c r="X7129" i="1" s="1"/>
  <c r="X7130" i="1" s="1"/>
  <c r="X7131" i="1" s="1"/>
  <c r="X7132" i="1" s="1"/>
  <c r="X7133" i="1" s="1"/>
  <c r="X7134" i="1" s="1"/>
  <c r="X7135" i="1" s="1"/>
  <c r="X7136" i="1" s="1"/>
  <c r="X7137" i="1" s="1"/>
  <c r="X7138" i="1" s="1"/>
  <c r="X7139" i="1" s="1"/>
  <c r="X7140" i="1" s="1"/>
  <c r="X7141" i="1" s="1"/>
  <c r="X7142" i="1" s="1"/>
  <c r="X7143" i="1" s="1"/>
  <c r="X7144" i="1" s="1"/>
  <c r="X7145" i="1" s="1"/>
  <c r="X7146" i="1" s="1"/>
  <c r="X7147" i="1" s="1"/>
  <c r="X7148" i="1" s="1"/>
  <c r="X7149" i="1" s="1"/>
  <c r="X7150" i="1" s="1"/>
  <c r="X7151" i="1" s="1"/>
  <c r="X7152" i="1" s="1"/>
  <c r="X7153" i="1" s="1"/>
  <c r="X7154" i="1" s="1"/>
  <c r="X7155" i="1" s="1"/>
  <c r="X7156" i="1" s="1"/>
  <c r="X7157" i="1" s="1"/>
  <c r="X7158" i="1" s="1"/>
  <c r="X7159" i="1" s="1"/>
  <c r="X7160" i="1" s="1"/>
  <c r="X7161" i="1" s="1"/>
  <c r="X7162" i="1" s="1"/>
  <c r="X7163" i="1" s="1"/>
  <c r="X7164" i="1" s="1"/>
  <c r="X7165" i="1" s="1"/>
  <c r="X7166" i="1" s="1"/>
  <c r="X7167" i="1" s="1"/>
  <c r="X7168" i="1" s="1"/>
  <c r="X7169" i="1" s="1"/>
  <c r="X7170" i="1" s="1"/>
  <c r="X7171" i="1" s="1"/>
  <c r="X7172" i="1" s="1"/>
  <c r="X7173" i="1" s="1"/>
  <c r="X7174" i="1" s="1"/>
  <c r="X7175" i="1" s="1"/>
  <c r="X7176" i="1" s="1"/>
  <c r="X7177" i="1" s="1"/>
  <c r="X7178" i="1" s="1"/>
  <c r="X7179" i="1" s="1"/>
  <c r="X7180" i="1" s="1"/>
  <c r="X7181" i="1" s="1"/>
  <c r="X7182" i="1" s="1"/>
  <c r="X7183" i="1" s="1"/>
  <c r="X7184" i="1" s="1"/>
  <c r="X7185" i="1" s="1"/>
  <c r="X7186" i="1" s="1"/>
  <c r="X7187" i="1" s="1"/>
  <c r="X7188" i="1" s="1"/>
  <c r="X7189" i="1" s="1"/>
  <c r="X7190" i="1" s="1"/>
  <c r="X7191" i="1" s="1"/>
  <c r="X7192" i="1" s="1"/>
  <c r="X7193" i="1" s="1"/>
  <c r="X7194" i="1" s="1"/>
  <c r="X7195" i="1" s="1"/>
  <c r="X7196" i="1" s="1"/>
  <c r="X7197" i="1" s="1"/>
  <c r="X7198" i="1" s="1"/>
  <c r="X7199" i="1" s="1"/>
  <c r="X7200" i="1" s="1"/>
  <c r="X7201" i="1" s="1"/>
  <c r="X7202" i="1" s="1"/>
  <c r="X7203" i="1" s="1"/>
  <c r="X7204" i="1" s="1"/>
  <c r="X7205" i="1" s="1"/>
  <c r="X7206" i="1" s="1"/>
  <c r="X7207" i="1" s="1"/>
  <c r="X7208" i="1" s="1"/>
  <c r="X7209" i="1" s="1"/>
  <c r="X7210" i="1" s="1"/>
  <c r="X7211" i="1" s="1"/>
  <c r="X7212" i="1" s="1"/>
  <c r="X7213" i="1" s="1"/>
  <c r="X7214" i="1" s="1"/>
  <c r="X7215" i="1" s="1"/>
  <c r="X7216" i="1" s="1"/>
  <c r="X7217" i="1" s="1"/>
  <c r="X7218" i="1" s="1"/>
  <c r="X7219" i="1" s="1"/>
  <c r="X7220" i="1" s="1"/>
  <c r="X7221" i="1" s="1"/>
  <c r="X7222" i="1" s="1"/>
  <c r="X7223" i="1" s="1"/>
  <c r="X7224" i="1" s="1"/>
  <c r="X7225" i="1" s="1"/>
  <c r="X7226" i="1" s="1"/>
  <c r="X7227" i="1" s="1"/>
  <c r="X7228" i="1" s="1"/>
  <c r="X7229" i="1" s="1"/>
  <c r="X7230" i="1" s="1"/>
  <c r="X7231" i="1" s="1"/>
  <c r="X7232" i="1" s="1"/>
  <c r="X7233" i="1" s="1"/>
  <c r="X7234" i="1" s="1"/>
  <c r="X7235" i="1" s="1"/>
  <c r="X7236" i="1" s="1"/>
  <c r="X7237" i="1" s="1"/>
  <c r="X7238" i="1" s="1"/>
  <c r="X7239" i="1" s="1"/>
  <c r="X7240" i="1" s="1"/>
  <c r="X7241" i="1" s="1"/>
  <c r="X7242" i="1" s="1"/>
  <c r="X7243" i="1" s="1"/>
  <c r="X7244" i="1" s="1"/>
  <c r="X7245" i="1" s="1"/>
  <c r="X7246" i="1" s="1"/>
  <c r="X7247" i="1" s="1"/>
  <c r="X7248" i="1" s="1"/>
  <c r="X7249" i="1" s="1"/>
  <c r="X7250" i="1" s="1"/>
  <c r="X7251" i="1" s="1"/>
  <c r="X7252" i="1" s="1"/>
  <c r="X7253" i="1" s="1"/>
  <c r="X7254" i="1" s="1"/>
  <c r="X7255" i="1" s="1"/>
  <c r="X7256" i="1" s="1"/>
  <c r="X7257" i="1" s="1"/>
  <c r="X7258" i="1" s="1"/>
  <c r="X7259" i="1" s="1"/>
  <c r="X7260" i="1" s="1"/>
  <c r="X7261" i="1" s="1"/>
  <c r="X7262" i="1" s="1"/>
  <c r="X7263" i="1" s="1"/>
  <c r="X7264" i="1" s="1"/>
  <c r="X7265" i="1" s="1"/>
  <c r="X7266" i="1" s="1"/>
  <c r="X7267" i="1" s="1"/>
  <c r="X7268" i="1" s="1"/>
  <c r="X7269" i="1" s="1"/>
  <c r="X7270" i="1" s="1"/>
  <c r="X7271" i="1" s="1"/>
  <c r="X7272" i="1" s="1"/>
  <c r="X7273" i="1" s="1"/>
  <c r="X7274" i="1" s="1"/>
  <c r="X7275" i="1" s="1"/>
  <c r="X7276" i="1" s="1"/>
  <c r="X7277" i="1" s="1"/>
  <c r="X7278" i="1" s="1"/>
  <c r="X7279" i="1" s="1"/>
  <c r="X7280" i="1" s="1"/>
  <c r="X7281" i="1" s="1"/>
  <c r="X7282" i="1" s="1"/>
  <c r="X7283" i="1" s="1"/>
  <c r="X7284" i="1" s="1"/>
  <c r="X7285" i="1" s="1"/>
  <c r="X7286" i="1" s="1"/>
  <c r="X7287" i="1" s="1"/>
  <c r="X7288" i="1" s="1"/>
  <c r="X7289" i="1" s="1"/>
  <c r="X7290" i="1" s="1"/>
  <c r="X7291" i="1" s="1"/>
  <c r="X7292" i="1" s="1"/>
  <c r="X7293" i="1" s="1"/>
  <c r="X7294" i="1" s="1"/>
  <c r="X7295" i="1" s="1"/>
  <c r="X7296" i="1" s="1"/>
  <c r="X7297" i="1" s="1"/>
  <c r="X7298" i="1" s="1"/>
  <c r="X7299" i="1" s="1"/>
  <c r="X7300" i="1" s="1"/>
  <c r="X7301" i="1" s="1"/>
  <c r="X7302" i="1" s="1"/>
  <c r="X7303" i="1" s="1"/>
  <c r="X7304" i="1" s="1"/>
  <c r="X7305" i="1" s="1"/>
  <c r="X7306" i="1" s="1"/>
  <c r="X7307" i="1" s="1"/>
  <c r="X7308" i="1" s="1"/>
  <c r="X7309" i="1" s="1"/>
  <c r="X7310" i="1" s="1"/>
  <c r="X7311" i="1" s="1"/>
  <c r="X7312" i="1" s="1"/>
  <c r="X7313" i="1" s="1"/>
  <c r="X7314" i="1" s="1"/>
  <c r="X7315" i="1" s="1"/>
  <c r="X7316" i="1" s="1"/>
  <c r="X7317" i="1" s="1"/>
  <c r="X7318" i="1" s="1"/>
  <c r="X7319" i="1" s="1"/>
  <c r="X7320" i="1" s="1"/>
  <c r="X7321" i="1" s="1"/>
  <c r="X7322" i="1" s="1"/>
  <c r="X7323" i="1" s="1"/>
  <c r="X7324" i="1" s="1"/>
  <c r="X7325" i="1" s="1"/>
  <c r="X7326" i="1" s="1"/>
  <c r="X7327" i="1" s="1"/>
  <c r="X7328" i="1" s="1"/>
  <c r="X7329" i="1" s="1"/>
  <c r="X7330" i="1" s="1"/>
  <c r="X7331" i="1" s="1"/>
  <c r="X7332" i="1" s="1"/>
  <c r="X7333" i="1" s="1"/>
  <c r="X7334" i="1" s="1"/>
  <c r="X7335" i="1" s="1"/>
  <c r="X7336" i="1" s="1"/>
  <c r="X7337" i="1" s="1"/>
  <c r="X7338" i="1" s="1"/>
  <c r="X7339" i="1" s="1"/>
  <c r="X7340" i="1" s="1"/>
  <c r="X7341" i="1" s="1"/>
  <c r="X7342" i="1" s="1"/>
  <c r="X7343" i="1" s="1"/>
  <c r="X7344" i="1" s="1"/>
  <c r="X7345" i="1" s="1"/>
  <c r="X7346" i="1" s="1"/>
  <c r="X7347" i="1" s="1"/>
  <c r="X7348" i="1" s="1"/>
  <c r="X7349" i="1" s="1"/>
  <c r="X7350" i="1" s="1"/>
  <c r="X7351" i="1" s="1"/>
  <c r="X7352" i="1" s="1"/>
  <c r="X7353" i="1" s="1"/>
  <c r="X7354" i="1" s="1"/>
  <c r="X7355" i="1" s="1"/>
  <c r="X7356" i="1" s="1"/>
  <c r="X7357" i="1" s="1"/>
  <c r="X7358" i="1" s="1"/>
  <c r="X7359" i="1" s="1"/>
  <c r="X7360" i="1" s="1"/>
  <c r="X7361" i="1" s="1"/>
  <c r="X7362" i="1" s="1"/>
  <c r="X7363" i="1" s="1"/>
  <c r="X7364" i="1" s="1"/>
  <c r="X7365" i="1" s="1"/>
  <c r="X7366" i="1" s="1"/>
  <c r="X7367" i="1" s="1"/>
  <c r="X7368" i="1" s="1"/>
  <c r="X7369" i="1" s="1"/>
  <c r="X7370" i="1" s="1"/>
  <c r="X7371" i="1" s="1"/>
  <c r="X7372" i="1" s="1"/>
  <c r="X7373" i="1" s="1"/>
  <c r="X7374" i="1" s="1"/>
  <c r="X7375" i="1" s="1"/>
  <c r="X7376" i="1" s="1"/>
  <c r="X7377" i="1" s="1"/>
  <c r="X7378" i="1" s="1"/>
  <c r="X7379" i="1" s="1"/>
  <c r="X7380" i="1" s="1"/>
  <c r="X7381" i="1" s="1"/>
  <c r="X7382" i="1" s="1"/>
  <c r="X7383" i="1" s="1"/>
  <c r="X7384" i="1" s="1"/>
  <c r="X7385" i="1" s="1"/>
  <c r="X7386" i="1" s="1"/>
  <c r="X7387" i="1" s="1"/>
  <c r="X7388" i="1" s="1"/>
  <c r="X7389" i="1" s="1"/>
  <c r="X7390" i="1" s="1"/>
  <c r="X7391" i="1" s="1"/>
  <c r="X7392" i="1" s="1"/>
  <c r="X7393" i="1" s="1"/>
  <c r="X7394" i="1" s="1"/>
  <c r="X7395" i="1" s="1"/>
  <c r="X7396" i="1" s="1"/>
  <c r="X7397" i="1" s="1"/>
  <c r="X7398" i="1" s="1"/>
  <c r="X7399" i="1" s="1"/>
  <c r="X7400" i="1" s="1"/>
  <c r="X7401" i="1" s="1"/>
  <c r="X7402" i="1" s="1"/>
  <c r="X7403" i="1" s="1"/>
  <c r="X7404" i="1" s="1"/>
  <c r="X7405" i="1" s="1"/>
  <c r="X7406" i="1" s="1"/>
  <c r="X7407" i="1" s="1"/>
  <c r="X7408" i="1" s="1"/>
  <c r="X7409" i="1" s="1"/>
  <c r="X7410" i="1" s="1"/>
  <c r="X7411" i="1" s="1"/>
  <c r="X7412" i="1" s="1"/>
  <c r="X7413" i="1" s="1"/>
  <c r="X7414" i="1" s="1"/>
  <c r="X7415" i="1" s="1"/>
  <c r="X7416" i="1" s="1"/>
  <c r="X7417" i="1" s="1"/>
  <c r="X7418" i="1" s="1"/>
  <c r="X7419" i="1" s="1"/>
  <c r="X7420" i="1" s="1"/>
  <c r="X7421" i="1" s="1"/>
  <c r="X7422" i="1" s="1"/>
  <c r="X7423" i="1" s="1"/>
  <c r="X7424" i="1" s="1"/>
  <c r="X7425" i="1" s="1"/>
  <c r="X7426" i="1" s="1"/>
  <c r="X7427" i="1" s="1"/>
  <c r="X7428" i="1" s="1"/>
  <c r="X7429" i="1" s="1"/>
  <c r="X7430" i="1" s="1"/>
  <c r="X7431" i="1" s="1"/>
  <c r="X7432" i="1" s="1"/>
  <c r="X7433" i="1" s="1"/>
  <c r="X7434" i="1" s="1"/>
  <c r="X7435" i="1" s="1"/>
  <c r="X7436" i="1" s="1"/>
  <c r="X7437" i="1" s="1"/>
  <c r="X7438" i="1" s="1"/>
  <c r="X7439" i="1" s="1"/>
  <c r="X7440" i="1" s="1"/>
  <c r="X7441" i="1" s="1"/>
  <c r="X7442" i="1" s="1"/>
  <c r="X7443" i="1" s="1"/>
  <c r="X7444" i="1" s="1"/>
  <c r="X7445" i="1" s="1"/>
  <c r="X7446" i="1" s="1"/>
  <c r="X7447" i="1" s="1"/>
  <c r="X7448" i="1" s="1"/>
  <c r="X7449" i="1" s="1"/>
  <c r="X7450" i="1" s="1"/>
  <c r="X7451" i="1" s="1"/>
  <c r="X7452" i="1" s="1"/>
  <c r="X7453" i="1" s="1"/>
  <c r="X7454" i="1" s="1"/>
  <c r="X7455" i="1" s="1"/>
  <c r="X7456" i="1" s="1"/>
  <c r="X7457" i="1" s="1"/>
  <c r="X7458" i="1" s="1"/>
  <c r="X7459" i="1" s="1"/>
  <c r="X7460" i="1" s="1"/>
  <c r="X7461" i="1" s="1"/>
  <c r="X7462" i="1" s="1"/>
  <c r="X7463" i="1" s="1"/>
  <c r="X7464" i="1" s="1"/>
  <c r="X7465" i="1" s="1"/>
  <c r="X7466" i="1" s="1"/>
  <c r="X7467" i="1" s="1"/>
  <c r="X7468" i="1" s="1"/>
  <c r="X7469" i="1" s="1"/>
  <c r="X7470" i="1" s="1"/>
  <c r="X7471" i="1" s="1"/>
  <c r="X7472" i="1" s="1"/>
  <c r="X7473" i="1" s="1"/>
  <c r="X7474" i="1" s="1"/>
  <c r="X7475" i="1" s="1"/>
  <c r="X7476" i="1" s="1"/>
  <c r="X7477" i="1" s="1"/>
  <c r="X7478" i="1" s="1"/>
  <c r="X7479" i="1" s="1"/>
  <c r="X7480" i="1" s="1"/>
  <c r="X7481" i="1" s="1"/>
  <c r="X7482" i="1" s="1"/>
  <c r="X7483" i="1" s="1"/>
  <c r="X7484" i="1" s="1"/>
  <c r="X7485" i="1" s="1"/>
  <c r="X7486" i="1" s="1"/>
  <c r="X7487" i="1" s="1"/>
  <c r="X7488" i="1" s="1"/>
  <c r="X7489" i="1" s="1"/>
  <c r="X7490" i="1" s="1"/>
  <c r="X7491" i="1" s="1"/>
  <c r="X7492" i="1" s="1"/>
  <c r="X7493" i="1" s="1"/>
  <c r="X7494" i="1" s="1"/>
  <c r="X7495" i="1" s="1"/>
  <c r="X7496" i="1" s="1"/>
  <c r="X7497" i="1" s="1"/>
  <c r="X7498" i="1" s="1"/>
  <c r="X7499" i="1" s="1"/>
  <c r="X7500" i="1" s="1"/>
  <c r="X7501" i="1" s="1"/>
  <c r="X7502" i="1" s="1"/>
  <c r="X7503" i="1" s="1"/>
  <c r="X7504" i="1" s="1"/>
  <c r="X7505" i="1" s="1"/>
  <c r="X7506" i="1" s="1"/>
  <c r="X7507" i="1" s="1"/>
  <c r="X7508" i="1" s="1"/>
  <c r="X7509" i="1" s="1"/>
  <c r="X7510" i="1" s="1"/>
  <c r="X7511" i="1" s="1"/>
  <c r="X7512" i="1" s="1"/>
  <c r="X7513" i="1" s="1"/>
  <c r="X7514" i="1" s="1"/>
  <c r="X7515" i="1" s="1"/>
  <c r="X7516" i="1" s="1"/>
  <c r="X7517" i="1" s="1"/>
  <c r="X7518" i="1" s="1"/>
  <c r="X7519" i="1" s="1"/>
  <c r="X7520" i="1" s="1"/>
  <c r="X7521" i="1" s="1"/>
  <c r="X7522" i="1" s="1"/>
  <c r="X7523" i="1" s="1"/>
  <c r="X7524" i="1" s="1"/>
  <c r="X7525" i="1" s="1"/>
  <c r="X7526" i="1" s="1"/>
  <c r="X7527" i="1" s="1"/>
  <c r="X7528" i="1" s="1"/>
  <c r="X7529" i="1" s="1"/>
  <c r="X7530" i="1" s="1"/>
  <c r="X7531" i="1" s="1"/>
  <c r="X7532" i="1" s="1"/>
  <c r="X7533" i="1" s="1"/>
  <c r="X7534" i="1" s="1"/>
  <c r="X7535" i="1" s="1"/>
  <c r="X7536" i="1" s="1"/>
  <c r="X7537" i="1" s="1"/>
  <c r="X7538" i="1" s="1"/>
  <c r="X7539" i="1" s="1"/>
  <c r="X7540" i="1" s="1"/>
  <c r="X7541" i="1" s="1"/>
  <c r="X7542" i="1" s="1"/>
  <c r="X7543" i="1" s="1"/>
  <c r="X7544" i="1" s="1"/>
  <c r="X7545" i="1" s="1"/>
  <c r="X7546" i="1" s="1"/>
  <c r="X7547" i="1" s="1"/>
  <c r="X7548" i="1" s="1"/>
  <c r="X7549" i="1" s="1"/>
  <c r="X7550" i="1" s="1"/>
  <c r="X7551" i="1" s="1"/>
  <c r="X7552" i="1" s="1"/>
  <c r="X7553" i="1" s="1"/>
  <c r="X7554" i="1" s="1"/>
  <c r="X7555" i="1" s="1"/>
  <c r="X7556" i="1" s="1"/>
  <c r="X7557" i="1" s="1"/>
  <c r="X7558" i="1" s="1"/>
  <c r="X7559" i="1" s="1"/>
  <c r="X7560" i="1" s="1"/>
  <c r="X7561" i="1" s="1"/>
  <c r="X7562" i="1" s="1"/>
  <c r="X7563" i="1" s="1"/>
  <c r="X7564" i="1" s="1"/>
  <c r="X7565" i="1" s="1"/>
  <c r="X7566" i="1" s="1"/>
  <c r="X7567" i="1" s="1"/>
  <c r="X7568" i="1" s="1"/>
  <c r="X7569" i="1" s="1"/>
  <c r="X7570" i="1" s="1"/>
  <c r="X7571" i="1" s="1"/>
  <c r="X7572" i="1" s="1"/>
  <c r="X7573" i="1" s="1"/>
  <c r="X7574" i="1" s="1"/>
  <c r="X7575" i="1" s="1"/>
  <c r="X7576" i="1" s="1"/>
  <c r="X7577" i="1" s="1"/>
  <c r="X7578" i="1" s="1"/>
  <c r="X7579" i="1" s="1"/>
  <c r="X7580" i="1" s="1"/>
  <c r="X7581" i="1" s="1"/>
  <c r="X7582" i="1" s="1"/>
  <c r="X7583" i="1" s="1"/>
  <c r="X7584" i="1" s="1"/>
  <c r="X7585" i="1" s="1"/>
  <c r="X7586" i="1" s="1"/>
  <c r="X7587" i="1" s="1"/>
  <c r="X7588" i="1" s="1"/>
  <c r="X7589" i="1" s="1"/>
  <c r="X7590" i="1" s="1"/>
  <c r="X7591" i="1" s="1"/>
  <c r="X7592" i="1" s="1"/>
  <c r="X7593" i="1" s="1"/>
  <c r="X7594" i="1" s="1"/>
  <c r="X7595" i="1" s="1"/>
  <c r="X7596" i="1" s="1"/>
  <c r="X7597" i="1" s="1"/>
  <c r="X7598" i="1" s="1"/>
  <c r="X7599" i="1" s="1"/>
  <c r="X7600" i="1" s="1"/>
  <c r="X7601" i="1" s="1"/>
  <c r="X7602" i="1" s="1"/>
  <c r="X7603" i="1" s="1"/>
  <c r="X7604" i="1" s="1"/>
  <c r="X7605" i="1" s="1"/>
  <c r="X7606" i="1" s="1"/>
  <c r="X7607" i="1" s="1"/>
  <c r="X7608" i="1" s="1"/>
  <c r="X7609" i="1" s="1"/>
  <c r="X7610" i="1" s="1"/>
  <c r="X7611" i="1" s="1"/>
  <c r="X7612" i="1" s="1"/>
  <c r="X7613" i="1" s="1"/>
  <c r="X7614" i="1" s="1"/>
  <c r="X7615" i="1" s="1"/>
  <c r="X7616" i="1" s="1"/>
  <c r="X7617" i="1" s="1"/>
  <c r="X7618" i="1" s="1"/>
  <c r="X7619" i="1" s="1"/>
  <c r="X7620" i="1" s="1"/>
  <c r="X7621" i="1" s="1"/>
  <c r="X7622" i="1" s="1"/>
  <c r="X7623" i="1" s="1"/>
  <c r="X7624" i="1" s="1"/>
  <c r="X7625" i="1" s="1"/>
  <c r="X7626" i="1" s="1"/>
  <c r="X7627" i="1" s="1"/>
  <c r="X7628" i="1" s="1"/>
  <c r="X7629" i="1" s="1"/>
  <c r="X7630" i="1" s="1"/>
  <c r="X7631" i="1" s="1"/>
  <c r="X7632" i="1" s="1"/>
  <c r="X7633" i="1" s="1"/>
  <c r="X7634" i="1" s="1"/>
  <c r="X7635" i="1" s="1"/>
  <c r="X7636" i="1" s="1"/>
  <c r="X7637" i="1" s="1"/>
  <c r="X7638" i="1" s="1"/>
  <c r="X7639" i="1" s="1"/>
  <c r="X7640" i="1" s="1"/>
  <c r="X7641" i="1" s="1"/>
  <c r="X7642" i="1" s="1"/>
  <c r="X7643" i="1" s="1"/>
  <c r="X7644" i="1" s="1"/>
  <c r="X7645" i="1" s="1"/>
  <c r="X7646" i="1" s="1"/>
  <c r="X7647" i="1" s="1"/>
  <c r="X7648" i="1" s="1"/>
  <c r="X7649" i="1" s="1"/>
  <c r="X7650" i="1" s="1"/>
  <c r="X7651" i="1" s="1"/>
  <c r="X7652" i="1" s="1"/>
  <c r="X7653" i="1" s="1"/>
  <c r="X7654" i="1" s="1"/>
  <c r="X7655" i="1" s="1"/>
  <c r="X7656" i="1" s="1"/>
  <c r="X7657" i="1" s="1"/>
  <c r="X7658" i="1" s="1"/>
  <c r="X7659" i="1" s="1"/>
  <c r="X7660" i="1" s="1"/>
  <c r="X7661" i="1" s="1"/>
  <c r="X7662" i="1" s="1"/>
  <c r="X7663" i="1" s="1"/>
  <c r="X7664" i="1" s="1"/>
  <c r="X7665" i="1" s="1"/>
  <c r="X7666" i="1" s="1"/>
  <c r="X7667" i="1" s="1"/>
  <c r="X7668" i="1" s="1"/>
  <c r="X7669" i="1" s="1"/>
  <c r="X7670" i="1" s="1"/>
  <c r="X7671" i="1" s="1"/>
  <c r="X7672" i="1" s="1"/>
  <c r="X7673" i="1" s="1"/>
  <c r="X7674" i="1" s="1"/>
  <c r="X7675" i="1" s="1"/>
  <c r="X7676" i="1" s="1"/>
  <c r="X7677" i="1" s="1"/>
  <c r="X7678" i="1" s="1"/>
  <c r="X7679" i="1" s="1"/>
  <c r="X7680" i="1" s="1"/>
  <c r="X7681" i="1" s="1"/>
  <c r="X7682" i="1" s="1"/>
  <c r="X7683" i="1" s="1"/>
  <c r="X7684" i="1" s="1"/>
  <c r="X7685" i="1" s="1"/>
  <c r="X7686" i="1" s="1"/>
  <c r="X7687" i="1" s="1"/>
  <c r="X7688" i="1" s="1"/>
  <c r="X7689" i="1" s="1"/>
  <c r="X7690" i="1" s="1"/>
  <c r="X7691" i="1" s="1"/>
  <c r="X7692" i="1" s="1"/>
  <c r="X7693" i="1" s="1"/>
  <c r="X7694" i="1" s="1"/>
  <c r="X7695" i="1" s="1"/>
  <c r="X7696" i="1" s="1"/>
  <c r="X7697" i="1" s="1"/>
  <c r="X7698" i="1" s="1"/>
  <c r="X7699" i="1" s="1"/>
  <c r="X7700" i="1" s="1"/>
  <c r="X7701" i="1" s="1"/>
  <c r="X7702" i="1" s="1"/>
  <c r="X7703" i="1" s="1"/>
  <c r="X7704" i="1" s="1"/>
  <c r="X7705" i="1" s="1"/>
  <c r="X7706" i="1" s="1"/>
  <c r="X7707" i="1" s="1"/>
  <c r="X7708" i="1" s="1"/>
  <c r="X7709" i="1" s="1"/>
  <c r="X7710" i="1" s="1"/>
  <c r="X7711" i="1" s="1"/>
  <c r="X7712" i="1" s="1"/>
  <c r="X7713" i="1" s="1"/>
  <c r="X7714" i="1" s="1"/>
  <c r="X7715" i="1" s="1"/>
  <c r="X7716" i="1" s="1"/>
  <c r="X7717" i="1" s="1"/>
  <c r="X7718" i="1" s="1"/>
  <c r="X7719" i="1" s="1"/>
  <c r="X7720" i="1" s="1"/>
  <c r="X7721" i="1" s="1"/>
  <c r="X7722" i="1" s="1"/>
  <c r="X7723" i="1" s="1"/>
  <c r="X7724" i="1" s="1"/>
  <c r="X7725" i="1" s="1"/>
  <c r="X7726" i="1" s="1"/>
  <c r="X7727" i="1" s="1"/>
  <c r="X7728" i="1" s="1"/>
  <c r="X7729" i="1" s="1"/>
  <c r="X7730" i="1" s="1"/>
  <c r="X7731" i="1" s="1"/>
  <c r="X7732" i="1" s="1"/>
  <c r="X7733" i="1" s="1"/>
  <c r="X7734" i="1" s="1"/>
  <c r="X7735" i="1" s="1"/>
  <c r="X7736" i="1" s="1"/>
  <c r="X7737" i="1" s="1"/>
  <c r="X7738" i="1" s="1"/>
  <c r="X7739" i="1" s="1"/>
  <c r="X7740" i="1" s="1"/>
  <c r="X7741" i="1" s="1"/>
  <c r="X7742" i="1" s="1"/>
  <c r="X7743" i="1" s="1"/>
  <c r="X7744" i="1" s="1"/>
  <c r="X7745" i="1" s="1"/>
  <c r="X7746" i="1" s="1"/>
  <c r="X7747" i="1" s="1"/>
  <c r="X7748" i="1" s="1"/>
  <c r="X7749" i="1" s="1"/>
  <c r="X7750" i="1" s="1"/>
  <c r="X7751" i="1" s="1"/>
  <c r="X7752" i="1" s="1"/>
  <c r="X7753" i="1" s="1"/>
  <c r="X7754" i="1" s="1"/>
  <c r="X7755" i="1" s="1"/>
  <c r="X7756" i="1" s="1"/>
  <c r="X7757" i="1" s="1"/>
  <c r="X7758" i="1" s="1"/>
  <c r="X7759" i="1" s="1"/>
  <c r="X7760" i="1" s="1"/>
  <c r="X7761" i="1" s="1"/>
  <c r="X7762" i="1" s="1"/>
  <c r="X7763" i="1" s="1"/>
  <c r="X7764" i="1" s="1"/>
  <c r="X7765" i="1" s="1"/>
  <c r="X7766" i="1" s="1"/>
  <c r="X7767" i="1" s="1"/>
  <c r="X7768" i="1" s="1"/>
  <c r="X7769" i="1" s="1"/>
  <c r="X7770" i="1" s="1"/>
  <c r="X7771" i="1" s="1"/>
  <c r="X7772" i="1" s="1"/>
  <c r="X7773" i="1" s="1"/>
  <c r="X7774" i="1" s="1"/>
  <c r="X7775" i="1" s="1"/>
  <c r="X7776" i="1" s="1"/>
  <c r="X7777" i="1" s="1"/>
  <c r="X7778" i="1" s="1"/>
  <c r="X7779" i="1" s="1"/>
  <c r="X7780" i="1" s="1"/>
  <c r="X7781" i="1" s="1"/>
  <c r="X7782" i="1" s="1"/>
  <c r="X7783" i="1" s="1"/>
  <c r="X7784" i="1" s="1"/>
  <c r="X7785" i="1" s="1"/>
  <c r="X7786" i="1" s="1"/>
  <c r="X7787" i="1" s="1"/>
  <c r="X7788" i="1" s="1"/>
  <c r="X7789" i="1" s="1"/>
  <c r="X7790" i="1" s="1"/>
  <c r="X7791" i="1" s="1"/>
  <c r="X7792" i="1" s="1"/>
  <c r="X7793" i="1" s="1"/>
  <c r="X7794" i="1" s="1"/>
  <c r="X7795" i="1" s="1"/>
  <c r="X7796" i="1" s="1"/>
  <c r="X7797" i="1" s="1"/>
  <c r="X7798" i="1" s="1"/>
  <c r="X7799" i="1" s="1"/>
  <c r="X7800" i="1" s="1"/>
  <c r="X7801" i="1" s="1"/>
  <c r="X7802" i="1" s="1"/>
  <c r="X7803" i="1" s="1"/>
  <c r="X7804" i="1" s="1"/>
  <c r="X7805" i="1" s="1"/>
  <c r="X7806" i="1" s="1"/>
  <c r="X7807" i="1" s="1"/>
  <c r="X7808" i="1" s="1"/>
  <c r="X7809" i="1" s="1"/>
  <c r="X7810" i="1" s="1"/>
  <c r="X7811" i="1" s="1"/>
  <c r="X7812" i="1" s="1"/>
  <c r="X7813" i="1" s="1"/>
  <c r="X7814" i="1" s="1"/>
  <c r="X7815" i="1" s="1"/>
  <c r="X7816" i="1" s="1"/>
  <c r="X7817" i="1" s="1"/>
  <c r="X7818" i="1" s="1"/>
  <c r="X7819" i="1" s="1"/>
  <c r="X7820" i="1" s="1"/>
  <c r="X7821" i="1" s="1"/>
  <c r="X7822" i="1" s="1"/>
  <c r="X7823" i="1" s="1"/>
  <c r="X7824" i="1" s="1"/>
  <c r="X7825" i="1" s="1"/>
  <c r="X7826" i="1" s="1"/>
  <c r="X7827" i="1" s="1"/>
  <c r="X7828" i="1" s="1"/>
  <c r="X7829" i="1" s="1"/>
  <c r="X7830" i="1" s="1"/>
  <c r="X7831" i="1" s="1"/>
  <c r="X7832" i="1" s="1"/>
  <c r="X7833" i="1" s="1"/>
  <c r="X7834" i="1" s="1"/>
  <c r="X7835" i="1" s="1"/>
  <c r="X7836" i="1" s="1"/>
  <c r="X7837" i="1" s="1"/>
  <c r="X7838" i="1" s="1"/>
  <c r="X7839" i="1" s="1"/>
  <c r="X7840" i="1" s="1"/>
  <c r="X7841" i="1" s="1"/>
  <c r="X7842" i="1" s="1"/>
  <c r="X7843" i="1" s="1"/>
  <c r="X7844" i="1" s="1"/>
  <c r="X7845" i="1" s="1"/>
  <c r="X7846" i="1" s="1"/>
  <c r="X7847" i="1" s="1"/>
  <c r="X7848" i="1" s="1"/>
  <c r="X7849" i="1" s="1"/>
  <c r="X7850" i="1" s="1"/>
  <c r="X7851" i="1" s="1"/>
  <c r="X7852" i="1" s="1"/>
  <c r="X7853" i="1" s="1"/>
  <c r="X7854" i="1" s="1"/>
  <c r="X7855" i="1" s="1"/>
  <c r="X7856" i="1" s="1"/>
  <c r="X7857" i="1" s="1"/>
  <c r="X7858" i="1" s="1"/>
  <c r="X7859" i="1" s="1"/>
  <c r="X7860" i="1" s="1"/>
  <c r="X7861" i="1" s="1"/>
  <c r="X7862" i="1" s="1"/>
  <c r="X7863" i="1" s="1"/>
  <c r="X7864" i="1" s="1"/>
  <c r="X7865" i="1" s="1"/>
  <c r="X7866" i="1" s="1"/>
  <c r="X7867" i="1" s="1"/>
  <c r="X7868" i="1" s="1"/>
  <c r="X7869" i="1" s="1"/>
  <c r="X7870" i="1" s="1"/>
  <c r="X7871" i="1" s="1"/>
  <c r="X7872" i="1" s="1"/>
  <c r="X7873" i="1" s="1"/>
  <c r="X7874" i="1" s="1"/>
  <c r="X7875" i="1" s="1"/>
  <c r="X7876" i="1" s="1"/>
  <c r="X7877" i="1" s="1"/>
  <c r="X7878" i="1" s="1"/>
  <c r="X7879" i="1" s="1"/>
  <c r="X7880" i="1" s="1"/>
  <c r="X7881" i="1" s="1"/>
  <c r="X7882" i="1" s="1"/>
  <c r="X7883" i="1" s="1"/>
  <c r="X7884" i="1" s="1"/>
  <c r="X7885" i="1" s="1"/>
  <c r="X7886" i="1" s="1"/>
  <c r="X7887" i="1" s="1"/>
  <c r="X7888" i="1" s="1"/>
  <c r="X7889" i="1" s="1"/>
  <c r="X7890" i="1" s="1"/>
  <c r="X7891" i="1" s="1"/>
  <c r="X7892" i="1" s="1"/>
  <c r="X7893" i="1" s="1"/>
  <c r="X7894" i="1" s="1"/>
  <c r="X7895" i="1" s="1"/>
  <c r="X7896" i="1" s="1"/>
  <c r="X7897" i="1" s="1"/>
  <c r="X7898" i="1" s="1"/>
  <c r="X7899" i="1" s="1"/>
  <c r="X7900" i="1" s="1"/>
  <c r="X7901" i="1" s="1"/>
  <c r="X7902" i="1" s="1"/>
  <c r="X7903" i="1" s="1"/>
  <c r="X7904" i="1" s="1"/>
  <c r="X7905" i="1" s="1"/>
  <c r="X7906" i="1" s="1"/>
  <c r="X7907" i="1" s="1"/>
  <c r="X7908" i="1" s="1"/>
  <c r="X7909" i="1" s="1"/>
  <c r="X7910" i="1" s="1"/>
  <c r="X7911" i="1" s="1"/>
  <c r="X7912" i="1" s="1"/>
  <c r="X7913" i="1" s="1"/>
  <c r="X7914" i="1" s="1"/>
  <c r="X7915" i="1" s="1"/>
  <c r="X7916" i="1" s="1"/>
  <c r="X7917" i="1" s="1"/>
  <c r="X7918" i="1" s="1"/>
  <c r="X7919" i="1" s="1"/>
  <c r="X7920" i="1" s="1"/>
  <c r="X7921" i="1" s="1"/>
  <c r="X7922" i="1" s="1"/>
  <c r="X7923" i="1" s="1"/>
  <c r="X7924" i="1" s="1"/>
  <c r="X7925" i="1" s="1"/>
  <c r="X7926" i="1" s="1"/>
  <c r="X7927" i="1" s="1"/>
  <c r="X7928" i="1" s="1"/>
  <c r="X7929" i="1" s="1"/>
  <c r="X7930" i="1" s="1"/>
  <c r="X7931" i="1" s="1"/>
  <c r="X7932" i="1" s="1"/>
  <c r="X7933" i="1" s="1"/>
  <c r="X7934" i="1" s="1"/>
  <c r="X7935" i="1" s="1"/>
  <c r="X7936" i="1" s="1"/>
  <c r="X7937" i="1" s="1"/>
  <c r="X7938" i="1" s="1"/>
  <c r="X7939" i="1" s="1"/>
  <c r="X7940" i="1" s="1"/>
  <c r="X7941" i="1" s="1"/>
  <c r="X7942" i="1" s="1"/>
  <c r="X7943" i="1" s="1"/>
  <c r="X7944" i="1" s="1"/>
  <c r="X7945" i="1" s="1"/>
  <c r="X7946" i="1" s="1"/>
  <c r="X7947" i="1" s="1"/>
  <c r="X7948" i="1" s="1"/>
  <c r="X7949" i="1" s="1"/>
  <c r="X7950" i="1" s="1"/>
  <c r="X7951" i="1" s="1"/>
  <c r="X7952" i="1" s="1"/>
  <c r="X7953" i="1" s="1"/>
  <c r="X7954" i="1" s="1"/>
  <c r="X7955" i="1" s="1"/>
  <c r="X7956" i="1" s="1"/>
  <c r="X7957" i="1" s="1"/>
  <c r="X7958" i="1" s="1"/>
  <c r="X7959" i="1" s="1"/>
  <c r="X7960" i="1" s="1"/>
  <c r="X7961" i="1" s="1"/>
  <c r="X7962" i="1" s="1"/>
  <c r="X7963" i="1" s="1"/>
  <c r="X7964" i="1" s="1"/>
  <c r="X7965" i="1" s="1"/>
  <c r="X7966" i="1" s="1"/>
  <c r="X7967" i="1" s="1"/>
  <c r="X7968" i="1" s="1"/>
  <c r="X7969" i="1" s="1"/>
  <c r="X7970" i="1" s="1"/>
  <c r="X7971" i="1" s="1"/>
  <c r="X7972" i="1" s="1"/>
  <c r="X7973" i="1" s="1"/>
  <c r="X7974" i="1" s="1"/>
  <c r="X7975" i="1" s="1"/>
  <c r="X7976" i="1" s="1"/>
  <c r="X7977" i="1" s="1"/>
  <c r="X7978" i="1" s="1"/>
  <c r="X7979" i="1" s="1"/>
  <c r="X7980" i="1" s="1"/>
  <c r="X7981" i="1" s="1"/>
  <c r="X7982" i="1" s="1"/>
  <c r="X7983" i="1" s="1"/>
  <c r="X7984" i="1" s="1"/>
  <c r="X7985" i="1" s="1"/>
  <c r="X7986" i="1" s="1"/>
  <c r="X7987" i="1" s="1"/>
  <c r="X7988" i="1" s="1"/>
  <c r="X7989" i="1" s="1"/>
  <c r="X7990" i="1" s="1"/>
  <c r="X7991" i="1" s="1"/>
  <c r="X7992" i="1" s="1"/>
  <c r="X7993" i="1" s="1"/>
  <c r="X7994" i="1" s="1"/>
  <c r="X7995" i="1" s="1"/>
  <c r="X7996" i="1" s="1"/>
  <c r="X7997" i="1" s="1"/>
  <c r="X7998" i="1" s="1"/>
  <c r="X7999" i="1" s="1"/>
  <c r="X8000" i="1" s="1"/>
  <c r="X8001" i="1" s="1"/>
  <c r="X8002" i="1" s="1"/>
  <c r="X8003" i="1" s="1"/>
  <c r="X8004" i="1" s="1"/>
  <c r="X8005" i="1" s="1"/>
  <c r="X8006" i="1" s="1"/>
  <c r="X8007" i="1" s="1"/>
  <c r="X8008" i="1" s="1"/>
  <c r="X8009" i="1" s="1"/>
  <c r="X8010" i="1" s="1"/>
  <c r="X8011" i="1" s="1"/>
  <c r="X8012" i="1" s="1"/>
  <c r="X8013" i="1" s="1"/>
  <c r="X8014" i="1" s="1"/>
  <c r="X8015" i="1" s="1"/>
  <c r="X8016" i="1" s="1"/>
  <c r="X8017" i="1" s="1"/>
  <c r="X8018" i="1" s="1"/>
  <c r="X8019" i="1" s="1"/>
  <c r="X8020" i="1" s="1"/>
  <c r="X8021" i="1" s="1"/>
  <c r="X8022" i="1" s="1"/>
  <c r="X8023" i="1" s="1"/>
  <c r="X8024" i="1" s="1"/>
  <c r="X8025" i="1" s="1"/>
  <c r="X8026" i="1" s="1"/>
  <c r="X8027" i="1" s="1"/>
  <c r="X8028" i="1" s="1"/>
  <c r="X8029" i="1" s="1"/>
  <c r="X8030" i="1" s="1"/>
  <c r="X8031" i="1" s="1"/>
  <c r="X8032" i="1" s="1"/>
  <c r="X8033" i="1" s="1"/>
  <c r="X8034" i="1" s="1"/>
  <c r="X8035" i="1" s="1"/>
  <c r="X8036" i="1" s="1"/>
  <c r="X8037" i="1" s="1"/>
  <c r="X8038" i="1" s="1"/>
  <c r="X8039" i="1" s="1"/>
  <c r="X8040" i="1" s="1"/>
  <c r="X8041" i="1" s="1"/>
  <c r="X8042" i="1" s="1"/>
  <c r="X8043" i="1" s="1"/>
  <c r="X8044" i="1" s="1"/>
  <c r="X8045" i="1" s="1"/>
  <c r="X8046" i="1" s="1"/>
  <c r="X8047" i="1" s="1"/>
  <c r="X8048" i="1" s="1"/>
  <c r="X8049" i="1" s="1"/>
  <c r="X8050" i="1" s="1"/>
  <c r="X8051" i="1" s="1"/>
  <c r="X8052" i="1" s="1"/>
  <c r="X8053" i="1" s="1"/>
  <c r="X8054" i="1" s="1"/>
  <c r="X8055" i="1" s="1"/>
  <c r="X8056" i="1" s="1"/>
  <c r="X8057" i="1" s="1"/>
  <c r="X8058" i="1" s="1"/>
  <c r="X8059" i="1" s="1"/>
  <c r="X8060" i="1" s="1"/>
  <c r="X8061" i="1" s="1"/>
  <c r="X8062" i="1" s="1"/>
  <c r="X8063" i="1" s="1"/>
  <c r="X8064" i="1" s="1"/>
  <c r="X8065" i="1" s="1"/>
  <c r="X8066" i="1" s="1"/>
  <c r="X8067" i="1" s="1"/>
  <c r="X8068" i="1" s="1"/>
  <c r="X8069" i="1" s="1"/>
  <c r="X8070" i="1" s="1"/>
  <c r="X8071" i="1" s="1"/>
  <c r="X8072" i="1" s="1"/>
  <c r="X8073" i="1" s="1"/>
  <c r="X8074" i="1" s="1"/>
  <c r="X8075" i="1" s="1"/>
  <c r="X8076" i="1" s="1"/>
  <c r="X8077" i="1" s="1"/>
  <c r="X8078" i="1" s="1"/>
  <c r="X8079" i="1" s="1"/>
  <c r="X8080" i="1" s="1"/>
  <c r="X8081" i="1" s="1"/>
  <c r="X8082" i="1" s="1"/>
  <c r="X8083" i="1" s="1"/>
  <c r="X8084" i="1" s="1"/>
  <c r="X8085" i="1" s="1"/>
  <c r="X8086" i="1" s="1"/>
  <c r="X8087" i="1" s="1"/>
  <c r="X8088" i="1" s="1"/>
  <c r="X8089" i="1" s="1"/>
  <c r="X8090" i="1" s="1"/>
  <c r="X8091" i="1" s="1"/>
  <c r="X8092" i="1" s="1"/>
  <c r="X8093" i="1" s="1"/>
  <c r="X8094" i="1" s="1"/>
  <c r="X8095" i="1" s="1"/>
  <c r="X8096" i="1" s="1"/>
  <c r="X8097" i="1" s="1"/>
  <c r="X8098" i="1" s="1"/>
  <c r="X8099" i="1" s="1"/>
  <c r="X8100" i="1" s="1"/>
  <c r="X8101" i="1" s="1"/>
  <c r="X8102" i="1" s="1"/>
  <c r="X8103" i="1" s="1"/>
  <c r="X8104" i="1" s="1"/>
  <c r="X8105" i="1" s="1"/>
  <c r="X8106" i="1" s="1"/>
  <c r="X8107" i="1" s="1"/>
  <c r="X8108" i="1" s="1"/>
  <c r="X8109" i="1" s="1"/>
  <c r="X8110" i="1" s="1"/>
  <c r="X8111" i="1" s="1"/>
  <c r="X8112" i="1" s="1"/>
  <c r="X8113" i="1" s="1"/>
  <c r="X8114" i="1" s="1"/>
  <c r="X8115" i="1" s="1"/>
  <c r="X8116" i="1" s="1"/>
  <c r="X8117" i="1" s="1"/>
  <c r="X8118" i="1" s="1"/>
  <c r="X8119" i="1" s="1"/>
  <c r="X8120" i="1" s="1"/>
  <c r="X8121" i="1" s="1"/>
  <c r="X8122" i="1" s="1"/>
  <c r="X8123" i="1" s="1"/>
  <c r="X8124" i="1" s="1"/>
  <c r="X8125" i="1" s="1"/>
  <c r="X8126" i="1" s="1"/>
  <c r="X8127" i="1" s="1"/>
  <c r="X8128" i="1" s="1"/>
  <c r="X8129" i="1" s="1"/>
  <c r="X8130" i="1" s="1"/>
  <c r="X8131" i="1" s="1"/>
  <c r="X8132" i="1" s="1"/>
  <c r="X8133" i="1" s="1"/>
  <c r="X8134" i="1" s="1"/>
  <c r="X8135" i="1" s="1"/>
  <c r="X8136" i="1" s="1"/>
  <c r="X8137" i="1" s="1"/>
  <c r="X8138" i="1" s="1"/>
  <c r="X8139" i="1" s="1"/>
  <c r="X8140" i="1" s="1"/>
  <c r="X8141" i="1" s="1"/>
  <c r="X8142" i="1" s="1"/>
  <c r="X8143" i="1" s="1"/>
  <c r="X8144" i="1" s="1"/>
  <c r="X8145" i="1" s="1"/>
  <c r="X8146" i="1" s="1"/>
  <c r="X8147" i="1" s="1"/>
  <c r="X8148" i="1" s="1"/>
  <c r="X8149" i="1" s="1"/>
  <c r="X8150" i="1" s="1"/>
  <c r="X8151" i="1" s="1"/>
  <c r="X8152" i="1" s="1"/>
  <c r="X8153" i="1" s="1"/>
  <c r="X8154" i="1" s="1"/>
  <c r="X8155" i="1" s="1"/>
  <c r="X8156" i="1" s="1"/>
  <c r="X8157" i="1" s="1"/>
  <c r="X8158" i="1" s="1"/>
  <c r="X8159" i="1" s="1"/>
  <c r="X8160" i="1" s="1"/>
  <c r="X8161" i="1" s="1"/>
  <c r="X8162" i="1" s="1"/>
  <c r="X8163" i="1" s="1"/>
  <c r="X8164" i="1" s="1"/>
  <c r="X8165" i="1" s="1"/>
  <c r="X8166" i="1" s="1"/>
  <c r="X8167" i="1" s="1"/>
  <c r="X8168" i="1" s="1"/>
  <c r="X8169" i="1" s="1"/>
  <c r="X8170" i="1" s="1"/>
  <c r="X8171" i="1" s="1"/>
  <c r="X8172" i="1" s="1"/>
  <c r="X8173" i="1" s="1"/>
  <c r="X8174" i="1" s="1"/>
  <c r="X8175" i="1" s="1"/>
  <c r="X8176" i="1" s="1"/>
  <c r="X8177" i="1" s="1"/>
  <c r="X8178" i="1" s="1"/>
  <c r="X8179" i="1" s="1"/>
  <c r="X8180" i="1" s="1"/>
  <c r="X8181" i="1" s="1"/>
  <c r="X8182" i="1" s="1"/>
  <c r="X8183" i="1" s="1"/>
  <c r="X8184" i="1" s="1"/>
  <c r="X8185" i="1" s="1"/>
  <c r="X8186" i="1" s="1"/>
  <c r="X8187" i="1" s="1"/>
  <c r="X8188" i="1" s="1"/>
  <c r="X8189" i="1" s="1"/>
  <c r="X8190" i="1" s="1"/>
  <c r="X8191" i="1" s="1"/>
  <c r="X8192" i="1" s="1"/>
  <c r="X8193" i="1" s="1"/>
  <c r="X8194" i="1" s="1"/>
  <c r="X8195" i="1" s="1"/>
  <c r="X8196" i="1" s="1"/>
  <c r="X8197" i="1" s="1"/>
  <c r="X8198" i="1" s="1"/>
  <c r="X8199" i="1" s="1"/>
  <c r="X8200" i="1" s="1"/>
  <c r="X8201" i="1" s="1"/>
  <c r="X8202" i="1" s="1"/>
  <c r="X8203" i="1" s="1"/>
  <c r="X8204" i="1" s="1"/>
  <c r="X8205" i="1" s="1"/>
  <c r="X8206" i="1" s="1"/>
  <c r="X8207" i="1" s="1"/>
  <c r="X8208" i="1" s="1"/>
  <c r="X8209" i="1" s="1"/>
  <c r="X8210" i="1" s="1"/>
  <c r="X8211" i="1" s="1"/>
  <c r="X8212" i="1" s="1"/>
  <c r="X8213" i="1" s="1"/>
  <c r="X8214" i="1" s="1"/>
  <c r="X8215" i="1" s="1"/>
  <c r="X8216" i="1" s="1"/>
  <c r="X8217" i="1" s="1"/>
  <c r="X8218" i="1" s="1"/>
  <c r="X8219" i="1" s="1"/>
  <c r="X8220" i="1" s="1"/>
  <c r="X8221" i="1" s="1"/>
  <c r="X8222" i="1" s="1"/>
  <c r="X8223" i="1" s="1"/>
  <c r="X8224" i="1" s="1"/>
  <c r="X8225" i="1" s="1"/>
  <c r="X8226" i="1" s="1"/>
  <c r="X8227" i="1" s="1"/>
  <c r="X8228" i="1" s="1"/>
  <c r="X8229" i="1" s="1"/>
  <c r="X8230" i="1" s="1"/>
  <c r="X8231" i="1" s="1"/>
  <c r="X8232" i="1" s="1"/>
  <c r="X8233" i="1" s="1"/>
  <c r="X8234" i="1" s="1"/>
  <c r="X8235" i="1" s="1"/>
  <c r="X8236" i="1" s="1"/>
  <c r="X8237" i="1" s="1"/>
  <c r="X8238" i="1" s="1"/>
  <c r="X8239" i="1" s="1"/>
  <c r="X8240" i="1" s="1"/>
  <c r="X8241" i="1" s="1"/>
  <c r="X8242" i="1" s="1"/>
  <c r="X8243" i="1" s="1"/>
  <c r="X8244" i="1" s="1"/>
  <c r="X8245" i="1" s="1"/>
  <c r="X8246" i="1" s="1"/>
  <c r="X8247" i="1" s="1"/>
  <c r="X8248" i="1" s="1"/>
  <c r="X8249" i="1" s="1"/>
  <c r="X8250" i="1" s="1"/>
  <c r="X8251" i="1" s="1"/>
  <c r="X8252" i="1" s="1"/>
  <c r="X8253" i="1" s="1"/>
  <c r="X8254" i="1" s="1"/>
  <c r="X8255" i="1" s="1"/>
  <c r="X8256" i="1" s="1"/>
  <c r="X8257" i="1" s="1"/>
  <c r="X8258" i="1" s="1"/>
  <c r="X8259" i="1" s="1"/>
  <c r="X8260" i="1" s="1"/>
  <c r="X8261" i="1" s="1"/>
  <c r="X8262" i="1" s="1"/>
  <c r="X8263" i="1" s="1"/>
  <c r="X8264" i="1" s="1"/>
  <c r="X8265" i="1" s="1"/>
  <c r="X8266" i="1" s="1"/>
  <c r="X8267" i="1" s="1"/>
  <c r="X8268" i="1" s="1"/>
  <c r="X8269" i="1" s="1"/>
  <c r="X8270" i="1" s="1"/>
  <c r="X8271" i="1" s="1"/>
  <c r="X8272" i="1" s="1"/>
  <c r="X8273" i="1" s="1"/>
  <c r="X8274" i="1" s="1"/>
  <c r="X8275" i="1" s="1"/>
  <c r="X8276" i="1" s="1"/>
  <c r="X8277" i="1" s="1"/>
  <c r="X8278" i="1" s="1"/>
  <c r="X8279" i="1" s="1"/>
  <c r="X8280" i="1" s="1"/>
  <c r="X8281" i="1" s="1"/>
  <c r="X8282" i="1" s="1"/>
  <c r="X8283" i="1" s="1"/>
  <c r="X8284" i="1" s="1"/>
  <c r="X8285" i="1" s="1"/>
  <c r="X8286" i="1" s="1"/>
  <c r="X8287" i="1" s="1"/>
  <c r="X8288" i="1" s="1"/>
  <c r="X8289" i="1" s="1"/>
  <c r="X8290" i="1" s="1"/>
  <c r="X8291" i="1" s="1"/>
  <c r="X8292" i="1" s="1"/>
  <c r="X8293" i="1" s="1"/>
  <c r="X8294" i="1" s="1"/>
  <c r="X8295" i="1" s="1"/>
  <c r="X8296" i="1" s="1"/>
  <c r="X8297" i="1" s="1"/>
  <c r="X8298" i="1" s="1"/>
  <c r="X8299" i="1" s="1"/>
  <c r="X8300" i="1" s="1"/>
  <c r="X8301" i="1" s="1"/>
  <c r="X8302" i="1" s="1"/>
  <c r="X8303" i="1" s="1"/>
  <c r="X8304" i="1" s="1"/>
  <c r="X8305" i="1" s="1"/>
  <c r="X8306" i="1" s="1"/>
  <c r="X8307" i="1" s="1"/>
  <c r="X8308" i="1" s="1"/>
  <c r="X8309" i="1" s="1"/>
  <c r="X8310" i="1" s="1"/>
  <c r="X8311" i="1" s="1"/>
  <c r="X8312" i="1" s="1"/>
  <c r="X8313" i="1" s="1"/>
  <c r="X8314" i="1" s="1"/>
  <c r="X8315" i="1" s="1"/>
  <c r="X8316" i="1" s="1"/>
  <c r="X8317" i="1" s="1"/>
  <c r="X8318" i="1" s="1"/>
  <c r="X8319" i="1" s="1"/>
  <c r="X8320" i="1" s="1"/>
  <c r="X8321" i="1" s="1"/>
  <c r="X8322" i="1" s="1"/>
  <c r="X8323" i="1" s="1"/>
  <c r="X8324" i="1" s="1"/>
  <c r="X8325" i="1" s="1"/>
  <c r="X8326" i="1" s="1"/>
  <c r="X8327" i="1" s="1"/>
  <c r="X8328" i="1" s="1"/>
  <c r="X8329" i="1" s="1"/>
  <c r="X8330" i="1" s="1"/>
  <c r="X8331" i="1" s="1"/>
  <c r="X8332" i="1" s="1"/>
  <c r="X8333" i="1" s="1"/>
  <c r="X8334" i="1" s="1"/>
  <c r="X8335" i="1" s="1"/>
  <c r="X8336" i="1" s="1"/>
  <c r="X8337" i="1" s="1"/>
  <c r="X8338" i="1" s="1"/>
  <c r="X8339" i="1" s="1"/>
  <c r="X8340" i="1" s="1"/>
  <c r="X8341" i="1" s="1"/>
  <c r="X8342" i="1" s="1"/>
  <c r="X8343" i="1" s="1"/>
  <c r="X8344" i="1" s="1"/>
  <c r="X8345" i="1" s="1"/>
  <c r="X8346" i="1" s="1"/>
  <c r="X8347" i="1" s="1"/>
  <c r="X8348" i="1" s="1"/>
  <c r="X8349" i="1" s="1"/>
  <c r="X8350" i="1" s="1"/>
  <c r="X8351" i="1" s="1"/>
  <c r="X8352" i="1" s="1"/>
  <c r="X8353" i="1" s="1"/>
  <c r="X8354" i="1" s="1"/>
  <c r="X8355" i="1" s="1"/>
  <c r="X8356" i="1" s="1"/>
  <c r="X8357" i="1" s="1"/>
  <c r="X8358" i="1" s="1"/>
  <c r="X8359" i="1" s="1"/>
  <c r="X8360" i="1" s="1"/>
  <c r="X8361" i="1" s="1"/>
  <c r="X8362" i="1" s="1"/>
  <c r="X8363" i="1" s="1"/>
  <c r="X8364" i="1" s="1"/>
  <c r="X8365" i="1" s="1"/>
  <c r="X8366" i="1" s="1"/>
  <c r="X8367" i="1" s="1"/>
  <c r="X8368" i="1" s="1"/>
  <c r="X8369" i="1" s="1"/>
  <c r="X8370" i="1" s="1"/>
  <c r="X8371" i="1" s="1"/>
  <c r="X8372" i="1" s="1"/>
  <c r="X8373" i="1" s="1"/>
  <c r="X8374" i="1" s="1"/>
  <c r="X8375" i="1" s="1"/>
  <c r="X8376" i="1" s="1"/>
  <c r="X8377" i="1" s="1"/>
  <c r="X8378" i="1" s="1"/>
  <c r="X8379" i="1" s="1"/>
  <c r="X8380" i="1" s="1"/>
  <c r="X8381" i="1" s="1"/>
  <c r="X8382" i="1" s="1"/>
  <c r="X8383" i="1" s="1"/>
  <c r="X8384" i="1" s="1"/>
  <c r="X8385" i="1" s="1"/>
  <c r="X8386" i="1" s="1"/>
  <c r="X8387" i="1" s="1"/>
  <c r="X8388" i="1" s="1"/>
  <c r="X8389" i="1" s="1"/>
  <c r="X8390" i="1" s="1"/>
  <c r="X8391" i="1" s="1"/>
  <c r="X8392" i="1" s="1"/>
  <c r="X8393" i="1" s="1"/>
  <c r="X8394" i="1" s="1"/>
  <c r="X8395" i="1" s="1"/>
  <c r="X8396" i="1" s="1"/>
  <c r="X8397" i="1" s="1"/>
  <c r="X8398" i="1" s="1"/>
  <c r="X8399" i="1" s="1"/>
  <c r="X8400" i="1" s="1"/>
  <c r="X8401" i="1" s="1"/>
  <c r="X8402" i="1" s="1"/>
  <c r="X8403" i="1" s="1"/>
  <c r="X8404" i="1" s="1"/>
  <c r="X8405" i="1" s="1"/>
  <c r="X8406" i="1" s="1"/>
  <c r="X8407" i="1" s="1"/>
  <c r="X8408" i="1" s="1"/>
  <c r="X8409" i="1" s="1"/>
  <c r="X8410" i="1" s="1"/>
  <c r="X8411" i="1" s="1"/>
  <c r="X8412" i="1" s="1"/>
  <c r="X8413" i="1" s="1"/>
  <c r="X8414" i="1" s="1"/>
  <c r="X8415" i="1" s="1"/>
  <c r="X8416" i="1" s="1"/>
  <c r="X8417" i="1" s="1"/>
  <c r="X8418" i="1" s="1"/>
  <c r="X8419" i="1" s="1"/>
  <c r="X8420" i="1" s="1"/>
  <c r="X8421" i="1" s="1"/>
  <c r="X8422" i="1" s="1"/>
  <c r="X8423" i="1" s="1"/>
  <c r="X8424" i="1" s="1"/>
  <c r="X8425" i="1" s="1"/>
  <c r="X8426" i="1" s="1"/>
  <c r="X8427" i="1" s="1"/>
  <c r="X8428" i="1" s="1"/>
  <c r="X8429" i="1" s="1"/>
  <c r="X8430" i="1" s="1"/>
  <c r="X8431" i="1" s="1"/>
  <c r="X8432" i="1" s="1"/>
  <c r="X8433" i="1" s="1"/>
  <c r="X8434" i="1" s="1"/>
  <c r="X8435" i="1" s="1"/>
  <c r="X8436" i="1" s="1"/>
  <c r="X8437" i="1" s="1"/>
  <c r="X8438" i="1" s="1"/>
  <c r="X8439" i="1" s="1"/>
  <c r="X8440" i="1" s="1"/>
  <c r="X8441" i="1" s="1"/>
  <c r="X8442" i="1" s="1"/>
  <c r="X8443" i="1" s="1"/>
  <c r="X8444" i="1" s="1"/>
  <c r="X8445" i="1" s="1"/>
  <c r="X8446" i="1" s="1"/>
  <c r="X8447" i="1" s="1"/>
  <c r="X8448" i="1" s="1"/>
  <c r="X8449" i="1" s="1"/>
  <c r="X8450" i="1" s="1"/>
  <c r="X8451" i="1" s="1"/>
  <c r="X8452" i="1" s="1"/>
  <c r="X8453" i="1" s="1"/>
  <c r="X8454" i="1" s="1"/>
  <c r="X8455" i="1" s="1"/>
  <c r="X8456" i="1" s="1"/>
  <c r="X8457" i="1" s="1"/>
  <c r="X8458" i="1" s="1"/>
  <c r="X8459" i="1" s="1"/>
  <c r="X8460" i="1" s="1"/>
  <c r="X8461" i="1" s="1"/>
  <c r="X8462" i="1" s="1"/>
  <c r="X8463" i="1" s="1"/>
  <c r="X8464" i="1" s="1"/>
  <c r="X8465" i="1" s="1"/>
  <c r="X8466" i="1" s="1"/>
  <c r="X8467" i="1" s="1"/>
  <c r="X8468" i="1" s="1"/>
  <c r="X8469" i="1" s="1"/>
  <c r="X8470" i="1" s="1"/>
  <c r="X8471" i="1" s="1"/>
  <c r="X8472" i="1" s="1"/>
  <c r="X8473" i="1" s="1"/>
  <c r="X8474" i="1" s="1"/>
  <c r="X8475" i="1" s="1"/>
  <c r="X8476" i="1" s="1"/>
  <c r="X8477" i="1" s="1"/>
  <c r="X8478" i="1" s="1"/>
  <c r="X8479" i="1" s="1"/>
  <c r="X8480" i="1" s="1"/>
  <c r="X8481" i="1" s="1"/>
  <c r="X8482" i="1" s="1"/>
  <c r="X8483" i="1" s="1"/>
  <c r="X8484" i="1" s="1"/>
  <c r="X8485" i="1" s="1"/>
  <c r="X8486" i="1" s="1"/>
  <c r="X8487" i="1" s="1"/>
  <c r="X8488" i="1" s="1"/>
  <c r="X8489" i="1" s="1"/>
  <c r="X8490" i="1" s="1"/>
  <c r="X8491" i="1" s="1"/>
  <c r="X8492" i="1" s="1"/>
  <c r="X8493" i="1" s="1"/>
  <c r="X8494" i="1" s="1"/>
  <c r="X8495" i="1" s="1"/>
  <c r="X8496" i="1" s="1"/>
  <c r="X8497" i="1" s="1"/>
  <c r="X8498" i="1" s="1"/>
  <c r="X8499" i="1" s="1"/>
  <c r="X8500" i="1" s="1"/>
  <c r="X8501" i="1" s="1"/>
  <c r="X8502" i="1" s="1"/>
  <c r="X8503" i="1" s="1"/>
  <c r="X8504" i="1" s="1"/>
  <c r="X8505" i="1" s="1"/>
  <c r="X8506" i="1" s="1"/>
  <c r="X8507" i="1" s="1"/>
  <c r="X8508" i="1" s="1"/>
  <c r="X8509" i="1" s="1"/>
  <c r="X8510" i="1" s="1"/>
  <c r="X8511" i="1" s="1"/>
  <c r="X8512" i="1" s="1"/>
  <c r="X8513" i="1" s="1"/>
  <c r="X8514" i="1" s="1"/>
  <c r="X8515" i="1" s="1"/>
  <c r="X8516" i="1" s="1"/>
  <c r="X8517" i="1" s="1"/>
  <c r="X8518" i="1" s="1"/>
  <c r="X8519" i="1" s="1"/>
  <c r="X8520" i="1" s="1"/>
  <c r="X8521" i="1" s="1"/>
  <c r="X8522" i="1" s="1"/>
  <c r="X8523" i="1" s="1"/>
  <c r="X8524" i="1" s="1"/>
  <c r="X8525" i="1" s="1"/>
  <c r="X8526" i="1" s="1"/>
  <c r="X8527" i="1" s="1"/>
  <c r="X8528" i="1" s="1"/>
  <c r="X8529" i="1" s="1"/>
  <c r="X8530" i="1" s="1"/>
  <c r="X8531" i="1" s="1"/>
  <c r="X8532" i="1" s="1"/>
  <c r="X8533" i="1" s="1"/>
  <c r="X8534" i="1" s="1"/>
  <c r="X8535" i="1" s="1"/>
  <c r="X8536" i="1" s="1"/>
  <c r="X8537" i="1" s="1"/>
  <c r="X8538" i="1" s="1"/>
  <c r="X8539" i="1" s="1"/>
  <c r="X8540" i="1" s="1"/>
  <c r="X8541" i="1" s="1"/>
  <c r="X8542" i="1" s="1"/>
  <c r="X8543" i="1" s="1"/>
  <c r="X8544" i="1" s="1"/>
  <c r="X8545" i="1" s="1"/>
  <c r="X8546" i="1" s="1"/>
  <c r="X8547" i="1" s="1"/>
  <c r="X8548" i="1" s="1"/>
  <c r="X8549" i="1" s="1"/>
  <c r="X8550" i="1" s="1"/>
  <c r="X8551" i="1" s="1"/>
  <c r="X8552" i="1" s="1"/>
  <c r="X8553" i="1" s="1"/>
  <c r="X8554" i="1" s="1"/>
  <c r="X8555" i="1" s="1"/>
  <c r="X8556" i="1" s="1"/>
  <c r="X8557" i="1" s="1"/>
  <c r="X8558" i="1" s="1"/>
  <c r="X8559" i="1" s="1"/>
  <c r="X8560" i="1" s="1"/>
  <c r="X8561" i="1" s="1"/>
  <c r="X8562" i="1" s="1"/>
  <c r="X8563" i="1" s="1"/>
  <c r="X8564" i="1" s="1"/>
  <c r="X8565" i="1" s="1"/>
  <c r="X8566" i="1" s="1"/>
  <c r="X8567" i="1" s="1"/>
  <c r="X8568" i="1" s="1"/>
  <c r="X8569" i="1" s="1"/>
  <c r="X8570" i="1" s="1"/>
  <c r="X8571" i="1" s="1"/>
  <c r="X8572" i="1" s="1"/>
  <c r="X8573" i="1" s="1"/>
  <c r="X8574" i="1" s="1"/>
  <c r="X8575" i="1" s="1"/>
  <c r="X8576" i="1" s="1"/>
  <c r="X8577" i="1" s="1"/>
  <c r="X8578" i="1" s="1"/>
  <c r="X8579" i="1" s="1"/>
  <c r="X8580" i="1" s="1"/>
  <c r="X8581" i="1" s="1"/>
  <c r="X8582" i="1" s="1"/>
  <c r="X8583" i="1" s="1"/>
  <c r="X8584" i="1" s="1"/>
  <c r="X8585" i="1" s="1"/>
  <c r="X8586" i="1" s="1"/>
  <c r="X8587" i="1" s="1"/>
  <c r="X8588" i="1" s="1"/>
  <c r="X8589" i="1" s="1"/>
  <c r="X8590" i="1" s="1"/>
  <c r="X8591" i="1" s="1"/>
  <c r="X8592" i="1" s="1"/>
  <c r="X8593" i="1" s="1"/>
  <c r="X8594" i="1" s="1"/>
  <c r="X8595" i="1" s="1"/>
  <c r="X8596" i="1" s="1"/>
  <c r="X8597" i="1" s="1"/>
  <c r="X8598" i="1" s="1"/>
  <c r="X8599" i="1" s="1"/>
  <c r="X8600" i="1" s="1"/>
  <c r="X8601" i="1" s="1"/>
  <c r="X8602" i="1" s="1"/>
  <c r="X8603" i="1" s="1"/>
  <c r="X8604" i="1" s="1"/>
  <c r="X8605" i="1" s="1"/>
  <c r="X8606" i="1" s="1"/>
  <c r="X8607" i="1" s="1"/>
  <c r="X8608" i="1" s="1"/>
  <c r="X8609" i="1" s="1"/>
  <c r="X8610" i="1" s="1"/>
  <c r="X8611" i="1" s="1"/>
  <c r="X8612" i="1" s="1"/>
  <c r="X8613" i="1" s="1"/>
  <c r="X8614" i="1" s="1"/>
  <c r="X8615" i="1" s="1"/>
  <c r="X8616" i="1" s="1"/>
  <c r="X8617" i="1" s="1"/>
  <c r="X8618" i="1" s="1"/>
  <c r="X8619" i="1" s="1"/>
  <c r="X8620" i="1" s="1"/>
  <c r="X8621" i="1" s="1"/>
  <c r="X8622" i="1" s="1"/>
  <c r="X8623" i="1" s="1"/>
  <c r="X8624" i="1" s="1"/>
  <c r="X8625" i="1" s="1"/>
  <c r="X8626" i="1" s="1"/>
  <c r="X8627" i="1" s="1"/>
  <c r="X8628" i="1" s="1"/>
  <c r="X8629" i="1" s="1"/>
  <c r="X8630" i="1" s="1"/>
  <c r="X8631" i="1" s="1"/>
  <c r="X8632" i="1" s="1"/>
  <c r="X8633" i="1" s="1"/>
  <c r="X8634" i="1" s="1"/>
  <c r="X8635" i="1" s="1"/>
  <c r="X8636" i="1" s="1"/>
  <c r="X8637" i="1" s="1"/>
  <c r="X8638" i="1" s="1"/>
  <c r="X8639" i="1" s="1"/>
  <c r="X8640" i="1" s="1"/>
  <c r="X8641" i="1" s="1"/>
  <c r="X8642" i="1" s="1"/>
  <c r="X8643" i="1" s="1"/>
  <c r="X8644" i="1" s="1"/>
  <c r="X8645" i="1" s="1"/>
  <c r="X8646" i="1" s="1"/>
  <c r="X8647" i="1" s="1"/>
  <c r="X8648" i="1" s="1"/>
  <c r="X8649" i="1" s="1"/>
  <c r="X8650" i="1" s="1"/>
  <c r="X8651" i="1" s="1"/>
  <c r="X8652" i="1" s="1"/>
  <c r="X8653" i="1" s="1"/>
  <c r="X8654" i="1" s="1"/>
  <c r="X8655" i="1" s="1"/>
  <c r="X8656" i="1" s="1"/>
  <c r="X8657" i="1" s="1"/>
  <c r="X8658" i="1" s="1"/>
  <c r="X8659" i="1" s="1"/>
  <c r="X8660" i="1" s="1"/>
  <c r="X8661" i="1" s="1"/>
  <c r="X8662" i="1" s="1"/>
  <c r="X8663" i="1" s="1"/>
  <c r="X8664" i="1" s="1"/>
  <c r="X8665" i="1" s="1"/>
  <c r="X8666" i="1" s="1"/>
  <c r="X8667" i="1" s="1"/>
  <c r="X8668" i="1" s="1"/>
  <c r="X8669" i="1" s="1"/>
  <c r="X8670" i="1" s="1"/>
  <c r="X8671" i="1" s="1"/>
  <c r="X8672" i="1" s="1"/>
  <c r="X8673" i="1" s="1"/>
  <c r="X8674" i="1" s="1"/>
  <c r="X8675" i="1" s="1"/>
  <c r="X8676" i="1" s="1"/>
  <c r="X8677" i="1" s="1"/>
  <c r="X8678" i="1" s="1"/>
  <c r="X8679" i="1" s="1"/>
  <c r="X8680" i="1" s="1"/>
  <c r="X8681" i="1" s="1"/>
  <c r="X8682" i="1" s="1"/>
  <c r="X8683" i="1" s="1"/>
  <c r="X8684" i="1" s="1"/>
  <c r="X8685" i="1" s="1"/>
  <c r="X8686" i="1" s="1"/>
  <c r="X8687" i="1" s="1"/>
  <c r="X8688" i="1" s="1"/>
  <c r="X8689" i="1" s="1"/>
  <c r="X8690" i="1" s="1"/>
  <c r="X8691" i="1" s="1"/>
  <c r="X8692" i="1" s="1"/>
  <c r="X8693" i="1" s="1"/>
  <c r="X8694" i="1" s="1"/>
  <c r="X8695" i="1" s="1"/>
  <c r="X8696" i="1" s="1"/>
  <c r="X8697" i="1" s="1"/>
  <c r="X8698" i="1" s="1"/>
  <c r="X8699" i="1" s="1"/>
  <c r="X8700" i="1" s="1"/>
  <c r="X8701" i="1" s="1"/>
  <c r="X8702" i="1" s="1"/>
  <c r="X8703" i="1" s="1"/>
  <c r="X8704" i="1" s="1"/>
  <c r="X8705" i="1" s="1"/>
  <c r="X8706" i="1" s="1"/>
  <c r="X8707" i="1" s="1"/>
  <c r="X8708" i="1" s="1"/>
  <c r="X8709" i="1" s="1"/>
  <c r="X8710" i="1" s="1"/>
  <c r="X8711" i="1" s="1"/>
  <c r="X8712" i="1" s="1"/>
  <c r="X8713" i="1" s="1"/>
  <c r="X8714" i="1" s="1"/>
  <c r="X8715" i="1" s="1"/>
  <c r="X8716" i="1" s="1"/>
  <c r="X8717" i="1" s="1"/>
  <c r="X8718" i="1" s="1"/>
  <c r="X8719" i="1" s="1"/>
  <c r="X8720" i="1" s="1"/>
  <c r="X8721" i="1" s="1"/>
  <c r="X8722" i="1" s="1"/>
  <c r="X8723" i="1" s="1"/>
  <c r="X8724" i="1" s="1"/>
  <c r="X8725" i="1" s="1"/>
  <c r="X8726" i="1" s="1"/>
  <c r="X8727" i="1" s="1"/>
  <c r="X8728" i="1" s="1"/>
  <c r="X8729" i="1" s="1"/>
  <c r="X8730" i="1" s="1"/>
  <c r="X8731" i="1" s="1"/>
  <c r="X8732" i="1" s="1"/>
  <c r="X8733" i="1" s="1"/>
  <c r="X8734" i="1" s="1"/>
  <c r="X8735" i="1" s="1"/>
  <c r="X8736" i="1" s="1"/>
  <c r="X8737" i="1" s="1"/>
  <c r="X8738" i="1" s="1"/>
  <c r="X8739" i="1" s="1"/>
  <c r="X8740" i="1" s="1"/>
  <c r="X8741" i="1" s="1"/>
  <c r="X8742" i="1" s="1"/>
  <c r="X8743" i="1" s="1"/>
  <c r="X8744" i="1" s="1"/>
  <c r="X8745" i="1" s="1"/>
  <c r="X8746" i="1" s="1"/>
  <c r="X8747" i="1" s="1"/>
  <c r="X8748" i="1" s="1"/>
  <c r="X8749" i="1" s="1"/>
  <c r="X8750" i="1" s="1"/>
  <c r="X8751" i="1" s="1"/>
  <c r="X8752" i="1" s="1"/>
  <c r="X8753" i="1" s="1"/>
  <c r="X8754" i="1" s="1"/>
  <c r="X8755" i="1" s="1"/>
  <c r="X8756" i="1" s="1"/>
  <c r="X8757" i="1" s="1"/>
  <c r="X8758" i="1" s="1"/>
  <c r="X8759" i="1" s="1"/>
  <c r="X8760" i="1" s="1"/>
  <c r="X8761" i="1" s="1"/>
  <c r="X8762" i="1" s="1"/>
  <c r="X8763" i="1" s="1"/>
  <c r="X8764" i="1" s="1"/>
  <c r="X8765" i="1" s="1"/>
  <c r="X8766" i="1" s="1"/>
  <c r="X8767" i="1" s="1"/>
  <c r="X8768" i="1" s="1"/>
  <c r="X8769" i="1" s="1"/>
  <c r="X8770" i="1" s="1"/>
  <c r="X8771" i="1" s="1"/>
  <c r="X8772" i="1" s="1"/>
  <c r="X8773" i="1" s="1"/>
  <c r="X8774" i="1" s="1"/>
  <c r="X8775" i="1" s="1"/>
  <c r="X8776" i="1" s="1"/>
  <c r="X8777" i="1" s="1"/>
  <c r="X8778" i="1" s="1"/>
  <c r="X8779" i="1" s="1"/>
  <c r="X8780" i="1" s="1"/>
  <c r="X8781" i="1" s="1"/>
  <c r="X8782" i="1" s="1"/>
  <c r="X8783" i="1" s="1"/>
  <c r="X8784" i="1" s="1"/>
  <c r="X8785" i="1" s="1"/>
  <c r="X8786" i="1" s="1"/>
  <c r="X8787" i="1" s="1"/>
  <c r="X8788" i="1" s="1"/>
  <c r="X8789" i="1" s="1"/>
  <c r="X8790" i="1" s="1"/>
  <c r="X8791" i="1" s="1"/>
  <c r="X8792" i="1" s="1"/>
  <c r="X8793" i="1" s="1"/>
  <c r="X8794" i="1" s="1"/>
  <c r="X8795" i="1" s="1"/>
  <c r="X8796" i="1" s="1"/>
  <c r="X8797" i="1" s="1"/>
  <c r="X8798" i="1" s="1"/>
  <c r="X8799" i="1" s="1"/>
  <c r="X8800" i="1" s="1"/>
  <c r="X8801" i="1" s="1"/>
  <c r="X8802" i="1" s="1"/>
  <c r="X8803" i="1" s="1"/>
  <c r="X8804" i="1" s="1"/>
  <c r="X8805" i="1" s="1"/>
  <c r="X8806" i="1" s="1"/>
  <c r="X8807" i="1" s="1"/>
  <c r="X8808" i="1" s="1"/>
  <c r="X8809" i="1" s="1"/>
  <c r="X8810" i="1" s="1"/>
  <c r="X8811" i="1" s="1"/>
  <c r="X8812" i="1" s="1"/>
  <c r="X8813" i="1" s="1"/>
  <c r="X8814" i="1" s="1"/>
  <c r="X8815" i="1" s="1"/>
  <c r="X8816" i="1" s="1"/>
  <c r="X8817" i="1" s="1"/>
  <c r="X8818" i="1" s="1"/>
  <c r="X8819" i="1" s="1"/>
  <c r="X8820" i="1" s="1"/>
  <c r="X8821" i="1" s="1"/>
  <c r="X8822" i="1" s="1"/>
  <c r="X8823" i="1" s="1"/>
  <c r="X8824" i="1" s="1"/>
  <c r="X8825" i="1" s="1"/>
  <c r="X8826" i="1" s="1"/>
  <c r="X8827" i="1" s="1"/>
  <c r="X8828" i="1" s="1"/>
  <c r="X8829" i="1" s="1"/>
  <c r="X8830" i="1" s="1"/>
  <c r="X8831" i="1" s="1"/>
  <c r="X8832" i="1" s="1"/>
  <c r="X8833" i="1" s="1"/>
  <c r="X8834" i="1" s="1"/>
  <c r="X8835" i="1" s="1"/>
  <c r="X8836" i="1" s="1"/>
  <c r="X8837" i="1" s="1"/>
  <c r="X8838" i="1" s="1"/>
  <c r="X8839" i="1" s="1"/>
  <c r="X8840" i="1" s="1"/>
  <c r="X8841" i="1" s="1"/>
  <c r="X8842" i="1" s="1"/>
  <c r="X8843" i="1" s="1"/>
  <c r="X8844" i="1" s="1"/>
  <c r="X8845" i="1" s="1"/>
  <c r="X8846" i="1" s="1"/>
  <c r="X8847" i="1" s="1"/>
  <c r="X8848" i="1" s="1"/>
  <c r="X8849" i="1" s="1"/>
  <c r="X8850" i="1" s="1"/>
  <c r="X8851" i="1" s="1"/>
  <c r="X8852" i="1" s="1"/>
  <c r="X8853" i="1" s="1"/>
  <c r="X8854" i="1" s="1"/>
  <c r="X8855" i="1" s="1"/>
  <c r="X8856" i="1" s="1"/>
  <c r="X8857" i="1" s="1"/>
  <c r="X8858" i="1" s="1"/>
  <c r="X8859" i="1" s="1"/>
  <c r="X8860" i="1" s="1"/>
  <c r="X8861" i="1" s="1"/>
  <c r="X8862" i="1" s="1"/>
  <c r="X8863" i="1" s="1"/>
  <c r="X8864" i="1" s="1"/>
  <c r="X8865" i="1" s="1"/>
  <c r="X8866" i="1" s="1"/>
  <c r="X8867" i="1" s="1"/>
  <c r="X8868" i="1" s="1"/>
  <c r="X8869" i="1" s="1"/>
  <c r="X8870" i="1" s="1"/>
  <c r="X8871" i="1" s="1"/>
  <c r="X8872" i="1" s="1"/>
  <c r="X8873" i="1" s="1"/>
  <c r="X8874" i="1" s="1"/>
  <c r="X8875" i="1" s="1"/>
  <c r="X8876" i="1" s="1"/>
  <c r="X8877" i="1" s="1"/>
  <c r="X8878" i="1" s="1"/>
  <c r="X8879" i="1" s="1"/>
  <c r="X8880" i="1" s="1"/>
  <c r="X8881" i="1" s="1"/>
  <c r="X8882" i="1" s="1"/>
  <c r="X8883" i="1" s="1"/>
  <c r="X8884" i="1" s="1"/>
  <c r="X8885" i="1" s="1"/>
  <c r="X8886" i="1" s="1"/>
  <c r="X8887" i="1" s="1"/>
  <c r="X8888" i="1" s="1"/>
  <c r="X8889" i="1" s="1"/>
  <c r="X8890" i="1" s="1"/>
  <c r="X8891" i="1" s="1"/>
  <c r="X8892" i="1" s="1"/>
  <c r="X8893" i="1" s="1"/>
  <c r="X8894" i="1" s="1"/>
  <c r="X8895" i="1" s="1"/>
  <c r="X8896" i="1" s="1"/>
  <c r="X8897" i="1" s="1"/>
  <c r="X8898" i="1" s="1"/>
  <c r="X8899" i="1" s="1"/>
  <c r="X8900" i="1" s="1"/>
  <c r="X8901" i="1" s="1"/>
  <c r="X8902" i="1" s="1"/>
  <c r="X8903" i="1" s="1"/>
  <c r="X8904" i="1" s="1"/>
  <c r="X8905" i="1" s="1"/>
  <c r="X8906" i="1" s="1"/>
  <c r="X8907" i="1" s="1"/>
  <c r="X8908" i="1" s="1"/>
  <c r="X8909" i="1" s="1"/>
  <c r="X8910" i="1" s="1"/>
  <c r="X8911" i="1" s="1"/>
  <c r="X8912" i="1" s="1"/>
  <c r="X8913" i="1" s="1"/>
  <c r="X8914" i="1" s="1"/>
  <c r="X8915" i="1" s="1"/>
  <c r="X8916" i="1" s="1"/>
  <c r="X8917" i="1" s="1"/>
  <c r="X8918" i="1" s="1"/>
  <c r="X8919" i="1" s="1"/>
  <c r="X8920" i="1" s="1"/>
  <c r="X8921" i="1" s="1"/>
  <c r="X8922" i="1" s="1"/>
  <c r="X8923" i="1" s="1"/>
  <c r="X8924" i="1" s="1"/>
  <c r="X8925" i="1" s="1"/>
  <c r="X8926" i="1" s="1"/>
  <c r="X8927" i="1" s="1"/>
  <c r="X8928" i="1" s="1"/>
  <c r="X8929" i="1" s="1"/>
  <c r="X8930" i="1" s="1"/>
  <c r="X8931" i="1" s="1"/>
  <c r="X8932" i="1" s="1"/>
  <c r="X8933" i="1" s="1"/>
  <c r="X8934" i="1" s="1"/>
  <c r="X8935" i="1" s="1"/>
  <c r="X8936" i="1" s="1"/>
  <c r="X8937" i="1" s="1"/>
  <c r="X8938" i="1" s="1"/>
  <c r="X8939" i="1" s="1"/>
  <c r="X8940" i="1" s="1"/>
  <c r="X8941" i="1" s="1"/>
  <c r="X8942" i="1" s="1"/>
  <c r="X8943" i="1" s="1"/>
  <c r="X8944" i="1" s="1"/>
  <c r="X8945" i="1" s="1"/>
  <c r="X8946" i="1" s="1"/>
  <c r="X8947" i="1" s="1"/>
  <c r="X8948" i="1" s="1"/>
  <c r="X8949" i="1" s="1"/>
  <c r="X8950" i="1" s="1"/>
  <c r="X8951" i="1" s="1"/>
  <c r="X8952" i="1" s="1"/>
  <c r="X8953" i="1" s="1"/>
  <c r="X8954" i="1" s="1"/>
  <c r="X8955" i="1" s="1"/>
  <c r="X8956" i="1" s="1"/>
  <c r="X8957" i="1" s="1"/>
  <c r="X8958" i="1" s="1"/>
  <c r="X8959" i="1" s="1"/>
  <c r="X8960" i="1" s="1"/>
  <c r="X8961" i="1" s="1"/>
  <c r="X8962" i="1" s="1"/>
  <c r="X8963" i="1" s="1"/>
  <c r="X8964" i="1" s="1"/>
  <c r="X8965" i="1" s="1"/>
  <c r="X8966" i="1" s="1"/>
  <c r="X8967" i="1" s="1"/>
  <c r="X8968" i="1" s="1"/>
  <c r="X8969" i="1" s="1"/>
  <c r="X8970" i="1" s="1"/>
  <c r="X8971" i="1" s="1"/>
  <c r="X8972" i="1" s="1"/>
  <c r="X8973" i="1" s="1"/>
  <c r="X8974" i="1" s="1"/>
  <c r="X8975" i="1" s="1"/>
  <c r="X8976" i="1" s="1"/>
  <c r="X8977" i="1" s="1"/>
  <c r="X8978" i="1" s="1"/>
  <c r="X8979" i="1" s="1"/>
  <c r="X8980" i="1" s="1"/>
  <c r="X8981" i="1" s="1"/>
  <c r="X8982" i="1" s="1"/>
  <c r="X8983" i="1" s="1"/>
  <c r="X8984" i="1" s="1"/>
  <c r="X8985" i="1" s="1"/>
  <c r="X8986" i="1" s="1"/>
  <c r="X8987" i="1" s="1"/>
  <c r="X8988" i="1" s="1"/>
  <c r="X8989" i="1" s="1"/>
  <c r="X8990" i="1" s="1"/>
  <c r="X8991" i="1" s="1"/>
  <c r="X8992" i="1" s="1"/>
  <c r="X8993" i="1" s="1"/>
  <c r="X8994" i="1" s="1"/>
  <c r="X8995" i="1" s="1"/>
  <c r="X8996" i="1" s="1"/>
  <c r="X8997" i="1" s="1"/>
  <c r="X8998" i="1" s="1"/>
  <c r="X8999" i="1" s="1"/>
  <c r="X9000" i="1" s="1"/>
  <c r="X9001" i="1" s="1"/>
  <c r="X9002" i="1" s="1"/>
  <c r="X9003" i="1" s="1"/>
  <c r="X9004" i="1" s="1"/>
  <c r="X9005" i="1" s="1"/>
  <c r="X9006" i="1" s="1"/>
  <c r="X9007" i="1" s="1"/>
  <c r="X9008" i="1" s="1"/>
  <c r="X9009" i="1" s="1"/>
  <c r="X9010" i="1" s="1"/>
  <c r="X9011" i="1" s="1"/>
  <c r="X9012" i="1" s="1"/>
  <c r="X9013" i="1" s="1"/>
  <c r="X9014" i="1" s="1"/>
  <c r="X9015" i="1" s="1"/>
  <c r="X9016" i="1" s="1"/>
  <c r="X9017" i="1" s="1"/>
  <c r="X9018" i="1" s="1"/>
  <c r="X9019" i="1" s="1"/>
  <c r="X9020" i="1" s="1"/>
  <c r="X9021" i="1" s="1"/>
  <c r="X9022" i="1" s="1"/>
  <c r="X9023" i="1" s="1"/>
  <c r="X9024" i="1" s="1"/>
  <c r="X9025" i="1" s="1"/>
  <c r="X9026" i="1" s="1"/>
  <c r="X9027" i="1" s="1"/>
  <c r="X9028" i="1" s="1"/>
  <c r="X9029" i="1" s="1"/>
  <c r="X9030" i="1" s="1"/>
  <c r="X9031" i="1" s="1"/>
  <c r="X9032" i="1" s="1"/>
  <c r="X9033" i="1" s="1"/>
  <c r="X9034" i="1" s="1"/>
  <c r="X9035" i="1" s="1"/>
  <c r="X9036" i="1" s="1"/>
  <c r="X9037" i="1" s="1"/>
  <c r="X9038" i="1" s="1"/>
  <c r="X9039" i="1" s="1"/>
  <c r="X9040" i="1" s="1"/>
  <c r="X9041" i="1" s="1"/>
  <c r="X9042" i="1" s="1"/>
  <c r="X9043" i="1" s="1"/>
  <c r="X9044" i="1" s="1"/>
  <c r="X9045" i="1" s="1"/>
  <c r="X9046" i="1" s="1"/>
  <c r="X9047" i="1" s="1"/>
  <c r="X9048" i="1" s="1"/>
  <c r="X9049" i="1" s="1"/>
  <c r="X9050" i="1" s="1"/>
  <c r="X9051" i="1" s="1"/>
  <c r="X9052" i="1" s="1"/>
  <c r="X9053" i="1" s="1"/>
  <c r="X9054" i="1" s="1"/>
  <c r="X9055" i="1" s="1"/>
  <c r="X9056" i="1" s="1"/>
  <c r="X9057" i="1" s="1"/>
  <c r="X9058" i="1" s="1"/>
  <c r="X9059" i="1" s="1"/>
  <c r="X9060" i="1" s="1"/>
  <c r="X9061" i="1" s="1"/>
  <c r="X9062" i="1" s="1"/>
  <c r="X9063" i="1" s="1"/>
  <c r="X9064" i="1" s="1"/>
  <c r="X9065" i="1" s="1"/>
  <c r="X9066" i="1" s="1"/>
  <c r="X9067" i="1" s="1"/>
  <c r="X9068" i="1" s="1"/>
  <c r="X9069" i="1" s="1"/>
  <c r="X9070" i="1" s="1"/>
  <c r="X9071" i="1" s="1"/>
  <c r="X9072" i="1" s="1"/>
  <c r="X9073" i="1" s="1"/>
  <c r="X9074" i="1" s="1"/>
  <c r="X9075" i="1" s="1"/>
  <c r="X9076" i="1" s="1"/>
  <c r="X9077" i="1" s="1"/>
  <c r="X9078" i="1" s="1"/>
  <c r="X9079" i="1" s="1"/>
  <c r="X9080" i="1" s="1"/>
  <c r="X9081" i="1" s="1"/>
  <c r="X9082" i="1" s="1"/>
  <c r="X9083" i="1" s="1"/>
  <c r="X9084" i="1" s="1"/>
  <c r="X9085" i="1" s="1"/>
  <c r="X9086" i="1" s="1"/>
  <c r="X9087" i="1" s="1"/>
  <c r="X9088" i="1" s="1"/>
  <c r="X9089" i="1" s="1"/>
  <c r="X9090" i="1" s="1"/>
  <c r="X9091" i="1" s="1"/>
  <c r="X9092" i="1" s="1"/>
  <c r="X9093" i="1" s="1"/>
  <c r="X9094" i="1" s="1"/>
  <c r="X9095" i="1" s="1"/>
  <c r="X9096" i="1" s="1"/>
  <c r="X9097" i="1" s="1"/>
  <c r="X9098" i="1" s="1"/>
  <c r="X9099" i="1" s="1"/>
  <c r="X9100" i="1" s="1"/>
  <c r="X9101" i="1" s="1"/>
  <c r="X9102" i="1" s="1"/>
  <c r="X9103" i="1" s="1"/>
  <c r="X9104" i="1" s="1"/>
  <c r="X9105" i="1" s="1"/>
  <c r="X9106" i="1" s="1"/>
  <c r="X9107" i="1" s="1"/>
  <c r="X9108" i="1" s="1"/>
  <c r="X9109" i="1" s="1"/>
  <c r="X9110" i="1" s="1"/>
  <c r="X9111" i="1" s="1"/>
  <c r="X9112" i="1" s="1"/>
  <c r="X9113" i="1" s="1"/>
  <c r="X9114" i="1" s="1"/>
  <c r="X9115" i="1" s="1"/>
  <c r="X9116" i="1" s="1"/>
  <c r="X9117" i="1" s="1"/>
  <c r="X9118" i="1" s="1"/>
  <c r="X9119" i="1" s="1"/>
  <c r="X9120" i="1" s="1"/>
  <c r="X9121" i="1" s="1"/>
  <c r="X9122" i="1" s="1"/>
  <c r="X9123" i="1" s="1"/>
  <c r="X9124" i="1" s="1"/>
  <c r="X9125" i="1" s="1"/>
  <c r="X9126" i="1" s="1"/>
  <c r="X9127" i="1" s="1"/>
  <c r="X9128" i="1" s="1"/>
  <c r="X9129" i="1" s="1"/>
  <c r="X9130" i="1" s="1"/>
  <c r="X9131" i="1" s="1"/>
  <c r="X9132" i="1" s="1"/>
  <c r="X9133" i="1" s="1"/>
  <c r="X9134" i="1" s="1"/>
  <c r="X9135" i="1" s="1"/>
  <c r="X9136" i="1" s="1"/>
  <c r="X9137" i="1" s="1"/>
  <c r="X9138" i="1" s="1"/>
  <c r="X9139" i="1" s="1"/>
  <c r="X9140" i="1" s="1"/>
  <c r="X9141" i="1" s="1"/>
  <c r="X9142" i="1" s="1"/>
  <c r="X9143" i="1" s="1"/>
  <c r="X9144" i="1" s="1"/>
  <c r="X9145" i="1" s="1"/>
  <c r="X9146" i="1" s="1"/>
  <c r="X9147" i="1" s="1"/>
  <c r="X9148" i="1" s="1"/>
  <c r="X9149" i="1" s="1"/>
  <c r="X9150" i="1" s="1"/>
  <c r="X9151" i="1" s="1"/>
  <c r="X9152" i="1" s="1"/>
  <c r="X9153" i="1" s="1"/>
  <c r="X9154" i="1" s="1"/>
  <c r="X9155" i="1" s="1"/>
  <c r="X9156" i="1" s="1"/>
  <c r="X9157" i="1" s="1"/>
  <c r="X9158" i="1" s="1"/>
  <c r="X9159" i="1" s="1"/>
  <c r="X9160" i="1" s="1"/>
  <c r="X9161" i="1" s="1"/>
  <c r="X9162" i="1" s="1"/>
  <c r="X9163" i="1" s="1"/>
  <c r="X9164" i="1" s="1"/>
  <c r="X9165" i="1" s="1"/>
  <c r="X9166" i="1" s="1"/>
  <c r="X9167" i="1" s="1"/>
  <c r="X9168" i="1" s="1"/>
  <c r="X9169" i="1" s="1"/>
  <c r="X9170" i="1" s="1"/>
  <c r="X9171" i="1" s="1"/>
  <c r="X9172" i="1" s="1"/>
  <c r="X9173" i="1" s="1"/>
  <c r="X9174" i="1" s="1"/>
  <c r="X9175" i="1" s="1"/>
  <c r="X9176" i="1" s="1"/>
  <c r="X9177" i="1" s="1"/>
  <c r="X9178" i="1" s="1"/>
  <c r="X9179" i="1" s="1"/>
  <c r="X9180" i="1" s="1"/>
  <c r="X9181" i="1" s="1"/>
  <c r="X9182" i="1" s="1"/>
  <c r="X9183" i="1" s="1"/>
  <c r="X9184" i="1" s="1"/>
  <c r="X9185" i="1" s="1"/>
  <c r="X9186" i="1" s="1"/>
  <c r="X9187" i="1" s="1"/>
  <c r="X9188" i="1" s="1"/>
  <c r="X9189" i="1" s="1"/>
  <c r="X9190" i="1" s="1"/>
  <c r="X9191" i="1" s="1"/>
  <c r="X9192" i="1" s="1"/>
  <c r="X9193" i="1" s="1"/>
  <c r="X9194" i="1" s="1"/>
  <c r="X9195" i="1" s="1"/>
  <c r="X9196" i="1" s="1"/>
  <c r="X9197" i="1" s="1"/>
  <c r="X9198" i="1" s="1"/>
  <c r="X9199" i="1" s="1"/>
  <c r="X9200" i="1" s="1"/>
  <c r="X9201" i="1" s="1"/>
  <c r="X9202" i="1" s="1"/>
  <c r="X9203" i="1" s="1"/>
  <c r="X9204" i="1" s="1"/>
  <c r="X9205" i="1" s="1"/>
  <c r="X9206" i="1" s="1"/>
  <c r="X9207" i="1" s="1"/>
  <c r="X9208" i="1" s="1"/>
  <c r="X9209" i="1" s="1"/>
  <c r="X9210" i="1" s="1"/>
  <c r="X9211" i="1" s="1"/>
  <c r="X9212" i="1" s="1"/>
  <c r="X9213" i="1" s="1"/>
  <c r="X9214" i="1" s="1"/>
  <c r="X9215" i="1" s="1"/>
  <c r="X9216" i="1" s="1"/>
  <c r="X9217" i="1" s="1"/>
  <c r="X9218" i="1" s="1"/>
  <c r="X9219" i="1" s="1"/>
  <c r="X9220" i="1" s="1"/>
  <c r="X9221" i="1" s="1"/>
  <c r="X9222" i="1" s="1"/>
  <c r="X9223" i="1" s="1"/>
  <c r="X9224" i="1" s="1"/>
  <c r="X9225" i="1" s="1"/>
  <c r="X9226" i="1" s="1"/>
  <c r="X9227" i="1" s="1"/>
  <c r="X9228" i="1" s="1"/>
  <c r="X9229" i="1" s="1"/>
  <c r="X9230" i="1" s="1"/>
  <c r="X9231" i="1" s="1"/>
  <c r="X9232" i="1" s="1"/>
  <c r="X9233" i="1" s="1"/>
  <c r="X9234" i="1" s="1"/>
  <c r="X9235" i="1" s="1"/>
  <c r="X9236" i="1" s="1"/>
  <c r="X9237" i="1" s="1"/>
  <c r="X9238" i="1" s="1"/>
  <c r="X9239" i="1" s="1"/>
  <c r="X9240" i="1" s="1"/>
  <c r="X9241" i="1" s="1"/>
  <c r="X9242" i="1" s="1"/>
  <c r="X9243" i="1" s="1"/>
  <c r="X9244" i="1" s="1"/>
  <c r="X9245" i="1" s="1"/>
  <c r="X9246" i="1" s="1"/>
  <c r="X9247" i="1" s="1"/>
  <c r="X9248" i="1" s="1"/>
  <c r="X9249" i="1" s="1"/>
  <c r="X9250" i="1" s="1"/>
  <c r="X9251" i="1" s="1"/>
  <c r="X9252" i="1" s="1"/>
  <c r="X9253" i="1" s="1"/>
  <c r="X9254" i="1" s="1"/>
  <c r="X9255" i="1" s="1"/>
  <c r="X9256" i="1" s="1"/>
  <c r="X9257" i="1" s="1"/>
  <c r="X9258" i="1" s="1"/>
  <c r="X9259" i="1" s="1"/>
  <c r="X9260" i="1" s="1"/>
  <c r="X9261" i="1" s="1"/>
  <c r="X9262" i="1" s="1"/>
  <c r="X9263" i="1" s="1"/>
  <c r="X9264" i="1" s="1"/>
  <c r="X9265" i="1" s="1"/>
  <c r="X9266" i="1" s="1"/>
  <c r="X9267" i="1" s="1"/>
  <c r="X9268" i="1" s="1"/>
  <c r="X9269" i="1" s="1"/>
  <c r="X9270" i="1" s="1"/>
  <c r="X9271" i="1" s="1"/>
  <c r="X9272" i="1" s="1"/>
  <c r="X9273" i="1" s="1"/>
  <c r="X9274" i="1" s="1"/>
  <c r="X9275" i="1" s="1"/>
  <c r="X9276" i="1" s="1"/>
  <c r="X9277" i="1" s="1"/>
  <c r="X9278" i="1" s="1"/>
  <c r="X9279" i="1" s="1"/>
  <c r="X9280" i="1" s="1"/>
  <c r="X9281" i="1" s="1"/>
  <c r="X9282" i="1" s="1"/>
  <c r="X9283" i="1" s="1"/>
  <c r="X9284" i="1" s="1"/>
  <c r="X9285" i="1" s="1"/>
  <c r="X9286" i="1" s="1"/>
  <c r="X9287" i="1" s="1"/>
  <c r="X9288" i="1" s="1"/>
  <c r="X9289" i="1" s="1"/>
  <c r="X9290" i="1" s="1"/>
  <c r="X9291" i="1" s="1"/>
  <c r="X9292" i="1" s="1"/>
  <c r="X9293" i="1" s="1"/>
  <c r="X9294" i="1" s="1"/>
  <c r="X9295" i="1" s="1"/>
  <c r="X9296" i="1" s="1"/>
  <c r="X9297" i="1" s="1"/>
  <c r="X9298" i="1" s="1"/>
  <c r="X9299" i="1" s="1"/>
  <c r="X9300" i="1" s="1"/>
  <c r="X9301" i="1" s="1"/>
  <c r="X9302" i="1" s="1"/>
  <c r="X9303" i="1" s="1"/>
  <c r="X9304" i="1" s="1"/>
  <c r="X9305" i="1" s="1"/>
  <c r="X9306" i="1" s="1"/>
  <c r="X9307" i="1" s="1"/>
  <c r="X9308" i="1" s="1"/>
  <c r="X9309" i="1" s="1"/>
  <c r="X9310" i="1" s="1"/>
  <c r="X9311" i="1" s="1"/>
  <c r="X9312" i="1" s="1"/>
  <c r="X9313" i="1" s="1"/>
  <c r="X9314" i="1" s="1"/>
  <c r="X9315" i="1" s="1"/>
  <c r="X9316" i="1" s="1"/>
  <c r="X9317" i="1" s="1"/>
  <c r="X9318" i="1" s="1"/>
  <c r="X9319" i="1" s="1"/>
  <c r="X9320" i="1" s="1"/>
  <c r="X9321" i="1" s="1"/>
  <c r="X9322" i="1" s="1"/>
  <c r="X9323" i="1" s="1"/>
  <c r="X9324" i="1" s="1"/>
  <c r="X9325" i="1" s="1"/>
  <c r="X9326" i="1" s="1"/>
  <c r="X9327" i="1" s="1"/>
  <c r="X9328" i="1" s="1"/>
  <c r="X9329" i="1" s="1"/>
  <c r="X9330" i="1" s="1"/>
  <c r="X9331" i="1" s="1"/>
  <c r="X9332" i="1" s="1"/>
  <c r="X9333" i="1" s="1"/>
  <c r="X9334" i="1" s="1"/>
  <c r="X9335" i="1" s="1"/>
  <c r="X9336" i="1" s="1"/>
  <c r="X9337" i="1" s="1"/>
  <c r="X9338" i="1" s="1"/>
  <c r="X9339" i="1" s="1"/>
  <c r="X9340" i="1" s="1"/>
  <c r="X9341" i="1" s="1"/>
  <c r="X9342" i="1" s="1"/>
  <c r="X9343" i="1" s="1"/>
  <c r="X9344" i="1" s="1"/>
  <c r="X9345" i="1" s="1"/>
  <c r="X9346" i="1" s="1"/>
  <c r="X9347" i="1" s="1"/>
  <c r="X9348" i="1" s="1"/>
  <c r="X9349" i="1" s="1"/>
  <c r="X9350" i="1" s="1"/>
  <c r="X9351" i="1" s="1"/>
  <c r="X9352" i="1" s="1"/>
  <c r="X9353" i="1" s="1"/>
  <c r="X9354" i="1" s="1"/>
  <c r="X9355" i="1" s="1"/>
  <c r="X9356" i="1" s="1"/>
  <c r="X9357" i="1" s="1"/>
  <c r="X9358" i="1" s="1"/>
  <c r="X9359" i="1" s="1"/>
  <c r="X9360" i="1" s="1"/>
  <c r="X9361" i="1" s="1"/>
  <c r="X9362" i="1" s="1"/>
  <c r="X9363" i="1" s="1"/>
  <c r="X9364" i="1" s="1"/>
  <c r="X9365" i="1" s="1"/>
  <c r="X9366" i="1" s="1"/>
  <c r="X9367" i="1" s="1"/>
  <c r="X9368" i="1" s="1"/>
  <c r="X9369" i="1" s="1"/>
  <c r="X9370" i="1" s="1"/>
  <c r="X9371" i="1" s="1"/>
  <c r="X9372" i="1" s="1"/>
  <c r="X9373" i="1" s="1"/>
  <c r="X9374" i="1" s="1"/>
  <c r="X9375" i="1" s="1"/>
  <c r="X9376" i="1" s="1"/>
  <c r="X9377" i="1" s="1"/>
  <c r="X9378" i="1" s="1"/>
  <c r="X9379" i="1" s="1"/>
  <c r="X9380" i="1" s="1"/>
  <c r="X9381" i="1" s="1"/>
  <c r="X9382" i="1" s="1"/>
  <c r="X9383" i="1" s="1"/>
  <c r="X9384" i="1" s="1"/>
  <c r="X9385" i="1" s="1"/>
  <c r="X9386" i="1" s="1"/>
  <c r="X9387" i="1" s="1"/>
  <c r="X9388" i="1" s="1"/>
  <c r="X9389" i="1" s="1"/>
  <c r="X9390" i="1" s="1"/>
  <c r="X9391" i="1" s="1"/>
  <c r="X9392" i="1" s="1"/>
  <c r="X9393" i="1" s="1"/>
  <c r="X9394" i="1" s="1"/>
  <c r="X9395" i="1" s="1"/>
  <c r="X9396" i="1" s="1"/>
  <c r="X9397" i="1" s="1"/>
  <c r="X9398" i="1" s="1"/>
  <c r="X9399" i="1" s="1"/>
  <c r="X9400" i="1" s="1"/>
  <c r="X9401" i="1" s="1"/>
  <c r="X9402" i="1" s="1"/>
  <c r="X9403" i="1" s="1"/>
  <c r="X9404" i="1" s="1"/>
  <c r="X9405" i="1" s="1"/>
  <c r="X9406" i="1" s="1"/>
  <c r="X9407" i="1" s="1"/>
  <c r="X9408" i="1" s="1"/>
  <c r="X9409" i="1" s="1"/>
  <c r="X9410" i="1" s="1"/>
  <c r="X9411" i="1" s="1"/>
  <c r="X9412" i="1" s="1"/>
  <c r="X9413" i="1" s="1"/>
  <c r="X9414" i="1" s="1"/>
  <c r="X9415" i="1" s="1"/>
  <c r="X9416" i="1" s="1"/>
  <c r="X9417" i="1" s="1"/>
  <c r="X9418" i="1" s="1"/>
  <c r="X9419" i="1" s="1"/>
  <c r="X9420" i="1" s="1"/>
  <c r="X9421" i="1" s="1"/>
  <c r="X9422" i="1" s="1"/>
  <c r="X9423" i="1" s="1"/>
  <c r="X9424" i="1" s="1"/>
  <c r="X9425" i="1" s="1"/>
  <c r="X9426" i="1" s="1"/>
  <c r="X9427" i="1" s="1"/>
  <c r="X9428" i="1" s="1"/>
  <c r="X9429" i="1" s="1"/>
  <c r="X9430" i="1" s="1"/>
  <c r="X9431" i="1" s="1"/>
  <c r="X9432" i="1" s="1"/>
  <c r="X9433" i="1" s="1"/>
  <c r="X9434" i="1" s="1"/>
  <c r="X9435" i="1" s="1"/>
  <c r="X9436" i="1" s="1"/>
  <c r="X9437" i="1" s="1"/>
  <c r="X9438" i="1" s="1"/>
  <c r="X9439" i="1" s="1"/>
  <c r="X9440" i="1" s="1"/>
  <c r="X9441" i="1" s="1"/>
  <c r="X9442" i="1" s="1"/>
  <c r="X9443" i="1" s="1"/>
  <c r="X9444" i="1" s="1"/>
  <c r="X9445" i="1" s="1"/>
  <c r="X9446" i="1" s="1"/>
  <c r="X9447" i="1" s="1"/>
  <c r="X9448" i="1" s="1"/>
  <c r="X9449" i="1" s="1"/>
  <c r="X9450" i="1" s="1"/>
  <c r="X9451" i="1" s="1"/>
  <c r="X9452" i="1" s="1"/>
  <c r="X9453" i="1" s="1"/>
  <c r="X9454" i="1" s="1"/>
  <c r="X9455" i="1" s="1"/>
  <c r="X9456" i="1" s="1"/>
  <c r="X9457" i="1" s="1"/>
  <c r="X9458" i="1" s="1"/>
  <c r="X9459" i="1" s="1"/>
  <c r="X9460" i="1" s="1"/>
  <c r="X9461" i="1" s="1"/>
  <c r="X9462" i="1" s="1"/>
  <c r="X9463" i="1" s="1"/>
  <c r="X9464" i="1" s="1"/>
  <c r="X9465" i="1" s="1"/>
  <c r="X9466" i="1" s="1"/>
  <c r="X9467" i="1" s="1"/>
  <c r="X9468" i="1" s="1"/>
  <c r="X9469" i="1" s="1"/>
  <c r="X9470" i="1" s="1"/>
  <c r="X9471" i="1" s="1"/>
  <c r="X9472" i="1" s="1"/>
  <c r="X9473" i="1" s="1"/>
  <c r="X9474" i="1" s="1"/>
  <c r="X9475" i="1" s="1"/>
  <c r="X9476" i="1" s="1"/>
  <c r="X9477" i="1" s="1"/>
  <c r="X9478" i="1" s="1"/>
  <c r="X9479" i="1" s="1"/>
  <c r="X9480" i="1" s="1"/>
  <c r="X9481" i="1" s="1"/>
  <c r="X9482" i="1" s="1"/>
  <c r="X9483" i="1" s="1"/>
  <c r="X9484" i="1" s="1"/>
  <c r="X9485" i="1" s="1"/>
  <c r="X9486" i="1" s="1"/>
  <c r="X9487" i="1" s="1"/>
  <c r="X9488" i="1" s="1"/>
  <c r="X9489" i="1" s="1"/>
  <c r="X9490" i="1" s="1"/>
  <c r="X9491" i="1" s="1"/>
  <c r="X9492" i="1" s="1"/>
  <c r="X9493" i="1" s="1"/>
  <c r="X9494" i="1" s="1"/>
  <c r="X9495" i="1" s="1"/>
  <c r="X9496" i="1" s="1"/>
  <c r="X9497" i="1" s="1"/>
  <c r="X9498" i="1" s="1"/>
  <c r="X9499" i="1" s="1"/>
  <c r="X9500" i="1" s="1"/>
  <c r="X9501" i="1" s="1"/>
  <c r="X9502" i="1" s="1"/>
  <c r="X9503" i="1" s="1"/>
  <c r="X9504" i="1" s="1"/>
  <c r="X9505" i="1" s="1"/>
  <c r="X9506" i="1" s="1"/>
  <c r="X9507" i="1" s="1"/>
  <c r="X9508" i="1" s="1"/>
  <c r="X9509" i="1" s="1"/>
  <c r="X9510" i="1" s="1"/>
  <c r="X9511" i="1" s="1"/>
  <c r="X9512" i="1" s="1"/>
  <c r="X9513" i="1" s="1"/>
  <c r="X9514" i="1" s="1"/>
  <c r="X9515" i="1" s="1"/>
  <c r="X9516" i="1" s="1"/>
  <c r="X9517" i="1" s="1"/>
  <c r="X9518" i="1" s="1"/>
  <c r="X9519" i="1" s="1"/>
  <c r="X9520" i="1" s="1"/>
  <c r="X9521" i="1" s="1"/>
  <c r="X9522" i="1" s="1"/>
  <c r="X9523" i="1" s="1"/>
  <c r="X9524" i="1" s="1"/>
  <c r="X9525" i="1" s="1"/>
  <c r="X9526" i="1" s="1"/>
  <c r="X9527" i="1" s="1"/>
  <c r="X9528" i="1" s="1"/>
  <c r="X9529" i="1" s="1"/>
  <c r="X9530" i="1" s="1"/>
  <c r="X9531" i="1" s="1"/>
  <c r="X9532" i="1" s="1"/>
  <c r="X9533" i="1" s="1"/>
  <c r="X9534" i="1" s="1"/>
  <c r="X9535" i="1" s="1"/>
  <c r="X9536" i="1" s="1"/>
  <c r="X9537" i="1" s="1"/>
  <c r="X9538" i="1" s="1"/>
  <c r="X9539" i="1" s="1"/>
  <c r="X9540" i="1" s="1"/>
  <c r="X9541" i="1" s="1"/>
  <c r="X9542" i="1" s="1"/>
  <c r="X9543" i="1" s="1"/>
  <c r="X9544" i="1" s="1"/>
  <c r="X9545" i="1" s="1"/>
  <c r="X9546" i="1" s="1"/>
  <c r="X9547" i="1" s="1"/>
  <c r="X9548" i="1" s="1"/>
  <c r="X9549" i="1" s="1"/>
  <c r="X9550" i="1" s="1"/>
  <c r="X9551" i="1" s="1"/>
  <c r="X9552" i="1" s="1"/>
  <c r="X9553" i="1" s="1"/>
  <c r="X9554" i="1" s="1"/>
  <c r="X9555" i="1" s="1"/>
  <c r="X9556" i="1" s="1"/>
  <c r="X9557" i="1" s="1"/>
  <c r="X9558" i="1" s="1"/>
  <c r="X9559" i="1" s="1"/>
  <c r="X9560" i="1" s="1"/>
  <c r="X9561" i="1" s="1"/>
  <c r="X9562" i="1" s="1"/>
  <c r="X9563" i="1" s="1"/>
  <c r="X9564" i="1" s="1"/>
  <c r="X9565" i="1" s="1"/>
  <c r="X9566" i="1" s="1"/>
  <c r="X9567" i="1" s="1"/>
  <c r="X9568" i="1" s="1"/>
  <c r="X9569" i="1" s="1"/>
  <c r="X9570" i="1" s="1"/>
  <c r="X9571" i="1" s="1"/>
  <c r="X9572" i="1" s="1"/>
  <c r="X9573" i="1" s="1"/>
  <c r="X9574" i="1" s="1"/>
  <c r="X9575" i="1" s="1"/>
  <c r="X9576" i="1" s="1"/>
  <c r="X9577" i="1" s="1"/>
  <c r="X9578" i="1" s="1"/>
  <c r="X9579" i="1" s="1"/>
  <c r="X9580" i="1" s="1"/>
  <c r="X9581" i="1" s="1"/>
  <c r="X9582" i="1" s="1"/>
  <c r="X9583" i="1" s="1"/>
  <c r="X9584" i="1" s="1"/>
  <c r="X9585" i="1" s="1"/>
  <c r="X9586" i="1" s="1"/>
  <c r="X9587" i="1" s="1"/>
  <c r="X9588" i="1" s="1"/>
  <c r="X9589" i="1" s="1"/>
  <c r="X9590" i="1" s="1"/>
  <c r="X9591" i="1" s="1"/>
  <c r="X9592" i="1" s="1"/>
  <c r="X9593" i="1" s="1"/>
  <c r="X9594" i="1" s="1"/>
  <c r="X9595" i="1" s="1"/>
  <c r="X9596" i="1" s="1"/>
  <c r="X9597" i="1" s="1"/>
  <c r="X9598" i="1" s="1"/>
  <c r="X9599" i="1" s="1"/>
  <c r="X9600" i="1" s="1"/>
  <c r="X9601" i="1" s="1"/>
  <c r="X9602" i="1" s="1"/>
  <c r="X9603" i="1" s="1"/>
  <c r="X9604" i="1" s="1"/>
  <c r="X9605" i="1" s="1"/>
  <c r="X9606" i="1" s="1"/>
  <c r="X9607" i="1" s="1"/>
  <c r="X9608" i="1" s="1"/>
  <c r="X9609" i="1" s="1"/>
  <c r="X9610" i="1" s="1"/>
  <c r="X9611" i="1" s="1"/>
  <c r="X9612" i="1" s="1"/>
  <c r="X9613" i="1" s="1"/>
  <c r="X9614" i="1" s="1"/>
  <c r="X9615" i="1" s="1"/>
  <c r="X9616" i="1" s="1"/>
  <c r="X9617" i="1" s="1"/>
  <c r="X9618" i="1" s="1"/>
  <c r="X9619" i="1" s="1"/>
  <c r="X9620" i="1" s="1"/>
  <c r="X9621" i="1" s="1"/>
  <c r="X9622" i="1" s="1"/>
  <c r="X9623" i="1" s="1"/>
  <c r="X9624" i="1" s="1"/>
  <c r="X9625" i="1" s="1"/>
  <c r="X9626" i="1" s="1"/>
  <c r="X9627" i="1" s="1"/>
  <c r="X9628" i="1" s="1"/>
  <c r="X9629" i="1" s="1"/>
  <c r="X9630" i="1" s="1"/>
  <c r="X9631" i="1" s="1"/>
  <c r="X9632" i="1" s="1"/>
  <c r="X9633" i="1" s="1"/>
  <c r="X9634" i="1" s="1"/>
  <c r="X9635" i="1" s="1"/>
  <c r="X9636" i="1" s="1"/>
  <c r="X9637" i="1" s="1"/>
  <c r="X9638" i="1" s="1"/>
  <c r="X9639" i="1" s="1"/>
  <c r="X9640" i="1" s="1"/>
  <c r="X9641" i="1" s="1"/>
  <c r="X9642" i="1" s="1"/>
  <c r="X9643" i="1" s="1"/>
  <c r="X9644" i="1" s="1"/>
  <c r="X9645" i="1" s="1"/>
  <c r="X9646" i="1" s="1"/>
  <c r="X9647" i="1" s="1"/>
  <c r="X9648" i="1" s="1"/>
  <c r="X9649" i="1" s="1"/>
  <c r="X9650" i="1" s="1"/>
  <c r="X9651" i="1" s="1"/>
  <c r="X9652" i="1" s="1"/>
  <c r="X9653" i="1" s="1"/>
  <c r="X9654" i="1" s="1"/>
  <c r="X9655" i="1" s="1"/>
  <c r="X9656" i="1" s="1"/>
  <c r="X9657" i="1" s="1"/>
  <c r="X9658" i="1" s="1"/>
  <c r="X9659" i="1" s="1"/>
  <c r="X9660" i="1" s="1"/>
  <c r="X9661" i="1" s="1"/>
  <c r="X9662" i="1" s="1"/>
  <c r="X9663" i="1" s="1"/>
  <c r="X9664" i="1" s="1"/>
  <c r="X9665" i="1" s="1"/>
  <c r="X9666" i="1" s="1"/>
  <c r="X9667" i="1" s="1"/>
  <c r="X9668" i="1" s="1"/>
  <c r="X9669" i="1" s="1"/>
  <c r="X9670" i="1" s="1"/>
  <c r="X9671" i="1" s="1"/>
  <c r="X9672" i="1" s="1"/>
  <c r="X9673" i="1" s="1"/>
  <c r="X9674" i="1" s="1"/>
  <c r="X9675" i="1" s="1"/>
  <c r="X9676" i="1" s="1"/>
  <c r="X9677" i="1" s="1"/>
  <c r="X9678" i="1" s="1"/>
  <c r="X9679" i="1" s="1"/>
  <c r="X9680" i="1" s="1"/>
  <c r="X9681" i="1" s="1"/>
  <c r="X9682" i="1" s="1"/>
  <c r="X9683" i="1" s="1"/>
  <c r="X9684" i="1" s="1"/>
  <c r="X9685" i="1" s="1"/>
  <c r="X9686" i="1" s="1"/>
  <c r="X9687" i="1" s="1"/>
  <c r="X9688" i="1" s="1"/>
  <c r="X9689" i="1" s="1"/>
  <c r="X9690" i="1" s="1"/>
  <c r="X9691" i="1" s="1"/>
  <c r="X9692" i="1" s="1"/>
  <c r="X9693" i="1" s="1"/>
  <c r="X9694" i="1" s="1"/>
  <c r="X9695" i="1" s="1"/>
  <c r="X9696" i="1" s="1"/>
  <c r="X9697" i="1" s="1"/>
  <c r="X9698" i="1" s="1"/>
  <c r="X9699" i="1" s="1"/>
  <c r="X9700" i="1" s="1"/>
  <c r="X9701" i="1" s="1"/>
  <c r="X9702" i="1" s="1"/>
  <c r="X9703" i="1" s="1"/>
  <c r="X9704" i="1" s="1"/>
  <c r="X9705" i="1" s="1"/>
  <c r="X9706" i="1" s="1"/>
  <c r="X9707" i="1" s="1"/>
  <c r="X9708" i="1" s="1"/>
  <c r="X9709" i="1" s="1"/>
  <c r="X9710" i="1" s="1"/>
  <c r="X9711" i="1" s="1"/>
  <c r="X9712" i="1" s="1"/>
  <c r="X9713" i="1" s="1"/>
  <c r="X9714" i="1" s="1"/>
  <c r="X9715" i="1" s="1"/>
  <c r="X9716" i="1" s="1"/>
  <c r="X9717" i="1" s="1"/>
  <c r="X9718" i="1" s="1"/>
  <c r="X9719" i="1" s="1"/>
  <c r="X9720" i="1" s="1"/>
  <c r="X9721" i="1" s="1"/>
  <c r="X9722" i="1" s="1"/>
  <c r="X9723" i="1" s="1"/>
  <c r="X9724" i="1" s="1"/>
  <c r="X9725" i="1" s="1"/>
  <c r="X9726" i="1" s="1"/>
  <c r="X9727" i="1" s="1"/>
  <c r="X9728" i="1" s="1"/>
  <c r="X9729" i="1" s="1"/>
  <c r="X9730" i="1" s="1"/>
  <c r="X9731" i="1" s="1"/>
  <c r="X9732" i="1" s="1"/>
  <c r="X9733" i="1" s="1"/>
  <c r="X9734" i="1" s="1"/>
  <c r="X9735" i="1" s="1"/>
  <c r="X9736" i="1" s="1"/>
  <c r="X9737" i="1" s="1"/>
  <c r="X9738" i="1" s="1"/>
  <c r="X9739" i="1" s="1"/>
  <c r="X9740" i="1" s="1"/>
  <c r="X9741" i="1" s="1"/>
  <c r="X9742" i="1" s="1"/>
  <c r="X9743" i="1" s="1"/>
  <c r="X9744" i="1" s="1"/>
  <c r="X9745" i="1" s="1"/>
  <c r="X9746" i="1" s="1"/>
  <c r="X9747" i="1" s="1"/>
  <c r="X9748" i="1" s="1"/>
  <c r="X9749" i="1" s="1"/>
  <c r="X9750" i="1" s="1"/>
  <c r="X9751" i="1" s="1"/>
  <c r="X9752" i="1" s="1"/>
  <c r="X9753" i="1" s="1"/>
  <c r="X9754" i="1" s="1"/>
  <c r="X9755" i="1" s="1"/>
  <c r="X9756" i="1" s="1"/>
  <c r="X9757" i="1" s="1"/>
  <c r="X9758" i="1" s="1"/>
  <c r="X9759" i="1" s="1"/>
  <c r="X9760" i="1" s="1"/>
  <c r="X9761" i="1" s="1"/>
  <c r="X9762" i="1" s="1"/>
  <c r="X9763" i="1" s="1"/>
  <c r="X9764" i="1" s="1"/>
  <c r="X9765" i="1" s="1"/>
  <c r="X9766" i="1" s="1"/>
  <c r="X9767" i="1" s="1"/>
  <c r="X9768" i="1" s="1"/>
  <c r="X9769" i="1" s="1"/>
  <c r="X9770" i="1" s="1"/>
  <c r="X9771" i="1" s="1"/>
  <c r="X9772" i="1" s="1"/>
  <c r="X9773" i="1" s="1"/>
  <c r="X9774" i="1" s="1"/>
  <c r="X9775" i="1" s="1"/>
  <c r="X9776" i="1" s="1"/>
  <c r="X9777" i="1" s="1"/>
  <c r="X9778" i="1" s="1"/>
  <c r="X9779" i="1" s="1"/>
  <c r="X9780" i="1" s="1"/>
  <c r="X9781" i="1" s="1"/>
  <c r="X9782" i="1" s="1"/>
  <c r="X9783" i="1" s="1"/>
  <c r="X9784" i="1" s="1"/>
  <c r="X9785" i="1" s="1"/>
  <c r="X9786" i="1" s="1"/>
  <c r="X9787" i="1" s="1"/>
  <c r="X9788" i="1" s="1"/>
  <c r="X9789" i="1" s="1"/>
  <c r="X9790" i="1" s="1"/>
  <c r="X9791" i="1" s="1"/>
  <c r="X9792" i="1" s="1"/>
  <c r="X9793" i="1" s="1"/>
  <c r="X9794" i="1" s="1"/>
  <c r="X9795" i="1" s="1"/>
  <c r="X9796" i="1" s="1"/>
  <c r="X9797" i="1" s="1"/>
  <c r="X9798" i="1" s="1"/>
  <c r="X9799" i="1" s="1"/>
  <c r="X9800" i="1" s="1"/>
  <c r="X9801" i="1" s="1"/>
  <c r="X9802" i="1" s="1"/>
  <c r="X9803" i="1" s="1"/>
  <c r="X9804" i="1" s="1"/>
  <c r="X9805" i="1" s="1"/>
  <c r="X9806" i="1" s="1"/>
  <c r="X9807" i="1" s="1"/>
  <c r="X9808" i="1" s="1"/>
  <c r="X9809" i="1" s="1"/>
  <c r="X9810" i="1" s="1"/>
  <c r="X9811" i="1" s="1"/>
  <c r="X9812" i="1" s="1"/>
  <c r="X9813" i="1" s="1"/>
  <c r="X9814" i="1" s="1"/>
  <c r="X9815" i="1" s="1"/>
  <c r="X9816" i="1" s="1"/>
  <c r="X9817" i="1" s="1"/>
  <c r="X9818" i="1" s="1"/>
  <c r="X9819" i="1" s="1"/>
  <c r="X9820" i="1" s="1"/>
  <c r="X9821" i="1" s="1"/>
  <c r="X9822" i="1" s="1"/>
  <c r="X9823" i="1" s="1"/>
  <c r="X9824" i="1" s="1"/>
  <c r="X9825" i="1" s="1"/>
  <c r="X9826" i="1" s="1"/>
  <c r="X9827" i="1" s="1"/>
  <c r="X9828" i="1" s="1"/>
  <c r="X9829" i="1" s="1"/>
  <c r="X9830" i="1" s="1"/>
  <c r="X9831" i="1" s="1"/>
  <c r="X9832" i="1" s="1"/>
  <c r="X9833" i="1" s="1"/>
  <c r="X9834" i="1" s="1"/>
  <c r="X9835" i="1" s="1"/>
  <c r="X9836" i="1" s="1"/>
  <c r="X9837" i="1" s="1"/>
  <c r="X9838" i="1" s="1"/>
  <c r="X9839" i="1" s="1"/>
  <c r="X9840" i="1" s="1"/>
  <c r="X9841" i="1" s="1"/>
  <c r="X9842" i="1" s="1"/>
  <c r="X9843" i="1" s="1"/>
  <c r="X9844" i="1" s="1"/>
  <c r="X9845" i="1" s="1"/>
  <c r="X9846" i="1" s="1"/>
  <c r="X9847" i="1" s="1"/>
  <c r="X9848" i="1" s="1"/>
  <c r="X9849" i="1" s="1"/>
  <c r="X9850" i="1" s="1"/>
  <c r="X9851" i="1" s="1"/>
  <c r="X9852" i="1" s="1"/>
  <c r="X9853" i="1" s="1"/>
  <c r="X9854" i="1" s="1"/>
  <c r="X9855" i="1" s="1"/>
  <c r="X9856" i="1" s="1"/>
  <c r="X9857" i="1" s="1"/>
  <c r="X9858" i="1" s="1"/>
  <c r="X9859" i="1" s="1"/>
  <c r="X9860" i="1" s="1"/>
  <c r="X9861" i="1" s="1"/>
  <c r="X9862" i="1" s="1"/>
  <c r="X9863" i="1" s="1"/>
  <c r="X9864" i="1" s="1"/>
  <c r="X9865" i="1" s="1"/>
  <c r="X9866" i="1" s="1"/>
  <c r="X9867" i="1" s="1"/>
  <c r="X9868" i="1" s="1"/>
  <c r="X9869" i="1" s="1"/>
  <c r="X9870" i="1" s="1"/>
  <c r="X9871" i="1" s="1"/>
  <c r="X9872" i="1" s="1"/>
  <c r="X9873" i="1" s="1"/>
  <c r="X9874" i="1" s="1"/>
  <c r="X9875" i="1" s="1"/>
  <c r="X9876" i="1" s="1"/>
  <c r="X9877" i="1" s="1"/>
  <c r="X9878" i="1" s="1"/>
  <c r="X9879" i="1" s="1"/>
  <c r="X9880" i="1" s="1"/>
  <c r="X9881" i="1" s="1"/>
  <c r="X9882" i="1" s="1"/>
  <c r="X9883" i="1" s="1"/>
  <c r="X9884" i="1" s="1"/>
  <c r="X9885" i="1" s="1"/>
  <c r="X9886" i="1" s="1"/>
  <c r="X9887" i="1" s="1"/>
  <c r="X9888" i="1" s="1"/>
  <c r="X9889" i="1" s="1"/>
  <c r="X9890" i="1" s="1"/>
  <c r="X9891" i="1" s="1"/>
  <c r="X9892" i="1" s="1"/>
  <c r="X9893" i="1" s="1"/>
  <c r="X9894" i="1" s="1"/>
  <c r="X9895" i="1" s="1"/>
  <c r="X9896" i="1" s="1"/>
  <c r="X9897" i="1" s="1"/>
  <c r="X9898" i="1" s="1"/>
  <c r="X9899" i="1" s="1"/>
  <c r="X9900" i="1" s="1"/>
  <c r="X9901" i="1" s="1"/>
  <c r="X9902" i="1" s="1"/>
  <c r="X9903" i="1" s="1"/>
  <c r="X9904" i="1" s="1"/>
  <c r="X9905" i="1" s="1"/>
  <c r="X9906" i="1" s="1"/>
  <c r="X9907" i="1" s="1"/>
  <c r="X9908" i="1" s="1"/>
  <c r="X9909" i="1" s="1"/>
  <c r="X9910" i="1" s="1"/>
  <c r="X9911" i="1" s="1"/>
  <c r="X9912" i="1" s="1"/>
  <c r="X9913" i="1" s="1"/>
  <c r="X9914" i="1" s="1"/>
  <c r="X9915" i="1" s="1"/>
  <c r="X9916" i="1" s="1"/>
  <c r="X9917" i="1" s="1"/>
  <c r="X9918" i="1" s="1"/>
  <c r="X9919" i="1" s="1"/>
  <c r="X9920" i="1" s="1"/>
  <c r="X9921" i="1" s="1"/>
  <c r="X9922" i="1" s="1"/>
  <c r="X9923" i="1" s="1"/>
  <c r="X9924" i="1" s="1"/>
  <c r="X9925" i="1" s="1"/>
  <c r="X9926" i="1" s="1"/>
  <c r="X9927" i="1" s="1"/>
  <c r="X9928" i="1" s="1"/>
  <c r="X9929" i="1" s="1"/>
  <c r="X9930" i="1" s="1"/>
  <c r="X9931" i="1" s="1"/>
  <c r="X9932" i="1" s="1"/>
  <c r="X9933" i="1" s="1"/>
  <c r="X9934" i="1" s="1"/>
  <c r="X9935" i="1" s="1"/>
  <c r="X9936" i="1" s="1"/>
  <c r="X9937" i="1" s="1"/>
  <c r="X9938" i="1" s="1"/>
  <c r="X9939" i="1" s="1"/>
  <c r="X9940" i="1" s="1"/>
  <c r="X9941" i="1" s="1"/>
  <c r="X9942" i="1" s="1"/>
  <c r="X9943" i="1" s="1"/>
  <c r="X9944" i="1" s="1"/>
  <c r="X9945" i="1" s="1"/>
  <c r="X9946" i="1" s="1"/>
  <c r="X9947" i="1" s="1"/>
  <c r="X9948" i="1" s="1"/>
  <c r="X9949" i="1" s="1"/>
  <c r="X9950" i="1" s="1"/>
  <c r="X9951" i="1" s="1"/>
  <c r="X9952" i="1" s="1"/>
  <c r="X9953" i="1" s="1"/>
  <c r="X9954" i="1" s="1"/>
  <c r="X9955" i="1" s="1"/>
  <c r="X9956" i="1" s="1"/>
  <c r="X9957" i="1" s="1"/>
  <c r="X9958" i="1" s="1"/>
  <c r="X9959" i="1" s="1"/>
  <c r="X9960" i="1" s="1"/>
  <c r="X9961" i="1" s="1"/>
  <c r="X9962" i="1" s="1"/>
  <c r="X9963" i="1" s="1"/>
  <c r="X9964" i="1" s="1"/>
  <c r="X9965" i="1" s="1"/>
  <c r="X9966" i="1" s="1"/>
  <c r="X9967" i="1" s="1"/>
  <c r="X9968" i="1" s="1"/>
  <c r="X9969" i="1" s="1"/>
  <c r="X9970" i="1" s="1"/>
  <c r="X9971" i="1" s="1"/>
  <c r="X9972" i="1" s="1"/>
  <c r="X9973" i="1" s="1"/>
  <c r="X9974" i="1" s="1"/>
  <c r="X9975" i="1" s="1"/>
  <c r="X9976" i="1" s="1"/>
  <c r="X9977" i="1" s="1"/>
  <c r="X9978" i="1" s="1"/>
  <c r="X9979" i="1" s="1"/>
  <c r="X9980" i="1" s="1"/>
  <c r="X9981" i="1" s="1"/>
  <c r="X9982" i="1" s="1"/>
  <c r="X9983" i="1" s="1"/>
  <c r="X9984" i="1" s="1"/>
  <c r="X9985" i="1" s="1"/>
  <c r="X9986" i="1" s="1"/>
  <c r="X9987" i="1" s="1"/>
  <c r="X9988" i="1" s="1"/>
  <c r="X9989" i="1" s="1"/>
  <c r="X9990" i="1" s="1"/>
  <c r="X9991" i="1" s="1"/>
  <c r="X9992" i="1" s="1"/>
  <c r="X9993" i="1" s="1"/>
  <c r="X9994" i="1" s="1"/>
  <c r="X9995" i="1" s="1"/>
  <c r="X9996" i="1" s="1"/>
  <c r="X9997" i="1" s="1"/>
  <c r="X9998" i="1" s="1"/>
  <c r="X9999" i="1" s="1"/>
  <c r="X10000" i="1" s="1"/>
  <c r="X10001" i="1" s="1"/>
  <c r="X10002" i="1" s="1"/>
  <c r="X10003" i="1" s="1"/>
  <c r="X10004" i="1" s="1"/>
  <c r="X10005" i="1"/>
  <c r="O8" i="1" s="1"/>
  <c r="AA10005" i="1"/>
  <c r="O9" i="1" s="1"/>
  <c r="AA6005" i="1"/>
  <c r="AA6006" i="1" s="1"/>
  <c r="AA6007" i="1" s="1"/>
  <c r="AA6008" i="1" s="1"/>
  <c r="AA6009" i="1" s="1"/>
  <c r="AA6010" i="1" s="1"/>
  <c r="AA6011" i="1" s="1"/>
  <c r="AA6012" i="1" s="1"/>
  <c r="AA6013" i="1" s="1"/>
  <c r="AA6014" i="1" s="1"/>
  <c r="AA6015" i="1" s="1"/>
  <c r="AA6016" i="1" s="1"/>
  <c r="AA6017" i="1" s="1"/>
  <c r="AA6018" i="1" s="1"/>
  <c r="AA6019" i="1" s="1"/>
  <c r="AA6020" i="1" s="1"/>
  <c r="AA6021" i="1" s="1"/>
  <c r="AA6022" i="1" s="1"/>
  <c r="AA6023" i="1" s="1"/>
  <c r="AA6024" i="1" s="1"/>
  <c r="AA6025" i="1" s="1"/>
  <c r="AA6026" i="1" s="1"/>
  <c r="AA6027" i="1" s="1"/>
  <c r="AA6028" i="1" s="1"/>
  <c r="AA6029" i="1" s="1"/>
  <c r="AA6030" i="1" s="1"/>
  <c r="AA6031" i="1" s="1"/>
  <c r="AA6032" i="1" s="1"/>
  <c r="AA6033" i="1" s="1"/>
  <c r="AA6034" i="1" s="1"/>
  <c r="AA6035" i="1" s="1"/>
  <c r="AA6036" i="1" s="1"/>
  <c r="AA6037" i="1" s="1"/>
  <c r="AA6038" i="1" s="1"/>
  <c r="AA6039" i="1" s="1"/>
  <c r="AA6040" i="1" s="1"/>
  <c r="AA6041" i="1" s="1"/>
  <c r="AA6042" i="1" s="1"/>
  <c r="AA6043" i="1" s="1"/>
  <c r="AA6044" i="1" s="1"/>
  <c r="AA6045" i="1" s="1"/>
  <c r="AA6046" i="1" s="1"/>
  <c r="AA6047" i="1" s="1"/>
  <c r="AA6048" i="1" s="1"/>
  <c r="AA6049" i="1" s="1"/>
  <c r="AA6050" i="1" s="1"/>
  <c r="AA6051" i="1" s="1"/>
  <c r="AA6052" i="1" s="1"/>
  <c r="AA6053" i="1" s="1"/>
  <c r="AA6054" i="1" s="1"/>
  <c r="AA6055" i="1" s="1"/>
  <c r="AA6056" i="1" s="1"/>
  <c r="AA6057" i="1" s="1"/>
  <c r="AA6058" i="1" s="1"/>
  <c r="AA6059" i="1" s="1"/>
  <c r="AA6060" i="1" s="1"/>
  <c r="AA6061" i="1" s="1"/>
  <c r="AA6062" i="1" s="1"/>
  <c r="AA6063" i="1" s="1"/>
  <c r="AA6064" i="1" s="1"/>
  <c r="AA6065" i="1" s="1"/>
  <c r="AA6066" i="1" s="1"/>
  <c r="AA6067" i="1" s="1"/>
  <c r="AA6068" i="1" s="1"/>
  <c r="AA6069" i="1" s="1"/>
  <c r="AA6070" i="1" s="1"/>
  <c r="AA6071" i="1" s="1"/>
  <c r="AA6072" i="1" s="1"/>
  <c r="AA6073" i="1" s="1"/>
  <c r="AA6074" i="1" s="1"/>
  <c r="AA6075" i="1" s="1"/>
  <c r="AA6076" i="1" s="1"/>
  <c r="AA6077" i="1" s="1"/>
  <c r="AA6078" i="1" s="1"/>
  <c r="AA6079" i="1" s="1"/>
  <c r="AA6080" i="1" s="1"/>
  <c r="AA6081" i="1" s="1"/>
  <c r="AA6082" i="1" s="1"/>
  <c r="AA6083" i="1" s="1"/>
  <c r="AA6084" i="1" s="1"/>
  <c r="AA6085" i="1" s="1"/>
  <c r="AA6086" i="1" s="1"/>
  <c r="AA6087" i="1" s="1"/>
  <c r="AA6088" i="1" s="1"/>
  <c r="AA6089" i="1" s="1"/>
  <c r="AA6090" i="1" s="1"/>
  <c r="AA6091" i="1" s="1"/>
  <c r="AA6092" i="1" s="1"/>
  <c r="AA6093" i="1" s="1"/>
  <c r="AA6094" i="1" s="1"/>
  <c r="AA6095" i="1" s="1"/>
  <c r="AA6096" i="1" s="1"/>
  <c r="AA6097" i="1" s="1"/>
  <c r="AA6098" i="1" s="1"/>
  <c r="AA6099" i="1" s="1"/>
  <c r="AA6100" i="1" s="1"/>
  <c r="AA6101" i="1" s="1"/>
  <c r="AA6102" i="1" s="1"/>
  <c r="AA6103" i="1" s="1"/>
  <c r="AA6104" i="1" s="1"/>
  <c r="AA6105" i="1" s="1"/>
  <c r="AA6106" i="1" s="1"/>
  <c r="AA6107" i="1" s="1"/>
  <c r="AA6108" i="1" s="1"/>
  <c r="AA6109" i="1" s="1"/>
  <c r="AA6110" i="1" s="1"/>
  <c r="AA6111" i="1" s="1"/>
  <c r="AA6112" i="1" s="1"/>
  <c r="AA6113" i="1" s="1"/>
  <c r="AA6114" i="1" s="1"/>
  <c r="AA6115" i="1" s="1"/>
  <c r="AA6116" i="1" s="1"/>
  <c r="AA6117" i="1" s="1"/>
  <c r="AA6118" i="1" s="1"/>
  <c r="AA6119" i="1" s="1"/>
  <c r="AA6120" i="1" s="1"/>
  <c r="AA6121" i="1" s="1"/>
  <c r="AA6122" i="1" s="1"/>
  <c r="AA6123" i="1" s="1"/>
  <c r="AA6124" i="1" s="1"/>
  <c r="AA6125" i="1" s="1"/>
  <c r="AA6126" i="1" s="1"/>
  <c r="AA6127" i="1" s="1"/>
  <c r="AA6128" i="1" s="1"/>
  <c r="AA6129" i="1" s="1"/>
  <c r="AA6130" i="1" s="1"/>
  <c r="AA6131" i="1" s="1"/>
  <c r="AA6132" i="1" s="1"/>
  <c r="AA6133" i="1" s="1"/>
  <c r="AA6134" i="1" s="1"/>
  <c r="AA6135" i="1" s="1"/>
  <c r="AA6136" i="1" s="1"/>
  <c r="AA6137" i="1" s="1"/>
  <c r="AA6138" i="1" s="1"/>
  <c r="AA6139" i="1" s="1"/>
  <c r="AA6140" i="1" s="1"/>
  <c r="AA6141" i="1" s="1"/>
  <c r="AA6142" i="1" s="1"/>
  <c r="AA6143" i="1" s="1"/>
  <c r="AA6144" i="1" s="1"/>
  <c r="AA6145" i="1" s="1"/>
  <c r="AA6146" i="1" s="1"/>
  <c r="AA6147" i="1" s="1"/>
  <c r="AA6148" i="1" s="1"/>
  <c r="AA6149" i="1" s="1"/>
  <c r="AA6150" i="1" s="1"/>
  <c r="AA6151" i="1" s="1"/>
  <c r="AA6152" i="1" s="1"/>
  <c r="AA6153" i="1" s="1"/>
  <c r="AA6154" i="1" s="1"/>
  <c r="AA6155" i="1" s="1"/>
  <c r="AA6156" i="1" s="1"/>
  <c r="AA6157" i="1" s="1"/>
  <c r="AA6158" i="1" s="1"/>
  <c r="AA6159" i="1" s="1"/>
  <c r="AA6160" i="1" s="1"/>
  <c r="AA6161" i="1" s="1"/>
  <c r="AA6162" i="1" s="1"/>
  <c r="AA6163" i="1" s="1"/>
  <c r="AA6164" i="1" s="1"/>
  <c r="AA6165" i="1" s="1"/>
  <c r="AA6166" i="1" s="1"/>
  <c r="AA6167" i="1" s="1"/>
  <c r="AA6168" i="1" s="1"/>
  <c r="AA6169" i="1" s="1"/>
  <c r="AA6170" i="1" s="1"/>
  <c r="AA6171" i="1" s="1"/>
  <c r="AA6172" i="1" s="1"/>
  <c r="AA6173" i="1" s="1"/>
  <c r="AA6174" i="1" s="1"/>
  <c r="AA6175" i="1" s="1"/>
  <c r="AA6176" i="1" s="1"/>
  <c r="AA6177" i="1" s="1"/>
  <c r="AA6178" i="1" s="1"/>
  <c r="AA6179" i="1" s="1"/>
  <c r="AA6180" i="1" s="1"/>
  <c r="AA6181" i="1" s="1"/>
  <c r="AA6182" i="1" s="1"/>
  <c r="AA6183" i="1" s="1"/>
  <c r="AA6184" i="1" s="1"/>
  <c r="AA6185" i="1" s="1"/>
  <c r="AA6186" i="1" s="1"/>
  <c r="AA6187" i="1" s="1"/>
  <c r="AA6188" i="1" s="1"/>
  <c r="AA6189" i="1" s="1"/>
  <c r="AA6190" i="1" s="1"/>
  <c r="AA6191" i="1" s="1"/>
  <c r="AA6192" i="1" s="1"/>
  <c r="AA6193" i="1" s="1"/>
  <c r="AA6194" i="1" s="1"/>
  <c r="AA6195" i="1" s="1"/>
  <c r="AA6196" i="1" s="1"/>
  <c r="AA6197" i="1" s="1"/>
  <c r="AA6198" i="1" s="1"/>
  <c r="AA6199" i="1" s="1"/>
  <c r="AA6200" i="1" s="1"/>
  <c r="AA6201" i="1" s="1"/>
  <c r="AA6202" i="1" s="1"/>
  <c r="AA6203" i="1" s="1"/>
  <c r="AA6204" i="1" s="1"/>
  <c r="AA6205" i="1" s="1"/>
  <c r="AA6206" i="1" s="1"/>
  <c r="AA6207" i="1" s="1"/>
  <c r="AA6208" i="1" s="1"/>
  <c r="AA6209" i="1" s="1"/>
  <c r="AA6210" i="1" s="1"/>
  <c r="AA6211" i="1" s="1"/>
  <c r="AA6212" i="1" s="1"/>
  <c r="AA6213" i="1" s="1"/>
  <c r="AA6214" i="1" s="1"/>
  <c r="AA6215" i="1" s="1"/>
  <c r="AA6216" i="1" s="1"/>
  <c r="AA6217" i="1" s="1"/>
  <c r="AA6218" i="1" s="1"/>
  <c r="AA6219" i="1" s="1"/>
  <c r="AA6220" i="1" s="1"/>
  <c r="AA6221" i="1" s="1"/>
  <c r="AA6222" i="1" s="1"/>
  <c r="AA6223" i="1" s="1"/>
  <c r="AA6224" i="1" s="1"/>
  <c r="AA6225" i="1" s="1"/>
  <c r="AA6226" i="1" s="1"/>
  <c r="AA6227" i="1" s="1"/>
  <c r="AA6228" i="1" s="1"/>
  <c r="AA6229" i="1" s="1"/>
  <c r="AA6230" i="1" s="1"/>
  <c r="AA6231" i="1" s="1"/>
  <c r="AA6232" i="1" s="1"/>
  <c r="AA6233" i="1" s="1"/>
  <c r="AA6234" i="1" s="1"/>
  <c r="AA6235" i="1" s="1"/>
  <c r="AA6236" i="1" s="1"/>
  <c r="AA6237" i="1" s="1"/>
  <c r="AA6238" i="1" s="1"/>
  <c r="AA6239" i="1" s="1"/>
  <c r="AA6240" i="1" s="1"/>
  <c r="AA6241" i="1" s="1"/>
  <c r="AA6242" i="1" s="1"/>
  <c r="AA6243" i="1" s="1"/>
  <c r="AA6244" i="1" s="1"/>
  <c r="AA6245" i="1" s="1"/>
  <c r="AA6246" i="1" s="1"/>
  <c r="AA6247" i="1" s="1"/>
  <c r="AA6248" i="1" s="1"/>
  <c r="AA6249" i="1" s="1"/>
  <c r="AA6250" i="1" s="1"/>
  <c r="AA6251" i="1" s="1"/>
  <c r="AA6252" i="1" s="1"/>
  <c r="AA6253" i="1" s="1"/>
  <c r="AA6254" i="1" s="1"/>
  <c r="AA6255" i="1" s="1"/>
  <c r="AA6256" i="1" s="1"/>
  <c r="AA6257" i="1" s="1"/>
  <c r="AA6258" i="1" s="1"/>
  <c r="AA6259" i="1" s="1"/>
  <c r="AA6260" i="1" s="1"/>
  <c r="AA6261" i="1" s="1"/>
  <c r="AA6262" i="1" s="1"/>
  <c r="AA6263" i="1" s="1"/>
  <c r="AA6264" i="1" s="1"/>
  <c r="AA6265" i="1" s="1"/>
  <c r="AA6266" i="1" s="1"/>
  <c r="AA6267" i="1" s="1"/>
  <c r="AA6268" i="1" s="1"/>
  <c r="AA6269" i="1" s="1"/>
  <c r="AA6270" i="1" s="1"/>
  <c r="AA6271" i="1" s="1"/>
  <c r="AA6272" i="1" s="1"/>
  <c r="AA6273" i="1" s="1"/>
  <c r="AA6274" i="1" s="1"/>
  <c r="AA6275" i="1" s="1"/>
  <c r="AA6276" i="1" s="1"/>
  <c r="AA6277" i="1" s="1"/>
  <c r="AA6278" i="1" s="1"/>
  <c r="AA6279" i="1" s="1"/>
  <c r="AA6280" i="1" s="1"/>
  <c r="AA6281" i="1" s="1"/>
  <c r="AA6282" i="1" s="1"/>
  <c r="AA6283" i="1" s="1"/>
  <c r="AA6284" i="1" s="1"/>
  <c r="AA6285" i="1" s="1"/>
  <c r="AA6286" i="1" s="1"/>
  <c r="AA6287" i="1" s="1"/>
  <c r="AA6288" i="1" s="1"/>
  <c r="AA6289" i="1" s="1"/>
  <c r="AA6290" i="1" s="1"/>
  <c r="AA6291" i="1" s="1"/>
  <c r="AA6292" i="1" s="1"/>
  <c r="AA6293" i="1" s="1"/>
  <c r="AA6294" i="1" s="1"/>
  <c r="AA6295" i="1" s="1"/>
  <c r="AA6296" i="1" s="1"/>
  <c r="AA6297" i="1" s="1"/>
  <c r="AA6298" i="1" s="1"/>
  <c r="AA6299" i="1" s="1"/>
  <c r="AA6300" i="1" s="1"/>
  <c r="AA6301" i="1" s="1"/>
  <c r="AA6302" i="1" s="1"/>
  <c r="AA6303" i="1" s="1"/>
  <c r="AA6304" i="1" s="1"/>
  <c r="AA6305" i="1" s="1"/>
  <c r="AA6306" i="1" s="1"/>
  <c r="AA6307" i="1" s="1"/>
  <c r="AA6308" i="1" s="1"/>
  <c r="AA6309" i="1" s="1"/>
  <c r="AA6310" i="1" s="1"/>
  <c r="AA6311" i="1" s="1"/>
  <c r="AA6312" i="1" s="1"/>
  <c r="AA6313" i="1" s="1"/>
  <c r="AA6314" i="1" s="1"/>
  <c r="AA6315" i="1" s="1"/>
  <c r="AA6316" i="1" s="1"/>
  <c r="AA6317" i="1" s="1"/>
  <c r="AA6318" i="1" s="1"/>
  <c r="AA6319" i="1" s="1"/>
  <c r="AA6320" i="1" s="1"/>
  <c r="AA6321" i="1" s="1"/>
  <c r="AA6322" i="1" s="1"/>
  <c r="AA6323" i="1" s="1"/>
  <c r="AA6324" i="1" s="1"/>
  <c r="AA6325" i="1" s="1"/>
  <c r="AA6326" i="1" s="1"/>
  <c r="AA6327" i="1" s="1"/>
  <c r="AA6328" i="1" s="1"/>
  <c r="AA6329" i="1" s="1"/>
  <c r="AA6330" i="1" s="1"/>
  <c r="AA6331" i="1" s="1"/>
  <c r="AA6332" i="1" s="1"/>
  <c r="AA6333" i="1" s="1"/>
  <c r="AA6334" i="1" s="1"/>
  <c r="AA6335" i="1" s="1"/>
  <c r="AA6336" i="1" s="1"/>
  <c r="AA6337" i="1" s="1"/>
  <c r="AA6338" i="1" s="1"/>
  <c r="AA6339" i="1" s="1"/>
  <c r="AA6340" i="1" s="1"/>
  <c r="AA6341" i="1" s="1"/>
  <c r="AA6342" i="1" s="1"/>
  <c r="AA6343" i="1" s="1"/>
  <c r="AA6344" i="1" s="1"/>
  <c r="AA6345" i="1" s="1"/>
  <c r="AA6346" i="1" s="1"/>
  <c r="AA6347" i="1" s="1"/>
  <c r="AA6348" i="1" s="1"/>
  <c r="AA6349" i="1" s="1"/>
  <c r="AA6350" i="1" s="1"/>
  <c r="AA6351" i="1" s="1"/>
  <c r="AA6352" i="1" s="1"/>
  <c r="AA6353" i="1" s="1"/>
  <c r="AA6354" i="1" s="1"/>
  <c r="AA6355" i="1" s="1"/>
  <c r="AA6356" i="1" s="1"/>
  <c r="AA6357" i="1" s="1"/>
  <c r="AA6358" i="1" s="1"/>
  <c r="AA6359" i="1" s="1"/>
  <c r="AA6360" i="1" s="1"/>
  <c r="AA6361" i="1" s="1"/>
  <c r="AA6362" i="1" s="1"/>
  <c r="AA6363" i="1" s="1"/>
  <c r="AA6364" i="1" s="1"/>
  <c r="AA6365" i="1" s="1"/>
  <c r="AA6366" i="1" s="1"/>
  <c r="AA6367" i="1" s="1"/>
  <c r="AA6368" i="1" s="1"/>
  <c r="AA6369" i="1" s="1"/>
  <c r="AA6370" i="1" s="1"/>
  <c r="AA6371" i="1" s="1"/>
  <c r="AA6372" i="1" s="1"/>
  <c r="AA6373" i="1" s="1"/>
  <c r="AA6374" i="1" s="1"/>
  <c r="AA6375" i="1" s="1"/>
  <c r="AA6376" i="1" s="1"/>
  <c r="AA6377" i="1" s="1"/>
  <c r="AA6378" i="1" s="1"/>
  <c r="AA6379" i="1" s="1"/>
  <c r="AA6380" i="1" s="1"/>
  <c r="AA6381" i="1" s="1"/>
  <c r="AA6382" i="1" s="1"/>
  <c r="AA6383" i="1" s="1"/>
  <c r="AA6384" i="1" s="1"/>
  <c r="AA6385" i="1" s="1"/>
  <c r="AA6386" i="1" s="1"/>
  <c r="AA6387" i="1" s="1"/>
  <c r="AA6388" i="1" s="1"/>
  <c r="AA6389" i="1" s="1"/>
  <c r="AA6390" i="1" s="1"/>
  <c r="AA6391" i="1" s="1"/>
  <c r="AA6392" i="1" s="1"/>
  <c r="AA6393" i="1" s="1"/>
  <c r="AA6394" i="1" s="1"/>
  <c r="AA6395" i="1" s="1"/>
  <c r="AA6396" i="1" s="1"/>
  <c r="AA6397" i="1" s="1"/>
  <c r="AA6398" i="1" s="1"/>
  <c r="AA6399" i="1" s="1"/>
  <c r="AA6400" i="1" s="1"/>
  <c r="AA6401" i="1" s="1"/>
  <c r="AA6402" i="1" s="1"/>
  <c r="AA6403" i="1" s="1"/>
  <c r="AA6404" i="1" s="1"/>
  <c r="AA6405" i="1" s="1"/>
  <c r="AA6406" i="1" s="1"/>
  <c r="AA6407" i="1" s="1"/>
  <c r="AA6408" i="1" s="1"/>
  <c r="AA6409" i="1" s="1"/>
  <c r="AA6410" i="1" s="1"/>
  <c r="AA6411" i="1" s="1"/>
  <c r="AA6412" i="1" s="1"/>
  <c r="AA6413" i="1" s="1"/>
  <c r="AA6414" i="1" s="1"/>
  <c r="AA6415" i="1" s="1"/>
  <c r="AA6416" i="1" s="1"/>
  <c r="AA6417" i="1" s="1"/>
  <c r="AA6418" i="1" s="1"/>
  <c r="AA6419" i="1" s="1"/>
  <c r="AA6420" i="1" s="1"/>
  <c r="AA6421" i="1" s="1"/>
  <c r="AA6422" i="1" s="1"/>
  <c r="AA6423" i="1" s="1"/>
  <c r="AA6424" i="1" s="1"/>
  <c r="AA6425" i="1" s="1"/>
  <c r="AA6426" i="1" s="1"/>
  <c r="AA6427" i="1" s="1"/>
  <c r="AA6428" i="1" s="1"/>
  <c r="AA6429" i="1" s="1"/>
  <c r="AA6430" i="1" s="1"/>
  <c r="AA6431" i="1" s="1"/>
  <c r="AA6432" i="1" s="1"/>
  <c r="AA6433" i="1" s="1"/>
  <c r="AA6434" i="1" s="1"/>
  <c r="AA6435" i="1" s="1"/>
  <c r="AA6436" i="1" s="1"/>
  <c r="AA6437" i="1" s="1"/>
  <c r="AA6438" i="1" s="1"/>
  <c r="AA6439" i="1" s="1"/>
  <c r="AA6440" i="1" s="1"/>
  <c r="AA6441" i="1" s="1"/>
  <c r="AA6442" i="1" s="1"/>
  <c r="AA6443" i="1" s="1"/>
  <c r="AA6444" i="1" s="1"/>
  <c r="AA6445" i="1" s="1"/>
  <c r="AA6446" i="1" s="1"/>
  <c r="AA6447" i="1" s="1"/>
  <c r="AA6448" i="1" s="1"/>
  <c r="AA6449" i="1" s="1"/>
  <c r="AA6450" i="1" s="1"/>
  <c r="AA6451" i="1" s="1"/>
  <c r="AA6452" i="1" s="1"/>
  <c r="AA6453" i="1" s="1"/>
  <c r="AA6454" i="1" s="1"/>
  <c r="AA6455" i="1" s="1"/>
  <c r="AA6456" i="1" s="1"/>
  <c r="AA6457" i="1" s="1"/>
  <c r="AA6458" i="1" s="1"/>
  <c r="AA6459" i="1" s="1"/>
  <c r="AA6460" i="1" s="1"/>
  <c r="AA6461" i="1" s="1"/>
  <c r="AA6462" i="1" s="1"/>
  <c r="AA6463" i="1" s="1"/>
  <c r="AA6464" i="1" s="1"/>
  <c r="AA6465" i="1" s="1"/>
  <c r="AA6466" i="1" s="1"/>
  <c r="AA6467" i="1" s="1"/>
  <c r="AA6468" i="1" s="1"/>
  <c r="AA6469" i="1" s="1"/>
  <c r="AA6470" i="1" s="1"/>
  <c r="AA6471" i="1" s="1"/>
  <c r="AA6472" i="1" s="1"/>
  <c r="AA6473" i="1" s="1"/>
  <c r="AA6474" i="1" s="1"/>
  <c r="AA6475" i="1" s="1"/>
  <c r="AA6476" i="1" s="1"/>
  <c r="AA6477" i="1" s="1"/>
  <c r="AA6478" i="1" s="1"/>
  <c r="AA6479" i="1" s="1"/>
  <c r="AA6480" i="1" s="1"/>
  <c r="AA6481" i="1" s="1"/>
  <c r="AA6482" i="1" s="1"/>
  <c r="AA6483" i="1" s="1"/>
  <c r="AA6484" i="1" s="1"/>
  <c r="AA6485" i="1" s="1"/>
  <c r="AA6486" i="1" s="1"/>
  <c r="AA6487" i="1" s="1"/>
  <c r="AA6488" i="1" s="1"/>
  <c r="AA6489" i="1" s="1"/>
  <c r="AA6490" i="1" s="1"/>
  <c r="AA6491" i="1" s="1"/>
  <c r="AA6492" i="1" s="1"/>
  <c r="AA6493" i="1" s="1"/>
  <c r="AA6494" i="1" s="1"/>
  <c r="AA6495" i="1" s="1"/>
  <c r="AA6496" i="1" s="1"/>
  <c r="AA6497" i="1" s="1"/>
  <c r="AA6498" i="1" s="1"/>
  <c r="AA6499" i="1" s="1"/>
  <c r="AA6500" i="1" s="1"/>
  <c r="AA6501" i="1" s="1"/>
  <c r="AA6502" i="1" s="1"/>
  <c r="AA6503" i="1" s="1"/>
  <c r="AA6504" i="1" s="1"/>
  <c r="AA6505" i="1" s="1"/>
  <c r="AA6506" i="1" s="1"/>
  <c r="AA6507" i="1" s="1"/>
  <c r="AA6508" i="1" s="1"/>
  <c r="AA6509" i="1" s="1"/>
  <c r="AA6510" i="1" s="1"/>
  <c r="AA6511" i="1" s="1"/>
  <c r="AA6512" i="1" s="1"/>
  <c r="AA6513" i="1" s="1"/>
  <c r="AA6514" i="1" s="1"/>
  <c r="AA6515" i="1" s="1"/>
  <c r="AA6516" i="1" s="1"/>
  <c r="AA6517" i="1" s="1"/>
  <c r="AA6518" i="1" s="1"/>
  <c r="AA6519" i="1" s="1"/>
  <c r="AA6520" i="1" s="1"/>
  <c r="AA6521" i="1" s="1"/>
  <c r="AA6522" i="1" s="1"/>
  <c r="AA6523" i="1" s="1"/>
  <c r="AA6524" i="1" s="1"/>
  <c r="AA6525" i="1" s="1"/>
  <c r="AA6526" i="1" s="1"/>
  <c r="AA6527" i="1" s="1"/>
  <c r="AA6528" i="1" s="1"/>
  <c r="AA6529" i="1" s="1"/>
  <c r="AA6530" i="1" s="1"/>
  <c r="AA6531" i="1" s="1"/>
  <c r="AA6532" i="1" s="1"/>
  <c r="AA6533" i="1" s="1"/>
  <c r="AA6534" i="1" s="1"/>
  <c r="AA6535" i="1" s="1"/>
  <c r="AA6536" i="1" s="1"/>
  <c r="AA6537" i="1" s="1"/>
  <c r="AA6538" i="1" s="1"/>
  <c r="AA6539" i="1" s="1"/>
  <c r="AA6540" i="1" s="1"/>
  <c r="AA6541" i="1" s="1"/>
  <c r="AA6542" i="1" s="1"/>
  <c r="AA6543" i="1" s="1"/>
  <c r="AA6544" i="1" s="1"/>
  <c r="AA6545" i="1" s="1"/>
  <c r="AA6546" i="1" s="1"/>
  <c r="AA6547" i="1" s="1"/>
  <c r="AA6548" i="1" s="1"/>
  <c r="AA6549" i="1" s="1"/>
  <c r="AA6550" i="1" s="1"/>
  <c r="AA6551" i="1" s="1"/>
  <c r="AA6552" i="1" s="1"/>
  <c r="AA6553" i="1" s="1"/>
  <c r="AA6554" i="1" s="1"/>
  <c r="AA6555" i="1" s="1"/>
  <c r="AA6556" i="1" s="1"/>
  <c r="AA6557" i="1" s="1"/>
  <c r="AA6558" i="1" s="1"/>
  <c r="AA6559" i="1" s="1"/>
  <c r="AA6560" i="1" s="1"/>
  <c r="AA6561" i="1" s="1"/>
  <c r="AA6562" i="1" s="1"/>
  <c r="AA6563" i="1" s="1"/>
  <c r="AA6564" i="1" s="1"/>
  <c r="AA6565" i="1" s="1"/>
  <c r="AA6566" i="1" s="1"/>
  <c r="AA6567" i="1" s="1"/>
  <c r="AA6568" i="1" s="1"/>
  <c r="AA6569" i="1" s="1"/>
  <c r="AA6570" i="1" s="1"/>
  <c r="AA6571" i="1" s="1"/>
  <c r="AA6572" i="1" s="1"/>
  <c r="AA6573" i="1" s="1"/>
  <c r="AA6574" i="1" s="1"/>
  <c r="AA6575" i="1" s="1"/>
  <c r="AA6576" i="1" s="1"/>
  <c r="AA6577" i="1" s="1"/>
  <c r="AA6578" i="1" s="1"/>
  <c r="AA6579" i="1" s="1"/>
  <c r="AA6580" i="1" s="1"/>
  <c r="AA6581" i="1" s="1"/>
  <c r="AA6582" i="1" s="1"/>
  <c r="AA6583" i="1" s="1"/>
  <c r="AA6584" i="1" s="1"/>
  <c r="AA6585" i="1" s="1"/>
  <c r="AA6586" i="1" s="1"/>
  <c r="AA6587" i="1" s="1"/>
  <c r="AA6588" i="1" s="1"/>
  <c r="AA6589" i="1" s="1"/>
  <c r="AA6590" i="1" s="1"/>
  <c r="AA6591" i="1" s="1"/>
  <c r="AA6592" i="1" s="1"/>
  <c r="AA6593" i="1" s="1"/>
  <c r="AA6594" i="1" s="1"/>
  <c r="AA6595" i="1" s="1"/>
  <c r="AA6596" i="1" s="1"/>
  <c r="AA6597" i="1" s="1"/>
  <c r="AA6598" i="1" s="1"/>
  <c r="AA6599" i="1" s="1"/>
  <c r="AA6600" i="1" s="1"/>
  <c r="AA6601" i="1" s="1"/>
  <c r="AA6602" i="1" s="1"/>
  <c r="AA6603" i="1" s="1"/>
  <c r="AA6604" i="1" s="1"/>
  <c r="AA6605" i="1" s="1"/>
  <c r="AA6606" i="1" s="1"/>
  <c r="AA6607" i="1" s="1"/>
  <c r="AA6608" i="1" s="1"/>
  <c r="AA6609" i="1" s="1"/>
  <c r="AA6610" i="1" s="1"/>
  <c r="AA6611" i="1" s="1"/>
  <c r="AA6612" i="1" s="1"/>
  <c r="AA6613" i="1" s="1"/>
  <c r="AA6614" i="1" s="1"/>
  <c r="AA6615" i="1" s="1"/>
  <c r="AA6616" i="1" s="1"/>
  <c r="AA6617" i="1" s="1"/>
  <c r="AA6618" i="1" s="1"/>
  <c r="AA6619" i="1" s="1"/>
  <c r="AA6620" i="1" s="1"/>
  <c r="AA6621" i="1" s="1"/>
  <c r="AA6622" i="1" s="1"/>
  <c r="AA6623" i="1" s="1"/>
  <c r="AA6624" i="1" s="1"/>
  <c r="AA6625" i="1" s="1"/>
  <c r="AA6626" i="1" s="1"/>
  <c r="AA6627" i="1" s="1"/>
  <c r="AA6628" i="1" s="1"/>
  <c r="AA6629" i="1" s="1"/>
  <c r="AA6630" i="1" s="1"/>
  <c r="AA6631" i="1" s="1"/>
  <c r="AA6632" i="1" s="1"/>
  <c r="AA6633" i="1" s="1"/>
  <c r="AA6634" i="1" s="1"/>
  <c r="AA6635" i="1" s="1"/>
  <c r="AA6636" i="1" s="1"/>
  <c r="AA6637" i="1" s="1"/>
  <c r="AA6638" i="1" s="1"/>
  <c r="AA6639" i="1" s="1"/>
  <c r="AA6640" i="1" s="1"/>
  <c r="AA6641" i="1" s="1"/>
  <c r="AA6642" i="1" s="1"/>
  <c r="AA6643" i="1" s="1"/>
  <c r="AA6644" i="1" s="1"/>
  <c r="AA6645" i="1" s="1"/>
  <c r="AA6646" i="1" s="1"/>
  <c r="AA6647" i="1" s="1"/>
  <c r="AA6648" i="1" s="1"/>
  <c r="AA6649" i="1" s="1"/>
  <c r="AA6650" i="1" s="1"/>
  <c r="AA6651" i="1" s="1"/>
  <c r="AA6652" i="1" s="1"/>
  <c r="AA6653" i="1" s="1"/>
  <c r="AA6654" i="1" s="1"/>
  <c r="AA6655" i="1" s="1"/>
  <c r="AA6656" i="1" s="1"/>
  <c r="AA6657" i="1" s="1"/>
  <c r="AA6658" i="1" s="1"/>
  <c r="AA6659" i="1" s="1"/>
  <c r="AA6660" i="1" s="1"/>
  <c r="AA6661" i="1" s="1"/>
  <c r="AA6662" i="1" s="1"/>
  <c r="AA6663" i="1" s="1"/>
  <c r="AA6664" i="1" s="1"/>
  <c r="AA6665" i="1" s="1"/>
  <c r="AA6666" i="1" s="1"/>
  <c r="AA6667" i="1" s="1"/>
  <c r="AA6668" i="1" s="1"/>
  <c r="AA6669" i="1" s="1"/>
  <c r="AA6670" i="1" s="1"/>
  <c r="AA6671" i="1" s="1"/>
  <c r="AA6672" i="1" s="1"/>
  <c r="AA6673" i="1" s="1"/>
  <c r="AA6674" i="1" s="1"/>
  <c r="AA6675" i="1" s="1"/>
  <c r="AA6676" i="1" s="1"/>
  <c r="AA6677" i="1" s="1"/>
  <c r="AA6678" i="1" s="1"/>
  <c r="AA6679" i="1" s="1"/>
  <c r="AA6680" i="1" s="1"/>
  <c r="AA6681" i="1" s="1"/>
  <c r="AA6682" i="1" s="1"/>
  <c r="AA6683" i="1" s="1"/>
  <c r="AA6684" i="1" s="1"/>
  <c r="AA6685" i="1" s="1"/>
  <c r="AA6686" i="1" s="1"/>
  <c r="AA6687" i="1" s="1"/>
  <c r="AA6688" i="1" s="1"/>
  <c r="AA6689" i="1" s="1"/>
  <c r="AA6690" i="1" s="1"/>
  <c r="AA6691" i="1" s="1"/>
  <c r="AA6692" i="1" s="1"/>
  <c r="AA6693" i="1" s="1"/>
  <c r="AA6694" i="1" s="1"/>
  <c r="AA6695" i="1" s="1"/>
  <c r="AA6696" i="1" s="1"/>
  <c r="AA6697" i="1" s="1"/>
  <c r="AA6698" i="1" s="1"/>
  <c r="AA6699" i="1" s="1"/>
  <c r="AA6700" i="1" s="1"/>
  <c r="AA6701" i="1" s="1"/>
  <c r="AA6702" i="1" s="1"/>
  <c r="AA6703" i="1" s="1"/>
  <c r="AA6704" i="1" s="1"/>
  <c r="AA6705" i="1" s="1"/>
  <c r="AA6706" i="1" s="1"/>
  <c r="AA6707" i="1" s="1"/>
  <c r="AA6708" i="1" s="1"/>
  <c r="AA6709" i="1" s="1"/>
  <c r="AA6710" i="1" s="1"/>
  <c r="AA6711" i="1" s="1"/>
  <c r="AA6712" i="1" s="1"/>
  <c r="AA6713" i="1" s="1"/>
  <c r="AA6714" i="1" s="1"/>
  <c r="AA6715" i="1" s="1"/>
  <c r="AA6716" i="1" s="1"/>
  <c r="AA6717" i="1" s="1"/>
  <c r="AA6718" i="1" s="1"/>
  <c r="AA6719" i="1" s="1"/>
  <c r="AA6720" i="1" s="1"/>
  <c r="AA6721" i="1" s="1"/>
  <c r="AA6722" i="1" s="1"/>
  <c r="AA6723" i="1" s="1"/>
  <c r="AA6724" i="1" s="1"/>
  <c r="AA6725" i="1" s="1"/>
  <c r="AA6726" i="1" s="1"/>
  <c r="AA6727" i="1" s="1"/>
  <c r="AA6728" i="1" s="1"/>
  <c r="AA6729" i="1" s="1"/>
  <c r="AA6730" i="1" s="1"/>
  <c r="AA6731" i="1" s="1"/>
  <c r="AA6732" i="1" s="1"/>
  <c r="AA6733" i="1" s="1"/>
  <c r="AA6734" i="1" s="1"/>
  <c r="AA6735" i="1" s="1"/>
  <c r="AA6736" i="1" s="1"/>
  <c r="AA6737" i="1" s="1"/>
  <c r="AA6738" i="1" s="1"/>
  <c r="AA6739" i="1" s="1"/>
  <c r="AA6740" i="1" s="1"/>
  <c r="AA6741" i="1" s="1"/>
  <c r="AA6742" i="1" s="1"/>
  <c r="AA6743" i="1" s="1"/>
  <c r="AA6744" i="1" s="1"/>
  <c r="AA6745" i="1" s="1"/>
  <c r="AA6746" i="1" s="1"/>
  <c r="AA6747" i="1" s="1"/>
  <c r="AA6748" i="1" s="1"/>
  <c r="AA6749" i="1" s="1"/>
  <c r="AA6750" i="1" s="1"/>
  <c r="AA6751" i="1" s="1"/>
  <c r="AA6752" i="1" s="1"/>
  <c r="AA6753" i="1" s="1"/>
  <c r="AA6754" i="1" s="1"/>
  <c r="AA6755" i="1" s="1"/>
  <c r="AA6756" i="1" s="1"/>
  <c r="AA6757" i="1" s="1"/>
  <c r="AA6758" i="1" s="1"/>
  <c r="AA6759" i="1" s="1"/>
  <c r="AA6760" i="1" s="1"/>
  <c r="AA6761" i="1" s="1"/>
  <c r="AA6762" i="1" s="1"/>
  <c r="AA6763" i="1" s="1"/>
  <c r="AA6764" i="1" s="1"/>
  <c r="AA6765" i="1" s="1"/>
  <c r="AA6766" i="1" s="1"/>
  <c r="AA6767" i="1" s="1"/>
  <c r="AA6768" i="1" s="1"/>
  <c r="AA6769" i="1" s="1"/>
  <c r="AA6770" i="1" s="1"/>
  <c r="AA6771" i="1" s="1"/>
  <c r="AA6772" i="1" s="1"/>
  <c r="AA6773" i="1" s="1"/>
  <c r="AA6774" i="1" s="1"/>
  <c r="AA6775" i="1" s="1"/>
  <c r="AA6776" i="1" s="1"/>
  <c r="AA6777" i="1" s="1"/>
  <c r="AA6778" i="1" s="1"/>
  <c r="AA6779" i="1" s="1"/>
  <c r="AA6780" i="1" s="1"/>
  <c r="AA6781" i="1" s="1"/>
  <c r="AA6782" i="1" s="1"/>
  <c r="AA6783" i="1" s="1"/>
  <c r="AA6784" i="1" s="1"/>
  <c r="AA6785" i="1" s="1"/>
  <c r="AA6786" i="1" s="1"/>
  <c r="AA6787" i="1" s="1"/>
  <c r="AA6788" i="1" s="1"/>
  <c r="AA6789" i="1" s="1"/>
  <c r="AA6790" i="1" s="1"/>
  <c r="AA6791" i="1" s="1"/>
  <c r="AA6792" i="1" s="1"/>
  <c r="AA6793" i="1" s="1"/>
  <c r="AA6794" i="1" s="1"/>
  <c r="AA6795" i="1" s="1"/>
  <c r="AA6796" i="1" s="1"/>
  <c r="AA6797" i="1" s="1"/>
  <c r="AA6798" i="1" s="1"/>
  <c r="AA6799" i="1" s="1"/>
  <c r="AA6800" i="1" s="1"/>
  <c r="AA6801" i="1" s="1"/>
  <c r="AA6802" i="1" s="1"/>
  <c r="AA6803" i="1" s="1"/>
  <c r="AA6804" i="1" s="1"/>
  <c r="AA6805" i="1" s="1"/>
  <c r="AA6806" i="1" s="1"/>
  <c r="AA6807" i="1" s="1"/>
  <c r="AA6808" i="1" s="1"/>
  <c r="AA6809" i="1" s="1"/>
  <c r="AA6810" i="1" s="1"/>
  <c r="AA6811" i="1" s="1"/>
  <c r="AA6812" i="1" s="1"/>
  <c r="AA6813" i="1" s="1"/>
  <c r="AA6814" i="1" s="1"/>
  <c r="AA6815" i="1" s="1"/>
  <c r="AA6816" i="1" s="1"/>
  <c r="AA6817" i="1" s="1"/>
  <c r="AA6818" i="1" s="1"/>
  <c r="AA6819" i="1" s="1"/>
  <c r="AA6820" i="1" s="1"/>
  <c r="AA6821" i="1" s="1"/>
  <c r="AA6822" i="1" s="1"/>
  <c r="AA6823" i="1" s="1"/>
  <c r="AA6824" i="1" s="1"/>
  <c r="AA6825" i="1" s="1"/>
  <c r="AA6826" i="1" s="1"/>
  <c r="AA6827" i="1" s="1"/>
  <c r="AA6828" i="1" s="1"/>
  <c r="AA6829" i="1" s="1"/>
  <c r="AA6830" i="1" s="1"/>
  <c r="AA6831" i="1" s="1"/>
  <c r="AA6832" i="1" s="1"/>
  <c r="AA6833" i="1" s="1"/>
  <c r="AA6834" i="1" s="1"/>
  <c r="AA6835" i="1" s="1"/>
  <c r="AA6836" i="1" s="1"/>
  <c r="AA6837" i="1" s="1"/>
  <c r="AA6838" i="1" s="1"/>
  <c r="AA6839" i="1" s="1"/>
  <c r="AA6840" i="1" s="1"/>
  <c r="AA6841" i="1" s="1"/>
  <c r="AA6842" i="1" s="1"/>
  <c r="AA6843" i="1" s="1"/>
  <c r="AA6844" i="1" s="1"/>
  <c r="AA6845" i="1" s="1"/>
  <c r="AA6846" i="1" s="1"/>
  <c r="AA6847" i="1" s="1"/>
  <c r="AA6848" i="1" s="1"/>
  <c r="AA6849" i="1" s="1"/>
  <c r="AA6850" i="1" s="1"/>
  <c r="AA6851" i="1" s="1"/>
  <c r="AA6852" i="1" s="1"/>
  <c r="AA6853" i="1" s="1"/>
  <c r="AA6854" i="1" s="1"/>
  <c r="AA6855" i="1" s="1"/>
  <c r="AA6856" i="1" s="1"/>
  <c r="AA6857" i="1" s="1"/>
  <c r="AA6858" i="1" s="1"/>
  <c r="AA6859" i="1" s="1"/>
  <c r="AA6860" i="1" s="1"/>
  <c r="AA6861" i="1" s="1"/>
  <c r="AA6862" i="1" s="1"/>
  <c r="AA6863" i="1" s="1"/>
  <c r="AA6864" i="1" s="1"/>
  <c r="AA6865" i="1" s="1"/>
  <c r="AA6866" i="1" s="1"/>
  <c r="AA6867" i="1" s="1"/>
  <c r="AA6868" i="1" s="1"/>
  <c r="AA6869" i="1" s="1"/>
  <c r="AA6870" i="1" s="1"/>
  <c r="AA6871" i="1" s="1"/>
  <c r="AA6872" i="1" s="1"/>
  <c r="AA6873" i="1" s="1"/>
  <c r="AA6874" i="1" s="1"/>
  <c r="AA6875" i="1" s="1"/>
  <c r="AA6876" i="1" s="1"/>
  <c r="AA6877" i="1" s="1"/>
  <c r="AA6878" i="1" s="1"/>
  <c r="AA6879" i="1" s="1"/>
  <c r="AA6880" i="1" s="1"/>
  <c r="AA6881" i="1" s="1"/>
  <c r="AA6882" i="1" s="1"/>
  <c r="AA6883" i="1" s="1"/>
  <c r="AA6884" i="1" s="1"/>
  <c r="AA6885" i="1" s="1"/>
  <c r="AA6886" i="1" s="1"/>
  <c r="AA6887" i="1" s="1"/>
  <c r="AA6888" i="1" s="1"/>
  <c r="AA6889" i="1" s="1"/>
  <c r="AA6890" i="1" s="1"/>
  <c r="AA6891" i="1" s="1"/>
  <c r="AA6892" i="1" s="1"/>
  <c r="AA6893" i="1" s="1"/>
  <c r="AA6894" i="1" s="1"/>
  <c r="AA6895" i="1" s="1"/>
  <c r="AA6896" i="1" s="1"/>
  <c r="AA6897" i="1" s="1"/>
  <c r="AA6898" i="1" s="1"/>
  <c r="AA6899" i="1" s="1"/>
  <c r="AA6900" i="1" s="1"/>
  <c r="AA6901" i="1" s="1"/>
  <c r="AA6902" i="1" s="1"/>
  <c r="AA6903" i="1" s="1"/>
  <c r="AA6904" i="1" s="1"/>
  <c r="AA6905" i="1" s="1"/>
  <c r="AA6906" i="1" s="1"/>
  <c r="AA6907" i="1" s="1"/>
  <c r="AA6908" i="1" s="1"/>
  <c r="AA6909" i="1" s="1"/>
  <c r="AA6910" i="1" s="1"/>
  <c r="AA6911" i="1" s="1"/>
  <c r="AA6912" i="1" s="1"/>
  <c r="AA6913" i="1" s="1"/>
  <c r="AA6914" i="1" s="1"/>
  <c r="AA6915" i="1" s="1"/>
  <c r="AA6916" i="1" s="1"/>
  <c r="AA6917" i="1" s="1"/>
  <c r="AA6918" i="1" s="1"/>
  <c r="AA6919" i="1" s="1"/>
  <c r="AA6920" i="1" s="1"/>
  <c r="AA6921" i="1" s="1"/>
  <c r="AA6922" i="1" s="1"/>
  <c r="AA6923" i="1" s="1"/>
  <c r="AA6924" i="1" s="1"/>
  <c r="AA6925" i="1" s="1"/>
  <c r="AA6926" i="1" s="1"/>
  <c r="AA6927" i="1" s="1"/>
  <c r="AA6928" i="1" s="1"/>
  <c r="AA6929" i="1" s="1"/>
  <c r="AA6930" i="1" s="1"/>
  <c r="AA6931" i="1" s="1"/>
  <c r="AA6932" i="1" s="1"/>
  <c r="AA6933" i="1" s="1"/>
  <c r="AA6934" i="1" s="1"/>
  <c r="AA6935" i="1" s="1"/>
  <c r="AA6936" i="1" s="1"/>
  <c r="AA6937" i="1" s="1"/>
  <c r="AA6938" i="1" s="1"/>
  <c r="AA6939" i="1" s="1"/>
  <c r="AA6940" i="1" s="1"/>
  <c r="AA6941" i="1" s="1"/>
  <c r="AA6942" i="1" s="1"/>
  <c r="AA6943" i="1" s="1"/>
  <c r="AA6944" i="1" s="1"/>
  <c r="AA6945" i="1" s="1"/>
  <c r="AA6946" i="1" s="1"/>
  <c r="AA6947" i="1" s="1"/>
  <c r="AA6948" i="1" s="1"/>
  <c r="AA6949" i="1" s="1"/>
  <c r="AA6950" i="1" s="1"/>
  <c r="AA6951" i="1" s="1"/>
  <c r="AA6952" i="1" s="1"/>
  <c r="AA6953" i="1" s="1"/>
  <c r="AA6954" i="1" s="1"/>
  <c r="AA6955" i="1" s="1"/>
  <c r="AA6956" i="1" s="1"/>
  <c r="AA6957" i="1" s="1"/>
  <c r="AA6958" i="1" s="1"/>
  <c r="AA6959" i="1" s="1"/>
  <c r="AA6960" i="1" s="1"/>
  <c r="AA6961" i="1" s="1"/>
  <c r="AA6962" i="1" s="1"/>
  <c r="AA6963" i="1" s="1"/>
  <c r="AA6964" i="1" s="1"/>
  <c r="AA6965" i="1" s="1"/>
  <c r="AA6966" i="1" s="1"/>
  <c r="AA6967" i="1" s="1"/>
  <c r="AA6968" i="1" s="1"/>
  <c r="AA6969" i="1" s="1"/>
  <c r="AA6970" i="1" s="1"/>
  <c r="AA6971" i="1" s="1"/>
  <c r="AA6972" i="1" s="1"/>
  <c r="AA6973" i="1" s="1"/>
  <c r="AA6974" i="1" s="1"/>
  <c r="AA6975" i="1" s="1"/>
  <c r="AA6976" i="1" s="1"/>
  <c r="AA6977" i="1" s="1"/>
  <c r="AA6978" i="1" s="1"/>
  <c r="AA6979" i="1" s="1"/>
  <c r="AA6980" i="1" s="1"/>
  <c r="AA6981" i="1" s="1"/>
  <c r="AA6982" i="1" s="1"/>
  <c r="AA6983" i="1" s="1"/>
  <c r="AA6984" i="1" s="1"/>
  <c r="AA6985" i="1" s="1"/>
  <c r="AA6986" i="1" s="1"/>
  <c r="AA6987" i="1" s="1"/>
  <c r="AA6988" i="1" s="1"/>
  <c r="AA6989" i="1" s="1"/>
  <c r="AA6990" i="1" s="1"/>
  <c r="AA6991" i="1" s="1"/>
  <c r="AA6992" i="1" s="1"/>
  <c r="AA6993" i="1" s="1"/>
  <c r="AA6994" i="1" s="1"/>
  <c r="AA6995" i="1" s="1"/>
  <c r="AA6996" i="1" s="1"/>
  <c r="AA6997" i="1" s="1"/>
  <c r="AA6998" i="1" s="1"/>
  <c r="AA6999" i="1" s="1"/>
  <c r="AA7000" i="1" s="1"/>
  <c r="AA7001" i="1" s="1"/>
  <c r="AA7002" i="1" s="1"/>
  <c r="AA7003" i="1" s="1"/>
  <c r="AA7004" i="1" s="1"/>
  <c r="AA7005" i="1" s="1"/>
  <c r="AA7006" i="1" s="1"/>
  <c r="AA7007" i="1" s="1"/>
  <c r="AA7008" i="1" s="1"/>
  <c r="AA7009" i="1" s="1"/>
  <c r="AA7010" i="1" s="1"/>
  <c r="AA7011" i="1" s="1"/>
  <c r="AA7012" i="1" s="1"/>
  <c r="AA7013" i="1" s="1"/>
  <c r="AA7014" i="1" s="1"/>
  <c r="AA7015" i="1" s="1"/>
  <c r="AA7016" i="1" s="1"/>
  <c r="AA7017" i="1" s="1"/>
  <c r="AA7018" i="1" s="1"/>
  <c r="AA7019" i="1" s="1"/>
  <c r="AA7020" i="1" s="1"/>
  <c r="AA7021" i="1" s="1"/>
  <c r="AA7022" i="1" s="1"/>
  <c r="AA7023" i="1" s="1"/>
  <c r="AA7024" i="1" s="1"/>
  <c r="AA7025" i="1" s="1"/>
  <c r="AA7026" i="1" s="1"/>
  <c r="AA7027" i="1" s="1"/>
  <c r="AA7028" i="1" s="1"/>
  <c r="AA7029" i="1" s="1"/>
  <c r="AA7030" i="1" s="1"/>
  <c r="AA7031" i="1" s="1"/>
  <c r="AA7032" i="1" s="1"/>
  <c r="AA7033" i="1" s="1"/>
  <c r="AA7034" i="1" s="1"/>
  <c r="AA7035" i="1" s="1"/>
  <c r="AA7036" i="1" s="1"/>
  <c r="AA7037" i="1" s="1"/>
  <c r="AA7038" i="1" s="1"/>
  <c r="AA7039" i="1" s="1"/>
  <c r="AA7040" i="1" s="1"/>
  <c r="AA7041" i="1" s="1"/>
  <c r="AA7042" i="1" s="1"/>
  <c r="AA7043" i="1" s="1"/>
  <c r="AA7044" i="1" s="1"/>
  <c r="AA7045" i="1" s="1"/>
  <c r="AA7046" i="1" s="1"/>
  <c r="AA7047" i="1" s="1"/>
  <c r="AA7048" i="1" s="1"/>
  <c r="AA7049" i="1" s="1"/>
  <c r="AA7050" i="1" s="1"/>
  <c r="AA7051" i="1" s="1"/>
  <c r="AA7052" i="1" s="1"/>
  <c r="AA7053" i="1" s="1"/>
  <c r="AA7054" i="1" s="1"/>
  <c r="AA7055" i="1" s="1"/>
  <c r="AA7056" i="1" s="1"/>
  <c r="AA7057" i="1" s="1"/>
  <c r="AA7058" i="1" s="1"/>
  <c r="AA7059" i="1" s="1"/>
  <c r="AA7060" i="1" s="1"/>
  <c r="AA7061" i="1" s="1"/>
  <c r="AA7062" i="1" s="1"/>
  <c r="AA7063" i="1" s="1"/>
  <c r="AA7064" i="1" s="1"/>
  <c r="AA7065" i="1" s="1"/>
  <c r="AA7066" i="1" s="1"/>
  <c r="AA7067" i="1" s="1"/>
  <c r="AA7068" i="1" s="1"/>
  <c r="AA7069" i="1" s="1"/>
  <c r="AA7070" i="1" s="1"/>
  <c r="AA7071" i="1" s="1"/>
  <c r="AA7072" i="1" s="1"/>
  <c r="AA7073" i="1" s="1"/>
  <c r="AA7074" i="1" s="1"/>
  <c r="AA7075" i="1" s="1"/>
  <c r="AA7076" i="1" s="1"/>
  <c r="AA7077" i="1" s="1"/>
  <c r="AA7078" i="1" s="1"/>
  <c r="AA7079" i="1" s="1"/>
  <c r="AA7080" i="1" s="1"/>
  <c r="AA7081" i="1" s="1"/>
  <c r="AA7082" i="1" s="1"/>
  <c r="AA7083" i="1" s="1"/>
  <c r="AA7084" i="1" s="1"/>
  <c r="AA7085" i="1" s="1"/>
  <c r="AA7086" i="1" s="1"/>
  <c r="AA7087" i="1" s="1"/>
  <c r="AA7088" i="1" s="1"/>
  <c r="AA7089" i="1" s="1"/>
  <c r="AA7090" i="1" s="1"/>
  <c r="AA7091" i="1" s="1"/>
  <c r="AA7092" i="1" s="1"/>
  <c r="AA7093" i="1" s="1"/>
  <c r="AA7094" i="1" s="1"/>
  <c r="AA7095" i="1" s="1"/>
  <c r="AA7096" i="1" s="1"/>
  <c r="AA7097" i="1" s="1"/>
  <c r="AA7098" i="1" s="1"/>
  <c r="AA7099" i="1" s="1"/>
  <c r="AA7100" i="1" s="1"/>
  <c r="AA7101" i="1" s="1"/>
  <c r="AA7102" i="1" s="1"/>
  <c r="AA7103" i="1" s="1"/>
  <c r="AA7104" i="1" s="1"/>
  <c r="AA7105" i="1" s="1"/>
  <c r="AA7106" i="1" s="1"/>
  <c r="AA7107" i="1" s="1"/>
  <c r="AA7108" i="1" s="1"/>
  <c r="AA7109" i="1" s="1"/>
  <c r="AA7110" i="1" s="1"/>
  <c r="AA7111" i="1" s="1"/>
  <c r="AA7112" i="1" s="1"/>
  <c r="AA7113" i="1" s="1"/>
  <c r="AA7114" i="1" s="1"/>
  <c r="AA7115" i="1" s="1"/>
  <c r="AA7116" i="1" s="1"/>
  <c r="AA7117" i="1" s="1"/>
  <c r="AA7118" i="1" s="1"/>
  <c r="AA7119" i="1" s="1"/>
  <c r="AA7120" i="1" s="1"/>
  <c r="AA7121" i="1" s="1"/>
  <c r="AA7122" i="1" s="1"/>
  <c r="AA7123" i="1" s="1"/>
  <c r="AA7124" i="1" s="1"/>
  <c r="AA7125" i="1" s="1"/>
  <c r="AA7126" i="1" s="1"/>
  <c r="AA7127" i="1" s="1"/>
  <c r="AA7128" i="1" s="1"/>
  <c r="AA7129" i="1" s="1"/>
  <c r="AA7130" i="1" s="1"/>
  <c r="AA7131" i="1" s="1"/>
  <c r="AA7132" i="1" s="1"/>
  <c r="AA7133" i="1" s="1"/>
  <c r="AA7134" i="1" s="1"/>
  <c r="AA7135" i="1" s="1"/>
  <c r="AA7136" i="1" s="1"/>
  <c r="AA7137" i="1" s="1"/>
  <c r="AA7138" i="1" s="1"/>
  <c r="AA7139" i="1" s="1"/>
  <c r="AA7140" i="1" s="1"/>
  <c r="AA7141" i="1" s="1"/>
  <c r="AA7142" i="1" s="1"/>
  <c r="AA7143" i="1" s="1"/>
  <c r="AA7144" i="1" s="1"/>
  <c r="AA7145" i="1" s="1"/>
  <c r="AA7146" i="1" s="1"/>
  <c r="AA7147" i="1" s="1"/>
  <c r="AA7148" i="1" s="1"/>
  <c r="AA7149" i="1" s="1"/>
  <c r="AA7150" i="1" s="1"/>
  <c r="AA7151" i="1" s="1"/>
  <c r="AA7152" i="1" s="1"/>
  <c r="AA7153" i="1" s="1"/>
  <c r="AA7154" i="1" s="1"/>
  <c r="AA7155" i="1" s="1"/>
  <c r="AA7156" i="1" s="1"/>
  <c r="AA7157" i="1" s="1"/>
  <c r="AA7158" i="1" s="1"/>
  <c r="AA7159" i="1" s="1"/>
  <c r="AA7160" i="1" s="1"/>
  <c r="AA7161" i="1" s="1"/>
  <c r="AA7162" i="1" s="1"/>
  <c r="AA7163" i="1" s="1"/>
  <c r="AA7164" i="1" s="1"/>
  <c r="AA7165" i="1" s="1"/>
  <c r="AA7166" i="1" s="1"/>
  <c r="AA7167" i="1" s="1"/>
  <c r="AA7168" i="1" s="1"/>
  <c r="AA7169" i="1" s="1"/>
  <c r="AA7170" i="1" s="1"/>
  <c r="AA7171" i="1" s="1"/>
  <c r="AA7172" i="1" s="1"/>
  <c r="AA7173" i="1" s="1"/>
  <c r="AA7174" i="1" s="1"/>
  <c r="AA7175" i="1" s="1"/>
  <c r="AA7176" i="1" s="1"/>
  <c r="AA7177" i="1" s="1"/>
  <c r="AA7178" i="1" s="1"/>
  <c r="AA7179" i="1" s="1"/>
  <c r="AA7180" i="1" s="1"/>
  <c r="AA7181" i="1" s="1"/>
  <c r="AA7182" i="1" s="1"/>
  <c r="AA7183" i="1" s="1"/>
  <c r="AA7184" i="1" s="1"/>
  <c r="AA7185" i="1" s="1"/>
  <c r="AA7186" i="1" s="1"/>
  <c r="AA7187" i="1" s="1"/>
  <c r="AA7188" i="1" s="1"/>
  <c r="AA7189" i="1" s="1"/>
  <c r="AA7190" i="1" s="1"/>
  <c r="AA7191" i="1" s="1"/>
  <c r="AA7192" i="1" s="1"/>
  <c r="AA7193" i="1" s="1"/>
  <c r="AA7194" i="1" s="1"/>
  <c r="AA7195" i="1" s="1"/>
  <c r="AA7196" i="1" s="1"/>
  <c r="AA7197" i="1" s="1"/>
  <c r="AA7198" i="1" s="1"/>
  <c r="AA7199" i="1" s="1"/>
  <c r="AA7200" i="1" s="1"/>
  <c r="AA7201" i="1" s="1"/>
  <c r="AA7202" i="1" s="1"/>
  <c r="AA7203" i="1" s="1"/>
  <c r="AA7204" i="1" s="1"/>
  <c r="AA7205" i="1" s="1"/>
  <c r="AA7206" i="1" s="1"/>
  <c r="AA7207" i="1" s="1"/>
  <c r="AA7208" i="1" s="1"/>
  <c r="AA7209" i="1" s="1"/>
  <c r="AA7210" i="1" s="1"/>
  <c r="AA7211" i="1" s="1"/>
  <c r="AA7212" i="1" s="1"/>
  <c r="AA7213" i="1" s="1"/>
  <c r="AA7214" i="1" s="1"/>
  <c r="AA7215" i="1" s="1"/>
  <c r="AA7216" i="1" s="1"/>
  <c r="AA7217" i="1" s="1"/>
  <c r="AA7218" i="1" s="1"/>
  <c r="AA7219" i="1" s="1"/>
  <c r="AA7220" i="1" s="1"/>
  <c r="AA7221" i="1" s="1"/>
  <c r="AA7222" i="1" s="1"/>
  <c r="AA7223" i="1" s="1"/>
  <c r="AA7224" i="1" s="1"/>
  <c r="AA7225" i="1" s="1"/>
  <c r="AA7226" i="1" s="1"/>
  <c r="AA7227" i="1" s="1"/>
  <c r="AA7228" i="1" s="1"/>
  <c r="AA7229" i="1" s="1"/>
  <c r="AA7230" i="1" s="1"/>
  <c r="AA7231" i="1" s="1"/>
  <c r="AA7232" i="1" s="1"/>
  <c r="AA7233" i="1" s="1"/>
  <c r="AA7234" i="1" s="1"/>
  <c r="AA7235" i="1" s="1"/>
  <c r="AA7236" i="1" s="1"/>
  <c r="AA7237" i="1" s="1"/>
  <c r="AA7238" i="1" s="1"/>
  <c r="AA7239" i="1" s="1"/>
  <c r="AA7240" i="1" s="1"/>
  <c r="AA7241" i="1" s="1"/>
  <c r="AA7242" i="1" s="1"/>
  <c r="AA7243" i="1" s="1"/>
  <c r="AA7244" i="1" s="1"/>
  <c r="AA7245" i="1" s="1"/>
  <c r="AA7246" i="1" s="1"/>
  <c r="AA7247" i="1" s="1"/>
  <c r="AA7248" i="1" s="1"/>
  <c r="AA7249" i="1" s="1"/>
  <c r="AA7250" i="1" s="1"/>
  <c r="AA7251" i="1" s="1"/>
  <c r="AA7252" i="1" s="1"/>
  <c r="AA7253" i="1" s="1"/>
  <c r="AA7254" i="1" s="1"/>
  <c r="AA7255" i="1" s="1"/>
  <c r="AA7256" i="1" s="1"/>
  <c r="AA7257" i="1" s="1"/>
  <c r="AA7258" i="1" s="1"/>
  <c r="AA7259" i="1" s="1"/>
  <c r="AA7260" i="1" s="1"/>
  <c r="AA7261" i="1" s="1"/>
  <c r="AA7262" i="1" s="1"/>
  <c r="AA7263" i="1" s="1"/>
  <c r="AA7264" i="1" s="1"/>
  <c r="AA7265" i="1" s="1"/>
  <c r="AA7266" i="1" s="1"/>
  <c r="AA7267" i="1" s="1"/>
  <c r="AA7268" i="1" s="1"/>
  <c r="AA7269" i="1" s="1"/>
  <c r="AA7270" i="1" s="1"/>
  <c r="AA7271" i="1" s="1"/>
  <c r="AA7272" i="1" s="1"/>
  <c r="AA7273" i="1" s="1"/>
  <c r="AA7274" i="1" s="1"/>
  <c r="AA7275" i="1" s="1"/>
  <c r="AA7276" i="1" s="1"/>
  <c r="AA7277" i="1" s="1"/>
  <c r="AA7278" i="1" s="1"/>
  <c r="AA7279" i="1" s="1"/>
  <c r="AA7280" i="1" s="1"/>
  <c r="AA7281" i="1" s="1"/>
  <c r="AA7282" i="1" s="1"/>
  <c r="AA7283" i="1" s="1"/>
  <c r="AA7284" i="1" s="1"/>
  <c r="AA7285" i="1" s="1"/>
  <c r="AA7286" i="1" s="1"/>
  <c r="AA7287" i="1" s="1"/>
  <c r="AA7288" i="1" s="1"/>
  <c r="AA7289" i="1" s="1"/>
  <c r="AA7290" i="1" s="1"/>
  <c r="AA7291" i="1" s="1"/>
  <c r="AA7292" i="1" s="1"/>
  <c r="AA7293" i="1" s="1"/>
  <c r="AA7294" i="1" s="1"/>
  <c r="AA7295" i="1" s="1"/>
  <c r="AA7296" i="1" s="1"/>
  <c r="AA7297" i="1" s="1"/>
  <c r="AA7298" i="1" s="1"/>
  <c r="AA7299" i="1" s="1"/>
  <c r="AA7300" i="1" s="1"/>
  <c r="AA7301" i="1" s="1"/>
  <c r="AA7302" i="1" s="1"/>
  <c r="AA7303" i="1" s="1"/>
  <c r="AA7304" i="1" s="1"/>
  <c r="AA7305" i="1" s="1"/>
  <c r="AA7306" i="1" s="1"/>
  <c r="AA7307" i="1" s="1"/>
  <c r="AA7308" i="1" s="1"/>
  <c r="AA7309" i="1" s="1"/>
  <c r="AA7310" i="1" s="1"/>
  <c r="AA7311" i="1" s="1"/>
  <c r="AA7312" i="1" s="1"/>
  <c r="AA7313" i="1" s="1"/>
  <c r="AA7314" i="1" s="1"/>
  <c r="AA7315" i="1" s="1"/>
  <c r="AA7316" i="1" s="1"/>
  <c r="AA7317" i="1" s="1"/>
  <c r="AA7318" i="1" s="1"/>
  <c r="AA7319" i="1" s="1"/>
  <c r="AA7320" i="1" s="1"/>
  <c r="AA7321" i="1" s="1"/>
  <c r="AA7322" i="1" s="1"/>
  <c r="AA7323" i="1" s="1"/>
  <c r="AA7324" i="1" s="1"/>
  <c r="AA7325" i="1" s="1"/>
  <c r="AA7326" i="1" s="1"/>
  <c r="AA7327" i="1" s="1"/>
  <c r="AA7328" i="1" s="1"/>
  <c r="AA7329" i="1" s="1"/>
  <c r="AA7330" i="1" s="1"/>
  <c r="AA7331" i="1" s="1"/>
  <c r="AA7332" i="1" s="1"/>
  <c r="AA7333" i="1" s="1"/>
  <c r="AA7334" i="1" s="1"/>
  <c r="AA7335" i="1" s="1"/>
  <c r="AA7336" i="1" s="1"/>
  <c r="AA7337" i="1" s="1"/>
  <c r="AA7338" i="1" s="1"/>
  <c r="AA7339" i="1" s="1"/>
  <c r="AA7340" i="1" s="1"/>
  <c r="AA7341" i="1" s="1"/>
  <c r="AA7342" i="1" s="1"/>
  <c r="AA7343" i="1" s="1"/>
  <c r="AA7344" i="1" s="1"/>
  <c r="AA7345" i="1" s="1"/>
  <c r="AA7346" i="1" s="1"/>
  <c r="AA7347" i="1" s="1"/>
  <c r="AA7348" i="1" s="1"/>
  <c r="AA7349" i="1" s="1"/>
  <c r="AA7350" i="1" s="1"/>
  <c r="AA7351" i="1" s="1"/>
  <c r="AA7352" i="1" s="1"/>
  <c r="AA7353" i="1" s="1"/>
  <c r="AA7354" i="1" s="1"/>
  <c r="AA7355" i="1" s="1"/>
  <c r="AA7356" i="1" s="1"/>
  <c r="AA7357" i="1" s="1"/>
  <c r="AA7358" i="1" s="1"/>
  <c r="AA7359" i="1" s="1"/>
  <c r="AA7360" i="1" s="1"/>
  <c r="AA7361" i="1" s="1"/>
  <c r="AA7362" i="1" s="1"/>
  <c r="AA7363" i="1" s="1"/>
  <c r="AA7364" i="1" s="1"/>
  <c r="AA7365" i="1" s="1"/>
  <c r="AA7366" i="1" s="1"/>
  <c r="AA7367" i="1" s="1"/>
  <c r="AA7368" i="1" s="1"/>
  <c r="AA7369" i="1" s="1"/>
  <c r="AA7370" i="1" s="1"/>
  <c r="AA7371" i="1" s="1"/>
  <c r="AA7372" i="1" s="1"/>
  <c r="AA7373" i="1" s="1"/>
  <c r="AA7374" i="1" s="1"/>
  <c r="AA7375" i="1" s="1"/>
  <c r="AA7376" i="1" s="1"/>
  <c r="AA7377" i="1" s="1"/>
  <c r="AA7378" i="1" s="1"/>
  <c r="AA7379" i="1" s="1"/>
  <c r="AA7380" i="1" s="1"/>
  <c r="AA7381" i="1" s="1"/>
  <c r="AA7382" i="1" s="1"/>
  <c r="AA7383" i="1" s="1"/>
  <c r="AA7384" i="1" s="1"/>
  <c r="AA7385" i="1" s="1"/>
  <c r="AA7386" i="1" s="1"/>
  <c r="AA7387" i="1" s="1"/>
  <c r="AA7388" i="1" s="1"/>
  <c r="AA7389" i="1" s="1"/>
  <c r="AA7390" i="1" s="1"/>
  <c r="AA7391" i="1" s="1"/>
  <c r="AA7392" i="1" s="1"/>
  <c r="AA7393" i="1" s="1"/>
  <c r="AA7394" i="1" s="1"/>
  <c r="AA7395" i="1" s="1"/>
  <c r="AA7396" i="1" s="1"/>
  <c r="AA7397" i="1" s="1"/>
  <c r="AA7398" i="1" s="1"/>
  <c r="AA7399" i="1" s="1"/>
  <c r="AA7400" i="1" s="1"/>
  <c r="AA7401" i="1" s="1"/>
  <c r="AA7402" i="1" s="1"/>
  <c r="AA7403" i="1" s="1"/>
  <c r="AA7404" i="1" s="1"/>
  <c r="AA7405" i="1" s="1"/>
  <c r="AA7406" i="1" s="1"/>
  <c r="AA7407" i="1" s="1"/>
  <c r="AA7408" i="1" s="1"/>
  <c r="AA7409" i="1" s="1"/>
  <c r="AA7410" i="1" s="1"/>
  <c r="AA7411" i="1" s="1"/>
  <c r="AA7412" i="1" s="1"/>
  <c r="AA7413" i="1" s="1"/>
  <c r="AA7414" i="1" s="1"/>
  <c r="AA7415" i="1" s="1"/>
  <c r="AA7416" i="1" s="1"/>
  <c r="AA7417" i="1" s="1"/>
  <c r="AA7418" i="1" s="1"/>
  <c r="AA7419" i="1" s="1"/>
  <c r="AA7420" i="1" s="1"/>
  <c r="AA7421" i="1" s="1"/>
  <c r="AA7422" i="1" s="1"/>
  <c r="AA7423" i="1" s="1"/>
  <c r="AA7424" i="1" s="1"/>
  <c r="AA7425" i="1" s="1"/>
  <c r="AA7426" i="1" s="1"/>
  <c r="AA7427" i="1" s="1"/>
  <c r="AA7428" i="1" s="1"/>
  <c r="AA7429" i="1" s="1"/>
  <c r="AA7430" i="1" s="1"/>
  <c r="AA7431" i="1" s="1"/>
  <c r="AA7432" i="1" s="1"/>
  <c r="AA7433" i="1" s="1"/>
  <c r="AA7434" i="1" s="1"/>
  <c r="AA7435" i="1" s="1"/>
  <c r="AA7436" i="1" s="1"/>
  <c r="AA7437" i="1" s="1"/>
  <c r="AA7438" i="1" s="1"/>
  <c r="AA7439" i="1" s="1"/>
  <c r="AA7440" i="1" s="1"/>
  <c r="AA7441" i="1" s="1"/>
  <c r="AA7442" i="1" s="1"/>
  <c r="AA7443" i="1" s="1"/>
  <c r="AA7444" i="1" s="1"/>
  <c r="AA7445" i="1" s="1"/>
  <c r="AA7446" i="1" s="1"/>
  <c r="AA7447" i="1" s="1"/>
  <c r="AA7448" i="1" s="1"/>
  <c r="AA7449" i="1" s="1"/>
  <c r="AA7450" i="1" s="1"/>
  <c r="AA7451" i="1" s="1"/>
  <c r="AA7452" i="1" s="1"/>
  <c r="AA7453" i="1" s="1"/>
  <c r="AA7454" i="1" s="1"/>
  <c r="AA7455" i="1" s="1"/>
  <c r="AA7456" i="1" s="1"/>
  <c r="AA7457" i="1" s="1"/>
  <c r="AA7458" i="1" s="1"/>
  <c r="AA7459" i="1" s="1"/>
  <c r="AA7460" i="1" s="1"/>
  <c r="AA7461" i="1" s="1"/>
  <c r="AA7462" i="1" s="1"/>
  <c r="AA7463" i="1" s="1"/>
  <c r="AA7464" i="1" s="1"/>
  <c r="AA7465" i="1" s="1"/>
  <c r="AA7466" i="1" s="1"/>
  <c r="AA7467" i="1" s="1"/>
  <c r="AA7468" i="1" s="1"/>
  <c r="AA7469" i="1" s="1"/>
  <c r="AA7470" i="1" s="1"/>
  <c r="AA7471" i="1" s="1"/>
  <c r="AA7472" i="1" s="1"/>
  <c r="AA7473" i="1" s="1"/>
  <c r="AA7474" i="1" s="1"/>
  <c r="AA7475" i="1" s="1"/>
  <c r="AA7476" i="1" s="1"/>
  <c r="AA7477" i="1" s="1"/>
  <c r="AA7478" i="1" s="1"/>
  <c r="AA7479" i="1" s="1"/>
  <c r="AA7480" i="1" s="1"/>
  <c r="AA7481" i="1" s="1"/>
  <c r="AA7482" i="1" s="1"/>
  <c r="AA7483" i="1" s="1"/>
  <c r="AA7484" i="1" s="1"/>
  <c r="AA7485" i="1" s="1"/>
  <c r="AA7486" i="1" s="1"/>
  <c r="AA7487" i="1" s="1"/>
  <c r="AA7488" i="1" s="1"/>
  <c r="AA7489" i="1" s="1"/>
  <c r="AA7490" i="1" s="1"/>
  <c r="AA7491" i="1" s="1"/>
  <c r="AA7492" i="1" s="1"/>
  <c r="AA7493" i="1" s="1"/>
  <c r="AA7494" i="1" s="1"/>
  <c r="AA7495" i="1" s="1"/>
  <c r="AA7496" i="1" s="1"/>
  <c r="AA7497" i="1" s="1"/>
  <c r="AA7498" i="1" s="1"/>
  <c r="AA7499" i="1" s="1"/>
  <c r="AA7500" i="1" s="1"/>
  <c r="AA7501" i="1" s="1"/>
  <c r="AA7502" i="1" s="1"/>
  <c r="AA7503" i="1" s="1"/>
  <c r="AA7504" i="1" s="1"/>
  <c r="AA7505" i="1" s="1"/>
  <c r="AA7506" i="1" s="1"/>
  <c r="AA7507" i="1" s="1"/>
  <c r="AA7508" i="1" s="1"/>
  <c r="AA7509" i="1" s="1"/>
  <c r="AA7510" i="1" s="1"/>
  <c r="AA7511" i="1" s="1"/>
  <c r="AA7512" i="1" s="1"/>
  <c r="AA7513" i="1" s="1"/>
  <c r="AA7514" i="1" s="1"/>
  <c r="AA7515" i="1" s="1"/>
  <c r="AA7516" i="1" s="1"/>
  <c r="AA7517" i="1" s="1"/>
  <c r="AA7518" i="1" s="1"/>
  <c r="AA7519" i="1" s="1"/>
  <c r="AA7520" i="1" s="1"/>
  <c r="AA7521" i="1" s="1"/>
  <c r="AA7522" i="1" s="1"/>
  <c r="AA7523" i="1" s="1"/>
  <c r="AA7524" i="1" s="1"/>
  <c r="AA7525" i="1" s="1"/>
  <c r="AA7526" i="1" s="1"/>
  <c r="AA7527" i="1" s="1"/>
  <c r="AA7528" i="1" s="1"/>
  <c r="AA7529" i="1" s="1"/>
  <c r="AA7530" i="1" s="1"/>
  <c r="AA7531" i="1" s="1"/>
  <c r="AA7532" i="1" s="1"/>
  <c r="AA7533" i="1" s="1"/>
  <c r="AA7534" i="1" s="1"/>
  <c r="AA7535" i="1" s="1"/>
  <c r="AA7536" i="1" s="1"/>
  <c r="AA7537" i="1" s="1"/>
  <c r="AA7538" i="1" s="1"/>
  <c r="AA7539" i="1" s="1"/>
  <c r="AA7540" i="1" s="1"/>
  <c r="AA7541" i="1" s="1"/>
  <c r="AA7542" i="1" s="1"/>
  <c r="AA7543" i="1" s="1"/>
  <c r="AA7544" i="1" s="1"/>
  <c r="AA7545" i="1" s="1"/>
  <c r="AA7546" i="1" s="1"/>
  <c r="AA7547" i="1" s="1"/>
  <c r="AA7548" i="1" s="1"/>
  <c r="AA7549" i="1" s="1"/>
  <c r="AA7550" i="1" s="1"/>
  <c r="AA7551" i="1" s="1"/>
  <c r="AA7552" i="1" s="1"/>
  <c r="AA7553" i="1" s="1"/>
  <c r="AA7554" i="1" s="1"/>
  <c r="AA7555" i="1" s="1"/>
  <c r="AA7556" i="1" s="1"/>
  <c r="AA7557" i="1" s="1"/>
  <c r="AA7558" i="1" s="1"/>
  <c r="AA7559" i="1" s="1"/>
  <c r="AA7560" i="1" s="1"/>
  <c r="AA7561" i="1" s="1"/>
  <c r="AA7562" i="1" s="1"/>
  <c r="AA7563" i="1" s="1"/>
  <c r="AA7564" i="1" s="1"/>
  <c r="AA7565" i="1" s="1"/>
  <c r="AA7566" i="1" s="1"/>
  <c r="AA7567" i="1" s="1"/>
  <c r="AA7568" i="1" s="1"/>
  <c r="AA7569" i="1" s="1"/>
  <c r="AA7570" i="1" s="1"/>
  <c r="AA7571" i="1" s="1"/>
  <c r="AA7572" i="1" s="1"/>
  <c r="AA7573" i="1" s="1"/>
  <c r="AA7574" i="1" s="1"/>
  <c r="AA7575" i="1" s="1"/>
  <c r="AA7576" i="1" s="1"/>
  <c r="AA7577" i="1" s="1"/>
  <c r="AA7578" i="1" s="1"/>
  <c r="AA7579" i="1" s="1"/>
  <c r="AA7580" i="1" s="1"/>
  <c r="AA7581" i="1" s="1"/>
  <c r="AA7582" i="1" s="1"/>
  <c r="AA7583" i="1" s="1"/>
  <c r="AA7584" i="1" s="1"/>
  <c r="AA7585" i="1" s="1"/>
  <c r="AA7586" i="1" s="1"/>
  <c r="AA7587" i="1" s="1"/>
  <c r="AA7588" i="1" s="1"/>
  <c r="AA7589" i="1" s="1"/>
  <c r="AA7590" i="1" s="1"/>
  <c r="AA7591" i="1" s="1"/>
  <c r="AA7592" i="1" s="1"/>
  <c r="AA7593" i="1" s="1"/>
  <c r="AA7594" i="1" s="1"/>
  <c r="AA7595" i="1" s="1"/>
  <c r="AA7596" i="1" s="1"/>
  <c r="AA7597" i="1" s="1"/>
  <c r="AA7598" i="1" s="1"/>
  <c r="AA7599" i="1" s="1"/>
  <c r="AA7600" i="1" s="1"/>
  <c r="AA7601" i="1" s="1"/>
  <c r="AA7602" i="1" s="1"/>
  <c r="AA7603" i="1" s="1"/>
  <c r="AA7604" i="1" s="1"/>
  <c r="AA7605" i="1" s="1"/>
  <c r="AA7606" i="1" s="1"/>
  <c r="AA7607" i="1" s="1"/>
  <c r="AA7608" i="1" s="1"/>
  <c r="AA7609" i="1" s="1"/>
  <c r="AA7610" i="1" s="1"/>
  <c r="AA7611" i="1" s="1"/>
  <c r="AA7612" i="1" s="1"/>
  <c r="AA7613" i="1" s="1"/>
  <c r="AA7614" i="1" s="1"/>
  <c r="AA7615" i="1" s="1"/>
  <c r="AA7616" i="1" s="1"/>
  <c r="AA7617" i="1" s="1"/>
  <c r="AA7618" i="1" s="1"/>
  <c r="AA7619" i="1" s="1"/>
  <c r="AA7620" i="1" s="1"/>
  <c r="AA7621" i="1" s="1"/>
  <c r="AA7622" i="1" s="1"/>
  <c r="AA7623" i="1" s="1"/>
  <c r="AA7624" i="1" s="1"/>
  <c r="AA7625" i="1" s="1"/>
  <c r="AA7626" i="1" s="1"/>
  <c r="AA7627" i="1" s="1"/>
  <c r="AA7628" i="1" s="1"/>
  <c r="AA7629" i="1" s="1"/>
  <c r="AA7630" i="1" s="1"/>
  <c r="AA7631" i="1" s="1"/>
  <c r="AA7632" i="1" s="1"/>
  <c r="AA7633" i="1" s="1"/>
  <c r="AA7634" i="1" s="1"/>
  <c r="AA7635" i="1" s="1"/>
  <c r="AA7636" i="1" s="1"/>
  <c r="AA7637" i="1" s="1"/>
  <c r="AA7638" i="1" s="1"/>
  <c r="AA7639" i="1" s="1"/>
  <c r="AA7640" i="1" s="1"/>
  <c r="AA7641" i="1" s="1"/>
  <c r="AA7642" i="1" s="1"/>
  <c r="AA7643" i="1" s="1"/>
  <c r="AA7644" i="1" s="1"/>
  <c r="AA7645" i="1" s="1"/>
  <c r="AA7646" i="1" s="1"/>
  <c r="AA7647" i="1" s="1"/>
  <c r="AA7648" i="1" s="1"/>
  <c r="AA7649" i="1" s="1"/>
  <c r="AA7650" i="1" s="1"/>
  <c r="AA7651" i="1" s="1"/>
  <c r="AA7652" i="1" s="1"/>
  <c r="AA7653" i="1" s="1"/>
  <c r="AA7654" i="1" s="1"/>
  <c r="AA7655" i="1" s="1"/>
  <c r="AA7656" i="1" s="1"/>
  <c r="AA7657" i="1" s="1"/>
  <c r="AA7658" i="1" s="1"/>
  <c r="AA7659" i="1" s="1"/>
  <c r="AA7660" i="1" s="1"/>
  <c r="AA7661" i="1" s="1"/>
  <c r="AA7662" i="1" s="1"/>
  <c r="AA7663" i="1" s="1"/>
  <c r="AA7664" i="1" s="1"/>
  <c r="AA7665" i="1" s="1"/>
  <c r="AA7666" i="1" s="1"/>
  <c r="AA7667" i="1" s="1"/>
  <c r="AA7668" i="1" s="1"/>
  <c r="AA7669" i="1" s="1"/>
  <c r="AA7670" i="1" s="1"/>
  <c r="AA7671" i="1" s="1"/>
  <c r="AA7672" i="1" s="1"/>
  <c r="AA7673" i="1" s="1"/>
  <c r="AA7674" i="1" s="1"/>
  <c r="AA7675" i="1" s="1"/>
  <c r="AA7676" i="1" s="1"/>
  <c r="AA7677" i="1" s="1"/>
  <c r="AA7678" i="1" s="1"/>
  <c r="AA7679" i="1" s="1"/>
  <c r="AA7680" i="1" s="1"/>
  <c r="AA7681" i="1" s="1"/>
  <c r="AA7682" i="1" s="1"/>
  <c r="AA7683" i="1" s="1"/>
  <c r="AA7684" i="1" s="1"/>
  <c r="AA7685" i="1" s="1"/>
  <c r="AA7686" i="1" s="1"/>
  <c r="AA7687" i="1" s="1"/>
  <c r="AA7688" i="1" s="1"/>
  <c r="AA7689" i="1" s="1"/>
  <c r="AA7690" i="1" s="1"/>
  <c r="AA7691" i="1" s="1"/>
  <c r="AA7692" i="1" s="1"/>
  <c r="AA7693" i="1" s="1"/>
  <c r="AA7694" i="1" s="1"/>
  <c r="AA7695" i="1" s="1"/>
  <c r="AA7696" i="1" s="1"/>
  <c r="AA7697" i="1" s="1"/>
  <c r="AA7698" i="1" s="1"/>
  <c r="AA7699" i="1" s="1"/>
  <c r="AA7700" i="1" s="1"/>
  <c r="AA7701" i="1" s="1"/>
  <c r="AA7702" i="1" s="1"/>
  <c r="AA7703" i="1" s="1"/>
  <c r="AA7704" i="1" s="1"/>
  <c r="AA7705" i="1" s="1"/>
  <c r="AA7706" i="1" s="1"/>
  <c r="AA7707" i="1" s="1"/>
  <c r="AA7708" i="1" s="1"/>
  <c r="AA7709" i="1" s="1"/>
  <c r="AA7710" i="1" s="1"/>
  <c r="AA7711" i="1" s="1"/>
  <c r="AA7712" i="1" s="1"/>
  <c r="AA7713" i="1" s="1"/>
  <c r="AA7714" i="1" s="1"/>
  <c r="AA7715" i="1" s="1"/>
  <c r="AA7716" i="1" s="1"/>
  <c r="AA7717" i="1" s="1"/>
  <c r="AA7718" i="1" s="1"/>
  <c r="AA7719" i="1" s="1"/>
  <c r="AA7720" i="1" s="1"/>
  <c r="AA7721" i="1" s="1"/>
  <c r="AA7722" i="1" s="1"/>
  <c r="AA7723" i="1" s="1"/>
  <c r="AA7724" i="1" s="1"/>
  <c r="AA7725" i="1" s="1"/>
  <c r="AA7726" i="1" s="1"/>
  <c r="AA7727" i="1" s="1"/>
  <c r="AA7728" i="1" s="1"/>
  <c r="AA7729" i="1" s="1"/>
  <c r="AA7730" i="1" s="1"/>
  <c r="AA7731" i="1" s="1"/>
  <c r="AA7732" i="1" s="1"/>
  <c r="AA7733" i="1" s="1"/>
  <c r="AA7734" i="1" s="1"/>
  <c r="AA7735" i="1" s="1"/>
  <c r="AA7736" i="1" s="1"/>
  <c r="AA7737" i="1" s="1"/>
  <c r="AA7738" i="1" s="1"/>
  <c r="AA7739" i="1" s="1"/>
  <c r="AA7740" i="1" s="1"/>
  <c r="AA7741" i="1" s="1"/>
  <c r="AA7742" i="1" s="1"/>
  <c r="AA7743" i="1" s="1"/>
  <c r="AA7744" i="1" s="1"/>
  <c r="AA7745" i="1" s="1"/>
  <c r="AA7746" i="1" s="1"/>
  <c r="AA7747" i="1" s="1"/>
  <c r="AA7748" i="1" s="1"/>
  <c r="AA7749" i="1" s="1"/>
  <c r="AA7750" i="1" s="1"/>
  <c r="AA7751" i="1" s="1"/>
  <c r="AA7752" i="1" s="1"/>
  <c r="AA7753" i="1" s="1"/>
  <c r="AA7754" i="1" s="1"/>
  <c r="AA7755" i="1" s="1"/>
  <c r="AA7756" i="1" s="1"/>
  <c r="AA7757" i="1" s="1"/>
  <c r="AA7758" i="1" s="1"/>
  <c r="AA7759" i="1" s="1"/>
  <c r="AA7760" i="1" s="1"/>
  <c r="AA7761" i="1" s="1"/>
  <c r="AA7762" i="1" s="1"/>
  <c r="AA7763" i="1" s="1"/>
  <c r="AA7764" i="1" s="1"/>
  <c r="AA7765" i="1" s="1"/>
  <c r="AA7766" i="1" s="1"/>
  <c r="AA7767" i="1" s="1"/>
  <c r="AA7768" i="1" s="1"/>
  <c r="AA7769" i="1" s="1"/>
  <c r="AA7770" i="1" s="1"/>
  <c r="AA7771" i="1" s="1"/>
  <c r="AA7772" i="1" s="1"/>
  <c r="AA7773" i="1" s="1"/>
  <c r="AA7774" i="1" s="1"/>
  <c r="AA7775" i="1" s="1"/>
  <c r="AA7776" i="1" s="1"/>
  <c r="AA7777" i="1" s="1"/>
  <c r="AA7778" i="1" s="1"/>
  <c r="AA7779" i="1" s="1"/>
  <c r="AA7780" i="1" s="1"/>
  <c r="AA7781" i="1" s="1"/>
  <c r="AA7782" i="1" s="1"/>
  <c r="AA7783" i="1" s="1"/>
  <c r="AA7784" i="1" s="1"/>
  <c r="AA7785" i="1" s="1"/>
  <c r="AA7786" i="1" s="1"/>
  <c r="AA7787" i="1" s="1"/>
  <c r="AA7788" i="1" s="1"/>
  <c r="AA7789" i="1" s="1"/>
  <c r="AA7790" i="1" s="1"/>
  <c r="AA7791" i="1" s="1"/>
  <c r="AA7792" i="1" s="1"/>
  <c r="AA7793" i="1" s="1"/>
  <c r="AA7794" i="1" s="1"/>
  <c r="AA7795" i="1" s="1"/>
  <c r="AA7796" i="1" s="1"/>
  <c r="AA7797" i="1" s="1"/>
  <c r="AA7798" i="1" s="1"/>
  <c r="AA7799" i="1" s="1"/>
  <c r="AA7800" i="1" s="1"/>
  <c r="AA7801" i="1" s="1"/>
  <c r="AA7802" i="1" s="1"/>
  <c r="AA7803" i="1" s="1"/>
  <c r="AA7804" i="1" s="1"/>
  <c r="AA7805" i="1" s="1"/>
  <c r="AA7806" i="1" s="1"/>
  <c r="AA7807" i="1" s="1"/>
  <c r="AA7808" i="1" s="1"/>
  <c r="AA7809" i="1" s="1"/>
  <c r="AA7810" i="1" s="1"/>
  <c r="AA7811" i="1" s="1"/>
  <c r="AA7812" i="1" s="1"/>
  <c r="AA7813" i="1" s="1"/>
  <c r="AA7814" i="1" s="1"/>
  <c r="AA7815" i="1" s="1"/>
  <c r="AA7816" i="1" s="1"/>
  <c r="AA7817" i="1" s="1"/>
  <c r="AA7818" i="1" s="1"/>
  <c r="AA7819" i="1" s="1"/>
  <c r="AA7820" i="1" s="1"/>
  <c r="AA7821" i="1" s="1"/>
  <c r="AA7822" i="1" s="1"/>
  <c r="AA7823" i="1" s="1"/>
  <c r="AA7824" i="1" s="1"/>
  <c r="AA7825" i="1" s="1"/>
  <c r="AA7826" i="1" s="1"/>
  <c r="AA7827" i="1" s="1"/>
  <c r="AA7828" i="1" s="1"/>
  <c r="AA7829" i="1" s="1"/>
  <c r="AA7830" i="1" s="1"/>
  <c r="AA7831" i="1" s="1"/>
  <c r="AA7832" i="1" s="1"/>
  <c r="AA7833" i="1" s="1"/>
  <c r="AA7834" i="1" s="1"/>
  <c r="AA7835" i="1" s="1"/>
  <c r="AA7836" i="1" s="1"/>
  <c r="AA7837" i="1" s="1"/>
  <c r="AA7838" i="1" s="1"/>
  <c r="AA7839" i="1" s="1"/>
  <c r="AA7840" i="1" s="1"/>
  <c r="AA7841" i="1" s="1"/>
  <c r="AA7842" i="1" s="1"/>
  <c r="AA7843" i="1" s="1"/>
  <c r="AA7844" i="1" s="1"/>
  <c r="AA7845" i="1" s="1"/>
  <c r="AA7846" i="1" s="1"/>
  <c r="AA7847" i="1" s="1"/>
  <c r="AA7848" i="1" s="1"/>
  <c r="AA7849" i="1" s="1"/>
  <c r="AA7850" i="1" s="1"/>
  <c r="AA7851" i="1" s="1"/>
  <c r="AA7852" i="1" s="1"/>
  <c r="AA7853" i="1" s="1"/>
  <c r="AA7854" i="1" s="1"/>
  <c r="AA7855" i="1" s="1"/>
  <c r="AA7856" i="1" s="1"/>
  <c r="AA7857" i="1" s="1"/>
  <c r="AA7858" i="1" s="1"/>
  <c r="AA7859" i="1" s="1"/>
  <c r="AA7860" i="1" s="1"/>
  <c r="AA7861" i="1" s="1"/>
  <c r="AA7862" i="1" s="1"/>
  <c r="AA7863" i="1" s="1"/>
  <c r="AA7864" i="1" s="1"/>
  <c r="AA7865" i="1" s="1"/>
  <c r="AA7866" i="1" s="1"/>
  <c r="AA7867" i="1" s="1"/>
  <c r="AA7868" i="1" s="1"/>
  <c r="AA7869" i="1" s="1"/>
  <c r="AA7870" i="1" s="1"/>
  <c r="AA7871" i="1" s="1"/>
  <c r="AA7872" i="1" s="1"/>
  <c r="AA7873" i="1" s="1"/>
  <c r="AA7874" i="1" s="1"/>
  <c r="AA7875" i="1" s="1"/>
  <c r="AA7876" i="1" s="1"/>
  <c r="AA7877" i="1" s="1"/>
  <c r="AA7878" i="1" s="1"/>
  <c r="AA7879" i="1" s="1"/>
  <c r="AA7880" i="1" s="1"/>
  <c r="AA7881" i="1" s="1"/>
  <c r="AA7882" i="1" s="1"/>
  <c r="AA7883" i="1" s="1"/>
  <c r="AA7884" i="1" s="1"/>
  <c r="AA7885" i="1" s="1"/>
  <c r="AA7886" i="1" s="1"/>
  <c r="AA7887" i="1" s="1"/>
  <c r="AA7888" i="1" s="1"/>
  <c r="AA7889" i="1" s="1"/>
  <c r="AA7890" i="1" s="1"/>
  <c r="AA7891" i="1" s="1"/>
  <c r="AA7892" i="1" s="1"/>
  <c r="AA7893" i="1" s="1"/>
  <c r="AA7894" i="1" s="1"/>
  <c r="AA7895" i="1" s="1"/>
  <c r="AA7896" i="1" s="1"/>
  <c r="AA7897" i="1" s="1"/>
  <c r="AA7898" i="1" s="1"/>
  <c r="AA7899" i="1" s="1"/>
  <c r="AA7900" i="1" s="1"/>
  <c r="AA7901" i="1" s="1"/>
  <c r="AA7902" i="1" s="1"/>
  <c r="AA7903" i="1" s="1"/>
  <c r="AA7904" i="1" s="1"/>
  <c r="AA7905" i="1" s="1"/>
  <c r="AA7906" i="1" s="1"/>
  <c r="AA7907" i="1" s="1"/>
  <c r="AA7908" i="1" s="1"/>
  <c r="AA7909" i="1" s="1"/>
  <c r="AA7910" i="1" s="1"/>
  <c r="AA7911" i="1" s="1"/>
  <c r="AA7912" i="1" s="1"/>
  <c r="AA7913" i="1" s="1"/>
  <c r="AA7914" i="1" s="1"/>
  <c r="AA7915" i="1" s="1"/>
  <c r="AA7916" i="1" s="1"/>
  <c r="AA7917" i="1" s="1"/>
  <c r="AA7918" i="1" s="1"/>
  <c r="AA7919" i="1" s="1"/>
  <c r="AA7920" i="1" s="1"/>
  <c r="AA7921" i="1" s="1"/>
  <c r="AA7922" i="1" s="1"/>
  <c r="AA7923" i="1" s="1"/>
  <c r="AA7924" i="1" s="1"/>
  <c r="AA7925" i="1" s="1"/>
  <c r="AA7926" i="1" s="1"/>
  <c r="AA7927" i="1" s="1"/>
  <c r="AA7928" i="1" s="1"/>
  <c r="AA7929" i="1" s="1"/>
  <c r="AA7930" i="1" s="1"/>
  <c r="AA7931" i="1" s="1"/>
  <c r="AA7932" i="1" s="1"/>
  <c r="AA7933" i="1" s="1"/>
  <c r="AA7934" i="1" s="1"/>
  <c r="AA7935" i="1" s="1"/>
  <c r="AA7936" i="1" s="1"/>
  <c r="AA7937" i="1" s="1"/>
  <c r="AA7938" i="1" s="1"/>
  <c r="AA7939" i="1" s="1"/>
  <c r="AA7940" i="1" s="1"/>
  <c r="AA7941" i="1" s="1"/>
  <c r="AA7942" i="1" s="1"/>
  <c r="AA7943" i="1" s="1"/>
  <c r="AA7944" i="1" s="1"/>
  <c r="AA7945" i="1" s="1"/>
  <c r="AA7946" i="1" s="1"/>
  <c r="AA7947" i="1" s="1"/>
  <c r="AA7948" i="1" s="1"/>
  <c r="AA7949" i="1" s="1"/>
  <c r="AA7950" i="1" s="1"/>
  <c r="AA7951" i="1" s="1"/>
  <c r="AA7952" i="1" s="1"/>
  <c r="AA7953" i="1" s="1"/>
  <c r="AA7954" i="1" s="1"/>
  <c r="AA7955" i="1" s="1"/>
  <c r="AA7956" i="1" s="1"/>
  <c r="AA7957" i="1" s="1"/>
  <c r="AA7958" i="1" s="1"/>
  <c r="AA7959" i="1" s="1"/>
  <c r="AA7960" i="1" s="1"/>
  <c r="AA7961" i="1" s="1"/>
  <c r="AA7962" i="1" s="1"/>
  <c r="AA7963" i="1" s="1"/>
  <c r="AA7964" i="1" s="1"/>
  <c r="AA7965" i="1" s="1"/>
  <c r="AA7966" i="1" s="1"/>
  <c r="AA7967" i="1" s="1"/>
  <c r="AA7968" i="1" s="1"/>
  <c r="AA7969" i="1" s="1"/>
  <c r="AA7970" i="1" s="1"/>
  <c r="AA7971" i="1" s="1"/>
  <c r="AA7972" i="1" s="1"/>
  <c r="AA7973" i="1" s="1"/>
  <c r="AA7974" i="1" s="1"/>
  <c r="AA7975" i="1" s="1"/>
  <c r="AA7976" i="1" s="1"/>
  <c r="AA7977" i="1" s="1"/>
  <c r="AA7978" i="1" s="1"/>
  <c r="AA7979" i="1" s="1"/>
  <c r="AA7980" i="1" s="1"/>
  <c r="AA7981" i="1" s="1"/>
  <c r="AA7982" i="1" s="1"/>
  <c r="AA7983" i="1" s="1"/>
  <c r="AA7984" i="1" s="1"/>
  <c r="AA7985" i="1" s="1"/>
  <c r="AA7986" i="1" s="1"/>
  <c r="AA7987" i="1" s="1"/>
  <c r="AA7988" i="1" s="1"/>
  <c r="AA7989" i="1" s="1"/>
  <c r="AA7990" i="1" s="1"/>
  <c r="AA7991" i="1" s="1"/>
  <c r="AA7992" i="1" s="1"/>
  <c r="AA7993" i="1" s="1"/>
  <c r="AA7994" i="1" s="1"/>
  <c r="AA7995" i="1" s="1"/>
  <c r="AA7996" i="1" s="1"/>
  <c r="AA7997" i="1" s="1"/>
  <c r="AA7998" i="1" s="1"/>
  <c r="AA7999" i="1" s="1"/>
  <c r="AA8000" i="1" s="1"/>
  <c r="AA8001" i="1" s="1"/>
  <c r="AA8002" i="1" s="1"/>
  <c r="AA8003" i="1" s="1"/>
  <c r="AA8004" i="1" s="1"/>
  <c r="AA8005" i="1" s="1"/>
  <c r="AA8006" i="1" s="1"/>
  <c r="AA8007" i="1" s="1"/>
  <c r="AA8008" i="1" s="1"/>
  <c r="AA8009" i="1" s="1"/>
  <c r="AA8010" i="1" s="1"/>
  <c r="AA8011" i="1" s="1"/>
  <c r="AA8012" i="1" s="1"/>
  <c r="AA8013" i="1" s="1"/>
  <c r="AA8014" i="1" s="1"/>
  <c r="AA8015" i="1" s="1"/>
  <c r="AA8016" i="1" s="1"/>
  <c r="AA8017" i="1" s="1"/>
  <c r="AA8018" i="1" s="1"/>
  <c r="AA8019" i="1" s="1"/>
  <c r="AA8020" i="1" s="1"/>
  <c r="AA8021" i="1" s="1"/>
  <c r="AA8022" i="1" s="1"/>
  <c r="AA8023" i="1" s="1"/>
  <c r="AA8024" i="1" s="1"/>
  <c r="AA8025" i="1" s="1"/>
  <c r="AA8026" i="1" s="1"/>
  <c r="AA8027" i="1" s="1"/>
  <c r="AA8028" i="1" s="1"/>
  <c r="AA8029" i="1" s="1"/>
  <c r="AA8030" i="1" s="1"/>
  <c r="AA8031" i="1" s="1"/>
  <c r="AA8032" i="1" s="1"/>
  <c r="AA8033" i="1" s="1"/>
  <c r="AA8034" i="1" s="1"/>
  <c r="AA8035" i="1" s="1"/>
  <c r="AA8036" i="1" s="1"/>
  <c r="AA8037" i="1" s="1"/>
  <c r="AA8038" i="1" s="1"/>
  <c r="AA8039" i="1" s="1"/>
  <c r="AA8040" i="1" s="1"/>
  <c r="AA8041" i="1" s="1"/>
  <c r="AA8042" i="1" s="1"/>
  <c r="AA8043" i="1" s="1"/>
  <c r="AA8044" i="1" s="1"/>
  <c r="AA8045" i="1" s="1"/>
  <c r="AA8046" i="1" s="1"/>
  <c r="AA8047" i="1" s="1"/>
  <c r="AA8048" i="1" s="1"/>
  <c r="AA8049" i="1" s="1"/>
  <c r="AA8050" i="1" s="1"/>
  <c r="AA8051" i="1" s="1"/>
  <c r="AA8052" i="1" s="1"/>
  <c r="AA8053" i="1" s="1"/>
  <c r="AA8054" i="1" s="1"/>
  <c r="AA8055" i="1" s="1"/>
  <c r="AA8056" i="1" s="1"/>
  <c r="AA8057" i="1" s="1"/>
  <c r="AA8058" i="1" s="1"/>
  <c r="AA8059" i="1" s="1"/>
  <c r="AA8060" i="1" s="1"/>
  <c r="AA8061" i="1" s="1"/>
  <c r="AA8062" i="1" s="1"/>
  <c r="AA8063" i="1" s="1"/>
  <c r="AA8064" i="1" s="1"/>
  <c r="AA8065" i="1" s="1"/>
  <c r="AA8066" i="1" s="1"/>
  <c r="AA8067" i="1" s="1"/>
  <c r="AA8068" i="1" s="1"/>
  <c r="AA8069" i="1" s="1"/>
  <c r="AA8070" i="1" s="1"/>
  <c r="AA8071" i="1" s="1"/>
  <c r="AA8072" i="1" s="1"/>
  <c r="AA8073" i="1" s="1"/>
  <c r="AA8074" i="1" s="1"/>
  <c r="AA8075" i="1" s="1"/>
  <c r="AA8076" i="1" s="1"/>
  <c r="AA8077" i="1" s="1"/>
  <c r="AA8078" i="1" s="1"/>
  <c r="AA8079" i="1" s="1"/>
  <c r="AA8080" i="1" s="1"/>
  <c r="AA8081" i="1" s="1"/>
  <c r="AA8082" i="1" s="1"/>
  <c r="AA8083" i="1" s="1"/>
  <c r="AA8084" i="1" s="1"/>
  <c r="AA8085" i="1" s="1"/>
  <c r="AA8086" i="1" s="1"/>
  <c r="AA8087" i="1" s="1"/>
  <c r="AA8088" i="1" s="1"/>
  <c r="AA8089" i="1" s="1"/>
  <c r="AA8090" i="1" s="1"/>
  <c r="AA8091" i="1" s="1"/>
  <c r="AA8092" i="1" s="1"/>
  <c r="AA8093" i="1" s="1"/>
  <c r="AA8094" i="1" s="1"/>
  <c r="AA8095" i="1" s="1"/>
  <c r="AA8096" i="1" s="1"/>
  <c r="AA8097" i="1" s="1"/>
  <c r="AA8098" i="1" s="1"/>
  <c r="AA8099" i="1" s="1"/>
  <c r="AA8100" i="1" s="1"/>
  <c r="AA8101" i="1" s="1"/>
  <c r="AA8102" i="1" s="1"/>
  <c r="AA8103" i="1" s="1"/>
  <c r="AA8104" i="1" s="1"/>
  <c r="AA8105" i="1" s="1"/>
  <c r="AA8106" i="1" s="1"/>
  <c r="AA8107" i="1" s="1"/>
  <c r="AA8108" i="1" s="1"/>
  <c r="AA8109" i="1" s="1"/>
  <c r="AA8110" i="1" s="1"/>
  <c r="AA8111" i="1" s="1"/>
  <c r="AA8112" i="1" s="1"/>
  <c r="AA8113" i="1" s="1"/>
  <c r="AA8114" i="1" s="1"/>
  <c r="AA8115" i="1" s="1"/>
  <c r="AA8116" i="1" s="1"/>
  <c r="AA8117" i="1" s="1"/>
  <c r="AA8118" i="1" s="1"/>
  <c r="AA8119" i="1" s="1"/>
  <c r="AA8120" i="1" s="1"/>
  <c r="AA8121" i="1" s="1"/>
  <c r="AA8122" i="1" s="1"/>
  <c r="AA8123" i="1" s="1"/>
  <c r="AA8124" i="1" s="1"/>
  <c r="AA8125" i="1" s="1"/>
  <c r="AA8126" i="1" s="1"/>
  <c r="AA8127" i="1" s="1"/>
  <c r="AA8128" i="1" s="1"/>
  <c r="AA8129" i="1" s="1"/>
  <c r="AA8130" i="1" s="1"/>
  <c r="AA8131" i="1" s="1"/>
  <c r="AA8132" i="1" s="1"/>
  <c r="AA8133" i="1" s="1"/>
  <c r="AA8134" i="1" s="1"/>
  <c r="AA8135" i="1" s="1"/>
  <c r="AA8136" i="1" s="1"/>
  <c r="AA8137" i="1" s="1"/>
  <c r="AA8138" i="1" s="1"/>
  <c r="AA8139" i="1" s="1"/>
  <c r="AA8140" i="1" s="1"/>
  <c r="AA8141" i="1" s="1"/>
  <c r="AA8142" i="1" s="1"/>
  <c r="AA8143" i="1" s="1"/>
  <c r="AA8144" i="1" s="1"/>
  <c r="AA8145" i="1" s="1"/>
  <c r="AA8146" i="1" s="1"/>
  <c r="AA8147" i="1" s="1"/>
  <c r="AA8148" i="1" s="1"/>
  <c r="AA8149" i="1" s="1"/>
  <c r="AA8150" i="1" s="1"/>
  <c r="AA8151" i="1" s="1"/>
  <c r="AA8152" i="1" s="1"/>
  <c r="AA8153" i="1" s="1"/>
  <c r="AA8154" i="1" s="1"/>
  <c r="AA8155" i="1" s="1"/>
  <c r="AA8156" i="1" s="1"/>
  <c r="AA8157" i="1" s="1"/>
  <c r="AA8158" i="1" s="1"/>
  <c r="AA8159" i="1" s="1"/>
  <c r="AA8160" i="1" s="1"/>
  <c r="AA8161" i="1" s="1"/>
  <c r="AA8162" i="1" s="1"/>
  <c r="AA8163" i="1" s="1"/>
  <c r="AA8164" i="1" s="1"/>
  <c r="AA8165" i="1" s="1"/>
  <c r="AA8166" i="1" s="1"/>
  <c r="AA8167" i="1" s="1"/>
  <c r="AA8168" i="1" s="1"/>
  <c r="AA8169" i="1" s="1"/>
  <c r="AA8170" i="1" s="1"/>
  <c r="AA8171" i="1" s="1"/>
  <c r="AA8172" i="1" s="1"/>
  <c r="AA8173" i="1" s="1"/>
  <c r="AA8174" i="1" s="1"/>
  <c r="AA8175" i="1" s="1"/>
  <c r="AA8176" i="1" s="1"/>
  <c r="AA8177" i="1" s="1"/>
  <c r="AA8178" i="1" s="1"/>
  <c r="AA8179" i="1" s="1"/>
  <c r="AA8180" i="1" s="1"/>
  <c r="AA8181" i="1" s="1"/>
  <c r="AA8182" i="1" s="1"/>
  <c r="AA8183" i="1" s="1"/>
  <c r="AA8184" i="1" s="1"/>
  <c r="AA8185" i="1" s="1"/>
  <c r="AA8186" i="1" s="1"/>
  <c r="AA8187" i="1" s="1"/>
  <c r="AA8188" i="1" s="1"/>
  <c r="AA8189" i="1" s="1"/>
  <c r="AA8190" i="1" s="1"/>
  <c r="AA8191" i="1" s="1"/>
  <c r="AA8192" i="1" s="1"/>
  <c r="AA8193" i="1" s="1"/>
  <c r="AA8194" i="1" s="1"/>
  <c r="AA8195" i="1" s="1"/>
  <c r="AA8196" i="1" s="1"/>
  <c r="AA8197" i="1" s="1"/>
  <c r="AA8198" i="1" s="1"/>
  <c r="AA8199" i="1" s="1"/>
  <c r="AA8200" i="1" s="1"/>
  <c r="AA8201" i="1" s="1"/>
  <c r="AA8202" i="1" s="1"/>
  <c r="AA8203" i="1" s="1"/>
  <c r="AA8204" i="1" s="1"/>
  <c r="AA8205" i="1" s="1"/>
  <c r="AA8206" i="1" s="1"/>
  <c r="AA8207" i="1" s="1"/>
  <c r="AA8208" i="1" s="1"/>
  <c r="AA8209" i="1" s="1"/>
  <c r="AA8210" i="1" s="1"/>
  <c r="AA8211" i="1" s="1"/>
  <c r="AA8212" i="1" s="1"/>
  <c r="AA8213" i="1" s="1"/>
  <c r="AA8214" i="1" s="1"/>
  <c r="AA8215" i="1" s="1"/>
  <c r="AA8216" i="1" s="1"/>
  <c r="AA8217" i="1" s="1"/>
  <c r="AA8218" i="1" s="1"/>
  <c r="AA8219" i="1" s="1"/>
  <c r="AA8220" i="1" s="1"/>
  <c r="AA8221" i="1" s="1"/>
  <c r="AA8222" i="1" s="1"/>
  <c r="AA8223" i="1" s="1"/>
  <c r="AA8224" i="1" s="1"/>
  <c r="AA8225" i="1" s="1"/>
  <c r="AA8226" i="1" s="1"/>
  <c r="AA8227" i="1" s="1"/>
  <c r="AA8228" i="1" s="1"/>
  <c r="AA8229" i="1" s="1"/>
  <c r="AA8230" i="1" s="1"/>
  <c r="AA8231" i="1" s="1"/>
  <c r="AA8232" i="1" s="1"/>
  <c r="AA8233" i="1" s="1"/>
  <c r="AA8234" i="1" s="1"/>
  <c r="AA8235" i="1" s="1"/>
  <c r="AA8236" i="1" s="1"/>
  <c r="AA8237" i="1" s="1"/>
  <c r="AA8238" i="1" s="1"/>
  <c r="AA8239" i="1" s="1"/>
  <c r="AA8240" i="1" s="1"/>
  <c r="AA8241" i="1" s="1"/>
  <c r="AA8242" i="1" s="1"/>
  <c r="AA8243" i="1" s="1"/>
  <c r="AA8244" i="1" s="1"/>
  <c r="AA8245" i="1" s="1"/>
  <c r="AA8246" i="1" s="1"/>
  <c r="AA8247" i="1" s="1"/>
  <c r="AA8248" i="1" s="1"/>
  <c r="AA8249" i="1" s="1"/>
  <c r="AA8250" i="1" s="1"/>
  <c r="AA8251" i="1" s="1"/>
  <c r="AA8252" i="1" s="1"/>
  <c r="AA8253" i="1" s="1"/>
  <c r="AA8254" i="1" s="1"/>
  <c r="AA8255" i="1" s="1"/>
  <c r="AA8256" i="1" s="1"/>
  <c r="AA8257" i="1" s="1"/>
  <c r="AA8258" i="1" s="1"/>
  <c r="AA8259" i="1" s="1"/>
  <c r="AA8260" i="1" s="1"/>
  <c r="AA8261" i="1" s="1"/>
  <c r="AA8262" i="1" s="1"/>
  <c r="AA8263" i="1" s="1"/>
  <c r="AA8264" i="1" s="1"/>
  <c r="AA8265" i="1" s="1"/>
  <c r="AA8266" i="1" s="1"/>
  <c r="AA8267" i="1" s="1"/>
  <c r="AA8268" i="1" s="1"/>
  <c r="AA8269" i="1" s="1"/>
  <c r="AA8270" i="1" s="1"/>
  <c r="AA8271" i="1" s="1"/>
  <c r="AA8272" i="1" s="1"/>
  <c r="AA8273" i="1" s="1"/>
  <c r="AA8274" i="1" s="1"/>
  <c r="AA8275" i="1" s="1"/>
  <c r="AA8276" i="1" s="1"/>
  <c r="AA8277" i="1" s="1"/>
  <c r="AA8278" i="1" s="1"/>
  <c r="AA8279" i="1" s="1"/>
  <c r="AA8280" i="1" s="1"/>
  <c r="AA8281" i="1" s="1"/>
  <c r="AA8282" i="1" s="1"/>
  <c r="AA8283" i="1" s="1"/>
  <c r="AA8284" i="1" s="1"/>
  <c r="AA8285" i="1" s="1"/>
  <c r="AA8286" i="1" s="1"/>
  <c r="AA8287" i="1" s="1"/>
  <c r="AA8288" i="1" s="1"/>
  <c r="AA8289" i="1" s="1"/>
  <c r="AA8290" i="1" s="1"/>
  <c r="AA8291" i="1" s="1"/>
  <c r="AA8292" i="1" s="1"/>
  <c r="AA8293" i="1" s="1"/>
  <c r="AA8294" i="1" s="1"/>
  <c r="AA8295" i="1" s="1"/>
  <c r="AA8296" i="1" s="1"/>
  <c r="AA8297" i="1" s="1"/>
  <c r="AA8298" i="1" s="1"/>
  <c r="AA8299" i="1" s="1"/>
  <c r="AA8300" i="1" s="1"/>
  <c r="AA8301" i="1" s="1"/>
  <c r="AA8302" i="1" s="1"/>
  <c r="AA8303" i="1" s="1"/>
  <c r="AA8304" i="1" s="1"/>
  <c r="AA8305" i="1" s="1"/>
  <c r="AA8306" i="1" s="1"/>
  <c r="AA8307" i="1" s="1"/>
  <c r="AA8308" i="1" s="1"/>
  <c r="AA8309" i="1" s="1"/>
  <c r="AA8310" i="1" s="1"/>
  <c r="AA8311" i="1" s="1"/>
  <c r="AA8312" i="1" s="1"/>
  <c r="AA8313" i="1" s="1"/>
  <c r="AA8314" i="1" s="1"/>
  <c r="AA8315" i="1" s="1"/>
  <c r="AA8316" i="1" s="1"/>
  <c r="AA8317" i="1" s="1"/>
  <c r="AA8318" i="1" s="1"/>
  <c r="AA8319" i="1" s="1"/>
  <c r="AA8320" i="1" s="1"/>
  <c r="AA8321" i="1" s="1"/>
  <c r="AA8322" i="1" s="1"/>
  <c r="AA8323" i="1" s="1"/>
  <c r="AA8324" i="1" s="1"/>
  <c r="AA8325" i="1" s="1"/>
  <c r="AA8326" i="1" s="1"/>
  <c r="AA8327" i="1" s="1"/>
  <c r="AA8328" i="1" s="1"/>
  <c r="AA8329" i="1" s="1"/>
  <c r="AA8330" i="1" s="1"/>
  <c r="AA8331" i="1" s="1"/>
  <c r="AA8332" i="1" s="1"/>
  <c r="AA8333" i="1" s="1"/>
  <c r="AA8334" i="1" s="1"/>
  <c r="AA8335" i="1" s="1"/>
  <c r="AA8336" i="1" s="1"/>
  <c r="AA8337" i="1" s="1"/>
  <c r="AA8338" i="1" s="1"/>
  <c r="AA8339" i="1" s="1"/>
  <c r="AA8340" i="1" s="1"/>
  <c r="AA8341" i="1" s="1"/>
  <c r="AA8342" i="1" s="1"/>
  <c r="AA8343" i="1" s="1"/>
  <c r="AA8344" i="1" s="1"/>
  <c r="AA8345" i="1" s="1"/>
  <c r="AA8346" i="1" s="1"/>
  <c r="AA8347" i="1" s="1"/>
  <c r="AA8348" i="1" s="1"/>
  <c r="AA8349" i="1" s="1"/>
  <c r="AA8350" i="1" s="1"/>
  <c r="AA8351" i="1" s="1"/>
  <c r="AA8352" i="1" s="1"/>
  <c r="AA8353" i="1" s="1"/>
  <c r="AA8354" i="1" s="1"/>
  <c r="AA8355" i="1" s="1"/>
  <c r="AA8356" i="1" s="1"/>
  <c r="AA8357" i="1" s="1"/>
  <c r="AA8358" i="1" s="1"/>
  <c r="AA8359" i="1" s="1"/>
  <c r="AA8360" i="1" s="1"/>
  <c r="AA8361" i="1" s="1"/>
  <c r="AA8362" i="1" s="1"/>
  <c r="AA8363" i="1" s="1"/>
  <c r="AA8364" i="1" s="1"/>
  <c r="AA8365" i="1" s="1"/>
  <c r="AA8366" i="1" s="1"/>
  <c r="AA8367" i="1" s="1"/>
  <c r="AA8368" i="1" s="1"/>
  <c r="AA8369" i="1" s="1"/>
  <c r="AA8370" i="1" s="1"/>
  <c r="AA8371" i="1" s="1"/>
  <c r="AA8372" i="1" s="1"/>
  <c r="AA8373" i="1" s="1"/>
  <c r="AA8374" i="1" s="1"/>
  <c r="AA8375" i="1" s="1"/>
  <c r="AA8376" i="1" s="1"/>
  <c r="AA8377" i="1" s="1"/>
  <c r="AA8378" i="1" s="1"/>
  <c r="AA8379" i="1" s="1"/>
  <c r="AA8380" i="1" s="1"/>
  <c r="AA8381" i="1" s="1"/>
  <c r="AA8382" i="1" s="1"/>
  <c r="AA8383" i="1" s="1"/>
  <c r="AA8384" i="1" s="1"/>
  <c r="AA8385" i="1" s="1"/>
  <c r="AA8386" i="1" s="1"/>
  <c r="AA8387" i="1" s="1"/>
  <c r="AA8388" i="1" s="1"/>
  <c r="AA8389" i="1" s="1"/>
  <c r="AA8390" i="1" s="1"/>
  <c r="AA8391" i="1" s="1"/>
  <c r="AA8392" i="1" s="1"/>
  <c r="AA8393" i="1" s="1"/>
  <c r="AA8394" i="1" s="1"/>
  <c r="AA8395" i="1" s="1"/>
  <c r="AA8396" i="1" s="1"/>
  <c r="AA8397" i="1" s="1"/>
  <c r="AA8398" i="1" s="1"/>
  <c r="AA8399" i="1" s="1"/>
  <c r="AA8400" i="1" s="1"/>
  <c r="AA8401" i="1" s="1"/>
  <c r="AA8402" i="1" s="1"/>
  <c r="AA8403" i="1" s="1"/>
  <c r="AA8404" i="1" s="1"/>
  <c r="AA8405" i="1" s="1"/>
  <c r="AA8406" i="1" s="1"/>
  <c r="AA8407" i="1" s="1"/>
  <c r="AA8408" i="1" s="1"/>
  <c r="AA8409" i="1" s="1"/>
  <c r="AA8410" i="1" s="1"/>
  <c r="AA8411" i="1" s="1"/>
  <c r="AA8412" i="1" s="1"/>
  <c r="AA8413" i="1" s="1"/>
  <c r="AA8414" i="1" s="1"/>
  <c r="AA8415" i="1" s="1"/>
  <c r="AA8416" i="1" s="1"/>
  <c r="AA8417" i="1" s="1"/>
  <c r="AA8418" i="1" s="1"/>
  <c r="AA8419" i="1" s="1"/>
  <c r="AA8420" i="1" s="1"/>
  <c r="AA8421" i="1" s="1"/>
  <c r="AA8422" i="1" s="1"/>
  <c r="AA8423" i="1" s="1"/>
  <c r="AA8424" i="1" s="1"/>
  <c r="AA8425" i="1" s="1"/>
  <c r="AA8426" i="1" s="1"/>
  <c r="AA8427" i="1" s="1"/>
  <c r="AA8428" i="1" s="1"/>
  <c r="AA8429" i="1" s="1"/>
  <c r="AA8430" i="1" s="1"/>
  <c r="AA8431" i="1" s="1"/>
  <c r="AA8432" i="1" s="1"/>
  <c r="AA8433" i="1" s="1"/>
  <c r="AA8434" i="1" s="1"/>
  <c r="AA8435" i="1" s="1"/>
  <c r="AA8436" i="1" s="1"/>
  <c r="AA8437" i="1" s="1"/>
  <c r="AA8438" i="1" s="1"/>
  <c r="AA8439" i="1" s="1"/>
  <c r="AA8440" i="1" s="1"/>
  <c r="AA8441" i="1" s="1"/>
  <c r="AA8442" i="1" s="1"/>
  <c r="AA8443" i="1" s="1"/>
  <c r="AA8444" i="1" s="1"/>
  <c r="AA8445" i="1" s="1"/>
  <c r="AA8446" i="1" s="1"/>
  <c r="AA8447" i="1" s="1"/>
  <c r="AA8448" i="1" s="1"/>
  <c r="AA8449" i="1" s="1"/>
  <c r="AA8450" i="1" s="1"/>
  <c r="AA8451" i="1" s="1"/>
  <c r="AA8452" i="1" s="1"/>
  <c r="AA8453" i="1" s="1"/>
  <c r="AA8454" i="1" s="1"/>
  <c r="AA8455" i="1" s="1"/>
  <c r="AA8456" i="1" s="1"/>
  <c r="AA8457" i="1" s="1"/>
  <c r="AA8458" i="1" s="1"/>
  <c r="AA8459" i="1" s="1"/>
  <c r="AA8460" i="1" s="1"/>
  <c r="AA8461" i="1" s="1"/>
  <c r="AA8462" i="1" s="1"/>
  <c r="AA8463" i="1" s="1"/>
  <c r="AA8464" i="1" s="1"/>
  <c r="AA8465" i="1" s="1"/>
  <c r="AA8466" i="1" s="1"/>
  <c r="AA8467" i="1" s="1"/>
  <c r="AA8468" i="1" s="1"/>
  <c r="AA8469" i="1" s="1"/>
  <c r="AA8470" i="1" s="1"/>
  <c r="AA8471" i="1" s="1"/>
  <c r="AA8472" i="1" s="1"/>
  <c r="AA8473" i="1" s="1"/>
  <c r="AA8474" i="1" s="1"/>
  <c r="AA8475" i="1" s="1"/>
  <c r="AA8476" i="1" s="1"/>
  <c r="AA8477" i="1" s="1"/>
  <c r="AA8478" i="1" s="1"/>
  <c r="AA8479" i="1" s="1"/>
  <c r="AA8480" i="1" s="1"/>
  <c r="AA8481" i="1" s="1"/>
  <c r="AA8482" i="1" s="1"/>
  <c r="AA8483" i="1" s="1"/>
  <c r="AA8484" i="1" s="1"/>
  <c r="AA8485" i="1" s="1"/>
  <c r="AA8486" i="1" s="1"/>
  <c r="AA8487" i="1" s="1"/>
  <c r="AA8488" i="1" s="1"/>
  <c r="AA8489" i="1" s="1"/>
  <c r="AA8490" i="1" s="1"/>
  <c r="AA8491" i="1" s="1"/>
  <c r="AA8492" i="1" s="1"/>
  <c r="AA8493" i="1" s="1"/>
  <c r="AA8494" i="1" s="1"/>
  <c r="AA8495" i="1" s="1"/>
  <c r="AA8496" i="1" s="1"/>
  <c r="AA8497" i="1" s="1"/>
  <c r="AA8498" i="1" s="1"/>
  <c r="AA8499" i="1" s="1"/>
  <c r="AA8500" i="1" s="1"/>
  <c r="AA8501" i="1" s="1"/>
  <c r="AA8502" i="1" s="1"/>
  <c r="AA8503" i="1" s="1"/>
  <c r="AA8504" i="1" s="1"/>
  <c r="AA8505" i="1" s="1"/>
  <c r="AA8506" i="1" s="1"/>
  <c r="AA8507" i="1" s="1"/>
  <c r="AA8508" i="1" s="1"/>
  <c r="AA8509" i="1" s="1"/>
  <c r="AA8510" i="1" s="1"/>
  <c r="AA8511" i="1" s="1"/>
  <c r="AA8512" i="1" s="1"/>
  <c r="AA8513" i="1" s="1"/>
  <c r="AA8514" i="1" s="1"/>
  <c r="AA8515" i="1" s="1"/>
  <c r="AA8516" i="1" s="1"/>
  <c r="AA8517" i="1" s="1"/>
  <c r="AA8518" i="1" s="1"/>
  <c r="AA8519" i="1" s="1"/>
  <c r="AA8520" i="1" s="1"/>
  <c r="AA8521" i="1" s="1"/>
  <c r="AA8522" i="1" s="1"/>
  <c r="AA8523" i="1" s="1"/>
  <c r="AA8524" i="1" s="1"/>
  <c r="AA8525" i="1" s="1"/>
  <c r="AA8526" i="1" s="1"/>
  <c r="AA8527" i="1" s="1"/>
  <c r="AA8528" i="1" s="1"/>
  <c r="AA8529" i="1" s="1"/>
  <c r="AA8530" i="1" s="1"/>
  <c r="AA8531" i="1" s="1"/>
  <c r="AA8532" i="1" s="1"/>
  <c r="AA8533" i="1" s="1"/>
  <c r="AA8534" i="1" s="1"/>
  <c r="AA8535" i="1" s="1"/>
  <c r="AA8536" i="1" s="1"/>
  <c r="AA8537" i="1" s="1"/>
  <c r="AA8538" i="1" s="1"/>
  <c r="AA8539" i="1" s="1"/>
  <c r="AA8540" i="1" s="1"/>
  <c r="AA8541" i="1" s="1"/>
  <c r="AA8542" i="1" s="1"/>
  <c r="AA8543" i="1" s="1"/>
  <c r="AA8544" i="1" s="1"/>
  <c r="AA8545" i="1" s="1"/>
  <c r="AA8546" i="1" s="1"/>
  <c r="AA8547" i="1" s="1"/>
  <c r="AA8548" i="1" s="1"/>
  <c r="AA8549" i="1" s="1"/>
  <c r="AA8550" i="1" s="1"/>
  <c r="AA8551" i="1" s="1"/>
  <c r="AA8552" i="1" s="1"/>
  <c r="AA8553" i="1" s="1"/>
  <c r="AA8554" i="1" s="1"/>
  <c r="AA8555" i="1" s="1"/>
  <c r="AA8556" i="1" s="1"/>
  <c r="AA8557" i="1" s="1"/>
  <c r="AA8558" i="1" s="1"/>
  <c r="AA8559" i="1" s="1"/>
  <c r="AA8560" i="1" s="1"/>
  <c r="AA8561" i="1" s="1"/>
  <c r="AA8562" i="1" s="1"/>
  <c r="AA8563" i="1" s="1"/>
  <c r="AA8564" i="1" s="1"/>
  <c r="AA8565" i="1" s="1"/>
  <c r="AA8566" i="1" s="1"/>
  <c r="AA8567" i="1" s="1"/>
  <c r="AA8568" i="1" s="1"/>
  <c r="AA8569" i="1" s="1"/>
  <c r="AA8570" i="1" s="1"/>
  <c r="AA8571" i="1" s="1"/>
  <c r="AA8572" i="1" s="1"/>
  <c r="AA8573" i="1" s="1"/>
  <c r="AA8574" i="1" s="1"/>
  <c r="AA8575" i="1" s="1"/>
  <c r="AA8576" i="1" s="1"/>
  <c r="AA8577" i="1" s="1"/>
  <c r="AA8578" i="1" s="1"/>
  <c r="AA8579" i="1" s="1"/>
  <c r="AA8580" i="1" s="1"/>
  <c r="AA8581" i="1" s="1"/>
  <c r="AA8582" i="1" s="1"/>
  <c r="AA8583" i="1" s="1"/>
  <c r="AA8584" i="1" s="1"/>
  <c r="AA8585" i="1" s="1"/>
  <c r="AA8586" i="1" s="1"/>
  <c r="AA8587" i="1" s="1"/>
  <c r="AA8588" i="1" s="1"/>
  <c r="AA8589" i="1" s="1"/>
  <c r="AA8590" i="1" s="1"/>
  <c r="AA8591" i="1" s="1"/>
  <c r="AA8592" i="1" s="1"/>
  <c r="AA8593" i="1" s="1"/>
  <c r="AA8594" i="1" s="1"/>
  <c r="AA8595" i="1" s="1"/>
  <c r="AA8596" i="1" s="1"/>
  <c r="AA8597" i="1" s="1"/>
  <c r="AA8598" i="1" s="1"/>
  <c r="AA8599" i="1" s="1"/>
  <c r="AA8600" i="1" s="1"/>
  <c r="AA8601" i="1" s="1"/>
  <c r="AA8602" i="1" s="1"/>
  <c r="AA8603" i="1" s="1"/>
  <c r="AA8604" i="1" s="1"/>
  <c r="AA8605" i="1" s="1"/>
  <c r="AA8606" i="1" s="1"/>
  <c r="AA8607" i="1" s="1"/>
  <c r="AA8608" i="1" s="1"/>
  <c r="AA8609" i="1" s="1"/>
  <c r="AA8610" i="1" s="1"/>
  <c r="AA8611" i="1" s="1"/>
  <c r="AA8612" i="1" s="1"/>
  <c r="AA8613" i="1" s="1"/>
  <c r="AA8614" i="1" s="1"/>
  <c r="AA8615" i="1" s="1"/>
  <c r="AA8616" i="1" s="1"/>
  <c r="AA8617" i="1" s="1"/>
  <c r="AA8618" i="1" s="1"/>
  <c r="AA8619" i="1" s="1"/>
  <c r="AA8620" i="1" s="1"/>
  <c r="AA8621" i="1" s="1"/>
  <c r="AA8622" i="1" s="1"/>
  <c r="AA8623" i="1" s="1"/>
  <c r="AA8624" i="1" s="1"/>
  <c r="AA8625" i="1" s="1"/>
  <c r="AA8626" i="1" s="1"/>
  <c r="AA8627" i="1" s="1"/>
  <c r="AA8628" i="1" s="1"/>
  <c r="AA8629" i="1" s="1"/>
  <c r="AA8630" i="1" s="1"/>
  <c r="AA8631" i="1" s="1"/>
  <c r="AA8632" i="1" s="1"/>
  <c r="AA8633" i="1" s="1"/>
  <c r="AA8634" i="1" s="1"/>
  <c r="AA8635" i="1" s="1"/>
  <c r="AA8636" i="1" s="1"/>
  <c r="AA8637" i="1" s="1"/>
  <c r="AA8638" i="1" s="1"/>
  <c r="AA8639" i="1" s="1"/>
  <c r="AA8640" i="1" s="1"/>
  <c r="AA8641" i="1" s="1"/>
  <c r="AA8642" i="1" s="1"/>
  <c r="AA8643" i="1" s="1"/>
  <c r="AA8644" i="1" s="1"/>
  <c r="AA8645" i="1" s="1"/>
  <c r="AA8646" i="1" s="1"/>
  <c r="AA8647" i="1" s="1"/>
  <c r="AA8648" i="1" s="1"/>
  <c r="AA8649" i="1" s="1"/>
  <c r="AA8650" i="1" s="1"/>
  <c r="AA8651" i="1" s="1"/>
  <c r="AA8652" i="1" s="1"/>
  <c r="AA8653" i="1" s="1"/>
  <c r="AA8654" i="1" s="1"/>
  <c r="AA8655" i="1" s="1"/>
  <c r="AA8656" i="1" s="1"/>
  <c r="AA8657" i="1" s="1"/>
  <c r="AA8658" i="1" s="1"/>
  <c r="AA8659" i="1" s="1"/>
  <c r="AA8660" i="1" s="1"/>
  <c r="AA8661" i="1" s="1"/>
  <c r="AA8662" i="1" s="1"/>
  <c r="AA8663" i="1" s="1"/>
  <c r="AA8664" i="1" s="1"/>
  <c r="AA8665" i="1" s="1"/>
  <c r="AA8666" i="1" s="1"/>
  <c r="AA8667" i="1" s="1"/>
  <c r="AA8668" i="1" s="1"/>
  <c r="AA8669" i="1" s="1"/>
  <c r="AA8670" i="1" s="1"/>
  <c r="AA8671" i="1" s="1"/>
  <c r="AA8672" i="1" s="1"/>
  <c r="AA8673" i="1" s="1"/>
  <c r="AA8674" i="1" s="1"/>
  <c r="AA8675" i="1" s="1"/>
  <c r="AA8676" i="1" s="1"/>
  <c r="AA8677" i="1" s="1"/>
  <c r="AA8678" i="1" s="1"/>
  <c r="AA8679" i="1" s="1"/>
  <c r="AA8680" i="1" s="1"/>
  <c r="AA8681" i="1" s="1"/>
  <c r="AA8682" i="1" s="1"/>
  <c r="AA8683" i="1" s="1"/>
  <c r="AA8684" i="1" s="1"/>
  <c r="AA8685" i="1" s="1"/>
  <c r="AA8686" i="1" s="1"/>
  <c r="AA8687" i="1" s="1"/>
  <c r="AA8688" i="1" s="1"/>
  <c r="AA8689" i="1" s="1"/>
  <c r="AA8690" i="1" s="1"/>
  <c r="AA8691" i="1" s="1"/>
  <c r="AA8692" i="1" s="1"/>
  <c r="AA8693" i="1" s="1"/>
  <c r="AA8694" i="1" s="1"/>
  <c r="AA8695" i="1" s="1"/>
  <c r="AA8696" i="1" s="1"/>
  <c r="AA8697" i="1" s="1"/>
  <c r="AA8698" i="1" s="1"/>
  <c r="AA8699" i="1" s="1"/>
  <c r="AA8700" i="1" s="1"/>
  <c r="AA8701" i="1" s="1"/>
  <c r="AA8702" i="1" s="1"/>
  <c r="AA8703" i="1" s="1"/>
  <c r="AA8704" i="1" s="1"/>
  <c r="AA8705" i="1" s="1"/>
  <c r="AA8706" i="1" s="1"/>
  <c r="AA8707" i="1" s="1"/>
  <c r="AA8708" i="1" s="1"/>
  <c r="AA8709" i="1" s="1"/>
  <c r="AA8710" i="1" s="1"/>
  <c r="AA8711" i="1" s="1"/>
  <c r="AA8712" i="1" s="1"/>
  <c r="AA8713" i="1" s="1"/>
  <c r="AA8714" i="1" s="1"/>
  <c r="AA8715" i="1" s="1"/>
  <c r="AA8716" i="1" s="1"/>
  <c r="AA8717" i="1" s="1"/>
  <c r="AA8718" i="1" s="1"/>
  <c r="AA8719" i="1" s="1"/>
  <c r="AA8720" i="1" s="1"/>
  <c r="AA8721" i="1" s="1"/>
  <c r="AA8722" i="1" s="1"/>
  <c r="AA8723" i="1" s="1"/>
  <c r="AA8724" i="1" s="1"/>
  <c r="AA8725" i="1" s="1"/>
  <c r="AA8726" i="1" s="1"/>
  <c r="AA8727" i="1" s="1"/>
  <c r="AA8728" i="1" s="1"/>
  <c r="AA8729" i="1" s="1"/>
  <c r="AA8730" i="1" s="1"/>
  <c r="AA8731" i="1" s="1"/>
  <c r="AA8732" i="1" s="1"/>
  <c r="AA8733" i="1" s="1"/>
  <c r="AA8734" i="1" s="1"/>
  <c r="AA8735" i="1" s="1"/>
  <c r="AA8736" i="1" s="1"/>
  <c r="AA8737" i="1" s="1"/>
  <c r="AA8738" i="1" s="1"/>
  <c r="AA8739" i="1" s="1"/>
  <c r="AA8740" i="1" s="1"/>
  <c r="AA8741" i="1" s="1"/>
  <c r="AA8742" i="1" s="1"/>
  <c r="AA8743" i="1" s="1"/>
  <c r="AA8744" i="1" s="1"/>
  <c r="AA8745" i="1" s="1"/>
  <c r="AA8746" i="1" s="1"/>
  <c r="AA8747" i="1" s="1"/>
  <c r="AA8748" i="1" s="1"/>
  <c r="AA8749" i="1" s="1"/>
  <c r="AA8750" i="1" s="1"/>
  <c r="AA8751" i="1" s="1"/>
  <c r="AA8752" i="1" s="1"/>
  <c r="AA8753" i="1" s="1"/>
  <c r="AA8754" i="1" s="1"/>
  <c r="AA8755" i="1" s="1"/>
  <c r="AA8756" i="1" s="1"/>
  <c r="AA8757" i="1" s="1"/>
  <c r="AA8758" i="1" s="1"/>
  <c r="AA8759" i="1" s="1"/>
  <c r="AA8760" i="1" s="1"/>
  <c r="AA8761" i="1" s="1"/>
  <c r="AA8762" i="1" s="1"/>
  <c r="AA8763" i="1" s="1"/>
  <c r="AA8764" i="1" s="1"/>
  <c r="AA8765" i="1" s="1"/>
  <c r="AA8766" i="1" s="1"/>
  <c r="AA8767" i="1" s="1"/>
  <c r="AA8768" i="1" s="1"/>
  <c r="AA8769" i="1" s="1"/>
  <c r="AA8770" i="1" s="1"/>
  <c r="AA8771" i="1" s="1"/>
  <c r="AA8772" i="1" s="1"/>
  <c r="AA8773" i="1" s="1"/>
  <c r="AA8774" i="1" s="1"/>
  <c r="AA8775" i="1" s="1"/>
  <c r="AA8776" i="1" s="1"/>
  <c r="AA8777" i="1" s="1"/>
  <c r="AA8778" i="1" s="1"/>
  <c r="AA8779" i="1" s="1"/>
  <c r="AA8780" i="1" s="1"/>
  <c r="AA8781" i="1" s="1"/>
  <c r="AA8782" i="1" s="1"/>
  <c r="AA8783" i="1" s="1"/>
  <c r="AA8784" i="1" s="1"/>
  <c r="AA8785" i="1" s="1"/>
  <c r="AA8786" i="1" s="1"/>
  <c r="AA8787" i="1" s="1"/>
  <c r="AA8788" i="1" s="1"/>
  <c r="AA8789" i="1" s="1"/>
  <c r="AA8790" i="1" s="1"/>
  <c r="AA8791" i="1" s="1"/>
  <c r="AA8792" i="1" s="1"/>
  <c r="AA8793" i="1" s="1"/>
  <c r="AA8794" i="1" s="1"/>
  <c r="AA8795" i="1" s="1"/>
  <c r="AA8796" i="1" s="1"/>
  <c r="AA8797" i="1" s="1"/>
  <c r="AA8798" i="1" s="1"/>
  <c r="AA8799" i="1" s="1"/>
  <c r="AA8800" i="1" s="1"/>
  <c r="AA8801" i="1" s="1"/>
  <c r="AA8802" i="1" s="1"/>
  <c r="AA8803" i="1" s="1"/>
  <c r="AA8804" i="1" s="1"/>
  <c r="AA8805" i="1" s="1"/>
  <c r="AA8806" i="1" s="1"/>
  <c r="AA8807" i="1" s="1"/>
  <c r="AA8808" i="1" s="1"/>
  <c r="AA8809" i="1" s="1"/>
  <c r="AA8810" i="1" s="1"/>
  <c r="AA8811" i="1" s="1"/>
  <c r="AA8812" i="1" s="1"/>
  <c r="AA8813" i="1" s="1"/>
  <c r="AA8814" i="1" s="1"/>
  <c r="AA8815" i="1" s="1"/>
  <c r="AA8816" i="1" s="1"/>
  <c r="AA8817" i="1" s="1"/>
  <c r="AA8818" i="1" s="1"/>
  <c r="AA8819" i="1" s="1"/>
  <c r="AA8820" i="1" s="1"/>
  <c r="AA8821" i="1" s="1"/>
  <c r="AA8822" i="1" s="1"/>
  <c r="AA8823" i="1" s="1"/>
  <c r="AA8824" i="1" s="1"/>
  <c r="AA8825" i="1" s="1"/>
  <c r="AA8826" i="1" s="1"/>
  <c r="AA8827" i="1" s="1"/>
  <c r="AA8828" i="1" s="1"/>
  <c r="AA8829" i="1" s="1"/>
  <c r="AA8830" i="1" s="1"/>
  <c r="AA8831" i="1" s="1"/>
  <c r="AA8832" i="1" s="1"/>
  <c r="AA8833" i="1" s="1"/>
  <c r="AA8834" i="1" s="1"/>
  <c r="AA8835" i="1" s="1"/>
  <c r="AA8836" i="1" s="1"/>
  <c r="AA8837" i="1" s="1"/>
  <c r="AA8838" i="1" s="1"/>
  <c r="AA8839" i="1" s="1"/>
  <c r="AA8840" i="1" s="1"/>
  <c r="AA8841" i="1" s="1"/>
  <c r="AA8842" i="1" s="1"/>
  <c r="AA8843" i="1" s="1"/>
  <c r="AA8844" i="1" s="1"/>
  <c r="AA8845" i="1" s="1"/>
  <c r="AA8846" i="1" s="1"/>
  <c r="AA8847" i="1" s="1"/>
  <c r="AA8848" i="1" s="1"/>
  <c r="AA8849" i="1" s="1"/>
  <c r="AA8850" i="1" s="1"/>
  <c r="AA8851" i="1" s="1"/>
  <c r="AA8852" i="1" s="1"/>
  <c r="AA8853" i="1" s="1"/>
  <c r="AA8854" i="1" s="1"/>
  <c r="AA8855" i="1" s="1"/>
  <c r="AA8856" i="1" s="1"/>
  <c r="AA8857" i="1" s="1"/>
  <c r="AA8858" i="1" s="1"/>
  <c r="AA8859" i="1" s="1"/>
  <c r="AA8860" i="1" s="1"/>
  <c r="AA8861" i="1" s="1"/>
  <c r="AA8862" i="1" s="1"/>
  <c r="AA8863" i="1" s="1"/>
  <c r="AA8864" i="1" s="1"/>
  <c r="AA8865" i="1" s="1"/>
  <c r="AA8866" i="1" s="1"/>
  <c r="AA8867" i="1" s="1"/>
  <c r="AA8868" i="1" s="1"/>
  <c r="AA8869" i="1" s="1"/>
  <c r="AA8870" i="1" s="1"/>
  <c r="AA8871" i="1" s="1"/>
  <c r="AA8872" i="1" s="1"/>
  <c r="AA8873" i="1" s="1"/>
  <c r="AA8874" i="1" s="1"/>
  <c r="AA8875" i="1" s="1"/>
  <c r="AA8876" i="1" s="1"/>
  <c r="AA8877" i="1" s="1"/>
  <c r="AA8878" i="1" s="1"/>
  <c r="AA8879" i="1" s="1"/>
  <c r="AA8880" i="1" s="1"/>
  <c r="AA8881" i="1" s="1"/>
  <c r="AA8882" i="1" s="1"/>
  <c r="AA8883" i="1" s="1"/>
  <c r="AA8884" i="1" s="1"/>
  <c r="AA8885" i="1" s="1"/>
  <c r="AA8886" i="1" s="1"/>
  <c r="AA8887" i="1" s="1"/>
  <c r="AA8888" i="1" s="1"/>
  <c r="AA8889" i="1" s="1"/>
  <c r="AA8890" i="1" s="1"/>
  <c r="AA8891" i="1" s="1"/>
  <c r="AA8892" i="1" s="1"/>
  <c r="AA8893" i="1" s="1"/>
  <c r="AA8894" i="1" s="1"/>
  <c r="AA8895" i="1" s="1"/>
  <c r="AA8896" i="1" s="1"/>
  <c r="AA8897" i="1" s="1"/>
  <c r="AA8898" i="1" s="1"/>
  <c r="AA8899" i="1" s="1"/>
  <c r="AA8900" i="1" s="1"/>
  <c r="AA8901" i="1" s="1"/>
  <c r="AA8902" i="1" s="1"/>
  <c r="AA8903" i="1" s="1"/>
  <c r="AA8904" i="1" s="1"/>
  <c r="AA8905" i="1" s="1"/>
  <c r="AA8906" i="1" s="1"/>
  <c r="AA8907" i="1" s="1"/>
  <c r="AA8908" i="1" s="1"/>
  <c r="AA8909" i="1" s="1"/>
  <c r="AA8910" i="1" s="1"/>
  <c r="AA8911" i="1" s="1"/>
  <c r="AA8912" i="1" s="1"/>
  <c r="AA8913" i="1" s="1"/>
  <c r="AA8914" i="1" s="1"/>
  <c r="AA8915" i="1" s="1"/>
  <c r="AA8916" i="1" s="1"/>
  <c r="AA8917" i="1" s="1"/>
  <c r="AA8918" i="1" s="1"/>
  <c r="AA8919" i="1" s="1"/>
  <c r="AA8920" i="1" s="1"/>
  <c r="AA8921" i="1" s="1"/>
  <c r="AA8922" i="1" s="1"/>
  <c r="AA8923" i="1" s="1"/>
  <c r="AA8924" i="1" s="1"/>
  <c r="AA8925" i="1" s="1"/>
  <c r="AA8926" i="1" s="1"/>
  <c r="AA8927" i="1" s="1"/>
  <c r="AA8928" i="1" s="1"/>
  <c r="AA8929" i="1" s="1"/>
  <c r="AA8930" i="1" s="1"/>
  <c r="AA8931" i="1" s="1"/>
  <c r="AA8932" i="1" s="1"/>
  <c r="AA8933" i="1" s="1"/>
  <c r="AA8934" i="1" s="1"/>
  <c r="AA8935" i="1" s="1"/>
  <c r="AA8936" i="1" s="1"/>
  <c r="AA8937" i="1" s="1"/>
  <c r="AA8938" i="1" s="1"/>
  <c r="AA8939" i="1" s="1"/>
  <c r="AA8940" i="1" s="1"/>
  <c r="AA8941" i="1" s="1"/>
  <c r="AA8942" i="1" s="1"/>
  <c r="AA8943" i="1" s="1"/>
  <c r="AA8944" i="1" s="1"/>
  <c r="AA8945" i="1" s="1"/>
  <c r="AA8946" i="1" s="1"/>
  <c r="AA8947" i="1" s="1"/>
  <c r="AA8948" i="1" s="1"/>
  <c r="AA8949" i="1" s="1"/>
  <c r="AA8950" i="1" s="1"/>
  <c r="AA8951" i="1" s="1"/>
  <c r="AA8952" i="1" s="1"/>
  <c r="AA8953" i="1" s="1"/>
  <c r="AA8954" i="1" s="1"/>
  <c r="AA8955" i="1" s="1"/>
  <c r="AA8956" i="1" s="1"/>
  <c r="AA8957" i="1" s="1"/>
  <c r="AA8958" i="1" s="1"/>
  <c r="AA8959" i="1" s="1"/>
  <c r="AA8960" i="1" s="1"/>
  <c r="AA8961" i="1" s="1"/>
  <c r="AA8962" i="1" s="1"/>
  <c r="AA8963" i="1" s="1"/>
  <c r="AA8964" i="1" s="1"/>
  <c r="AA8965" i="1" s="1"/>
  <c r="AA8966" i="1" s="1"/>
  <c r="AA8967" i="1" s="1"/>
  <c r="AA8968" i="1" s="1"/>
  <c r="AA8969" i="1" s="1"/>
  <c r="AA8970" i="1" s="1"/>
  <c r="AA8971" i="1" s="1"/>
  <c r="AA8972" i="1" s="1"/>
  <c r="AA8973" i="1" s="1"/>
  <c r="AA8974" i="1" s="1"/>
  <c r="AA8975" i="1" s="1"/>
  <c r="AA8976" i="1" s="1"/>
  <c r="AA8977" i="1" s="1"/>
  <c r="AA8978" i="1" s="1"/>
  <c r="AA8979" i="1" s="1"/>
  <c r="AA8980" i="1" s="1"/>
  <c r="AA8981" i="1" s="1"/>
  <c r="AA8982" i="1" s="1"/>
  <c r="AA8983" i="1" s="1"/>
  <c r="AA8984" i="1" s="1"/>
  <c r="AA8985" i="1" s="1"/>
  <c r="AA8986" i="1" s="1"/>
  <c r="AA8987" i="1" s="1"/>
  <c r="AA8988" i="1" s="1"/>
  <c r="AA8989" i="1" s="1"/>
  <c r="AA8990" i="1" s="1"/>
  <c r="AA8991" i="1" s="1"/>
  <c r="AA8992" i="1" s="1"/>
  <c r="AA8993" i="1" s="1"/>
  <c r="AA8994" i="1" s="1"/>
  <c r="AA8995" i="1" s="1"/>
  <c r="AA8996" i="1" s="1"/>
  <c r="AA8997" i="1" s="1"/>
  <c r="AA8998" i="1" s="1"/>
  <c r="AA8999" i="1" s="1"/>
  <c r="AA9000" i="1" s="1"/>
  <c r="AA9001" i="1" s="1"/>
  <c r="AA9002" i="1" s="1"/>
  <c r="AA9003" i="1" s="1"/>
  <c r="AA9004" i="1" s="1"/>
  <c r="AA9005" i="1" s="1"/>
  <c r="AA9006" i="1" s="1"/>
  <c r="AA9007" i="1" s="1"/>
  <c r="AA9008" i="1" s="1"/>
  <c r="AA9009" i="1" s="1"/>
  <c r="AA9010" i="1" s="1"/>
  <c r="AA9011" i="1" s="1"/>
  <c r="AA9012" i="1" s="1"/>
  <c r="AA9013" i="1" s="1"/>
  <c r="AA9014" i="1" s="1"/>
  <c r="AA9015" i="1" s="1"/>
  <c r="AA9016" i="1" s="1"/>
  <c r="AA9017" i="1" s="1"/>
  <c r="AA9018" i="1" s="1"/>
  <c r="AA9019" i="1" s="1"/>
  <c r="AA9020" i="1" s="1"/>
  <c r="AA9021" i="1" s="1"/>
  <c r="AA9022" i="1" s="1"/>
  <c r="AA9023" i="1" s="1"/>
  <c r="AA9024" i="1" s="1"/>
  <c r="AA9025" i="1" s="1"/>
  <c r="AA9026" i="1" s="1"/>
  <c r="AA9027" i="1" s="1"/>
  <c r="AA9028" i="1" s="1"/>
  <c r="AA9029" i="1" s="1"/>
  <c r="AA9030" i="1" s="1"/>
  <c r="AA9031" i="1" s="1"/>
  <c r="AA9032" i="1" s="1"/>
  <c r="AA9033" i="1" s="1"/>
  <c r="AA9034" i="1" s="1"/>
  <c r="AA9035" i="1" s="1"/>
  <c r="AA9036" i="1" s="1"/>
  <c r="AA9037" i="1" s="1"/>
  <c r="AA9038" i="1" s="1"/>
  <c r="AA9039" i="1" s="1"/>
  <c r="AA9040" i="1" s="1"/>
  <c r="AA9041" i="1" s="1"/>
  <c r="AA9042" i="1" s="1"/>
  <c r="AA9043" i="1" s="1"/>
  <c r="AA9044" i="1" s="1"/>
  <c r="AA9045" i="1" s="1"/>
  <c r="AA9046" i="1" s="1"/>
  <c r="AA9047" i="1" s="1"/>
  <c r="AA9048" i="1" s="1"/>
  <c r="AA9049" i="1" s="1"/>
  <c r="AA9050" i="1" s="1"/>
  <c r="AA9051" i="1" s="1"/>
  <c r="AA9052" i="1" s="1"/>
  <c r="AA9053" i="1" s="1"/>
  <c r="AA9054" i="1" s="1"/>
  <c r="AA9055" i="1" s="1"/>
  <c r="AA9056" i="1" s="1"/>
  <c r="AA9057" i="1" s="1"/>
  <c r="AA9058" i="1" s="1"/>
  <c r="AA9059" i="1" s="1"/>
  <c r="AA9060" i="1" s="1"/>
  <c r="AA9061" i="1" s="1"/>
  <c r="AA9062" i="1" s="1"/>
  <c r="AA9063" i="1" s="1"/>
  <c r="AA9064" i="1" s="1"/>
  <c r="AA9065" i="1" s="1"/>
  <c r="AA9066" i="1" s="1"/>
  <c r="AA9067" i="1" s="1"/>
  <c r="AA9068" i="1" s="1"/>
  <c r="AA9069" i="1" s="1"/>
  <c r="AA9070" i="1" s="1"/>
  <c r="AA9071" i="1" s="1"/>
  <c r="AA9072" i="1" s="1"/>
  <c r="AA9073" i="1" s="1"/>
  <c r="AA9074" i="1" s="1"/>
  <c r="AA9075" i="1" s="1"/>
  <c r="AA9076" i="1" s="1"/>
  <c r="AA9077" i="1" s="1"/>
  <c r="AA9078" i="1" s="1"/>
  <c r="AA9079" i="1" s="1"/>
  <c r="AA9080" i="1" s="1"/>
  <c r="AA9081" i="1" s="1"/>
  <c r="AA9082" i="1" s="1"/>
  <c r="AA9083" i="1" s="1"/>
  <c r="AA9084" i="1" s="1"/>
  <c r="AA9085" i="1" s="1"/>
  <c r="AA9086" i="1" s="1"/>
  <c r="AA9087" i="1" s="1"/>
  <c r="AA9088" i="1" s="1"/>
  <c r="AA9089" i="1" s="1"/>
  <c r="AA9090" i="1" s="1"/>
  <c r="AA9091" i="1" s="1"/>
  <c r="AA9092" i="1" s="1"/>
  <c r="AA9093" i="1" s="1"/>
  <c r="AA9094" i="1" s="1"/>
  <c r="AA9095" i="1" s="1"/>
  <c r="AA9096" i="1" s="1"/>
  <c r="AA9097" i="1" s="1"/>
  <c r="AA9098" i="1" s="1"/>
  <c r="AA9099" i="1" s="1"/>
  <c r="AA9100" i="1" s="1"/>
  <c r="AA9101" i="1" s="1"/>
  <c r="AA9102" i="1" s="1"/>
  <c r="AA9103" i="1" s="1"/>
  <c r="AA9104" i="1" s="1"/>
  <c r="AA9105" i="1" s="1"/>
  <c r="AA9106" i="1" s="1"/>
  <c r="AA9107" i="1" s="1"/>
  <c r="AA9108" i="1" s="1"/>
  <c r="AA9109" i="1" s="1"/>
  <c r="AA9110" i="1" s="1"/>
  <c r="AA9111" i="1" s="1"/>
  <c r="AA9112" i="1" s="1"/>
  <c r="AA9113" i="1" s="1"/>
  <c r="AA9114" i="1" s="1"/>
  <c r="AA9115" i="1" s="1"/>
  <c r="AA9116" i="1" s="1"/>
  <c r="AA9117" i="1" s="1"/>
  <c r="AA9118" i="1" s="1"/>
  <c r="AA9119" i="1" s="1"/>
  <c r="AA9120" i="1" s="1"/>
  <c r="AA9121" i="1" s="1"/>
  <c r="AA9122" i="1" s="1"/>
  <c r="AA9123" i="1" s="1"/>
  <c r="AA9124" i="1" s="1"/>
  <c r="AA9125" i="1" s="1"/>
  <c r="AA9126" i="1" s="1"/>
  <c r="AA9127" i="1" s="1"/>
  <c r="AA9128" i="1" s="1"/>
  <c r="AA9129" i="1" s="1"/>
  <c r="AA9130" i="1" s="1"/>
  <c r="AA9131" i="1" s="1"/>
  <c r="AA9132" i="1" s="1"/>
  <c r="AA9133" i="1" s="1"/>
  <c r="AA9134" i="1" s="1"/>
  <c r="AA9135" i="1" s="1"/>
  <c r="AA9136" i="1" s="1"/>
  <c r="AA9137" i="1" s="1"/>
  <c r="AA9138" i="1" s="1"/>
  <c r="AA9139" i="1" s="1"/>
  <c r="AA9140" i="1" s="1"/>
  <c r="AA9141" i="1" s="1"/>
  <c r="AA9142" i="1" s="1"/>
  <c r="AA9143" i="1" s="1"/>
  <c r="AA9144" i="1" s="1"/>
  <c r="AA9145" i="1" s="1"/>
  <c r="AA9146" i="1" s="1"/>
  <c r="AA9147" i="1" s="1"/>
  <c r="AA9148" i="1" s="1"/>
  <c r="AA9149" i="1" s="1"/>
  <c r="AA9150" i="1" s="1"/>
  <c r="AA9151" i="1" s="1"/>
  <c r="AA9152" i="1" s="1"/>
  <c r="AA9153" i="1" s="1"/>
  <c r="AA9154" i="1" s="1"/>
  <c r="AA9155" i="1" s="1"/>
  <c r="AA9156" i="1" s="1"/>
  <c r="AA9157" i="1" s="1"/>
  <c r="AA9158" i="1" s="1"/>
  <c r="AA9159" i="1" s="1"/>
  <c r="AA9160" i="1" s="1"/>
  <c r="AA9161" i="1" s="1"/>
  <c r="AA9162" i="1" s="1"/>
  <c r="AA9163" i="1" s="1"/>
  <c r="AA9164" i="1" s="1"/>
  <c r="AA9165" i="1" s="1"/>
  <c r="AA9166" i="1" s="1"/>
  <c r="AA9167" i="1" s="1"/>
  <c r="AA9168" i="1" s="1"/>
  <c r="AA9169" i="1" s="1"/>
  <c r="AA9170" i="1" s="1"/>
  <c r="AA9171" i="1" s="1"/>
  <c r="AA9172" i="1" s="1"/>
  <c r="AA9173" i="1" s="1"/>
  <c r="AA9174" i="1" s="1"/>
  <c r="AA9175" i="1" s="1"/>
  <c r="AA9176" i="1" s="1"/>
  <c r="AA9177" i="1" s="1"/>
  <c r="AA9178" i="1" s="1"/>
  <c r="AA9179" i="1" s="1"/>
  <c r="AA9180" i="1" s="1"/>
  <c r="AA9181" i="1" s="1"/>
  <c r="AA9182" i="1" s="1"/>
  <c r="AA9183" i="1" s="1"/>
  <c r="AA9184" i="1" s="1"/>
  <c r="AA9185" i="1" s="1"/>
  <c r="AA9186" i="1" s="1"/>
  <c r="AA9187" i="1" s="1"/>
  <c r="AA9188" i="1" s="1"/>
  <c r="AA9189" i="1" s="1"/>
  <c r="AA9190" i="1" s="1"/>
  <c r="AA9191" i="1" s="1"/>
  <c r="AA9192" i="1" s="1"/>
  <c r="AA9193" i="1" s="1"/>
  <c r="AA9194" i="1" s="1"/>
  <c r="AA9195" i="1" s="1"/>
  <c r="AA9196" i="1" s="1"/>
  <c r="AA9197" i="1" s="1"/>
  <c r="AA9198" i="1" s="1"/>
  <c r="AA9199" i="1" s="1"/>
  <c r="AA9200" i="1" s="1"/>
  <c r="AA9201" i="1" s="1"/>
  <c r="AA9202" i="1" s="1"/>
  <c r="AA9203" i="1" s="1"/>
  <c r="AA9204" i="1" s="1"/>
  <c r="AA9205" i="1" s="1"/>
  <c r="AA9206" i="1" s="1"/>
  <c r="AA9207" i="1" s="1"/>
  <c r="AA9208" i="1" s="1"/>
  <c r="AA9209" i="1" s="1"/>
  <c r="AA9210" i="1" s="1"/>
  <c r="AA9211" i="1" s="1"/>
  <c r="AA9212" i="1" s="1"/>
  <c r="AA9213" i="1" s="1"/>
  <c r="AA9214" i="1" s="1"/>
  <c r="AA9215" i="1" s="1"/>
  <c r="AA9216" i="1" s="1"/>
  <c r="AA9217" i="1" s="1"/>
  <c r="AA9218" i="1" s="1"/>
  <c r="AA9219" i="1" s="1"/>
  <c r="AA9220" i="1" s="1"/>
  <c r="AA9221" i="1" s="1"/>
  <c r="AA9222" i="1" s="1"/>
  <c r="AA9223" i="1" s="1"/>
  <c r="AA9224" i="1" s="1"/>
  <c r="AA9225" i="1" s="1"/>
  <c r="AA9226" i="1" s="1"/>
  <c r="AA9227" i="1" s="1"/>
  <c r="AA9228" i="1" s="1"/>
  <c r="AA9229" i="1" s="1"/>
  <c r="AA9230" i="1" s="1"/>
  <c r="AA9231" i="1" s="1"/>
  <c r="AA9232" i="1" s="1"/>
  <c r="AA9233" i="1" s="1"/>
  <c r="AA9234" i="1" s="1"/>
  <c r="AA9235" i="1" s="1"/>
  <c r="AA9236" i="1" s="1"/>
  <c r="AA9237" i="1" s="1"/>
  <c r="AA9238" i="1" s="1"/>
  <c r="AA9239" i="1" s="1"/>
  <c r="AA9240" i="1" s="1"/>
  <c r="AA9241" i="1" s="1"/>
  <c r="AA9242" i="1" s="1"/>
  <c r="AA9243" i="1" s="1"/>
  <c r="AA9244" i="1" s="1"/>
  <c r="AA9245" i="1" s="1"/>
  <c r="AA9246" i="1" s="1"/>
  <c r="AA9247" i="1" s="1"/>
  <c r="AA9248" i="1" s="1"/>
  <c r="AA9249" i="1" s="1"/>
  <c r="AA9250" i="1" s="1"/>
  <c r="AA9251" i="1" s="1"/>
  <c r="AA9252" i="1" s="1"/>
  <c r="AA9253" i="1" s="1"/>
  <c r="AA9254" i="1" s="1"/>
  <c r="AA9255" i="1" s="1"/>
  <c r="AA9256" i="1" s="1"/>
  <c r="AA9257" i="1" s="1"/>
  <c r="AA9258" i="1" s="1"/>
  <c r="AA9259" i="1" s="1"/>
  <c r="AA9260" i="1" s="1"/>
  <c r="AA9261" i="1" s="1"/>
  <c r="AA9262" i="1" s="1"/>
  <c r="AA9263" i="1" s="1"/>
  <c r="AA9264" i="1" s="1"/>
  <c r="AA9265" i="1" s="1"/>
  <c r="AA9266" i="1" s="1"/>
  <c r="AA9267" i="1" s="1"/>
  <c r="AA9268" i="1" s="1"/>
  <c r="AA9269" i="1" s="1"/>
  <c r="AA9270" i="1" s="1"/>
  <c r="AA9271" i="1" s="1"/>
  <c r="AA9272" i="1" s="1"/>
  <c r="AA9273" i="1" s="1"/>
  <c r="AA9274" i="1" s="1"/>
  <c r="AA9275" i="1" s="1"/>
  <c r="AA9276" i="1" s="1"/>
  <c r="AA9277" i="1" s="1"/>
  <c r="AA9278" i="1" s="1"/>
  <c r="AA9279" i="1" s="1"/>
  <c r="AA9280" i="1" s="1"/>
  <c r="AA9281" i="1" s="1"/>
  <c r="AA9282" i="1" s="1"/>
  <c r="AA9283" i="1" s="1"/>
  <c r="AA9284" i="1" s="1"/>
  <c r="AA9285" i="1" s="1"/>
  <c r="AA9286" i="1" s="1"/>
  <c r="AA9287" i="1" s="1"/>
  <c r="AA9288" i="1" s="1"/>
  <c r="AA9289" i="1" s="1"/>
  <c r="AA9290" i="1" s="1"/>
  <c r="AA9291" i="1" s="1"/>
  <c r="AA9292" i="1" s="1"/>
  <c r="AA9293" i="1" s="1"/>
  <c r="AA9294" i="1" s="1"/>
  <c r="AA9295" i="1" s="1"/>
  <c r="AA9296" i="1" s="1"/>
  <c r="AA9297" i="1" s="1"/>
  <c r="AA9298" i="1" s="1"/>
  <c r="AA9299" i="1" s="1"/>
  <c r="AA9300" i="1" s="1"/>
  <c r="AA9301" i="1" s="1"/>
  <c r="AA9302" i="1" s="1"/>
  <c r="AA9303" i="1" s="1"/>
  <c r="AA9304" i="1" s="1"/>
  <c r="AA9305" i="1" s="1"/>
  <c r="AA9306" i="1" s="1"/>
  <c r="AA9307" i="1" s="1"/>
  <c r="AA9308" i="1" s="1"/>
  <c r="AA9309" i="1" s="1"/>
  <c r="AA9310" i="1" s="1"/>
  <c r="AA9311" i="1" s="1"/>
  <c r="AA9312" i="1" s="1"/>
  <c r="AA9313" i="1" s="1"/>
  <c r="AA9314" i="1" s="1"/>
  <c r="AA9315" i="1" s="1"/>
  <c r="AA9316" i="1" s="1"/>
  <c r="AA9317" i="1" s="1"/>
  <c r="AA9318" i="1" s="1"/>
  <c r="AA9319" i="1" s="1"/>
  <c r="AA9320" i="1" s="1"/>
  <c r="AA9321" i="1" s="1"/>
  <c r="AA9322" i="1" s="1"/>
  <c r="AA9323" i="1" s="1"/>
  <c r="AA9324" i="1" s="1"/>
  <c r="AA9325" i="1" s="1"/>
  <c r="AA9326" i="1" s="1"/>
  <c r="AA9327" i="1" s="1"/>
  <c r="AA9328" i="1" s="1"/>
  <c r="AA9329" i="1" s="1"/>
  <c r="AA9330" i="1" s="1"/>
  <c r="AA9331" i="1" s="1"/>
  <c r="AA9332" i="1" s="1"/>
  <c r="AA9333" i="1" s="1"/>
  <c r="AA9334" i="1" s="1"/>
  <c r="AA9335" i="1" s="1"/>
  <c r="AA9336" i="1" s="1"/>
  <c r="AA9337" i="1" s="1"/>
  <c r="AA9338" i="1" s="1"/>
  <c r="AA9339" i="1" s="1"/>
  <c r="AA9340" i="1" s="1"/>
  <c r="AA9341" i="1" s="1"/>
  <c r="AA9342" i="1" s="1"/>
  <c r="AA9343" i="1" s="1"/>
  <c r="AA9344" i="1" s="1"/>
  <c r="AA9345" i="1" s="1"/>
  <c r="AA9346" i="1" s="1"/>
  <c r="AA9347" i="1" s="1"/>
  <c r="AA9348" i="1" s="1"/>
  <c r="AA9349" i="1" s="1"/>
  <c r="AA9350" i="1" s="1"/>
  <c r="AA9351" i="1" s="1"/>
  <c r="AA9352" i="1" s="1"/>
  <c r="AA9353" i="1" s="1"/>
  <c r="AA9354" i="1" s="1"/>
  <c r="AA9355" i="1" s="1"/>
  <c r="AA9356" i="1" s="1"/>
  <c r="AA9357" i="1" s="1"/>
  <c r="AA9358" i="1" s="1"/>
  <c r="AA9359" i="1" s="1"/>
  <c r="AA9360" i="1" s="1"/>
  <c r="AA9361" i="1" s="1"/>
  <c r="AA9362" i="1" s="1"/>
  <c r="AA9363" i="1" s="1"/>
  <c r="AA9364" i="1" s="1"/>
  <c r="AA9365" i="1" s="1"/>
  <c r="AA9366" i="1" s="1"/>
  <c r="AA9367" i="1" s="1"/>
  <c r="AA9368" i="1" s="1"/>
  <c r="AA9369" i="1" s="1"/>
  <c r="AA9370" i="1" s="1"/>
  <c r="AA9371" i="1" s="1"/>
  <c r="AA9372" i="1" s="1"/>
  <c r="AA9373" i="1" s="1"/>
  <c r="AA9374" i="1" s="1"/>
  <c r="AA9375" i="1" s="1"/>
  <c r="AA9376" i="1" s="1"/>
  <c r="AA9377" i="1" s="1"/>
  <c r="AA9378" i="1" s="1"/>
  <c r="AA9379" i="1" s="1"/>
  <c r="AA9380" i="1" s="1"/>
  <c r="AA9381" i="1" s="1"/>
  <c r="AA9382" i="1" s="1"/>
  <c r="AA9383" i="1" s="1"/>
  <c r="AA9384" i="1" s="1"/>
  <c r="AA9385" i="1" s="1"/>
  <c r="AA9386" i="1" s="1"/>
  <c r="AA9387" i="1" s="1"/>
  <c r="AA9388" i="1" s="1"/>
  <c r="AA9389" i="1" s="1"/>
  <c r="AA9390" i="1" s="1"/>
  <c r="AA9391" i="1" s="1"/>
  <c r="AA9392" i="1" s="1"/>
  <c r="AA9393" i="1" s="1"/>
  <c r="AA9394" i="1" s="1"/>
  <c r="AA9395" i="1" s="1"/>
  <c r="AA9396" i="1" s="1"/>
  <c r="AA9397" i="1" s="1"/>
  <c r="AA9398" i="1" s="1"/>
  <c r="AA9399" i="1" s="1"/>
  <c r="AA9400" i="1" s="1"/>
  <c r="AA9401" i="1" s="1"/>
  <c r="AA9402" i="1" s="1"/>
  <c r="AA9403" i="1" s="1"/>
  <c r="AA9404" i="1" s="1"/>
  <c r="AA9405" i="1" s="1"/>
  <c r="AA9406" i="1" s="1"/>
  <c r="AA9407" i="1" s="1"/>
  <c r="AA9408" i="1" s="1"/>
  <c r="AA9409" i="1" s="1"/>
  <c r="AA9410" i="1" s="1"/>
  <c r="AA9411" i="1" s="1"/>
  <c r="AA9412" i="1" s="1"/>
  <c r="AA9413" i="1" s="1"/>
  <c r="AA9414" i="1" s="1"/>
  <c r="AA9415" i="1" s="1"/>
  <c r="AA9416" i="1" s="1"/>
  <c r="AA9417" i="1" s="1"/>
  <c r="AA9418" i="1" s="1"/>
  <c r="AA9419" i="1" s="1"/>
  <c r="AA9420" i="1" s="1"/>
  <c r="AA9421" i="1" s="1"/>
  <c r="AA9422" i="1" s="1"/>
  <c r="AA9423" i="1" s="1"/>
  <c r="AA9424" i="1" s="1"/>
  <c r="AA9425" i="1" s="1"/>
  <c r="AA9426" i="1" s="1"/>
  <c r="AA9427" i="1" s="1"/>
  <c r="AA9428" i="1" s="1"/>
  <c r="AA9429" i="1" s="1"/>
  <c r="AA9430" i="1" s="1"/>
  <c r="AA9431" i="1" s="1"/>
  <c r="AA9432" i="1" s="1"/>
  <c r="AA9433" i="1" s="1"/>
  <c r="AA9434" i="1" s="1"/>
  <c r="AA9435" i="1" s="1"/>
  <c r="AA9436" i="1" s="1"/>
  <c r="AA9437" i="1" s="1"/>
  <c r="AA9438" i="1" s="1"/>
  <c r="AA9439" i="1" s="1"/>
  <c r="AA9440" i="1" s="1"/>
  <c r="AA9441" i="1" s="1"/>
  <c r="AA9442" i="1" s="1"/>
  <c r="AA9443" i="1" s="1"/>
  <c r="AA9444" i="1" s="1"/>
  <c r="AA9445" i="1" s="1"/>
  <c r="AA9446" i="1" s="1"/>
  <c r="AA9447" i="1" s="1"/>
  <c r="AA9448" i="1" s="1"/>
  <c r="AA9449" i="1" s="1"/>
  <c r="AA9450" i="1" s="1"/>
  <c r="AA9451" i="1" s="1"/>
  <c r="AA9452" i="1" s="1"/>
  <c r="AA9453" i="1" s="1"/>
  <c r="AA9454" i="1" s="1"/>
  <c r="AA9455" i="1" s="1"/>
  <c r="AA9456" i="1" s="1"/>
  <c r="AA9457" i="1" s="1"/>
  <c r="AA9458" i="1" s="1"/>
  <c r="AA9459" i="1" s="1"/>
  <c r="AA9460" i="1" s="1"/>
  <c r="AA9461" i="1" s="1"/>
  <c r="AA9462" i="1" s="1"/>
  <c r="AA9463" i="1" s="1"/>
  <c r="AA9464" i="1" s="1"/>
  <c r="AA9465" i="1" s="1"/>
  <c r="AA9466" i="1" s="1"/>
  <c r="AA9467" i="1" s="1"/>
  <c r="AA9468" i="1" s="1"/>
  <c r="AA9469" i="1" s="1"/>
  <c r="AA9470" i="1" s="1"/>
  <c r="AA9471" i="1" s="1"/>
  <c r="AA9472" i="1" s="1"/>
  <c r="AA9473" i="1" s="1"/>
  <c r="AA9474" i="1" s="1"/>
  <c r="AA9475" i="1" s="1"/>
  <c r="AA9476" i="1" s="1"/>
  <c r="AA9477" i="1" s="1"/>
  <c r="AA9478" i="1" s="1"/>
  <c r="AA9479" i="1" s="1"/>
  <c r="AA9480" i="1" s="1"/>
  <c r="AA9481" i="1" s="1"/>
  <c r="AA9482" i="1" s="1"/>
  <c r="AA9483" i="1" s="1"/>
  <c r="AA9484" i="1" s="1"/>
  <c r="AA9485" i="1" s="1"/>
  <c r="AA9486" i="1" s="1"/>
  <c r="AA9487" i="1" s="1"/>
  <c r="AA9488" i="1" s="1"/>
  <c r="AA9489" i="1" s="1"/>
  <c r="AA9490" i="1" s="1"/>
  <c r="AA9491" i="1" s="1"/>
  <c r="AA9492" i="1" s="1"/>
  <c r="AA9493" i="1" s="1"/>
  <c r="AA9494" i="1" s="1"/>
  <c r="AA9495" i="1" s="1"/>
  <c r="AA9496" i="1" s="1"/>
  <c r="AA9497" i="1" s="1"/>
  <c r="AA9498" i="1" s="1"/>
  <c r="AA9499" i="1" s="1"/>
  <c r="AA9500" i="1" s="1"/>
  <c r="AA9501" i="1" s="1"/>
  <c r="AA9502" i="1" s="1"/>
  <c r="AA9503" i="1" s="1"/>
  <c r="AA9504" i="1" s="1"/>
  <c r="AA9505" i="1" s="1"/>
  <c r="AA9506" i="1" s="1"/>
  <c r="AA9507" i="1" s="1"/>
  <c r="AA9508" i="1" s="1"/>
  <c r="AA9509" i="1" s="1"/>
  <c r="AA9510" i="1" s="1"/>
  <c r="AA9511" i="1" s="1"/>
  <c r="AA9512" i="1" s="1"/>
  <c r="AA9513" i="1" s="1"/>
  <c r="AA9514" i="1" s="1"/>
  <c r="AA9515" i="1" s="1"/>
  <c r="AA9516" i="1" s="1"/>
  <c r="AA9517" i="1" s="1"/>
  <c r="AA9518" i="1" s="1"/>
  <c r="AA9519" i="1" s="1"/>
  <c r="AA9520" i="1" s="1"/>
  <c r="AA9521" i="1" s="1"/>
  <c r="AA9522" i="1" s="1"/>
  <c r="AA9523" i="1" s="1"/>
  <c r="AA9524" i="1" s="1"/>
  <c r="AA9525" i="1" s="1"/>
  <c r="AA9526" i="1" s="1"/>
  <c r="AA9527" i="1" s="1"/>
  <c r="AA9528" i="1" s="1"/>
  <c r="AA9529" i="1" s="1"/>
  <c r="AA9530" i="1" s="1"/>
  <c r="AA9531" i="1" s="1"/>
  <c r="AA9532" i="1" s="1"/>
  <c r="AA9533" i="1" s="1"/>
  <c r="AA9534" i="1" s="1"/>
  <c r="AA9535" i="1" s="1"/>
  <c r="AA9536" i="1" s="1"/>
  <c r="AA9537" i="1" s="1"/>
  <c r="AA9538" i="1" s="1"/>
  <c r="AA9539" i="1" s="1"/>
  <c r="AA9540" i="1" s="1"/>
  <c r="AA9541" i="1" s="1"/>
  <c r="AA9542" i="1" s="1"/>
  <c r="AA9543" i="1" s="1"/>
  <c r="AA9544" i="1" s="1"/>
  <c r="AA9545" i="1" s="1"/>
  <c r="AA9546" i="1" s="1"/>
  <c r="AA9547" i="1" s="1"/>
  <c r="AA9548" i="1" s="1"/>
  <c r="AA9549" i="1" s="1"/>
  <c r="AA9550" i="1" s="1"/>
  <c r="AA9551" i="1" s="1"/>
  <c r="AA9552" i="1" s="1"/>
  <c r="AA9553" i="1" s="1"/>
  <c r="AA9554" i="1" s="1"/>
  <c r="AA9555" i="1" s="1"/>
  <c r="AA9556" i="1" s="1"/>
  <c r="AA9557" i="1" s="1"/>
  <c r="AA9558" i="1" s="1"/>
  <c r="AA9559" i="1" s="1"/>
  <c r="AA9560" i="1" s="1"/>
  <c r="AA9561" i="1" s="1"/>
  <c r="AA9562" i="1" s="1"/>
  <c r="AA9563" i="1" s="1"/>
  <c r="AA9564" i="1" s="1"/>
  <c r="AA9565" i="1" s="1"/>
  <c r="AA9566" i="1" s="1"/>
  <c r="AA9567" i="1" s="1"/>
  <c r="AA9568" i="1" s="1"/>
  <c r="AA9569" i="1" s="1"/>
  <c r="AA9570" i="1" s="1"/>
  <c r="AA9571" i="1" s="1"/>
  <c r="AA9572" i="1" s="1"/>
  <c r="AA9573" i="1" s="1"/>
  <c r="AA9574" i="1" s="1"/>
  <c r="AA9575" i="1" s="1"/>
  <c r="AA9576" i="1" s="1"/>
  <c r="AA9577" i="1" s="1"/>
  <c r="AA9578" i="1" s="1"/>
  <c r="AA9579" i="1" s="1"/>
  <c r="AA9580" i="1" s="1"/>
  <c r="AA9581" i="1" s="1"/>
  <c r="AA9582" i="1" s="1"/>
  <c r="AA9583" i="1" s="1"/>
  <c r="AA9584" i="1" s="1"/>
  <c r="AA9585" i="1" s="1"/>
  <c r="AA9586" i="1" s="1"/>
  <c r="AA9587" i="1" s="1"/>
  <c r="AA9588" i="1" s="1"/>
  <c r="AA9589" i="1" s="1"/>
  <c r="AA9590" i="1" s="1"/>
  <c r="AA9591" i="1" s="1"/>
  <c r="AA9592" i="1" s="1"/>
  <c r="AA9593" i="1" s="1"/>
  <c r="AA9594" i="1" s="1"/>
  <c r="AA9595" i="1" s="1"/>
  <c r="AA9596" i="1" s="1"/>
  <c r="AA9597" i="1" s="1"/>
  <c r="AA9598" i="1" s="1"/>
  <c r="AA9599" i="1" s="1"/>
  <c r="AA9600" i="1" s="1"/>
  <c r="AA9601" i="1" s="1"/>
  <c r="AA9602" i="1" s="1"/>
  <c r="AA9603" i="1" s="1"/>
  <c r="AA9604" i="1" s="1"/>
  <c r="AA9605" i="1" s="1"/>
  <c r="AA9606" i="1" s="1"/>
  <c r="AA9607" i="1" s="1"/>
  <c r="AA9608" i="1" s="1"/>
  <c r="AA9609" i="1" s="1"/>
  <c r="AA9610" i="1" s="1"/>
  <c r="AA9611" i="1" s="1"/>
  <c r="AA9612" i="1" s="1"/>
  <c r="AA9613" i="1" s="1"/>
  <c r="AA9614" i="1" s="1"/>
  <c r="AA9615" i="1" s="1"/>
  <c r="AA9616" i="1" s="1"/>
  <c r="AA9617" i="1" s="1"/>
  <c r="AA9618" i="1" s="1"/>
  <c r="AA9619" i="1" s="1"/>
  <c r="AA9620" i="1" s="1"/>
  <c r="AA9621" i="1" s="1"/>
  <c r="AA9622" i="1" s="1"/>
  <c r="AA9623" i="1" s="1"/>
  <c r="AA9624" i="1" s="1"/>
  <c r="AA9625" i="1" s="1"/>
  <c r="AA9626" i="1" s="1"/>
  <c r="AA9627" i="1" s="1"/>
  <c r="AA9628" i="1" s="1"/>
  <c r="AA9629" i="1" s="1"/>
  <c r="AA9630" i="1" s="1"/>
  <c r="AA9631" i="1" s="1"/>
  <c r="AA9632" i="1" s="1"/>
  <c r="AA9633" i="1" s="1"/>
  <c r="AA9634" i="1" s="1"/>
  <c r="AA9635" i="1" s="1"/>
  <c r="AA9636" i="1" s="1"/>
  <c r="AA9637" i="1" s="1"/>
  <c r="AA9638" i="1" s="1"/>
  <c r="AA9639" i="1" s="1"/>
  <c r="AA9640" i="1" s="1"/>
  <c r="AA9641" i="1" s="1"/>
  <c r="AA9642" i="1" s="1"/>
  <c r="AA9643" i="1" s="1"/>
  <c r="AA9644" i="1" s="1"/>
  <c r="AA9645" i="1" s="1"/>
  <c r="AA9646" i="1" s="1"/>
  <c r="AA9647" i="1" s="1"/>
  <c r="AA9648" i="1" s="1"/>
  <c r="AA9649" i="1" s="1"/>
  <c r="AA9650" i="1" s="1"/>
  <c r="AA9651" i="1" s="1"/>
  <c r="AA9652" i="1" s="1"/>
  <c r="AA9653" i="1" s="1"/>
  <c r="AA9654" i="1" s="1"/>
  <c r="AA9655" i="1" s="1"/>
  <c r="AA9656" i="1" s="1"/>
  <c r="AA9657" i="1" s="1"/>
  <c r="AA9658" i="1" s="1"/>
  <c r="AA9659" i="1" s="1"/>
  <c r="AA9660" i="1" s="1"/>
  <c r="AA9661" i="1" s="1"/>
  <c r="AA9662" i="1" s="1"/>
  <c r="AA9663" i="1" s="1"/>
  <c r="AA9664" i="1" s="1"/>
  <c r="AA9665" i="1" s="1"/>
  <c r="AA9666" i="1" s="1"/>
  <c r="AA9667" i="1" s="1"/>
  <c r="AA9668" i="1" s="1"/>
  <c r="AA9669" i="1" s="1"/>
  <c r="AA9670" i="1" s="1"/>
  <c r="AA9671" i="1" s="1"/>
  <c r="AA9672" i="1" s="1"/>
  <c r="AA9673" i="1" s="1"/>
  <c r="AA9674" i="1" s="1"/>
  <c r="AA9675" i="1" s="1"/>
  <c r="AA9676" i="1" s="1"/>
  <c r="AA9677" i="1" s="1"/>
  <c r="AA9678" i="1" s="1"/>
  <c r="AA9679" i="1" s="1"/>
  <c r="AA9680" i="1" s="1"/>
  <c r="AA9681" i="1" s="1"/>
  <c r="AA9682" i="1" s="1"/>
  <c r="AA9683" i="1" s="1"/>
  <c r="AA9684" i="1" s="1"/>
  <c r="AA9685" i="1" s="1"/>
  <c r="AA9686" i="1" s="1"/>
  <c r="AA9687" i="1" s="1"/>
  <c r="AA9688" i="1" s="1"/>
  <c r="AA9689" i="1" s="1"/>
  <c r="AA9690" i="1" s="1"/>
  <c r="AA9691" i="1" s="1"/>
  <c r="AA9692" i="1" s="1"/>
  <c r="AA9693" i="1" s="1"/>
  <c r="AA9694" i="1" s="1"/>
  <c r="AA9695" i="1" s="1"/>
  <c r="AA9696" i="1" s="1"/>
  <c r="AA9697" i="1" s="1"/>
  <c r="AA9698" i="1" s="1"/>
  <c r="AA9699" i="1" s="1"/>
  <c r="AA9700" i="1" s="1"/>
  <c r="AA9701" i="1" s="1"/>
  <c r="AA9702" i="1" s="1"/>
  <c r="AA9703" i="1" s="1"/>
  <c r="AA9704" i="1" s="1"/>
  <c r="AA9705" i="1" s="1"/>
  <c r="AA9706" i="1" s="1"/>
  <c r="AA9707" i="1" s="1"/>
  <c r="AA9708" i="1" s="1"/>
  <c r="AA9709" i="1" s="1"/>
  <c r="AA9710" i="1" s="1"/>
  <c r="AA9711" i="1" s="1"/>
  <c r="AA9712" i="1" s="1"/>
  <c r="AA9713" i="1" s="1"/>
  <c r="AA9714" i="1" s="1"/>
  <c r="AA9715" i="1" s="1"/>
  <c r="AA9716" i="1" s="1"/>
  <c r="AA9717" i="1" s="1"/>
  <c r="AA9718" i="1" s="1"/>
  <c r="AA9719" i="1" s="1"/>
  <c r="AA9720" i="1" s="1"/>
  <c r="AA9721" i="1" s="1"/>
  <c r="AA9722" i="1" s="1"/>
  <c r="AA9723" i="1" s="1"/>
  <c r="AA9724" i="1" s="1"/>
  <c r="AA9725" i="1" s="1"/>
  <c r="AA9726" i="1" s="1"/>
  <c r="AA9727" i="1" s="1"/>
  <c r="AA9728" i="1" s="1"/>
  <c r="AA9729" i="1" s="1"/>
  <c r="AA9730" i="1" s="1"/>
  <c r="AA9731" i="1" s="1"/>
  <c r="AA9732" i="1" s="1"/>
  <c r="AA9733" i="1" s="1"/>
  <c r="AA9734" i="1" s="1"/>
  <c r="AA9735" i="1" s="1"/>
  <c r="AA9736" i="1" s="1"/>
  <c r="AA9737" i="1" s="1"/>
  <c r="AA9738" i="1" s="1"/>
  <c r="AA9739" i="1" s="1"/>
  <c r="AA9740" i="1" s="1"/>
  <c r="AA9741" i="1" s="1"/>
  <c r="AA9742" i="1" s="1"/>
  <c r="AA9743" i="1" s="1"/>
  <c r="AA9744" i="1" s="1"/>
  <c r="AA9745" i="1" s="1"/>
  <c r="AA9746" i="1" s="1"/>
  <c r="AA9747" i="1" s="1"/>
  <c r="AA9748" i="1" s="1"/>
  <c r="AA9749" i="1" s="1"/>
  <c r="AA9750" i="1" s="1"/>
  <c r="AA9751" i="1" s="1"/>
  <c r="AA9752" i="1" s="1"/>
  <c r="AA9753" i="1" s="1"/>
  <c r="AA9754" i="1" s="1"/>
  <c r="AA9755" i="1" s="1"/>
  <c r="AA9756" i="1" s="1"/>
  <c r="AA9757" i="1" s="1"/>
  <c r="AA9758" i="1" s="1"/>
  <c r="AA9759" i="1" s="1"/>
  <c r="AA9760" i="1" s="1"/>
  <c r="AA9761" i="1" s="1"/>
  <c r="AA9762" i="1" s="1"/>
  <c r="AA9763" i="1" s="1"/>
  <c r="AA9764" i="1" s="1"/>
  <c r="AA9765" i="1" s="1"/>
  <c r="AA9766" i="1" s="1"/>
  <c r="AA9767" i="1" s="1"/>
  <c r="AA9768" i="1" s="1"/>
  <c r="AA9769" i="1" s="1"/>
  <c r="AA9770" i="1" s="1"/>
  <c r="AA9771" i="1" s="1"/>
  <c r="AA9772" i="1" s="1"/>
  <c r="AA9773" i="1" s="1"/>
  <c r="AA9774" i="1" s="1"/>
  <c r="AA9775" i="1" s="1"/>
  <c r="AA9776" i="1" s="1"/>
  <c r="AA9777" i="1" s="1"/>
  <c r="AA9778" i="1" s="1"/>
  <c r="AA9779" i="1" s="1"/>
  <c r="AA9780" i="1" s="1"/>
  <c r="AA9781" i="1" s="1"/>
  <c r="AA9782" i="1" s="1"/>
  <c r="AA9783" i="1" s="1"/>
  <c r="AA9784" i="1" s="1"/>
  <c r="AA9785" i="1" s="1"/>
  <c r="AA9786" i="1" s="1"/>
  <c r="AA9787" i="1" s="1"/>
  <c r="AA9788" i="1" s="1"/>
  <c r="AA9789" i="1" s="1"/>
  <c r="AA9790" i="1" s="1"/>
  <c r="AA9791" i="1" s="1"/>
  <c r="AA9792" i="1" s="1"/>
  <c r="AA9793" i="1" s="1"/>
  <c r="AA9794" i="1" s="1"/>
  <c r="AA9795" i="1" s="1"/>
  <c r="AA9796" i="1" s="1"/>
  <c r="AA9797" i="1" s="1"/>
  <c r="AA9798" i="1" s="1"/>
  <c r="AA9799" i="1" s="1"/>
  <c r="AA9800" i="1" s="1"/>
  <c r="AA9801" i="1" s="1"/>
  <c r="AA9802" i="1" s="1"/>
  <c r="AA9803" i="1" s="1"/>
  <c r="AA9804" i="1" s="1"/>
  <c r="AA9805" i="1" s="1"/>
  <c r="AA9806" i="1" s="1"/>
  <c r="AA9807" i="1" s="1"/>
  <c r="AA9808" i="1" s="1"/>
  <c r="AA9809" i="1" s="1"/>
  <c r="AA9810" i="1" s="1"/>
  <c r="AA9811" i="1" s="1"/>
  <c r="AA9812" i="1" s="1"/>
  <c r="AA9813" i="1" s="1"/>
  <c r="AA9814" i="1" s="1"/>
  <c r="AA9815" i="1" s="1"/>
  <c r="AA9816" i="1" s="1"/>
  <c r="AA9817" i="1" s="1"/>
  <c r="AA9818" i="1" s="1"/>
  <c r="AA9819" i="1" s="1"/>
  <c r="AA9820" i="1" s="1"/>
  <c r="AA9821" i="1" s="1"/>
  <c r="AA9822" i="1" s="1"/>
  <c r="AA9823" i="1" s="1"/>
  <c r="AA9824" i="1" s="1"/>
  <c r="AA9825" i="1" s="1"/>
  <c r="AA9826" i="1" s="1"/>
  <c r="AA9827" i="1" s="1"/>
  <c r="AA9828" i="1" s="1"/>
  <c r="AA9829" i="1" s="1"/>
  <c r="AA9830" i="1" s="1"/>
  <c r="AA9831" i="1" s="1"/>
  <c r="AA9832" i="1" s="1"/>
  <c r="AA9833" i="1" s="1"/>
  <c r="AA9834" i="1" s="1"/>
  <c r="AA9835" i="1" s="1"/>
  <c r="AA9836" i="1" s="1"/>
  <c r="AA9837" i="1" s="1"/>
  <c r="AA9838" i="1" s="1"/>
  <c r="AA9839" i="1" s="1"/>
  <c r="AA9840" i="1" s="1"/>
  <c r="AA9841" i="1" s="1"/>
  <c r="AA9842" i="1" s="1"/>
  <c r="AA9843" i="1" s="1"/>
  <c r="AA9844" i="1" s="1"/>
  <c r="AA9845" i="1" s="1"/>
  <c r="AA9846" i="1" s="1"/>
  <c r="AA9847" i="1" s="1"/>
  <c r="AA9848" i="1" s="1"/>
  <c r="AA9849" i="1" s="1"/>
  <c r="AA9850" i="1" s="1"/>
  <c r="AA9851" i="1" s="1"/>
  <c r="AA9852" i="1" s="1"/>
  <c r="AA9853" i="1" s="1"/>
  <c r="AA9854" i="1" s="1"/>
  <c r="AA9855" i="1" s="1"/>
  <c r="AA9856" i="1" s="1"/>
  <c r="AA9857" i="1" s="1"/>
  <c r="AA9858" i="1" s="1"/>
  <c r="AA9859" i="1" s="1"/>
  <c r="AA9860" i="1" s="1"/>
  <c r="AA9861" i="1" s="1"/>
  <c r="AA9862" i="1" s="1"/>
  <c r="AA9863" i="1" s="1"/>
  <c r="AA9864" i="1" s="1"/>
  <c r="AA9865" i="1" s="1"/>
  <c r="AA9866" i="1" s="1"/>
  <c r="AA9867" i="1" s="1"/>
  <c r="AA9868" i="1" s="1"/>
  <c r="AA9869" i="1" s="1"/>
  <c r="AA9870" i="1" s="1"/>
  <c r="AA9871" i="1" s="1"/>
  <c r="AA9872" i="1" s="1"/>
  <c r="AA9873" i="1" s="1"/>
  <c r="AA9874" i="1" s="1"/>
  <c r="AA9875" i="1" s="1"/>
  <c r="AA9876" i="1" s="1"/>
  <c r="AA9877" i="1" s="1"/>
  <c r="AA9878" i="1" s="1"/>
  <c r="AA9879" i="1" s="1"/>
  <c r="AA9880" i="1" s="1"/>
  <c r="AA9881" i="1" s="1"/>
  <c r="AA9882" i="1" s="1"/>
  <c r="AA9883" i="1" s="1"/>
  <c r="AA9884" i="1" s="1"/>
  <c r="AA9885" i="1" s="1"/>
  <c r="AA9886" i="1" s="1"/>
  <c r="AA9887" i="1" s="1"/>
  <c r="AA9888" i="1" s="1"/>
  <c r="AA9889" i="1" s="1"/>
  <c r="AA9890" i="1" s="1"/>
  <c r="AA9891" i="1" s="1"/>
  <c r="AA9892" i="1" s="1"/>
  <c r="AA9893" i="1" s="1"/>
  <c r="AA9894" i="1" s="1"/>
  <c r="AA9895" i="1" s="1"/>
  <c r="AA9896" i="1" s="1"/>
  <c r="AA9897" i="1" s="1"/>
  <c r="AA9898" i="1" s="1"/>
  <c r="AA9899" i="1" s="1"/>
  <c r="AA9900" i="1" s="1"/>
  <c r="AA9901" i="1" s="1"/>
  <c r="AA9902" i="1" s="1"/>
  <c r="AA9903" i="1" s="1"/>
  <c r="AA9904" i="1" s="1"/>
  <c r="AA9905" i="1" s="1"/>
  <c r="AA9906" i="1" s="1"/>
  <c r="AA9907" i="1" s="1"/>
  <c r="AA9908" i="1" s="1"/>
  <c r="AA9909" i="1" s="1"/>
  <c r="AA9910" i="1" s="1"/>
  <c r="AA9911" i="1" s="1"/>
  <c r="AA9912" i="1" s="1"/>
  <c r="AA9913" i="1" s="1"/>
  <c r="AA9914" i="1" s="1"/>
  <c r="AA9915" i="1" s="1"/>
  <c r="AA9916" i="1" s="1"/>
  <c r="AA9917" i="1" s="1"/>
  <c r="AA9918" i="1" s="1"/>
  <c r="AA9919" i="1" s="1"/>
  <c r="AA9920" i="1" s="1"/>
  <c r="AA9921" i="1" s="1"/>
  <c r="AA9922" i="1" s="1"/>
  <c r="AA9923" i="1" s="1"/>
  <c r="AA9924" i="1" s="1"/>
  <c r="AA9925" i="1" s="1"/>
  <c r="AA9926" i="1" s="1"/>
  <c r="AA9927" i="1" s="1"/>
  <c r="AA9928" i="1" s="1"/>
  <c r="AA9929" i="1" s="1"/>
  <c r="AA9930" i="1" s="1"/>
  <c r="AA9931" i="1" s="1"/>
  <c r="AA9932" i="1" s="1"/>
  <c r="AA9933" i="1" s="1"/>
  <c r="AA9934" i="1" s="1"/>
  <c r="AA9935" i="1" s="1"/>
  <c r="AA9936" i="1" s="1"/>
  <c r="AA9937" i="1" s="1"/>
  <c r="AA9938" i="1" s="1"/>
  <c r="AA9939" i="1" s="1"/>
  <c r="AA9940" i="1" s="1"/>
  <c r="AA9941" i="1" s="1"/>
  <c r="AA9942" i="1" s="1"/>
  <c r="AA9943" i="1" s="1"/>
  <c r="AA9944" i="1" s="1"/>
  <c r="AA9945" i="1" s="1"/>
  <c r="AA9946" i="1" s="1"/>
  <c r="AA9947" i="1" s="1"/>
  <c r="AA9948" i="1" s="1"/>
  <c r="AA9949" i="1" s="1"/>
  <c r="AA9950" i="1" s="1"/>
  <c r="AA9951" i="1" s="1"/>
  <c r="AA9952" i="1" s="1"/>
  <c r="AA9953" i="1" s="1"/>
  <c r="AA9954" i="1" s="1"/>
  <c r="AA9955" i="1" s="1"/>
  <c r="AA9956" i="1" s="1"/>
  <c r="AA9957" i="1" s="1"/>
  <c r="AA9958" i="1" s="1"/>
  <c r="AA9959" i="1" s="1"/>
  <c r="AA9960" i="1" s="1"/>
  <c r="AA9961" i="1" s="1"/>
  <c r="AA9962" i="1" s="1"/>
  <c r="AA9963" i="1" s="1"/>
  <c r="AA9964" i="1" s="1"/>
  <c r="AA9965" i="1" s="1"/>
  <c r="AA9966" i="1" s="1"/>
  <c r="AA9967" i="1" s="1"/>
  <c r="AA9968" i="1" s="1"/>
  <c r="AA9969" i="1" s="1"/>
  <c r="AA9970" i="1" s="1"/>
  <c r="AA9971" i="1" s="1"/>
  <c r="AA9972" i="1" s="1"/>
  <c r="AA9973" i="1" s="1"/>
  <c r="AA9974" i="1" s="1"/>
  <c r="AA9975" i="1" s="1"/>
  <c r="AA9976" i="1" s="1"/>
  <c r="AA9977" i="1" s="1"/>
  <c r="AA9978" i="1" s="1"/>
  <c r="AA9979" i="1" s="1"/>
  <c r="AA9980" i="1" s="1"/>
  <c r="AA9981" i="1" s="1"/>
  <c r="AA9982" i="1" s="1"/>
  <c r="AA9983" i="1" s="1"/>
  <c r="AA9984" i="1" s="1"/>
  <c r="AA9985" i="1" s="1"/>
  <c r="AA9986" i="1" s="1"/>
  <c r="AA9987" i="1" s="1"/>
  <c r="AA9988" i="1" s="1"/>
  <c r="AA9989" i="1" s="1"/>
  <c r="AA9990" i="1" s="1"/>
  <c r="AA9991" i="1" s="1"/>
  <c r="AA9992" i="1" s="1"/>
  <c r="AA9993" i="1" s="1"/>
  <c r="AA9994" i="1" s="1"/>
  <c r="AA9995" i="1" s="1"/>
  <c r="AA9996" i="1" s="1"/>
  <c r="AA9997" i="1" s="1"/>
  <c r="AA9998" i="1" s="1"/>
  <c r="AA9999" i="1" s="1"/>
  <c r="AA10000" i="1" s="1"/>
  <c r="AA10001" i="1" s="1"/>
  <c r="AA10002" i="1" s="1"/>
  <c r="AA10003" i="1" s="1"/>
  <c r="AA10004" i="1" s="1"/>
  <c r="O11" i="1"/>
  <c r="P390" i="3"/>
  <c r="O390" i="3"/>
  <c r="N390" i="3"/>
  <c r="M390" i="3"/>
  <c r="L390" i="3"/>
  <c r="K390" i="3"/>
  <c r="J21" i="3"/>
  <c r="J65" i="3"/>
  <c r="J106" i="3"/>
  <c r="J149" i="3"/>
  <c r="J201" i="3"/>
  <c r="J232" i="3"/>
  <c r="J260" i="3"/>
  <c r="J283" i="3"/>
  <c r="J361" i="3"/>
  <c r="J25" i="3"/>
  <c r="J66" i="3"/>
  <c r="J108" i="3"/>
  <c r="J153" i="3"/>
  <c r="J203" i="3"/>
  <c r="J211" i="3"/>
  <c r="J244" i="3"/>
  <c r="J287" i="3"/>
  <c r="J369" i="3"/>
  <c r="Q403" i="5"/>
  <c r="Q400" i="5"/>
  <c r="Q393" i="5"/>
  <c r="Q385" i="5"/>
  <c r="Q392" i="5"/>
  <c r="Q399" i="5"/>
  <c r="Q391" i="5"/>
  <c r="Q401" i="5"/>
  <c r="Q398" i="5"/>
  <c r="Q397" i="5"/>
  <c r="Q404" i="5"/>
  <c r="Q383" i="5"/>
  <c r="Q375" i="5"/>
  <c r="Q395" i="5"/>
  <c r="Q374" i="5"/>
  <c r="Q366" i="5"/>
  <c r="Q358" i="5"/>
  <c r="Q389" i="5"/>
  <c r="Q388" i="5"/>
  <c r="Q387" i="5"/>
  <c r="Q386" i="5"/>
  <c r="Q373" i="5"/>
  <c r="Q365" i="5"/>
  <c r="Q390" i="5"/>
  <c r="Q380" i="5"/>
  <c r="Q372" i="5"/>
  <c r="Q364" i="5"/>
  <c r="Q381" i="5"/>
  <c r="Q384" i="5"/>
  <c r="Q378" i="5"/>
  <c r="Q377" i="5"/>
  <c r="Q382" i="5"/>
  <c r="Q376" i="5"/>
  <c r="Q354" i="5"/>
  <c r="Q346" i="5"/>
  <c r="Q338" i="5"/>
  <c r="Q330" i="5"/>
  <c r="Q322" i="5"/>
  <c r="Q353" i="5"/>
  <c r="Q345" i="5"/>
  <c r="Q337" i="5"/>
  <c r="Q329" i="5"/>
  <c r="Q321" i="5"/>
  <c r="Q352" i="5"/>
  <c r="Q344" i="5"/>
  <c r="Q336" i="5"/>
  <c r="Q328" i="5"/>
  <c r="Q363" i="5"/>
  <c r="Q362" i="5"/>
  <c r="Q361" i="5"/>
  <c r="Q360" i="5"/>
  <c r="Q351" i="5"/>
  <c r="Q343" i="5"/>
  <c r="Q402" i="5"/>
  <c r="Q359" i="5"/>
  <c r="Q394" i="5"/>
  <c r="Q356" i="5"/>
  <c r="Q348" i="5"/>
  <c r="Q367" i="5"/>
  <c r="Q349" i="5"/>
  <c r="Q342" i="5"/>
  <c r="Q341" i="5"/>
  <c r="Q340" i="5"/>
  <c r="Q333" i="5"/>
  <c r="Q326" i="5"/>
  <c r="Q320" i="5"/>
  <c r="Q370" i="5"/>
  <c r="Q355" i="5"/>
  <c r="Q347" i="5"/>
  <c r="Q339" i="5"/>
  <c r="Q332" i="5"/>
  <c r="Q325" i="5"/>
  <c r="Q357" i="5"/>
  <c r="Q318" i="5"/>
  <c r="Q396" i="5"/>
  <c r="Q368" i="5"/>
  <c r="Q350" i="5"/>
  <c r="Q331" i="5"/>
  <c r="Q324" i="5"/>
  <c r="Q379" i="5"/>
  <c r="Q317" i="5"/>
  <c r="Q371" i="5"/>
  <c r="Q335" i="5"/>
  <c r="Q369" i="5"/>
  <c r="Q319" i="5"/>
  <c r="Q314" i="5"/>
  <c r="Q310" i="5"/>
  <c r="Q302" i="5"/>
  <c r="Q294" i="5"/>
  <c r="Q286" i="5"/>
  <c r="Q323" i="5"/>
  <c r="Q315" i="5"/>
  <c r="Q308" i="5"/>
  <c r="Q300" i="5"/>
  <c r="Q292" i="5"/>
  <c r="Q307" i="5"/>
  <c r="Q299" i="5"/>
  <c r="Q291" i="5"/>
  <c r="Q283" i="5"/>
  <c r="Q275" i="5"/>
  <c r="Q334" i="5"/>
  <c r="Q327" i="5"/>
  <c r="Q306" i="5"/>
  <c r="Q290" i="5"/>
  <c r="Q280" i="5"/>
  <c r="Q277" i="5"/>
  <c r="Q313" i="5"/>
  <c r="Q270" i="5"/>
  <c r="Q262" i="5"/>
  <c r="Q254" i="5"/>
  <c r="Q297" i="5"/>
  <c r="Q285" i="5"/>
  <c r="Q274" i="5"/>
  <c r="Q269" i="5"/>
  <c r="Q261" i="5"/>
  <c r="Q253" i="5"/>
  <c r="Q304" i="5"/>
  <c r="Q287" i="5"/>
  <c r="Q284" i="5"/>
  <c r="Q276" i="5"/>
  <c r="Q268" i="5"/>
  <c r="Q260" i="5"/>
  <c r="Q252" i="5"/>
  <c r="Q312" i="5"/>
  <c r="Q295" i="5"/>
  <c r="Q279" i="5"/>
  <c r="Q293" i="5"/>
  <c r="Q267" i="5"/>
  <c r="Q259" i="5"/>
  <c r="Q251" i="5"/>
  <c r="Q309" i="5"/>
  <c r="Q298" i="5"/>
  <c r="Q288" i="5"/>
  <c r="Q316" i="5"/>
  <c r="Q282" i="5"/>
  <c r="Q258" i="5"/>
  <c r="Q240" i="5"/>
  <c r="Q232" i="5"/>
  <c r="Q266" i="5"/>
  <c r="Q281" i="5"/>
  <c r="Q247" i="5"/>
  <c r="Q239" i="5"/>
  <c r="Q231" i="5"/>
  <c r="Q223" i="5"/>
  <c r="Q303" i="5"/>
  <c r="Q301" i="5"/>
  <c r="Q273" i="5"/>
  <c r="Q246" i="5"/>
  <c r="Q238" i="5"/>
  <c r="Q230" i="5"/>
  <c r="Q305" i="5"/>
  <c r="Q255" i="5"/>
  <c r="Q250" i="5"/>
  <c r="Q263" i="5"/>
  <c r="Q245" i="5"/>
  <c r="Q237" i="5"/>
  <c r="Q272" i="5"/>
  <c r="Q257" i="5"/>
  <c r="Q265" i="5"/>
  <c r="Q249" i="5"/>
  <c r="Q244" i="5"/>
  <c r="Q296" i="5"/>
  <c r="Q311" i="5"/>
  <c r="Q226" i="5"/>
  <c r="Q224" i="5"/>
  <c r="Q222" i="5"/>
  <c r="Q278" i="5"/>
  <c r="Q248" i="5"/>
  <c r="Q211" i="5"/>
  <c r="Q203" i="5"/>
  <c r="Q195" i="5"/>
  <c r="Q219" i="5"/>
  <c r="Q218" i="5"/>
  <c r="Q210" i="5"/>
  <c r="Q202" i="5"/>
  <c r="Q194" i="5"/>
  <c r="Q289" i="5"/>
  <c r="Q264" i="5"/>
  <c r="Q217" i="5"/>
  <c r="Q209" i="5"/>
  <c r="Q201" i="5"/>
  <c r="Q193" i="5"/>
  <c r="Q242" i="5"/>
  <c r="Q229" i="5"/>
  <c r="Q225" i="5"/>
  <c r="Q220" i="5"/>
  <c r="Q216" i="5"/>
  <c r="Q215" i="5"/>
  <c r="Q207" i="5"/>
  <c r="Q228" i="5"/>
  <c r="Q236" i="5"/>
  <c r="Q235" i="5"/>
  <c r="Q234" i="5"/>
  <c r="Q233" i="5"/>
  <c r="Q243" i="5"/>
  <c r="Q189" i="5"/>
  <c r="Q214" i="5"/>
  <c r="Q205" i="5"/>
  <c r="Q204" i="5"/>
  <c r="Q179" i="5"/>
  <c r="Q171" i="5"/>
  <c r="Q163" i="5"/>
  <c r="Q227" i="5"/>
  <c r="Q187" i="5"/>
  <c r="Q208" i="5"/>
  <c r="Q206" i="5"/>
  <c r="Q186" i="5"/>
  <c r="Q178" i="5"/>
  <c r="Q170" i="5"/>
  <c r="Q162" i="5"/>
  <c r="Q256" i="5"/>
  <c r="Q192" i="5"/>
  <c r="Q185" i="5"/>
  <c r="Q177" i="5"/>
  <c r="Q169" i="5"/>
  <c r="Q161" i="5"/>
  <c r="Q190" i="5"/>
  <c r="Q184" i="5"/>
  <c r="Q176" i="5"/>
  <c r="Q212" i="5"/>
  <c r="Q165" i="5"/>
  <c r="Q200" i="5"/>
  <c r="Q198" i="5"/>
  <c r="Q196" i="5"/>
  <c r="Q155" i="5"/>
  <c r="Q154" i="5"/>
  <c r="Q146" i="5"/>
  <c r="Q138" i="5"/>
  <c r="Q130" i="5"/>
  <c r="Q181" i="5"/>
  <c r="Q164" i="5"/>
  <c r="Q153" i="5"/>
  <c r="Q145" i="5"/>
  <c r="Q137" i="5"/>
  <c r="Q241" i="5"/>
  <c r="Q152" i="5"/>
  <c r="Q144" i="5"/>
  <c r="Q136" i="5"/>
  <c r="Q158" i="5"/>
  <c r="Q271" i="5"/>
  <c r="Q213" i="5"/>
  <c r="Q188" i="5"/>
  <c r="Q168" i="5"/>
  <c r="Q151" i="5"/>
  <c r="Q143" i="5"/>
  <c r="Q156" i="5"/>
  <c r="Q199" i="5"/>
  <c r="Q197" i="5"/>
  <c r="Q182" i="5"/>
  <c r="Q150" i="5"/>
  <c r="Q167" i="5"/>
  <c r="Q160" i="5"/>
  <c r="Q180" i="5"/>
  <c r="Q149" i="5"/>
  <c r="Q183" i="5"/>
  <c r="Q148" i="5"/>
  <c r="Q124" i="5"/>
  <c r="Q116" i="5"/>
  <c r="Q108" i="5"/>
  <c r="Q100" i="5"/>
  <c r="Q92" i="5"/>
  <c r="Q173" i="5"/>
  <c r="Q147" i="5"/>
  <c r="Q135" i="5"/>
  <c r="Q139" i="5"/>
  <c r="Q133" i="5"/>
  <c r="Q123" i="5"/>
  <c r="Q115" i="5"/>
  <c r="Q107" i="5"/>
  <c r="Q99" i="5"/>
  <c r="Q122" i="5"/>
  <c r="Q114" i="5"/>
  <c r="Q106" i="5"/>
  <c r="Q98" i="5"/>
  <c r="Q175" i="5"/>
  <c r="Q129" i="5"/>
  <c r="Q121" i="5"/>
  <c r="Q113" i="5"/>
  <c r="Q105" i="5"/>
  <c r="Q172" i="5"/>
  <c r="Q134" i="5"/>
  <c r="Q159" i="5"/>
  <c r="Q142" i="5"/>
  <c r="Q140" i="5"/>
  <c r="Q128" i="5"/>
  <c r="Q120" i="5"/>
  <c r="Q112" i="5"/>
  <c r="Q157" i="5"/>
  <c r="Q221" i="5"/>
  <c r="Q131" i="5"/>
  <c r="Q127" i="5"/>
  <c r="Q119" i="5"/>
  <c r="Q174" i="5"/>
  <c r="Q166" i="5"/>
  <c r="Q117" i="5"/>
  <c r="Q109" i="5"/>
  <c r="Q102" i="5"/>
  <c r="Q87" i="5"/>
  <c r="Q79" i="5"/>
  <c r="Q71" i="5"/>
  <c r="Q63" i="5"/>
  <c r="Q55" i="5"/>
  <c r="Q96" i="5"/>
  <c r="Q86" i="5"/>
  <c r="Q78" i="5"/>
  <c r="Q70" i="5"/>
  <c r="Q62" i="5"/>
  <c r="Q54" i="5"/>
  <c r="Q104" i="5"/>
  <c r="Q125" i="5"/>
  <c r="Q118" i="5"/>
  <c r="Q85" i="5"/>
  <c r="Q77" i="5"/>
  <c r="Q69" i="5"/>
  <c r="Q61" i="5"/>
  <c r="Q53" i="5"/>
  <c r="Q132" i="5"/>
  <c r="Q97" i="5"/>
  <c r="Q84" i="5"/>
  <c r="Q76" i="5"/>
  <c r="Q68" i="5"/>
  <c r="Q60" i="5"/>
  <c r="Q191" i="5"/>
  <c r="Q101" i="5"/>
  <c r="Q91" i="5"/>
  <c r="Q83" i="5"/>
  <c r="Q75" i="5"/>
  <c r="Q67" i="5"/>
  <c r="Q126" i="5"/>
  <c r="Q103" i="5"/>
  <c r="Q93" i="5"/>
  <c r="Q90" i="5"/>
  <c r="Q82" i="5"/>
  <c r="Q74" i="5"/>
  <c r="Q94" i="5"/>
  <c r="Q141" i="5"/>
  <c r="Q40" i="5"/>
  <c r="Q32" i="5"/>
  <c r="Q24" i="5"/>
  <c r="Q16" i="5"/>
  <c r="Q9" i="5"/>
  <c r="Q111" i="5"/>
  <c r="Q95" i="5"/>
  <c r="Q80" i="5"/>
  <c r="Q73" i="5"/>
  <c r="Q47" i="5"/>
  <c r="Q39" i="5"/>
  <c r="Q31" i="5"/>
  <c r="Q23" i="5"/>
  <c r="Q15" i="5"/>
  <c r="Q56" i="5"/>
  <c r="Q8" i="5"/>
  <c r="Q46" i="5"/>
  <c r="Q38" i="5"/>
  <c r="Q30" i="5"/>
  <c r="Q22" i="5"/>
  <c r="Q14" i="5"/>
  <c r="Q110" i="5"/>
  <c r="Q66" i="5"/>
  <c r="Q58" i="5"/>
  <c r="Q7" i="5"/>
  <c r="Q65" i="5"/>
  <c r="Q45" i="5"/>
  <c r="Q37" i="5"/>
  <c r="Q29" i="5"/>
  <c r="Q21" i="5"/>
  <c r="Q88" i="5"/>
  <c r="Q81" i="5"/>
  <c r="Q64" i="5"/>
  <c r="Q44" i="5"/>
  <c r="Q36" i="5"/>
  <c r="Q12" i="5"/>
  <c r="Q43" i="5"/>
  <c r="Q35" i="5"/>
  <c r="Q11" i="5"/>
  <c r="Q51" i="5"/>
  <c r="Q49" i="5"/>
  <c r="Q42" i="5"/>
  <c r="Q72" i="5"/>
  <c r="Q33" i="5"/>
  <c r="Q59" i="5"/>
  <c r="Q18" i="5"/>
  <c r="Q34" i="5"/>
  <c r="Q26" i="5"/>
  <c r="Q13" i="5"/>
  <c r="Q20" i="5"/>
  <c r="Q28" i="5"/>
  <c r="Q89" i="5"/>
  <c r="Q50" i="5"/>
  <c r="Q48" i="5"/>
  <c r="Q17" i="5"/>
  <c r="Q52" i="5"/>
  <c r="Q25" i="5"/>
  <c r="Q5" i="5"/>
  <c r="Q27" i="5"/>
  <c r="Q10" i="5"/>
  <c r="Q41" i="5"/>
  <c r="Q57" i="5"/>
  <c r="Q19" i="5"/>
  <c r="Q6" i="5"/>
  <c r="J26" i="3"/>
  <c r="J69" i="3"/>
  <c r="J113" i="3"/>
  <c r="J154" i="3"/>
  <c r="J214" i="3"/>
  <c r="J233" i="3"/>
  <c r="J245" i="3"/>
  <c r="J379" i="3"/>
  <c r="J389" i="3"/>
  <c r="J28" i="3"/>
  <c r="J73" i="3"/>
  <c r="J114" i="3"/>
  <c r="J156" i="3"/>
  <c r="J267" i="3"/>
  <c r="J305" i="3"/>
  <c r="J247" i="3"/>
  <c r="J374" i="3"/>
  <c r="J33" i="3"/>
  <c r="J117" i="3"/>
  <c r="J296" i="3"/>
  <c r="J359" i="3"/>
  <c r="J34" i="3"/>
  <c r="J76" i="3"/>
  <c r="J216" i="3"/>
  <c r="J313" i="3"/>
  <c r="J397" i="3"/>
  <c r="J165" i="3"/>
  <c r="J398" i="3"/>
  <c r="J392" i="3"/>
  <c r="J354" i="3"/>
  <c r="J338" i="3"/>
  <c r="J357" i="3"/>
  <c r="J322" i="3"/>
  <c r="J255" i="3"/>
  <c r="J371" i="3"/>
  <c r="J327" i="3"/>
  <c r="J210" i="3"/>
  <c r="J309" i="3"/>
  <c r="J238" i="3"/>
  <c r="J183" i="3"/>
  <c r="J205" i="3"/>
  <c r="J164" i="3"/>
  <c r="J148" i="3"/>
  <c r="J132" i="3"/>
  <c r="J116" i="3"/>
  <c r="J100" i="3"/>
  <c r="J84" i="3"/>
  <c r="J68" i="3"/>
  <c r="J52" i="3"/>
  <c r="J36" i="3"/>
  <c r="J20" i="3"/>
  <c r="J194" i="3"/>
  <c r="J176" i="3"/>
  <c r="J407" i="3"/>
  <c r="J391" i="3"/>
  <c r="J353" i="3"/>
  <c r="J337" i="3"/>
  <c r="J314" i="3"/>
  <c r="J320" i="3"/>
  <c r="J254" i="3"/>
  <c r="J316" i="3"/>
  <c r="J325" i="3"/>
  <c r="J375" i="3"/>
  <c r="J290" i="3"/>
  <c r="J307" i="3"/>
  <c r="J308" i="3"/>
  <c r="J189" i="3"/>
  <c r="J163" i="3"/>
  <c r="J147" i="3"/>
  <c r="J131" i="3"/>
  <c r="J115" i="3"/>
  <c r="J99" i="3"/>
  <c r="J83" i="3"/>
  <c r="J67" i="3"/>
  <c r="J51" i="3"/>
  <c r="J35" i="3"/>
  <c r="J19" i="3"/>
  <c r="J192" i="3"/>
  <c r="J404" i="3"/>
  <c r="J388" i="3"/>
  <c r="J350" i="3"/>
  <c r="J334" i="3"/>
  <c r="J279" i="3"/>
  <c r="J293" i="3"/>
  <c r="J251" i="3"/>
  <c r="J277" i="3"/>
  <c r="J319" i="3"/>
  <c r="J225" i="3"/>
  <c r="J212" i="3"/>
  <c r="J228" i="3"/>
  <c r="J199" i="3"/>
  <c r="J240" i="3"/>
  <c r="J160" i="3"/>
  <c r="J144" i="3"/>
  <c r="J128" i="3"/>
  <c r="J112" i="3"/>
  <c r="J96" i="3"/>
  <c r="J80" i="3"/>
  <c r="J64" i="3"/>
  <c r="J48" i="3"/>
  <c r="J32" i="3"/>
  <c r="J16" i="3"/>
  <c r="J11" i="3"/>
  <c r="J403" i="3"/>
  <c r="J387" i="3"/>
  <c r="J349" i="3"/>
  <c r="J333" i="3"/>
  <c r="J275" i="3"/>
  <c r="J266" i="3"/>
  <c r="J250" i="3"/>
  <c r="J273" i="3"/>
  <c r="J289" i="3"/>
  <c r="J372" i="3"/>
  <c r="J303" i="3"/>
  <c r="J312" i="3"/>
  <c r="J197" i="3"/>
  <c r="J184" i="3"/>
  <c r="J159" i="3"/>
  <c r="J143" i="3"/>
  <c r="J127" i="3"/>
  <c r="J111" i="3"/>
  <c r="J95" i="3"/>
  <c r="J79" i="3"/>
  <c r="J63" i="3"/>
  <c r="J47" i="3"/>
  <c r="J31" i="3"/>
  <c r="J15" i="3"/>
  <c r="J10" i="3"/>
  <c r="J402" i="3"/>
  <c r="J386" i="3"/>
  <c r="J348" i="3"/>
  <c r="J332" i="3"/>
  <c r="J271" i="3"/>
  <c r="J383" i="3"/>
  <c r="J249" i="3"/>
  <c r="J376" i="3"/>
  <c r="J262" i="3"/>
  <c r="J310" i="3"/>
  <c r="J270" i="3"/>
  <c r="J239" i="3"/>
  <c r="J195" i="3"/>
  <c r="J174" i="3"/>
  <c r="J158" i="3"/>
  <c r="J142" i="3"/>
  <c r="J126" i="3"/>
  <c r="J110" i="3"/>
  <c r="J94" i="3"/>
  <c r="J78" i="3"/>
  <c r="J62" i="3"/>
  <c r="J46" i="3"/>
  <c r="J30" i="3"/>
  <c r="J14" i="3"/>
  <c r="J204" i="3"/>
  <c r="J401" i="3"/>
  <c r="J385" i="3"/>
  <c r="J347" i="3"/>
  <c r="J356" i="3"/>
  <c r="J384" i="3"/>
  <c r="J315" i="3"/>
  <c r="J248" i="3"/>
  <c r="J295" i="3"/>
  <c r="J380" i="3"/>
  <c r="J242" i="3"/>
  <c r="J230" i="3"/>
  <c r="J220" i="3"/>
  <c r="J193" i="3"/>
  <c r="J173" i="3"/>
  <c r="J157" i="3"/>
  <c r="J141" i="3"/>
  <c r="J125" i="3"/>
  <c r="J109" i="3"/>
  <c r="J93" i="3"/>
  <c r="J77" i="3"/>
  <c r="J61" i="3"/>
  <c r="J45" i="3"/>
  <c r="J29" i="3"/>
  <c r="J207" i="3"/>
  <c r="J190" i="3"/>
  <c r="J399" i="3"/>
  <c r="J365" i="3"/>
  <c r="J345" i="3"/>
  <c r="J363" i="3"/>
  <c r="J265" i="3"/>
  <c r="J284" i="3"/>
  <c r="J246" i="3"/>
  <c r="J269" i="3"/>
  <c r="J294" i="3"/>
  <c r="J278" i="3"/>
  <c r="J286" i="3"/>
  <c r="J301" i="3"/>
  <c r="J177" i="3"/>
  <c r="J171" i="3"/>
  <c r="J155" i="3"/>
  <c r="J139" i="3"/>
  <c r="J123" i="3"/>
  <c r="J107" i="3"/>
  <c r="J91" i="3"/>
  <c r="J75" i="3"/>
  <c r="J59" i="3"/>
  <c r="J43" i="3"/>
  <c r="J27" i="3"/>
  <c r="J13" i="3"/>
  <c r="J180" i="3"/>
  <c r="J396" i="3"/>
  <c r="J368" i="3"/>
  <c r="J342" i="3"/>
  <c r="J299" i="3"/>
  <c r="J330" i="3"/>
  <c r="J272" i="3"/>
  <c r="J243" i="3"/>
  <c r="J362" i="3"/>
  <c r="J377" i="3"/>
  <c r="J370" i="3"/>
  <c r="J229" i="3"/>
  <c r="J235" i="3"/>
  <c r="J186" i="3"/>
  <c r="J168" i="3"/>
  <c r="J152" i="3"/>
  <c r="J136" i="3"/>
  <c r="J120" i="3"/>
  <c r="J104" i="3"/>
  <c r="J88" i="3"/>
  <c r="J72" i="3"/>
  <c r="J56" i="3"/>
  <c r="J40" i="3"/>
  <c r="J24" i="3"/>
  <c r="J202" i="3"/>
  <c r="J185" i="3"/>
  <c r="J395" i="3"/>
  <c r="J364" i="3"/>
  <c r="J341" i="3"/>
  <c r="J291" i="3"/>
  <c r="J328" i="3"/>
  <c r="J258" i="3"/>
  <c r="J382" i="3"/>
  <c r="J366" i="3"/>
  <c r="J317" i="3"/>
  <c r="J304" i="3"/>
  <c r="J221" i="3"/>
  <c r="J227" i="3"/>
  <c r="J217" i="3"/>
  <c r="J167" i="3"/>
  <c r="J151" i="3"/>
  <c r="J135" i="3"/>
  <c r="J119" i="3"/>
  <c r="J103" i="3"/>
  <c r="J87" i="3"/>
  <c r="J71" i="3"/>
  <c r="J55" i="3"/>
  <c r="J39" i="3"/>
  <c r="J23" i="3"/>
  <c r="J200" i="3"/>
  <c r="J9" i="3"/>
  <c r="J394" i="3"/>
  <c r="J360" i="3"/>
  <c r="J340" i="3"/>
  <c r="J264" i="3"/>
  <c r="J326" i="3"/>
  <c r="J257" i="3"/>
  <c r="J268" i="3"/>
  <c r="J331" i="3"/>
  <c r="J241" i="3"/>
  <c r="J218" i="3"/>
  <c r="J213" i="3"/>
  <c r="J311" i="3"/>
  <c r="J282" i="3"/>
  <c r="J166" i="3"/>
  <c r="J150" i="3"/>
  <c r="J134" i="3"/>
  <c r="J118" i="3"/>
  <c r="J102" i="3"/>
  <c r="J86" i="3"/>
  <c r="J70" i="3"/>
  <c r="J54" i="3"/>
  <c r="J38" i="3"/>
  <c r="J22" i="3"/>
  <c r="J198" i="3"/>
  <c r="J8" i="3"/>
  <c r="J182" i="3"/>
  <c r="J41" i="3"/>
  <c r="J82" i="3"/>
  <c r="J124" i="3"/>
  <c r="J169" i="3"/>
  <c r="J274" i="3"/>
  <c r="J300" i="3"/>
  <c r="J276" i="3"/>
  <c r="J336" i="3"/>
  <c r="J400" i="3"/>
  <c r="J175" i="3"/>
  <c r="J42" i="3"/>
  <c r="J85" i="3"/>
  <c r="J129" i="3"/>
  <c r="J170" i="3"/>
  <c r="J302" i="3"/>
  <c r="J321" i="3"/>
  <c r="J280" i="3"/>
  <c r="J339" i="3"/>
  <c r="J405" i="3"/>
  <c r="J179" i="3"/>
  <c r="J44" i="3"/>
  <c r="J89" i="3"/>
  <c r="J130" i="3"/>
  <c r="J172" i="3"/>
  <c r="J237" i="3"/>
  <c r="J323" i="3"/>
  <c r="J288" i="3"/>
  <c r="J343" i="3"/>
  <c r="J406" i="3"/>
  <c r="J252" i="3"/>
  <c r="J234" i="3"/>
  <c r="J50" i="3"/>
  <c r="J92" i="3"/>
  <c r="J137" i="3"/>
  <c r="J181" i="3"/>
  <c r="J222" i="3"/>
  <c r="J381" i="3"/>
  <c r="J318" i="3"/>
  <c r="J346" i="3"/>
  <c r="J206" i="3"/>
  <c r="J219" i="3"/>
  <c r="J162" i="3"/>
  <c r="J367" i="3"/>
  <c r="J37" i="3"/>
  <c r="J122" i="3"/>
  <c r="J236" i="3"/>
  <c r="J256" i="3"/>
  <c r="J49" i="3"/>
  <c r="J133" i="3"/>
  <c r="J259" i="3"/>
  <c r="J297" i="3"/>
  <c r="J12" i="3"/>
  <c r="J53" i="3"/>
  <c r="J97" i="3"/>
  <c r="J138" i="3"/>
  <c r="J226" i="3"/>
  <c r="J223" i="3"/>
  <c r="J261" i="3"/>
  <c r="J324" i="3"/>
  <c r="J351" i="3"/>
  <c r="J74" i="3"/>
  <c r="J161" i="3"/>
  <c r="J188" i="3"/>
  <c r="J121" i="3"/>
  <c r="J253" i="3"/>
  <c r="J209" i="3"/>
  <c r="J81" i="3"/>
  <c r="J263" i="3"/>
  <c r="J335" i="3"/>
  <c r="J196" i="3"/>
  <c r="J90" i="3"/>
  <c r="J178" i="3"/>
  <c r="J329" i="3"/>
  <c r="J344" i="3"/>
  <c r="J187" i="3"/>
  <c r="J57" i="3"/>
  <c r="J98" i="3"/>
  <c r="J140" i="3"/>
  <c r="J208" i="3"/>
  <c r="J231" i="3"/>
  <c r="J292" i="3"/>
  <c r="J378" i="3"/>
  <c r="J352" i="3"/>
  <c r="J17" i="3"/>
  <c r="J58" i="3"/>
  <c r="J101" i="3"/>
  <c r="J145" i="3"/>
  <c r="J306" i="3"/>
  <c r="J215" i="3"/>
  <c r="J281" i="3"/>
  <c r="J373" i="3"/>
  <c r="J18" i="3"/>
  <c r="J60" i="3"/>
  <c r="J105" i="3"/>
  <c r="J146" i="3"/>
  <c r="J191" i="3"/>
  <c r="J224" i="3"/>
  <c r="J285" i="3"/>
  <c r="J298" i="3"/>
  <c r="J358" i="3"/>
  <c r="P393" i="3" l="1"/>
  <c r="O393" i="3"/>
  <c r="N393" i="3"/>
  <c r="M393" i="3"/>
  <c r="L393" i="3"/>
  <c r="K393" i="3"/>
  <c r="P355" i="3"/>
  <c r="M355" i="3"/>
  <c r="K355" i="3"/>
  <c r="O355" i="3"/>
  <c r="N355" i="3"/>
  <c r="L355" i="3"/>
  <c r="P382" i="3"/>
  <c r="O382" i="3"/>
  <c r="N382" i="3"/>
  <c r="M382" i="3"/>
  <c r="L382" i="3"/>
  <c r="K382" i="3"/>
  <c r="P136" i="3"/>
  <c r="O136" i="3"/>
  <c r="N136" i="3"/>
  <c r="M136" i="3"/>
  <c r="L136" i="3"/>
  <c r="K136" i="3"/>
  <c r="P180" i="3"/>
  <c r="O180" i="3"/>
  <c r="M180" i="3"/>
  <c r="N180" i="3"/>
  <c r="L180" i="3"/>
  <c r="K180" i="3"/>
  <c r="P294" i="3"/>
  <c r="O294" i="3"/>
  <c r="N294" i="3"/>
  <c r="M294" i="3"/>
  <c r="L294" i="3"/>
  <c r="K294" i="3"/>
  <c r="P109" i="3"/>
  <c r="O109" i="3"/>
  <c r="N109" i="3"/>
  <c r="M109" i="3"/>
  <c r="L109" i="3"/>
  <c r="K109" i="3"/>
  <c r="P385" i="3"/>
  <c r="O385" i="3"/>
  <c r="N385" i="3"/>
  <c r="M385" i="3"/>
  <c r="L385" i="3"/>
  <c r="K385" i="3"/>
  <c r="O270" i="3"/>
  <c r="N270" i="3"/>
  <c r="M270" i="3"/>
  <c r="L270" i="3"/>
  <c r="K270" i="3"/>
  <c r="P270" i="3"/>
  <c r="P79" i="3"/>
  <c r="O79" i="3"/>
  <c r="N79" i="3"/>
  <c r="M79" i="3"/>
  <c r="L79" i="3"/>
  <c r="K79" i="3"/>
  <c r="P333" i="3"/>
  <c r="O333" i="3"/>
  <c r="N333" i="3"/>
  <c r="M333" i="3"/>
  <c r="L333" i="3"/>
  <c r="K333" i="3"/>
  <c r="P199" i="3"/>
  <c r="O199" i="3"/>
  <c r="N199" i="3"/>
  <c r="M199" i="3"/>
  <c r="L199" i="3"/>
  <c r="K199" i="3"/>
  <c r="P51" i="3"/>
  <c r="O51" i="3"/>
  <c r="N51" i="3"/>
  <c r="M51" i="3"/>
  <c r="L51" i="3"/>
  <c r="K51" i="3"/>
  <c r="P320" i="3"/>
  <c r="O320" i="3"/>
  <c r="N320" i="3"/>
  <c r="M320" i="3"/>
  <c r="L320" i="3"/>
  <c r="K320" i="3"/>
  <c r="P148" i="3"/>
  <c r="O148" i="3"/>
  <c r="N148" i="3"/>
  <c r="M148" i="3"/>
  <c r="L148" i="3"/>
  <c r="K148" i="3"/>
  <c r="P165" i="3"/>
  <c r="O165" i="3"/>
  <c r="N165" i="3"/>
  <c r="M165" i="3"/>
  <c r="L165" i="3"/>
  <c r="K165" i="3"/>
  <c r="P73" i="3"/>
  <c r="O73" i="3"/>
  <c r="N73" i="3"/>
  <c r="M73" i="3"/>
  <c r="L73" i="3"/>
  <c r="K73" i="3"/>
  <c r="U27" i="5"/>
  <c r="T27" i="5"/>
  <c r="R27" i="5"/>
  <c r="S27" i="5"/>
  <c r="U72" i="5"/>
  <c r="T72" i="5"/>
  <c r="S72" i="5"/>
  <c r="R72" i="5"/>
  <c r="U45" i="5"/>
  <c r="T45" i="5"/>
  <c r="S45" i="5"/>
  <c r="R45" i="5"/>
  <c r="S39" i="5"/>
  <c r="R39" i="5"/>
  <c r="U39" i="5"/>
  <c r="T39" i="5"/>
  <c r="U93" i="5"/>
  <c r="T93" i="5"/>
  <c r="S93" i="5"/>
  <c r="R93" i="5"/>
  <c r="U61" i="5"/>
  <c r="T61" i="5"/>
  <c r="S61" i="5"/>
  <c r="R61" i="5"/>
  <c r="R79" i="5"/>
  <c r="U79" i="5"/>
  <c r="T79" i="5"/>
  <c r="S79" i="5"/>
  <c r="U142" i="5"/>
  <c r="T142" i="5"/>
  <c r="S142" i="5"/>
  <c r="R142" i="5"/>
  <c r="T123" i="5"/>
  <c r="S123" i="5"/>
  <c r="R123" i="5"/>
  <c r="U123" i="5"/>
  <c r="U167" i="5"/>
  <c r="T167" i="5"/>
  <c r="S167" i="5"/>
  <c r="R167" i="5"/>
  <c r="U241" i="5"/>
  <c r="S241" i="5"/>
  <c r="T241" i="5"/>
  <c r="R241" i="5"/>
  <c r="U176" i="5"/>
  <c r="T176" i="5"/>
  <c r="S176" i="5"/>
  <c r="R176" i="5"/>
  <c r="U227" i="5"/>
  <c r="T227" i="5"/>
  <c r="R227" i="5"/>
  <c r="S227" i="5"/>
  <c r="U216" i="5"/>
  <c r="T216" i="5"/>
  <c r="S216" i="5"/>
  <c r="R216" i="5"/>
  <c r="U195" i="5"/>
  <c r="T195" i="5"/>
  <c r="R195" i="5"/>
  <c r="S195" i="5"/>
  <c r="U245" i="5"/>
  <c r="T245" i="5"/>
  <c r="S245" i="5"/>
  <c r="R245" i="5"/>
  <c r="U266" i="5"/>
  <c r="T266" i="5"/>
  <c r="S266" i="5"/>
  <c r="R266" i="5"/>
  <c r="U252" i="5"/>
  <c r="T252" i="5"/>
  <c r="S252" i="5"/>
  <c r="R252" i="5"/>
  <c r="U313" i="5"/>
  <c r="R313" i="5"/>
  <c r="T313" i="5"/>
  <c r="S313" i="5"/>
  <c r="U323" i="5"/>
  <c r="T323" i="5"/>
  <c r="S323" i="5"/>
  <c r="R323" i="5"/>
  <c r="U396" i="5"/>
  <c r="T396" i="5"/>
  <c r="R396" i="5"/>
  <c r="S396" i="5"/>
  <c r="U367" i="5"/>
  <c r="T367" i="5"/>
  <c r="R367" i="5"/>
  <c r="S367" i="5"/>
  <c r="S321" i="5"/>
  <c r="R321" i="5"/>
  <c r="U321" i="5"/>
  <c r="T321" i="5"/>
  <c r="U364" i="5"/>
  <c r="T364" i="5"/>
  <c r="S364" i="5"/>
  <c r="R364" i="5"/>
  <c r="U404" i="5"/>
  <c r="T404" i="5"/>
  <c r="S404" i="5"/>
  <c r="R404" i="5"/>
  <c r="P153" i="3"/>
  <c r="O153" i="3"/>
  <c r="N153" i="3"/>
  <c r="M153" i="3"/>
  <c r="L153" i="3"/>
  <c r="K153" i="3"/>
  <c r="P310" i="3"/>
  <c r="O310" i="3"/>
  <c r="N310" i="3"/>
  <c r="M310" i="3"/>
  <c r="L310" i="3"/>
  <c r="K310" i="3"/>
  <c r="P95" i="3"/>
  <c r="O95" i="3"/>
  <c r="N95" i="3"/>
  <c r="M95" i="3"/>
  <c r="L95" i="3"/>
  <c r="K95" i="3"/>
  <c r="P349" i="3"/>
  <c r="O349" i="3"/>
  <c r="N349" i="3"/>
  <c r="M349" i="3"/>
  <c r="L349" i="3"/>
  <c r="K349" i="3"/>
  <c r="O228" i="3"/>
  <c r="N228" i="3"/>
  <c r="M228" i="3"/>
  <c r="L228" i="3"/>
  <c r="P228" i="3"/>
  <c r="K228" i="3"/>
  <c r="P67" i="3"/>
  <c r="O67" i="3"/>
  <c r="N67" i="3"/>
  <c r="M67" i="3"/>
  <c r="L67" i="3"/>
  <c r="K67" i="3"/>
  <c r="P314" i="3"/>
  <c r="O314" i="3"/>
  <c r="N314" i="3"/>
  <c r="M314" i="3"/>
  <c r="L314" i="3"/>
  <c r="K314" i="3"/>
  <c r="P164" i="3"/>
  <c r="O164" i="3"/>
  <c r="N164" i="3"/>
  <c r="M164" i="3"/>
  <c r="L164" i="3"/>
  <c r="K164" i="3"/>
  <c r="P397" i="3"/>
  <c r="O397" i="3"/>
  <c r="N397" i="3"/>
  <c r="M397" i="3"/>
  <c r="L397" i="3"/>
  <c r="K397" i="3"/>
  <c r="P28" i="3"/>
  <c r="O28" i="3"/>
  <c r="N28" i="3"/>
  <c r="M28" i="3"/>
  <c r="L28" i="3"/>
  <c r="K28" i="3"/>
  <c r="U5" i="5"/>
  <c r="T5" i="5"/>
  <c r="S5" i="5"/>
  <c r="R5" i="5"/>
  <c r="U42" i="5"/>
  <c r="T42" i="5"/>
  <c r="S42" i="5"/>
  <c r="R42" i="5"/>
  <c r="U65" i="5"/>
  <c r="T65" i="5"/>
  <c r="S65" i="5"/>
  <c r="R65" i="5"/>
  <c r="S47" i="5"/>
  <c r="R47" i="5"/>
  <c r="U47" i="5"/>
  <c r="T47" i="5"/>
  <c r="U103" i="5"/>
  <c r="R103" i="5"/>
  <c r="T103" i="5"/>
  <c r="S103" i="5"/>
  <c r="U69" i="5"/>
  <c r="T69" i="5"/>
  <c r="S69" i="5"/>
  <c r="R69" i="5"/>
  <c r="R87" i="5"/>
  <c r="S87" i="5"/>
  <c r="T87" i="5"/>
  <c r="U87" i="5"/>
  <c r="U159" i="5"/>
  <c r="T159" i="5"/>
  <c r="S159" i="5"/>
  <c r="R159" i="5"/>
  <c r="T133" i="5"/>
  <c r="S133" i="5"/>
  <c r="R133" i="5"/>
  <c r="U133" i="5"/>
  <c r="U150" i="5"/>
  <c r="T150" i="5"/>
  <c r="S150" i="5"/>
  <c r="R150" i="5"/>
  <c r="T137" i="5"/>
  <c r="S137" i="5"/>
  <c r="R137" i="5"/>
  <c r="U137" i="5"/>
  <c r="U184" i="5"/>
  <c r="T184" i="5"/>
  <c r="S184" i="5"/>
  <c r="R184" i="5"/>
  <c r="U163" i="5"/>
  <c r="T163" i="5"/>
  <c r="S163" i="5"/>
  <c r="R163" i="5"/>
  <c r="U220" i="5"/>
  <c r="T220" i="5"/>
  <c r="S220" i="5"/>
  <c r="R220" i="5"/>
  <c r="R203" i="5"/>
  <c r="U203" i="5"/>
  <c r="T203" i="5"/>
  <c r="S203" i="5"/>
  <c r="U263" i="5"/>
  <c r="T263" i="5"/>
  <c r="S263" i="5"/>
  <c r="R263" i="5"/>
  <c r="U232" i="5"/>
  <c r="T232" i="5"/>
  <c r="S232" i="5"/>
  <c r="R232" i="5"/>
  <c r="U260" i="5"/>
  <c r="T260" i="5"/>
  <c r="S260" i="5"/>
  <c r="R260" i="5"/>
  <c r="T277" i="5"/>
  <c r="R277" i="5"/>
  <c r="U277" i="5"/>
  <c r="S277" i="5"/>
  <c r="R286" i="5"/>
  <c r="T286" i="5"/>
  <c r="S286" i="5"/>
  <c r="U286" i="5"/>
  <c r="U318" i="5"/>
  <c r="R318" i="5"/>
  <c r="T318" i="5"/>
  <c r="S318" i="5"/>
  <c r="U348" i="5"/>
  <c r="T348" i="5"/>
  <c r="S348" i="5"/>
  <c r="R348" i="5"/>
  <c r="S329" i="5"/>
  <c r="R329" i="5"/>
  <c r="U329" i="5"/>
  <c r="T329" i="5"/>
  <c r="U372" i="5"/>
  <c r="T372" i="5"/>
  <c r="S372" i="5"/>
  <c r="R372" i="5"/>
  <c r="U397" i="5"/>
  <c r="T397" i="5"/>
  <c r="S397" i="5"/>
  <c r="R397" i="5"/>
  <c r="P108" i="3"/>
  <c r="O108" i="3"/>
  <c r="N108" i="3"/>
  <c r="M108" i="3"/>
  <c r="L108" i="3"/>
  <c r="K108" i="3"/>
  <c r="P328" i="3"/>
  <c r="O328" i="3"/>
  <c r="N328" i="3"/>
  <c r="M328" i="3"/>
  <c r="L328" i="3"/>
  <c r="K328" i="3"/>
  <c r="P168" i="3"/>
  <c r="O168" i="3"/>
  <c r="N168" i="3"/>
  <c r="M168" i="3"/>
  <c r="L168" i="3"/>
  <c r="K168" i="3"/>
  <c r="P27" i="3"/>
  <c r="O27" i="3"/>
  <c r="N27" i="3"/>
  <c r="M27" i="3"/>
  <c r="L27" i="3"/>
  <c r="K27" i="3"/>
  <c r="O246" i="3"/>
  <c r="N246" i="3"/>
  <c r="M246" i="3"/>
  <c r="L246" i="3"/>
  <c r="K246" i="3"/>
  <c r="P246" i="3"/>
  <c r="P141" i="3"/>
  <c r="O141" i="3"/>
  <c r="N141" i="3"/>
  <c r="M141" i="3"/>
  <c r="L141" i="3"/>
  <c r="K141" i="3"/>
  <c r="P204" i="3"/>
  <c r="O204" i="3"/>
  <c r="N204" i="3"/>
  <c r="M204" i="3"/>
  <c r="L204" i="3"/>
  <c r="K204" i="3"/>
  <c r="N262" i="3"/>
  <c r="M262" i="3"/>
  <c r="L262" i="3"/>
  <c r="K262" i="3"/>
  <c r="P262" i="3"/>
  <c r="O262" i="3"/>
  <c r="P111" i="3"/>
  <c r="O111" i="3"/>
  <c r="N111" i="3"/>
  <c r="M111" i="3"/>
  <c r="L111" i="3"/>
  <c r="K111" i="3"/>
  <c r="L387" i="3"/>
  <c r="K387" i="3"/>
  <c r="P387" i="3"/>
  <c r="O387" i="3"/>
  <c r="N387" i="3"/>
  <c r="M387" i="3"/>
  <c r="M212" i="3"/>
  <c r="P212" i="3"/>
  <c r="O212" i="3"/>
  <c r="N212" i="3"/>
  <c r="L212" i="3"/>
  <c r="K212" i="3"/>
  <c r="P83" i="3"/>
  <c r="O83" i="3"/>
  <c r="N83" i="3"/>
  <c r="M83" i="3"/>
  <c r="L83" i="3"/>
  <c r="K83" i="3"/>
  <c r="P337" i="3"/>
  <c r="O337" i="3"/>
  <c r="N337" i="3"/>
  <c r="M337" i="3"/>
  <c r="L337" i="3"/>
  <c r="K337" i="3"/>
  <c r="P205" i="3"/>
  <c r="O205" i="3"/>
  <c r="N205" i="3"/>
  <c r="M205" i="3"/>
  <c r="L205" i="3"/>
  <c r="K205" i="3"/>
  <c r="P313" i="3"/>
  <c r="O313" i="3"/>
  <c r="N313" i="3"/>
  <c r="M313" i="3"/>
  <c r="L313" i="3"/>
  <c r="K313" i="3"/>
  <c r="P389" i="3"/>
  <c r="O389" i="3"/>
  <c r="N389" i="3"/>
  <c r="M389" i="3"/>
  <c r="L389" i="3"/>
  <c r="K389" i="3"/>
  <c r="U25" i="5"/>
  <c r="T25" i="5"/>
  <c r="S25" i="5"/>
  <c r="R25" i="5"/>
  <c r="U49" i="5"/>
  <c r="T49" i="5"/>
  <c r="S49" i="5"/>
  <c r="R49" i="5"/>
  <c r="U7" i="5"/>
  <c r="T7" i="5"/>
  <c r="S7" i="5"/>
  <c r="R7" i="5"/>
  <c r="U73" i="5"/>
  <c r="T73" i="5"/>
  <c r="S73" i="5"/>
  <c r="R73" i="5"/>
  <c r="U126" i="5"/>
  <c r="T126" i="5"/>
  <c r="S126" i="5"/>
  <c r="R126" i="5"/>
  <c r="U77" i="5"/>
  <c r="T77" i="5"/>
  <c r="S77" i="5"/>
  <c r="R77" i="5"/>
  <c r="T102" i="5"/>
  <c r="R102" i="5"/>
  <c r="S102" i="5"/>
  <c r="U102" i="5"/>
  <c r="U134" i="5"/>
  <c r="T134" i="5"/>
  <c r="S134" i="5"/>
  <c r="R134" i="5"/>
  <c r="T139" i="5"/>
  <c r="S139" i="5"/>
  <c r="R139" i="5"/>
  <c r="U139" i="5"/>
  <c r="U182" i="5"/>
  <c r="T182" i="5"/>
  <c r="S182" i="5"/>
  <c r="R182" i="5"/>
  <c r="T145" i="5"/>
  <c r="S145" i="5"/>
  <c r="R145" i="5"/>
  <c r="U145" i="5"/>
  <c r="U190" i="5"/>
  <c r="T190" i="5"/>
  <c r="S190" i="5"/>
  <c r="R190" i="5"/>
  <c r="R171" i="5"/>
  <c r="U171" i="5"/>
  <c r="T171" i="5"/>
  <c r="S171" i="5"/>
  <c r="U225" i="5"/>
  <c r="T225" i="5"/>
  <c r="S225" i="5"/>
  <c r="R225" i="5"/>
  <c r="R211" i="5"/>
  <c r="U211" i="5"/>
  <c r="T211" i="5"/>
  <c r="S211" i="5"/>
  <c r="T250" i="5"/>
  <c r="S250" i="5"/>
  <c r="R250" i="5"/>
  <c r="U250" i="5"/>
  <c r="U240" i="5"/>
  <c r="T240" i="5"/>
  <c r="S240" i="5"/>
  <c r="R240" i="5"/>
  <c r="U268" i="5"/>
  <c r="T268" i="5"/>
  <c r="S268" i="5"/>
  <c r="R268" i="5"/>
  <c r="S280" i="5"/>
  <c r="R280" i="5"/>
  <c r="T280" i="5"/>
  <c r="U280" i="5"/>
  <c r="R294" i="5"/>
  <c r="U294" i="5"/>
  <c r="T294" i="5"/>
  <c r="S294" i="5"/>
  <c r="U357" i="5"/>
  <c r="T357" i="5"/>
  <c r="S357" i="5"/>
  <c r="R357" i="5"/>
  <c r="U356" i="5"/>
  <c r="T356" i="5"/>
  <c r="S356" i="5"/>
  <c r="R356" i="5"/>
  <c r="S337" i="5"/>
  <c r="R337" i="5"/>
  <c r="U337" i="5"/>
  <c r="T337" i="5"/>
  <c r="U380" i="5"/>
  <c r="T380" i="5"/>
  <c r="S380" i="5"/>
  <c r="R380" i="5"/>
  <c r="U398" i="5"/>
  <c r="T398" i="5"/>
  <c r="S398" i="5"/>
  <c r="R398" i="5"/>
  <c r="P66" i="3"/>
  <c r="O66" i="3"/>
  <c r="N66" i="3"/>
  <c r="M66" i="3"/>
  <c r="L66" i="3"/>
  <c r="K66" i="3"/>
  <c r="P291" i="3"/>
  <c r="O291" i="3"/>
  <c r="N291" i="3"/>
  <c r="L291" i="3"/>
  <c r="K291" i="3"/>
  <c r="M291" i="3"/>
  <c r="P186" i="3"/>
  <c r="O186" i="3"/>
  <c r="M186" i="3"/>
  <c r="N186" i="3"/>
  <c r="L186" i="3"/>
  <c r="K186" i="3"/>
  <c r="P43" i="3"/>
  <c r="O43" i="3"/>
  <c r="N43" i="3"/>
  <c r="M43" i="3"/>
  <c r="L43" i="3"/>
  <c r="K43" i="3"/>
  <c r="O284" i="3"/>
  <c r="N284" i="3"/>
  <c r="M284" i="3"/>
  <c r="L284" i="3"/>
  <c r="K284" i="3"/>
  <c r="P284" i="3"/>
  <c r="P157" i="3"/>
  <c r="O157" i="3"/>
  <c r="N157" i="3"/>
  <c r="M157" i="3"/>
  <c r="L157" i="3"/>
  <c r="K157" i="3"/>
  <c r="P14" i="3"/>
  <c r="O14" i="3"/>
  <c r="N14" i="3"/>
  <c r="M14" i="3"/>
  <c r="L14" i="3"/>
  <c r="K14" i="3"/>
  <c r="P376" i="3"/>
  <c r="O376" i="3"/>
  <c r="N376" i="3"/>
  <c r="M376" i="3"/>
  <c r="L376" i="3"/>
  <c r="K376" i="3"/>
  <c r="P127" i="3"/>
  <c r="O127" i="3"/>
  <c r="N127" i="3"/>
  <c r="M127" i="3"/>
  <c r="L127" i="3"/>
  <c r="K127" i="3"/>
  <c r="L403" i="3"/>
  <c r="K403" i="3"/>
  <c r="P403" i="3"/>
  <c r="N403" i="3"/>
  <c r="M403" i="3"/>
  <c r="O403" i="3"/>
  <c r="O225" i="3"/>
  <c r="N225" i="3"/>
  <c r="M225" i="3"/>
  <c r="L225" i="3"/>
  <c r="K225" i="3"/>
  <c r="P225" i="3"/>
  <c r="P99" i="3"/>
  <c r="O99" i="3"/>
  <c r="N99" i="3"/>
  <c r="M99" i="3"/>
  <c r="L99" i="3"/>
  <c r="K99" i="3"/>
  <c r="P353" i="3"/>
  <c r="O353" i="3"/>
  <c r="N353" i="3"/>
  <c r="M353" i="3"/>
  <c r="L353" i="3"/>
  <c r="K353" i="3"/>
  <c r="P183" i="3"/>
  <c r="O183" i="3"/>
  <c r="M183" i="3"/>
  <c r="K183" i="3"/>
  <c r="L183" i="3"/>
  <c r="N183" i="3"/>
  <c r="O216" i="3"/>
  <c r="N216" i="3"/>
  <c r="M216" i="3"/>
  <c r="L216" i="3"/>
  <c r="P216" i="3"/>
  <c r="K216" i="3"/>
  <c r="P379" i="3"/>
  <c r="O379" i="3"/>
  <c r="N379" i="3"/>
  <c r="M379" i="3"/>
  <c r="L379" i="3"/>
  <c r="K379" i="3"/>
  <c r="U52" i="5"/>
  <c r="T52" i="5"/>
  <c r="S52" i="5"/>
  <c r="R52" i="5"/>
  <c r="U51" i="5"/>
  <c r="T51" i="5"/>
  <c r="S51" i="5"/>
  <c r="R51" i="5"/>
  <c r="U58" i="5"/>
  <c r="R58" i="5"/>
  <c r="T58" i="5"/>
  <c r="S58" i="5"/>
  <c r="U80" i="5"/>
  <c r="T80" i="5"/>
  <c r="S80" i="5"/>
  <c r="R80" i="5"/>
  <c r="U67" i="5"/>
  <c r="T67" i="5"/>
  <c r="S67" i="5"/>
  <c r="R67" i="5"/>
  <c r="U85" i="5"/>
  <c r="T85" i="5"/>
  <c r="S85" i="5"/>
  <c r="R85" i="5"/>
  <c r="U109" i="5"/>
  <c r="T109" i="5"/>
  <c r="S109" i="5"/>
  <c r="R109" i="5"/>
  <c r="U172" i="5"/>
  <c r="T172" i="5"/>
  <c r="S172" i="5"/>
  <c r="R172" i="5"/>
  <c r="T135" i="5"/>
  <c r="S135" i="5"/>
  <c r="U135" i="5"/>
  <c r="R135" i="5"/>
  <c r="U197" i="5"/>
  <c r="T197" i="5"/>
  <c r="S197" i="5"/>
  <c r="R197" i="5"/>
  <c r="T153" i="5"/>
  <c r="S153" i="5"/>
  <c r="R153" i="5"/>
  <c r="U153" i="5"/>
  <c r="U161" i="5"/>
  <c r="T161" i="5"/>
  <c r="S161" i="5"/>
  <c r="R161" i="5"/>
  <c r="R179" i="5"/>
  <c r="U179" i="5"/>
  <c r="T179" i="5"/>
  <c r="S179" i="5"/>
  <c r="U229" i="5"/>
  <c r="T229" i="5"/>
  <c r="S229" i="5"/>
  <c r="R229" i="5"/>
  <c r="U248" i="5"/>
  <c r="T248" i="5"/>
  <c r="S248" i="5"/>
  <c r="R248" i="5"/>
  <c r="U255" i="5"/>
  <c r="T255" i="5"/>
  <c r="S255" i="5"/>
  <c r="R255" i="5"/>
  <c r="U258" i="5"/>
  <c r="T258" i="5"/>
  <c r="S258" i="5"/>
  <c r="R258" i="5"/>
  <c r="T276" i="5"/>
  <c r="R276" i="5"/>
  <c r="U276" i="5"/>
  <c r="S276" i="5"/>
  <c r="U290" i="5"/>
  <c r="T290" i="5"/>
  <c r="S290" i="5"/>
  <c r="R290" i="5"/>
  <c r="R302" i="5"/>
  <c r="U302" i="5"/>
  <c r="T302" i="5"/>
  <c r="S302" i="5"/>
  <c r="T325" i="5"/>
  <c r="S325" i="5"/>
  <c r="R325" i="5"/>
  <c r="U325" i="5"/>
  <c r="U394" i="5"/>
  <c r="T394" i="5"/>
  <c r="S394" i="5"/>
  <c r="R394" i="5"/>
  <c r="S345" i="5"/>
  <c r="R345" i="5"/>
  <c r="U345" i="5"/>
  <c r="T345" i="5"/>
  <c r="U390" i="5"/>
  <c r="T390" i="5"/>
  <c r="S390" i="5"/>
  <c r="R390" i="5"/>
  <c r="T401" i="5"/>
  <c r="U401" i="5"/>
  <c r="S401" i="5"/>
  <c r="R401" i="5"/>
  <c r="P25" i="3"/>
  <c r="O25" i="3"/>
  <c r="N25" i="3"/>
  <c r="M25" i="3"/>
  <c r="L25" i="3"/>
  <c r="K25" i="3"/>
  <c r="U199" i="5"/>
  <c r="T199" i="5"/>
  <c r="S199" i="5"/>
  <c r="R199" i="5"/>
  <c r="T164" i="5"/>
  <c r="S164" i="5"/>
  <c r="R164" i="5"/>
  <c r="U164" i="5"/>
  <c r="U169" i="5"/>
  <c r="T169" i="5"/>
  <c r="S169" i="5"/>
  <c r="R169" i="5"/>
  <c r="R204" i="5"/>
  <c r="U204" i="5"/>
  <c r="T204" i="5"/>
  <c r="S204" i="5"/>
  <c r="T242" i="5"/>
  <c r="U242" i="5"/>
  <c r="S242" i="5"/>
  <c r="R242" i="5"/>
  <c r="R278" i="5"/>
  <c r="U278" i="5"/>
  <c r="S278" i="5"/>
  <c r="T278" i="5"/>
  <c r="U305" i="5"/>
  <c r="T305" i="5"/>
  <c r="S305" i="5"/>
  <c r="R305" i="5"/>
  <c r="T282" i="5"/>
  <c r="S282" i="5"/>
  <c r="U282" i="5"/>
  <c r="R282" i="5"/>
  <c r="T284" i="5"/>
  <c r="R284" i="5"/>
  <c r="U284" i="5"/>
  <c r="S284" i="5"/>
  <c r="U306" i="5"/>
  <c r="T306" i="5"/>
  <c r="S306" i="5"/>
  <c r="R306" i="5"/>
  <c r="R310" i="5"/>
  <c r="U310" i="5"/>
  <c r="T310" i="5"/>
  <c r="S310" i="5"/>
  <c r="T332" i="5"/>
  <c r="S332" i="5"/>
  <c r="R332" i="5"/>
  <c r="U332" i="5"/>
  <c r="U359" i="5"/>
  <c r="T359" i="5"/>
  <c r="S359" i="5"/>
  <c r="R359" i="5"/>
  <c r="S353" i="5"/>
  <c r="R353" i="5"/>
  <c r="U353" i="5"/>
  <c r="T353" i="5"/>
  <c r="T365" i="5"/>
  <c r="S365" i="5"/>
  <c r="R365" i="5"/>
  <c r="U365" i="5"/>
  <c r="U391" i="5"/>
  <c r="T391" i="5"/>
  <c r="S391" i="5"/>
  <c r="R391" i="5"/>
  <c r="L361" i="3"/>
  <c r="K361" i="3"/>
  <c r="P361" i="3"/>
  <c r="N361" i="3"/>
  <c r="M361" i="3"/>
  <c r="O361" i="3"/>
  <c r="U156" i="5"/>
  <c r="T156" i="5"/>
  <c r="S156" i="5"/>
  <c r="R156" i="5"/>
  <c r="R181" i="5"/>
  <c r="T181" i="5"/>
  <c r="S181" i="5"/>
  <c r="U181" i="5"/>
  <c r="U177" i="5"/>
  <c r="T177" i="5"/>
  <c r="S177" i="5"/>
  <c r="R177" i="5"/>
  <c r="R205" i="5"/>
  <c r="U205" i="5"/>
  <c r="T205" i="5"/>
  <c r="S205" i="5"/>
  <c r="U193" i="5"/>
  <c r="T193" i="5"/>
  <c r="S193" i="5"/>
  <c r="R193" i="5"/>
  <c r="T222" i="5"/>
  <c r="S222" i="5"/>
  <c r="U222" i="5"/>
  <c r="R222" i="5"/>
  <c r="U230" i="5"/>
  <c r="T230" i="5"/>
  <c r="S230" i="5"/>
  <c r="R230" i="5"/>
  <c r="U316" i="5"/>
  <c r="T316" i="5"/>
  <c r="S316" i="5"/>
  <c r="R316" i="5"/>
  <c r="U287" i="5"/>
  <c r="T287" i="5"/>
  <c r="S287" i="5"/>
  <c r="R287" i="5"/>
  <c r="U327" i="5"/>
  <c r="T327" i="5"/>
  <c r="S327" i="5"/>
  <c r="R327" i="5"/>
  <c r="R314" i="5"/>
  <c r="U314" i="5"/>
  <c r="T314" i="5"/>
  <c r="S314" i="5"/>
  <c r="T339" i="5"/>
  <c r="S339" i="5"/>
  <c r="R339" i="5"/>
  <c r="U339" i="5"/>
  <c r="R402" i="5"/>
  <c r="U402" i="5"/>
  <c r="T402" i="5"/>
  <c r="S402" i="5"/>
  <c r="S322" i="5"/>
  <c r="U322" i="5"/>
  <c r="T322" i="5"/>
  <c r="R322" i="5"/>
  <c r="U373" i="5"/>
  <c r="T373" i="5"/>
  <c r="S373" i="5"/>
  <c r="R373" i="5"/>
  <c r="U399" i="5"/>
  <c r="T399" i="5"/>
  <c r="S399" i="5"/>
  <c r="R399" i="5"/>
  <c r="K283" i="3"/>
  <c r="P283" i="3"/>
  <c r="O283" i="3"/>
  <c r="M283" i="3"/>
  <c r="L283" i="3"/>
  <c r="N283" i="3"/>
  <c r="L395" i="3"/>
  <c r="K395" i="3"/>
  <c r="P395" i="3"/>
  <c r="O395" i="3"/>
  <c r="N395" i="3"/>
  <c r="M395" i="3"/>
  <c r="P370" i="3"/>
  <c r="O370" i="3"/>
  <c r="N370" i="3"/>
  <c r="M370" i="3"/>
  <c r="L370" i="3"/>
  <c r="K370" i="3"/>
  <c r="P91" i="3"/>
  <c r="O91" i="3"/>
  <c r="N91" i="3"/>
  <c r="M91" i="3"/>
  <c r="L91" i="3"/>
  <c r="K91" i="3"/>
  <c r="P345" i="3"/>
  <c r="O345" i="3"/>
  <c r="N345" i="3"/>
  <c r="M345" i="3"/>
  <c r="L345" i="3"/>
  <c r="K345" i="3"/>
  <c r="O220" i="3"/>
  <c r="N220" i="3"/>
  <c r="M220" i="3"/>
  <c r="L220" i="3"/>
  <c r="P220" i="3"/>
  <c r="K220" i="3"/>
  <c r="P62" i="3"/>
  <c r="O62" i="3"/>
  <c r="N62" i="3"/>
  <c r="M62" i="3"/>
  <c r="L62" i="3"/>
  <c r="K62" i="3"/>
  <c r="K271" i="3"/>
  <c r="P271" i="3"/>
  <c r="O271" i="3"/>
  <c r="M271" i="3"/>
  <c r="L271" i="3"/>
  <c r="N271" i="3"/>
  <c r="P184" i="3"/>
  <c r="O184" i="3"/>
  <c r="M184" i="3"/>
  <c r="N184" i="3"/>
  <c r="L184" i="3"/>
  <c r="K184" i="3"/>
  <c r="P32" i="3"/>
  <c r="O32" i="3"/>
  <c r="N32" i="3"/>
  <c r="M32" i="3"/>
  <c r="L32" i="3"/>
  <c r="K32" i="3"/>
  <c r="O251" i="3"/>
  <c r="N251" i="3"/>
  <c r="M251" i="3"/>
  <c r="L251" i="3"/>
  <c r="K251" i="3"/>
  <c r="P251" i="3"/>
  <c r="P147" i="3"/>
  <c r="O147" i="3"/>
  <c r="N147" i="3"/>
  <c r="M147" i="3"/>
  <c r="L147" i="3"/>
  <c r="K147" i="3"/>
  <c r="O176" i="3"/>
  <c r="M176" i="3"/>
  <c r="P176" i="3"/>
  <c r="N176" i="3"/>
  <c r="L176" i="3"/>
  <c r="K176" i="3"/>
  <c r="P210" i="3"/>
  <c r="O210" i="3"/>
  <c r="N210" i="3"/>
  <c r="M210" i="3"/>
  <c r="L210" i="3"/>
  <c r="K210" i="3"/>
  <c r="P359" i="3"/>
  <c r="O359" i="3"/>
  <c r="N359" i="3"/>
  <c r="M359" i="3"/>
  <c r="L359" i="3"/>
  <c r="K359" i="3"/>
  <c r="M214" i="3"/>
  <c r="L214" i="3"/>
  <c r="P214" i="3"/>
  <c r="O214" i="3"/>
  <c r="N214" i="3"/>
  <c r="K214" i="3"/>
  <c r="U50" i="5"/>
  <c r="T50" i="5"/>
  <c r="S50" i="5"/>
  <c r="R50" i="5"/>
  <c r="U43" i="5"/>
  <c r="T43" i="5"/>
  <c r="S43" i="5"/>
  <c r="R43" i="5"/>
  <c r="U14" i="5"/>
  <c r="T14" i="5"/>
  <c r="S14" i="5"/>
  <c r="R14" i="5"/>
  <c r="U9" i="5"/>
  <c r="T9" i="5"/>
  <c r="S9" i="5"/>
  <c r="R9" i="5"/>
  <c r="U91" i="5"/>
  <c r="T91" i="5"/>
  <c r="S91" i="5"/>
  <c r="R91" i="5"/>
  <c r="U104" i="5"/>
  <c r="T104" i="5"/>
  <c r="S104" i="5"/>
  <c r="R104" i="5"/>
  <c r="U174" i="5"/>
  <c r="T174" i="5"/>
  <c r="S174" i="5"/>
  <c r="R174" i="5"/>
  <c r="U121" i="5"/>
  <c r="T121" i="5"/>
  <c r="S121" i="5"/>
  <c r="R121" i="5"/>
  <c r="R92" i="5"/>
  <c r="U92" i="5"/>
  <c r="T92" i="5"/>
  <c r="S92" i="5"/>
  <c r="U143" i="5"/>
  <c r="T143" i="5"/>
  <c r="S143" i="5"/>
  <c r="R143" i="5"/>
  <c r="R130" i="5"/>
  <c r="U130" i="5"/>
  <c r="T130" i="5"/>
  <c r="S130" i="5"/>
  <c r="U185" i="5"/>
  <c r="T185" i="5"/>
  <c r="S185" i="5"/>
  <c r="R185" i="5"/>
  <c r="U214" i="5"/>
  <c r="T214" i="5"/>
  <c r="S214" i="5"/>
  <c r="R214" i="5"/>
  <c r="U201" i="5"/>
  <c r="T201" i="5"/>
  <c r="S201" i="5"/>
  <c r="R201" i="5"/>
  <c r="U224" i="5"/>
  <c r="R224" i="5"/>
  <c r="T224" i="5"/>
  <c r="S224" i="5"/>
  <c r="U238" i="5"/>
  <c r="T238" i="5"/>
  <c r="S238" i="5"/>
  <c r="R238" i="5"/>
  <c r="U288" i="5"/>
  <c r="T288" i="5"/>
  <c r="S288" i="5"/>
  <c r="R288" i="5"/>
  <c r="U304" i="5"/>
  <c r="T304" i="5"/>
  <c r="S304" i="5"/>
  <c r="R304" i="5"/>
  <c r="U334" i="5"/>
  <c r="T334" i="5"/>
  <c r="S334" i="5"/>
  <c r="R334" i="5"/>
  <c r="T319" i="5"/>
  <c r="S319" i="5"/>
  <c r="R319" i="5"/>
  <c r="U319" i="5"/>
  <c r="S347" i="5"/>
  <c r="U347" i="5"/>
  <c r="T347" i="5"/>
  <c r="R347" i="5"/>
  <c r="U343" i="5"/>
  <c r="T343" i="5"/>
  <c r="S343" i="5"/>
  <c r="R343" i="5"/>
  <c r="U330" i="5"/>
  <c r="T330" i="5"/>
  <c r="S330" i="5"/>
  <c r="R330" i="5"/>
  <c r="T386" i="5"/>
  <c r="S386" i="5"/>
  <c r="R386" i="5"/>
  <c r="U386" i="5"/>
  <c r="T392" i="5"/>
  <c r="S392" i="5"/>
  <c r="R392" i="5"/>
  <c r="U392" i="5"/>
  <c r="P260" i="3"/>
  <c r="O260" i="3"/>
  <c r="N260" i="3"/>
  <c r="M260" i="3"/>
  <c r="L260" i="3"/>
  <c r="K260" i="3"/>
  <c r="P93" i="3"/>
  <c r="O93" i="3"/>
  <c r="N93" i="3"/>
  <c r="M93" i="3"/>
  <c r="L93" i="3"/>
  <c r="K93" i="3"/>
  <c r="O245" i="3"/>
  <c r="N245" i="3"/>
  <c r="M245" i="3"/>
  <c r="L245" i="3"/>
  <c r="P245" i="3"/>
  <c r="K245" i="3"/>
  <c r="U117" i="5"/>
  <c r="T117" i="5"/>
  <c r="S117" i="5"/>
  <c r="R117" i="5"/>
  <c r="P194" i="3"/>
  <c r="O194" i="3"/>
  <c r="N194" i="3"/>
  <c r="M194" i="3"/>
  <c r="L194" i="3"/>
  <c r="K194" i="3"/>
  <c r="P327" i="3"/>
  <c r="O327" i="3"/>
  <c r="N327" i="3"/>
  <c r="M327" i="3"/>
  <c r="L327" i="3"/>
  <c r="K327" i="3"/>
  <c r="P296" i="3"/>
  <c r="O296" i="3"/>
  <c r="N296" i="3"/>
  <c r="M296" i="3"/>
  <c r="L296" i="3"/>
  <c r="K296" i="3"/>
  <c r="P154" i="3"/>
  <c r="O154" i="3"/>
  <c r="N154" i="3"/>
  <c r="M154" i="3"/>
  <c r="L154" i="3"/>
  <c r="K154" i="3"/>
  <c r="U89" i="5"/>
  <c r="T89" i="5"/>
  <c r="S89" i="5"/>
  <c r="R89" i="5"/>
  <c r="U12" i="5"/>
  <c r="T12" i="5"/>
  <c r="S12" i="5"/>
  <c r="R12" i="5"/>
  <c r="U22" i="5"/>
  <c r="T22" i="5"/>
  <c r="S22" i="5"/>
  <c r="R22" i="5"/>
  <c r="S16" i="5"/>
  <c r="R16" i="5"/>
  <c r="U16" i="5"/>
  <c r="T16" i="5"/>
  <c r="U101" i="5"/>
  <c r="T101" i="5"/>
  <c r="S101" i="5"/>
  <c r="R101" i="5"/>
  <c r="T54" i="5"/>
  <c r="S54" i="5"/>
  <c r="R54" i="5"/>
  <c r="U54" i="5"/>
  <c r="U119" i="5"/>
  <c r="T119" i="5"/>
  <c r="S119" i="5"/>
  <c r="R119" i="5"/>
  <c r="U129" i="5"/>
  <c r="T129" i="5"/>
  <c r="S129" i="5"/>
  <c r="R129" i="5"/>
  <c r="R100" i="5"/>
  <c r="U100" i="5"/>
  <c r="T100" i="5"/>
  <c r="S100" i="5"/>
  <c r="U151" i="5"/>
  <c r="T151" i="5"/>
  <c r="S151" i="5"/>
  <c r="R151" i="5"/>
  <c r="R138" i="5"/>
  <c r="S138" i="5"/>
  <c r="U138" i="5"/>
  <c r="T138" i="5"/>
  <c r="S192" i="5"/>
  <c r="U192" i="5"/>
  <c r="T192" i="5"/>
  <c r="R192" i="5"/>
  <c r="U189" i="5"/>
  <c r="T189" i="5"/>
  <c r="S189" i="5"/>
  <c r="R189" i="5"/>
  <c r="U209" i="5"/>
  <c r="T209" i="5"/>
  <c r="S209" i="5"/>
  <c r="R209" i="5"/>
  <c r="U226" i="5"/>
  <c r="T226" i="5"/>
  <c r="R226" i="5"/>
  <c r="S226" i="5"/>
  <c r="U246" i="5"/>
  <c r="T246" i="5"/>
  <c r="S246" i="5"/>
  <c r="R246" i="5"/>
  <c r="U298" i="5"/>
  <c r="T298" i="5"/>
  <c r="S298" i="5"/>
  <c r="R298" i="5"/>
  <c r="T253" i="5"/>
  <c r="S253" i="5"/>
  <c r="R253" i="5"/>
  <c r="U253" i="5"/>
  <c r="T275" i="5"/>
  <c r="U275" i="5"/>
  <c r="R275" i="5"/>
  <c r="S275" i="5"/>
  <c r="U369" i="5"/>
  <c r="T369" i="5"/>
  <c r="R369" i="5"/>
  <c r="S369" i="5"/>
  <c r="S355" i="5"/>
  <c r="T355" i="5"/>
  <c r="R355" i="5"/>
  <c r="U355" i="5"/>
  <c r="U351" i="5"/>
  <c r="T351" i="5"/>
  <c r="S351" i="5"/>
  <c r="R351" i="5"/>
  <c r="U338" i="5"/>
  <c r="T338" i="5"/>
  <c r="S338" i="5"/>
  <c r="R338" i="5"/>
  <c r="T387" i="5"/>
  <c r="S387" i="5"/>
  <c r="R387" i="5"/>
  <c r="U387" i="5"/>
  <c r="R385" i="5"/>
  <c r="U385" i="5"/>
  <c r="T385" i="5"/>
  <c r="S385" i="5"/>
  <c r="O232" i="3"/>
  <c r="N232" i="3"/>
  <c r="M232" i="3"/>
  <c r="L232" i="3"/>
  <c r="P232" i="3"/>
  <c r="K232" i="3"/>
  <c r="U168" i="5"/>
  <c r="T168" i="5"/>
  <c r="S168" i="5"/>
  <c r="R168" i="5"/>
  <c r="R146" i="5"/>
  <c r="U146" i="5"/>
  <c r="T146" i="5"/>
  <c r="S146" i="5"/>
  <c r="U256" i="5"/>
  <c r="S256" i="5"/>
  <c r="T256" i="5"/>
  <c r="R256" i="5"/>
  <c r="U243" i="5"/>
  <c r="T243" i="5"/>
  <c r="R243" i="5"/>
  <c r="S243" i="5"/>
  <c r="U217" i="5"/>
  <c r="T217" i="5"/>
  <c r="S217" i="5"/>
  <c r="R217" i="5"/>
  <c r="U311" i="5"/>
  <c r="T311" i="5"/>
  <c r="S311" i="5"/>
  <c r="R311" i="5"/>
  <c r="U273" i="5"/>
  <c r="S273" i="5"/>
  <c r="T273" i="5"/>
  <c r="R273" i="5"/>
  <c r="T309" i="5"/>
  <c r="S309" i="5"/>
  <c r="R309" i="5"/>
  <c r="U309" i="5"/>
  <c r="T261" i="5"/>
  <c r="S261" i="5"/>
  <c r="R261" i="5"/>
  <c r="U261" i="5"/>
  <c r="T283" i="5"/>
  <c r="R283" i="5"/>
  <c r="U283" i="5"/>
  <c r="S283" i="5"/>
  <c r="U335" i="5"/>
  <c r="T335" i="5"/>
  <c r="S335" i="5"/>
  <c r="R335" i="5"/>
  <c r="U370" i="5"/>
  <c r="T370" i="5"/>
  <c r="R370" i="5"/>
  <c r="S370" i="5"/>
  <c r="U360" i="5"/>
  <c r="T360" i="5"/>
  <c r="S360" i="5"/>
  <c r="R360" i="5"/>
  <c r="U346" i="5"/>
  <c r="T346" i="5"/>
  <c r="R346" i="5"/>
  <c r="S346" i="5"/>
  <c r="T388" i="5"/>
  <c r="S388" i="5"/>
  <c r="R388" i="5"/>
  <c r="U388" i="5"/>
  <c r="R393" i="5"/>
  <c r="U393" i="5"/>
  <c r="T393" i="5"/>
  <c r="S393" i="5"/>
  <c r="P201" i="3"/>
  <c r="O201" i="3"/>
  <c r="N201" i="3"/>
  <c r="M201" i="3"/>
  <c r="L201" i="3"/>
  <c r="K201" i="3"/>
  <c r="O243" i="3"/>
  <c r="N243" i="3"/>
  <c r="M243" i="3"/>
  <c r="L243" i="3"/>
  <c r="P243" i="3"/>
  <c r="K243" i="3"/>
  <c r="P139" i="3"/>
  <c r="O139" i="3"/>
  <c r="N139" i="3"/>
  <c r="M139" i="3"/>
  <c r="L139" i="3"/>
  <c r="K139" i="3"/>
  <c r="P190" i="3"/>
  <c r="O190" i="3"/>
  <c r="M190" i="3"/>
  <c r="N190" i="3"/>
  <c r="L190" i="3"/>
  <c r="K190" i="3"/>
  <c r="P380" i="3"/>
  <c r="O380" i="3"/>
  <c r="N380" i="3"/>
  <c r="M380" i="3"/>
  <c r="L380" i="3"/>
  <c r="K380" i="3"/>
  <c r="P110" i="3"/>
  <c r="O110" i="3"/>
  <c r="N110" i="3"/>
  <c r="M110" i="3"/>
  <c r="L110" i="3"/>
  <c r="K110" i="3"/>
  <c r="P386" i="3"/>
  <c r="O386" i="3"/>
  <c r="N386" i="3"/>
  <c r="M386" i="3"/>
  <c r="K386" i="3"/>
  <c r="L386" i="3"/>
  <c r="P303" i="3"/>
  <c r="O303" i="3"/>
  <c r="N303" i="3"/>
  <c r="M303" i="3"/>
  <c r="L303" i="3"/>
  <c r="K303" i="3"/>
  <c r="P80" i="3"/>
  <c r="O80" i="3"/>
  <c r="N80" i="3"/>
  <c r="M80" i="3"/>
  <c r="L80" i="3"/>
  <c r="K80" i="3"/>
  <c r="P334" i="3"/>
  <c r="O334" i="3"/>
  <c r="N334" i="3"/>
  <c r="M334" i="3"/>
  <c r="L334" i="3"/>
  <c r="K334" i="3"/>
  <c r="P308" i="3"/>
  <c r="O308" i="3"/>
  <c r="N308" i="3"/>
  <c r="M308" i="3"/>
  <c r="L308" i="3"/>
  <c r="K308" i="3"/>
  <c r="P36" i="3"/>
  <c r="O36" i="3"/>
  <c r="N36" i="3"/>
  <c r="M36" i="3"/>
  <c r="L36" i="3"/>
  <c r="K36" i="3"/>
  <c r="O255" i="3"/>
  <c r="N255" i="3"/>
  <c r="M255" i="3"/>
  <c r="L255" i="3"/>
  <c r="K255" i="3"/>
  <c r="P255" i="3"/>
  <c r="P33" i="3"/>
  <c r="O33" i="3"/>
  <c r="N33" i="3"/>
  <c r="M33" i="3"/>
  <c r="L33" i="3"/>
  <c r="K33" i="3"/>
  <c r="P69" i="3"/>
  <c r="O69" i="3"/>
  <c r="N69" i="3"/>
  <c r="M69" i="3"/>
  <c r="L69" i="3"/>
  <c r="K69" i="3"/>
  <c r="U20" i="5"/>
  <c r="T20" i="5"/>
  <c r="S20" i="5"/>
  <c r="R20" i="5"/>
  <c r="U44" i="5"/>
  <c r="T44" i="5"/>
  <c r="S44" i="5"/>
  <c r="R44" i="5"/>
  <c r="U38" i="5"/>
  <c r="T38" i="5"/>
  <c r="S38" i="5"/>
  <c r="R38" i="5"/>
  <c r="R32" i="5"/>
  <c r="T32" i="5"/>
  <c r="U32" i="5"/>
  <c r="S32" i="5"/>
  <c r="U60" i="5"/>
  <c r="T60" i="5"/>
  <c r="S60" i="5"/>
  <c r="R60" i="5"/>
  <c r="T70" i="5"/>
  <c r="S70" i="5"/>
  <c r="R70" i="5"/>
  <c r="U70" i="5"/>
  <c r="U131" i="5"/>
  <c r="T131" i="5"/>
  <c r="S131" i="5"/>
  <c r="R131" i="5"/>
  <c r="U98" i="5"/>
  <c r="T98" i="5"/>
  <c r="S98" i="5"/>
  <c r="R98" i="5"/>
  <c r="R116" i="5"/>
  <c r="U116" i="5"/>
  <c r="T116" i="5"/>
  <c r="S116" i="5"/>
  <c r="U188" i="5"/>
  <c r="S188" i="5"/>
  <c r="T188" i="5"/>
  <c r="R188" i="5"/>
  <c r="R154" i="5"/>
  <c r="U154" i="5"/>
  <c r="T154" i="5"/>
  <c r="S154" i="5"/>
  <c r="S162" i="5"/>
  <c r="R162" i="5"/>
  <c r="U162" i="5"/>
  <c r="T162" i="5"/>
  <c r="U233" i="5"/>
  <c r="T233" i="5"/>
  <c r="S233" i="5"/>
  <c r="R233" i="5"/>
  <c r="T264" i="5"/>
  <c r="U264" i="5"/>
  <c r="S264" i="5"/>
  <c r="R264" i="5"/>
  <c r="U296" i="5"/>
  <c r="T296" i="5"/>
  <c r="S296" i="5"/>
  <c r="R296" i="5"/>
  <c r="T301" i="5"/>
  <c r="S301" i="5"/>
  <c r="R301" i="5"/>
  <c r="U301" i="5"/>
  <c r="U251" i="5"/>
  <c r="T251" i="5"/>
  <c r="S251" i="5"/>
  <c r="R251" i="5"/>
  <c r="T269" i="5"/>
  <c r="S269" i="5"/>
  <c r="R269" i="5"/>
  <c r="U269" i="5"/>
  <c r="T291" i="5"/>
  <c r="S291" i="5"/>
  <c r="R291" i="5"/>
  <c r="U291" i="5"/>
  <c r="U371" i="5"/>
  <c r="T371" i="5"/>
  <c r="S371" i="5"/>
  <c r="R371" i="5"/>
  <c r="U320" i="5"/>
  <c r="R320" i="5"/>
  <c r="T320" i="5"/>
  <c r="S320" i="5"/>
  <c r="U361" i="5"/>
  <c r="T361" i="5"/>
  <c r="S361" i="5"/>
  <c r="R361" i="5"/>
  <c r="U354" i="5"/>
  <c r="T354" i="5"/>
  <c r="S354" i="5"/>
  <c r="R354" i="5"/>
  <c r="T389" i="5"/>
  <c r="U389" i="5"/>
  <c r="S389" i="5"/>
  <c r="R389" i="5"/>
  <c r="U400" i="5"/>
  <c r="T400" i="5"/>
  <c r="S400" i="5"/>
  <c r="R400" i="5"/>
  <c r="P149" i="3"/>
  <c r="O149" i="3"/>
  <c r="N149" i="3"/>
  <c r="M149" i="3"/>
  <c r="L149" i="3"/>
  <c r="K149" i="3"/>
  <c r="M215" i="3"/>
  <c r="L215" i="3"/>
  <c r="P215" i="3"/>
  <c r="O215" i="3"/>
  <c r="N215" i="3"/>
  <c r="K215" i="3"/>
  <c r="P329" i="3"/>
  <c r="O329" i="3"/>
  <c r="N329" i="3"/>
  <c r="M329" i="3"/>
  <c r="L329" i="3"/>
  <c r="K329" i="3"/>
  <c r="O223" i="3"/>
  <c r="N223" i="3"/>
  <c r="M223" i="3"/>
  <c r="L223" i="3"/>
  <c r="P223" i="3"/>
  <c r="K223" i="3"/>
  <c r="O219" i="3"/>
  <c r="N219" i="3"/>
  <c r="M219" i="3"/>
  <c r="L219" i="3"/>
  <c r="P219" i="3"/>
  <c r="K219" i="3"/>
  <c r="O237" i="3"/>
  <c r="N237" i="3"/>
  <c r="M237" i="3"/>
  <c r="L237" i="3"/>
  <c r="P237" i="3"/>
  <c r="K237" i="3"/>
  <c r="P400" i="3"/>
  <c r="O400" i="3"/>
  <c r="N400" i="3"/>
  <c r="M400" i="3"/>
  <c r="L400" i="3"/>
  <c r="K400" i="3"/>
  <c r="P86" i="3"/>
  <c r="O86" i="3"/>
  <c r="N86" i="3"/>
  <c r="M86" i="3"/>
  <c r="L86" i="3"/>
  <c r="K86" i="3"/>
  <c r="P340" i="3"/>
  <c r="O340" i="3"/>
  <c r="N340" i="3"/>
  <c r="M340" i="3"/>
  <c r="L340" i="3"/>
  <c r="K340" i="3"/>
  <c r="O227" i="3"/>
  <c r="N227" i="3"/>
  <c r="M227" i="3"/>
  <c r="L227" i="3"/>
  <c r="P227" i="3"/>
  <c r="K227" i="3"/>
  <c r="P56" i="3"/>
  <c r="O56" i="3"/>
  <c r="N56" i="3"/>
  <c r="M56" i="3"/>
  <c r="L56" i="3"/>
  <c r="K56" i="3"/>
  <c r="P330" i="3"/>
  <c r="O330" i="3"/>
  <c r="N330" i="3"/>
  <c r="M330" i="3"/>
  <c r="L330" i="3"/>
  <c r="K330" i="3"/>
  <c r="P171" i="3"/>
  <c r="O171" i="3"/>
  <c r="N171" i="3"/>
  <c r="M171" i="3"/>
  <c r="L171" i="3"/>
  <c r="K171" i="3"/>
  <c r="P29" i="3"/>
  <c r="O29" i="3"/>
  <c r="N29" i="3"/>
  <c r="M29" i="3"/>
  <c r="L29" i="3"/>
  <c r="K29" i="3"/>
  <c r="O248" i="3"/>
  <c r="N248" i="3"/>
  <c r="M248" i="3"/>
  <c r="L248" i="3"/>
  <c r="P248" i="3"/>
  <c r="K248" i="3"/>
  <c r="P142" i="3"/>
  <c r="O142" i="3"/>
  <c r="N142" i="3"/>
  <c r="M142" i="3"/>
  <c r="L142" i="3"/>
  <c r="K142" i="3"/>
  <c r="P10" i="3"/>
  <c r="O10" i="3"/>
  <c r="N10" i="3"/>
  <c r="M10" i="3"/>
  <c r="L10" i="3"/>
  <c r="K10" i="3"/>
  <c r="P289" i="3"/>
  <c r="O289" i="3"/>
  <c r="N289" i="3"/>
  <c r="M289" i="3"/>
  <c r="L289" i="3"/>
  <c r="K289" i="3"/>
  <c r="P112" i="3"/>
  <c r="O112" i="3"/>
  <c r="N112" i="3"/>
  <c r="M112" i="3"/>
  <c r="L112" i="3"/>
  <c r="K112" i="3"/>
  <c r="N388" i="3"/>
  <c r="M388" i="3"/>
  <c r="L388" i="3"/>
  <c r="K388" i="3"/>
  <c r="O388" i="3"/>
  <c r="P388" i="3"/>
  <c r="P290" i="3"/>
  <c r="O290" i="3"/>
  <c r="N290" i="3"/>
  <c r="M290" i="3"/>
  <c r="L290" i="3"/>
  <c r="K290" i="3"/>
  <c r="P306" i="3"/>
  <c r="O306" i="3"/>
  <c r="N306" i="3"/>
  <c r="M306" i="3"/>
  <c r="L306" i="3"/>
  <c r="K306" i="3"/>
  <c r="O178" i="3"/>
  <c r="M178" i="3"/>
  <c r="P178" i="3"/>
  <c r="N178" i="3"/>
  <c r="L178" i="3"/>
  <c r="K178" i="3"/>
  <c r="O226" i="3"/>
  <c r="N226" i="3"/>
  <c r="M226" i="3"/>
  <c r="L226" i="3"/>
  <c r="P226" i="3"/>
  <c r="K226" i="3"/>
  <c r="P206" i="3"/>
  <c r="O206" i="3"/>
  <c r="N206" i="3"/>
  <c r="M206" i="3"/>
  <c r="L206" i="3"/>
  <c r="K206" i="3"/>
  <c r="P172" i="3"/>
  <c r="O172" i="3"/>
  <c r="N172" i="3"/>
  <c r="M172" i="3"/>
  <c r="L172" i="3"/>
  <c r="K172" i="3"/>
  <c r="P336" i="3"/>
  <c r="O336" i="3"/>
  <c r="N336" i="3"/>
  <c r="M336" i="3"/>
  <c r="L336" i="3"/>
  <c r="K336" i="3"/>
  <c r="P102" i="3"/>
  <c r="O102" i="3"/>
  <c r="N102" i="3"/>
  <c r="M102" i="3"/>
  <c r="L102" i="3"/>
  <c r="K102" i="3"/>
  <c r="P360" i="3"/>
  <c r="O360" i="3"/>
  <c r="N360" i="3"/>
  <c r="M360" i="3"/>
  <c r="L360" i="3"/>
  <c r="K360" i="3"/>
  <c r="O221" i="3"/>
  <c r="N221" i="3"/>
  <c r="M221" i="3"/>
  <c r="L221" i="3"/>
  <c r="P221" i="3"/>
  <c r="K221" i="3"/>
  <c r="P72" i="3"/>
  <c r="O72" i="3"/>
  <c r="N72" i="3"/>
  <c r="M72" i="3"/>
  <c r="L72" i="3"/>
  <c r="K72" i="3"/>
  <c r="P145" i="3"/>
  <c r="O145" i="3"/>
  <c r="N145" i="3"/>
  <c r="M145" i="3"/>
  <c r="L145" i="3"/>
  <c r="K145" i="3"/>
  <c r="P90" i="3"/>
  <c r="O90" i="3"/>
  <c r="N90" i="3"/>
  <c r="M90" i="3"/>
  <c r="L90" i="3"/>
  <c r="K90" i="3"/>
  <c r="P138" i="3"/>
  <c r="O138" i="3"/>
  <c r="N138" i="3"/>
  <c r="M138" i="3"/>
  <c r="L138" i="3"/>
  <c r="K138" i="3"/>
  <c r="P346" i="3"/>
  <c r="O346" i="3"/>
  <c r="N346" i="3"/>
  <c r="M346" i="3"/>
  <c r="L346" i="3"/>
  <c r="K346" i="3"/>
  <c r="P130" i="3"/>
  <c r="O130" i="3"/>
  <c r="N130" i="3"/>
  <c r="M130" i="3"/>
  <c r="L130" i="3"/>
  <c r="K130" i="3"/>
  <c r="O276" i="3"/>
  <c r="N276" i="3"/>
  <c r="M276" i="3"/>
  <c r="L276" i="3"/>
  <c r="K276" i="3"/>
  <c r="P276" i="3"/>
  <c r="P118" i="3"/>
  <c r="O118" i="3"/>
  <c r="N118" i="3"/>
  <c r="M118" i="3"/>
  <c r="L118" i="3"/>
  <c r="K118" i="3"/>
  <c r="P394" i="3"/>
  <c r="O394" i="3"/>
  <c r="N394" i="3"/>
  <c r="L394" i="3"/>
  <c r="K394" i="3"/>
  <c r="M394" i="3"/>
  <c r="P304" i="3"/>
  <c r="O304" i="3"/>
  <c r="N304" i="3"/>
  <c r="M304" i="3"/>
  <c r="L304" i="3"/>
  <c r="K304" i="3"/>
  <c r="P101" i="3"/>
  <c r="O101" i="3"/>
  <c r="N101" i="3"/>
  <c r="M101" i="3"/>
  <c r="L101" i="3"/>
  <c r="K101" i="3"/>
  <c r="P196" i="3"/>
  <c r="O196" i="3"/>
  <c r="N196" i="3"/>
  <c r="M196" i="3"/>
  <c r="L196" i="3"/>
  <c r="K196" i="3"/>
  <c r="P97" i="3"/>
  <c r="O97" i="3"/>
  <c r="N97" i="3"/>
  <c r="M97" i="3"/>
  <c r="L97" i="3"/>
  <c r="K97" i="3"/>
  <c r="P318" i="3"/>
  <c r="O318" i="3"/>
  <c r="N318" i="3"/>
  <c r="M318" i="3"/>
  <c r="L318" i="3"/>
  <c r="K318" i="3"/>
  <c r="P89" i="3"/>
  <c r="O89" i="3"/>
  <c r="N89" i="3"/>
  <c r="M89" i="3"/>
  <c r="L89" i="3"/>
  <c r="K89" i="3"/>
  <c r="P300" i="3"/>
  <c r="O300" i="3"/>
  <c r="N300" i="3"/>
  <c r="M300" i="3"/>
  <c r="L300" i="3"/>
  <c r="K300" i="3"/>
  <c r="P134" i="3"/>
  <c r="O134" i="3"/>
  <c r="N134" i="3"/>
  <c r="M134" i="3"/>
  <c r="L134" i="3"/>
  <c r="K134" i="3"/>
  <c r="P9" i="3"/>
  <c r="O9" i="3"/>
  <c r="N9" i="3"/>
  <c r="M9" i="3"/>
  <c r="L9" i="3"/>
  <c r="K9" i="3"/>
  <c r="P58" i="3"/>
  <c r="O58" i="3"/>
  <c r="N58" i="3"/>
  <c r="M58" i="3"/>
  <c r="L58" i="3"/>
  <c r="K58" i="3"/>
  <c r="P335" i="3"/>
  <c r="O335" i="3"/>
  <c r="N335" i="3"/>
  <c r="M335" i="3"/>
  <c r="L335" i="3"/>
  <c r="K335" i="3"/>
  <c r="P53" i="3"/>
  <c r="O53" i="3"/>
  <c r="N53" i="3"/>
  <c r="M53" i="3"/>
  <c r="L53" i="3"/>
  <c r="K53" i="3"/>
  <c r="P44" i="3"/>
  <c r="O44" i="3"/>
  <c r="N44" i="3"/>
  <c r="M44" i="3"/>
  <c r="L44" i="3"/>
  <c r="K44" i="3"/>
  <c r="O274" i="3"/>
  <c r="N274" i="3"/>
  <c r="M274" i="3"/>
  <c r="L274" i="3"/>
  <c r="K274" i="3"/>
  <c r="P274" i="3"/>
  <c r="P150" i="3"/>
  <c r="O150" i="3"/>
  <c r="N150" i="3"/>
  <c r="M150" i="3"/>
  <c r="L150" i="3"/>
  <c r="K150" i="3"/>
  <c r="P200" i="3"/>
  <c r="O200" i="3"/>
  <c r="N200" i="3"/>
  <c r="M200" i="3"/>
  <c r="L200" i="3"/>
  <c r="K200" i="3"/>
  <c r="P366" i="3"/>
  <c r="O366" i="3"/>
  <c r="N366" i="3"/>
  <c r="M366" i="3"/>
  <c r="L366" i="3"/>
  <c r="K366" i="3"/>
  <c r="P120" i="3"/>
  <c r="O120" i="3"/>
  <c r="N120" i="3"/>
  <c r="M120" i="3"/>
  <c r="L120" i="3"/>
  <c r="K120" i="3"/>
  <c r="N396" i="3"/>
  <c r="M396" i="3"/>
  <c r="L396" i="3"/>
  <c r="K396" i="3"/>
  <c r="P396" i="3"/>
  <c r="O396" i="3"/>
  <c r="O278" i="3"/>
  <c r="N278" i="3"/>
  <c r="M278" i="3"/>
  <c r="L278" i="3"/>
  <c r="K278" i="3"/>
  <c r="P278" i="3"/>
  <c r="P347" i="3"/>
  <c r="O347" i="3"/>
  <c r="N347" i="3"/>
  <c r="M347" i="3"/>
  <c r="L347" i="3"/>
  <c r="K347" i="3"/>
  <c r="O239" i="3"/>
  <c r="N239" i="3"/>
  <c r="M239" i="3"/>
  <c r="L239" i="3"/>
  <c r="P239" i="3"/>
  <c r="K239" i="3"/>
  <c r="P63" i="3"/>
  <c r="O63" i="3"/>
  <c r="N63" i="3"/>
  <c r="M63" i="3"/>
  <c r="L63" i="3"/>
  <c r="K63" i="3"/>
  <c r="K275" i="3"/>
  <c r="P275" i="3"/>
  <c r="O275" i="3"/>
  <c r="M275" i="3"/>
  <c r="N275" i="3"/>
  <c r="L275" i="3"/>
  <c r="O240" i="3"/>
  <c r="N240" i="3"/>
  <c r="M240" i="3"/>
  <c r="L240" i="3"/>
  <c r="P240" i="3"/>
  <c r="K240" i="3"/>
  <c r="P35" i="3"/>
  <c r="O35" i="3"/>
  <c r="N35" i="3"/>
  <c r="M35" i="3"/>
  <c r="L35" i="3"/>
  <c r="K35" i="3"/>
  <c r="O254" i="3"/>
  <c r="N254" i="3"/>
  <c r="M254" i="3"/>
  <c r="L254" i="3"/>
  <c r="K254" i="3"/>
  <c r="P254" i="3"/>
  <c r="P132" i="3"/>
  <c r="O132" i="3"/>
  <c r="N132" i="3"/>
  <c r="M132" i="3"/>
  <c r="L132" i="3"/>
  <c r="K132" i="3"/>
  <c r="P398" i="3"/>
  <c r="O398" i="3"/>
  <c r="N398" i="3"/>
  <c r="M398" i="3"/>
  <c r="L398" i="3"/>
  <c r="K398" i="3"/>
  <c r="O358" i="3"/>
  <c r="N358" i="3"/>
  <c r="M358" i="3"/>
  <c r="L358" i="3"/>
  <c r="K358" i="3"/>
  <c r="P358" i="3"/>
  <c r="P17" i="3"/>
  <c r="O17" i="3"/>
  <c r="N17" i="3"/>
  <c r="M17" i="3"/>
  <c r="L17" i="3"/>
  <c r="K17" i="3"/>
  <c r="P263" i="3"/>
  <c r="O263" i="3"/>
  <c r="N263" i="3"/>
  <c r="M263" i="3"/>
  <c r="L263" i="3"/>
  <c r="K263" i="3"/>
  <c r="P12" i="3"/>
  <c r="O12" i="3"/>
  <c r="N12" i="3"/>
  <c r="M12" i="3"/>
  <c r="L12" i="3"/>
  <c r="K12" i="3"/>
  <c r="O222" i="3"/>
  <c r="N222" i="3"/>
  <c r="M222" i="3"/>
  <c r="L222" i="3"/>
  <c r="P222" i="3"/>
  <c r="K222" i="3"/>
  <c r="O179" i="3"/>
  <c r="M179" i="3"/>
  <c r="P179" i="3"/>
  <c r="N179" i="3"/>
  <c r="L179" i="3"/>
  <c r="K179" i="3"/>
  <c r="P169" i="3"/>
  <c r="O169" i="3"/>
  <c r="N169" i="3"/>
  <c r="M169" i="3"/>
  <c r="L169" i="3"/>
  <c r="K169" i="3"/>
  <c r="P166" i="3"/>
  <c r="O166" i="3"/>
  <c r="N166" i="3"/>
  <c r="M166" i="3"/>
  <c r="L166" i="3"/>
  <c r="K166" i="3"/>
  <c r="P23" i="3"/>
  <c r="O23" i="3"/>
  <c r="N23" i="3"/>
  <c r="M23" i="3"/>
  <c r="L23" i="3"/>
  <c r="K23" i="3"/>
  <c r="P298" i="3"/>
  <c r="O298" i="3"/>
  <c r="N298" i="3"/>
  <c r="M298" i="3"/>
  <c r="L298" i="3"/>
  <c r="K298" i="3"/>
  <c r="P352" i="3"/>
  <c r="O352" i="3"/>
  <c r="N352" i="3"/>
  <c r="M352" i="3"/>
  <c r="L352" i="3"/>
  <c r="K352" i="3"/>
  <c r="P81" i="3"/>
  <c r="O81" i="3"/>
  <c r="N81" i="3"/>
  <c r="M81" i="3"/>
  <c r="L81" i="3"/>
  <c r="K81" i="3"/>
  <c r="P297" i="3"/>
  <c r="O297" i="3"/>
  <c r="N297" i="3"/>
  <c r="M297" i="3"/>
  <c r="L297" i="3"/>
  <c r="K297" i="3"/>
  <c r="P181" i="3"/>
  <c r="O181" i="3"/>
  <c r="M181" i="3"/>
  <c r="N181" i="3"/>
  <c r="L181" i="3"/>
  <c r="K181" i="3"/>
  <c r="P405" i="3"/>
  <c r="O405" i="3"/>
  <c r="N405" i="3"/>
  <c r="M405" i="3"/>
  <c r="L405" i="3"/>
  <c r="K405" i="3"/>
  <c r="P124" i="3"/>
  <c r="O124" i="3"/>
  <c r="N124" i="3"/>
  <c r="M124" i="3"/>
  <c r="L124" i="3"/>
  <c r="K124" i="3"/>
  <c r="O282" i="3"/>
  <c r="N282" i="3"/>
  <c r="M282" i="3"/>
  <c r="L282" i="3"/>
  <c r="K282" i="3"/>
  <c r="P282" i="3"/>
  <c r="P39" i="3"/>
  <c r="O39" i="3"/>
  <c r="N39" i="3"/>
  <c r="M39" i="3"/>
  <c r="L39" i="3"/>
  <c r="K39" i="3"/>
  <c r="O258" i="3"/>
  <c r="N258" i="3"/>
  <c r="M258" i="3"/>
  <c r="L258" i="3"/>
  <c r="K258" i="3"/>
  <c r="P258" i="3"/>
  <c r="P152" i="3"/>
  <c r="O152" i="3"/>
  <c r="N152" i="3"/>
  <c r="M152" i="3"/>
  <c r="L152" i="3"/>
  <c r="K152" i="3"/>
  <c r="P13" i="3"/>
  <c r="O13" i="3"/>
  <c r="N13" i="3"/>
  <c r="M13" i="3"/>
  <c r="L13" i="3"/>
  <c r="K13" i="3"/>
  <c r="P269" i="3"/>
  <c r="O269" i="3"/>
  <c r="L269" i="3"/>
  <c r="K269" i="3"/>
  <c r="N269" i="3"/>
  <c r="M269" i="3"/>
  <c r="P125" i="3"/>
  <c r="O125" i="3"/>
  <c r="N125" i="3"/>
  <c r="M125" i="3"/>
  <c r="L125" i="3"/>
  <c r="K125" i="3"/>
  <c r="P401" i="3"/>
  <c r="O401" i="3"/>
  <c r="N401" i="3"/>
  <c r="M401" i="3"/>
  <c r="L401" i="3"/>
  <c r="K401" i="3"/>
  <c r="P285" i="3"/>
  <c r="O285" i="3"/>
  <c r="N285" i="3"/>
  <c r="K285" i="3"/>
  <c r="M285" i="3"/>
  <c r="L285" i="3"/>
  <c r="P378" i="3"/>
  <c r="O378" i="3"/>
  <c r="N378" i="3"/>
  <c r="M378" i="3"/>
  <c r="L378" i="3"/>
  <c r="K378" i="3"/>
  <c r="P209" i="3"/>
  <c r="O209" i="3"/>
  <c r="N209" i="3"/>
  <c r="M209" i="3"/>
  <c r="L209" i="3"/>
  <c r="K209" i="3"/>
  <c r="P259" i="3"/>
  <c r="O259" i="3"/>
  <c r="N259" i="3"/>
  <c r="M259" i="3"/>
  <c r="L259" i="3"/>
  <c r="K259" i="3"/>
  <c r="P137" i="3"/>
  <c r="O137" i="3"/>
  <c r="N137" i="3"/>
  <c r="M137" i="3"/>
  <c r="L137" i="3"/>
  <c r="K137" i="3"/>
  <c r="P339" i="3"/>
  <c r="O339" i="3"/>
  <c r="N339" i="3"/>
  <c r="M339" i="3"/>
  <c r="L339" i="3"/>
  <c r="K339" i="3"/>
  <c r="P82" i="3"/>
  <c r="O82" i="3"/>
  <c r="N82" i="3"/>
  <c r="M82" i="3"/>
  <c r="L82" i="3"/>
  <c r="K82" i="3"/>
  <c r="P311" i="3"/>
  <c r="O311" i="3"/>
  <c r="N311" i="3"/>
  <c r="M311" i="3"/>
  <c r="L311" i="3"/>
  <c r="K311" i="3"/>
  <c r="P55" i="3"/>
  <c r="O55" i="3"/>
  <c r="N55" i="3"/>
  <c r="M55" i="3"/>
  <c r="L55" i="3"/>
  <c r="K55" i="3"/>
  <c r="O224" i="3"/>
  <c r="N224" i="3"/>
  <c r="M224" i="3"/>
  <c r="L224" i="3"/>
  <c r="P224" i="3"/>
  <c r="K224" i="3"/>
  <c r="P292" i="3"/>
  <c r="O292" i="3"/>
  <c r="L292" i="3"/>
  <c r="K292" i="3"/>
  <c r="N292" i="3"/>
  <c r="M292" i="3"/>
  <c r="O253" i="3"/>
  <c r="N253" i="3"/>
  <c r="M253" i="3"/>
  <c r="L253" i="3"/>
  <c r="K253" i="3"/>
  <c r="P253" i="3"/>
  <c r="P133" i="3"/>
  <c r="O133" i="3"/>
  <c r="N133" i="3"/>
  <c r="M133" i="3"/>
  <c r="L133" i="3"/>
  <c r="K133" i="3"/>
  <c r="P92" i="3"/>
  <c r="O92" i="3"/>
  <c r="N92" i="3"/>
  <c r="M92" i="3"/>
  <c r="L92" i="3"/>
  <c r="K92" i="3"/>
  <c r="O280" i="3"/>
  <c r="N280" i="3"/>
  <c r="M280" i="3"/>
  <c r="L280" i="3"/>
  <c r="K280" i="3"/>
  <c r="P280" i="3"/>
  <c r="P41" i="3"/>
  <c r="O41" i="3"/>
  <c r="N41" i="3"/>
  <c r="M41" i="3"/>
  <c r="L41" i="3"/>
  <c r="K41" i="3"/>
  <c r="M213" i="3"/>
  <c r="P213" i="3"/>
  <c r="O213" i="3"/>
  <c r="N213" i="3"/>
  <c r="L213" i="3"/>
  <c r="K213" i="3"/>
  <c r="P71" i="3"/>
  <c r="O71" i="3"/>
  <c r="N71" i="3"/>
  <c r="M71" i="3"/>
  <c r="L71" i="3"/>
  <c r="K71" i="3"/>
  <c r="P191" i="3"/>
  <c r="O191" i="3"/>
  <c r="N191" i="3"/>
  <c r="M191" i="3"/>
  <c r="L191" i="3"/>
  <c r="K191" i="3"/>
  <c r="O231" i="3"/>
  <c r="N231" i="3"/>
  <c r="M231" i="3"/>
  <c r="L231" i="3"/>
  <c r="P231" i="3"/>
  <c r="K231" i="3"/>
  <c r="P121" i="3"/>
  <c r="O121" i="3"/>
  <c r="N121" i="3"/>
  <c r="M121" i="3"/>
  <c r="L121" i="3"/>
  <c r="K121" i="3"/>
  <c r="P49" i="3"/>
  <c r="O49" i="3"/>
  <c r="N49" i="3"/>
  <c r="M49" i="3"/>
  <c r="L49" i="3"/>
  <c r="K49" i="3"/>
  <c r="P50" i="3"/>
  <c r="O50" i="3"/>
  <c r="N50" i="3"/>
  <c r="M50" i="3"/>
  <c r="L50" i="3"/>
  <c r="K50" i="3"/>
  <c r="P321" i="3"/>
  <c r="O321" i="3"/>
  <c r="N321" i="3"/>
  <c r="M321" i="3"/>
  <c r="L321" i="3"/>
  <c r="K321" i="3"/>
  <c r="P182" i="3"/>
  <c r="O182" i="3"/>
  <c r="M182" i="3"/>
  <c r="N182" i="3"/>
  <c r="L182" i="3"/>
  <c r="K182" i="3"/>
  <c r="O218" i="3"/>
  <c r="N218" i="3"/>
  <c r="M218" i="3"/>
  <c r="L218" i="3"/>
  <c r="P218" i="3"/>
  <c r="K218" i="3"/>
  <c r="P87" i="3"/>
  <c r="O87" i="3"/>
  <c r="N87" i="3"/>
  <c r="M87" i="3"/>
  <c r="L87" i="3"/>
  <c r="K87" i="3"/>
  <c r="P341" i="3"/>
  <c r="O341" i="3"/>
  <c r="N341" i="3"/>
  <c r="M341" i="3"/>
  <c r="L341" i="3"/>
  <c r="K341" i="3"/>
  <c r="O235" i="3"/>
  <c r="N235" i="3"/>
  <c r="M235" i="3"/>
  <c r="L235" i="3"/>
  <c r="P235" i="3"/>
  <c r="K235" i="3"/>
  <c r="P59" i="3"/>
  <c r="O59" i="3"/>
  <c r="N59" i="3"/>
  <c r="M59" i="3"/>
  <c r="L59" i="3"/>
  <c r="K59" i="3"/>
  <c r="L265" i="3"/>
  <c r="K265" i="3"/>
  <c r="P265" i="3"/>
  <c r="N265" i="3"/>
  <c r="O265" i="3"/>
  <c r="M265" i="3"/>
  <c r="P173" i="3"/>
  <c r="O173" i="3"/>
  <c r="N173" i="3"/>
  <c r="M173" i="3"/>
  <c r="L173" i="3"/>
  <c r="K173" i="3"/>
  <c r="P30" i="3"/>
  <c r="O30" i="3"/>
  <c r="N30" i="3"/>
  <c r="M30" i="3"/>
  <c r="L30" i="3"/>
  <c r="K30" i="3"/>
  <c r="O249" i="3"/>
  <c r="N249" i="3"/>
  <c r="M249" i="3"/>
  <c r="L249" i="3"/>
  <c r="K249" i="3"/>
  <c r="P249" i="3"/>
  <c r="P143" i="3"/>
  <c r="O143" i="3"/>
  <c r="N143" i="3"/>
  <c r="M143" i="3"/>
  <c r="L143" i="3"/>
  <c r="K143" i="3"/>
  <c r="P11" i="3"/>
  <c r="O11" i="3"/>
  <c r="N11" i="3"/>
  <c r="M11" i="3"/>
  <c r="L11" i="3"/>
  <c r="K11" i="3"/>
  <c r="P319" i="3"/>
  <c r="O319" i="3"/>
  <c r="N319" i="3"/>
  <c r="M319" i="3"/>
  <c r="L319" i="3"/>
  <c r="K319" i="3"/>
  <c r="P115" i="3"/>
  <c r="O115" i="3"/>
  <c r="N115" i="3"/>
  <c r="M115" i="3"/>
  <c r="L115" i="3"/>
  <c r="K115" i="3"/>
  <c r="P391" i="3"/>
  <c r="O391" i="3"/>
  <c r="N391" i="3"/>
  <c r="M391" i="3"/>
  <c r="L391" i="3"/>
  <c r="K391" i="3"/>
  <c r="O238" i="3"/>
  <c r="N238" i="3"/>
  <c r="M238" i="3"/>
  <c r="L238" i="3"/>
  <c r="K238" i="3"/>
  <c r="P238" i="3"/>
  <c r="P76" i="3"/>
  <c r="O76" i="3"/>
  <c r="N76" i="3"/>
  <c r="M76" i="3"/>
  <c r="L76" i="3"/>
  <c r="K76" i="3"/>
  <c r="U17" i="5"/>
  <c r="T17" i="5"/>
  <c r="S17" i="5"/>
  <c r="R17" i="5"/>
  <c r="S11" i="5"/>
  <c r="T11" i="5"/>
  <c r="R11" i="5"/>
  <c r="U11" i="5"/>
  <c r="U66" i="5"/>
  <c r="T66" i="5"/>
  <c r="S66" i="5"/>
  <c r="R66" i="5"/>
  <c r="R95" i="5"/>
  <c r="U95" i="5"/>
  <c r="S95" i="5"/>
  <c r="T95" i="5"/>
  <c r="U75" i="5"/>
  <c r="T75" i="5"/>
  <c r="S75" i="5"/>
  <c r="R75" i="5"/>
  <c r="U118" i="5"/>
  <c r="T118" i="5"/>
  <c r="S118" i="5"/>
  <c r="R118" i="5"/>
  <c r="U105" i="5"/>
  <c r="T105" i="5"/>
  <c r="S105" i="5"/>
  <c r="R105" i="5"/>
  <c r="S147" i="5"/>
  <c r="R147" i="5"/>
  <c r="U147" i="5"/>
  <c r="T147" i="5"/>
  <c r="P146" i="3"/>
  <c r="O146" i="3"/>
  <c r="N146" i="3"/>
  <c r="M146" i="3"/>
  <c r="L146" i="3"/>
  <c r="K146" i="3"/>
  <c r="P208" i="3"/>
  <c r="O208" i="3"/>
  <c r="N208" i="3"/>
  <c r="M208" i="3"/>
  <c r="L208" i="3"/>
  <c r="K208" i="3"/>
  <c r="P188" i="3"/>
  <c r="O188" i="3"/>
  <c r="M188" i="3"/>
  <c r="N188" i="3"/>
  <c r="L188" i="3"/>
  <c r="K188" i="3"/>
  <c r="O256" i="3"/>
  <c r="N256" i="3"/>
  <c r="M256" i="3"/>
  <c r="L256" i="3"/>
  <c r="K256" i="3"/>
  <c r="P256" i="3"/>
  <c r="O234" i="3"/>
  <c r="N234" i="3"/>
  <c r="M234" i="3"/>
  <c r="L234" i="3"/>
  <c r="P234" i="3"/>
  <c r="K234" i="3"/>
  <c r="P302" i="3"/>
  <c r="O302" i="3"/>
  <c r="N302" i="3"/>
  <c r="M302" i="3"/>
  <c r="L302" i="3"/>
  <c r="K302" i="3"/>
  <c r="P8" i="3"/>
  <c r="O8" i="3"/>
  <c r="N8" i="3"/>
  <c r="M8" i="3"/>
  <c r="L8" i="3"/>
  <c r="K8" i="3"/>
  <c r="O241" i="3"/>
  <c r="N241" i="3"/>
  <c r="M241" i="3"/>
  <c r="L241" i="3"/>
  <c r="P241" i="3"/>
  <c r="K241" i="3"/>
  <c r="P103" i="3"/>
  <c r="O103" i="3"/>
  <c r="N103" i="3"/>
  <c r="M103" i="3"/>
  <c r="L103" i="3"/>
  <c r="K103" i="3"/>
  <c r="P364" i="3"/>
  <c r="O364" i="3"/>
  <c r="N364" i="3"/>
  <c r="M364" i="3"/>
  <c r="L364" i="3"/>
  <c r="K364" i="3"/>
  <c r="O229" i="3"/>
  <c r="N229" i="3"/>
  <c r="M229" i="3"/>
  <c r="L229" i="3"/>
  <c r="P229" i="3"/>
  <c r="K229" i="3"/>
  <c r="P75" i="3"/>
  <c r="O75" i="3"/>
  <c r="N75" i="3"/>
  <c r="M75" i="3"/>
  <c r="L75" i="3"/>
  <c r="K75" i="3"/>
  <c r="P363" i="3"/>
  <c r="O363" i="3"/>
  <c r="N363" i="3"/>
  <c r="M363" i="3"/>
  <c r="L363" i="3"/>
  <c r="K363" i="3"/>
  <c r="P193" i="3"/>
  <c r="O193" i="3"/>
  <c r="N193" i="3"/>
  <c r="M193" i="3"/>
  <c r="L193" i="3"/>
  <c r="K193" i="3"/>
  <c r="P46" i="3"/>
  <c r="O46" i="3"/>
  <c r="N46" i="3"/>
  <c r="M46" i="3"/>
  <c r="L46" i="3"/>
  <c r="K46" i="3"/>
  <c r="P383" i="3"/>
  <c r="O383" i="3"/>
  <c r="N383" i="3"/>
  <c r="M383" i="3"/>
  <c r="L383" i="3"/>
  <c r="K383" i="3"/>
  <c r="P159" i="3"/>
  <c r="O159" i="3"/>
  <c r="N159" i="3"/>
  <c r="M159" i="3"/>
  <c r="L159" i="3"/>
  <c r="K159" i="3"/>
  <c r="P16" i="3"/>
  <c r="O16" i="3"/>
  <c r="N16" i="3"/>
  <c r="M16" i="3"/>
  <c r="L16" i="3"/>
  <c r="K16" i="3"/>
  <c r="P277" i="3"/>
  <c r="O277" i="3"/>
  <c r="N277" i="3"/>
  <c r="K277" i="3"/>
  <c r="M277" i="3"/>
  <c r="L277" i="3"/>
  <c r="P131" i="3"/>
  <c r="O131" i="3"/>
  <c r="N131" i="3"/>
  <c r="M131" i="3"/>
  <c r="L131" i="3"/>
  <c r="K131" i="3"/>
  <c r="P407" i="3"/>
  <c r="O407" i="3"/>
  <c r="N407" i="3"/>
  <c r="M407" i="3"/>
  <c r="L407" i="3"/>
  <c r="K407" i="3"/>
  <c r="P309" i="3"/>
  <c r="O309" i="3"/>
  <c r="N309" i="3"/>
  <c r="M309" i="3"/>
  <c r="L309" i="3"/>
  <c r="K309" i="3"/>
  <c r="P34" i="3"/>
  <c r="O34" i="3"/>
  <c r="N34" i="3"/>
  <c r="M34" i="3"/>
  <c r="L34" i="3"/>
  <c r="K34" i="3"/>
  <c r="O233" i="3"/>
  <c r="N233" i="3"/>
  <c r="M233" i="3"/>
  <c r="L233" i="3"/>
  <c r="K233" i="3"/>
  <c r="P233" i="3"/>
  <c r="U48" i="5"/>
  <c r="T48" i="5"/>
  <c r="S48" i="5"/>
  <c r="R48" i="5"/>
  <c r="U35" i="5"/>
  <c r="T35" i="5"/>
  <c r="S35" i="5"/>
  <c r="R35" i="5"/>
  <c r="U110" i="5"/>
  <c r="T110" i="5"/>
  <c r="S110" i="5"/>
  <c r="R110" i="5"/>
  <c r="U111" i="5"/>
  <c r="T111" i="5"/>
  <c r="S111" i="5"/>
  <c r="R111" i="5"/>
  <c r="U83" i="5"/>
  <c r="T83" i="5"/>
  <c r="S83" i="5"/>
  <c r="R83" i="5"/>
  <c r="U125" i="5"/>
  <c r="T125" i="5"/>
  <c r="S125" i="5"/>
  <c r="R125" i="5"/>
  <c r="U166" i="5"/>
  <c r="T166" i="5"/>
  <c r="S166" i="5"/>
  <c r="R166" i="5"/>
  <c r="U113" i="5"/>
  <c r="T113" i="5"/>
  <c r="S113" i="5"/>
  <c r="R113" i="5"/>
  <c r="U173" i="5"/>
  <c r="T173" i="5"/>
  <c r="S173" i="5"/>
  <c r="R173" i="5"/>
  <c r="P105" i="3"/>
  <c r="O105" i="3"/>
  <c r="N105" i="3"/>
  <c r="M105" i="3"/>
  <c r="L105" i="3"/>
  <c r="K105" i="3"/>
  <c r="P140" i="3"/>
  <c r="O140" i="3"/>
  <c r="N140" i="3"/>
  <c r="M140" i="3"/>
  <c r="L140" i="3"/>
  <c r="K140" i="3"/>
  <c r="P161" i="3"/>
  <c r="O161" i="3"/>
  <c r="N161" i="3"/>
  <c r="M161" i="3"/>
  <c r="L161" i="3"/>
  <c r="K161" i="3"/>
  <c r="O236" i="3"/>
  <c r="N236" i="3"/>
  <c r="M236" i="3"/>
  <c r="L236" i="3"/>
  <c r="P236" i="3"/>
  <c r="K236" i="3"/>
  <c r="O252" i="3"/>
  <c r="N252" i="3"/>
  <c r="M252" i="3"/>
  <c r="L252" i="3"/>
  <c r="K252" i="3"/>
  <c r="P252" i="3"/>
  <c r="P170" i="3"/>
  <c r="O170" i="3"/>
  <c r="N170" i="3"/>
  <c r="M170" i="3"/>
  <c r="L170" i="3"/>
  <c r="K170" i="3"/>
  <c r="P198" i="3"/>
  <c r="O198" i="3"/>
  <c r="N198" i="3"/>
  <c r="M198" i="3"/>
  <c r="L198" i="3"/>
  <c r="K198" i="3"/>
  <c r="P331" i="3"/>
  <c r="O331" i="3"/>
  <c r="N331" i="3"/>
  <c r="M331" i="3"/>
  <c r="L331" i="3"/>
  <c r="K331" i="3"/>
  <c r="P119" i="3"/>
  <c r="O119" i="3"/>
  <c r="N119" i="3"/>
  <c r="M119" i="3"/>
  <c r="L119" i="3"/>
  <c r="K119" i="3"/>
  <c r="P60" i="3"/>
  <c r="O60" i="3"/>
  <c r="N60" i="3"/>
  <c r="M60" i="3"/>
  <c r="L60" i="3"/>
  <c r="K60" i="3"/>
  <c r="P98" i="3"/>
  <c r="O98" i="3"/>
  <c r="N98" i="3"/>
  <c r="M98" i="3"/>
  <c r="L98" i="3"/>
  <c r="K98" i="3"/>
  <c r="P74" i="3"/>
  <c r="O74" i="3"/>
  <c r="N74" i="3"/>
  <c r="M74" i="3"/>
  <c r="L74" i="3"/>
  <c r="K74" i="3"/>
  <c r="P122" i="3"/>
  <c r="O122" i="3"/>
  <c r="N122" i="3"/>
  <c r="M122" i="3"/>
  <c r="L122" i="3"/>
  <c r="K122" i="3"/>
  <c r="P406" i="3"/>
  <c r="O406" i="3"/>
  <c r="N406" i="3"/>
  <c r="M406" i="3"/>
  <c r="L406" i="3"/>
  <c r="K406" i="3"/>
  <c r="P129" i="3"/>
  <c r="O129" i="3"/>
  <c r="N129" i="3"/>
  <c r="M129" i="3"/>
  <c r="L129" i="3"/>
  <c r="K129" i="3"/>
  <c r="P22" i="3"/>
  <c r="O22" i="3"/>
  <c r="N22" i="3"/>
  <c r="M22" i="3"/>
  <c r="L22" i="3"/>
  <c r="K22" i="3"/>
  <c r="P268" i="3"/>
  <c r="O268" i="3"/>
  <c r="N268" i="3"/>
  <c r="M268" i="3"/>
  <c r="L268" i="3"/>
  <c r="K268" i="3"/>
  <c r="P135" i="3"/>
  <c r="O135" i="3"/>
  <c r="N135" i="3"/>
  <c r="M135" i="3"/>
  <c r="L135" i="3"/>
  <c r="K135" i="3"/>
  <c r="P185" i="3"/>
  <c r="O185" i="3"/>
  <c r="M185" i="3"/>
  <c r="N185" i="3"/>
  <c r="L185" i="3"/>
  <c r="K185" i="3"/>
  <c r="P377" i="3"/>
  <c r="O377" i="3"/>
  <c r="N377" i="3"/>
  <c r="M377" i="3"/>
  <c r="L377" i="3"/>
  <c r="K377" i="3"/>
  <c r="P107" i="3"/>
  <c r="O107" i="3"/>
  <c r="N107" i="3"/>
  <c r="M107" i="3"/>
  <c r="L107" i="3"/>
  <c r="K107" i="3"/>
  <c r="L365" i="3"/>
  <c r="K365" i="3"/>
  <c r="P365" i="3"/>
  <c r="M365" i="3"/>
  <c r="O365" i="3"/>
  <c r="N365" i="3"/>
  <c r="O230" i="3"/>
  <c r="N230" i="3"/>
  <c r="M230" i="3"/>
  <c r="L230" i="3"/>
  <c r="P230" i="3"/>
  <c r="K230" i="3"/>
  <c r="P78" i="3"/>
  <c r="O78" i="3"/>
  <c r="N78" i="3"/>
  <c r="M78" i="3"/>
  <c r="L78" i="3"/>
  <c r="K78" i="3"/>
  <c r="P332" i="3"/>
  <c r="O332" i="3"/>
  <c r="N332" i="3"/>
  <c r="M332" i="3"/>
  <c r="L332" i="3"/>
  <c r="K332" i="3"/>
  <c r="P197" i="3"/>
  <c r="O197" i="3"/>
  <c r="N197" i="3"/>
  <c r="M197" i="3"/>
  <c r="L197" i="3"/>
  <c r="K197" i="3"/>
  <c r="P48" i="3"/>
  <c r="O48" i="3"/>
  <c r="N48" i="3"/>
  <c r="M48" i="3"/>
  <c r="L48" i="3"/>
  <c r="K48" i="3"/>
  <c r="P293" i="3"/>
  <c r="O293" i="3"/>
  <c r="N293" i="3"/>
  <c r="M293" i="3"/>
  <c r="L293" i="3"/>
  <c r="K293" i="3"/>
  <c r="P163" i="3"/>
  <c r="O163" i="3"/>
  <c r="N163" i="3"/>
  <c r="M163" i="3"/>
  <c r="L163" i="3"/>
  <c r="K163" i="3"/>
  <c r="P18" i="3"/>
  <c r="O18" i="3"/>
  <c r="N18" i="3"/>
  <c r="M18" i="3"/>
  <c r="L18" i="3"/>
  <c r="K18" i="3"/>
  <c r="P57" i="3"/>
  <c r="O57" i="3"/>
  <c r="N57" i="3"/>
  <c r="M57" i="3"/>
  <c r="L57" i="3"/>
  <c r="K57" i="3"/>
  <c r="P351" i="3"/>
  <c r="O351" i="3"/>
  <c r="N351" i="3"/>
  <c r="M351" i="3"/>
  <c r="L351" i="3"/>
  <c r="K351" i="3"/>
  <c r="P37" i="3"/>
  <c r="O37" i="3"/>
  <c r="N37" i="3"/>
  <c r="M37" i="3"/>
  <c r="L37" i="3"/>
  <c r="K37" i="3"/>
  <c r="P343" i="3"/>
  <c r="O343" i="3"/>
  <c r="N343" i="3"/>
  <c r="M343" i="3"/>
  <c r="L343" i="3"/>
  <c r="K343" i="3"/>
  <c r="P85" i="3"/>
  <c r="O85" i="3"/>
  <c r="N85" i="3"/>
  <c r="M85" i="3"/>
  <c r="L85" i="3"/>
  <c r="K85" i="3"/>
  <c r="P38" i="3"/>
  <c r="O38" i="3"/>
  <c r="N38" i="3"/>
  <c r="M38" i="3"/>
  <c r="L38" i="3"/>
  <c r="K38" i="3"/>
  <c r="O257" i="3"/>
  <c r="N257" i="3"/>
  <c r="M257" i="3"/>
  <c r="L257" i="3"/>
  <c r="K257" i="3"/>
  <c r="P257" i="3"/>
  <c r="P151" i="3"/>
  <c r="O151" i="3"/>
  <c r="N151" i="3"/>
  <c r="M151" i="3"/>
  <c r="L151" i="3"/>
  <c r="K151" i="3"/>
  <c r="P202" i="3"/>
  <c r="O202" i="3"/>
  <c r="N202" i="3"/>
  <c r="M202" i="3"/>
  <c r="L202" i="3"/>
  <c r="K202" i="3"/>
  <c r="P362" i="3"/>
  <c r="O362" i="3"/>
  <c r="N362" i="3"/>
  <c r="M362" i="3"/>
  <c r="L362" i="3"/>
  <c r="K362" i="3"/>
  <c r="P123" i="3"/>
  <c r="O123" i="3"/>
  <c r="N123" i="3"/>
  <c r="M123" i="3"/>
  <c r="L123" i="3"/>
  <c r="K123" i="3"/>
  <c r="P399" i="3"/>
  <c r="O399" i="3"/>
  <c r="N399" i="3"/>
  <c r="M399" i="3"/>
  <c r="L399" i="3"/>
  <c r="K399" i="3"/>
  <c r="O242" i="3"/>
  <c r="N242" i="3"/>
  <c r="M242" i="3"/>
  <c r="L242" i="3"/>
  <c r="P242" i="3"/>
  <c r="K242" i="3"/>
  <c r="P94" i="3"/>
  <c r="O94" i="3"/>
  <c r="N94" i="3"/>
  <c r="M94" i="3"/>
  <c r="L94" i="3"/>
  <c r="K94" i="3"/>
  <c r="P348" i="3"/>
  <c r="O348" i="3"/>
  <c r="N348" i="3"/>
  <c r="M348" i="3"/>
  <c r="L348" i="3"/>
  <c r="K348" i="3"/>
  <c r="P312" i="3"/>
  <c r="O312" i="3"/>
  <c r="N312" i="3"/>
  <c r="M312" i="3"/>
  <c r="L312" i="3"/>
  <c r="K312" i="3"/>
  <c r="P64" i="3"/>
  <c r="O64" i="3"/>
  <c r="N64" i="3"/>
  <c r="M64" i="3"/>
  <c r="L64" i="3"/>
  <c r="K64" i="3"/>
  <c r="K279" i="3"/>
  <c r="P279" i="3"/>
  <c r="O279" i="3"/>
  <c r="M279" i="3"/>
  <c r="L279" i="3"/>
  <c r="N279" i="3"/>
  <c r="P189" i="3"/>
  <c r="O189" i="3"/>
  <c r="M189" i="3"/>
  <c r="N189" i="3"/>
  <c r="L189" i="3"/>
  <c r="K189" i="3"/>
  <c r="P20" i="3"/>
  <c r="O20" i="3"/>
  <c r="N20" i="3"/>
  <c r="M20" i="3"/>
  <c r="L20" i="3"/>
  <c r="K20" i="3"/>
  <c r="P371" i="3"/>
  <c r="O371" i="3"/>
  <c r="N371" i="3"/>
  <c r="M371" i="3"/>
  <c r="L371" i="3"/>
  <c r="K371" i="3"/>
  <c r="P117" i="3"/>
  <c r="O117" i="3"/>
  <c r="N117" i="3"/>
  <c r="M117" i="3"/>
  <c r="L117" i="3"/>
  <c r="K117" i="3"/>
  <c r="P113" i="3"/>
  <c r="O113" i="3"/>
  <c r="N113" i="3"/>
  <c r="M113" i="3"/>
  <c r="L113" i="3"/>
  <c r="K113" i="3"/>
  <c r="U28" i="5"/>
  <c r="T28" i="5"/>
  <c r="S28" i="5"/>
  <c r="R28" i="5"/>
  <c r="U36" i="5"/>
  <c r="T36" i="5"/>
  <c r="S36" i="5"/>
  <c r="R36" i="5"/>
  <c r="U30" i="5"/>
  <c r="T30" i="5"/>
  <c r="S30" i="5"/>
  <c r="R30" i="5"/>
  <c r="T24" i="5"/>
  <c r="S24" i="5"/>
  <c r="U24" i="5"/>
  <c r="R24" i="5"/>
  <c r="U191" i="5"/>
  <c r="S191" i="5"/>
  <c r="T191" i="5"/>
  <c r="R191" i="5"/>
  <c r="T62" i="5"/>
  <c r="S62" i="5"/>
  <c r="R62" i="5"/>
  <c r="U62" i="5"/>
  <c r="U127" i="5"/>
  <c r="T127" i="5"/>
  <c r="S127" i="5"/>
  <c r="R127" i="5"/>
  <c r="U175" i="5"/>
  <c r="T175" i="5"/>
  <c r="S175" i="5"/>
  <c r="R175" i="5"/>
  <c r="R108" i="5"/>
  <c r="U108" i="5"/>
  <c r="T108" i="5"/>
  <c r="S108" i="5"/>
  <c r="P373" i="3"/>
  <c r="O373" i="3"/>
  <c r="N373" i="3"/>
  <c r="M373" i="3"/>
  <c r="L373" i="3"/>
  <c r="K373" i="3"/>
  <c r="P187" i="3"/>
  <c r="O187" i="3"/>
  <c r="M187" i="3"/>
  <c r="N187" i="3"/>
  <c r="L187" i="3"/>
  <c r="K187" i="3"/>
  <c r="P324" i="3"/>
  <c r="O324" i="3"/>
  <c r="N324" i="3"/>
  <c r="M324" i="3"/>
  <c r="L324" i="3"/>
  <c r="K324" i="3"/>
  <c r="P367" i="3"/>
  <c r="O367" i="3"/>
  <c r="N367" i="3"/>
  <c r="M367" i="3"/>
  <c r="L367" i="3"/>
  <c r="K367" i="3"/>
  <c r="O288" i="3"/>
  <c r="N288" i="3"/>
  <c r="M288" i="3"/>
  <c r="L288" i="3"/>
  <c r="K288" i="3"/>
  <c r="P288" i="3"/>
  <c r="P42" i="3"/>
  <c r="O42" i="3"/>
  <c r="N42" i="3"/>
  <c r="M42" i="3"/>
  <c r="L42" i="3"/>
  <c r="K42" i="3"/>
  <c r="P54" i="3"/>
  <c r="O54" i="3"/>
  <c r="N54" i="3"/>
  <c r="M54" i="3"/>
  <c r="L54" i="3"/>
  <c r="K54" i="3"/>
  <c r="P326" i="3"/>
  <c r="O326" i="3"/>
  <c r="N326" i="3"/>
  <c r="M326" i="3"/>
  <c r="L326" i="3"/>
  <c r="K326" i="3"/>
  <c r="P167" i="3"/>
  <c r="O167" i="3"/>
  <c r="N167" i="3"/>
  <c r="M167" i="3"/>
  <c r="L167" i="3"/>
  <c r="K167" i="3"/>
  <c r="P24" i="3"/>
  <c r="O24" i="3"/>
  <c r="N24" i="3"/>
  <c r="M24" i="3"/>
  <c r="L24" i="3"/>
  <c r="K24" i="3"/>
  <c r="P281" i="3"/>
  <c r="O281" i="3"/>
  <c r="N281" i="3"/>
  <c r="K281" i="3"/>
  <c r="M281" i="3"/>
  <c r="L281" i="3"/>
  <c r="P344" i="3"/>
  <c r="O344" i="3"/>
  <c r="N344" i="3"/>
  <c r="M344" i="3"/>
  <c r="L344" i="3"/>
  <c r="K344" i="3"/>
  <c r="P261" i="3"/>
  <c r="O261" i="3"/>
  <c r="L261" i="3"/>
  <c r="K261" i="3"/>
  <c r="N261" i="3"/>
  <c r="M261" i="3"/>
  <c r="P162" i="3"/>
  <c r="O162" i="3"/>
  <c r="N162" i="3"/>
  <c r="M162" i="3"/>
  <c r="L162" i="3"/>
  <c r="K162" i="3"/>
  <c r="P323" i="3"/>
  <c r="O323" i="3"/>
  <c r="N323" i="3"/>
  <c r="M323" i="3"/>
  <c r="L323" i="3"/>
  <c r="K323" i="3"/>
  <c r="O175" i="3"/>
  <c r="M175" i="3"/>
  <c r="P175" i="3"/>
  <c r="N175" i="3"/>
  <c r="L175" i="3"/>
  <c r="K175" i="3"/>
  <c r="P70" i="3"/>
  <c r="O70" i="3"/>
  <c r="N70" i="3"/>
  <c r="M70" i="3"/>
  <c r="L70" i="3"/>
  <c r="K70" i="3"/>
  <c r="P264" i="3"/>
  <c r="O264" i="3"/>
  <c r="N264" i="3"/>
  <c r="L264" i="3"/>
  <c r="M264" i="3"/>
  <c r="K264" i="3"/>
  <c r="O217" i="3"/>
  <c r="N217" i="3"/>
  <c r="M217" i="3"/>
  <c r="L217" i="3"/>
  <c r="P217" i="3"/>
  <c r="K217" i="3"/>
  <c r="P40" i="3"/>
  <c r="O40" i="3"/>
  <c r="N40" i="3"/>
  <c r="M40" i="3"/>
  <c r="L40" i="3"/>
  <c r="K40" i="3"/>
  <c r="O272" i="3"/>
  <c r="N272" i="3"/>
  <c r="M272" i="3"/>
  <c r="L272" i="3"/>
  <c r="K272" i="3"/>
  <c r="P272" i="3"/>
  <c r="P155" i="3"/>
  <c r="O155" i="3"/>
  <c r="N155" i="3"/>
  <c r="M155" i="3"/>
  <c r="L155" i="3"/>
  <c r="K155" i="3"/>
  <c r="P207" i="3"/>
  <c r="O207" i="3"/>
  <c r="N207" i="3"/>
  <c r="M207" i="3"/>
  <c r="L207" i="3"/>
  <c r="K207" i="3"/>
  <c r="P295" i="3"/>
  <c r="O295" i="3"/>
  <c r="N295" i="3"/>
  <c r="L295" i="3"/>
  <c r="K295" i="3"/>
  <c r="M295" i="3"/>
  <c r="P126" i="3"/>
  <c r="O126" i="3"/>
  <c r="N126" i="3"/>
  <c r="M126" i="3"/>
  <c r="L126" i="3"/>
  <c r="K126" i="3"/>
  <c r="P402" i="3"/>
  <c r="O402" i="3"/>
  <c r="N402" i="3"/>
  <c r="M402" i="3"/>
  <c r="L402" i="3"/>
  <c r="K402" i="3"/>
  <c r="P372" i="3"/>
  <c r="O372" i="3"/>
  <c r="N372" i="3"/>
  <c r="M372" i="3"/>
  <c r="L372" i="3"/>
  <c r="K372" i="3"/>
  <c r="P96" i="3"/>
  <c r="O96" i="3"/>
  <c r="N96" i="3"/>
  <c r="M96" i="3"/>
  <c r="L96" i="3"/>
  <c r="K96" i="3"/>
  <c r="P350" i="3"/>
  <c r="O350" i="3"/>
  <c r="N350" i="3"/>
  <c r="M350" i="3"/>
  <c r="L350" i="3"/>
  <c r="K350" i="3"/>
  <c r="P307" i="3"/>
  <c r="O307" i="3"/>
  <c r="N307" i="3"/>
  <c r="M307" i="3"/>
  <c r="L307" i="3"/>
  <c r="K307" i="3"/>
  <c r="P52" i="3"/>
  <c r="O52" i="3"/>
  <c r="N52" i="3"/>
  <c r="M52" i="3"/>
  <c r="L52" i="3"/>
  <c r="K52" i="3"/>
  <c r="P322" i="3"/>
  <c r="O322" i="3"/>
  <c r="N322" i="3"/>
  <c r="M322" i="3"/>
  <c r="L322" i="3"/>
  <c r="K322" i="3"/>
  <c r="P374" i="3"/>
  <c r="O374" i="3"/>
  <c r="N374" i="3"/>
  <c r="M374" i="3"/>
  <c r="L374" i="3"/>
  <c r="K374" i="3"/>
  <c r="P26" i="3"/>
  <c r="O26" i="3"/>
  <c r="N26" i="3"/>
  <c r="M26" i="3"/>
  <c r="L26" i="3"/>
  <c r="K26" i="3"/>
  <c r="U13" i="5"/>
  <c r="T13" i="5"/>
  <c r="S13" i="5"/>
  <c r="R13" i="5"/>
  <c r="U64" i="5"/>
  <c r="T64" i="5"/>
  <c r="S64" i="5"/>
  <c r="R64" i="5"/>
  <c r="U46" i="5"/>
  <c r="T46" i="5"/>
  <c r="S46" i="5"/>
  <c r="R46" i="5"/>
  <c r="U40" i="5"/>
  <c r="T40" i="5"/>
  <c r="S40" i="5"/>
  <c r="R40" i="5"/>
  <c r="U68" i="5"/>
  <c r="T68" i="5"/>
  <c r="S68" i="5"/>
  <c r="R68" i="5"/>
  <c r="T78" i="5"/>
  <c r="S78" i="5"/>
  <c r="R78" i="5"/>
  <c r="U78" i="5"/>
  <c r="U221" i="5"/>
  <c r="T221" i="5"/>
  <c r="S221" i="5"/>
  <c r="R221" i="5"/>
  <c r="U106" i="5"/>
  <c r="T106" i="5"/>
  <c r="S106" i="5"/>
  <c r="R106" i="5"/>
  <c r="R124" i="5"/>
  <c r="U124" i="5"/>
  <c r="T124" i="5"/>
  <c r="S124" i="5"/>
  <c r="U213" i="5"/>
  <c r="T213" i="5"/>
  <c r="R213" i="5"/>
  <c r="S213" i="5"/>
  <c r="R155" i="5"/>
  <c r="U155" i="5"/>
  <c r="T155" i="5"/>
  <c r="S155" i="5"/>
  <c r="T170" i="5"/>
  <c r="S170" i="5"/>
  <c r="R170" i="5"/>
  <c r="U170" i="5"/>
  <c r="U234" i="5"/>
  <c r="T234" i="5"/>
  <c r="S234" i="5"/>
  <c r="R234" i="5"/>
  <c r="U289" i="5"/>
  <c r="T289" i="5"/>
  <c r="S289" i="5"/>
  <c r="R289" i="5"/>
  <c r="U244" i="5"/>
  <c r="T244" i="5"/>
  <c r="S244" i="5"/>
  <c r="R244" i="5"/>
  <c r="U303" i="5"/>
  <c r="T303" i="5"/>
  <c r="S303" i="5"/>
  <c r="R303" i="5"/>
  <c r="U259" i="5"/>
  <c r="T259" i="5"/>
  <c r="S259" i="5"/>
  <c r="R259" i="5"/>
  <c r="T274" i="5"/>
  <c r="S274" i="5"/>
  <c r="R274" i="5"/>
  <c r="U274" i="5"/>
  <c r="T299" i="5"/>
  <c r="S299" i="5"/>
  <c r="R299" i="5"/>
  <c r="U299" i="5"/>
  <c r="T317" i="5"/>
  <c r="S317" i="5"/>
  <c r="R317" i="5"/>
  <c r="U317" i="5"/>
  <c r="U326" i="5"/>
  <c r="T326" i="5"/>
  <c r="S326" i="5"/>
  <c r="R326" i="5"/>
  <c r="U362" i="5"/>
  <c r="T362" i="5"/>
  <c r="S362" i="5"/>
  <c r="R362" i="5"/>
  <c r="U376" i="5"/>
  <c r="S376" i="5"/>
  <c r="T376" i="5"/>
  <c r="R376" i="5"/>
  <c r="S358" i="5"/>
  <c r="U358" i="5"/>
  <c r="T358" i="5"/>
  <c r="R358" i="5"/>
  <c r="R403" i="5"/>
  <c r="U403" i="5"/>
  <c r="T403" i="5"/>
  <c r="S403" i="5"/>
  <c r="P106" i="3"/>
  <c r="O106" i="3"/>
  <c r="N106" i="3"/>
  <c r="M106" i="3"/>
  <c r="L106" i="3"/>
  <c r="K106" i="3"/>
  <c r="P68" i="3"/>
  <c r="O68" i="3"/>
  <c r="N68" i="3"/>
  <c r="M68" i="3"/>
  <c r="L68" i="3"/>
  <c r="K68" i="3"/>
  <c r="P357" i="3"/>
  <c r="O357" i="3"/>
  <c r="N357" i="3"/>
  <c r="M357" i="3"/>
  <c r="K357" i="3"/>
  <c r="L357" i="3"/>
  <c r="O247" i="3"/>
  <c r="N247" i="3"/>
  <c r="M247" i="3"/>
  <c r="L247" i="3"/>
  <c r="P247" i="3"/>
  <c r="K247" i="3"/>
  <c r="U6" i="5"/>
  <c r="T6" i="5"/>
  <c r="S6" i="5"/>
  <c r="R6" i="5"/>
  <c r="T26" i="5"/>
  <c r="S26" i="5"/>
  <c r="R26" i="5"/>
  <c r="U26" i="5"/>
  <c r="U81" i="5"/>
  <c r="T81" i="5"/>
  <c r="S81" i="5"/>
  <c r="R81" i="5"/>
  <c r="S8" i="5"/>
  <c r="R8" i="5"/>
  <c r="U8" i="5"/>
  <c r="T8" i="5"/>
  <c r="U141" i="5"/>
  <c r="R141" i="5"/>
  <c r="T141" i="5"/>
  <c r="S141" i="5"/>
  <c r="U76" i="5"/>
  <c r="T76" i="5"/>
  <c r="S76" i="5"/>
  <c r="R76" i="5"/>
  <c r="T86" i="5"/>
  <c r="S86" i="5"/>
  <c r="R86" i="5"/>
  <c r="U86" i="5"/>
  <c r="U157" i="5"/>
  <c r="T157" i="5"/>
  <c r="S157" i="5"/>
  <c r="R157" i="5"/>
  <c r="U114" i="5"/>
  <c r="T114" i="5"/>
  <c r="S114" i="5"/>
  <c r="R114" i="5"/>
  <c r="U148" i="5"/>
  <c r="T148" i="5"/>
  <c r="R148" i="5"/>
  <c r="S148" i="5"/>
  <c r="U271" i="5"/>
  <c r="T271" i="5"/>
  <c r="S271" i="5"/>
  <c r="R271" i="5"/>
  <c r="U196" i="5"/>
  <c r="T196" i="5"/>
  <c r="S196" i="5"/>
  <c r="R196" i="5"/>
  <c r="T178" i="5"/>
  <c r="S178" i="5"/>
  <c r="R178" i="5"/>
  <c r="U178" i="5"/>
  <c r="U235" i="5"/>
  <c r="T235" i="5"/>
  <c r="S235" i="5"/>
  <c r="R235" i="5"/>
  <c r="S194" i="5"/>
  <c r="R194" i="5"/>
  <c r="U194" i="5"/>
  <c r="T194" i="5"/>
  <c r="U249" i="5"/>
  <c r="T249" i="5"/>
  <c r="S249" i="5"/>
  <c r="R249" i="5"/>
  <c r="R223" i="5"/>
  <c r="U223" i="5"/>
  <c r="T223" i="5"/>
  <c r="S223" i="5"/>
  <c r="U267" i="5"/>
  <c r="T267" i="5"/>
  <c r="S267" i="5"/>
  <c r="R267" i="5"/>
  <c r="T285" i="5"/>
  <c r="R285" i="5"/>
  <c r="U285" i="5"/>
  <c r="S285" i="5"/>
  <c r="T307" i="5"/>
  <c r="S307" i="5"/>
  <c r="R307" i="5"/>
  <c r="U307" i="5"/>
  <c r="U379" i="5"/>
  <c r="T379" i="5"/>
  <c r="S379" i="5"/>
  <c r="R379" i="5"/>
  <c r="U333" i="5"/>
  <c r="T333" i="5"/>
  <c r="R333" i="5"/>
  <c r="S333" i="5"/>
  <c r="U363" i="5"/>
  <c r="T363" i="5"/>
  <c r="S363" i="5"/>
  <c r="R363" i="5"/>
  <c r="R382" i="5"/>
  <c r="U382" i="5"/>
  <c r="T382" i="5"/>
  <c r="S382" i="5"/>
  <c r="R366" i="5"/>
  <c r="U366" i="5"/>
  <c r="T366" i="5"/>
  <c r="S366" i="5"/>
  <c r="L369" i="3"/>
  <c r="K369" i="3"/>
  <c r="P369" i="3"/>
  <c r="N369" i="3"/>
  <c r="M369" i="3"/>
  <c r="O369" i="3"/>
  <c r="P65" i="3"/>
  <c r="O65" i="3"/>
  <c r="N65" i="3"/>
  <c r="M65" i="3"/>
  <c r="L65" i="3"/>
  <c r="K65" i="3"/>
  <c r="P299" i="3"/>
  <c r="O299" i="3"/>
  <c r="N299" i="3"/>
  <c r="M299" i="3"/>
  <c r="L299" i="3"/>
  <c r="K299" i="3"/>
  <c r="O177" i="3"/>
  <c r="M177" i="3"/>
  <c r="L177" i="3"/>
  <c r="K177" i="3"/>
  <c r="P177" i="3"/>
  <c r="N177" i="3"/>
  <c r="P45" i="3"/>
  <c r="O45" i="3"/>
  <c r="N45" i="3"/>
  <c r="M45" i="3"/>
  <c r="L45" i="3"/>
  <c r="K45" i="3"/>
  <c r="P315" i="3"/>
  <c r="O315" i="3"/>
  <c r="N315" i="3"/>
  <c r="M315" i="3"/>
  <c r="L315" i="3"/>
  <c r="K315" i="3"/>
  <c r="P158" i="3"/>
  <c r="O158" i="3"/>
  <c r="N158" i="3"/>
  <c r="M158" i="3"/>
  <c r="L158" i="3"/>
  <c r="K158" i="3"/>
  <c r="P15" i="3"/>
  <c r="O15" i="3"/>
  <c r="N15" i="3"/>
  <c r="M15" i="3"/>
  <c r="L15" i="3"/>
  <c r="K15" i="3"/>
  <c r="P273" i="3"/>
  <c r="O273" i="3"/>
  <c r="N273" i="3"/>
  <c r="K273" i="3"/>
  <c r="M273" i="3"/>
  <c r="L273" i="3"/>
  <c r="P128" i="3"/>
  <c r="O128" i="3"/>
  <c r="N128" i="3"/>
  <c r="M128" i="3"/>
  <c r="L128" i="3"/>
  <c r="K128" i="3"/>
  <c r="N404" i="3"/>
  <c r="M404" i="3"/>
  <c r="L404" i="3"/>
  <c r="K404" i="3"/>
  <c r="O404" i="3"/>
  <c r="P404" i="3"/>
  <c r="P375" i="3"/>
  <c r="O375" i="3"/>
  <c r="N375" i="3"/>
  <c r="M375" i="3"/>
  <c r="L375" i="3"/>
  <c r="K375" i="3"/>
  <c r="P84" i="3"/>
  <c r="O84" i="3"/>
  <c r="N84" i="3"/>
  <c r="M84" i="3"/>
  <c r="L84" i="3"/>
  <c r="K84" i="3"/>
  <c r="P338" i="3"/>
  <c r="O338" i="3"/>
  <c r="N338" i="3"/>
  <c r="M338" i="3"/>
  <c r="L338" i="3"/>
  <c r="K338" i="3"/>
  <c r="P305" i="3"/>
  <c r="O305" i="3"/>
  <c r="N305" i="3"/>
  <c r="M305" i="3"/>
  <c r="L305" i="3"/>
  <c r="K305" i="3"/>
  <c r="U19" i="5"/>
  <c r="T19" i="5"/>
  <c r="R19" i="5"/>
  <c r="S19" i="5"/>
  <c r="U34" i="5"/>
  <c r="T34" i="5"/>
  <c r="S34" i="5"/>
  <c r="R34" i="5"/>
  <c r="U88" i="5"/>
  <c r="T88" i="5"/>
  <c r="S88" i="5"/>
  <c r="R88" i="5"/>
  <c r="T56" i="5"/>
  <c r="S56" i="5"/>
  <c r="R56" i="5"/>
  <c r="U56" i="5"/>
  <c r="T94" i="5"/>
  <c r="U94" i="5"/>
  <c r="S94" i="5"/>
  <c r="R94" i="5"/>
  <c r="U84" i="5"/>
  <c r="T84" i="5"/>
  <c r="S84" i="5"/>
  <c r="R84" i="5"/>
  <c r="U96" i="5"/>
  <c r="T96" i="5"/>
  <c r="S96" i="5"/>
  <c r="R96" i="5"/>
  <c r="U112" i="5"/>
  <c r="T112" i="5"/>
  <c r="S112" i="5"/>
  <c r="R112" i="5"/>
  <c r="U122" i="5"/>
  <c r="T122" i="5"/>
  <c r="S122" i="5"/>
  <c r="R122" i="5"/>
  <c r="U183" i="5"/>
  <c r="S183" i="5"/>
  <c r="R183" i="5"/>
  <c r="T183" i="5"/>
  <c r="U158" i="5"/>
  <c r="T158" i="5"/>
  <c r="S158" i="5"/>
  <c r="R158" i="5"/>
  <c r="U198" i="5"/>
  <c r="T198" i="5"/>
  <c r="S198" i="5"/>
  <c r="R198" i="5"/>
  <c r="T186" i="5"/>
  <c r="S186" i="5"/>
  <c r="R186" i="5"/>
  <c r="U186" i="5"/>
  <c r="U236" i="5"/>
  <c r="T236" i="5"/>
  <c r="S236" i="5"/>
  <c r="R236" i="5"/>
  <c r="T202" i="5"/>
  <c r="S202" i="5"/>
  <c r="R202" i="5"/>
  <c r="U202" i="5"/>
  <c r="U265" i="5"/>
  <c r="T265" i="5"/>
  <c r="S265" i="5"/>
  <c r="R265" i="5"/>
  <c r="S231" i="5"/>
  <c r="R231" i="5"/>
  <c r="U231" i="5"/>
  <c r="T231" i="5"/>
  <c r="T293" i="5"/>
  <c r="S293" i="5"/>
  <c r="R293" i="5"/>
  <c r="U293" i="5"/>
  <c r="U297" i="5"/>
  <c r="T297" i="5"/>
  <c r="S297" i="5"/>
  <c r="R297" i="5"/>
  <c r="U292" i="5"/>
  <c r="T292" i="5"/>
  <c r="R292" i="5"/>
  <c r="S292" i="5"/>
  <c r="U324" i="5"/>
  <c r="T324" i="5"/>
  <c r="S324" i="5"/>
  <c r="R324" i="5"/>
  <c r="U340" i="5"/>
  <c r="T340" i="5"/>
  <c r="S340" i="5"/>
  <c r="R340" i="5"/>
  <c r="U328" i="5"/>
  <c r="T328" i="5"/>
  <c r="S328" i="5"/>
  <c r="R328" i="5"/>
  <c r="T377" i="5"/>
  <c r="S377" i="5"/>
  <c r="R377" i="5"/>
  <c r="U377" i="5"/>
  <c r="S374" i="5"/>
  <c r="R374" i="5"/>
  <c r="T374" i="5"/>
  <c r="U374" i="5"/>
  <c r="K287" i="3"/>
  <c r="P287" i="3"/>
  <c r="O287" i="3"/>
  <c r="M287" i="3"/>
  <c r="L287" i="3"/>
  <c r="N287" i="3"/>
  <c r="P21" i="3"/>
  <c r="O21" i="3"/>
  <c r="N21" i="3"/>
  <c r="M21" i="3"/>
  <c r="L21" i="3"/>
  <c r="K21" i="3"/>
  <c r="P88" i="3"/>
  <c r="O88" i="3"/>
  <c r="N88" i="3"/>
  <c r="M88" i="3"/>
  <c r="L88" i="3"/>
  <c r="K88" i="3"/>
  <c r="P342" i="3"/>
  <c r="O342" i="3"/>
  <c r="N342" i="3"/>
  <c r="M342" i="3"/>
  <c r="L342" i="3"/>
  <c r="K342" i="3"/>
  <c r="P301" i="3"/>
  <c r="O301" i="3"/>
  <c r="N301" i="3"/>
  <c r="M301" i="3"/>
  <c r="L301" i="3"/>
  <c r="K301" i="3"/>
  <c r="P61" i="3"/>
  <c r="O61" i="3"/>
  <c r="N61" i="3"/>
  <c r="M61" i="3"/>
  <c r="L61" i="3"/>
  <c r="K61" i="3"/>
  <c r="P384" i="3"/>
  <c r="O384" i="3"/>
  <c r="N384" i="3"/>
  <c r="M384" i="3"/>
  <c r="L384" i="3"/>
  <c r="K384" i="3"/>
  <c r="M174" i="3"/>
  <c r="P174" i="3"/>
  <c r="O174" i="3"/>
  <c r="N174" i="3"/>
  <c r="L174" i="3"/>
  <c r="K174" i="3"/>
  <c r="P31" i="3"/>
  <c r="O31" i="3"/>
  <c r="N31" i="3"/>
  <c r="M31" i="3"/>
  <c r="L31" i="3"/>
  <c r="K31" i="3"/>
  <c r="O250" i="3"/>
  <c r="N250" i="3"/>
  <c r="M250" i="3"/>
  <c r="L250" i="3"/>
  <c r="K250" i="3"/>
  <c r="P250" i="3"/>
  <c r="P144" i="3"/>
  <c r="O144" i="3"/>
  <c r="N144" i="3"/>
  <c r="M144" i="3"/>
  <c r="L144" i="3"/>
  <c r="K144" i="3"/>
  <c r="P192" i="3"/>
  <c r="O192" i="3"/>
  <c r="N192" i="3"/>
  <c r="M192" i="3"/>
  <c r="L192" i="3"/>
  <c r="K192" i="3"/>
  <c r="P325" i="3"/>
  <c r="O325" i="3"/>
  <c r="N325" i="3"/>
  <c r="M325" i="3"/>
  <c r="L325" i="3"/>
  <c r="K325" i="3"/>
  <c r="P100" i="3"/>
  <c r="O100" i="3"/>
  <c r="N100" i="3"/>
  <c r="M100" i="3"/>
  <c r="L100" i="3"/>
  <c r="K100" i="3"/>
  <c r="P354" i="3"/>
  <c r="O354" i="3"/>
  <c r="N354" i="3"/>
  <c r="M354" i="3"/>
  <c r="L354" i="3"/>
  <c r="K354" i="3"/>
  <c r="P267" i="3"/>
  <c r="O267" i="3"/>
  <c r="N267" i="3"/>
  <c r="M267" i="3"/>
  <c r="L267" i="3"/>
  <c r="K267" i="3"/>
  <c r="T57" i="5"/>
  <c r="U57" i="5"/>
  <c r="S57" i="5"/>
  <c r="R57" i="5"/>
  <c r="T18" i="5"/>
  <c r="U18" i="5"/>
  <c r="S18" i="5"/>
  <c r="R18" i="5"/>
  <c r="U21" i="5"/>
  <c r="T21" i="5"/>
  <c r="S21" i="5"/>
  <c r="R21" i="5"/>
  <c r="S15" i="5"/>
  <c r="R15" i="5"/>
  <c r="U15" i="5"/>
  <c r="T15" i="5"/>
  <c r="U74" i="5"/>
  <c r="T74" i="5"/>
  <c r="S74" i="5"/>
  <c r="R74" i="5"/>
  <c r="U97" i="5"/>
  <c r="T97" i="5"/>
  <c r="S97" i="5"/>
  <c r="R97" i="5"/>
  <c r="R55" i="5"/>
  <c r="U55" i="5"/>
  <c r="T55" i="5"/>
  <c r="S55" i="5"/>
  <c r="U120" i="5"/>
  <c r="T120" i="5"/>
  <c r="S120" i="5"/>
  <c r="R120" i="5"/>
  <c r="T99" i="5"/>
  <c r="S99" i="5"/>
  <c r="R99" i="5"/>
  <c r="U99" i="5"/>
  <c r="U149" i="5"/>
  <c r="T149" i="5"/>
  <c r="S149" i="5"/>
  <c r="R149" i="5"/>
  <c r="U136" i="5"/>
  <c r="T136" i="5"/>
  <c r="R136" i="5"/>
  <c r="S136" i="5"/>
  <c r="U200" i="5"/>
  <c r="T200" i="5"/>
  <c r="S200" i="5"/>
  <c r="R200" i="5"/>
  <c r="T206" i="5"/>
  <c r="S206" i="5"/>
  <c r="R206" i="5"/>
  <c r="U206" i="5"/>
  <c r="U228" i="5"/>
  <c r="T228" i="5"/>
  <c r="S228" i="5"/>
  <c r="R228" i="5"/>
  <c r="T210" i="5"/>
  <c r="S210" i="5"/>
  <c r="R210" i="5"/>
  <c r="U210" i="5"/>
  <c r="U257" i="5"/>
  <c r="T257" i="5"/>
  <c r="S257" i="5"/>
  <c r="R257" i="5"/>
  <c r="S239" i="5"/>
  <c r="R239" i="5"/>
  <c r="U239" i="5"/>
  <c r="T239" i="5"/>
  <c r="U279" i="5"/>
  <c r="T279" i="5"/>
  <c r="S279" i="5"/>
  <c r="R279" i="5"/>
  <c r="R254" i="5"/>
  <c r="U254" i="5"/>
  <c r="T254" i="5"/>
  <c r="S254" i="5"/>
  <c r="U300" i="5"/>
  <c r="T300" i="5"/>
  <c r="R300" i="5"/>
  <c r="S300" i="5"/>
  <c r="U331" i="5"/>
  <c r="T331" i="5"/>
  <c r="S331" i="5"/>
  <c r="R331" i="5"/>
  <c r="U341" i="5"/>
  <c r="T341" i="5"/>
  <c r="S341" i="5"/>
  <c r="R341" i="5"/>
  <c r="U336" i="5"/>
  <c r="T336" i="5"/>
  <c r="S336" i="5"/>
  <c r="R336" i="5"/>
  <c r="U378" i="5"/>
  <c r="T378" i="5"/>
  <c r="R378" i="5"/>
  <c r="S378" i="5"/>
  <c r="R395" i="5"/>
  <c r="U395" i="5"/>
  <c r="T395" i="5"/>
  <c r="S395" i="5"/>
  <c r="O244" i="3"/>
  <c r="N244" i="3"/>
  <c r="M244" i="3"/>
  <c r="L244" i="3"/>
  <c r="P244" i="3"/>
  <c r="K244" i="3"/>
  <c r="P317" i="3"/>
  <c r="O317" i="3"/>
  <c r="N317" i="3"/>
  <c r="M317" i="3"/>
  <c r="L317" i="3"/>
  <c r="K317" i="3"/>
  <c r="P104" i="3"/>
  <c r="O104" i="3"/>
  <c r="N104" i="3"/>
  <c r="M104" i="3"/>
  <c r="L104" i="3"/>
  <c r="K104" i="3"/>
  <c r="P368" i="3"/>
  <c r="O368" i="3"/>
  <c r="N368" i="3"/>
  <c r="M368" i="3"/>
  <c r="L368" i="3"/>
  <c r="K368" i="3"/>
  <c r="O286" i="3"/>
  <c r="N286" i="3"/>
  <c r="M286" i="3"/>
  <c r="L286" i="3"/>
  <c r="K286" i="3"/>
  <c r="P286" i="3"/>
  <c r="P77" i="3"/>
  <c r="O77" i="3"/>
  <c r="N77" i="3"/>
  <c r="M77" i="3"/>
  <c r="L77" i="3"/>
  <c r="K77" i="3"/>
  <c r="P356" i="3"/>
  <c r="O356" i="3"/>
  <c r="N356" i="3"/>
  <c r="M356" i="3"/>
  <c r="L356" i="3"/>
  <c r="K356" i="3"/>
  <c r="P195" i="3"/>
  <c r="O195" i="3"/>
  <c r="N195" i="3"/>
  <c r="M195" i="3"/>
  <c r="L195" i="3"/>
  <c r="K195" i="3"/>
  <c r="P47" i="3"/>
  <c r="O47" i="3"/>
  <c r="N47" i="3"/>
  <c r="M47" i="3"/>
  <c r="L47" i="3"/>
  <c r="K47" i="3"/>
  <c r="N266" i="3"/>
  <c r="M266" i="3"/>
  <c r="L266" i="3"/>
  <c r="K266" i="3"/>
  <c r="P266" i="3"/>
  <c r="O266" i="3"/>
  <c r="P160" i="3"/>
  <c r="O160" i="3"/>
  <c r="N160" i="3"/>
  <c r="M160" i="3"/>
  <c r="L160" i="3"/>
  <c r="K160" i="3"/>
  <c r="P19" i="3"/>
  <c r="O19" i="3"/>
  <c r="N19" i="3"/>
  <c r="M19" i="3"/>
  <c r="L19" i="3"/>
  <c r="K19" i="3"/>
  <c r="P316" i="3"/>
  <c r="O316" i="3"/>
  <c r="N316" i="3"/>
  <c r="M316" i="3"/>
  <c r="L316" i="3"/>
  <c r="K316" i="3"/>
  <c r="P116" i="3"/>
  <c r="O116" i="3"/>
  <c r="N116" i="3"/>
  <c r="M116" i="3"/>
  <c r="L116" i="3"/>
  <c r="K116" i="3"/>
  <c r="P392" i="3"/>
  <c r="O392" i="3"/>
  <c r="N392" i="3"/>
  <c r="M392" i="3"/>
  <c r="L392" i="3"/>
  <c r="K392" i="3"/>
  <c r="P156" i="3"/>
  <c r="O156" i="3"/>
  <c r="N156" i="3"/>
  <c r="M156" i="3"/>
  <c r="L156" i="3"/>
  <c r="K156" i="3"/>
  <c r="U41" i="5"/>
  <c r="T41" i="5"/>
  <c r="R41" i="5"/>
  <c r="S41" i="5"/>
  <c r="U59" i="5"/>
  <c r="T59" i="5"/>
  <c r="S59" i="5"/>
  <c r="R59" i="5"/>
  <c r="U29" i="5"/>
  <c r="T29" i="5"/>
  <c r="S29" i="5"/>
  <c r="R29" i="5"/>
  <c r="S23" i="5"/>
  <c r="R23" i="5"/>
  <c r="U23" i="5"/>
  <c r="T23" i="5"/>
  <c r="U82" i="5"/>
  <c r="T82" i="5"/>
  <c r="S82" i="5"/>
  <c r="R82" i="5"/>
  <c r="U132" i="5"/>
  <c r="T132" i="5"/>
  <c r="S132" i="5"/>
  <c r="R132" i="5"/>
  <c r="R63" i="5"/>
  <c r="U63" i="5"/>
  <c r="T63" i="5"/>
  <c r="S63" i="5"/>
  <c r="U128" i="5"/>
  <c r="T128" i="5"/>
  <c r="S128" i="5"/>
  <c r="R128" i="5"/>
  <c r="T107" i="5"/>
  <c r="S107" i="5"/>
  <c r="R107" i="5"/>
  <c r="U107" i="5"/>
  <c r="T180" i="5"/>
  <c r="U180" i="5"/>
  <c r="S180" i="5"/>
  <c r="R180" i="5"/>
  <c r="U144" i="5"/>
  <c r="T144" i="5"/>
  <c r="S144" i="5"/>
  <c r="R144" i="5"/>
  <c r="U165" i="5"/>
  <c r="T165" i="5"/>
  <c r="S165" i="5"/>
  <c r="R165" i="5"/>
  <c r="U208" i="5"/>
  <c r="T208" i="5"/>
  <c r="S208" i="5"/>
  <c r="R208" i="5"/>
  <c r="U207" i="5"/>
  <c r="T207" i="5"/>
  <c r="R207" i="5"/>
  <c r="S207" i="5"/>
  <c r="T218" i="5"/>
  <c r="S218" i="5"/>
  <c r="R218" i="5"/>
  <c r="U218" i="5"/>
  <c r="T272" i="5"/>
  <c r="U272" i="5"/>
  <c r="S272" i="5"/>
  <c r="R272" i="5"/>
  <c r="S247" i="5"/>
  <c r="R247" i="5"/>
  <c r="T247" i="5"/>
  <c r="U247" i="5"/>
  <c r="U295" i="5"/>
  <c r="T295" i="5"/>
  <c r="S295" i="5"/>
  <c r="R295" i="5"/>
  <c r="R262" i="5"/>
  <c r="U262" i="5"/>
  <c r="T262" i="5"/>
  <c r="S262" i="5"/>
  <c r="U308" i="5"/>
  <c r="T308" i="5"/>
  <c r="R308" i="5"/>
  <c r="S308" i="5"/>
  <c r="U350" i="5"/>
  <c r="T350" i="5"/>
  <c r="S350" i="5"/>
  <c r="R350" i="5"/>
  <c r="U342" i="5"/>
  <c r="S342" i="5"/>
  <c r="T342" i="5"/>
  <c r="R342" i="5"/>
  <c r="U344" i="5"/>
  <c r="T344" i="5"/>
  <c r="S344" i="5"/>
  <c r="R344" i="5"/>
  <c r="T384" i="5"/>
  <c r="S384" i="5"/>
  <c r="R384" i="5"/>
  <c r="U384" i="5"/>
  <c r="U375" i="5"/>
  <c r="T375" i="5"/>
  <c r="S375" i="5"/>
  <c r="R375" i="5"/>
  <c r="L211" i="3"/>
  <c r="K211" i="3"/>
  <c r="P211" i="3"/>
  <c r="O211" i="3"/>
  <c r="N211" i="3"/>
  <c r="M211" i="3"/>
  <c r="P381" i="3"/>
  <c r="O381" i="3"/>
  <c r="N381" i="3"/>
  <c r="M381" i="3"/>
  <c r="L381" i="3"/>
  <c r="K381" i="3"/>
  <c r="P114" i="3"/>
  <c r="O114" i="3"/>
  <c r="N114" i="3"/>
  <c r="M114" i="3"/>
  <c r="L114" i="3"/>
  <c r="K114" i="3"/>
  <c r="U10" i="5"/>
  <c r="T10" i="5"/>
  <c r="S10" i="5"/>
  <c r="R10" i="5"/>
  <c r="U33" i="5"/>
  <c r="T33" i="5"/>
  <c r="S33" i="5"/>
  <c r="R33" i="5"/>
  <c r="U37" i="5"/>
  <c r="T37" i="5"/>
  <c r="S37" i="5"/>
  <c r="R37" i="5"/>
  <c r="S31" i="5"/>
  <c r="R31" i="5"/>
  <c r="U31" i="5"/>
  <c r="T31" i="5"/>
  <c r="U90" i="5"/>
  <c r="T90" i="5"/>
  <c r="S90" i="5"/>
  <c r="R90" i="5"/>
  <c r="U53" i="5"/>
  <c r="T53" i="5"/>
  <c r="S53" i="5"/>
  <c r="R53" i="5"/>
  <c r="R71" i="5"/>
  <c r="U71" i="5"/>
  <c r="T71" i="5"/>
  <c r="S71" i="5"/>
  <c r="U140" i="5"/>
  <c r="T140" i="5"/>
  <c r="S140" i="5"/>
  <c r="R140" i="5"/>
  <c r="T115" i="5"/>
  <c r="S115" i="5"/>
  <c r="R115" i="5"/>
  <c r="U115" i="5"/>
  <c r="U160" i="5"/>
  <c r="T160" i="5"/>
  <c r="S160" i="5"/>
  <c r="R160" i="5"/>
  <c r="U152" i="5"/>
  <c r="T152" i="5"/>
  <c r="S152" i="5"/>
  <c r="R152" i="5"/>
  <c r="T212" i="5"/>
  <c r="U212" i="5"/>
  <c r="S212" i="5"/>
  <c r="R212" i="5"/>
  <c r="S187" i="5"/>
  <c r="R187" i="5"/>
  <c r="U187" i="5"/>
  <c r="T187" i="5"/>
  <c r="U215" i="5"/>
  <c r="T215" i="5"/>
  <c r="S215" i="5"/>
  <c r="R215" i="5"/>
  <c r="T219" i="5"/>
  <c r="S219" i="5"/>
  <c r="R219" i="5"/>
  <c r="U219" i="5"/>
  <c r="U237" i="5"/>
  <c r="T237" i="5"/>
  <c r="S237" i="5"/>
  <c r="R237" i="5"/>
  <c r="U281" i="5"/>
  <c r="S281" i="5"/>
  <c r="T281" i="5"/>
  <c r="R281" i="5"/>
  <c r="U312" i="5"/>
  <c r="T312" i="5"/>
  <c r="S312" i="5"/>
  <c r="R312" i="5"/>
  <c r="R270" i="5"/>
  <c r="T270" i="5"/>
  <c r="U270" i="5"/>
  <c r="S270" i="5"/>
  <c r="U315" i="5"/>
  <c r="T315" i="5"/>
  <c r="R315" i="5"/>
  <c r="S315" i="5"/>
  <c r="U368" i="5"/>
  <c r="T368" i="5"/>
  <c r="R368" i="5"/>
  <c r="S368" i="5"/>
  <c r="U349" i="5"/>
  <c r="T349" i="5"/>
  <c r="S349" i="5"/>
  <c r="R349" i="5"/>
  <c r="U352" i="5"/>
  <c r="T352" i="5"/>
  <c r="S352" i="5"/>
  <c r="R352" i="5"/>
  <c r="T381" i="5"/>
  <c r="U381" i="5"/>
  <c r="S381" i="5"/>
  <c r="R381" i="5"/>
  <c r="U383" i="5"/>
  <c r="T383" i="5"/>
  <c r="S383" i="5"/>
  <c r="R383" i="5"/>
  <c r="P203" i="3"/>
  <c r="O203" i="3"/>
  <c r="N203" i="3"/>
  <c r="M203" i="3"/>
  <c r="L203" i="3"/>
  <c r="K203" i="3"/>
  <c r="AL318" i="5" l="1"/>
  <c r="AK318" i="5"/>
  <c r="AL103" i="5"/>
  <c r="AK103" i="5"/>
  <c r="AL396" i="5"/>
  <c r="AK396" i="5"/>
  <c r="AL227" i="5"/>
  <c r="AK227" i="5"/>
  <c r="AL27" i="5"/>
  <c r="AK27" i="5"/>
  <c r="AL272" i="5"/>
  <c r="AK272" i="5"/>
  <c r="AL165" i="5"/>
  <c r="AK165" i="5"/>
  <c r="AL128" i="5"/>
  <c r="AK128" i="5"/>
  <c r="AL331" i="5"/>
  <c r="AK331" i="5"/>
  <c r="AL74" i="5"/>
  <c r="AK74" i="5"/>
  <c r="AL57" i="5"/>
  <c r="AK57" i="5"/>
  <c r="AL340" i="5"/>
  <c r="AK340" i="5"/>
  <c r="AL236" i="5"/>
  <c r="AK236" i="5"/>
  <c r="AL84" i="5"/>
  <c r="AK84" i="5"/>
  <c r="AL34" i="5"/>
  <c r="AK34" i="5"/>
  <c r="AL173" i="5"/>
  <c r="AK173" i="5"/>
  <c r="AL83" i="5"/>
  <c r="AK83" i="5"/>
  <c r="AL48" i="5"/>
  <c r="AK48" i="5"/>
  <c r="AL75" i="5"/>
  <c r="AK75" i="5"/>
  <c r="AK17" i="5"/>
  <c r="AL17" i="5"/>
  <c r="AK330" i="5"/>
  <c r="AL330" i="5"/>
  <c r="AL334" i="5"/>
  <c r="AK334" i="5"/>
  <c r="AL174" i="5"/>
  <c r="AK174" i="5"/>
  <c r="AL14" i="5"/>
  <c r="AK14" i="5"/>
  <c r="AL373" i="5"/>
  <c r="AK373" i="5"/>
  <c r="AL230" i="5"/>
  <c r="AK230" i="5"/>
  <c r="AL177" i="5"/>
  <c r="AK177" i="5"/>
  <c r="AL290" i="5"/>
  <c r="AK290" i="5"/>
  <c r="AK248" i="5"/>
  <c r="AL248" i="5"/>
  <c r="AL109" i="5"/>
  <c r="AK109" i="5"/>
  <c r="AL380" i="5"/>
  <c r="AK380" i="5"/>
  <c r="AL190" i="5"/>
  <c r="AK190" i="5"/>
  <c r="AL134" i="5"/>
  <c r="AK134" i="5"/>
  <c r="AL73" i="5"/>
  <c r="AK73" i="5"/>
  <c r="AL397" i="5"/>
  <c r="AK397" i="5"/>
  <c r="AK232" i="5"/>
  <c r="AL232" i="5"/>
  <c r="AK163" i="5"/>
  <c r="AL163" i="5"/>
  <c r="AL5" i="5"/>
  <c r="AK5" i="5"/>
  <c r="AL404" i="5"/>
  <c r="AK404" i="5"/>
  <c r="AL266" i="5"/>
  <c r="AK266" i="5"/>
  <c r="AK93" i="5"/>
  <c r="AL93" i="5"/>
  <c r="AL133" i="5"/>
  <c r="AK133" i="5"/>
  <c r="AL123" i="5"/>
  <c r="AK123" i="5"/>
  <c r="AL204" i="5"/>
  <c r="AK204" i="5"/>
  <c r="AL153" i="5"/>
  <c r="AK153" i="5"/>
  <c r="AL250" i="5"/>
  <c r="AK250" i="5"/>
  <c r="AL349" i="5"/>
  <c r="AK349" i="5"/>
  <c r="AL312" i="5"/>
  <c r="AK312" i="5"/>
  <c r="AL215" i="5"/>
  <c r="AK215" i="5"/>
  <c r="AL160" i="5"/>
  <c r="AK160" i="5"/>
  <c r="AL53" i="5"/>
  <c r="AK53" i="5"/>
  <c r="AL33" i="5"/>
  <c r="AK33" i="5"/>
  <c r="AL23" i="5"/>
  <c r="AK23" i="5"/>
  <c r="AL239" i="5"/>
  <c r="AK239" i="5"/>
  <c r="AL379" i="5"/>
  <c r="AK379" i="5"/>
  <c r="AL114" i="5"/>
  <c r="AK114" i="5"/>
  <c r="AL6" i="5"/>
  <c r="AK6" i="5"/>
  <c r="AL303" i="5"/>
  <c r="AK303" i="5"/>
  <c r="AL106" i="5"/>
  <c r="AK106" i="5"/>
  <c r="AK40" i="5"/>
  <c r="AL40" i="5"/>
  <c r="AL175" i="5"/>
  <c r="AK175" i="5"/>
  <c r="AK400" i="5"/>
  <c r="AL400" i="5"/>
  <c r="AL251" i="5"/>
  <c r="AK251" i="5"/>
  <c r="AL233" i="5"/>
  <c r="AK233" i="5"/>
  <c r="AL60" i="5"/>
  <c r="AK60" i="5"/>
  <c r="AL20" i="5"/>
  <c r="AK20" i="5"/>
  <c r="AL351" i="5"/>
  <c r="AK351" i="5"/>
  <c r="AL209" i="5"/>
  <c r="AK209" i="5"/>
  <c r="AL151" i="5"/>
  <c r="AK151" i="5"/>
  <c r="AK12" i="5"/>
  <c r="AL12" i="5"/>
  <c r="AL117" i="5"/>
  <c r="AK117" i="5"/>
  <c r="AL391" i="5"/>
  <c r="AK391" i="5"/>
  <c r="AL345" i="5"/>
  <c r="AK345" i="5"/>
  <c r="V399" i="5"/>
  <c r="V391" i="5"/>
  <c r="V383" i="5"/>
  <c r="V398" i="5"/>
  <c r="V390" i="5"/>
  <c r="V382" i="5"/>
  <c r="V401" i="5"/>
  <c r="V397" i="5"/>
  <c r="V389" i="5"/>
  <c r="V404" i="5"/>
  <c r="V396" i="5"/>
  <c r="V388" i="5"/>
  <c r="V380" i="5"/>
  <c r="V402" i="5"/>
  <c r="V395" i="5"/>
  <c r="V403" i="5"/>
  <c r="V393" i="5"/>
  <c r="V372" i="5"/>
  <c r="V364" i="5"/>
  <c r="V385" i="5"/>
  <c r="V381" i="5"/>
  <c r="V379" i="5"/>
  <c r="V371" i="5"/>
  <c r="V363" i="5"/>
  <c r="V378" i="5"/>
  <c r="V370" i="5"/>
  <c r="V362" i="5"/>
  <c r="V394" i="5"/>
  <c r="V377" i="5"/>
  <c r="V361" i="5"/>
  <c r="V360" i="5"/>
  <c r="V351" i="5"/>
  <c r="V343" i="5"/>
  <c r="V335" i="5"/>
  <c r="V327" i="5"/>
  <c r="V375" i="5"/>
  <c r="V386" i="5"/>
  <c r="V359" i="5"/>
  <c r="V350" i="5"/>
  <c r="V342" i="5"/>
  <c r="V334" i="5"/>
  <c r="V326" i="5"/>
  <c r="V357" i="5"/>
  <c r="V349" i="5"/>
  <c r="V392" i="5"/>
  <c r="V369" i="5"/>
  <c r="V368" i="5"/>
  <c r="V367" i="5"/>
  <c r="V366" i="5"/>
  <c r="V365" i="5"/>
  <c r="V384" i="5"/>
  <c r="V356" i="5"/>
  <c r="V374" i="5"/>
  <c r="V318" i="5"/>
  <c r="V338" i="5"/>
  <c r="V331" i="5"/>
  <c r="V324" i="5"/>
  <c r="V400" i="5"/>
  <c r="V345" i="5"/>
  <c r="V352" i="5"/>
  <c r="V337" i="5"/>
  <c r="V330" i="5"/>
  <c r="V323" i="5"/>
  <c r="V316" i="5"/>
  <c r="V354" i="5"/>
  <c r="V348" i="5"/>
  <c r="V376" i="5"/>
  <c r="V336" i="5"/>
  <c r="V329" i="5"/>
  <c r="V322" i="5"/>
  <c r="V387" i="5"/>
  <c r="V346" i="5"/>
  <c r="V328" i="5"/>
  <c r="V321" i="5"/>
  <c r="V373" i="5"/>
  <c r="V358" i="5"/>
  <c r="V355" i="5"/>
  <c r="V333" i="5"/>
  <c r="V315" i="5"/>
  <c r="V308" i="5"/>
  <c r="V300" i="5"/>
  <c r="V292" i="5"/>
  <c r="V284" i="5"/>
  <c r="V276" i="5"/>
  <c r="V339" i="5"/>
  <c r="V307" i="5"/>
  <c r="V299" i="5"/>
  <c r="V291" i="5"/>
  <c r="V283" i="5"/>
  <c r="V275" i="5"/>
  <c r="V306" i="5"/>
  <c r="V298" i="5"/>
  <c r="V290" i="5"/>
  <c r="V282" i="5"/>
  <c r="V274" i="5"/>
  <c r="V340" i="5"/>
  <c r="V325" i="5"/>
  <c r="V305" i="5"/>
  <c r="V297" i="5"/>
  <c r="V289" i="5"/>
  <c r="V281" i="5"/>
  <c r="V313" i="5"/>
  <c r="V312" i="5"/>
  <c r="V304" i="5"/>
  <c r="V296" i="5"/>
  <c r="V288" i="5"/>
  <c r="V319" i="5"/>
  <c r="V287" i="5"/>
  <c r="V285" i="5"/>
  <c r="V268" i="5"/>
  <c r="V260" i="5"/>
  <c r="V252" i="5"/>
  <c r="V295" i="5"/>
  <c r="V279" i="5"/>
  <c r="V267" i="5"/>
  <c r="V259" i="5"/>
  <c r="V251" i="5"/>
  <c r="V320" i="5"/>
  <c r="V302" i="5"/>
  <c r="V332" i="5"/>
  <c r="V266" i="5"/>
  <c r="V258" i="5"/>
  <c r="V250" i="5"/>
  <c r="V347" i="5"/>
  <c r="V293" i="5"/>
  <c r="V309" i="5"/>
  <c r="V265" i="5"/>
  <c r="V257" i="5"/>
  <c r="V278" i="5"/>
  <c r="V273" i="5"/>
  <c r="V311" i="5"/>
  <c r="V272" i="5"/>
  <c r="V264" i="5"/>
  <c r="V256" i="5"/>
  <c r="V248" i="5"/>
  <c r="V341" i="5"/>
  <c r="V303" i="5"/>
  <c r="V317" i="5"/>
  <c r="V271" i="5"/>
  <c r="V269" i="5"/>
  <c r="V255" i="5"/>
  <c r="V263" i="5"/>
  <c r="V245" i="5"/>
  <c r="V237" i="5"/>
  <c r="V229" i="5"/>
  <c r="V221" i="5"/>
  <c r="V301" i="5"/>
  <c r="V310" i="5"/>
  <c r="V244" i="5"/>
  <c r="V236" i="5"/>
  <c r="V228" i="5"/>
  <c r="V344" i="5"/>
  <c r="V249" i="5"/>
  <c r="V243" i="5"/>
  <c r="V235" i="5"/>
  <c r="V227" i="5"/>
  <c r="V314" i="5"/>
  <c r="V294" i="5"/>
  <c r="V254" i="5"/>
  <c r="V242" i="5"/>
  <c r="V262" i="5"/>
  <c r="V277" i="5"/>
  <c r="V353" i="5"/>
  <c r="V270" i="5"/>
  <c r="V217" i="5"/>
  <c r="V209" i="5"/>
  <c r="V201" i="5"/>
  <c r="V225" i="5"/>
  <c r="V220" i="5"/>
  <c r="V216" i="5"/>
  <c r="V208" i="5"/>
  <c r="V200" i="5"/>
  <c r="V192" i="5"/>
  <c r="V240" i="5"/>
  <c r="V261" i="5"/>
  <c r="V223" i="5"/>
  <c r="V215" i="5"/>
  <c r="V207" i="5"/>
  <c r="V199" i="5"/>
  <c r="V214" i="5"/>
  <c r="V206" i="5"/>
  <c r="V238" i="5"/>
  <c r="V234" i="5"/>
  <c r="V233" i="5"/>
  <c r="V232" i="5"/>
  <c r="V231" i="5"/>
  <c r="V230" i="5"/>
  <c r="V246" i="5"/>
  <c r="V213" i="5"/>
  <c r="V286" i="5"/>
  <c r="V241" i="5"/>
  <c r="V280" i="5"/>
  <c r="V247" i="5"/>
  <c r="V212" i="5"/>
  <c r="V211" i="5"/>
  <c r="V185" i="5"/>
  <c r="V177" i="5"/>
  <c r="V169" i="5"/>
  <c r="V222" i="5"/>
  <c r="V190" i="5"/>
  <c r="V184" i="5"/>
  <c r="V176" i="5"/>
  <c r="V168" i="5"/>
  <c r="V160" i="5"/>
  <c r="V219" i="5"/>
  <c r="V210" i="5"/>
  <c r="V188" i="5"/>
  <c r="V183" i="5"/>
  <c r="V175" i="5"/>
  <c r="V167" i="5"/>
  <c r="V159" i="5"/>
  <c r="V239" i="5"/>
  <c r="V198" i="5"/>
  <c r="V197" i="5"/>
  <c r="V196" i="5"/>
  <c r="V253" i="5"/>
  <c r="V195" i="5"/>
  <c r="V226" i="5"/>
  <c r="V205" i="5"/>
  <c r="V204" i="5"/>
  <c r="V203" i="5"/>
  <c r="V202" i="5"/>
  <c r="V179" i="5"/>
  <c r="V152" i="5"/>
  <c r="V144" i="5"/>
  <c r="V136" i="5"/>
  <c r="V189" i="5"/>
  <c r="V163" i="5"/>
  <c r="V158" i="5"/>
  <c r="V151" i="5"/>
  <c r="V143" i="5"/>
  <c r="V135" i="5"/>
  <c r="V194" i="5"/>
  <c r="V186" i="5"/>
  <c r="V156" i="5"/>
  <c r="V162" i="5"/>
  <c r="V150" i="5"/>
  <c r="V142" i="5"/>
  <c r="V134" i="5"/>
  <c r="V182" i="5"/>
  <c r="V224" i="5"/>
  <c r="V149" i="5"/>
  <c r="V141" i="5"/>
  <c r="V161" i="5"/>
  <c r="V218" i="5"/>
  <c r="V180" i="5"/>
  <c r="V174" i="5"/>
  <c r="V173" i="5"/>
  <c r="V172" i="5"/>
  <c r="V171" i="5"/>
  <c r="V170" i="5"/>
  <c r="V166" i="5"/>
  <c r="V148" i="5"/>
  <c r="V191" i="5"/>
  <c r="V187" i="5"/>
  <c r="V157" i="5"/>
  <c r="V147" i="5"/>
  <c r="V178" i="5"/>
  <c r="V165" i="5"/>
  <c r="V155" i="5"/>
  <c r="V146" i="5"/>
  <c r="V122" i="5"/>
  <c r="V114" i="5"/>
  <c r="V106" i="5"/>
  <c r="V98" i="5"/>
  <c r="V154" i="5"/>
  <c r="V153" i="5"/>
  <c r="V130" i="5"/>
  <c r="V129" i="5"/>
  <c r="V121" i="5"/>
  <c r="V113" i="5"/>
  <c r="V105" i="5"/>
  <c r="V97" i="5"/>
  <c r="V140" i="5"/>
  <c r="V128" i="5"/>
  <c r="V120" i="5"/>
  <c r="V112" i="5"/>
  <c r="V104" i="5"/>
  <c r="V96" i="5"/>
  <c r="V131" i="5"/>
  <c r="V127" i="5"/>
  <c r="V119" i="5"/>
  <c r="V111" i="5"/>
  <c r="V103" i="5"/>
  <c r="V145" i="5"/>
  <c r="V126" i="5"/>
  <c r="V118" i="5"/>
  <c r="V110" i="5"/>
  <c r="V181" i="5"/>
  <c r="V164" i="5"/>
  <c r="V193" i="5"/>
  <c r="V132" i="5"/>
  <c r="V125" i="5"/>
  <c r="V117" i="5"/>
  <c r="V109" i="5"/>
  <c r="V101" i="5"/>
  <c r="V124" i="5"/>
  <c r="V116" i="5"/>
  <c r="V137" i="5"/>
  <c r="V85" i="5"/>
  <c r="V77" i="5"/>
  <c r="V69" i="5"/>
  <c r="V61" i="5"/>
  <c r="V53" i="5"/>
  <c r="V115" i="5"/>
  <c r="V99" i="5"/>
  <c r="V84" i="5"/>
  <c r="V76" i="5"/>
  <c r="V68" i="5"/>
  <c r="V60" i="5"/>
  <c r="V52" i="5"/>
  <c r="V91" i="5"/>
  <c r="V83" i="5"/>
  <c r="V75" i="5"/>
  <c r="V67" i="5"/>
  <c r="V59" i="5"/>
  <c r="V51" i="5"/>
  <c r="V139" i="5"/>
  <c r="V93" i="5"/>
  <c r="V123" i="5"/>
  <c r="V90" i="5"/>
  <c r="V82" i="5"/>
  <c r="V74" i="5"/>
  <c r="V66" i="5"/>
  <c r="V58" i="5"/>
  <c r="V92" i="5"/>
  <c r="V94" i="5"/>
  <c r="V89" i="5"/>
  <c r="V81" i="5"/>
  <c r="V73" i="5"/>
  <c r="V65" i="5"/>
  <c r="V138" i="5"/>
  <c r="V100" i="5"/>
  <c r="V88" i="5"/>
  <c r="V80" i="5"/>
  <c r="V72" i="5"/>
  <c r="V64" i="5"/>
  <c r="V56" i="5"/>
  <c r="V95" i="5"/>
  <c r="V133" i="5"/>
  <c r="V108" i="5"/>
  <c r="V87" i="5"/>
  <c r="V79" i="5"/>
  <c r="V71" i="5"/>
  <c r="V45" i="5"/>
  <c r="V37" i="5"/>
  <c r="V29" i="5"/>
  <c r="V21" i="5"/>
  <c r="V13" i="5"/>
  <c r="V78" i="5"/>
  <c r="V63" i="5"/>
  <c r="V44" i="5"/>
  <c r="V36" i="5"/>
  <c r="V28" i="5"/>
  <c r="V20" i="5"/>
  <c r="V6" i="5"/>
  <c r="V62" i="5"/>
  <c r="V12" i="5"/>
  <c r="V55" i="5"/>
  <c r="V43" i="5"/>
  <c r="V35" i="5"/>
  <c r="V27" i="5"/>
  <c r="V19" i="5"/>
  <c r="V50" i="5"/>
  <c r="V49" i="5"/>
  <c r="V48" i="5"/>
  <c r="V42" i="5"/>
  <c r="V34" i="5"/>
  <c r="V26" i="5"/>
  <c r="V18" i="5"/>
  <c r="V86" i="5"/>
  <c r="V57" i="5"/>
  <c r="V41" i="5"/>
  <c r="V33" i="5"/>
  <c r="V25" i="5"/>
  <c r="V17" i="5"/>
  <c r="V10" i="5"/>
  <c r="V40" i="5"/>
  <c r="V32" i="5"/>
  <c r="V46" i="5"/>
  <c r="V107" i="5"/>
  <c r="V30" i="5"/>
  <c r="V38" i="5"/>
  <c r="V15" i="5"/>
  <c r="V23" i="5"/>
  <c r="V39" i="5"/>
  <c r="V102" i="5"/>
  <c r="V70" i="5"/>
  <c r="V5" i="5"/>
  <c r="V9" i="5"/>
  <c r="V8" i="5"/>
  <c r="V14" i="5"/>
  <c r="V22" i="5"/>
  <c r="V11" i="5"/>
  <c r="V24" i="5"/>
  <c r="V47" i="5"/>
  <c r="V54" i="5"/>
  <c r="V31" i="5"/>
  <c r="V7" i="5"/>
  <c r="V16" i="5"/>
  <c r="AL210" i="5"/>
  <c r="AK210" i="5"/>
  <c r="AL333" i="5"/>
  <c r="AK333" i="5"/>
  <c r="AL124" i="5"/>
  <c r="AK124" i="5"/>
  <c r="AK275" i="5"/>
  <c r="AL275" i="5"/>
  <c r="AL319" i="5"/>
  <c r="AK319" i="5"/>
  <c r="AL284" i="5"/>
  <c r="AK284" i="5"/>
  <c r="AL352" i="5"/>
  <c r="AK352" i="5"/>
  <c r="AL247" i="5"/>
  <c r="AK247" i="5"/>
  <c r="AL234" i="5"/>
  <c r="AK234" i="5"/>
  <c r="AL13" i="5"/>
  <c r="AK13" i="5"/>
  <c r="Q406" i="3"/>
  <c r="Q398" i="3"/>
  <c r="Q390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356" i="3"/>
  <c r="Q407" i="3"/>
  <c r="Q399" i="3"/>
  <c r="Q391" i="3"/>
  <c r="Q367" i="3"/>
  <c r="Q363" i="3"/>
  <c r="Q400" i="3"/>
  <c r="Q392" i="3"/>
  <c r="Q359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401" i="3"/>
  <c r="Q393" i="3"/>
  <c r="Q385" i="3"/>
  <c r="Q370" i="3"/>
  <c r="Q366" i="3"/>
  <c r="Q362" i="3"/>
  <c r="Q357" i="3"/>
  <c r="Q402" i="3"/>
  <c r="Q394" i="3"/>
  <c r="Q386" i="3"/>
  <c r="Q403" i="3"/>
  <c r="Q395" i="3"/>
  <c r="Q387" i="3"/>
  <c r="Q369" i="3"/>
  <c r="Q365" i="3"/>
  <c r="Q361" i="3"/>
  <c r="Q397" i="3"/>
  <c r="Q396" i="3"/>
  <c r="Q268" i="3"/>
  <c r="Q260" i="3"/>
  <c r="Q360" i="3"/>
  <c r="Q285" i="3"/>
  <c r="Q281" i="3"/>
  <c r="Q277" i="3"/>
  <c r="Q273" i="3"/>
  <c r="Q364" i="3"/>
  <c r="Q269" i="3"/>
  <c r="Q261" i="3"/>
  <c r="Q368" i="3"/>
  <c r="Q389" i="3"/>
  <c r="Q262" i="3"/>
  <c r="Q388" i="3"/>
  <c r="Q264" i="3"/>
  <c r="Q358" i="3"/>
  <c r="Q287" i="3"/>
  <c r="Q283" i="3"/>
  <c r="Q279" i="3"/>
  <c r="Q275" i="3"/>
  <c r="Q271" i="3"/>
  <c r="Q405" i="3"/>
  <c r="Q265" i="3"/>
  <c r="Q404" i="3"/>
  <c r="Q284" i="3"/>
  <c r="Q280" i="3"/>
  <c r="Q276" i="3"/>
  <c r="Q272" i="3"/>
  <c r="Q258" i="3"/>
  <c r="Q257" i="3"/>
  <c r="Q256" i="3"/>
  <c r="Q255" i="3"/>
  <c r="Q254" i="3"/>
  <c r="Q253" i="3"/>
  <c r="Q252" i="3"/>
  <c r="Q232" i="3"/>
  <c r="Q224" i="3"/>
  <c r="Q278" i="3"/>
  <c r="Q218" i="3"/>
  <c r="Q250" i="3"/>
  <c r="Q247" i="3"/>
  <c r="Q243" i="3"/>
  <c r="Q231" i="3"/>
  <c r="Q223" i="3"/>
  <c r="Q266" i="3"/>
  <c r="Q213" i="3"/>
  <c r="Q230" i="3"/>
  <c r="Q222" i="3"/>
  <c r="Q270" i="3"/>
  <c r="Q217" i="3"/>
  <c r="Q248" i="3"/>
  <c r="Q244" i="3"/>
  <c r="Q237" i="3"/>
  <c r="Q229" i="3"/>
  <c r="Q221" i="3"/>
  <c r="Q286" i="3"/>
  <c r="Q238" i="3"/>
  <c r="Q274" i="3"/>
  <c r="Q239" i="3"/>
  <c r="Q220" i="3"/>
  <c r="Q216" i="3"/>
  <c r="Q214" i="3"/>
  <c r="Q210" i="3"/>
  <c r="Q263" i="3"/>
  <c r="Q245" i="3"/>
  <c r="Q235" i="3"/>
  <c r="Q227" i="3"/>
  <c r="Q240" i="3"/>
  <c r="Q211" i="3"/>
  <c r="Q282" i="3"/>
  <c r="Q267" i="3"/>
  <c r="Q249" i="3"/>
  <c r="Q234" i="3"/>
  <c r="Q226" i="3"/>
  <c r="Q241" i="3"/>
  <c r="Q219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208" i="3"/>
  <c r="Q189" i="3"/>
  <c r="Q181" i="3"/>
  <c r="Q178" i="3"/>
  <c r="Q174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259" i="3"/>
  <c r="Q242" i="3"/>
  <c r="Q236" i="3"/>
  <c r="Q13" i="3"/>
  <c r="Q12" i="3"/>
  <c r="Q205" i="3"/>
  <c r="Q184" i="3"/>
  <c r="Q11" i="3"/>
  <c r="Q10" i="3"/>
  <c r="Q187" i="3"/>
  <c r="Q179" i="3"/>
  <c r="Q175" i="3"/>
  <c r="Q225" i="3"/>
  <c r="Q207" i="3"/>
  <c r="Q202" i="3"/>
  <c r="Q200" i="3"/>
  <c r="Q198" i="3"/>
  <c r="Q196" i="3"/>
  <c r="Q194" i="3"/>
  <c r="Q192" i="3"/>
  <c r="Q190" i="3"/>
  <c r="Q182" i="3"/>
  <c r="Q246" i="3"/>
  <c r="Q204" i="3"/>
  <c r="Q185" i="3"/>
  <c r="Q176" i="3"/>
  <c r="Q212" i="3"/>
  <c r="Q209" i="3"/>
  <c r="Q188" i="3"/>
  <c r="Q180" i="3"/>
  <c r="Q233" i="3"/>
  <c r="Q215" i="3"/>
  <c r="Q191" i="3"/>
  <c r="Q201" i="3"/>
  <c r="Q9" i="3"/>
  <c r="Q8" i="3"/>
  <c r="Q199" i="3"/>
  <c r="Q228" i="3"/>
  <c r="Q197" i="3"/>
  <c r="Q206" i="3"/>
  <c r="Q186" i="3"/>
  <c r="Q177" i="3"/>
  <c r="Q195" i="3"/>
  <c r="Q251" i="3"/>
  <c r="Q193" i="3"/>
  <c r="Q183" i="3"/>
  <c r="Q203" i="3"/>
  <c r="AK338" i="5"/>
  <c r="AL338" i="5"/>
  <c r="AL119" i="5"/>
  <c r="AK119" i="5"/>
  <c r="AL395" i="5"/>
  <c r="AK395" i="5"/>
  <c r="AL370" i="5"/>
  <c r="AK370" i="5"/>
  <c r="AL138" i="5"/>
  <c r="AK138" i="5"/>
  <c r="AL130" i="5"/>
  <c r="AK130" i="5"/>
  <c r="AL314" i="5"/>
  <c r="AK314" i="5"/>
  <c r="AL58" i="5"/>
  <c r="AK58" i="5"/>
  <c r="AL294" i="5"/>
  <c r="AK294" i="5"/>
  <c r="AL293" i="5"/>
  <c r="AK293" i="5"/>
  <c r="AL366" i="5"/>
  <c r="AK366" i="5"/>
  <c r="AL223" i="5"/>
  <c r="AK223" i="5"/>
  <c r="AL141" i="5"/>
  <c r="AK141" i="5"/>
  <c r="AL320" i="5"/>
  <c r="AK320" i="5"/>
  <c r="AL116" i="5"/>
  <c r="AK116" i="5"/>
  <c r="AL309" i="5"/>
  <c r="AK309" i="5"/>
  <c r="AL262" i="5"/>
  <c r="AK262" i="5"/>
  <c r="AL300" i="5"/>
  <c r="AK300" i="5"/>
  <c r="AL170" i="5"/>
  <c r="AK170" i="5"/>
  <c r="AL332" i="5"/>
  <c r="AK332" i="5"/>
  <c r="AL282" i="5"/>
  <c r="AK282" i="5"/>
  <c r="AL276" i="5"/>
  <c r="AK276" i="5"/>
  <c r="AL211" i="5"/>
  <c r="AK211" i="5"/>
  <c r="AL344" i="5"/>
  <c r="AK344" i="5"/>
  <c r="AL144" i="5"/>
  <c r="AK144" i="5"/>
  <c r="AL29" i="5"/>
  <c r="AK29" i="5"/>
  <c r="AK257" i="5"/>
  <c r="AL257" i="5"/>
  <c r="AL200" i="5"/>
  <c r="AK200" i="5"/>
  <c r="AL120" i="5"/>
  <c r="AK120" i="5"/>
  <c r="AL324" i="5"/>
  <c r="AK324" i="5"/>
  <c r="AL122" i="5"/>
  <c r="AK122" i="5"/>
  <c r="AL94" i="5"/>
  <c r="AK94" i="5"/>
  <c r="AK358" i="5"/>
  <c r="AL358" i="5"/>
  <c r="AL113" i="5"/>
  <c r="AK113" i="5"/>
  <c r="AL111" i="5"/>
  <c r="AK111" i="5"/>
  <c r="AL95" i="5"/>
  <c r="AK95" i="5"/>
  <c r="AL335" i="5"/>
  <c r="AK335" i="5"/>
  <c r="AL343" i="5"/>
  <c r="AK343" i="5"/>
  <c r="AL304" i="5"/>
  <c r="AK304" i="5"/>
  <c r="AL201" i="5"/>
  <c r="AK201" i="5"/>
  <c r="AL143" i="5"/>
  <c r="AK143" i="5"/>
  <c r="AL104" i="5"/>
  <c r="AK104" i="5"/>
  <c r="AL43" i="5"/>
  <c r="AK43" i="5"/>
  <c r="AL327" i="5"/>
  <c r="AK327" i="5"/>
  <c r="AL181" i="5"/>
  <c r="AK181" i="5"/>
  <c r="AL394" i="5"/>
  <c r="AK394" i="5"/>
  <c r="AL229" i="5"/>
  <c r="AK229" i="5"/>
  <c r="AL197" i="5"/>
  <c r="AK197" i="5"/>
  <c r="AL85" i="5"/>
  <c r="AK85" i="5"/>
  <c r="AL51" i="5"/>
  <c r="AK51" i="5"/>
  <c r="AL102" i="5"/>
  <c r="AK102" i="5"/>
  <c r="AL7" i="5"/>
  <c r="AK7" i="5"/>
  <c r="AL372" i="5"/>
  <c r="AK372" i="5"/>
  <c r="AL286" i="5"/>
  <c r="AK286" i="5"/>
  <c r="AL263" i="5"/>
  <c r="AK263" i="5"/>
  <c r="AK184" i="5"/>
  <c r="AL184" i="5"/>
  <c r="AL159" i="5"/>
  <c r="AK159" i="5"/>
  <c r="AL364" i="5"/>
  <c r="AK364" i="5"/>
  <c r="AL323" i="5"/>
  <c r="AK323" i="5"/>
  <c r="AL245" i="5"/>
  <c r="AK245" i="5"/>
  <c r="AK176" i="5"/>
  <c r="AL176" i="5"/>
  <c r="AL142" i="5"/>
  <c r="AK142" i="5"/>
  <c r="AL218" i="5"/>
  <c r="AK218" i="5"/>
  <c r="AL186" i="5"/>
  <c r="AK186" i="5"/>
  <c r="AL382" i="5"/>
  <c r="AK382" i="5"/>
  <c r="AK155" i="5"/>
  <c r="AL155" i="5"/>
  <c r="AK32" i="5"/>
  <c r="AL32" i="5"/>
  <c r="AL388" i="5"/>
  <c r="AK388" i="5"/>
  <c r="AL273" i="5"/>
  <c r="AK273" i="5"/>
  <c r="AL256" i="5"/>
  <c r="AK256" i="5"/>
  <c r="AL385" i="5"/>
  <c r="AK385" i="5"/>
  <c r="AL100" i="5"/>
  <c r="AK100" i="5"/>
  <c r="AL222" i="5"/>
  <c r="AK222" i="5"/>
  <c r="AL310" i="5"/>
  <c r="AK310" i="5"/>
  <c r="AL145" i="5"/>
  <c r="AK145" i="5"/>
  <c r="AK377" i="5"/>
  <c r="AL377" i="5"/>
  <c r="AL108" i="5"/>
  <c r="AK108" i="5"/>
  <c r="AL68" i="5"/>
  <c r="AK68" i="5"/>
  <c r="AL264" i="5"/>
  <c r="AK264" i="5"/>
  <c r="AL22" i="5"/>
  <c r="AK22" i="5"/>
  <c r="AL199" i="5"/>
  <c r="AK199" i="5"/>
  <c r="AL224" i="5"/>
  <c r="AK224" i="5"/>
  <c r="AL384" i="5"/>
  <c r="AK384" i="5"/>
  <c r="AL178" i="5"/>
  <c r="AK178" i="5"/>
  <c r="AL54" i="5"/>
  <c r="AK54" i="5"/>
  <c r="AL10" i="5"/>
  <c r="AK10" i="5"/>
  <c r="AL15" i="5"/>
  <c r="AK15" i="5"/>
  <c r="AL374" i="5"/>
  <c r="AK374" i="5"/>
  <c r="AL231" i="5"/>
  <c r="AK231" i="5"/>
  <c r="AL249" i="5"/>
  <c r="AK249" i="5"/>
  <c r="AL196" i="5"/>
  <c r="AK196" i="5"/>
  <c r="AL157" i="5"/>
  <c r="AK157" i="5"/>
  <c r="AL244" i="5"/>
  <c r="AK244" i="5"/>
  <c r="AL221" i="5"/>
  <c r="AK221" i="5"/>
  <c r="AL46" i="5"/>
  <c r="AK46" i="5"/>
  <c r="AL127" i="5"/>
  <c r="AK127" i="5"/>
  <c r="AL30" i="5"/>
  <c r="AK30" i="5"/>
  <c r="AL147" i="5"/>
  <c r="AK147" i="5"/>
  <c r="AL389" i="5"/>
  <c r="AK389" i="5"/>
  <c r="AL371" i="5"/>
  <c r="AK371" i="5"/>
  <c r="AL98" i="5"/>
  <c r="AK98" i="5"/>
  <c r="AL298" i="5"/>
  <c r="AK298" i="5"/>
  <c r="AL189" i="5"/>
  <c r="AK189" i="5"/>
  <c r="AL101" i="5"/>
  <c r="AK101" i="5"/>
  <c r="AL89" i="5"/>
  <c r="AK89" i="5"/>
  <c r="AK322" i="5"/>
  <c r="AL322" i="5"/>
  <c r="AL305" i="5"/>
  <c r="AK305" i="5"/>
  <c r="AL169" i="5"/>
  <c r="AK169" i="5"/>
  <c r="AL337" i="5"/>
  <c r="AK337" i="5"/>
  <c r="AL280" i="5"/>
  <c r="AK280" i="5"/>
  <c r="AL47" i="5"/>
  <c r="AK47" i="5"/>
  <c r="AL39" i="5"/>
  <c r="AK39" i="5"/>
  <c r="AL71" i="5"/>
  <c r="AK71" i="5"/>
  <c r="AL107" i="5"/>
  <c r="AK107" i="5"/>
  <c r="AL226" i="5"/>
  <c r="AK226" i="5"/>
  <c r="AL386" i="5"/>
  <c r="AK386" i="5"/>
  <c r="AL339" i="5"/>
  <c r="AK339" i="5"/>
  <c r="AL37" i="5"/>
  <c r="AK37" i="5"/>
  <c r="AL235" i="5"/>
  <c r="AK235" i="5"/>
  <c r="AL259" i="5"/>
  <c r="AK259" i="5"/>
  <c r="AL44" i="5"/>
  <c r="AK44" i="5"/>
  <c r="AL359" i="5"/>
  <c r="AK359" i="5"/>
  <c r="AK26" i="5"/>
  <c r="AL26" i="5"/>
  <c r="AK188" i="5"/>
  <c r="AL188" i="5"/>
  <c r="AL243" i="5"/>
  <c r="AK243" i="5"/>
  <c r="AL206" i="5"/>
  <c r="AK206" i="5"/>
  <c r="AL253" i="5"/>
  <c r="AK253" i="5"/>
  <c r="AL383" i="5"/>
  <c r="AK383" i="5"/>
  <c r="AL90" i="5"/>
  <c r="AK90" i="5"/>
  <c r="AL307" i="5"/>
  <c r="AK307" i="5"/>
  <c r="AK376" i="5"/>
  <c r="AL376" i="5"/>
  <c r="AL299" i="5"/>
  <c r="AK299" i="5"/>
  <c r="AL301" i="5"/>
  <c r="AK301" i="5"/>
  <c r="AK346" i="5"/>
  <c r="AL346" i="5"/>
  <c r="AL283" i="5"/>
  <c r="AK283" i="5"/>
  <c r="AL146" i="5"/>
  <c r="AK146" i="5"/>
  <c r="AL92" i="5"/>
  <c r="AK92" i="5"/>
  <c r="AL402" i="5"/>
  <c r="AK402" i="5"/>
  <c r="AL365" i="5"/>
  <c r="AK365" i="5"/>
  <c r="AL179" i="5"/>
  <c r="AK179" i="5"/>
  <c r="AL277" i="5"/>
  <c r="AK277" i="5"/>
  <c r="AL203" i="5"/>
  <c r="AK203" i="5"/>
  <c r="AK313" i="5"/>
  <c r="AL313" i="5"/>
  <c r="AK195" i="5"/>
  <c r="AL195" i="5"/>
  <c r="AL79" i="5"/>
  <c r="AK79" i="5"/>
  <c r="AL315" i="5"/>
  <c r="AK315" i="5"/>
  <c r="AL342" i="5"/>
  <c r="AK342" i="5"/>
  <c r="AL56" i="5"/>
  <c r="AK56" i="5"/>
  <c r="AL270" i="5"/>
  <c r="AK270" i="5"/>
  <c r="AL202" i="5"/>
  <c r="AK202" i="5"/>
  <c r="AL148" i="5"/>
  <c r="AK148" i="5"/>
  <c r="AK403" i="5"/>
  <c r="AL403" i="5"/>
  <c r="AL261" i="5"/>
  <c r="AK261" i="5"/>
  <c r="AL139" i="5"/>
  <c r="AK139" i="5"/>
  <c r="AL152" i="5"/>
  <c r="AK152" i="5"/>
  <c r="AL267" i="5"/>
  <c r="AK267" i="5"/>
  <c r="AL76" i="5"/>
  <c r="AK76" i="5"/>
  <c r="AL326" i="5"/>
  <c r="AK326" i="5"/>
  <c r="AL28" i="5"/>
  <c r="AK28" i="5"/>
  <c r="AL11" i="5"/>
  <c r="AK11" i="5"/>
  <c r="AL361" i="5"/>
  <c r="AK361" i="5"/>
  <c r="AL242" i="5"/>
  <c r="AK242" i="5"/>
  <c r="AL219" i="5"/>
  <c r="AK219" i="5"/>
  <c r="AL308" i="5"/>
  <c r="AK308" i="5"/>
  <c r="AL191" i="5"/>
  <c r="AK191" i="5"/>
  <c r="AL269" i="5"/>
  <c r="AK269" i="5"/>
  <c r="AL70" i="5"/>
  <c r="AK70" i="5"/>
  <c r="AL393" i="5"/>
  <c r="AK393" i="5"/>
  <c r="AL99" i="5"/>
  <c r="AK99" i="5"/>
  <c r="AL183" i="5"/>
  <c r="AK183" i="5"/>
  <c r="AL63" i="5"/>
  <c r="AK63" i="5"/>
  <c r="AL378" i="5"/>
  <c r="AK378" i="5"/>
  <c r="AL19" i="5"/>
  <c r="AK19" i="5"/>
  <c r="AL317" i="5"/>
  <c r="AK317" i="5"/>
  <c r="AK24" i="5"/>
  <c r="AL24" i="5"/>
  <c r="AL368" i="5"/>
  <c r="AK368" i="5"/>
  <c r="AL281" i="5"/>
  <c r="AK281" i="5"/>
  <c r="AL115" i="5"/>
  <c r="AK115" i="5"/>
  <c r="AL207" i="5"/>
  <c r="AK207" i="5"/>
  <c r="AL254" i="5"/>
  <c r="AK254" i="5"/>
  <c r="AL136" i="5"/>
  <c r="AK136" i="5"/>
  <c r="AL55" i="5"/>
  <c r="AK55" i="5"/>
  <c r="AL292" i="5"/>
  <c r="AK292" i="5"/>
  <c r="AK187" i="5"/>
  <c r="AL187" i="5"/>
  <c r="AK295" i="5"/>
  <c r="AL295" i="5"/>
  <c r="AL180" i="5"/>
  <c r="AK180" i="5"/>
  <c r="AL132" i="5"/>
  <c r="AK132" i="5"/>
  <c r="AL59" i="5"/>
  <c r="AK59" i="5"/>
  <c r="AL336" i="5"/>
  <c r="AK336" i="5"/>
  <c r="AL21" i="5"/>
  <c r="AK21" i="5"/>
  <c r="AL265" i="5"/>
  <c r="AK265" i="5"/>
  <c r="AL198" i="5"/>
  <c r="AK198" i="5"/>
  <c r="AL112" i="5"/>
  <c r="AK112" i="5"/>
  <c r="AL8" i="5"/>
  <c r="AK8" i="5"/>
  <c r="AL166" i="5"/>
  <c r="AK166" i="5"/>
  <c r="AL110" i="5"/>
  <c r="AK110" i="5"/>
  <c r="AL105" i="5"/>
  <c r="AK105" i="5"/>
  <c r="AL66" i="5"/>
  <c r="AK66" i="5"/>
  <c r="AL162" i="5"/>
  <c r="AK162" i="5"/>
  <c r="AL311" i="5"/>
  <c r="AK311" i="5"/>
  <c r="AL355" i="5"/>
  <c r="AK355" i="5"/>
  <c r="AL288" i="5"/>
  <c r="AK288" i="5"/>
  <c r="AL214" i="5"/>
  <c r="AK214" i="5"/>
  <c r="AL91" i="5"/>
  <c r="AK91" i="5"/>
  <c r="AL50" i="5"/>
  <c r="AK50" i="5"/>
  <c r="AL287" i="5"/>
  <c r="AK287" i="5"/>
  <c r="AL193" i="5"/>
  <c r="AK193" i="5"/>
  <c r="AL156" i="5"/>
  <c r="AK156" i="5"/>
  <c r="AL401" i="5"/>
  <c r="AK401" i="5"/>
  <c r="AL258" i="5"/>
  <c r="AK258" i="5"/>
  <c r="AL67" i="5"/>
  <c r="AK67" i="5"/>
  <c r="AL52" i="5"/>
  <c r="AK52" i="5"/>
  <c r="AK356" i="5"/>
  <c r="AL356" i="5"/>
  <c r="AL268" i="5"/>
  <c r="AK268" i="5"/>
  <c r="AL225" i="5"/>
  <c r="AK225" i="5"/>
  <c r="AL182" i="5"/>
  <c r="AK182" i="5"/>
  <c r="AL77" i="5"/>
  <c r="AK77" i="5"/>
  <c r="AL49" i="5"/>
  <c r="AK49" i="5"/>
  <c r="AL65" i="5"/>
  <c r="AK65" i="5"/>
  <c r="AL45" i="5"/>
  <c r="AK45" i="5"/>
  <c r="AL363" i="5"/>
  <c r="AK363" i="5"/>
  <c r="AL271" i="5"/>
  <c r="AK271" i="5"/>
  <c r="AL81" i="5"/>
  <c r="AK81" i="5"/>
  <c r="AL362" i="5"/>
  <c r="AK362" i="5"/>
  <c r="AL289" i="5"/>
  <c r="AK289" i="5"/>
  <c r="AL64" i="5"/>
  <c r="AK64" i="5"/>
  <c r="AL36" i="5"/>
  <c r="AK36" i="5"/>
  <c r="AK354" i="5"/>
  <c r="AL354" i="5"/>
  <c r="AL296" i="5"/>
  <c r="AK296" i="5"/>
  <c r="AL131" i="5"/>
  <c r="AK131" i="5"/>
  <c r="AL38" i="5"/>
  <c r="AK38" i="5"/>
  <c r="AL246" i="5"/>
  <c r="AK246" i="5"/>
  <c r="AL129" i="5"/>
  <c r="AK129" i="5"/>
  <c r="AL347" i="5"/>
  <c r="AK347" i="5"/>
  <c r="AL306" i="5"/>
  <c r="AK306" i="5"/>
  <c r="AL278" i="5"/>
  <c r="AK278" i="5"/>
  <c r="AL329" i="5"/>
  <c r="AK329" i="5"/>
  <c r="AL321" i="5"/>
  <c r="AK321" i="5"/>
  <c r="AL285" i="5"/>
  <c r="AK285" i="5"/>
  <c r="AL213" i="5"/>
  <c r="AK213" i="5"/>
  <c r="AL154" i="5"/>
  <c r="AK154" i="5"/>
  <c r="AL369" i="5"/>
  <c r="AK369" i="5"/>
  <c r="AL392" i="5"/>
  <c r="AK392" i="5"/>
  <c r="AL325" i="5"/>
  <c r="AK325" i="5"/>
  <c r="AL135" i="5"/>
  <c r="AK135" i="5"/>
  <c r="AL137" i="5"/>
  <c r="AK137" i="5"/>
  <c r="AL87" i="5"/>
  <c r="AK87" i="5"/>
  <c r="AL241" i="5"/>
  <c r="AK241" i="5"/>
  <c r="AL381" i="5"/>
  <c r="AK381" i="5"/>
  <c r="AL237" i="5"/>
  <c r="AK237" i="5"/>
  <c r="AL212" i="5"/>
  <c r="AK212" i="5"/>
  <c r="AL140" i="5"/>
  <c r="AK140" i="5"/>
  <c r="AL41" i="5"/>
  <c r="AK41" i="5"/>
  <c r="AL86" i="5"/>
  <c r="AK86" i="5"/>
  <c r="AL274" i="5"/>
  <c r="AK274" i="5"/>
  <c r="AL78" i="5"/>
  <c r="AK78" i="5"/>
  <c r="AL62" i="5"/>
  <c r="AK62" i="5"/>
  <c r="AL291" i="5"/>
  <c r="AK291" i="5"/>
  <c r="AL387" i="5"/>
  <c r="AK387" i="5"/>
  <c r="AL205" i="5"/>
  <c r="AK205" i="5"/>
  <c r="AL164" i="5"/>
  <c r="AK164" i="5"/>
  <c r="AL302" i="5"/>
  <c r="AK302" i="5"/>
  <c r="AL171" i="5"/>
  <c r="AK171" i="5"/>
  <c r="AL367" i="5"/>
  <c r="AK367" i="5"/>
  <c r="AL31" i="5"/>
  <c r="AK31" i="5"/>
  <c r="AK375" i="5"/>
  <c r="AL375" i="5"/>
  <c r="AL350" i="5"/>
  <c r="AK350" i="5"/>
  <c r="AL208" i="5"/>
  <c r="AK208" i="5"/>
  <c r="AL82" i="5"/>
  <c r="AK82" i="5"/>
  <c r="AL341" i="5"/>
  <c r="AK341" i="5"/>
  <c r="AK279" i="5"/>
  <c r="AL279" i="5"/>
  <c r="AL228" i="5"/>
  <c r="AK228" i="5"/>
  <c r="AL149" i="5"/>
  <c r="AK149" i="5"/>
  <c r="AL97" i="5"/>
  <c r="AK97" i="5"/>
  <c r="AL18" i="5"/>
  <c r="AK18" i="5"/>
  <c r="AL328" i="5"/>
  <c r="AK328" i="5"/>
  <c r="AL297" i="5"/>
  <c r="AK297" i="5"/>
  <c r="AL158" i="5"/>
  <c r="AK158" i="5"/>
  <c r="AL96" i="5"/>
  <c r="AK96" i="5"/>
  <c r="AL88" i="5"/>
  <c r="AK88" i="5"/>
  <c r="AL194" i="5"/>
  <c r="AK194" i="5"/>
  <c r="AL125" i="5"/>
  <c r="AK125" i="5"/>
  <c r="AL35" i="5"/>
  <c r="AK35" i="5"/>
  <c r="AL118" i="5"/>
  <c r="AK118" i="5"/>
  <c r="AL360" i="5"/>
  <c r="AK360" i="5"/>
  <c r="AL217" i="5"/>
  <c r="AK217" i="5"/>
  <c r="AL168" i="5"/>
  <c r="AK168" i="5"/>
  <c r="AL192" i="5"/>
  <c r="AK192" i="5"/>
  <c r="AK16" i="5"/>
  <c r="AL16" i="5"/>
  <c r="AL238" i="5"/>
  <c r="AK238" i="5"/>
  <c r="AL185" i="5"/>
  <c r="AK185" i="5"/>
  <c r="AL121" i="5"/>
  <c r="AK121" i="5"/>
  <c r="AK9" i="5"/>
  <c r="AL9" i="5"/>
  <c r="AL399" i="5"/>
  <c r="AK399" i="5"/>
  <c r="AL316" i="5"/>
  <c r="AK316" i="5"/>
  <c r="AL353" i="5"/>
  <c r="AK353" i="5"/>
  <c r="AL390" i="5"/>
  <c r="AK390" i="5"/>
  <c r="AL255" i="5"/>
  <c r="AK255" i="5"/>
  <c r="AL161" i="5"/>
  <c r="AK161" i="5"/>
  <c r="AL172" i="5"/>
  <c r="AK172" i="5"/>
  <c r="AK80" i="5"/>
  <c r="AL80" i="5"/>
  <c r="AL398" i="5"/>
  <c r="AK398" i="5"/>
  <c r="AL357" i="5"/>
  <c r="AK357" i="5"/>
  <c r="AK240" i="5"/>
  <c r="AL240" i="5"/>
  <c r="AL126" i="5"/>
  <c r="AK126" i="5"/>
  <c r="AL25" i="5"/>
  <c r="AK25" i="5"/>
  <c r="AK348" i="5"/>
  <c r="AL348" i="5"/>
  <c r="AL260" i="5"/>
  <c r="AK260" i="5"/>
  <c r="AL220" i="5"/>
  <c r="AK220" i="5"/>
  <c r="AL150" i="5"/>
  <c r="AK150" i="5"/>
  <c r="AL69" i="5"/>
  <c r="AK69" i="5"/>
  <c r="AL42" i="5"/>
  <c r="AK42" i="5"/>
  <c r="AL252" i="5"/>
  <c r="AK252" i="5"/>
  <c r="AL216" i="5"/>
  <c r="AK216" i="5"/>
  <c r="AL167" i="5"/>
  <c r="AK167" i="5"/>
  <c r="AL61" i="5"/>
  <c r="AK61" i="5"/>
  <c r="AL72" i="5"/>
  <c r="AK72" i="5"/>
  <c r="Y187" i="3" l="1"/>
  <c r="X187" i="3"/>
  <c r="W187" i="3"/>
  <c r="V187" i="3"/>
  <c r="U187" i="3"/>
  <c r="T187" i="3"/>
  <c r="S187" i="3"/>
  <c r="R187" i="3"/>
  <c r="Z187" i="3"/>
  <c r="R52" i="3"/>
  <c r="Z52" i="3"/>
  <c r="Y52" i="3"/>
  <c r="X52" i="3"/>
  <c r="W52" i="3"/>
  <c r="V52" i="3"/>
  <c r="U52" i="3"/>
  <c r="T52" i="3"/>
  <c r="S52" i="3"/>
  <c r="R132" i="3"/>
  <c r="Z132" i="3"/>
  <c r="Y132" i="3"/>
  <c r="X132" i="3"/>
  <c r="W132" i="3"/>
  <c r="V132" i="3"/>
  <c r="U132" i="3"/>
  <c r="T132" i="3"/>
  <c r="S132" i="3"/>
  <c r="W239" i="3"/>
  <c r="V239" i="3"/>
  <c r="U239" i="3"/>
  <c r="T239" i="3"/>
  <c r="S239" i="3"/>
  <c r="Z239" i="3"/>
  <c r="Y239" i="3"/>
  <c r="X239" i="3"/>
  <c r="R239" i="3"/>
  <c r="Z387" i="3"/>
  <c r="Y387" i="3"/>
  <c r="X387" i="3"/>
  <c r="W387" i="3"/>
  <c r="V387" i="3"/>
  <c r="U387" i="3"/>
  <c r="T387" i="3"/>
  <c r="S387" i="3"/>
  <c r="R387" i="3"/>
  <c r="R300" i="3"/>
  <c r="X300" i="3"/>
  <c r="Z300" i="3"/>
  <c r="V300" i="3"/>
  <c r="U300" i="3"/>
  <c r="T300" i="3"/>
  <c r="S300" i="3"/>
  <c r="Y300" i="3"/>
  <c r="W300" i="3"/>
  <c r="R332" i="3"/>
  <c r="Z332" i="3"/>
  <c r="Y332" i="3"/>
  <c r="X332" i="3"/>
  <c r="W332" i="3"/>
  <c r="V332" i="3"/>
  <c r="U332" i="3"/>
  <c r="T332" i="3"/>
  <c r="S332" i="3"/>
  <c r="AB63" i="5"/>
  <c r="AA63" i="5"/>
  <c r="Z63" i="5"/>
  <c r="Y63" i="5"/>
  <c r="AT63" i="5" s="1"/>
  <c r="X63" i="5"/>
  <c r="AN63" i="5"/>
  <c r="AM63" i="5"/>
  <c r="W63" i="5"/>
  <c r="AP63" i="5"/>
  <c r="AB93" i="5"/>
  <c r="AA93" i="5"/>
  <c r="AP93" i="5"/>
  <c r="Z93" i="5"/>
  <c r="Y93" i="5"/>
  <c r="AT93" i="5" s="1"/>
  <c r="X93" i="5"/>
  <c r="W93" i="5"/>
  <c r="AN93" i="5"/>
  <c r="AM93" i="5"/>
  <c r="AP61" i="5"/>
  <c r="AN61" i="5"/>
  <c r="AM61" i="5"/>
  <c r="AB61" i="5"/>
  <c r="AA61" i="5"/>
  <c r="Z61" i="5"/>
  <c r="Y61" i="5"/>
  <c r="AT61" i="5" s="1"/>
  <c r="X61" i="5"/>
  <c r="W61" i="5"/>
  <c r="X113" i="5"/>
  <c r="W113" i="5"/>
  <c r="AP113" i="5"/>
  <c r="AN113" i="5"/>
  <c r="AM113" i="5"/>
  <c r="AB113" i="5"/>
  <c r="AA113" i="5"/>
  <c r="Z113" i="5"/>
  <c r="Y113" i="5"/>
  <c r="AT113" i="5" s="1"/>
  <c r="AP187" i="5"/>
  <c r="AN187" i="5"/>
  <c r="AM187" i="5"/>
  <c r="AB187" i="5"/>
  <c r="W187" i="5"/>
  <c r="AA187" i="5"/>
  <c r="Z187" i="5"/>
  <c r="Y187" i="5"/>
  <c r="AT187" i="5" s="1"/>
  <c r="X187" i="5"/>
  <c r="AB241" i="5"/>
  <c r="AA241" i="5"/>
  <c r="Z241" i="5"/>
  <c r="Y241" i="5"/>
  <c r="AT241" i="5" s="1"/>
  <c r="X241" i="5"/>
  <c r="AP241" i="5"/>
  <c r="AN241" i="5"/>
  <c r="AM241" i="5"/>
  <c r="W241" i="5"/>
  <c r="AN261" i="5"/>
  <c r="AM261" i="5"/>
  <c r="AB261" i="5"/>
  <c r="AP261" i="5"/>
  <c r="AA261" i="5"/>
  <c r="Y261" i="5"/>
  <c r="AT261" i="5" s="1"/>
  <c r="Z261" i="5"/>
  <c r="X261" i="5"/>
  <c r="W261" i="5"/>
  <c r="W245" i="5"/>
  <c r="AP245" i="5"/>
  <c r="AN245" i="5"/>
  <c r="AM245" i="5"/>
  <c r="AA245" i="5"/>
  <c r="AB245" i="5"/>
  <c r="Z245" i="5"/>
  <c r="Y245" i="5"/>
  <c r="AT245" i="5" s="1"/>
  <c r="X245" i="5"/>
  <c r="AB265" i="5"/>
  <c r="AA265" i="5"/>
  <c r="Z265" i="5"/>
  <c r="Y265" i="5"/>
  <c r="AT265" i="5" s="1"/>
  <c r="X265" i="5"/>
  <c r="W265" i="5"/>
  <c r="AP265" i="5"/>
  <c r="AN265" i="5"/>
  <c r="AM265" i="5"/>
  <c r="Z274" i="5"/>
  <c r="X274" i="5"/>
  <c r="AP274" i="5"/>
  <c r="AN274" i="5"/>
  <c r="AM274" i="5"/>
  <c r="AB274" i="5"/>
  <c r="AA274" i="5"/>
  <c r="Y274" i="5"/>
  <c r="AT274" i="5" s="1"/>
  <c r="W274" i="5"/>
  <c r="X315" i="5"/>
  <c r="W315" i="5"/>
  <c r="AP315" i="5"/>
  <c r="AN315" i="5"/>
  <c r="AM315" i="5"/>
  <c r="AB315" i="5"/>
  <c r="AA315" i="5"/>
  <c r="Z315" i="5"/>
  <c r="Y315" i="5"/>
  <c r="AT315" i="5" s="1"/>
  <c r="AB368" i="5"/>
  <c r="AA368" i="5"/>
  <c r="Z368" i="5"/>
  <c r="Y368" i="5"/>
  <c r="AT368" i="5" s="1"/>
  <c r="X368" i="5"/>
  <c r="W368" i="5"/>
  <c r="AP368" i="5"/>
  <c r="AN368" i="5"/>
  <c r="AM368" i="5"/>
  <c r="AB360" i="5"/>
  <c r="AA360" i="5"/>
  <c r="Z360" i="5"/>
  <c r="Y360" i="5"/>
  <c r="AT360" i="5" s="1"/>
  <c r="AP360" i="5"/>
  <c r="AN360" i="5"/>
  <c r="AM360" i="5"/>
  <c r="X360" i="5"/>
  <c r="W360" i="5"/>
  <c r="Y186" i="3"/>
  <c r="X186" i="3"/>
  <c r="W186" i="3"/>
  <c r="V186" i="3"/>
  <c r="U186" i="3"/>
  <c r="T186" i="3"/>
  <c r="S186" i="3"/>
  <c r="R186" i="3"/>
  <c r="Z186" i="3"/>
  <c r="T10" i="3"/>
  <c r="S10" i="3"/>
  <c r="R10" i="3"/>
  <c r="Z10" i="3"/>
  <c r="Y10" i="3"/>
  <c r="X10" i="3"/>
  <c r="W10" i="3"/>
  <c r="V10" i="3"/>
  <c r="U10" i="3"/>
  <c r="R21" i="3"/>
  <c r="Z21" i="3"/>
  <c r="Y21" i="3"/>
  <c r="X21" i="3"/>
  <c r="W21" i="3"/>
  <c r="V21" i="3"/>
  <c r="U21" i="3"/>
  <c r="T21" i="3"/>
  <c r="S21" i="3"/>
  <c r="R53" i="3"/>
  <c r="Z53" i="3"/>
  <c r="Y53" i="3"/>
  <c r="X53" i="3"/>
  <c r="W53" i="3"/>
  <c r="V53" i="3"/>
  <c r="U53" i="3"/>
  <c r="T53" i="3"/>
  <c r="S53" i="3"/>
  <c r="R69" i="3"/>
  <c r="Z69" i="3"/>
  <c r="Y69" i="3"/>
  <c r="X69" i="3"/>
  <c r="W69" i="3"/>
  <c r="V69" i="3"/>
  <c r="U69" i="3"/>
  <c r="T69" i="3"/>
  <c r="S69" i="3"/>
  <c r="R101" i="3"/>
  <c r="Z101" i="3"/>
  <c r="Y101" i="3"/>
  <c r="X101" i="3"/>
  <c r="W101" i="3"/>
  <c r="V101" i="3"/>
  <c r="U101" i="3"/>
  <c r="T101" i="3"/>
  <c r="S101" i="3"/>
  <c r="R133" i="3"/>
  <c r="Z133" i="3"/>
  <c r="Y133" i="3"/>
  <c r="X133" i="3"/>
  <c r="W133" i="3"/>
  <c r="V133" i="3"/>
  <c r="U133" i="3"/>
  <c r="T133" i="3"/>
  <c r="S133" i="3"/>
  <c r="R149" i="3"/>
  <c r="Z149" i="3"/>
  <c r="Y149" i="3"/>
  <c r="X149" i="3"/>
  <c r="W149" i="3"/>
  <c r="V149" i="3"/>
  <c r="U149" i="3"/>
  <c r="T149" i="3"/>
  <c r="S149" i="3"/>
  <c r="W226" i="3"/>
  <c r="V226" i="3"/>
  <c r="U226" i="3"/>
  <c r="Z226" i="3"/>
  <c r="Y226" i="3"/>
  <c r="T226" i="3"/>
  <c r="S226" i="3"/>
  <c r="R226" i="3"/>
  <c r="X226" i="3"/>
  <c r="R274" i="3"/>
  <c r="X274" i="3"/>
  <c r="Y274" i="3"/>
  <c r="W274" i="3"/>
  <c r="V274" i="3"/>
  <c r="U274" i="3"/>
  <c r="T274" i="3"/>
  <c r="S274" i="3"/>
  <c r="Z274" i="3"/>
  <c r="R280" i="3"/>
  <c r="X280" i="3"/>
  <c r="Y280" i="3"/>
  <c r="W280" i="3"/>
  <c r="V280" i="3"/>
  <c r="U280" i="3"/>
  <c r="T280" i="3"/>
  <c r="Z280" i="3"/>
  <c r="S280" i="3"/>
  <c r="R261" i="3"/>
  <c r="U261" i="3"/>
  <c r="T261" i="3"/>
  <c r="S261" i="3"/>
  <c r="Z261" i="3"/>
  <c r="Y261" i="3"/>
  <c r="W261" i="3"/>
  <c r="X261" i="3"/>
  <c r="V261" i="3"/>
  <c r="Y375" i="3"/>
  <c r="X375" i="3"/>
  <c r="W375" i="3"/>
  <c r="V375" i="3"/>
  <c r="U375" i="3"/>
  <c r="T375" i="3"/>
  <c r="S375" i="3"/>
  <c r="R375" i="3"/>
  <c r="Z375" i="3"/>
  <c r="Z399" i="3"/>
  <c r="Y399" i="3"/>
  <c r="X399" i="3"/>
  <c r="W399" i="3"/>
  <c r="V399" i="3"/>
  <c r="U399" i="3"/>
  <c r="T399" i="3"/>
  <c r="S399" i="3"/>
  <c r="R399" i="3"/>
  <c r="R317" i="3"/>
  <c r="X317" i="3"/>
  <c r="W317" i="3"/>
  <c r="V317" i="3"/>
  <c r="Z317" i="3"/>
  <c r="Y317" i="3"/>
  <c r="U317" i="3"/>
  <c r="T317" i="3"/>
  <c r="S317" i="3"/>
  <c r="R333" i="3"/>
  <c r="Z333" i="3"/>
  <c r="Y333" i="3"/>
  <c r="X333" i="3"/>
  <c r="W333" i="3"/>
  <c r="V333" i="3"/>
  <c r="U333" i="3"/>
  <c r="S333" i="3"/>
  <c r="T333" i="3"/>
  <c r="AM31" i="5"/>
  <c r="AB31" i="5"/>
  <c r="AA31" i="5"/>
  <c r="Z31" i="5"/>
  <c r="AP31" i="5"/>
  <c r="AN31" i="5"/>
  <c r="Y31" i="5"/>
  <c r="AT31" i="5" s="1"/>
  <c r="X31" i="5"/>
  <c r="W31" i="5"/>
  <c r="AB48" i="5"/>
  <c r="AA48" i="5"/>
  <c r="AM48" i="5"/>
  <c r="Z48" i="5"/>
  <c r="Y48" i="5"/>
  <c r="AT48" i="5" s="1"/>
  <c r="X48" i="5"/>
  <c r="W48" i="5"/>
  <c r="AP48" i="5"/>
  <c r="AN48" i="5"/>
  <c r="AN78" i="5"/>
  <c r="AM78" i="5"/>
  <c r="AB78" i="5"/>
  <c r="AA78" i="5"/>
  <c r="Z78" i="5"/>
  <c r="Y78" i="5"/>
  <c r="AT78" i="5" s="1"/>
  <c r="X78" i="5"/>
  <c r="AP78" i="5"/>
  <c r="W78" i="5"/>
  <c r="AB139" i="5"/>
  <c r="AA139" i="5"/>
  <c r="Z139" i="5"/>
  <c r="Y139" i="5"/>
  <c r="AT139" i="5" s="1"/>
  <c r="AP139" i="5"/>
  <c r="AN139" i="5"/>
  <c r="AM139" i="5"/>
  <c r="X139" i="5"/>
  <c r="W139" i="5"/>
  <c r="AP69" i="5"/>
  <c r="AN69" i="5"/>
  <c r="AM69" i="5"/>
  <c r="AB69" i="5"/>
  <c r="AA69" i="5"/>
  <c r="Z69" i="5"/>
  <c r="Y69" i="5"/>
  <c r="AT69" i="5" s="1"/>
  <c r="X69" i="5"/>
  <c r="W69" i="5"/>
  <c r="X121" i="5"/>
  <c r="W121" i="5"/>
  <c r="AP121" i="5"/>
  <c r="AN121" i="5"/>
  <c r="AM121" i="5"/>
  <c r="AB121" i="5"/>
  <c r="AA121" i="5"/>
  <c r="Z121" i="5"/>
  <c r="Y121" i="5"/>
  <c r="AT121" i="5" s="1"/>
  <c r="Y191" i="5"/>
  <c r="AT191" i="5" s="1"/>
  <c r="X191" i="5"/>
  <c r="AB191" i="5"/>
  <c r="AA191" i="5"/>
  <c r="AP191" i="5"/>
  <c r="AN191" i="5"/>
  <c r="AM191" i="5"/>
  <c r="Z191" i="5"/>
  <c r="W191" i="5"/>
  <c r="AN202" i="5"/>
  <c r="AM202" i="5"/>
  <c r="AP202" i="5"/>
  <c r="AB202" i="5"/>
  <c r="AA202" i="5"/>
  <c r="Z202" i="5"/>
  <c r="Y202" i="5"/>
  <c r="AT202" i="5" s="1"/>
  <c r="X202" i="5"/>
  <c r="W202" i="5"/>
  <c r="AB263" i="5"/>
  <c r="AA263" i="5"/>
  <c r="Z263" i="5"/>
  <c r="Y263" i="5"/>
  <c r="AT263" i="5" s="1"/>
  <c r="X263" i="5"/>
  <c r="W263" i="5"/>
  <c r="AP263" i="5"/>
  <c r="AN263" i="5"/>
  <c r="AM263" i="5"/>
  <c r="R36" i="3"/>
  <c r="Z36" i="3"/>
  <c r="Y36" i="3"/>
  <c r="X36" i="3"/>
  <c r="W36" i="3"/>
  <c r="V36" i="3"/>
  <c r="U36" i="3"/>
  <c r="T36" i="3"/>
  <c r="S36" i="3"/>
  <c r="Y159" i="3"/>
  <c r="X159" i="3"/>
  <c r="W159" i="3"/>
  <c r="V159" i="3"/>
  <c r="U159" i="3"/>
  <c r="T159" i="3"/>
  <c r="S159" i="3"/>
  <c r="R159" i="3"/>
  <c r="Z159" i="3"/>
  <c r="Y374" i="3"/>
  <c r="X374" i="3"/>
  <c r="W374" i="3"/>
  <c r="V374" i="3"/>
  <c r="U374" i="3"/>
  <c r="T374" i="3"/>
  <c r="S374" i="3"/>
  <c r="R374" i="3"/>
  <c r="Z374" i="3"/>
  <c r="R348" i="3"/>
  <c r="Z348" i="3"/>
  <c r="Y348" i="3"/>
  <c r="X348" i="3"/>
  <c r="W348" i="3"/>
  <c r="V348" i="3"/>
  <c r="U348" i="3"/>
  <c r="T348" i="3"/>
  <c r="S348" i="3"/>
  <c r="AB80" i="5"/>
  <c r="AA80" i="5"/>
  <c r="Z80" i="5"/>
  <c r="Y80" i="5"/>
  <c r="AT80" i="5" s="1"/>
  <c r="X80" i="5"/>
  <c r="W80" i="5"/>
  <c r="AP80" i="5"/>
  <c r="AN80" i="5"/>
  <c r="AM80" i="5"/>
  <c r="AB118" i="5"/>
  <c r="AA118" i="5"/>
  <c r="Z118" i="5"/>
  <c r="Y118" i="5"/>
  <c r="AT118" i="5" s="1"/>
  <c r="X118" i="5"/>
  <c r="W118" i="5"/>
  <c r="AP118" i="5"/>
  <c r="AN118" i="5"/>
  <c r="AM118" i="5"/>
  <c r="Z134" i="5"/>
  <c r="Y134" i="5"/>
  <c r="AT134" i="5" s="1"/>
  <c r="AP134" i="5"/>
  <c r="AB134" i="5"/>
  <c r="AA134" i="5"/>
  <c r="X134" i="5"/>
  <c r="W134" i="5"/>
  <c r="AN134" i="5"/>
  <c r="AM134" i="5"/>
  <c r="AA179" i="5"/>
  <c r="AP179" i="5"/>
  <c r="X179" i="5"/>
  <c r="W179" i="5"/>
  <c r="AN179" i="5"/>
  <c r="AM179" i="5"/>
  <c r="AB179" i="5"/>
  <c r="Z179" i="5"/>
  <c r="Y179" i="5"/>
  <c r="AT179" i="5" s="1"/>
  <c r="AA188" i="5"/>
  <c r="Z188" i="5"/>
  <c r="Y188" i="5"/>
  <c r="AT188" i="5" s="1"/>
  <c r="X188" i="5"/>
  <c r="W188" i="5"/>
  <c r="AP188" i="5"/>
  <c r="AM188" i="5"/>
  <c r="AB188" i="5"/>
  <c r="AN188" i="5"/>
  <c r="AB254" i="5"/>
  <c r="AA254" i="5"/>
  <c r="Z254" i="5"/>
  <c r="AP254" i="5"/>
  <c r="AN254" i="5"/>
  <c r="AM254" i="5"/>
  <c r="Y254" i="5"/>
  <c r="AT254" i="5" s="1"/>
  <c r="X254" i="5"/>
  <c r="W254" i="5"/>
  <c r="AP260" i="5"/>
  <c r="AN260" i="5"/>
  <c r="AM260" i="5"/>
  <c r="AB260" i="5"/>
  <c r="AA260" i="5"/>
  <c r="Z260" i="5"/>
  <c r="Y260" i="5"/>
  <c r="AT260" i="5" s="1"/>
  <c r="X260" i="5"/>
  <c r="W260" i="5"/>
  <c r="AB323" i="5"/>
  <c r="AA323" i="5"/>
  <c r="Z323" i="5"/>
  <c r="Y323" i="5"/>
  <c r="AT323" i="5" s="1"/>
  <c r="X323" i="5"/>
  <c r="W323" i="5"/>
  <c r="AM323" i="5"/>
  <c r="AP323" i="5"/>
  <c r="AN323" i="5"/>
  <c r="AB395" i="5"/>
  <c r="AA395" i="5"/>
  <c r="Z395" i="5"/>
  <c r="Y395" i="5"/>
  <c r="AT395" i="5" s="1"/>
  <c r="X395" i="5"/>
  <c r="W395" i="5"/>
  <c r="AP395" i="5"/>
  <c r="AN395" i="5"/>
  <c r="AM395" i="5"/>
  <c r="Y185" i="3"/>
  <c r="X185" i="3"/>
  <c r="W185" i="3"/>
  <c r="V185" i="3"/>
  <c r="U185" i="3"/>
  <c r="T185" i="3"/>
  <c r="S185" i="3"/>
  <c r="R185" i="3"/>
  <c r="Z185" i="3"/>
  <c r="R37" i="3"/>
  <c r="Z37" i="3"/>
  <c r="Y37" i="3"/>
  <c r="X37" i="3"/>
  <c r="W37" i="3"/>
  <c r="V37" i="3"/>
  <c r="U37" i="3"/>
  <c r="T37" i="3"/>
  <c r="S37" i="3"/>
  <c r="R85" i="3"/>
  <c r="Z85" i="3"/>
  <c r="Y85" i="3"/>
  <c r="X85" i="3"/>
  <c r="W85" i="3"/>
  <c r="V85" i="3"/>
  <c r="U85" i="3"/>
  <c r="T85" i="3"/>
  <c r="S85" i="3"/>
  <c r="R117" i="3"/>
  <c r="Z117" i="3"/>
  <c r="Y117" i="3"/>
  <c r="X117" i="3"/>
  <c r="W117" i="3"/>
  <c r="V117" i="3"/>
  <c r="U117" i="3"/>
  <c r="T117" i="3"/>
  <c r="S117" i="3"/>
  <c r="Y160" i="3"/>
  <c r="X160" i="3"/>
  <c r="W160" i="3"/>
  <c r="V160" i="3"/>
  <c r="U160" i="3"/>
  <c r="T160" i="3"/>
  <c r="S160" i="3"/>
  <c r="R160" i="3"/>
  <c r="Z160" i="3"/>
  <c r="Z243" i="3"/>
  <c r="W243" i="3"/>
  <c r="V243" i="3"/>
  <c r="U243" i="3"/>
  <c r="T243" i="3"/>
  <c r="S243" i="3"/>
  <c r="X243" i="3"/>
  <c r="R243" i="3"/>
  <c r="Y243" i="3"/>
  <c r="Z395" i="3"/>
  <c r="Y395" i="3"/>
  <c r="X395" i="3"/>
  <c r="W395" i="3"/>
  <c r="V395" i="3"/>
  <c r="U395" i="3"/>
  <c r="T395" i="3"/>
  <c r="S395" i="3"/>
  <c r="R395" i="3"/>
  <c r="R301" i="3"/>
  <c r="X301" i="3"/>
  <c r="Z301" i="3"/>
  <c r="V301" i="3"/>
  <c r="U301" i="3"/>
  <c r="T301" i="3"/>
  <c r="S301" i="3"/>
  <c r="Y301" i="3"/>
  <c r="W301" i="3"/>
  <c r="R349" i="3"/>
  <c r="Z349" i="3"/>
  <c r="Y349" i="3"/>
  <c r="X349" i="3"/>
  <c r="W349" i="3"/>
  <c r="V349" i="3"/>
  <c r="U349" i="3"/>
  <c r="S349" i="3"/>
  <c r="T349" i="3"/>
  <c r="AN30" i="5"/>
  <c r="AM30" i="5"/>
  <c r="AB30" i="5"/>
  <c r="W30" i="5"/>
  <c r="AP30" i="5"/>
  <c r="AA30" i="5"/>
  <c r="Y30" i="5"/>
  <c r="AT30" i="5" s="1"/>
  <c r="Z30" i="5"/>
  <c r="X30" i="5"/>
  <c r="AB88" i="5"/>
  <c r="AA88" i="5"/>
  <c r="Z88" i="5"/>
  <c r="Y88" i="5"/>
  <c r="AT88" i="5" s="1"/>
  <c r="X88" i="5"/>
  <c r="W88" i="5"/>
  <c r="AP88" i="5"/>
  <c r="AN88" i="5"/>
  <c r="AM88" i="5"/>
  <c r="AB126" i="5"/>
  <c r="AA126" i="5"/>
  <c r="Z126" i="5"/>
  <c r="Y126" i="5"/>
  <c r="AT126" i="5" s="1"/>
  <c r="X126" i="5"/>
  <c r="W126" i="5"/>
  <c r="AP126" i="5"/>
  <c r="AN126" i="5"/>
  <c r="AM126" i="5"/>
  <c r="Z142" i="5"/>
  <c r="Y142" i="5"/>
  <c r="AT142" i="5" s="1"/>
  <c r="X142" i="5"/>
  <c r="W142" i="5"/>
  <c r="AP142" i="5"/>
  <c r="AN142" i="5"/>
  <c r="AM142" i="5"/>
  <c r="AB142" i="5"/>
  <c r="AA142" i="5"/>
  <c r="AN210" i="5"/>
  <c r="AM210" i="5"/>
  <c r="AB210" i="5"/>
  <c r="AA210" i="5"/>
  <c r="Z210" i="5"/>
  <c r="X210" i="5"/>
  <c r="Y210" i="5"/>
  <c r="AT210" i="5" s="1"/>
  <c r="W210" i="5"/>
  <c r="AP210" i="5"/>
  <c r="AB286" i="5"/>
  <c r="AA286" i="5"/>
  <c r="AP286" i="5"/>
  <c r="AN286" i="5"/>
  <c r="AM286" i="5"/>
  <c r="Z286" i="5"/>
  <c r="Y286" i="5"/>
  <c r="AT286" i="5" s="1"/>
  <c r="X286" i="5"/>
  <c r="W286" i="5"/>
  <c r="AB240" i="5"/>
  <c r="AA240" i="5"/>
  <c r="Z240" i="5"/>
  <c r="Y240" i="5"/>
  <c r="AT240" i="5" s="1"/>
  <c r="X240" i="5"/>
  <c r="W240" i="5"/>
  <c r="AP240" i="5"/>
  <c r="AN240" i="5"/>
  <c r="AM240" i="5"/>
  <c r="AB294" i="5"/>
  <c r="AA294" i="5"/>
  <c r="Z294" i="5"/>
  <c r="AP294" i="5"/>
  <c r="AN294" i="5"/>
  <c r="AM294" i="5"/>
  <c r="Y294" i="5"/>
  <c r="AT294" i="5" s="1"/>
  <c r="X294" i="5"/>
  <c r="W294" i="5"/>
  <c r="AN309" i="5"/>
  <c r="AM309" i="5"/>
  <c r="AB309" i="5"/>
  <c r="AA309" i="5"/>
  <c r="Z309" i="5"/>
  <c r="Y309" i="5"/>
  <c r="AT309" i="5" s="1"/>
  <c r="X309" i="5"/>
  <c r="W309" i="5"/>
  <c r="AP309" i="5"/>
  <c r="AP268" i="5"/>
  <c r="AN268" i="5"/>
  <c r="AM268" i="5"/>
  <c r="AB268" i="5"/>
  <c r="AA268" i="5"/>
  <c r="Z268" i="5"/>
  <c r="Y268" i="5"/>
  <c r="AT268" i="5" s="1"/>
  <c r="X268" i="5"/>
  <c r="W268" i="5"/>
  <c r="Z282" i="5"/>
  <c r="X282" i="5"/>
  <c r="AP282" i="5"/>
  <c r="AN282" i="5"/>
  <c r="AM282" i="5"/>
  <c r="AB282" i="5"/>
  <c r="AA282" i="5"/>
  <c r="Y282" i="5"/>
  <c r="AT282" i="5" s="1"/>
  <c r="W282" i="5"/>
  <c r="AA333" i="5"/>
  <c r="Z333" i="5"/>
  <c r="Y333" i="5"/>
  <c r="AT333" i="5" s="1"/>
  <c r="X333" i="5"/>
  <c r="W333" i="5"/>
  <c r="AP333" i="5"/>
  <c r="AN333" i="5"/>
  <c r="AM333" i="5"/>
  <c r="AB333" i="5"/>
  <c r="Z330" i="5"/>
  <c r="Y330" i="5"/>
  <c r="AT330" i="5" s="1"/>
  <c r="X330" i="5"/>
  <c r="W330" i="5"/>
  <c r="AP330" i="5"/>
  <c r="AB330" i="5"/>
  <c r="AA330" i="5"/>
  <c r="AN330" i="5"/>
  <c r="AM330" i="5"/>
  <c r="AB369" i="5"/>
  <c r="AA369" i="5"/>
  <c r="Z369" i="5"/>
  <c r="Y369" i="5"/>
  <c r="AT369" i="5" s="1"/>
  <c r="X369" i="5"/>
  <c r="W369" i="5"/>
  <c r="AP369" i="5"/>
  <c r="AN369" i="5"/>
  <c r="AM369" i="5"/>
  <c r="AB361" i="5"/>
  <c r="AA361" i="5"/>
  <c r="Z361" i="5"/>
  <c r="Y361" i="5"/>
  <c r="AT361" i="5" s="1"/>
  <c r="X361" i="5"/>
  <c r="W361" i="5"/>
  <c r="AP361" i="5"/>
  <c r="AN361" i="5"/>
  <c r="AM361" i="5"/>
  <c r="AB402" i="5"/>
  <c r="AA402" i="5"/>
  <c r="Z402" i="5"/>
  <c r="Y402" i="5"/>
  <c r="AT402" i="5" s="1"/>
  <c r="X402" i="5"/>
  <c r="W402" i="5"/>
  <c r="AP402" i="5"/>
  <c r="AN402" i="5"/>
  <c r="AM402" i="5"/>
  <c r="Y206" i="3"/>
  <c r="X206" i="3"/>
  <c r="W206" i="3"/>
  <c r="V206" i="3"/>
  <c r="U206" i="3"/>
  <c r="T206" i="3"/>
  <c r="S206" i="3"/>
  <c r="R206" i="3"/>
  <c r="Z206" i="3"/>
  <c r="Y204" i="3"/>
  <c r="X204" i="3"/>
  <c r="W204" i="3"/>
  <c r="V204" i="3"/>
  <c r="U204" i="3"/>
  <c r="T204" i="3"/>
  <c r="S204" i="3"/>
  <c r="R204" i="3"/>
  <c r="Z204" i="3"/>
  <c r="T11" i="3"/>
  <c r="S11" i="3"/>
  <c r="R11" i="3"/>
  <c r="Z11" i="3"/>
  <c r="Y11" i="3"/>
  <c r="X11" i="3"/>
  <c r="W11" i="3"/>
  <c r="V11" i="3"/>
  <c r="U11" i="3"/>
  <c r="R22" i="3"/>
  <c r="Z22" i="3"/>
  <c r="Y22" i="3"/>
  <c r="X22" i="3"/>
  <c r="W22" i="3"/>
  <c r="V22" i="3"/>
  <c r="S22" i="3"/>
  <c r="U22" i="3"/>
  <c r="T22" i="3"/>
  <c r="R38" i="3"/>
  <c r="Z38" i="3"/>
  <c r="Y38" i="3"/>
  <c r="X38" i="3"/>
  <c r="W38" i="3"/>
  <c r="V38" i="3"/>
  <c r="S38" i="3"/>
  <c r="U38" i="3"/>
  <c r="T38" i="3"/>
  <c r="R54" i="3"/>
  <c r="Z54" i="3"/>
  <c r="Y54" i="3"/>
  <c r="X54" i="3"/>
  <c r="W54" i="3"/>
  <c r="V54" i="3"/>
  <c r="S54" i="3"/>
  <c r="U54" i="3"/>
  <c r="T54" i="3"/>
  <c r="R70" i="3"/>
  <c r="Z70" i="3"/>
  <c r="Y70" i="3"/>
  <c r="X70" i="3"/>
  <c r="W70" i="3"/>
  <c r="V70" i="3"/>
  <c r="S70" i="3"/>
  <c r="U70" i="3"/>
  <c r="T70" i="3"/>
  <c r="R86" i="3"/>
  <c r="Z86" i="3"/>
  <c r="Y86" i="3"/>
  <c r="X86" i="3"/>
  <c r="W86" i="3"/>
  <c r="V86" i="3"/>
  <c r="S86" i="3"/>
  <c r="U86" i="3"/>
  <c r="T86" i="3"/>
  <c r="R102" i="3"/>
  <c r="Z102" i="3"/>
  <c r="Y102" i="3"/>
  <c r="X102" i="3"/>
  <c r="W102" i="3"/>
  <c r="V102" i="3"/>
  <c r="S102" i="3"/>
  <c r="U102" i="3"/>
  <c r="T102" i="3"/>
  <c r="R118" i="3"/>
  <c r="Z118" i="3"/>
  <c r="Y118" i="3"/>
  <c r="X118" i="3"/>
  <c r="W118" i="3"/>
  <c r="V118" i="3"/>
  <c r="S118" i="3"/>
  <c r="U118" i="3"/>
  <c r="T118" i="3"/>
  <c r="R134" i="3"/>
  <c r="Z134" i="3"/>
  <c r="Y134" i="3"/>
  <c r="X134" i="3"/>
  <c r="W134" i="3"/>
  <c r="V134" i="3"/>
  <c r="S134" i="3"/>
  <c r="U134" i="3"/>
  <c r="T134" i="3"/>
  <c r="R150" i="3"/>
  <c r="Z150" i="3"/>
  <c r="Y150" i="3"/>
  <c r="X150" i="3"/>
  <c r="W150" i="3"/>
  <c r="V150" i="3"/>
  <c r="S150" i="3"/>
  <c r="U150" i="3"/>
  <c r="T150" i="3"/>
  <c r="Y161" i="3"/>
  <c r="X161" i="3"/>
  <c r="W161" i="3"/>
  <c r="V161" i="3"/>
  <c r="U161" i="3"/>
  <c r="T161" i="3"/>
  <c r="S161" i="3"/>
  <c r="R161" i="3"/>
  <c r="Z161" i="3"/>
  <c r="W234" i="3"/>
  <c r="V234" i="3"/>
  <c r="U234" i="3"/>
  <c r="Z234" i="3"/>
  <c r="Y234" i="3"/>
  <c r="T234" i="3"/>
  <c r="S234" i="3"/>
  <c r="R234" i="3"/>
  <c r="X234" i="3"/>
  <c r="W238" i="3"/>
  <c r="V238" i="3"/>
  <c r="U238" i="3"/>
  <c r="T238" i="3"/>
  <c r="S238" i="3"/>
  <c r="Z238" i="3"/>
  <c r="Y238" i="3"/>
  <c r="X238" i="3"/>
  <c r="R238" i="3"/>
  <c r="Z247" i="3"/>
  <c r="W247" i="3"/>
  <c r="V247" i="3"/>
  <c r="U247" i="3"/>
  <c r="T247" i="3"/>
  <c r="S247" i="3"/>
  <c r="X247" i="3"/>
  <c r="R247" i="3"/>
  <c r="Y247" i="3"/>
  <c r="R284" i="3"/>
  <c r="X284" i="3"/>
  <c r="Y284" i="3"/>
  <c r="W284" i="3"/>
  <c r="V284" i="3"/>
  <c r="U284" i="3"/>
  <c r="T284" i="3"/>
  <c r="Z284" i="3"/>
  <c r="S284" i="3"/>
  <c r="R269" i="3"/>
  <c r="U269" i="3"/>
  <c r="T269" i="3"/>
  <c r="S269" i="3"/>
  <c r="Z269" i="3"/>
  <c r="Y269" i="3"/>
  <c r="W269" i="3"/>
  <c r="X269" i="3"/>
  <c r="V269" i="3"/>
  <c r="Z403" i="3"/>
  <c r="Y403" i="3"/>
  <c r="X403" i="3"/>
  <c r="W403" i="3"/>
  <c r="V403" i="3"/>
  <c r="U403" i="3"/>
  <c r="T403" i="3"/>
  <c r="S403" i="3"/>
  <c r="R403" i="3"/>
  <c r="Y376" i="3"/>
  <c r="X376" i="3"/>
  <c r="W376" i="3"/>
  <c r="V376" i="3"/>
  <c r="U376" i="3"/>
  <c r="T376" i="3"/>
  <c r="S376" i="3"/>
  <c r="R376" i="3"/>
  <c r="Z376" i="3"/>
  <c r="Z407" i="3"/>
  <c r="Y407" i="3"/>
  <c r="X407" i="3"/>
  <c r="W407" i="3"/>
  <c r="V407" i="3"/>
  <c r="U407" i="3"/>
  <c r="T407" i="3"/>
  <c r="S407" i="3"/>
  <c r="R407" i="3"/>
  <c r="R302" i="3"/>
  <c r="X302" i="3"/>
  <c r="Z302" i="3"/>
  <c r="V302" i="3"/>
  <c r="U302" i="3"/>
  <c r="T302" i="3"/>
  <c r="S302" i="3"/>
  <c r="W302" i="3"/>
  <c r="Y302" i="3"/>
  <c r="R318" i="3"/>
  <c r="Y318" i="3"/>
  <c r="X318" i="3"/>
  <c r="W318" i="3"/>
  <c r="V318" i="3"/>
  <c r="Z318" i="3"/>
  <c r="U318" i="3"/>
  <c r="T318" i="3"/>
  <c r="S318" i="3"/>
  <c r="R334" i="3"/>
  <c r="Z334" i="3"/>
  <c r="Y334" i="3"/>
  <c r="X334" i="3"/>
  <c r="W334" i="3"/>
  <c r="V334" i="3"/>
  <c r="S334" i="3"/>
  <c r="U334" i="3"/>
  <c r="T334" i="3"/>
  <c r="R350" i="3"/>
  <c r="Z350" i="3"/>
  <c r="Y350" i="3"/>
  <c r="X350" i="3"/>
  <c r="W350" i="3"/>
  <c r="V350" i="3"/>
  <c r="S350" i="3"/>
  <c r="U350" i="3"/>
  <c r="T350" i="3"/>
  <c r="AN54" i="5"/>
  <c r="AM54" i="5"/>
  <c r="Z54" i="5"/>
  <c r="AP54" i="5"/>
  <c r="AB54" i="5"/>
  <c r="AA54" i="5"/>
  <c r="Y54" i="5"/>
  <c r="AT54" i="5" s="1"/>
  <c r="X54" i="5"/>
  <c r="W54" i="5"/>
  <c r="AN107" i="5"/>
  <c r="AM107" i="5"/>
  <c r="AB107" i="5"/>
  <c r="AA107" i="5"/>
  <c r="Z107" i="5"/>
  <c r="AP107" i="5"/>
  <c r="Y107" i="5"/>
  <c r="AT107" i="5" s="1"/>
  <c r="X107" i="5"/>
  <c r="W107" i="5"/>
  <c r="AB49" i="5"/>
  <c r="AA49" i="5"/>
  <c r="Z49" i="5"/>
  <c r="Y49" i="5"/>
  <c r="AT49" i="5" s="1"/>
  <c r="AM49" i="5"/>
  <c r="X49" i="5"/>
  <c r="W49" i="5"/>
  <c r="AN49" i="5"/>
  <c r="AP49" i="5"/>
  <c r="W13" i="5"/>
  <c r="AP13" i="5"/>
  <c r="AN13" i="5"/>
  <c r="AM13" i="5"/>
  <c r="AB13" i="5"/>
  <c r="Y13" i="5"/>
  <c r="AT13" i="5" s="1"/>
  <c r="X13" i="5"/>
  <c r="Z13" i="5"/>
  <c r="AA13" i="5"/>
  <c r="AB100" i="5"/>
  <c r="AA100" i="5"/>
  <c r="X100" i="5"/>
  <c r="AP100" i="5"/>
  <c r="AN100" i="5"/>
  <c r="AM100" i="5"/>
  <c r="Z100" i="5"/>
  <c r="Y100" i="5"/>
  <c r="AT100" i="5" s="1"/>
  <c r="W100" i="5"/>
  <c r="Z51" i="5"/>
  <c r="Y51" i="5"/>
  <c r="AT51" i="5" s="1"/>
  <c r="X51" i="5"/>
  <c r="W51" i="5"/>
  <c r="AP51" i="5"/>
  <c r="AN51" i="5"/>
  <c r="AM51" i="5"/>
  <c r="AB51" i="5"/>
  <c r="AA51" i="5"/>
  <c r="AP77" i="5"/>
  <c r="AN77" i="5"/>
  <c r="AM77" i="5"/>
  <c r="AB77" i="5"/>
  <c r="AA77" i="5"/>
  <c r="Z77" i="5"/>
  <c r="Y77" i="5"/>
  <c r="AT77" i="5" s="1"/>
  <c r="X77" i="5"/>
  <c r="W77" i="5"/>
  <c r="AN145" i="5"/>
  <c r="AM145" i="5"/>
  <c r="Z145" i="5"/>
  <c r="AP145" i="5"/>
  <c r="AB145" i="5"/>
  <c r="AA145" i="5"/>
  <c r="Y145" i="5"/>
  <c r="AT145" i="5" s="1"/>
  <c r="X145" i="5"/>
  <c r="W145" i="5"/>
  <c r="X129" i="5"/>
  <c r="W129" i="5"/>
  <c r="AP129" i="5"/>
  <c r="AN129" i="5"/>
  <c r="AM129" i="5"/>
  <c r="AB129" i="5"/>
  <c r="AA129" i="5"/>
  <c r="Y129" i="5"/>
  <c r="AT129" i="5" s="1"/>
  <c r="Z129" i="5"/>
  <c r="AB148" i="5"/>
  <c r="AA148" i="5"/>
  <c r="Z148" i="5"/>
  <c r="Y148" i="5"/>
  <c r="AT148" i="5" s="1"/>
  <c r="X148" i="5"/>
  <c r="W148" i="5"/>
  <c r="AP148" i="5"/>
  <c r="AN148" i="5"/>
  <c r="AM148" i="5"/>
  <c r="Z150" i="5"/>
  <c r="Y150" i="5"/>
  <c r="AT150" i="5" s="1"/>
  <c r="X150" i="5"/>
  <c r="W150" i="5"/>
  <c r="AP150" i="5"/>
  <c r="AN150" i="5"/>
  <c r="AM150" i="5"/>
  <c r="AA150" i="5"/>
  <c r="AB150" i="5"/>
  <c r="AP203" i="5"/>
  <c r="AN203" i="5"/>
  <c r="AM203" i="5"/>
  <c r="AB203" i="5"/>
  <c r="AA203" i="5"/>
  <c r="Z203" i="5"/>
  <c r="Y203" i="5"/>
  <c r="AT203" i="5" s="1"/>
  <c r="X203" i="5"/>
  <c r="W203" i="5"/>
  <c r="Z219" i="5"/>
  <c r="Y219" i="5"/>
  <c r="AT219" i="5" s="1"/>
  <c r="AP219" i="5"/>
  <c r="AN219" i="5"/>
  <c r="AM219" i="5"/>
  <c r="AB219" i="5"/>
  <c r="X219" i="5"/>
  <c r="AA219" i="5"/>
  <c r="W219" i="5"/>
  <c r="AB213" i="5"/>
  <c r="AA213" i="5"/>
  <c r="Z213" i="5"/>
  <c r="Y213" i="5"/>
  <c r="AT213" i="5" s="1"/>
  <c r="X213" i="5"/>
  <c r="W213" i="5"/>
  <c r="AP213" i="5"/>
  <c r="AN213" i="5"/>
  <c r="AM213" i="5"/>
  <c r="W192" i="5"/>
  <c r="AP192" i="5"/>
  <c r="AN192" i="5"/>
  <c r="AM192" i="5"/>
  <c r="Y192" i="5"/>
  <c r="AT192" i="5" s="1"/>
  <c r="X192" i="5"/>
  <c r="AB192" i="5"/>
  <c r="AA192" i="5"/>
  <c r="Z192" i="5"/>
  <c r="Z314" i="5"/>
  <c r="Y314" i="5"/>
  <c r="AT314" i="5" s="1"/>
  <c r="AN314" i="5"/>
  <c r="AM314" i="5"/>
  <c r="AB314" i="5"/>
  <c r="AA314" i="5"/>
  <c r="AP314" i="5"/>
  <c r="X314" i="5"/>
  <c r="W314" i="5"/>
  <c r="AB255" i="5"/>
  <c r="AA255" i="5"/>
  <c r="Z255" i="5"/>
  <c r="Y255" i="5"/>
  <c r="AT255" i="5" s="1"/>
  <c r="X255" i="5"/>
  <c r="AP255" i="5"/>
  <c r="AM255" i="5"/>
  <c r="AN255" i="5"/>
  <c r="W255" i="5"/>
  <c r="AN293" i="5"/>
  <c r="AM293" i="5"/>
  <c r="AB293" i="5"/>
  <c r="AA293" i="5"/>
  <c r="Z293" i="5"/>
  <c r="Y293" i="5"/>
  <c r="AT293" i="5" s="1"/>
  <c r="X293" i="5"/>
  <c r="W293" i="5"/>
  <c r="AP293" i="5"/>
  <c r="AN285" i="5"/>
  <c r="AP285" i="5"/>
  <c r="AM285" i="5"/>
  <c r="AB285" i="5"/>
  <c r="AA285" i="5"/>
  <c r="Z285" i="5"/>
  <c r="Y285" i="5"/>
  <c r="AT285" i="5" s="1"/>
  <c r="X285" i="5"/>
  <c r="W285" i="5"/>
  <c r="Z290" i="5"/>
  <c r="Y290" i="5"/>
  <c r="AT290" i="5" s="1"/>
  <c r="X290" i="5"/>
  <c r="AP290" i="5"/>
  <c r="AN290" i="5"/>
  <c r="AM290" i="5"/>
  <c r="AB290" i="5"/>
  <c r="AA290" i="5"/>
  <c r="W290" i="5"/>
  <c r="AB355" i="5"/>
  <c r="AA355" i="5"/>
  <c r="Z355" i="5"/>
  <c r="Y355" i="5"/>
  <c r="AT355" i="5" s="1"/>
  <c r="X355" i="5"/>
  <c r="AM355" i="5"/>
  <c r="AP355" i="5"/>
  <c r="AN355" i="5"/>
  <c r="W355" i="5"/>
  <c r="AM337" i="5"/>
  <c r="Z337" i="5"/>
  <c r="Y337" i="5"/>
  <c r="AT337" i="5" s="1"/>
  <c r="X337" i="5"/>
  <c r="W337" i="5"/>
  <c r="AP337" i="5"/>
  <c r="AB337" i="5"/>
  <c r="AA337" i="5"/>
  <c r="AN337" i="5"/>
  <c r="AN392" i="5"/>
  <c r="AM392" i="5"/>
  <c r="AP392" i="5"/>
  <c r="AB392" i="5"/>
  <c r="AA392" i="5"/>
  <c r="Z392" i="5"/>
  <c r="Y392" i="5"/>
  <c r="AT392" i="5" s="1"/>
  <c r="W392" i="5"/>
  <c r="X392" i="5"/>
  <c r="AB377" i="5"/>
  <c r="AA377" i="5"/>
  <c r="Z377" i="5"/>
  <c r="Y377" i="5"/>
  <c r="AT377" i="5" s="1"/>
  <c r="X377" i="5"/>
  <c r="W377" i="5"/>
  <c r="AP377" i="5"/>
  <c r="AN377" i="5"/>
  <c r="AM377" i="5"/>
  <c r="AP380" i="5"/>
  <c r="X380" i="5"/>
  <c r="W380" i="5"/>
  <c r="AN380" i="5"/>
  <c r="AM380" i="5"/>
  <c r="AB380" i="5"/>
  <c r="Z380" i="5"/>
  <c r="AA380" i="5"/>
  <c r="Y380" i="5"/>
  <c r="AT380" i="5" s="1"/>
  <c r="Y197" i="3"/>
  <c r="X197" i="3"/>
  <c r="W197" i="3"/>
  <c r="V197" i="3"/>
  <c r="U197" i="3"/>
  <c r="T197" i="3"/>
  <c r="S197" i="3"/>
  <c r="R197" i="3"/>
  <c r="Z197" i="3"/>
  <c r="Z246" i="3"/>
  <c r="W246" i="3"/>
  <c r="V246" i="3"/>
  <c r="U246" i="3"/>
  <c r="T246" i="3"/>
  <c r="S246" i="3"/>
  <c r="Y246" i="3"/>
  <c r="X246" i="3"/>
  <c r="R246" i="3"/>
  <c r="Y184" i="3"/>
  <c r="X184" i="3"/>
  <c r="W184" i="3"/>
  <c r="V184" i="3"/>
  <c r="U184" i="3"/>
  <c r="T184" i="3"/>
  <c r="S184" i="3"/>
  <c r="R184" i="3"/>
  <c r="Z184" i="3"/>
  <c r="R23" i="3"/>
  <c r="Z23" i="3"/>
  <c r="Y23" i="3"/>
  <c r="X23" i="3"/>
  <c r="W23" i="3"/>
  <c r="V23" i="3"/>
  <c r="U23" i="3"/>
  <c r="T23" i="3"/>
  <c r="S23" i="3"/>
  <c r="R39" i="3"/>
  <c r="Z39" i="3"/>
  <c r="Y39" i="3"/>
  <c r="X39" i="3"/>
  <c r="W39" i="3"/>
  <c r="V39" i="3"/>
  <c r="U39" i="3"/>
  <c r="T39" i="3"/>
  <c r="S39" i="3"/>
  <c r="R55" i="3"/>
  <c r="Z55" i="3"/>
  <c r="Y55" i="3"/>
  <c r="X55" i="3"/>
  <c r="W55" i="3"/>
  <c r="V55" i="3"/>
  <c r="U55" i="3"/>
  <c r="T55" i="3"/>
  <c r="S55" i="3"/>
  <c r="R71" i="3"/>
  <c r="Z71" i="3"/>
  <c r="Y71" i="3"/>
  <c r="X71" i="3"/>
  <c r="W71" i="3"/>
  <c r="V71" i="3"/>
  <c r="U71" i="3"/>
  <c r="T71" i="3"/>
  <c r="S71" i="3"/>
  <c r="R87" i="3"/>
  <c r="Z87" i="3"/>
  <c r="Y87" i="3"/>
  <c r="X87" i="3"/>
  <c r="W87" i="3"/>
  <c r="V87" i="3"/>
  <c r="U87" i="3"/>
  <c r="T87" i="3"/>
  <c r="S87" i="3"/>
  <c r="R103" i="3"/>
  <c r="Z103" i="3"/>
  <c r="Y103" i="3"/>
  <c r="X103" i="3"/>
  <c r="W103" i="3"/>
  <c r="V103" i="3"/>
  <c r="U103" i="3"/>
  <c r="T103" i="3"/>
  <c r="S103" i="3"/>
  <c r="R119" i="3"/>
  <c r="Z119" i="3"/>
  <c r="Y119" i="3"/>
  <c r="X119" i="3"/>
  <c r="W119" i="3"/>
  <c r="V119" i="3"/>
  <c r="U119" i="3"/>
  <c r="T119" i="3"/>
  <c r="S119" i="3"/>
  <c r="R135" i="3"/>
  <c r="Z135" i="3"/>
  <c r="Y135" i="3"/>
  <c r="X135" i="3"/>
  <c r="W135" i="3"/>
  <c r="V135" i="3"/>
  <c r="U135" i="3"/>
  <c r="T135" i="3"/>
  <c r="S135" i="3"/>
  <c r="R151" i="3"/>
  <c r="Z151" i="3"/>
  <c r="Y151" i="3"/>
  <c r="X151" i="3"/>
  <c r="W151" i="3"/>
  <c r="V151" i="3"/>
  <c r="U151" i="3"/>
  <c r="T151" i="3"/>
  <c r="S151" i="3"/>
  <c r="Y162" i="3"/>
  <c r="X162" i="3"/>
  <c r="W162" i="3"/>
  <c r="V162" i="3"/>
  <c r="U162" i="3"/>
  <c r="T162" i="3"/>
  <c r="S162" i="3"/>
  <c r="R162" i="3"/>
  <c r="Z162" i="3"/>
  <c r="Z249" i="3"/>
  <c r="W249" i="3"/>
  <c r="V249" i="3"/>
  <c r="U249" i="3"/>
  <c r="T249" i="3"/>
  <c r="S249" i="3"/>
  <c r="Y249" i="3"/>
  <c r="X249" i="3"/>
  <c r="R249" i="3"/>
  <c r="R286" i="3"/>
  <c r="X286" i="3"/>
  <c r="Y286" i="3"/>
  <c r="W286" i="3"/>
  <c r="V286" i="3"/>
  <c r="U286" i="3"/>
  <c r="T286" i="3"/>
  <c r="S286" i="3"/>
  <c r="Z286" i="3"/>
  <c r="Z250" i="3"/>
  <c r="W250" i="3"/>
  <c r="V250" i="3"/>
  <c r="U250" i="3"/>
  <c r="T250" i="3"/>
  <c r="S250" i="3"/>
  <c r="X250" i="3"/>
  <c r="R250" i="3"/>
  <c r="Y250" i="3"/>
  <c r="Z404" i="3"/>
  <c r="Y404" i="3"/>
  <c r="X404" i="3"/>
  <c r="W404" i="3"/>
  <c r="V404" i="3"/>
  <c r="U404" i="3"/>
  <c r="T404" i="3"/>
  <c r="S404" i="3"/>
  <c r="R404" i="3"/>
  <c r="Y364" i="3"/>
  <c r="X364" i="3"/>
  <c r="W364" i="3"/>
  <c r="U364" i="3"/>
  <c r="T364" i="3"/>
  <c r="R364" i="3"/>
  <c r="Z364" i="3"/>
  <c r="V364" i="3"/>
  <c r="S364" i="3"/>
  <c r="Z386" i="3"/>
  <c r="Y386" i="3"/>
  <c r="X386" i="3"/>
  <c r="W386" i="3"/>
  <c r="V386" i="3"/>
  <c r="U386" i="3"/>
  <c r="T386" i="3"/>
  <c r="S386" i="3"/>
  <c r="R386" i="3"/>
  <c r="Y377" i="3"/>
  <c r="X377" i="3"/>
  <c r="W377" i="3"/>
  <c r="V377" i="3"/>
  <c r="U377" i="3"/>
  <c r="T377" i="3"/>
  <c r="S377" i="3"/>
  <c r="R377" i="3"/>
  <c r="Z377" i="3"/>
  <c r="X356" i="3"/>
  <c r="W356" i="3"/>
  <c r="R356" i="3"/>
  <c r="T356" i="3"/>
  <c r="S356" i="3"/>
  <c r="Z356" i="3"/>
  <c r="Y356" i="3"/>
  <c r="V356" i="3"/>
  <c r="U356" i="3"/>
  <c r="R303" i="3"/>
  <c r="X303" i="3"/>
  <c r="Z303" i="3"/>
  <c r="V303" i="3"/>
  <c r="U303" i="3"/>
  <c r="T303" i="3"/>
  <c r="S303" i="3"/>
  <c r="Y303" i="3"/>
  <c r="W303" i="3"/>
  <c r="R319" i="3"/>
  <c r="Y319" i="3"/>
  <c r="X319" i="3"/>
  <c r="W319" i="3"/>
  <c r="V319" i="3"/>
  <c r="Z319" i="3"/>
  <c r="U319" i="3"/>
  <c r="T319" i="3"/>
  <c r="S319" i="3"/>
  <c r="R335" i="3"/>
  <c r="Z335" i="3"/>
  <c r="Y335" i="3"/>
  <c r="X335" i="3"/>
  <c r="W335" i="3"/>
  <c r="V335" i="3"/>
  <c r="U335" i="3"/>
  <c r="T335" i="3"/>
  <c r="S335" i="3"/>
  <c r="R351" i="3"/>
  <c r="Z351" i="3"/>
  <c r="Y351" i="3"/>
  <c r="X351" i="3"/>
  <c r="W351" i="3"/>
  <c r="V351" i="3"/>
  <c r="U351" i="3"/>
  <c r="T351" i="3"/>
  <c r="S351" i="3"/>
  <c r="AP47" i="5"/>
  <c r="AN47" i="5"/>
  <c r="AM47" i="5"/>
  <c r="AB47" i="5"/>
  <c r="AA47" i="5"/>
  <c r="Z47" i="5"/>
  <c r="Y47" i="5"/>
  <c r="AT47" i="5" s="1"/>
  <c r="X47" i="5"/>
  <c r="W47" i="5"/>
  <c r="AN46" i="5"/>
  <c r="AM46" i="5"/>
  <c r="AB46" i="5"/>
  <c r="AA46" i="5"/>
  <c r="Z46" i="5"/>
  <c r="AP46" i="5"/>
  <c r="X46" i="5"/>
  <c r="Y46" i="5"/>
  <c r="AT46" i="5" s="1"/>
  <c r="W46" i="5"/>
  <c r="AB50" i="5"/>
  <c r="AA50" i="5"/>
  <c r="Z50" i="5"/>
  <c r="Y50" i="5"/>
  <c r="AT50" i="5" s="1"/>
  <c r="X50" i="5"/>
  <c r="W50" i="5"/>
  <c r="AM50" i="5"/>
  <c r="AP50" i="5"/>
  <c r="AN50" i="5"/>
  <c r="W21" i="5"/>
  <c r="AP21" i="5"/>
  <c r="AN21" i="5"/>
  <c r="AM21" i="5"/>
  <c r="Y21" i="5"/>
  <c r="AT21" i="5" s="1"/>
  <c r="X21" i="5"/>
  <c r="AA21" i="5"/>
  <c r="AB21" i="5"/>
  <c r="Z21" i="5"/>
  <c r="AP138" i="5"/>
  <c r="AN138" i="5"/>
  <c r="AM138" i="5"/>
  <c r="AB138" i="5"/>
  <c r="AA138" i="5"/>
  <c r="Z138" i="5"/>
  <c r="Y138" i="5"/>
  <c r="AT138" i="5" s="1"/>
  <c r="X138" i="5"/>
  <c r="W138" i="5"/>
  <c r="Z59" i="5"/>
  <c r="Y59" i="5"/>
  <c r="AT59" i="5" s="1"/>
  <c r="X59" i="5"/>
  <c r="W59" i="5"/>
  <c r="AP59" i="5"/>
  <c r="AN59" i="5"/>
  <c r="AM59" i="5"/>
  <c r="AB59" i="5"/>
  <c r="AA59" i="5"/>
  <c r="AP85" i="5"/>
  <c r="AN85" i="5"/>
  <c r="AM85" i="5"/>
  <c r="AB85" i="5"/>
  <c r="AA85" i="5"/>
  <c r="Z85" i="5"/>
  <c r="Y85" i="5"/>
  <c r="AT85" i="5" s="1"/>
  <c r="X85" i="5"/>
  <c r="W85" i="5"/>
  <c r="AB103" i="5"/>
  <c r="AA103" i="5"/>
  <c r="Z103" i="5"/>
  <c r="Y103" i="5"/>
  <c r="AT103" i="5" s="1"/>
  <c r="X103" i="5"/>
  <c r="W103" i="5"/>
  <c r="AP103" i="5"/>
  <c r="AN103" i="5"/>
  <c r="AM103" i="5"/>
  <c r="X130" i="5"/>
  <c r="W130" i="5"/>
  <c r="AP130" i="5"/>
  <c r="AN130" i="5"/>
  <c r="AM130" i="5"/>
  <c r="AB130" i="5"/>
  <c r="AA130" i="5"/>
  <c r="Z130" i="5"/>
  <c r="Y130" i="5"/>
  <c r="AT130" i="5" s="1"/>
  <c r="AA166" i="5"/>
  <c r="Z166" i="5"/>
  <c r="Y166" i="5"/>
  <c r="AT166" i="5" s="1"/>
  <c r="X166" i="5"/>
  <c r="W166" i="5"/>
  <c r="AM166" i="5"/>
  <c r="AB166" i="5"/>
  <c r="AP166" i="5"/>
  <c r="AN166" i="5"/>
  <c r="AM162" i="5"/>
  <c r="Z162" i="5"/>
  <c r="Y162" i="5"/>
  <c r="AT162" i="5" s="1"/>
  <c r="X162" i="5"/>
  <c r="W162" i="5"/>
  <c r="AP162" i="5"/>
  <c r="AN162" i="5"/>
  <c r="AB162" i="5"/>
  <c r="AA162" i="5"/>
  <c r="AB204" i="5"/>
  <c r="AA204" i="5"/>
  <c r="AP204" i="5"/>
  <c r="AN204" i="5"/>
  <c r="AM204" i="5"/>
  <c r="Z204" i="5"/>
  <c r="Y204" i="5"/>
  <c r="AT204" i="5" s="1"/>
  <c r="X204" i="5"/>
  <c r="W204" i="5"/>
  <c r="W160" i="5"/>
  <c r="AP160" i="5"/>
  <c r="AN160" i="5"/>
  <c r="AM160" i="5"/>
  <c r="AB160" i="5"/>
  <c r="AA160" i="5"/>
  <c r="Z160" i="5"/>
  <c r="Y160" i="5"/>
  <c r="AT160" i="5" s="1"/>
  <c r="X160" i="5"/>
  <c r="AN246" i="5"/>
  <c r="AM246" i="5"/>
  <c r="AB246" i="5"/>
  <c r="AA246" i="5"/>
  <c r="Y246" i="5"/>
  <c r="AT246" i="5" s="1"/>
  <c r="AP246" i="5"/>
  <c r="Z246" i="5"/>
  <c r="X246" i="5"/>
  <c r="W246" i="5"/>
  <c r="X200" i="5"/>
  <c r="W200" i="5"/>
  <c r="AP200" i="5"/>
  <c r="AN200" i="5"/>
  <c r="AM200" i="5"/>
  <c r="AB200" i="5"/>
  <c r="AA200" i="5"/>
  <c r="Z200" i="5"/>
  <c r="Y200" i="5"/>
  <c r="AT200" i="5" s="1"/>
  <c r="Z227" i="5"/>
  <c r="Y227" i="5"/>
  <c r="AT227" i="5" s="1"/>
  <c r="X227" i="5"/>
  <c r="W227" i="5"/>
  <c r="AP227" i="5"/>
  <c r="AM227" i="5"/>
  <c r="AB227" i="5"/>
  <c r="AA227" i="5"/>
  <c r="AN227" i="5"/>
  <c r="AN269" i="5"/>
  <c r="AM269" i="5"/>
  <c r="AB269" i="5"/>
  <c r="AP269" i="5"/>
  <c r="Z269" i="5"/>
  <c r="AA269" i="5"/>
  <c r="Y269" i="5"/>
  <c r="AT269" i="5" s="1"/>
  <c r="X269" i="5"/>
  <c r="W269" i="5"/>
  <c r="AB347" i="5"/>
  <c r="AA347" i="5"/>
  <c r="Z347" i="5"/>
  <c r="Y347" i="5"/>
  <c r="AT347" i="5" s="1"/>
  <c r="AM347" i="5"/>
  <c r="AP347" i="5"/>
  <c r="AN347" i="5"/>
  <c r="X347" i="5"/>
  <c r="W347" i="5"/>
  <c r="AB287" i="5"/>
  <c r="Z287" i="5"/>
  <c r="Y287" i="5"/>
  <c r="AT287" i="5" s="1"/>
  <c r="X287" i="5"/>
  <c r="AP287" i="5"/>
  <c r="AN287" i="5"/>
  <c r="AM287" i="5"/>
  <c r="AA287" i="5"/>
  <c r="W287" i="5"/>
  <c r="Z298" i="5"/>
  <c r="Y298" i="5"/>
  <c r="AT298" i="5" s="1"/>
  <c r="X298" i="5"/>
  <c r="AP298" i="5"/>
  <c r="AN298" i="5"/>
  <c r="AM298" i="5"/>
  <c r="AB298" i="5"/>
  <c r="AA298" i="5"/>
  <c r="W298" i="5"/>
  <c r="AM358" i="5"/>
  <c r="AB358" i="5"/>
  <c r="AA358" i="5"/>
  <c r="Z358" i="5"/>
  <c r="Y358" i="5"/>
  <c r="AT358" i="5" s="1"/>
  <c r="X358" i="5"/>
  <c r="AP358" i="5"/>
  <c r="AN358" i="5"/>
  <c r="W358" i="5"/>
  <c r="AN352" i="5"/>
  <c r="AM352" i="5"/>
  <c r="Y352" i="5"/>
  <c r="AT352" i="5" s="1"/>
  <c r="AA352" i="5"/>
  <c r="Z352" i="5"/>
  <c r="X352" i="5"/>
  <c r="W352" i="5"/>
  <c r="AP352" i="5"/>
  <c r="AB352" i="5"/>
  <c r="AA349" i="5"/>
  <c r="Z349" i="5"/>
  <c r="Y349" i="5"/>
  <c r="AT349" i="5" s="1"/>
  <c r="X349" i="5"/>
  <c r="W349" i="5"/>
  <c r="AP349" i="5"/>
  <c r="AN349" i="5"/>
  <c r="AM349" i="5"/>
  <c r="AB349" i="5"/>
  <c r="AB394" i="5"/>
  <c r="AA394" i="5"/>
  <c r="Z394" i="5"/>
  <c r="X394" i="5"/>
  <c r="AN394" i="5"/>
  <c r="AM394" i="5"/>
  <c r="Y394" i="5"/>
  <c r="AT394" i="5" s="1"/>
  <c r="W394" i="5"/>
  <c r="AP394" i="5"/>
  <c r="AB388" i="5"/>
  <c r="AA388" i="5"/>
  <c r="Z388" i="5"/>
  <c r="Y388" i="5"/>
  <c r="AT388" i="5" s="1"/>
  <c r="X388" i="5"/>
  <c r="AP388" i="5"/>
  <c r="AN388" i="5"/>
  <c r="AM388" i="5"/>
  <c r="W388" i="5"/>
  <c r="R20" i="3"/>
  <c r="Z20" i="3"/>
  <c r="Y20" i="3"/>
  <c r="X20" i="3"/>
  <c r="W20" i="3"/>
  <c r="V20" i="3"/>
  <c r="U20" i="3"/>
  <c r="T20" i="3"/>
  <c r="S20" i="3"/>
  <c r="R148" i="3"/>
  <c r="Z148" i="3"/>
  <c r="Y148" i="3"/>
  <c r="X148" i="3"/>
  <c r="W148" i="3"/>
  <c r="V148" i="3"/>
  <c r="U148" i="3"/>
  <c r="T148" i="3"/>
  <c r="S148" i="3"/>
  <c r="R316" i="3"/>
  <c r="X316" i="3"/>
  <c r="W316" i="3"/>
  <c r="Z316" i="3"/>
  <c r="Y316" i="3"/>
  <c r="V316" i="3"/>
  <c r="S316" i="3"/>
  <c r="U316" i="3"/>
  <c r="T316" i="3"/>
  <c r="W228" i="3"/>
  <c r="V228" i="3"/>
  <c r="U228" i="3"/>
  <c r="Z228" i="3"/>
  <c r="Y228" i="3"/>
  <c r="X228" i="3"/>
  <c r="T228" i="3"/>
  <c r="S228" i="3"/>
  <c r="R228" i="3"/>
  <c r="R271" i="3"/>
  <c r="X271" i="3"/>
  <c r="Z271" i="3"/>
  <c r="Y271" i="3"/>
  <c r="W271" i="3"/>
  <c r="T271" i="3"/>
  <c r="S271" i="3"/>
  <c r="V271" i="3"/>
  <c r="U271" i="3"/>
  <c r="R281" i="3"/>
  <c r="X281" i="3"/>
  <c r="T281" i="3"/>
  <c r="S281" i="3"/>
  <c r="Z281" i="3"/>
  <c r="Y281" i="3"/>
  <c r="V281" i="3"/>
  <c r="U281" i="3"/>
  <c r="W281" i="3"/>
  <c r="X357" i="3"/>
  <c r="W357" i="3"/>
  <c r="R357" i="3"/>
  <c r="Z357" i="3"/>
  <c r="Y357" i="3"/>
  <c r="V357" i="3"/>
  <c r="U357" i="3"/>
  <c r="T357" i="3"/>
  <c r="S357" i="3"/>
  <c r="Y380" i="3"/>
  <c r="X380" i="3"/>
  <c r="W380" i="3"/>
  <c r="V380" i="3"/>
  <c r="U380" i="3"/>
  <c r="T380" i="3"/>
  <c r="S380" i="3"/>
  <c r="R380" i="3"/>
  <c r="Z380" i="3"/>
  <c r="R290" i="3"/>
  <c r="X290" i="3"/>
  <c r="T290" i="3"/>
  <c r="S290" i="3"/>
  <c r="Z290" i="3"/>
  <c r="Y290" i="3"/>
  <c r="V290" i="3"/>
  <c r="U290" i="3"/>
  <c r="W290" i="3"/>
  <c r="R306" i="3"/>
  <c r="X306" i="3"/>
  <c r="Z306" i="3"/>
  <c r="V306" i="3"/>
  <c r="U306" i="3"/>
  <c r="T306" i="3"/>
  <c r="S306" i="3"/>
  <c r="Y306" i="3"/>
  <c r="W306" i="3"/>
  <c r="R322" i="3"/>
  <c r="Y322" i="3"/>
  <c r="X322" i="3"/>
  <c r="W322" i="3"/>
  <c r="V322" i="3"/>
  <c r="Z322" i="3"/>
  <c r="U322" i="3"/>
  <c r="T322" i="3"/>
  <c r="S322" i="3"/>
  <c r="R338" i="3"/>
  <c r="Z338" i="3"/>
  <c r="Y338" i="3"/>
  <c r="X338" i="3"/>
  <c r="W338" i="3"/>
  <c r="V338" i="3"/>
  <c r="S338" i="3"/>
  <c r="U338" i="3"/>
  <c r="T338" i="3"/>
  <c r="R354" i="3"/>
  <c r="Z354" i="3"/>
  <c r="Y354" i="3"/>
  <c r="X354" i="3"/>
  <c r="W354" i="3"/>
  <c r="V354" i="3"/>
  <c r="S354" i="3"/>
  <c r="U354" i="3"/>
  <c r="T354" i="3"/>
  <c r="AN22" i="5"/>
  <c r="AM22" i="5"/>
  <c r="AB22" i="5"/>
  <c r="AP22" i="5"/>
  <c r="AA22" i="5"/>
  <c r="Z22" i="5"/>
  <c r="Y22" i="5"/>
  <c r="AT22" i="5" s="1"/>
  <c r="X22" i="5"/>
  <c r="W22" i="5"/>
  <c r="AB10" i="5"/>
  <c r="AA10" i="5"/>
  <c r="Z10" i="5"/>
  <c r="AP10" i="5"/>
  <c r="Y10" i="5"/>
  <c r="AT10" i="5" s="1"/>
  <c r="X10" i="5"/>
  <c r="W10" i="5"/>
  <c r="AN10" i="5"/>
  <c r="AM10" i="5"/>
  <c r="AA35" i="5"/>
  <c r="Z35" i="5"/>
  <c r="Y35" i="5"/>
  <c r="AT35" i="5" s="1"/>
  <c r="X35" i="5"/>
  <c r="W35" i="5"/>
  <c r="AP35" i="5"/>
  <c r="AN35" i="5"/>
  <c r="AM35" i="5"/>
  <c r="AB35" i="5"/>
  <c r="W45" i="5"/>
  <c r="AP45" i="5"/>
  <c r="AN45" i="5"/>
  <c r="AM45" i="5"/>
  <c r="AB45" i="5"/>
  <c r="AA45" i="5"/>
  <c r="Z45" i="5"/>
  <c r="Y45" i="5"/>
  <c r="AT45" i="5" s="1"/>
  <c r="X45" i="5"/>
  <c r="AB81" i="5"/>
  <c r="AA81" i="5"/>
  <c r="Z81" i="5"/>
  <c r="Y81" i="5"/>
  <c r="AT81" i="5" s="1"/>
  <c r="X81" i="5"/>
  <c r="W81" i="5"/>
  <c r="AP81" i="5"/>
  <c r="AN81" i="5"/>
  <c r="AM81" i="5"/>
  <c r="Z83" i="5"/>
  <c r="Y83" i="5"/>
  <c r="AT83" i="5" s="1"/>
  <c r="X83" i="5"/>
  <c r="W83" i="5"/>
  <c r="AP83" i="5"/>
  <c r="AN83" i="5"/>
  <c r="AM83" i="5"/>
  <c r="AB83" i="5"/>
  <c r="AA83" i="5"/>
  <c r="AB124" i="5"/>
  <c r="AA124" i="5"/>
  <c r="Z124" i="5"/>
  <c r="Y124" i="5"/>
  <c r="AT124" i="5" s="1"/>
  <c r="X124" i="5"/>
  <c r="W124" i="5"/>
  <c r="AP124" i="5"/>
  <c r="AN124" i="5"/>
  <c r="AM124" i="5"/>
  <c r="AB127" i="5"/>
  <c r="AA127" i="5"/>
  <c r="Z127" i="5"/>
  <c r="Y127" i="5"/>
  <c r="AT127" i="5" s="1"/>
  <c r="X127" i="5"/>
  <c r="W127" i="5"/>
  <c r="AP127" i="5"/>
  <c r="AN127" i="5"/>
  <c r="AM127" i="5"/>
  <c r="AP98" i="5"/>
  <c r="AN98" i="5"/>
  <c r="AM98" i="5"/>
  <c r="AB98" i="5"/>
  <c r="AA98" i="5"/>
  <c r="Z98" i="5"/>
  <c r="Y98" i="5"/>
  <c r="AT98" i="5" s="1"/>
  <c r="X98" i="5"/>
  <c r="W98" i="5"/>
  <c r="AB172" i="5"/>
  <c r="AA172" i="5"/>
  <c r="AN172" i="5"/>
  <c r="AM172" i="5"/>
  <c r="Z172" i="5"/>
  <c r="Y172" i="5"/>
  <c r="AT172" i="5" s="1"/>
  <c r="X172" i="5"/>
  <c r="W172" i="5"/>
  <c r="AP172" i="5"/>
  <c r="AM194" i="5"/>
  <c r="AP194" i="5"/>
  <c r="AN194" i="5"/>
  <c r="AB194" i="5"/>
  <c r="AA194" i="5"/>
  <c r="Z194" i="5"/>
  <c r="Y194" i="5"/>
  <c r="AT194" i="5" s="1"/>
  <c r="X194" i="5"/>
  <c r="W194" i="5"/>
  <c r="AM195" i="5"/>
  <c r="AB195" i="5"/>
  <c r="AA195" i="5"/>
  <c r="Z195" i="5"/>
  <c r="Y195" i="5"/>
  <c r="AT195" i="5" s="1"/>
  <c r="X195" i="5"/>
  <c r="W195" i="5"/>
  <c r="AP195" i="5"/>
  <c r="AN195" i="5"/>
  <c r="X184" i="5"/>
  <c r="W184" i="5"/>
  <c r="AP184" i="5"/>
  <c r="AN184" i="5"/>
  <c r="AM184" i="5"/>
  <c r="AB184" i="5"/>
  <c r="AA184" i="5"/>
  <c r="Z184" i="5"/>
  <c r="Y184" i="5"/>
  <c r="AT184" i="5" s="1"/>
  <c r="AB232" i="5"/>
  <c r="AM232" i="5"/>
  <c r="AA232" i="5"/>
  <c r="Z232" i="5"/>
  <c r="Y232" i="5"/>
  <c r="AT232" i="5" s="1"/>
  <c r="X232" i="5"/>
  <c r="W232" i="5"/>
  <c r="AP232" i="5"/>
  <c r="AN232" i="5"/>
  <c r="X220" i="5"/>
  <c r="W220" i="5"/>
  <c r="Z220" i="5"/>
  <c r="Y220" i="5"/>
  <c r="AT220" i="5" s="1"/>
  <c r="AP220" i="5"/>
  <c r="AN220" i="5"/>
  <c r="AM220" i="5"/>
  <c r="AB220" i="5"/>
  <c r="AA220" i="5"/>
  <c r="AB249" i="5"/>
  <c r="Y249" i="5"/>
  <c r="AT249" i="5" s="1"/>
  <c r="X249" i="5"/>
  <c r="AN249" i="5"/>
  <c r="AA249" i="5"/>
  <c r="Z249" i="5"/>
  <c r="W249" i="5"/>
  <c r="AP249" i="5"/>
  <c r="AM249" i="5"/>
  <c r="AB303" i="5"/>
  <c r="AA303" i="5"/>
  <c r="Z303" i="5"/>
  <c r="Y303" i="5"/>
  <c r="AT303" i="5" s="1"/>
  <c r="X303" i="5"/>
  <c r="AP303" i="5"/>
  <c r="AN303" i="5"/>
  <c r="AM303" i="5"/>
  <c r="W303" i="5"/>
  <c r="Z266" i="5"/>
  <c r="Y266" i="5"/>
  <c r="AT266" i="5" s="1"/>
  <c r="X266" i="5"/>
  <c r="W266" i="5"/>
  <c r="AP266" i="5"/>
  <c r="AN266" i="5"/>
  <c r="AM266" i="5"/>
  <c r="AA266" i="5"/>
  <c r="AB266" i="5"/>
  <c r="AB296" i="5"/>
  <c r="Z296" i="5"/>
  <c r="Y296" i="5"/>
  <c r="AT296" i="5" s="1"/>
  <c r="X296" i="5"/>
  <c r="W296" i="5"/>
  <c r="AP296" i="5"/>
  <c r="AN296" i="5"/>
  <c r="AM296" i="5"/>
  <c r="AA296" i="5"/>
  <c r="X283" i="5"/>
  <c r="AP283" i="5"/>
  <c r="AN283" i="5"/>
  <c r="AB283" i="5"/>
  <c r="AA283" i="5"/>
  <c r="Z283" i="5"/>
  <c r="Y283" i="5"/>
  <c r="AT283" i="5" s="1"/>
  <c r="W283" i="5"/>
  <c r="AM283" i="5"/>
  <c r="AN328" i="5"/>
  <c r="AM328" i="5"/>
  <c r="AB328" i="5"/>
  <c r="AA328" i="5"/>
  <c r="Z328" i="5"/>
  <c r="Y328" i="5"/>
  <c r="AT328" i="5" s="1"/>
  <c r="AP328" i="5"/>
  <c r="X328" i="5"/>
  <c r="W328" i="5"/>
  <c r="AB324" i="5"/>
  <c r="AA324" i="5"/>
  <c r="Z324" i="5"/>
  <c r="Y324" i="5"/>
  <c r="AT324" i="5" s="1"/>
  <c r="W324" i="5"/>
  <c r="AP324" i="5"/>
  <c r="AM324" i="5"/>
  <c r="X324" i="5"/>
  <c r="AN324" i="5"/>
  <c r="Y334" i="5"/>
  <c r="AT334" i="5" s="1"/>
  <c r="X334" i="5"/>
  <c r="W334" i="5"/>
  <c r="AP334" i="5"/>
  <c r="AM334" i="5"/>
  <c r="AB334" i="5"/>
  <c r="AA334" i="5"/>
  <c r="Z334" i="5"/>
  <c r="AN334" i="5"/>
  <c r="AA378" i="5"/>
  <c r="Z378" i="5"/>
  <c r="Y378" i="5"/>
  <c r="AT378" i="5" s="1"/>
  <c r="X378" i="5"/>
  <c r="W378" i="5"/>
  <c r="AP378" i="5"/>
  <c r="AN378" i="5"/>
  <c r="AM378" i="5"/>
  <c r="AB378" i="5"/>
  <c r="Z389" i="5"/>
  <c r="Y389" i="5"/>
  <c r="AT389" i="5" s="1"/>
  <c r="X389" i="5"/>
  <c r="W389" i="5"/>
  <c r="AP389" i="5"/>
  <c r="AN389" i="5"/>
  <c r="AM389" i="5"/>
  <c r="AA389" i="5"/>
  <c r="AB389" i="5"/>
  <c r="Y9" i="3"/>
  <c r="U9" i="3"/>
  <c r="T9" i="3"/>
  <c r="S9" i="3"/>
  <c r="R9" i="3"/>
  <c r="Z9" i="3"/>
  <c r="X9" i="3"/>
  <c r="W9" i="3"/>
  <c r="V9" i="3"/>
  <c r="Y194" i="3"/>
  <c r="X194" i="3"/>
  <c r="W194" i="3"/>
  <c r="V194" i="3"/>
  <c r="U194" i="3"/>
  <c r="T194" i="3"/>
  <c r="S194" i="3"/>
  <c r="R194" i="3"/>
  <c r="Z194" i="3"/>
  <c r="W236" i="3"/>
  <c r="V236" i="3"/>
  <c r="U236" i="3"/>
  <c r="Z236" i="3"/>
  <c r="Y236" i="3"/>
  <c r="X236" i="3"/>
  <c r="T236" i="3"/>
  <c r="S236" i="3"/>
  <c r="R236" i="3"/>
  <c r="R27" i="3"/>
  <c r="Z27" i="3"/>
  <c r="Y27" i="3"/>
  <c r="X27" i="3"/>
  <c r="W27" i="3"/>
  <c r="V27" i="3"/>
  <c r="U27" i="3"/>
  <c r="T27" i="3"/>
  <c r="S27" i="3"/>
  <c r="R43" i="3"/>
  <c r="Z43" i="3"/>
  <c r="Y43" i="3"/>
  <c r="X43" i="3"/>
  <c r="W43" i="3"/>
  <c r="V43" i="3"/>
  <c r="U43" i="3"/>
  <c r="T43" i="3"/>
  <c r="S43" i="3"/>
  <c r="R59" i="3"/>
  <c r="Z59" i="3"/>
  <c r="Y59" i="3"/>
  <c r="X59" i="3"/>
  <c r="W59" i="3"/>
  <c r="V59" i="3"/>
  <c r="U59" i="3"/>
  <c r="T59" i="3"/>
  <c r="S59" i="3"/>
  <c r="R75" i="3"/>
  <c r="Z75" i="3"/>
  <c r="Y75" i="3"/>
  <c r="X75" i="3"/>
  <c r="W75" i="3"/>
  <c r="V75" i="3"/>
  <c r="U75" i="3"/>
  <c r="T75" i="3"/>
  <c r="S75" i="3"/>
  <c r="R91" i="3"/>
  <c r="Z91" i="3"/>
  <c r="Y91" i="3"/>
  <c r="X91" i="3"/>
  <c r="W91" i="3"/>
  <c r="V91" i="3"/>
  <c r="U91" i="3"/>
  <c r="T91" i="3"/>
  <c r="S91" i="3"/>
  <c r="R107" i="3"/>
  <c r="Z107" i="3"/>
  <c r="Y107" i="3"/>
  <c r="X107" i="3"/>
  <c r="W107" i="3"/>
  <c r="V107" i="3"/>
  <c r="U107" i="3"/>
  <c r="T107" i="3"/>
  <c r="S107" i="3"/>
  <c r="R123" i="3"/>
  <c r="Z123" i="3"/>
  <c r="Y123" i="3"/>
  <c r="X123" i="3"/>
  <c r="W123" i="3"/>
  <c r="V123" i="3"/>
  <c r="U123" i="3"/>
  <c r="T123" i="3"/>
  <c r="S123" i="3"/>
  <c r="R139" i="3"/>
  <c r="Z139" i="3"/>
  <c r="Y139" i="3"/>
  <c r="X139" i="3"/>
  <c r="W139" i="3"/>
  <c r="V139" i="3"/>
  <c r="U139" i="3"/>
  <c r="T139" i="3"/>
  <c r="S139" i="3"/>
  <c r="Y181" i="3"/>
  <c r="X181" i="3"/>
  <c r="W181" i="3"/>
  <c r="V181" i="3"/>
  <c r="U181" i="3"/>
  <c r="T181" i="3"/>
  <c r="S181" i="3"/>
  <c r="R181" i="3"/>
  <c r="Z181" i="3"/>
  <c r="Y166" i="3"/>
  <c r="X166" i="3"/>
  <c r="W166" i="3"/>
  <c r="V166" i="3"/>
  <c r="U166" i="3"/>
  <c r="T166" i="3"/>
  <c r="S166" i="3"/>
  <c r="R166" i="3"/>
  <c r="Z166" i="3"/>
  <c r="W240" i="3"/>
  <c r="V240" i="3"/>
  <c r="U240" i="3"/>
  <c r="T240" i="3"/>
  <c r="S240" i="3"/>
  <c r="Z240" i="3"/>
  <c r="X240" i="3"/>
  <c r="R240" i="3"/>
  <c r="Y240" i="3"/>
  <c r="Z244" i="3"/>
  <c r="W244" i="3"/>
  <c r="V244" i="3"/>
  <c r="U244" i="3"/>
  <c r="T244" i="3"/>
  <c r="S244" i="3"/>
  <c r="Y244" i="3"/>
  <c r="X244" i="3"/>
  <c r="R244" i="3"/>
  <c r="W232" i="3"/>
  <c r="V232" i="3"/>
  <c r="U232" i="3"/>
  <c r="Z232" i="3"/>
  <c r="Y232" i="3"/>
  <c r="X232" i="3"/>
  <c r="T232" i="3"/>
  <c r="R232" i="3"/>
  <c r="S232" i="3"/>
  <c r="R275" i="3"/>
  <c r="X275" i="3"/>
  <c r="Z275" i="3"/>
  <c r="Y275" i="3"/>
  <c r="W275" i="3"/>
  <c r="T275" i="3"/>
  <c r="S275" i="3"/>
  <c r="V275" i="3"/>
  <c r="U275" i="3"/>
  <c r="R285" i="3"/>
  <c r="X285" i="3"/>
  <c r="T285" i="3"/>
  <c r="S285" i="3"/>
  <c r="Z285" i="3"/>
  <c r="Y285" i="3"/>
  <c r="V285" i="3"/>
  <c r="U285" i="3"/>
  <c r="W285" i="3"/>
  <c r="Y362" i="3"/>
  <c r="X362" i="3"/>
  <c r="W362" i="3"/>
  <c r="U362" i="3"/>
  <c r="T362" i="3"/>
  <c r="R362" i="3"/>
  <c r="Z362" i="3"/>
  <c r="V362" i="3"/>
  <c r="S362" i="3"/>
  <c r="Y381" i="3"/>
  <c r="X381" i="3"/>
  <c r="W381" i="3"/>
  <c r="V381" i="3"/>
  <c r="U381" i="3"/>
  <c r="T381" i="3"/>
  <c r="S381" i="3"/>
  <c r="R381" i="3"/>
  <c r="Z381" i="3"/>
  <c r="R291" i="3"/>
  <c r="X291" i="3"/>
  <c r="Z291" i="3"/>
  <c r="V291" i="3"/>
  <c r="U291" i="3"/>
  <c r="T291" i="3"/>
  <c r="S291" i="3"/>
  <c r="W291" i="3"/>
  <c r="Y291" i="3"/>
  <c r="R307" i="3"/>
  <c r="X307" i="3"/>
  <c r="Z307" i="3"/>
  <c r="V307" i="3"/>
  <c r="U307" i="3"/>
  <c r="T307" i="3"/>
  <c r="S307" i="3"/>
  <c r="Y307" i="3"/>
  <c r="W307" i="3"/>
  <c r="R323" i="3"/>
  <c r="Y323" i="3"/>
  <c r="X323" i="3"/>
  <c r="W323" i="3"/>
  <c r="V323" i="3"/>
  <c r="Z323" i="3"/>
  <c r="U323" i="3"/>
  <c r="T323" i="3"/>
  <c r="S323" i="3"/>
  <c r="R339" i="3"/>
  <c r="Z339" i="3"/>
  <c r="Y339" i="3"/>
  <c r="X339" i="3"/>
  <c r="W339" i="3"/>
  <c r="V339" i="3"/>
  <c r="U339" i="3"/>
  <c r="T339" i="3"/>
  <c r="S339" i="3"/>
  <c r="R355" i="3"/>
  <c r="Z355" i="3"/>
  <c r="Y355" i="3"/>
  <c r="X355" i="3"/>
  <c r="W355" i="3"/>
  <c r="V355" i="3"/>
  <c r="U355" i="3"/>
  <c r="T355" i="3"/>
  <c r="S355" i="3"/>
  <c r="AN14" i="5"/>
  <c r="AM14" i="5"/>
  <c r="AB14" i="5"/>
  <c r="AP14" i="5"/>
  <c r="AA14" i="5"/>
  <c r="Z14" i="5"/>
  <c r="Y14" i="5"/>
  <c r="AT14" i="5" s="1"/>
  <c r="X14" i="5"/>
  <c r="W14" i="5"/>
  <c r="AB17" i="5"/>
  <c r="AA17" i="5"/>
  <c r="Z17" i="5"/>
  <c r="Y17" i="5"/>
  <c r="AT17" i="5" s="1"/>
  <c r="X17" i="5"/>
  <c r="AP17" i="5"/>
  <c r="AN17" i="5"/>
  <c r="W17" i="5"/>
  <c r="AM17" i="5"/>
  <c r="AA43" i="5"/>
  <c r="Z43" i="5"/>
  <c r="Y43" i="5"/>
  <c r="AT43" i="5" s="1"/>
  <c r="X43" i="5"/>
  <c r="W43" i="5"/>
  <c r="AP43" i="5"/>
  <c r="AN43" i="5"/>
  <c r="AM43" i="5"/>
  <c r="AB43" i="5"/>
  <c r="AB71" i="5"/>
  <c r="AA71" i="5"/>
  <c r="Z71" i="5"/>
  <c r="Y71" i="5"/>
  <c r="AT71" i="5" s="1"/>
  <c r="X71" i="5"/>
  <c r="W71" i="5"/>
  <c r="AP71" i="5"/>
  <c r="AN71" i="5"/>
  <c r="AM71" i="5"/>
  <c r="AB89" i="5"/>
  <c r="AA89" i="5"/>
  <c r="Z89" i="5"/>
  <c r="Y89" i="5"/>
  <c r="AT89" i="5" s="1"/>
  <c r="X89" i="5"/>
  <c r="W89" i="5"/>
  <c r="AP89" i="5"/>
  <c r="AN89" i="5"/>
  <c r="AM89" i="5"/>
  <c r="Z91" i="5"/>
  <c r="Y91" i="5"/>
  <c r="AT91" i="5" s="1"/>
  <c r="X91" i="5"/>
  <c r="W91" i="5"/>
  <c r="AP91" i="5"/>
  <c r="AN91" i="5"/>
  <c r="AM91" i="5"/>
  <c r="AB91" i="5"/>
  <c r="AA91" i="5"/>
  <c r="AB101" i="5"/>
  <c r="AA101" i="5"/>
  <c r="Z101" i="5"/>
  <c r="Y101" i="5"/>
  <c r="AT101" i="5" s="1"/>
  <c r="AP101" i="5"/>
  <c r="X101" i="5"/>
  <c r="W101" i="5"/>
  <c r="AN101" i="5"/>
  <c r="AM101" i="5"/>
  <c r="AB131" i="5"/>
  <c r="AA131" i="5"/>
  <c r="Z131" i="5"/>
  <c r="Y131" i="5"/>
  <c r="AT131" i="5" s="1"/>
  <c r="X131" i="5"/>
  <c r="W131" i="5"/>
  <c r="AP131" i="5"/>
  <c r="AN131" i="5"/>
  <c r="AM131" i="5"/>
  <c r="AP106" i="5"/>
  <c r="AN106" i="5"/>
  <c r="AM106" i="5"/>
  <c r="AB106" i="5"/>
  <c r="AA106" i="5"/>
  <c r="Z106" i="5"/>
  <c r="Y106" i="5"/>
  <c r="AT106" i="5" s="1"/>
  <c r="X106" i="5"/>
  <c r="W106" i="5"/>
  <c r="AB173" i="5"/>
  <c r="AA173" i="5"/>
  <c r="Z173" i="5"/>
  <c r="Y173" i="5"/>
  <c r="AT173" i="5" s="1"/>
  <c r="AN173" i="5"/>
  <c r="AM173" i="5"/>
  <c r="X173" i="5"/>
  <c r="W173" i="5"/>
  <c r="AP173" i="5"/>
  <c r="X135" i="5"/>
  <c r="W135" i="5"/>
  <c r="AP135" i="5"/>
  <c r="AN135" i="5"/>
  <c r="AM135" i="5"/>
  <c r="AB135" i="5"/>
  <c r="AA135" i="5"/>
  <c r="Z135" i="5"/>
  <c r="Y135" i="5"/>
  <c r="AT135" i="5" s="1"/>
  <c r="AN253" i="5"/>
  <c r="AM253" i="5"/>
  <c r="AB253" i="5"/>
  <c r="AP253" i="5"/>
  <c r="AA253" i="5"/>
  <c r="Z253" i="5"/>
  <c r="X253" i="5"/>
  <c r="Y253" i="5"/>
  <c r="AT253" i="5" s="1"/>
  <c r="W253" i="5"/>
  <c r="AA190" i="5"/>
  <c r="Z190" i="5"/>
  <c r="W190" i="5"/>
  <c r="Y190" i="5"/>
  <c r="AT190" i="5" s="1"/>
  <c r="X190" i="5"/>
  <c r="AP190" i="5"/>
  <c r="AN190" i="5"/>
  <c r="AM190" i="5"/>
  <c r="AB190" i="5"/>
  <c r="AB233" i="5"/>
  <c r="AA233" i="5"/>
  <c r="Z233" i="5"/>
  <c r="AM233" i="5"/>
  <c r="Y233" i="5"/>
  <c r="AT233" i="5" s="1"/>
  <c r="X233" i="5"/>
  <c r="W233" i="5"/>
  <c r="AN233" i="5"/>
  <c r="AP233" i="5"/>
  <c r="Z225" i="5"/>
  <c r="X225" i="5"/>
  <c r="W225" i="5"/>
  <c r="AP225" i="5"/>
  <c r="AN225" i="5"/>
  <c r="AM225" i="5"/>
  <c r="AB225" i="5"/>
  <c r="AA225" i="5"/>
  <c r="Y225" i="5"/>
  <c r="AT225" i="5" s="1"/>
  <c r="AN344" i="5"/>
  <c r="AM344" i="5"/>
  <c r="Y344" i="5"/>
  <c r="AT344" i="5" s="1"/>
  <c r="AP344" i="5"/>
  <c r="AB344" i="5"/>
  <c r="AA344" i="5"/>
  <c r="Z344" i="5"/>
  <c r="X344" i="5"/>
  <c r="W344" i="5"/>
  <c r="AA341" i="5"/>
  <c r="Z341" i="5"/>
  <c r="Y341" i="5"/>
  <c r="AT341" i="5" s="1"/>
  <c r="X341" i="5"/>
  <c r="W341" i="5"/>
  <c r="AP341" i="5"/>
  <c r="AN341" i="5"/>
  <c r="AM341" i="5"/>
  <c r="AB341" i="5"/>
  <c r="AB332" i="5"/>
  <c r="AA332" i="5"/>
  <c r="Z332" i="5"/>
  <c r="Y332" i="5"/>
  <c r="AT332" i="5" s="1"/>
  <c r="AP332" i="5"/>
  <c r="AN332" i="5"/>
  <c r="AM332" i="5"/>
  <c r="X332" i="5"/>
  <c r="W332" i="5"/>
  <c r="AB304" i="5"/>
  <c r="Z304" i="5"/>
  <c r="Y304" i="5"/>
  <c r="AT304" i="5" s="1"/>
  <c r="X304" i="5"/>
  <c r="W304" i="5"/>
  <c r="AP304" i="5"/>
  <c r="AA304" i="5"/>
  <c r="AN304" i="5"/>
  <c r="AM304" i="5"/>
  <c r="X291" i="5"/>
  <c r="W291" i="5"/>
  <c r="AP291" i="5"/>
  <c r="AN291" i="5"/>
  <c r="AM291" i="5"/>
  <c r="AB291" i="5"/>
  <c r="AA291" i="5"/>
  <c r="Z291" i="5"/>
  <c r="Y291" i="5"/>
  <c r="AT291" i="5" s="1"/>
  <c r="AB346" i="5"/>
  <c r="AA346" i="5"/>
  <c r="AP346" i="5"/>
  <c r="AN346" i="5"/>
  <c r="AM346" i="5"/>
  <c r="Z346" i="5"/>
  <c r="Y346" i="5"/>
  <c r="AT346" i="5" s="1"/>
  <c r="X346" i="5"/>
  <c r="W346" i="5"/>
  <c r="AB331" i="5"/>
  <c r="AA331" i="5"/>
  <c r="W331" i="5"/>
  <c r="AP331" i="5"/>
  <c r="AN331" i="5"/>
  <c r="AM331" i="5"/>
  <c r="Z331" i="5"/>
  <c r="Y331" i="5"/>
  <c r="AT331" i="5" s="1"/>
  <c r="X331" i="5"/>
  <c r="Y342" i="5"/>
  <c r="AT342" i="5" s="1"/>
  <c r="X342" i="5"/>
  <c r="W342" i="5"/>
  <c r="AP342" i="5"/>
  <c r="AN342" i="5"/>
  <c r="AM342" i="5"/>
  <c r="AB342" i="5"/>
  <c r="AA342" i="5"/>
  <c r="Z342" i="5"/>
  <c r="X363" i="5"/>
  <c r="W363" i="5"/>
  <c r="AP363" i="5"/>
  <c r="AN363" i="5"/>
  <c r="AM363" i="5"/>
  <c r="AB363" i="5"/>
  <c r="AA363" i="5"/>
  <c r="Z363" i="5"/>
  <c r="Y363" i="5"/>
  <c r="AT363" i="5" s="1"/>
  <c r="Z397" i="5"/>
  <c r="Y397" i="5"/>
  <c r="AT397" i="5" s="1"/>
  <c r="X397" i="5"/>
  <c r="W397" i="5"/>
  <c r="AP397" i="5"/>
  <c r="AN397" i="5"/>
  <c r="AM397" i="5"/>
  <c r="AB397" i="5"/>
  <c r="AA397" i="5"/>
  <c r="R68" i="3"/>
  <c r="Z68" i="3"/>
  <c r="Y68" i="3"/>
  <c r="X68" i="3"/>
  <c r="W68" i="3"/>
  <c r="V68" i="3"/>
  <c r="U68" i="3"/>
  <c r="T68" i="3"/>
  <c r="S68" i="3"/>
  <c r="W241" i="3"/>
  <c r="V241" i="3"/>
  <c r="U241" i="3"/>
  <c r="T241" i="3"/>
  <c r="S241" i="3"/>
  <c r="Z241" i="3"/>
  <c r="Y241" i="3"/>
  <c r="X241" i="3"/>
  <c r="R241" i="3"/>
  <c r="Z391" i="3"/>
  <c r="Y391" i="3"/>
  <c r="X391" i="3"/>
  <c r="W391" i="3"/>
  <c r="V391" i="3"/>
  <c r="U391" i="3"/>
  <c r="T391" i="3"/>
  <c r="S391" i="3"/>
  <c r="R391" i="3"/>
  <c r="Y205" i="3"/>
  <c r="X205" i="3"/>
  <c r="W205" i="3"/>
  <c r="V205" i="3"/>
  <c r="U205" i="3"/>
  <c r="T205" i="3"/>
  <c r="S205" i="3"/>
  <c r="R205" i="3"/>
  <c r="Z205" i="3"/>
  <c r="Y163" i="3"/>
  <c r="X163" i="3"/>
  <c r="W163" i="3"/>
  <c r="V163" i="3"/>
  <c r="U163" i="3"/>
  <c r="T163" i="3"/>
  <c r="S163" i="3"/>
  <c r="R163" i="3"/>
  <c r="Z163" i="3"/>
  <c r="R273" i="3"/>
  <c r="X273" i="3"/>
  <c r="T273" i="3"/>
  <c r="S273" i="3"/>
  <c r="Z273" i="3"/>
  <c r="Y273" i="3"/>
  <c r="V273" i="3"/>
  <c r="U273" i="3"/>
  <c r="W273" i="3"/>
  <c r="R304" i="3"/>
  <c r="X304" i="3"/>
  <c r="Z304" i="3"/>
  <c r="V304" i="3"/>
  <c r="U304" i="3"/>
  <c r="T304" i="3"/>
  <c r="S304" i="3"/>
  <c r="Y304" i="3"/>
  <c r="W304" i="3"/>
  <c r="AB32" i="5"/>
  <c r="AA32" i="5"/>
  <c r="Z32" i="5"/>
  <c r="Y32" i="5"/>
  <c r="AT32" i="5" s="1"/>
  <c r="X32" i="5"/>
  <c r="W32" i="5"/>
  <c r="AP32" i="5"/>
  <c r="AN32" i="5"/>
  <c r="AM32" i="5"/>
  <c r="AN137" i="5"/>
  <c r="AM137" i="5"/>
  <c r="AP137" i="5"/>
  <c r="AB137" i="5"/>
  <c r="AA137" i="5"/>
  <c r="Z137" i="5"/>
  <c r="Y137" i="5"/>
  <c r="AT137" i="5" s="1"/>
  <c r="X137" i="5"/>
  <c r="W137" i="5"/>
  <c r="AA156" i="5"/>
  <c r="Y156" i="5"/>
  <c r="AT156" i="5" s="1"/>
  <c r="X156" i="5"/>
  <c r="W156" i="5"/>
  <c r="AP156" i="5"/>
  <c r="AN156" i="5"/>
  <c r="AM156" i="5"/>
  <c r="Z156" i="5"/>
  <c r="AB156" i="5"/>
  <c r="AA235" i="5"/>
  <c r="Z235" i="5"/>
  <c r="Y235" i="5"/>
  <c r="AT235" i="5" s="1"/>
  <c r="X235" i="5"/>
  <c r="W235" i="5"/>
  <c r="AP235" i="5"/>
  <c r="AM235" i="5"/>
  <c r="AB235" i="5"/>
  <c r="AN235" i="5"/>
  <c r="AM345" i="5"/>
  <c r="W345" i="5"/>
  <c r="Y345" i="5"/>
  <c r="AT345" i="5" s="1"/>
  <c r="X345" i="5"/>
  <c r="AP345" i="5"/>
  <c r="AN345" i="5"/>
  <c r="AB345" i="5"/>
  <c r="AA345" i="5"/>
  <c r="Z345" i="5"/>
  <c r="R25" i="3"/>
  <c r="Z25" i="3"/>
  <c r="Y25" i="3"/>
  <c r="X25" i="3"/>
  <c r="W25" i="3"/>
  <c r="V25" i="3"/>
  <c r="U25" i="3"/>
  <c r="T25" i="3"/>
  <c r="S25" i="3"/>
  <c r="R105" i="3"/>
  <c r="Z105" i="3"/>
  <c r="Y105" i="3"/>
  <c r="X105" i="3"/>
  <c r="W105" i="3"/>
  <c r="V105" i="3"/>
  <c r="U105" i="3"/>
  <c r="T105" i="3"/>
  <c r="S105" i="3"/>
  <c r="R282" i="3"/>
  <c r="X282" i="3"/>
  <c r="Y282" i="3"/>
  <c r="W282" i="3"/>
  <c r="V282" i="3"/>
  <c r="U282" i="3"/>
  <c r="T282" i="3"/>
  <c r="S282" i="3"/>
  <c r="Z282" i="3"/>
  <c r="Z402" i="3"/>
  <c r="Y402" i="3"/>
  <c r="X402" i="3"/>
  <c r="W402" i="3"/>
  <c r="V402" i="3"/>
  <c r="U402" i="3"/>
  <c r="T402" i="3"/>
  <c r="S402" i="3"/>
  <c r="R402" i="3"/>
  <c r="R305" i="3"/>
  <c r="X305" i="3"/>
  <c r="Z305" i="3"/>
  <c r="V305" i="3"/>
  <c r="U305" i="3"/>
  <c r="T305" i="3"/>
  <c r="S305" i="3"/>
  <c r="W305" i="3"/>
  <c r="Y305" i="3"/>
  <c r="AB73" i="5"/>
  <c r="AA73" i="5"/>
  <c r="Z73" i="5"/>
  <c r="Y73" i="5"/>
  <c r="AT73" i="5" s="1"/>
  <c r="X73" i="5"/>
  <c r="W73" i="5"/>
  <c r="AP73" i="5"/>
  <c r="AN73" i="5"/>
  <c r="AM73" i="5"/>
  <c r="AN171" i="5"/>
  <c r="AM171" i="5"/>
  <c r="AB171" i="5"/>
  <c r="AA171" i="5"/>
  <c r="Z171" i="5"/>
  <c r="Y171" i="5"/>
  <c r="AT171" i="5" s="1"/>
  <c r="X171" i="5"/>
  <c r="W171" i="5"/>
  <c r="AP171" i="5"/>
  <c r="X216" i="5"/>
  <c r="W216" i="5"/>
  <c r="AP216" i="5"/>
  <c r="AN216" i="5"/>
  <c r="AM216" i="5"/>
  <c r="AB216" i="5"/>
  <c r="AA216" i="5"/>
  <c r="Z216" i="5"/>
  <c r="Y216" i="5"/>
  <c r="AT216" i="5" s="1"/>
  <c r="X275" i="5"/>
  <c r="AP275" i="5"/>
  <c r="AN275" i="5"/>
  <c r="AB275" i="5"/>
  <c r="AA275" i="5"/>
  <c r="Z275" i="5"/>
  <c r="Y275" i="5"/>
  <c r="AT275" i="5" s="1"/>
  <c r="W275" i="5"/>
  <c r="AM275" i="5"/>
  <c r="Y326" i="5"/>
  <c r="AT326" i="5" s="1"/>
  <c r="X326" i="5"/>
  <c r="W326" i="5"/>
  <c r="AP326" i="5"/>
  <c r="AN326" i="5"/>
  <c r="AM326" i="5"/>
  <c r="AB326" i="5"/>
  <c r="AA326" i="5"/>
  <c r="Z326" i="5"/>
  <c r="Y192" i="3"/>
  <c r="X192" i="3"/>
  <c r="W192" i="3"/>
  <c r="V192" i="3"/>
  <c r="U192" i="3"/>
  <c r="T192" i="3"/>
  <c r="S192" i="3"/>
  <c r="R192" i="3"/>
  <c r="Z192" i="3"/>
  <c r="R26" i="3"/>
  <c r="Z26" i="3"/>
  <c r="Y26" i="3"/>
  <c r="X26" i="3"/>
  <c r="W26" i="3"/>
  <c r="V26" i="3"/>
  <c r="U26" i="3"/>
  <c r="T26" i="3"/>
  <c r="S26" i="3"/>
  <c r="R58" i="3"/>
  <c r="Z58" i="3"/>
  <c r="Y58" i="3"/>
  <c r="X58" i="3"/>
  <c r="W58" i="3"/>
  <c r="V58" i="3"/>
  <c r="U58" i="3"/>
  <c r="T58" i="3"/>
  <c r="S58" i="3"/>
  <c r="R90" i="3"/>
  <c r="Z90" i="3"/>
  <c r="Y90" i="3"/>
  <c r="X90" i="3"/>
  <c r="W90" i="3"/>
  <c r="V90" i="3"/>
  <c r="U90" i="3"/>
  <c r="T90" i="3"/>
  <c r="S90" i="3"/>
  <c r="Y178" i="3"/>
  <c r="X178" i="3"/>
  <c r="W178" i="3"/>
  <c r="V178" i="3"/>
  <c r="U178" i="3"/>
  <c r="T178" i="3"/>
  <c r="S178" i="3"/>
  <c r="R178" i="3"/>
  <c r="Z178" i="3"/>
  <c r="R28" i="3"/>
  <c r="Z28" i="3"/>
  <c r="Y28" i="3"/>
  <c r="X28" i="3"/>
  <c r="W28" i="3"/>
  <c r="V28" i="3"/>
  <c r="U28" i="3"/>
  <c r="T28" i="3"/>
  <c r="S28" i="3"/>
  <c r="R60" i="3"/>
  <c r="Z60" i="3"/>
  <c r="Y60" i="3"/>
  <c r="X60" i="3"/>
  <c r="W60" i="3"/>
  <c r="V60" i="3"/>
  <c r="U60" i="3"/>
  <c r="T60" i="3"/>
  <c r="S60" i="3"/>
  <c r="R92" i="3"/>
  <c r="Z92" i="3"/>
  <c r="Y92" i="3"/>
  <c r="X92" i="3"/>
  <c r="W92" i="3"/>
  <c r="V92" i="3"/>
  <c r="U92" i="3"/>
  <c r="T92" i="3"/>
  <c r="S92" i="3"/>
  <c r="R124" i="3"/>
  <c r="Z124" i="3"/>
  <c r="Y124" i="3"/>
  <c r="X124" i="3"/>
  <c r="W124" i="3"/>
  <c r="V124" i="3"/>
  <c r="U124" i="3"/>
  <c r="T124" i="3"/>
  <c r="S124" i="3"/>
  <c r="Y189" i="3"/>
  <c r="X189" i="3"/>
  <c r="W189" i="3"/>
  <c r="V189" i="3"/>
  <c r="U189" i="3"/>
  <c r="T189" i="3"/>
  <c r="S189" i="3"/>
  <c r="R189" i="3"/>
  <c r="Z189" i="3"/>
  <c r="W227" i="3"/>
  <c r="V227" i="3"/>
  <c r="U227" i="3"/>
  <c r="Z227" i="3"/>
  <c r="Y227" i="3"/>
  <c r="X227" i="3"/>
  <c r="T227" i="3"/>
  <c r="R227" i="3"/>
  <c r="S227" i="3"/>
  <c r="Z252" i="3"/>
  <c r="W252" i="3"/>
  <c r="V252" i="3"/>
  <c r="U252" i="3"/>
  <c r="T252" i="3"/>
  <c r="S252" i="3"/>
  <c r="Y252" i="3"/>
  <c r="X252" i="3"/>
  <c r="R252" i="3"/>
  <c r="Y360" i="3"/>
  <c r="X360" i="3"/>
  <c r="W360" i="3"/>
  <c r="U360" i="3"/>
  <c r="T360" i="3"/>
  <c r="R360" i="3"/>
  <c r="Z360" i="3"/>
  <c r="V360" i="3"/>
  <c r="S360" i="3"/>
  <c r="Y382" i="3"/>
  <c r="X382" i="3"/>
  <c r="W382" i="3"/>
  <c r="V382" i="3"/>
  <c r="U382" i="3"/>
  <c r="T382" i="3"/>
  <c r="S382" i="3"/>
  <c r="R382" i="3"/>
  <c r="Z382" i="3"/>
  <c r="R324" i="3"/>
  <c r="Y324" i="3"/>
  <c r="X324" i="3"/>
  <c r="W324" i="3"/>
  <c r="V324" i="3"/>
  <c r="Z324" i="3"/>
  <c r="U324" i="3"/>
  <c r="T324" i="3"/>
  <c r="S324" i="3"/>
  <c r="AM8" i="5"/>
  <c r="AN8" i="5"/>
  <c r="AB8" i="5"/>
  <c r="AA8" i="5"/>
  <c r="Z8" i="5"/>
  <c r="Y8" i="5"/>
  <c r="AT8" i="5" s="1"/>
  <c r="X8" i="5"/>
  <c r="W8" i="5"/>
  <c r="AP8" i="5"/>
  <c r="AB79" i="5"/>
  <c r="AA79" i="5"/>
  <c r="Z79" i="5"/>
  <c r="Y79" i="5"/>
  <c r="AT79" i="5" s="1"/>
  <c r="X79" i="5"/>
  <c r="W79" i="5"/>
  <c r="AP79" i="5"/>
  <c r="AN79" i="5"/>
  <c r="AM79" i="5"/>
  <c r="AB109" i="5"/>
  <c r="AA109" i="5"/>
  <c r="Z109" i="5"/>
  <c r="Y109" i="5"/>
  <c r="AT109" i="5" s="1"/>
  <c r="X109" i="5"/>
  <c r="W109" i="5"/>
  <c r="AP109" i="5"/>
  <c r="AN109" i="5"/>
  <c r="AM109" i="5"/>
  <c r="AB174" i="5"/>
  <c r="AA174" i="5"/>
  <c r="Z174" i="5"/>
  <c r="Y174" i="5"/>
  <c r="AT174" i="5" s="1"/>
  <c r="X174" i="5"/>
  <c r="W174" i="5"/>
  <c r="AN174" i="5"/>
  <c r="AM174" i="5"/>
  <c r="AP174" i="5"/>
  <c r="AN222" i="5"/>
  <c r="AM222" i="5"/>
  <c r="AP222" i="5"/>
  <c r="AB222" i="5"/>
  <c r="AA222" i="5"/>
  <c r="Z222" i="5"/>
  <c r="Y222" i="5"/>
  <c r="AT222" i="5" s="1"/>
  <c r="W222" i="5"/>
  <c r="X222" i="5"/>
  <c r="X228" i="5"/>
  <c r="W228" i="5"/>
  <c r="AP228" i="5"/>
  <c r="AN228" i="5"/>
  <c r="AB228" i="5"/>
  <c r="AA228" i="5"/>
  <c r="Z228" i="5"/>
  <c r="Y228" i="5"/>
  <c r="AT228" i="5" s="1"/>
  <c r="AM228" i="5"/>
  <c r="Y350" i="5"/>
  <c r="AT350" i="5" s="1"/>
  <c r="X350" i="5"/>
  <c r="W350" i="5"/>
  <c r="AP350" i="5"/>
  <c r="AN350" i="5"/>
  <c r="AM350" i="5"/>
  <c r="AB350" i="5"/>
  <c r="AA350" i="5"/>
  <c r="Z350" i="5"/>
  <c r="Y176" i="3"/>
  <c r="X176" i="3"/>
  <c r="W176" i="3"/>
  <c r="V176" i="3"/>
  <c r="U176" i="3"/>
  <c r="T176" i="3"/>
  <c r="S176" i="3"/>
  <c r="R176" i="3"/>
  <c r="Z176" i="3"/>
  <c r="R116" i="3"/>
  <c r="Z116" i="3"/>
  <c r="Y116" i="3"/>
  <c r="X116" i="3"/>
  <c r="W116" i="3"/>
  <c r="V116" i="3"/>
  <c r="U116" i="3"/>
  <c r="T116" i="3"/>
  <c r="S116" i="3"/>
  <c r="Y368" i="3"/>
  <c r="X368" i="3"/>
  <c r="W368" i="3"/>
  <c r="U368" i="3"/>
  <c r="T368" i="3"/>
  <c r="R368" i="3"/>
  <c r="Z368" i="3"/>
  <c r="V368" i="3"/>
  <c r="S368" i="3"/>
  <c r="AN38" i="5"/>
  <c r="AM38" i="5"/>
  <c r="AB38" i="5"/>
  <c r="AA38" i="5"/>
  <c r="Z38" i="5"/>
  <c r="AP38" i="5"/>
  <c r="Y38" i="5"/>
  <c r="AT38" i="5" s="1"/>
  <c r="W38" i="5"/>
  <c r="X38" i="5"/>
  <c r="Y182" i="3"/>
  <c r="X182" i="3"/>
  <c r="W182" i="3"/>
  <c r="V182" i="3"/>
  <c r="U182" i="3"/>
  <c r="T182" i="3"/>
  <c r="S182" i="3"/>
  <c r="R182" i="3"/>
  <c r="Z182" i="3"/>
  <c r="R56" i="3"/>
  <c r="Z56" i="3"/>
  <c r="Y56" i="3"/>
  <c r="X56" i="3"/>
  <c r="W56" i="3"/>
  <c r="V56" i="3"/>
  <c r="U56" i="3"/>
  <c r="T56" i="3"/>
  <c r="S56" i="3"/>
  <c r="R104" i="3"/>
  <c r="Z104" i="3"/>
  <c r="Y104" i="3"/>
  <c r="X104" i="3"/>
  <c r="W104" i="3"/>
  <c r="V104" i="3"/>
  <c r="U104" i="3"/>
  <c r="T104" i="3"/>
  <c r="S104" i="3"/>
  <c r="R267" i="3"/>
  <c r="Y267" i="3"/>
  <c r="X267" i="3"/>
  <c r="W267" i="3"/>
  <c r="V267" i="3"/>
  <c r="U267" i="3"/>
  <c r="S267" i="3"/>
  <c r="Z267" i="3"/>
  <c r="T267" i="3"/>
  <c r="Z394" i="3"/>
  <c r="Y394" i="3"/>
  <c r="X394" i="3"/>
  <c r="W394" i="3"/>
  <c r="V394" i="3"/>
  <c r="U394" i="3"/>
  <c r="T394" i="3"/>
  <c r="S394" i="3"/>
  <c r="R394" i="3"/>
  <c r="R336" i="3"/>
  <c r="Z336" i="3"/>
  <c r="Y336" i="3"/>
  <c r="X336" i="3"/>
  <c r="W336" i="3"/>
  <c r="V336" i="3"/>
  <c r="U336" i="3"/>
  <c r="T336" i="3"/>
  <c r="S336" i="3"/>
  <c r="W29" i="5"/>
  <c r="AP29" i="5"/>
  <c r="AN29" i="5"/>
  <c r="AM29" i="5"/>
  <c r="AA29" i="5"/>
  <c r="Z29" i="5"/>
  <c r="X29" i="5"/>
  <c r="AB29" i="5"/>
  <c r="Y29" i="5"/>
  <c r="AT29" i="5" s="1"/>
  <c r="AN153" i="5"/>
  <c r="AM153" i="5"/>
  <c r="AB153" i="5"/>
  <c r="AA153" i="5"/>
  <c r="Z153" i="5"/>
  <c r="X153" i="5"/>
  <c r="W153" i="5"/>
  <c r="AP153" i="5"/>
  <c r="Y153" i="5"/>
  <c r="AT153" i="5" s="1"/>
  <c r="X208" i="5"/>
  <c r="W208" i="5"/>
  <c r="AP208" i="5"/>
  <c r="AN208" i="5"/>
  <c r="AM208" i="5"/>
  <c r="AA208" i="5"/>
  <c r="Z208" i="5"/>
  <c r="Y208" i="5"/>
  <c r="AT208" i="5" s="1"/>
  <c r="AB208" i="5"/>
  <c r="Z306" i="5"/>
  <c r="Y306" i="5"/>
  <c r="AT306" i="5" s="1"/>
  <c r="X306" i="5"/>
  <c r="AP306" i="5"/>
  <c r="AN306" i="5"/>
  <c r="AM306" i="5"/>
  <c r="AB306" i="5"/>
  <c r="AA306" i="5"/>
  <c r="W306" i="5"/>
  <c r="AB396" i="5"/>
  <c r="AA396" i="5"/>
  <c r="Z396" i="5"/>
  <c r="Y396" i="5"/>
  <c r="AT396" i="5" s="1"/>
  <c r="X396" i="5"/>
  <c r="W396" i="5"/>
  <c r="AP396" i="5"/>
  <c r="AN396" i="5"/>
  <c r="AM396" i="5"/>
  <c r="R41" i="3"/>
  <c r="Z41" i="3"/>
  <c r="Y41" i="3"/>
  <c r="X41" i="3"/>
  <c r="W41" i="3"/>
  <c r="V41" i="3"/>
  <c r="U41" i="3"/>
  <c r="T41" i="3"/>
  <c r="S41" i="3"/>
  <c r="R121" i="3"/>
  <c r="Z121" i="3"/>
  <c r="Y121" i="3"/>
  <c r="X121" i="3"/>
  <c r="W121" i="3"/>
  <c r="V121" i="3"/>
  <c r="U121" i="3"/>
  <c r="T121" i="3"/>
  <c r="S121" i="3"/>
  <c r="W229" i="3"/>
  <c r="V229" i="3"/>
  <c r="U229" i="3"/>
  <c r="Z229" i="3"/>
  <c r="Y229" i="3"/>
  <c r="X229" i="3"/>
  <c r="T229" i="3"/>
  <c r="S229" i="3"/>
  <c r="R229" i="3"/>
  <c r="Y379" i="3"/>
  <c r="X379" i="3"/>
  <c r="W379" i="3"/>
  <c r="V379" i="3"/>
  <c r="U379" i="3"/>
  <c r="T379" i="3"/>
  <c r="S379" i="3"/>
  <c r="R379" i="3"/>
  <c r="Z379" i="3"/>
  <c r="R353" i="3"/>
  <c r="Z353" i="3"/>
  <c r="Y353" i="3"/>
  <c r="X353" i="3"/>
  <c r="W353" i="3"/>
  <c r="V353" i="3"/>
  <c r="U353" i="3"/>
  <c r="T353" i="3"/>
  <c r="S353" i="3"/>
  <c r="W37" i="5"/>
  <c r="AP37" i="5"/>
  <c r="AN37" i="5"/>
  <c r="AM37" i="5"/>
  <c r="AB37" i="5"/>
  <c r="X37" i="5"/>
  <c r="Z37" i="5"/>
  <c r="AA37" i="5"/>
  <c r="Y37" i="5"/>
  <c r="AT37" i="5" s="1"/>
  <c r="AB154" i="5"/>
  <c r="AA154" i="5"/>
  <c r="Z154" i="5"/>
  <c r="Y154" i="5"/>
  <c r="AT154" i="5" s="1"/>
  <c r="X154" i="5"/>
  <c r="AP154" i="5"/>
  <c r="W154" i="5"/>
  <c r="AM154" i="5"/>
  <c r="AN154" i="5"/>
  <c r="AM231" i="5"/>
  <c r="AB231" i="5"/>
  <c r="AA231" i="5"/>
  <c r="Z231" i="5"/>
  <c r="Y231" i="5"/>
  <c r="AT231" i="5" s="1"/>
  <c r="X231" i="5"/>
  <c r="W231" i="5"/>
  <c r="AN231" i="5"/>
  <c r="AP231" i="5"/>
  <c r="Z258" i="5"/>
  <c r="Y258" i="5"/>
  <c r="AT258" i="5" s="1"/>
  <c r="X258" i="5"/>
  <c r="W258" i="5"/>
  <c r="AP258" i="5"/>
  <c r="AN258" i="5"/>
  <c r="AM258" i="5"/>
  <c r="AB258" i="5"/>
  <c r="AA258" i="5"/>
  <c r="AP400" i="5"/>
  <c r="AN400" i="5"/>
  <c r="AM400" i="5"/>
  <c r="AB400" i="5"/>
  <c r="AA400" i="5"/>
  <c r="Z400" i="5"/>
  <c r="Y400" i="5"/>
  <c r="AT400" i="5" s="1"/>
  <c r="X400" i="5"/>
  <c r="W400" i="5"/>
  <c r="S13" i="3"/>
  <c r="R13" i="3"/>
  <c r="Z13" i="3"/>
  <c r="Y13" i="3"/>
  <c r="X13" i="3"/>
  <c r="W13" i="3"/>
  <c r="V13" i="3"/>
  <c r="U13" i="3"/>
  <c r="T13" i="3"/>
  <c r="R292" i="3"/>
  <c r="X292" i="3"/>
  <c r="Y292" i="3"/>
  <c r="W292" i="3"/>
  <c r="V292" i="3"/>
  <c r="U292" i="3"/>
  <c r="T292" i="3"/>
  <c r="S292" i="3"/>
  <c r="Z292" i="3"/>
  <c r="Z390" i="3"/>
  <c r="Y390" i="3"/>
  <c r="X390" i="3"/>
  <c r="W390" i="3"/>
  <c r="V390" i="3"/>
  <c r="U390" i="3"/>
  <c r="T390" i="3"/>
  <c r="S390" i="3"/>
  <c r="R390" i="3"/>
  <c r="AB55" i="5"/>
  <c r="AA55" i="5"/>
  <c r="X55" i="5"/>
  <c r="AN55" i="5"/>
  <c r="AM55" i="5"/>
  <c r="Z55" i="5"/>
  <c r="Y55" i="5"/>
  <c r="AT55" i="5" s="1"/>
  <c r="W55" i="5"/>
  <c r="AP55" i="5"/>
  <c r="X52" i="5"/>
  <c r="W52" i="5"/>
  <c r="AP52" i="5"/>
  <c r="AN52" i="5"/>
  <c r="AM52" i="5"/>
  <c r="AB52" i="5"/>
  <c r="AA52" i="5"/>
  <c r="Z52" i="5"/>
  <c r="Y52" i="5"/>
  <c r="AT52" i="5" s="1"/>
  <c r="AP114" i="5"/>
  <c r="AN114" i="5"/>
  <c r="AM114" i="5"/>
  <c r="AB114" i="5"/>
  <c r="AA114" i="5"/>
  <c r="Z114" i="5"/>
  <c r="Y114" i="5"/>
  <c r="AT114" i="5" s="1"/>
  <c r="X114" i="5"/>
  <c r="W114" i="5"/>
  <c r="AB196" i="5"/>
  <c r="AA196" i="5"/>
  <c r="Z196" i="5"/>
  <c r="Y196" i="5"/>
  <c r="AT196" i="5" s="1"/>
  <c r="X196" i="5"/>
  <c r="W196" i="5"/>
  <c r="AP196" i="5"/>
  <c r="AM196" i="5"/>
  <c r="AN196" i="5"/>
  <c r="AP201" i="5"/>
  <c r="AN201" i="5"/>
  <c r="AM201" i="5"/>
  <c r="AB201" i="5"/>
  <c r="AA201" i="5"/>
  <c r="Z201" i="5"/>
  <c r="Y201" i="5"/>
  <c r="AT201" i="5" s="1"/>
  <c r="X201" i="5"/>
  <c r="W201" i="5"/>
  <c r="AB302" i="5"/>
  <c r="AA302" i="5"/>
  <c r="Z302" i="5"/>
  <c r="Y302" i="5"/>
  <c r="AT302" i="5" s="1"/>
  <c r="X302" i="5"/>
  <c r="W302" i="5"/>
  <c r="AP302" i="5"/>
  <c r="AN302" i="5"/>
  <c r="AM302" i="5"/>
  <c r="X299" i="5"/>
  <c r="W299" i="5"/>
  <c r="AP299" i="5"/>
  <c r="AN299" i="5"/>
  <c r="AM299" i="5"/>
  <c r="AA299" i="5"/>
  <c r="Z299" i="5"/>
  <c r="Y299" i="5"/>
  <c r="AT299" i="5" s="1"/>
  <c r="AB299" i="5"/>
  <c r="W338" i="5"/>
  <c r="AP338" i="5"/>
  <c r="AN338" i="5"/>
  <c r="AM338" i="5"/>
  <c r="AB338" i="5"/>
  <c r="AA338" i="5"/>
  <c r="Z338" i="5"/>
  <c r="Y338" i="5"/>
  <c r="AT338" i="5" s="1"/>
  <c r="X338" i="5"/>
  <c r="AN401" i="5"/>
  <c r="Y401" i="5"/>
  <c r="AT401" i="5" s="1"/>
  <c r="X401" i="5"/>
  <c r="W401" i="5"/>
  <c r="AP401" i="5"/>
  <c r="AM401" i="5"/>
  <c r="AB401" i="5"/>
  <c r="Z401" i="5"/>
  <c r="AA401" i="5"/>
  <c r="R259" i="3"/>
  <c r="Y259" i="3"/>
  <c r="X259" i="3"/>
  <c r="W259" i="3"/>
  <c r="V259" i="3"/>
  <c r="U259" i="3"/>
  <c r="S259" i="3"/>
  <c r="Z259" i="3"/>
  <c r="T259" i="3"/>
  <c r="R45" i="3"/>
  <c r="Z45" i="3"/>
  <c r="Y45" i="3"/>
  <c r="X45" i="3"/>
  <c r="W45" i="3"/>
  <c r="V45" i="3"/>
  <c r="U45" i="3"/>
  <c r="T45" i="3"/>
  <c r="S45" i="3"/>
  <c r="R61" i="3"/>
  <c r="Z61" i="3"/>
  <c r="Y61" i="3"/>
  <c r="X61" i="3"/>
  <c r="W61" i="3"/>
  <c r="V61" i="3"/>
  <c r="U61" i="3"/>
  <c r="T61" i="3"/>
  <c r="S61" i="3"/>
  <c r="R93" i="3"/>
  <c r="Z93" i="3"/>
  <c r="Y93" i="3"/>
  <c r="X93" i="3"/>
  <c r="W93" i="3"/>
  <c r="V93" i="3"/>
  <c r="U93" i="3"/>
  <c r="T93" i="3"/>
  <c r="S93" i="3"/>
  <c r="R125" i="3"/>
  <c r="Z125" i="3"/>
  <c r="Y125" i="3"/>
  <c r="X125" i="3"/>
  <c r="W125" i="3"/>
  <c r="V125" i="3"/>
  <c r="U125" i="3"/>
  <c r="T125" i="3"/>
  <c r="S125" i="3"/>
  <c r="Y208" i="3"/>
  <c r="X208" i="3"/>
  <c r="W208" i="3"/>
  <c r="V208" i="3"/>
  <c r="U208" i="3"/>
  <c r="T208" i="3"/>
  <c r="S208" i="3"/>
  <c r="R208" i="3"/>
  <c r="Z208" i="3"/>
  <c r="W235" i="3"/>
  <c r="V235" i="3"/>
  <c r="U235" i="3"/>
  <c r="Z235" i="3"/>
  <c r="Y235" i="3"/>
  <c r="X235" i="3"/>
  <c r="T235" i="3"/>
  <c r="R235" i="3"/>
  <c r="S235" i="3"/>
  <c r="Z253" i="3"/>
  <c r="W253" i="3"/>
  <c r="V253" i="3"/>
  <c r="U253" i="3"/>
  <c r="T253" i="3"/>
  <c r="S253" i="3"/>
  <c r="Y253" i="3"/>
  <c r="X253" i="3"/>
  <c r="R253" i="3"/>
  <c r="R260" i="3"/>
  <c r="S260" i="3"/>
  <c r="Z260" i="3"/>
  <c r="Y260" i="3"/>
  <c r="X260" i="3"/>
  <c r="W260" i="3"/>
  <c r="U260" i="3"/>
  <c r="T260" i="3"/>
  <c r="V260" i="3"/>
  <c r="Y383" i="3"/>
  <c r="X383" i="3"/>
  <c r="W383" i="3"/>
  <c r="V383" i="3"/>
  <c r="U383" i="3"/>
  <c r="T383" i="3"/>
  <c r="S383" i="3"/>
  <c r="R383" i="3"/>
  <c r="Z383" i="3"/>
  <c r="R309" i="3"/>
  <c r="X309" i="3"/>
  <c r="Z309" i="3"/>
  <c r="V309" i="3"/>
  <c r="U309" i="3"/>
  <c r="T309" i="3"/>
  <c r="S309" i="3"/>
  <c r="Y309" i="3"/>
  <c r="W309" i="3"/>
  <c r="Z398" i="3"/>
  <c r="Y398" i="3"/>
  <c r="X398" i="3"/>
  <c r="W398" i="3"/>
  <c r="V398" i="3"/>
  <c r="U398" i="3"/>
  <c r="T398" i="3"/>
  <c r="S398" i="3"/>
  <c r="R398" i="3"/>
  <c r="AB33" i="5"/>
  <c r="AA33" i="5"/>
  <c r="Z33" i="5"/>
  <c r="Y33" i="5"/>
  <c r="AT33" i="5" s="1"/>
  <c r="X33" i="5"/>
  <c r="W33" i="5"/>
  <c r="AP33" i="5"/>
  <c r="AN33" i="5"/>
  <c r="AM33" i="5"/>
  <c r="X151" i="5"/>
  <c r="W151" i="5"/>
  <c r="AP151" i="5"/>
  <c r="AN151" i="5"/>
  <c r="AM151" i="5"/>
  <c r="Z151" i="5"/>
  <c r="Y151" i="5"/>
  <c r="AT151" i="5" s="1"/>
  <c r="AB151" i="5"/>
  <c r="AA151" i="5"/>
  <c r="AB197" i="5"/>
  <c r="AA197" i="5"/>
  <c r="Z197" i="5"/>
  <c r="Y197" i="5"/>
  <c r="AT197" i="5" s="1"/>
  <c r="X197" i="5"/>
  <c r="W197" i="5"/>
  <c r="AP197" i="5"/>
  <c r="AN197" i="5"/>
  <c r="AM197" i="5"/>
  <c r="AP169" i="5"/>
  <c r="AN169" i="5"/>
  <c r="AM169" i="5"/>
  <c r="AB169" i="5"/>
  <c r="AA169" i="5"/>
  <c r="Z169" i="5"/>
  <c r="Y169" i="5"/>
  <c r="AT169" i="5" s="1"/>
  <c r="X169" i="5"/>
  <c r="W169" i="5"/>
  <c r="AN238" i="5"/>
  <c r="AM238" i="5"/>
  <c r="AB238" i="5"/>
  <c r="AA238" i="5"/>
  <c r="Z238" i="5"/>
  <c r="Y238" i="5"/>
  <c r="AT238" i="5" s="1"/>
  <c r="X238" i="5"/>
  <c r="W238" i="5"/>
  <c r="AP238" i="5"/>
  <c r="AP209" i="5"/>
  <c r="AN209" i="5"/>
  <c r="AM209" i="5"/>
  <c r="AB209" i="5"/>
  <c r="Z209" i="5"/>
  <c r="W209" i="5"/>
  <c r="AA209" i="5"/>
  <c r="Y209" i="5"/>
  <c r="AT209" i="5" s="1"/>
  <c r="X209" i="5"/>
  <c r="Y236" i="5"/>
  <c r="AT236" i="5" s="1"/>
  <c r="X236" i="5"/>
  <c r="W236" i="5"/>
  <c r="AP236" i="5"/>
  <c r="AN236" i="5"/>
  <c r="AM236" i="5"/>
  <c r="AB236" i="5"/>
  <c r="AA236" i="5"/>
  <c r="Z236" i="5"/>
  <c r="AB256" i="5"/>
  <c r="AA256" i="5"/>
  <c r="Z256" i="5"/>
  <c r="Y256" i="5"/>
  <c r="AT256" i="5" s="1"/>
  <c r="X256" i="5"/>
  <c r="W256" i="5"/>
  <c r="AP256" i="5"/>
  <c r="AN256" i="5"/>
  <c r="AM256" i="5"/>
  <c r="AN320" i="5"/>
  <c r="AM320" i="5"/>
  <c r="AB320" i="5"/>
  <c r="AP320" i="5"/>
  <c r="Y320" i="5"/>
  <c r="AT320" i="5" s="1"/>
  <c r="X320" i="5"/>
  <c r="W320" i="5"/>
  <c r="Z320" i="5"/>
  <c r="AA320" i="5"/>
  <c r="AB313" i="5"/>
  <c r="AA313" i="5"/>
  <c r="Z313" i="5"/>
  <c r="Y313" i="5"/>
  <c r="AT313" i="5" s="1"/>
  <c r="X313" i="5"/>
  <c r="W313" i="5"/>
  <c r="AP313" i="5"/>
  <c r="AN313" i="5"/>
  <c r="AM313" i="5"/>
  <c r="X307" i="5"/>
  <c r="W307" i="5"/>
  <c r="AP307" i="5"/>
  <c r="AN307" i="5"/>
  <c r="AM307" i="5"/>
  <c r="Z307" i="5"/>
  <c r="Y307" i="5"/>
  <c r="AT307" i="5" s="1"/>
  <c r="AB307" i="5"/>
  <c r="AA307" i="5"/>
  <c r="AB322" i="5"/>
  <c r="Y322" i="5"/>
  <c r="AT322" i="5" s="1"/>
  <c r="X322" i="5"/>
  <c r="W322" i="5"/>
  <c r="AN322" i="5"/>
  <c r="AM322" i="5"/>
  <c r="Z322" i="5"/>
  <c r="AP322" i="5"/>
  <c r="AA322" i="5"/>
  <c r="AP318" i="5"/>
  <c r="AN318" i="5"/>
  <c r="AM318" i="5"/>
  <c r="AB318" i="5"/>
  <c r="AA318" i="5"/>
  <c r="Z318" i="5"/>
  <c r="Y318" i="5"/>
  <c r="AT318" i="5" s="1"/>
  <c r="X318" i="5"/>
  <c r="W318" i="5"/>
  <c r="AB359" i="5"/>
  <c r="AA359" i="5"/>
  <c r="Y359" i="5"/>
  <c r="AT359" i="5" s="1"/>
  <c r="X359" i="5"/>
  <c r="W359" i="5"/>
  <c r="AP359" i="5"/>
  <c r="Z359" i="5"/>
  <c r="AN359" i="5"/>
  <c r="AM359" i="5"/>
  <c r="Y379" i="5"/>
  <c r="AT379" i="5" s="1"/>
  <c r="X379" i="5"/>
  <c r="W379" i="5"/>
  <c r="AP379" i="5"/>
  <c r="AN379" i="5"/>
  <c r="AM379" i="5"/>
  <c r="AB379" i="5"/>
  <c r="Z379" i="5"/>
  <c r="AA379" i="5"/>
  <c r="W382" i="5"/>
  <c r="AP382" i="5"/>
  <c r="AB382" i="5"/>
  <c r="AA382" i="5"/>
  <c r="Z382" i="5"/>
  <c r="Y382" i="5"/>
  <c r="AT382" i="5" s="1"/>
  <c r="X382" i="5"/>
  <c r="AN382" i="5"/>
  <c r="AM382" i="5"/>
  <c r="U215" i="3"/>
  <c r="Z215" i="3"/>
  <c r="X215" i="3"/>
  <c r="W215" i="3"/>
  <c r="V215" i="3"/>
  <c r="T215" i="3"/>
  <c r="S215" i="3"/>
  <c r="Y215" i="3"/>
  <c r="R215" i="3"/>
  <c r="Y200" i="3"/>
  <c r="X200" i="3"/>
  <c r="W200" i="3"/>
  <c r="V200" i="3"/>
  <c r="U200" i="3"/>
  <c r="T200" i="3"/>
  <c r="S200" i="3"/>
  <c r="R200" i="3"/>
  <c r="Z200" i="3"/>
  <c r="R14" i="3"/>
  <c r="Z14" i="3"/>
  <c r="Y14" i="3"/>
  <c r="X14" i="3"/>
  <c r="W14" i="3"/>
  <c r="V14" i="3"/>
  <c r="S14" i="3"/>
  <c r="U14" i="3"/>
  <c r="T14" i="3"/>
  <c r="R30" i="3"/>
  <c r="Z30" i="3"/>
  <c r="Y30" i="3"/>
  <c r="X30" i="3"/>
  <c r="W30" i="3"/>
  <c r="V30" i="3"/>
  <c r="S30" i="3"/>
  <c r="U30" i="3"/>
  <c r="T30" i="3"/>
  <c r="R46" i="3"/>
  <c r="Z46" i="3"/>
  <c r="Y46" i="3"/>
  <c r="X46" i="3"/>
  <c r="W46" i="3"/>
  <c r="V46" i="3"/>
  <c r="S46" i="3"/>
  <c r="U46" i="3"/>
  <c r="T46" i="3"/>
  <c r="R62" i="3"/>
  <c r="Z62" i="3"/>
  <c r="Y62" i="3"/>
  <c r="X62" i="3"/>
  <c r="W62" i="3"/>
  <c r="V62" i="3"/>
  <c r="S62" i="3"/>
  <c r="U62" i="3"/>
  <c r="T62" i="3"/>
  <c r="R78" i="3"/>
  <c r="Z78" i="3"/>
  <c r="Y78" i="3"/>
  <c r="X78" i="3"/>
  <c r="W78" i="3"/>
  <c r="V78" i="3"/>
  <c r="S78" i="3"/>
  <c r="U78" i="3"/>
  <c r="T78" i="3"/>
  <c r="R94" i="3"/>
  <c r="Z94" i="3"/>
  <c r="Y94" i="3"/>
  <c r="X94" i="3"/>
  <c r="W94" i="3"/>
  <c r="V94" i="3"/>
  <c r="S94" i="3"/>
  <c r="U94" i="3"/>
  <c r="T94" i="3"/>
  <c r="R110" i="3"/>
  <c r="Z110" i="3"/>
  <c r="Y110" i="3"/>
  <c r="X110" i="3"/>
  <c r="W110" i="3"/>
  <c r="V110" i="3"/>
  <c r="S110" i="3"/>
  <c r="U110" i="3"/>
  <c r="T110" i="3"/>
  <c r="R126" i="3"/>
  <c r="Z126" i="3"/>
  <c r="Y126" i="3"/>
  <c r="X126" i="3"/>
  <c r="W126" i="3"/>
  <c r="V126" i="3"/>
  <c r="S126" i="3"/>
  <c r="U126" i="3"/>
  <c r="T126" i="3"/>
  <c r="R142" i="3"/>
  <c r="Z142" i="3"/>
  <c r="Y142" i="3"/>
  <c r="X142" i="3"/>
  <c r="W142" i="3"/>
  <c r="V142" i="3"/>
  <c r="S142" i="3"/>
  <c r="U142" i="3"/>
  <c r="T142" i="3"/>
  <c r="Y153" i="3"/>
  <c r="X153" i="3"/>
  <c r="W153" i="3"/>
  <c r="V153" i="3"/>
  <c r="U153" i="3"/>
  <c r="T153" i="3"/>
  <c r="S153" i="3"/>
  <c r="R153" i="3"/>
  <c r="Z153" i="3"/>
  <c r="Y169" i="3"/>
  <c r="X169" i="3"/>
  <c r="W169" i="3"/>
  <c r="V169" i="3"/>
  <c r="U169" i="3"/>
  <c r="T169" i="3"/>
  <c r="S169" i="3"/>
  <c r="R169" i="3"/>
  <c r="Z169" i="3"/>
  <c r="Z245" i="3"/>
  <c r="W245" i="3"/>
  <c r="V245" i="3"/>
  <c r="U245" i="3"/>
  <c r="T245" i="3"/>
  <c r="S245" i="3"/>
  <c r="Y245" i="3"/>
  <c r="R245" i="3"/>
  <c r="X245" i="3"/>
  <c r="R270" i="3"/>
  <c r="X270" i="3"/>
  <c r="Y270" i="3"/>
  <c r="W270" i="3"/>
  <c r="V270" i="3"/>
  <c r="U270" i="3"/>
  <c r="T270" i="3"/>
  <c r="S270" i="3"/>
  <c r="Z270" i="3"/>
  <c r="Z254" i="3"/>
  <c r="W254" i="3"/>
  <c r="V254" i="3"/>
  <c r="U254" i="3"/>
  <c r="T254" i="3"/>
  <c r="S254" i="3"/>
  <c r="Y254" i="3"/>
  <c r="X254" i="3"/>
  <c r="R254" i="3"/>
  <c r="R287" i="3"/>
  <c r="X287" i="3"/>
  <c r="Z287" i="3"/>
  <c r="Y287" i="3"/>
  <c r="W287" i="3"/>
  <c r="T287" i="3"/>
  <c r="S287" i="3"/>
  <c r="V287" i="3"/>
  <c r="U287" i="3"/>
  <c r="R268" i="3"/>
  <c r="S268" i="3"/>
  <c r="Z268" i="3"/>
  <c r="Y268" i="3"/>
  <c r="X268" i="3"/>
  <c r="W268" i="3"/>
  <c r="U268" i="3"/>
  <c r="V268" i="3"/>
  <c r="T268" i="3"/>
  <c r="Z385" i="3"/>
  <c r="Y385" i="3"/>
  <c r="X385" i="3"/>
  <c r="W385" i="3"/>
  <c r="V385" i="3"/>
  <c r="U385" i="3"/>
  <c r="T385" i="3"/>
  <c r="S385" i="3"/>
  <c r="R385" i="3"/>
  <c r="Y384" i="3"/>
  <c r="X384" i="3"/>
  <c r="W384" i="3"/>
  <c r="V384" i="3"/>
  <c r="U384" i="3"/>
  <c r="T384" i="3"/>
  <c r="S384" i="3"/>
  <c r="R384" i="3"/>
  <c r="Z384" i="3"/>
  <c r="R294" i="3"/>
  <c r="X294" i="3"/>
  <c r="Z294" i="3"/>
  <c r="Y294" i="3"/>
  <c r="U294" i="3"/>
  <c r="T294" i="3"/>
  <c r="S294" i="3"/>
  <c r="W294" i="3"/>
  <c r="V294" i="3"/>
  <c r="R310" i="3"/>
  <c r="X310" i="3"/>
  <c r="Z310" i="3"/>
  <c r="V310" i="3"/>
  <c r="U310" i="3"/>
  <c r="T310" i="3"/>
  <c r="S310" i="3"/>
  <c r="Y310" i="3"/>
  <c r="W310" i="3"/>
  <c r="R326" i="3"/>
  <c r="Y326" i="3"/>
  <c r="X326" i="3"/>
  <c r="W326" i="3"/>
  <c r="V326" i="3"/>
  <c r="Z326" i="3"/>
  <c r="U326" i="3"/>
  <c r="T326" i="3"/>
  <c r="S326" i="3"/>
  <c r="R342" i="3"/>
  <c r="Z342" i="3"/>
  <c r="Y342" i="3"/>
  <c r="X342" i="3"/>
  <c r="W342" i="3"/>
  <c r="V342" i="3"/>
  <c r="S342" i="3"/>
  <c r="U342" i="3"/>
  <c r="T342" i="3"/>
  <c r="Z406" i="3"/>
  <c r="Y406" i="3"/>
  <c r="X406" i="3"/>
  <c r="W406" i="3"/>
  <c r="V406" i="3"/>
  <c r="U406" i="3"/>
  <c r="T406" i="3"/>
  <c r="S406" i="3"/>
  <c r="R406" i="3"/>
  <c r="Z5" i="5"/>
  <c r="Y5" i="5"/>
  <c r="AT5" i="5" s="1"/>
  <c r="X5" i="5"/>
  <c r="AB5" i="5"/>
  <c r="AA5" i="5"/>
  <c r="W5" i="5"/>
  <c r="AP5" i="5"/>
  <c r="AN5" i="5"/>
  <c r="AM5" i="5"/>
  <c r="AB41" i="5"/>
  <c r="AA41" i="5"/>
  <c r="Z41" i="5"/>
  <c r="Y41" i="5"/>
  <c r="AT41" i="5" s="1"/>
  <c r="X41" i="5"/>
  <c r="W41" i="5"/>
  <c r="AP41" i="5"/>
  <c r="AN41" i="5"/>
  <c r="AM41" i="5"/>
  <c r="AN62" i="5"/>
  <c r="AM62" i="5"/>
  <c r="AB62" i="5"/>
  <c r="AA62" i="5"/>
  <c r="Z62" i="5"/>
  <c r="Y62" i="5"/>
  <c r="AT62" i="5" s="1"/>
  <c r="X62" i="5"/>
  <c r="W62" i="5"/>
  <c r="AP62" i="5"/>
  <c r="AB108" i="5"/>
  <c r="AA108" i="5"/>
  <c r="Z108" i="5"/>
  <c r="Y108" i="5"/>
  <c r="AT108" i="5" s="1"/>
  <c r="X108" i="5"/>
  <c r="AP108" i="5"/>
  <c r="AN108" i="5"/>
  <c r="AM108" i="5"/>
  <c r="W108" i="5"/>
  <c r="AB58" i="5"/>
  <c r="AA58" i="5"/>
  <c r="Z58" i="5"/>
  <c r="Y58" i="5"/>
  <c r="AT58" i="5" s="1"/>
  <c r="X58" i="5"/>
  <c r="W58" i="5"/>
  <c r="AP58" i="5"/>
  <c r="AN58" i="5"/>
  <c r="AM58" i="5"/>
  <c r="X68" i="5"/>
  <c r="W68" i="5"/>
  <c r="AP68" i="5"/>
  <c r="AN68" i="5"/>
  <c r="AM68" i="5"/>
  <c r="AB68" i="5"/>
  <c r="AA68" i="5"/>
  <c r="Z68" i="5"/>
  <c r="Y68" i="5"/>
  <c r="AT68" i="5" s="1"/>
  <c r="AB125" i="5"/>
  <c r="AA125" i="5"/>
  <c r="Z125" i="5"/>
  <c r="Y125" i="5"/>
  <c r="AT125" i="5" s="1"/>
  <c r="X125" i="5"/>
  <c r="W125" i="5"/>
  <c r="AP125" i="5"/>
  <c r="AN125" i="5"/>
  <c r="AM125" i="5"/>
  <c r="Z112" i="5"/>
  <c r="Y112" i="5"/>
  <c r="AT112" i="5" s="1"/>
  <c r="X112" i="5"/>
  <c r="W112" i="5"/>
  <c r="AP112" i="5"/>
  <c r="AN112" i="5"/>
  <c r="AM112" i="5"/>
  <c r="AB112" i="5"/>
  <c r="AA112" i="5"/>
  <c r="AB146" i="5"/>
  <c r="AA146" i="5"/>
  <c r="X146" i="5"/>
  <c r="AP146" i="5"/>
  <c r="AN146" i="5"/>
  <c r="AM146" i="5"/>
  <c r="Z146" i="5"/>
  <c r="Y146" i="5"/>
  <c r="AT146" i="5" s="1"/>
  <c r="W146" i="5"/>
  <c r="AN218" i="5"/>
  <c r="AM218" i="5"/>
  <c r="AB218" i="5"/>
  <c r="AA218" i="5"/>
  <c r="Z218" i="5"/>
  <c r="X218" i="5"/>
  <c r="AP218" i="5"/>
  <c r="Y218" i="5"/>
  <c r="AT218" i="5" s="1"/>
  <c r="W218" i="5"/>
  <c r="AA158" i="5"/>
  <c r="Z158" i="5"/>
  <c r="W158" i="5"/>
  <c r="X158" i="5"/>
  <c r="AP158" i="5"/>
  <c r="AN158" i="5"/>
  <c r="AM158" i="5"/>
  <c r="AB158" i="5"/>
  <c r="Y158" i="5"/>
  <c r="AT158" i="5" s="1"/>
  <c r="AB198" i="5"/>
  <c r="AA198" i="5"/>
  <c r="Z198" i="5"/>
  <c r="Y198" i="5"/>
  <c r="AT198" i="5" s="1"/>
  <c r="X198" i="5"/>
  <c r="W198" i="5"/>
  <c r="AP198" i="5"/>
  <c r="AM198" i="5"/>
  <c r="AN198" i="5"/>
  <c r="AP177" i="5"/>
  <c r="AN177" i="5"/>
  <c r="AM177" i="5"/>
  <c r="Z177" i="5"/>
  <c r="AB177" i="5"/>
  <c r="AA177" i="5"/>
  <c r="Y177" i="5"/>
  <c r="AT177" i="5" s="1"/>
  <c r="X177" i="5"/>
  <c r="W177" i="5"/>
  <c r="AB206" i="5"/>
  <c r="AA206" i="5"/>
  <c r="Z206" i="5"/>
  <c r="Y206" i="5"/>
  <c r="AT206" i="5" s="1"/>
  <c r="X206" i="5"/>
  <c r="W206" i="5"/>
  <c r="AP206" i="5"/>
  <c r="AN206" i="5"/>
  <c r="AM206" i="5"/>
  <c r="AP217" i="5"/>
  <c r="AN217" i="5"/>
  <c r="AM217" i="5"/>
  <c r="AB217" i="5"/>
  <c r="Z217" i="5"/>
  <c r="AA217" i="5"/>
  <c r="Y217" i="5"/>
  <c r="AT217" i="5" s="1"/>
  <c r="W217" i="5"/>
  <c r="X217" i="5"/>
  <c r="Y244" i="5"/>
  <c r="AT244" i="5" s="1"/>
  <c r="X244" i="5"/>
  <c r="W244" i="5"/>
  <c r="AP244" i="5"/>
  <c r="AN244" i="5"/>
  <c r="AM244" i="5"/>
  <c r="Z244" i="5"/>
  <c r="AA244" i="5"/>
  <c r="AB244" i="5"/>
  <c r="AB264" i="5"/>
  <c r="AA264" i="5"/>
  <c r="Z264" i="5"/>
  <c r="Y264" i="5"/>
  <c r="AT264" i="5" s="1"/>
  <c r="X264" i="5"/>
  <c r="W264" i="5"/>
  <c r="AP264" i="5"/>
  <c r="AN264" i="5"/>
  <c r="AM264" i="5"/>
  <c r="X251" i="5"/>
  <c r="W251" i="5"/>
  <c r="AP251" i="5"/>
  <c r="AN251" i="5"/>
  <c r="AM251" i="5"/>
  <c r="AB251" i="5"/>
  <c r="AA251" i="5"/>
  <c r="Z251" i="5"/>
  <c r="Y251" i="5"/>
  <c r="AT251" i="5" s="1"/>
  <c r="AB281" i="5"/>
  <c r="Z281" i="5"/>
  <c r="X281" i="5"/>
  <c r="AP281" i="5"/>
  <c r="AA281" i="5"/>
  <c r="Y281" i="5"/>
  <c r="AT281" i="5" s="1"/>
  <c r="W281" i="5"/>
  <c r="AN281" i="5"/>
  <c r="AM281" i="5"/>
  <c r="AB339" i="5"/>
  <c r="AA339" i="5"/>
  <c r="AP339" i="5"/>
  <c r="AN339" i="5"/>
  <c r="AM339" i="5"/>
  <c r="Z339" i="5"/>
  <c r="X339" i="5"/>
  <c r="W339" i="5"/>
  <c r="Y339" i="5"/>
  <c r="AT339" i="5" s="1"/>
  <c r="AM329" i="5"/>
  <c r="AB329" i="5"/>
  <c r="AA329" i="5"/>
  <c r="Z329" i="5"/>
  <c r="Y329" i="5"/>
  <c r="AT329" i="5" s="1"/>
  <c r="X329" i="5"/>
  <c r="W329" i="5"/>
  <c r="AP329" i="5"/>
  <c r="AN329" i="5"/>
  <c r="AM374" i="5"/>
  <c r="AB374" i="5"/>
  <c r="W374" i="5"/>
  <c r="AP374" i="5"/>
  <c r="AN374" i="5"/>
  <c r="AA374" i="5"/>
  <c r="Z374" i="5"/>
  <c r="Y374" i="5"/>
  <c r="AT374" i="5" s="1"/>
  <c r="X374" i="5"/>
  <c r="AB386" i="5"/>
  <c r="Z386" i="5"/>
  <c r="AP386" i="5"/>
  <c r="AN386" i="5"/>
  <c r="AM386" i="5"/>
  <c r="AA386" i="5"/>
  <c r="X386" i="5"/>
  <c r="Y386" i="5"/>
  <c r="AT386" i="5" s="1"/>
  <c r="W386" i="5"/>
  <c r="AN381" i="5"/>
  <c r="Y381" i="5"/>
  <c r="AT381" i="5" s="1"/>
  <c r="X381" i="5"/>
  <c r="W381" i="5"/>
  <c r="AP381" i="5"/>
  <c r="AM381" i="5"/>
  <c r="AB381" i="5"/>
  <c r="AA381" i="5"/>
  <c r="Z381" i="5"/>
  <c r="X390" i="5"/>
  <c r="W390" i="5"/>
  <c r="AP390" i="5"/>
  <c r="AN390" i="5"/>
  <c r="AM390" i="5"/>
  <c r="AB390" i="5"/>
  <c r="AA390" i="5"/>
  <c r="Z390" i="5"/>
  <c r="Y390" i="5"/>
  <c r="AT390" i="5" s="1"/>
  <c r="Y177" i="3"/>
  <c r="X177" i="3"/>
  <c r="W177" i="3"/>
  <c r="V177" i="3"/>
  <c r="U177" i="3"/>
  <c r="T177" i="3"/>
  <c r="S177" i="3"/>
  <c r="R177" i="3"/>
  <c r="Z177" i="3"/>
  <c r="R100" i="3"/>
  <c r="Z100" i="3"/>
  <c r="Y100" i="3"/>
  <c r="X100" i="3"/>
  <c r="W100" i="3"/>
  <c r="V100" i="3"/>
  <c r="U100" i="3"/>
  <c r="T100" i="3"/>
  <c r="S100" i="3"/>
  <c r="W231" i="3"/>
  <c r="V231" i="3"/>
  <c r="U231" i="3"/>
  <c r="S231" i="3"/>
  <c r="R231" i="3"/>
  <c r="Z231" i="3"/>
  <c r="Y231" i="3"/>
  <c r="X231" i="3"/>
  <c r="T231" i="3"/>
  <c r="AN7" i="5"/>
  <c r="AM7" i="5"/>
  <c r="AB7" i="5"/>
  <c r="AA7" i="5"/>
  <c r="Z7" i="5"/>
  <c r="Y7" i="5"/>
  <c r="AT7" i="5" s="1"/>
  <c r="X7" i="5"/>
  <c r="W7" i="5"/>
  <c r="AP7" i="5"/>
  <c r="R40" i="3"/>
  <c r="Z40" i="3"/>
  <c r="Y40" i="3"/>
  <c r="X40" i="3"/>
  <c r="W40" i="3"/>
  <c r="V40" i="3"/>
  <c r="U40" i="3"/>
  <c r="T40" i="3"/>
  <c r="S40" i="3"/>
  <c r="R88" i="3"/>
  <c r="Z88" i="3"/>
  <c r="Y88" i="3"/>
  <c r="X88" i="3"/>
  <c r="W88" i="3"/>
  <c r="V88" i="3"/>
  <c r="U88" i="3"/>
  <c r="T88" i="3"/>
  <c r="S88" i="3"/>
  <c r="Y152" i="3"/>
  <c r="X152" i="3"/>
  <c r="W152" i="3"/>
  <c r="V152" i="3"/>
  <c r="U152" i="3"/>
  <c r="T152" i="3"/>
  <c r="S152" i="3"/>
  <c r="R152" i="3"/>
  <c r="Z152" i="3"/>
  <c r="R265" i="3"/>
  <c r="Z265" i="3"/>
  <c r="Y265" i="3"/>
  <c r="X265" i="3"/>
  <c r="U265" i="3"/>
  <c r="T265" i="3"/>
  <c r="S265" i="3"/>
  <c r="W265" i="3"/>
  <c r="V265" i="3"/>
  <c r="R320" i="3"/>
  <c r="Y320" i="3"/>
  <c r="X320" i="3"/>
  <c r="W320" i="3"/>
  <c r="V320" i="3"/>
  <c r="Z320" i="3"/>
  <c r="U320" i="3"/>
  <c r="T320" i="3"/>
  <c r="S320" i="3"/>
  <c r="AA19" i="5"/>
  <c r="Z19" i="5"/>
  <c r="Y19" i="5"/>
  <c r="AT19" i="5" s="1"/>
  <c r="X19" i="5"/>
  <c r="W19" i="5"/>
  <c r="AP19" i="5"/>
  <c r="AN19" i="5"/>
  <c r="AM19" i="5"/>
  <c r="AB19" i="5"/>
  <c r="AB111" i="5"/>
  <c r="AA111" i="5"/>
  <c r="Z111" i="5"/>
  <c r="Y111" i="5"/>
  <c r="AT111" i="5" s="1"/>
  <c r="X111" i="5"/>
  <c r="W111" i="5"/>
  <c r="AP111" i="5"/>
  <c r="AN111" i="5"/>
  <c r="AM111" i="5"/>
  <c r="X168" i="5"/>
  <c r="W168" i="5"/>
  <c r="AP168" i="5"/>
  <c r="AN168" i="5"/>
  <c r="AM168" i="5"/>
  <c r="AB168" i="5"/>
  <c r="AA168" i="5"/>
  <c r="Z168" i="5"/>
  <c r="Y168" i="5"/>
  <c r="AT168" i="5" s="1"/>
  <c r="Z250" i="5"/>
  <c r="W250" i="5"/>
  <c r="AP250" i="5"/>
  <c r="AN250" i="5"/>
  <c r="AM250" i="5"/>
  <c r="AB250" i="5"/>
  <c r="AA250" i="5"/>
  <c r="Y250" i="5"/>
  <c r="AT250" i="5" s="1"/>
  <c r="X250" i="5"/>
  <c r="Z362" i="5"/>
  <c r="Y362" i="5"/>
  <c r="AT362" i="5" s="1"/>
  <c r="X362" i="5"/>
  <c r="W362" i="5"/>
  <c r="AP362" i="5"/>
  <c r="AB362" i="5"/>
  <c r="AA362" i="5"/>
  <c r="AN362" i="5"/>
  <c r="AM362" i="5"/>
  <c r="Y199" i="3"/>
  <c r="X199" i="3"/>
  <c r="W199" i="3"/>
  <c r="V199" i="3"/>
  <c r="U199" i="3"/>
  <c r="T199" i="3"/>
  <c r="S199" i="3"/>
  <c r="R199" i="3"/>
  <c r="Z199" i="3"/>
  <c r="R73" i="3"/>
  <c r="Z73" i="3"/>
  <c r="Y73" i="3"/>
  <c r="X73" i="3"/>
  <c r="W73" i="3"/>
  <c r="V73" i="3"/>
  <c r="U73" i="3"/>
  <c r="T73" i="3"/>
  <c r="S73" i="3"/>
  <c r="Y174" i="3"/>
  <c r="X174" i="3"/>
  <c r="W174" i="3"/>
  <c r="V174" i="3"/>
  <c r="U174" i="3"/>
  <c r="T174" i="3"/>
  <c r="S174" i="3"/>
  <c r="R174" i="3"/>
  <c r="Z174" i="3"/>
  <c r="Z405" i="3"/>
  <c r="Y405" i="3"/>
  <c r="X405" i="3"/>
  <c r="W405" i="3"/>
  <c r="V405" i="3"/>
  <c r="U405" i="3"/>
  <c r="T405" i="3"/>
  <c r="S405" i="3"/>
  <c r="R405" i="3"/>
  <c r="R321" i="3"/>
  <c r="Y321" i="3"/>
  <c r="X321" i="3"/>
  <c r="W321" i="3"/>
  <c r="V321" i="3"/>
  <c r="Z321" i="3"/>
  <c r="U321" i="3"/>
  <c r="T321" i="3"/>
  <c r="S321" i="3"/>
  <c r="AB40" i="5"/>
  <c r="AA40" i="5"/>
  <c r="Z40" i="5"/>
  <c r="Y40" i="5"/>
  <c r="AT40" i="5" s="1"/>
  <c r="X40" i="5"/>
  <c r="W40" i="5"/>
  <c r="AP40" i="5"/>
  <c r="AN40" i="5"/>
  <c r="AM40" i="5"/>
  <c r="AB116" i="5"/>
  <c r="AA116" i="5"/>
  <c r="Z116" i="5"/>
  <c r="Y116" i="5"/>
  <c r="AT116" i="5" s="1"/>
  <c r="X116" i="5"/>
  <c r="W116" i="5"/>
  <c r="AP116" i="5"/>
  <c r="AN116" i="5"/>
  <c r="AM116" i="5"/>
  <c r="AB226" i="5"/>
  <c r="AA226" i="5"/>
  <c r="Z226" i="5"/>
  <c r="Y226" i="5"/>
  <c r="AT226" i="5" s="1"/>
  <c r="X226" i="5"/>
  <c r="AP226" i="5"/>
  <c r="AN226" i="5"/>
  <c r="AM226" i="5"/>
  <c r="W226" i="5"/>
  <c r="X317" i="5"/>
  <c r="W317" i="5"/>
  <c r="AN317" i="5"/>
  <c r="AM317" i="5"/>
  <c r="AP317" i="5"/>
  <c r="AB317" i="5"/>
  <c r="AA317" i="5"/>
  <c r="Z317" i="5"/>
  <c r="Y317" i="5"/>
  <c r="AT317" i="5" s="1"/>
  <c r="Z370" i="5"/>
  <c r="Y370" i="5"/>
  <c r="AT370" i="5" s="1"/>
  <c r="X370" i="5"/>
  <c r="W370" i="5"/>
  <c r="AP370" i="5"/>
  <c r="AB370" i="5"/>
  <c r="AA370" i="5"/>
  <c r="AM370" i="5"/>
  <c r="AN370" i="5"/>
  <c r="R84" i="3"/>
  <c r="Z84" i="3"/>
  <c r="Y84" i="3"/>
  <c r="X84" i="3"/>
  <c r="W84" i="3"/>
  <c r="V84" i="3"/>
  <c r="U84" i="3"/>
  <c r="T84" i="3"/>
  <c r="S84" i="3"/>
  <c r="R276" i="3"/>
  <c r="X276" i="3"/>
  <c r="Y276" i="3"/>
  <c r="W276" i="3"/>
  <c r="V276" i="3"/>
  <c r="U276" i="3"/>
  <c r="T276" i="3"/>
  <c r="Z276" i="3"/>
  <c r="S276" i="3"/>
  <c r="AB42" i="5"/>
  <c r="AA42" i="5"/>
  <c r="Z42" i="5"/>
  <c r="Y42" i="5"/>
  <c r="AT42" i="5" s="1"/>
  <c r="X42" i="5"/>
  <c r="W42" i="5"/>
  <c r="AP42" i="5"/>
  <c r="AN42" i="5"/>
  <c r="AM42" i="5"/>
  <c r="R24" i="3"/>
  <c r="Z24" i="3"/>
  <c r="Y24" i="3"/>
  <c r="X24" i="3"/>
  <c r="W24" i="3"/>
  <c r="V24" i="3"/>
  <c r="U24" i="3"/>
  <c r="T24" i="3"/>
  <c r="S24" i="3"/>
  <c r="R72" i="3"/>
  <c r="Z72" i="3"/>
  <c r="Y72" i="3"/>
  <c r="X72" i="3"/>
  <c r="W72" i="3"/>
  <c r="V72" i="3"/>
  <c r="U72" i="3"/>
  <c r="T72" i="3"/>
  <c r="S72" i="3"/>
  <c r="R136" i="3"/>
  <c r="Z136" i="3"/>
  <c r="Y136" i="3"/>
  <c r="X136" i="3"/>
  <c r="W136" i="3"/>
  <c r="V136" i="3"/>
  <c r="U136" i="3"/>
  <c r="T136" i="3"/>
  <c r="S136" i="3"/>
  <c r="W218" i="3"/>
  <c r="U218" i="3"/>
  <c r="R218" i="3"/>
  <c r="Z218" i="3"/>
  <c r="Y218" i="3"/>
  <c r="X218" i="3"/>
  <c r="V218" i="3"/>
  <c r="S218" i="3"/>
  <c r="T218" i="3"/>
  <c r="R288" i="3"/>
  <c r="X288" i="3"/>
  <c r="Z288" i="3"/>
  <c r="Y288" i="3"/>
  <c r="W288" i="3"/>
  <c r="V288" i="3"/>
  <c r="U288" i="3"/>
  <c r="S288" i="3"/>
  <c r="T288" i="3"/>
  <c r="AB24" i="5"/>
  <c r="AA24" i="5"/>
  <c r="Z24" i="5"/>
  <c r="X24" i="5"/>
  <c r="AP24" i="5"/>
  <c r="AN24" i="5"/>
  <c r="AM24" i="5"/>
  <c r="Y24" i="5"/>
  <c r="AT24" i="5" s="1"/>
  <c r="W24" i="5"/>
  <c r="Z67" i="5"/>
  <c r="Y67" i="5"/>
  <c r="AT67" i="5" s="1"/>
  <c r="X67" i="5"/>
  <c r="W67" i="5"/>
  <c r="AP67" i="5"/>
  <c r="AN67" i="5"/>
  <c r="AM67" i="5"/>
  <c r="AB67" i="5"/>
  <c r="AA67" i="5"/>
  <c r="AB205" i="5"/>
  <c r="AA205" i="5"/>
  <c r="Z205" i="5"/>
  <c r="Y205" i="5"/>
  <c r="AT205" i="5" s="1"/>
  <c r="AP205" i="5"/>
  <c r="AN205" i="5"/>
  <c r="AM205" i="5"/>
  <c r="X205" i="5"/>
  <c r="W205" i="5"/>
  <c r="AB271" i="5"/>
  <c r="AA271" i="5"/>
  <c r="Z271" i="5"/>
  <c r="Y271" i="5"/>
  <c r="AT271" i="5" s="1"/>
  <c r="X271" i="5"/>
  <c r="AP271" i="5"/>
  <c r="AN271" i="5"/>
  <c r="AM271" i="5"/>
  <c r="W271" i="5"/>
  <c r="AN373" i="5"/>
  <c r="AM373" i="5"/>
  <c r="Y373" i="5"/>
  <c r="AT373" i="5" s="1"/>
  <c r="AP373" i="5"/>
  <c r="AB373" i="5"/>
  <c r="Z373" i="5"/>
  <c r="AA373" i="5"/>
  <c r="X373" i="5"/>
  <c r="W373" i="5"/>
  <c r="S12" i="3"/>
  <c r="R12" i="3"/>
  <c r="Z12" i="3"/>
  <c r="Y12" i="3"/>
  <c r="X12" i="3"/>
  <c r="W12" i="3"/>
  <c r="V12" i="3"/>
  <c r="U12" i="3"/>
  <c r="T12" i="3"/>
  <c r="R89" i="3"/>
  <c r="Z89" i="3"/>
  <c r="Y89" i="3"/>
  <c r="X89" i="3"/>
  <c r="W89" i="3"/>
  <c r="V89" i="3"/>
  <c r="U89" i="3"/>
  <c r="T89" i="3"/>
  <c r="S89" i="3"/>
  <c r="Y164" i="3"/>
  <c r="X164" i="3"/>
  <c r="W164" i="3"/>
  <c r="V164" i="3"/>
  <c r="U164" i="3"/>
  <c r="T164" i="3"/>
  <c r="S164" i="3"/>
  <c r="R164" i="3"/>
  <c r="Z164" i="3"/>
  <c r="R277" i="3"/>
  <c r="X277" i="3"/>
  <c r="T277" i="3"/>
  <c r="S277" i="3"/>
  <c r="Z277" i="3"/>
  <c r="Y277" i="3"/>
  <c r="V277" i="3"/>
  <c r="U277" i="3"/>
  <c r="W277" i="3"/>
  <c r="R337" i="3"/>
  <c r="Z337" i="3"/>
  <c r="Y337" i="3"/>
  <c r="X337" i="3"/>
  <c r="W337" i="3"/>
  <c r="V337" i="3"/>
  <c r="U337" i="3"/>
  <c r="T337" i="3"/>
  <c r="S337" i="3"/>
  <c r="AA27" i="5"/>
  <c r="Z27" i="5"/>
  <c r="Y27" i="5"/>
  <c r="AT27" i="5" s="1"/>
  <c r="X27" i="5"/>
  <c r="W27" i="5"/>
  <c r="AP27" i="5"/>
  <c r="AN27" i="5"/>
  <c r="AM27" i="5"/>
  <c r="AB27" i="5"/>
  <c r="AB119" i="5"/>
  <c r="AA119" i="5"/>
  <c r="Z119" i="5"/>
  <c r="Y119" i="5"/>
  <c r="AT119" i="5" s="1"/>
  <c r="X119" i="5"/>
  <c r="W119" i="5"/>
  <c r="AP119" i="5"/>
  <c r="AN119" i="5"/>
  <c r="AM119" i="5"/>
  <c r="X176" i="5"/>
  <c r="W176" i="5"/>
  <c r="AP176" i="5"/>
  <c r="AN176" i="5"/>
  <c r="AM176" i="5"/>
  <c r="AB176" i="5"/>
  <c r="AA176" i="5"/>
  <c r="Z176" i="5"/>
  <c r="Y176" i="5"/>
  <c r="AT176" i="5" s="1"/>
  <c r="AB288" i="5"/>
  <c r="Z288" i="5"/>
  <c r="X288" i="5"/>
  <c r="W288" i="5"/>
  <c r="AP288" i="5"/>
  <c r="AA288" i="5"/>
  <c r="Y288" i="5"/>
  <c r="AT288" i="5" s="1"/>
  <c r="AN288" i="5"/>
  <c r="AM288" i="5"/>
  <c r="Z404" i="5"/>
  <c r="Y404" i="5"/>
  <c r="AT404" i="5" s="1"/>
  <c r="AB404" i="5"/>
  <c r="AA404" i="5"/>
  <c r="X404" i="5"/>
  <c r="W404" i="5"/>
  <c r="AP404" i="5"/>
  <c r="AN404" i="5"/>
  <c r="AM404" i="5"/>
  <c r="U8" i="3"/>
  <c r="T8" i="3"/>
  <c r="S8" i="3"/>
  <c r="R8" i="3"/>
  <c r="Z8" i="3"/>
  <c r="Y8" i="3"/>
  <c r="X8" i="3"/>
  <c r="W8" i="3"/>
  <c r="V8" i="3"/>
  <c r="AD1" i="3" s="1"/>
  <c r="R42" i="3"/>
  <c r="Z42" i="3"/>
  <c r="Y42" i="3"/>
  <c r="X42" i="3"/>
  <c r="W42" i="3"/>
  <c r="V42" i="3"/>
  <c r="U42" i="3"/>
  <c r="T42" i="3"/>
  <c r="S42" i="3"/>
  <c r="R74" i="3"/>
  <c r="Z74" i="3"/>
  <c r="Y74" i="3"/>
  <c r="X74" i="3"/>
  <c r="W74" i="3"/>
  <c r="V74" i="3"/>
  <c r="U74" i="3"/>
  <c r="T74" i="3"/>
  <c r="S74" i="3"/>
  <c r="R106" i="3"/>
  <c r="Z106" i="3"/>
  <c r="Y106" i="3"/>
  <c r="X106" i="3"/>
  <c r="W106" i="3"/>
  <c r="V106" i="3"/>
  <c r="U106" i="3"/>
  <c r="T106" i="3"/>
  <c r="S106" i="3"/>
  <c r="R122" i="3"/>
  <c r="Z122" i="3"/>
  <c r="Y122" i="3"/>
  <c r="X122" i="3"/>
  <c r="W122" i="3"/>
  <c r="V122" i="3"/>
  <c r="U122" i="3"/>
  <c r="T122" i="3"/>
  <c r="S122" i="3"/>
  <c r="R138" i="3"/>
  <c r="Z138" i="3"/>
  <c r="Y138" i="3"/>
  <c r="X138" i="3"/>
  <c r="W138" i="3"/>
  <c r="V138" i="3"/>
  <c r="U138" i="3"/>
  <c r="T138" i="3"/>
  <c r="S138" i="3"/>
  <c r="Y165" i="3"/>
  <c r="X165" i="3"/>
  <c r="W165" i="3"/>
  <c r="V165" i="3"/>
  <c r="U165" i="3"/>
  <c r="T165" i="3"/>
  <c r="S165" i="3"/>
  <c r="R165" i="3"/>
  <c r="Z165" i="3"/>
  <c r="U211" i="3"/>
  <c r="Z211" i="3"/>
  <c r="Y211" i="3"/>
  <c r="X211" i="3"/>
  <c r="W211" i="3"/>
  <c r="V211" i="3"/>
  <c r="S211" i="3"/>
  <c r="R211" i="3"/>
  <c r="T211" i="3"/>
  <c r="W237" i="3"/>
  <c r="V237" i="3"/>
  <c r="U237" i="3"/>
  <c r="T237" i="3"/>
  <c r="Z237" i="3"/>
  <c r="Y237" i="3"/>
  <c r="X237" i="3"/>
  <c r="S237" i="3"/>
  <c r="R237" i="3"/>
  <c r="W224" i="3"/>
  <c r="V224" i="3"/>
  <c r="U224" i="3"/>
  <c r="Z224" i="3"/>
  <c r="Y224" i="3"/>
  <c r="X224" i="3"/>
  <c r="T224" i="3"/>
  <c r="S224" i="3"/>
  <c r="R224" i="3"/>
  <c r="Y201" i="3"/>
  <c r="X201" i="3"/>
  <c r="W201" i="3"/>
  <c r="V201" i="3"/>
  <c r="U201" i="3"/>
  <c r="T201" i="3"/>
  <c r="S201" i="3"/>
  <c r="R201" i="3"/>
  <c r="Z201" i="3"/>
  <c r="Y196" i="3"/>
  <c r="X196" i="3"/>
  <c r="W196" i="3"/>
  <c r="V196" i="3"/>
  <c r="U196" i="3"/>
  <c r="T196" i="3"/>
  <c r="S196" i="3"/>
  <c r="R196" i="3"/>
  <c r="Z196" i="3"/>
  <c r="W242" i="3"/>
  <c r="V242" i="3"/>
  <c r="U242" i="3"/>
  <c r="T242" i="3"/>
  <c r="S242" i="3"/>
  <c r="Z242" i="3"/>
  <c r="Y242" i="3"/>
  <c r="X242" i="3"/>
  <c r="R242" i="3"/>
  <c r="R44" i="3"/>
  <c r="Z44" i="3"/>
  <c r="Y44" i="3"/>
  <c r="X44" i="3"/>
  <c r="W44" i="3"/>
  <c r="V44" i="3"/>
  <c r="U44" i="3"/>
  <c r="T44" i="3"/>
  <c r="S44" i="3"/>
  <c r="R76" i="3"/>
  <c r="Z76" i="3"/>
  <c r="Y76" i="3"/>
  <c r="X76" i="3"/>
  <c r="W76" i="3"/>
  <c r="V76" i="3"/>
  <c r="U76" i="3"/>
  <c r="T76" i="3"/>
  <c r="S76" i="3"/>
  <c r="R108" i="3"/>
  <c r="Z108" i="3"/>
  <c r="Y108" i="3"/>
  <c r="X108" i="3"/>
  <c r="W108" i="3"/>
  <c r="V108" i="3"/>
  <c r="U108" i="3"/>
  <c r="T108" i="3"/>
  <c r="S108" i="3"/>
  <c r="R140" i="3"/>
  <c r="Z140" i="3"/>
  <c r="Y140" i="3"/>
  <c r="X140" i="3"/>
  <c r="W140" i="3"/>
  <c r="V140" i="3"/>
  <c r="U140" i="3"/>
  <c r="T140" i="3"/>
  <c r="S140" i="3"/>
  <c r="Y167" i="3"/>
  <c r="X167" i="3"/>
  <c r="W167" i="3"/>
  <c r="V167" i="3"/>
  <c r="U167" i="3"/>
  <c r="T167" i="3"/>
  <c r="S167" i="3"/>
  <c r="R167" i="3"/>
  <c r="Z167" i="3"/>
  <c r="Z248" i="3"/>
  <c r="W248" i="3"/>
  <c r="V248" i="3"/>
  <c r="U248" i="3"/>
  <c r="T248" i="3"/>
  <c r="S248" i="3"/>
  <c r="Y248" i="3"/>
  <c r="X248" i="3"/>
  <c r="R248" i="3"/>
  <c r="R279" i="3"/>
  <c r="X279" i="3"/>
  <c r="Z279" i="3"/>
  <c r="Y279" i="3"/>
  <c r="W279" i="3"/>
  <c r="T279" i="3"/>
  <c r="S279" i="3"/>
  <c r="V279" i="3"/>
  <c r="U279" i="3"/>
  <c r="Y366" i="3"/>
  <c r="X366" i="3"/>
  <c r="W366" i="3"/>
  <c r="U366" i="3"/>
  <c r="T366" i="3"/>
  <c r="R366" i="3"/>
  <c r="Z366" i="3"/>
  <c r="V366" i="3"/>
  <c r="S366" i="3"/>
  <c r="R308" i="3"/>
  <c r="X308" i="3"/>
  <c r="Z308" i="3"/>
  <c r="V308" i="3"/>
  <c r="U308" i="3"/>
  <c r="T308" i="3"/>
  <c r="S308" i="3"/>
  <c r="Y308" i="3"/>
  <c r="W308" i="3"/>
  <c r="R340" i="3"/>
  <c r="Z340" i="3"/>
  <c r="Y340" i="3"/>
  <c r="X340" i="3"/>
  <c r="W340" i="3"/>
  <c r="V340" i="3"/>
  <c r="U340" i="3"/>
  <c r="T340" i="3"/>
  <c r="S340" i="3"/>
  <c r="AB25" i="5"/>
  <c r="AA25" i="5"/>
  <c r="Z25" i="5"/>
  <c r="Y25" i="5"/>
  <c r="AT25" i="5" s="1"/>
  <c r="X25" i="5"/>
  <c r="AP25" i="5"/>
  <c r="AM25" i="5"/>
  <c r="W25" i="5"/>
  <c r="AN25" i="5"/>
  <c r="AB94" i="5"/>
  <c r="AA94" i="5"/>
  <c r="Z94" i="5"/>
  <c r="Y94" i="5"/>
  <c r="AT94" i="5" s="1"/>
  <c r="AN94" i="5"/>
  <c r="AM94" i="5"/>
  <c r="X94" i="5"/>
  <c r="W94" i="5"/>
  <c r="AP94" i="5"/>
  <c r="Z96" i="5"/>
  <c r="Y96" i="5"/>
  <c r="AT96" i="5" s="1"/>
  <c r="X96" i="5"/>
  <c r="W96" i="5"/>
  <c r="AP96" i="5"/>
  <c r="AN96" i="5"/>
  <c r="AM96" i="5"/>
  <c r="AB96" i="5"/>
  <c r="AA96" i="5"/>
  <c r="X143" i="5"/>
  <c r="W143" i="5"/>
  <c r="AP143" i="5"/>
  <c r="AN143" i="5"/>
  <c r="AM143" i="5"/>
  <c r="AA143" i="5"/>
  <c r="Z143" i="5"/>
  <c r="Y143" i="5"/>
  <c r="AT143" i="5" s="1"/>
  <c r="AB143" i="5"/>
  <c r="AB234" i="5"/>
  <c r="AA234" i="5"/>
  <c r="Z234" i="5"/>
  <c r="Y234" i="5"/>
  <c r="AT234" i="5" s="1"/>
  <c r="X234" i="5"/>
  <c r="AM234" i="5"/>
  <c r="W234" i="5"/>
  <c r="AP234" i="5"/>
  <c r="AN234" i="5"/>
  <c r="AA248" i="5"/>
  <c r="Z248" i="5"/>
  <c r="W248" i="5"/>
  <c r="AP248" i="5"/>
  <c r="AB248" i="5"/>
  <c r="Y248" i="5"/>
  <c r="AT248" i="5" s="1"/>
  <c r="X248" i="5"/>
  <c r="AM248" i="5"/>
  <c r="AN248" i="5"/>
  <c r="AB312" i="5"/>
  <c r="Z312" i="5"/>
  <c r="Y312" i="5"/>
  <c r="AT312" i="5" s="1"/>
  <c r="X312" i="5"/>
  <c r="W312" i="5"/>
  <c r="AP312" i="5"/>
  <c r="AA312" i="5"/>
  <c r="AN312" i="5"/>
  <c r="AM312" i="5"/>
  <c r="AB387" i="5"/>
  <c r="AA387" i="5"/>
  <c r="Z387" i="5"/>
  <c r="X387" i="5"/>
  <c r="AP387" i="5"/>
  <c r="AN387" i="5"/>
  <c r="AM387" i="5"/>
  <c r="Y387" i="5"/>
  <c r="AT387" i="5" s="1"/>
  <c r="W387" i="5"/>
  <c r="X371" i="5"/>
  <c r="W371" i="5"/>
  <c r="AP371" i="5"/>
  <c r="AN371" i="5"/>
  <c r="AM371" i="5"/>
  <c r="AA371" i="5"/>
  <c r="Y371" i="5"/>
  <c r="AT371" i="5" s="1"/>
  <c r="AB371" i="5"/>
  <c r="Z371" i="5"/>
  <c r="Y191" i="3"/>
  <c r="X191" i="3"/>
  <c r="W191" i="3"/>
  <c r="V191" i="3"/>
  <c r="U191" i="3"/>
  <c r="T191" i="3"/>
  <c r="S191" i="3"/>
  <c r="R191" i="3"/>
  <c r="Z191" i="3"/>
  <c r="Y198" i="3"/>
  <c r="X198" i="3"/>
  <c r="W198" i="3"/>
  <c r="V198" i="3"/>
  <c r="U198" i="3"/>
  <c r="T198" i="3"/>
  <c r="S198" i="3"/>
  <c r="R198" i="3"/>
  <c r="Z198" i="3"/>
  <c r="R29" i="3"/>
  <c r="Z29" i="3"/>
  <c r="Y29" i="3"/>
  <c r="X29" i="3"/>
  <c r="W29" i="3"/>
  <c r="V29" i="3"/>
  <c r="U29" i="3"/>
  <c r="T29" i="3"/>
  <c r="S29" i="3"/>
  <c r="R77" i="3"/>
  <c r="Z77" i="3"/>
  <c r="Y77" i="3"/>
  <c r="X77" i="3"/>
  <c r="W77" i="3"/>
  <c r="V77" i="3"/>
  <c r="U77" i="3"/>
  <c r="T77" i="3"/>
  <c r="S77" i="3"/>
  <c r="R109" i="3"/>
  <c r="Z109" i="3"/>
  <c r="Y109" i="3"/>
  <c r="X109" i="3"/>
  <c r="W109" i="3"/>
  <c r="V109" i="3"/>
  <c r="U109" i="3"/>
  <c r="T109" i="3"/>
  <c r="S109" i="3"/>
  <c r="R141" i="3"/>
  <c r="Z141" i="3"/>
  <c r="Y141" i="3"/>
  <c r="X141" i="3"/>
  <c r="W141" i="3"/>
  <c r="V141" i="3"/>
  <c r="U141" i="3"/>
  <c r="T141" i="3"/>
  <c r="S141" i="3"/>
  <c r="Y168" i="3"/>
  <c r="X168" i="3"/>
  <c r="W168" i="3"/>
  <c r="V168" i="3"/>
  <c r="U168" i="3"/>
  <c r="T168" i="3"/>
  <c r="S168" i="3"/>
  <c r="R168" i="3"/>
  <c r="Z168" i="3"/>
  <c r="W217" i="3"/>
  <c r="U217" i="3"/>
  <c r="X217" i="3"/>
  <c r="V217" i="3"/>
  <c r="T217" i="3"/>
  <c r="S217" i="3"/>
  <c r="R217" i="3"/>
  <c r="Z217" i="3"/>
  <c r="Y217" i="3"/>
  <c r="R283" i="3"/>
  <c r="X283" i="3"/>
  <c r="Z283" i="3"/>
  <c r="Y283" i="3"/>
  <c r="W283" i="3"/>
  <c r="T283" i="3"/>
  <c r="S283" i="3"/>
  <c r="V283" i="3"/>
  <c r="U283" i="3"/>
  <c r="Y370" i="3"/>
  <c r="X370" i="3"/>
  <c r="W370" i="3"/>
  <c r="U370" i="3"/>
  <c r="T370" i="3"/>
  <c r="S370" i="3"/>
  <c r="R370" i="3"/>
  <c r="Z370" i="3"/>
  <c r="V370" i="3"/>
  <c r="R293" i="3"/>
  <c r="X293" i="3"/>
  <c r="Z293" i="3"/>
  <c r="Y293" i="3"/>
  <c r="W293" i="3"/>
  <c r="V293" i="3"/>
  <c r="T293" i="3"/>
  <c r="S293" i="3"/>
  <c r="U293" i="3"/>
  <c r="R325" i="3"/>
  <c r="Y325" i="3"/>
  <c r="X325" i="3"/>
  <c r="W325" i="3"/>
  <c r="V325" i="3"/>
  <c r="Z325" i="3"/>
  <c r="U325" i="3"/>
  <c r="T325" i="3"/>
  <c r="S325" i="3"/>
  <c r="R341" i="3"/>
  <c r="Z341" i="3"/>
  <c r="Y341" i="3"/>
  <c r="X341" i="3"/>
  <c r="W341" i="3"/>
  <c r="V341" i="3"/>
  <c r="U341" i="3"/>
  <c r="S341" i="3"/>
  <c r="T341" i="3"/>
  <c r="AB9" i="5"/>
  <c r="AN9" i="5"/>
  <c r="AM9" i="5"/>
  <c r="Z9" i="5"/>
  <c r="Y9" i="5"/>
  <c r="AT9" i="5" s="1"/>
  <c r="X9" i="5"/>
  <c r="W9" i="5"/>
  <c r="AP9" i="5"/>
  <c r="AA9" i="5"/>
  <c r="Z12" i="5"/>
  <c r="Y12" i="5"/>
  <c r="AT12" i="5" s="1"/>
  <c r="X12" i="5"/>
  <c r="W12" i="5"/>
  <c r="AP12" i="5"/>
  <c r="AA12" i="5"/>
  <c r="AN12" i="5"/>
  <c r="AM12" i="5"/>
  <c r="AB12" i="5"/>
  <c r="AB87" i="5"/>
  <c r="AA87" i="5"/>
  <c r="Z87" i="5"/>
  <c r="Y87" i="5"/>
  <c r="AT87" i="5" s="1"/>
  <c r="X87" i="5"/>
  <c r="W87" i="5"/>
  <c r="AP87" i="5"/>
  <c r="AM87" i="5"/>
  <c r="AN87" i="5"/>
  <c r="AB92" i="5"/>
  <c r="AA92" i="5"/>
  <c r="Z92" i="5"/>
  <c r="Y92" i="5"/>
  <c r="AT92" i="5" s="1"/>
  <c r="X92" i="5"/>
  <c r="W92" i="5"/>
  <c r="AP92" i="5"/>
  <c r="AN92" i="5"/>
  <c r="AM92" i="5"/>
  <c r="X60" i="5"/>
  <c r="W60" i="5"/>
  <c r="AP60" i="5"/>
  <c r="AN60" i="5"/>
  <c r="AM60" i="5"/>
  <c r="AB60" i="5"/>
  <c r="AA60" i="5"/>
  <c r="Z60" i="5"/>
  <c r="Y60" i="5"/>
  <c r="AT60" i="5" s="1"/>
  <c r="AB117" i="5"/>
  <c r="AA117" i="5"/>
  <c r="Z117" i="5"/>
  <c r="Y117" i="5"/>
  <c r="AT117" i="5" s="1"/>
  <c r="X117" i="5"/>
  <c r="W117" i="5"/>
  <c r="AP117" i="5"/>
  <c r="AN117" i="5"/>
  <c r="AM117" i="5"/>
  <c r="Z104" i="5"/>
  <c r="Y104" i="5"/>
  <c r="AT104" i="5" s="1"/>
  <c r="X104" i="5"/>
  <c r="W104" i="5"/>
  <c r="AP104" i="5"/>
  <c r="AN104" i="5"/>
  <c r="AM104" i="5"/>
  <c r="AB104" i="5"/>
  <c r="AA104" i="5"/>
  <c r="AP122" i="5"/>
  <c r="AN122" i="5"/>
  <c r="AM122" i="5"/>
  <c r="AB122" i="5"/>
  <c r="AA122" i="5"/>
  <c r="Z122" i="5"/>
  <c r="W122" i="5"/>
  <c r="Y122" i="5"/>
  <c r="AT122" i="5" s="1"/>
  <c r="X122" i="5"/>
  <c r="AB180" i="5"/>
  <c r="AA180" i="5"/>
  <c r="Y180" i="5"/>
  <c r="AT180" i="5" s="1"/>
  <c r="AN180" i="5"/>
  <c r="AP180" i="5"/>
  <c r="AM180" i="5"/>
  <c r="Z180" i="5"/>
  <c r="X180" i="5"/>
  <c r="W180" i="5"/>
  <c r="Y203" i="3"/>
  <c r="X203" i="3"/>
  <c r="W203" i="3"/>
  <c r="V203" i="3"/>
  <c r="U203" i="3"/>
  <c r="T203" i="3"/>
  <c r="S203" i="3"/>
  <c r="R203" i="3"/>
  <c r="Z203" i="3"/>
  <c r="W233" i="3"/>
  <c r="V233" i="3"/>
  <c r="U233" i="3"/>
  <c r="Y233" i="3"/>
  <c r="X233" i="3"/>
  <c r="T233" i="3"/>
  <c r="S233" i="3"/>
  <c r="R233" i="3"/>
  <c r="Z233" i="3"/>
  <c r="Y202" i="3"/>
  <c r="X202" i="3"/>
  <c r="W202" i="3"/>
  <c r="V202" i="3"/>
  <c r="U202" i="3"/>
  <c r="T202" i="3"/>
  <c r="S202" i="3"/>
  <c r="R202" i="3"/>
  <c r="Z202" i="3"/>
  <c r="R15" i="3"/>
  <c r="Z15" i="3"/>
  <c r="Y15" i="3"/>
  <c r="X15" i="3"/>
  <c r="W15" i="3"/>
  <c r="V15" i="3"/>
  <c r="U15" i="3"/>
  <c r="T15" i="3"/>
  <c r="S15" i="3"/>
  <c r="R31" i="3"/>
  <c r="Z31" i="3"/>
  <c r="Y31" i="3"/>
  <c r="X31" i="3"/>
  <c r="W31" i="3"/>
  <c r="V31" i="3"/>
  <c r="U31" i="3"/>
  <c r="T31" i="3"/>
  <c r="S31" i="3"/>
  <c r="R47" i="3"/>
  <c r="Z47" i="3"/>
  <c r="Y47" i="3"/>
  <c r="X47" i="3"/>
  <c r="W47" i="3"/>
  <c r="V47" i="3"/>
  <c r="U47" i="3"/>
  <c r="T47" i="3"/>
  <c r="S47" i="3"/>
  <c r="R63" i="3"/>
  <c r="Z63" i="3"/>
  <c r="Y63" i="3"/>
  <c r="X63" i="3"/>
  <c r="W63" i="3"/>
  <c r="V63" i="3"/>
  <c r="U63" i="3"/>
  <c r="T63" i="3"/>
  <c r="S63" i="3"/>
  <c r="R79" i="3"/>
  <c r="Z79" i="3"/>
  <c r="Y79" i="3"/>
  <c r="X79" i="3"/>
  <c r="W79" i="3"/>
  <c r="V79" i="3"/>
  <c r="U79" i="3"/>
  <c r="T79" i="3"/>
  <c r="S79" i="3"/>
  <c r="R95" i="3"/>
  <c r="Z95" i="3"/>
  <c r="Y95" i="3"/>
  <c r="X95" i="3"/>
  <c r="W95" i="3"/>
  <c r="V95" i="3"/>
  <c r="U95" i="3"/>
  <c r="T95" i="3"/>
  <c r="S95" i="3"/>
  <c r="R111" i="3"/>
  <c r="Z111" i="3"/>
  <c r="Y111" i="3"/>
  <c r="X111" i="3"/>
  <c r="W111" i="3"/>
  <c r="V111" i="3"/>
  <c r="U111" i="3"/>
  <c r="T111" i="3"/>
  <c r="S111" i="3"/>
  <c r="R127" i="3"/>
  <c r="Z127" i="3"/>
  <c r="Y127" i="3"/>
  <c r="X127" i="3"/>
  <c r="W127" i="3"/>
  <c r="V127" i="3"/>
  <c r="U127" i="3"/>
  <c r="T127" i="3"/>
  <c r="S127" i="3"/>
  <c r="R143" i="3"/>
  <c r="Z143" i="3"/>
  <c r="Y143" i="3"/>
  <c r="X143" i="3"/>
  <c r="W143" i="3"/>
  <c r="V143" i="3"/>
  <c r="U143" i="3"/>
  <c r="T143" i="3"/>
  <c r="S143" i="3"/>
  <c r="Y154" i="3"/>
  <c r="X154" i="3"/>
  <c r="W154" i="3"/>
  <c r="V154" i="3"/>
  <c r="U154" i="3"/>
  <c r="T154" i="3"/>
  <c r="S154" i="3"/>
  <c r="R154" i="3"/>
  <c r="Z154" i="3"/>
  <c r="Y170" i="3"/>
  <c r="X170" i="3"/>
  <c r="W170" i="3"/>
  <c r="V170" i="3"/>
  <c r="U170" i="3"/>
  <c r="T170" i="3"/>
  <c r="S170" i="3"/>
  <c r="R170" i="3"/>
  <c r="Z170" i="3"/>
  <c r="R263" i="3"/>
  <c r="Y263" i="3"/>
  <c r="X263" i="3"/>
  <c r="W263" i="3"/>
  <c r="V263" i="3"/>
  <c r="U263" i="3"/>
  <c r="T263" i="3"/>
  <c r="S263" i="3"/>
  <c r="Z263" i="3"/>
  <c r="W222" i="3"/>
  <c r="V222" i="3"/>
  <c r="U222" i="3"/>
  <c r="X222" i="3"/>
  <c r="T222" i="3"/>
  <c r="S222" i="3"/>
  <c r="R222" i="3"/>
  <c r="Z222" i="3"/>
  <c r="Y222" i="3"/>
  <c r="Z255" i="3"/>
  <c r="W255" i="3"/>
  <c r="V255" i="3"/>
  <c r="U255" i="3"/>
  <c r="T255" i="3"/>
  <c r="S255" i="3"/>
  <c r="Y255" i="3"/>
  <c r="X255" i="3"/>
  <c r="R255" i="3"/>
  <c r="X358" i="3"/>
  <c r="W358" i="3"/>
  <c r="R358" i="3"/>
  <c r="Z358" i="3"/>
  <c r="Y358" i="3"/>
  <c r="V358" i="3"/>
  <c r="U358" i="3"/>
  <c r="T358" i="3"/>
  <c r="S358" i="3"/>
  <c r="Z396" i="3"/>
  <c r="Y396" i="3"/>
  <c r="X396" i="3"/>
  <c r="W396" i="3"/>
  <c r="V396" i="3"/>
  <c r="U396" i="3"/>
  <c r="T396" i="3"/>
  <c r="S396" i="3"/>
  <c r="R396" i="3"/>
  <c r="Z393" i="3"/>
  <c r="Y393" i="3"/>
  <c r="X393" i="3"/>
  <c r="W393" i="3"/>
  <c r="V393" i="3"/>
  <c r="U393" i="3"/>
  <c r="T393" i="3"/>
  <c r="S393" i="3"/>
  <c r="R393" i="3"/>
  <c r="X359" i="3"/>
  <c r="W359" i="3"/>
  <c r="U359" i="3"/>
  <c r="T359" i="3"/>
  <c r="R359" i="3"/>
  <c r="Z359" i="3"/>
  <c r="Y359" i="3"/>
  <c r="V359" i="3"/>
  <c r="S359" i="3"/>
  <c r="R295" i="3"/>
  <c r="X295" i="3"/>
  <c r="Z295" i="3"/>
  <c r="Y295" i="3"/>
  <c r="W295" i="3"/>
  <c r="V295" i="3"/>
  <c r="U295" i="3"/>
  <c r="T295" i="3"/>
  <c r="S295" i="3"/>
  <c r="R311" i="3"/>
  <c r="X311" i="3"/>
  <c r="Z311" i="3"/>
  <c r="V311" i="3"/>
  <c r="U311" i="3"/>
  <c r="T311" i="3"/>
  <c r="S311" i="3"/>
  <c r="Y311" i="3"/>
  <c r="W311" i="3"/>
  <c r="R327" i="3"/>
  <c r="Y327" i="3"/>
  <c r="X327" i="3"/>
  <c r="W327" i="3"/>
  <c r="V327" i="3"/>
  <c r="Z327" i="3"/>
  <c r="U327" i="3"/>
  <c r="T327" i="3"/>
  <c r="S327" i="3"/>
  <c r="R343" i="3"/>
  <c r="Z343" i="3"/>
  <c r="Y343" i="3"/>
  <c r="X343" i="3"/>
  <c r="W343" i="3"/>
  <c r="V343" i="3"/>
  <c r="U343" i="3"/>
  <c r="T343" i="3"/>
  <c r="S343" i="3"/>
  <c r="AN70" i="5"/>
  <c r="AM70" i="5"/>
  <c r="AB70" i="5"/>
  <c r="AA70" i="5"/>
  <c r="Z70" i="5"/>
  <c r="Y70" i="5"/>
  <c r="AT70" i="5" s="1"/>
  <c r="X70" i="5"/>
  <c r="AP70" i="5"/>
  <c r="W70" i="5"/>
  <c r="AB57" i="5"/>
  <c r="AA57" i="5"/>
  <c r="Z57" i="5"/>
  <c r="Y57" i="5"/>
  <c r="AT57" i="5" s="1"/>
  <c r="X57" i="5"/>
  <c r="W57" i="5"/>
  <c r="AN57" i="5"/>
  <c r="AP57" i="5"/>
  <c r="AM57" i="5"/>
  <c r="X6" i="5"/>
  <c r="W6" i="5"/>
  <c r="AP6" i="5"/>
  <c r="AN6" i="5"/>
  <c r="AM6" i="5"/>
  <c r="AB6" i="5"/>
  <c r="AA6" i="5"/>
  <c r="Z6" i="5"/>
  <c r="Y6" i="5"/>
  <c r="AT6" i="5" s="1"/>
  <c r="AB133" i="5"/>
  <c r="AA133" i="5"/>
  <c r="AP133" i="5"/>
  <c r="AN133" i="5"/>
  <c r="AM133" i="5"/>
  <c r="Z133" i="5"/>
  <c r="Y133" i="5"/>
  <c r="AT133" i="5" s="1"/>
  <c r="X133" i="5"/>
  <c r="W133" i="5"/>
  <c r="AB66" i="5"/>
  <c r="AA66" i="5"/>
  <c r="Z66" i="5"/>
  <c r="Y66" i="5"/>
  <c r="AT66" i="5" s="1"/>
  <c r="X66" i="5"/>
  <c r="W66" i="5"/>
  <c r="AP66" i="5"/>
  <c r="AN66" i="5"/>
  <c r="AM66" i="5"/>
  <c r="X76" i="5"/>
  <c r="W76" i="5"/>
  <c r="AP76" i="5"/>
  <c r="AN76" i="5"/>
  <c r="AM76" i="5"/>
  <c r="AB76" i="5"/>
  <c r="AA76" i="5"/>
  <c r="Z76" i="5"/>
  <c r="Y76" i="5"/>
  <c r="AT76" i="5" s="1"/>
  <c r="AB132" i="5"/>
  <c r="AA132" i="5"/>
  <c r="Z132" i="5"/>
  <c r="Y132" i="5"/>
  <c r="AT132" i="5" s="1"/>
  <c r="X132" i="5"/>
  <c r="W132" i="5"/>
  <c r="AP132" i="5"/>
  <c r="AN132" i="5"/>
  <c r="AM132" i="5"/>
  <c r="Z120" i="5"/>
  <c r="Y120" i="5"/>
  <c r="AT120" i="5" s="1"/>
  <c r="X120" i="5"/>
  <c r="W120" i="5"/>
  <c r="AP120" i="5"/>
  <c r="AN120" i="5"/>
  <c r="AM120" i="5"/>
  <c r="AB120" i="5"/>
  <c r="AA120" i="5"/>
  <c r="AN155" i="5"/>
  <c r="AM155" i="5"/>
  <c r="AB155" i="5"/>
  <c r="AA155" i="5"/>
  <c r="Z155" i="5"/>
  <c r="Y155" i="5"/>
  <c r="AT155" i="5" s="1"/>
  <c r="X155" i="5"/>
  <c r="W155" i="5"/>
  <c r="AP155" i="5"/>
  <c r="AN161" i="5"/>
  <c r="AM161" i="5"/>
  <c r="AB161" i="5"/>
  <c r="AA161" i="5"/>
  <c r="Z161" i="5"/>
  <c r="Y161" i="5"/>
  <c r="AT161" i="5" s="1"/>
  <c r="X161" i="5"/>
  <c r="W161" i="5"/>
  <c r="AP161" i="5"/>
  <c r="W163" i="5"/>
  <c r="AP163" i="5"/>
  <c r="AN163" i="5"/>
  <c r="AM163" i="5"/>
  <c r="AB163" i="5"/>
  <c r="AA163" i="5"/>
  <c r="X163" i="5"/>
  <c r="Z163" i="5"/>
  <c r="Y163" i="5"/>
  <c r="AT163" i="5" s="1"/>
  <c r="AM239" i="5"/>
  <c r="AB239" i="5"/>
  <c r="AP239" i="5"/>
  <c r="AN239" i="5"/>
  <c r="AA239" i="5"/>
  <c r="Z239" i="5"/>
  <c r="Y239" i="5"/>
  <c r="AT239" i="5" s="1"/>
  <c r="W239" i="5"/>
  <c r="X239" i="5"/>
  <c r="AP185" i="5"/>
  <c r="AN185" i="5"/>
  <c r="AM185" i="5"/>
  <c r="Z185" i="5"/>
  <c r="AB185" i="5"/>
  <c r="AA185" i="5"/>
  <c r="Y185" i="5"/>
  <c r="AT185" i="5" s="1"/>
  <c r="X185" i="5"/>
  <c r="W185" i="5"/>
  <c r="AB214" i="5"/>
  <c r="AA214" i="5"/>
  <c r="Z214" i="5"/>
  <c r="Y214" i="5"/>
  <c r="AT214" i="5" s="1"/>
  <c r="X214" i="5"/>
  <c r="W214" i="5"/>
  <c r="AP214" i="5"/>
  <c r="AN214" i="5"/>
  <c r="AM214" i="5"/>
  <c r="AB270" i="5"/>
  <c r="AA270" i="5"/>
  <c r="Z270" i="5"/>
  <c r="X270" i="5"/>
  <c r="AP270" i="5"/>
  <c r="AN270" i="5"/>
  <c r="AM270" i="5"/>
  <c r="Y270" i="5"/>
  <c r="AT270" i="5" s="1"/>
  <c r="W270" i="5"/>
  <c r="AB310" i="5"/>
  <c r="AA310" i="5"/>
  <c r="Z310" i="5"/>
  <c r="Y310" i="5"/>
  <c r="AT310" i="5" s="1"/>
  <c r="AP310" i="5"/>
  <c r="AN310" i="5"/>
  <c r="X310" i="5"/>
  <c r="W310" i="5"/>
  <c r="AM310" i="5"/>
  <c r="AB272" i="5"/>
  <c r="AA272" i="5"/>
  <c r="Z272" i="5"/>
  <c r="Y272" i="5"/>
  <c r="AT272" i="5" s="1"/>
  <c r="X272" i="5"/>
  <c r="W272" i="5"/>
  <c r="AP272" i="5"/>
  <c r="AN272" i="5"/>
  <c r="AM272" i="5"/>
  <c r="X259" i="5"/>
  <c r="W259" i="5"/>
  <c r="AP259" i="5"/>
  <c r="AN259" i="5"/>
  <c r="AM259" i="5"/>
  <c r="AB259" i="5"/>
  <c r="AA259" i="5"/>
  <c r="Z259" i="5"/>
  <c r="Y259" i="5"/>
  <c r="AT259" i="5" s="1"/>
  <c r="AB289" i="5"/>
  <c r="AA289" i="5"/>
  <c r="Z289" i="5"/>
  <c r="X289" i="5"/>
  <c r="AP289" i="5"/>
  <c r="AN289" i="5"/>
  <c r="AM289" i="5"/>
  <c r="Y289" i="5"/>
  <c r="AT289" i="5" s="1"/>
  <c r="W289" i="5"/>
  <c r="AP276" i="5"/>
  <c r="AN276" i="5"/>
  <c r="Y276" i="5"/>
  <c r="AT276" i="5" s="1"/>
  <c r="X276" i="5"/>
  <c r="W276" i="5"/>
  <c r="AM276" i="5"/>
  <c r="AB276" i="5"/>
  <c r="AA276" i="5"/>
  <c r="Z276" i="5"/>
  <c r="AN336" i="5"/>
  <c r="AM336" i="5"/>
  <c r="AB336" i="5"/>
  <c r="AA336" i="5"/>
  <c r="Z336" i="5"/>
  <c r="Y336" i="5"/>
  <c r="AT336" i="5" s="1"/>
  <c r="X336" i="5"/>
  <c r="W336" i="5"/>
  <c r="AP336" i="5"/>
  <c r="AB356" i="5"/>
  <c r="AA356" i="5"/>
  <c r="Z356" i="5"/>
  <c r="Y356" i="5"/>
  <c r="AT356" i="5" s="1"/>
  <c r="X356" i="5"/>
  <c r="W356" i="5"/>
  <c r="AP356" i="5"/>
  <c r="AN356" i="5"/>
  <c r="AM356" i="5"/>
  <c r="AB375" i="5"/>
  <c r="AA375" i="5"/>
  <c r="Z375" i="5"/>
  <c r="X375" i="5"/>
  <c r="W375" i="5"/>
  <c r="AN375" i="5"/>
  <c r="AP375" i="5"/>
  <c r="AM375" i="5"/>
  <c r="Y375" i="5"/>
  <c r="AT375" i="5" s="1"/>
  <c r="AB385" i="5"/>
  <c r="X385" i="5"/>
  <c r="W385" i="5"/>
  <c r="AP385" i="5"/>
  <c r="AN385" i="5"/>
  <c r="AM385" i="5"/>
  <c r="AA385" i="5"/>
  <c r="Y385" i="5"/>
  <c r="AT385" i="5" s="1"/>
  <c r="Z385" i="5"/>
  <c r="X398" i="5"/>
  <c r="W398" i="5"/>
  <c r="AP398" i="5"/>
  <c r="AN398" i="5"/>
  <c r="AM398" i="5"/>
  <c r="AB398" i="5"/>
  <c r="AA398" i="5"/>
  <c r="Z398" i="5"/>
  <c r="Y398" i="5"/>
  <c r="AT398" i="5" s="1"/>
  <c r="Y183" i="3"/>
  <c r="X183" i="3"/>
  <c r="W183" i="3"/>
  <c r="V183" i="3"/>
  <c r="U183" i="3"/>
  <c r="T183" i="3"/>
  <c r="S183" i="3"/>
  <c r="R183" i="3"/>
  <c r="Z183" i="3"/>
  <c r="Y180" i="3"/>
  <c r="X180" i="3"/>
  <c r="W180" i="3"/>
  <c r="V180" i="3"/>
  <c r="U180" i="3"/>
  <c r="T180" i="3"/>
  <c r="S180" i="3"/>
  <c r="R180" i="3"/>
  <c r="Z180" i="3"/>
  <c r="Y207" i="3"/>
  <c r="X207" i="3"/>
  <c r="W207" i="3"/>
  <c r="V207" i="3"/>
  <c r="U207" i="3"/>
  <c r="T207" i="3"/>
  <c r="S207" i="3"/>
  <c r="R207" i="3"/>
  <c r="Z207" i="3"/>
  <c r="R16" i="3"/>
  <c r="Z16" i="3"/>
  <c r="Y16" i="3"/>
  <c r="X16" i="3"/>
  <c r="W16" i="3"/>
  <c r="V16" i="3"/>
  <c r="U16" i="3"/>
  <c r="T16" i="3"/>
  <c r="S16" i="3"/>
  <c r="R32" i="3"/>
  <c r="Z32" i="3"/>
  <c r="Y32" i="3"/>
  <c r="X32" i="3"/>
  <c r="W32" i="3"/>
  <c r="V32" i="3"/>
  <c r="U32" i="3"/>
  <c r="T32" i="3"/>
  <c r="S32" i="3"/>
  <c r="R48" i="3"/>
  <c r="Z48" i="3"/>
  <c r="Y48" i="3"/>
  <c r="X48" i="3"/>
  <c r="W48" i="3"/>
  <c r="V48" i="3"/>
  <c r="U48" i="3"/>
  <c r="T48" i="3"/>
  <c r="S48" i="3"/>
  <c r="R64" i="3"/>
  <c r="Z64" i="3"/>
  <c r="Y64" i="3"/>
  <c r="X64" i="3"/>
  <c r="W64" i="3"/>
  <c r="V64" i="3"/>
  <c r="U64" i="3"/>
  <c r="T64" i="3"/>
  <c r="S64" i="3"/>
  <c r="R80" i="3"/>
  <c r="Z80" i="3"/>
  <c r="Y80" i="3"/>
  <c r="X80" i="3"/>
  <c r="W80" i="3"/>
  <c r="V80" i="3"/>
  <c r="U80" i="3"/>
  <c r="T80" i="3"/>
  <c r="S80" i="3"/>
  <c r="R96" i="3"/>
  <c r="Z96" i="3"/>
  <c r="Y96" i="3"/>
  <c r="X96" i="3"/>
  <c r="W96" i="3"/>
  <c r="V96" i="3"/>
  <c r="U96" i="3"/>
  <c r="T96" i="3"/>
  <c r="S96" i="3"/>
  <c r="R112" i="3"/>
  <c r="Z112" i="3"/>
  <c r="Y112" i="3"/>
  <c r="X112" i="3"/>
  <c r="W112" i="3"/>
  <c r="V112" i="3"/>
  <c r="U112" i="3"/>
  <c r="T112" i="3"/>
  <c r="S112" i="3"/>
  <c r="R128" i="3"/>
  <c r="Z128" i="3"/>
  <c r="Y128" i="3"/>
  <c r="X128" i="3"/>
  <c r="W128" i="3"/>
  <c r="V128" i="3"/>
  <c r="U128" i="3"/>
  <c r="T128" i="3"/>
  <c r="S128" i="3"/>
  <c r="R144" i="3"/>
  <c r="Z144" i="3"/>
  <c r="Y144" i="3"/>
  <c r="X144" i="3"/>
  <c r="W144" i="3"/>
  <c r="V144" i="3"/>
  <c r="U144" i="3"/>
  <c r="T144" i="3"/>
  <c r="S144" i="3"/>
  <c r="Y155" i="3"/>
  <c r="X155" i="3"/>
  <c r="W155" i="3"/>
  <c r="V155" i="3"/>
  <c r="U155" i="3"/>
  <c r="T155" i="3"/>
  <c r="S155" i="3"/>
  <c r="R155" i="3"/>
  <c r="Z155" i="3"/>
  <c r="Y171" i="3"/>
  <c r="X171" i="3"/>
  <c r="W171" i="3"/>
  <c r="V171" i="3"/>
  <c r="U171" i="3"/>
  <c r="T171" i="3"/>
  <c r="S171" i="3"/>
  <c r="R171" i="3"/>
  <c r="Z171" i="3"/>
  <c r="U210" i="3"/>
  <c r="Z210" i="3"/>
  <c r="Y210" i="3"/>
  <c r="X210" i="3"/>
  <c r="W210" i="3"/>
  <c r="V210" i="3"/>
  <c r="T210" i="3"/>
  <c r="S210" i="3"/>
  <c r="R210" i="3"/>
  <c r="W230" i="3"/>
  <c r="V230" i="3"/>
  <c r="U230" i="3"/>
  <c r="X230" i="3"/>
  <c r="T230" i="3"/>
  <c r="S230" i="3"/>
  <c r="R230" i="3"/>
  <c r="Z230" i="3"/>
  <c r="Y230" i="3"/>
  <c r="Z256" i="3"/>
  <c r="W256" i="3"/>
  <c r="V256" i="3"/>
  <c r="U256" i="3"/>
  <c r="T256" i="3"/>
  <c r="S256" i="3"/>
  <c r="Y256" i="3"/>
  <c r="X256" i="3"/>
  <c r="R256" i="3"/>
  <c r="R264" i="3"/>
  <c r="Z264" i="3"/>
  <c r="Y264" i="3"/>
  <c r="X264" i="3"/>
  <c r="W264" i="3"/>
  <c r="V264" i="3"/>
  <c r="S264" i="3"/>
  <c r="U264" i="3"/>
  <c r="T264" i="3"/>
  <c r="Z397" i="3"/>
  <c r="Y397" i="3"/>
  <c r="X397" i="3"/>
  <c r="W397" i="3"/>
  <c r="V397" i="3"/>
  <c r="U397" i="3"/>
  <c r="T397" i="3"/>
  <c r="S397" i="3"/>
  <c r="R397" i="3"/>
  <c r="Z401" i="3"/>
  <c r="Y401" i="3"/>
  <c r="X401" i="3"/>
  <c r="W401" i="3"/>
  <c r="V401" i="3"/>
  <c r="U401" i="3"/>
  <c r="T401" i="3"/>
  <c r="S401" i="3"/>
  <c r="R401" i="3"/>
  <c r="Z392" i="3"/>
  <c r="Y392" i="3"/>
  <c r="X392" i="3"/>
  <c r="W392" i="3"/>
  <c r="V392" i="3"/>
  <c r="U392" i="3"/>
  <c r="T392" i="3"/>
  <c r="S392" i="3"/>
  <c r="R392" i="3"/>
  <c r="R296" i="3"/>
  <c r="X296" i="3"/>
  <c r="V296" i="3"/>
  <c r="U296" i="3"/>
  <c r="T296" i="3"/>
  <c r="S296" i="3"/>
  <c r="Y296" i="3"/>
  <c r="W296" i="3"/>
  <c r="Z296" i="3"/>
  <c r="R312" i="3"/>
  <c r="X312" i="3"/>
  <c r="W312" i="3"/>
  <c r="V312" i="3"/>
  <c r="U312" i="3"/>
  <c r="T312" i="3"/>
  <c r="S312" i="3"/>
  <c r="Z312" i="3"/>
  <c r="Y312" i="3"/>
  <c r="R328" i="3"/>
  <c r="Y328" i="3"/>
  <c r="X328" i="3"/>
  <c r="W328" i="3"/>
  <c r="V328" i="3"/>
  <c r="Z328" i="3"/>
  <c r="U328" i="3"/>
  <c r="T328" i="3"/>
  <c r="S328" i="3"/>
  <c r="R344" i="3"/>
  <c r="Z344" i="3"/>
  <c r="Y344" i="3"/>
  <c r="X344" i="3"/>
  <c r="W344" i="3"/>
  <c r="V344" i="3"/>
  <c r="U344" i="3"/>
  <c r="T344" i="3"/>
  <c r="S344" i="3"/>
  <c r="AB102" i="5"/>
  <c r="AA102" i="5"/>
  <c r="Z102" i="5"/>
  <c r="Y102" i="5"/>
  <c r="AT102" i="5" s="1"/>
  <c r="X102" i="5"/>
  <c r="W102" i="5"/>
  <c r="AN102" i="5"/>
  <c r="AP102" i="5"/>
  <c r="AM102" i="5"/>
  <c r="AN86" i="5"/>
  <c r="AM86" i="5"/>
  <c r="AB86" i="5"/>
  <c r="AA86" i="5"/>
  <c r="Z86" i="5"/>
  <c r="Y86" i="5"/>
  <c r="AT86" i="5" s="1"/>
  <c r="X86" i="5"/>
  <c r="AP86" i="5"/>
  <c r="W86" i="5"/>
  <c r="Y20" i="5"/>
  <c r="AT20" i="5" s="1"/>
  <c r="X20" i="5"/>
  <c r="W20" i="5"/>
  <c r="AP20" i="5"/>
  <c r="AN20" i="5"/>
  <c r="AM20" i="5"/>
  <c r="AB20" i="5"/>
  <c r="AA20" i="5"/>
  <c r="Z20" i="5"/>
  <c r="AB95" i="5"/>
  <c r="AA95" i="5"/>
  <c r="Z95" i="5"/>
  <c r="Y95" i="5"/>
  <c r="AT95" i="5" s="1"/>
  <c r="X95" i="5"/>
  <c r="W95" i="5"/>
  <c r="AP95" i="5"/>
  <c r="AN95" i="5"/>
  <c r="AM95" i="5"/>
  <c r="AB74" i="5"/>
  <c r="AA74" i="5"/>
  <c r="Z74" i="5"/>
  <c r="Y74" i="5"/>
  <c r="AT74" i="5" s="1"/>
  <c r="X74" i="5"/>
  <c r="W74" i="5"/>
  <c r="AP74" i="5"/>
  <c r="AN74" i="5"/>
  <c r="AM74" i="5"/>
  <c r="X84" i="5"/>
  <c r="W84" i="5"/>
  <c r="AP84" i="5"/>
  <c r="AN84" i="5"/>
  <c r="AM84" i="5"/>
  <c r="AB84" i="5"/>
  <c r="AA84" i="5"/>
  <c r="Z84" i="5"/>
  <c r="Y84" i="5"/>
  <c r="AT84" i="5" s="1"/>
  <c r="AN193" i="5"/>
  <c r="AM193" i="5"/>
  <c r="AP193" i="5"/>
  <c r="AB193" i="5"/>
  <c r="AA193" i="5"/>
  <c r="X193" i="5"/>
  <c r="Z193" i="5"/>
  <c r="Y193" i="5"/>
  <c r="AT193" i="5" s="1"/>
  <c r="W193" i="5"/>
  <c r="Z128" i="5"/>
  <c r="Y128" i="5"/>
  <c r="AT128" i="5" s="1"/>
  <c r="X128" i="5"/>
  <c r="W128" i="5"/>
  <c r="AP128" i="5"/>
  <c r="AN128" i="5"/>
  <c r="AM128" i="5"/>
  <c r="AB128" i="5"/>
  <c r="AA128" i="5"/>
  <c r="AB165" i="5"/>
  <c r="AA165" i="5"/>
  <c r="Z165" i="5"/>
  <c r="Y165" i="5"/>
  <c r="AT165" i="5" s="1"/>
  <c r="AP165" i="5"/>
  <c r="AN165" i="5"/>
  <c r="AM165" i="5"/>
  <c r="X165" i="5"/>
  <c r="W165" i="5"/>
  <c r="AB141" i="5"/>
  <c r="AA141" i="5"/>
  <c r="Z141" i="5"/>
  <c r="Y141" i="5"/>
  <c r="AT141" i="5" s="1"/>
  <c r="X141" i="5"/>
  <c r="W141" i="5"/>
  <c r="AP141" i="5"/>
  <c r="AN141" i="5"/>
  <c r="AM141" i="5"/>
  <c r="AB189" i="5"/>
  <c r="Y189" i="5"/>
  <c r="AT189" i="5" s="1"/>
  <c r="AN189" i="5"/>
  <c r="AM189" i="5"/>
  <c r="AA189" i="5"/>
  <c r="W189" i="5"/>
  <c r="AP189" i="5"/>
  <c r="Z189" i="5"/>
  <c r="X189" i="5"/>
  <c r="Y159" i="5"/>
  <c r="AT159" i="5" s="1"/>
  <c r="X159" i="5"/>
  <c r="W159" i="5"/>
  <c r="AP159" i="5"/>
  <c r="AM159" i="5"/>
  <c r="AB159" i="5"/>
  <c r="AA159" i="5"/>
  <c r="Z159" i="5"/>
  <c r="AN159" i="5"/>
  <c r="AB211" i="5"/>
  <c r="AA211" i="5"/>
  <c r="Z211" i="5"/>
  <c r="Y211" i="5"/>
  <c r="AT211" i="5" s="1"/>
  <c r="X211" i="5"/>
  <c r="AP211" i="5"/>
  <c r="AN211" i="5"/>
  <c r="AM211" i="5"/>
  <c r="W211" i="5"/>
  <c r="Z199" i="5"/>
  <c r="Y199" i="5"/>
  <c r="AT199" i="5" s="1"/>
  <c r="X199" i="5"/>
  <c r="W199" i="5"/>
  <c r="AP199" i="5"/>
  <c r="AB199" i="5"/>
  <c r="AA199" i="5"/>
  <c r="AN199" i="5"/>
  <c r="AM199" i="5"/>
  <c r="AM353" i="5"/>
  <c r="AB353" i="5"/>
  <c r="W353" i="5"/>
  <c r="AP353" i="5"/>
  <c r="AN353" i="5"/>
  <c r="AA353" i="5"/>
  <c r="Z353" i="5"/>
  <c r="Y353" i="5"/>
  <c r="AT353" i="5" s="1"/>
  <c r="X353" i="5"/>
  <c r="AN301" i="5"/>
  <c r="AM301" i="5"/>
  <c r="AB301" i="5"/>
  <c r="AP301" i="5"/>
  <c r="AA301" i="5"/>
  <c r="Z301" i="5"/>
  <c r="Y301" i="5"/>
  <c r="AT301" i="5" s="1"/>
  <c r="X301" i="5"/>
  <c r="W301" i="5"/>
  <c r="AB311" i="5"/>
  <c r="AA311" i="5"/>
  <c r="Z311" i="5"/>
  <c r="Y311" i="5"/>
  <c r="AT311" i="5" s="1"/>
  <c r="X311" i="5"/>
  <c r="W311" i="5"/>
  <c r="AP311" i="5"/>
  <c r="AN311" i="5"/>
  <c r="AM311" i="5"/>
  <c r="X267" i="5"/>
  <c r="W267" i="5"/>
  <c r="AP267" i="5"/>
  <c r="AN267" i="5"/>
  <c r="AM267" i="5"/>
  <c r="AB267" i="5"/>
  <c r="AA267" i="5"/>
  <c r="Z267" i="5"/>
  <c r="Y267" i="5"/>
  <c r="AT267" i="5" s="1"/>
  <c r="AB297" i="5"/>
  <c r="AA297" i="5"/>
  <c r="Z297" i="5"/>
  <c r="X297" i="5"/>
  <c r="W297" i="5"/>
  <c r="AP297" i="5"/>
  <c r="AN297" i="5"/>
  <c r="AM297" i="5"/>
  <c r="Y297" i="5"/>
  <c r="AT297" i="5" s="1"/>
  <c r="AP284" i="5"/>
  <c r="AN284" i="5"/>
  <c r="Y284" i="5"/>
  <c r="AT284" i="5" s="1"/>
  <c r="X284" i="5"/>
  <c r="W284" i="5"/>
  <c r="AM284" i="5"/>
  <c r="Z284" i="5"/>
  <c r="AA284" i="5"/>
  <c r="AB284" i="5"/>
  <c r="AB376" i="5"/>
  <c r="AA376" i="5"/>
  <c r="Z376" i="5"/>
  <c r="Y376" i="5"/>
  <c r="AT376" i="5" s="1"/>
  <c r="X376" i="5"/>
  <c r="AM376" i="5"/>
  <c r="AP376" i="5"/>
  <c r="AN376" i="5"/>
  <c r="W376" i="5"/>
  <c r="AN384" i="5"/>
  <c r="AM384" i="5"/>
  <c r="AB384" i="5"/>
  <c r="AA384" i="5"/>
  <c r="Z384" i="5"/>
  <c r="Y384" i="5"/>
  <c r="AT384" i="5" s="1"/>
  <c r="X384" i="5"/>
  <c r="W384" i="5"/>
  <c r="AP384" i="5"/>
  <c r="W327" i="5"/>
  <c r="AP327" i="5"/>
  <c r="AN327" i="5"/>
  <c r="AM327" i="5"/>
  <c r="AB327" i="5"/>
  <c r="Y327" i="5"/>
  <c r="AT327" i="5" s="1"/>
  <c r="AA327" i="5"/>
  <c r="Z327" i="5"/>
  <c r="X327" i="5"/>
  <c r="AP364" i="5"/>
  <c r="AN364" i="5"/>
  <c r="AM364" i="5"/>
  <c r="AB364" i="5"/>
  <c r="AA364" i="5"/>
  <c r="Z364" i="5"/>
  <c r="Y364" i="5"/>
  <c r="AT364" i="5" s="1"/>
  <c r="X364" i="5"/>
  <c r="W364" i="5"/>
  <c r="AP383" i="5"/>
  <c r="AN383" i="5"/>
  <c r="AM383" i="5"/>
  <c r="AA383" i="5"/>
  <c r="Z383" i="5"/>
  <c r="X383" i="5"/>
  <c r="AB383" i="5"/>
  <c r="Y383" i="5"/>
  <c r="AT383" i="5" s="1"/>
  <c r="W383" i="5"/>
  <c r="R120" i="3"/>
  <c r="Z120" i="3"/>
  <c r="Y120" i="3"/>
  <c r="X120" i="3"/>
  <c r="W120" i="3"/>
  <c r="V120" i="3"/>
  <c r="U120" i="3"/>
  <c r="T120" i="3"/>
  <c r="S120" i="3"/>
  <c r="W221" i="3"/>
  <c r="V221" i="3"/>
  <c r="U221" i="3"/>
  <c r="Z221" i="3"/>
  <c r="Y221" i="3"/>
  <c r="X221" i="3"/>
  <c r="T221" i="3"/>
  <c r="S221" i="3"/>
  <c r="R221" i="3"/>
  <c r="Y378" i="3"/>
  <c r="X378" i="3"/>
  <c r="W378" i="3"/>
  <c r="V378" i="3"/>
  <c r="U378" i="3"/>
  <c r="T378" i="3"/>
  <c r="S378" i="3"/>
  <c r="R378" i="3"/>
  <c r="Z378" i="3"/>
  <c r="R352" i="3"/>
  <c r="Z352" i="3"/>
  <c r="Y352" i="3"/>
  <c r="X352" i="3"/>
  <c r="W352" i="3"/>
  <c r="V352" i="3"/>
  <c r="U352" i="3"/>
  <c r="T352" i="3"/>
  <c r="S352" i="3"/>
  <c r="AB65" i="5"/>
  <c r="AA65" i="5"/>
  <c r="Z65" i="5"/>
  <c r="Y65" i="5"/>
  <c r="AT65" i="5" s="1"/>
  <c r="X65" i="5"/>
  <c r="W65" i="5"/>
  <c r="AP65" i="5"/>
  <c r="AN65" i="5"/>
  <c r="AM65" i="5"/>
  <c r="AN170" i="5"/>
  <c r="AM170" i="5"/>
  <c r="AB170" i="5"/>
  <c r="AA170" i="5"/>
  <c r="Z170" i="5"/>
  <c r="Y170" i="5"/>
  <c r="AT170" i="5" s="1"/>
  <c r="X170" i="5"/>
  <c r="W170" i="5"/>
  <c r="AP170" i="5"/>
  <c r="AN230" i="5"/>
  <c r="AM230" i="5"/>
  <c r="AB230" i="5"/>
  <c r="AA230" i="5"/>
  <c r="Z230" i="5"/>
  <c r="Y230" i="5"/>
  <c r="AT230" i="5" s="1"/>
  <c r="X230" i="5"/>
  <c r="W230" i="5"/>
  <c r="AP230" i="5"/>
  <c r="AN319" i="5"/>
  <c r="AM319" i="5"/>
  <c r="AP319" i="5"/>
  <c r="AB319" i="5"/>
  <c r="AA319" i="5"/>
  <c r="X319" i="5"/>
  <c r="W319" i="5"/>
  <c r="Y319" i="5"/>
  <c r="AT319" i="5" s="1"/>
  <c r="Z319" i="5"/>
  <c r="AA357" i="5"/>
  <c r="Z357" i="5"/>
  <c r="Y357" i="5"/>
  <c r="AT357" i="5" s="1"/>
  <c r="X357" i="5"/>
  <c r="W357" i="5"/>
  <c r="AP357" i="5"/>
  <c r="AB357" i="5"/>
  <c r="AN357" i="5"/>
  <c r="AM357" i="5"/>
  <c r="Y190" i="3"/>
  <c r="X190" i="3"/>
  <c r="W190" i="3"/>
  <c r="V190" i="3"/>
  <c r="U190" i="3"/>
  <c r="T190" i="3"/>
  <c r="S190" i="3"/>
  <c r="R190" i="3"/>
  <c r="Z190" i="3"/>
  <c r="R57" i="3"/>
  <c r="Z57" i="3"/>
  <c r="Y57" i="3"/>
  <c r="X57" i="3"/>
  <c r="W57" i="3"/>
  <c r="V57" i="3"/>
  <c r="U57" i="3"/>
  <c r="T57" i="3"/>
  <c r="S57" i="3"/>
  <c r="R137" i="3"/>
  <c r="Z137" i="3"/>
  <c r="Y137" i="3"/>
  <c r="X137" i="3"/>
  <c r="W137" i="3"/>
  <c r="V137" i="3"/>
  <c r="U137" i="3"/>
  <c r="T137" i="3"/>
  <c r="S137" i="3"/>
  <c r="R278" i="3"/>
  <c r="X278" i="3"/>
  <c r="Y278" i="3"/>
  <c r="W278" i="3"/>
  <c r="V278" i="3"/>
  <c r="U278" i="3"/>
  <c r="T278" i="3"/>
  <c r="S278" i="3"/>
  <c r="Z278" i="3"/>
  <c r="R289" i="3"/>
  <c r="X289" i="3"/>
  <c r="Z289" i="3"/>
  <c r="Y289" i="3"/>
  <c r="W289" i="3"/>
  <c r="V289" i="3"/>
  <c r="U289" i="3"/>
  <c r="S289" i="3"/>
  <c r="T289" i="3"/>
  <c r="AB11" i="5"/>
  <c r="AA11" i="5"/>
  <c r="Z11" i="5"/>
  <c r="Y11" i="5"/>
  <c r="AT11" i="5" s="1"/>
  <c r="X11" i="5"/>
  <c r="W11" i="5"/>
  <c r="AM11" i="5"/>
  <c r="AN11" i="5"/>
  <c r="AP11" i="5"/>
  <c r="Z75" i="5"/>
  <c r="Y75" i="5"/>
  <c r="AT75" i="5" s="1"/>
  <c r="X75" i="5"/>
  <c r="W75" i="5"/>
  <c r="AP75" i="5"/>
  <c r="AN75" i="5"/>
  <c r="AM75" i="5"/>
  <c r="AB75" i="5"/>
  <c r="AA75" i="5"/>
  <c r="AN186" i="5"/>
  <c r="AM186" i="5"/>
  <c r="X186" i="5"/>
  <c r="Z186" i="5"/>
  <c r="Y186" i="5"/>
  <c r="AT186" i="5" s="1"/>
  <c r="W186" i="5"/>
  <c r="AP186" i="5"/>
  <c r="AB186" i="5"/>
  <c r="AA186" i="5"/>
  <c r="AA243" i="5"/>
  <c r="Z243" i="5"/>
  <c r="Y243" i="5"/>
  <c r="AT243" i="5" s="1"/>
  <c r="X243" i="5"/>
  <c r="W243" i="5"/>
  <c r="AP243" i="5"/>
  <c r="AN243" i="5"/>
  <c r="AM243" i="5"/>
  <c r="AB243" i="5"/>
  <c r="AM321" i="5"/>
  <c r="AN321" i="5"/>
  <c r="AB321" i="5"/>
  <c r="AA321" i="5"/>
  <c r="Z321" i="5"/>
  <c r="Y321" i="5"/>
  <c r="AT321" i="5" s="1"/>
  <c r="AP321" i="5"/>
  <c r="X321" i="5"/>
  <c r="W321" i="5"/>
  <c r="Y193" i="3"/>
  <c r="X193" i="3"/>
  <c r="W193" i="3"/>
  <c r="V193" i="3"/>
  <c r="U193" i="3"/>
  <c r="T193" i="3"/>
  <c r="S193" i="3"/>
  <c r="R193" i="3"/>
  <c r="Z193" i="3"/>
  <c r="Y188" i="3"/>
  <c r="X188" i="3"/>
  <c r="W188" i="3"/>
  <c r="V188" i="3"/>
  <c r="U188" i="3"/>
  <c r="T188" i="3"/>
  <c r="S188" i="3"/>
  <c r="R188" i="3"/>
  <c r="Z188" i="3"/>
  <c r="W225" i="3"/>
  <c r="V225" i="3"/>
  <c r="U225" i="3"/>
  <c r="Y225" i="3"/>
  <c r="X225" i="3"/>
  <c r="T225" i="3"/>
  <c r="S225" i="3"/>
  <c r="R225" i="3"/>
  <c r="Z225" i="3"/>
  <c r="R17" i="3"/>
  <c r="Z17" i="3"/>
  <c r="Y17" i="3"/>
  <c r="X17" i="3"/>
  <c r="W17" i="3"/>
  <c r="V17" i="3"/>
  <c r="U17" i="3"/>
  <c r="T17" i="3"/>
  <c r="S17" i="3"/>
  <c r="R33" i="3"/>
  <c r="Z33" i="3"/>
  <c r="Y33" i="3"/>
  <c r="X33" i="3"/>
  <c r="W33" i="3"/>
  <c r="V33" i="3"/>
  <c r="U33" i="3"/>
  <c r="T33" i="3"/>
  <c r="S33" i="3"/>
  <c r="R49" i="3"/>
  <c r="Z49" i="3"/>
  <c r="Y49" i="3"/>
  <c r="X49" i="3"/>
  <c r="W49" i="3"/>
  <c r="V49" i="3"/>
  <c r="U49" i="3"/>
  <c r="T49" i="3"/>
  <c r="S49" i="3"/>
  <c r="R65" i="3"/>
  <c r="Z65" i="3"/>
  <c r="Y65" i="3"/>
  <c r="X65" i="3"/>
  <c r="W65" i="3"/>
  <c r="V65" i="3"/>
  <c r="U65" i="3"/>
  <c r="T65" i="3"/>
  <c r="S65" i="3"/>
  <c r="R81" i="3"/>
  <c r="Z81" i="3"/>
  <c r="Y81" i="3"/>
  <c r="X81" i="3"/>
  <c r="W81" i="3"/>
  <c r="V81" i="3"/>
  <c r="U81" i="3"/>
  <c r="T81" i="3"/>
  <c r="S81" i="3"/>
  <c r="R97" i="3"/>
  <c r="Z97" i="3"/>
  <c r="Y97" i="3"/>
  <c r="X97" i="3"/>
  <c r="W97" i="3"/>
  <c r="V97" i="3"/>
  <c r="U97" i="3"/>
  <c r="T97" i="3"/>
  <c r="S97" i="3"/>
  <c r="R113" i="3"/>
  <c r="Z113" i="3"/>
  <c r="Y113" i="3"/>
  <c r="X113" i="3"/>
  <c r="W113" i="3"/>
  <c r="V113" i="3"/>
  <c r="U113" i="3"/>
  <c r="T113" i="3"/>
  <c r="S113" i="3"/>
  <c r="R129" i="3"/>
  <c r="Z129" i="3"/>
  <c r="Y129" i="3"/>
  <c r="X129" i="3"/>
  <c r="W129" i="3"/>
  <c r="V129" i="3"/>
  <c r="U129" i="3"/>
  <c r="T129" i="3"/>
  <c r="S129" i="3"/>
  <c r="R145" i="3"/>
  <c r="Z145" i="3"/>
  <c r="Y145" i="3"/>
  <c r="X145" i="3"/>
  <c r="W145" i="3"/>
  <c r="V145" i="3"/>
  <c r="U145" i="3"/>
  <c r="T145" i="3"/>
  <c r="S145" i="3"/>
  <c r="Y156" i="3"/>
  <c r="X156" i="3"/>
  <c r="W156" i="3"/>
  <c r="V156" i="3"/>
  <c r="U156" i="3"/>
  <c r="T156" i="3"/>
  <c r="S156" i="3"/>
  <c r="R156" i="3"/>
  <c r="Z156" i="3"/>
  <c r="Y172" i="3"/>
  <c r="X172" i="3"/>
  <c r="W172" i="3"/>
  <c r="V172" i="3"/>
  <c r="U172" i="3"/>
  <c r="T172" i="3"/>
  <c r="S172" i="3"/>
  <c r="R172" i="3"/>
  <c r="Z172" i="3"/>
  <c r="U214" i="3"/>
  <c r="Z214" i="3"/>
  <c r="Y214" i="3"/>
  <c r="X214" i="3"/>
  <c r="W214" i="3"/>
  <c r="V214" i="3"/>
  <c r="T214" i="3"/>
  <c r="S214" i="3"/>
  <c r="R214" i="3"/>
  <c r="U213" i="3"/>
  <c r="T213" i="3"/>
  <c r="S213" i="3"/>
  <c r="R213" i="3"/>
  <c r="Z213" i="3"/>
  <c r="Y213" i="3"/>
  <c r="X213" i="3"/>
  <c r="W213" i="3"/>
  <c r="V213" i="3"/>
  <c r="Z257" i="3"/>
  <c r="W257" i="3"/>
  <c r="V257" i="3"/>
  <c r="U257" i="3"/>
  <c r="T257" i="3"/>
  <c r="S257" i="3"/>
  <c r="Y257" i="3"/>
  <c r="X257" i="3"/>
  <c r="R257" i="3"/>
  <c r="Z388" i="3"/>
  <c r="Y388" i="3"/>
  <c r="X388" i="3"/>
  <c r="W388" i="3"/>
  <c r="V388" i="3"/>
  <c r="U388" i="3"/>
  <c r="T388" i="3"/>
  <c r="S388" i="3"/>
  <c r="R388" i="3"/>
  <c r="Y361" i="3"/>
  <c r="X361" i="3"/>
  <c r="W361" i="3"/>
  <c r="U361" i="3"/>
  <c r="T361" i="3"/>
  <c r="R361" i="3"/>
  <c r="Z361" i="3"/>
  <c r="V361" i="3"/>
  <c r="S361" i="3"/>
  <c r="Y371" i="3"/>
  <c r="X371" i="3"/>
  <c r="W371" i="3"/>
  <c r="V371" i="3"/>
  <c r="U371" i="3"/>
  <c r="T371" i="3"/>
  <c r="S371" i="3"/>
  <c r="R371" i="3"/>
  <c r="Z371" i="3"/>
  <c r="Z400" i="3"/>
  <c r="Y400" i="3"/>
  <c r="X400" i="3"/>
  <c r="W400" i="3"/>
  <c r="V400" i="3"/>
  <c r="U400" i="3"/>
  <c r="T400" i="3"/>
  <c r="S400" i="3"/>
  <c r="R400" i="3"/>
  <c r="R297" i="3"/>
  <c r="X297" i="3"/>
  <c r="T297" i="3"/>
  <c r="S297" i="3"/>
  <c r="Z297" i="3"/>
  <c r="Y297" i="3"/>
  <c r="V297" i="3"/>
  <c r="U297" i="3"/>
  <c r="W297" i="3"/>
  <c r="R313" i="3"/>
  <c r="X313" i="3"/>
  <c r="Z313" i="3"/>
  <c r="Y313" i="3"/>
  <c r="W313" i="3"/>
  <c r="V313" i="3"/>
  <c r="U313" i="3"/>
  <c r="S313" i="3"/>
  <c r="T313" i="3"/>
  <c r="R329" i="3"/>
  <c r="Y329" i="3"/>
  <c r="X329" i="3"/>
  <c r="W329" i="3"/>
  <c r="V329" i="3"/>
  <c r="Z329" i="3"/>
  <c r="U329" i="3"/>
  <c r="T329" i="3"/>
  <c r="S329" i="3"/>
  <c r="R345" i="3"/>
  <c r="Z345" i="3"/>
  <c r="Y345" i="3"/>
  <c r="X345" i="3"/>
  <c r="W345" i="3"/>
  <c r="V345" i="3"/>
  <c r="U345" i="3"/>
  <c r="T345" i="3"/>
  <c r="S345" i="3"/>
  <c r="AM39" i="5"/>
  <c r="AB39" i="5"/>
  <c r="AA39" i="5"/>
  <c r="Z39" i="5"/>
  <c r="Y39" i="5"/>
  <c r="AT39" i="5" s="1"/>
  <c r="X39" i="5"/>
  <c r="AN39" i="5"/>
  <c r="W39" i="5"/>
  <c r="AP39" i="5"/>
  <c r="AB18" i="5"/>
  <c r="AA18" i="5"/>
  <c r="Z18" i="5"/>
  <c r="Y18" i="5"/>
  <c r="AT18" i="5" s="1"/>
  <c r="X18" i="5"/>
  <c r="W18" i="5"/>
  <c r="AP18" i="5"/>
  <c r="AN18" i="5"/>
  <c r="AM18" i="5"/>
  <c r="Y28" i="5"/>
  <c r="AT28" i="5" s="1"/>
  <c r="X28" i="5"/>
  <c r="W28" i="5"/>
  <c r="AP28" i="5"/>
  <c r="AN28" i="5"/>
  <c r="AM28" i="5"/>
  <c r="AB28" i="5"/>
  <c r="AA28" i="5"/>
  <c r="Z28" i="5"/>
  <c r="AB56" i="5"/>
  <c r="AA56" i="5"/>
  <c r="Z56" i="5"/>
  <c r="Y56" i="5"/>
  <c r="AT56" i="5" s="1"/>
  <c r="AP56" i="5"/>
  <c r="AN56" i="5"/>
  <c r="AM56" i="5"/>
  <c r="W56" i="5"/>
  <c r="X56" i="5"/>
  <c r="AB82" i="5"/>
  <c r="AA82" i="5"/>
  <c r="Z82" i="5"/>
  <c r="Y82" i="5"/>
  <c r="AT82" i="5" s="1"/>
  <c r="X82" i="5"/>
  <c r="W82" i="5"/>
  <c r="AP82" i="5"/>
  <c r="AN82" i="5"/>
  <c r="AM82" i="5"/>
  <c r="AN99" i="5"/>
  <c r="AM99" i="5"/>
  <c r="Z99" i="5"/>
  <c r="W99" i="5"/>
  <c r="AP99" i="5"/>
  <c r="AB99" i="5"/>
  <c r="AA99" i="5"/>
  <c r="Y99" i="5"/>
  <c r="AT99" i="5" s="1"/>
  <c r="X99" i="5"/>
  <c r="AB164" i="5"/>
  <c r="AA164" i="5"/>
  <c r="AP164" i="5"/>
  <c r="AN164" i="5"/>
  <c r="AM164" i="5"/>
  <c r="Z164" i="5"/>
  <c r="Y164" i="5"/>
  <c r="AT164" i="5" s="1"/>
  <c r="X164" i="5"/>
  <c r="W164" i="5"/>
  <c r="AB140" i="5"/>
  <c r="AA140" i="5"/>
  <c r="Z140" i="5"/>
  <c r="Y140" i="5"/>
  <c r="AT140" i="5" s="1"/>
  <c r="X140" i="5"/>
  <c r="W140" i="5"/>
  <c r="AP140" i="5"/>
  <c r="AM140" i="5"/>
  <c r="AN140" i="5"/>
  <c r="AN178" i="5"/>
  <c r="AM178" i="5"/>
  <c r="X178" i="5"/>
  <c r="AP178" i="5"/>
  <c r="AB178" i="5"/>
  <c r="AA178" i="5"/>
  <c r="Z178" i="5"/>
  <c r="Y178" i="5"/>
  <c r="AT178" i="5" s="1"/>
  <c r="W178" i="5"/>
  <c r="AB149" i="5"/>
  <c r="AA149" i="5"/>
  <c r="Z149" i="5"/>
  <c r="Y149" i="5"/>
  <c r="AT149" i="5" s="1"/>
  <c r="X149" i="5"/>
  <c r="W149" i="5"/>
  <c r="AP149" i="5"/>
  <c r="AN149" i="5"/>
  <c r="AM149" i="5"/>
  <c r="AP136" i="5"/>
  <c r="AN136" i="5"/>
  <c r="AM136" i="5"/>
  <c r="AB136" i="5"/>
  <c r="AA136" i="5"/>
  <c r="Z136" i="5"/>
  <c r="Y136" i="5"/>
  <c r="AT136" i="5" s="1"/>
  <c r="X136" i="5"/>
  <c r="W136" i="5"/>
  <c r="Y167" i="5"/>
  <c r="AT167" i="5" s="1"/>
  <c r="X167" i="5"/>
  <c r="W167" i="5"/>
  <c r="AP167" i="5"/>
  <c r="AB167" i="5"/>
  <c r="AA167" i="5"/>
  <c r="Z167" i="5"/>
  <c r="AN167" i="5"/>
  <c r="AM167" i="5"/>
  <c r="AB212" i="5"/>
  <c r="AA212" i="5"/>
  <c r="Z212" i="5"/>
  <c r="Y212" i="5"/>
  <c r="AT212" i="5" s="1"/>
  <c r="X212" i="5"/>
  <c r="W212" i="5"/>
  <c r="AP212" i="5"/>
  <c r="AN212" i="5"/>
  <c r="AM212" i="5"/>
  <c r="Z207" i="5"/>
  <c r="Y207" i="5"/>
  <c r="AT207" i="5" s="1"/>
  <c r="X207" i="5"/>
  <c r="W207" i="5"/>
  <c r="AP207" i="5"/>
  <c r="AN207" i="5"/>
  <c r="AM207" i="5"/>
  <c r="AB207" i="5"/>
  <c r="AA207" i="5"/>
  <c r="AN277" i="5"/>
  <c r="AP277" i="5"/>
  <c r="AM277" i="5"/>
  <c r="AB277" i="5"/>
  <c r="AA277" i="5"/>
  <c r="Y277" i="5"/>
  <c r="AT277" i="5" s="1"/>
  <c r="Z277" i="5"/>
  <c r="X277" i="5"/>
  <c r="W277" i="5"/>
  <c r="AP221" i="5"/>
  <c r="AB221" i="5"/>
  <c r="AA221" i="5"/>
  <c r="Z221" i="5"/>
  <c r="Y221" i="5"/>
  <c r="AT221" i="5" s="1"/>
  <c r="X221" i="5"/>
  <c r="W221" i="5"/>
  <c r="AN221" i="5"/>
  <c r="AM221" i="5"/>
  <c r="AB273" i="5"/>
  <c r="Z273" i="5"/>
  <c r="X273" i="5"/>
  <c r="AA273" i="5"/>
  <c r="Y273" i="5"/>
  <c r="AT273" i="5" s="1"/>
  <c r="W273" i="5"/>
  <c r="AP273" i="5"/>
  <c r="AN273" i="5"/>
  <c r="AM273" i="5"/>
  <c r="AB279" i="5"/>
  <c r="Y279" i="5"/>
  <c r="AT279" i="5" s="1"/>
  <c r="W279" i="5"/>
  <c r="AP279" i="5"/>
  <c r="AN279" i="5"/>
  <c r="AM279" i="5"/>
  <c r="Z279" i="5"/>
  <c r="AA279" i="5"/>
  <c r="X279" i="5"/>
  <c r="AB305" i="5"/>
  <c r="AA305" i="5"/>
  <c r="Z305" i="5"/>
  <c r="X305" i="5"/>
  <c r="W305" i="5"/>
  <c r="AP305" i="5"/>
  <c r="AN305" i="5"/>
  <c r="AM305" i="5"/>
  <c r="Y305" i="5"/>
  <c r="AT305" i="5" s="1"/>
  <c r="AP292" i="5"/>
  <c r="AN292" i="5"/>
  <c r="AM292" i="5"/>
  <c r="AB292" i="5"/>
  <c r="AA292" i="5"/>
  <c r="Z292" i="5"/>
  <c r="Y292" i="5"/>
  <c r="AT292" i="5" s="1"/>
  <c r="X292" i="5"/>
  <c r="W292" i="5"/>
  <c r="AB348" i="5"/>
  <c r="AA348" i="5"/>
  <c r="Z348" i="5"/>
  <c r="Y348" i="5"/>
  <c r="AT348" i="5" s="1"/>
  <c r="X348" i="5"/>
  <c r="W348" i="5"/>
  <c r="AM348" i="5"/>
  <c r="AP348" i="5"/>
  <c r="AN348" i="5"/>
  <c r="AN365" i="5"/>
  <c r="AM365" i="5"/>
  <c r="AB365" i="5"/>
  <c r="AA365" i="5"/>
  <c r="Z365" i="5"/>
  <c r="Y365" i="5"/>
  <c r="AT365" i="5" s="1"/>
  <c r="X365" i="5"/>
  <c r="W365" i="5"/>
  <c r="AP365" i="5"/>
  <c r="W335" i="5"/>
  <c r="AP335" i="5"/>
  <c r="AN335" i="5"/>
  <c r="AM335" i="5"/>
  <c r="AB335" i="5"/>
  <c r="AA335" i="5"/>
  <c r="Z335" i="5"/>
  <c r="Y335" i="5"/>
  <c r="AT335" i="5" s="1"/>
  <c r="X335" i="5"/>
  <c r="W372" i="5"/>
  <c r="AP372" i="5"/>
  <c r="AN372" i="5"/>
  <c r="AM372" i="5"/>
  <c r="AA372" i="5"/>
  <c r="AB372" i="5"/>
  <c r="Z372" i="5"/>
  <c r="Y372" i="5"/>
  <c r="AT372" i="5" s="1"/>
  <c r="X372" i="5"/>
  <c r="AP391" i="5"/>
  <c r="AN391" i="5"/>
  <c r="AM391" i="5"/>
  <c r="AB391" i="5"/>
  <c r="AA391" i="5"/>
  <c r="Z391" i="5"/>
  <c r="Y391" i="5"/>
  <c r="AT391" i="5" s="1"/>
  <c r="X391" i="5"/>
  <c r="W391" i="5"/>
  <c r="Z251" i="3"/>
  <c r="W251" i="3"/>
  <c r="V251" i="3"/>
  <c r="U251" i="3"/>
  <c r="T251" i="3"/>
  <c r="S251" i="3"/>
  <c r="Y251" i="3"/>
  <c r="X251" i="3"/>
  <c r="R251" i="3"/>
  <c r="Y209" i="3"/>
  <c r="X209" i="3"/>
  <c r="W209" i="3"/>
  <c r="V209" i="3"/>
  <c r="U209" i="3"/>
  <c r="T209" i="3"/>
  <c r="S209" i="3"/>
  <c r="R209" i="3"/>
  <c r="Z209" i="3"/>
  <c r="Y175" i="3"/>
  <c r="X175" i="3"/>
  <c r="W175" i="3"/>
  <c r="V175" i="3"/>
  <c r="U175" i="3"/>
  <c r="T175" i="3"/>
  <c r="S175" i="3"/>
  <c r="R175" i="3"/>
  <c r="Z175" i="3"/>
  <c r="R18" i="3"/>
  <c r="Z18" i="3"/>
  <c r="Y18" i="3"/>
  <c r="X18" i="3"/>
  <c r="W18" i="3"/>
  <c r="V18" i="3"/>
  <c r="U18" i="3"/>
  <c r="T18" i="3"/>
  <c r="S18" i="3"/>
  <c r="R34" i="3"/>
  <c r="Z34" i="3"/>
  <c r="Y34" i="3"/>
  <c r="X34" i="3"/>
  <c r="W34" i="3"/>
  <c r="V34" i="3"/>
  <c r="U34" i="3"/>
  <c r="T34" i="3"/>
  <c r="S34" i="3"/>
  <c r="R50" i="3"/>
  <c r="Z50" i="3"/>
  <c r="Y50" i="3"/>
  <c r="X50" i="3"/>
  <c r="W50" i="3"/>
  <c r="V50" i="3"/>
  <c r="U50" i="3"/>
  <c r="T50" i="3"/>
  <c r="S50" i="3"/>
  <c r="R66" i="3"/>
  <c r="Z66" i="3"/>
  <c r="Y66" i="3"/>
  <c r="X66" i="3"/>
  <c r="W66" i="3"/>
  <c r="V66" i="3"/>
  <c r="U66" i="3"/>
  <c r="T66" i="3"/>
  <c r="S66" i="3"/>
  <c r="R82" i="3"/>
  <c r="Z82" i="3"/>
  <c r="Y82" i="3"/>
  <c r="X82" i="3"/>
  <c r="W82" i="3"/>
  <c r="V82" i="3"/>
  <c r="U82" i="3"/>
  <c r="T82" i="3"/>
  <c r="S82" i="3"/>
  <c r="R98" i="3"/>
  <c r="Z98" i="3"/>
  <c r="Y98" i="3"/>
  <c r="X98" i="3"/>
  <c r="W98" i="3"/>
  <c r="V98" i="3"/>
  <c r="U98" i="3"/>
  <c r="T98" i="3"/>
  <c r="S98" i="3"/>
  <c r="R114" i="3"/>
  <c r="Z114" i="3"/>
  <c r="Y114" i="3"/>
  <c r="X114" i="3"/>
  <c r="W114" i="3"/>
  <c r="V114" i="3"/>
  <c r="U114" i="3"/>
  <c r="T114" i="3"/>
  <c r="S114" i="3"/>
  <c r="R130" i="3"/>
  <c r="Z130" i="3"/>
  <c r="Y130" i="3"/>
  <c r="X130" i="3"/>
  <c r="W130" i="3"/>
  <c r="V130" i="3"/>
  <c r="U130" i="3"/>
  <c r="T130" i="3"/>
  <c r="S130" i="3"/>
  <c r="R146" i="3"/>
  <c r="Z146" i="3"/>
  <c r="Y146" i="3"/>
  <c r="X146" i="3"/>
  <c r="W146" i="3"/>
  <c r="V146" i="3"/>
  <c r="U146" i="3"/>
  <c r="T146" i="3"/>
  <c r="S146" i="3"/>
  <c r="Y157" i="3"/>
  <c r="X157" i="3"/>
  <c r="W157" i="3"/>
  <c r="V157" i="3"/>
  <c r="U157" i="3"/>
  <c r="T157" i="3"/>
  <c r="S157" i="3"/>
  <c r="R157" i="3"/>
  <c r="Z157" i="3"/>
  <c r="Y173" i="3"/>
  <c r="X173" i="3"/>
  <c r="W173" i="3"/>
  <c r="V173" i="3"/>
  <c r="U173" i="3"/>
  <c r="T173" i="3"/>
  <c r="S173" i="3"/>
  <c r="R173" i="3"/>
  <c r="Z173" i="3"/>
  <c r="W216" i="3"/>
  <c r="U216" i="3"/>
  <c r="Z216" i="3"/>
  <c r="Y216" i="3"/>
  <c r="X216" i="3"/>
  <c r="V216" i="3"/>
  <c r="T216" i="3"/>
  <c r="S216" i="3"/>
  <c r="R216" i="3"/>
  <c r="R266" i="3"/>
  <c r="Z266" i="3"/>
  <c r="W266" i="3"/>
  <c r="V266" i="3"/>
  <c r="U266" i="3"/>
  <c r="T266" i="3"/>
  <c r="S266" i="3"/>
  <c r="Y266" i="3"/>
  <c r="X266" i="3"/>
  <c r="Z258" i="3"/>
  <c r="W258" i="3"/>
  <c r="V258" i="3"/>
  <c r="U258" i="3"/>
  <c r="T258" i="3"/>
  <c r="S258" i="3"/>
  <c r="Y258" i="3"/>
  <c r="X258" i="3"/>
  <c r="R258" i="3"/>
  <c r="R262" i="3"/>
  <c r="W262" i="3"/>
  <c r="V262" i="3"/>
  <c r="U262" i="3"/>
  <c r="T262" i="3"/>
  <c r="S262" i="3"/>
  <c r="Y262" i="3"/>
  <c r="X262" i="3"/>
  <c r="Z262" i="3"/>
  <c r="Y365" i="3"/>
  <c r="X365" i="3"/>
  <c r="W365" i="3"/>
  <c r="U365" i="3"/>
  <c r="T365" i="3"/>
  <c r="R365" i="3"/>
  <c r="Z365" i="3"/>
  <c r="V365" i="3"/>
  <c r="S365" i="3"/>
  <c r="Y372" i="3"/>
  <c r="X372" i="3"/>
  <c r="W372" i="3"/>
  <c r="V372" i="3"/>
  <c r="U372" i="3"/>
  <c r="T372" i="3"/>
  <c r="S372" i="3"/>
  <c r="R372" i="3"/>
  <c r="Z372" i="3"/>
  <c r="Y363" i="3"/>
  <c r="X363" i="3"/>
  <c r="W363" i="3"/>
  <c r="U363" i="3"/>
  <c r="T363" i="3"/>
  <c r="R363" i="3"/>
  <c r="Z363" i="3"/>
  <c r="V363" i="3"/>
  <c r="S363" i="3"/>
  <c r="R298" i="3"/>
  <c r="X298" i="3"/>
  <c r="Z298" i="3"/>
  <c r="Y298" i="3"/>
  <c r="W298" i="3"/>
  <c r="V298" i="3"/>
  <c r="T298" i="3"/>
  <c r="S298" i="3"/>
  <c r="U298" i="3"/>
  <c r="R314" i="3"/>
  <c r="X314" i="3"/>
  <c r="W314" i="3"/>
  <c r="S314" i="3"/>
  <c r="Z314" i="3"/>
  <c r="Y314" i="3"/>
  <c r="U314" i="3"/>
  <c r="T314" i="3"/>
  <c r="V314" i="3"/>
  <c r="R330" i="3"/>
  <c r="Y330" i="3"/>
  <c r="X330" i="3"/>
  <c r="W330" i="3"/>
  <c r="V330" i="3"/>
  <c r="Z330" i="3"/>
  <c r="U330" i="3"/>
  <c r="T330" i="3"/>
  <c r="S330" i="3"/>
  <c r="R346" i="3"/>
  <c r="Z346" i="3"/>
  <c r="Y346" i="3"/>
  <c r="X346" i="3"/>
  <c r="W346" i="3"/>
  <c r="V346" i="3"/>
  <c r="S346" i="3"/>
  <c r="U346" i="3"/>
  <c r="T346" i="3"/>
  <c r="AM23" i="5"/>
  <c r="AB23" i="5"/>
  <c r="Z23" i="5"/>
  <c r="AN23" i="5"/>
  <c r="AA23" i="5"/>
  <c r="W23" i="5"/>
  <c r="AP23" i="5"/>
  <c r="Y23" i="5"/>
  <c r="AT23" i="5" s="1"/>
  <c r="X23" i="5"/>
  <c r="AB26" i="5"/>
  <c r="AA26" i="5"/>
  <c r="Z26" i="5"/>
  <c r="Y26" i="5"/>
  <c r="AT26" i="5" s="1"/>
  <c r="X26" i="5"/>
  <c r="W26" i="5"/>
  <c r="AP26" i="5"/>
  <c r="AN26" i="5"/>
  <c r="AM26" i="5"/>
  <c r="Y36" i="5"/>
  <c r="AT36" i="5" s="1"/>
  <c r="X36" i="5"/>
  <c r="W36" i="5"/>
  <c r="AP36" i="5"/>
  <c r="AN36" i="5"/>
  <c r="AM36" i="5"/>
  <c r="AB36" i="5"/>
  <c r="AA36" i="5"/>
  <c r="Z36" i="5"/>
  <c r="AB64" i="5"/>
  <c r="AA64" i="5"/>
  <c r="Z64" i="5"/>
  <c r="Y64" i="5"/>
  <c r="AT64" i="5" s="1"/>
  <c r="X64" i="5"/>
  <c r="W64" i="5"/>
  <c r="AP64" i="5"/>
  <c r="AM64" i="5"/>
  <c r="AN64" i="5"/>
  <c r="AB90" i="5"/>
  <c r="AA90" i="5"/>
  <c r="Z90" i="5"/>
  <c r="Y90" i="5"/>
  <c r="AT90" i="5" s="1"/>
  <c r="X90" i="5"/>
  <c r="W90" i="5"/>
  <c r="AP90" i="5"/>
  <c r="AN90" i="5"/>
  <c r="AM90" i="5"/>
  <c r="AN115" i="5"/>
  <c r="AM115" i="5"/>
  <c r="AB115" i="5"/>
  <c r="AA115" i="5"/>
  <c r="Z115" i="5"/>
  <c r="Y115" i="5"/>
  <c r="AT115" i="5" s="1"/>
  <c r="X115" i="5"/>
  <c r="W115" i="5"/>
  <c r="AP115" i="5"/>
  <c r="AB181" i="5"/>
  <c r="AA181" i="5"/>
  <c r="Z181" i="5"/>
  <c r="Y181" i="5"/>
  <c r="AT181" i="5" s="1"/>
  <c r="W181" i="5"/>
  <c r="AP181" i="5"/>
  <c r="AN181" i="5"/>
  <c r="AM181" i="5"/>
  <c r="X181" i="5"/>
  <c r="X97" i="5"/>
  <c r="W97" i="5"/>
  <c r="AP97" i="5"/>
  <c r="AN97" i="5"/>
  <c r="AM97" i="5"/>
  <c r="AB97" i="5"/>
  <c r="AA97" i="5"/>
  <c r="Z97" i="5"/>
  <c r="Y97" i="5"/>
  <c r="AT97" i="5" s="1"/>
  <c r="AB147" i="5"/>
  <c r="AA147" i="5"/>
  <c r="Z147" i="5"/>
  <c r="Y147" i="5"/>
  <c r="AT147" i="5" s="1"/>
  <c r="X147" i="5"/>
  <c r="W147" i="5"/>
  <c r="AP147" i="5"/>
  <c r="AN147" i="5"/>
  <c r="AM147" i="5"/>
  <c r="AB224" i="5"/>
  <c r="AN224" i="5"/>
  <c r="AM224" i="5"/>
  <c r="AA224" i="5"/>
  <c r="Z224" i="5"/>
  <c r="Y224" i="5"/>
  <c r="AT224" i="5" s="1"/>
  <c r="X224" i="5"/>
  <c r="W224" i="5"/>
  <c r="AP224" i="5"/>
  <c r="AP144" i="5"/>
  <c r="AN144" i="5"/>
  <c r="AM144" i="5"/>
  <c r="AB144" i="5"/>
  <c r="AA144" i="5"/>
  <c r="Z144" i="5"/>
  <c r="Y144" i="5"/>
  <c r="AT144" i="5" s="1"/>
  <c r="X144" i="5"/>
  <c r="W144" i="5"/>
  <c r="Z175" i="5"/>
  <c r="Y175" i="5"/>
  <c r="AT175" i="5" s="1"/>
  <c r="X175" i="5"/>
  <c r="W175" i="5"/>
  <c r="AP175" i="5"/>
  <c r="AN175" i="5"/>
  <c r="AM175" i="5"/>
  <c r="AB175" i="5"/>
  <c r="AA175" i="5"/>
  <c r="AB247" i="5"/>
  <c r="AP247" i="5"/>
  <c r="AN247" i="5"/>
  <c r="AM247" i="5"/>
  <c r="AA247" i="5"/>
  <c r="Z247" i="5"/>
  <c r="Y247" i="5"/>
  <c r="AT247" i="5" s="1"/>
  <c r="W247" i="5"/>
  <c r="X247" i="5"/>
  <c r="Z215" i="5"/>
  <c r="Y215" i="5"/>
  <c r="AT215" i="5" s="1"/>
  <c r="X215" i="5"/>
  <c r="W215" i="5"/>
  <c r="AP215" i="5"/>
  <c r="AN215" i="5"/>
  <c r="AM215" i="5"/>
  <c r="AB215" i="5"/>
  <c r="AA215" i="5"/>
  <c r="AB262" i="5"/>
  <c r="AA262" i="5"/>
  <c r="Z262" i="5"/>
  <c r="AP262" i="5"/>
  <c r="AN262" i="5"/>
  <c r="AM262" i="5"/>
  <c r="Y262" i="5"/>
  <c r="AT262" i="5" s="1"/>
  <c r="X262" i="5"/>
  <c r="W262" i="5"/>
  <c r="AP229" i="5"/>
  <c r="AN229" i="5"/>
  <c r="AM229" i="5"/>
  <c r="AB229" i="5"/>
  <c r="AA229" i="5"/>
  <c r="Z229" i="5"/>
  <c r="Y229" i="5"/>
  <c r="AT229" i="5" s="1"/>
  <c r="X229" i="5"/>
  <c r="W229" i="5"/>
  <c r="AA278" i="5"/>
  <c r="AB278" i="5"/>
  <c r="Z278" i="5"/>
  <c r="Y278" i="5"/>
  <c r="AT278" i="5" s="1"/>
  <c r="X278" i="5"/>
  <c r="W278" i="5"/>
  <c r="AP278" i="5"/>
  <c r="AN278" i="5"/>
  <c r="AM278" i="5"/>
  <c r="AB295" i="5"/>
  <c r="AA295" i="5"/>
  <c r="Z295" i="5"/>
  <c r="Y295" i="5"/>
  <c r="AT295" i="5" s="1"/>
  <c r="X295" i="5"/>
  <c r="W295" i="5"/>
  <c r="AP295" i="5"/>
  <c r="AN295" i="5"/>
  <c r="AM295" i="5"/>
  <c r="AA325" i="5"/>
  <c r="Z325" i="5"/>
  <c r="Y325" i="5"/>
  <c r="AT325" i="5" s="1"/>
  <c r="X325" i="5"/>
  <c r="W325" i="5"/>
  <c r="AP325" i="5"/>
  <c r="AN325" i="5"/>
  <c r="AM325" i="5"/>
  <c r="AB325" i="5"/>
  <c r="AP300" i="5"/>
  <c r="AN300" i="5"/>
  <c r="AB300" i="5"/>
  <c r="AA300" i="5"/>
  <c r="Z300" i="5"/>
  <c r="Y300" i="5"/>
  <c r="AT300" i="5" s="1"/>
  <c r="X300" i="5"/>
  <c r="W300" i="5"/>
  <c r="AM300" i="5"/>
  <c r="AB354" i="5"/>
  <c r="AA354" i="5"/>
  <c r="Z354" i="5"/>
  <c r="AM354" i="5"/>
  <c r="Y354" i="5"/>
  <c r="AT354" i="5" s="1"/>
  <c r="X354" i="5"/>
  <c r="W354" i="5"/>
  <c r="AP354" i="5"/>
  <c r="AN354" i="5"/>
  <c r="AB366" i="5"/>
  <c r="AA366" i="5"/>
  <c r="Z366" i="5"/>
  <c r="Y366" i="5"/>
  <c r="AT366" i="5" s="1"/>
  <c r="X366" i="5"/>
  <c r="W366" i="5"/>
  <c r="AP366" i="5"/>
  <c r="AN366" i="5"/>
  <c r="AM366" i="5"/>
  <c r="W343" i="5"/>
  <c r="AP343" i="5"/>
  <c r="AN343" i="5"/>
  <c r="AM343" i="5"/>
  <c r="AA343" i="5"/>
  <c r="AB343" i="5"/>
  <c r="Z343" i="5"/>
  <c r="Y343" i="5"/>
  <c r="AT343" i="5" s="1"/>
  <c r="X343" i="5"/>
  <c r="AB393" i="5"/>
  <c r="Z393" i="5"/>
  <c r="AP393" i="5"/>
  <c r="AN393" i="5"/>
  <c r="AA393" i="5"/>
  <c r="W393" i="5"/>
  <c r="AM393" i="5"/>
  <c r="X393" i="5"/>
  <c r="Y393" i="5"/>
  <c r="AT393" i="5" s="1"/>
  <c r="AP399" i="5"/>
  <c r="AN399" i="5"/>
  <c r="AM399" i="5"/>
  <c r="AB399" i="5"/>
  <c r="AA399" i="5"/>
  <c r="Z399" i="5"/>
  <c r="Y399" i="5"/>
  <c r="AT399" i="5" s="1"/>
  <c r="X399" i="5"/>
  <c r="W399" i="5"/>
  <c r="Y195" i="3"/>
  <c r="X195" i="3"/>
  <c r="W195" i="3"/>
  <c r="V195" i="3"/>
  <c r="U195" i="3"/>
  <c r="T195" i="3"/>
  <c r="S195" i="3"/>
  <c r="R195" i="3"/>
  <c r="Z195" i="3"/>
  <c r="U212" i="3"/>
  <c r="Z212" i="3"/>
  <c r="X212" i="3"/>
  <c r="W212" i="3"/>
  <c r="V212" i="3"/>
  <c r="T212" i="3"/>
  <c r="S212" i="3"/>
  <c r="Y212" i="3"/>
  <c r="R212" i="3"/>
  <c r="Y179" i="3"/>
  <c r="X179" i="3"/>
  <c r="W179" i="3"/>
  <c r="V179" i="3"/>
  <c r="U179" i="3"/>
  <c r="T179" i="3"/>
  <c r="S179" i="3"/>
  <c r="R179" i="3"/>
  <c r="Z179" i="3"/>
  <c r="R19" i="3"/>
  <c r="Z19" i="3"/>
  <c r="Y19" i="3"/>
  <c r="X19" i="3"/>
  <c r="W19" i="3"/>
  <c r="V19" i="3"/>
  <c r="U19" i="3"/>
  <c r="T19" i="3"/>
  <c r="S19" i="3"/>
  <c r="R35" i="3"/>
  <c r="Z35" i="3"/>
  <c r="Y35" i="3"/>
  <c r="X35" i="3"/>
  <c r="W35" i="3"/>
  <c r="V35" i="3"/>
  <c r="U35" i="3"/>
  <c r="T35" i="3"/>
  <c r="S35" i="3"/>
  <c r="R51" i="3"/>
  <c r="Z51" i="3"/>
  <c r="Y51" i="3"/>
  <c r="X51" i="3"/>
  <c r="W51" i="3"/>
  <c r="V51" i="3"/>
  <c r="U51" i="3"/>
  <c r="T51" i="3"/>
  <c r="S51" i="3"/>
  <c r="R67" i="3"/>
  <c r="Z67" i="3"/>
  <c r="Y67" i="3"/>
  <c r="X67" i="3"/>
  <c r="W67" i="3"/>
  <c r="V67" i="3"/>
  <c r="U67" i="3"/>
  <c r="T67" i="3"/>
  <c r="S67" i="3"/>
  <c r="R83" i="3"/>
  <c r="Z83" i="3"/>
  <c r="Y83" i="3"/>
  <c r="X83" i="3"/>
  <c r="W83" i="3"/>
  <c r="V83" i="3"/>
  <c r="U83" i="3"/>
  <c r="T83" i="3"/>
  <c r="S83" i="3"/>
  <c r="R99" i="3"/>
  <c r="Z99" i="3"/>
  <c r="Y99" i="3"/>
  <c r="X99" i="3"/>
  <c r="W99" i="3"/>
  <c r="V99" i="3"/>
  <c r="U99" i="3"/>
  <c r="T99" i="3"/>
  <c r="S99" i="3"/>
  <c r="R115" i="3"/>
  <c r="Z115" i="3"/>
  <c r="Y115" i="3"/>
  <c r="X115" i="3"/>
  <c r="W115" i="3"/>
  <c r="V115" i="3"/>
  <c r="U115" i="3"/>
  <c r="T115" i="3"/>
  <c r="S115" i="3"/>
  <c r="R131" i="3"/>
  <c r="Z131" i="3"/>
  <c r="Y131" i="3"/>
  <c r="X131" i="3"/>
  <c r="W131" i="3"/>
  <c r="V131" i="3"/>
  <c r="U131" i="3"/>
  <c r="T131" i="3"/>
  <c r="S131" i="3"/>
  <c r="R147" i="3"/>
  <c r="Z147" i="3"/>
  <c r="Y147" i="3"/>
  <c r="X147" i="3"/>
  <c r="W147" i="3"/>
  <c r="V147" i="3"/>
  <c r="U147" i="3"/>
  <c r="T147" i="3"/>
  <c r="S147" i="3"/>
  <c r="Y158" i="3"/>
  <c r="X158" i="3"/>
  <c r="W158" i="3"/>
  <c r="V158" i="3"/>
  <c r="U158" i="3"/>
  <c r="T158" i="3"/>
  <c r="S158" i="3"/>
  <c r="R158" i="3"/>
  <c r="Z158" i="3"/>
  <c r="W219" i="3"/>
  <c r="U219" i="3"/>
  <c r="Z219" i="3"/>
  <c r="Y219" i="3"/>
  <c r="V219" i="3"/>
  <c r="T219" i="3"/>
  <c r="S219" i="3"/>
  <c r="R219" i="3"/>
  <c r="X219" i="3"/>
  <c r="W220" i="3"/>
  <c r="U220" i="3"/>
  <c r="Z220" i="3"/>
  <c r="Y220" i="3"/>
  <c r="X220" i="3"/>
  <c r="V220" i="3"/>
  <c r="T220" i="3"/>
  <c r="S220" i="3"/>
  <c r="R220" i="3"/>
  <c r="W223" i="3"/>
  <c r="V223" i="3"/>
  <c r="U223" i="3"/>
  <c r="S223" i="3"/>
  <c r="R223" i="3"/>
  <c r="Z223" i="3"/>
  <c r="Y223" i="3"/>
  <c r="X223" i="3"/>
  <c r="T223" i="3"/>
  <c r="R272" i="3"/>
  <c r="X272" i="3"/>
  <c r="Y272" i="3"/>
  <c r="W272" i="3"/>
  <c r="V272" i="3"/>
  <c r="U272" i="3"/>
  <c r="T272" i="3"/>
  <c r="Z272" i="3"/>
  <c r="S272" i="3"/>
  <c r="Z389" i="3"/>
  <c r="Y389" i="3"/>
  <c r="X389" i="3"/>
  <c r="W389" i="3"/>
  <c r="V389" i="3"/>
  <c r="U389" i="3"/>
  <c r="T389" i="3"/>
  <c r="S389" i="3"/>
  <c r="R389" i="3"/>
  <c r="Y369" i="3"/>
  <c r="X369" i="3"/>
  <c r="W369" i="3"/>
  <c r="U369" i="3"/>
  <c r="T369" i="3"/>
  <c r="R369" i="3"/>
  <c r="Z369" i="3"/>
  <c r="V369" i="3"/>
  <c r="S369" i="3"/>
  <c r="Y373" i="3"/>
  <c r="X373" i="3"/>
  <c r="W373" i="3"/>
  <c r="V373" i="3"/>
  <c r="U373" i="3"/>
  <c r="T373" i="3"/>
  <c r="S373" i="3"/>
  <c r="R373" i="3"/>
  <c r="Z373" i="3"/>
  <c r="Y367" i="3"/>
  <c r="X367" i="3"/>
  <c r="W367" i="3"/>
  <c r="U367" i="3"/>
  <c r="T367" i="3"/>
  <c r="R367" i="3"/>
  <c r="Z367" i="3"/>
  <c r="V367" i="3"/>
  <c r="S367" i="3"/>
  <c r="R299" i="3"/>
  <c r="X299" i="3"/>
  <c r="Y299" i="3"/>
  <c r="W299" i="3"/>
  <c r="V299" i="3"/>
  <c r="U299" i="3"/>
  <c r="T299" i="3"/>
  <c r="Z299" i="3"/>
  <c r="S299" i="3"/>
  <c r="R315" i="3"/>
  <c r="X315" i="3"/>
  <c r="W315" i="3"/>
  <c r="Y315" i="3"/>
  <c r="V315" i="3"/>
  <c r="U315" i="3"/>
  <c r="T315" i="3"/>
  <c r="S315" i="3"/>
  <c r="Z315" i="3"/>
  <c r="R331" i="3"/>
  <c r="Y331" i="3"/>
  <c r="X331" i="3"/>
  <c r="W331" i="3"/>
  <c r="V331" i="3"/>
  <c r="Z331" i="3"/>
  <c r="U331" i="3"/>
  <c r="T331" i="3"/>
  <c r="S331" i="3"/>
  <c r="R347" i="3"/>
  <c r="Z347" i="3"/>
  <c r="Y347" i="3"/>
  <c r="X347" i="3"/>
  <c r="W347" i="3"/>
  <c r="V347" i="3"/>
  <c r="U347" i="3"/>
  <c r="T347" i="3"/>
  <c r="S347" i="3"/>
  <c r="AB16" i="5"/>
  <c r="AA16" i="5"/>
  <c r="Z16" i="5"/>
  <c r="X16" i="5"/>
  <c r="AP16" i="5"/>
  <c r="AN16" i="5"/>
  <c r="AM16" i="5"/>
  <c r="Y16" i="5"/>
  <c r="AT16" i="5" s="1"/>
  <c r="W16" i="5"/>
  <c r="AM15" i="5"/>
  <c r="AB15" i="5"/>
  <c r="Z15" i="5"/>
  <c r="AA15" i="5"/>
  <c r="Y15" i="5"/>
  <c r="AT15" i="5" s="1"/>
  <c r="AP15" i="5"/>
  <c r="AN15" i="5"/>
  <c r="X15" i="5"/>
  <c r="W15" i="5"/>
  <c r="AB34" i="5"/>
  <c r="AA34" i="5"/>
  <c r="Z34" i="5"/>
  <c r="Y34" i="5"/>
  <c r="AT34" i="5" s="1"/>
  <c r="X34" i="5"/>
  <c r="W34" i="5"/>
  <c r="AP34" i="5"/>
  <c r="AN34" i="5"/>
  <c r="AM34" i="5"/>
  <c r="Y44" i="5"/>
  <c r="AT44" i="5" s="1"/>
  <c r="X44" i="5"/>
  <c r="W44" i="5"/>
  <c r="AP44" i="5"/>
  <c r="AN44" i="5"/>
  <c r="AM44" i="5"/>
  <c r="AB44" i="5"/>
  <c r="AA44" i="5"/>
  <c r="Z44" i="5"/>
  <c r="AB72" i="5"/>
  <c r="AA72" i="5"/>
  <c r="Z72" i="5"/>
  <c r="Y72" i="5"/>
  <c r="AT72" i="5" s="1"/>
  <c r="X72" i="5"/>
  <c r="W72" i="5"/>
  <c r="AP72" i="5"/>
  <c r="AN72" i="5"/>
  <c r="AM72" i="5"/>
  <c r="AN123" i="5"/>
  <c r="AM123" i="5"/>
  <c r="AB123" i="5"/>
  <c r="AA123" i="5"/>
  <c r="Z123" i="5"/>
  <c r="Y123" i="5"/>
  <c r="AT123" i="5" s="1"/>
  <c r="X123" i="5"/>
  <c r="AP123" i="5"/>
  <c r="W123" i="5"/>
  <c r="AP53" i="5"/>
  <c r="AN53" i="5"/>
  <c r="AM53" i="5"/>
  <c r="AB53" i="5"/>
  <c r="Y53" i="5"/>
  <c r="AT53" i="5" s="1"/>
  <c r="X53" i="5"/>
  <c r="W53" i="5"/>
  <c r="AA53" i="5"/>
  <c r="Z53" i="5"/>
  <c r="AB110" i="5"/>
  <c r="AA110" i="5"/>
  <c r="Z110" i="5"/>
  <c r="Y110" i="5"/>
  <c r="AT110" i="5" s="1"/>
  <c r="X110" i="5"/>
  <c r="W110" i="5"/>
  <c r="AP110" i="5"/>
  <c r="AN110" i="5"/>
  <c r="AM110" i="5"/>
  <c r="X105" i="5"/>
  <c r="W105" i="5"/>
  <c r="AP105" i="5"/>
  <c r="AN105" i="5"/>
  <c r="AM105" i="5"/>
  <c r="AB105" i="5"/>
  <c r="AA105" i="5"/>
  <c r="Z105" i="5"/>
  <c r="Y105" i="5"/>
  <c r="AT105" i="5" s="1"/>
  <c r="AB157" i="5"/>
  <c r="Y157" i="5"/>
  <c r="AT157" i="5" s="1"/>
  <c r="AM157" i="5"/>
  <c r="AA157" i="5"/>
  <c r="Z157" i="5"/>
  <c r="X157" i="5"/>
  <c r="W157" i="5"/>
  <c r="AP157" i="5"/>
  <c r="AN157" i="5"/>
  <c r="AB182" i="5"/>
  <c r="AA182" i="5"/>
  <c r="Z182" i="5"/>
  <c r="Y182" i="5"/>
  <c r="AT182" i="5" s="1"/>
  <c r="X182" i="5"/>
  <c r="W182" i="5"/>
  <c r="AP182" i="5"/>
  <c r="AN182" i="5"/>
  <c r="AM182" i="5"/>
  <c r="AP152" i="5"/>
  <c r="AN152" i="5"/>
  <c r="AM152" i="5"/>
  <c r="AB152" i="5"/>
  <c r="Y152" i="5"/>
  <c r="AT152" i="5" s="1"/>
  <c r="X152" i="5"/>
  <c r="W152" i="5"/>
  <c r="AA152" i="5"/>
  <c r="Z152" i="5"/>
  <c r="Z183" i="5"/>
  <c r="Y183" i="5"/>
  <c r="AT183" i="5" s="1"/>
  <c r="X183" i="5"/>
  <c r="W183" i="5"/>
  <c r="AP183" i="5"/>
  <c r="AM183" i="5"/>
  <c r="AN183" i="5"/>
  <c r="AB183" i="5"/>
  <c r="AA183" i="5"/>
  <c r="AB280" i="5"/>
  <c r="Z280" i="5"/>
  <c r="W280" i="5"/>
  <c r="AN280" i="5"/>
  <c r="AM280" i="5"/>
  <c r="AA280" i="5"/>
  <c r="X280" i="5"/>
  <c r="Y280" i="5"/>
  <c r="AT280" i="5" s="1"/>
  <c r="AP280" i="5"/>
  <c r="Z223" i="5"/>
  <c r="Y223" i="5"/>
  <c r="AT223" i="5" s="1"/>
  <c r="X223" i="5"/>
  <c r="W223" i="5"/>
  <c r="AP223" i="5"/>
  <c r="AN223" i="5"/>
  <c r="AM223" i="5"/>
  <c r="AB223" i="5"/>
  <c r="AA223" i="5"/>
  <c r="AB242" i="5"/>
  <c r="AA242" i="5"/>
  <c r="Z242" i="5"/>
  <c r="Y242" i="5"/>
  <c r="AT242" i="5" s="1"/>
  <c r="X242" i="5"/>
  <c r="W242" i="5"/>
  <c r="AP242" i="5"/>
  <c r="AN242" i="5"/>
  <c r="AM242" i="5"/>
  <c r="W237" i="5"/>
  <c r="AP237" i="5"/>
  <c r="AN237" i="5"/>
  <c r="AM237" i="5"/>
  <c r="AA237" i="5"/>
  <c r="AB237" i="5"/>
  <c r="Z237" i="5"/>
  <c r="Y237" i="5"/>
  <c r="AT237" i="5" s="1"/>
  <c r="X237" i="5"/>
  <c r="AB257" i="5"/>
  <c r="AA257" i="5"/>
  <c r="Z257" i="5"/>
  <c r="Y257" i="5"/>
  <c r="AT257" i="5" s="1"/>
  <c r="X257" i="5"/>
  <c r="W257" i="5"/>
  <c r="AP257" i="5"/>
  <c r="AN257" i="5"/>
  <c r="AM257" i="5"/>
  <c r="AP252" i="5"/>
  <c r="AN252" i="5"/>
  <c r="AM252" i="5"/>
  <c r="AA252" i="5"/>
  <c r="Z252" i="5"/>
  <c r="Y252" i="5"/>
  <c r="AT252" i="5" s="1"/>
  <c r="X252" i="5"/>
  <c r="W252" i="5"/>
  <c r="AB252" i="5"/>
  <c r="AB340" i="5"/>
  <c r="AA340" i="5"/>
  <c r="Z340" i="5"/>
  <c r="Y340" i="5"/>
  <c r="AT340" i="5" s="1"/>
  <c r="W340" i="5"/>
  <c r="AP340" i="5"/>
  <c r="AN340" i="5"/>
  <c r="AM340" i="5"/>
  <c r="X340" i="5"/>
  <c r="AP308" i="5"/>
  <c r="AN308" i="5"/>
  <c r="AM308" i="5"/>
  <c r="AB308" i="5"/>
  <c r="AA308" i="5"/>
  <c r="Z308" i="5"/>
  <c r="Y308" i="5"/>
  <c r="AT308" i="5" s="1"/>
  <c r="W308" i="5"/>
  <c r="X308" i="5"/>
  <c r="Z316" i="5"/>
  <c r="Y316" i="5"/>
  <c r="AT316" i="5" s="1"/>
  <c r="AP316" i="5"/>
  <c r="AN316" i="5"/>
  <c r="AM316" i="5"/>
  <c r="AB316" i="5"/>
  <c r="AA316" i="5"/>
  <c r="X316" i="5"/>
  <c r="W316" i="5"/>
  <c r="AB367" i="5"/>
  <c r="AA367" i="5"/>
  <c r="Z367" i="5"/>
  <c r="Y367" i="5"/>
  <c r="AT367" i="5" s="1"/>
  <c r="X367" i="5"/>
  <c r="W367" i="5"/>
  <c r="AP367" i="5"/>
  <c r="AN367" i="5"/>
  <c r="AM367" i="5"/>
  <c r="W351" i="5"/>
  <c r="AP351" i="5"/>
  <c r="AN351" i="5"/>
  <c r="AM351" i="5"/>
  <c r="AA351" i="5"/>
  <c r="AB351" i="5"/>
  <c r="Z351" i="5"/>
  <c r="Y351" i="5"/>
  <c r="AT351" i="5" s="1"/>
  <c r="X351" i="5"/>
  <c r="AA403" i="5"/>
  <c r="AN403" i="5"/>
  <c r="AM403" i="5"/>
  <c r="AB403" i="5"/>
  <c r="Z403" i="5"/>
  <c r="Y403" i="5"/>
  <c r="AT403" i="5" s="1"/>
  <c r="X403" i="5"/>
  <c r="AP403" i="5"/>
  <c r="W403" i="5"/>
  <c r="I14" i="3" l="1"/>
  <c r="E14" i="3"/>
  <c r="A5" i="3"/>
  <c r="E13" i="3"/>
  <c r="AB8" i="3"/>
  <c r="E10" i="3"/>
  <c r="AH388" i="3"/>
  <c r="AG388" i="3"/>
  <c r="AF388" i="3"/>
  <c r="AE388" i="3"/>
  <c r="AH344" i="3"/>
  <c r="AG344" i="3"/>
  <c r="AF344" i="3"/>
  <c r="AE344" i="3"/>
  <c r="BA385" i="5"/>
  <c r="AX385" i="5"/>
  <c r="AY385" i="5"/>
  <c r="BA155" i="5"/>
  <c r="AY155" i="5"/>
  <c r="AX155" i="5"/>
  <c r="AH170" i="3"/>
  <c r="AG170" i="3"/>
  <c r="AF170" i="3"/>
  <c r="AE170" i="3"/>
  <c r="AH29" i="3"/>
  <c r="AG29" i="3"/>
  <c r="AF29" i="3"/>
  <c r="AE29" i="3"/>
  <c r="AH308" i="3"/>
  <c r="AG308" i="3"/>
  <c r="AF308" i="3"/>
  <c r="AE308" i="3"/>
  <c r="AH106" i="3"/>
  <c r="AG106" i="3"/>
  <c r="AF106" i="3"/>
  <c r="AE106" i="3"/>
  <c r="AW288" i="5"/>
  <c r="AR288" i="5"/>
  <c r="BD288" i="5"/>
  <c r="BC288" i="5"/>
  <c r="AS288" i="5"/>
  <c r="BA27" i="5"/>
  <c r="AX27" i="5"/>
  <c r="AY27" i="5"/>
  <c r="AR168" i="5"/>
  <c r="BD168" i="5"/>
  <c r="BC168" i="5"/>
  <c r="AW168" i="5"/>
  <c r="AS168" i="5"/>
  <c r="AS111" i="5"/>
  <c r="AR111" i="5"/>
  <c r="BD111" i="5"/>
  <c r="BC111" i="5"/>
  <c r="AW111" i="5"/>
  <c r="AH320" i="3"/>
  <c r="AG320" i="3"/>
  <c r="AF320" i="3"/>
  <c r="AE320" i="3"/>
  <c r="AH100" i="3"/>
  <c r="AG100" i="3"/>
  <c r="AF100" i="3"/>
  <c r="AE100" i="3"/>
  <c r="AR390" i="5"/>
  <c r="BD390" i="5"/>
  <c r="BC390" i="5"/>
  <c r="AW390" i="5"/>
  <c r="AS390" i="5"/>
  <c r="BA381" i="5"/>
  <c r="AX381" i="5"/>
  <c r="AY381" i="5"/>
  <c r="BA146" i="5"/>
  <c r="AY146" i="5"/>
  <c r="AX146" i="5"/>
  <c r="BA112" i="5"/>
  <c r="AY112" i="5"/>
  <c r="AX112" i="5"/>
  <c r="AH46" i="3"/>
  <c r="AG46" i="3"/>
  <c r="AF46" i="3"/>
  <c r="AE46" i="3"/>
  <c r="BC382" i="5"/>
  <c r="AW382" i="5"/>
  <c r="AS382" i="5"/>
  <c r="AR382" i="5"/>
  <c r="BD382" i="5"/>
  <c r="AX256" i="5"/>
  <c r="BA256" i="5"/>
  <c r="AY256" i="5"/>
  <c r="BA151" i="5"/>
  <c r="AY151" i="5"/>
  <c r="AX151" i="5"/>
  <c r="AS401" i="5"/>
  <c r="AR401" i="5"/>
  <c r="BD401" i="5"/>
  <c r="BC401" i="5"/>
  <c r="AW401" i="5"/>
  <c r="BA201" i="5"/>
  <c r="AY201" i="5"/>
  <c r="AX201" i="5"/>
  <c r="AW196" i="5"/>
  <c r="BD196" i="5"/>
  <c r="BC196" i="5"/>
  <c r="AS196" i="5"/>
  <c r="AR196" i="5"/>
  <c r="AY396" i="5"/>
  <c r="AX396" i="5"/>
  <c r="BA396" i="5"/>
  <c r="AH336" i="3"/>
  <c r="AG336" i="3"/>
  <c r="AF336" i="3"/>
  <c r="AE336" i="3"/>
  <c r="BA350" i="5"/>
  <c r="AY350" i="5"/>
  <c r="AX350" i="5"/>
  <c r="AG189" i="3"/>
  <c r="AF189" i="3"/>
  <c r="AH189" i="3"/>
  <c r="AE189" i="3"/>
  <c r="AH92" i="3"/>
  <c r="AG92" i="3"/>
  <c r="AF92" i="3"/>
  <c r="AE92" i="3"/>
  <c r="AR363" i="5"/>
  <c r="BD363" i="5"/>
  <c r="BC363" i="5"/>
  <c r="AW363" i="5"/>
  <c r="AS363" i="5"/>
  <c r="AW346" i="5"/>
  <c r="AS346" i="5"/>
  <c r="AR346" i="5"/>
  <c r="BD346" i="5"/>
  <c r="BC346" i="5"/>
  <c r="BA291" i="5"/>
  <c r="AY291" i="5"/>
  <c r="AX291" i="5"/>
  <c r="BA344" i="5"/>
  <c r="AY344" i="5"/>
  <c r="AX344" i="5"/>
  <c r="AW101" i="5"/>
  <c r="AS101" i="5"/>
  <c r="BD101" i="5"/>
  <c r="BC101" i="5"/>
  <c r="AR101" i="5"/>
  <c r="AH285" i="3"/>
  <c r="AG285" i="3"/>
  <c r="AF285" i="3"/>
  <c r="AE285" i="3"/>
  <c r="AH166" i="3"/>
  <c r="AG166" i="3"/>
  <c r="AF166" i="3"/>
  <c r="AE166" i="3"/>
  <c r="AH139" i="3"/>
  <c r="AG139" i="3"/>
  <c r="AF139" i="3"/>
  <c r="AE139" i="3"/>
  <c r="BA378" i="5"/>
  <c r="AY378" i="5"/>
  <c r="AX378" i="5"/>
  <c r="AH290" i="3"/>
  <c r="AG290" i="3"/>
  <c r="AF290" i="3"/>
  <c r="AE290" i="3"/>
  <c r="AH148" i="3"/>
  <c r="AG148" i="3"/>
  <c r="AF148" i="3"/>
  <c r="AE148" i="3"/>
  <c r="AY388" i="5"/>
  <c r="AX388" i="5"/>
  <c r="BA388" i="5"/>
  <c r="BA352" i="5"/>
  <c r="AY352" i="5"/>
  <c r="AX352" i="5"/>
  <c r="BA269" i="5"/>
  <c r="AY269" i="5"/>
  <c r="AX269" i="5"/>
  <c r="BA227" i="5"/>
  <c r="AY227" i="5"/>
  <c r="AX227" i="5"/>
  <c r="BC130" i="5"/>
  <c r="AS130" i="5"/>
  <c r="AR130" i="5"/>
  <c r="BD130" i="5"/>
  <c r="AW130" i="5"/>
  <c r="AS103" i="5"/>
  <c r="AR103" i="5"/>
  <c r="BC103" i="5"/>
  <c r="AW103" i="5"/>
  <c r="BD103" i="5"/>
  <c r="BA50" i="5"/>
  <c r="AY50" i="5"/>
  <c r="AX50" i="5"/>
  <c r="BA47" i="5"/>
  <c r="AY47" i="5"/>
  <c r="AX47" i="5"/>
  <c r="AF250" i="3"/>
  <c r="AE250" i="3"/>
  <c r="AH250" i="3"/>
  <c r="AG250" i="3"/>
  <c r="AH39" i="3"/>
  <c r="AG39" i="3"/>
  <c r="AF39" i="3"/>
  <c r="AE39" i="3"/>
  <c r="BA392" i="5"/>
  <c r="AY392" i="5"/>
  <c r="AX392" i="5"/>
  <c r="BD337" i="5"/>
  <c r="BC337" i="5"/>
  <c r="AW337" i="5"/>
  <c r="AS337" i="5"/>
  <c r="AR337" i="5"/>
  <c r="BD13" i="5"/>
  <c r="BC13" i="5"/>
  <c r="AW13" i="5"/>
  <c r="AS13" i="5"/>
  <c r="AU13" i="5" s="1"/>
  <c r="AV13" i="5" s="1"/>
  <c r="AR13" i="5"/>
  <c r="AH284" i="3"/>
  <c r="AG284" i="3"/>
  <c r="AF284" i="3"/>
  <c r="AE284" i="3"/>
  <c r="AS369" i="5"/>
  <c r="AR369" i="5"/>
  <c r="BD369" i="5"/>
  <c r="BC369" i="5"/>
  <c r="AW369" i="5"/>
  <c r="AW48" i="5"/>
  <c r="BD48" i="5"/>
  <c r="BC48" i="5"/>
  <c r="AS48" i="5"/>
  <c r="AU48" i="5" s="1"/>
  <c r="AV48" i="5" s="1"/>
  <c r="AR48" i="5"/>
  <c r="AW187" i="5"/>
  <c r="BC187" i="5"/>
  <c r="AS187" i="5"/>
  <c r="AR187" i="5"/>
  <c r="BD187" i="5"/>
  <c r="AY93" i="5"/>
  <c r="AX93" i="5"/>
  <c r="BA93" i="5"/>
  <c r="AH52" i="3"/>
  <c r="AG52" i="3"/>
  <c r="AF52" i="3"/>
  <c r="AE52" i="3"/>
  <c r="AY383" i="5"/>
  <c r="AX383" i="5"/>
  <c r="BA383" i="5"/>
  <c r="BA163" i="5"/>
  <c r="AY163" i="5"/>
  <c r="AX163" i="5"/>
  <c r="AW312" i="5"/>
  <c r="AS312" i="5"/>
  <c r="AR312" i="5"/>
  <c r="BD312" i="5"/>
  <c r="BC312" i="5"/>
  <c r="AH152" i="3"/>
  <c r="AG152" i="3"/>
  <c r="AF152" i="3"/>
  <c r="AE152" i="3"/>
  <c r="AW34" i="5"/>
  <c r="AS34" i="5"/>
  <c r="AR34" i="5"/>
  <c r="BD34" i="5"/>
  <c r="BC34" i="5"/>
  <c r="AR305" i="5"/>
  <c r="BD305" i="5"/>
  <c r="AW305" i="5"/>
  <c r="AS305" i="5"/>
  <c r="BC305" i="5"/>
  <c r="AY212" i="5"/>
  <c r="AX212" i="5"/>
  <c r="BA212" i="5"/>
  <c r="AS243" i="5"/>
  <c r="AR243" i="5"/>
  <c r="BD243" i="5"/>
  <c r="BC243" i="5"/>
  <c r="AW243" i="5"/>
  <c r="AR297" i="5"/>
  <c r="BD297" i="5"/>
  <c r="BC297" i="5"/>
  <c r="AW297" i="5"/>
  <c r="AS297" i="5"/>
  <c r="AH96" i="3"/>
  <c r="AG96" i="3"/>
  <c r="AF96" i="3"/>
  <c r="AE96" i="3"/>
  <c r="AF222" i="3"/>
  <c r="AE222" i="3"/>
  <c r="AH222" i="3"/>
  <c r="AG222" i="3"/>
  <c r="AX94" i="5"/>
  <c r="BA94" i="5"/>
  <c r="AY94" i="5"/>
  <c r="AH367" i="3"/>
  <c r="AG367" i="3"/>
  <c r="AF367" i="3"/>
  <c r="AE367" i="3"/>
  <c r="AY224" i="5"/>
  <c r="BA224" i="5"/>
  <c r="AX224" i="5"/>
  <c r="AW64" i="5"/>
  <c r="AS64" i="5"/>
  <c r="AR64" i="5"/>
  <c r="BD64" i="5"/>
  <c r="BC64" i="5"/>
  <c r="AX279" i="5"/>
  <c r="BA279" i="5"/>
  <c r="AY279" i="5"/>
  <c r="BA356" i="5"/>
  <c r="AX356" i="5"/>
  <c r="AY356" i="5"/>
  <c r="BA214" i="5"/>
  <c r="AY214" i="5"/>
  <c r="AX214" i="5"/>
  <c r="AS120" i="5"/>
  <c r="AR120" i="5"/>
  <c r="BD120" i="5"/>
  <c r="BC120" i="5"/>
  <c r="AW120" i="5"/>
  <c r="AH72" i="3"/>
  <c r="AG72" i="3"/>
  <c r="AF72" i="3"/>
  <c r="AE72" i="3"/>
  <c r="BA226" i="5"/>
  <c r="AY226" i="5"/>
  <c r="AX226" i="5"/>
  <c r="BD209" i="5"/>
  <c r="BC209" i="5"/>
  <c r="AW209" i="5"/>
  <c r="AS209" i="5"/>
  <c r="AR209" i="5"/>
  <c r="AH353" i="3"/>
  <c r="AG353" i="3"/>
  <c r="AF353" i="3"/>
  <c r="AE353" i="3"/>
  <c r="AR208" i="5"/>
  <c r="BD208" i="5"/>
  <c r="BC208" i="5"/>
  <c r="AW208" i="5"/>
  <c r="AS208" i="5"/>
  <c r="AH324" i="3"/>
  <c r="AG324" i="3"/>
  <c r="AF324" i="3"/>
  <c r="AE324" i="3"/>
  <c r="AG192" i="3"/>
  <c r="AF192" i="3"/>
  <c r="AE192" i="3"/>
  <c r="AH192" i="3"/>
  <c r="AW156" i="5"/>
  <c r="AS156" i="5"/>
  <c r="AR156" i="5"/>
  <c r="BD156" i="5"/>
  <c r="BC156" i="5"/>
  <c r="BA32" i="5"/>
  <c r="AY32" i="5"/>
  <c r="AX32" i="5"/>
  <c r="AH273" i="3"/>
  <c r="AG273" i="3"/>
  <c r="AF273" i="3"/>
  <c r="AE273" i="3"/>
  <c r="AY342" i="5"/>
  <c r="AX342" i="5"/>
  <c r="BA342" i="5"/>
  <c r="AX225" i="5"/>
  <c r="AY225" i="5"/>
  <c r="BA225" i="5"/>
  <c r="AF381" i="3"/>
  <c r="AE381" i="3"/>
  <c r="AH381" i="3"/>
  <c r="AG381" i="3"/>
  <c r="AY303" i="5"/>
  <c r="AX303" i="5"/>
  <c r="BA303" i="5"/>
  <c r="BA184" i="5"/>
  <c r="AY184" i="5"/>
  <c r="AX184" i="5"/>
  <c r="BA98" i="5"/>
  <c r="AY98" i="5"/>
  <c r="AX98" i="5"/>
  <c r="AS127" i="5"/>
  <c r="AR127" i="5"/>
  <c r="BD127" i="5"/>
  <c r="BC127" i="5"/>
  <c r="AW127" i="5"/>
  <c r="BA162" i="5"/>
  <c r="AY162" i="5"/>
  <c r="AX162" i="5"/>
  <c r="AS51" i="5"/>
  <c r="AR51" i="5"/>
  <c r="BD51" i="5"/>
  <c r="BC51" i="5"/>
  <c r="AW51" i="5"/>
  <c r="AH54" i="3"/>
  <c r="AG54" i="3"/>
  <c r="AF54" i="3"/>
  <c r="AE54" i="3"/>
  <c r="AS316" i="5"/>
  <c r="BD316" i="5"/>
  <c r="AR316" i="5"/>
  <c r="BC316" i="5"/>
  <c r="AW316" i="5"/>
  <c r="BA15" i="5"/>
  <c r="AY15" i="5"/>
  <c r="AX15" i="5"/>
  <c r="AG195" i="3"/>
  <c r="AF195" i="3"/>
  <c r="AE195" i="3"/>
  <c r="AH195" i="3"/>
  <c r="AF372" i="3"/>
  <c r="AE372" i="3"/>
  <c r="AH372" i="3"/>
  <c r="AG372" i="3"/>
  <c r="BA391" i="5"/>
  <c r="AY391" i="5"/>
  <c r="AX391" i="5"/>
  <c r="BA178" i="5"/>
  <c r="AY178" i="5"/>
  <c r="AX178" i="5"/>
  <c r="BA165" i="5"/>
  <c r="AY165" i="5"/>
  <c r="AX165" i="5"/>
  <c r="BC270" i="5"/>
  <c r="AW270" i="5"/>
  <c r="AR270" i="5"/>
  <c r="BD270" i="5"/>
  <c r="AS270" i="5"/>
  <c r="AH327" i="3"/>
  <c r="AG327" i="3"/>
  <c r="AF327" i="3"/>
  <c r="AE327" i="3"/>
  <c r="BA104" i="5"/>
  <c r="AY104" i="5"/>
  <c r="AX104" i="5"/>
  <c r="AF370" i="3"/>
  <c r="AE370" i="3"/>
  <c r="AH370" i="3"/>
  <c r="AG370" i="3"/>
  <c r="AW387" i="5"/>
  <c r="AR387" i="5"/>
  <c r="AS387" i="5"/>
  <c r="BD387" i="5"/>
  <c r="BC387" i="5"/>
  <c r="AH385" i="3"/>
  <c r="AG385" i="3"/>
  <c r="AF385" i="3"/>
  <c r="AE385" i="3"/>
  <c r="AH153" i="3"/>
  <c r="AG153" i="3"/>
  <c r="AF153" i="3"/>
  <c r="AE153" i="3"/>
  <c r="BA169" i="5"/>
  <c r="AY169" i="5"/>
  <c r="AX169" i="5"/>
  <c r="BD29" i="5"/>
  <c r="BC29" i="5"/>
  <c r="AW29" i="5"/>
  <c r="AS29" i="5"/>
  <c r="AR29" i="5"/>
  <c r="AW73" i="5"/>
  <c r="AS73" i="5"/>
  <c r="AR73" i="5"/>
  <c r="BD73" i="5"/>
  <c r="BC73" i="5"/>
  <c r="AW190" i="5"/>
  <c r="AS190" i="5"/>
  <c r="AR190" i="5"/>
  <c r="BC190" i="5"/>
  <c r="BD190" i="5"/>
  <c r="AH75" i="3"/>
  <c r="AG75" i="3"/>
  <c r="AF75" i="3"/>
  <c r="AE75" i="3"/>
  <c r="BA324" i="5"/>
  <c r="AY324" i="5"/>
  <c r="AX324" i="5"/>
  <c r="AW232" i="5"/>
  <c r="BD232" i="5"/>
  <c r="BC232" i="5"/>
  <c r="AS232" i="5"/>
  <c r="AR232" i="5"/>
  <c r="BA85" i="5"/>
  <c r="AY85" i="5"/>
  <c r="AX85" i="5"/>
  <c r="AG184" i="3"/>
  <c r="AF184" i="3"/>
  <c r="AH184" i="3"/>
  <c r="AE184" i="3"/>
  <c r="AS182" i="5"/>
  <c r="AR182" i="5"/>
  <c r="BD182" i="5"/>
  <c r="BC182" i="5"/>
  <c r="AW182" i="5"/>
  <c r="BD123" i="5"/>
  <c r="BC123" i="5"/>
  <c r="AW123" i="5"/>
  <c r="AS123" i="5"/>
  <c r="AR123" i="5"/>
  <c r="AF258" i="3"/>
  <c r="AE258" i="3"/>
  <c r="AH258" i="3"/>
  <c r="AG258" i="3"/>
  <c r="AS149" i="5"/>
  <c r="AR149" i="5"/>
  <c r="BD149" i="5"/>
  <c r="BC149" i="5"/>
  <c r="AW149" i="5"/>
  <c r="BA82" i="5"/>
  <c r="AY82" i="5"/>
  <c r="AX82" i="5"/>
  <c r="AH345" i="3"/>
  <c r="AG345" i="3"/>
  <c r="AF345" i="3"/>
  <c r="AE345" i="3"/>
  <c r="BD301" i="5"/>
  <c r="BC301" i="5"/>
  <c r="AW301" i="5"/>
  <c r="AS301" i="5"/>
  <c r="AR301" i="5"/>
  <c r="AS141" i="5"/>
  <c r="AR141" i="5"/>
  <c r="BC141" i="5"/>
  <c r="BD141" i="5"/>
  <c r="AW141" i="5"/>
  <c r="AH143" i="3"/>
  <c r="AG143" i="3"/>
  <c r="AF143" i="3"/>
  <c r="AE143" i="3"/>
  <c r="BD403" i="5"/>
  <c r="BC403" i="5"/>
  <c r="AW403" i="5"/>
  <c r="AR403" i="5"/>
  <c r="AS403" i="5"/>
  <c r="AH115" i="3"/>
  <c r="AG115" i="3"/>
  <c r="AF115" i="3"/>
  <c r="AE115" i="3"/>
  <c r="BA175" i="5"/>
  <c r="AY175" i="5"/>
  <c r="AX175" i="5"/>
  <c r="BA335" i="5"/>
  <c r="AY335" i="5"/>
  <c r="AX335" i="5"/>
  <c r="AG180" i="3"/>
  <c r="AF180" i="3"/>
  <c r="AH180" i="3"/>
  <c r="AE180" i="3"/>
  <c r="AH321" i="3"/>
  <c r="AG321" i="3"/>
  <c r="AF321" i="3"/>
  <c r="AE321" i="3"/>
  <c r="BA244" i="5"/>
  <c r="AY244" i="5"/>
  <c r="AX244" i="5"/>
  <c r="BD152" i="5"/>
  <c r="BC152" i="5"/>
  <c r="AW152" i="5"/>
  <c r="AS152" i="5"/>
  <c r="AU152" i="5" s="1"/>
  <c r="AV152" i="5" s="1"/>
  <c r="AR152" i="5"/>
  <c r="AH32" i="3"/>
  <c r="AG32" i="3"/>
  <c r="AF32" i="3"/>
  <c r="AE32" i="3"/>
  <c r="AH108" i="3"/>
  <c r="AG108" i="3"/>
  <c r="AF108" i="3"/>
  <c r="AE108" i="3"/>
  <c r="AS362" i="5"/>
  <c r="AR362" i="5"/>
  <c r="BC362" i="5"/>
  <c r="AW362" i="5"/>
  <c r="BD362" i="5"/>
  <c r="AY386" i="5"/>
  <c r="AX386" i="5"/>
  <c r="BA386" i="5"/>
  <c r="AX264" i="5"/>
  <c r="BA264" i="5"/>
  <c r="AY264" i="5"/>
  <c r="AW197" i="5"/>
  <c r="AS197" i="5"/>
  <c r="BD197" i="5"/>
  <c r="BC197" i="5"/>
  <c r="AR197" i="5"/>
  <c r="BA114" i="5"/>
  <c r="AY114" i="5"/>
  <c r="AX114" i="5"/>
  <c r="AR228" i="5"/>
  <c r="BD228" i="5"/>
  <c r="BC228" i="5"/>
  <c r="AW228" i="5"/>
  <c r="AS228" i="5"/>
  <c r="AH402" i="3"/>
  <c r="AG402" i="3"/>
  <c r="AF402" i="3"/>
  <c r="AE402" i="3"/>
  <c r="BD45" i="5"/>
  <c r="BC45" i="5"/>
  <c r="AW45" i="5"/>
  <c r="AS45" i="5"/>
  <c r="AR45" i="5"/>
  <c r="AW204" i="5"/>
  <c r="AR204" i="5"/>
  <c r="BC204" i="5"/>
  <c r="AS204" i="5"/>
  <c r="BD204" i="5"/>
  <c r="AH50" i="3"/>
  <c r="AG50" i="3"/>
  <c r="AF50" i="3"/>
  <c r="AE50" i="3"/>
  <c r="AF251" i="3"/>
  <c r="AE251" i="3"/>
  <c r="AH251" i="3"/>
  <c r="AG251" i="3"/>
  <c r="BA348" i="5"/>
  <c r="AX348" i="5"/>
  <c r="AY348" i="5"/>
  <c r="AY221" i="5"/>
  <c r="AX221" i="5"/>
  <c r="BA221" i="5"/>
  <c r="BA136" i="5"/>
  <c r="AY136" i="5"/>
  <c r="AX136" i="5"/>
  <c r="AW18" i="5"/>
  <c r="AS18" i="5"/>
  <c r="AR18" i="5"/>
  <c r="BD18" i="5"/>
  <c r="BC18" i="5"/>
  <c r="AH214" i="3"/>
  <c r="AG214" i="3"/>
  <c r="AF214" i="3"/>
  <c r="AE214" i="3"/>
  <c r="AH97" i="3"/>
  <c r="AG97" i="3"/>
  <c r="AF97" i="3"/>
  <c r="AE97" i="3"/>
  <c r="BD170" i="5"/>
  <c r="BC170" i="5"/>
  <c r="AW170" i="5"/>
  <c r="AS170" i="5"/>
  <c r="AR170" i="5"/>
  <c r="BD364" i="5"/>
  <c r="BC364" i="5"/>
  <c r="AW364" i="5"/>
  <c r="AR364" i="5"/>
  <c r="AS364" i="5"/>
  <c r="BA74" i="5"/>
  <c r="AY74" i="5"/>
  <c r="AX74" i="5"/>
  <c r="AH210" i="3"/>
  <c r="AG210" i="3"/>
  <c r="AF210" i="3"/>
  <c r="AE210" i="3"/>
  <c r="BA92" i="5"/>
  <c r="AY92" i="5"/>
  <c r="AX92" i="5"/>
  <c r="BA351" i="5"/>
  <c r="AY351" i="5"/>
  <c r="AX351" i="5"/>
  <c r="AG188" i="3"/>
  <c r="AF188" i="3"/>
  <c r="AH188" i="3"/>
  <c r="AE188" i="3"/>
  <c r="BA327" i="5"/>
  <c r="AX327" i="5"/>
  <c r="AY327" i="5"/>
  <c r="BA133" i="5"/>
  <c r="AY133" i="5"/>
  <c r="AX133" i="5"/>
  <c r="AW180" i="5"/>
  <c r="AS180" i="5"/>
  <c r="BD180" i="5"/>
  <c r="BC180" i="5"/>
  <c r="AR180" i="5"/>
  <c r="AX371" i="5"/>
  <c r="BA371" i="5"/>
  <c r="AY371" i="5"/>
  <c r="BC116" i="5"/>
  <c r="AW116" i="5"/>
  <c r="AS116" i="5"/>
  <c r="AR116" i="5"/>
  <c r="BD116" i="5"/>
  <c r="BC146" i="5"/>
  <c r="AW146" i="5"/>
  <c r="AS146" i="5"/>
  <c r="AU146" i="5" s="1"/>
  <c r="AV146" i="5" s="1"/>
  <c r="AR146" i="5"/>
  <c r="BD146" i="5"/>
  <c r="M5" i="4"/>
  <c r="C60" i="4" s="1"/>
  <c r="M8" i="4"/>
  <c r="F60" i="4" s="1"/>
  <c r="M7" i="4"/>
  <c r="M6" i="4"/>
  <c r="AF254" i="3"/>
  <c r="AE254" i="3"/>
  <c r="AH254" i="3"/>
  <c r="AG254" i="3"/>
  <c r="AR307" i="5"/>
  <c r="BD307" i="5"/>
  <c r="BC307" i="5"/>
  <c r="AW307" i="5"/>
  <c r="AS307" i="5"/>
  <c r="BC154" i="5"/>
  <c r="BD154" i="5"/>
  <c r="AW154" i="5"/>
  <c r="AS154" i="5"/>
  <c r="AU154" i="5" s="1"/>
  <c r="AV154" i="5" s="1"/>
  <c r="AR154" i="5"/>
  <c r="BC79" i="5"/>
  <c r="AW79" i="5"/>
  <c r="AS79" i="5"/>
  <c r="AR79" i="5"/>
  <c r="BD79" i="5"/>
  <c r="BA22" i="5"/>
  <c r="AY22" i="5"/>
  <c r="AX22" i="5"/>
  <c r="BA160" i="5"/>
  <c r="AY160" i="5"/>
  <c r="AX160" i="5"/>
  <c r="AH151" i="3"/>
  <c r="AG151" i="3"/>
  <c r="AF151" i="3"/>
  <c r="AE151" i="3"/>
  <c r="BD392" i="5"/>
  <c r="BC392" i="5"/>
  <c r="AS392" i="5"/>
  <c r="AR392" i="5"/>
  <c r="AW392" i="5"/>
  <c r="AW255" i="5"/>
  <c r="AS255" i="5"/>
  <c r="AR255" i="5"/>
  <c r="BD255" i="5"/>
  <c r="BC255" i="5"/>
  <c r="BD77" i="5"/>
  <c r="BC77" i="5"/>
  <c r="AW77" i="5"/>
  <c r="AS77" i="5"/>
  <c r="AR77" i="5"/>
  <c r="BA107" i="5"/>
  <c r="AY107" i="5"/>
  <c r="AX107" i="5"/>
  <c r="AG206" i="3"/>
  <c r="AF206" i="3"/>
  <c r="AE206" i="3"/>
  <c r="AH206" i="3"/>
  <c r="BA30" i="5"/>
  <c r="AY30" i="5"/>
  <c r="AX30" i="5"/>
  <c r="AX118" i="5"/>
  <c r="AY118" i="5"/>
  <c r="BA118" i="5"/>
  <c r="BD202" i="5"/>
  <c r="BC202" i="5"/>
  <c r="AR202" i="5"/>
  <c r="AS202" i="5"/>
  <c r="AU202" i="5" s="1"/>
  <c r="AV202" i="5" s="1"/>
  <c r="AW202" i="5"/>
  <c r="BA78" i="5"/>
  <c r="AY78" i="5"/>
  <c r="AX78" i="5"/>
  <c r="AH333" i="3"/>
  <c r="AG333" i="3"/>
  <c r="AF333" i="3"/>
  <c r="AE333" i="3"/>
  <c r="BA113" i="5"/>
  <c r="AY113" i="5"/>
  <c r="AX113" i="5"/>
  <c r="BA152" i="5"/>
  <c r="AY152" i="5"/>
  <c r="AX152" i="5"/>
  <c r="AF219" i="3"/>
  <c r="AE219" i="3"/>
  <c r="AH219" i="3"/>
  <c r="AG219" i="3"/>
  <c r="AG179" i="3"/>
  <c r="AF179" i="3"/>
  <c r="AH179" i="3"/>
  <c r="AE179" i="3"/>
  <c r="BA247" i="5"/>
  <c r="AY247" i="5"/>
  <c r="AX247" i="5"/>
  <c r="AX181" i="5"/>
  <c r="BA181" i="5"/>
  <c r="AY181" i="5"/>
  <c r="AH18" i="3"/>
  <c r="AG18" i="3"/>
  <c r="AF18" i="3"/>
  <c r="AE18" i="3"/>
  <c r="AW348" i="5"/>
  <c r="AS348" i="5"/>
  <c r="AR348" i="5"/>
  <c r="BD348" i="5"/>
  <c r="BC348" i="5"/>
  <c r="AS279" i="5"/>
  <c r="AW279" i="5"/>
  <c r="AR279" i="5"/>
  <c r="BD279" i="5"/>
  <c r="BC279" i="5"/>
  <c r="AW221" i="5"/>
  <c r="AS221" i="5"/>
  <c r="AR221" i="5"/>
  <c r="BD221" i="5"/>
  <c r="BC221" i="5"/>
  <c r="AW212" i="5"/>
  <c r="AS212" i="5"/>
  <c r="AR212" i="5"/>
  <c r="BD212" i="5"/>
  <c r="BC212" i="5"/>
  <c r="BC136" i="5"/>
  <c r="AS136" i="5"/>
  <c r="AR136" i="5"/>
  <c r="BD136" i="5"/>
  <c r="AW136" i="5"/>
  <c r="AX140" i="5"/>
  <c r="BA140" i="5"/>
  <c r="AY140" i="5"/>
  <c r="AS82" i="5"/>
  <c r="AR82" i="5"/>
  <c r="BD82" i="5"/>
  <c r="BC82" i="5"/>
  <c r="AW82" i="5"/>
  <c r="AH313" i="3"/>
  <c r="AG313" i="3"/>
  <c r="AF313" i="3"/>
  <c r="AE313" i="3"/>
  <c r="AH65" i="3"/>
  <c r="AG65" i="3"/>
  <c r="AF65" i="3"/>
  <c r="AE65" i="3"/>
  <c r="BD321" i="5"/>
  <c r="BC321" i="5"/>
  <c r="AS321" i="5"/>
  <c r="AR321" i="5"/>
  <c r="AW321" i="5"/>
  <c r="AH352" i="3"/>
  <c r="AG352" i="3"/>
  <c r="AF352" i="3"/>
  <c r="AE352" i="3"/>
  <c r="AW376" i="5"/>
  <c r="AS376" i="5"/>
  <c r="AR376" i="5"/>
  <c r="BD376" i="5"/>
  <c r="BC376" i="5"/>
  <c r="BA267" i="5"/>
  <c r="AX267" i="5"/>
  <c r="AY267" i="5"/>
  <c r="BC211" i="5"/>
  <c r="AW211" i="5"/>
  <c r="AS211" i="5"/>
  <c r="AR211" i="5"/>
  <c r="BD211" i="5"/>
  <c r="AR84" i="5"/>
  <c r="BD84" i="5"/>
  <c r="BC84" i="5"/>
  <c r="AW84" i="5"/>
  <c r="AS84" i="5"/>
  <c r="AS74" i="5"/>
  <c r="AR74" i="5"/>
  <c r="BD74" i="5"/>
  <c r="BC74" i="5"/>
  <c r="AW74" i="5"/>
  <c r="AH64" i="3"/>
  <c r="AG64" i="3"/>
  <c r="AF64" i="3"/>
  <c r="AE64" i="3"/>
  <c r="BA239" i="5"/>
  <c r="AY239" i="5"/>
  <c r="AX239" i="5"/>
  <c r="AW155" i="5"/>
  <c r="BD155" i="5"/>
  <c r="BC155" i="5"/>
  <c r="AS155" i="5"/>
  <c r="AR155" i="5"/>
  <c r="AH396" i="3"/>
  <c r="AG396" i="3"/>
  <c r="AF396" i="3"/>
  <c r="AE396" i="3"/>
  <c r="AH111" i="3"/>
  <c r="AG111" i="3"/>
  <c r="AF111" i="3"/>
  <c r="AE111" i="3"/>
  <c r="AR60" i="5"/>
  <c r="BD60" i="5"/>
  <c r="BC60" i="5"/>
  <c r="AS60" i="5"/>
  <c r="AW60" i="5"/>
  <c r="BC92" i="5"/>
  <c r="AW92" i="5"/>
  <c r="BD92" i="5"/>
  <c r="AS92" i="5"/>
  <c r="AR92" i="5"/>
  <c r="AX312" i="5"/>
  <c r="BA312" i="5"/>
  <c r="AY312" i="5"/>
  <c r="AE211" i="3"/>
  <c r="AH211" i="3"/>
  <c r="AG211" i="3"/>
  <c r="AF211" i="3"/>
  <c r="AH42" i="3"/>
  <c r="AG42" i="3"/>
  <c r="AF42" i="3"/>
  <c r="AE42" i="3"/>
  <c r="AH8" i="3"/>
  <c r="AG8" i="3"/>
  <c r="AF8" i="3"/>
  <c r="AE8" i="3"/>
  <c r="AS27" i="5"/>
  <c r="AR27" i="5"/>
  <c r="BC27" i="5"/>
  <c r="AW27" i="5"/>
  <c r="BD27" i="5"/>
  <c r="AH89" i="3"/>
  <c r="AG89" i="3"/>
  <c r="AF89" i="3"/>
  <c r="AE89" i="3"/>
  <c r="BA373" i="5"/>
  <c r="AY373" i="5"/>
  <c r="AX373" i="5"/>
  <c r="AW271" i="5"/>
  <c r="AS271" i="5"/>
  <c r="AR271" i="5"/>
  <c r="BD271" i="5"/>
  <c r="BC271" i="5"/>
  <c r="BA362" i="5"/>
  <c r="AY362" i="5"/>
  <c r="AX362" i="5"/>
  <c r="AS381" i="5"/>
  <c r="AR381" i="5"/>
  <c r="BD381" i="5"/>
  <c r="BC381" i="5"/>
  <c r="AW381" i="5"/>
  <c r="AW339" i="5"/>
  <c r="AS339" i="5"/>
  <c r="AR339" i="5"/>
  <c r="BD339" i="5"/>
  <c r="BC339" i="5"/>
  <c r="BA206" i="5"/>
  <c r="AY206" i="5"/>
  <c r="AX206" i="5"/>
  <c r="AS112" i="5"/>
  <c r="AR112" i="5"/>
  <c r="BD112" i="5"/>
  <c r="BC112" i="5"/>
  <c r="AW112" i="5"/>
  <c r="BA108" i="5"/>
  <c r="AY108" i="5"/>
  <c r="AX108" i="5"/>
  <c r="AH14" i="3"/>
  <c r="AG14" i="3"/>
  <c r="AF14" i="3"/>
  <c r="AE14" i="3"/>
  <c r="AW256" i="5"/>
  <c r="AS256" i="5"/>
  <c r="AR256" i="5"/>
  <c r="BC256" i="5"/>
  <c r="BD256" i="5"/>
  <c r="AX197" i="5"/>
  <c r="BA197" i="5"/>
  <c r="AY197" i="5"/>
  <c r="AF383" i="3"/>
  <c r="AE383" i="3"/>
  <c r="AH383" i="3"/>
  <c r="AG383" i="3"/>
  <c r="AH259" i="3"/>
  <c r="AG259" i="3"/>
  <c r="AF259" i="3"/>
  <c r="AE259" i="3"/>
  <c r="BD201" i="5"/>
  <c r="BC201" i="5"/>
  <c r="AR201" i="5"/>
  <c r="AW201" i="5"/>
  <c r="AS201" i="5"/>
  <c r="AS396" i="5"/>
  <c r="AR396" i="5"/>
  <c r="BC396" i="5"/>
  <c r="AW396" i="5"/>
  <c r="BD396" i="5"/>
  <c r="AS350" i="5"/>
  <c r="AR350" i="5"/>
  <c r="BD350" i="5"/>
  <c r="AW350" i="5"/>
  <c r="BC350" i="5"/>
  <c r="AH28" i="3"/>
  <c r="AG28" i="3"/>
  <c r="AF28" i="3"/>
  <c r="AE28" i="3"/>
  <c r="BA275" i="5"/>
  <c r="AY275" i="5"/>
  <c r="AX275" i="5"/>
  <c r="BA216" i="5"/>
  <c r="AY216" i="5"/>
  <c r="AX216" i="5"/>
  <c r="AX73" i="5"/>
  <c r="BA73" i="5"/>
  <c r="AY73" i="5"/>
  <c r="AW332" i="5"/>
  <c r="AS332" i="5"/>
  <c r="AR332" i="5"/>
  <c r="BD332" i="5"/>
  <c r="BC332" i="5"/>
  <c r="AR135" i="5"/>
  <c r="BD135" i="5"/>
  <c r="AW135" i="5"/>
  <c r="AS135" i="5"/>
  <c r="BC135" i="5"/>
  <c r="AW173" i="5"/>
  <c r="AS173" i="5"/>
  <c r="BD173" i="5"/>
  <c r="BC173" i="5"/>
  <c r="AR173" i="5"/>
  <c r="AX89" i="5"/>
  <c r="BA89" i="5"/>
  <c r="AY89" i="5"/>
  <c r="AW17" i="5"/>
  <c r="AS17" i="5"/>
  <c r="AR17" i="5"/>
  <c r="BD17" i="5"/>
  <c r="BC17" i="5"/>
  <c r="AH355" i="3"/>
  <c r="AG355" i="3"/>
  <c r="AF355" i="3"/>
  <c r="AE355" i="3"/>
  <c r="AH107" i="3"/>
  <c r="AG107" i="3"/>
  <c r="AF107" i="3"/>
  <c r="AE107" i="3"/>
  <c r="AS378" i="5"/>
  <c r="AR378" i="5"/>
  <c r="BC378" i="5"/>
  <c r="BD378" i="5"/>
  <c r="AW378" i="5"/>
  <c r="AX296" i="5"/>
  <c r="BA296" i="5"/>
  <c r="AY296" i="5"/>
  <c r="BA232" i="5"/>
  <c r="AY232" i="5"/>
  <c r="AX232" i="5"/>
  <c r="BA35" i="5"/>
  <c r="AY35" i="5"/>
  <c r="AX35" i="5"/>
  <c r="AF228" i="3"/>
  <c r="AE228" i="3"/>
  <c r="AG228" i="3"/>
  <c r="AH228" i="3"/>
  <c r="BA298" i="5"/>
  <c r="AY298" i="5"/>
  <c r="AX298" i="5"/>
  <c r="BD269" i="5"/>
  <c r="BC269" i="5"/>
  <c r="AW269" i="5"/>
  <c r="AS269" i="5"/>
  <c r="AR269" i="5"/>
  <c r="AS227" i="5"/>
  <c r="AR227" i="5"/>
  <c r="BD227" i="5"/>
  <c r="BC227" i="5"/>
  <c r="AW227" i="5"/>
  <c r="BD246" i="5"/>
  <c r="BC246" i="5"/>
  <c r="AW246" i="5"/>
  <c r="AS246" i="5"/>
  <c r="AR246" i="5"/>
  <c r="AY204" i="5"/>
  <c r="AX204" i="5"/>
  <c r="BA204" i="5"/>
  <c r="AS50" i="5"/>
  <c r="AR50" i="5"/>
  <c r="BD50" i="5"/>
  <c r="BC50" i="5"/>
  <c r="AW50" i="5"/>
  <c r="BC47" i="5"/>
  <c r="BD47" i="5"/>
  <c r="AW47" i="5"/>
  <c r="AR47" i="5"/>
  <c r="AS47" i="5"/>
  <c r="AF249" i="3"/>
  <c r="AE249" i="3"/>
  <c r="AH249" i="3"/>
  <c r="AG249" i="3"/>
  <c r="AY380" i="5"/>
  <c r="BA380" i="5"/>
  <c r="AX380" i="5"/>
  <c r="BA268" i="5"/>
  <c r="AY268" i="5"/>
  <c r="AX268" i="5"/>
  <c r="AG185" i="3"/>
  <c r="AF185" i="3"/>
  <c r="AH185" i="3"/>
  <c r="AE185" i="3"/>
  <c r="AS191" i="5"/>
  <c r="AR191" i="5"/>
  <c r="BD191" i="5"/>
  <c r="BC191" i="5"/>
  <c r="AW191" i="5"/>
  <c r="AH133" i="3"/>
  <c r="AG133" i="3"/>
  <c r="AF133" i="3"/>
  <c r="AE133" i="3"/>
  <c r="BD245" i="5"/>
  <c r="BC245" i="5"/>
  <c r="AW245" i="5"/>
  <c r="AR245" i="5"/>
  <c r="AS245" i="5"/>
  <c r="AW93" i="5"/>
  <c r="BD93" i="5"/>
  <c r="BC93" i="5"/>
  <c r="AS93" i="5"/>
  <c r="AR93" i="5"/>
  <c r="AF239" i="3"/>
  <c r="AE239" i="3"/>
  <c r="AH239" i="3"/>
  <c r="AG239" i="3"/>
  <c r="AX280" i="5"/>
  <c r="BA280" i="5"/>
  <c r="AY280" i="5"/>
  <c r="AH331" i="3"/>
  <c r="AG331" i="3"/>
  <c r="AF331" i="3"/>
  <c r="AE331" i="3"/>
  <c r="AH369" i="3"/>
  <c r="AG369" i="3"/>
  <c r="AF369" i="3"/>
  <c r="AE369" i="3"/>
  <c r="AH272" i="3"/>
  <c r="AG272" i="3"/>
  <c r="AF272" i="3"/>
  <c r="AE272" i="3"/>
  <c r="AH83" i="3"/>
  <c r="AG83" i="3"/>
  <c r="AF83" i="3"/>
  <c r="AE83" i="3"/>
  <c r="BC393" i="5"/>
  <c r="AW393" i="5"/>
  <c r="BD393" i="5"/>
  <c r="AS393" i="5"/>
  <c r="AR393" i="5"/>
  <c r="BA354" i="5"/>
  <c r="AY354" i="5"/>
  <c r="AX354" i="5"/>
  <c r="AY295" i="5"/>
  <c r="AX295" i="5"/>
  <c r="BA295" i="5"/>
  <c r="BA229" i="5"/>
  <c r="AY229" i="5"/>
  <c r="AX229" i="5"/>
  <c r="AW247" i="5"/>
  <c r="AR247" i="5"/>
  <c r="BD247" i="5"/>
  <c r="BC247" i="5"/>
  <c r="AS247" i="5"/>
  <c r="AS175" i="5"/>
  <c r="AR175" i="5"/>
  <c r="BD175" i="5"/>
  <c r="BC175" i="5"/>
  <c r="AW175" i="5"/>
  <c r="BD224" i="5"/>
  <c r="BC224" i="5"/>
  <c r="AW224" i="5"/>
  <c r="AR224" i="5"/>
  <c r="AS224" i="5"/>
  <c r="AR97" i="5"/>
  <c r="BD97" i="5"/>
  <c r="BC97" i="5"/>
  <c r="AW97" i="5"/>
  <c r="AS97" i="5"/>
  <c r="AW181" i="5"/>
  <c r="AS181" i="5"/>
  <c r="BC181" i="5"/>
  <c r="BD181" i="5"/>
  <c r="AR181" i="5"/>
  <c r="BA26" i="5"/>
  <c r="AY26" i="5"/>
  <c r="AX26" i="5"/>
  <c r="AH157" i="3"/>
  <c r="AG157" i="3"/>
  <c r="AF157" i="3"/>
  <c r="AE157" i="3"/>
  <c r="AH130" i="3"/>
  <c r="AG130" i="3"/>
  <c r="AF130" i="3"/>
  <c r="AE130" i="3"/>
  <c r="BD99" i="5"/>
  <c r="BC99" i="5"/>
  <c r="AW99" i="5"/>
  <c r="AS99" i="5"/>
  <c r="AR99" i="5"/>
  <c r="BA75" i="5"/>
  <c r="AY75" i="5"/>
  <c r="AX75" i="5"/>
  <c r="AH289" i="3"/>
  <c r="AG289" i="3"/>
  <c r="AF289" i="3"/>
  <c r="AE289" i="3"/>
  <c r="AY357" i="5"/>
  <c r="BA357" i="5"/>
  <c r="AX357" i="5"/>
  <c r="BA230" i="5"/>
  <c r="AY230" i="5"/>
  <c r="AX230" i="5"/>
  <c r="AW375" i="5"/>
  <c r="BD375" i="5"/>
  <c r="BC375" i="5"/>
  <c r="AS375" i="5"/>
  <c r="AR375" i="5"/>
  <c r="AW356" i="5"/>
  <c r="AS356" i="5"/>
  <c r="AR356" i="5"/>
  <c r="BD356" i="5"/>
  <c r="BC356" i="5"/>
  <c r="AX272" i="5"/>
  <c r="BA272" i="5"/>
  <c r="AY272" i="5"/>
  <c r="BA270" i="5"/>
  <c r="AY270" i="5"/>
  <c r="AX270" i="5"/>
  <c r="AS214" i="5"/>
  <c r="AR214" i="5"/>
  <c r="BD214" i="5"/>
  <c r="BC214" i="5"/>
  <c r="AW214" i="5"/>
  <c r="BD239" i="5"/>
  <c r="BC239" i="5"/>
  <c r="AW239" i="5"/>
  <c r="AS239" i="5"/>
  <c r="AR239" i="5"/>
  <c r="BD133" i="5"/>
  <c r="BC133" i="5"/>
  <c r="AW133" i="5"/>
  <c r="AS133" i="5"/>
  <c r="AR133" i="5"/>
  <c r="BA6" i="5"/>
  <c r="AY6" i="5"/>
  <c r="AX6" i="5"/>
  <c r="BD70" i="5"/>
  <c r="BC70" i="5"/>
  <c r="AW70" i="5"/>
  <c r="AS70" i="5"/>
  <c r="AR70" i="5"/>
  <c r="AH359" i="3"/>
  <c r="AG359" i="3"/>
  <c r="AF359" i="3"/>
  <c r="AE359" i="3"/>
  <c r="AG202" i="3"/>
  <c r="AF202" i="3"/>
  <c r="AE202" i="3"/>
  <c r="AH202" i="3"/>
  <c r="AX387" i="5"/>
  <c r="AY387" i="5"/>
  <c r="BA387" i="5"/>
  <c r="BA143" i="5"/>
  <c r="AX143" i="5"/>
  <c r="AY143" i="5"/>
  <c r="AF242" i="3"/>
  <c r="AE242" i="3"/>
  <c r="AG242" i="3"/>
  <c r="AH242" i="3"/>
  <c r="AG201" i="3"/>
  <c r="AF201" i="3"/>
  <c r="AE201" i="3"/>
  <c r="AH201" i="3"/>
  <c r="AX288" i="5"/>
  <c r="BA288" i="5"/>
  <c r="AY288" i="5"/>
  <c r="BA370" i="5"/>
  <c r="AX370" i="5"/>
  <c r="AY370" i="5"/>
  <c r="AY339" i="5"/>
  <c r="AX339" i="5"/>
  <c r="BA339" i="5"/>
  <c r="AS244" i="5"/>
  <c r="AR244" i="5"/>
  <c r="BD244" i="5"/>
  <c r="BC244" i="5"/>
  <c r="AW244" i="5"/>
  <c r="BA158" i="5"/>
  <c r="AY158" i="5"/>
  <c r="AX158" i="5"/>
  <c r="AH294" i="3"/>
  <c r="AG294" i="3"/>
  <c r="AF294" i="3"/>
  <c r="AE294" i="3"/>
  <c r="AH287" i="3"/>
  <c r="AF287" i="3"/>
  <c r="AE287" i="3"/>
  <c r="AG287" i="3"/>
  <c r="AF245" i="3"/>
  <c r="AE245" i="3"/>
  <c r="AH245" i="3"/>
  <c r="AG245" i="3"/>
  <c r="AH126" i="3"/>
  <c r="AG126" i="3"/>
  <c r="AF126" i="3"/>
  <c r="AE126" i="3"/>
  <c r="BA209" i="5"/>
  <c r="AY209" i="5"/>
  <c r="AX209" i="5"/>
  <c r="AW338" i="5"/>
  <c r="AS338" i="5"/>
  <c r="AR338" i="5"/>
  <c r="BD338" i="5"/>
  <c r="BC338" i="5"/>
  <c r="AH267" i="3"/>
  <c r="AG267" i="3"/>
  <c r="AF267" i="3"/>
  <c r="AE267" i="3"/>
  <c r="AH368" i="3"/>
  <c r="AG368" i="3"/>
  <c r="AF368" i="3"/>
  <c r="AE368" i="3"/>
  <c r="AR275" i="5"/>
  <c r="BD275" i="5"/>
  <c r="BC275" i="5"/>
  <c r="AW275" i="5"/>
  <c r="AS275" i="5"/>
  <c r="BA137" i="5"/>
  <c r="AY137" i="5"/>
  <c r="AX137" i="5"/>
  <c r="AW32" i="5"/>
  <c r="AS32" i="5"/>
  <c r="AR32" i="5"/>
  <c r="BD32" i="5"/>
  <c r="BC32" i="5"/>
  <c r="AS342" i="5"/>
  <c r="AR342" i="5"/>
  <c r="BD342" i="5"/>
  <c r="AW342" i="5"/>
  <c r="BC342" i="5"/>
  <c r="AG194" i="3"/>
  <c r="AF194" i="3"/>
  <c r="AE194" i="3"/>
  <c r="AH194" i="3"/>
  <c r="AS249" i="5"/>
  <c r="AR249" i="5"/>
  <c r="BD249" i="5"/>
  <c r="BC249" i="5"/>
  <c r="AW249" i="5"/>
  <c r="BD98" i="5"/>
  <c r="BC98" i="5"/>
  <c r="AW98" i="5"/>
  <c r="AS98" i="5"/>
  <c r="AR98" i="5"/>
  <c r="BD22" i="5"/>
  <c r="BC22" i="5"/>
  <c r="AW22" i="5"/>
  <c r="AS22" i="5"/>
  <c r="AR22" i="5"/>
  <c r="AH357" i="3"/>
  <c r="AG357" i="3"/>
  <c r="AF357" i="3"/>
  <c r="AE357" i="3"/>
  <c r="AH271" i="3"/>
  <c r="AF271" i="3"/>
  <c r="AG271" i="3"/>
  <c r="AE271" i="3"/>
  <c r="AS287" i="5"/>
  <c r="AR287" i="5"/>
  <c r="BD287" i="5"/>
  <c r="BC287" i="5"/>
  <c r="AW287" i="5"/>
  <c r="BD162" i="5"/>
  <c r="BC162" i="5"/>
  <c r="AW162" i="5"/>
  <c r="AS162" i="5"/>
  <c r="AR162" i="5"/>
  <c r="AH386" i="3"/>
  <c r="AG386" i="3"/>
  <c r="AF386" i="3"/>
  <c r="AE386" i="3"/>
  <c r="AH119" i="3"/>
  <c r="AG119" i="3"/>
  <c r="AF119" i="3"/>
  <c r="AE119" i="3"/>
  <c r="AY355" i="5"/>
  <c r="AX355" i="5"/>
  <c r="BA355" i="5"/>
  <c r="AY293" i="5"/>
  <c r="AX293" i="5"/>
  <c r="BA293" i="5"/>
  <c r="BA219" i="5"/>
  <c r="AY219" i="5"/>
  <c r="AX219" i="5"/>
  <c r="BA129" i="5"/>
  <c r="AY129" i="5"/>
  <c r="AX129" i="5"/>
  <c r="BA100" i="5"/>
  <c r="AY100" i="5"/>
  <c r="AX100" i="5"/>
  <c r="BD107" i="5"/>
  <c r="BC107" i="5"/>
  <c r="AW107" i="5"/>
  <c r="AS107" i="5"/>
  <c r="AR107" i="5"/>
  <c r="AH22" i="3"/>
  <c r="AG22" i="3"/>
  <c r="AF22" i="3"/>
  <c r="AE22" i="3"/>
  <c r="BA333" i="5"/>
  <c r="AY333" i="5"/>
  <c r="AX333" i="5"/>
  <c r="AH301" i="3"/>
  <c r="AG301" i="3"/>
  <c r="AF301" i="3"/>
  <c r="AE301" i="3"/>
  <c r="AW118" i="5"/>
  <c r="AS118" i="5"/>
  <c r="AR118" i="5"/>
  <c r="BD118" i="5"/>
  <c r="BC118" i="5"/>
  <c r="AH348" i="3"/>
  <c r="AG348" i="3"/>
  <c r="AF348" i="3"/>
  <c r="AE348" i="3"/>
  <c r="AR121" i="5"/>
  <c r="BD121" i="5"/>
  <c r="BC121" i="5"/>
  <c r="AW121" i="5"/>
  <c r="AS121" i="5"/>
  <c r="AR315" i="5"/>
  <c r="AS315" i="5"/>
  <c r="BD315" i="5"/>
  <c r="BC315" i="5"/>
  <c r="AW315" i="5"/>
  <c r="BA187" i="5"/>
  <c r="AY187" i="5"/>
  <c r="AX187" i="5"/>
  <c r="BA61" i="5"/>
  <c r="AY61" i="5"/>
  <c r="AX61" i="5"/>
  <c r="AH332" i="3"/>
  <c r="AG332" i="3"/>
  <c r="AF332" i="3"/>
  <c r="AE332" i="3"/>
  <c r="BA53" i="5"/>
  <c r="AY53" i="5"/>
  <c r="AX53" i="5"/>
  <c r="AH346" i="3"/>
  <c r="AG346" i="3"/>
  <c r="AF346" i="3"/>
  <c r="AE346" i="3"/>
  <c r="AH33" i="3"/>
  <c r="AG33" i="3"/>
  <c r="AF33" i="3"/>
  <c r="AE33" i="3"/>
  <c r="BA128" i="5"/>
  <c r="AY128" i="5"/>
  <c r="AX128" i="5"/>
  <c r="AH312" i="3"/>
  <c r="AG312" i="3"/>
  <c r="AF312" i="3"/>
  <c r="AE312" i="3"/>
  <c r="AH167" i="3"/>
  <c r="AG167" i="3"/>
  <c r="AF167" i="3"/>
  <c r="AE167" i="3"/>
  <c r="AS206" i="5"/>
  <c r="AR206" i="5"/>
  <c r="BD206" i="5"/>
  <c r="BC206" i="5"/>
  <c r="AW206" i="5"/>
  <c r="BA299" i="5"/>
  <c r="AY299" i="5"/>
  <c r="AX299" i="5"/>
  <c r="AH56" i="3"/>
  <c r="AG56" i="3"/>
  <c r="AF56" i="3"/>
  <c r="AE56" i="3"/>
  <c r="AW89" i="5"/>
  <c r="AS89" i="5"/>
  <c r="AR89" i="5"/>
  <c r="BD89" i="5"/>
  <c r="BC89" i="5"/>
  <c r="BC100" i="5"/>
  <c r="AW100" i="5"/>
  <c r="AR100" i="5"/>
  <c r="AS100" i="5"/>
  <c r="BD100" i="5"/>
  <c r="AH302" i="3"/>
  <c r="AG302" i="3"/>
  <c r="AF302" i="3"/>
  <c r="AE302" i="3"/>
  <c r="AF226" i="3"/>
  <c r="AE226" i="3"/>
  <c r="AH226" i="3"/>
  <c r="AG226" i="3"/>
  <c r="AH69" i="3"/>
  <c r="AG69" i="3"/>
  <c r="AF69" i="3"/>
  <c r="AE69" i="3"/>
  <c r="BA340" i="5"/>
  <c r="AX340" i="5"/>
  <c r="AY340" i="5"/>
  <c r="AW354" i="5"/>
  <c r="BD354" i="5"/>
  <c r="BC354" i="5"/>
  <c r="AS354" i="5"/>
  <c r="AR354" i="5"/>
  <c r="AS295" i="5"/>
  <c r="AR295" i="5"/>
  <c r="BD295" i="5"/>
  <c r="BC295" i="5"/>
  <c r="AW295" i="5"/>
  <c r="BA144" i="5"/>
  <c r="AY144" i="5"/>
  <c r="AX144" i="5"/>
  <c r="AH98" i="3"/>
  <c r="AG98" i="3"/>
  <c r="AF98" i="3"/>
  <c r="AE98" i="3"/>
  <c r="BA305" i="5"/>
  <c r="AY305" i="5"/>
  <c r="AX305" i="5"/>
  <c r="BD178" i="5"/>
  <c r="BC178" i="5"/>
  <c r="AW178" i="5"/>
  <c r="AR178" i="5"/>
  <c r="AS178" i="5"/>
  <c r="BA39" i="5"/>
  <c r="AY39" i="5"/>
  <c r="AX39" i="5"/>
  <c r="AH145" i="3"/>
  <c r="AG145" i="3"/>
  <c r="AF145" i="3"/>
  <c r="AE145" i="3"/>
  <c r="AS75" i="5"/>
  <c r="AR75" i="5"/>
  <c r="BD75" i="5"/>
  <c r="BC75" i="5"/>
  <c r="AW75" i="5"/>
  <c r="AH137" i="3"/>
  <c r="AG137" i="3"/>
  <c r="AF137" i="3"/>
  <c r="AE137" i="3"/>
  <c r="BC357" i="5"/>
  <c r="AS357" i="5"/>
  <c r="AR357" i="5"/>
  <c r="BD357" i="5"/>
  <c r="AW357" i="5"/>
  <c r="AF230" i="3"/>
  <c r="AE230" i="3"/>
  <c r="AH230" i="3"/>
  <c r="AG230" i="3"/>
  <c r="AH144" i="3"/>
  <c r="AG144" i="3"/>
  <c r="AF144" i="3"/>
  <c r="AE144" i="3"/>
  <c r="AW272" i="5"/>
  <c r="AS272" i="5"/>
  <c r="AR272" i="5"/>
  <c r="BD272" i="5"/>
  <c r="BC272" i="5"/>
  <c r="BA76" i="5"/>
  <c r="AY76" i="5"/>
  <c r="AX76" i="5"/>
  <c r="BD122" i="5"/>
  <c r="BC122" i="5"/>
  <c r="AW122" i="5"/>
  <c r="AS122" i="5"/>
  <c r="AR122" i="5"/>
  <c r="AW94" i="5"/>
  <c r="AS94" i="5"/>
  <c r="BD94" i="5"/>
  <c r="BC94" i="5"/>
  <c r="AR94" i="5"/>
  <c r="BA42" i="5"/>
  <c r="AY42" i="5"/>
  <c r="AX42" i="5"/>
  <c r="AS370" i="5"/>
  <c r="AR370" i="5"/>
  <c r="BD370" i="5"/>
  <c r="BC370" i="5"/>
  <c r="AW370" i="5"/>
  <c r="AF174" i="3"/>
  <c r="AH174" i="3"/>
  <c r="AG174" i="3"/>
  <c r="AE174" i="3"/>
  <c r="AW386" i="5"/>
  <c r="AS386" i="5"/>
  <c r="AR386" i="5"/>
  <c r="BD386" i="5"/>
  <c r="BC386" i="5"/>
  <c r="BA374" i="5"/>
  <c r="AY374" i="5"/>
  <c r="AX374" i="5"/>
  <c r="BA217" i="5"/>
  <c r="AY217" i="5"/>
  <c r="AX217" i="5"/>
  <c r="AY5" i="5"/>
  <c r="AX5" i="5"/>
  <c r="BA5" i="5"/>
  <c r="AH342" i="3"/>
  <c r="AG342" i="3"/>
  <c r="AF342" i="3"/>
  <c r="AE342" i="3"/>
  <c r="AH94" i="3"/>
  <c r="AG94" i="3"/>
  <c r="AF94" i="3"/>
  <c r="AE94" i="3"/>
  <c r="AY382" i="5"/>
  <c r="AX382" i="5"/>
  <c r="BA382" i="5"/>
  <c r="AY359" i="5"/>
  <c r="AX359" i="5"/>
  <c r="BA359" i="5"/>
  <c r="AF253" i="3"/>
  <c r="AE253" i="3"/>
  <c r="AH253" i="3"/>
  <c r="AG253" i="3"/>
  <c r="AH390" i="3"/>
  <c r="AG390" i="3"/>
  <c r="AF390" i="3"/>
  <c r="AE390" i="3"/>
  <c r="AH13" i="3"/>
  <c r="AG13" i="3"/>
  <c r="AF13" i="3"/>
  <c r="AE13" i="3"/>
  <c r="BD37" i="5"/>
  <c r="BC37" i="5"/>
  <c r="AW37" i="5"/>
  <c r="AS37" i="5"/>
  <c r="AR37" i="5"/>
  <c r="AH41" i="3"/>
  <c r="AG41" i="3"/>
  <c r="AF41" i="3"/>
  <c r="AE41" i="3"/>
  <c r="BA38" i="5"/>
  <c r="AY38" i="5"/>
  <c r="AX38" i="5"/>
  <c r="AY109" i="5"/>
  <c r="AX109" i="5"/>
  <c r="BA109" i="5"/>
  <c r="AH105" i="3"/>
  <c r="AG105" i="3"/>
  <c r="AF105" i="3"/>
  <c r="AE105" i="3"/>
  <c r="BD137" i="5"/>
  <c r="BC137" i="5"/>
  <c r="AS137" i="5"/>
  <c r="AR137" i="5"/>
  <c r="AW137" i="5"/>
  <c r="AW331" i="5"/>
  <c r="AS331" i="5"/>
  <c r="AR331" i="5"/>
  <c r="BD331" i="5"/>
  <c r="BC331" i="5"/>
  <c r="AX190" i="5"/>
  <c r="BA190" i="5"/>
  <c r="AY190" i="5"/>
  <c r="AW324" i="5"/>
  <c r="AS324" i="5"/>
  <c r="AR324" i="5"/>
  <c r="BD324" i="5"/>
  <c r="BC324" i="5"/>
  <c r="BA283" i="5"/>
  <c r="AY283" i="5"/>
  <c r="AX283" i="5"/>
  <c r="BA83" i="5"/>
  <c r="AY83" i="5"/>
  <c r="AX83" i="5"/>
  <c r="AH338" i="3"/>
  <c r="AG338" i="3"/>
  <c r="AF338" i="3"/>
  <c r="AE338" i="3"/>
  <c r="AH335" i="3"/>
  <c r="AG335" i="3"/>
  <c r="AF335" i="3"/>
  <c r="AE335" i="3"/>
  <c r="AH404" i="3"/>
  <c r="AG404" i="3"/>
  <c r="AF404" i="3"/>
  <c r="AE404" i="3"/>
  <c r="AH87" i="3"/>
  <c r="AG87" i="3"/>
  <c r="AF87" i="3"/>
  <c r="AE87" i="3"/>
  <c r="AS290" i="5"/>
  <c r="AR290" i="5"/>
  <c r="BD290" i="5"/>
  <c r="BC290" i="5"/>
  <c r="AW290" i="5"/>
  <c r="BD293" i="5"/>
  <c r="BC293" i="5"/>
  <c r="AW293" i="5"/>
  <c r="AS293" i="5"/>
  <c r="AR293" i="5"/>
  <c r="BA314" i="5"/>
  <c r="AY314" i="5"/>
  <c r="AX314" i="5"/>
  <c r="AX148" i="5"/>
  <c r="BA148" i="5"/>
  <c r="AY148" i="5"/>
  <c r="BA145" i="5"/>
  <c r="AY145" i="5"/>
  <c r="AX145" i="5"/>
  <c r="AF238" i="3"/>
  <c r="AE238" i="3"/>
  <c r="AH238" i="3"/>
  <c r="AG238" i="3"/>
  <c r="AH161" i="3"/>
  <c r="AG161" i="3"/>
  <c r="AF161" i="3"/>
  <c r="AE161" i="3"/>
  <c r="AS333" i="5"/>
  <c r="AR333" i="5"/>
  <c r="BD333" i="5"/>
  <c r="BC333" i="5"/>
  <c r="AW333" i="5"/>
  <c r="BA210" i="5"/>
  <c r="AY210" i="5"/>
  <c r="AX210" i="5"/>
  <c r="AH117" i="3"/>
  <c r="AG117" i="3"/>
  <c r="AF117" i="3"/>
  <c r="AE117" i="3"/>
  <c r="AY323" i="5"/>
  <c r="AX323" i="5"/>
  <c r="BA323" i="5"/>
  <c r="BA254" i="5"/>
  <c r="AY254" i="5"/>
  <c r="AX254" i="5"/>
  <c r="BA134" i="5"/>
  <c r="AY134" i="5"/>
  <c r="AX134" i="5"/>
  <c r="BD78" i="5"/>
  <c r="BC78" i="5"/>
  <c r="AW78" i="5"/>
  <c r="AS78" i="5"/>
  <c r="AR78" i="5"/>
  <c r="BA31" i="5"/>
  <c r="AY31" i="5"/>
  <c r="AX31" i="5"/>
  <c r="AW360" i="5"/>
  <c r="AS360" i="5"/>
  <c r="BC360" i="5"/>
  <c r="AR360" i="5"/>
  <c r="BD360" i="5"/>
  <c r="AY241" i="5"/>
  <c r="AX241" i="5"/>
  <c r="BA241" i="5"/>
  <c r="BD61" i="5"/>
  <c r="BC61" i="5"/>
  <c r="AW61" i="5"/>
  <c r="AS61" i="5"/>
  <c r="AR61" i="5"/>
  <c r="AY367" i="5"/>
  <c r="AX367" i="5"/>
  <c r="BA367" i="5"/>
  <c r="AW340" i="5"/>
  <c r="AS340" i="5"/>
  <c r="AR340" i="5"/>
  <c r="BD340" i="5"/>
  <c r="BC340" i="5"/>
  <c r="BA105" i="5"/>
  <c r="AY105" i="5"/>
  <c r="AX105" i="5"/>
  <c r="BD53" i="5"/>
  <c r="BC53" i="5"/>
  <c r="AW53" i="5"/>
  <c r="AS53" i="5"/>
  <c r="AR53" i="5"/>
  <c r="AH299" i="3"/>
  <c r="AG299" i="3"/>
  <c r="AF299" i="3"/>
  <c r="AE299" i="3"/>
  <c r="BA393" i="5"/>
  <c r="AY393" i="5"/>
  <c r="AX393" i="5"/>
  <c r="BA343" i="5"/>
  <c r="AY343" i="5"/>
  <c r="AX343" i="5"/>
  <c r="AG209" i="3"/>
  <c r="AF209" i="3"/>
  <c r="AE209" i="3"/>
  <c r="AH209" i="3"/>
  <c r="BD391" i="5"/>
  <c r="BC391" i="5"/>
  <c r="AW391" i="5"/>
  <c r="AR391" i="5"/>
  <c r="AS391" i="5"/>
  <c r="BD365" i="5"/>
  <c r="BC365" i="5"/>
  <c r="AW365" i="5"/>
  <c r="AR365" i="5"/>
  <c r="AS365" i="5"/>
  <c r="BA292" i="5"/>
  <c r="AY292" i="5"/>
  <c r="AX292" i="5"/>
  <c r="BD384" i="5"/>
  <c r="BC384" i="5"/>
  <c r="AW384" i="5"/>
  <c r="AS384" i="5"/>
  <c r="AR384" i="5"/>
  <c r="AS128" i="5"/>
  <c r="AR128" i="5"/>
  <c r="BD128" i="5"/>
  <c r="BC128" i="5"/>
  <c r="AW128" i="5"/>
  <c r="AY276" i="5"/>
  <c r="AX276" i="5"/>
  <c r="BA276" i="5"/>
  <c r="BA161" i="5"/>
  <c r="AY161" i="5"/>
  <c r="AX161" i="5"/>
  <c r="AH295" i="3"/>
  <c r="AG295" i="3"/>
  <c r="AF295" i="3"/>
  <c r="AE295" i="3"/>
  <c r="AF255" i="3"/>
  <c r="AE255" i="3"/>
  <c r="AH255" i="3"/>
  <c r="AG255" i="3"/>
  <c r="AH263" i="3"/>
  <c r="AG263" i="3"/>
  <c r="AF263" i="3"/>
  <c r="AE263" i="3"/>
  <c r="AH47" i="3"/>
  <c r="AG47" i="3"/>
  <c r="AF47" i="3"/>
  <c r="AE47" i="3"/>
  <c r="BA122" i="5"/>
  <c r="AY122" i="5"/>
  <c r="AX122" i="5"/>
  <c r="AS104" i="5"/>
  <c r="AR104" i="5"/>
  <c r="BD104" i="5"/>
  <c r="BC104" i="5"/>
  <c r="AW104" i="5"/>
  <c r="BA12" i="5"/>
  <c r="AX12" i="5"/>
  <c r="AY12" i="5"/>
  <c r="AH341" i="3"/>
  <c r="AG341" i="3"/>
  <c r="AF341" i="3"/>
  <c r="AE341" i="3"/>
  <c r="AH293" i="3"/>
  <c r="AG293" i="3"/>
  <c r="AF293" i="3"/>
  <c r="AE293" i="3"/>
  <c r="AH44" i="3"/>
  <c r="AG44" i="3"/>
  <c r="AF44" i="3"/>
  <c r="AE44" i="3"/>
  <c r="AX205" i="5"/>
  <c r="AY205" i="5"/>
  <c r="BA205" i="5"/>
  <c r="BA67" i="5"/>
  <c r="AX67" i="5"/>
  <c r="AY67" i="5"/>
  <c r="AH288" i="3"/>
  <c r="AG288" i="3"/>
  <c r="AF288" i="3"/>
  <c r="AE288" i="3"/>
  <c r="AH84" i="3"/>
  <c r="AG84" i="3"/>
  <c r="AF84" i="3"/>
  <c r="AE84" i="3"/>
  <c r="AR251" i="5"/>
  <c r="BD251" i="5"/>
  <c r="BC251" i="5"/>
  <c r="AS251" i="5"/>
  <c r="AW251" i="5"/>
  <c r="AW264" i="5"/>
  <c r="AS264" i="5"/>
  <c r="AR264" i="5"/>
  <c r="BC264" i="5"/>
  <c r="BD264" i="5"/>
  <c r="BD217" i="5"/>
  <c r="BC217" i="5"/>
  <c r="AW217" i="5"/>
  <c r="AS217" i="5"/>
  <c r="AR217" i="5"/>
  <c r="BA198" i="5"/>
  <c r="AY198" i="5"/>
  <c r="AX198" i="5"/>
  <c r="BA218" i="5"/>
  <c r="AY218" i="5"/>
  <c r="AX218" i="5"/>
  <c r="BA68" i="5"/>
  <c r="AY68" i="5"/>
  <c r="AX68" i="5"/>
  <c r="BA307" i="5"/>
  <c r="AY307" i="5"/>
  <c r="AX307" i="5"/>
  <c r="BD320" i="5"/>
  <c r="BC320" i="5"/>
  <c r="AR320" i="5"/>
  <c r="AS320" i="5"/>
  <c r="AW320" i="5"/>
  <c r="BD169" i="5"/>
  <c r="BC169" i="5"/>
  <c r="AW169" i="5"/>
  <c r="AS169" i="5"/>
  <c r="AR169" i="5"/>
  <c r="AY33" i="5"/>
  <c r="AX33" i="5"/>
  <c r="BA33" i="5"/>
  <c r="AG208" i="3"/>
  <c r="AF208" i="3"/>
  <c r="AE208" i="3"/>
  <c r="AH208" i="3"/>
  <c r="AH93" i="3"/>
  <c r="AG93" i="3"/>
  <c r="AF93" i="3"/>
  <c r="AE93" i="3"/>
  <c r="BD114" i="5"/>
  <c r="BC114" i="5"/>
  <c r="AW114" i="5"/>
  <c r="AS114" i="5"/>
  <c r="AR114" i="5"/>
  <c r="AX52" i="5"/>
  <c r="BA52" i="5"/>
  <c r="AY52" i="5"/>
  <c r="BD231" i="5"/>
  <c r="BC231" i="5"/>
  <c r="AW231" i="5"/>
  <c r="AS231" i="5"/>
  <c r="AR231" i="5"/>
  <c r="BA306" i="5"/>
  <c r="AY306" i="5"/>
  <c r="AX306" i="5"/>
  <c r="BD38" i="5"/>
  <c r="BC38" i="5"/>
  <c r="AW38" i="5"/>
  <c r="AR38" i="5"/>
  <c r="AS38" i="5"/>
  <c r="BA8" i="5"/>
  <c r="AY8" i="5"/>
  <c r="AX8" i="5"/>
  <c r="AH360" i="3"/>
  <c r="AG360" i="3"/>
  <c r="AF360" i="3"/>
  <c r="AE360" i="3"/>
  <c r="AH26" i="3"/>
  <c r="AG26" i="3"/>
  <c r="AF26" i="3"/>
  <c r="AE26" i="3"/>
  <c r="BA171" i="5"/>
  <c r="AY171" i="5"/>
  <c r="AX171" i="5"/>
  <c r="AS235" i="5"/>
  <c r="AR235" i="5"/>
  <c r="BD235" i="5"/>
  <c r="BC235" i="5"/>
  <c r="AW235" i="5"/>
  <c r="AG205" i="3"/>
  <c r="AF205" i="3"/>
  <c r="AE205" i="3"/>
  <c r="AH205" i="3"/>
  <c r="BD344" i="5"/>
  <c r="BC344" i="5"/>
  <c r="AS344" i="5"/>
  <c r="AR344" i="5"/>
  <c r="AW344" i="5"/>
  <c r="BA106" i="5"/>
  <c r="AY106" i="5"/>
  <c r="AX106" i="5"/>
  <c r="AW131" i="5"/>
  <c r="AS131" i="5"/>
  <c r="AR131" i="5"/>
  <c r="BD131" i="5"/>
  <c r="BC131" i="5"/>
  <c r="BA14" i="5"/>
  <c r="AY14" i="5"/>
  <c r="AX14" i="5"/>
  <c r="AH43" i="3"/>
  <c r="AG43" i="3"/>
  <c r="AF43" i="3"/>
  <c r="AE43" i="3"/>
  <c r="AR283" i="5"/>
  <c r="BC283" i="5"/>
  <c r="BD283" i="5"/>
  <c r="AW283" i="5"/>
  <c r="AS283" i="5"/>
  <c r="BA195" i="5"/>
  <c r="AY195" i="5"/>
  <c r="AX195" i="5"/>
  <c r="AH316" i="3"/>
  <c r="AG316" i="3"/>
  <c r="AF316" i="3"/>
  <c r="AE316" i="3"/>
  <c r="AS388" i="5"/>
  <c r="AR388" i="5"/>
  <c r="AW388" i="5"/>
  <c r="BD388" i="5"/>
  <c r="BC388" i="5"/>
  <c r="AY347" i="5"/>
  <c r="AX347" i="5"/>
  <c r="BA347" i="5"/>
  <c r="BD85" i="5"/>
  <c r="BC85" i="5"/>
  <c r="AW85" i="5"/>
  <c r="AS85" i="5"/>
  <c r="AR85" i="5"/>
  <c r="AS59" i="5"/>
  <c r="AR59" i="5"/>
  <c r="BD59" i="5"/>
  <c r="BC59" i="5"/>
  <c r="AW59" i="5"/>
  <c r="BD21" i="5"/>
  <c r="BC21" i="5"/>
  <c r="AW21" i="5"/>
  <c r="AS21" i="5"/>
  <c r="AR21" i="5"/>
  <c r="BA46" i="5"/>
  <c r="AY46" i="5"/>
  <c r="AX46" i="5"/>
  <c r="AG197" i="3"/>
  <c r="AF197" i="3"/>
  <c r="AE197" i="3"/>
  <c r="AH197" i="3"/>
  <c r="AX13" i="5"/>
  <c r="BA13" i="5"/>
  <c r="AY13" i="5"/>
  <c r="AH350" i="3"/>
  <c r="AG350" i="3"/>
  <c r="AF350" i="3"/>
  <c r="AE350" i="3"/>
  <c r="AF376" i="3"/>
  <c r="AE376" i="3"/>
  <c r="AH376" i="3"/>
  <c r="AG376" i="3"/>
  <c r="AH102" i="3"/>
  <c r="AG102" i="3"/>
  <c r="AF102" i="3"/>
  <c r="AE102" i="3"/>
  <c r="AS361" i="5"/>
  <c r="AR361" i="5"/>
  <c r="BC361" i="5"/>
  <c r="AW361" i="5"/>
  <c r="BD361" i="5"/>
  <c r="BA294" i="5"/>
  <c r="AX294" i="5"/>
  <c r="AY294" i="5"/>
  <c r="AW240" i="5"/>
  <c r="BD240" i="5"/>
  <c r="BC240" i="5"/>
  <c r="AS240" i="5"/>
  <c r="AR240" i="5"/>
  <c r="BD210" i="5"/>
  <c r="BC210" i="5"/>
  <c r="AW210" i="5"/>
  <c r="AR210" i="5"/>
  <c r="AS210" i="5"/>
  <c r="AS142" i="5"/>
  <c r="AR142" i="5"/>
  <c r="BD142" i="5"/>
  <c r="BC142" i="5"/>
  <c r="AW142" i="5"/>
  <c r="AY88" i="5"/>
  <c r="AX88" i="5"/>
  <c r="BA88" i="5"/>
  <c r="AF243" i="3"/>
  <c r="AE243" i="3"/>
  <c r="AH243" i="3"/>
  <c r="AG243" i="3"/>
  <c r="AW188" i="5"/>
  <c r="AS188" i="5"/>
  <c r="AR188" i="5"/>
  <c r="BD188" i="5"/>
  <c r="BC188" i="5"/>
  <c r="AH21" i="3"/>
  <c r="AG21" i="3"/>
  <c r="AF21" i="3"/>
  <c r="AE21" i="3"/>
  <c r="AH387" i="3"/>
  <c r="AG387" i="3"/>
  <c r="AF387" i="3"/>
  <c r="AE387" i="3"/>
  <c r="AF229" i="3"/>
  <c r="AE229" i="3"/>
  <c r="AH229" i="3"/>
  <c r="AG229" i="3"/>
  <c r="AY233" i="5"/>
  <c r="AX233" i="5"/>
  <c r="BA233" i="5"/>
  <c r="AW148" i="5"/>
  <c r="AS148" i="5"/>
  <c r="AR148" i="5"/>
  <c r="BD148" i="5"/>
  <c r="BC148" i="5"/>
  <c r="AH159" i="3"/>
  <c r="AG159" i="3"/>
  <c r="AF159" i="3"/>
  <c r="AE159" i="3"/>
  <c r="AY139" i="5"/>
  <c r="AX139" i="5"/>
  <c r="BA139" i="5"/>
  <c r="AF217" i="3"/>
  <c r="AE217" i="3"/>
  <c r="AH217" i="3"/>
  <c r="AG217" i="3"/>
  <c r="BD15" i="5"/>
  <c r="BC15" i="5"/>
  <c r="AW15" i="5"/>
  <c r="AS15" i="5"/>
  <c r="AR15" i="5"/>
  <c r="AF220" i="3"/>
  <c r="AE220" i="3"/>
  <c r="AG220" i="3"/>
  <c r="AH220" i="3"/>
  <c r="BA399" i="5"/>
  <c r="AY399" i="5"/>
  <c r="AX399" i="5"/>
  <c r="AH81" i="3"/>
  <c r="AG81" i="3"/>
  <c r="AF81" i="3"/>
  <c r="AE81" i="3"/>
  <c r="BD319" i="5"/>
  <c r="AW319" i="5"/>
  <c r="AS319" i="5"/>
  <c r="AR319" i="5"/>
  <c r="BC319" i="5"/>
  <c r="BD353" i="5"/>
  <c r="BC353" i="5"/>
  <c r="AW353" i="5"/>
  <c r="AS353" i="5"/>
  <c r="AR353" i="5"/>
  <c r="AS20" i="5"/>
  <c r="AR20" i="5"/>
  <c r="BD20" i="5"/>
  <c r="BC20" i="5"/>
  <c r="AW20" i="5"/>
  <c r="AH328" i="3"/>
  <c r="AG328" i="3"/>
  <c r="AF328" i="3"/>
  <c r="AE328" i="3"/>
  <c r="AH80" i="3"/>
  <c r="AG80" i="3"/>
  <c r="AF80" i="3"/>
  <c r="AE80" i="3"/>
  <c r="BA282" i="5"/>
  <c r="AY282" i="5"/>
  <c r="AX282" i="5"/>
  <c r="BC179" i="5"/>
  <c r="AW179" i="5"/>
  <c r="BD179" i="5"/>
  <c r="AS179" i="5"/>
  <c r="AR179" i="5"/>
  <c r="AY263" i="5"/>
  <c r="AX263" i="5"/>
  <c r="BA263" i="5"/>
  <c r="BA191" i="5"/>
  <c r="AY191" i="5"/>
  <c r="AX191" i="5"/>
  <c r="AH149" i="3"/>
  <c r="AG149" i="3"/>
  <c r="AF149" i="3"/>
  <c r="AE149" i="3"/>
  <c r="AR113" i="5"/>
  <c r="BD113" i="5"/>
  <c r="BC113" i="5"/>
  <c r="AW113" i="5"/>
  <c r="AS113" i="5"/>
  <c r="BA63" i="5"/>
  <c r="AY63" i="5"/>
  <c r="AX63" i="5"/>
  <c r="AH62" i="3"/>
  <c r="AG62" i="3"/>
  <c r="AF62" i="3"/>
  <c r="AE62" i="3"/>
  <c r="AW359" i="5"/>
  <c r="BD359" i="5"/>
  <c r="BC359" i="5"/>
  <c r="AS359" i="5"/>
  <c r="AR359" i="5"/>
  <c r="BD46" i="5"/>
  <c r="BC46" i="5"/>
  <c r="AW46" i="5"/>
  <c r="AS46" i="5"/>
  <c r="AR46" i="5"/>
  <c r="AX285" i="5"/>
  <c r="AY285" i="5"/>
  <c r="BA285" i="5"/>
  <c r="AW367" i="5"/>
  <c r="BD367" i="5"/>
  <c r="BC367" i="5"/>
  <c r="AR367" i="5"/>
  <c r="AS367" i="5"/>
  <c r="AH158" i="3"/>
  <c r="AG158" i="3"/>
  <c r="AF158" i="3"/>
  <c r="AE158" i="3"/>
  <c r="AF266" i="3"/>
  <c r="AE266" i="3"/>
  <c r="AH266" i="3"/>
  <c r="AG266" i="3"/>
  <c r="BA273" i="5"/>
  <c r="AY273" i="5"/>
  <c r="AX273" i="5"/>
  <c r="AW189" i="5"/>
  <c r="AS189" i="5"/>
  <c r="BD189" i="5"/>
  <c r="BC189" i="5"/>
  <c r="AR189" i="5"/>
  <c r="AX102" i="5"/>
  <c r="BA102" i="5"/>
  <c r="AY102" i="5"/>
  <c r="BA336" i="5"/>
  <c r="AY336" i="5"/>
  <c r="AX336" i="5"/>
  <c r="AS198" i="5"/>
  <c r="AR198" i="5"/>
  <c r="BD198" i="5"/>
  <c r="BC198" i="5"/>
  <c r="AW198" i="5"/>
  <c r="BC108" i="5"/>
  <c r="AW108" i="5"/>
  <c r="AS108" i="5"/>
  <c r="AR108" i="5"/>
  <c r="BD108" i="5"/>
  <c r="AH274" i="3"/>
  <c r="AG274" i="3"/>
  <c r="AF274" i="3"/>
  <c r="AE274" i="3"/>
  <c r="BD351" i="5"/>
  <c r="BC351" i="5"/>
  <c r="AW351" i="5"/>
  <c r="AS351" i="5"/>
  <c r="AR351" i="5"/>
  <c r="AS44" i="5"/>
  <c r="AR44" i="5"/>
  <c r="BD44" i="5"/>
  <c r="BC44" i="5"/>
  <c r="AW44" i="5"/>
  <c r="AF373" i="3"/>
  <c r="AE373" i="3"/>
  <c r="AH373" i="3"/>
  <c r="AG373" i="3"/>
  <c r="BA115" i="5"/>
  <c r="AY115" i="5"/>
  <c r="AX115" i="5"/>
  <c r="AH34" i="3"/>
  <c r="AG34" i="3"/>
  <c r="AF34" i="3"/>
  <c r="AE34" i="3"/>
  <c r="BD335" i="5"/>
  <c r="BC335" i="5"/>
  <c r="AW335" i="5"/>
  <c r="AS335" i="5"/>
  <c r="AR335" i="5"/>
  <c r="AR273" i="5"/>
  <c r="BD273" i="5"/>
  <c r="BC273" i="5"/>
  <c r="AW273" i="5"/>
  <c r="AS273" i="5"/>
  <c r="AS28" i="5"/>
  <c r="AR28" i="5"/>
  <c r="BD28" i="5"/>
  <c r="BC28" i="5"/>
  <c r="AW28" i="5"/>
  <c r="BD39" i="5"/>
  <c r="BC39" i="5"/>
  <c r="AW39" i="5"/>
  <c r="AS39" i="5"/>
  <c r="AR39" i="5"/>
  <c r="AH329" i="3"/>
  <c r="AG329" i="3"/>
  <c r="AF329" i="3"/>
  <c r="AE329" i="3"/>
  <c r="AH361" i="3"/>
  <c r="AG361" i="3"/>
  <c r="AF361" i="3"/>
  <c r="AE361" i="3"/>
  <c r="AG190" i="3"/>
  <c r="AF190" i="3"/>
  <c r="AE190" i="3"/>
  <c r="AH190" i="3"/>
  <c r="BD193" i="5"/>
  <c r="BC193" i="5"/>
  <c r="AS193" i="5"/>
  <c r="AR193" i="5"/>
  <c r="AW193" i="5"/>
  <c r="BD185" i="5"/>
  <c r="BC185" i="5"/>
  <c r="AS185" i="5"/>
  <c r="AR185" i="5"/>
  <c r="AW185" i="5"/>
  <c r="AW132" i="5"/>
  <c r="BD132" i="5"/>
  <c r="BC132" i="5"/>
  <c r="AS132" i="5"/>
  <c r="AR132" i="5"/>
  <c r="AX57" i="5"/>
  <c r="AY57" i="5"/>
  <c r="BA57" i="5"/>
  <c r="AH393" i="3"/>
  <c r="AG393" i="3"/>
  <c r="AF393" i="3"/>
  <c r="AE393" i="3"/>
  <c r="AH154" i="3"/>
  <c r="AG154" i="3"/>
  <c r="AF154" i="3"/>
  <c r="AE154" i="3"/>
  <c r="AH127" i="3"/>
  <c r="AG127" i="3"/>
  <c r="AF127" i="3"/>
  <c r="AE127" i="3"/>
  <c r="AH74" i="3"/>
  <c r="AG74" i="3"/>
  <c r="AF74" i="3"/>
  <c r="AE74" i="3"/>
  <c r="BA40" i="5"/>
  <c r="AY40" i="5"/>
  <c r="AX40" i="5"/>
  <c r="AY19" i="5"/>
  <c r="BA19" i="5"/>
  <c r="AX19" i="5"/>
  <c r="AS5" i="5"/>
  <c r="AR5" i="5"/>
  <c r="BD5" i="5"/>
  <c r="BC5" i="5"/>
  <c r="AW5" i="5"/>
  <c r="AH30" i="3"/>
  <c r="AG30" i="3"/>
  <c r="AF30" i="3"/>
  <c r="AE30" i="3"/>
  <c r="AH309" i="3"/>
  <c r="AG309" i="3"/>
  <c r="AF309" i="3"/>
  <c r="AE309" i="3"/>
  <c r="AH260" i="3"/>
  <c r="AG260" i="3"/>
  <c r="AF260" i="3"/>
  <c r="AE260" i="3"/>
  <c r="AH116" i="3"/>
  <c r="AG116" i="3"/>
  <c r="AF116" i="3"/>
  <c r="AE116" i="3"/>
  <c r="AF227" i="3"/>
  <c r="AE227" i="3"/>
  <c r="AH227" i="3"/>
  <c r="AG227" i="3"/>
  <c r="AH60" i="3"/>
  <c r="AG60" i="3"/>
  <c r="AF60" i="3"/>
  <c r="AE60" i="3"/>
  <c r="AR291" i="5"/>
  <c r="BD291" i="5"/>
  <c r="BC291" i="5"/>
  <c r="AW291" i="5"/>
  <c r="AS291" i="5"/>
  <c r="AW304" i="5"/>
  <c r="AS304" i="5"/>
  <c r="AR304" i="5"/>
  <c r="BD304" i="5"/>
  <c r="BC304" i="5"/>
  <c r="AW233" i="5"/>
  <c r="BD233" i="5"/>
  <c r="BC233" i="5"/>
  <c r="AS233" i="5"/>
  <c r="AR233" i="5"/>
  <c r="BD253" i="5"/>
  <c r="BC253" i="5"/>
  <c r="AW253" i="5"/>
  <c r="AS253" i="5"/>
  <c r="AR253" i="5"/>
  <c r="AS43" i="5"/>
  <c r="AR43" i="5"/>
  <c r="BD43" i="5"/>
  <c r="BC43" i="5"/>
  <c r="AW43" i="5"/>
  <c r="AF240" i="3"/>
  <c r="AE240" i="3"/>
  <c r="AH240" i="3"/>
  <c r="AG240" i="3"/>
  <c r="AG181" i="3"/>
  <c r="AF181" i="3"/>
  <c r="AH181" i="3"/>
  <c r="AE181" i="3"/>
  <c r="AH123" i="3"/>
  <c r="AG123" i="3"/>
  <c r="AF123" i="3"/>
  <c r="AE123" i="3"/>
  <c r="AS389" i="5"/>
  <c r="AR389" i="5"/>
  <c r="AW389" i="5"/>
  <c r="BD389" i="5"/>
  <c r="BC389" i="5"/>
  <c r="BA328" i="5"/>
  <c r="AY328" i="5"/>
  <c r="AX328" i="5"/>
  <c r="AR184" i="5"/>
  <c r="BD184" i="5"/>
  <c r="BC184" i="5"/>
  <c r="AW184" i="5"/>
  <c r="AS184" i="5"/>
  <c r="AY172" i="5"/>
  <c r="AX172" i="5"/>
  <c r="BA172" i="5"/>
  <c r="BA124" i="5"/>
  <c r="AY124" i="5"/>
  <c r="AX124" i="5"/>
  <c r="AY10" i="5"/>
  <c r="AX10" i="5"/>
  <c r="BA10" i="5"/>
  <c r="AH20" i="3"/>
  <c r="AG20" i="3"/>
  <c r="AF20" i="3"/>
  <c r="AE20" i="3"/>
  <c r="AY349" i="5"/>
  <c r="BA349" i="5"/>
  <c r="AX349" i="5"/>
  <c r="BD160" i="5"/>
  <c r="BC160" i="5"/>
  <c r="AW160" i="5"/>
  <c r="AS160" i="5"/>
  <c r="AR160" i="5"/>
  <c r="AH303" i="3"/>
  <c r="AG303" i="3"/>
  <c r="AF303" i="3"/>
  <c r="AE303" i="3"/>
  <c r="AH23" i="3"/>
  <c r="AG23" i="3"/>
  <c r="AF23" i="3"/>
  <c r="AE23" i="3"/>
  <c r="BA377" i="5"/>
  <c r="AY377" i="5"/>
  <c r="AX377" i="5"/>
  <c r="AW355" i="5"/>
  <c r="AS355" i="5"/>
  <c r="AR355" i="5"/>
  <c r="BD355" i="5"/>
  <c r="BC355" i="5"/>
  <c r="BC285" i="5"/>
  <c r="AW285" i="5"/>
  <c r="AS285" i="5"/>
  <c r="AR285" i="5"/>
  <c r="BD285" i="5"/>
  <c r="AH318" i="3"/>
  <c r="AG318" i="3"/>
  <c r="AF318" i="3"/>
  <c r="AE318" i="3"/>
  <c r="AS257" i="5"/>
  <c r="AR257" i="5"/>
  <c r="BD257" i="5"/>
  <c r="BC257" i="5"/>
  <c r="AW257" i="5"/>
  <c r="BC223" i="5"/>
  <c r="AW223" i="5"/>
  <c r="AS223" i="5"/>
  <c r="AR223" i="5"/>
  <c r="BD223" i="5"/>
  <c r="AY72" i="5"/>
  <c r="AX72" i="5"/>
  <c r="BA72" i="5"/>
  <c r="AH347" i="3"/>
  <c r="AG347" i="3"/>
  <c r="AF347" i="3"/>
  <c r="AE347" i="3"/>
  <c r="AH389" i="3"/>
  <c r="AG389" i="3"/>
  <c r="AF389" i="3"/>
  <c r="AE389" i="3"/>
  <c r="AH99" i="3"/>
  <c r="AG99" i="3"/>
  <c r="AF99" i="3"/>
  <c r="AE99" i="3"/>
  <c r="AX325" i="5"/>
  <c r="AY325" i="5"/>
  <c r="BA325" i="5"/>
  <c r="BD23" i="5"/>
  <c r="BC23" i="5"/>
  <c r="AW23" i="5"/>
  <c r="AS23" i="5"/>
  <c r="AR23" i="5"/>
  <c r="AH173" i="3"/>
  <c r="AG173" i="3"/>
  <c r="AF173" i="3"/>
  <c r="AE173" i="3"/>
  <c r="AH146" i="3"/>
  <c r="AG146" i="3"/>
  <c r="AF146" i="3"/>
  <c r="AE146" i="3"/>
  <c r="AS207" i="5"/>
  <c r="AR207" i="5"/>
  <c r="BC207" i="5"/>
  <c r="BD207" i="5"/>
  <c r="AW207" i="5"/>
  <c r="AW164" i="5"/>
  <c r="AS164" i="5"/>
  <c r="AR164" i="5"/>
  <c r="BD164" i="5"/>
  <c r="BC164" i="5"/>
  <c r="AH297" i="3"/>
  <c r="AG297" i="3"/>
  <c r="AF297" i="3"/>
  <c r="AE297" i="3"/>
  <c r="AF225" i="3"/>
  <c r="AE225" i="3"/>
  <c r="AH225" i="3"/>
  <c r="AG225" i="3"/>
  <c r="AG193" i="3"/>
  <c r="AF193" i="3"/>
  <c r="AE193" i="3"/>
  <c r="AH193" i="3"/>
  <c r="AY319" i="5"/>
  <c r="AX319" i="5"/>
  <c r="BA319" i="5"/>
  <c r="AX65" i="5"/>
  <c r="BA65" i="5"/>
  <c r="AY65" i="5"/>
  <c r="AR267" i="5"/>
  <c r="BD267" i="5"/>
  <c r="BC267" i="5"/>
  <c r="AW267" i="5"/>
  <c r="AS267" i="5"/>
  <c r="AS311" i="5"/>
  <c r="AR311" i="5"/>
  <c r="AW311" i="5"/>
  <c r="BD311" i="5"/>
  <c r="BC311" i="5"/>
  <c r="AS199" i="5"/>
  <c r="AR199" i="5"/>
  <c r="BD199" i="5"/>
  <c r="BC199" i="5"/>
  <c r="AW199" i="5"/>
  <c r="AW165" i="5"/>
  <c r="AS165" i="5"/>
  <c r="BD165" i="5"/>
  <c r="BC165" i="5"/>
  <c r="AR165" i="5"/>
  <c r="BA84" i="5"/>
  <c r="AY84" i="5"/>
  <c r="AX84" i="5"/>
  <c r="AX95" i="5"/>
  <c r="BA95" i="5"/>
  <c r="AY95" i="5"/>
  <c r="BA86" i="5"/>
  <c r="AY86" i="5"/>
  <c r="AX86" i="5"/>
  <c r="AW102" i="5"/>
  <c r="AS102" i="5"/>
  <c r="AR102" i="5"/>
  <c r="BD102" i="5"/>
  <c r="BC102" i="5"/>
  <c r="AG183" i="3"/>
  <c r="AF183" i="3"/>
  <c r="AH183" i="3"/>
  <c r="AE183" i="3"/>
  <c r="BC385" i="5"/>
  <c r="AW385" i="5"/>
  <c r="AS385" i="5"/>
  <c r="AR385" i="5"/>
  <c r="BD385" i="5"/>
  <c r="BD336" i="5"/>
  <c r="BC336" i="5"/>
  <c r="AW336" i="5"/>
  <c r="AS336" i="5"/>
  <c r="AR336" i="5"/>
  <c r="BA310" i="5"/>
  <c r="AX310" i="5"/>
  <c r="AY310" i="5"/>
  <c r="AH358" i="3"/>
  <c r="AG358" i="3"/>
  <c r="AF358" i="3"/>
  <c r="AE358" i="3"/>
  <c r="AY180" i="5"/>
  <c r="AX180" i="5"/>
  <c r="BA180" i="5"/>
  <c r="BA60" i="5"/>
  <c r="AX60" i="5"/>
  <c r="AY60" i="5"/>
  <c r="BA87" i="5"/>
  <c r="AY87" i="5"/>
  <c r="AX87" i="5"/>
  <c r="AY25" i="5"/>
  <c r="AX25" i="5"/>
  <c r="BA25" i="5"/>
  <c r="AE366" i="3"/>
  <c r="AH366" i="3"/>
  <c r="AG366" i="3"/>
  <c r="AF366" i="3"/>
  <c r="AG196" i="3"/>
  <c r="AF196" i="3"/>
  <c r="AE196" i="3"/>
  <c r="AH196" i="3"/>
  <c r="AH12" i="3"/>
  <c r="AG12" i="3"/>
  <c r="AF12" i="3"/>
  <c r="AE12" i="3"/>
  <c r="BA24" i="5"/>
  <c r="AY24" i="5"/>
  <c r="AX24" i="5"/>
  <c r="AH24" i="3"/>
  <c r="AG24" i="3"/>
  <c r="AF24" i="3"/>
  <c r="AE24" i="3"/>
  <c r="BD177" i="5"/>
  <c r="BC177" i="5"/>
  <c r="AW177" i="5"/>
  <c r="AS177" i="5"/>
  <c r="AR177" i="5"/>
  <c r="AW125" i="5"/>
  <c r="AS125" i="5"/>
  <c r="AR125" i="5"/>
  <c r="BD125" i="5"/>
  <c r="BC125" i="5"/>
  <c r="AY41" i="5"/>
  <c r="AX41" i="5"/>
  <c r="BA41" i="5"/>
  <c r="AH310" i="3"/>
  <c r="AG310" i="3"/>
  <c r="AF310" i="3"/>
  <c r="AE310" i="3"/>
  <c r="AH142" i="3"/>
  <c r="AG142" i="3"/>
  <c r="AF142" i="3"/>
  <c r="AE142" i="3"/>
  <c r="BA318" i="5"/>
  <c r="AY318" i="5"/>
  <c r="AX318" i="5"/>
  <c r="BA322" i="5"/>
  <c r="AY322" i="5"/>
  <c r="AX322" i="5"/>
  <c r="AR151" i="5"/>
  <c r="BD151" i="5"/>
  <c r="BC151" i="5"/>
  <c r="AW151" i="5"/>
  <c r="AS151" i="5"/>
  <c r="BA302" i="5"/>
  <c r="AX302" i="5"/>
  <c r="AY302" i="5"/>
  <c r="BA55" i="5"/>
  <c r="AY55" i="5"/>
  <c r="AX55" i="5"/>
  <c r="BD153" i="5"/>
  <c r="BC153" i="5"/>
  <c r="AW153" i="5"/>
  <c r="AS153" i="5"/>
  <c r="AR153" i="5"/>
  <c r="AH394" i="3"/>
  <c r="AG394" i="3"/>
  <c r="AF394" i="3"/>
  <c r="AE394" i="3"/>
  <c r="AR216" i="5"/>
  <c r="BD216" i="5"/>
  <c r="BC216" i="5"/>
  <c r="AW216" i="5"/>
  <c r="AS216" i="5"/>
  <c r="AF241" i="3"/>
  <c r="AE241" i="3"/>
  <c r="AH241" i="3"/>
  <c r="AG241" i="3"/>
  <c r="AW225" i="5"/>
  <c r="AS225" i="5"/>
  <c r="AR225" i="5"/>
  <c r="BC225" i="5"/>
  <c r="BD225" i="5"/>
  <c r="BA135" i="5"/>
  <c r="AY135" i="5"/>
  <c r="AX135" i="5"/>
  <c r="BA91" i="5"/>
  <c r="AY91" i="5"/>
  <c r="AX91" i="5"/>
  <c r="AH306" i="3"/>
  <c r="AG306" i="3"/>
  <c r="AF306" i="3"/>
  <c r="AE306" i="3"/>
  <c r="AS298" i="5"/>
  <c r="AR298" i="5"/>
  <c r="BD298" i="5"/>
  <c r="BC298" i="5"/>
  <c r="AW298" i="5"/>
  <c r="BC138" i="5"/>
  <c r="AW138" i="5"/>
  <c r="AS138" i="5"/>
  <c r="AR138" i="5"/>
  <c r="BD138" i="5"/>
  <c r="AH162" i="3"/>
  <c r="AG162" i="3"/>
  <c r="AF162" i="3"/>
  <c r="AE162" i="3"/>
  <c r="AH135" i="3"/>
  <c r="AG135" i="3"/>
  <c r="AF135" i="3"/>
  <c r="AE135" i="3"/>
  <c r="AX49" i="5"/>
  <c r="BA49" i="5"/>
  <c r="AY49" i="5"/>
  <c r="AH38" i="3"/>
  <c r="AG38" i="3"/>
  <c r="AF38" i="3"/>
  <c r="AE38" i="3"/>
  <c r="AY402" i="5"/>
  <c r="AX402" i="5"/>
  <c r="BA402" i="5"/>
  <c r="BA330" i="5"/>
  <c r="AY330" i="5"/>
  <c r="AX330" i="5"/>
  <c r="AR282" i="5"/>
  <c r="BD282" i="5"/>
  <c r="BC282" i="5"/>
  <c r="AW282" i="5"/>
  <c r="AS282" i="5"/>
  <c r="BA286" i="5"/>
  <c r="AX286" i="5"/>
  <c r="AY286" i="5"/>
  <c r="AH317" i="3"/>
  <c r="AG317" i="3"/>
  <c r="AF317" i="3"/>
  <c r="AE317" i="3"/>
  <c r="AH261" i="3"/>
  <c r="AG261" i="3"/>
  <c r="AF261" i="3"/>
  <c r="AE261" i="3"/>
  <c r="AG186" i="3"/>
  <c r="AF186" i="3"/>
  <c r="AH186" i="3"/>
  <c r="AE186" i="3"/>
  <c r="BA245" i="5"/>
  <c r="AY245" i="5"/>
  <c r="AX245" i="5"/>
  <c r="AX384" i="5"/>
  <c r="BA384" i="5"/>
  <c r="AY384" i="5"/>
  <c r="BA234" i="5"/>
  <c r="AY234" i="5"/>
  <c r="AX234" i="5"/>
  <c r="AF176" i="3"/>
  <c r="AH176" i="3"/>
  <c r="AG176" i="3"/>
  <c r="AE176" i="3"/>
  <c r="BA235" i="5"/>
  <c r="AY235" i="5"/>
  <c r="AX235" i="5"/>
  <c r="AR200" i="5"/>
  <c r="BD200" i="5"/>
  <c r="BC200" i="5"/>
  <c r="AS200" i="5"/>
  <c r="AW200" i="5"/>
  <c r="BA59" i="5"/>
  <c r="AY59" i="5"/>
  <c r="AX59" i="5"/>
  <c r="BD192" i="5"/>
  <c r="AW192" i="5"/>
  <c r="AS192" i="5"/>
  <c r="AR192" i="5"/>
  <c r="BC192" i="5"/>
  <c r="AH134" i="3"/>
  <c r="AG134" i="3"/>
  <c r="AF134" i="3"/>
  <c r="AE134" i="3"/>
  <c r="BA361" i="5"/>
  <c r="AY361" i="5"/>
  <c r="AX361" i="5"/>
  <c r="BD268" i="5"/>
  <c r="BC268" i="5"/>
  <c r="AW268" i="5"/>
  <c r="AS268" i="5"/>
  <c r="AR268" i="5"/>
  <c r="BA142" i="5"/>
  <c r="AY142" i="5"/>
  <c r="AX142" i="5"/>
  <c r="AY188" i="5"/>
  <c r="AX188" i="5"/>
  <c r="BA188" i="5"/>
  <c r="AF216" i="3"/>
  <c r="AE216" i="3"/>
  <c r="AG216" i="3"/>
  <c r="AH216" i="3"/>
  <c r="BD144" i="5"/>
  <c r="BC144" i="5"/>
  <c r="AW144" i="5"/>
  <c r="AS144" i="5"/>
  <c r="AR144" i="5"/>
  <c r="AF262" i="3"/>
  <c r="AE262" i="3"/>
  <c r="AH262" i="3"/>
  <c r="AG262" i="3"/>
  <c r="BA28" i="5"/>
  <c r="AY28" i="5"/>
  <c r="AX28" i="5"/>
  <c r="AH213" i="3"/>
  <c r="AG213" i="3"/>
  <c r="AE213" i="3"/>
  <c r="AF213" i="3"/>
  <c r="BA186" i="5"/>
  <c r="AY186" i="5"/>
  <c r="AX186" i="5"/>
  <c r="BA398" i="5"/>
  <c r="AY398" i="5"/>
  <c r="AX398" i="5"/>
  <c r="BA185" i="5"/>
  <c r="AY185" i="5"/>
  <c r="AX185" i="5"/>
  <c r="AR317" i="5"/>
  <c r="BD317" i="5"/>
  <c r="BC317" i="5"/>
  <c r="AS317" i="5"/>
  <c r="AW317" i="5"/>
  <c r="AH49" i="3"/>
  <c r="AG49" i="3"/>
  <c r="AF49" i="3"/>
  <c r="AE49" i="3"/>
  <c r="BD327" i="5"/>
  <c r="AR327" i="5"/>
  <c r="BC327" i="5"/>
  <c r="AW327" i="5"/>
  <c r="AS327" i="5"/>
  <c r="AF256" i="3"/>
  <c r="AE256" i="3"/>
  <c r="AH256" i="3"/>
  <c r="AG256" i="3"/>
  <c r="AA706" i="3"/>
  <c r="AB706" i="3" s="1"/>
  <c r="AA690" i="3"/>
  <c r="AB690" i="3" s="1"/>
  <c r="AA674" i="3"/>
  <c r="AB674" i="3" s="1"/>
  <c r="AA658" i="3"/>
  <c r="AB658" i="3" s="1"/>
  <c r="AA642" i="3"/>
  <c r="AB642" i="3" s="1"/>
  <c r="AA626" i="3"/>
  <c r="AB626" i="3" s="1"/>
  <c r="AA610" i="3"/>
  <c r="AB610" i="3" s="1"/>
  <c r="AA594" i="3"/>
  <c r="AB594" i="3" s="1"/>
  <c r="AA578" i="3"/>
  <c r="AB578" i="3" s="1"/>
  <c r="AA562" i="3"/>
  <c r="AB562" i="3" s="1"/>
  <c r="AA546" i="3"/>
  <c r="AB546" i="3" s="1"/>
  <c r="AA530" i="3"/>
  <c r="AB530" i="3" s="1"/>
  <c r="AA514" i="3"/>
  <c r="AB514" i="3" s="1"/>
  <c r="AA498" i="3"/>
  <c r="AB498" i="3" s="1"/>
  <c r="AA482" i="3"/>
  <c r="AB482" i="3" s="1"/>
  <c r="AA466" i="3"/>
  <c r="AB466" i="3" s="1"/>
  <c r="AA703" i="3"/>
  <c r="AB703" i="3" s="1"/>
  <c r="AA687" i="3"/>
  <c r="AB687" i="3" s="1"/>
  <c r="AA671" i="3"/>
  <c r="AB671" i="3" s="1"/>
  <c r="AA655" i="3"/>
  <c r="AB655" i="3" s="1"/>
  <c r="AA639" i="3"/>
  <c r="AB639" i="3" s="1"/>
  <c r="AA623" i="3"/>
  <c r="AB623" i="3" s="1"/>
  <c r="AA607" i="3"/>
  <c r="AB607" i="3" s="1"/>
  <c r="AA591" i="3"/>
  <c r="AB591" i="3" s="1"/>
  <c r="E591" i="3" s="1"/>
  <c r="AA575" i="3"/>
  <c r="AB575" i="3" s="1"/>
  <c r="AA559" i="3"/>
  <c r="AB559" i="3" s="1"/>
  <c r="AA543" i="3"/>
  <c r="AB543" i="3" s="1"/>
  <c r="AA527" i="3"/>
  <c r="AB527" i="3" s="1"/>
  <c r="E527" i="3" s="1"/>
  <c r="AA694" i="3"/>
  <c r="AB694" i="3" s="1"/>
  <c r="E694" i="3" s="1"/>
  <c r="AA678" i="3"/>
  <c r="AB678" i="3" s="1"/>
  <c r="AA662" i="3"/>
  <c r="AB662" i="3" s="1"/>
  <c r="AA646" i="3"/>
  <c r="AB646" i="3" s="1"/>
  <c r="AA630" i="3"/>
  <c r="AB630" i="3" s="1"/>
  <c r="E630" i="3" s="1"/>
  <c r="AA614" i="3"/>
  <c r="AB614" i="3" s="1"/>
  <c r="AA598" i="3"/>
  <c r="AB598" i="3" s="1"/>
  <c r="AA582" i="3"/>
  <c r="AB582" i="3" s="1"/>
  <c r="AA566" i="3"/>
  <c r="AB566" i="3" s="1"/>
  <c r="AA550" i="3"/>
  <c r="AB550" i="3" s="1"/>
  <c r="AA534" i="3"/>
  <c r="AB534" i="3" s="1"/>
  <c r="AA707" i="3"/>
  <c r="AB707" i="3" s="1"/>
  <c r="AA691" i="3"/>
  <c r="AB691" i="3" s="1"/>
  <c r="AA675" i="3"/>
  <c r="AB675" i="3" s="1"/>
  <c r="AA659" i="3"/>
  <c r="AB659" i="3" s="1"/>
  <c r="AA643" i="3"/>
  <c r="AB643" i="3" s="1"/>
  <c r="AA627" i="3"/>
  <c r="AB627" i="3" s="1"/>
  <c r="AA611" i="3"/>
  <c r="AB611" i="3" s="1"/>
  <c r="AA595" i="3"/>
  <c r="AB595" i="3" s="1"/>
  <c r="AA579" i="3"/>
  <c r="AB579" i="3" s="1"/>
  <c r="AA563" i="3"/>
  <c r="AB563" i="3" s="1"/>
  <c r="AA547" i="3"/>
  <c r="AB547" i="3" s="1"/>
  <c r="E547" i="3" s="1"/>
  <c r="AA531" i="3"/>
  <c r="AB531" i="3" s="1"/>
  <c r="AA704" i="3"/>
  <c r="AB704" i="3" s="1"/>
  <c r="AA688" i="3"/>
  <c r="AB688" i="3" s="1"/>
  <c r="AA672" i="3"/>
  <c r="AB672" i="3" s="1"/>
  <c r="AA656" i="3"/>
  <c r="AB656" i="3" s="1"/>
  <c r="AA640" i="3"/>
  <c r="AB640" i="3" s="1"/>
  <c r="AA701" i="3"/>
  <c r="AB701" i="3" s="1"/>
  <c r="AA685" i="3"/>
  <c r="AB685" i="3" s="1"/>
  <c r="AA669" i="3"/>
  <c r="AB669" i="3" s="1"/>
  <c r="AA653" i="3"/>
  <c r="AB653" i="3" s="1"/>
  <c r="AA637" i="3"/>
  <c r="AB637" i="3" s="1"/>
  <c r="AA621" i="3"/>
  <c r="AB621" i="3" s="1"/>
  <c r="AA698" i="3"/>
  <c r="AB698" i="3" s="1"/>
  <c r="AA682" i="3"/>
  <c r="AB682" i="3" s="1"/>
  <c r="AA666" i="3"/>
  <c r="AB666" i="3" s="1"/>
  <c r="AA650" i="3"/>
  <c r="AB650" i="3" s="1"/>
  <c r="AA634" i="3"/>
  <c r="AB634" i="3" s="1"/>
  <c r="AA618" i="3"/>
  <c r="AB618" i="3" s="1"/>
  <c r="AA702" i="3"/>
  <c r="AB702" i="3" s="1"/>
  <c r="AA686" i="3"/>
  <c r="AB686" i="3" s="1"/>
  <c r="AA670" i="3"/>
  <c r="AB670" i="3" s="1"/>
  <c r="AA654" i="3"/>
  <c r="AB654" i="3" s="1"/>
  <c r="AA638" i="3"/>
  <c r="AB638" i="3" s="1"/>
  <c r="AA622" i="3"/>
  <c r="AB622" i="3" s="1"/>
  <c r="E622" i="3" s="1"/>
  <c r="AA606" i="3"/>
  <c r="AB606" i="3" s="1"/>
  <c r="AA700" i="3"/>
  <c r="AB700" i="3" s="1"/>
  <c r="E700" i="3" s="1"/>
  <c r="AA668" i="3"/>
  <c r="AB668" i="3" s="1"/>
  <c r="AA636" i="3"/>
  <c r="AB636" i="3" s="1"/>
  <c r="E636" i="3" s="1"/>
  <c r="AA617" i="3"/>
  <c r="AB617" i="3" s="1"/>
  <c r="AA599" i="3"/>
  <c r="AB599" i="3" s="1"/>
  <c r="AA597" i="3"/>
  <c r="AB597" i="3" s="1"/>
  <c r="AA581" i="3"/>
  <c r="AB581" i="3" s="1"/>
  <c r="AA577" i="3"/>
  <c r="AB577" i="3" s="1"/>
  <c r="AA573" i="3"/>
  <c r="AB573" i="3" s="1"/>
  <c r="AA525" i="3"/>
  <c r="AB525" i="3" s="1"/>
  <c r="AA509" i="3"/>
  <c r="AB509" i="3" s="1"/>
  <c r="AA495" i="3"/>
  <c r="AB495" i="3" s="1"/>
  <c r="AA478" i="3"/>
  <c r="AB478" i="3" s="1"/>
  <c r="AA451" i="3"/>
  <c r="AB451" i="3" s="1"/>
  <c r="AA435" i="3"/>
  <c r="AB435" i="3" s="1"/>
  <c r="AA697" i="3"/>
  <c r="AB697" i="3" s="1"/>
  <c r="AA665" i="3"/>
  <c r="AB665" i="3" s="1"/>
  <c r="AA633" i="3"/>
  <c r="AB633" i="3" s="1"/>
  <c r="AA601" i="3"/>
  <c r="AB601" i="3" s="1"/>
  <c r="AA542" i="3"/>
  <c r="AB542" i="3" s="1"/>
  <c r="AA540" i="3"/>
  <c r="AB540" i="3" s="1"/>
  <c r="AA538" i="3"/>
  <c r="AB538" i="3" s="1"/>
  <c r="AA512" i="3"/>
  <c r="AB512" i="3" s="1"/>
  <c r="E512" i="3" s="1"/>
  <c r="AA481" i="3"/>
  <c r="AB481" i="3" s="1"/>
  <c r="AA467" i="3"/>
  <c r="AB467" i="3" s="1"/>
  <c r="AA464" i="3"/>
  <c r="AB464" i="3" s="1"/>
  <c r="AA448" i="3"/>
  <c r="AB448" i="3" s="1"/>
  <c r="AA432" i="3"/>
  <c r="AB432" i="3" s="1"/>
  <c r="AA679" i="3"/>
  <c r="AB679" i="3" s="1"/>
  <c r="AA647" i="3"/>
  <c r="AB647" i="3" s="1"/>
  <c r="AA605" i="3"/>
  <c r="AB605" i="3" s="1"/>
  <c r="AA603" i="3"/>
  <c r="AB603" i="3" s="1"/>
  <c r="AA571" i="3"/>
  <c r="AB571" i="3" s="1"/>
  <c r="AA569" i="3"/>
  <c r="AB569" i="3" s="1"/>
  <c r="AA567" i="3"/>
  <c r="AB567" i="3" s="1"/>
  <c r="E567" i="3" s="1"/>
  <c r="AA515" i="3"/>
  <c r="AB515" i="3" s="1"/>
  <c r="AA484" i="3"/>
  <c r="AB484" i="3" s="1"/>
  <c r="AA676" i="3"/>
  <c r="AB676" i="3" s="1"/>
  <c r="AA644" i="3"/>
  <c r="AB644" i="3" s="1"/>
  <c r="AA619" i="3"/>
  <c r="AB619" i="3" s="1"/>
  <c r="AA536" i="3"/>
  <c r="AB536" i="3" s="1"/>
  <c r="AA532" i="3"/>
  <c r="AB532" i="3" s="1"/>
  <c r="AA523" i="3"/>
  <c r="AB523" i="3" s="1"/>
  <c r="AA518" i="3"/>
  <c r="AB518" i="3" s="1"/>
  <c r="AA501" i="3"/>
  <c r="AB501" i="3" s="1"/>
  <c r="AA487" i="3"/>
  <c r="AB487" i="3" s="1"/>
  <c r="AA473" i="3"/>
  <c r="AB473" i="3" s="1"/>
  <c r="AA458" i="3"/>
  <c r="AB458" i="3" s="1"/>
  <c r="AA442" i="3"/>
  <c r="AB442" i="3" s="1"/>
  <c r="AA426" i="3"/>
  <c r="AB426" i="3" s="1"/>
  <c r="AA705" i="3"/>
  <c r="AB705" i="3" s="1"/>
  <c r="AA673" i="3"/>
  <c r="AB673" i="3" s="1"/>
  <c r="E673" i="3" s="1"/>
  <c r="AA641" i="3"/>
  <c r="AB641" i="3" s="1"/>
  <c r="AA624" i="3"/>
  <c r="AB624" i="3" s="1"/>
  <c r="AA592" i="3"/>
  <c r="AB592" i="3" s="1"/>
  <c r="AA565" i="3"/>
  <c r="AB565" i="3" s="1"/>
  <c r="AA561" i="3"/>
  <c r="AB561" i="3" s="1"/>
  <c r="AA557" i="3"/>
  <c r="AB557" i="3" s="1"/>
  <c r="AA504" i="3"/>
  <c r="AB504" i="3" s="1"/>
  <c r="AA490" i="3"/>
  <c r="AB490" i="3" s="1"/>
  <c r="AA476" i="3"/>
  <c r="AB476" i="3" s="1"/>
  <c r="AA455" i="3"/>
  <c r="AB455" i="3" s="1"/>
  <c r="AA439" i="3"/>
  <c r="AB439" i="3" s="1"/>
  <c r="AA699" i="3"/>
  <c r="AB699" i="3" s="1"/>
  <c r="AA667" i="3"/>
  <c r="AB667" i="3" s="1"/>
  <c r="AA696" i="3"/>
  <c r="AB696" i="3" s="1"/>
  <c r="AA664" i="3"/>
  <c r="AB664" i="3" s="1"/>
  <c r="E664" i="3" s="1"/>
  <c r="AA632" i="3"/>
  <c r="AB632" i="3" s="1"/>
  <c r="AA616" i="3"/>
  <c r="AB616" i="3" s="1"/>
  <c r="AA555" i="3"/>
  <c r="AB555" i="3" s="1"/>
  <c r="AA553" i="3"/>
  <c r="AB553" i="3" s="1"/>
  <c r="AA551" i="3"/>
  <c r="AB551" i="3" s="1"/>
  <c r="AA693" i="3"/>
  <c r="AB693" i="3" s="1"/>
  <c r="AA661" i="3"/>
  <c r="AB661" i="3" s="1"/>
  <c r="AA629" i="3"/>
  <c r="AB629" i="3" s="1"/>
  <c r="AA684" i="3"/>
  <c r="AB684" i="3" s="1"/>
  <c r="AA652" i="3"/>
  <c r="AB652" i="3" s="1"/>
  <c r="AA681" i="3"/>
  <c r="AB681" i="3" s="1"/>
  <c r="AA695" i="3"/>
  <c r="AB695" i="3" s="1"/>
  <c r="AA663" i="3"/>
  <c r="AB663" i="3" s="1"/>
  <c r="AA631" i="3"/>
  <c r="AB631" i="3" s="1"/>
  <c r="AA604" i="3"/>
  <c r="AB604" i="3" s="1"/>
  <c r="AA539" i="3"/>
  <c r="AB539" i="3" s="1"/>
  <c r="AA537" i="3"/>
  <c r="AB537" i="3" s="1"/>
  <c r="AA535" i="3"/>
  <c r="AB535" i="3" s="1"/>
  <c r="AA508" i="3"/>
  <c r="AB508" i="3" s="1"/>
  <c r="AA692" i="3"/>
  <c r="AB692" i="3" s="1"/>
  <c r="AA660" i="3"/>
  <c r="AB660" i="3" s="1"/>
  <c r="AA628" i="3"/>
  <c r="AB628" i="3" s="1"/>
  <c r="E628" i="3" s="1"/>
  <c r="AA615" i="3"/>
  <c r="AB615" i="3" s="1"/>
  <c r="AA608" i="3"/>
  <c r="AB608" i="3" s="1"/>
  <c r="AA680" i="3"/>
  <c r="AB680" i="3" s="1"/>
  <c r="AA648" i="3"/>
  <c r="AB648" i="3" s="1"/>
  <c r="AA625" i="3"/>
  <c r="AB625" i="3" s="1"/>
  <c r="AA612" i="3"/>
  <c r="AB612" i="3" s="1"/>
  <c r="AA593" i="3"/>
  <c r="AB593" i="3" s="1"/>
  <c r="AA587" i="3"/>
  <c r="AB587" i="3" s="1"/>
  <c r="AA585" i="3"/>
  <c r="AB585" i="3" s="1"/>
  <c r="AA583" i="3"/>
  <c r="AB583" i="3" s="1"/>
  <c r="AA649" i="3"/>
  <c r="AB649" i="3" s="1"/>
  <c r="AA584" i="3"/>
  <c r="AB584" i="3" s="1"/>
  <c r="AA580" i="3"/>
  <c r="AB580" i="3" s="1"/>
  <c r="AA576" i="3"/>
  <c r="AB576" i="3" s="1"/>
  <c r="AA516" i="3"/>
  <c r="AB516" i="3" s="1"/>
  <c r="AA511" i="3"/>
  <c r="AB511" i="3" s="1"/>
  <c r="AA483" i="3"/>
  <c r="AB483" i="3" s="1"/>
  <c r="AA468" i="3"/>
  <c r="AB468" i="3" s="1"/>
  <c r="AA462" i="3"/>
  <c r="AB462" i="3" s="1"/>
  <c r="AA424" i="3"/>
  <c r="AB424" i="3" s="1"/>
  <c r="AA408" i="3"/>
  <c r="AB408" i="3" s="1"/>
  <c r="AA613" i="3"/>
  <c r="AB613" i="3" s="1"/>
  <c r="AA492" i="3"/>
  <c r="AB492" i="3" s="1"/>
  <c r="AA485" i="3"/>
  <c r="AB485" i="3" s="1"/>
  <c r="E485" i="3" s="1"/>
  <c r="AA470" i="3"/>
  <c r="AB470" i="3" s="1"/>
  <c r="E470" i="3" s="1"/>
  <c r="AA431" i="3"/>
  <c r="AB431" i="3" s="1"/>
  <c r="AA429" i="3"/>
  <c r="AB429" i="3" s="1"/>
  <c r="AA427" i="3"/>
  <c r="AB427" i="3" s="1"/>
  <c r="AA421" i="3"/>
  <c r="AB421" i="3" s="1"/>
  <c r="AA657" i="3"/>
  <c r="AB657" i="3" s="1"/>
  <c r="AA596" i="3"/>
  <c r="AB596" i="3" s="1"/>
  <c r="AA572" i="3"/>
  <c r="AB572" i="3" s="1"/>
  <c r="E572" i="3" s="1"/>
  <c r="AA506" i="3"/>
  <c r="AB506" i="3" s="1"/>
  <c r="AA496" i="3"/>
  <c r="AB496" i="3" s="1"/>
  <c r="AA494" i="3"/>
  <c r="AB494" i="3" s="1"/>
  <c r="AA474" i="3"/>
  <c r="AB474" i="3" s="1"/>
  <c r="AA460" i="3"/>
  <c r="AB460" i="3" s="1"/>
  <c r="AA456" i="3"/>
  <c r="AB456" i="3" s="1"/>
  <c r="AA452" i="3"/>
  <c r="AB452" i="3" s="1"/>
  <c r="AA418" i="3"/>
  <c r="AB418" i="3" s="1"/>
  <c r="AA568" i="3"/>
  <c r="AB568" i="3" s="1"/>
  <c r="AA564" i="3"/>
  <c r="AB564" i="3" s="1"/>
  <c r="AA560" i="3"/>
  <c r="AB560" i="3" s="1"/>
  <c r="AA513" i="3"/>
  <c r="AB513" i="3" s="1"/>
  <c r="AA472" i="3"/>
  <c r="AB472" i="3" s="1"/>
  <c r="AA415" i="3"/>
  <c r="AB415" i="3" s="1"/>
  <c r="AA620" i="3"/>
  <c r="AB620" i="3" s="1"/>
  <c r="AA549" i="3"/>
  <c r="AB549" i="3" s="1"/>
  <c r="AA529" i="3"/>
  <c r="AB529" i="3" s="1"/>
  <c r="AA526" i="3"/>
  <c r="AB526" i="3" s="1"/>
  <c r="AA454" i="3"/>
  <c r="AB454" i="3" s="1"/>
  <c r="AA450" i="3"/>
  <c r="AB450" i="3" s="1"/>
  <c r="AA446" i="3"/>
  <c r="AB446" i="3" s="1"/>
  <c r="AA412" i="3"/>
  <c r="AB412" i="3" s="1"/>
  <c r="AA677" i="3"/>
  <c r="AB677" i="3" s="1"/>
  <c r="AA600" i="3"/>
  <c r="AB600" i="3" s="1"/>
  <c r="AA556" i="3"/>
  <c r="AB556" i="3" s="1"/>
  <c r="AA503" i="3"/>
  <c r="AB503" i="3" s="1"/>
  <c r="AA480" i="3"/>
  <c r="AB480" i="3" s="1"/>
  <c r="AA425" i="3"/>
  <c r="AB425" i="3" s="1"/>
  <c r="AA409" i="3"/>
  <c r="AB409" i="3" s="1"/>
  <c r="AA545" i="3"/>
  <c r="AB545" i="3" s="1"/>
  <c r="E545" i="3" s="1"/>
  <c r="AA510" i="3"/>
  <c r="AB510" i="3" s="1"/>
  <c r="AA489" i="3"/>
  <c r="AB489" i="3" s="1"/>
  <c r="AA444" i="3"/>
  <c r="AB444" i="3" s="1"/>
  <c r="AA440" i="3"/>
  <c r="AB440" i="3" s="1"/>
  <c r="AA436" i="3"/>
  <c r="AB436" i="3" s="1"/>
  <c r="AA422" i="3"/>
  <c r="AB422" i="3" s="1"/>
  <c r="AA689" i="3"/>
  <c r="AB689" i="3" s="1"/>
  <c r="AA590" i="3"/>
  <c r="AB590" i="3" s="1"/>
  <c r="AA586" i="3"/>
  <c r="AB586" i="3" s="1"/>
  <c r="AA528" i="3"/>
  <c r="AB528" i="3" s="1"/>
  <c r="AA505" i="3"/>
  <c r="AB505" i="3" s="1"/>
  <c r="AA493" i="3"/>
  <c r="AB493" i="3" s="1"/>
  <c r="AA491" i="3"/>
  <c r="AB491" i="3" s="1"/>
  <c r="AA465" i="3"/>
  <c r="AB465" i="3" s="1"/>
  <c r="AA419" i="3"/>
  <c r="AB419" i="3" s="1"/>
  <c r="AA645" i="3"/>
  <c r="AB645" i="3" s="1"/>
  <c r="AA635" i="3"/>
  <c r="AB635" i="3" s="1"/>
  <c r="AA552" i="3"/>
  <c r="AB552" i="3" s="1"/>
  <c r="E552" i="3" s="1"/>
  <c r="AA541" i="3"/>
  <c r="AB541" i="3" s="1"/>
  <c r="AA520" i="3"/>
  <c r="AB520" i="3" s="1"/>
  <c r="AA500" i="3"/>
  <c r="AB500" i="3" s="1"/>
  <c r="AA438" i="3"/>
  <c r="AB438" i="3" s="1"/>
  <c r="AA434" i="3"/>
  <c r="AB434" i="3" s="1"/>
  <c r="AA430" i="3"/>
  <c r="AB430" i="3" s="1"/>
  <c r="AA416" i="3"/>
  <c r="AB416" i="3" s="1"/>
  <c r="AA507" i="3"/>
  <c r="AB507" i="3" s="1"/>
  <c r="AA471" i="3"/>
  <c r="AB471" i="3" s="1"/>
  <c r="E471" i="3" s="1"/>
  <c r="AA463" i="3"/>
  <c r="AB463" i="3" s="1"/>
  <c r="AA461" i="3"/>
  <c r="AB461" i="3" s="1"/>
  <c r="AA459" i="3"/>
  <c r="AB459" i="3" s="1"/>
  <c r="AA609" i="3"/>
  <c r="AB609" i="3" s="1"/>
  <c r="E609" i="3" s="1"/>
  <c r="AA548" i="3"/>
  <c r="AB548" i="3" s="1"/>
  <c r="AA522" i="3"/>
  <c r="AB522" i="3" s="1"/>
  <c r="AA502" i="3"/>
  <c r="AB502" i="3" s="1"/>
  <c r="AA420" i="3"/>
  <c r="AB420" i="3" s="1"/>
  <c r="AA413" i="3"/>
  <c r="AB413" i="3" s="1"/>
  <c r="AA406" i="3"/>
  <c r="AB406" i="3" s="1"/>
  <c r="AA398" i="3"/>
  <c r="AB398" i="3" s="1"/>
  <c r="AA390" i="3"/>
  <c r="AB390" i="3" s="1"/>
  <c r="AA359" i="3"/>
  <c r="AB359" i="3" s="1"/>
  <c r="AA558" i="3"/>
  <c r="AB558" i="3" s="1"/>
  <c r="AA423" i="3"/>
  <c r="AB423" i="3" s="1"/>
  <c r="AA357" i="3"/>
  <c r="AB357" i="3" s="1"/>
  <c r="E357" i="3" s="1"/>
  <c r="AA683" i="3"/>
  <c r="AB683" i="3" s="1"/>
  <c r="AA407" i="3"/>
  <c r="AB407" i="3" s="1"/>
  <c r="AA399" i="3"/>
  <c r="AB399" i="3" s="1"/>
  <c r="AA391" i="3"/>
  <c r="AB391" i="3" s="1"/>
  <c r="AA589" i="3"/>
  <c r="AB589" i="3" s="1"/>
  <c r="AA477" i="3"/>
  <c r="AB477" i="3" s="1"/>
  <c r="AA441" i="3"/>
  <c r="AB441" i="3" s="1"/>
  <c r="AA366" i="3"/>
  <c r="AB366" i="3" s="1"/>
  <c r="AA362" i="3"/>
  <c r="AB362" i="3" s="1"/>
  <c r="E362" i="3" s="1"/>
  <c r="AA400" i="3"/>
  <c r="AB400" i="3" s="1"/>
  <c r="AA392" i="3"/>
  <c r="AB392" i="3" s="1"/>
  <c r="AA384" i="3"/>
  <c r="AB384" i="3" s="1"/>
  <c r="AA383" i="3"/>
  <c r="AB383" i="3" s="1"/>
  <c r="AA382" i="3"/>
  <c r="AB382" i="3" s="1"/>
  <c r="AA381" i="3"/>
  <c r="AB381" i="3" s="1"/>
  <c r="AA380" i="3"/>
  <c r="AB380" i="3" s="1"/>
  <c r="AA379" i="3"/>
  <c r="AB379" i="3" s="1"/>
  <c r="AA378" i="3"/>
  <c r="AB378" i="3" s="1"/>
  <c r="AA377" i="3"/>
  <c r="AB377" i="3" s="1"/>
  <c r="AA376" i="3"/>
  <c r="AB376" i="3" s="1"/>
  <c r="AA375" i="3"/>
  <c r="AB375" i="3" s="1"/>
  <c r="AA374" i="3"/>
  <c r="AB374" i="3" s="1"/>
  <c r="AA373" i="3"/>
  <c r="AB373" i="3" s="1"/>
  <c r="AA372" i="3"/>
  <c r="AB372" i="3" s="1"/>
  <c r="AA371" i="3"/>
  <c r="AB371" i="3" s="1"/>
  <c r="AA370" i="3"/>
  <c r="AB370" i="3" s="1"/>
  <c r="AA521" i="3"/>
  <c r="AB521" i="3" s="1"/>
  <c r="AA445" i="3"/>
  <c r="AB445" i="3" s="1"/>
  <c r="AA602" i="3"/>
  <c r="AB602" i="3" s="1"/>
  <c r="AA588" i="3"/>
  <c r="AB588" i="3" s="1"/>
  <c r="AA574" i="3"/>
  <c r="AB574" i="3" s="1"/>
  <c r="AA488" i="3"/>
  <c r="AB488" i="3" s="1"/>
  <c r="E488" i="3" s="1"/>
  <c r="AA401" i="3"/>
  <c r="AB401" i="3" s="1"/>
  <c r="AA393" i="3"/>
  <c r="AB393" i="3" s="1"/>
  <c r="AA385" i="3"/>
  <c r="AB385" i="3" s="1"/>
  <c r="AA554" i="3"/>
  <c r="AB554" i="3" s="1"/>
  <c r="AA449" i="3"/>
  <c r="AB449" i="3" s="1"/>
  <c r="AA369" i="3"/>
  <c r="AB369" i="3" s="1"/>
  <c r="AA365" i="3"/>
  <c r="AB365" i="3" s="1"/>
  <c r="AA361" i="3"/>
  <c r="AB361" i="3" s="1"/>
  <c r="AA358" i="3"/>
  <c r="AB358" i="3" s="1"/>
  <c r="AA355" i="3"/>
  <c r="AB355" i="3" s="1"/>
  <c r="AA354" i="3"/>
  <c r="AB354" i="3" s="1"/>
  <c r="AA353" i="3"/>
  <c r="AB353" i="3" s="1"/>
  <c r="AA352" i="3"/>
  <c r="AB352" i="3" s="1"/>
  <c r="AA351" i="3"/>
  <c r="AB351" i="3" s="1"/>
  <c r="AA350" i="3"/>
  <c r="AB350" i="3" s="1"/>
  <c r="AA349" i="3"/>
  <c r="AB349" i="3" s="1"/>
  <c r="AA348" i="3"/>
  <c r="AB348" i="3" s="1"/>
  <c r="AA347" i="3"/>
  <c r="AB347" i="3" s="1"/>
  <c r="AA346" i="3"/>
  <c r="AB346" i="3" s="1"/>
  <c r="AA345" i="3"/>
  <c r="AB345" i="3" s="1"/>
  <c r="AA344" i="3"/>
  <c r="AB344" i="3" s="1"/>
  <c r="AA343" i="3"/>
  <c r="AB343" i="3" s="1"/>
  <c r="AA342" i="3"/>
  <c r="AB342" i="3" s="1"/>
  <c r="AA341" i="3"/>
  <c r="AB341" i="3" s="1"/>
  <c r="AA340" i="3"/>
  <c r="AB340" i="3" s="1"/>
  <c r="AA339" i="3"/>
  <c r="AB339" i="3" s="1"/>
  <c r="AA338" i="3"/>
  <c r="AB338" i="3" s="1"/>
  <c r="AA337" i="3"/>
  <c r="AB337" i="3" s="1"/>
  <c r="AA336" i="3"/>
  <c r="AB336" i="3" s="1"/>
  <c r="AA335" i="3"/>
  <c r="AB335" i="3" s="1"/>
  <c r="AA334" i="3"/>
  <c r="AB334" i="3" s="1"/>
  <c r="AA333" i="3"/>
  <c r="AB333" i="3" s="1"/>
  <c r="AA332" i="3"/>
  <c r="AB332" i="3" s="1"/>
  <c r="AA331" i="3"/>
  <c r="AB331" i="3" s="1"/>
  <c r="AA330" i="3"/>
  <c r="AB330" i="3" s="1"/>
  <c r="AA329" i="3"/>
  <c r="AB329" i="3" s="1"/>
  <c r="AA328" i="3"/>
  <c r="AB328" i="3" s="1"/>
  <c r="AA327" i="3"/>
  <c r="AB327" i="3" s="1"/>
  <c r="AA326" i="3"/>
  <c r="AB326" i="3" s="1"/>
  <c r="AA325" i="3"/>
  <c r="AB325" i="3" s="1"/>
  <c r="AA324" i="3"/>
  <c r="AB324" i="3" s="1"/>
  <c r="AA323" i="3"/>
  <c r="AB323" i="3" s="1"/>
  <c r="AA322" i="3"/>
  <c r="AB322" i="3" s="1"/>
  <c r="AA321" i="3"/>
  <c r="AB321" i="3" s="1"/>
  <c r="AA320" i="3"/>
  <c r="AB320" i="3" s="1"/>
  <c r="AA319" i="3"/>
  <c r="AB319" i="3" s="1"/>
  <c r="AA318" i="3"/>
  <c r="AB318" i="3" s="1"/>
  <c r="AA317" i="3"/>
  <c r="AB317" i="3" s="1"/>
  <c r="E317" i="3" s="1"/>
  <c r="AA316" i="3"/>
  <c r="AB316" i="3" s="1"/>
  <c r="AA315" i="3"/>
  <c r="AB315" i="3" s="1"/>
  <c r="AA314" i="3"/>
  <c r="AB314" i="3" s="1"/>
  <c r="AA313" i="3"/>
  <c r="AB313" i="3" s="1"/>
  <c r="AA312" i="3"/>
  <c r="AB312" i="3" s="1"/>
  <c r="AA544" i="3"/>
  <c r="AB544" i="3" s="1"/>
  <c r="AA402" i="3"/>
  <c r="AB402" i="3" s="1"/>
  <c r="AA394" i="3"/>
  <c r="AB394" i="3" s="1"/>
  <c r="AA386" i="3"/>
  <c r="AB386" i="3" s="1"/>
  <c r="AA519" i="3"/>
  <c r="AB519" i="3" s="1"/>
  <c r="AA499" i="3"/>
  <c r="AB499" i="3" s="1"/>
  <c r="AA475" i="3"/>
  <c r="AB475" i="3" s="1"/>
  <c r="AA469" i="3"/>
  <c r="AB469" i="3" s="1"/>
  <c r="AA403" i="3"/>
  <c r="AB403" i="3" s="1"/>
  <c r="AA395" i="3"/>
  <c r="AB395" i="3" s="1"/>
  <c r="AA387" i="3"/>
  <c r="AB387" i="3" s="1"/>
  <c r="AA486" i="3"/>
  <c r="AB486" i="3" s="1"/>
  <c r="AA453" i="3"/>
  <c r="AB453" i="3" s="1"/>
  <c r="AA443" i="3"/>
  <c r="AB443" i="3" s="1"/>
  <c r="AA433" i="3"/>
  <c r="AB433" i="3" s="1"/>
  <c r="AA428" i="3"/>
  <c r="AB428" i="3" s="1"/>
  <c r="AA368" i="3"/>
  <c r="AB368" i="3" s="1"/>
  <c r="E368" i="3" s="1"/>
  <c r="AA364" i="3"/>
  <c r="AB364" i="3" s="1"/>
  <c r="AA360" i="3"/>
  <c r="AB360" i="3" s="1"/>
  <c r="AA356" i="3"/>
  <c r="AB356" i="3" s="1"/>
  <c r="AA570" i="3"/>
  <c r="AB570" i="3" s="1"/>
  <c r="AA479" i="3"/>
  <c r="AB479" i="3" s="1"/>
  <c r="E479" i="3" s="1"/>
  <c r="AA404" i="3"/>
  <c r="AB404" i="3" s="1"/>
  <c r="AA396" i="3"/>
  <c r="AB396" i="3" s="1"/>
  <c r="AA388" i="3"/>
  <c r="AB388" i="3" s="1"/>
  <c r="AA524" i="3"/>
  <c r="AB524" i="3" s="1"/>
  <c r="AA411" i="3"/>
  <c r="AB411" i="3" s="1"/>
  <c r="AA289" i="3"/>
  <c r="AB289" i="3" s="1"/>
  <c r="AA264" i="3"/>
  <c r="AB264" i="3" s="1"/>
  <c r="AA517" i="3"/>
  <c r="AB517" i="3" s="1"/>
  <c r="AA457" i="3"/>
  <c r="AB457" i="3" s="1"/>
  <c r="AA410" i="3"/>
  <c r="AB410" i="3" s="1"/>
  <c r="AA287" i="3"/>
  <c r="AB287" i="3" s="1"/>
  <c r="AA283" i="3"/>
  <c r="AB283" i="3" s="1"/>
  <c r="AA279" i="3"/>
  <c r="AB279" i="3" s="1"/>
  <c r="AA275" i="3"/>
  <c r="AB275" i="3" s="1"/>
  <c r="AA271" i="3"/>
  <c r="AB271" i="3" s="1"/>
  <c r="AA265" i="3"/>
  <c r="AB265" i="3" s="1"/>
  <c r="AA651" i="3"/>
  <c r="AB651" i="3" s="1"/>
  <c r="AA294" i="3"/>
  <c r="AB294" i="3" s="1"/>
  <c r="AA389" i="3"/>
  <c r="AB389" i="3" s="1"/>
  <c r="AA311" i="3"/>
  <c r="AB311" i="3" s="1"/>
  <c r="AA310" i="3"/>
  <c r="AB310" i="3" s="1"/>
  <c r="AA309" i="3"/>
  <c r="AB309" i="3" s="1"/>
  <c r="AA308" i="3"/>
  <c r="AB308" i="3" s="1"/>
  <c r="AA307" i="3"/>
  <c r="AB307" i="3" s="1"/>
  <c r="AA306" i="3"/>
  <c r="AB306" i="3" s="1"/>
  <c r="AA305" i="3"/>
  <c r="AB305" i="3" s="1"/>
  <c r="AA304" i="3"/>
  <c r="AB304" i="3" s="1"/>
  <c r="AA303" i="3"/>
  <c r="AB303" i="3" s="1"/>
  <c r="AA302" i="3"/>
  <c r="AB302" i="3" s="1"/>
  <c r="AA301" i="3"/>
  <c r="AB301" i="3" s="1"/>
  <c r="AA300" i="3"/>
  <c r="AB300" i="3" s="1"/>
  <c r="AA291" i="3"/>
  <c r="AB291" i="3" s="1"/>
  <c r="AA266" i="3"/>
  <c r="AB266" i="3" s="1"/>
  <c r="AA258" i="3"/>
  <c r="AB258" i="3" s="1"/>
  <c r="AA257" i="3"/>
  <c r="AB257" i="3" s="1"/>
  <c r="AA256" i="3"/>
  <c r="AB256" i="3" s="1"/>
  <c r="AA255" i="3"/>
  <c r="AB255" i="3" s="1"/>
  <c r="E255" i="3" s="1"/>
  <c r="AA254" i="3"/>
  <c r="AB254" i="3" s="1"/>
  <c r="AA253" i="3"/>
  <c r="AB253" i="3" s="1"/>
  <c r="AA252" i="3"/>
  <c r="AB252" i="3" s="1"/>
  <c r="AA251" i="3"/>
  <c r="AB251" i="3" s="1"/>
  <c r="E251" i="3" s="1"/>
  <c r="AA250" i="3"/>
  <c r="AB250" i="3" s="1"/>
  <c r="AA249" i="3"/>
  <c r="AB249" i="3" s="1"/>
  <c r="AA248" i="3"/>
  <c r="AB248" i="3" s="1"/>
  <c r="AA447" i="3"/>
  <c r="AB447" i="3" s="1"/>
  <c r="AA298" i="3"/>
  <c r="AB298" i="3" s="1"/>
  <c r="AA293" i="3"/>
  <c r="AB293" i="3" s="1"/>
  <c r="AA268" i="3"/>
  <c r="AB268" i="3" s="1"/>
  <c r="AA260" i="3"/>
  <c r="AB260" i="3" s="1"/>
  <c r="AA405" i="3"/>
  <c r="AB405" i="3" s="1"/>
  <c r="AA297" i="3"/>
  <c r="AB297" i="3" s="1"/>
  <c r="AA290" i="3"/>
  <c r="AB290" i="3" s="1"/>
  <c r="AA285" i="3"/>
  <c r="AB285" i="3" s="1"/>
  <c r="AA281" i="3"/>
  <c r="AB281" i="3" s="1"/>
  <c r="E281" i="3" s="1"/>
  <c r="AA277" i="3"/>
  <c r="AB277" i="3" s="1"/>
  <c r="AA273" i="3"/>
  <c r="AB273" i="3" s="1"/>
  <c r="AA269" i="3"/>
  <c r="AB269" i="3" s="1"/>
  <c r="AA261" i="3"/>
  <c r="AB261" i="3" s="1"/>
  <c r="AA533" i="3"/>
  <c r="AB533" i="3" s="1"/>
  <c r="AA497" i="3"/>
  <c r="AB497" i="3" s="1"/>
  <c r="AA417" i="3"/>
  <c r="AB417" i="3" s="1"/>
  <c r="AA296" i="3"/>
  <c r="AB296" i="3" s="1"/>
  <c r="AA262" i="3"/>
  <c r="AB262" i="3" s="1"/>
  <c r="AA414" i="3"/>
  <c r="AB414" i="3" s="1"/>
  <c r="AA292" i="3"/>
  <c r="AB292" i="3" s="1"/>
  <c r="AA286" i="3"/>
  <c r="AB286" i="3" s="1"/>
  <c r="E286" i="3" s="1"/>
  <c r="AA282" i="3"/>
  <c r="AB282" i="3" s="1"/>
  <c r="AA278" i="3"/>
  <c r="AB278" i="3" s="1"/>
  <c r="AA274" i="3"/>
  <c r="AB274" i="3" s="1"/>
  <c r="AA270" i="3"/>
  <c r="AB270" i="3" s="1"/>
  <c r="AA263" i="3"/>
  <c r="AB263" i="3" s="1"/>
  <c r="AA397" i="3"/>
  <c r="AB397" i="3" s="1"/>
  <c r="AA295" i="3"/>
  <c r="AB295" i="3" s="1"/>
  <c r="AA284" i="3"/>
  <c r="AB284" i="3" s="1"/>
  <c r="AA237" i="3"/>
  <c r="AB237" i="3" s="1"/>
  <c r="AA214" i="3"/>
  <c r="AB214" i="3" s="1"/>
  <c r="AA210" i="3"/>
  <c r="AB210" i="3" s="1"/>
  <c r="AA299" i="3"/>
  <c r="AB299" i="3" s="1"/>
  <c r="AA236" i="3"/>
  <c r="AB236" i="3" s="1"/>
  <c r="AA228" i="3"/>
  <c r="AB228" i="3" s="1"/>
  <c r="AA220" i="3"/>
  <c r="AB220" i="3" s="1"/>
  <c r="AA216" i="3"/>
  <c r="AB216" i="3" s="1"/>
  <c r="AA244" i="3"/>
  <c r="AB244" i="3" s="1"/>
  <c r="AA238" i="3"/>
  <c r="AB238" i="3" s="1"/>
  <c r="AA211" i="3"/>
  <c r="AB211" i="3" s="1"/>
  <c r="AA235" i="3"/>
  <c r="AB235" i="3" s="1"/>
  <c r="E235" i="3" s="1"/>
  <c r="AA227" i="3"/>
  <c r="AB227" i="3" s="1"/>
  <c r="AA437" i="3"/>
  <c r="AB437" i="3" s="1"/>
  <c r="AA239" i="3"/>
  <c r="AB239" i="3" s="1"/>
  <c r="E239" i="3" s="1"/>
  <c r="AA280" i="3"/>
  <c r="AB280" i="3" s="1"/>
  <c r="AA272" i="3"/>
  <c r="AB272" i="3" s="1"/>
  <c r="AA259" i="3"/>
  <c r="AB259" i="3" s="1"/>
  <c r="AA234" i="3"/>
  <c r="AB234" i="3" s="1"/>
  <c r="AA226" i="3"/>
  <c r="AB226" i="3" s="1"/>
  <c r="AA219" i="3"/>
  <c r="AB219" i="3" s="1"/>
  <c r="AA367" i="3"/>
  <c r="AB367" i="3" s="1"/>
  <c r="AA245" i="3"/>
  <c r="AB245" i="3" s="1"/>
  <c r="AA240" i="3"/>
  <c r="AB240" i="3" s="1"/>
  <c r="AA215" i="3"/>
  <c r="AB215" i="3" s="1"/>
  <c r="AA212" i="3"/>
  <c r="AB212" i="3" s="1"/>
  <c r="AA233" i="3"/>
  <c r="AB233" i="3" s="1"/>
  <c r="AA225" i="3"/>
  <c r="AB225" i="3" s="1"/>
  <c r="AA267" i="3"/>
  <c r="AB267" i="3" s="1"/>
  <c r="AA232" i="3"/>
  <c r="AB232" i="3" s="1"/>
  <c r="AA224" i="3"/>
  <c r="AB224" i="3" s="1"/>
  <c r="AA218" i="3"/>
  <c r="AB218" i="3" s="1"/>
  <c r="AA276" i="3"/>
  <c r="AB276" i="3" s="1"/>
  <c r="AA246" i="3"/>
  <c r="AB246" i="3" s="1"/>
  <c r="AA242" i="3"/>
  <c r="AB242" i="3" s="1"/>
  <c r="AA213" i="3"/>
  <c r="AB213" i="3" s="1"/>
  <c r="AA231" i="3"/>
  <c r="AB231" i="3" s="1"/>
  <c r="AA223" i="3"/>
  <c r="AB223" i="3" s="1"/>
  <c r="E223" i="3" s="1"/>
  <c r="AA288" i="3"/>
  <c r="AB288" i="3" s="1"/>
  <c r="AA230" i="3"/>
  <c r="AB230" i="3" s="1"/>
  <c r="AA222" i="3"/>
  <c r="AB222" i="3" s="1"/>
  <c r="AA217" i="3"/>
  <c r="AB217" i="3" s="1"/>
  <c r="AA205" i="3"/>
  <c r="AB205" i="3" s="1"/>
  <c r="AA184" i="3"/>
  <c r="AB184" i="3" s="1"/>
  <c r="AA363" i="3"/>
  <c r="AB363" i="3" s="1"/>
  <c r="AA241" i="3"/>
  <c r="AB241" i="3" s="1"/>
  <c r="AA187" i="3"/>
  <c r="AB187" i="3" s="1"/>
  <c r="AA179" i="3"/>
  <c r="AB179" i="3" s="1"/>
  <c r="AA175" i="3"/>
  <c r="AB175" i="3" s="1"/>
  <c r="AA221" i="3"/>
  <c r="AB221" i="3" s="1"/>
  <c r="AA247" i="3"/>
  <c r="AB247" i="3" s="1"/>
  <c r="AA207" i="3"/>
  <c r="AB207" i="3" s="1"/>
  <c r="AA202" i="3"/>
  <c r="AB202" i="3" s="1"/>
  <c r="AA200" i="3"/>
  <c r="AB200" i="3" s="1"/>
  <c r="AA198" i="3"/>
  <c r="AB198" i="3" s="1"/>
  <c r="AA196" i="3"/>
  <c r="AB196" i="3" s="1"/>
  <c r="AA194" i="3"/>
  <c r="AB194" i="3" s="1"/>
  <c r="AA192" i="3"/>
  <c r="AB192" i="3" s="1"/>
  <c r="AA190" i="3"/>
  <c r="AB190" i="3" s="1"/>
  <c r="AA182" i="3"/>
  <c r="AB182" i="3" s="1"/>
  <c r="E182" i="3" s="1"/>
  <c r="AA204" i="3"/>
  <c r="AB204" i="3" s="1"/>
  <c r="AA185" i="3"/>
  <c r="AB185" i="3" s="1"/>
  <c r="AA176" i="3"/>
  <c r="AB176" i="3" s="1"/>
  <c r="AA151" i="3"/>
  <c r="AB151" i="3" s="1"/>
  <c r="AA150" i="3"/>
  <c r="AB150" i="3" s="1"/>
  <c r="AA149" i="3"/>
  <c r="AB149" i="3" s="1"/>
  <c r="AA148" i="3"/>
  <c r="AB148" i="3" s="1"/>
  <c r="AA147" i="3"/>
  <c r="AB147" i="3" s="1"/>
  <c r="AA146" i="3"/>
  <c r="AB146" i="3" s="1"/>
  <c r="AA145" i="3"/>
  <c r="AB145" i="3" s="1"/>
  <c r="AA144" i="3"/>
  <c r="AB144" i="3" s="1"/>
  <c r="AA143" i="3"/>
  <c r="AB143" i="3" s="1"/>
  <c r="AA142" i="3"/>
  <c r="AB142" i="3" s="1"/>
  <c r="AA141" i="3"/>
  <c r="AB141" i="3" s="1"/>
  <c r="AA140" i="3"/>
  <c r="AB140" i="3" s="1"/>
  <c r="AA139" i="3"/>
  <c r="AB139" i="3" s="1"/>
  <c r="AA138" i="3"/>
  <c r="AB138" i="3" s="1"/>
  <c r="AA137" i="3"/>
  <c r="AB137" i="3" s="1"/>
  <c r="AA136" i="3"/>
  <c r="AB136" i="3" s="1"/>
  <c r="E136" i="3" s="1"/>
  <c r="AA135" i="3"/>
  <c r="AB135" i="3" s="1"/>
  <c r="AA134" i="3"/>
  <c r="AB134" i="3" s="1"/>
  <c r="AA133" i="3"/>
  <c r="AB133" i="3" s="1"/>
  <c r="AA132" i="3"/>
  <c r="AB132" i="3" s="1"/>
  <c r="AA131" i="3"/>
  <c r="AB131" i="3" s="1"/>
  <c r="AA130" i="3"/>
  <c r="AB130" i="3" s="1"/>
  <c r="AA129" i="3"/>
  <c r="AB129" i="3" s="1"/>
  <c r="AA128" i="3"/>
  <c r="AB128" i="3" s="1"/>
  <c r="AA127" i="3"/>
  <c r="AB127" i="3" s="1"/>
  <c r="AA126" i="3"/>
  <c r="AB126" i="3" s="1"/>
  <c r="AA125" i="3"/>
  <c r="AB125" i="3" s="1"/>
  <c r="AA124" i="3"/>
  <c r="AB124" i="3" s="1"/>
  <c r="AA123" i="3"/>
  <c r="AB123" i="3" s="1"/>
  <c r="AA122" i="3"/>
  <c r="AB122" i="3" s="1"/>
  <c r="AA121" i="3"/>
  <c r="AB121" i="3" s="1"/>
  <c r="AA120" i="3"/>
  <c r="AB120" i="3" s="1"/>
  <c r="E120" i="3" s="1"/>
  <c r="AA119" i="3"/>
  <c r="AB119" i="3" s="1"/>
  <c r="AA118" i="3"/>
  <c r="AB118" i="3" s="1"/>
  <c r="AA117" i="3"/>
  <c r="AB117" i="3" s="1"/>
  <c r="AA116" i="3"/>
  <c r="AB116" i="3" s="1"/>
  <c r="AA115" i="3"/>
  <c r="AB115" i="3" s="1"/>
  <c r="AA114" i="3"/>
  <c r="AB114" i="3" s="1"/>
  <c r="AA113" i="3"/>
  <c r="AB113" i="3" s="1"/>
  <c r="AA112" i="3"/>
  <c r="AB112" i="3" s="1"/>
  <c r="AA111" i="3"/>
  <c r="AB111" i="3" s="1"/>
  <c r="AA110" i="3"/>
  <c r="AB110" i="3" s="1"/>
  <c r="AA109" i="3"/>
  <c r="AB109" i="3" s="1"/>
  <c r="AA108" i="3"/>
  <c r="AB108" i="3" s="1"/>
  <c r="AA107" i="3"/>
  <c r="AB107" i="3" s="1"/>
  <c r="AA106" i="3"/>
  <c r="AB106" i="3" s="1"/>
  <c r="AA105" i="3"/>
  <c r="AB105" i="3" s="1"/>
  <c r="AA104" i="3"/>
  <c r="AB104" i="3" s="1"/>
  <c r="E104" i="3" s="1"/>
  <c r="AA103" i="3"/>
  <c r="AB103" i="3" s="1"/>
  <c r="AA102" i="3"/>
  <c r="AB102" i="3" s="1"/>
  <c r="AA101" i="3"/>
  <c r="AB101" i="3" s="1"/>
  <c r="AA100" i="3"/>
  <c r="AB100" i="3" s="1"/>
  <c r="AA99" i="3"/>
  <c r="AB99" i="3" s="1"/>
  <c r="AA98" i="3"/>
  <c r="AB98" i="3" s="1"/>
  <c r="AA97" i="3"/>
  <c r="AB97" i="3" s="1"/>
  <c r="AA96" i="3"/>
  <c r="AB96" i="3" s="1"/>
  <c r="AA95" i="3"/>
  <c r="AB95" i="3" s="1"/>
  <c r="AA94" i="3"/>
  <c r="AB94" i="3" s="1"/>
  <c r="AA93" i="3"/>
  <c r="AB93" i="3" s="1"/>
  <c r="AA92" i="3"/>
  <c r="AB92" i="3" s="1"/>
  <c r="AA91" i="3"/>
  <c r="AB91" i="3" s="1"/>
  <c r="AA90" i="3"/>
  <c r="AB90" i="3" s="1"/>
  <c r="AA89" i="3"/>
  <c r="AB89" i="3" s="1"/>
  <c r="AA88" i="3"/>
  <c r="AB88" i="3" s="1"/>
  <c r="E88" i="3" s="1"/>
  <c r="AA87" i="3"/>
  <c r="AB87" i="3" s="1"/>
  <c r="AA86" i="3"/>
  <c r="AB86" i="3" s="1"/>
  <c r="AA85" i="3"/>
  <c r="AB85" i="3" s="1"/>
  <c r="AA84" i="3"/>
  <c r="AB84" i="3" s="1"/>
  <c r="AA83" i="3"/>
  <c r="AB83" i="3" s="1"/>
  <c r="AA82" i="3"/>
  <c r="AB82" i="3" s="1"/>
  <c r="AA81" i="3"/>
  <c r="AB81" i="3" s="1"/>
  <c r="AA80" i="3"/>
  <c r="AB80" i="3" s="1"/>
  <c r="AA79" i="3"/>
  <c r="AB79" i="3" s="1"/>
  <c r="AA78" i="3"/>
  <c r="AB78" i="3" s="1"/>
  <c r="AA77" i="3"/>
  <c r="AB77" i="3" s="1"/>
  <c r="AA76" i="3"/>
  <c r="AB76" i="3" s="1"/>
  <c r="AA75" i="3"/>
  <c r="AB75" i="3" s="1"/>
  <c r="AA74" i="3"/>
  <c r="AB74" i="3" s="1"/>
  <c r="AA73" i="3"/>
  <c r="AB73" i="3" s="1"/>
  <c r="AA72" i="3"/>
  <c r="AB72" i="3" s="1"/>
  <c r="E72" i="3" s="1"/>
  <c r="AA71" i="3"/>
  <c r="AB71" i="3" s="1"/>
  <c r="AA70" i="3"/>
  <c r="AB70" i="3" s="1"/>
  <c r="AA69" i="3"/>
  <c r="AB69" i="3" s="1"/>
  <c r="AA68" i="3"/>
  <c r="AB68" i="3" s="1"/>
  <c r="AA67" i="3"/>
  <c r="AB67" i="3" s="1"/>
  <c r="AA66" i="3"/>
  <c r="AB66" i="3" s="1"/>
  <c r="AA65" i="3"/>
  <c r="AB65" i="3" s="1"/>
  <c r="AA64" i="3"/>
  <c r="AB64" i="3" s="1"/>
  <c r="AA63" i="3"/>
  <c r="AB63" i="3" s="1"/>
  <c r="AA62" i="3"/>
  <c r="AB62" i="3" s="1"/>
  <c r="AA61" i="3"/>
  <c r="AB61" i="3" s="1"/>
  <c r="AA60" i="3"/>
  <c r="AB60" i="3" s="1"/>
  <c r="AA59" i="3"/>
  <c r="AB59" i="3" s="1"/>
  <c r="AA58" i="3"/>
  <c r="AB58" i="3" s="1"/>
  <c r="AA57" i="3"/>
  <c r="AB57" i="3" s="1"/>
  <c r="AA56" i="3"/>
  <c r="AB56" i="3" s="1"/>
  <c r="E56" i="3" s="1"/>
  <c r="AA55" i="3"/>
  <c r="AB55" i="3" s="1"/>
  <c r="AA54" i="3"/>
  <c r="AB54" i="3" s="1"/>
  <c r="AA53" i="3"/>
  <c r="AB53" i="3" s="1"/>
  <c r="AA52" i="3"/>
  <c r="AB52" i="3" s="1"/>
  <c r="AA51" i="3"/>
  <c r="AB51" i="3" s="1"/>
  <c r="AA50" i="3"/>
  <c r="AB50" i="3" s="1"/>
  <c r="AA49" i="3"/>
  <c r="AB49" i="3" s="1"/>
  <c r="AA48" i="3"/>
  <c r="AB48" i="3" s="1"/>
  <c r="AA47" i="3"/>
  <c r="AB47" i="3" s="1"/>
  <c r="AA46" i="3"/>
  <c r="AB46" i="3" s="1"/>
  <c r="AA45" i="3"/>
  <c r="AB45" i="3" s="1"/>
  <c r="AA44" i="3"/>
  <c r="AB44" i="3" s="1"/>
  <c r="AA43" i="3"/>
  <c r="AB43" i="3" s="1"/>
  <c r="AA42" i="3"/>
  <c r="AB42" i="3" s="1"/>
  <c r="AA41" i="3"/>
  <c r="AB41" i="3" s="1"/>
  <c r="AA40" i="3"/>
  <c r="AB40" i="3" s="1"/>
  <c r="E40" i="3" s="1"/>
  <c r="AA39" i="3"/>
  <c r="AB39" i="3" s="1"/>
  <c r="AA38" i="3"/>
  <c r="AB38" i="3" s="1"/>
  <c r="AA37" i="3"/>
  <c r="AB37" i="3" s="1"/>
  <c r="AA36" i="3"/>
  <c r="AB36" i="3" s="1"/>
  <c r="AA35" i="3"/>
  <c r="AB35" i="3" s="1"/>
  <c r="AA34" i="3"/>
  <c r="AB34" i="3" s="1"/>
  <c r="AA33" i="3"/>
  <c r="AB33" i="3" s="1"/>
  <c r="AA32" i="3"/>
  <c r="AB32" i="3" s="1"/>
  <c r="AA31" i="3"/>
  <c r="AB31" i="3" s="1"/>
  <c r="AA30" i="3"/>
  <c r="AB30" i="3" s="1"/>
  <c r="AA29" i="3"/>
  <c r="AB29" i="3" s="1"/>
  <c r="AA28" i="3"/>
  <c r="AB28" i="3" s="1"/>
  <c r="AA27" i="3"/>
  <c r="AB27" i="3" s="1"/>
  <c r="AA26" i="3"/>
  <c r="AB26" i="3" s="1"/>
  <c r="AA25" i="3"/>
  <c r="AB25" i="3" s="1"/>
  <c r="AA24" i="3"/>
  <c r="AB24" i="3" s="1"/>
  <c r="E24" i="3" s="1"/>
  <c r="AA23" i="3"/>
  <c r="AB23" i="3" s="1"/>
  <c r="AA22" i="3"/>
  <c r="AB22" i="3" s="1"/>
  <c r="AA21" i="3"/>
  <c r="AB21" i="3" s="1"/>
  <c r="AA20" i="3"/>
  <c r="AB20" i="3" s="1"/>
  <c r="AA19" i="3"/>
  <c r="AB19" i="3" s="1"/>
  <c r="AA18" i="3"/>
  <c r="AB18" i="3" s="1"/>
  <c r="AA17" i="3"/>
  <c r="AB17" i="3" s="1"/>
  <c r="AA16" i="3"/>
  <c r="AB16" i="3" s="1"/>
  <c r="AA15" i="3"/>
  <c r="AB15" i="3" s="1"/>
  <c r="AA14" i="3"/>
  <c r="AB14" i="3" s="1"/>
  <c r="AA13" i="3"/>
  <c r="AB13" i="3" s="1"/>
  <c r="AA12" i="3"/>
  <c r="AB12" i="3" s="1"/>
  <c r="AA229" i="3"/>
  <c r="AB229" i="3" s="1"/>
  <c r="AA209" i="3"/>
  <c r="AB209" i="3" s="1"/>
  <c r="AA188" i="3"/>
  <c r="AB188" i="3" s="1"/>
  <c r="AA180" i="3"/>
  <c r="AB180" i="3" s="1"/>
  <c r="AA11" i="3"/>
  <c r="AB11" i="3" s="1"/>
  <c r="AA10" i="3"/>
  <c r="AB10" i="3" s="1"/>
  <c r="AA9" i="3"/>
  <c r="AB9" i="3" s="1"/>
  <c r="AA206" i="3"/>
  <c r="AB206" i="3" s="1"/>
  <c r="AA183" i="3"/>
  <c r="AB183" i="3" s="1"/>
  <c r="AA177" i="3"/>
  <c r="AB177" i="3" s="1"/>
  <c r="AA243" i="3"/>
  <c r="AB243" i="3" s="1"/>
  <c r="AA201" i="3"/>
  <c r="AB201" i="3" s="1"/>
  <c r="AA169" i="3"/>
  <c r="AB169" i="3" s="1"/>
  <c r="AA153" i="3"/>
  <c r="AB153" i="3" s="1"/>
  <c r="AA158" i="3"/>
  <c r="AB158" i="3" s="1"/>
  <c r="E158" i="3" s="1"/>
  <c r="AA174" i="3"/>
  <c r="AB174" i="3" s="1"/>
  <c r="AA163" i="3"/>
  <c r="AB163" i="3" s="1"/>
  <c r="AA199" i="3"/>
  <c r="AB199" i="3" s="1"/>
  <c r="AA181" i="3"/>
  <c r="AB181" i="3" s="1"/>
  <c r="AA168" i="3"/>
  <c r="AB168" i="3" s="1"/>
  <c r="AA152" i="3"/>
  <c r="AB152" i="3" s="1"/>
  <c r="AA189" i="3"/>
  <c r="AB189" i="3" s="1"/>
  <c r="AA173" i="3"/>
  <c r="AB173" i="3" s="1"/>
  <c r="AA157" i="3"/>
  <c r="AB157" i="3" s="1"/>
  <c r="AA162" i="3"/>
  <c r="AB162" i="3" s="1"/>
  <c r="AA197" i="3"/>
  <c r="AB197" i="3" s="1"/>
  <c r="AA167" i="3"/>
  <c r="AB167" i="3" s="1"/>
  <c r="AA172" i="3"/>
  <c r="AB172" i="3" s="1"/>
  <c r="AA156" i="3"/>
  <c r="AB156" i="3" s="1"/>
  <c r="E156" i="3" s="1"/>
  <c r="AA186" i="3"/>
  <c r="AB186" i="3" s="1"/>
  <c r="AA161" i="3"/>
  <c r="AB161" i="3" s="1"/>
  <c r="AA208" i="3"/>
  <c r="AB208" i="3" s="1"/>
  <c r="AA195" i="3"/>
  <c r="AB195" i="3" s="1"/>
  <c r="AA178" i="3"/>
  <c r="AB178" i="3" s="1"/>
  <c r="AA166" i="3"/>
  <c r="AB166" i="3" s="1"/>
  <c r="AA171" i="3"/>
  <c r="AB171" i="3" s="1"/>
  <c r="AA155" i="3"/>
  <c r="AB155" i="3" s="1"/>
  <c r="E155" i="3" s="1"/>
  <c r="AA8" i="3"/>
  <c r="AA160" i="3"/>
  <c r="AB160" i="3" s="1"/>
  <c r="AA193" i="3"/>
  <c r="AB193" i="3" s="1"/>
  <c r="AA165" i="3"/>
  <c r="AB165" i="3" s="1"/>
  <c r="AA203" i="3"/>
  <c r="AB203" i="3" s="1"/>
  <c r="AA170" i="3"/>
  <c r="AB170" i="3" s="1"/>
  <c r="AA154" i="3"/>
  <c r="AB154" i="3" s="1"/>
  <c r="AA159" i="3"/>
  <c r="AB159" i="3" s="1"/>
  <c r="AA191" i="3"/>
  <c r="AB191" i="3" s="1"/>
  <c r="AA164" i="3"/>
  <c r="AB164" i="3" s="1"/>
  <c r="BA289" i="5"/>
  <c r="AX289" i="5"/>
  <c r="AY289" i="5"/>
  <c r="AW163" i="5"/>
  <c r="AS163" i="5"/>
  <c r="AR163" i="5"/>
  <c r="BD163" i="5"/>
  <c r="BC163" i="5"/>
  <c r="AR6" i="5"/>
  <c r="BD6" i="5"/>
  <c r="BC6" i="5"/>
  <c r="AW6" i="5"/>
  <c r="AS6" i="5"/>
  <c r="AH405" i="3"/>
  <c r="AG405" i="3"/>
  <c r="AF405" i="3"/>
  <c r="AE405" i="3"/>
  <c r="BA329" i="5"/>
  <c r="AY329" i="5"/>
  <c r="AX329" i="5"/>
  <c r="BA238" i="5"/>
  <c r="AY238" i="5"/>
  <c r="AX238" i="5"/>
  <c r="BC55" i="5"/>
  <c r="AW55" i="5"/>
  <c r="AR55" i="5"/>
  <c r="BD55" i="5"/>
  <c r="AS55" i="5"/>
  <c r="AY331" i="5"/>
  <c r="AX331" i="5"/>
  <c r="BA331" i="5"/>
  <c r="BA341" i="5"/>
  <c r="AY341" i="5"/>
  <c r="AX341" i="5"/>
  <c r="AH91" i="3"/>
  <c r="AG91" i="3"/>
  <c r="AF91" i="3"/>
  <c r="AE91" i="3"/>
  <c r="AR220" i="5"/>
  <c r="AS220" i="5"/>
  <c r="BD220" i="5"/>
  <c r="BC220" i="5"/>
  <c r="AW220" i="5"/>
  <c r="AH281" i="3"/>
  <c r="AG281" i="3"/>
  <c r="AE281" i="3"/>
  <c r="AF281" i="3"/>
  <c r="AC695" i="5"/>
  <c r="AC679" i="5"/>
  <c r="AC663" i="5"/>
  <c r="AC701" i="5"/>
  <c r="AC685" i="5"/>
  <c r="AC669" i="5"/>
  <c r="AC653" i="5"/>
  <c r="AC703" i="5"/>
  <c r="AC687" i="5"/>
  <c r="AC671" i="5"/>
  <c r="AC655" i="5"/>
  <c r="AC693" i="5"/>
  <c r="AC678" i="5"/>
  <c r="AC677" i="5"/>
  <c r="AC662" i="5"/>
  <c r="AC692" i="5"/>
  <c r="AC691" i="5"/>
  <c r="AC661" i="5"/>
  <c r="AC690" i="5"/>
  <c r="AC676" i="5"/>
  <c r="AC675" i="5"/>
  <c r="AC650" i="5"/>
  <c r="AC704" i="5"/>
  <c r="AC674" i="5"/>
  <c r="AC660" i="5"/>
  <c r="AC659" i="5"/>
  <c r="AC689" i="5"/>
  <c r="AC688" i="5"/>
  <c r="AC658" i="5"/>
  <c r="AC645" i="5"/>
  <c r="AC634" i="5"/>
  <c r="AC673" i="5"/>
  <c r="AC686" i="5"/>
  <c r="AC700" i="5"/>
  <c r="AC699" i="5"/>
  <c r="AC684" i="5"/>
  <c r="AC697" i="5"/>
  <c r="AC682" i="5"/>
  <c r="AC698" i="5"/>
  <c r="AC628" i="5"/>
  <c r="AC681" i="5"/>
  <c r="AC664" i="5"/>
  <c r="AC656" i="5"/>
  <c r="AC652" i="5"/>
  <c r="AC618" i="5"/>
  <c r="AC602" i="5"/>
  <c r="AC646" i="5"/>
  <c r="AC621" i="5"/>
  <c r="AC605" i="5"/>
  <c r="AC683" i="5"/>
  <c r="AC624" i="5"/>
  <c r="AC647" i="5"/>
  <c r="AC627" i="5"/>
  <c r="AC667" i="5"/>
  <c r="AC657" i="5"/>
  <c r="AC648" i="5"/>
  <c r="AC614" i="5"/>
  <c r="AC694" i="5"/>
  <c r="AC680" i="5"/>
  <c r="AC665" i="5"/>
  <c r="AC649" i="5"/>
  <c r="AC633" i="5"/>
  <c r="AC631" i="5"/>
  <c r="AC630" i="5"/>
  <c r="AC654" i="5"/>
  <c r="AC637" i="5"/>
  <c r="AC636" i="5"/>
  <c r="AC632" i="5"/>
  <c r="AC623" i="5"/>
  <c r="AC607" i="5"/>
  <c r="AC672" i="5"/>
  <c r="AC640" i="5"/>
  <c r="AC639" i="5"/>
  <c r="AC635" i="5"/>
  <c r="AC626" i="5"/>
  <c r="AC610" i="5"/>
  <c r="AC702" i="5"/>
  <c r="AC696" i="5"/>
  <c r="AC638" i="5"/>
  <c r="AC629" i="5"/>
  <c r="AC613" i="5"/>
  <c r="AC589" i="5"/>
  <c r="AC670" i="5"/>
  <c r="AC620" i="5"/>
  <c r="AC617" i="5"/>
  <c r="AC592" i="5"/>
  <c r="AC622" i="5"/>
  <c r="AC611" i="5"/>
  <c r="AC595" i="5"/>
  <c r="AC579" i="5"/>
  <c r="AC563" i="5"/>
  <c r="AC642" i="5"/>
  <c r="AC598" i="5"/>
  <c r="AC582" i="5"/>
  <c r="AC566" i="5"/>
  <c r="AC651" i="5"/>
  <c r="AC612" i="5"/>
  <c r="AC641" i="5"/>
  <c r="AC603" i="5"/>
  <c r="AC668" i="5"/>
  <c r="AC601" i="5"/>
  <c r="AC619" i="5"/>
  <c r="AC606" i="5"/>
  <c r="AC600" i="5"/>
  <c r="AC643" i="5"/>
  <c r="AC588" i="5"/>
  <c r="AC568" i="5"/>
  <c r="AC551" i="5"/>
  <c r="AC535" i="5"/>
  <c r="AC599" i="5"/>
  <c r="AC591" i="5"/>
  <c r="AC587" i="5"/>
  <c r="AC584" i="5"/>
  <c r="AC561" i="5"/>
  <c r="AC554" i="5"/>
  <c r="AC538" i="5"/>
  <c r="AC625" i="5"/>
  <c r="AC590" i="5"/>
  <c r="AC586" i="5"/>
  <c r="AC574" i="5"/>
  <c r="AC557" i="5"/>
  <c r="AC583" i="5"/>
  <c r="AC567" i="5"/>
  <c r="AC544" i="5"/>
  <c r="AC604" i="5"/>
  <c r="AC581" i="5"/>
  <c r="AC560" i="5"/>
  <c r="AC594" i="5"/>
  <c r="AC593" i="5"/>
  <c r="AC573" i="5"/>
  <c r="AC550" i="5"/>
  <c r="AC616" i="5"/>
  <c r="AC580" i="5"/>
  <c r="AC572" i="5"/>
  <c r="AC553" i="5"/>
  <c r="AC537" i="5"/>
  <c r="AC565" i="5"/>
  <c r="AC578" i="5"/>
  <c r="AC615" i="5"/>
  <c r="AC609" i="5"/>
  <c r="AC571" i="5"/>
  <c r="AC546" i="5"/>
  <c r="AC597" i="5"/>
  <c r="AC596" i="5"/>
  <c r="AC564" i="5"/>
  <c r="AC570" i="5"/>
  <c r="AC585" i="5"/>
  <c r="AC547" i="5"/>
  <c r="AC541" i="5"/>
  <c r="AC540" i="5"/>
  <c r="AC519" i="5"/>
  <c r="AC503" i="5"/>
  <c r="AC577" i="5"/>
  <c r="AC532" i="5"/>
  <c r="AC522" i="5"/>
  <c r="AC506" i="5"/>
  <c r="AC666" i="5"/>
  <c r="AC559" i="5"/>
  <c r="AC539" i="5"/>
  <c r="AC525" i="5"/>
  <c r="AC509" i="5"/>
  <c r="AC493" i="5"/>
  <c r="AC542" i="5"/>
  <c r="AC528" i="5"/>
  <c r="AC512" i="5"/>
  <c r="AC496" i="5"/>
  <c r="AC515" i="5"/>
  <c r="AC543" i="5"/>
  <c r="AC536" i="5"/>
  <c r="AC531" i="5"/>
  <c r="AC518" i="5"/>
  <c r="AC644" i="5"/>
  <c r="AC569" i="5"/>
  <c r="AC548" i="5"/>
  <c r="AC521" i="5"/>
  <c r="AC505" i="5"/>
  <c r="AC576" i="5"/>
  <c r="AC549" i="5"/>
  <c r="AC552" i="5"/>
  <c r="AC530" i="5"/>
  <c r="AC608" i="5"/>
  <c r="AC562" i="5"/>
  <c r="AC555" i="5"/>
  <c r="AC516" i="5"/>
  <c r="AC478" i="5"/>
  <c r="AC462" i="5"/>
  <c r="AC446" i="5"/>
  <c r="AC430" i="5"/>
  <c r="AC414" i="5"/>
  <c r="AC575" i="5"/>
  <c r="AC487" i="5"/>
  <c r="AC481" i="5"/>
  <c r="AC465" i="5"/>
  <c r="AC449" i="5"/>
  <c r="AC517" i="5"/>
  <c r="AC504" i="5"/>
  <c r="AC486" i="5"/>
  <c r="AC468" i="5"/>
  <c r="AC452" i="5"/>
  <c r="AC513" i="5"/>
  <c r="AC495" i="5"/>
  <c r="AC471" i="5"/>
  <c r="AC494" i="5"/>
  <c r="AC474" i="5"/>
  <c r="AC533" i="5"/>
  <c r="AC514" i="5"/>
  <c r="AC558" i="5"/>
  <c r="AC458" i="5"/>
  <c r="AC439" i="5"/>
  <c r="AC426" i="5"/>
  <c r="AC413" i="5"/>
  <c r="AC529" i="5"/>
  <c r="AC526" i="5"/>
  <c r="AC457" i="5"/>
  <c r="AC417" i="5"/>
  <c r="AC545" i="5"/>
  <c r="AC490" i="5"/>
  <c r="AC480" i="5"/>
  <c r="AC479" i="5"/>
  <c r="AC455" i="5"/>
  <c r="AC443" i="5"/>
  <c r="AC508" i="5"/>
  <c r="AC497" i="5"/>
  <c r="AC470" i="5"/>
  <c r="AC469" i="5"/>
  <c r="AC456" i="5"/>
  <c r="AC447" i="5"/>
  <c r="AC523" i="5"/>
  <c r="AC502" i="5"/>
  <c r="AC491" i="5"/>
  <c r="AC461" i="5"/>
  <c r="AC460" i="5"/>
  <c r="AC459" i="5"/>
  <c r="AC454" i="5"/>
  <c r="AC438" i="5"/>
  <c r="AC425" i="5"/>
  <c r="AC412" i="5"/>
  <c r="AC442" i="5"/>
  <c r="AC429" i="5"/>
  <c r="AC416" i="5"/>
  <c r="AC510" i="5"/>
  <c r="AC453" i="5"/>
  <c r="AC433" i="5"/>
  <c r="AC420" i="5"/>
  <c r="AC407" i="5"/>
  <c r="AC402" i="5"/>
  <c r="AC520" i="5"/>
  <c r="AC500" i="5"/>
  <c r="AC492" i="5"/>
  <c r="AC482" i="5"/>
  <c r="AC451" i="5"/>
  <c r="AC556" i="5"/>
  <c r="AC498" i="5"/>
  <c r="AC473" i="5"/>
  <c r="AC472" i="5"/>
  <c r="AC437" i="5"/>
  <c r="AC483" i="5"/>
  <c r="AC464" i="5"/>
  <c r="AC463" i="5"/>
  <c r="AC507" i="5"/>
  <c r="AC534" i="5"/>
  <c r="AC488" i="5"/>
  <c r="AC485" i="5"/>
  <c r="AC436" i="5"/>
  <c r="AC404" i="5"/>
  <c r="AC441" i="5"/>
  <c r="AC395" i="5"/>
  <c r="AC387" i="5"/>
  <c r="AC501" i="5"/>
  <c r="AC484" i="5"/>
  <c r="AC475" i="5"/>
  <c r="AC422" i="5"/>
  <c r="AC409" i="5"/>
  <c r="AC489" i="5"/>
  <c r="AC423" i="5"/>
  <c r="AC410" i="5"/>
  <c r="AC394" i="5"/>
  <c r="AC386" i="5"/>
  <c r="AC527" i="5"/>
  <c r="AC467" i="5"/>
  <c r="AC450" i="5"/>
  <c r="AC424" i="5"/>
  <c r="AC411" i="5"/>
  <c r="AC393" i="5"/>
  <c r="AC403" i="5"/>
  <c r="AC499" i="5"/>
  <c r="AC448" i="5"/>
  <c r="AC434" i="5"/>
  <c r="AC418" i="5"/>
  <c r="AC405" i="5"/>
  <c r="AC400" i="5"/>
  <c r="AC431" i="5"/>
  <c r="AC419" i="5"/>
  <c r="AC406" i="5"/>
  <c r="AC399" i="5"/>
  <c r="AC477" i="5"/>
  <c r="AC466" i="5"/>
  <c r="AC444" i="5"/>
  <c r="AC440" i="5"/>
  <c r="AC435" i="5"/>
  <c r="AC408" i="5"/>
  <c r="AC390" i="5"/>
  <c r="AC377" i="5"/>
  <c r="AC384" i="5"/>
  <c r="AC415" i="5"/>
  <c r="AC376" i="5"/>
  <c r="AC368" i="5"/>
  <c r="AC360" i="5"/>
  <c r="AC391" i="5"/>
  <c r="AC445" i="5"/>
  <c r="AC375" i="5"/>
  <c r="AC367" i="5"/>
  <c r="AC359" i="5"/>
  <c r="AC398" i="5"/>
  <c r="AC524" i="5"/>
  <c r="AC397" i="5"/>
  <c r="AC392" i="5"/>
  <c r="AC374" i="5"/>
  <c r="AC366" i="5"/>
  <c r="AC358" i="5"/>
  <c r="AC383" i="5"/>
  <c r="AC432" i="5"/>
  <c r="AC421" i="5"/>
  <c r="AC401" i="5"/>
  <c r="AC396" i="5"/>
  <c r="AC476" i="5"/>
  <c r="AC385" i="5"/>
  <c r="AC381" i="5"/>
  <c r="AC379" i="5"/>
  <c r="AC371" i="5"/>
  <c r="AC372" i="5"/>
  <c r="AC356" i="5"/>
  <c r="AC348" i="5"/>
  <c r="AC340" i="5"/>
  <c r="AC332" i="5"/>
  <c r="AC324" i="5"/>
  <c r="AC388" i="5"/>
  <c r="AC355" i="5"/>
  <c r="AC347" i="5"/>
  <c r="AC339" i="5"/>
  <c r="AC331" i="5"/>
  <c r="AC323" i="5"/>
  <c r="AC511" i="5"/>
  <c r="AC354" i="5"/>
  <c r="AC346" i="5"/>
  <c r="AC338" i="5"/>
  <c r="AC330" i="5"/>
  <c r="AC322" i="5"/>
  <c r="AC428" i="5"/>
  <c r="AC370" i="5"/>
  <c r="AC369" i="5"/>
  <c r="AC353" i="5"/>
  <c r="AC345" i="5"/>
  <c r="AC427" i="5"/>
  <c r="AC389" i="5"/>
  <c r="AC380" i="5"/>
  <c r="AC378" i="5"/>
  <c r="AC350" i="5"/>
  <c r="AC362" i="5"/>
  <c r="AC343" i="5"/>
  <c r="AC336" i="5"/>
  <c r="AC329" i="5"/>
  <c r="AC357" i="5"/>
  <c r="AC365" i="5"/>
  <c r="AC335" i="5"/>
  <c r="AC328" i="5"/>
  <c r="AC363" i="5"/>
  <c r="AC344" i="5"/>
  <c r="AC334" i="5"/>
  <c r="AC327" i="5"/>
  <c r="AC320" i="5"/>
  <c r="AC319" i="5"/>
  <c r="AC373" i="5"/>
  <c r="AC351" i="5"/>
  <c r="AC333" i="5"/>
  <c r="AC382" i="5"/>
  <c r="AC361" i="5"/>
  <c r="AC342" i="5"/>
  <c r="AC341" i="5"/>
  <c r="AC364" i="5"/>
  <c r="AC312" i="5"/>
  <c r="AC304" i="5"/>
  <c r="AC296" i="5"/>
  <c r="AC288" i="5"/>
  <c r="AC352" i="5"/>
  <c r="AC326" i="5"/>
  <c r="AC325" i="5"/>
  <c r="AC337" i="5"/>
  <c r="AC310" i="5"/>
  <c r="AC302" i="5"/>
  <c r="AC294" i="5"/>
  <c r="AC321" i="5"/>
  <c r="AC318" i="5"/>
  <c r="AC317" i="5"/>
  <c r="AC316" i="5"/>
  <c r="AC314" i="5"/>
  <c r="AC309" i="5"/>
  <c r="AC301" i="5"/>
  <c r="AC293" i="5"/>
  <c r="AC285" i="5"/>
  <c r="AC277" i="5"/>
  <c r="AC308" i="5"/>
  <c r="AC300" i="5"/>
  <c r="AC278" i="5"/>
  <c r="AC272" i="5"/>
  <c r="AC264" i="5"/>
  <c r="AC256" i="5"/>
  <c r="AC291" i="5"/>
  <c r="AC282" i="5"/>
  <c r="AC275" i="5"/>
  <c r="AC273" i="5"/>
  <c r="AC271" i="5"/>
  <c r="AC263" i="5"/>
  <c r="AC255" i="5"/>
  <c r="AC247" i="5"/>
  <c r="AC306" i="5"/>
  <c r="AC298" i="5"/>
  <c r="AC315" i="5"/>
  <c r="AC281" i="5"/>
  <c r="AC270" i="5"/>
  <c r="AC262" i="5"/>
  <c r="AC254" i="5"/>
  <c r="AC289" i="5"/>
  <c r="AC311" i="5"/>
  <c r="AC303" i="5"/>
  <c r="AC280" i="5"/>
  <c r="AC269" i="5"/>
  <c r="AC261" i="5"/>
  <c r="AC253" i="5"/>
  <c r="AC292" i="5"/>
  <c r="AC286" i="5"/>
  <c r="AC299" i="5"/>
  <c r="AC274" i="5"/>
  <c r="AC287" i="5"/>
  <c r="AC268" i="5"/>
  <c r="AC242" i="5"/>
  <c r="AC234" i="5"/>
  <c r="AC297" i="5"/>
  <c r="AC295" i="5"/>
  <c r="AC249" i="5"/>
  <c r="AC305" i="5"/>
  <c r="AC241" i="5"/>
  <c r="AC233" i="5"/>
  <c r="AC225" i="5"/>
  <c r="AC248" i="5"/>
  <c r="AC276" i="5"/>
  <c r="AC257" i="5"/>
  <c r="AC240" i="5"/>
  <c r="AC232" i="5"/>
  <c r="AC307" i="5"/>
  <c r="AC265" i="5"/>
  <c r="AC251" i="5"/>
  <c r="AC290" i="5"/>
  <c r="AC259" i="5"/>
  <c r="AC239" i="5"/>
  <c r="AC267" i="5"/>
  <c r="AC246" i="5"/>
  <c r="AC283" i="5"/>
  <c r="AC279" i="5"/>
  <c r="AC245" i="5"/>
  <c r="AC244" i="5"/>
  <c r="AC250" i="5"/>
  <c r="AC238" i="5"/>
  <c r="AC231" i="5"/>
  <c r="AC230" i="5"/>
  <c r="AC229" i="5"/>
  <c r="AC349" i="5"/>
  <c r="AC221" i="5"/>
  <c r="AC213" i="5"/>
  <c r="AC205" i="5"/>
  <c r="AC197" i="5"/>
  <c r="AC189" i="5"/>
  <c r="AC258" i="5"/>
  <c r="AC252" i="5"/>
  <c r="AC228" i="5"/>
  <c r="AC212" i="5"/>
  <c r="AC204" i="5"/>
  <c r="AC196" i="5"/>
  <c r="AC224" i="5"/>
  <c r="AC211" i="5"/>
  <c r="AC203" i="5"/>
  <c r="AC195" i="5"/>
  <c r="AC187" i="5"/>
  <c r="AC313" i="5"/>
  <c r="AC236" i="5"/>
  <c r="AC235" i="5"/>
  <c r="AC227" i="5"/>
  <c r="AC222" i="5"/>
  <c r="AC266" i="5"/>
  <c r="AC218" i="5"/>
  <c r="AC210" i="5"/>
  <c r="AC260" i="5"/>
  <c r="AC226" i="5"/>
  <c r="AC219" i="5"/>
  <c r="AC217" i="5"/>
  <c r="AC209" i="5"/>
  <c r="AC237" i="5"/>
  <c r="AC243" i="5"/>
  <c r="AC214" i="5"/>
  <c r="AC181" i="5"/>
  <c r="AC173" i="5"/>
  <c r="AC165" i="5"/>
  <c r="AC157" i="5"/>
  <c r="AC215" i="5"/>
  <c r="AC284" i="5"/>
  <c r="AC180" i="5"/>
  <c r="AC172" i="5"/>
  <c r="AC164" i="5"/>
  <c r="AC194" i="5"/>
  <c r="AC216" i="5"/>
  <c r="AC207" i="5"/>
  <c r="AC202" i="5"/>
  <c r="AC201" i="5"/>
  <c r="AC200" i="5"/>
  <c r="AC199" i="5"/>
  <c r="AC198" i="5"/>
  <c r="AC191" i="5"/>
  <c r="AC179" i="5"/>
  <c r="AC171" i="5"/>
  <c r="AC163" i="5"/>
  <c r="AC155" i="5"/>
  <c r="AC223" i="5"/>
  <c r="AC220" i="5"/>
  <c r="AC193" i="5"/>
  <c r="AC186" i="5"/>
  <c r="AC178" i="5"/>
  <c r="AC192" i="5"/>
  <c r="AC161" i="5"/>
  <c r="AC184" i="5"/>
  <c r="AC170" i="5"/>
  <c r="AC169" i="5"/>
  <c r="AC168" i="5"/>
  <c r="AC148" i="5"/>
  <c r="AC140" i="5"/>
  <c r="AC132" i="5"/>
  <c r="AC206" i="5"/>
  <c r="AC188" i="5"/>
  <c r="AC167" i="5"/>
  <c r="AC160" i="5"/>
  <c r="AC147" i="5"/>
  <c r="AC139" i="5"/>
  <c r="AC182" i="5"/>
  <c r="AC154" i="5"/>
  <c r="AC146" i="5"/>
  <c r="AC138" i="5"/>
  <c r="AC166" i="5"/>
  <c r="AC159" i="5"/>
  <c r="AC208" i="5"/>
  <c r="AC185" i="5"/>
  <c r="AC175" i="5"/>
  <c r="AC174" i="5"/>
  <c r="AC153" i="5"/>
  <c r="AC145" i="5"/>
  <c r="AC176" i="5"/>
  <c r="AC152" i="5"/>
  <c r="AC183" i="5"/>
  <c r="AC190" i="5"/>
  <c r="AC134" i="5"/>
  <c r="AC126" i="5"/>
  <c r="AC118" i="5"/>
  <c r="AC110" i="5"/>
  <c r="AC102" i="5"/>
  <c r="AC94" i="5"/>
  <c r="AC125" i="5"/>
  <c r="AC117" i="5"/>
  <c r="AC109" i="5"/>
  <c r="AC101" i="5"/>
  <c r="AC93" i="5"/>
  <c r="AC162" i="5"/>
  <c r="AC142" i="5"/>
  <c r="AC124" i="5"/>
  <c r="AC116" i="5"/>
  <c r="AC108" i="5"/>
  <c r="AC100" i="5"/>
  <c r="AC137" i="5"/>
  <c r="AC123" i="5"/>
  <c r="AC115" i="5"/>
  <c r="AC107" i="5"/>
  <c r="AC99" i="5"/>
  <c r="AC144" i="5"/>
  <c r="AC136" i="5"/>
  <c r="AC133" i="5"/>
  <c r="AC122" i="5"/>
  <c r="AC114" i="5"/>
  <c r="AC106" i="5"/>
  <c r="AC135" i="5"/>
  <c r="AC130" i="5"/>
  <c r="AC129" i="5"/>
  <c r="AC121" i="5"/>
  <c r="AC113" i="5"/>
  <c r="AC177" i="5"/>
  <c r="AC141" i="5"/>
  <c r="AC127" i="5"/>
  <c r="AC120" i="5"/>
  <c r="AC104" i="5"/>
  <c r="AC97" i="5"/>
  <c r="AC92" i="5"/>
  <c r="AC89" i="5"/>
  <c r="AC81" i="5"/>
  <c r="AC73" i="5"/>
  <c r="AC65" i="5"/>
  <c r="AC57" i="5"/>
  <c r="AC49" i="5"/>
  <c r="AC143" i="5"/>
  <c r="AC88" i="5"/>
  <c r="AC80" i="5"/>
  <c r="AC72" i="5"/>
  <c r="AC64" i="5"/>
  <c r="AC56" i="5"/>
  <c r="AC48" i="5"/>
  <c r="AC98" i="5"/>
  <c r="AC128" i="5"/>
  <c r="AC87" i="5"/>
  <c r="AC79" i="5"/>
  <c r="AC71" i="5"/>
  <c r="AC63" i="5"/>
  <c r="AC55" i="5"/>
  <c r="AC151" i="5"/>
  <c r="AC103" i="5"/>
  <c r="AC86" i="5"/>
  <c r="AC78" i="5"/>
  <c r="AC70" i="5"/>
  <c r="AC62" i="5"/>
  <c r="AC54" i="5"/>
  <c r="AC105" i="5"/>
  <c r="AC85" i="5"/>
  <c r="AC77" i="5"/>
  <c r="AC69" i="5"/>
  <c r="AC61" i="5"/>
  <c r="AC158" i="5"/>
  <c r="AC95" i="5"/>
  <c r="AC150" i="5"/>
  <c r="AC119" i="5"/>
  <c r="AC84" i="5"/>
  <c r="AC76" i="5"/>
  <c r="AC156" i="5"/>
  <c r="AC131" i="5"/>
  <c r="AC112" i="5"/>
  <c r="AC111" i="5"/>
  <c r="AC42" i="5"/>
  <c r="AC34" i="5"/>
  <c r="AC26" i="5"/>
  <c r="AC18" i="5"/>
  <c r="AC90" i="5"/>
  <c r="AC83" i="5"/>
  <c r="AC68" i="5"/>
  <c r="AC58" i="5"/>
  <c r="AC41" i="5"/>
  <c r="AC33" i="5"/>
  <c r="AC25" i="5"/>
  <c r="AC17" i="5"/>
  <c r="AC10" i="5"/>
  <c r="AC67" i="5"/>
  <c r="AC66" i="5"/>
  <c r="AC60" i="5"/>
  <c r="AC40" i="5"/>
  <c r="AC32" i="5"/>
  <c r="AC24" i="5"/>
  <c r="AC16" i="5"/>
  <c r="AC9" i="5"/>
  <c r="AC51" i="5"/>
  <c r="AC50" i="5"/>
  <c r="AC47" i="5"/>
  <c r="AC39" i="5"/>
  <c r="AC31" i="5"/>
  <c r="AC23" i="5"/>
  <c r="AC15" i="5"/>
  <c r="AC91" i="5"/>
  <c r="AC74" i="5"/>
  <c r="AC46" i="5"/>
  <c r="AC38" i="5"/>
  <c r="AC30" i="5"/>
  <c r="AC96" i="5"/>
  <c r="AC52" i="5"/>
  <c r="AC45" i="5"/>
  <c r="AC37" i="5"/>
  <c r="AC59" i="5"/>
  <c r="AC13" i="5"/>
  <c r="AC149" i="5"/>
  <c r="AC43" i="5"/>
  <c r="AC28" i="5"/>
  <c r="AC44" i="5"/>
  <c r="AC14" i="5"/>
  <c r="AC22" i="5"/>
  <c r="AC7" i="5"/>
  <c r="AC35" i="5"/>
  <c r="AC36" i="5"/>
  <c r="AC82" i="5"/>
  <c r="AC75" i="5"/>
  <c r="AC19" i="5"/>
  <c r="AC27" i="5"/>
  <c r="AC11" i="5"/>
  <c r="AC6" i="5"/>
  <c r="AC21" i="5"/>
  <c r="AC29" i="5"/>
  <c r="AC12" i="5"/>
  <c r="AC8" i="5"/>
  <c r="AC5" i="5"/>
  <c r="AC20" i="5"/>
  <c r="AC53" i="5"/>
  <c r="AF377" i="3"/>
  <c r="AE377" i="3"/>
  <c r="AH377" i="3"/>
  <c r="AG377" i="3"/>
  <c r="AW377" i="5"/>
  <c r="AS377" i="5"/>
  <c r="AR377" i="5"/>
  <c r="BD377" i="5"/>
  <c r="BC377" i="5"/>
  <c r="AS219" i="5"/>
  <c r="BD219" i="5"/>
  <c r="BC219" i="5"/>
  <c r="AW219" i="5"/>
  <c r="AR219" i="5"/>
  <c r="BA54" i="5"/>
  <c r="AY54" i="5"/>
  <c r="AX54" i="5"/>
  <c r="AH269" i="3"/>
  <c r="AG269" i="3"/>
  <c r="AF269" i="3"/>
  <c r="AE269" i="3"/>
  <c r="AH150" i="3"/>
  <c r="AG150" i="3"/>
  <c r="AF150" i="3"/>
  <c r="AE150" i="3"/>
  <c r="AX110" i="5"/>
  <c r="BA110" i="5"/>
  <c r="AY110" i="5"/>
  <c r="AH67" i="3"/>
  <c r="AG67" i="3"/>
  <c r="AF67" i="3"/>
  <c r="AE67" i="3"/>
  <c r="AR289" i="5"/>
  <c r="BD289" i="5"/>
  <c r="BC289" i="5"/>
  <c r="AW289" i="5"/>
  <c r="AS289" i="5"/>
  <c r="BA7" i="5"/>
  <c r="AY7" i="5"/>
  <c r="AX7" i="5"/>
  <c r="AH268" i="3"/>
  <c r="AG268" i="3"/>
  <c r="AF268" i="3"/>
  <c r="AE268" i="3"/>
  <c r="BC302" i="5"/>
  <c r="AW302" i="5"/>
  <c r="BD302" i="5"/>
  <c r="AS302" i="5"/>
  <c r="AR302" i="5"/>
  <c r="AF379" i="3"/>
  <c r="AE379" i="3"/>
  <c r="AG379" i="3"/>
  <c r="AH379" i="3"/>
  <c r="AH121" i="3"/>
  <c r="AG121" i="3"/>
  <c r="AF121" i="3"/>
  <c r="AE121" i="3"/>
  <c r="AF382" i="3"/>
  <c r="AE382" i="3"/>
  <c r="AH382" i="3"/>
  <c r="AG382" i="3"/>
  <c r="AH305" i="3"/>
  <c r="AG305" i="3"/>
  <c r="AF305" i="3"/>
  <c r="AE305" i="3"/>
  <c r="BD345" i="5"/>
  <c r="BC345" i="5"/>
  <c r="AW345" i="5"/>
  <c r="AS345" i="5"/>
  <c r="AR345" i="5"/>
  <c r="BA397" i="5"/>
  <c r="AX397" i="5"/>
  <c r="AY397" i="5"/>
  <c r="AX332" i="5"/>
  <c r="BA332" i="5"/>
  <c r="AY332" i="5"/>
  <c r="BA71" i="5"/>
  <c r="AY71" i="5"/>
  <c r="AX71" i="5"/>
  <c r="AF236" i="3"/>
  <c r="AE236" i="3"/>
  <c r="AG236" i="3"/>
  <c r="AH236" i="3"/>
  <c r="BA334" i="5"/>
  <c r="AY334" i="5"/>
  <c r="AX334" i="5"/>
  <c r="BD328" i="5"/>
  <c r="BC328" i="5"/>
  <c r="AW328" i="5"/>
  <c r="AR328" i="5"/>
  <c r="AS328" i="5"/>
  <c r="BA45" i="5"/>
  <c r="AY45" i="5"/>
  <c r="AX45" i="5"/>
  <c r="AH354" i="3"/>
  <c r="AG354" i="3"/>
  <c r="AF354" i="3"/>
  <c r="AE354" i="3"/>
  <c r="AF380" i="3"/>
  <c r="AE380" i="3"/>
  <c r="AH380" i="3"/>
  <c r="AG380" i="3"/>
  <c r="AY394" i="5"/>
  <c r="AX394" i="5"/>
  <c r="BA394" i="5"/>
  <c r="AY287" i="5"/>
  <c r="AX287" i="5"/>
  <c r="BA287" i="5"/>
  <c r="AW347" i="5"/>
  <c r="AS347" i="5"/>
  <c r="BD347" i="5"/>
  <c r="BC347" i="5"/>
  <c r="AR347" i="5"/>
  <c r="BA200" i="5"/>
  <c r="AY200" i="5"/>
  <c r="AX200" i="5"/>
  <c r="AH351" i="3"/>
  <c r="AG351" i="3"/>
  <c r="AF351" i="3"/>
  <c r="AE351" i="3"/>
  <c r="AH103" i="3"/>
  <c r="AG103" i="3"/>
  <c r="AF103" i="3"/>
  <c r="AE103" i="3"/>
  <c r="AR129" i="5"/>
  <c r="BD129" i="5"/>
  <c r="BC129" i="5"/>
  <c r="AW129" i="5"/>
  <c r="AS129" i="5"/>
  <c r="AH407" i="3"/>
  <c r="AG407" i="3"/>
  <c r="AF407" i="3"/>
  <c r="AE407" i="3"/>
  <c r="BC402" i="5"/>
  <c r="AW402" i="5"/>
  <c r="AS402" i="5"/>
  <c r="AR402" i="5"/>
  <c r="BD402" i="5"/>
  <c r="AW330" i="5"/>
  <c r="BD330" i="5"/>
  <c r="BC330" i="5"/>
  <c r="AS330" i="5"/>
  <c r="AR330" i="5"/>
  <c r="BC286" i="5"/>
  <c r="AW286" i="5"/>
  <c r="AS286" i="5"/>
  <c r="AR286" i="5"/>
  <c r="BD286" i="5"/>
  <c r="AX126" i="5"/>
  <c r="BA126" i="5"/>
  <c r="AY126" i="5"/>
  <c r="BC292" i="5"/>
  <c r="AW292" i="5"/>
  <c r="AS292" i="5"/>
  <c r="AR292" i="5"/>
  <c r="BD292" i="5"/>
  <c r="BA207" i="5"/>
  <c r="AY207" i="5"/>
  <c r="AX207" i="5"/>
  <c r="AY164" i="5"/>
  <c r="AX164" i="5"/>
  <c r="BA164" i="5"/>
  <c r="BD186" i="5"/>
  <c r="BC186" i="5"/>
  <c r="AW186" i="5"/>
  <c r="AR186" i="5"/>
  <c r="AS186" i="5"/>
  <c r="AY311" i="5"/>
  <c r="AX311" i="5"/>
  <c r="BA311" i="5"/>
  <c r="BD161" i="5"/>
  <c r="BC161" i="5"/>
  <c r="AW161" i="5"/>
  <c r="AS161" i="5"/>
  <c r="AR161" i="5"/>
  <c r="AS12" i="5"/>
  <c r="AR12" i="5"/>
  <c r="BD12" i="5"/>
  <c r="BC12" i="5"/>
  <c r="AW12" i="5"/>
  <c r="AH136" i="3"/>
  <c r="AG136" i="3"/>
  <c r="AF136" i="3"/>
  <c r="AE136" i="3"/>
  <c r="BA168" i="5"/>
  <c r="AY168" i="5"/>
  <c r="AX168" i="5"/>
  <c r="BA390" i="5"/>
  <c r="AY390" i="5"/>
  <c r="AX390" i="5"/>
  <c r="BA138" i="5"/>
  <c r="AY138" i="5"/>
  <c r="AX138" i="5"/>
  <c r="AH343" i="3"/>
  <c r="AG343" i="3"/>
  <c r="AF343" i="3"/>
  <c r="AE343" i="3"/>
  <c r="AR371" i="5"/>
  <c r="BD371" i="5"/>
  <c r="BC371" i="5"/>
  <c r="AW371" i="5"/>
  <c r="AS371" i="5"/>
  <c r="AS404" i="5"/>
  <c r="BD404" i="5"/>
  <c r="BC404" i="5"/>
  <c r="AW404" i="5"/>
  <c r="AR404" i="5"/>
  <c r="AS19" i="5"/>
  <c r="AR19" i="5"/>
  <c r="BC19" i="5"/>
  <c r="BD19" i="5"/>
  <c r="AW19" i="5"/>
  <c r="AH88" i="3"/>
  <c r="AG88" i="3"/>
  <c r="AF88" i="3"/>
  <c r="AE88" i="3"/>
  <c r="AF177" i="3"/>
  <c r="AH177" i="3"/>
  <c r="AG177" i="3"/>
  <c r="AE177" i="3"/>
  <c r="AH169" i="3"/>
  <c r="AG169" i="3"/>
  <c r="AF169" i="3"/>
  <c r="AE169" i="3"/>
  <c r="AH104" i="3"/>
  <c r="AG104" i="3"/>
  <c r="AF104" i="3"/>
  <c r="AE104" i="3"/>
  <c r="BA228" i="5"/>
  <c r="AY228" i="5"/>
  <c r="AX228" i="5"/>
  <c r="AH339" i="3"/>
  <c r="AG339" i="3"/>
  <c r="AF339" i="3"/>
  <c r="AE339" i="3"/>
  <c r="AE362" i="3"/>
  <c r="AG362" i="3"/>
  <c r="AF362" i="3"/>
  <c r="AH362" i="3"/>
  <c r="AW10" i="5"/>
  <c r="BD10" i="5"/>
  <c r="BC10" i="5"/>
  <c r="AS10" i="5"/>
  <c r="AR10" i="5"/>
  <c r="AS349" i="5"/>
  <c r="AR349" i="5"/>
  <c r="AW349" i="5"/>
  <c r="BD349" i="5"/>
  <c r="BC349" i="5"/>
  <c r="BA166" i="5"/>
  <c r="AY166" i="5"/>
  <c r="AX166" i="5"/>
  <c r="BA21" i="5"/>
  <c r="AX21" i="5"/>
  <c r="AY21" i="5"/>
  <c r="AY255" i="5"/>
  <c r="AX255" i="5"/>
  <c r="BA255" i="5"/>
  <c r="AF247" i="3"/>
  <c r="AE247" i="3"/>
  <c r="AH247" i="3"/>
  <c r="AG247" i="3"/>
  <c r="AW72" i="5"/>
  <c r="AS72" i="5"/>
  <c r="AR72" i="5"/>
  <c r="BD72" i="5"/>
  <c r="BC72" i="5"/>
  <c r="AR143" i="5"/>
  <c r="BD143" i="5"/>
  <c r="BC143" i="5"/>
  <c r="AW143" i="5"/>
  <c r="AS143" i="5"/>
  <c r="AF248" i="3"/>
  <c r="AE248" i="3"/>
  <c r="AH248" i="3"/>
  <c r="AG248" i="3"/>
  <c r="BC318" i="5"/>
  <c r="AS318" i="5"/>
  <c r="AR318" i="5"/>
  <c r="BD318" i="5"/>
  <c r="AW318" i="5"/>
  <c r="BC91" i="5"/>
  <c r="AS91" i="5"/>
  <c r="AR91" i="5"/>
  <c r="BD91" i="5"/>
  <c r="AW91" i="5"/>
  <c r="AF175" i="3"/>
  <c r="AG175" i="3"/>
  <c r="AE175" i="3"/>
  <c r="AH175" i="3"/>
  <c r="AS11" i="5"/>
  <c r="AR11" i="5"/>
  <c r="BD11" i="5"/>
  <c r="BC11" i="5"/>
  <c r="AW11" i="5"/>
  <c r="AH278" i="3"/>
  <c r="AG278" i="3"/>
  <c r="AF278" i="3"/>
  <c r="AE278" i="3"/>
  <c r="AH120" i="3"/>
  <c r="AG120" i="3"/>
  <c r="AF120" i="3"/>
  <c r="AE120" i="3"/>
  <c r="BA159" i="5"/>
  <c r="AY159" i="5"/>
  <c r="AX159" i="5"/>
  <c r="AH16" i="3"/>
  <c r="AG16" i="3"/>
  <c r="AF16" i="3"/>
  <c r="AE16" i="3"/>
  <c r="BA259" i="5"/>
  <c r="AY259" i="5"/>
  <c r="AX259" i="5"/>
  <c r="AR76" i="5"/>
  <c r="BD76" i="5"/>
  <c r="BC76" i="5"/>
  <c r="AW76" i="5"/>
  <c r="AS76" i="5"/>
  <c r="AS66" i="5"/>
  <c r="AR66" i="5"/>
  <c r="BD66" i="5"/>
  <c r="BC66" i="5"/>
  <c r="AW66" i="5"/>
  <c r="AH63" i="3"/>
  <c r="AG63" i="3"/>
  <c r="AF63" i="3"/>
  <c r="AE63" i="3"/>
  <c r="BA9" i="5"/>
  <c r="AY9" i="5"/>
  <c r="AX9" i="5"/>
  <c r="AS96" i="5"/>
  <c r="AR96" i="5"/>
  <c r="BC96" i="5"/>
  <c r="AW96" i="5"/>
  <c r="BD96" i="5"/>
  <c r="AH76" i="3"/>
  <c r="AG76" i="3"/>
  <c r="AF76" i="3"/>
  <c r="AE76" i="3"/>
  <c r="BD329" i="5"/>
  <c r="BC329" i="5"/>
  <c r="AW329" i="5"/>
  <c r="AS329" i="5"/>
  <c r="AR329" i="5"/>
  <c r="BA62" i="5"/>
  <c r="AY62" i="5"/>
  <c r="AX62" i="5"/>
  <c r="AY379" i="5"/>
  <c r="BA379" i="5"/>
  <c r="AX379" i="5"/>
  <c r="BA236" i="5"/>
  <c r="AX236" i="5"/>
  <c r="AY236" i="5"/>
  <c r="BD238" i="5"/>
  <c r="BC238" i="5"/>
  <c r="AW238" i="5"/>
  <c r="AS238" i="5"/>
  <c r="AR238" i="5"/>
  <c r="AH125" i="3"/>
  <c r="AG125" i="3"/>
  <c r="AF125" i="3"/>
  <c r="AE125" i="3"/>
  <c r="AR299" i="5"/>
  <c r="BD299" i="5"/>
  <c r="BC299" i="5"/>
  <c r="AW299" i="5"/>
  <c r="AS299" i="5"/>
  <c r="BA400" i="5"/>
  <c r="AY400" i="5"/>
  <c r="AX400" i="5"/>
  <c r="BA258" i="5"/>
  <c r="AY258" i="5"/>
  <c r="AX258" i="5"/>
  <c r="BA153" i="5"/>
  <c r="AY153" i="5"/>
  <c r="AX153" i="5"/>
  <c r="BA29" i="5"/>
  <c r="AY29" i="5"/>
  <c r="AX29" i="5"/>
  <c r="AS174" i="5"/>
  <c r="AR174" i="5"/>
  <c r="BD174" i="5"/>
  <c r="BC174" i="5"/>
  <c r="AW174" i="5"/>
  <c r="AF178" i="3"/>
  <c r="AH178" i="3"/>
  <c r="AG178" i="3"/>
  <c r="AE178" i="3"/>
  <c r="AH58" i="3"/>
  <c r="AG58" i="3"/>
  <c r="AF58" i="3"/>
  <c r="AE58" i="3"/>
  <c r="BA326" i="5"/>
  <c r="AX326" i="5"/>
  <c r="AY326" i="5"/>
  <c r="AH282" i="3"/>
  <c r="AG282" i="3"/>
  <c r="AF282" i="3"/>
  <c r="AE282" i="3"/>
  <c r="BA345" i="5"/>
  <c r="AY345" i="5"/>
  <c r="AX345" i="5"/>
  <c r="AH163" i="3"/>
  <c r="AG163" i="3"/>
  <c r="AF163" i="3"/>
  <c r="AE163" i="3"/>
  <c r="AS341" i="5"/>
  <c r="AR341" i="5"/>
  <c r="AW341" i="5"/>
  <c r="BD341" i="5"/>
  <c r="BC341" i="5"/>
  <c r="AY101" i="5"/>
  <c r="AX101" i="5"/>
  <c r="BA101" i="5"/>
  <c r="AY17" i="5"/>
  <c r="AX17" i="5"/>
  <c r="BA17" i="5"/>
  <c r="AH59" i="3"/>
  <c r="AG59" i="3"/>
  <c r="AF59" i="3"/>
  <c r="AE59" i="3"/>
  <c r="BA266" i="5"/>
  <c r="AY266" i="5"/>
  <c r="AX266" i="5"/>
  <c r="BA249" i="5"/>
  <c r="AY249" i="5"/>
  <c r="AX249" i="5"/>
  <c r="BA220" i="5"/>
  <c r="AY220" i="5"/>
  <c r="AX220" i="5"/>
  <c r="BA194" i="5"/>
  <c r="AY194" i="5"/>
  <c r="AX194" i="5"/>
  <c r="AX81" i="5"/>
  <c r="BA81" i="5"/>
  <c r="AY81" i="5"/>
  <c r="AW394" i="5"/>
  <c r="AR394" i="5"/>
  <c r="BD394" i="5"/>
  <c r="BC394" i="5"/>
  <c r="AS394" i="5"/>
  <c r="AW358" i="5"/>
  <c r="BD358" i="5"/>
  <c r="BC358" i="5"/>
  <c r="AS358" i="5"/>
  <c r="AR358" i="5"/>
  <c r="AS166" i="5"/>
  <c r="AR166" i="5"/>
  <c r="BD166" i="5"/>
  <c r="BC166" i="5"/>
  <c r="AW166" i="5"/>
  <c r="BA290" i="5"/>
  <c r="AY290" i="5"/>
  <c r="AX290" i="5"/>
  <c r="AS314" i="5"/>
  <c r="BC314" i="5"/>
  <c r="AW314" i="5"/>
  <c r="BD314" i="5"/>
  <c r="AR314" i="5"/>
  <c r="AX213" i="5"/>
  <c r="BA213" i="5"/>
  <c r="AY213" i="5"/>
  <c r="BA203" i="5"/>
  <c r="AY203" i="5"/>
  <c r="AX203" i="5"/>
  <c r="BA150" i="5"/>
  <c r="AY150" i="5"/>
  <c r="AX150" i="5"/>
  <c r="AW49" i="5"/>
  <c r="AS49" i="5"/>
  <c r="BD49" i="5"/>
  <c r="BC49" i="5"/>
  <c r="AR49" i="5"/>
  <c r="BD54" i="5"/>
  <c r="BC54" i="5"/>
  <c r="AW54" i="5"/>
  <c r="AS54" i="5"/>
  <c r="AR54" i="5"/>
  <c r="AH118" i="3"/>
  <c r="AG118" i="3"/>
  <c r="AF118" i="3"/>
  <c r="AE118" i="3"/>
  <c r="AY309" i="5"/>
  <c r="AX309" i="5"/>
  <c r="BA309" i="5"/>
  <c r="AW395" i="5"/>
  <c r="AS395" i="5"/>
  <c r="AR395" i="5"/>
  <c r="BD395" i="5"/>
  <c r="BC395" i="5"/>
  <c r="BD260" i="5"/>
  <c r="BC260" i="5"/>
  <c r="AW260" i="5"/>
  <c r="AS260" i="5"/>
  <c r="AR260" i="5"/>
  <c r="AW80" i="5"/>
  <c r="AS80" i="5"/>
  <c r="AR80" i="5"/>
  <c r="BD80" i="5"/>
  <c r="BC80" i="5"/>
  <c r="BA69" i="5"/>
  <c r="AY69" i="5"/>
  <c r="AX69" i="5"/>
  <c r="AW139" i="5"/>
  <c r="AS139" i="5"/>
  <c r="BD139" i="5"/>
  <c r="BC139" i="5"/>
  <c r="AR139" i="5"/>
  <c r="AH53" i="3"/>
  <c r="AG53" i="3"/>
  <c r="AF53" i="3"/>
  <c r="AE53" i="3"/>
  <c r="AH10" i="3"/>
  <c r="AG10" i="3"/>
  <c r="AF10" i="3"/>
  <c r="AE10" i="3"/>
  <c r="AX368" i="5"/>
  <c r="BA368" i="5"/>
  <c r="AY368" i="5"/>
  <c r="BA274" i="5"/>
  <c r="AX274" i="5"/>
  <c r="AY274" i="5"/>
  <c r="AS265" i="5"/>
  <c r="AR265" i="5"/>
  <c r="BD265" i="5"/>
  <c r="BC265" i="5"/>
  <c r="AW265" i="5"/>
  <c r="BC63" i="5"/>
  <c r="AW63" i="5"/>
  <c r="AS63" i="5"/>
  <c r="AR63" i="5"/>
  <c r="BD63" i="5"/>
  <c r="AH124" i="3"/>
  <c r="AG124" i="3"/>
  <c r="AF124" i="3"/>
  <c r="AE124" i="3"/>
  <c r="AX304" i="5"/>
  <c r="BA304" i="5"/>
  <c r="AY304" i="5"/>
  <c r="AF232" i="3"/>
  <c r="AE232" i="3"/>
  <c r="AH232" i="3"/>
  <c r="AG232" i="3"/>
  <c r="AS303" i="5"/>
  <c r="AR303" i="5"/>
  <c r="AW303" i="5"/>
  <c r="BD303" i="5"/>
  <c r="BC303" i="5"/>
  <c r="BD145" i="5"/>
  <c r="BC145" i="5"/>
  <c r="AW145" i="5"/>
  <c r="AS145" i="5"/>
  <c r="AR145" i="5"/>
  <c r="AH37" i="3"/>
  <c r="AG37" i="3"/>
  <c r="AF37" i="3"/>
  <c r="AE37" i="3"/>
  <c r="AW323" i="5"/>
  <c r="BD323" i="5"/>
  <c r="BC323" i="5"/>
  <c r="AS323" i="5"/>
  <c r="AR323" i="5"/>
  <c r="BD31" i="5"/>
  <c r="BC31" i="5"/>
  <c r="AW31" i="5"/>
  <c r="AR31" i="5"/>
  <c r="AS31" i="5"/>
  <c r="AH132" i="3"/>
  <c r="AG132" i="3"/>
  <c r="AF132" i="3"/>
  <c r="AE132" i="3"/>
  <c r="BC308" i="5"/>
  <c r="AW308" i="5"/>
  <c r="AS308" i="5"/>
  <c r="AR308" i="5"/>
  <c r="BD308" i="5"/>
  <c r="AH131" i="3"/>
  <c r="AG131" i="3"/>
  <c r="AF131" i="3"/>
  <c r="AE131" i="3"/>
  <c r="BA277" i="5"/>
  <c r="AX277" i="5"/>
  <c r="AY277" i="5"/>
  <c r="BD373" i="5"/>
  <c r="BC373" i="5"/>
  <c r="AS373" i="5"/>
  <c r="AW373" i="5"/>
  <c r="AR373" i="5"/>
  <c r="AH45" i="3"/>
  <c r="AG45" i="3"/>
  <c r="AF45" i="3"/>
  <c r="AE45" i="3"/>
  <c r="BA208" i="5"/>
  <c r="AY208" i="5"/>
  <c r="AX208" i="5"/>
  <c r="BD8" i="5"/>
  <c r="BC8" i="5"/>
  <c r="AW8" i="5"/>
  <c r="AS8" i="5"/>
  <c r="AR8" i="5"/>
  <c r="BC171" i="5"/>
  <c r="AW171" i="5"/>
  <c r="BD171" i="5"/>
  <c r="AS171" i="5"/>
  <c r="AR171" i="5"/>
  <c r="BA363" i="5"/>
  <c r="AY363" i="5"/>
  <c r="AX363" i="5"/>
  <c r="BA253" i="5"/>
  <c r="AY253" i="5"/>
  <c r="AX253" i="5"/>
  <c r="BD106" i="5"/>
  <c r="BC106" i="5"/>
  <c r="AW106" i="5"/>
  <c r="AS106" i="5"/>
  <c r="AR106" i="5"/>
  <c r="BD14" i="5"/>
  <c r="BC14" i="5"/>
  <c r="AS14" i="5"/>
  <c r="AW14" i="5"/>
  <c r="AR14" i="5"/>
  <c r="AH291" i="3"/>
  <c r="AG291" i="3"/>
  <c r="AF291" i="3"/>
  <c r="AE291" i="3"/>
  <c r="BA358" i="5"/>
  <c r="AX358" i="5"/>
  <c r="AY358" i="5"/>
  <c r="BA130" i="5"/>
  <c r="AY130" i="5"/>
  <c r="AX130" i="5"/>
  <c r="AW88" i="5"/>
  <c r="AS88" i="5"/>
  <c r="AR88" i="5"/>
  <c r="BC88" i="5"/>
  <c r="BD88" i="5"/>
  <c r="BD399" i="5"/>
  <c r="BC399" i="5"/>
  <c r="AW399" i="5"/>
  <c r="AS399" i="5"/>
  <c r="AR399" i="5"/>
  <c r="BA366" i="5"/>
  <c r="AY366" i="5"/>
  <c r="AX366" i="5"/>
  <c r="AX97" i="5"/>
  <c r="BA97" i="5"/>
  <c r="AY97" i="5"/>
  <c r="BC277" i="5"/>
  <c r="AW277" i="5"/>
  <c r="BD277" i="5"/>
  <c r="AS277" i="5"/>
  <c r="AR277" i="5"/>
  <c r="AY284" i="5"/>
  <c r="AX284" i="5"/>
  <c r="BA284" i="5"/>
  <c r="AG198" i="3"/>
  <c r="AF198" i="3"/>
  <c r="AE198" i="3"/>
  <c r="AH198" i="3"/>
  <c r="BD248" i="5"/>
  <c r="BC248" i="5"/>
  <c r="AW248" i="5"/>
  <c r="AS248" i="5"/>
  <c r="AR248" i="5"/>
  <c r="AH140" i="3"/>
  <c r="AG140" i="3"/>
  <c r="AF140" i="3"/>
  <c r="AE140" i="3"/>
  <c r="AH164" i="3"/>
  <c r="AG164" i="3"/>
  <c r="AF164" i="3"/>
  <c r="AE164" i="3"/>
  <c r="AW24" i="5"/>
  <c r="AR24" i="5"/>
  <c r="BD24" i="5"/>
  <c r="BC24" i="5"/>
  <c r="AS24" i="5"/>
  <c r="AW40" i="5"/>
  <c r="AS40" i="5"/>
  <c r="AR40" i="5"/>
  <c r="BD40" i="5"/>
  <c r="BC40" i="5"/>
  <c r="AH265" i="3"/>
  <c r="AF265" i="3"/>
  <c r="AG265" i="3"/>
  <c r="AE265" i="3"/>
  <c r="AF231" i="3"/>
  <c r="AE231" i="3"/>
  <c r="AH231" i="3"/>
  <c r="AG231" i="3"/>
  <c r="AF215" i="3"/>
  <c r="AE215" i="3"/>
  <c r="AH215" i="3"/>
  <c r="AG215" i="3"/>
  <c r="BA338" i="5"/>
  <c r="AY338" i="5"/>
  <c r="AX338" i="5"/>
  <c r="BA174" i="5"/>
  <c r="AY174" i="5"/>
  <c r="AX174" i="5"/>
  <c r="AH304" i="3"/>
  <c r="AG304" i="3"/>
  <c r="AF304" i="3"/>
  <c r="AE304" i="3"/>
  <c r="AW172" i="5"/>
  <c r="BD172" i="5"/>
  <c r="BC172" i="5"/>
  <c r="AS172" i="5"/>
  <c r="AR172" i="5"/>
  <c r="BC124" i="5"/>
  <c r="AW124" i="5"/>
  <c r="AS124" i="5"/>
  <c r="AR124" i="5"/>
  <c r="BD124" i="5"/>
  <c r="AS380" i="5"/>
  <c r="AR380" i="5"/>
  <c r="BD380" i="5"/>
  <c r="BC380" i="5"/>
  <c r="AW380" i="5"/>
  <c r="AH11" i="3"/>
  <c r="AG11" i="3"/>
  <c r="AF11" i="3"/>
  <c r="AE11" i="3"/>
  <c r="AH363" i="3"/>
  <c r="AG363" i="3"/>
  <c r="AF363" i="3"/>
  <c r="AE363" i="3"/>
  <c r="AH114" i="3"/>
  <c r="AG114" i="3"/>
  <c r="AF114" i="3"/>
  <c r="AE114" i="3"/>
  <c r="AW56" i="5"/>
  <c r="AS56" i="5"/>
  <c r="BD56" i="5"/>
  <c r="BC56" i="5"/>
  <c r="AR56" i="5"/>
  <c r="AW65" i="5"/>
  <c r="AS65" i="5"/>
  <c r="AR65" i="5"/>
  <c r="BD65" i="5"/>
  <c r="BC65" i="5"/>
  <c r="AY376" i="5"/>
  <c r="AX376" i="5"/>
  <c r="BA376" i="5"/>
  <c r="BA211" i="5"/>
  <c r="AY211" i="5"/>
  <c r="AX211" i="5"/>
  <c r="AS95" i="5"/>
  <c r="AR95" i="5"/>
  <c r="BC95" i="5"/>
  <c r="AW95" i="5"/>
  <c r="BD95" i="5"/>
  <c r="AY117" i="5"/>
  <c r="AX117" i="5"/>
  <c r="BA117" i="5"/>
  <c r="BA313" i="5"/>
  <c r="AX313" i="5"/>
  <c r="AY313" i="5"/>
  <c r="BD252" i="5"/>
  <c r="BC252" i="5"/>
  <c r="AW252" i="5"/>
  <c r="AR252" i="5"/>
  <c r="AS252" i="5"/>
  <c r="AR280" i="5"/>
  <c r="BD280" i="5"/>
  <c r="BC280" i="5"/>
  <c r="AW280" i="5"/>
  <c r="AS280" i="5"/>
  <c r="AH315" i="3"/>
  <c r="AG315" i="3"/>
  <c r="AF315" i="3"/>
  <c r="AE315" i="3"/>
  <c r="BC366" i="5"/>
  <c r="AW366" i="5"/>
  <c r="BD366" i="5"/>
  <c r="AR366" i="5"/>
  <c r="AS366" i="5"/>
  <c r="AX278" i="5"/>
  <c r="BA278" i="5"/>
  <c r="AY278" i="5"/>
  <c r="BA262" i="5"/>
  <c r="AY262" i="5"/>
  <c r="AX262" i="5"/>
  <c r="BA215" i="5"/>
  <c r="AX215" i="5"/>
  <c r="AY215" i="5"/>
  <c r="AY147" i="5"/>
  <c r="AX147" i="5"/>
  <c r="BA147" i="5"/>
  <c r="BA23" i="5"/>
  <c r="AY23" i="5"/>
  <c r="AX23" i="5"/>
  <c r="BA167" i="5"/>
  <c r="AY167" i="5"/>
  <c r="AX167" i="5"/>
  <c r="AH17" i="3"/>
  <c r="AG17" i="3"/>
  <c r="AF17" i="3"/>
  <c r="AE17" i="3"/>
  <c r="AF378" i="3"/>
  <c r="AE378" i="3"/>
  <c r="AH378" i="3"/>
  <c r="AG378" i="3"/>
  <c r="BC284" i="5"/>
  <c r="AW284" i="5"/>
  <c r="AS284" i="5"/>
  <c r="AR284" i="5"/>
  <c r="BD284" i="5"/>
  <c r="BA403" i="5"/>
  <c r="AY403" i="5"/>
  <c r="AX403" i="5"/>
  <c r="AW242" i="5"/>
  <c r="AS242" i="5"/>
  <c r="AR242" i="5"/>
  <c r="BD242" i="5"/>
  <c r="BC242" i="5"/>
  <c r="AS183" i="5"/>
  <c r="AR183" i="5"/>
  <c r="BD183" i="5"/>
  <c r="AW183" i="5"/>
  <c r="BC183" i="5"/>
  <c r="BA182" i="5"/>
  <c r="AY182" i="5"/>
  <c r="AX182" i="5"/>
  <c r="AR105" i="5"/>
  <c r="BD105" i="5"/>
  <c r="BC105" i="5"/>
  <c r="AW105" i="5"/>
  <c r="AS105" i="5"/>
  <c r="AU105" i="5" s="1"/>
  <c r="AV105" i="5" s="1"/>
  <c r="AW110" i="5"/>
  <c r="AS110" i="5"/>
  <c r="AR110" i="5"/>
  <c r="BD110" i="5"/>
  <c r="BC110" i="5"/>
  <c r="AX34" i="5"/>
  <c r="BA34" i="5"/>
  <c r="AY34" i="5"/>
  <c r="BA16" i="5"/>
  <c r="AY16" i="5"/>
  <c r="AX16" i="5"/>
  <c r="AH35" i="3"/>
  <c r="AG35" i="3"/>
  <c r="AF35" i="3"/>
  <c r="AE35" i="3"/>
  <c r="BD343" i="5"/>
  <c r="BC343" i="5"/>
  <c r="AW343" i="5"/>
  <c r="AS343" i="5"/>
  <c r="AR343" i="5"/>
  <c r="BC300" i="5"/>
  <c r="BD300" i="5"/>
  <c r="AW300" i="5"/>
  <c r="AS300" i="5"/>
  <c r="AR300" i="5"/>
  <c r="AS36" i="5"/>
  <c r="AR36" i="5"/>
  <c r="BD36" i="5"/>
  <c r="BC36" i="5"/>
  <c r="AW36" i="5"/>
  <c r="AH330" i="3"/>
  <c r="AG330" i="3"/>
  <c r="AF330" i="3"/>
  <c r="AE330" i="3"/>
  <c r="AH298" i="3"/>
  <c r="AG298" i="3"/>
  <c r="AF298" i="3"/>
  <c r="AE298" i="3"/>
  <c r="AH365" i="3"/>
  <c r="AG365" i="3"/>
  <c r="AF365" i="3"/>
  <c r="AE365" i="3"/>
  <c r="AH82" i="3"/>
  <c r="AG82" i="3"/>
  <c r="AF82" i="3"/>
  <c r="AE82" i="3"/>
  <c r="BA149" i="5"/>
  <c r="AY149" i="5"/>
  <c r="AX149" i="5"/>
  <c r="BA18" i="5"/>
  <c r="AY18" i="5"/>
  <c r="AX18" i="5"/>
  <c r="AH156" i="3"/>
  <c r="AG156" i="3"/>
  <c r="AF156" i="3"/>
  <c r="AE156" i="3"/>
  <c r="AH129" i="3"/>
  <c r="AG129" i="3"/>
  <c r="AF129" i="3"/>
  <c r="AE129" i="3"/>
  <c r="BA243" i="5"/>
  <c r="AY243" i="5"/>
  <c r="AX243" i="5"/>
  <c r="AH57" i="3"/>
  <c r="AG57" i="3"/>
  <c r="AF57" i="3"/>
  <c r="AE57" i="3"/>
  <c r="BA170" i="5"/>
  <c r="AY170" i="5"/>
  <c r="AX170" i="5"/>
  <c r="BA364" i="5"/>
  <c r="AY364" i="5"/>
  <c r="AX364" i="5"/>
  <c r="AY301" i="5"/>
  <c r="AX301" i="5"/>
  <c r="BA301" i="5"/>
  <c r="BA141" i="5"/>
  <c r="AY141" i="5"/>
  <c r="AX141" i="5"/>
  <c r="BD86" i="5"/>
  <c r="BC86" i="5"/>
  <c r="AW86" i="5"/>
  <c r="AS86" i="5"/>
  <c r="AR86" i="5"/>
  <c r="AH296" i="3"/>
  <c r="AG296" i="3"/>
  <c r="AF296" i="3"/>
  <c r="AE296" i="3"/>
  <c r="AH401" i="3"/>
  <c r="AG401" i="3"/>
  <c r="AF401" i="3"/>
  <c r="AE401" i="3"/>
  <c r="AH264" i="3"/>
  <c r="AG264" i="3"/>
  <c r="AF264" i="3"/>
  <c r="AE264" i="3"/>
  <c r="AH155" i="3"/>
  <c r="AG155" i="3"/>
  <c r="AF155" i="3"/>
  <c r="AE155" i="3"/>
  <c r="AH128" i="3"/>
  <c r="AG128" i="3"/>
  <c r="AF128" i="3"/>
  <c r="AE128" i="3"/>
  <c r="AF233" i="3"/>
  <c r="AE233" i="3"/>
  <c r="AH233" i="3"/>
  <c r="AG233" i="3"/>
  <c r="AW117" i="5"/>
  <c r="AS117" i="5"/>
  <c r="AR117" i="5"/>
  <c r="BD117" i="5"/>
  <c r="BC117" i="5"/>
  <c r="AH168" i="3"/>
  <c r="AG168" i="3"/>
  <c r="AF168" i="3"/>
  <c r="AE168" i="3"/>
  <c r="AH109" i="3"/>
  <c r="AG109" i="3"/>
  <c r="AF109" i="3"/>
  <c r="AE109" i="3"/>
  <c r="AX248" i="5"/>
  <c r="BA248" i="5"/>
  <c r="AY248" i="5"/>
  <c r="AH279" i="3"/>
  <c r="AF279" i="3"/>
  <c r="AE279" i="3"/>
  <c r="AG279" i="3"/>
  <c r="AF224" i="3"/>
  <c r="AE224" i="3"/>
  <c r="AH224" i="3"/>
  <c r="AG224" i="3"/>
  <c r="AH138" i="3"/>
  <c r="AG138" i="3"/>
  <c r="AF138" i="3"/>
  <c r="AE138" i="3"/>
  <c r="AH276" i="3"/>
  <c r="AG276" i="3"/>
  <c r="AF276" i="3"/>
  <c r="AE276" i="3"/>
  <c r="BA250" i="5"/>
  <c r="AY250" i="5"/>
  <c r="AX250" i="5"/>
  <c r="BA111" i="5"/>
  <c r="AY111" i="5"/>
  <c r="AX111" i="5"/>
  <c r="BD7" i="5"/>
  <c r="BC7" i="5"/>
  <c r="AR7" i="5"/>
  <c r="AW7" i="5"/>
  <c r="AS7" i="5"/>
  <c r="BA281" i="5"/>
  <c r="AY281" i="5"/>
  <c r="AX281" i="5"/>
  <c r="BA251" i="5"/>
  <c r="AY251" i="5"/>
  <c r="AX251" i="5"/>
  <c r="AR68" i="5"/>
  <c r="BD68" i="5"/>
  <c r="BC68" i="5"/>
  <c r="AS68" i="5"/>
  <c r="AW68" i="5"/>
  <c r="AS58" i="5"/>
  <c r="AR58" i="5"/>
  <c r="BC58" i="5"/>
  <c r="BD58" i="5"/>
  <c r="AW58" i="5"/>
  <c r="AH406" i="3"/>
  <c r="AG406" i="3"/>
  <c r="AF406" i="3"/>
  <c r="AE406" i="3"/>
  <c r="AH78" i="3"/>
  <c r="AG78" i="3"/>
  <c r="AF78" i="3"/>
  <c r="AE78" i="3"/>
  <c r="AG200" i="3"/>
  <c r="AF200" i="3"/>
  <c r="AE200" i="3"/>
  <c r="AH200" i="3"/>
  <c r="BC313" i="5"/>
  <c r="AW313" i="5"/>
  <c r="AS313" i="5"/>
  <c r="AR313" i="5"/>
  <c r="BD313" i="5"/>
  <c r="AY401" i="5"/>
  <c r="BA401" i="5"/>
  <c r="AX401" i="5"/>
  <c r="AY196" i="5"/>
  <c r="AX196" i="5"/>
  <c r="BA196" i="5"/>
  <c r="AR52" i="5"/>
  <c r="BD52" i="5"/>
  <c r="AW52" i="5"/>
  <c r="AS52" i="5"/>
  <c r="AU52" i="5" s="1"/>
  <c r="AV52" i="5" s="1"/>
  <c r="BC52" i="5"/>
  <c r="AH292" i="3"/>
  <c r="AG292" i="3"/>
  <c r="AF292" i="3"/>
  <c r="AE292" i="3"/>
  <c r="BA154" i="5"/>
  <c r="AY154" i="5"/>
  <c r="AX154" i="5"/>
  <c r="BA37" i="5"/>
  <c r="AY37" i="5"/>
  <c r="AX37" i="5"/>
  <c r="AS306" i="5"/>
  <c r="AR306" i="5"/>
  <c r="BD306" i="5"/>
  <c r="BC306" i="5"/>
  <c r="AW306" i="5"/>
  <c r="BA222" i="5"/>
  <c r="AY222" i="5"/>
  <c r="AX222" i="5"/>
  <c r="AH25" i="3"/>
  <c r="AG25" i="3"/>
  <c r="AF25" i="3"/>
  <c r="AE25" i="3"/>
  <c r="AH391" i="3"/>
  <c r="AF391" i="3"/>
  <c r="AE391" i="3"/>
  <c r="AG391" i="3"/>
  <c r="AS397" i="5"/>
  <c r="AR397" i="5"/>
  <c r="BD397" i="5"/>
  <c r="BC397" i="5"/>
  <c r="AW397" i="5"/>
  <c r="BA346" i="5"/>
  <c r="AY346" i="5"/>
  <c r="AX346" i="5"/>
  <c r="AX173" i="5"/>
  <c r="BA173" i="5"/>
  <c r="AY173" i="5"/>
  <c r="BC71" i="5"/>
  <c r="AW71" i="5"/>
  <c r="AS71" i="5"/>
  <c r="AR71" i="5"/>
  <c r="BD71" i="5"/>
  <c r="AS334" i="5"/>
  <c r="AR334" i="5"/>
  <c r="BD334" i="5"/>
  <c r="BC334" i="5"/>
  <c r="AW334" i="5"/>
  <c r="BA246" i="5"/>
  <c r="AY246" i="5"/>
  <c r="AX246" i="5"/>
  <c r="BA103" i="5"/>
  <c r="AY103" i="5"/>
  <c r="AX103" i="5"/>
  <c r="AH319" i="3"/>
  <c r="AG319" i="3"/>
  <c r="AF319" i="3"/>
  <c r="AE319" i="3"/>
  <c r="AH356" i="3"/>
  <c r="AG356" i="3"/>
  <c r="AF356" i="3"/>
  <c r="AE356" i="3"/>
  <c r="AH364" i="3"/>
  <c r="AG364" i="3"/>
  <c r="AF364" i="3"/>
  <c r="AE364" i="3"/>
  <c r="AH71" i="3"/>
  <c r="AG71" i="3"/>
  <c r="AF71" i="3"/>
  <c r="AE71" i="3"/>
  <c r="AF246" i="3"/>
  <c r="AE246" i="3"/>
  <c r="AG246" i="3"/>
  <c r="AH246" i="3"/>
  <c r="BA337" i="5"/>
  <c r="AY337" i="5"/>
  <c r="AX337" i="5"/>
  <c r="AH403" i="3"/>
  <c r="AG403" i="3"/>
  <c r="AF403" i="3"/>
  <c r="AE403" i="3"/>
  <c r="AF234" i="3"/>
  <c r="AE234" i="3"/>
  <c r="AH234" i="3"/>
  <c r="AG234" i="3"/>
  <c r="BA369" i="5"/>
  <c r="AX369" i="5"/>
  <c r="AY369" i="5"/>
  <c r="AW126" i="5"/>
  <c r="AS126" i="5"/>
  <c r="AR126" i="5"/>
  <c r="BD126" i="5"/>
  <c r="BC126" i="5"/>
  <c r="BD30" i="5"/>
  <c r="BC30" i="5"/>
  <c r="AW30" i="5"/>
  <c r="AS30" i="5"/>
  <c r="AR30" i="5"/>
  <c r="AH160" i="3"/>
  <c r="AG160" i="3"/>
  <c r="AF160" i="3"/>
  <c r="AE160" i="3"/>
  <c r="AH85" i="3"/>
  <c r="AG85" i="3"/>
  <c r="AF85" i="3"/>
  <c r="AE85" i="3"/>
  <c r="AF374" i="3"/>
  <c r="AE374" i="3"/>
  <c r="AH374" i="3"/>
  <c r="AG374" i="3"/>
  <c r="AH36" i="3"/>
  <c r="AG36" i="3"/>
  <c r="AF36" i="3"/>
  <c r="AE36" i="3"/>
  <c r="AY48" i="5"/>
  <c r="AX48" i="5"/>
  <c r="BA48" i="5"/>
  <c r="AF375" i="3"/>
  <c r="AE375" i="3"/>
  <c r="AH375" i="3"/>
  <c r="AG375" i="3"/>
  <c r="AR274" i="5"/>
  <c r="AS274" i="5"/>
  <c r="BD274" i="5"/>
  <c r="BC274" i="5"/>
  <c r="AW274" i="5"/>
  <c r="BD261" i="5"/>
  <c r="BC261" i="5"/>
  <c r="AW261" i="5"/>
  <c r="AS261" i="5"/>
  <c r="AR261" i="5"/>
  <c r="AH300" i="3"/>
  <c r="AG300" i="3"/>
  <c r="AF300" i="3"/>
  <c r="AE300" i="3"/>
  <c r="BA365" i="5"/>
  <c r="AY365" i="5"/>
  <c r="AX365" i="5"/>
  <c r="AW140" i="5"/>
  <c r="AS140" i="5"/>
  <c r="AR140" i="5"/>
  <c r="BD140" i="5"/>
  <c r="BC140" i="5"/>
  <c r="BA189" i="5"/>
  <c r="AY189" i="5"/>
  <c r="AX189" i="5"/>
  <c r="AH79" i="3"/>
  <c r="AG79" i="3"/>
  <c r="AF79" i="3"/>
  <c r="AE79" i="3"/>
  <c r="AG191" i="3"/>
  <c r="AF191" i="3"/>
  <c r="AE191" i="3"/>
  <c r="AH191" i="3"/>
  <c r="AF218" i="3"/>
  <c r="AE218" i="3"/>
  <c r="AH218" i="3"/>
  <c r="AG218" i="3"/>
  <c r="AH40" i="3"/>
  <c r="AG40" i="3"/>
  <c r="AF40" i="3"/>
  <c r="AE40" i="3"/>
  <c r="AI2" i="5"/>
  <c r="BA320" i="5"/>
  <c r="AY320" i="5"/>
  <c r="AX320" i="5"/>
  <c r="BA231" i="5"/>
  <c r="AY231" i="5"/>
  <c r="AX231" i="5"/>
  <c r="AH90" i="3"/>
  <c r="AG90" i="3"/>
  <c r="AF90" i="3"/>
  <c r="AE90" i="3"/>
  <c r="AY131" i="5"/>
  <c r="AX131" i="5"/>
  <c r="BA131" i="5"/>
  <c r="AH323" i="3"/>
  <c r="AG323" i="3"/>
  <c r="AF323" i="3"/>
  <c r="AE323" i="3"/>
  <c r="AW296" i="5"/>
  <c r="AS296" i="5"/>
  <c r="AR296" i="5"/>
  <c r="BD296" i="5"/>
  <c r="BC296" i="5"/>
  <c r="AS35" i="5"/>
  <c r="AR35" i="5"/>
  <c r="BD35" i="5"/>
  <c r="BC35" i="5"/>
  <c r="AW35" i="5"/>
  <c r="BD352" i="5"/>
  <c r="BC352" i="5"/>
  <c r="AS352" i="5"/>
  <c r="AW352" i="5"/>
  <c r="AR352" i="5"/>
  <c r="BA240" i="5"/>
  <c r="AY240" i="5"/>
  <c r="AX240" i="5"/>
  <c r="AH399" i="3"/>
  <c r="AG399" i="3"/>
  <c r="AF399" i="3"/>
  <c r="AE399" i="3"/>
  <c r="AH51" i="3"/>
  <c r="AG51" i="3"/>
  <c r="AF51" i="3"/>
  <c r="AE51" i="3"/>
  <c r="BD229" i="5"/>
  <c r="BC229" i="5"/>
  <c r="AW229" i="5"/>
  <c r="AS229" i="5"/>
  <c r="AR229" i="5"/>
  <c r="BA90" i="5"/>
  <c r="AY90" i="5"/>
  <c r="AX90" i="5"/>
  <c r="AW26" i="5"/>
  <c r="AS26" i="5"/>
  <c r="AR26" i="5"/>
  <c r="BD26" i="5"/>
  <c r="BC26" i="5"/>
  <c r="AF400" i="3"/>
  <c r="AE400" i="3"/>
  <c r="AH400" i="3"/>
  <c r="AG400" i="3"/>
  <c r="AH172" i="3"/>
  <c r="AG172" i="3"/>
  <c r="AF172" i="3"/>
  <c r="AE172" i="3"/>
  <c r="BD230" i="5"/>
  <c r="BC230" i="5"/>
  <c r="AW230" i="5"/>
  <c r="AS230" i="5"/>
  <c r="AR230" i="5"/>
  <c r="AR383" i="5"/>
  <c r="BD383" i="5"/>
  <c r="BC383" i="5"/>
  <c r="AS383" i="5"/>
  <c r="AW383" i="5"/>
  <c r="BA297" i="5"/>
  <c r="AY297" i="5"/>
  <c r="AX297" i="5"/>
  <c r="AF392" i="3"/>
  <c r="AE392" i="3"/>
  <c r="AH392" i="3"/>
  <c r="AG392" i="3"/>
  <c r="AH171" i="3"/>
  <c r="AG171" i="3"/>
  <c r="AF171" i="3"/>
  <c r="AE171" i="3"/>
  <c r="AR259" i="5"/>
  <c r="BD259" i="5"/>
  <c r="BC259" i="5"/>
  <c r="AS259" i="5"/>
  <c r="AW259" i="5"/>
  <c r="AG203" i="3"/>
  <c r="AF203" i="3"/>
  <c r="AE203" i="3"/>
  <c r="AH203" i="3"/>
  <c r="AH141" i="3"/>
  <c r="AG141" i="3"/>
  <c r="AF141" i="3"/>
  <c r="AE141" i="3"/>
  <c r="AH340" i="3"/>
  <c r="AG340" i="3"/>
  <c r="AF340" i="3"/>
  <c r="AE340" i="3"/>
  <c r="BA119" i="5"/>
  <c r="AY119" i="5"/>
  <c r="AX119" i="5"/>
  <c r="BA308" i="5"/>
  <c r="AY308" i="5"/>
  <c r="AX308" i="5"/>
  <c r="BA237" i="5"/>
  <c r="AY237" i="5"/>
  <c r="AX237" i="5"/>
  <c r="BA157" i="5"/>
  <c r="AY157" i="5"/>
  <c r="AX157" i="5"/>
  <c r="BA44" i="5"/>
  <c r="AY44" i="5"/>
  <c r="AX44" i="5"/>
  <c r="AH19" i="3"/>
  <c r="AG19" i="3"/>
  <c r="AF19" i="3"/>
  <c r="AE19" i="3"/>
  <c r="AS90" i="5"/>
  <c r="AR90" i="5"/>
  <c r="BD90" i="5"/>
  <c r="BC90" i="5"/>
  <c r="AW90" i="5"/>
  <c r="AH314" i="3"/>
  <c r="AG314" i="3"/>
  <c r="AF314" i="3"/>
  <c r="AE314" i="3"/>
  <c r="AH66" i="3"/>
  <c r="AG66" i="3"/>
  <c r="AF66" i="3"/>
  <c r="AE66" i="3"/>
  <c r="BA372" i="5"/>
  <c r="AY372" i="5"/>
  <c r="AX372" i="5"/>
  <c r="AY56" i="5"/>
  <c r="AX56" i="5"/>
  <c r="BA56" i="5"/>
  <c r="AH113" i="3"/>
  <c r="AG113" i="3"/>
  <c r="AF113" i="3"/>
  <c r="AE113" i="3"/>
  <c r="BA20" i="5"/>
  <c r="AY20" i="5"/>
  <c r="AX20" i="5"/>
  <c r="AH397" i="3"/>
  <c r="AG397" i="3"/>
  <c r="AF397" i="3"/>
  <c r="AE397" i="3"/>
  <c r="AH112" i="3"/>
  <c r="AG112" i="3"/>
  <c r="AF112" i="3"/>
  <c r="AE112" i="3"/>
  <c r="BA375" i="5"/>
  <c r="AY375" i="5"/>
  <c r="AX375" i="5"/>
  <c r="AX132" i="5"/>
  <c r="BA132" i="5"/>
  <c r="AY132" i="5"/>
  <c r="AH77" i="3"/>
  <c r="AG77" i="3"/>
  <c r="AF77" i="3"/>
  <c r="AE77" i="3"/>
  <c r="AW234" i="5"/>
  <c r="AS234" i="5"/>
  <c r="AR234" i="5"/>
  <c r="BD234" i="5"/>
  <c r="BC234" i="5"/>
  <c r="AF237" i="3"/>
  <c r="AE237" i="3"/>
  <c r="AH237" i="3"/>
  <c r="AG237" i="3"/>
  <c r="AH165" i="3"/>
  <c r="AG165" i="3"/>
  <c r="AF165" i="3"/>
  <c r="AE165" i="3"/>
  <c r="AH122" i="3"/>
  <c r="AG122" i="3"/>
  <c r="AF122" i="3"/>
  <c r="AE122" i="3"/>
  <c r="AY404" i="5"/>
  <c r="AX404" i="5"/>
  <c r="BA404" i="5"/>
  <c r="AR176" i="5"/>
  <c r="BD176" i="5"/>
  <c r="AW176" i="5"/>
  <c r="AS176" i="5"/>
  <c r="BC176" i="5"/>
  <c r="AS119" i="5"/>
  <c r="AR119" i="5"/>
  <c r="BD119" i="5"/>
  <c r="BC119" i="5"/>
  <c r="AW119" i="5"/>
  <c r="AH337" i="3"/>
  <c r="AG337" i="3"/>
  <c r="AF337" i="3"/>
  <c r="AE337" i="3"/>
  <c r="AW42" i="5"/>
  <c r="AS42" i="5"/>
  <c r="AR42" i="5"/>
  <c r="BD42" i="5"/>
  <c r="BC42" i="5"/>
  <c r="AS226" i="5"/>
  <c r="AR226" i="5"/>
  <c r="BD226" i="5"/>
  <c r="BC226" i="5"/>
  <c r="AW226" i="5"/>
  <c r="AG199" i="3"/>
  <c r="AF199" i="3"/>
  <c r="AE199" i="3"/>
  <c r="AH199" i="3"/>
  <c r="BD218" i="5"/>
  <c r="BC218" i="5"/>
  <c r="AW218" i="5"/>
  <c r="AR218" i="5"/>
  <c r="AS218" i="5"/>
  <c r="AW109" i="5"/>
  <c r="AS109" i="5"/>
  <c r="AR109" i="5"/>
  <c r="BD109" i="5"/>
  <c r="BC109" i="5"/>
  <c r="BA43" i="5"/>
  <c r="AX43" i="5"/>
  <c r="AY43" i="5"/>
  <c r="BA389" i="5"/>
  <c r="AY389" i="5"/>
  <c r="AX389" i="5"/>
  <c r="AS83" i="5"/>
  <c r="AR83" i="5"/>
  <c r="BD83" i="5"/>
  <c r="BC83" i="5"/>
  <c r="AW83" i="5"/>
  <c r="AH286" i="3"/>
  <c r="AG286" i="3"/>
  <c r="AF286" i="3"/>
  <c r="AE286" i="3"/>
  <c r="AH55" i="3"/>
  <c r="AG55" i="3"/>
  <c r="AF55" i="3"/>
  <c r="AE55" i="3"/>
  <c r="BC254" i="5"/>
  <c r="AW254" i="5"/>
  <c r="BD254" i="5"/>
  <c r="AS254" i="5"/>
  <c r="AR254" i="5"/>
  <c r="BA257" i="5"/>
  <c r="AX257" i="5"/>
  <c r="AY257" i="5"/>
  <c r="BA223" i="5"/>
  <c r="AX223" i="5"/>
  <c r="AY223" i="5"/>
  <c r="BA99" i="5"/>
  <c r="AY99" i="5"/>
  <c r="AX99" i="5"/>
  <c r="AF221" i="3"/>
  <c r="AE221" i="3"/>
  <c r="AH221" i="3"/>
  <c r="AG221" i="3"/>
  <c r="BA199" i="5"/>
  <c r="AY199" i="5"/>
  <c r="AX199" i="5"/>
  <c r="BA193" i="5"/>
  <c r="AY193" i="5"/>
  <c r="AX193" i="5"/>
  <c r="AG207" i="3"/>
  <c r="AF207" i="3"/>
  <c r="AE207" i="3"/>
  <c r="AH207" i="3"/>
  <c r="BC276" i="5"/>
  <c r="AW276" i="5"/>
  <c r="AS276" i="5"/>
  <c r="AR276" i="5"/>
  <c r="BD276" i="5"/>
  <c r="AH15" i="3"/>
  <c r="AG15" i="3"/>
  <c r="AF15" i="3"/>
  <c r="AE15" i="3"/>
  <c r="AH283" i="3"/>
  <c r="AF283" i="3"/>
  <c r="AE283" i="3"/>
  <c r="AG283" i="3"/>
  <c r="AS67" i="5"/>
  <c r="AR67" i="5"/>
  <c r="BD67" i="5"/>
  <c r="BC67" i="5"/>
  <c r="AW67" i="5"/>
  <c r="AR250" i="5"/>
  <c r="BD250" i="5"/>
  <c r="BC250" i="5"/>
  <c r="AW250" i="5"/>
  <c r="AS250" i="5"/>
  <c r="BA177" i="5"/>
  <c r="AY177" i="5"/>
  <c r="AX177" i="5"/>
  <c r="AY125" i="5"/>
  <c r="AX125" i="5"/>
  <c r="BA125" i="5"/>
  <c r="AH270" i="3"/>
  <c r="AG270" i="3"/>
  <c r="AF270" i="3"/>
  <c r="AE270" i="3"/>
  <c r="AW33" i="5"/>
  <c r="AS33" i="5"/>
  <c r="AR33" i="5"/>
  <c r="BD33" i="5"/>
  <c r="BC33" i="5"/>
  <c r="AH275" i="3"/>
  <c r="AF275" i="3"/>
  <c r="AE275" i="3"/>
  <c r="AG275" i="3"/>
  <c r="AW195" i="5"/>
  <c r="BD195" i="5"/>
  <c r="BC195" i="5"/>
  <c r="AS195" i="5"/>
  <c r="AR195" i="5"/>
  <c r="BA192" i="5"/>
  <c r="AY192" i="5"/>
  <c r="AX192" i="5"/>
  <c r="AH70" i="3"/>
  <c r="AG70" i="3"/>
  <c r="AF70" i="3"/>
  <c r="AE70" i="3"/>
  <c r="AG204" i="3"/>
  <c r="AF204" i="3"/>
  <c r="AE204" i="3"/>
  <c r="AH204" i="3"/>
  <c r="BC294" i="5"/>
  <c r="AW294" i="5"/>
  <c r="AS294" i="5"/>
  <c r="AR294" i="5"/>
  <c r="BD294" i="5"/>
  <c r="AH349" i="3"/>
  <c r="AG349" i="3"/>
  <c r="AF349" i="3"/>
  <c r="AE349" i="3"/>
  <c r="BA252" i="5"/>
  <c r="AY252" i="5"/>
  <c r="AX252" i="5"/>
  <c r="BD115" i="5"/>
  <c r="BC115" i="5"/>
  <c r="AW115" i="5"/>
  <c r="AS115" i="5"/>
  <c r="AR115" i="5"/>
  <c r="AF257" i="3"/>
  <c r="AE257" i="3"/>
  <c r="AH257" i="3"/>
  <c r="AG257" i="3"/>
  <c r="AY11" i="5"/>
  <c r="AX11" i="5"/>
  <c r="BA11" i="5"/>
  <c r="AH48" i="3"/>
  <c r="AG48" i="3"/>
  <c r="AF48" i="3"/>
  <c r="AE48" i="3"/>
  <c r="BA66" i="5"/>
  <c r="AX66" i="5"/>
  <c r="AY66" i="5"/>
  <c r="AW57" i="5"/>
  <c r="AS57" i="5"/>
  <c r="AR57" i="5"/>
  <c r="BD57" i="5"/>
  <c r="BC57" i="5"/>
  <c r="AH95" i="3"/>
  <c r="AG95" i="3"/>
  <c r="AF95" i="3"/>
  <c r="AE95" i="3"/>
  <c r="BA96" i="5"/>
  <c r="AY96" i="5"/>
  <c r="AX96" i="5"/>
  <c r="AH395" i="3"/>
  <c r="AG395" i="3"/>
  <c r="AF395" i="3"/>
  <c r="AE395" i="3"/>
  <c r="AX395" i="5"/>
  <c r="BA395" i="5"/>
  <c r="AY395" i="5"/>
  <c r="BA260" i="5"/>
  <c r="AY260" i="5"/>
  <c r="AX260" i="5"/>
  <c r="AS134" i="5"/>
  <c r="AW134" i="5"/>
  <c r="AR134" i="5"/>
  <c r="BD134" i="5"/>
  <c r="BC134" i="5"/>
  <c r="AY80" i="5"/>
  <c r="AX80" i="5"/>
  <c r="BA80" i="5"/>
  <c r="AW263" i="5"/>
  <c r="AS263" i="5"/>
  <c r="AR263" i="5"/>
  <c r="BD263" i="5"/>
  <c r="BC263" i="5"/>
  <c r="BA121" i="5"/>
  <c r="AY121" i="5"/>
  <c r="AX121" i="5"/>
  <c r="AH101" i="3"/>
  <c r="AG101" i="3"/>
  <c r="AF101" i="3"/>
  <c r="AE101" i="3"/>
  <c r="BA315" i="5"/>
  <c r="AX315" i="5"/>
  <c r="AY315" i="5"/>
  <c r="BA265" i="5"/>
  <c r="AY265" i="5"/>
  <c r="AX265" i="5"/>
  <c r="BA261" i="5"/>
  <c r="AY261" i="5"/>
  <c r="AX261" i="5"/>
  <c r="AW241" i="5"/>
  <c r="AS241" i="5"/>
  <c r="AR241" i="5"/>
  <c r="BD241" i="5"/>
  <c r="BC241" i="5"/>
  <c r="AG187" i="3"/>
  <c r="AF187" i="3"/>
  <c r="AH187" i="3"/>
  <c r="AE187" i="3"/>
  <c r="BA316" i="5"/>
  <c r="AY316" i="5"/>
  <c r="AX316" i="5"/>
  <c r="BA242" i="5"/>
  <c r="AY242" i="5"/>
  <c r="AX242" i="5"/>
  <c r="AX183" i="5"/>
  <c r="AY183" i="5"/>
  <c r="BA183" i="5"/>
  <c r="AW157" i="5"/>
  <c r="AS157" i="5"/>
  <c r="BD157" i="5"/>
  <c r="BC157" i="5"/>
  <c r="AR157" i="5"/>
  <c r="BA123" i="5"/>
  <c r="AY123" i="5"/>
  <c r="AX123" i="5"/>
  <c r="BA300" i="5"/>
  <c r="AY300" i="5"/>
  <c r="AX300" i="5"/>
  <c r="AS325" i="5"/>
  <c r="AR325" i="5"/>
  <c r="AW325" i="5"/>
  <c r="BD325" i="5"/>
  <c r="BC325" i="5"/>
  <c r="BA36" i="5"/>
  <c r="AY36" i="5"/>
  <c r="AX36" i="5"/>
  <c r="BC87" i="5"/>
  <c r="AW87" i="5"/>
  <c r="AS87" i="5"/>
  <c r="AR87" i="5"/>
  <c r="BD87" i="5"/>
  <c r="AY271" i="5"/>
  <c r="AX271" i="5"/>
  <c r="BA271" i="5"/>
  <c r="AW205" i="5"/>
  <c r="AS205" i="5"/>
  <c r="AR205" i="5"/>
  <c r="BD205" i="5"/>
  <c r="BC205" i="5"/>
  <c r="AH73" i="3"/>
  <c r="AG73" i="3"/>
  <c r="AF73" i="3"/>
  <c r="AE73" i="3"/>
  <c r="AW158" i="5"/>
  <c r="AS158" i="5"/>
  <c r="AR158" i="5"/>
  <c r="BD158" i="5"/>
  <c r="BC158" i="5"/>
  <c r="BA58" i="5"/>
  <c r="AY58" i="5"/>
  <c r="AX58" i="5"/>
  <c r="AW41" i="5"/>
  <c r="AS41" i="5"/>
  <c r="AR41" i="5"/>
  <c r="BD41" i="5"/>
  <c r="BC41" i="5"/>
  <c r="AF384" i="3"/>
  <c r="AE384" i="3"/>
  <c r="AH384" i="3"/>
  <c r="AG384" i="3"/>
  <c r="AH110" i="3"/>
  <c r="AG110" i="3"/>
  <c r="AF110" i="3"/>
  <c r="AE110" i="3"/>
  <c r="AW322" i="5"/>
  <c r="BD322" i="5"/>
  <c r="BC322" i="5"/>
  <c r="AR322" i="5"/>
  <c r="AS322" i="5"/>
  <c r="BD237" i="5"/>
  <c r="BC237" i="5"/>
  <c r="AW237" i="5"/>
  <c r="AS237" i="5"/>
  <c r="AR237" i="5"/>
  <c r="AW16" i="5"/>
  <c r="AR16" i="5"/>
  <c r="AS16" i="5"/>
  <c r="BD16" i="5"/>
  <c r="BC16" i="5"/>
  <c r="AF223" i="3"/>
  <c r="AE223" i="3"/>
  <c r="AH223" i="3"/>
  <c r="AG223" i="3"/>
  <c r="AH147" i="3"/>
  <c r="AG147" i="3"/>
  <c r="AF147" i="3"/>
  <c r="AE147" i="3"/>
  <c r="AH212" i="3"/>
  <c r="AG212" i="3"/>
  <c r="AF212" i="3"/>
  <c r="AE212" i="3"/>
  <c r="BC278" i="5"/>
  <c r="BD278" i="5"/>
  <c r="AW278" i="5"/>
  <c r="AS278" i="5"/>
  <c r="AR278" i="5"/>
  <c r="BC262" i="5"/>
  <c r="AW262" i="5"/>
  <c r="BD262" i="5"/>
  <c r="AR262" i="5"/>
  <c r="AS262" i="5"/>
  <c r="AS215" i="5"/>
  <c r="AR215" i="5"/>
  <c r="BD215" i="5"/>
  <c r="BC215" i="5"/>
  <c r="AW215" i="5"/>
  <c r="AW147" i="5"/>
  <c r="AS147" i="5"/>
  <c r="AR147" i="5"/>
  <c r="BD147" i="5"/>
  <c r="BC147" i="5"/>
  <c r="AY64" i="5"/>
  <c r="AX64" i="5"/>
  <c r="BA64" i="5"/>
  <c r="BD372" i="5"/>
  <c r="BC372" i="5"/>
  <c r="AS372" i="5"/>
  <c r="AR372" i="5"/>
  <c r="AW372" i="5"/>
  <c r="AS167" i="5"/>
  <c r="AR167" i="5"/>
  <c r="BD167" i="5"/>
  <c r="BC167" i="5"/>
  <c r="AW167" i="5"/>
  <c r="AF371" i="3"/>
  <c r="AE371" i="3"/>
  <c r="AG371" i="3"/>
  <c r="AH371" i="3"/>
  <c r="BA321" i="5"/>
  <c r="AY321" i="5"/>
  <c r="AX321" i="5"/>
  <c r="BA353" i="5"/>
  <c r="AY353" i="5"/>
  <c r="AX353" i="5"/>
  <c r="AS159" i="5"/>
  <c r="AR159" i="5"/>
  <c r="BD159" i="5"/>
  <c r="BC159" i="5"/>
  <c r="AW159" i="5"/>
  <c r="AR398" i="5"/>
  <c r="BD398" i="5"/>
  <c r="BC398" i="5"/>
  <c r="AW398" i="5"/>
  <c r="AS398" i="5"/>
  <c r="BC310" i="5"/>
  <c r="AW310" i="5"/>
  <c r="AS310" i="5"/>
  <c r="BD310" i="5"/>
  <c r="AR310" i="5"/>
  <c r="BA120" i="5"/>
  <c r="AY120" i="5"/>
  <c r="AX120" i="5"/>
  <c r="BA70" i="5"/>
  <c r="AY70" i="5"/>
  <c r="AX70" i="5"/>
  <c r="AH311" i="3"/>
  <c r="AG311" i="3"/>
  <c r="AF311" i="3"/>
  <c r="AE311" i="3"/>
  <c r="AH31" i="3"/>
  <c r="AG31" i="3"/>
  <c r="AF31" i="3"/>
  <c r="AE31" i="3"/>
  <c r="AW9" i="5"/>
  <c r="BD9" i="5"/>
  <c r="BC9" i="5"/>
  <c r="AS9" i="5"/>
  <c r="AR9" i="5"/>
  <c r="AH325" i="3"/>
  <c r="AG325" i="3"/>
  <c r="AF325" i="3"/>
  <c r="AE325" i="3"/>
  <c r="AW25" i="5"/>
  <c r="AS25" i="5"/>
  <c r="AR25" i="5"/>
  <c r="BD25" i="5"/>
  <c r="BC25" i="5"/>
  <c r="BA176" i="5"/>
  <c r="AX176" i="5"/>
  <c r="AY176" i="5"/>
  <c r="AH277" i="3"/>
  <c r="AG277" i="3"/>
  <c r="AF277" i="3"/>
  <c r="AE277" i="3"/>
  <c r="BA317" i="5"/>
  <c r="AY317" i="5"/>
  <c r="AX317" i="5"/>
  <c r="BA116" i="5"/>
  <c r="AY116" i="5"/>
  <c r="AX116" i="5"/>
  <c r="BD374" i="5"/>
  <c r="BC374" i="5"/>
  <c r="AW374" i="5"/>
  <c r="AR374" i="5"/>
  <c r="AS374" i="5"/>
  <c r="AR281" i="5"/>
  <c r="BD281" i="5"/>
  <c r="BC281" i="5"/>
  <c r="AW281" i="5"/>
  <c r="AS281" i="5"/>
  <c r="BD62" i="5"/>
  <c r="BC62" i="5"/>
  <c r="AW62" i="5"/>
  <c r="AS62" i="5"/>
  <c r="AR62" i="5"/>
  <c r="AH326" i="3"/>
  <c r="AG326" i="3"/>
  <c r="AF326" i="3"/>
  <c r="AE326" i="3"/>
  <c r="AS379" i="5"/>
  <c r="AR379" i="5"/>
  <c r="BD379" i="5"/>
  <c r="BC379" i="5"/>
  <c r="AW379" i="5"/>
  <c r="AS236" i="5"/>
  <c r="AR236" i="5"/>
  <c r="BC236" i="5"/>
  <c r="BD236" i="5"/>
  <c r="AW236" i="5"/>
  <c r="AH398" i="3"/>
  <c r="AG398" i="3"/>
  <c r="AF398" i="3"/>
  <c r="AE398" i="3"/>
  <c r="AF235" i="3"/>
  <c r="AE235" i="3"/>
  <c r="AH235" i="3"/>
  <c r="AG235" i="3"/>
  <c r="AH61" i="3"/>
  <c r="AG61" i="3"/>
  <c r="AF61" i="3"/>
  <c r="AE61" i="3"/>
  <c r="BD400" i="5"/>
  <c r="BC400" i="5"/>
  <c r="AW400" i="5"/>
  <c r="AS400" i="5"/>
  <c r="AR400" i="5"/>
  <c r="AS258" i="5"/>
  <c r="AR258" i="5"/>
  <c r="BD258" i="5"/>
  <c r="BC258" i="5"/>
  <c r="AW258" i="5"/>
  <c r="AG182" i="3"/>
  <c r="AF182" i="3"/>
  <c r="AH182" i="3"/>
  <c r="AE182" i="3"/>
  <c r="BD222" i="5"/>
  <c r="BC222" i="5"/>
  <c r="AW222" i="5"/>
  <c r="AS222" i="5"/>
  <c r="AR222" i="5"/>
  <c r="BA79" i="5"/>
  <c r="AY79" i="5"/>
  <c r="AX79" i="5"/>
  <c r="AF252" i="3"/>
  <c r="AE252" i="3"/>
  <c r="AH252" i="3"/>
  <c r="AG252" i="3"/>
  <c r="AS326" i="5"/>
  <c r="AR326" i="5"/>
  <c r="AW326" i="5"/>
  <c r="BC326" i="5"/>
  <c r="BD326" i="5"/>
  <c r="AY156" i="5"/>
  <c r="AX156" i="5"/>
  <c r="BA156" i="5"/>
  <c r="AH68" i="3"/>
  <c r="AG68" i="3"/>
  <c r="AF68" i="3"/>
  <c r="AE68" i="3"/>
  <c r="AH307" i="3"/>
  <c r="AG307" i="3"/>
  <c r="AF307" i="3"/>
  <c r="AE307" i="3"/>
  <c r="AF244" i="3"/>
  <c r="AE244" i="3"/>
  <c r="AH244" i="3"/>
  <c r="AG244" i="3"/>
  <c r="AH27" i="3"/>
  <c r="AG27" i="3"/>
  <c r="AF27" i="3"/>
  <c r="AE27" i="3"/>
  <c r="AH9" i="3"/>
  <c r="AG9" i="3"/>
  <c r="AF9" i="3"/>
  <c r="AE9" i="3"/>
  <c r="AS266" i="5"/>
  <c r="AR266" i="5"/>
  <c r="BD266" i="5"/>
  <c r="BC266" i="5"/>
  <c r="AW266" i="5"/>
  <c r="BD194" i="5"/>
  <c r="BC194" i="5"/>
  <c r="AW194" i="5"/>
  <c r="AR194" i="5"/>
  <c r="AS194" i="5"/>
  <c r="AU194" i="5" s="1"/>
  <c r="AV194" i="5" s="1"/>
  <c r="BA127" i="5"/>
  <c r="AY127" i="5"/>
  <c r="AX127" i="5"/>
  <c r="AW81" i="5"/>
  <c r="AS81" i="5"/>
  <c r="AR81" i="5"/>
  <c r="BD81" i="5"/>
  <c r="BC81" i="5"/>
  <c r="AH322" i="3"/>
  <c r="AG322" i="3"/>
  <c r="AF322" i="3"/>
  <c r="AE322" i="3"/>
  <c r="AW213" i="5"/>
  <c r="AS213" i="5"/>
  <c r="AR213" i="5"/>
  <c r="BC213" i="5"/>
  <c r="BD213" i="5"/>
  <c r="BC203" i="5"/>
  <c r="AW203" i="5"/>
  <c r="AR203" i="5"/>
  <c r="BD203" i="5"/>
  <c r="AS203" i="5"/>
  <c r="AS150" i="5"/>
  <c r="AR150" i="5"/>
  <c r="BD150" i="5"/>
  <c r="BC150" i="5"/>
  <c r="AW150" i="5"/>
  <c r="BA77" i="5"/>
  <c r="AY77" i="5"/>
  <c r="AX77" i="5"/>
  <c r="BA51" i="5"/>
  <c r="AY51" i="5"/>
  <c r="AX51" i="5"/>
  <c r="AH334" i="3"/>
  <c r="AG334" i="3"/>
  <c r="AF334" i="3"/>
  <c r="AE334" i="3"/>
  <c r="AH86" i="3"/>
  <c r="AG86" i="3"/>
  <c r="AF86" i="3"/>
  <c r="AE86" i="3"/>
  <c r="BD309" i="5"/>
  <c r="BC309" i="5"/>
  <c r="AW309" i="5"/>
  <c r="AS309" i="5"/>
  <c r="AR309" i="5"/>
  <c r="BA179" i="5"/>
  <c r="AY179" i="5"/>
  <c r="AX179" i="5"/>
  <c r="BA202" i="5"/>
  <c r="AY202" i="5"/>
  <c r="AX202" i="5"/>
  <c r="BD69" i="5"/>
  <c r="BC69" i="5"/>
  <c r="AW69" i="5"/>
  <c r="AS69" i="5"/>
  <c r="AR69" i="5"/>
  <c r="AH280" i="3"/>
  <c r="AG280" i="3"/>
  <c r="AF280" i="3"/>
  <c r="AE280" i="3"/>
  <c r="AX360" i="5"/>
  <c r="BA360" i="5"/>
  <c r="AY360" i="5"/>
  <c r="AW368" i="5"/>
  <c r="AS368" i="5"/>
  <c r="BD368" i="5"/>
  <c r="BC368" i="5"/>
  <c r="AR368" i="5"/>
  <c r="AU51" i="5" l="1"/>
  <c r="AV51" i="5" s="1"/>
  <c r="AU141" i="5"/>
  <c r="AV141" i="5" s="1"/>
  <c r="AU211" i="5"/>
  <c r="AV211" i="5" s="1"/>
  <c r="AU50" i="5"/>
  <c r="AV50" i="5" s="1"/>
  <c r="AU249" i="5"/>
  <c r="AV249" i="5" s="1"/>
  <c r="AU118" i="5"/>
  <c r="AV118" i="5" s="1"/>
  <c r="AU75" i="5"/>
  <c r="AV75" i="5" s="1"/>
  <c r="AU370" i="5"/>
  <c r="AV370" i="5" s="1"/>
  <c r="AU360" i="5"/>
  <c r="AV360" i="5" s="1"/>
  <c r="AU188" i="5"/>
  <c r="AV188" i="5" s="1"/>
  <c r="AU199" i="5"/>
  <c r="AV199" i="5" s="1"/>
  <c r="AU225" i="5"/>
  <c r="AV225" i="5" s="1"/>
  <c r="AU254" i="5"/>
  <c r="AV254" i="5" s="1"/>
  <c r="AU31" i="5"/>
  <c r="AV31" i="5" s="1"/>
  <c r="AU240" i="5"/>
  <c r="AV240" i="5" s="1"/>
  <c r="AU246" i="5"/>
  <c r="AV246" i="5" s="1"/>
  <c r="AU396" i="5"/>
  <c r="AV396" i="5" s="1"/>
  <c r="AU222" i="5"/>
  <c r="AV222" i="5" s="1"/>
  <c r="AU400" i="5"/>
  <c r="AV400" i="5" s="1"/>
  <c r="AU145" i="5"/>
  <c r="AV145" i="5" s="1"/>
  <c r="AU216" i="5"/>
  <c r="AV216" i="5" s="1"/>
  <c r="AU336" i="5"/>
  <c r="AV336" i="5" s="1"/>
  <c r="AU267" i="5"/>
  <c r="AV267" i="5" s="1"/>
  <c r="AU193" i="5"/>
  <c r="AV193" i="5" s="1"/>
  <c r="AU39" i="5"/>
  <c r="AV39" i="5" s="1"/>
  <c r="AU15" i="5"/>
  <c r="AV15" i="5" s="1"/>
  <c r="AU85" i="5"/>
  <c r="AV85" i="5" s="1"/>
  <c r="AU78" i="5"/>
  <c r="AV78" i="5" s="1"/>
  <c r="AU245" i="5"/>
  <c r="AV245" i="5" s="1"/>
  <c r="AU84" i="5"/>
  <c r="AV84" i="5" s="1"/>
  <c r="AU270" i="5"/>
  <c r="AV270" i="5" s="1"/>
  <c r="AU365" i="5"/>
  <c r="AV365" i="5" s="1"/>
  <c r="AU178" i="5"/>
  <c r="AV178" i="5" s="1"/>
  <c r="AU201" i="5"/>
  <c r="AV201" i="5" s="1"/>
  <c r="AU66" i="5"/>
  <c r="AV66" i="5" s="1"/>
  <c r="AU132" i="5"/>
  <c r="AV132" i="5" s="1"/>
  <c r="AU335" i="5"/>
  <c r="AV335" i="5" s="1"/>
  <c r="AU179" i="5"/>
  <c r="AV179" i="5" s="1"/>
  <c r="AU37" i="5"/>
  <c r="AV37" i="5" s="1"/>
  <c r="AU205" i="5"/>
  <c r="AV205" i="5" s="1"/>
  <c r="AU26" i="5"/>
  <c r="AV26" i="5" s="1"/>
  <c r="AU110" i="5"/>
  <c r="AV110" i="5" s="1"/>
  <c r="AU380" i="5"/>
  <c r="AV380" i="5" s="1"/>
  <c r="AU372" i="5"/>
  <c r="AV372" i="5" s="1"/>
  <c r="AU183" i="5"/>
  <c r="AV183" i="5" s="1"/>
  <c r="AU385" i="5"/>
  <c r="AV385" i="5" s="1"/>
  <c r="AU44" i="5"/>
  <c r="AV44" i="5" s="1"/>
  <c r="AU20" i="5"/>
  <c r="AV20" i="5" s="1"/>
  <c r="AU130" i="5"/>
  <c r="AV130" i="5" s="1"/>
  <c r="AU395" i="5"/>
  <c r="AV395" i="5" s="1"/>
  <c r="AU12" i="5"/>
  <c r="AV12" i="5" s="1"/>
  <c r="AU368" i="5"/>
  <c r="AV368" i="5" s="1"/>
  <c r="AU63" i="5"/>
  <c r="AV63" i="5" s="1"/>
  <c r="AU322" i="5"/>
  <c r="AV322" i="5" s="1"/>
  <c r="AU261" i="5"/>
  <c r="AV261" i="5" s="1"/>
  <c r="AU303" i="5"/>
  <c r="AV303" i="5" s="1"/>
  <c r="AU299" i="5"/>
  <c r="AV299" i="5" s="1"/>
  <c r="AU233" i="5"/>
  <c r="AV233" i="5" s="1"/>
  <c r="AU157" i="5"/>
  <c r="AV157" i="5" s="1"/>
  <c r="AU355" i="5"/>
  <c r="AV355" i="5" s="1"/>
  <c r="AU59" i="5"/>
  <c r="AV59" i="5" s="1"/>
  <c r="AU386" i="5"/>
  <c r="AV386" i="5" s="1"/>
  <c r="AU357" i="5"/>
  <c r="AV357" i="5" s="1"/>
  <c r="AU287" i="5"/>
  <c r="AV287" i="5" s="1"/>
  <c r="AU338" i="5"/>
  <c r="AV338" i="5" s="1"/>
  <c r="AU69" i="5"/>
  <c r="AV69" i="5" s="1"/>
  <c r="AU260" i="5"/>
  <c r="AV260" i="5" s="1"/>
  <c r="AU143" i="5"/>
  <c r="AV143" i="5" s="1"/>
  <c r="AU317" i="5"/>
  <c r="AV317" i="5" s="1"/>
  <c r="AU62" i="5"/>
  <c r="AV62" i="5" s="1"/>
  <c r="AU280" i="5"/>
  <c r="AV280" i="5" s="1"/>
  <c r="AU277" i="5"/>
  <c r="AV277" i="5" s="1"/>
  <c r="AU200" i="5"/>
  <c r="AV200" i="5" s="1"/>
  <c r="AU67" i="5"/>
  <c r="AV67" i="5" s="1"/>
  <c r="AU71" i="5"/>
  <c r="AV71" i="5" s="1"/>
  <c r="AU308" i="5"/>
  <c r="AV308" i="5" s="1"/>
  <c r="AU6" i="5"/>
  <c r="AV6" i="5" s="1"/>
  <c r="AU327" i="5"/>
  <c r="AV327" i="5" s="1"/>
  <c r="AU104" i="5"/>
  <c r="AV104" i="5" s="1"/>
  <c r="AU107" i="5"/>
  <c r="AV107" i="5" s="1"/>
  <c r="AU173" i="5"/>
  <c r="AV173" i="5" s="1"/>
  <c r="AU180" i="5"/>
  <c r="AV180" i="5" s="1"/>
  <c r="AU197" i="5"/>
  <c r="AV197" i="5" s="1"/>
  <c r="AU286" i="5"/>
  <c r="AV286" i="5" s="1"/>
  <c r="AU298" i="5"/>
  <c r="AV298" i="5" s="1"/>
  <c r="AU28" i="5"/>
  <c r="AV28" i="5" s="1"/>
  <c r="AU269" i="5"/>
  <c r="AV269" i="5" s="1"/>
  <c r="AU350" i="5"/>
  <c r="AV350" i="5" s="1"/>
  <c r="AU9" i="5"/>
  <c r="AV9" i="5" s="1"/>
  <c r="AU343" i="5"/>
  <c r="AV343" i="5" s="1"/>
  <c r="AU49" i="5"/>
  <c r="AV49" i="5" s="1"/>
  <c r="AU314" i="5"/>
  <c r="AV314" i="5" s="1"/>
  <c r="AU404" i="5"/>
  <c r="AV404" i="5" s="1"/>
  <c r="AU161" i="5"/>
  <c r="AV161" i="5" s="1"/>
  <c r="AU219" i="5"/>
  <c r="AV219" i="5" s="1"/>
  <c r="AU273" i="5"/>
  <c r="AV273" i="5" s="1"/>
  <c r="AU93" i="5"/>
  <c r="AV93" i="5" s="1"/>
  <c r="AU321" i="5"/>
  <c r="AV321" i="5" s="1"/>
  <c r="AU82" i="5"/>
  <c r="AV82" i="5" s="1"/>
  <c r="AU348" i="5"/>
  <c r="AV348" i="5" s="1"/>
  <c r="AU403" i="5"/>
  <c r="AV403" i="5" s="1"/>
  <c r="AU73" i="5"/>
  <c r="AV73" i="5" s="1"/>
  <c r="AU312" i="5"/>
  <c r="AV312" i="5" s="1"/>
  <c r="AU369" i="5"/>
  <c r="AV369" i="5" s="1"/>
  <c r="AU38" i="5"/>
  <c r="AV38" i="5" s="1"/>
  <c r="AU284" i="5"/>
  <c r="AV284" i="5" s="1"/>
  <c r="AU106" i="5"/>
  <c r="AV106" i="5" s="1"/>
  <c r="AU72" i="5"/>
  <c r="AV72" i="5" s="1"/>
  <c r="AU331" i="5"/>
  <c r="AV331" i="5" s="1"/>
  <c r="AU271" i="5"/>
  <c r="AV271" i="5" s="1"/>
  <c r="AU379" i="5"/>
  <c r="AV379" i="5" s="1"/>
  <c r="AU147" i="5"/>
  <c r="AV147" i="5" s="1"/>
  <c r="AU278" i="5"/>
  <c r="AV278" i="5" s="1"/>
  <c r="AU226" i="5"/>
  <c r="AV226" i="5" s="1"/>
  <c r="AU119" i="5"/>
  <c r="AV119" i="5" s="1"/>
  <c r="AU30" i="5"/>
  <c r="AV30" i="5" s="1"/>
  <c r="AU117" i="5"/>
  <c r="AV117" i="5" s="1"/>
  <c r="AU8" i="5"/>
  <c r="AV8" i="5" s="1"/>
  <c r="AU80" i="5"/>
  <c r="AV80" i="5" s="1"/>
  <c r="AU394" i="5"/>
  <c r="AV394" i="5" s="1"/>
  <c r="AU164" i="5"/>
  <c r="AV164" i="5" s="1"/>
  <c r="AU160" i="5"/>
  <c r="AV160" i="5" s="1"/>
  <c r="AU198" i="5"/>
  <c r="AV198" i="5" s="1"/>
  <c r="AU388" i="5"/>
  <c r="AV388" i="5" s="1"/>
  <c r="AU114" i="5"/>
  <c r="AV114" i="5" s="1"/>
  <c r="AU53" i="5"/>
  <c r="AV53" i="5" s="1"/>
  <c r="AU70" i="5"/>
  <c r="AV70" i="5" s="1"/>
  <c r="AU97" i="5"/>
  <c r="AV97" i="5" s="1"/>
  <c r="AU175" i="5"/>
  <c r="AV175" i="5" s="1"/>
  <c r="AU301" i="5"/>
  <c r="AV301" i="5" s="1"/>
  <c r="AU149" i="5"/>
  <c r="AV149" i="5" s="1"/>
  <c r="AU182" i="5"/>
  <c r="AV182" i="5" s="1"/>
  <c r="AU346" i="5"/>
  <c r="AV346" i="5" s="1"/>
  <c r="AU288" i="5"/>
  <c r="AV288" i="5" s="1"/>
  <c r="AU56" i="5"/>
  <c r="AV56" i="5" s="1"/>
  <c r="AU41" i="5"/>
  <c r="AV41" i="5" s="1"/>
  <c r="AU318" i="5"/>
  <c r="AV318" i="5" s="1"/>
  <c r="AU309" i="5"/>
  <c r="AV309" i="5" s="1"/>
  <c r="AU258" i="5"/>
  <c r="AV258" i="5" s="1"/>
  <c r="AU250" i="5"/>
  <c r="AV250" i="5" s="1"/>
  <c r="AU230" i="5"/>
  <c r="AV230" i="5" s="1"/>
  <c r="AU371" i="5"/>
  <c r="AV371" i="5" s="1"/>
  <c r="AU345" i="5"/>
  <c r="AV345" i="5" s="1"/>
  <c r="AU23" i="5"/>
  <c r="AV23" i="5" s="1"/>
  <c r="AU169" i="5"/>
  <c r="AV169" i="5" s="1"/>
  <c r="AU264" i="5"/>
  <c r="AV264" i="5" s="1"/>
  <c r="AU293" i="5"/>
  <c r="AV293" i="5" s="1"/>
  <c r="AU275" i="5"/>
  <c r="AV275" i="5" s="1"/>
  <c r="AU135" i="5"/>
  <c r="AV135" i="5" s="1"/>
  <c r="AU187" i="5"/>
  <c r="AV187" i="5" s="1"/>
  <c r="AU83" i="5"/>
  <c r="AV83" i="5" s="1"/>
  <c r="AU342" i="5"/>
  <c r="AV342" i="5" s="1"/>
  <c r="AU25" i="5"/>
  <c r="AV25" i="5" s="1"/>
  <c r="AU215" i="5"/>
  <c r="AV215" i="5" s="1"/>
  <c r="AU158" i="5"/>
  <c r="AV158" i="5" s="1"/>
  <c r="AU276" i="5"/>
  <c r="AV276" i="5" s="1"/>
  <c r="AU296" i="5"/>
  <c r="AV296" i="5" s="1"/>
  <c r="AU36" i="5"/>
  <c r="AV36" i="5" s="1"/>
  <c r="AU65" i="5"/>
  <c r="AV65" i="5" s="1"/>
  <c r="AU40" i="5"/>
  <c r="AV40" i="5" s="1"/>
  <c r="AU186" i="5"/>
  <c r="AV186" i="5" s="1"/>
  <c r="AU302" i="5"/>
  <c r="AV302" i="5" s="1"/>
  <c r="AU138" i="5"/>
  <c r="AV138" i="5" s="1"/>
  <c r="AU148" i="5"/>
  <c r="AV148" i="5" s="1"/>
  <c r="AU206" i="5"/>
  <c r="AV206" i="5" s="1"/>
  <c r="AU375" i="5"/>
  <c r="AV375" i="5" s="1"/>
  <c r="AU378" i="5"/>
  <c r="AV378" i="5" s="1"/>
  <c r="AU112" i="5"/>
  <c r="AV112" i="5" s="1"/>
  <c r="AU136" i="5"/>
  <c r="AV136" i="5" s="1"/>
  <c r="AU243" i="5"/>
  <c r="AV243" i="5" s="1"/>
  <c r="AU313" i="5"/>
  <c r="AV313" i="5" s="1"/>
  <c r="AU163" i="5"/>
  <c r="AV163" i="5" s="1"/>
  <c r="AU125" i="5"/>
  <c r="AV125" i="5" s="1"/>
  <c r="AU43" i="5"/>
  <c r="AV43" i="5" s="1"/>
  <c r="AU398" i="5"/>
  <c r="AV398" i="5" s="1"/>
  <c r="AU237" i="5"/>
  <c r="AV237" i="5" s="1"/>
  <c r="AU229" i="5"/>
  <c r="AV229" i="5" s="1"/>
  <c r="AU177" i="5"/>
  <c r="AV177" i="5" s="1"/>
  <c r="AU21" i="5"/>
  <c r="AV21" i="5" s="1"/>
  <c r="AU122" i="5"/>
  <c r="AV122" i="5" s="1"/>
  <c r="AU162" i="5"/>
  <c r="AV162" i="5" s="1"/>
  <c r="AU45" i="5"/>
  <c r="AV45" i="5" s="1"/>
  <c r="AU282" i="5"/>
  <c r="AV282" i="5" s="1"/>
  <c r="AU291" i="5"/>
  <c r="AV291" i="5" s="1"/>
  <c r="AU359" i="5"/>
  <c r="AV359" i="5" s="1"/>
  <c r="AU283" i="5"/>
  <c r="AV283" i="5" s="1"/>
  <c r="AU16" i="5"/>
  <c r="AV16" i="5" s="1"/>
  <c r="AU33" i="5"/>
  <c r="AV33" i="5" s="1"/>
  <c r="AU265" i="5"/>
  <c r="AV265" i="5" s="1"/>
  <c r="AU377" i="5"/>
  <c r="AV377" i="5" s="1"/>
  <c r="AU17" i="5"/>
  <c r="AV17" i="5" s="1"/>
  <c r="AU242" i="5"/>
  <c r="AV242" i="5" s="1"/>
  <c r="AU203" i="5"/>
  <c r="AV203" i="5" s="1"/>
  <c r="AU204" i="5"/>
  <c r="AV204" i="5" s="1"/>
  <c r="AU124" i="5"/>
  <c r="AV124" i="5" s="1"/>
  <c r="AU156" i="5"/>
  <c r="AV156" i="5" s="1"/>
  <c r="AU347" i="5"/>
  <c r="AV347" i="5" s="1"/>
  <c r="AU103" i="5"/>
  <c r="AV103" i="5" s="1"/>
  <c r="AU326" i="5"/>
  <c r="AV326" i="5" s="1"/>
  <c r="AU281" i="5"/>
  <c r="AV281" i="5" s="1"/>
  <c r="AU352" i="5"/>
  <c r="AV352" i="5" s="1"/>
  <c r="AU68" i="5"/>
  <c r="AV68" i="5" s="1"/>
  <c r="AU358" i="5"/>
  <c r="AV358" i="5" s="1"/>
  <c r="AU55" i="5"/>
  <c r="AV55" i="5" s="1"/>
  <c r="AU391" i="5"/>
  <c r="AV391" i="5" s="1"/>
  <c r="AU340" i="5"/>
  <c r="AV340" i="5" s="1"/>
  <c r="AU227" i="5"/>
  <c r="AV227" i="5" s="1"/>
  <c r="AU279" i="5"/>
  <c r="AV279" i="5" s="1"/>
  <c r="H159" i="3"/>
  <c r="G159" i="3"/>
  <c r="F159" i="3"/>
  <c r="D159" i="3"/>
  <c r="C159" i="3"/>
  <c r="B159" i="3"/>
  <c r="A159" i="3"/>
  <c r="AC159" i="3"/>
  <c r="E159" i="3"/>
  <c r="A31" i="3"/>
  <c r="AC31" i="3"/>
  <c r="H31" i="3"/>
  <c r="G31" i="3"/>
  <c r="F31" i="3"/>
  <c r="D31" i="3"/>
  <c r="C31" i="3"/>
  <c r="B31" i="3"/>
  <c r="E31" i="3"/>
  <c r="A47" i="3"/>
  <c r="AC47" i="3"/>
  <c r="H47" i="3"/>
  <c r="G47" i="3"/>
  <c r="F47" i="3"/>
  <c r="D47" i="3"/>
  <c r="C47" i="3"/>
  <c r="B47" i="3"/>
  <c r="E47" i="3"/>
  <c r="A95" i="3"/>
  <c r="AC95" i="3"/>
  <c r="H95" i="3"/>
  <c r="G95" i="3"/>
  <c r="F95" i="3"/>
  <c r="D95" i="3"/>
  <c r="C95" i="3"/>
  <c r="B95" i="3"/>
  <c r="E95" i="3"/>
  <c r="A143" i="3"/>
  <c r="AC143" i="3"/>
  <c r="H143" i="3"/>
  <c r="G143" i="3"/>
  <c r="F143" i="3"/>
  <c r="D143" i="3"/>
  <c r="C143" i="3"/>
  <c r="B143" i="3"/>
  <c r="E143" i="3"/>
  <c r="AC240" i="3"/>
  <c r="F240" i="3"/>
  <c r="D240" i="3"/>
  <c r="C240" i="3"/>
  <c r="B240" i="3"/>
  <c r="G240" i="3"/>
  <c r="A240" i="3"/>
  <c r="H240" i="3"/>
  <c r="E240" i="3"/>
  <c r="A320" i="3"/>
  <c r="AC320" i="3"/>
  <c r="H320" i="3"/>
  <c r="G320" i="3"/>
  <c r="F320" i="3"/>
  <c r="D320" i="3"/>
  <c r="C320" i="3"/>
  <c r="B320" i="3"/>
  <c r="E320" i="3"/>
  <c r="AC412" i="3"/>
  <c r="H412" i="3"/>
  <c r="G412" i="3"/>
  <c r="F412" i="3"/>
  <c r="D412" i="3"/>
  <c r="C412" i="3"/>
  <c r="B412" i="3"/>
  <c r="A412" i="3"/>
  <c r="E412" i="3"/>
  <c r="F559" i="3"/>
  <c r="AC559" i="3"/>
  <c r="G559" i="3"/>
  <c r="A559" i="3"/>
  <c r="H559" i="3"/>
  <c r="D559" i="3"/>
  <c r="C559" i="3"/>
  <c r="B559" i="3"/>
  <c r="E559" i="3"/>
  <c r="H172" i="3"/>
  <c r="G172" i="3"/>
  <c r="F172" i="3"/>
  <c r="D172" i="3"/>
  <c r="C172" i="3"/>
  <c r="B172" i="3"/>
  <c r="A172" i="3"/>
  <c r="AC172" i="3"/>
  <c r="E172" i="3"/>
  <c r="A32" i="3"/>
  <c r="AC32" i="3"/>
  <c r="H32" i="3"/>
  <c r="G32" i="3"/>
  <c r="F32" i="3"/>
  <c r="D32" i="3"/>
  <c r="C32" i="3"/>
  <c r="B32" i="3"/>
  <c r="E32" i="3"/>
  <c r="A80" i="3"/>
  <c r="AC80" i="3"/>
  <c r="H80" i="3"/>
  <c r="G80" i="3"/>
  <c r="F80" i="3"/>
  <c r="D80" i="3"/>
  <c r="C80" i="3"/>
  <c r="B80" i="3"/>
  <c r="E80" i="3"/>
  <c r="A144" i="3"/>
  <c r="AC144" i="3"/>
  <c r="H144" i="3"/>
  <c r="G144" i="3"/>
  <c r="F144" i="3"/>
  <c r="D144" i="3"/>
  <c r="C144" i="3"/>
  <c r="B144" i="3"/>
  <c r="E144" i="3"/>
  <c r="AC220" i="3"/>
  <c r="F220" i="3"/>
  <c r="D220" i="3"/>
  <c r="C220" i="3"/>
  <c r="B220" i="3"/>
  <c r="A220" i="3"/>
  <c r="H220" i="3"/>
  <c r="G220" i="3"/>
  <c r="E220" i="3"/>
  <c r="F651" i="3"/>
  <c r="B651" i="3"/>
  <c r="A651" i="3"/>
  <c r="D651" i="3"/>
  <c r="C651" i="3"/>
  <c r="H651" i="3"/>
  <c r="AC651" i="3"/>
  <c r="G651" i="3"/>
  <c r="E651" i="3"/>
  <c r="A337" i="3"/>
  <c r="AC337" i="3"/>
  <c r="H337" i="3"/>
  <c r="G337" i="3"/>
  <c r="F337" i="3"/>
  <c r="C337" i="3"/>
  <c r="B337" i="3"/>
  <c r="D337" i="3"/>
  <c r="E337" i="3"/>
  <c r="H384" i="3"/>
  <c r="G384" i="3"/>
  <c r="F384" i="3"/>
  <c r="D384" i="3"/>
  <c r="C384" i="3"/>
  <c r="B384" i="3"/>
  <c r="A384" i="3"/>
  <c r="AC384" i="3"/>
  <c r="E384" i="3"/>
  <c r="F460" i="3"/>
  <c r="C460" i="3"/>
  <c r="B460" i="3"/>
  <c r="AC460" i="3"/>
  <c r="H460" i="3"/>
  <c r="G460" i="3"/>
  <c r="D460" i="3"/>
  <c r="A460" i="3"/>
  <c r="E460" i="3"/>
  <c r="D625" i="3"/>
  <c r="C625" i="3"/>
  <c r="H625" i="3"/>
  <c r="F625" i="3"/>
  <c r="B625" i="3"/>
  <c r="A625" i="3"/>
  <c r="AC625" i="3"/>
  <c r="G625" i="3"/>
  <c r="E625" i="3"/>
  <c r="B647" i="3"/>
  <c r="A647" i="3"/>
  <c r="AC647" i="3"/>
  <c r="F647" i="3"/>
  <c r="H647" i="3"/>
  <c r="G647" i="3"/>
  <c r="D647" i="3"/>
  <c r="C647" i="3"/>
  <c r="E647" i="3"/>
  <c r="D638" i="3"/>
  <c r="A638" i="3"/>
  <c r="AC638" i="3"/>
  <c r="G638" i="3"/>
  <c r="F638" i="3"/>
  <c r="C638" i="3"/>
  <c r="H638" i="3"/>
  <c r="B638" i="3"/>
  <c r="E638" i="3"/>
  <c r="F575" i="3"/>
  <c r="AC575" i="3"/>
  <c r="H575" i="3"/>
  <c r="G575" i="3"/>
  <c r="D575" i="3"/>
  <c r="C575" i="3"/>
  <c r="A575" i="3"/>
  <c r="B575" i="3"/>
  <c r="E575" i="3"/>
  <c r="H170" i="3"/>
  <c r="G170" i="3"/>
  <c r="F170" i="3"/>
  <c r="D170" i="3"/>
  <c r="C170" i="3"/>
  <c r="B170" i="3"/>
  <c r="A170" i="3"/>
  <c r="AC170" i="3"/>
  <c r="E170" i="3"/>
  <c r="H167" i="3"/>
  <c r="G167" i="3"/>
  <c r="F167" i="3"/>
  <c r="D167" i="3"/>
  <c r="C167" i="3"/>
  <c r="B167" i="3"/>
  <c r="A167" i="3"/>
  <c r="AC167" i="3"/>
  <c r="E167" i="3"/>
  <c r="A17" i="3"/>
  <c r="AC17" i="3"/>
  <c r="H17" i="3"/>
  <c r="G17" i="3"/>
  <c r="F17" i="3"/>
  <c r="C17" i="3"/>
  <c r="B17" i="3"/>
  <c r="D17" i="3"/>
  <c r="E17" i="3"/>
  <c r="A33" i="3"/>
  <c r="AC33" i="3"/>
  <c r="H33" i="3"/>
  <c r="G33" i="3"/>
  <c r="F33" i="3"/>
  <c r="C33" i="3"/>
  <c r="B33" i="3"/>
  <c r="D33" i="3"/>
  <c r="E33" i="3"/>
  <c r="A49" i="3"/>
  <c r="AC49" i="3"/>
  <c r="H49" i="3"/>
  <c r="G49" i="3"/>
  <c r="F49" i="3"/>
  <c r="C49" i="3"/>
  <c r="B49" i="3"/>
  <c r="D49" i="3"/>
  <c r="E49" i="3"/>
  <c r="A65" i="3"/>
  <c r="AC65" i="3"/>
  <c r="H65" i="3"/>
  <c r="G65" i="3"/>
  <c r="F65" i="3"/>
  <c r="C65" i="3"/>
  <c r="B65" i="3"/>
  <c r="D65" i="3"/>
  <c r="E65" i="3"/>
  <c r="A81" i="3"/>
  <c r="AC81" i="3"/>
  <c r="H81" i="3"/>
  <c r="G81" i="3"/>
  <c r="F81" i="3"/>
  <c r="C81" i="3"/>
  <c r="B81" i="3"/>
  <c r="D81" i="3"/>
  <c r="E81" i="3"/>
  <c r="A97" i="3"/>
  <c r="AC97" i="3"/>
  <c r="H97" i="3"/>
  <c r="G97" i="3"/>
  <c r="F97" i="3"/>
  <c r="C97" i="3"/>
  <c r="B97" i="3"/>
  <c r="D97" i="3"/>
  <c r="E97" i="3"/>
  <c r="A113" i="3"/>
  <c r="AC113" i="3"/>
  <c r="H113" i="3"/>
  <c r="G113" i="3"/>
  <c r="F113" i="3"/>
  <c r="C113" i="3"/>
  <c r="B113" i="3"/>
  <c r="D113" i="3"/>
  <c r="E113" i="3"/>
  <c r="A129" i="3"/>
  <c r="AC129" i="3"/>
  <c r="H129" i="3"/>
  <c r="G129" i="3"/>
  <c r="F129" i="3"/>
  <c r="C129" i="3"/>
  <c r="B129" i="3"/>
  <c r="D129" i="3"/>
  <c r="E129" i="3"/>
  <c r="A145" i="3"/>
  <c r="AC145" i="3"/>
  <c r="H145" i="3"/>
  <c r="G145" i="3"/>
  <c r="F145" i="3"/>
  <c r="C145" i="3"/>
  <c r="B145" i="3"/>
  <c r="D145" i="3"/>
  <c r="E145" i="3"/>
  <c r="AC228" i="3"/>
  <c r="F228" i="3"/>
  <c r="D228" i="3"/>
  <c r="A228" i="3"/>
  <c r="H228" i="3"/>
  <c r="G228" i="3"/>
  <c r="C228" i="3"/>
  <c r="B228" i="3"/>
  <c r="E228" i="3"/>
  <c r="G414" i="3"/>
  <c r="F414" i="3"/>
  <c r="D414" i="3"/>
  <c r="C414" i="3"/>
  <c r="B414" i="3"/>
  <c r="A414" i="3"/>
  <c r="AC414" i="3"/>
  <c r="H414" i="3"/>
  <c r="E414" i="3"/>
  <c r="A268" i="3"/>
  <c r="H268" i="3"/>
  <c r="G268" i="3"/>
  <c r="F268" i="3"/>
  <c r="C268" i="3"/>
  <c r="AC268" i="3"/>
  <c r="D268" i="3"/>
  <c r="B268" i="3"/>
  <c r="E268" i="3"/>
  <c r="A291" i="3"/>
  <c r="G291" i="3"/>
  <c r="H291" i="3"/>
  <c r="AC291" i="3"/>
  <c r="F291" i="3"/>
  <c r="D291" i="3"/>
  <c r="C291" i="3"/>
  <c r="B291" i="3"/>
  <c r="E291" i="3"/>
  <c r="A265" i="3"/>
  <c r="AC265" i="3"/>
  <c r="H265" i="3"/>
  <c r="G265" i="3"/>
  <c r="F265" i="3"/>
  <c r="C265" i="3"/>
  <c r="B265" i="3"/>
  <c r="D265" i="3"/>
  <c r="E265" i="3"/>
  <c r="F499" i="3"/>
  <c r="D499" i="3"/>
  <c r="C499" i="3"/>
  <c r="B499" i="3"/>
  <c r="A499" i="3"/>
  <c r="AC499" i="3"/>
  <c r="H499" i="3"/>
  <c r="G499" i="3"/>
  <c r="E499" i="3"/>
  <c r="A322" i="3"/>
  <c r="AC322" i="3"/>
  <c r="H322" i="3"/>
  <c r="G322" i="3"/>
  <c r="F322" i="3"/>
  <c r="D322" i="3"/>
  <c r="B322" i="3"/>
  <c r="C322" i="3"/>
  <c r="E322" i="3"/>
  <c r="A338" i="3"/>
  <c r="AC338" i="3"/>
  <c r="H338" i="3"/>
  <c r="G338" i="3"/>
  <c r="F338" i="3"/>
  <c r="D338" i="3"/>
  <c r="C338" i="3"/>
  <c r="B338" i="3"/>
  <c r="E338" i="3"/>
  <c r="A354" i="3"/>
  <c r="AC354" i="3"/>
  <c r="H354" i="3"/>
  <c r="G354" i="3"/>
  <c r="F354" i="3"/>
  <c r="D354" i="3"/>
  <c r="C354" i="3"/>
  <c r="B354" i="3"/>
  <c r="E354" i="3"/>
  <c r="G521" i="3"/>
  <c r="AC521" i="3"/>
  <c r="C521" i="3"/>
  <c r="H521" i="3"/>
  <c r="F521" i="3"/>
  <c r="D521" i="3"/>
  <c r="B521" i="3"/>
  <c r="A521" i="3"/>
  <c r="E521" i="3"/>
  <c r="H398" i="3"/>
  <c r="G398" i="3"/>
  <c r="F398" i="3"/>
  <c r="D398" i="3"/>
  <c r="C398" i="3"/>
  <c r="B398" i="3"/>
  <c r="A398" i="3"/>
  <c r="AC398" i="3"/>
  <c r="E398" i="3"/>
  <c r="H438" i="3"/>
  <c r="G438" i="3"/>
  <c r="D438" i="3"/>
  <c r="AC438" i="3"/>
  <c r="F438" i="3"/>
  <c r="C438" i="3"/>
  <c r="B438" i="3"/>
  <c r="A438" i="3"/>
  <c r="E438" i="3"/>
  <c r="AC422" i="3"/>
  <c r="H422" i="3"/>
  <c r="G422" i="3"/>
  <c r="F422" i="3"/>
  <c r="D422" i="3"/>
  <c r="C422" i="3"/>
  <c r="B422" i="3"/>
  <c r="A422" i="3"/>
  <c r="E422" i="3"/>
  <c r="A474" i="3"/>
  <c r="B474" i="3"/>
  <c r="AC474" i="3"/>
  <c r="H474" i="3"/>
  <c r="G474" i="3"/>
  <c r="F474" i="3"/>
  <c r="D474" i="3"/>
  <c r="C474" i="3"/>
  <c r="E474" i="3"/>
  <c r="H424" i="3"/>
  <c r="G424" i="3"/>
  <c r="F424" i="3"/>
  <c r="D424" i="3"/>
  <c r="C424" i="3"/>
  <c r="B424" i="3"/>
  <c r="A424" i="3"/>
  <c r="AC424" i="3"/>
  <c r="E424" i="3"/>
  <c r="AC652" i="3"/>
  <c r="G652" i="3"/>
  <c r="F652" i="3"/>
  <c r="D652" i="3"/>
  <c r="C652" i="3"/>
  <c r="B652" i="3"/>
  <c r="A652" i="3"/>
  <c r="H652" i="3"/>
  <c r="E652" i="3"/>
  <c r="H501" i="3"/>
  <c r="AC501" i="3"/>
  <c r="G501" i="3"/>
  <c r="A501" i="3"/>
  <c r="F501" i="3"/>
  <c r="D501" i="3"/>
  <c r="C501" i="3"/>
  <c r="B501" i="3"/>
  <c r="E501" i="3"/>
  <c r="B679" i="3"/>
  <c r="A679" i="3"/>
  <c r="AC679" i="3"/>
  <c r="F679" i="3"/>
  <c r="H679" i="3"/>
  <c r="G679" i="3"/>
  <c r="D679" i="3"/>
  <c r="C679" i="3"/>
  <c r="E679" i="3"/>
  <c r="H478" i="3"/>
  <c r="F478" i="3"/>
  <c r="D478" i="3"/>
  <c r="AC478" i="3"/>
  <c r="G478" i="3"/>
  <c r="C478" i="3"/>
  <c r="B478" i="3"/>
  <c r="A478" i="3"/>
  <c r="E478" i="3"/>
  <c r="AC640" i="3"/>
  <c r="H640" i="3"/>
  <c r="G640" i="3"/>
  <c r="C640" i="3"/>
  <c r="F640" i="3"/>
  <c r="A640" i="3"/>
  <c r="D640" i="3"/>
  <c r="B640" i="3"/>
  <c r="E640" i="3"/>
  <c r="H594" i="3"/>
  <c r="D594" i="3"/>
  <c r="F594" i="3"/>
  <c r="B594" i="3"/>
  <c r="AC594" i="3"/>
  <c r="G594" i="3"/>
  <c r="C594" i="3"/>
  <c r="A594" i="3"/>
  <c r="E594" i="3"/>
  <c r="H203" i="3"/>
  <c r="G203" i="3"/>
  <c r="F203" i="3"/>
  <c r="D203" i="3"/>
  <c r="C203" i="3"/>
  <c r="B203" i="3"/>
  <c r="A203" i="3"/>
  <c r="AC203" i="3"/>
  <c r="E203" i="3"/>
  <c r="H197" i="3"/>
  <c r="G197" i="3"/>
  <c r="F197" i="3"/>
  <c r="D197" i="3"/>
  <c r="C197" i="3"/>
  <c r="B197" i="3"/>
  <c r="A197" i="3"/>
  <c r="AC197" i="3"/>
  <c r="E197" i="3"/>
  <c r="H177" i="3"/>
  <c r="G177" i="3"/>
  <c r="F177" i="3"/>
  <c r="D177" i="3"/>
  <c r="C177" i="3"/>
  <c r="B177" i="3"/>
  <c r="A177" i="3"/>
  <c r="AC177" i="3"/>
  <c r="E177" i="3"/>
  <c r="A18" i="3"/>
  <c r="AC18" i="3"/>
  <c r="H18" i="3"/>
  <c r="G18" i="3"/>
  <c r="F18" i="3"/>
  <c r="D18" i="3"/>
  <c r="C18" i="3"/>
  <c r="B18" i="3"/>
  <c r="E18" i="3"/>
  <c r="A34" i="3"/>
  <c r="AC34" i="3"/>
  <c r="H34" i="3"/>
  <c r="G34" i="3"/>
  <c r="F34" i="3"/>
  <c r="D34" i="3"/>
  <c r="C34" i="3"/>
  <c r="B34" i="3"/>
  <c r="E34" i="3"/>
  <c r="A50" i="3"/>
  <c r="AC50" i="3"/>
  <c r="H50" i="3"/>
  <c r="G50" i="3"/>
  <c r="F50" i="3"/>
  <c r="D50" i="3"/>
  <c r="C50" i="3"/>
  <c r="B50" i="3"/>
  <c r="E50" i="3"/>
  <c r="A66" i="3"/>
  <c r="AC66" i="3"/>
  <c r="H66" i="3"/>
  <c r="G66" i="3"/>
  <c r="F66" i="3"/>
  <c r="D66" i="3"/>
  <c r="C66" i="3"/>
  <c r="B66" i="3"/>
  <c r="E66" i="3"/>
  <c r="A82" i="3"/>
  <c r="AC82" i="3"/>
  <c r="H82" i="3"/>
  <c r="G82" i="3"/>
  <c r="F82" i="3"/>
  <c r="D82" i="3"/>
  <c r="C82" i="3"/>
  <c r="B82" i="3"/>
  <c r="E82" i="3"/>
  <c r="A98" i="3"/>
  <c r="AC98" i="3"/>
  <c r="H98" i="3"/>
  <c r="G98" i="3"/>
  <c r="F98" i="3"/>
  <c r="D98" i="3"/>
  <c r="C98" i="3"/>
  <c r="B98" i="3"/>
  <c r="E98" i="3"/>
  <c r="A114" i="3"/>
  <c r="AC114" i="3"/>
  <c r="H114" i="3"/>
  <c r="G114" i="3"/>
  <c r="F114" i="3"/>
  <c r="D114" i="3"/>
  <c r="C114" i="3"/>
  <c r="B114" i="3"/>
  <c r="E114" i="3"/>
  <c r="A130" i="3"/>
  <c r="AC130" i="3"/>
  <c r="H130" i="3"/>
  <c r="G130" i="3"/>
  <c r="F130" i="3"/>
  <c r="D130" i="3"/>
  <c r="C130" i="3"/>
  <c r="B130" i="3"/>
  <c r="E130" i="3"/>
  <c r="A146" i="3"/>
  <c r="AC146" i="3"/>
  <c r="H146" i="3"/>
  <c r="G146" i="3"/>
  <c r="F146" i="3"/>
  <c r="D146" i="3"/>
  <c r="C146" i="3"/>
  <c r="B146" i="3"/>
  <c r="E146" i="3"/>
  <c r="H202" i="3"/>
  <c r="G202" i="3"/>
  <c r="F202" i="3"/>
  <c r="D202" i="3"/>
  <c r="C202" i="3"/>
  <c r="B202" i="3"/>
  <c r="A202" i="3"/>
  <c r="AC202" i="3"/>
  <c r="E202" i="3"/>
  <c r="AC231" i="3"/>
  <c r="F231" i="3"/>
  <c r="D231" i="3"/>
  <c r="H231" i="3"/>
  <c r="G231" i="3"/>
  <c r="B231" i="3"/>
  <c r="A231" i="3"/>
  <c r="C231" i="3"/>
  <c r="E231" i="3"/>
  <c r="AC219" i="3"/>
  <c r="F219" i="3"/>
  <c r="D219" i="3"/>
  <c r="H219" i="3"/>
  <c r="G219" i="3"/>
  <c r="C219" i="3"/>
  <c r="B219" i="3"/>
  <c r="A219" i="3"/>
  <c r="E219" i="3"/>
  <c r="AC236" i="3"/>
  <c r="F236" i="3"/>
  <c r="D236" i="3"/>
  <c r="A236" i="3"/>
  <c r="H236" i="3"/>
  <c r="G236" i="3"/>
  <c r="C236" i="3"/>
  <c r="B236" i="3"/>
  <c r="E236" i="3"/>
  <c r="A262" i="3"/>
  <c r="D262" i="3"/>
  <c r="C262" i="3"/>
  <c r="B262" i="3"/>
  <c r="AC262" i="3"/>
  <c r="G262" i="3"/>
  <c r="H262" i="3"/>
  <c r="F262" i="3"/>
  <c r="E262" i="3"/>
  <c r="A293" i="3"/>
  <c r="G293" i="3"/>
  <c r="H293" i="3"/>
  <c r="D293" i="3"/>
  <c r="C293" i="3"/>
  <c r="B293" i="3"/>
  <c r="AC293" i="3"/>
  <c r="F293" i="3"/>
  <c r="E293" i="3"/>
  <c r="A300" i="3"/>
  <c r="AC300" i="3"/>
  <c r="G300" i="3"/>
  <c r="F300" i="3"/>
  <c r="D300" i="3"/>
  <c r="C300" i="3"/>
  <c r="B300" i="3"/>
  <c r="H300" i="3"/>
  <c r="E300" i="3"/>
  <c r="A271" i="3"/>
  <c r="G271" i="3"/>
  <c r="AC271" i="3"/>
  <c r="H271" i="3"/>
  <c r="F271" i="3"/>
  <c r="D271" i="3"/>
  <c r="C271" i="3"/>
  <c r="B271" i="3"/>
  <c r="E271" i="3"/>
  <c r="A570" i="3"/>
  <c r="B570" i="3"/>
  <c r="H570" i="3"/>
  <c r="D570" i="3"/>
  <c r="AC570" i="3"/>
  <c r="C570" i="3"/>
  <c r="F570" i="3"/>
  <c r="G570" i="3"/>
  <c r="E570" i="3"/>
  <c r="B519" i="3"/>
  <c r="A519" i="3"/>
  <c r="H519" i="3"/>
  <c r="D519" i="3"/>
  <c r="C519" i="3"/>
  <c r="AC519" i="3"/>
  <c r="G519" i="3"/>
  <c r="F519" i="3"/>
  <c r="E519" i="3"/>
  <c r="A323" i="3"/>
  <c r="AC323" i="3"/>
  <c r="H323" i="3"/>
  <c r="G323" i="3"/>
  <c r="F323" i="3"/>
  <c r="C323" i="3"/>
  <c r="B323" i="3"/>
  <c r="D323" i="3"/>
  <c r="E323" i="3"/>
  <c r="A339" i="3"/>
  <c r="AC339" i="3"/>
  <c r="H339" i="3"/>
  <c r="G339" i="3"/>
  <c r="F339" i="3"/>
  <c r="D339" i="3"/>
  <c r="C339" i="3"/>
  <c r="B339" i="3"/>
  <c r="E339" i="3"/>
  <c r="A355" i="3"/>
  <c r="AC355" i="3"/>
  <c r="H355" i="3"/>
  <c r="G355" i="3"/>
  <c r="F355" i="3"/>
  <c r="D355" i="3"/>
  <c r="C355" i="3"/>
  <c r="B355" i="3"/>
  <c r="E355" i="3"/>
  <c r="H370" i="3"/>
  <c r="G370" i="3"/>
  <c r="F370" i="3"/>
  <c r="D370" i="3"/>
  <c r="C370" i="3"/>
  <c r="A370" i="3"/>
  <c r="B370" i="3"/>
  <c r="AC370" i="3"/>
  <c r="E370" i="3"/>
  <c r="H400" i="3"/>
  <c r="G400" i="3"/>
  <c r="F400" i="3"/>
  <c r="D400" i="3"/>
  <c r="C400" i="3"/>
  <c r="B400" i="3"/>
  <c r="A400" i="3"/>
  <c r="AC400" i="3"/>
  <c r="E400" i="3"/>
  <c r="H406" i="3"/>
  <c r="G406" i="3"/>
  <c r="F406" i="3"/>
  <c r="D406" i="3"/>
  <c r="C406" i="3"/>
  <c r="B406" i="3"/>
  <c r="A406" i="3"/>
  <c r="AC406" i="3"/>
  <c r="E406" i="3"/>
  <c r="AC436" i="3"/>
  <c r="H436" i="3"/>
  <c r="G436" i="3"/>
  <c r="F436" i="3"/>
  <c r="D436" i="3"/>
  <c r="C436" i="3"/>
  <c r="B436" i="3"/>
  <c r="A436" i="3"/>
  <c r="E436" i="3"/>
  <c r="H454" i="3"/>
  <c r="G454" i="3"/>
  <c r="D454" i="3"/>
  <c r="AC454" i="3"/>
  <c r="F454" i="3"/>
  <c r="C454" i="3"/>
  <c r="B454" i="3"/>
  <c r="A454" i="3"/>
  <c r="E454" i="3"/>
  <c r="C494" i="3"/>
  <c r="B494" i="3"/>
  <c r="A494" i="3"/>
  <c r="AC494" i="3"/>
  <c r="H494" i="3"/>
  <c r="G494" i="3"/>
  <c r="F494" i="3"/>
  <c r="D494" i="3"/>
  <c r="E494" i="3"/>
  <c r="H462" i="3"/>
  <c r="G462" i="3"/>
  <c r="F462" i="3"/>
  <c r="D462" i="3"/>
  <c r="C462" i="3"/>
  <c r="B462" i="3"/>
  <c r="A462" i="3"/>
  <c r="AC462" i="3"/>
  <c r="E462" i="3"/>
  <c r="G680" i="3"/>
  <c r="F680" i="3"/>
  <c r="C680" i="3"/>
  <c r="B680" i="3"/>
  <c r="A680" i="3"/>
  <c r="AC680" i="3"/>
  <c r="D680" i="3"/>
  <c r="H680" i="3"/>
  <c r="E680" i="3"/>
  <c r="AC684" i="3"/>
  <c r="G684" i="3"/>
  <c r="F684" i="3"/>
  <c r="D684" i="3"/>
  <c r="C684" i="3"/>
  <c r="H684" i="3"/>
  <c r="B684" i="3"/>
  <c r="A684" i="3"/>
  <c r="E684" i="3"/>
  <c r="A490" i="3"/>
  <c r="AC490" i="3"/>
  <c r="D490" i="3"/>
  <c r="C490" i="3"/>
  <c r="B490" i="3"/>
  <c r="H490" i="3"/>
  <c r="G490" i="3"/>
  <c r="F490" i="3"/>
  <c r="E490" i="3"/>
  <c r="AC518" i="3"/>
  <c r="H518" i="3"/>
  <c r="B518" i="3"/>
  <c r="G518" i="3"/>
  <c r="F518" i="3"/>
  <c r="D518" i="3"/>
  <c r="C518" i="3"/>
  <c r="A518" i="3"/>
  <c r="E518" i="3"/>
  <c r="H495" i="3"/>
  <c r="G495" i="3"/>
  <c r="F495" i="3"/>
  <c r="AC495" i="3"/>
  <c r="D495" i="3"/>
  <c r="C495" i="3"/>
  <c r="B495" i="3"/>
  <c r="A495" i="3"/>
  <c r="E495" i="3"/>
  <c r="D670" i="3"/>
  <c r="A670" i="3"/>
  <c r="AC670" i="3"/>
  <c r="H670" i="3"/>
  <c r="G670" i="3"/>
  <c r="F670" i="3"/>
  <c r="C670" i="3"/>
  <c r="B670" i="3"/>
  <c r="E670" i="3"/>
  <c r="AC656" i="3"/>
  <c r="H656" i="3"/>
  <c r="G656" i="3"/>
  <c r="C656" i="3"/>
  <c r="F656" i="3"/>
  <c r="D656" i="3"/>
  <c r="A656" i="3"/>
  <c r="B656" i="3"/>
  <c r="E656" i="3"/>
  <c r="H534" i="3"/>
  <c r="AC534" i="3"/>
  <c r="G534" i="3"/>
  <c r="F534" i="3"/>
  <c r="D534" i="3"/>
  <c r="C534" i="3"/>
  <c r="B534" i="3"/>
  <c r="A534" i="3"/>
  <c r="E534" i="3"/>
  <c r="H610" i="3"/>
  <c r="D610" i="3"/>
  <c r="C610" i="3"/>
  <c r="B610" i="3"/>
  <c r="A610" i="3"/>
  <c r="G610" i="3"/>
  <c r="AC610" i="3"/>
  <c r="F610" i="3"/>
  <c r="E610" i="3"/>
  <c r="A63" i="3"/>
  <c r="AC63" i="3"/>
  <c r="H63" i="3"/>
  <c r="G63" i="3"/>
  <c r="F63" i="3"/>
  <c r="D63" i="3"/>
  <c r="C63" i="3"/>
  <c r="B63" i="3"/>
  <c r="E63" i="3"/>
  <c r="A111" i="3"/>
  <c r="AC111" i="3"/>
  <c r="H111" i="3"/>
  <c r="G111" i="3"/>
  <c r="F111" i="3"/>
  <c r="D111" i="3"/>
  <c r="C111" i="3"/>
  <c r="B111" i="3"/>
  <c r="E111" i="3"/>
  <c r="H196" i="3"/>
  <c r="G196" i="3"/>
  <c r="F196" i="3"/>
  <c r="D196" i="3"/>
  <c r="C196" i="3"/>
  <c r="B196" i="3"/>
  <c r="A196" i="3"/>
  <c r="AC196" i="3"/>
  <c r="E196" i="3"/>
  <c r="AC216" i="3"/>
  <c r="D216" i="3"/>
  <c r="C216" i="3"/>
  <c r="B216" i="3"/>
  <c r="A216" i="3"/>
  <c r="H216" i="3"/>
  <c r="G216" i="3"/>
  <c r="F216" i="3"/>
  <c r="E216" i="3"/>
  <c r="AC258" i="3"/>
  <c r="F258" i="3"/>
  <c r="D258" i="3"/>
  <c r="C258" i="3"/>
  <c r="B258" i="3"/>
  <c r="H258" i="3"/>
  <c r="G258" i="3"/>
  <c r="A258" i="3"/>
  <c r="E258" i="3"/>
  <c r="A336" i="3"/>
  <c r="AC336" i="3"/>
  <c r="H336" i="3"/>
  <c r="G336" i="3"/>
  <c r="F336" i="3"/>
  <c r="C336" i="3"/>
  <c r="B336" i="3"/>
  <c r="D336" i="3"/>
  <c r="E336" i="3"/>
  <c r="C612" i="3"/>
  <c r="B612" i="3"/>
  <c r="AC612" i="3"/>
  <c r="G612" i="3"/>
  <c r="F612" i="3"/>
  <c r="D612" i="3"/>
  <c r="A612" i="3"/>
  <c r="H612" i="3"/>
  <c r="E612" i="3"/>
  <c r="H435" i="3"/>
  <c r="F435" i="3"/>
  <c r="G435" i="3"/>
  <c r="D435" i="3"/>
  <c r="C435" i="3"/>
  <c r="B435" i="3"/>
  <c r="A435" i="3"/>
  <c r="AC435" i="3"/>
  <c r="E435" i="3"/>
  <c r="H201" i="3"/>
  <c r="G201" i="3"/>
  <c r="F201" i="3"/>
  <c r="D201" i="3"/>
  <c r="C201" i="3"/>
  <c r="B201" i="3"/>
  <c r="A201" i="3"/>
  <c r="AC201" i="3"/>
  <c r="E201" i="3"/>
  <c r="A64" i="3"/>
  <c r="AC64" i="3"/>
  <c r="H64" i="3"/>
  <c r="G64" i="3"/>
  <c r="F64" i="3"/>
  <c r="D64" i="3"/>
  <c r="C64" i="3"/>
  <c r="B64" i="3"/>
  <c r="E64" i="3"/>
  <c r="A128" i="3"/>
  <c r="AC128" i="3"/>
  <c r="H128" i="3"/>
  <c r="G128" i="3"/>
  <c r="F128" i="3"/>
  <c r="D128" i="3"/>
  <c r="C128" i="3"/>
  <c r="B128" i="3"/>
  <c r="E128" i="3"/>
  <c r="A292" i="3"/>
  <c r="G292" i="3"/>
  <c r="B292" i="3"/>
  <c r="H292" i="3"/>
  <c r="AC292" i="3"/>
  <c r="F292" i="3"/>
  <c r="D292" i="3"/>
  <c r="C292" i="3"/>
  <c r="E292" i="3"/>
  <c r="H404" i="3"/>
  <c r="G404" i="3"/>
  <c r="F404" i="3"/>
  <c r="D404" i="3"/>
  <c r="C404" i="3"/>
  <c r="B404" i="3"/>
  <c r="A404" i="3"/>
  <c r="AC404" i="3"/>
  <c r="E404" i="3"/>
  <c r="A353" i="3"/>
  <c r="AC353" i="3"/>
  <c r="H353" i="3"/>
  <c r="G353" i="3"/>
  <c r="F353" i="3"/>
  <c r="C353" i="3"/>
  <c r="B353" i="3"/>
  <c r="D353" i="3"/>
  <c r="E353" i="3"/>
  <c r="H390" i="3"/>
  <c r="G390" i="3"/>
  <c r="F390" i="3"/>
  <c r="D390" i="3"/>
  <c r="C390" i="3"/>
  <c r="B390" i="3"/>
  <c r="A390" i="3"/>
  <c r="AC390" i="3"/>
  <c r="E390" i="3"/>
  <c r="H408" i="3"/>
  <c r="G408" i="3"/>
  <c r="F408" i="3"/>
  <c r="D408" i="3"/>
  <c r="C408" i="3"/>
  <c r="B408" i="3"/>
  <c r="A408" i="3"/>
  <c r="AC408" i="3"/>
  <c r="E408" i="3"/>
  <c r="AC681" i="3"/>
  <c r="H681" i="3"/>
  <c r="G681" i="3"/>
  <c r="F681" i="3"/>
  <c r="D681" i="3"/>
  <c r="C681" i="3"/>
  <c r="B681" i="3"/>
  <c r="A681" i="3"/>
  <c r="E681" i="3"/>
  <c r="H451" i="3"/>
  <c r="F451" i="3"/>
  <c r="B451" i="3"/>
  <c r="A451" i="3"/>
  <c r="AC451" i="3"/>
  <c r="G451" i="3"/>
  <c r="D451" i="3"/>
  <c r="C451" i="3"/>
  <c r="E451" i="3"/>
  <c r="AC701" i="3"/>
  <c r="H701" i="3"/>
  <c r="D701" i="3"/>
  <c r="G701" i="3"/>
  <c r="F701" i="3"/>
  <c r="B701" i="3"/>
  <c r="C701" i="3"/>
  <c r="A701" i="3"/>
  <c r="E701" i="3"/>
  <c r="H578" i="3"/>
  <c r="D578" i="3"/>
  <c r="F578" i="3"/>
  <c r="AC578" i="3"/>
  <c r="G578" i="3"/>
  <c r="C578" i="3"/>
  <c r="B578" i="3"/>
  <c r="A578" i="3"/>
  <c r="E578" i="3"/>
  <c r="H165" i="3"/>
  <c r="G165" i="3"/>
  <c r="F165" i="3"/>
  <c r="D165" i="3"/>
  <c r="C165" i="3"/>
  <c r="B165" i="3"/>
  <c r="A165" i="3"/>
  <c r="AC165" i="3"/>
  <c r="E165" i="3"/>
  <c r="H162" i="3"/>
  <c r="G162" i="3"/>
  <c r="F162" i="3"/>
  <c r="D162" i="3"/>
  <c r="C162" i="3"/>
  <c r="B162" i="3"/>
  <c r="A162" i="3"/>
  <c r="AC162" i="3"/>
  <c r="E162" i="3"/>
  <c r="A19" i="3"/>
  <c r="AC19" i="3"/>
  <c r="H19" i="3"/>
  <c r="G19" i="3"/>
  <c r="F19" i="3"/>
  <c r="D19" i="3"/>
  <c r="C19" i="3"/>
  <c r="B19" i="3"/>
  <c r="E19" i="3"/>
  <c r="A35" i="3"/>
  <c r="AC35" i="3"/>
  <c r="H35" i="3"/>
  <c r="G35" i="3"/>
  <c r="F35" i="3"/>
  <c r="D35" i="3"/>
  <c r="C35" i="3"/>
  <c r="B35" i="3"/>
  <c r="E35" i="3"/>
  <c r="A51" i="3"/>
  <c r="AC51" i="3"/>
  <c r="H51" i="3"/>
  <c r="G51" i="3"/>
  <c r="F51" i="3"/>
  <c r="D51" i="3"/>
  <c r="C51" i="3"/>
  <c r="B51" i="3"/>
  <c r="E51" i="3"/>
  <c r="A67" i="3"/>
  <c r="AC67" i="3"/>
  <c r="H67" i="3"/>
  <c r="G67" i="3"/>
  <c r="F67" i="3"/>
  <c r="D67" i="3"/>
  <c r="C67" i="3"/>
  <c r="B67" i="3"/>
  <c r="E67" i="3"/>
  <c r="A83" i="3"/>
  <c r="AC83" i="3"/>
  <c r="H83" i="3"/>
  <c r="G83" i="3"/>
  <c r="F83" i="3"/>
  <c r="D83" i="3"/>
  <c r="C83" i="3"/>
  <c r="B83" i="3"/>
  <c r="E83" i="3"/>
  <c r="A99" i="3"/>
  <c r="AC99" i="3"/>
  <c r="H99" i="3"/>
  <c r="G99" i="3"/>
  <c r="F99" i="3"/>
  <c r="D99" i="3"/>
  <c r="C99" i="3"/>
  <c r="B99" i="3"/>
  <c r="E99" i="3"/>
  <c r="A115" i="3"/>
  <c r="AC115" i="3"/>
  <c r="H115" i="3"/>
  <c r="G115" i="3"/>
  <c r="F115" i="3"/>
  <c r="D115" i="3"/>
  <c r="C115" i="3"/>
  <c r="B115" i="3"/>
  <c r="E115" i="3"/>
  <c r="A131" i="3"/>
  <c r="AC131" i="3"/>
  <c r="H131" i="3"/>
  <c r="G131" i="3"/>
  <c r="F131" i="3"/>
  <c r="D131" i="3"/>
  <c r="C131" i="3"/>
  <c r="B131" i="3"/>
  <c r="E131" i="3"/>
  <c r="A147" i="3"/>
  <c r="AC147" i="3"/>
  <c r="H147" i="3"/>
  <c r="G147" i="3"/>
  <c r="F147" i="3"/>
  <c r="D147" i="3"/>
  <c r="C147" i="3"/>
  <c r="B147" i="3"/>
  <c r="E147" i="3"/>
  <c r="H207" i="3"/>
  <c r="G207" i="3"/>
  <c r="F207" i="3"/>
  <c r="D207" i="3"/>
  <c r="C207" i="3"/>
  <c r="B207" i="3"/>
  <c r="A207" i="3"/>
  <c r="AC207" i="3"/>
  <c r="E207" i="3"/>
  <c r="AC213" i="3"/>
  <c r="D213" i="3"/>
  <c r="A213" i="3"/>
  <c r="H213" i="3"/>
  <c r="G213" i="3"/>
  <c r="F213" i="3"/>
  <c r="C213" i="3"/>
  <c r="B213" i="3"/>
  <c r="E213" i="3"/>
  <c r="AC226" i="3"/>
  <c r="F226" i="3"/>
  <c r="D226" i="3"/>
  <c r="H226" i="3"/>
  <c r="G226" i="3"/>
  <c r="C226" i="3"/>
  <c r="B226" i="3"/>
  <c r="A226" i="3"/>
  <c r="E226" i="3"/>
  <c r="A299" i="3"/>
  <c r="AC299" i="3"/>
  <c r="G299" i="3"/>
  <c r="H299" i="3"/>
  <c r="F299" i="3"/>
  <c r="D299" i="3"/>
  <c r="C299" i="3"/>
  <c r="B299" i="3"/>
  <c r="E299" i="3"/>
  <c r="A296" i="3"/>
  <c r="AC296" i="3"/>
  <c r="G296" i="3"/>
  <c r="F296" i="3"/>
  <c r="D296" i="3"/>
  <c r="C296" i="3"/>
  <c r="B296" i="3"/>
  <c r="H296" i="3"/>
  <c r="E296" i="3"/>
  <c r="A298" i="3"/>
  <c r="AC298" i="3"/>
  <c r="G298" i="3"/>
  <c r="H298" i="3"/>
  <c r="F298" i="3"/>
  <c r="B298" i="3"/>
  <c r="D298" i="3"/>
  <c r="C298" i="3"/>
  <c r="E298" i="3"/>
  <c r="A301" i="3"/>
  <c r="AC301" i="3"/>
  <c r="G301" i="3"/>
  <c r="D301" i="3"/>
  <c r="C301" i="3"/>
  <c r="B301" i="3"/>
  <c r="H301" i="3"/>
  <c r="F301" i="3"/>
  <c r="E301" i="3"/>
  <c r="A275" i="3"/>
  <c r="G275" i="3"/>
  <c r="AC275" i="3"/>
  <c r="H275" i="3"/>
  <c r="F275" i="3"/>
  <c r="D275" i="3"/>
  <c r="C275" i="3"/>
  <c r="B275" i="3"/>
  <c r="E275" i="3"/>
  <c r="A356" i="3"/>
  <c r="B356" i="3"/>
  <c r="AC356" i="3"/>
  <c r="H356" i="3"/>
  <c r="G356" i="3"/>
  <c r="F356" i="3"/>
  <c r="D356" i="3"/>
  <c r="C356" i="3"/>
  <c r="E356" i="3"/>
  <c r="H386" i="3"/>
  <c r="G386" i="3"/>
  <c r="F386" i="3"/>
  <c r="D386" i="3"/>
  <c r="C386" i="3"/>
  <c r="B386" i="3"/>
  <c r="A386" i="3"/>
  <c r="AC386" i="3"/>
  <c r="E386" i="3"/>
  <c r="A324" i="3"/>
  <c r="AC324" i="3"/>
  <c r="H324" i="3"/>
  <c r="G324" i="3"/>
  <c r="F324" i="3"/>
  <c r="D324" i="3"/>
  <c r="C324" i="3"/>
  <c r="B324" i="3"/>
  <c r="E324" i="3"/>
  <c r="A340" i="3"/>
  <c r="AC340" i="3"/>
  <c r="H340" i="3"/>
  <c r="G340" i="3"/>
  <c r="F340" i="3"/>
  <c r="D340" i="3"/>
  <c r="C340" i="3"/>
  <c r="B340" i="3"/>
  <c r="E340" i="3"/>
  <c r="G358" i="3"/>
  <c r="F358" i="3"/>
  <c r="A358" i="3"/>
  <c r="AC358" i="3"/>
  <c r="H358" i="3"/>
  <c r="D358" i="3"/>
  <c r="C358" i="3"/>
  <c r="B358" i="3"/>
  <c r="E358" i="3"/>
  <c r="H371" i="3"/>
  <c r="G371" i="3"/>
  <c r="F371" i="3"/>
  <c r="D371" i="3"/>
  <c r="C371" i="3"/>
  <c r="B371" i="3"/>
  <c r="A371" i="3"/>
  <c r="AC371" i="3"/>
  <c r="E371" i="3"/>
  <c r="G520" i="3"/>
  <c r="H520" i="3"/>
  <c r="F520" i="3"/>
  <c r="D520" i="3"/>
  <c r="C520" i="3"/>
  <c r="AC520" i="3"/>
  <c r="B520" i="3"/>
  <c r="A520" i="3"/>
  <c r="E520" i="3"/>
  <c r="B440" i="3"/>
  <c r="A440" i="3"/>
  <c r="AC440" i="3"/>
  <c r="H440" i="3"/>
  <c r="G440" i="3"/>
  <c r="F440" i="3"/>
  <c r="D440" i="3"/>
  <c r="C440" i="3"/>
  <c r="E440" i="3"/>
  <c r="D526" i="3"/>
  <c r="G526" i="3"/>
  <c r="AC526" i="3"/>
  <c r="H526" i="3"/>
  <c r="F526" i="3"/>
  <c r="C526" i="3"/>
  <c r="B526" i="3"/>
  <c r="A526" i="3"/>
  <c r="E526" i="3"/>
  <c r="AC496" i="3"/>
  <c r="H496" i="3"/>
  <c r="G496" i="3"/>
  <c r="F496" i="3"/>
  <c r="D496" i="3"/>
  <c r="C496" i="3"/>
  <c r="B496" i="3"/>
  <c r="A496" i="3"/>
  <c r="E496" i="3"/>
  <c r="C468" i="3"/>
  <c r="H468" i="3"/>
  <c r="G468" i="3"/>
  <c r="F468" i="3"/>
  <c r="D468" i="3"/>
  <c r="B468" i="3"/>
  <c r="A468" i="3"/>
  <c r="AC468" i="3"/>
  <c r="E468" i="3"/>
  <c r="AC608" i="3"/>
  <c r="C608" i="3"/>
  <c r="D608" i="3"/>
  <c r="B608" i="3"/>
  <c r="A608" i="3"/>
  <c r="F608" i="3"/>
  <c r="H608" i="3"/>
  <c r="G608" i="3"/>
  <c r="E608" i="3"/>
  <c r="H629" i="3"/>
  <c r="G629" i="3"/>
  <c r="D629" i="3"/>
  <c r="C629" i="3"/>
  <c r="B629" i="3"/>
  <c r="A629" i="3"/>
  <c r="F629" i="3"/>
  <c r="AC629" i="3"/>
  <c r="E629" i="3"/>
  <c r="G504" i="3"/>
  <c r="AC504" i="3"/>
  <c r="B504" i="3"/>
  <c r="D504" i="3"/>
  <c r="C504" i="3"/>
  <c r="A504" i="3"/>
  <c r="H504" i="3"/>
  <c r="F504" i="3"/>
  <c r="E504" i="3"/>
  <c r="F523" i="3"/>
  <c r="A523" i="3"/>
  <c r="AC523" i="3"/>
  <c r="H523" i="3"/>
  <c r="G523" i="3"/>
  <c r="D523" i="3"/>
  <c r="C523" i="3"/>
  <c r="B523" i="3"/>
  <c r="E523" i="3"/>
  <c r="G448" i="3"/>
  <c r="F448" i="3"/>
  <c r="AC448" i="3"/>
  <c r="H448" i="3"/>
  <c r="D448" i="3"/>
  <c r="C448" i="3"/>
  <c r="B448" i="3"/>
  <c r="A448" i="3"/>
  <c r="E448" i="3"/>
  <c r="H509" i="3"/>
  <c r="G509" i="3"/>
  <c r="F509" i="3"/>
  <c r="C509" i="3"/>
  <c r="B509" i="3"/>
  <c r="A509" i="3"/>
  <c r="AC509" i="3"/>
  <c r="D509" i="3"/>
  <c r="E509" i="3"/>
  <c r="D686" i="3"/>
  <c r="A686" i="3"/>
  <c r="C686" i="3"/>
  <c r="B686" i="3"/>
  <c r="AC686" i="3"/>
  <c r="G686" i="3"/>
  <c r="H686" i="3"/>
  <c r="F686" i="3"/>
  <c r="E686" i="3"/>
  <c r="AC672" i="3"/>
  <c r="H672" i="3"/>
  <c r="G672" i="3"/>
  <c r="C672" i="3"/>
  <c r="F672" i="3"/>
  <c r="A672" i="3"/>
  <c r="D672" i="3"/>
  <c r="B672" i="3"/>
  <c r="E672" i="3"/>
  <c r="F623" i="3"/>
  <c r="C623" i="3"/>
  <c r="B623" i="3"/>
  <c r="AC623" i="3"/>
  <c r="H623" i="3"/>
  <c r="A623" i="3"/>
  <c r="G623" i="3"/>
  <c r="D623" i="3"/>
  <c r="E623" i="3"/>
  <c r="H626" i="3"/>
  <c r="D626" i="3"/>
  <c r="B626" i="3"/>
  <c r="A626" i="3"/>
  <c r="AC626" i="3"/>
  <c r="F626" i="3"/>
  <c r="C626" i="3"/>
  <c r="G626" i="3"/>
  <c r="E626" i="3"/>
  <c r="H193" i="3"/>
  <c r="G193" i="3"/>
  <c r="F193" i="3"/>
  <c r="D193" i="3"/>
  <c r="C193" i="3"/>
  <c r="B193" i="3"/>
  <c r="A193" i="3"/>
  <c r="AC193" i="3"/>
  <c r="E193" i="3"/>
  <c r="H157" i="3"/>
  <c r="G157" i="3"/>
  <c r="F157" i="3"/>
  <c r="D157" i="3"/>
  <c r="C157" i="3"/>
  <c r="B157" i="3"/>
  <c r="A157" i="3"/>
  <c r="AC157" i="3"/>
  <c r="E157" i="3"/>
  <c r="H206" i="3"/>
  <c r="G206" i="3"/>
  <c r="F206" i="3"/>
  <c r="D206" i="3"/>
  <c r="C206" i="3"/>
  <c r="B206" i="3"/>
  <c r="A206" i="3"/>
  <c r="AC206" i="3"/>
  <c r="E206" i="3"/>
  <c r="AC247" i="3"/>
  <c r="F247" i="3"/>
  <c r="D247" i="3"/>
  <c r="C247" i="3"/>
  <c r="B247" i="3"/>
  <c r="H247" i="3"/>
  <c r="G247" i="3"/>
  <c r="A247" i="3"/>
  <c r="E247" i="3"/>
  <c r="AC242" i="3"/>
  <c r="F242" i="3"/>
  <c r="D242" i="3"/>
  <c r="C242" i="3"/>
  <c r="B242" i="3"/>
  <c r="H242" i="3"/>
  <c r="G242" i="3"/>
  <c r="A242" i="3"/>
  <c r="E242" i="3"/>
  <c r="AC234" i="3"/>
  <c r="F234" i="3"/>
  <c r="D234" i="3"/>
  <c r="H234" i="3"/>
  <c r="G234" i="3"/>
  <c r="C234" i="3"/>
  <c r="B234" i="3"/>
  <c r="A234" i="3"/>
  <c r="E234" i="3"/>
  <c r="D210" i="3"/>
  <c r="H210" i="3"/>
  <c r="G210" i="3"/>
  <c r="F210" i="3"/>
  <c r="C210" i="3"/>
  <c r="B210" i="3"/>
  <c r="A210" i="3"/>
  <c r="AC210" i="3"/>
  <c r="E210" i="3"/>
  <c r="F417" i="3"/>
  <c r="D417" i="3"/>
  <c r="C417" i="3"/>
  <c r="B417" i="3"/>
  <c r="A417" i="3"/>
  <c r="H417" i="3"/>
  <c r="G417" i="3"/>
  <c r="AC417" i="3"/>
  <c r="E417" i="3"/>
  <c r="D447" i="3"/>
  <c r="B447" i="3"/>
  <c r="A447" i="3"/>
  <c r="F447" i="3"/>
  <c r="C447" i="3"/>
  <c r="H447" i="3"/>
  <c r="G447" i="3"/>
  <c r="AC447" i="3"/>
  <c r="E447" i="3"/>
  <c r="A302" i="3"/>
  <c r="AC302" i="3"/>
  <c r="G302" i="3"/>
  <c r="D302" i="3"/>
  <c r="C302" i="3"/>
  <c r="B302" i="3"/>
  <c r="H302" i="3"/>
  <c r="F302" i="3"/>
  <c r="E302" i="3"/>
  <c r="A279" i="3"/>
  <c r="G279" i="3"/>
  <c r="AC279" i="3"/>
  <c r="H279" i="3"/>
  <c r="F279" i="3"/>
  <c r="D279" i="3"/>
  <c r="C279" i="3"/>
  <c r="B279" i="3"/>
  <c r="E279" i="3"/>
  <c r="G360" i="3"/>
  <c r="F360" i="3"/>
  <c r="D360" i="3"/>
  <c r="C360" i="3"/>
  <c r="A360" i="3"/>
  <c r="H360" i="3"/>
  <c r="AC360" i="3"/>
  <c r="B360" i="3"/>
  <c r="E360" i="3"/>
  <c r="H394" i="3"/>
  <c r="G394" i="3"/>
  <c r="F394" i="3"/>
  <c r="D394" i="3"/>
  <c r="C394" i="3"/>
  <c r="B394" i="3"/>
  <c r="A394" i="3"/>
  <c r="AC394" i="3"/>
  <c r="E394" i="3"/>
  <c r="A325" i="3"/>
  <c r="AC325" i="3"/>
  <c r="H325" i="3"/>
  <c r="G325" i="3"/>
  <c r="F325" i="3"/>
  <c r="C325" i="3"/>
  <c r="B325" i="3"/>
  <c r="D325" i="3"/>
  <c r="E325" i="3"/>
  <c r="A341" i="3"/>
  <c r="AC341" i="3"/>
  <c r="H341" i="3"/>
  <c r="G341" i="3"/>
  <c r="F341" i="3"/>
  <c r="C341" i="3"/>
  <c r="B341" i="3"/>
  <c r="D341" i="3"/>
  <c r="E341" i="3"/>
  <c r="H361" i="3"/>
  <c r="G361" i="3"/>
  <c r="F361" i="3"/>
  <c r="D361" i="3"/>
  <c r="C361" i="3"/>
  <c r="A361" i="3"/>
  <c r="B361" i="3"/>
  <c r="AC361" i="3"/>
  <c r="E361" i="3"/>
  <c r="H372" i="3"/>
  <c r="G372" i="3"/>
  <c r="F372" i="3"/>
  <c r="D372" i="3"/>
  <c r="C372" i="3"/>
  <c r="B372" i="3"/>
  <c r="A372" i="3"/>
  <c r="AC372" i="3"/>
  <c r="E372" i="3"/>
  <c r="H366" i="3"/>
  <c r="G366" i="3"/>
  <c r="F366" i="3"/>
  <c r="D366" i="3"/>
  <c r="C366" i="3"/>
  <c r="A366" i="3"/>
  <c r="B366" i="3"/>
  <c r="AC366" i="3"/>
  <c r="E366" i="3"/>
  <c r="D420" i="3"/>
  <c r="C420" i="3"/>
  <c r="B420" i="3"/>
  <c r="A420" i="3"/>
  <c r="H420" i="3"/>
  <c r="G420" i="3"/>
  <c r="F420" i="3"/>
  <c r="AC420" i="3"/>
  <c r="E420" i="3"/>
  <c r="AC541" i="3"/>
  <c r="A541" i="3"/>
  <c r="G541" i="3"/>
  <c r="H541" i="3"/>
  <c r="B541" i="3"/>
  <c r="F541" i="3"/>
  <c r="D541" i="3"/>
  <c r="C541" i="3"/>
  <c r="E541" i="3"/>
  <c r="F444" i="3"/>
  <c r="C444" i="3"/>
  <c r="B444" i="3"/>
  <c r="AC444" i="3"/>
  <c r="H444" i="3"/>
  <c r="G444" i="3"/>
  <c r="D444" i="3"/>
  <c r="A444" i="3"/>
  <c r="E444" i="3"/>
  <c r="D529" i="3"/>
  <c r="C529" i="3"/>
  <c r="F529" i="3"/>
  <c r="B529" i="3"/>
  <c r="A529" i="3"/>
  <c r="AC529" i="3"/>
  <c r="H529" i="3"/>
  <c r="G529" i="3"/>
  <c r="E529" i="3"/>
  <c r="A506" i="3"/>
  <c r="H506" i="3"/>
  <c r="G506" i="3"/>
  <c r="F506" i="3"/>
  <c r="D506" i="3"/>
  <c r="AC506" i="3"/>
  <c r="C506" i="3"/>
  <c r="B506" i="3"/>
  <c r="E506" i="3"/>
  <c r="D483" i="3"/>
  <c r="C483" i="3"/>
  <c r="B483" i="3"/>
  <c r="A483" i="3"/>
  <c r="H483" i="3"/>
  <c r="G483" i="3"/>
  <c r="F483" i="3"/>
  <c r="AC483" i="3"/>
  <c r="E483" i="3"/>
  <c r="B615" i="3"/>
  <c r="A615" i="3"/>
  <c r="AC615" i="3"/>
  <c r="F615" i="3"/>
  <c r="C615" i="3"/>
  <c r="H615" i="3"/>
  <c r="G615" i="3"/>
  <c r="D615" i="3"/>
  <c r="E615" i="3"/>
  <c r="H661" i="3"/>
  <c r="G661" i="3"/>
  <c r="D661" i="3"/>
  <c r="C661" i="3"/>
  <c r="B661" i="3"/>
  <c r="A661" i="3"/>
  <c r="F661" i="3"/>
  <c r="AC661" i="3"/>
  <c r="E661" i="3"/>
  <c r="AC557" i="3"/>
  <c r="G557" i="3"/>
  <c r="C557" i="3"/>
  <c r="F557" i="3"/>
  <c r="D557" i="3"/>
  <c r="B557" i="3"/>
  <c r="A557" i="3"/>
  <c r="H557" i="3"/>
  <c r="E557" i="3"/>
  <c r="C532" i="3"/>
  <c r="B532" i="3"/>
  <c r="AC532" i="3"/>
  <c r="H532" i="3"/>
  <c r="G532" i="3"/>
  <c r="F532" i="3"/>
  <c r="D532" i="3"/>
  <c r="A532" i="3"/>
  <c r="E532" i="3"/>
  <c r="G464" i="3"/>
  <c r="F464" i="3"/>
  <c r="AC464" i="3"/>
  <c r="H464" i="3"/>
  <c r="D464" i="3"/>
  <c r="C464" i="3"/>
  <c r="B464" i="3"/>
  <c r="A464" i="3"/>
  <c r="E464" i="3"/>
  <c r="AC525" i="3"/>
  <c r="H525" i="3"/>
  <c r="G525" i="3"/>
  <c r="F525" i="3"/>
  <c r="D525" i="3"/>
  <c r="C525" i="3"/>
  <c r="B525" i="3"/>
  <c r="A525" i="3"/>
  <c r="E525" i="3"/>
  <c r="D702" i="3"/>
  <c r="A702" i="3"/>
  <c r="AC702" i="3"/>
  <c r="H702" i="3"/>
  <c r="G702" i="3"/>
  <c r="F702" i="3"/>
  <c r="C702" i="3"/>
  <c r="B702" i="3"/>
  <c r="E702" i="3"/>
  <c r="AC688" i="3"/>
  <c r="H688" i="3"/>
  <c r="G688" i="3"/>
  <c r="C688" i="3"/>
  <c r="F688" i="3"/>
  <c r="D688" i="3"/>
  <c r="B688" i="3"/>
  <c r="A688" i="3"/>
  <c r="E688" i="3"/>
  <c r="H566" i="3"/>
  <c r="B566" i="3"/>
  <c r="A566" i="3"/>
  <c r="D566" i="3"/>
  <c r="AC566" i="3"/>
  <c r="G566" i="3"/>
  <c r="F566" i="3"/>
  <c r="C566" i="3"/>
  <c r="E566" i="3"/>
  <c r="F639" i="3"/>
  <c r="D639" i="3"/>
  <c r="C639" i="3"/>
  <c r="B639" i="3"/>
  <c r="H639" i="3"/>
  <c r="G639" i="3"/>
  <c r="A639" i="3"/>
  <c r="AC639" i="3"/>
  <c r="E639" i="3"/>
  <c r="H642" i="3"/>
  <c r="D642" i="3"/>
  <c r="C642" i="3"/>
  <c r="B642" i="3"/>
  <c r="A642" i="3"/>
  <c r="G642" i="3"/>
  <c r="F642" i="3"/>
  <c r="AC642" i="3"/>
  <c r="E642" i="3"/>
  <c r="H469" i="3"/>
  <c r="D469" i="3"/>
  <c r="B469" i="3"/>
  <c r="A469" i="3"/>
  <c r="AC469" i="3"/>
  <c r="G469" i="3"/>
  <c r="F469" i="3"/>
  <c r="C469" i="3"/>
  <c r="E469" i="3"/>
  <c r="A430" i="3"/>
  <c r="AC430" i="3"/>
  <c r="H430" i="3"/>
  <c r="G430" i="3"/>
  <c r="F430" i="3"/>
  <c r="D430" i="3"/>
  <c r="C430" i="3"/>
  <c r="B430" i="3"/>
  <c r="E430" i="3"/>
  <c r="A16" i="3"/>
  <c r="AC16" i="3"/>
  <c r="H16" i="3"/>
  <c r="G16" i="3"/>
  <c r="F16" i="3"/>
  <c r="D16" i="3"/>
  <c r="C16" i="3"/>
  <c r="B16" i="3"/>
  <c r="E16" i="3"/>
  <c r="A96" i="3"/>
  <c r="AC96" i="3"/>
  <c r="H96" i="3"/>
  <c r="G96" i="3"/>
  <c r="F96" i="3"/>
  <c r="D96" i="3"/>
  <c r="C96" i="3"/>
  <c r="B96" i="3"/>
  <c r="E96" i="3"/>
  <c r="H198" i="3"/>
  <c r="G198" i="3"/>
  <c r="F198" i="3"/>
  <c r="D198" i="3"/>
  <c r="C198" i="3"/>
  <c r="B198" i="3"/>
  <c r="A198" i="3"/>
  <c r="AC198" i="3"/>
  <c r="E198" i="3"/>
  <c r="A260" i="3"/>
  <c r="H260" i="3"/>
  <c r="G260" i="3"/>
  <c r="F260" i="3"/>
  <c r="C260" i="3"/>
  <c r="D260" i="3"/>
  <c r="B260" i="3"/>
  <c r="AC260" i="3"/>
  <c r="E260" i="3"/>
  <c r="A321" i="3"/>
  <c r="AC321" i="3"/>
  <c r="H321" i="3"/>
  <c r="G321" i="3"/>
  <c r="F321" i="3"/>
  <c r="C321" i="3"/>
  <c r="B321" i="3"/>
  <c r="D321" i="3"/>
  <c r="E321" i="3"/>
  <c r="D434" i="3"/>
  <c r="C434" i="3"/>
  <c r="A434" i="3"/>
  <c r="AC434" i="3"/>
  <c r="H434" i="3"/>
  <c r="G434" i="3"/>
  <c r="F434" i="3"/>
  <c r="B434" i="3"/>
  <c r="E434" i="3"/>
  <c r="B487" i="3"/>
  <c r="AC487" i="3"/>
  <c r="H487" i="3"/>
  <c r="G487" i="3"/>
  <c r="F487" i="3"/>
  <c r="D487" i="3"/>
  <c r="C487" i="3"/>
  <c r="A487" i="3"/>
  <c r="E487" i="3"/>
  <c r="AC9" i="3"/>
  <c r="D9" i="3"/>
  <c r="C9" i="3"/>
  <c r="B9" i="3"/>
  <c r="A9" i="3"/>
  <c r="H9" i="3"/>
  <c r="G9" i="3"/>
  <c r="F9" i="3"/>
  <c r="E9" i="3"/>
  <c r="A37" i="3"/>
  <c r="AC37" i="3"/>
  <c r="H37" i="3"/>
  <c r="G37" i="3"/>
  <c r="F37" i="3"/>
  <c r="D37" i="3"/>
  <c r="C37" i="3"/>
  <c r="B37" i="3"/>
  <c r="E37" i="3"/>
  <c r="A69" i="3"/>
  <c r="AC69" i="3"/>
  <c r="H69" i="3"/>
  <c r="G69" i="3"/>
  <c r="F69" i="3"/>
  <c r="D69" i="3"/>
  <c r="C69" i="3"/>
  <c r="B69" i="3"/>
  <c r="E69" i="3"/>
  <c r="A101" i="3"/>
  <c r="AC101" i="3"/>
  <c r="H101" i="3"/>
  <c r="G101" i="3"/>
  <c r="F101" i="3"/>
  <c r="D101" i="3"/>
  <c r="C101" i="3"/>
  <c r="B101" i="3"/>
  <c r="E101" i="3"/>
  <c r="A133" i="3"/>
  <c r="AC133" i="3"/>
  <c r="H133" i="3"/>
  <c r="G133" i="3"/>
  <c r="F133" i="3"/>
  <c r="D133" i="3"/>
  <c r="C133" i="3"/>
  <c r="B133" i="3"/>
  <c r="E133" i="3"/>
  <c r="AC221" i="3"/>
  <c r="F221" i="3"/>
  <c r="D221" i="3"/>
  <c r="H221" i="3"/>
  <c r="G221" i="3"/>
  <c r="C221" i="3"/>
  <c r="B221" i="3"/>
  <c r="A221" i="3"/>
  <c r="E221" i="3"/>
  <c r="A259" i="3"/>
  <c r="AC259" i="3"/>
  <c r="G259" i="3"/>
  <c r="F259" i="3"/>
  <c r="D259" i="3"/>
  <c r="C259" i="3"/>
  <c r="H259" i="3"/>
  <c r="B259" i="3"/>
  <c r="E259" i="3"/>
  <c r="D497" i="3"/>
  <c r="C497" i="3"/>
  <c r="B497" i="3"/>
  <c r="A497" i="3"/>
  <c r="F497" i="3"/>
  <c r="H497" i="3"/>
  <c r="G497" i="3"/>
  <c r="AC497" i="3"/>
  <c r="E497" i="3"/>
  <c r="A283" i="3"/>
  <c r="G283" i="3"/>
  <c r="AC283" i="3"/>
  <c r="H283" i="3"/>
  <c r="F283" i="3"/>
  <c r="D283" i="3"/>
  <c r="C283" i="3"/>
  <c r="B283" i="3"/>
  <c r="E283" i="3"/>
  <c r="A326" i="3"/>
  <c r="AC326" i="3"/>
  <c r="H326" i="3"/>
  <c r="G326" i="3"/>
  <c r="F326" i="3"/>
  <c r="D326" i="3"/>
  <c r="C326" i="3"/>
  <c r="B326" i="3"/>
  <c r="E326" i="3"/>
  <c r="G489" i="3"/>
  <c r="F489" i="3"/>
  <c r="D489" i="3"/>
  <c r="C489" i="3"/>
  <c r="AC489" i="3"/>
  <c r="H489" i="3"/>
  <c r="B489" i="3"/>
  <c r="A489" i="3"/>
  <c r="E489" i="3"/>
  <c r="A618" i="3"/>
  <c r="AC618" i="3"/>
  <c r="G618" i="3"/>
  <c r="F618" i="3"/>
  <c r="B618" i="3"/>
  <c r="H618" i="3"/>
  <c r="D618" i="3"/>
  <c r="C618" i="3"/>
  <c r="E618" i="3"/>
  <c r="H189" i="3"/>
  <c r="G189" i="3"/>
  <c r="F189" i="3"/>
  <c r="D189" i="3"/>
  <c r="C189" i="3"/>
  <c r="B189" i="3"/>
  <c r="A189" i="3"/>
  <c r="AC189" i="3"/>
  <c r="E189" i="3"/>
  <c r="D10" i="3"/>
  <c r="C10" i="3"/>
  <c r="B10" i="3"/>
  <c r="A10" i="3"/>
  <c r="AC10" i="3"/>
  <c r="H10" i="3"/>
  <c r="G10" i="3"/>
  <c r="F10" i="3"/>
  <c r="A22" i="3"/>
  <c r="AC22" i="3"/>
  <c r="H22" i="3"/>
  <c r="G22" i="3"/>
  <c r="F22" i="3"/>
  <c r="D22" i="3"/>
  <c r="C22" i="3"/>
  <c r="B22" i="3"/>
  <c r="E22" i="3"/>
  <c r="A38" i="3"/>
  <c r="AC38" i="3"/>
  <c r="H38" i="3"/>
  <c r="G38" i="3"/>
  <c r="F38" i="3"/>
  <c r="D38" i="3"/>
  <c r="C38" i="3"/>
  <c r="B38" i="3"/>
  <c r="E38" i="3"/>
  <c r="A54" i="3"/>
  <c r="AC54" i="3"/>
  <c r="H54" i="3"/>
  <c r="G54" i="3"/>
  <c r="F54" i="3"/>
  <c r="D54" i="3"/>
  <c r="C54" i="3"/>
  <c r="B54" i="3"/>
  <c r="E54" i="3"/>
  <c r="A70" i="3"/>
  <c r="AC70" i="3"/>
  <c r="H70" i="3"/>
  <c r="G70" i="3"/>
  <c r="F70" i="3"/>
  <c r="D70" i="3"/>
  <c r="C70" i="3"/>
  <c r="B70" i="3"/>
  <c r="E70" i="3"/>
  <c r="A86" i="3"/>
  <c r="AC86" i="3"/>
  <c r="H86" i="3"/>
  <c r="G86" i="3"/>
  <c r="F86" i="3"/>
  <c r="D86" i="3"/>
  <c r="C86" i="3"/>
  <c r="B86" i="3"/>
  <c r="E86" i="3"/>
  <c r="A102" i="3"/>
  <c r="AC102" i="3"/>
  <c r="H102" i="3"/>
  <c r="G102" i="3"/>
  <c r="F102" i="3"/>
  <c r="D102" i="3"/>
  <c r="C102" i="3"/>
  <c r="B102" i="3"/>
  <c r="E102" i="3"/>
  <c r="A118" i="3"/>
  <c r="AC118" i="3"/>
  <c r="H118" i="3"/>
  <c r="G118" i="3"/>
  <c r="F118" i="3"/>
  <c r="D118" i="3"/>
  <c r="C118" i="3"/>
  <c r="B118" i="3"/>
  <c r="E118" i="3"/>
  <c r="A134" i="3"/>
  <c r="AC134" i="3"/>
  <c r="H134" i="3"/>
  <c r="G134" i="3"/>
  <c r="F134" i="3"/>
  <c r="D134" i="3"/>
  <c r="C134" i="3"/>
  <c r="B134" i="3"/>
  <c r="E134" i="3"/>
  <c r="A150" i="3"/>
  <c r="AC150" i="3"/>
  <c r="H150" i="3"/>
  <c r="G150" i="3"/>
  <c r="F150" i="3"/>
  <c r="D150" i="3"/>
  <c r="C150" i="3"/>
  <c r="B150" i="3"/>
  <c r="E150" i="3"/>
  <c r="H175" i="3"/>
  <c r="G175" i="3"/>
  <c r="F175" i="3"/>
  <c r="D175" i="3"/>
  <c r="C175" i="3"/>
  <c r="B175" i="3"/>
  <c r="A175" i="3"/>
  <c r="AC175" i="3"/>
  <c r="E175" i="3"/>
  <c r="A276" i="3"/>
  <c r="G276" i="3"/>
  <c r="AC276" i="3"/>
  <c r="D276" i="3"/>
  <c r="C276" i="3"/>
  <c r="B276" i="3"/>
  <c r="H276" i="3"/>
  <c r="F276" i="3"/>
  <c r="E276" i="3"/>
  <c r="AC237" i="3"/>
  <c r="F237" i="3"/>
  <c r="D237" i="3"/>
  <c r="H237" i="3"/>
  <c r="G237" i="3"/>
  <c r="C237" i="3"/>
  <c r="B237" i="3"/>
  <c r="A237" i="3"/>
  <c r="E237" i="3"/>
  <c r="H533" i="3"/>
  <c r="G533" i="3"/>
  <c r="D533" i="3"/>
  <c r="C533" i="3"/>
  <c r="A533" i="3"/>
  <c r="AC533" i="3"/>
  <c r="F533" i="3"/>
  <c r="B533" i="3"/>
  <c r="E533" i="3"/>
  <c r="A304" i="3"/>
  <c r="AC304" i="3"/>
  <c r="G304" i="3"/>
  <c r="D304" i="3"/>
  <c r="C304" i="3"/>
  <c r="B304" i="3"/>
  <c r="H304" i="3"/>
  <c r="F304" i="3"/>
  <c r="E304" i="3"/>
  <c r="A287" i="3"/>
  <c r="G287" i="3"/>
  <c r="AC287" i="3"/>
  <c r="H287" i="3"/>
  <c r="F287" i="3"/>
  <c r="D287" i="3"/>
  <c r="C287" i="3"/>
  <c r="B287" i="3"/>
  <c r="E287" i="3"/>
  <c r="AC544" i="3"/>
  <c r="H544" i="3"/>
  <c r="G544" i="3"/>
  <c r="F544" i="3"/>
  <c r="D544" i="3"/>
  <c r="B544" i="3"/>
  <c r="C544" i="3"/>
  <c r="A544" i="3"/>
  <c r="E544" i="3"/>
  <c r="A327" i="3"/>
  <c r="AC327" i="3"/>
  <c r="H327" i="3"/>
  <c r="G327" i="3"/>
  <c r="F327" i="3"/>
  <c r="C327" i="3"/>
  <c r="B327" i="3"/>
  <c r="D327" i="3"/>
  <c r="E327" i="3"/>
  <c r="A343" i="3"/>
  <c r="AC343" i="3"/>
  <c r="H343" i="3"/>
  <c r="G343" i="3"/>
  <c r="F343" i="3"/>
  <c r="D343" i="3"/>
  <c r="C343" i="3"/>
  <c r="B343" i="3"/>
  <c r="E343" i="3"/>
  <c r="H369" i="3"/>
  <c r="G369" i="3"/>
  <c r="F369" i="3"/>
  <c r="D369" i="3"/>
  <c r="C369" i="3"/>
  <c r="A369" i="3"/>
  <c r="B369" i="3"/>
  <c r="AC369" i="3"/>
  <c r="E369" i="3"/>
  <c r="H374" i="3"/>
  <c r="G374" i="3"/>
  <c r="F374" i="3"/>
  <c r="D374" i="3"/>
  <c r="C374" i="3"/>
  <c r="B374" i="3"/>
  <c r="A374" i="3"/>
  <c r="AC374" i="3"/>
  <c r="E374" i="3"/>
  <c r="C477" i="3"/>
  <c r="B477" i="3"/>
  <c r="D477" i="3"/>
  <c r="A477" i="3"/>
  <c r="AC477" i="3"/>
  <c r="H477" i="3"/>
  <c r="G477" i="3"/>
  <c r="F477" i="3"/>
  <c r="E477" i="3"/>
  <c r="A522" i="3"/>
  <c r="D522" i="3"/>
  <c r="C522" i="3"/>
  <c r="B522" i="3"/>
  <c r="AC522" i="3"/>
  <c r="H522" i="3"/>
  <c r="G522" i="3"/>
  <c r="F522" i="3"/>
  <c r="E522" i="3"/>
  <c r="F635" i="3"/>
  <c r="B635" i="3"/>
  <c r="A635" i="3"/>
  <c r="AC635" i="3"/>
  <c r="H635" i="3"/>
  <c r="G635" i="3"/>
  <c r="D635" i="3"/>
  <c r="C635" i="3"/>
  <c r="E635" i="3"/>
  <c r="AC510" i="3"/>
  <c r="D510" i="3"/>
  <c r="H510" i="3"/>
  <c r="G510" i="3"/>
  <c r="F510" i="3"/>
  <c r="A510" i="3"/>
  <c r="C510" i="3"/>
  <c r="B510" i="3"/>
  <c r="E510" i="3"/>
  <c r="AC620" i="3"/>
  <c r="G620" i="3"/>
  <c r="F620" i="3"/>
  <c r="D620" i="3"/>
  <c r="C620" i="3"/>
  <c r="B620" i="3"/>
  <c r="A620" i="3"/>
  <c r="H620" i="3"/>
  <c r="E620" i="3"/>
  <c r="C596" i="3"/>
  <c r="B596" i="3"/>
  <c r="G596" i="3"/>
  <c r="H596" i="3"/>
  <c r="AC596" i="3"/>
  <c r="F596" i="3"/>
  <c r="D596" i="3"/>
  <c r="A596" i="3"/>
  <c r="E596" i="3"/>
  <c r="C516" i="3"/>
  <c r="G516" i="3"/>
  <c r="H516" i="3"/>
  <c r="F516" i="3"/>
  <c r="D516" i="3"/>
  <c r="B516" i="3"/>
  <c r="A516" i="3"/>
  <c r="AC516" i="3"/>
  <c r="E516" i="3"/>
  <c r="C660" i="3"/>
  <c r="B660" i="3"/>
  <c r="AC660" i="3"/>
  <c r="G660" i="3"/>
  <c r="A660" i="3"/>
  <c r="H660" i="3"/>
  <c r="F660" i="3"/>
  <c r="D660" i="3"/>
  <c r="E660" i="3"/>
  <c r="H565" i="3"/>
  <c r="G565" i="3"/>
  <c r="D565" i="3"/>
  <c r="C565" i="3"/>
  <c r="AC565" i="3"/>
  <c r="B565" i="3"/>
  <c r="A565" i="3"/>
  <c r="F565" i="3"/>
  <c r="E565" i="3"/>
  <c r="F619" i="3"/>
  <c r="B619" i="3"/>
  <c r="A619" i="3"/>
  <c r="AC619" i="3"/>
  <c r="H619" i="3"/>
  <c r="D619" i="3"/>
  <c r="C619" i="3"/>
  <c r="G619" i="3"/>
  <c r="E619" i="3"/>
  <c r="D481" i="3"/>
  <c r="H481" i="3"/>
  <c r="G481" i="3"/>
  <c r="F481" i="3"/>
  <c r="C481" i="3"/>
  <c r="B481" i="3"/>
  <c r="A481" i="3"/>
  <c r="AC481" i="3"/>
  <c r="E481" i="3"/>
  <c r="D577" i="3"/>
  <c r="C577" i="3"/>
  <c r="H577" i="3"/>
  <c r="G577" i="3"/>
  <c r="F577" i="3"/>
  <c r="A577" i="3"/>
  <c r="AC577" i="3"/>
  <c r="B577" i="3"/>
  <c r="E577" i="3"/>
  <c r="A634" i="3"/>
  <c r="AC634" i="3"/>
  <c r="H634" i="3"/>
  <c r="G634" i="3"/>
  <c r="C634" i="3"/>
  <c r="F634" i="3"/>
  <c r="D634" i="3"/>
  <c r="B634" i="3"/>
  <c r="E634" i="3"/>
  <c r="H598" i="3"/>
  <c r="A598" i="3"/>
  <c r="AC598" i="3"/>
  <c r="G598" i="3"/>
  <c r="F598" i="3"/>
  <c r="D598" i="3"/>
  <c r="C598" i="3"/>
  <c r="B598" i="3"/>
  <c r="E598" i="3"/>
  <c r="F671" i="3"/>
  <c r="D671" i="3"/>
  <c r="C671" i="3"/>
  <c r="B671" i="3"/>
  <c r="H671" i="3"/>
  <c r="G671" i="3"/>
  <c r="A671" i="3"/>
  <c r="AC671" i="3"/>
  <c r="E671" i="3"/>
  <c r="H674" i="3"/>
  <c r="D674" i="3"/>
  <c r="C674" i="3"/>
  <c r="B674" i="3"/>
  <c r="A674" i="3"/>
  <c r="G674" i="3"/>
  <c r="F674" i="3"/>
  <c r="AC674" i="3"/>
  <c r="E674" i="3"/>
  <c r="A15" i="3"/>
  <c r="AC15" i="3"/>
  <c r="H15" i="3"/>
  <c r="G15" i="3"/>
  <c r="F15" i="3"/>
  <c r="D15" i="3"/>
  <c r="C15" i="3"/>
  <c r="B15" i="3"/>
  <c r="E15" i="3"/>
  <c r="A79" i="3"/>
  <c r="AC79" i="3"/>
  <c r="H79" i="3"/>
  <c r="G79" i="3"/>
  <c r="F79" i="3"/>
  <c r="D79" i="3"/>
  <c r="C79" i="3"/>
  <c r="B79" i="3"/>
  <c r="E79" i="3"/>
  <c r="A127" i="3"/>
  <c r="AC127" i="3"/>
  <c r="H127" i="3"/>
  <c r="G127" i="3"/>
  <c r="F127" i="3"/>
  <c r="D127" i="3"/>
  <c r="C127" i="3"/>
  <c r="B127" i="3"/>
  <c r="E127" i="3"/>
  <c r="AC230" i="3"/>
  <c r="F230" i="3"/>
  <c r="D230" i="3"/>
  <c r="G230" i="3"/>
  <c r="C230" i="3"/>
  <c r="B230" i="3"/>
  <c r="A230" i="3"/>
  <c r="H230" i="3"/>
  <c r="E230" i="3"/>
  <c r="H405" i="3"/>
  <c r="G405" i="3"/>
  <c r="F405" i="3"/>
  <c r="D405" i="3"/>
  <c r="C405" i="3"/>
  <c r="B405" i="3"/>
  <c r="A405" i="3"/>
  <c r="AC405" i="3"/>
  <c r="E405" i="3"/>
  <c r="H396" i="3"/>
  <c r="G396" i="3"/>
  <c r="F396" i="3"/>
  <c r="D396" i="3"/>
  <c r="C396" i="3"/>
  <c r="B396" i="3"/>
  <c r="A396" i="3"/>
  <c r="AC396" i="3"/>
  <c r="E396" i="3"/>
  <c r="A352" i="3"/>
  <c r="AC352" i="3"/>
  <c r="H352" i="3"/>
  <c r="G352" i="3"/>
  <c r="F352" i="3"/>
  <c r="C352" i="3"/>
  <c r="B352" i="3"/>
  <c r="D352" i="3"/>
  <c r="E352" i="3"/>
  <c r="H613" i="3"/>
  <c r="G613" i="3"/>
  <c r="D613" i="3"/>
  <c r="C613" i="3"/>
  <c r="A613" i="3"/>
  <c r="AC613" i="3"/>
  <c r="F613" i="3"/>
  <c r="B613" i="3"/>
  <c r="E613" i="3"/>
  <c r="F439" i="3"/>
  <c r="D439" i="3"/>
  <c r="C439" i="3"/>
  <c r="B439" i="3"/>
  <c r="A439" i="3"/>
  <c r="AC439" i="3"/>
  <c r="H439" i="3"/>
  <c r="G439" i="3"/>
  <c r="E439" i="3"/>
  <c r="AC605" i="3"/>
  <c r="D605" i="3"/>
  <c r="H605" i="3"/>
  <c r="G605" i="3"/>
  <c r="B605" i="3"/>
  <c r="F605" i="3"/>
  <c r="C605" i="3"/>
  <c r="A605" i="3"/>
  <c r="E605" i="3"/>
  <c r="AC685" i="3"/>
  <c r="H685" i="3"/>
  <c r="D685" i="3"/>
  <c r="G685" i="3"/>
  <c r="F685" i="3"/>
  <c r="C685" i="3"/>
  <c r="B685" i="3"/>
  <c r="A685" i="3"/>
  <c r="E685" i="3"/>
  <c r="A48" i="3"/>
  <c r="AC48" i="3"/>
  <c r="H48" i="3"/>
  <c r="G48" i="3"/>
  <c r="F48" i="3"/>
  <c r="D48" i="3"/>
  <c r="C48" i="3"/>
  <c r="B48" i="3"/>
  <c r="E48" i="3"/>
  <c r="A112" i="3"/>
  <c r="AC112" i="3"/>
  <c r="H112" i="3"/>
  <c r="G112" i="3"/>
  <c r="F112" i="3"/>
  <c r="D112" i="3"/>
  <c r="C112" i="3"/>
  <c r="B112" i="3"/>
  <c r="E112" i="3"/>
  <c r="AC245" i="3"/>
  <c r="F245" i="3"/>
  <c r="D245" i="3"/>
  <c r="C245" i="3"/>
  <c r="B245" i="3"/>
  <c r="H245" i="3"/>
  <c r="G245" i="3"/>
  <c r="A245" i="3"/>
  <c r="E245" i="3"/>
  <c r="F475" i="3"/>
  <c r="H475" i="3"/>
  <c r="G475" i="3"/>
  <c r="D475" i="3"/>
  <c r="C475" i="3"/>
  <c r="AC475" i="3"/>
  <c r="B475" i="3"/>
  <c r="A475" i="3"/>
  <c r="E475" i="3"/>
  <c r="AC445" i="3"/>
  <c r="H445" i="3"/>
  <c r="G445" i="3"/>
  <c r="D445" i="3"/>
  <c r="C445" i="3"/>
  <c r="B445" i="3"/>
  <c r="A445" i="3"/>
  <c r="F445" i="3"/>
  <c r="E445" i="3"/>
  <c r="AC446" i="3"/>
  <c r="H446" i="3"/>
  <c r="G446" i="3"/>
  <c r="F446" i="3"/>
  <c r="D446" i="3"/>
  <c r="C446" i="3"/>
  <c r="B446" i="3"/>
  <c r="A446" i="3"/>
  <c r="E446" i="3"/>
  <c r="B455" i="3"/>
  <c r="A455" i="3"/>
  <c r="AC455" i="3"/>
  <c r="H455" i="3"/>
  <c r="G455" i="3"/>
  <c r="F455" i="3"/>
  <c r="D455" i="3"/>
  <c r="C455" i="3"/>
  <c r="E455" i="3"/>
  <c r="H691" i="3"/>
  <c r="G691" i="3"/>
  <c r="F691" i="3"/>
  <c r="B691" i="3"/>
  <c r="AC691" i="3"/>
  <c r="D691" i="3"/>
  <c r="C691" i="3"/>
  <c r="A691" i="3"/>
  <c r="E691" i="3"/>
  <c r="H173" i="3"/>
  <c r="G173" i="3"/>
  <c r="F173" i="3"/>
  <c r="D173" i="3"/>
  <c r="C173" i="3"/>
  <c r="B173" i="3"/>
  <c r="A173" i="3"/>
  <c r="AC173" i="3"/>
  <c r="E173" i="3"/>
  <c r="A21" i="3"/>
  <c r="AC21" i="3"/>
  <c r="H21" i="3"/>
  <c r="G21" i="3"/>
  <c r="F21" i="3"/>
  <c r="D21" i="3"/>
  <c r="C21" i="3"/>
  <c r="B21" i="3"/>
  <c r="E21" i="3"/>
  <c r="A53" i="3"/>
  <c r="AC53" i="3"/>
  <c r="H53" i="3"/>
  <c r="G53" i="3"/>
  <c r="F53" i="3"/>
  <c r="D53" i="3"/>
  <c r="C53" i="3"/>
  <c r="B53" i="3"/>
  <c r="E53" i="3"/>
  <c r="A85" i="3"/>
  <c r="AC85" i="3"/>
  <c r="H85" i="3"/>
  <c r="G85" i="3"/>
  <c r="F85" i="3"/>
  <c r="D85" i="3"/>
  <c r="C85" i="3"/>
  <c r="B85" i="3"/>
  <c r="E85" i="3"/>
  <c r="A117" i="3"/>
  <c r="AC117" i="3"/>
  <c r="H117" i="3"/>
  <c r="G117" i="3"/>
  <c r="F117" i="3"/>
  <c r="D117" i="3"/>
  <c r="C117" i="3"/>
  <c r="B117" i="3"/>
  <c r="E117" i="3"/>
  <c r="A149" i="3"/>
  <c r="AC149" i="3"/>
  <c r="H149" i="3"/>
  <c r="G149" i="3"/>
  <c r="F149" i="3"/>
  <c r="D149" i="3"/>
  <c r="C149" i="3"/>
  <c r="B149" i="3"/>
  <c r="E149" i="3"/>
  <c r="AC246" i="3"/>
  <c r="F246" i="3"/>
  <c r="D246" i="3"/>
  <c r="C246" i="3"/>
  <c r="B246" i="3"/>
  <c r="H246" i="3"/>
  <c r="G246" i="3"/>
  <c r="A246" i="3"/>
  <c r="E246" i="3"/>
  <c r="AC214" i="3"/>
  <c r="D214" i="3"/>
  <c r="G214" i="3"/>
  <c r="F214" i="3"/>
  <c r="C214" i="3"/>
  <c r="B214" i="3"/>
  <c r="A214" i="3"/>
  <c r="H214" i="3"/>
  <c r="E214" i="3"/>
  <c r="AC248" i="3"/>
  <c r="F248" i="3"/>
  <c r="D248" i="3"/>
  <c r="C248" i="3"/>
  <c r="B248" i="3"/>
  <c r="H248" i="3"/>
  <c r="G248" i="3"/>
  <c r="A248" i="3"/>
  <c r="E248" i="3"/>
  <c r="H364" i="3"/>
  <c r="G364" i="3"/>
  <c r="F364" i="3"/>
  <c r="D364" i="3"/>
  <c r="C364" i="3"/>
  <c r="A364" i="3"/>
  <c r="B364" i="3"/>
  <c r="AC364" i="3"/>
  <c r="E364" i="3"/>
  <c r="H402" i="3"/>
  <c r="G402" i="3"/>
  <c r="F402" i="3"/>
  <c r="D402" i="3"/>
  <c r="C402" i="3"/>
  <c r="B402" i="3"/>
  <c r="A402" i="3"/>
  <c r="AC402" i="3"/>
  <c r="E402" i="3"/>
  <c r="A342" i="3"/>
  <c r="AC342" i="3"/>
  <c r="H342" i="3"/>
  <c r="G342" i="3"/>
  <c r="F342" i="3"/>
  <c r="D342" i="3"/>
  <c r="C342" i="3"/>
  <c r="B342" i="3"/>
  <c r="E342" i="3"/>
  <c r="H365" i="3"/>
  <c r="G365" i="3"/>
  <c r="F365" i="3"/>
  <c r="D365" i="3"/>
  <c r="C365" i="3"/>
  <c r="A365" i="3"/>
  <c r="B365" i="3"/>
  <c r="AC365" i="3"/>
  <c r="E365" i="3"/>
  <c r="G441" i="3"/>
  <c r="F441" i="3"/>
  <c r="D441" i="3"/>
  <c r="C441" i="3"/>
  <c r="H441" i="3"/>
  <c r="B441" i="3"/>
  <c r="A441" i="3"/>
  <c r="AC441" i="3"/>
  <c r="E441" i="3"/>
  <c r="A502" i="3"/>
  <c r="G502" i="3"/>
  <c r="B502" i="3"/>
  <c r="AC502" i="3"/>
  <c r="H502" i="3"/>
  <c r="F502" i="3"/>
  <c r="D502" i="3"/>
  <c r="C502" i="3"/>
  <c r="E502" i="3"/>
  <c r="H549" i="3"/>
  <c r="G549" i="3"/>
  <c r="D549" i="3"/>
  <c r="C549" i="3"/>
  <c r="AC549" i="3"/>
  <c r="F549" i="3"/>
  <c r="B549" i="3"/>
  <c r="A549" i="3"/>
  <c r="E549" i="3"/>
  <c r="D511" i="3"/>
  <c r="C511" i="3"/>
  <c r="B511" i="3"/>
  <c r="A511" i="3"/>
  <c r="AC511" i="3"/>
  <c r="H511" i="3"/>
  <c r="G511" i="3"/>
  <c r="F511" i="3"/>
  <c r="E511" i="3"/>
  <c r="H693" i="3"/>
  <c r="G693" i="3"/>
  <c r="D693" i="3"/>
  <c r="C693" i="3"/>
  <c r="B693" i="3"/>
  <c r="A693" i="3"/>
  <c r="AC693" i="3"/>
  <c r="F693" i="3"/>
  <c r="E693" i="3"/>
  <c r="D561" i="3"/>
  <c r="C561" i="3"/>
  <c r="AC561" i="3"/>
  <c r="G561" i="3"/>
  <c r="A561" i="3"/>
  <c r="F561" i="3"/>
  <c r="B561" i="3"/>
  <c r="H561" i="3"/>
  <c r="E561" i="3"/>
  <c r="G467" i="3"/>
  <c r="F467" i="3"/>
  <c r="AC467" i="3"/>
  <c r="H467" i="3"/>
  <c r="D467" i="3"/>
  <c r="C467" i="3"/>
  <c r="B467" i="3"/>
  <c r="A467" i="3"/>
  <c r="E467" i="3"/>
  <c r="AC573" i="3"/>
  <c r="H573" i="3"/>
  <c r="G573" i="3"/>
  <c r="F573" i="3"/>
  <c r="C573" i="3"/>
  <c r="B573" i="3"/>
  <c r="A573" i="3"/>
  <c r="D573" i="3"/>
  <c r="E573" i="3"/>
  <c r="AC704" i="3"/>
  <c r="H704" i="3"/>
  <c r="G704" i="3"/>
  <c r="C704" i="3"/>
  <c r="F704" i="3"/>
  <c r="A704" i="3"/>
  <c r="D704" i="3"/>
  <c r="B704" i="3"/>
  <c r="E704" i="3"/>
  <c r="A152" i="3"/>
  <c r="H152" i="3"/>
  <c r="G152" i="3"/>
  <c r="F152" i="3"/>
  <c r="AC152" i="3"/>
  <c r="D152" i="3"/>
  <c r="C152" i="3"/>
  <c r="B152" i="3"/>
  <c r="E152" i="3"/>
  <c r="C11" i="3"/>
  <c r="B11" i="3"/>
  <c r="A11" i="3"/>
  <c r="AC11" i="3"/>
  <c r="H11" i="3"/>
  <c r="G11" i="3"/>
  <c r="F11" i="3"/>
  <c r="D11" i="3"/>
  <c r="E11" i="3"/>
  <c r="A23" i="3"/>
  <c r="AC23" i="3"/>
  <c r="H23" i="3"/>
  <c r="G23" i="3"/>
  <c r="F23" i="3"/>
  <c r="D23" i="3"/>
  <c r="C23" i="3"/>
  <c r="B23" i="3"/>
  <c r="E23" i="3"/>
  <c r="A39" i="3"/>
  <c r="AC39" i="3"/>
  <c r="H39" i="3"/>
  <c r="G39" i="3"/>
  <c r="F39" i="3"/>
  <c r="D39" i="3"/>
  <c r="C39" i="3"/>
  <c r="B39" i="3"/>
  <c r="E39" i="3"/>
  <c r="A55" i="3"/>
  <c r="AC55" i="3"/>
  <c r="H55" i="3"/>
  <c r="G55" i="3"/>
  <c r="F55" i="3"/>
  <c r="D55" i="3"/>
  <c r="C55" i="3"/>
  <c r="B55" i="3"/>
  <c r="E55" i="3"/>
  <c r="A71" i="3"/>
  <c r="AC71" i="3"/>
  <c r="H71" i="3"/>
  <c r="G71" i="3"/>
  <c r="F71" i="3"/>
  <c r="D71" i="3"/>
  <c r="C71" i="3"/>
  <c r="B71" i="3"/>
  <c r="E71" i="3"/>
  <c r="A87" i="3"/>
  <c r="AC87" i="3"/>
  <c r="H87" i="3"/>
  <c r="G87" i="3"/>
  <c r="F87" i="3"/>
  <c r="D87" i="3"/>
  <c r="C87" i="3"/>
  <c r="B87" i="3"/>
  <c r="E87" i="3"/>
  <c r="A103" i="3"/>
  <c r="AC103" i="3"/>
  <c r="H103" i="3"/>
  <c r="G103" i="3"/>
  <c r="F103" i="3"/>
  <c r="D103" i="3"/>
  <c r="C103" i="3"/>
  <c r="B103" i="3"/>
  <c r="E103" i="3"/>
  <c r="A119" i="3"/>
  <c r="AC119" i="3"/>
  <c r="H119" i="3"/>
  <c r="G119" i="3"/>
  <c r="F119" i="3"/>
  <c r="D119" i="3"/>
  <c r="C119" i="3"/>
  <c r="B119" i="3"/>
  <c r="E119" i="3"/>
  <c r="A135" i="3"/>
  <c r="AC135" i="3"/>
  <c r="H135" i="3"/>
  <c r="G135" i="3"/>
  <c r="F135" i="3"/>
  <c r="D135" i="3"/>
  <c r="C135" i="3"/>
  <c r="B135" i="3"/>
  <c r="E135" i="3"/>
  <c r="A151" i="3"/>
  <c r="AC151" i="3"/>
  <c r="H151" i="3"/>
  <c r="G151" i="3"/>
  <c r="F151" i="3"/>
  <c r="D151" i="3"/>
  <c r="C151" i="3"/>
  <c r="B151" i="3"/>
  <c r="E151" i="3"/>
  <c r="AC218" i="3"/>
  <c r="F218" i="3"/>
  <c r="D218" i="3"/>
  <c r="H218" i="3"/>
  <c r="G218" i="3"/>
  <c r="B218" i="3"/>
  <c r="A218" i="3"/>
  <c r="C218" i="3"/>
  <c r="E218" i="3"/>
  <c r="A280" i="3"/>
  <c r="G280" i="3"/>
  <c r="AC280" i="3"/>
  <c r="D280" i="3"/>
  <c r="C280" i="3"/>
  <c r="B280" i="3"/>
  <c r="F280" i="3"/>
  <c r="H280" i="3"/>
  <c r="E280" i="3"/>
  <c r="A284" i="3"/>
  <c r="G284" i="3"/>
  <c r="AC284" i="3"/>
  <c r="D284" i="3"/>
  <c r="C284" i="3"/>
  <c r="B284" i="3"/>
  <c r="H284" i="3"/>
  <c r="F284" i="3"/>
  <c r="E284" i="3"/>
  <c r="AC250" i="3"/>
  <c r="F250" i="3"/>
  <c r="D250" i="3"/>
  <c r="C250" i="3"/>
  <c r="B250" i="3"/>
  <c r="H250" i="3"/>
  <c r="G250" i="3"/>
  <c r="A250" i="3"/>
  <c r="E250" i="3"/>
  <c r="C410" i="3"/>
  <c r="B410" i="3"/>
  <c r="A410" i="3"/>
  <c r="AC410" i="3"/>
  <c r="H410" i="3"/>
  <c r="G410" i="3"/>
  <c r="F410" i="3"/>
  <c r="D410" i="3"/>
  <c r="E410" i="3"/>
  <c r="F428" i="3"/>
  <c r="C428" i="3"/>
  <c r="B428" i="3"/>
  <c r="AC428" i="3"/>
  <c r="H428" i="3"/>
  <c r="G428" i="3"/>
  <c r="D428" i="3"/>
  <c r="A428" i="3"/>
  <c r="E428" i="3"/>
  <c r="A312" i="3"/>
  <c r="AC312" i="3"/>
  <c r="G312" i="3"/>
  <c r="D312" i="3"/>
  <c r="C312" i="3"/>
  <c r="B312" i="3"/>
  <c r="H312" i="3"/>
  <c r="F312" i="3"/>
  <c r="E312" i="3"/>
  <c r="A328" i="3"/>
  <c r="AC328" i="3"/>
  <c r="H328" i="3"/>
  <c r="G328" i="3"/>
  <c r="F328" i="3"/>
  <c r="D328" i="3"/>
  <c r="B328" i="3"/>
  <c r="C328" i="3"/>
  <c r="E328" i="3"/>
  <c r="A344" i="3"/>
  <c r="AC344" i="3"/>
  <c r="H344" i="3"/>
  <c r="G344" i="3"/>
  <c r="F344" i="3"/>
  <c r="C344" i="3"/>
  <c r="B344" i="3"/>
  <c r="D344" i="3"/>
  <c r="E344" i="3"/>
  <c r="AC449" i="3"/>
  <c r="D449" i="3"/>
  <c r="C449" i="3"/>
  <c r="B449" i="3"/>
  <c r="A449" i="3"/>
  <c r="H449" i="3"/>
  <c r="G449" i="3"/>
  <c r="F449" i="3"/>
  <c r="E449" i="3"/>
  <c r="H375" i="3"/>
  <c r="G375" i="3"/>
  <c r="F375" i="3"/>
  <c r="D375" i="3"/>
  <c r="C375" i="3"/>
  <c r="B375" i="3"/>
  <c r="A375" i="3"/>
  <c r="AC375" i="3"/>
  <c r="E375" i="3"/>
  <c r="AC589" i="3"/>
  <c r="D589" i="3"/>
  <c r="C589" i="3"/>
  <c r="B589" i="3"/>
  <c r="A589" i="3"/>
  <c r="G589" i="3"/>
  <c r="H589" i="3"/>
  <c r="F589" i="3"/>
  <c r="E589" i="3"/>
  <c r="C548" i="3"/>
  <c r="B548" i="3"/>
  <c r="H548" i="3"/>
  <c r="G548" i="3"/>
  <c r="F548" i="3"/>
  <c r="D548" i="3"/>
  <c r="AC548" i="3"/>
  <c r="A548" i="3"/>
  <c r="E548" i="3"/>
  <c r="H645" i="3"/>
  <c r="G645" i="3"/>
  <c r="D645" i="3"/>
  <c r="C645" i="3"/>
  <c r="B645" i="3"/>
  <c r="A645" i="3"/>
  <c r="F645" i="3"/>
  <c r="AC645" i="3"/>
  <c r="E645" i="3"/>
  <c r="D657" i="3"/>
  <c r="C657" i="3"/>
  <c r="H657" i="3"/>
  <c r="B657" i="3"/>
  <c r="A657" i="3"/>
  <c r="AC657" i="3"/>
  <c r="F657" i="3"/>
  <c r="G657" i="3"/>
  <c r="E657" i="3"/>
  <c r="AC576" i="3"/>
  <c r="F576" i="3"/>
  <c r="B576" i="3"/>
  <c r="H576" i="3"/>
  <c r="G576" i="3"/>
  <c r="D576" i="3"/>
  <c r="C576" i="3"/>
  <c r="A576" i="3"/>
  <c r="E576" i="3"/>
  <c r="AC553" i="3"/>
  <c r="H553" i="3"/>
  <c r="G553" i="3"/>
  <c r="C553" i="3"/>
  <c r="F553" i="3"/>
  <c r="D553" i="3"/>
  <c r="B553" i="3"/>
  <c r="A553" i="3"/>
  <c r="E553" i="3"/>
  <c r="AC592" i="3"/>
  <c r="C592" i="3"/>
  <c r="G592" i="3"/>
  <c r="B592" i="3"/>
  <c r="F592" i="3"/>
  <c r="D592" i="3"/>
  <c r="A592" i="3"/>
  <c r="H592" i="3"/>
  <c r="E592" i="3"/>
  <c r="C644" i="3"/>
  <c r="B644" i="3"/>
  <c r="AC644" i="3"/>
  <c r="G644" i="3"/>
  <c r="H644" i="3"/>
  <c r="D644" i="3"/>
  <c r="A644" i="3"/>
  <c r="F644" i="3"/>
  <c r="E644" i="3"/>
  <c r="A650" i="3"/>
  <c r="AC650" i="3"/>
  <c r="H650" i="3"/>
  <c r="G650" i="3"/>
  <c r="F650" i="3"/>
  <c r="C650" i="3"/>
  <c r="B650" i="3"/>
  <c r="D650" i="3"/>
  <c r="E650" i="3"/>
  <c r="H614" i="3"/>
  <c r="F614" i="3"/>
  <c r="A614" i="3"/>
  <c r="AC614" i="3"/>
  <c r="G614" i="3"/>
  <c r="D614" i="3"/>
  <c r="B614" i="3"/>
  <c r="C614" i="3"/>
  <c r="E614" i="3"/>
  <c r="F687" i="3"/>
  <c r="D687" i="3"/>
  <c r="C687" i="3"/>
  <c r="B687" i="3"/>
  <c r="AC687" i="3"/>
  <c r="H687" i="3"/>
  <c r="G687" i="3"/>
  <c r="A687" i="3"/>
  <c r="E687" i="3"/>
  <c r="H690" i="3"/>
  <c r="D690" i="3"/>
  <c r="C690" i="3"/>
  <c r="B690" i="3"/>
  <c r="A690" i="3"/>
  <c r="AC690" i="3"/>
  <c r="G690" i="3"/>
  <c r="F690" i="3"/>
  <c r="E690" i="3"/>
  <c r="B695" i="3"/>
  <c r="A695" i="3"/>
  <c r="AC695" i="3"/>
  <c r="F695" i="3"/>
  <c r="H695" i="3"/>
  <c r="D695" i="3"/>
  <c r="G695" i="3"/>
  <c r="C695" i="3"/>
  <c r="E695" i="3"/>
  <c r="AC241" i="3"/>
  <c r="F241" i="3"/>
  <c r="D241" i="3"/>
  <c r="C241" i="3"/>
  <c r="B241" i="3"/>
  <c r="H241" i="3"/>
  <c r="G241" i="3"/>
  <c r="A241" i="3"/>
  <c r="E241" i="3"/>
  <c r="H178" i="3"/>
  <c r="G178" i="3"/>
  <c r="F178" i="3"/>
  <c r="D178" i="3"/>
  <c r="C178" i="3"/>
  <c r="B178" i="3"/>
  <c r="A178" i="3"/>
  <c r="AC178" i="3"/>
  <c r="E178" i="3"/>
  <c r="H199" i="3"/>
  <c r="G199" i="3"/>
  <c r="F199" i="3"/>
  <c r="D199" i="3"/>
  <c r="C199" i="3"/>
  <c r="B199" i="3"/>
  <c r="A199" i="3"/>
  <c r="AC199" i="3"/>
  <c r="E199" i="3"/>
  <c r="H209" i="3"/>
  <c r="G209" i="3"/>
  <c r="F209" i="3"/>
  <c r="D209" i="3"/>
  <c r="C209" i="3"/>
  <c r="B209" i="3"/>
  <c r="A209" i="3"/>
  <c r="AC209" i="3"/>
  <c r="E209" i="3"/>
  <c r="A26" i="3"/>
  <c r="AC26" i="3"/>
  <c r="H26" i="3"/>
  <c r="G26" i="3"/>
  <c r="F26" i="3"/>
  <c r="D26" i="3"/>
  <c r="C26" i="3"/>
  <c r="B26" i="3"/>
  <c r="E26" i="3"/>
  <c r="A42" i="3"/>
  <c r="AC42" i="3"/>
  <c r="H42" i="3"/>
  <c r="G42" i="3"/>
  <c r="F42" i="3"/>
  <c r="D42" i="3"/>
  <c r="C42" i="3"/>
  <c r="B42" i="3"/>
  <c r="E42" i="3"/>
  <c r="A58" i="3"/>
  <c r="AC58" i="3"/>
  <c r="H58" i="3"/>
  <c r="G58" i="3"/>
  <c r="F58" i="3"/>
  <c r="D58" i="3"/>
  <c r="C58" i="3"/>
  <c r="B58" i="3"/>
  <c r="E58" i="3"/>
  <c r="A74" i="3"/>
  <c r="AC74" i="3"/>
  <c r="H74" i="3"/>
  <c r="G74" i="3"/>
  <c r="F74" i="3"/>
  <c r="D74" i="3"/>
  <c r="C74" i="3"/>
  <c r="B74" i="3"/>
  <c r="E74" i="3"/>
  <c r="A90" i="3"/>
  <c r="AC90" i="3"/>
  <c r="H90" i="3"/>
  <c r="G90" i="3"/>
  <c r="F90" i="3"/>
  <c r="D90" i="3"/>
  <c r="C90" i="3"/>
  <c r="B90" i="3"/>
  <c r="E90" i="3"/>
  <c r="A106" i="3"/>
  <c r="AC106" i="3"/>
  <c r="H106" i="3"/>
  <c r="G106" i="3"/>
  <c r="F106" i="3"/>
  <c r="D106" i="3"/>
  <c r="C106" i="3"/>
  <c r="B106" i="3"/>
  <c r="E106" i="3"/>
  <c r="A122" i="3"/>
  <c r="AC122" i="3"/>
  <c r="H122" i="3"/>
  <c r="G122" i="3"/>
  <c r="F122" i="3"/>
  <c r="D122" i="3"/>
  <c r="C122" i="3"/>
  <c r="B122" i="3"/>
  <c r="E122" i="3"/>
  <c r="A138" i="3"/>
  <c r="AC138" i="3"/>
  <c r="H138" i="3"/>
  <c r="G138" i="3"/>
  <c r="F138" i="3"/>
  <c r="D138" i="3"/>
  <c r="C138" i="3"/>
  <c r="B138" i="3"/>
  <c r="E138" i="3"/>
  <c r="H204" i="3"/>
  <c r="G204" i="3"/>
  <c r="F204" i="3"/>
  <c r="D204" i="3"/>
  <c r="C204" i="3"/>
  <c r="B204" i="3"/>
  <c r="A204" i="3"/>
  <c r="AC204" i="3"/>
  <c r="E204" i="3"/>
  <c r="H363" i="3"/>
  <c r="G363" i="3"/>
  <c r="F363" i="3"/>
  <c r="D363" i="3"/>
  <c r="C363" i="3"/>
  <c r="A363" i="3"/>
  <c r="B363" i="3"/>
  <c r="AC363" i="3"/>
  <c r="E363" i="3"/>
  <c r="A267" i="3"/>
  <c r="AC267" i="3"/>
  <c r="G267" i="3"/>
  <c r="F267" i="3"/>
  <c r="D267" i="3"/>
  <c r="C267" i="3"/>
  <c r="H267" i="3"/>
  <c r="B267" i="3"/>
  <c r="E267" i="3"/>
  <c r="A263" i="3"/>
  <c r="G263" i="3"/>
  <c r="F263" i="3"/>
  <c r="D263" i="3"/>
  <c r="C263" i="3"/>
  <c r="B263" i="3"/>
  <c r="AC263" i="3"/>
  <c r="H263" i="3"/>
  <c r="E263" i="3"/>
  <c r="A277" i="3"/>
  <c r="G277" i="3"/>
  <c r="AC277" i="3"/>
  <c r="H277" i="3"/>
  <c r="F277" i="3"/>
  <c r="C277" i="3"/>
  <c r="B277" i="3"/>
  <c r="D277" i="3"/>
  <c r="E277" i="3"/>
  <c r="A264" i="3"/>
  <c r="H264" i="3"/>
  <c r="G264" i="3"/>
  <c r="F264" i="3"/>
  <c r="D264" i="3"/>
  <c r="AC264" i="3"/>
  <c r="C264" i="3"/>
  <c r="B264" i="3"/>
  <c r="E264" i="3"/>
  <c r="A315" i="3"/>
  <c r="AC315" i="3"/>
  <c r="G315" i="3"/>
  <c r="F315" i="3"/>
  <c r="D315" i="3"/>
  <c r="C315" i="3"/>
  <c r="B315" i="3"/>
  <c r="H315" i="3"/>
  <c r="E315" i="3"/>
  <c r="A331" i="3"/>
  <c r="AC331" i="3"/>
  <c r="H331" i="3"/>
  <c r="G331" i="3"/>
  <c r="F331" i="3"/>
  <c r="C331" i="3"/>
  <c r="B331" i="3"/>
  <c r="D331" i="3"/>
  <c r="E331" i="3"/>
  <c r="A347" i="3"/>
  <c r="AC347" i="3"/>
  <c r="H347" i="3"/>
  <c r="G347" i="3"/>
  <c r="F347" i="3"/>
  <c r="D347" i="3"/>
  <c r="C347" i="3"/>
  <c r="B347" i="3"/>
  <c r="E347" i="3"/>
  <c r="H393" i="3"/>
  <c r="G393" i="3"/>
  <c r="F393" i="3"/>
  <c r="D393" i="3"/>
  <c r="C393" i="3"/>
  <c r="B393" i="3"/>
  <c r="A393" i="3"/>
  <c r="AC393" i="3"/>
  <c r="E393" i="3"/>
  <c r="H378" i="3"/>
  <c r="G378" i="3"/>
  <c r="F378" i="3"/>
  <c r="D378" i="3"/>
  <c r="C378" i="3"/>
  <c r="B378" i="3"/>
  <c r="A378" i="3"/>
  <c r="AC378" i="3"/>
  <c r="E378" i="3"/>
  <c r="H407" i="3"/>
  <c r="G407" i="3"/>
  <c r="F407" i="3"/>
  <c r="D407" i="3"/>
  <c r="C407" i="3"/>
  <c r="B407" i="3"/>
  <c r="A407" i="3"/>
  <c r="AC407" i="3"/>
  <c r="E407" i="3"/>
  <c r="AC461" i="3"/>
  <c r="H461" i="3"/>
  <c r="G461" i="3"/>
  <c r="F461" i="3"/>
  <c r="D461" i="3"/>
  <c r="C461" i="3"/>
  <c r="B461" i="3"/>
  <c r="A461" i="3"/>
  <c r="E461" i="3"/>
  <c r="F491" i="3"/>
  <c r="B491" i="3"/>
  <c r="A491" i="3"/>
  <c r="AC491" i="3"/>
  <c r="H491" i="3"/>
  <c r="G491" i="3"/>
  <c r="C491" i="3"/>
  <c r="D491" i="3"/>
  <c r="E491" i="3"/>
  <c r="D480" i="3"/>
  <c r="C480" i="3"/>
  <c r="B480" i="3"/>
  <c r="A480" i="3"/>
  <c r="AC480" i="3"/>
  <c r="H480" i="3"/>
  <c r="G480" i="3"/>
  <c r="F480" i="3"/>
  <c r="E480" i="3"/>
  <c r="AC560" i="3"/>
  <c r="D560" i="3"/>
  <c r="C560" i="3"/>
  <c r="B560" i="3"/>
  <c r="A560" i="3"/>
  <c r="F560" i="3"/>
  <c r="H560" i="3"/>
  <c r="G560" i="3"/>
  <c r="E560" i="3"/>
  <c r="AC429" i="3"/>
  <c r="H429" i="3"/>
  <c r="G429" i="3"/>
  <c r="F429" i="3"/>
  <c r="D429" i="3"/>
  <c r="C429" i="3"/>
  <c r="B429" i="3"/>
  <c r="A429" i="3"/>
  <c r="E429" i="3"/>
  <c r="AC649" i="3"/>
  <c r="H649" i="3"/>
  <c r="G649" i="3"/>
  <c r="F649" i="3"/>
  <c r="D649" i="3"/>
  <c r="C649" i="3"/>
  <c r="B649" i="3"/>
  <c r="A649" i="3"/>
  <c r="E649" i="3"/>
  <c r="AC537" i="3"/>
  <c r="H537" i="3"/>
  <c r="G537" i="3"/>
  <c r="A537" i="3"/>
  <c r="B537" i="3"/>
  <c r="F537" i="3"/>
  <c r="D537" i="3"/>
  <c r="C537" i="3"/>
  <c r="E537" i="3"/>
  <c r="G632" i="3"/>
  <c r="F632" i="3"/>
  <c r="C632" i="3"/>
  <c r="B632" i="3"/>
  <c r="A632" i="3"/>
  <c r="AC632" i="3"/>
  <c r="H632" i="3"/>
  <c r="D632" i="3"/>
  <c r="E632" i="3"/>
  <c r="AC515" i="3"/>
  <c r="H515" i="3"/>
  <c r="G515" i="3"/>
  <c r="A515" i="3"/>
  <c r="F515" i="3"/>
  <c r="D515" i="3"/>
  <c r="C515" i="3"/>
  <c r="B515" i="3"/>
  <c r="E515" i="3"/>
  <c r="D542" i="3"/>
  <c r="A542" i="3"/>
  <c r="H542" i="3"/>
  <c r="G542" i="3"/>
  <c r="F542" i="3"/>
  <c r="B542" i="3"/>
  <c r="AC542" i="3"/>
  <c r="C542" i="3"/>
  <c r="E542" i="3"/>
  <c r="AC617" i="3"/>
  <c r="H617" i="3"/>
  <c r="G617" i="3"/>
  <c r="D617" i="3"/>
  <c r="F617" i="3"/>
  <c r="C617" i="3"/>
  <c r="B617" i="3"/>
  <c r="A617" i="3"/>
  <c r="E617" i="3"/>
  <c r="A698" i="3"/>
  <c r="AC698" i="3"/>
  <c r="H698" i="3"/>
  <c r="G698" i="3"/>
  <c r="C698" i="3"/>
  <c r="B698" i="3"/>
  <c r="F698" i="3"/>
  <c r="D698" i="3"/>
  <c r="E698" i="3"/>
  <c r="B595" i="3"/>
  <c r="F595" i="3"/>
  <c r="D595" i="3"/>
  <c r="C595" i="3"/>
  <c r="A595" i="3"/>
  <c r="H595" i="3"/>
  <c r="AC595" i="3"/>
  <c r="G595" i="3"/>
  <c r="E595" i="3"/>
  <c r="H662" i="3"/>
  <c r="G662" i="3"/>
  <c r="F662" i="3"/>
  <c r="A662" i="3"/>
  <c r="AC662" i="3"/>
  <c r="D662" i="3"/>
  <c r="C662" i="3"/>
  <c r="B662" i="3"/>
  <c r="E662" i="3"/>
  <c r="G359" i="3"/>
  <c r="F359" i="3"/>
  <c r="C359" i="3"/>
  <c r="A359" i="3"/>
  <c r="B359" i="3"/>
  <c r="AC359" i="3"/>
  <c r="D359" i="3"/>
  <c r="H359" i="3"/>
  <c r="E359" i="3"/>
  <c r="A295" i="3"/>
  <c r="G295" i="3"/>
  <c r="B295" i="3"/>
  <c r="H295" i="3"/>
  <c r="F295" i="3"/>
  <c r="D295" i="3"/>
  <c r="C295" i="3"/>
  <c r="AC295" i="3"/>
  <c r="E295" i="3"/>
  <c r="H421" i="3"/>
  <c r="G421" i="3"/>
  <c r="F421" i="3"/>
  <c r="D421" i="3"/>
  <c r="C421" i="3"/>
  <c r="B421" i="3"/>
  <c r="AC421" i="3"/>
  <c r="A421" i="3"/>
  <c r="E421" i="3"/>
  <c r="A538" i="3"/>
  <c r="H538" i="3"/>
  <c r="G538" i="3"/>
  <c r="F538" i="3"/>
  <c r="D538" i="3"/>
  <c r="AC538" i="3"/>
  <c r="C538" i="3"/>
  <c r="B538" i="3"/>
  <c r="E538" i="3"/>
  <c r="A25" i="3"/>
  <c r="AC25" i="3"/>
  <c r="H25" i="3"/>
  <c r="G25" i="3"/>
  <c r="F25" i="3"/>
  <c r="C25" i="3"/>
  <c r="B25" i="3"/>
  <c r="D25" i="3"/>
  <c r="E25" i="3"/>
  <c r="A89" i="3"/>
  <c r="AC89" i="3"/>
  <c r="H89" i="3"/>
  <c r="G89" i="3"/>
  <c r="F89" i="3"/>
  <c r="C89" i="3"/>
  <c r="B89" i="3"/>
  <c r="D89" i="3"/>
  <c r="E89" i="3"/>
  <c r="H185" i="3"/>
  <c r="G185" i="3"/>
  <c r="F185" i="3"/>
  <c r="D185" i="3"/>
  <c r="C185" i="3"/>
  <c r="B185" i="3"/>
  <c r="A185" i="3"/>
  <c r="AC185" i="3"/>
  <c r="E185" i="3"/>
  <c r="A273" i="3"/>
  <c r="G273" i="3"/>
  <c r="AC273" i="3"/>
  <c r="H273" i="3"/>
  <c r="F273" i="3"/>
  <c r="C273" i="3"/>
  <c r="D273" i="3"/>
  <c r="B273" i="3"/>
  <c r="E273" i="3"/>
  <c r="A443" i="3"/>
  <c r="F443" i="3"/>
  <c r="D443" i="3"/>
  <c r="C443" i="3"/>
  <c r="B443" i="3"/>
  <c r="AC443" i="3"/>
  <c r="H443" i="3"/>
  <c r="G443" i="3"/>
  <c r="E443" i="3"/>
  <c r="H385" i="3"/>
  <c r="G385" i="3"/>
  <c r="F385" i="3"/>
  <c r="D385" i="3"/>
  <c r="C385" i="3"/>
  <c r="B385" i="3"/>
  <c r="A385" i="3"/>
  <c r="AC385" i="3"/>
  <c r="E385" i="3"/>
  <c r="AC465" i="3"/>
  <c r="H465" i="3"/>
  <c r="G465" i="3"/>
  <c r="F465" i="3"/>
  <c r="D465" i="3"/>
  <c r="C465" i="3"/>
  <c r="B465" i="3"/>
  <c r="A465" i="3"/>
  <c r="E465" i="3"/>
  <c r="A427" i="3"/>
  <c r="H427" i="3"/>
  <c r="G427" i="3"/>
  <c r="F427" i="3"/>
  <c r="D427" i="3"/>
  <c r="C427" i="3"/>
  <c r="B427" i="3"/>
  <c r="AC427" i="3"/>
  <c r="E427" i="3"/>
  <c r="G616" i="3"/>
  <c r="F616" i="3"/>
  <c r="C616" i="3"/>
  <c r="B616" i="3"/>
  <c r="AC616" i="3"/>
  <c r="H616" i="3"/>
  <c r="A616" i="3"/>
  <c r="D616" i="3"/>
  <c r="E616" i="3"/>
  <c r="C484" i="3"/>
  <c r="AC484" i="3"/>
  <c r="H484" i="3"/>
  <c r="G484" i="3"/>
  <c r="F484" i="3"/>
  <c r="D484" i="3"/>
  <c r="B484" i="3"/>
  <c r="A484" i="3"/>
  <c r="E484" i="3"/>
  <c r="G579" i="3"/>
  <c r="F579" i="3"/>
  <c r="D579" i="3"/>
  <c r="C579" i="3"/>
  <c r="A579" i="3"/>
  <c r="AC579" i="3"/>
  <c r="H579" i="3"/>
  <c r="B579" i="3"/>
  <c r="E579" i="3"/>
  <c r="D466" i="3"/>
  <c r="C466" i="3"/>
  <c r="A466" i="3"/>
  <c r="H466" i="3"/>
  <c r="G466" i="3"/>
  <c r="F466" i="3"/>
  <c r="B466" i="3"/>
  <c r="AC466" i="3"/>
  <c r="E466" i="3"/>
  <c r="AC253" i="3"/>
  <c r="F253" i="3"/>
  <c r="D253" i="3"/>
  <c r="C253" i="3"/>
  <c r="B253" i="3"/>
  <c r="H253" i="3"/>
  <c r="G253" i="3"/>
  <c r="A253" i="3"/>
  <c r="E253" i="3"/>
  <c r="H195" i="3"/>
  <c r="G195" i="3"/>
  <c r="F195" i="3"/>
  <c r="D195" i="3"/>
  <c r="C195" i="3"/>
  <c r="B195" i="3"/>
  <c r="A195" i="3"/>
  <c r="AC195" i="3"/>
  <c r="E195" i="3"/>
  <c r="H163" i="3"/>
  <c r="G163" i="3"/>
  <c r="F163" i="3"/>
  <c r="D163" i="3"/>
  <c r="C163" i="3"/>
  <c r="B163" i="3"/>
  <c r="A163" i="3"/>
  <c r="AC163" i="3"/>
  <c r="E163" i="3"/>
  <c r="AC229" i="3"/>
  <c r="F229" i="3"/>
  <c r="D229" i="3"/>
  <c r="H229" i="3"/>
  <c r="G229" i="3"/>
  <c r="C229" i="3"/>
  <c r="B229" i="3"/>
  <c r="A229" i="3"/>
  <c r="E229" i="3"/>
  <c r="A27" i="3"/>
  <c r="AC27" i="3"/>
  <c r="H27" i="3"/>
  <c r="G27" i="3"/>
  <c r="F27" i="3"/>
  <c r="D27" i="3"/>
  <c r="C27" i="3"/>
  <c r="B27" i="3"/>
  <c r="E27" i="3"/>
  <c r="A43" i="3"/>
  <c r="AC43" i="3"/>
  <c r="H43" i="3"/>
  <c r="G43" i="3"/>
  <c r="F43" i="3"/>
  <c r="D43" i="3"/>
  <c r="C43" i="3"/>
  <c r="B43" i="3"/>
  <c r="E43" i="3"/>
  <c r="A59" i="3"/>
  <c r="AC59" i="3"/>
  <c r="H59" i="3"/>
  <c r="G59" i="3"/>
  <c r="F59" i="3"/>
  <c r="D59" i="3"/>
  <c r="C59" i="3"/>
  <c r="B59" i="3"/>
  <c r="E59" i="3"/>
  <c r="A75" i="3"/>
  <c r="AC75" i="3"/>
  <c r="H75" i="3"/>
  <c r="G75" i="3"/>
  <c r="F75" i="3"/>
  <c r="D75" i="3"/>
  <c r="C75" i="3"/>
  <c r="B75" i="3"/>
  <c r="E75" i="3"/>
  <c r="A91" i="3"/>
  <c r="AC91" i="3"/>
  <c r="H91" i="3"/>
  <c r="G91" i="3"/>
  <c r="F91" i="3"/>
  <c r="D91" i="3"/>
  <c r="C91" i="3"/>
  <c r="B91" i="3"/>
  <c r="E91" i="3"/>
  <c r="A107" i="3"/>
  <c r="AC107" i="3"/>
  <c r="H107" i="3"/>
  <c r="G107" i="3"/>
  <c r="F107" i="3"/>
  <c r="D107" i="3"/>
  <c r="C107" i="3"/>
  <c r="B107" i="3"/>
  <c r="E107" i="3"/>
  <c r="A123" i="3"/>
  <c r="AC123" i="3"/>
  <c r="H123" i="3"/>
  <c r="G123" i="3"/>
  <c r="F123" i="3"/>
  <c r="D123" i="3"/>
  <c r="C123" i="3"/>
  <c r="B123" i="3"/>
  <c r="E123" i="3"/>
  <c r="A139" i="3"/>
  <c r="AC139" i="3"/>
  <c r="H139" i="3"/>
  <c r="G139" i="3"/>
  <c r="F139" i="3"/>
  <c r="D139" i="3"/>
  <c r="C139" i="3"/>
  <c r="B139" i="3"/>
  <c r="E139" i="3"/>
  <c r="H184" i="3"/>
  <c r="G184" i="3"/>
  <c r="F184" i="3"/>
  <c r="D184" i="3"/>
  <c r="C184" i="3"/>
  <c r="B184" i="3"/>
  <c r="A184" i="3"/>
  <c r="AC184" i="3"/>
  <c r="E184" i="3"/>
  <c r="AC225" i="3"/>
  <c r="F225" i="3"/>
  <c r="D225" i="3"/>
  <c r="H225" i="3"/>
  <c r="G225" i="3"/>
  <c r="C225" i="3"/>
  <c r="B225" i="3"/>
  <c r="A225" i="3"/>
  <c r="E225" i="3"/>
  <c r="A270" i="3"/>
  <c r="G270" i="3"/>
  <c r="D270" i="3"/>
  <c r="C270" i="3"/>
  <c r="B270" i="3"/>
  <c r="AC270" i="3"/>
  <c r="H270" i="3"/>
  <c r="F270" i="3"/>
  <c r="E270" i="3"/>
  <c r="AC254" i="3"/>
  <c r="F254" i="3"/>
  <c r="D254" i="3"/>
  <c r="C254" i="3"/>
  <c r="B254" i="3"/>
  <c r="H254" i="3"/>
  <c r="G254" i="3"/>
  <c r="A254" i="3"/>
  <c r="E254" i="3"/>
  <c r="A289" i="3"/>
  <c r="G289" i="3"/>
  <c r="D289" i="3"/>
  <c r="C289" i="3"/>
  <c r="B289" i="3"/>
  <c r="AC289" i="3"/>
  <c r="F289" i="3"/>
  <c r="H289" i="3"/>
  <c r="E289" i="3"/>
  <c r="F486" i="3"/>
  <c r="D486" i="3"/>
  <c r="C486" i="3"/>
  <c r="B486" i="3"/>
  <c r="AC486" i="3"/>
  <c r="H486" i="3"/>
  <c r="G486" i="3"/>
  <c r="A486" i="3"/>
  <c r="E486" i="3"/>
  <c r="A316" i="3"/>
  <c r="AC316" i="3"/>
  <c r="G316" i="3"/>
  <c r="F316" i="3"/>
  <c r="H316" i="3"/>
  <c r="D316" i="3"/>
  <c r="B316" i="3"/>
  <c r="C316" i="3"/>
  <c r="E316" i="3"/>
  <c r="A332" i="3"/>
  <c r="AC332" i="3"/>
  <c r="H332" i="3"/>
  <c r="G332" i="3"/>
  <c r="F332" i="3"/>
  <c r="D332" i="3"/>
  <c r="C332" i="3"/>
  <c r="B332" i="3"/>
  <c r="E332" i="3"/>
  <c r="A348" i="3"/>
  <c r="AC348" i="3"/>
  <c r="H348" i="3"/>
  <c r="G348" i="3"/>
  <c r="F348" i="3"/>
  <c r="D348" i="3"/>
  <c r="C348" i="3"/>
  <c r="B348" i="3"/>
  <c r="E348" i="3"/>
  <c r="H401" i="3"/>
  <c r="G401" i="3"/>
  <c r="F401" i="3"/>
  <c r="D401" i="3"/>
  <c r="C401" i="3"/>
  <c r="B401" i="3"/>
  <c r="A401" i="3"/>
  <c r="AC401" i="3"/>
  <c r="E401" i="3"/>
  <c r="H379" i="3"/>
  <c r="G379" i="3"/>
  <c r="F379" i="3"/>
  <c r="D379" i="3"/>
  <c r="C379" i="3"/>
  <c r="B379" i="3"/>
  <c r="A379" i="3"/>
  <c r="AC379" i="3"/>
  <c r="E379" i="3"/>
  <c r="F683" i="3"/>
  <c r="B683" i="3"/>
  <c r="A683" i="3"/>
  <c r="D683" i="3"/>
  <c r="C683" i="3"/>
  <c r="H683" i="3"/>
  <c r="AC683" i="3"/>
  <c r="G683" i="3"/>
  <c r="E683" i="3"/>
  <c r="D463" i="3"/>
  <c r="B463" i="3"/>
  <c r="A463" i="3"/>
  <c r="AC463" i="3"/>
  <c r="H463" i="3"/>
  <c r="G463" i="3"/>
  <c r="C463" i="3"/>
  <c r="F463" i="3"/>
  <c r="E463" i="3"/>
  <c r="AC493" i="3"/>
  <c r="H493" i="3"/>
  <c r="G493" i="3"/>
  <c r="F493" i="3"/>
  <c r="D493" i="3"/>
  <c r="C493" i="3"/>
  <c r="B493" i="3"/>
  <c r="A493" i="3"/>
  <c r="E493" i="3"/>
  <c r="B503" i="3"/>
  <c r="G503" i="3"/>
  <c r="F503" i="3"/>
  <c r="D503" i="3"/>
  <c r="C503" i="3"/>
  <c r="AC503" i="3"/>
  <c r="H503" i="3"/>
  <c r="A503" i="3"/>
  <c r="E503" i="3"/>
  <c r="C564" i="3"/>
  <c r="B564" i="3"/>
  <c r="D564" i="3"/>
  <c r="A564" i="3"/>
  <c r="F564" i="3"/>
  <c r="AC564" i="3"/>
  <c r="H564" i="3"/>
  <c r="G564" i="3"/>
  <c r="E564" i="3"/>
  <c r="D431" i="3"/>
  <c r="B431" i="3"/>
  <c r="A431" i="3"/>
  <c r="H431" i="3"/>
  <c r="G431" i="3"/>
  <c r="F431" i="3"/>
  <c r="C431" i="3"/>
  <c r="AC431" i="3"/>
  <c r="E431" i="3"/>
  <c r="D705" i="3"/>
  <c r="C705" i="3"/>
  <c r="H705" i="3"/>
  <c r="AC705" i="3"/>
  <c r="G705" i="3"/>
  <c r="F705" i="3"/>
  <c r="B705" i="3"/>
  <c r="A705" i="3"/>
  <c r="E705" i="3"/>
  <c r="AC601" i="3"/>
  <c r="H601" i="3"/>
  <c r="G601" i="3"/>
  <c r="F601" i="3"/>
  <c r="D601" i="3"/>
  <c r="B601" i="3"/>
  <c r="C601" i="3"/>
  <c r="A601" i="3"/>
  <c r="E601" i="3"/>
  <c r="AC621" i="3"/>
  <c r="H621" i="3"/>
  <c r="D621" i="3"/>
  <c r="G621" i="3"/>
  <c r="F621" i="3"/>
  <c r="C621" i="3"/>
  <c r="B621" i="3"/>
  <c r="A621" i="3"/>
  <c r="E621" i="3"/>
  <c r="B611" i="3"/>
  <c r="AC611" i="3"/>
  <c r="G611" i="3"/>
  <c r="F611" i="3"/>
  <c r="C611" i="3"/>
  <c r="A611" i="3"/>
  <c r="H611" i="3"/>
  <c r="D611" i="3"/>
  <c r="E611" i="3"/>
  <c r="H678" i="3"/>
  <c r="G678" i="3"/>
  <c r="F678" i="3"/>
  <c r="A678" i="3"/>
  <c r="AC678" i="3"/>
  <c r="D678" i="3"/>
  <c r="C678" i="3"/>
  <c r="B678" i="3"/>
  <c r="E678" i="3"/>
  <c r="B456" i="3"/>
  <c r="A456" i="3"/>
  <c r="AC456" i="3"/>
  <c r="H456" i="3"/>
  <c r="G456" i="3"/>
  <c r="F456" i="3"/>
  <c r="D456" i="3"/>
  <c r="C456" i="3"/>
  <c r="E456" i="3"/>
  <c r="AC224" i="3"/>
  <c r="F224" i="3"/>
  <c r="D224" i="3"/>
  <c r="H224" i="3"/>
  <c r="G224" i="3"/>
  <c r="C224" i="3"/>
  <c r="B224" i="3"/>
  <c r="A224" i="3"/>
  <c r="E224" i="3"/>
  <c r="G457" i="3"/>
  <c r="F457" i="3"/>
  <c r="D457" i="3"/>
  <c r="C457" i="3"/>
  <c r="AC457" i="3"/>
  <c r="H457" i="3"/>
  <c r="B457" i="3"/>
  <c r="A457" i="3"/>
  <c r="E457" i="3"/>
  <c r="H376" i="3"/>
  <c r="G376" i="3"/>
  <c r="F376" i="3"/>
  <c r="D376" i="3"/>
  <c r="C376" i="3"/>
  <c r="B376" i="3"/>
  <c r="A376" i="3"/>
  <c r="AC376" i="3"/>
  <c r="E376" i="3"/>
  <c r="AC419" i="3"/>
  <c r="H419" i="3"/>
  <c r="G419" i="3"/>
  <c r="F419" i="3"/>
  <c r="D419" i="3"/>
  <c r="C419" i="3"/>
  <c r="B419" i="3"/>
  <c r="A419" i="3"/>
  <c r="E419" i="3"/>
  <c r="C580" i="3"/>
  <c r="B580" i="3"/>
  <c r="F580" i="3"/>
  <c r="H580" i="3"/>
  <c r="G580" i="3"/>
  <c r="D580" i="3"/>
  <c r="A580" i="3"/>
  <c r="AC580" i="3"/>
  <c r="E580" i="3"/>
  <c r="AC624" i="3"/>
  <c r="H624" i="3"/>
  <c r="G624" i="3"/>
  <c r="C624" i="3"/>
  <c r="D624" i="3"/>
  <c r="B624" i="3"/>
  <c r="F624" i="3"/>
  <c r="A624" i="3"/>
  <c r="E624" i="3"/>
  <c r="A666" i="3"/>
  <c r="AC666" i="3"/>
  <c r="H666" i="3"/>
  <c r="G666" i="3"/>
  <c r="C666" i="3"/>
  <c r="F666" i="3"/>
  <c r="D666" i="3"/>
  <c r="B666" i="3"/>
  <c r="E666" i="3"/>
  <c r="H706" i="3"/>
  <c r="D706" i="3"/>
  <c r="C706" i="3"/>
  <c r="B706" i="3"/>
  <c r="A706" i="3"/>
  <c r="G706" i="3"/>
  <c r="F706" i="3"/>
  <c r="AC706" i="3"/>
  <c r="E706" i="3"/>
  <c r="H166" i="3"/>
  <c r="G166" i="3"/>
  <c r="F166" i="3"/>
  <c r="D166" i="3"/>
  <c r="C166" i="3"/>
  <c r="B166" i="3"/>
  <c r="A166" i="3"/>
  <c r="AC166" i="3"/>
  <c r="E166" i="3"/>
  <c r="A57" i="3"/>
  <c r="AC57" i="3"/>
  <c r="H57" i="3"/>
  <c r="G57" i="3"/>
  <c r="F57" i="3"/>
  <c r="C57" i="3"/>
  <c r="B57" i="3"/>
  <c r="D57" i="3"/>
  <c r="E57" i="3"/>
  <c r="A121" i="3"/>
  <c r="AC121" i="3"/>
  <c r="H121" i="3"/>
  <c r="G121" i="3"/>
  <c r="F121" i="3"/>
  <c r="C121" i="3"/>
  <c r="B121" i="3"/>
  <c r="D121" i="3"/>
  <c r="E121" i="3"/>
  <c r="AC232" i="3"/>
  <c r="F232" i="3"/>
  <c r="D232" i="3"/>
  <c r="H232" i="3"/>
  <c r="G232" i="3"/>
  <c r="C232" i="3"/>
  <c r="B232" i="3"/>
  <c r="A232" i="3"/>
  <c r="E232" i="3"/>
  <c r="AC252" i="3"/>
  <c r="F252" i="3"/>
  <c r="D252" i="3"/>
  <c r="C252" i="3"/>
  <c r="B252" i="3"/>
  <c r="H252" i="3"/>
  <c r="G252" i="3"/>
  <c r="A252" i="3"/>
  <c r="E252" i="3"/>
  <c r="A330" i="3"/>
  <c r="AC330" i="3"/>
  <c r="H330" i="3"/>
  <c r="G330" i="3"/>
  <c r="F330" i="3"/>
  <c r="D330" i="3"/>
  <c r="C330" i="3"/>
  <c r="B330" i="3"/>
  <c r="E330" i="3"/>
  <c r="A459" i="3"/>
  <c r="B459" i="3"/>
  <c r="AC459" i="3"/>
  <c r="H459" i="3"/>
  <c r="G459" i="3"/>
  <c r="F459" i="3"/>
  <c r="D459" i="3"/>
  <c r="C459" i="3"/>
  <c r="E459" i="3"/>
  <c r="B535" i="3"/>
  <c r="A535" i="3"/>
  <c r="C535" i="3"/>
  <c r="AC535" i="3"/>
  <c r="H535" i="3"/>
  <c r="G535" i="3"/>
  <c r="F535" i="3"/>
  <c r="D535" i="3"/>
  <c r="E535" i="3"/>
  <c r="B599" i="3"/>
  <c r="A599" i="3"/>
  <c r="F599" i="3"/>
  <c r="H599" i="3"/>
  <c r="G599" i="3"/>
  <c r="D599" i="3"/>
  <c r="AC599" i="3"/>
  <c r="C599" i="3"/>
  <c r="E599" i="3"/>
  <c r="A308" i="3"/>
  <c r="AC308" i="3"/>
  <c r="G308" i="3"/>
  <c r="D308" i="3"/>
  <c r="C308" i="3"/>
  <c r="B308" i="3"/>
  <c r="H308" i="3"/>
  <c r="F308" i="3"/>
  <c r="E308" i="3"/>
  <c r="H208" i="3"/>
  <c r="G208" i="3"/>
  <c r="F208" i="3"/>
  <c r="D208" i="3"/>
  <c r="C208" i="3"/>
  <c r="B208" i="3"/>
  <c r="A208" i="3"/>
  <c r="AC208" i="3"/>
  <c r="E208" i="3"/>
  <c r="H174" i="3"/>
  <c r="G174" i="3"/>
  <c r="F174" i="3"/>
  <c r="D174" i="3"/>
  <c r="C174" i="3"/>
  <c r="B174" i="3"/>
  <c r="A174" i="3"/>
  <c r="AC174" i="3"/>
  <c r="E174" i="3"/>
  <c r="H190" i="3"/>
  <c r="G190" i="3"/>
  <c r="F190" i="3"/>
  <c r="D190" i="3"/>
  <c r="C190" i="3"/>
  <c r="B190" i="3"/>
  <c r="A190" i="3"/>
  <c r="AC190" i="3"/>
  <c r="E190" i="3"/>
  <c r="AC211" i="3"/>
  <c r="D211" i="3"/>
  <c r="H211" i="3"/>
  <c r="G211" i="3"/>
  <c r="F211" i="3"/>
  <c r="C211" i="3"/>
  <c r="A211" i="3"/>
  <c r="B211" i="3"/>
  <c r="E211" i="3"/>
  <c r="A274" i="3"/>
  <c r="G274" i="3"/>
  <c r="D274" i="3"/>
  <c r="C274" i="3"/>
  <c r="B274" i="3"/>
  <c r="AC274" i="3"/>
  <c r="H274" i="3"/>
  <c r="F274" i="3"/>
  <c r="E274" i="3"/>
  <c r="A285" i="3"/>
  <c r="G285" i="3"/>
  <c r="AC285" i="3"/>
  <c r="H285" i="3"/>
  <c r="F285" i="3"/>
  <c r="C285" i="3"/>
  <c r="B285" i="3"/>
  <c r="D285" i="3"/>
  <c r="E285" i="3"/>
  <c r="A310" i="3"/>
  <c r="AC310" i="3"/>
  <c r="G310" i="3"/>
  <c r="D310" i="3"/>
  <c r="C310" i="3"/>
  <c r="B310" i="3"/>
  <c r="H310" i="3"/>
  <c r="F310" i="3"/>
  <c r="E310" i="3"/>
  <c r="H380" i="3"/>
  <c r="G380" i="3"/>
  <c r="F380" i="3"/>
  <c r="D380" i="3"/>
  <c r="C380" i="3"/>
  <c r="B380" i="3"/>
  <c r="A380" i="3"/>
  <c r="AC380" i="3"/>
  <c r="E380" i="3"/>
  <c r="B505" i="3"/>
  <c r="A505" i="3"/>
  <c r="H505" i="3"/>
  <c r="AC505" i="3"/>
  <c r="G505" i="3"/>
  <c r="F505" i="3"/>
  <c r="D505" i="3"/>
  <c r="C505" i="3"/>
  <c r="E505" i="3"/>
  <c r="AC556" i="3"/>
  <c r="G556" i="3"/>
  <c r="F556" i="3"/>
  <c r="D556" i="3"/>
  <c r="C556" i="3"/>
  <c r="B556" i="3"/>
  <c r="A556" i="3"/>
  <c r="H556" i="3"/>
  <c r="E556" i="3"/>
  <c r="G568" i="3"/>
  <c r="F568" i="3"/>
  <c r="C568" i="3"/>
  <c r="B568" i="3"/>
  <c r="D568" i="3"/>
  <c r="AC568" i="3"/>
  <c r="H568" i="3"/>
  <c r="A568" i="3"/>
  <c r="E568" i="3"/>
  <c r="AC585" i="3"/>
  <c r="H585" i="3"/>
  <c r="G585" i="3"/>
  <c r="D585" i="3"/>
  <c r="C585" i="3"/>
  <c r="B585" i="3"/>
  <c r="A585" i="3"/>
  <c r="F585" i="3"/>
  <c r="E585" i="3"/>
  <c r="G696" i="3"/>
  <c r="F696" i="3"/>
  <c r="C696" i="3"/>
  <c r="B696" i="3"/>
  <c r="A696" i="3"/>
  <c r="AC696" i="3"/>
  <c r="H696" i="3"/>
  <c r="D696" i="3"/>
  <c r="E696" i="3"/>
  <c r="C426" i="3"/>
  <c r="B426" i="3"/>
  <c r="A426" i="3"/>
  <c r="AC426" i="3"/>
  <c r="H426" i="3"/>
  <c r="G426" i="3"/>
  <c r="F426" i="3"/>
  <c r="D426" i="3"/>
  <c r="E426" i="3"/>
  <c r="AC569" i="3"/>
  <c r="H569" i="3"/>
  <c r="G569" i="3"/>
  <c r="F569" i="3"/>
  <c r="C569" i="3"/>
  <c r="B569" i="3"/>
  <c r="A569" i="3"/>
  <c r="D569" i="3"/>
  <c r="E569" i="3"/>
  <c r="AC633" i="3"/>
  <c r="H633" i="3"/>
  <c r="G633" i="3"/>
  <c r="F633" i="3"/>
  <c r="D633" i="3"/>
  <c r="C633" i="3"/>
  <c r="B633" i="3"/>
  <c r="A633" i="3"/>
  <c r="E633" i="3"/>
  <c r="AC668" i="3"/>
  <c r="G668" i="3"/>
  <c r="F668" i="3"/>
  <c r="D668" i="3"/>
  <c r="C668" i="3"/>
  <c r="H668" i="3"/>
  <c r="B668" i="3"/>
  <c r="A668" i="3"/>
  <c r="E668" i="3"/>
  <c r="AC637" i="3"/>
  <c r="H637" i="3"/>
  <c r="D637" i="3"/>
  <c r="G637" i="3"/>
  <c r="F637" i="3"/>
  <c r="B637" i="3"/>
  <c r="C637" i="3"/>
  <c r="A637" i="3"/>
  <c r="E637" i="3"/>
  <c r="G627" i="3"/>
  <c r="F627" i="3"/>
  <c r="B627" i="3"/>
  <c r="AC627" i="3"/>
  <c r="H627" i="3"/>
  <c r="D627" i="3"/>
  <c r="A627" i="3"/>
  <c r="C627" i="3"/>
  <c r="E627" i="3"/>
  <c r="D514" i="3"/>
  <c r="C514" i="3"/>
  <c r="B514" i="3"/>
  <c r="A514" i="3"/>
  <c r="F514" i="3"/>
  <c r="AC514" i="3"/>
  <c r="H514" i="3"/>
  <c r="G514" i="3"/>
  <c r="E514" i="3"/>
  <c r="D590" i="3"/>
  <c r="A590" i="3"/>
  <c r="AC590" i="3"/>
  <c r="H590" i="3"/>
  <c r="B590" i="3"/>
  <c r="G590" i="3"/>
  <c r="F590" i="3"/>
  <c r="C590" i="3"/>
  <c r="E590" i="3"/>
  <c r="H171" i="3"/>
  <c r="G171" i="3"/>
  <c r="F171" i="3"/>
  <c r="D171" i="3"/>
  <c r="C171" i="3"/>
  <c r="B171" i="3"/>
  <c r="A171" i="3"/>
  <c r="AC171" i="3"/>
  <c r="E171" i="3"/>
  <c r="A269" i="3"/>
  <c r="C269" i="3"/>
  <c r="B269" i="3"/>
  <c r="AC269" i="3"/>
  <c r="H269" i="3"/>
  <c r="G269" i="3"/>
  <c r="D269" i="3"/>
  <c r="F269" i="3"/>
  <c r="E269" i="3"/>
  <c r="AC433" i="3"/>
  <c r="H433" i="3"/>
  <c r="G433" i="3"/>
  <c r="F433" i="3"/>
  <c r="D433" i="3"/>
  <c r="C433" i="3"/>
  <c r="B433" i="3"/>
  <c r="A433" i="3"/>
  <c r="E433" i="3"/>
  <c r="AC508" i="3"/>
  <c r="C508" i="3"/>
  <c r="B508" i="3"/>
  <c r="A508" i="3"/>
  <c r="H508" i="3"/>
  <c r="G508" i="3"/>
  <c r="F508" i="3"/>
  <c r="D508" i="3"/>
  <c r="E508" i="3"/>
  <c r="H597" i="3"/>
  <c r="G597" i="3"/>
  <c r="D597" i="3"/>
  <c r="C597" i="3"/>
  <c r="F597" i="3"/>
  <c r="B597" i="3"/>
  <c r="A597" i="3"/>
  <c r="AC597" i="3"/>
  <c r="E597" i="3"/>
  <c r="H188" i="3"/>
  <c r="G188" i="3"/>
  <c r="F188" i="3"/>
  <c r="D188" i="3"/>
  <c r="C188" i="3"/>
  <c r="B188" i="3"/>
  <c r="A188" i="3"/>
  <c r="AC188" i="3"/>
  <c r="E188" i="3"/>
  <c r="A73" i="3"/>
  <c r="AC73" i="3"/>
  <c r="H73" i="3"/>
  <c r="G73" i="3"/>
  <c r="F73" i="3"/>
  <c r="C73" i="3"/>
  <c r="B73" i="3"/>
  <c r="D73" i="3"/>
  <c r="E73" i="3"/>
  <c r="A137" i="3"/>
  <c r="AC137" i="3"/>
  <c r="H137" i="3"/>
  <c r="G137" i="3"/>
  <c r="F137" i="3"/>
  <c r="C137" i="3"/>
  <c r="B137" i="3"/>
  <c r="D137" i="3"/>
  <c r="E137" i="3"/>
  <c r="H397" i="3"/>
  <c r="G397" i="3"/>
  <c r="F397" i="3"/>
  <c r="D397" i="3"/>
  <c r="C397" i="3"/>
  <c r="B397" i="3"/>
  <c r="A397" i="3"/>
  <c r="AC397" i="3"/>
  <c r="E397" i="3"/>
  <c r="H517" i="3"/>
  <c r="F517" i="3"/>
  <c r="D517" i="3"/>
  <c r="C517" i="3"/>
  <c r="B517" i="3"/>
  <c r="AC517" i="3"/>
  <c r="G517" i="3"/>
  <c r="A517" i="3"/>
  <c r="E517" i="3"/>
  <c r="A346" i="3"/>
  <c r="AC346" i="3"/>
  <c r="H346" i="3"/>
  <c r="G346" i="3"/>
  <c r="F346" i="3"/>
  <c r="D346" i="3"/>
  <c r="C346" i="3"/>
  <c r="B346" i="3"/>
  <c r="E346" i="3"/>
  <c r="D513" i="3"/>
  <c r="F513" i="3"/>
  <c r="AC513" i="3"/>
  <c r="H513" i="3"/>
  <c r="G513" i="3"/>
  <c r="C513" i="3"/>
  <c r="B513" i="3"/>
  <c r="A513" i="3"/>
  <c r="E513" i="3"/>
  <c r="AC540" i="3"/>
  <c r="G540" i="3"/>
  <c r="F540" i="3"/>
  <c r="H540" i="3"/>
  <c r="D540" i="3"/>
  <c r="B540" i="3"/>
  <c r="A540" i="3"/>
  <c r="C540" i="3"/>
  <c r="E540" i="3"/>
  <c r="H164" i="3"/>
  <c r="G164" i="3"/>
  <c r="F164" i="3"/>
  <c r="D164" i="3"/>
  <c r="C164" i="3"/>
  <c r="B164" i="3"/>
  <c r="A164" i="3"/>
  <c r="AC164" i="3"/>
  <c r="E164" i="3"/>
  <c r="H161" i="3"/>
  <c r="G161" i="3"/>
  <c r="F161" i="3"/>
  <c r="D161" i="3"/>
  <c r="C161" i="3"/>
  <c r="B161" i="3"/>
  <c r="A161" i="3"/>
  <c r="AC161" i="3"/>
  <c r="E161" i="3"/>
  <c r="B13" i="3"/>
  <c r="A13" i="3"/>
  <c r="AC13" i="3"/>
  <c r="H13" i="3"/>
  <c r="G13" i="3"/>
  <c r="F13" i="3"/>
  <c r="D13" i="3"/>
  <c r="C13" i="3"/>
  <c r="A29" i="3"/>
  <c r="AC29" i="3"/>
  <c r="H29" i="3"/>
  <c r="G29" i="3"/>
  <c r="F29" i="3"/>
  <c r="D29" i="3"/>
  <c r="C29" i="3"/>
  <c r="B29" i="3"/>
  <c r="E29" i="3"/>
  <c r="A45" i="3"/>
  <c r="AC45" i="3"/>
  <c r="H45" i="3"/>
  <c r="G45" i="3"/>
  <c r="F45" i="3"/>
  <c r="D45" i="3"/>
  <c r="C45" i="3"/>
  <c r="B45" i="3"/>
  <c r="E45" i="3"/>
  <c r="A61" i="3"/>
  <c r="AC61" i="3"/>
  <c r="H61" i="3"/>
  <c r="G61" i="3"/>
  <c r="F61" i="3"/>
  <c r="D61" i="3"/>
  <c r="C61" i="3"/>
  <c r="B61" i="3"/>
  <c r="E61" i="3"/>
  <c r="A77" i="3"/>
  <c r="AC77" i="3"/>
  <c r="H77" i="3"/>
  <c r="G77" i="3"/>
  <c r="F77" i="3"/>
  <c r="D77" i="3"/>
  <c r="C77" i="3"/>
  <c r="B77" i="3"/>
  <c r="E77" i="3"/>
  <c r="A93" i="3"/>
  <c r="AC93" i="3"/>
  <c r="H93" i="3"/>
  <c r="G93" i="3"/>
  <c r="F93" i="3"/>
  <c r="D93" i="3"/>
  <c r="C93" i="3"/>
  <c r="B93" i="3"/>
  <c r="E93" i="3"/>
  <c r="A109" i="3"/>
  <c r="AC109" i="3"/>
  <c r="H109" i="3"/>
  <c r="G109" i="3"/>
  <c r="F109" i="3"/>
  <c r="D109" i="3"/>
  <c r="C109" i="3"/>
  <c r="B109" i="3"/>
  <c r="E109" i="3"/>
  <c r="A125" i="3"/>
  <c r="AC125" i="3"/>
  <c r="H125" i="3"/>
  <c r="G125" i="3"/>
  <c r="F125" i="3"/>
  <c r="D125" i="3"/>
  <c r="C125" i="3"/>
  <c r="B125" i="3"/>
  <c r="E125" i="3"/>
  <c r="A141" i="3"/>
  <c r="AC141" i="3"/>
  <c r="H141" i="3"/>
  <c r="G141" i="3"/>
  <c r="F141" i="3"/>
  <c r="D141" i="3"/>
  <c r="C141" i="3"/>
  <c r="B141" i="3"/>
  <c r="E141" i="3"/>
  <c r="AC212" i="3"/>
  <c r="D212" i="3"/>
  <c r="H212" i="3"/>
  <c r="G212" i="3"/>
  <c r="C212" i="3"/>
  <c r="B212" i="3"/>
  <c r="A212" i="3"/>
  <c r="F212" i="3"/>
  <c r="E212" i="3"/>
  <c r="AC238" i="3"/>
  <c r="F238" i="3"/>
  <c r="D238" i="3"/>
  <c r="C238" i="3"/>
  <c r="B238" i="3"/>
  <c r="H238" i="3"/>
  <c r="G238" i="3"/>
  <c r="A238" i="3"/>
  <c r="E238" i="3"/>
  <c r="A278" i="3"/>
  <c r="G278" i="3"/>
  <c r="D278" i="3"/>
  <c r="C278" i="3"/>
  <c r="B278" i="3"/>
  <c r="AC278" i="3"/>
  <c r="H278" i="3"/>
  <c r="F278" i="3"/>
  <c r="E278" i="3"/>
  <c r="A290" i="3"/>
  <c r="G290" i="3"/>
  <c r="AC290" i="3"/>
  <c r="F290" i="3"/>
  <c r="D290" i="3"/>
  <c r="C290" i="3"/>
  <c r="B290" i="3"/>
  <c r="H290" i="3"/>
  <c r="E290" i="3"/>
  <c r="AC256" i="3"/>
  <c r="F256" i="3"/>
  <c r="D256" i="3"/>
  <c r="C256" i="3"/>
  <c r="B256" i="3"/>
  <c r="H256" i="3"/>
  <c r="G256" i="3"/>
  <c r="A256" i="3"/>
  <c r="E256" i="3"/>
  <c r="A311" i="3"/>
  <c r="AC311" i="3"/>
  <c r="G311" i="3"/>
  <c r="D311" i="3"/>
  <c r="C311" i="3"/>
  <c r="B311" i="3"/>
  <c r="H311" i="3"/>
  <c r="F311" i="3"/>
  <c r="E311" i="3"/>
  <c r="AC524" i="3"/>
  <c r="F524" i="3"/>
  <c r="A524" i="3"/>
  <c r="H524" i="3"/>
  <c r="G524" i="3"/>
  <c r="D524" i="3"/>
  <c r="C524" i="3"/>
  <c r="B524" i="3"/>
  <c r="E524" i="3"/>
  <c r="H395" i="3"/>
  <c r="G395" i="3"/>
  <c r="F395" i="3"/>
  <c r="D395" i="3"/>
  <c r="C395" i="3"/>
  <c r="B395" i="3"/>
  <c r="A395" i="3"/>
  <c r="AC395" i="3"/>
  <c r="E395" i="3"/>
  <c r="A318" i="3"/>
  <c r="AC318" i="3"/>
  <c r="H318" i="3"/>
  <c r="G318" i="3"/>
  <c r="F318" i="3"/>
  <c r="D318" i="3"/>
  <c r="C318" i="3"/>
  <c r="B318" i="3"/>
  <c r="E318" i="3"/>
  <c r="A334" i="3"/>
  <c r="AC334" i="3"/>
  <c r="H334" i="3"/>
  <c r="G334" i="3"/>
  <c r="F334" i="3"/>
  <c r="D334" i="3"/>
  <c r="C334" i="3"/>
  <c r="B334" i="3"/>
  <c r="E334" i="3"/>
  <c r="A350" i="3"/>
  <c r="AC350" i="3"/>
  <c r="H350" i="3"/>
  <c r="G350" i="3"/>
  <c r="F350" i="3"/>
  <c r="D350" i="3"/>
  <c r="C350" i="3"/>
  <c r="B350" i="3"/>
  <c r="E350" i="3"/>
  <c r="D423" i="3"/>
  <c r="C423" i="3"/>
  <c r="B423" i="3"/>
  <c r="A423" i="3"/>
  <c r="H423" i="3"/>
  <c r="G423" i="3"/>
  <c r="F423" i="3"/>
  <c r="AC423" i="3"/>
  <c r="E423" i="3"/>
  <c r="AC528" i="3"/>
  <c r="D528" i="3"/>
  <c r="H528" i="3"/>
  <c r="G528" i="3"/>
  <c r="F528" i="3"/>
  <c r="C528" i="3"/>
  <c r="B528" i="3"/>
  <c r="A528" i="3"/>
  <c r="E528" i="3"/>
  <c r="G600" i="3"/>
  <c r="F600" i="3"/>
  <c r="C600" i="3"/>
  <c r="B600" i="3"/>
  <c r="AC600" i="3"/>
  <c r="H600" i="3"/>
  <c r="D600" i="3"/>
  <c r="A600" i="3"/>
  <c r="E600" i="3"/>
  <c r="AC418" i="3"/>
  <c r="H418" i="3"/>
  <c r="G418" i="3"/>
  <c r="F418" i="3"/>
  <c r="D418" i="3"/>
  <c r="C418" i="3"/>
  <c r="B418" i="3"/>
  <c r="A418" i="3"/>
  <c r="E418" i="3"/>
  <c r="F587" i="3"/>
  <c r="B587" i="3"/>
  <c r="A587" i="3"/>
  <c r="G587" i="3"/>
  <c r="D587" i="3"/>
  <c r="C587" i="3"/>
  <c r="AC587" i="3"/>
  <c r="H587" i="3"/>
  <c r="E587" i="3"/>
  <c r="B631" i="3"/>
  <c r="A631" i="3"/>
  <c r="AC631" i="3"/>
  <c r="F631" i="3"/>
  <c r="H631" i="3"/>
  <c r="D631" i="3"/>
  <c r="C631" i="3"/>
  <c r="G631" i="3"/>
  <c r="E631" i="3"/>
  <c r="F667" i="3"/>
  <c r="B667" i="3"/>
  <c r="A667" i="3"/>
  <c r="AC667" i="3"/>
  <c r="H667" i="3"/>
  <c r="G667" i="3"/>
  <c r="D667" i="3"/>
  <c r="C667" i="3"/>
  <c r="E667" i="3"/>
  <c r="AC442" i="3"/>
  <c r="H442" i="3"/>
  <c r="G442" i="3"/>
  <c r="F442" i="3"/>
  <c r="D442" i="3"/>
  <c r="A442" i="3"/>
  <c r="C442" i="3"/>
  <c r="B442" i="3"/>
  <c r="E442" i="3"/>
  <c r="F571" i="3"/>
  <c r="B571" i="3"/>
  <c r="A571" i="3"/>
  <c r="AC571" i="3"/>
  <c r="H571" i="3"/>
  <c r="G571" i="3"/>
  <c r="C571" i="3"/>
  <c r="D571" i="3"/>
  <c r="E571" i="3"/>
  <c r="AC665" i="3"/>
  <c r="H665" i="3"/>
  <c r="G665" i="3"/>
  <c r="F665" i="3"/>
  <c r="D665" i="3"/>
  <c r="C665" i="3"/>
  <c r="B665" i="3"/>
  <c r="A665" i="3"/>
  <c r="E665" i="3"/>
  <c r="AC653" i="3"/>
  <c r="H653" i="3"/>
  <c r="D653" i="3"/>
  <c r="G653" i="3"/>
  <c r="F653" i="3"/>
  <c r="B653" i="3"/>
  <c r="A653" i="3"/>
  <c r="C653" i="3"/>
  <c r="E653" i="3"/>
  <c r="H187" i="3"/>
  <c r="G187" i="3"/>
  <c r="F187" i="3"/>
  <c r="D187" i="3"/>
  <c r="C187" i="3"/>
  <c r="B187" i="3"/>
  <c r="A187" i="3"/>
  <c r="AC187" i="3"/>
  <c r="E187" i="3"/>
  <c r="A306" i="3"/>
  <c r="AC306" i="3"/>
  <c r="G306" i="3"/>
  <c r="D306" i="3"/>
  <c r="C306" i="3"/>
  <c r="B306" i="3"/>
  <c r="H306" i="3"/>
  <c r="F306" i="3"/>
  <c r="E306" i="3"/>
  <c r="H391" i="3"/>
  <c r="G391" i="3"/>
  <c r="F391" i="3"/>
  <c r="D391" i="3"/>
  <c r="C391" i="3"/>
  <c r="B391" i="3"/>
  <c r="A391" i="3"/>
  <c r="AC391" i="3"/>
  <c r="E391" i="3"/>
  <c r="AC409" i="3"/>
  <c r="H409" i="3"/>
  <c r="G409" i="3"/>
  <c r="F409" i="3"/>
  <c r="D409" i="3"/>
  <c r="C409" i="3"/>
  <c r="B409" i="3"/>
  <c r="A409" i="3"/>
  <c r="E409" i="3"/>
  <c r="F555" i="3"/>
  <c r="B555" i="3"/>
  <c r="A555" i="3"/>
  <c r="AC555" i="3"/>
  <c r="C555" i="3"/>
  <c r="H555" i="3"/>
  <c r="G555" i="3"/>
  <c r="D555" i="3"/>
  <c r="E555" i="3"/>
  <c r="AC563" i="3"/>
  <c r="H563" i="3"/>
  <c r="G563" i="3"/>
  <c r="A563" i="3"/>
  <c r="F563" i="3"/>
  <c r="D563" i="3"/>
  <c r="C563" i="3"/>
  <c r="B563" i="3"/>
  <c r="E563" i="3"/>
  <c r="F703" i="3"/>
  <c r="D703" i="3"/>
  <c r="C703" i="3"/>
  <c r="B703" i="3"/>
  <c r="H703" i="3"/>
  <c r="G703" i="3"/>
  <c r="A703" i="3"/>
  <c r="AC703" i="3"/>
  <c r="E703" i="3"/>
  <c r="H181" i="3"/>
  <c r="G181" i="3"/>
  <c r="F181" i="3"/>
  <c r="D181" i="3"/>
  <c r="C181" i="3"/>
  <c r="B181" i="3"/>
  <c r="A181" i="3"/>
  <c r="AC181" i="3"/>
  <c r="E181" i="3"/>
  <c r="A41" i="3"/>
  <c r="AC41" i="3"/>
  <c r="H41" i="3"/>
  <c r="G41" i="3"/>
  <c r="F41" i="3"/>
  <c r="C41" i="3"/>
  <c r="B41" i="3"/>
  <c r="D41" i="3"/>
  <c r="E41" i="3"/>
  <c r="A105" i="3"/>
  <c r="AC105" i="3"/>
  <c r="H105" i="3"/>
  <c r="G105" i="3"/>
  <c r="F105" i="3"/>
  <c r="C105" i="3"/>
  <c r="B105" i="3"/>
  <c r="D105" i="3"/>
  <c r="E105" i="3"/>
  <c r="C437" i="3"/>
  <c r="B437" i="3"/>
  <c r="H437" i="3"/>
  <c r="G437" i="3"/>
  <c r="F437" i="3"/>
  <c r="D437" i="3"/>
  <c r="A437" i="3"/>
  <c r="AC437" i="3"/>
  <c r="E437" i="3"/>
  <c r="A307" i="3"/>
  <c r="AC307" i="3"/>
  <c r="G307" i="3"/>
  <c r="D307" i="3"/>
  <c r="C307" i="3"/>
  <c r="B307" i="3"/>
  <c r="H307" i="3"/>
  <c r="F307" i="3"/>
  <c r="E307" i="3"/>
  <c r="A314" i="3"/>
  <c r="AC314" i="3"/>
  <c r="G314" i="3"/>
  <c r="H314" i="3"/>
  <c r="F314" i="3"/>
  <c r="D314" i="3"/>
  <c r="C314" i="3"/>
  <c r="B314" i="3"/>
  <c r="E314" i="3"/>
  <c r="H399" i="3"/>
  <c r="G399" i="3"/>
  <c r="F399" i="3"/>
  <c r="D399" i="3"/>
  <c r="C399" i="3"/>
  <c r="B399" i="3"/>
  <c r="A399" i="3"/>
  <c r="AC399" i="3"/>
  <c r="E399" i="3"/>
  <c r="AC425" i="3"/>
  <c r="H425" i="3"/>
  <c r="G425" i="3"/>
  <c r="F425" i="3"/>
  <c r="D425" i="3"/>
  <c r="C425" i="3"/>
  <c r="B425" i="3"/>
  <c r="A425" i="3"/>
  <c r="E425" i="3"/>
  <c r="G584" i="3"/>
  <c r="F584" i="3"/>
  <c r="C584" i="3"/>
  <c r="B584" i="3"/>
  <c r="D584" i="3"/>
  <c r="H584" i="3"/>
  <c r="A584" i="3"/>
  <c r="AC584" i="3"/>
  <c r="E584" i="3"/>
  <c r="D641" i="3"/>
  <c r="C641" i="3"/>
  <c r="H641" i="3"/>
  <c r="AC641" i="3"/>
  <c r="F641" i="3"/>
  <c r="B641" i="3"/>
  <c r="G641" i="3"/>
  <c r="A641" i="3"/>
  <c r="E641" i="3"/>
  <c r="A682" i="3"/>
  <c r="AC682" i="3"/>
  <c r="H682" i="3"/>
  <c r="G682" i="3"/>
  <c r="F682" i="3"/>
  <c r="D682" i="3"/>
  <c r="C682" i="3"/>
  <c r="B682" i="3"/>
  <c r="E682" i="3"/>
  <c r="H646" i="3"/>
  <c r="G646" i="3"/>
  <c r="F646" i="3"/>
  <c r="A646" i="3"/>
  <c r="AC646" i="3"/>
  <c r="D646" i="3"/>
  <c r="C646" i="3"/>
  <c r="B646" i="3"/>
  <c r="E646" i="3"/>
  <c r="H191" i="3"/>
  <c r="G191" i="3"/>
  <c r="F191" i="3"/>
  <c r="D191" i="3"/>
  <c r="C191" i="3"/>
  <c r="B191" i="3"/>
  <c r="A191" i="3"/>
  <c r="AC191" i="3"/>
  <c r="E191" i="3"/>
  <c r="H186" i="3"/>
  <c r="G186" i="3"/>
  <c r="F186" i="3"/>
  <c r="D186" i="3"/>
  <c r="C186" i="3"/>
  <c r="B186" i="3"/>
  <c r="A186" i="3"/>
  <c r="AC186" i="3"/>
  <c r="E186" i="3"/>
  <c r="H153" i="3"/>
  <c r="G153" i="3"/>
  <c r="F153" i="3"/>
  <c r="D153" i="3"/>
  <c r="C153" i="3"/>
  <c r="B153" i="3"/>
  <c r="A153" i="3"/>
  <c r="AC153" i="3"/>
  <c r="E153" i="3"/>
  <c r="B14" i="3"/>
  <c r="A14" i="3"/>
  <c r="AC14" i="3"/>
  <c r="H14" i="3"/>
  <c r="G14" i="3"/>
  <c r="F14" i="3"/>
  <c r="D14" i="3"/>
  <c r="C14" i="3"/>
  <c r="A30" i="3"/>
  <c r="AC30" i="3"/>
  <c r="H30" i="3"/>
  <c r="G30" i="3"/>
  <c r="F30" i="3"/>
  <c r="D30" i="3"/>
  <c r="C30" i="3"/>
  <c r="B30" i="3"/>
  <c r="E30" i="3"/>
  <c r="A46" i="3"/>
  <c r="AC46" i="3"/>
  <c r="H46" i="3"/>
  <c r="G46" i="3"/>
  <c r="F46" i="3"/>
  <c r="D46" i="3"/>
  <c r="C46" i="3"/>
  <c r="B46" i="3"/>
  <c r="E46" i="3"/>
  <c r="A62" i="3"/>
  <c r="AC62" i="3"/>
  <c r="H62" i="3"/>
  <c r="G62" i="3"/>
  <c r="F62" i="3"/>
  <c r="D62" i="3"/>
  <c r="C62" i="3"/>
  <c r="B62" i="3"/>
  <c r="E62" i="3"/>
  <c r="A78" i="3"/>
  <c r="AC78" i="3"/>
  <c r="H78" i="3"/>
  <c r="G78" i="3"/>
  <c r="F78" i="3"/>
  <c r="D78" i="3"/>
  <c r="C78" i="3"/>
  <c r="B78" i="3"/>
  <c r="E78" i="3"/>
  <c r="A94" i="3"/>
  <c r="AC94" i="3"/>
  <c r="H94" i="3"/>
  <c r="G94" i="3"/>
  <c r="F94" i="3"/>
  <c r="D94" i="3"/>
  <c r="C94" i="3"/>
  <c r="B94" i="3"/>
  <c r="E94" i="3"/>
  <c r="A110" i="3"/>
  <c r="AC110" i="3"/>
  <c r="H110" i="3"/>
  <c r="G110" i="3"/>
  <c r="F110" i="3"/>
  <c r="D110" i="3"/>
  <c r="C110" i="3"/>
  <c r="B110" i="3"/>
  <c r="E110" i="3"/>
  <c r="A126" i="3"/>
  <c r="AC126" i="3"/>
  <c r="H126" i="3"/>
  <c r="G126" i="3"/>
  <c r="F126" i="3"/>
  <c r="D126" i="3"/>
  <c r="C126" i="3"/>
  <c r="B126" i="3"/>
  <c r="E126" i="3"/>
  <c r="A142" i="3"/>
  <c r="AC142" i="3"/>
  <c r="H142" i="3"/>
  <c r="G142" i="3"/>
  <c r="F142" i="3"/>
  <c r="D142" i="3"/>
  <c r="C142" i="3"/>
  <c r="B142" i="3"/>
  <c r="E142" i="3"/>
  <c r="H194" i="3"/>
  <c r="G194" i="3"/>
  <c r="F194" i="3"/>
  <c r="D194" i="3"/>
  <c r="C194" i="3"/>
  <c r="B194" i="3"/>
  <c r="A194" i="3"/>
  <c r="AC194" i="3"/>
  <c r="E194" i="3"/>
  <c r="AC222" i="3"/>
  <c r="F222" i="3"/>
  <c r="D222" i="3"/>
  <c r="G222" i="3"/>
  <c r="C222" i="3"/>
  <c r="B222" i="3"/>
  <c r="A222" i="3"/>
  <c r="H222" i="3"/>
  <c r="E222" i="3"/>
  <c r="AC215" i="3"/>
  <c r="D215" i="3"/>
  <c r="H215" i="3"/>
  <c r="G215" i="3"/>
  <c r="F215" i="3"/>
  <c r="C215" i="3"/>
  <c r="B215" i="3"/>
  <c r="A215" i="3"/>
  <c r="E215" i="3"/>
  <c r="AC244" i="3"/>
  <c r="F244" i="3"/>
  <c r="D244" i="3"/>
  <c r="C244" i="3"/>
  <c r="B244" i="3"/>
  <c r="H244" i="3"/>
  <c r="G244" i="3"/>
  <c r="A244" i="3"/>
  <c r="E244" i="3"/>
  <c r="A282" i="3"/>
  <c r="G282" i="3"/>
  <c r="D282" i="3"/>
  <c r="C282" i="3"/>
  <c r="B282" i="3"/>
  <c r="AC282" i="3"/>
  <c r="H282" i="3"/>
  <c r="F282" i="3"/>
  <c r="E282" i="3"/>
  <c r="A297" i="3"/>
  <c r="AC297" i="3"/>
  <c r="G297" i="3"/>
  <c r="H297" i="3"/>
  <c r="D297" i="3"/>
  <c r="C297" i="3"/>
  <c r="B297" i="3"/>
  <c r="F297" i="3"/>
  <c r="E297" i="3"/>
  <c r="AC257" i="3"/>
  <c r="F257" i="3"/>
  <c r="D257" i="3"/>
  <c r="C257" i="3"/>
  <c r="B257" i="3"/>
  <c r="H257" i="3"/>
  <c r="G257" i="3"/>
  <c r="A257" i="3"/>
  <c r="E257" i="3"/>
  <c r="H389" i="3"/>
  <c r="G389" i="3"/>
  <c r="F389" i="3"/>
  <c r="D389" i="3"/>
  <c r="C389" i="3"/>
  <c r="B389" i="3"/>
  <c r="A389" i="3"/>
  <c r="AC389" i="3"/>
  <c r="E389" i="3"/>
  <c r="H388" i="3"/>
  <c r="G388" i="3"/>
  <c r="F388" i="3"/>
  <c r="D388" i="3"/>
  <c r="C388" i="3"/>
  <c r="B388" i="3"/>
  <c r="A388" i="3"/>
  <c r="AC388" i="3"/>
  <c r="E388" i="3"/>
  <c r="H403" i="3"/>
  <c r="G403" i="3"/>
  <c r="F403" i="3"/>
  <c r="D403" i="3"/>
  <c r="C403" i="3"/>
  <c r="B403" i="3"/>
  <c r="A403" i="3"/>
  <c r="AC403" i="3"/>
  <c r="E403" i="3"/>
  <c r="A319" i="3"/>
  <c r="AC319" i="3"/>
  <c r="H319" i="3"/>
  <c r="G319" i="3"/>
  <c r="F319" i="3"/>
  <c r="C319" i="3"/>
  <c r="B319" i="3"/>
  <c r="D319" i="3"/>
  <c r="E319" i="3"/>
  <c r="A335" i="3"/>
  <c r="AC335" i="3"/>
  <c r="H335" i="3"/>
  <c r="G335" i="3"/>
  <c r="F335" i="3"/>
  <c r="D335" i="3"/>
  <c r="C335" i="3"/>
  <c r="B335" i="3"/>
  <c r="E335" i="3"/>
  <c r="A351" i="3"/>
  <c r="AC351" i="3"/>
  <c r="H351" i="3"/>
  <c r="G351" i="3"/>
  <c r="F351" i="3"/>
  <c r="D351" i="3"/>
  <c r="C351" i="3"/>
  <c r="B351" i="3"/>
  <c r="E351" i="3"/>
  <c r="AC588" i="3"/>
  <c r="G588" i="3"/>
  <c r="F588" i="3"/>
  <c r="H588" i="3"/>
  <c r="B588" i="3"/>
  <c r="D588" i="3"/>
  <c r="C588" i="3"/>
  <c r="A588" i="3"/>
  <c r="E588" i="3"/>
  <c r="H382" i="3"/>
  <c r="G382" i="3"/>
  <c r="F382" i="3"/>
  <c r="D382" i="3"/>
  <c r="C382" i="3"/>
  <c r="B382" i="3"/>
  <c r="A382" i="3"/>
  <c r="AC382" i="3"/>
  <c r="E382" i="3"/>
  <c r="D558" i="3"/>
  <c r="A558" i="3"/>
  <c r="F558" i="3"/>
  <c r="C558" i="3"/>
  <c r="B558" i="3"/>
  <c r="H558" i="3"/>
  <c r="G558" i="3"/>
  <c r="AC558" i="3"/>
  <c r="E558" i="3"/>
  <c r="A416" i="3"/>
  <c r="AC416" i="3"/>
  <c r="H416" i="3"/>
  <c r="G416" i="3"/>
  <c r="F416" i="3"/>
  <c r="D416" i="3"/>
  <c r="C416" i="3"/>
  <c r="B416" i="3"/>
  <c r="E416" i="3"/>
  <c r="A586" i="3"/>
  <c r="AC586" i="3"/>
  <c r="H586" i="3"/>
  <c r="D586" i="3"/>
  <c r="G586" i="3"/>
  <c r="F586" i="3"/>
  <c r="C586" i="3"/>
  <c r="B586" i="3"/>
  <c r="E586" i="3"/>
  <c r="H677" i="3"/>
  <c r="G677" i="3"/>
  <c r="D677" i="3"/>
  <c r="C677" i="3"/>
  <c r="B677" i="3"/>
  <c r="A677" i="3"/>
  <c r="F677" i="3"/>
  <c r="AC677" i="3"/>
  <c r="E677" i="3"/>
  <c r="AC452" i="3"/>
  <c r="H452" i="3"/>
  <c r="G452" i="3"/>
  <c r="F452" i="3"/>
  <c r="D452" i="3"/>
  <c r="C452" i="3"/>
  <c r="B452" i="3"/>
  <c r="A452" i="3"/>
  <c r="E452" i="3"/>
  <c r="AC492" i="3"/>
  <c r="H492" i="3"/>
  <c r="G492" i="3"/>
  <c r="F492" i="3"/>
  <c r="D492" i="3"/>
  <c r="C492" i="3"/>
  <c r="B492" i="3"/>
  <c r="A492" i="3"/>
  <c r="E492" i="3"/>
  <c r="D593" i="3"/>
  <c r="C593" i="3"/>
  <c r="H593" i="3"/>
  <c r="F593" i="3"/>
  <c r="B593" i="3"/>
  <c r="A593" i="3"/>
  <c r="G593" i="3"/>
  <c r="AC593" i="3"/>
  <c r="E593" i="3"/>
  <c r="B663" i="3"/>
  <c r="A663" i="3"/>
  <c r="AC663" i="3"/>
  <c r="F663" i="3"/>
  <c r="H663" i="3"/>
  <c r="D663" i="3"/>
  <c r="G663" i="3"/>
  <c r="C663" i="3"/>
  <c r="E663" i="3"/>
  <c r="F699" i="3"/>
  <c r="B699" i="3"/>
  <c r="A699" i="3"/>
  <c r="AC699" i="3"/>
  <c r="H699" i="3"/>
  <c r="G699" i="3"/>
  <c r="D699" i="3"/>
  <c r="C699" i="3"/>
  <c r="E699" i="3"/>
  <c r="AC458" i="3"/>
  <c r="H458" i="3"/>
  <c r="G458" i="3"/>
  <c r="F458" i="3"/>
  <c r="D458" i="3"/>
  <c r="C458" i="3"/>
  <c r="B458" i="3"/>
  <c r="A458" i="3"/>
  <c r="E458" i="3"/>
  <c r="F603" i="3"/>
  <c r="B603" i="3"/>
  <c r="A603" i="3"/>
  <c r="AC603" i="3"/>
  <c r="H603" i="3"/>
  <c r="G603" i="3"/>
  <c r="C603" i="3"/>
  <c r="D603" i="3"/>
  <c r="E603" i="3"/>
  <c r="AC697" i="3"/>
  <c r="H697" i="3"/>
  <c r="G697" i="3"/>
  <c r="F697" i="3"/>
  <c r="D697" i="3"/>
  <c r="C697" i="3"/>
  <c r="B697" i="3"/>
  <c r="A697" i="3"/>
  <c r="E697" i="3"/>
  <c r="D606" i="3"/>
  <c r="A606" i="3"/>
  <c r="B606" i="3"/>
  <c r="AC606" i="3"/>
  <c r="F606" i="3"/>
  <c r="H606" i="3"/>
  <c r="G606" i="3"/>
  <c r="C606" i="3"/>
  <c r="E606" i="3"/>
  <c r="AC669" i="3"/>
  <c r="H669" i="3"/>
  <c r="D669" i="3"/>
  <c r="G669" i="3"/>
  <c r="F669" i="3"/>
  <c r="B669" i="3"/>
  <c r="C669" i="3"/>
  <c r="A669" i="3"/>
  <c r="E669" i="3"/>
  <c r="H659" i="3"/>
  <c r="G659" i="3"/>
  <c r="F659" i="3"/>
  <c r="B659" i="3"/>
  <c r="AC659" i="3"/>
  <c r="D659" i="3"/>
  <c r="C659" i="3"/>
  <c r="A659" i="3"/>
  <c r="E659" i="3"/>
  <c r="F543" i="3"/>
  <c r="G543" i="3"/>
  <c r="H543" i="3"/>
  <c r="D543" i="3"/>
  <c r="C543" i="3"/>
  <c r="B543" i="3"/>
  <c r="A543" i="3"/>
  <c r="AC543" i="3"/>
  <c r="E543" i="3"/>
  <c r="H546" i="3"/>
  <c r="D546" i="3"/>
  <c r="G546" i="3"/>
  <c r="F546" i="3"/>
  <c r="C546" i="3"/>
  <c r="B546" i="3"/>
  <c r="AC546" i="3"/>
  <c r="A546" i="3"/>
  <c r="E546" i="3"/>
  <c r="H154" i="3"/>
  <c r="G154" i="3"/>
  <c r="F154" i="3"/>
  <c r="D154" i="3"/>
  <c r="C154" i="3"/>
  <c r="B154" i="3"/>
  <c r="A154" i="3"/>
  <c r="AC154" i="3"/>
  <c r="H183" i="3"/>
  <c r="G183" i="3"/>
  <c r="F183" i="3"/>
  <c r="D183" i="3"/>
  <c r="C183" i="3"/>
  <c r="B183" i="3"/>
  <c r="A183" i="3"/>
  <c r="AC183" i="3"/>
  <c r="A20" i="3"/>
  <c r="AC20" i="3"/>
  <c r="H20" i="3"/>
  <c r="G20" i="3"/>
  <c r="F20" i="3"/>
  <c r="D20" i="3"/>
  <c r="C20" i="3"/>
  <c r="B20" i="3"/>
  <c r="A52" i="3"/>
  <c r="AC52" i="3"/>
  <c r="H52" i="3"/>
  <c r="G52" i="3"/>
  <c r="F52" i="3"/>
  <c r="D52" i="3"/>
  <c r="C52" i="3"/>
  <c r="B52" i="3"/>
  <c r="A68" i="3"/>
  <c r="AC68" i="3"/>
  <c r="H68" i="3"/>
  <c r="G68" i="3"/>
  <c r="F68" i="3"/>
  <c r="D68" i="3"/>
  <c r="C68" i="3"/>
  <c r="B68" i="3"/>
  <c r="A84" i="3"/>
  <c r="AC84" i="3"/>
  <c r="H84" i="3"/>
  <c r="G84" i="3"/>
  <c r="F84" i="3"/>
  <c r="D84" i="3"/>
  <c r="C84" i="3"/>
  <c r="B84" i="3"/>
  <c r="A100" i="3"/>
  <c r="AC100" i="3"/>
  <c r="H100" i="3"/>
  <c r="G100" i="3"/>
  <c r="F100" i="3"/>
  <c r="D100" i="3"/>
  <c r="C100" i="3"/>
  <c r="B100" i="3"/>
  <c r="A116" i="3"/>
  <c r="AC116" i="3"/>
  <c r="H116" i="3"/>
  <c r="G116" i="3"/>
  <c r="F116" i="3"/>
  <c r="D116" i="3"/>
  <c r="C116" i="3"/>
  <c r="B116" i="3"/>
  <c r="A132" i="3"/>
  <c r="AC132" i="3"/>
  <c r="H132" i="3"/>
  <c r="G132" i="3"/>
  <c r="F132" i="3"/>
  <c r="D132" i="3"/>
  <c r="C132" i="3"/>
  <c r="B132" i="3"/>
  <c r="A148" i="3"/>
  <c r="AC148" i="3"/>
  <c r="H148" i="3"/>
  <c r="G148" i="3"/>
  <c r="F148" i="3"/>
  <c r="D148" i="3"/>
  <c r="C148" i="3"/>
  <c r="B148" i="3"/>
  <c r="H179" i="3"/>
  <c r="G179" i="3"/>
  <c r="F179" i="3"/>
  <c r="D179" i="3"/>
  <c r="C179" i="3"/>
  <c r="B179" i="3"/>
  <c r="A179" i="3"/>
  <c r="AC179" i="3"/>
  <c r="A288" i="3"/>
  <c r="G288" i="3"/>
  <c r="AC288" i="3"/>
  <c r="D288" i="3"/>
  <c r="C288" i="3"/>
  <c r="B288" i="3"/>
  <c r="F288" i="3"/>
  <c r="H288" i="3"/>
  <c r="H367" i="3"/>
  <c r="G367" i="3"/>
  <c r="F367" i="3"/>
  <c r="D367" i="3"/>
  <c r="C367" i="3"/>
  <c r="A367" i="3"/>
  <c r="B367" i="3"/>
  <c r="AC367" i="3"/>
  <c r="H581" i="3"/>
  <c r="G581" i="3"/>
  <c r="D581" i="3"/>
  <c r="C581" i="3"/>
  <c r="F581" i="3"/>
  <c r="B581" i="3"/>
  <c r="A581" i="3"/>
  <c r="AC581" i="3"/>
  <c r="A272" i="3"/>
  <c r="G272" i="3"/>
  <c r="AC272" i="3"/>
  <c r="D272" i="3"/>
  <c r="C272" i="3"/>
  <c r="B272" i="3"/>
  <c r="H272" i="3"/>
  <c r="F272" i="3"/>
  <c r="AC227" i="3"/>
  <c r="F227" i="3"/>
  <c r="D227" i="3"/>
  <c r="C227" i="3"/>
  <c r="B227" i="3"/>
  <c r="A227" i="3"/>
  <c r="H227" i="3"/>
  <c r="G227" i="3"/>
  <c r="AC243" i="3"/>
  <c r="F243" i="3"/>
  <c r="D243" i="3"/>
  <c r="C243" i="3"/>
  <c r="B243" i="3"/>
  <c r="H243" i="3"/>
  <c r="G243" i="3"/>
  <c r="A243" i="3"/>
  <c r="A266" i="3"/>
  <c r="AC266" i="3"/>
  <c r="H266" i="3"/>
  <c r="D266" i="3"/>
  <c r="C266" i="3"/>
  <c r="B266" i="3"/>
  <c r="G266" i="3"/>
  <c r="F266" i="3"/>
  <c r="E367" i="3"/>
  <c r="C453" i="3"/>
  <c r="B453" i="3"/>
  <c r="D453" i="3"/>
  <c r="A453" i="3"/>
  <c r="AC453" i="3"/>
  <c r="H453" i="3"/>
  <c r="G453" i="3"/>
  <c r="F453" i="3"/>
  <c r="A313" i="3"/>
  <c r="AC313" i="3"/>
  <c r="G313" i="3"/>
  <c r="H313" i="3"/>
  <c r="F313" i="3"/>
  <c r="D313" i="3"/>
  <c r="C313" i="3"/>
  <c r="B313" i="3"/>
  <c r="AC473" i="3"/>
  <c r="H473" i="3"/>
  <c r="A473" i="3"/>
  <c r="D473" i="3"/>
  <c r="C473" i="3"/>
  <c r="B473" i="3"/>
  <c r="G473" i="3"/>
  <c r="F473" i="3"/>
  <c r="C500" i="3"/>
  <c r="F500" i="3"/>
  <c r="D500" i="3"/>
  <c r="B500" i="3"/>
  <c r="A500" i="3"/>
  <c r="AC500" i="3"/>
  <c r="H500" i="3"/>
  <c r="G500" i="3"/>
  <c r="AC482" i="3"/>
  <c r="H482" i="3"/>
  <c r="G482" i="3"/>
  <c r="F482" i="3"/>
  <c r="D482" i="3"/>
  <c r="C482" i="3"/>
  <c r="B482" i="3"/>
  <c r="A482" i="3"/>
  <c r="G648" i="3"/>
  <c r="F648" i="3"/>
  <c r="C648" i="3"/>
  <c r="B648" i="3"/>
  <c r="A648" i="3"/>
  <c r="AC648" i="3"/>
  <c r="D648" i="3"/>
  <c r="H648" i="3"/>
  <c r="H550" i="3"/>
  <c r="F550" i="3"/>
  <c r="D550" i="3"/>
  <c r="C550" i="3"/>
  <c r="B550" i="3"/>
  <c r="G550" i="3"/>
  <c r="A550" i="3"/>
  <c r="AC550" i="3"/>
  <c r="D689" i="3"/>
  <c r="C689" i="3"/>
  <c r="H689" i="3"/>
  <c r="B689" i="3"/>
  <c r="A689" i="3"/>
  <c r="AC689" i="3"/>
  <c r="F689" i="3"/>
  <c r="G689" i="3"/>
  <c r="C692" i="3"/>
  <c r="B692" i="3"/>
  <c r="AC692" i="3"/>
  <c r="G692" i="3"/>
  <c r="A692" i="3"/>
  <c r="H692" i="3"/>
  <c r="F692" i="3"/>
  <c r="D692" i="3"/>
  <c r="H658" i="3"/>
  <c r="D658" i="3"/>
  <c r="C658" i="3"/>
  <c r="B658" i="3"/>
  <c r="A658" i="3"/>
  <c r="AC658" i="3"/>
  <c r="G658" i="3"/>
  <c r="F658" i="3"/>
  <c r="H530" i="3"/>
  <c r="D530" i="3"/>
  <c r="AC530" i="3"/>
  <c r="A530" i="3"/>
  <c r="C530" i="3"/>
  <c r="B530" i="3"/>
  <c r="G530" i="3"/>
  <c r="F530" i="3"/>
  <c r="AC476" i="3"/>
  <c r="H476" i="3"/>
  <c r="G476" i="3"/>
  <c r="F476" i="3"/>
  <c r="D476" i="3"/>
  <c r="C476" i="3"/>
  <c r="B476" i="3"/>
  <c r="A476" i="3"/>
  <c r="AU266" i="5"/>
  <c r="AV266" i="5" s="1"/>
  <c r="AU109" i="5"/>
  <c r="AV109" i="5" s="1"/>
  <c r="AU373" i="5"/>
  <c r="AV373" i="5" s="1"/>
  <c r="AU174" i="5"/>
  <c r="AV174" i="5" s="1"/>
  <c r="AU11" i="5"/>
  <c r="AV11" i="5" s="1"/>
  <c r="AU144" i="5"/>
  <c r="AV144" i="5" s="1"/>
  <c r="AU268" i="5"/>
  <c r="AV268" i="5" s="1"/>
  <c r="AU153" i="5"/>
  <c r="AV153" i="5" s="1"/>
  <c r="AU361" i="5"/>
  <c r="AV361" i="5" s="1"/>
  <c r="AU121" i="5"/>
  <c r="AV121" i="5" s="1"/>
  <c r="AU244" i="5"/>
  <c r="AV244" i="5" s="1"/>
  <c r="AU239" i="5"/>
  <c r="AV239" i="5" s="1"/>
  <c r="H160" i="3"/>
  <c r="G160" i="3"/>
  <c r="F160" i="3"/>
  <c r="D160" i="3"/>
  <c r="C160" i="3"/>
  <c r="B160" i="3"/>
  <c r="A160" i="3"/>
  <c r="AC160" i="3"/>
  <c r="A24" i="3"/>
  <c r="AC24" i="3"/>
  <c r="H24" i="3"/>
  <c r="G24" i="3"/>
  <c r="F24" i="3"/>
  <c r="D24" i="3"/>
  <c r="C24" i="3"/>
  <c r="B24" i="3"/>
  <c r="A40" i="3"/>
  <c r="AC40" i="3"/>
  <c r="H40" i="3"/>
  <c r="G40" i="3"/>
  <c r="F40" i="3"/>
  <c r="D40" i="3"/>
  <c r="C40" i="3"/>
  <c r="B40" i="3"/>
  <c r="A56" i="3"/>
  <c r="AC56" i="3"/>
  <c r="H56" i="3"/>
  <c r="G56" i="3"/>
  <c r="F56" i="3"/>
  <c r="D56" i="3"/>
  <c r="C56" i="3"/>
  <c r="B56" i="3"/>
  <c r="A72" i="3"/>
  <c r="AC72" i="3"/>
  <c r="H72" i="3"/>
  <c r="G72" i="3"/>
  <c r="F72" i="3"/>
  <c r="D72" i="3"/>
  <c r="C72" i="3"/>
  <c r="B72" i="3"/>
  <c r="A88" i="3"/>
  <c r="AC88" i="3"/>
  <c r="H88" i="3"/>
  <c r="G88" i="3"/>
  <c r="F88" i="3"/>
  <c r="D88" i="3"/>
  <c r="C88" i="3"/>
  <c r="B88" i="3"/>
  <c r="A104" i="3"/>
  <c r="AC104" i="3"/>
  <c r="H104" i="3"/>
  <c r="G104" i="3"/>
  <c r="F104" i="3"/>
  <c r="D104" i="3"/>
  <c r="C104" i="3"/>
  <c r="B104" i="3"/>
  <c r="A120" i="3"/>
  <c r="AC120" i="3"/>
  <c r="H120" i="3"/>
  <c r="G120" i="3"/>
  <c r="F120" i="3"/>
  <c r="D120" i="3"/>
  <c r="C120" i="3"/>
  <c r="B120" i="3"/>
  <c r="A136" i="3"/>
  <c r="AC136" i="3"/>
  <c r="H136" i="3"/>
  <c r="G136" i="3"/>
  <c r="F136" i="3"/>
  <c r="D136" i="3"/>
  <c r="C136" i="3"/>
  <c r="B136" i="3"/>
  <c r="H176" i="3"/>
  <c r="G176" i="3"/>
  <c r="F176" i="3"/>
  <c r="D176" i="3"/>
  <c r="C176" i="3"/>
  <c r="B176" i="3"/>
  <c r="A176" i="3"/>
  <c r="AC176" i="3"/>
  <c r="E154" i="3"/>
  <c r="H562" i="3"/>
  <c r="D562" i="3"/>
  <c r="B562" i="3"/>
  <c r="A562" i="3"/>
  <c r="F562" i="3"/>
  <c r="AC562" i="3"/>
  <c r="G562" i="3"/>
  <c r="C562" i="3"/>
  <c r="A317" i="3"/>
  <c r="AC317" i="3"/>
  <c r="G317" i="3"/>
  <c r="F317" i="3"/>
  <c r="D317" i="3"/>
  <c r="C317" i="3"/>
  <c r="B317" i="3"/>
  <c r="H317" i="3"/>
  <c r="A333" i="3"/>
  <c r="AC333" i="3"/>
  <c r="H333" i="3"/>
  <c r="G333" i="3"/>
  <c r="F333" i="3"/>
  <c r="C333" i="3"/>
  <c r="B333" i="3"/>
  <c r="D333" i="3"/>
  <c r="A349" i="3"/>
  <c r="AC349" i="3"/>
  <c r="H349" i="3"/>
  <c r="G349" i="3"/>
  <c r="F349" i="3"/>
  <c r="C349" i="3"/>
  <c r="B349" i="3"/>
  <c r="D349" i="3"/>
  <c r="A554" i="3"/>
  <c r="F554" i="3"/>
  <c r="D554" i="3"/>
  <c r="C554" i="3"/>
  <c r="B554" i="3"/>
  <c r="AC554" i="3"/>
  <c r="H554" i="3"/>
  <c r="G554" i="3"/>
  <c r="H381" i="3"/>
  <c r="G381" i="3"/>
  <c r="F381" i="3"/>
  <c r="D381" i="3"/>
  <c r="C381" i="3"/>
  <c r="B381" i="3"/>
  <c r="A381" i="3"/>
  <c r="AC381" i="3"/>
  <c r="E473" i="3"/>
  <c r="G552" i="3"/>
  <c r="F552" i="3"/>
  <c r="C552" i="3"/>
  <c r="B552" i="3"/>
  <c r="H552" i="3"/>
  <c r="D552" i="3"/>
  <c r="A552" i="3"/>
  <c r="AC552" i="3"/>
  <c r="A602" i="3"/>
  <c r="H602" i="3"/>
  <c r="C602" i="3"/>
  <c r="F602" i="3"/>
  <c r="D602" i="3"/>
  <c r="B602" i="3"/>
  <c r="AC602" i="3"/>
  <c r="G602" i="3"/>
  <c r="C676" i="3"/>
  <c r="B676" i="3"/>
  <c r="AC676" i="3"/>
  <c r="G676" i="3"/>
  <c r="H676" i="3"/>
  <c r="F676" i="3"/>
  <c r="D676" i="3"/>
  <c r="A676" i="3"/>
  <c r="H694" i="3"/>
  <c r="G694" i="3"/>
  <c r="F694" i="3"/>
  <c r="A694" i="3"/>
  <c r="AC694" i="3"/>
  <c r="D694" i="3"/>
  <c r="C694" i="3"/>
  <c r="B694" i="3"/>
  <c r="H643" i="3"/>
  <c r="G643" i="3"/>
  <c r="F643" i="3"/>
  <c r="B643" i="3"/>
  <c r="D643" i="3"/>
  <c r="AC643" i="3"/>
  <c r="C643" i="3"/>
  <c r="A643" i="3"/>
  <c r="AC572" i="3"/>
  <c r="G572" i="3"/>
  <c r="F572" i="3"/>
  <c r="H572" i="3"/>
  <c r="B572" i="3"/>
  <c r="D572" i="3"/>
  <c r="C572" i="3"/>
  <c r="A572" i="3"/>
  <c r="AC700" i="3"/>
  <c r="G700" i="3"/>
  <c r="F700" i="3"/>
  <c r="D700" i="3"/>
  <c r="C700" i="3"/>
  <c r="H700" i="3"/>
  <c r="B700" i="3"/>
  <c r="A700" i="3"/>
  <c r="F591" i="3"/>
  <c r="C591" i="3"/>
  <c r="B591" i="3"/>
  <c r="A591" i="3"/>
  <c r="G591" i="3"/>
  <c r="AC591" i="3"/>
  <c r="H591" i="3"/>
  <c r="D591" i="3"/>
  <c r="AU339" i="5"/>
  <c r="AV339" i="5" s="1"/>
  <c r="AU208" i="5"/>
  <c r="AV208" i="5" s="1"/>
  <c r="D8" i="3"/>
  <c r="C8" i="3"/>
  <c r="B8" i="3"/>
  <c r="A8" i="3"/>
  <c r="AC8" i="3"/>
  <c r="H8" i="3"/>
  <c r="F8" i="3"/>
  <c r="E266" i="3"/>
  <c r="E333" i="3"/>
  <c r="E349" i="3"/>
  <c r="E550" i="3"/>
  <c r="E658" i="3"/>
  <c r="A345" i="3"/>
  <c r="AC345" i="3"/>
  <c r="H345" i="3"/>
  <c r="G345" i="3"/>
  <c r="F345" i="3"/>
  <c r="C345" i="3"/>
  <c r="B345" i="3"/>
  <c r="D345" i="3"/>
  <c r="I10" i="3"/>
  <c r="H155" i="3"/>
  <c r="G155" i="3"/>
  <c r="F155" i="3"/>
  <c r="D155" i="3"/>
  <c r="C155" i="3"/>
  <c r="B155" i="3"/>
  <c r="A155" i="3"/>
  <c r="AC155" i="3"/>
  <c r="H168" i="3"/>
  <c r="G168" i="3"/>
  <c r="F168" i="3"/>
  <c r="D168" i="3"/>
  <c r="C168" i="3"/>
  <c r="B168" i="3"/>
  <c r="A168" i="3"/>
  <c r="AC168" i="3"/>
  <c r="H182" i="3"/>
  <c r="G182" i="3"/>
  <c r="F182" i="3"/>
  <c r="D182" i="3"/>
  <c r="C182" i="3"/>
  <c r="B182" i="3"/>
  <c r="A182" i="3"/>
  <c r="AC182" i="3"/>
  <c r="AC217" i="3"/>
  <c r="F217" i="3"/>
  <c r="D217" i="3"/>
  <c r="H217" i="3"/>
  <c r="G217" i="3"/>
  <c r="C217" i="3"/>
  <c r="B217" i="3"/>
  <c r="A217" i="3"/>
  <c r="AC249" i="3"/>
  <c r="F249" i="3"/>
  <c r="D249" i="3"/>
  <c r="C249" i="3"/>
  <c r="B249" i="3"/>
  <c r="A249" i="3"/>
  <c r="H249" i="3"/>
  <c r="G249" i="3"/>
  <c r="B551" i="3"/>
  <c r="A551" i="3"/>
  <c r="AC551" i="3"/>
  <c r="H551" i="3"/>
  <c r="G551" i="3"/>
  <c r="F551" i="3"/>
  <c r="D551" i="3"/>
  <c r="C551" i="3"/>
  <c r="AC415" i="3"/>
  <c r="H415" i="3"/>
  <c r="G415" i="3"/>
  <c r="F415" i="3"/>
  <c r="D415" i="3"/>
  <c r="C415" i="3"/>
  <c r="B415" i="3"/>
  <c r="A415" i="3"/>
  <c r="H377" i="3"/>
  <c r="G377" i="3"/>
  <c r="F377" i="3"/>
  <c r="D377" i="3"/>
  <c r="C377" i="3"/>
  <c r="B377" i="3"/>
  <c r="A377" i="3"/>
  <c r="AC377" i="3"/>
  <c r="AU100" i="5"/>
  <c r="AV100" i="5" s="1"/>
  <c r="H180" i="3"/>
  <c r="G180" i="3"/>
  <c r="F180" i="3"/>
  <c r="D180" i="3"/>
  <c r="C180" i="3"/>
  <c r="B180" i="3"/>
  <c r="A180" i="3"/>
  <c r="AC180" i="3"/>
  <c r="H205" i="3"/>
  <c r="G205" i="3"/>
  <c r="F205" i="3"/>
  <c r="D205" i="3"/>
  <c r="C205" i="3"/>
  <c r="B205" i="3"/>
  <c r="A205" i="3"/>
  <c r="AC205" i="3"/>
  <c r="E272" i="3"/>
  <c r="AC233" i="3"/>
  <c r="F233" i="3"/>
  <c r="D233" i="3"/>
  <c r="H233" i="3"/>
  <c r="G233" i="3"/>
  <c r="C233" i="3"/>
  <c r="B233" i="3"/>
  <c r="A233" i="3"/>
  <c r="A294" i="3"/>
  <c r="G294" i="3"/>
  <c r="F294" i="3"/>
  <c r="AC294" i="3"/>
  <c r="D294" i="3"/>
  <c r="C294" i="3"/>
  <c r="B294" i="3"/>
  <c r="H294" i="3"/>
  <c r="H387" i="3"/>
  <c r="G387" i="3"/>
  <c r="F387" i="3"/>
  <c r="D387" i="3"/>
  <c r="C387" i="3"/>
  <c r="B387" i="3"/>
  <c r="A387" i="3"/>
  <c r="AC387" i="3"/>
  <c r="A303" i="3"/>
  <c r="AC303" i="3"/>
  <c r="G303" i="3"/>
  <c r="D303" i="3"/>
  <c r="C303" i="3"/>
  <c r="B303" i="3"/>
  <c r="H303" i="3"/>
  <c r="F303" i="3"/>
  <c r="H383" i="3"/>
  <c r="G383" i="3"/>
  <c r="F383" i="3"/>
  <c r="D383" i="3"/>
  <c r="C383" i="3"/>
  <c r="B383" i="3"/>
  <c r="A383" i="3"/>
  <c r="AC383" i="3"/>
  <c r="B471" i="3"/>
  <c r="A471" i="3"/>
  <c r="AC471" i="3"/>
  <c r="H471" i="3"/>
  <c r="G471" i="3"/>
  <c r="F471" i="3"/>
  <c r="D471" i="3"/>
  <c r="C471" i="3"/>
  <c r="D654" i="3"/>
  <c r="A654" i="3"/>
  <c r="C654" i="3"/>
  <c r="B654" i="3"/>
  <c r="AC654" i="3"/>
  <c r="G654" i="3"/>
  <c r="H654" i="3"/>
  <c r="F654" i="3"/>
  <c r="D545" i="3"/>
  <c r="C545" i="3"/>
  <c r="AC545" i="3"/>
  <c r="G545" i="3"/>
  <c r="H545" i="3"/>
  <c r="F545" i="3"/>
  <c r="B545" i="3"/>
  <c r="A545" i="3"/>
  <c r="E551" i="3"/>
  <c r="D609" i="3"/>
  <c r="C609" i="3"/>
  <c r="H609" i="3"/>
  <c r="AC609" i="3"/>
  <c r="G609" i="3"/>
  <c r="A609" i="3"/>
  <c r="F609" i="3"/>
  <c r="B609" i="3"/>
  <c r="G432" i="3"/>
  <c r="F432" i="3"/>
  <c r="AC432" i="3"/>
  <c r="B432" i="3"/>
  <c r="A432" i="3"/>
  <c r="H432" i="3"/>
  <c r="C432" i="3"/>
  <c r="D432" i="3"/>
  <c r="C531" i="3"/>
  <c r="B531" i="3"/>
  <c r="A531" i="3"/>
  <c r="AC531" i="3"/>
  <c r="H531" i="3"/>
  <c r="G531" i="3"/>
  <c r="D531" i="3"/>
  <c r="F531" i="3"/>
  <c r="AC479" i="3"/>
  <c r="C479" i="3"/>
  <c r="B479" i="3"/>
  <c r="A479" i="3"/>
  <c r="D479" i="3"/>
  <c r="H479" i="3"/>
  <c r="G479" i="3"/>
  <c r="F479" i="3"/>
  <c r="F607" i="3"/>
  <c r="AC607" i="3"/>
  <c r="H607" i="3"/>
  <c r="D607" i="3"/>
  <c r="B607" i="3"/>
  <c r="G607" i="3"/>
  <c r="C607" i="3"/>
  <c r="A607" i="3"/>
  <c r="AU241" i="5"/>
  <c r="AV241" i="5" s="1"/>
  <c r="AU134" i="5"/>
  <c r="AV134" i="5" s="1"/>
  <c r="AU218" i="5"/>
  <c r="AV218" i="5" s="1"/>
  <c r="AU35" i="5"/>
  <c r="AV35" i="5" s="1"/>
  <c r="AU140" i="5"/>
  <c r="AV140" i="5" s="1"/>
  <c r="AU399" i="5"/>
  <c r="AV399" i="5" s="1"/>
  <c r="AU349" i="5"/>
  <c r="AV349" i="5" s="1"/>
  <c r="AU129" i="5"/>
  <c r="AV129" i="5" s="1"/>
  <c r="AU311" i="5"/>
  <c r="AV311" i="5" s="1"/>
  <c r="AU257" i="5"/>
  <c r="AV257" i="5" s="1"/>
  <c r="AU389" i="5"/>
  <c r="AV389" i="5" s="1"/>
  <c r="AU344" i="5"/>
  <c r="AV344" i="5" s="1"/>
  <c r="AU61" i="5"/>
  <c r="AV61" i="5" s="1"/>
  <c r="AU98" i="5"/>
  <c r="AV98" i="5" s="1"/>
  <c r="AU247" i="5"/>
  <c r="AV247" i="5" s="1"/>
  <c r="AU393" i="5"/>
  <c r="AV393" i="5" s="1"/>
  <c r="AU47" i="5"/>
  <c r="AV47" i="5" s="1"/>
  <c r="AU155" i="5"/>
  <c r="AV155" i="5" s="1"/>
  <c r="AU74" i="5"/>
  <c r="AV74" i="5" s="1"/>
  <c r="AU392" i="5"/>
  <c r="AV392" i="5" s="1"/>
  <c r="AU79" i="5"/>
  <c r="AV79" i="5" s="1"/>
  <c r="AU116" i="5"/>
  <c r="AV116" i="5" s="1"/>
  <c r="AU228" i="5"/>
  <c r="AV228" i="5" s="1"/>
  <c r="AU316" i="5"/>
  <c r="AV316" i="5" s="1"/>
  <c r="AU382" i="5"/>
  <c r="AV382" i="5" s="1"/>
  <c r="E205" i="3"/>
  <c r="E313" i="3"/>
  <c r="E381" i="3"/>
  <c r="E554" i="3"/>
  <c r="BF12" i="5"/>
  <c r="AO93" i="5"/>
  <c r="AO113" i="5"/>
  <c r="AO118" i="5"/>
  <c r="AO46" i="5"/>
  <c r="AO162" i="5"/>
  <c r="AO160" i="5"/>
  <c r="AO184" i="5"/>
  <c r="AO14" i="5"/>
  <c r="AO17" i="5"/>
  <c r="AO225" i="5"/>
  <c r="AO342" i="5"/>
  <c r="AO32" i="5"/>
  <c r="AO235" i="5"/>
  <c r="AO206" i="5"/>
  <c r="AO244" i="5"/>
  <c r="AO271" i="5"/>
  <c r="AO288" i="5"/>
  <c r="AO371" i="5"/>
  <c r="AO185" i="5"/>
  <c r="AO214" i="5"/>
  <c r="AO289" i="5"/>
  <c r="AO356" i="5"/>
  <c r="AO211" i="5"/>
  <c r="AO327" i="5"/>
  <c r="AO140" i="5"/>
  <c r="AO277" i="5"/>
  <c r="AO279" i="5"/>
  <c r="AO335" i="5"/>
  <c r="AO175" i="5"/>
  <c r="AO351" i="5"/>
  <c r="AO382" i="5"/>
  <c r="AO217" i="5"/>
  <c r="AO34" i="5"/>
  <c r="AO61" i="5"/>
  <c r="AO368" i="5"/>
  <c r="AO139" i="5"/>
  <c r="AO9" i="5"/>
  <c r="AO259" i="5"/>
  <c r="AO215" i="5"/>
  <c r="AO330" i="5"/>
  <c r="AO47" i="5"/>
  <c r="AO291" i="5"/>
  <c r="AO41" i="5"/>
  <c r="AO329" i="5"/>
  <c r="AO87" i="5"/>
  <c r="AO155" i="5"/>
  <c r="AO95" i="5"/>
  <c r="AO325" i="5"/>
  <c r="AO15" i="5"/>
  <c r="AO72" i="5"/>
  <c r="AO210" i="5"/>
  <c r="AO77" i="5"/>
  <c r="AO19" i="5"/>
  <c r="AO40" i="5"/>
  <c r="AO387" i="5"/>
  <c r="AO133" i="5"/>
  <c r="AO239" i="5"/>
  <c r="AO270" i="5"/>
  <c r="AO321" i="5"/>
  <c r="AO39" i="5"/>
  <c r="AO354" i="5"/>
  <c r="AO404" i="5"/>
  <c r="AO132" i="5"/>
  <c r="AO186" i="5"/>
  <c r="AO28" i="5"/>
  <c r="AO372" i="5"/>
  <c r="AO44" i="5"/>
  <c r="AO13" i="5"/>
  <c r="AO194" i="5"/>
  <c r="AO171" i="5"/>
  <c r="AO33" i="5"/>
  <c r="AO226" i="5"/>
  <c r="AO12" i="5"/>
  <c r="AO343" i="5"/>
  <c r="AO179" i="5"/>
  <c r="AO255" i="5"/>
  <c r="AO285" i="5"/>
  <c r="AO378" i="5"/>
  <c r="AO106" i="5"/>
  <c r="AO350" i="5"/>
  <c r="AO396" i="5"/>
  <c r="AO151" i="5"/>
  <c r="AO256" i="5"/>
  <c r="AO112" i="5"/>
  <c r="AO381" i="5"/>
  <c r="AO24" i="5"/>
  <c r="AO27" i="5"/>
  <c r="AO92" i="5"/>
  <c r="AO180" i="5"/>
  <c r="AO161" i="5"/>
  <c r="AO385" i="5"/>
  <c r="AO74" i="5"/>
  <c r="AO319" i="5"/>
  <c r="AO82" i="5"/>
  <c r="AO164" i="5"/>
  <c r="AO292" i="5"/>
  <c r="AO308" i="5"/>
  <c r="AO348" i="5"/>
  <c r="AO144" i="5"/>
  <c r="AO123" i="5"/>
  <c r="AO111" i="5"/>
  <c r="AO25" i="5"/>
  <c r="AO383" i="5"/>
  <c r="AO149" i="5"/>
  <c r="AO391" i="5"/>
  <c r="AO64" i="5"/>
  <c r="AO358" i="5"/>
  <c r="AO326" i="5"/>
  <c r="AO29" i="5"/>
  <c r="AO258" i="5"/>
  <c r="AO196" i="5"/>
  <c r="AO320" i="5"/>
  <c r="AO379" i="5"/>
  <c r="AO86" i="5"/>
  <c r="AO230" i="5"/>
  <c r="AO167" i="5"/>
  <c r="AO229" i="5"/>
  <c r="AO402" i="5"/>
  <c r="AO100" i="5"/>
  <c r="AO91" i="5"/>
  <c r="AO55" i="5"/>
  <c r="AO201" i="5"/>
  <c r="AO339" i="5"/>
  <c r="AO165" i="5"/>
  <c r="AO349" i="5"/>
  <c r="AO172" i="5"/>
  <c r="AO51" i="5"/>
  <c r="AO50" i="5"/>
  <c r="AO127" i="5"/>
  <c r="AO253" i="5"/>
  <c r="AO156" i="5"/>
  <c r="AO8" i="5"/>
  <c r="AO79" i="5"/>
  <c r="AO38" i="5"/>
  <c r="AO116" i="5"/>
  <c r="AO176" i="5"/>
  <c r="AO120" i="5"/>
  <c r="AO310" i="5"/>
  <c r="AO353" i="5"/>
  <c r="AO212" i="5"/>
  <c r="AO182" i="5"/>
  <c r="AO251" i="5"/>
  <c r="AO141" i="5"/>
  <c r="AO170" i="5"/>
  <c r="AO243" i="5"/>
  <c r="AO150" i="5"/>
  <c r="AO213" i="5"/>
  <c r="AO266" i="5"/>
  <c r="AO306" i="5"/>
  <c r="AO236" i="5"/>
  <c r="AO63" i="5"/>
  <c r="AO84" i="5"/>
  <c r="AO65" i="5"/>
  <c r="AO48" i="5"/>
  <c r="AO369" i="5"/>
  <c r="AO337" i="5"/>
  <c r="AO85" i="5"/>
  <c r="AO103" i="5"/>
  <c r="AO10" i="5"/>
  <c r="AO101" i="5"/>
  <c r="AO173" i="5"/>
  <c r="AO37" i="5"/>
  <c r="AO154" i="5"/>
  <c r="AO114" i="5"/>
  <c r="AO401" i="5"/>
  <c r="AO169" i="5"/>
  <c r="AO122" i="5"/>
  <c r="AO294" i="5"/>
  <c r="AO81" i="5"/>
  <c r="AO153" i="5"/>
  <c r="AO373" i="5"/>
  <c r="AO159" i="5"/>
  <c r="AO18" i="5"/>
  <c r="AO23" i="5"/>
  <c r="AO147" i="5"/>
  <c r="AO278" i="5"/>
  <c r="AO115" i="5"/>
  <c r="AO233" i="5"/>
  <c r="AO105" i="5"/>
  <c r="AO254" i="5"/>
  <c r="AO126" i="5"/>
  <c r="AO268" i="5"/>
  <c r="AO145" i="5"/>
  <c r="AO200" i="5"/>
  <c r="AO227" i="5"/>
  <c r="AO394" i="5"/>
  <c r="AO22" i="5"/>
  <c r="AO45" i="5"/>
  <c r="AO334" i="5"/>
  <c r="AO71" i="5"/>
  <c r="AO341" i="5"/>
  <c r="AO397" i="5"/>
  <c r="AO313" i="5"/>
  <c r="AO58" i="5"/>
  <c r="AO386" i="5"/>
  <c r="AO205" i="5"/>
  <c r="AO117" i="5"/>
  <c r="AO284" i="5"/>
  <c r="AO56" i="5"/>
  <c r="AO36" i="5"/>
  <c r="AO53" i="5"/>
  <c r="AO110" i="5"/>
  <c r="AO183" i="5"/>
  <c r="AO219" i="5"/>
  <c r="AO21" i="5"/>
  <c r="AO347" i="5"/>
  <c r="AO98" i="5"/>
  <c r="AO220" i="5"/>
  <c r="AO344" i="5"/>
  <c r="AO331" i="5"/>
  <c r="AO137" i="5"/>
  <c r="AO345" i="5"/>
  <c r="AO228" i="5"/>
  <c r="AO338" i="5"/>
  <c r="AO322" i="5"/>
  <c r="AO218" i="5"/>
  <c r="AO317" i="5"/>
  <c r="AO96" i="5"/>
  <c r="AO248" i="5"/>
  <c r="AO66" i="5"/>
  <c r="AO178" i="5"/>
  <c r="AO393" i="5"/>
  <c r="AO242" i="5"/>
  <c r="AO241" i="5"/>
  <c r="AO245" i="5"/>
  <c r="AO282" i="5"/>
  <c r="AO204" i="5"/>
  <c r="AO302" i="5"/>
  <c r="AO209" i="5"/>
  <c r="AO60" i="5"/>
  <c r="AO136" i="5"/>
  <c r="AO247" i="5"/>
  <c r="AO152" i="5"/>
  <c r="AO166" i="5"/>
  <c r="AO352" i="5"/>
  <c r="AO174" i="5"/>
  <c r="AO265" i="5"/>
  <c r="AO31" i="5"/>
  <c r="AO121" i="5"/>
  <c r="AO80" i="5"/>
  <c r="AO134" i="5"/>
  <c r="AO395" i="5"/>
  <c r="AO375" i="5"/>
  <c r="AO11" i="5"/>
  <c r="AO97" i="5"/>
  <c r="AO366" i="5"/>
  <c r="AO187" i="5"/>
  <c r="AO315" i="5"/>
  <c r="AO49" i="5"/>
  <c r="AO314" i="5"/>
  <c r="AO246" i="5"/>
  <c r="AO298" i="5"/>
  <c r="AO124" i="5"/>
  <c r="AO263" i="5"/>
  <c r="AO130" i="5"/>
  <c r="AO135" i="5"/>
  <c r="AO363" i="5"/>
  <c r="AO208" i="5"/>
  <c r="AO125" i="5"/>
  <c r="AO390" i="5"/>
  <c r="AO168" i="5"/>
  <c r="AO250" i="5"/>
  <c r="AO57" i="5"/>
  <c r="AO199" i="5"/>
  <c r="AO311" i="5"/>
  <c r="AO364" i="5"/>
  <c r="AO99" i="5"/>
  <c r="AO207" i="5"/>
  <c r="AO221" i="5"/>
  <c r="AO273" i="5"/>
  <c r="AO223" i="5"/>
  <c r="AO257" i="5"/>
  <c r="AO403" i="5"/>
  <c r="AO69" i="5"/>
  <c r="AO202" i="5"/>
  <c r="AO30" i="5"/>
  <c r="AO203" i="5"/>
  <c r="AO355" i="5"/>
  <c r="AO392" i="5"/>
  <c r="AO377" i="5"/>
  <c r="AO269" i="5"/>
  <c r="AO389" i="5"/>
  <c r="AO43" i="5"/>
  <c r="AO304" i="5"/>
  <c r="AO346" i="5"/>
  <c r="AO400" i="5"/>
  <c r="AO108" i="5"/>
  <c r="AO146" i="5"/>
  <c r="AO276" i="5"/>
  <c r="AO398" i="5"/>
  <c r="AO102" i="5"/>
  <c r="AO20" i="5"/>
  <c r="AO157" i="5"/>
  <c r="AO237" i="5"/>
  <c r="AO323" i="5"/>
  <c r="AO88" i="5"/>
  <c r="AO107" i="5"/>
  <c r="AO195" i="5"/>
  <c r="AO303" i="5"/>
  <c r="AO283" i="5"/>
  <c r="AO7" i="5"/>
  <c r="AO274" i="5"/>
  <c r="AO360" i="5"/>
  <c r="AO260" i="5"/>
  <c r="AO240" i="5"/>
  <c r="AO148" i="5"/>
  <c r="AO388" i="5"/>
  <c r="AO83" i="5"/>
  <c r="AO109" i="5"/>
  <c r="AO222" i="5"/>
  <c r="AO238" i="5"/>
  <c r="AO5" i="5"/>
  <c r="AO198" i="5"/>
  <c r="AO374" i="5"/>
  <c r="AO42" i="5"/>
  <c r="AO119" i="5"/>
  <c r="AO94" i="5"/>
  <c r="AO76" i="5"/>
  <c r="AO301" i="5"/>
  <c r="AO297" i="5"/>
  <c r="AO305" i="5"/>
  <c r="AO90" i="5"/>
  <c r="AO300" i="5"/>
  <c r="AO340" i="5"/>
  <c r="AO78" i="5"/>
  <c r="AO142" i="5"/>
  <c r="AO361" i="5"/>
  <c r="AO192" i="5"/>
  <c r="AO293" i="5"/>
  <c r="AO290" i="5"/>
  <c r="AO59" i="5"/>
  <c r="AO328" i="5"/>
  <c r="AO324" i="5"/>
  <c r="AO131" i="5"/>
  <c r="AO318" i="5"/>
  <c r="AO264" i="5"/>
  <c r="AO234" i="5"/>
  <c r="AO104" i="5"/>
  <c r="AO163" i="5"/>
  <c r="AO128" i="5"/>
  <c r="AO189" i="5"/>
  <c r="AO384" i="5"/>
  <c r="AO365" i="5"/>
  <c r="AO262" i="5"/>
  <c r="AO16" i="5"/>
  <c r="AO280" i="5"/>
  <c r="AO252" i="5"/>
  <c r="AO316" i="5"/>
  <c r="AO309" i="5"/>
  <c r="AO333" i="5"/>
  <c r="AO275" i="5"/>
  <c r="AO359" i="5"/>
  <c r="AO193" i="5"/>
  <c r="AO336" i="5"/>
  <c r="AO267" i="5"/>
  <c r="AO68" i="5"/>
  <c r="AO367" i="5"/>
  <c r="AO370" i="5"/>
  <c r="AO143" i="5"/>
  <c r="AO75" i="5"/>
  <c r="AO399" i="5"/>
  <c r="AO312" i="5"/>
  <c r="AO26" i="5"/>
  <c r="AO224" i="5"/>
  <c r="AO52" i="5"/>
  <c r="AO67" i="5"/>
  <c r="AO129" i="5"/>
  <c r="AO380" i="5"/>
  <c r="AO249" i="5"/>
  <c r="AO190" i="5"/>
  <c r="AO231" i="5"/>
  <c r="AO281" i="5"/>
  <c r="AO6" i="5"/>
  <c r="AO357" i="5"/>
  <c r="AO295" i="5"/>
  <c r="AO70" i="5"/>
  <c r="AO272" i="5"/>
  <c r="AO181" i="5"/>
  <c r="AO261" i="5"/>
  <c r="AO191" i="5"/>
  <c r="AO188" i="5"/>
  <c r="AO286" i="5"/>
  <c r="AO54" i="5"/>
  <c r="AO138" i="5"/>
  <c r="AO287" i="5"/>
  <c r="AO35" i="5"/>
  <c r="AO232" i="5"/>
  <c r="AO296" i="5"/>
  <c r="AO89" i="5"/>
  <c r="AO332" i="5"/>
  <c r="AO73" i="5"/>
  <c r="AO216" i="5"/>
  <c r="AO299" i="5"/>
  <c r="AO197" i="5"/>
  <c r="AO307" i="5"/>
  <c r="AO62" i="5"/>
  <c r="AO158" i="5"/>
  <c r="AO177" i="5"/>
  <c r="AO362" i="5"/>
  <c r="AO376" i="5"/>
  <c r="A329" i="3"/>
  <c r="AC329" i="3"/>
  <c r="H329" i="3"/>
  <c r="G329" i="3"/>
  <c r="F329" i="3"/>
  <c r="C329" i="3"/>
  <c r="B329" i="3"/>
  <c r="D329" i="3"/>
  <c r="AU341" i="5"/>
  <c r="AV341" i="5" s="1"/>
  <c r="AU46" i="5"/>
  <c r="AV46" i="5" s="1"/>
  <c r="AU272" i="5"/>
  <c r="AV272" i="5" s="1"/>
  <c r="AU356" i="5"/>
  <c r="AV356" i="5" s="1"/>
  <c r="AU191" i="5"/>
  <c r="AV191" i="5" s="1"/>
  <c r="AU221" i="5"/>
  <c r="AV221" i="5" s="1"/>
  <c r="AU29" i="5"/>
  <c r="AV29" i="5" s="1"/>
  <c r="AU363" i="5"/>
  <c r="AV363" i="5" s="1"/>
  <c r="AU390" i="5"/>
  <c r="AV390" i="5" s="1"/>
  <c r="C12" i="3"/>
  <c r="B12" i="3"/>
  <c r="A12" i="3"/>
  <c r="AC12" i="3"/>
  <c r="H12" i="3"/>
  <c r="G12" i="3"/>
  <c r="F12" i="3"/>
  <c r="D12" i="3"/>
  <c r="A28" i="3"/>
  <c r="AC28" i="3"/>
  <c r="H28" i="3"/>
  <c r="G28" i="3"/>
  <c r="F28" i="3"/>
  <c r="D28" i="3"/>
  <c r="C28" i="3"/>
  <c r="B28" i="3"/>
  <c r="A44" i="3"/>
  <c r="AC44" i="3"/>
  <c r="H44" i="3"/>
  <c r="G44" i="3"/>
  <c r="F44" i="3"/>
  <c r="D44" i="3"/>
  <c r="C44" i="3"/>
  <c r="B44" i="3"/>
  <c r="A60" i="3"/>
  <c r="AC60" i="3"/>
  <c r="H60" i="3"/>
  <c r="G60" i="3"/>
  <c r="F60" i="3"/>
  <c r="D60" i="3"/>
  <c r="C60" i="3"/>
  <c r="B60" i="3"/>
  <c r="A76" i="3"/>
  <c r="AC76" i="3"/>
  <c r="H76" i="3"/>
  <c r="G76" i="3"/>
  <c r="F76" i="3"/>
  <c r="D76" i="3"/>
  <c r="C76" i="3"/>
  <c r="B76" i="3"/>
  <c r="A92" i="3"/>
  <c r="AC92" i="3"/>
  <c r="H92" i="3"/>
  <c r="G92" i="3"/>
  <c r="F92" i="3"/>
  <c r="D92" i="3"/>
  <c r="C92" i="3"/>
  <c r="B92" i="3"/>
  <c r="A108" i="3"/>
  <c r="AC108" i="3"/>
  <c r="H108" i="3"/>
  <c r="G108" i="3"/>
  <c r="F108" i="3"/>
  <c r="D108" i="3"/>
  <c r="C108" i="3"/>
  <c r="B108" i="3"/>
  <c r="A124" i="3"/>
  <c r="AC124" i="3"/>
  <c r="H124" i="3"/>
  <c r="G124" i="3"/>
  <c r="F124" i="3"/>
  <c r="D124" i="3"/>
  <c r="C124" i="3"/>
  <c r="B124" i="3"/>
  <c r="A140" i="3"/>
  <c r="AC140" i="3"/>
  <c r="H140" i="3"/>
  <c r="G140" i="3"/>
  <c r="F140" i="3"/>
  <c r="D140" i="3"/>
  <c r="C140" i="3"/>
  <c r="B140" i="3"/>
  <c r="H192" i="3"/>
  <c r="G192" i="3"/>
  <c r="F192" i="3"/>
  <c r="D192" i="3"/>
  <c r="C192" i="3"/>
  <c r="B192" i="3"/>
  <c r="A192" i="3"/>
  <c r="AC192" i="3"/>
  <c r="E227" i="3"/>
  <c r="E243" i="3"/>
  <c r="A261" i="3"/>
  <c r="C261" i="3"/>
  <c r="B261" i="3"/>
  <c r="AC261" i="3"/>
  <c r="H261" i="3"/>
  <c r="G261" i="3"/>
  <c r="F261" i="3"/>
  <c r="D261" i="3"/>
  <c r="AC235" i="3"/>
  <c r="F235" i="3"/>
  <c r="D235" i="3"/>
  <c r="C235" i="3"/>
  <c r="B235" i="3"/>
  <c r="A235" i="3"/>
  <c r="H235" i="3"/>
  <c r="G235" i="3"/>
  <c r="AC251" i="3"/>
  <c r="F251" i="3"/>
  <c r="D251" i="3"/>
  <c r="C251" i="3"/>
  <c r="B251" i="3"/>
  <c r="H251" i="3"/>
  <c r="G251" i="3"/>
  <c r="A251" i="3"/>
  <c r="A305" i="3"/>
  <c r="AC305" i="3"/>
  <c r="G305" i="3"/>
  <c r="D305" i="3"/>
  <c r="C305" i="3"/>
  <c r="B305" i="3"/>
  <c r="H305" i="3"/>
  <c r="F305" i="3"/>
  <c r="H392" i="3"/>
  <c r="G392" i="3"/>
  <c r="F392" i="3"/>
  <c r="D392" i="3"/>
  <c r="C392" i="3"/>
  <c r="B392" i="3"/>
  <c r="A392" i="3"/>
  <c r="AC392" i="3"/>
  <c r="D574" i="3"/>
  <c r="A574" i="3"/>
  <c r="H574" i="3"/>
  <c r="B574" i="3"/>
  <c r="AC574" i="3"/>
  <c r="G574" i="3"/>
  <c r="F574" i="3"/>
  <c r="C574" i="3"/>
  <c r="G664" i="3"/>
  <c r="F664" i="3"/>
  <c r="C664" i="3"/>
  <c r="B664" i="3"/>
  <c r="A664" i="3"/>
  <c r="AC664" i="3"/>
  <c r="H664" i="3"/>
  <c r="D664" i="3"/>
  <c r="B583" i="3"/>
  <c r="A583" i="3"/>
  <c r="G583" i="3"/>
  <c r="F583" i="3"/>
  <c r="D583" i="3"/>
  <c r="C583" i="3"/>
  <c r="AC583" i="3"/>
  <c r="H583" i="3"/>
  <c r="D450" i="3"/>
  <c r="C450" i="3"/>
  <c r="A450" i="3"/>
  <c r="AC450" i="3"/>
  <c r="H450" i="3"/>
  <c r="G450" i="3"/>
  <c r="F450" i="3"/>
  <c r="B450" i="3"/>
  <c r="G472" i="3"/>
  <c r="F472" i="3"/>
  <c r="C472" i="3"/>
  <c r="B472" i="3"/>
  <c r="AC472" i="3"/>
  <c r="H472" i="3"/>
  <c r="D472" i="3"/>
  <c r="A472" i="3"/>
  <c r="H582" i="3"/>
  <c r="D582" i="3"/>
  <c r="AC582" i="3"/>
  <c r="G582" i="3"/>
  <c r="F582" i="3"/>
  <c r="C582" i="3"/>
  <c r="B582" i="3"/>
  <c r="A582" i="3"/>
  <c r="B567" i="3"/>
  <c r="A567" i="3"/>
  <c r="AC567" i="3"/>
  <c r="H567" i="3"/>
  <c r="G567" i="3"/>
  <c r="F567" i="3"/>
  <c r="D567" i="3"/>
  <c r="C567" i="3"/>
  <c r="D622" i="3"/>
  <c r="A622" i="3"/>
  <c r="H622" i="3"/>
  <c r="G622" i="3"/>
  <c r="F622" i="3"/>
  <c r="C622" i="3"/>
  <c r="AC622" i="3"/>
  <c r="B622" i="3"/>
  <c r="E607" i="3"/>
  <c r="AC547" i="3"/>
  <c r="C547" i="3"/>
  <c r="B547" i="3"/>
  <c r="A547" i="3"/>
  <c r="H547" i="3"/>
  <c r="G547" i="3"/>
  <c r="F547" i="3"/>
  <c r="D547" i="3"/>
  <c r="H675" i="3"/>
  <c r="G675" i="3"/>
  <c r="F675" i="3"/>
  <c r="B675" i="3"/>
  <c r="D675" i="3"/>
  <c r="AC675" i="3"/>
  <c r="C675" i="3"/>
  <c r="A675" i="3"/>
  <c r="AC604" i="3"/>
  <c r="G604" i="3"/>
  <c r="F604" i="3"/>
  <c r="A604" i="3"/>
  <c r="H604" i="3"/>
  <c r="C604" i="3"/>
  <c r="D604" i="3"/>
  <c r="B604" i="3"/>
  <c r="A36" i="3"/>
  <c r="AC36" i="3"/>
  <c r="H36" i="3"/>
  <c r="G36" i="3"/>
  <c r="F36" i="3"/>
  <c r="D36" i="3"/>
  <c r="C36" i="3"/>
  <c r="B36" i="3"/>
  <c r="AU213" i="5"/>
  <c r="AV213" i="5" s="1"/>
  <c r="AU159" i="5"/>
  <c r="AV159" i="5" s="1"/>
  <c r="AU176" i="5"/>
  <c r="AV176" i="5" s="1"/>
  <c r="AU76" i="5"/>
  <c r="AV76" i="5" s="1"/>
  <c r="AU96" i="5"/>
  <c r="AV96" i="5" s="1"/>
  <c r="AU319" i="5"/>
  <c r="AV319" i="5" s="1"/>
  <c r="AU137" i="5"/>
  <c r="AV137" i="5" s="1"/>
  <c r="AU94" i="5"/>
  <c r="AV94" i="5" s="1"/>
  <c r="AU60" i="5"/>
  <c r="AV60" i="5" s="1"/>
  <c r="AU101" i="5"/>
  <c r="AV101" i="5" s="1"/>
  <c r="E8" i="3"/>
  <c r="G8" i="3" s="1"/>
  <c r="E261" i="3"/>
  <c r="E383" i="3"/>
  <c r="E562" i="3"/>
  <c r="B413" i="3"/>
  <c r="A413" i="3"/>
  <c r="AC413" i="3"/>
  <c r="H413" i="3"/>
  <c r="G413" i="3"/>
  <c r="F413" i="3"/>
  <c r="D413" i="3"/>
  <c r="C413" i="3"/>
  <c r="AU374" i="5"/>
  <c r="AV374" i="5" s="1"/>
  <c r="AU167" i="5"/>
  <c r="AV167" i="5" s="1"/>
  <c r="AU330" i="5"/>
  <c r="AV330" i="5" s="1"/>
  <c r="AU289" i="5"/>
  <c r="AV289" i="5" s="1"/>
  <c r="AU310" i="5"/>
  <c r="AV310" i="5" s="1"/>
  <c r="AU325" i="5"/>
  <c r="AV325" i="5" s="1"/>
  <c r="AU42" i="5"/>
  <c r="AV42" i="5" s="1"/>
  <c r="AU274" i="5"/>
  <c r="AV274" i="5" s="1"/>
  <c r="AU10" i="5"/>
  <c r="AV10" i="5" s="1"/>
  <c r="AU292" i="5"/>
  <c r="AV292" i="5" s="1"/>
  <c r="AU165" i="5"/>
  <c r="AV165" i="5" s="1"/>
  <c r="AU184" i="5"/>
  <c r="AV184" i="5" s="1"/>
  <c r="AU304" i="5"/>
  <c r="AV304" i="5" s="1"/>
  <c r="AU113" i="5"/>
  <c r="AV113" i="5" s="1"/>
  <c r="AU251" i="5"/>
  <c r="AV251" i="5" s="1"/>
  <c r="AU324" i="5"/>
  <c r="AV324" i="5" s="1"/>
  <c r="AU77" i="5"/>
  <c r="AV77" i="5" s="1"/>
  <c r="AU387" i="5"/>
  <c r="AV387" i="5" s="1"/>
  <c r="AU127" i="5"/>
  <c r="AV127" i="5" s="1"/>
  <c r="AU34" i="5"/>
  <c r="AV34" i="5" s="1"/>
  <c r="AU111" i="5"/>
  <c r="AV111" i="5" s="1"/>
  <c r="E28" i="3"/>
  <c r="E44" i="3"/>
  <c r="E60" i="3"/>
  <c r="E76" i="3"/>
  <c r="E92" i="3"/>
  <c r="E108" i="3"/>
  <c r="E124" i="3"/>
  <c r="E140" i="3"/>
  <c r="E160" i="3"/>
  <c r="E176" i="3"/>
  <c r="E192" i="3"/>
  <c r="E288" i="3"/>
  <c r="E582" i="3"/>
  <c r="E692" i="3"/>
  <c r="E648" i="3"/>
  <c r="AU102" i="5"/>
  <c r="AV102" i="5" s="1"/>
  <c r="AU207" i="5"/>
  <c r="AV207" i="5" s="1"/>
  <c r="AU224" i="5"/>
  <c r="AV224" i="5" s="1"/>
  <c r="AU381" i="5"/>
  <c r="AV381" i="5" s="1"/>
  <c r="AU376" i="5"/>
  <c r="AV376" i="5" s="1"/>
  <c r="D60" i="4"/>
  <c r="AU364" i="5"/>
  <c r="AV364" i="5" s="1"/>
  <c r="E303" i="3"/>
  <c r="E604" i="3"/>
  <c r="E415" i="3"/>
  <c r="E654" i="3"/>
  <c r="AU7" i="5"/>
  <c r="AV7" i="5" s="1"/>
  <c r="AU329" i="5"/>
  <c r="AV329" i="5" s="1"/>
  <c r="E60" i="4"/>
  <c r="H169" i="3"/>
  <c r="G169" i="3"/>
  <c r="F169" i="3"/>
  <c r="D169" i="3"/>
  <c r="C169" i="3"/>
  <c r="B169" i="3"/>
  <c r="A169" i="3"/>
  <c r="AC169" i="3"/>
  <c r="H158" i="3"/>
  <c r="G158" i="3"/>
  <c r="F158" i="3"/>
  <c r="D158" i="3"/>
  <c r="C158" i="3"/>
  <c r="B158" i="3"/>
  <c r="A158" i="3"/>
  <c r="AC158" i="3"/>
  <c r="AC239" i="3"/>
  <c r="F239" i="3"/>
  <c r="D239" i="3"/>
  <c r="C239" i="3"/>
  <c r="B239" i="3"/>
  <c r="H239" i="3"/>
  <c r="G239" i="3"/>
  <c r="A239" i="3"/>
  <c r="H368" i="3"/>
  <c r="G368" i="3"/>
  <c r="F368" i="3"/>
  <c r="D368" i="3"/>
  <c r="C368" i="3"/>
  <c r="A368" i="3"/>
  <c r="B368" i="3"/>
  <c r="AC368" i="3"/>
  <c r="A309" i="3"/>
  <c r="AC309" i="3"/>
  <c r="G309" i="3"/>
  <c r="D309" i="3"/>
  <c r="C309" i="3"/>
  <c r="B309" i="3"/>
  <c r="H309" i="3"/>
  <c r="F309" i="3"/>
  <c r="F539" i="3"/>
  <c r="B539" i="3"/>
  <c r="A539" i="3"/>
  <c r="AC539" i="3"/>
  <c r="H539" i="3"/>
  <c r="G539" i="3"/>
  <c r="D539" i="3"/>
  <c r="C539" i="3"/>
  <c r="F507" i="3"/>
  <c r="AC507" i="3"/>
  <c r="C507" i="3"/>
  <c r="H507" i="3"/>
  <c r="G507" i="3"/>
  <c r="D507" i="3"/>
  <c r="B507" i="3"/>
  <c r="A507" i="3"/>
  <c r="G536" i="3"/>
  <c r="F536" i="3"/>
  <c r="C536" i="3"/>
  <c r="B536" i="3"/>
  <c r="AC536" i="3"/>
  <c r="H536" i="3"/>
  <c r="D536" i="3"/>
  <c r="A536" i="3"/>
  <c r="AC470" i="3"/>
  <c r="H470" i="3"/>
  <c r="G470" i="3"/>
  <c r="F470" i="3"/>
  <c r="D470" i="3"/>
  <c r="C470" i="3"/>
  <c r="B470" i="3"/>
  <c r="A470" i="3"/>
  <c r="H707" i="3"/>
  <c r="G707" i="3"/>
  <c r="F707" i="3"/>
  <c r="D707" i="3"/>
  <c r="B707" i="3"/>
  <c r="AC707" i="3"/>
  <c r="C707" i="3"/>
  <c r="A707" i="3"/>
  <c r="I12" i="3"/>
  <c r="AC636" i="3"/>
  <c r="G636" i="3"/>
  <c r="F636" i="3"/>
  <c r="D636" i="3"/>
  <c r="C636" i="3"/>
  <c r="H636" i="3"/>
  <c r="B636" i="3"/>
  <c r="A636" i="3"/>
  <c r="AU263" i="5"/>
  <c r="AV263" i="5" s="1"/>
  <c r="AU57" i="5"/>
  <c r="AV57" i="5" s="1"/>
  <c r="AU294" i="5"/>
  <c r="AV294" i="5" s="1"/>
  <c r="AU195" i="5"/>
  <c r="AV195" i="5" s="1"/>
  <c r="AU90" i="5"/>
  <c r="AV90" i="5" s="1"/>
  <c r="AU126" i="5"/>
  <c r="AV126" i="5" s="1"/>
  <c r="AU334" i="5"/>
  <c r="AV334" i="5" s="1"/>
  <c r="AU58" i="5"/>
  <c r="AV58" i="5" s="1"/>
  <c r="AU166" i="5"/>
  <c r="AV166" i="5" s="1"/>
  <c r="AU91" i="5"/>
  <c r="AV91" i="5" s="1"/>
  <c r="AU108" i="5"/>
  <c r="AV108" i="5" s="1"/>
  <c r="AU214" i="5"/>
  <c r="AV214" i="5" s="1"/>
  <c r="AU64" i="5"/>
  <c r="AV64" i="5" s="1"/>
  <c r="AU401" i="5"/>
  <c r="AV401" i="5" s="1"/>
  <c r="E12" i="3"/>
  <c r="E179" i="3"/>
  <c r="E305" i="3"/>
  <c r="E530" i="3"/>
  <c r="E387" i="3"/>
  <c r="E643" i="3"/>
  <c r="E472" i="3"/>
  <c r="G357" i="3"/>
  <c r="F357" i="3"/>
  <c r="A357" i="3"/>
  <c r="H357" i="3"/>
  <c r="D357" i="3"/>
  <c r="C357" i="3"/>
  <c r="B357" i="3"/>
  <c r="AC357" i="3"/>
  <c r="AU139" i="5"/>
  <c r="AV139" i="5" s="1"/>
  <c r="AU320" i="5"/>
  <c r="AV320" i="5" s="1"/>
  <c r="AU123" i="5"/>
  <c r="AV123" i="5" s="1"/>
  <c r="AU168" i="5"/>
  <c r="AV168" i="5" s="1"/>
  <c r="H156" i="3"/>
  <c r="G156" i="3"/>
  <c r="F156" i="3"/>
  <c r="D156" i="3"/>
  <c r="C156" i="3"/>
  <c r="B156" i="3"/>
  <c r="A156" i="3"/>
  <c r="AC156" i="3"/>
  <c r="H200" i="3"/>
  <c r="G200" i="3"/>
  <c r="F200" i="3"/>
  <c r="D200" i="3"/>
  <c r="C200" i="3"/>
  <c r="B200" i="3"/>
  <c r="A200" i="3"/>
  <c r="AC200" i="3"/>
  <c r="A281" i="3"/>
  <c r="G281" i="3"/>
  <c r="AC281" i="3"/>
  <c r="H281" i="3"/>
  <c r="F281" i="3"/>
  <c r="C281" i="3"/>
  <c r="B281" i="3"/>
  <c r="D281" i="3"/>
  <c r="AC223" i="3"/>
  <c r="F223" i="3"/>
  <c r="D223" i="3"/>
  <c r="H223" i="3"/>
  <c r="G223" i="3"/>
  <c r="B223" i="3"/>
  <c r="A223" i="3"/>
  <c r="C223" i="3"/>
  <c r="H373" i="3"/>
  <c r="G373" i="3"/>
  <c r="F373" i="3"/>
  <c r="D373" i="3"/>
  <c r="C373" i="3"/>
  <c r="B373" i="3"/>
  <c r="A373" i="3"/>
  <c r="AC373" i="3"/>
  <c r="H485" i="3"/>
  <c r="G485" i="3"/>
  <c r="F485" i="3"/>
  <c r="D485" i="3"/>
  <c r="C485" i="3"/>
  <c r="B485" i="3"/>
  <c r="A485" i="3"/>
  <c r="AC485" i="3"/>
  <c r="C628" i="3"/>
  <c r="B628" i="3"/>
  <c r="AC628" i="3"/>
  <c r="G628" i="3"/>
  <c r="A628" i="3"/>
  <c r="H628" i="3"/>
  <c r="F628" i="3"/>
  <c r="D628" i="3"/>
  <c r="F655" i="3"/>
  <c r="D655" i="3"/>
  <c r="C655" i="3"/>
  <c r="B655" i="3"/>
  <c r="AC655" i="3"/>
  <c r="H655" i="3"/>
  <c r="A655" i="3"/>
  <c r="G655" i="3"/>
  <c r="AU150" i="5"/>
  <c r="AV150" i="5" s="1"/>
  <c r="AU262" i="5"/>
  <c r="AV262" i="5" s="1"/>
  <c r="AU87" i="5"/>
  <c r="AV87" i="5" s="1"/>
  <c r="AU397" i="5"/>
  <c r="AV397" i="5" s="1"/>
  <c r="AU300" i="5"/>
  <c r="AV300" i="5" s="1"/>
  <c r="AU172" i="5"/>
  <c r="AV172" i="5" s="1"/>
  <c r="AU248" i="5"/>
  <c r="AV248" i="5" s="1"/>
  <c r="AU14" i="5"/>
  <c r="AV14" i="5" s="1"/>
  <c r="AU238" i="5"/>
  <c r="AV238" i="5" s="1"/>
  <c r="AU19" i="5"/>
  <c r="AV19" i="5" s="1"/>
  <c r="AU367" i="5"/>
  <c r="AV367" i="5" s="1"/>
  <c r="AU131" i="5"/>
  <c r="AV131" i="5" s="1"/>
  <c r="AU217" i="5"/>
  <c r="AV217" i="5" s="1"/>
  <c r="AU295" i="5"/>
  <c r="AV295" i="5" s="1"/>
  <c r="AU89" i="5"/>
  <c r="AV89" i="5" s="1"/>
  <c r="AU133" i="5"/>
  <c r="AV133" i="5" s="1"/>
  <c r="AU332" i="5"/>
  <c r="AV332" i="5" s="1"/>
  <c r="AU256" i="5"/>
  <c r="AV256" i="5" s="1"/>
  <c r="AU190" i="5"/>
  <c r="AV190" i="5" s="1"/>
  <c r="E217" i="3"/>
  <c r="E180" i="3"/>
  <c r="E432" i="3"/>
  <c r="E233" i="3"/>
  <c r="E249" i="3"/>
  <c r="E689" i="3"/>
  <c r="E581" i="3"/>
  <c r="E602" i="3"/>
  <c r="E655" i="3"/>
  <c r="H362" i="3"/>
  <c r="G362" i="3"/>
  <c r="F362" i="3"/>
  <c r="D362" i="3"/>
  <c r="C362" i="3"/>
  <c r="A362" i="3"/>
  <c r="B362" i="3"/>
  <c r="AC362" i="3"/>
  <c r="AU54" i="5"/>
  <c r="AV54" i="5" s="1"/>
  <c r="AU253" i="5"/>
  <c r="AV253" i="5" s="1"/>
  <c r="AU231" i="5"/>
  <c r="AV231" i="5" s="1"/>
  <c r="A286" i="3"/>
  <c r="G286" i="3"/>
  <c r="D286" i="3"/>
  <c r="C286" i="3"/>
  <c r="B286" i="3"/>
  <c r="AC286" i="3"/>
  <c r="H286" i="3"/>
  <c r="F286" i="3"/>
  <c r="AC255" i="3"/>
  <c r="F255" i="3"/>
  <c r="D255" i="3"/>
  <c r="C255" i="3"/>
  <c r="B255" i="3"/>
  <c r="H255" i="3"/>
  <c r="G255" i="3"/>
  <c r="A255" i="3"/>
  <c r="H411" i="3"/>
  <c r="G411" i="3"/>
  <c r="F411" i="3"/>
  <c r="D411" i="3"/>
  <c r="C411" i="3"/>
  <c r="B411" i="3"/>
  <c r="A411" i="3"/>
  <c r="AC411" i="3"/>
  <c r="G488" i="3"/>
  <c r="A488" i="3"/>
  <c r="D488" i="3"/>
  <c r="C488" i="3"/>
  <c r="B488" i="3"/>
  <c r="AC488" i="3"/>
  <c r="H488" i="3"/>
  <c r="F488" i="3"/>
  <c r="G527" i="3"/>
  <c r="F527" i="3"/>
  <c r="D527" i="3"/>
  <c r="C527" i="3"/>
  <c r="B527" i="3"/>
  <c r="H527" i="3"/>
  <c r="A527" i="3"/>
  <c r="AC527" i="3"/>
  <c r="AU236" i="5"/>
  <c r="AV236" i="5" s="1"/>
  <c r="AU115" i="5"/>
  <c r="AV115" i="5" s="1"/>
  <c r="AU234" i="5"/>
  <c r="AV234" i="5" s="1"/>
  <c r="AU259" i="5"/>
  <c r="AV259" i="5" s="1"/>
  <c r="AU306" i="5"/>
  <c r="AV306" i="5" s="1"/>
  <c r="AU24" i="5"/>
  <c r="AV24" i="5" s="1"/>
  <c r="AU88" i="5"/>
  <c r="AV88" i="5" s="1"/>
  <c r="AU171" i="5"/>
  <c r="AV171" i="5" s="1"/>
  <c r="AU323" i="5"/>
  <c r="AV323" i="5" s="1"/>
  <c r="AU402" i="5"/>
  <c r="AV402" i="5" s="1"/>
  <c r="AU328" i="5"/>
  <c r="AV328" i="5" s="1"/>
  <c r="AU151" i="5"/>
  <c r="AV151" i="5" s="1"/>
  <c r="AU223" i="5"/>
  <c r="AV223" i="5" s="1"/>
  <c r="AU285" i="5"/>
  <c r="AV285" i="5" s="1"/>
  <c r="AU5" i="5"/>
  <c r="AV5" i="5" s="1"/>
  <c r="AU142" i="5"/>
  <c r="AV142" i="5" s="1"/>
  <c r="AU128" i="5"/>
  <c r="AV128" i="5" s="1"/>
  <c r="AU290" i="5"/>
  <c r="AV290" i="5" s="1"/>
  <c r="AU32" i="5"/>
  <c r="AV32" i="5" s="1"/>
  <c r="AU99" i="5"/>
  <c r="AV99" i="5" s="1"/>
  <c r="AU362" i="5"/>
  <c r="AV362" i="5" s="1"/>
  <c r="AU232" i="5"/>
  <c r="AV232" i="5" s="1"/>
  <c r="AU209" i="5"/>
  <c r="AV209" i="5" s="1"/>
  <c r="AU120" i="5"/>
  <c r="AV120" i="5" s="1"/>
  <c r="E294" i="3"/>
  <c r="E476" i="3"/>
  <c r="E373" i="3"/>
  <c r="E675" i="3"/>
  <c r="E583" i="3"/>
  <c r="E539" i="3"/>
  <c r="AC498" i="3"/>
  <c r="H498" i="3"/>
  <c r="G498" i="3"/>
  <c r="F498" i="3"/>
  <c r="D498" i="3"/>
  <c r="C498" i="3"/>
  <c r="B498" i="3"/>
  <c r="A498" i="3"/>
  <c r="H630" i="3"/>
  <c r="G630" i="3"/>
  <c r="F630" i="3"/>
  <c r="A630" i="3"/>
  <c r="AC630" i="3"/>
  <c r="D630" i="3"/>
  <c r="C630" i="3"/>
  <c r="B630" i="3"/>
  <c r="H512" i="3"/>
  <c r="G512" i="3"/>
  <c r="F512" i="3"/>
  <c r="AC512" i="3"/>
  <c r="D512" i="3"/>
  <c r="C512" i="3"/>
  <c r="B512" i="3"/>
  <c r="A512" i="3"/>
  <c r="AU383" i="5"/>
  <c r="AV383" i="5" s="1"/>
  <c r="AU86" i="5"/>
  <c r="AV86" i="5" s="1"/>
  <c r="AU366" i="5"/>
  <c r="AV366" i="5" s="1"/>
  <c r="AU252" i="5"/>
  <c r="AV252" i="5" s="1"/>
  <c r="AU95" i="5"/>
  <c r="AV95" i="5" s="1"/>
  <c r="AU189" i="5"/>
  <c r="AV189" i="5" s="1"/>
  <c r="AU210" i="5"/>
  <c r="AV210" i="5" s="1"/>
  <c r="AU354" i="5"/>
  <c r="AV354" i="5" s="1"/>
  <c r="AU315" i="5"/>
  <c r="AV315" i="5" s="1"/>
  <c r="AU22" i="5"/>
  <c r="AV22" i="5" s="1"/>
  <c r="AU27" i="5"/>
  <c r="AV27" i="5" s="1"/>
  <c r="AU307" i="5"/>
  <c r="AV307" i="5" s="1"/>
  <c r="AU337" i="5"/>
  <c r="AV337" i="5" s="1"/>
  <c r="AU196" i="5"/>
  <c r="AV196" i="5" s="1"/>
  <c r="E183" i="3"/>
  <c r="E453" i="3"/>
  <c r="E309" i="3"/>
  <c r="E329" i="3"/>
  <c r="E345" i="3"/>
  <c r="E498" i="3"/>
  <c r="E536" i="3"/>
  <c r="E500" i="3"/>
  <c r="E574" i="3"/>
  <c r="D673" i="3"/>
  <c r="C673" i="3"/>
  <c r="H673" i="3"/>
  <c r="AC673" i="3"/>
  <c r="G673" i="3"/>
  <c r="F673" i="3"/>
  <c r="B673" i="3"/>
  <c r="A673" i="3"/>
  <c r="AU81" i="5"/>
  <c r="AV81" i="5" s="1"/>
  <c r="AU212" i="5"/>
  <c r="AV212" i="5" s="1"/>
  <c r="AU255" i="5"/>
  <c r="AV255" i="5" s="1"/>
  <c r="AU170" i="5"/>
  <c r="AV170" i="5" s="1"/>
  <c r="AU18" i="5"/>
  <c r="AV18" i="5" s="1"/>
  <c r="AU297" i="5"/>
  <c r="AV297" i="5" s="1"/>
  <c r="AU305" i="5"/>
  <c r="AV305" i="5" s="1"/>
  <c r="E20" i="3"/>
  <c r="E36" i="3"/>
  <c r="E52" i="3"/>
  <c r="E68" i="3"/>
  <c r="E84" i="3"/>
  <c r="E100" i="3"/>
  <c r="E116" i="3"/>
  <c r="E132" i="3"/>
  <c r="E148" i="3"/>
  <c r="E168" i="3"/>
  <c r="E200" i="3"/>
  <c r="E531" i="3"/>
  <c r="E413" i="3"/>
  <c r="E482" i="3"/>
  <c r="E392" i="3"/>
  <c r="E411" i="3"/>
  <c r="E707" i="3"/>
  <c r="E676" i="3"/>
  <c r="AU192" i="5"/>
  <c r="AV192" i="5" s="1"/>
  <c r="AU185" i="5"/>
  <c r="AV185" i="5" s="1"/>
  <c r="AU351" i="5"/>
  <c r="AV351" i="5" s="1"/>
  <c r="AU353" i="5"/>
  <c r="AV353" i="5" s="1"/>
  <c r="AU235" i="5"/>
  <c r="AV235" i="5" s="1"/>
  <c r="AU333" i="5"/>
  <c r="AV333" i="5" s="1"/>
  <c r="AU181" i="5"/>
  <c r="AV181" i="5" s="1"/>
  <c r="AU220" i="5"/>
  <c r="AV220" i="5" s="1"/>
  <c r="AU384" i="5"/>
  <c r="AV384" i="5" s="1"/>
  <c r="AU92" i="5"/>
  <c r="AV92" i="5" s="1"/>
  <c r="E169" i="3"/>
  <c r="E507" i="3"/>
  <c r="E450" i="3"/>
  <c r="E377" i="3"/>
  <c r="AI1" i="5" l="1"/>
  <c r="AD698" i="5" l="1"/>
  <c r="AD682" i="5"/>
  <c r="AD666" i="5"/>
  <c r="AD704" i="5"/>
  <c r="AD688" i="5"/>
  <c r="AD672" i="5"/>
  <c r="AD656" i="5"/>
  <c r="AD640" i="5"/>
  <c r="AD690" i="5"/>
  <c r="AD674" i="5"/>
  <c r="AD658" i="5"/>
  <c r="AD677" i="5"/>
  <c r="AD663" i="5"/>
  <c r="AD662" i="5"/>
  <c r="AD692" i="5"/>
  <c r="AD691" i="5"/>
  <c r="AD661" i="5"/>
  <c r="AD676" i="5"/>
  <c r="AD675" i="5"/>
  <c r="AD650" i="5"/>
  <c r="AD660" i="5"/>
  <c r="AD659" i="5"/>
  <c r="AD641" i="5"/>
  <c r="AD631" i="5"/>
  <c r="AD689" i="5"/>
  <c r="AD703" i="5"/>
  <c r="AD673" i="5"/>
  <c r="AD649" i="5"/>
  <c r="AD637" i="5"/>
  <c r="AD702" i="5"/>
  <c r="AD687" i="5"/>
  <c r="AD700" i="5"/>
  <c r="AD685" i="5"/>
  <c r="AD670" i="5"/>
  <c r="AD655" i="5"/>
  <c r="AD644" i="5"/>
  <c r="AD630" i="5"/>
  <c r="AD699" i="5"/>
  <c r="AD683" i="5"/>
  <c r="AD668" i="5"/>
  <c r="AD696" i="5"/>
  <c r="AD681" i="5"/>
  <c r="AD701" i="5"/>
  <c r="AD686" i="5"/>
  <c r="AD664" i="5"/>
  <c r="AD652" i="5"/>
  <c r="AD645" i="5"/>
  <c r="AD695" i="5"/>
  <c r="AD646" i="5"/>
  <c r="AD621" i="5"/>
  <c r="AD605" i="5"/>
  <c r="AD671" i="5"/>
  <c r="AD624" i="5"/>
  <c r="AD608" i="5"/>
  <c r="AD669" i="5"/>
  <c r="AD653" i="5"/>
  <c r="AD647" i="5"/>
  <c r="AD627" i="5"/>
  <c r="AD697" i="5"/>
  <c r="AD678" i="5"/>
  <c r="AD667" i="5"/>
  <c r="AD657" i="5"/>
  <c r="AD648" i="5"/>
  <c r="AD694" i="5"/>
  <c r="AD617" i="5"/>
  <c r="AD601" i="5"/>
  <c r="AD680" i="5"/>
  <c r="AD665" i="5"/>
  <c r="AD633" i="5"/>
  <c r="AD654" i="5"/>
  <c r="AD636" i="5"/>
  <c r="AD634" i="5"/>
  <c r="AD632" i="5"/>
  <c r="AD639" i="5"/>
  <c r="AD635" i="5"/>
  <c r="AD626" i="5"/>
  <c r="AD610" i="5"/>
  <c r="AD638" i="5"/>
  <c r="AD629" i="5"/>
  <c r="AD613" i="5"/>
  <c r="AD616" i="5"/>
  <c r="AD620" i="5"/>
  <c r="AD592" i="5"/>
  <c r="AD622" i="5"/>
  <c r="AD611" i="5"/>
  <c r="AD595" i="5"/>
  <c r="AD642" i="5"/>
  <c r="AD598" i="5"/>
  <c r="AD582" i="5"/>
  <c r="AD566" i="5"/>
  <c r="AD651" i="5"/>
  <c r="AD612" i="5"/>
  <c r="AD585" i="5"/>
  <c r="AD569" i="5"/>
  <c r="AD679" i="5"/>
  <c r="AD618" i="5"/>
  <c r="AD603" i="5"/>
  <c r="AD604" i="5"/>
  <c r="AD602" i="5"/>
  <c r="AD594" i="5"/>
  <c r="AD619" i="5"/>
  <c r="AD614" i="5"/>
  <c r="AD623" i="5"/>
  <c r="AD684" i="5"/>
  <c r="AD615" i="5"/>
  <c r="AD607" i="5"/>
  <c r="AD599" i="5"/>
  <c r="AD591" i="5"/>
  <c r="AD587" i="5"/>
  <c r="AD584" i="5"/>
  <c r="AD561" i="5"/>
  <c r="AD554" i="5"/>
  <c r="AD538" i="5"/>
  <c r="AD625" i="5"/>
  <c r="AD590" i="5"/>
  <c r="AD586" i="5"/>
  <c r="AD574" i="5"/>
  <c r="AD557" i="5"/>
  <c r="AD541" i="5"/>
  <c r="AD693" i="5"/>
  <c r="AD589" i="5"/>
  <c r="AD583" i="5"/>
  <c r="AD567" i="5"/>
  <c r="AD544" i="5"/>
  <c r="AD581" i="5"/>
  <c r="AD560" i="5"/>
  <c r="AD547" i="5"/>
  <c r="AD600" i="5"/>
  <c r="AD593" i="5"/>
  <c r="AD573" i="5"/>
  <c r="AD550" i="5"/>
  <c r="AD580" i="5"/>
  <c r="AD572" i="5"/>
  <c r="AD553" i="5"/>
  <c r="AD579" i="5"/>
  <c r="AD565" i="5"/>
  <c r="AD556" i="5"/>
  <c r="AD540" i="5"/>
  <c r="AD578" i="5"/>
  <c r="AD609" i="5"/>
  <c r="AD606" i="5"/>
  <c r="AD571" i="5"/>
  <c r="AD597" i="5"/>
  <c r="AD596" i="5"/>
  <c r="AD564" i="5"/>
  <c r="AD549" i="5"/>
  <c r="AD577" i="5"/>
  <c r="AD563" i="5"/>
  <c r="AD532" i="5"/>
  <c r="AD522" i="5"/>
  <c r="AD506" i="5"/>
  <c r="AD570" i="5"/>
  <c r="AD559" i="5"/>
  <c r="AD539" i="5"/>
  <c r="AD525" i="5"/>
  <c r="AD509" i="5"/>
  <c r="AD542" i="5"/>
  <c r="AD528" i="5"/>
  <c r="AD512" i="5"/>
  <c r="AD496" i="5"/>
  <c r="AD537" i="5"/>
  <c r="AD515" i="5"/>
  <c r="AD499" i="5"/>
  <c r="AD483" i="5"/>
  <c r="AD588" i="5"/>
  <c r="AD543" i="5"/>
  <c r="AD536" i="5"/>
  <c r="AD531" i="5"/>
  <c r="AD518" i="5"/>
  <c r="AD551" i="5"/>
  <c r="AD548" i="5"/>
  <c r="AD521" i="5"/>
  <c r="AD576" i="5"/>
  <c r="AD535" i="5"/>
  <c r="AD524" i="5"/>
  <c r="AD508" i="5"/>
  <c r="AD492" i="5"/>
  <c r="AD643" i="5"/>
  <c r="AD552" i="5"/>
  <c r="AD530" i="5"/>
  <c r="AD562" i="5"/>
  <c r="AD555" i="5"/>
  <c r="AD534" i="5"/>
  <c r="AD628" i="5"/>
  <c r="AD575" i="5"/>
  <c r="AD558" i="5"/>
  <c r="AD545" i="5"/>
  <c r="AD487" i="5"/>
  <c r="AD481" i="5"/>
  <c r="AD465" i="5"/>
  <c r="AD449" i="5"/>
  <c r="AD433" i="5"/>
  <c r="AD417" i="5"/>
  <c r="AD517" i="5"/>
  <c r="AD504" i="5"/>
  <c r="AD503" i="5"/>
  <c r="AD486" i="5"/>
  <c r="AD468" i="5"/>
  <c r="AD452" i="5"/>
  <c r="AD513" i="5"/>
  <c r="AD505" i="5"/>
  <c r="AD495" i="5"/>
  <c r="AD471" i="5"/>
  <c r="AD455" i="5"/>
  <c r="AD494" i="5"/>
  <c r="AD474" i="5"/>
  <c r="AD458" i="5"/>
  <c r="AD533" i="5"/>
  <c r="AD514" i="5"/>
  <c r="AD485" i="5"/>
  <c r="AD477" i="5"/>
  <c r="AD461" i="5"/>
  <c r="AD510" i="5"/>
  <c r="AD511" i="5"/>
  <c r="AD529" i="5"/>
  <c r="AD526" i="5"/>
  <c r="AD568" i="5"/>
  <c r="AD457" i="5"/>
  <c r="AD516" i="5"/>
  <c r="AD490" i="5"/>
  <c r="AD480" i="5"/>
  <c r="AD479" i="5"/>
  <c r="AD478" i="5"/>
  <c r="AD443" i="5"/>
  <c r="AD430" i="5"/>
  <c r="AD404" i="5"/>
  <c r="AD497" i="5"/>
  <c r="AD470" i="5"/>
  <c r="AD469" i="5"/>
  <c r="AD456" i="5"/>
  <c r="AD447" i="5"/>
  <c r="AD523" i="5"/>
  <c r="AD502" i="5"/>
  <c r="AD491" i="5"/>
  <c r="AD460" i="5"/>
  <c r="AD459" i="5"/>
  <c r="AD454" i="5"/>
  <c r="AD438" i="5"/>
  <c r="AD442" i="5"/>
  <c r="AD429" i="5"/>
  <c r="AD416" i="5"/>
  <c r="AD453" i="5"/>
  <c r="AD420" i="5"/>
  <c r="AD407" i="5"/>
  <c r="AD520" i="5"/>
  <c r="AD500" i="5"/>
  <c r="AD482" i="5"/>
  <c r="AD451" i="5"/>
  <c r="AD446" i="5"/>
  <c r="AD498" i="5"/>
  <c r="AD473" i="5"/>
  <c r="AD472" i="5"/>
  <c r="AD437" i="5"/>
  <c r="AD464" i="5"/>
  <c r="AD463" i="5"/>
  <c r="AD462" i="5"/>
  <c r="AD441" i="5"/>
  <c r="AD507" i="5"/>
  <c r="AD527" i="5"/>
  <c r="AD519" i="5"/>
  <c r="AD501" i="5"/>
  <c r="AD493" i="5"/>
  <c r="AD484" i="5"/>
  <c r="AD476" i="5"/>
  <c r="AD475" i="5"/>
  <c r="AD402" i="5"/>
  <c r="AD395" i="5"/>
  <c r="AD387" i="5"/>
  <c r="AD422" i="5"/>
  <c r="AD409" i="5"/>
  <c r="AD489" i="5"/>
  <c r="AD423" i="5"/>
  <c r="AD410" i="5"/>
  <c r="AD394" i="5"/>
  <c r="AD386" i="5"/>
  <c r="AD467" i="5"/>
  <c r="AD450" i="5"/>
  <c r="AD424" i="5"/>
  <c r="AD411" i="5"/>
  <c r="AD393" i="5"/>
  <c r="AD488" i="5"/>
  <c r="AD439" i="5"/>
  <c r="AD403" i="5"/>
  <c r="AD392" i="5"/>
  <c r="AD384" i="5"/>
  <c r="AD448" i="5"/>
  <c r="AD434" i="5"/>
  <c r="AD418" i="5"/>
  <c r="AD405" i="5"/>
  <c r="AD400" i="5"/>
  <c r="AD546" i="5"/>
  <c r="AD431" i="5"/>
  <c r="AD425" i="5"/>
  <c r="AD419" i="5"/>
  <c r="AD412" i="5"/>
  <c r="AD406" i="5"/>
  <c r="AD399" i="5"/>
  <c r="AD466" i="5"/>
  <c r="AD444" i="5"/>
  <c r="AD398" i="5"/>
  <c r="AD426" i="5"/>
  <c r="AD415" i="5"/>
  <c r="AD376" i="5"/>
  <c r="AD368" i="5"/>
  <c r="AD360" i="5"/>
  <c r="AD391" i="5"/>
  <c r="AD445" i="5"/>
  <c r="AD375" i="5"/>
  <c r="AD367" i="5"/>
  <c r="AD359" i="5"/>
  <c r="AD414" i="5"/>
  <c r="AD397" i="5"/>
  <c r="AD374" i="5"/>
  <c r="AD366" i="5"/>
  <c r="AD358" i="5"/>
  <c r="AD383" i="5"/>
  <c r="AD373" i="5"/>
  <c r="AD432" i="5"/>
  <c r="AD421" i="5"/>
  <c r="AD413" i="5"/>
  <c r="AD401" i="5"/>
  <c r="AD396" i="5"/>
  <c r="AD428" i="5"/>
  <c r="AD380" i="5"/>
  <c r="AD389" i="5"/>
  <c r="AD388" i="5"/>
  <c r="AD435" i="5"/>
  <c r="AD355" i="5"/>
  <c r="AD347" i="5"/>
  <c r="AD339" i="5"/>
  <c r="AD331" i="5"/>
  <c r="AD323" i="5"/>
  <c r="AD354" i="5"/>
  <c r="AD346" i="5"/>
  <c r="AD338" i="5"/>
  <c r="AD330" i="5"/>
  <c r="AD322" i="5"/>
  <c r="AD390" i="5"/>
  <c r="AD370" i="5"/>
  <c r="AD369" i="5"/>
  <c r="AD353" i="5"/>
  <c r="AD345" i="5"/>
  <c r="AD427" i="5"/>
  <c r="AD371" i="5"/>
  <c r="AD377" i="5"/>
  <c r="AD440" i="5"/>
  <c r="AD408" i="5"/>
  <c r="AD357" i="5"/>
  <c r="AD372" i="5"/>
  <c r="AD365" i="5"/>
  <c r="AD350" i="5"/>
  <c r="AD335" i="5"/>
  <c r="AD328" i="5"/>
  <c r="AD348" i="5"/>
  <c r="AD379" i="5"/>
  <c r="AD363" i="5"/>
  <c r="AD344" i="5"/>
  <c r="AD334" i="5"/>
  <c r="AD327" i="5"/>
  <c r="AD320" i="5"/>
  <c r="AD319" i="5"/>
  <c r="AD436" i="5"/>
  <c r="AD356" i="5"/>
  <c r="AD351" i="5"/>
  <c r="AD333" i="5"/>
  <c r="AD382" i="5"/>
  <c r="AD361" i="5"/>
  <c r="AD342" i="5"/>
  <c r="AD341" i="5"/>
  <c r="AD340" i="5"/>
  <c r="AD378" i="5"/>
  <c r="AD349" i="5"/>
  <c r="AD385" i="5"/>
  <c r="AD381" i="5"/>
  <c r="AD312" i="5"/>
  <c r="AD304" i="5"/>
  <c r="AD296" i="5"/>
  <c r="AD288" i="5"/>
  <c r="AD280" i="5"/>
  <c r="AD336" i="5"/>
  <c r="AD313" i="5"/>
  <c r="AD311" i="5"/>
  <c r="AD303" i="5"/>
  <c r="AD295" i="5"/>
  <c r="AD287" i="5"/>
  <c r="AD279" i="5"/>
  <c r="AD362" i="5"/>
  <c r="AD337" i="5"/>
  <c r="AD324" i="5"/>
  <c r="AD310" i="5"/>
  <c r="AD302" i="5"/>
  <c r="AD294" i="5"/>
  <c r="AD286" i="5"/>
  <c r="AD278" i="5"/>
  <c r="AD321" i="5"/>
  <c r="AD318" i="5"/>
  <c r="AD317" i="5"/>
  <c r="AD316" i="5"/>
  <c r="AD314" i="5"/>
  <c r="AD309" i="5"/>
  <c r="AD301" i="5"/>
  <c r="AD293" i="5"/>
  <c r="AD285" i="5"/>
  <c r="AD308" i="5"/>
  <c r="AD300" i="5"/>
  <c r="AD292" i="5"/>
  <c r="AD272" i="5"/>
  <c r="AD264" i="5"/>
  <c r="AD256" i="5"/>
  <c r="AD248" i="5"/>
  <c r="AD343" i="5"/>
  <c r="AD332" i="5"/>
  <c r="AD329" i="5"/>
  <c r="AD291" i="5"/>
  <c r="AD282" i="5"/>
  <c r="AD275" i="5"/>
  <c r="AD273" i="5"/>
  <c r="AD271" i="5"/>
  <c r="AD263" i="5"/>
  <c r="AD255" i="5"/>
  <c r="AD352" i="5"/>
  <c r="AD326" i="5"/>
  <c r="AD306" i="5"/>
  <c r="AD298" i="5"/>
  <c r="AD315" i="5"/>
  <c r="AD281" i="5"/>
  <c r="AD270" i="5"/>
  <c r="AD262" i="5"/>
  <c r="AD254" i="5"/>
  <c r="AD289" i="5"/>
  <c r="AD277" i="5"/>
  <c r="AD269" i="5"/>
  <c r="AD261" i="5"/>
  <c r="AD253" i="5"/>
  <c r="AD268" i="5"/>
  <c r="AD260" i="5"/>
  <c r="AD252" i="5"/>
  <c r="AD299" i="5"/>
  <c r="AD325" i="5"/>
  <c r="AD305" i="5"/>
  <c r="AD297" i="5"/>
  <c r="AD274" i="5"/>
  <c r="AD249" i="5"/>
  <c r="AD241" i="5"/>
  <c r="AD233" i="5"/>
  <c r="AD225" i="5"/>
  <c r="AD364" i="5"/>
  <c r="AD276" i="5"/>
  <c r="AD257" i="5"/>
  <c r="AD240" i="5"/>
  <c r="AD232" i="5"/>
  <c r="AD307" i="5"/>
  <c r="AD265" i="5"/>
  <c r="AD251" i="5"/>
  <c r="AD290" i="5"/>
  <c r="AD259" i="5"/>
  <c r="AD239" i="5"/>
  <c r="AD231" i="5"/>
  <c r="AD223" i="5"/>
  <c r="AD267" i="5"/>
  <c r="AD247" i="5"/>
  <c r="AD246" i="5"/>
  <c r="AD238" i="5"/>
  <c r="AD283" i="5"/>
  <c r="AD245" i="5"/>
  <c r="AD284" i="5"/>
  <c r="AD258" i="5"/>
  <c r="AD221" i="5"/>
  <c r="AD213" i="5"/>
  <c r="AD205" i="5"/>
  <c r="AD197" i="5"/>
  <c r="AD242" i="5"/>
  <c r="AD228" i="5"/>
  <c r="AD212" i="5"/>
  <c r="AD204" i="5"/>
  <c r="AD196" i="5"/>
  <c r="AD188" i="5"/>
  <c r="AD224" i="5"/>
  <c r="AD211" i="5"/>
  <c r="AD203" i="5"/>
  <c r="AD195" i="5"/>
  <c r="AD236" i="5"/>
  <c r="AD235" i="5"/>
  <c r="AD234" i="5"/>
  <c r="AD227" i="5"/>
  <c r="AD222" i="5"/>
  <c r="AD266" i="5"/>
  <c r="AD218" i="5"/>
  <c r="AD210" i="5"/>
  <c r="AD226" i="5"/>
  <c r="AD219" i="5"/>
  <c r="AD217" i="5"/>
  <c r="AD209" i="5"/>
  <c r="AD237" i="5"/>
  <c r="AD216" i="5"/>
  <c r="AD220" i="5"/>
  <c r="AD215" i="5"/>
  <c r="AD229" i="5"/>
  <c r="AD181" i="5"/>
  <c r="AD173" i="5"/>
  <c r="AD180" i="5"/>
  <c r="AD172" i="5"/>
  <c r="AD164" i="5"/>
  <c r="AD156" i="5"/>
  <c r="AD194" i="5"/>
  <c r="AD207" i="5"/>
  <c r="AD202" i="5"/>
  <c r="AD201" i="5"/>
  <c r="AD200" i="5"/>
  <c r="AD199" i="5"/>
  <c r="AD198" i="5"/>
  <c r="AD191" i="5"/>
  <c r="AD179" i="5"/>
  <c r="AD171" i="5"/>
  <c r="AD163" i="5"/>
  <c r="AD193" i="5"/>
  <c r="AD230" i="5"/>
  <c r="AD244" i="5"/>
  <c r="AD250" i="5"/>
  <c r="AD183" i="5"/>
  <c r="AD184" i="5"/>
  <c r="AD170" i="5"/>
  <c r="AD169" i="5"/>
  <c r="AD168" i="5"/>
  <c r="AD148" i="5"/>
  <c r="AD140" i="5"/>
  <c r="AD132" i="5"/>
  <c r="AD243" i="5"/>
  <c r="AD206" i="5"/>
  <c r="AD167" i="5"/>
  <c r="AD160" i="5"/>
  <c r="AD147" i="5"/>
  <c r="AD139" i="5"/>
  <c r="AD182" i="5"/>
  <c r="AD214" i="5"/>
  <c r="AD154" i="5"/>
  <c r="AD146" i="5"/>
  <c r="AD138" i="5"/>
  <c r="AD187" i="5"/>
  <c r="AD178" i="5"/>
  <c r="AD166" i="5"/>
  <c r="AD159" i="5"/>
  <c r="AD157" i="5"/>
  <c r="AD155" i="5"/>
  <c r="AD208" i="5"/>
  <c r="AD185" i="5"/>
  <c r="AD175" i="5"/>
  <c r="AD174" i="5"/>
  <c r="AD153" i="5"/>
  <c r="AD145" i="5"/>
  <c r="AD192" i="5"/>
  <c r="AD176" i="5"/>
  <c r="AD165" i="5"/>
  <c r="AD152" i="5"/>
  <c r="AD190" i="5"/>
  <c r="AD151" i="5"/>
  <c r="AD143" i="5"/>
  <c r="AD162" i="5"/>
  <c r="AD158" i="5"/>
  <c r="AD186" i="5"/>
  <c r="AD126" i="5"/>
  <c r="AD118" i="5"/>
  <c r="AD110" i="5"/>
  <c r="AD102" i="5"/>
  <c r="AD94" i="5"/>
  <c r="AD125" i="5"/>
  <c r="AD117" i="5"/>
  <c r="AD109" i="5"/>
  <c r="AD101" i="5"/>
  <c r="AD93" i="5"/>
  <c r="AD189" i="5"/>
  <c r="AD142" i="5"/>
  <c r="AD124" i="5"/>
  <c r="AD116" i="5"/>
  <c r="AD108" i="5"/>
  <c r="AD100" i="5"/>
  <c r="AD137" i="5"/>
  <c r="AD123" i="5"/>
  <c r="AD115" i="5"/>
  <c r="AD107" i="5"/>
  <c r="AD99" i="5"/>
  <c r="AD144" i="5"/>
  <c r="AD136" i="5"/>
  <c r="AD133" i="5"/>
  <c r="AD122" i="5"/>
  <c r="AD114" i="5"/>
  <c r="AD106" i="5"/>
  <c r="AD135" i="5"/>
  <c r="AD130" i="5"/>
  <c r="AD129" i="5"/>
  <c r="AD121" i="5"/>
  <c r="AD113" i="5"/>
  <c r="AD105" i="5"/>
  <c r="AD97" i="5"/>
  <c r="AD177" i="5"/>
  <c r="AD141" i="5"/>
  <c r="AD161" i="5"/>
  <c r="AD128" i="5"/>
  <c r="AD120" i="5"/>
  <c r="AD112" i="5"/>
  <c r="AD89" i="5"/>
  <c r="AD81" i="5"/>
  <c r="AD73" i="5"/>
  <c r="AD65" i="5"/>
  <c r="AD57" i="5"/>
  <c r="AD49" i="5"/>
  <c r="AD88" i="5"/>
  <c r="AD80" i="5"/>
  <c r="AD72" i="5"/>
  <c r="AD64" i="5"/>
  <c r="AD56" i="5"/>
  <c r="AD48" i="5"/>
  <c r="AD98" i="5"/>
  <c r="AD134" i="5"/>
  <c r="AD87" i="5"/>
  <c r="AD79" i="5"/>
  <c r="AD71" i="5"/>
  <c r="AD63" i="5"/>
  <c r="AD55" i="5"/>
  <c r="AD103" i="5"/>
  <c r="AD86" i="5"/>
  <c r="AD78" i="5"/>
  <c r="AD70" i="5"/>
  <c r="AD62" i="5"/>
  <c r="AD54" i="5"/>
  <c r="AD85" i="5"/>
  <c r="AD77" i="5"/>
  <c r="AD69" i="5"/>
  <c r="AD61" i="5"/>
  <c r="AD95" i="5"/>
  <c r="AD150" i="5"/>
  <c r="AD119" i="5"/>
  <c r="AD84" i="5"/>
  <c r="AD76" i="5"/>
  <c r="AD68" i="5"/>
  <c r="AD60" i="5"/>
  <c r="AD52" i="5"/>
  <c r="AD131" i="5"/>
  <c r="AD111" i="5"/>
  <c r="AD96" i="5"/>
  <c r="AD91" i="5"/>
  <c r="AD83" i="5"/>
  <c r="AD75" i="5"/>
  <c r="AD92" i="5"/>
  <c r="AD90" i="5"/>
  <c r="AD58" i="5"/>
  <c r="AD41" i="5"/>
  <c r="AD33" i="5"/>
  <c r="AD25" i="5"/>
  <c r="AD17" i="5"/>
  <c r="AD10" i="5"/>
  <c r="AD67" i="5"/>
  <c r="AD66" i="5"/>
  <c r="AD40" i="5"/>
  <c r="AD32" i="5"/>
  <c r="AD24" i="5"/>
  <c r="AD16" i="5"/>
  <c r="AD9" i="5"/>
  <c r="AD127" i="5"/>
  <c r="AD51" i="5"/>
  <c r="AD50" i="5"/>
  <c r="AD47" i="5"/>
  <c r="AD39" i="5"/>
  <c r="AD31" i="5"/>
  <c r="AD23" i="5"/>
  <c r="AD15" i="5"/>
  <c r="AD104" i="5"/>
  <c r="AD74" i="5"/>
  <c r="AD46" i="5"/>
  <c r="AD38" i="5"/>
  <c r="AD30" i="5"/>
  <c r="AD22" i="5"/>
  <c r="AD14" i="5"/>
  <c r="AD45" i="5"/>
  <c r="AD37" i="5"/>
  <c r="AD29" i="5"/>
  <c r="AD21" i="5"/>
  <c r="AD13" i="5"/>
  <c r="AD59" i="5"/>
  <c r="AD149" i="5"/>
  <c r="AD44" i="5"/>
  <c r="AD36" i="5"/>
  <c r="AD42" i="5"/>
  <c r="AD18" i="5"/>
  <c r="AD53" i="5"/>
  <c r="AD26" i="5"/>
  <c r="AD28" i="5"/>
  <c r="AD34" i="5"/>
  <c r="AD7" i="5"/>
  <c r="AD35" i="5"/>
  <c r="AD82" i="5"/>
  <c r="AD19" i="5"/>
  <c r="BF10" i="5"/>
  <c r="AD27" i="5"/>
  <c r="AD11" i="5"/>
  <c r="AD6" i="5"/>
  <c r="AD8" i="5"/>
  <c r="AD12" i="5"/>
  <c r="AD5" i="5"/>
  <c r="AD20" i="5"/>
  <c r="AD43" i="5"/>
  <c r="AJ24" i="5" l="1"/>
  <c r="O24" i="5"/>
  <c r="AF24" i="5"/>
  <c r="N24" i="5"/>
  <c r="M24" i="5"/>
  <c r="L24" i="5"/>
  <c r="K24" i="5"/>
  <c r="J24" i="5"/>
  <c r="I24" i="5"/>
  <c r="G24" i="5"/>
  <c r="H24" i="5"/>
  <c r="F24" i="5"/>
  <c r="E24" i="5"/>
  <c r="AQ24" i="5"/>
  <c r="D24" i="5"/>
  <c r="C24" i="5"/>
  <c r="B24" i="5"/>
  <c r="A24" i="5"/>
  <c r="G220" i="5"/>
  <c r="AQ220" i="5"/>
  <c r="F220" i="5"/>
  <c r="E220" i="5"/>
  <c r="D220" i="5"/>
  <c r="C220" i="5"/>
  <c r="B220" i="5"/>
  <c r="A220" i="5"/>
  <c r="O220" i="5"/>
  <c r="N220" i="5"/>
  <c r="AJ220" i="5"/>
  <c r="M220" i="5"/>
  <c r="K220" i="5"/>
  <c r="AF220" i="5"/>
  <c r="L220" i="5"/>
  <c r="J220" i="5"/>
  <c r="H220" i="5"/>
  <c r="I220" i="5"/>
  <c r="AJ330" i="5"/>
  <c r="O330" i="5"/>
  <c r="AF330" i="5"/>
  <c r="N330" i="5"/>
  <c r="M330" i="5"/>
  <c r="L330" i="5"/>
  <c r="D330" i="5"/>
  <c r="C330" i="5"/>
  <c r="B330" i="5"/>
  <c r="A330" i="5"/>
  <c r="AQ330" i="5"/>
  <c r="K330" i="5"/>
  <c r="J330" i="5"/>
  <c r="H330" i="5"/>
  <c r="G330" i="5"/>
  <c r="F330" i="5"/>
  <c r="E330" i="5"/>
  <c r="I330" i="5"/>
  <c r="G508" i="5"/>
  <c r="F508" i="5"/>
  <c r="E508" i="5"/>
  <c r="AQ508" i="5"/>
  <c r="D508" i="5"/>
  <c r="AJ508" i="5"/>
  <c r="C508" i="5"/>
  <c r="AF508" i="5"/>
  <c r="B508" i="5"/>
  <c r="A508" i="5"/>
  <c r="K508" i="5"/>
  <c r="J508" i="5"/>
  <c r="I508" i="5"/>
  <c r="H508" i="5"/>
  <c r="O508" i="5"/>
  <c r="N508" i="5"/>
  <c r="M508" i="5"/>
  <c r="L508" i="5"/>
  <c r="I613" i="5"/>
  <c r="H613" i="5"/>
  <c r="E613" i="5"/>
  <c r="AF613" i="5"/>
  <c r="B613" i="5"/>
  <c r="A613" i="5"/>
  <c r="AQ613" i="5"/>
  <c r="AJ613" i="5"/>
  <c r="O613" i="5"/>
  <c r="N613" i="5"/>
  <c r="K613" i="5"/>
  <c r="J613" i="5"/>
  <c r="G613" i="5"/>
  <c r="M613" i="5"/>
  <c r="L613" i="5"/>
  <c r="F613" i="5"/>
  <c r="D613" i="5"/>
  <c r="C613" i="5"/>
  <c r="K198" i="5"/>
  <c r="J198" i="5"/>
  <c r="I198" i="5"/>
  <c r="H198" i="5"/>
  <c r="G198" i="5"/>
  <c r="AQ198" i="5"/>
  <c r="F198" i="5"/>
  <c r="E198" i="5"/>
  <c r="D198" i="5"/>
  <c r="AJ198" i="5"/>
  <c r="C198" i="5"/>
  <c r="AF198" i="5"/>
  <c r="B198" i="5"/>
  <c r="A198" i="5"/>
  <c r="O198" i="5"/>
  <c r="N198" i="5"/>
  <c r="M198" i="5"/>
  <c r="L198" i="5"/>
  <c r="AQ489" i="5"/>
  <c r="D489" i="5"/>
  <c r="AJ489" i="5"/>
  <c r="C489" i="5"/>
  <c r="K489" i="5"/>
  <c r="J489" i="5"/>
  <c r="I489" i="5"/>
  <c r="H489" i="5"/>
  <c r="G489" i="5"/>
  <c r="N489" i="5"/>
  <c r="M489" i="5"/>
  <c r="L489" i="5"/>
  <c r="F489" i="5"/>
  <c r="E489" i="5"/>
  <c r="B489" i="5"/>
  <c r="A489" i="5"/>
  <c r="AF489" i="5"/>
  <c r="O489" i="5"/>
  <c r="F464" i="5"/>
  <c r="E464" i="5"/>
  <c r="AQ464" i="5"/>
  <c r="D464" i="5"/>
  <c r="AJ464" i="5"/>
  <c r="C464" i="5"/>
  <c r="AF464" i="5"/>
  <c r="B464" i="5"/>
  <c r="I464" i="5"/>
  <c r="H464" i="5"/>
  <c r="G464" i="5"/>
  <c r="A464" i="5"/>
  <c r="M464" i="5"/>
  <c r="O464" i="5"/>
  <c r="N464" i="5"/>
  <c r="L464" i="5"/>
  <c r="K464" i="5"/>
  <c r="J464" i="5"/>
  <c r="O560" i="5"/>
  <c r="AQ560" i="5"/>
  <c r="C560" i="5"/>
  <c r="AJ560" i="5"/>
  <c r="B560" i="5"/>
  <c r="AF560" i="5"/>
  <c r="A560" i="5"/>
  <c r="N560" i="5"/>
  <c r="M560" i="5"/>
  <c r="J560" i="5"/>
  <c r="I560" i="5"/>
  <c r="D560" i="5"/>
  <c r="L560" i="5"/>
  <c r="K560" i="5"/>
  <c r="H560" i="5"/>
  <c r="G560" i="5"/>
  <c r="F560" i="5"/>
  <c r="E560" i="5"/>
  <c r="E130" i="5"/>
  <c r="D130" i="5"/>
  <c r="C130" i="5"/>
  <c r="AQ130" i="5"/>
  <c r="B130" i="5"/>
  <c r="A130" i="5"/>
  <c r="O130" i="5"/>
  <c r="N130" i="5"/>
  <c r="AJ130" i="5"/>
  <c r="M130" i="5"/>
  <c r="AF130" i="5"/>
  <c r="L130" i="5"/>
  <c r="K130" i="5"/>
  <c r="J130" i="5"/>
  <c r="I130" i="5"/>
  <c r="H130" i="5"/>
  <c r="G130" i="5"/>
  <c r="F130" i="5"/>
  <c r="K313" i="5"/>
  <c r="J313" i="5"/>
  <c r="AJ313" i="5"/>
  <c r="M313" i="5"/>
  <c r="AF313" i="5"/>
  <c r="L313" i="5"/>
  <c r="I313" i="5"/>
  <c r="G313" i="5"/>
  <c r="F313" i="5"/>
  <c r="E313" i="5"/>
  <c r="D313" i="5"/>
  <c r="C313" i="5"/>
  <c r="AQ313" i="5"/>
  <c r="B313" i="5"/>
  <c r="O313" i="5"/>
  <c r="N313" i="5"/>
  <c r="H313" i="5"/>
  <c r="A313" i="5"/>
  <c r="A481" i="5"/>
  <c r="O481" i="5"/>
  <c r="N481" i="5"/>
  <c r="M481" i="5"/>
  <c r="B481" i="5"/>
  <c r="AQ481" i="5"/>
  <c r="AJ481" i="5"/>
  <c r="AF481" i="5"/>
  <c r="L481" i="5"/>
  <c r="K481" i="5"/>
  <c r="J481" i="5"/>
  <c r="I481" i="5"/>
  <c r="H481" i="5"/>
  <c r="F481" i="5"/>
  <c r="C481" i="5"/>
  <c r="G481" i="5"/>
  <c r="E481" i="5"/>
  <c r="D481" i="5"/>
  <c r="AQ637" i="5"/>
  <c r="D637" i="5"/>
  <c r="AJ637" i="5"/>
  <c r="C637" i="5"/>
  <c r="A637" i="5"/>
  <c r="N637" i="5"/>
  <c r="H637" i="5"/>
  <c r="G637" i="5"/>
  <c r="F637" i="5"/>
  <c r="E637" i="5"/>
  <c r="B637" i="5"/>
  <c r="AF637" i="5"/>
  <c r="O637" i="5"/>
  <c r="M637" i="5"/>
  <c r="L637" i="5"/>
  <c r="K637" i="5"/>
  <c r="J637" i="5"/>
  <c r="I637" i="5"/>
  <c r="I67" i="5"/>
  <c r="H67" i="5"/>
  <c r="G67" i="5"/>
  <c r="AQ67" i="5"/>
  <c r="F67" i="5"/>
  <c r="E67" i="5"/>
  <c r="D67" i="5"/>
  <c r="C67" i="5"/>
  <c r="B67" i="5"/>
  <c r="A67" i="5"/>
  <c r="AJ67" i="5"/>
  <c r="O67" i="5"/>
  <c r="AF67" i="5"/>
  <c r="N67" i="5"/>
  <c r="M67" i="5"/>
  <c r="L67" i="5"/>
  <c r="K67" i="5"/>
  <c r="J67" i="5"/>
  <c r="G151" i="5"/>
  <c r="AQ151" i="5"/>
  <c r="F151" i="5"/>
  <c r="E151" i="5"/>
  <c r="D151" i="5"/>
  <c r="C151" i="5"/>
  <c r="B151" i="5"/>
  <c r="A151" i="5"/>
  <c r="AJ151" i="5"/>
  <c r="O151" i="5"/>
  <c r="AF151" i="5"/>
  <c r="N151" i="5"/>
  <c r="M151" i="5"/>
  <c r="L151" i="5"/>
  <c r="K151" i="5"/>
  <c r="J151" i="5"/>
  <c r="I151" i="5"/>
  <c r="H151" i="5"/>
  <c r="AF241" i="5"/>
  <c r="N241" i="5"/>
  <c r="M241" i="5"/>
  <c r="L241" i="5"/>
  <c r="K241" i="5"/>
  <c r="J241" i="5"/>
  <c r="I241" i="5"/>
  <c r="H241" i="5"/>
  <c r="G241" i="5"/>
  <c r="F241" i="5"/>
  <c r="AQ241" i="5"/>
  <c r="E241" i="5"/>
  <c r="D241" i="5"/>
  <c r="C241" i="5"/>
  <c r="B241" i="5"/>
  <c r="A241" i="5"/>
  <c r="AJ241" i="5"/>
  <c r="O241" i="5"/>
  <c r="J357" i="5"/>
  <c r="I357" i="5"/>
  <c r="H357" i="5"/>
  <c r="G357" i="5"/>
  <c r="F357" i="5"/>
  <c r="AQ357" i="5"/>
  <c r="E357" i="5"/>
  <c r="D357" i="5"/>
  <c r="C357" i="5"/>
  <c r="AF357" i="5"/>
  <c r="N357" i="5"/>
  <c r="O357" i="5"/>
  <c r="M357" i="5"/>
  <c r="L357" i="5"/>
  <c r="K357" i="5"/>
  <c r="B357" i="5"/>
  <c r="AJ357" i="5"/>
  <c r="A357" i="5"/>
  <c r="D383" i="5"/>
  <c r="C383" i="5"/>
  <c r="AJ383" i="5"/>
  <c r="O383" i="5"/>
  <c r="AQ383" i="5"/>
  <c r="N383" i="5"/>
  <c r="M383" i="5"/>
  <c r="L383" i="5"/>
  <c r="K383" i="5"/>
  <c r="AF383" i="5"/>
  <c r="J383" i="5"/>
  <c r="I383" i="5"/>
  <c r="H383" i="5"/>
  <c r="F383" i="5"/>
  <c r="E383" i="5"/>
  <c r="A383" i="5"/>
  <c r="G383" i="5"/>
  <c r="B383" i="5"/>
  <c r="O490" i="5"/>
  <c r="N490" i="5"/>
  <c r="H490" i="5"/>
  <c r="G490" i="5"/>
  <c r="F490" i="5"/>
  <c r="E490" i="5"/>
  <c r="D490" i="5"/>
  <c r="AF490" i="5"/>
  <c r="M490" i="5"/>
  <c r="L490" i="5"/>
  <c r="K490" i="5"/>
  <c r="J490" i="5"/>
  <c r="I490" i="5"/>
  <c r="C490" i="5"/>
  <c r="B490" i="5"/>
  <c r="A490" i="5"/>
  <c r="AJ490" i="5"/>
  <c r="AQ490" i="5"/>
  <c r="M609" i="5"/>
  <c r="L609" i="5"/>
  <c r="I609" i="5"/>
  <c r="F609" i="5"/>
  <c r="E609" i="5"/>
  <c r="O609" i="5"/>
  <c r="N609" i="5"/>
  <c r="K609" i="5"/>
  <c r="J609" i="5"/>
  <c r="H609" i="5"/>
  <c r="G609" i="5"/>
  <c r="D609" i="5"/>
  <c r="A609" i="5"/>
  <c r="AQ609" i="5"/>
  <c r="AJ609" i="5"/>
  <c r="AF609" i="5"/>
  <c r="C609" i="5"/>
  <c r="B609" i="5"/>
  <c r="AJ544" i="5"/>
  <c r="C544" i="5"/>
  <c r="AF544" i="5"/>
  <c r="B544" i="5"/>
  <c r="A544" i="5"/>
  <c r="M544" i="5"/>
  <c r="J544" i="5"/>
  <c r="E544" i="5"/>
  <c r="D544" i="5"/>
  <c r="AQ544" i="5"/>
  <c r="O544" i="5"/>
  <c r="N544" i="5"/>
  <c r="L544" i="5"/>
  <c r="K544" i="5"/>
  <c r="I544" i="5"/>
  <c r="H544" i="5"/>
  <c r="G544" i="5"/>
  <c r="F544" i="5"/>
  <c r="F591" i="5"/>
  <c r="E591" i="5"/>
  <c r="AQ591" i="5"/>
  <c r="D591" i="5"/>
  <c r="AJ591" i="5"/>
  <c r="C591" i="5"/>
  <c r="O591" i="5"/>
  <c r="N591" i="5"/>
  <c r="M591" i="5"/>
  <c r="L591" i="5"/>
  <c r="K591" i="5"/>
  <c r="J591" i="5"/>
  <c r="I591" i="5"/>
  <c r="H591" i="5"/>
  <c r="G591" i="5"/>
  <c r="A591" i="5"/>
  <c r="AF591" i="5"/>
  <c r="B591" i="5"/>
  <c r="N612" i="5"/>
  <c r="M612" i="5"/>
  <c r="J612" i="5"/>
  <c r="G612" i="5"/>
  <c r="F612" i="5"/>
  <c r="AQ612" i="5"/>
  <c r="AJ612" i="5"/>
  <c r="AF612" i="5"/>
  <c r="O612" i="5"/>
  <c r="L612" i="5"/>
  <c r="H612" i="5"/>
  <c r="E612" i="5"/>
  <c r="D612" i="5"/>
  <c r="K612" i="5"/>
  <c r="I612" i="5"/>
  <c r="C612" i="5"/>
  <c r="A612" i="5"/>
  <c r="B612" i="5"/>
  <c r="J626" i="5"/>
  <c r="I626" i="5"/>
  <c r="H626" i="5"/>
  <c r="G626" i="5"/>
  <c r="F626" i="5"/>
  <c r="E626" i="5"/>
  <c r="AQ626" i="5"/>
  <c r="D626" i="5"/>
  <c r="AJ626" i="5"/>
  <c r="C626" i="5"/>
  <c r="AF626" i="5"/>
  <c r="A626" i="5"/>
  <c r="O626" i="5"/>
  <c r="N626" i="5"/>
  <c r="M626" i="5"/>
  <c r="L626" i="5"/>
  <c r="K626" i="5"/>
  <c r="B626" i="5"/>
  <c r="E678" i="5"/>
  <c r="AJ678" i="5"/>
  <c r="C678" i="5"/>
  <c r="M678" i="5"/>
  <c r="O678" i="5"/>
  <c r="N678" i="5"/>
  <c r="L678" i="5"/>
  <c r="K678" i="5"/>
  <c r="J678" i="5"/>
  <c r="I678" i="5"/>
  <c r="G678" i="5"/>
  <c r="D678" i="5"/>
  <c r="A678" i="5"/>
  <c r="AQ678" i="5"/>
  <c r="AF678" i="5"/>
  <c r="H678" i="5"/>
  <c r="F678" i="5"/>
  <c r="B678" i="5"/>
  <c r="M686" i="5"/>
  <c r="K686" i="5"/>
  <c r="E686" i="5"/>
  <c r="F686" i="5"/>
  <c r="D686" i="5"/>
  <c r="C686" i="5"/>
  <c r="B686" i="5"/>
  <c r="AQ686" i="5"/>
  <c r="A686" i="5"/>
  <c r="AJ686" i="5"/>
  <c r="AF686" i="5"/>
  <c r="N686" i="5"/>
  <c r="J686" i="5"/>
  <c r="O686" i="5"/>
  <c r="L686" i="5"/>
  <c r="I686" i="5"/>
  <c r="H686" i="5"/>
  <c r="G686" i="5"/>
  <c r="AQ649" i="5"/>
  <c r="D649" i="5"/>
  <c r="C649" i="5"/>
  <c r="AJ649" i="5"/>
  <c r="B649" i="5"/>
  <c r="AF649" i="5"/>
  <c r="A649" i="5"/>
  <c r="N649" i="5"/>
  <c r="G649" i="5"/>
  <c r="F649" i="5"/>
  <c r="E649" i="5"/>
  <c r="O649" i="5"/>
  <c r="M649" i="5"/>
  <c r="L649" i="5"/>
  <c r="K649" i="5"/>
  <c r="J649" i="5"/>
  <c r="I649" i="5"/>
  <c r="H649" i="5"/>
  <c r="J677" i="5"/>
  <c r="H677" i="5"/>
  <c r="AF677" i="5"/>
  <c r="B677" i="5"/>
  <c r="O677" i="5"/>
  <c r="N677" i="5"/>
  <c r="M677" i="5"/>
  <c r="L677" i="5"/>
  <c r="K677" i="5"/>
  <c r="G677" i="5"/>
  <c r="E677" i="5"/>
  <c r="C677" i="5"/>
  <c r="AQ677" i="5"/>
  <c r="AJ677" i="5"/>
  <c r="I677" i="5"/>
  <c r="F677" i="5"/>
  <c r="D677" i="5"/>
  <c r="A677" i="5"/>
  <c r="BF8" i="5"/>
  <c r="I5" i="5"/>
  <c r="H5" i="5"/>
  <c r="G5" i="5"/>
  <c r="AJ5" i="5"/>
  <c r="L5" i="5"/>
  <c r="AF5" i="5"/>
  <c r="K5" i="5"/>
  <c r="E5" i="5"/>
  <c r="O5" i="5" s="1"/>
  <c r="D5" i="5"/>
  <c r="C5" i="5"/>
  <c r="B5" i="5"/>
  <c r="A5" i="5"/>
  <c r="AQ5" i="5"/>
  <c r="AZ5" i="5" s="1"/>
  <c r="J5" i="5"/>
  <c r="F5" i="5"/>
  <c r="AI6" i="2"/>
  <c r="L42" i="5"/>
  <c r="K42" i="5"/>
  <c r="J42" i="5"/>
  <c r="I42" i="5"/>
  <c r="H42" i="5"/>
  <c r="G42" i="5"/>
  <c r="AQ42" i="5"/>
  <c r="F42" i="5"/>
  <c r="E42" i="5"/>
  <c r="D42" i="5"/>
  <c r="C42" i="5"/>
  <c r="B42" i="5"/>
  <c r="A42" i="5"/>
  <c r="N42" i="5"/>
  <c r="M42" i="5"/>
  <c r="AJ42" i="5"/>
  <c r="O42" i="5"/>
  <c r="AF42" i="5"/>
  <c r="I104" i="5"/>
  <c r="H104" i="5"/>
  <c r="G104" i="5"/>
  <c r="AQ104" i="5"/>
  <c r="F104" i="5"/>
  <c r="E104" i="5"/>
  <c r="D104" i="5"/>
  <c r="C104" i="5"/>
  <c r="B104" i="5"/>
  <c r="AJ104" i="5"/>
  <c r="O104" i="5"/>
  <c r="N104" i="5"/>
  <c r="M104" i="5"/>
  <c r="L104" i="5"/>
  <c r="K104" i="5"/>
  <c r="J104" i="5"/>
  <c r="A104" i="5"/>
  <c r="AF104" i="5"/>
  <c r="AF10" i="5"/>
  <c r="N10" i="5"/>
  <c r="M10" i="5"/>
  <c r="L10" i="5"/>
  <c r="K10" i="5"/>
  <c r="J10" i="5"/>
  <c r="I10" i="5"/>
  <c r="E10" i="5"/>
  <c r="AQ10" i="5"/>
  <c r="H10" i="5"/>
  <c r="G10" i="5"/>
  <c r="C10" i="5"/>
  <c r="B10" i="5"/>
  <c r="AJ10" i="5"/>
  <c r="A10" i="5"/>
  <c r="O10" i="5"/>
  <c r="F10" i="5"/>
  <c r="D10" i="5"/>
  <c r="G68" i="5"/>
  <c r="AQ68" i="5"/>
  <c r="F68" i="5"/>
  <c r="E68" i="5"/>
  <c r="D68" i="5"/>
  <c r="C68" i="5"/>
  <c r="B68" i="5"/>
  <c r="A68" i="5"/>
  <c r="AJ68" i="5"/>
  <c r="O68" i="5"/>
  <c r="AF68" i="5"/>
  <c r="N68" i="5"/>
  <c r="M68" i="5"/>
  <c r="L68" i="5"/>
  <c r="K68" i="5"/>
  <c r="J68" i="5"/>
  <c r="I68" i="5"/>
  <c r="H68" i="5"/>
  <c r="A55" i="5"/>
  <c r="AJ55" i="5"/>
  <c r="O55" i="5"/>
  <c r="AF55" i="5"/>
  <c r="N55" i="5"/>
  <c r="M55" i="5"/>
  <c r="L55" i="5"/>
  <c r="K55" i="5"/>
  <c r="J55" i="5"/>
  <c r="G55" i="5"/>
  <c r="I55" i="5"/>
  <c r="H55" i="5"/>
  <c r="F55" i="5"/>
  <c r="AQ55" i="5"/>
  <c r="E55" i="5"/>
  <c r="D55" i="5"/>
  <c r="C55" i="5"/>
  <c r="B55" i="5"/>
  <c r="M73" i="5"/>
  <c r="L73" i="5"/>
  <c r="K73" i="5"/>
  <c r="J73" i="5"/>
  <c r="I73" i="5"/>
  <c r="H73" i="5"/>
  <c r="G73" i="5"/>
  <c r="AQ73" i="5"/>
  <c r="F73" i="5"/>
  <c r="E73" i="5"/>
  <c r="D73" i="5"/>
  <c r="C73" i="5"/>
  <c r="B73" i="5"/>
  <c r="A73" i="5"/>
  <c r="AJ73" i="5"/>
  <c r="AF73" i="5"/>
  <c r="O73" i="5"/>
  <c r="N73" i="5"/>
  <c r="E106" i="5"/>
  <c r="D106" i="5"/>
  <c r="C106" i="5"/>
  <c r="B106" i="5"/>
  <c r="A106" i="5"/>
  <c r="AJ106" i="5"/>
  <c r="O106" i="5"/>
  <c r="AF106" i="5"/>
  <c r="N106" i="5"/>
  <c r="M106" i="5"/>
  <c r="L106" i="5"/>
  <c r="K106" i="5"/>
  <c r="H106" i="5"/>
  <c r="G106" i="5"/>
  <c r="F106" i="5"/>
  <c r="AQ106" i="5"/>
  <c r="J106" i="5"/>
  <c r="I106" i="5"/>
  <c r="L189" i="5"/>
  <c r="K189" i="5"/>
  <c r="H189" i="5"/>
  <c r="O189" i="5"/>
  <c r="N189" i="5"/>
  <c r="M189" i="5"/>
  <c r="AJ189" i="5"/>
  <c r="J189" i="5"/>
  <c r="AF189" i="5"/>
  <c r="I189" i="5"/>
  <c r="F189" i="5"/>
  <c r="A189" i="5"/>
  <c r="G189" i="5"/>
  <c r="E189" i="5"/>
  <c r="D189" i="5"/>
  <c r="C189" i="5"/>
  <c r="B189" i="5"/>
  <c r="AQ189" i="5"/>
  <c r="J190" i="5"/>
  <c r="I190" i="5"/>
  <c r="AQ190" i="5"/>
  <c r="F190" i="5"/>
  <c r="D190" i="5"/>
  <c r="C190" i="5"/>
  <c r="B190" i="5"/>
  <c r="A190" i="5"/>
  <c r="AF190" i="5"/>
  <c r="K190" i="5"/>
  <c r="M190" i="5"/>
  <c r="L190" i="5"/>
  <c r="H190" i="5"/>
  <c r="G190" i="5"/>
  <c r="E190" i="5"/>
  <c r="AJ190" i="5"/>
  <c r="O190" i="5"/>
  <c r="N190" i="5"/>
  <c r="AJ187" i="5"/>
  <c r="L187" i="5"/>
  <c r="A187" i="5"/>
  <c r="O187" i="5"/>
  <c r="N187" i="5"/>
  <c r="AF187" i="5"/>
  <c r="M187" i="5"/>
  <c r="J187" i="5"/>
  <c r="E187" i="5"/>
  <c r="G187" i="5"/>
  <c r="F187" i="5"/>
  <c r="D187" i="5"/>
  <c r="C187" i="5"/>
  <c r="AQ187" i="5"/>
  <c r="B187" i="5"/>
  <c r="K187" i="5"/>
  <c r="I187" i="5"/>
  <c r="H187" i="5"/>
  <c r="E169" i="5"/>
  <c r="D169" i="5"/>
  <c r="C169" i="5"/>
  <c r="B169" i="5"/>
  <c r="A169" i="5"/>
  <c r="G169" i="5"/>
  <c r="F169" i="5"/>
  <c r="O169" i="5"/>
  <c r="N169" i="5"/>
  <c r="M169" i="5"/>
  <c r="L169" i="5"/>
  <c r="K169" i="5"/>
  <c r="AQ169" i="5"/>
  <c r="AJ169" i="5"/>
  <c r="AF169" i="5"/>
  <c r="J169" i="5"/>
  <c r="I169" i="5"/>
  <c r="H169" i="5"/>
  <c r="C202" i="5"/>
  <c r="B202" i="5"/>
  <c r="A202" i="5"/>
  <c r="AJ202" i="5"/>
  <c r="O202" i="5"/>
  <c r="AF202" i="5"/>
  <c r="N202" i="5"/>
  <c r="K202" i="5"/>
  <c r="AQ202" i="5"/>
  <c r="J202" i="5"/>
  <c r="I202" i="5"/>
  <c r="H202" i="5"/>
  <c r="G202" i="5"/>
  <c r="F202" i="5"/>
  <c r="E202" i="5"/>
  <c r="D202" i="5"/>
  <c r="M202" i="5"/>
  <c r="L202" i="5"/>
  <c r="I219" i="5"/>
  <c r="H219" i="5"/>
  <c r="A219" i="5"/>
  <c r="O219" i="5"/>
  <c r="N219" i="5"/>
  <c r="AJ219" i="5"/>
  <c r="M219" i="5"/>
  <c r="AF219" i="5"/>
  <c r="L219" i="5"/>
  <c r="K219" i="5"/>
  <c r="J219" i="5"/>
  <c r="G219" i="5"/>
  <c r="E219" i="5"/>
  <c r="AQ219" i="5"/>
  <c r="F219" i="5"/>
  <c r="D219" i="5"/>
  <c r="C219" i="5"/>
  <c r="B219" i="5"/>
  <c r="AJ204" i="5"/>
  <c r="O204" i="5"/>
  <c r="AF204" i="5"/>
  <c r="N204" i="5"/>
  <c r="M204" i="5"/>
  <c r="L204" i="5"/>
  <c r="K204" i="5"/>
  <c r="J204" i="5"/>
  <c r="AQ204" i="5"/>
  <c r="I204" i="5"/>
  <c r="H204" i="5"/>
  <c r="G204" i="5"/>
  <c r="F204" i="5"/>
  <c r="E204" i="5"/>
  <c r="D204" i="5"/>
  <c r="C204" i="5"/>
  <c r="B204" i="5"/>
  <c r="A204" i="5"/>
  <c r="A223" i="5"/>
  <c r="M223" i="5"/>
  <c r="F223" i="5"/>
  <c r="E223" i="5"/>
  <c r="D223" i="5"/>
  <c r="C223" i="5"/>
  <c r="B223" i="5"/>
  <c r="AQ223" i="5"/>
  <c r="O223" i="5"/>
  <c r="N223" i="5"/>
  <c r="L223" i="5"/>
  <c r="AF223" i="5"/>
  <c r="J223" i="5"/>
  <c r="AJ223" i="5"/>
  <c r="K223" i="5"/>
  <c r="I223" i="5"/>
  <c r="G223" i="5"/>
  <c r="H223" i="5"/>
  <c r="K249" i="5"/>
  <c r="H249" i="5"/>
  <c r="G249" i="5"/>
  <c r="D249" i="5"/>
  <c r="C249" i="5"/>
  <c r="E249" i="5"/>
  <c r="B249" i="5"/>
  <c r="A249" i="5"/>
  <c r="AQ249" i="5"/>
  <c r="O249" i="5"/>
  <c r="N249" i="5"/>
  <c r="L249" i="5"/>
  <c r="AJ249" i="5"/>
  <c r="AF249" i="5"/>
  <c r="M249" i="5"/>
  <c r="J249" i="5"/>
  <c r="F249" i="5"/>
  <c r="I249" i="5"/>
  <c r="A270" i="5"/>
  <c r="AJ270" i="5"/>
  <c r="O270" i="5"/>
  <c r="AF270" i="5"/>
  <c r="N270" i="5"/>
  <c r="M270" i="5"/>
  <c r="L270" i="5"/>
  <c r="K270" i="5"/>
  <c r="J270" i="5"/>
  <c r="I270" i="5"/>
  <c r="G270" i="5"/>
  <c r="E270" i="5"/>
  <c r="D270" i="5"/>
  <c r="C270" i="5"/>
  <c r="AQ270" i="5"/>
  <c r="B270" i="5"/>
  <c r="H270" i="5"/>
  <c r="F270" i="5"/>
  <c r="AQ343" i="5"/>
  <c r="F343" i="5"/>
  <c r="E343" i="5"/>
  <c r="D343" i="5"/>
  <c r="C343" i="5"/>
  <c r="B343" i="5"/>
  <c r="A343" i="5"/>
  <c r="J343" i="5"/>
  <c r="O343" i="5"/>
  <c r="N343" i="5"/>
  <c r="M343" i="5"/>
  <c r="L343" i="5"/>
  <c r="K343" i="5"/>
  <c r="I343" i="5"/>
  <c r="AJ343" i="5"/>
  <c r="AF343" i="5"/>
  <c r="H343" i="5"/>
  <c r="G343" i="5"/>
  <c r="B321" i="5"/>
  <c r="A321" i="5"/>
  <c r="AJ321" i="5"/>
  <c r="O321" i="5"/>
  <c r="AF321" i="5"/>
  <c r="N321" i="5"/>
  <c r="J321" i="5"/>
  <c r="I321" i="5"/>
  <c r="F321" i="5"/>
  <c r="E321" i="5"/>
  <c r="D321" i="5"/>
  <c r="C321" i="5"/>
  <c r="AQ321" i="5"/>
  <c r="M321" i="5"/>
  <c r="L321" i="5"/>
  <c r="K321" i="5"/>
  <c r="H321" i="5"/>
  <c r="G321" i="5"/>
  <c r="M280" i="5"/>
  <c r="K280" i="5"/>
  <c r="I280" i="5"/>
  <c r="AQ280" i="5"/>
  <c r="F280" i="5"/>
  <c r="O280" i="5"/>
  <c r="N280" i="5"/>
  <c r="L280" i="5"/>
  <c r="J280" i="5"/>
  <c r="AJ280" i="5"/>
  <c r="H280" i="5"/>
  <c r="AF280" i="5"/>
  <c r="G280" i="5"/>
  <c r="E280" i="5"/>
  <c r="D280" i="5"/>
  <c r="B280" i="5"/>
  <c r="C280" i="5"/>
  <c r="A280" i="5"/>
  <c r="L356" i="5"/>
  <c r="K356" i="5"/>
  <c r="J356" i="5"/>
  <c r="I356" i="5"/>
  <c r="H356" i="5"/>
  <c r="G356" i="5"/>
  <c r="AQ356" i="5"/>
  <c r="F356" i="5"/>
  <c r="E356" i="5"/>
  <c r="C356" i="5"/>
  <c r="B356" i="5"/>
  <c r="A356" i="5"/>
  <c r="AJ356" i="5"/>
  <c r="AF356" i="5"/>
  <c r="O356" i="5"/>
  <c r="N356" i="5"/>
  <c r="M356" i="5"/>
  <c r="D356" i="5"/>
  <c r="N408" i="5"/>
  <c r="AJ408" i="5"/>
  <c r="B408" i="5"/>
  <c r="AF408" i="5"/>
  <c r="A408" i="5"/>
  <c r="O408" i="5"/>
  <c r="M408" i="5"/>
  <c r="L408" i="5"/>
  <c r="K408" i="5"/>
  <c r="J408" i="5"/>
  <c r="I408" i="5"/>
  <c r="H408" i="5"/>
  <c r="G408" i="5"/>
  <c r="F408" i="5"/>
  <c r="E408" i="5"/>
  <c r="D408" i="5"/>
  <c r="C408" i="5"/>
  <c r="AQ408" i="5"/>
  <c r="AF331" i="5"/>
  <c r="N331" i="5"/>
  <c r="M331" i="5"/>
  <c r="L331" i="5"/>
  <c r="K331" i="5"/>
  <c r="J331" i="5"/>
  <c r="A331" i="5"/>
  <c r="AQ331" i="5"/>
  <c r="O331" i="5"/>
  <c r="I331" i="5"/>
  <c r="H331" i="5"/>
  <c r="G331" i="5"/>
  <c r="AJ331" i="5"/>
  <c r="F331" i="5"/>
  <c r="E331" i="5"/>
  <c r="D331" i="5"/>
  <c r="C331" i="5"/>
  <c r="B331" i="5"/>
  <c r="AJ358" i="5"/>
  <c r="O358" i="5"/>
  <c r="L358" i="5"/>
  <c r="K358" i="5"/>
  <c r="J358" i="5"/>
  <c r="AF358" i="5"/>
  <c r="I358" i="5"/>
  <c r="H358" i="5"/>
  <c r="G358" i="5"/>
  <c r="F358" i="5"/>
  <c r="E358" i="5"/>
  <c r="D358" i="5"/>
  <c r="AQ358" i="5"/>
  <c r="N358" i="5"/>
  <c r="M358" i="5"/>
  <c r="C358" i="5"/>
  <c r="B358" i="5"/>
  <c r="A358" i="5"/>
  <c r="J444" i="5"/>
  <c r="N444" i="5"/>
  <c r="M444" i="5"/>
  <c r="L444" i="5"/>
  <c r="K444" i="5"/>
  <c r="I444" i="5"/>
  <c r="H444" i="5"/>
  <c r="G444" i="5"/>
  <c r="F444" i="5"/>
  <c r="E444" i="5"/>
  <c r="AQ444" i="5"/>
  <c r="AJ444" i="5"/>
  <c r="AF444" i="5"/>
  <c r="O444" i="5"/>
  <c r="D444" i="5"/>
  <c r="C444" i="5"/>
  <c r="B444" i="5"/>
  <c r="A444" i="5"/>
  <c r="AJ403" i="5"/>
  <c r="O403" i="5"/>
  <c r="J403" i="5"/>
  <c r="N403" i="5"/>
  <c r="M403" i="5"/>
  <c r="L403" i="5"/>
  <c r="AF403" i="5"/>
  <c r="K403" i="5"/>
  <c r="I403" i="5"/>
  <c r="H403" i="5"/>
  <c r="G403" i="5"/>
  <c r="F403" i="5"/>
  <c r="E403" i="5"/>
  <c r="D403" i="5"/>
  <c r="C403" i="5"/>
  <c r="B403" i="5"/>
  <c r="A403" i="5"/>
  <c r="AQ403" i="5"/>
  <c r="M395" i="5"/>
  <c r="L395" i="5"/>
  <c r="K395" i="5"/>
  <c r="J395" i="5"/>
  <c r="I395" i="5"/>
  <c r="H395" i="5"/>
  <c r="G395" i="5"/>
  <c r="AQ395" i="5"/>
  <c r="E395" i="5"/>
  <c r="O395" i="5"/>
  <c r="N395" i="5"/>
  <c r="F395" i="5"/>
  <c r="D395" i="5"/>
  <c r="C395" i="5"/>
  <c r="B395" i="5"/>
  <c r="A395" i="5"/>
  <c r="AF395" i="5"/>
  <c r="AJ395" i="5"/>
  <c r="I473" i="5"/>
  <c r="H473" i="5"/>
  <c r="G473" i="5"/>
  <c r="F473" i="5"/>
  <c r="E473" i="5"/>
  <c r="C473" i="5"/>
  <c r="B473" i="5"/>
  <c r="A473" i="5"/>
  <c r="AQ473" i="5"/>
  <c r="AJ473" i="5"/>
  <c r="AF473" i="5"/>
  <c r="O473" i="5"/>
  <c r="L473" i="5"/>
  <c r="N473" i="5"/>
  <c r="M473" i="5"/>
  <c r="D473" i="5"/>
  <c r="J473" i="5"/>
  <c r="K473" i="5"/>
  <c r="J460" i="5"/>
  <c r="I460" i="5"/>
  <c r="H460" i="5"/>
  <c r="G460" i="5"/>
  <c r="F460" i="5"/>
  <c r="AQ460" i="5"/>
  <c r="AJ460" i="5"/>
  <c r="AF460" i="5"/>
  <c r="O460" i="5"/>
  <c r="N460" i="5"/>
  <c r="M460" i="5"/>
  <c r="L460" i="5"/>
  <c r="K460" i="5"/>
  <c r="E460" i="5"/>
  <c r="D460" i="5"/>
  <c r="C460" i="5"/>
  <c r="B460" i="5"/>
  <c r="A460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B516" i="5"/>
  <c r="AF516" i="5"/>
  <c r="C516" i="5"/>
  <c r="A516" i="5"/>
  <c r="AQ516" i="5"/>
  <c r="AJ516" i="5"/>
  <c r="AJ471" i="5"/>
  <c r="C471" i="5"/>
  <c r="AF471" i="5"/>
  <c r="B471" i="5"/>
  <c r="A471" i="5"/>
  <c r="O471" i="5"/>
  <c r="AQ471" i="5"/>
  <c r="N471" i="5"/>
  <c r="M471" i="5"/>
  <c r="L471" i="5"/>
  <c r="K471" i="5"/>
  <c r="J471" i="5"/>
  <c r="G471" i="5"/>
  <c r="I471" i="5"/>
  <c r="H471" i="5"/>
  <c r="F471" i="5"/>
  <c r="E471" i="5"/>
  <c r="D471" i="5"/>
  <c r="N545" i="5"/>
  <c r="M545" i="5"/>
  <c r="L545" i="5"/>
  <c r="K545" i="5"/>
  <c r="H545" i="5"/>
  <c r="E545" i="5"/>
  <c r="G545" i="5"/>
  <c r="F545" i="5"/>
  <c r="D545" i="5"/>
  <c r="C545" i="5"/>
  <c r="B545" i="5"/>
  <c r="A545" i="5"/>
  <c r="AQ545" i="5"/>
  <c r="AJ545" i="5"/>
  <c r="AF545" i="5"/>
  <c r="I545" i="5"/>
  <c r="O545" i="5"/>
  <c r="J545" i="5"/>
  <c r="O548" i="5"/>
  <c r="N548" i="5"/>
  <c r="M548" i="5"/>
  <c r="L548" i="5"/>
  <c r="J548" i="5"/>
  <c r="I548" i="5"/>
  <c r="F548" i="5"/>
  <c r="AQ548" i="5"/>
  <c r="AJ548" i="5"/>
  <c r="AF548" i="5"/>
  <c r="K548" i="5"/>
  <c r="H548" i="5"/>
  <c r="G548" i="5"/>
  <c r="E548" i="5"/>
  <c r="D548" i="5"/>
  <c r="C548" i="5"/>
  <c r="B548" i="5"/>
  <c r="A548" i="5"/>
  <c r="AF525" i="5"/>
  <c r="B525" i="5"/>
  <c r="A525" i="5"/>
  <c r="O525" i="5"/>
  <c r="N525" i="5"/>
  <c r="M525" i="5"/>
  <c r="L525" i="5"/>
  <c r="AQ525" i="5"/>
  <c r="AJ525" i="5"/>
  <c r="K525" i="5"/>
  <c r="I525" i="5"/>
  <c r="H525" i="5"/>
  <c r="J525" i="5"/>
  <c r="G525" i="5"/>
  <c r="F525" i="5"/>
  <c r="D525" i="5"/>
  <c r="E525" i="5"/>
  <c r="C525" i="5"/>
  <c r="E578" i="5"/>
  <c r="AQ578" i="5"/>
  <c r="D578" i="5"/>
  <c r="H578" i="5"/>
  <c r="G578" i="5"/>
  <c r="F578" i="5"/>
  <c r="C578" i="5"/>
  <c r="B578" i="5"/>
  <c r="AJ578" i="5"/>
  <c r="A578" i="5"/>
  <c r="AF578" i="5"/>
  <c r="O578" i="5"/>
  <c r="N578" i="5"/>
  <c r="L578" i="5"/>
  <c r="I578" i="5"/>
  <c r="J578" i="5"/>
  <c r="K578" i="5"/>
  <c r="M578" i="5"/>
  <c r="L567" i="5"/>
  <c r="K567" i="5"/>
  <c r="AJ567" i="5"/>
  <c r="A567" i="5"/>
  <c r="AF567" i="5"/>
  <c r="O567" i="5"/>
  <c r="N567" i="5"/>
  <c r="M567" i="5"/>
  <c r="J567" i="5"/>
  <c r="I567" i="5"/>
  <c r="H567" i="5"/>
  <c r="G567" i="5"/>
  <c r="E567" i="5"/>
  <c r="AQ567" i="5"/>
  <c r="F567" i="5"/>
  <c r="D567" i="5"/>
  <c r="C567" i="5"/>
  <c r="B567" i="5"/>
  <c r="N599" i="5"/>
  <c r="M599" i="5"/>
  <c r="L599" i="5"/>
  <c r="K599" i="5"/>
  <c r="H599" i="5"/>
  <c r="AQ599" i="5"/>
  <c r="D599" i="5"/>
  <c r="O599" i="5"/>
  <c r="J599" i="5"/>
  <c r="I599" i="5"/>
  <c r="G599" i="5"/>
  <c r="F599" i="5"/>
  <c r="E599" i="5"/>
  <c r="C599" i="5"/>
  <c r="B599" i="5"/>
  <c r="A599" i="5"/>
  <c r="AJ599" i="5"/>
  <c r="AF599" i="5"/>
  <c r="J651" i="5"/>
  <c r="M651" i="5"/>
  <c r="L651" i="5"/>
  <c r="K651" i="5"/>
  <c r="I651" i="5"/>
  <c r="F651" i="5"/>
  <c r="O651" i="5"/>
  <c r="N651" i="5"/>
  <c r="H651" i="5"/>
  <c r="G651" i="5"/>
  <c r="E651" i="5"/>
  <c r="D651" i="5"/>
  <c r="C651" i="5"/>
  <c r="B651" i="5"/>
  <c r="A651" i="5"/>
  <c r="AQ651" i="5"/>
  <c r="AJ651" i="5"/>
  <c r="AF651" i="5"/>
  <c r="N635" i="5"/>
  <c r="M635" i="5"/>
  <c r="K635" i="5"/>
  <c r="H635" i="5"/>
  <c r="F635" i="5"/>
  <c r="E635" i="5"/>
  <c r="D635" i="5"/>
  <c r="C635" i="5"/>
  <c r="B635" i="5"/>
  <c r="A635" i="5"/>
  <c r="AQ635" i="5"/>
  <c r="AJ635" i="5"/>
  <c r="AF635" i="5"/>
  <c r="O635" i="5"/>
  <c r="G635" i="5"/>
  <c r="L635" i="5"/>
  <c r="J635" i="5"/>
  <c r="I635" i="5"/>
  <c r="F697" i="5"/>
  <c r="AQ697" i="5"/>
  <c r="D697" i="5"/>
  <c r="N697" i="5"/>
  <c r="K697" i="5"/>
  <c r="J697" i="5"/>
  <c r="I697" i="5"/>
  <c r="H697" i="5"/>
  <c r="G697" i="5"/>
  <c r="E697" i="5"/>
  <c r="C697" i="5"/>
  <c r="A697" i="5"/>
  <c r="AJ697" i="5"/>
  <c r="AF697" i="5"/>
  <c r="O697" i="5"/>
  <c r="M697" i="5"/>
  <c r="L697" i="5"/>
  <c r="B697" i="5"/>
  <c r="AF701" i="5"/>
  <c r="B701" i="5"/>
  <c r="J701" i="5"/>
  <c r="F701" i="5"/>
  <c r="E701" i="5"/>
  <c r="D701" i="5"/>
  <c r="C701" i="5"/>
  <c r="A701" i="5"/>
  <c r="AQ701" i="5"/>
  <c r="AJ701" i="5"/>
  <c r="O701" i="5"/>
  <c r="N701" i="5"/>
  <c r="M701" i="5"/>
  <c r="K701" i="5"/>
  <c r="L701" i="5"/>
  <c r="I701" i="5"/>
  <c r="H701" i="5"/>
  <c r="G701" i="5"/>
  <c r="N673" i="5"/>
  <c r="L673" i="5"/>
  <c r="F673" i="5"/>
  <c r="C673" i="5"/>
  <c r="B673" i="5"/>
  <c r="AQ673" i="5"/>
  <c r="A673" i="5"/>
  <c r="AJ673" i="5"/>
  <c r="AF673" i="5"/>
  <c r="M673" i="5"/>
  <c r="J673" i="5"/>
  <c r="H673" i="5"/>
  <c r="O673" i="5"/>
  <c r="K673" i="5"/>
  <c r="I673" i="5"/>
  <c r="G673" i="5"/>
  <c r="E673" i="5"/>
  <c r="D673" i="5"/>
  <c r="I658" i="5"/>
  <c r="G658" i="5"/>
  <c r="A658" i="5"/>
  <c r="AQ658" i="5"/>
  <c r="AJ658" i="5"/>
  <c r="AF658" i="5"/>
  <c r="M658" i="5"/>
  <c r="F658" i="5"/>
  <c r="E658" i="5"/>
  <c r="D658" i="5"/>
  <c r="C658" i="5"/>
  <c r="B658" i="5"/>
  <c r="O658" i="5"/>
  <c r="N658" i="5"/>
  <c r="H658" i="5"/>
  <c r="L658" i="5"/>
  <c r="K658" i="5"/>
  <c r="J658" i="5"/>
  <c r="G113" i="5"/>
  <c r="AQ113" i="5"/>
  <c r="F113" i="5"/>
  <c r="E113" i="5"/>
  <c r="D113" i="5"/>
  <c r="C113" i="5"/>
  <c r="B113" i="5"/>
  <c r="A113" i="5"/>
  <c r="AJ113" i="5"/>
  <c r="O113" i="5"/>
  <c r="AF113" i="5"/>
  <c r="N113" i="5"/>
  <c r="M113" i="5"/>
  <c r="L113" i="5"/>
  <c r="K113" i="5"/>
  <c r="J113" i="5"/>
  <c r="I113" i="5"/>
  <c r="H113" i="5"/>
  <c r="A203" i="5"/>
  <c r="AJ203" i="5"/>
  <c r="O203" i="5"/>
  <c r="AF203" i="5"/>
  <c r="N203" i="5"/>
  <c r="M203" i="5"/>
  <c r="L203" i="5"/>
  <c r="K203" i="5"/>
  <c r="AQ203" i="5"/>
  <c r="J203" i="5"/>
  <c r="I203" i="5"/>
  <c r="H203" i="5"/>
  <c r="G203" i="5"/>
  <c r="F203" i="5"/>
  <c r="E203" i="5"/>
  <c r="D203" i="5"/>
  <c r="C203" i="5"/>
  <c r="B203" i="5"/>
  <c r="AQ335" i="5"/>
  <c r="F335" i="5"/>
  <c r="E335" i="5"/>
  <c r="D335" i="5"/>
  <c r="C335" i="5"/>
  <c r="B335" i="5"/>
  <c r="AJ335" i="5"/>
  <c r="J335" i="5"/>
  <c r="AF335" i="5"/>
  <c r="I335" i="5"/>
  <c r="H335" i="5"/>
  <c r="G335" i="5"/>
  <c r="A335" i="5"/>
  <c r="K335" i="5"/>
  <c r="O335" i="5"/>
  <c r="N335" i="5"/>
  <c r="M335" i="5"/>
  <c r="L335" i="5"/>
  <c r="AQ533" i="5"/>
  <c r="D533" i="5"/>
  <c r="M533" i="5"/>
  <c r="L533" i="5"/>
  <c r="K533" i="5"/>
  <c r="J533" i="5"/>
  <c r="I533" i="5"/>
  <c r="H533" i="5"/>
  <c r="G533" i="5"/>
  <c r="E533" i="5"/>
  <c r="C533" i="5"/>
  <c r="AJ533" i="5"/>
  <c r="AF533" i="5"/>
  <c r="N533" i="5"/>
  <c r="F533" i="5"/>
  <c r="B533" i="5"/>
  <c r="O533" i="5"/>
  <c r="A533" i="5"/>
  <c r="AJ496" i="5"/>
  <c r="C496" i="5"/>
  <c r="AF496" i="5"/>
  <c r="B496" i="5"/>
  <c r="A496" i="5"/>
  <c r="M496" i="5"/>
  <c r="AQ496" i="5"/>
  <c r="I496" i="5"/>
  <c r="H496" i="5"/>
  <c r="G496" i="5"/>
  <c r="F496" i="5"/>
  <c r="E496" i="5"/>
  <c r="D496" i="5"/>
  <c r="N496" i="5"/>
  <c r="J496" i="5"/>
  <c r="O496" i="5"/>
  <c r="L496" i="5"/>
  <c r="K496" i="5"/>
  <c r="G121" i="5"/>
  <c r="AQ121" i="5"/>
  <c r="F121" i="5"/>
  <c r="E121" i="5"/>
  <c r="D121" i="5"/>
  <c r="C121" i="5"/>
  <c r="B121" i="5"/>
  <c r="A121" i="5"/>
  <c r="AJ121" i="5"/>
  <c r="O121" i="5"/>
  <c r="AF121" i="5"/>
  <c r="N121" i="5"/>
  <c r="M121" i="5"/>
  <c r="L121" i="5"/>
  <c r="K121" i="5"/>
  <c r="J121" i="5"/>
  <c r="I121" i="5"/>
  <c r="H121" i="5"/>
  <c r="H350" i="5"/>
  <c r="G350" i="5"/>
  <c r="AQ350" i="5"/>
  <c r="F350" i="5"/>
  <c r="E350" i="5"/>
  <c r="D350" i="5"/>
  <c r="C350" i="5"/>
  <c r="B350" i="5"/>
  <c r="L350" i="5"/>
  <c r="AF350" i="5"/>
  <c r="O350" i="5"/>
  <c r="N350" i="5"/>
  <c r="M350" i="5"/>
  <c r="K350" i="5"/>
  <c r="AJ350" i="5"/>
  <c r="J350" i="5"/>
  <c r="I350" i="5"/>
  <c r="A350" i="5"/>
  <c r="C186" i="5"/>
  <c r="B186" i="5"/>
  <c r="A186" i="5"/>
  <c r="AJ186" i="5"/>
  <c r="O186" i="5"/>
  <c r="AF186" i="5"/>
  <c r="N186" i="5"/>
  <c r="L186" i="5"/>
  <c r="G186" i="5"/>
  <c r="M186" i="5"/>
  <c r="K186" i="5"/>
  <c r="J186" i="5"/>
  <c r="I186" i="5"/>
  <c r="H186" i="5"/>
  <c r="AQ186" i="5"/>
  <c r="F186" i="5"/>
  <c r="E186" i="5"/>
  <c r="D186" i="5"/>
  <c r="G275" i="5"/>
  <c r="E275" i="5"/>
  <c r="C275" i="5"/>
  <c r="AF275" i="5"/>
  <c r="J275" i="5"/>
  <c r="I275" i="5"/>
  <c r="H275" i="5"/>
  <c r="F275" i="5"/>
  <c r="D275" i="5"/>
  <c r="B275" i="5"/>
  <c r="A275" i="5"/>
  <c r="AJ275" i="5"/>
  <c r="O275" i="5"/>
  <c r="N275" i="5"/>
  <c r="M275" i="5"/>
  <c r="L275" i="5"/>
  <c r="K275" i="5"/>
  <c r="AQ275" i="5"/>
  <c r="L418" i="5"/>
  <c r="N418" i="5"/>
  <c r="M418" i="5"/>
  <c r="I418" i="5"/>
  <c r="H418" i="5"/>
  <c r="G418" i="5"/>
  <c r="B418" i="5"/>
  <c r="A418" i="5"/>
  <c r="AQ418" i="5"/>
  <c r="AJ418" i="5"/>
  <c r="AF418" i="5"/>
  <c r="O418" i="5"/>
  <c r="K418" i="5"/>
  <c r="J418" i="5"/>
  <c r="F418" i="5"/>
  <c r="E418" i="5"/>
  <c r="D418" i="5"/>
  <c r="C418" i="5"/>
  <c r="A554" i="5"/>
  <c r="O554" i="5"/>
  <c r="N554" i="5"/>
  <c r="M554" i="5"/>
  <c r="L554" i="5"/>
  <c r="K554" i="5"/>
  <c r="H554" i="5"/>
  <c r="AQ554" i="5"/>
  <c r="AJ554" i="5"/>
  <c r="AF554" i="5"/>
  <c r="J554" i="5"/>
  <c r="I554" i="5"/>
  <c r="G554" i="5"/>
  <c r="F554" i="5"/>
  <c r="E554" i="5"/>
  <c r="D554" i="5"/>
  <c r="C554" i="5"/>
  <c r="B554" i="5"/>
  <c r="C70" i="5"/>
  <c r="B70" i="5"/>
  <c r="A70" i="5"/>
  <c r="AJ70" i="5"/>
  <c r="O70" i="5"/>
  <c r="AF70" i="5"/>
  <c r="N70" i="5"/>
  <c r="M70" i="5"/>
  <c r="L70" i="5"/>
  <c r="K70" i="5"/>
  <c r="J70" i="5"/>
  <c r="I70" i="5"/>
  <c r="H70" i="5"/>
  <c r="G70" i="5"/>
  <c r="F70" i="5"/>
  <c r="E70" i="5"/>
  <c r="D70" i="5"/>
  <c r="AQ70" i="5"/>
  <c r="E364" i="5"/>
  <c r="D364" i="5"/>
  <c r="C364" i="5"/>
  <c r="B364" i="5"/>
  <c r="A364" i="5"/>
  <c r="O364" i="5"/>
  <c r="N364" i="5"/>
  <c r="M364" i="5"/>
  <c r="K364" i="5"/>
  <c r="AJ364" i="5"/>
  <c r="I364" i="5"/>
  <c r="G364" i="5"/>
  <c r="F364" i="5"/>
  <c r="AQ364" i="5"/>
  <c r="AF364" i="5"/>
  <c r="H364" i="5"/>
  <c r="L364" i="5"/>
  <c r="J364" i="5"/>
  <c r="L434" i="5"/>
  <c r="AJ434" i="5"/>
  <c r="B434" i="5"/>
  <c r="AF434" i="5"/>
  <c r="A434" i="5"/>
  <c r="O434" i="5"/>
  <c r="N434" i="5"/>
  <c r="M434" i="5"/>
  <c r="K434" i="5"/>
  <c r="J434" i="5"/>
  <c r="AQ434" i="5"/>
  <c r="I434" i="5"/>
  <c r="H434" i="5"/>
  <c r="G434" i="5"/>
  <c r="F434" i="5"/>
  <c r="E434" i="5"/>
  <c r="D434" i="5"/>
  <c r="C434" i="5"/>
  <c r="H597" i="5"/>
  <c r="G597" i="5"/>
  <c r="F597" i="5"/>
  <c r="E597" i="5"/>
  <c r="AF597" i="5"/>
  <c r="B597" i="5"/>
  <c r="J597" i="5"/>
  <c r="I597" i="5"/>
  <c r="D597" i="5"/>
  <c r="C597" i="5"/>
  <c r="A597" i="5"/>
  <c r="AQ597" i="5"/>
  <c r="AJ597" i="5"/>
  <c r="N597" i="5"/>
  <c r="O597" i="5"/>
  <c r="M597" i="5"/>
  <c r="L597" i="5"/>
  <c r="K597" i="5"/>
  <c r="H687" i="5"/>
  <c r="F687" i="5"/>
  <c r="D687" i="5"/>
  <c r="C687" i="5"/>
  <c r="B687" i="5"/>
  <c r="AQ687" i="5"/>
  <c r="A687" i="5"/>
  <c r="AJ687" i="5"/>
  <c r="AF687" i="5"/>
  <c r="N687" i="5"/>
  <c r="M687" i="5"/>
  <c r="L687" i="5"/>
  <c r="J687" i="5"/>
  <c r="O687" i="5"/>
  <c r="K687" i="5"/>
  <c r="I687" i="5"/>
  <c r="G687" i="5"/>
  <c r="E687" i="5"/>
  <c r="G129" i="5"/>
  <c r="AQ129" i="5"/>
  <c r="F129" i="5"/>
  <c r="E129" i="5"/>
  <c r="D129" i="5"/>
  <c r="C129" i="5"/>
  <c r="B129" i="5"/>
  <c r="A129" i="5"/>
  <c r="AJ129" i="5"/>
  <c r="O129" i="5"/>
  <c r="AF129" i="5"/>
  <c r="N129" i="5"/>
  <c r="M129" i="5"/>
  <c r="L129" i="5"/>
  <c r="K129" i="5"/>
  <c r="I129" i="5"/>
  <c r="H129" i="5"/>
  <c r="J129" i="5"/>
  <c r="D246" i="5"/>
  <c r="C246" i="5"/>
  <c r="B246" i="5"/>
  <c r="A246" i="5"/>
  <c r="AJ246" i="5"/>
  <c r="O246" i="5"/>
  <c r="AF246" i="5"/>
  <c r="N246" i="5"/>
  <c r="M246" i="5"/>
  <c r="L246" i="5"/>
  <c r="K246" i="5"/>
  <c r="J246" i="5"/>
  <c r="H246" i="5"/>
  <c r="AQ246" i="5"/>
  <c r="I246" i="5"/>
  <c r="G246" i="5"/>
  <c r="E246" i="5"/>
  <c r="F246" i="5"/>
  <c r="AJ346" i="5"/>
  <c r="O346" i="5"/>
  <c r="AF346" i="5"/>
  <c r="N346" i="5"/>
  <c r="M346" i="5"/>
  <c r="L346" i="5"/>
  <c r="K346" i="5"/>
  <c r="J346" i="5"/>
  <c r="D346" i="5"/>
  <c r="AQ346" i="5"/>
  <c r="F346" i="5"/>
  <c r="E346" i="5"/>
  <c r="C346" i="5"/>
  <c r="B346" i="5"/>
  <c r="A346" i="5"/>
  <c r="I346" i="5"/>
  <c r="H346" i="5"/>
  <c r="G346" i="5"/>
  <c r="J535" i="5"/>
  <c r="E535" i="5"/>
  <c r="D535" i="5"/>
  <c r="C535" i="5"/>
  <c r="AQ535" i="5"/>
  <c r="B535" i="5"/>
  <c r="AJ535" i="5"/>
  <c r="A535" i="5"/>
  <c r="AF535" i="5"/>
  <c r="N535" i="5"/>
  <c r="M535" i="5"/>
  <c r="O535" i="5"/>
  <c r="L535" i="5"/>
  <c r="K535" i="5"/>
  <c r="H535" i="5"/>
  <c r="G535" i="5"/>
  <c r="F535" i="5"/>
  <c r="I535" i="5"/>
  <c r="E652" i="5"/>
  <c r="O652" i="5"/>
  <c r="I652" i="5"/>
  <c r="H652" i="5"/>
  <c r="G652" i="5"/>
  <c r="F652" i="5"/>
  <c r="AQ652" i="5"/>
  <c r="B652" i="5"/>
  <c r="N652" i="5"/>
  <c r="M652" i="5"/>
  <c r="L652" i="5"/>
  <c r="K652" i="5"/>
  <c r="J652" i="5"/>
  <c r="D652" i="5"/>
  <c r="C652" i="5"/>
  <c r="A652" i="5"/>
  <c r="AF652" i="5"/>
  <c r="AJ652" i="5"/>
  <c r="G143" i="5"/>
  <c r="AQ143" i="5"/>
  <c r="F143" i="5"/>
  <c r="E143" i="5"/>
  <c r="D143" i="5"/>
  <c r="C143" i="5"/>
  <c r="B143" i="5"/>
  <c r="A143" i="5"/>
  <c r="M143" i="5"/>
  <c r="O143" i="5"/>
  <c r="N143" i="5"/>
  <c r="L143" i="5"/>
  <c r="K143" i="5"/>
  <c r="J143" i="5"/>
  <c r="I143" i="5"/>
  <c r="H143" i="5"/>
  <c r="AJ143" i="5"/>
  <c r="AF143" i="5"/>
  <c r="B329" i="5"/>
  <c r="A329" i="5"/>
  <c r="AJ329" i="5"/>
  <c r="O329" i="5"/>
  <c r="AF329" i="5"/>
  <c r="N329" i="5"/>
  <c r="G329" i="5"/>
  <c r="F329" i="5"/>
  <c r="E329" i="5"/>
  <c r="D329" i="5"/>
  <c r="C329" i="5"/>
  <c r="M329" i="5"/>
  <c r="I329" i="5"/>
  <c r="H329" i="5"/>
  <c r="AQ329" i="5"/>
  <c r="L329" i="5"/>
  <c r="K329" i="5"/>
  <c r="J329" i="5"/>
  <c r="C384" i="5"/>
  <c r="B384" i="5"/>
  <c r="A384" i="5"/>
  <c r="M384" i="5"/>
  <c r="AF384" i="5"/>
  <c r="I384" i="5"/>
  <c r="H384" i="5"/>
  <c r="G384" i="5"/>
  <c r="F384" i="5"/>
  <c r="E384" i="5"/>
  <c r="D384" i="5"/>
  <c r="N384" i="5"/>
  <c r="AQ384" i="5"/>
  <c r="AJ384" i="5"/>
  <c r="O384" i="5"/>
  <c r="K384" i="5"/>
  <c r="L384" i="5"/>
  <c r="J384" i="5"/>
  <c r="J587" i="5"/>
  <c r="I587" i="5"/>
  <c r="H587" i="5"/>
  <c r="G587" i="5"/>
  <c r="O587" i="5"/>
  <c r="N587" i="5"/>
  <c r="M587" i="5"/>
  <c r="L587" i="5"/>
  <c r="K587" i="5"/>
  <c r="F587" i="5"/>
  <c r="E587" i="5"/>
  <c r="D587" i="5"/>
  <c r="C587" i="5"/>
  <c r="A587" i="5"/>
  <c r="AQ587" i="5"/>
  <c r="AJ587" i="5"/>
  <c r="AF587" i="5"/>
  <c r="B587" i="5"/>
  <c r="G135" i="5"/>
  <c r="AQ135" i="5"/>
  <c r="F135" i="5"/>
  <c r="C135" i="5"/>
  <c r="B135" i="5"/>
  <c r="O135" i="5"/>
  <c r="N135" i="5"/>
  <c r="M135" i="5"/>
  <c r="L135" i="5"/>
  <c r="K135" i="5"/>
  <c r="AJ135" i="5"/>
  <c r="J135" i="5"/>
  <c r="AF135" i="5"/>
  <c r="I135" i="5"/>
  <c r="H135" i="5"/>
  <c r="E135" i="5"/>
  <c r="D135" i="5"/>
  <c r="A135" i="5"/>
  <c r="E318" i="5"/>
  <c r="D318" i="5"/>
  <c r="A318" i="5"/>
  <c r="AJ318" i="5"/>
  <c r="O318" i="5"/>
  <c r="AF318" i="5"/>
  <c r="N318" i="5"/>
  <c r="M318" i="5"/>
  <c r="L318" i="5"/>
  <c r="K318" i="5"/>
  <c r="I318" i="5"/>
  <c r="H318" i="5"/>
  <c r="G318" i="5"/>
  <c r="F318" i="5"/>
  <c r="C318" i="5"/>
  <c r="B318" i="5"/>
  <c r="J318" i="5"/>
  <c r="AQ318" i="5"/>
  <c r="F521" i="5"/>
  <c r="E521" i="5"/>
  <c r="AQ521" i="5"/>
  <c r="D521" i="5"/>
  <c r="AJ521" i="5"/>
  <c r="C521" i="5"/>
  <c r="AF521" i="5"/>
  <c r="B521" i="5"/>
  <c r="A521" i="5"/>
  <c r="O521" i="5"/>
  <c r="N521" i="5"/>
  <c r="M521" i="5"/>
  <c r="L521" i="5"/>
  <c r="J521" i="5"/>
  <c r="I521" i="5"/>
  <c r="K521" i="5"/>
  <c r="H521" i="5"/>
  <c r="G521" i="5"/>
  <c r="B15" i="5"/>
  <c r="A15" i="5"/>
  <c r="AJ15" i="5"/>
  <c r="O15" i="5"/>
  <c r="AF15" i="5"/>
  <c r="N15" i="5"/>
  <c r="M15" i="5"/>
  <c r="L15" i="5"/>
  <c r="K15" i="5"/>
  <c r="I15" i="5"/>
  <c r="J15" i="5"/>
  <c r="H15" i="5"/>
  <c r="G15" i="5"/>
  <c r="F15" i="5"/>
  <c r="E15" i="5"/>
  <c r="AQ15" i="5"/>
  <c r="D15" i="5"/>
  <c r="C15" i="5"/>
  <c r="E152" i="5"/>
  <c r="D152" i="5"/>
  <c r="C152" i="5"/>
  <c r="B152" i="5"/>
  <c r="A152" i="5"/>
  <c r="AJ152" i="5"/>
  <c r="O152" i="5"/>
  <c r="AF152" i="5"/>
  <c r="N152" i="5"/>
  <c r="M152" i="5"/>
  <c r="L152" i="5"/>
  <c r="K152" i="5"/>
  <c r="J152" i="5"/>
  <c r="I152" i="5"/>
  <c r="H152" i="5"/>
  <c r="G152" i="5"/>
  <c r="F152" i="5"/>
  <c r="AQ152" i="5"/>
  <c r="I274" i="5"/>
  <c r="G274" i="5"/>
  <c r="E274" i="5"/>
  <c r="AQ274" i="5"/>
  <c r="O274" i="5"/>
  <c r="N274" i="5"/>
  <c r="M274" i="5"/>
  <c r="AJ274" i="5"/>
  <c r="L274" i="5"/>
  <c r="AF274" i="5"/>
  <c r="K274" i="5"/>
  <c r="H274" i="5"/>
  <c r="J274" i="5"/>
  <c r="F274" i="5"/>
  <c r="D274" i="5"/>
  <c r="C274" i="5"/>
  <c r="B274" i="5"/>
  <c r="A274" i="5"/>
  <c r="A366" i="5"/>
  <c r="AJ366" i="5"/>
  <c r="O366" i="5"/>
  <c r="AF366" i="5"/>
  <c r="N366" i="5"/>
  <c r="M366" i="5"/>
  <c r="L366" i="5"/>
  <c r="E366" i="5"/>
  <c r="D366" i="5"/>
  <c r="C366" i="5"/>
  <c r="B366" i="5"/>
  <c r="K366" i="5"/>
  <c r="I366" i="5"/>
  <c r="AQ366" i="5"/>
  <c r="J366" i="5"/>
  <c r="G366" i="5"/>
  <c r="H366" i="5"/>
  <c r="F366" i="5"/>
  <c r="J491" i="5"/>
  <c r="I491" i="5"/>
  <c r="E491" i="5"/>
  <c r="D491" i="5"/>
  <c r="C491" i="5"/>
  <c r="AQ491" i="5"/>
  <c r="B491" i="5"/>
  <c r="AJ491" i="5"/>
  <c r="A491" i="5"/>
  <c r="AF491" i="5"/>
  <c r="O491" i="5"/>
  <c r="N491" i="5"/>
  <c r="M491" i="5"/>
  <c r="L491" i="5"/>
  <c r="K491" i="5"/>
  <c r="H491" i="5"/>
  <c r="F491" i="5"/>
  <c r="G491" i="5"/>
  <c r="O551" i="5"/>
  <c r="N551" i="5"/>
  <c r="M551" i="5"/>
  <c r="L551" i="5"/>
  <c r="K551" i="5"/>
  <c r="J551" i="5"/>
  <c r="G551" i="5"/>
  <c r="AQ551" i="5"/>
  <c r="AJ551" i="5"/>
  <c r="AF551" i="5"/>
  <c r="I551" i="5"/>
  <c r="H551" i="5"/>
  <c r="F551" i="5"/>
  <c r="E551" i="5"/>
  <c r="D551" i="5"/>
  <c r="C551" i="5"/>
  <c r="B551" i="5"/>
  <c r="A551" i="5"/>
  <c r="G540" i="5"/>
  <c r="F540" i="5"/>
  <c r="A540" i="5"/>
  <c r="O540" i="5"/>
  <c r="N540" i="5"/>
  <c r="M540" i="5"/>
  <c r="L540" i="5"/>
  <c r="K540" i="5"/>
  <c r="J540" i="5"/>
  <c r="I540" i="5"/>
  <c r="H540" i="5"/>
  <c r="E540" i="5"/>
  <c r="AF540" i="5"/>
  <c r="D540" i="5"/>
  <c r="C540" i="5"/>
  <c r="B540" i="5"/>
  <c r="AQ540" i="5"/>
  <c r="AJ540" i="5"/>
  <c r="AF25" i="5"/>
  <c r="N25" i="5"/>
  <c r="M25" i="5"/>
  <c r="L25" i="5"/>
  <c r="K25" i="5"/>
  <c r="J25" i="5"/>
  <c r="I25" i="5"/>
  <c r="H25" i="5"/>
  <c r="G25" i="5"/>
  <c r="E25" i="5"/>
  <c r="AQ25" i="5"/>
  <c r="C25" i="5"/>
  <c r="B25" i="5"/>
  <c r="AJ25" i="5"/>
  <c r="F25" i="5"/>
  <c r="D25" i="5"/>
  <c r="A25" i="5"/>
  <c r="O25" i="5"/>
  <c r="M89" i="5"/>
  <c r="L89" i="5"/>
  <c r="K89" i="5"/>
  <c r="J89" i="5"/>
  <c r="I89" i="5"/>
  <c r="H89" i="5"/>
  <c r="G89" i="5"/>
  <c r="AQ89" i="5"/>
  <c r="F89" i="5"/>
  <c r="E89" i="5"/>
  <c r="D89" i="5"/>
  <c r="C89" i="5"/>
  <c r="B89" i="5"/>
  <c r="A89" i="5"/>
  <c r="AJ89" i="5"/>
  <c r="AF89" i="5"/>
  <c r="O89" i="5"/>
  <c r="N89" i="5"/>
  <c r="E122" i="5"/>
  <c r="D122" i="5"/>
  <c r="C122" i="5"/>
  <c r="B122" i="5"/>
  <c r="A122" i="5"/>
  <c r="AJ122" i="5"/>
  <c r="O122" i="5"/>
  <c r="AF122" i="5"/>
  <c r="N122" i="5"/>
  <c r="M122" i="5"/>
  <c r="L122" i="5"/>
  <c r="K122" i="5"/>
  <c r="J122" i="5"/>
  <c r="I122" i="5"/>
  <c r="H122" i="5"/>
  <c r="G122" i="5"/>
  <c r="F122" i="5"/>
  <c r="AQ122" i="5"/>
  <c r="AJ101" i="5"/>
  <c r="O101" i="5"/>
  <c r="AF101" i="5"/>
  <c r="N101" i="5"/>
  <c r="M101" i="5"/>
  <c r="L101" i="5"/>
  <c r="K101" i="5"/>
  <c r="J101" i="5"/>
  <c r="I101" i="5"/>
  <c r="H101" i="5"/>
  <c r="E101" i="5"/>
  <c r="G101" i="5"/>
  <c r="F101" i="5"/>
  <c r="D101" i="5"/>
  <c r="AQ101" i="5"/>
  <c r="C101" i="5"/>
  <c r="B101" i="5"/>
  <c r="A101" i="5"/>
  <c r="L165" i="5"/>
  <c r="K165" i="5"/>
  <c r="J165" i="5"/>
  <c r="I165" i="5"/>
  <c r="H165" i="5"/>
  <c r="O165" i="5"/>
  <c r="N165" i="5"/>
  <c r="M165" i="5"/>
  <c r="G165" i="5"/>
  <c r="F165" i="5"/>
  <c r="AJ165" i="5"/>
  <c r="E165" i="5"/>
  <c r="AF165" i="5"/>
  <c r="D165" i="5"/>
  <c r="C165" i="5"/>
  <c r="B165" i="5"/>
  <c r="A165" i="5"/>
  <c r="AQ165" i="5"/>
  <c r="A146" i="5"/>
  <c r="AJ146" i="5"/>
  <c r="O146" i="5"/>
  <c r="AF146" i="5"/>
  <c r="N146" i="5"/>
  <c r="M146" i="5"/>
  <c r="L146" i="5"/>
  <c r="K146" i="5"/>
  <c r="J146" i="5"/>
  <c r="G146" i="5"/>
  <c r="I146" i="5"/>
  <c r="H146" i="5"/>
  <c r="F146" i="5"/>
  <c r="E146" i="5"/>
  <c r="AQ146" i="5"/>
  <c r="D146" i="5"/>
  <c r="C146" i="5"/>
  <c r="B146" i="5"/>
  <c r="G184" i="5"/>
  <c r="AQ184" i="5"/>
  <c r="F184" i="5"/>
  <c r="E184" i="5"/>
  <c r="D184" i="5"/>
  <c r="C184" i="5"/>
  <c r="B184" i="5"/>
  <c r="K184" i="5"/>
  <c r="O184" i="5"/>
  <c r="N184" i="5"/>
  <c r="M184" i="5"/>
  <c r="L184" i="5"/>
  <c r="J184" i="5"/>
  <c r="I184" i="5"/>
  <c r="H184" i="5"/>
  <c r="AJ184" i="5"/>
  <c r="AF184" i="5"/>
  <c r="A184" i="5"/>
  <c r="B194" i="5"/>
  <c r="A194" i="5"/>
  <c r="AJ194" i="5"/>
  <c r="O194" i="5"/>
  <c r="AF194" i="5"/>
  <c r="N194" i="5"/>
  <c r="K194" i="5"/>
  <c r="J194" i="5"/>
  <c r="I194" i="5"/>
  <c r="H194" i="5"/>
  <c r="G194" i="5"/>
  <c r="F194" i="5"/>
  <c r="E194" i="5"/>
  <c r="D194" i="5"/>
  <c r="C194" i="5"/>
  <c r="AQ194" i="5"/>
  <c r="M194" i="5"/>
  <c r="L194" i="5"/>
  <c r="C210" i="5"/>
  <c r="B210" i="5"/>
  <c r="A210" i="5"/>
  <c r="AJ210" i="5"/>
  <c r="O210" i="5"/>
  <c r="AF210" i="5"/>
  <c r="N210" i="5"/>
  <c r="M210" i="5"/>
  <c r="L210" i="5"/>
  <c r="K210" i="5"/>
  <c r="J210" i="5"/>
  <c r="I210" i="5"/>
  <c r="G210" i="5"/>
  <c r="H210" i="5"/>
  <c r="F210" i="5"/>
  <c r="E210" i="5"/>
  <c r="D210" i="5"/>
  <c r="AQ210" i="5"/>
  <c r="G228" i="5"/>
  <c r="AQ228" i="5"/>
  <c r="F228" i="5"/>
  <c r="E228" i="5"/>
  <c r="D228" i="5"/>
  <c r="C228" i="5"/>
  <c r="AJ228" i="5"/>
  <c r="J228" i="5"/>
  <c r="AF228" i="5"/>
  <c r="I228" i="5"/>
  <c r="H228" i="5"/>
  <c r="B228" i="5"/>
  <c r="A228" i="5"/>
  <c r="N228" i="5"/>
  <c r="O228" i="5"/>
  <c r="M228" i="5"/>
  <c r="K228" i="5"/>
  <c r="L228" i="5"/>
  <c r="B239" i="5"/>
  <c r="A239" i="5"/>
  <c r="AJ239" i="5"/>
  <c r="O239" i="5"/>
  <c r="AF239" i="5"/>
  <c r="N239" i="5"/>
  <c r="M239" i="5"/>
  <c r="L239" i="5"/>
  <c r="K239" i="5"/>
  <c r="J239" i="5"/>
  <c r="I239" i="5"/>
  <c r="H239" i="5"/>
  <c r="G239" i="5"/>
  <c r="AQ239" i="5"/>
  <c r="F239" i="5"/>
  <c r="E239" i="5"/>
  <c r="D239" i="5"/>
  <c r="C239" i="5"/>
  <c r="K297" i="5"/>
  <c r="J297" i="5"/>
  <c r="I297" i="5"/>
  <c r="G297" i="5"/>
  <c r="AQ297" i="5"/>
  <c r="F297" i="5"/>
  <c r="E297" i="5"/>
  <c r="D297" i="5"/>
  <c r="C297" i="5"/>
  <c r="O297" i="5"/>
  <c r="N297" i="5"/>
  <c r="M297" i="5"/>
  <c r="L297" i="5"/>
  <c r="H297" i="5"/>
  <c r="B297" i="5"/>
  <c r="A297" i="5"/>
  <c r="AJ297" i="5"/>
  <c r="AF297" i="5"/>
  <c r="G315" i="5"/>
  <c r="AQ315" i="5"/>
  <c r="F315" i="5"/>
  <c r="C315" i="5"/>
  <c r="B315" i="5"/>
  <c r="A315" i="5"/>
  <c r="O315" i="5"/>
  <c r="N315" i="5"/>
  <c r="AJ315" i="5"/>
  <c r="M315" i="5"/>
  <c r="AF315" i="5"/>
  <c r="L315" i="5"/>
  <c r="D315" i="5"/>
  <c r="K315" i="5"/>
  <c r="J315" i="5"/>
  <c r="I315" i="5"/>
  <c r="H315" i="5"/>
  <c r="E315" i="5"/>
  <c r="M256" i="5"/>
  <c r="L256" i="5"/>
  <c r="K256" i="5"/>
  <c r="J256" i="5"/>
  <c r="I256" i="5"/>
  <c r="H256" i="5"/>
  <c r="G256" i="5"/>
  <c r="AQ256" i="5"/>
  <c r="F256" i="5"/>
  <c r="E256" i="5"/>
  <c r="N256" i="5"/>
  <c r="D256" i="5"/>
  <c r="C256" i="5"/>
  <c r="B256" i="5"/>
  <c r="A256" i="5"/>
  <c r="AJ256" i="5"/>
  <c r="AF256" i="5"/>
  <c r="O256" i="5"/>
  <c r="A286" i="5"/>
  <c r="AJ286" i="5"/>
  <c r="O286" i="5"/>
  <c r="M286" i="5"/>
  <c r="K286" i="5"/>
  <c r="J286" i="5"/>
  <c r="N286" i="5"/>
  <c r="AQ286" i="5"/>
  <c r="L286" i="5"/>
  <c r="I286" i="5"/>
  <c r="H286" i="5"/>
  <c r="G286" i="5"/>
  <c r="F286" i="5"/>
  <c r="AF286" i="5"/>
  <c r="E286" i="5"/>
  <c r="D286" i="5"/>
  <c r="C286" i="5"/>
  <c r="B286" i="5"/>
  <c r="M296" i="5"/>
  <c r="L296" i="5"/>
  <c r="K296" i="5"/>
  <c r="I296" i="5"/>
  <c r="H296" i="5"/>
  <c r="G296" i="5"/>
  <c r="AQ296" i="5"/>
  <c r="F296" i="5"/>
  <c r="E296" i="5"/>
  <c r="D296" i="5"/>
  <c r="C296" i="5"/>
  <c r="B296" i="5"/>
  <c r="A296" i="5"/>
  <c r="AJ296" i="5"/>
  <c r="AF296" i="5"/>
  <c r="O296" i="5"/>
  <c r="J296" i="5"/>
  <c r="N296" i="5"/>
  <c r="C319" i="5"/>
  <c r="B319" i="5"/>
  <c r="AJ319" i="5"/>
  <c r="O319" i="5"/>
  <c r="AF319" i="5"/>
  <c r="N319" i="5"/>
  <c r="M319" i="5"/>
  <c r="L319" i="5"/>
  <c r="K319" i="5"/>
  <c r="I319" i="5"/>
  <c r="H319" i="5"/>
  <c r="G319" i="5"/>
  <c r="F319" i="5"/>
  <c r="E319" i="5"/>
  <c r="D319" i="5"/>
  <c r="J319" i="5"/>
  <c r="A319" i="5"/>
  <c r="AQ319" i="5"/>
  <c r="L377" i="5"/>
  <c r="K377" i="5"/>
  <c r="J377" i="5"/>
  <c r="I377" i="5"/>
  <c r="H377" i="5"/>
  <c r="G377" i="5"/>
  <c r="AQ377" i="5"/>
  <c r="F377" i="5"/>
  <c r="E377" i="5"/>
  <c r="B377" i="5"/>
  <c r="D377" i="5"/>
  <c r="C377" i="5"/>
  <c r="A377" i="5"/>
  <c r="AJ377" i="5"/>
  <c r="O377" i="5"/>
  <c r="N377" i="5"/>
  <c r="M377" i="5"/>
  <c r="AF377" i="5"/>
  <c r="AF347" i="5"/>
  <c r="N347" i="5"/>
  <c r="M347" i="5"/>
  <c r="L347" i="5"/>
  <c r="K347" i="5"/>
  <c r="J347" i="5"/>
  <c r="I347" i="5"/>
  <c r="H347" i="5"/>
  <c r="B347" i="5"/>
  <c r="O347" i="5"/>
  <c r="G347" i="5"/>
  <c r="AQ347" i="5"/>
  <c r="F347" i="5"/>
  <c r="E347" i="5"/>
  <c r="D347" i="5"/>
  <c r="C347" i="5"/>
  <c r="A347" i="5"/>
  <c r="AJ347" i="5"/>
  <c r="B374" i="5"/>
  <c r="A374" i="5"/>
  <c r="AJ374" i="5"/>
  <c r="O374" i="5"/>
  <c r="AF374" i="5"/>
  <c r="N374" i="5"/>
  <c r="M374" i="5"/>
  <c r="L374" i="5"/>
  <c r="K374" i="5"/>
  <c r="AQ374" i="5"/>
  <c r="F374" i="5"/>
  <c r="D374" i="5"/>
  <c r="C374" i="5"/>
  <c r="I374" i="5"/>
  <c r="J374" i="5"/>
  <c r="H374" i="5"/>
  <c r="G374" i="5"/>
  <c r="E374" i="5"/>
  <c r="E399" i="5"/>
  <c r="D399" i="5"/>
  <c r="C399" i="5"/>
  <c r="B399" i="5"/>
  <c r="A399" i="5"/>
  <c r="AJ399" i="5"/>
  <c r="O399" i="5"/>
  <c r="AF399" i="5"/>
  <c r="N399" i="5"/>
  <c r="M399" i="5"/>
  <c r="L399" i="5"/>
  <c r="K399" i="5"/>
  <c r="AQ399" i="5"/>
  <c r="I399" i="5"/>
  <c r="J399" i="5"/>
  <c r="H399" i="5"/>
  <c r="G399" i="5"/>
  <c r="F399" i="5"/>
  <c r="I488" i="5"/>
  <c r="H488" i="5"/>
  <c r="N488" i="5"/>
  <c r="M488" i="5"/>
  <c r="L488" i="5"/>
  <c r="K488" i="5"/>
  <c r="J488" i="5"/>
  <c r="E488" i="5"/>
  <c r="D488" i="5"/>
  <c r="C488" i="5"/>
  <c r="B488" i="5"/>
  <c r="A488" i="5"/>
  <c r="AQ488" i="5"/>
  <c r="AJ488" i="5"/>
  <c r="AF488" i="5"/>
  <c r="O488" i="5"/>
  <c r="G488" i="5"/>
  <c r="F488" i="5"/>
  <c r="O475" i="5"/>
  <c r="N475" i="5"/>
  <c r="M475" i="5"/>
  <c r="L475" i="5"/>
  <c r="K475" i="5"/>
  <c r="H475" i="5"/>
  <c r="G475" i="5"/>
  <c r="F475" i="5"/>
  <c r="E475" i="5"/>
  <c r="D475" i="5"/>
  <c r="C475" i="5"/>
  <c r="B475" i="5"/>
  <c r="A475" i="5"/>
  <c r="AQ475" i="5"/>
  <c r="AJ475" i="5"/>
  <c r="AF475" i="5"/>
  <c r="J475" i="5"/>
  <c r="I475" i="5"/>
  <c r="F446" i="5"/>
  <c r="E446" i="5"/>
  <c r="D446" i="5"/>
  <c r="AQ446" i="5"/>
  <c r="C446" i="5"/>
  <c r="AJ446" i="5"/>
  <c r="B446" i="5"/>
  <c r="AF446" i="5"/>
  <c r="A446" i="5"/>
  <c r="O446" i="5"/>
  <c r="N446" i="5"/>
  <c r="M446" i="5"/>
  <c r="L446" i="5"/>
  <c r="K446" i="5"/>
  <c r="J446" i="5"/>
  <c r="I446" i="5"/>
  <c r="H446" i="5"/>
  <c r="G446" i="5"/>
  <c r="E502" i="5"/>
  <c r="AQ502" i="5"/>
  <c r="D502" i="5"/>
  <c r="AJ502" i="5"/>
  <c r="C502" i="5"/>
  <c r="AF502" i="5"/>
  <c r="B502" i="5"/>
  <c r="O502" i="5"/>
  <c r="M502" i="5"/>
  <c r="L502" i="5"/>
  <c r="K502" i="5"/>
  <c r="J502" i="5"/>
  <c r="I502" i="5"/>
  <c r="F502" i="5"/>
  <c r="N502" i="5"/>
  <c r="H502" i="5"/>
  <c r="G502" i="5"/>
  <c r="A502" i="5"/>
  <c r="G568" i="5"/>
  <c r="F568" i="5"/>
  <c r="O568" i="5"/>
  <c r="N568" i="5"/>
  <c r="M568" i="5"/>
  <c r="L568" i="5"/>
  <c r="K568" i="5"/>
  <c r="J568" i="5"/>
  <c r="I568" i="5"/>
  <c r="H568" i="5"/>
  <c r="E568" i="5"/>
  <c r="D568" i="5"/>
  <c r="AQ568" i="5"/>
  <c r="B568" i="5"/>
  <c r="AJ568" i="5"/>
  <c r="AF568" i="5"/>
  <c r="C568" i="5"/>
  <c r="A568" i="5"/>
  <c r="F505" i="5"/>
  <c r="E505" i="5"/>
  <c r="AQ505" i="5"/>
  <c r="D505" i="5"/>
  <c r="AJ505" i="5"/>
  <c r="C505" i="5"/>
  <c r="AF505" i="5"/>
  <c r="O505" i="5"/>
  <c r="N505" i="5"/>
  <c r="M505" i="5"/>
  <c r="K505" i="5"/>
  <c r="A505" i="5"/>
  <c r="L505" i="5"/>
  <c r="I505" i="5"/>
  <c r="J505" i="5"/>
  <c r="H505" i="5"/>
  <c r="G505" i="5"/>
  <c r="B505" i="5"/>
  <c r="AQ575" i="5"/>
  <c r="D575" i="5"/>
  <c r="AJ575" i="5"/>
  <c r="C575" i="5"/>
  <c r="O575" i="5"/>
  <c r="N575" i="5"/>
  <c r="M575" i="5"/>
  <c r="L575" i="5"/>
  <c r="K575" i="5"/>
  <c r="J575" i="5"/>
  <c r="I575" i="5"/>
  <c r="H575" i="5"/>
  <c r="G575" i="5"/>
  <c r="F575" i="5"/>
  <c r="E575" i="5"/>
  <c r="A575" i="5"/>
  <c r="AF575" i="5"/>
  <c r="B575" i="5"/>
  <c r="E518" i="5"/>
  <c r="AQ518" i="5"/>
  <c r="D518" i="5"/>
  <c r="AJ518" i="5"/>
  <c r="C518" i="5"/>
  <c r="AF518" i="5"/>
  <c r="B518" i="5"/>
  <c r="A518" i="5"/>
  <c r="O518" i="5"/>
  <c r="M518" i="5"/>
  <c r="N518" i="5"/>
  <c r="L518" i="5"/>
  <c r="K518" i="5"/>
  <c r="J518" i="5"/>
  <c r="I518" i="5"/>
  <c r="H518" i="5"/>
  <c r="G518" i="5"/>
  <c r="F518" i="5"/>
  <c r="H559" i="5"/>
  <c r="G559" i="5"/>
  <c r="F559" i="5"/>
  <c r="E559" i="5"/>
  <c r="AQ559" i="5"/>
  <c r="D559" i="5"/>
  <c r="AJ559" i="5"/>
  <c r="C559" i="5"/>
  <c r="AF559" i="5"/>
  <c r="B559" i="5"/>
  <c r="O559" i="5"/>
  <c r="N559" i="5"/>
  <c r="M559" i="5"/>
  <c r="L559" i="5"/>
  <c r="K559" i="5"/>
  <c r="J559" i="5"/>
  <c r="I559" i="5"/>
  <c r="A559" i="5"/>
  <c r="G556" i="5"/>
  <c r="F556" i="5"/>
  <c r="E556" i="5"/>
  <c r="AQ556" i="5"/>
  <c r="D556" i="5"/>
  <c r="AJ556" i="5"/>
  <c r="C556" i="5"/>
  <c r="AF556" i="5"/>
  <c r="B556" i="5"/>
  <c r="A556" i="5"/>
  <c r="N556" i="5"/>
  <c r="M556" i="5"/>
  <c r="L556" i="5"/>
  <c r="K556" i="5"/>
  <c r="J556" i="5"/>
  <c r="I556" i="5"/>
  <c r="H556" i="5"/>
  <c r="O556" i="5"/>
  <c r="O589" i="5"/>
  <c r="N589" i="5"/>
  <c r="M589" i="5"/>
  <c r="AJ589" i="5"/>
  <c r="AF589" i="5"/>
  <c r="L589" i="5"/>
  <c r="K589" i="5"/>
  <c r="J589" i="5"/>
  <c r="I589" i="5"/>
  <c r="H589" i="5"/>
  <c r="G589" i="5"/>
  <c r="F589" i="5"/>
  <c r="E589" i="5"/>
  <c r="C589" i="5"/>
  <c r="AQ589" i="5"/>
  <c r="D589" i="5"/>
  <c r="B589" i="5"/>
  <c r="A589" i="5"/>
  <c r="O615" i="5"/>
  <c r="N615" i="5"/>
  <c r="K615" i="5"/>
  <c r="H615" i="5"/>
  <c r="G615" i="5"/>
  <c r="F615" i="5"/>
  <c r="I615" i="5"/>
  <c r="E615" i="5"/>
  <c r="D615" i="5"/>
  <c r="C615" i="5"/>
  <c r="B615" i="5"/>
  <c r="A615" i="5"/>
  <c r="AQ615" i="5"/>
  <c r="AJ615" i="5"/>
  <c r="AF615" i="5"/>
  <c r="M615" i="5"/>
  <c r="J615" i="5"/>
  <c r="L615" i="5"/>
  <c r="AJ582" i="5"/>
  <c r="C582" i="5"/>
  <c r="A582" i="5"/>
  <c r="AQ582" i="5"/>
  <c r="AF582" i="5"/>
  <c r="O582" i="5"/>
  <c r="N582" i="5"/>
  <c r="M582" i="5"/>
  <c r="L582" i="5"/>
  <c r="K582" i="5"/>
  <c r="J582" i="5"/>
  <c r="I582" i="5"/>
  <c r="H582" i="5"/>
  <c r="F582" i="5"/>
  <c r="B582" i="5"/>
  <c r="G582" i="5"/>
  <c r="E582" i="5"/>
  <c r="D582" i="5"/>
  <c r="M632" i="5"/>
  <c r="L632" i="5"/>
  <c r="J632" i="5"/>
  <c r="G632" i="5"/>
  <c r="E632" i="5"/>
  <c r="D632" i="5"/>
  <c r="C632" i="5"/>
  <c r="B632" i="5"/>
  <c r="A632" i="5"/>
  <c r="AQ632" i="5"/>
  <c r="AJ632" i="5"/>
  <c r="AF632" i="5"/>
  <c r="O632" i="5"/>
  <c r="N632" i="5"/>
  <c r="K632" i="5"/>
  <c r="I632" i="5"/>
  <c r="H632" i="5"/>
  <c r="F632" i="5"/>
  <c r="N647" i="5"/>
  <c r="K647" i="5"/>
  <c r="J647" i="5"/>
  <c r="I647" i="5"/>
  <c r="H647" i="5"/>
  <c r="E647" i="5"/>
  <c r="AQ647" i="5"/>
  <c r="AJ647" i="5"/>
  <c r="AF647" i="5"/>
  <c r="O647" i="5"/>
  <c r="M647" i="5"/>
  <c r="L647" i="5"/>
  <c r="G647" i="5"/>
  <c r="F647" i="5"/>
  <c r="D647" i="5"/>
  <c r="C647" i="5"/>
  <c r="B647" i="5"/>
  <c r="A647" i="5"/>
  <c r="K696" i="5"/>
  <c r="I696" i="5"/>
  <c r="AJ696" i="5"/>
  <c r="C696" i="5"/>
  <c r="M696" i="5"/>
  <c r="L696" i="5"/>
  <c r="J696" i="5"/>
  <c r="H696" i="5"/>
  <c r="G696" i="5"/>
  <c r="F696" i="5"/>
  <c r="E696" i="5"/>
  <c r="B696" i="5"/>
  <c r="A696" i="5"/>
  <c r="AQ696" i="5"/>
  <c r="AF696" i="5"/>
  <c r="O696" i="5"/>
  <c r="N696" i="5"/>
  <c r="D696" i="5"/>
  <c r="N689" i="5"/>
  <c r="L689" i="5"/>
  <c r="F689" i="5"/>
  <c r="B689" i="5"/>
  <c r="AQ689" i="5"/>
  <c r="A689" i="5"/>
  <c r="AJ689" i="5"/>
  <c r="AF689" i="5"/>
  <c r="O689" i="5"/>
  <c r="K689" i="5"/>
  <c r="J689" i="5"/>
  <c r="I689" i="5"/>
  <c r="G689" i="5"/>
  <c r="M689" i="5"/>
  <c r="H689" i="5"/>
  <c r="E689" i="5"/>
  <c r="D689" i="5"/>
  <c r="C689" i="5"/>
  <c r="I690" i="5"/>
  <c r="G690" i="5"/>
  <c r="A690" i="5"/>
  <c r="AQ690" i="5"/>
  <c r="AJ690" i="5"/>
  <c r="AF690" i="5"/>
  <c r="O690" i="5"/>
  <c r="N690" i="5"/>
  <c r="M690" i="5"/>
  <c r="K690" i="5"/>
  <c r="J690" i="5"/>
  <c r="H690" i="5"/>
  <c r="E690" i="5"/>
  <c r="B690" i="5"/>
  <c r="L690" i="5"/>
  <c r="F690" i="5"/>
  <c r="D690" i="5"/>
  <c r="C690" i="5"/>
  <c r="D22" i="5"/>
  <c r="C22" i="5"/>
  <c r="B22" i="5"/>
  <c r="A22" i="5"/>
  <c r="AJ22" i="5"/>
  <c r="O22" i="5"/>
  <c r="AF22" i="5"/>
  <c r="N22" i="5"/>
  <c r="M22" i="5"/>
  <c r="K22" i="5"/>
  <c r="H22" i="5"/>
  <c r="G22" i="5"/>
  <c r="AQ22" i="5"/>
  <c r="J22" i="5"/>
  <c r="E22" i="5"/>
  <c r="I22" i="5"/>
  <c r="L22" i="5"/>
  <c r="F22" i="5"/>
  <c r="E276" i="5"/>
  <c r="C276" i="5"/>
  <c r="A276" i="5"/>
  <c r="AF276" i="5"/>
  <c r="N276" i="5"/>
  <c r="B276" i="5"/>
  <c r="AQ276" i="5"/>
  <c r="O276" i="5"/>
  <c r="M276" i="5"/>
  <c r="L276" i="5"/>
  <c r="AJ276" i="5"/>
  <c r="J276" i="5"/>
  <c r="K276" i="5"/>
  <c r="I276" i="5"/>
  <c r="H276" i="5"/>
  <c r="F276" i="5"/>
  <c r="G276" i="5"/>
  <c r="D276" i="5"/>
  <c r="O462" i="5"/>
  <c r="N462" i="5"/>
  <c r="M462" i="5"/>
  <c r="L462" i="5"/>
  <c r="D462" i="5"/>
  <c r="C462" i="5"/>
  <c r="B462" i="5"/>
  <c r="A462" i="5"/>
  <c r="AQ462" i="5"/>
  <c r="AJ462" i="5"/>
  <c r="AF462" i="5"/>
  <c r="K462" i="5"/>
  <c r="F462" i="5"/>
  <c r="E462" i="5"/>
  <c r="H462" i="5"/>
  <c r="G462" i="5"/>
  <c r="I462" i="5"/>
  <c r="J462" i="5"/>
  <c r="AQ691" i="5"/>
  <c r="D691" i="5"/>
  <c r="AF691" i="5"/>
  <c r="B691" i="5"/>
  <c r="L691" i="5"/>
  <c r="AJ691" i="5"/>
  <c r="O691" i="5"/>
  <c r="N691" i="5"/>
  <c r="M691" i="5"/>
  <c r="K691" i="5"/>
  <c r="I691" i="5"/>
  <c r="H691" i="5"/>
  <c r="G691" i="5"/>
  <c r="E691" i="5"/>
  <c r="J691" i="5"/>
  <c r="F691" i="5"/>
  <c r="C691" i="5"/>
  <c r="A691" i="5"/>
  <c r="D30" i="5"/>
  <c r="C30" i="5"/>
  <c r="B30" i="5"/>
  <c r="A30" i="5"/>
  <c r="AJ30" i="5"/>
  <c r="O30" i="5"/>
  <c r="AF30" i="5"/>
  <c r="N30" i="5"/>
  <c r="M30" i="5"/>
  <c r="L30" i="5"/>
  <c r="K30" i="5"/>
  <c r="I30" i="5"/>
  <c r="H30" i="5"/>
  <c r="G30" i="5"/>
  <c r="F30" i="5"/>
  <c r="E30" i="5"/>
  <c r="AQ30" i="5"/>
  <c r="J30" i="5"/>
  <c r="J158" i="5"/>
  <c r="I158" i="5"/>
  <c r="AQ158" i="5"/>
  <c r="F158" i="5"/>
  <c r="C158" i="5"/>
  <c r="B158" i="5"/>
  <c r="A158" i="5"/>
  <c r="O158" i="5"/>
  <c r="N158" i="5"/>
  <c r="M158" i="5"/>
  <c r="AJ158" i="5"/>
  <c r="L158" i="5"/>
  <c r="AF158" i="5"/>
  <c r="K158" i="5"/>
  <c r="H158" i="5"/>
  <c r="G158" i="5"/>
  <c r="E158" i="5"/>
  <c r="D158" i="5"/>
  <c r="C277" i="5"/>
  <c r="A277" i="5"/>
  <c r="AJ277" i="5"/>
  <c r="O277" i="5"/>
  <c r="L277" i="5"/>
  <c r="AQ277" i="5"/>
  <c r="N277" i="5"/>
  <c r="M277" i="5"/>
  <c r="K277" i="5"/>
  <c r="J277" i="5"/>
  <c r="AF277" i="5"/>
  <c r="I277" i="5"/>
  <c r="H277" i="5"/>
  <c r="G277" i="5"/>
  <c r="F277" i="5"/>
  <c r="D277" i="5"/>
  <c r="E277" i="5"/>
  <c r="B277" i="5"/>
  <c r="M421" i="5"/>
  <c r="AJ421" i="5"/>
  <c r="B421" i="5"/>
  <c r="AF421" i="5"/>
  <c r="A421" i="5"/>
  <c r="O421" i="5"/>
  <c r="N421" i="5"/>
  <c r="L421" i="5"/>
  <c r="K421" i="5"/>
  <c r="J421" i="5"/>
  <c r="I421" i="5"/>
  <c r="H421" i="5"/>
  <c r="G421" i="5"/>
  <c r="F421" i="5"/>
  <c r="E421" i="5"/>
  <c r="D421" i="5"/>
  <c r="C421" i="5"/>
  <c r="AQ421" i="5"/>
  <c r="AQ442" i="5"/>
  <c r="D442" i="5"/>
  <c r="E442" i="5"/>
  <c r="C442" i="5"/>
  <c r="AJ442" i="5"/>
  <c r="B442" i="5"/>
  <c r="AF442" i="5"/>
  <c r="A442" i="5"/>
  <c r="O442" i="5"/>
  <c r="N442" i="5"/>
  <c r="M442" i="5"/>
  <c r="F442" i="5"/>
  <c r="L442" i="5"/>
  <c r="K442" i="5"/>
  <c r="I442" i="5"/>
  <c r="J442" i="5"/>
  <c r="H442" i="5"/>
  <c r="G442" i="5"/>
  <c r="N679" i="5"/>
  <c r="H679" i="5"/>
  <c r="O679" i="5"/>
  <c r="M679" i="5"/>
  <c r="L679" i="5"/>
  <c r="K679" i="5"/>
  <c r="J679" i="5"/>
  <c r="I679" i="5"/>
  <c r="G679" i="5"/>
  <c r="E679" i="5"/>
  <c r="C679" i="5"/>
  <c r="AQ679" i="5"/>
  <c r="A679" i="5"/>
  <c r="F679" i="5"/>
  <c r="D679" i="5"/>
  <c r="B679" i="5"/>
  <c r="AJ679" i="5"/>
  <c r="AF679" i="5"/>
  <c r="AJ131" i="5"/>
  <c r="O131" i="5"/>
  <c r="AF131" i="5"/>
  <c r="N131" i="5"/>
  <c r="I131" i="5"/>
  <c r="H131" i="5"/>
  <c r="G131" i="5"/>
  <c r="F131" i="5"/>
  <c r="E131" i="5"/>
  <c r="D131" i="5"/>
  <c r="C131" i="5"/>
  <c r="AQ131" i="5"/>
  <c r="B131" i="5"/>
  <c r="A131" i="5"/>
  <c r="M131" i="5"/>
  <c r="L131" i="5"/>
  <c r="K131" i="5"/>
  <c r="J131" i="5"/>
  <c r="AJ224" i="5"/>
  <c r="O224" i="5"/>
  <c r="AF224" i="5"/>
  <c r="N224" i="5"/>
  <c r="K224" i="5"/>
  <c r="M224" i="5"/>
  <c r="L224" i="5"/>
  <c r="J224" i="5"/>
  <c r="I224" i="5"/>
  <c r="H224" i="5"/>
  <c r="G224" i="5"/>
  <c r="F224" i="5"/>
  <c r="E224" i="5"/>
  <c r="D224" i="5"/>
  <c r="C224" i="5"/>
  <c r="A224" i="5"/>
  <c r="B224" i="5"/>
  <c r="AQ224" i="5"/>
  <c r="F432" i="5"/>
  <c r="J432" i="5"/>
  <c r="I432" i="5"/>
  <c r="E432" i="5"/>
  <c r="D432" i="5"/>
  <c r="AQ432" i="5"/>
  <c r="C432" i="5"/>
  <c r="AJ432" i="5"/>
  <c r="B432" i="5"/>
  <c r="AF432" i="5"/>
  <c r="A432" i="5"/>
  <c r="L432" i="5"/>
  <c r="K432" i="5"/>
  <c r="H432" i="5"/>
  <c r="G432" i="5"/>
  <c r="O432" i="5"/>
  <c r="M432" i="5"/>
  <c r="N432" i="5"/>
  <c r="M702" i="5"/>
  <c r="K702" i="5"/>
  <c r="E702" i="5"/>
  <c r="D702" i="5"/>
  <c r="C702" i="5"/>
  <c r="B702" i="5"/>
  <c r="AQ702" i="5"/>
  <c r="A702" i="5"/>
  <c r="AJ702" i="5"/>
  <c r="AF702" i="5"/>
  <c r="O702" i="5"/>
  <c r="N702" i="5"/>
  <c r="L702" i="5"/>
  <c r="I702" i="5"/>
  <c r="J702" i="5"/>
  <c r="H702" i="5"/>
  <c r="G702" i="5"/>
  <c r="F702" i="5"/>
  <c r="E53" i="5"/>
  <c r="D53" i="5"/>
  <c r="C53" i="5"/>
  <c r="B53" i="5"/>
  <c r="A53" i="5"/>
  <c r="AJ53" i="5"/>
  <c r="AF53" i="5"/>
  <c r="K53" i="5"/>
  <c r="O53" i="5"/>
  <c r="N53" i="5"/>
  <c r="M53" i="5"/>
  <c r="L53" i="5"/>
  <c r="J53" i="5"/>
  <c r="I53" i="5"/>
  <c r="H53" i="5"/>
  <c r="G53" i="5"/>
  <c r="AQ53" i="5"/>
  <c r="F53" i="5"/>
  <c r="A124" i="5"/>
  <c r="AJ124" i="5"/>
  <c r="O124" i="5"/>
  <c r="AF124" i="5"/>
  <c r="N124" i="5"/>
  <c r="M124" i="5"/>
  <c r="L124" i="5"/>
  <c r="K124" i="5"/>
  <c r="J124" i="5"/>
  <c r="I124" i="5"/>
  <c r="H124" i="5"/>
  <c r="G124" i="5"/>
  <c r="AQ124" i="5"/>
  <c r="F124" i="5"/>
  <c r="E124" i="5"/>
  <c r="C124" i="5"/>
  <c r="B124" i="5"/>
  <c r="D124" i="5"/>
  <c r="AJ247" i="5"/>
  <c r="B247" i="5"/>
  <c r="A247" i="5"/>
  <c r="O247" i="5"/>
  <c r="N247" i="5"/>
  <c r="M247" i="5"/>
  <c r="AF247" i="5"/>
  <c r="L247" i="5"/>
  <c r="K247" i="5"/>
  <c r="J247" i="5"/>
  <c r="I247" i="5"/>
  <c r="H247" i="5"/>
  <c r="F247" i="5"/>
  <c r="C247" i="5"/>
  <c r="AQ247" i="5"/>
  <c r="G247" i="5"/>
  <c r="E247" i="5"/>
  <c r="D247" i="5"/>
  <c r="J333" i="5"/>
  <c r="I333" i="5"/>
  <c r="H333" i="5"/>
  <c r="G333" i="5"/>
  <c r="AQ333" i="5"/>
  <c r="F333" i="5"/>
  <c r="O333" i="5"/>
  <c r="N333" i="5"/>
  <c r="M333" i="5"/>
  <c r="L333" i="5"/>
  <c r="K333" i="5"/>
  <c r="AJ333" i="5"/>
  <c r="E333" i="5"/>
  <c r="AF333" i="5"/>
  <c r="D333" i="5"/>
  <c r="C333" i="5"/>
  <c r="B333" i="5"/>
  <c r="A333" i="5"/>
  <c r="M437" i="5"/>
  <c r="G437" i="5"/>
  <c r="F437" i="5"/>
  <c r="AQ437" i="5"/>
  <c r="C437" i="5"/>
  <c r="AJ437" i="5"/>
  <c r="B437" i="5"/>
  <c r="AF437" i="5"/>
  <c r="A437" i="5"/>
  <c r="O437" i="5"/>
  <c r="N437" i="5"/>
  <c r="L437" i="5"/>
  <c r="K437" i="5"/>
  <c r="J437" i="5"/>
  <c r="I437" i="5"/>
  <c r="H437" i="5"/>
  <c r="E437" i="5"/>
  <c r="D437" i="5"/>
  <c r="M542" i="5"/>
  <c r="L542" i="5"/>
  <c r="K542" i="5"/>
  <c r="J542" i="5"/>
  <c r="G542" i="5"/>
  <c r="AQ542" i="5"/>
  <c r="D542" i="5"/>
  <c r="AJ542" i="5"/>
  <c r="AF542" i="5"/>
  <c r="O542" i="5"/>
  <c r="N542" i="5"/>
  <c r="I542" i="5"/>
  <c r="H542" i="5"/>
  <c r="F542" i="5"/>
  <c r="E542" i="5"/>
  <c r="C542" i="5"/>
  <c r="B542" i="5"/>
  <c r="A542" i="5"/>
  <c r="H20" i="5"/>
  <c r="G20" i="5"/>
  <c r="AQ20" i="5"/>
  <c r="F20" i="5"/>
  <c r="E20" i="5"/>
  <c r="D20" i="5"/>
  <c r="C20" i="5"/>
  <c r="B20" i="5"/>
  <c r="A20" i="5"/>
  <c r="AJ20" i="5"/>
  <c r="O20" i="5"/>
  <c r="AF20" i="5"/>
  <c r="N20" i="5"/>
  <c r="M20" i="5"/>
  <c r="L20" i="5"/>
  <c r="K20" i="5"/>
  <c r="J20" i="5"/>
  <c r="I20" i="5"/>
  <c r="E217" i="5"/>
  <c r="D217" i="5"/>
  <c r="C217" i="5"/>
  <c r="B217" i="5"/>
  <c r="A217" i="5"/>
  <c r="AJ217" i="5"/>
  <c r="O217" i="5"/>
  <c r="AF217" i="5"/>
  <c r="N217" i="5"/>
  <c r="M217" i="5"/>
  <c r="L217" i="5"/>
  <c r="K217" i="5"/>
  <c r="I217" i="5"/>
  <c r="F217" i="5"/>
  <c r="AQ217" i="5"/>
  <c r="J217" i="5"/>
  <c r="H217" i="5"/>
  <c r="G217" i="5"/>
  <c r="AF509" i="5"/>
  <c r="B509" i="5"/>
  <c r="A509" i="5"/>
  <c r="O509" i="5"/>
  <c r="N509" i="5"/>
  <c r="M509" i="5"/>
  <c r="L509" i="5"/>
  <c r="AQ509" i="5"/>
  <c r="AJ509" i="5"/>
  <c r="K509" i="5"/>
  <c r="J509" i="5"/>
  <c r="I509" i="5"/>
  <c r="H509" i="5"/>
  <c r="F509" i="5"/>
  <c r="E509" i="5"/>
  <c r="D509" i="5"/>
  <c r="C509" i="5"/>
  <c r="G509" i="5"/>
  <c r="G76" i="5"/>
  <c r="AQ76" i="5"/>
  <c r="F76" i="5"/>
  <c r="E76" i="5"/>
  <c r="D76" i="5"/>
  <c r="C76" i="5"/>
  <c r="B76" i="5"/>
  <c r="A76" i="5"/>
  <c r="AJ76" i="5"/>
  <c r="O76" i="5"/>
  <c r="AF76" i="5"/>
  <c r="N76" i="5"/>
  <c r="M76" i="5"/>
  <c r="L76" i="5"/>
  <c r="K76" i="5"/>
  <c r="J76" i="5"/>
  <c r="I76" i="5"/>
  <c r="H76" i="5"/>
  <c r="I207" i="5"/>
  <c r="H207" i="5"/>
  <c r="G207" i="5"/>
  <c r="AQ207" i="5"/>
  <c r="F207" i="5"/>
  <c r="E207" i="5"/>
  <c r="D207" i="5"/>
  <c r="C207" i="5"/>
  <c r="A207" i="5"/>
  <c r="AJ207" i="5"/>
  <c r="AF207" i="5"/>
  <c r="O207" i="5"/>
  <c r="N207" i="5"/>
  <c r="L207" i="5"/>
  <c r="B207" i="5"/>
  <c r="M207" i="5"/>
  <c r="K207" i="5"/>
  <c r="J207" i="5"/>
  <c r="A278" i="5"/>
  <c r="AJ278" i="5"/>
  <c r="O278" i="5"/>
  <c r="M278" i="5"/>
  <c r="J278" i="5"/>
  <c r="AF278" i="5"/>
  <c r="H278" i="5"/>
  <c r="G278" i="5"/>
  <c r="F278" i="5"/>
  <c r="E278" i="5"/>
  <c r="D278" i="5"/>
  <c r="C278" i="5"/>
  <c r="B278" i="5"/>
  <c r="AQ278" i="5"/>
  <c r="N278" i="5"/>
  <c r="L278" i="5"/>
  <c r="K278" i="5"/>
  <c r="I278" i="5"/>
  <c r="AJ439" i="5"/>
  <c r="C439" i="5"/>
  <c r="O439" i="5"/>
  <c r="N439" i="5"/>
  <c r="M439" i="5"/>
  <c r="L439" i="5"/>
  <c r="K439" i="5"/>
  <c r="J439" i="5"/>
  <c r="I439" i="5"/>
  <c r="H439" i="5"/>
  <c r="AQ439" i="5"/>
  <c r="AF439" i="5"/>
  <c r="G439" i="5"/>
  <c r="F439" i="5"/>
  <c r="E439" i="5"/>
  <c r="D439" i="5"/>
  <c r="B439" i="5"/>
  <c r="A439" i="5"/>
  <c r="G495" i="5"/>
  <c r="F495" i="5"/>
  <c r="E495" i="5"/>
  <c r="AF495" i="5"/>
  <c r="B495" i="5"/>
  <c r="AQ495" i="5"/>
  <c r="AJ495" i="5"/>
  <c r="O495" i="5"/>
  <c r="N495" i="5"/>
  <c r="M495" i="5"/>
  <c r="L495" i="5"/>
  <c r="K495" i="5"/>
  <c r="J495" i="5"/>
  <c r="H495" i="5"/>
  <c r="I495" i="5"/>
  <c r="D495" i="5"/>
  <c r="C495" i="5"/>
  <c r="A495" i="5"/>
  <c r="L539" i="5"/>
  <c r="K539" i="5"/>
  <c r="F539" i="5"/>
  <c r="AF539" i="5"/>
  <c r="O539" i="5"/>
  <c r="N539" i="5"/>
  <c r="M539" i="5"/>
  <c r="J539" i="5"/>
  <c r="H539" i="5"/>
  <c r="G539" i="5"/>
  <c r="AQ539" i="5"/>
  <c r="I539" i="5"/>
  <c r="E539" i="5"/>
  <c r="D539" i="5"/>
  <c r="AJ539" i="5"/>
  <c r="C539" i="5"/>
  <c r="B539" i="5"/>
  <c r="A539" i="5"/>
  <c r="G607" i="5"/>
  <c r="F607" i="5"/>
  <c r="AJ607" i="5"/>
  <c r="C607" i="5"/>
  <c r="O607" i="5"/>
  <c r="J607" i="5"/>
  <c r="I607" i="5"/>
  <c r="H607" i="5"/>
  <c r="E607" i="5"/>
  <c r="D607" i="5"/>
  <c r="B607" i="5"/>
  <c r="A607" i="5"/>
  <c r="AQ607" i="5"/>
  <c r="AF607" i="5"/>
  <c r="N607" i="5"/>
  <c r="M607" i="5"/>
  <c r="L607" i="5"/>
  <c r="K607" i="5"/>
  <c r="B31" i="5"/>
  <c r="A31" i="5"/>
  <c r="AJ31" i="5"/>
  <c r="O31" i="5"/>
  <c r="AF31" i="5"/>
  <c r="N31" i="5"/>
  <c r="M31" i="5"/>
  <c r="L31" i="5"/>
  <c r="K31" i="5"/>
  <c r="J31" i="5"/>
  <c r="I31" i="5"/>
  <c r="H31" i="5"/>
  <c r="G31" i="5"/>
  <c r="E31" i="5"/>
  <c r="D31" i="5"/>
  <c r="C31" i="5"/>
  <c r="AQ31" i="5"/>
  <c r="F31" i="5"/>
  <c r="A79" i="5"/>
  <c r="AJ79" i="5"/>
  <c r="O79" i="5"/>
  <c r="AF79" i="5"/>
  <c r="N79" i="5"/>
  <c r="M79" i="5"/>
  <c r="L79" i="5"/>
  <c r="K79" i="5"/>
  <c r="J79" i="5"/>
  <c r="I79" i="5"/>
  <c r="H79" i="5"/>
  <c r="G79" i="5"/>
  <c r="AQ79" i="5"/>
  <c r="F79" i="5"/>
  <c r="E79" i="5"/>
  <c r="D79" i="5"/>
  <c r="C79" i="5"/>
  <c r="B79" i="5"/>
  <c r="I112" i="5"/>
  <c r="H112" i="5"/>
  <c r="G112" i="5"/>
  <c r="AQ112" i="5"/>
  <c r="F112" i="5"/>
  <c r="E112" i="5"/>
  <c r="D112" i="5"/>
  <c r="C112" i="5"/>
  <c r="B112" i="5"/>
  <c r="A112" i="5"/>
  <c r="AJ112" i="5"/>
  <c r="O112" i="5"/>
  <c r="M112" i="5"/>
  <c r="L112" i="5"/>
  <c r="K112" i="5"/>
  <c r="J112" i="5"/>
  <c r="AF112" i="5"/>
  <c r="N112" i="5"/>
  <c r="K133" i="5"/>
  <c r="J133" i="5"/>
  <c r="A133" i="5"/>
  <c r="O133" i="5"/>
  <c r="N133" i="5"/>
  <c r="AJ133" i="5"/>
  <c r="M133" i="5"/>
  <c r="AF133" i="5"/>
  <c r="L133" i="5"/>
  <c r="I133" i="5"/>
  <c r="H133" i="5"/>
  <c r="G133" i="5"/>
  <c r="F133" i="5"/>
  <c r="E133" i="5"/>
  <c r="B133" i="5"/>
  <c r="AQ133" i="5"/>
  <c r="D133" i="5"/>
  <c r="C133" i="5"/>
  <c r="AJ109" i="5"/>
  <c r="O109" i="5"/>
  <c r="AF109" i="5"/>
  <c r="N109" i="5"/>
  <c r="M109" i="5"/>
  <c r="L109" i="5"/>
  <c r="K109" i="5"/>
  <c r="J109" i="5"/>
  <c r="I109" i="5"/>
  <c r="H109" i="5"/>
  <c r="G109" i="5"/>
  <c r="AQ109" i="5"/>
  <c r="F109" i="5"/>
  <c r="E109" i="5"/>
  <c r="D109" i="5"/>
  <c r="C109" i="5"/>
  <c r="B109" i="5"/>
  <c r="A109" i="5"/>
  <c r="G176" i="5"/>
  <c r="AQ176" i="5"/>
  <c r="F176" i="5"/>
  <c r="E176" i="5"/>
  <c r="D176" i="5"/>
  <c r="C176" i="5"/>
  <c r="B176" i="5"/>
  <c r="M176" i="5"/>
  <c r="L176" i="5"/>
  <c r="K176" i="5"/>
  <c r="J176" i="5"/>
  <c r="I176" i="5"/>
  <c r="H176" i="5"/>
  <c r="AJ176" i="5"/>
  <c r="A176" i="5"/>
  <c r="AF176" i="5"/>
  <c r="O176" i="5"/>
  <c r="N176" i="5"/>
  <c r="A154" i="5"/>
  <c r="AJ154" i="5"/>
  <c r="O154" i="5"/>
  <c r="AF154" i="5"/>
  <c r="N154" i="5"/>
  <c r="M154" i="5"/>
  <c r="L154" i="5"/>
  <c r="K154" i="5"/>
  <c r="J154" i="5"/>
  <c r="I154" i="5"/>
  <c r="H154" i="5"/>
  <c r="G154" i="5"/>
  <c r="AQ154" i="5"/>
  <c r="F154" i="5"/>
  <c r="E154" i="5"/>
  <c r="D154" i="5"/>
  <c r="C154" i="5"/>
  <c r="B154" i="5"/>
  <c r="I183" i="5"/>
  <c r="H183" i="5"/>
  <c r="G183" i="5"/>
  <c r="AQ183" i="5"/>
  <c r="F183" i="5"/>
  <c r="E183" i="5"/>
  <c r="D183" i="5"/>
  <c r="B183" i="5"/>
  <c r="M183" i="5"/>
  <c r="O183" i="5"/>
  <c r="N183" i="5"/>
  <c r="L183" i="5"/>
  <c r="K183" i="5"/>
  <c r="J183" i="5"/>
  <c r="C183" i="5"/>
  <c r="A183" i="5"/>
  <c r="AJ183" i="5"/>
  <c r="AF183" i="5"/>
  <c r="AF156" i="5"/>
  <c r="N156" i="5"/>
  <c r="M156" i="5"/>
  <c r="J156" i="5"/>
  <c r="E156" i="5"/>
  <c r="D156" i="5"/>
  <c r="C156" i="5"/>
  <c r="B156" i="5"/>
  <c r="A156" i="5"/>
  <c r="AQ156" i="5"/>
  <c r="O156" i="5"/>
  <c r="L156" i="5"/>
  <c r="K156" i="5"/>
  <c r="AJ156" i="5"/>
  <c r="I156" i="5"/>
  <c r="H156" i="5"/>
  <c r="G156" i="5"/>
  <c r="F156" i="5"/>
  <c r="C218" i="5"/>
  <c r="B218" i="5"/>
  <c r="A218" i="5"/>
  <c r="AJ218" i="5"/>
  <c r="O218" i="5"/>
  <c r="AF218" i="5"/>
  <c r="N218" i="5"/>
  <c r="M218" i="5"/>
  <c r="L218" i="5"/>
  <c r="K218" i="5"/>
  <c r="J218" i="5"/>
  <c r="I218" i="5"/>
  <c r="G218" i="5"/>
  <c r="H218" i="5"/>
  <c r="F218" i="5"/>
  <c r="E218" i="5"/>
  <c r="D218" i="5"/>
  <c r="AQ218" i="5"/>
  <c r="L242" i="5"/>
  <c r="K242" i="5"/>
  <c r="J242" i="5"/>
  <c r="I242" i="5"/>
  <c r="H242" i="5"/>
  <c r="G242" i="5"/>
  <c r="AQ242" i="5"/>
  <c r="F242" i="5"/>
  <c r="E242" i="5"/>
  <c r="C242" i="5"/>
  <c r="AJ242" i="5"/>
  <c r="AF242" i="5"/>
  <c r="O242" i="5"/>
  <c r="N242" i="5"/>
  <c r="M242" i="5"/>
  <c r="D242" i="5"/>
  <c r="A242" i="5"/>
  <c r="B242" i="5"/>
  <c r="G259" i="5"/>
  <c r="AQ259" i="5"/>
  <c r="F259" i="5"/>
  <c r="E259" i="5"/>
  <c r="D259" i="5"/>
  <c r="C259" i="5"/>
  <c r="B259" i="5"/>
  <c r="A259" i="5"/>
  <c r="AJ259" i="5"/>
  <c r="O259" i="5"/>
  <c r="I259" i="5"/>
  <c r="H259" i="5"/>
  <c r="AF259" i="5"/>
  <c r="M259" i="5"/>
  <c r="J259" i="5"/>
  <c r="K259" i="5"/>
  <c r="N259" i="5"/>
  <c r="L259" i="5"/>
  <c r="K305" i="5"/>
  <c r="J305" i="5"/>
  <c r="I305" i="5"/>
  <c r="G305" i="5"/>
  <c r="AQ305" i="5"/>
  <c r="F305" i="5"/>
  <c r="E305" i="5"/>
  <c r="D305" i="5"/>
  <c r="C305" i="5"/>
  <c r="B305" i="5"/>
  <c r="N305" i="5"/>
  <c r="M305" i="5"/>
  <c r="L305" i="5"/>
  <c r="H305" i="5"/>
  <c r="A305" i="5"/>
  <c r="AJ305" i="5"/>
  <c r="AF305" i="5"/>
  <c r="O305" i="5"/>
  <c r="I298" i="5"/>
  <c r="H298" i="5"/>
  <c r="G298" i="5"/>
  <c r="E298" i="5"/>
  <c r="D298" i="5"/>
  <c r="C298" i="5"/>
  <c r="B298" i="5"/>
  <c r="A298" i="5"/>
  <c r="AJ298" i="5"/>
  <c r="AF298" i="5"/>
  <c r="O298" i="5"/>
  <c r="N298" i="5"/>
  <c r="AQ298" i="5"/>
  <c r="M298" i="5"/>
  <c r="L298" i="5"/>
  <c r="J298" i="5"/>
  <c r="K298" i="5"/>
  <c r="F298" i="5"/>
  <c r="M264" i="5"/>
  <c r="L264" i="5"/>
  <c r="K264" i="5"/>
  <c r="J264" i="5"/>
  <c r="I264" i="5"/>
  <c r="H264" i="5"/>
  <c r="G264" i="5"/>
  <c r="AQ264" i="5"/>
  <c r="F264" i="5"/>
  <c r="E264" i="5"/>
  <c r="O264" i="5"/>
  <c r="N264" i="5"/>
  <c r="D264" i="5"/>
  <c r="C264" i="5"/>
  <c r="B264" i="5"/>
  <c r="A264" i="5"/>
  <c r="AJ264" i="5"/>
  <c r="AF264" i="5"/>
  <c r="A294" i="5"/>
  <c r="AJ294" i="5"/>
  <c r="O294" i="5"/>
  <c r="M294" i="5"/>
  <c r="L294" i="5"/>
  <c r="K294" i="5"/>
  <c r="J294" i="5"/>
  <c r="I294" i="5"/>
  <c r="H294" i="5"/>
  <c r="G294" i="5"/>
  <c r="AQ294" i="5"/>
  <c r="F294" i="5"/>
  <c r="E294" i="5"/>
  <c r="D294" i="5"/>
  <c r="C294" i="5"/>
  <c r="B294" i="5"/>
  <c r="AF294" i="5"/>
  <c r="N294" i="5"/>
  <c r="M304" i="5"/>
  <c r="L304" i="5"/>
  <c r="K304" i="5"/>
  <c r="I304" i="5"/>
  <c r="H304" i="5"/>
  <c r="G304" i="5"/>
  <c r="AQ304" i="5"/>
  <c r="F304" i="5"/>
  <c r="E304" i="5"/>
  <c r="D304" i="5"/>
  <c r="AF304" i="5"/>
  <c r="O304" i="5"/>
  <c r="N304" i="5"/>
  <c r="J304" i="5"/>
  <c r="C304" i="5"/>
  <c r="B304" i="5"/>
  <c r="A304" i="5"/>
  <c r="AJ304" i="5"/>
  <c r="A320" i="5"/>
  <c r="AQ320" i="5"/>
  <c r="AF320" i="5"/>
  <c r="M320" i="5"/>
  <c r="L320" i="5"/>
  <c r="K320" i="5"/>
  <c r="J320" i="5"/>
  <c r="O320" i="5"/>
  <c r="I320" i="5"/>
  <c r="H320" i="5"/>
  <c r="G320" i="5"/>
  <c r="F320" i="5"/>
  <c r="E320" i="5"/>
  <c r="AJ320" i="5"/>
  <c r="D320" i="5"/>
  <c r="N320" i="5"/>
  <c r="C320" i="5"/>
  <c r="B320" i="5"/>
  <c r="G371" i="5"/>
  <c r="AQ371" i="5"/>
  <c r="F371" i="5"/>
  <c r="E371" i="5"/>
  <c r="D371" i="5"/>
  <c r="C371" i="5"/>
  <c r="B371" i="5"/>
  <c r="A371" i="5"/>
  <c r="L371" i="5"/>
  <c r="M371" i="5"/>
  <c r="K371" i="5"/>
  <c r="J371" i="5"/>
  <c r="I371" i="5"/>
  <c r="H371" i="5"/>
  <c r="AJ371" i="5"/>
  <c r="AF371" i="5"/>
  <c r="O371" i="5"/>
  <c r="N371" i="5"/>
  <c r="AF355" i="5"/>
  <c r="N355" i="5"/>
  <c r="M355" i="5"/>
  <c r="L355" i="5"/>
  <c r="K355" i="5"/>
  <c r="J355" i="5"/>
  <c r="I355" i="5"/>
  <c r="H355" i="5"/>
  <c r="G355" i="5"/>
  <c r="B355" i="5"/>
  <c r="O355" i="5"/>
  <c r="F355" i="5"/>
  <c r="E355" i="5"/>
  <c r="AQ355" i="5"/>
  <c r="D355" i="5"/>
  <c r="C355" i="5"/>
  <c r="A355" i="5"/>
  <c r="AJ355" i="5"/>
  <c r="I397" i="5"/>
  <c r="H397" i="5"/>
  <c r="G397" i="5"/>
  <c r="AQ397" i="5"/>
  <c r="F397" i="5"/>
  <c r="E397" i="5"/>
  <c r="D397" i="5"/>
  <c r="C397" i="5"/>
  <c r="B397" i="5"/>
  <c r="A397" i="5"/>
  <c r="AJ397" i="5"/>
  <c r="O397" i="5"/>
  <c r="AF397" i="5"/>
  <c r="N397" i="5"/>
  <c r="M397" i="5"/>
  <c r="K397" i="5"/>
  <c r="L397" i="5"/>
  <c r="J397" i="5"/>
  <c r="H406" i="5"/>
  <c r="J406" i="5"/>
  <c r="I406" i="5"/>
  <c r="E406" i="5"/>
  <c r="D406" i="5"/>
  <c r="AQ406" i="5"/>
  <c r="C406" i="5"/>
  <c r="F406" i="5"/>
  <c r="B406" i="5"/>
  <c r="A406" i="5"/>
  <c r="AJ406" i="5"/>
  <c r="AF406" i="5"/>
  <c r="O406" i="5"/>
  <c r="N406" i="5"/>
  <c r="M406" i="5"/>
  <c r="L406" i="5"/>
  <c r="K406" i="5"/>
  <c r="G406" i="5"/>
  <c r="A393" i="5"/>
  <c r="AJ393" i="5"/>
  <c r="O393" i="5"/>
  <c r="AF393" i="5"/>
  <c r="N393" i="5"/>
  <c r="M393" i="5"/>
  <c r="L393" i="5"/>
  <c r="K393" i="5"/>
  <c r="J393" i="5"/>
  <c r="I393" i="5"/>
  <c r="H393" i="5"/>
  <c r="AQ393" i="5"/>
  <c r="G393" i="5"/>
  <c r="F393" i="5"/>
  <c r="E393" i="5"/>
  <c r="D393" i="5"/>
  <c r="B393" i="5"/>
  <c r="C393" i="5"/>
  <c r="J476" i="5"/>
  <c r="I476" i="5"/>
  <c r="H476" i="5"/>
  <c r="G476" i="5"/>
  <c r="F476" i="5"/>
  <c r="M476" i="5"/>
  <c r="L476" i="5"/>
  <c r="K476" i="5"/>
  <c r="E476" i="5"/>
  <c r="D476" i="5"/>
  <c r="C476" i="5"/>
  <c r="B476" i="5"/>
  <c r="A476" i="5"/>
  <c r="AQ476" i="5"/>
  <c r="AJ476" i="5"/>
  <c r="N476" i="5"/>
  <c r="AF476" i="5"/>
  <c r="O476" i="5"/>
  <c r="G451" i="5"/>
  <c r="F451" i="5"/>
  <c r="E451" i="5"/>
  <c r="D451" i="5"/>
  <c r="C451" i="5"/>
  <c r="AQ451" i="5"/>
  <c r="B451" i="5"/>
  <c r="AJ451" i="5"/>
  <c r="A451" i="5"/>
  <c r="AF451" i="5"/>
  <c r="O451" i="5"/>
  <c r="N451" i="5"/>
  <c r="K451" i="5"/>
  <c r="J451" i="5"/>
  <c r="I451" i="5"/>
  <c r="H451" i="5"/>
  <c r="M451" i="5"/>
  <c r="L451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Q523" i="5"/>
  <c r="AJ523" i="5"/>
  <c r="AF523" i="5"/>
  <c r="O523" i="5"/>
  <c r="N523" i="5"/>
  <c r="M523" i="5"/>
  <c r="M526" i="5"/>
  <c r="L526" i="5"/>
  <c r="K526" i="5"/>
  <c r="J526" i="5"/>
  <c r="I526" i="5"/>
  <c r="H526" i="5"/>
  <c r="G526" i="5"/>
  <c r="B526" i="5"/>
  <c r="A526" i="5"/>
  <c r="AQ526" i="5"/>
  <c r="AF526" i="5"/>
  <c r="AJ526" i="5"/>
  <c r="O526" i="5"/>
  <c r="N526" i="5"/>
  <c r="F526" i="5"/>
  <c r="E526" i="5"/>
  <c r="D526" i="5"/>
  <c r="C526" i="5"/>
  <c r="N513" i="5"/>
  <c r="M513" i="5"/>
  <c r="L513" i="5"/>
  <c r="K513" i="5"/>
  <c r="J513" i="5"/>
  <c r="I513" i="5"/>
  <c r="H513" i="5"/>
  <c r="AJ513" i="5"/>
  <c r="AF513" i="5"/>
  <c r="O513" i="5"/>
  <c r="G513" i="5"/>
  <c r="E513" i="5"/>
  <c r="AQ513" i="5"/>
  <c r="F513" i="5"/>
  <c r="D513" i="5"/>
  <c r="C513" i="5"/>
  <c r="B513" i="5"/>
  <c r="A513" i="5"/>
  <c r="O628" i="5"/>
  <c r="N628" i="5"/>
  <c r="M628" i="5"/>
  <c r="L628" i="5"/>
  <c r="K628" i="5"/>
  <c r="J628" i="5"/>
  <c r="I628" i="5"/>
  <c r="H628" i="5"/>
  <c r="G628" i="5"/>
  <c r="F628" i="5"/>
  <c r="E628" i="5"/>
  <c r="A628" i="5"/>
  <c r="AQ628" i="5"/>
  <c r="AJ628" i="5"/>
  <c r="AF628" i="5"/>
  <c r="B628" i="5"/>
  <c r="D628" i="5"/>
  <c r="C628" i="5"/>
  <c r="N531" i="5"/>
  <c r="D531" i="5"/>
  <c r="AQ531" i="5"/>
  <c r="C531" i="5"/>
  <c r="AJ531" i="5"/>
  <c r="B531" i="5"/>
  <c r="AF531" i="5"/>
  <c r="A531" i="5"/>
  <c r="O531" i="5"/>
  <c r="L531" i="5"/>
  <c r="K531" i="5"/>
  <c r="J531" i="5"/>
  <c r="I531" i="5"/>
  <c r="M531" i="5"/>
  <c r="H531" i="5"/>
  <c r="G531" i="5"/>
  <c r="E531" i="5"/>
  <c r="F531" i="5"/>
  <c r="M570" i="5"/>
  <c r="L570" i="5"/>
  <c r="J570" i="5"/>
  <c r="I570" i="5"/>
  <c r="H570" i="5"/>
  <c r="G570" i="5"/>
  <c r="F570" i="5"/>
  <c r="E570" i="5"/>
  <c r="D570" i="5"/>
  <c r="C570" i="5"/>
  <c r="AQ570" i="5"/>
  <c r="B570" i="5"/>
  <c r="AJ570" i="5"/>
  <c r="A570" i="5"/>
  <c r="AF570" i="5"/>
  <c r="O570" i="5"/>
  <c r="N570" i="5"/>
  <c r="K570" i="5"/>
  <c r="F565" i="5"/>
  <c r="E565" i="5"/>
  <c r="G565" i="5"/>
  <c r="D565" i="5"/>
  <c r="C565" i="5"/>
  <c r="AQ565" i="5"/>
  <c r="B565" i="5"/>
  <c r="AJ565" i="5"/>
  <c r="A565" i="5"/>
  <c r="AF565" i="5"/>
  <c r="O565" i="5"/>
  <c r="N565" i="5"/>
  <c r="M565" i="5"/>
  <c r="K565" i="5"/>
  <c r="L565" i="5"/>
  <c r="J565" i="5"/>
  <c r="I565" i="5"/>
  <c r="H565" i="5"/>
  <c r="J693" i="5"/>
  <c r="H693" i="5"/>
  <c r="AF693" i="5"/>
  <c r="B693" i="5"/>
  <c r="O693" i="5"/>
  <c r="N693" i="5"/>
  <c r="M693" i="5"/>
  <c r="L693" i="5"/>
  <c r="K693" i="5"/>
  <c r="I693" i="5"/>
  <c r="F693" i="5"/>
  <c r="E693" i="5"/>
  <c r="D693" i="5"/>
  <c r="A693" i="5"/>
  <c r="AQ693" i="5"/>
  <c r="AJ693" i="5"/>
  <c r="G693" i="5"/>
  <c r="C693" i="5"/>
  <c r="G684" i="5"/>
  <c r="E684" i="5"/>
  <c r="O684" i="5"/>
  <c r="I684" i="5"/>
  <c r="H684" i="5"/>
  <c r="F684" i="5"/>
  <c r="D684" i="5"/>
  <c r="C684" i="5"/>
  <c r="B684" i="5"/>
  <c r="AQ684" i="5"/>
  <c r="A684" i="5"/>
  <c r="AF684" i="5"/>
  <c r="M684" i="5"/>
  <c r="K684" i="5"/>
  <c r="J684" i="5"/>
  <c r="AJ684" i="5"/>
  <c r="N684" i="5"/>
  <c r="L684" i="5"/>
  <c r="AJ598" i="5"/>
  <c r="C598" i="5"/>
  <c r="AF598" i="5"/>
  <c r="B598" i="5"/>
  <c r="A598" i="5"/>
  <c r="M598" i="5"/>
  <c r="I598" i="5"/>
  <c r="K598" i="5"/>
  <c r="J598" i="5"/>
  <c r="H598" i="5"/>
  <c r="G598" i="5"/>
  <c r="F598" i="5"/>
  <c r="E598" i="5"/>
  <c r="D598" i="5"/>
  <c r="AQ598" i="5"/>
  <c r="L598" i="5"/>
  <c r="O598" i="5"/>
  <c r="N598" i="5"/>
  <c r="AJ634" i="5"/>
  <c r="C634" i="5"/>
  <c r="AF634" i="5"/>
  <c r="B634" i="5"/>
  <c r="M634" i="5"/>
  <c r="G634" i="5"/>
  <c r="F634" i="5"/>
  <c r="E634" i="5"/>
  <c r="D634" i="5"/>
  <c r="A634" i="5"/>
  <c r="AQ634" i="5"/>
  <c r="O634" i="5"/>
  <c r="N634" i="5"/>
  <c r="L634" i="5"/>
  <c r="K634" i="5"/>
  <c r="J634" i="5"/>
  <c r="I634" i="5"/>
  <c r="H634" i="5"/>
  <c r="AF653" i="5"/>
  <c r="B653" i="5"/>
  <c r="J653" i="5"/>
  <c r="G653" i="5"/>
  <c r="F653" i="5"/>
  <c r="E653" i="5"/>
  <c r="D653" i="5"/>
  <c r="AQ653" i="5"/>
  <c r="AJ653" i="5"/>
  <c r="O653" i="5"/>
  <c r="N653" i="5"/>
  <c r="M653" i="5"/>
  <c r="L653" i="5"/>
  <c r="K653" i="5"/>
  <c r="I653" i="5"/>
  <c r="H653" i="5"/>
  <c r="C653" i="5"/>
  <c r="A653" i="5"/>
  <c r="G668" i="5"/>
  <c r="E668" i="5"/>
  <c r="O668" i="5"/>
  <c r="J668" i="5"/>
  <c r="I668" i="5"/>
  <c r="H668" i="5"/>
  <c r="F668" i="5"/>
  <c r="D668" i="5"/>
  <c r="C668" i="5"/>
  <c r="AJ668" i="5"/>
  <c r="L668" i="5"/>
  <c r="K668" i="5"/>
  <c r="B668" i="5"/>
  <c r="A668" i="5"/>
  <c r="AQ668" i="5"/>
  <c r="AF668" i="5"/>
  <c r="N668" i="5"/>
  <c r="M668" i="5"/>
  <c r="AF631" i="5"/>
  <c r="B631" i="5"/>
  <c r="A631" i="5"/>
  <c r="O631" i="5"/>
  <c r="L631" i="5"/>
  <c r="F631" i="5"/>
  <c r="E631" i="5"/>
  <c r="D631" i="5"/>
  <c r="C631" i="5"/>
  <c r="AQ631" i="5"/>
  <c r="AJ631" i="5"/>
  <c r="N631" i="5"/>
  <c r="M631" i="5"/>
  <c r="K631" i="5"/>
  <c r="G631" i="5"/>
  <c r="J631" i="5"/>
  <c r="H631" i="5"/>
  <c r="I631" i="5"/>
  <c r="E640" i="5"/>
  <c r="D640" i="5"/>
  <c r="AJ640" i="5"/>
  <c r="B640" i="5"/>
  <c r="O640" i="5"/>
  <c r="I640" i="5"/>
  <c r="H640" i="5"/>
  <c r="G640" i="5"/>
  <c r="F640" i="5"/>
  <c r="C640" i="5"/>
  <c r="A640" i="5"/>
  <c r="AQ640" i="5"/>
  <c r="AF640" i="5"/>
  <c r="N640" i="5"/>
  <c r="M640" i="5"/>
  <c r="L640" i="5"/>
  <c r="K640" i="5"/>
  <c r="J640" i="5"/>
  <c r="I96" i="5"/>
  <c r="H96" i="5"/>
  <c r="G96" i="5"/>
  <c r="AQ96" i="5"/>
  <c r="F96" i="5"/>
  <c r="E96" i="5"/>
  <c r="D96" i="5"/>
  <c r="AJ96" i="5"/>
  <c r="O96" i="5"/>
  <c r="N96" i="5"/>
  <c r="M96" i="5"/>
  <c r="L96" i="5"/>
  <c r="K96" i="5"/>
  <c r="J96" i="5"/>
  <c r="C96" i="5"/>
  <c r="B96" i="5"/>
  <c r="AF96" i="5"/>
  <c r="A96" i="5"/>
  <c r="J243" i="5"/>
  <c r="I243" i="5"/>
  <c r="H243" i="5"/>
  <c r="G243" i="5"/>
  <c r="AQ243" i="5"/>
  <c r="F243" i="5"/>
  <c r="E243" i="5"/>
  <c r="D243" i="5"/>
  <c r="C243" i="5"/>
  <c r="A243" i="5"/>
  <c r="AF243" i="5"/>
  <c r="O243" i="5"/>
  <c r="N243" i="5"/>
  <c r="M243" i="5"/>
  <c r="L243" i="5"/>
  <c r="K243" i="5"/>
  <c r="B243" i="5"/>
  <c r="AJ243" i="5"/>
  <c r="AJ295" i="5"/>
  <c r="O295" i="5"/>
  <c r="AF295" i="5"/>
  <c r="N295" i="5"/>
  <c r="M295" i="5"/>
  <c r="K295" i="5"/>
  <c r="J295" i="5"/>
  <c r="I295" i="5"/>
  <c r="H295" i="5"/>
  <c r="G295" i="5"/>
  <c r="L295" i="5"/>
  <c r="AQ295" i="5"/>
  <c r="F295" i="5"/>
  <c r="E295" i="5"/>
  <c r="D295" i="5"/>
  <c r="C295" i="5"/>
  <c r="B295" i="5"/>
  <c r="A295" i="5"/>
  <c r="AJ423" i="5"/>
  <c r="C423" i="5"/>
  <c r="K423" i="5"/>
  <c r="J423" i="5"/>
  <c r="G423" i="5"/>
  <c r="F423" i="5"/>
  <c r="E423" i="5"/>
  <c r="AQ423" i="5"/>
  <c r="AF423" i="5"/>
  <c r="O423" i="5"/>
  <c r="N423" i="5"/>
  <c r="M423" i="5"/>
  <c r="L423" i="5"/>
  <c r="I423" i="5"/>
  <c r="H423" i="5"/>
  <c r="D423" i="5"/>
  <c r="B423" i="5"/>
  <c r="A423" i="5"/>
  <c r="M596" i="5"/>
  <c r="L596" i="5"/>
  <c r="K596" i="5"/>
  <c r="J596" i="5"/>
  <c r="G596" i="5"/>
  <c r="E596" i="5"/>
  <c r="D596" i="5"/>
  <c r="C596" i="5"/>
  <c r="B596" i="5"/>
  <c r="A596" i="5"/>
  <c r="AQ596" i="5"/>
  <c r="AJ596" i="5"/>
  <c r="AF596" i="5"/>
  <c r="N596" i="5"/>
  <c r="O596" i="5"/>
  <c r="I596" i="5"/>
  <c r="H596" i="5"/>
  <c r="F596" i="5"/>
  <c r="K111" i="5"/>
  <c r="J111" i="5"/>
  <c r="I111" i="5"/>
  <c r="H111" i="5"/>
  <c r="G111" i="5"/>
  <c r="AQ111" i="5"/>
  <c r="F111" i="5"/>
  <c r="E111" i="5"/>
  <c r="D111" i="5"/>
  <c r="C111" i="5"/>
  <c r="B111" i="5"/>
  <c r="A111" i="5"/>
  <c r="N111" i="5"/>
  <c r="M111" i="5"/>
  <c r="L111" i="5"/>
  <c r="AJ111" i="5"/>
  <c r="AF111" i="5"/>
  <c r="O111" i="5"/>
  <c r="D238" i="5"/>
  <c r="C238" i="5"/>
  <c r="B238" i="5"/>
  <c r="A238" i="5"/>
  <c r="AJ238" i="5"/>
  <c r="O238" i="5"/>
  <c r="AF238" i="5"/>
  <c r="N238" i="5"/>
  <c r="M238" i="5"/>
  <c r="L238" i="5"/>
  <c r="K238" i="5"/>
  <c r="J238" i="5"/>
  <c r="H238" i="5"/>
  <c r="E238" i="5"/>
  <c r="AQ238" i="5"/>
  <c r="I238" i="5"/>
  <c r="G238" i="5"/>
  <c r="F238" i="5"/>
  <c r="AF376" i="5"/>
  <c r="N376" i="5"/>
  <c r="M376" i="5"/>
  <c r="L376" i="5"/>
  <c r="K376" i="5"/>
  <c r="J376" i="5"/>
  <c r="I376" i="5"/>
  <c r="H376" i="5"/>
  <c r="G376" i="5"/>
  <c r="D376" i="5"/>
  <c r="B376" i="5"/>
  <c r="O376" i="5"/>
  <c r="F376" i="5"/>
  <c r="E376" i="5"/>
  <c r="C376" i="5"/>
  <c r="A376" i="5"/>
  <c r="AQ376" i="5"/>
  <c r="AJ376" i="5"/>
  <c r="AJ512" i="5"/>
  <c r="C512" i="5"/>
  <c r="AF512" i="5"/>
  <c r="B512" i="5"/>
  <c r="A512" i="5"/>
  <c r="O512" i="5"/>
  <c r="N512" i="5"/>
  <c r="M512" i="5"/>
  <c r="J512" i="5"/>
  <c r="I512" i="5"/>
  <c r="H512" i="5"/>
  <c r="G512" i="5"/>
  <c r="F512" i="5"/>
  <c r="E512" i="5"/>
  <c r="AQ512" i="5"/>
  <c r="K512" i="5"/>
  <c r="L512" i="5"/>
  <c r="D512" i="5"/>
  <c r="H645" i="5"/>
  <c r="AJ645" i="5"/>
  <c r="B645" i="5"/>
  <c r="AF645" i="5"/>
  <c r="A645" i="5"/>
  <c r="M645" i="5"/>
  <c r="O645" i="5"/>
  <c r="N645" i="5"/>
  <c r="L645" i="5"/>
  <c r="K645" i="5"/>
  <c r="J645" i="5"/>
  <c r="I645" i="5"/>
  <c r="G645" i="5"/>
  <c r="F645" i="5"/>
  <c r="E645" i="5"/>
  <c r="D645" i="5"/>
  <c r="C645" i="5"/>
  <c r="AQ645" i="5"/>
  <c r="A116" i="5"/>
  <c r="AJ116" i="5"/>
  <c r="O116" i="5"/>
  <c r="AF116" i="5"/>
  <c r="N116" i="5"/>
  <c r="M116" i="5"/>
  <c r="L116" i="5"/>
  <c r="K116" i="5"/>
  <c r="J116" i="5"/>
  <c r="I116" i="5"/>
  <c r="H116" i="5"/>
  <c r="G116" i="5"/>
  <c r="AQ116" i="5"/>
  <c r="F116" i="5"/>
  <c r="E116" i="5"/>
  <c r="D116" i="5"/>
  <c r="C116" i="5"/>
  <c r="B116" i="5"/>
  <c r="M225" i="5"/>
  <c r="L225" i="5"/>
  <c r="I225" i="5"/>
  <c r="D225" i="5"/>
  <c r="C225" i="5"/>
  <c r="B225" i="5"/>
  <c r="A225" i="5"/>
  <c r="AQ225" i="5"/>
  <c r="O225" i="5"/>
  <c r="N225" i="5"/>
  <c r="K225" i="5"/>
  <c r="AF225" i="5"/>
  <c r="H225" i="5"/>
  <c r="AJ225" i="5"/>
  <c r="J225" i="5"/>
  <c r="G225" i="5"/>
  <c r="F225" i="5"/>
  <c r="E225" i="5"/>
  <c r="F448" i="5"/>
  <c r="O448" i="5"/>
  <c r="N448" i="5"/>
  <c r="M448" i="5"/>
  <c r="L448" i="5"/>
  <c r="K448" i="5"/>
  <c r="J448" i="5"/>
  <c r="I448" i="5"/>
  <c r="H448" i="5"/>
  <c r="G448" i="5"/>
  <c r="AQ448" i="5"/>
  <c r="AJ448" i="5"/>
  <c r="AF448" i="5"/>
  <c r="E448" i="5"/>
  <c r="D448" i="5"/>
  <c r="B448" i="5"/>
  <c r="C448" i="5"/>
  <c r="A448" i="5"/>
  <c r="O638" i="5"/>
  <c r="N638" i="5"/>
  <c r="L638" i="5"/>
  <c r="I638" i="5"/>
  <c r="G638" i="5"/>
  <c r="F638" i="5"/>
  <c r="E638" i="5"/>
  <c r="D638" i="5"/>
  <c r="C638" i="5"/>
  <c r="B638" i="5"/>
  <c r="A638" i="5"/>
  <c r="AQ638" i="5"/>
  <c r="AJ638" i="5"/>
  <c r="AF638" i="5"/>
  <c r="M638" i="5"/>
  <c r="K638" i="5"/>
  <c r="J638" i="5"/>
  <c r="H638" i="5"/>
  <c r="D46" i="5"/>
  <c r="C46" i="5"/>
  <c r="B46" i="5"/>
  <c r="A46" i="5"/>
  <c r="AJ46" i="5"/>
  <c r="O46" i="5"/>
  <c r="AF46" i="5"/>
  <c r="N46" i="5"/>
  <c r="M46" i="5"/>
  <c r="L46" i="5"/>
  <c r="K46" i="5"/>
  <c r="J46" i="5"/>
  <c r="I46" i="5"/>
  <c r="H46" i="5"/>
  <c r="F46" i="5"/>
  <c r="E46" i="5"/>
  <c r="AQ46" i="5"/>
  <c r="G46" i="5"/>
  <c r="M148" i="5"/>
  <c r="L148" i="5"/>
  <c r="K148" i="5"/>
  <c r="J148" i="5"/>
  <c r="I148" i="5"/>
  <c r="H148" i="5"/>
  <c r="G148" i="5"/>
  <c r="AQ148" i="5"/>
  <c r="F148" i="5"/>
  <c r="E148" i="5"/>
  <c r="D148" i="5"/>
  <c r="C148" i="5"/>
  <c r="O148" i="5"/>
  <c r="N148" i="5"/>
  <c r="B148" i="5"/>
  <c r="A148" i="5"/>
  <c r="AJ148" i="5"/>
  <c r="AF148" i="5"/>
  <c r="AJ354" i="5"/>
  <c r="O354" i="5"/>
  <c r="AF354" i="5"/>
  <c r="N354" i="5"/>
  <c r="M354" i="5"/>
  <c r="L354" i="5"/>
  <c r="K354" i="5"/>
  <c r="J354" i="5"/>
  <c r="I354" i="5"/>
  <c r="D354" i="5"/>
  <c r="H354" i="5"/>
  <c r="G354" i="5"/>
  <c r="AQ354" i="5"/>
  <c r="F354" i="5"/>
  <c r="E354" i="5"/>
  <c r="C354" i="5"/>
  <c r="B354" i="5"/>
  <c r="A354" i="5"/>
  <c r="O576" i="5"/>
  <c r="N576" i="5"/>
  <c r="L576" i="5"/>
  <c r="K576" i="5"/>
  <c r="J576" i="5"/>
  <c r="I576" i="5"/>
  <c r="H576" i="5"/>
  <c r="G576" i="5"/>
  <c r="F576" i="5"/>
  <c r="E576" i="5"/>
  <c r="D576" i="5"/>
  <c r="C576" i="5"/>
  <c r="AQ576" i="5"/>
  <c r="B576" i="5"/>
  <c r="AF576" i="5"/>
  <c r="AJ576" i="5"/>
  <c r="M576" i="5"/>
  <c r="A576" i="5"/>
  <c r="AQ585" i="5"/>
  <c r="D585" i="5"/>
  <c r="AJ585" i="5"/>
  <c r="AF585" i="5"/>
  <c r="B585" i="5"/>
  <c r="A585" i="5"/>
  <c r="O585" i="5"/>
  <c r="N585" i="5"/>
  <c r="M585" i="5"/>
  <c r="L585" i="5"/>
  <c r="K585" i="5"/>
  <c r="J585" i="5"/>
  <c r="I585" i="5"/>
  <c r="H585" i="5"/>
  <c r="G585" i="5"/>
  <c r="F585" i="5"/>
  <c r="E585" i="5"/>
  <c r="C585" i="5"/>
  <c r="I142" i="5"/>
  <c r="H142" i="5"/>
  <c r="G142" i="5"/>
  <c r="AQ142" i="5"/>
  <c r="F142" i="5"/>
  <c r="E142" i="5"/>
  <c r="D142" i="5"/>
  <c r="C142" i="5"/>
  <c r="B142" i="5"/>
  <c r="AJ142" i="5"/>
  <c r="O142" i="5"/>
  <c r="AF142" i="5"/>
  <c r="N142" i="5"/>
  <c r="M142" i="5"/>
  <c r="L142" i="5"/>
  <c r="K142" i="5"/>
  <c r="J142" i="5"/>
  <c r="A142" i="5"/>
  <c r="D336" i="5"/>
  <c r="C336" i="5"/>
  <c r="B336" i="5"/>
  <c r="A336" i="5"/>
  <c r="G336" i="5"/>
  <c r="F336" i="5"/>
  <c r="E336" i="5"/>
  <c r="O336" i="5"/>
  <c r="N336" i="5"/>
  <c r="M336" i="5"/>
  <c r="AF336" i="5"/>
  <c r="L336" i="5"/>
  <c r="J336" i="5"/>
  <c r="I336" i="5"/>
  <c r="H336" i="5"/>
  <c r="AJ336" i="5"/>
  <c r="K336" i="5"/>
  <c r="AQ336" i="5"/>
  <c r="N487" i="5"/>
  <c r="M487" i="5"/>
  <c r="O487" i="5"/>
  <c r="L487" i="5"/>
  <c r="K487" i="5"/>
  <c r="C487" i="5"/>
  <c r="B487" i="5"/>
  <c r="A487" i="5"/>
  <c r="AQ487" i="5"/>
  <c r="AJ487" i="5"/>
  <c r="AF487" i="5"/>
  <c r="J487" i="5"/>
  <c r="I487" i="5"/>
  <c r="G487" i="5"/>
  <c r="H487" i="5"/>
  <c r="F487" i="5"/>
  <c r="D487" i="5"/>
  <c r="E487" i="5"/>
  <c r="AF17" i="5"/>
  <c r="N17" i="5"/>
  <c r="M17" i="5"/>
  <c r="L17" i="5"/>
  <c r="K17" i="5"/>
  <c r="J17" i="5"/>
  <c r="I17" i="5"/>
  <c r="H17" i="5"/>
  <c r="G17" i="5"/>
  <c r="E17" i="5"/>
  <c r="B17" i="5"/>
  <c r="A17" i="5"/>
  <c r="AJ17" i="5"/>
  <c r="O17" i="5"/>
  <c r="D17" i="5"/>
  <c r="AQ17" i="5"/>
  <c r="F17" i="5"/>
  <c r="C17" i="5"/>
  <c r="A138" i="5"/>
  <c r="AJ138" i="5"/>
  <c r="O138" i="5"/>
  <c r="AF138" i="5"/>
  <c r="N138" i="5"/>
  <c r="M138" i="5"/>
  <c r="L138" i="5"/>
  <c r="K138" i="5"/>
  <c r="AQ138" i="5"/>
  <c r="J138" i="5"/>
  <c r="I138" i="5"/>
  <c r="H138" i="5"/>
  <c r="G138" i="5"/>
  <c r="F138" i="5"/>
  <c r="E138" i="5"/>
  <c r="D138" i="5"/>
  <c r="C138" i="5"/>
  <c r="B138" i="5"/>
  <c r="K281" i="5"/>
  <c r="I281" i="5"/>
  <c r="G281" i="5"/>
  <c r="E281" i="5"/>
  <c r="D281" i="5"/>
  <c r="L281" i="5"/>
  <c r="J281" i="5"/>
  <c r="AJ281" i="5"/>
  <c r="H281" i="5"/>
  <c r="AF281" i="5"/>
  <c r="F281" i="5"/>
  <c r="C281" i="5"/>
  <c r="B281" i="5"/>
  <c r="A281" i="5"/>
  <c r="O281" i="5"/>
  <c r="N281" i="5"/>
  <c r="M281" i="5"/>
  <c r="AQ281" i="5"/>
  <c r="L466" i="5"/>
  <c r="K466" i="5"/>
  <c r="J466" i="5"/>
  <c r="I466" i="5"/>
  <c r="H466" i="5"/>
  <c r="N466" i="5"/>
  <c r="M466" i="5"/>
  <c r="G466" i="5"/>
  <c r="F466" i="5"/>
  <c r="E466" i="5"/>
  <c r="D466" i="5"/>
  <c r="C466" i="5"/>
  <c r="B466" i="5"/>
  <c r="A466" i="5"/>
  <c r="AF466" i="5"/>
  <c r="AQ466" i="5"/>
  <c r="AJ466" i="5"/>
  <c r="O466" i="5"/>
  <c r="A402" i="5"/>
  <c r="L402" i="5"/>
  <c r="J402" i="5"/>
  <c r="I402" i="5"/>
  <c r="H402" i="5"/>
  <c r="G402" i="5"/>
  <c r="F402" i="5"/>
  <c r="E402" i="5"/>
  <c r="D402" i="5"/>
  <c r="C402" i="5"/>
  <c r="AQ402" i="5"/>
  <c r="B402" i="5"/>
  <c r="N402" i="5"/>
  <c r="M402" i="5"/>
  <c r="K402" i="5"/>
  <c r="AJ402" i="5"/>
  <c r="AF402" i="5"/>
  <c r="O402" i="5"/>
  <c r="M558" i="5"/>
  <c r="L558" i="5"/>
  <c r="K558" i="5"/>
  <c r="J558" i="5"/>
  <c r="I558" i="5"/>
  <c r="H558" i="5"/>
  <c r="G558" i="5"/>
  <c r="AQ558" i="5"/>
  <c r="D558" i="5"/>
  <c r="AJ558" i="5"/>
  <c r="C558" i="5"/>
  <c r="E558" i="5"/>
  <c r="B558" i="5"/>
  <c r="A558" i="5"/>
  <c r="AF558" i="5"/>
  <c r="O558" i="5"/>
  <c r="N558" i="5"/>
  <c r="F558" i="5"/>
  <c r="A566" i="5"/>
  <c r="D566" i="5"/>
  <c r="C566" i="5"/>
  <c r="AQ566" i="5"/>
  <c r="B566" i="5"/>
  <c r="AJ566" i="5"/>
  <c r="AF566" i="5"/>
  <c r="O566" i="5"/>
  <c r="N566" i="5"/>
  <c r="M566" i="5"/>
  <c r="L566" i="5"/>
  <c r="K566" i="5"/>
  <c r="J566" i="5"/>
  <c r="H566" i="5"/>
  <c r="I566" i="5"/>
  <c r="G566" i="5"/>
  <c r="F566" i="5"/>
  <c r="E566" i="5"/>
  <c r="B39" i="5"/>
  <c r="A39" i="5"/>
  <c r="AJ39" i="5"/>
  <c r="O39" i="5"/>
  <c r="AF39" i="5"/>
  <c r="N39" i="5"/>
  <c r="M39" i="5"/>
  <c r="L39" i="5"/>
  <c r="K39" i="5"/>
  <c r="J39" i="5"/>
  <c r="I39" i="5"/>
  <c r="H39" i="5"/>
  <c r="G39" i="5"/>
  <c r="AQ39" i="5"/>
  <c r="F39" i="5"/>
  <c r="E39" i="5"/>
  <c r="D39" i="5"/>
  <c r="C39" i="5"/>
  <c r="I120" i="5"/>
  <c r="H120" i="5"/>
  <c r="G120" i="5"/>
  <c r="AQ120" i="5"/>
  <c r="F120" i="5"/>
  <c r="E120" i="5"/>
  <c r="D120" i="5"/>
  <c r="C120" i="5"/>
  <c r="B120" i="5"/>
  <c r="A120" i="5"/>
  <c r="AJ120" i="5"/>
  <c r="O120" i="5"/>
  <c r="AF120" i="5"/>
  <c r="N120" i="5"/>
  <c r="M120" i="5"/>
  <c r="L120" i="5"/>
  <c r="K120" i="5"/>
  <c r="J120" i="5"/>
  <c r="E136" i="5"/>
  <c r="D136" i="5"/>
  <c r="C136" i="5"/>
  <c r="A136" i="5"/>
  <c r="O136" i="5"/>
  <c r="N136" i="5"/>
  <c r="M136" i="5"/>
  <c r="AQ136" i="5"/>
  <c r="L136" i="5"/>
  <c r="K136" i="5"/>
  <c r="AJ136" i="5"/>
  <c r="J136" i="5"/>
  <c r="AF136" i="5"/>
  <c r="I136" i="5"/>
  <c r="H136" i="5"/>
  <c r="G136" i="5"/>
  <c r="F136" i="5"/>
  <c r="B136" i="5"/>
  <c r="AJ117" i="5"/>
  <c r="O117" i="5"/>
  <c r="AF117" i="5"/>
  <c r="N117" i="5"/>
  <c r="M117" i="5"/>
  <c r="L117" i="5"/>
  <c r="K117" i="5"/>
  <c r="J117" i="5"/>
  <c r="I117" i="5"/>
  <c r="H117" i="5"/>
  <c r="G117" i="5"/>
  <c r="AQ117" i="5"/>
  <c r="F117" i="5"/>
  <c r="E117" i="5"/>
  <c r="D117" i="5"/>
  <c r="C117" i="5"/>
  <c r="B117" i="5"/>
  <c r="A117" i="5"/>
  <c r="AQ192" i="5"/>
  <c r="F192" i="5"/>
  <c r="E192" i="5"/>
  <c r="B192" i="5"/>
  <c r="C192" i="5"/>
  <c r="A192" i="5"/>
  <c r="O192" i="5"/>
  <c r="N192" i="5"/>
  <c r="AJ192" i="5"/>
  <c r="L192" i="5"/>
  <c r="I192" i="5"/>
  <c r="D192" i="5"/>
  <c r="AF192" i="5"/>
  <c r="M192" i="5"/>
  <c r="K192" i="5"/>
  <c r="J192" i="5"/>
  <c r="H192" i="5"/>
  <c r="G192" i="5"/>
  <c r="K214" i="5"/>
  <c r="J214" i="5"/>
  <c r="I214" i="5"/>
  <c r="H214" i="5"/>
  <c r="G214" i="5"/>
  <c r="AQ214" i="5"/>
  <c r="F214" i="5"/>
  <c r="E214" i="5"/>
  <c r="D214" i="5"/>
  <c r="C214" i="5"/>
  <c r="B214" i="5"/>
  <c r="A214" i="5"/>
  <c r="AJ214" i="5"/>
  <c r="O214" i="5"/>
  <c r="N214" i="5"/>
  <c r="M214" i="5"/>
  <c r="L214" i="5"/>
  <c r="AF214" i="5"/>
  <c r="I250" i="5"/>
  <c r="AQ250" i="5"/>
  <c r="F250" i="5"/>
  <c r="E250" i="5"/>
  <c r="B250" i="5"/>
  <c r="A250" i="5"/>
  <c r="O250" i="5"/>
  <c r="N250" i="5"/>
  <c r="M250" i="5"/>
  <c r="L250" i="5"/>
  <c r="K250" i="5"/>
  <c r="AJ250" i="5"/>
  <c r="H250" i="5"/>
  <c r="J250" i="5"/>
  <c r="G250" i="5"/>
  <c r="D250" i="5"/>
  <c r="C250" i="5"/>
  <c r="AF250" i="5"/>
  <c r="AF164" i="5"/>
  <c r="N164" i="5"/>
  <c r="M164" i="5"/>
  <c r="L164" i="5"/>
  <c r="K164" i="5"/>
  <c r="J164" i="5"/>
  <c r="AQ164" i="5"/>
  <c r="O164" i="5"/>
  <c r="I164" i="5"/>
  <c r="H164" i="5"/>
  <c r="G164" i="5"/>
  <c r="F164" i="5"/>
  <c r="AJ164" i="5"/>
  <c r="E164" i="5"/>
  <c r="D164" i="5"/>
  <c r="C164" i="5"/>
  <c r="B164" i="5"/>
  <c r="A164" i="5"/>
  <c r="I266" i="5"/>
  <c r="H266" i="5"/>
  <c r="G266" i="5"/>
  <c r="AQ266" i="5"/>
  <c r="F266" i="5"/>
  <c r="E266" i="5"/>
  <c r="D266" i="5"/>
  <c r="C266" i="5"/>
  <c r="B266" i="5"/>
  <c r="A266" i="5"/>
  <c r="O266" i="5"/>
  <c r="N266" i="5"/>
  <c r="M266" i="5"/>
  <c r="L266" i="5"/>
  <c r="K266" i="5"/>
  <c r="J266" i="5"/>
  <c r="AF266" i="5"/>
  <c r="AJ266" i="5"/>
  <c r="M197" i="5"/>
  <c r="L197" i="5"/>
  <c r="K197" i="5"/>
  <c r="J197" i="5"/>
  <c r="I197" i="5"/>
  <c r="H197" i="5"/>
  <c r="E197" i="5"/>
  <c r="D197" i="5"/>
  <c r="AJ197" i="5"/>
  <c r="C197" i="5"/>
  <c r="AF197" i="5"/>
  <c r="B197" i="5"/>
  <c r="A197" i="5"/>
  <c r="O197" i="5"/>
  <c r="AQ197" i="5"/>
  <c r="N197" i="5"/>
  <c r="G197" i="5"/>
  <c r="F197" i="5"/>
  <c r="I290" i="5"/>
  <c r="H290" i="5"/>
  <c r="G290" i="5"/>
  <c r="E290" i="5"/>
  <c r="D290" i="5"/>
  <c r="C290" i="5"/>
  <c r="B290" i="5"/>
  <c r="A290" i="5"/>
  <c r="O290" i="5"/>
  <c r="N290" i="5"/>
  <c r="M290" i="5"/>
  <c r="L290" i="5"/>
  <c r="K290" i="5"/>
  <c r="J290" i="5"/>
  <c r="AQ290" i="5"/>
  <c r="F290" i="5"/>
  <c r="AJ290" i="5"/>
  <c r="AF290" i="5"/>
  <c r="J325" i="5"/>
  <c r="I325" i="5"/>
  <c r="H325" i="5"/>
  <c r="G325" i="5"/>
  <c r="AQ325" i="5"/>
  <c r="F325" i="5"/>
  <c r="O325" i="5"/>
  <c r="N325" i="5"/>
  <c r="M325" i="5"/>
  <c r="L325" i="5"/>
  <c r="AF325" i="5"/>
  <c r="D325" i="5"/>
  <c r="AJ325" i="5"/>
  <c r="K325" i="5"/>
  <c r="E325" i="5"/>
  <c r="A325" i="5"/>
  <c r="B325" i="5"/>
  <c r="C325" i="5"/>
  <c r="I306" i="5"/>
  <c r="H306" i="5"/>
  <c r="G306" i="5"/>
  <c r="E306" i="5"/>
  <c r="D306" i="5"/>
  <c r="C306" i="5"/>
  <c r="B306" i="5"/>
  <c r="A306" i="5"/>
  <c r="AQ306" i="5"/>
  <c r="AJ306" i="5"/>
  <c r="AF306" i="5"/>
  <c r="O306" i="5"/>
  <c r="N306" i="5"/>
  <c r="M306" i="5"/>
  <c r="F306" i="5"/>
  <c r="L306" i="5"/>
  <c r="K306" i="5"/>
  <c r="J306" i="5"/>
  <c r="M272" i="5"/>
  <c r="L272" i="5"/>
  <c r="K272" i="5"/>
  <c r="J272" i="5"/>
  <c r="I272" i="5"/>
  <c r="H272" i="5"/>
  <c r="G272" i="5"/>
  <c r="AQ272" i="5"/>
  <c r="F272" i="5"/>
  <c r="E272" i="5"/>
  <c r="C272" i="5"/>
  <c r="AJ272" i="5"/>
  <c r="AF272" i="5"/>
  <c r="O272" i="5"/>
  <c r="N272" i="5"/>
  <c r="D272" i="5"/>
  <c r="A272" i="5"/>
  <c r="B272" i="5"/>
  <c r="A302" i="5"/>
  <c r="AJ302" i="5"/>
  <c r="O302" i="5"/>
  <c r="M302" i="5"/>
  <c r="L302" i="5"/>
  <c r="K302" i="5"/>
  <c r="J302" i="5"/>
  <c r="I302" i="5"/>
  <c r="N302" i="5"/>
  <c r="H302" i="5"/>
  <c r="G302" i="5"/>
  <c r="AQ302" i="5"/>
  <c r="F302" i="5"/>
  <c r="AF302" i="5"/>
  <c r="D302" i="5"/>
  <c r="E302" i="5"/>
  <c r="C302" i="5"/>
  <c r="B302" i="5"/>
  <c r="M312" i="5"/>
  <c r="L312" i="5"/>
  <c r="K312" i="5"/>
  <c r="I312" i="5"/>
  <c r="H312" i="5"/>
  <c r="G312" i="5"/>
  <c r="AQ312" i="5"/>
  <c r="F312" i="5"/>
  <c r="E312" i="5"/>
  <c r="D312" i="5"/>
  <c r="AJ312" i="5"/>
  <c r="AF312" i="5"/>
  <c r="O312" i="5"/>
  <c r="N312" i="5"/>
  <c r="J312" i="5"/>
  <c r="C312" i="5"/>
  <c r="B312" i="5"/>
  <c r="A312" i="5"/>
  <c r="AQ327" i="5"/>
  <c r="F327" i="5"/>
  <c r="E327" i="5"/>
  <c r="D327" i="5"/>
  <c r="C327" i="5"/>
  <c r="B327" i="5"/>
  <c r="M327" i="5"/>
  <c r="L327" i="5"/>
  <c r="K327" i="5"/>
  <c r="AJ327" i="5"/>
  <c r="J327" i="5"/>
  <c r="AF327" i="5"/>
  <c r="I327" i="5"/>
  <c r="H327" i="5"/>
  <c r="G327" i="5"/>
  <c r="A327" i="5"/>
  <c r="N327" i="5"/>
  <c r="O327" i="5"/>
  <c r="O427" i="5"/>
  <c r="L427" i="5"/>
  <c r="K427" i="5"/>
  <c r="H427" i="5"/>
  <c r="G427" i="5"/>
  <c r="F427" i="5"/>
  <c r="M427" i="5"/>
  <c r="J427" i="5"/>
  <c r="I427" i="5"/>
  <c r="E427" i="5"/>
  <c r="D427" i="5"/>
  <c r="C427" i="5"/>
  <c r="B427" i="5"/>
  <c r="A427" i="5"/>
  <c r="AQ427" i="5"/>
  <c r="N427" i="5"/>
  <c r="AJ427" i="5"/>
  <c r="AF427" i="5"/>
  <c r="G435" i="5"/>
  <c r="O435" i="5"/>
  <c r="N435" i="5"/>
  <c r="K435" i="5"/>
  <c r="J435" i="5"/>
  <c r="I435" i="5"/>
  <c r="H435" i="5"/>
  <c r="F435" i="5"/>
  <c r="E435" i="5"/>
  <c r="D435" i="5"/>
  <c r="C435" i="5"/>
  <c r="B435" i="5"/>
  <c r="A435" i="5"/>
  <c r="AQ435" i="5"/>
  <c r="AJ435" i="5"/>
  <c r="M435" i="5"/>
  <c r="L435" i="5"/>
  <c r="AF435" i="5"/>
  <c r="L414" i="5"/>
  <c r="K414" i="5"/>
  <c r="H414" i="5"/>
  <c r="G414" i="5"/>
  <c r="F414" i="5"/>
  <c r="M414" i="5"/>
  <c r="J414" i="5"/>
  <c r="I414" i="5"/>
  <c r="E414" i="5"/>
  <c r="D414" i="5"/>
  <c r="C414" i="5"/>
  <c r="B414" i="5"/>
  <c r="A414" i="5"/>
  <c r="AQ414" i="5"/>
  <c r="AJ414" i="5"/>
  <c r="AF414" i="5"/>
  <c r="O414" i="5"/>
  <c r="N414" i="5"/>
  <c r="J412" i="5"/>
  <c r="AQ412" i="5"/>
  <c r="C412" i="5"/>
  <c r="AJ412" i="5"/>
  <c r="B412" i="5"/>
  <c r="O412" i="5"/>
  <c r="N412" i="5"/>
  <c r="E412" i="5"/>
  <c r="D412" i="5"/>
  <c r="A412" i="5"/>
  <c r="AF412" i="5"/>
  <c r="M412" i="5"/>
  <c r="L412" i="5"/>
  <c r="G412" i="5"/>
  <c r="F412" i="5"/>
  <c r="K412" i="5"/>
  <c r="I412" i="5"/>
  <c r="H412" i="5"/>
  <c r="O411" i="5"/>
  <c r="G411" i="5"/>
  <c r="F411" i="5"/>
  <c r="AQ411" i="5"/>
  <c r="C411" i="5"/>
  <c r="AJ411" i="5"/>
  <c r="B411" i="5"/>
  <c r="AF411" i="5"/>
  <c r="A411" i="5"/>
  <c r="N411" i="5"/>
  <c r="M411" i="5"/>
  <c r="L411" i="5"/>
  <c r="K411" i="5"/>
  <c r="J411" i="5"/>
  <c r="I411" i="5"/>
  <c r="H411" i="5"/>
  <c r="E411" i="5"/>
  <c r="D411" i="5"/>
  <c r="M484" i="5"/>
  <c r="L484" i="5"/>
  <c r="F484" i="5"/>
  <c r="E484" i="5"/>
  <c r="D484" i="5"/>
  <c r="C484" i="5"/>
  <c r="AQ484" i="5"/>
  <c r="B484" i="5"/>
  <c r="K484" i="5"/>
  <c r="J484" i="5"/>
  <c r="I484" i="5"/>
  <c r="H484" i="5"/>
  <c r="G484" i="5"/>
  <c r="A484" i="5"/>
  <c r="AJ484" i="5"/>
  <c r="AF484" i="5"/>
  <c r="O484" i="5"/>
  <c r="N484" i="5"/>
  <c r="L482" i="5"/>
  <c r="K482" i="5"/>
  <c r="J482" i="5"/>
  <c r="I482" i="5"/>
  <c r="H482" i="5"/>
  <c r="B482" i="5"/>
  <c r="A482" i="5"/>
  <c r="AQ482" i="5"/>
  <c r="AJ482" i="5"/>
  <c r="AF482" i="5"/>
  <c r="O482" i="5"/>
  <c r="N482" i="5"/>
  <c r="M482" i="5"/>
  <c r="F482" i="5"/>
  <c r="G482" i="5"/>
  <c r="E482" i="5"/>
  <c r="D482" i="5"/>
  <c r="C482" i="5"/>
  <c r="K447" i="5"/>
  <c r="AJ447" i="5"/>
  <c r="B447" i="5"/>
  <c r="AF447" i="5"/>
  <c r="A447" i="5"/>
  <c r="O447" i="5"/>
  <c r="N447" i="5"/>
  <c r="M447" i="5"/>
  <c r="L447" i="5"/>
  <c r="J447" i="5"/>
  <c r="I447" i="5"/>
  <c r="H447" i="5"/>
  <c r="G447" i="5"/>
  <c r="F447" i="5"/>
  <c r="E447" i="5"/>
  <c r="D447" i="5"/>
  <c r="C447" i="5"/>
  <c r="AQ447" i="5"/>
  <c r="N529" i="5"/>
  <c r="M529" i="5"/>
  <c r="L529" i="5"/>
  <c r="K529" i="5"/>
  <c r="J529" i="5"/>
  <c r="I529" i="5"/>
  <c r="H529" i="5"/>
  <c r="F529" i="5"/>
  <c r="E529" i="5"/>
  <c r="AQ529" i="5"/>
  <c r="AF529" i="5"/>
  <c r="AJ529" i="5"/>
  <c r="O529" i="5"/>
  <c r="G529" i="5"/>
  <c r="D529" i="5"/>
  <c r="C529" i="5"/>
  <c r="B529" i="5"/>
  <c r="A529" i="5"/>
  <c r="AF452" i="5"/>
  <c r="B452" i="5"/>
  <c r="A452" i="5"/>
  <c r="E452" i="5"/>
  <c r="D452" i="5"/>
  <c r="C452" i="5"/>
  <c r="AQ452" i="5"/>
  <c r="AJ452" i="5"/>
  <c r="O452" i="5"/>
  <c r="N452" i="5"/>
  <c r="M452" i="5"/>
  <c r="L452" i="5"/>
  <c r="K452" i="5"/>
  <c r="J452" i="5"/>
  <c r="I452" i="5"/>
  <c r="H452" i="5"/>
  <c r="G452" i="5"/>
  <c r="F452" i="5"/>
  <c r="O534" i="5"/>
  <c r="I534" i="5"/>
  <c r="H534" i="5"/>
  <c r="G534" i="5"/>
  <c r="F534" i="5"/>
  <c r="E534" i="5"/>
  <c r="D534" i="5"/>
  <c r="AQ534" i="5"/>
  <c r="C534" i="5"/>
  <c r="AF534" i="5"/>
  <c r="A534" i="5"/>
  <c r="J534" i="5"/>
  <c r="B534" i="5"/>
  <c r="K534" i="5"/>
  <c r="L534" i="5"/>
  <c r="AJ534" i="5"/>
  <c r="N534" i="5"/>
  <c r="M534" i="5"/>
  <c r="K536" i="5"/>
  <c r="J536" i="5"/>
  <c r="E536" i="5"/>
  <c r="B536" i="5"/>
  <c r="AQ536" i="5"/>
  <c r="A536" i="5"/>
  <c r="AJ536" i="5"/>
  <c r="AF536" i="5"/>
  <c r="O536" i="5"/>
  <c r="M536" i="5"/>
  <c r="L536" i="5"/>
  <c r="F536" i="5"/>
  <c r="D536" i="5"/>
  <c r="C536" i="5"/>
  <c r="N536" i="5"/>
  <c r="I536" i="5"/>
  <c r="H536" i="5"/>
  <c r="G536" i="5"/>
  <c r="A506" i="5"/>
  <c r="O506" i="5"/>
  <c r="N506" i="5"/>
  <c r="K506" i="5"/>
  <c r="B506" i="5"/>
  <c r="AQ506" i="5"/>
  <c r="AJ506" i="5"/>
  <c r="AF506" i="5"/>
  <c r="L506" i="5"/>
  <c r="M506" i="5"/>
  <c r="J506" i="5"/>
  <c r="I506" i="5"/>
  <c r="H506" i="5"/>
  <c r="G506" i="5"/>
  <c r="F506" i="5"/>
  <c r="E506" i="5"/>
  <c r="D506" i="5"/>
  <c r="C506" i="5"/>
  <c r="AF579" i="5"/>
  <c r="O579" i="5"/>
  <c r="E579" i="5"/>
  <c r="D579" i="5"/>
  <c r="C579" i="5"/>
  <c r="B579" i="5"/>
  <c r="AQ579" i="5"/>
  <c r="A579" i="5"/>
  <c r="AJ579" i="5"/>
  <c r="N579" i="5"/>
  <c r="M579" i="5"/>
  <c r="L579" i="5"/>
  <c r="K579" i="5"/>
  <c r="I579" i="5"/>
  <c r="J579" i="5"/>
  <c r="H579" i="5"/>
  <c r="G579" i="5"/>
  <c r="F579" i="5"/>
  <c r="AF541" i="5"/>
  <c r="B541" i="5"/>
  <c r="A541" i="5"/>
  <c r="L541" i="5"/>
  <c r="I541" i="5"/>
  <c r="O541" i="5"/>
  <c r="N541" i="5"/>
  <c r="M541" i="5"/>
  <c r="K541" i="5"/>
  <c r="J541" i="5"/>
  <c r="H541" i="5"/>
  <c r="G541" i="5"/>
  <c r="F541" i="5"/>
  <c r="E541" i="5"/>
  <c r="D541" i="5"/>
  <c r="C541" i="5"/>
  <c r="AQ541" i="5"/>
  <c r="AJ541" i="5"/>
  <c r="I623" i="5"/>
  <c r="H623" i="5"/>
  <c r="G623" i="5"/>
  <c r="F623" i="5"/>
  <c r="E623" i="5"/>
  <c r="AQ623" i="5"/>
  <c r="D623" i="5"/>
  <c r="AJ623" i="5"/>
  <c r="C623" i="5"/>
  <c r="O623" i="5"/>
  <c r="N623" i="5"/>
  <c r="AF623" i="5"/>
  <c r="M623" i="5"/>
  <c r="L623" i="5"/>
  <c r="K623" i="5"/>
  <c r="J623" i="5"/>
  <c r="B623" i="5"/>
  <c r="A623" i="5"/>
  <c r="G642" i="5"/>
  <c r="N642" i="5"/>
  <c r="M642" i="5"/>
  <c r="K642" i="5"/>
  <c r="H642" i="5"/>
  <c r="L642" i="5"/>
  <c r="J642" i="5"/>
  <c r="I642" i="5"/>
  <c r="F642" i="5"/>
  <c r="E642" i="5"/>
  <c r="D642" i="5"/>
  <c r="C642" i="5"/>
  <c r="B642" i="5"/>
  <c r="A642" i="5"/>
  <c r="AQ642" i="5"/>
  <c r="AJ642" i="5"/>
  <c r="AF642" i="5"/>
  <c r="O642" i="5"/>
  <c r="I636" i="5"/>
  <c r="H636" i="5"/>
  <c r="F636" i="5"/>
  <c r="AJ636" i="5"/>
  <c r="C636" i="5"/>
  <c r="G636" i="5"/>
  <c r="E636" i="5"/>
  <c r="D636" i="5"/>
  <c r="B636" i="5"/>
  <c r="A636" i="5"/>
  <c r="AQ636" i="5"/>
  <c r="AF636" i="5"/>
  <c r="O636" i="5"/>
  <c r="N636" i="5"/>
  <c r="M636" i="5"/>
  <c r="L636" i="5"/>
  <c r="K636" i="5"/>
  <c r="J636" i="5"/>
  <c r="AF669" i="5"/>
  <c r="B669" i="5"/>
  <c r="J669" i="5"/>
  <c r="H669" i="5"/>
  <c r="G669" i="5"/>
  <c r="F669" i="5"/>
  <c r="E669" i="5"/>
  <c r="D669" i="5"/>
  <c r="C669" i="5"/>
  <c r="AJ669" i="5"/>
  <c r="O669" i="5"/>
  <c r="AQ669" i="5"/>
  <c r="N669" i="5"/>
  <c r="M669" i="5"/>
  <c r="L669" i="5"/>
  <c r="K669" i="5"/>
  <c r="I669" i="5"/>
  <c r="A669" i="5"/>
  <c r="L683" i="5"/>
  <c r="J683" i="5"/>
  <c r="AQ683" i="5"/>
  <c r="D683" i="5"/>
  <c r="I683" i="5"/>
  <c r="H683" i="5"/>
  <c r="G683" i="5"/>
  <c r="F683" i="5"/>
  <c r="E683" i="5"/>
  <c r="C683" i="5"/>
  <c r="B683" i="5"/>
  <c r="AJ683" i="5"/>
  <c r="O683" i="5"/>
  <c r="AF683" i="5"/>
  <c r="N683" i="5"/>
  <c r="M683" i="5"/>
  <c r="K683" i="5"/>
  <c r="A683" i="5"/>
  <c r="L641" i="5"/>
  <c r="AF641" i="5"/>
  <c r="A641" i="5"/>
  <c r="O641" i="5"/>
  <c r="K641" i="5"/>
  <c r="I641" i="5"/>
  <c r="H641" i="5"/>
  <c r="G641" i="5"/>
  <c r="F641" i="5"/>
  <c r="E641" i="5"/>
  <c r="D641" i="5"/>
  <c r="C641" i="5"/>
  <c r="B641" i="5"/>
  <c r="AQ641" i="5"/>
  <c r="AJ641" i="5"/>
  <c r="N641" i="5"/>
  <c r="M641" i="5"/>
  <c r="J641" i="5"/>
  <c r="AJ656" i="5"/>
  <c r="C656" i="5"/>
  <c r="A656" i="5"/>
  <c r="K656" i="5"/>
  <c r="D656" i="5"/>
  <c r="B656" i="5"/>
  <c r="AQ656" i="5"/>
  <c r="O656" i="5"/>
  <c r="AF656" i="5"/>
  <c r="N656" i="5"/>
  <c r="M656" i="5"/>
  <c r="L656" i="5"/>
  <c r="J656" i="5"/>
  <c r="I656" i="5"/>
  <c r="H656" i="5"/>
  <c r="G656" i="5"/>
  <c r="F656" i="5"/>
  <c r="E656" i="5"/>
  <c r="C62" i="5"/>
  <c r="B62" i="5"/>
  <c r="A62" i="5"/>
  <c r="AJ62" i="5"/>
  <c r="O62" i="5"/>
  <c r="AF62" i="5"/>
  <c r="N62" i="5"/>
  <c r="M62" i="5"/>
  <c r="L62" i="5"/>
  <c r="K62" i="5"/>
  <c r="J62" i="5"/>
  <c r="I62" i="5"/>
  <c r="H62" i="5"/>
  <c r="G62" i="5"/>
  <c r="F62" i="5"/>
  <c r="E62" i="5"/>
  <c r="D62" i="5"/>
  <c r="AQ62" i="5"/>
  <c r="C269" i="5"/>
  <c r="B269" i="5"/>
  <c r="A269" i="5"/>
  <c r="AJ269" i="5"/>
  <c r="O269" i="5"/>
  <c r="AF269" i="5"/>
  <c r="N269" i="5"/>
  <c r="M269" i="5"/>
  <c r="L269" i="5"/>
  <c r="K269" i="5"/>
  <c r="J269" i="5"/>
  <c r="I269" i="5"/>
  <c r="H269" i="5"/>
  <c r="G269" i="5"/>
  <c r="F269" i="5"/>
  <c r="E269" i="5"/>
  <c r="AQ269" i="5"/>
  <c r="D269" i="5"/>
  <c r="O443" i="5"/>
  <c r="AF443" i="5"/>
  <c r="A443" i="5"/>
  <c r="N443" i="5"/>
  <c r="M443" i="5"/>
  <c r="L443" i="5"/>
  <c r="K443" i="5"/>
  <c r="J443" i="5"/>
  <c r="I443" i="5"/>
  <c r="AQ443" i="5"/>
  <c r="AJ443" i="5"/>
  <c r="H443" i="5"/>
  <c r="G443" i="5"/>
  <c r="F443" i="5"/>
  <c r="E443" i="5"/>
  <c r="D443" i="5"/>
  <c r="C443" i="5"/>
  <c r="B443" i="5"/>
  <c r="G700" i="5"/>
  <c r="E700" i="5"/>
  <c r="O700" i="5"/>
  <c r="H700" i="5"/>
  <c r="F700" i="5"/>
  <c r="D700" i="5"/>
  <c r="C700" i="5"/>
  <c r="B700" i="5"/>
  <c r="AQ700" i="5"/>
  <c r="A700" i="5"/>
  <c r="AJ700" i="5"/>
  <c r="N700" i="5"/>
  <c r="L700" i="5"/>
  <c r="AF700" i="5"/>
  <c r="M700" i="5"/>
  <c r="K700" i="5"/>
  <c r="J700" i="5"/>
  <c r="I700" i="5"/>
  <c r="A108" i="5"/>
  <c r="AJ108" i="5"/>
  <c r="O108" i="5"/>
  <c r="AF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Q108" i="5"/>
  <c r="I314" i="5"/>
  <c r="H314" i="5"/>
  <c r="O314" i="5"/>
  <c r="AJ314" i="5"/>
  <c r="M314" i="5"/>
  <c r="AF314" i="5"/>
  <c r="L314" i="5"/>
  <c r="K314" i="5"/>
  <c r="J314" i="5"/>
  <c r="G314" i="5"/>
  <c r="F314" i="5"/>
  <c r="E314" i="5"/>
  <c r="D314" i="5"/>
  <c r="C314" i="5"/>
  <c r="B314" i="5"/>
  <c r="A314" i="5"/>
  <c r="AQ314" i="5"/>
  <c r="N314" i="5"/>
  <c r="AQ458" i="5"/>
  <c r="D458" i="5"/>
  <c r="AJ458" i="5"/>
  <c r="C458" i="5"/>
  <c r="AF458" i="5"/>
  <c r="B458" i="5"/>
  <c r="A458" i="5"/>
  <c r="O458" i="5"/>
  <c r="N458" i="5"/>
  <c r="M458" i="5"/>
  <c r="L458" i="5"/>
  <c r="K458" i="5"/>
  <c r="J458" i="5"/>
  <c r="I458" i="5"/>
  <c r="H458" i="5"/>
  <c r="G458" i="5"/>
  <c r="F458" i="5"/>
  <c r="E458" i="5"/>
  <c r="O692" i="5"/>
  <c r="M692" i="5"/>
  <c r="G692" i="5"/>
  <c r="AF692" i="5"/>
  <c r="N692" i="5"/>
  <c r="L692" i="5"/>
  <c r="K692" i="5"/>
  <c r="J692" i="5"/>
  <c r="H692" i="5"/>
  <c r="F692" i="5"/>
  <c r="E692" i="5"/>
  <c r="C692" i="5"/>
  <c r="AQ692" i="5"/>
  <c r="AJ692" i="5"/>
  <c r="I692" i="5"/>
  <c r="D692" i="5"/>
  <c r="B692" i="5"/>
  <c r="A692" i="5"/>
  <c r="D38" i="5"/>
  <c r="C38" i="5"/>
  <c r="B38" i="5"/>
  <c r="A38" i="5"/>
  <c r="AJ38" i="5"/>
  <c r="O38" i="5"/>
  <c r="AF38" i="5"/>
  <c r="N38" i="5"/>
  <c r="M38" i="5"/>
  <c r="L38" i="5"/>
  <c r="K38" i="5"/>
  <c r="J38" i="5"/>
  <c r="I38" i="5"/>
  <c r="H38" i="5"/>
  <c r="G38" i="5"/>
  <c r="F38" i="5"/>
  <c r="E38" i="5"/>
  <c r="AQ38" i="5"/>
  <c r="H159" i="5"/>
  <c r="G159" i="5"/>
  <c r="AQ159" i="5"/>
  <c r="D159" i="5"/>
  <c r="M159" i="5"/>
  <c r="L159" i="5"/>
  <c r="K159" i="5"/>
  <c r="AJ159" i="5"/>
  <c r="J159" i="5"/>
  <c r="AF159" i="5"/>
  <c r="I159" i="5"/>
  <c r="F159" i="5"/>
  <c r="E159" i="5"/>
  <c r="C159" i="5"/>
  <c r="B159" i="5"/>
  <c r="A159" i="5"/>
  <c r="O159" i="5"/>
  <c r="N159" i="5"/>
  <c r="G291" i="5"/>
  <c r="AQ291" i="5"/>
  <c r="F291" i="5"/>
  <c r="E291" i="5"/>
  <c r="C291" i="5"/>
  <c r="B291" i="5"/>
  <c r="A291" i="5"/>
  <c r="AJ291" i="5"/>
  <c r="O291" i="5"/>
  <c r="AF291" i="5"/>
  <c r="N291" i="5"/>
  <c r="M291" i="5"/>
  <c r="L291" i="5"/>
  <c r="K291" i="5"/>
  <c r="J291" i="5"/>
  <c r="I291" i="5"/>
  <c r="H291" i="5"/>
  <c r="D291" i="5"/>
  <c r="I409" i="5"/>
  <c r="O409" i="5"/>
  <c r="N409" i="5"/>
  <c r="K409" i="5"/>
  <c r="J409" i="5"/>
  <c r="H409" i="5"/>
  <c r="AF409" i="5"/>
  <c r="M409" i="5"/>
  <c r="L409" i="5"/>
  <c r="G409" i="5"/>
  <c r="F409" i="5"/>
  <c r="E409" i="5"/>
  <c r="D409" i="5"/>
  <c r="C409" i="5"/>
  <c r="B409" i="5"/>
  <c r="AQ409" i="5"/>
  <c r="A409" i="5"/>
  <c r="AJ409" i="5"/>
  <c r="AJ528" i="5"/>
  <c r="C528" i="5"/>
  <c r="AF528" i="5"/>
  <c r="B528" i="5"/>
  <c r="A528" i="5"/>
  <c r="O528" i="5"/>
  <c r="N528" i="5"/>
  <c r="M528" i="5"/>
  <c r="K528" i="5"/>
  <c r="AQ528" i="5"/>
  <c r="L528" i="5"/>
  <c r="J528" i="5"/>
  <c r="I528" i="5"/>
  <c r="H528" i="5"/>
  <c r="F528" i="5"/>
  <c r="E528" i="5"/>
  <c r="G528" i="5"/>
  <c r="D528" i="5"/>
  <c r="J43" i="5"/>
  <c r="I43" i="5"/>
  <c r="H43" i="5"/>
  <c r="G43" i="5"/>
  <c r="AQ43" i="5"/>
  <c r="F43" i="5"/>
  <c r="E43" i="5"/>
  <c r="D43" i="5"/>
  <c r="C43" i="5"/>
  <c r="B43" i="5"/>
  <c r="A43" i="5"/>
  <c r="AJ43" i="5"/>
  <c r="O43" i="5"/>
  <c r="AF43" i="5"/>
  <c r="N43" i="5"/>
  <c r="M43" i="5"/>
  <c r="L43" i="5"/>
  <c r="K43" i="5"/>
  <c r="E209" i="5"/>
  <c r="D209" i="5"/>
  <c r="C209" i="5"/>
  <c r="B209" i="5"/>
  <c r="A209" i="5"/>
  <c r="AJ209" i="5"/>
  <c r="O209" i="5"/>
  <c r="AF209" i="5"/>
  <c r="N209" i="5"/>
  <c r="M209" i="5"/>
  <c r="L209" i="5"/>
  <c r="K209" i="5"/>
  <c r="J209" i="5"/>
  <c r="I209" i="5"/>
  <c r="H209" i="5"/>
  <c r="G209" i="5"/>
  <c r="F209" i="5"/>
  <c r="AQ209" i="5"/>
  <c r="H422" i="5"/>
  <c r="O422" i="5"/>
  <c r="N422" i="5"/>
  <c r="K422" i="5"/>
  <c r="J422" i="5"/>
  <c r="I422" i="5"/>
  <c r="AF422" i="5"/>
  <c r="M422" i="5"/>
  <c r="L422" i="5"/>
  <c r="G422" i="5"/>
  <c r="F422" i="5"/>
  <c r="E422" i="5"/>
  <c r="D422" i="5"/>
  <c r="C422" i="5"/>
  <c r="B422" i="5"/>
  <c r="AQ422" i="5"/>
  <c r="AJ422" i="5"/>
  <c r="A422" i="5"/>
  <c r="N663" i="5"/>
  <c r="H663" i="5"/>
  <c r="O663" i="5"/>
  <c r="M663" i="5"/>
  <c r="L663" i="5"/>
  <c r="K663" i="5"/>
  <c r="J663" i="5"/>
  <c r="F663" i="5"/>
  <c r="A663" i="5"/>
  <c r="AQ663" i="5"/>
  <c r="AJ663" i="5"/>
  <c r="AF663" i="5"/>
  <c r="I663" i="5"/>
  <c r="G663" i="5"/>
  <c r="E663" i="5"/>
  <c r="D663" i="5"/>
  <c r="C663" i="5"/>
  <c r="B663" i="5"/>
  <c r="M65" i="5"/>
  <c r="L65" i="5"/>
  <c r="K65" i="5"/>
  <c r="J65" i="5"/>
  <c r="I65" i="5"/>
  <c r="H65" i="5"/>
  <c r="G65" i="5"/>
  <c r="AQ65" i="5"/>
  <c r="F65" i="5"/>
  <c r="E65" i="5"/>
  <c r="D65" i="5"/>
  <c r="C65" i="5"/>
  <c r="AJ65" i="5"/>
  <c r="AF65" i="5"/>
  <c r="O65" i="5"/>
  <c r="N65" i="5"/>
  <c r="B65" i="5"/>
  <c r="A65" i="5"/>
  <c r="AJ196" i="5"/>
  <c r="O196" i="5"/>
  <c r="AF196" i="5"/>
  <c r="N196" i="5"/>
  <c r="M196" i="5"/>
  <c r="L196" i="5"/>
  <c r="K196" i="5"/>
  <c r="J196" i="5"/>
  <c r="E196" i="5"/>
  <c r="D196" i="5"/>
  <c r="C196" i="5"/>
  <c r="B196" i="5"/>
  <c r="A196" i="5"/>
  <c r="I196" i="5"/>
  <c r="H196" i="5"/>
  <c r="G196" i="5"/>
  <c r="F196" i="5"/>
  <c r="AQ196" i="5"/>
  <c r="C392" i="5"/>
  <c r="B392" i="5"/>
  <c r="A392" i="5"/>
  <c r="AJ392" i="5"/>
  <c r="O392" i="5"/>
  <c r="AF392" i="5"/>
  <c r="N392" i="5"/>
  <c r="M392" i="5"/>
  <c r="K392" i="5"/>
  <c r="J392" i="5"/>
  <c r="I392" i="5"/>
  <c r="AQ392" i="5"/>
  <c r="H392" i="5"/>
  <c r="G392" i="5"/>
  <c r="F392" i="5"/>
  <c r="E392" i="5"/>
  <c r="D392" i="5"/>
  <c r="L392" i="5"/>
  <c r="I12" i="5"/>
  <c r="H12" i="5"/>
  <c r="G12" i="5"/>
  <c r="AQ12" i="5"/>
  <c r="F12" i="5"/>
  <c r="E12" i="5"/>
  <c r="D12" i="5"/>
  <c r="O12" i="5"/>
  <c r="N12" i="5"/>
  <c r="M12" i="5"/>
  <c r="L12" i="5"/>
  <c r="K12" i="5"/>
  <c r="J12" i="5"/>
  <c r="C12" i="5"/>
  <c r="AJ12" i="5"/>
  <c r="B12" i="5"/>
  <c r="AF12" i="5"/>
  <c r="A12" i="5"/>
  <c r="E114" i="5"/>
  <c r="D114" i="5"/>
  <c r="C114" i="5"/>
  <c r="B114" i="5"/>
  <c r="A114" i="5"/>
  <c r="AJ114" i="5"/>
  <c r="O114" i="5"/>
  <c r="AF114" i="5"/>
  <c r="N114" i="5"/>
  <c r="M114" i="5"/>
  <c r="L114" i="5"/>
  <c r="K114" i="5"/>
  <c r="J114" i="5"/>
  <c r="I114" i="5"/>
  <c r="AQ114" i="5"/>
  <c r="H114" i="5"/>
  <c r="G114" i="5"/>
  <c r="F114" i="5"/>
  <c r="B231" i="5"/>
  <c r="A231" i="5"/>
  <c r="AJ231" i="5"/>
  <c r="O231" i="5"/>
  <c r="AF231" i="5"/>
  <c r="N231" i="5"/>
  <c r="M231" i="5"/>
  <c r="F231" i="5"/>
  <c r="E231" i="5"/>
  <c r="D231" i="5"/>
  <c r="C231" i="5"/>
  <c r="L231" i="5"/>
  <c r="AQ231" i="5"/>
  <c r="J231" i="5"/>
  <c r="K231" i="5"/>
  <c r="I231" i="5"/>
  <c r="H231" i="5"/>
  <c r="G231" i="5"/>
  <c r="AF339" i="5"/>
  <c r="N339" i="5"/>
  <c r="M339" i="5"/>
  <c r="L339" i="5"/>
  <c r="K339" i="5"/>
  <c r="J339" i="5"/>
  <c r="AQ339" i="5"/>
  <c r="O339" i="5"/>
  <c r="I339" i="5"/>
  <c r="H339" i="5"/>
  <c r="G339" i="5"/>
  <c r="F339" i="5"/>
  <c r="AJ339" i="5"/>
  <c r="E339" i="5"/>
  <c r="D339" i="5"/>
  <c r="C339" i="5"/>
  <c r="B339" i="5"/>
  <c r="A339" i="5"/>
  <c r="I457" i="5"/>
  <c r="H457" i="5"/>
  <c r="G457" i="5"/>
  <c r="O457" i="5"/>
  <c r="N457" i="5"/>
  <c r="M457" i="5"/>
  <c r="L457" i="5"/>
  <c r="K457" i="5"/>
  <c r="J457" i="5"/>
  <c r="F457" i="5"/>
  <c r="E457" i="5"/>
  <c r="AQ457" i="5"/>
  <c r="AJ457" i="5"/>
  <c r="AF457" i="5"/>
  <c r="D457" i="5"/>
  <c r="C457" i="5"/>
  <c r="B457" i="5"/>
  <c r="A457" i="5"/>
  <c r="J639" i="5"/>
  <c r="I639" i="5"/>
  <c r="G639" i="5"/>
  <c r="AQ639" i="5"/>
  <c r="D639" i="5"/>
  <c r="H639" i="5"/>
  <c r="F639" i="5"/>
  <c r="E639" i="5"/>
  <c r="C639" i="5"/>
  <c r="B639" i="5"/>
  <c r="A639" i="5"/>
  <c r="AJ639" i="5"/>
  <c r="AF639" i="5"/>
  <c r="O639" i="5"/>
  <c r="K639" i="5"/>
  <c r="N639" i="5"/>
  <c r="M639" i="5"/>
  <c r="L639" i="5"/>
  <c r="G84" i="5"/>
  <c r="AQ84" i="5"/>
  <c r="F84" i="5"/>
  <c r="E84" i="5"/>
  <c r="D84" i="5"/>
  <c r="C84" i="5"/>
  <c r="B84" i="5"/>
  <c r="A84" i="5"/>
  <c r="AJ84" i="5"/>
  <c r="O84" i="5"/>
  <c r="AF84" i="5"/>
  <c r="N84" i="5"/>
  <c r="M84" i="5"/>
  <c r="L84" i="5"/>
  <c r="K84" i="5"/>
  <c r="J84" i="5"/>
  <c r="I84" i="5"/>
  <c r="H84" i="5"/>
  <c r="K11" i="5"/>
  <c r="J11" i="5"/>
  <c r="I11" i="5"/>
  <c r="H11" i="5"/>
  <c r="G11" i="5"/>
  <c r="AQ11" i="5"/>
  <c r="F11" i="5"/>
  <c r="B11" i="5"/>
  <c r="O11" i="5"/>
  <c r="L11" i="5"/>
  <c r="E11" i="5"/>
  <c r="D11" i="5"/>
  <c r="C11" i="5"/>
  <c r="AJ11" i="5"/>
  <c r="A11" i="5"/>
  <c r="AF11" i="5"/>
  <c r="M11" i="5"/>
  <c r="N11" i="5"/>
  <c r="K58" i="5"/>
  <c r="J58" i="5"/>
  <c r="I58" i="5"/>
  <c r="H58" i="5"/>
  <c r="G58" i="5"/>
  <c r="AQ58" i="5"/>
  <c r="F58" i="5"/>
  <c r="E58" i="5"/>
  <c r="D58" i="5"/>
  <c r="A58" i="5"/>
  <c r="AF58" i="5"/>
  <c r="O58" i="5"/>
  <c r="N58" i="5"/>
  <c r="M58" i="5"/>
  <c r="L58" i="5"/>
  <c r="C58" i="5"/>
  <c r="B58" i="5"/>
  <c r="AJ58" i="5"/>
  <c r="K95" i="5"/>
  <c r="J95" i="5"/>
  <c r="I95" i="5"/>
  <c r="H95" i="5"/>
  <c r="G95" i="5"/>
  <c r="AQ95" i="5"/>
  <c r="F95" i="5"/>
  <c r="A95" i="5"/>
  <c r="O95" i="5"/>
  <c r="N95" i="5"/>
  <c r="M95" i="5"/>
  <c r="L95" i="5"/>
  <c r="E95" i="5"/>
  <c r="D95" i="5"/>
  <c r="C95" i="5"/>
  <c r="AJ95" i="5"/>
  <c r="B95" i="5"/>
  <c r="AF95" i="5"/>
  <c r="I134" i="5"/>
  <c r="H134" i="5"/>
  <c r="E134" i="5"/>
  <c r="F134" i="5"/>
  <c r="D134" i="5"/>
  <c r="C134" i="5"/>
  <c r="B134" i="5"/>
  <c r="A134" i="5"/>
  <c r="AQ134" i="5"/>
  <c r="O134" i="5"/>
  <c r="N134" i="5"/>
  <c r="M134" i="5"/>
  <c r="L134" i="5"/>
  <c r="AJ134" i="5"/>
  <c r="AF134" i="5"/>
  <c r="K134" i="5"/>
  <c r="J134" i="5"/>
  <c r="G134" i="5"/>
  <c r="I128" i="5"/>
  <c r="H128" i="5"/>
  <c r="G128" i="5"/>
  <c r="AQ128" i="5"/>
  <c r="F128" i="5"/>
  <c r="E128" i="5"/>
  <c r="D128" i="5"/>
  <c r="C128" i="5"/>
  <c r="B128" i="5"/>
  <c r="A128" i="5"/>
  <c r="AJ128" i="5"/>
  <c r="O128" i="5"/>
  <c r="AF128" i="5"/>
  <c r="N128" i="5"/>
  <c r="M128" i="5"/>
  <c r="L128" i="5"/>
  <c r="K128" i="5"/>
  <c r="J128" i="5"/>
  <c r="E144" i="5"/>
  <c r="D144" i="5"/>
  <c r="C144" i="5"/>
  <c r="B144" i="5"/>
  <c r="A144" i="5"/>
  <c r="AJ144" i="5"/>
  <c r="O144" i="5"/>
  <c r="AF144" i="5"/>
  <c r="N144" i="5"/>
  <c r="K144" i="5"/>
  <c r="J144" i="5"/>
  <c r="I144" i="5"/>
  <c r="H144" i="5"/>
  <c r="G144" i="5"/>
  <c r="F144" i="5"/>
  <c r="AQ144" i="5"/>
  <c r="M144" i="5"/>
  <c r="L144" i="5"/>
  <c r="AJ125" i="5"/>
  <c r="O125" i="5"/>
  <c r="AF125" i="5"/>
  <c r="N125" i="5"/>
  <c r="M125" i="5"/>
  <c r="L125" i="5"/>
  <c r="K125" i="5"/>
  <c r="J125" i="5"/>
  <c r="I125" i="5"/>
  <c r="H125" i="5"/>
  <c r="G125" i="5"/>
  <c r="AQ125" i="5"/>
  <c r="F125" i="5"/>
  <c r="E125" i="5"/>
  <c r="D125" i="5"/>
  <c r="C125" i="5"/>
  <c r="B125" i="5"/>
  <c r="A125" i="5"/>
  <c r="C145" i="5"/>
  <c r="B145" i="5"/>
  <c r="A145" i="5"/>
  <c r="AJ145" i="5"/>
  <c r="O145" i="5"/>
  <c r="AF145" i="5"/>
  <c r="N145" i="5"/>
  <c r="M145" i="5"/>
  <c r="L145" i="5"/>
  <c r="I145" i="5"/>
  <c r="K145" i="5"/>
  <c r="J145" i="5"/>
  <c r="H145" i="5"/>
  <c r="G145" i="5"/>
  <c r="AQ145" i="5"/>
  <c r="F145" i="5"/>
  <c r="E145" i="5"/>
  <c r="D145" i="5"/>
  <c r="K182" i="5"/>
  <c r="J182" i="5"/>
  <c r="I182" i="5"/>
  <c r="H182" i="5"/>
  <c r="G182" i="5"/>
  <c r="AQ182" i="5"/>
  <c r="F182" i="5"/>
  <c r="D182" i="5"/>
  <c r="AJ182" i="5"/>
  <c r="O182" i="5"/>
  <c r="A182" i="5"/>
  <c r="AF182" i="5"/>
  <c r="N182" i="5"/>
  <c r="M182" i="5"/>
  <c r="L182" i="5"/>
  <c r="E182" i="5"/>
  <c r="C182" i="5"/>
  <c r="B182" i="5"/>
  <c r="H244" i="5"/>
  <c r="G244" i="5"/>
  <c r="AQ244" i="5"/>
  <c r="F244" i="5"/>
  <c r="E244" i="5"/>
  <c r="D244" i="5"/>
  <c r="C244" i="5"/>
  <c r="B244" i="5"/>
  <c r="A244" i="5"/>
  <c r="AJ244" i="5"/>
  <c r="O244" i="5"/>
  <c r="AF244" i="5"/>
  <c r="N244" i="5"/>
  <c r="L244" i="5"/>
  <c r="M244" i="5"/>
  <c r="K244" i="5"/>
  <c r="J244" i="5"/>
  <c r="I244" i="5"/>
  <c r="AJ172" i="5"/>
  <c r="O172" i="5"/>
  <c r="AF172" i="5"/>
  <c r="N172" i="5"/>
  <c r="M172" i="5"/>
  <c r="L172" i="5"/>
  <c r="K172" i="5"/>
  <c r="J172" i="5"/>
  <c r="G172" i="5"/>
  <c r="F172" i="5"/>
  <c r="E172" i="5"/>
  <c r="D172" i="5"/>
  <c r="C172" i="5"/>
  <c r="B172" i="5"/>
  <c r="A172" i="5"/>
  <c r="AQ172" i="5"/>
  <c r="I172" i="5"/>
  <c r="H172" i="5"/>
  <c r="C222" i="5"/>
  <c r="B222" i="5"/>
  <c r="AJ222" i="5"/>
  <c r="O222" i="5"/>
  <c r="N222" i="5"/>
  <c r="M222" i="5"/>
  <c r="L222" i="5"/>
  <c r="AF222" i="5"/>
  <c r="K222" i="5"/>
  <c r="J222" i="5"/>
  <c r="I222" i="5"/>
  <c r="H222" i="5"/>
  <c r="G222" i="5"/>
  <c r="F222" i="5"/>
  <c r="E222" i="5"/>
  <c r="A222" i="5"/>
  <c r="AQ222" i="5"/>
  <c r="D222" i="5"/>
  <c r="M205" i="5"/>
  <c r="L205" i="5"/>
  <c r="K205" i="5"/>
  <c r="J205" i="5"/>
  <c r="I205" i="5"/>
  <c r="H205" i="5"/>
  <c r="AQ205" i="5"/>
  <c r="O205" i="5"/>
  <c r="N205" i="5"/>
  <c r="G205" i="5"/>
  <c r="F205" i="5"/>
  <c r="E205" i="5"/>
  <c r="D205" i="5"/>
  <c r="AJ205" i="5"/>
  <c r="C205" i="5"/>
  <c r="AF205" i="5"/>
  <c r="B205" i="5"/>
  <c r="A205" i="5"/>
  <c r="G251" i="5"/>
  <c r="AQ251" i="5"/>
  <c r="E251" i="5"/>
  <c r="D251" i="5"/>
  <c r="C251" i="5"/>
  <c r="B251" i="5"/>
  <c r="A251" i="5"/>
  <c r="AJ251" i="5"/>
  <c r="O251" i="5"/>
  <c r="H251" i="5"/>
  <c r="F251" i="5"/>
  <c r="AF251" i="5"/>
  <c r="N251" i="5"/>
  <c r="L251" i="5"/>
  <c r="M251" i="5"/>
  <c r="K251" i="5"/>
  <c r="I251" i="5"/>
  <c r="J251" i="5"/>
  <c r="G299" i="5"/>
  <c r="AQ299" i="5"/>
  <c r="F299" i="5"/>
  <c r="E299" i="5"/>
  <c r="C299" i="5"/>
  <c r="B299" i="5"/>
  <c r="A299" i="5"/>
  <c r="AJ299" i="5"/>
  <c r="O299" i="5"/>
  <c r="N299" i="5"/>
  <c r="M299" i="5"/>
  <c r="L299" i="5"/>
  <c r="K299" i="5"/>
  <c r="J299" i="5"/>
  <c r="I299" i="5"/>
  <c r="H299" i="5"/>
  <c r="D299" i="5"/>
  <c r="AF299" i="5"/>
  <c r="H326" i="5"/>
  <c r="G326" i="5"/>
  <c r="AQ326" i="5"/>
  <c r="F326" i="5"/>
  <c r="E326" i="5"/>
  <c r="D326" i="5"/>
  <c r="O326" i="5"/>
  <c r="N326" i="5"/>
  <c r="M326" i="5"/>
  <c r="L326" i="5"/>
  <c r="K326" i="5"/>
  <c r="AJ326" i="5"/>
  <c r="J326" i="5"/>
  <c r="AF326" i="5"/>
  <c r="I326" i="5"/>
  <c r="A326" i="5"/>
  <c r="C326" i="5"/>
  <c r="B326" i="5"/>
  <c r="E292" i="5"/>
  <c r="D292" i="5"/>
  <c r="C292" i="5"/>
  <c r="A292" i="5"/>
  <c r="AJ292" i="5"/>
  <c r="O292" i="5"/>
  <c r="AF292" i="5"/>
  <c r="N292" i="5"/>
  <c r="M292" i="5"/>
  <c r="L292" i="5"/>
  <c r="K292" i="5"/>
  <c r="J292" i="5"/>
  <c r="I292" i="5"/>
  <c r="H292" i="5"/>
  <c r="G292" i="5"/>
  <c r="AQ292" i="5"/>
  <c r="F292" i="5"/>
  <c r="B292" i="5"/>
  <c r="A310" i="5"/>
  <c r="AJ310" i="5"/>
  <c r="O310" i="5"/>
  <c r="M310" i="5"/>
  <c r="L310" i="5"/>
  <c r="K310" i="5"/>
  <c r="J310" i="5"/>
  <c r="I310" i="5"/>
  <c r="H310" i="5"/>
  <c r="N310" i="5"/>
  <c r="G310" i="5"/>
  <c r="F310" i="5"/>
  <c r="E310" i="5"/>
  <c r="AQ310" i="5"/>
  <c r="D310" i="5"/>
  <c r="C310" i="5"/>
  <c r="B310" i="5"/>
  <c r="AF310" i="5"/>
  <c r="C381" i="5"/>
  <c r="G381" i="5"/>
  <c r="F381" i="5"/>
  <c r="E381" i="5"/>
  <c r="AQ381" i="5"/>
  <c r="D381" i="5"/>
  <c r="B381" i="5"/>
  <c r="A381" i="5"/>
  <c r="AJ381" i="5"/>
  <c r="N381" i="5"/>
  <c r="AF381" i="5"/>
  <c r="M381" i="5"/>
  <c r="K381" i="5"/>
  <c r="L381" i="5"/>
  <c r="J381" i="5"/>
  <c r="I381" i="5"/>
  <c r="H381" i="5"/>
  <c r="O381" i="5"/>
  <c r="H334" i="5"/>
  <c r="G334" i="5"/>
  <c r="AQ334" i="5"/>
  <c r="F334" i="5"/>
  <c r="E334" i="5"/>
  <c r="D334" i="5"/>
  <c r="M334" i="5"/>
  <c r="L334" i="5"/>
  <c r="K334" i="5"/>
  <c r="AJ334" i="5"/>
  <c r="J334" i="5"/>
  <c r="AF334" i="5"/>
  <c r="I334" i="5"/>
  <c r="C334" i="5"/>
  <c r="B334" i="5"/>
  <c r="A334" i="5"/>
  <c r="O334" i="5"/>
  <c r="N334" i="5"/>
  <c r="B345" i="5"/>
  <c r="A345" i="5"/>
  <c r="AJ345" i="5"/>
  <c r="O345" i="5"/>
  <c r="AF345" i="5"/>
  <c r="N345" i="5"/>
  <c r="M345" i="5"/>
  <c r="L345" i="5"/>
  <c r="AQ345" i="5"/>
  <c r="F345" i="5"/>
  <c r="K345" i="5"/>
  <c r="J345" i="5"/>
  <c r="I345" i="5"/>
  <c r="H345" i="5"/>
  <c r="G345" i="5"/>
  <c r="E345" i="5"/>
  <c r="D345" i="5"/>
  <c r="C345" i="5"/>
  <c r="K388" i="5"/>
  <c r="J388" i="5"/>
  <c r="I388" i="5"/>
  <c r="H388" i="5"/>
  <c r="G388" i="5"/>
  <c r="E388" i="5"/>
  <c r="AQ388" i="5"/>
  <c r="O388" i="5"/>
  <c r="N388" i="5"/>
  <c r="M388" i="5"/>
  <c r="L388" i="5"/>
  <c r="F388" i="5"/>
  <c r="D388" i="5"/>
  <c r="AJ388" i="5"/>
  <c r="C388" i="5"/>
  <c r="A388" i="5"/>
  <c r="AF388" i="5"/>
  <c r="B388" i="5"/>
  <c r="AF359" i="5"/>
  <c r="N359" i="5"/>
  <c r="M359" i="5"/>
  <c r="K359" i="5"/>
  <c r="J359" i="5"/>
  <c r="D359" i="5"/>
  <c r="C359" i="5"/>
  <c r="B359" i="5"/>
  <c r="A359" i="5"/>
  <c r="AQ359" i="5"/>
  <c r="H359" i="5"/>
  <c r="O359" i="5"/>
  <c r="L359" i="5"/>
  <c r="I359" i="5"/>
  <c r="G359" i="5"/>
  <c r="F359" i="5"/>
  <c r="E359" i="5"/>
  <c r="AJ359" i="5"/>
  <c r="G419" i="5"/>
  <c r="J419" i="5"/>
  <c r="I419" i="5"/>
  <c r="E419" i="5"/>
  <c r="D419" i="5"/>
  <c r="AQ419" i="5"/>
  <c r="C419" i="5"/>
  <c r="F419" i="5"/>
  <c r="B419" i="5"/>
  <c r="A419" i="5"/>
  <c r="AJ419" i="5"/>
  <c r="AF419" i="5"/>
  <c r="O419" i="5"/>
  <c r="M419" i="5"/>
  <c r="L419" i="5"/>
  <c r="K419" i="5"/>
  <c r="H419" i="5"/>
  <c r="N419" i="5"/>
  <c r="N424" i="5"/>
  <c r="G424" i="5"/>
  <c r="F424" i="5"/>
  <c r="AQ424" i="5"/>
  <c r="C424" i="5"/>
  <c r="AJ424" i="5"/>
  <c r="B424" i="5"/>
  <c r="AF424" i="5"/>
  <c r="A424" i="5"/>
  <c r="O424" i="5"/>
  <c r="M424" i="5"/>
  <c r="L424" i="5"/>
  <c r="K424" i="5"/>
  <c r="J424" i="5"/>
  <c r="H424" i="5"/>
  <c r="I424" i="5"/>
  <c r="E424" i="5"/>
  <c r="D424" i="5"/>
  <c r="O493" i="5"/>
  <c r="L493" i="5"/>
  <c r="C493" i="5"/>
  <c r="B493" i="5"/>
  <c r="AQ493" i="5"/>
  <c r="A493" i="5"/>
  <c r="AJ493" i="5"/>
  <c r="AF493" i="5"/>
  <c r="J493" i="5"/>
  <c r="I493" i="5"/>
  <c r="H493" i="5"/>
  <c r="G493" i="5"/>
  <c r="F493" i="5"/>
  <c r="E493" i="5"/>
  <c r="D493" i="5"/>
  <c r="N493" i="5"/>
  <c r="M493" i="5"/>
  <c r="K493" i="5"/>
  <c r="O500" i="5"/>
  <c r="N500" i="5"/>
  <c r="M500" i="5"/>
  <c r="L500" i="5"/>
  <c r="I500" i="5"/>
  <c r="H500" i="5"/>
  <c r="G500" i="5"/>
  <c r="F500" i="5"/>
  <c r="E500" i="5"/>
  <c r="D500" i="5"/>
  <c r="AQ500" i="5"/>
  <c r="AJ500" i="5"/>
  <c r="AF500" i="5"/>
  <c r="K500" i="5"/>
  <c r="J500" i="5"/>
  <c r="C500" i="5"/>
  <c r="A500" i="5"/>
  <c r="B500" i="5"/>
  <c r="N456" i="5"/>
  <c r="M456" i="5"/>
  <c r="L456" i="5"/>
  <c r="AJ456" i="5"/>
  <c r="AF456" i="5"/>
  <c r="O456" i="5"/>
  <c r="K456" i="5"/>
  <c r="J456" i="5"/>
  <c r="I456" i="5"/>
  <c r="H456" i="5"/>
  <c r="G456" i="5"/>
  <c r="F456" i="5"/>
  <c r="E456" i="5"/>
  <c r="D456" i="5"/>
  <c r="C456" i="5"/>
  <c r="B456" i="5"/>
  <c r="A456" i="5"/>
  <c r="AQ456" i="5"/>
  <c r="H511" i="5"/>
  <c r="G511" i="5"/>
  <c r="F511" i="5"/>
  <c r="E511" i="5"/>
  <c r="AQ511" i="5"/>
  <c r="D511" i="5"/>
  <c r="AJ511" i="5"/>
  <c r="C511" i="5"/>
  <c r="AF511" i="5"/>
  <c r="B511" i="5"/>
  <c r="A511" i="5"/>
  <c r="N511" i="5"/>
  <c r="M511" i="5"/>
  <c r="L511" i="5"/>
  <c r="K511" i="5"/>
  <c r="J511" i="5"/>
  <c r="I511" i="5"/>
  <c r="O511" i="5"/>
  <c r="AF468" i="5"/>
  <c r="B468" i="5"/>
  <c r="A468" i="5"/>
  <c r="O468" i="5"/>
  <c r="N468" i="5"/>
  <c r="AJ468" i="5"/>
  <c r="M468" i="5"/>
  <c r="L468" i="5"/>
  <c r="K468" i="5"/>
  <c r="J468" i="5"/>
  <c r="I468" i="5"/>
  <c r="H468" i="5"/>
  <c r="G468" i="5"/>
  <c r="F468" i="5"/>
  <c r="E468" i="5"/>
  <c r="AQ468" i="5"/>
  <c r="D468" i="5"/>
  <c r="C468" i="5"/>
  <c r="L555" i="5"/>
  <c r="K555" i="5"/>
  <c r="J555" i="5"/>
  <c r="I555" i="5"/>
  <c r="H555" i="5"/>
  <c r="G555" i="5"/>
  <c r="F555" i="5"/>
  <c r="AJ555" i="5"/>
  <c r="C555" i="5"/>
  <c r="B555" i="5"/>
  <c r="A555" i="5"/>
  <c r="AQ555" i="5"/>
  <c r="AF555" i="5"/>
  <c r="O555" i="5"/>
  <c r="N555" i="5"/>
  <c r="M555" i="5"/>
  <c r="E555" i="5"/>
  <c r="D555" i="5"/>
  <c r="H543" i="5"/>
  <c r="G543" i="5"/>
  <c r="F543" i="5"/>
  <c r="E543" i="5"/>
  <c r="AF543" i="5"/>
  <c r="B543" i="5"/>
  <c r="O543" i="5"/>
  <c r="AQ543" i="5"/>
  <c r="AJ543" i="5"/>
  <c r="N543" i="5"/>
  <c r="M543" i="5"/>
  <c r="L543" i="5"/>
  <c r="K543" i="5"/>
  <c r="J543" i="5"/>
  <c r="I543" i="5"/>
  <c r="D543" i="5"/>
  <c r="A543" i="5"/>
  <c r="C543" i="5"/>
  <c r="A522" i="5"/>
  <c r="O522" i="5"/>
  <c r="N522" i="5"/>
  <c r="M522" i="5"/>
  <c r="L522" i="5"/>
  <c r="K522" i="5"/>
  <c r="C522" i="5"/>
  <c r="B522" i="5"/>
  <c r="AJ522" i="5"/>
  <c r="AF522" i="5"/>
  <c r="AQ522" i="5"/>
  <c r="J522" i="5"/>
  <c r="I522" i="5"/>
  <c r="G522" i="5"/>
  <c r="D522" i="5"/>
  <c r="H522" i="5"/>
  <c r="F522" i="5"/>
  <c r="E522" i="5"/>
  <c r="F553" i="5"/>
  <c r="E553" i="5"/>
  <c r="AQ553" i="5"/>
  <c r="D553" i="5"/>
  <c r="AJ553" i="5"/>
  <c r="C553" i="5"/>
  <c r="AF553" i="5"/>
  <c r="B553" i="5"/>
  <c r="A553" i="5"/>
  <c r="M553" i="5"/>
  <c r="L553" i="5"/>
  <c r="K553" i="5"/>
  <c r="J553" i="5"/>
  <c r="I553" i="5"/>
  <c r="H553" i="5"/>
  <c r="G553" i="5"/>
  <c r="O553" i="5"/>
  <c r="N553" i="5"/>
  <c r="AF557" i="5"/>
  <c r="B557" i="5"/>
  <c r="A557" i="5"/>
  <c r="O557" i="5"/>
  <c r="N557" i="5"/>
  <c r="M557" i="5"/>
  <c r="L557" i="5"/>
  <c r="I557" i="5"/>
  <c r="AQ557" i="5"/>
  <c r="AJ557" i="5"/>
  <c r="K557" i="5"/>
  <c r="J557" i="5"/>
  <c r="H557" i="5"/>
  <c r="G557" i="5"/>
  <c r="F557" i="5"/>
  <c r="E557" i="5"/>
  <c r="D557" i="5"/>
  <c r="C557" i="5"/>
  <c r="AQ614" i="5"/>
  <c r="D614" i="5"/>
  <c r="AJ614" i="5"/>
  <c r="C614" i="5"/>
  <c r="M614" i="5"/>
  <c r="L614" i="5"/>
  <c r="K614" i="5"/>
  <c r="E614" i="5"/>
  <c r="B614" i="5"/>
  <c r="A614" i="5"/>
  <c r="O614" i="5"/>
  <c r="N614" i="5"/>
  <c r="J614" i="5"/>
  <c r="G614" i="5"/>
  <c r="F614" i="5"/>
  <c r="AF614" i="5"/>
  <c r="I614" i="5"/>
  <c r="H614" i="5"/>
  <c r="AF595" i="5"/>
  <c r="B595" i="5"/>
  <c r="A595" i="5"/>
  <c r="O595" i="5"/>
  <c r="L595" i="5"/>
  <c r="E595" i="5"/>
  <c r="D595" i="5"/>
  <c r="C595" i="5"/>
  <c r="AQ595" i="5"/>
  <c r="AJ595" i="5"/>
  <c r="N595" i="5"/>
  <c r="M595" i="5"/>
  <c r="K595" i="5"/>
  <c r="I595" i="5"/>
  <c r="J595" i="5"/>
  <c r="H595" i="5"/>
  <c r="G595" i="5"/>
  <c r="F595" i="5"/>
  <c r="M654" i="5"/>
  <c r="K654" i="5"/>
  <c r="E654" i="5"/>
  <c r="F654" i="5"/>
  <c r="D654" i="5"/>
  <c r="C654" i="5"/>
  <c r="B654" i="5"/>
  <c r="AF654" i="5"/>
  <c r="G654" i="5"/>
  <c r="A654" i="5"/>
  <c r="AQ654" i="5"/>
  <c r="AJ654" i="5"/>
  <c r="O654" i="5"/>
  <c r="N654" i="5"/>
  <c r="L654" i="5"/>
  <c r="J654" i="5"/>
  <c r="I654" i="5"/>
  <c r="H654" i="5"/>
  <c r="AF608" i="5"/>
  <c r="B608" i="5"/>
  <c r="A608" i="5"/>
  <c r="N608" i="5"/>
  <c r="K608" i="5"/>
  <c r="J608" i="5"/>
  <c r="L608" i="5"/>
  <c r="I608" i="5"/>
  <c r="H608" i="5"/>
  <c r="G608" i="5"/>
  <c r="F608" i="5"/>
  <c r="E608" i="5"/>
  <c r="D608" i="5"/>
  <c r="AQ608" i="5"/>
  <c r="C608" i="5"/>
  <c r="AJ608" i="5"/>
  <c r="O608" i="5"/>
  <c r="M608" i="5"/>
  <c r="L699" i="5"/>
  <c r="J699" i="5"/>
  <c r="AQ699" i="5"/>
  <c r="D699" i="5"/>
  <c r="H699" i="5"/>
  <c r="G699" i="5"/>
  <c r="F699" i="5"/>
  <c r="E699" i="5"/>
  <c r="C699" i="5"/>
  <c r="B699" i="5"/>
  <c r="A699" i="5"/>
  <c r="AF699" i="5"/>
  <c r="N699" i="5"/>
  <c r="AJ699" i="5"/>
  <c r="O699" i="5"/>
  <c r="M699" i="5"/>
  <c r="K699" i="5"/>
  <c r="I699" i="5"/>
  <c r="AQ659" i="5"/>
  <c r="D659" i="5"/>
  <c r="AF659" i="5"/>
  <c r="B659" i="5"/>
  <c r="L659" i="5"/>
  <c r="AJ659" i="5"/>
  <c r="O659" i="5"/>
  <c r="K659" i="5"/>
  <c r="M659" i="5"/>
  <c r="J659" i="5"/>
  <c r="I659" i="5"/>
  <c r="H659" i="5"/>
  <c r="G659" i="5"/>
  <c r="F659" i="5"/>
  <c r="E659" i="5"/>
  <c r="C659" i="5"/>
  <c r="A659" i="5"/>
  <c r="N659" i="5"/>
  <c r="AJ672" i="5"/>
  <c r="C672" i="5"/>
  <c r="A672" i="5"/>
  <c r="K672" i="5"/>
  <c r="E672" i="5"/>
  <c r="D672" i="5"/>
  <c r="B672" i="5"/>
  <c r="AQ672" i="5"/>
  <c r="AF672" i="5"/>
  <c r="N672" i="5"/>
  <c r="L672" i="5"/>
  <c r="G672" i="5"/>
  <c r="F672" i="5"/>
  <c r="O672" i="5"/>
  <c r="H672" i="5"/>
  <c r="M672" i="5"/>
  <c r="I672" i="5"/>
  <c r="J672" i="5"/>
  <c r="AJ80" i="5"/>
  <c r="O80" i="5"/>
  <c r="AF80" i="5"/>
  <c r="N80" i="5"/>
  <c r="M80" i="5"/>
  <c r="L80" i="5"/>
  <c r="K80" i="5"/>
  <c r="J80" i="5"/>
  <c r="I80" i="5"/>
  <c r="H80" i="5"/>
  <c r="G80" i="5"/>
  <c r="AQ80" i="5"/>
  <c r="F80" i="5"/>
  <c r="E80" i="5"/>
  <c r="D80" i="5"/>
  <c r="C80" i="5"/>
  <c r="B80" i="5"/>
  <c r="A80" i="5"/>
  <c r="G283" i="5"/>
  <c r="E283" i="5"/>
  <c r="C283" i="5"/>
  <c r="A283" i="5"/>
  <c r="D283" i="5"/>
  <c r="B283" i="5"/>
  <c r="O283" i="5"/>
  <c r="N283" i="5"/>
  <c r="AQ283" i="5"/>
  <c r="M283" i="5"/>
  <c r="L283" i="5"/>
  <c r="AJ283" i="5"/>
  <c r="AF283" i="5"/>
  <c r="J283" i="5"/>
  <c r="K283" i="5"/>
  <c r="I283" i="5"/>
  <c r="H283" i="5"/>
  <c r="F283" i="5"/>
  <c r="M368" i="5"/>
  <c r="L368" i="5"/>
  <c r="K368" i="5"/>
  <c r="J368" i="5"/>
  <c r="I368" i="5"/>
  <c r="H368" i="5"/>
  <c r="E368" i="5"/>
  <c r="D368" i="5"/>
  <c r="AJ368" i="5"/>
  <c r="C368" i="5"/>
  <c r="AF368" i="5"/>
  <c r="B368" i="5"/>
  <c r="A368" i="5"/>
  <c r="O368" i="5"/>
  <c r="AQ368" i="5"/>
  <c r="N368" i="5"/>
  <c r="G368" i="5"/>
  <c r="F368" i="5"/>
  <c r="E694" i="5"/>
  <c r="AJ694" i="5"/>
  <c r="C694" i="5"/>
  <c r="M694" i="5"/>
  <c r="O694" i="5"/>
  <c r="N694" i="5"/>
  <c r="L694" i="5"/>
  <c r="K694" i="5"/>
  <c r="J694" i="5"/>
  <c r="I694" i="5"/>
  <c r="H694" i="5"/>
  <c r="F694" i="5"/>
  <c r="D694" i="5"/>
  <c r="B694" i="5"/>
  <c r="AQ694" i="5"/>
  <c r="AF694" i="5"/>
  <c r="G694" i="5"/>
  <c r="A694" i="5"/>
  <c r="AJ88" i="5"/>
  <c r="O88" i="5"/>
  <c r="AF88" i="5"/>
  <c r="N88" i="5"/>
  <c r="M88" i="5"/>
  <c r="L88" i="5"/>
  <c r="K88" i="5"/>
  <c r="J88" i="5"/>
  <c r="I88" i="5"/>
  <c r="H88" i="5"/>
  <c r="G88" i="5"/>
  <c r="AQ88" i="5"/>
  <c r="F88" i="5"/>
  <c r="E88" i="5"/>
  <c r="D88" i="5"/>
  <c r="C88" i="5"/>
  <c r="B88" i="5"/>
  <c r="A88" i="5"/>
  <c r="A211" i="5"/>
  <c r="AJ211" i="5"/>
  <c r="O211" i="5"/>
  <c r="AF211" i="5"/>
  <c r="N211" i="5"/>
  <c r="M211" i="5"/>
  <c r="L211" i="5"/>
  <c r="K211" i="5"/>
  <c r="J211" i="5"/>
  <c r="I211" i="5"/>
  <c r="H211" i="5"/>
  <c r="G211" i="5"/>
  <c r="E211" i="5"/>
  <c r="AQ211" i="5"/>
  <c r="F211" i="5"/>
  <c r="D211" i="5"/>
  <c r="B211" i="5"/>
  <c r="C211" i="5"/>
  <c r="K361" i="5"/>
  <c r="J361" i="5"/>
  <c r="I361" i="5"/>
  <c r="H361" i="5"/>
  <c r="G361" i="5"/>
  <c r="AQ361" i="5"/>
  <c r="F361" i="5"/>
  <c r="O361" i="5"/>
  <c r="N361" i="5"/>
  <c r="M361" i="5"/>
  <c r="E361" i="5"/>
  <c r="AJ361" i="5"/>
  <c r="C361" i="5"/>
  <c r="AF361" i="5"/>
  <c r="D361" i="5"/>
  <c r="L361" i="5"/>
  <c r="B361" i="5"/>
  <c r="A361" i="5"/>
  <c r="O478" i="5"/>
  <c r="N478" i="5"/>
  <c r="M478" i="5"/>
  <c r="L478" i="5"/>
  <c r="AF478" i="5"/>
  <c r="K478" i="5"/>
  <c r="J478" i="5"/>
  <c r="I478" i="5"/>
  <c r="H478" i="5"/>
  <c r="G478" i="5"/>
  <c r="F478" i="5"/>
  <c r="E478" i="5"/>
  <c r="D478" i="5"/>
  <c r="C478" i="5"/>
  <c r="A478" i="5"/>
  <c r="AQ478" i="5"/>
  <c r="AJ478" i="5"/>
  <c r="B478" i="5"/>
  <c r="J561" i="5"/>
  <c r="I561" i="5"/>
  <c r="O561" i="5"/>
  <c r="N561" i="5"/>
  <c r="M561" i="5"/>
  <c r="L561" i="5"/>
  <c r="K561" i="5"/>
  <c r="F561" i="5"/>
  <c r="E561" i="5"/>
  <c r="AQ561" i="5"/>
  <c r="AJ561" i="5"/>
  <c r="AF561" i="5"/>
  <c r="H561" i="5"/>
  <c r="G561" i="5"/>
  <c r="D561" i="5"/>
  <c r="C561" i="5"/>
  <c r="B561" i="5"/>
  <c r="A561" i="5"/>
  <c r="C78" i="5"/>
  <c r="B78" i="5"/>
  <c r="A78" i="5"/>
  <c r="AJ78" i="5"/>
  <c r="O78" i="5"/>
  <c r="AF78" i="5"/>
  <c r="N78" i="5"/>
  <c r="M78" i="5"/>
  <c r="L78" i="5"/>
  <c r="K78" i="5"/>
  <c r="J78" i="5"/>
  <c r="I78" i="5"/>
  <c r="H78" i="5"/>
  <c r="G78" i="5"/>
  <c r="F78" i="5"/>
  <c r="E78" i="5"/>
  <c r="D78" i="5"/>
  <c r="AQ78" i="5"/>
  <c r="AQ237" i="5"/>
  <c r="F237" i="5"/>
  <c r="E237" i="5"/>
  <c r="D237" i="5"/>
  <c r="C237" i="5"/>
  <c r="B237" i="5"/>
  <c r="A237" i="5"/>
  <c r="AJ237" i="5"/>
  <c r="O237" i="5"/>
  <c r="N237" i="5"/>
  <c r="M237" i="5"/>
  <c r="L237" i="5"/>
  <c r="K237" i="5"/>
  <c r="J237" i="5"/>
  <c r="I237" i="5"/>
  <c r="H237" i="5"/>
  <c r="G237" i="5"/>
  <c r="AF237" i="5"/>
  <c r="AQ382" i="5"/>
  <c r="A382" i="5"/>
  <c r="H382" i="5"/>
  <c r="G382" i="5"/>
  <c r="F382" i="5"/>
  <c r="E382" i="5"/>
  <c r="D382" i="5"/>
  <c r="C382" i="5"/>
  <c r="B382" i="5"/>
  <c r="O382" i="5"/>
  <c r="N382" i="5"/>
  <c r="AJ382" i="5"/>
  <c r="L382" i="5"/>
  <c r="M382" i="5"/>
  <c r="K382" i="5"/>
  <c r="J382" i="5"/>
  <c r="I382" i="5"/>
  <c r="AF382" i="5"/>
  <c r="A465" i="5"/>
  <c r="O465" i="5"/>
  <c r="N465" i="5"/>
  <c r="M465" i="5"/>
  <c r="I465" i="5"/>
  <c r="H465" i="5"/>
  <c r="G465" i="5"/>
  <c r="F465" i="5"/>
  <c r="E465" i="5"/>
  <c r="D465" i="5"/>
  <c r="C465" i="5"/>
  <c r="B465" i="5"/>
  <c r="AF465" i="5"/>
  <c r="J465" i="5"/>
  <c r="AQ465" i="5"/>
  <c r="AJ465" i="5"/>
  <c r="K465" i="5"/>
  <c r="L465" i="5"/>
  <c r="N657" i="5"/>
  <c r="L657" i="5"/>
  <c r="F657" i="5"/>
  <c r="B657" i="5"/>
  <c r="AQ657" i="5"/>
  <c r="A657" i="5"/>
  <c r="AJ657" i="5"/>
  <c r="AF657" i="5"/>
  <c r="O657" i="5"/>
  <c r="M657" i="5"/>
  <c r="K657" i="5"/>
  <c r="J657" i="5"/>
  <c r="I657" i="5"/>
  <c r="H657" i="5"/>
  <c r="G657" i="5"/>
  <c r="E657" i="5"/>
  <c r="D657" i="5"/>
  <c r="C657" i="5"/>
  <c r="G52" i="5"/>
  <c r="AQ52" i="5"/>
  <c r="F52" i="5"/>
  <c r="E52" i="5"/>
  <c r="D52" i="5"/>
  <c r="C52" i="5"/>
  <c r="B52" i="5"/>
  <c r="M52" i="5"/>
  <c r="O52" i="5"/>
  <c r="N52" i="5"/>
  <c r="L52" i="5"/>
  <c r="K52" i="5"/>
  <c r="J52" i="5"/>
  <c r="I52" i="5"/>
  <c r="H52" i="5"/>
  <c r="AJ52" i="5"/>
  <c r="A52" i="5"/>
  <c r="AF52" i="5"/>
  <c r="G200" i="5"/>
  <c r="AQ200" i="5"/>
  <c r="F200" i="5"/>
  <c r="E200" i="5"/>
  <c r="D200" i="5"/>
  <c r="C200" i="5"/>
  <c r="B200" i="5"/>
  <c r="K200" i="5"/>
  <c r="J200" i="5"/>
  <c r="AJ200" i="5"/>
  <c r="I200" i="5"/>
  <c r="AF200" i="5"/>
  <c r="H200" i="5"/>
  <c r="A200" i="5"/>
  <c r="O200" i="5"/>
  <c r="N200" i="5"/>
  <c r="M200" i="5"/>
  <c r="L200" i="5"/>
  <c r="AQ372" i="5"/>
  <c r="E372" i="5"/>
  <c r="D372" i="5"/>
  <c r="C372" i="5"/>
  <c r="B372" i="5"/>
  <c r="A372" i="5"/>
  <c r="AJ372" i="5"/>
  <c r="O372" i="5"/>
  <c r="J372" i="5"/>
  <c r="N372" i="5"/>
  <c r="M372" i="5"/>
  <c r="L372" i="5"/>
  <c r="K372" i="5"/>
  <c r="H372" i="5"/>
  <c r="F372" i="5"/>
  <c r="AF372" i="5"/>
  <c r="I372" i="5"/>
  <c r="G372" i="5"/>
  <c r="K494" i="5"/>
  <c r="J494" i="5"/>
  <c r="G494" i="5"/>
  <c r="AQ494" i="5"/>
  <c r="A494" i="5"/>
  <c r="AJ494" i="5"/>
  <c r="AF494" i="5"/>
  <c r="O494" i="5"/>
  <c r="N494" i="5"/>
  <c r="M494" i="5"/>
  <c r="L494" i="5"/>
  <c r="I494" i="5"/>
  <c r="H494" i="5"/>
  <c r="F494" i="5"/>
  <c r="E494" i="5"/>
  <c r="D494" i="5"/>
  <c r="C494" i="5"/>
  <c r="B494" i="5"/>
  <c r="L606" i="5"/>
  <c r="K606" i="5"/>
  <c r="H606" i="5"/>
  <c r="E606" i="5"/>
  <c r="AQ606" i="5"/>
  <c r="D606" i="5"/>
  <c r="G606" i="5"/>
  <c r="F606" i="5"/>
  <c r="C606" i="5"/>
  <c r="B606" i="5"/>
  <c r="A606" i="5"/>
  <c r="O606" i="5"/>
  <c r="AJ606" i="5"/>
  <c r="AF606" i="5"/>
  <c r="N606" i="5"/>
  <c r="M606" i="5"/>
  <c r="I606" i="5"/>
  <c r="J606" i="5"/>
  <c r="L18" i="5"/>
  <c r="K18" i="5"/>
  <c r="J18" i="5"/>
  <c r="I18" i="5"/>
  <c r="H18" i="5"/>
  <c r="G18" i="5"/>
  <c r="AQ18" i="5"/>
  <c r="F18" i="5"/>
  <c r="E18" i="5"/>
  <c r="C18" i="5"/>
  <c r="O18" i="5"/>
  <c r="N18" i="5"/>
  <c r="M18" i="5"/>
  <c r="D18" i="5"/>
  <c r="B18" i="5"/>
  <c r="A18" i="5"/>
  <c r="AJ18" i="5"/>
  <c r="AF18" i="5"/>
  <c r="AQ168" i="5"/>
  <c r="F168" i="5"/>
  <c r="E168" i="5"/>
  <c r="D168" i="5"/>
  <c r="C168" i="5"/>
  <c r="B168" i="5"/>
  <c r="G168" i="5"/>
  <c r="A168" i="5"/>
  <c r="O168" i="5"/>
  <c r="N168" i="5"/>
  <c r="M168" i="5"/>
  <c r="L168" i="5"/>
  <c r="K168" i="5"/>
  <c r="J168" i="5"/>
  <c r="I168" i="5"/>
  <c r="H168" i="5"/>
  <c r="AJ168" i="5"/>
  <c r="AF168" i="5"/>
  <c r="AQ351" i="5"/>
  <c r="F351" i="5"/>
  <c r="E351" i="5"/>
  <c r="D351" i="5"/>
  <c r="C351" i="5"/>
  <c r="B351" i="5"/>
  <c r="A351" i="5"/>
  <c r="J351" i="5"/>
  <c r="L351" i="5"/>
  <c r="K351" i="5"/>
  <c r="I351" i="5"/>
  <c r="H351" i="5"/>
  <c r="G351" i="5"/>
  <c r="AJ351" i="5"/>
  <c r="AF351" i="5"/>
  <c r="O351" i="5"/>
  <c r="N351" i="5"/>
  <c r="M351" i="5"/>
  <c r="AJ455" i="5"/>
  <c r="C455" i="5"/>
  <c r="AF455" i="5"/>
  <c r="B455" i="5"/>
  <c r="A455" i="5"/>
  <c r="AQ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M81" i="5"/>
  <c r="L81" i="5"/>
  <c r="K81" i="5"/>
  <c r="J81" i="5"/>
  <c r="I81" i="5"/>
  <c r="H81" i="5"/>
  <c r="G81" i="5"/>
  <c r="AQ81" i="5"/>
  <c r="F81" i="5"/>
  <c r="E81" i="5"/>
  <c r="D81" i="5"/>
  <c r="C81" i="5"/>
  <c r="B81" i="5"/>
  <c r="A81" i="5"/>
  <c r="AJ81" i="5"/>
  <c r="AF81" i="5"/>
  <c r="O81" i="5"/>
  <c r="N81" i="5"/>
  <c r="K226" i="5"/>
  <c r="J226" i="5"/>
  <c r="I226" i="5"/>
  <c r="H226" i="5"/>
  <c r="G226" i="5"/>
  <c r="O226" i="5"/>
  <c r="N226" i="5"/>
  <c r="M226" i="5"/>
  <c r="L226" i="5"/>
  <c r="F226" i="5"/>
  <c r="AJ226" i="5"/>
  <c r="E226" i="5"/>
  <c r="AF226" i="5"/>
  <c r="D226" i="5"/>
  <c r="C226" i="5"/>
  <c r="B226" i="5"/>
  <c r="A226" i="5"/>
  <c r="AQ226" i="5"/>
  <c r="M288" i="5"/>
  <c r="L288" i="5"/>
  <c r="K288" i="5"/>
  <c r="I288" i="5"/>
  <c r="G288" i="5"/>
  <c r="AQ288" i="5"/>
  <c r="F288" i="5"/>
  <c r="E288" i="5"/>
  <c r="AJ288" i="5"/>
  <c r="A288" i="5"/>
  <c r="AF288" i="5"/>
  <c r="O288" i="5"/>
  <c r="N288" i="5"/>
  <c r="J288" i="5"/>
  <c r="H288" i="5"/>
  <c r="C288" i="5"/>
  <c r="D288" i="5"/>
  <c r="B288" i="5"/>
  <c r="I498" i="5"/>
  <c r="H498" i="5"/>
  <c r="G498" i="5"/>
  <c r="F498" i="5"/>
  <c r="AJ498" i="5"/>
  <c r="C498" i="5"/>
  <c r="D498" i="5"/>
  <c r="B498" i="5"/>
  <c r="A498" i="5"/>
  <c r="AQ498" i="5"/>
  <c r="AF498" i="5"/>
  <c r="O498" i="5"/>
  <c r="N498" i="5"/>
  <c r="L498" i="5"/>
  <c r="M498" i="5"/>
  <c r="K498" i="5"/>
  <c r="J498" i="5"/>
  <c r="E498" i="5"/>
  <c r="E627" i="5"/>
  <c r="AQ627" i="5"/>
  <c r="D627" i="5"/>
  <c r="AJ627" i="5"/>
  <c r="C627" i="5"/>
  <c r="AF627" i="5"/>
  <c r="B627" i="5"/>
  <c r="A627" i="5"/>
  <c r="O627" i="5"/>
  <c r="N627" i="5"/>
  <c r="M627" i="5"/>
  <c r="L627" i="5"/>
  <c r="K627" i="5"/>
  <c r="J627" i="5"/>
  <c r="I627" i="5"/>
  <c r="H627" i="5"/>
  <c r="G627" i="5"/>
  <c r="F627" i="5"/>
  <c r="A71" i="5"/>
  <c r="AJ71" i="5"/>
  <c r="O71" i="5"/>
  <c r="AF71" i="5"/>
  <c r="N71" i="5"/>
  <c r="M71" i="5"/>
  <c r="L71" i="5"/>
  <c r="K71" i="5"/>
  <c r="J71" i="5"/>
  <c r="I71" i="5"/>
  <c r="H71" i="5"/>
  <c r="G71" i="5"/>
  <c r="AQ71" i="5"/>
  <c r="F71" i="5"/>
  <c r="E71" i="5"/>
  <c r="D71" i="5"/>
  <c r="C71" i="5"/>
  <c r="B71" i="5"/>
  <c r="I59" i="5"/>
  <c r="H59" i="5"/>
  <c r="G59" i="5"/>
  <c r="AQ59" i="5"/>
  <c r="F59" i="5"/>
  <c r="E59" i="5"/>
  <c r="D59" i="5"/>
  <c r="C59" i="5"/>
  <c r="B59" i="5"/>
  <c r="AJ59" i="5"/>
  <c r="O59" i="5"/>
  <c r="N59" i="5"/>
  <c r="M59" i="5"/>
  <c r="L59" i="5"/>
  <c r="K59" i="5"/>
  <c r="J59" i="5"/>
  <c r="A59" i="5"/>
  <c r="AF59" i="5"/>
  <c r="K90" i="5"/>
  <c r="J90" i="5"/>
  <c r="I90" i="5"/>
  <c r="H90" i="5"/>
  <c r="G90" i="5"/>
  <c r="AQ90" i="5"/>
  <c r="F90" i="5"/>
  <c r="E90" i="5"/>
  <c r="D90" i="5"/>
  <c r="C90" i="5"/>
  <c r="B90" i="5"/>
  <c r="A90" i="5"/>
  <c r="AJ90" i="5"/>
  <c r="O90" i="5"/>
  <c r="AF90" i="5"/>
  <c r="N90" i="5"/>
  <c r="M90" i="5"/>
  <c r="L90" i="5"/>
  <c r="E98" i="5"/>
  <c r="D98" i="5"/>
  <c r="C98" i="5"/>
  <c r="B98" i="5"/>
  <c r="A98" i="5"/>
  <c r="K98" i="5"/>
  <c r="AQ98" i="5"/>
  <c r="H98" i="5"/>
  <c r="AJ98" i="5"/>
  <c r="G98" i="5"/>
  <c r="AF98" i="5"/>
  <c r="F98" i="5"/>
  <c r="O98" i="5"/>
  <c r="N98" i="5"/>
  <c r="M98" i="5"/>
  <c r="L98" i="5"/>
  <c r="J98" i="5"/>
  <c r="I98" i="5"/>
  <c r="D161" i="5"/>
  <c r="C161" i="5"/>
  <c r="B161" i="5"/>
  <c r="A161" i="5"/>
  <c r="G161" i="5"/>
  <c r="F161" i="5"/>
  <c r="E161" i="5"/>
  <c r="O161" i="5"/>
  <c r="N161" i="5"/>
  <c r="M161" i="5"/>
  <c r="AQ161" i="5"/>
  <c r="L161" i="5"/>
  <c r="K161" i="5"/>
  <c r="AJ161" i="5"/>
  <c r="AF161" i="5"/>
  <c r="J161" i="5"/>
  <c r="I161" i="5"/>
  <c r="H161" i="5"/>
  <c r="C99" i="5"/>
  <c r="B99" i="5"/>
  <c r="A99" i="5"/>
  <c r="AJ99" i="5"/>
  <c r="O99" i="5"/>
  <c r="AF99" i="5"/>
  <c r="N99" i="5"/>
  <c r="M99" i="5"/>
  <c r="L99" i="5"/>
  <c r="I99" i="5"/>
  <c r="K99" i="5"/>
  <c r="J99" i="5"/>
  <c r="H99" i="5"/>
  <c r="G99" i="5"/>
  <c r="F99" i="5"/>
  <c r="E99" i="5"/>
  <c r="AQ99" i="5"/>
  <c r="D99" i="5"/>
  <c r="M94" i="5"/>
  <c r="L94" i="5"/>
  <c r="K94" i="5"/>
  <c r="J94" i="5"/>
  <c r="I94" i="5"/>
  <c r="H94" i="5"/>
  <c r="C94" i="5"/>
  <c r="F94" i="5"/>
  <c r="E94" i="5"/>
  <c r="D94" i="5"/>
  <c r="B94" i="5"/>
  <c r="AJ94" i="5"/>
  <c r="A94" i="5"/>
  <c r="AF94" i="5"/>
  <c r="AQ94" i="5"/>
  <c r="O94" i="5"/>
  <c r="N94" i="5"/>
  <c r="G94" i="5"/>
  <c r="C153" i="5"/>
  <c r="B153" i="5"/>
  <c r="A153" i="5"/>
  <c r="AJ153" i="5"/>
  <c r="O153" i="5"/>
  <c r="AF153" i="5"/>
  <c r="N153" i="5"/>
  <c r="M153" i="5"/>
  <c r="L153" i="5"/>
  <c r="K153" i="5"/>
  <c r="J153" i="5"/>
  <c r="I153" i="5"/>
  <c r="H153" i="5"/>
  <c r="G153" i="5"/>
  <c r="F153" i="5"/>
  <c r="E153" i="5"/>
  <c r="D153" i="5"/>
  <c r="AQ153" i="5"/>
  <c r="AJ139" i="5"/>
  <c r="O139" i="5"/>
  <c r="AF139" i="5"/>
  <c r="N139" i="5"/>
  <c r="M139" i="5"/>
  <c r="L139" i="5"/>
  <c r="K139" i="5"/>
  <c r="J139" i="5"/>
  <c r="I139" i="5"/>
  <c r="H139" i="5"/>
  <c r="AQ139" i="5"/>
  <c r="G139" i="5"/>
  <c r="F139" i="5"/>
  <c r="E139" i="5"/>
  <c r="D139" i="5"/>
  <c r="C139" i="5"/>
  <c r="B139" i="5"/>
  <c r="A139" i="5"/>
  <c r="D230" i="5"/>
  <c r="C230" i="5"/>
  <c r="B230" i="5"/>
  <c r="A230" i="5"/>
  <c r="AJ230" i="5"/>
  <c r="O230" i="5"/>
  <c r="F230" i="5"/>
  <c r="E230" i="5"/>
  <c r="N230" i="5"/>
  <c r="M230" i="5"/>
  <c r="L230" i="5"/>
  <c r="AQ230" i="5"/>
  <c r="J230" i="5"/>
  <c r="AF230" i="5"/>
  <c r="K230" i="5"/>
  <c r="I230" i="5"/>
  <c r="G230" i="5"/>
  <c r="H230" i="5"/>
  <c r="AJ180" i="5"/>
  <c r="O180" i="5"/>
  <c r="AF180" i="5"/>
  <c r="N180" i="5"/>
  <c r="M180" i="5"/>
  <c r="L180" i="5"/>
  <c r="K180" i="5"/>
  <c r="J180" i="5"/>
  <c r="H180" i="5"/>
  <c r="C180" i="5"/>
  <c r="E180" i="5"/>
  <c r="D180" i="5"/>
  <c r="B180" i="5"/>
  <c r="A180" i="5"/>
  <c r="F180" i="5"/>
  <c r="AQ180" i="5"/>
  <c r="I180" i="5"/>
  <c r="G180" i="5"/>
  <c r="I227" i="5"/>
  <c r="H227" i="5"/>
  <c r="G227" i="5"/>
  <c r="AQ227" i="5"/>
  <c r="F227" i="5"/>
  <c r="E227" i="5"/>
  <c r="M227" i="5"/>
  <c r="L227" i="5"/>
  <c r="K227" i="5"/>
  <c r="AJ227" i="5"/>
  <c r="J227" i="5"/>
  <c r="AF227" i="5"/>
  <c r="D227" i="5"/>
  <c r="C227" i="5"/>
  <c r="B227" i="5"/>
  <c r="A227" i="5"/>
  <c r="O227" i="5"/>
  <c r="N227" i="5"/>
  <c r="M213" i="5"/>
  <c r="L213" i="5"/>
  <c r="K213" i="5"/>
  <c r="J213" i="5"/>
  <c r="I213" i="5"/>
  <c r="H213" i="5"/>
  <c r="G213" i="5"/>
  <c r="AQ213" i="5"/>
  <c r="F213" i="5"/>
  <c r="E213" i="5"/>
  <c r="D213" i="5"/>
  <c r="C213" i="5"/>
  <c r="A213" i="5"/>
  <c r="N213" i="5"/>
  <c r="B213" i="5"/>
  <c r="AF213" i="5"/>
  <c r="AJ213" i="5"/>
  <c r="O213" i="5"/>
  <c r="K265" i="5"/>
  <c r="J265" i="5"/>
  <c r="I265" i="5"/>
  <c r="H265" i="5"/>
  <c r="G265" i="5"/>
  <c r="AQ265" i="5"/>
  <c r="F265" i="5"/>
  <c r="E265" i="5"/>
  <c r="D265" i="5"/>
  <c r="C265" i="5"/>
  <c r="AJ265" i="5"/>
  <c r="AF265" i="5"/>
  <c r="O265" i="5"/>
  <c r="N265" i="5"/>
  <c r="L265" i="5"/>
  <c r="M265" i="5"/>
  <c r="B265" i="5"/>
  <c r="A265" i="5"/>
  <c r="E252" i="5"/>
  <c r="D252" i="5"/>
  <c r="C252" i="5"/>
  <c r="B252" i="5"/>
  <c r="A252" i="5"/>
  <c r="AJ252" i="5"/>
  <c r="O252" i="5"/>
  <c r="AF252" i="5"/>
  <c r="N252" i="5"/>
  <c r="M252" i="5"/>
  <c r="L252" i="5"/>
  <c r="K252" i="5"/>
  <c r="J252" i="5"/>
  <c r="I252" i="5"/>
  <c r="H252" i="5"/>
  <c r="G252" i="5"/>
  <c r="AQ252" i="5"/>
  <c r="F252" i="5"/>
  <c r="D352" i="5"/>
  <c r="C352" i="5"/>
  <c r="B352" i="5"/>
  <c r="A352" i="5"/>
  <c r="AJ352" i="5"/>
  <c r="O352" i="5"/>
  <c r="AF352" i="5"/>
  <c r="N352" i="5"/>
  <c r="H352" i="5"/>
  <c r="M352" i="5"/>
  <c r="L352" i="5"/>
  <c r="K352" i="5"/>
  <c r="J352" i="5"/>
  <c r="I352" i="5"/>
  <c r="G352" i="5"/>
  <c r="AQ352" i="5"/>
  <c r="F352" i="5"/>
  <c r="E352" i="5"/>
  <c r="E300" i="5"/>
  <c r="D300" i="5"/>
  <c r="C300" i="5"/>
  <c r="A300" i="5"/>
  <c r="AJ300" i="5"/>
  <c r="O300" i="5"/>
  <c r="AF300" i="5"/>
  <c r="N300" i="5"/>
  <c r="M300" i="5"/>
  <c r="L300" i="5"/>
  <c r="K300" i="5"/>
  <c r="J300" i="5"/>
  <c r="AQ300" i="5"/>
  <c r="I300" i="5"/>
  <c r="G300" i="5"/>
  <c r="H300" i="5"/>
  <c r="B300" i="5"/>
  <c r="F300" i="5"/>
  <c r="L324" i="5"/>
  <c r="K324" i="5"/>
  <c r="J324" i="5"/>
  <c r="I324" i="5"/>
  <c r="H324" i="5"/>
  <c r="A324" i="5"/>
  <c r="AQ324" i="5"/>
  <c r="O324" i="5"/>
  <c r="G324" i="5"/>
  <c r="AJ324" i="5"/>
  <c r="N324" i="5"/>
  <c r="M324" i="5"/>
  <c r="F324" i="5"/>
  <c r="E324" i="5"/>
  <c r="AF324" i="5"/>
  <c r="D324" i="5"/>
  <c r="C324" i="5"/>
  <c r="B324" i="5"/>
  <c r="A385" i="5"/>
  <c r="AJ385" i="5"/>
  <c r="O385" i="5"/>
  <c r="K385" i="5"/>
  <c r="C385" i="5"/>
  <c r="B385" i="5"/>
  <c r="AQ385" i="5"/>
  <c r="N385" i="5"/>
  <c r="M385" i="5"/>
  <c r="J385" i="5"/>
  <c r="AF385" i="5"/>
  <c r="I385" i="5"/>
  <c r="G385" i="5"/>
  <c r="E385" i="5"/>
  <c r="D385" i="5"/>
  <c r="F385" i="5"/>
  <c r="H385" i="5"/>
  <c r="L385" i="5"/>
  <c r="D344" i="5"/>
  <c r="C344" i="5"/>
  <c r="B344" i="5"/>
  <c r="A344" i="5"/>
  <c r="AJ344" i="5"/>
  <c r="O344" i="5"/>
  <c r="AF344" i="5"/>
  <c r="N344" i="5"/>
  <c r="H344" i="5"/>
  <c r="J344" i="5"/>
  <c r="I344" i="5"/>
  <c r="G344" i="5"/>
  <c r="AQ344" i="5"/>
  <c r="F344" i="5"/>
  <c r="E344" i="5"/>
  <c r="M344" i="5"/>
  <c r="L344" i="5"/>
  <c r="K344" i="5"/>
  <c r="B353" i="5"/>
  <c r="A353" i="5"/>
  <c r="AJ353" i="5"/>
  <c r="O353" i="5"/>
  <c r="AF353" i="5"/>
  <c r="N353" i="5"/>
  <c r="M353" i="5"/>
  <c r="L353" i="5"/>
  <c r="K353" i="5"/>
  <c r="AQ353" i="5"/>
  <c r="F353" i="5"/>
  <c r="H353" i="5"/>
  <c r="G353" i="5"/>
  <c r="E353" i="5"/>
  <c r="D353" i="5"/>
  <c r="C353" i="5"/>
  <c r="I353" i="5"/>
  <c r="J353" i="5"/>
  <c r="I389" i="5"/>
  <c r="H389" i="5"/>
  <c r="G389" i="5"/>
  <c r="AQ389" i="5"/>
  <c r="F389" i="5"/>
  <c r="E389" i="5"/>
  <c r="C389" i="5"/>
  <c r="O389" i="5"/>
  <c r="N389" i="5"/>
  <c r="M389" i="5"/>
  <c r="L389" i="5"/>
  <c r="K389" i="5"/>
  <c r="J389" i="5"/>
  <c r="AJ389" i="5"/>
  <c r="D389" i="5"/>
  <c r="A389" i="5"/>
  <c r="AF389" i="5"/>
  <c r="B389" i="5"/>
  <c r="AJ367" i="5"/>
  <c r="O367" i="5"/>
  <c r="AF367" i="5"/>
  <c r="N367" i="5"/>
  <c r="M367" i="5"/>
  <c r="L367" i="5"/>
  <c r="K367" i="5"/>
  <c r="J367" i="5"/>
  <c r="E367" i="5"/>
  <c r="D367" i="5"/>
  <c r="C367" i="5"/>
  <c r="B367" i="5"/>
  <c r="A367" i="5"/>
  <c r="I367" i="5"/>
  <c r="H367" i="5"/>
  <c r="G367" i="5"/>
  <c r="F367" i="5"/>
  <c r="AQ367" i="5"/>
  <c r="I425" i="5"/>
  <c r="AQ425" i="5"/>
  <c r="C425" i="5"/>
  <c r="AJ425" i="5"/>
  <c r="B425" i="5"/>
  <c r="O425" i="5"/>
  <c r="N425" i="5"/>
  <c r="E425" i="5"/>
  <c r="D425" i="5"/>
  <c r="A425" i="5"/>
  <c r="AF425" i="5"/>
  <c r="M425" i="5"/>
  <c r="L425" i="5"/>
  <c r="K425" i="5"/>
  <c r="J425" i="5"/>
  <c r="H425" i="5"/>
  <c r="G425" i="5"/>
  <c r="F425" i="5"/>
  <c r="L450" i="5"/>
  <c r="K450" i="5"/>
  <c r="H450" i="5"/>
  <c r="G450" i="5"/>
  <c r="F450" i="5"/>
  <c r="E450" i="5"/>
  <c r="D450" i="5"/>
  <c r="C450" i="5"/>
  <c r="AQ450" i="5"/>
  <c r="B450" i="5"/>
  <c r="AJ450" i="5"/>
  <c r="A450" i="5"/>
  <c r="AF450" i="5"/>
  <c r="O450" i="5"/>
  <c r="N450" i="5"/>
  <c r="M450" i="5"/>
  <c r="J450" i="5"/>
  <c r="I450" i="5"/>
  <c r="J501" i="5"/>
  <c r="I501" i="5"/>
  <c r="H501" i="5"/>
  <c r="G501" i="5"/>
  <c r="AQ501" i="5"/>
  <c r="D501" i="5"/>
  <c r="M501" i="5"/>
  <c r="L501" i="5"/>
  <c r="K501" i="5"/>
  <c r="F501" i="5"/>
  <c r="E501" i="5"/>
  <c r="A501" i="5"/>
  <c r="C501" i="5"/>
  <c r="B501" i="5"/>
  <c r="AJ501" i="5"/>
  <c r="AF501" i="5"/>
  <c r="O501" i="5"/>
  <c r="N501" i="5"/>
  <c r="K520" i="5"/>
  <c r="J520" i="5"/>
  <c r="I520" i="5"/>
  <c r="H520" i="5"/>
  <c r="G520" i="5"/>
  <c r="F520" i="5"/>
  <c r="E520" i="5"/>
  <c r="O520" i="5"/>
  <c r="N520" i="5"/>
  <c r="M520" i="5"/>
  <c r="L520" i="5"/>
  <c r="D520" i="5"/>
  <c r="C520" i="5"/>
  <c r="A520" i="5"/>
  <c r="AQ520" i="5"/>
  <c r="AJ520" i="5"/>
  <c r="AF520" i="5"/>
  <c r="B520" i="5"/>
  <c r="M469" i="5"/>
  <c r="L469" i="5"/>
  <c r="K469" i="5"/>
  <c r="J469" i="5"/>
  <c r="I469" i="5"/>
  <c r="AJ469" i="5"/>
  <c r="AF469" i="5"/>
  <c r="O469" i="5"/>
  <c r="N469" i="5"/>
  <c r="H469" i="5"/>
  <c r="G469" i="5"/>
  <c r="F469" i="5"/>
  <c r="E469" i="5"/>
  <c r="B469" i="5"/>
  <c r="AQ469" i="5"/>
  <c r="D469" i="5"/>
  <c r="C469" i="5"/>
  <c r="A469" i="5"/>
  <c r="M510" i="5"/>
  <c r="L510" i="5"/>
  <c r="K510" i="5"/>
  <c r="J510" i="5"/>
  <c r="I510" i="5"/>
  <c r="H510" i="5"/>
  <c r="G510" i="5"/>
  <c r="AQ510" i="5"/>
  <c r="AJ510" i="5"/>
  <c r="AF510" i="5"/>
  <c r="O510" i="5"/>
  <c r="N510" i="5"/>
  <c r="F510" i="5"/>
  <c r="E510" i="5"/>
  <c r="D510" i="5"/>
  <c r="B510" i="5"/>
  <c r="C510" i="5"/>
  <c r="A510" i="5"/>
  <c r="AJ486" i="5"/>
  <c r="C486" i="5"/>
  <c r="AF486" i="5"/>
  <c r="B486" i="5"/>
  <c r="AQ486" i="5"/>
  <c r="O486" i="5"/>
  <c r="N486" i="5"/>
  <c r="M486" i="5"/>
  <c r="L486" i="5"/>
  <c r="K486" i="5"/>
  <c r="J486" i="5"/>
  <c r="I486" i="5"/>
  <c r="H486" i="5"/>
  <c r="G486" i="5"/>
  <c r="E486" i="5"/>
  <c r="F486" i="5"/>
  <c r="D486" i="5"/>
  <c r="A486" i="5"/>
  <c r="E562" i="5"/>
  <c r="AQ562" i="5"/>
  <c r="D562" i="5"/>
  <c r="N562" i="5"/>
  <c r="M562" i="5"/>
  <c r="L562" i="5"/>
  <c r="K562" i="5"/>
  <c r="J562" i="5"/>
  <c r="I562" i="5"/>
  <c r="H562" i="5"/>
  <c r="C562" i="5"/>
  <c r="B562" i="5"/>
  <c r="AF562" i="5"/>
  <c r="AJ562" i="5"/>
  <c r="O562" i="5"/>
  <c r="G562" i="5"/>
  <c r="F562" i="5"/>
  <c r="A562" i="5"/>
  <c r="E588" i="5"/>
  <c r="AQ588" i="5"/>
  <c r="D588" i="5"/>
  <c r="AJ588" i="5"/>
  <c r="C588" i="5"/>
  <c r="AF588" i="5"/>
  <c r="B588" i="5"/>
  <c r="O588" i="5"/>
  <c r="N588" i="5"/>
  <c r="M588" i="5"/>
  <c r="L588" i="5"/>
  <c r="K588" i="5"/>
  <c r="J588" i="5"/>
  <c r="I588" i="5"/>
  <c r="H588" i="5"/>
  <c r="G588" i="5"/>
  <c r="F588" i="5"/>
  <c r="A588" i="5"/>
  <c r="I532" i="5"/>
  <c r="O532" i="5"/>
  <c r="N532" i="5"/>
  <c r="M532" i="5"/>
  <c r="L532" i="5"/>
  <c r="K532" i="5"/>
  <c r="H532" i="5"/>
  <c r="G532" i="5"/>
  <c r="F532" i="5"/>
  <c r="E532" i="5"/>
  <c r="D532" i="5"/>
  <c r="C532" i="5"/>
  <c r="B532" i="5"/>
  <c r="A532" i="5"/>
  <c r="AQ532" i="5"/>
  <c r="AJ532" i="5"/>
  <c r="AF532" i="5"/>
  <c r="J532" i="5"/>
  <c r="AJ572" i="5"/>
  <c r="C572" i="5"/>
  <c r="AF572" i="5"/>
  <c r="B572" i="5"/>
  <c r="F572" i="5"/>
  <c r="E572" i="5"/>
  <c r="D572" i="5"/>
  <c r="A572" i="5"/>
  <c r="AQ572" i="5"/>
  <c r="O572" i="5"/>
  <c r="N572" i="5"/>
  <c r="M572" i="5"/>
  <c r="L572" i="5"/>
  <c r="J572" i="5"/>
  <c r="K572" i="5"/>
  <c r="I572" i="5"/>
  <c r="H572" i="5"/>
  <c r="G572" i="5"/>
  <c r="I574" i="5"/>
  <c r="H574" i="5"/>
  <c r="AF574" i="5"/>
  <c r="O574" i="5"/>
  <c r="N574" i="5"/>
  <c r="M574" i="5"/>
  <c r="L574" i="5"/>
  <c r="K574" i="5"/>
  <c r="J574" i="5"/>
  <c r="G574" i="5"/>
  <c r="F574" i="5"/>
  <c r="D574" i="5"/>
  <c r="AJ574" i="5"/>
  <c r="E574" i="5"/>
  <c r="C574" i="5"/>
  <c r="B574" i="5"/>
  <c r="A574" i="5"/>
  <c r="AQ574" i="5"/>
  <c r="M619" i="5"/>
  <c r="K619" i="5"/>
  <c r="J619" i="5"/>
  <c r="I619" i="5"/>
  <c r="H619" i="5"/>
  <c r="G619" i="5"/>
  <c r="AQ619" i="5"/>
  <c r="D619" i="5"/>
  <c r="AJ619" i="5"/>
  <c r="C619" i="5"/>
  <c r="AF619" i="5"/>
  <c r="B619" i="5"/>
  <c r="O619" i="5"/>
  <c r="N619" i="5"/>
  <c r="A619" i="5"/>
  <c r="E619" i="5"/>
  <c r="L619" i="5"/>
  <c r="F619" i="5"/>
  <c r="AJ611" i="5"/>
  <c r="C611" i="5"/>
  <c r="AF611" i="5"/>
  <c r="B611" i="5"/>
  <c r="O611" i="5"/>
  <c r="L611" i="5"/>
  <c r="K611" i="5"/>
  <c r="AQ611" i="5"/>
  <c r="N611" i="5"/>
  <c r="M611" i="5"/>
  <c r="J611" i="5"/>
  <c r="I611" i="5"/>
  <c r="F611" i="5"/>
  <c r="E611" i="5"/>
  <c r="D611" i="5"/>
  <c r="A611" i="5"/>
  <c r="H611" i="5"/>
  <c r="G611" i="5"/>
  <c r="H633" i="5"/>
  <c r="G633" i="5"/>
  <c r="E633" i="5"/>
  <c r="AF633" i="5"/>
  <c r="B633" i="5"/>
  <c r="F633" i="5"/>
  <c r="D633" i="5"/>
  <c r="C633" i="5"/>
  <c r="A633" i="5"/>
  <c r="AQ633" i="5"/>
  <c r="AJ633" i="5"/>
  <c r="O633" i="5"/>
  <c r="N633" i="5"/>
  <c r="M633" i="5"/>
  <c r="L633" i="5"/>
  <c r="K633" i="5"/>
  <c r="J633" i="5"/>
  <c r="I633" i="5"/>
  <c r="AQ624" i="5"/>
  <c r="D624" i="5"/>
  <c r="AJ624" i="5"/>
  <c r="C624" i="5"/>
  <c r="AF624" i="5"/>
  <c r="B624" i="5"/>
  <c r="A624" i="5"/>
  <c r="O624" i="5"/>
  <c r="N624" i="5"/>
  <c r="M624" i="5"/>
  <c r="K624" i="5"/>
  <c r="J624" i="5"/>
  <c r="I624" i="5"/>
  <c r="L624" i="5"/>
  <c r="H624" i="5"/>
  <c r="G624" i="5"/>
  <c r="F624" i="5"/>
  <c r="E624" i="5"/>
  <c r="G630" i="5"/>
  <c r="F630" i="5"/>
  <c r="H630" i="5"/>
  <c r="E630" i="5"/>
  <c r="D630" i="5"/>
  <c r="C630" i="5"/>
  <c r="B630" i="5"/>
  <c r="AQ630" i="5"/>
  <c r="A630" i="5"/>
  <c r="AJ630" i="5"/>
  <c r="AF630" i="5"/>
  <c r="O630" i="5"/>
  <c r="N630" i="5"/>
  <c r="M630" i="5"/>
  <c r="L630" i="5"/>
  <c r="K630" i="5"/>
  <c r="J630" i="5"/>
  <c r="I630" i="5"/>
  <c r="O660" i="5"/>
  <c r="M660" i="5"/>
  <c r="G660" i="5"/>
  <c r="AQ660" i="5"/>
  <c r="AJ660" i="5"/>
  <c r="AF660" i="5"/>
  <c r="N660" i="5"/>
  <c r="J660" i="5"/>
  <c r="L660" i="5"/>
  <c r="K660" i="5"/>
  <c r="I660" i="5"/>
  <c r="H660" i="5"/>
  <c r="F660" i="5"/>
  <c r="E660" i="5"/>
  <c r="D660" i="5"/>
  <c r="C660" i="5"/>
  <c r="B660" i="5"/>
  <c r="A660" i="5"/>
  <c r="AJ688" i="5"/>
  <c r="C688" i="5"/>
  <c r="A688" i="5"/>
  <c r="K688" i="5"/>
  <c r="D688" i="5"/>
  <c r="B688" i="5"/>
  <c r="AQ688" i="5"/>
  <c r="AF688" i="5"/>
  <c r="O688" i="5"/>
  <c r="M688" i="5"/>
  <c r="L688" i="5"/>
  <c r="J688" i="5"/>
  <c r="H688" i="5"/>
  <c r="N688" i="5"/>
  <c r="I688" i="5"/>
  <c r="G688" i="5"/>
  <c r="F688" i="5"/>
  <c r="E688" i="5"/>
  <c r="A100" i="5"/>
  <c r="AJ100" i="5"/>
  <c r="O100" i="5"/>
  <c r="AF100" i="5"/>
  <c r="N100" i="5"/>
  <c r="M100" i="5"/>
  <c r="L100" i="5"/>
  <c r="K100" i="5"/>
  <c r="J100" i="5"/>
  <c r="G100" i="5"/>
  <c r="F100" i="5"/>
  <c r="E100" i="5"/>
  <c r="AQ100" i="5"/>
  <c r="D100" i="5"/>
  <c r="C100" i="5"/>
  <c r="B100" i="5"/>
  <c r="I100" i="5"/>
  <c r="H100" i="5"/>
  <c r="C309" i="5"/>
  <c r="B309" i="5"/>
  <c r="A309" i="5"/>
  <c r="AJ309" i="5"/>
  <c r="O309" i="5"/>
  <c r="AF309" i="5"/>
  <c r="N309" i="5"/>
  <c r="M309" i="5"/>
  <c r="L309" i="5"/>
  <c r="K309" i="5"/>
  <c r="J309" i="5"/>
  <c r="I309" i="5"/>
  <c r="H309" i="5"/>
  <c r="AQ309" i="5"/>
  <c r="G309" i="5"/>
  <c r="F309" i="5"/>
  <c r="D309" i="5"/>
  <c r="E309" i="5"/>
  <c r="A433" i="5"/>
  <c r="F433" i="5"/>
  <c r="E433" i="5"/>
  <c r="AJ433" i="5"/>
  <c r="B433" i="5"/>
  <c r="AF433" i="5"/>
  <c r="O433" i="5"/>
  <c r="N433" i="5"/>
  <c r="AQ433" i="5"/>
  <c r="M433" i="5"/>
  <c r="L433" i="5"/>
  <c r="K433" i="5"/>
  <c r="J433" i="5"/>
  <c r="I433" i="5"/>
  <c r="H433" i="5"/>
  <c r="G433" i="5"/>
  <c r="D433" i="5"/>
  <c r="C433" i="5"/>
  <c r="N695" i="5"/>
  <c r="H695" i="5"/>
  <c r="M695" i="5"/>
  <c r="L695" i="5"/>
  <c r="K695" i="5"/>
  <c r="J695" i="5"/>
  <c r="I695" i="5"/>
  <c r="G695" i="5"/>
  <c r="F695" i="5"/>
  <c r="D695" i="5"/>
  <c r="C695" i="5"/>
  <c r="B695" i="5"/>
  <c r="AJ695" i="5"/>
  <c r="AF695" i="5"/>
  <c r="O695" i="5"/>
  <c r="E695" i="5"/>
  <c r="A695" i="5"/>
  <c r="AQ695" i="5"/>
  <c r="L157" i="5"/>
  <c r="K157" i="5"/>
  <c r="H157" i="5"/>
  <c r="O157" i="5"/>
  <c r="N157" i="5"/>
  <c r="M157" i="5"/>
  <c r="AJ157" i="5"/>
  <c r="J157" i="5"/>
  <c r="AF157" i="5"/>
  <c r="I157" i="5"/>
  <c r="G157" i="5"/>
  <c r="F157" i="5"/>
  <c r="E157" i="5"/>
  <c r="D157" i="5"/>
  <c r="C157" i="5"/>
  <c r="B157" i="5"/>
  <c r="A157" i="5"/>
  <c r="AQ157" i="5"/>
  <c r="AJ303" i="5"/>
  <c r="O303" i="5"/>
  <c r="AF303" i="5"/>
  <c r="N303" i="5"/>
  <c r="M303" i="5"/>
  <c r="K303" i="5"/>
  <c r="J303" i="5"/>
  <c r="I303" i="5"/>
  <c r="H303" i="5"/>
  <c r="G303" i="5"/>
  <c r="AQ303" i="5"/>
  <c r="F303" i="5"/>
  <c r="E303" i="5"/>
  <c r="D303" i="5"/>
  <c r="C303" i="5"/>
  <c r="B303" i="5"/>
  <c r="A303" i="5"/>
  <c r="L303" i="5"/>
  <c r="A449" i="5"/>
  <c r="K449" i="5"/>
  <c r="J449" i="5"/>
  <c r="I449" i="5"/>
  <c r="H449" i="5"/>
  <c r="G449" i="5"/>
  <c r="F449" i="5"/>
  <c r="E449" i="5"/>
  <c r="D449" i="5"/>
  <c r="C449" i="5"/>
  <c r="M449" i="5"/>
  <c r="L449" i="5"/>
  <c r="B449" i="5"/>
  <c r="AQ449" i="5"/>
  <c r="AJ449" i="5"/>
  <c r="AF449" i="5"/>
  <c r="O449" i="5"/>
  <c r="N449" i="5"/>
  <c r="K629" i="5"/>
  <c r="J629" i="5"/>
  <c r="I629" i="5"/>
  <c r="H629" i="5"/>
  <c r="G629" i="5"/>
  <c r="F629" i="5"/>
  <c r="E629" i="5"/>
  <c r="AQ629" i="5"/>
  <c r="D629" i="5"/>
  <c r="AJ629" i="5"/>
  <c r="C629" i="5"/>
  <c r="AF629" i="5"/>
  <c r="B629" i="5"/>
  <c r="A629" i="5"/>
  <c r="O629" i="5"/>
  <c r="N629" i="5"/>
  <c r="M629" i="5"/>
  <c r="L629" i="5"/>
  <c r="AJ40" i="5"/>
  <c r="O40" i="5"/>
  <c r="AF40" i="5"/>
  <c r="N40" i="5"/>
  <c r="M40" i="5"/>
  <c r="L40" i="5"/>
  <c r="K40" i="5"/>
  <c r="J40" i="5"/>
  <c r="I40" i="5"/>
  <c r="H40" i="5"/>
  <c r="G40" i="5"/>
  <c r="AQ40" i="5"/>
  <c r="F40" i="5"/>
  <c r="E40" i="5"/>
  <c r="A40" i="5"/>
  <c r="C40" i="5"/>
  <c r="D40" i="5"/>
  <c r="B40" i="5"/>
  <c r="M140" i="5"/>
  <c r="L140" i="5"/>
  <c r="K140" i="5"/>
  <c r="J140" i="5"/>
  <c r="I140" i="5"/>
  <c r="H140" i="5"/>
  <c r="G140" i="5"/>
  <c r="AQ140" i="5"/>
  <c r="F140" i="5"/>
  <c r="A140" i="5"/>
  <c r="AJ140" i="5"/>
  <c r="AF140" i="5"/>
  <c r="O140" i="5"/>
  <c r="N140" i="5"/>
  <c r="E140" i="5"/>
  <c r="D140" i="5"/>
  <c r="C140" i="5"/>
  <c r="B140" i="5"/>
  <c r="K289" i="5"/>
  <c r="J289" i="5"/>
  <c r="I289" i="5"/>
  <c r="G289" i="5"/>
  <c r="AQ289" i="5"/>
  <c r="E289" i="5"/>
  <c r="D289" i="5"/>
  <c r="C289" i="5"/>
  <c r="H289" i="5"/>
  <c r="F289" i="5"/>
  <c r="B289" i="5"/>
  <c r="AJ289" i="5"/>
  <c r="A289" i="5"/>
  <c r="AF289" i="5"/>
  <c r="O289" i="5"/>
  <c r="N289" i="5"/>
  <c r="M289" i="5"/>
  <c r="L289" i="5"/>
  <c r="C365" i="5"/>
  <c r="B365" i="5"/>
  <c r="A365" i="5"/>
  <c r="AJ365" i="5"/>
  <c r="O365" i="5"/>
  <c r="AF365" i="5"/>
  <c r="N365" i="5"/>
  <c r="E365" i="5"/>
  <c r="D365" i="5"/>
  <c r="M365" i="5"/>
  <c r="K365" i="5"/>
  <c r="I365" i="5"/>
  <c r="L365" i="5"/>
  <c r="J365" i="5"/>
  <c r="H365" i="5"/>
  <c r="G365" i="5"/>
  <c r="F365" i="5"/>
  <c r="AQ365" i="5"/>
  <c r="H438" i="5"/>
  <c r="AQ438" i="5"/>
  <c r="C438" i="5"/>
  <c r="AJ438" i="5"/>
  <c r="B438" i="5"/>
  <c r="AF438" i="5"/>
  <c r="O438" i="5"/>
  <c r="N438" i="5"/>
  <c r="M438" i="5"/>
  <c r="L438" i="5"/>
  <c r="G438" i="5"/>
  <c r="F438" i="5"/>
  <c r="E438" i="5"/>
  <c r="D438" i="5"/>
  <c r="A438" i="5"/>
  <c r="K438" i="5"/>
  <c r="J438" i="5"/>
  <c r="I438" i="5"/>
  <c r="H571" i="5"/>
  <c r="G571" i="5"/>
  <c r="I571" i="5"/>
  <c r="F571" i="5"/>
  <c r="E571" i="5"/>
  <c r="D571" i="5"/>
  <c r="C571" i="5"/>
  <c r="AQ571" i="5"/>
  <c r="B571" i="5"/>
  <c r="AJ571" i="5"/>
  <c r="A571" i="5"/>
  <c r="AF571" i="5"/>
  <c r="O571" i="5"/>
  <c r="M571" i="5"/>
  <c r="J571" i="5"/>
  <c r="N571" i="5"/>
  <c r="L571" i="5"/>
  <c r="K571" i="5"/>
  <c r="C86" i="5"/>
  <c r="B86" i="5"/>
  <c r="A86" i="5"/>
  <c r="AJ86" i="5"/>
  <c r="O86" i="5"/>
  <c r="AF86" i="5"/>
  <c r="N86" i="5"/>
  <c r="M86" i="5"/>
  <c r="L86" i="5"/>
  <c r="K86" i="5"/>
  <c r="J86" i="5"/>
  <c r="I86" i="5"/>
  <c r="H86" i="5"/>
  <c r="G86" i="5"/>
  <c r="AQ86" i="5"/>
  <c r="F86" i="5"/>
  <c r="E86" i="5"/>
  <c r="D86" i="5"/>
  <c r="AF233" i="5"/>
  <c r="N233" i="5"/>
  <c r="M233" i="5"/>
  <c r="L233" i="5"/>
  <c r="K233" i="5"/>
  <c r="J233" i="5"/>
  <c r="I233" i="5"/>
  <c r="F233" i="5"/>
  <c r="E233" i="5"/>
  <c r="D233" i="5"/>
  <c r="AJ233" i="5"/>
  <c r="C233" i="5"/>
  <c r="B233" i="5"/>
  <c r="A233" i="5"/>
  <c r="AQ233" i="5"/>
  <c r="O233" i="5"/>
  <c r="H233" i="5"/>
  <c r="G233" i="5"/>
  <c r="H454" i="5"/>
  <c r="G454" i="5"/>
  <c r="F454" i="5"/>
  <c r="AQ454" i="5"/>
  <c r="A454" i="5"/>
  <c r="AJ454" i="5"/>
  <c r="AF454" i="5"/>
  <c r="O454" i="5"/>
  <c r="N454" i="5"/>
  <c r="M454" i="5"/>
  <c r="L454" i="5"/>
  <c r="K454" i="5"/>
  <c r="C454" i="5"/>
  <c r="B454" i="5"/>
  <c r="D454" i="5"/>
  <c r="J454" i="5"/>
  <c r="I454" i="5"/>
  <c r="E454" i="5"/>
  <c r="K664" i="5"/>
  <c r="I664" i="5"/>
  <c r="AJ664" i="5"/>
  <c r="C664" i="5"/>
  <c r="O664" i="5"/>
  <c r="N664" i="5"/>
  <c r="M664" i="5"/>
  <c r="L664" i="5"/>
  <c r="J664" i="5"/>
  <c r="H664" i="5"/>
  <c r="E664" i="5"/>
  <c r="B664" i="5"/>
  <c r="G664" i="5"/>
  <c r="F664" i="5"/>
  <c r="D664" i="5"/>
  <c r="A664" i="5"/>
  <c r="AF664" i="5"/>
  <c r="AQ664" i="5"/>
  <c r="K74" i="5"/>
  <c r="J74" i="5"/>
  <c r="I74" i="5"/>
  <c r="H74" i="5"/>
  <c r="G74" i="5"/>
  <c r="AQ74" i="5"/>
  <c r="F74" i="5"/>
  <c r="E74" i="5"/>
  <c r="D74" i="5"/>
  <c r="C74" i="5"/>
  <c r="B74" i="5"/>
  <c r="A74" i="5"/>
  <c r="AJ74" i="5"/>
  <c r="O74" i="5"/>
  <c r="AF74" i="5"/>
  <c r="N74" i="5"/>
  <c r="M74" i="5"/>
  <c r="L74" i="5"/>
  <c r="C178" i="5"/>
  <c r="B178" i="5"/>
  <c r="A178" i="5"/>
  <c r="AJ178" i="5"/>
  <c r="O178" i="5"/>
  <c r="AF178" i="5"/>
  <c r="N178" i="5"/>
  <c r="L178" i="5"/>
  <c r="G178" i="5"/>
  <c r="I178" i="5"/>
  <c r="H178" i="5"/>
  <c r="AQ178" i="5"/>
  <c r="F178" i="5"/>
  <c r="E178" i="5"/>
  <c r="D178" i="5"/>
  <c r="M178" i="5"/>
  <c r="K178" i="5"/>
  <c r="J178" i="5"/>
  <c r="L332" i="5"/>
  <c r="K332" i="5"/>
  <c r="J332" i="5"/>
  <c r="I332" i="5"/>
  <c r="H332" i="5"/>
  <c r="AQ332" i="5"/>
  <c r="O332" i="5"/>
  <c r="N332" i="5"/>
  <c r="M332" i="5"/>
  <c r="G332" i="5"/>
  <c r="F332" i="5"/>
  <c r="AJ332" i="5"/>
  <c r="E332" i="5"/>
  <c r="AF332" i="5"/>
  <c r="D332" i="5"/>
  <c r="B332" i="5"/>
  <c r="A332" i="5"/>
  <c r="C332" i="5"/>
  <c r="G398" i="5"/>
  <c r="AQ398" i="5"/>
  <c r="F398" i="5"/>
  <c r="E398" i="5"/>
  <c r="D398" i="5"/>
  <c r="C398" i="5"/>
  <c r="B398" i="5"/>
  <c r="A398" i="5"/>
  <c r="AJ398" i="5"/>
  <c r="O398" i="5"/>
  <c r="AF398" i="5"/>
  <c r="N398" i="5"/>
  <c r="M398" i="5"/>
  <c r="L398" i="5"/>
  <c r="J398" i="5"/>
  <c r="K398" i="5"/>
  <c r="I398" i="5"/>
  <c r="H398" i="5"/>
  <c r="A63" i="5"/>
  <c r="AJ63" i="5"/>
  <c r="O63" i="5"/>
  <c r="AF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Q63" i="5"/>
  <c r="M248" i="5"/>
  <c r="J248" i="5"/>
  <c r="I248" i="5"/>
  <c r="AQ248" i="5"/>
  <c r="E248" i="5"/>
  <c r="H248" i="5"/>
  <c r="AJ248" i="5"/>
  <c r="G248" i="5"/>
  <c r="AF248" i="5"/>
  <c r="F248" i="5"/>
  <c r="D248" i="5"/>
  <c r="C248" i="5"/>
  <c r="B248" i="5"/>
  <c r="A248" i="5"/>
  <c r="O248" i="5"/>
  <c r="N248" i="5"/>
  <c r="L248" i="5"/>
  <c r="K248" i="5"/>
  <c r="I674" i="5"/>
  <c r="G674" i="5"/>
  <c r="A674" i="5"/>
  <c r="B674" i="5"/>
  <c r="AQ674" i="5"/>
  <c r="AJ674" i="5"/>
  <c r="AF674" i="5"/>
  <c r="O674" i="5"/>
  <c r="N674" i="5"/>
  <c r="L674" i="5"/>
  <c r="J674" i="5"/>
  <c r="F674" i="5"/>
  <c r="H674" i="5"/>
  <c r="E674" i="5"/>
  <c r="D674" i="5"/>
  <c r="C674" i="5"/>
  <c r="M674" i="5"/>
  <c r="K674" i="5"/>
  <c r="G6" i="5"/>
  <c r="AQ6" i="5"/>
  <c r="F6" i="5"/>
  <c r="E6" i="5"/>
  <c r="O6" i="5"/>
  <c r="N6" i="5"/>
  <c r="M6" i="5"/>
  <c r="L6" i="5"/>
  <c r="AJ6" i="5"/>
  <c r="K6" i="5"/>
  <c r="AF6" i="5"/>
  <c r="J6" i="5"/>
  <c r="I6" i="5"/>
  <c r="H6" i="5"/>
  <c r="D6" i="5"/>
  <c r="B6" i="5"/>
  <c r="C6" i="5"/>
  <c r="A6" i="5"/>
  <c r="A87" i="5"/>
  <c r="AJ87" i="5"/>
  <c r="O87" i="5"/>
  <c r="AF87" i="5"/>
  <c r="N87" i="5"/>
  <c r="M87" i="5"/>
  <c r="L87" i="5"/>
  <c r="K87" i="5"/>
  <c r="J87" i="5"/>
  <c r="I87" i="5"/>
  <c r="H87" i="5"/>
  <c r="G87" i="5"/>
  <c r="AQ87" i="5"/>
  <c r="F87" i="5"/>
  <c r="E87" i="5"/>
  <c r="D87" i="5"/>
  <c r="C87" i="5"/>
  <c r="B87" i="5"/>
  <c r="AJ47" i="5"/>
  <c r="AF47" i="5"/>
  <c r="AQ47" i="5"/>
  <c r="B47" i="5"/>
  <c r="A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J19" i="5"/>
  <c r="I19" i="5"/>
  <c r="H19" i="5"/>
  <c r="G19" i="5"/>
  <c r="AQ19" i="5"/>
  <c r="F19" i="5"/>
  <c r="E19" i="5"/>
  <c r="D19" i="5"/>
  <c r="C19" i="5"/>
  <c r="A19" i="5"/>
  <c r="M19" i="5"/>
  <c r="L19" i="5"/>
  <c r="AJ19" i="5"/>
  <c r="AF19" i="5"/>
  <c r="O19" i="5"/>
  <c r="B19" i="5"/>
  <c r="N19" i="5"/>
  <c r="K19" i="5"/>
  <c r="I51" i="5"/>
  <c r="H51" i="5"/>
  <c r="G51" i="5"/>
  <c r="AQ51" i="5"/>
  <c r="F51" i="5"/>
  <c r="E51" i="5"/>
  <c r="D51" i="5"/>
  <c r="AJ51" i="5"/>
  <c r="L51" i="5"/>
  <c r="K51" i="5"/>
  <c r="J51" i="5"/>
  <c r="C51" i="5"/>
  <c r="AF51" i="5"/>
  <c r="B51" i="5"/>
  <c r="A51" i="5"/>
  <c r="N51" i="5"/>
  <c r="M51" i="5"/>
  <c r="O51" i="5"/>
  <c r="AJ92" i="5"/>
  <c r="O92" i="5"/>
  <c r="AF92" i="5"/>
  <c r="N92" i="5"/>
  <c r="H92" i="5"/>
  <c r="G92" i="5"/>
  <c r="F92" i="5"/>
  <c r="E92" i="5"/>
  <c r="D92" i="5"/>
  <c r="C92" i="5"/>
  <c r="B92" i="5"/>
  <c r="A92" i="5"/>
  <c r="AQ92" i="5"/>
  <c r="M92" i="5"/>
  <c r="L92" i="5"/>
  <c r="K92" i="5"/>
  <c r="J92" i="5"/>
  <c r="I92" i="5"/>
  <c r="E69" i="5"/>
  <c r="D69" i="5"/>
  <c r="C69" i="5"/>
  <c r="B69" i="5"/>
  <c r="A69" i="5"/>
  <c r="AJ69" i="5"/>
  <c r="O69" i="5"/>
  <c r="AF69" i="5"/>
  <c r="N69" i="5"/>
  <c r="M69" i="5"/>
  <c r="L69" i="5"/>
  <c r="K69" i="5"/>
  <c r="J69" i="5"/>
  <c r="AQ69" i="5"/>
  <c r="I69" i="5"/>
  <c r="H69" i="5"/>
  <c r="G69" i="5"/>
  <c r="F69" i="5"/>
  <c r="AJ48" i="5"/>
  <c r="O48" i="5"/>
  <c r="AF48" i="5"/>
  <c r="N48" i="5"/>
  <c r="M48" i="5"/>
  <c r="L48" i="5"/>
  <c r="H48" i="5"/>
  <c r="G48" i="5"/>
  <c r="F48" i="5"/>
  <c r="E48" i="5"/>
  <c r="D48" i="5"/>
  <c r="C48" i="5"/>
  <c r="B48" i="5"/>
  <c r="A48" i="5"/>
  <c r="AQ48" i="5"/>
  <c r="K48" i="5"/>
  <c r="J48" i="5"/>
  <c r="I48" i="5"/>
  <c r="K141" i="5"/>
  <c r="J141" i="5"/>
  <c r="I141" i="5"/>
  <c r="H141" i="5"/>
  <c r="G141" i="5"/>
  <c r="AQ141" i="5"/>
  <c r="F141" i="5"/>
  <c r="E141" i="5"/>
  <c r="D141" i="5"/>
  <c r="O141" i="5"/>
  <c r="N141" i="5"/>
  <c r="M141" i="5"/>
  <c r="L141" i="5"/>
  <c r="C141" i="5"/>
  <c r="B141" i="5"/>
  <c r="A141" i="5"/>
  <c r="AJ141" i="5"/>
  <c r="AF141" i="5"/>
  <c r="C107" i="5"/>
  <c r="B107" i="5"/>
  <c r="A107" i="5"/>
  <c r="AJ107" i="5"/>
  <c r="O107" i="5"/>
  <c r="AF107" i="5"/>
  <c r="N107" i="5"/>
  <c r="M107" i="5"/>
  <c r="L107" i="5"/>
  <c r="K107" i="5"/>
  <c r="J107" i="5"/>
  <c r="I107" i="5"/>
  <c r="G107" i="5"/>
  <c r="F107" i="5"/>
  <c r="E107" i="5"/>
  <c r="D107" i="5"/>
  <c r="AQ107" i="5"/>
  <c r="H107" i="5"/>
  <c r="M102" i="5"/>
  <c r="L102" i="5"/>
  <c r="K102" i="5"/>
  <c r="J102" i="5"/>
  <c r="I102" i="5"/>
  <c r="H102" i="5"/>
  <c r="G102" i="5"/>
  <c r="AQ102" i="5"/>
  <c r="F102" i="5"/>
  <c r="C102" i="5"/>
  <c r="O102" i="5"/>
  <c r="N102" i="5"/>
  <c r="E102" i="5"/>
  <c r="D102" i="5"/>
  <c r="B102" i="5"/>
  <c r="A102" i="5"/>
  <c r="AJ102" i="5"/>
  <c r="AF102" i="5"/>
  <c r="K174" i="5"/>
  <c r="J174" i="5"/>
  <c r="I174" i="5"/>
  <c r="H174" i="5"/>
  <c r="G174" i="5"/>
  <c r="AQ174" i="5"/>
  <c r="F174" i="5"/>
  <c r="M174" i="5"/>
  <c r="L174" i="5"/>
  <c r="E174" i="5"/>
  <c r="D174" i="5"/>
  <c r="AJ174" i="5"/>
  <c r="C174" i="5"/>
  <c r="AF174" i="5"/>
  <c r="B174" i="5"/>
  <c r="A174" i="5"/>
  <c r="O174" i="5"/>
  <c r="N174" i="5"/>
  <c r="AJ147" i="5"/>
  <c r="O147" i="5"/>
  <c r="AF147" i="5"/>
  <c r="N147" i="5"/>
  <c r="M147" i="5"/>
  <c r="L147" i="5"/>
  <c r="K147" i="5"/>
  <c r="J147" i="5"/>
  <c r="I147" i="5"/>
  <c r="H147" i="5"/>
  <c r="G147" i="5"/>
  <c r="AQ147" i="5"/>
  <c r="F147" i="5"/>
  <c r="E147" i="5"/>
  <c r="D147" i="5"/>
  <c r="C147" i="5"/>
  <c r="B147" i="5"/>
  <c r="A147" i="5"/>
  <c r="D193" i="5"/>
  <c r="C193" i="5"/>
  <c r="A193" i="5"/>
  <c r="N193" i="5"/>
  <c r="M193" i="5"/>
  <c r="AQ193" i="5"/>
  <c r="L193" i="5"/>
  <c r="K193" i="5"/>
  <c r="AJ193" i="5"/>
  <c r="J193" i="5"/>
  <c r="AF193" i="5"/>
  <c r="I193" i="5"/>
  <c r="H193" i="5"/>
  <c r="G193" i="5"/>
  <c r="F193" i="5"/>
  <c r="E193" i="5"/>
  <c r="O193" i="5"/>
  <c r="B193" i="5"/>
  <c r="M173" i="5"/>
  <c r="L173" i="5"/>
  <c r="K173" i="5"/>
  <c r="J173" i="5"/>
  <c r="I173" i="5"/>
  <c r="H173" i="5"/>
  <c r="G173" i="5"/>
  <c r="F173" i="5"/>
  <c r="E173" i="5"/>
  <c r="D173" i="5"/>
  <c r="AJ173" i="5"/>
  <c r="C173" i="5"/>
  <c r="AF173" i="5"/>
  <c r="B173" i="5"/>
  <c r="A173" i="5"/>
  <c r="O173" i="5"/>
  <c r="N173" i="5"/>
  <c r="AQ173" i="5"/>
  <c r="L234" i="5"/>
  <c r="K234" i="5"/>
  <c r="J234" i="5"/>
  <c r="I234" i="5"/>
  <c r="H234" i="5"/>
  <c r="G234" i="5"/>
  <c r="F234" i="5"/>
  <c r="E234" i="5"/>
  <c r="D234" i="5"/>
  <c r="AJ234" i="5"/>
  <c r="C234" i="5"/>
  <c r="AF234" i="5"/>
  <c r="B234" i="5"/>
  <c r="A234" i="5"/>
  <c r="AQ234" i="5"/>
  <c r="O234" i="5"/>
  <c r="M234" i="5"/>
  <c r="N234" i="5"/>
  <c r="E221" i="5"/>
  <c r="D221" i="5"/>
  <c r="K221" i="5"/>
  <c r="J221" i="5"/>
  <c r="I221" i="5"/>
  <c r="H221" i="5"/>
  <c r="G221" i="5"/>
  <c r="F221" i="5"/>
  <c r="C221" i="5"/>
  <c r="B221" i="5"/>
  <c r="A221" i="5"/>
  <c r="AQ221" i="5"/>
  <c r="O221" i="5"/>
  <c r="L221" i="5"/>
  <c r="AF221" i="5"/>
  <c r="M221" i="5"/>
  <c r="AJ221" i="5"/>
  <c r="N221" i="5"/>
  <c r="G307" i="5"/>
  <c r="AQ307" i="5"/>
  <c r="F307" i="5"/>
  <c r="E307" i="5"/>
  <c r="C307" i="5"/>
  <c r="B307" i="5"/>
  <c r="A307" i="5"/>
  <c r="AJ307" i="5"/>
  <c r="O307" i="5"/>
  <c r="AF307" i="5"/>
  <c r="N307" i="5"/>
  <c r="M307" i="5"/>
  <c r="L307" i="5"/>
  <c r="K307" i="5"/>
  <c r="J307" i="5"/>
  <c r="I307" i="5"/>
  <c r="H307" i="5"/>
  <c r="D307" i="5"/>
  <c r="E260" i="5"/>
  <c r="D260" i="5"/>
  <c r="C260" i="5"/>
  <c r="B260" i="5"/>
  <c r="A260" i="5"/>
  <c r="AJ260" i="5"/>
  <c r="O260" i="5"/>
  <c r="AF260" i="5"/>
  <c r="N260" i="5"/>
  <c r="M260" i="5"/>
  <c r="L260" i="5"/>
  <c r="K260" i="5"/>
  <c r="J260" i="5"/>
  <c r="I260" i="5"/>
  <c r="H260" i="5"/>
  <c r="F260" i="5"/>
  <c r="AQ260" i="5"/>
  <c r="G260" i="5"/>
  <c r="AJ255" i="5"/>
  <c r="O255" i="5"/>
  <c r="AF255" i="5"/>
  <c r="N255" i="5"/>
  <c r="M255" i="5"/>
  <c r="L255" i="5"/>
  <c r="K255" i="5"/>
  <c r="J255" i="5"/>
  <c r="I255" i="5"/>
  <c r="H255" i="5"/>
  <c r="G255" i="5"/>
  <c r="F255" i="5"/>
  <c r="E255" i="5"/>
  <c r="AQ255" i="5"/>
  <c r="D255" i="5"/>
  <c r="C255" i="5"/>
  <c r="B255" i="5"/>
  <c r="A255" i="5"/>
  <c r="E308" i="5"/>
  <c r="D308" i="5"/>
  <c r="C308" i="5"/>
  <c r="A308" i="5"/>
  <c r="AJ308" i="5"/>
  <c r="O308" i="5"/>
  <c r="AF308" i="5"/>
  <c r="N308" i="5"/>
  <c r="M308" i="5"/>
  <c r="L308" i="5"/>
  <c r="I308" i="5"/>
  <c r="H308" i="5"/>
  <c r="G308" i="5"/>
  <c r="F308" i="5"/>
  <c r="B308" i="5"/>
  <c r="AQ308" i="5"/>
  <c r="K308" i="5"/>
  <c r="J308" i="5"/>
  <c r="B337" i="5"/>
  <c r="A337" i="5"/>
  <c r="AJ337" i="5"/>
  <c r="O337" i="5"/>
  <c r="AF337" i="5"/>
  <c r="N337" i="5"/>
  <c r="D337" i="5"/>
  <c r="C337" i="5"/>
  <c r="M337" i="5"/>
  <c r="AQ337" i="5"/>
  <c r="L337" i="5"/>
  <c r="K337" i="5"/>
  <c r="J337" i="5"/>
  <c r="I337" i="5"/>
  <c r="H337" i="5"/>
  <c r="F337" i="5"/>
  <c r="G337" i="5"/>
  <c r="E337" i="5"/>
  <c r="J349" i="5"/>
  <c r="I349" i="5"/>
  <c r="H349" i="5"/>
  <c r="G349" i="5"/>
  <c r="AQ349" i="5"/>
  <c r="F349" i="5"/>
  <c r="E349" i="5"/>
  <c r="D349" i="5"/>
  <c r="AF349" i="5"/>
  <c r="N349" i="5"/>
  <c r="O349" i="5"/>
  <c r="M349" i="5"/>
  <c r="L349" i="5"/>
  <c r="K349" i="5"/>
  <c r="C349" i="5"/>
  <c r="B349" i="5"/>
  <c r="A349" i="5"/>
  <c r="AJ349" i="5"/>
  <c r="G363" i="5"/>
  <c r="AQ363" i="5"/>
  <c r="F363" i="5"/>
  <c r="E363" i="5"/>
  <c r="D363" i="5"/>
  <c r="C363" i="5"/>
  <c r="B363" i="5"/>
  <c r="O363" i="5"/>
  <c r="N363" i="5"/>
  <c r="M363" i="5"/>
  <c r="K363" i="5"/>
  <c r="AJ363" i="5"/>
  <c r="I363" i="5"/>
  <c r="AF363" i="5"/>
  <c r="L363" i="5"/>
  <c r="J363" i="5"/>
  <c r="H363" i="5"/>
  <c r="A363" i="5"/>
  <c r="K369" i="5"/>
  <c r="J369" i="5"/>
  <c r="I369" i="5"/>
  <c r="H369" i="5"/>
  <c r="G369" i="5"/>
  <c r="AQ369" i="5"/>
  <c r="F369" i="5"/>
  <c r="E369" i="5"/>
  <c r="D369" i="5"/>
  <c r="AJ369" i="5"/>
  <c r="C369" i="5"/>
  <c r="AF369" i="5"/>
  <c r="B369" i="5"/>
  <c r="A369" i="5"/>
  <c r="O369" i="5"/>
  <c r="N369" i="5"/>
  <c r="M369" i="5"/>
  <c r="L369" i="5"/>
  <c r="F380" i="5"/>
  <c r="E380" i="5"/>
  <c r="AQ380" i="5"/>
  <c r="D380" i="5"/>
  <c r="C380" i="5"/>
  <c r="B380" i="5"/>
  <c r="A380" i="5"/>
  <c r="O380" i="5"/>
  <c r="AF380" i="5"/>
  <c r="M380" i="5"/>
  <c r="L380" i="5"/>
  <c r="J380" i="5"/>
  <c r="I380" i="5"/>
  <c r="H380" i="5"/>
  <c r="G380" i="5"/>
  <c r="AJ380" i="5"/>
  <c r="N380" i="5"/>
  <c r="K380" i="5"/>
  <c r="AJ375" i="5"/>
  <c r="O375" i="5"/>
  <c r="AF375" i="5"/>
  <c r="N375" i="5"/>
  <c r="M375" i="5"/>
  <c r="L375" i="5"/>
  <c r="K375" i="5"/>
  <c r="J375" i="5"/>
  <c r="I375" i="5"/>
  <c r="D375" i="5"/>
  <c r="H375" i="5"/>
  <c r="G375" i="5"/>
  <c r="F375" i="5"/>
  <c r="AQ375" i="5"/>
  <c r="C375" i="5"/>
  <c r="A375" i="5"/>
  <c r="E375" i="5"/>
  <c r="B375" i="5"/>
  <c r="K431" i="5"/>
  <c r="N431" i="5"/>
  <c r="M431" i="5"/>
  <c r="I431" i="5"/>
  <c r="H431" i="5"/>
  <c r="G431" i="5"/>
  <c r="F431" i="5"/>
  <c r="B431" i="5"/>
  <c r="A431" i="5"/>
  <c r="AQ431" i="5"/>
  <c r="AJ431" i="5"/>
  <c r="AF431" i="5"/>
  <c r="O431" i="5"/>
  <c r="D431" i="5"/>
  <c r="C431" i="5"/>
  <c r="L431" i="5"/>
  <c r="J431" i="5"/>
  <c r="E431" i="5"/>
  <c r="G467" i="5"/>
  <c r="F467" i="5"/>
  <c r="E467" i="5"/>
  <c r="AQ467" i="5"/>
  <c r="D467" i="5"/>
  <c r="AJ467" i="5"/>
  <c r="C467" i="5"/>
  <c r="N467" i="5"/>
  <c r="M467" i="5"/>
  <c r="L467" i="5"/>
  <c r="K467" i="5"/>
  <c r="J467" i="5"/>
  <c r="I467" i="5"/>
  <c r="H467" i="5"/>
  <c r="B467" i="5"/>
  <c r="A467" i="5"/>
  <c r="AF467" i="5"/>
  <c r="O467" i="5"/>
  <c r="O519" i="5"/>
  <c r="N519" i="5"/>
  <c r="M519" i="5"/>
  <c r="L519" i="5"/>
  <c r="K519" i="5"/>
  <c r="J519" i="5"/>
  <c r="F519" i="5"/>
  <c r="E519" i="5"/>
  <c r="D519" i="5"/>
  <c r="C519" i="5"/>
  <c r="B519" i="5"/>
  <c r="A519" i="5"/>
  <c r="AQ519" i="5"/>
  <c r="AJ519" i="5"/>
  <c r="AF519" i="5"/>
  <c r="I519" i="5"/>
  <c r="H519" i="5"/>
  <c r="G519" i="5"/>
  <c r="AJ407" i="5"/>
  <c r="C407" i="5"/>
  <c r="F407" i="5"/>
  <c r="E407" i="5"/>
  <c r="AF407" i="5"/>
  <c r="A407" i="5"/>
  <c r="J407" i="5"/>
  <c r="I407" i="5"/>
  <c r="H407" i="5"/>
  <c r="G407" i="5"/>
  <c r="D407" i="5"/>
  <c r="B407" i="5"/>
  <c r="AQ407" i="5"/>
  <c r="O407" i="5"/>
  <c r="N407" i="5"/>
  <c r="M407" i="5"/>
  <c r="L407" i="5"/>
  <c r="K407" i="5"/>
  <c r="H470" i="5"/>
  <c r="G470" i="5"/>
  <c r="F470" i="5"/>
  <c r="E470" i="5"/>
  <c r="AQ470" i="5"/>
  <c r="D470" i="5"/>
  <c r="AJ470" i="5"/>
  <c r="AF470" i="5"/>
  <c r="O470" i="5"/>
  <c r="N470" i="5"/>
  <c r="M470" i="5"/>
  <c r="L470" i="5"/>
  <c r="K470" i="5"/>
  <c r="J470" i="5"/>
  <c r="B470" i="5"/>
  <c r="I470" i="5"/>
  <c r="C470" i="5"/>
  <c r="A470" i="5"/>
  <c r="E461" i="5"/>
  <c r="AQ461" i="5"/>
  <c r="D461" i="5"/>
  <c r="AJ461" i="5"/>
  <c r="C461" i="5"/>
  <c r="AF461" i="5"/>
  <c r="B461" i="5"/>
  <c r="A461" i="5"/>
  <c r="O461" i="5"/>
  <c r="N461" i="5"/>
  <c r="M461" i="5"/>
  <c r="L461" i="5"/>
  <c r="K461" i="5"/>
  <c r="J461" i="5"/>
  <c r="I461" i="5"/>
  <c r="H461" i="5"/>
  <c r="G461" i="5"/>
  <c r="F461" i="5"/>
  <c r="O503" i="5"/>
  <c r="N503" i="5"/>
  <c r="M503" i="5"/>
  <c r="J503" i="5"/>
  <c r="AF503" i="5"/>
  <c r="L503" i="5"/>
  <c r="K503" i="5"/>
  <c r="I503" i="5"/>
  <c r="F503" i="5"/>
  <c r="C503" i="5"/>
  <c r="B503" i="5"/>
  <c r="A503" i="5"/>
  <c r="AQ503" i="5"/>
  <c r="H503" i="5"/>
  <c r="D503" i="5"/>
  <c r="AJ503" i="5"/>
  <c r="G503" i="5"/>
  <c r="E503" i="5"/>
  <c r="I530" i="5"/>
  <c r="H530" i="5"/>
  <c r="G530" i="5"/>
  <c r="F530" i="5"/>
  <c r="E530" i="5"/>
  <c r="AQ530" i="5"/>
  <c r="D530" i="5"/>
  <c r="AJ530" i="5"/>
  <c r="C530" i="5"/>
  <c r="A530" i="5"/>
  <c r="M530" i="5"/>
  <c r="L530" i="5"/>
  <c r="K530" i="5"/>
  <c r="J530" i="5"/>
  <c r="B530" i="5"/>
  <c r="AF530" i="5"/>
  <c r="O530" i="5"/>
  <c r="N530" i="5"/>
  <c r="AF483" i="5"/>
  <c r="B483" i="5"/>
  <c r="A483" i="5"/>
  <c r="I483" i="5"/>
  <c r="H483" i="5"/>
  <c r="G483" i="5"/>
  <c r="F483" i="5"/>
  <c r="E483" i="5"/>
  <c r="D483" i="5"/>
  <c r="C483" i="5"/>
  <c r="AQ483" i="5"/>
  <c r="AJ483" i="5"/>
  <c r="O483" i="5"/>
  <c r="M483" i="5"/>
  <c r="N483" i="5"/>
  <c r="L483" i="5"/>
  <c r="K483" i="5"/>
  <c r="J483" i="5"/>
  <c r="O563" i="5"/>
  <c r="K563" i="5"/>
  <c r="J563" i="5"/>
  <c r="I563" i="5"/>
  <c r="H563" i="5"/>
  <c r="G563" i="5"/>
  <c r="F563" i="5"/>
  <c r="E563" i="5"/>
  <c r="C563" i="5"/>
  <c r="AQ563" i="5"/>
  <c r="B563" i="5"/>
  <c r="AJ563" i="5"/>
  <c r="A563" i="5"/>
  <c r="AF563" i="5"/>
  <c r="N563" i="5"/>
  <c r="M563" i="5"/>
  <c r="L563" i="5"/>
  <c r="D563" i="5"/>
  <c r="M580" i="5"/>
  <c r="K580" i="5"/>
  <c r="J580" i="5"/>
  <c r="C580" i="5"/>
  <c r="B580" i="5"/>
  <c r="AQ580" i="5"/>
  <c r="A580" i="5"/>
  <c r="AJ580" i="5"/>
  <c r="AF580" i="5"/>
  <c r="O580" i="5"/>
  <c r="N580" i="5"/>
  <c r="L580" i="5"/>
  <c r="I580" i="5"/>
  <c r="G580" i="5"/>
  <c r="H580" i="5"/>
  <c r="F580" i="5"/>
  <c r="E580" i="5"/>
  <c r="D580" i="5"/>
  <c r="O586" i="5"/>
  <c r="N586" i="5"/>
  <c r="M586" i="5"/>
  <c r="L586" i="5"/>
  <c r="AF586" i="5"/>
  <c r="K586" i="5"/>
  <c r="J586" i="5"/>
  <c r="I586" i="5"/>
  <c r="H586" i="5"/>
  <c r="G586" i="5"/>
  <c r="F586" i="5"/>
  <c r="E586" i="5"/>
  <c r="D586" i="5"/>
  <c r="B586" i="5"/>
  <c r="AQ586" i="5"/>
  <c r="AJ586" i="5"/>
  <c r="C586" i="5"/>
  <c r="A586" i="5"/>
  <c r="G594" i="5"/>
  <c r="F594" i="5"/>
  <c r="E594" i="5"/>
  <c r="AQ594" i="5"/>
  <c r="D594" i="5"/>
  <c r="A594" i="5"/>
  <c r="AJ594" i="5"/>
  <c r="AF594" i="5"/>
  <c r="O594" i="5"/>
  <c r="N594" i="5"/>
  <c r="M594" i="5"/>
  <c r="L594" i="5"/>
  <c r="K594" i="5"/>
  <c r="I594" i="5"/>
  <c r="B594" i="5"/>
  <c r="C594" i="5"/>
  <c r="J594" i="5"/>
  <c r="H594" i="5"/>
  <c r="N622" i="5"/>
  <c r="M622" i="5"/>
  <c r="L622" i="5"/>
  <c r="K622" i="5"/>
  <c r="J622" i="5"/>
  <c r="I622" i="5"/>
  <c r="H622" i="5"/>
  <c r="E622" i="5"/>
  <c r="AQ622" i="5"/>
  <c r="D622" i="5"/>
  <c r="AJ622" i="5"/>
  <c r="C622" i="5"/>
  <c r="AF622" i="5"/>
  <c r="O622" i="5"/>
  <c r="G622" i="5"/>
  <c r="F622" i="5"/>
  <c r="B622" i="5"/>
  <c r="A622" i="5"/>
  <c r="F665" i="5"/>
  <c r="AQ665" i="5"/>
  <c r="D665" i="5"/>
  <c r="N665" i="5"/>
  <c r="M665" i="5"/>
  <c r="L665" i="5"/>
  <c r="K665" i="5"/>
  <c r="J665" i="5"/>
  <c r="I665" i="5"/>
  <c r="H665" i="5"/>
  <c r="C665" i="5"/>
  <c r="A665" i="5"/>
  <c r="AJ665" i="5"/>
  <c r="AF665" i="5"/>
  <c r="O665" i="5"/>
  <c r="G665" i="5"/>
  <c r="E665" i="5"/>
  <c r="B665" i="5"/>
  <c r="H671" i="5"/>
  <c r="F671" i="5"/>
  <c r="E671" i="5"/>
  <c r="D671" i="5"/>
  <c r="C671" i="5"/>
  <c r="B671" i="5"/>
  <c r="AQ671" i="5"/>
  <c r="A671" i="5"/>
  <c r="AJ671" i="5"/>
  <c r="O671" i="5"/>
  <c r="M671" i="5"/>
  <c r="AF671" i="5"/>
  <c r="N671" i="5"/>
  <c r="L671" i="5"/>
  <c r="K671" i="5"/>
  <c r="J671" i="5"/>
  <c r="I671" i="5"/>
  <c r="G671" i="5"/>
  <c r="M644" i="5"/>
  <c r="F644" i="5"/>
  <c r="E644" i="5"/>
  <c r="AQ644" i="5"/>
  <c r="C644" i="5"/>
  <c r="O644" i="5"/>
  <c r="N644" i="5"/>
  <c r="L644" i="5"/>
  <c r="K644" i="5"/>
  <c r="J644" i="5"/>
  <c r="I644" i="5"/>
  <c r="H644" i="5"/>
  <c r="G644" i="5"/>
  <c r="D644" i="5"/>
  <c r="B644" i="5"/>
  <c r="A644" i="5"/>
  <c r="AJ644" i="5"/>
  <c r="AF644" i="5"/>
  <c r="O650" i="5"/>
  <c r="N650" i="5"/>
  <c r="M650" i="5"/>
  <c r="J650" i="5"/>
  <c r="H650" i="5"/>
  <c r="G650" i="5"/>
  <c r="F650" i="5"/>
  <c r="E650" i="5"/>
  <c r="D650" i="5"/>
  <c r="C650" i="5"/>
  <c r="B650" i="5"/>
  <c r="A650" i="5"/>
  <c r="AQ650" i="5"/>
  <c r="AJ650" i="5"/>
  <c r="AF650" i="5"/>
  <c r="L650" i="5"/>
  <c r="K650" i="5"/>
  <c r="I650" i="5"/>
  <c r="AJ704" i="5"/>
  <c r="C704" i="5"/>
  <c r="A704" i="5"/>
  <c r="K704" i="5"/>
  <c r="B704" i="5"/>
  <c r="AQ704" i="5"/>
  <c r="AF704" i="5"/>
  <c r="O704" i="5"/>
  <c r="N704" i="5"/>
  <c r="L704" i="5"/>
  <c r="J704" i="5"/>
  <c r="I704" i="5"/>
  <c r="G704" i="5"/>
  <c r="M704" i="5"/>
  <c r="H704" i="5"/>
  <c r="F704" i="5"/>
  <c r="E704" i="5"/>
  <c r="D704" i="5"/>
  <c r="BF6" i="5"/>
  <c r="L34" i="5"/>
  <c r="K34" i="5"/>
  <c r="J34" i="5"/>
  <c r="I34" i="5"/>
  <c r="H34" i="5"/>
  <c r="G34" i="5"/>
  <c r="AQ34" i="5"/>
  <c r="F34" i="5"/>
  <c r="E34" i="5"/>
  <c r="D34" i="5"/>
  <c r="C34" i="5"/>
  <c r="B34" i="5"/>
  <c r="A34" i="5"/>
  <c r="AF34" i="5"/>
  <c r="O34" i="5"/>
  <c r="N34" i="5"/>
  <c r="M34" i="5"/>
  <c r="AJ34" i="5"/>
  <c r="AJ155" i="5"/>
  <c r="O155" i="5"/>
  <c r="N155" i="5"/>
  <c r="M155" i="5"/>
  <c r="AF155" i="5"/>
  <c r="L155" i="5"/>
  <c r="K155" i="5"/>
  <c r="J155" i="5"/>
  <c r="I155" i="5"/>
  <c r="H155" i="5"/>
  <c r="G155" i="5"/>
  <c r="F155" i="5"/>
  <c r="E155" i="5"/>
  <c r="D155" i="5"/>
  <c r="AQ155" i="5"/>
  <c r="C155" i="5"/>
  <c r="B155" i="5"/>
  <c r="A155" i="5"/>
  <c r="H342" i="5"/>
  <c r="G342" i="5"/>
  <c r="AQ342" i="5"/>
  <c r="F342" i="5"/>
  <c r="E342" i="5"/>
  <c r="D342" i="5"/>
  <c r="B342" i="5"/>
  <c r="O342" i="5"/>
  <c r="N342" i="5"/>
  <c r="M342" i="5"/>
  <c r="L342" i="5"/>
  <c r="K342" i="5"/>
  <c r="J342" i="5"/>
  <c r="AJ342" i="5"/>
  <c r="I342" i="5"/>
  <c r="AF342" i="5"/>
  <c r="C342" i="5"/>
  <c r="A342" i="5"/>
  <c r="E429" i="5"/>
  <c r="D429" i="5"/>
  <c r="AQ429" i="5"/>
  <c r="C429" i="5"/>
  <c r="O429" i="5"/>
  <c r="AJ429" i="5"/>
  <c r="AF429" i="5"/>
  <c r="N429" i="5"/>
  <c r="M429" i="5"/>
  <c r="L429" i="5"/>
  <c r="K429" i="5"/>
  <c r="J429" i="5"/>
  <c r="I429" i="5"/>
  <c r="H429" i="5"/>
  <c r="G429" i="5"/>
  <c r="F429" i="5"/>
  <c r="B429" i="5"/>
  <c r="A429" i="5"/>
  <c r="O618" i="5"/>
  <c r="L618" i="5"/>
  <c r="I618" i="5"/>
  <c r="H618" i="5"/>
  <c r="G618" i="5"/>
  <c r="AQ618" i="5"/>
  <c r="AJ618" i="5"/>
  <c r="AF618" i="5"/>
  <c r="N618" i="5"/>
  <c r="M618" i="5"/>
  <c r="K618" i="5"/>
  <c r="J618" i="5"/>
  <c r="F618" i="5"/>
  <c r="E618" i="5"/>
  <c r="D618" i="5"/>
  <c r="C618" i="5"/>
  <c r="B618" i="5"/>
  <c r="A618" i="5"/>
  <c r="AJ32" i="5"/>
  <c r="O32" i="5"/>
  <c r="AF32" i="5"/>
  <c r="N32" i="5"/>
  <c r="M32" i="5"/>
  <c r="L32" i="5"/>
  <c r="K32" i="5"/>
  <c r="J32" i="5"/>
  <c r="I32" i="5"/>
  <c r="H32" i="5"/>
  <c r="G32" i="5"/>
  <c r="AQ32" i="5"/>
  <c r="F32" i="5"/>
  <c r="E32" i="5"/>
  <c r="D32" i="5"/>
  <c r="B32" i="5"/>
  <c r="A32" i="5"/>
  <c r="C32" i="5"/>
  <c r="M132" i="5"/>
  <c r="L132" i="5"/>
  <c r="O132" i="5"/>
  <c r="N132" i="5"/>
  <c r="AJ132" i="5"/>
  <c r="K132" i="5"/>
  <c r="AF132" i="5"/>
  <c r="J132" i="5"/>
  <c r="I132" i="5"/>
  <c r="H132" i="5"/>
  <c r="G132" i="5"/>
  <c r="F132" i="5"/>
  <c r="E132" i="5"/>
  <c r="D132" i="5"/>
  <c r="C132" i="5"/>
  <c r="AQ132" i="5"/>
  <c r="B132" i="5"/>
  <c r="A132" i="5"/>
  <c r="I282" i="5"/>
  <c r="G282" i="5"/>
  <c r="E282" i="5"/>
  <c r="C282" i="5"/>
  <c r="B282" i="5"/>
  <c r="AF282" i="5"/>
  <c r="H282" i="5"/>
  <c r="F282" i="5"/>
  <c r="D282" i="5"/>
  <c r="A282" i="5"/>
  <c r="O282" i="5"/>
  <c r="AQ282" i="5"/>
  <c r="AJ282" i="5"/>
  <c r="N282" i="5"/>
  <c r="M282" i="5"/>
  <c r="L282" i="5"/>
  <c r="K282" i="5"/>
  <c r="J282" i="5"/>
  <c r="K463" i="5"/>
  <c r="J463" i="5"/>
  <c r="I463" i="5"/>
  <c r="H463" i="5"/>
  <c r="G463" i="5"/>
  <c r="D463" i="5"/>
  <c r="C463" i="5"/>
  <c r="B463" i="5"/>
  <c r="A463" i="5"/>
  <c r="AQ463" i="5"/>
  <c r="AJ463" i="5"/>
  <c r="AF463" i="5"/>
  <c r="O463" i="5"/>
  <c r="N463" i="5"/>
  <c r="M463" i="5"/>
  <c r="L463" i="5"/>
  <c r="F463" i="5"/>
  <c r="E463" i="5"/>
  <c r="AQ547" i="5"/>
  <c r="D547" i="5"/>
  <c r="AJ547" i="5"/>
  <c r="C547" i="5"/>
  <c r="AF547" i="5"/>
  <c r="B547" i="5"/>
  <c r="A547" i="5"/>
  <c r="N547" i="5"/>
  <c r="K547" i="5"/>
  <c r="O547" i="5"/>
  <c r="M547" i="5"/>
  <c r="L547" i="5"/>
  <c r="J547" i="5"/>
  <c r="I547" i="5"/>
  <c r="H547" i="5"/>
  <c r="G547" i="5"/>
  <c r="F547" i="5"/>
  <c r="E547" i="5"/>
  <c r="L26" i="5"/>
  <c r="K26" i="5"/>
  <c r="J26" i="5"/>
  <c r="I26" i="5"/>
  <c r="H26" i="5"/>
  <c r="G26" i="5"/>
  <c r="AQ26" i="5"/>
  <c r="F26" i="5"/>
  <c r="E26" i="5"/>
  <c r="C26" i="5"/>
  <c r="AF26" i="5"/>
  <c r="O26" i="5"/>
  <c r="N26" i="5"/>
  <c r="M26" i="5"/>
  <c r="D26" i="5"/>
  <c r="B26" i="5"/>
  <c r="A26" i="5"/>
  <c r="AJ26" i="5"/>
  <c r="B162" i="5"/>
  <c r="A162" i="5"/>
  <c r="AJ162" i="5"/>
  <c r="O162" i="5"/>
  <c r="AF162" i="5"/>
  <c r="N162" i="5"/>
  <c r="D162" i="5"/>
  <c r="C162" i="5"/>
  <c r="M162" i="5"/>
  <c r="AQ162" i="5"/>
  <c r="L162" i="5"/>
  <c r="K162" i="5"/>
  <c r="J162" i="5"/>
  <c r="I162" i="5"/>
  <c r="H162" i="5"/>
  <c r="G162" i="5"/>
  <c r="F162" i="5"/>
  <c r="E162" i="5"/>
  <c r="I316" i="5"/>
  <c r="H316" i="5"/>
  <c r="E316" i="5"/>
  <c r="D316" i="5"/>
  <c r="C316" i="5"/>
  <c r="B316" i="5"/>
  <c r="M316" i="5"/>
  <c r="AQ316" i="5"/>
  <c r="L316" i="5"/>
  <c r="K316" i="5"/>
  <c r="AJ316" i="5"/>
  <c r="G316" i="5"/>
  <c r="AF316" i="5"/>
  <c r="F316" i="5"/>
  <c r="A316" i="5"/>
  <c r="O316" i="5"/>
  <c r="N316" i="5"/>
  <c r="J316" i="5"/>
  <c r="AQ474" i="5"/>
  <c r="D474" i="5"/>
  <c r="AJ474" i="5"/>
  <c r="C474" i="5"/>
  <c r="AF474" i="5"/>
  <c r="B474" i="5"/>
  <c r="A474" i="5"/>
  <c r="H474" i="5"/>
  <c r="G474" i="5"/>
  <c r="F474" i="5"/>
  <c r="E474" i="5"/>
  <c r="O474" i="5"/>
  <c r="N474" i="5"/>
  <c r="L474" i="5"/>
  <c r="M474" i="5"/>
  <c r="K474" i="5"/>
  <c r="J474" i="5"/>
  <c r="I474" i="5"/>
  <c r="E662" i="5"/>
  <c r="AJ662" i="5"/>
  <c r="C662" i="5"/>
  <c r="M662" i="5"/>
  <c r="O662" i="5"/>
  <c r="N662" i="5"/>
  <c r="L662" i="5"/>
  <c r="K662" i="5"/>
  <c r="H662" i="5"/>
  <c r="AQ662" i="5"/>
  <c r="AF662" i="5"/>
  <c r="J662" i="5"/>
  <c r="I662" i="5"/>
  <c r="G662" i="5"/>
  <c r="F662" i="5"/>
  <c r="D662" i="5"/>
  <c r="B662" i="5"/>
  <c r="A662" i="5"/>
  <c r="J166" i="5"/>
  <c r="I166" i="5"/>
  <c r="H166" i="5"/>
  <c r="G166" i="5"/>
  <c r="AQ166" i="5"/>
  <c r="F166" i="5"/>
  <c r="M166" i="5"/>
  <c r="L166" i="5"/>
  <c r="K166" i="5"/>
  <c r="AJ166" i="5"/>
  <c r="E166" i="5"/>
  <c r="AF166" i="5"/>
  <c r="D166" i="5"/>
  <c r="C166" i="5"/>
  <c r="B166" i="5"/>
  <c r="A166" i="5"/>
  <c r="N166" i="5"/>
  <c r="O166" i="5"/>
  <c r="G317" i="5"/>
  <c r="AQ317" i="5"/>
  <c r="F317" i="5"/>
  <c r="C317" i="5"/>
  <c r="B317" i="5"/>
  <c r="A317" i="5"/>
  <c r="M317" i="5"/>
  <c r="L317" i="5"/>
  <c r="K317" i="5"/>
  <c r="AJ317" i="5"/>
  <c r="I317" i="5"/>
  <c r="AF317" i="5"/>
  <c r="H317" i="5"/>
  <c r="E317" i="5"/>
  <c r="D317" i="5"/>
  <c r="O317" i="5"/>
  <c r="N317" i="5"/>
  <c r="J317" i="5"/>
  <c r="AQ426" i="5"/>
  <c r="D426" i="5"/>
  <c r="O426" i="5"/>
  <c r="L426" i="5"/>
  <c r="K426" i="5"/>
  <c r="J426" i="5"/>
  <c r="G426" i="5"/>
  <c r="F426" i="5"/>
  <c r="E426" i="5"/>
  <c r="C426" i="5"/>
  <c r="B426" i="5"/>
  <c r="A426" i="5"/>
  <c r="AJ426" i="5"/>
  <c r="AF426" i="5"/>
  <c r="N426" i="5"/>
  <c r="M426" i="5"/>
  <c r="I426" i="5"/>
  <c r="H426" i="5"/>
  <c r="H581" i="5"/>
  <c r="F581" i="5"/>
  <c r="E581" i="5"/>
  <c r="AQ581" i="5"/>
  <c r="A581" i="5"/>
  <c r="AJ581" i="5"/>
  <c r="AF581" i="5"/>
  <c r="O581" i="5"/>
  <c r="N581" i="5"/>
  <c r="M581" i="5"/>
  <c r="L581" i="5"/>
  <c r="K581" i="5"/>
  <c r="J581" i="5"/>
  <c r="G581" i="5"/>
  <c r="I581" i="5"/>
  <c r="D581" i="5"/>
  <c r="C581" i="5"/>
  <c r="B581" i="5"/>
  <c r="K103" i="5"/>
  <c r="J103" i="5"/>
  <c r="I103" i="5"/>
  <c r="H103" i="5"/>
  <c r="G103" i="5"/>
  <c r="AQ103" i="5"/>
  <c r="F103" i="5"/>
  <c r="E103" i="5"/>
  <c r="D103" i="5"/>
  <c r="A103" i="5"/>
  <c r="B103" i="5"/>
  <c r="AJ103" i="5"/>
  <c r="AF103" i="5"/>
  <c r="O103" i="5"/>
  <c r="N103" i="5"/>
  <c r="M103" i="5"/>
  <c r="L103" i="5"/>
  <c r="C103" i="5"/>
  <c r="A262" i="5"/>
  <c r="AJ262" i="5"/>
  <c r="O262" i="5"/>
  <c r="AF262" i="5"/>
  <c r="N262" i="5"/>
  <c r="M262" i="5"/>
  <c r="L262" i="5"/>
  <c r="K262" i="5"/>
  <c r="J262" i="5"/>
  <c r="I262" i="5"/>
  <c r="AQ262" i="5"/>
  <c r="D262" i="5"/>
  <c r="C262" i="5"/>
  <c r="B262" i="5"/>
  <c r="H262" i="5"/>
  <c r="E262" i="5"/>
  <c r="F262" i="5"/>
  <c r="G262" i="5"/>
  <c r="O459" i="5"/>
  <c r="N459" i="5"/>
  <c r="M459" i="5"/>
  <c r="L459" i="5"/>
  <c r="K459" i="5"/>
  <c r="AQ459" i="5"/>
  <c r="AJ459" i="5"/>
  <c r="AF459" i="5"/>
  <c r="J459" i="5"/>
  <c r="I459" i="5"/>
  <c r="H459" i="5"/>
  <c r="G459" i="5"/>
  <c r="F459" i="5"/>
  <c r="C459" i="5"/>
  <c r="B459" i="5"/>
  <c r="A459" i="5"/>
  <c r="E459" i="5"/>
  <c r="D459" i="5"/>
  <c r="AJ93" i="5"/>
  <c r="O93" i="5"/>
  <c r="AF93" i="5"/>
  <c r="N93" i="5"/>
  <c r="M93" i="5"/>
  <c r="L93" i="5"/>
  <c r="K93" i="5"/>
  <c r="J93" i="5"/>
  <c r="D93" i="5"/>
  <c r="C93" i="5"/>
  <c r="B93" i="5"/>
  <c r="A93" i="5"/>
  <c r="AQ93" i="5"/>
  <c r="I93" i="5"/>
  <c r="H93" i="5"/>
  <c r="G93" i="5"/>
  <c r="F93" i="5"/>
  <c r="E93" i="5"/>
  <c r="AF436" i="5"/>
  <c r="B436" i="5"/>
  <c r="K436" i="5"/>
  <c r="J436" i="5"/>
  <c r="G436" i="5"/>
  <c r="F436" i="5"/>
  <c r="E436" i="5"/>
  <c r="D436" i="5"/>
  <c r="AQ436" i="5"/>
  <c r="C436" i="5"/>
  <c r="O436" i="5"/>
  <c r="N436" i="5"/>
  <c r="M436" i="5"/>
  <c r="L436" i="5"/>
  <c r="I436" i="5"/>
  <c r="H436" i="5"/>
  <c r="A436" i="5"/>
  <c r="AJ436" i="5"/>
  <c r="H703" i="5"/>
  <c r="F703" i="5"/>
  <c r="C703" i="5"/>
  <c r="B703" i="5"/>
  <c r="AQ703" i="5"/>
  <c r="A703" i="5"/>
  <c r="AJ703" i="5"/>
  <c r="AF703" i="5"/>
  <c r="O703" i="5"/>
  <c r="M703" i="5"/>
  <c r="L703" i="5"/>
  <c r="K703" i="5"/>
  <c r="I703" i="5"/>
  <c r="N703" i="5"/>
  <c r="J703" i="5"/>
  <c r="G703" i="5"/>
  <c r="E703" i="5"/>
  <c r="D703" i="5"/>
  <c r="B23" i="5"/>
  <c r="A23" i="5"/>
  <c r="AJ23" i="5"/>
  <c r="O23" i="5"/>
  <c r="AF23" i="5"/>
  <c r="N23" i="5"/>
  <c r="M23" i="5"/>
  <c r="L23" i="5"/>
  <c r="K23" i="5"/>
  <c r="I23" i="5"/>
  <c r="J23" i="5"/>
  <c r="H23" i="5"/>
  <c r="G23" i="5"/>
  <c r="F23" i="5"/>
  <c r="E23" i="5"/>
  <c r="C23" i="5"/>
  <c r="AQ23" i="5"/>
  <c r="D23" i="5"/>
  <c r="K149" i="5"/>
  <c r="J149" i="5"/>
  <c r="I149" i="5"/>
  <c r="H149" i="5"/>
  <c r="G149" i="5"/>
  <c r="AQ149" i="5"/>
  <c r="F149" i="5"/>
  <c r="E149" i="5"/>
  <c r="D149" i="5"/>
  <c r="C149" i="5"/>
  <c r="B149" i="5"/>
  <c r="A149" i="5"/>
  <c r="O149" i="5"/>
  <c r="N149" i="5"/>
  <c r="M149" i="5"/>
  <c r="L149" i="5"/>
  <c r="AJ149" i="5"/>
  <c r="AF149" i="5"/>
  <c r="I150" i="5"/>
  <c r="H150" i="5"/>
  <c r="G150" i="5"/>
  <c r="AQ150" i="5"/>
  <c r="F150" i="5"/>
  <c r="E150" i="5"/>
  <c r="D150" i="5"/>
  <c r="C150" i="5"/>
  <c r="B150" i="5"/>
  <c r="A150" i="5"/>
  <c r="AJ150" i="5"/>
  <c r="O150" i="5"/>
  <c r="N150" i="5"/>
  <c r="M150" i="5"/>
  <c r="L150" i="5"/>
  <c r="K150" i="5"/>
  <c r="J150" i="5"/>
  <c r="AF150" i="5"/>
  <c r="AQ13" i="5"/>
  <c r="F13" i="5"/>
  <c r="E13" i="5"/>
  <c r="D13" i="5"/>
  <c r="C13" i="5"/>
  <c r="B13" i="5"/>
  <c r="A13" i="5"/>
  <c r="M13" i="5"/>
  <c r="O13" i="5"/>
  <c r="N13" i="5"/>
  <c r="L13" i="5"/>
  <c r="K13" i="5"/>
  <c r="J13" i="5"/>
  <c r="I13" i="5"/>
  <c r="AJ13" i="5"/>
  <c r="G13" i="5"/>
  <c r="H13" i="5"/>
  <c r="AF13" i="5"/>
  <c r="AQ21" i="5"/>
  <c r="F21" i="5"/>
  <c r="E21" i="5"/>
  <c r="D21" i="5"/>
  <c r="C21" i="5"/>
  <c r="B21" i="5"/>
  <c r="A21" i="5"/>
  <c r="AJ21" i="5"/>
  <c r="O21" i="5"/>
  <c r="M21" i="5"/>
  <c r="K21" i="5"/>
  <c r="J21" i="5"/>
  <c r="I21" i="5"/>
  <c r="H21" i="5"/>
  <c r="G21" i="5"/>
  <c r="AF21" i="5"/>
  <c r="N21" i="5"/>
  <c r="L21" i="5"/>
  <c r="K127" i="5"/>
  <c r="J127" i="5"/>
  <c r="I127" i="5"/>
  <c r="H127" i="5"/>
  <c r="G127" i="5"/>
  <c r="AQ127" i="5"/>
  <c r="F127" i="5"/>
  <c r="E127" i="5"/>
  <c r="D127" i="5"/>
  <c r="C127" i="5"/>
  <c r="B127" i="5"/>
  <c r="A127" i="5"/>
  <c r="AJ127" i="5"/>
  <c r="O127" i="5"/>
  <c r="N127" i="5"/>
  <c r="M127" i="5"/>
  <c r="L127" i="5"/>
  <c r="AF127" i="5"/>
  <c r="I75" i="5"/>
  <c r="H75" i="5"/>
  <c r="G75" i="5"/>
  <c r="AQ75" i="5"/>
  <c r="F75" i="5"/>
  <c r="E75" i="5"/>
  <c r="D75" i="5"/>
  <c r="C75" i="5"/>
  <c r="B75" i="5"/>
  <c r="A75" i="5"/>
  <c r="AJ75" i="5"/>
  <c r="O75" i="5"/>
  <c r="AF75" i="5"/>
  <c r="N75" i="5"/>
  <c r="M75" i="5"/>
  <c r="L75" i="5"/>
  <c r="K75" i="5"/>
  <c r="J75" i="5"/>
  <c r="E77" i="5"/>
  <c r="D77" i="5"/>
  <c r="C77" i="5"/>
  <c r="B77" i="5"/>
  <c r="A77" i="5"/>
  <c r="AJ77" i="5"/>
  <c r="O77" i="5"/>
  <c r="AF77" i="5"/>
  <c r="N77" i="5"/>
  <c r="M77" i="5"/>
  <c r="L77" i="5"/>
  <c r="K77" i="5"/>
  <c r="J77" i="5"/>
  <c r="I77" i="5"/>
  <c r="F77" i="5"/>
  <c r="AQ77" i="5"/>
  <c r="H77" i="5"/>
  <c r="G77" i="5"/>
  <c r="AJ56" i="5"/>
  <c r="O56" i="5"/>
  <c r="AF56" i="5"/>
  <c r="N56" i="5"/>
  <c r="M56" i="5"/>
  <c r="L56" i="5"/>
  <c r="K56" i="5"/>
  <c r="J56" i="5"/>
  <c r="I56" i="5"/>
  <c r="H56" i="5"/>
  <c r="E56" i="5"/>
  <c r="G56" i="5"/>
  <c r="F56" i="5"/>
  <c r="D56" i="5"/>
  <c r="AQ56" i="5"/>
  <c r="C56" i="5"/>
  <c r="B56" i="5"/>
  <c r="A56" i="5"/>
  <c r="E177" i="5"/>
  <c r="D177" i="5"/>
  <c r="C177" i="5"/>
  <c r="B177" i="5"/>
  <c r="A177" i="5"/>
  <c r="AF177" i="5"/>
  <c r="N177" i="5"/>
  <c r="I177" i="5"/>
  <c r="O177" i="5"/>
  <c r="M177" i="5"/>
  <c r="L177" i="5"/>
  <c r="K177" i="5"/>
  <c r="J177" i="5"/>
  <c r="H177" i="5"/>
  <c r="G177" i="5"/>
  <c r="AQ177" i="5"/>
  <c r="F177" i="5"/>
  <c r="AJ177" i="5"/>
  <c r="C115" i="5"/>
  <c r="B115" i="5"/>
  <c r="A115" i="5"/>
  <c r="AJ115" i="5"/>
  <c r="O115" i="5"/>
  <c r="AF115" i="5"/>
  <c r="N115" i="5"/>
  <c r="M115" i="5"/>
  <c r="L115" i="5"/>
  <c r="K115" i="5"/>
  <c r="J115" i="5"/>
  <c r="I115" i="5"/>
  <c r="H115" i="5"/>
  <c r="G115" i="5"/>
  <c r="F115" i="5"/>
  <c r="E115" i="5"/>
  <c r="D115" i="5"/>
  <c r="AQ115" i="5"/>
  <c r="M110" i="5"/>
  <c r="L110" i="5"/>
  <c r="K110" i="5"/>
  <c r="J110" i="5"/>
  <c r="I110" i="5"/>
  <c r="H110" i="5"/>
  <c r="G110" i="5"/>
  <c r="AQ110" i="5"/>
  <c r="F110" i="5"/>
  <c r="E110" i="5"/>
  <c r="D110" i="5"/>
  <c r="C110" i="5"/>
  <c r="O110" i="5"/>
  <c r="N110" i="5"/>
  <c r="B110" i="5"/>
  <c r="A110" i="5"/>
  <c r="AJ110" i="5"/>
  <c r="AF110" i="5"/>
  <c r="I175" i="5"/>
  <c r="H175" i="5"/>
  <c r="G175" i="5"/>
  <c r="AQ175" i="5"/>
  <c r="F175" i="5"/>
  <c r="E175" i="5"/>
  <c r="D175" i="5"/>
  <c r="M175" i="5"/>
  <c r="L175" i="5"/>
  <c r="K175" i="5"/>
  <c r="J175" i="5"/>
  <c r="AJ175" i="5"/>
  <c r="C175" i="5"/>
  <c r="AF175" i="5"/>
  <c r="B175" i="5"/>
  <c r="A175" i="5"/>
  <c r="O175" i="5"/>
  <c r="N175" i="5"/>
  <c r="AQ160" i="5"/>
  <c r="F160" i="5"/>
  <c r="E160" i="5"/>
  <c r="D160" i="5"/>
  <c r="C160" i="5"/>
  <c r="B160" i="5"/>
  <c r="AJ160" i="5"/>
  <c r="J160" i="5"/>
  <c r="AF160" i="5"/>
  <c r="I160" i="5"/>
  <c r="H160" i="5"/>
  <c r="G160" i="5"/>
  <c r="A160" i="5"/>
  <c r="O160" i="5"/>
  <c r="N160" i="5"/>
  <c r="M160" i="5"/>
  <c r="L160" i="5"/>
  <c r="K160" i="5"/>
  <c r="AJ163" i="5"/>
  <c r="O163" i="5"/>
  <c r="AF163" i="5"/>
  <c r="N163" i="5"/>
  <c r="M163" i="5"/>
  <c r="L163" i="5"/>
  <c r="A163" i="5"/>
  <c r="AQ163" i="5"/>
  <c r="K163" i="5"/>
  <c r="J163" i="5"/>
  <c r="I163" i="5"/>
  <c r="H163" i="5"/>
  <c r="G163" i="5"/>
  <c r="F163" i="5"/>
  <c r="E163" i="5"/>
  <c r="D163" i="5"/>
  <c r="C163" i="5"/>
  <c r="B163" i="5"/>
  <c r="M181" i="5"/>
  <c r="L181" i="5"/>
  <c r="K181" i="5"/>
  <c r="J181" i="5"/>
  <c r="I181" i="5"/>
  <c r="H181" i="5"/>
  <c r="AQ181" i="5"/>
  <c r="F181" i="5"/>
  <c r="A181" i="5"/>
  <c r="O181" i="5"/>
  <c r="N181" i="5"/>
  <c r="G181" i="5"/>
  <c r="E181" i="5"/>
  <c r="D181" i="5"/>
  <c r="C181" i="5"/>
  <c r="B181" i="5"/>
  <c r="AJ181" i="5"/>
  <c r="AF181" i="5"/>
  <c r="J235" i="5"/>
  <c r="I235" i="5"/>
  <c r="H235" i="5"/>
  <c r="G235" i="5"/>
  <c r="AQ235" i="5"/>
  <c r="F235" i="5"/>
  <c r="E235" i="5"/>
  <c r="L235" i="5"/>
  <c r="K235" i="5"/>
  <c r="D235" i="5"/>
  <c r="AJ235" i="5"/>
  <c r="C235" i="5"/>
  <c r="AF235" i="5"/>
  <c r="B235" i="5"/>
  <c r="A235" i="5"/>
  <c r="O235" i="5"/>
  <c r="N235" i="5"/>
  <c r="M235" i="5"/>
  <c r="I258" i="5"/>
  <c r="H258" i="5"/>
  <c r="G258" i="5"/>
  <c r="AQ258" i="5"/>
  <c r="F258" i="5"/>
  <c r="E258" i="5"/>
  <c r="D258" i="5"/>
  <c r="C258" i="5"/>
  <c r="B258" i="5"/>
  <c r="A258" i="5"/>
  <c r="O258" i="5"/>
  <c r="N258" i="5"/>
  <c r="M258" i="5"/>
  <c r="L258" i="5"/>
  <c r="K258" i="5"/>
  <c r="J258" i="5"/>
  <c r="AJ258" i="5"/>
  <c r="AF258" i="5"/>
  <c r="AJ232" i="5"/>
  <c r="O232" i="5"/>
  <c r="AF232" i="5"/>
  <c r="N232" i="5"/>
  <c r="M232" i="5"/>
  <c r="L232" i="5"/>
  <c r="K232" i="5"/>
  <c r="F232" i="5"/>
  <c r="E232" i="5"/>
  <c r="D232" i="5"/>
  <c r="C232" i="5"/>
  <c r="B232" i="5"/>
  <c r="A232" i="5"/>
  <c r="AQ232" i="5"/>
  <c r="J232" i="5"/>
  <c r="I232" i="5"/>
  <c r="G232" i="5"/>
  <c r="H232" i="5"/>
  <c r="E268" i="5"/>
  <c r="D268" i="5"/>
  <c r="C268" i="5"/>
  <c r="B268" i="5"/>
  <c r="A268" i="5"/>
  <c r="AJ268" i="5"/>
  <c r="O268" i="5"/>
  <c r="AF268" i="5"/>
  <c r="N268" i="5"/>
  <c r="M268" i="5"/>
  <c r="L268" i="5"/>
  <c r="K268" i="5"/>
  <c r="J268" i="5"/>
  <c r="I268" i="5"/>
  <c r="G268" i="5"/>
  <c r="AQ268" i="5"/>
  <c r="H268" i="5"/>
  <c r="F268" i="5"/>
  <c r="AJ263" i="5"/>
  <c r="O263" i="5"/>
  <c r="AF263" i="5"/>
  <c r="N263" i="5"/>
  <c r="M263" i="5"/>
  <c r="L263" i="5"/>
  <c r="K263" i="5"/>
  <c r="J263" i="5"/>
  <c r="I263" i="5"/>
  <c r="H263" i="5"/>
  <c r="G263" i="5"/>
  <c r="F263" i="5"/>
  <c r="E263" i="5"/>
  <c r="AQ263" i="5"/>
  <c r="D263" i="5"/>
  <c r="C263" i="5"/>
  <c r="A263" i="5"/>
  <c r="B263" i="5"/>
  <c r="C285" i="5"/>
  <c r="A285" i="5"/>
  <c r="AJ285" i="5"/>
  <c r="O285" i="5"/>
  <c r="M285" i="5"/>
  <c r="L285" i="5"/>
  <c r="AQ285" i="5"/>
  <c r="N285" i="5"/>
  <c r="K285" i="5"/>
  <c r="J285" i="5"/>
  <c r="I285" i="5"/>
  <c r="H285" i="5"/>
  <c r="AF285" i="5"/>
  <c r="G285" i="5"/>
  <c r="F285" i="5"/>
  <c r="E285" i="5"/>
  <c r="D285" i="5"/>
  <c r="B285" i="5"/>
  <c r="I362" i="5"/>
  <c r="H362" i="5"/>
  <c r="G362" i="5"/>
  <c r="AQ362" i="5"/>
  <c r="F362" i="5"/>
  <c r="E362" i="5"/>
  <c r="D362" i="5"/>
  <c r="O362" i="5"/>
  <c r="N362" i="5"/>
  <c r="M362" i="5"/>
  <c r="K362" i="5"/>
  <c r="AJ362" i="5"/>
  <c r="C362" i="5"/>
  <c r="L362" i="5"/>
  <c r="J362" i="5"/>
  <c r="B362" i="5"/>
  <c r="A362" i="5"/>
  <c r="AF362" i="5"/>
  <c r="J378" i="5"/>
  <c r="I378" i="5"/>
  <c r="H378" i="5"/>
  <c r="G378" i="5"/>
  <c r="AQ378" i="5"/>
  <c r="F378" i="5"/>
  <c r="E378" i="5"/>
  <c r="D378" i="5"/>
  <c r="C378" i="5"/>
  <c r="A378" i="5"/>
  <c r="AF378" i="5"/>
  <c r="N378" i="5"/>
  <c r="K378" i="5"/>
  <c r="B378" i="5"/>
  <c r="AJ378" i="5"/>
  <c r="O378" i="5"/>
  <c r="M378" i="5"/>
  <c r="L378" i="5"/>
  <c r="H379" i="5"/>
  <c r="G379" i="5"/>
  <c r="AQ379" i="5"/>
  <c r="F379" i="5"/>
  <c r="E379" i="5"/>
  <c r="D379" i="5"/>
  <c r="C379" i="5"/>
  <c r="B379" i="5"/>
  <c r="A379" i="5"/>
  <c r="AJ379" i="5"/>
  <c r="O379" i="5"/>
  <c r="AF379" i="5"/>
  <c r="N379" i="5"/>
  <c r="L379" i="5"/>
  <c r="J379" i="5"/>
  <c r="I379" i="5"/>
  <c r="M379" i="5"/>
  <c r="K379" i="5"/>
  <c r="I370" i="5"/>
  <c r="H370" i="5"/>
  <c r="G370" i="5"/>
  <c r="AQ370" i="5"/>
  <c r="F370" i="5"/>
  <c r="E370" i="5"/>
  <c r="D370" i="5"/>
  <c r="K370" i="5"/>
  <c r="J370" i="5"/>
  <c r="AJ370" i="5"/>
  <c r="C370" i="5"/>
  <c r="AF370" i="5"/>
  <c r="B370" i="5"/>
  <c r="A370" i="5"/>
  <c r="O370" i="5"/>
  <c r="N370" i="5"/>
  <c r="M370" i="5"/>
  <c r="L370" i="5"/>
  <c r="J428" i="5"/>
  <c r="H428" i="5"/>
  <c r="G428" i="5"/>
  <c r="D428" i="5"/>
  <c r="AQ428" i="5"/>
  <c r="C428" i="5"/>
  <c r="AJ428" i="5"/>
  <c r="B428" i="5"/>
  <c r="O428" i="5"/>
  <c r="N428" i="5"/>
  <c r="M428" i="5"/>
  <c r="L428" i="5"/>
  <c r="K428" i="5"/>
  <c r="I428" i="5"/>
  <c r="F428" i="5"/>
  <c r="E428" i="5"/>
  <c r="A428" i="5"/>
  <c r="AF428" i="5"/>
  <c r="E445" i="5"/>
  <c r="J445" i="5"/>
  <c r="I445" i="5"/>
  <c r="H445" i="5"/>
  <c r="G445" i="5"/>
  <c r="F445" i="5"/>
  <c r="D445" i="5"/>
  <c r="AQ445" i="5"/>
  <c r="C445" i="5"/>
  <c r="AJ445" i="5"/>
  <c r="B445" i="5"/>
  <c r="AF445" i="5"/>
  <c r="A445" i="5"/>
  <c r="O445" i="5"/>
  <c r="N445" i="5"/>
  <c r="M445" i="5"/>
  <c r="L445" i="5"/>
  <c r="K445" i="5"/>
  <c r="I546" i="5"/>
  <c r="H546" i="5"/>
  <c r="G546" i="5"/>
  <c r="F546" i="5"/>
  <c r="AJ546" i="5"/>
  <c r="C546" i="5"/>
  <c r="M546" i="5"/>
  <c r="L546" i="5"/>
  <c r="K546" i="5"/>
  <c r="J546" i="5"/>
  <c r="E546" i="5"/>
  <c r="D546" i="5"/>
  <c r="B546" i="5"/>
  <c r="A546" i="5"/>
  <c r="AQ546" i="5"/>
  <c r="AF546" i="5"/>
  <c r="O546" i="5"/>
  <c r="N546" i="5"/>
  <c r="AJ386" i="5"/>
  <c r="O386" i="5"/>
  <c r="AF386" i="5"/>
  <c r="N386" i="5"/>
  <c r="M386" i="5"/>
  <c r="K386" i="5"/>
  <c r="I386" i="5"/>
  <c r="AQ386" i="5"/>
  <c r="L386" i="5"/>
  <c r="J386" i="5"/>
  <c r="H386" i="5"/>
  <c r="G386" i="5"/>
  <c r="F386" i="5"/>
  <c r="E386" i="5"/>
  <c r="D386" i="5"/>
  <c r="B386" i="5"/>
  <c r="C386" i="5"/>
  <c r="A386" i="5"/>
  <c r="H527" i="5"/>
  <c r="G527" i="5"/>
  <c r="F527" i="5"/>
  <c r="E527" i="5"/>
  <c r="AQ527" i="5"/>
  <c r="D527" i="5"/>
  <c r="AJ527" i="5"/>
  <c r="C527" i="5"/>
  <c r="AF527" i="5"/>
  <c r="B527" i="5"/>
  <c r="K527" i="5"/>
  <c r="J527" i="5"/>
  <c r="I527" i="5"/>
  <c r="A527" i="5"/>
  <c r="O527" i="5"/>
  <c r="N527" i="5"/>
  <c r="M527" i="5"/>
  <c r="L527" i="5"/>
  <c r="AF420" i="5"/>
  <c r="B420" i="5"/>
  <c r="F420" i="5"/>
  <c r="E420" i="5"/>
  <c r="AJ420" i="5"/>
  <c r="A420" i="5"/>
  <c r="J420" i="5"/>
  <c r="I420" i="5"/>
  <c r="H420" i="5"/>
  <c r="G420" i="5"/>
  <c r="D420" i="5"/>
  <c r="C420" i="5"/>
  <c r="AQ420" i="5"/>
  <c r="O420" i="5"/>
  <c r="M420" i="5"/>
  <c r="N420" i="5"/>
  <c r="K420" i="5"/>
  <c r="L420" i="5"/>
  <c r="N497" i="5"/>
  <c r="M497" i="5"/>
  <c r="L497" i="5"/>
  <c r="K497" i="5"/>
  <c r="H497" i="5"/>
  <c r="C497" i="5"/>
  <c r="B497" i="5"/>
  <c r="A497" i="5"/>
  <c r="AQ497" i="5"/>
  <c r="AJ497" i="5"/>
  <c r="AF497" i="5"/>
  <c r="O497" i="5"/>
  <c r="J497" i="5"/>
  <c r="I497" i="5"/>
  <c r="G497" i="5"/>
  <c r="F497" i="5"/>
  <c r="E497" i="5"/>
  <c r="D497" i="5"/>
  <c r="E477" i="5"/>
  <c r="AQ477" i="5"/>
  <c r="D477" i="5"/>
  <c r="AJ477" i="5"/>
  <c r="C477" i="5"/>
  <c r="AF477" i="5"/>
  <c r="B477" i="5"/>
  <c r="A477" i="5"/>
  <c r="M477" i="5"/>
  <c r="L477" i="5"/>
  <c r="K477" i="5"/>
  <c r="J477" i="5"/>
  <c r="I477" i="5"/>
  <c r="H477" i="5"/>
  <c r="G477" i="5"/>
  <c r="F477" i="5"/>
  <c r="O477" i="5"/>
  <c r="N477" i="5"/>
  <c r="K504" i="5"/>
  <c r="J504" i="5"/>
  <c r="I504" i="5"/>
  <c r="H504" i="5"/>
  <c r="E504" i="5"/>
  <c r="AF504" i="5"/>
  <c r="O504" i="5"/>
  <c r="N504" i="5"/>
  <c r="M504" i="5"/>
  <c r="G504" i="5"/>
  <c r="AQ504" i="5"/>
  <c r="AJ504" i="5"/>
  <c r="L504" i="5"/>
  <c r="F504" i="5"/>
  <c r="D504" i="5"/>
  <c r="C504" i="5"/>
  <c r="B504" i="5"/>
  <c r="A504" i="5"/>
  <c r="K552" i="5"/>
  <c r="J552" i="5"/>
  <c r="I552" i="5"/>
  <c r="H552" i="5"/>
  <c r="G552" i="5"/>
  <c r="F552" i="5"/>
  <c r="E552" i="5"/>
  <c r="AF552" i="5"/>
  <c r="B552" i="5"/>
  <c r="A552" i="5"/>
  <c r="AQ552" i="5"/>
  <c r="AJ552" i="5"/>
  <c r="O552" i="5"/>
  <c r="N552" i="5"/>
  <c r="M552" i="5"/>
  <c r="L552" i="5"/>
  <c r="D552" i="5"/>
  <c r="C552" i="5"/>
  <c r="AQ499" i="5"/>
  <c r="D499" i="5"/>
  <c r="AJ499" i="5"/>
  <c r="C499" i="5"/>
  <c r="AF499" i="5"/>
  <c r="B499" i="5"/>
  <c r="A499" i="5"/>
  <c r="N499" i="5"/>
  <c r="H499" i="5"/>
  <c r="G499" i="5"/>
  <c r="F499" i="5"/>
  <c r="E499" i="5"/>
  <c r="M499" i="5"/>
  <c r="L499" i="5"/>
  <c r="K499" i="5"/>
  <c r="J499" i="5"/>
  <c r="I499" i="5"/>
  <c r="O499" i="5"/>
  <c r="J577" i="5"/>
  <c r="I577" i="5"/>
  <c r="K577" i="5"/>
  <c r="H577" i="5"/>
  <c r="G577" i="5"/>
  <c r="F577" i="5"/>
  <c r="E577" i="5"/>
  <c r="D577" i="5"/>
  <c r="C577" i="5"/>
  <c r="AQ577" i="5"/>
  <c r="B577" i="5"/>
  <c r="AJ577" i="5"/>
  <c r="A577" i="5"/>
  <c r="AF577" i="5"/>
  <c r="O577" i="5"/>
  <c r="N577" i="5"/>
  <c r="M577" i="5"/>
  <c r="L577" i="5"/>
  <c r="E550" i="5"/>
  <c r="AQ550" i="5"/>
  <c r="D550" i="5"/>
  <c r="AJ550" i="5"/>
  <c r="C550" i="5"/>
  <c r="AF550" i="5"/>
  <c r="B550" i="5"/>
  <c r="A550" i="5"/>
  <c r="O550" i="5"/>
  <c r="L550" i="5"/>
  <c r="K550" i="5"/>
  <c r="J550" i="5"/>
  <c r="I550" i="5"/>
  <c r="H550" i="5"/>
  <c r="G550" i="5"/>
  <c r="F550" i="5"/>
  <c r="M550" i="5"/>
  <c r="N550" i="5"/>
  <c r="K590" i="5"/>
  <c r="J590" i="5"/>
  <c r="I590" i="5"/>
  <c r="H590" i="5"/>
  <c r="AF590" i="5"/>
  <c r="O590" i="5"/>
  <c r="N590" i="5"/>
  <c r="M590" i="5"/>
  <c r="L590" i="5"/>
  <c r="G590" i="5"/>
  <c r="F590" i="5"/>
  <c r="E590" i="5"/>
  <c r="D590" i="5"/>
  <c r="B590" i="5"/>
  <c r="AQ590" i="5"/>
  <c r="AJ590" i="5"/>
  <c r="C590" i="5"/>
  <c r="A590" i="5"/>
  <c r="O602" i="5"/>
  <c r="L602" i="5"/>
  <c r="D602" i="5"/>
  <c r="C602" i="5"/>
  <c r="B602" i="5"/>
  <c r="AQ602" i="5"/>
  <c r="A602" i="5"/>
  <c r="AJ602" i="5"/>
  <c r="AF602" i="5"/>
  <c r="J602" i="5"/>
  <c r="N602" i="5"/>
  <c r="M602" i="5"/>
  <c r="K602" i="5"/>
  <c r="I602" i="5"/>
  <c r="H602" i="5"/>
  <c r="G602" i="5"/>
  <c r="F602" i="5"/>
  <c r="E602" i="5"/>
  <c r="A592" i="5"/>
  <c r="O592" i="5"/>
  <c r="N592" i="5"/>
  <c r="K592" i="5"/>
  <c r="AQ592" i="5"/>
  <c r="AJ592" i="5"/>
  <c r="AF592" i="5"/>
  <c r="M592" i="5"/>
  <c r="L592" i="5"/>
  <c r="J592" i="5"/>
  <c r="I592" i="5"/>
  <c r="H592" i="5"/>
  <c r="G592" i="5"/>
  <c r="F592" i="5"/>
  <c r="D592" i="5"/>
  <c r="E592" i="5"/>
  <c r="C592" i="5"/>
  <c r="B592" i="5"/>
  <c r="K680" i="5"/>
  <c r="I680" i="5"/>
  <c r="AJ680" i="5"/>
  <c r="C680" i="5"/>
  <c r="N680" i="5"/>
  <c r="M680" i="5"/>
  <c r="L680" i="5"/>
  <c r="J680" i="5"/>
  <c r="H680" i="5"/>
  <c r="G680" i="5"/>
  <c r="F680" i="5"/>
  <c r="D680" i="5"/>
  <c r="A680" i="5"/>
  <c r="AF680" i="5"/>
  <c r="AQ680" i="5"/>
  <c r="O680" i="5"/>
  <c r="E680" i="5"/>
  <c r="B680" i="5"/>
  <c r="A605" i="5"/>
  <c r="M605" i="5"/>
  <c r="J605" i="5"/>
  <c r="I605" i="5"/>
  <c r="E605" i="5"/>
  <c r="D605" i="5"/>
  <c r="C605" i="5"/>
  <c r="B605" i="5"/>
  <c r="AQ605" i="5"/>
  <c r="N605" i="5"/>
  <c r="L605" i="5"/>
  <c r="K605" i="5"/>
  <c r="H605" i="5"/>
  <c r="G605" i="5"/>
  <c r="F605" i="5"/>
  <c r="O605" i="5"/>
  <c r="AJ605" i="5"/>
  <c r="AF605" i="5"/>
  <c r="H655" i="5"/>
  <c r="F655" i="5"/>
  <c r="D655" i="5"/>
  <c r="C655" i="5"/>
  <c r="B655" i="5"/>
  <c r="AQ655" i="5"/>
  <c r="A655" i="5"/>
  <c r="L655" i="5"/>
  <c r="K655" i="5"/>
  <c r="J655" i="5"/>
  <c r="I655" i="5"/>
  <c r="G655" i="5"/>
  <c r="E655" i="5"/>
  <c r="AJ655" i="5"/>
  <c r="AF655" i="5"/>
  <c r="O655" i="5"/>
  <c r="N655" i="5"/>
  <c r="M655" i="5"/>
  <c r="AQ675" i="5"/>
  <c r="D675" i="5"/>
  <c r="AF675" i="5"/>
  <c r="B675" i="5"/>
  <c r="L675" i="5"/>
  <c r="AJ675" i="5"/>
  <c r="O675" i="5"/>
  <c r="N675" i="5"/>
  <c r="M675" i="5"/>
  <c r="J675" i="5"/>
  <c r="H675" i="5"/>
  <c r="F675" i="5"/>
  <c r="K675" i="5"/>
  <c r="I675" i="5"/>
  <c r="G675" i="5"/>
  <c r="E675" i="5"/>
  <c r="C675" i="5"/>
  <c r="A675" i="5"/>
  <c r="A666" i="5"/>
  <c r="O666" i="5"/>
  <c r="I666" i="5"/>
  <c r="L666" i="5"/>
  <c r="K666" i="5"/>
  <c r="J666" i="5"/>
  <c r="H666" i="5"/>
  <c r="G666" i="5"/>
  <c r="F666" i="5"/>
  <c r="C666" i="5"/>
  <c r="AQ666" i="5"/>
  <c r="N666" i="5"/>
  <c r="M666" i="5"/>
  <c r="E666" i="5"/>
  <c r="D666" i="5"/>
  <c r="B666" i="5"/>
  <c r="AJ666" i="5"/>
  <c r="AF666" i="5"/>
  <c r="K415" i="5"/>
  <c r="H415" i="5"/>
  <c r="G415" i="5"/>
  <c r="D415" i="5"/>
  <c r="AQ415" i="5"/>
  <c r="C415" i="5"/>
  <c r="AJ415" i="5"/>
  <c r="B415" i="5"/>
  <c r="O415" i="5"/>
  <c r="N415" i="5"/>
  <c r="M415" i="5"/>
  <c r="L415" i="5"/>
  <c r="J415" i="5"/>
  <c r="I415" i="5"/>
  <c r="F415" i="5"/>
  <c r="E415" i="5"/>
  <c r="A415" i="5"/>
  <c r="AF415" i="5"/>
  <c r="AF569" i="5"/>
  <c r="B569" i="5"/>
  <c r="A569" i="5"/>
  <c r="M569" i="5"/>
  <c r="L569" i="5"/>
  <c r="K569" i="5"/>
  <c r="J569" i="5"/>
  <c r="I569" i="5"/>
  <c r="H569" i="5"/>
  <c r="G569" i="5"/>
  <c r="F569" i="5"/>
  <c r="E569" i="5"/>
  <c r="D569" i="5"/>
  <c r="C569" i="5"/>
  <c r="AJ569" i="5"/>
  <c r="AQ569" i="5"/>
  <c r="O569" i="5"/>
  <c r="N569" i="5"/>
  <c r="K66" i="5"/>
  <c r="J66" i="5"/>
  <c r="I66" i="5"/>
  <c r="H66" i="5"/>
  <c r="G66" i="5"/>
  <c r="AQ66" i="5"/>
  <c r="F66" i="5"/>
  <c r="E66" i="5"/>
  <c r="D66" i="5"/>
  <c r="C66" i="5"/>
  <c r="B66" i="5"/>
  <c r="A66" i="5"/>
  <c r="AJ66" i="5"/>
  <c r="AF66" i="5"/>
  <c r="O66" i="5"/>
  <c r="N66" i="5"/>
  <c r="M66" i="5"/>
  <c r="L66" i="5"/>
  <c r="AF188" i="5"/>
  <c r="N188" i="5"/>
  <c r="M188" i="5"/>
  <c r="J188" i="5"/>
  <c r="F188" i="5"/>
  <c r="E188" i="5"/>
  <c r="D188" i="5"/>
  <c r="C188" i="5"/>
  <c r="B188" i="5"/>
  <c r="A188" i="5"/>
  <c r="K188" i="5"/>
  <c r="AJ188" i="5"/>
  <c r="O188" i="5"/>
  <c r="L188" i="5"/>
  <c r="I188" i="5"/>
  <c r="H188" i="5"/>
  <c r="G188" i="5"/>
  <c r="AQ188" i="5"/>
  <c r="D373" i="5"/>
  <c r="C373" i="5"/>
  <c r="B373" i="5"/>
  <c r="A373" i="5"/>
  <c r="AJ373" i="5"/>
  <c r="O373" i="5"/>
  <c r="AF373" i="5"/>
  <c r="N373" i="5"/>
  <c r="M373" i="5"/>
  <c r="H373" i="5"/>
  <c r="L373" i="5"/>
  <c r="K373" i="5"/>
  <c r="J373" i="5"/>
  <c r="I373" i="5"/>
  <c r="G373" i="5"/>
  <c r="F373" i="5"/>
  <c r="E373" i="5"/>
  <c r="AQ373" i="5"/>
  <c r="L667" i="5"/>
  <c r="J667" i="5"/>
  <c r="AQ667" i="5"/>
  <c r="D667" i="5"/>
  <c r="K667" i="5"/>
  <c r="I667" i="5"/>
  <c r="H667" i="5"/>
  <c r="G667" i="5"/>
  <c r="F667" i="5"/>
  <c r="E667" i="5"/>
  <c r="A667" i="5"/>
  <c r="AF667" i="5"/>
  <c r="AJ667" i="5"/>
  <c r="O667" i="5"/>
  <c r="N667" i="5"/>
  <c r="M667" i="5"/>
  <c r="C667" i="5"/>
  <c r="B667" i="5"/>
  <c r="E201" i="5"/>
  <c r="D201" i="5"/>
  <c r="C201" i="5"/>
  <c r="B201" i="5"/>
  <c r="A201" i="5"/>
  <c r="K201" i="5"/>
  <c r="AQ201" i="5"/>
  <c r="J201" i="5"/>
  <c r="AJ201" i="5"/>
  <c r="I201" i="5"/>
  <c r="AF201" i="5"/>
  <c r="H201" i="5"/>
  <c r="G201" i="5"/>
  <c r="F201" i="5"/>
  <c r="O201" i="5"/>
  <c r="N201" i="5"/>
  <c r="M201" i="5"/>
  <c r="L201" i="5"/>
  <c r="N472" i="5"/>
  <c r="M472" i="5"/>
  <c r="L472" i="5"/>
  <c r="K472" i="5"/>
  <c r="J472" i="5"/>
  <c r="C472" i="5"/>
  <c r="B472" i="5"/>
  <c r="A472" i="5"/>
  <c r="AQ472" i="5"/>
  <c r="AJ472" i="5"/>
  <c r="AF472" i="5"/>
  <c r="O472" i="5"/>
  <c r="G472" i="5"/>
  <c r="F472" i="5"/>
  <c r="E472" i="5"/>
  <c r="D472" i="5"/>
  <c r="I472" i="5"/>
  <c r="H472" i="5"/>
  <c r="H36" i="5"/>
  <c r="G36" i="5"/>
  <c r="AQ36" i="5"/>
  <c r="F36" i="5"/>
  <c r="E36" i="5"/>
  <c r="D36" i="5"/>
  <c r="C36" i="5"/>
  <c r="B36" i="5"/>
  <c r="A36" i="5"/>
  <c r="AJ36" i="5"/>
  <c r="O36" i="5"/>
  <c r="AF36" i="5"/>
  <c r="N36" i="5"/>
  <c r="M36" i="5"/>
  <c r="I36" i="5"/>
  <c r="K36" i="5"/>
  <c r="L36" i="5"/>
  <c r="J36" i="5"/>
  <c r="C170" i="5"/>
  <c r="B170" i="5"/>
  <c r="A170" i="5"/>
  <c r="AJ170" i="5"/>
  <c r="O170" i="5"/>
  <c r="AF170" i="5"/>
  <c r="N170" i="5"/>
  <c r="G170" i="5"/>
  <c r="F170" i="5"/>
  <c r="E170" i="5"/>
  <c r="D170" i="5"/>
  <c r="M170" i="5"/>
  <c r="L170" i="5"/>
  <c r="K170" i="5"/>
  <c r="AQ170" i="5"/>
  <c r="J170" i="5"/>
  <c r="I170" i="5"/>
  <c r="H170" i="5"/>
  <c r="N440" i="5"/>
  <c r="L440" i="5"/>
  <c r="K440" i="5"/>
  <c r="J440" i="5"/>
  <c r="I440" i="5"/>
  <c r="H440" i="5"/>
  <c r="G440" i="5"/>
  <c r="F440" i="5"/>
  <c r="E440" i="5"/>
  <c r="D440" i="5"/>
  <c r="B440" i="5"/>
  <c r="A440" i="5"/>
  <c r="AQ440" i="5"/>
  <c r="AJ440" i="5"/>
  <c r="AF440" i="5"/>
  <c r="O440" i="5"/>
  <c r="M440" i="5"/>
  <c r="C440" i="5"/>
  <c r="N583" i="5"/>
  <c r="L583" i="5"/>
  <c r="K583" i="5"/>
  <c r="AJ583" i="5"/>
  <c r="AF583" i="5"/>
  <c r="O583" i="5"/>
  <c r="M583" i="5"/>
  <c r="J583" i="5"/>
  <c r="I583" i="5"/>
  <c r="H583" i="5"/>
  <c r="G583" i="5"/>
  <c r="F583" i="5"/>
  <c r="D583" i="5"/>
  <c r="AQ583" i="5"/>
  <c r="E583" i="5"/>
  <c r="C583" i="5"/>
  <c r="B583" i="5"/>
  <c r="A583" i="5"/>
  <c r="B8" i="5"/>
  <c r="A8" i="5"/>
  <c r="AJ8" i="5"/>
  <c r="O8" i="5"/>
  <c r="AF8" i="5"/>
  <c r="N8" i="5"/>
  <c r="J8" i="5"/>
  <c r="I8" i="5"/>
  <c r="F8" i="5"/>
  <c r="E8" i="5"/>
  <c r="D8" i="5"/>
  <c r="C8" i="5"/>
  <c r="AQ8" i="5"/>
  <c r="L8" i="5"/>
  <c r="M8" i="5"/>
  <c r="K8" i="5"/>
  <c r="H8" i="5"/>
  <c r="G8" i="5"/>
  <c r="AF33" i="5"/>
  <c r="N33" i="5"/>
  <c r="M33" i="5"/>
  <c r="L33" i="5"/>
  <c r="K33" i="5"/>
  <c r="J33" i="5"/>
  <c r="I33" i="5"/>
  <c r="H33" i="5"/>
  <c r="G33" i="5"/>
  <c r="AQ33" i="5"/>
  <c r="F33" i="5"/>
  <c r="E33" i="5"/>
  <c r="D33" i="5"/>
  <c r="C33" i="5"/>
  <c r="AJ33" i="5"/>
  <c r="O33" i="5"/>
  <c r="B33" i="5"/>
  <c r="A33" i="5"/>
  <c r="E61" i="5"/>
  <c r="D61" i="5"/>
  <c r="C61" i="5"/>
  <c r="B61" i="5"/>
  <c r="A61" i="5"/>
  <c r="AJ61" i="5"/>
  <c r="O61" i="5"/>
  <c r="AF61" i="5"/>
  <c r="N61" i="5"/>
  <c r="L61" i="5"/>
  <c r="K61" i="5"/>
  <c r="M61" i="5"/>
  <c r="J61" i="5"/>
  <c r="I61" i="5"/>
  <c r="H61" i="5"/>
  <c r="G61" i="5"/>
  <c r="F61" i="5"/>
  <c r="AQ61" i="5"/>
  <c r="AQ37" i="5"/>
  <c r="F37" i="5"/>
  <c r="E37" i="5"/>
  <c r="D37" i="5"/>
  <c r="C37" i="5"/>
  <c r="B37" i="5"/>
  <c r="A37" i="5"/>
  <c r="AJ37" i="5"/>
  <c r="O37" i="5"/>
  <c r="AF37" i="5"/>
  <c r="N37" i="5"/>
  <c r="M37" i="5"/>
  <c r="L37" i="5"/>
  <c r="K37" i="5"/>
  <c r="J37" i="5"/>
  <c r="H37" i="5"/>
  <c r="G37" i="5"/>
  <c r="I37" i="5"/>
  <c r="J35" i="5"/>
  <c r="I35" i="5"/>
  <c r="H35" i="5"/>
  <c r="G35" i="5"/>
  <c r="AQ35" i="5"/>
  <c r="F35" i="5"/>
  <c r="E35" i="5"/>
  <c r="D35" i="5"/>
  <c r="C35" i="5"/>
  <c r="B35" i="5"/>
  <c r="A35" i="5"/>
  <c r="AJ35" i="5"/>
  <c r="O35" i="5"/>
  <c r="AF35" i="5"/>
  <c r="N35" i="5"/>
  <c r="M35" i="5"/>
  <c r="L35" i="5"/>
  <c r="K35" i="5"/>
  <c r="AQ45" i="5"/>
  <c r="F45" i="5"/>
  <c r="E45" i="5"/>
  <c r="D45" i="5"/>
  <c r="C45" i="5"/>
  <c r="B45" i="5"/>
  <c r="A45" i="5"/>
  <c r="AJ45" i="5"/>
  <c r="O45" i="5"/>
  <c r="AF45" i="5"/>
  <c r="N45" i="5"/>
  <c r="M45" i="5"/>
  <c r="L45" i="5"/>
  <c r="K45" i="5"/>
  <c r="G45" i="5"/>
  <c r="I45" i="5"/>
  <c r="J45" i="5"/>
  <c r="H45" i="5"/>
  <c r="AJ9" i="5"/>
  <c r="O9" i="5"/>
  <c r="AF9" i="5"/>
  <c r="N9" i="5"/>
  <c r="M9" i="5"/>
  <c r="L9" i="5"/>
  <c r="K9" i="5"/>
  <c r="G9" i="5"/>
  <c r="F9" i="5"/>
  <c r="C9" i="5"/>
  <c r="B9" i="5"/>
  <c r="A9" i="5"/>
  <c r="I9" i="5"/>
  <c r="D9" i="5"/>
  <c r="AQ9" i="5"/>
  <c r="H9" i="5"/>
  <c r="J9" i="5"/>
  <c r="E9" i="5"/>
  <c r="I83" i="5"/>
  <c r="H83" i="5"/>
  <c r="G83" i="5"/>
  <c r="AQ83" i="5"/>
  <c r="F83" i="5"/>
  <c r="E83" i="5"/>
  <c r="D83" i="5"/>
  <c r="C83" i="5"/>
  <c r="B83" i="5"/>
  <c r="A83" i="5"/>
  <c r="AJ83" i="5"/>
  <c r="O83" i="5"/>
  <c r="AF83" i="5"/>
  <c r="N83" i="5"/>
  <c r="M83" i="5"/>
  <c r="L83" i="5"/>
  <c r="K83" i="5"/>
  <c r="J83" i="5"/>
  <c r="E85" i="5"/>
  <c r="D85" i="5"/>
  <c r="C85" i="5"/>
  <c r="B85" i="5"/>
  <c r="A85" i="5"/>
  <c r="AJ85" i="5"/>
  <c r="O85" i="5"/>
  <c r="AF85" i="5"/>
  <c r="N85" i="5"/>
  <c r="M85" i="5"/>
  <c r="L85" i="5"/>
  <c r="K85" i="5"/>
  <c r="J85" i="5"/>
  <c r="I85" i="5"/>
  <c r="H85" i="5"/>
  <c r="G85" i="5"/>
  <c r="F85" i="5"/>
  <c r="AQ85" i="5"/>
  <c r="AJ64" i="5"/>
  <c r="O64" i="5"/>
  <c r="AF64" i="5"/>
  <c r="N64" i="5"/>
  <c r="M64" i="5"/>
  <c r="L64" i="5"/>
  <c r="K64" i="5"/>
  <c r="J64" i="5"/>
  <c r="I64" i="5"/>
  <c r="H64" i="5"/>
  <c r="G64" i="5"/>
  <c r="AQ64" i="5"/>
  <c r="F64" i="5"/>
  <c r="E64" i="5"/>
  <c r="D64" i="5"/>
  <c r="C64" i="5"/>
  <c r="B64" i="5"/>
  <c r="A64" i="5"/>
  <c r="G97" i="5"/>
  <c r="AQ97" i="5"/>
  <c r="F97" i="5"/>
  <c r="E97" i="5"/>
  <c r="D97" i="5"/>
  <c r="C97" i="5"/>
  <c r="B97" i="5"/>
  <c r="M97" i="5"/>
  <c r="O97" i="5"/>
  <c r="N97" i="5"/>
  <c r="L97" i="5"/>
  <c r="K97" i="5"/>
  <c r="J97" i="5"/>
  <c r="I97" i="5"/>
  <c r="AJ97" i="5"/>
  <c r="AF97" i="5"/>
  <c r="H97" i="5"/>
  <c r="A97" i="5"/>
  <c r="C123" i="5"/>
  <c r="B123" i="5"/>
  <c r="A123" i="5"/>
  <c r="AJ123" i="5"/>
  <c r="O123" i="5"/>
  <c r="AF123" i="5"/>
  <c r="N123" i="5"/>
  <c r="M123" i="5"/>
  <c r="L123" i="5"/>
  <c r="K123" i="5"/>
  <c r="J123" i="5"/>
  <c r="I123" i="5"/>
  <c r="H123" i="5"/>
  <c r="G123" i="5"/>
  <c r="AQ123" i="5"/>
  <c r="F123" i="5"/>
  <c r="E123" i="5"/>
  <c r="D123" i="5"/>
  <c r="M118" i="5"/>
  <c r="L118" i="5"/>
  <c r="K118" i="5"/>
  <c r="J118" i="5"/>
  <c r="I118" i="5"/>
  <c r="H118" i="5"/>
  <c r="G118" i="5"/>
  <c r="AQ118" i="5"/>
  <c r="F118" i="5"/>
  <c r="E118" i="5"/>
  <c r="D118" i="5"/>
  <c r="C118" i="5"/>
  <c r="B118" i="5"/>
  <c r="A118" i="5"/>
  <c r="AJ118" i="5"/>
  <c r="AF118" i="5"/>
  <c r="O118" i="5"/>
  <c r="N118" i="5"/>
  <c r="E185" i="5"/>
  <c r="D185" i="5"/>
  <c r="C185" i="5"/>
  <c r="B185" i="5"/>
  <c r="A185" i="5"/>
  <c r="AF185" i="5"/>
  <c r="N185" i="5"/>
  <c r="I185" i="5"/>
  <c r="K185" i="5"/>
  <c r="J185" i="5"/>
  <c r="H185" i="5"/>
  <c r="G185" i="5"/>
  <c r="AQ185" i="5"/>
  <c r="F185" i="5"/>
  <c r="AJ185" i="5"/>
  <c r="O185" i="5"/>
  <c r="M185" i="5"/>
  <c r="L185" i="5"/>
  <c r="H167" i="5"/>
  <c r="G167" i="5"/>
  <c r="AQ167" i="5"/>
  <c r="F167" i="5"/>
  <c r="E167" i="5"/>
  <c r="D167" i="5"/>
  <c r="AJ167" i="5"/>
  <c r="J167" i="5"/>
  <c r="AF167" i="5"/>
  <c r="I167" i="5"/>
  <c r="C167" i="5"/>
  <c r="B167" i="5"/>
  <c r="A167" i="5"/>
  <c r="O167" i="5"/>
  <c r="N167" i="5"/>
  <c r="M167" i="5"/>
  <c r="L167" i="5"/>
  <c r="K167" i="5"/>
  <c r="A171" i="5"/>
  <c r="AJ171" i="5"/>
  <c r="O171" i="5"/>
  <c r="AF171" i="5"/>
  <c r="N171" i="5"/>
  <c r="M171" i="5"/>
  <c r="L171" i="5"/>
  <c r="G171" i="5"/>
  <c r="F171" i="5"/>
  <c r="E171" i="5"/>
  <c r="D171" i="5"/>
  <c r="C171" i="5"/>
  <c r="B171" i="5"/>
  <c r="K171" i="5"/>
  <c r="H171" i="5"/>
  <c r="AQ171" i="5"/>
  <c r="J171" i="5"/>
  <c r="I171" i="5"/>
  <c r="AQ229" i="5"/>
  <c r="E229" i="5"/>
  <c r="D229" i="5"/>
  <c r="C229" i="5"/>
  <c r="B229" i="5"/>
  <c r="A229" i="5"/>
  <c r="G229" i="5"/>
  <c r="F229" i="5"/>
  <c r="O229" i="5"/>
  <c r="N229" i="5"/>
  <c r="M229" i="5"/>
  <c r="K229" i="5"/>
  <c r="L229" i="5"/>
  <c r="J229" i="5"/>
  <c r="I229" i="5"/>
  <c r="H229" i="5"/>
  <c r="AJ229" i="5"/>
  <c r="AF229" i="5"/>
  <c r="H236" i="5"/>
  <c r="G236" i="5"/>
  <c r="AQ236" i="5"/>
  <c r="F236" i="5"/>
  <c r="E236" i="5"/>
  <c r="D236" i="5"/>
  <c r="C236" i="5"/>
  <c r="L236" i="5"/>
  <c r="K236" i="5"/>
  <c r="J236" i="5"/>
  <c r="AJ236" i="5"/>
  <c r="I236" i="5"/>
  <c r="AF236" i="5"/>
  <c r="B236" i="5"/>
  <c r="A236" i="5"/>
  <c r="O236" i="5"/>
  <c r="M236" i="5"/>
  <c r="N236" i="5"/>
  <c r="E284" i="5"/>
  <c r="C284" i="5"/>
  <c r="A284" i="5"/>
  <c r="AJ284" i="5"/>
  <c r="O284" i="5"/>
  <c r="AF284" i="5"/>
  <c r="N284" i="5"/>
  <c r="M284" i="5"/>
  <c r="AQ284" i="5"/>
  <c r="L284" i="5"/>
  <c r="K284" i="5"/>
  <c r="J284" i="5"/>
  <c r="I284" i="5"/>
  <c r="H284" i="5"/>
  <c r="G284" i="5"/>
  <c r="F284" i="5"/>
  <c r="D284" i="5"/>
  <c r="B284" i="5"/>
  <c r="AJ240" i="5"/>
  <c r="O240" i="5"/>
  <c r="AF240" i="5"/>
  <c r="N240" i="5"/>
  <c r="M240" i="5"/>
  <c r="L240" i="5"/>
  <c r="K240" i="5"/>
  <c r="J240" i="5"/>
  <c r="I240" i="5"/>
  <c r="H240" i="5"/>
  <c r="G240" i="5"/>
  <c r="AQ240" i="5"/>
  <c r="F240" i="5"/>
  <c r="D240" i="5"/>
  <c r="E240" i="5"/>
  <c r="C240" i="5"/>
  <c r="B240" i="5"/>
  <c r="A240" i="5"/>
  <c r="C253" i="5"/>
  <c r="B253" i="5"/>
  <c r="A253" i="5"/>
  <c r="AJ253" i="5"/>
  <c r="O253" i="5"/>
  <c r="AF253" i="5"/>
  <c r="N253" i="5"/>
  <c r="M253" i="5"/>
  <c r="L253" i="5"/>
  <c r="K253" i="5"/>
  <c r="J253" i="5"/>
  <c r="I253" i="5"/>
  <c r="H253" i="5"/>
  <c r="G253" i="5"/>
  <c r="F253" i="5"/>
  <c r="E253" i="5"/>
  <c r="AQ253" i="5"/>
  <c r="D253" i="5"/>
  <c r="AJ271" i="5"/>
  <c r="O271" i="5"/>
  <c r="AF271" i="5"/>
  <c r="N271" i="5"/>
  <c r="M271" i="5"/>
  <c r="L271" i="5"/>
  <c r="K271" i="5"/>
  <c r="J271" i="5"/>
  <c r="I271" i="5"/>
  <c r="H271" i="5"/>
  <c r="G271" i="5"/>
  <c r="E271" i="5"/>
  <c r="AQ271" i="5"/>
  <c r="A271" i="5"/>
  <c r="F271" i="5"/>
  <c r="B271" i="5"/>
  <c r="C271" i="5"/>
  <c r="D271" i="5"/>
  <c r="C293" i="5"/>
  <c r="B293" i="5"/>
  <c r="A293" i="5"/>
  <c r="AJ293" i="5"/>
  <c r="O293" i="5"/>
  <c r="AF293" i="5"/>
  <c r="N293" i="5"/>
  <c r="M293" i="5"/>
  <c r="L293" i="5"/>
  <c r="K293" i="5"/>
  <c r="J293" i="5"/>
  <c r="I293" i="5"/>
  <c r="H293" i="5"/>
  <c r="G293" i="5"/>
  <c r="F293" i="5"/>
  <c r="E293" i="5"/>
  <c r="D293" i="5"/>
  <c r="AQ293" i="5"/>
  <c r="AJ279" i="5"/>
  <c r="O279" i="5"/>
  <c r="M279" i="5"/>
  <c r="K279" i="5"/>
  <c r="H279" i="5"/>
  <c r="B279" i="5"/>
  <c r="A279" i="5"/>
  <c r="AQ279" i="5"/>
  <c r="N279" i="5"/>
  <c r="L279" i="5"/>
  <c r="I279" i="5"/>
  <c r="F279" i="5"/>
  <c r="E279" i="5"/>
  <c r="D279" i="5"/>
  <c r="C279" i="5"/>
  <c r="AF279" i="5"/>
  <c r="G279" i="5"/>
  <c r="J279" i="5"/>
  <c r="L340" i="5"/>
  <c r="K340" i="5"/>
  <c r="J340" i="5"/>
  <c r="I340" i="5"/>
  <c r="H340" i="5"/>
  <c r="AQ340" i="5"/>
  <c r="O340" i="5"/>
  <c r="N340" i="5"/>
  <c r="M340" i="5"/>
  <c r="G340" i="5"/>
  <c r="F340" i="5"/>
  <c r="E340" i="5"/>
  <c r="AJ340" i="5"/>
  <c r="D340" i="5"/>
  <c r="AF340" i="5"/>
  <c r="C340" i="5"/>
  <c r="B340" i="5"/>
  <c r="A340" i="5"/>
  <c r="L348" i="5"/>
  <c r="K348" i="5"/>
  <c r="J348" i="5"/>
  <c r="I348" i="5"/>
  <c r="H348" i="5"/>
  <c r="G348" i="5"/>
  <c r="AQ348" i="5"/>
  <c r="F348" i="5"/>
  <c r="B348" i="5"/>
  <c r="A348" i="5"/>
  <c r="AJ348" i="5"/>
  <c r="AF348" i="5"/>
  <c r="O348" i="5"/>
  <c r="N348" i="5"/>
  <c r="M348" i="5"/>
  <c r="E348" i="5"/>
  <c r="D348" i="5"/>
  <c r="C348" i="5"/>
  <c r="G390" i="5"/>
  <c r="AQ390" i="5"/>
  <c r="F390" i="5"/>
  <c r="E390" i="5"/>
  <c r="D390" i="5"/>
  <c r="C390" i="5"/>
  <c r="B390" i="5"/>
  <c r="A390" i="5"/>
  <c r="O390" i="5"/>
  <c r="N390" i="5"/>
  <c r="M390" i="5"/>
  <c r="L390" i="5"/>
  <c r="K390" i="5"/>
  <c r="I390" i="5"/>
  <c r="AJ390" i="5"/>
  <c r="AF390" i="5"/>
  <c r="J390" i="5"/>
  <c r="H390" i="5"/>
  <c r="K396" i="5"/>
  <c r="J396" i="5"/>
  <c r="I396" i="5"/>
  <c r="H396" i="5"/>
  <c r="G396" i="5"/>
  <c r="AQ396" i="5"/>
  <c r="F396" i="5"/>
  <c r="E396" i="5"/>
  <c r="D396" i="5"/>
  <c r="C396" i="5"/>
  <c r="A396" i="5"/>
  <c r="B396" i="5"/>
  <c r="AJ396" i="5"/>
  <c r="AF396" i="5"/>
  <c r="O396" i="5"/>
  <c r="L396" i="5"/>
  <c r="N396" i="5"/>
  <c r="M396" i="5"/>
  <c r="E391" i="5"/>
  <c r="D391" i="5"/>
  <c r="C391" i="5"/>
  <c r="B391" i="5"/>
  <c r="A391" i="5"/>
  <c r="AJ391" i="5"/>
  <c r="O391" i="5"/>
  <c r="AQ391" i="5"/>
  <c r="H391" i="5"/>
  <c r="AF391" i="5"/>
  <c r="G391" i="5"/>
  <c r="F391" i="5"/>
  <c r="N391" i="5"/>
  <c r="L391" i="5"/>
  <c r="I391" i="5"/>
  <c r="K391" i="5"/>
  <c r="J391" i="5"/>
  <c r="M391" i="5"/>
  <c r="AQ400" i="5"/>
  <c r="C400" i="5"/>
  <c r="B400" i="5"/>
  <c r="A400" i="5"/>
  <c r="O400" i="5"/>
  <c r="AJ400" i="5"/>
  <c r="N400" i="5"/>
  <c r="AF400" i="5"/>
  <c r="M400" i="5"/>
  <c r="L400" i="5"/>
  <c r="K400" i="5"/>
  <c r="J400" i="5"/>
  <c r="I400" i="5"/>
  <c r="D400" i="5"/>
  <c r="H400" i="5"/>
  <c r="E400" i="5"/>
  <c r="G400" i="5"/>
  <c r="F400" i="5"/>
  <c r="AJ394" i="5"/>
  <c r="O394" i="5"/>
  <c r="AF394" i="5"/>
  <c r="N394" i="5"/>
  <c r="M394" i="5"/>
  <c r="L394" i="5"/>
  <c r="K394" i="5"/>
  <c r="J394" i="5"/>
  <c r="I394" i="5"/>
  <c r="G394" i="5"/>
  <c r="C394" i="5"/>
  <c r="B394" i="5"/>
  <c r="A394" i="5"/>
  <c r="H394" i="5"/>
  <c r="AQ394" i="5"/>
  <c r="F394" i="5"/>
  <c r="D394" i="5"/>
  <c r="E394" i="5"/>
  <c r="L507" i="5"/>
  <c r="K507" i="5"/>
  <c r="J507" i="5"/>
  <c r="I507" i="5"/>
  <c r="H507" i="5"/>
  <c r="G507" i="5"/>
  <c r="F507" i="5"/>
  <c r="B507" i="5"/>
  <c r="A507" i="5"/>
  <c r="AQ507" i="5"/>
  <c r="AF507" i="5"/>
  <c r="C507" i="5"/>
  <c r="AJ507" i="5"/>
  <c r="N507" i="5"/>
  <c r="O507" i="5"/>
  <c r="M507" i="5"/>
  <c r="E507" i="5"/>
  <c r="D507" i="5"/>
  <c r="M453" i="5"/>
  <c r="L453" i="5"/>
  <c r="K453" i="5"/>
  <c r="C453" i="5"/>
  <c r="B453" i="5"/>
  <c r="AQ453" i="5"/>
  <c r="A453" i="5"/>
  <c r="AJ453" i="5"/>
  <c r="AF453" i="5"/>
  <c r="O453" i="5"/>
  <c r="N453" i="5"/>
  <c r="J453" i="5"/>
  <c r="I453" i="5"/>
  <c r="H453" i="5"/>
  <c r="G453" i="5"/>
  <c r="F453" i="5"/>
  <c r="E453" i="5"/>
  <c r="D453" i="5"/>
  <c r="AF404" i="5"/>
  <c r="N404" i="5"/>
  <c r="M404" i="5"/>
  <c r="I404" i="5"/>
  <c r="H404" i="5"/>
  <c r="F404" i="5"/>
  <c r="E404" i="5"/>
  <c r="D404" i="5"/>
  <c r="C404" i="5"/>
  <c r="B404" i="5"/>
  <c r="A404" i="5"/>
  <c r="AQ404" i="5"/>
  <c r="AJ404" i="5"/>
  <c r="O404" i="5"/>
  <c r="L404" i="5"/>
  <c r="K404" i="5"/>
  <c r="J404" i="5"/>
  <c r="G404" i="5"/>
  <c r="H485" i="5"/>
  <c r="G485" i="5"/>
  <c r="C485" i="5"/>
  <c r="AQ485" i="5"/>
  <c r="B485" i="5"/>
  <c r="AJ485" i="5"/>
  <c r="A485" i="5"/>
  <c r="AF485" i="5"/>
  <c r="O485" i="5"/>
  <c r="N485" i="5"/>
  <c r="M485" i="5"/>
  <c r="L485" i="5"/>
  <c r="K485" i="5"/>
  <c r="J485" i="5"/>
  <c r="I485" i="5"/>
  <c r="F485" i="5"/>
  <c r="E485" i="5"/>
  <c r="D485" i="5"/>
  <c r="J517" i="5"/>
  <c r="I517" i="5"/>
  <c r="H517" i="5"/>
  <c r="G517" i="5"/>
  <c r="F517" i="5"/>
  <c r="E517" i="5"/>
  <c r="AQ517" i="5"/>
  <c r="D517" i="5"/>
  <c r="AF517" i="5"/>
  <c r="O517" i="5"/>
  <c r="N517" i="5"/>
  <c r="M517" i="5"/>
  <c r="K517" i="5"/>
  <c r="AJ517" i="5"/>
  <c r="L517" i="5"/>
  <c r="C517" i="5"/>
  <c r="A517" i="5"/>
  <c r="B517" i="5"/>
  <c r="AF643" i="5"/>
  <c r="B643" i="5"/>
  <c r="J643" i="5"/>
  <c r="I643" i="5"/>
  <c r="G643" i="5"/>
  <c r="D643" i="5"/>
  <c r="N643" i="5"/>
  <c r="M643" i="5"/>
  <c r="L643" i="5"/>
  <c r="K643" i="5"/>
  <c r="H643" i="5"/>
  <c r="F643" i="5"/>
  <c r="E643" i="5"/>
  <c r="C643" i="5"/>
  <c r="A643" i="5"/>
  <c r="AQ643" i="5"/>
  <c r="O643" i="5"/>
  <c r="AJ643" i="5"/>
  <c r="AQ515" i="5"/>
  <c r="D515" i="5"/>
  <c r="AJ515" i="5"/>
  <c r="C515" i="5"/>
  <c r="AF515" i="5"/>
  <c r="B515" i="5"/>
  <c r="A515" i="5"/>
  <c r="O515" i="5"/>
  <c r="N515" i="5"/>
  <c r="G515" i="5"/>
  <c r="F515" i="5"/>
  <c r="E515" i="5"/>
  <c r="M515" i="5"/>
  <c r="L515" i="5"/>
  <c r="K515" i="5"/>
  <c r="J515" i="5"/>
  <c r="I515" i="5"/>
  <c r="H515" i="5"/>
  <c r="J549" i="5"/>
  <c r="I549" i="5"/>
  <c r="H549" i="5"/>
  <c r="G549" i="5"/>
  <c r="E549" i="5"/>
  <c r="AQ549" i="5"/>
  <c r="D549" i="5"/>
  <c r="A549" i="5"/>
  <c r="B549" i="5"/>
  <c r="AJ549" i="5"/>
  <c r="AF549" i="5"/>
  <c r="O549" i="5"/>
  <c r="N549" i="5"/>
  <c r="M549" i="5"/>
  <c r="L549" i="5"/>
  <c r="K549" i="5"/>
  <c r="F549" i="5"/>
  <c r="C549" i="5"/>
  <c r="N573" i="5"/>
  <c r="M573" i="5"/>
  <c r="C573" i="5"/>
  <c r="AQ573" i="5"/>
  <c r="B573" i="5"/>
  <c r="AJ573" i="5"/>
  <c r="A573" i="5"/>
  <c r="AF573" i="5"/>
  <c r="O573" i="5"/>
  <c r="L573" i="5"/>
  <c r="K573" i="5"/>
  <c r="J573" i="5"/>
  <c r="I573" i="5"/>
  <c r="G573" i="5"/>
  <c r="H573" i="5"/>
  <c r="F573" i="5"/>
  <c r="E573" i="5"/>
  <c r="D573" i="5"/>
  <c r="O625" i="5"/>
  <c r="N625" i="5"/>
  <c r="M625" i="5"/>
  <c r="L625" i="5"/>
  <c r="K625" i="5"/>
  <c r="J625" i="5"/>
  <c r="I625" i="5"/>
  <c r="H625" i="5"/>
  <c r="F625" i="5"/>
  <c r="E625" i="5"/>
  <c r="AQ625" i="5"/>
  <c r="D625" i="5"/>
  <c r="B625" i="5"/>
  <c r="A625" i="5"/>
  <c r="AJ625" i="5"/>
  <c r="AF625" i="5"/>
  <c r="G625" i="5"/>
  <c r="C625" i="5"/>
  <c r="F604" i="5"/>
  <c r="E604" i="5"/>
  <c r="AF604" i="5"/>
  <c r="B604" i="5"/>
  <c r="O604" i="5"/>
  <c r="N604" i="5"/>
  <c r="C604" i="5"/>
  <c r="A604" i="5"/>
  <c r="AQ604" i="5"/>
  <c r="AJ604" i="5"/>
  <c r="K604" i="5"/>
  <c r="J604" i="5"/>
  <c r="M604" i="5"/>
  <c r="L604" i="5"/>
  <c r="I604" i="5"/>
  <c r="H604" i="5"/>
  <c r="G604" i="5"/>
  <c r="D604" i="5"/>
  <c r="H620" i="5"/>
  <c r="G620" i="5"/>
  <c r="F620" i="5"/>
  <c r="E620" i="5"/>
  <c r="AQ620" i="5"/>
  <c r="D620" i="5"/>
  <c r="AJ620" i="5"/>
  <c r="C620" i="5"/>
  <c r="AF620" i="5"/>
  <c r="B620" i="5"/>
  <c r="O620" i="5"/>
  <c r="N620" i="5"/>
  <c r="M620" i="5"/>
  <c r="L620" i="5"/>
  <c r="K620" i="5"/>
  <c r="J620" i="5"/>
  <c r="I620" i="5"/>
  <c r="A620" i="5"/>
  <c r="AQ601" i="5"/>
  <c r="A601" i="5"/>
  <c r="F601" i="5"/>
  <c r="E601" i="5"/>
  <c r="D601" i="5"/>
  <c r="C601" i="5"/>
  <c r="AJ601" i="5"/>
  <c r="B601" i="5"/>
  <c r="AF601" i="5"/>
  <c r="L601" i="5"/>
  <c r="H601" i="5"/>
  <c r="G601" i="5"/>
  <c r="O601" i="5"/>
  <c r="M601" i="5"/>
  <c r="N601" i="5"/>
  <c r="K601" i="5"/>
  <c r="J601" i="5"/>
  <c r="I601" i="5"/>
  <c r="AJ621" i="5"/>
  <c r="C621" i="5"/>
  <c r="AF621" i="5"/>
  <c r="B621" i="5"/>
  <c r="A621" i="5"/>
  <c r="O621" i="5"/>
  <c r="N621" i="5"/>
  <c r="M621" i="5"/>
  <c r="J621" i="5"/>
  <c r="I621" i="5"/>
  <c r="H621" i="5"/>
  <c r="AQ621" i="5"/>
  <c r="L621" i="5"/>
  <c r="K621" i="5"/>
  <c r="G621" i="5"/>
  <c r="F621" i="5"/>
  <c r="D621" i="5"/>
  <c r="E621" i="5"/>
  <c r="M670" i="5"/>
  <c r="K670" i="5"/>
  <c r="E670" i="5"/>
  <c r="G670" i="5"/>
  <c r="F670" i="5"/>
  <c r="D670" i="5"/>
  <c r="C670" i="5"/>
  <c r="B670" i="5"/>
  <c r="AQ670" i="5"/>
  <c r="A670" i="5"/>
  <c r="O670" i="5"/>
  <c r="I670" i="5"/>
  <c r="H670" i="5"/>
  <c r="AJ670" i="5"/>
  <c r="AF670" i="5"/>
  <c r="N670" i="5"/>
  <c r="L670" i="5"/>
  <c r="J670" i="5"/>
  <c r="O676" i="5"/>
  <c r="M676" i="5"/>
  <c r="G676" i="5"/>
  <c r="AJ676" i="5"/>
  <c r="AF676" i="5"/>
  <c r="N676" i="5"/>
  <c r="L676" i="5"/>
  <c r="K676" i="5"/>
  <c r="I676" i="5"/>
  <c r="F676" i="5"/>
  <c r="D676" i="5"/>
  <c r="AQ676" i="5"/>
  <c r="J676" i="5"/>
  <c r="H676" i="5"/>
  <c r="E676" i="5"/>
  <c r="C676" i="5"/>
  <c r="B676" i="5"/>
  <c r="A676" i="5"/>
  <c r="A682" i="5"/>
  <c r="O682" i="5"/>
  <c r="I682" i="5"/>
  <c r="K682" i="5"/>
  <c r="J682" i="5"/>
  <c r="H682" i="5"/>
  <c r="G682" i="5"/>
  <c r="F682" i="5"/>
  <c r="E682" i="5"/>
  <c r="D682" i="5"/>
  <c r="B682" i="5"/>
  <c r="AJ682" i="5"/>
  <c r="AQ682" i="5"/>
  <c r="AF682" i="5"/>
  <c r="N682" i="5"/>
  <c r="M682" i="5"/>
  <c r="L682" i="5"/>
  <c r="C682" i="5"/>
  <c r="H191" i="5"/>
  <c r="G191" i="5"/>
  <c r="D191" i="5"/>
  <c r="N191" i="5"/>
  <c r="M191" i="5"/>
  <c r="AJ191" i="5"/>
  <c r="L191" i="5"/>
  <c r="AF191" i="5"/>
  <c r="K191" i="5"/>
  <c r="J191" i="5"/>
  <c r="I191" i="5"/>
  <c r="F191" i="5"/>
  <c r="E191" i="5"/>
  <c r="AQ191" i="5"/>
  <c r="B191" i="5"/>
  <c r="A191" i="5"/>
  <c r="C191" i="5"/>
  <c r="O191" i="5"/>
  <c r="E413" i="5"/>
  <c r="O413" i="5"/>
  <c r="L413" i="5"/>
  <c r="K413" i="5"/>
  <c r="J413" i="5"/>
  <c r="G413" i="5"/>
  <c r="F413" i="5"/>
  <c r="D413" i="5"/>
  <c r="C413" i="5"/>
  <c r="B413" i="5"/>
  <c r="A413" i="5"/>
  <c r="AQ413" i="5"/>
  <c r="AJ413" i="5"/>
  <c r="AF413" i="5"/>
  <c r="N413" i="5"/>
  <c r="M413" i="5"/>
  <c r="H413" i="5"/>
  <c r="I413" i="5"/>
  <c r="F600" i="5"/>
  <c r="J600" i="5"/>
  <c r="I600" i="5"/>
  <c r="H600" i="5"/>
  <c r="G600" i="5"/>
  <c r="E600" i="5"/>
  <c r="AQ600" i="5"/>
  <c r="C600" i="5"/>
  <c r="AJ600" i="5"/>
  <c r="AF600" i="5"/>
  <c r="O600" i="5"/>
  <c r="N600" i="5"/>
  <c r="M600" i="5"/>
  <c r="L600" i="5"/>
  <c r="K600" i="5"/>
  <c r="D600" i="5"/>
  <c r="A600" i="5"/>
  <c r="B600" i="5"/>
  <c r="H28" i="5"/>
  <c r="G28" i="5"/>
  <c r="AQ28" i="5"/>
  <c r="F28" i="5"/>
  <c r="E28" i="5"/>
  <c r="D28" i="5"/>
  <c r="C28" i="5"/>
  <c r="B28" i="5"/>
  <c r="A28" i="5"/>
  <c r="AJ28" i="5"/>
  <c r="O28" i="5"/>
  <c r="N28" i="5"/>
  <c r="M28" i="5"/>
  <c r="L28" i="5"/>
  <c r="K28" i="5"/>
  <c r="I28" i="5"/>
  <c r="AF28" i="5"/>
  <c r="J28" i="5"/>
  <c r="G216" i="5"/>
  <c r="AQ216" i="5"/>
  <c r="F216" i="5"/>
  <c r="E216" i="5"/>
  <c r="D216" i="5"/>
  <c r="C216" i="5"/>
  <c r="B216" i="5"/>
  <c r="A216" i="5"/>
  <c r="AJ216" i="5"/>
  <c r="O216" i="5"/>
  <c r="AF216" i="5"/>
  <c r="N216" i="5"/>
  <c r="M216" i="5"/>
  <c r="K216" i="5"/>
  <c r="L216" i="5"/>
  <c r="J216" i="5"/>
  <c r="H216" i="5"/>
  <c r="I216" i="5"/>
  <c r="AJ338" i="5"/>
  <c r="O338" i="5"/>
  <c r="AF338" i="5"/>
  <c r="N338" i="5"/>
  <c r="M338" i="5"/>
  <c r="L338" i="5"/>
  <c r="A338" i="5"/>
  <c r="AQ338" i="5"/>
  <c r="K338" i="5"/>
  <c r="J338" i="5"/>
  <c r="I338" i="5"/>
  <c r="H338" i="5"/>
  <c r="G338" i="5"/>
  <c r="D338" i="5"/>
  <c r="C338" i="5"/>
  <c r="B338" i="5"/>
  <c r="F338" i="5"/>
  <c r="E338" i="5"/>
  <c r="G524" i="5"/>
  <c r="F524" i="5"/>
  <c r="E524" i="5"/>
  <c r="AQ524" i="5"/>
  <c r="D524" i="5"/>
  <c r="AJ524" i="5"/>
  <c r="C524" i="5"/>
  <c r="AF524" i="5"/>
  <c r="B524" i="5"/>
  <c r="A524" i="5"/>
  <c r="N524" i="5"/>
  <c r="M524" i="5"/>
  <c r="L524" i="5"/>
  <c r="K524" i="5"/>
  <c r="J524" i="5"/>
  <c r="I524" i="5"/>
  <c r="H524" i="5"/>
  <c r="O524" i="5"/>
  <c r="I648" i="5"/>
  <c r="G648" i="5"/>
  <c r="F648" i="5"/>
  <c r="E648" i="5"/>
  <c r="D648" i="5"/>
  <c r="AF648" i="5"/>
  <c r="A648" i="5"/>
  <c r="AQ648" i="5"/>
  <c r="AJ648" i="5"/>
  <c r="O648" i="5"/>
  <c r="N648" i="5"/>
  <c r="M648" i="5"/>
  <c r="L648" i="5"/>
  <c r="K648" i="5"/>
  <c r="B648" i="5"/>
  <c r="J648" i="5"/>
  <c r="C648" i="5"/>
  <c r="H648" i="5"/>
  <c r="M49" i="5"/>
  <c r="L49" i="5"/>
  <c r="K49" i="5"/>
  <c r="J49" i="5"/>
  <c r="I49" i="5"/>
  <c r="H49" i="5"/>
  <c r="F49" i="5"/>
  <c r="E49" i="5"/>
  <c r="D49" i="5"/>
  <c r="AJ49" i="5"/>
  <c r="C49" i="5"/>
  <c r="AF49" i="5"/>
  <c r="B49" i="5"/>
  <c r="A49" i="5"/>
  <c r="N49" i="5"/>
  <c r="G49" i="5"/>
  <c r="AQ49" i="5"/>
  <c r="O49" i="5"/>
  <c r="I199" i="5"/>
  <c r="H199" i="5"/>
  <c r="G199" i="5"/>
  <c r="AQ199" i="5"/>
  <c r="F199" i="5"/>
  <c r="E199" i="5"/>
  <c r="D199" i="5"/>
  <c r="K199" i="5"/>
  <c r="J199" i="5"/>
  <c r="AJ199" i="5"/>
  <c r="C199" i="5"/>
  <c r="AF199" i="5"/>
  <c r="B199" i="5"/>
  <c r="A199" i="5"/>
  <c r="O199" i="5"/>
  <c r="N199" i="5"/>
  <c r="M199" i="5"/>
  <c r="L199" i="5"/>
  <c r="AJ311" i="5"/>
  <c r="O311" i="5"/>
  <c r="AF311" i="5"/>
  <c r="N311" i="5"/>
  <c r="M311" i="5"/>
  <c r="K311" i="5"/>
  <c r="J311" i="5"/>
  <c r="I311" i="5"/>
  <c r="H311" i="5"/>
  <c r="G311" i="5"/>
  <c r="AQ311" i="5"/>
  <c r="F311" i="5"/>
  <c r="D311" i="5"/>
  <c r="C311" i="5"/>
  <c r="B311" i="5"/>
  <c r="A311" i="5"/>
  <c r="L311" i="5"/>
  <c r="E311" i="5"/>
  <c r="K479" i="5"/>
  <c r="J479" i="5"/>
  <c r="I479" i="5"/>
  <c r="H479" i="5"/>
  <c r="G479" i="5"/>
  <c r="AF479" i="5"/>
  <c r="O479" i="5"/>
  <c r="N479" i="5"/>
  <c r="M479" i="5"/>
  <c r="L479" i="5"/>
  <c r="F479" i="5"/>
  <c r="E479" i="5"/>
  <c r="D479" i="5"/>
  <c r="C479" i="5"/>
  <c r="A479" i="5"/>
  <c r="AQ479" i="5"/>
  <c r="AJ479" i="5"/>
  <c r="B479" i="5"/>
  <c r="I584" i="5"/>
  <c r="G584" i="5"/>
  <c r="F584" i="5"/>
  <c r="O584" i="5"/>
  <c r="N584" i="5"/>
  <c r="M584" i="5"/>
  <c r="L584" i="5"/>
  <c r="K584" i="5"/>
  <c r="J584" i="5"/>
  <c r="H584" i="5"/>
  <c r="E584" i="5"/>
  <c r="D584" i="5"/>
  <c r="B584" i="5"/>
  <c r="AQ584" i="5"/>
  <c r="AJ584" i="5"/>
  <c r="AF584" i="5"/>
  <c r="C584" i="5"/>
  <c r="A584" i="5"/>
  <c r="M57" i="5"/>
  <c r="L57" i="5"/>
  <c r="K57" i="5"/>
  <c r="J57" i="5"/>
  <c r="I57" i="5"/>
  <c r="H57" i="5"/>
  <c r="G57" i="5"/>
  <c r="AQ57" i="5"/>
  <c r="F57" i="5"/>
  <c r="C57" i="5"/>
  <c r="D57" i="5"/>
  <c r="B57" i="5"/>
  <c r="A57" i="5"/>
  <c r="AJ57" i="5"/>
  <c r="AF57" i="5"/>
  <c r="E57" i="5"/>
  <c r="O57" i="5"/>
  <c r="N57" i="5"/>
  <c r="A254" i="5"/>
  <c r="AJ254" i="5"/>
  <c r="O254" i="5"/>
  <c r="AF254" i="5"/>
  <c r="N254" i="5"/>
  <c r="M254" i="5"/>
  <c r="L254" i="5"/>
  <c r="K254" i="5"/>
  <c r="J254" i="5"/>
  <c r="I254" i="5"/>
  <c r="C254" i="5"/>
  <c r="B254" i="5"/>
  <c r="G254" i="5"/>
  <c r="AQ254" i="5"/>
  <c r="H254" i="5"/>
  <c r="F254" i="5"/>
  <c r="D254" i="5"/>
  <c r="E254" i="5"/>
  <c r="F480" i="5"/>
  <c r="E480" i="5"/>
  <c r="AQ480" i="5"/>
  <c r="D480" i="5"/>
  <c r="AJ480" i="5"/>
  <c r="C480" i="5"/>
  <c r="AF480" i="5"/>
  <c r="B480" i="5"/>
  <c r="O480" i="5"/>
  <c r="N480" i="5"/>
  <c r="M480" i="5"/>
  <c r="L480" i="5"/>
  <c r="K480" i="5"/>
  <c r="J480" i="5"/>
  <c r="I480" i="5"/>
  <c r="H480" i="5"/>
  <c r="A480" i="5"/>
  <c r="G480" i="5"/>
  <c r="H610" i="5"/>
  <c r="G610" i="5"/>
  <c r="AQ610" i="5"/>
  <c r="D610" i="5"/>
  <c r="A610" i="5"/>
  <c r="O610" i="5"/>
  <c r="N610" i="5"/>
  <c r="M610" i="5"/>
  <c r="L610" i="5"/>
  <c r="K610" i="5"/>
  <c r="J610" i="5"/>
  <c r="I610" i="5"/>
  <c r="C610" i="5"/>
  <c r="B610" i="5"/>
  <c r="AJ610" i="5"/>
  <c r="AF610" i="5"/>
  <c r="F610" i="5"/>
  <c r="E610" i="5"/>
  <c r="G60" i="5"/>
  <c r="AQ60" i="5"/>
  <c r="F60" i="5"/>
  <c r="E60" i="5"/>
  <c r="D60" i="5"/>
  <c r="C60" i="5"/>
  <c r="B60" i="5"/>
  <c r="A60" i="5"/>
  <c r="M60" i="5"/>
  <c r="AJ60" i="5"/>
  <c r="AF60" i="5"/>
  <c r="O60" i="5"/>
  <c r="N60" i="5"/>
  <c r="L60" i="5"/>
  <c r="H60" i="5"/>
  <c r="J60" i="5"/>
  <c r="K60" i="5"/>
  <c r="I60" i="5"/>
  <c r="G267" i="5"/>
  <c r="AQ267" i="5"/>
  <c r="F267" i="5"/>
  <c r="E267" i="5"/>
  <c r="D267" i="5"/>
  <c r="C267" i="5"/>
  <c r="B267" i="5"/>
  <c r="A267" i="5"/>
  <c r="AJ267" i="5"/>
  <c r="O267" i="5"/>
  <c r="J267" i="5"/>
  <c r="I267" i="5"/>
  <c r="H267" i="5"/>
  <c r="AF267" i="5"/>
  <c r="N267" i="5"/>
  <c r="M267" i="5"/>
  <c r="L267" i="5"/>
  <c r="K267" i="5"/>
  <c r="AF323" i="5"/>
  <c r="N323" i="5"/>
  <c r="M323" i="5"/>
  <c r="L323" i="5"/>
  <c r="K323" i="5"/>
  <c r="J323" i="5"/>
  <c r="D323" i="5"/>
  <c r="C323" i="5"/>
  <c r="B323" i="5"/>
  <c r="O323" i="5"/>
  <c r="I323" i="5"/>
  <c r="H323" i="5"/>
  <c r="G323" i="5"/>
  <c r="F323" i="5"/>
  <c r="AQ323" i="5"/>
  <c r="AJ323" i="5"/>
  <c r="E323" i="5"/>
  <c r="A323" i="5"/>
  <c r="M387" i="5"/>
  <c r="L387" i="5"/>
  <c r="K387" i="5"/>
  <c r="J387" i="5"/>
  <c r="I387" i="5"/>
  <c r="G387" i="5"/>
  <c r="AQ387" i="5"/>
  <c r="O387" i="5"/>
  <c r="N387" i="5"/>
  <c r="H387" i="5"/>
  <c r="F387" i="5"/>
  <c r="E387" i="5"/>
  <c r="D387" i="5"/>
  <c r="AJ387" i="5"/>
  <c r="C387" i="5"/>
  <c r="A387" i="5"/>
  <c r="AF387" i="5"/>
  <c r="B387" i="5"/>
  <c r="AJ212" i="5"/>
  <c r="O212" i="5"/>
  <c r="AF212" i="5"/>
  <c r="N212" i="5"/>
  <c r="M212" i="5"/>
  <c r="L212" i="5"/>
  <c r="K212" i="5"/>
  <c r="J212" i="5"/>
  <c r="I212" i="5"/>
  <c r="H212" i="5"/>
  <c r="G212" i="5"/>
  <c r="AQ212" i="5"/>
  <c r="F212" i="5"/>
  <c r="E212" i="5"/>
  <c r="C212" i="5"/>
  <c r="D212" i="5"/>
  <c r="B212" i="5"/>
  <c r="A212" i="5"/>
  <c r="F681" i="5"/>
  <c r="AQ681" i="5"/>
  <c r="D681" i="5"/>
  <c r="N681" i="5"/>
  <c r="L681" i="5"/>
  <c r="K681" i="5"/>
  <c r="J681" i="5"/>
  <c r="I681" i="5"/>
  <c r="H681" i="5"/>
  <c r="G681" i="5"/>
  <c r="E681" i="5"/>
  <c r="B681" i="5"/>
  <c r="AJ681" i="5"/>
  <c r="AF681" i="5"/>
  <c r="O681" i="5"/>
  <c r="M681" i="5"/>
  <c r="C681" i="5"/>
  <c r="A681" i="5"/>
  <c r="H44" i="5"/>
  <c r="G44" i="5"/>
  <c r="AQ44" i="5"/>
  <c r="F44" i="5"/>
  <c r="E44" i="5"/>
  <c r="D44" i="5"/>
  <c r="C44" i="5"/>
  <c r="B44" i="5"/>
  <c r="A44" i="5"/>
  <c r="AJ44" i="5"/>
  <c r="O44" i="5"/>
  <c r="AF44" i="5"/>
  <c r="N44" i="5"/>
  <c r="M44" i="5"/>
  <c r="L44" i="5"/>
  <c r="K44" i="5"/>
  <c r="J44" i="5"/>
  <c r="I44" i="5"/>
  <c r="K119" i="5"/>
  <c r="J119" i="5"/>
  <c r="I119" i="5"/>
  <c r="H119" i="5"/>
  <c r="G119" i="5"/>
  <c r="AQ119" i="5"/>
  <c r="F119" i="5"/>
  <c r="E119" i="5"/>
  <c r="D119" i="5"/>
  <c r="C119" i="5"/>
  <c r="B119" i="5"/>
  <c r="A119" i="5"/>
  <c r="AJ119" i="5"/>
  <c r="O119" i="5"/>
  <c r="AF119" i="5"/>
  <c r="N119" i="5"/>
  <c r="M119" i="5"/>
  <c r="L119" i="5"/>
  <c r="AF41" i="5"/>
  <c r="N41" i="5"/>
  <c r="M41" i="5"/>
  <c r="L41" i="5"/>
  <c r="K41" i="5"/>
  <c r="J41" i="5"/>
  <c r="I41" i="5"/>
  <c r="H41" i="5"/>
  <c r="G41" i="5"/>
  <c r="AQ41" i="5"/>
  <c r="F41" i="5"/>
  <c r="E41" i="5"/>
  <c r="D41" i="5"/>
  <c r="C41" i="5"/>
  <c r="O41" i="5"/>
  <c r="B41" i="5"/>
  <c r="AJ41" i="5"/>
  <c r="A41" i="5"/>
  <c r="J27" i="5"/>
  <c r="I27" i="5"/>
  <c r="H27" i="5"/>
  <c r="G27" i="5"/>
  <c r="AQ27" i="5"/>
  <c r="F27" i="5"/>
  <c r="E27" i="5"/>
  <c r="D27" i="5"/>
  <c r="C27" i="5"/>
  <c r="A27" i="5"/>
  <c r="N27" i="5"/>
  <c r="M27" i="5"/>
  <c r="K27" i="5"/>
  <c r="B27" i="5"/>
  <c r="AJ27" i="5"/>
  <c r="AF27" i="5"/>
  <c r="O27" i="5"/>
  <c r="L27" i="5"/>
  <c r="K50" i="5"/>
  <c r="J50" i="5"/>
  <c r="I50" i="5"/>
  <c r="H50" i="5"/>
  <c r="G50" i="5"/>
  <c r="AQ50" i="5"/>
  <c r="F50" i="5"/>
  <c r="L50" i="5"/>
  <c r="E50" i="5"/>
  <c r="D50" i="5"/>
  <c r="AJ50" i="5"/>
  <c r="C50" i="5"/>
  <c r="AF50" i="5"/>
  <c r="B50" i="5"/>
  <c r="A50" i="5"/>
  <c r="O50" i="5"/>
  <c r="N50" i="5"/>
  <c r="M50" i="5"/>
  <c r="AQ29" i="5"/>
  <c r="F29" i="5"/>
  <c r="E29" i="5"/>
  <c r="D29" i="5"/>
  <c r="C29" i="5"/>
  <c r="B29" i="5"/>
  <c r="A29" i="5"/>
  <c r="AJ29" i="5"/>
  <c r="O29" i="5"/>
  <c r="AF29" i="5"/>
  <c r="N29" i="5"/>
  <c r="M29" i="5"/>
  <c r="L29" i="5"/>
  <c r="K29" i="5"/>
  <c r="J29" i="5"/>
  <c r="I29" i="5"/>
  <c r="H29" i="5"/>
  <c r="G29" i="5"/>
  <c r="K82" i="5"/>
  <c r="J82" i="5"/>
  <c r="I82" i="5"/>
  <c r="H82" i="5"/>
  <c r="G82" i="5"/>
  <c r="AQ82" i="5"/>
  <c r="F82" i="5"/>
  <c r="E82" i="5"/>
  <c r="D82" i="5"/>
  <c r="C82" i="5"/>
  <c r="B82" i="5"/>
  <c r="A82" i="5"/>
  <c r="AJ82" i="5"/>
  <c r="O82" i="5"/>
  <c r="L82" i="5"/>
  <c r="AF82" i="5"/>
  <c r="N82" i="5"/>
  <c r="M82" i="5"/>
  <c r="D7" i="5"/>
  <c r="C7" i="5"/>
  <c r="B7" i="5"/>
  <c r="A7" i="5"/>
  <c r="M7" i="5"/>
  <c r="AQ7" i="5"/>
  <c r="L7" i="5"/>
  <c r="AF7" i="5"/>
  <c r="I7" i="5"/>
  <c r="H7" i="5"/>
  <c r="G7" i="5"/>
  <c r="F7" i="5"/>
  <c r="E7" i="5"/>
  <c r="N7" i="5"/>
  <c r="K7" i="5"/>
  <c r="J7" i="5"/>
  <c r="AJ7" i="5"/>
  <c r="O7" i="5"/>
  <c r="D14" i="5"/>
  <c r="C14" i="5"/>
  <c r="B14" i="5"/>
  <c r="A14" i="5"/>
  <c r="AJ14" i="5"/>
  <c r="O14" i="5"/>
  <c r="AF14" i="5"/>
  <c r="N14" i="5"/>
  <c r="K14" i="5"/>
  <c r="H14" i="5"/>
  <c r="G14" i="5"/>
  <c r="M14" i="5"/>
  <c r="J14" i="5"/>
  <c r="AQ14" i="5"/>
  <c r="L14" i="5"/>
  <c r="I14" i="5"/>
  <c r="F14" i="5"/>
  <c r="E14" i="5"/>
  <c r="AJ16" i="5"/>
  <c r="O16" i="5"/>
  <c r="AF16" i="5"/>
  <c r="N16" i="5"/>
  <c r="M16" i="5"/>
  <c r="L16" i="5"/>
  <c r="K16" i="5"/>
  <c r="J16" i="5"/>
  <c r="I16" i="5"/>
  <c r="G16" i="5"/>
  <c r="E16" i="5"/>
  <c r="AQ16" i="5"/>
  <c r="D16" i="5"/>
  <c r="C16" i="5"/>
  <c r="B16" i="5"/>
  <c r="A16" i="5"/>
  <c r="F16" i="5"/>
  <c r="H16" i="5"/>
  <c r="I91" i="5"/>
  <c r="H91" i="5"/>
  <c r="G91" i="5"/>
  <c r="AQ91" i="5"/>
  <c r="F91" i="5"/>
  <c r="E91" i="5"/>
  <c r="D91" i="5"/>
  <c r="C91" i="5"/>
  <c r="B91" i="5"/>
  <c r="A91" i="5"/>
  <c r="AJ91" i="5"/>
  <c r="O91" i="5"/>
  <c r="AF91" i="5"/>
  <c r="N91" i="5"/>
  <c r="M91" i="5"/>
  <c r="L91" i="5"/>
  <c r="K91" i="5"/>
  <c r="J91" i="5"/>
  <c r="C54" i="5"/>
  <c r="B54" i="5"/>
  <c r="A54" i="5"/>
  <c r="AJ54" i="5"/>
  <c r="O54" i="5"/>
  <c r="AF54" i="5"/>
  <c r="N54" i="5"/>
  <c r="M54" i="5"/>
  <c r="L54" i="5"/>
  <c r="I54" i="5"/>
  <c r="H54" i="5"/>
  <c r="G54" i="5"/>
  <c r="F54" i="5"/>
  <c r="E54" i="5"/>
  <c r="AQ54" i="5"/>
  <c r="D54" i="5"/>
  <c r="J54" i="5"/>
  <c r="K54" i="5"/>
  <c r="AJ72" i="5"/>
  <c r="O72" i="5"/>
  <c r="AF72" i="5"/>
  <c r="N72" i="5"/>
  <c r="M72" i="5"/>
  <c r="L72" i="5"/>
  <c r="K72" i="5"/>
  <c r="J72" i="5"/>
  <c r="I72" i="5"/>
  <c r="H72" i="5"/>
  <c r="G72" i="5"/>
  <c r="AQ72" i="5"/>
  <c r="F72" i="5"/>
  <c r="E72" i="5"/>
  <c r="D72" i="5"/>
  <c r="C72" i="5"/>
  <c r="B72" i="5"/>
  <c r="A72" i="5"/>
  <c r="G105" i="5"/>
  <c r="AQ105" i="5"/>
  <c r="F105" i="5"/>
  <c r="E105" i="5"/>
  <c r="D105" i="5"/>
  <c r="C105" i="5"/>
  <c r="B105" i="5"/>
  <c r="A105" i="5"/>
  <c r="AJ105" i="5"/>
  <c r="M105" i="5"/>
  <c r="L105" i="5"/>
  <c r="K105" i="5"/>
  <c r="J105" i="5"/>
  <c r="I105" i="5"/>
  <c r="H105" i="5"/>
  <c r="AF105" i="5"/>
  <c r="O105" i="5"/>
  <c r="N105" i="5"/>
  <c r="C137" i="5"/>
  <c r="B137" i="5"/>
  <c r="A137" i="5"/>
  <c r="AJ137" i="5"/>
  <c r="O137" i="5"/>
  <c r="AF137" i="5"/>
  <c r="N137" i="5"/>
  <c r="L137" i="5"/>
  <c r="K137" i="5"/>
  <c r="AQ137" i="5"/>
  <c r="J137" i="5"/>
  <c r="I137" i="5"/>
  <c r="H137" i="5"/>
  <c r="G137" i="5"/>
  <c r="F137" i="5"/>
  <c r="E137" i="5"/>
  <c r="D137" i="5"/>
  <c r="M137" i="5"/>
  <c r="M126" i="5"/>
  <c r="L126" i="5"/>
  <c r="K126" i="5"/>
  <c r="J126" i="5"/>
  <c r="I126" i="5"/>
  <c r="H126" i="5"/>
  <c r="G126" i="5"/>
  <c r="AQ126" i="5"/>
  <c r="F126" i="5"/>
  <c r="E126" i="5"/>
  <c r="D126" i="5"/>
  <c r="C126" i="5"/>
  <c r="B126" i="5"/>
  <c r="A126" i="5"/>
  <c r="AJ126" i="5"/>
  <c r="AF126" i="5"/>
  <c r="O126" i="5"/>
  <c r="N126" i="5"/>
  <c r="G208" i="5"/>
  <c r="AQ208" i="5"/>
  <c r="F208" i="5"/>
  <c r="E208" i="5"/>
  <c r="D208" i="5"/>
  <c r="C208" i="5"/>
  <c r="B208" i="5"/>
  <c r="A208" i="5"/>
  <c r="AJ208" i="5"/>
  <c r="O208" i="5"/>
  <c r="AF208" i="5"/>
  <c r="N208" i="5"/>
  <c r="M208" i="5"/>
  <c r="L208" i="5"/>
  <c r="K208" i="5"/>
  <c r="J208" i="5"/>
  <c r="I208" i="5"/>
  <c r="H208" i="5"/>
  <c r="K206" i="5"/>
  <c r="J206" i="5"/>
  <c r="I206" i="5"/>
  <c r="H206" i="5"/>
  <c r="G206" i="5"/>
  <c r="AQ206" i="5"/>
  <c r="F206" i="5"/>
  <c r="E206" i="5"/>
  <c r="O206" i="5"/>
  <c r="N206" i="5"/>
  <c r="M206" i="5"/>
  <c r="L206" i="5"/>
  <c r="D206" i="5"/>
  <c r="C206" i="5"/>
  <c r="B206" i="5"/>
  <c r="AF206" i="5"/>
  <c r="AJ206" i="5"/>
  <c r="A206" i="5"/>
  <c r="A179" i="5"/>
  <c r="AJ179" i="5"/>
  <c r="O179" i="5"/>
  <c r="AF179" i="5"/>
  <c r="N179" i="5"/>
  <c r="M179" i="5"/>
  <c r="L179" i="5"/>
  <c r="J179" i="5"/>
  <c r="E179" i="5"/>
  <c r="K179" i="5"/>
  <c r="I179" i="5"/>
  <c r="H179" i="5"/>
  <c r="G179" i="5"/>
  <c r="AQ179" i="5"/>
  <c r="F179" i="5"/>
  <c r="D179" i="5"/>
  <c r="C179" i="5"/>
  <c r="B179" i="5"/>
  <c r="I215" i="5"/>
  <c r="H215" i="5"/>
  <c r="G215" i="5"/>
  <c r="AQ215" i="5"/>
  <c r="F215" i="5"/>
  <c r="E215" i="5"/>
  <c r="D215" i="5"/>
  <c r="C215" i="5"/>
  <c r="B215" i="5"/>
  <c r="A215" i="5"/>
  <c r="AJ215" i="5"/>
  <c r="O215" i="5"/>
  <c r="M215" i="5"/>
  <c r="AF215" i="5"/>
  <c r="N215" i="5"/>
  <c r="L215" i="5"/>
  <c r="K215" i="5"/>
  <c r="J215" i="5"/>
  <c r="AJ195" i="5"/>
  <c r="O195" i="5"/>
  <c r="AF195" i="5"/>
  <c r="N195" i="5"/>
  <c r="M195" i="5"/>
  <c r="L195" i="5"/>
  <c r="H195" i="5"/>
  <c r="G195" i="5"/>
  <c r="F195" i="5"/>
  <c r="E195" i="5"/>
  <c r="D195" i="5"/>
  <c r="C195" i="5"/>
  <c r="B195" i="5"/>
  <c r="A195" i="5"/>
  <c r="AQ195" i="5"/>
  <c r="K195" i="5"/>
  <c r="J195" i="5"/>
  <c r="I195" i="5"/>
  <c r="AQ245" i="5"/>
  <c r="F245" i="5"/>
  <c r="E245" i="5"/>
  <c r="D245" i="5"/>
  <c r="C245" i="5"/>
  <c r="B245" i="5"/>
  <c r="A245" i="5"/>
  <c r="AJ245" i="5"/>
  <c r="O245" i="5"/>
  <c r="AF245" i="5"/>
  <c r="N245" i="5"/>
  <c r="M245" i="5"/>
  <c r="L245" i="5"/>
  <c r="J245" i="5"/>
  <c r="K245" i="5"/>
  <c r="I245" i="5"/>
  <c r="H245" i="5"/>
  <c r="G245" i="5"/>
  <c r="K257" i="5"/>
  <c r="J257" i="5"/>
  <c r="I257" i="5"/>
  <c r="H257" i="5"/>
  <c r="G257" i="5"/>
  <c r="AQ257" i="5"/>
  <c r="F257" i="5"/>
  <c r="E257" i="5"/>
  <c r="D257" i="5"/>
  <c r="C257" i="5"/>
  <c r="AJ257" i="5"/>
  <c r="AF257" i="5"/>
  <c r="O257" i="5"/>
  <c r="N257" i="5"/>
  <c r="M257" i="5"/>
  <c r="B257" i="5"/>
  <c r="L257" i="5"/>
  <c r="A257" i="5"/>
  <c r="C261" i="5"/>
  <c r="B261" i="5"/>
  <c r="A261" i="5"/>
  <c r="AJ261" i="5"/>
  <c r="O261" i="5"/>
  <c r="AF261" i="5"/>
  <c r="N261" i="5"/>
  <c r="M261" i="5"/>
  <c r="L261" i="5"/>
  <c r="K261" i="5"/>
  <c r="J261" i="5"/>
  <c r="I261" i="5"/>
  <c r="H261" i="5"/>
  <c r="G261" i="5"/>
  <c r="F261" i="5"/>
  <c r="E261" i="5"/>
  <c r="AQ261" i="5"/>
  <c r="D261" i="5"/>
  <c r="K273" i="5"/>
  <c r="AJ273" i="5"/>
  <c r="L273" i="5"/>
  <c r="AF273" i="5"/>
  <c r="J273" i="5"/>
  <c r="I273" i="5"/>
  <c r="H273" i="5"/>
  <c r="G273" i="5"/>
  <c r="F273" i="5"/>
  <c r="E273" i="5"/>
  <c r="D273" i="5"/>
  <c r="C273" i="5"/>
  <c r="A273" i="5"/>
  <c r="O273" i="5"/>
  <c r="N273" i="5"/>
  <c r="M273" i="5"/>
  <c r="B273" i="5"/>
  <c r="AQ273" i="5"/>
  <c r="C301" i="5"/>
  <c r="B301" i="5"/>
  <c r="A301" i="5"/>
  <c r="AJ301" i="5"/>
  <c r="O301" i="5"/>
  <c r="AF301" i="5"/>
  <c r="N301" i="5"/>
  <c r="M301" i="5"/>
  <c r="L301" i="5"/>
  <c r="K301" i="5"/>
  <c r="J301" i="5"/>
  <c r="I301" i="5"/>
  <c r="H301" i="5"/>
  <c r="G301" i="5"/>
  <c r="AQ301" i="5"/>
  <c r="F301" i="5"/>
  <c r="E301" i="5"/>
  <c r="D301" i="5"/>
  <c r="AJ287" i="5"/>
  <c r="O287" i="5"/>
  <c r="AF287" i="5"/>
  <c r="N287" i="5"/>
  <c r="M287" i="5"/>
  <c r="K287" i="5"/>
  <c r="I287" i="5"/>
  <c r="H287" i="5"/>
  <c r="G287" i="5"/>
  <c r="AQ287" i="5"/>
  <c r="L287" i="5"/>
  <c r="J287" i="5"/>
  <c r="F287" i="5"/>
  <c r="E287" i="5"/>
  <c r="D287" i="5"/>
  <c r="C287" i="5"/>
  <c r="B287" i="5"/>
  <c r="A287" i="5"/>
  <c r="J341" i="5"/>
  <c r="I341" i="5"/>
  <c r="H341" i="5"/>
  <c r="G341" i="5"/>
  <c r="AQ341" i="5"/>
  <c r="F341" i="5"/>
  <c r="D341" i="5"/>
  <c r="O341" i="5"/>
  <c r="N341" i="5"/>
  <c r="M341" i="5"/>
  <c r="L341" i="5"/>
  <c r="K341" i="5"/>
  <c r="E341" i="5"/>
  <c r="AJ341" i="5"/>
  <c r="C341" i="5"/>
  <c r="AF341" i="5"/>
  <c r="B341" i="5"/>
  <c r="A341" i="5"/>
  <c r="D328" i="5"/>
  <c r="C328" i="5"/>
  <c r="B328" i="5"/>
  <c r="A328" i="5"/>
  <c r="AJ328" i="5"/>
  <c r="J328" i="5"/>
  <c r="AF328" i="5"/>
  <c r="I328" i="5"/>
  <c r="H328" i="5"/>
  <c r="G328" i="5"/>
  <c r="F328" i="5"/>
  <c r="E328" i="5"/>
  <c r="AQ328" i="5"/>
  <c r="O328" i="5"/>
  <c r="N328" i="5"/>
  <c r="M328" i="5"/>
  <c r="L328" i="5"/>
  <c r="K328" i="5"/>
  <c r="AJ322" i="5"/>
  <c r="O322" i="5"/>
  <c r="AF322" i="5"/>
  <c r="N322" i="5"/>
  <c r="M322" i="5"/>
  <c r="L322" i="5"/>
  <c r="G322" i="5"/>
  <c r="F322" i="5"/>
  <c r="C322" i="5"/>
  <c r="B322" i="5"/>
  <c r="A322" i="5"/>
  <c r="K322" i="5"/>
  <c r="J322" i="5"/>
  <c r="I322" i="5"/>
  <c r="H322" i="5"/>
  <c r="E322" i="5"/>
  <c r="D322" i="5"/>
  <c r="AQ322" i="5"/>
  <c r="C401" i="5"/>
  <c r="AF401" i="5"/>
  <c r="N401" i="5"/>
  <c r="F401" i="5"/>
  <c r="E401" i="5"/>
  <c r="D401" i="5"/>
  <c r="B401" i="5"/>
  <c r="AQ401" i="5"/>
  <c r="A401" i="5"/>
  <c r="O401" i="5"/>
  <c r="M401" i="5"/>
  <c r="AJ401" i="5"/>
  <c r="L401" i="5"/>
  <c r="H401" i="5"/>
  <c r="G401" i="5"/>
  <c r="K401" i="5"/>
  <c r="I401" i="5"/>
  <c r="J401" i="5"/>
  <c r="L360" i="5"/>
  <c r="K360" i="5"/>
  <c r="J360" i="5"/>
  <c r="I360" i="5"/>
  <c r="H360" i="5"/>
  <c r="AQ360" i="5"/>
  <c r="O360" i="5"/>
  <c r="N360" i="5"/>
  <c r="M360" i="5"/>
  <c r="AJ360" i="5"/>
  <c r="D360" i="5"/>
  <c r="AF360" i="5"/>
  <c r="G360" i="5"/>
  <c r="F360" i="5"/>
  <c r="E360" i="5"/>
  <c r="C360" i="5"/>
  <c r="B360" i="5"/>
  <c r="A360" i="5"/>
  <c r="M405" i="5"/>
  <c r="N405" i="5"/>
  <c r="L405" i="5"/>
  <c r="I405" i="5"/>
  <c r="H405" i="5"/>
  <c r="G405" i="5"/>
  <c r="B405" i="5"/>
  <c r="A405" i="5"/>
  <c r="AQ405" i="5"/>
  <c r="AJ405" i="5"/>
  <c r="AF405" i="5"/>
  <c r="O405" i="5"/>
  <c r="K405" i="5"/>
  <c r="F405" i="5"/>
  <c r="C405" i="5"/>
  <c r="D405" i="5"/>
  <c r="J405" i="5"/>
  <c r="E405" i="5"/>
  <c r="AQ410" i="5"/>
  <c r="D410" i="5"/>
  <c r="K410" i="5"/>
  <c r="J410" i="5"/>
  <c r="G410" i="5"/>
  <c r="F410" i="5"/>
  <c r="E410" i="5"/>
  <c r="AJ410" i="5"/>
  <c r="AF410" i="5"/>
  <c r="O410" i="5"/>
  <c r="N410" i="5"/>
  <c r="M410" i="5"/>
  <c r="L410" i="5"/>
  <c r="I410" i="5"/>
  <c r="H410" i="5"/>
  <c r="C410" i="5"/>
  <c r="B410" i="5"/>
  <c r="A410" i="5"/>
  <c r="I441" i="5"/>
  <c r="H441" i="5"/>
  <c r="G441" i="5"/>
  <c r="F441" i="5"/>
  <c r="E441" i="5"/>
  <c r="D441" i="5"/>
  <c r="AQ441" i="5"/>
  <c r="C441" i="5"/>
  <c r="AJ441" i="5"/>
  <c r="B441" i="5"/>
  <c r="AF441" i="5"/>
  <c r="A441" i="5"/>
  <c r="O441" i="5"/>
  <c r="N441" i="5"/>
  <c r="M441" i="5"/>
  <c r="L441" i="5"/>
  <c r="K441" i="5"/>
  <c r="J441" i="5"/>
  <c r="F416" i="5"/>
  <c r="D416" i="5"/>
  <c r="AQ416" i="5"/>
  <c r="C416" i="5"/>
  <c r="O416" i="5"/>
  <c r="AJ416" i="5"/>
  <c r="AF416" i="5"/>
  <c r="N416" i="5"/>
  <c r="M416" i="5"/>
  <c r="L416" i="5"/>
  <c r="K416" i="5"/>
  <c r="J416" i="5"/>
  <c r="I416" i="5"/>
  <c r="H416" i="5"/>
  <c r="G416" i="5"/>
  <c r="E416" i="5"/>
  <c r="B416" i="5"/>
  <c r="A416" i="5"/>
  <c r="AF430" i="5"/>
  <c r="A430" i="5"/>
  <c r="M430" i="5"/>
  <c r="L430" i="5"/>
  <c r="K430" i="5"/>
  <c r="AQ430" i="5"/>
  <c r="AJ430" i="5"/>
  <c r="O430" i="5"/>
  <c r="N430" i="5"/>
  <c r="J430" i="5"/>
  <c r="I430" i="5"/>
  <c r="H430" i="5"/>
  <c r="G430" i="5"/>
  <c r="F430" i="5"/>
  <c r="E430" i="5"/>
  <c r="D430" i="5"/>
  <c r="C430" i="5"/>
  <c r="B430" i="5"/>
  <c r="I514" i="5"/>
  <c r="H514" i="5"/>
  <c r="G514" i="5"/>
  <c r="F514" i="5"/>
  <c r="E514" i="5"/>
  <c r="AQ514" i="5"/>
  <c r="D514" i="5"/>
  <c r="AJ514" i="5"/>
  <c r="C514" i="5"/>
  <c r="AF514" i="5"/>
  <c r="N514" i="5"/>
  <c r="B514" i="5"/>
  <c r="A514" i="5"/>
  <c r="M514" i="5"/>
  <c r="O514" i="5"/>
  <c r="L514" i="5"/>
  <c r="J514" i="5"/>
  <c r="K514" i="5"/>
  <c r="A417" i="5"/>
  <c r="AF417" i="5"/>
  <c r="M417" i="5"/>
  <c r="L417" i="5"/>
  <c r="K417" i="5"/>
  <c r="AQ417" i="5"/>
  <c r="AJ417" i="5"/>
  <c r="O417" i="5"/>
  <c r="N417" i="5"/>
  <c r="J417" i="5"/>
  <c r="I417" i="5"/>
  <c r="H417" i="5"/>
  <c r="G417" i="5"/>
  <c r="F417" i="5"/>
  <c r="E417" i="5"/>
  <c r="C417" i="5"/>
  <c r="D417" i="5"/>
  <c r="B417" i="5"/>
  <c r="E492" i="5"/>
  <c r="AQ492" i="5"/>
  <c r="D492" i="5"/>
  <c r="A492" i="5"/>
  <c r="C492" i="5"/>
  <c r="B492" i="5"/>
  <c r="AJ492" i="5"/>
  <c r="AF492" i="5"/>
  <c r="G492" i="5"/>
  <c r="F492" i="5"/>
  <c r="O492" i="5"/>
  <c r="N492" i="5"/>
  <c r="M492" i="5"/>
  <c r="K492" i="5"/>
  <c r="L492" i="5"/>
  <c r="J492" i="5"/>
  <c r="I492" i="5"/>
  <c r="H492" i="5"/>
  <c r="F537" i="5"/>
  <c r="E537" i="5"/>
  <c r="AQ537" i="5"/>
  <c r="A537" i="5"/>
  <c r="AJ537" i="5"/>
  <c r="AF537" i="5"/>
  <c r="O537" i="5"/>
  <c r="N537" i="5"/>
  <c r="M537" i="5"/>
  <c r="K537" i="5"/>
  <c r="J537" i="5"/>
  <c r="L537" i="5"/>
  <c r="H537" i="5"/>
  <c r="G537" i="5"/>
  <c r="D537" i="5"/>
  <c r="I537" i="5"/>
  <c r="C537" i="5"/>
  <c r="B537" i="5"/>
  <c r="K564" i="5"/>
  <c r="J564" i="5"/>
  <c r="H564" i="5"/>
  <c r="G564" i="5"/>
  <c r="F564" i="5"/>
  <c r="E564" i="5"/>
  <c r="D564" i="5"/>
  <c r="C564" i="5"/>
  <c r="AQ564" i="5"/>
  <c r="B564" i="5"/>
  <c r="AF564" i="5"/>
  <c r="N564" i="5"/>
  <c r="L564" i="5"/>
  <c r="I564" i="5"/>
  <c r="A564" i="5"/>
  <c r="M564" i="5"/>
  <c r="AJ564" i="5"/>
  <c r="O564" i="5"/>
  <c r="L593" i="5"/>
  <c r="K593" i="5"/>
  <c r="J593" i="5"/>
  <c r="I593" i="5"/>
  <c r="F593" i="5"/>
  <c r="AQ593" i="5"/>
  <c r="AJ593" i="5"/>
  <c r="AF593" i="5"/>
  <c r="O593" i="5"/>
  <c r="N593" i="5"/>
  <c r="M593" i="5"/>
  <c r="H593" i="5"/>
  <c r="G593" i="5"/>
  <c r="D593" i="5"/>
  <c r="E593" i="5"/>
  <c r="C593" i="5"/>
  <c r="B593" i="5"/>
  <c r="A593" i="5"/>
  <c r="A538" i="5"/>
  <c r="K538" i="5"/>
  <c r="AQ538" i="5"/>
  <c r="AJ538" i="5"/>
  <c r="AF538" i="5"/>
  <c r="O538" i="5"/>
  <c r="N538" i="5"/>
  <c r="M538" i="5"/>
  <c r="L538" i="5"/>
  <c r="I538" i="5"/>
  <c r="H538" i="5"/>
  <c r="F538" i="5"/>
  <c r="E538" i="5"/>
  <c r="D538" i="5"/>
  <c r="C538" i="5"/>
  <c r="B538" i="5"/>
  <c r="J538" i="5"/>
  <c r="G538" i="5"/>
  <c r="K603" i="5"/>
  <c r="J603" i="5"/>
  <c r="G603" i="5"/>
  <c r="AQ603" i="5"/>
  <c r="AJ603" i="5"/>
  <c r="B603" i="5"/>
  <c r="A603" i="5"/>
  <c r="AF603" i="5"/>
  <c r="O603" i="5"/>
  <c r="I603" i="5"/>
  <c r="H603" i="5"/>
  <c r="D603" i="5"/>
  <c r="C603" i="5"/>
  <c r="M603" i="5"/>
  <c r="N603" i="5"/>
  <c r="L603" i="5"/>
  <c r="F603" i="5"/>
  <c r="E603" i="5"/>
  <c r="J616" i="5"/>
  <c r="I616" i="5"/>
  <c r="F616" i="5"/>
  <c r="AJ616" i="5"/>
  <c r="C616" i="5"/>
  <c r="AF616" i="5"/>
  <c r="B616" i="5"/>
  <c r="A616" i="5"/>
  <c r="M616" i="5"/>
  <c r="L616" i="5"/>
  <c r="K616" i="5"/>
  <c r="H616" i="5"/>
  <c r="G616" i="5"/>
  <c r="E616" i="5"/>
  <c r="D616" i="5"/>
  <c r="AQ616" i="5"/>
  <c r="O616" i="5"/>
  <c r="N616" i="5"/>
  <c r="E617" i="5"/>
  <c r="AQ617" i="5"/>
  <c r="D617" i="5"/>
  <c r="A617" i="5"/>
  <c r="N617" i="5"/>
  <c r="M617" i="5"/>
  <c r="L617" i="5"/>
  <c r="AF617" i="5"/>
  <c r="O617" i="5"/>
  <c r="K617" i="5"/>
  <c r="J617" i="5"/>
  <c r="I617" i="5"/>
  <c r="H617" i="5"/>
  <c r="G617" i="5"/>
  <c r="F617" i="5"/>
  <c r="C617" i="5"/>
  <c r="B617" i="5"/>
  <c r="AJ617" i="5"/>
  <c r="AJ646" i="5"/>
  <c r="C646" i="5"/>
  <c r="O646" i="5"/>
  <c r="N646" i="5"/>
  <c r="L646" i="5"/>
  <c r="I646" i="5"/>
  <c r="AQ646" i="5"/>
  <c r="AF646" i="5"/>
  <c r="M646" i="5"/>
  <c r="K646" i="5"/>
  <c r="J646" i="5"/>
  <c r="H646" i="5"/>
  <c r="G646" i="5"/>
  <c r="F646" i="5"/>
  <c r="E646" i="5"/>
  <c r="D646" i="5"/>
  <c r="B646" i="5"/>
  <c r="A646" i="5"/>
  <c r="AF685" i="5"/>
  <c r="B685" i="5"/>
  <c r="J685" i="5"/>
  <c r="G685" i="5"/>
  <c r="F685" i="5"/>
  <c r="E685" i="5"/>
  <c r="D685" i="5"/>
  <c r="C685" i="5"/>
  <c r="A685" i="5"/>
  <c r="AQ685" i="5"/>
  <c r="N685" i="5"/>
  <c r="L685" i="5"/>
  <c r="AJ685" i="5"/>
  <c r="O685" i="5"/>
  <c r="M685" i="5"/>
  <c r="K685" i="5"/>
  <c r="I685" i="5"/>
  <c r="H685" i="5"/>
  <c r="J661" i="5"/>
  <c r="H661" i="5"/>
  <c r="AF661" i="5"/>
  <c r="B661" i="5"/>
  <c r="AJ661" i="5"/>
  <c r="O661" i="5"/>
  <c r="N661" i="5"/>
  <c r="M661" i="5"/>
  <c r="I661" i="5"/>
  <c r="E661" i="5"/>
  <c r="D661" i="5"/>
  <c r="C661" i="5"/>
  <c r="A661" i="5"/>
  <c r="AQ661" i="5"/>
  <c r="L661" i="5"/>
  <c r="K661" i="5"/>
  <c r="G661" i="5"/>
  <c r="F661" i="5"/>
  <c r="A698" i="5"/>
  <c r="O698" i="5"/>
  <c r="I698" i="5"/>
  <c r="J698" i="5"/>
  <c r="H698" i="5"/>
  <c r="G698" i="5"/>
  <c r="F698" i="5"/>
  <c r="E698" i="5"/>
  <c r="D698" i="5"/>
  <c r="C698" i="5"/>
  <c r="AQ698" i="5"/>
  <c r="AJ698" i="5"/>
  <c r="AF698" i="5"/>
  <c r="N698" i="5"/>
  <c r="M698" i="5"/>
  <c r="L698" i="5"/>
  <c r="K698" i="5"/>
  <c r="B698" i="5"/>
  <c r="M5" i="5" l="1"/>
  <c r="N5" i="5" s="1"/>
  <c r="AZ6" i="5"/>
  <c r="AZ7" i="5"/>
  <c r="AZ8" i="5" s="1"/>
  <c r="AZ9" i="5" s="1"/>
  <c r="AZ10" i="5" s="1"/>
  <c r="AZ11" i="5" s="1"/>
  <c r="AZ12" i="5" s="1"/>
  <c r="AZ13" i="5" s="1"/>
  <c r="AZ14" i="5" s="1"/>
  <c r="BF4" i="5"/>
  <c r="AI4" i="2"/>
  <c r="AI7" i="2" s="1"/>
  <c r="M9" i="4"/>
  <c r="G60" i="4" l="1"/>
  <c r="M10" i="4"/>
  <c r="H60" i="4" s="1"/>
  <c r="AZ15" i="5"/>
  <c r="AZ16" i="5" l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57" i="5" s="1"/>
  <c r="AZ158" i="5" s="1"/>
  <c r="AZ159" i="5" s="1"/>
  <c r="AZ160" i="5" s="1"/>
  <c r="AZ161" i="5" s="1"/>
  <c r="AZ162" i="5" s="1"/>
  <c r="AZ163" i="5" s="1"/>
  <c r="AZ164" i="5" s="1"/>
  <c r="AZ165" i="5" s="1"/>
  <c r="AZ166" i="5" s="1"/>
  <c r="AZ167" i="5" s="1"/>
  <c r="AZ168" i="5" s="1"/>
  <c r="AZ169" i="5" s="1"/>
  <c r="AZ170" i="5" s="1"/>
  <c r="AZ171" i="5" s="1"/>
  <c r="AZ172" i="5" s="1"/>
  <c r="AZ173" i="5" s="1"/>
  <c r="AZ174" i="5" s="1"/>
  <c r="AZ175" i="5" s="1"/>
  <c r="AZ176" i="5" s="1"/>
  <c r="AZ177" i="5" s="1"/>
  <c r="AZ178" i="5" s="1"/>
  <c r="AZ179" i="5" s="1"/>
  <c r="AZ180" i="5" s="1"/>
  <c r="AZ181" i="5" s="1"/>
  <c r="AZ182" i="5" s="1"/>
  <c r="AZ183" i="5" s="1"/>
  <c r="AZ184" i="5" s="1"/>
  <c r="AZ185" i="5" s="1"/>
  <c r="AZ186" i="5" s="1"/>
  <c r="AZ187" i="5" s="1"/>
  <c r="AZ188" i="5" s="1"/>
  <c r="AZ189" i="5" s="1"/>
  <c r="AZ190" i="5" s="1"/>
  <c r="AZ191" i="5" s="1"/>
  <c r="AZ192" i="5" s="1"/>
  <c r="AZ193" i="5" s="1"/>
  <c r="AZ194" i="5" s="1"/>
  <c r="AZ195" i="5" s="1"/>
  <c r="AZ196" i="5" s="1"/>
  <c r="AZ197" i="5" s="1"/>
  <c r="AZ198" i="5" s="1"/>
  <c r="AZ199" i="5" s="1"/>
  <c r="AZ200" i="5" s="1"/>
  <c r="AZ201" i="5" s="1"/>
  <c r="AZ202" i="5" s="1"/>
  <c r="AZ203" i="5" s="1"/>
  <c r="AZ204" i="5" s="1"/>
  <c r="AZ205" i="5" s="1"/>
  <c r="AZ206" i="5" s="1"/>
  <c r="AZ207" i="5" s="1"/>
  <c r="AZ208" i="5" s="1"/>
  <c r="AZ209" i="5" s="1"/>
  <c r="AZ210" i="5" s="1"/>
  <c r="AZ211" i="5" s="1"/>
  <c r="AZ212" i="5" s="1"/>
  <c r="AZ213" i="5" s="1"/>
  <c r="AZ214" i="5" s="1"/>
  <c r="AZ215" i="5" s="1"/>
  <c r="AZ216" i="5" s="1"/>
  <c r="AZ217" i="5" s="1"/>
  <c r="AZ218" i="5" s="1"/>
  <c r="AZ219" i="5" s="1"/>
  <c r="AZ220" i="5" s="1"/>
  <c r="AZ221" i="5" s="1"/>
  <c r="AZ222" i="5" s="1"/>
  <c r="AZ223" i="5" s="1"/>
  <c r="AZ224" i="5" s="1"/>
  <c r="AZ225" i="5" s="1"/>
  <c r="AZ226" i="5" s="1"/>
  <c r="AZ227" i="5" s="1"/>
  <c r="AZ228" i="5" s="1"/>
  <c r="AZ229" i="5" s="1"/>
  <c r="AZ230" i="5" s="1"/>
  <c r="AZ231" i="5" s="1"/>
  <c r="AZ232" i="5" s="1"/>
  <c r="AZ233" i="5" s="1"/>
  <c r="AZ234" i="5" s="1"/>
  <c r="AZ235" i="5" s="1"/>
  <c r="AZ236" i="5" s="1"/>
  <c r="AZ237" i="5" s="1"/>
  <c r="AZ238" i="5" s="1"/>
  <c r="AZ239" i="5" s="1"/>
  <c r="AZ240" i="5" s="1"/>
  <c r="AZ241" i="5" s="1"/>
  <c r="AZ242" i="5" s="1"/>
  <c r="AZ243" i="5" s="1"/>
  <c r="AZ244" i="5" s="1"/>
  <c r="AZ245" i="5" s="1"/>
  <c r="AZ246" i="5" s="1"/>
  <c r="AZ247" i="5" s="1"/>
  <c r="AZ248" i="5" s="1"/>
  <c r="AZ249" i="5" s="1"/>
  <c r="AZ250" i="5" s="1"/>
  <c r="AZ251" i="5" s="1"/>
  <c r="AZ252" i="5" s="1"/>
  <c r="AZ253" i="5" s="1"/>
  <c r="AZ254" i="5" s="1"/>
  <c r="AZ255" i="5" s="1"/>
  <c r="AZ256" i="5" s="1"/>
  <c r="AZ257" i="5" s="1"/>
  <c r="AZ258" i="5" s="1"/>
  <c r="AZ259" i="5" s="1"/>
  <c r="AZ260" i="5" s="1"/>
  <c r="AZ261" i="5" s="1"/>
  <c r="AZ262" i="5" s="1"/>
  <c r="AZ263" i="5" s="1"/>
  <c r="AZ264" i="5" s="1"/>
  <c r="AZ265" i="5" s="1"/>
  <c r="AZ266" i="5" s="1"/>
  <c r="AZ267" i="5" s="1"/>
  <c r="AZ268" i="5" s="1"/>
  <c r="AZ269" i="5" s="1"/>
  <c r="AZ270" i="5" s="1"/>
  <c r="AZ271" i="5" s="1"/>
  <c r="AZ272" i="5" s="1"/>
  <c r="AZ273" i="5" s="1"/>
  <c r="AZ274" i="5" s="1"/>
  <c r="AZ275" i="5" s="1"/>
  <c r="AZ276" i="5" s="1"/>
  <c r="AZ277" i="5" s="1"/>
  <c r="AZ278" i="5" s="1"/>
  <c r="AZ279" i="5" s="1"/>
  <c r="AZ280" i="5" s="1"/>
  <c r="AZ281" i="5" s="1"/>
  <c r="AZ282" i="5" s="1"/>
  <c r="AZ283" i="5" s="1"/>
  <c r="AZ284" i="5" s="1"/>
  <c r="AZ285" i="5" s="1"/>
  <c r="AZ286" i="5" s="1"/>
  <c r="AZ287" i="5" s="1"/>
  <c r="AZ288" i="5" s="1"/>
  <c r="AZ289" i="5" s="1"/>
  <c r="AZ290" i="5" s="1"/>
  <c r="AZ291" i="5" s="1"/>
  <c r="AZ292" i="5" s="1"/>
  <c r="AZ293" i="5" s="1"/>
  <c r="AZ294" i="5" s="1"/>
  <c r="AZ295" i="5" s="1"/>
  <c r="AZ296" i="5" s="1"/>
  <c r="AZ297" i="5" s="1"/>
  <c r="AZ298" i="5" s="1"/>
  <c r="AZ299" i="5" s="1"/>
  <c r="AZ300" i="5" s="1"/>
  <c r="AZ301" i="5" s="1"/>
  <c r="AZ302" i="5" s="1"/>
  <c r="AZ303" i="5" s="1"/>
  <c r="AZ304" i="5" s="1"/>
  <c r="AZ305" i="5" s="1"/>
  <c r="AZ306" i="5" s="1"/>
  <c r="AZ307" i="5" s="1"/>
  <c r="AZ308" i="5" s="1"/>
  <c r="AZ309" i="5" s="1"/>
  <c r="AZ310" i="5" s="1"/>
  <c r="AZ311" i="5" s="1"/>
  <c r="AZ312" i="5" s="1"/>
  <c r="AZ313" i="5" s="1"/>
  <c r="AZ314" i="5" s="1"/>
  <c r="AZ315" i="5" s="1"/>
  <c r="AZ316" i="5" s="1"/>
  <c r="AZ317" i="5" s="1"/>
  <c r="AZ318" i="5" s="1"/>
  <c r="AZ319" i="5" s="1"/>
  <c r="AZ320" i="5" s="1"/>
  <c r="AZ321" i="5" s="1"/>
  <c r="AZ322" i="5" s="1"/>
  <c r="AZ323" i="5" s="1"/>
  <c r="AZ324" i="5" s="1"/>
  <c r="AZ325" i="5" s="1"/>
  <c r="AZ326" i="5" s="1"/>
  <c r="AZ327" i="5" s="1"/>
  <c r="AZ328" i="5" s="1"/>
  <c r="AZ329" i="5" s="1"/>
  <c r="AZ330" i="5" s="1"/>
  <c r="AZ331" i="5" s="1"/>
  <c r="AZ332" i="5" s="1"/>
  <c r="AZ333" i="5" s="1"/>
  <c r="AZ334" i="5" s="1"/>
  <c r="AZ335" i="5" s="1"/>
  <c r="AZ336" i="5" s="1"/>
  <c r="AZ337" i="5" s="1"/>
  <c r="AZ338" i="5" s="1"/>
  <c r="AZ339" i="5" s="1"/>
  <c r="AZ340" i="5" s="1"/>
  <c r="AZ341" i="5" s="1"/>
  <c r="AZ342" i="5" s="1"/>
  <c r="AZ343" i="5" s="1"/>
  <c r="AZ344" i="5" s="1"/>
  <c r="AZ345" i="5" s="1"/>
  <c r="AZ346" i="5" s="1"/>
  <c r="AZ347" i="5" s="1"/>
  <c r="AZ348" i="5" s="1"/>
  <c r="AZ349" i="5" s="1"/>
  <c r="AZ350" i="5" s="1"/>
  <c r="AZ351" i="5" s="1"/>
  <c r="AZ352" i="5" s="1"/>
  <c r="AZ353" i="5" s="1"/>
  <c r="AZ354" i="5" s="1"/>
  <c r="AZ355" i="5" s="1"/>
  <c r="AZ356" i="5" s="1"/>
  <c r="AZ357" i="5" s="1"/>
  <c r="AZ358" i="5" s="1"/>
  <c r="AZ359" i="5" s="1"/>
  <c r="AZ360" i="5" s="1"/>
  <c r="AZ361" i="5" s="1"/>
  <c r="AZ362" i="5" s="1"/>
  <c r="AZ363" i="5" s="1"/>
  <c r="AZ364" i="5" s="1"/>
  <c r="AZ365" i="5" s="1"/>
  <c r="AZ366" i="5" s="1"/>
  <c r="AZ367" i="5" s="1"/>
  <c r="AZ368" i="5" s="1"/>
  <c r="AZ369" i="5" s="1"/>
  <c r="AZ370" i="5" s="1"/>
  <c r="AZ371" i="5" s="1"/>
  <c r="AZ372" i="5" s="1"/>
  <c r="AZ373" i="5" s="1"/>
  <c r="AZ374" i="5" s="1"/>
  <c r="AZ375" i="5" s="1"/>
  <c r="AZ376" i="5" s="1"/>
  <c r="AZ377" i="5" s="1"/>
  <c r="AZ378" i="5" s="1"/>
  <c r="AZ379" i="5" s="1"/>
  <c r="AZ380" i="5" s="1"/>
  <c r="AZ381" i="5" s="1"/>
  <c r="AZ382" i="5" s="1"/>
  <c r="AZ383" i="5" s="1"/>
  <c r="AZ384" i="5" s="1"/>
  <c r="AZ385" i="5" s="1"/>
  <c r="AZ386" i="5" s="1"/>
  <c r="AZ387" i="5" s="1"/>
  <c r="AZ388" i="5" s="1"/>
  <c r="AZ389" i="5" s="1"/>
  <c r="AZ390" i="5" s="1"/>
  <c r="AZ391" i="5" s="1"/>
  <c r="AZ392" i="5" s="1"/>
  <c r="AZ393" i="5" s="1"/>
  <c r="AZ394" i="5" s="1"/>
  <c r="AZ395" i="5" s="1"/>
  <c r="AZ396" i="5" s="1"/>
  <c r="AZ397" i="5" s="1"/>
  <c r="AZ398" i="5" s="1"/>
  <c r="AZ399" i="5" s="1"/>
  <c r="AZ400" i="5" s="1"/>
  <c r="AZ401" i="5" s="1"/>
  <c r="AZ402" i="5" s="1"/>
  <c r="AZ403" i="5" s="1"/>
  <c r="AZ404" i="5" s="1"/>
  <c r="AZ405" i="5" s="1"/>
  <c r="AZ406" i="5" s="1"/>
  <c r="AZ407" i="5" s="1"/>
  <c r="AZ408" i="5" s="1"/>
  <c r="AZ409" i="5" s="1"/>
  <c r="AZ410" i="5" s="1"/>
  <c r="AZ411" i="5" s="1"/>
  <c r="AZ412" i="5" s="1"/>
  <c r="AZ413" i="5" s="1"/>
  <c r="AZ414" i="5" s="1"/>
  <c r="AZ415" i="5" s="1"/>
  <c r="AZ416" i="5" s="1"/>
  <c r="AZ417" i="5" s="1"/>
  <c r="AZ418" i="5" s="1"/>
  <c r="AZ419" i="5" s="1"/>
  <c r="AZ420" i="5" s="1"/>
  <c r="AZ421" i="5" s="1"/>
  <c r="AZ422" i="5" s="1"/>
  <c r="AZ423" i="5" s="1"/>
  <c r="AZ424" i="5" s="1"/>
  <c r="AZ425" i="5" s="1"/>
  <c r="AZ426" i="5" s="1"/>
  <c r="AZ427" i="5" s="1"/>
  <c r="AZ428" i="5" s="1"/>
  <c r="AZ429" i="5" s="1"/>
  <c r="AZ430" i="5" s="1"/>
  <c r="AZ431" i="5" s="1"/>
  <c r="AZ432" i="5" s="1"/>
  <c r="AZ433" i="5" s="1"/>
  <c r="AZ434" i="5" s="1"/>
  <c r="AZ435" i="5" s="1"/>
  <c r="AZ436" i="5" s="1"/>
  <c r="AZ437" i="5" s="1"/>
  <c r="AZ438" i="5" s="1"/>
  <c r="AZ439" i="5" s="1"/>
  <c r="AZ440" i="5" s="1"/>
  <c r="AZ441" i="5" s="1"/>
  <c r="AZ442" i="5" s="1"/>
  <c r="AZ443" i="5" s="1"/>
  <c r="AZ444" i="5" s="1"/>
  <c r="AZ445" i="5" s="1"/>
  <c r="AZ446" i="5" s="1"/>
  <c r="AZ447" i="5" s="1"/>
  <c r="AZ448" i="5" s="1"/>
  <c r="AZ449" i="5" s="1"/>
  <c r="AZ450" i="5" s="1"/>
  <c r="AZ451" i="5" s="1"/>
  <c r="AZ452" i="5" s="1"/>
  <c r="AZ453" i="5" s="1"/>
  <c r="AZ454" i="5" s="1"/>
  <c r="AZ455" i="5" s="1"/>
  <c r="AZ456" i="5" s="1"/>
  <c r="AZ457" i="5" s="1"/>
  <c r="AZ458" i="5" s="1"/>
  <c r="AZ459" i="5" s="1"/>
  <c r="AZ460" i="5" s="1"/>
  <c r="AZ461" i="5" s="1"/>
  <c r="AZ462" i="5" s="1"/>
  <c r="AZ463" i="5" s="1"/>
  <c r="AZ464" i="5" s="1"/>
  <c r="AZ465" i="5" s="1"/>
  <c r="AZ466" i="5" s="1"/>
  <c r="AZ467" i="5" s="1"/>
  <c r="AZ468" i="5" s="1"/>
  <c r="AZ469" i="5" s="1"/>
  <c r="AZ470" i="5" s="1"/>
  <c r="AZ471" i="5" s="1"/>
  <c r="AZ472" i="5" s="1"/>
  <c r="AZ473" i="5" s="1"/>
  <c r="AZ474" i="5" s="1"/>
  <c r="AZ475" i="5" s="1"/>
  <c r="AZ476" i="5" s="1"/>
  <c r="AZ477" i="5" s="1"/>
  <c r="AZ478" i="5" s="1"/>
  <c r="AZ479" i="5" s="1"/>
  <c r="AZ480" i="5" s="1"/>
  <c r="AZ481" i="5" s="1"/>
  <c r="AZ482" i="5" s="1"/>
  <c r="AZ483" i="5" s="1"/>
  <c r="AZ484" i="5" s="1"/>
  <c r="AZ485" i="5" s="1"/>
  <c r="AZ486" i="5" s="1"/>
  <c r="AZ487" i="5" s="1"/>
  <c r="AZ488" i="5" s="1"/>
  <c r="AZ489" i="5" s="1"/>
  <c r="AZ490" i="5" s="1"/>
  <c r="AZ491" i="5" s="1"/>
  <c r="AZ492" i="5" s="1"/>
  <c r="AZ493" i="5" s="1"/>
  <c r="AZ494" i="5" s="1"/>
  <c r="AZ495" i="5" s="1"/>
  <c r="AZ496" i="5" s="1"/>
  <c r="AZ497" i="5" s="1"/>
  <c r="AZ498" i="5" s="1"/>
  <c r="AZ499" i="5" s="1"/>
  <c r="AZ500" i="5" s="1"/>
  <c r="AZ501" i="5" s="1"/>
  <c r="AZ502" i="5" s="1"/>
  <c r="AZ503" i="5" s="1"/>
  <c r="AZ504" i="5" s="1"/>
  <c r="AZ505" i="5" s="1"/>
  <c r="AZ506" i="5" s="1"/>
  <c r="AZ507" i="5" s="1"/>
  <c r="AZ508" i="5" s="1"/>
  <c r="AZ509" i="5" s="1"/>
  <c r="AZ510" i="5" s="1"/>
  <c r="AZ511" i="5" s="1"/>
  <c r="AZ512" i="5" s="1"/>
  <c r="AZ513" i="5" s="1"/>
  <c r="AZ514" i="5" s="1"/>
  <c r="AZ515" i="5" s="1"/>
  <c r="AZ516" i="5" s="1"/>
  <c r="AZ517" i="5" s="1"/>
  <c r="AZ518" i="5" s="1"/>
  <c r="AZ519" i="5" s="1"/>
  <c r="AZ520" i="5" s="1"/>
  <c r="AZ521" i="5" s="1"/>
  <c r="AZ522" i="5" s="1"/>
  <c r="AZ523" i="5" s="1"/>
  <c r="AZ524" i="5" s="1"/>
  <c r="AZ525" i="5" s="1"/>
  <c r="AZ526" i="5" s="1"/>
  <c r="AZ527" i="5" s="1"/>
  <c r="AZ528" i="5" s="1"/>
  <c r="AZ529" i="5" s="1"/>
  <c r="AZ530" i="5" s="1"/>
  <c r="AZ531" i="5" s="1"/>
  <c r="AZ532" i="5" s="1"/>
  <c r="AZ533" i="5" s="1"/>
  <c r="AZ534" i="5" s="1"/>
  <c r="AZ535" i="5" s="1"/>
  <c r="AZ536" i="5" s="1"/>
  <c r="AZ537" i="5" s="1"/>
  <c r="AZ538" i="5" s="1"/>
  <c r="AZ539" i="5" s="1"/>
  <c r="AZ540" i="5" s="1"/>
  <c r="AZ541" i="5" s="1"/>
  <c r="AZ542" i="5" s="1"/>
  <c r="AZ543" i="5" s="1"/>
  <c r="AZ544" i="5" s="1"/>
  <c r="AZ545" i="5" s="1"/>
  <c r="AZ546" i="5" s="1"/>
  <c r="AZ547" i="5" s="1"/>
  <c r="AZ548" i="5" s="1"/>
  <c r="AZ549" i="5" s="1"/>
  <c r="AZ550" i="5" s="1"/>
  <c r="AZ551" i="5" s="1"/>
  <c r="AZ552" i="5" s="1"/>
  <c r="AZ553" i="5" s="1"/>
  <c r="AZ554" i="5" s="1"/>
  <c r="AZ555" i="5" s="1"/>
  <c r="AZ556" i="5" s="1"/>
  <c r="AZ557" i="5" s="1"/>
  <c r="AZ558" i="5" s="1"/>
  <c r="AZ559" i="5" s="1"/>
  <c r="AZ560" i="5" s="1"/>
  <c r="AZ561" i="5" s="1"/>
  <c r="AZ562" i="5" s="1"/>
  <c r="AZ563" i="5" s="1"/>
  <c r="AZ564" i="5" s="1"/>
  <c r="AZ565" i="5" s="1"/>
  <c r="AZ566" i="5" s="1"/>
  <c r="AZ567" i="5" s="1"/>
  <c r="AZ568" i="5" s="1"/>
  <c r="AZ569" i="5" s="1"/>
  <c r="AZ570" i="5" s="1"/>
  <c r="AZ571" i="5" s="1"/>
  <c r="AZ572" i="5" s="1"/>
  <c r="AZ573" i="5" s="1"/>
  <c r="AZ574" i="5" s="1"/>
  <c r="AZ575" i="5" s="1"/>
  <c r="AZ576" i="5" s="1"/>
  <c r="AZ577" i="5" s="1"/>
  <c r="AZ578" i="5" s="1"/>
  <c r="AZ579" i="5" s="1"/>
  <c r="AZ580" i="5" s="1"/>
  <c r="AZ581" i="5" s="1"/>
  <c r="AZ582" i="5" s="1"/>
  <c r="AZ583" i="5" s="1"/>
  <c r="AZ584" i="5" s="1"/>
  <c r="AZ585" i="5" s="1"/>
  <c r="AZ586" i="5" s="1"/>
  <c r="AZ587" i="5" s="1"/>
  <c r="AZ588" i="5" s="1"/>
  <c r="AZ589" i="5" s="1"/>
  <c r="AZ590" i="5" s="1"/>
  <c r="AZ591" i="5" s="1"/>
  <c r="AZ592" i="5" s="1"/>
  <c r="AZ593" i="5" s="1"/>
  <c r="AZ594" i="5" s="1"/>
  <c r="AZ595" i="5" s="1"/>
  <c r="AZ596" i="5" s="1"/>
  <c r="AZ597" i="5" s="1"/>
  <c r="AZ598" i="5" s="1"/>
  <c r="AZ599" i="5" s="1"/>
  <c r="AZ600" i="5" s="1"/>
  <c r="AZ601" i="5" s="1"/>
  <c r="AZ602" i="5" s="1"/>
  <c r="AZ603" i="5" s="1"/>
  <c r="AZ604" i="5" s="1"/>
  <c r="AZ605" i="5" s="1"/>
  <c r="AZ606" i="5" s="1"/>
  <c r="AZ607" i="5" s="1"/>
  <c r="AZ608" i="5" s="1"/>
  <c r="AZ609" i="5" s="1"/>
  <c r="AZ610" i="5" s="1"/>
  <c r="AZ611" i="5" s="1"/>
  <c r="AZ612" i="5" s="1"/>
  <c r="AZ613" i="5" s="1"/>
  <c r="AZ614" i="5" s="1"/>
  <c r="AZ615" i="5" s="1"/>
  <c r="AZ616" i="5" s="1"/>
  <c r="AZ617" i="5" s="1"/>
  <c r="AZ618" i="5" s="1"/>
  <c r="AZ619" i="5" s="1"/>
  <c r="AZ620" i="5" s="1"/>
  <c r="AZ621" i="5" s="1"/>
  <c r="AZ622" i="5" s="1"/>
  <c r="AZ623" i="5" s="1"/>
  <c r="AZ624" i="5" s="1"/>
  <c r="AZ625" i="5" s="1"/>
  <c r="AZ626" i="5" s="1"/>
  <c r="AZ627" i="5" s="1"/>
  <c r="AZ628" i="5" s="1"/>
  <c r="AZ629" i="5" s="1"/>
  <c r="AZ630" i="5" s="1"/>
  <c r="AZ631" i="5" s="1"/>
  <c r="AZ632" i="5" s="1"/>
  <c r="AZ633" i="5" s="1"/>
  <c r="AZ634" i="5" s="1"/>
  <c r="AZ635" i="5" s="1"/>
  <c r="AZ636" i="5" s="1"/>
  <c r="AZ637" i="5" s="1"/>
  <c r="AZ638" i="5" s="1"/>
  <c r="AZ639" i="5" s="1"/>
  <c r="AZ640" i="5" s="1"/>
  <c r="AZ641" i="5" s="1"/>
  <c r="AZ642" i="5" s="1"/>
  <c r="AZ643" i="5" s="1"/>
  <c r="AZ644" i="5" s="1"/>
  <c r="AZ645" i="5" s="1"/>
  <c r="AZ646" i="5" s="1"/>
  <c r="AZ647" i="5" s="1"/>
  <c r="AZ648" i="5" s="1"/>
  <c r="AZ649" i="5" s="1"/>
  <c r="AZ650" i="5" s="1"/>
  <c r="AZ651" i="5" s="1"/>
  <c r="AZ652" i="5" s="1"/>
  <c r="AZ653" i="5" s="1"/>
  <c r="AZ654" i="5" s="1"/>
  <c r="AZ655" i="5" s="1"/>
  <c r="AZ656" i="5" s="1"/>
  <c r="AZ657" i="5" s="1"/>
  <c r="AZ658" i="5" s="1"/>
  <c r="AZ659" i="5" s="1"/>
  <c r="AZ660" i="5" s="1"/>
  <c r="AZ661" i="5" s="1"/>
  <c r="AZ662" i="5" s="1"/>
  <c r="AZ663" i="5" s="1"/>
  <c r="AZ664" i="5" s="1"/>
  <c r="AZ665" i="5" s="1"/>
  <c r="AZ666" i="5" s="1"/>
  <c r="AZ667" i="5" s="1"/>
  <c r="AZ668" i="5" s="1"/>
  <c r="AZ669" i="5" s="1"/>
  <c r="AZ670" i="5" s="1"/>
  <c r="AZ671" i="5" s="1"/>
  <c r="AZ672" i="5" s="1"/>
  <c r="AZ673" i="5" s="1"/>
  <c r="AZ674" i="5" s="1"/>
  <c r="AZ675" i="5" s="1"/>
  <c r="AZ676" i="5" s="1"/>
  <c r="AZ677" i="5" s="1"/>
  <c r="AZ678" i="5" s="1"/>
  <c r="AZ679" i="5" s="1"/>
  <c r="AZ680" i="5" s="1"/>
  <c r="AZ681" i="5" s="1"/>
  <c r="AZ682" i="5" s="1"/>
  <c r="AZ683" i="5" s="1"/>
  <c r="AZ684" i="5" s="1"/>
  <c r="AZ685" i="5" s="1"/>
  <c r="AZ686" i="5" s="1"/>
  <c r="AZ687" i="5" s="1"/>
  <c r="AZ688" i="5" s="1"/>
  <c r="AZ689" i="5" s="1"/>
  <c r="AZ690" i="5" s="1"/>
  <c r="AZ691" i="5" s="1"/>
  <c r="AZ692" i="5" s="1"/>
  <c r="AZ693" i="5" s="1"/>
  <c r="AZ694" i="5" s="1"/>
  <c r="AZ695" i="5" s="1"/>
  <c r="AZ696" i="5" s="1"/>
  <c r="AZ697" i="5" s="1"/>
  <c r="AZ698" i="5" s="1"/>
  <c r="AZ699" i="5" s="1"/>
  <c r="AZ700" i="5" s="1"/>
  <c r="AZ701" i="5" s="1"/>
  <c r="AZ702" i="5" s="1"/>
  <c r="AZ703" i="5" s="1"/>
  <c r="AZ704" i="5" s="1"/>
  <c r="M28" i="4" l="1"/>
  <c r="M30" i="4"/>
  <c r="M31" i="4"/>
  <c r="M27" i="4"/>
  <c r="M23" i="4"/>
  <c r="M48" i="4"/>
  <c r="M24" i="4"/>
  <c r="M21" i="4"/>
  <c r="M44" i="4"/>
  <c r="M33" i="4"/>
  <c r="M55" i="4"/>
  <c r="M2" i="4"/>
  <c r="M38" i="4"/>
  <c r="M53" i="4"/>
  <c r="M50" i="4"/>
  <c r="M51" i="4"/>
  <c r="M39" i="4"/>
  <c r="M35" i="4"/>
  <c r="M32" i="4"/>
  <c r="M41" i="4"/>
  <c r="M20" i="4"/>
  <c r="M58" i="4"/>
  <c r="M54" i="4"/>
  <c r="M37" i="4"/>
  <c r="M29" i="4"/>
  <c r="M46" i="4"/>
  <c r="M52" i="4"/>
  <c r="M34" i="4"/>
  <c r="M56" i="4"/>
  <c r="M59" i="4"/>
  <c r="M40" i="4"/>
  <c r="M57" i="4"/>
  <c r="M45" i="4"/>
  <c r="M25" i="4"/>
  <c r="M22" i="4"/>
  <c r="M42" i="4"/>
  <c r="M26" i="4"/>
  <c r="M47" i="4"/>
  <c r="M36" i="4"/>
  <c r="M43" i="4"/>
  <c r="M49" i="4"/>
  <c r="H51" i="4" l="1"/>
  <c r="F51" i="4"/>
  <c r="E51" i="4"/>
  <c r="D51" i="4"/>
  <c r="G51" i="4"/>
  <c r="C51" i="4"/>
  <c r="B51" i="4"/>
  <c r="A51" i="4"/>
  <c r="H50" i="4"/>
  <c r="E50" i="4"/>
  <c r="D50" i="4"/>
  <c r="C50" i="4"/>
  <c r="B50" i="4"/>
  <c r="A50" i="4"/>
  <c r="G50" i="4"/>
  <c r="F50" i="4"/>
  <c r="H53" i="4"/>
  <c r="G53" i="4"/>
  <c r="F53" i="4"/>
  <c r="D53" i="4"/>
  <c r="C53" i="4"/>
  <c r="B53" i="4"/>
  <c r="E53" i="4"/>
  <c r="A53" i="4"/>
  <c r="C40" i="4"/>
  <c r="B40" i="4"/>
  <c r="H40" i="4"/>
  <c r="G40" i="4"/>
  <c r="D40" i="4"/>
  <c r="F40" i="4"/>
  <c r="E40" i="4"/>
  <c r="A40" i="4"/>
  <c r="H59" i="4"/>
  <c r="G59" i="4"/>
  <c r="D59" i="4"/>
  <c r="C59" i="4"/>
  <c r="B59" i="4"/>
  <c r="A59" i="4"/>
  <c r="E59" i="4"/>
  <c r="F59" i="4"/>
  <c r="C56" i="4"/>
  <c r="B56" i="4"/>
  <c r="H56" i="4"/>
  <c r="G56" i="4"/>
  <c r="F56" i="4"/>
  <c r="E56" i="4"/>
  <c r="D56" i="4"/>
  <c r="A56" i="4"/>
  <c r="F38" i="4"/>
  <c r="E38" i="4"/>
  <c r="B38" i="4"/>
  <c r="A38" i="4"/>
  <c r="H38" i="4"/>
  <c r="G38" i="4"/>
  <c r="D38" i="4"/>
  <c r="C38" i="4"/>
  <c r="H46" i="4"/>
  <c r="G46" i="4"/>
  <c r="F46" i="4"/>
  <c r="E46" i="4"/>
  <c r="C46" i="4"/>
  <c r="B46" i="4"/>
  <c r="A46" i="4"/>
  <c r="D46" i="4"/>
  <c r="A21" i="4"/>
  <c r="G21" i="4"/>
  <c r="F21" i="4"/>
  <c r="E21" i="4"/>
  <c r="B21" i="4"/>
  <c r="D21" i="4"/>
  <c r="H21" i="4"/>
  <c r="C21" i="4"/>
  <c r="E54" i="4"/>
  <c r="D54" i="4"/>
  <c r="A54" i="4"/>
  <c r="B54" i="4"/>
  <c r="F54" i="4"/>
  <c r="H54" i="4"/>
  <c r="G54" i="4"/>
  <c r="C54" i="4"/>
  <c r="F24" i="4"/>
  <c r="E24" i="4"/>
  <c r="B24" i="4"/>
  <c r="A24" i="4"/>
  <c r="H24" i="4"/>
  <c r="G24" i="4"/>
  <c r="D24" i="4"/>
  <c r="C24" i="4"/>
  <c r="G52" i="4"/>
  <c r="F52" i="4"/>
  <c r="C52" i="4"/>
  <c r="B52" i="4"/>
  <c r="A52" i="4"/>
  <c r="H52" i="4"/>
  <c r="E52" i="4"/>
  <c r="D52" i="4"/>
  <c r="H37" i="4"/>
  <c r="F37" i="4"/>
  <c r="E37" i="4"/>
  <c r="D37" i="4"/>
  <c r="G37" i="4"/>
  <c r="C37" i="4"/>
  <c r="B37" i="4"/>
  <c r="A37" i="4"/>
  <c r="A58" i="4"/>
  <c r="G58" i="4"/>
  <c r="F58" i="4"/>
  <c r="E58" i="4"/>
  <c r="D58" i="4"/>
  <c r="C58" i="4"/>
  <c r="B58" i="4"/>
  <c r="H58" i="4"/>
  <c r="G48" i="4"/>
  <c r="F48" i="4"/>
  <c r="E48" i="4"/>
  <c r="D48" i="4"/>
  <c r="C48" i="4"/>
  <c r="A48" i="4"/>
  <c r="H48" i="4"/>
  <c r="B48" i="4"/>
  <c r="K36" i="4"/>
  <c r="K37" i="4"/>
  <c r="H44" i="4"/>
  <c r="G44" i="4"/>
  <c r="E44" i="4"/>
  <c r="D44" i="4"/>
  <c r="C44" i="4"/>
  <c r="B44" i="4"/>
  <c r="A44" i="4"/>
  <c r="F44" i="4"/>
  <c r="D26" i="4"/>
  <c r="C26" i="4"/>
  <c r="H26" i="4"/>
  <c r="A26" i="4"/>
  <c r="E26" i="4"/>
  <c r="G26" i="4"/>
  <c r="F26" i="4"/>
  <c r="B26" i="4"/>
  <c r="F20" i="4"/>
  <c r="E20" i="4"/>
  <c r="D20" i="4"/>
  <c r="C20" i="4"/>
  <c r="B20" i="4"/>
  <c r="H20" i="4"/>
  <c r="G20" i="4"/>
  <c r="A20" i="4"/>
  <c r="H23" i="4"/>
  <c r="G23" i="4"/>
  <c r="E23" i="4"/>
  <c r="D23" i="4"/>
  <c r="C23" i="4"/>
  <c r="F23" i="4"/>
  <c r="B23" i="4"/>
  <c r="A23" i="4"/>
  <c r="H55" i="4"/>
  <c r="G55" i="4"/>
  <c r="F55" i="4"/>
  <c r="E55" i="4"/>
  <c r="D55" i="4"/>
  <c r="B55" i="4"/>
  <c r="A55" i="4"/>
  <c r="C55" i="4"/>
  <c r="H43" i="4"/>
  <c r="G43" i="4"/>
  <c r="D43" i="4"/>
  <c r="C43" i="4"/>
  <c r="B43" i="4"/>
  <c r="A43" i="4"/>
  <c r="F43" i="4"/>
  <c r="E43" i="4"/>
  <c r="A42" i="4"/>
  <c r="G42" i="4"/>
  <c r="F42" i="4"/>
  <c r="E42" i="4"/>
  <c r="H42" i="4"/>
  <c r="D42" i="4"/>
  <c r="C42" i="4"/>
  <c r="B42" i="4"/>
  <c r="F41" i="4"/>
  <c r="E41" i="4"/>
  <c r="D41" i="4"/>
  <c r="C41" i="4"/>
  <c r="B41" i="4"/>
  <c r="H41" i="4"/>
  <c r="G41" i="4"/>
  <c r="A41" i="4"/>
  <c r="G27" i="4"/>
  <c r="F27" i="4"/>
  <c r="E27" i="4"/>
  <c r="D27" i="4"/>
  <c r="C27" i="4"/>
  <c r="A27" i="4"/>
  <c r="H27" i="4"/>
  <c r="B27" i="4"/>
  <c r="H34" i="4"/>
  <c r="G34" i="4"/>
  <c r="F34" i="4"/>
  <c r="E34" i="4"/>
  <c r="D34" i="4"/>
  <c r="B34" i="4"/>
  <c r="A34" i="4"/>
  <c r="C34" i="4"/>
  <c r="H29" i="4"/>
  <c r="E29" i="4"/>
  <c r="D29" i="4"/>
  <c r="C29" i="4"/>
  <c r="B29" i="4"/>
  <c r="A29" i="4"/>
  <c r="G29" i="4"/>
  <c r="F29" i="4"/>
  <c r="H22" i="4"/>
  <c r="G22" i="4"/>
  <c r="D22" i="4"/>
  <c r="C22" i="4"/>
  <c r="B22" i="4"/>
  <c r="A22" i="4"/>
  <c r="F22" i="4"/>
  <c r="E22" i="4"/>
  <c r="H32" i="4"/>
  <c r="G32" i="4"/>
  <c r="F32" i="4"/>
  <c r="D32" i="4"/>
  <c r="C32" i="4"/>
  <c r="B32" i="4"/>
  <c r="E32" i="4"/>
  <c r="A32" i="4"/>
  <c r="G31" i="4"/>
  <c r="F31" i="4"/>
  <c r="C31" i="4"/>
  <c r="B31" i="4"/>
  <c r="A31" i="4"/>
  <c r="D31" i="4"/>
  <c r="H31" i="4"/>
  <c r="E31" i="4"/>
  <c r="F57" i="4"/>
  <c r="E57" i="4"/>
  <c r="D57" i="4"/>
  <c r="C57" i="4"/>
  <c r="B57" i="4"/>
  <c r="H57" i="4"/>
  <c r="G57" i="4"/>
  <c r="A57" i="4"/>
  <c r="B49" i="4"/>
  <c r="A49" i="4"/>
  <c r="H49" i="4"/>
  <c r="G49" i="4"/>
  <c r="F49" i="4"/>
  <c r="C49" i="4"/>
  <c r="E49" i="4"/>
  <c r="D49" i="4"/>
  <c r="D47" i="4"/>
  <c r="C47" i="4"/>
  <c r="H47" i="4"/>
  <c r="G47" i="4"/>
  <c r="F47" i="4"/>
  <c r="E47" i="4"/>
  <c r="B47" i="4"/>
  <c r="A47" i="4"/>
  <c r="H25" i="4"/>
  <c r="G25" i="4"/>
  <c r="F25" i="4"/>
  <c r="E25" i="4"/>
  <c r="C25" i="4"/>
  <c r="B25" i="4"/>
  <c r="A25" i="4"/>
  <c r="D25" i="4"/>
  <c r="C35" i="4"/>
  <c r="B35" i="4"/>
  <c r="H35" i="4"/>
  <c r="G35" i="4"/>
  <c r="D35" i="4"/>
  <c r="A35" i="4"/>
  <c r="F35" i="4"/>
  <c r="E35" i="4"/>
  <c r="H30" i="4"/>
  <c r="F30" i="4"/>
  <c r="E30" i="4"/>
  <c r="D30" i="4"/>
  <c r="C30" i="4"/>
  <c r="B30" i="4"/>
  <c r="A30" i="4"/>
  <c r="G30" i="4"/>
  <c r="E33" i="4"/>
  <c r="D33" i="4"/>
  <c r="A33" i="4"/>
  <c r="H33" i="4"/>
  <c r="G33" i="4"/>
  <c r="F33" i="4"/>
  <c r="C33" i="4"/>
  <c r="B33" i="4"/>
  <c r="F36" i="4"/>
  <c r="E36" i="4"/>
  <c r="D36" i="4"/>
  <c r="C36" i="4"/>
  <c r="B36" i="4"/>
  <c r="H36" i="4"/>
  <c r="G36" i="4"/>
  <c r="A36" i="4"/>
  <c r="F45" i="4"/>
  <c r="E45" i="4"/>
  <c r="B45" i="4"/>
  <c r="A45" i="4"/>
  <c r="H45" i="4"/>
  <c r="C45" i="4"/>
  <c r="G45" i="4"/>
  <c r="D45" i="4"/>
  <c r="H39" i="4"/>
  <c r="G39" i="4"/>
  <c r="F39" i="4"/>
  <c r="E39" i="4"/>
  <c r="D39" i="4"/>
  <c r="B39" i="4"/>
  <c r="A39" i="4"/>
  <c r="C39" i="4"/>
  <c r="B28" i="4"/>
  <c r="A28" i="4"/>
  <c r="H28" i="4"/>
  <c r="G28" i="4"/>
  <c r="F28" i="4"/>
  <c r="E28" i="4"/>
  <c r="D28" i="4"/>
  <c r="C28" i="4"/>
  <c r="K38" i="4" l="1"/>
</calcChain>
</file>

<file path=xl/sharedStrings.xml><?xml version="1.0" encoding="utf-8"?>
<sst xmlns="http://schemas.openxmlformats.org/spreadsheetml/2006/main" count="608" uniqueCount="466">
  <si>
    <t>ตารางอัตราค่าขนส่ง (ฝ่ายบัญชีกรอก)</t>
  </si>
  <si>
    <t>ตารางนี้กรอกครั้งเดียวพอ — เดือนต่อไปไม่ต้องกรอกใหม่ ระบบจำไว้ให้ | ถ้าอัตราเปลี่ยน หรือกรอกผิด แก้ทับช่องเดิมได้เลย หน้าสรุปจะคิดใหม่ให้ทันที | มีเส้นทางใหม่ ค่อยเพิ่มแถวต่อท้าย</t>
  </si>
  <si>
    <t>1 แถว = 1 ชุดราคา คือ ทีมรถร่วม + เหมืองต้นทาง + ท่าปลายทาง + แบก นน. + ชนิดหิน | ทั้ง 5 ช่องนี้ต้องตรงกับที่กรอกในหน้าบันทึกรายเที่ยวทุกช่อง ไม่งั้นหาอัตราไม่เจอ ขึ้นเป็น 0 | ทีมเดียวกัน เส้นทางเดียวกัน หินเดียวกัน แต่คนละประเภทแบก นน. = คนละแถว เพราะคนละราคา</t>
  </si>
  <si>
    <t>ทีมที่จ่ายแยกก้อน (ไม่ใส่ = กลุ่มปกติ)</t>
  </si>
  <si>
    <t>ข้อความบนแถวรวมของแต่ละก้อน (แก้ได้)</t>
  </si>
  <si>
    <t>ระบบเติมให้ตอน export ไม่ต้องกรอกเอง</t>
  </si>
  <si>
    <t>ทีมรถร่วม</t>
  </si>
  <si>
    <t>เหมืองต้นทาง</t>
  </si>
  <si>
    <t>ท่าปลายทาง</t>
  </si>
  <si>
    <t>แบก นน.</t>
  </si>
  <si>
    <t>ชนิดแร่/หิน</t>
  </si>
  <si>
    <t>ระยะทาง (กม.)</t>
  </si>
  <si>
    <t>อัตราค่าขนส่ง
ตามสัญญา (บาท/ตัน)</t>
  </si>
  <si>
    <t>ราคาน้ำมันฐาน
(บาท/ลิตร)</t>
  </si>
  <si>
    <t>ราคาน้ำมันเฉลี่ย
(บาท/ลิตร)</t>
  </si>
  <si>
    <t>ปรับค่าขนส่ง
(บาท/ตัน ต่อน้ำมัน 1 บาท/ลิตร)</t>
  </si>
  <si>
    <t>ส่วนปรับน้ำมัน
(บาท/ตัน)</t>
  </si>
  <si>
    <t>อัตราสุทธิ
ที่ใช้จริง (บาท/ตัน)</t>
  </si>
  <si>
    <t>กลุ่มจ่าย</t>
  </si>
  <si>
    <t>ข้อความแถวรวม</t>
  </si>
  <si>
    <t>ราคาน้ำมันฐาน
ขอบบน (บาท/ลิตร)</t>
  </si>
  <si>
    <t>ส่วนต่างที่ใช้คิด
(บาท/ลิตร)</t>
  </si>
  <si>
    <t>ราคาน้ำมันฐาน
ขอบล่าง (บาท/ลิตร)</t>
  </si>
  <si>
    <t>หจก.กิจบุญแก้ว</t>
  </si>
  <si>
    <t>กงตาก1</t>
  </si>
  <si>
    <t>โชคพนาพอร์ท</t>
  </si>
  <si>
    <t>แอนไฮไดรต์ 2 นิ้ว</t>
  </si>
  <si>
    <t>บจก.ร้อยเกาะขนส่ง (2000)</t>
  </si>
  <si>
    <t>ร้อยเกาะ</t>
  </si>
  <si>
    <t>ปกติ</t>
  </si>
  <si>
    <t>รวมรถร่วม เครดิตปกติ</t>
  </si>
  <si>
    <t>รวมจ่ายรถร้อยเกาะ</t>
  </si>
  <si>
    <t>แบบฟอร์มรายงานการขนส่งรายเที่ยว (Template มาตรฐาน v11)</t>
  </si>
  <si>
    <t>ใส่ข้อมูลตั้งแต่แถวที่ 6 ลงไป กรอกถึงแค่คอลัมน์ K (นน.ปลายทาง) พอ — คอลัมน์ L (ส่วนต่าง) และ M (จ่ายค่าบรรทุก) เป็นสูตร ระบบคิดให้เอง ห้ามพิมพ์ทับ | ถ้าก๊อปมาวาง ให้วางแค่ช่วง A ถึง K และใช้ คลิกขวา &gt; วางแบบพิเศษ &gt; ค่า (Paste Values) เพื่อไม่ให้ทับสูตรและ dropdown ที่ตั้งไว้ | วางเสร็จดูช่อง O10 "ชื่อที่ไม่อยู่ในรายการ" ต้องเป็น 0</t>
  </si>
  <si>
    <t>ประจำเดือน:</t>
  </si>
  <si>
    <t>กรกฎาคม 2569</t>
  </si>
  <si>
    <t>เลขที่หนังสือ:</t>
  </si>
  <si>
    <t>นามที่จ่าย (เล่มนี้):</t>
  </si>
  <si>
    <t>ศิลาชัย</t>
  </si>
  <si>
    <t>ขั้นตอน: [เหมือง] กรอกหน้านี้ให้ครบ &gt; ดูช่องเตือน O11 ต้องขึ้นว่า ปกติ &gt; เปิด sheet "สรุปเหมือง" ตรวจให้ถูกต้อง (ช่อง I10 ต้องขึ้นว่า ยอดตรงกับรายเที่ยว) แล้วจึงส่งไฟล์ให้ฝ่ายบัญชี | [บัญชี] กรอก sheet "oil" + "อัตราค่าขนส่ง" แล้วตรวจ sheet "สรุปจ่ายรถร่วม" อีกครั้งก่อนพิมพ์ปะหน้า (หน้า oil เป็นของฝ่ายบัญชี เหมืองไม่ต้องกรอก)</t>
  </si>
  <si>
    <t>ช่องตรวจทาน (ห้ามลบ)</t>
  </si>
  <si>
    <t>วันที่</t>
  </si>
  <si>
    <t>นามที่จ่าย</t>
  </si>
  <si>
    <t>ทะเบียนรถ</t>
  </si>
  <si>
    <t>เลขที่ชั่ง</t>
  </si>
  <si>
    <t>นน.ต้นทาง (ตัน)</t>
  </si>
  <si>
    <t>นน.ปลายทาง (ตัน)</t>
  </si>
  <si>
    <t>นน.ส่วนต่าง (ตัน)</t>
  </si>
  <si>
    <t>นน.จ่ายค่าบรรทุก (ตัน)</t>
  </si>
  <si>
    <t>จำนวนเที่ยวที่กรอก</t>
  </si>
  <si>
    <t>stoneLbl</t>
  </si>
  <si>
    <t>route</t>
  </si>
  <si>
    <t>key2</t>
  </si>
  <si>
    <t>key3</t>
  </si>
  <si>
    <t>rtb</t>
  </si>
  <si>
    <t>accKey</t>
  </si>
  <si>
    <t>seq3</t>
  </si>
  <si>
    <t>-</t>
  </si>
  <si>
    <t>seqAcc</t>
  </si>
  <si>
    <t>รวม นน.จ่ายค่าบรรทุก (ตัน)</t>
  </si>
  <si>
    <t>แถวที่กรอกไม่ครบ</t>
  </si>
  <si>
    <t>จำนวนกลุ่ม หน้าสรุปเหมือง</t>
  </si>
  <si>
    <t>จำนวนกลุ่ม หน้าสรุปบัญชี</t>
  </si>
  <si>
    <t>ชื่อที่ไม่อยู่ในรายการ (เช็คการวางทับ)</t>
  </si>
  <si>
    <t>เตือน</t>
  </si>
  <si>
    <t>▍ ช่องตรวจสอบ (ไม่ติดไปเวลาพิมพ์)</t>
  </si>
  <si>
    <t>ลำดับที่</t>
  </si>
  <si>
    <t>อ้างถึงหนังสือที่</t>
  </si>
  <si>
    <t>(หนังสือที่ 1)</t>
  </si>
  <si>
    <t>(หนังสือที่ 2)</t>
  </si>
  <si>
    <t>(หนังสือที่ 3)</t>
  </si>
  <si>
    <t>(หนังสือที่ 4)</t>
  </si>
  <si>
    <t>(หนังสือที่ 5)</t>
  </si>
  <si>
    <t>(หนังสือที่ 6)</t>
  </si>
  <si>
    <t>(หนังสือที่ 7)</t>
  </si>
  <si>
    <t>(หนังสือที่ 8)</t>
  </si>
  <si>
    <t>หักอื่น</t>
  </si>
  <si>
    <t>รวมทั้งสิ้น</t>
  </si>
  <si>
    <t>จำนวนทีมที่กรอก</t>
  </si>
  <si>
    <t>รถร่วม</t>
  </si>
  <si>
    <t>จำนวน (ลิตร)</t>
  </si>
  <si>
    <t>ราคา/ลิตร</t>
  </si>
  <si>
    <t>จำนวนเงิน</t>
  </si>
  <si>
    <t>(รายการที่ 1)</t>
  </si>
  <si>
    <t>(รายการที่ 2)</t>
  </si>
  <si>
    <t>(รายการที่ 3)</t>
  </si>
  <si>
    <t>(รายการที่ 4)</t>
  </si>
  <si>
    <t>รวมค่าหักทั้งสิ้น</t>
  </si>
  <si>
    <t>*** ทีมที่ไม่มีในสรุปจ่ายรถร่วม ***</t>
  </si>
  <si>
    <t>*** แถวที่ ลิตร x ราคา ไม่ตรงกับจำนวนเงิน ***</t>
  </si>
  <si>
    <t>ยอดหักที่ลงจริงในสรุปจ่ายรถร่วม</t>
  </si>
  <si>
    <t>สรุป</t>
  </si>
  <si>
    <t>หมายเหตุ: ชื่อหนังสือในแถวที่ 2 และชื่อรายการหักในแถวที่ 3 พิมพ์ทับได้ตามแต่ละนาม | บล็อกที่ไม่ใช้ปล่อยว่างไว้</t>
  </si>
  <si>
    <t>หน้านี้ ฝ่ายบัญชี เป็นผู้กรอก (ไม่ใช่เหมือง)</t>
  </si>
  <si>
    <t>เหมืองส่งมาเฉพาะ บันทึกรายเที่ยว ที่ตรวจหน้าสรุปเหมืองแล้ว บัญชีมากรอก oil + อัตราค่าขนส่ง แล้วตรวจหน้าสรุปจ่ายรถร่วมอีกครั้ง</t>
  </si>
  <si>
    <t>รวม</t>
  </si>
  <si>
    <t>รายงานสรุปผลการขนส่งหิน (แบบเหมือง)</t>
  </si>
  <si>
    <t>▍ ตัวกรองรายงาน — เลือกแล้วตารางจะแสดงเฉพาะที่เลือก</t>
  </si>
  <si>
    <t>ที่</t>
  </si>
  <si>
    <t>ประจำเดือน</t>
  </si>
  <si>
    <t>เรื่อง</t>
  </si>
  <si>
    <t>รายงานการขนส่งหินจากเหมือง ไปท่าเรือ ประจำเดือน</t>
  </si>
  <si>
    <t>(ทั้งหมด)</t>
  </si>
  <si>
    <t>เรียน</t>
  </si>
  <si>
    <t>ต้นทาง - ปลายทาง</t>
  </si>
  <si>
    <t>ชนิดหิน</t>
  </si>
  <si>
    <t>ขนส่ง (ทีม)</t>
  </si>
  <si>
    <t>เที่ยว</t>
  </si>
  <si>
    <t>ตรวจสอบยอด</t>
  </si>
  <si>
    <t>พื้นที่ตาราง</t>
  </si>
  <si>
    <t>ช่วงพิมพ์ที่พอดี</t>
  </si>
  <si>
    <t>▍ ช่องกรอก — เดือนละครั้ง (ไม่ติดไปเวลาพิมพ์)</t>
  </si>
  <si>
    <t>เลขที่หนังสือ</t>
  </si>
  <si>
    <t>ACC.SURAT.115/2569</t>
  </si>
  <si>
    <t>3 กรกฏาคม 2569</t>
  </si>
  <si>
    <t>ข้อความนำหน้า "เรื่อง"</t>
  </si>
  <si>
    <t>จ่ายค่าบรรทุกรถร่วมทีมปกติ ส่งออกนาม</t>
  </si>
  <si>
    <t>พันตำรวจเอกพร้อม  ปริยวาที กรรมการผู้จัดการ</t>
  </si>
  <si>
    <t>เครดิต (วัน)</t>
  </si>
  <si>
    <t>ครบกำหนดในวันที่</t>
  </si>
  <si>
    <t>30 กรกฏาคม 2569</t>
  </si>
  <si>
    <t>ชื่อผู้ลงนาม</t>
  </si>
  <si>
    <t>นางสาวกิตติมา  เพิ่มพูล</t>
  </si>
  <si>
    <t>ตำแหน่งผู้ลงนาม</t>
  </si>
  <si>
    <t>เจ้าหน้าที่บัญชี</t>
  </si>
  <si>
    <t>สิ่งที่ส่งมาด้วย</t>
  </si>
  <si>
    <t>สำเนาเรียน 1</t>
  </si>
  <si>
    <t>ประธานกรรมการบริหาร</t>
  </si>
  <si>
    <t>สำเนาเรียน 2</t>
  </si>
  <si>
    <t>รองประธานกรรมการอาวุโสฝ่ายบริหารฯ</t>
  </si>
  <si>
    <t>สำเนาเรียน 3</t>
  </si>
  <si>
    <t>บัญชี/การเงิน กทม.</t>
  </si>
  <si>
    <t>หมายเหตุสำเนา 1</t>
  </si>
  <si>
    <t>เพื่อโปรดทราบ</t>
  </si>
  <si>
    <t>หมายเหตุสำเนา 2</t>
  </si>
  <si>
    <t>หมายเหตุสำเนา 3</t>
  </si>
  <si>
    <t>เพื่อดำเนินการ</t>
  </si>
  <si>
    <t>ข้อความปิดท้าย</t>
  </si>
  <si>
    <t>โดยให้โอนเงินจำนวนดังกล่าวเข้าบัญชีรถร่วมโดยตรง ตามรายละเอียดที่แจ้งไว้ก่อนหน้านี้</t>
  </si>
  <si>
    <t>จำนวนเงินเป็นตัวหนังสือ (เว้นว่างไว้ = ให้ Excel เขียนเอง)</t>
  </si>
  <si>
    <t>ตัน</t>
  </si>
  <si>
    <t>รายได้ก่อนหักภาษี</t>
  </si>
  <si>
    <t>หัก ณ ที่จ่าย 1%</t>
  </si>
  <si>
    <t>ค่าน้ำมัน</t>
  </si>
  <si>
    <t>คงเหลือจ่าย</t>
  </si>
  <si>
    <t>สิ่งที่ส่งมาด้วย 1-12 (เว้นว่างได้)</t>
  </si>
  <si>
    <t>บาท</t>
  </si>
  <si>
    <t xml:space="preserve">  รายการที่ 1</t>
  </si>
  <si>
    <t xml:space="preserve">  รายการที่ 2</t>
  </si>
  <si>
    <t xml:space="preserve">  รายการที่ 3</t>
  </si>
  <si>
    <t xml:space="preserve">  รายการที่ 4</t>
  </si>
  <si>
    <t xml:space="preserve">  รายการที่ 5</t>
  </si>
  <si>
    <t xml:space="preserve">  รายการที่ 6</t>
  </si>
  <si>
    <t xml:space="preserve">  รายการที่ 7</t>
  </si>
  <si>
    <t xml:space="preserve">  รายการที่ 8</t>
  </si>
  <si>
    <t xml:space="preserve">  รายการที่ 9</t>
  </si>
  <si>
    <t xml:space="preserve">  รายการที่ 10</t>
  </si>
  <si>
    <t xml:space="preserve">  รายการที่ 11</t>
  </si>
  <si>
    <t xml:space="preserve">  รายการที่ 12</t>
  </si>
  <si>
    <t>▍ ช่องตรวจสอบ</t>
  </si>
  <si>
    <t>ก่อนพิมพ์</t>
  </si>
  <si>
    <t>จำนวนทีม (กลุ่มปกติ)</t>
  </si>
  <si>
    <t>ตรวจยอด</t>
  </si>
  <si>
    <t>สำเนาเรียน</t>
  </si>
  <si>
    <t>ภาษีหัก ณ ที่จ่าย (%)</t>
  </si>
  <si>
    <t>ต้นทาง-ปลายทาง</t>
  </si>
  <si>
    <t>ระยะ</t>
  </si>
  <si>
    <t>ชนิด</t>
  </si>
  <si>
    <t>แบก</t>
  </si>
  <si>
    <t>จำนวน</t>
  </si>
  <si>
    <t>อัตรา</t>
  </si>
  <si>
    <t>ส่วนปรับ</t>
  </si>
  <si>
    <t>อัตราสุทธิ</t>
  </si>
  <si>
    <t>รายได้</t>
  </si>
  <si>
    <t>ภาษี</t>
  </si>
  <si>
    <t>หัก</t>
  </si>
  <si>
    <t>น้ำหนัก</t>
  </si>
  <si>
    <t>ทาง</t>
  </si>
  <si>
    <t>หิน</t>
  </si>
  <si>
    <t>นน.</t>
  </si>
  <si>
    <t>น้ำมัน</t>
  </si>
  <si>
    <t>ที่ใช้จริง</t>
  </si>
  <si>
    <t>ค่าขนส่ง</t>
  </si>
  <si>
    <t>หัก ณ ที่จ่าย</t>
  </si>
  <si>
    <t>ค่าใช้จ่าย</t>
  </si>
  <si>
    <t>เฉลี่ย</t>
  </si>
  <si>
    <t>อัตราที่ยังไม่ได้กรอก</t>
  </si>
  <si>
    <t>กม.</t>
  </si>
  <si>
    <t>(บาท/ตัน)</t>
  </si>
  <si>
    <t>(บาท/กม.)</t>
  </si>
  <si>
    <t>(ตัน/เที่ยว)</t>
  </si>
  <si>
    <t>ตรวจสอบ</t>
  </si>
  <si>
    <t>ช่วงพิมพ์</t>
  </si>
  <si>
    <t>กลุ่มจ่ายที่มีเดือนนี้</t>
  </si>
  <si>
    <t>ขั้นตอนของฝ่ายบัญชี</t>
  </si>
  <si>
    <t>1. เหมืองกรอกบันทึกรายเที่ยว และตรวจหน้าสรุปเหมืองมาแล้ว</t>
  </si>
  <si>
    <t>2. บัญชีกรอก sheet "oil" (ค่าน้ำมัน/ค่าหัก) — หน้านี้ของบัญชี ไม่ใช่ของเหมือง</t>
  </si>
  <si>
    <t>3. บัญชีกรอก/แก้ sheet "อัตราค่าขนส่ง" ถ้ายังไม่มีหรืออัตราเปลี่ยน</t>
  </si>
  <si>
    <t>4. ตรวจหน้านี้: ช่อง BF4 ต้องเป็น 0 และ BF8 ต้องขึ้นว่า ยอดตันตรงกับรายเที่ยว</t>
  </si>
  <si>
    <t>5. ตรวจว่าทุกทีมในหน้า oil มีอยู่ในหน้านี้ (ดูช่องตรวจสอบในหน้า oil)</t>
  </si>
  <si>
    <t>6. ผ่านครบแล้วจึงพิมพ์หน้า "ปะหน้าจ่ายรถร่วม" ส่งต่อ</t>
  </si>
  <si>
    <t>วิธีกรอกและวิธีอ่านผล</t>
  </si>
  <si>
    <t>▍</t>
  </si>
  <si>
    <t>1. ภาพรวม — ไฟล์นี้ทำงานอย่างไร</t>
  </si>
  <si>
    <t>1.1 ไฟล์นี้มี 8 sheet ใครต้องดูหน้าไหนบ้าง</t>
  </si>
  <si>
    <t>a</t>
  </si>
  <si>
    <t>ฝ่ายเหมือง เปิดแค่ 2 หน้า: "บันทึกรายเที่ยว" (กรอก) และ "สรุปเหมือง" (ตรวจ) — หน้าอื่นไม่ต้องยุ่ง</t>
  </si>
  <si>
    <t>b</t>
  </si>
  <si>
    <t>ฝ่ายบัญชี เปิด 4 หน้า: "oil" (กรอก) / "อัตราค่าขนส่ง" (กรอกครั้งเดียว) / "สรุปจ่ายรถร่วม" (ตรวจ) / "ปะหน้าจ่ายรถร่วม" (กรอกแผงขวา แล้วสั่งพิมพ์)</t>
  </si>
  <si>
    <t>c</t>
  </si>
  <si>
    <t>อีก 2 หน้าเป็นหน้าประกอบ ใช้ร่วมกัน: "รายการมาตรฐาน" คือคลังชื่อที่ dropdown ทุกช่องดึงไปใช้ (มีชื่อใหม่ให้พิมพ์ต่อท้ายคอลัมน์นั้น เดี๋ยว dropdown ขึ้นเอง) และ "วิธีกรอก" คือหน้านี้</t>
  </si>
  <si>
    <t>1.2 ลำดับงาน 4 ขั้น</t>
  </si>
  <si>
    <t>d</t>
  </si>
  <si>
    <t>ขั้นที่ 1 [เหมือง] กรอกข้อมูลรายเที่ยวลงหน้า "บันทึกรายเที่ยว"</t>
  </si>
  <si>
    <t>e</t>
  </si>
  <si>
    <t>ขั้นที่ 2 [เหมือง] เปิดหน้า "สรุปเหมือง" ตรวจให้ถูกต้อง แล้วจึงส่งไฟล์ให้ฝ่ายบัญชี</t>
  </si>
  <si>
    <t>f</t>
  </si>
  <si>
    <t>ขั้นที่ 3 [บัญชี] กรอกหน้า "oil" และหน้า "อัตราค่าขนส่ง"</t>
  </si>
  <si>
    <t>g</t>
  </si>
  <si>
    <t>ขั้นที่ 4 [บัญชี] ตรวจหน้า "สรุปจ่ายรถร่วม" อีกรอบ แล้วสั่งพิมพ์หน้า "ปะหน้าจ่ายรถร่วม"</t>
  </si>
  <si>
    <t>1.3 สีในไฟล์ หมายถึงอะไร</t>
  </si>
  <si>
    <t>h</t>
  </si>
  <si>
    <t>ช่องพื้นสีเหลืองอ่อน = ช่องที่ให้กรอก / แก้ทับได้ | ช่องที่ไม่ใช่สีเหลืองเป็นสูตร ห้ามพิมพ์ทับ</t>
  </si>
  <si>
    <t>i</t>
  </si>
  <si>
    <t>ตัวหนังสือสีแดงเอียงที่หัวหน้า (บันทึกรายเที่ยว ช่อง A2 และ อัตราค่าขนส่ง ช่อง A2) = คำแนะนำวิธีใช้ ไม่ใช่ข้อมูล ลบทิ้งได้เมื่อใช้งานจริง (บรรทัดสีน้ำเงินใต้ลงมา อัตราค่าขนส่ง ช่อง A3 ก็เป็นคำอธิบาย ลบได้เหมือนกัน)</t>
  </si>
  <si>
    <t>j</t>
  </si>
  <si>
    <t>ตัวหนังสือสีแดงในช่องตรวจสอบ = คำเตือนจริง ห้ามลบ ต้องกลับไปแก้ให้ขึ้นคำว่า ปกติ</t>
  </si>
  <si>
    <t>k</t>
  </si>
  <si>
    <t>แถวสีเหลืองในตาราง (บันทึกรายเที่ยว แถว 6-7 และ อัตราค่าขนส่ง แถว 5-7) เป็นแถวตัวอย่างให้ดูรูปแบบ ลบทิ้งก่อนกรอกจริง</t>
  </si>
  <si>
    <t>2. เจ้าหน้าที่เหมือง ต้องทำอะไรบ้าง</t>
  </si>
  <si>
    <t>2.1 เปิด 2 หน้านี้เท่านั้น ตามลำดับ: (1) บันทึกรายเที่ยว  (2) สรุปเหมือง</t>
  </si>
  <si>
    <t>2.2 หน้า "บันทึกรายเที่ยว" — หน้ากรอกข้อมูลดิบ 1 เที่ยว = 1 แถว (ทุกหน้าที่เหลือคิดจากหน้านี้)</t>
  </si>
  <si>
    <t>หัวฟอร์มก่อน: ประจำเดือน (ช่อง B3) / เลขที่หนังสือ (ช่อง D3) / นามที่จ่ายของเล่มนี้ (ช่อง F3)</t>
  </si>
  <si>
    <t>ลบ 2 แถวตัวอย่างสีเหลือง (แถว 6-7) ทิ้งก่อน แล้วกรอกข้อมูลจริงตั้งแต่แถวที่ 6 ลงไป</t>
  </si>
  <si>
    <t>กรอก 11 ช่อง คือ A ถึง K: วันที่ (A) / เหมืองต้นทาง (B) / ท่าปลายทาง (C) / ชนิดแร่-หิน (D) / แบก นน. (E) / ทีมรถร่วม (F) / นามที่จ่าย (G) / ทะเบียนรถ (H) / เลขที่ชั่ง (I) / นน.ต้นทาง (J) / นน.ปลายทาง (K)</t>
  </si>
  <si>
    <t>อีก 2 ช่องท้ายเป็นสูตร ระบบคิดให้เอง ห้ามพิมพ์ทับ ห้ามก๊อปวางทับ: ช่อง L "นน.ส่วนต่าง" = J ลบ K | ช่อง M "นน.จ่ายค่าบรรทุก" = ค่าที่น้อยกว่าระหว่าง J กับ K (จ่ายตามน้ำหนักที่ต่ำกว่า)</t>
  </si>
  <si>
    <t>d1</t>
  </si>
  <si>
    <t>ถ้ากรอกน้ำหนักมาข้างเดียว (มีแต่ต้นทาง หรือมีแต่ปลายทาง) ช่อง M จะใช้ข้างที่กรอกมา | ถ้าไม่กรอกทั้งคู่ ช่อง M จะเว้นว่าง ไม่ขึ้นเลข 0</t>
  </si>
  <si>
    <t>น้ำหนักกรอกเป็น "ตัน" ทศนิยม 2 ตำแหน่ง (เช่น 42.30) ไม่ใช่กิโลกรัม</t>
  </si>
  <si>
    <t>5 ช่องที่เป็นชื่อ (B / C / D / E / F) ให้เลือกจาก dropdown — สะกดต่างแม้ 1 ตัวอักษร จะกลายเป็นคนละกลุ่มและหาอัตราไม่เจอทันที</t>
  </si>
  <si>
    <t>ช่อง E "แบก นน." ไม่ได้มีแค่ แบก / ไม่แบก — ตั้งไว้ 9 ประเภท (แบก นน. / ไม่แบก นน. / ตาม นน. / นน. 35.01-40 ตัน / นน. 40.01-50 ตันขึ้นไป / น้อยกว่าหรือเท่ากับ 35 ตัน / น้ำหนัก 35.01-50 ตัน / นน 50 ตันขึ้นไป / นน 40-50 ตัน) เพราะแต่ละประเภทคิดคนละอัตรา</t>
  </si>
  <si>
    <t>ห้ามเว้นแถวว่างกลางตาราง และห้ามพิมพ์แถว "รวม" เอง — ระบบรวมให้เอง</t>
  </si>
  <si>
    <t>ถ้าดึงรายงานมาก๊อปวาง ให้วางแค่ช่วง A ถึง K เท่านั้น อย่าวางเลย K ไป เพราะ L กับ M เป็นสูตร ถ้าวางทับจะหายถาวร | และให้ใช้ คลิกขวา &gt; วางแบบพิเศษ &gt; ค่า (Paste Values) เพราะการวางแบบปกติจะทับ dropdown ที่ตั้งไว้ด้วย</t>
  </si>
  <si>
    <t>กรอก/วางเสร็จ ดูแผงตรวจทานขวามือ (ช่อง N5:O11) ต้องได้ 2 อย่างนี้: ช่อง O10 "ชื่อที่ไม่อยู่ในรายการ" = 0 และ ช่อง O11 "เตือน" = ปกติ</t>
  </si>
  <si>
    <t>ถ้า O10 ไม่เป็น 0 แปลว่ามีชื่อที่ไม่ตรงคลังชื่อหลุดเข้ามา (เกิดจากการก๊อปวางเกือบทุกครั้ง) ให้ไล่แก้ชื่อนั้น หรือเพิ่มชื่อใหม่ลงหน้า "รายการมาตรฐาน"</t>
  </si>
  <si>
    <t>l</t>
  </si>
  <si>
    <t>ถ้าก๊อปวางมาแล้วไม่แก้ให้ตรง dropdown อย่างน้อยต้องเช็คว่า "เขียนเหมือนกันทุกแถว" คือผิดแบบเดียวกันหมด ห้ามผิดคนละแบบ (เช่น เว้นวรรคบ้างไม่เว้นบ้าง มีจุดบ้างไม่มีบ้าง) เพราะถ้าเขียนเหมือนกันหมด หน้าสรุปจะยังรวมเป็นบรรทัดเดียวอยู่ ไม่แตกเป็น 2 แถว</t>
  </si>
  <si>
    <t>m</t>
  </si>
  <si>
    <t>ข้อควรรู้ของข้อ l: เขียนเหมือนกันช่วยได้แค่เรื่อง "ไม่แตกแถว" เท่านั้น เรื่องอัตรายังไม่ได้ เพราะหน้า "อัตราค่าขนส่ง" เลือกจาก dropdown จึงสะกดคนละแบบกับที่วางมา อัตราจะขึ้น 0 อยู่ดี — ถ้าจะไม่แก้จริง ๆ ต้องไปสะกดในตารางอัตราให้ตรงกับที่วางมาด้วย</t>
  </si>
  <si>
    <t>2.3 หน้า "สรุปเหมือง" — รายงานที่ระบบทำให้เอง หน้าที่ของเหมืองคือ "ตรวจ" ไม่ใช่กรอก</t>
  </si>
  <si>
    <t>ทั้งตารางเป็นสูตร ห้ามพิมพ์ตัวเลขทับ — ยกเว้นหัวจดหมาย (ที่ / เรื่อง / เรียน) พิมพ์ทับได้</t>
  </si>
  <si>
    <t>โครงสร้าง 3 ชั้น: ต้นทาง-ปลายทาง (แถบฟ้า) &gt; ชนิดหิน(ประเภทแบก นน.) (แถบเขียว) &gt; ทีมขนส่ง แล้วปิดท้ายด้วยแถว ผลรวมทั้งหมด</t>
  </si>
  <si>
    <t>คอลัมน์ตัวเลข: เที่ยว (D) / นน.ต้นทาง (E) / นน.ปลายทาง (F) / นน.ส่วนต่าง (G) / นน.จ่ายค่าบรรทุก (H)</t>
  </si>
  <si>
    <t>ต้องตรวจ 2 ช่องนี้ก่อนส่ง: ช่อง I10 ต้องขึ้นว่า "ยอดตรงกับรายเที่ยว" และช่อง I12 ต้องขึ้นว่า "เพียงพอ" — ถ้าไม่ใช่ แปลว่ายังมีอะไรผิดที่หน้าบันทึกรายเที่ยว</t>
  </si>
  <si>
    <t>ตรวจด้วยตาอีกชั้น: ถ้าทีมเดียวกันแตกเป็น 2 บรรทัด หรือเส้นทางเดียวกันโผล่ 2 ครั้ง แปลว่าชื่อสะกดไม่ตรงกัน ให้กลับไปแก้ที่หน้าบันทึกรายเที่ยว แล้วกด F9</t>
  </si>
  <si>
    <t>อยากดูเฉพาะบางส่วน ใช้ตัวกรอง: ช่อง I3 (ท่าปลายทาง) / I5 (ชนิดแร่-หิน) / I7 (ทีมรถร่วม) เลือก (ทั้งหมด) เพื่อยกเลิก — ตอนกรองอยู่ ช่อง I10 จะไม่ตรวจยอดให้ ต้องเลิกกรองก่อน</t>
  </si>
  <si>
    <t>ตรวจครบแล้วจึงส่งไฟล์ให้ฝ่ายบัญชี — งานของเหมืองจบตรงนี้ ไม่ต้องกรอกหน้า oil</t>
  </si>
  <si>
    <t>3. เจ้าหน้าที่บัญชี ต้องทำอะไรบ้าง</t>
  </si>
  <si>
    <t>3.1 เปิด 4 หน้า ตามลำดับ: (1) oil  (2) อัตราค่าขนส่ง  (3) สรุปจ่ายรถร่วม  (4) ปะหน้าจ่ายรถร่วม</t>
  </si>
  <si>
    <t>ก่อนเริ่ม ดูหน้า "สรุปเหมือง" ช่อง I10 ว่าเหมืองตรวจมาแล้วจริง (ต้องขึ้น "ยอดตรงกับรายเที่ยว") ถ้าไม่ตรงให้ตีกลับ อย่าเพิ่งทำต่อ</t>
  </si>
  <si>
    <t>3.2 หน้า "oil" — ค่าน้ำมันและค่าหักรายทีม (หน้านี้ฝ่ายบัญชีกรอก ไม่ใช่เหมือง)</t>
  </si>
  <si>
    <t>1 แถว = 1 ทีม กรอกตั้งแต่แถวที่ 4 ลงไป ได้ 60 แถว ลำดับที่ (คอลัมน์ A) ขึ้นให้เอง ชื่อทีม (คอลัมน์ B) เลือกจาก dropdown</t>
  </si>
  <si>
    <t>มีบล็อกหนังสืออ้างอิง 8 บล็อก บล็อกละ 3 ช่อง (จำนวนลิตร / ราคาต่อลิตร / จำนวนเงิน) — ชื่อหนังสือพิมพ์เองที่แถวที่ 2 บล็อกไหนเดือนนั้นไม่ใช้ ปล่อยว่างไว้</t>
  </si>
  <si>
    <t>ถัดจากบล็อกหนังสือมีช่องหักอื่นอีก 4 ช่อง ชื่อรายการพิมพ์เองที่แถวที่ 3 (เช่น หักค่าหิน / เพิ่มหนี้ / ลดหนี้)</t>
  </si>
  <si>
    <t>ถ้ามีแต่ยอดเงิน ไม่มีลิตร/ราคา กรอกเฉพาะช่องจำนวนเงินได้เลย — ถ้ากรอกครบ 3 ช่อง ระบบจะเตือนให้เมื่อ ลิตร x ราคา ไม่ตรงกับจำนวนเงิน</t>
  </si>
  <si>
    <t>คอลัมน์ "รวมทั้งสิ้น" เป็นสูตร ห้ามพิมพ์ทับ — ยอดนี้ไหลไปเป็นคอลัมน์ "ค่าใช้จ่าย" ในหน้าสรุปจ่ายรถร่วม และคอลัมน์ "ค่าน้ำมัน" ในหน้าปะหน้าให้เอง ไม่ต้องพิมพ์ซ้ำ</t>
  </si>
  <si>
    <t>ดูช่องตรวจสอบด้านขวา ช่อง "สรุป" ต้องขึ้นคำว่า ปกติ | ถ้าขึ้นว่ามีทีมที่ไม่มีในสรุปจ่ายรถร่วม แปลว่าทีมนั้นเดือนนี้ไม่มีเที่ยววิ่ง ยอดหักจะหายไปเงียบ ๆ ต้องแก้ก่อน</t>
  </si>
  <si>
    <t>3.3 หน้า "อัตราค่าขนส่ง" — ตารางราคา กรอกครั้งเดียว เดือนถัดไปไม่ต้องกรอกซ้ำ</t>
  </si>
  <si>
    <t>ลบ 3 แถวตัวอย่างสีเหลือง (แถว 5-7) ทิ้งก่อน แล้วกรอกจริงตั้งแต่แถวที่ 5</t>
  </si>
  <si>
    <t>1 แถว = 1 ชุดราคา คีย์คือ 5 ช่องแรก: ทีมรถร่วม (A) / เหมืองต้นทาง (B) / ท่าปลายทาง (C) / แบก นน. (D) / ชนิดแร่-หิน (E) — ผูกด้วยชื่อ ไม่ได้ผูกกับลำดับแถว จะสลับแถวก็ได้</t>
  </si>
  <si>
    <t>ทีมเดียวกัน เส้นทางเดียวกัน หินเดียวกัน แต่คนละประเภทแบก นน. ต้องแยกเป็นคนละแถว เพราะคนละราคา</t>
  </si>
  <si>
    <t>3.4 หน้า "สรุปจ่ายรถร่วม" — ยอดจ่ายจริง จุดตรวจสุดท้ายก่อนพิมพ์</t>
  </si>
  <si>
    <t>ทั้งตารางเป็นสูตร ขึ้นให้เองจาก 3 หน้าก่อนหน้า (รายเที่ยว + oil + อัตราค่าขนส่ง)</t>
  </si>
  <si>
    <t>โครงสร้าง: ทีมรถร่วม (แถบฟ้า) &gt; เส้นทาง+ชนิดหิน+แบก นน. ของทีมนั้น &gt; แถว "รวม" ต่อทีม (แถบเขียว) ปิดท้ายด้วย รวมจ่ายทั้งสิ้น</t>
  </si>
  <si>
    <t>คอลัมน์ "ค่าใช้จ่าย" (M) ลงที่แถวรวมของแต่ละทีม มาจากหน้า oil ทั้งหมด ไม่ต้องพิมพ์ซ้ำ (ทีมเดียวมีหลายแถวใน oil ระบบรวมให้เอง)</t>
  </si>
  <si>
    <t>แผงกรอก/ตรวจอยู่ขวาสุด คอลัมน์ BF (เลื่อนผ่านคอลัมน์ที่ซ่อนไว้ไป): ช่อง BF2 = ภาษีหัก ณ ที่จ่าย % (ตั้งไว้ 1.00 แก้ได้)</t>
  </si>
  <si>
    <t>ต้องตรวจ 3 อย่างก่อนพิมพ์: (1) ช่อง BF4 "อัตราที่ยังไม่ได้กรอก" = 0 (2) ช่อง BF8 = "ยอดตันตรงกับรายเที่ยว" (3) กลับไปดูหน้า oil ว่าช่องสรุปขึ้น ปกติ (แปลว่าทุกทีมใน oil มีอยู่ในหน้านี้)</t>
  </si>
  <si>
    <t>ถ้า BF4 ไม่เป็น 0 แปลว่ามีเส้นทาง/ชนิดหิน/ประเภทแบก ที่ยังไม่มีราคาในตารางอัตรา ให้กลับไปเพิ่มแถวในหน้าอัตราค่าขนส่ง | หรือถ้าอยากพิมพ์อัตราลงตรง ๆ ก็ทับสูตรช่อง G/I แถวนั้นได้ (เฉพาะแถวรายการ)</t>
  </si>
  <si>
    <t>3.5 หน้า "ปะหน้าจ่ายรถร่วม" — จดหมายปะหน้า ตัวเลขขึ้นให้เองทั้งหมด</t>
  </si>
  <si>
    <t>ตัวเลขทุกช่องดึงจากแถว "รวม" ของแต่ละทีมในหน้าสรุปจ่ายรถร่วมโดยตรง ห้ามพิมพ์ทับ | นับเฉพาะทีมกลุ่มปกติ (ร้อยเกาะไม่รวม เพราะคนละเครดิต มีปะหน้าของตัวเอง)</t>
  </si>
  <si>
    <t>ที่ต้องกรอกมีแค่แผงช่องเหลืองคอลัมน์ J-K ด้านขวา (แถว 2-30 อยู่นอกพื้นที่พิมพ์): เลขที่หนังสือ / วันที่ / เรียน / เครดิตกี่วัน / ครบกำหนดวันที่ / ชื่อ-ตำแหน่งผู้ลงนาม / สำเนาเรียน / สิ่งที่ส่งมาด้วย 1-12 (เว้นว่างได้ บรรทัดที่ว่างจะไม่แสดง)</t>
  </si>
  <si>
    <t>จำนวนเงินเป็นตัวหนังสือ ต้องพิมพ์เองลงช่อง K17 ทุกเดือน เพราะ Google Sheets ไม่มีฟังก์ชัน BAHTTEXT ให้แปลงอัตโนมัติ (ถ้าไม่พิมพ์ บรรทัดนั้นจะขึ้นข้อความเตือนแทนตัวเลข)</t>
  </si>
  <si>
    <t>ก่อนพิมพ์ดู 2 ช่อง: ช่อง K38 ต้องขึ้น "ยอดตรงกับสรุปจ่ายรถร่วม" และช่อง K36 บอกว่าต้องซ่อนแถวไหน (ตารางสำรองไว้ 40 ทีม ของจริงสูงสุด 30) ให้เลือกแถวนั้น คลิกขวา &gt; Hide จดหมายจะพอดีหน้าทันที</t>
  </si>
  <si>
    <t>4. ข้อจำกัด</t>
  </si>
  <si>
    <t>กรอกได้สูงสุด 3000 เที่ยวต่อไฟล์ และรองรับ 400 กลุ่ม / 700 บรรทัดต่อหน้าสรุป ถ้าเกินให้แยกไฟล์ (ช่องเตือนจะขึ้นให้)</t>
  </si>
  <si>
    <t>Excel กันการก๊อปวางไม่ได้ — การวางจะทับทั้งสูตรและ dropdown เสมอ ไม่ว่าตั้งค่าอย่างไร จึงต้องใช้ Paste Values และอาศัยช่องตรวจ (บันทึกรายเที่ยว O10) จับแทน</t>
  </si>
  <si>
    <t>b1</t>
  </si>
  <si>
    <t>ผลพวงจากข้อ b ที่ต้องระวังที่สุด: ชื่อไม่ match กันข้ามหน้า — ทั้งไฟล์ผูกกันด้วย "ข้อความชื่อ" ไม่ได้ผูกด้วยรหัส ดังนั้นชื่อเดียวกันต้องสะกดเหมือนกันเป๊ะทุกหน้า ไม่งั้นเงียบ ๆ หายไปเลย</t>
  </si>
  <si>
    <t>b2</t>
  </si>
  <si>
    <t>b3</t>
  </si>
  <si>
    <t>อาการเวลาไม่ตรง: ชื่อทีมไม่ตรงกับ oil = ยอดหักค่าน้ำมันของทีมนั้นหายทั้งก้อน | ชื่อเส้นทาง/หิน/แบก ไม่ตรงกับตารางอัตรา = อัตราขึ้น 0 รายได้เป็น 0 | ชื่อทีมแยกก้อนไม่ตรง = ทีมนั้นไปโผล่ในกลุ่มปกติ ทั้งที่คนละเครดิต</t>
  </si>
  <si>
    <t>b4</t>
  </si>
  <si>
    <t>ปัญหาชื่อไม่ตรง มีช่องคอยจับให้ 3 ช่อง อยู่คนละหน้ากัน และจับคนละเรื่องกัน ต้องไล่ดูให้ครบทั้ง 3 ช่อง ผ่านช่องเดียวไม่พอ ตามนี้</t>
  </si>
  <si>
    <t>b5</t>
  </si>
  <si>
    <t>ช่องที่ 1 — หน้า "บันทึกรายเที่ยว" ช่อง O10 (บรรทัดที่เขียนว่า "ชื่อที่ไม่อยู่ในรายการ") ต้องขึ้นเลข 0 | ช่องนี้จับว่ามีชื่อที่ไม่มีอยู่ในหน้ารายการมาตรฐานหลุดเข้ามาไหม ถ้าขึ้นเลขอื่น เช่น 5 แปลว่ามี 5 ช่องที่ชื่อผิด ให้ไล่หาแล้วแก้</t>
  </si>
  <si>
    <t>b6</t>
  </si>
  <si>
    <t>ช่องที่ 2 — หน้า "oil" ช่องขวาสุด บรรทัดที่เขียนว่า "สรุป" ต้องขึ้นคำว่า ปกติ | ช่องนี้จับว่าชื่อทีมที่กรอกในหน้า oil ตรงกับชื่อทีมในหน้าสรุปจ่ายรถร่วมไหม ถ้าไม่ตรง ยอดหักค่าน้ำมันของทีมนั้นจะหายทั้งก้อน</t>
  </si>
  <si>
    <t>b7</t>
  </si>
  <si>
    <t>ช่องที่ 3 — หน้า "สรุปจ่ายรถร่วม" ช่อง BF4 (บรรทัดที่เขียนว่า "อัตราที่ยังไม่ได้กรอก") ต้องขึ้นเลข 0 | ช่องนี้จับว่ามีแถวไหนหาอัตราในตารางอัตราค่าขนส่งไม่เจอบ้าง ถ้าขึ้นเลขอื่น แปลว่าแถวนั้นได้รายได้ 0 บาท</t>
  </si>
  <si>
    <t>พื้นที่พิมพ์ตั้งไว้ 200 บรรทัด (สรุปเหมือง) และ 230 บรรทัด (สรุปจ่ายรถร่วม) ถ้าเดือนนั้นสั้นกว่าจะมีหน้าว่างท้ายเล่ม 1-2 หน้า ถ้ายาวกว่าจะมีแถบเตือนสีแดงขึ้นบนหัวรายงาน แก้โดยคัดลอกช่วงจากช่อง I14 (สรุปเหมือง) หรือ BF10 (สรุปจ่ายรถร่วม) แล้วเลือกช่วงนั้น &gt; Page Layout &gt; Print Area &gt; Set Print Area</t>
  </si>
  <si>
    <t>Excel ซ่อนแถวตามเงื่อนไขเองไม่ได้ หน้าปะหน้าจึงต้องกด Hide เอง 1 ครั้งตามที่ช่อง K36 บอก</t>
  </si>
  <si>
    <t>ห้ามแทรก/ลบคอลัมน์ ห้ามเปลี่ยนชื่อ sheet และห้ามลบคอลัมน์ที่ซ่อนไว้ (Q-AA ในบันทึกรายเที่ยว, J-AH ในสรุปเหมือง, P-BE ในสรุปจ่ายรถร่วม, M-N ในปะหน้า, AF ในหน้า oil) เพราะเป็นตัวขับสูตรทั้งหมด</t>
  </si>
  <si>
    <t>Google Sheets ไม่มีโหมด "คำนวณเมื่อสั่ง" มันคำนวณใหม่ทุกครั้งที่พิมพ์ ไฟล์นี้รองรับ 3000 เที่ยว ถ้าเดือนไหนข้อมูลเยอะแล้วรู้สึกหน่วง ให้ก๊อปวางทีเดียวทั้งก้อน อย่าพิมพ์ทีละช่อง</t>
  </si>
  <si>
    <t>Google Sheets ไม่รับพื้นที่พิมพ์ (Print Area) ที่ตั้งมาจากไฟล์ เวลาจะพิมพ์ต้องเลือกช่วงเองแล้วสั่ง File &gt; Print &gt; Selected cells</t>
  </si>
  <si>
    <t>5. ข้อควรรู้เฉพาะฉบับ Google Sheets</t>
  </si>
  <si>
    <t>ไฟล์นี้ทำมาให้อัปขึ้น Google Sheets โดยเฉพาะ ต่างจากฉบับ Excel 3 จุด อย่าเอาไป 2 ที่สลับกัน เพราะฉบับ Excel เอาขึ้น Google Sheets แล้ว dropdown จะว่างทั้งหมด</t>
  </si>
  <si>
    <t>วิธีอัป: Google Drive &gt; New &gt; File upload เลือกไฟล์นี้ &gt; คลิกขวาที่ไฟล์ &gt; Open with &gt; Google Sheets &gt; แล้ว File &gt; Save as Google Sheets (ถ้าเปิดค้างไว้เป็น .xlsx สูตรบางตัวจะไม่ทำงาน)</t>
  </si>
  <si>
    <t>dropdown ในฉบับนี้อ้างช่วงคงที่ (แถว 2-302 ของหน้ารายการมาตรฐาน) เพิ่มชื่อใหม่ได้ถึงแถว 302 แต่ห้ามพิมพ์เลยจากนั้น เพราะจะไม่ขึ้นใน dropdown</t>
  </si>
  <si>
    <t>ตอน import ครั้งแรก Google Sheets จะคำนวณทั้งไฟล์ 1 รอบ ใช้เวลาสักครู่ ให้รอจนตัวเลขนิ่งก่อนค่อยเริ่มกรอก</t>
  </si>
  <si>
    <t>ตัวเลือก "ปฏิเสธ/เตือน" ของ dropdown Google Sheets เรียกว่า Data validation เหมือนกัน ถ้าเผลอวางทับจนหาย ให้เลือกคอลัมน์นั้น &gt; Data &gt; Data validation &gt; ตั้งช่วงใหม่ตามข้อ c</t>
  </si>
  <si>
    <t>หมายเหตุ: ฝ่ายบัญชีดูแล sheet นี้ — เพิ่มชื่อใหม่ได้โดยพิมพ์ต่อท้ายรายการเดิม (ห้ามแทรก/สลับคอลัมน์ และห้ามเปลี่ยนชื่อ sheet)</t>
  </si>
  <si>
    <t>กรอง: ท่าปลายทาง</t>
  </si>
  <si>
    <t>กรอง: ชนิดแร่/หิน</t>
  </si>
  <si>
    <t>กรอง: ทีมรถร่วม</t>
  </si>
  <si>
    <t>โชคพนา2512</t>
  </si>
  <si>
    <t>บจก.เอสพีเอ 2017</t>
  </si>
  <si>
    <t>โชคพนาไมนิ่ง</t>
  </si>
  <si>
    <t>กงตาก3</t>
  </si>
  <si>
    <t>ท่าทองพารุ่ง</t>
  </si>
  <si>
    <t>แอนไฮไดรต์ 0-30 มม.</t>
  </si>
  <si>
    <t>ไม่แบก นน.</t>
  </si>
  <si>
    <t>คุณธงชัย ชวาลกรณ์กาญจน์</t>
  </si>
  <si>
    <t>ทุ่งใหญ่</t>
  </si>
  <si>
    <t>ปัญจะใหม่ (สุราษฎร์พอร์ทฯ)</t>
  </si>
  <si>
    <t>แอนไฮไดรต์ 0-50 มม.</t>
  </si>
  <si>
    <t>ตาม นน.</t>
  </si>
  <si>
    <t>คุณสาคร ชนะศึก</t>
  </si>
  <si>
    <t>39ศิลาทอง</t>
  </si>
  <si>
    <t>เขา 49</t>
  </si>
  <si>
    <t>เซาเทิร์น (2009)</t>
  </si>
  <si>
    <t>แอนไฮไดรต์คลุก</t>
  </si>
  <si>
    <t>นน. 35.01-40 ตัน</t>
  </si>
  <si>
    <t>คุณประวิทย์ นาคบรรพ์ (ป.เจริญยนต์นาสาร)</t>
  </si>
  <si>
    <t>ครีเอทีฟ</t>
  </si>
  <si>
    <t>กาญจนดิษฐ์</t>
  </si>
  <si>
    <t>ท่าเรือพีซี</t>
  </si>
  <si>
    <t>แอนไฮไดรต์ฝุ่น</t>
  </si>
  <si>
    <t>นน. 40.01-50 ตันขึ้นไป</t>
  </si>
  <si>
    <t>คุณนิตยา วิเชียรช่วง</t>
  </si>
  <si>
    <t>ท่าเรือกระบี่</t>
  </si>
  <si>
    <t>ยิปซั่ม 2 นิ้ว</t>
  </si>
  <si>
    <t>น้อยกว่าหรือเท่ากับ 35 ตัน</t>
  </si>
  <si>
    <t>บจก.ฟ้าหลังฝน กรุ๊ป</t>
  </si>
  <si>
    <t>ควอลิตี้ (Q-Con สงขลา)</t>
  </si>
  <si>
    <t>ยิปซั่ม 6 นิ้ว</t>
  </si>
  <si>
    <t>น้ำหนัก 35.01-50 ตัน</t>
  </si>
  <si>
    <t>คุณสุรเชษฐ เจียมทวีบุญ</t>
  </si>
  <si>
    <t>บีวีไมนิ่ง</t>
  </si>
  <si>
    <t>ท่าใหม่</t>
  </si>
  <si>
    <t>ยิปซั่ม 0-2 นิ้ว</t>
  </si>
  <si>
    <t>นน 50 ตันขึ้นไป</t>
  </si>
  <si>
    <t>บจก.ไร่วรวรรณ กรุ๊ป 2020</t>
  </si>
  <si>
    <t>ผาทองทุ่งสง</t>
  </si>
  <si>
    <t>แร่ยิปซั่ม</t>
  </si>
  <si>
    <t>นน 40-50 ตัน</t>
  </si>
  <si>
    <t>เเร่ยิปซั่ม 0-2 นิ้ว (BB)</t>
  </si>
  <si>
    <t>คุณธีรวิทย์ ปราบสุวรรณ</t>
  </si>
  <si>
    <t>เเร่ยิปซั่ม 0-2 นิ้ว (CM)</t>
  </si>
  <si>
    <t>หจก.ดีบี ทรานสปอร์ต</t>
  </si>
  <si>
    <t>เเร่ยิปซั่ม 2-4 นิ้ว (BA)</t>
  </si>
  <si>
    <t>บจก.บำรุงภัณฑ์เครื่องชั่ง</t>
  </si>
  <si>
    <t>เเร่ยิปซั่ม 6-10 นิ้ว</t>
  </si>
  <si>
    <t>คุณชนะศักดิ์ วิเชียรวงศ์</t>
  </si>
  <si>
    <t>Gypsum-Grey Cement</t>
  </si>
  <si>
    <t>คุณบรรจบ หีตวัตน์</t>
  </si>
  <si>
    <t>แร่ก้อน</t>
  </si>
  <si>
    <t>หจก.พัฒนกิจโลจิสติกส์ 2019</t>
  </si>
  <si>
    <t>เเร่ก้อน</t>
  </si>
  <si>
    <t>คุณปฐมพร เผือกสวัสดิ์</t>
  </si>
  <si>
    <t>แร่ก้อน(ยิปซั่ม)</t>
  </si>
  <si>
    <t>คุณวรรณโชค ไชยวรรณ์</t>
  </si>
  <si>
    <t>แร่ก้อน(แอนไฮไดร์ต)</t>
  </si>
  <si>
    <t>คุณสุนันทา บัวเพ็ชร</t>
  </si>
  <si>
    <t>หินฝุ่น 0 - 3 มม.</t>
  </si>
  <si>
    <t>คุณสมชาย รักษานุ่น</t>
  </si>
  <si>
    <t>หินฝุ่น 0 - 5 มม.</t>
  </si>
  <si>
    <t>คุณสุรเชษฐ จันทร์พิทักษ์</t>
  </si>
  <si>
    <t>หินฝุ่น 0 - 15 มม.</t>
  </si>
  <si>
    <t>คุณอรอุมา สมบัติแก้ว</t>
  </si>
  <si>
    <t>หินฝุ่น</t>
  </si>
  <si>
    <t>คุณกิตติกร ปิ่นรัตน์</t>
  </si>
  <si>
    <t>หินฝุ่นส่งออก</t>
  </si>
  <si>
    <t>หจก.ชิราพร 89</t>
  </si>
  <si>
    <t>หินฝุ่นBV</t>
  </si>
  <si>
    <t>หินใหญ่ขนาด 20-40 มม.</t>
  </si>
  <si>
    <t>หจก.ซิล แอนด์ เซล คอนสตรัคชั่น</t>
  </si>
  <si>
    <t>หินใหญ่ขนาด 30-80 มม.</t>
  </si>
  <si>
    <t>คุณสิทธิพร นบนอบ</t>
  </si>
  <si>
    <t>หินใหญ่ขนาด 40-80 มม.</t>
  </si>
  <si>
    <t>คุณอริญญา แดงเล็ก</t>
  </si>
  <si>
    <t>หินใหญ่ขนาด 30-40 ซม.</t>
  </si>
  <si>
    <t>บจก.เทพตะวันโลจิสติกส์</t>
  </si>
  <si>
    <t>หินใหญ่ขนาด 0-70 ซม.</t>
  </si>
  <si>
    <t>บจก.รัตนาโลจิสติกส์</t>
  </si>
  <si>
    <t>หินใหญ่ขนาด 60-120ซม</t>
  </si>
  <si>
    <t>คุณภาคภูมิ พลสังข์</t>
  </si>
  <si>
    <t>หินใหญ่ขนาด 200 - 500 Kg ( ทุบ )</t>
  </si>
  <si>
    <t>คุณวัชรพงศ์ วิชัยดิษฐ์</t>
  </si>
  <si>
    <t>หินใหญ่ขนาด 600 - 1200 Kg ( ทุบ )</t>
  </si>
  <si>
    <t>คุณวินิจ ทัตเรณู</t>
  </si>
  <si>
    <t>หินใหญ่วีรวุฒิ</t>
  </si>
  <si>
    <t>คุณอดิศักดิ์ นามสนธิ์</t>
  </si>
  <si>
    <t>หิน 3/4</t>
  </si>
  <si>
    <t>คุณเอกชัย หาญชนะ</t>
  </si>
  <si>
    <t>หิน 3/4 บริจาค</t>
  </si>
  <si>
    <t>คุณวรพจน์ ชุมวรฐายี</t>
  </si>
  <si>
    <t>หิน 3/8</t>
  </si>
  <si>
    <t>บจก.อัครพัฒ ไมนิ่ง</t>
  </si>
  <si>
    <t>หิน 3/8 (w)</t>
  </si>
  <si>
    <t>หจก.อัครการขนส่ง</t>
  </si>
  <si>
    <t>หิน 1/2</t>
  </si>
  <si>
    <t>บจก.สายฟ้า (2013)</t>
  </si>
  <si>
    <t>หิน 20-50 มม.</t>
  </si>
  <si>
    <t>หิน 5-25 มม.</t>
  </si>
  <si>
    <t>หิน 5-40มม</t>
  </si>
  <si>
    <t>หิน 5-8 นิ้ว</t>
  </si>
  <si>
    <t>หิน 0-15mm</t>
  </si>
  <si>
    <t>หิน 40-80 มม.(Undersize)</t>
  </si>
  <si>
    <t>หินใต้ราง(หิน3-8mm.)</t>
  </si>
  <si>
    <t>1.2-1.4 m</t>
  </si>
  <si>
    <t>stone( 1.2-1.4 m)</t>
  </si>
  <si>
    <t>หินคลุก</t>
  </si>
  <si>
    <t>หินคลุก A (บริจาค)</t>
  </si>
  <si>
    <t>หินคลุก B(แทนทราย)</t>
  </si>
  <si>
    <t>หินคลุก C</t>
  </si>
  <si>
    <t>หินคลุก C บริจาค บท.392/67</t>
  </si>
  <si>
    <t>หินคลุก (บริจาค)</t>
  </si>
  <si>
    <t>หินคลุกสหพัฒนา</t>
  </si>
  <si>
    <t>หินปูน</t>
  </si>
  <si>
    <t>หินปูน3/4</t>
  </si>
  <si>
    <t>หินผุเล็ก</t>
  </si>
  <si>
    <t>หินผุใหญ่</t>
  </si>
  <si>
    <t>หินผุวีรวุฒิ</t>
  </si>
  <si>
    <t>หินเข้าโม่</t>
  </si>
  <si>
    <t>หินโอเวอร์ไซส์</t>
  </si>
  <si>
    <t>หินริปแรป</t>
  </si>
  <si>
    <t>ปุ๋ยโดโลไมท์ 80 เมช</t>
  </si>
  <si>
    <t>ปุ๋ยโดโลไมท์ 150 เมช</t>
  </si>
  <si>
    <t>ปุ๋ยโดโลไมท์ 300 เมช</t>
  </si>
  <si>
    <t>ปุ๋ยโดโลไมท์ 325 เมช</t>
  </si>
  <si>
    <t>ปุ๋ยน้ำ bulk</t>
  </si>
  <si>
    <t>แอมโมเนียมไนเตรต</t>
  </si>
  <si>
    <t>ทราย</t>
  </si>
  <si>
    <t>ตะกอนทราย</t>
  </si>
  <si>
    <t>หน้าดิน</t>
  </si>
  <si>
    <t>เศษเหล็ก</t>
  </si>
  <si>
    <t>เหล็กผสมแมงกานิต</t>
  </si>
  <si>
    <t>สายพาน</t>
  </si>
  <si>
    <t>ท่อPVC(เก่า)</t>
  </si>
  <si>
    <t>น้ำมันปาล์ม</t>
  </si>
  <si>
    <t>บริการชั่งน้ำหนัก</t>
  </si>
  <si>
    <t>บริการชั่งน้ำหนักตีกลับ</t>
  </si>
  <si>
    <t>ทดสอบรถ</t>
  </si>
  <si>
    <t>น้ำมันฐานวันทำสัญญา
(บาท/ลิตร)</t>
  </si>
  <si>
    <t>แสดงผลเท่านั้น ถ้าจะแก้ราคาฐาน ให้แก้ที่ X (ขอบล่าง) และ V (ขอบบน)</t>
  </si>
  <si>
    <t>สูตร : อยู่ในช่วง X ถึง V = 0, ต่ำกว่า X = ติดลบ, สูงกว่า V = เป็นบวก</t>
  </si>
  <si>
    <t>แถวที่มีเงื่อนไขปรับตามราคาน้ำมัน ใช้ 4 ช่อง: ราคาน้ำมันฐาน ขอบล่าง (X) / ราคาน้ำมันฐาน ขอบบน (V) / ราคาน้ำมันเฉลี่ย (K) / ปรับค่าขนส่งต่อน้ำมัน 1 บาทต่อลิตร (L) — ช่อง I แสดงช่วงราคาฐานเป็นข้อความให้อ่านเท่านั้น สูตรไม่ได้ใช้</t>
  </si>
  <si>
    <t>ถ้ามีทีมที่จ่ายคนละเครดิต (เช่น ร้อยเกาะ) ใส่ชื่อทีมนั้นในตารางคอลัมน์ Q-R แล้วเลือกกลุ่มจ่าย — หน้าสรุปจะแยกก้อนปิดยอดให้เอง ข้อความบนแถวรวมของแต่ละก้อนแก้ได้ที่คอลัมน์ T-U | ทีมที่ไม่ได้ใส่ = กลุ่มปกติทั้งหมด</t>
  </si>
  <si>
    <t>จุดที่ต้องตรงกัน 3 คู่: (1) ทีมรถร่วม — บันทึกรายเที่ยว (ช่อง F) ต้องตรงกับ oil (ช่อง B) และตรงกับ อัตราค่าขนส่ง (ช่อง A) | (2) ต้นทาง/ปลายทาง/ชนิดหิน/แบก นน. — บันทึกรายเที่ยว (B, C, D, E) ต้องตรงกับ อัตราค่าขนส่ง (B, C, E, D) | (3) ทีมที่จ่ายแยกก้อน — อัตราค่าขนส่ง ช่อง Q ต้องตรงกับชื่อทีมที่ใช้ในรายเที่ยว</t>
  </si>
  <si>
    <t>ค่าขนส่ง ณ ราคาน้ำมันฐาน
(บาท/ตัน)</t>
  </si>
  <si>
    <t>อัตรา ณ</t>
  </si>
  <si>
    <t>น้ำมันฐาน</t>
  </si>
  <si>
    <t>กรอก ระยะทาง (F) และ ค่าขนส่ง ณ ราคาน้ำมันฐาน (J) — ช่อง J คือตัวตั้งที่ใช้คิดอัตราสุทธิ | อัตราค่าขนส่งตามสัญญา (G) กับ น้ำมันฐานวันทำสัญญา (H) เป็นค่าจากสัญญา แสดงให้ดูเท่านั้น ไม่ได้ใช้คิด | อัตราเปลี่ยน หรือกรอกผิด แก้ทับช่องเดิมได้เลย หน้าสรุปคิดใหม่ให้ทันที | มีเส้นทางใหม่ ค่อยเพิ่มแถวต่อท้าย</t>
  </si>
  <si>
    <t>ช่อง W "ส่วนต่างที่ใช้คิด" = ราคาน้ำมันเฉลี่ยเทียบช่วง X ถึง V (อยู่ในช่วง = 0, ต่ำกว่า X = ติดลบ, สูงกว่า V = เป็นบวก) | ช่อง M "ส่วนปรับน้ำมัน" = W x L และช่อง N "อัตราสุทธิที่ใช้จริง" = ค่าขนส่ง ณ ราคาน้ำมันฐาน (J) + ส่วนปรับ ทั้งสามช่องเป็นสูตร ห้ามพิมพ์ทับ | รายได้คิดจากช่อง N เสมอ</t>
  </si>
  <si>
    <t>แถวไหนไม่มีเงื่อนไขน้ำมัน ปล่อย K / L / V / X ว่างไว้ ส่วนปรับจะเป็น 0 และอัตราสุทธิ = ค่าขนส่ง ณ ราคาน้ำมันฐาน</t>
  </si>
  <si>
    <t>มีช่องอัตราให้ดูย้อน 3 ช่อง: อัตรา ณ น้ำมันฐาน (G) / ส่วนปรับน้ำมัน (H) / อัตราสุทธิ (I) — G + H = I เสมอ จะได้ตรวจได้ว่าราคาที่ใช้มาจากไหน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</si>
</sst>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Cordia New"/>
      <family val="2"/>
    </font>
    <font>
      <sz val="14"/>
      <name val="Cordia New"/>
      <family val="2"/>
    </font>
    <font>
      <i/>
      <sz val="13"/>
      <color rgb="FFC00000"/>
      <name val="Cordia New"/>
      <family val="2"/>
    </font>
    <font>
      <b/>
      <sz val="18"/>
      <name val="Cordia New"/>
      <family val="2"/>
    </font>
    <font>
      <b/>
      <sz val="11"/>
      <color rgb="FF1F4E79"/>
      <name val="Cordia New"/>
      <family val="2"/>
    </font>
    <font>
      <b/>
      <sz val="14"/>
      <name val="Cordia New"/>
      <family val="2"/>
    </font>
    <font>
      <sz val="9"/>
      <color rgb="FF999999"/>
      <name val="Cordia New"/>
      <family val="2"/>
    </font>
    <font>
      <b/>
      <sz val="14"/>
      <color rgb="FFC00000"/>
      <name val="Cordia New"/>
      <family val="2"/>
    </font>
    <font>
      <b/>
      <sz val="13"/>
      <name val="Cordia New"/>
      <family val="2"/>
    </font>
    <font>
      <b/>
      <sz val="14"/>
      <color rgb="FF1F4E79"/>
      <name val="Cordia New"/>
      <family val="2"/>
    </font>
    <font>
      <b/>
      <sz val="12"/>
      <color rgb="FF1F4E79"/>
      <name val="Cordia New"/>
      <family val="2"/>
    </font>
    <font>
      <b/>
      <sz val="13"/>
      <color rgb="FFC00000"/>
      <name val="Cordia New"/>
      <family val="2"/>
    </font>
    <font>
      <b/>
      <sz val="15"/>
      <name val="Cordia New"/>
      <family val="2"/>
    </font>
    <font>
      <i/>
      <sz val="12"/>
      <color rgb="FF808080"/>
      <name val="Cordia New"/>
      <family val="2"/>
    </font>
    <font>
      <b/>
      <sz val="12"/>
      <color rgb="FFC00000"/>
      <name val="Cordia New"/>
      <family val="2"/>
    </font>
    <font>
      <b/>
      <sz val="12"/>
      <color rgb="FF2E75B6"/>
      <name val="Cordia New"/>
      <family val="2"/>
    </font>
    <font>
      <b/>
      <sz val="16"/>
      <name val="Cordia New"/>
      <family val="2"/>
    </font>
    <font>
      <b/>
      <sz val="14"/>
      <color rgb="FF2E75B6"/>
      <name val="Cordia New"/>
      <family val="2"/>
    </font>
    <font>
      <sz val="11"/>
      <name val="Cordia New"/>
      <family val="2"/>
    </font>
    <font>
      <i/>
      <sz val="12"/>
      <color rgb="FF1F4E79"/>
      <name val="Cordia New"/>
      <family val="2"/>
    </font>
    <font>
      <b/>
      <sz val="16"/>
      <color rgb="FF1F4E79"/>
      <name val="Cordia New"/>
      <family val="2"/>
    </font>
    <font>
      <b/>
      <sz val="13"/>
      <color rgb="FF1F4E79"/>
      <name val="Cordia New"/>
      <family val="2"/>
    </font>
    <font>
      <b/>
      <sz val="11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2" fillId="3" borderId="1" xfId="0" applyFont="1" applyFill="1" applyBorder="1"/>
    <xf numFmtId="0" fontId="0" fillId="3" borderId="1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6" fillId="3" borderId="1" xfId="0" applyNumberFormat="1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6" fillId="3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0" borderId="0" xfId="0" applyFont="1"/>
    <xf numFmtId="0" fontId="10" fillId="5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11" fillId="0" borderId="0" xfId="0" applyFont="1"/>
    <xf numFmtId="0" fontId="6" fillId="4" borderId="1" xfId="0" applyFont="1" applyFill="1" applyBorder="1"/>
    <xf numFmtId="4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14" fillId="0" borderId="0" xfId="0" applyFont="1"/>
    <xf numFmtId="0" fontId="2" fillId="3" borderId="0" xfId="0" applyFont="1" applyFill="1"/>
    <xf numFmtId="0" fontId="10" fillId="3" borderId="1" xfId="0" applyFont="1" applyFill="1" applyBorder="1" applyAlignment="1">
      <alignment horizontal="left" vertical="center"/>
    </xf>
    <xf numFmtId="0" fontId="0" fillId="3" borderId="0" xfId="0" applyFill="1"/>
    <xf numFmtId="3" fontId="2" fillId="0" borderId="0" xfId="0" applyNumberFormat="1" applyFont="1"/>
    <xf numFmtId="4" fontId="2" fillId="0" borderId="0" xfId="0" applyNumberFormat="1" applyFont="1"/>
    <xf numFmtId="0" fontId="10" fillId="6" borderId="0" xfId="0" applyFont="1" applyFill="1"/>
    <xf numFmtId="0" fontId="15" fillId="0" borderId="0" xfId="0" applyFont="1"/>
    <xf numFmtId="0" fontId="1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/>
    </xf>
    <xf numFmtId="0" fontId="18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8" fillId="3" borderId="1" xfId="0" applyFont="1" applyFill="1" applyBorder="1"/>
    <xf numFmtId="164" fontId="2" fillId="0" borderId="0" xfId="0" applyNumberFormat="1" applyFont="1"/>
    <xf numFmtId="0" fontId="19" fillId="0" borderId="0" xfId="0" applyFont="1"/>
    <xf numFmtId="0" fontId="20" fillId="0" borderId="0" xfId="0" applyFont="1"/>
    <xf numFmtId="4" fontId="2" fillId="3" borderId="1" xfId="0" applyNumberFormat="1" applyFont="1" applyFill="1" applyBorder="1"/>
    <xf numFmtId="4" fontId="2" fillId="4" borderId="1" xfId="0" applyNumberFormat="1" applyFont="1" applyFill="1" applyBorder="1"/>
    <xf numFmtId="0" fontId="21" fillId="5" borderId="0" xfId="0" applyFont="1" applyFill="1"/>
    <xf numFmtId="0" fontId="22" fillId="7" borderId="0" xfId="0" applyFont="1" applyFill="1"/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4" fontId="2" fillId="8" borderId="1" xfId="0" applyNumberFormat="1" applyFont="1" applyFill="1" applyBorder="1" applyAlignment="1">
      <alignment horizontal="right"/>
    </xf>
    <xf numFmtId="4" fontId="2" fillId="8" borderId="1" xfId="0" applyNumberFormat="1" applyFont="1" applyFill="1" applyBorder="1"/>
    <xf numFmtId="0" fontId="23" fillId="9" borderId="0" xfId="0" applyFont="1" applyFill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17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A10005"/>
  <sheetViews>
    <sheetView workbookViewId="0">
      <pane ySplit="5" topLeftCell="A6" activePane="bottomLeft" state="frozen"/>
      <selection pane="bottomLeft" activeCell="A3006" sqref="A3006:XFD6005"/>
    </sheetView>
  </sheetViews>
  <sheetFormatPr defaultRowHeight="14.25" x14ac:dyDescent="0.45"/>
  <cols>
    <col min="1" max="1" width="12" customWidth="1"/>
    <col min="2" max="2" width="15" customWidth="1"/>
    <col min="3" max="3" width="24" customWidth="1"/>
    <col min="4" max="4" width="21" customWidth="1"/>
    <col min="5" max="5" width="26" customWidth="1"/>
    <col min="6" max="6" width="32" customWidth="1"/>
    <col min="7" max="7" width="14" customWidth="1"/>
    <col min="8" max="8" width="13" customWidth="1"/>
    <col min="9" max="9" width="12" customWidth="1"/>
    <col min="10" max="12" width="14" customWidth="1"/>
    <col min="13" max="13" width="17" customWidth="1"/>
    <col min="14" max="15" width="30" customWidth="1"/>
    <col min="17" max="27" width="13" hidden="1" customWidth="1"/>
  </cols>
  <sheetData>
    <row r="1" spans="1:27" ht="25.9" customHeight="1" x14ac:dyDescent="1.05">
      <c r="A1" s="1" t="s">
        <v>32</v>
      </c>
    </row>
    <row r="2" spans="1:27" ht="19.5" customHeight="1" x14ac:dyDescent="0.85">
      <c r="A2" s="2" t="s">
        <v>33</v>
      </c>
    </row>
    <row r="3" spans="1:27" ht="21" customHeight="1" x14ac:dyDescent="0.95">
      <c r="A3" s="3" t="s">
        <v>34</v>
      </c>
      <c r="B3" s="4" t="s">
        <v>35</v>
      </c>
      <c r="C3" s="3" t="s">
        <v>36</v>
      </c>
      <c r="D3" s="5"/>
      <c r="E3" s="3" t="s">
        <v>37</v>
      </c>
      <c r="F3" s="4" t="s">
        <v>38</v>
      </c>
    </row>
    <row r="4" spans="1:27" ht="19.899999999999999" customHeight="1" x14ac:dyDescent="0.8">
      <c r="A4" s="6" t="s">
        <v>39</v>
      </c>
      <c r="N4" s="3" t="s">
        <v>40</v>
      </c>
    </row>
    <row r="5" spans="1:27" ht="34.049999999999997" customHeight="1" x14ac:dyDescent="0.95">
      <c r="A5" s="7" t="s">
        <v>41</v>
      </c>
      <c r="B5" s="7" t="s">
        <v>7</v>
      </c>
      <c r="C5" s="7" t="s">
        <v>8</v>
      </c>
      <c r="D5" s="7" t="s">
        <v>10</v>
      </c>
      <c r="E5" s="7" t="s">
        <v>9</v>
      </c>
      <c r="F5" s="7" t="s">
        <v>6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  <c r="N5" s="8" t="s">
        <v>49</v>
      </c>
      <c r="O5" s="9">
        <f>COUNTA($A$6:$A$10005)</f>
        <v>0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  <c r="V5" s="10" t="s">
        <v>55</v>
      </c>
      <c r="W5" s="10" t="s">
        <v>56</v>
      </c>
      <c r="X5" s="10">
        <v>0</v>
      </c>
      <c r="Y5" s="10" t="s">
        <v>57</v>
      </c>
      <c r="Z5" s="10" t="s">
        <v>58</v>
      </c>
      <c r="AA5" s="10">
        <v>0</v>
      </c>
    </row>
    <row r="6" spans="1:27" ht="21" customHeight="1" x14ac:dyDescent="0.95">
      <c r="A6" s="11"/>
      <c r="B6" s="4"/>
      <c r="C6" s="4"/>
      <c r="D6" s="4"/>
      <c r="E6" s="11"/>
      <c r="F6" s="4"/>
      <c r="G6" s="4"/>
      <c r="H6" s="11"/>
      <c r="I6" s="11"/>
      <c r="J6" s="12"/>
      <c r="K6" s="12"/>
      <c r="L6" s="13" t="str">
        <f t="shared" ref="L6:L69" si="0">IF(OR($A6="",AND($J6="",$K6="")),"",ROUND(N($J6)-N($K6),2))</f>
        <v/>
      </c>
      <c r="M6" s="13" t="str">
        <f t="shared" ref="M6:M69" si="1">IF(OR($A6="",AND($J6="",$K6="")),"",MIN($J6,$K6))</f>
        <v/>
      </c>
      <c r="N6" s="8" t="s">
        <v>59</v>
      </c>
      <c r="O6" s="14">
        <f>ROUND(SUM($M$6:$M$10005),2)</f>
        <v>0</v>
      </c>
      <c r="Q6" t="str">
        <f t="shared" ref="Q6:Q69" si="2">IF($A6="","",$D6&amp;"("&amp;SUBSTITUTE($E6," ","")&amp;")")</f>
        <v/>
      </c>
      <c r="R6" t="str">
        <f t="shared" ref="R6:R69" si="3">IF($A6="","",$B6&amp;" - "&amp;$C6)</f>
        <v/>
      </c>
      <c r="S6" t="str">
        <f t="shared" ref="S6:S69" si="4">IF($A6="","",$R6&amp;"|"&amp;$Q6)</f>
        <v/>
      </c>
      <c r="T6" t="str">
        <f t="shared" ref="T6:T69" si="5">IF($A6="","",$S6&amp;"|"&amp;$F6)</f>
        <v/>
      </c>
      <c r="U6" t="str">
        <f t="shared" ref="U6:U69" si="6">IF($A6="","",$R6&amp;"("&amp;$E6&amp;")")</f>
        <v/>
      </c>
      <c r="V6" t="str">
        <f t="shared" ref="V6:V69" si="7">IF($A6="","",$F6&amp;"|"&amp;$U6&amp;"|"&amp;$D6)</f>
        <v/>
      </c>
      <c r="W6" t="str">
        <f t="shared" ref="W6:W69" si="8">IF($T6="","",IF($X6&gt;N($X5),$X6,""))</f>
        <v/>
      </c>
      <c r="X6">
        <f>IF($T6="",N($X5),IF(MATCH($T6,$T$6:$T$10005,0)=ROW()-5,N($X5)+1,N($X5)))</f>
        <v>0</v>
      </c>
      <c r="Z6" t="str">
        <f t="shared" ref="Z6:Z69" si="9">IF($V6="","",IF($AA6&gt;N($AA5),$AA6,""))</f>
        <v/>
      </c>
      <c r="AA6">
        <f>IF($V6="",N($AA5),IF(MATCH($V6,$V$6:$V$10005,0)=ROW()-5,N($AA5)+1,N($AA5)))</f>
        <v>0</v>
      </c>
    </row>
    <row r="7" spans="1:27" ht="21" customHeight="1" x14ac:dyDescent="0.95">
      <c r="A7" s="11"/>
      <c r="B7" s="4"/>
      <c r="C7" s="4"/>
      <c r="D7" s="4"/>
      <c r="E7" s="11"/>
      <c r="F7" s="4"/>
      <c r="G7" s="4"/>
      <c r="H7" s="11"/>
      <c r="I7" s="11"/>
      <c r="J7" s="12"/>
      <c r="K7" s="12"/>
      <c r="L7" s="13" t="str">
        <f t="shared" si="0"/>
        <v/>
      </c>
      <c r="M7" s="13" t="str">
        <f t="shared" si="1"/>
        <v/>
      </c>
      <c r="N7" s="8" t="s">
        <v>60</v>
      </c>
      <c r="O7" s="9">
        <f>SUMPRODUCT(--($A$6:$A$10005&lt;&gt;""),--((($B$6:$B$10005="")+($C$6:$C$10005="")+($D$6:$D$10005="")+($E$6:$E$10005="")+($F$6:$F$10005="")+($G$6:$G$10005="")+($M$6:$M$10005=""))&gt;0))</f>
        <v>0</v>
      </c>
      <c r="Q7" t="str">
        <f t="shared" si="2"/>
        <v/>
      </c>
      <c r="R7" t="str">
        <f t="shared" si="3"/>
        <v/>
      </c>
      <c r="S7" t="str">
        <f t="shared" si="4"/>
        <v/>
      </c>
      <c r="T7" t="str">
        <f t="shared" si="5"/>
        <v/>
      </c>
      <c r="U7" t="str">
        <f t="shared" si="6"/>
        <v/>
      </c>
      <c r="V7" t="str">
        <f t="shared" si="7"/>
        <v/>
      </c>
      <c r="W7" t="str">
        <f t="shared" si="8"/>
        <v/>
      </c>
      <c r="X7">
        <f>IF($T7="",N($X6),IF(MATCH($T7,$T$6:$T$10005,0)=ROW()-5,N($X6)+1,N($X6)))</f>
        <v>0</v>
      </c>
      <c r="Z7" t="str">
        <f t="shared" si="9"/>
        <v/>
      </c>
      <c r="AA7">
        <f>IF($V7="",N($AA6),IF(MATCH($V7,$V$6:$V$10005,0)=ROW()-5,N($AA6)+1,N($AA6)))</f>
        <v>0</v>
      </c>
    </row>
    <row r="8" spans="1:27" ht="21" customHeight="1" x14ac:dyDescent="0.95">
      <c r="A8" s="56"/>
      <c r="B8" s="57"/>
      <c r="C8" s="57"/>
      <c r="D8" s="57"/>
      <c r="E8" s="56"/>
      <c r="F8" s="57"/>
      <c r="G8" s="57"/>
      <c r="H8" s="56"/>
      <c r="I8" s="56"/>
      <c r="J8" s="58"/>
      <c r="K8" s="58"/>
      <c r="L8" s="13" t="str">
        <f t="shared" si="0"/>
        <v/>
      </c>
      <c r="M8" s="13" t="str">
        <f t="shared" si="1"/>
        <v/>
      </c>
      <c r="N8" s="8" t="s">
        <v>61</v>
      </c>
      <c r="O8" s="9">
        <f>N($X$10005)</f>
        <v>0</v>
      </c>
      <c r="Q8" t="str">
        <f t="shared" si="2"/>
        <v/>
      </c>
      <c r="R8" t="str">
        <f t="shared" si="3"/>
        <v/>
      </c>
      <c r="S8" t="str">
        <f t="shared" si="4"/>
        <v/>
      </c>
      <c r="T8" t="str">
        <f t="shared" si="5"/>
        <v/>
      </c>
      <c r="U8" t="str">
        <f t="shared" si="6"/>
        <v/>
      </c>
      <c r="V8" t="str">
        <f t="shared" si="7"/>
        <v/>
      </c>
      <c r="W8" t="str">
        <f t="shared" si="8"/>
        <v/>
      </c>
      <c r="X8">
        <f>IF($T8="",N($X7),IF(MATCH($T8,$T$6:$T$10005,0)=ROW()-5,N($X7)+1,N($X7)))</f>
        <v>0</v>
      </c>
      <c r="Z8" t="str">
        <f t="shared" si="9"/>
        <v/>
      </c>
      <c r="AA8">
        <f>IF($V8="",N($AA7),IF(MATCH($V8,$V$6:$V$10005,0)=ROW()-5,N($AA7)+1,N($AA7)))</f>
        <v>0</v>
      </c>
    </row>
    <row r="9" spans="1:27" ht="21" customHeight="1" x14ac:dyDescent="0.95">
      <c r="A9" s="56"/>
      <c r="B9" s="57"/>
      <c r="C9" s="57"/>
      <c r="D9" s="57"/>
      <c r="E9" s="56"/>
      <c r="F9" s="57"/>
      <c r="G9" s="57"/>
      <c r="H9" s="56"/>
      <c r="I9" s="56"/>
      <c r="J9" s="58"/>
      <c r="K9" s="58"/>
      <c r="L9" s="13" t="str">
        <f t="shared" si="0"/>
        <v/>
      </c>
      <c r="M9" s="13" t="str">
        <f t="shared" si="1"/>
        <v/>
      </c>
      <c r="N9" s="8" t="s">
        <v>62</v>
      </c>
      <c r="O9" s="9">
        <f>N($AA$10005)</f>
        <v>0</v>
      </c>
      <c r="Q9" t="str">
        <f t="shared" si="2"/>
        <v/>
      </c>
      <c r="R9" t="str">
        <f t="shared" si="3"/>
        <v/>
      </c>
      <c r="S9" t="str">
        <f t="shared" si="4"/>
        <v/>
      </c>
      <c r="T9" t="str">
        <f t="shared" si="5"/>
        <v/>
      </c>
      <c r="U9" t="str">
        <f t="shared" si="6"/>
        <v/>
      </c>
      <c r="V9" t="str">
        <f t="shared" si="7"/>
        <v/>
      </c>
      <c r="W9" t="str">
        <f t="shared" si="8"/>
        <v/>
      </c>
      <c r="X9">
        <f>IF($T9="",N($X8),IF(MATCH($T9,$T$6:$T$10005,0)=ROW()-5,N($X8)+1,N($X8)))</f>
        <v>0</v>
      </c>
      <c r="Z9" t="str">
        <f t="shared" si="9"/>
        <v/>
      </c>
      <c r="AA9">
        <f>IF($V9="",N($AA8),IF(MATCH($V9,$V$6:$V$10005,0)=ROW()-5,N($AA8)+1,N($AA8)))</f>
        <v>0</v>
      </c>
    </row>
    <row r="10" spans="1:27" ht="21" customHeight="1" x14ac:dyDescent="0.95">
      <c r="A10" s="56"/>
      <c r="B10" s="57"/>
      <c r="C10" s="57"/>
      <c r="D10" s="57"/>
      <c r="E10" s="56"/>
      <c r="F10" s="57"/>
      <c r="G10" s="57"/>
      <c r="H10" s="56"/>
      <c r="I10" s="56"/>
      <c r="J10" s="58"/>
      <c r="K10" s="58"/>
      <c r="L10" s="13" t="str">
        <f t="shared" si="0"/>
        <v/>
      </c>
      <c r="M10" s="13" t="str">
        <f t="shared" si="1"/>
        <v/>
      </c>
      <c r="N10" s="8" t="s">
        <v>63</v>
      </c>
      <c r="O10" s="9">
        <f>SUMPRODUCT(--($B$6:$B$10005&lt;&gt;""),--(COUNTIF(รายการมาตรฐาน!$B$2:$B$302,$B$6:$B$10005)=0))+SUMPRODUCT(--($C$6:$C$10005&lt;&gt;""),--(COUNTIF(รายการมาตรฐาน!$C$2:$C$302,$C$6:$C$10005)=0))+SUMPRODUCT(--($D$6:$D$10005&lt;&gt;""),--(COUNTIF(รายการมาตรฐาน!$D$2:$D$302,$D$6:$D$10005)=0))+SUMPRODUCT(--($E$6:$E$10005&lt;&gt;""),--(COUNTIF(รายการมาตรฐาน!$E$2:$E$302,$E$6:$E$10005)=0))+SUMPRODUCT(--($F$6:$F$10005&lt;&gt;""),--(COUNTIF(รายการมาตรฐาน!$F$2:$F$302,$F$6:$F$10005)=0))+SUMPRODUCT(--($G$6:$G$10005&lt;&gt;""),--(COUNTIF(รายการมาตรฐาน!$A$2:$A$302,$G$6:$G$10005)=0))</f>
        <v>0</v>
      </c>
      <c r="Q10" t="str">
        <f t="shared" si="2"/>
        <v/>
      </c>
      <c r="R10" t="str">
        <f t="shared" si="3"/>
        <v/>
      </c>
      <c r="S10" t="str">
        <f t="shared" si="4"/>
        <v/>
      </c>
      <c r="T10" t="str">
        <f t="shared" si="5"/>
        <v/>
      </c>
      <c r="U10" t="str">
        <f t="shared" si="6"/>
        <v/>
      </c>
      <c r="V10" t="str">
        <f t="shared" si="7"/>
        <v/>
      </c>
      <c r="W10" t="str">
        <f t="shared" si="8"/>
        <v/>
      </c>
      <c r="X10">
        <f>IF($T10="",N($X9),IF(MATCH($T10,$T$6:$T$10005,0)=ROW()-5,N($X9)+1,N($X9)))</f>
        <v>0</v>
      </c>
      <c r="Z10" t="str">
        <f t="shared" si="9"/>
        <v/>
      </c>
      <c r="AA10">
        <f>IF($V10="",N($AA9),IF(MATCH($V10,$V$6:$V$10005,0)=ROW()-5,N($AA9)+1,N($AA9)))</f>
        <v>0</v>
      </c>
    </row>
    <row r="11" spans="1:27" ht="21" customHeight="1" x14ac:dyDescent="0.95">
      <c r="A11" s="56"/>
      <c r="B11" s="57"/>
      <c r="C11" s="57"/>
      <c r="D11" s="57"/>
      <c r="E11" s="56"/>
      <c r="F11" s="57"/>
      <c r="G11" s="57"/>
      <c r="H11" s="56"/>
      <c r="I11" s="56"/>
      <c r="J11" s="58"/>
      <c r="K11" s="58"/>
      <c r="L11" s="13" t="str">
        <f t="shared" si="0"/>
        <v/>
      </c>
      <c r="M11" s="13" t="str">
        <f t="shared" si="1"/>
        <v/>
      </c>
      <c r="N11" s="8" t="s">
        <v>64</v>
      </c>
      <c r="O11" s="17" t="str">
        <f>IF($O$10&gt;0,"*** มีชื่อที่ไม่อยู่ในรายการ — น่าจะเกิดจากการวางทับ ***",IF(OR($O$8&gt;400,$O$9&gt;400),"*** กลุ่มเกิน 400 — แยกไฟล์ ***",IF($O$7&gt;0,"*** มีแถวกรอกไม่ครบ ***","ปกติ")))</f>
        <v>ปกติ</v>
      </c>
      <c r="Q11" t="str">
        <f t="shared" si="2"/>
        <v/>
      </c>
      <c r="R11" t="str">
        <f t="shared" si="3"/>
        <v/>
      </c>
      <c r="S11" t="str">
        <f t="shared" si="4"/>
        <v/>
      </c>
      <c r="T11" t="str">
        <f t="shared" si="5"/>
        <v/>
      </c>
      <c r="U11" t="str">
        <f t="shared" si="6"/>
        <v/>
      </c>
      <c r="V11" t="str">
        <f t="shared" si="7"/>
        <v/>
      </c>
      <c r="W11" t="str">
        <f t="shared" si="8"/>
        <v/>
      </c>
      <c r="X11">
        <f>IF($T11="",N($X10),IF(MATCH($T11,$T$6:$T$10005,0)=ROW()-5,N($X10)+1,N($X10)))</f>
        <v>0</v>
      </c>
      <c r="Z11" t="str">
        <f t="shared" si="9"/>
        <v/>
      </c>
      <c r="AA11">
        <f>IF($V11="",N($AA10),IF(MATCH($V11,$V$6:$V$10005,0)=ROW()-5,N($AA10)+1,N($AA10)))</f>
        <v>0</v>
      </c>
    </row>
    <row r="12" spans="1:27" ht="21" customHeight="1" x14ac:dyDescent="0.95">
      <c r="A12" s="56"/>
      <c r="B12" s="57"/>
      <c r="C12" s="57"/>
      <c r="D12" s="57"/>
      <c r="E12" s="56"/>
      <c r="F12" s="57"/>
      <c r="G12" s="57"/>
      <c r="H12" s="56"/>
      <c r="I12" s="56"/>
      <c r="J12" s="58"/>
      <c r="K12" s="58"/>
      <c r="L12" s="13" t="str">
        <f t="shared" si="0"/>
        <v/>
      </c>
      <c r="M12" s="13" t="str">
        <f t="shared" si="1"/>
        <v/>
      </c>
      <c r="Q12" t="str">
        <f t="shared" si="2"/>
        <v/>
      </c>
      <c r="R12" t="str">
        <f t="shared" si="3"/>
        <v/>
      </c>
      <c r="S12" t="str">
        <f t="shared" si="4"/>
        <v/>
      </c>
      <c r="T12" t="str">
        <f t="shared" si="5"/>
        <v/>
      </c>
      <c r="U12" t="str">
        <f t="shared" si="6"/>
        <v/>
      </c>
      <c r="V12" t="str">
        <f t="shared" si="7"/>
        <v/>
      </c>
      <c r="W12" t="str">
        <f t="shared" si="8"/>
        <v/>
      </c>
      <c r="X12">
        <f>IF($T12="",N($X11),IF(MATCH($T12,$T$6:$T$10005,0)=ROW()-5,N($X11)+1,N($X11)))</f>
        <v>0</v>
      </c>
      <c r="Z12" t="str">
        <f t="shared" si="9"/>
        <v/>
      </c>
      <c r="AA12">
        <f>IF($V12="",N($AA11),IF(MATCH($V12,$V$6:$V$10005,0)=ROW()-5,N($AA11)+1,N($AA11)))</f>
        <v>0</v>
      </c>
    </row>
    <row r="13" spans="1:27" ht="21" customHeight="1" x14ac:dyDescent="0.95">
      <c r="A13" s="56"/>
      <c r="B13" s="57"/>
      <c r="C13" s="57"/>
      <c r="D13" s="57"/>
      <c r="E13" s="56"/>
      <c r="F13" s="57"/>
      <c r="G13" s="57"/>
      <c r="H13" s="56"/>
      <c r="I13" s="56"/>
      <c r="J13" s="58"/>
      <c r="K13" s="58"/>
      <c r="L13" s="13" t="str">
        <f t="shared" si="0"/>
        <v/>
      </c>
      <c r="M13" s="13" t="str">
        <f t="shared" si="1"/>
        <v/>
      </c>
      <c r="Q13" t="str">
        <f t="shared" si="2"/>
        <v/>
      </c>
      <c r="R13" t="str">
        <f t="shared" si="3"/>
        <v/>
      </c>
      <c r="S13" t="str">
        <f t="shared" si="4"/>
        <v/>
      </c>
      <c r="T13" t="str">
        <f t="shared" si="5"/>
        <v/>
      </c>
      <c r="U13" t="str">
        <f t="shared" si="6"/>
        <v/>
      </c>
      <c r="V13" t="str">
        <f t="shared" si="7"/>
        <v/>
      </c>
      <c r="W13" t="str">
        <f t="shared" si="8"/>
        <v/>
      </c>
      <c r="X13">
        <f>IF($T13="",N($X12),IF(MATCH($T13,$T$6:$T$10005,0)=ROW()-5,N($X12)+1,N($X12)))</f>
        <v>0</v>
      </c>
      <c r="Z13" t="str">
        <f t="shared" si="9"/>
        <v/>
      </c>
      <c r="AA13">
        <f>IF($V13="",N($AA12),IF(MATCH($V13,$V$6:$V$10005,0)=ROW()-5,N($AA12)+1,N($AA12)))</f>
        <v>0</v>
      </c>
    </row>
    <row r="14" spans="1:27" ht="21" customHeight="1" x14ac:dyDescent="0.95">
      <c r="A14" s="56"/>
      <c r="B14" s="57"/>
      <c r="C14" s="57"/>
      <c r="D14" s="57"/>
      <c r="E14" s="56"/>
      <c r="F14" s="57"/>
      <c r="G14" s="57"/>
      <c r="H14" s="56"/>
      <c r="I14" s="56"/>
      <c r="J14" s="58"/>
      <c r="K14" s="58"/>
      <c r="L14" s="13" t="str">
        <f t="shared" si="0"/>
        <v/>
      </c>
      <c r="M14" s="13" t="str">
        <f t="shared" si="1"/>
        <v/>
      </c>
      <c r="Q14" t="str">
        <f t="shared" si="2"/>
        <v/>
      </c>
      <c r="R14" t="str">
        <f t="shared" si="3"/>
        <v/>
      </c>
      <c r="S14" t="str">
        <f t="shared" si="4"/>
        <v/>
      </c>
      <c r="T14" t="str">
        <f t="shared" si="5"/>
        <v/>
      </c>
      <c r="U14" t="str">
        <f t="shared" si="6"/>
        <v/>
      </c>
      <c r="V14" t="str">
        <f t="shared" si="7"/>
        <v/>
      </c>
      <c r="W14" t="str">
        <f t="shared" si="8"/>
        <v/>
      </c>
      <c r="X14">
        <f>IF($T14="",N($X13),IF(MATCH($T14,$T$6:$T$10005,0)=ROW()-5,N($X13)+1,N($X13)))</f>
        <v>0</v>
      </c>
      <c r="Z14" t="str">
        <f t="shared" si="9"/>
        <v/>
      </c>
      <c r="AA14">
        <f>IF($V14="",N($AA13),IF(MATCH($V14,$V$6:$V$10005,0)=ROW()-5,N($AA13)+1,N($AA13)))</f>
        <v>0</v>
      </c>
    </row>
    <row r="15" spans="1:27" ht="21" customHeight="1" x14ac:dyDescent="0.95">
      <c r="A15" s="56"/>
      <c r="B15" s="57"/>
      <c r="C15" s="57"/>
      <c r="D15" s="57"/>
      <c r="E15" s="56"/>
      <c r="F15" s="57"/>
      <c r="G15" s="57"/>
      <c r="H15" s="56"/>
      <c r="I15" s="56"/>
      <c r="J15" s="58"/>
      <c r="K15" s="58"/>
      <c r="L15" s="13" t="str">
        <f t="shared" si="0"/>
        <v/>
      </c>
      <c r="M15" s="13" t="str">
        <f t="shared" si="1"/>
        <v/>
      </c>
      <c r="Q15" t="str">
        <f t="shared" si="2"/>
        <v/>
      </c>
      <c r="R15" t="str">
        <f t="shared" si="3"/>
        <v/>
      </c>
      <c r="S15" t="str">
        <f t="shared" si="4"/>
        <v/>
      </c>
      <c r="T15" t="str">
        <f t="shared" si="5"/>
        <v/>
      </c>
      <c r="U15" t="str">
        <f t="shared" si="6"/>
        <v/>
      </c>
      <c r="V15" t="str">
        <f t="shared" si="7"/>
        <v/>
      </c>
      <c r="W15" t="str">
        <f t="shared" si="8"/>
        <v/>
      </c>
      <c r="X15">
        <f>IF($T15="",N($X14),IF(MATCH($T15,$T$6:$T$10005,0)=ROW()-5,N($X14)+1,N($X14)))</f>
        <v>0</v>
      </c>
      <c r="Z15" t="str">
        <f t="shared" si="9"/>
        <v/>
      </c>
      <c r="AA15">
        <f>IF($V15="",N($AA14),IF(MATCH($V15,$V$6:$V$10005,0)=ROW()-5,N($AA14)+1,N($AA14)))</f>
        <v>0</v>
      </c>
    </row>
    <row r="16" spans="1:27" ht="21" customHeight="1" x14ac:dyDescent="0.95">
      <c r="A16" s="56"/>
      <c r="B16" s="57"/>
      <c r="C16" s="57"/>
      <c r="D16" s="57"/>
      <c r="E16" s="56"/>
      <c r="F16" s="57"/>
      <c r="G16" s="57"/>
      <c r="H16" s="56"/>
      <c r="I16" s="56"/>
      <c r="J16" s="58"/>
      <c r="K16" s="58"/>
      <c r="L16" s="13" t="str">
        <f t="shared" si="0"/>
        <v/>
      </c>
      <c r="M16" s="13" t="str">
        <f t="shared" si="1"/>
        <v/>
      </c>
      <c r="Q16" t="str">
        <f t="shared" si="2"/>
        <v/>
      </c>
      <c r="R16" t="str">
        <f t="shared" si="3"/>
        <v/>
      </c>
      <c r="S16" t="str">
        <f t="shared" si="4"/>
        <v/>
      </c>
      <c r="T16" t="str">
        <f t="shared" si="5"/>
        <v/>
      </c>
      <c r="U16" t="str">
        <f t="shared" si="6"/>
        <v/>
      </c>
      <c r="V16" t="str">
        <f t="shared" si="7"/>
        <v/>
      </c>
      <c r="W16" t="str">
        <f t="shared" si="8"/>
        <v/>
      </c>
      <c r="X16">
        <f>IF($T16="",N($X15),IF(MATCH($T16,$T$6:$T$10005,0)=ROW()-5,N($X15)+1,N($X15)))</f>
        <v>0</v>
      </c>
      <c r="Z16" t="str">
        <f t="shared" si="9"/>
        <v/>
      </c>
      <c r="AA16">
        <f>IF($V16="",N($AA15),IF(MATCH($V16,$V$6:$V$10005,0)=ROW()-5,N($AA15)+1,N($AA15)))</f>
        <v>0</v>
      </c>
    </row>
    <row r="17" spans="1:27" ht="21" customHeight="1" x14ac:dyDescent="0.95">
      <c r="A17" s="56"/>
      <c r="B17" s="57"/>
      <c r="C17" s="57"/>
      <c r="D17" s="57"/>
      <c r="E17" s="56"/>
      <c r="F17" s="57"/>
      <c r="G17" s="57"/>
      <c r="H17" s="56"/>
      <c r="I17" s="56"/>
      <c r="J17" s="58"/>
      <c r="K17" s="58"/>
      <c r="L17" s="13" t="str">
        <f t="shared" si="0"/>
        <v/>
      </c>
      <c r="M17" s="13" t="str">
        <f t="shared" si="1"/>
        <v/>
      </c>
      <c r="Q17" t="str">
        <f t="shared" si="2"/>
        <v/>
      </c>
      <c r="R17" t="str">
        <f t="shared" si="3"/>
        <v/>
      </c>
      <c r="S17" t="str">
        <f t="shared" si="4"/>
        <v/>
      </c>
      <c r="T17" t="str">
        <f t="shared" si="5"/>
        <v/>
      </c>
      <c r="U17" t="str">
        <f t="shared" si="6"/>
        <v/>
      </c>
      <c r="V17" t="str">
        <f t="shared" si="7"/>
        <v/>
      </c>
      <c r="W17" t="str">
        <f t="shared" si="8"/>
        <v/>
      </c>
      <c r="X17">
        <f>IF($T17="",N($X16),IF(MATCH($T17,$T$6:$T$10005,0)=ROW()-5,N($X16)+1,N($X16)))</f>
        <v>0</v>
      </c>
      <c r="Z17" t="str">
        <f t="shared" si="9"/>
        <v/>
      </c>
      <c r="AA17">
        <f>IF($V17="",N($AA16),IF(MATCH($V17,$V$6:$V$10005,0)=ROW()-5,N($AA16)+1,N($AA16)))</f>
        <v>0</v>
      </c>
    </row>
    <row r="18" spans="1:27" ht="21" customHeight="1" x14ac:dyDescent="0.95">
      <c r="A18" s="56"/>
      <c r="B18" s="57"/>
      <c r="C18" s="57"/>
      <c r="D18" s="57"/>
      <c r="E18" s="56"/>
      <c r="F18" s="57"/>
      <c r="G18" s="57"/>
      <c r="H18" s="56"/>
      <c r="I18" s="56"/>
      <c r="J18" s="58"/>
      <c r="K18" s="58"/>
      <c r="L18" s="13" t="str">
        <f t="shared" si="0"/>
        <v/>
      </c>
      <c r="M18" s="13" t="str">
        <f t="shared" si="1"/>
        <v/>
      </c>
      <c r="Q18" t="str">
        <f t="shared" si="2"/>
        <v/>
      </c>
      <c r="R18" t="str">
        <f t="shared" si="3"/>
        <v/>
      </c>
      <c r="S18" t="str">
        <f t="shared" si="4"/>
        <v/>
      </c>
      <c r="T18" t="str">
        <f t="shared" si="5"/>
        <v/>
      </c>
      <c r="U18" t="str">
        <f t="shared" si="6"/>
        <v/>
      </c>
      <c r="V18" t="str">
        <f t="shared" si="7"/>
        <v/>
      </c>
      <c r="W18" t="str">
        <f t="shared" si="8"/>
        <v/>
      </c>
      <c r="X18">
        <f>IF($T18="",N($X17),IF(MATCH($T18,$T$6:$T$10005,0)=ROW()-5,N($X17)+1,N($X17)))</f>
        <v>0</v>
      </c>
      <c r="Z18" t="str">
        <f t="shared" si="9"/>
        <v/>
      </c>
      <c r="AA18">
        <f>IF($V18="",N($AA17),IF(MATCH($V18,$V$6:$V$10005,0)=ROW()-5,N($AA17)+1,N($AA17)))</f>
        <v>0</v>
      </c>
    </row>
    <row r="19" spans="1:27" ht="21" customHeight="1" x14ac:dyDescent="0.95">
      <c r="A19" s="56"/>
      <c r="B19" s="57"/>
      <c r="C19" s="57"/>
      <c r="D19" s="57"/>
      <c r="E19" s="56"/>
      <c r="F19" s="57"/>
      <c r="G19" s="57"/>
      <c r="H19" s="56"/>
      <c r="I19" s="56"/>
      <c r="J19" s="58"/>
      <c r="K19" s="58"/>
      <c r="L19" s="13" t="str">
        <f t="shared" si="0"/>
        <v/>
      </c>
      <c r="M19" s="13" t="str">
        <f t="shared" si="1"/>
        <v/>
      </c>
      <c r="Q19" t="str">
        <f t="shared" si="2"/>
        <v/>
      </c>
      <c r="R19" t="str">
        <f t="shared" si="3"/>
        <v/>
      </c>
      <c r="S19" t="str">
        <f t="shared" si="4"/>
        <v/>
      </c>
      <c r="T19" t="str">
        <f t="shared" si="5"/>
        <v/>
      </c>
      <c r="U19" t="str">
        <f t="shared" si="6"/>
        <v/>
      </c>
      <c r="V19" t="str">
        <f t="shared" si="7"/>
        <v/>
      </c>
      <c r="W19" t="str">
        <f t="shared" si="8"/>
        <v/>
      </c>
      <c r="X19">
        <f>IF($T19="",N($X18),IF(MATCH($T19,$T$6:$T$10005,0)=ROW()-5,N($X18)+1,N($X18)))</f>
        <v>0</v>
      </c>
      <c r="Z19" t="str">
        <f t="shared" si="9"/>
        <v/>
      </c>
      <c r="AA19">
        <f>IF($V19="",N($AA18),IF(MATCH($V19,$V$6:$V$10005,0)=ROW()-5,N($AA18)+1,N($AA18)))</f>
        <v>0</v>
      </c>
    </row>
    <row r="20" spans="1:27" ht="21" customHeight="1" x14ac:dyDescent="0.95">
      <c r="A20" s="56"/>
      <c r="B20" s="57"/>
      <c r="C20" s="57"/>
      <c r="D20" s="57"/>
      <c r="E20" s="56"/>
      <c r="F20" s="57"/>
      <c r="G20" s="57"/>
      <c r="H20" s="56"/>
      <c r="I20" s="56"/>
      <c r="J20" s="58"/>
      <c r="K20" s="58"/>
      <c r="L20" s="13" t="str">
        <f t="shared" si="0"/>
        <v/>
      </c>
      <c r="M20" s="13" t="str">
        <f t="shared" si="1"/>
        <v/>
      </c>
      <c r="Q20" t="str">
        <f t="shared" si="2"/>
        <v/>
      </c>
      <c r="R20" t="str">
        <f t="shared" si="3"/>
        <v/>
      </c>
      <c r="S20" t="str">
        <f t="shared" si="4"/>
        <v/>
      </c>
      <c r="T20" t="str">
        <f t="shared" si="5"/>
        <v/>
      </c>
      <c r="U20" t="str">
        <f t="shared" si="6"/>
        <v/>
      </c>
      <c r="V20" t="str">
        <f t="shared" si="7"/>
        <v/>
      </c>
      <c r="W20" t="str">
        <f t="shared" si="8"/>
        <v/>
      </c>
      <c r="X20">
        <f>IF($T20="",N($X19),IF(MATCH($T20,$T$6:$T$10005,0)=ROW()-5,N($X19)+1,N($X19)))</f>
        <v>0</v>
      </c>
      <c r="Z20" t="str">
        <f t="shared" si="9"/>
        <v/>
      </c>
      <c r="AA20">
        <f>IF($V20="",N($AA19),IF(MATCH($V20,$V$6:$V$10005,0)=ROW()-5,N($AA19)+1,N($AA19)))</f>
        <v>0</v>
      </c>
    </row>
    <row r="21" spans="1:27" ht="21" customHeight="1" x14ac:dyDescent="0.95">
      <c r="A21" s="56"/>
      <c r="B21" s="57"/>
      <c r="C21" s="57"/>
      <c r="D21" s="57"/>
      <c r="E21" s="56"/>
      <c r="F21" s="57"/>
      <c r="G21" s="57"/>
      <c r="H21" s="56"/>
      <c r="I21" s="56"/>
      <c r="J21" s="58"/>
      <c r="K21" s="58"/>
      <c r="L21" s="13" t="str">
        <f t="shared" si="0"/>
        <v/>
      </c>
      <c r="M21" s="13" t="str">
        <f t="shared" si="1"/>
        <v/>
      </c>
      <c r="Q21" t="str">
        <f t="shared" si="2"/>
        <v/>
      </c>
      <c r="R21" t="str">
        <f t="shared" si="3"/>
        <v/>
      </c>
      <c r="S21" t="str">
        <f t="shared" si="4"/>
        <v/>
      </c>
      <c r="T21" t="str">
        <f t="shared" si="5"/>
        <v/>
      </c>
      <c r="U21" t="str">
        <f t="shared" si="6"/>
        <v/>
      </c>
      <c r="V21" t="str">
        <f t="shared" si="7"/>
        <v/>
      </c>
      <c r="W21" t="str">
        <f t="shared" si="8"/>
        <v/>
      </c>
      <c r="X21">
        <f>IF($T21="",N($X20),IF(MATCH($T21,$T$6:$T$10005,0)=ROW()-5,N($X20)+1,N($X20)))</f>
        <v>0</v>
      </c>
      <c r="Z21" t="str">
        <f t="shared" si="9"/>
        <v/>
      </c>
      <c r="AA21">
        <f>IF($V21="",N($AA20),IF(MATCH($V21,$V$6:$V$10005,0)=ROW()-5,N($AA20)+1,N($AA20)))</f>
        <v>0</v>
      </c>
    </row>
    <row r="22" spans="1:27" ht="21" customHeight="1" x14ac:dyDescent="0.95">
      <c r="A22" s="56"/>
      <c r="B22" s="57"/>
      <c r="C22" s="57"/>
      <c r="D22" s="57"/>
      <c r="E22" s="56"/>
      <c r="F22" s="57"/>
      <c r="G22" s="57"/>
      <c r="H22" s="56"/>
      <c r="I22" s="56"/>
      <c r="J22" s="58"/>
      <c r="K22" s="58"/>
      <c r="L22" s="13" t="str">
        <f t="shared" si="0"/>
        <v/>
      </c>
      <c r="M22" s="13" t="str">
        <f t="shared" si="1"/>
        <v/>
      </c>
      <c r="Q22" t="str">
        <f t="shared" si="2"/>
        <v/>
      </c>
      <c r="R22" t="str">
        <f t="shared" si="3"/>
        <v/>
      </c>
      <c r="S22" t="str">
        <f t="shared" si="4"/>
        <v/>
      </c>
      <c r="T22" t="str">
        <f t="shared" si="5"/>
        <v/>
      </c>
      <c r="U22" t="str">
        <f t="shared" si="6"/>
        <v/>
      </c>
      <c r="V22" t="str">
        <f t="shared" si="7"/>
        <v/>
      </c>
      <c r="W22" t="str">
        <f t="shared" si="8"/>
        <v/>
      </c>
      <c r="X22">
        <f>IF($T22="",N($X21),IF(MATCH($T22,$T$6:$T$10005,0)=ROW()-5,N($X21)+1,N($X21)))</f>
        <v>0</v>
      </c>
      <c r="Z22" t="str">
        <f t="shared" si="9"/>
        <v/>
      </c>
      <c r="AA22">
        <f>IF($V22="",N($AA21),IF(MATCH($V22,$V$6:$V$10005,0)=ROW()-5,N($AA21)+1,N($AA21)))</f>
        <v>0</v>
      </c>
    </row>
    <row r="23" spans="1:27" ht="21" customHeight="1" x14ac:dyDescent="0.95">
      <c r="A23" s="56"/>
      <c r="B23" s="57"/>
      <c r="C23" s="57"/>
      <c r="D23" s="57"/>
      <c r="E23" s="56"/>
      <c r="F23" s="57"/>
      <c r="G23" s="57"/>
      <c r="H23" s="56"/>
      <c r="I23" s="56"/>
      <c r="J23" s="58"/>
      <c r="K23" s="58"/>
      <c r="L23" s="13" t="str">
        <f t="shared" si="0"/>
        <v/>
      </c>
      <c r="M23" s="13" t="str">
        <f t="shared" si="1"/>
        <v/>
      </c>
      <c r="Q23" t="str">
        <f t="shared" si="2"/>
        <v/>
      </c>
      <c r="R23" t="str">
        <f t="shared" si="3"/>
        <v/>
      </c>
      <c r="S23" t="str">
        <f t="shared" si="4"/>
        <v/>
      </c>
      <c r="T23" t="str">
        <f t="shared" si="5"/>
        <v/>
      </c>
      <c r="U23" t="str">
        <f t="shared" si="6"/>
        <v/>
      </c>
      <c r="V23" t="str">
        <f t="shared" si="7"/>
        <v/>
      </c>
      <c r="W23" t="str">
        <f t="shared" si="8"/>
        <v/>
      </c>
      <c r="X23">
        <f>IF($T23="",N($X22),IF(MATCH($T23,$T$6:$T$10005,0)=ROW()-5,N($X22)+1,N($X22)))</f>
        <v>0</v>
      </c>
      <c r="Z23" t="str">
        <f t="shared" si="9"/>
        <v/>
      </c>
      <c r="AA23">
        <f>IF($V23="",N($AA22),IF(MATCH($V23,$V$6:$V$10005,0)=ROW()-5,N($AA22)+1,N($AA22)))</f>
        <v>0</v>
      </c>
    </row>
    <row r="24" spans="1:27" ht="21" customHeight="1" x14ac:dyDescent="0.95">
      <c r="A24" s="56"/>
      <c r="B24" s="57"/>
      <c r="C24" s="57"/>
      <c r="D24" s="57"/>
      <c r="E24" s="56"/>
      <c r="F24" s="57"/>
      <c r="G24" s="57"/>
      <c r="H24" s="56"/>
      <c r="I24" s="56"/>
      <c r="J24" s="58"/>
      <c r="K24" s="58"/>
      <c r="L24" s="13" t="str">
        <f t="shared" si="0"/>
        <v/>
      </c>
      <c r="M24" s="13" t="str">
        <f t="shared" si="1"/>
        <v/>
      </c>
      <c r="Q24" t="str">
        <f t="shared" si="2"/>
        <v/>
      </c>
      <c r="R24" t="str">
        <f t="shared" si="3"/>
        <v/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t="str">
        <f t="shared" si="8"/>
        <v/>
      </c>
      <c r="X24">
        <f>IF($T24="",N($X23),IF(MATCH($T24,$T$6:$T$10005,0)=ROW()-5,N($X23)+1,N($X23)))</f>
        <v>0</v>
      </c>
      <c r="Z24" t="str">
        <f t="shared" si="9"/>
        <v/>
      </c>
      <c r="AA24">
        <f>IF($V24="",N($AA23),IF(MATCH($V24,$V$6:$V$10005,0)=ROW()-5,N($AA23)+1,N($AA23)))</f>
        <v>0</v>
      </c>
    </row>
    <row r="25" spans="1:27" ht="21" customHeight="1" x14ac:dyDescent="0.95">
      <c r="A25" s="56"/>
      <c r="B25" s="57"/>
      <c r="C25" s="57"/>
      <c r="D25" s="57"/>
      <c r="E25" s="56"/>
      <c r="F25" s="57"/>
      <c r="G25" s="57"/>
      <c r="H25" s="56"/>
      <c r="I25" s="56"/>
      <c r="J25" s="58"/>
      <c r="K25" s="58"/>
      <c r="L25" s="13" t="str">
        <f t="shared" si="0"/>
        <v/>
      </c>
      <c r="M25" s="13" t="str">
        <f t="shared" si="1"/>
        <v/>
      </c>
      <c r="Q25" t="str">
        <f t="shared" si="2"/>
        <v/>
      </c>
      <c r="R25" t="str">
        <f t="shared" si="3"/>
        <v/>
      </c>
      <c r="S25" t="str">
        <f t="shared" si="4"/>
        <v/>
      </c>
      <c r="T25" t="str">
        <f t="shared" si="5"/>
        <v/>
      </c>
      <c r="U25" t="str">
        <f t="shared" si="6"/>
        <v/>
      </c>
      <c r="V25" t="str">
        <f t="shared" si="7"/>
        <v/>
      </c>
      <c r="W25" t="str">
        <f t="shared" si="8"/>
        <v/>
      </c>
      <c r="X25">
        <f>IF($T25="",N($X24),IF(MATCH($T25,$T$6:$T$10005,0)=ROW()-5,N($X24)+1,N($X24)))</f>
        <v>0</v>
      </c>
      <c r="Z25" t="str">
        <f t="shared" si="9"/>
        <v/>
      </c>
      <c r="AA25">
        <f>IF($V25="",N($AA24),IF(MATCH($V25,$V$6:$V$10005,0)=ROW()-5,N($AA24)+1,N($AA24)))</f>
        <v>0</v>
      </c>
    </row>
    <row r="26" spans="1:27" ht="21" customHeight="1" x14ac:dyDescent="0.95">
      <c r="A26" s="56"/>
      <c r="B26" s="57"/>
      <c r="C26" s="57"/>
      <c r="D26" s="57"/>
      <c r="E26" s="56"/>
      <c r="F26" s="57"/>
      <c r="G26" s="57"/>
      <c r="H26" s="56"/>
      <c r="I26" s="56"/>
      <c r="J26" s="58"/>
      <c r="K26" s="58"/>
      <c r="L26" s="13" t="str">
        <f t="shared" si="0"/>
        <v/>
      </c>
      <c r="M26" s="13" t="str">
        <f t="shared" si="1"/>
        <v/>
      </c>
      <c r="Q26" t="str">
        <f t="shared" si="2"/>
        <v/>
      </c>
      <c r="R26" t="str">
        <f t="shared" si="3"/>
        <v/>
      </c>
      <c r="S26" t="str">
        <f t="shared" si="4"/>
        <v/>
      </c>
      <c r="T26" t="str">
        <f t="shared" si="5"/>
        <v/>
      </c>
      <c r="U26" t="str">
        <f t="shared" si="6"/>
        <v/>
      </c>
      <c r="V26" t="str">
        <f t="shared" si="7"/>
        <v/>
      </c>
      <c r="W26" t="str">
        <f t="shared" si="8"/>
        <v/>
      </c>
      <c r="X26">
        <f>IF($T26="",N($X25),IF(MATCH($T26,$T$6:$T$10005,0)=ROW()-5,N($X25)+1,N($X25)))</f>
        <v>0</v>
      </c>
      <c r="Z26" t="str">
        <f t="shared" si="9"/>
        <v/>
      </c>
      <c r="AA26">
        <f>IF($V26="",N($AA25),IF(MATCH($V26,$V$6:$V$10005,0)=ROW()-5,N($AA25)+1,N($AA25)))</f>
        <v>0</v>
      </c>
    </row>
    <row r="27" spans="1:27" ht="21" customHeight="1" x14ac:dyDescent="0.95">
      <c r="A27" s="56"/>
      <c r="B27" s="57"/>
      <c r="C27" s="57"/>
      <c r="D27" s="57"/>
      <c r="E27" s="56"/>
      <c r="F27" s="57"/>
      <c r="G27" s="57"/>
      <c r="H27" s="56"/>
      <c r="I27" s="56"/>
      <c r="J27" s="58"/>
      <c r="K27" s="58"/>
      <c r="L27" s="13" t="str">
        <f t="shared" si="0"/>
        <v/>
      </c>
      <c r="M27" s="13" t="str">
        <f t="shared" si="1"/>
        <v/>
      </c>
      <c r="Q27" t="str">
        <f t="shared" si="2"/>
        <v/>
      </c>
      <c r="R27" t="str">
        <f t="shared" si="3"/>
        <v/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t="str">
        <f t="shared" si="8"/>
        <v/>
      </c>
      <c r="X27">
        <f>IF($T27="",N($X26),IF(MATCH($T27,$T$6:$T$10005,0)=ROW()-5,N($X26)+1,N($X26)))</f>
        <v>0</v>
      </c>
      <c r="Z27" t="str">
        <f t="shared" si="9"/>
        <v/>
      </c>
      <c r="AA27">
        <f>IF($V27="",N($AA26),IF(MATCH($V27,$V$6:$V$10005,0)=ROW()-5,N($AA26)+1,N($AA26)))</f>
        <v>0</v>
      </c>
    </row>
    <row r="28" spans="1:27" ht="21" customHeight="1" x14ac:dyDescent="0.95">
      <c r="A28" s="56"/>
      <c r="B28" s="57"/>
      <c r="C28" s="57"/>
      <c r="D28" s="57"/>
      <c r="E28" s="56"/>
      <c r="F28" s="57"/>
      <c r="G28" s="57"/>
      <c r="H28" s="56"/>
      <c r="I28" s="56"/>
      <c r="J28" s="58"/>
      <c r="K28" s="58"/>
      <c r="L28" s="13" t="str">
        <f t="shared" si="0"/>
        <v/>
      </c>
      <c r="M28" s="13" t="str">
        <f t="shared" si="1"/>
        <v/>
      </c>
      <c r="Q28" t="str">
        <f t="shared" si="2"/>
        <v/>
      </c>
      <c r="R28" t="str">
        <f t="shared" si="3"/>
        <v/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t="str">
        <f t="shared" si="8"/>
        <v/>
      </c>
      <c r="X28">
        <f>IF($T28="",N($X27),IF(MATCH($T28,$T$6:$T$10005,0)=ROW()-5,N($X27)+1,N($X27)))</f>
        <v>0</v>
      </c>
      <c r="Z28" t="str">
        <f t="shared" si="9"/>
        <v/>
      </c>
      <c r="AA28">
        <f>IF($V28="",N($AA27),IF(MATCH($V28,$V$6:$V$10005,0)=ROW()-5,N($AA27)+1,N($AA27)))</f>
        <v>0</v>
      </c>
    </row>
    <row r="29" spans="1:27" ht="21" customHeight="1" x14ac:dyDescent="0.95">
      <c r="A29" s="56"/>
      <c r="B29" s="57"/>
      <c r="C29" s="57"/>
      <c r="D29" s="57"/>
      <c r="E29" s="56"/>
      <c r="F29" s="57"/>
      <c r="G29" s="57"/>
      <c r="H29" s="56"/>
      <c r="I29" s="56"/>
      <c r="J29" s="58"/>
      <c r="K29" s="58"/>
      <c r="L29" s="13" t="str">
        <f t="shared" si="0"/>
        <v/>
      </c>
      <c r="M29" s="13" t="str">
        <f t="shared" si="1"/>
        <v/>
      </c>
      <c r="Q29" t="str">
        <f t="shared" si="2"/>
        <v/>
      </c>
      <c r="R29" t="str">
        <f t="shared" si="3"/>
        <v/>
      </c>
      <c r="S29" t="str">
        <f t="shared" si="4"/>
        <v/>
      </c>
      <c r="T29" t="str">
        <f t="shared" si="5"/>
        <v/>
      </c>
      <c r="U29" t="str">
        <f t="shared" si="6"/>
        <v/>
      </c>
      <c r="V29" t="str">
        <f t="shared" si="7"/>
        <v/>
      </c>
      <c r="W29" t="str">
        <f t="shared" si="8"/>
        <v/>
      </c>
      <c r="X29">
        <f>IF($T29="",N($X28),IF(MATCH($T29,$T$6:$T$10005,0)=ROW()-5,N($X28)+1,N($X28)))</f>
        <v>0</v>
      </c>
      <c r="Z29" t="str">
        <f t="shared" si="9"/>
        <v/>
      </c>
      <c r="AA29">
        <f>IF($V29="",N($AA28),IF(MATCH($V29,$V$6:$V$10005,0)=ROW()-5,N($AA28)+1,N($AA28)))</f>
        <v>0</v>
      </c>
    </row>
    <row r="30" spans="1:27" ht="21" customHeight="1" x14ac:dyDescent="0.95">
      <c r="A30" s="56"/>
      <c r="B30" s="57"/>
      <c r="C30" s="57"/>
      <c r="D30" s="57"/>
      <c r="E30" s="56"/>
      <c r="F30" s="57"/>
      <c r="G30" s="57"/>
      <c r="H30" s="56"/>
      <c r="I30" s="56"/>
      <c r="J30" s="58"/>
      <c r="K30" s="58"/>
      <c r="L30" s="13" t="str">
        <f t="shared" si="0"/>
        <v/>
      </c>
      <c r="M30" s="13" t="str">
        <f t="shared" si="1"/>
        <v/>
      </c>
      <c r="Q30" t="str">
        <f t="shared" si="2"/>
        <v/>
      </c>
      <c r="R30" t="str">
        <f t="shared" si="3"/>
        <v/>
      </c>
      <c r="S30" t="str">
        <f t="shared" si="4"/>
        <v/>
      </c>
      <c r="T30" t="str">
        <f t="shared" si="5"/>
        <v/>
      </c>
      <c r="U30" t="str">
        <f t="shared" si="6"/>
        <v/>
      </c>
      <c r="V30" t="str">
        <f t="shared" si="7"/>
        <v/>
      </c>
      <c r="W30" t="str">
        <f t="shared" si="8"/>
        <v/>
      </c>
      <c r="X30">
        <f>IF($T30="",N($X29),IF(MATCH($T30,$T$6:$T$10005,0)=ROW()-5,N($X29)+1,N($X29)))</f>
        <v>0</v>
      </c>
      <c r="Z30" t="str">
        <f t="shared" si="9"/>
        <v/>
      </c>
      <c r="AA30">
        <f>IF($V30="",N($AA29),IF(MATCH($V30,$V$6:$V$10005,0)=ROW()-5,N($AA29)+1,N($AA29)))</f>
        <v>0</v>
      </c>
    </row>
    <row r="31" spans="1:27" ht="21" customHeight="1" x14ac:dyDescent="0.95">
      <c r="A31" s="56"/>
      <c r="B31" s="57"/>
      <c r="C31" s="57"/>
      <c r="D31" s="57"/>
      <c r="E31" s="56"/>
      <c r="F31" s="57"/>
      <c r="G31" s="57"/>
      <c r="H31" s="56"/>
      <c r="I31" s="56"/>
      <c r="J31" s="58"/>
      <c r="K31" s="58"/>
      <c r="L31" s="13" t="str">
        <f t="shared" si="0"/>
        <v/>
      </c>
      <c r="M31" s="13" t="str">
        <f t="shared" si="1"/>
        <v/>
      </c>
      <c r="Q31" t="str">
        <f t="shared" si="2"/>
        <v/>
      </c>
      <c r="R31" t="str">
        <f t="shared" si="3"/>
        <v/>
      </c>
      <c r="S31" t="str">
        <f t="shared" si="4"/>
        <v/>
      </c>
      <c r="T31" t="str">
        <f t="shared" si="5"/>
        <v/>
      </c>
      <c r="U31" t="str">
        <f t="shared" si="6"/>
        <v/>
      </c>
      <c r="V31" t="str">
        <f t="shared" si="7"/>
        <v/>
      </c>
      <c r="W31" t="str">
        <f t="shared" si="8"/>
        <v/>
      </c>
      <c r="X31">
        <f>IF($T31="",N($X30),IF(MATCH($T31,$T$6:$T$10005,0)=ROW()-5,N($X30)+1,N($X30)))</f>
        <v>0</v>
      </c>
      <c r="Z31" t="str">
        <f t="shared" si="9"/>
        <v/>
      </c>
      <c r="AA31">
        <f>IF($V31="",N($AA30),IF(MATCH($V31,$V$6:$V$10005,0)=ROW()-5,N($AA30)+1,N($AA30)))</f>
        <v>0</v>
      </c>
    </row>
    <row r="32" spans="1:27" ht="21" customHeight="1" x14ac:dyDescent="0.95">
      <c r="A32" s="56"/>
      <c r="B32" s="57"/>
      <c r="C32" s="57"/>
      <c r="D32" s="57"/>
      <c r="E32" s="56"/>
      <c r="F32" s="57"/>
      <c r="G32" s="57"/>
      <c r="H32" s="56"/>
      <c r="I32" s="56"/>
      <c r="J32" s="58"/>
      <c r="K32" s="58"/>
      <c r="L32" s="13" t="str">
        <f t="shared" si="0"/>
        <v/>
      </c>
      <c r="M32" s="13" t="str">
        <f t="shared" si="1"/>
        <v/>
      </c>
      <c r="Q32" t="str">
        <f t="shared" si="2"/>
        <v/>
      </c>
      <c r="R32" t="str">
        <f t="shared" si="3"/>
        <v/>
      </c>
      <c r="S32" t="str">
        <f t="shared" si="4"/>
        <v/>
      </c>
      <c r="T32" t="str">
        <f t="shared" si="5"/>
        <v/>
      </c>
      <c r="U32" t="str">
        <f t="shared" si="6"/>
        <v/>
      </c>
      <c r="V32" t="str">
        <f t="shared" si="7"/>
        <v/>
      </c>
      <c r="W32" t="str">
        <f t="shared" si="8"/>
        <v/>
      </c>
      <c r="X32">
        <f>IF($T32="",N($X31),IF(MATCH($T32,$T$6:$T$10005,0)=ROW()-5,N($X31)+1,N($X31)))</f>
        <v>0</v>
      </c>
      <c r="Z32" t="str">
        <f t="shared" si="9"/>
        <v/>
      </c>
      <c r="AA32">
        <f>IF($V32="",N($AA31),IF(MATCH($V32,$V$6:$V$10005,0)=ROW()-5,N($AA31)+1,N($AA31)))</f>
        <v>0</v>
      </c>
    </row>
    <row r="33" spans="1:27" ht="21" customHeight="1" x14ac:dyDescent="0.95">
      <c r="A33" s="56"/>
      <c r="B33" s="57"/>
      <c r="C33" s="57"/>
      <c r="D33" s="57"/>
      <c r="E33" s="56"/>
      <c r="F33" s="57"/>
      <c r="G33" s="57"/>
      <c r="H33" s="56"/>
      <c r="I33" s="56"/>
      <c r="J33" s="58"/>
      <c r="K33" s="58"/>
      <c r="L33" s="13" t="str">
        <f t="shared" si="0"/>
        <v/>
      </c>
      <c r="M33" s="13" t="str">
        <f t="shared" si="1"/>
        <v/>
      </c>
      <c r="Q33" t="str">
        <f t="shared" si="2"/>
        <v/>
      </c>
      <c r="R33" t="str">
        <f t="shared" si="3"/>
        <v/>
      </c>
      <c r="S33" t="str">
        <f t="shared" si="4"/>
        <v/>
      </c>
      <c r="T33" t="str">
        <f t="shared" si="5"/>
        <v/>
      </c>
      <c r="U33" t="str">
        <f t="shared" si="6"/>
        <v/>
      </c>
      <c r="V33" t="str">
        <f t="shared" si="7"/>
        <v/>
      </c>
      <c r="W33" t="str">
        <f t="shared" si="8"/>
        <v/>
      </c>
      <c r="X33">
        <f>IF($T33="",N($X32),IF(MATCH($T33,$T$6:$T$10005,0)=ROW()-5,N($X32)+1,N($X32)))</f>
        <v>0</v>
      </c>
      <c r="Z33" t="str">
        <f t="shared" si="9"/>
        <v/>
      </c>
      <c r="AA33">
        <f>IF($V33="",N($AA32),IF(MATCH($V33,$V$6:$V$10005,0)=ROW()-5,N($AA32)+1,N($AA32)))</f>
        <v>0</v>
      </c>
    </row>
    <row r="34" spans="1:27" ht="21" customHeight="1" x14ac:dyDescent="0.95">
      <c r="A34" s="56"/>
      <c r="B34" s="57"/>
      <c r="C34" s="57"/>
      <c r="D34" s="57"/>
      <c r="E34" s="56"/>
      <c r="F34" s="57"/>
      <c r="G34" s="57"/>
      <c r="H34" s="56"/>
      <c r="I34" s="56"/>
      <c r="J34" s="58"/>
      <c r="K34" s="58"/>
      <c r="L34" s="13" t="str">
        <f t="shared" si="0"/>
        <v/>
      </c>
      <c r="M34" s="13" t="str">
        <f t="shared" si="1"/>
        <v/>
      </c>
      <c r="Q34" t="str">
        <f t="shared" si="2"/>
        <v/>
      </c>
      <c r="R34" t="str">
        <f t="shared" si="3"/>
        <v/>
      </c>
      <c r="S34" t="str">
        <f t="shared" si="4"/>
        <v/>
      </c>
      <c r="T34" t="str">
        <f t="shared" si="5"/>
        <v/>
      </c>
      <c r="U34" t="str">
        <f t="shared" si="6"/>
        <v/>
      </c>
      <c r="V34" t="str">
        <f t="shared" si="7"/>
        <v/>
      </c>
      <c r="W34" t="str">
        <f t="shared" si="8"/>
        <v/>
      </c>
      <c r="X34">
        <f>IF($T34="",N($X33),IF(MATCH($T34,$T$6:$T$10005,0)=ROW()-5,N($X33)+1,N($X33)))</f>
        <v>0</v>
      </c>
      <c r="Z34" t="str">
        <f t="shared" si="9"/>
        <v/>
      </c>
      <c r="AA34">
        <f>IF($V34="",N($AA33),IF(MATCH($V34,$V$6:$V$10005,0)=ROW()-5,N($AA33)+1,N($AA33)))</f>
        <v>0</v>
      </c>
    </row>
    <row r="35" spans="1:27" ht="21" customHeight="1" x14ac:dyDescent="0.95">
      <c r="A35" s="56"/>
      <c r="B35" s="57"/>
      <c r="C35" s="57"/>
      <c r="D35" s="57"/>
      <c r="E35" s="56"/>
      <c r="F35" s="57"/>
      <c r="G35" s="57"/>
      <c r="H35" s="56"/>
      <c r="I35" s="56"/>
      <c r="J35" s="58"/>
      <c r="K35" s="58"/>
      <c r="L35" s="13" t="str">
        <f t="shared" si="0"/>
        <v/>
      </c>
      <c r="M35" s="13" t="str">
        <f t="shared" si="1"/>
        <v/>
      </c>
      <c r="Q35" t="str">
        <f t="shared" si="2"/>
        <v/>
      </c>
      <c r="R35" t="str">
        <f t="shared" si="3"/>
        <v/>
      </c>
      <c r="S35" t="str">
        <f t="shared" si="4"/>
        <v/>
      </c>
      <c r="T35" t="str">
        <f t="shared" si="5"/>
        <v/>
      </c>
      <c r="U35" t="str">
        <f t="shared" si="6"/>
        <v/>
      </c>
      <c r="V35" t="str">
        <f t="shared" si="7"/>
        <v/>
      </c>
      <c r="W35" t="str">
        <f t="shared" si="8"/>
        <v/>
      </c>
      <c r="X35">
        <f>IF($T35="",N($X34),IF(MATCH($T35,$T$6:$T$10005,0)=ROW()-5,N($X34)+1,N($X34)))</f>
        <v>0</v>
      </c>
      <c r="Z35" t="str">
        <f t="shared" si="9"/>
        <v/>
      </c>
      <c r="AA35">
        <f>IF($V35="",N($AA34),IF(MATCH($V35,$V$6:$V$10005,0)=ROW()-5,N($AA34)+1,N($AA34)))</f>
        <v>0</v>
      </c>
    </row>
    <row r="36" spans="1:27" ht="21" customHeight="1" x14ac:dyDescent="0.95">
      <c r="A36" s="56"/>
      <c r="B36" s="57"/>
      <c r="C36" s="57"/>
      <c r="D36" s="57"/>
      <c r="E36" s="56"/>
      <c r="F36" s="57"/>
      <c r="G36" s="57"/>
      <c r="H36" s="56"/>
      <c r="I36" s="56"/>
      <c r="J36" s="58"/>
      <c r="K36" s="58"/>
      <c r="L36" s="13" t="str">
        <f t="shared" si="0"/>
        <v/>
      </c>
      <c r="M36" s="13" t="str">
        <f t="shared" si="1"/>
        <v/>
      </c>
      <c r="Q36" t="str">
        <f t="shared" si="2"/>
        <v/>
      </c>
      <c r="R36" t="str">
        <f t="shared" si="3"/>
        <v/>
      </c>
      <c r="S36" t="str">
        <f t="shared" si="4"/>
        <v/>
      </c>
      <c r="T36" t="str">
        <f t="shared" si="5"/>
        <v/>
      </c>
      <c r="U36" t="str">
        <f t="shared" si="6"/>
        <v/>
      </c>
      <c r="V36" t="str">
        <f t="shared" si="7"/>
        <v/>
      </c>
      <c r="W36" t="str">
        <f t="shared" si="8"/>
        <v/>
      </c>
      <c r="X36">
        <f>IF($T36="",N($X35),IF(MATCH($T36,$T$6:$T$10005,0)=ROW()-5,N($X35)+1,N($X35)))</f>
        <v>0</v>
      </c>
      <c r="Z36" t="str">
        <f t="shared" si="9"/>
        <v/>
      </c>
      <c r="AA36">
        <f>IF($V36="",N($AA35),IF(MATCH($V36,$V$6:$V$10005,0)=ROW()-5,N($AA35)+1,N($AA35)))</f>
        <v>0</v>
      </c>
    </row>
    <row r="37" spans="1:27" ht="21" customHeight="1" x14ac:dyDescent="0.95">
      <c r="A37" s="56"/>
      <c r="B37" s="57"/>
      <c r="C37" s="57"/>
      <c r="D37" s="57"/>
      <c r="E37" s="56"/>
      <c r="F37" s="57"/>
      <c r="G37" s="57"/>
      <c r="H37" s="56"/>
      <c r="I37" s="56"/>
      <c r="J37" s="58"/>
      <c r="K37" s="58"/>
      <c r="L37" s="13" t="str">
        <f t="shared" si="0"/>
        <v/>
      </c>
      <c r="M37" s="13" t="str">
        <f t="shared" si="1"/>
        <v/>
      </c>
      <c r="Q37" t="str">
        <f t="shared" si="2"/>
        <v/>
      </c>
      <c r="R37" t="str">
        <f t="shared" si="3"/>
        <v/>
      </c>
      <c r="S37" t="str">
        <f t="shared" si="4"/>
        <v/>
      </c>
      <c r="T37" t="str">
        <f t="shared" si="5"/>
        <v/>
      </c>
      <c r="U37" t="str">
        <f t="shared" si="6"/>
        <v/>
      </c>
      <c r="V37" t="str">
        <f t="shared" si="7"/>
        <v/>
      </c>
      <c r="W37" t="str">
        <f t="shared" si="8"/>
        <v/>
      </c>
      <c r="X37">
        <f>IF($T37="",N($X36),IF(MATCH($T37,$T$6:$T$10005,0)=ROW()-5,N($X36)+1,N($X36)))</f>
        <v>0</v>
      </c>
      <c r="Z37" t="str">
        <f t="shared" si="9"/>
        <v/>
      </c>
      <c r="AA37">
        <f>IF($V37="",N($AA36),IF(MATCH($V37,$V$6:$V$10005,0)=ROW()-5,N($AA36)+1,N($AA36)))</f>
        <v>0</v>
      </c>
    </row>
    <row r="38" spans="1:27" ht="21" customHeight="1" x14ac:dyDescent="0.95">
      <c r="A38" s="56"/>
      <c r="B38" s="57"/>
      <c r="C38" s="57"/>
      <c r="D38" s="57"/>
      <c r="E38" s="56"/>
      <c r="F38" s="57"/>
      <c r="G38" s="57"/>
      <c r="H38" s="56"/>
      <c r="I38" s="56"/>
      <c r="J38" s="58"/>
      <c r="K38" s="58"/>
      <c r="L38" s="13" t="str">
        <f t="shared" si="0"/>
        <v/>
      </c>
      <c r="M38" s="13" t="str">
        <f t="shared" si="1"/>
        <v/>
      </c>
      <c r="Q38" t="str">
        <f t="shared" si="2"/>
        <v/>
      </c>
      <c r="R38" t="str">
        <f t="shared" si="3"/>
        <v/>
      </c>
      <c r="S38" t="str">
        <f t="shared" si="4"/>
        <v/>
      </c>
      <c r="T38" t="str">
        <f t="shared" si="5"/>
        <v/>
      </c>
      <c r="U38" t="str">
        <f t="shared" si="6"/>
        <v/>
      </c>
      <c r="V38" t="str">
        <f t="shared" si="7"/>
        <v/>
      </c>
      <c r="W38" t="str">
        <f t="shared" si="8"/>
        <v/>
      </c>
      <c r="X38">
        <f>IF($T38="",N($X37),IF(MATCH($T38,$T$6:$T$10005,0)=ROW()-5,N($X37)+1,N($X37)))</f>
        <v>0</v>
      </c>
      <c r="Z38" t="str">
        <f t="shared" si="9"/>
        <v/>
      </c>
      <c r="AA38">
        <f>IF($V38="",N($AA37),IF(MATCH($V38,$V$6:$V$10005,0)=ROW()-5,N($AA37)+1,N($AA37)))</f>
        <v>0</v>
      </c>
    </row>
    <row r="39" spans="1:27" ht="21" customHeight="1" x14ac:dyDescent="0.95">
      <c r="A39" s="56"/>
      <c r="B39" s="57"/>
      <c r="C39" s="57"/>
      <c r="D39" s="57"/>
      <c r="E39" s="56"/>
      <c r="F39" s="57"/>
      <c r="G39" s="57"/>
      <c r="H39" s="56"/>
      <c r="I39" s="56"/>
      <c r="J39" s="58"/>
      <c r="K39" s="58"/>
      <c r="L39" s="13" t="str">
        <f t="shared" si="0"/>
        <v/>
      </c>
      <c r="M39" s="13" t="str">
        <f t="shared" si="1"/>
        <v/>
      </c>
      <c r="Q39" t="str">
        <f t="shared" si="2"/>
        <v/>
      </c>
      <c r="R39" t="str">
        <f t="shared" si="3"/>
        <v/>
      </c>
      <c r="S39" t="str">
        <f t="shared" si="4"/>
        <v/>
      </c>
      <c r="T39" t="str">
        <f t="shared" si="5"/>
        <v/>
      </c>
      <c r="U39" t="str">
        <f t="shared" si="6"/>
        <v/>
      </c>
      <c r="V39" t="str">
        <f t="shared" si="7"/>
        <v/>
      </c>
      <c r="W39" t="str">
        <f t="shared" si="8"/>
        <v/>
      </c>
      <c r="X39">
        <f>IF($T39="",N($X38),IF(MATCH($T39,$T$6:$T$10005,0)=ROW()-5,N($X38)+1,N($X38)))</f>
        <v>0</v>
      </c>
      <c r="Z39" t="str">
        <f t="shared" si="9"/>
        <v/>
      </c>
      <c r="AA39">
        <f>IF($V39="",N($AA38),IF(MATCH($V39,$V$6:$V$10005,0)=ROW()-5,N($AA38)+1,N($AA38)))</f>
        <v>0</v>
      </c>
    </row>
    <row r="40" spans="1:27" ht="21" customHeight="1" x14ac:dyDescent="0.95">
      <c r="A40" s="56"/>
      <c r="B40" s="57"/>
      <c r="C40" s="57"/>
      <c r="D40" s="57"/>
      <c r="E40" s="56"/>
      <c r="F40" s="57"/>
      <c r="G40" s="57"/>
      <c r="H40" s="56"/>
      <c r="I40" s="56"/>
      <c r="J40" s="58"/>
      <c r="K40" s="58"/>
      <c r="L40" s="13" t="str">
        <f t="shared" si="0"/>
        <v/>
      </c>
      <c r="M40" s="13" t="str">
        <f t="shared" si="1"/>
        <v/>
      </c>
      <c r="Q40" t="str">
        <f t="shared" si="2"/>
        <v/>
      </c>
      <c r="R40" t="str">
        <f t="shared" si="3"/>
        <v/>
      </c>
      <c r="S40" t="str">
        <f t="shared" si="4"/>
        <v/>
      </c>
      <c r="T40" t="str">
        <f t="shared" si="5"/>
        <v/>
      </c>
      <c r="U40" t="str">
        <f t="shared" si="6"/>
        <v/>
      </c>
      <c r="V40" t="str">
        <f t="shared" si="7"/>
        <v/>
      </c>
      <c r="W40" t="str">
        <f t="shared" si="8"/>
        <v/>
      </c>
      <c r="X40">
        <f>IF($T40="",N($X39),IF(MATCH($T40,$T$6:$T$10005,0)=ROW()-5,N($X39)+1,N($X39)))</f>
        <v>0</v>
      </c>
      <c r="Z40" t="str">
        <f t="shared" si="9"/>
        <v/>
      </c>
      <c r="AA40">
        <f>IF($V40="",N($AA39),IF(MATCH($V40,$V$6:$V$10005,0)=ROW()-5,N($AA39)+1,N($AA39)))</f>
        <v>0</v>
      </c>
    </row>
    <row r="41" spans="1:27" ht="21" customHeight="1" x14ac:dyDescent="0.95">
      <c r="A41" s="56"/>
      <c r="B41" s="57"/>
      <c r="C41" s="57"/>
      <c r="D41" s="57"/>
      <c r="E41" s="56"/>
      <c r="F41" s="57"/>
      <c r="G41" s="57"/>
      <c r="H41" s="56"/>
      <c r="I41" s="56"/>
      <c r="J41" s="58"/>
      <c r="K41" s="58"/>
      <c r="L41" s="13" t="str">
        <f t="shared" si="0"/>
        <v/>
      </c>
      <c r="M41" s="13" t="str">
        <f t="shared" si="1"/>
        <v/>
      </c>
      <c r="Q41" t="str">
        <f t="shared" si="2"/>
        <v/>
      </c>
      <c r="R41" t="str">
        <f t="shared" si="3"/>
        <v/>
      </c>
      <c r="S41" t="str">
        <f t="shared" si="4"/>
        <v/>
      </c>
      <c r="T41" t="str">
        <f t="shared" si="5"/>
        <v/>
      </c>
      <c r="U41" t="str">
        <f t="shared" si="6"/>
        <v/>
      </c>
      <c r="V41" t="str">
        <f t="shared" si="7"/>
        <v/>
      </c>
      <c r="W41" t="str">
        <f t="shared" si="8"/>
        <v/>
      </c>
      <c r="X41">
        <f>IF($T41="",N($X40),IF(MATCH($T41,$T$6:$T$10005,0)=ROW()-5,N($X40)+1,N($X40)))</f>
        <v>0</v>
      </c>
      <c r="Z41" t="str">
        <f t="shared" si="9"/>
        <v/>
      </c>
      <c r="AA41">
        <f>IF($V41="",N($AA40),IF(MATCH($V41,$V$6:$V$10005,0)=ROW()-5,N($AA40)+1,N($AA40)))</f>
        <v>0</v>
      </c>
    </row>
    <row r="42" spans="1:27" ht="21" customHeight="1" x14ac:dyDescent="0.95">
      <c r="A42" s="56"/>
      <c r="B42" s="57"/>
      <c r="C42" s="57"/>
      <c r="D42" s="57"/>
      <c r="E42" s="56"/>
      <c r="F42" s="57"/>
      <c r="G42" s="57"/>
      <c r="H42" s="56"/>
      <c r="I42" s="56"/>
      <c r="J42" s="58"/>
      <c r="K42" s="58"/>
      <c r="L42" s="13" t="str">
        <f t="shared" si="0"/>
        <v/>
      </c>
      <c r="M42" s="13" t="str">
        <f t="shared" si="1"/>
        <v/>
      </c>
      <c r="Q42" t="str">
        <f t="shared" si="2"/>
        <v/>
      </c>
      <c r="R42" t="str">
        <f t="shared" si="3"/>
        <v/>
      </c>
      <c r="S42" t="str">
        <f t="shared" si="4"/>
        <v/>
      </c>
      <c r="T42" t="str">
        <f t="shared" si="5"/>
        <v/>
      </c>
      <c r="U42" t="str">
        <f t="shared" si="6"/>
        <v/>
      </c>
      <c r="V42" t="str">
        <f t="shared" si="7"/>
        <v/>
      </c>
      <c r="W42" t="str">
        <f t="shared" si="8"/>
        <v/>
      </c>
      <c r="X42">
        <f>IF($T42="",N($X41),IF(MATCH($T42,$T$6:$T$10005,0)=ROW()-5,N($X41)+1,N($X41)))</f>
        <v>0</v>
      </c>
      <c r="Z42" t="str">
        <f t="shared" si="9"/>
        <v/>
      </c>
      <c r="AA42">
        <f>IF($V42="",N($AA41),IF(MATCH($V42,$V$6:$V$10005,0)=ROW()-5,N($AA41)+1,N($AA41)))</f>
        <v>0</v>
      </c>
    </row>
    <row r="43" spans="1:27" ht="21" customHeight="1" x14ac:dyDescent="0.95">
      <c r="A43" s="56"/>
      <c r="B43" s="57"/>
      <c r="C43" s="57"/>
      <c r="D43" s="57"/>
      <c r="E43" s="56"/>
      <c r="F43" s="57"/>
      <c r="G43" s="57"/>
      <c r="H43" s="56"/>
      <c r="I43" s="56"/>
      <c r="J43" s="58"/>
      <c r="K43" s="58"/>
      <c r="L43" s="13" t="str">
        <f t="shared" si="0"/>
        <v/>
      </c>
      <c r="M43" s="13" t="str">
        <f t="shared" si="1"/>
        <v/>
      </c>
      <c r="Q43" t="str">
        <f t="shared" si="2"/>
        <v/>
      </c>
      <c r="R43" t="str">
        <f t="shared" si="3"/>
        <v/>
      </c>
      <c r="S43" t="str">
        <f t="shared" si="4"/>
        <v/>
      </c>
      <c r="T43" t="str">
        <f t="shared" si="5"/>
        <v/>
      </c>
      <c r="U43" t="str">
        <f t="shared" si="6"/>
        <v/>
      </c>
      <c r="V43" t="str">
        <f t="shared" si="7"/>
        <v/>
      </c>
      <c r="W43" t="str">
        <f t="shared" si="8"/>
        <v/>
      </c>
      <c r="X43">
        <f>IF($T43="",N($X42),IF(MATCH($T43,$T$6:$T$10005,0)=ROW()-5,N($X42)+1,N($X42)))</f>
        <v>0</v>
      </c>
      <c r="Z43" t="str">
        <f t="shared" si="9"/>
        <v/>
      </c>
      <c r="AA43">
        <f>IF($V43="",N($AA42),IF(MATCH($V43,$V$6:$V$10005,0)=ROW()-5,N($AA42)+1,N($AA42)))</f>
        <v>0</v>
      </c>
    </row>
    <row r="44" spans="1:27" ht="21" customHeight="1" x14ac:dyDescent="0.95">
      <c r="A44" s="56"/>
      <c r="B44" s="57"/>
      <c r="C44" s="57"/>
      <c r="D44" s="57"/>
      <c r="E44" s="56"/>
      <c r="F44" s="57"/>
      <c r="G44" s="57"/>
      <c r="H44" s="56"/>
      <c r="I44" s="56"/>
      <c r="J44" s="58"/>
      <c r="K44" s="58"/>
      <c r="L44" s="13" t="str">
        <f t="shared" si="0"/>
        <v/>
      </c>
      <c r="M44" s="13" t="str">
        <f t="shared" si="1"/>
        <v/>
      </c>
      <c r="Q44" t="str">
        <f t="shared" si="2"/>
        <v/>
      </c>
      <c r="R44" t="str">
        <f t="shared" si="3"/>
        <v/>
      </c>
      <c r="S44" t="str">
        <f t="shared" si="4"/>
        <v/>
      </c>
      <c r="T44" t="str">
        <f t="shared" si="5"/>
        <v/>
      </c>
      <c r="U44" t="str">
        <f t="shared" si="6"/>
        <v/>
      </c>
      <c r="V44" t="str">
        <f t="shared" si="7"/>
        <v/>
      </c>
      <c r="W44" t="str">
        <f t="shared" si="8"/>
        <v/>
      </c>
      <c r="X44">
        <f>IF($T44="",N($X43),IF(MATCH($T44,$T$6:$T$10005,0)=ROW()-5,N($X43)+1,N($X43)))</f>
        <v>0</v>
      </c>
      <c r="Z44" t="str">
        <f t="shared" si="9"/>
        <v/>
      </c>
      <c r="AA44">
        <f>IF($V44="",N($AA43),IF(MATCH($V44,$V$6:$V$10005,0)=ROW()-5,N($AA43)+1,N($AA43)))</f>
        <v>0</v>
      </c>
    </row>
    <row r="45" spans="1:27" ht="21" customHeight="1" x14ac:dyDescent="0.95">
      <c r="A45" s="56"/>
      <c r="B45" s="57"/>
      <c r="C45" s="57"/>
      <c r="D45" s="57"/>
      <c r="E45" s="56"/>
      <c r="F45" s="57"/>
      <c r="G45" s="57"/>
      <c r="H45" s="56"/>
      <c r="I45" s="56"/>
      <c r="J45" s="58"/>
      <c r="K45" s="58"/>
      <c r="L45" s="13" t="str">
        <f t="shared" si="0"/>
        <v/>
      </c>
      <c r="M45" s="13" t="str">
        <f t="shared" si="1"/>
        <v/>
      </c>
      <c r="Q45" t="str">
        <f t="shared" si="2"/>
        <v/>
      </c>
      <c r="R45" t="str">
        <f t="shared" si="3"/>
        <v/>
      </c>
      <c r="S45" t="str">
        <f t="shared" si="4"/>
        <v/>
      </c>
      <c r="T45" t="str">
        <f t="shared" si="5"/>
        <v/>
      </c>
      <c r="U45" t="str">
        <f t="shared" si="6"/>
        <v/>
      </c>
      <c r="V45" t="str">
        <f t="shared" si="7"/>
        <v/>
      </c>
      <c r="W45" t="str">
        <f t="shared" si="8"/>
        <v/>
      </c>
      <c r="X45">
        <f>IF($T45="",N($X44),IF(MATCH($T45,$T$6:$T$10005,0)=ROW()-5,N($X44)+1,N($X44)))</f>
        <v>0</v>
      </c>
      <c r="Z45" t="str">
        <f t="shared" si="9"/>
        <v/>
      </c>
      <c r="AA45">
        <f>IF($V45="",N($AA44),IF(MATCH($V45,$V$6:$V$10005,0)=ROW()-5,N($AA44)+1,N($AA44)))</f>
        <v>0</v>
      </c>
    </row>
    <row r="46" spans="1:27" ht="21" customHeight="1" x14ac:dyDescent="0.95">
      <c r="A46" s="56"/>
      <c r="B46" s="57"/>
      <c r="C46" s="57"/>
      <c r="D46" s="57"/>
      <c r="E46" s="56"/>
      <c r="F46" s="57"/>
      <c r="G46" s="57"/>
      <c r="H46" s="56"/>
      <c r="I46" s="56"/>
      <c r="J46" s="58"/>
      <c r="K46" s="58"/>
      <c r="L46" s="13" t="str">
        <f t="shared" si="0"/>
        <v/>
      </c>
      <c r="M46" s="13" t="str">
        <f t="shared" si="1"/>
        <v/>
      </c>
      <c r="Q46" t="str">
        <f t="shared" si="2"/>
        <v/>
      </c>
      <c r="R46" t="str">
        <f t="shared" si="3"/>
        <v/>
      </c>
      <c r="S46" t="str">
        <f t="shared" si="4"/>
        <v/>
      </c>
      <c r="T46" t="str">
        <f t="shared" si="5"/>
        <v/>
      </c>
      <c r="U46" t="str">
        <f t="shared" si="6"/>
        <v/>
      </c>
      <c r="V46" t="str">
        <f t="shared" si="7"/>
        <v/>
      </c>
      <c r="W46" t="str">
        <f t="shared" si="8"/>
        <v/>
      </c>
      <c r="X46">
        <f>IF($T46="",N($X45),IF(MATCH($T46,$T$6:$T$10005,0)=ROW()-5,N($X45)+1,N($X45)))</f>
        <v>0</v>
      </c>
      <c r="Z46" t="str">
        <f t="shared" si="9"/>
        <v/>
      </c>
      <c r="AA46">
        <f>IF($V46="",N($AA45),IF(MATCH($V46,$V$6:$V$10005,0)=ROW()-5,N($AA45)+1,N($AA45)))</f>
        <v>0</v>
      </c>
    </row>
    <row r="47" spans="1:27" ht="21" customHeight="1" x14ac:dyDescent="0.95">
      <c r="A47" s="56"/>
      <c r="B47" s="57"/>
      <c r="C47" s="57"/>
      <c r="D47" s="57"/>
      <c r="E47" s="56"/>
      <c r="F47" s="57"/>
      <c r="G47" s="57"/>
      <c r="H47" s="56"/>
      <c r="I47" s="56"/>
      <c r="J47" s="58"/>
      <c r="K47" s="58"/>
      <c r="L47" s="13" t="str">
        <f t="shared" si="0"/>
        <v/>
      </c>
      <c r="M47" s="13" t="str">
        <f t="shared" si="1"/>
        <v/>
      </c>
      <c r="Q47" t="str">
        <f t="shared" si="2"/>
        <v/>
      </c>
      <c r="R47" t="str">
        <f t="shared" si="3"/>
        <v/>
      </c>
      <c r="S47" t="str">
        <f t="shared" si="4"/>
        <v/>
      </c>
      <c r="T47" t="str">
        <f t="shared" si="5"/>
        <v/>
      </c>
      <c r="U47" t="str">
        <f t="shared" si="6"/>
        <v/>
      </c>
      <c r="V47" t="str">
        <f t="shared" si="7"/>
        <v/>
      </c>
      <c r="W47" t="str">
        <f t="shared" si="8"/>
        <v/>
      </c>
      <c r="X47">
        <f>IF($T47="",N($X46),IF(MATCH($T47,$T$6:$T$10005,0)=ROW()-5,N($X46)+1,N($X46)))</f>
        <v>0</v>
      </c>
      <c r="Z47" t="str">
        <f t="shared" si="9"/>
        <v/>
      </c>
      <c r="AA47">
        <f>IF($V47="",N($AA46),IF(MATCH($V47,$V$6:$V$10005,0)=ROW()-5,N($AA46)+1,N($AA46)))</f>
        <v>0</v>
      </c>
    </row>
    <row r="48" spans="1:27" ht="21" customHeight="1" x14ac:dyDescent="0.95">
      <c r="A48" s="56"/>
      <c r="B48" s="57"/>
      <c r="C48" s="57"/>
      <c r="D48" s="57"/>
      <c r="E48" s="56"/>
      <c r="F48" s="57"/>
      <c r="G48" s="57"/>
      <c r="H48" s="56"/>
      <c r="I48" s="56"/>
      <c r="J48" s="58"/>
      <c r="K48" s="58"/>
      <c r="L48" s="13" t="str">
        <f t="shared" si="0"/>
        <v/>
      </c>
      <c r="M48" s="13" t="str">
        <f t="shared" si="1"/>
        <v/>
      </c>
      <c r="Q48" t="str">
        <f t="shared" si="2"/>
        <v/>
      </c>
      <c r="R48" t="str">
        <f t="shared" si="3"/>
        <v/>
      </c>
      <c r="S48" t="str">
        <f t="shared" si="4"/>
        <v/>
      </c>
      <c r="T48" t="str">
        <f t="shared" si="5"/>
        <v/>
      </c>
      <c r="U48" t="str">
        <f t="shared" si="6"/>
        <v/>
      </c>
      <c r="V48" t="str">
        <f t="shared" si="7"/>
        <v/>
      </c>
      <c r="W48" t="str">
        <f t="shared" si="8"/>
        <v/>
      </c>
      <c r="X48">
        <f>IF($T48="",N($X47),IF(MATCH($T48,$T$6:$T$10005,0)=ROW()-5,N($X47)+1,N($X47)))</f>
        <v>0</v>
      </c>
      <c r="Z48" t="str">
        <f t="shared" si="9"/>
        <v/>
      </c>
      <c r="AA48">
        <f>IF($V48="",N($AA47),IF(MATCH($V48,$V$6:$V$10005,0)=ROW()-5,N($AA47)+1,N($AA47)))</f>
        <v>0</v>
      </c>
    </row>
    <row r="49" spans="1:27" ht="21" customHeight="1" x14ac:dyDescent="0.95">
      <c r="A49" s="56"/>
      <c r="B49" s="57"/>
      <c r="C49" s="57"/>
      <c r="D49" s="57"/>
      <c r="E49" s="56"/>
      <c r="F49" s="57"/>
      <c r="G49" s="57"/>
      <c r="H49" s="56"/>
      <c r="I49" s="56"/>
      <c r="J49" s="58"/>
      <c r="K49" s="58"/>
      <c r="L49" s="13" t="str">
        <f t="shared" si="0"/>
        <v/>
      </c>
      <c r="M49" s="13" t="str">
        <f t="shared" si="1"/>
        <v/>
      </c>
      <c r="Q49" t="str">
        <f t="shared" si="2"/>
        <v/>
      </c>
      <c r="R49" t="str">
        <f t="shared" si="3"/>
        <v/>
      </c>
      <c r="S49" t="str">
        <f t="shared" si="4"/>
        <v/>
      </c>
      <c r="T49" t="str">
        <f t="shared" si="5"/>
        <v/>
      </c>
      <c r="U49" t="str">
        <f t="shared" si="6"/>
        <v/>
      </c>
      <c r="V49" t="str">
        <f t="shared" si="7"/>
        <v/>
      </c>
      <c r="W49" t="str">
        <f t="shared" si="8"/>
        <v/>
      </c>
      <c r="X49">
        <f>IF($T49="",N($X48),IF(MATCH($T49,$T$6:$T$10005,0)=ROW()-5,N($X48)+1,N($X48)))</f>
        <v>0</v>
      </c>
      <c r="Z49" t="str">
        <f t="shared" si="9"/>
        <v/>
      </c>
      <c r="AA49">
        <f>IF($V49="",N($AA48),IF(MATCH($V49,$V$6:$V$10005,0)=ROW()-5,N($AA48)+1,N($AA48)))</f>
        <v>0</v>
      </c>
    </row>
    <row r="50" spans="1:27" ht="21" customHeight="1" x14ac:dyDescent="0.95">
      <c r="A50" s="56"/>
      <c r="B50" s="57"/>
      <c r="C50" s="57"/>
      <c r="D50" s="57"/>
      <c r="E50" s="56"/>
      <c r="F50" s="57"/>
      <c r="G50" s="57"/>
      <c r="H50" s="56"/>
      <c r="I50" s="56"/>
      <c r="J50" s="58"/>
      <c r="K50" s="58"/>
      <c r="L50" s="13" t="str">
        <f t="shared" si="0"/>
        <v/>
      </c>
      <c r="M50" s="13" t="str">
        <f t="shared" si="1"/>
        <v/>
      </c>
      <c r="Q50" t="str">
        <f t="shared" si="2"/>
        <v/>
      </c>
      <c r="R50" t="str">
        <f t="shared" si="3"/>
        <v/>
      </c>
      <c r="S50" t="str">
        <f t="shared" si="4"/>
        <v/>
      </c>
      <c r="T50" t="str">
        <f t="shared" si="5"/>
        <v/>
      </c>
      <c r="U50" t="str">
        <f t="shared" si="6"/>
        <v/>
      </c>
      <c r="V50" t="str">
        <f t="shared" si="7"/>
        <v/>
      </c>
      <c r="W50" t="str">
        <f t="shared" si="8"/>
        <v/>
      </c>
      <c r="X50">
        <f>IF($T50="",N($X49),IF(MATCH($T50,$T$6:$T$10005,0)=ROW()-5,N($X49)+1,N($X49)))</f>
        <v>0</v>
      </c>
      <c r="Z50" t="str">
        <f t="shared" si="9"/>
        <v/>
      </c>
      <c r="AA50">
        <f>IF($V50="",N($AA49),IF(MATCH($V50,$V$6:$V$10005,0)=ROW()-5,N($AA49)+1,N($AA49)))</f>
        <v>0</v>
      </c>
    </row>
    <row r="51" spans="1:27" ht="21" customHeight="1" x14ac:dyDescent="0.95">
      <c r="A51" s="56"/>
      <c r="B51" s="57"/>
      <c r="C51" s="57"/>
      <c r="D51" s="57"/>
      <c r="E51" s="56"/>
      <c r="F51" s="57"/>
      <c r="G51" s="57"/>
      <c r="H51" s="56"/>
      <c r="I51" s="56"/>
      <c r="J51" s="58"/>
      <c r="K51" s="58"/>
      <c r="L51" s="13" t="str">
        <f t="shared" si="0"/>
        <v/>
      </c>
      <c r="M51" s="13" t="str">
        <f t="shared" si="1"/>
        <v/>
      </c>
      <c r="Q51" t="str">
        <f t="shared" si="2"/>
        <v/>
      </c>
      <c r="R51" t="str">
        <f t="shared" si="3"/>
        <v/>
      </c>
      <c r="S51" t="str">
        <f t="shared" si="4"/>
        <v/>
      </c>
      <c r="T51" t="str">
        <f t="shared" si="5"/>
        <v/>
      </c>
      <c r="U51" t="str">
        <f t="shared" si="6"/>
        <v/>
      </c>
      <c r="V51" t="str">
        <f t="shared" si="7"/>
        <v/>
      </c>
      <c r="W51" t="str">
        <f t="shared" si="8"/>
        <v/>
      </c>
      <c r="X51">
        <f>IF($T51="",N($X50),IF(MATCH($T51,$T$6:$T$10005,0)=ROW()-5,N($X50)+1,N($X50)))</f>
        <v>0</v>
      </c>
      <c r="Z51" t="str">
        <f t="shared" si="9"/>
        <v/>
      </c>
      <c r="AA51">
        <f>IF($V51="",N($AA50),IF(MATCH($V51,$V$6:$V$10005,0)=ROW()-5,N($AA50)+1,N($AA50)))</f>
        <v>0</v>
      </c>
    </row>
    <row r="52" spans="1:27" ht="21" customHeight="1" x14ac:dyDescent="0.95">
      <c r="A52" s="56"/>
      <c r="B52" s="57"/>
      <c r="C52" s="57"/>
      <c r="D52" s="57"/>
      <c r="E52" s="56"/>
      <c r="F52" s="57"/>
      <c r="G52" s="57"/>
      <c r="H52" s="56"/>
      <c r="I52" s="56"/>
      <c r="J52" s="58"/>
      <c r="K52" s="58"/>
      <c r="L52" s="13" t="str">
        <f t="shared" si="0"/>
        <v/>
      </c>
      <c r="M52" s="13" t="str">
        <f t="shared" si="1"/>
        <v/>
      </c>
      <c r="Q52" t="str">
        <f t="shared" si="2"/>
        <v/>
      </c>
      <c r="R52" t="str">
        <f t="shared" si="3"/>
        <v/>
      </c>
      <c r="S52" t="str">
        <f t="shared" si="4"/>
        <v/>
      </c>
      <c r="T52" t="str">
        <f t="shared" si="5"/>
        <v/>
      </c>
      <c r="U52" t="str">
        <f t="shared" si="6"/>
        <v/>
      </c>
      <c r="V52" t="str">
        <f t="shared" si="7"/>
        <v/>
      </c>
      <c r="W52" t="str">
        <f t="shared" si="8"/>
        <v/>
      </c>
      <c r="X52">
        <f>IF($T52="",N($X51),IF(MATCH($T52,$T$6:$T$10005,0)=ROW()-5,N($X51)+1,N($X51)))</f>
        <v>0</v>
      </c>
      <c r="Z52" t="str">
        <f t="shared" si="9"/>
        <v/>
      </c>
      <c r="AA52">
        <f>IF($V52="",N($AA51),IF(MATCH($V52,$V$6:$V$10005,0)=ROW()-5,N($AA51)+1,N($AA51)))</f>
        <v>0</v>
      </c>
    </row>
    <row r="53" spans="1:27" ht="21" customHeight="1" x14ac:dyDescent="0.95">
      <c r="A53" s="56"/>
      <c r="B53" s="57"/>
      <c r="C53" s="57"/>
      <c r="D53" s="57"/>
      <c r="E53" s="56"/>
      <c r="F53" s="57"/>
      <c r="G53" s="57"/>
      <c r="H53" s="56"/>
      <c r="I53" s="56"/>
      <c r="J53" s="58"/>
      <c r="K53" s="58"/>
      <c r="L53" s="13" t="str">
        <f t="shared" si="0"/>
        <v/>
      </c>
      <c r="M53" s="13" t="str">
        <f t="shared" si="1"/>
        <v/>
      </c>
      <c r="Q53" t="str">
        <f t="shared" si="2"/>
        <v/>
      </c>
      <c r="R53" t="str">
        <f t="shared" si="3"/>
        <v/>
      </c>
      <c r="S53" t="str">
        <f t="shared" si="4"/>
        <v/>
      </c>
      <c r="T53" t="str">
        <f t="shared" si="5"/>
        <v/>
      </c>
      <c r="U53" t="str">
        <f t="shared" si="6"/>
        <v/>
      </c>
      <c r="V53" t="str">
        <f t="shared" si="7"/>
        <v/>
      </c>
      <c r="W53" t="str">
        <f t="shared" si="8"/>
        <v/>
      </c>
      <c r="X53">
        <f>IF($T53="",N($X52),IF(MATCH($T53,$T$6:$T$10005,0)=ROW()-5,N($X52)+1,N($X52)))</f>
        <v>0</v>
      </c>
      <c r="Z53" t="str">
        <f t="shared" si="9"/>
        <v/>
      </c>
      <c r="AA53">
        <f>IF($V53="",N($AA52),IF(MATCH($V53,$V$6:$V$10005,0)=ROW()-5,N($AA52)+1,N($AA52)))</f>
        <v>0</v>
      </c>
    </row>
    <row r="54" spans="1:27" ht="21" customHeight="1" x14ac:dyDescent="0.95">
      <c r="A54" s="56"/>
      <c r="B54" s="57"/>
      <c r="C54" s="57"/>
      <c r="D54" s="57"/>
      <c r="E54" s="56"/>
      <c r="F54" s="57"/>
      <c r="G54" s="57"/>
      <c r="H54" s="56"/>
      <c r="I54" s="56"/>
      <c r="J54" s="58"/>
      <c r="K54" s="58"/>
      <c r="L54" s="13" t="str">
        <f t="shared" si="0"/>
        <v/>
      </c>
      <c r="M54" s="13" t="str">
        <f t="shared" si="1"/>
        <v/>
      </c>
      <c r="Q54" t="str">
        <f t="shared" si="2"/>
        <v/>
      </c>
      <c r="R54" t="str">
        <f t="shared" si="3"/>
        <v/>
      </c>
      <c r="S54" t="str">
        <f t="shared" si="4"/>
        <v/>
      </c>
      <c r="T54" t="str">
        <f t="shared" si="5"/>
        <v/>
      </c>
      <c r="U54" t="str">
        <f t="shared" si="6"/>
        <v/>
      </c>
      <c r="V54" t="str">
        <f t="shared" si="7"/>
        <v/>
      </c>
      <c r="W54" t="str">
        <f t="shared" si="8"/>
        <v/>
      </c>
      <c r="X54">
        <f>IF($T54="",N($X53),IF(MATCH($T54,$T$6:$T$10005,0)=ROW()-5,N($X53)+1,N($X53)))</f>
        <v>0</v>
      </c>
      <c r="Z54" t="str">
        <f t="shared" si="9"/>
        <v/>
      </c>
      <c r="AA54">
        <f>IF($V54="",N($AA53),IF(MATCH($V54,$V$6:$V$10005,0)=ROW()-5,N($AA53)+1,N($AA53)))</f>
        <v>0</v>
      </c>
    </row>
    <row r="55" spans="1:27" ht="21" customHeight="1" x14ac:dyDescent="0.95">
      <c r="A55" s="56"/>
      <c r="B55" s="57"/>
      <c r="C55" s="57"/>
      <c r="D55" s="57"/>
      <c r="E55" s="56"/>
      <c r="F55" s="57"/>
      <c r="G55" s="57"/>
      <c r="H55" s="56"/>
      <c r="I55" s="56"/>
      <c r="J55" s="58"/>
      <c r="K55" s="58"/>
      <c r="L55" s="13" t="str">
        <f t="shared" si="0"/>
        <v/>
      </c>
      <c r="M55" s="13" t="str">
        <f t="shared" si="1"/>
        <v/>
      </c>
      <c r="Q55" t="str">
        <f t="shared" si="2"/>
        <v/>
      </c>
      <c r="R55" t="str">
        <f t="shared" si="3"/>
        <v/>
      </c>
      <c r="S55" t="str">
        <f t="shared" si="4"/>
        <v/>
      </c>
      <c r="T55" t="str">
        <f t="shared" si="5"/>
        <v/>
      </c>
      <c r="U55" t="str">
        <f t="shared" si="6"/>
        <v/>
      </c>
      <c r="V55" t="str">
        <f t="shared" si="7"/>
        <v/>
      </c>
      <c r="W55" t="str">
        <f t="shared" si="8"/>
        <v/>
      </c>
      <c r="X55">
        <f>IF($T55="",N($X54),IF(MATCH($T55,$T$6:$T$10005,0)=ROW()-5,N($X54)+1,N($X54)))</f>
        <v>0</v>
      </c>
      <c r="Z55" t="str">
        <f t="shared" si="9"/>
        <v/>
      </c>
      <c r="AA55">
        <f>IF($V55="",N($AA54),IF(MATCH($V55,$V$6:$V$10005,0)=ROW()-5,N($AA54)+1,N($AA54)))</f>
        <v>0</v>
      </c>
    </row>
    <row r="56" spans="1:27" ht="21" customHeight="1" x14ac:dyDescent="0.95">
      <c r="A56" s="56"/>
      <c r="B56" s="57"/>
      <c r="C56" s="57"/>
      <c r="D56" s="57"/>
      <c r="E56" s="56"/>
      <c r="F56" s="57"/>
      <c r="G56" s="57"/>
      <c r="H56" s="56"/>
      <c r="I56" s="56"/>
      <c r="J56" s="58"/>
      <c r="K56" s="58"/>
      <c r="L56" s="13" t="str">
        <f t="shared" si="0"/>
        <v/>
      </c>
      <c r="M56" s="13" t="str">
        <f t="shared" si="1"/>
        <v/>
      </c>
      <c r="Q56" t="str">
        <f t="shared" si="2"/>
        <v/>
      </c>
      <c r="R56" t="str">
        <f t="shared" si="3"/>
        <v/>
      </c>
      <c r="S56" t="str">
        <f t="shared" si="4"/>
        <v/>
      </c>
      <c r="T56" t="str">
        <f t="shared" si="5"/>
        <v/>
      </c>
      <c r="U56" t="str">
        <f t="shared" si="6"/>
        <v/>
      </c>
      <c r="V56" t="str">
        <f t="shared" si="7"/>
        <v/>
      </c>
      <c r="W56" t="str">
        <f t="shared" si="8"/>
        <v/>
      </c>
      <c r="X56">
        <f>IF($T56="",N($X55),IF(MATCH($T56,$T$6:$T$10005,0)=ROW()-5,N($X55)+1,N($X55)))</f>
        <v>0</v>
      </c>
      <c r="Z56" t="str">
        <f t="shared" si="9"/>
        <v/>
      </c>
      <c r="AA56">
        <f>IF($V56="",N($AA55),IF(MATCH($V56,$V$6:$V$10005,0)=ROW()-5,N($AA55)+1,N($AA55)))</f>
        <v>0</v>
      </c>
    </row>
    <row r="57" spans="1:27" ht="21" customHeight="1" x14ac:dyDescent="0.95">
      <c r="A57" s="56"/>
      <c r="B57" s="57"/>
      <c r="C57" s="57"/>
      <c r="D57" s="57"/>
      <c r="E57" s="56"/>
      <c r="F57" s="57"/>
      <c r="G57" s="57"/>
      <c r="H57" s="56"/>
      <c r="I57" s="56"/>
      <c r="J57" s="58"/>
      <c r="K57" s="58"/>
      <c r="L57" s="13" t="str">
        <f t="shared" si="0"/>
        <v/>
      </c>
      <c r="M57" s="13" t="str">
        <f t="shared" si="1"/>
        <v/>
      </c>
      <c r="Q57" t="str">
        <f t="shared" si="2"/>
        <v/>
      </c>
      <c r="R57" t="str">
        <f t="shared" si="3"/>
        <v/>
      </c>
      <c r="S57" t="str">
        <f t="shared" si="4"/>
        <v/>
      </c>
      <c r="T57" t="str">
        <f t="shared" si="5"/>
        <v/>
      </c>
      <c r="U57" t="str">
        <f t="shared" si="6"/>
        <v/>
      </c>
      <c r="V57" t="str">
        <f t="shared" si="7"/>
        <v/>
      </c>
      <c r="W57" t="str">
        <f t="shared" si="8"/>
        <v/>
      </c>
      <c r="X57">
        <f>IF($T57="",N($X56),IF(MATCH($T57,$T$6:$T$10005,0)=ROW()-5,N($X56)+1,N($X56)))</f>
        <v>0</v>
      </c>
      <c r="Z57" t="str">
        <f t="shared" si="9"/>
        <v/>
      </c>
      <c r="AA57">
        <f>IF($V57="",N($AA56),IF(MATCH($V57,$V$6:$V$10005,0)=ROW()-5,N($AA56)+1,N($AA56)))</f>
        <v>0</v>
      </c>
    </row>
    <row r="58" spans="1:27" ht="21" customHeight="1" x14ac:dyDescent="0.95">
      <c r="A58" s="56"/>
      <c r="B58" s="57"/>
      <c r="C58" s="57"/>
      <c r="D58" s="57"/>
      <c r="E58" s="56"/>
      <c r="F58" s="57"/>
      <c r="G58" s="57"/>
      <c r="H58" s="56"/>
      <c r="I58" s="56"/>
      <c r="J58" s="58"/>
      <c r="K58" s="58"/>
      <c r="L58" s="13" t="str">
        <f t="shared" si="0"/>
        <v/>
      </c>
      <c r="M58" s="13" t="str">
        <f t="shared" si="1"/>
        <v/>
      </c>
      <c r="Q58" t="str">
        <f t="shared" si="2"/>
        <v/>
      </c>
      <c r="R58" t="str">
        <f t="shared" si="3"/>
        <v/>
      </c>
      <c r="S58" t="str">
        <f t="shared" si="4"/>
        <v/>
      </c>
      <c r="T58" t="str">
        <f t="shared" si="5"/>
        <v/>
      </c>
      <c r="U58" t="str">
        <f t="shared" si="6"/>
        <v/>
      </c>
      <c r="V58" t="str">
        <f t="shared" si="7"/>
        <v/>
      </c>
      <c r="W58" t="str">
        <f t="shared" si="8"/>
        <v/>
      </c>
      <c r="X58">
        <f>IF($T58="",N($X57),IF(MATCH($T58,$T$6:$T$10005,0)=ROW()-5,N($X57)+1,N($X57)))</f>
        <v>0</v>
      </c>
      <c r="Z58" t="str">
        <f t="shared" si="9"/>
        <v/>
      </c>
      <c r="AA58">
        <f>IF($V58="",N($AA57),IF(MATCH($V58,$V$6:$V$10005,0)=ROW()-5,N($AA57)+1,N($AA57)))</f>
        <v>0</v>
      </c>
    </row>
    <row r="59" spans="1:27" ht="21" customHeight="1" x14ac:dyDescent="0.95">
      <c r="A59" s="56"/>
      <c r="B59" s="57"/>
      <c r="C59" s="57"/>
      <c r="D59" s="57"/>
      <c r="E59" s="56"/>
      <c r="F59" s="57"/>
      <c r="G59" s="57"/>
      <c r="H59" s="56"/>
      <c r="I59" s="56"/>
      <c r="J59" s="58"/>
      <c r="K59" s="58"/>
      <c r="L59" s="13" t="str">
        <f t="shared" si="0"/>
        <v/>
      </c>
      <c r="M59" s="13" t="str">
        <f t="shared" si="1"/>
        <v/>
      </c>
      <c r="Q59" t="str">
        <f t="shared" si="2"/>
        <v/>
      </c>
      <c r="R59" t="str">
        <f t="shared" si="3"/>
        <v/>
      </c>
      <c r="S59" t="str">
        <f t="shared" si="4"/>
        <v/>
      </c>
      <c r="T59" t="str">
        <f t="shared" si="5"/>
        <v/>
      </c>
      <c r="U59" t="str">
        <f t="shared" si="6"/>
        <v/>
      </c>
      <c r="V59" t="str">
        <f t="shared" si="7"/>
        <v/>
      </c>
      <c r="W59" t="str">
        <f t="shared" si="8"/>
        <v/>
      </c>
      <c r="X59">
        <f>IF($T59="",N($X58),IF(MATCH($T59,$T$6:$T$10005,0)=ROW()-5,N($X58)+1,N($X58)))</f>
        <v>0</v>
      </c>
      <c r="Z59" t="str">
        <f t="shared" si="9"/>
        <v/>
      </c>
      <c r="AA59">
        <f>IF($V59="",N($AA58),IF(MATCH($V59,$V$6:$V$10005,0)=ROW()-5,N($AA58)+1,N($AA58)))</f>
        <v>0</v>
      </c>
    </row>
    <row r="60" spans="1:27" ht="21" customHeight="1" x14ac:dyDescent="0.95">
      <c r="A60" s="56"/>
      <c r="B60" s="57"/>
      <c r="C60" s="57"/>
      <c r="D60" s="57"/>
      <c r="E60" s="56"/>
      <c r="F60" s="57"/>
      <c r="G60" s="57"/>
      <c r="H60" s="56"/>
      <c r="I60" s="56"/>
      <c r="J60" s="58"/>
      <c r="K60" s="58"/>
      <c r="L60" s="13" t="str">
        <f t="shared" si="0"/>
        <v/>
      </c>
      <c r="M60" s="13" t="str">
        <f t="shared" si="1"/>
        <v/>
      </c>
      <c r="Q60" t="str">
        <f t="shared" si="2"/>
        <v/>
      </c>
      <c r="R60" t="str">
        <f t="shared" si="3"/>
        <v/>
      </c>
      <c r="S60" t="str">
        <f t="shared" si="4"/>
        <v/>
      </c>
      <c r="T60" t="str">
        <f t="shared" si="5"/>
        <v/>
      </c>
      <c r="U60" t="str">
        <f t="shared" si="6"/>
        <v/>
      </c>
      <c r="V60" t="str">
        <f t="shared" si="7"/>
        <v/>
      </c>
      <c r="W60" t="str">
        <f t="shared" si="8"/>
        <v/>
      </c>
      <c r="X60">
        <f>IF($T60="",N($X59),IF(MATCH($T60,$T$6:$T$10005,0)=ROW()-5,N($X59)+1,N($X59)))</f>
        <v>0</v>
      </c>
      <c r="Z60" t="str">
        <f t="shared" si="9"/>
        <v/>
      </c>
      <c r="AA60">
        <f>IF($V60="",N($AA59),IF(MATCH($V60,$V$6:$V$10005,0)=ROW()-5,N($AA59)+1,N($AA59)))</f>
        <v>0</v>
      </c>
    </row>
    <row r="61" spans="1:27" ht="21" customHeight="1" x14ac:dyDescent="0.95">
      <c r="A61" s="56"/>
      <c r="B61" s="57"/>
      <c r="C61" s="57"/>
      <c r="D61" s="57"/>
      <c r="E61" s="56"/>
      <c r="F61" s="57"/>
      <c r="G61" s="57"/>
      <c r="H61" s="56"/>
      <c r="I61" s="56"/>
      <c r="J61" s="58"/>
      <c r="K61" s="58"/>
      <c r="L61" s="13" t="str">
        <f t="shared" si="0"/>
        <v/>
      </c>
      <c r="M61" s="13" t="str">
        <f t="shared" si="1"/>
        <v/>
      </c>
      <c r="Q61" t="str">
        <f t="shared" si="2"/>
        <v/>
      </c>
      <c r="R61" t="str">
        <f t="shared" si="3"/>
        <v/>
      </c>
      <c r="S61" t="str">
        <f t="shared" si="4"/>
        <v/>
      </c>
      <c r="T61" t="str">
        <f t="shared" si="5"/>
        <v/>
      </c>
      <c r="U61" t="str">
        <f t="shared" si="6"/>
        <v/>
      </c>
      <c r="V61" t="str">
        <f t="shared" si="7"/>
        <v/>
      </c>
      <c r="W61" t="str">
        <f t="shared" si="8"/>
        <v/>
      </c>
      <c r="X61">
        <f>IF($T61="",N($X60),IF(MATCH($T61,$T$6:$T$10005,0)=ROW()-5,N($X60)+1,N($X60)))</f>
        <v>0</v>
      </c>
      <c r="Z61" t="str">
        <f t="shared" si="9"/>
        <v/>
      </c>
      <c r="AA61">
        <f>IF($V61="",N($AA60),IF(MATCH($V61,$V$6:$V$10005,0)=ROW()-5,N($AA60)+1,N($AA60)))</f>
        <v>0</v>
      </c>
    </row>
    <row r="62" spans="1:27" ht="21" customHeight="1" x14ac:dyDescent="0.95">
      <c r="A62" s="56"/>
      <c r="B62" s="57"/>
      <c r="C62" s="57"/>
      <c r="D62" s="57"/>
      <c r="E62" s="56"/>
      <c r="F62" s="57"/>
      <c r="G62" s="57"/>
      <c r="H62" s="56"/>
      <c r="I62" s="56"/>
      <c r="J62" s="58"/>
      <c r="K62" s="58"/>
      <c r="L62" s="13" t="str">
        <f t="shared" si="0"/>
        <v/>
      </c>
      <c r="M62" s="13" t="str">
        <f t="shared" si="1"/>
        <v/>
      </c>
      <c r="Q62" t="str">
        <f t="shared" si="2"/>
        <v/>
      </c>
      <c r="R62" t="str">
        <f t="shared" si="3"/>
        <v/>
      </c>
      <c r="S62" t="str">
        <f t="shared" si="4"/>
        <v/>
      </c>
      <c r="T62" t="str">
        <f t="shared" si="5"/>
        <v/>
      </c>
      <c r="U62" t="str">
        <f t="shared" si="6"/>
        <v/>
      </c>
      <c r="V62" t="str">
        <f t="shared" si="7"/>
        <v/>
      </c>
      <c r="W62" t="str">
        <f t="shared" si="8"/>
        <v/>
      </c>
      <c r="X62">
        <f>IF($T62="",N($X61),IF(MATCH($T62,$T$6:$T$10005,0)=ROW()-5,N($X61)+1,N($X61)))</f>
        <v>0</v>
      </c>
      <c r="Z62" t="str">
        <f t="shared" si="9"/>
        <v/>
      </c>
      <c r="AA62">
        <f>IF($V62="",N($AA61),IF(MATCH($V62,$V$6:$V$10005,0)=ROW()-5,N($AA61)+1,N($AA61)))</f>
        <v>0</v>
      </c>
    </row>
    <row r="63" spans="1:27" ht="21" customHeight="1" x14ac:dyDescent="0.95">
      <c r="A63" s="56"/>
      <c r="B63" s="57"/>
      <c r="C63" s="57"/>
      <c r="D63" s="57"/>
      <c r="E63" s="56"/>
      <c r="F63" s="57"/>
      <c r="G63" s="57"/>
      <c r="H63" s="56"/>
      <c r="I63" s="56"/>
      <c r="J63" s="58"/>
      <c r="K63" s="58"/>
      <c r="L63" s="13" t="str">
        <f t="shared" si="0"/>
        <v/>
      </c>
      <c r="M63" s="13" t="str">
        <f t="shared" si="1"/>
        <v/>
      </c>
      <c r="Q63" t="str">
        <f t="shared" si="2"/>
        <v/>
      </c>
      <c r="R63" t="str">
        <f t="shared" si="3"/>
        <v/>
      </c>
      <c r="S63" t="str">
        <f t="shared" si="4"/>
        <v/>
      </c>
      <c r="T63" t="str">
        <f t="shared" si="5"/>
        <v/>
      </c>
      <c r="U63" t="str">
        <f t="shared" si="6"/>
        <v/>
      </c>
      <c r="V63" t="str">
        <f t="shared" si="7"/>
        <v/>
      </c>
      <c r="W63" t="str">
        <f t="shared" si="8"/>
        <v/>
      </c>
      <c r="X63">
        <f>IF($T63="",N($X62),IF(MATCH($T63,$T$6:$T$10005,0)=ROW()-5,N($X62)+1,N($X62)))</f>
        <v>0</v>
      </c>
      <c r="Z63" t="str">
        <f t="shared" si="9"/>
        <v/>
      </c>
      <c r="AA63">
        <f>IF($V63="",N($AA62),IF(MATCH($V63,$V$6:$V$10005,0)=ROW()-5,N($AA62)+1,N($AA62)))</f>
        <v>0</v>
      </c>
    </row>
    <row r="64" spans="1:27" ht="21" customHeight="1" x14ac:dyDescent="0.95">
      <c r="A64" s="56"/>
      <c r="B64" s="57"/>
      <c r="C64" s="57"/>
      <c r="D64" s="57"/>
      <c r="E64" s="56"/>
      <c r="F64" s="57"/>
      <c r="G64" s="57"/>
      <c r="H64" s="56"/>
      <c r="I64" s="56"/>
      <c r="J64" s="58"/>
      <c r="K64" s="58"/>
      <c r="L64" s="13" t="str">
        <f t="shared" si="0"/>
        <v/>
      </c>
      <c r="M64" s="13" t="str">
        <f t="shared" si="1"/>
        <v/>
      </c>
      <c r="Q64" t="str">
        <f t="shared" si="2"/>
        <v/>
      </c>
      <c r="R64" t="str">
        <f t="shared" si="3"/>
        <v/>
      </c>
      <c r="S64" t="str">
        <f t="shared" si="4"/>
        <v/>
      </c>
      <c r="T64" t="str">
        <f t="shared" si="5"/>
        <v/>
      </c>
      <c r="U64" t="str">
        <f t="shared" si="6"/>
        <v/>
      </c>
      <c r="V64" t="str">
        <f t="shared" si="7"/>
        <v/>
      </c>
      <c r="W64" t="str">
        <f t="shared" si="8"/>
        <v/>
      </c>
      <c r="X64">
        <f>IF($T64="",N($X63),IF(MATCH($T64,$T$6:$T$10005,0)=ROW()-5,N($X63)+1,N($X63)))</f>
        <v>0</v>
      </c>
      <c r="Z64" t="str">
        <f t="shared" si="9"/>
        <v/>
      </c>
      <c r="AA64">
        <f>IF($V64="",N($AA63),IF(MATCH($V64,$V$6:$V$10005,0)=ROW()-5,N($AA63)+1,N($AA63)))</f>
        <v>0</v>
      </c>
    </row>
    <row r="65" spans="1:27" ht="21" customHeight="1" x14ac:dyDescent="0.95">
      <c r="A65" s="56"/>
      <c r="B65" s="57"/>
      <c r="C65" s="57"/>
      <c r="D65" s="57"/>
      <c r="E65" s="56"/>
      <c r="F65" s="57"/>
      <c r="G65" s="57"/>
      <c r="H65" s="56"/>
      <c r="I65" s="56"/>
      <c r="J65" s="58"/>
      <c r="K65" s="58"/>
      <c r="L65" s="13" t="str">
        <f t="shared" si="0"/>
        <v/>
      </c>
      <c r="M65" s="13" t="str">
        <f t="shared" si="1"/>
        <v/>
      </c>
      <c r="Q65" t="str">
        <f t="shared" si="2"/>
        <v/>
      </c>
      <c r="R65" t="str">
        <f t="shared" si="3"/>
        <v/>
      </c>
      <c r="S65" t="str">
        <f t="shared" si="4"/>
        <v/>
      </c>
      <c r="T65" t="str">
        <f t="shared" si="5"/>
        <v/>
      </c>
      <c r="U65" t="str">
        <f t="shared" si="6"/>
        <v/>
      </c>
      <c r="V65" t="str">
        <f t="shared" si="7"/>
        <v/>
      </c>
      <c r="W65" t="str">
        <f t="shared" si="8"/>
        <v/>
      </c>
      <c r="X65">
        <f>IF($T65="",N($X64),IF(MATCH($T65,$T$6:$T$10005,0)=ROW()-5,N($X64)+1,N($X64)))</f>
        <v>0</v>
      </c>
      <c r="Z65" t="str">
        <f t="shared" si="9"/>
        <v/>
      </c>
      <c r="AA65">
        <f>IF($V65="",N($AA64),IF(MATCH($V65,$V$6:$V$10005,0)=ROW()-5,N($AA64)+1,N($AA64)))</f>
        <v>0</v>
      </c>
    </row>
    <row r="66" spans="1:27" ht="21" customHeight="1" x14ac:dyDescent="0.95">
      <c r="A66" s="56"/>
      <c r="B66" s="57"/>
      <c r="C66" s="57"/>
      <c r="D66" s="57"/>
      <c r="E66" s="56"/>
      <c r="F66" s="57"/>
      <c r="G66" s="57"/>
      <c r="H66" s="56"/>
      <c r="I66" s="56"/>
      <c r="J66" s="58"/>
      <c r="K66" s="58"/>
      <c r="L66" s="13" t="str">
        <f t="shared" si="0"/>
        <v/>
      </c>
      <c r="M66" s="13" t="str">
        <f t="shared" si="1"/>
        <v/>
      </c>
      <c r="Q66" t="str">
        <f t="shared" si="2"/>
        <v/>
      </c>
      <c r="R66" t="str">
        <f t="shared" si="3"/>
        <v/>
      </c>
      <c r="S66" t="str">
        <f t="shared" si="4"/>
        <v/>
      </c>
      <c r="T66" t="str">
        <f t="shared" si="5"/>
        <v/>
      </c>
      <c r="U66" t="str">
        <f t="shared" si="6"/>
        <v/>
      </c>
      <c r="V66" t="str">
        <f t="shared" si="7"/>
        <v/>
      </c>
      <c r="W66" t="str">
        <f t="shared" si="8"/>
        <v/>
      </c>
      <c r="X66">
        <f>IF($T66="",N($X65),IF(MATCH($T66,$T$6:$T$10005,0)=ROW()-5,N($X65)+1,N($X65)))</f>
        <v>0</v>
      </c>
      <c r="Z66" t="str">
        <f t="shared" si="9"/>
        <v/>
      </c>
      <c r="AA66">
        <f>IF($V66="",N($AA65),IF(MATCH($V66,$V$6:$V$10005,0)=ROW()-5,N($AA65)+1,N($AA65)))</f>
        <v>0</v>
      </c>
    </row>
    <row r="67" spans="1:27" ht="21" customHeight="1" x14ac:dyDescent="0.95">
      <c r="A67" s="56"/>
      <c r="B67" s="57"/>
      <c r="C67" s="57"/>
      <c r="D67" s="57"/>
      <c r="E67" s="56"/>
      <c r="F67" s="57"/>
      <c r="G67" s="57"/>
      <c r="H67" s="56"/>
      <c r="I67" s="56"/>
      <c r="J67" s="58"/>
      <c r="K67" s="58"/>
      <c r="L67" s="13" t="str">
        <f t="shared" si="0"/>
        <v/>
      </c>
      <c r="M67" s="13" t="str">
        <f t="shared" si="1"/>
        <v/>
      </c>
      <c r="Q67" t="str">
        <f t="shared" si="2"/>
        <v/>
      </c>
      <c r="R67" t="str">
        <f t="shared" si="3"/>
        <v/>
      </c>
      <c r="S67" t="str">
        <f t="shared" si="4"/>
        <v/>
      </c>
      <c r="T67" t="str">
        <f t="shared" si="5"/>
        <v/>
      </c>
      <c r="U67" t="str">
        <f t="shared" si="6"/>
        <v/>
      </c>
      <c r="V67" t="str">
        <f t="shared" si="7"/>
        <v/>
      </c>
      <c r="W67" t="str">
        <f t="shared" si="8"/>
        <v/>
      </c>
      <c r="X67">
        <f>IF($T67="",N($X66),IF(MATCH($T67,$T$6:$T$10005,0)=ROW()-5,N($X66)+1,N($X66)))</f>
        <v>0</v>
      </c>
      <c r="Z67" t="str">
        <f t="shared" si="9"/>
        <v/>
      </c>
      <c r="AA67">
        <f>IF($V67="",N($AA66),IF(MATCH($V67,$V$6:$V$10005,0)=ROW()-5,N($AA66)+1,N($AA66)))</f>
        <v>0</v>
      </c>
    </row>
    <row r="68" spans="1:27" ht="21" customHeight="1" x14ac:dyDescent="0.95">
      <c r="A68" s="56"/>
      <c r="B68" s="57"/>
      <c r="C68" s="57"/>
      <c r="D68" s="57"/>
      <c r="E68" s="56"/>
      <c r="F68" s="57"/>
      <c r="G68" s="57"/>
      <c r="H68" s="56"/>
      <c r="I68" s="56"/>
      <c r="J68" s="58"/>
      <c r="K68" s="58"/>
      <c r="L68" s="13" t="str">
        <f t="shared" si="0"/>
        <v/>
      </c>
      <c r="M68" s="13" t="str">
        <f t="shared" si="1"/>
        <v/>
      </c>
      <c r="Q68" t="str">
        <f t="shared" si="2"/>
        <v/>
      </c>
      <c r="R68" t="str">
        <f t="shared" si="3"/>
        <v/>
      </c>
      <c r="S68" t="str">
        <f t="shared" si="4"/>
        <v/>
      </c>
      <c r="T68" t="str">
        <f t="shared" si="5"/>
        <v/>
      </c>
      <c r="U68" t="str">
        <f t="shared" si="6"/>
        <v/>
      </c>
      <c r="V68" t="str">
        <f t="shared" si="7"/>
        <v/>
      </c>
      <c r="W68" t="str">
        <f t="shared" si="8"/>
        <v/>
      </c>
      <c r="X68">
        <f>IF($T68="",N($X67),IF(MATCH($T68,$T$6:$T$10005,0)=ROW()-5,N($X67)+1,N($X67)))</f>
        <v>0</v>
      </c>
      <c r="Z68" t="str">
        <f t="shared" si="9"/>
        <v/>
      </c>
      <c r="AA68">
        <f>IF($V68="",N($AA67),IF(MATCH($V68,$V$6:$V$10005,0)=ROW()-5,N($AA67)+1,N($AA67)))</f>
        <v>0</v>
      </c>
    </row>
    <row r="69" spans="1:27" ht="21" customHeight="1" x14ac:dyDescent="0.95">
      <c r="A69" s="56"/>
      <c r="B69" s="57"/>
      <c r="C69" s="57"/>
      <c r="D69" s="57"/>
      <c r="E69" s="56"/>
      <c r="F69" s="57"/>
      <c r="G69" s="57"/>
      <c r="H69" s="56"/>
      <c r="I69" s="56"/>
      <c r="J69" s="58"/>
      <c r="K69" s="58"/>
      <c r="L69" s="13" t="str">
        <f t="shared" si="0"/>
        <v/>
      </c>
      <c r="M69" s="13" t="str">
        <f t="shared" si="1"/>
        <v/>
      </c>
      <c r="Q69" t="str">
        <f t="shared" si="2"/>
        <v/>
      </c>
      <c r="R69" t="str">
        <f t="shared" si="3"/>
        <v/>
      </c>
      <c r="S69" t="str">
        <f t="shared" si="4"/>
        <v/>
      </c>
      <c r="T69" t="str">
        <f t="shared" si="5"/>
        <v/>
      </c>
      <c r="U69" t="str">
        <f t="shared" si="6"/>
        <v/>
      </c>
      <c r="V69" t="str">
        <f t="shared" si="7"/>
        <v/>
      </c>
      <c r="W69" t="str">
        <f t="shared" si="8"/>
        <v/>
      </c>
      <c r="X69">
        <f>IF($T69="",N($X68),IF(MATCH($T69,$T$6:$T$10005,0)=ROW()-5,N($X68)+1,N($X68)))</f>
        <v>0</v>
      </c>
      <c r="Z69" t="str">
        <f t="shared" si="9"/>
        <v/>
      </c>
      <c r="AA69">
        <f>IF($V69="",N($AA68),IF(MATCH($V69,$V$6:$V$10005,0)=ROW()-5,N($AA68)+1,N($AA68)))</f>
        <v>0</v>
      </c>
    </row>
    <row r="70" spans="1:27" ht="21" customHeight="1" x14ac:dyDescent="0.95">
      <c r="A70" s="56"/>
      <c r="B70" s="57"/>
      <c r="C70" s="57"/>
      <c r="D70" s="57"/>
      <c r="E70" s="56"/>
      <c r="F70" s="57"/>
      <c r="G70" s="57"/>
      <c r="H70" s="56"/>
      <c r="I70" s="56"/>
      <c r="J70" s="58"/>
      <c r="K70" s="58"/>
      <c r="L70" s="13" t="str">
        <f t="shared" ref="L70:L133" si="10">IF(OR($A70="",AND($J70="",$K70="")),"",ROUND(N($J70)-N($K70),2))</f>
        <v/>
      </c>
      <c r="M70" s="13" t="str">
        <f t="shared" ref="M70:M133" si="11">IF(OR($A70="",AND($J70="",$K70="")),"",MIN($J70,$K70))</f>
        <v/>
      </c>
      <c r="Q70" t="str">
        <f t="shared" ref="Q70:Q133" si="12">IF($A70="","",$D70&amp;"("&amp;SUBSTITUTE($E70," ","")&amp;")")</f>
        <v/>
      </c>
      <c r="R70" t="str">
        <f t="shared" ref="R70:R133" si="13">IF($A70="","",$B70&amp;" - "&amp;$C70)</f>
        <v/>
      </c>
      <c r="S70" t="str">
        <f t="shared" ref="S70:S133" si="14">IF($A70="","",$R70&amp;"|"&amp;$Q70)</f>
        <v/>
      </c>
      <c r="T70" t="str">
        <f t="shared" ref="T70:T133" si="15">IF($A70="","",$S70&amp;"|"&amp;$F70)</f>
        <v/>
      </c>
      <c r="U70" t="str">
        <f t="shared" ref="U70:U133" si="16">IF($A70="","",$R70&amp;"("&amp;$E70&amp;")")</f>
        <v/>
      </c>
      <c r="V70" t="str">
        <f t="shared" ref="V70:V133" si="17">IF($A70="","",$F70&amp;"|"&amp;$U70&amp;"|"&amp;$D70)</f>
        <v/>
      </c>
      <c r="W70" t="str">
        <f t="shared" ref="W70:W133" si="18">IF($T70="","",IF($X70&gt;N($X69),$X70,""))</f>
        <v/>
      </c>
      <c r="X70">
        <f>IF($T70="",N($X69),IF(MATCH($T70,$T$6:$T$10005,0)=ROW()-5,N($X69)+1,N($X69)))</f>
        <v>0</v>
      </c>
      <c r="Z70" t="str">
        <f t="shared" ref="Z70:Z133" si="19">IF($V70="","",IF($AA70&gt;N($AA69),$AA70,""))</f>
        <v/>
      </c>
      <c r="AA70">
        <f>IF($V70="",N($AA69),IF(MATCH($V70,$V$6:$V$10005,0)=ROW()-5,N($AA69)+1,N($AA69)))</f>
        <v>0</v>
      </c>
    </row>
    <row r="71" spans="1:27" ht="21" customHeight="1" x14ac:dyDescent="0.95">
      <c r="A71" s="56"/>
      <c r="B71" s="57"/>
      <c r="C71" s="57"/>
      <c r="D71" s="57"/>
      <c r="E71" s="56"/>
      <c r="F71" s="57"/>
      <c r="G71" s="57"/>
      <c r="H71" s="56"/>
      <c r="I71" s="56"/>
      <c r="J71" s="58"/>
      <c r="K71" s="58"/>
      <c r="L71" s="13" t="str">
        <f t="shared" si="10"/>
        <v/>
      </c>
      <c r="M71" s="13" t="str">
        <f t="shared" si="11"/>
        <v/>
      </c>
      <c r="Q71" t="str">
        <f t="shared" si="12"/>
        <v/>
      </c>
      <c r="R71" t="str">
        <f t="shared" si="13"/>
        <v/>
      </c>
      <c r="S71" t="str">
        <f t="shared" si="14"/>
        <v/>
      </c>
      <c r="T71" t="str">
        <f t="shared" si="15"/>
        <v/>
      </c>
      <c r="U71" t="str">
        <f t="shared" si="16"/>
        <v/>
      </c>
      <c r="V71" t="str">
        <f t="shared" si="17"/>
        <v/>
      </c>
      <c r="W71" t="str">
        <f t="shared" si="18"/>
        <v/>
      </c>
      <c r="X71">
        <f>IF($T71="",N($X70),IF(MATCH($T71,$T$6:$T$10005,0)=ROW()-5,N($X70)+1,N($X70)))</f>
        <v>0</v>
      </c>
      <c r="Z71" t="str">
        <f t="shared" si="19"/>
        <v/>
      </c>
      <c r="AA71">
        <f>IF($V71="",N($AA70),IF(MATCH($V71,$V$6:$V$10005,0)=ROW()-5,N($AA70)+1,N($AA70)))</f>
        <v>0</v>
      </c>
    </row>
    <row r="72" spans="1:27" ht="21" customHeight="1" x14ac:dyDescent="0.95">
      <c r="A72" s="56"/>
      <c r="B72" s="57"/>
      <c r="C72" s="57"/>
      <c r="D72" s="57"/>
      <c r="E72" s="56"/>
      <c r="F72" s="57"/>
      <c r="G72" s="57"/>
      <c r="H72" s="56"/>
      <c r="I72" s="56"/>
      <c r="J72" s="58"/>
      <c r="K72" s="58"/>
      <c r="L72" s="13" t="str">
        <f t="shared" si="10"/>
        <v/>
      </c>
      <c r="M72" s="13" t="str">
        <f t="shared" si="11"/>
        <v/>
      </c>
      <c r="Q72" t="str">
        <f t="shared" si="12"/>
        <v/>
      </c>
      <c r="R72" t="str">
        <f t="shared" si="13"/>
        <v/>
      </c>
      <c r="S72" t="str">
        <f t="shared" si="14"/>
        <v/>
      </c>
      <c r="T72" t="str">
        <f t="shared" si="15"/>
        <v/>
      </c>
      <c r="U72" t="str">
        <f t="shared" si="16"/>
        <v/>
      </c>
      <c r="V72" t="str">
        <f t="shared" si="17"/>
        <v/>
      </c>
      <c r="W72" t="str">
        <f t="shared" si="18"/>
        <v/>
      </c>
      <c r="X72">
        <f>IF($T72="",N($X71),IF(MATCH($T72,$T$6:$T$10005,0)=ROW()-5,N($X71)+1,N($X71)))</f>
        <v>0</v>
      </c>
      <c r="Z72" t="str">
        <f t="shared" si="19"/>
        <v/>
      </c>
      <c r="AA72">
        <f>IF($V72="",N($AA71),IF(MATCH($V72,$V$6:$V$10005,0)=ROW()-5,N($AA71)+1,N($AA71)))</f>
        <v>0</v>
      </c>
    </row>
    <row r="73" spans="1:27" ht="21" customHeight="1" x14ac:dyDescent="0.95">
      <c r="A73" s="56"/>
      <c r="B73" s="57"/>
      <c r="C73" s="57"/>
      <c r="D73" s="57"/>
      <c r="E73" s="56"/>
      <c r="F73" s="57"/>
      <c r="G73" s="57"/>
      <c r="H73" s="56"/>
      <c r="I73" s="56"/>
      <c r="J73" s="58"/>
      <c r="K73" s="58"/>
      <c r="L73" s="13" t="str">
        <f t="shared" si="10"/>
        <v/>
      </c>
      <c r="M73" s="13" t="str">
        <f t="shared" si="11"/>
        <v/>
      </c>
      <c r="Q73" t="str">
        <f t="shared" si="12"/>
        <v/>
      </c>
      <c r="R73" t="str">
        <f t="shared" si="13"/>
        <v/>
      </c>
      <c r="S73" t="str">
        <f t="shared" si="14"/>
        <v/>
      </c>
      <c r="T73" t="str">
        <f t="shared" si="15"/>
        <v/>
      </c>
      <c r="U73" t="str">
        <f t="shared" si="16"/>
        <v/>
      </c>
      <c r="V73" t="str">
        <f t="shared" si="17"/>
        <v/>
      </c>
      <c r="W73" t="str">
        <f t="shared" si="18"/>
        <v/>
      </c>
      <c r="X73">
        <f>IF($T73="",N($X72),IF(MATCH($T73,$T$6:$T$10005,0)=ROW()-5,N($X72)+1,N($X72)))</f>
        <v>0</v>
      </c>
      <c r="Z73" t="str">
        <f t="shared" si="19"/>
        <v/>
      </c>
      <c r="AA73">
        <f>IF($V73="",N($AA72),IF(MATCH($V73,$V$6:$V$10005,0)=ROW()-5,N($AA72)+1,N($AA72)))</f>
        <v>0</v>
      </c>
    </row>
    <row r="74" spans="1:27" ht="21" customHeight="1" x14ac:dyDescent="0.95">
      <c r="A74" s="56"/>
      <c r="B74" s="57"/>
      <c r="C74" s="57"/>
      <c r="D74" s="57"/>
      <c r="E74" s="56"/>
      <c r="F74" s="57"/>
      <c r="G74" s="57"/>
      <c r="H74" s="56"/>
      <c r="I74" s="56"/>
      <c r="J74" s="58"/>
      <c r="K74" s="58"/>
      <c r="L74" s="13" t="str">
        <f t="shared" si="10"/>
        <v/>
      </c>
      <c r="M74" s="13" t="str">
        <f t="shared" si="11"/>
        <v/>
      </c>
      <c r="Q74" t="str">
        <f t="shared" si="12"/>
        <v/>
      </c>
      <c r="R74" t="str">
        <f t="shared" si="13"/>
        <v/>
      </c>
      <c r="S74" t="str">
        <f t="shared" si="14"/>
        <v/>
      </c>
      <c r="T74" t="str">
        <f t="shared" si="15"/>
        <v/>
      </c>
      <c r="U74" t="str">
        <f t="shared" si="16"/>
        <v/>
      </c>
      <c r="V74" t="str">
        <f t="shared" si="17"/>
        <v/>
      </c>
      <c r="W74" t="str">
        <f t="shared" si="18"/>
        <v/>
      </c>
      <c r="X74">
        <f>IF($T74="",N($X73),IF(MATCH($T74,$T$6:$T$10005,0)=ROW()-5,N($X73)+1,N($X73)))</f>
        <v>0</v>
      </c>
      <c r="Z74" t="str">
        <f t="shared" si="19"/>
        <v/>
      </c>
      <c r="AA74">
        <f>IF($V74="",N($AA73),IF(MATCH($V74,$V$6:$V$10005,0)=ROW()-5,N($AA73)+1,N($AA73)))</f>
        <v>0</v>
      </c>
    </row>
    <row r="75" spans="1:27" ht="21" customHeight="1" x14ac:dyDescent="0.95">
      <c r="A75" s="56"/>
      <c r="B75" s="57"/>
      <c r="C75" s="57"/>
      <c r="D75" s="57"/>
      <c r="E75" s="56"/>
      <c r="F75" s="57"/>
      <c r="G75" s="57"/>
      <c r="H75" s="56"/>
      <c r="I75" s="56"/>
      <c r="J75" s="58"/>
      <c r="K75" s="58"/>
      <c r="L75" s="13" t="str">
        <f t="shared" si="10"/>
        <v/>
      </c>
      <c r="M75" s="13" t="str">
        <f t="shared" si="11"/>
        <v/>
      </c>
      <c r="Q75" t="str">
        <f t="shared" si="12"/>
        <v/>
      </c>
      <c r="R75" t="str">
        <f t="shared" si="13"/>
        <v/>
      </c>
      <c r="S75" t="str">
        <f t="shared" si="14"/>
        <v/>
      </c>
      <c r="T75" t="str">
        <f t="shared" si="15"/>
        <v/>
      </c>
      <c r="U75" t="str">
        <f t="shared" si="16"/>
        <v/>
      </c>
      <c r="V75" t="str">
        <f t="shared" si="17"/>
        <v/>
      </c>
      <c r="W75" t="str">
        <f t="shared" si="18"/>
        <v/>
      </c>
      <c r="X75">
        <f>IF($T75="",N($X74),IF(MATCH($T75,$T$6:$T$10005,0)=ROW()-5,N($X74)+1,N($X74)))</f>
        <v>0</v>
      </c>
      <c r="Z75" t="str">
        <f t="shared" si="19"/>
        <v/>
      </c>
      <c r="AA75">
        <f>IF($V75="",N($AA74),IF(MATCH($V75,$V$6:$V$10005,0)=ROW()-5,N($AA74)+1,N($AA74)))</f>
        <v>0</v>
      </c>
    </row>
    <row r="76" spans="1:27" ht="21" customHeight="1" x14ac:dyDescent="0.95">
      <c r="A76" s="56"/>
      <c r="B76" s="57"/>
      <c r="C76" s="57"/>
      <c r="D76" s="57"/>
      <c r="E76" s="56"/>
      <c r="F76" s="57"/>
      <c r="G76" s="57"/>
      <c r="H76" s="56"/>
      <c r="I76" s="56"/>
      <c r="J76" s="58"/>
      <c r="K76" s="58"/>
      <c r="L76" s="13" t="str">
        <f t="shared" si="10"/>
        <v/>
      </c>
      <c r="M76" s="13" t="str">
        <f t="shared" si="11"/>
        <v/>
      </c>
      <c r="Q76" t="str">
        <f t="shared" si="12"/>
        <v/>
      </c>
      <c r="R76" t="str">
        <f t="shared" si="13"/>
        <v/>
      </c>
      <c r="S76" t="str">
        <f t="shared" si="14"/>
        <v/>
      </c>
      <c r="T76" t="str">
        <f t="shared" si="15"/>
        <v/>
      </c>
      <c r="U76" t="str">
        <f t="shared" si="16"/>
        <v/>
      </c>
      <c r="V76" t="str">
        <f t="shared" si="17"/>
        <v/>
      </c>
      <c r="W76" t="str">
        <f t="shared" si="18"/>
        <v/>
      </c>
      <c r="X76">
        <f>IF($T76="",N($X75),IF(MATCH($T76,$T$6:$T$10005,0)=ROW()-5,N($X75)+1,N($X75)))</f>
        <v>0</v>
      </c>
      <c r="Z76" t="str">
        <f t="shared" si="19"/>
        <v/>
      </c>
      <c r="AA76">
        <f>IF($V76="",N($AA75),IF(MATCH($V76,$V$6:$V$10005,0)=ROW()-5,N($AA75)+1,N($AA75)))</f>
        <v>0</v>
      </c>
    </row>
    <row r="77" spans="1:27" ht="21" customHeight="1" x14ac:dyDescent="0.95">
      <c r="A77" s="56"/>
      <c r="B77" s="57"/>
      <c r="C77" s="57"/>
      <c r="D77" s="57"/>
      <c r="E77" s="56"/>
      <c r="F77" s="57"/>
      <c r="G77" s="57"/>
      <c r="H77" s="56"/>
      <c r="I77" s="56"/>
      <c r="J77" s="58"/>
      <c r="K77" s="58"/>
      <c r="L77" s="13" t="str">
        <f t="shared" si="10"/>
        <v/>
      </c>
      <c r="M77" s="13" t="str">
        <f t="shared" si="11"/>
        <v/>
      </c>
      <c r="Q77" t="str">
        <f t="shared" si="12"/>
        <v/>
      </c>
      <c r="R77" t="str">
        <f t="shared" si="13"/>
        <v/>
      </c>
      <c r="S77" t="str">
        <f t="shared" si="14"/>
        <v/>
      </c>
      <c r="T77" t="str">
        <f t="shared" si="15"/>
        <v/>
      </c>
      <c r="U77" t="str">
        <f t="shared" si="16"/>
        <v/>
      </c>
      <c r="V77" t="str">
        <f t="shared" si="17"/>
        <v/>
      </c>
      <c r="W77" t="str">
        <f t="shared" si="18"/>
        <v/>
      </c>
      <c r="X77">
        <f>IF($T77="",N($X76),IF(MATCH($T77,$T$6:$T$10005,0)=ROW()-5,N($X76)+1,N($X76)))</f>
        <v>0</v>
      </c>
      <c r="Z77" t="str">
        <f t="shared" si="19"/>
        <v/>
      </c>
      <c r="AA77">
        <f>IF($V77="",N($AA76),IF(MATCH($V77,$V$6:$V$10005,0)=ROW()-5,N($AA76)+1,N($AA76)))</f>
        <v>0</v>
      </c>
    </row>
    <row r="78" spans="1:27" ht="21" customHeight="1" x14ac:dyDescent="0.95">
      <c r="A78" s="56"/>
      <c r="B78" s="57"/>
      <c r="C78" s="57"/>
      <c r="D78" s="57"/>
      <c r="E78" s="56"/>
      <c r="F78" s="57"/>
      <c r="G78" s="57"/>
      <c r="H78" s="56"/>
      <c r="I78" s="56"/>
      <c r="J78" s="58"/>
      <c r="K78" s="58"/>
      <c r="L78" s="13" t="str">
        <f t="shared" si="10"/>
        <v/>
      </c>
      <c r="M78" s="13" t="str">
        <f t="shared" si="11"/>
        <v/>
      </c>
      <c r="Q78" t="str">
        <f t="shared" si="12"/>
        <v/>
      </c>
      <c r="R78" t="str">
        <f t="shared" si="13"/>
        <v/>
      </c>
      <c r="S78" t="str">
        <f t="shared" si="14"/>
        <v/>
      </c>
      <c r="T78" t="str">
        <f t="shared" si="15"/>
        <v/>
      </c>
      <c r="U78" t="str">
        <f t="shared" si="16"/>
        <v/>
      </c>
      <c r="V78" t="str">
        <f t="shared" si="17"/>
        <v/>
      </c>
      <c r="W78" t="str">
        <f t="shared" si="18"/>
        <v/>
      </c>
      <c r="X78">
        <f>IF($T78="",N($X77),IF(MATCH($T78,$T$6:$T$10005,0)=ROW()-5,N($X77)+1,N($X77)))</f>
        <v>0</v>
      </c>
      <c r="Z78" t="str">
        <f t="shared" si="19"/>
        <v/>
      </c>
      <c r="AA78">
        <f>IF($V78="",N($AA77),IF(MATCH($V78,$V$6:$V$10005,0)=ROW()-5,N($AA77)+1,N($AA77)))</f>
        <v>0</v>
      </c>
    </row>
    <row r="79" spans="1:27" ht="21" customHeight="1" x14ac:dyDescent="0.95">
      <c r="A79" s="56"/>
      <c r="B79" s="57"/>
      <c r="C79" s="57"/>
      <c r="D79" s="57"/>
      <c r="E79" s="56"/>
      <c r="F79" s="57"/>
      <c r="G79" s="57"/>
      <c r="H79" s="56"/>
      <c r="I79" s="56"/>
      <c r="J79" s="58"/>
      <c r="K79" s="58"/>
      <c r="L79" s="13" t="str">
        <f t="shared" si="10"/>
        <v/>
      </c>
      <c r="M79" s="13" t="str">
        <f t="shared" si="11"/>
        <v/>
      </c>
      <c r="Q79" t="str">
        <f t="shared" si="12"/>
        <v/>
      </c>
      <c r="R79" t="str">
        <f t="shared" si="13"/>
        <v/>
      </c>
      <c r="S79" t="str">
        <f t="shared" si="14"/>
        <v/>
      </c>
      <c r="T79" t="str">
        <f t="shared" si="15"/>
        <v/>
      </c>
      <c r="U79" t="str">
        <f t="shared" si="16"/>
        <v/>
      </c>
      <c r="V79" t="str">
        <f t="shared" si="17"/>
        <v/>
      </c>
      <c r="W79" t="str">
        <f t="shared" si="18"/>
        <v/>
      </c>
      <c r="X79">
        <f>IF($T79="",N($X78),IF(MATCH($T79,$T$6:$T$10005,0)=ROW()-5,N($X78)+1,N($X78)))</f>
        <v>0</v>
      </c>
      <c r="Z79" t="str">
        <f t="shared" si="19"/>
        <v/>
      </c>
      <c r="AA79">
        <f>IF($V79="",N($AA78),IF(MATCH($V79,$V$6:$V$10005,0)=ROW()-5,N($AA78)+1,N($AA78)))</f>
        <v>0</v>
      </c>
    </row>
    <row r="80" spans="1:27" ht="21" customHeight="1" x14ac:dyDescent="0.95">
      <c r="A80" s="56"/>
      <c r="B80" s="57"/>
      <c r="C80" s="57"/>
      <c r="D80" s="57"/>
      <c r="E80" s="56"/>
      <c r="F80" s="57"/>
      <c r="G80" s="57"/>
      <c r="H80" s="56"/>
      <c r="I80" s="56"/>
      <c r="J80" s="58"/>
      <c r="K80" s="58"/>
      <c r="L80" s="13" t="str">
        <f t="shared" si="10"/>
        <v/>
      </c>
      <c r="M80" s="13" t="str">
        <f t="shared" si="11"/>
        <v/>
      </c>
      <c r="Q80" t="str">
        <f t="shared" si="12"/>
        <v/>
      </c>
      <c r="R80" t="str">
        <f t="shared" si="13"/>
        <v/>
      </c>
      <c r="S80" t="str">
        <f t="shared" si="14"/>
        <v/>
      </c>
      <c r="T80" t="str">
        <f t="shared" si="15"/>
        <v/>
      </c>
      <c r="U80" t="str">
        <f t="shared" si="16"/>
        <v/>
      </c>
      <c r="V80" t="str">
        <f t="shared" si="17"/>
        <v/>
      </c>
      <c r="W80" t="str">
        <f t="shared" si="18"/>
        <v/>
      </c>
      <c r="X80">
        <f>IF($T80="",N($X79),IF(MATCH($T80,$T$6:$T$10005,0)=ROW()-5,N($X79)+1,N($X79)))</f>
        <v>0</v>
      </c>
      <c r="Z80" t="str">
        <f t="shared" si="19"/>
        <v/>
      </c>
      <c r="AA80">
        <f>IF($V80="",N($AA79),IF(MATCH($V80,$V$6:$V$10005,0)=ROW()-5,N($AA79)+1,N($AA79)))</f>
        <v>0</v>
      </c>
    </row>
    <row r="81" spans="1:27" ht="21" customHeight="1" x14ac:dyDescent="0.95">
      <c r="A81" s="56"/>
      <c r="B81" s="57"/>
      <c r="C81" s="57"/>
      <c r="D81" s="57"/>
      <c r="E81" s="56"/>
      <c r="F81" s="57"/>
      <c r="G81" s="57"/>
      <c r="H81" s="56"/>
      <c r="I81" s="56"/>
      <c r="J81" s="58"/>
      <c r="K81" s="58"/>
      <c r="L81" s="13" t="str">
        <f t="shared" si="10"/>
        <v/>
      </c>
      <c r="M81" s="13" t="str">
        <f t="shared" si="11"/>
        <v/>
      </c>
      <c r="Q81" t="str">
        <f t="shared" si="12"/>
        <v/>
      </c>
      <c r="R81" t="str">
        <f t="shared" si="13"/>
        <v/>
      </c>
      <c r="S81" t="str">
        <f t="shared" si="14"/>
        <v/>
      </c>
      <c r="T81" t="str">
        <f t="shared" si="15"/>
        <v/>
      </c>
      <c r="U81" t="str">
        <f t="shared" si="16"/>
        <v/>
      </c>
      <c r="V81" t="str">
        <f t="shared" si="17"/>
        <v/>
      </c>
      <c r="W81" t="str">
        <f t="shared" si="18"/>
        <v/>
      </c>
      <c r="X81">
        <f>IF($T81="",N($X80),IF(MATCH($T81,$T$6:$T$10005,0)=ROW()-5,N($X80)+1,N($X80)))</f>
        <v>0</v>
      </c>
      <c r="Z81" t="str">
        <f t="shared" si="19"/>
        <v/>
      </c>
      <c r="AA81">
        <f>IF($V81="",N($AA80),IF(MATCH($V81,$V$6:$V$10005,0)=ROW()-5,N($AA80)+1,N($AA80)))</f>
        <v>0</v>
      </c>
    </row>
    <row r="82" spans="1:27" ht="21" customHeight="1" x14ac:dyDescent="0.95">
      <c r="A82" s="56"/>
      <c r="B82" s="57"/>
      <c r="C82" s="57"/>
      <c r="D82" s="57"/>
      <c r="E82" s="56"/>
      <c r="F82" s="57"/>
      <c r="G82" s="57"/>
      <c r="H82" s="56"/>
      <c r="I82" s="56"/>
      <c r="J82" s="58"/>
      <c r="K82" s="58"/>
      <c r="L82" s="13" t="str">
        <f t="shared" si="10"/>
        <v/>
      </c>
      <c r="M82" s="13" t="str">
        <f t="shared" si="11"/>
        <v/>
      </c>
      <c r="Q82" t="str">
        <f t="shared" si="12"/>
        <v/>
      </c>
      <c r="R82" t="str">
        <f t="shared" si="13"/>
        <v/>
      </c>
      <c r="S82" t="str">
        <f t="shared" si="14"/>
        <v/>
      </c>
      <c r="T82" t="str">
        <f t="shared" si="15"/>
        <v/>
      </c>
      <c r="U82" t="str">
        <f t="shared" si="16"/>
        <v/>
      </c>
      <c r="V82" t="str">
        <f t="shared" si="17"/>
        <v/>
      </c>
      <c r="W82" t="str">
        <f t="shared" si="18"/>
        <v/>
      </c>
      <c r="X82">
        <f>IF($T82="",N($X81),IF(MATCH($T82,$T$6:$T$10005,0)=ROW()-5,N($X81)+1,N($X81)))</f>
        <v>0</v>
      </c>
      <c r="Z82" t="str">
        <f t="shared" si="19"/>
        <v/>
      </c>
      <c r="AA82">
        <f>IF($V82="",N($AA81),IF(MATCH($V82,$V$6:$V$10005,0)=ROW()-5,N($AA81)+1,N($AA81)))</f>
        <v>0</v>
      </c>
    </row>
    <row r="83" spans="1:27" ht="21" customHeight="1" x14ac:dyDescent="0.95">
      <c r="A83" s="56"/>
      <c r="B83" s="57"/>
      <c r="C83" s="57"/>
      <c r="D83" s="57"/>
      <c r="E83" s="56"/>
      <c r="F83" s="57"/>
      <c r="G83" s="57"/>
      <c r="H83" s="56"/>
      <c r="I83" s="56"/>
      <c r="J83" s="58"/>
      <c r="K83" s="58"/>
      <c r="L83" s="13" t="str">
        <f t="shared" si="10"/>
        <v/>
      </c>
      <c r="M83" s="13" t="str">
        <f t="shared" si="11"/>
        <v/>
      </c>
      <c r="Q83" t="str">
        <f t="shared" si="12"/>
        <v/>
      </c>
      <c r="R83" t="str">
        <f t="shared" si="13"/>
        <v/>
      </c>
      <c r="S83" t="str">
        <f t="shared" si="14"/>
        <v/>
      </c>
      <c r="T83" t="str">
        <f t="shared" si="15"/>
        <v/>
      </c>
      <c r="U83" t="str">
        <f t="shared" si="16"/>
        <v/>
      </c>
      <c r="V83" t="str">
        <f t="shared" si="17"/>
        <v/>
      </c>
      <c r="W83" t="str">
        <f t="shared" si="18"/>
        <v/>
      </c>
      <c r="X83">
        <f>IF($T83="",N($X82),IF(MATCH($T83,$T$6:$T$10005,0)=ROW()-5,N($X82)+1,N($X82)))</f>
        <v>0</v>
      </c>
      <c r="Z83" t="str">
        <f t="shared" si="19"/>
        <v/>
      </c>
      <c r="AA83">
        <f>IF($V83="",N($AA82),IF(MATCH($V83,$V$6:$V$10005,0)=ROW()-5,N($AA82)+1,N($AA82)))</f>
        <v>0</v>
      </c>
    </row>
    <row r="84" spans="1:27" ht="21" customHeight="1" x14ac:dyDescent="0.95">
      <c r="A84" s="56"/>
      <c r="B84" s="57"/>
      <c r="C84" s="57"/>
      <c r="D84" s="57"/>
      <c r="E84" s="56"/>
      <c r="F84" s="57"/>
      <c r="G84" s="57"/>
      <c r="H84" s="56"/>
      <c r="I84" s="56"/>
      <c r="J84" s="58"/>
      <c r="K84" s="58"/>
      <c r="L84" s="13" t="str">
        <f t="shared" si="10"/>
        <v/>
      </c>
      <c r="M84" s="13" t="str">
        <f t="shared" si="11"/>
        <v/>
      </c>
      <c r="Q84" t="str">
        <f t="shared" si="12"/>
        <v/>
      </c>
      <c r="R84" t="str">
        <f t="shared" si="13"/>
        <v/>
      </c>
      <c r="S84" t="str">
        <f t="shared" si="14"/>
        <v/>
      </c>
      <c r="T84" t="str">
        <f t="shared" si="15"/>
        <v/>
      </c>
      <c r="U84" t="str">
        <f t="shared" si="16"/>
        <v/>
      </c>
      <c r="V84" t="str">
        <f t="shared" si="17"/>
        <v/>
      </c>
      <c r="W84" t="str">
        <f t="shared" si="18"/>
        <v/>
      </c>
      <c r="X84">
        <f>IF($T84="",N($X83),IF(MATCH($T84,$T$6:$T$10005,0)=ROW()-5,N($X83)+1,N($X83)))</f>
        <v>0</v>
      </c>
      <c r="Z84" t="str">
        <f t="shared" si="19"/>
        <v/>
      </c>
      <c r="AA84">
        <f>IF($V84="",N($AA83),IF(MATCH($V84,$V$6:$V$10005,0)=ROW()-5,N($AA83)+1,N($AA83)))</f>
        <v>0</v>
      </c>
    </row>
    <row r="85" spans="1:27" ht="21" customHeight="1" x14ac:dyDescent="0.95">
      <c r="A85" s="56"/>
      <c r="B85" s="57"/>
      <c r="C85" s="57"/>
      <c r="D85" s="57"/>
      <c r="E85" s="56"/>
      <c r="F85" s="57"/>
      <c r="G85" s="57"/>
      <c r="H85" s="56"/>
      <c r="I85" s="56"/>
      <c r="J85" s="58"/>
      <c r="K85" s="58"/>
      <c r="L85" s="13" t="str">
        <f t="shared" si="10"/>
        <v/>
      </c>
      <c r="M85" s="13" t="str">
        <f t="shared" si="11"/>
        <v/>
      </c>
      <c r="Q85" t="str">
        <f t="shared" si="12"/>
        <v/>
      </c>
      <c r="R85" t="str">
        <f t="shared" si="13"/>
        <v/>
      </c>
      <c r="S85" t="str">
        <f t="shared" si="14"/>
        <v/>
      </c>
      <c r="T85" t="str">
        <f t="shared" si="15"/>
        <v/>
      </c>
      <c r="U85" t="str">
        <f t="shared" si="16"/>
        <v/>
      </c>
      <c r="V85" t="str">
        <f t="shared" si="17"/>
        <v/>
      </c>
      <c r="W85" t="str">
        <f t="shared" si="18"/>
        <v/>
      </c>
      <c r="X85">
        <f>IF($T85="",N($X84),IF(MATCH($T85,$T$6:$T$10005,0)=ROW()-5,N($X84)+1,N($X84)))</f>
        <v>0</v>
      </c>
      <c r="Z85" t="str">
        <f t="shared" si="19"/>
        <v/>
      </c>
      <c r="AA85">
        <f>IF($V85="",N($AA84),IF(MATCH($V85,$V$6:$V$10005,0)=ROW()-5,N($AA84)+1,N($AA84)))</f>
        <v>0</v>
      </c>
    </row>
    <row r="86" spans="1:27" ht="21" customHeight="1" x14ac:dyDescent="0.95">
      <c r="A86" s="56"/>
      <c r="B86" s="57"/>
      <c r="C86" s="57"/>
      <c r="D86" s="57"/>
      <c r="E86" s="56"/>
      <c r="F86" s="57"/>
      <c r="G86" s="57"/>
      <c r="H86" s="56"/>
      <c r="I86" s="56"/>
      <c r="J86" s="58"/>
      <c r="K86" s="58"/>
      <c r="L86" s="13" t="str">
        <f t="shared" si="10"/>
        <v/>
      </c>
      <c r="M86" s="13" t="str">
        <f t="shared" si="11"/>
        <v/>
      </c>
      <c r="Q86" t="str">
        <f t="shared" si="12"/>
        <v/>
      </c>
      <c r="R86" t="str">
        <f t="shared" si="13"/>
        <v/>
      </c>
      <c r="S86" t="str">
        <f t="shared" si="14"/>
        <v/>
      </c>
      <c r="T86" t="str">
        <f t="shared" si="15"/>
        <v/>
      </c>
      <c r="U86" t="str">
        <f t="shared" si="16"/>
        <v/>
      </c>
      <c r="V86" t="str">
        <f t="shared" si="17"/>
        <v/>
      </c>
      <c r="W86" t="str">
        <f t="shared" si="18"/>
        <v/>
      </c>
      <c r="X86">
        <f>IF($T86="",N($X85),IF(MATCH($T86,$T$6:$T$10005,0)=ROW()-5,N($X85)+1,N($X85)))</f>
        <v>0</v>
      </c>
      <c r="Z86" t="str">
        <f t="shared" si="19"/>
        <v/>
      </c>
      <c r="AA86">
        <f>IF($V86="",N($AA85),IF(MATCH($V86,$V$6:$V$10005,0)=ROW()-5,N($AA85)+1,N($AA85)))</f>
        <v>0</v>
      </c>
    </row>
    <row r="87" spans="1:27" ht="21" customHeight="1" x14ac:dyDescent="0.95">
      <c r="A87" s="56"/>
      <c r="B87" s="57"/>
      <c r="C87" s="57"/>
      <c r="D87" s="57"/>
      <c r="E87" s="56"/>
      <c r="F87" s="57"/>
      <c r="G87" s="57"/>
      <c r="H87" s="56"/>
      <c r="I87" s="56"/>
      <c r="J87" s="58"/>
      <c r="K87" s="58"/>
      <c r="L87" s="13" t="str">
        <f t="shared" si="10"/>
        <v/>
      </c>
      <c r="M87" s="13" t="str">
        <f t="shared" si="11"/>
        <v/>
      </c>
      <c r="Q87" t="str">
        <f t="shared" si="12"/>
        <v/>
      </c>
      <c r="R87" t="str">
        <f t="shared" si="13"/>
        <v/>
      </c>
      <c r="S87" t="str">
        <f t="shared" si="14"/>
        <v/>
      </c>
      <c r="T87" t="str">
        <f t="shared" si="15"/>
        <v/>
      </c>
      <c r="U87" t="str">
        <f t="shared" si="16"/>
        <v/>
      </c>
      <c r="V87" t="str">
        <f t="shared" si="17"/>
        <v/>
      </c>
      <c r="W87" t="str">
        <f t="shared" si="18"/>
        <v/>
      </c>
      <c r="X87">
        <f>IF($T87="",N($X86),IF(MATCH($T87,$T$6:$T$10005,0)=ROW()-5,N($X86)+1,N($X86)))</f>
        <v>0</v>
      </c>
      <c r="Z87" t="str">
        <f t="shared" si="19"/>
        <v/>
      </c>
      <c r="AA87">
        <f>IF($V87="",N($AA86),IF(MATCH($V87,$V$6:$V$10005,0)=ROW()-5,N($AA86)+1,N($AA86)))</f>
        <v>0</v>
      </c>
    </row>
    <row r="88" spans="1:27" ht="21" customHeight="1" x14ac:dyDescent="0.95">
      <c r="A88" s="56"/>
      <c r="B88" s="57"/>
      <c r="C88" s="57"/>
      <c r="D88" s="57"/>
      <c r="E88" s="56"/>
      <c r="F88" s="57"/>
      <c r="G88" s="57"/>
      <c r="H88" s="56"/>
      <c r="I88" s="56"/>
      <c r="J88" s="58"/>
      <c r="K88" s="58"/>
      <c r="L88" s="13" t="str">
        <f t="shared" si="10"/>
        <v/>
      </c>
      <c r="M88" s="13" t="str">
        <f t="shared" si="11"/>
        <v/>
      </c>
      <c r="Q88" t="str">
        <f t="shared" si="12"/>
        <v/>
      </c>
      <c r="R88" t="str">
        <f t="shared" si="13"/>
        <v/>
      </c>
      <c r="S88" t="str">
        <f t="shared" si="14"/>
        <v/>
      </c>
      <c r="T88" t="str">
        <f t="shared" si="15"/>
        <v/>
      </c>
      <c r="U88" t="str">
        <f t="shared" si="16"/>
        <v/>
      </c>
      <c r="V88" t="str">
        <f t="shared" si="17"/>
        <v/>
      </c>
      <c r="W88" t="str">
        <f t="shared" si="18"/>
        <v/>
      </c>
      <c r="X88">
        <f>IF($T88="",N($X87),IF(MATCH($T88,$T$6:$T$10005,0)=ROW()-5,N($X87)+1,N($X87)))</f>
        <v>0</v>
      </c>
      <c r="Z88" t="str">
        <f t="shared" si="19"/>
        <v/>
      </c>
      <c r="AA88">
        <f>IF($V88="",N($AA87),IF(MATCH($V88,$V$6:$V$10005,0)=ROW()-5,N($AA87)+1,N($AA87)))</f>
        <v>0</v>
      </c>
    </row>
    <row r="89" spans="1:27" ht="21" customHeight="1" x14ac:dyDescent="0.95">
      <c r="A89" s="56"/>
      <c r="B89" s="57"/>
      <c r="C89" s="57"/>
      <c r="D89" s="57"/>
      <c r="E89" s="56"/>
      <c r="F89" s="57"/>
      <c r="G89" s="57"/>
      <c r="H89" s="56"/>
      <c r="I89" s="56"/>
      <c r="J89" s="58"/>
      <c r="K89" s="58"/>
      <c r="L89" s="13" t="str">
        <f t="shared" si="10"/>
        <v/>
      </c>
      <c r="M89" s="13" t="str">
        <f t="shared" si="11"/>
        <v/>
      </c>
      <c r="Q89" t="str">
        <f t="shared" si="12"/>
        <v/>
      </c>
      <c r="R89" t="str">
        <f t="shared" si="13"/>
        <v/>
      </c>
      <c r="S89" t="str">
        <f t="shared" si="14"/>
        <v/>
      </c>
      <c r="T89" t="str">
        <f t="shared" si="15"/>
        <v/>
      </c>
      <c r="U89" t="str">
        <f t="shared" si="16"/>
        <v/>
      </c>
      <c r="V89" t="str">
        <f t="shared" si="17"/>
        <v/>
      </c>
      <c r="W89" t="str">
        <f t="shared" si="18"/>
        <v/>
      </c>
      <c r="X89">
        <f>IF($T89="",N($X88),IF(MATCH($T89,$T$6:$T$10005,0)=ROW()-5,N($X88)+1,N($X88)))</f>
        <v>0</v>
      </c>
      <c r="Z89" t="str">
        <f t="shared" si="19"/>
        <v/>
      </c>
      <c r="AA89">
        <f>IF($V89="",N($AA88),IF(MATCH($V89,$V$6:$V$10005,0)=ROW()-5,N($AA88)+1,N($AA88)))</f>
        <v>0</v>
      </c>
    </row>
    <row r="90" spans="1:27" ht="21" customHeight="1" x14ac:dyDescent="0.95">
      <c r="A90" s="56"/>
      <c r="B90" s="57"/>
      <c r="C90" s="57"/>
      <c r="D90" s="57"/>
      <c r="E90" s="56"/>
      <c r="F90" s="57"/>
      <c r="G90" s="57"/>
      <c r="H90" s="56"/>
      <c r="I90" s="56"/>
      <c r="J90" s="58"/>
      <c r="K90" s="58"/>
      <c r="L90" s="13" t="str">
        <f t="shared" si="10"/>
        <v/>
      </c>
      <c r="M90" s="13" t="str">
        <f t="shared" si="11"/>
        <v/>
      </c>
      <c r="Q90" t="str">
        <f t="shared" si="12"/>
        <v/>
      </c>
      <c r="R90" t="str">
        <f t="shared" si="13"/>
        <v/>
      </c>
      <c r="S90" t="str">
        <f t="shared" si="14"/>
        <v/>
      </c>
      <c r="T90" t="str">
        <f t="shared" si="15"/>
        <v/>
      </c>
      <c r="U90" t="str">
        <f t="shared" si="16"/>
        <v/>
      </c>
      <c r="V90" t="str">
        <f t="shared" si="17"/>
        <v/>
      </c>
      <c r="W90" t="str">
        <f t="shared" si="18"/>
        <v/>
      </c>
      <c r="X90">
        <f>IF($T90="",N($X89),IF(MATCH($T90,$T$6:$T$10005,0)=ROW()-5,N($X89)+1,N($X89)))</f>
        <v>0</v>
      </c>
      <c r="Z90" t="str">
        <f t="shared" si="19"/>
        <v/>
      </c>
      <c r="AA90">
        <f>IF($V90="",N($AA89),IF(MATCH($V90,$V$6:$V$10005,0)=ROW()-5,N($AA89)+1,N($AA89)))</f>
        <v>0</v>
      </c>
    </row>
    <row r="91" spans="1:27" ht="21" customHeight="1" x14ac:dyDescent="0.95">
      <c r="A91" s="56"/>
      <c r="B91" s="57"/>
      <c r="C91" s="57"/>
      <c r="D91" s="57"/>
      <c r="E91" s="56"/>
      <c r="F91" s="57"/>
      <c r="G91" s="57"/>
      <c r="H91" s="56"/>
      <c r="I91" s="56"/>
      <c r="J91" s="58"/>
      <c r="K91" s="58"/>
      <c r="L91" s="13" t="str">
        <f t="shared" si="10"/>
        <v/>
      </c>
      <c r="M91" s="13" t="str">
        <f t="shared" si="11"/>
        <v/>
      </c>
      <c r="Q91" t="str">
        <f t="shared" si="12"/>
        <v/>
      </c>
      <c r="R91" t="str">
        <f t="shared" si="13"/>
        <v/>
      </c>
      <c r="S91" t="str">
        <f t="shared" si="14"/>
        <v/>
      </c>
      <c r="T91" t="str">
        <f t="shared" si="15"/>
        <v/>
      </c>
      <c r="U91" t="str">
        <f t="shared" si="16"/>
        <v/>
      </c>
      <c r="V91" t="str">
        <f t="shared" si="17"/>
        <v/>
      </c>
      <c r="W91" t="str">
        <f t="shared" si="18"/>
        <v/>
      </c>
      <c r="X91">
        <f>IF($T91="",N($X90),IF(MATCH($T91,$T$6:$T$10005,0)=ROW()-5,N($X90)+1,N($X90)))</f>
        <v>0</v>
      </c>
      <c r="Z91" t="str">
        <f t="shared" si="19"/>
        <v/>
      </c>
      <c r="AA91">
        <f>IF($V91="",N($AA90),IF(MATCH($V91,$V$6:$V$10005,0)=ROW()-5,N($AA90)+1,N($AA90)))</f>
        <v>0</v>
      </c>
    </row>
    <row r="92" spans="1:27" ht="21" customHeight="1" x14ac:dyDescent="0.95">
      <c r="A92" s="56"/>
      <c r="B92" s="57"/>
      <c r="C92" s="57"/>
      <c r="D92" s="57"/>
      <c r="E92" s="56"/>
      <c r="F92" s="57"/>
      <c r="G92" s="57"/>
      <c r="H92" s="56"/>
      <c r="I92" s="56"/>
      <c r="J92" s="58"/>
      <c r="K92" s="58"/>
      <c r="L92" s="13" t="str">
        <f t="shared" si="10"/>
        <v/>
      </c>
      <c r="M92" s="13" t="str">
        <f t="shared" si="11"/>
        <v/>
      </c>
      <c r="Q92" t="str">
        <f t="shared" si="12"/>
        <v/>
      </c>
      <c r="R92" t="str">
        <f t="shared" si="13"/>
        <v/>
      </c>
      <c r="S92" t="str">
        <f t="shared" si="14"/>
        <v/>
      </c>
      <c r="T92" t="str">
        <f t="shared" si="15"/>
        <v/>
      </c>
      <c r="U92" t="str">
        <f t="shared" si="16"/>
        <v/>
      </c>
      <c r="V92" t="str">
        <f t="shared" si="17"/>
        <v/>
      </c>
      <c r="W92" t="str">
        <f t="shared" si="18"/>
        <v/>
      </c>
      <c r="X92">
        <f>IF($T92="",N($X91),IF(MATCH($T92,$T$6:$T$10005,0)=ROW()-5,N($X91)+1,N($X91)))</f>
        <v>0</v>
      </c>
      <c r="Z92" t="str">
        <f t="shared" si="19"/>
        <v/>
      </c>
      <c r="AA92">
        <f>IF($V92="",N($AA91),IF(MATCH($V92,$V$6:$V$10005,0)=ROW()-5,N($AA91)+1,N($AA91)))</f>
        <v>0</v>
      </c>
    </row>
    <row r="93" spans="1:27" ht="21" customHeight="1" x14ac:dyDescent="0.95">
      <c r="A93" s="56"/>
      <c r="B93" s="57"/>
      <c r="C93" s="57"/>
      <c r="D93" s="57"/>
      <c r="E93" s="56"/>
      <c r="F93" s="57"/>
      <c r="G93" s="57"/>
      <c r="H93" s="56"/>
      <c r="I93" s="56"/>
      <c r="J93" s="58"/>
      <c r="K93" s="58"/>
      <c r="L93" s="13" t="str">
        <f t="shared" si="10"/>
        <v/>
      </c>
      <c r="M93" s="13" t="str">
        <f t="shared" si="11"/>
        <v/>
      </c>
      <c r="Q93" t="str">
        <f t="shared" si="12"/>
        <v/>
      </c>
      <c r="R93" t="str">
        <f t="shared" si="13"/>
        <v/>
      </c>
      <c r="S93" t="str">
        <f t="shared" si="14"/>
        <v/>
      </c>
      <c r="T93" t="str">
        <f t="shared" si="15"/>
        <v/>
      </c>
      <c r="U93" t="str">
        <f t="shared" si="16"/>
        <v/>
      </c>
      <c r="V93" t="str">
        <f t="shared" si="17"/>
        <v/>
      </c>
      <c r="W93" t="str">
        <f t="shared" si="18"/>
        <v/>
      </c>
      <c r="X93">
        <f>IF($T93="",N($X92),IF(MATCH($T93,$T$6:$T$10005,0)=ROW()-5,N($X92)+1,N($X92)))</f>
        <v>0</v>
      </c>
      <c r="Z93" t="str">
        <f t="shared" si="19"/>
        <v/>
      </c>
      <c r="AA93">
        <f>IF($V93="",N($AA92),IF(MATCH($V93,$V$6:$V$10005,0)=ROW()-5,N($AA92)+1,N($AA92)))</f>
        <v>0</v>
      </c>
    </row>
    <row r="94" spans="1:27" ht="21" customHeight="1" x14ac:dyDescent="0.95">
      <c r="A94" s="56"/>
      <c r="B94" s="57"/>
      <c r="C94" s="57"/>
      <c r="D94" s="57"/>
      <c r="E94" s="56"/>
      <c r="F94" s="57"/>
      <c r="G94" s="57"/>
      <c r="H94" s="56"/>
      <c r="I94" s="56"/>
      <c r="J94" s="58"/>
      <c r="K94" s="58"/>
      <c r="L94" s="13" t="str">
        <f t="shared" si="10"/>
        <v/>
      </c>
      <c r="M94" s="13" t="str">
        <f t="shared" si="11"/>
        <v/>
      </c>
      <c r="Q94" t="str">
        <f t="shared" si="12"/>
        <v/>
      </c>
      <c r="R94" t="str">
        <f t="shared" si="13"/>
        <v/>
      </c>
      <c r="S94" t="str">
        <f t="shared" si="14"/>
        <v/>
      </c>
      <c r="T94" t="str">
        <f t="shared" si="15"/>
        <v/>
      </c>
      <c r="U94" t="str">
        <f t="shared" si="16"/>
        <v/>
      </c>
      <c r="V94" t="str">
        <f t="shared" si="17"/>
        <v/>
      </c>
      <c r="W94" t="str">
        <f t="shared" si="18"/>
        <v/>
      </c>
      <c r="X94">
        <f>IF($T94="",N($X93),IF(MATCH($T94,$T$6:$T$10005,0)=ROW()-5,N($X93)+1,N($X93)))</f>
        <v>0</v>
      </c>
      <c r="Z94" t="str">
        <f t="shared" si="19"/>
        <v/>
      </c>
      <c r="AA94">
        <f>IF($V94="",N($AA93),IF(MATCH($V94,$V$6:$V$10005,0)=ROW()-5,N($AA93)+1,N($AA93)))</f>
        <v>0</v>
      </c>
    </row>
    <row r="95" spans="1:27" ht="21" customHeight="1" x14ac:dyDescent="0.95">
      <c r="A95" s="56"/>
      <c r="B95" s="57"/>
      <c r="C95" s="57"/>
      <c r="D95" s="57"/>
      <c r="E95" s="56"/>
      <c r="F95" s="57"/>
      <c r="G95" s="57"/>
      <c r="H95" s="56"/>
      <c r="I95" s="56"/>
      <c r="J95" s="58"/>
      <c r="K95" s="58"/>
      <c r="L95" s="13" t="str">
        <f t="shared" si="10"/>
        <v/>
      </c>
      <c r="M95" s="13" t="str">
        <f t="shared" si="11"/>
        <v/>
      </c>
      <c r="Q95" t="str">
        <f t="shared" si="12"/>
        <v/>
      </c>
      <c r="R95" t="str">
        <f t="shared" si="13"/>
        <v/>
      </c>
      <c r="S95" t="str">
        <f t="shared" si="14"/>
        <v/>
      </c>
      <c r="T95" t="str">
        <f t="shared" si="15"/>
        <v/>
      </c>
      <c r="U95" t="str">
        <f t="shared" si="16"/>
        <v/>
      </c>
      <c r="V95" t="str">
        <f t="shared" si="17"/>
        <v/>
      </c>
      <c r="W95" t="str">
        <f t="shared" si="18"/>
        <v/>
      </c>
      <c r="X95">
        <f>IF($T95="",N($X94),IF(MATCH($T95,$T$6:$T$10005,0)=ROW()-5,N($X94)+1,N($X94)))</f>
        <v>0</v>
      </c>
      <c r="Z95" t="str">
        <f t="shared" si="19"/>
        <v/>
      </c>
      <c r="AA95">
        <f>IF($V95="",N($AA94),IF(MATCH($V95,$V$6:$V$10005,0)=ROW()-5,N($AA94)+1,N($AA94)))</f>
        <v>0</v>
      </c>
    </row>
    <row r="96" spans="1:27" ht="21" customHeight="1" x14ac:dyDescent="0.95">
      <c r="A96" s="56"/>
      <c r="B96" s="57"/>
      <c r="C96" s="57"/>
      <c r="D96" s="57"/>
      <c r="E96" s="56"/>
      <c r="F96" s="57"/>
      <c r="G96" s="57"/>
      <c r="H96" s="56"/>
      <c r="I96" s="56"/>
      <c r="J96" s="58"/>
      <c r="K96" s="58"/>
      <c r="L96" s="13" t="str">
        <f t="shared" si="10"/>
        <v/>
      </c>
      <c r="M96" s="13" t="str">
        <f t="shared" si="11"/>
        <v/>
      </c>
      <c r="Q96" t="str">
        <f t="shared" si="12"/>
        <v/>
      </c>
      <c r="R96" t="str">
        <f t="shared" si="13"/>
        <v/>
      </c>
      <c r="S96" t="str">
        <f t="shared" si="14"/>
        <v/>
      </c>
      <c r="T96" t="str">
        <f t="shared" si="15"/>
        <v/>
      </c>
      <c r="U96" t="str">
        <f t="shared" si="16"/>
        <v/>
      </c>
      <c r="V96" t="str">
        <f t="shared" si="17"/>
        <v/>
      </c>
      <c r="W96" t="str">
        <f t="shared" si="18"/>
        <v/>
      </c>
      <c r="X96">
        <f>IF($T96="",N($X95),IF(MATCH($T96,$T$6:$T$10005,0)=ROW()-5,N($X95)+1,N($X95)))</f>
        <v>0</v>
      </c>
      <c r="Z96" t="str">
        <f t="shared" si="19"/>
        <v/>
      </c>
      <c r="AA96">
        <f>IF($V96="",N($AA95),IF(MATCH($V96,$V$6:$V$10005,0)=ROW()-5,N($AA95)+1,N($AA95)))</f>
        <v>0</v>
      </c>
    </row>
    <row r="97" spans="1:27" ht="21" customHeight="1" x14ac:dyDescent="0.95">
      <c r="A97" s="56"/>
      <c r="B97" s="57"/>
      <c r="C97" s="57"/>
      <c r="D97" s="57"/>
      <c r="E97" s="56"/>
      <c r="F97" s="57"/>
      <c r="G97" s="57"/>
      <c r="H97" s="56"/>
      <c r="I97" s="56"/>
      <c r="J97" s="58"/>
      <c r="K97" s="58"/>
      <c r="L97" s="13" t="str">
        <f t="shared" si="10"/>
        <v/>
      </c>
      <c r="M97" s="13" t="str">
        <f t="shared" si="11"/>
        <v/>
      </c>
      <c r="Q97" t="str">
        <f t="shared" si="12"/>
        <v/>
      </c>
      <c r="R97" t="str">
        <f t="shared" si="13"/>
        <v/>
      </c>
      <c r="S97" t="str">
        <f t="shared" si="14"/>
        <v/>
      </c>
      <c r="T97" t="str">
        <f t="shared" si="15"/>
        <v/>
      </c>
      <c r="U97" t="str">
        <f t="shared" si="16"/>
        <v/>
      </c>
      <c r="V97" t="str">
        <f t="shared" si="17"/>
        <v/>
      </c>
      <c r="W97" t="str">
        <f t="shared" si="18"/>
        <v/>
      </c>
      <c r="X97">
        <f>IF($T97="",N($X96),IF(MATCH($T97,$T$6:$T$10005,0)=ROW()-5,N($X96)+1,N($X96)))</f>
        <v>0</v>
      </c>
      <c r="Z97" t="str">
        <f t="shared" si="19"/>
        <v/>
      </c>
      <c r="AA97">
        <f>IF($V97="",N($AA96),IF(MATCH($V97,$V$6:$V$10005,0)=ROW()-5,N($AA96)+1,N($AA96)))</f>
        <v>0</v>
      </c>
    </row>
    <row r="98" spans="1:27" ht="21" customHeight="1" x14ac:dyDescent="0.95">
      <c r="A98" s="56"/>
      <c r="B98" s="57"/>
      <c r="C98" s="57"/>
      <c r="D98" s="57"/>
      <c r="E98" s="56"/>
      <c r="F98" s="57"/>
      <c r="G98" s="57"/>
      <c r="H98" s="56"/>
      <c r="I98" s="56"/>
      <c r="J98" s="58"/>
      <c r="K98" s="58"/>
      <c r="L98" s="13" t="str">
        <f t="shared" si="10"/>
        <v/>
      </c>
      <c r="M98" s="13" t="str">
        <f t="shared" si="11"/>
        <v/>
      </c>
      <c r="Q98" t="str">
        <f t="shared" si="12"/>
        <v/>
      </c>
      <c r="R98" t="str">
        <f t="shared" si="13"/>
        <v/>
      </c>
      <c r="S98" t="str">
        <f t="shared" si="14"/>
        <v/>
      </c>
      <c r="T98" t="str">
        <f t="shared" si="15"/>
        <v/>
      </c>
      <c r="U98" t="str">
        <f t="shared" si="16"/>
        <v/>
      </c>
      <c r="V98" t="str">
        <f t="shared" si="17"/>
        <v/>
      </c>
      <c r="W98" t="str">
        <f t="shared" si="18"/>
        <v/>
      </c>
      <c r="X98">
        <f>IF($T98="",N($X97),IF(MATCH($T98,$T$6:$T$10005,0)=ROW()-5,N($X97)+1,N($X97)))</f>
        <v>0</v>
      </c>
      <c r="Z98" t="str">
        <f t="shared" si="19"/>
        <v/>
      </c>
      <c r="AA98">
        <f>IF($V98="",N($AA97),IF(MATCH($V98,$V$6:$V$10005,0)=ROW()-5,N($AA97)+1,N($AA97)))</f>
        <v>0</v>
      </c>
    </row>
    <row r="99" spans="1:27" ht="21" customHeight="1" x14ac:dyDescent="0.95">
      <c r="A99" s="56"/>
      <c r="B99" s="57"/>
      <c r="C99" s="57"/>
      <c r="D99" s="57"/>
      <c r="E99" s="56"/>
      <c r="F99" s="57"/>
      <c r="G99" s="57"/>
      <c r="H99" s="56"/>
      <c r="I99" s="56"/>
      <c r="J99" s="58"/>
      <c r="K99" s="58"/>
      <c r="L99" s="13" t="str">
        <f t="shared" si="10"/>
        <v/>
      </c>
      <c r="M99" s="13" t="str">
        <f t="shared" si="11"/>
        <v/>
      </c>
      <c r="Q99" t="str">
        <f t="shared" si="12"/>
        <v/>
      </c>
      <c r="R99" t="str">
        <f t="shared" si="13"/>
        <v/>
      </c>
      <c r="S99" t="str">
        <f t="shared" si="14"/>
        <v/>
      </c>
      <c r="T99" t="str">
        <f t="shared" si="15"/>
        <v/>
      </c>
      <c r="U99" t="str">
        <f t="shared" si="16"/>
        <v/>
      </c>
      <c r="V99" t="str">
        <f t="shared" si="17"/>
        <v/>
      </c>
      <c r="W99" t="str">
        <f t="shared" si="18"/>
        <v/>
      </c>
      <c r="X99">
        <f>IF($T99="",N($X98),IF(MATCH($T99,$T$6:$T$10005,0)=ROW()-5,N($X98)+1,N($X98)))</f>
        <v>0</v>
      </c>
      <c r="Z99" t="str">
        <f t="shared" si="19"/>
        <v/>
      </c>
      <c r="AA99">
        <f>IF($V99="",N($AA98),IF(MATCH($V99,$V$6:$V$10005,0)=ROW()-5,N($AA98)+1,N($AA98)))</f>
        <v>0</v>
      </c>
    </row>
    <row r="100" spans="1:27" ht="21" customHeight="1" x14ac:dyDescent="0.95">
      <c r="A100" s="56"/>
      <c r="B100" s="57"/>
      <c r="C100" s="57"/>
      <c r="D100" s="57"/>
      <c r="E100" s="56"/>
      <c r="F100" s="57"/>
      <c r="G100" s="57"/>
      <c r="H100" s="56"/>
      <c r="I100" s="56"/>
      <c r="J100" s="58"/>
      <c r="K100" s="58"/>
      <c r="L100" s="13" t="str">
        <f t="shared" si="10"/>
        <v/>
      </c>
      <c r="M100" s="13" t="str">
        <f t="shared" si="11"/>
        <v/>
      </c>
      <c r="Q100" t="str">
        <f t="shared" si="12"/>
        <v/>
      </c>
      <c r="R100" t="str">
        <f t="shared" si="13"/>
        <v/>
      </c>
      <c r="S100" t="str">
        <f t="shared" si="14"/>
        <v/>
      </c>
      <c r="T100" t="str">
        <f t="shared" si="15"/>
        <v/>
      </c>
      <c r="U100" t="str">
        <f t="shared" si="16"/>
        <v/>
      </c>
      <c r="V100" t="str">
        <f t="shared" si="17"/>
        <v/>
      </c>
      <c r="W100" t="str">
        <f t="shared" si="18"/>
        <v/>
      </c>
      <c r="X100">
        <f>IF($T100="",N($X99),IF(MATCH($T100,$T$6:$T$10005,0)=ROW()-5,N($X99)+1,N($X99)))</f>
        <v>0</v>
      </c>
      <c r="Z100" t="str">
        <f t="shared" si="19"/>
        <v/>
      </c>
      <c r="AA100">
        <f>IF($V100="",N($AA99),IF(MATCH($V100,$V$6:$V$10005,0)=ROW()-5,N($AA99)+1,N($AA99)))</f>
        <v>0</v>
      </c>
    </row>
    <row r="101" spans="1:27" ht="21" customHeight="1" x14ac:dyDescent="0.95">
      <c r="A101" s="56"/>
      <c r="B101" s="57"/>
      <c r="C101" s="57"/>
      <c r="D101" s="57"/>
      <c r="E101" s="56"/>
      <c r="F101" s="57"/>
      <c r="G101" s="57"/>
      <c r="H101" s="56"/>
      <c r="I101" s="56"/>
      <c r="J101" s="58"/>
      <c r="K101" s="58"/>
      <c r="L101" s="13" t="str">
        <f t="shared" si="10"/>
        <v/>
      </c>
      <c r="M101" s="13" t="str">
        <f t="shared" si="11"/>
        <v/>
      </c>
      <c r="Q101" t="str">
        <f t="shared" si="12"/>
        <v/>
      </c>
      <c r="R101" t="str">
        <f t="shared" si="13"/>
        <v/>
      </c>
      <c r="S101" t="str">
        <f t="shared" si="14"/>
        <v/>
      </c>
      <c r="T101" t="str">
        <f t="shared" si="15"/>
        <v/>
      </c>
      <c r="U101" t="str">
        <f t="shared" si="16"/>
        <v/>
      </c>
      <c r="V101" t="str">
        <f t="shared" si="17"/>
        <v/>
      </c>
      <c r="W101" t="str">
        <f t="shared" si="18"/>
        <v/>
      </c>
      <c r="X101">
        <f>IF($T101="",N($X100),IF(MATCH($T101,$T$6:$T$10005,0)=ROW()-5,N($X100)+1,N($X100)))</f>
        <v>0</v>
      </c>
      <c r="Z101" t="str">
        <f t="shared" si="19"/>
        <v/>
      </c>
      <c r="AA101">
        <f>IF($V101="",N($AA100),IF(MATCH($V101,$V$6:$V$10005,0)=ROW()-5,N($AA100)+1,N($AA100)))</f>
        <v>0</v>
      </c>
    </row>
    <row r="102" spans="1:27" ht="21" customHeight="1" x14ac:dyDescent="0.95">
      <c r="A102" s="56"/>
      <c r="B102" s="57"/>
      <c r="C102" s="57"/>
      <c r="D102" s="57"/>
      <c r="E102" s="56"/>
      <c r="F102" s="57"/>
      <c r="G102" s="57"/>
      <c r="H102" s="56"/>
      <c r="I102" s="56"/>
      <c r="J102" s="58"/>
      <c r="K102" s="58"/>
      <c r="L102" s="13" t="str">
        <f t="shared" si="10"/>
        <v/>
      </c>
      <c r="M102" s="13" t="str">
        <f t="shared" si="11"/>
        <v/>
      </c>
      <c r="Q102" t="str">
        <f t="shared" si="12"/>
        <v/>
      </c>
      <c r="R102" t="str">
        <f t="shared" si="13"/>
        <v/>
      </c>
      <c r="S102" t="str">
        <f t="shared" si="14"/>
        <v/>
      </c>
      <c r="T102" t="str">
        <f t="shared" si="15"/>
        <v/>
      </c>
      <c r="U102" t="str">
        <f t="shared" si="16"/>
        <v/>
      </c>
      <c r="V102" t="str">
        <f t="shared" si="17"/>
        <v/>
      </c>
      <c r="W102" t="str">
        <f t="shared" si="18"/>
        <v/>
      </c>
      <c r="X102">
        <f>IF($T102="",N($X101),IF(MATCH($T102,$T$6:$T$10005,0)=ROW()-5,N($X101)+1,N($X101)))</f>
        <v>0</v>
      </c>
      <c r="Z102" t="str">
        <f t="shared" si="19"/>
        <v/>
      </c>
      <c r="AA102">
        <f>IF($V102="",N($AA101),IF(MATCH($V102,$V$6:$V$10005,0)=ROW()-5,N($AA101)+1,N($AA101)))</f>
        <v>0</v>
      </c>
    </row>
    <row r="103" spans="1:27" ht="21" customHeight="1" x14ac:dyDescent="0.95">
      <c r="A103" s="56"/>
      <c r="B103" s="57"/>
      <c r="C103" s="57"/>
      <c r="D103" s="57"/>
      <c r="E103" s="56"/>
      <c r="F103" s="57"/>
      <c r="G103" s="57"/>
      <c r="H103" s="56"/>
      <c r="I103" s="56"/>
      <c r="J103" s="58"/>
      <c r="K103" s="58"/>
      <c r="L103" s="13" t="str">
        <f t="shared" si="10"/>
        <v/>
      </c>
      <c r="M103" s="13" t="str">
        <f t="shared" si="11"/>
        <v/>
      </c>
      <c r="Q103" t="str">
        <f t="shared" si="12"/>
        <v/>
      </c>
      <c r="R103" t="str">
        <f t="shared" si="13"/>
        <v/>
      </c>
      <c r="S103" t="str">
        <f t="shared" si="14"/>
        <v/>
      </c>
      <c r="T103" t="str">
        <f t="shared" si="15"/>
        <v/>
      </c>
      <c r="U103" t="str">
        <f t="shared" si="16"/>
        <v/>
      </c>
      <c r="V103" t="str">
        <f t="shared" si="17"/>
        <v/>
      </c>
      <c r="W103" t="str">
        <f t="shared" si="18"/>
        <v/>
      </c>
      <c r="X103">
        <f>IF($T103="",N($X102),IF(MATCH($T103,$T$6:$T$10005,0)=ROW()-5,N($X102)+1,N($X102)))</f>
        <v>0</v>
      </c>
      <c r="Z103" t="str">
        <f t="shared" si="19"/>
        <v/>
      </c>
      <c r="AA103">
        <f>IF($V103="",N($AA102),IF(MATCH($V103,$V$6:$V$10005,0)=ROW()-5,N($AA102)+1,N($AA102)))</f>
        <v>0</v>
      </c>
    </row>
    <row r="104" spans="1:27" ht="21" customHeight="1" x14ac:dyDescent="0.95">
      <c r="A104" s="56"/>
      <c r="B104" s="57"/>
      <c r="C104" s="57"/>
      <c r="D104" s="57"/>
      <c r="E104" s="56"/>
      <c r="F104" s="57"/>
      <c r="G104" s="57"/>
      <c r="H104" s="56"/>
      <c r="I104" s="56"/>
      <c r="J104" s="58"/>
      <c r="K104" s="58"/>
      <c r="L104" s="13" t="str">
        <f t="shared" si="10"/>
        <v/>
      </c>
      <c r="M104" s="13" t="str">
        <f t="shared" si="11"/>
        <v/>
      </c>
      <c r="Q104" t="str">
        <f t="shared" si="12"/>
        <v/>
      </c>
      <c r="R104" t="str">
        <f t="shared" si="13"/>
        <v/>
      </c>
      <c r="S104" t="str">
        <f t="shared" si="14"/>
        <v/>
      </c>
      <c r="T104" t="str">
        <f t="shared" si="15"/>
        <v/>
      </c>
      <c r="U104" t="str">
        <f t="shared" si="16"/>
        <v/>
      </c>
      <c r="V104" t="str">
        <f t="shared" si="17"/>
        <v/>
      </c>
      <c r="W104" t="str">
        <f t="shared" si="18"/>
        <v/>
      </c>
      <c r="X104">
        <f>IF($T104="",N($X103),IF(MATCH($T104,$T$6:$T$10005,0)=ROW()-5,N($X103)+1,N($X103)))</f>
        <v>0</v>
      </c>
      <c r="Z104" t="str">
        <f t="shared" si="19"/>
        <v/>
      </c>
      <c r="AA104">
        <f>IF($V104="",N($AA103),IF(MATCH($V104,$V$6:$V$10005,0)=ROW()-5,N($AA103)+1,N($AA103)))</f>
        <v>0</v>
      </c>
    </row>
    <row r="105" spans="1:27" ht="21" customHeight="1" x14ac:dyDescent="0.95">
      <c r="A105" s="56"/>
      <c r="B105" s="57"/>
      <c r="C105" s="57"/>
      <c r="D105" s="57"/>
      <c r="E105" s="56"/>
      <c r="F105" s="57"/>
      <c r="G105" s="57"/>
      <c r="H105" s="56"/>
      <c r="I105" s="56"/>
      <c r="J105" s="58"/>
      <c r="K105" s="58"/>
      <c r="L105" s="13" t="str">
        <f t="shared" si="10"/>
        <v/>
      </c>
      <c r="M105" s="13" t="str">
        <f t="shared" si="11"/>
        <v/>
      </c>
      <c r="Q105" t="str">
        <f t="shared" si="12"/>
        <v/>
      </c>
      <c r="R105" t="str">
        <f t="shared" si="13"/>
        <v/>
      </c>
      <c r="S105" t="str">
        <f t="shared" si="14"/>
        <v/>
      </c>
      <c r="T105" t="str">
        <f t="shared" si="15"/>
        <v/>
      </c>
      <c r="U105" t="str">
        <f t="shared" si="16"/>
        <v/>
      </c>
      <c r="V105" t="str">
        <f t="shared" si="17"/>
        <v/>
      </c>
      <c r="W105" t="str">
        <f t="shared" si="18"/>
        <v/>
      </c>
      <c r="X105">
        <f>IF($T105="",N($X104),IF(MATCH($T105,$T$6:$T$10005,0)=ROW()-5,N($X104)+1,N($X104)))</f>
        <v>0</v>
      </c>
      <c r="Z105" t="str">
        <f t="shared" si="19"/>
        <v/>
      </c>
      <c r="AA105">
        <f>IF($V105="",N($AA104),IF(MATCH($V105,$V$6:$V$10005,0)=ROW()-5,N($AA104)+1,N($AA104)))</f>
        <v>0</v>
      </c>
    </row>
    <row r="106" spans="1:27" ht="21" customHeight="1" x14ac:dyDescent="0.95">
      <c r="A106" s="56"/>
      <c r="B106" s="57"/>
      <c r="C106" s="57"/>
      <c r="D106" s="57"/>
      <c r="E106" s="56"/>
      <c r="F106" s="57"/>
      <c r="G106" s="57"/>
      <c r="H106" s="56"/>
      <c r="I106" s="56"/>
      <c r="J106" s="58"/>
      <c r="K106" s="58"/>
      <c r="L106" s="13" t="str">
        <f t="shared" si="10"/>
        <v/>
      </c>
      <c r="M106" s="13" t="str">
        <f t="shared" si="11"/>
        <v/>
      </c>
      <c r="Q106" t="str">
        <f t="shared" si="12"/>
        <v/>
      </c>
      <c r="R106" t="str">
        <f t="shared" si="13"/>
        <v/>
      </c>
      <c r="S106" t="str">
        <f t="shared" si="14"/>
        <v/>
      </c>
      <c r="T106" t="str">
        <f t="shared" si="15"/>
        <v/>
      </c>
      <c r="U106" t="str">
        <f t="shared" si="16"/>
        <v/>
      </c>
      <c r="V106" t="str">
        <f t="shared" si="17"/>
        <v/>
      </c>
      <c r="W106" t="str">
        <f t="shared" si="18"/>
        <v/>
      </c>
      <c r="X106">
        <f>IF($T106="",N($X105),IF(MATCH($T106,$T$6:$T$10005,0)=ROW()-5,N($X105)+1,N($X105)))</f>
        <v>0</v>
      </c>
      <c r="Z106" t="str">
        <f t="shared" si="19"/>
        <v/>
      </c>
      <c r="AA106">
        <f>IF($V106="",N($AA105),IF(MATCH($V106,$V$6:$V$10005,0)=ROW()-5,N($AA105)+1,N($AA105)))</f>
        <v>0</v>
      </c>
    </row>
    <row r="107" spans="1:27" ht="21" customHeight="1" x14ac:dyDescent="0.95">
      <c r="A107" s="56"/>
      <c r="B107" s="57"/>
      <c r="C107" s="57"/>
      <c r="D107" s="57"/>
      <c r="E107" s="56"/>
      <c r="F107" s="57"/>
      <c r="G107" s="57"/>
      <c r="H107" s="56"/>
      <c r="I107" s="56"/>
      <c r="J107" s="58"/>
      <c r="K107" s="58"/>
      <c r="L107" s="13" t="str">
        <f t="shared" si="10"/>
        <v/>
      </c>
      <c r="M107" s="13" t="str">
        <f t="shared" si="11"/>
        <v/>
      </c>
      <c r="Q107" t="str">
        <f t="shared" si="12"/>
        <v/>
      </c>
      <c r="R107" t="str">
        <f t="shared" si="13"/>
        <v/>
      </c>
      <c r="S107" t="str">
        <f t="shared" si="14"/>
        <v/>
      </c>
      <c r="T107" t="str">
        <f t="shared" si="15"/>
        <v/>
      </c>
      <c r="U107" t="str">
        <f t="shared" si="16"/>
        <v/>
      </c>
      <c r="V107" t="str">
        <f t="shared" si="17"/>
        <v/>
      </c>
      <c r="W107" t="str">
        <f t="shared" si="18"/>
        <v/>
      </c>
      <c r="X107">
        <f>IF($T107="",N($X106),IF(MATCH($T107,$T$6:$T$10005,0)=ROW()-5,N($X106)+1,N($X106)))</f>
        <v>0</v>
      </c>
      <c r="Z107" t="str">
        <f t="shared" si="19"/>
        <v/>
      </c>
      <c r="AA107">
        <f>IF($V107="",N($AA106),IF(MATCH($V107,$V$6:$V$10005,0)=ROW()-5,N($AA106)+1,N($AA106)))</f>
        <v>0</v>
      </c>
    </row>
    <row r="108" spans="1:27" ht="21" customHeight="1" x14ac:dyDescent="0.95">
      <c r="A108" s="56"/>
      <c r="B108" s="57"/>
      <c r="C108" s="57"/>
      <c r="D108" s="57"/>
      <c r="E108" s="56"/>
      <c r="F108" s="57"/>
      <c r="G108" s="57"/>
      <c r="H108" s="56"/>
      <c r="I108" s="56"/>
      <c r="J108" s="58"/>
      <c r="K108" s="58"/>
      <c r="L108" s="13" t="str">
        <f t="shared" si="10"/>
        <v/>
      </c>
      <c r="M108" s="13" t="str">
        <f t="shared" si="11"/>
        <v/>
      </c>
      <c r="Q108" t="str">
        <f t="shared" si="12"/>
        <v/>
      </c>
      <c r="R108" t="str">
        <f t="shared" si="13"/>
        <v/>
      </c>
      <c r="S108" t="str">
        <f t="shared" si="14"/>
        <v/>
      </c>
      <c r="T108" t="str">
        <f t="shared" si="15"/>
        <v/>
      </c>
      <c r="U108" t="str">
        <f t="shared" si="16"/>
        <v/>
      </c>
      <c r="V108" t="str">
        <f t="shared" si="17"/>
        <v/>
      </c>
      <c r="W108" t="str">
        <f t="shared" si="18"/>
        <v/>
      </c>
      <c r="X108">
        <f>IF($T108="",N($X107),IF(MATCH($T108,$T$6:$T$10005,0)=ROW()-5,N($X107)+1,N($X107)))</f>
        <v>0</v>
      </c>
      <c r="Z108" t="str">
        <f t="shared" si="19"/>
        <v/>
      </c>
      <c r="AA108">
        <f>IF($V108="",N($AA107),IF(MATCH($V108,$V$6:$V$10005,0)=ROW()-5,N($AA107)+1,N($AA107)))</f>
        <v>0</v>
      </c>
    </row>
    <row r="109" spans="1:27" ht="21" customHeight="1" x14ac:dyDescent="0.95">
      <c r="A109" s="56"/>
      <c r="B109" s="57"/>
      <c r="C109" s="57"/>
      <c r="D109" s="57"/>
      <c r="E109" s="56"/>
      <c r="F109" s="57"/>
      <c r="G109" s="57"/>
      <c r="H109" s="56"/>
      <c r="I109" s="56"/>
      <c r="J109" s="58"/>
      <c r="K109" s="58"/>
      <c r="L109" s="13" t="str">
        <f t="shared" si="10"/>
        <v/>
      </c>
      <c r="M109" s="13" t="str">
        <f t="shared" si="11"/>
        <v/>
      </c>
      <c r="Q109" t="str">
        <f t="shared" si="12"/>
        <v/>
      </c>
      <c r="R109" t="str">
        <f t="shared" si="13"/>
        <v/>
      </c>
      <c r="S109" t="str">
        <f t="shared" si="14"/>
        <v/>
      </c>
      <c r="T109" t="str">
        <f t="shared" si="15"/>
        <v/>
      </c>
      <c r="U109" t="str">
        <f t="shared" si="16"/>
        <v/>
      </c>
      <c r="V109" t="str">
        <f t="shared" si="17"/>
        <v/>
      </c>
      <c r="W109" t="str">
        <f t="shared" si="18"/>
        <v/>
      </c>
      <c r="X109">
        <f>IF($T109="",N($X108),IF(MATCH($T109,$T$6:$T$10005,0)=ROW()-5,N($X108)+1,N($X108)))</f>
        <v>0</v>
      </c>
      <c r="Z109" t="str">
        <f t="shared" si="19"/>
        <v/>
      </c>
      <c r="AA109">
        <f>IF($V109="",N($AA108),IF(MATCH($V109,$V$6:$V$10005,0)=ROW()-5,N($AA108)+1,N($AA108)))</f>
        <v>0</v>
      </c>
    </row>
    <row r="110" spans="1:27" ht="21" customHeight="1" x14ac:dyDescent="0.95">
      <c r="A110" s="56"/>
      <c r="B110" s="57"/>
      <c r="C110" s="57"/>
      <c r="D110" s="57"/>
      <c r="E110" s="56"/>
      <c r="F110" s="57"/>
      <c r="G110" s="57"/>
      <c r="H110" s="56"/>
      <c r="I110" s="56"/>
      <c r="J110" s="58"/>
      <c r="K110" s="58"/>
      <c r="L110" s="13" t="str">
        <f t="shared" si="10"/>
        <v/>
      </c>
      <c r="M110" s="13" t="str">
        <f t="shared" si="11"/>
        <v/>
      </c>
      <c r="Q110" t="str">
        <f t="shared" si="12"/>
        <v/>
      </c>
      <c r="R110" t="str">
        <f t="shared" si="13"/>
        <v/>
      </c>
      <c r="S110" t="str">
        <f t="shared" si="14"/>
        <v/>
      </c>
      <c r="T110" t="str">
        <f t="shared" si="15"/>
        <v/>
      </c>
      <c r="U110" t="str">
        <f t="shared" si="16"/>
        <v/>
      </c>
      <c r="V110" t="str">
        <f t="shared" si="17"/>
        <v/>
      </c>
      <c r="W110" t="str">
        <f t="shared" si="18"/>
        <v/>
      </c>
      <c r="X110">
        <f>IF($T110="",N($X109),IF(MATCH($T110,$T$6:$T$10005,0)=ROW()-5,N($X109)+1,N($X109)))</f>
        <v>0</v>
      </c>
      <c r="Z110" t="str">
        <f t="shared" si="19"/>
        <v/>
      </c>
      <c r="AA110">
        <f>IF($V110="",N($AA109),IF(MATCH($V110,$V$6:$V$10005,0)=ROW()-5,N($AA109)+1,N($AA109)))</f>
        <v>0</v>
      </c>
    </row>
    <row r="111" spans="1:27" ht="21" customHeight="1" x14ac:dyDescent="0.95">
      <c r="A111" s="56"/>
      <c r="B111" s="57"/>
      <c r="C111" s="57"/>
      <c r="D111" s="57"/>
      <c r="E111" s="56"/>
      <c r="F111" s="57"/>
      <c r="G111" s="57"/>
      <c r="H111" s="56"/>
      <c r="I111" s="56"/>
      <c r="J111" s="58"/>
      <c r="K111" s="58"/>
      <c r="L111" s="13" t="str">
        <f t="shared" si="10"/>
        <v/>
      </c>
      <c r="M111" s="13" t="str">
        <f t="shared" si="11"/>
        <v/>
      </c>
      <c r="Q111" t="str">
        <f t="shared" si="12"/>
        <v/>
      </c>
      <c r="R111" t="str">
        <f t="shared" si="13"/>
        <v/>
      </c>
      <c r="S111" t="str">
        <f t="shared" si="14"/>
        <v/>
      </c>
      <c r="T111" t="str">
        <f t="shared" si="15"/>
        <v/>
      </c>
      <c r="U111" t="str">
        <f t="shared" si="16"/>
        <v/>
      </c>
      <c r="V111" t="str">
        <f t="shared" si="17"/>
        <v/>
      </c>
      <c r="W111" t="str">
        <f t="shared" si="18"/>
        <v/>
      </c>
      <c r="X111">
        <f>IF($T111="",N($X110),IF(MATCH($T111,$T$6:$T$10005,0)=ROW()-5,N($X110)+1,N($X110)))</f>
        <v>0</v>
      </c>
      <c r="Z111" t="str">
        <f t="shared" si="19"/>
        <v/>
      </c>
      <c r="AA111">
        <f>IF($V111="",N($AA110),IF(MATCH($V111,$V$6:$V$10005,0)=ROW()-5,N($AA110)+1,N($AA110)))</f>
        <v>0</v>
      </c>
    </row>
    <row r="112" spans="1:27" ht="21" customHeight="1" x14ac:dyDescent="0.95">
      <c r="A112" s="56"/>
      <c r="B112" s="57"/>
      <c r="C112" s="57"/>
      <c r="D112" s="57"/>
      <c r="E112" s="56"/>
      <c r="F112" s="57"/>
      <c r="G112" s="57"/>
      <c r="H112" s="56"/>
      <c r="I112" s="56"/>
      <c r="J112" s="58"/>
      <c r="K112" s="58"/>
      <c r="L112" s="13" t="str">
        <f t="shared" si="10"/>
        <v/>
      </c>
      <c r="M112" s="13" t="str">
        <f t="shared" si="11"/>
        <v/>
      </c>
      <c r="Q112" t="str">
        <f t="shared" si="12"/>
        <v/>
      </c>
      <c r="R112" t="str">
        <f t="shared" si="13"/>
        <v/>
      </c>
      <c r="S112" t="str">
        <f t="shared" si="14"/>
        <v/>
      </c>
      <c r="T112" t="str">
        <f t="shared" si="15"/>
        <v/>
      </c>
      <c r="U112" t="str">
        <f t="shared" si="16"/>
        <v/>
      </c>
      <c r="V112" t="str">
        <f t="shared" si="17"/>
        <v/>
      </c>
      <c r="W112" t="str">
        <f t="shared" si="18"/>
        <v/>
      </c>
      <c r="X112">
        <f>IF($T112="",N($X111),IF(MATCH($T112,$T$6:$T$10005,0)=ROW()-5,N($X111)+1,N($X111)))</f>
        <v>0</v>
      </c>
      <c r="Z112" t="str">
        <f t="shared" si="19"/>
        <v/>
      </c>
      <c r="AA112">
        <f>IF($V112="",N($AA111),IF(MATCH($V112,$V$6:$V$10005,0)=ROW()-5,N($AA111)+1,N($AA111)))</f>
        <v>0</v>
      </c>
    </row>
    <row r="113" spans="1:27" ht="21" customHeight="1" x14ac:dyDescent="0.95">
      <c r="A113" s="56"/>
      <c r="B113" s="57"/>
      <c r="C113" s="57"/>
      <c r="D113" s="57"/>
      <c r="E113" s="56"/>
      <c r="F113" s="57"/>
      <c r="G113" s="57"/>
      <c r="H113" s="56"/>
      <c r="I113" s="56"/>
      <c r="J113" s="58"/>
      <c r="K113" s="58"/>
      <c r="L113" s="13" t="str">
        <f t="shared" si="10"/>
        <v/>
      </c>
      <c r="M113" s="13" t="str">
        <f t="shared" si="11"/>
        <v/>
      </c>
      <c r="Q113" t="str">
        <f t="shared" si="12"/>
        <v/>
      </c>
      <c r="R113" t="str">
        <f t="shared" si="13"/>
        <v/>
      </c>
      <c r="S113" t="str">
        <f t="shared" si="14"/>
        <v/>
      </c>
      <c r="T113" t="str">
        <f t="shared" si="15"/>
        <v/>
      </c>
      <c r="U113" t="str">
        <f t="shared" si="16"/>
        <v/>
      </c>
      <c r="V113" t="str">
        <f t="shared" si="17"/>
        <v/>
      </c>
      <c r="W113" t="str">
        <f t="shared" si="18"/>
        <v/>
      </c>
      <c r="X113">
        <f>IF($T113="",N($X112),IF(MATCH($T113,$T$6:$T$10005,0)=ROW()-5,N($X112)+1,N($X112)))</f>
        <v>0</v>
      </c>
      <c r="Z113" t="str">
        <f t="shared" si="19"/>
        <v/>
      </c>
      <c r="AA113">
        <f>IF($V113="",N($AA112),IF(MATCH($V113,$V$6:$V$10005,0)=ROW()-5,N($AA112)+1,N($AA112)))</f>
        <v>0</v>
      </c>
    </row>
    <row r="114" spans="1:27" ht="21" customHeight="1" x14ac:dyDescent="0.95">
      <c r="A114" s="56"/>
      <c r="B114" s="57"/>
      <c r="C114" s="57"/>
      <c r="D114" s="57"/>
      <c r="E114" s="56"/>
      <c r="F114" s="57"/>
      <c r="G114" s="57"/>
      <c r="H114" s="56"/>
      <c r="I114" s="56"/>
      <c r="J114" s="58"/>
      <c r="K114" s="58"/>
      <c r="L114" s="13" t="str">
        <f t="shared" si="10"/>
        <v/>
      </c>
      <c r="M114" s="13" t="str">
        <f t="shared" si="11"/>
        <v/>
      </c>
      <c r="Q114" t="str">
        <f t="shared" si="12"/>
        <v/>
      </c>
      <c r="R114" t="str">
        <f t="shared" si="13"/>
        <v/>
      </c>
      <c r="S114" t="str">
        <f t="shared" si="14"/>
        <v/>
      </c>
      <c r="T114" t="str">
        <f t="shared" si="15"/>
        <v/>
      </c>
      <c r="U114" t="str">
        <f t="shared" si="16"/>
        <v/>
      </c>
      <c r="V114" t="str">
        <f t="shared" si="17"/>
        <v/>
      </c>
      <c r="W114" t="str">
        <f t="shared" si="18"/>
        <v/>
      </c>
      <c r="X114">
        <f>IF($T114="",N($X113),IF(MATCH($T114,$T$6:$T$10005,0)=ROW()-5,N($X113)+1,N($X113)))</f>
        <v>0</v>
      </c>
      <c r="Z114" t="str">
        <f t="shared" si="19"/>
        <v/>
      </c>
      <c r="AA114">
        <f>IF($V114="",N($AA113),IF(MATCH($V114,$V$6:$V$10005,0)=ROW()-5,N($AA113)+1,N($AA113)))</f>
        <v>0</v>
      </c>
    </row>
    <row r="115" spans="1:27" ht="21" customHeight="1" x14ac:dyDescent="0.95">
      <c r="A115" s="56"/>
      <c r="B115" s="57"/>
      <c r="C115" s="57"/>
      <c r="D115" s="57"/>
      <c r="E115" s="56"/>
      <c r="F115" s="57"/>
      <c r="G115" s="57"/>
      <c r="H115" s="56"/>
      <c r="I115" s="56"/>
      <c r="J115" s="58"/>
      <c r="K115" s="58"/>
      <c r="L115" s="13" t="str">
        <f t="shared" si="10"/>
        <v/>
      </c>
      <c r="M115" s="13" t="str">
        <f t="shared" si="11"/>
        <v/>
      </c>
      <c r="Q115" t="str">
        <f t="shared" si="12"/>
        <v/>
      </c>
      <c r="R115" t="str">
        <f t="shared" si="13"/>
        <v/>
      </c>
      <c r="S115" t="str">
        <f t="shared" si="14"/>
        <v/>
      </c>
      <c r="T115" t="str">
        <f t="shared" si="15"/>
        <v/>
      </c>
      <c r="U115" t="str">
        <f t="shared" si="16"/>
        <v/>
      </c>
      <c r="V115" t="str">
        <f t="shared" si="17"/>
        <v/>
      </c>
      <c r="W115" t="str">
        <f t="shared" si="18"/>
        <v/>
      </c>
      <c r="X115">
        <f>IF($T115="",N($X114),IF(MATCH($T115,$T$6:$T$10005,0)=ROW()-5,N($X114)+1,N($X114)))</f>
        <v>0</v>
      </c>
      <c r="Z115" t="str">
        <f t="shared" si="19"/>
        <v/>
      </c>
      <c r="AA115">
        <f>IF($V115="",N($AA114),IF(MATCH($V115,$V$6:$V$10005,0)=ROW()-5,N($AA114)+1,N($AA114)))</f>
        <v>0</v>
      </c>
    </row>
    <row r="116" spans="1:27" ht="21" customHeight="1" x14ac:dyDescent="0.95">
      <c r="A116" s="56"/>
      <c r="B116" s="57"/>
      <c r="C116" s="57"/>
      <c r="D116" s="57"/>
      <c r="E116" s="56"/>
      <c r="F116" s="57"/>
      <c r="G116" s="57"/>
      <c r="H116" s="56"/>
      <c r="I116" s="56"/>
      <c r="J116" s="58"/>
      <c r="K116" s="58"/>
      <c r="L116" s="13" t="str">
        <f t="shared" si="10"/>
        <v/>
      </c>
      <c r="M116" s="13" t="str">
        <f t="shared" si="11"/>
        <v/>
      </c>
      <c r="Q116" t="str">
        <f t="shared" si="12"/>
        <v/>
      </c>
      <c r="R116" t="str">
        <f t="shared" si="13"/>
        <v/>
      </c>
      <c r="S116" t="str">
        <f t="shared" si="14"/>
        <v/>
      </c>
      <c r="T116" t="str">
        <f t="shared" si="15"/>
        <v/>
      </c>
      <c r="U116" t="str">
        <f t="shared" si="16"/>
        <v/>
      </c>
      <c r="V116" t="str">
        <f t="shared" si="17"/>
        <v/>
      </c>
      <c r="W116" t="str">
        <f t="shared" si="18"/>
        <v/>
      </c>
      <c r="X116">
        <f>IF($T116="",N($X115),IF(MATCH($T116,$T$6:$T$10005,0)=ROW()-5,N($X115)+1,N($X115)))</f>
        <v>0</v>
      </c>
      <c r="Z116" t="str">
        <f t="shared" si="19"/>
        <v/>
      </c>
      <c r="AA116">
        <f>IF($V116="",N($AA115),IF(MATCH($V116,$V$6:$V$10005,0)=ROW()-5,N($AA115)+1,N($AA115)))</f>
        <v>0</v>
      </c>
    </row>
    <row r="117" spans="1:27" ht="21" customHeight="1" x14ac:dyDescent="0.95">
      <c r="A117" s="56"/>
      <c r="B117" s="57"/>
      <c r="C117" s="57"/>
      <c r="D117" s="57"/>
      <c r="E117" s="56"/>
      <c r="F117" s="57"/>
      <c r="G117" s="57"/>
      <c r="H117" s="56"/>
      <c r="I117" s="56"/>
      <c r="J117" s="58"/>
      <c r="K117" s="58"/>
      <c r="L117" s="13" t="str">
        <f t="shared" si="10"/>
        <v/>
      </c>
      <c r="M117" s="13" t="str">
        <f t="shared" si="11"/>
        <v/>
      </c>
      <c r="Q117" t="str">
        <f t="shared" si="12"/>
        <v/>
      </c>
      <c r="R117" t="str">
        <f t="shared" si="13"/>
        <v/>
      </c>
      <c r="S117" t="str">
        <f t="shared" si="14"/>
        <v/>
      </c>
      <c r="T117" t="str">
        <f t="shared" si="15"/>
        <v/>
      </c>
      <c r="U117" t="str">
        <f t="shared" si="16"/>
        <v/>
      </c>
      <c r="V117" t="str">
        <f t="shared" si="17"/>
        <v/>
      </c>
      <c r="W117" t="str">
        <f t="shared" si="18"/>
        <v/>
      </c>
      <c r="X117">
        <f>IF($T117="",N($X116),IF(MATCH($T117,$T$6:$T$10005,0)=ROW()-5,N($X116)+1,N($X116)))</f>
        <v>0</v>
      </c>
      <c r="Z117" t="str">
        <f t="shared" si="19"/>
        <v/>
      </c>
      <c r="AA117">
        <f>IF($V117="",N($AA116),IF(MATCH($V117,$V$6:$V$10005,0)=ROW()-5,N($AA116)+1,N($AA116)))</f>
        <v>0</v>
      </c>
    </row>
    <row r="118" spans="1:27" ht="21" customHeight="1" x14ac:dyDescent="0.95">
      <c r="A118" s="56"/>
      <c r="B118" s="57"/>
      <c r="C118" s="57"/>
      <c r="D118" s="57"/>
      <c r="E118" s="56"/>
      <c r="F118" s="57"/>
      <c r="G118" s="57"/>
      <c r="H118" s="56"/>
      <c r="I118" s="56"/>
      <c r="J118" s="58"/>
      <c r="K118" s="58"/>
      <c r="L118" s="13" t="str">
        <f t="shared" si="10"/>
        <v/>
      </c>
      <c r="M118" s="13" t="str">
        <f t="shared" si="11"/>
        <v/>
      </c>
      <c r="Q118" t="str">
        <f t="shared" si="12"/>
        <v/>
      </c>
      <c r="R118" t="str">
        <f t="shared" si="13"/>
        <v/>
      </c>
      <c r="S118" t="str">
        <f t="shared" si="14"/>
        <v/>
      </c>
      <c r="T118" t="str">
        <f t="shared" si="15"/>
        <v/>
      </c>
      <c r="U118" t="str">
        <f t="shared" si="16"/>
        <v/>
      </c>
      <c r="V118" t="str">
        <f t="shared" si="17"/>
        <v/>
      </c>
      <c r="W118" t="str">
        <f t="shared" si="18"/>
        <v/>
      </c>
      <c r="X118">
        <f>IF($T118="",N($X117),IF(MATCH($T118,$T$6:$T$10005,0)=ROW()-5,N($X117)+1,N($X117)))</f>
        <v>0</v>
      </c>
      <c r="Z118" t="str">
        <f t="shared" si="19"/>
        <v/>
      </c>
      <c r="AA118">
        <f>IF($V118="",N($AA117),IF(MATCH($V118,$V$6:$V$10005,0)=ROW()-5,N($AA117)+1,N($AA117)))</f>
        <v>0</v>
      </c>
    </row>
    <row r="119" spans="1:27" ht="21" customHeight="1" x14ac:dyDescent="0.95">
      <c r="A119" s="56"/>
      <c r="B119" s="57"/>
      <c r="C119" s="57"/>
      <c r="D119" s="57"/>
      <c r="E119" s="56"/>
      <c r="F119" s="57"/>
      <c r="G119" s="57"/>
      <c r="H119" s="56"/>
      <c r="I119" s="56"/>
      <c r="J119" s="58"/>
      <c r="K119" s="58"/>
      <c r="L119" s="13" t="str">
        <f t="shared" si="10"/>
        <v/>
      </c>
      <c r="M119" s="13" t="str">
        <f t="shared" si="11"/>
        <v/>
      </c>
      <c r="Q119" t="str">
        <f t="shared" si="12"/>
        <v/>
      </c>
      <c r="R119" t="str">
        <f t="shared" si="13"/>
        <v/>
      </c>
      <c r="S119" t="str">
        <f t="shared" si="14"/>
        <v/>
      </c>
      <c r="T119" t="str">
        <f t="shared" si="15"/>
        <v/>
      </c>
      <c r="U119" t="str">
        <f t="shared" si="16"/>
        <v/>
      </c>
      <c r="V119" t="str">
        <f t="shared" si="17"/>
        <v/>
      </c>
      <c r="W119" t="str">
        <f t="shared" si="18"/>
        <v/>
      </c>
      <c r="X119">
        <f>IF($T119="",N($X118),IF(MATCH($T119,$T$6:$T$10005,0)=ROW()-5,N($X118)+1,N($X118)))</f>
        <v>0</v>
      </c>
      <c r="Z119" t="str">
        <f t="shared" si="19"/>
        <v/>
      </c>
      <c r="AA119">
        <f>IF($V119="",N($AA118),IF(MATCH($V119,$V$6:$V$10005,0)=ROW()-5,N($AA118)+1,N($AA118)))</f>
        <v>0</v>
      </c>
    </row>
    <row r="120" spans="1:27" ht="21" customHeight="1" x14ac:dyDescent="0.95">
      <c r="A120" s="56"/>
      <c r="B120" s="57"/>
      <c r="C120" s="57"/>
      <c r="D120" s="57"/>
      <c r="E120" s="56"/>
      <c r="F120" s="57"/>
      <c r="G120" s="57"/>
      <c r="H120" s="56"/>
      <c r="I120" s="56"/>
      <c r="J120" s="58"/>
      <c r="K120" s="58"/>
      <c r="L120" s="13" t="str">
        <f t="shared" si="10"/>
        <v/>
      </c>
      <c r="M120" s="13" t="str">
        <f t="shared" si="11"/>
        <v/>
      </c>
      <c r="Q120" t="str">
        <f t="shared" si="12"/>
        <v/>
      </c>
      <c r="R120" t="str">
        <f t="shared" si="13"/>
        <v/>
      </c>
      <c r="S120" t="str">
        <f t="shared" si="14"/>
        <v/>
      </c>
      <c r="T120" t="str">
        <f t="shared" si="15"/>
        <v/>
      </c>
      <c r="U120" t="str">
        <f t="shared" si="16"/>
        <v/>
      </c>
      <c r="V120" t="str">
        <f t="shared" si="17"/>
        <v/>
      </c>
      <c r="W120" t="str">
        <f t="shared" si="18"/>
        <v/>
      </c>
      <c r="X120">
        <f>IF($T120="",N($X119),IF(MATCH($T120,$T$6:$T$10005,0)=ROW()-5,N($X119)+1,N($X119)))</f>
        <v>0</v>
      </c>
      <c r="Z120" t="str">
        <f t="shared" si="19"/>
        <v/>
      </c>
      <c r="AA120">
        <f>IF($V120="",N($AA119),IF(MATCH($V120,$V$6:$V$10005,0)=ROW()-5,N($AA119)+1,N($AA119)))</f>
        <v>0</v>
      </c>
    </row>
    <row r="121" spans="1:27" ht="21" customHeight="1" x14ac:dyDescent="0.95">
      <c r="A121" s="56"/>
      <c r="B121" s="57"/>
      <c r="C121" s="57"/>
      <c r="D121" s="57"/>
      <c r="E121" s="56"/>
      <c r="F121" s="57"/>
      <c r="G121" s="57"/>
      <c r="H121" s="56"/>
      <c r="I121" s="56"/>
      <c r="J121" s="58"/>
      <c r="K121" s="58"/>
      <c r="L121" s="13" t="str">
        <f t="shared" si="10"/>
        <v/>
      </c>
      <c r="M121" s="13" t="str">
        <f t="shared" si="11"/>
        <v/>
      </c>
      <c r="Q121" t="str">
        <f t="shared" si="12"/>
        <v/>
      </c>
      <c r="R121" t="str">
        <f t="shared" si="13"/>
        <v/>
      </c>
      <c r="S121" t="str">
        <f t="shared" si="14"/>
        <v/>
      </c>
      <c r="T121" t="str">
        <f t="shared" si="15"/>
        <v/>
      </c>
      <c r="U121" t="str">
        <f t="shared" si="16"/>
        <v/>
      </c>
      <c r="V121" t="str">
        <f t="shared" si="17"/>
        <v/>
      </c>
      <c r="W121" t="str">
        <f t="shared" si="18"/>
        <v/>
      </c>
      <c r="X121">
        <f>IF($T121="",N($X120),IF(MATCH($T121,$T$6:$T$10005,0)=ROW()-5,N($X120)+1,N($X120)))</f>
        <v>0</v>
      </c>
      <c r="Z121" t="str">
        <f t="shared" si="19"/>
        <v/>
      </c>
      <c r="AA121">
        <f>IF($V121="",N($AA120),IF(MATCH($V121,$V$6:$V$10005,0)=ROW()-5,N($AA120)+1,N($AA120)))</f>
        <v>0</v>
      </c>
    </row>
    <row r="122" spans="1:27" ht="21" customHeight="1" x14ac:dyDescent="0.95">
      <c r="A122" s="56"/>
      <c r="B122" s="57"/>
      <c r="C122" s="57"/>
      <c r="D122" s="57"/>
      <c r="E122" s="56"/>
      <c r="F122" s="57"/>
      <c r="G122" s="57"/>
      <c r="H122" s="56"/>
      <c r="I122" s="56"/>
      <c r="J122" s="58"/>
      <c r="K122" s="58"/>
      <c r="L122" s="13" t="str">
        <f t="shared" si="10"/>
        <v/>
      </c>
      <c r="M122" s="13" t="str">
        <f t="shared" si="11"/>
        <v/>
      </c>
      <c r="Q122" t="str">
        <f t="shared" si="12"/>
        <v/>
      </c>
      <c r="R122" t="str">
        <f t="shared" si="13"/>
        <v/>
      </c>
      <c r="S122" t="str">
        <f t="shared" si="14"/>
        <v/>
      </c>
      <c r="T122" t="str">
        <f t="shared" si="15"/>
        <v/>
      </c>
      <c r="U122" t="str">
        <f t="shared" si="16"/>
        <v/>
      </c>
      <c r="V122" t="str">
        <f t="shared" si="17"/>
        <v/>
      </c>
      <c r="W122" t="str">
        <f t="shared" si="18"/>
        <v/>
      </c>
      <c r="X122">
        <f>IF($T122="",N($X121),IF(MATCH($T122,$T$6:$T$10005,0)=ROW()-5,N($X121)+1,N($X121)))</f>
        <v>0</v>
      </c>
      <c r="Z122" t="str">
        <f t="shared" si="19"/>
        <v/>
      </c>
      <c r="AA122">
        <f>IF($V122="",N($AA121),IF(MATCH($V122,$V$6:$V$10005,0)=ROW()-5,N($AA121)+1,N($AA121)))</f>
        <v>0</v>
      </c>
    </row>
    <row r="123" spans="1:27" ht="21" customHeight="1" x14ac:dyDescent="0.95">
      <c r="A123" s="56"/>
      <c r="B123" s="57"/>
      <c r="C123" s="57"/>
      <c r="D123" s="57"/>
      <c r="E123" s="56"/>
      <c r="F123" s="57"/>
      <c r="G123" s="57"/>
      <c r="H123" s="56"/>
      <c r="I123" s="56"/>
      <c r="J123" s="58"/>
      <c r="K123" s="58"/>
      <c r="L123" s="13" t="str">
        <f t="shared" si="10"/>
        <v/>
      </c>
      <c r="M123" s="13" t="str">
        <f t="shared" si="11"/>
        <v/>
      </c>
      <c r="Q123" t="str">
        <f t="shared" si="12"/>
        <v/>
      </c>
      <c r="R123" t="str">
        <f t="shared" si="13"/>
        <v/>
      </c>
      <c r="S123" t="str">
        <f t="shared" si="14"/>
        <v/>
      </c>
      <c r="T123" t="str">
        <f t="shared" si="15"/>
        <v/>
      </c>
      <c r="U123" t="str">
        <f t="shared" si="16"/>
        <v/>
      </c>
      <c r="V123" t="str">
        <f t="shared" si="17"/>
        <v/>
      </c>
      <c r="W123" t="str">
        <f t="shared" si="18"/>
        <v/>
      </c>
      <c r="X123">
        <f>IF($T123="",N($X122),IF(MATCH($T123,$T$6:$T$10005,0)=ROW()-5,N($X122)+1,N($X122)))</f>
        <v>0</v>
      </c>
      <c r="Z123" t="str">
        <f t="shared" si="19"/>
        <v/>
      </c>
      <c r="AA123">
        <f>IF($V123="",N($AA122),IF(MATCH($V123,$V$6:$V$10005,0)=ROW()-5,N($AA122)+1,N($AA122)))</f>
        <v>0</v>
      </c>
    </row>
    <row r="124" spans="1:27" ht="21" customHeight="1" x14ac:dyDescent="0.95">
      <c r="A124" s="56"/>
      <c r="B124" s="57"/>
      <c r="C124" s="57"/>
      <c r="D124" s="57"/>
      <c r="E124" s="56"/>
      <c r="F124" s="57"/>
      <c r="G124" s="57"/>
      <c r="H124" s="56"/>
      <c r="I124" s="56"/>
      <c r="J124" s="58"/>
      <c r="K124" s="58"/>
      <c r="L124" s="13" t="str">
        <f t="shared" si="10"/>
        <v/>
      </c>
      <c r="M124" s="13" t="str">
        <f t="shared" si="11"/>
        <v/>
      </c>
      <c r="Q124" t="str">
        <f t="shared" si="12"/>
        <v/>
      </c>
      <c r="R124" t="str">
        <f t="shared" si="13"/>
        <v/>
      </c>
      <c r="S124" t="str">
        <f t="shared" si="14"/>
        <v/>
      </c>
      <c r="T124" t="str">
        <f t="shared" si="15"/>
        <v/>
      </c>
      <c r="U124" t="str">
        <f t="shared" si="16"/>
        <v/>
      </c>
      <c r="V124" t="str">
        <f t="shared" si="17"/>
        <v/>
      </c>
      <c r="W124" t="str">
        <f t="shared" si="18"/>
        <v/>
      </c>
      <c r="X124">
        <f>IF($T124="",N($X123),IF(MATCH($T124,$T$6:$T$10005,0)=ROW()-5,N($X123)+1,N($X123)))</f>
        <v>0</v>
      </c>
      <c r="Z124" t="str">
        <f t="shared" si="19"/>
        <v/>
      </c>
      <c r="AA124">
        <f>IF($V124="",N($AA123),IF(MATCH($V124,$V$6:$V$10005,0)=ROW()-5,N($AA123)+1,N($AA123)))</f>
        <v>0</v>
      </c>
    </row>
    <row r="125" spans="1:27" ht="21" customHeight="1" x14ac:dyDescent="0.95">
      <c r="A125" s="56"/>
      <c r="B125" s="57"/>
      <c r="C125" s="57"/>
      <c r="D125" s="57"/>
      <c r="E125" s="56"/>
      <c r="F125" s="57"/>
      <c r="G125" s="57"/>
      <c r="H125" s="56"/>
      <c r="I125" s="56"/>
      <c r="J125" s="58"/>
      <c r="K125" s="58"/>
      <c r="L125" s="13" t="str">
        <f t="shared" si="10"/>
        <v/>
      </c>
      <c r="M125" s="13" t="str">
        <f t="shared" si="11"/>
        <v/>
      </c>
      <c r="Q125" t="str">
        <f t="shared" si="12"/>
        <v/>
      </c>
      <c r="R125" t="str">
        <f t="shared" si="13"/>
        <v/>
      </c>
      <c r="S125" t="str">
        <f t="shared" si="14"/>
        <v/>
      </c>
      <c r="T125" t="str">
        <f t="shared" si="15"/>
        <v/>
      </c>
      <c r="U125" t="str">
        <f t="shared" si="16"/>
        <v/>
      </c>
      <c r="V125" t="str">
        <f t="shared" si="17"/>
        <v/>
      </c>
      <c r="W125" t="str">
        <f t="shared" si="18"/>
        <v/>
      </c>
      <c r="X125">
        <f>IF($T125="",N($X124),IF(MATCH($T125,$T$6:$T$10005,0)=ROW()-5,N($X124)+1,N($X124)))</f>
        <v>0</v>
      </c>
      <c r="Z125" t="str">
        <f t="shared" si="19"/>
        <v/>
      </c>
      <c r="AA125">
        <f>IF($V125="",N($AA124),IF(MATCH($V125,$V$6:$V$10005,0)=ROW()-5,N($AA124)+1,N($AA124)))</f>
        <v>0</v>
      </c>
    </row>
    <row r="126" spans="1:27" ht="21" customHeight="1" x14ac:dyDescent="0.95">
      <c r="A126" s="56"/>
      <c r="B126" s="57"/>
      <c r="C126" s="57"/>
      <c r="D126" s="57"/>
      <c r="E126" s="56"/>
      <c r="F126" s="57"/>
      <c r="G126" s="57"/>
      <c r="H126" s="56"/>
      <c r="I126" s="56"/>
      <c r="J126" s="58"/>
      <c r="K126" s="58"/>
      <c r="L126" s="13" t="str">
        <f t="shared" si="10"/>
        <v/>
      </c>
      <c r="M126" s="13" t="str">
        <f t="shared" si="11"/>
        <v/>
      </c>
      <c r="Q126" t="str">
        <f t="shared" si="12"/>
        <v/>
      </c>
      <c r="R126" t="str">
        <f t="shared" si="13"/>
        <v/>
      </c>
      <c r="S126" t="str">
        <f t="shared" si="14"/>
        <v/>
      </c>
      <c r="T126" t="str">
        <f t="shared" si="15"/>
        <v/>
      </c>
      <c r="U126" t="str">
        <f t="shared" si="16"/>
        <v/>
      </c>
      <c r="V126" t="str">
        <f t="shared" si="17"/>
        <v/>
      </c>
      <c r="W126" t="str">
        <f t="shared" si="18"/>
        <v/>
      </c>
      <c r="X126">
        <f>IF($T126="",N($X125),IF(MATCH($T126,$T$6:$T$10005,0)=ROW()-5,N($X125)+1,N($X125)))</f>
        <v>0</v>
      </c>
      <c r="Z126" t="str">
        <f t="shared" si="19"/>
        <v/>
      </c>
      <c r="AA126">
        <f>IF($V126="",N($AA125),IF(MATCH($V126,$V$6:$V$10005,0)=ROW()-5,N($AA125)+1,N($AA125)))</f>
        <v>0</v>
      </c>
    </row>
    <row r="127" spans="1:27" ht="21" customHeight="1" x14ac:dyDescent="0.95">
      <c r="A127" s="56"/>
      <c r="B127" s="57"/>
      <c r="C127" s="57"/>
      <c r="D127" s="57"/>
      <c r="E127" s="56"/>
      <c r="F127" s="57"/>
      <c r="G127" s="57"/>
      <c r="H127" s="56"/>
      <c r="I127" s="56"/>
      <c r="J127" s="58"/>
      <c r="K127" s="58"/>
      <c r="L127" s="13" t="str">
        <f t="shared" si="10"/>
        <v/>
      </c>
      <c r="M127" s="13" t="str">
        <f t="shared" si="11"/>
        <v/>
      </c>
      <c r="Q127" t="str">
        <f t="shared" si="12"/>
        <v/>
      </c>
      <c r="R127" t="str">
        <f t="shared" si="13"/>
        <v/>
      </c>
      <c r="S127" t="str">
        <f t="shared" si="14"/>
        <v/>
      </c>
      <c r="T127" t="str">
        <f t="shared" si="15"/>
        <v/>
      </c>
      <c r="U127" t="str">
        <f t="shared" si="16"/>
        <v/>
      </c>
      <c r="V127" t="str">
        <f t="shared" si="17"/>
        <v/>
      </c>
      <c r="W127" t="str">
        <f t="shared" si="18"/>
        <v/>
      </c>
      <c r="X127">
        <f>IF($T127="",N($X126),IF(MATCH($T127,$T$6:$T$10005,0)=ROW()-5,N($X126)+1,N($X126)))</f>
        <v>0</v>
      </c>
      <c r="Z127" t="str">
        <f t="shared" si="19"/>
        <v/>
      </c>
      <c r="AA127">
        <f>IF($V127="",N($AA126),IF(MATCH($V127,$V$6:$V$10005,0)=ROW()-5,N($AA126)+1,N($AA126)))</f>
        <v>0</v>
      </c>
    </row>
    <row r="128" spans="1:27" ht="21" customHeight="1" x14ac:dyDescent="0.95">
      <c r="A128" s="56"/>
      <c r="B128" s="57"/>
      <c r="C128" s="57"/>
      <c r="D128" s="57"/>
      <c r="E128" s="56"/>
      <c r="F128" s="57"/>
      <c r="G128" s="57"/>
      <c r="H128" s="56"/>
      <c r="I128" s="56"/>
      <c r="J128" s="58"/>
      <c r="K128" s="58"/>
      <c r="L128" s="13" t="str">
        <f t="shared" si="10"/>
        <v/>
      </c>
      <c r="M128" s="13" t="str">
        <f t="shared" si="11"/>
        <v/>
      </c>
      <c r="Q128" t="str">
        <f t="shared" si="12"/>
        <v/>
      </c>
      <c r="R128" t="str">
        <f t="shared" si="13"/>
        <v/>
      </c>
      <c r="S128" t="str">
        <f t="shared" si="14"/>
        <v/>
      </c>
      <c r="T128" t="str">
        <f t="shared" si="15"/>
        <v/>
      </c>
      <c r="U128" t="str">
        <f t="shared" si="16"/>
        <v/>
      </c>
      <c r="V128" t="str">
        <f t="shared" si="17"/>
        <v/>
      </c>
      <c r="W128" t="str">
        <f t="shared" si="18"/>
        <v/>
      </c>
      <c r="X128">
        <f>IF($T128="",N($X127),IF(MATCH($T128,$T$6:$T$10005,0)=ROW()-5,N($X127)+1,N($X127)))</f>
        <v>0</v>
      </c>
      <c r="Z128" t="str">
        <f t="shared" si="19"/>
        <v/>
      </c>
      <c r="AA128">
        <f>IF($V128="",N($AA127),IF(MATCH($V128,$V$6:$V$10005,0)=ROW()-5,N($AA127)+1,N($AA127)))</f>
        <v>0</v>
      </c>
    </row>
    <row r="129" spans="1:27" ht="21" customHeight="1" x14ac:dyDescent="0.95">
      <c r="A129" s="56"/>
      <c r="B129" s="57"/>
      <c r="C129" s="57"/>
      <c r="D129" s="57"/>
      <c r="E129" s="56"/>
      <c r="F129" s="57"/>
      <c r="G129" s="57"/>
      <c r="H129" s="56"/>
      <c r="I129" s="56"/>
      <c r="J129" s="58"/>
      <c r="K129" s="58"/>
      <c r="L129" s="13" t="str">
        <f t="shared" si="10"/>
        <v/>
      </c>
      <c r="M129" s="13" t="str">
        <f t="shared" si="11"/>
        <v/>
      </c>
      <c r="Q129" t="str">
        <f t="shared" si="12"/>
        <v/>
      </c>
      <c r="R129" t="str">
        <f t="shared" si="13"/>
        <v/>
      </c>
      <c r="S129" t="str">
        <f t="shared" si="14"/>
        <v/>
      </c>
      <c r="T129" t="str">
        <f t="shared" si="15"/>
        <v/>
      </c>
      <c r="U129" t="str">
        <f t="shared" si="16"/>
        <v/>
      </c>
      <c r="V129" t="str">
        <f t="shared" si="17"/>
        <v/>
      </c>
      <c r="W129" t="str">
        <f t="shared" si="18"/>
        <v/>
      </c>
      <c r="X129">
        <f>IF($T129="",N($X128),IF(MATCH($T129,$T$6:$T$10005,0)=ROW()-5,N($X128)+1,N($X128)))</f>
        <v>0</v>
      </c>
      <c r="Z129" t="str">
        <f t="shared" si="19"/>
        <v/>
      </c>
      <c r="AA129">
        <f>IF($V129="",N($AA128),IF(MATCH($V129,$V$6:$V$10005,0)=ROW()-5,N($AA128)+1,N($AA128)))</f>
        <v>0</v>
      </c>
    </row>
    <row r="130" spans="1:27" ht="21" customHeight="1" x14ac:dyDescent="0.95">
      <c r="A130" s="56"/>
      <c r="B130" s="57"/>
      <c r="C130" s="57"/>
      <c r="D130" s="57"/>
      <c r="E130" s="56"/>
      <c r="F130" s="57"/>
      <c r="G130" s="57"/>
      <c r="H130" s="56"/>
      <c r="I130" s="56"/>
      <c r="J130" s="58"/>
      <c r="K130" s="58"/>
      <c r="L130" s="13" t="str">
        <f t="shared" si="10"/>
        <v/>
      </c>
      <c r="M130" s="13" t="str">
        <f t="shared" si="11"/>
        <v/>
      </c>
      <c r="Q130" t="str">
        <f t="shared" si="12"/>
        <v/>
      </c>
      <c r="R130" t="str">
        <f t="shared" si="13"/>
        <v/>
      </c>
      <c r="S130" t="str">
        <f t="shared" si="14"/>
        <v/>
      </c>
      <c r="T130" t="str">
        <f t="shared" si="15"/>
        <v/>
      </c>
      <c r="U130" t="str">
        <f t="shared" si="16"/>
        <v/>
      </c>
      <c r="V130" t="str">
        <f t="shared" si="17"/>
        <v/>
      </c>
      <c r="W130" t="str">
        <f t="shared" si="18"/>
        <v/>
      </c>
      <c r="X130">
        <f>IF($T130="",N($X129),IF(MATCH($T130,$T$6:$T$10005,0)=ROW()-5,N($X129)+1,N($X129)))</f>
        <v>0</v>
      </c>
      <c r="Z130" t="str">
        <f t="shared" si="19"/>
        <v/>
      </c>
      <c r="AA130">
        <f>IF($V130="",N($AA129),IF(MATCH($V130,$V$6:$V$10005,0)=ROW()-5,N($AA129)+1,N($AA129)))</f>
        <v>0</v>
      </c>
    </row>
    <row r="131" spans="1:27" ht="21" customHeight="1" x14ac:dyDescent="0.95">
      <c r="A131" s="56"/>
      <c r="B131" s="57"/>
      <c r="C131" s="57"/>
      <c r="D131" s="57"/>
      <c r="E131" s="56"/>
      <c r="F131" s="57"/>
      <c r="G131" s="57"/>
      <c r="H131" s="56"/>
      <c r="I131" s="56"/>
      <c r="J131" s="58"/>
      <c r="K131" s="58"/>
      <c r="L131" s="13" t="str">
        <f t="shared" si="10"/>
        <v/>
      </c>
      <c r="M131" s="13" t="str">
        <f t="shared" si="11"/>
        <v/>
      </c>
      <c r="Q131" t="str">
        <f t="shared" si="12"/>
        <v/>
      </c>
      <c r="R131" t="str">
        <f t="shared" si="13"/>
        <v/>
      </c>
      <c r="S131" t="str">
        <f t="shared" si="14"/>
        <v/>
      </c>
      <c r="T131" t="str">
        <f t="shared" si="15"/>
        <v/>
      </c>
      <c r="U131" t="str">
        <f t="shared" si="16"/>
        <v/>
      </c>
      <c r="V131" t="str">
        <f t="shared" si="17"/>
        <v/>
      </c>
      <c r="W131" t="str">
        <f t="shared" si="18"/>
        <v/>
      </c>
      <c r="X131">
        <f>IF($T131="",N($X130),IF(MATCH($T131,$T$6:$T$10005,0)=ROW()-5,N($X130)+1,N($X130)))</f>
        <v>0</v>
      </c>
      <c r="Z131" t="str">
        <f t="shared" si="19"/>
        <v/>
      </c>
      <c r="AA131">
        <f>IF($V131="",N($AA130),IF(MATCH($V131,$V$6:$V$10005,0)=ROW()-5,N($AA130)+1,N($AA130)))</f>
        <v>0</v>
      </c>
    </row>
    <row r="132" spans="1:27" ht="21" customHeight="1" x14ac:dyDescent="0.95">
      <c r="A132" s="56"/>
      <c r="B132" s="57"/>
      <c r="C132" s="57"/>
      <c r="D132" s="57"/>
      <c r="E132" s="56"/>
      <c r="F132" s="57"/>
      <c r="G132" s="57"/>
      <c r="H132" s="56"/>
      <c r="I132" s="56"/>
      <c r="J132" s="58"/>
      <c r="K132" s="58"/>
      <c r="L132" s="13" t="str">
        <f t="shared" si="10"/>
        <v/>
      </c>
      <c r="M132" s="13" t="str">
        <f t="shared" si="11"/>
        <v/>
      </c>
      <c r="Q132" t="str">
        <f t="shared" si="12"/>
        <v/>
      </c>
      <c r="R132" t="str">
        <f t="shared" si="13"/>
        <v/>
      </c>
      <c r="S132" t="str">
        <f t="shared" si="14"/>
        <v/>
      </c>
      <c r="T132" t="str">
        <f t="shared" si="15"/>
        <v/>
      </c>
      <c r="U132" t="str">
        <f t="shared" si="16"/>
        <v/>
      </c>
      <c r="V132" t="str">
        <f t="shared" si="17"/>
        <v/>
      </c>
      <c r="W132" t="str">
        <f t="shared" si="18"/>
        <v/>
      </c>
      <c r="X132">
        <f>IF($T132="",N($X131),IF(MATCH($T132,$T$6:$T$10005,0)=ROW()-5,N($X131)+1,N($X131)))</f>
        <v>0</v>
      </c>
      <c r="Z132" t="str">
        <f t="shared" si="19"/>
        <v/>
      </c>
      <c r="AA132">
        <f>IF($V132="",N($AA131),IF(MATCH($V132,$V$6:$V$10005,0)=ROW()-5,N($AA131)+1,N($AA131)))</f>
        <v>0</v>
      </c>
    </row>
    <row r="133" spans="1:27" ht="21" customHeight="1" x14ac:dyDescent="0.95">
      <c r="A133" s="56"/>
      <c r="B133" s="57"/>
      <c r="C133" s="57"/>
      <c r="D133" s="57"/>
      <c r="E133" s="56"/>
      <c r="F133" s="57"/>
      <c r="G133" s="57"/>
      <c r="H133" s="56"/>
      <c r="I133" s="56"/>
      <c r="J133" s="58"/>
      <c r="K133" s="58"/>
      <c r="L133" s="13" t="str">
        <f t="shared" si="10"/>
        <v/>
      </c>
      <c r="M133" s="13" t="str">
        <f t="shared" si="11"/>
        <v/>
      </c>
      <c r="Q133" t="str">
        <f t="shared" si="12"/>
        <v/>
      </c>
      <c r="R133" t="str">
        <f t="shared" si="13"/>
        <v/>
      </c>
      <c r="S133" t="str">
        <f t="shared" si="14"/>
        <v/>
      </c>
      <c r="T133" t="str">
        <f t="shared" si="15"/>
        <v/>
      </c>
      <c r="U133" t="str">
        <f t="shared" si="16"/>
        <v/>
      </c>
      <c r="V133" t="str">
        <f t="shared" si="17"/>
        <v/>
      </c>
      <c r="W133" t="str">
        <f t="shared" si="18"/>
        <v/>
      </c>
      <c r="X133">
        <f>IF($T133="",N($X132),IF(MATCH($T133,$T$6:$T$10005,0)=ROW()-5,N($X132)+1,N($X132)))</f>
        <v>0</v>
      </c>
      <c r="Z133" t="str">
        <f t="shared" si="19"/>
        <v/>
      </c>
      <c r="AA133">
        <f>IF($V133="",N($AA132),IF(MATCH($V133,$V$6:$V$10005,0)=ROW()-5,N($AA132)+1,N($AA132)))</f>
        <v>0</v>
      </c>
    </row>
    <row r="134" spans="1:27" ht="21" customHeight="1" x14ac:dyDescent="0.95">
      <c r="A134" s="56"/>
      <c r="B134" s="57"/>
      <c r="C134" s="57"/>
      <c r="D134" s="57"/>
      <c r="E134" s="56"/>
      <c r="F134" s="57"/>
      <c r="G134" s="57"/>
      <c r="H134" s="56"/>
      <c r="I134" s="56"/>
      <c r="J134" s="58"/>
      <c r="K134" s="58"/>
      <c r="L134" s="13" t="str">
        <f t="shared" ref="L134:L197" si="20">IF(OR($A134="",AND($J134="",$K134="")),"",ROUND(N($J134)-N($K134),2))</f>
        <v/>
      </c>
      <c r="M134" s="13" t="str">
        <f t="shared" ref="M134:M197" si="21">IF(OR($A134="",AND($J134="",$K134="")),"",MIN($J134,$K134))</f>
        <v/>
      </c>
      <c r="Q134" t="str">
        <f t="shared" ref="Q134:Q197" si="22">IF($A134="","",$D134&amp;"("&amp;SUBSTITUTE($E134," ","")&amp;")")</f>
        <v/>
      </c>
      <c r="R134" t="str">
        <f t="shared" ref="R134:R197" si="23">IF($A134="","",$B134&amp;" - "&amp;$C134)</f>
        <v/>
      </c>
      <c r="S134" t="str">
        <f t="shared" ref="S134:S197" si="24">IF($A134="","",$R134&amp;"|"&amp;$Q134)</f>
        <v/>
      </c>
      <c r="T134" t="str">
        <f t="shared" ref="T134:T197" si="25">IF($A134="","",$S134&amp;"|"&amp;$F134)</f>
        <v/>
      </c>
      <c r="U134" t="str">
        <f t="shared" ref="U134:U197" si="26">IF($A134="","",$R134&amp;"("&amp;$E134&amp;")")</f>
        <v/>
      </c>
      <c r="V134" t="str">
        <f t="shared" ref="V134:V197" si="27">IF($A134="","",$F134&amp;"|"&amp;$U134&amp;"|"&amp;$D134)</f>
        <v/>
      </c>
      <c r="W134" t="str">
        <f t="shared" ref="W134:W197" si="28">IF($T134="","",IF($X134&gt;N($X133),$X134,""))</f>
        <v/>
      </c>
      <c r="X134">
        <f>IF($T134="",N($X133),IF(MATCH($T134,$T$6:$T$10005,0)=ROW()-5,N($X133)+1,N($X133)))</f>
        <v>0</v>
      </c>
      <c r="Z134" t="str">
        <f t="shared" ref="Z134:Z197" si="29">IF($V134="","",IF($AA134&gt;N($AA133),$AA134,""))</f>
        <v/>
      </c>
      <c r="AA134">
        <f>IF($V134="",N($AA133),IF(MATCH($V134,$V$6:$V$10005,0)=ROW()-5,N($AA133)+1,N($AA133)))</f>
        <v>0</v>
      </c>
    </row>
    <row r="135" spans="1:27" ht="21" customHeight="1" x14ac:dyDescent="0.95">
      <c r="A135" s="56"/>
      <c r="B135" s="57"/>
      <c r="C135" s="57"/>
      <c r="D135" s="57"/>
      <c r="E135" s="56"/>
      <c r="F135" s="57"/>
      <c r="G135" s="57"/>
      <c r="H135" s="56"/>
      <c r="I135" s="56"/>
      <c r="J135" s="58"/>
      <c r="K135" s="58"/>
      <c r="L135" s="13" t="str">
        <f t="shared" si="20"/>
        <v/>
      </c>
      <c r="M135" s="13" t="str">
        <f t="shared" si="21"/>
        <v/>
      </c>
      <c r="Q135" t="str">
        <f t="shared" si="22"/>
        <v/>
      </c>
      <c r="R135" t="str">
        <f t="shared" si="23"/>
        <v/>
      </c>
      <c r="S135" t="str">
        <f t="shared" si="24"/>
        <v/>
      </c>
      <c r="T135" t="str">
        <f t="shared" si="25"/>
        <v/>
      </c>
      <c r="U135" t="str">
        <f t="shared" si="26"/>
        <v/>
      </c>
      <c r="V135" t="str">
        <f t="shared" si="27"/>
        <v/>
      </c>
      <c r="W135" t="str">
        <f t="shared" si="28"/>
        <v/>
      </c>
      <c r="X135">
        <f>IF($T135="",N($X134),IF(MATCH($T135,$T$6:$T$10005,0)=ROW()-5,N($X134)+1,N($X134)))</f>
        <v>0</v>
      </c>
      <c r="Z135" t="str">
        <f t="shared" si="29"/>
        <v/>
      </c>
      <c r="AA135">
        <f>IF($V135="",N($AA134),IF(MATCH($V135,$V$6:$V$10005,0)=ROW()-5,N($AA134)+1,N($AA134)))</f>
        <v>0</v>
      </c>
    </row>
    <row r="136" spans="1:27" ht="21" customHeight="1" x14ac:dyDescent="0.95">
      <c r="A136" s="56"/>
      <c r="B136" s="57"/>
      <c r="C136" s="57"/>
      <c r="D136" s="57"/>
      <c r="E136" s="56"/>
      <c r="F136" s="57"/>
      <c r="G136" s="57"/>
      <c r="H136" s="56"/>
      <c r="I136" s="56"/>
      <c r="J136" s="58"/>
      <c r="K136" s="58"/>
      <c r="L136" s="13" t="str">
        <f t="shared" si="20"/>
        <v/>
      </c>
      <c r="M136" s="13" t="str">
        <f t="shared" si="21"/>
        <v/>
      </c>
      <c r="Q136" t="str">
        <f t="shared" si="22"/>
        <v/>
      </c>
      <c r="R136" t="str">
        <f t="shared" si="23"/>
        <v/>
      </c>
      <c r="S136" t="str">
        <f t="shared" si="24"/>
        <v/>
      </c>
      <c r="T136" t="str">
        <f t="shared" si="25"/>
        <v/>
      </c>
      <c r="U136" t="str">
        <f t="shared" si="26"/>
        <v/>
      </c>
      <c r="V136" t="str">
        <f t="shared" si="27"/>
        <v/>
      </c>
      <c r="W136" t="str">
        <f t="shared" si="28"/>
        <v/>
      </c>
      <c r="X136">
        <f>IF($T136="",N($X135),IF(MATCH($T136,$T$6:$T$10005,0)=ROW()-5,N($X135)+1,N($X135)))</f>
        <v>0</v>
      </c>
      <c r="Z136" t="str">
        <f t="shared" si="29"/>
        <v/>
      </c>
      <c r="AA136">
        <f>IF($V136="",N($AA135),IF(MATCH($V136,$V$6:$V$10005,0)=ROW()-5,N($AA135)+1,N($AA135)))</f>
        <v>0</v>
      </c>
    </row>
    <row r="137" spans="1:27" ht="21" customHeight="1" x14ac:dyDescent="0.95">
      <c r="A137" s="56"/>
      <c r="B137" s="57"/>
      <c r="C137" s="57"/>
      <c r="D137" s="57"/>
      <c r="E137" s="56"/>
      <c r="F137" s="57"/>
      <c r="G137" s="57"/>
      <c r="H137" s="56"/>
      <c r="I137" s="56"/>
      <c r="J137" s="58"/>
      <c r="K137" s="58"/>
      <c r="L137" s="13" t="str">
        <f t="shared" si="20"/>
        <v/>
      </c>
      <c r="M137" s="13" t="str">
        <f t="shared" si="21"/>
        <v/>
      </c>
      <c r="Q137" t="str">
        <f t="shared" si="22"/>
        <v/>
      </c>
      <c r="R137" t="str">
        <f t="shared" si="23"/>
        <v/>
      </c>
      <c r="S137" t="str">
        <f t="shared" si="24"/>
        <v/>
      </c>
      <c r="T137" t="str">
        <f t="shared" si="25"/>
        <v/>
      </c>
      <c r="U137" t="str">
        <f t="shared" si="26"/>
        <v/>
      </c>
      <c r="V137" t="str">
        <f t="shared" si="27"/>
        <v/>
      </c>
      <c r="W137" t="str">
        <f t="shared" si="28"/>
        <v/>
      </c>
      <c r="X137">
        <f>IF($T137="",N($X136),IF(MATCH($T137,$T$6:$T$10005,0)=ROW()-5,N($X136)+1,N($X136)))</f>
        <v>0</v>
      </c>
      <c r="Z137" t="str">
        <f t="shared" si="29"/>
        <v/>
      </c>
      <c r="AA137">
        <f>IF($V137="",N($AA136),IF(MATCH($V137,$V$6:$V$10005,0)=ROW()-5,N($AA136)+1,N($AA136)))</f>
        <v>0</v>
      </c>
    </row>
    <row r="138" spans="1:27" ht="21" customHeight="1" x14ac:dyDescent="0.95">
      <c r="A138" s="56"/>
      <c r="B138" s="57"/>
      <c r="C138" s="57"/>
      <c r="D138" s="57"/>
      <c r="E138" s="56"/>
      <c r="F138" s="57"/>
      <c r="G138" s="57"/>
      <c r="H138" s="56"/>
      <c r="I138" s="56"/>
      <c r="J138" s="58"/>
      <c r="K138" s="58"/>
      <c r="L138" s="13" t="str">
        <f t="shared" si="20"/>
        <v/>
      </c>
      <c r="M138" s="13" t="str">
        <f t="shared" si="21"/>
        <v/>
      </c>
      <c r="Q138" t="str">
        <f t="shared" si="22"/>
        <v/>
      </c>
      <c r="R138" t="str">
        <f t="shared" si="23"/>
        <v/>
      </c>
      <c r="S138" t="str">
        <f t="shared" si="24"/>
        <v/>
      </c>
      <c r="T138" t="str">
        <f t="shared" si="25"/>
        <v/>
      </c>
      <c r="U138" t="str">
        <f t="shared" si="26"/>
        <v/>
      </c>
      <c r="V138" t="str">
        <f t="shared" si="27"/>
        <v/>
      </c>
      <c r="W138" t="str">
        <f t="shared" si="28"/>
        <v/>
      </c>
      <c r="X138">
        <f>IF($T138="",N($X137),IF(MATCH($T138,$T$6:$T$10005,0)=ROW()-5,N($X137)+1,N($X137)))</f>
        <v>0</v>
      </c>
      <c r="Z138" t="str">
        <f t="shared" si="29"/>
        <v/>
      </c>
      <c r="AA138">
        <f>IF($V138="",N($AA137),IF(MATCH($V138,$V$6:$V$10005,0)=ROW()-5,N($AA137)+1,N($AA137)))</f>
        <v>0</v>
      </c>
    </row>
    <row r="139" spans="1:27" ht="21" customHeight="1" x14ac:dyDescent="0.95">
      <c r="A139" s="56"/>
      <c r="B139" s="57"/>
      <c r="C139" s="57"/>
      <c r="D139" s="57"/>
      <c r="E139" s="56"/>
      <c r="F139" s="57"/>
      <c r="G139" s="57"/>
      <c r="H139" s="56"/>
      <c r="I139" s="56"/>
      <c r="J139" s="58"/>
      <c r="K139" s="58"/>
      <c r="L139" s="13" t="str">
        <f t="shared" si="20"/>
        <v/>
      </c>
      <c r="M139" s="13" t="str">
        <f t="shared" si="21"/>
        <v/>
      </c>
      <c r="Q139" t="str">
        <f t="shared" si="22"/>
        <v/>
      </c>
      <c r="R139" t="str">
        <f t="shared" si="23"/>
        <v/>
      </c>
      <c r="S139" t="str">
        <f t="shared" si="24"/>
        <v/>
      </c>
      <c r="T139" t="str">
        <f t="shared" si="25"/>
        <v/>
      </c>
      <c r="U139" t="str">
        <f t="shared" si="26"/>
        <v/>
      </c>
      <c r="V139" t="str">
        <f t="shared" si="27"/>
        <v/>
      </c>
      <c r="W139" t="str">
        <f t="shared" si="28"/>
        <v/>
      </c>
      <c r="X139">
        <f>IF($T139="",N($X138),IF(MATCH($T139,$T$6:$T$10005,0)=ROW()-5,N($X138)+1,N($X138)))</f>
        <v>0</v>
      </c>
      <c r="Z139" t="str">
        <f t="shared" si="29"/>
        <v/>
      </c>
      <c r="AA139">
        <f>IF($V139="",N($AA138),IF(MATCH($V139,$V$6:$V$10005,0)=ROW()-5,N($AA138)+1,N($AA138)))</f>
        <v>0</v>
      </c>
    </row>
    <row r="140" spans="1:27" ht="21" customHeight="1" x14ac:dyDescent="0.95">
      <c r="A140" s="56"/>
      <c r="B140" s="57"/>
      <c r="C140" s="57"/>
      <c r="D140" s="57"/>
      <c r="E140" s="56"/>
      <c r="F140" s="57"/>
      <c r="G140" s="57"/>
      <c r="H140" s="56"/>
      <c r="I140" s="56"/>
      <c r="J140" s="58"/>
      <c r="K140" s="58"/>
      <c r="L140" s="13" t="str">
        <f t="shared" si="20"/>
        <v/>
      </c>
      <c r="M140" s="13" t="str">
        <f t="shared" si="21"/>
        <v/>
      </c>
      <c r="Q140" t="str">
        <f t="shared" si="22"/>
        <v/>
      </c>
      <c r="R140" t="str">
        <f t="shared" si="23"/>
        <v/>
      </c>
      <c r="S140" t="str">
        <f t="shared" si="24"/>
        <v/>
      </c>
      <c r="T140" t="str">
        <f t="shared" si="25"/>
        <v/>
      </c>
      <c r="U140" t="str">
        <f t="shared" si="26"/>
        <v/>
      </c>
      <c r="V140" t="str">
        <f t="shared" si="27"/>
        <v/>
      </c>
      <c r="W140" t="str">
        <f t="shared" si="28"/>
        <v/>
      </c>
      <c r="X140">
        <f>IF($T140="",N($X139),IF(MATCH($T140,$T$6:$T$10005,0)=ROW()-5,N($X139)+1,N($X139)))</f>
        <v>0</v>
      </c>
      <c r="Z140" t="str">
        <f t="shared" si="29"/>
        <v/>
      </c>
      <c r="AA140">
        <f>IF($V140="",N($AA139),IF(MATCH($V140,$V$6:$V$10005,0)=ROW()-5,N($AA139)+1,N($AA139)))</f>
        <v>0</v>
      </c>
    </row>
    <row r="141" spans="1:27" ht="21" customHeight="1" x14ac:dyDescent="0.95">
      <c r="A141" s="56"/>
      <c r="B141" s="57"/>
      <c r="C141" s="57"/>
      <c r="D141" s="57"/>
      <c r="E141" s="56"/>
      <c r="F141" s="57"/>
      <c r="G141" s="57"/>
      <c r="H141" s="56"/>
      <c r="I141" s="56"/>
      <c r="J141" s="58"/>
      <c r="K141" s="58"/>
      <c r="L141" s="13" t="str">
        <f t="shared" si="20"/>
        <v/>
      </c>
      <c r="M141" s="13" t="str">
        <f t="shared" si="21"/>
        <v/>
      </c>
      <c r="Q141" t="str">
        <f t="shared" si="22"/>
        <v/>
      </c>
      <c r="R141" t="str">
        <f t="shared" si="23"/>
        <v/>
      </c>
      <c r="S141" t="str">
        <f t="shared" si="24"/>
        <v/>
      </c>
      <c r="T141" t="str">
        <f t="shared" si="25"/>
        <v/>
      </c>
      <c r="U141" t="str">
        <f t="shared" si="26"/>
        <v/>
      </c>
      <c r="V141" t="str">
        <f t="shared" si="27"/>
        <v/>
      </c>
      <c r="W141" t="str">
        <f t="shared" si="28"/>
        <v/>
      </c>
      <c r="X141">
        <f>IF($T141="",N($X140),IF(MATCH($T141,$T$6:$T$10005,0)=ROW()-5,N($X140)+1,N($X140)))</f>
        <v>0</v>
      </c>
      <c r="Z141" t="str">
        <f t="shared" si="29"/>
        <v/>
      </c>
      <c r="AA141">
        <f>IF($V141="",N($AA140),IF(MATCH($V141,$V$6:$V$10005,0)=ROW()-5,N($AA140)+1,N($AA140)))</f>
        <v>0</v>
      </c>
    </row>
    <row r="142" spans="1:27" ht="21" customHeight="1" x14ac:dyDescent="0.95">
      <c r="A142" s="56"/>
      <c r="B142" s="57"/>
      <c r="C142" s="57"/>
      <c r="D142" s="57"/>
      <c r="E142" s="56"/>
      <c r="F142" s="57"/>
      <c r="G142" s="57"/>
      <c r="H142" s="56"/>
      <c r="I142" s="56"/>
      <c r="J142" s="58"/>
      <c r="K142" s="58"/>
      <c r="L142" s="13" t="str">
        <f t="shared" si="20"/>
        <v/>
      </c>
      <c r="M142" s="13" t="str">
        <f t="shared" si="21"/>
        <v/>
      </c>
      <c r="Q142" t="str">
        <f t="shared" si="22"/>
        <v/>
      </c>
      <c r="R142" t="str">
        <f t="shared" si="23"/>
        <v/>
      </c>
      <c r="S142" t="str">
        <f t="shared" si="24"/>
        <v/>
      </c>
      <c r="T142" t="str">
        <f t="shared" si="25"/>
        <v/>
      </c>
      <c r="U142" t="str">
        <f t="shared" si="26"/>
        <v/>
      </c>
      <c r="V142" t="str">
        <f t="shared" si="27"/>
        <v/>
      </c>
      <c r="W142" t="str">
        <f t="shared" si="28"/>
        <v/>
      </c>
      <c r="X142">
        <f>IF($T142="",N($X141),IF(MATCH($T142,$T$6:$T$10005,0)=ROW()-5,N($X141)+1,N($X141)))</f>
        <v>0</v>
      </c>
      <c r="Z142" t="str">
        <f t="shared" si="29"/>
        <v/>
      </c>
      <c r="AA142">
        <f>IF($V142="",N($AA141),IF(MATCH($V142,$V$6:$V$10005,0)=ROW()-5,N($AA141)+1,N($AA141)))</f>
        <v>0</v>
      </c>
    </row>
    <row r="143" spans="1:27" ht="21" customHeight="1" x14ac:dyDescent="0.95">
      <c r="A143" s="56"/>
      <c r="B143" s="57"/>
      <c r="C143" s="57"/>
      <c r="D143" s="57"/>
      <c r="E143" s="56"/>
      <c r="F143" s="57"/>
      <c r="G143" s="57"/>
      <c r="H143" s="56"/>
      <c r="I143" s="56"/>
      <c r="J143" s="58"/>
      <c r="K143" s="58"/>
      <c r="L143" s="13" t="str">
        <f t="shared" si="20"/>
        <v/>
      </c>
      <c r="M143" s="13" t="str">
        <f t="shared" si="21"/>
        <v/>
      </c>
      <c r="Q143" t="str">
        <f t="shared" si="22"/>
        <v/>
      </c>
      <c r="R143" t="str">
        <f t="shared" si="23"/>
        <v/>
      </c>
      <c r="S143" t="str">
        <f t="shared" si="24"/>
        <v/>
      </c>
      <c r="T143" t="str">
        <f t="shared" si="25"/>
        <v/>
      </c>
      <c r="U143" t="str">
        <f t="shared" si="26"/>
        <v/>
      </c>
      <c r="V143" t="str">
        <f t="shared" si="27"/>
        <v/>
      </c>
      <c r="W143" t="str">
        <f t="shared" si="28"/>
        <v/>
      </c>
      <c r="X143">
        <f>IF($T143="",N($X142),IF(MATCH($T143,$T$6:$T$10005,0)=ROW()-5,N($X142)+1,N($X142)))</f>
        <v>0</v>
      </c>
      <c r="Z143" t="str">
        <f t="shared" si="29"/>
        <v/>
      </c>
      <c r="AA143">
        <f>IF($V143="",N($AA142),IF(MATCH($V143,$V$6:$V$10005,0)=ROW()-5,N($AA142)+1,N($AA142)))</f>
        <v>0</v>
      </c>
    </row>
    <row r="144" spans="1:27" ht="21" customHeight="1" x14ac:dyDescent="0.95">
      <c r="A144" s="56"/>
      <c r="B144" s="57"/>
      <c r="C144" s="57"/>
      <c r="D144" s="57"/>
      <c r="E144" s="56"/>
      <c r="F144" s="57"/>
      <c r="G144" s="57"/>
      <c r="H144" s="56"/>
      <c r="I144" s="56"/>
      <c r="J144" s="58"/>
      <c r="K144" s="58"/>
      <c r="L144" s="13" t="str">
        <f t="shared" si="20"/>
        <v/>
      </c>
      <c r="M144" s="13" t="str">
        <f t="shared" si="21"/>
        <v/>
      </c>
      <c r="Q144" t="str">
        <f t="shared" si="22"/>
        <v/>
      </c>
      <c r="R144" t="str">
        <f t="shared" si="23"/>
        <v/>
      </c>
      <c r="S144" t="str">
        <f t="shared" si="24"/>
        <v/>
      </c>
      <c r="T144" t="str">
        <f t="shared" si="25"/>
        <v/>
      </c>
      <c r="U144" t="str">
        <f t="shared" si="26"/>
        <v/>
      </c>
      <c r="V144" t="str">
        <f t="shared" si="27"/>
        <v/>
      </c>
      <c r="W144" t="str">
        <f t="shared" si="28"/>
        <v/>
      </c>
      <c r="X144">
        <f>IF($T144="",N($X143),IF(MATCH($T144,$T$6:$T$10005,0)=ROW()-5,N($X143)+1,N($X143)))</f>
        <v>0</v>
      </c>
      <c r="Z144" t="str">
        <f t="shared" si="29"/>
        <v/>
      </c>
      <c r="AA144">
        <f>IF($V144="",N($AA143),IF(MATCH($V144,$V$6:$V$10005,0)=ROW()-5,N($AA143)+1,N($AA143)))</f>
        <v>0</v>
      </c>
    </row>
    <row r="145" spans="1:27" ht="21" customHeight="1" x14ac:dyDescent="0.95">
      <c r="A145" s="56"/>
      <c r="B145" s="57"/>
      <c r="C145" s="57"/>
      <c r="D145" s="57"/>
      <c r="E145" s="56"/>
      <c r="F145" s="57"/>
      <c r="G145" s="57"/>
      <c r="H145" s="56"/>
      <c r="I145" s="56"/>
      <c r="J145" s="58"/>
      <c r="K145" s="58"/>
      <c r="L145" s="13" t="str">
        <f t="shared" si="20"/>
        <v/>
      </c>
      <c r="M145" s="13" t="str">
        <f t="shared" si="21"/>
        <v/>
      </c>
      <c r="Q145" t="str">
        <f t="shared" si="22"/>
        <v/>
      </c>
      <c r="R145" t="str">
        <f t="shared" si="23"/>
        <v/>
      </c>
      <c r="S145" t="str">
        <f t="shared" si="24"/>
        <v/>
      </c>
      <c r="T145" t="str">
        <f t="shared" si="25"/>
        <v/>
      </c>
      <c r="U145" t="str">
        <f t="shared" si="26"/>
        <v/>
      </c>
      <c r="V145" t="str">
        <f t="shared" si="27"/>
        <v/>
      </c>
      <c r="W145" t="str">
        <f t="shared" si="28"/>
        <v/>
      </c>
      <c r="X145">
        <f>IF($T145="",N($X144),IF(MATCH($T145,$T$6:$T$10005,0)=ROW()-5,N($X144)+1,N($X144)))</f>
        <v>0</v>
      </c>
      <c r="Z145" t="str">
        <f t="shared" si="29"/>
        <v/>
      </c>
      <c r="AA145">
        <f>IF($V145="",N($AA144),IF(MATCH($V145,$V$6:$V$10005,0)=ROW()-5,N($AA144)+1,N($AA144)))</f>
        <v>0</v>
      </c>
    </row>
    <row r="146" spans="1:27" ht="21" customHeight="1" x14ac:dyDescent="0.95">
      <c r="A146" s="56"/>
      <c r="B146" s="57"/>
      <c r="C146" s="57"/>
      <c r="D146" s="57"/>
      <c r="E146" s="56"/>
      <c r="F146" s="57"/>
      <c r="G146" s="57"/>
      <c r="H146" s="56"/>
      <c r="I146" s="56"/>
      <c r="J146" s="58"/>
      <c r="K146" s="58"/>
      <c r="L146" s="13" t="str">
        <f t="shared" si="20"/>
        <v/>
      </c>
      <c r="M146" s="13" t="str">
        <f t="shared" si="21"/>
        <v/>
      </c>
      <c r="Q146" t="str">
        <f t="shared" si="22"/>
        <v/>
      </c>
      <c r="R146" t="str">
        <f t="shared" si="23"/>
        <v/>
      </c>
      <c r="S146" t="str">
        <f t="shared" si="24"/>
        <v/>
      </c>
      <c r="T146" t="str">
        <f t="shared" si="25"/>
        <v/>
      </c>
      <c r="U146" t="str">
        <f t="shared" si="26"/>
        <v/>
      </c>
      <c r="V146" t="str">
        <f t="shared" si="27"/>
        <v/>
      </c>
      <c r="W146" t="str">
        <f t="shared" si="28"/>
        <v/>
      </c>
      <c r="X146">
        <f>IF($T146="",N($X145),IF(MATCH($T146,$T$6:$T$10005,0)=ROW()-5,N($X145)+1,N($X145)))</f>
        <v>0</v>
      </c>
      <c r="Z146" t="str">
        <f t="shared" si="29"/>
        <v/>
      </c>
      <c r="AA146">
        <f>IF($V146="",N($AA145),IF(MATCH($V146,$V$6:$V$10005,0)=ROW()-5,N($AA145)+1,N($AA145)))</f>
        <v>0</v>
      </c>
    </row>
    <row r="147" spans="1:27" ht="21" customHeight="1" x14ac:dyDescent="0.95">
      <c r="A147" s="56"/>
      <c r="B147" s="57"/>
      <c r="C147" s="57"/>
      <c r="D147" s="57"/>
      <c r="E147" s="56"/>
      <c r="F147" s="57"/>
      <c r="G147" s="57"/>
      <c r="H147" s="56"/>
      <c r="I147" s="56"/>
      <c r="J147" s="58"/>
      <c r="K147" s="58"/>
      <c r="L147" s="13" t="str">
        <f t="shared" si="20"/>
        <v/>
      </c>
      <c r="M147" s="13" t="str">
        <f t="shared" si="21"/>
        <v/>
      </c>
      <c r="Q147" t="str">
        <f t="shared" si="22"/>
        <v/>
      </c>
      <c r="R147" t="str">
        <f t="shared" si="23"/>
        <v/>
      </c>
      <c r="S147" t="str">
        <f t="shared" si="24"/>
        <v/>
      </c>
      <c r="T147" t="str">
        <f t="shared" si="25"/>
        <v/>
      </c>
      <c r="U147" t="str">
        <f t="shared" si="26"/>
        <v/>
      </c>
      <c r="V147" t="str">
        <f t="shared" si="27"/>
        <v/>
      </c>
      <c r="W147" t="str">
        <f t="shared" si="28"/>
        <v/>
      </c>
      <c r="X147">
        <f>IF($T147="",N($X146),IF(MATCH($T147,$T$6:$T$10005,0)=ROW()-5,N($X146)+1,N($X146)))</f>
        <v>0</v>
      </c>
      <c r="Z147" t="str">
        <f t="shared" si="29"/>
        <v/>
      </c>
      <c r="AA147">
        <f>IF($V147="",N($AA146),IF(MATCH($V147,$V$6:$V$10005,0)=ROW()-5,N($AA146)+1,N($AA146)))</f>
        <v>0</v>
      </c>
    </row>
    <row r="148" spans="1:27" ht="21" customHeight="1" x14ac:dyDescent="0.95">
      <c r="A148" s="56"/>
      <c r="B148" s="57"/>
      <c r="C148" s="57"/>
      <c r="D148" s="57"/>
      <c r="E148" s="56"/>
      <c r="F148" s="57"/>
      <c r="G148" s="57"/>
      <c r="H148" s="56"/>
      <c r="I148" s="56"/>
      <c r="J148" s="58"/>
      <c r="K148" s="58"/>
      <c r="L148" s="13" t="str">
        <f t="shared" si="20"/>
        <v/>
      </c>
      <c r="M148" s="13" t="str">
        <f t="shared" si="21"/>
        <v/>
      </c>
      <c r="Q148" t="str">
        <f t="shared" si="22"/>
        <v/>
      </c>
      <c r="R148" t="str">
        <f t="shared" si="23"/>
        <v/>
      </c>
      <c r="S148" t="str">
        <f t="shared" si="24"/>
        <v/>
      </c>
      <c r="T148" t="str">
        <f t="shared" si="25"/>
        <v/>
      </c>
      <c r="U148" t="str">
        <f t="shared" si="26"/>
        <v/>
      </c>
      <c r="V148" t="str">
        <f t="shared" si="27"/>
        <v/>
      </c>
      <c r="W148" t="str">
        <f t="shared" si="28"/>
        <v/>
      </c>
      <c r="X148">
        <f>IF($T148="",N($X147),IF(MATCH($T148,$T$6:$T$10005,0)=ROW()-5,N($X147)+1,N($X147)))</f>
        <v>0</v>
      </c>
      <c r="Z148" t="str">
        <f t="shared" si="29"/>
        <v/>
      </c>
      <c r="AA148">
        <f>IF($V148="",N($AA147),IF(MATCH($V148,$V$6:$V$10005,0)=ROW()-5,N($AA147)+1,N($AA147)))</f>
        <v>0</v>
      </c>
    </row>
    <row r="149" spans="1:27" ht="21" customHeight="1" x14ac:dyDescent="0.95">
      <c r="A149" s="56"/>
      <c r="B149" s="57"/>
      <c r="C149" s="57"/>
      <c r="D149" s="57"/>
      <c r="E149" s="56"/>
      <c r="F149" s="57"/>
      <c r="G149" s="57"/>
      <c r="H149" s="56"/>
      <c r="I149" s="56"/>
      <c r="J149" s="58"/>
      <c r="K149" s="58"/>
      <c r="L149" s="13" t="str">
        <f t="shared" si="20"/>
        <v/>
      </c>
      <c r="M149" s="13" t="str">
        <f t="shared" si="21"/>
        <v/>
      </c>
      <c r="Q149" t="str">
        <f t="shared" si="22"/>
        <v/>
      </c>
      <c r="R149" t="str">
        <f t="shared" si="23"/>
        <v/>
      </c>
      <c r="S149" t="str">
        <f t="shared" si="24"/>
        <v/>
      </c>
      <c r="T149" t="str">
        <f t="shared" si="25"/>
        <v/>
      </c>
      <c r="U149" t="str">
        <f t="shared" si="26"/>
        <v/>
      </c>
      <c r="V149" t="str">
        <f t="shared" si="27"/>
        <v/>
      </c>
      <c r="W149" t="str">
        <f t="shared" si="28"/>
        <v/>
      </c>
      <c r="X149">
        <f>IF($T149="",N($X148),IF(MATCH($T149,$T$6:$T$10005,0)=ROW()-5,N($X148)+1,N($X148)))</f>
        <v>0</v>
      </c>
      <c r="Z149" t="str">
        <f t="shared" si="29"/>
        <v/>
      </c>
      <c r="AA149">
        <f>IF($V149="",N($AA148),IF(MATCH($V149,$V$6:$V$10005,0)=ROW()-5,N($AA148)+1,N($AA148)))</f>
        <v>0</v>
      </c>
    </row>
    <row r="150" spans="1:27" ht="21" customHeight="1" x14ac:dyDescent="0.95">
      <c r="A150" s="56"/>
      <c r="B150" s="57"/>
      <c r="C150" s="57"/>
      <c r="D150" s="57"/>
      <c r="E150" s="56"/>
      <c r="F150" s="57"/>
      <c r="G150" s="57"/>
      <c r="H150" s="56"/>
      <c r="I150" s="56"/>
      <c r="J150" s="58"/>
      <c r="K150" s="58"/>
      <c r="L150" s="13" t="str">
        <f t="shared" si="20"/>
        <v/>
      </c>
      <c r="M150" s="13" t="str">
        <f t="shared" si="21"/>
        <v/>
      </c>
      <c r="Q150" t="str">
        <f t="shared" si="22"/>
        <v/>
      </c>
      <c r="R150" t="str">
        <f t="shared" si="23"/>
        <v/>
      </c>
      <c r="S150" t="str">
        <f t="shared" si="24"/>
        <v/>
      </c>
      <c r="T150" t="str">
        <f t="shared" si="25"/>
        <v/>
      </c>
      <c r="U150" t="str">
        <f t="shared" si="26"/>
        <v/>
      </c>
      <c r="V150" t="str">
        <f t="shared" si="27"/>
        <v/>
      </c>
      <c r="W150" t="str">
        <f t="shared" si="28"/>
        <v/>
      </c>
      <c r="X150">
        <f>IF($T150="",N($X149),IF(MATCH($T150,$T$6:$T$10005,0)=ROW()-5,N($X149)+1,N($X149)))</f>
        <v>0</v>
      </c>
      <c r="Z150" t="str">
        <f t="shared" si="29"/>
        <v/>
      </c>
      <c r="AA150">
        <f>IF($V150="",N($AA149),IF(MATCH($V150,$V$6:$V$10005,0)=ROW()-5,N($AA149)+1,N($AA149)))</f>
        <v>0</v>
      </c>
    </row>
    <row r="151" spans="1:27" ht="21" customHeight="1" x14ac:dyDescent="0.95">
      <c r="A151" s="56"/>
      <c r="B151" s="57"/>
      <c r="C151" s="57"/>
      <c r="D151" s="57"/>
      <c r="E151" s="56"/>
      <c r="F151" s="57"/>
      <c r="G151" s="57"/>
      <c r="H151" s="56"/>
      <c r="I151" s="56"/>
      <c r="J151" s="58"/>
      <c r="K151" s="58"/>
      <c r="L151" s="13" t="str">
        <f t="shared" si="20"/>
        <v/>
      </c>
      <c r="M151" s="13" t="str">
        <f t="shared" si="21"/>
        <v/>
      </c>
      <c r="Q151" t="str">
        <f t="shared" si="22"/>
        <v/>
      </c>
      <c r="R151" t="str">
        <f t="shared" si="23"/>
        <v/>
      </c>
      <c r="S151" t="str">
        <f t="shared" si="24"/>
        <v/>
      </c>
      <c r="T151" t="str">
        <f t="shared" si="25"/>
        <v/>
      </c>
      <c r="U151" t="str">
        <f t="shared" si="26"/>
        <v/>
      </c>
      <c r="V151" t="str">
        <f t="shared" si="27"/>
        <v/>
      </c>
      <c r="W151" t="str">
        <f t="shared" si="28"/>
        <v/>
      </c>
      <c r="X151">
        <f>IF($T151="",N($X150),IF(MATCH($T151,$T$6:$T$10005,0)=ROW()-5,N($X150)+1,N($X150)))</f>
        <v>0</v>
      </c>
      <c r="Z151" t="str">
        <f t="shared" si="29"/>
        <v/>
      </c>
      <c r="AA151">
        <f>IF($V151="",N($AA150),IF(MATCH($V151,$V$6:$V$10005,0)=ROW()-5,N($AA150)+1,N($AA150)))</f>
        <v>0</v>
      </c>
    </row>
    <row r="152" spans="1:27" ht="21" customHeight="1" x14ac:dyDescent="0.95">
      <c r="A152" s="56"/>
      <c r="B152" s="57"/>
      <c r="C152" s="57"/>
      <c r="D152" s="57"/>
      <c r="E152" s="56"/>
      <c r="F152" s="57"/>
      <c r="G152" s="57"/>
      <c r="H152" s="56"/>
      <c r="I152" s="56"/>
      <c r="J152" s="58"/>
      <c r="K152" s="58"/>
      <c r="L152" s="13" t="str">
        <f t="shared" si="20"/>
        <v/>
      </c>
      <c r="M152" s="13" t="str">
        <f t="shared" si="21"/>
        <v/>
      </c>
      <c r="Q152" t="str">
        <f t="shared" si="22"/>
        <v/>
      </c>
      <c r="R152" t="str">
        <f t="shared" si="23"/>
        <v/>
      </c>
      <c r="S152" t="str">
        <f t="shared" si="24"/>
        <v/>
      </c>
      <c r="T152" t="str">
        <f t="shared" si="25"/>
        <v/>
      </c>
      <c r="U152" t="str">
        <f t="shared" si="26"/>
        <v/>
      </c>
      <c r="V152" t="str">
        <f t="shared" si="27"/>
        <v/>
      </c>
      <c r="W152" t="str">
        <f t="shared" si="28"/>
        <v/>
      </c>
      <c r="X152">
        <f>IF($T152="",N($X151),IF(MATCH($T152,$T$6:$T$10005,0)=ROW()-5,N($X151)+1,N($X151)))</f>
        <v>0</v>
      </c>
      <c r="Z152" t="str">
        <f t="shared" si="29"/>
        <v/>
      </c>
      <c r="AA152">
        <f>IF($V152="",N($AA151),IF(MATCH($V152,$V$6:$V$10005,0)=ROW()-5,N($AA151)+1,N($AA151)))</f>
        <v>0</v>
      </c>
    </row>
    <row r="153" spans="1:27" ht="21" customHeight="1" x14ac:dyDescent="0.95">
      <c r="A153" s="56"/>
      <c r="B153" s="57"/>
      <c r="C153" s="57"/>
      <c r="D153" s="57"/>
      <c r="E153" s="56"/>
      <c r="F153" s="57"/>
      <c r="G153" s="57"/>
      <c r="H153" s="56"/>
      <c r="I153" s="56"/>
      <c r="J153" s="58"/>
      <c r="K153" s="58"/>
      <c r="L153" s="13" t="str">
        <f t="shared" si="20"/>
        <v/>
      </c>
      <c r="M153" s="13" t="str">
        <f t="shared" si="21"/>
        <v/>
      </c>
      <c r="Q153" t="str">
        <f t="shared" si="22"/>
        <v/>
      </c>
      <c r="R153" t="str">
        <f t="shared" si="23"/>
        <v/>
      </c>
      <c r="S153" t="str">
        <f t="shared" si="24"/>
        <v/>
      </c>
      <c r="T153" t="str">
        <f t="shared" si="25"/>
        <v/>
      </c>
      <c r="U153" t="str">
        <f t="shared" si="26"/>
        <v/>
      </c>
      <c r="V153" t="str">
        <f t="shared" si="27"/>
        <v/>
      </c>
      <c r="W153" t="str">
        <f t="shared" si="28"/>
        <v/>
      </c>
      <c r="X153">
        <f>IF($T153="",N($X152),IF(MATCH($T153,$T$6:$T$10005,0)=ROW()-5,N($X152)+1,N($X152)))</f>
        <v>0</v>
      </c>
      <c r="Z153" t="str">
        <f t="shared" si="29"/>
        <v/>
      </c>
      <c r="AA153">
        <f>IF($V153="",N($AA152),IF(MATCH($V153,$V$6:$V$10005,0)=ROW()-5,N($AA152)+1,N($AA152)))</f>
        <v>0</v>
      </c>
    </row>
    <row r="154" spans="1:27" ht="21" customHeight="1" x14ac:dyDescent="0.95">
      <c r="A154" s="56"/>
      <c r="B154" s="57"/>
      <c r="C154" s="57"/>
      <c r="D154" s="57"/>
      <c r="E154" s="56"/>
      <c r="F154" s="57"/>
      <c r="G154" s="57"/>
      <c r="H154" s="56"/>
      <c r="I154" s="56"/>
      <c r="J154" s="58"/>
      <c r="K154" s="58"/>
      <c r="L154" s="13" t="str">
        <f t="shared" si="20"/>
        <v/>
      </c>
      <c r="M154" s="13" t="str">
        <f t="shared" si="21"/>
        <v/>
      </c>
      <c r="Q154" t="str">
        <f t="shared" si="22"/>
        <v/>
      </c>
      <c r="R154" t="str">
        <f t="shared" si="23"/>
        <v/>
      </c>
      <c r="S154" t="str">
        <f t="shared" si="24"/>
        <v/>
      </c>
      <c r="T154" t="str">
        <f t="shared" si="25"/>
        <v/>
      </c>
      <c r="U154" t="str">
        <f t="shared" si="26"/>
        <v/>
      </c>
      <c r="V154" t="str">
        <f t="shared" si="27"/>
        <v/>
      </c>
      <c r="W154" t="str">
        <f t="shared" si="28"/>
        <v/>
      </c>
      <c r="X154">
        <f>IF($T154="",N($X153),IF(MATCH($T154,$T$6:$T$10005,0)=ROW()-5,N($X153)+1,N($X153)))</f>
        <v>0</v>
      </c>
      <c r="Z154" t="str">
        <f t="shared" si="29"/>
        <v/>
      </c>
      <c r="AA154">
        <f>IF($V154="",N($AA153),IF(MATCH($V154,$V$6:$V$10005,0)=ROW()-5,N($AA153)+1,N($AA153)))</f>
        <v>0</v>
      </c>
    </row>
    <row r="155" spans="1:27" ht="21" customHeight="1" x14ac:dyDescent="0.95">
      <c r="A155" s="56"/>
      <c r="B155" s="57"/>
      <c r="C155" s="57"/>
      <c r="D155" s="57"/>
      <c r="E155" s="56"/>
      <c r="F155" s="57"/>
      <c r="G155" s="57"/>
      <c r="H155" s="56"/>
      <c r="I155" s="56"/>
      <c r="J155" s="58"/>
      <c r="K155" s="58"/>
      <c r="L155" s="13" t="str">
        <f t="shared" si="20"/>
        <v/>
      </c>
      <c r="M155" s="13" t="str">
        <f t="shared" si="21"/>
        <v/>
      </c>
      <c r="Q155" t="str">
        <f t="shared" si="22"/>
        <v/>
      </c>
      <c r="R155" t="str">
        <f t="shared" si="23"/>
        <v/>
      </c>
      <c r="S155" t="str">
        <f t="shared" si="24"/>
        <v/>
      </c>
      <c r="T155" t="str">
        <f t="shared" si="25"/>
        <v/>
      </c>
      <c r="U155" t="str">
        <f t="shared" si="26"/>
        <v/>
      </c>
      <c r="V155" t="str">
        <f t="shared" si="27"/>
        <v/>
      </c>
      <c r="W155" t="str">
        <f t="shared" si="28"/>
        <v/>
      </c>
      <c r="X155">
        <f>IF($T155="",N($X154),IF(MATCH($T155,$T$6:$T$10005,0)=ROW()-5,N($X154)+1,N($X154)))</f>
        <v>0</v>
      </c>
      <c r="Z155" t="str">
        <f t="shared" si="29"/>
        <v/>
      </c>
      <c r="AA155">
        <f>IF($V155="",N($AA154),IF(MATCH($V155,$V$6:$V$10005,0)=ROW()-5,N($AA154)+1,N($AA154)))</f>
        <v>0</v>
      </c>
    </row>
    <row r="156" spans="1:27" ht="21" customHeight="1" x14ac:dyDescent="0.95">
      <c r="A156" s="56"/>
      <c r="B156" s="57"/>
      <c r="C156" s="57"/>
      <c r="D156" s="57"/>
      <c r="E156" s="56"/>
      <c r="F156" s="57"/>
      <c r="G156" s="57"/>
      <c r="H156" s="56"/>
      <c r="I156" s="56"/>
      <c r="J156" s="58"/>
      <c r="K156" s="58"/>
      <c r="L156" s="13" t="str">
        <f t="shared" si="20"/>
        <v/>
      </c>
      <c r="M156" s="13" t="str">
        <f t="shared" si="21"/>
        <v/>
      </c>
      <c r="Q156" t="str">
        <f t="shared" si="22"/>
        <v/>
      </c>
      <c r="R156" t="str">
        <f t="shared" si="23"/>
        <v/>
      </c>
      <c r="S156" t="str">
        <f t="shared" si="24"/>
        <v/>
      </c>
      <c r="T156" t="str">
        <f t="shared" si="25"/>
        <v/>
      </c>
      <c r="U156" t="str">
        <f t="shared" si="26"/>
        <v/>
      </c>
      <c r="V156" t="str">
        <f t="shared" si="27"/>
        <v/>
      </c>
      <c r="W156" t="str">
        <f t="shared" si="28"/>
        <v/>
      </c>
      <c r="X156">
        <f>IF($T156="",N($X155),IF(MATCH($T156,$T$6:$T$10005,0)=ROW()-5,N($X155)+1,N($X155)))</f>
        <v>0</v>
      </c>
      <c r="Z156" t="str">
        <f t="shared" si="29"/>
        <v/>
      </c>
      <c r="AA156">
        <f>IF($V156="",N($AA155),IF(MATCH($V156,$V$6:$V$10005,0)=ROW()-5,N($AA155)+1,N($AA155)))</f>
        <v>0</v>
      </c>
    </row>
    <row r="157" spans="1:27" ht="21" customHeight="1" x14ac:dyDescent="0.95">
      <c r="A157" s="56"/>
      <c r="B157" s="57"/>
      <c r="C157" s="57"/>
      <c r="D157" s="57"/>
      <c r="E157" s="56"/>
      <c r="F157" s="57"/>
      <c r="G157" s="57"/>
      <c r="H157" s="56"/>
      <c r="I157" s="56"/>
      <c r="J157" s="58"/>
      <c r="K157" s="58"/>
      <c r="L157" s="13" t="str">
        <f t="shared" si="20"/>
        <v/>
      </c>
      <c r="M157" s="13" t="str">
        <f t="shared" si="21"/>
        <v/>
      </c>
      <c r="Q157" t="str">
        <f t="shared" si="22"/>
        <v/>
      </c>
      <c r="R157" t="str">
        <f t="shared" si="23"/>
        <v/>
      </c>
      <c r="S157" t="str">
        <f t="shared" si="24"/>
        <v/>
      </c>
      <c r="T157" t="str">
        <f t="shared" si="25"/>
        <v/>
      </c>
      <c r="U157" t="str">
        <f t="shared" si="26"/>
        <v/>
      </c>
      <c r="V157" t="str">
        <f t="shared" si="27"/>
        <v/>
      </c>
      <c r="W157" t="str">
        <f t="shared" si="28"/>
        <v/>
      </c>
      <c r="X157">
        <f>IF($T157="",N($X156),IF(MATCH($T157,$T$6:$T$10005,0)=ROW()-5,N($X156)+1,N($X156)))</f>
        <v>0</v>
      </c>
      <c r="Z157" t="str">
        <f t="shared" si="29"/>
        <v/>
      </c>
      <c r="AA157">
        <f>IF($V157="",N($AA156),IF(MATCH($V157,$V$6:$V$10005,0)=ROW()-5,N($AA156)+1,N($AA156)))</f>
        <v>0</v>
      </c>
    </row>
    <row r="158" spans="1:27" ht="21" customHeight="1" x14ac:dyDescent="0.95">
      <c r="A158" s="56"/>
      <c r="B158" s="57"/>
      <c r="C158" s="57"/>
      <c r="D158" s="57"/>
      <c r="E158" s="56"/>
      <c r="F158" s="57"/>
      <c r="G158" s="57"/>
      <c r="H158" s="56"/>
      <c r="I158" s="56"/>
      <c r="J158" s="58"/>
      <c r="K158" s="58"/>
      <c r="L158" s="13" t="str">
        <f t="shared" si="20"/>
        <v/>
      </c>
      <c r="M158" s="13" t="str">
        <f t="shared" si="21"/>
        <v/>
      </c>
      <c r="Q158" t="str">
        <f t="shared" si="22"/>
        <v/>
      </c>
      <c r="R158" t="str">
        <f t="shared" si="23"/>
        <v/>
      </c>
      <c r="S158" t="str">
        <f t="shared" si="24"/>
        <v/>
      </c>
      <c r="T158" t="str">
        <f t="shared" si="25"/>
        <v/>
      </c>
      <c r="U158" t="str">
        <f t="shared" si="26"/>
        <v/>
      </c>
      <c r="V158" t="str">
        <f t="shared" si="27"/>
        <v/>
      </c>
      <c r="W158" t="str">
        <f t="shared" si="28"/>
        <v/>
      </c>
      <c r="X158">
        <f>IF($T158="",N($X157),IF(MATCH($T158,$T$6:$T$10005,0)=ROW()-5,N($X157)+1,N($X157)))</f>
        <v>0</v>
      </c>
      <c r="Z158" t="str">
        <f t="shared" si="29"/>
        <v/>
      </c>
      <c r="AA158">
        <f>IF($V158="",N($AA157),IF(MATCH($V158,$V$6:$V$10005,0)=ROW()-5,N($AA157)+1,N($AA157)))</f>
        <v>0</v>
      </c>
    </row>
    <row r="159" spans="1:27" ht="21" customHeight="1" x14ac:dyDescent="0.95">
      <c r="A159" s="56"/>
      <c r="B159" s="57"/>
      <c r="C159" s="57"/>
      <c r="D159" s="57"/>
      <c r="E159" s="56"/>
      <c r="F159" s="57"/>
      <c r="G159" s="57"/>
      <c r="H159" s="56"/>
      <c r="I159" s="56"/>
      <c r="J159" s="58"/>
      <c r="K159" s="58"/>
      <c r="L159" s="13" t="str">
        <f t="shared" si="20"/>
        <v/>
      </c>
      <c r="M159" s="13" t="str">
        <f t="shared" si="21"/>
        <v/>
      </c>
      <c r="Q159" t="str">
        <f t="shared" si="22"/>
        <v/>
      </c>
      <c r="R159" t="str">
        <f t="shared" si="23"/>
        <v/>
      </c>
      <c r="S159" t="str">
        <f t="shared" si="24"/>
        <v/>
      </c>
      <c r="T159" t="str">
        <f t="shared" si="25"/>
        <v/>
      </c>
      <c r="U159" t="str">
        <f t="shared" si="26"/>
        <v/>
      </c>
      <c r="V159" t="str">
        <f t="shared" si="27"/>
        <v/>
      </c>
      <c r="W159" t="str">
        <f t="shared" si="28"/>
        <v/>
      </c>
      <c r="X159">
        <f>IF($T159="",N($X158),IF(MATCH($T159,$T$6:$T$10005,0)=ROW()-5,N($X158)+1,N($X158)))</f>
        <v>0</v>
      </c>
      <c r="Z159" t="str">
        <f t="shared" si="29"/>
        <v/>
      </c>
      <c r="AA159">
        <f>IF($V159="",N($AA158),IF(MATCH($V159,$V$6:$V$10005,0)=ROW()-5,N($AA158)+1,N($AA158)))</f>
        <v>0</v>
      </c>
    </row>
    <row r="160" spans="1:27" ht="21" customHeight="1" x14ac:dyDescent="0.95">
      <c r="A160" s="56"/>
      <c r="B160" s="57"/>
      <c r="C160" s="57"/>
      <c r="D160" s="57"/>
      <c r="E160" s="56"/>
      <c r="F160" s="57"/>
      <c r="G160" s="57"/>
      <c r="H160" s="56"/>
      <c r="I160" s="56"/>
      <c r="J160" s="58"/>
      <c r="K160" s="58"/>
      <c r="L160" s="13" t="str">
        <f t="shared" si="20"/>
        <v/>
      </c>
      <c r="M160" s="13" t="str">
        <f t="shared" si="21"/>
        <v/>
      </c>
      <c r="Q160" t="str">
        <f t="shared" si="22"/>
        <v/>
      </c>
      <c r="R160" t="str">
        <f t="shared" si="23"/>
        <v/>
      </c>
      <c r="S160" t="str">
        <f t="shared" si="24"/>
        <v/>
      </c>
      <c r="T160" t="str">
        <f t="shared" si="25"/>
        <v/>
      </c>
      <c r="U160" t="str">
        <f t="shared" si="26"/>
        <v/>
      </c>
      <c r="V160" t="str">
        <f t="shared" si="27"/>
        <v/>
      </c>
      <c r="W160" t="str">
        <f t="shared" si="28"/>
        <v/>
      </c>
      <c r="X160">
        <f>IF($T160="",N($X159),IF(MATCH($T160,$T$6:$T$10005,0)=ROW()-5,N($X159)+1,N($X159)))</f>
        <v>0</v>
      </c>
      <c r="Z160" t="str">
        <f t="shared" si="29"/>
        <v/>
      </c>
      <c r="AA160">
        <f>IF($V160="",N($AA159),IF(MATCH($V160,$V$6:$V$10005,0)=ROW()-5,N($AA159)+1,N($AA159)))</f>
        <v>0</v>
      </c>
    </row>
    <row r="161" spans="1:27" ht="21" customHeight="1" x14ac:dyDescent="0.95">
      <c r="A161" s="56"/>
      <c r="B161" s="57"/>
      <c r="C161" s="57"/>
      <c r="D161" s="57"/>
      <c r="E161" s="56"/>
      <c r="F161" s="57"/>
      <c r="G161" s="57"/>
      <c r="H161" s="56"/>
      <c r="I161" s="56"/>
      <c r="J161" s="58"/>
      <c r="K161" s="58"/>
      <c r="L161" s="13" t="str">
        <f t="shared" si="20"/>
        <v/>
      </c>
      <c r="M161" s="13" t="str">
        <f t="shared" si="21"/>
        <v/>
      </c>
      <c r="Q161" t="str">
        <f t="shared" si="22"/>
        <v/>
      </c>
      <c r="R161" t="str">
        <f t="shared" si="23"/>
        <v/>
      </c>
      <c r="S161" t="str">
        <f t="shared" si="24"/>
        <v/>
      </c>
      <c r="T161" t="str">
        <f t="shared" si="25"/>
        <v/>
      </c>
      <c r="U161" t="str">
        <f t="shared" si="26"/>
        <v/>
      </c>
      <c r="V161" t="str">
        <f t="shared" si="27"/>
        <v/>
      </c>
      <c r="W161" t="str">
        <f t="shared" si="28"/>
        <v/>
      </c>
      <c r="X161">
        <f>IF($T161="",N($X160),IF(MATCH($T161,$T$6:$T$10005,0)=ROW()-5,N($X160)+1,N($X160)))</f>
        <v>0</v>
      </c>
      <c r="Z161" t="str">
        <f t="shared" si="29"/>
        <v/>
      </c>
      <c r="AA161">
        <f>IF($V161="",N($AA160),IF(MATCH($V161,$V$6:$V$10005,0)=ROW()-5,N($AA160)+1,N($AA160)))</f>
        <v>0</v>
      </c>
    </row>
    <row r="162" spans="1:27" ht="21" customHeight="1" x14ac:dyDescent="0.95">
      <c r="A162" s="56"/>
      <c r="B162" s="57"/>
      <c r="C162" s="57"/>
      <c r="D162" s="57"/>
      <c r="E162" s="56"/>
      <c r="F162" s="57"/>
      <c r="G162" s="57"/>
      <c r="H162" s="56"/>
      <c r="I162" s="56"/>
      <c r="J162" s="58"/>
      <c r="K162" s="58"/>
      <c r="L162" s="13" t="str">
        <f t="shared" si="20"/>
        <v/>
      </c>
      <c r="M162" s="13" t="str">
        <f t="shared" si="21"/>
        <v/>
      </c>
      <c r="Q162" t="str">
        <f t="shared" si="22"/>
        <v/>
      </c>
      <c r="R162" t="str">
        <f t="shared" si="23"/>
        <v/>
      </c>
      <c r="S162" t="str">
        <f t="shared" si="24"/>
        <v/>
      </c>
      <c r="T162" t="str">
        <f t="shared" si="25"/>
        <v/>
      </c>
      <c r="U162" t="str">
        <f t="shared" si="26"/>
        <v/>
      </c>
      <c r="V162" t="str">
        <f t="shared" si="27"/>
        <v/>
      </c>
      <c r="W162" t="str">
        <f t="shared" si="28"/>
        <v/>
      </c>
      <c r="X162">
        <f>IF($T162="",N($X161),IF(MATCH($T162,$T$6:$T$10005,0)=ROW()-5,N($X161)+1,N($X161)))</f>
        <v>0</v>
      </c>
      <c r="Z162" t="str">
        <f t="shared" si="29"/>
        <v/>
      </c>
      <c r="AA162">
        <f>IF($V162="",N($AA161),IF(MATCH($V162,$V$6:$V$10005,0)=ROW()-5,N($AA161)+1,N($AA161)))</f>
        <v>0</v>
      </c>
    </row>
    <row r="163" spans="1:27" ht="21" customHeight="1" x14ac:dyDescent="0.95">
      <c r="A163" s="56"/>
      <c r="B163" s="57"/>
      <c r="C163" s="57"/>
      <c r="D163" s="57"/>
      <c r="E163" s="56"/>
      <c r="F163" s="57"/>
      <c r="G163" s="57"/>
      <c r="H163" s="56"/>
      <c r="I163" s="56"/>
      <c r="J163" s="58"/>
      <c r="K163" s="58"/>
      <c r="L163" s="13" t="str">
        <f t="shared" si="20"/>
        <v/>
      </c>
      <c r="M163" s="13" t="str">
        <f t="shared" si="21"/>
        <v/>
      </c>
      <c r="Q163" t="str">
        <f t="shared" si="22"/>
        <v/>
      </c>
      <c r="R163" t="str">
        <f t="shared" si="23"/>
        <v/>
      </c>
      <c r="S163" t="str">
        <f t="shared" si="24"/>
        <v/>
      </c>
      <c r="T163" t="str">
        <f t="shared" si="25"/>
        <v/>
      </c>
      <c r="U163" t="str">
        <f t="shared" si="26"/>
        <v/>
      </c>
      <c r="V163" t="str">
        <f t="shared" si="27"/>
        <v/>
      </c>
      <c r="W163" t="str">
        <f t="shared" si="28"/>
        <v/>
      </c>
      <c r="X163">
        <f>IF($T163="",N($X162),IF(MATCH($T163,$T$6:$T$10005,0)=ROW()-5,N($X162)+1,N($X162)))</f>
        <v>0</v>
      </c>
      <c r="Z163" t="str">
        <f t="shared" si="29"/>
        <v/>
      </c>
      <c r="AA163">
        <f>IF($V163="",N($AA162),IF(MATCH($V163,$V$6:$V$10005,0)=ROW()-5,N($AA162)+1,N($AA162)))</f>
        <v>0</v>
      </c>
    </row>
    <row r="164" spans="1:27" ht="21" customHeight="1" x14ac:dyDescent="0.95">
      <c r="A164" s="56"/>
      <c r="B164" s="57"/>
      <c r="C164" s="57"/>
      <c r="D164" s="57"/>
      <c r="E164" s="56"/>
      <c r="F164" s="57"/>
      <c r="G164" s="57"/>
      <c r="H164" s="56"/>
      <c r="I164" s="56"/>
      <c r="J164" s="58"/>
      <c r="K164" s="58"/>
      <c r="L164" s="13" t="str">
        <f t="shared" si="20"/>
        <v/>
      </c>
      <c r="M164" s="13" t="str">
        <f t="shared" si="21"/>
        <v/>
      </c>
      <c r="Q164" t="str">
        <f t="shared" si="22"/>
        <v/>
      </c>
      <c r="R164" t="str">
        <f t="shared" si="23"/>
        <v/>
      </c>
      <c r="S164" t="str">
        <f t="shared" si="24"/>
        <v/>
      </c>
      <c r="T164" t="str">
        <f t="shared" si="25"/>
        <v/>
      </c>
      <c r="U164" t="str">
        <f t="shared" si="26"/>
        <v/>
      </c>
      <c r="V164" t="str">
        <f t="shared" si="27"/>
        <v/>
      </c>
      <c r="W164" t="str">
        <f t="shared" si="28"/>
        <v/>
      </c>
      <c r="X164">
        <f>IF($T164="",N($X163),IF(MATCH($T164,$T$6:$T$10005,0)=ROW()-5,N($X163)+1,N($X163)))</f>
        <v>0</v>
      </c>
      <c r="Z164" t="str">
        <f t="shared" si="29"/>
        <v/>
      </c>
      <c r="AA164">
        <f>IF($V164="",N($AA163),IF(MATCH($V164,$V$6:$V$10005,0)=ROW()-5,N($AA163)+1,N($AA163)))</f>
        <v>0</v>
      </c>
    </row>
    <row r="165" spans="1:27" ht="21" customHeight="1" x14ac:dyDescent="0.95">
      <c r="A165" s="56"/>
      <c r="B165" s="57"/>
      <c r="C165" s="57"/>
      <c r="D165" s="57"/>
      <c r="E165" s="56"/>
      <c r="F165" s="57"/>
      <c r="G165" s="57"/>
      <c r="H165" s="56"/>
      <c r="I165" s="56"/>
      <c r="J165" s="58"/>
      <c r="K165" s="58"/>
      <c r="L165" s="13" t="str">
        <f t="shared" si="20"/>
        <v/>
      </c>
      <c r="M165" s="13" t="str">
        <f t="shared" si="21"/>
        <v/>
      </c>
      <c r="Q165" t="str">
        <f t="shared" si="22"/>
        <v/>
      </c>
      <c r="R165" t="str">
        <f t="shared" si="23"/>
        <v/>
      </c>
      <c r="S165" t="str">
        <f t="shared" si="24"/>
        <v/>
      </c>
      <c r="T165" t="str">
        <f t="shared" si="25"/>
        <v/>
      </c>
      <c r="U165" t="str">
        <f t="shared" si="26"/>
        <v/>
      </c>
      <c r="V165" t="str">
        <f t="shared" si="27"/>
        <v/>
      </c>
      <c r="W165" t="str">
        <f t="shared" si="28"/>
        <v/>
      </c>
      <c r="X165">
        <f>IF($T165="",N($X164),IF(MATCH($T165,$T$6:$T$10005,0)=ROW()-5,N($X164)+1,N($X164)))</f>
        <v>0</v>
      </c>
      <c r="Z165" t="str">
        <f t="shared" si="29"/>
        <v/>
      </c>
      <c r="AA165">
        <f>IF($V165="",N($AA164),IF(MATCH($V165,$V$6:$V$10005,0)=ROW()-5,N($AA164)+1,N($AA164)))</f>
        <v>0</v>
      </c>
    </row>
    <row r="166" spans="1:27" ht="21" customHeight="1" x14ac:dyDescent="0.95">
      <c r="A166" s="56"/>
      <c r="B166" s="57"/>
      <c r="C166" s="57"/>
      <c r="D166" s="57"/>
      <c r="E166" s="56"/>
      <c r="F166" s="57"/>
      <c r="G166" s="57"/>
      <c r="H166" s="56"/>
      <c r="I166" s="56"/>
      <c r="J166" s="58"/>
      <c r="K166" s="58"/>
      <c r="L166" s="13" t="str">
        <f t="shared" si="20"/>
        <v/>
      </c>
      <c r="M166" s="13" t="str">
        <f t="shared" si="21"/>
        <v/>
      </c>
      <c r="Q166" t="str">
        <f t="shared" si="22"/>
        <v/>
      </c>
      <c r="R166" t="str">
        <f t="shared" si="23"/>
        <v/>
      </c>
      <c r="S166" t="str">
        <f t="shared" si="24"/>
        <v/>
      </c>
      <c r="T166" t="str">
        <f t="shared" si="25"/>
        <v/>
      </c>
      <c r="U166" t="str">
        <f t="shared" si="26"/>
        <v/>
      </c>
      <c r="V166" t="str">
        <f t="shared" si="27"/>
        <v/>
      </c>
      <c r="W166" t="str">
        <f t="shared" si="28"/>
        <v/>
      </c>
      <c r="X166">
        <f>IF($T166="",N($X165),IF(MATCH($T166,$T$6:$T$10005,0)=ROW()-5,N($X165)+1,N($X165)))</f>
        <v>0</v>
      </c>
      <c r="Z166" t="str">
        <f t="shared" si="29"/>
        <v/>
      </c>
      <c r="AA166">
        <f>IF($V166="",N($AA165),IF(MATCH($V166,$V$6:$V$10005,0)=ROW()-5,N($AA165)+1,N($AA165)))</f>
        <v>0</v>
      </c>
    </row>
    <row r="167" spans="1:27" ht="21" customHeight="1" x14ac:dyDescent="0.95">
      <c r="A167" s="56"/>
      <c r="B167" s="57"/>
      <c r="C167" s="57"/>
      <c r="D167" s="57"/>
      <c r="E167" s="56"/>
      <c r="F167" s="57"/>
      <c r="G167" s="57"/>
      <c r="H167" s="56"/>
      <c r="I167" s="56"/>
      <c r="J167" s="58"/>
      <c r="K167" s="58"/>
      <c r="L167" s="13" t="str">
        <f t="shared" si="20"/>
        <v/>
      </c>
      <c r="M167" s="13" t="str">
        <f t="shared" si="21"/>
        <v/>
      </c>
      <c r="Q167" t="str">
        <f t="shared" si="22"/>
        <v/>
      </c>
      <c r="R167" t="str">
        <f t="shared" si="23"/>
        <v/>
      </c>
      <c r="S167" t="str">
        <f t="shared" si="24"/>
        <v/>
      </c>
      <c r="T167" t="str">
        <f t="shared" si="25"/>
        <v/>
      </c>
      <c r="U167" t="str">
        <f t="shared" si="26"/>
        <v/>
      </c>
      <c r="V167" t="str">
        <f t="shared" si="27"/>
        <v/>
      </c>
      <c r="W167" t="str">
        <f t="shared" si="28"/>
        <v/>
      </c>
      <c r="X167">
        <f>IF($T167="",N($X166),IF(MATCH($T167,$T$6:$T$10005,0)=ROW()-5,N($X166)+1,N($X166)))</f>
        <v>0</v>
      </c>
      <c r="Z167" t="str">
        <f t="shared" si="29"/>
        <v/>
      </c>
      <c r="AA167">
        <f>IF($V167="",N($AA166),IF(MATCH($V167,$V$6:$V$10005,0)=ROW()-5,N($AA166)+1,N($AA166)))</f>
        <v>0</v>
      </c>
    </row>
    <row r="168" spans="1:27" ht="21" customHeight="1" x14ac:dyDescent="0.95">
      <c r="A168" s="56"/>
      <c r="B168" s="57"/>
      <c r="C168" s="57"/>
      <c r="D168" s="57"/>
      <c r="E168" s="56"/>
      <c r="F168" s="57"/>
      <c r="G168" s="57"/>
      <c r="H168" s="56"/>
      <c r="I168" s="56"/>
      <c r="J168" s="58"/>
      <c r="K168" s="58"/>
      <c r="L168" s="13" t="str">
        <f t="shared" si="20"/>
        <v/>
      </c>
      <c r="M168" s="13" t="str">
        <f t="shared" si="21"/>
        <v/>
      </c>
      <c r="Q168" t="str">
        <f t="shared" si="22"/>
        <v/>
      </c>
      <c r="R168" t="str">
        <f t="shared" si="23"/>
        <v/>
      </c>
      <c r="S168" t="str">
        <f t="shared" si="24"/>
        <v/>
      </c>
      <c r="T168" t="str">
        <f t="shared" si="25"/>
        <v/>
      </c>
      <c r="U168" t="str">
        <f t="shared" si="26"/>
        <v/>
      </c>
      <c r="V168" t="str">
        <f t="shared" si="27"/>
        <v/>
      </c>
      <c r="W168" t="str">
        <f t="shared" si="28"/>
        <v/>
      </c>
      <c r="X168">
        <f>IF($T168="",N($X167),IF(MATCH($T168,$T$6:$T$10005,0)=ROW()-5,N($X167)+1,N($X167)))</f>
        <v>0</v>
      </c>
      <c r="Z168" t="str">
        <f t="shared" si="29"/>
        <v/>
      </c>
      <c r="AA168">
        <f>IF($V168="",N($AA167),IF(MATCH($V168,$V$6:$V$10005,0)=ROW()-5,N($AA167)+1,N($AA167)))</f>
        <v>0</v>
      </c>
    </row>
    <row r="169" spans="1:27" ht="21" customHeight="1" x14ac:dyDescent="0.95">
      <c r="A169" s="56"/>
      <c r="B169" s="57"/>
      <c r="C169" s="57"/>
      <c r="D169" s="57"/>
      <c r="E169" s="56"/>
      <c r="F169" s="57"/>
      <c r="G169" s="57"/>
      <c r="H169" s="56"/>
      <c r="I169" s="56"/>
      <c r="J169" s="58"/>
      <c r="K169" s="58"/>
      <c r="L169" s="13" t="str">
        <f t="shared" si="20"/>
        <v/>
      </c>
      <c r="M169" s="13" t="str">
        <f t="shared" si="21"/>
        <v/>
      </c>
      <c r="Q169" t="str">
        <f t="shared" si="22"/>
        <v/>
      </c>
      <c r="R169" t="str">
        <f t="shared" si="23"/>
        <v/>
      </c>
      <c r="S169" t="str">
        <f t="shared" si="24"/>
        <v/>
      </c>
      <c r="T169" t="str">
        <f t="shared" si="25"/>
        <v/>
      </c>
      <c r="U169" t="str">
        <f t="shared" si="26"/>
        <v/>
      </c>
      <c r="V169" t="str">
        <f t="shared" si="27"/>
        <v/>
      </c>
      <c r="W169" t="str">
        <f t="shared" si="28"/>
        <v/>
      </c>
      <c r="X169">
        <f>IF($T169="",N($X168),IF(MATCH($T169,$T$6:$T$10005,0)=ROW()-5,N($X168)+1,N($X168)))</f>
        <v>0</v>
      </c>
      <c r="Z169" t="str">
        <f t="shared" si="29"/>
        <v/>
      </c>
      <c r="AA169">
        <f>IF($V169="",N($AA168),IF(MATCH($V169,$V$6:$V$10005,0)=ROW()-5,N($AA168)+1,N($AA168)))</f>
        <v>0</v>
      </c>
    </row>
    <row r="170" spans="1:27" ht="21" customHeight="1" x14ac:dyDescent="0.95">
      <c r="A170" s="56"/>
      <c r="B170" s="57"/>
      <c r="C170" s="57"/>
      <c r="D170" s="57"/>
      <c r="E170" s="56"/>
      <c r="F170" s="57"/>
      <c r="G170" s="57"/>
      <c r="H170" s="56"/>
      <c r="I170" s="56"/>
      <c r="J170" s="58"/>
      <c r="K170" s="58"/>
      <c r="L170" s="13" t="str">
        <f t="shared" si="20"/>
        <v/>
      </c>
      <c r="M170" s="13" t="str">
        <f t="shared" si="21"/>
        <v/>
      </c>
      <c r="Q170" t="str">
        <f t="shared" si="22"/>
        <v/>
      </c>
      <c r="R170" t="str">
        <f t="shared" si="23"/>
        <v/>
      </c>
      <c r="S170" t="str">
        <f t="shared" si="24"/>
        <v/>
      </c>
      <c r="T170" t="str">
        <f t="shared" si="25"/>
        <v/>
      </c>
      <c r="U170" t="str">
        <f t="shared" si="26"/>
        <v/>
      </c>
      <c r="V170" t="str">
        <f t="shared" si="27"/>
        <v/>
      </c>
      <c r="W170" t="str">
        <f t="shared" si="28"/>
        <v/>
      </c>
      <c r="X170">
        <f>IF($T170="",N($X169),IF(MATCH($T170,$T$6:$T$10005,0)=ROW()-5,N($X169)+1,N($X169)))</f>
        <v>0</v>
      </c>
      <c r="Z170" t="str">
        <f t="shared" si="29"/>
        <v/>
      </c>
      <c r="AA170">
        <f>IF($V170="",N($AA169),IF(MATCH($V170,$V$6:$V$10005,0)=ROW()-5,N($AA169)+1,N($AA169)))</f>
        <v>0</v>
      </c>
    </row>
    <row r="171" spans="1:27" ht="21" customHeight="1" x14ac:dyDescent="0.95">
      <c r="A171" s="56"/>
      <c r="B171" s="57"/>
      <c r="C171" s="57"/>
      <c r="D171" s="57"/>
      <c r="E171" s="56"/>
      <c r="F171" s="57"/>
      <c r="G171" s="57"/>
      <c r="H171" s="56"/>
      <c r="I171" s="56"/>
      <c r="J171" s="58"/>
      <c r="K171" s="58"/>
      <c r="L171" s="13" t="str">
        <f t="shared" si="20"/>
        <v/>
      </c>
      <c r="M171" s="13" t="str">
        <f t="shared" si="21"/>
        <v/>
      </c>
      <c r="Q171" t="str">
        <f t="shared" si="22"/>
        <v/>
      </c>
      <c r="R171" t="str">
        <f t="shared" si="23"/>
        <v/>
      </c>
      <c r="S171" t="str">
        <f t="shared" si="24"/>
        <v/>
      </c>
      <c r="T171" t="str">
        <f t="shared" si="25"/>
        <v/>
      </c>
      <c r="U171" t="str">
        <f t="shared" si="26"/>
        <v/>
      </c>
      <c r="V171" t="str">
        <f t="shared" si="27"/>
        <v/>
      </c>
      <c r="W171" t="str">
        <f t="shared" si="28"/>
        <v/>
      </c>
      <c r="X171">
        <f>IF($T171="",N($X170),IF(MATCH($T171,$T$6:$T$10005,0)=ROW()-5,N($X170)+1,N($X170)))</f>
        <v>0</v>
      </c>
      <c r="Z171" t="str">
        <f t="shared" si="29"/>
        <v/>
      </c>
      <c r="AA171">
        <f>IF($V171="",N($AA170),IF(MATCH($V171,$V$6:$V$10005,0)=ROW()-5,N($AA170)+1,N($AA170)))</f>
        <v>0</v>
      </c>
    </row>
    <row r="172" spans="1:27" ht="21" customHeight="1" x14ac:dyDescent="0.95">
      <c r="A172" s="56"/>
      <c r="B172" s="57"/>
      <c r="C172" s="57"/>
      <c r="D172" s="57"/>
      <c r="E172" s="56"/>
      <c r="F172" s="57"/>
      <c r="G172" s="57"/>
      <c r="H172" s="56"/>
      <c r="I172" s="56"/>
      <c r="J172" s="58"/>
      <c r="K172" s="58"/>
      <c r="L172" s="13" t="str">
        <f t="shared" si="20"/>
        <v/>
      </c>
      <c r="M172" s="13" t="str">
        <f t="shared" si="21"/>
        <v/>
      </c>
      <c r="Q172" t="str">
        <f t="shared" si="22"/>
        <v/>
      </c>
      <c r="R172" t="str">
        <f t="shared" si="23"/>
        <v/>
      </c>
      <c r="S172" t="str">
        <f t="shared" si="24"/>
        <v/>
      </c>
      <c r="T172" t="str">
        <f t="shared" si="25"/>
        <v/>
      </c>
      <c r="U172" t="str">
        <f t="shared" si="26"/>
        <v/>
      </c>
      <c r="V172" t="str">
        <f t="shared" si="27"/>
        <v/>
      </c>
      <c r="W172" t="str">
        <f t="shared" si="28"/>
        <v/>
      </c>
      <c r="X172">
        <f>IF($T172="",N($X171),IF(MATCH($T172,$T$6:$T$10005,0)=ROW()-5,N($X171)+1,N($X171)))</f>
        <v>0</v>
      </c>
      <c r="Z172" t="str">
        <f t="shared" si="29"/>
        <v/>
      </c>
      <c r="AA172">
        <f>IF($V172="",N($AA171),IF(MATCH($V172,$V$6:$V$10005,0)=ROW()-5,N($AA171)+1,N($AA171)))</f>
        <v>0</v>
      </c>
    </row>
    <row r="173" spans="1:27" ht="21" customHeight="1" x14ac:dyDescent="0.95">
      <c r="A173" s="56"/>
      <c r="B173" s="57"/>
      <c r="C173" s="57"/>
      <c r="D173" s="57"/>
      <c r="E173" s="56"/>
      <c r="F173" s="57"/>
      <c r="G173" s="57"/>
      <c r="H173" s="56"/>
      <c r="I173" s="56"/>
      <c r="J173" s="58"/>
      <c r="K173" s="58"/>
      <c r="L173" s="13" t="str">
        <f t="shared" si="20"/>
        <v/>
      </c>
      <c r="M173" s="13" t="str">
        <f t="shared" si="21"/>
        <v/>
      </c>
      <c r="Q173" t="str">
        <f t="shared" si="22"/>
        <v/>
      </c>
      <c r="R173" t="str">
        <f t="shared" si="23"/>
        <v/>
      </c>
      <c r="S173" t="str">
        <f t="shared" si="24"/>
        <v/>
      </c>
      <c r="T173" t="str">
        <f t="shared" si="25"/>
        <v/>
      </c>
      <c r="U173" t="str">
        <f t="shared" si="26"/>
        <v/>
      </c>
      <c r="V173" t="str">
        <f t="shared" si="27"/>
        <v/>
      </c>
      <c r="W173" t="str">
        <f t="shared" si="28"/>
        <v/>
      </c>
      <c r="X173">
        <f>IF($T173="",N($X172),IF(MATCH($T173,$T$6:$T$10005,0)=ROW()-5,N($X172)+1,N($X172)))</f>
        <v>0</v>
      </c>
      <c r="Z173" t="str">
        <f t="shared" si="29"/>
        <v/>
      </c>
      <c r="AA173">
        <f>IF($V173="",N($AA172),IF(MATCH($V173,$V$6:$V$10005,0)=ROW()-5,N($AA172)+1,N($AA172)))</f>
        <v>0</v>
      </c>
    </row>
    <row r="174" spans="1:27" ht="21" customHeight="1" x14ac:dyDescent="0.95">
      <c r="A174" s="56"/>
      <c r="B174" s="57"/>
      <c r="C174" s="57"/>
      <c r="D174" s="57"/>
      <c r="E174" s="56"/>
      <c r="F174" s="57"/>
      <c r="G174" s="57"/>
      <c r="H174" s="56"/>
      <c r="I174" s="56"/>
      <c r="J174" s="58"/>
      <c r="K174" s="58"/>
      <c r="L174" s="13" t="str">
        <f t="shared" si="20"/>
        <v/>
      </c>
      <c r="M174" s="13" t="str">
        <f t="shared" si="21"/>
        <v/>
      </c>
      <c r="Q174" t="str">
        <f t="shared" si="22"/>
        <v/>
      </c>
      <c r="R174" t="str">
        <f t="shared" si="23"/>
        <v/>
      </c>
      <c r="S174" t="str">
        <f t="shared" si="24"/>
        <v/>
      </c>
      <c r="T174" t="str">
        <f t="shared" si="25"/>
        <v/>
      </c>
      <c r="U174" t="str">
        <f t="shared" si="26"/>
        <v/>
      </c>
      <c r="V174" t="str">
        <f t="shared" si="27"/>
        <v/>
      </c>
      <c r="W174" t="str">
        <f t="shared" si="28"/>
        <v/>
      </c>
      <c r="X174">
        <f>IF($T174="",N($X173),IF(MATCH($T174,$T$6:$T$10005,0)=ROW()-5,N($X173)+1,N($X173)))</f>
        <v>0</v>
      </c>
      <c r="Z174" t="str">
        <f t="shared" si="29"/>
        <v/>
      </c>
      <c r="AA174">
        <f>IF($V174="",N($AA173),IF(MATCH($V174,$V$6:$V$10005,0)=ROW()-5,N($AA173)+1,N($AA173)))</f>
        <v>0</v>
      </c>
    </row>
    <row r="175" spans="1:27" ht="21" customHeight="1" x14ac:dyDescent="0.95">
      <c r="A175" s="56"/>
      <c r="B175" s="57"/>
      <c r="C175" s="57"/>
      <c r="D175" s="57"/>
      <c r="E175" s="56"/>
      <c r="F175" s="57"/>
      <c r="G175" s="57"/>
      <c r="H175" s="56"/>
      <c r="I175" s="56"/>
      <c r="J175" s="58"/>
      <c r="K175" s="58"/>
      <c r="L175" s="13" t="str">
        <f t="shared" si="20"/>
        <v/>
      </c>
      <c r="M175" s="13" t="str">
        <f t="shared" si="21"/>
        <v/>
      </c>
      <c r="Q175" t="str">
        <f t="shared" si="22"/>
        <v/>
      </c>
      <c r="R175" t="str">
        <f t="shared" si="23"/>
        <v/>
      </c>
      <c r="S175" t="str">
        <f t="shared" si="24"/>
        <v/>
      </c>
      <c r="T175" t="str">
        <f t="shared" si="25"/>
        <v/>
      </c>
      <c r="U175" t="str">
        <f t="shared" si="26"/>
        <v/>
      </c>
      <c r="V175" t="str">
        <f t="shared" si="27"/>
        <v/>
      </c>
      <c r="W175" t="str">
        <f t="shared" si="28"/>
        <v/>
      </c>
      <c r="X175">
        <f>IF($T175="",N($X174),IF(MATCH($T175,$T$6:$T$10005,0)=ROW()-5,N($X174)+1,N($X174)))</f>
        <v>0</v>
      </c>
      <c r="Z175" t="str">
        <f t="shared" si="29"/>
        <v/>
      </c>
      <c r="AA175">
        <f>IF($V175="",N($AA174),IF(MATCH($V175,$V$6:$V$10005,0)=ROW()-5,N($AA174)+1,N($AA174)))</f>
        <v>0</v>
      </c>
    </row>
    <row r="176" spans="1:27" ht="21" customHeight="1" x14ac:dyDescent="0.95">
      <c r="A176" s="56"/>
      <c r="B176" s="57"/>
      <c r="C176" s="57"/>
      <c r="D176" s="57"/>
      <c r="E176" s="56"/>
      <c r="F176" s="57"/>
      <c r="G176" s="57"/>
      <c r="H176" s="56"/>
      <c r="I176" s="56"/>
      <c r="J176" s="58"/>
      <c r="K176" s="58"/>
      <c r="L176" s="13" t="str">
        <f t="shared" si="20"/>
        <v/>
      </c>
      <c r="M176" s="13" t="str">
        <f t="shared" si="21"/>
        <v/>
      </c>
      <c r="Q176" t="str">
        <f t="shared" si="22"/>
        <v/>
      </c>
      <c r="R176" t="str">
        <f t="shared" si="23"/>
        <v/>
      </c>
      <c r="S176" t="str">
        <f t="shared" si="24"/>
        <v/>
      </c>
      <c r="T176" t="str">
        <f t="shared" si="25"/>
        <v/>
      </c>
      <c r="U176" t="str">
        <f t="shared" si="26"/>
        <v/>
      </c>
      <c r="V176" t="str">
        <f t="shared" si="27"/>
        <v/>
      </c>
      <c r="W176" t="str">
        <f t="shared" si="28"/>
        <v/>
      </c>
      <c r="X176">
        <f>IF($T176="",N($X175),IF(MATCH($T176,$T$6:$T$10005,0)=ROW()-5,N($X175)+1,N($X175)))</f>
        <v>0</v>
      </c>
      <c r="Z176" t="str">
        <f t="shared" si="29"/>
        <v/>
      </c>
      <c r="AA176">
        <f>IF($V176="",N($AA175),IF(MATCH($V176,$V$6:$V$10005,0)=ROW()-5,N($AA175)+1,N($AA175)))</f>
        <v>0</v>
      </c>
    </row>
    <row r="177" spans="1:27" ht="21" customHeight="1" x14ac:dyDescent="0.95">
      <c r="A177" s="56"/>
      <c r="B177" s="57"/>
      <c r="C177" s="57"/>
      <c r="D177" s="57"/>
      <c r="E177" s="56"/>
      <c r="F177" s="57"/>
      <c r="G177" s="57"/>
      <c r="H177" s="56"/>
      <c r="I177" s="56"/>
      <c r="J177" s="58"/>
      <c r="K177" s="58"/>
      <c r="L177" s="13" t="str">
        <f t="shared" si="20"/>
        <v/>
      </c>
      <c r="M177" s="13" t="str">
        <f t="shared" si="21"/>
        <v/>
      </c>
      <c r="Q177" t="str">
        <f t="shared" si="22"/>
        <v/>
      </c>
      <c r="R177" t="str">
        <f t="shared" si="23"/>
        <v/>
      </c>
      <c r="S177" t="str">
        <f t="shared" si="24"/>
        <v/>
      </c>
      <c r="T177" t="str">
        <f t="shared" si="25"/>
        <v/>
      </c>
      <c r="U177" t="str">
        <f t="shared" si="26"/>
        <v/>
      </c>
      <c r="V177" t="str">
        <f t="shared" si="27"/>
        <v/>
      </c>
      <c r="W177" t="str">
        <f t="shared" si="28"/>
        <v/>
      </c>
      <c r="X177">
        <f>IF($T177="",N($X176),IF(MATCH($T177,$T$6:$T$10005,0)=ROW()-5,N($X176)+1,N($X176)))</f>
        <v>0</v>
      </c>
      <c r="Z177" t="str">
        <f t="shared" si="29"/>
        <v/>
      </c>
      <c r="AA177">
        <f>IF($V177="",N($AA176),IF(MATCH($V177,$V$6:$V$10005,0)=ROW()-5,N($AA176)+1,N($AA176)))</f>
        <v>0</v>
      </c>
    </row>
    <row r="178" spans="1:27" ht="21" customHeight="1" x14ac:dyDescent="0.95">
      <c r="A178" s="56"/>
      <c r="B178" s="57"/>
      <c r="C178" s="57"/>
      <c r="D178" s="57"/>
      <c r="E178" s="56"/>
      <c r="F178" s="57"/>
      <c r="G178" s="57"/>
      <c r="H178" s="56"/>
      <c r="I178" s="56"/>
      <c r="J178" s="58"/>
      <c r="K178" s="58"/>
      <c r="L178" s="13" t="str">
        <f t="shared" si="20"/>
        <v/>
      </c>
      <c r="M178" s="13" t="str">
        <f t="shared" si="21"/>
        <v/>
      </c>
      <c r="Q178" t="str">
        <f t="shared" si="22"/>
        <v/>
      </c>
      <c r="R178" t="str">
        <f t="shared" si="23"/>
        <v/>
      </c>
      <c r="S178" t="str">
        <f t="shared" si="24"/>
        <v/>
      </c>
      <c r="T178" t="str">
        <f t="shared" si="25"/>
        <v/>
      </c>
      <c r="U178" t="str">
        <f t="shared" si="26"/>
        <v/>
      </c>
      <c r="V178" t="str">
        <f t="shared" si="27"/>
        <v/>
      </c>
      <c r="W178" t="str">
        <f t="shared" si="28"/>
        <v/>
      </c>
      <c r="X178">
        <f>IF($T178="",N($X177),IF(MATCH($T178,$T$6:$T$10005,0)=ROW()-5,N($X177)+1,N($X177)))</f>
        <v>0</v>
      </c>
      <c r="Z178" t="str">
        <f t="shared" si="29"/>
        <v/>
      </c>
      <c r="AA178">
        <f>IF($V178="",N($AA177),IF(MATCH($V178,$V$6:$V$10005,0)=ROW()-5,N($AA177)+1,N($AA177)))</f>
        <v>0</v>
      </c>
    </row>
    <row r="179" spans="1:27" ht="21" customHeight="1" x14ac:dyDescent="0.95">
      <c r="A179" s="56"/>
      <c r="B179" s="57"/>
      <c r="C179" s="57"/>
      <c r="D179" s="57"/>
      <c r="E179" s="56"/>
      <c r="F179" s="57"/>
      <c r="G179" s="57"/>
      <c r="H179" s="56"/>
      <c r="I179" s="56"/>
      <c r="J179" s="58"/>
      <c r="K179" s="58"/>
      <c r="L179" s="13" t="str">
        <f t="shared" si="20"/>
        <v/>
      </c>
      <c r="M179" s="13" t="str">
        <f t="shared" si="21"/>
        <v/>
      </c>
      <c r="Q179" t="str">
        <f t="shared" si="22"/>
        <v/>
      </c>
      <c r="R179" t="str">
        <f t="shared" si="23"/>
        <v/>
      </c>
      <c r="S179" t="str">
        <f t="shared" si="24"/>
        <v/>
      </c>
      <c r="T179" t="str">
        <f t="shared" si="25"/>
        <v/>
      </c>
      <c r="U179" t="str">
        <f t="shared" si="26"/>
        <v/>
      </c>
      <c r="V179" t="str">
        <f t="shared" si="27"/>
        <v/>
      </c>
      <c r="W179" t="str">
        <f t="shared" si="28"/>
        <v/>
      </c>
      <c r="X179">
        <f>IF($T179="",N($X178),IF(MATCH($T179,$T$6:$T$10005,0)=ROW()-5,N($X178)+1,N($X178)))</f>
        <v>0</v>
      </c>
      <c r="Z179" t="str">
        <f t="shared" si="29"/>
        <v/>
      </c>
      <c r="AA179">
        <f>IF($V179="",N($AA178),IF(MATCH($V179,$V$6:$V$10005,0)=ROW()-5,N($AA178)+1,N($AA178)))</f>
        <v>0</v>
      </c>
    </row>
    <row r="180" spans="1:27" ht="21" customHeight="1" x14ac:dyDescent="0.95">
      <c r="A180" s="56"/>
      <c r="B180" s="57"/>
      <c r="C180" s="57"/>
      <c r="D180" s="57"/>
      <c r="E180" s="56"/>
      <c r="F180" s="57"/>
      <c r="G180" s="57"/>
      <c r="H180" s="56"/>
      <c r="I180" s="56"/>
      <c r="J180" s="58"/>
      <c r="K180" s="58"/>
      <c r="L180" s="13" t="str">
        <f t="shared" si="20"/>
        <v/>
      </c>
      <c r="M180" s="13" t="str">
        <f t="shared" si="21"/>
        <v/>
      </c>
      <c r="Q180" t="str">
        <f t="shared" si="22"/>
        <v/>
      </c>
      <c r="R180" t="str">
        <f t="shared" si="23"/>
        <v/>
      </c>
      <c r="S180" t="str">
        <f t="shared" si="24"/>
        <v/>
      </c>
      <c r="T180" t="str">
        <f t="shared" si="25"/>
        <v/>
      </c>
      <c r="U180" t="str">
        <f t="shared" si="26"/>
        <v/>
      </c>
      <c r="V180" t="str">
        <f t="shared" si="27"/>
        <v/>
      </c>
      <c r="W180" t="str">
        <f t="shared" si="28"/>
        <v/>
      </c>
      <c r="X180">
        <f>IF($T180="",N($X179),IF(MATCH($T180,$T$6:$T$10005,0)=ROW()-5,N($X179)+1,N($X179)))</f>
        <v>0</v>
      </c>
      <c r="Z180" t="str">
        <f t="shared" si="29"/>
        <v/>
      </c>
      <c r="AA180">
        <f>IF($V180="",N($AA179),IF(MATCH($V180,$V$6:$V$10005,0)=ROW()-5,N($AA179)+1,N($AA179)))</f>
        <v>0</v>
      </c>
    </row>
    <row r="181" spans="1:27" ht="21" customHeight="1" x14ac:dyDescent="0.95">
      <c r="A181" s="56"/>
      <c r="B181" s="57"/>
      <c r="C181" s="57"/>
      <c r="D181" s="57"/>
      <c r="E181" s="56"/>
      <c r="F181" s="57"/>
      <c r="G181" s="57"/>
      <c r="H181" s="56"/>
      <c r="I181" s="56"/>
      <c r="J181" s="58"/>
      <c r="K181" s="58"/>
      <c r="L181" s="13" t="str">
        <f t="shared" si="20"/>
        <v/>
      </c>
      <c r="M181" s="13" t="str">
        <f t="shared" si="21"/>
        <v/>
      </c>
      <c r="Q181" t="str">
        <f t="shared" si="22"/>
        <v/>
      </c>
      <c r="R181" t="str">
        <f t="shared" si="23"/>
        <v/>
      </c>
      <c r="S181" t="str">
        <f t="shared" si="24"/>
        <v/>
      </c>
      <c r="T181" t="str">
        <f t="shared" si="25"/>
        <v/>
      </c>
      <c r="U181" t="str">
        <f t="shared" si="26"/>
        <v/>
      </c>
      <c r="V181" t="str">
        <f t="shared" si="27"/>
        <v/>
      </c>
      <c r="W181" t="str">
        <f t="shared" si="28"/>
        <v/>
      </c>
      <c r="X181">
        <f>IF($T181="",N($X180),IF(MATCH($T181,$T$6:$T$10005,0)=ROW()-5,N($X180)+1,N($X180)))</f>
        <v>0</v>
      </c>
      <c r="Z181" t="str">
        <f t="shared" si="29"/>
        <v/>
      </c>
      <c r="AA181">
        <f>IF($V181="",N($AA180),IF(MATCH($V181,$V$6:$V$10005,0)=ROW()-5,N($AA180)+1,N($AA180)))</f>
        <v>0</v>
      </c>
    </row>
    <row r="182" spans="1:27" ht="21" customHeight="1" x14ac:dyDescent="0.95">
      <c r="A182" s="56"/>
      <c r="B182" s="57"/>
      <c r="C182" s="57"/>
      <c r="D182" s="57"/>
      <c r="E182" s="56"/>
      <c r="F182" s="57"/>
      <c r="G182" s="57"/>
      <c r="H182" s="56"/>
      <c r="I182" s="56"/>
      <c r="J182" s="58"/>
      <c r="K182" s="58"/>
      <c r="L182" s="13" t="str">
        <f t="shared" si="20"/>
        <v/>
      </c>
      <c r="M182" s="13" t="str">
        <f t="shared" si="21"/>
        <v/>
      </c>
      <c r="Q182" t="str">
        <f t="shared" si="22"/>
        <v/>
      </c>
      <c r="R182" t="str">
        <f t="shared" si="23"/>
        <v/>
      </c>
      <c r="S182" t="str">
        <f t="shared" si="24"/>
        <v/>
      </c>
      <c r="T182" t="str">
        <f t="shared" si="25"/>
        <v/>
      </c>
      <c r="U182" t="str">
        <f t="shared" si="26"/>
        <v/>
      </c>
      <c r="V182" t="str">
        <f t="shared" si="27"/>
        <v/>
      </c>
      <c r="W182" t="str">
        <f t="shared" si="28"/>
        <v/>
      </c>
      <c r="X182">
        <f>IF($T182="",N($X181),IF(MATCH($T182,$T$6:$T$10005,0)=ROW()-5,N($X181)+1,N($X181)))</f>
        <v>0</v>
      </c>
      <c r="Z182" t="str">
        <f t="shared" si="29"/>
        <v/>
      </c>
      <c r="AA182">
        <f>IF($V182="",N($AA181),IF(MATCH($V182,$V$6:$V$10005,0)=ROW()-5,N($AA181)+1,N($AA181)))</f>
        <v>0</v>
      </c>
    </row>
    <row r="183" spans="1:27" ht="21" customHeight="1" x14ac:dyDescent="0.95">
      <c r="A183" s="56"/>
      <c r="B183" s="57"/>
      <c r="C183" s="57"/>
      <c r="D183" s="57"/>
      <c r="E183" s="56"/>
      <c r="F183" s="57"/>
      <c r="G183" s="57"/>
      <c r="H183" s="56"/>
      <c r="I183" s="56"/>
      <c r="J183" s="58"/>
      <c r="K183" s="58"/>
      <c r="L183" s="13" t="str">
        <f t="shared" si="20"/>
        <v/>
      </c>
      <c r="M183" s="13" t="str">
        <f t="shared" si="21"/>
        <v/>
      </c>
      <c r="Q183" t="str">
        <f t="shared" si="22"/>
        <v/>
      </c>
      <c r="R183" t="str">
        <f t="shared" si="23"/>
        <v/>
      </c>
      <c r="S183" t="str">
        <f t="shared" si="24"/>
        <v/>
      </c>
      <c r="T183" t="str">
        <f t="shared" si="25"/>
        <v/>
      </c>
      <c r="U183" t="str">
        <f t="shared" si="26"/>
        <v/>
      </c>
      <c r="V183" t="str">
        <f t="shared" si="27"/>
        <v/>
      </c>
      <c r="W183" t="str">
        <f t="shared" si="28"/>
        <v/>
      </c>
      <c r="X183">
        <f>IF($T183="",N($X182),IF(MATCH($T183,$T$6:$T$10005,0)=ROW()-5,N($X182)+1,N($X182)))</f>
        <v>0</v>
      </c>
      <c r="Z183" t="str">
        <f t="shared" si="29"/>
        <v/>
      </c>
      <c r="AA183">
        <f>IF($V183="",N($AA182),IF(MATCH($V183,$V$6:$V$10005,0)=ROW()-5,N($AA182)+1,N($AA182)))</f>
        <v>0</v>
      </c>
    </row>
    <row r="184" spans="1:27" ht="21" customHeight="1" x14ac:dyDescent="0.95">
      <c r="A184" s="56"/>
      <c r="B184" s="57"/>
      <c r="C184" s="57"/>
      <c r="D184" s="57"/>
      <c r="E184" s="56"/>
      <c r="F184" s="57"/>
      <c r="G184" s="57"/>
      <c r="H184" s="56"/>
      <c r="I184" s="56"/>
      <c r="J184" s="58"/>
      <c r="K184" s="58"/>
      <c r="L184" s="13" t="str">
        <f t="shared" si="20"/>
        <v/>
      </c>
      <c r="M184" s="13" t="str">
        <f t="shared" si="21"/>
        <v/>
      </c>
      <c r="Q184" t="str">
        <f t="shared" si="22"/>
        <v/>
      </c>
      <c r="R184" t="str">
        <f t="shared" si="23"/>
        <v/>
      </c>
      <c r="S184" t="str">
        <f t="shared" si="24"/>
        <v/>
      </c>
      <c r="T184" t="str">
        <f t="shared" si="25"/>
        <v/>
      </c>
      <c r="U184" t="str">
        <f t="shared" si="26"/>
        <v/>
      </c>
      <c r="V184" t="str">
        <f t="shared" si="27"/>
        <v/>
      </c>
      <c r="W184" t="str">
        <f t="shared" si="28"/>
        <v/>
      </c>
      <c r="X184">
        <f>IF($T184="",N($X183),IF(MATCH($T184,$T$6:$T$10005,0)=ROW()-5,N($X183)+1,N($X183)))</f>
        <v>0</v>
      </c>
      <c r="Z184" t="str">
        <f t="shared" si="29"/>
        <v/>
      </c>
      <c r="AA184">
        <f>IF($V184="",N($AA183),IF(MATCH($V184,$V$6:$V$10005,0)=ROW()-5,N($AA183)+1,N($AA183)))</f>
        <v>0</v>
      </c>
    </row>
    <row r="185" spans="1:27" ht="21" customHeight="1" x14ac:dyDescent="0.95">
      <c r="A185" s="56"/>
      <c r="B185" s="57"/>
      <c r="C185" s="57"/>
      <c r="D185" s="57"/>
      <c r="E185" s="56"/>
      <c r="F185" s="57"/>
      <c r="G185" s="57"/>
      <c r="H185" s="56"/>
      <c r="I185" s="56"/>
      <c r="J185" s="58"/>
      <c r="K185" s="58"/>
      <c r="L185" s="13" t="str">
        <f t="shared" si="20"/>
        <v/>
      </c>
      <c r="M185" s="13" t="str">
        <f t="shared" si="21"/>
        <v/>
      </c>
      <c r="Q185" t="str">
        <f t="shared" si="22"/>
        <v/>
      </c>
      <c r="R185" t="str">
        <f t="shared" si="23"/>
        <v/>
      </c>
      <c r="S185" t="str">
        <f t="shared" si="24"/>
        <v/>
      </c>
      <c r="T185" t="str">
        <f t="shared" si="25"/>
        <v/>
      </c>
      <c r="U185" t="str">
        <f t="shared" si="26"/>
        <v/>
      </c>
      <c r="V185" t="str">
        <f t="shared" si="27"/>
        <v/>
      </c>
      <c r="W185" t="str">
        <f t="shared" si="28"/>
        <v/>
      </c>
      <c r="X185">
        <f>IF($T185="",N($X184),IF(MATCH($T185,$T$6:$T$10005,0)=ROW()-5,N($X184)+1,N($X184)))</f>
        <v>0</v>
      </c>
      <c r="Z185" t="str">
        <f t="shared" si="29"/>
        <v/>
      </c>
      <c r="AA185">
        <f>IF($V185="",N($AA184),IF(MATCH($V185,$V$6:$V$10005,0)=ROW()-5,N($AA184)+1,N($AA184)))</f>
        <v>0</v>
      </c>
    </row>
    <row r="186" spans="1:27" ht="21" customHeight="1" x14ac:dyDescent="0.95">
      <c r="A186" s="56"/>
      <c r="B186" s="57"/>
      <c r="C186" s="57"/>
      <c r="D186" s="57"/>
      <c r="E186" s="56"/>
      <c r="F186" s="57"/>
      <c r="G186" s="57"/>
      <c r="H186" s="56"/>
      <c r="I186" s="56"/>
      <c r="J186" s="58"/>
      <c r="K186" s="58"/>
      <c r="L186" s="13" t="str">
        <f t="shared" si="20"/>
        <v/>
      </c>
      <c r="M186" s="13" t="str">
        <f t="shared" si="21"/>
        <v/>
      </c>
      <c r="Q186" t="str">
        <f t="shared" si="22"/>
        <v/>
      </c>
      <c r="R186" t="str">
        <f t="shared" si="23"/>
        <v/>
      </c>
      <c r="S186" t="str">
        <f t="shared" si="24"/>
        <v/>
      </c>
      <c r="T186" t="str">
        <f t="shared" si="25"/>
        <v/>
      </c>
      <c r="U186" t="str">
        <f t="shared" si="26"/>
        <v/>
      </c>
      <c r="V186" t="str">
        <f t="shared" si="27"/>
        <v/>
      </c>
      <c r="W186" t="str">
        <f t="shared" si="28"/>
        <v/>
      </c>
      <c r="X186">
        <f>IF($T186="",N($X185),IF(MATCH($T186,$T$6:$T$10005,0)=ROW()-5,N($X185)+1,N($X185)))</f>
        <v>0</v>
      </c>
      <c r="Z186" t="str">
        <f t="shared" si="29"/>
        <v/>
      </c>
      <c r="AA186">
        <f>IF($V186="",N($AA185),IF(MATCH($V186,$V$6:$V$10005,0)=ROW()-5,N($AA185)+1,N($AA185)))</f>
        <v>0</v>
      </c>
    </row>
    <row r="187" spans="1:27" ht="21" customHeight="1" x14ac:dyDescent="0.95">
      <c r="A187" s="56"/>
      <c r="B187" s="57"/>
      <c r="C187" s="57"/>
      <c r="D187" s="57"/>
      <c r="E187" s="56"/>
      <c r="F187" s="57"/>
      <c r="G187" s="57"/>
      <c r="H187" s="56"/>
      <c r="I187" s="56"/>
      <c r="J187" s="58"/>
      <c r="K187" s="58"/>
      <c r="L187" s="13" t="str">
        <f t="shared" si="20"/>
        <v/>
      </c>
      <c r="M187" s="13" t="str">
        <f t="shared" si="21"/>
        <v/>
      </c>
      <c r="Q187" t="str">
        <f t="shared" si="22"/>
        <v/>
      </c>
      <c r="R187" t="str">
        <f t="shared" si="23"/>
        <v/>
      </c>
      <c r="S187" t="str">
        <f t="shared" si="24"/>
        <v/>
      </c>
      <c r="T187" t="str">
        <f t="shared" si="25"/>
        <v/>
      </c>
      <c r="U187" t="str">
        <f t="shared" si="26"/>
        <v/>
      </c>
      <c r="V187" t="str">
        <f t="shared" si="27"/>
        <v/>
      </c>
      <c r="W187" t="str">
        <f t="shared" si="28"/>
        <v/>
      </c>
      <c r="X187">
        <f>IF($T187="",N($X186),IF(MATCH($T187,$T$6:$T$10005,0)=ROW()-5,N($X186)+1,N($X186)))</f>
        <v>0</v>
      </c>
      <c r="Z187" t="str">
        <f t="shared" si="29"/>
        <v/>
      </c>
      <c r="AA187">
        <f>IF($V187="",N($AA186),IF(MATCH($V187,$V$6:$V$10005,0)=ROW()-5,N($AA186)+1,N($AA186)))</f>
        <v>0</v>
      </c>
    </row>
    <row r="188" spans="1:27" ht="21" customHeight="1" x14ac:dyDescent="0.95">
      <c r="A188" s="56"/>
      <c r="B188" s="57"/>
      <c r="C188" s="57"/>
      <c r="D188" s="57"/>
      <c r="E188" s="56"/>
      <c r="F188" s="57"/>
      <c r="G188" s="57"/>
      <c r="H188" s="56"/>
      <c r="I188" s="56"/>
      <c r="J188" s="58"/>
      <c r="K188" s="58"/>
      <c r="L188" s="13" t="str">
        <f t="shared" si="20"/>
        <v/>
      </c>
      <c r="M188" s="13" t="str">
        <f t="shared" si="21"/>
        <v/>
      </c>
      <c r="Q188" t="str">
        <f t="shared" si="22"/>
        <v/>
      </c>
      <c r="R188" t="str">
        <f t="shared" si="23"/>
        <v/>
      </c>
      <c r="S188" t="str">
        <f t="shared" si="24"/>
        <v/>
      </c>
      <c r="T188" t="str">
        <f t="shared" si="25"/>
        <v/>
      </c>
      <c r="U188" t="str">
        <f t="shared" si="26"/>
        <v/>
      </c>
      <c r="V188" t="str">
        <f t="shared" si="27"/>
        <v/>
      </c>
      <c r="W188" t="str">
        <f t="shared" si="28"/>
        <v/>
      </c>
      <c r="X188">
        <f>IF($T188="",N($X187),IF(MATCH($T188,$T$6:$T$10005,0)=ROW()-5,N($X187)+1,N($X187)))</f>
        <v>0</v>
      </c>
      <c r="Z188" t="str">
        <f t="shared" si="29"/>
        <v/>
      </c>
      <c r="AA188">
        <f>IF($V188="",N($AA187),IF(MATCH($V188,$V$6:$V$10005,0)=ROW()-5,N($AA187)+1,N($AA187)))</f>
        <v>0</v>
      </c>
    </row>
    <row r="189" spans="1:27" ht="21" customHeight="1" x14ac:dyDescent="0.95">
      <c r="A189" s="56"/>
      <c r="B189" s="57"/>
      <c r="C189" s="57"/>
      <c r="D189" s="57"/>
      <c r="E189" s="56"/>
      <c r="F189" s="57"/>
      <c r="G189" s="57"/>
      <c r="H189" s="56"/>
      <c r="I189" s="56"/>
      <c r="J189" s="58"/>
      <c r="K189" s="58"/>
      <c r="L189" s="13" t="str">
        <f t="shared" si="20"/>
        <v/>
      </c>
      <c r="M189" s="13" t="str">
        <f t="shared" si="21"/>
        <v/>
      </c>
      <c r="Q189" t="str">
        <f t="shared" si="22"/>
        <v/>
      </c>
      <c r="R189" t="str">
        <f t="shared" si="23"/>
        <v/>
      </c>
      <c r="S189" t="str">
        <f t="shared" si="24"/>
        <v/>
      </c>
      <c r="T189" t="str">
        <f t="shared" si="25"/>
        <v/>
      </c>
      <c r="U189" t="str">
        <f t="shared" si="26"/>
        <v/>
      </c>
      <c r="V189" t="str">
        <f t="shared" si="27"/>
        <v/>
      </c>
      <c r="W189" t="str">
        <f t="shared" si="28"/>
        <v/>
      </c>
      <c r="X189">
        <f>IF($T189="",N($X188),IF(MATCH($T189,$T$6:$T$10005,0)=ROW()-5,N($X188)+1,N($X188)))</f>
        <v>0</v>
      </c>
      <c r="Z189" t="str">
        <f t="shared" si="29"/>
        <v/>
      </c>
      <c r="AA189">
        <f>IF($V189="",N($AA188),IF(MATCH($V189,$V$6:$V$10005,0)=ROW()-5,N($AA188)+1,N($AA188)))</f>
        <v>0</v>
      </c>
    </row>
    <row r="190" spans="1:27" ht="21" customHeight="1" x14ac:dyDescent="0.95">
      <c r="A190" s="56"/>
      <c r="B190" s="57"/>
      <c r="C190" s="57"/>
      <c r="D190" s="57"/>
      <c r="E190" s="56"/>
      <c r="F190" s="57"/>
      <c r="G190" s="57"/>
      <c r="H190" s="56"/>
      <c r="I190" s="56"/>
      <c r="J190" s="58"/>
      <c r="K190" s="58"/>
      <c r="L190" s="13" t="str">
        <f t="shared" si="20"/>
        <v/>
      </c>
      <c r="M190" s="13" t="str">
        <f t="shared" si="21"/>
        <v/>
      </c>
      <c r="Q190" t="str">
        <f t="shared" si="22"/>
        <v/>
      </c>
      <c r="R190" t="str">
        <f t="shared" si="23"/>
        <v/>
      </c>
      <c r="S190" t="str">
        <f t="shared" si="24"/>
        <v/>
      </c>
      <c r="T190" t="str">
        <f t="shared" si="25"/>
        <v/>
      </c>
      <c r="U190" t="str">
        <f t="shared" si="26"/>
        <v/>
      </c>
      <c r="V190" t="str">
        <f t="shared" si="27"/>
        <v/>
      </c>
      <c r="W190" t="str">
        <f t="shared" si="28"/>
        <v/>
      </c>
      <c r="X190">
        <f>IF($T190="",N($X189),IF(MATCH($T190,$T$6:$T$10005,0)=ROW()-5,N($X189)+1,N($X189)))</f>
        <v>0</v>
      </c>
      <c r="Z190" t="str">
        <f t="shared" si="29"/>
        <v/>
      </c>
      <c r="AA190">
        <f>IF($V190="",N($AA189),IF(MATCH($V190,$V$6:$V$10005,0)=ROW()-5,N($AA189)+1,N($AA189)))</f>
        <v>0</v>
      </c>
    </row>
    <row r="191" spans="1:27" ht="21" customHeight="1" x14ac:dyDescent="0.95">
      <c r="A191" s="56"/>
      <c r="B191" s="57"/>
      <c r="C191" s="57"/>
      <c r="D191" s="57"/>
      <c r="E191" s="56"/>
      <c r="F191" s="57"/>
      <c r="G191" s="57"/>
      <c r="H191" s="56"/>
      <c r="I191" s="56"/>
      <c r="J191" s="58"/>
      <c r="K191" s="58"/>
      <c r="L191" s="13" t="str">
        <f t="shared" si="20"/>
        <v/>
      </c>
      <c r="M191" s="13" t="str">
        <f t="shared" si="21"/>
        <v/>
      </c>
      <c r="Q191" t="str">
        <f t="shared" si="22"/>
        <v/>
      </c>
      <c r="R191" t="str">
        <f t="shared" si="23"/>
        <v/>
      </c>
      <c r="S191" t="str">
        <f t="shared" si="24"/>
        <v/>
      </c>
      <c r="T191" t="str">
        <f t="shared" si="25"/>
        <v/>
      </c>
      <c r="U191" t="str">
        <f t="shared" si="26"/>
        <v/>
      </c>
      <c r="V191" t="str">
        <f t="shared" si="27"/>
        <v/>
      </c>
      <c r="W191" t="str">
        <f t="shared" si="28"/>
        <v/>
      </c>
      <c r="X191">
        <f>IF($T191="",N($X190),IF(MATCH($T191,$T$6:$T$10005,0)=ROW()-5,N($X190)+1,N($X190)))</f>
        <v>0</v>
      </c>
      <c r="Z191" t="str">
        <f t="shared" si="29"/>
        <v/>
      </c>
      <c r="AA191">
        <f>IF($V191="",N($AA190),IF(MATCH($V191,$V$6:$V$10005,0)=ROW()-5,N($AA190)+1,N($AA190)))</f>
        <v>0</v>
      </c>
    </row>
    <row r="192" spans="1:27" ht="21" customHeight="1" x14ac:dyDescent="0.95">
      <c r="A192" s="56"/>
      <c r="B192" s="57"/>
      <c r="C192" s="57"/>
      <c r="D192" s="57"/>
      <c r="E192" s="56"/>
      <c r="F192" s="57"/>
      <c r="G192" s="57"/>
      <c r="H192" s="56"/>
      <c r="I192" s="56"/>
      <c r="J192" s="58"/>
      <c r="K192" s="58"/>
      <c r="L192" s="13" t="str">
        <f t="shared" si="20"/>
        <v/>
      </c>
      <c r="M192" s="13" t="str">
        <f t="shared" si="21"/>
        <v/>
      </c>
      <c r="Q192" t="str">
        <f t="shared" si="22"/>
        <v/>
      </c>
      <c r="R192" t="str">
        <f t="shared" si="23"/>
        <v/>
      </c>
      <c r="S192" t="str">
        <f t="shared" si="24"/>
        <v/>
      </c>
      <c r="T192" t="str">
        <f t="shared" si="25"/>
        <v/>
      </c>
      <c r="U192" t="str">
        <f t="shared" si="26"/>
        <v/>
      </c>
      <c r="V192" t="str">
        <f t="shared" si="27"/>
        <v/>
      </c>
      <c r="W192" t="str">
        <f t="shared" si="28"/>
        <v/>
      </c>
      <c r="X192">
        <f>IF($T192="",N($X191),IF(MATCH($T192,$T$6:$T$10005,0)=ROW()-5,N($X191)+1,N($X191)))</f>
        <v>0</v>
      </c>
      <c r="Z192" t="str">
        <f t="shared" si="29"/>
        <v/>
      </c>
      <c r="AA192">
        <f>IF($V192="",N($AA191),IF(MATCH($V192,$V$6:$V$10005,0)=ROW()-5,N($AA191)+1,N($AA191)))</f>
        <v>0</v>
      </c>
    </row>
    <row r="193" spans="1:27" ht="21" customHeight="1" x14ac:dyDescent="0.95">
      <c r="A193" s="56"/>
      <c r="B193" s="57"/>
      <c r="C193" s="57"/>
      <c r="D193" s="57"/>
      <c r="E193" s="56"/>
      <c r="F193" s="57"/>
      <c r="G193" s="57"/>
      <c r="H193" s="56"/>
      <c r="I193" s="56"/>
      <c r="J193" s="58"/>
      <c r="K193" s="58"/>
      <c r="L193" s="13" t="str">
        <f t="shared" si="20"/>
        <v/>
      </c>
      <c r="M193" s="13" t="str">
        <f t="shared" si="21"/>
        <v/>
      </c>
      <c r="Q193" t="str">
        <f t="shared" si="22"/>
        <v/>
      </c>
      <c r="R193" t="str">
        <f t="shared" si="23"/>
        <v/>
      </c>
      <c r="S193" t="str">
        <f t="shared" si="24"/>
        <v/>
      </c>
      <c r="T193" t="str">
        <f t="shared" si="25"/>
        <v/>
      </c>
      <c r="U193" t="str">
        <f t="shared" si="26"/>
        <v/>
      </c>
      <c r="V193" t="str">
        <f t="shared" si="27"/>
        <v/>
      </c>
      <c r="W193" t="str">
        <f t="shared" si="28"/>
        <v/>
      </c>
      <c r="X193">
        <f>IF($T193="",N($X192),IF(MATCH($T193,$T$6:$T$10005,0)=ROW()-5,N($X192)+1,N($X192)))</f>
        <v>0</v>
      </c>
      <c r="Z193" t="str">
        <f t="shared" si="29"/>
        <v/>
      </c>
      <c r="AA193">
        <f>IF($V193="",N($AA192),IF(MATCH($V193,$V$6:$V$10005,0)=ROW()-5,N($AA192)+1,N($AA192)))</f>
        <v>0</v>
      </c>
    </row>
    <row r="194" spans="1:27" ht="21" customHeight="1" x14ac:dyDescent="0.95">
      <c r="A194" s="56"/>
      <c r="B194" s="57"/>
      <c r="C194" s="57"/>
      <c r="D194" s="57"/>
      <c r="E194" s="56"/>
      <c r="F194" s="57"/>
      <c r="G194" s="57"/>
      <c r="H194" s="56"/>
      <c r="I194" s="56"/>
      <c r="J194" s="58"/>
      <c r="K194" s="58"/>
      <c r="L194" s="13" t="str">
        <f t="shared" si="20"/>
        <v/>
      </c>
      <c r="M194" s="13" t="str">
        <f t="shared" si="21"/>
        <v/>
      </c>
      <c r="Q194" t="str">
        <f t="shared" si="22"/>
        <v/>
      </c>
      <c r="R194" t="str">
        <f t="shared" si="23"/>
        <v/>
      </c>
      <c r="S194" t="str">
        <f t="shared" si="24"/>
        <v/>
      </c>
      <c r="T194" t="str">
        <f t="shared" si="25"/>
        <v/>
      </c>
      <c r="U194" t="str">
        <f t="shared" si="26"/>
        <v/>
      </c>
      <c r="V194" t="str">
        <f t="shared" si="27"/>
        <v/>
      </c>
      <c r="W194" t="str">
        <f t="shared" si="28"/>
        <v/>
      </c>
      <c r="X194">
        <f>IF($T194="",N($X193),IF(MATCH($T194,$T$6:$T$10005,0)=ROW()-5,N($X193)+1,N($X193)))</f>
        <v>0</v>
      </c>
      <c r="Z194" t="str">
        <f t="shared" si="29"/>
        <v/>
      </c>
      <c r="AA194">
        <f>IF($V194="",N($AA193),IF(MATCH($V194,$V$6:$V$10005,0)=ROW()-5,N($AA193)+1,N($AA193)))</f>
        <v>0</v>
      </c>
    </row>
    <row r="195" spans="1:27" ht="21" customHeight="1" x14ac:dyDescent="0.95">
      <c r="A195" s="56"/>
      <c r="B195" s="57"/>
      <c r="C195" s="57"/>
      <c r="D195" s="57"/>
      <c r="E195" s="56"/>
      <c r="F195" s="57"/>
      <c r="G195" s="57"/>
      <c r="H195" s="56"/>
      <c r="I195" s="56"/>
      <c r="J195" s="58"/>
      <c r="K195" s="58"/>
      <c r="L195" s="13" t="str">
        <f t="shared" si="20"/>
        <v/>
      </c>
      <c r="M195" s="13" t="str">
        <f t="shared" si="21"/>
        <v/>
      </c>
      <c r="Q195" t="str">
        <f t="shared" si="22"/>
        <v/>
      </c>
      <c r="R195" t="str">
        <f t="shared" si="23"/>
        <v/>
      </c>
      <c r="S195" t="str">
        <f t="shared" si="24"/>
        <v/>
      </c>
      <c r="T195" t="str">
        <f t="shared" si="25"/>
        <v/>
      </c>
      <c r="U195" t="str">
        <f t="shared" si="26"/>
        <v/>
      </c>
      <c r="V195" t="str">
        <f t="shared" si="27"/>
        <v/>
      </c>
      <c r="W195" t="str">
        <f t="shared" si="28"/>
        <v/>
      </c>
      <c r="X195">
        <f>IF($T195="",N($X194),IF(MATCH($T195,$T$6:$T$10005,0)=ROW()-5,N($X194)+1,N($X194)))</f>
        <v>0</v>
      </c>
      <c r="Z195" t="str">
        <f t="shared" si="29"/>
        <v/>
      </c>
      <c r="AA195">
        <f>IF($V195="",N($AA194),IF(MATCH($V195,$V$6:$V$10005,0)=ROW()-5,N($AA194)+1,N($AA194)))</f>
        <v>0</v>
      </c>
    </row>
    <row r="196" spans="1:27" ht="21" customHeight="1" x14ac:dyDescent="0.95">
      <c r="A196" s="56"/>
      <c r="B196" s="57"/>
      <c r="C196" s="57"/>
      <c r="D196" s="57"/>
      <c r="E196" s="56"/>
      <c r="F196" s="57"/>
      <c r="G196" s="57"/>
      <c r="H196" s="56"/>
      <c r="I196" s="56"/>
      <c r="J196" s="58"/>
      <c r="K196" s="58"/>
      <c r="L196" s="13" t="str">
        <f t="shared" si="20"/>
        <v/>
      </c>
      <c r="M196" s="13" t="str">
        <f t="shared" si="21"/>
        <v/>
      </c>
      <c r="Q196" t="str">
        <f t="shared" si="22"/>
        <v/>
      </c>
      <c r="R196" t="str">
        <f t="shared" si="23"/>
        <v/>
      </c>
      <c r="S196" t="str">
        <f t="shared" si="24"/>
        <v/>
      </c>
      <c r="T196" t="str">
        <f t="shared" si="25"/>
        <v/>
      </c>
      <c r="U196" t="str">
        <f t="shared" si="26"/>
        <v/>
      </c>
      <c r="V196" t="str">
        <f t="shared" si="27"/>
        <v/>
      </c>
      <c r="W196" t="str">
        <f t="shared" si="28"/>
        <v/>
      </c>
      <c r="X196">
        <f>IF($T196="",N($X195),IF(MATCH($T196,$T$6:$T$10005,0)=ROW()-5,N($X195)+1,N($X195)))</f>
        <v>0</v>
      </c>
      <c r="Z196" t="str">
        <f t="shared" si="29"/>
        <v/>
      </c>
      <c r="AA196">
        <f>IF($V196="",N($AA195),IF(MATCH($V196,$V$6:$V$10005,0)=ROW()-5,N($AA195)+1,N($AA195)))</f>
        <v>0</v>
      </c>
    </row>
    <row r="197" spans="1:27" ht="21" customHeight="1" x14ac:dyDescent="0.95">
      <c r="A197" s="56"/>
      <c r="B197" s="57"/>
      <c r="C197" s="57"/>
      <c r="D197" s="57"/>
      <c r="E197" s="56"/>
      <c r="F197" s="57"/>
      <c r="G197" s="57"/>
      <c r="H197" s="56"/>
      <c r="I197" s="56"/>
      <c r="J197" s="58"/>
      <c r="K197" s="58"/>
      <c r="L197" s="13" t="str">
        <f t="shared" si="20"/>
        <v/>
      </c>
      <c r="M197" s="13" t="str">
        <f t="shared" si="21"/>
        <v/>
      </c>
      <c r="Q197" t="str">
        <f t="shared" si="22"/>
        <v/>
      </c>
      <c r="R197" t="str">
        <f t="shared" si="23"/>
        <v/>
      </c>
      <c r="S197" t="str">
        <f t="shared" si="24"/>
        <v/>
      </c>
      <c r="T197" t="str">
        <f t="shared" si="25"/>
        <v/>
      </c>
      <c r="U197" t="str">
        <f t="shared" si="26"/>
        <v/>
      </c>
      <c r="V197" t="str">
        <f t="shared" si="27"/>
        <v/>
      </c>
      <c r="W197" t="str">
        <f t="shared" si="28"/>
        <v/>
      </c>
      <c r="X197">
        <f>IF($T197="",N($X196),IF(MATCH($T197,$T$6:$T$10005,0)=ROW()-5,N($X196)+1,N($X196)))</f>
        <v>0</v>
      </c>
      <c r="Z197" t="str">
        <f t="shared" si="29"/>
        <v/>
      </c>
      <c r="AA197">
        <f>IF($V197="",N($AA196),IF(MATCH($V197,$V$6:$V$10005,0)=ROW()-5,N($AA196)+1,N($AA196)))</f>
        <v>0</v>
      </c>
    </row>
    <row r="198" spans="1:27" ht="21" customHeight="1" x14ac:dyDescent="0.95">
      <c r="A198" s="56"/>
      <c r="B198" s="57"/>
      <c r="C198" s="57"/>
      <c r="D198" s="57"/>
      <c r="E198" s="56"/>
      <c r="F198" s="57"/>
      <c r="G198" s="57"/>
      <c r="H198" s="56"/>
      <c r="I198" s="56"/>
      <c r="J198" s="58"/>
      <c r="K198" s="58"/>
      <c r="L198" s="13" t="str">
        <f t="shared" ref="L198:L261" si="30">IF(OR($A198="",AND($J198="",$K198="")),"",ROUND(N($J198)-N($K198),2))</f>
        <v/>
      </c>
      <c r="M198" s="13" t="str">
        <f t="shared" ref="M198:M261" si="31">IF(OR($A198="",AND($J198="",$K198="")),"",MIN($J198,$K198))</f>
        <v/>
      </c>
      <c r="Q198" t="str">
        <f t="shared" ref="Q198:Q261" si="32">IF($A198="","",$D198&amp;"("&amp;SUBSTITUTE($E198," ","")&amp;")")</f>
        <v/>
      </c>
      <c r="R198" t="str">
        <f t="shared" ref="R198:R261" si="33">IF($A198="","",$B198&amp;" - "&amp;$C198)</f>
        <v/>
      </c>
      <c r="S198" t="str">
        <f t="shared" ref="S198:S261" si="34">IF($A198="","",$R198&amp;"|"&amp;$Q198)</f>
        <v/>
      </c>
      <c r="T198" t="str">
        <f t="shared" ref="T198:T261" si="35">IF($A198="","",$S198&amp;"|"&amp;$F198)</f>
        <v/>
      </c>
      <c r="U198" t="str">
        <f t="shared" ref="U198:U261" si="36">IF($A198="","",$R198&amp;"("&amp;$E198&amp;")")</f>
        <v/>
      </c>
      <c r="V198" t="str">
        <f t="shared" ref="V198:V261" si="37">IF($A198="","",$F198&amp;"|"&amp;$U198&amp;"|"&amp;$D198)</f>
        <v/>
      </c>
      <c r="W198" t="str">
        <f t="shared" ref="W198:W261" si="38">IF($T198="","",IF($X198&gt;N($X197),$X198,""))</f>
        <v/>
      </c>
      <c r="X198">
        <f>IF($T198="",N($X197),IF(MATCH($T198,$T$6:$T$10005,0)=ROW()-5,N($X197)+1,N($X197)))</f>
        <v>0</v>
      </c>
      <c r="Z198" t="str">
        <f t="shared" ref="Z198:Z261" si="39">IF($V198="","",IF($AA198&gt;N($AA197),$AA198,""))</f>
        <v/>
      </c>
      <c r="AA198">
        <f>IF($V198="",N($AA197),IF(MATCH($V198,$V$6:$V$10005,0)=ROW()-5,N($AA197)+1,N($AA197)))</f>
        <v>0</v>
      </c>
    </row>
    <row r="199" spans="1:27" ht="21" customHeight="1" x14ac:dyDescent="0.95">
      <c r="A199" s="56"/>
      <c r="B199" s="57"/>
      <c r="C199" s="57"/>
      <c r="D199" s="57"/>
      <c r="E199" s="56"/>
      <c r="F199" s="57"/>
      <c r="G199" s="57"/>
      <c r="H199" s="56"/>
      <c r="I199" s="56"/>
      <c r="J199" s="58"/>
      <c r="K199" s="58"/>
      <c r="L199" s="13" t="str">
        <f t="shared" si="30"/>
        <v/>
      </c>
      <c r="M199" s="13" t="str">
        <f t="shared" si="31"/>
        <v/>
      </c>
      <c r="Q199" t="str">
        <f t="shared" si="32"/>
        <v/>
      </c>
      <c r="R199" t="str">
        <f t="shared" si="33"/>
        <v/>
      </c>
      <c r="S199" t="str">
        <f t="shared" si="34"/>
        <v/>
      </c>
      <c r="T199" t="str">
        <f t="shared" si="35"/>
        <v/>
      </c>
      <c r="U199" t="str">
        <f t="shared" si="36"/>
        <v/>
      </c>
      <c r="V199" t="str">
        <f t="shared" si="37"/>
        <v/>
      </c>
      <c r="W199" t="str">
        <f t="shared" si="38"/>
        <v/>
      </c>
      <c r="X199">
        <f>IF($T199="",N($X198),IF(MATCH($T199,$T$6:$T$10005,0)=ROW()-5,N($X198)+1,N($X198)))</f>
        <v>0</v>
      </c>
      <c r="Z199" t="str">
        <f t="shared" si="39"/>
        <v/>
      </c>
      <c r="AA199">
        <f>IF($V199="",N($AA198),IF(MATCH($V199,$V$6:$V$10005,0)=ROW()-5,N($AA198)+1,N($AA198)))</f>
        <v>0</v>
      </c>
    </row>
    <row r="200" spans="1:27" ht="21" customHeight="1" x14ac:dyDescent="0.95">
      <c r="A200" s="56"/>
      <c r="B200" s="57"/>
      <c r="C200" s="57"/>
      <c r="D200" s="57"/>
      <c r="E200" s="56"/>
      <c r="F200" s="57"/>
      <c r="G200" s="57"/>
      <c r="H200" s="56"/>
      <c r="I200" s="56"/>
      <c r="J200" s="58"/>
      <c r="K200" s="58"/>
      <c r="L200" s="13" t="str">
        <f t="shared" si="30"/>
        <v/>
      </c>
      <c r="M200" s="13" t="str">
        <f t="shared" si="31"/>
        <v/>
      </c>
      <c r="Q200" t="str">
        <f t="shared" si="32"/>
        <v/>
      </c>
      <c r="R200" t="str">
        <f t="shared" si="33"/>
        <v/>
      </c>
      <c r="S200" t="str">
        <f t="shared" si="34"/>
        <v/>
      </c>
      <c r="T200" t="str">
        <f t="shared" si="35"/>
        <v/>
      </c>
      <c r="U200" t="str">
        <f t="shared" si="36"/>
        <v/>
      </c>
      <c r="V200" t="str">
        <f t="shared" si="37"/>
        <v/>
      </c>
      <c r="W200" t="str">
        <f t="shared" si="38"/>
        <v/>
      </c>
      <c r="X200">
        <f>IF($T200="",N($X199),IF(MATCH($T200,$T$6:$T$10005,0)=ROW()-5,N($X199)+1,N($X199)))</f>
        <v>0</v>
      </c>
      <c r="Z200" t="str">
        <f t="shared" si="39"/>
        <v/>
      </c>
      <c r="AA200">
        <f>IF($V200="",N($AA199),IF(MATCH($V200,$V$6:$V$10005,0)=ROW()-5,N($AA199)+1,N($AA199)))</f>
        <v>0</v>
      </c>
    </row>
    <row r="201" spans="1:27" ht="21" customHeight="1" x14ac:dyDescent="0.95">
      <c r="A201" s="56"/>
      <c r="B201" s="57"/>
      <c r="C201" s="57"/>
      <c r="D201" s="57"/>
      <c r="E201" s="56"/>
      <c r="F201" s="57"/>
      <c r="G201" s="57"/>
      <c r="H201" s="56"/>
      <c r="I201" s="56"/>
      <c r="J201" s="58"/>
      <c r="K201" s="58"/>
      <c r="L201" s="13" t="str">
        <f t="shared" si="30"/>
        <v/>
      </c>
      <c r="M201" s="13" t="str">
        <f t="shared" si="31"/>
        <v/>
      </c>
      <c r="Q201" t="str">
        <f t="shared" si="32"/>
        <v/>
      </c>
      <c r="R201" t="str">
        <f t="shared" si="33"/>
        <v/>
      </c>
      <c r="S201" t="str">
        <f t="shared" si="34"/>
        <v/>
      </c>
      <c r="T201" t="str">
        <f t="shared" si="35"/>
        <v/>
      </c>
      <c r="U201" t="str">
        <f t="shared" si="36"/>
        <v/>
      </c>
      <c r="V201" t="str">
        <f t="shared" si="37"/>
        <v/>
      </c>
      <c r="W201" t="str">
        <f t="shared" si="38"/>
        <v/>
      </c>
      <c r="X201">
        <f>IF($T201="",N($X200),IF(MATCH($T201,$T$6:$T$10005,0)=ROW()-5,N($X200)+1,N($X200)))</f>
        <v>0</v>
      </c>
      <c r="Z201" t="str">
        <f t="shared" si="39"/>
        <v/>
      </c>
      <c r="AA201">
        <f>IF($V201="",N($AA200),IF(MATCH($V201,$V$6:$V$10005,0)=ROW()-5,N($AA200)+1,N($AA200)))</f>
        <v>0</v>
      </c>
    </row>
    <row r="202" spans="1:27" ht="21" customHeight="1" x14ac:dyDescent="0.95">
      <c r="A202" s="56"/>
      <c r="B202" s="57"/>
      <c r="C202" s="57"/>
      <c r="D202" s="57"/>
      <c r="E202" s="56"/>
      <c r="F202" s="57"/>
      <c r="G202" s="57"/>
      <c r="H202" s="56"/>
      <c r="I202" s="56"/>
      <c r="J202" s="58"/>
      <c r="K202" s="58"/>
      <c r="L202" s="13" t="str">
        <f t="shared" si="30"/>
        <v/>
      </c>
      <c r="M202" s="13" t="str">
        <f t="shared" si="31"/>
        <v/>
      </c>
      <c r="Q202" t="str">
        <f t="shared" si="32"/>
        <v/>
      </c>
      <c r="R202" t="str">
        <f t="shared" si="33"/>
        <v/>
      </c>
      <c r="S202" t="str">
        <f t="shared" si="34"/>
        <v/>
      </c>
      <c r="T202" t="str">
        <f t="shared" si="35"/>
        <v/>
      </c>
      <c r="U202" t="str">
        <f t="shared" si="36"/>
        <v/>
      </c>
      <c r="V202" t="str">
        <f t="shared" si="37"/>
        <v/>
      </c>
      <c r="W202" t="str">
        <f t="shared" si="38"/>
        <v/>
      </c>
      <c r="X202">
        <f>IF($T202="",N($X201),IF(MATCH($T202,$T$6:$T$10005,0)=ROW()-5,N($X201)+1,N($X201)))</f>
        <v>0</v>
      </c>
      <c r="Z202" t="str">
        <f t="shared" si="39"/>
        <v/>
      </c>
      <c r="AA202">
        <f>IF($V202="",N($AA201),IF(MATCH($V202,$V$6:$V$10005,0)=ROW()-5,N($AA201)+1,N($AA201)))</f>
        <v>0</v>
      </c>
    </row>
    <row r="203" spans="1:27" ht="21" customHeight="1" x14ac:dyDescent="0.95">
      <c r="A203" s="56"/>
      <c r="B203" s="57"/>
      <c r="C203" s="57"/>
      <c r="D203" s="57"/>
      <c r="E203" s="56"/>
      <c r="F203" s="57"/>
      <c r="G203" s="57"/>
      <c r="H203" s="56"/>
      <c r="I203" s="56"/>
      <c r="J203" s="58"/>
      <c r="K203" s="58"/>
      <c r="L203" s="13" t="str">
        <f t="shared" si="30"/>
        <v/>
      </c>
      <c r="M203" s="13" t="str">
        <f t="shared" si="31"/>
        <v/>
      </c>
      <c r="Q203" t="str">
        <f t="shared" si="32"/>
        <v/>
      </c>
      <c r="R203" t="str">
        <f t="shared" si="33"/>
        <v/>
      </c>
      <c r="S203" t="str">
        <f t="shared" si="34"/>
        <v/>
      </c>
      <c r="T203" t="str">
        <f t="shared" si="35"/>
        <v/>
      </c>
      <c r="U203" t="str">
        <f t="shared" si="36"/>
        <v/>
      </c>
      <c r="V203" t="str">
        <f t="shared" si="37"/>
        <v/>
      </c>
      <c r="W203" t="str">
        <f t="shared" si="38"/>
        <v/>
      </c>
      <c r="X203">
        <f>IF($T203="",N($X202),IF(MATCH($T203,$T$6:$T$10005,0)=ROW()-5,N($X202)+1,N($X202)))</f>
        <v>0</v>
      </c>
      <c r="Z203" t="str">
        <f t="shared" si="39"/>
        <v/>
      </c>
      <c r="AA203">
        <f>IF($V203="",N($AA202),IF(MATCH($V203,$V$6:$V$10005,0)=ROW()-5,N($AA202)+1,N($AA202)))</f>
        <v>0</v>
      </c>
    </row>
    <row r="204" spans="1:27" ht="21" customHeight="1" x14ac:dyDescent="0.95">
      <c r="A204" s="56"/>
      <c r="B204" s="57"/>
      <c r="C204" s="57"/>
      <c r="D204" s="57"/>
      <c r="E204" s="56"/>
      <c r="F204" s="57"/>
      <c r="G204" s="57"/>
      <c r="H204" s="56"/>
      <c r="I204" s="56"/>
      <c r="J204" s="58"/>
      <c r="K204" s="58"/>
      <c r="L204" s="13" t="str">
        <f t="shared" si="30"/>
        <v/>
      </c>
      <c r="M204" s="13" t="str">
        <f t="shared" si="31"/>
        <v/>
      </c>
      <c r="Q204" t="str">
        <f t="shared" si="32"/>
        <v/>
      </c>
      <c r="R204" t="str">
        <f t="shared" si="33"/>
        <v/>
      </c>
      <c r="S204" t="str">
        <f t="shared" si="34"/>
        <v/>
      </c>
      <c r="T204" t="str">
        <f t="shared" si="35"/>
        <v/>
      </c>
      <c r="U204" t="str">
        <f t="shared" si="36"/>
        <v/>
      </c>
      <c r="V204" t="str">
        <f t="shared" si="37"/>
        <v/>
      </c>
      <c r="W204" t="str">
        <f t="shared" si="38"/>
        <v/>
      </c>
      <c r="X204">
        <f>IF($T204="",N($X203),IF(MATCH($T204,$T$6:$T$10005,0)=ROW()-5,N($X203)+1,N($X203)))</f>
        <v>0</v>
      </c>
      <c r="Z204" t="str">
        <f t="shared" si="39"/>
        <v/>
      </c>
      <c r="AA204">
        <f>IF($V204="",N($AA203),IF(MATCH($V204,$V$6:$V$10005,0)=ROW()-5,N($AA203)+1,N($AA203)))</f>
        <v>0</v>
      </c>
    </row>
    <row r="205" spans="1:27" ht="21" customHeight="1" x14ac:dyDescent="0.95">
      <c r="A205" s="56"/>
      <c r="B205" s="57"/>
      <c r="C205" s="57"/>
      <c r="D205" s="57"/>
      <c r="E205" s="56"/>
      <c r="F205" s="57"/>
      <c r="G205" s="57"/>
      <c r="H205" s="56"/>
      <c r="I205" s="56"/>
      <c r="J205" s="58"/>
      <c r="K205" s="58"/>
      <c r="L205" s="13" t="str">
        <f t="shared" si="30"/>
        <v/>
      </c>
      <c r="M205" s="13" t="str">
        <f t="shared" si="31"/>
        <v/>
      </c>
      <c r="Q205" t="str">
        <f t="shared" si="32"/>
        <v/>
      </c>
      <c r="R205" t="str">
        <f t="shared" si="33"/>
        <v/>
      </c>
      <c r="S205" t="str">
        <f t="shared" si="34"/>
        <v/>
      </c>
      <c r="T205" t="str">
        <f t="shared" si="35"/>
        <v/>
      </c>
      <c r="U205" t="str">
        <f t="shared" si="36"/>
        <v/>
      </c>
      <c r="V205" t="str">
        <f t="shared" si="37"/>
        <v/>
      </c>
      <c r="W205" t="str">
        <f t="shared" si="38"/>
        <v/>
      </c>
      <c r="X205">
        <f>IF($T205="",N($X204),IF(MATCH($T205,$T$6:$T$10005,0)=ROW()-5,N($X204)+1,N($X204)))</f>
        <v>0</v>
      </c>
      <c r="Z205" t="str">
        <f t="shared" si="39"/>
        <v/>
      </c>
      <c r="AA205">
        <f>IF($V205="",N($AA204),IF(MATCH($V205,$V$6:$V$10005,0)=ROW()-5,N($AA204)+1,N($AA204)))</f>
        <v>0</v>
      </c>
    </row>
    <row r="206" spans="1:27" ht="21" customHeight="1" x14ac:dyDescent="0.95">
      <c r="A206" s="56"/>
      <c r="B206" s="57"/>
      <c r="C206" s="57"/>
      <c r="D206" s="57"/>
      <c r="E206" s="56"/>
      <c r="F206" s="57"/>
      <c r="G206" s="57"/>
      <c r="H206" s="56"/>
      <c r="I206" s="56"/>
      <c r="J206" s="58"/>
      <c r="K206" s="58"/>
      <c r="L206" s="13" t="str">
        <f t="shared" si="30"/>
        <v/>
      </c>
      <c r="M206" s="13" t="str">
        <f t="shared" si="31"/>
        <v/>
      </c>
      <c r="Q206" t="str">
        <f t="shared" si="32"/>
        <v/>
      </c>
      <c r="R206" t="str">
        <f t="shared" si="33"/>
        <v/>
      </c>
      <c r="S206" t="str">
        <f t="shared" si="34"/>
        <v/>
      </c>
      <c r="T206" t="str">
        <f t="shared" si="35"/>
        <v/>
      </c>
      <c r="U206" t="str">
        <f t="shared" si="36"/>
        <v/>
      </c>
      <c r="V206" t="str">
        <f t="shared" si="37"/>
        <v/>
      </c>
      <c r="W206" t="str">
        <f t="shared" si="38"/>
        <v/>
      </c>
      <c r="X206">
        <f>IF($T206="",N($X205),IF(MATCH($T206,$T$6:$T$10005,0)=ROW()-5,N($X205)+1,N($X205)))</f>
        <v>0</v>
      </c>
      <c r="Z206" t="str">
        <f t="shared" si="39"/>
        <v/>
      </c>
      <c r="AA206">
        <f>IF($V206="",N($AA205),IF(MATCH($V206,$V$6:$V$10005,0)=ROW()-5,N($AA205)+1,N($AA205)))</f>
        <v>0</v>
      </c>
    </row>
    <row r="207" spans="1:27" ht="21" customHeight="1" x14ac:dyDescent="0.95">
      <c r="A207" s="56"/>
      <c r="B207" s="57"/>
      <c r="C207" s="57"/>
      <c r="D207" s="57"/>
      <c r="E207" s="56"/>
      <c r="F207" s="57"/>
      <c r="G207" s="57"/>
      <c r="H207" s="56"/>
      <c r="I207" s="56"/>
      <c r="J207" s="58"/>
      <c r="K207" s="58"/>
      <c r="L207" s="13" t="str">
        <f t="shared" si="30"/>
        <v/>
      </c>
      <c r="M207" s="13" t="str">
        <f t="shared" si="31"/>
        <v/>
      </c>
      <c r="Q207" t="str">
        <f t="shared" si="32"/>
        <v/>
      </c>
      <c r="R207" t="str">
        <f t="shared" si="33"/>
        <v/>
      </c>
      <c r="S207" t="str">
        <f t="shared" si="34"/>
        <v/>
      </c>
      <c r="T207" t="str">
        <f t="shared" si="35"/>
        <v/>
      </c>
      <c r="U207" t="str">
        <f t="shared" si="36"/>
        <v/>
      </c>
      <c r="V207" t="str">
        <f t="shared" si="37"/>
        <v/>
      </c>
      <c r="W207" t="str">
        <f t="shared" si="38"/>
        <v/>
      </c>
      <c r="X207">
        <f>IF($T207="",N($X206),IF(MATCH($T207,$T$6:$T$10005,0)=ROW()-5,N($X206)+1,N($X206)))</f>
        <v>0</v>
      </c>
      <c r="Z207" t="str">
        <f t="shared" si="39"/>
        <v/>
      </c>
      <c r="AA207">
        <f>IF($V207="",N($AA206),IF(MATCH($V207,$V$6:$V$10005,0)=ROW()-5,N($AA206)+1,N($AA206)))</f>
        <v>0</v>
      </c>
    </row>
    <row r="208" spans="1:27" ht="21" customHeight="1" x14ac:dyDescent="0.95">
      <c r="A208" s="56"/>
      <c r="B208" s="57"/>
      <c r="C208" s="57"/>
      <c r="D208" s="57"/>
      <c r="E208" s="56"/>
      <c r="F208" s="57"/>
      <c r="G208" s="57"/>
      <c r="H208" s="56"/>
      <c r="I208" s="56"/>
      <c r="J208" s="58"/>
      <c r="K208" s="58"/>
      <c r="L208" s="13" t="str">
        <f t="shared" si="30"/>
        <v/>
      </c>
      <c r="M208" s="13" t="str">
        <f t="shared" si="31"/>
        <v/>
      </c>
      <c r="Q208" t="str">
        <f t="shared" si="32"/>
        <v/>
      </c>
      <c r="R208" t="str">
        <f t="shared" si="33"/>
        <v/>
      </c>
      <c r="S208" t="str">
        <f t="shared" si="34"/>
        <v/>
      </c>
      <c r="T208" t="str">
        <f t="shared" si="35"/>
        <v/>
      </c>
      <c r="U208" t="str">
        <f t="shared" si="36"/>
        <v/>
      </c>
      <c r="V208" t="str">
        <f t="shared" si="37"/>
        <v/>
      </c>
      <c r="W208" t="str">
        <f t="shared" si="38"/>
        <v/>
      </c>
      <c r="X208">
        <f>IF($T208="",N($X207),IF(MATCH($T208,$T$6:$T$10005,0)=ROW()-5,N($X207)+1,N($X207)))</f>
        <v>0</v>
      </c>
      <c r="Z208" t="str">
        <f t="shared" si="39"/>
        <v/>
      </c>
      <c r="AA208">
        <f>IF($V208="",N($AA207),IF(MATCH($V208,$V$6:$V$10005,0)=ROW()-5,N($AA207)+1,N($AA207)))</f>
        <v>0</v>
      </c>
    </row>
    <row r="209" spans="1:27" ht="21" customHeight="1" x14ac:dyDescent="0.95">
      <c r="A209" s="56"/>
      <c r="B209" s="57"/>
      <c r="C209" s="57"/>
      <c r="D209" s="57"/>
      <c r="E209" s="56"/>
      <c r="F209" s="57"/>
      <c r="G209" s="57"/>
      <c r="H209" s="56"/>
      <c r="I209" s="56"/>
      <c r="J209" s="58"/>
      <c r="K209" s="58"/>
      <c r="L209" s="13" t="str">
        <f t="shared" si="30"/>
        <v/>
      </c>
      <c r="M209" s="13" t="str">
        <f t="shared" si="31"/>
        <v/>
      </c>
      <c r="Q209" t="str">
        <f t="shared" si="32"/>
        <v/>
      </c>
      <c r="R209" t="str">
        <f t="shared" si="33"/>
        <v/>
      </c>
      <c r="S209" t="str">
        <f t="shared" si="34"/>
        <v/>
      </c>
      <c r="T209" t="str">
        <f t="shared" si="35"/>
        <v/>
      </c>
      <c r="U209" t="str">
        <f t="shared" si="36"/>
        <v/>
      </c>
      <c r="V209" t="str">
        <f t="shared" si="37"/>
        <v/>
      </c>
      <c r="W209" t="str">
        <f t="shared" si="38"/>
        <v/>
      </c>
      <c r="X209">
        <f>IF($T209="",N($X208),IF(MATCH($T209,$T$6:$T$10005,0)=ROW()-5,N($X208)+1,N($X208)))</f>
        <v>0</v>
      </c>
      <c r="Z209" t="str">
        <f t="shared" si="39"/>
        <v/>
      </c>
      <c r="AA209">
        <f>IF($V209="",N($AA208),IF(MATCH($V209,$V$6:$V$10005,0)=ROW()-5,N($AA208)+1,N($AA208)))</f>
        <v>0</v>
      </c>
    </row>
    <row r="210" spans="1:27" ht="21" customHeight="1" x14ac:dyDescent="0.95">
      <c r="A210" s="56"/>
      <c r="B210" s="57"/>
      <c r="C210" s="57"/>
      <c r="D210" s="57"/>
      <c r="E210" s="56"/>
      <c r="F210" s="57"/>
      <c r="G210" s="57"/>
      <c r="H210" s="56"/>
      <c r="I210" s="56"/>
      <c r="J210" s="58"/>
      <c r="K210" s="58"/>
      <c r="L210" s="13" t="str">
        <f t="shared" si="30"/>
        <v/>
      </c>
      <c r="M210" s="13" t="str">
        <f t="shared" si="31"/>
        <v/>
      </c>
      <c r="Q210" t="str">
        <f t="shared" si="32"/>
        <v/>
      </c>
      <c r="R210" t="str">
        <f t="shared" si="33"/>
        <v/>
      </c>
      <c r="S210" t="str">
        <f t="shared" si="34"/>
        <v/>
      </c>
      <c r="T210" t="str">
        <f t="shared" si="35"/>
        <v/>
      </c>
      <c r="U210" t="str">
        <f t="shared" si="36"/>
        <v/>
      </c>
      <c r="V210" t="str">
        <f t="shared" si="37"/>
        <v/>
      </c>
      <c r="W210" t="str">
        <f t="shared" si="38"/>
        <v/>
      </c>
      <c r="X210">
        <f>IF($T210="",N($X209),IF(MATCH($T210,$T$6:$T$10005,0)=ROW()-5,N($X209)+1,N($X209)))</f>
        <v>0</v>
      </c>
      <c r="Z210" t="str">
        <f t="shared" si="39"/>
        <v/>
      </c>
      <c r="AA210">
        <f>IF($V210="",N($AA209),IF(MATCH($V210,$V$6:$V$10005,0)=ROW()-5,N($AA209)+1,N($AA209)))</f>
        <v>0</v>
      </c>
    </row>
    <row r="211" spans="1:27" ht="21" customHeight="1" x14ac:dyDescent="0.95">
      <c r="A211" s="56"/>
      <c r="B211" s="57"/>
      <c r="C211" s="57"/>
      <c r="D211" s="57"/>
      <c r="E211" s="56"/>
      <c r="F211" s="57"/>
      <c r="G211" s="57"/>
      <c r="H211" s="56"/>
      <c r="I211" s="56"/>
      <c r="J211" s="58"/>
      <c r="K211" s="58"/>
      <c r="L211" s="13" t="str">
        <f t="shared" si="30"/>
        <v/>
      </c>
      <c r="M211" s="13" t="str">
        <f t="shared" si="31"/>
        <v/>
      </c>
      <c r="Q211" t="str">
        <f t="shared" si="32"/>
        <v/>
      </c>
      <c r="R211" t="str">
        <f t="shared" si="33"/>
        <v/>
      </c>
      <c r="S211" t="str">
        <f t="shared" si="34"/>
        <v/>
      </c>
      <c r="T211" t="str">
        <f t="shared" si="35"/>
        <v/>
      </c>
      <c r="U211" t="str">
        <f t="shared" si="36"/>
        <v/>
      </c>
      <c r="V211" t="str">
        <f t="shared" si="37"/>
        <v/>
      </c>
      <c r="W211" t="str">
        <f t="shared" si="38"/>
        <v/>
      </c>
      <c r="X211">
        <f>IF($T211="",N($X210),IF(MATCH($T211,$T$6:$T$10005,0)=ROW()-5,N($X210)+1,N($X210)))</f>
        <v>0</v>
      </c>
      <c r="Z211" t="str">
        <f t="shared" si="39"/>
        <v/>
      </c>
      <c r="AA211">
        <f>IF($V211="",N($AA210),IF(MATCH($V211,$V$6:$V$10005,0)=ROW()-5,N($AA210)+1,N($AA210)))</f>
        <v>0</v>
      </c>
    </row>
    <row r="212" spans="1:27" ht="21" customHeight="1" x14ac:dyDescent="0.95">
      <c r="A212" s="56"/>
      <c r="B212" s="57"/>
      <c r="C212" s="57"/>
      <c r="D212" s="57"/>
      <c r="E212" s="56"/>
      <c r="F212" s="57"/>
      <c r="G212" s="57"/>
      <c r="H212" s="56"/>
      <c r="I212" s="56"/>
      <c r="J212" s="58"/>
      <c r="K212" s="58"/>
      <c r="L212" s="13" t="str">
        <f t="shared" si="30"/>
        <v/>
      </c>
      <c r="M212" s="13" t="str">
        <f t="shared" si="31"/>
        <v/>
      </c>
      <c r="Q212" t="str">
        <f t="shared" si="32"/>
        <v/>
      </c>
      <c r="R212" t="str">
        <f t="shared" si="33"/>
        <v/>
      </c>
      <c r="S212" t="str">
        <f t="shared" si="34"/>
        <v/>
      </c>
      <c r="T212" t="str">
        <f t="shared" si="35"/>
        <v/>
      </c>
      <c r="U212" t="str">
        <f t="shared" si="36"/>
        <v/>
      </c>
      <c r="V212" t="str">
        <f t="shared" si="37"/>
        <v/>
      </c>
      <c r="W212" t="str">
        <f t="shared" si="38"/>
        <v/>
      </c>
      <c r="X212">
        <f>IF($T212="",N($X211),IF(MATCH($T212,$T$6:$T$10005,0)=ROW()-5,N($X211)+1,N($X211)))</f>
        <v>0</v>
      </c>
      <c r="Z212" t="str">
        <f t="shared" si="39"/>
        <v/>
      </c>
      <c r="AA212">
        <f>IF($V212="",N($AA211),IF(MATCH($V212,$V$6:$V$10005,0)=ROW()-5,N($AA211)+1,N($AA211)))</f>
        <v>0</v>
      </c>
    </row>
    <row r="213" spans="1:27" ht="21" customHeight="1" x14ac:dyDescent="0.95">
      <c r="A213" s="56"/>
      <c r="B213" s="57"/>
      <c r="C213" s="57"/>
      <c r="D213" s="57"/>
      <c r="E213" s="56"/>
      <c r="F213" s="57"/>
      <c r="G213" s="57"/>
      <c r="H213" s="56"/>
      <c r="I213" s="56"/>
      <c r="J213" s="58"/>
      <c r="K213" s="58"/>
      <c r="L213" s="13" t="str">
        <f t="shared" si="30"/>
        <v/>
      </c>
      <c r="M213" s="13" t="str">
        <f t="shared" si="31"/>
        <v/>
      </c>
      <c r="Q213" t="str">
        <f t="shared" si="32"/>
        <v/>
      </c>
      <c r="R213" t="str">
        <f t="shared" si="33"/>
        <v/>
      </c>
      <c r="S213" t="str">
        <f t="shared" si="34"/>
        <v/>
      </c>
      <c r="T213" t="str">
        <f t="shared" si="35"/>
        <v/>
      </c>
      <c r="U213" t="str">
        <f t="shared" si="36"/>
        <v/>
      </c>
      <c r="V213" t="str">
        <f t="shared" si="37"/>
        <v/>
      </c>
      <c r="W213" t="str">
        <f t="shared" si="38"/>
        <v/>
      </c>
      <c r="X213">
        <f>IF($T213="",N($X212),IF(MATCH($T213,$T$6:$T$10005,0)=ROW()-5,N($X212)+1,N($X212)))</f>
        <v>0</v>
      </c>
      <c r="Z213" t="str">
        <f t="shared" si="39"/>
        <v/>
      </c>
      <c r="AA213">
        <f>IF($V213="",N($AA212),IF(MATCH($V213,$V$6:$V$10005,0)=ROW()-5,N($AA212)+1,N($AA212)))</f>
        <v>0</v>
      </c>
    </row>
    <row r="214" spans="1:27" ht="21" customHeight="1" x14ac:dyDescent="0.95">
      <c r="A214" s="56"/>
      <c r="B214" s="57"/>
      <c r="C214" s="57"/>
      <c r="D214" s="57"/>
      <c r="E214" s="56"/>
      <c r="F214" s="57"/>
      <c r="G214" s="57"/>
      <c r="H214" s="56"/>
      <c r="I214" s="56"/>
      <c r="J214" s="58"/>
      <c r="K214" s="58"/>
      <c r="L214" s="13" t="str">
        <f t="shared" si="30"/>
        <v/>
      </c>
      <c r="M214" s="13" t="str">
        <f t="shared" si="31"/>
        <v/>
      </c>
      <c r="Q214" t="str">
        <f t="shared" si="32"/>
        <v/>
      </c>
      <c r="R214" t="str">
        <f t="shared" si="33"/>
        <v/>
      </c>
      <c r="S214" t="str">
        <f t="shared" si="34"/>
        <v/>
      </c>
      <c r="T214" t="str">
        <f t="shared" si="35"/>
        <v/>
      </c>
      <c r="U214" t="str">
        <f t="shared" si="36"/>
        <v/>
      </c>
      <c r="V214" t="str">
        <f t="shared" si="37"/>
        <v/>
      </c>
      <c r="W214" t="str">
        <f t="shared" si="38"/>
        <v/>
      </c>
      <c r="X214">
        <f>IF($T214="",N($X213),IF(MATCH($T214,$T$6:$T$10005,0)=ROW()-5,N($X213)+1,N($X213)))</f>
        <v>0</v>
      </c>
      <c r="Z214" t="str">
        <f t="shared" si="39"/>
        <v/>
      </c>
      <c r="AA214">
        <f>IF($V214="",N($AA213),IF(MATCH($V214,$V$6:$V$10005,0)=ROW()-5,N($AA213)+1,N($AA213)))</f>
        <v>0</v>
      </c>
    </row>
    <row r="215" spans="1:27" ht="21" customHeight="1" x14ac:dyDescent="0.95">
      <c r="A215" s="56"/>
      <c r="B215" s="57"/>
      <c r="C215" s="57"/>
      <c r="D215" s="57"/>
      <c r="E215" s="56"/>
      <c r="F215" s="57"/>
      <c r="G215" s="57"/>
      <c r="H215" s="56"/>
      <c r="I215" s="56"/>
      <c r="J215" s="58"/>
      <c r="K215" s="58"/>
      <c r="L215" s="13" t="str">
        <f t="shared" si="30"/>
        <v/>
      </c>
      <c r="M215" s="13" t="str">
        <f t="shared" si="31"/>
        <v/>
      </c>
      <c r="Q215" t="str">
        <f t="shared" si="32"/>
        <v/>
      </c>
      <c r="R215" t="str">
        <f t="shared" si="33"/>
        <v/>
      </c>
      <c r="S215" t="str">
        <f t="shared" si="34"/>
        <v/>
      </c>
      <c r="T215" t="str">
        <f t="shared" si="35"/>
        <v/>
      </c>
      <c r="U215" t="str">
        <f t="shared" si="36"/>
        <v/>
      </c>
      <c r="V215" t="str">
        <f t="shared" si="37"/>
        <v/>
      </c>
      <c r="W215" t="str">
        <f t="shared" si="38"/>
        <v/>
      </c>
      <c r="X215">
        <f>IF($T215="",N($X214),IF(MATCH($T215,$T$6:$T$10005,0)=ROW()-5,N($X214)+1,N($X214)))</f>
        <v>0</v>
      </c>
      <c r="Z215" t="str">
        <f t="shared" si="39"/>
        <v/>
      </c>
      <c r="AA215">
        <f>IF($V215="",N($AA214),IF(MATCH($V215,$V$6:$V$10005,0)=ROW()-5,N($AA214)+1,N($AA214)))</f>
        <v>0</v>
      </c>
    </row>
    <row r="216" spans="1:27" ht="21" customHeight="1" x14ac:dyDescent="0.95">
      <c r="A216" s="56"/>
      <c r="B216" s="57"/>
      <c r="C216" s="57"/>
      <c r="D216" s="57"/>
      <c r="E216" s="56"/>
      <c r="F216" s="57"/>
      <c r="G216" s="57"/>
      <c r="H216" s="56"/>
      <c r="I216" s="56"/>
      <c r="J216" s="58"/>
      <c r="K216" s="58"/>
      <c r="L216" s="13" t="str">
        <f t="shared" si="30"/>
        <v/>
      </c>
      <c r="M216" s="13" t="str">
        <f t="shared" si="31"/>
        <v/>
      </c>
      <c r="Q216" t="str">
        <f t="shared" si="32"/>
        <v/>
      </c>
      <c r="R216" t="str">
        <f t="shared" si="33"/>
        <v/>
      </c>
      <c r="S216" t="str">
        <f t="shared" si="34"/>
        <v/>
      </c>
      <c r="T216" t="str">
        <f t="shared" si="35"/>
        <v/>
      </c>
      <c r="U216" t="str">
        <f t="shared" si="36"/>
        <v/>
      </c>
      <c r="V216" t="str">
        <f t="shared" si="37"/>
        <v/>
      </c>
      <c r="W216" t="str">
        <f t="shared" si="38"/>
        <v/>
      </c>
      <c r="X216">
        <f>IF($T216="",N($X215),IF(MATCH($T216,$T$6:$T$10005,0)=ROW()-5,N($X215)+1,N($X215)))</f>
        <v>0</v>
      </c>
      <c r="Z216" t="str">
        <f t="shared" si="39"/>
        <v/>
      </c>
      <c r="AA216">
        <f>IF($V216="",N($AA215),IF(MATCH($V216,$V$6:$V$10005,0)=ROW()-5,N($AA215)+1,N($AA215)))</f>
        <v>0</v>
      </c>
    </row>
    <row r="217" spans="1:27" ht="21" customHeight="1" x14ac:dyDescent="0.95">
      <c r="A217" s="56"/>
      <c r="B217" s="57"/>
      <c r="C217" s="57"/>
      <c r="D217" s="57"/>
      <c r="E217" s="56"/>
      <c r="F217" s="57"/>
      <c r="G217" s="57"/>
      <c r="H217" s="56"/>
      <c r="I217" s="56"/>
      <c r="J217" s="58"/>
      <c r="K217" s="58"/>
      <c r="L217" s="13" t="str">
        <f t="shared" si="30"/>
        <v/>
      </c>
      <c r="M217" s="13" t="str">
        <f t="shared" si="31"/>
        <v/>
      </c>
      <c r="Q217" t="str">
        <f t="shared" si="32"/>
        <v/>
      </c>
      <c r="R217" t="str">
        <f t="shared" si="33"/>
        <v/>
      </c>
      <c r="S217" t="str">
        <f t="shared" si="34"/>
        <v/>
      </c>
      <c r="T217" t="str">
        <f t="shared" si="35"/>
        <v/>
      </c>
      <c r="U217" t="str">
        <f t="shared" si="36"/>
        <v/>
      </c>
      <c r="V217" t="str">
        <f t="shared" si="37"/>
        <v/>
      </c>
      <c r="W217" t="str">
        <f t="shared" si="38"/>
        <v/>
      </c>
      <c r="X217">
        <f>IF($T217="",N($X216),IF(MATCH($T217,$T$6:$T$10005,0)=ROW()-5,N($X216)+1,N($X216)))</f>
        <v>0</v>
      </c>
      <c r="Z217" t="str">
        <f t="shared" si="39"/>
        <v/>
      </c>
      <c r="AA217">
        <f>IF($V217="",N($AA216),IF(MATCH($V217,$V$6:$V$10005,0)=ROW()-5,N($AA216)+1,N($AA216)))</f>
        <v>0</v>
      </c>
    </row>
    <row r="218" spans="1:27" ht="21" customHeight="1" x14ac:dyDescent="0.95">
      <c r="A218" s="56"/>
      <c r="B218" s="57"/>
      <c r="C218" s="57"/>
      <c r="D218" s="57"/>
      <c r="E218" s="56"/>
      <c r="F218" s="57"/>
      <c r="G218" s="57"/>
      <c r="H218" s="56"/>
      <c r="I218" s="56"/>
      <c r="J218" s="58"/>
      <c r="K218" s="58"/>
      <c r="L218" s="13" t="str">
        <f t="shared" si="30"/>
        <v/>
      </c>
      <c r="M218" s="13" t="str">
        <f t="shared" si="31"/>
        <v/>
      </c>
      <c r="Q218" t="str">
        <f t="shared" si="32"/>
        <v/>
      </c>
      <c r="R218" t="str">
        <f t="shared" si="33"/>
        <v/>
      </c>
      <c r="S218" t="str">
        <f t="shared" si="34"/>
        <v/>
      </c>
      <c r="T218" t="str">
        <f t="shared" si="35"/>
        <v/>
      </c>
      <c r="U218" t="str">
        <f t="shared" si="36"/>
        <v/>
      </c>
      <c r="V218" t="str">
        <f t="shared" si="37"/>
        <v/>
      </c>
      <c r="W218" t="str">
        <f t="shared" si="38"/>
        <v/>
      </c>
      <c r="X218">
        <f>IF($T218="",N($X217),IF(MATCH($T218,$T$6:$T$10005,0)=ROW()-5,N($X217)+1,N($X217)))</f>
        <v>0</v>
      </c>
      <c r="Z218" t="str">
        <f t="shared" si="39"/>
        <v/>
      </c>
      <c r="AA218">
        <f>IF($V218="",N($AA217),IF(MATCH($V218,$V$6:$V$10005,0)=ROW()-5,N($AA217)+1,N($AA217)))</f>
        <v>0</v>
      </c>
    </row>
    <row r="219" spans="1:27" ht="21" customHeight="1" x14ac:dyDescent="0.95">
      <c r="A219" s="56"/>
      <c r="B219" s="57"/>
      <c r="C219" s="57"/>
      <c r="D219" s="57"/>
      <c r="E219" s="56"/>
      <c r="F219" s="57"/>
      <c r="G219" s="57"/>
      <c r="H219" s="56"/>
      <c r="I219" s="56"/>
      <c r="J219" s="58"/>
      <c r="K219" s="58"/>
      <c r="L219" s="13" t="str">
        <f t="shared" si="30"/>
        <v/>
      </c>
      <c r="M219" s="13" t="str">
        <f t="shared" si="31"/>
        <v/>
      </c>
      <c r="Q219" t="str">
        <f t="shared" si="32"/>
        <v/>
      </c>
      <c r="R219" t="str">
        <f t="shared" si="33"/>
        <v/>
      </c>
      <c r="S219" t="str">
        <f t="shared" si="34"/>
        <v/>
      </c>
      <c r="T219" t="str">
        <f t="shared" si="35"/>
        <v/>
      </c>
      <c r="U219" t="str">
        <f t="shared" si="36"/>
        <v/>
      </c>
      <c r="V219" t="str">
        <f t="shared" si="37"/>
        <v/>
      </c>
      <c r="W219" t="str">
        <f t="shared" si="38"/>
        <v/>
      </c>
      <c r="X219">
        <f>IF($T219="",N($X218),IF(MATCH($T219,$T$6:$T$10005,0)=ROW()-5,N($X218)+1,N($X218)))</f>
        <v>0</v>
      </c>
      <c r="Z219" t="str">
        <f t="shared" si="39"/>
        <v/>
      </c>
      <c r="AA219">
        <f>IF($V219="",N($AA218),IF(MATCH($V219,$V$6:$V$10005,0)=ROW()-5,N($AA218)+1,N($AA218)))</f>
        <v>0</v>
      </c>
    </row>
    <row r="220" spans="1:27" ht="21" customHeight="1" x14ac:dyDescent="0.95">
      <c r="A220" s="56"/>
      <c r="B220" s="57"/>
      <c r="C220" s="57"/>
      <c r="D220" s="57"/>
      <c r="E220" s="56"/>
      <c r="F220" s="57"/>
      <c r="G220" s="57"/>
      <c r="H220" s="56"/>
      <c r="I220" s="56"/>
      <c r="J220" s="58"/>
      <c r="K220" s="58"/>
      <c r="L220" s="13" t="str">
        <f t="shared" si="30"/>
        <v/>
      </c>
      <c r="M220" s="13" t="str">
        <f t="shared" si="31"/>
        <v/>
      </c>
      <c r="Q220" t="str">
        <f t="shared" si="32"/>
        <v/>
      </c>
      <c r="R220" t="str">
        <f t="shared" si="33"/>
        <v/>
      </c>
      <c r="S220" t="str">
        <f t="shared" si="34"/>
        <v/>
      </c>
      <c r="T220" t="str">
        <f t="shared" si="35"/>
        <v/>
      </c>
      <c r="U220" t="str">
        <f t="shared" si="36"/>
        <v/>
      </c>
      <c r="V220" t="str">
        <f t="shared" si="37"/>
        <v/>
      </c>
      <c r="W220" t="str">
        <f t="shared" si="38"/>
        <v/>
      </c>
      <c r="X220">
        <f>IF($T220="",N($X219),IF(MATCH($T220,$T$6:$T$10005,0)=ROW()-5,N($X219)+1,N($X219)))</f>
        <v>0</v>
      </c>
      <c r="Z220" t="str">
        <f t="shared" si="39"/>
        <v/>
      </c>
      <c r="AA220">
        <f>IF($V220="",N($AA219),IF(MATCH($V220,$V$6:$V$10005,0)=ROW()-5,N($AA219)+1,N($AA219)))</f>
        <v>0</v>
      </c>
    </row>
    <row r="221" spans="1:27" ht="21" customHeight="1" x14ac:dyDescent="0.95">
      <c r="A221" s="56"/>
      <c r="B221" s="57"/>
      <c r="C221" s="57"/>
      <c r="D221" s="57"/>
      <c r="E221" s="56"/>
      <c r="F221" s="57"/>
      <c r="G221" s="57"/>
      <c r="H221" s="56"/>
      <c r="I221" s="56"/>
      <c r="J221" s="58"/>
      <c r="K221" s="58"/>
      <c r="L221" s="13" t="str">
        <f t="shared" si="30"/>
        <v/>
      </c>
      <c r="M221" s="13" t="str">
        <f t="shared" si="31"/>
        <v/>
      </c>
      <c r="Q221" t="str">
        <f t="shared" si="32"/>
        <v/>
      </c>
      <c r="R221" t="str">
        <f t="shared" si="33"/>
        <v/>
      </c>
      <c r="S221" t="str">
        <f t="shared" si="34"/>
        <v/>
      </c>
      <c r="T221" t="str">
        <f t="shared" si="35"/>
        <v/>
      </c>
      <c r="U221" t="str">
        <f t="shared" si="36"/>
        <v/>
      </c>
      <c r="V221" t="str">
        <f t="shared" si="37"/>
        <v/>
      </c>
      <c r="W221" t="str">
        <f t="shared" si="38"/>
        <v/>
      </c>
      <c r="X221">
        <f>IF($T221="",N($X220),IF(MATCH($T221,$T$6:$T$10005,0)=ROW()-5,N($X220)+1,N($X220)))</f>
        <v>0</v>
      </c>
      <c r="Z221" t="str">
        <f t="shared" si="39"/>
        <v/>
      </c>
      <c r="AA221">
        <f>IF($V221="",N($AA220),IF(MATCH($V221,$V$6:$V$10005,0)=ROW()-5,N($AA220)+1,N($AA220)))</f>
        <v>0</v>
      </c>
    </row>
    <row r="222" spans="1:27" ht="21" customHeight="1" x14ac:dyDescent="0.95">
      <c r="A222" s="56"/>
      <c r="B222" s="57"/>
      <c r="C222" s="57"/>
      <c r="D222" s="57"/>
      <c r="E222" s="56"/>
      <c r="F222" s="57"/>
      <c r="G222" s="57"/>
      <c r="H222" s="56"/>
      <c r="I222" s="56"/>
      <c r="J222" s="58"/>
      <c r="K222" s="58"/>
      <c r="L222" s="13" t="str">
        <f t="shared" si="30"/>
        <v/>
      </c>
      <c r="M222" s="13" t="str">
        <f t="shared" si="31"/>
        <v/>
      </c>
      <c r="Q222" t="str">
        <f t="shared" si="32"/>
        <v/>
      </c>
      <c r="R222" t="str">
        <f t="shared" si="33"/>
        <v/>
      </c>
      <c r="S222" t="str">
        <f t="shared" si="34"/>
        <v/>
      </c>
      <c r="T222" t="str">
        <f t="shared" si="35"/>
        <v/>
      </c>
      <c r="U222" t="str">
        <f t="shared" si="36"/>
        <v/>
      </c>
      <c r="V222" t="str">
        <f t="shared" si="37"/>
        <v/>
      </c>
      <c r="W222" t="str">
        <f t="shared" si="38"/>
        <v/>
      </c>
      <c r="X222">
        <f>IF($T222="",N($X221),IF(MATCH($T222,$T$6:$T$10005,0)=ROW()-5,N($X221)+1,N($X221)))</f>
        <v>0</v>
      </c>
      <c r="Z222" t="str">
        <f t="shared" si="39"/>
        <v/>
      </c>
      <c r="AA222">
        <f>IF($V222="",N($AA221),IF(MATCH($V222,$V$6:$V$10005,0)=ROW()-5,N($AA221)+1,N($AA221)))</f>
        <v>0</v>
      </c>
    </row>
    <row r="223" spans="1:27" ht="21" customHeight="1" x14ac:dyDescent="0.95">
      <c r="A223" s="56"/>
      <c r="B223" s="57"/>
      <c r="C223" s="57"/>
      <c r="D223" s="57"/>
      <c r="E223" s="56"/>
      <c r="F223" s="57"/>
      <c r="G223" s="57"/>
      <c r="H223" s="56"/>
      <c r="I223" s="56"/>
      <c r="J223" s="58"/>
      <c r="K223" s="58"/>
      <c r="L223" s="13" t="str">
        <f t="shared" si="30"/>
        <v/>
      </c>
      <c r="M223" s="13" t="str">
        <f t="shared" si="31"/>
        <v/>
      </c>
      <c r="Q223" t="str">
        <f t="shared" si="32"/>
        <v/>
      </c>
      <c r="R223" t="str">
        <f t="shared" si="33"/>
        <v/>
      </c>
      <c r="S223" t="str">
        <f t="shared" si="34"/>
        <v/>
      </c>
      <c r="T223" t="str">
        <f t="shared" si="35"/>
        <v/>
      </c>
      <c r="U223" t="str">
        <f t="shared" si="36"/>
        <v/>
      </c>
      <c r="V223" t="str">
        <f t="shared" si="37"/>
        <v/>
      </c>
      <c r="W223" t="str">
        <f t="shared" si="38"/>
        <v/>
      </c>
      <c r="X223">
        <f>IF($T223="",N($X222),IF(MATCH($T223,$T$6:$T$10005,0)=ROW()-5,N($X222)+1,N($X222)))</f>
        <v>0</v>
      </c>
      <c r="Z223" t="str">
        <f t="shared" si="39"/>
        <v/>
      </c>
      <c r="AA223">
        <f>IF($V223="",N($AA222),IF(MATCH($V223,$V$6:$V$10005,0)=ROW()-5,N($AA222)+1,N($AA222)))</f>
        <v>0</v>
      </c>
    </row>
    <row r="224" spans="1:27" ht="21" customHeight="1" x14ac:dyDescent="0.95">
      <c r="A224" s="56"/>
      <c r="B224" s="57"/>
      <c r="C224" s="57"/>
      <c r="D224" s="57"/>
      <c r="E224" s="56"/>
      <c r="F224" s="57"/>
      <c r="G224" s="57"/>
      <c r="H224" s="56"/>
      <c r="I224" s="56"/>
      <c r="J224" s="58"/>
      <c r="K224" s="58"/>
      <c r="L224" s="13" t="str">
        <f t="shared" si="30"/>
        <v/>
      </c>
      <c r="M224" s="13" t="str">
        <f t="shared" si="31"/>
        <v/>
      </c>
      <c r="Q224" t="str">
        <f t="shared" si="32"/>
        <v/>
      </c>
      <c r="R224" t="str">
        <f t="shared" si="33"/>
        <v/>
      </c>
      <c r="S224" t="str">
        <f t="shared" si="34"/>
        <v/>
      </c>
      <c r="T224" t="str">
        <f t="shared" si="35"/>
        <v/>
      </c>
      <c r="U224" t="str">
        <f t="shared" si="36"/>
        <v/>
      </c>
      <c r="V224" t="str">
        <f t="shared" si="37"/>
        <v/>
      </c>
      <c r="W224" t="str">
        <f t="shared" si="38"/>
        <v/>
      </c>
      <c r="X224">
        <f>IF($T224="",N($X223),IF(MATCH($T224,$T$6:$T$10005,0)=ROW()-5,N($X223)+1,N($X223)))</f>
        <v>0</v>
      </c>
      <c r="Z224" t="str">
        <f t="shared" si="39"/>
        <v/>
      </c>
      <c r="AA224">
        <f>IF($V224="",N($AA223),IF(MATCH($V224,$V$6:$V$10005,0)=ROW()-5,N($AA223)+1,N($AA223)))</f>
        <v>0</v>
      </c>
    </row>
    <row r="225" spans="1:27" ht="21" customHeight="1" x14ac:dyDescent="0.95">
      <c r="A225" s="56"/>
      <c r="B225" s="57"/>
      <c r="C225" s="57"/>
      <c r="D225" s="57"/>
      <c r="E225" s="56"/>
      <c r="F225" s="57"/>
      <c r="G225" s="57"/>
      <c r="H225" s="56"/>
      <c r="I225" s="56"/>
      <c r="J225" s="58"/>
      <c r="K225" s="58"/>
      <c r="L225" s="13" t="str">
        <f t="shared" si="30"/>
        <v/>
      </c>
      <c r="M225" s="13" t="str">
        <f t="shared" si="31"/>
        <v/>
      </c>
      <c r="Q225" t="str">
        <f t="shared" si="32"/>
        <v/>
      </c>
      <c r="R225" t="str">
        <f t="shared" si="33"/>
        <v/>
      </c>
      <c r="S225" t="str">
        <f t="shared" si="34"/>
        <v/>
      </c>
      <c r="T225" t="str">
        <f t="shared" si="35"/>
        <v/>
      </c>
      <c r="U225" t="str">
        <f t="shared" si="36"/>
        <v/>
      </c>
      <c r="V225" t="str">
        <f t="shared" si="37"/>
        <v/>
      </c>
      <c r="W225" t="str">
        <f t="shared" si="38"/>
        <v/>
      </c>
      <c r="X225">
        <f>IF($T225="",N($X224),IF(MATCH($T225,$T$6:$T$10005,0)=ROW()-5,N($X224)+1,N($X224)))</f>
        <v>0</v>
      </c>
      <c r="Z225" t="str">
        <f t="shared" si="39"/>
        <v/>
      </c>
      <c r="AA225">
        <f>IF($V225="",N($AA224),IF(MATCH($V225,$V$6:$V$10005,0)=ROW()-5,N($AA224)+1,N($AA224)))</f>
        <v>0</v>
      </c>
    </row>
    <row r="226" spans="1:27" ht="21" customHeight="1" x14ac:dyDescent="0.95">
      <c r="A226" s="56"/>
      <c r="B226" s="57"/>
      <c r="C226" s="57"/>
      <c r="D226" s="57"/>
      <c r="E226" s="56"/>
      <c r="F226" s="57"/>
      <c r="G226" s="57"/>
      <c r="H226" s="56"/>
      <c r="I226" s="56"/>
      <c r="J226" s="58"/>
      <c r="K226" s="58"/>
      <c r="L226" s="13" t="str">
        <f t="shared" si="30"/>
        <v/>
      </c>
      <c r="M226" s="13" t="str">
        <f t="shared" si="31"/>
        <v/>
      </c>
      <c r="Q226" t="str">
        <f t="shared" si="32"/>
        <v/>
      </c>
      <c r="R226" t="str">
        <f t="shared" si="33"/>
        <v/>
      </c>
      <c r="S226" t="str">
        <f t="shared" si="34"/>
        <v/>
      </c>
      <c r="T226" t="str">
        <f t="shared" si="35"/>
        <v/>
      </c>
      <c r="U226" t="str">
        <f t="shared" si="36"/>
        <v/>
      </c>
      <c r="V226" t="str">
        <f t="shared" si="37"/>
        <v/>
      </c>
      <c r="W226" t="str">
        <f t="shared" si="38"/>
        <v/>
      </c>
      <c r="X226">
        <f>IF($T226="",N($X225),IF(MATCH($T226,$T$6:$T$10005,0)=ROW()-5,N($X225)+1,N($X225)))</f>
        <v>0</v>
      </c>
      <c r="Z226" t="str">
        <f t="shared" si="39"/>
        <v/>
      </c>
      <c r="AA226">
        <f>IF($V226="",N($AA225),IF(MATCH($V226,$V$6:$V$10005,0)=ROW()-5,N($AA225)+1,N($AA225)))</f>
        <v>0</v>
      </c>
    </row>
    <row r="227" spans="1:27" ht="21" customHeight="1" x14ac:dyDescent="0.95">
      <c r="A227" s="56"/>
      <c r="B227" s="57"/>
      <c r="C227" s="57"/>
      <c r="D227" s="57"/>
      <c r="E227" s="56"/>
      <c r="F227" s="57"/>
      <c r="G227" s="57"/>
      <c r="H227" s="56"/>
      <c r="I227" s="56"/>
      <c r="J227" s="58"/>
      <c r="K227" s="58"/>
      <c r="L227" s="13" t="str">
        <f t="shared" si="30"/>
        <v/>
      </c>
      <c r="M227" s="13" t="str">
        <f t="shared" si="31"/>
        <v/>
      </c>
      <c r="Q227" t="str">
        <f t="shared" si="32"/>
        <v/>
      </c>
      <c r="R227" t="str">
        <f t="shared" si="33"/>
        <v/>
      </c>
      <c r="S227" t="str">
        <f t="shared" si="34"/>
        <v/>
      </c>
      <c r="T227" t="str">
        <f t="shared" si="35"/>
        <v/>
      </c>
      <c r="U227" t="str">
        <f t="shared" si="36"/>
        <v/>
      </c>
      <c r="V227" t="str">
        <f t="shared" si="37"/>
        <v/>
      </c>
      <c r="W227" t="str">
        <f t="shared" si="38"/>
        <v/>
      </c>
      <c r="X227">
        <f>IF($T227="",N($X226),IF(MATCH($T227,$T$6:$T$10005,0)=ROW()-5,N($X226)+1,N($X226)))</f>
        <v>0</v>
      </c>
      <c r="Z227" t="str">
        <f t="shared" si="39"/>
        <v/>
      </c>
      <c r="AA227">
        <f>IF($V227="",N($AA226),IF(MATCH($V227,$V$6:$V$10005,0)=ROW()-5,N($AA226)+1,N($AA226)))</f>
        <v>0</v>
      </c>
    </row>
    <row r="228" spans="1:27" ht="21" customHeight="1" x14ac:dyDescent="0.95">
      <c r="A228" s="56"/>
      <c r="B228" s="57"/>
      <c r="C228" s="57"/>
      <c r="D228" s="57"/>
      <c r="E228" s="56"/>
      <c r="F228" s="57"/>
      <c r="G228" s="57"/>
      <c r="H228" s="56"/>
      <c r="I228" s="56"/>
      <c r="J228" s="58"/>
      <c r="K228" s="58"/>
      <c r="L228" s="13" t="str">
        <f t="shared" si="30"/>
        <v/>
      </c>
      <c r="M228" s="13" t="str">
        <f t="shared" si="31"/>
        <v/>
      </c>
      <c r="Q228" t="str">
        <f t="shared" si="32"/>
        <v/>
      </c>
      <c r="R228" t="str">
        <f t="shared" si="33"/>
        <v/>
      </c>
      <c r="S228" t="str">
        <f t="shared" si="34"/>
        <v/>
      </c>
      <c r="T228" t="str">
        <f t="shared" si="35"/>
        <v/>
      </c>
      <c r="U228" t="str">
        <f t="shared" si="36"/>
        <v/>
      </c>
      <c r="V228" t="str">
        <f t="shared" si="37"/>
        <v/>
      </c>
      <c r="W228" t="str">
        <f t="shared" si="38"/>
        <v/>
      </c>
      <c r="X228">
        <f>IF($T228="",N($X227),IF(MATCH($T228,$T$6:$T$10005,0)=ROW()-5,N($X227)+1,N($X227)))</f>
        <v>0</v>
      </c>
      <c r="Z228" t="str">
        <f t="shared" si="39"/>
        <v/>
      </c>
      <c r="AA228">
        <f>IF($V228="",N($AA227),IF(MATCH($V228,$V$6:$V$10005,0)=ROW()-5,N($AA227)+1,N($AA227)))</f>
        <v>0</v>
      </c>
    </row>
    <row r="229" spans="1:27" ht="21" customHeight="1" x14ac:dyDescent="0.95">
      <c r="A229" s="56"/>
      <c r="B229" s="57"/>
      <c r="C229" s="57"/>
      <c r="D229" s="57"/>
      <c r="E229" s="56"/>
      <c r="F229" s="57"/>
      <c r="G229" s="57"/>
      <c r="H229" s="56"/>
      <c r="I229" s="56"/>
      <c r="J229" s="58"/>
      <c r="K229" s="58"/>
      <c r="L229" s="13" t="str">
        <f t="shared" si="30"/>
        <v/>
      </c>
      <c r="M229" s="13" t="str">
        <f t="shared" si="31"/>
        <v/>
      </c>
      <c r="Q229" t="str">
        <f t="shared" si="32"/>
        <v/>
      </c>
      <c r="R229" t="str">
        <f t="shared" si="33"/>
        <v/>
      </c>
      <c r="S229" t="str">
        <f t="shared" si="34"/>
        <v/>
      </c>
      <c r="T229" t="str">
        <f t="shared" si="35"/>
        <v/>
      </c>
      <c r="U229" t="str">
        <f t="shared" si="36"/>
        <v/>
      </c>
      <c r="V229" t="str">
        <f t="shared" si="37"/>
        <v/>
      </c>
      <c r="W229" t="str">
        <f t="shared" si="38"/>
        <v/>
      </c>
      <c r="X229">
        <f>IF($T229="",N($X228),IF(MATCH($T229,$T$6:$T$10005,0)=ROW()-5,N($X228)+1,N($X228)))</f>
        <v>0</v>
      </c>
      <c r="Z229" t="str">
        <f t="shared" si="39"/>
        <v/>
      </c>
      <c r="AA229">
        <f>IF($V229="",N($AA228),IF(MATCH($V229,$V$6:$V$10005,0)=ROW()-5,N($AA228)+1,N($AA228)))</f>
        <v>0</v>
      </c>
    </row>
    <row r="230" spans="1:27" ht="21" customHeight="1" x14ac:dyDescent="0.95">
      <c r="A230" s="56"/>
      <c r="B230" s="57"/>
      <c r="C230" s="57"/>
      <c r="D230" s="57"/>
      <c r="E230" s="56"/>
      <c r="F230" s="57"/>
      <c r="G230" s="57"/>
      <c r="H230" s="56"/>
      <c r="I230" s="56"/>
      <c r="J230" s="58"/>
      <c r="K230" s="58"/>
      <c r="L230" s="13" t="str">
        <f t="shared" si="30"/>
        <v/>
      </c>
      <c r="M230" s="13" t="str">
        <f t="shared" si="31"/>
        <v/>
      </c>
      <c r="Q230" t="str">
        <f t="shared" si="32"/>
        <v/>
      </c>
      <c r="R230" t="str">
        <f t="shared" si="33"/>
        <v/>
      </c>
      <c r="S230" t="str">
        <f t="shared" si="34"/>
        <v/>
      </c>
      <c r="T230" t="str">
        <f t="shared" si="35"/>
        <v/>
      </c>
      <c r="U230" t="str">
        <f t="shared" si="36"/>
        <v/>
      </c>
      <c r="V230" t="str">
        <f t="shared" si="37"/>
        <v/>
      </c>
      <c r="W230" t="str">
        <f t="shared" si="38"/>
        <v/>
      </c>
      <c r="X230">
        <f>IF($T230="",N($X229),IF(MATCH($T230,$T$6:$T$10005,0)=ROW()-5,N($X229)+1,N($X229)))</f>
        <v>0</v>
      </c>
      <c r="Z230" t="str">
        <f t="shared" si="39"/>
        <v/>
      </c>
      <c r="AA230">
        <f>IF($V230="",N($AA229),IF(MATCH($V230,$V$6:$V$10005,0)=ROW()-5,N($AA229)+1,N($AA229)))</f>
        <v>0</v>
      </c>
    </row>
    <row r="231" spans="1:27" ht="21" customHeight="1" x14ac:dyDescent="0.95">
      <c r="A231" s="56"/>
      <c r="B231" s="57"/>
      <c r="C231" s="57"/>
      <c r="D231" s="57"/>
      <c r="E231" s="56"/>
      <c r="F231" s="57"/>
      <c r="G231" s="57"/>
      <c r="H231" s="56"/>
      <c r="I231" s="56"/>
      <c r="J231" s="58"/>
      <c r="K231" s="58"/>
      <c r="L231" s="13" t="str">
        <f t="shared" si="30"/>
        <v/>
      </c>
      <c r="M231" s="13" t="str">
        <f t="shared" si="31"/>
        <v/>
      </c>
      <c r="Q231" t="str">
        <f t="shared" si="32"/>
        <v/>
      </c>
      <c r="R231" t="str">
        <f t="shared" si="33"/>
        <v/>
      </c>
      <c r="S231" t="str">
        <f t="shared" si="34"/>
        <v/>
      </c>
      <c r="T231" t="str">
        <f t="shared" si="35"/>
        <v/>
      </c>
      <c r="U231" t="str">
        <f t="shared" si="36"/>
        <v/>
      </c>
      <c r="V231" t="str">
        <f t="shared" si="37"/>
        <v/>
      </c>
      <c r="W231" t="str">
        <f t="shared" si="38"/>
        <v/>
      </c>
      <c r="X231">
        <f>IF($T231="",N($X230),IF(MATCH($T231,$T$6:$T$10005,0)=ROW()-5,N($X230)+1,N($X230)))</f>
        <v>0</v>
      </c>
      <c r="Z231" t="str">
        <f t="shared" si="39"/>
        <v/>
      </c>
      <c r="AA231">
        <f>IF($V231="",N($AA230),IF(MATCH($V231,$V$6:$V$10005,0)=ROW()-5,N($AA230)+1,N($AA230)))</f>
        <v>0</v>
      </c>
    </row>
    <row r="232" spans="1:27" ht="21" customHeight="1" x14ac:dyDescent="0.95">
      <c r="A232" s="56"/>
      <c r="B232" s="57"/>
      <c r="C232" s="57"/>
      <c r="D232" s="57"/>
      <c r="E232" s="56"/>
      <c r="F232" s="57"/>
      <c r="G232" s="57"/>
      <c r="H232" s="56"/>
      <c r="I232" s="56"/>
      <c r="J232" s="58"/>
      <c r="K232" s="58"/>
      <c r="L232" s="13" t="str">
        <f t="shared" si="30"/>
        <v/>
      </c>
      <c r="M232" s="13" t="str">
        <f t="shared" si="31"/>
        <v/>
      </c>
      <c r="Q232" t="str">
        <f t="shared" si="32"/>
        <v/>
      </c>
      <c r="R232" t="str">
        <f t="shared" si="33"/>
        <v/>
      </c>
      <c r="S232" t="str">
        <f t="shared" si="34"/>
        <v/>
      </c>
      <c r="T232" t="str">
        <f t="shared" si="35"/>
        <v/>
      </c>
      <c r="U232" t="str">
        <f t="shared" si="36"/>
        <v/>
      </c>
      <c r="V232" t="str">
        <f t="shared" si="37"/>
        <v/>
      </c>
      <c r="W232" t="str">
        <f t="shared" si="38"/>
        <v/>
      </c>
      <c r="X232">
        <f>IF($T232="",N($X231),IF(MATCH($T232,$T$6:$T$10005,0)=ROW()-5,N($X231)+1,N($X231)))</f>
        <v>0</v>
      </c>
      <c r="Z232" t="str">
        <f t="shared" si="39"/>
        <v/>
      </c>
      <c r="AA232">
        <f>IF($V232="",N($AA231),IF(MATCH($V232,$V$6:$V$10005,0)=ROW()-5,N($AA231)+1,N($AA231)))</f>
        <v>0</v>
      </c>
    </row>
    <row r="233" spans="1:27" ht="21" customHeight="1" x14ac:dyDescent="0.95">
      <c r="A233" s="56"/>
      <c r="B233" s="57"/>
      <c r="C233" s="57"/>
      <c r="D233" s="57"/>
      <c r="E233" s="56"/>
      <c r="F233" s="57"/>
      <c r="G233" s="57"/>
      <c r="H233" s="56"/>
      <c r="I233" s="56"/>
      <c r="J233" s="58"/>
      <c r="K233" s="58"/>
      <c r="L233" s="13" t="str">
        <f t="shared" si="30"/>
        <v/>
      </c>
      <c r="M233" s="13" t="str">
        <f t="shared" si="31"/>
        <v/>
      </c>
      <c r="Q233" t="str">
        <f t="shared" si="32"/>
        <v/>
      </c>
      <c r="R233" t="str">
        <f t="shared" si="33"/>
        <v/>
      </c>
      <c r="S233" t="str">
        <f t="shared" si="34"/>
        <v/>
      </c>
      <c r="T233" t="str">
        <f t="shared" si="35"/>
        <v/>
      </c>
      <c r="U233" t="str">
        <f t="shared" si="36"/>
        <v/>
      </c>
      <c r="V233" t="str">
        <f t="shared" si="37"/>
        <v/>
      </c>
      <c r="W233" t="str">
        <f t="shared" si="38"/>
        <v/>
      </c>
      <c r="X233">
        <f>IF($T233="",N($X232),IF(MATCH($T233,$T$6:$T$10005,0)=ROW()-5,N($X232)+1,N($X232)))</f>
        <v>0</v>
      </c>
      <c r="Z233" t="str">
        <f t="shared" si="39"/>
        <v/>
      </c>
      <c r="AA233">
        <f>IF($V233="",N($AA232),IF(MATCH($V233,$V$6:$V$10005,0)=ROW()-5,N($AA232)+1,N($AA232)))</f>
        <v>0</v>
      </c>
    </row>
    <row r="234" spans="1:27" ht="21" customHeight="1" x14ac:dyDescent="0.95">
      <c r="A234" s="56"/>
      <c r="B234" s="57"/>
      <c r="C234" s="57"/>
      <c r="D234" s="57"/>
      <c r="E234" s="56"/>
      <c r="F234" s="57"/>
      <c r="G234" s="57"/>
      <c r="H234" s="56"/>
      <c r="I234" s="56"/>
      <c r="J234" s="58"/>
      <c r="K234" s="58"/>
      <c r="L234" s="13" t="str">
        <f t="shared" si="30"/>
        <v/>
      </c>
      <c r="M234" s="13" t="str">
        <f t="shared" si="31"/>
        <v/>
      </c>
      <c r="Q234" t="str">
        <f t="shared" si="32"/>
        <v/>
      </c>
      <c r="R234" t="str">
        <f t="shared" si="33"/>
        <v/>
      </c>
      <c r="S234" t="str">
        <f t="shared" si="34"/>
        <v/>
      </c>
      <c r="T234" t="str">
        <f t="shared" si="35"/>
        <v/>
      </c>
      <c r="U234" t="str">
        <f t="shared" si="36"/>
        <v/>
      </c>
      <c r="V234" t="str">
        <f t="shared" si="37"/>
        <v/>
      </c>
      <c r="W234" t="str">
        <f t="shared" si="38"/>
        <v/>
      </c>
      <c r="X234">
        <f>IF($T234="",N($X233),IF(MATCH($T234,$T$6:$T$10005,0)=ROW()-5,N($X233)+1,N($X233)))</f>
        <v>0</v>
      </c>
      <c r="Z234" t="str">
        <f t="shared" si="39"/>
        <v/>
      </c>
      <c r="AA234">
        <f>IF($V234="",N($AA233),IF(MATCH($V234,$V$6:$V$10005,0)=ROW()-5,N($AA233)+1,N($AA233)))</f>
        <v>0</v>
      </c>
    </row>
    <row r="235" spans="1:27" ht="21" customHeight="1" x14ac:dyDescent="0.95">
      <c r="A235" s="56"/>
      <c r="B235" s="57"/>
      <c r="C235" s="57"/>
      <c r="D235" s="57"/>
      <c r="E235" s="56"/>
      <c r="F235" s="57"/>
      <c r="G235" s="57"/>
      <c r="H235" s="56"/>
      <c r="I235" s="56"/>
      <c r="J235" s="58"/>
      <c r="K235" s="58"/>
      <c r="L235" s="13" t="str">
        <f t="shared" si="30"/>
        <v/>
      </c>
      <c r="M235" s="13" t="str">
        <f t="shared" si="31"/>
        <v/>
      </c>
      <c r="Q235" t="str">
        <f t="shared" si="32"/>
        <v/>
      </c>
      <c r="R235" t="str">
        <f t="shared" si="33"/>
        <v/>
      </c>
      <c r="S235" t="str">
        <f t="shared" si="34"/>
        <v/>
      </c>
      <c r="T235" t="str">
        <f t="shared" si="35"/>
        <v/>
      </c>
      <c r="U235" t="str">
        <f t="shared" si="36"/>
        <v/>
      </c>
      <c r="V235" t="str">
        <f t="shared" si="37"/>
        <v/>
      </c>
      <c r="W235" t="str">
        <f t="shared" si="38"/>
        <v/>
      </c>
      <c r="X235">
        <f>IF($T235="",N($X234),IF(MATCH($T235,$T$6:$T$10005,0)=ROW()-5,N($X234)+1,N($X234)))</f>
        <v>0</v>
      </c>
      <c r="Z235" t="str">
        <f t="shared" si="39"/>
        <v/>
      </c>
      <c r="AA235">
        <f>IF($V235="",N($AA234),IF(MATCH($V235,$V$6:$V$10005,0)=ROW()-5,N($AA234)+1,N($AA234)))</f>
        <v>0</v>
      </c>
    </row>
    <row r="236" spans="1:27" ht="21" customHeight="1" x14ac:dyDescent="0.95">
      <c r="A236" s="56"/>
      <c r="B236" s="57"/>
      <c r="C236" s="57"/>
      <c r="D236" s="57"/>
      <c r="E236" s="56"/>
      <c r="F236" s="57"/>
      <c r="G236" s="57"/>
      <c r="H236" s="56"/>
      <c r="I236" s="56"/>
      <c r="J236" s="58"/>
      <c r="K236" s="58"/>
      <c r="L236" s="13" t="str">
        <f t="shared" si="30"/>
        <v/>
      </c>
      <c r="M236" s="13" t="str">
        <f t="shared" si="31"/>
        <v/>
      </c>
      <c r="Q236" t="str">
        <f t="shared" si="32"/>
        <v/>
      </c>
      <c r="R236" t="str">
        <f t="shared" si="33"/>
        <v/>
      </c>
      <c r="S236" t="str">
        <f t="shared" si="34"/>
        <v/>
      </c>
      <c r="T236" t="str">
        <f t="shared" si="35"/>
        <v/>
      </c>
      <c r="U236" t="str">
        <f t="shared" si="36"/>
        <v/>
      </c>
      <c r="V236" t="str">
        <f t="shared" si="37"/>
        <v/>
      </c>
      <c r="W236" t="str">
        <f t="shared" si="38"/>
        <v/>
      </c>
      <c r="X236">
        <f>IF($T236="",N($X235),IF(MATCH($T236,$T$6:$T$10005,0)=ROW()-5,N($X235)+1,N($X235)))</f>
        <v>0</v>
      </c>
      <c r="Z236" t="str">
        <f t="shared" si="39"/>
        <v/>
      </c>
      <c r="AA236">
        <f>IF($V236="",N($AA235),IF(MATCH($V236,$V$6:$V$10005,0)=ROW()-5,N($AA235)+1,N($AA235)))</f>
        <v>0</v>
      </c>
    </row>
    <row r="237" spans="1:27" ht="21" customHeight="1" x14ac:dyDescent="0.95">
      <c r="A237" s="56"/>
      <c r="B237" s="57"/>
      <c r="C237" s="57"/>
      <c r="D237" s="57"/>
      <c r="E237" s="56"/>
      <c r="F237" s="57"/>
      <c r="G237" s="57"/>
      <c r="H237" s="56"/>
      <c r="I237" s="56"/>
      <c r="J237" s="58"/>
      <c r="K237" s="58"/>
      <c r="L237" s="13" t="str">
        <f t="shared" si="30"/>
        <v/>
      </c>
      <c r="M237" s="13" t="str">
        <f t="shared" si="31"/>
        <v/>
      </c>
      <c r="Q237" t="str">
        <f t="shared" si="32"/>
        <v/>
      </c>
      <c r="R237" t="str">
        <f t="shared" si="33"/>
        <v/>
      </c>
      <c r="S237" t="str">
        <f t="shared" si="34"/>
        <v/>
      </c>
      <c r="T237" t="str">
        <f t="shared" si="35"/>
        <v/>
      </c>
      <c r="U237" t="str">
        <f t="shared" si="36"/>
        <v/>
      </c>
      <c r="V237" t="str">
        <f t="shared" si="37"/>
        <v/>
      </c>
      <c r="W237" t="str">
        <f t="shared" si="38"/>
        <v/>
      </c>
      <c r="X237">
        <f>IF($T237="",N($X236),IF(MATCH($T237,$T$6:$T$10005,0)=ROW()-5,N($X236)+1,N($X236)))</f>
        <v>0</v>
      </c>
      <c r="Z237" t="str">
        <f t="shared" si="39"/>
        <v/>
      </c>
      <c r="AA237">
        <f>IF($V237="",N($AA236),IF(MATCH($V237,$V$6:$V$10005,0)=ROW()-5,N($AA236)+1,N($AA236)))</f>
        <v>0</v>
      </c>
    </row>
    <row r="238" spans="1:27" ht="21" customHeight="1" x14ac:dyDescent="0.95">
      <c r="A238" s="56"/>
      <c r="B238" s="57"/>
      <c r="C238" s="57"/>
      <c r="D238" s="57"/>
      <c r="E238" s="56"/>
      <c r="F238" s="57"/>
      <c r="G238" s="57"/>
      <c r="H238" s="56"/>
      <c r="I238" s="56"/>
      <c r="J238" s="58"/>
      <c r="K238" s="58"/>
      <c r="L238" s="13" t="str">
        <f t="shared" si="30"/>
        <v/>
      </c>
      <c r="M238" s="13" t="str">
        <f t="shared" si="31"/>
        <v/>
      </c>
      <c r="Q238" t="str">
        <f t="shared" si="32"/>
        <v/>
      </c>
      <c r="R238" t="str">
        <f t="shared" si="33"/>
        <v/>
      </c>
      <c r="S238" t="str">
        <f t="shared" si="34"/>
        <v/>
      </c>
      <c r="T238" t="str">
        <f t="shared" si="35"/>
        <v/>
      </c>
      <c r="U238" t="str">
        <f t="shared" si="36"/>
        <v/>
      </c>
      <c r="V238" t="str">
        <f t="shared" si="37"/>
        <v/>
      </c>
      <c r="W238" t="str">
        <f t="shared" si="38"/>
        <v/>
      </c>
      <c r="X238">
        <f>IF($T238="",N($X237),IF(MATCH($T238,$T$6:$T$10005,0)=ROW()-5,N($X237)+1,N($X237)))</f>
        <v>0</v>
      </c>
      <c r="Z238" t="str">
        <f t="shared" si="39"/>
        <v/>
      </c>
      <c r="AA238">
        <f>IF($V238="",N($AA237),IF(MATCH($V238,$V$6:$V$10005,0)=ROW()-5,N($AA237)+1,N($AA237)))</f>
        <v>0</v>
      </c>
    </row>
    <row r="239" spans="1:27" ht="21" customHeight="1" x14ac:dyDescent="0.95">
      <c r="A239" s="56"/>
      <c r="B239" s="57"/>
      <c r="C239" s="57"/>
      <c r="D239" s="57"/>
      <c r="E239" s="56"/>
      <c r="F239" s="57"/>
      <c r="G239" s="57"/>
      <c r="H239" s="56"/>
      <c r="I239" s="56"/>
      <c r="J239" s="58"/>
      <c r="K239" s="58"/>
      <c r="L239" s="13" t="str">
        <f t="shared" si="30"/>
        <v/>
      </c>
      <c r="M239" s="13" t="str">
        <f t="shared" si="31"/>
        <v/>
      </c>
      <c r="Q239" t="str">
        <f t="shared" si="32"/>
        <v/>
      </c>
      <c r="R239" t="str">
        <f t="shared" si="33"/>
        <v/>
      </c>
      <c r="S239" t="str">
        <f t="shared" si="34"/>
        <v/>
      </c>
      <c r="T239" t="str">
        <f t="shared" si="35"/>
        <v/>
      </c>
      <c r="U239" t="str">
        <f t="shared" si="36"/>
        <v/>
      </c>
      <c r="V239" t="str">
        <f t="shared" si="37"/>
        <v/>
      </c>
      <c r="W239" t="str">
        <f t="shared" si="38"/>
        <v/>
      </c>
      <c r="X239">
        <f>IF($T239="",N($X238),IF(MATCH($T239,$T$6:$T$10005,0)=ROW()-5,N($X238)+1,N($X238)))</f>
        <v>0</v>
      </c>
      <c r="Z239" t="str">
        <f t="shared" si="39"/>
        <v/>
      </c>
      <c r="AA239">
        <f>IF($V239="",N($AA238),IF(MATCH($V239,$V$6:$V$10005,0)=ROW()-5,N($AA238)+1,N($AA238)))</f>
        <v>0</v>
      </c>
    </row>
    <row r="240" spans="1:27" ht="21" customHeight="1" x14ac:dyDescent="0.95">
      <c r="A240" s="56"/>
      <c r="B240" s="57"/>
      <c r="C240" s="57"/>
      <c r="D240" s="57"/>
      <c r="E240" s="56"/>
      <c r="F240" s="57"/>
      <c r="G240" s="57"/>
      <c r="H240" s="56"/>
      <c r="I240" s="56"/>
      <c r="J240" s="58"/>
      <c r="K240" s="58"/>
      <c r="L240" s="13" t="str">
        <f t="shared" si="30"/>
        <v/>
      </c>
      <c r="M240" s="13" t="str">
        <f t="shared" si="31"/>
        <v/>
      </c>
      <c r="Q240" t="str">
        <f t="shared" si="32"/>
        <v/>
      </c>
      <c r="R240" t="str">
        <f t="shared" si="33"/>
        <v/>
      </c>
      <c r="S240" t="str">
        <f t="shared" si="34"/>
        <v/>
      </c>
      <c r="T240" t="str">
        <f t="shared" si="35"/>
        <v/>
      </c>
      <c r="U240" t="str">
        <f t="shared" si="36"/>
        <v/>
      </c>
      <c r="V240" t="str">
        <f t="shared" si="37"/>
        <v/>
      </c>
      <c r="W240" t="str">
        <f t="shared" si="38"/>
        <v/>
      </c>
      <c r="X240">
        <f>IF($T240="",N($X239),IF(MATCH($T240,$T$6:$T$10005,0)=ROW()-5,N($X239)+1,N($X239)))</f>
        <v>0</v>
      </c>
      <c r="Z240" t="str">
        <f t="shared" si="39"/>
        <v/>
      </c>
      <c r="AA240">
        <f>IF($V240="",N($AA239),IF(MATCH($V240,$V$6:$V$10005,0)=ROW()-5,N($AA239)+1,N($AA239)))</f>
        <v>0</v>
      </c>
    </row>
    <row r="241" spans="1:27" ht="21" customHeight="1" x14ac:dyDescent="0.95">
      <c r="A241" s="56"/>
      <c r="B241" s="57"/>
      <c r="C241" s="57"/>
      <c r="D241" s="57"/>
      <c r="E241" s="56"/>
      <c r="F241" s="57"/>
      <c r="G241" s="57"/>
      <c r="H241" s="56"/>
      <c r="I241" s="56"/>
      <c r="J241" s="58"/>
      <c r="K241" s="58"/>
      <c r="L241" s="13" t="str">
        <f t="shared" si="30"/>
        <v/>
      </c>
      <c r="M241" s="13" t="str">
        <f t="shared" si="31"/>
        <v/>
      </c>
      <c r="Q241" t="str">
        <f t="shared" si="32"/>
        <v/>
      </c>
      <c r="R241" t="str">
        <f t="shared" si="33"/>
        <v/>
      </c>
      <c r="S241" t="str">
        <f t="shared" si="34"/>
        <v/>
      </c>
      <c r="T241" t="str">
        <f t="shared" si="35"/>
        <v/>
      </c>
      <c r="U241" t="str">
        <f t="shared" si="36"/>
        <v/>
      </c>
      <c r="V241" t="str">
        <f t="shared" si="37"/>
        <v/>
      </c>
      <c r="W241" t="str">
        <f t="shared" si="38"/>
        <v/>
      </c>
      <c r="X241">
        <f>IF($T241="",N($X240),IF(MATCH($T241,$T$6:$T$10005,0)=ROW()-5,N($X240)+1,N($X240)))</f>
        <v>0</v>
      </c>
      <c r="Z241" t="str">
        <f t="shared" si="39"/>
        <v/>
      </c>
      <c r="AA241">
        <f>IF($V241="",N($AA240),IF(MATCH($V241,$V$6:$V$10005,0)=ROW()-5,N($AA240)+1,N($AA240)))</f>
        <v>0</v>
      </c>
    </row>
    <row r="242" spans="1:27" ht="21" customHeight="1" x14ac:dyDescent="0.95">
      <c r="A242" s="56"/>
      <c r="B242" s="57"/>
      <c r="C242" s="57"/>
      <c r="D242" s="57"/>
      <c r="E242" s="56"/>
      <c r="F242" s="57"/>
      <c r="G242" s="57"/>
      <c r="H242" s="56"/>
      <c r="I242" s="56"/>
      <c r="J242" s="58"/>
      <c r="K242" s="58"/>
      <c r="L242" s="13" t="str">
        <f t="shared" si="30"/>
        <v/>
      </c>
      <c r="M242" s="13" t="str">
        <f t="shared" si="31"/>
        <v/>
      </c>
      <c r="Q242" t="str">
        <f t="shared" si="32"/>
        <v/>
      </c>
      <c r="R242" t="str">
        <f t="shared" si="33"/>
        <v/>
      </c>
      <c r="S242" t="str">
        <f t="shared" si="34"/>
        <v/>
      </c>
      <c r="T242" t="str">
        <f t="shared" si="35"/>
        <v/>
      </c>
      <c r="U242" t="str">
        <f t="shared" si="36"/>
        <v/>
      </c>
      <c r="V242" t="str">
        <f t="shared" si="37"/>
        <v/>
      </c>
      <c r="W242" t="str">
        <f t="shared" si="38"/>
        <v/>
      </c>
      <c r="X242">
        <f>IF($T242="",N($X241),IF(MATCH($T242,$T$6:$T$10005,0)=ROW()-5,N($X241)+1,N($X241)))</f>
        <v>0</v>
      </c>
      <c r="Z242" t="str">
        <f t="shared" si="39"/>
        <v/>
      </c>
      <c r="AA242">
        <f>IF($V242="",N($AA241),IF(MATCH($V242,$V$6:$V$10005,0)=ROW()-5,N($AA241)+1,N($AA241)))</f>
        <v>0</v>
      </c>
    </row>
    <row r="243" spans="1:27" ht="21" customHeight="1" x14ac:dyDescent="0.95">
      <c r="A243" s="56"/>
      <c r="B243" s="57"/>
      <c r="C243" s="57"/>
      <c r="D243" s="57"/>
      <c r="E243" s="56"/>
      <c r="F243" s="57"/>
      <c r="G243" s="57"/>
      <c r="H243" s="56"/>
      <c r="I243" s="56"/>
      <c r="J243" s="58"/>
      <c r="K243" s="58"/>
      <c r="L243" s="13" t="str">
        <f t="shared" si="30"/>
        <v/>
      </c>
      <c r="M243" s="13" t="str">
        <f t="shared" si="31"/>
        <v/>
      </c>
      <c r="Q243" t="str">
        <f t="shared" si="32"/>
        <v/>
      </c>
      <c r="R243" t="str">
        <f t="shared" si="33"/>
        <v/>
      </c>
      <c r="S243" t="str">
        <f t="shared" si="34"/>
        <v/>
      </c>
      <c r="T243" t="str">
        <f t="shared" si="35"/>
        <v/>
      </c>
      <c r="U243" t="str">
        <f t="shared" si="36"/>
        <v/>
      </c>
      <c r="V243" t="str">
        <f t="shared" si="37"/>
        <v/>
      </c>
      <c r="W243" t="str">
        <f t="shared" si="38"/>
        <v/>
      </c>
      <c r="X243">
        <f>IF($T243="",N($X242),IF(MATCH($T243,$T$6:$T$10005,0)=ROW()-5,N($X242)+1,N($X242)))</f>
        <v>0</v>
      </c>
      <c r="Z243" t="str">
        <f t="shared" si="39"/>
        <v/>
      </c>
      <c r="AA243">
        <f>IF($V243="",N($AA242),IF(MATCH($V243,$V$6:$V$10005,0)=ROW()-5,N($AA242)+1,N($AA242)))</f>
        <v>0</v>
      </c>
    </row>
    <row r="244" spans="1:27" ht="21" customHeight="1" x14ac:dyDescent="0.95">
      <c r="A244" s="56"/>
      <c r="B244" s="57"/>
      <c r="C244" s="57"/>
      <c r="D244" s="57"/>
      <c r="E244" s="56"/>
      <c r="F244" s="57"/>
      <c r="G244" s="57"/>
      <c r="H244" s="56"/>
      <c r="I244" s="56"/>
      <c r="J244" s="58"/>
      <c r="K244" s="58"/>
      <c r="L244" s="13" t="str">
        <f t="shared" si="30"/>
        <v/>
      </c>
      <c r="M244" s="13" t="str">
        <f t="shared" si="31"/>
        <v/>
      </c>
      <c r="Q244" t="str">
        <f t="shared" si="32"/>
        <v/>
      </c>
      <c r="R244" t="str">
        <f t="shared" si="33"/>
        <v/>
      </c>
      <c r="S244" t="str">
        <f t="shared" si="34"/>
        <v/>
      </c>
      <c r="T244" t="str">
        <f t="shared" si="35"/>
        <v/>
      </c>
      <c r="U244" t="str">
        <f t="shared" si="36"/>
        <v/>
      </c>
      <c r="V244" t="str">
        <f t="shared" si="37"/>
        <v/>
      </c>
      <c r="W244" t="str">
        <f t="shared" si="38"/>
        <v/>
      </c>
      <c r="X244">
        <f>IF($T244="",N($X243),IF(MATCH($T244,$T$6:$T$10005,0)=ROW()-5,N($X243)+1,N($X243)))</f>
        <v>0</v>
      </c>
      <c r="Z244" t="str">
        <f t="shared" si="39"/>
        <v/>
      </c>
      <c r="AA244">
        <f>IF($V244="",N($AA243),IF(MATCH($V244,$V$6:$V$10005,0)=ROW()-5,N($AA243)+1,N($AA243)))</f>
        <v>0</v>
      </c>
    </row>
    <row r="245" spans="1:27" ht="21" customHeight="1" x14ac:dyDescent="0.95">
      <c r="A245" s="56"/>
      <c r="B245" s="57"/>
      <c r="C245" s="57"/>
      <c r="D245" s="57"/>
      <c r="E245" s="56"/>
      <c r="F245" s="57"/>
      <c r="G245" s="57"/>
      <c r="H245" s="56"/>
      <c r="I245" s="56"/>
      <c r="J245" s="58"/>
      <c r="K245" s="58"/>
      <c r="L245" s="13" t="str">
        <f t="shared" si="30"/>
        <v/>
      </c>
      <c r="M245" s="13" t="str">
        <f t="shared" si="31"/>
        <v/>
      </c>
      <c r="Q245" t="str">
        <f t="shared" si="32"/>
        <v/>
      </c>
      <c r="R245" t="str">
        <f t="shared" si="33"/>
        <v/>
      </c>
      <c r="S245" t="str">
        <f t="shared" si="34"/>
        <v/>
      </c>
      <c r="T245" t="str">
        <f t="shared" si="35"/>
        <v/>
      </c>
      <c r="U245" t="str">
        <f t="shared" si="36"/>
        <v/>
      </c>
      <c r="V245" t="str">
        <f t="shared" si="37"/>
        <v/>
      </c>
      <c r="W245" t="str">
        <f t="shared" si="38"/>
        <v/>
      </c>
      <c r="X245">
        <f>IF($T245="",N($X244),IF(MATCH($T245,$T$6:$T$10005,0)=ROW()-5,N($X244)+1,N($X244)))</f>
        <v>0</v>
      </c>
      <c r="Z245" t="str">
        <f t="shared" si="39"/>
        <v/>
      </c>
      <c r="AA245">
        <f>IF($V245="",N($AA244),IF(MATCH($V245,$V$6:$V$10005,0)=ROW()-5,N($AA244)+1,N($AA244)))</f>
        <v>0</v>
      </c>
    </row>
    <row r="246" spans="1:27" ht="21" customHeight="1" x14ac:dyDescent="0.95">
      <c r="A246" s="56"/>
      <c r="B246" s="57"/>
      <c r="C246" s="57"/>
      <c r="D246" s="57"/>
      <c r="E246" s="56"/>
      <c r="F246" s="57"/>
      <c r="G246" s="57"/>
      <c r="H246" s="56"/>
      <c r="I246" s="56"/>
      <c r="J246" s="58"/>
      <c r="K246" s="58"/>
      <c r="L246" s="13" t="str">
        <f t="shared" si="30"/>
        <v/>
      </c>
      <c r="M246" s="13" t="str">
        <f t="shared" si="31"/>
        <v/>
      </c>
      <c r="Q246" t="str">
        <f t="shared" si="32"/>
        <v/>
      </c>
      <c r="R246" t="str">
        <f t="shared" si="33"/>
        <v/>
      </c>
      <c r="S246" t="str">
        <f t="shared" si="34"/>
        <v/>
      </c>
      <c r="T246" t="str">
        <f t="shared" si="35"/>
        <v/>
      </c>
      <c r="U246" t="str">
        <f t="shared" si="36"/>
        <v/>
      </c>
      <c r="V246" t="str">
        <f t="shared" si="37"/>
        <v/>
      </c>
      <c r="W246" t="str">
        <f t="shared" si="38"/>
        <v/>
      </c>
      <c r="X246">
        <f>IF($T246="",N($X245),IF(MATCH($T246,$T$6:$T$10005,0)=ROW()-5,N($X245)+1,N($X245)))</f>
        <v>0</v>
      </c>
      <c r="Z246" t="str">
        <f t="shared" si="39"/>
        <v/>
      </c>
      <c r="AA246">
        <f>IF($V246="",N($AA245),IF(MATCH($V246,$V$6:$V$10005,0)=ROW()-5,N($AA245)+1,N($AA245)))</f>
        <v>0</v>
      </c>
    </row>
    <row r="247" spans="1:27" ht="21" customHeight="1" x14ac:dyDescent="0.95">
      <c r="A247" s="56"/>
      <c r="B247" s="57"/>
      <c r="C247" s="57"/>
      <c r="D247" s="57"/>
      <c r="E247" s="56"/>
      <c r="F247" s="57"/>
      <c r="G247" s="57"/>
      <c r="H247" s="56"/>
      <c r="I247" s="56"/>
      <c r="J247" s="58"/>
      <c r="K247" s="58"/>
      <c r="L247" s="13" t="str">
        <f t="shared" si="30"/>
        <v/>
      </c>
      <c r="M247" s="13" t="str">
        <f t="shared" si="31"/>
        <v/>
      </c>
      <c r="Q247" t="str">
        <f t="shared" si="32"/>
        <v/>
      </c>
      <c r="R247" t="str">
        <f t="shared" si="33"/>
        <v/>
      </c>
      <c r="S247" t="str">
        <f t="shared" si="34"/>
        <v/>
      </c>
      <c r="T247" t="str">
        <f t="shared" si="35"/>
        <v/>
      </c>
      <c r="U247" t="str">
        <f t="shared" si="36"/>
        <v/>
      </c>
      <c r="V247" t="str">
        <f t="shared" si="37"/>
        <v/>
      </c>
      <c r="W247" t="str">
        <f t="shared" si="38"/>
        <v/>
      </c>
      <c r="X247">
        <f>IF($T247="",N($X246),IF(MATCH($T247,$T$6:$T$10005,0)=ROW()-5,N($X246)+1,N($X246)))</f>
        <v>0</v>
      </c>
      <c r="Z247" t="str">
        <f t="shared" si="39"/>
        <v/>
      </c>
      <c r="AA247">
        <f>IF($V247="",N($AA246),IF(MATCH($V247,$V$6:$V$10005,0)=ROW()-5,N($AA246)+1,N($AA246)))</f>
        <v>0</v>
      </c>
    </row>
    <row r="248" spans="1:27" ht="21" customHeight="1" x14ac:dyDescent="0.95">
      <c r="A248" s="56"/>
      <c r="B248" s="57"/>
      <c r="C248" s="57"/>
      <c r="D248" s="57"/>
      <c r="E248" s="56"/>
      <c r="F248" s="57"/>
      <c r="G248" s="57"/>
      <c r="H248" s="56"/>
      <c r="I248" s="56"/>
      <c r="J248" s="58"/>
      <c r="K248" s="58"/>
      <c r="L248" s="13" t="str">
        <f t="shared" si="30"/>
        <v/>
      </c>
      <c r="M248" s="13" t="str">
        <f t="shared" si="31"/>
        <v/>
      </c>
      <c r="Q248" t="str">
        <f t="shared" si="32"/>
        <v/>
      </c>
      <c r="R248" t="str">
        <f t="shared" si="33"/>
        <v/>
      </c>
      <c r="S248" t="str">
        <f t="shared" si="34"/>
        <v/>
      </c>
      <c r="T248" t="str">
        <f t="shared" si="35"/>
        <v/>
      </c>
      <c r="U248" t="str">
        <f t="shared" si="36"/>
        <v/>
      </c>
      <c r="V248" t="str">
        <f t="shared" si="37"/>
        <v/>
      </c>
      <c r="W248" t="str">
        <f t="shared" si="38"/>
        <v/>
      </c>
      <c r="X248">
        <f>IF($T248="",N($X247),IF(MATCH($T248,$T$6:$T$10005,0)=ROW()-5,N($X247)+1,N($X247)))</f>
        <v>0</v>
      </c>
      <c r="Z248" t="str">
        <f t="shared" si="39"/>
        <v/>
      </c>
      <c r="AA248">
        <f>IF($V248="",N($AA247),IF(MATCH($V248,$V$6:$V$10005,0)=ROW()-5,N($AA247)+1,N($AA247)))</f>
        <v>0</v>
      </c>
    </row>
    <row r="249" spans="1:27" ht="21" customHeight="1" x14ac:dyDescent="0.95">
      <c r="A249" s="56"/>
      <c r="B249" s="57"/>
      <c r="C249" s="57"/>
      <c r="D249" s="57"/>
      <c r="E249" s="56"/>
      <c r="F249" s="57"/>
      <c r="G249" s="57"/>
      <c r="H249" s="56"/>
      <c r="I249" s="56"/>
      <c r="J249" s="58"/>
      <c r="K249" s="58"/>
      <c r="L249" s="13" t="str">
        <f t="shared" si="30"/>
        <v/>
      </c>
      <c r="M249" s="13" t="str">
        <f t="shared" si="31"/>
        <v/>
      </c>
      <c r="Q249" t="str">
        <f t="shared" si="32"/>
        <v/>
      </c>
      <c r="R249" t="str">
        <f t="shared" si="33"/>
        <v/>
      </c>
      <c r="S249" t="str">
        <f t="shared" si="34"/>
        <v/>
      </c>
      <c r="T249" t="str">
        <f t="shared" si="35"/>
        <v/>
      </c>
      <c r="U249" t="str">
        <f t="shared" si="36"/>
        <v/>
      </c>
      <c r="V249" t="str">
        <f t="shared" si="37"/>
        <v/>
      </c>
      <c r="W249" t="str">
        <f t="shared" si="38"/>
        <v/>
      </c>
      <c r="X249">
        <f>IF($T249="",N($X248),IF(MATCH($T249,$T$6:$T$10005,0)=ROW()-5,N($X248)+1,N($X248)))</f>
        <v>0</v>
      </c>
      <c r="Z249" t="str">
        <f t="shared" si="39"/>
        <v/>
      </c>
      <c r="AA249">
        <f>IF($V249="",N($AA248),IF(MATCH($V249,$V$6:$V$10005,0)=ROW()-5,N($AA248)+1,N($AA248)))</f>
        <v>0</v>
      </c>
    </row>
    <row r="250" spans="1:27" ht="21" customHeight="1" x14ac:dyDescent="0.95">
      <c r="A250" s="56"/>
      <c r="B250" s="57"/>
      <c r="C250" s="57"/>
      <c r="D250" s="57"/>
      <c r="E250" s="56"/>
      <c r="F250" s="57"/>
      <c r="G250" s="57"/>
      <c r="H250" s="56"/>
      <c r="I250" s="56"/>
      <c r="J250" s="58"/>
      <c r="K250" s="58"/>
      <c r="L250" s="13" t="str">
        <f t="shared" si="30"/>
        <v/>
      </c>
      <c r="M250" s="13" t="str">
        <f t="shared" si="31"/>
        <v/>
      </c>
      <c r="Q250" t="str">
        <f t="shared" si="32"/>
        <v/>
      </c>
      <c r="R250" t="str">
        <f t="shared" si="33"/>
        <v/>
      </c>
      <c r="S250" t="str">
        <f t="shared" si="34"/>
        <v/>
      </c>
      <c r="T250" t="str">
        <f t="shared" si="35"/>
        <v/>
      </c>
      <c r="U250" t="str">
        <f t="shared" si="36"/>
        <v/>
      </c>
      <c r="V250" t="str">
        <f t="shared" si="37"/>
        <v/>
      </c>
      <c r="W250" t="str">
        <f t="shared" si="38"/>
        <v/>
      </c>
      <c r="X250">
        <f>IF($T250="",N($X249),IF(MATCH($T250,$T$6:$T$10005,0)=ROW()-5,N($X249)+1,N($X249)))</f>
        <v>0</v>
      </c>
      <c r="Z250" t="str">
        <f t="shared" si="39"/>
        <v/>
      </c>
      <c r="AA250">
        <f>IF($V250="",N($AA249),IF(MATCH($V250,$V$6:$V$10005,0)=ROW()-5,N($AA249)+1,N($AA249)))</f>
        <v>0</v>
      </c>
    </row>
    <row r="251" spans="1:27" ht="21" customHeight="1" x14ac:dyDescent="0.95">
      <c r="A251" s="56"/>
      <c r="B251" s="57"/>
      <c r="C251" s="57"/>
      <c r="D251" s="57"/>
      <c r="E251" s="56"/>
      <c r="F251" s="57"/>
      <c r="G251" s="57"/>
      <c r="H251" s="56"/>
      <c r="I251" s="56"/>
      <c r="J251" s="58"/>
      <c r="K251" s="58"/>
      <c r="L251" s="13" t="str">
        <f t="shared" si="30"/>
        <v/>
      </c>
      <c r="M251" s="13" t="str">
        <f t="shared" si="31"/>
        <v/>
      </c>
      <c r="Q251" t="str">
        <f t="shared" si="32"/>
        <v/>
      </c>
      <c r="R251" t="str">
        <f t="shared" si="33"/>
        <v/>
      </c>
      <c r="S251" t="str">
        <f t="shared" si="34"/>
        <v/>
      </c>
      <c r="T251" t="str">
        <f t="shared" si="35"/>
        <v/>
      </c>
      <c r="U251" t="str">
        <f t="shared" si="36"/>
        <v/>
      </c>
      <c r="V251" t="str">
        <f t="shared" si="37"/>
        <v/>
      </c>
      <c r="W251" t="str">
        <f t="shared" si="38"/>
        <v/>
      </c>
      <c r="X251">
        <f>IF($T251="",N($X250),IF(MATCH($T251,$T$6:$T$10005,0)=ROW()-5,N($X250)+1,N($X250)))</f>
        <v>0</v>
      </c>
      <c r="Z251" t="str">
        <f t="shared" si="39"/>
        <v/>
      </c>
      <c r="AA251">
        <f>IF($V251="",N($AA250),IF(MATCH($V251,$V$6:$V$10005,0)=ROW()-5,N($AA250)+1,N($AA250)))</f>
        <v>0</v>
      </c>
    </row>
    <row r="252" spans="1:27" ht="21" customHeight="1" x14ac:dyDescent="0.95">
      <c r="A252" s="56"/>
      <c r="B252" s="57"/>
      <c r="C252" s="57"/>
      <c r="D252" s="57"/>
      <c r="E252" s="56"/>
      <c r="F252" s="57"/>
      <c r="G252" s="57"/>
      <c r="H252" s="56"/>
      <c r="I252" s="56"/>
      <c r="J252" s="58"/>
      <c r="K252" s="58"/>
      <c r="L252" s="13" t="str">
        <f t="shared" si="30"/>
        <v/>
      </c>
      <c r="M252" s="13" t="str">
        <f t="shared" si="31"/>
        <v/>
      </c>
      <c r="Q252" t="str">
        <f t="shared" si="32"/>
        <v/>
      </c>
      <c r="R252" t="str">
        <f t="shared" si="33"/>
        <v/>
      </c>
      <c r="S252" t="str">
        <f t="shared" si="34"/>
        <v/>
      </c>
      <c r="T252" t="str">
        <f t="shared" si="35"/>
        <v/>
      </c>
      <c r="U252" t="str">
        <f t="shared" si="36"/>
        <v/>
      </c>
      <c r="V252" t="str">
        <f t="shared" si="37"/>
        <v/>
      </c>
      <c r="W252" t="str">
        <f t="shared" si="38"/>
        <v/>
      </c>
      <c r="X252">
        <f>IF($T252="",N($X251),IF(MATCH($T252,$T$6:$T$10005,0)=ROW()-5,N($X251)+1,N($X251)))</f>
        <v>0</v>
      </c>
      <c r="Z252" t="str">
        <f t="shared" si="39"/>
        <v/>
      </c>
      <c r="AA252">
        <f>IF($V252="",N($AA251),IF(MATCH($V252,$V$6:$V$10005,0)=ROW()-5,N($AA251)+1,N($AA251)))</f>
        <v>0</v>
      </c>
    </row>
    <row r="253" spans="1:27" ht="21" customHeight="1" x14ac:dyDescent="0.95">
      <c r="A253" s="56"/>
      <c r="B253" s="57"/>
      <c r="C253" s="57"/>
      <c r="D253" s="57"/>
      <c r="E253" s="56"/>
      <c r="F253" s="57"/>
      <c r="G253" s="57"/>
      <c r="H253" s="56"/>
      <c r="I253" s="56"/>
      <c r="J253" s="58"/>
      <c r="K253" s="58"/>
      <c r="L253" s="13" t="str">
        <f t="shared" si="30"/>
        <v/>
      </c>
      <c r="M253" s="13" t="str">
        <f t="shared" si="31"/>
        <v/>
      </c>
      <c r="Q253" t="str">
        <f t="shared" si="32"/>
        <v/>
      </c>
      <c r="R253" t="str">
        <f t="shared" si="33"/>
        <v/>
      </c>
      <c r="S253" t="str">
        <f t="shared" si="34"/>
        <v/>
      </c>
      <c r="T253" t="str">
        <f t="shared" si="35"/>
        <v/>
      </c>
      <c r="U253" t="str">
        <f t="shared" si="36"/>
        <v/>
      </c>
      <c r="V253" t="str">
        <f t="shared" si="37"/>
        <v/>
      </c>
      <c r="W253" t="str">
        <f t="shared" si="38"/>
        <v/>
      </c>
      <c r="X253">
        <f>IF($T253="",N($X252),IF(MATCH($T253,$T$6:$T$10005,0)=ROW()-5,N($X252)+1,N($X252)))</f>
        <v>0</v>
      </c>
      <c r="Z253" t="str">
        <f t="shared" si="39"/>
        <v/>
      </c>
      <c r="AA253">
        <f>IF($V253="",N($AA252),IF(MATCH($V253,$V$6:$V$10005,0)=ROW()-5,N($AA252)+1,N($AA252)))</f>
        <v>0</v>
      </c>
    </row>
    <row r="254" spans="1:27" ht="21" customHeight="1" x14ac:dyDescent="0.95">
      <c r="A254" s="56"/>
      <c r="B254" s="57"/>
      <c r="C254" s="57"/>
      <c r="D254" s="57"/>
      <c r="E254" s="56"/>
      <c r="F254" s="57"/>
      <c r="G254" s="57"/>
      <c r="H254" s="56"/>
      <c r="I254" s="56"/>
      <c r="J254" s="58"/>
      <c r="K254" s="58"/>
      <c r="L254" s="13" t="str">
        <f t="shared" si="30"/>
        <v/>
      </c>
      <c r="M254" s="13" t="str">
        <f t="shared" si="31"/>
        <v/>
      </c>
      <c r="Q254" t="str">
        <f t="shared" si="32"/>
        <v/>
      </c>
      <c r="R254" t="str">
        <f t="shared" si="33"/>
        <v/>
      </c>
      <c r="S254" t="str">
        <f t="shared" si="34"/>
        <v/>
      </c>
      <c r="T254" t="str">
        <f t="shared" si="35"/>
        <v/>
      </c>
      <c r="U254" t="str">
        <f t="shared" si="36"/>
        <v/>
      </c>
      <c r="V254" t="str">
        <f t="shared" si="37"/>
        <v/>
      </c>
      <c r="W254" t="str">
        <f t="shared" si="38"/>
        <v/>
      </c>
      <c r="X254">
        <f>IF($T254="",N($X253),IF(MATCH($T254,$T$6:$T$10005,0)=ROW()-5,N($X253)+1,N($X253)))</f>
        <v>0</v>
      </c>
      <c r="Z254" t="str">
        <f t="shared" si="39"/>
        <v/>
      </c>
      <c r="AA254">
        <f>IF($V254="",N($AA253),IF(MATCH($V254,$V$6:$V$10005,0)=ROW()-5,N($AA253)+1,N($AA253)))</f>
        <v>0</v>
      </c>
    </row>
    <row r="255" spans="1:27" ht="21" customHeight="1" x14ac:dyDescent="0.95">
      <c r="A255" s="56"/>
      <c r="B255" s="57"/>
      <c r="C255" s="57"/>
      <c r="D255" s="57"/>
      <c r="E255" s="56"/>
      <c r="F255" s="57"/>
      <c r="G255" s="57"/>
      <c r="H255" s="56"/>
      <c r="I255" s="56"/>
      <c r="J255" s="58"/>
      <c r="K255" s="58"/>
      <c r="L255" s="13" t="str">
        <f t="shared" si="30"/>
        <v/>
      </c>
      <c r="M255" s="13" t="str">
        <f t="shared" si="31"/>
        <v/>
      </c>
      <c r="Q255" t="str">
        <f t="shared" si="32"/>
        <v/>
      </c>
      <c r="R255" t="str">
        <f t="shared" si="33"/>
        <v/>
      </c>
      <c r="S255" t="str">
        <f t="shared" si="34"/>
        <v/>
      </c>
      <c r="T255" t="str">
        <f t="shared" si="35"/>
        <v/>
      </c>
      <c r="U255" t="str">
        <f t="shared" si="36"/>
        <v/>
      </c>
      <c r="V255" t="str">
        <f t="shared" si="37"/>
        <v/>
      </c>
      <c r="W255" t="str">
        <f t="shared" si="38"/>
        <v/>
      </c>
      <c r="X255">
        <f>IF($T255="",N($X254),IF(MATCH($T255,$T$6:$T$10005,0)=ROW()-5,N($X254)+1,N($X254)))</f>
        <v>0</v>
      </c>
      <c r="Z255" t="str">
        <f t="shared" si="39"/>
        <v/>
      </c>
      <c r="AA255">
        <f>IF($V255="",N($AA254),IF(MATCH($V255,$V$6:$V$10005,0)=ROW()-5,N($AA254)+1,N($AA254)))</f>
        <v>0</v>
      </c>
    </row>
    <row r="256" spans="1:27" ht="21" customHeight="1" x14ac:dyDescent="0.95">
      <c r="A256" s="56"/>
      <c r="B256" s="57"/>
      <c r="C256" s="57"/>
      <c r="D256" s="57"/>
      <c r="E256" s="56"/>
      <c r="F256" s="57"/>
      <c r="G256" s="57"/>
      <c r="H256" s="56"/>
      <c r="I256" s="56"/>
      <c r="J256" s="58"/>
      <c r="K256" s="58"/>
      <c r="L256" s="13" t="str">
        <f t="shared" si="30"/>
        <v/>
      </c>
      <c r="M256" s="13" t="str">
        <f t="shared" si="31"/>
        <v/>
      </c>
      <c r="Q256" t="str">
        <f t="shared" si="32"/>
        <v/>
      </c>
      <c r="R256" t="str">
        <f t="shared" si="33"/>
        <v/>
      </c>
      <c r="S256" t="str">
        <f t="shared" si="34"/>
        <v/>
      </c>
      <c r="T256" t="str">
        <f t="shared" si="35"/>
        <v/>
      </c>
      <c r="U256" t="str">
        <f t="shared" si="36"/>
        <v/>
      </c>
      <c r="V256" t="str">
        <f t="shared" si="37"/>
        <v/>
      </c>
      <c r="W256" t="str">
        <f t="shared" si="38"/>
        <v/>
      </c>
      <c r="X256">
        <f>IF($T256="",N($X255),IF(MATCH($T256,$T$6:$T$10005,0)=ROW()-5,N($X255)+1,N($X255)))</f>
        <v>0</v>
      </c>
      <c r="Z256" t="str">
        <f t="shared" si="39"/>
        <v/>
      </c>
      <c r="AA256">
        <f>IF($V256="",N($AA255),IF(MATCH($V256,$V$6:$V$10005,0)=ROW()-5,N($AA255)+1,N($AA255)))</f>
        <v>0</v>
      </c>
    </row>
    <row r="257" spans="1:27" ht="21" customHeight="1" x14ac:dyDescent="0.95">
      <c r="A257" s="56"/>
      <c r="B257" s="57"/>
      <c r="C257" s="57"/>
      <c r="D257" s="57"/>
      <c r="E257" s="56"/>
      <c r="F257" s="57"/>
      <c r="G257" s="57"/>
      <c r="H257" s="56"/>
      <c r="I257" s="56"/>
      <c r="J257" s="58"/>
      <c r="K257" s="58"/>
      <c r="L257" s="13" t="str">
        <f t="shared" si="30"/>
        <v/>
      </c>
      <c r="M257" s="13" t="str">
        <f t="shared" si="31"/>
        <v/>
      </c>
      <c r="Q257" t="str">
        <f t="shared" si="32"/>
        <v/>
      </c>
      <c r="R257" t="str">
        <f t="shared" si="33"/>
        <v/>
      </c>
      <c r="S257" t="str">
        <f t="shared" si="34"/>
        <v/>
      </c>
      <c r="T257" t="str">
        <f t="shared" si="35"/>
        <v/>
      </c>
      <c r="U257" t="str">
        <f t="shared" si="36"/>
        <v/>
      </c>
      <c r="V257" t="str">
        <f t="shared" si="37"/>
        <v/>
      </c>
      <c r="W257" t="str">
        <f t="shared" si="38"/>
        <v/>
      </c>
      <c r="X257">
        <f>IF($T257="",N($X256),IF(MATCH($T257,$T$6:$T$10005,0)=ROW()-5,N($X256)+1,N($X256)))</f>
        <v>0</v>
      </c>
      <c r="Z257" t="str">
        <f t="shared" si="39"/>
        <v/>
      </c>
      <c r="AA257">
        <f>IF($V257="",N($AA256),IF(MATCH($V257,$V$6:$V$10005,0)=ROW()-5,N($AA256)+1,N($AA256)))</f>
        <v>0</v>
      </c>
    </row>
    <row r="258" spans="1:27" ht="21" customHeight="1" x14ac:dyDescent="0.95">
      <c r="A258" s="56"/>
      <c r="B258" s="57"/>
      <c r="C258" s="57"/>
      <c r="D258" s="57"/>
      <c r="E258" s="56"/>
      <c r="F258" s="57"/>
      <c r="G258" s="57"/>
      <c r="H258" s="56"/>
      <c r="I258" s="56"/>
      <c r="J258" s="58"/>
      <c r="K258" s="58"/>
      <c r="L258" s="13" t="str">
        <f t="shared" si="30"/>
        <v/>
      </c>
      <c r="M258" s="13" t="str">
        <f t="shared" si="31"/>
        <v/>
      </c>
      <c r="Q258" t="str">
        <f t="shared" si="32"/>
        <v/>
      </c>
      <c r="R258" t="str">
        <f t="shared" si="33"/>
        <v/>
      </c>
      <c r="S258" t="str">
        <f t="shared" si="34"/>
        <v/>
      </c>
      <c r="T258" t="str">
        <f t="shared" si="35"/>
        <v/>
      </c>
      <c r="U258" t="str">
        <f t="shared" si="36"/>
        <v/>
      </c>
      <c r="V258" t="str">
        <f t="shared" si="37"/>
        <v/>
      </c>
      <c r="W258" t="str">
        <f t="shared" si="38"/>
        <v/>
      </c>
      <c r="X258">
        <f>IF($T258="",N($X257),IF(MATCH($T258,$T$6:$T$10005,0)=ROW()-5,N($X257)+1,N($X257)))</f>
        <v>0</v>
      </c>
      <c r="Z258" t="str">
        <f t="shared" si="39"/>
        <v/>
      </c>
      <c r="AA258">
        <f>IF($V258="",N($AA257),IF(MATCH($V258,$V$6:$V$10005,0)=ROW()-5,N($AA257)+1,N($AA257)))</f>
        <v>0</v>
      </c>
    </row>
    <row r="259" spans="1:27" ht="21" customHeight="1" x14ac:dyDescent="0.95">
      <c r="A259" s="56"/>
      <c r="B259" s="57"/>
      <c r="C259" s="57"/>
      <c r="D259" s="57"/>
      <c r="E259" s="56"/>
      <c r="F259" s="57"/>
      <c r="G259" s="57"/>
      <c r="H259" s="56"/>
      <c r="I259" s="56"/>
      <c r="J259" s="58"/>
      <c r="K259" s="58"/>
      <c r="L259" s="13" t="str">
        <f t="shared" si="30"/>
        <v/>
      </c>
      <c r="M259" s="13" t="str">
        <f t="shared" si="31"/>
        <v/>
      </c>
      <c r="Q259" t="str">
        <f t="shared" si="32"/>
        <v/>
      </c>
      <c r="R259" t="str">
        <f t="shared" si="33"/>
        <v/>
      </c>
      <c r="S259" t="str">
        <f t="shared" si="34"/>
        <v/>
      </c>
      <c r="T259" t="str">
        <f t="shared" si="35"/>
        <v/>
      </c>
      <c r="U259" t="str">
        <f t="shared" si="36"/>
        <v/>
      </c>
      <c r="V259" t="str">
        <f t="shared" si="37"/>
        <v/>
      </c>
      <c r="W259" t="str">
        <f t="shared" si="38"/>
        <v/>
      </c>
      <c r="X259">
        <f>IF($T259="",N($X258),IF(MATCH($T259,$T$6:$T$10005,0)=ROW()-5,N($X258)+1,N($X258)))</f>
        <v>0</v>
      </c>
      <c r="Z259" t="str">
        <f t="shared" si="39"/>
        <v/>
      </c>
      <c r="AA259">
        <f>IF($V259="",N($AA258),IF(MATCH($V259,$V$6:$V$10005,0)=ROW()-5,N($AA258)+1,N($AA258)))</f>
        <v>0</v>
      </c>
    </row>
    <row r="260" spans="1:27" ht="21" customHeight="1" x14ac:dyDescent="0.95">
      <c r="A260" s="56"/>
      <c r="B260" s="57"/>
      <c r="C260" s="57"/>
      <c r="D260" s="57"/>
      <c r="E260" s="56"/>
      <c r="F260" s="57"/>
      <c r="G260" s="57"/>
      <c r="H260" s="56"/>
      <c r="I260" s="56"/>
      <c r="J260" s="58"/>
      <c r="K260" s="58"/>
      <c r="L260" s="13" t="str">
        <f t="shared" si="30"/>
        <v/>
      </c>
      <c r="M260" s="13" t="str">
        <f t="shared" si="31"/>
        <v/>
      </c>
      <c r="Q260" t="str">
        <f t="shared" si="32"/>
        <v/>
      </c>
      <c r="R260" t="str">
        <f t="shared" si="33"/>
        <v/>
      </c>
      <c r="S260" t="str">
        <f t="shared" si="34"/>
        <v/>
      </c>
      <c r="T260" t="str">
        <f t="shared" si="35"/>
        <v/>
      </c>
      <c r="U260" t="str">
        <f t="shared" si="36"/>
        <v/>
      </c>
      <c r="V260" t="str">
        <f t="shared" si="37"/>
        <v/>
      </c>
      <c r="W260" t="str">
        <f t="shared" si="38"/>
        <v/>
      </c>
      <c r="X260">
        <f>IF($T260="",N($X259),IF(MATCH($T260,$T$6:$T$10005,0)=ROW()-5,N($X259)+1,N($X259)))</f>
        <v>0</v>
      </c>
      <c r="Z260" t="str">
        <f t="shared" si="39"/>
        <v/>
      </c>
      <c r="AA260">
        <f>IF($V260="",N($AA259),IF(MATCH($V260,$V$6:$V$10005,0)=ROW()-5,N($AA259)+1,N($AA259)))</f>
        <v>0</v>
      </c>
    </row>
    <row r="261" spans="1:27" ht="21" customHeight="1" x14ac:dyDescent="0.95">
      <c r="A261" s="56"/>
      <c r="B261" s="57"/>
      <c r="C261" s="57"/>
      <c r="D261" s="57"/>
      <c r="E261" s="56"/>
      <c r="F261" s="57"/>
      <c r="G261" s="57"/>
      <c r="H261" s="56"/>
      <c r="I261" s="56"/>
      <c r="J261" s="58"/>
      <c r="K261" s="58"/>
      <c r="L261" s="13" t="str">
        <f t="shared" si="30"/>
        <v/>
      </c>
      <c r="M261" s="13" t="str">
        <f t="shared" si="31"/>
        <v/>
      </c>
      <c r="Q261" t="str">
        <f t="shared" si="32"/>
        <v/>
      </c>
      <c r="R261" t="str">
        <f t="shared" si="33"/>
        <v/>
      </c>
      <c r="S261" t="str">
        <f t="shared" si="34"/>
        <v/>
      </c>
      <c r="T261" t="str">
        <f t="shared" si="35"/>
        <v/>
      </c>
      <c r="U261" t="str">
        <f t="shared" si="36"/>
        <v/>
      </c>
      <c r="V261" t="str">
        <f t="shared" si="37"/>
        <v/>
      </c>
      <c r="W261" t="str">
        <f t="shared" si="38"/>
        <v/>
      </c>
      <c r="X261">
        <f>IF($T261="",N($X260),IF(MATCH($T261,$T$6:$T$10005,0)=ROW()-5,N($X260)+1,N($X260)))</f>
        <v>0</v>
      </c>
      <c r="Z261" t="str">
        <f t="shared" si="39"/>
        <v/>
      </c>
      <c r="AA261">
        <f>IF($V261="",N($AA260),IF(MATCH($V261,$V$6:$V$10005,0)=ROW()-5,N($AA260)+1,N($AA260)))</f>
        <v>0</v>
      </c>
    </row>
    <row r="262" spans="1:27" ht="21" customHeight="1" x14ac:dyDescent="0.95">
      <c r="A262" s="56"/>
      <c r="B262" s="57"/>
      <c r="C262" s="57"/>
      <c r="D262" s="57"/>
      <c r="E262" s="56"/>
      <c r="F262" s="57"/>
      <c r="G262" s="57"/>
      <c r="H262" s="56"/>
      <c r="I262" s="56"/>
      <c r="J262" s="58"/>
      <c r="K262" s="58"/>
      <c r="L262" s="13" t="str">
        <f t="shared" ref="L262:L325" si="40">IF(OR($A262="",AND($J262="",$K262="")),"",ROUND(N($J262)-N($K262),2))</f>
        <v/>
      </c>
      <c r="M262" s="13" t="str">
        <f t="shared" ref="M262:M325" si="41">IF(OR($A262="",AND($J262="",$K262="")),"",MIN($J262,$K262))</f>
        <v/>
      </c>
      <c r="Q262" t="str">
        <f t="shared" ref="Q262:Q325" si="42">IF($A262="","",$D262&amp;"("&amp;SUBSTITUTE($E262," ","")&amp;")")</f>
        <v/>
      </c>
      <c r="R262" t="str">
        <f t="shared" ref="R262:R325" si="43">IF($A262="","",$B262&amp;" - "&amp;$C262)</f>
        <v/>
      </c>
      <c r="S262" t="str">
        <f t="shared" ref="S262:S325" si="44">IF($A262="","",$R262&amp;"|"&amp;$Q262)</f>
        <v/>
      </c>
      <c r="T262" t="str">
        <f t="shared" ref="T262:T325" si="45">IF($A262="","",$S262&amp;"|"&amp;$F262)</f>
        <v/>
      </c>
      <c r="U262" t="str">
        <f t="shared" ref="U262:U325" si="46">IF($A262="","",$R262&amp;"("&amp;$E262&amp;")")</f>
        <v/>
      </c>
      <c r="V262" t="str">
        <f t="shared" ref="V262:V325" si="47">IF($A262="","",$F262&amp;"|"&amp;$U262&amp;"|"&amp;$D262)</f>
        <v/>
      </c>
      <c r="W262" t="str">
        <f t="shared" ref="W262:W325" si="48">IF($T262="","",IF($X262&gt;N($X261),$X262,""))</f>
        <v/>
      </c>
      <c r="X262">
        <f>IF($T262="",N($X261),IF(MATCH($T262,$T$6:$T$10005,0)=ROW()-5,N($X261)+1,N($X261)))</f>
        <v>0</v>
      </c>
      <c r="Z262" t="str">
        <f t="shared" ref="Z262:Z325" si="49">IF($V262="","",IF($AA262&gt;N($AA261),$AA262,""))</f>
        <v/>
      </c>
      <c r="AA262">
        <f>IF($V262="",N($AA261),IF(MATCH($V262,$V$6:$V$10005,0)=ROW()-5,N($AA261)+1,N($AA261)))</f>
        <v>0</v>
      </c>
    </row>
    <row r="263" spans="1:27" ht="21" customHeight="1" x14ac:dyDescent="0.95">
      <c r="A263" s="56"/>
      <c r="B263" s="57"/>
      <c r="C263" s="57"/>
      <c r="D263" s="57"/>
      <c r="E263" s="56"/>
      <c r="F263" s="57"/>
      <c r="G263" s="57"/>
      <c r="H263" s="56"/>
      <c r="I263" s="56"/>
      <c r="J263" s="58"/>
      <c r="K263" s="58"/>
      <c r="L263" s="13" t="str">
        <f t="shared" si="40"/>
        <v/>
      </c>
      <c r="M263" s="13" t="str">
        <f t="shared" si="41"/>
        <v/>
      </c>
      <c r="Q263" t="str">
        <f t="shared" si="42"/>
        <v/>
      </c>
      <c r="R263" t="str">
        <f t="shared" si="43"/>
        <v/>
      </c>
      <c r="S263" t="str">
        <f t="shared" si="44"/>
        <v/>
      </c>
      <c r="T263" t="str">
        <f t="shared" si="45"/>
        <v/>
      </c>
      <c r="U263" t="str">
        <f t="shared" si="46"/>
        <v/>
      </c>
      <c r="V263" t="str">
        <f t="shared" si="47"/>
        <v/>
      </c>
      <c r="W263" t="str">
        <f t="shared" si="48"/>
        <v/>
      </c>
      <c r="X263">
        <f>IF($T263="",N($X262),IF(MATCH($T263,$T$6:$T$10005,0)=ROW()-5,N($X262)+1,N($X262)))</f>
        <v>0</v>
      </c>
      <c r="Z263" t="str">
        <f t="shared" si="49"/>
        <v/>
      </c>
      <c r="AA263">
        <f>IF($V263="",N($AA262),IF(MATCH($V263,$V$6:$V$10005,0)=ROW()-5,N($AA262)+1,N($AA262)))</f>
        <v>0</v>
      </c>
    </row>
    <row r="264" spans="1:27" ht="21" customHeight="1" x14ac:dyDescent="0.95">
      <c r="A264" s="56"/>
      <c r="B264" s="57"/>
      <c r="C264" s="57"/>
      <c r="D264" s="57"/>
      <c r="E264" s="56"/>
      <c r="F264" s="57"/>
      <c r="G264" s="57"/>
      <c r="H264" s="56"/>
      <c r="I264" s="56"/>
      <c r="J264" s="58"/>
      <c r="K264" s="58"/>
      <c r="L264" s="13" t="str">
        <f t="shared" si="40"/>
        <v/>
      </c>
      <c r="M264" s="13" t="str">
        <f t="shared" si="41"/>
        <v/>
      </c>
      <c r="Q264" t="str">
        <f t="shared" si="42"/>
        <v/>
      </c>
      <c r="R264" t="str">
        <f t="shared" si="43"/>
        <v/>
      </c>
      <c r="S264" t="str">
        <f t="shared" si="44"/>
        <v/>
      </c>
      <c r="T264" t="str">
        <f t="shared" si="45"/>
        <v/>
      </c>
      <c r="U264" t="str">
        <f t="shared" si="46"/>
        <v/>
      </c>
      <c r="V264" t="str">
        <f t="shared" si="47"/>
        <v/>
      </c>
      <c r="W264" t="str">
        <f t="shared" si="48"/>
        <v/>
      </c>
      <c r="X264">
        <f>IF($T264="",N($X263),IF(MATCH($T264,$T$6:$T$10005,0)=ROW()-5,N($X263)+1,N($X263)))</f>
        <v>0</v>
      </c>
      <c r="Z264" t="str">
        <f t="shared" si="49"/>
        <v/>
      </c>
      <c r="AA264">
        <f>IF($V264="",N($AA263),IF(MATCH($V264,$V$6:$V$10005,0)=ROW()-5,N($AA263)+1,N($AA263)))</f>
        <v>0</v>
      </c>
    </row>
    <row r="265" spans="1:27" ht="21" customHeight="1" x14ac:dyDescent="0.95">
      <c r="A265" s="56"/>
      <c r="B265" s="57"/>
      <c r="C265" s="57"/>
      <c r="D265" s="57"/>
      <c r="E265" s="56"/>
      <c r="F265" s="57"/>
      <c r="G265" s="57"/>
      <c r="H265" s="56"/>
      <c r="I265" s="56"/>
      <c r="J265" s="58"/>
      <c r="K265" s="58"/>
      <c r="L265" s="13" t="str">
        <f t="shared" si="40"/>
        <v/>
      </c>
      <c r="M265" s="13" t="str">
        <f t="shared" si="41"/>
        <v/>
      </c>
      <c r="Q265" t="str">
        <f t="shared" si="42"/>
        <v/>
      </c>
      <c r="R265" t="str">
        <f t="shared" si="43"/>
        <v/>
      </c>
      <c r="S265" t="str">
        <f t="shared" si="44"/>
        <v/>
      </c>
      <c r="T265" t="str">
        <f t="shared" si="45"/>
        <v/>
      </c>
      <c r="U265" t="str">
        <f t="shared" si="46"/>
        <v/>
      </c>
      <c r="V265" t="str">
        <f t="shared" si="47"/>
        <v/>
      </c>
      <c r="W265" t="str">
        <f t="shared" si="48"/>
        <v/>
      </c>
      <c r="X265">
        <f>IF($T265="",N($X264),IF(MATCH($T265,$T$6:$T$10005,0)=ROW()-5,N($X264)+1,N($X264)))</f>
        <v>0</v>
      </c>
      <c r="Z265" t="str">
        <f t="shared" si="49"/>
        <v/>
      </c>
      <c r="AA265">
        <f>IF($V265="",N($AA264),IF(MATCH($V265,$V$6:$V$10005,0)=ROW()-5,N($AA264)+1,N($AA264)))</f>
        <v>0</v>
      </c>
    </row>
    <row r="266" spans="1:27" ht="21" customHeight="1" x14ac:dyDescent="0.95">
      <c r="A266" s="56"/>
      <c r="B266" s="57"/>
      <c r="C266" s="57"/>
      <c r="D266" s="57"/>
      <c r="E266" s="56"/>
      <c r="F266" s="57"/>
      <c r="G266" s="57"/>
      <c r="H266" s="56"/>
      <c r="I266" s="56"/>
      <c r="J266" s="58"/>
      <c r="K266" s="58"/>
      <c r="L266" s="13" t="str">
        <f t="shared" si="40"/>
        <v/>
      </c>
      <c r="M266" s="13" t="str">
        <f t="shared" si="41"/>
        <v/>
      </c>
      <c r="Q266" t="str">
        <f t="shared" si="42"/>
        <v/>
      </c>
      <c r="R266" t="str">
        <f t="shared" si="43"/>
        <v/>
      </c>
      <c r="S266" t="str">
        <f t="shared" si="44"/>
        <v/>
      </c>
      <c r="T266" t="str">
        <f t="shared" si="45"/>
        <v/>
      </c>
      <c r="U266" t="str">
        <f t="shared" si="46"/>
        <v/>
      </c>
      <c r="V266" t="str">
        <f t="shared" si="47"/>
        <v/>
      </c>
      <c r="W266" t="str">
        <f t="shared" si="48"/>
        <v/>
      </c>
      <c r="X266">
        <f>IF($T266="",N($X265),IF(MATCH($T266,$T$6:$T$10005,0)=ROW()-5,N($X265)+1,N($X265)))</f>
        <v>0</v>
      </c>
      <c r="Z266" t="str">
        <f t="shared" si="49"/>
        <v/>
      </c>
      <c r="AA266">
        <f>IF($V266="",N($AA265),IF(MATCH($V266,$V$6:$V$10005,0)=ROW()-5,N($AA265)+1,N($AA265)))</f>
        <v>0</v>
      </c>
    </row>
    <row r="267" spans="1:27" ht="21" customHeight="1" x14ac:dyDescent="0.95">
      <c r="A267" s="56"/>
      <c r="B267" s="57"/>
      <c r="C267" s="57"/>
      <c r="D267" s="57"/>
      <c r="E267" s="56"/>
      <c r="F267" s="57"/>
      <c r="G267" s="57"/>
      <c r="H267" s="56"/>
      <c r="I267" s="56"/>
      <c r="J267" s="58"/>
      <c r="K267" s="58"/>
      <c r="L267" s="13" t="str">
        <f t="shared" si="40"/>
        <v/>
      </c>
      <c r="M267" s="13" t="str">
        <f t="shared" si="41"/>
        <v/>
      </c>
      <c r="Q267" t="str">
        <f t="shared" si="42"/>
        <v/>
      </c>
      <c r="R267" t="str">
        <f t="shared" si="43"/>
        <v/>
      </c>
      <c r="S267" t="str">
        <f t="shared" si="44"/>
        <v/>
      </c>
      <c r="T267" t="str">
        <f t="shared" si="45"/>
        <v/>
      </c>
      <c r="U267" t="str">
        <f t="shared" si="46"/>
        <v/>
      </c>
      <c r="V267" t="str">
        <f t="shared" si="47"/>
        <v/>
      </c>
      <c r="W267" t="str">
        <f t="shared" si="48"/>
        <v/>
      </c>
      <c r="X267">
        <f>IF($T267="",N($X266),IF(MATCH($T267,$T$6:$T$10005,0)=ROW()-5,N($X266)+1,N($X266)))</f>
        <v>0</v>
      </c>
      <c r="Z267" t="str">
        <f t="shared" si="49"/>
        <v/>
      </c>
      <c r="AA267">
        <f>IF($V267="",N($AA266),IF(MATCH($V267,$V$6:$V$10005,0)=ROW()-5,N($AA266)+1,N($AA266)))</f>
        <v>0</v>
      </c>
    </row>
    <row r="268" spans="1:27" ht="21" customHeight="1" x14ac:dyDescent="0.95">
      <c r="A268" s="56"/>
      <c r="B268" s="57"/>
      <c r="C268" s="57"/>
      <c r="D268" s="57"/>
      <c r="E268" s="56"/>
      <c r="F268" s="57"/>
      <c r="G268" s="57"/>
      <c r="H268" s="56"/>
      <c r="I268" s="56"/>
      <c r="J268" s="58"/>
      <c r="K268" s="58"/>
      <c r="L268" s="13" t="str">
        <f t="shared" si="40"/>
        <v/>
      </c>
      <c r="M268" s="13" t="str">
        <f t="shared" si="41"/>
        <v/>
      </c>
      <c r="Q268" t="str">
        <f t="shared" si="42"/>
        <v/>
      </c>
      <c r="R268" t="str">
        <f t="shared" si="43"/>
        <v/>
      </c>
      <c r="S268" t="str">
        <f t="shared" si="44"/>
        <v/>
      </c>
      <c r="T268" t="str">
        <f t="shared" si="45"/>
        <v/>
      </c>
      <c r="U268" t="str">
        <f t="shared" si="46"/>
        <v/>
      </c>
      <c r="V268" t="str">
        <f t="shared" si="47"/>
        <v/>
      </c>
      <c r="W268" t="str">
        <f t="shared" si="48"/>
        <v/>
      </c>
      <c r="X268">
        <f>IF($T268="",N($X267),IF(MATCH($T268,$T$6:$T$10005,0)=ROW()-5,N($X267)+1,N($X267)))</f>
        <v>0</v>
      </c>
      <c r="Z268" t="str">
        <f t="shared" si="49"/>
        <v/>
      </c>
      <c r="AA268">
        <f>IF($V268="",N($AA267),IF(MATCH($V268,$V$6:$V$10005,0)=ROW()-5,N($AA267)+1,N($AA267)))</f>
        <v>0</v>
      </c>
    </row>
    <row r="269" spans="1:27" ht="21" customHeight="1" x14ac:dyDescent="0.95">
      <c r="A269" s="56"/>
      <c r="B269" s="57"/>
      <c r="C269" s="57"/>
      <c r="D269" s="57"/>
      <c r="E269" s="56"/>
      <c r="F269" s="57"/>
      <c r="G269" s="57"/>
      <c r="H269" s="56"/>
      <c r="I269" s="56"/>
      <c r="J269" s="58"/>
      <c r="K269" s="58"/>
      <c r="L269" s="13" t="str">
        <f t="shared" si="40"/>
        <v/>
      </c>
      <c r="M269" s="13" t="str">
        <f t="shared" si="41"/>
        <v/>
      </c>
      <c r="Q269" t="str">
        <f t="shared" si="42"/>
        <v/>
      </c>
      <c r="R269" t="str">
        <f t="shared" si="43"/>
        <v/>
      </c>
      <c r="S269" t="str">
        <f t="shared" si="44"/>
        <v/>
      </c>
      <c r="T269" t="str">
        <f t="shared" si="45"/>
        <v/>
      </c>
      <c r="U269" t="str">
        <f t="shared" si="46"/>
        <v/>
      </c>
      <c r="V269" t="str">
        <f t="shared" si="47"/>
        <v/>
      </c>
      <c r="W269" t="str">
        <f t="shared" si="48"/>
        <v/>
      </c>
      <c r="X269">
        <f>IF($T269="",N($X268),IF(MATCH($T269,$T$6:$T$10005,0)=ROW()-5,N($X268)+1,N($X268)))</f>
        <v>0</v>
      </c>
      <c r="Z269" t="str">
        <f t="shared" si="49"/>
        <v/>
      </c>
      <c r="AA269">
        <f>IF($V269="",N($AA268),IF(MATCH($V269,$V$6:$V$10005,0)=ROW()-5,N($AA268)+1,N($AA268)))</f>
        <v>0</v>
      </c>
    </row>
    <row r="270" spans="1:27" ht="21" customHeight="1" x14ac:dyDescent="0.95">
      <c r="A270" s="56"/>
      <c r="B270" s="57"/>
      <c r="C270" s="57"/>
      <c r="D270" s="57"/>
      <c r="E270" s="56"/>
      <c r="F270" s="57"/>
      <c r="G270" s="57"/>
      <c r="H270" s="56"/>
      <c r="I270" s="56"/>
      <c r="J270" s="58"/>
      <c r="K270" s="58"/>
      <c r="L270" s="13" t="str">
        <f t="shared" si="40"/>
        <v/>
      </c>
      <c r="M270" s="13" t="str">
        <f t="shared" si="41"/>
        <v/>
      </c>
      <c r="Q270" t="str">
        <f t="shared" si="42"/>
        <v/>
      </c>
      <c r="R270" t="str">
        <f t="shared" si="43"/>
        <v/>
      </c>
      <c r="S270" t="str">
        <f t="shared" si="44"/>
        <v/>
      </c>
      <c r="T270" t="str">
        <f t="shared" si="45"/>
        <v/>
      </c>
      <c r="U270" t="str">
        <f t="shared" si="46"/>
        <v/>
      </c>
      <c r="V270" t="str">
        <f t="shared" si="47"/>
        <v/>
      </c>
      <c r="W270" t="str">
        <f t="shared" si="48"/>
        <v/>
      </c>
      <c r="X270">
        <f>IF($T270="",N($X269),IF(MATCH($T270,$T$6:$T$10005,0)=ROW()-5,N($X269)+1,N($X269)))</f>
        <v>0</v>
      </c>
      <c r="Z270" t="str">
        <f t="shared" si="49"/>
        <v/>
      </c>
      <c r="AA270">
        <f>IF($V270="",N($AA269),IF(MATCH($V270,$V$6:$V$10005,0)=ROW()-5,N($AA269)+1,N($AA269)))</f>
        <v>0</v>
      </c>
    </row>
    <row r="271" spans="1:27" ht="21" customHeight="1" x14ac:dyDescent="0.95">
      <c r="A271" s="56"/>
      <c r="B271" s="57"/>
      <c r="C271" s="57"/>
      <c r="D271" s="57"/>
      <c r="E271" s="56"/>
      <c r="F271" s="57"/>
      <c r="G271" s="57"/>
      <c r="H271" s="56"/>
      <c r="I271" s="56"/>
      <c r="J271" s="58"/>
      <c r="K271" s="58"/>
      <c r="L271" s="13" t="str">
        <f t="shared" si="40"/>
        <v/>
      </c>
      <c r="M271" s="13" t="str">
        <f t="shared" si="41"/>
        <v/>
      </c>
      <c r="Q271" t="str">
        <f t="shared" si="42"/>
        <v/>
      </c>
      <c r="R271" t="str">
        <f t="shared" si="43"/>
        <v/>
      </c>
      <c r="S271" t="str">
        <f t="shared" si="44"/>
        <v/>
      </c>
      <c r="T271" t="str">
        <f t="shared" si="45"/>
        <v/>
      </c>
      <c r="U271" t="str">
        <f t="shared" si="46"/>
        <v/>
      </c>
      <c r="V271" t="str">
        <f t="shared" si="47"/>
        <v/>
      </c>
      <c r="W271" t="str">
        <f t="shared" si="48"/>
        <v/>
      </c>
      <c r="X271">
        <f>IF($T271="",N($X270),IF(MATCH($T271,$T$6:$T$10005,0)=ROW()-5,N($X270)+1,N($X270)))</f>
        <v>0</v>
      </c>
      <c r="Z271" t="str">
        <f t="shared" si="49"/>
        <v/>
      </c>
      <c r="AA271">
        <f>IF($V271="",N($AA270),IF(MATCH($V271,$V$6:$V$10005,0)=ROW()-5,N($AA270)+1,N($AA270)))</f>
        <v>0</v>
      </c>
    </row>
    <row r="272" spans="1:27" ht="21" customHeight="1" x14ac:dyDescent="0.95">
      <c r="A272" s="56"/>
      <c r="B272" s="57"/>
      <c r="C272" s="57"/>
      <c r="D272" s="57"/>
      <c r="E272" s="56"/>
      <c r="F272" s="57"/>
      <c r="G272" s="57"/>
      <c r="H272" s="56"/>
      <c r="I272" s="56"/>
      <c r="J272" s="58"/>
      <c r="K272" s="58"/>
      <c r="L272" s="13" t="str">
        <f t="shared" si="40"/>
        <v/>
      </c>
      <c r="M272" s="13" t="str">
        <f t="shared" si="41"/>
        <v/>
      </c>
      <c r="Q272" t="str">
        <f t="shared" si="42"/>
        <v/>
      </c>
      <c r="R272" t="str">
        <f t="shared" si="43"/>
        <v/>
      </c>
      <c r="S272" t="str">
        <f t="shared" si="44"/>
        <v/>
      </c>
      <c r="T272" t="str">
        <f t="shared" si="45"/>
        <v/>
      </c>
      <c r="U272" t="str">
        <f t="shared" si="46"/>
        <v/>
      </c>
      <c r="V272" t="str">
        <f t="shared" si="47"/>
        <v/>
      </c>
      <c r="W272" t="str">
        <f t="shared" si="48"/>
        <v/>
      </c>
      <c r="X272">
        <f>IF($T272="",N($X271),IF(MATCH($T272,$T$6:$T$10005,0)=ROW()-5,N($X271)+1,N($X271)))</f>
        <v>0</v>
      </c>
      <c r="Z272" t="str">
        <f t="shared" si="49"/>
        <v/>
      </c>
      <c r="AA272">
        <f>IF($V272="",N($AA271),IF(MATCH($V272,$V$6:$V$10005,0)=ROW()-5,N($AA271)+1,N($AA271)))</f>
        <v>0</v>
      </c>
    </row>
    <row r="273" spans="1:27" ht="21" customHeight="1" x14ac:dyDescent="0.95">
      <c r="A273" s="56"/>
      <c r="B273" s="57"/>
      <c r="C273" s="57"/>
      <c r="D273" s="57"/>
      <c r="E273" s="56"/>
      <c r="F273" s="57"/>
      <c r="G273" s="57"/>
      <c r="H273" s="56"/>
      <c r="I273" s="56"/>
      <c r="J273" s="58"/>
      <c r="K273" s="58"/>
      <c r="L273" s="13" t="str">
        <f t="shared" si="40"/>
        <v/>
      </c>
      <c r="M273" s="13" t="str">
        <f t="shared" si="41"/>
        <v/>
      </c>
      <c r="Q273" t="str">
        <f t="shared" si="42"/>
        <v/>
      </c>
      <c r="R273" t="str">
        <f t="shared" si="43"/>
        <v/>
      </c>
      <c r="S273" t="str">
        <f t="shared" si="44"/>
        <v/>
      </c>
      <c r="T273" t="str">
        <f t="shared" si="45"/>
        <v/>
      </c>
      <c r="U273" t="str">
        <f t="shared" si="46"/>
        <v/>
      </c>
      <c r="V273" t="str">
        <f t="shared" si="47"/>
        <v/>
      </c>
      <c r="W273" t="str">
        <f t="shared" si="48"/>
        <v/>
      </c>
      <c r="X273">
        <f>IF($T273="",N($X272),IF(MATCH($T273,$T$6:$T$10005,0)=ROW()-5,N($X272)+1,N($X272)))</f>
        <v>0</v>
      </c>
      <c r="Z273" t="str">
        <f t="shared" si="49"/>
        <v/>
      </c>
      <c r="AA273">
        <f>IF($V273="",N($AA272),IF(MATCH($V273,$V$6:$V$10005,0)=ROW()-5,N($AA272)+1,N($AA272)))</f>
        <v>0</v>
      </c>
    </row>
    <row r="274" spans="1:27" ht="21" customHeight="1" x14ac:dyDescent="0.95">
      <c r="A274" s="56"/>
      <c r="B274" s="57"/>
      <c r="C274" s="57"/>
      <c r="D274" s="57"/>
      <c r="E274" s="56"/>
      <c r="F274" s="57"/>
      <c r="G274" s="57"/>
      <c r="H274" s="56"/>
      <c r="I274" s="56"/>
      <c r="J274" s="58"/>
      <c r="K274" s="58"/>
      <c r="L274" s="13" t="str">
        <f t="shared" si="40"/>
        <v/>
      </c>
      <c r="M274" s="13" t="str">
        <f t="shared" si="41"/>
        <v/>
      </c>
      <c r="Q274" t="str">
        <f t="shared" si="42"/>
        <v/>
      </c>
      <c r="R274" t="str">
        <f t="shared" si="43"/>
        <v/>
      </c>
      <c r="S274" t="str">
        <f t="shared" si="44"/>
        <v/>
      </c>
      <c r="T274" t="str">
        <f t="shared" si="45"/>
        <v/>
      </c>
      <c r="U274" t="str">
        <f t="shared" si="46"/>
        <v/>
      </c>
      <c r="V274" t="str">
        <f t="shared" si="47"/>
        <v/>
      </c>
      <c r="W274" t="str">
        <f t="shared" si="48"/>
        <v/>
      </c>
      <c r="X274">
        <f>IF($T274="",N($X273),IF(MATCH($T274,$T$6:$T$10005,0)=ROW()-5,N($X273)+1,N($X273)))</f>
        <v>0</v>
      </c>
      <c r="Z274" t="str">
        <f t="shared" si="49"/>
        <v/>
      </c>
      <c r="AA274">
        <f>IF($V274="",N($AA273),IF(MATCH($V274,$V$6:$V$10005,0)=ROW()-5,N($AA273)+1,N($AA273)))</f>
        <v>0</v>
      </c>
    </row>
    <row r="275" spans="1:27" ht="21" customHeight="1" x14ac:dyDescent="0.95">
      <c r="A275" s="56"/>
      <c r="B275" s="57"/>
      <c r="C275" s="57"/>
      <c r="D275" s="57"/>
      <c r="E275" s="56"/>
      <c r="F275" s="57"/>
      <c r="G275" s="57"/>
      <c r="H275" s="56"/>
      <c r="I275" s="56"/>
      <c r="J275" s="58"/>
      <c r="K275" s="58"/>
      <c r="L275" s="13" t="str">
        <f t="shared" si="40"/>
        <v/>
      </c>
      <c r="M275" s="13" t="str">
        <f t="shared" si="41"/>
        <v/>
      </c>
      <c r="Q275" t="str">
        <f t="shared" si="42"/>
        <v/>
      </c>
      <c r="R275" t="str">
        <f t="shared" si="43"/>
        <v/>
      </c>
      <c r="S275" t="str">
        <f t="shared" si="44"/>
        <v/>
      </c>
      <c r="T275" t="str">
        <f t="shared" si="45"/>
        <v/>
      </c>
      <c r="U275" t="str">
        <f t="shared" si="46"/>
        <v/>
      </c>
      <c r="V275" t="str">
        <f t="shared" si="47"/>
        <v/>
      </c>
      <c r="W275" t="str">
        <f t="shared" si="48"/>
        <v/>
      </c>
      <c r="X275">
        <f>IF($T275="",N($X274),IF(MATCH($T275,$T$6:$T$10005,0)=ROW()-5,N($X274)+1,N($X274)))</f>
        <v>0</v>
      </c>
      <c r="Z275" t="str">
        <f t="shared" si="49"/>
        <v/>
      </c>
      <c r="AA275">
        <f>IF($V275="",N($AA274),IF(MATCH($V275,$V$6:$V$10005,0)=ROW()-5,N($AA274)+1,N($AA274)))</f>
        <v>0</v>
      </c>
    </row>
    <row r="276" spans="1:27" ht="21" customHeight="1" x14ac:dyDescent="0.95">
      <c r="A276" s="56"/>
      <c r="B276" s="57"/>
      <c r="C276" s="57"/>
      <c r="D276" s="57"/>
      <c r="E276" s="56"/>
      <c r="F276" s="57"/>
      <c r="G276" s="57"/>
      <c r="H276" s="56"/>
      <c r="I276" s="56"/>
      <c r="J276" s="58"/>
      <c r="K276" s="58"/>
      <c r="L276" s="13" t="str">
        <f t="shared" si="40"/>
        <v/>
      </c>
      <c r="M276" s="13" t="str">
        <f t="shared" si="41"/>
        <v/>
      </c>
      <c r="Q276" t="str">
        <f t="shared" si="42"/>
        <v/>
      </c>
      <c r="R276" t="str">
        <f t="shared" si="43"/>
        <v/>
      </c>
      <c r="S276" t="str">
        <f t="shared" si="44"/>
        <v/>
      </c>
      <c r="T276" t="str">
        <f t="shared" si="45"/>
        <v/>
      </c>
      <c r="U276" t="str">
        <f t="shared" si="46"/>
        <v/>
      </c>
      <c r="V276" t="str">
        <f t="shared" si="47"/>
        <v/>
      </c>
      <c r="W276" t="str">
        <f t="shared" si="48"/>
        <v/>
      </c>
      <c r="X276">
        <f>IF($T276="",N($X275),IF(MATCH($T276,$T$6:$T$10005,0)=ROW()-5,N($X275)+1,N($X275)))</f>
        <v>0</v>
      </c>
      <c r="Z276" t="str">
        <f t="shared" si="49"/>
        <v/>
      </c>
      <c r="AA276">
        <f>IF($V276="",N($AA275),IF(MATCH($V276,$V$6:$V$10005,0)=ROW()-5,N($AA275)+1,N($AA275)))</f>
        <v>0</v>
      </c>
    </row>
    <row r="277" spans="1:27" ht="21" customHeight="1" x14ac:dyDescent="0.95">
      <c r="A277" s="56"/>
      <c r="B277" s="57"/>
      <c r="C277" s="57"/>
      <c r="D277" s="57"/>
      <c r="E277" s="56"/>
      <c r="F277" s="57"/>
      <c r="G277" s="57"/>
      <c r="H277" s="56"/>
      <c r="I277" s="56"/>
      <c r="J277" s="58"/>
      <c r="K277" s="58"/>
      <c r="L277" s="13" t="str">
        <f t="shared" si="40"/>
        <v/>
      </c>
      <c r="M277" s="13" t="str">
        <f t="shared" si="41"/>
        <v/>
      </c>
      <c r="Q277" t="str">
        <f t="shared" si="42"/>
        <v/>
      </c>
      <c r="R277" t="str">
        <f t="shared" si="43"/>
        <v/>
      </c>
      <c r="S277" t="str">
        <f t="shared" si="44"/>
        <v/>
      </c>
      <c r="T277" t="str">
        <f t="shared" si="45"/>
        <v/>
      </c>
      <c r="U277" t="str">
        <f t="shared" si="46"/>
        <v/>
      </c>
      <c r="V277" t="str">
        <f t="shared" si="47"/>
        <v/>
      </c>
      <c r="W277" t="str">
        <f t="shared" si="48"/>
        <v/>
      </c>
      <c r="X277">
        <f>IF($T277="",N($X276),IF(MATCH($T277,$T$6:$T$10005,0)=ROW()-5,N($X276)+1,N($X276)))</f>
        <v>0</v>
      </c>
      <c r="Z277" t="str">
        <f t="shared" si="49"/>
        <v/>
      </c>
      <c r="AA277">
        <f>IF($V277="",N($AA276),IF(MATCH($V277,$V$6:$V$10005,0)=ROW()-5,N($AA276)+1,N($AA276)))</f>
        <v>0</v>
      </c>
    </row>
    <row r="278" spans="1:27" ht="21" customHeight="1" x14ac:dyDescent="0.95">
      <c r="A278" s="56"/>
      <c r="B278" s="57"/>
      <c r="C278" s="57"/>
      <c r="D278" s="57"/>
      <c r="E278" s="56"/>
      <c r="F278" s="57"/>
      <c r="G278" s="57"/>
      <c r="H278" s="56"/>
      <c r="I278" s="56"/>
      <c r="J278" s="58"/>
      <c r="K278" s="58"/>
      <c r="L278" s="13" t="str">
        <f t="shared" si="40"/>
        <v/>
      </c>
      <c r="M278" s="13" t="str">
        <f t="shared" si="41"/>
        <v/>
      </c>
      <c r="Q278" t="str">
        <f t="shared" si="42"/>
        <v/>
      </c>
      <c r="R278" t="str">
        <f t="shared" si="43"/>
        <v/>
      </c>
      <c r="S278" t="str">
        <f t="shared" si="44"/>
        <v/>
      </c>
      <c r="T278" t="str">
        <f t="shared" si="45"/>
        <v/>
      </c>
      <c r="U278" t="str">
        <f t="shared" si="46"/>
        <v/>
      </c>
      <c r="V278" t="str">
        <f t="shared" si="47"/>
        <v/>
      </c>
      <c r="W278" t="str">
        <f t="shared" si="48"/>
        <v/>
      </c>
      <c r="X278">
        <f>IF($T278="",N($X277),IF(MATCH($T278,$T$6:$T$10005,0)=ROW()-5,N($X277)+1,N($X277)))</f>
        <v>0</v>
      </c>
      <c r="Z278" t="str">
        <f t="shared" si="49"/>
        <v/>
      </c>
      <c r="AA278">
        <f>IF($V278="",N($AA277),IF(MATCH($V278,$V$6:$V$10005,0)=ROW()-5,N($AA277)+1,N($AA277)))</f>
        <v>0</v>
      </c>
    </row>
    <row r="279" spans="1:27" ht="21" customHeight="1" x14ac:dyDescent="0.95">
      <c r="A279" s="56"/>
      <c r="B279" s="57"/>
      <c r="C279" s="57"/>
      <c r="D279" s="57"/>
      <c r="E279" s="56"/>
      <c r="F279" s="57"/>
      <c r="G279" s="57"/>
      <c r="H279" s="56"/>
      <c r="I279" s="56"/>
      <c r="J279" s="58"/>
      <c r="K279" s="58"/>
      <c r="L279" s="13" t="str">
        <f t="shared" si="40"/>
        <v/>
      </c>
      <c r="M279" s="13" t="str">
        <f t="shared" si="41"/>
        <v/>
      </c>
      <c r="Q279" t="str">
        <f t="shared" si="42"/>
        <v/>
      </c>
      <c r="R279" t="str">
        <f t="shared" si="43"/>
        <v/>
      </c>
      <c r="S279" t="str">
        <f t="shared" si="44"/>
        <v/>
      </c>
      <c r="T279" t="str">
        <f t="shared" si="45"/>
        <v/>
      </c>
      <c r="U279" t="str">
        <f t="shared" si="46"/>
        <v/>
      </c>
      <c r="V279" t="str">
        <f t="shared" si="47"/>
        <v/>
      </c>
      <c r="W279" t="str">
        <f t="shared" si="48"/>
        <v/>
      </c>
      <c r="X279">
        <f>IF($T279="",N($X278),IF(MATCH($T279,$T$6:$T$10005,0)=ROW()-5,N($X278)+1,N($X278)))</f>
        <v>0</v>
      </c>
      <c r="Z279" t="str">
        <f t="shared" si="49"/>
        <v/>
      </c>
      <c r="AA279">
        <f>IF($V279="",N($AA278),IF(MATCH($V279,$V$6:$V$10005,0)=ROW()-5,N($AA278)+1,N($AA278)))</f>
        <v>0</v>
      </c>
    </row>
    <row r="280" spans="1:27" ht="21" customHeight="1" x14ac:dyDescent="0.95">
      <c r="A280" s="56"/>
      <c r="B280" s="57"/>
      <c r="C280" s="57"/>
      <c r="D280" s="57"/>
      <c r="E280" s="56"/>
      <c r="F280" s="57"/>
      <c r="G280" s="57"/>
      <c r="H280" s="56"/>
      <c r="I280" s="56"/>
      <c r="J280" s="58"/>
      <c r="K280" s="58"/>
      <c r="L280" s="13" t="str">
        <f t="shared" si="40"/>
        <v/>
      </c>
      <c r="M280" s="13" t="str">
        <f t="shared" si="41"/>
        <v/>
      </c>
      <c r="Q280" t="str">
        <f t="shared" si="42"/>
        <v/>
      </c>
      <c r="R280" t="str">
        <f t="shared" si="43"/>
        <v/>
      </c>
      <c r="S280" t="str">
        <f t="shared" si="44"/>
        <v/>
      </c>
      <c r="T280" t="str">
        <f t="shared" si="45"/>
        <v/>
      </c>
      <c r="U280" t="str">
        <f t="shared" si="46"/>
        <v/>
      </c>
      <c r="V280" t="str">
        <f t="shared" si="47"/>
        <v/>
      </c>
      <c r="W280" t="str">
        <f t="shared" si="48"/>
        <v/>
      </c>
      <c r="X280">
        <f>IF($T280="",N($X279),IF(MATCH($T280,$T$6:$T$10005,0)=ROW()-5,N($X279)+1,N($X279)))</f>
        <v>0</v>
      </c>
      <c r="Z280" t="str">
        <f t="shared" si="49"/>
        <v/>
      </c>
      <c r="AA280">
        <f>IF($V280="",N($AA279),IF(MATCH($V280,$V$6:$V$10005,0)=ROW()-5,N($AA279)+1,N($AA279)))</f>
        <v>0</v>
      </c>
    </row>
    <row r="281" spans="1:27" ht="21" customHeight="1" x14ac:dyDescent="0.95">
      <c r="A281" s="56"/>
      <c r="B281" s="57"/>
      <c r="C281" s="57"/>
      <c r="D281" s="57"/>
      <c r="E281" s="56"/>
      <c r="F281" s="57"/>
      <c r="G281" s="57"/>
      <c r="H281" s="56"/>
      <c r="I281" s="56"/>
      <c r="J281" s="58"/>
      <c r="K281" s="58"/>
      <c r="L281" s="13" t="str">
        <f t="shared" si="40"/>
        <v/>
      </c>
      <c r="M281" s="13" t="str">
        <f t="shared" si="41"/>
        <v/>
      </c>
      <c r="Q281" t="str">
        <f t="shared" si="42"/>
        <v/>
      </c>
      <c r="R281" t="str">
        <f t="shared" si="43"/>
        <v/>
      </c>
      <c r="S281" t="str">
        <f t="shared" si="44"/>
        <v/>
      </c>
      <c r="T281" t="str">
        <f t="shared" si="45"/>
        <v/>
      </c>
      <c r="U281" t="str">
        <f t="shared" si="46"/>
        <v/>
      </c>
      <c r="V281" t="str">
        <f t="shared" si="47"/>
        <v/>
      </c>
      <c r="W281" t="str">
        <f t="shared" si="48"/>
        <v/>
      </c>
      <c r="X281">
        <f>IF($T281="",N($X280),IF(MATCH($T281,$T$6:$T$10005,0)=ROW()-5,N($X280)+1,N($X280)))</f>
        <v>0</v>
      </c>
      <c r="Z281" t="str">
        <f t="shared" si="49"/>
        <v/>
      </c>
      <c r="AA281">
        <f>IF($V281="",N($AA280),IF(MATCH($V281,$V$6:$V$10005,0)=ROW()-5,N($AA280)+1,N($AA280)))</f>
        <v>0</v>
      </c>
    </row>
    <row r="282" spans="1:27" ht="21" customHeight="1" x14ac:dyDescent="0.95">
      <c r="A282" s="56"/>
      <c r="B282" s="57"/>
      <c r="C282" s="57"/>
      <c r="D282" s="57"/>
      <c r="E282" s="56"/>
      <c r="F282" s="57"/>
      <c r="G282" s="57"/>
      <c r="H282" s="56"/>
      <c r="I282" s="56"/>
      <c r="J282" s="58"/>
      <c r="K282" s="58"/>
      <c r="L282" s="13" t="str">
        <f t="shared" si="40"/>
        <v/>
      </c>
      <c r="M282" s="13" t="str">
        <f t="shared" si="41"/>
        <v/>
      </c>
      <c r="Q282" t="str">
        <f t="shared" si="42"/>
        <v/>
      </c>
      <c r="R282" t="str">
        <f t="shared" si="43"/>
        <v/>
      </c>
      <c r="S282" t="str">
        <f t="shared" si="44"/>
        <v/>
      </c>
      <c r="T282" t="str">
        <f t="shared" si="45"/>
        <v/>
      </c>
      <c r="U282" t="str">
        <f t="shared" si="46"/>
        <v/>
      </c>
      <c r="V282" t="str">
        <f t="shared" si="47"/>
        <v/>
      </c>
      <c r="W282" t="str">
        <f t="shared" si="48"/>
        <v/>
      </c>
      <c r="X282">
        <f>IF($T282="",N($X281),IF(MATCH($T282,$T$6:$T$10005,0)=ROW()-5,N($X281)+1,N($X281)))</f>
        <v>0</v>
      </c>
      <c r="Z282" t="str">
        <f t="shared" si="49"/>
        <v/>
      </c>
      <c r="AA282">
        <f>IF($V282="",N($AA281),IF(MATCH($V282,$V$6:$V$10005,0)=ROW()-5,N($AA281)+1,N($AA281)))</f>
        <v>0</v>
      </c>
    </row>
    <row r="283" spans="1:27" ht="21" customHeight="1" x14ac:dyDescent="0.95">
      <c r="A283" s="56"/>
      <c r="B283" s="57"/>
      <c r="C283" s="57"/>
      <c r="D283" s="57"/>
      <c r="E283" s="56"/>
      <c r="F283" s="57"/>
      <c r="G283" s="57"/>
      <c r="H283" s="56"/>
      <c r="I283" s="56"/>
      <c r="J283" s="58"/>
      <c r="K283" s="58"/>
      <c r="L283" s="13" t="str">
        <f t="shared" si="40"/>
        <v/>
      </c>
      <c r="M283" s="13" t="str">
        <f t="shared" si="41"/>
        <v/>
      </c>
      <c r="Q283" t="str">
        <f t="shared" si="42"/>
        <v/>
      </c>
      <c r="R283" t="str">
        <f t="shared" si="43"/>
        <v/>
      </c>
      <c r="S283" t="str">
        <f t="shared" si="44"/>
        <v/>
      </c>
      <c r="T283" t="str">
        <f t="shared" si="45"/>
        <v/>
      </c>
      <c r="U283" t="str">
        <f t="shared" si="46"/>
        <v/>
      </c>
      <c r="V283" t="str">
        <f t="shared" si="47"/>
        <v/>
      </c>
      <c r="W283" t="str">
        <f t="shared" si="48"/>
        <v/>
      </c>
      <c r="X283">
        <f>IF($T283="",N($X282),IF(MATCH($T283,$T$6:$T$10005,0)=ROW()-5,N($X282)+1,N($X282)))</f>
        <v>0</v>
      </c>
      <c r="Z283" t="str">
        <f t="shared" si="49"/>
        <v/>
      </c>
      <c r="AA283">
        <f>IF($V283="",N($AA282),IF(MATCH($V283,$V$6:$V$10005,0)=ROW()-5,N($AA282)+1,N($AA282)))</f>
        <v>0</v>
      </c>
    </row>
    <row r="284" spans="1:27" ht="21" customHeight="1" x14ac:dyDescent="0.95">
      <c r="A284" s="56"/>
      <c r="B284" s="57"/>
      <c r="C284" s="57"/>
      <c r="D284" s="57"/>
      <c r="E284" s="56"/>
      <c r="F284" s="57"/>
      <c r="G284" s="57"/>
      <c r="H284" s="56"/>
      <c r="I284" s="56"/>
      <c r="J284" s="58"/>
      <c r="K284" s="58"/>
      <c r="L284" s="13" t="str">
        <f t="shared" si="40"/>
        <v/>
      </c>
      <c r="M284" s="13" t="str">
        <f t="shared" si="41"/>
        <v/>
      </c>
      <c r="Q284" t="str">
        <f t="shared" si="42"/>
        <v/>
      </c>
      <c r="R284" t="str">
        <f t="shared" si="43"/>
        <v/>
      </c>
      <c r="S284" t="str">
        <f t="shared" si="44"/>
        <v/>
      </c>
      <c r="T284" t="str">
        <f t="shared" si="45"/>
        <v/>
      </c>
      <c r="U284" t="str">
        <f t="shared" si="46"/>
        <v/>
      </c>
      <c r="V284" t="str">
        <f t="shared" si="47"/>
        <v/>
      </c>
      <c r="W284" t="str">
        <f t="shared" si="48"/>
        <v/>
      </c>
      <c r="X284">
        <f>IF($T284="",N($X283),IF(MATCH($T284,$T$6:$T$10005,0)=ROW()-5,N($X283)+1,N($X283)))</f>
        <v>0</v>
      </c>
      <c r="Z284" t="str">
        <f t="shared" si="49"/>
        <v/>
      </c>
      <c r="AA284">
        <f>IF($V284="",N($AA283),IF(MATCH($V284,$V$6:$V$10005,0)=ROW()-5,N($AA283)+1,N($AA283)))</f>
        <v>0</v>
      </c>
    </row>
    <row r="285" spans="1:27" ht="21" customHeight="1" x14ac:dyDescent="0.95">
      <c r="A285" s="56"/>
      <c r="B285" s="57"/>
      <c r="C285" s="57"/>
      <c r="D285" s="57"/>
      <c r="E285" s="56"/>
      <c r="F285" s="57"/>
      <c r="G285" s="57"/>
      <c r="H285" s="56"/>
      <c r="I285" s="56"/>
      <c r="J285" s="58"/>
      <c r="K285" s="58"/>
      <c r="L285" s="13" t="str">
        <f t="shared" si="40"/>
        <v/>
      </c>
      <c r="M285" s="13" t="str">
        <f t="shared" si="41"/>
        <v/>
      </c>
      <c r="Q285" t="str">
        <f t="shared" si="42"/>
        <v/>
      </c>
      <c r="R285" t="str">
        <f t="shared" si="43"/>
        <v/>
      </c>
      <c r="S285" t="str">
        <f t="shared" si="44"/>
        <v/>
      </c>
      <c r="T285" t="str">
        <f t="shared" si="45"/>
        <v/>
      </c>
      <c r="U285" t="str">
        <f t="shared" si="46"/>
        <v/>
      </c>
      <c r="V285" t="str">
        <f t="shared" si="47"/>
        <v/>
      </c>
      <c r="W285" t="str">
        <f t="shared" si="48"/>
        <v/>
      </c>
      <c r="X285">
        <f>IF($T285="",N($X284),IF(MATCH($T285,$T$6:$T$10005,0)=ROW()-5,N($X284)+1,N($X284)))</f>
        <v>0</v>
      </c>
      <c r="Z285" t="str">
        <f t="shared" si="49"/>
        <v/>
      </c>
      <c r="AA285">
        <f>IF($V285="",N($AA284),IF(MATCH($V285,$V$6:$V$10005,0)=ROW()-5,N($AA284)+1,N($AA284)))</f>
        <v>0</v>
      </c>
    </row>
    <row r="286" spans="1:27" ht="21" customHeight="1" x14ac:dyDescent="0.95">
      <c r="A286" s="56"/>
      <c r="B286" s="57"/>
      <c r="C286" s="57"/>
      <c r="D286" s="57"/>
      <c r="E286" s="56"/>
      <c r="F286" s="57"/>
      <c r="G286" s="57"/>
      <c r="H286" s="56"/>
      <c r="I286" s="56"/>
      <c r="J286" s="58"/>
      <c r="K286" s="58"/>
      <c r="L286" s="13" t="str">
        <f t="shared" si="40"/>
        <v/>
      </c>
      <c r="M286" s="13" t="str">
        <f t="shared" si="41"/>
        <v/>
      </c>
      <c r="Q286" t="str">
        <f t="shared" si="42"/>
        <v/>
      </c>
      <c r="R286" t="str">
        <f t="shared" si="43"/>
        <v/>
      </c>
      <c r="S286" t="str">
        <f t="shared" si="44"/>
        <v/>
      </c>
      <c r="T286" t="str">
        <f t="shared" si="45"/>
        <v/>
      </c>
      <c r="U286" t="str">
        <f t="shared" si="46"/>
        <v/>
      </c>
      <c r="V286" t="str">
        <f t="shared" si="47"/>
        <v/>
      </c>
      <c r="W286" t="str">
        <f t="shared" si="48"/>
        <v/>
      </c>
      <c r="X286">
        <f>IF($T286="",N($X285),IF(MATCH($T286,$T$6:$T$10005,0)=ROW()-5,N($X285)+1,N($X285)))</f>
        <v>0</v>
      </c>
      <c r="Z286" t="str">
        <f t="shared" si="49"/>
        <v/>
      </c>
      <c r="AA286">
        <f>IF($V286="",N($AA285),IF(MATCH($V286,$V$6:$V$10005,0)=ROW()-5,N($AA285)+1,N($AA285)))</f>
        <v>0</v>
      </c>
    </row>
    <row r="287" spans="1:27" ht="21" customHeight="1" x14ac:dyDescent="0.95">
      <c r="A287" s="56"/>
      <c r="B287" s="57"/>
      <c r="C287" s="57"/>
      <c r="D287" s="57"/>
      <c r="E287" s="56"/>
      <c r="F287" s="57"/>
      <c r="G287" s="57"/>
      <c r="H287" s="56"/>
      <c r="I287" s="56"/>
      <c r="J287" s="58"/>
      <c r="K287" s="58"/>
      <c r="L287" s="13" t="str">
        <f t="shared" si="40"/>
        <v/>
      </c>
      <c r="M287" s="13" t="str">
        <f t="shared" si="41"/>
        <v/>
      </c>
      <c r="Q287" t="str">
        <f t="shared" si="42"/>
        <v/>
      </c>
      <c r="R287" t="str">
        <f t="shared" si="43"/>
        <v/>
      </c>
      <c r="S287" t="str">
        <f t="shared" si="44"/>
        <v/>
      </c>
      <c r="T287" t="str">
        <f t="shared" si="45"/>
        <v/>
      </c>
      <c r="U287" t="str">
        <f t="shared" si="46"/>
        <v/>
      </c>
      <c r="V287" t="str">
        <f t="shared" si="47"/>
        <v/>
      </c>
      <c r="W287" t="str">
        <f t="shared" si="48"/>
        <v/>
      </c>
      <c r="X287">
        <f>IF($T287="",N($X286),IF(MATCH($T287,$T$6:$T$10005,0)=ROW()-5,N($X286)+1,N($X286)))</f>
        <v>0</v>
      </c>
      <c r="Z287" t="str">
        <f t="shared" si="49"/>
        <v/>
      </c>
      <c r="AA287">
        <f>IF($V287="",N($AA286),IF(MATCH($V287,$V$6:$V$10005,0)=ROW()-5,N($AA286)+1,N($AA286)))</f>
        <v>0</v>
      </c>
    </row>
    <row r="288" spans="1:27" ht="21" customHeight="1" x14ac:dyDescent="0.95">
      <c r="A288" s="56"/>
      <c r="B288" s="57"/>
      <c r="C288" s="57"/>
      <c r="D288" s="57"/>
      <c r="E288" s="56"/>
      <c r="F288" s="57"/>
      <c r="G288" s="57"/>
      <c r="H288" s="56"/>
      <c r="I288" s="56"/>
      <c r="J288" s="58"/>
      <c r="K288" s="58"/>
      <c r="L288" s="13" t="str">
        <f t="shared" si="40"/>
        <v/>
      </c>
      <c r="M288" s="13" t="str">
        <f t="shared" si="41"/>
        <v/>
      </c>
      <c r="Q288" t="str">
        <f t="shared" si="42"/>
        <v/>
      </c>
      <c r="R288" t="str">
        <f t="shared" si="43"/>
        <v/>
      </c>
      <c r="S288" t="str">
        <f t="shared" si="44"/>
        <v/>
      </c>
      <c r="T288" t="str">
        <f t="shared" si="45"/>
        <v/>
      </c>
      <c r="U288" t="str">
        <f t="shared" si="46"/>
        <v/>
      </c>
      <c r="V288" t="str">
        <f t="shared" si="47"/>
        <v/>
      </c>
      <c r="W288" t="str">
        <f t="shared" si="48"/>
        <v/>
      </c>
      <c r="X288">
        <f>IF($T288="",N($X287),IF(MATCH($T288,$T$6:$T$10005,0)=ROW()-5,N($X287)+1,N($X287)))</f>
        <v>0</v>
      </c>
      <c r="Z288" t="str">
        <f t="shared" si="49"/>
        <v/>
      </c>
      <c r="AA288">
        <f>IF($V288="",N($AA287),IF(MATCH($V288,$V$6:$V$10005,0)=ROW()-5,N($AA287)+1,N($AA287)))</f>
        <v>0</v>
      </c>
    </row>
    <row r="289" spans="1:27" ht="21" customHeight="1" x14ac:dyDescent="0.95">
      <c r="A289" s="56"/>
      <c r="B289" s="57"/>
      <c r="C289" s="57"/>
      <c r="D289" s="57"/>
      <c r="E289" s="56"/>
      <c r="F289" s="57"/>
      <c r="G289" s="57"/>
      <c r="H289" s="56"/>
      <c r="I289" s="56"/>
      <c r="J289" s="58"/>
      <c r="K289" s="58"/>
      <c r="L289" s="13" t="str">
        <f t="shared" si="40"/>
        <v/>
      </c>
      <c r="M289" s="13" t="str">
        <f t="shared" si="41"/>
        <v/>
      </c>
      <c r="Q289" t="str">
        <f t="shared" si="42"/>
        <v/>
      </c>
      <c r="R289" t="str">
        <f t="shared" si="43"/>
        <v/>
      </c>
      <c r="S289" t="str">
        <f t="shared" si="44"/>
        <v/>
      </c>
      <c r="T289" t="str">
        <f t="shared" si="45"/>
        <v/>
      </c>
      <c r="U289" t="str">
        <f t="shared" si="46"/>
        <v/>
      </c>
      <c r="V289" t="str">
        <f t="shared" si="47"/>
        <v/>
      </c>
      <c r="W289" t="str">
        <f t="shared" si="48"/>
        <v/>
      </c>
      <c r="X289">
        <f>IF($T289="",N($X288),IF(MATCH($T289,$T$6:$T$10005,0)=ROW()-5,N($X288)+1,N($X288)))</f>
        <v>0</v>
      </c>
      <c r="Z289" t="str">
        <f t="shared" si="49"/>
        <v/>
      </c>
      <c r="AA289">
        <f>IF($V289="",N($AA288),IF(MATCH($V289,$V$6:$V$10005,0)=ROW()-5,N($AA288)+1,N($AA288)))</f>
        <v>0</v>
      </c>
    </row>
    <row r="290" spans="1:27" ht="21" customHeight="1" x14ac:dyDescent="0.95">
      <c r="A290" s="56"/>
      <c r="B290" s="57"/>
      <c r="C290" s="57"/>
      <c r="D290" s="57"/>
      <c r="E290" s="56"/>
      <c r="F290" s="57"/>
      <c r="G290" s="57"/>
      <c r="H290" s="56"/>
      <c r="I290" s="56"/>
      <c r="J290" s="58"/>
      <c r="K290" s="58"/>
      <c r="L290" s="13" t="str">
        <f t="shared" si="40"/>
        <v/>
      </c>
      <c r="M290" s="13" t="str">
        <f t="shared" si="41"/>
        <v/>
      </c>
      <c r="Q290" t="str">
        <f t="shared" si="42"/>
        <v/>
      </c>
      <c r="R290" t="str">
        <f t="shared" si="43"/>
        <v/>
      </c>
      <c r="S290" t="str">
        <f t="shared" si="44"/>
        <v/>
      </c>
      <c r="T290" t="str">
        <f t="shared" si="45"/>
        <v/>
      </c>
      <c r="U290" t="str">
        <f t="shared" si="46"/>
        <v/>
      </c>
      <c r="V290" t="str">
        <f t="shared" si="47"/>
        <v/>
      </c>
      <c r="W290" t="str">
        <f t="shared" si="48"/>
        <v/>
      </c>
      <c r="X290">
        <f>IF($T290="",N($X289),IF(MATCH($T290,$T$6:$T$10005,0)=ROW()-5,N($X289)+1,N($X289)))</f>
        <v>0</v>
      </c>
      <c r="Z290" t="str">
        <f t="shared" si="49"/>
        <v/>
      </c>
      <c r="AA290">
        <f>IF($V290="",N($AA289),IF(MATCH($V290,$V$6:$V$10005,0)=ROW()-5,N($AA289)+1,N($AA289)))</f>
        <v>0</v>
      </c>
    </row>
    <row r="291" spans="1:27" ht="21" customHeight="1" x14ac:dyDescent="0.95">
      <c r="A291" s="56"/>
      <c r="B291" s="57"/>
      <c r="C291" s="57"/>
      <c r="D291" s="57"/>
      <c r="E291" s="56"/>
      <c r="F291" s="57"/>
      <c r="G291" s="57"/>
      <c r="H291" s="56"/>
      <c r="I291" s="56"/>
      <c r="J291" s="58"/>
      <c r="K291" s="58"/>
      <c r="L291" s="13" t="str">
        <f t="shared" si="40"/>
        <v/>
      </c>
      <c r="M291" s="13" t="str">
        <f t="shared" si="41"/>
        <v/>
      </c>
      <c r="Q291" t="str">
        <f t="shared" si="42"/>
        <v/>
      </c>
      <c r="R291" t="str">
        <f t="shared" si="43"/>
        <v/>
      </c>
      <c r="S291" t="str">
        <f t="shared" si="44"/>
        <v/>
      </c>
      <c r="T291" t="str">
        <f t="shared" si="45"/>
        <v/>
      </c>
      <c r="U291" t="str">
        <f t="shared" si="46"/>
        <v/>
      </c>
      <c r="V291" t="str">
        <f t="shared" si="47"/>
        <v/>
      </c>
      <c r="W291" t="str">
        <f t="shared" si="48"/>
        <v/>
      </c>
      <c r="X291">
        <f>IF($T291="",N($X290),IF(MATCH($T291,$T$6:$T$10005,0)=ROW()-5,N($X290)+1,N($X290)))</f>
        <v>0</v>
      </c>
      <c r="Z291" t="str">
        <f t="shared" si="49"/>
        <v/>
      </c>
      <c r="AA291">
        <f>IF($V291="",N($AA290),IF(MATCH($V291,$V$6:$V$10005,0)=ROW()-5,N($AA290)+1,N($AA290)))</f>
        <v>0</v>
      </c>
    </row>
    <row r="292" spans="1:27" ht="21" customHeight="1" x14ac:dyDescent="0.95">
      <c r="A292" s="56"/>
      <c r="B292" s="57"/>
      <c r="C292" s="57"/>
      <c r="D292" s="57"/>
      <c r="E292" s="56"/>
      <c r="F292" s="57"/>
      <c r="G292" s="57"/>
      <c r="H292" s="56"/>
      <c r="I292" s="56"/>
      <c r="J292" s="58"/>
      <c r="K292" s="58"/>
      <c r="L292" s="13" t="str">
        <f t="shared" si="40"/>
        <v/>
      </c>
      <c r="M292" s="13" t="str">
        <f t="shared" si="41"/>
        <v/>
      </c>
      <c r="Q292" t="str">
        <f t="shared" si="42"/>
        <v/>
      </c>
      <c r="R292" t="str">
        <f t="shared" si="43"/>
        <v/>
      </c>
      <c r="S292" t="str">
        <f t="shared" si="44"/>
        <v/>
      </c>
      <c r="T292" t="str">
        <f t="shared" si="45"/>
        <v/>
      </c>
      <c r="U292" t="str">
        <f t="shared" si="46"/>
        <v/>
      </c>
      <c r="V292" t="str">
        <f t="shared" si="47"/>
        <v/>
      </c>
      <c r="W292" t="str">
        <f t="shared" si="48"/>
        <v/>
      </c>
      <c r="X292">
        <f>IF($T292="",N($X291),IF(MATCH($T292,$T$6:$T$10005,0)=ROW()-5,N($X291)+1,N($X291)))</f>
        <v>0</v>
      </c>
      <c r="Z292" t="str">
        <f t="shared" si="49"/>
        <v/>
      </c>
      <c r="AA292">
        <f>IF($V292="",N($AA291),IF(MATCH($V292,$V$6:$V$10005,0)=ROW()-5,N($AA291)+1,N($AA291)))</f>
        <v>0</v>
      </c>
    </row>
    <row r="293" spans="1:27" ht="21" customHeight="1" x14ac:dyDescent="0.95">
      <c r="A293" s="56"/>
      <c r="B293" s="57"/>
      <c r="C293" s="57"/>
      <c r="D293" s="57"/>
      <c r="E293" s="56"/>
      <c r="F293" s="57"/>
      <c r="G293" s="57"/>
      <c r="H293" s="56"/>
      <c r="I293" s="56"/>
      <c r="J293" s="58"/>
      <c r="K293" s="58"/>
      <c r="L293" s="13" t="str">
        <f t="shared" si="40"/>
        <v/>
      </c>
      <c r="M293" s="13" t="str">
        <f t="shared" si="41"/>
        <v/>
      </c>
      <c r="Q293" t="str">
        <f t="shared" si="42"/>
        <v/>
      </c>
      <c r="R293" t="str">
        <f t="shared" si="43"/>
        <v/>
      </c>
      <c r="S293" t="str">
        <f t="shared" si="44"/>
        <v/>
      </c>
      <c r="T293" t="str">
        <f t="shared" si="45"/>
        <v/>
      </c>
      <c r="U293" t="str">
        <f t="shared" si="46"/>
        <v/>
      </c>
      <c r="V293" t="str">
        <f t="shared" si="47"/>
        <v/>
      </c>
      <c r="W293" t="str">
        <f t="shared" si="48"/>
        <v/>
      </c>
      <c r="X293">
        <f>IF($T293="",N($X292),IF(MATCH($T293,$T$6:$T$10005,0)=ROW()-5,N($X292)+1,N($X292)))</f>
        <v>0</v>
      </c>
      <c r="Z293" t="str">
        <f t="shared" si="49"/>
        <v/>
      </c>
      <c r="AA293">
        <f>IF($V293="",N($AA292),IF(MATCH($V293,$V$6:$V$10005,0)=ROW()-5,N($AA292)+1,N($AA292)))</f>
        <v>0</v>
      </c>
    </row>
    <row r="294" spans="1:27" ht="21" customHeight="1" x14ac:dyDescent="0.95">
      <c r="A294" s="56"/>
      <c r="B294" s="57"/>
      <c r="C294" s="57"/>
      <c r="D294" s="57"/>
      <c r="E294" s="56"/>
      <c r="F294" s="57"/>
      <c r="G294" s="57"/>
      <c r="H294" s="56"/>
      <c r="I294" s="56"/>
      <c r="J294" s="58"/>
      <c r="K294" s="58"/>
      <c r="L294" s="13" t="str">
        <f t="shared" si="40"/>
        <v/>
      </c>
      <c r="M294" s="13" t="str">
        <f t="shared" si="41"/>
        <v/>
      </c>
      <c r="Q294" t="str">
        <f t="shared" si="42"/>
        <v/>
      </c>
      <c r="R294" t="str">
        <f t="shared" si="43"/>
        <v/>
      </c>
      <c r="S294" t="str">
        <f t="shared" si="44"/>
        <v/>
      </c>
      <c r="T294" t="str">
        <f t="shared" si="45"/>
        <v/>
      </c>
      <c r="U294" t="str">
        <f t="shared" si="46"/>
        <v/>
      </c>
      <c r="V294" t="str">
        <f t="shared" si="47"/>
        <v/>
      </c>
      <c r="W294" t="str">
        <f t="shared" si="48"/>
        <v/>
      </c>
      <c r="X294">
        <f>IF($T294="",N($X293),IF(MATCH($T294,$T$6:$T$10005,0)=ROW()-5,N($X293)+1,N($X293)))</f>
        <v>0</v>
      </c>
      <c r="Z294" t="str">
        <f t="shared" si="49"/>
        <v/>
      </c>
      <c r="AA294">
        <f>IF($V294="",N($AA293),IF(MATCH($V294,$V$6:$V$10005,0)=ROW()-5,N($AA293)+1,N($AA293)))</f>
        <v>0</v>
      </c>
    </row>
    <row r="295" spans="1:27" ht="21" customHeight="1" x14ac:dyDescent="0.95">
      <c r="A295" s="56"/>
      <c r="B295" s="57"/>
      <c r="C295" s="57"/>
      <c r="D295" s="57"/>
      <c r="E295" s="56"/>
      <c r="F295" s="57"/>
      <c r="G295" s="57"/>
      <c r="H295" s="56"/>
      <c r="I295" s="56"/>
      <c r="J295" s="58"/>
      <c r="K295" s="58"/>
      <c r="L295" s="13" t="str">
        <f t="shared" si="40"/>
        <v/>
      </c>
      <c r="M295" s="13" t="str">
        <f t="shared" si="41"/>
        <v/>
      </c>
      <c r="Q295" t="str">
        <f t="shared" si="42"/>
        <v/>
      </c>
      <c r="R295" t="str">
        <f t="shared" si="43"/>
        <v/>
      </c>
      <c r="S295" t="str">
        <f t="shared" si="44"/>
        <v/>
      </c>
      <c r="T295" t="str">
        <f t="shared" si="45"/>
        <v/>
      </c>
      <c r="U295" t="str">
        <f t="shared" si="46"/>
        <v/>
      </c>
      <c r="V295" t="str">
        <f t="shared" si="47"/>
        <v/>
      </c>
      <c r="W295" t="str">
        <f t="shared" si="48"/>
        <v/>
      </c>
      <c r="X295">
        <f>IF($T295="",N($X294),IF(MATCH($T295,$T$6:$T$10005,0)=ROW()-5,N($X294)+1,N($X294)))</f>
        <v>0</v>
      </c>
      <c r="Z295" t="str">
        <f t="shared" si="49"/>
        <v/>
      </c>
      <c r="AA295">
        <f>IF($V295="",N($AA294),IF(MATCH($V295,$V$6:$V$10005,0)=ROW()-5,N($AA294)+1,N($AA294)))</f>
        <v>0</v>
      </c>
    </row>
    <row r="296" spans="1:27" ht="21" customHeight="1" x14ac:dyDescent="0.95">
      <c r="A296" s="56"/>
      <c r="B296" s="57"/>
      <c r="C296" s="57"/>
      <c r="D296" s="57"/>
      <c r="E296" s="56"/>
      <c r="F296" s="57"/>
      <c r="G296" s="57"/>
      <c r="H296" s="56"/>
      <c r="I296" s="56"/>
      <c r="J296" s="58"/>
      <c r="K296" s="58"/>
      <c r="L296" s="13" t="str">
        <f t="shared" si="40"/>
        <v/>
      </c>
      <c r="M296" s="13" t="str">
        <f t="shared" si="41"/>
        <v/>
      </c>
      <c r="Q296" t="str">
        <f t="shared" si="42"/>
        <v/>
      </c>
      <c r="R296" t="str">
        <f t="shared" si="43"/>
        <v/>
      </c>
      <c r="S296" t="str">
        <f t="shared" si="44"/>
        <v/>
      </c>
      <c r="T296" t="str">
        <f t="shared" si="45"/>
        <v/>
      </c>
      <c r="U296" t="str">
        <f t="shared" si="46"/>
        <v/>
      </c>
      <c r="V296" t="str">
        <f t="shared" si="47"/>
        <v/>
      </c>
      <c r="W296" t="str">
        <f t="shared" si="48"/>
        <v/>
      </c>
      <c r="X296">
        <f>IF($T296="",N($X295),IF(MATCH($T296,$T$6:$T$10005,0)=ROW()-5,N($X295)+1,N($X295)))</f>
        <v>0</v>
      </c>
      <c r="Z296" t="str">
        <f t="shared" si="49"/>
        <v/>
      </c>
      <c r="AA296">
        <f>IF($V296="",N($AA295),IF(MATCH($V296,$V$6:$V$10005,0)=ROW()-5,N($AA295)+1,N($AA295)))</f>
        <v>0</v>
      </c>
    </row>
    <row r="297" spans="1:27" ht="21" customHeight="1" x14ac:dyDescent="0.95">
      <c r="A297" s="56"/>
      <c r="B297" s="57"/>
      <c r="C297" s="57"/>
      <c r="D297" s="57"/>
      <c r="E297" s="56"/>
      <c r="F297" s="57"/>
      <c r="G297" s="57"/>
      <c r="H297" s="56"/>
      <c r="I297" s="56"/>
      <c r="J297" s="58"/>
      <c r="K297" s="58"/>
      <c r="L297" s="13" t="str">
        <f t="shared" si="40"/>
        <v/>
      </c>
      <c r="M297" s="13" t="str">
        <f t="shared" si="41"/>
        <v/>
      </c>
      <c r="Q297" t="str">
        <f t="shared" si="42"/>
        <v/>
      </c>
      <c r="R297" t="str">
        <f t="shared" si="43"/>
        <v/>
      </c>
      <c r="S297" t="str">
        <f t="shared" si="44"/>
        <v/>
      </c>
      <c r="T297" t="str">
        <f t="shared" si="45"/>
        <v/>
      </c>
      <c r="U297" t="str">
        <f t="shared" si="46"/>
        <v/>
      </c>
      <c r="V297" t="str">
        <f t="shared" si="47"/>
        <v/>
      </c>
      <c r="W297" t="str">
        <f t="shared" si="48"/>
        <v/>
      </c>
      <c r="X297">
        <f>IF($T297="",N($X296),IF(MATCH($T297,$T$6:$T$10005,0)=ROW()-5,N($X296)+1,N($X296)))</f>
        <v>0</v>
      </c>
      <c r="Z297" t="str">
        <f t="shared" si="49"/>
        <v/>
      </c>
      <c r="AA297">
        <f>IF($V297="",N($AA296),IF(MATCH($V297,$V$6:$V$10005,0)=ROW()-5,N($AA296)+1,N($AA296)))</f>
        <v>0</v>
      </c>
    </row>
    <row r="298" spans="1:27" ht="21" customHeight="1" x14ac:dyDescent="0.95">
      <c r="A298" s="56"/>
      <c r="B298" s="57"/>
      <c r="C298" s="57"/>
      <c r="D298" s="57"/>
      <c r="E298" s="56"/>
      <c r="F298" s="57"/>
      <c r="G298" s="57"/>
      <c r="H298" s="56"/>
      <c r="I298" s="56"/>
      <c r="J298" s="58"/>
      <c r="K298" s="58"/>
      <c r="L298" s="13" t="str">
        <f t="shared" si="40"/>
        <v/>
      </c>
      <c r="M298" s="13" t="str">
        <f t="shared" si="41"/>
        <v/>
      </c>
      <c r="Q298" t="str">
        <f t="shared" si="42"/>
        <v/>
      </c>
      <c r="R298" t="str">
        <f t="shared" si="43"/>
        <v/>
      </c>
      <c r="S298" t="str">
        <f t="shared" si="44"/>
        <v/>
      </c>
      <c r="T298" t="str">
        <f t="shared" si="45"/>
        <v/>
      </c>
      <c r="U298" t="str">
        <f t="shared" si="46"/>
        <v/>
      </c>
      <c r="V298" t="str">
        <f t="shared" si="47"/>
        <v/>
      </c>
      <c r="W298" t="str">
        <f t="shared" si="48"/>
        <v/>
      </c>
      <c r="X298">
        <f>IF($T298="",N($X297),IF(MATCH($T298,$T$6:$T$10005,0)=ROW()-5,N($X297)+1,N($X297)))</f>
        <v>0</v>
      </c>
      <c r="Z298" t="str">
        <f t="shared" si="49"/>
        <v/>
      </c>
      <c r="AA298">
        <f>IF($V298="",N($AA297),IF(MATCH($V298,$V$6:$V$10005,0)=ROW()-5,N($AA297)+1,N($AA297)))</f>
        <v>0</v>
      </c>
    </row>
    <row r="299" spans="1:27" ht="21" customHeight="1" x14ac:dyDescent="0.95">
      <c r="A299" s="56"/>
      <c r="B299" s="57"/>
      <c r="C299" s="57"/>
      <c r="D299" s="57"/>
      <c r="E299" s="56"/>
      <c r="F299" s="57"/>
      <c r="G299" s="57"/>
      <c r="H299" s="56"/>
      <c r="I299" s="56"/>
      <c r="J299" s="58"/>
      <c r="K299" s="58"/>
      <c r="L299" s="13" t="str">
        <f t="shared" si="40"/>
        <v/>
      </c>
      <c r="M299" s="13" t="str">
        <f t="shared" si="41"/>
        <v/>
      </c>
      <c r="Q299" t="str">
        <f t="shared" si="42"/>
        <v/>
      </c>
      <c r="R299" t="str">
        <f t="shared" si="43"/>
        <v/>
      </c>
      <c r="S299" t="str">
        <f t="shared" si="44"/>
        <v/>
      </c>
      <c r="T299" t="str">
        <f t="shared" si="45"/>
        <v/>
      </c>
      <c r="U299" t="str">
        <f t="shared" si="46"/>
        <v/>
      </c>
      <c r="V299" t="str">
        <f t="shared" si="47"/>
        <v/>
      </c>
      <c r="W299" t="str">
        <f t="shared" si="48"/>
        <v/>
      </c>
      <c r="X299">
        <f>IF($T299="",N($X298),IF(MATCH($T299,$T$6:$T$10005,0)=ROW()-5,N($X298)+1,N($X298)))</f>
        <v>0</v>
      </c>
      <c r="Z299" t="str">
        <f t="shared" si="49"/>
        <v/>
      </c>
      <c r="AA299">
        <f>IF($V299="",N($AA298),IF(MATCH($V299,$V$6:$V$10005,0)=ROW()-5,N($AA298)+1,N($AA298)))</f>
        <v>0</v>
      </c>
    </row>
    <row r="300" spans="1:27" ht="21" customHeight="1" x14ac:dyDescent="0.95">
      <c r="A300" s="56"/>
      <c r="B300" s="57"/>
      <c r="C300" s="57"/>
      <c r="D300" s="57"/>
      <c r="E300" s="56"/>
      <c r="F300" s="57"/>
      <c r="G300" s="57"/>
      <c r="H300" s="56"/>
      <c r="I300" s="56"/>
      <c r="J300" s="58"/>
      <c r="K300" s="58"/>
      <c r="L300" s="13" t="str">
        <f t="shared" si="40"/>
        <v/>
      </c>
      <c r="M300" s="13" t="str">
        <f t="shared" si="41"/>
        <v/>
      </c>
      <c r="Q300" t="str">
        <f t="shared" si="42"/>
        <v/>
      </c>
      <c r="R300" t="str">
        <f t="shared" si="43"/>
        <v/>
      </c>
      <c r="S300" t="str">
        <f t="shared" si="44"/>
        <v/>
      </c>
      <c r="T300" t="str">
        <f t="shared" si="45"/>
        <v/>
      </c>
      <c r="U300" t="str">
        <f t="shared" si="46"/>
        <v/>
      </c>
      <c r="V300" t="str">
        <f t="shared" si="47"/>
        <v/>
      </c>
      <c r="W300" t="str">
        <f t="shared" si="48"/>
        <v/>
      </c>
      <c r="X300">
        <f>IF($T300="",N($X299),IF(MATCH($T300,$T$6:$T$10005,0)=ROW()-5,N($X299)+1,N($X299)))</f>
        <v>0</v>
      </c>
      <c r="Z300" t="str">
        <f t="shared" si="49"/>
        <v/>
      </c>
      <c r="AA300">
        <f>IF($V300="",N($AA299),IF(MATCH($V300,$V$6:$V$10005,0)=ROW()-5,N($AA299)+1,N($AA299)))</f>
        <v>0</v>
      </c>
    </row>
    <row r="301" spans="1:27" ht="21" customHeight="1" x14ac:dyDescent="0.95">
      <c r="A301" s="56"/>
      <c r="B301" s="57"/>
      <c r="C301" s="57"/>
      <c r="D301" s="57"/>
      <c r="E301" s="56"/>
      <c r="F301" s="57"/>
      <c r="G301" s="57"/>
      <c r="H301" s="56"/>
      <c r="I301" s="56"/>
      <c r="J301" s="58"/>
      <c r="K301" s="58"/>
      <c r="L301" s="13" t="str">
        <f t="shared" si="40"/>
        <v/>
      </c>
      <c r="M301" s="13" t="str">
        <f t="shared" si="41"/>
        <v/>
      </c>
      <c r="Q301" t="str">
        <f t="shared" si="42"/>
        <v/>
      </c>
      <c r="R301" t="str">
        <f t="shared" si="43"/>
        <v/>
      </c>
      <c r="S301" t="str">
        <f t="shared" si="44"/>
        <v/>
      </c>
      <c r="T301" t="str">
        <f t="shared" si="45"/>
        <v/>
      </c>
      <c r="U301" t="str">
        <f t="shared" si="46"/>
        <v/>
      </c>
      <c r="V301" t="str">
        <f t="shared" si="47"/>
        <v/>
      </c>
      <c r="W301" t="str">
        <f t="shared" si="48"/>
        <v/>
      </c>
      <c r="X301">
        <f>IF($T301="",N($X300),IF(MATCH($T301,$T$6:$T$10005,0)=ROW()-5,N($X300)+1,N($X300)))</f>
        <v>0</v>
      </c>
      <c r="Z301" t="str">
        <f t="shared" si="49"/>
        <v/>
      </c>
      <c r="AA301">
        <f>IF($V301="",N($AA300),IF(MATCH($V301,$V$6:$V$10005,0)=ROW()-5,N($AA300)+1,N($AA300)))</f>
        <v>0</v>
      </c>
    </row>
    <row r="302" spans="1:27" ht="21" customHeight="1" x14ac:dyDescent="0.95">
      <c r="A302" s="56"/>
      <c r="B302" s="57"/>
      <c r="C302" s="57"/>
      <c r="D302" s="57"/>
      <c r="E302" s="56"/>
      <c r="F302" s="57"/>
      <c r="G302" s="57"/>
      <c r="H302" s="56"/>
      <c r="I302" s="56"/>
      <c r="J302" s="58"/>
      <c r="K302" s="58"/>
      <c r="L302" s="13" t="str">
        <f t="shared" si="40"/>
        <v/>
      </c>
      <c r="M302" s="13" t="str">
        <f t="shared" si="41"/>
        <v/>
      </c>
      <c r="Q302" t="str">
        <f t="shared" si="42"/>
        <v/>
      </c>
      <c r="R302" t="str">
        <f t="shared" si="43"/>
        <v/>
      </c>
      <c r="S302" t="str">
        <f t="shared" si="44"/>
        <v/>
      </c>
      <c r="T302" t="str">
        <f t="shared" si="45"/>
        <v/>
      </c>
      <c r="U302" t="str">
        <f t="shared" si="46"/>
        <v/>
      </c>
      <c r="V302" t="str">
        <f t="shared" si="47"/>
        <v/>
      </c>
      <c r="W302" t="str">
        <f t="shared" si="48"/>
        <v/>
      </c>
      <c r="X302">
        <f>IF($T302="",N($X301),IF(MATCH($T302,$T$6:$T$10005,0)=ROW()-5,N($X301)+1,N($X301)))</f>
        <v>0</v>
      </c>
      <c r="Z302" t="str">
        <f t="shared" si="49"/>
        <v/>
      </c>
      <c r="AA302">
        <f>IF($V302="",N($AA301),IF(MATCH($V302,$V$6:$V$10005,0)=ROW()-5,N($AA301)+1,N($AA301)))</f>
        <v>0</v>
      </c>
    </row>
    <row r="303" spans="1:27" ht="21" customHeight="1" x14ac:dyDescent="0.95">
      <c r="A303" s="56"/>
      <c r="B303" s="57"/>
      <c r="C303" s="57"/>
      <c r="D303" s="57"/>
      <c r="E303" s="56"/>
      <c r="F303" s="57"/>
      <c r="G303" s="57"/>
      <c r="H303" s="56"/>
      <c r="I303" s="56"/>
      <c r="J303" s="58"/>
      <c r="K303" s="58"/>
      <c r="L303" s="13" t="str">
        <f t="shared" si="40"/>
        <v/>
      </c>
      <c r="M303" s="13" t="str">
        <f t="shared" si="41"/>
        <v/>
      </c>
      <c r="Q303" t="str">
        <f t="shared" si="42"/>
        <v/>
      </c>
      <c r="R303" t="str">
        <f t="shared" si="43"/>
        <v/>
      </c>
      <c r="S303" t="str">
        <f t="shared" si="44"/>
        <v/>
      </c>
      <c r="T303" t="str">
        <f t="shared" si="45"/>
        <v/>
      </c>
      <c r="U303" t="str">
        <f t="shared" si="46"/>
        <v/>
      </c>
      <c r="V303" t="str">
        <f t="shared" si="47"/>
        <v/>
      </c>
      <c r="W303" t="str">
        <f t="shared" si="48"/>
        <v/>
      </c>
      <c r="X303">
        <f>IF($T303="",N($X302),IF(MATCH($T303,$T$6:$T$10005,0)=ROW()-5,N($X302)+1,N($X302)))</f>
        <v>0</v>
      </c>
      <c r="Z303" t="str">
        <f t="shared" si="49"/>
        <v/>
      </c>
      <c r="AA303">
        <f>IF($V303="",N($AA302),IF(MATCH($V303,$V$6:$V$10005,0)=ROW()-5,N($AA302)+1,N($AA302)))</f>
        <v>0</v>
      </c>
    </row>
    <row r="304" spans="1:27" ht="21" customHeight="1" x14ac:dyDescent="0.95">
      <c r="A304" s="56"/>
      <c r="B304" s="57"/>
      <c r="C304" s="57"/>
      <c r="D304" s="57"/>
      <c r="E304" s="56"/>
      <c r="F304" s="57"/>
      <c r="G304" s="57"/>
      <c r="H304" s="56"/>
      <c r="I304" s="56"/>
      <c r="J304" s="58"/>
      <c r="K304" s="58"/>
      <c r="L304" s="13" t="str">
        <f t="shared" si="40"/>
        <v/>
      </c>
      <c r="M304" s="13" t="str">
        <f t="shared" si="41"/>
        <v/>
      </c>
      <c r="Q304" t="str">
        <f t="shared" si="42"/>
        <v/>
      </c>
      <c r="R304" t="str">
        <f t="shared" si="43"/>
        <v/>
      </c>
      <c r="S304" t="str">
        <f t="shared" si="44"/>
        <v/>
      </c>
      <c r="T304" t="str">
        <f t="shared" si="45"/>
        <v/>
      </c>
      <c r="U304" t="str">
        <f t="shared" si="46"/>
        <v/>
      </c>
      <c r="V304" t="str">
        <f t="shared" si="47"/>
        <v/>
      </c>
      <c r="W304" t="str">
        <f t="shared" si="48"/>
        <v/>
      </c>
      <c r="X304">
        <f>IF($T304="",N($X303),IF(MATCH($T304,$T$6:$T$10005,0)=ROW()-5,N($X303)+1,N($X303)))</f>
        <v>0</v>
      </c>
      <c r="Z304" t="str">
        <f t="shared" si="49"/>
        <v/>
      </c>
      <c r="AA304">
        <f>IF($V304="",N($AA303),IF(MATCH($V304,$V$6:$V$10005,0)=ROW()-5,N($AA303)+1,N($AA303)))</f>
        <v>0</v>
      </c>
    </row>
    <row r="305" spans="1:27" ht="21" customHeight="1" x14ac:dyDescent="0.95">
      <c r="A305" s="56"/>
      <c r="B305" s="57"/>
      <c r="C305" s="57"/>
      <c r="D305" s="57"/>
      <c r="E305" s="56"/>
      <c r="F305" s="57"/>
      <c r="G305" s="57"/>
      <c r="H305" s="56"/>
      <c r="I305" s="56"/>
      <c r="J305" s="58"/>
      <c r="K305" s="58"/>
      <c r="L305" s="13" t="str">
        <f t="shared" si="40"/>
        <v/>
      </c>
      <c r="M305" s="13" t="str">
        <f t="shared" si="41"/>
        <v/>
      </c>
      <c r="Q305" t="str">
        <f t="shared" si="42"/>
        <v/>
      </c>
      <c r="R305" t="str">
        <f t="shared" si="43"/>
        <v/>
      </c>
      <c r="S305" t="str">
        <f t="shared" si="44"/>
        <v/>
      </c>
      <c r="T305" t="str">
        <f t="shared" si="45"/>
        <v/>
      </c>
      <c r="U305" t="str">
        <f t="shared" si="46"/>
        <v/>
      </c>
      <c r="V305" t="str">
        <f t="shared" si="47"/>
        <v/>
      </c>
      <c r="W305" t="str">
        <f t="shared" si="48"/>
        <v/>
      </c>
      <c r="X305">
        <f>IF($T305="",N($X304),IF(MATCH($T305,$T$6:$T$10005,0)=ROW()-5,N($X304)+1,N($X304)))</f>
        <v>0</v>
      </c>
      <c r="Z305" t="str">
        <f t="shared" si="49"/>
        <v/>
      </c>
      <c r="AA305">
        <f>IF($V305="",N($AA304),IF(MATCH($V305,$V$6:$V$10005,0)=ROW()-5,N($AA304)+1,N($AA304)))</f>
        <v>0</v>
      </c>
    </row>
    <row r="306" spans="1:27" ht="21" customHeight="1" x14ac:dyDescent="0.95">
      <c r="A306" s="56"/>
      <c r="B306" s="57"/>
      <c r="C306" s="57"/>
      <c r="D306" s="57"/>
      <c r="E306" s="56"/>
      <c r="F306" s="57"/>
      <c r="G306" s="57"/>
      <c r="H306" s="56"/>
      <c r="I306" s="56"/>
      <c r="J306" s="58"/>
      <c r="K306" s="58"/>
      <c r="L306" s="13" t="str">
        <f t="shared" si="40"/>
        <v/>
      </c>
      <c r="M306" s="13" t="str">
        <f t="shared" si="41"/>
        <v/>
      </c>
      <c r="Q306" t="str">
        <f t="shared" si="42"/>
        <v/>
      </c>
      <c r="R306" t="str">
        <f t="shared" si="43"/>
        <v/>
      </c>
      <c r="S306" t="str">
        <f t="shared" si="44"/>
        <v/>
      </c>
      <c r="T306" t="str">
        <f t="shared" si="45"/>
        <v/>
      </c>
      <c r="U306" t="str">
        <f t="shared" si="46"/>
        <v/>
      </c>
      <c r="V306" t="str">
        <f t="shared" si="47"/>
        <v/>
      </c>
      <c r="W306" t="str">
        <f t="shared" si="48"/>
        <v/>
      </c>
      <c r="X306">
        <f>IF($T306="",N($X305),IF(MATCH($T306,$T$6:$T$10005,0)=ROW()-5,N($X305)+1,N($X305)))</f>
        <v>0</v>
      </c>
      <c r="Z306" t="str">
        <f t="shared" si="49"/>
        <v/>
      </c>
      <c r="AA306">
        <f>IF($V306="",N($AA305),IF(MATCH($V306,$V$6:$V$10005,0)=ROW()-5,N($AA305)+1,N($AA305)))</f>
        <v>0</v>
      </c>
    </row>
    <row r="307" spans="1:27" ht="21" customHeight="1" x14ac:dyDescent="0.95">
      <c r="A307" s="56"/>
      <c r="B307" s="57"/>
      <c r="C307" s="57"/>
      <c r="D307" s="57"/>
      <c r="E307" s="56"/>
      <c r="F307" s="57"/>
      <c r="G307" s="57"/>
      <c r="H307" s="56"/>
      <c r="I307" s="56"/>
      <c r="J307" s="58"/>
      <c r="K307" s="58"/>
      <c r="L307" s="13" t="str">
        <f t="shared" si="40"/>
        <v/>
      </c>
      <c r="M307" s="13" t="str">
        <f t="shared" si="41"/>
        <v/>
      </c>
      <c r="Q307" t="str">
        <f t="shared" si="42"/>
        <v/>
      </c>
      <c r="R307" t="str">
        <f t="shared" si="43"/>
        <v/>
      </c>
      <c r="S307" t="str">
        <f t="shared" si="44"/>
        <v/>
      </c>
      <c r="T307" t="str">
        <f t="shared" si="45"/>
        <v/>
      </c>
      <c r="U307" t="str">
        <f t="shared" si="46"/>
        <v/>
      </c>
      <c r="V307" t="str">
        <f t="shared" si="47"/>
        <v/>
      </c>
      <c r="W307" t="str">
        <f t="shared" si="48"/>
        <v/>
      </c>
      <c r="X307">
        <f>IF($T307="",N($X306),IF(MATCH($T307,$T$6:$T$10005,0)=ROW()-5,N($X306)+1,N($X306)))</f>
        <v>0</v>
      </c>
      <c r="Z307" t="str">
        <f t="shared" si="49"/>
        <v/>
      </c>
      <c r="AA307">
        <f>IF($V307="",N($AA306),IF(MATCH($V307,$V$6:$V$10005,0)=ROW()-5,N($AA306)+1,N($AA306)))</f>
        <v>0</v>
      </c>
    </row>
    <row r="308" spans="1:27" ht="21" customHeight="1" x14ac:dyDescent="0.95">
      <c r="A308" s="56"/>
      <c r="B308" s="57"/>
      <c r="C308" s="57"/>
      <c r="D308" s="57"/>
      <c r="E308" s="56"/>
      <c r="F308" s="57"/>
      <c r="G308" s="57"/>
      <c r="H308" s="56"/>
      <c r="I308" s="56"/>
      <c r="J308" s="58"/>
      <c r="K308" s="58"/>
      <c r="L308" s="13" t="str">
        <f t="shared" si="40"/>
        <v/>
      </c>
      <c r="M308" s="13" t="str">
        <f t="shared" si="41"/>
        <v/>
      </c>
      <c r="Q308" t="str">
        <f t="shared" si="42"/>
        <v/>
      </c>
      <c r="R308" t="str">
        <f t="shared" si="43"/>
        <v/>
      </c>
      <c r="S308" t="str">
        <f t="shared" si="44"/>
        <v/>
      </c>
      <c r="T308" t="str">
        <f t="shared" si="45"/>
        <v/>
      </c>
      <c r="U308" t="str">
        <f t="shared" si="46"/>
        <v/>
      </c>
      <c r="V308" t="str">
        <f t="shared" si="47"/>
        <v/>
      </c>
      <c r="W308" t="str">
        <f t="shared" si="48"/>
        <v/>
      </c>
      <c r="X308">
        <f>IF($T308="",N($X307),IF(MATCH($T308,$T$6:$T$10005,0)=ROW()-5,N($X307)+1,N($X307)))</f>
        <v>0</v>
      </c>
      <c r="Z308" t="str">
        <f t="shared" si="49"/>
        <v/>
      </c>
      <c r="AA308">
        <f>IF($V308="",N($AA307),IF(MATCH($V308,$V$6:$V$10005,0)=ROW()-5,N($AA307)+1,N($AA307)))</f>
        <v>0</v>
      </c>
    </row>
    <row r="309" spans="1:27" ht="21" customHeight="1" x14ac:dyDescent="0.95">
      <c r="A309" s="56"/>
      <c r="B309" s="57"/>
      <c r="C309" s="57"/>
      <c r="D309" s="57"/>
      <c r="E309" s="56"/>
      <c r="F309" s="57"/>
      <c r="G309" s="57"/>
      <c r="H309" s="56"/>
      <c r="I309" s="56"/>
      <c r="J309" s="58"/>
      <c r="K309" s="58"/>
      <c r="L309" s="13" t="str">
        <f t="shared" si="40"/>
        <v/>
      </c>
      <c r="M309" s="13" t="str">
        <f t="shared" si="41"/>
        <v/>
      </c>
      <c r="Q309" t="str">
        <f t="shared" si="42"/>
        <v/>
      </c>
      <c r="R309" t="str">
        <f t="shared" si="43"/>
        <v/>
      </c>
      <c r="S309" t="str">
        <f t="shared" si="44"/>
        <v/>
      </c>
      <c r="T309" t="str">
        <f t="shared" si="45"/>
        <v/>
      </c>
      <c r="U309" t="str">
        <f t="shared" si="46"/>
        <v/>
      </c>
      <c r="V309" t="str">
        <f t="shared" si="47"/>
        <v/>
      </c>
      <c r="W309" t="str">
        <f t="shared" si="48"/>
        <v/>
      </c>
      <c r="X309">
        <f>IF($T309="",N($X308),IF(MATCH($T309,$T$6:$T$10005,0)=ROW()-5,N($X308)+1,N($X308)))</f>
        <v>0</v>
      </c>
      <c r="Z309" t="str">
        <f t="shared" si="49"/>
        <v/>
      </c>
      <c r="AA309">
        <f>IF($V309="",N($AA308),IF(MATCH($V309,$V$6:$V$10005,0)=ROW()-5,N($AA308)+1,N($AA308)))</f>
        <v>0</v>
      </c>
    </row>
    <row r="310" spans="1:27" ht="21" customHeight="1" x14ac:dyDescent="0.95">
      <c r="A310" s="56"/>
      <c r="B310" s="57"/>
      <c r="C310" s="57"/>
      <c r="D310" s="57"/>
      <c r="E310" s="56"/>
      <c r="F310" s="57"/>
      <c r="G310" s="57"/>
      <c r="H310" s="56"/>
      <c r="I310" s="56"/>
      <c r="J310" s="58"/>
      <c r="K310" s="58"/>
      <c r="L310" s="13" t="str">
        <f t="shared" si="40"/>
        <v/>
      </c>
      <c r="M310" s="13" t="str">
        <f t="shared" si="41"/>
        <v/>
      </c>
      <c r="Q310" t="str">
        <f t="shared" si="42"/>
        <v/>
      </c>
      <c r="R310" t="str">
        <f t="shared" si="43"/>
        <v/>
      </c>
      <c r="S310" t="str">
        <f t="shared" si="44"/>
        <v/>
      </c>
      <c r="T310" t="str">
        <f t="shared" si="45"/>
        <v/>
      </c>
      <c r="U310" t="str">
        <f t="shared" si="46"/>
        <v/>
      </c>
      <c r="V310" t="str">
        <f t="shared" si="47"/>
        <v/>
      </c>
      <c r="W310" t="str">
        <f t="shared" si="48"/>
        <v/>
      </c>
      <c r="X310">
        <f>IF($T310="",N($X309),IF(MATCH($T310,$T$6:$T$10005,0)=ROW()-5,N($X309)+1,N($X309)))</f>
        <v>0</v>
      </c>
      <c r="Z310" t="str">
        <f t="shared" si="49"/>
        <v/>
      </c>
      <c r="AA310">
        <f>IF($V310="",N($AA309),IF(MATCH($V310,$V$6:$V$10005,0)=ROW()-5,N($AA309)+1,N($AA309)))</f>
        <v>0</v>
      </c>
    </row>
    <row r="311" spans="1:27" ht="21" customHeight="1" x14ac:dyDescent="0.95">
      <c r="A311" s="56"/>
      <c r="B311" s="57"/>
      <c r="C311" s="57"/>
      <c r="D311" s="57"/>
      <c r="E311" s="56"/>
      <c r="F311" s="57"/>
      <c r="G311" s="57"/>
      <c r="H311" s="56"/>
      <c r="I311" s="56"/>
      <c r="J311" s="58"/>
      <c r="K311" s="58"/>
      <c r="L311" s="13" t="str">
        <f t="shared" si="40"/>
        <v/>
      </c>
      <c r="M311" s="13" t="str">
        <f t="shared" si="41"/>
        <v/>
      </c>
      <c r="Q311" t="str">
        <f t="shared" si="42"/>
        <v/>
      </c>
      <c r="R311" t="str">
        <f t="shared" si="43"/>
        <v/>
      </c>
      <c r="S311" t="str">
        <f t="shared" si="44"/>
        <v/>
      </c>
      <c r="T311" t="str">
        <f t="shared" si="45"/>
        <v/>
      </c>
      <c r="U311" t="str">
        <f t="shared" si="46"/>
        <v/>
      </c>
      <c r="V311" t="str">
        <f t="shared" si="47"/>
        <v/>
      </c>
      <c r="W311" t="str">
        <f t="shared" si="48"/>
        <v/>
      </c>
      <c r="X311">
        <f>IF($T311="",N($X310),IF(MATCH($T311,$T$6:$T$10005,0)=ROW()-5,N($X310)+1,N($X310)))</f>
        <v>0</v>
      </c>
      <c r="Z311" t="str">
        <f t="shared" si="49"/>
        <v/>
      </c>
      <c r="AA311">
        <f>IF($V311="",N($AA310),IF(MATCH($V311,$V$6:$V$10005,0)=ROW()-5,N($AA310)+1,N($AA310)))</f>
        <v>0</v>
      </c>
    </row>
    <row r="312" spans="1:27" ht="21" customHeight="1" x14ac:dyDescent="0.95">
      <c r="A312" s="56"/>
      <c r="B312" s="57"/>
      <c r="C312" s="57"/>
      <c r="D312" s="57"/>
      <c r="E312" s="56"/>
      <c r="F312" s="57"/>
      <c r="G312" s="57"/>
      <c r="H312" s="56"/>
      <c r="I312" s="56"/>
      <c r="J312" s="58"/>
      <c r="K312" s="58"/>
      <c r="L312" s="13" t="str">
        <f t="shared" si="40"/>
        <v/>
      </c>
      <c r="M312" s="13" t="str">
        <f t="shared" si="41"/>
        <v/>
      </c>
      <c r="Q312" t="str">
        <f t="shared" si="42"/>
        <v/>
      </c>
      <c r="R312" t="str">
        <f t="shared" si="43"/>
        <v/>
      </c>
      <c r="S312" t="str">
        <f t="shared" si="44"/>
        <v/>
      </c>
      <c r="T312" t="str">
        <f t="shared" si="45"/>
        <v/>
      </c>
      <c r="U312" t="str">
        <f t="shared" si="46"/>
        <v/>
      </c>
      <c r="V312" t="str">
        <f t="shared" si="47"/>
        <v/>
      </c>
      <c r="W312" t="str">
        <f t="shared" si="48"/>
        <v/>
      </c>
      <c r="X312">
        <f>IF($T312="",N($X311),IF(MATCH($T312,$T$6:$T$10005,0)=ROW()-5,N($X311)+1,N($X311)))</f>
        <v>0</v>
      </c>
      <c r="Z312" t="str">
        <f t="shared" si="49"/>
        <v/>
      </c>
      <c r="AA312">
        <f>IF($V312="",N($AA311),IF(MATCH($V312,$V$6:$V$10005,0)=ROW()-5,N($AA311)+1,N($AA311)))</f>
        <v>0</v>
      </c>
    </row>
    <row r="313" spans="1:27" ht="21" customHeight="1" x14ac:dyDescent="0.95">
      <c r="A313" s="56"/>
      <c r="B313" s="57"/>
      <c r="C313" s="57"/>
      <c r="D313" s="57"/>
      <c r="E313" s="56"/>
      <c r="F313" s="57"/>
      <c r="G313" s="57"/>
      <c r="H313" s="56"/>
      <c r="I313" s="56"/>
      <c r="J313" s="58"/>
      <c r="K313" s="58"/>
      <c r="L313" s="13" t="str">
        <f t="shared" si="40"/>
        <v/>
      </c>
      <c r="M313" s="13" t="str">
        <f t="shared" si="41"/>
        <v/>
      </c>
      <c r="Q313" t="str">
        <f t="shared" si="42"/>
        <v/>
      </c>
      <c r="R313" t="str">
        <f t="shared" si="43"/>
        <v/>
      </c>
      <c r="S313" t="str">
        <f t="shared" si="44"/>
        <v/>
      </c>
      <c r="T313" t="str">
        <f t="shared" si="45"/>
        <v/>
      </c>
      <c r="U313" t="str">
        <f t="shared" si="46"/>
        <v/>
      </c>
      <c r="V313" t="str">
        <f t="shared" si="47"/>
        <v/>
      </c>
      <c r="W313" t="str">
        <f t="shared" si="48"/>
        <v/>
      </c>
      <c r="X313">
        <f>IF($T313="",N($X312),IF(MATCH($T313,$T$6:$T$10005,0)=ROW()-5,N($X312)+1,N($X312)))</f>
        <v>0</v>
      </c>
      <c r="Z313" t="str">
        <f t="shared" si="49"/>
        <v/>
      </c>
      <c r="AA313">
        <f>IF($V313="",N($AA312),IF(MATCH($V313,$V$6:$V$10005,0)=ROW()-5,N($AA312)+1,N($AA312)))</f>
        <v>0</v>
      </c>
    </row>
    <row r="314" spans="1:27" ht="21" customHeight="1" x14ac:dyDescent="0.95">
      <c r="A314" s="56"/>
      <c r="B314" s="57"/>
      <c r="C314" s="57"/>
      <c r="D314" s="57"/>
      <c r="E314" s="56"/>
      <c r="F314" s="57"/>
      <c r="G314" s="57"/>
      <c r="H314" s="56"/>
      <c r="I314" s="56"/>
      <c r="J314" s="58"/>
      <c r="K314" s="58"/>
      <c r="L314" s="13" t="str">
        <f t="shared" si="40"/>
        <v/>
      </c>
      <c r="M314" s="13" t="str">
        <f t="shared" si="41"/>
        <v/>
      </c>
      <c r="Q314" t="str">
        <f t="shared" si="42"/>
        <v/>
      </c>
      <c r="R314" t="str">
        <f t="shared" si="43"/>
        <v/>
      </c>
      <c r="S314" t="str">
        <f t="shared" si="44"/>
        <v/>
      </c>
      <c r="T314" t="str">
        <f t="shared" si="45"/>
        <v/>
      </c>
      <c r="U314" t="str">
        <f t="shared" si="46"/>
        <v/>
      </c>
      <c r="V314" t="str">
        <f t="shared" si="47"/>
        <v/>
      </c>
      <c r="W314" t="str">
        <f t="shared" si="48"/>
        <v/>
      </c>
      <c r="X314">
        <f>IF($T314="",N($X313),IF(MATCH($T314,$T$6:$T$10005,0)=ROW()-5,N($X313)+1,N($X313)))</f>
        <v>0</v>
      </c>
      <c r="Z314" t="str">
        <f t="shared" si="49"/>
        <v/>
      </c>
      <c r="AA314">
        <f>IF($V314="",N($AA313),IF(MATCH($V314,$V$6:$V$10005,0)=ROW()-5,N($AA313)+1,N($AA313)))</f>
        <v>0</v>
      </c>
    </row>
    <row r="315" spans="1:27" ht="21" customHeight="1" x14ac:dyDescent="0.95">
      <c r="A315" s="56"/>
      <c r="B315" s="57"/>
      <c r="C315" s="57"/>
      <c r="D315" s="57"/>
      <c r="E315" s="56"/>
      <c r="F315" s="57"/>
      <c r="G315" s="57"/>
      <c r="H315" s="56"/>
      <c r="I315" s="56"/>
      <c r="J315" s="58"/>
      <c r="K315" s="58"/>
      <c r="L315" s="13" t="str">
        <f t="shared" si="40"/>
        <v/>
      </c>
      <c r="M315" s="13" t="str">
        <f t="shared" si="41"/>
        <v/>
      </c>
      <c r="Q315" t="str">
        <f t="shared" si="42"/>
        <v/>
      </c>
      <c r="R315" t="str">
        <f t="shared" si="43"/>
        <v/>
      </c>
      <c r="S315" t="str">
        <f t="shared" si="44"/>
        <v/>
      </c>
      <c r="T315" t="str">
        <f t="shared" si="45"/>
        <v/>
      </c>
      <c r="U315" t="str">
        <f t="shared" si="46"/>
        <v/>
      </c>
      <c r="V315" t="str">
        <f t="shared" si="47"/>
        <v/>
      </c>
      <c r="W315" t="str">
        <f t="shared" si="48"/>
        <v/>
      </c>
      <c r="X315">
        <f>IF($T315="",N($X314),IF(MATCH($T315,$T$6:$T$10005,0)=ROW()-5,N($X314)+1,N($X314)))</f>
        <v>0</v>
      </c>
      <c r="Z315" t="str">
        <f t="shared" si="49"/>
        <v/>
      </c>
      <c r="AA315">
        <f>IF($V315="",N($AA314),IF(MATCH($V315,$V$6:$V$10005,0)=ROW()-5,N($AA314)+1,N($AA314)))</f>
        <v>0</v>
      </c>
    </row>
    <row r="316" spans="1:27" ht="21" customHeight="1" x14ac:dyDescent="0.95">
      <c r="A316" s="56"/>
      <c r="B316" s="57"/>
      <c r="C316" s="57"/>
      <c r="D316" s="57"/>
      <c r="E316" s="56"/>
      <c r="F316" s="57"/>
      <c r="G316" s="57"/>
      <c r="H316" s="56"/>
      <c r="I316" s="56"/>
      <c r="J316" s="58"/>
      <c r="K316" s="58"/>
      <c r="L316" s="13" t="str">
        <f t="shared" si="40"/>
        <v/>
      </c>
      <c r="M316" s="13" t="str">
        <f t="shared" si="41"/>
        <v/>
      </c>
      <c r="Q316" t="str">
        <f t="shared" si="42"/>
        <v/>
      </c>
      <c r="R316" t="str">
        <f t="shared" si="43"/>
        <v/>
      </c>
      <c r="S316" t="str">
        <f t="shared" si="44"/>
        <v/>
      </c>
      <c r="T316" t="str">
        <f t="shared" si="45"/>
        <v/>
      </c>
      <c r="U316" t="str">
        <f t="shared" si="46"/>
        <v/>
      </c>
      <c r="V316" t="str">
        <f t="shared" si="47"/>
        <v/>
      </c>
      <c r="W316" t="str">
        <f t="shared" si="48"/>
        <v/>
      </c>
      <c r="X316">
        <f>IF($T316="",N($X315),IF(MATCH($T316,$T$6:$T$10005,0)=ROW()-5,N($X315)+1,N($X315)))</f>
        <v>0</v>
      </c>
      <c r="Z316" t="str">
        <f t="shared" si="49"/>
        <v/>
      </c>
      <c r="AA316">
        <f>IF($V316="",N($AA315),IF(MATCH($V316,$V$6:$V$10005,0)=ROW()-5,N($AA315)+1,N($AA315)))</f>
        <v>0</v>
      </c>
    </row>
    <row r="317" spans="1:27" ht="21" customHeight="1" x14ac:dyDescent="0.95">
      <c r="A317" s="56"/>
      <c r="B317" s="57"/>
      <c r="C317" s="57"/>
      <c r="D317" s="57"/>
      <c r="E317" s="56"/>
      <c r="F317" s="57"/>
      <c r="G317" s="57"/>
      <c r="H317" s="56"/>
      <c r="I317" s="56"/>
      <c r="J317" s="58"/>
      <c r="K317" s="58"/>
      <c r="L317" s="13" t="str">
        <f t="shared" si="40"/>
        <v/>
      </c>
      <c r="M317" s="13" t="str">
        <f t="shared" si="41"/>
        <v/>
      </c>
      <c r="Q317" t="str">
        <f t="shared" si="42"/>
        <v/>
      </c>
      <c r="R317" t="str">
        <f t="shared" si="43"/>
        <v/>
      </c>
      <c r="S317" t="str">
        <f t="shared" si="44"/>
        <v/>
      </c>
      <c r="T317" t="str">
        <f t="shared" si="45"/>
        <v/>
      </c>
      <c r="U317" t="str">
        <f t="shared" si="46"/>
        <v/>
      </c>
      <c r="V317" t="str">
        <f t="shared" si="47"/>
        <v/>
      </c>
      <c r="W317" t="str">
        <f t="shared" si="48"/>
        <v/>
      </c>
      <c r="X317">
        <f>IF($T317="",N($X316),IF(MATCH($T317,$T$6:$T$10005,0)=ROW()-5,N($X316)+1,N($X316)))</f>
        <v>0</v>
      </c>
      <c r="Z317" t="str">
        <f t="shared" si="49"/>
        <v/>
      </c>
      <c r="AA317">
        <f>IF($V317="",N($AA316),IF(MATCH($V317,$V$6:$V$10005,0)=ROW()-5,N($AA316)+1,N($AA316)))</f>
        <v>0</v>
      </c>
    </row>
    <row r="318" spans="1:27" ht="21" customHeight="1" x14ac:dyDescent="0.95">
      <c r="A318" s="56"/>
      <c r="B318" s="57"/>
      <c r="C318" s="57"/>
      <c r="D318" s="57"/>
      <c r="E318" s="56"/>
      <c r="F318" s="57"/>
      <c r="G318" s="57"/>
      <c r="H318" s="56"/>
      <c r="I318" s="56"/>
      <c r="J318" s="58"/>
      <c r="K318" s="58"/>
      <c r="L318" s="13" t="str">
        <f t="shared" si="40"/>
        <v/>
      </c>
      <c r="M318" s="13" t="str">
        <f t="shared" si="41"/>
        <v/>
      </c>
      <c r="Q318" t="str">
        <f t="shared" si="42"/>
        <v/>
      </c>
      <c r="R318" t="str">
        <f t="shared" si="43"/>
        <v/>
      </c>
      <c r="S318" t="str">
        <f t="shared" si="44"/>
        <v/>
      </c>
      <c r="T318" t="str">
        <f t="shared" si="45"/>
        <v/>
      </c>
      <c r="U318" t="str">
        <f t="shared" si="46"/>
        <v/>
      </c>
      <c r="V318" t="str">
        <f t="shared" si="47"/>
        <v/>
      </c>
      <c r="W318" t="str">
        <f t="shared" si="48"/>
        <v/>
      </c>
      <c r="X318">
        <f>IF($T318="",N($X317),IF(MATCH($T318,$T$6:$T$10005,0)=ROW()-5,N($X317)+1,N($X317)))</f>
        <v>0</v>
      </c>
      <c r="Z318" t="str">
        <f t="shared" si="49"/>
        <v/>
      </c>
      <c r="AA318">
        <f>IF($V318="",N($AA317),IF(MATCH($V318,$V$6:$V$10005,0)=ROW()-5,N($AA317)+1,N($AA317)))</f>
        <v>0</v>
      </c>
    </row>
    <row r="319" spans="1:27" ht="21" customHeight="1" x14ac:dyDescent="0.95">
      <c r="A319" s="56"/>
      <c r="B319" s="57"/>
      <c r="C319" s="57"/>
      <c r="D319" s="57"/>
      <c r="E319" s="56"/>
      <c r="F319" s="57"/>
      <c r="G319" s="57"/>
      <c r="H319" s="56"/>
      <c r="I319" s="56"/>
      <c r="J319" s="58"/>
      <c r="K319" s="58"/>
      <c r="L319" s="13" t="str">
        <f t="shared" si="40"/>
        <v/>
      </c>
      <c r="M319" s="13" t="str">
        <f t="shared" si="41"/>
        <v/>
      </c>
      <c r="Q319" t="str">
        <f t="shared" si="42"/>
        <v/>
      </c>
      <c r="R319" t="str">
        <f t="shared" si="43"/>
        <v/>
      </c>
      <c r="S319" t="str">
        <f t="shared" si="44"/>
        <v/>
      </c>
      <c r="T319" t="str">
        <f t="shared" si="45"/>
        <v/>
      </c>
      <c r="U319" t="str">
        <f t="shared" si="46"/>
        <v/>
      </c>
      <c r="V319" t="str">
        <f t="shared" si="47"/>
        <v/>
      </c>
      <c r="W319" t="str">
        <f t="shared" si="48"/>
        <v/>
      </c>
      <c r="X319">
        <f>IF($T319="",N($X318),IF(MATCH($T319,$T$6:$T$10005,0)=ROW()-5,N($X318)+1,N($X318)))</f>
        <v>0</v>
      </c>
      <c r="Z319" t="str">
        <f t="shared" si="49"/>
        <v/>
      </c>
      <c r="AA319">
        <f>IF($V319="",N($AA318),IF(MATCH($V319,$V$6:$V$10005,0)=ROW()-5,N($AA318)+1,N($AA318)))</f>
        <v>0</v>
      </c>
    </row>
    <row r="320" spans="1:27" ht="21" customHeight="1" x14ac:dyDescent="0.95">
      <c r="A320" s="56"/>
      <c r="B320" s="57"/>
      <c r="C320" s="57"/>
      <c r="D320" s="57"/>
      <c r="E320" s="56"/>
      <c r="F320" s="57"/>
      <c r="G320" s="57"/>
      <c r="H320" s="56"/>
      <c r="I320" s="56"/>
      <c r="J320" s="58"/>
      <c r="K320" s="58"/>
      <c r="L320" s="13" t="str">
        <f t="shared" si="40"/>
        <v/>
      </c>
      <c r="M320" s="13" t="str">
        <f t="shared" si="41"/>
        <v/>
      </c>
      <c r="Q320" t="str">
        <f t="shared" si="42"/>
        <v/>
      </c>
      <c r="R320" t="str">
        <f t="shared" si="43"/>
        <v/>
      </c>
      <c r="S320" t="str">
        <f t="shared" si="44"/>
        <v/>
      </c>
      <c r="T320" t="str">
        <f t="shared" si="45"/>
        <v/>
      </c>
      <c r="U320" t="str">
        <f t="shared" si="46"/>
        <v/>
      </c>
      <c r="V320" t="str">
        <f t="shared" si="47"/>
        <v/>
      </c>
      <c r="W320" t="str">
        <f t="shared" si="48"/>
        <v/>
      </c>
      <c r="X320">
        <f>IF($T320="",N($X319),IF(MATCH($T320,$T$6:$T$10005,0)=ROW()-5,N($X319)+1,N($X319)))</f>
        <v>0</v>
      </c>
      <c r="Z320" t="str">
        <f t="shared" si="49"/>
        <v/>
      </c>
      <c r="AA320">
        <f>IF($V320="",N($AA319),IF(MATCH($V320,$V$6:$V$10005,0)=ROW()-5,N($AA319)+1,N($AA319)))</f>
        <v>0</v>
      </c>
    </row>
    <row r="321" spans="1:27" ht="21" customHeight="1" x14ac:dyDescent="0.95">
      <c r="A321" s="56"/>
      <c r="B321" s="57"/>
      <c r="C321" s="57"/>
      <c r="D321" s="57"/>
      <c r="E321" s="56"/>
      <c r="F321" s="57"/>
      <c r="G321" s="57"/>
      <c r="H321" s="56"/>
      <c r="I321" s="56"/>
      <c r="J321" s="58"/>
      <c r="K321" s="58"/>
      <c r="L321" s="13" t="str">
        <f t="shared" si="40"/>
        <v/>
      </c>
      <c r="M321" s="13" t="str">
        <f t="shared" si="41"/>
        <v/>
      </c>
      <c r="Q321" t="str">
        <f t="shared" si="42"/>
        <v/>
      </c>
      <c r="R321" t="str">
        <f t="shared" si="43"/>
        <v/>
      </c>
      <c r="S321" t="str">
        <f t="shared" si="44"/>
        <v/>
      </c>
      <c r="T321" t="str">
        <f t="shared" si="45"/>
        <v/>
      </c>
      <c r="U321" t="str">
        <f t="shared" si="46"/>
        <v/>
      </c>
      <c r="V321" t="str">
        <f t="shared" si="47"/>
        <v/>
      </c>
      <c r="W321" t="str">
        <f t="shared" si="48"/>
        <v/>
      </c>
      <c r="X321">
        <f>IF($T321="",N($X320),IF(MATCH($T321,$T$6:$T$10005,0)=ROW()-5,N($X320)+1,N($X320)))</f>
        <v>0</v>
      </c>
      <c r="Z321" t="str">
        <f t="shared" si="49"/>
        <v/>
      </c>
      <c r="AA321">
        <f>IF($V321="",N($AA320),IF(MATCH($V321,$V$6:$V$10005,0)=ROW()-5,N($AA320)+1,N($AA320)))</f>
        <v>0</v>
      </c>
    </row>
    <row r="322" spans="1:27" ht="21" customHeight="1" x14ac:dyDescent="0.95">
      <c r="A322" s="56"/>
      <c r="B322" s="57"/>
      <c r="C322" s="57"/>
      <c r="D322" s="57"/>
      <c r="E322" s="56"/>
      <c r="F322" s="57"/>
      <c r="G322" s="57"/>
      <c r="H322" s="56"/>
      <c r="I322" s="56"/>
      <c r="J322" s="58"/>
      <c r="K322" s="58"/>
      <c r="L322" s="13" t="str">
        <f t="shared" si="40"/>
        <v/>
      </c>
      <c r="M322" s="13" t="str">
        <f t="shared" si="41"/>
        <v/>
      </c>
      <c r="Q322" t="str">
        <f t="shared" si="42"/>
        <v/>
      </c>
      <c r="R322" t="str">
        <f t="shared" si="43"/>
        <v/>
      </c>
      <c r="S322" t="str">
        <f t="shared" si="44"/>
        <v/>
      </c>
      <c r="T322" t="str">
        <f t="shared" si="45"/>
        <v/>
      </c>
      <c r="U322" t="str">
        <f t="shared" si="46"/>
        <v/>
      </c>
      <c r="V322" t="str">
        <f t="shared" si="47"/>
        <v/>
      </c>
      <c r="W322" t="str">
        <f t="shared" si="48"/>
        <v/>
      </c>
      <c r="X322">
        <f>IF($T322="",N($X321),IF(MATCH($T322,$T$6:$T$10005,0)=ROW()-5,N($X321)+1,N($X321)))</f>
        <v>0</v>
      </c>
      <c r="Z322" t="str">
        <f t="shared" si="49"/>
        <v/>
      </c>
      <c r="AA322">
        <f>IF($V322="",N($AA321),IF(MATCH($V322,$V$6:$V$10005,0)=ROW()-5,N($AA321)+1,N($AA321)))</f>
        <v>0</v>
      </c>
    </row>
    <row r="323" spans="1:27" ht="21" customHeight="1" x14ac:dyDescent="0.95">
      <c r="A323" s="56"/>
      <c r="B323" s="57"/>
      <c r="C323" s="57"/>
      <c r="D323" s="57"/>
      <c r="E323" s="56"/>
      <c r="F323" s="57"/>
      <c r="G323" s="57"/>
      <c r="H323" s="56"/>
      <c r="I323" s="56"/>
      <c r="J323" s="58"/>
      <c r="K323" s="58"/>
      <c r="L323" s="13" t="str">
        <f t="shared" si="40"/>
        <v/>
      </c>
      <c r="M323" s="13" t="str">
        <f t="shared" si="41"/>
        <v/>
      </c>
      <c r="Q323" t="str">
        <f t="shared" si="42"/>
        <v/>
      </c>
      <c r="R323" t="str">
        <f t="shared" si="43"/>
        <v/>
      </c>
      <c r="S323" t="str">
        <f t="shared" si="44"/>
        <v/>
      </c>
      <c r="T323" t="str">
        <f t="shared" si="45"/>
        <v/>
      </c>
      <c r="U323" t="str">
        <f t="shared" si="46"/>
        <v/>
      </c>
      <c r="V323" t="str">
        <f t="shared" si="47"/>
        <v/>
      </c>
      <c r="W323" t="str">
        <f t="shared" si="48"/>
        <v/>
      </c>
      <c r="X323">
        <f>IF($T323="",N($X322),IF(MATCH($T323,$T$6:$T$10005,0)=ROW()-5,N($X322)+1,N($X322)))</f>
        <v>0</v>
      </c>
      <c r="Z323" t="str">
        <f t="shared" si="49"/>
        <v/>
      </c>
      <c r="AA323">
        <f>IF($V323="",N($AA322),IF(MATCH($V323,$V$6:$V$10005,0)=ROW()-5,N($AA322)+1,N($AA322)))</f>
        <v>0</v>
      </c>
    </row>
    <row r="324" spans="1:27" ht="21" customHeight="1" x14ac:dyDescent="0.95">
      <c r="A324" s="56"/>
      <c r="B324" s="57"/>
      <c r="C324" s="57"/>
      <c r="D324" s="57"/>
      <c r="E324" s="56"/>
      <c r="F324" s="57"/>
      <c r="G324" s="57"/>
      <c r="H324" s="56"/>
      <c r="I324" s="56"/>
      <c r="J324" s="58"/>
      <c r="K324" s="58"/>
      <c r="L324" s="13" t="str">
        <f t="shared" si="40"/>
        <v/>
      </c>
      <c r="M324" s="13" t="str">
        <f t="shared" si="41"/>
        <v/>
      </c>
      <c r="Q324" t="str">
        <f t="shared" si="42"/>
        <v/>
      </c>
      <c r="R324" t="str">
        <f t="shared" si="43"/>
        <v/>
      </c>
      <c r="S324" t="str">
        <f t="shared" si="44"/>
        <v/>
      </c>
      <c r="T324" t="str">
        <f t="shared" si="45"/>
        <v/>
      </c>
      <c r="U324" t="str">
        <f t="shared" si="46"/>
        <v/>
      </c>
      <c r="V324" t="str">
        <f t="shared" si="47"/>
        <v/>
      </c>
      <c r="W324" t="str">
        <f t="shared" si="48"/>
        <v/>
      </c>
      <c r="X324">
        <f>IF($T324="",N($X323),IF(MATCH($T324,$T$6:$T$10005,0)=ROW()-5,N($X323)+1,N($X323)))</f>
        <v>0</v>
      </c>
      <c r="Z324" t="str">
        <f t="shared" si="49"/>
        <v/>
      </c>
      <c r="AA324">
        <f>IF($V324="",N($AA323),IF(MATCH($V324,$V$6:$V$10005,0)=ROW()-5,N($AA323)+1,N($AA323)))</f>
        <v>0</v>
      </c>
    </row>
    <row r="325" spans="1:27" ht="21" customHeight="1" x14ac:dyDescent="0.95">
      <c r="A325" s="56"/>
      <c r="B325" s="57"/>
      <c r="C325" s="57"/>
      <c r="D325" s="57"/>
      <c r="E325" s="56"/>
      <c r="F325" s="57"/>
      <c r="G325" s="57"/>
      <c r="H325" s="56"/>
      <c r="I325" s="56"/>
      <c r="J325" s="58"/>
      <c r="K325" s="58"/>
      <c r="L325" s="13" t="str">
        <f t="shared" si="40"/>
        <v/>
      </c>
      <c r="M325" s="13" t="str">
        <f t="shared" si="41"/>
        <v/>
      </c>
      <c r="Q325" t="str">
        <f t="shared" si="42"/>
        <v/>
      </c>
      <c r="R325" t="str">
        <f t="shared" si="43"/>
        <v/>
      </c>
      <c r="S325" t="str">
        <f t="shared" si="44"/>
        <v/>
      </c>
      <c r="T325" t="str">
        <f t="shared" si="45"/>
        <v/>
      </c>
      <c r="U325" t="str">
        <f t="shared" si="46"/>
        <v/>
      </c>
      <c r="V325" t="str">
        <f t="shared" si="47"/>
        <v/>
      </c>
      <c r="W325" t="str">
        <f t="shared" si="48"/>
        <v/>
      </c>
      <c r="X325">
        <f>IF($T325="",N($X324),IF(MATCH($T325,$T$6:$T$10005,0)=ROW()-5,N($X324)+1,N($X324)))</f>
        <v>0</v>
      </c>
      <c r="Z325" t="str">
        <f t="shared" si="49"/>
        <v/>
      </c>
      <c r="AA325">
        <f>IF($V325="",N($AA324),IF(MATCH($V325,$V$6:$V$10005,0)=ROW()-5,N($AA324)+1,N($AA324)))</f>
        <v>0</v>
      </c>
    </row>
    <row r="326" spans="1:27" ht="21" customHeight="1" x14ac:dyDescent="0.95">
      <c r="A326" s="56"/>
      <c r="B326" s="57"/>
      <c r="C326" s="57"/>
      <c r="D326" s="57"/>
      <c r="E326" s="56"/>
      <c r="F326" s="57"/>
      <c r="G326" s="57"/>
      <c r="H326" s="56"/>
      <c r="I326" s="56"/>
      <c r="J326" s="58"/>
      <c r="K326" s="58"/>
      <c r="L326" s="13" t="str">
        <f t="shared" ref="L326:L389" si="50">IF(OR($A326="",AND($J326="",$K326="")),"",ROUND(N($J326)-N($K326),2))</f>
        <v/>
      </c>
      <c r="M326" s="13" t="str">
        <f t="shared" ref="M326:M389" si="51">IF(OR($A326="",AND($J326="",$K326="")),"",MIN($J326,$K326))</f>
        <v/>
      </c>
      <c r="Q326" t="str">
        <f t="shared" ref="Q326:Q389" si="52">IF($A326="","",$D326&amp;"("&amp;SUBSTITUTE($E326," ","")&amp;")")</f>
        <v/>
      </c>
      <c r="R326" t="str">
        <f t="shared" ref="R326:R389" si="53">IF($A326="","",$B326&amp;" - "&amp;$C326)</f>
        <v/>
      </c>
      <c r="S326" t="str">
        <f t="shared" ref="S326:S389" si="54">IF($A326="","",$R326&amp;"|"&amp;$Q326)</f>
        <v/>
      </c>
      <c r="T326" t="str">
        <f t="shared" ref="T326:T389" si="55">IF($A326="","",$S326&amp;"|"&amp;$F326)</f>
        <v/>
      </c>
      <c r="U326" t="str">
        <f t="shared" ref="U326:U389" si="56">IF($A326="","",$R326&amp;"("&amp;$E326&amp;")")</f>
        <v/>
      </c>
      <c r="V326" t="str">
        <f t="shared" ref="V326:V389" si="57">IF($A326="","",$F326&amp;"|"&amp;$U326&amp;"|"&amp;$D326)</f>
        <v/>
      </c>
      <c r="W326" t="str">
        <f t="shared" ref="W326:W389" si="58">IF($T326="","",IF($X326&gt;N($X325),$X326,""))</f>
        <v/>
      </c>
      <c r="X326">
        <f>IF($T326="",N($X325),IF(MATCH($T326,$T$6:$T$10005,0)=ROW()-5,N($X325)+1,N($X325)))</f>
        <v>0</v>
      </c>
      <c r="Z326" t="str">
        <f t="shared" ref="Z326:Z389" si="59">IF($V326="","",IF($AA326&gt;N($AA325),$AA326,""))</f>
        <v/>
      </c>
      <c r="AA326">
        <f>IF($V326="",N($AA325),IF(MATCH($V326,$V$6:$V$10005,0)=ROW()-5,N($AA325)+1,N($AA325)))</f>
        <v>0</v>
      </c>
    </row>
    <row r="327" spans="1:27" ht="21" customHeight="1" x14ac:dyDescent="0.95">
      <c r="A327" s="56"/>
      <c r="B327" s="57"/>
      <c r="C327" s="57"/>
      <c r="D327" s="57"/>
      <c r="E327" s="56"/>
      <c r="F327" s="57"/>
      <c r="G327" s="57"/>
      <c r="H327" s="56"/>
      <c r="I327" s="56"/>
      <c r="J327" s="58"/>
      <c r="K327" s="58"/>
      <c r="L327" s="13" t="str">
        <f t="shared" si="50"/>
        <v/>
      </c>
      <c r="M327" s="13" t="str">
        <f t="shared" si="51"/>
        <v/>
      </c>
      <c r="Q327" t="str">
        <f t="shared" si="52"/>
        <v/>
      </c>
      <c r="R327" t="str">
        <f t="shared" si="53"/>
        <v/>
      </c>
      <c r="S327" t="str">
        <f t="shared" si="54"/>
        <v/>
      </c>
      <c r="T327" t="str">
        <f t="shared" si="55"/>
        <v/>
      </c>
      <c r="U327" t="str">
        <f t="shared" si="56"/>
        <v/>
      </c>
      <c r="V327" t="str">
        <f t="shared" si="57"/>
        <v/>
      </c>
      <c r="W327" t="str">
        <f t="shared" si="58"/>
        <v/>
      </c>
      <c r="X327">
        <f>IF($T327="",N($X326),IF(MATCH($T327,$T$6:$T$10005,0)=ROW()-5,N($X326)+1,N($X326)))</f>
        <v>0</v>
      </c>
      <c r="Z327" t="str">
        <f t="shared" si="59"/>
        <v/>
      </c>
      <c r="AA327">
        <f>IF($V327="",N($AA326),IF(MATCH($V327,$V$6:$V$10005,0)=ROW()-5,N($AA326)+1,N($AA326)))</f>
        <v>0</v>
      </c>
    </row>
    <row r="328" spans="1:27" ht="21" customHeight="1" x14ac:dyDescent="0.95">
      <c r="A328" s="56"/>
      <c r="B328" s="57"/>
      <c r="C328" s="57"/>
      <c r="D328" s="57"/>
      <c r="E328" s="56"/>
      <c r="F328" s="57"/>
      <c r="G328" s="57"/>
      <c r="H328" s="56"/>
      <c r="I328" s="56"/>
      <c r="J328" s="58"/>
      <c r="K328" s="58"/>
      <c r="L328" s="13" t="str">
        <f t="shared" si="50"/>
        <v/>
      </c>
      <c r="M328" s="13" t="str">
        <f t="shared" si="51"/>
        <v/>
      </c>
      <c r="Q328" t="str">
        <f t="shared" si="52"/>
        <v/>
      </c>
      <c r="R328" t="str">
        <f t="shared" si="53"/>
        <v/>
      </c>
      <c r="S328" t="str">
        <f t="shared" si="54"/>
        <v/>
      </c>
      <c r="T328" t="str">
        <f t="shared" si="55"/>
        <v/>
      </c>
      <c r="U328" t="str">
        <f t="shared" si="56"/>
        <v/>
      </c>
      <c r="V328" t="str">
        <f t="shared" si="57"/>
        <v/>
      </c>
      <c r="W328" t="str">
        <f t="shared" si="58"/>
        <v/>
      </c>
      <c r="X328">
        <f>IF($T328="",N($X327),IF(MATCH($T328,$T$6:$T$10005,0)=ROW()-5,N($X327)+1,N($X327)))</f>
        <v>0</v>
      </c>
      <c r="Z328" t="str">
        <f t="shared" si="59"/>
        <v/>
      </c>
      <c r="AA328">
        <f>IF($V328="",N($AA327),IF(MATCH($V328,$V$6:$V$10005,0)=ROW()-5,N($AA327)+1,N($AA327)))</f>
        <v>0</v>
      </c>
    </row>
    <row r="329" spans="1:27" ht="21" customHeight="1" x14ac:dyDescent="0.95">
      <c r="A329" s="56"/>
      <c r="B329" s="57"/>
      <c r="C329" s="57"/>
      <c r="D329" s="57"/>
      <c r="E329" s="56"/>
      <c r="F329" s="57"/>
      <c r="G329" s="57"/>
      <c r="H329" s="56"/>
      <c r="I329" s="56"/>
      <c r="J329" s="58"/>
      <c r="K329" s="58"/>
      <c r="L329" s="13" t="str">
        <f t="shared" si="50"/>
        <v/>
      </c>
      <c r="M329" s="13" t="str">
        <f t="shared" si="51"/>
        <v/>
      </c>
      <c r="Q329" t="str">
        <f t="shared" si="52"/>
        <v/>
      </c>
      <c r="R329" t="str">
        <f t="shared" si="53"/>
        <v/>
      </c>
      <c r="S329" t="str">
        <f t="shared" si="54"/>
        <v/>
      </c>
      <c r="T329" t="str">
        <f t="shared" si="55"/>
        <v/>
      </c>
      <c r="U329" t="str">
        <f t="shared" si="56"/>
        <v/>
      </c>
      <c r="V329" t="str">
        <f t="shared" si="57"/>
        <v/>
      </c>
      <c r="W329" t="str">
        <f t="shared" si="58"/>
        <v/>
      </c>
      <c r="X329">
        <f>IF($T329="",N($X328),IF(MATCH($T329,$T$6:$T$10005,0)=ROW()-5,N($X328)+1,N($X328)))</f>
        <v>0</v>
      </c>
      <c r="Z329" t="str">
        <f t="shared" si="59"/>
        <v/>
      </c>
      <c r="AA329">
        <f>IF($V329="",N($AA328),IF(MATCH($V329,$V$6:$V$10005,0)=ROW()-5,N($AA328)+1,N($AA328)))</f>
        <v>0</v>
      </c>
    </row>
    <row r="330" spans="1:27" ht="21" customHeight="1" x14ac:dyDescent="0.95">
      <c r="A330" s="56"/>
      <c r="B330" s="57"/>
      <c r="C330" s="57"/>
      <c r="D330" s="57"/>
      <c r="E330" s="56"/>
      <c r="F330" s="57"/>
      <c r="G330" s="57"/>
      <c r="H330" s="56"/>
      <c r="I330" s="56"/>
      <c r="J330" s="58"/>
      <c r="K330" s="58"/>
      <c r="L330" s="13" t="str">
        <f t="shared" si="50"/>
        <v/>
      </c>
      <c r="M330" s="13" t="str">
        <f t="shared" si="51"/>
        <v/>
      </c>
      <c r="Q330" t="str">
        <f t="shared" si="52"/>
        <v/>
      </c>
      <c r="R330" t="str">
        <f t="shared" si="53"/>
        <v/>
      </c>
      <c r="S330" t="str">
        <f t="shared" si="54"/>
        <v/>
      </c>
      <c r="T330" t="str">
        <f t="shared" si="55"/>
        <v/>
      </c>
      <c r="U330" t="str">
        <f t="shared" si="56"/>
        <v/>
      </c>
      <c r="V330" t="str">
        <f t="shared" si="57"/>
        <v/>
      </c>
      <c r="W330" t="str">
        <f t="shared" si="58"/>
        <v/>
      </c>
      <c r="X330">
        <f>IF($T330="",N($X329),IF(MATCH($T330,$T$6:$T$10005,0)=ROW()-5,N($X329)+1,N($X329)))</f>
        <v>0</v>
      </c>
      <c r="Z330" t="str">
        <f t="shared" si="59"/>
        <v/>
      </c>
      <c r="AA330">
        <f>IF($V330="",N($AA329),IF(MATCH($V330,$V$6:$V$10005,0)=ROW()-5,N($AA329)+1,N($AA329)))</f>
        <v>0</v>
      </c>
    </row>
    <row r="331" spans="1:27" ht="21" customHeight="1" x14ac:dyDescent="0.95">
      <c r="A331" s="56"/>
      <c r="B331" s="57"/>
      <c r="C331" s="57"/>
      <c r="D331" s="57"/>
      <c r="E331" s="56"/>
      <c r="F331" s="57"/>
      <c r="G331" s="57"/>
      <c r="H331" s="56"/>
      <c r="I331" s="56"/>
      <c r="J331" s="58"/>
      <c r="K331" s="58"/>
      <c r="L331" s="13" t="str">
        <f t="shared" si="50"/>
        <v/>
      </c>
      <c r="M331" s="13" t="str">
        <f t="shared" si="51"/>
        <v/>
      </c>
      <c r="Q331" t="str">
        <f t="shared" si="52"/>
        <v/>
      </c>
      <c r="R331" t="str">
        <f t="shared" si="53"/>
        <v/>
      </c>
      <c r="S331" t="str">
        <f t="shared" si="54"/>
        <v/>
      </c>
      <c r="T331" t="str">
        <f t="shared" si="55"/>
        <v/>
      </c>
      <c r="U331" t="str">
        <f t="shared" si="56"/>
        <v/>
      </c>
      <c r="V331" t="str">
        <f t="shared" si="57"/>
        <v/>
      </c>
      <c r="W331" t="str">
        <f t="shared" si="58"/>
        <v/>
      </c>
      <c r="X331">
        <f>IF($T331="",N($X330),IF(MATCH($T331,$T$6:$T$10005,0)=ROW()-5,N($X330)+1,N($X330)))</f>
        <v>0</v>
      </c>
      <c r="Z331" t="str">
        <f t="shared" si="59"/>
        <v/>
      </c>
      <c r="AA331">
        <f>IF($V331="",N($AA330),IF(MATCH($V331,$V$6:$V$10005,0)=ROW()-5,N($AA330)+1,N($AA330)))</f>
        <v>0</v>
      </c>
    </row>
    <row r="332" spans="1:27" ht="21" customHeight="1" x14ac:dyDescent="0.95">
      <c r="A332" s="56"/>
      <c r="B332" s="57"/>
      <c r="C332" s="57"/>
      <c r="D332" s="57"/>
      <c r="E332" s="56"/>
      <c r="F332" s="57"/>
      <c r="G332" s="57"/>
      <c r="H332" s="56"/>
      <c r="I332" s="56"/>
      <c r="J332" s="58"/>
      <c r="K332" s="58"/>
      <c r="L332" s="13" t="str">
        <f t="shared" si="50"/>
        <v/>
      </c>
      <c r="M332" s="13" t="str">
        <f t="shared" si="51"/>
        <v/>
      </c>
      <c r="Q332" t="str">
        <f t="shared" si="52"/>
        <v/>
      </c>
      <c r="R332" t="str">
        <f t="shared" si="53"/>
        <v/>
      </c>
      <c r="S332" t="str">
        <f t="shared" si="54"/>
        <v/>
      </c>
      <c r="T332" t="str">
        <f t="shared" si="55"/>
        <v/>
      </c>
      <c r="U332" t="str">
        <f t="shared" si="56"/>
        <v/>
      </c>
      <c r="V332" t="str">
        <f t="shared" si="57"/>
        <v/>
      </c>
      <c r="W332" t="str">
        <f t="shared" si="58"/>
        <v/>
      </c>
      <c r="X332">
        <f>IF($T332="",N($X331),IF(MATCH($T332,$T$6:$T$10005,0)=ROW()-5,N($X331)+1,N($X331)))</f>
        <v>0</v>
      </c>
      <c r="Z332" t="str">
        <f t="shared" si="59"/>
        <v/>
      </c>
      <c r="AA332">
        <f>IF($V332="",N($AA331),IF(MATCH($V332,$V$6:$V$10005,0)=ROW()-5,N($AA331)+1,N($AA331)))</f>
        <v>0</v>
      </c>
    </row>
    <row r="333" spans="1:27" ht="21" customHeight="1" x14ac:dyDescent="0.95">
      <c r="A333" s="56"/>
      <c r="B333" s="57"/>
      <c r="C333" s="57"/>
      <c r="D333" s="57"/>
      <c r="E333" s="56"/>
      <c r="F333" s="57"/>
      <c r="G333" s="57"/>
      <c r="H333" s="56"/>
      <c r="I333" s="56"/>
      <c r="J333" s="58"/>
      <c r="K333" s="58"/>
      <c r="L333" s="13" t="str">
        <f t="shared" si="50"/>
        <v/>
      </c>
      <c r="M333" s="13" t="str">
        <f t="shared" si="51"/>
        <v/>
      </c>
      <c r="Q333" t="str">
        <f t="shared" si="52"/>
        <v/>
      </c>
      <c r="R333" t="str">
        <f t="shared" si="53"/>
        <v/>
      </c>
      <c r="S333" t="str">
        <f t="shared" si="54"/>
        <v/>
      </c>
      <c r="T333" t="str">
        <f t="shared" si="55"/>
        <v/>
      </c>
      <c r="U333" t="str">
        <f t="shared" si="56"/>
        <v/>
      </c>
      <c r="V333" t="str">
        <f t="shared" si="57"/>
        <v/>
      </c>
      <c r="W333" t="str">
        <f t="shared" si="58"/>
        <v/>
      </c>
      <c r="X333">
        <f>IF($T333="",N($X332),IF(MATCH($T333,$T$6:$T$10005,0)=ROW()-5,N($X332)+1,N($X332)))</f>
        <v>0</v>
      </c>
      <c r="Z333" t="str">
        <f t="shared" si="59"/>
        <v/>
      </c>
      <c r="AA333">
        <f>IF($V333="",N($AA332),IF(MATCH($V333,$V$6:$V$10005,0)=ROW()-5,N($AA332)+1,N($AA332)))</f>
        <v>0</v>
      </c>
    </row>
    <row r="334" spans="1:27" ht="21" customHeight="1" x14ac:dyDescent="0.95">
      <c r="A334" s="56"/>
      <c r="B334" s="57"/>
      <c r="C334" s="57"/>
      <c r="D334" s="57"/>
      <c r="E334" s="56"/>
      <c r="F334" s="57"/>
      <c r="G334" s="57"/>
      <c r="H334" s="56"/>
      <c r="I334" s="56"/>
      <c r="J334" s="58"/>
      <c r="K334" s="58"/>
      <c r="L334" s="13" t="str">
        <f t="shared" si="50"/>
        <v/>
      </c>
      <c r="M334" s="13" t="str">
        <f t="shared" si="51"/>
        <v/>
      </c>
      <c r="Q334" t="str">
        <f t="shared" si="52"/>
        <v/>
      </c>
      <c r="R334" t="str">
        <f t="shared" si="53"/>
        <v/>
      </c>
      <c r="S334" t="str">
        <f t="shared" si="54"/>
        <v/>
      </c>
      <c r="T334" t="str">
        <f t="shared" si="55"/>
        <v/>
      </c>
      <c r="U334" t="str">
        <f t="shared" si="56"/>
        <v/>
      </c>
      <c r="V334" t="str">
        <f t="shared" si="57"/>
        <v/>
      </c>
      <c r="W334" t="str">
        <f t="shared" si="58"/>
        <v/>
      </c>
      <c r="X334">
        <f>IF($T334="",N($X333),IF(MATCH($T334,$T$6:$T$10005,0)=ROW()-5,N($X333)+1,N($X333)))</f>
        <v>0</v>
      </c>
      <c r="Z334" t="str">
        <f t="shared" si="59"/>
        <v/>
      </c>
      <c r="AA334">
        <f>IF($V334="",N($AA333),IF(MATCH($V334,$V$6:$V$10005,0)=ROW()-5,N($AA333)+1,N($AA333)))</f>
        <v>0</v>
      </c>
    </row>
    <row r="335" spans="1:27" ht="21" customHeight="1" x14ac:dyDescent="0.95">
      <c r="A335" s="56"/>
      <c r="B335" s="57"/>
      <c r="C335" s="57"/>
      <c r="D335" s="57"/>
      <c r="E335" s="56"/>
      <c r="F335" s="57"/>
      <c r="G335" s="57"/>
      <c r="H335" s="56"/>
      <c r="I335" s="56"/>
      <c r="J335" s="58"/>
      <c r="K335" s="58"/>
      <c r="L335" s="13" t="str">
        <f t="shared" si="50"/>
        <v/>
      </c>
      <c r="M335" s="13" t="str">
        <f t="shared" si="51"/>
        <v/>
      </c>
      <c r="Q335" t="str">
        <f t="shared" si="52"/>
        <v/>
      </c>
      <c r="R335" t="str">
        <f t="shared" si="53"/>
        <v/>
      </c>
      <c r="S335" t="str">
        <f t="shared" si="54"/>
        <v/>
      </c>
      <c r="T335" t="str">
        <f t="shared" si="55"/>
        <v/>
      </c>
      <c r="U335" t="str">
        <f t="shared" si="56"/>
        <v/>
      </c>
      <c r="V335" t="str">
        <f t="shared" si="57"/>
        <v/>
      </c>
      <c r="W335" t="str">
        <f t="shared" si="58"/>
        <v/>
      </c>
      <c r="X335">
        <f>IF($T335="",N($X334),IF(MATCH($T335,$T$6:$T$10005,0)=ROW()-5,N($X334)+1,N($X334)))</f>
        <v>0</v>
      </c>
      <c r="Z335" t="str">
        <f t="shared" si="59"/>
        <v/>
      </c>
      <c r="AA335">
        <f>IF($V335="",N($AA334),IF(MATCH($V335,$V$6:$V$10005,0)=ROW()-5,N($AA334)+1,N($AA334)))</f>
        <v>0</v>
      </c>
    </row>
    <row r="336" spans="1:27" ht="21" customHeight="1" x14ac:dyDescent="0.95">
      <c r="A336" s="56"/>
      <c r="B336" s="57"/>
      <c r="C336" s="57"/>
      <c r="D336" s="57"/>
      <c r="E336" s="56"/>
      <c r="F336" s="57"/>
      <c r="G336" s="57"/>
      <c r="H336" s="56"/>
      <c r="I336" s="56"/>
      <c r="J336" s="58"/>
      <c r="K336" s="58"/>
      <c r="L336" s="13" t="str">
        <f t="shared" si="50"/>
        <v/>
      </c>
      <c r="M336" s="13" t="str">
        <f t="shared" si="51"/>
        <v/>
      </c>
      <c r="Q336" t="str">
        <f t="shared" si="52"/>
        <v/>
      </c>
      <c r="R336" t="str">
        <f t="shared" si="53"/>
        <v/>
      </c>
      <c r="S336" t="str">
        <f t="shared" si="54"/>
        <v/>
      </c>
      <c r="T336" t="str">
        <f t="shared" si="55"/>
        <v/>
      </c>
      <c r="U336" t="str">
        <f t="shared" si="56"/>
        <v/>
      </c>
      <c r="V336" t="str">
        <f t="shared" si="57"/>
        <v/>
      </c>
      <c r="W336" t="str">
        <f t="shared" si="58"/>
        <v/>
      </c>
      <c r="X336">
        <f>IF($T336="",N($X335),IF(MATCH($T336,$T$6:$T$10005,0)=ROW()-5,N($X335)+1,N($X335)))</f>
        <v>0</v>
      </c>
      <c r="Z336" t="str">
        <f t="shared" si="59"/>
        <v/>
      </c>
      <c r="AA336">
        <f>IF($V336="",N($AA335),IF(MATCH($V336,$V$6:$V$10005,0)=ROW()-5,N($AA335)+1,N($AA335)))</f>
        <v>0</v>
      </c>
    </row>
    <row r="337" spans="1:27" ht="21" customHeight="1" x14ac:dyDescent="0.95">
      <c r="A337" s="56"/>
      <c r="B337" s="57"/>
      <c r="C337" s="57"/>
      <c r="D337" s="57"/>
      <c r="E337" s="56"/>
      <c r="F337" s="57"/>
      <c r="G337" s="57"/>
      <c r="H337" s="56"/>
      <c r="I337" s="56"/>
      <c r="J337" s="58"/>
      <c r="K337" s="58"/>
      <c r="L337" s="13" t="str">
        <f t="shared" si="50"/>
        <v/>
      </c>
      <c r="M337" s="13" t="str">
        <f t="shared" si="51"/>
        <v/>
      </c>
      <c r="Q337" t="str">
        <f t="shared" si="52"/>
        <v/>
      </c>
      <c r="R337" t="str">
        <f t="shared" si="53"/>
        <v/>
      </c>
      <c r="S337" t="str">
        <f t="shared" si="54"/>
        <v/>
      </c>
      <c r="T337" t="str">
        <f t="shared" si="55"/>
        <v/>
      </c>
      <c r="U337" t="str">
        <f t="shared" si="56"/>
        <v/>
      </c>
      <c r="V337" t="str">
        <f t="shared" si="57"/>
        <v/>
      </c>
      <c r="W337" t="str">
        <f t="shared" si="58"/>
        <v/>
      </c>
      <c r="X337">
        <f>IF($T337="",N($X336),IF(MATCH($T337,$T$6:$T$10005,0)=ROW()-5,N($X336)+1,N($X336)))</f>
        <v>0</v>
      </c>
      <c r="Z337" t="str">
        <f t="shared" si="59"/>
        <v/>
      </c>
      <c r="AA337">
        <f>IF($V337="",N($AA336),IF(MATCH($V337,$V$6:$V$10005,0)=ROW()-5,N($AA336)+1,N($AA336)))</f>
        <v>0</v>
      </c>
    </row>
    <row r="338" spans="1:27" ht="21" customHeight="1" x14ac:dyDescent="0.95">
      <c r="A338" s="56"/>
      <c r="B338" s="57"/>
      <c r="C338" s="57"/>
      <c r="D338" s="57"/>
      <c r="E338" s="56"/>
      <c r="F338" s="57"/>
      <c r="G338" s="57"/>
      <c r="H338" s="56"/>
      <c r="I338" s="56"/>
      <c r="J338" s="58"/>
      <c r="K338" s="58"/>
      <c r="L338" s="13" t="str">
        <f t="shared" si="50"/>
        <v/>
      </c>
      <c r="M338" s="13" t="str">
        <f t="shared" si="51"/>
        <v/>
      </c>
      <c r="Q338" t="str">
        <f t="shared" si="52"/>
        <v/>
      </c>
      <c r="R338" t="str">
        <f t="shared" si="53"/>
        <v/>
      </c>
      <c r="S338" t="str">
        <f t="shared" si="54"/>
        <v/>
      </c>
      <c r="T338" t="str">
        <f t="shared" si="55"/>
        <v/>
      </c>
      <c r="U338" t="str">
        <f t="shared" si="56"/>
        <v/>
      </c>
      <c r="V338" t="str">
        <f t="shared" si="57"/>
        <v/>
      </c>
      <c r="W338" t="str">
        <f t="shared" si="58"/>
        <v/>
      </c>
      <c r="X338">
        <f>IF($T338="",N($X337),IF(MATCH($T338,$T$6:$T$10005,0)=ROW()-5,N($X337)+1,N($X337)))</f>
        <v>0</v>
      </c>
      <c r="Z338" t="str">
        <f t="shared" si="59"/>
        <v/>
      </c>
      <c r="AA338">
        <f>IF($V338="",N($AA337),IF(MATCH($V338,$V$6:$V$10005,0)=ROW()-5,N($AA337)+1,N($AA337)))</f>
        <v>0</v>
      </c>
    </row>
    <row r="339" spans="1:27" ht="21" customHeight="1" x14ac:dyDescent="0.95">
      <c r="A339" s="56"/>
      <c r="B339" s="57"/>
      <c r="C339" s="57"/>
      <c r="D339" s="57"/>
      <c r="E339" s="56"/>
      <c r="F339" s="57"/>
      <c r="G339" s="57"/>
      <c r="H339" s="56"/>
      <c r="I339" s="56"/>
      <c r="J339" s="58"/>
      <c r="K339" s="58"/>
      <c r="L339" s="13" t="str">
        <f t="shared" si="50"/>
        <v/>
      </c>
      <c r="M339" s="13" t="str">
        <f t="shared" si="51"/>
        <v/>
      </c>
      <c r="Q339" t="str">
        <f t="shared" si="52"/>
        <v/>
      </c>
      <c r="R339" t="str">
        <f t="shared" si="53"/>
        <v/>
      </c>
      <c r="S339" t="str">
        <f t="shared" si="54"/>
        <v/>
      </c>
      <c r="T339" t="str">
        <f t="shared" si="55"/>
        <v/>
      </c>
      <c r="U339" t="str">
        <f t="shared" si="56"/>
        <v/>
      </c>
      <c r="V339" t="str">
        <f t="shared" si="57"/>
        <v/>
      </c>
      <c r="W339" t="str">
        <f t="shared" si="58"/>
        <v/>
      </c>
      <c r="X339">
        <f>IF($T339="",N($X338),IF(MATCH($T339,$T$6:$T$10005,0)=ROW()-5,N($X338)+1,N($X338)))</f>
        <v>0</v>
      </c>
      <c r="Z339" t="str">
        <f t="shared" si="59"/>
        <v/>
      </c>
      <c r="AA339">
        <f>IF($V339="",N($AA338),IF(MATCH($V339,$V$6:$V$10005,0)=ROW()-5,N($AA338)+1,N($AA338)))</f>
        <v>0</v>
      </c>
    </row>
    <row r="340" spans="1:27" ht="21" customHeight="1" x14ac:dyDescent="0.95">
      <c r="A340" s="56"/>
      <c r="B340" s="57"/>
      <c r="C340" s="57"/>
      <c r="D340" s="57"/>
      <c r="E340" s="56"/>
      <c r="F340" s="57"/>
      <c r="G340" s="57"/>
      <c r="H340" s="56"/>
      <c r="I340" s="56"/>
      <c r="J340" s="58"/>
      <c r="K340" s="58"/>
      <c r="L340" s="13" t="str">
        <f t="shared" si="50"/>
        <v/>
      </c>
      <c r="M340" s="13" t="str">
        <f t="shared" si="51"/>
        <v/>
      </c>
      <c r="Q340" t="str">
        <f t="shared" si="52"/>
        <v/>
      </c>
      <c r="R340" t="str">
        <f t="shared" si="53"/>
        <v/>
      </c>
      <c r="S340" t="str">
        <f t="shared" si="54"/>
        <v/>
      </c>
      <c r="T340" t="str">
        <f t="shared" si="55"/>
        <v/>
      </c>
      <c r="U340" t="str">
        <f t="shared" si="56"/>
        <v/>
      </c>
      <c r="V340" t="str">
        <f t="shared" si="57"/>
        <v/>
      </c>
      <c r="W340" t="str">
        <f t="shared" si="58"/>
        <v/>
      </c>
      <c r="X340">
        <f>IF($T340="",N($X339),IF(MATCH($T340,$T$6:$T$10005,0)=ROW()-5,N($X339)+1,N($X339)))</f>
        <v>0</v>
      </c>
      <c r="Z340" t="str">
        <f t="shared" si="59"/>
        <v/>
      </c>
      <c r="AA340">
        <f>IF($V340="",N($AA339),IF(MATCH($V340,$V$6:$V$10005,0)=ROW()-5,N($AA339)+1,N($AA339)))</f>
        <v>0</v>
      </c>
    </row>
    <row r="341" spans="1:27" ht="21" customHeight="1" x14ac:dyDescent="0.95">
      <c r="A341" s="56"/>
      <c r="B341" s="57"/>
      <c r="C341" s="57"/>
      <c r="D341" s="57"/>
      <c r="E341" s="56"/>
      <c r="F341" s="57"/>
      <c r="G341" s="57"/>
      <c r="H341" s="56"/>
      <c r="I341" s="56"/>
      <c r="J341" s="58"/>
      <c r="K341" s="58"/>
      <c r="L341" s="13" t="str">
        <f t="shared" si="50"/>
        <v/>
      </c>
      <c r="M341" s="13" t="str">
        <f t="shared" si="51"/>
        <v/>
      </c>
      <c r="Q341" t="str">
        <f t="shared" si="52"/>
        <v/>
      </c>
      <c r="R341" t="str">
        <f t="shared" si="53"/>
        <v/>
      </c>
      <c r="S341" t="str">
        <f t="shared" si="54"/>
        <v/>
      </c>
      <c r="T341" t="str">
        <f t="shared" si="55"/>
        <v/>
      </c>
      <c r="U341" t="str">
        <f t="shared" si="56"/>
        <v/>
      </c>
      <c r="V341" t="str">
        <f t="shared" si="57"/>
        <v/>
      </c>
      <c r="W341" t="str">
        <f t="shared" si="58"/>
        <v/>
      </c>
      <c r="X341">
        <f>IF($T341="",N($X340),IF(MATCH($T341,$T$6:$T$10005,0)=ROW()-5,N($X340)+1,N($X340)))</f>
        <v>0</v>
      </c>
      <c r="Z341" t="str">
        <f t="shared" si="59"/>
        <v/>
      </c>
      <c r="AA341">
        <f>IF($V341="",N($AA340),IF(MATCH($V341,$V$6:$V$10005,0)=ROW()-5,N($AA340)+1,N($AA340)))</f>
        <v>0</v>
      </c>
    </row>
    <row r="342" spans="1:27" ht="21" customHeight="1" x14ac:dyDescent="0.95">
      <c r="A342" s="56"/>
      <c r="B342" s="57"/>
      <c r="C342" s="57"/>
      <c r="D342" s="57"/>
      <c r="E342" s="56"/>
      <c r="F342" s="57"/>
      <c r="G342" s="57"/>
      <c r="H342" s="56"/>
      <c r="I342" s="56"/>
      <c r="J342" s="58"/>
      <c r="K342" s="58"/>
      <c r="L342" s="13" t="str">
        <f t="shared" si="50"/>
        <v/>
      </c>
      <c r="M342" s="13" t="str">
        <f t="shared" si="51"/>
        <v/>
      </c>
      <c r="Q342" t="str">
        <f t="shared" si="52"/>
        <v/>
      </c>
      <c r="R342" t="str">
        <f t="shared" si="53"/>
        <v/>
      </c>
      <c r="S342" t="str">
        <f t="shared" si="54"/>
        <v/>
      </c>
      <c r="T342" t="str">
        <f t="shared" si="55"/>
        <v/>
      </c>
      <c r="U342" t="str">
        <f t="shared" si="56"/>
        <v/>
      </c>
      <c r="V342" t="str">
        <f t="shared" si="57"/>
        <v/>
      </c>
      <c r="W342" t="str">
        <f t="shared" si="58"/>
        <v/>
      </c>
      <c r="X342">
        <f>IF($T342="",N($X341),IF(MATCH($T342,$T$6:$T$10005,0)=ROW()-5,N($X341)+1,N($X341)))</f>
        <v>0</v>
      </c>
      <c r="Z342" t="str">
        <f t="shared" si="59"/>
        <v/>
      </c>
      <c r="AA342">
        <f>IF($V342="",N($AA341),IF(MATCH($V342,$V$6:$V$10005,0)=ROW()-5,N($AA341)+1,N($AA341)))</f>
        <v>0</v>
      </c>
    </row>
    <row r="343" spans="1:27" ht="21" customHeight="1" x14ac:dyDescent="0.95">
      <c r="A343" s="56"/>
      <c r="B343" s="57"/>
      <c r="C343" s="57"/>
      <c r="D343" s="57"/>
      <c r="E343" s="56"/>
      <c r="F343" s="57"/>
      <c r="G343" s="57"/>
      <c r="H343" s="56"/>
      <c r="I343" s="56"/>
      <c r="J343" s="58"/>
      <c r="K343" s="58"/>
      <c r="L343" s="13" t="str">
        <f t="shared" si="50"/>
        <v/>
      </c>
      <c r="M343" s="13" t="str">
        <f t="shared" si="51"/>
        <v/>
      </c>
      <c r="Q343" t="str">
        <f t="shared" si="52"/>
        <v/>
      </c>
      <c r="R343" t="str">
        <f t="shared" si="53"/>
        <v/>
      </c>
      <c r="S343" t="str">
        <f t="shared" si="54"/>
        <v/>
      </c>
      <c r="T343" t="str">
        <f t="shared" si="55"/>
        <v/>
      </c>
      <c r="U343" t="str">
        <f t="shared" si="56"/>
        <v/>
      </c>
      <c r="V343" t="str">
        <f t="shared" si="57"/>
        <v/>
      </c>
      <c r="W343" t="str">
        <f t="shared" si="58"/>
        <v/>
      </c>
      <c r="X343">
        <f>IF($T343="",N($X342),IF(MATCH($T343,$T$6:$T$10005,0)=ROW()-5,N($X342)+1,N($X342)))</f>
        <v>0</v>
      </c>
      <c r="Z343" t="str">
        <f t="shared" si="59"/>
        <v/>
      </c>
      <c r="AA343">
        <f>IF($V343="",N($AA342),IF(MATCH($V343,$V$6:$V$10005,0)=ROW()-5,N($AA342)+1,N($AA342)))</f>
        <v>0</v>
      </c>
    </row>
    <row r="344" spans="1:27" ht="21" customHeight="1" x14ac:dyDescent="0.95">
      <c r="A344" s="56"/>
      <c r="B344" s="57"/>
      <c r="C344" s="57"/>
      <c r="D344" s="57"/>
      <c r="E344" s="56"/>
      <c r="F344" s="57"/>
      <c r="G344" s="57"/>
      <c r="H344" s="56"/>
      <c r="I344" s="56"/>
      <c r="J344" s="58"/>
      <c r="K344" s="58"/>
      <c r="L344" s="13" t="str">
        <f t="shared" si="50"/>
        <v/>
      </c>
      <c r="M344" s="13" t="str">
        <f t="shared" si="51"/>
        <v/>
      </c>
      <c r="Q344" t="str">
        <f t="shared" si="52"/>
        <v/>
      </c>
      <c r="R344" t="str">
        <f t="shared" si="53"/>
        <v/>
      </c>
      <c r="S344" t="str">
        <f t="shared" si="54"/>
        <v/>
      </c>
      <c r="T344" t="str">
        <f t="shared" si="55"/>
        <v/>
      </c>
      <c r="U344" t="str">
        <f t="shared" si="56"/>
        <v/>
      </c>
      <c r="V344" t="str">
        <f t="shared" si="57"/>
        <v/>
      </c>
      <c r="W344" t="str">
        <f t="shared" si="58"/>
        <v/>
      </c>
      <c r="X344">
        <f>IF($T344="",N($X343),IF(MATCH($T344,$T$6:$T$10005,0)=ROW()-5,N($X343)+1,N($X343)))</f>
        <v>0</v>
      </c>
      <c r="Z344" t="str">
        <f t="shared" si="59"/>
        <v/>
      </c>
      <c r="AA344">
        <f>IF($V344="",N($AA343),IF(MATCH($V344,$V$6:$V$10005,0)=ROW()-5,N($AA343)+1,N($AA343)))</f>
        <v>0</v>
      </c>
    </row>
    <row r="345" spans="1:27" ht="21" customHeight="1" x14ac:dyDescent="0.95">
      <c r="A345" s="56"/>
      <c r="B345" s="57"/>
      <c r="C345" s="57"/>
      <c r="D345" s="57"/>
      <c r="E345" s="56"/>
      <c r="F345" s="57"/>
      <c r="G345" s="57"/>
      <c r="H345" s="56"/>
      <c r="I345" s="56"/>
      <c r="J345" s="58"/>
      <c r="K345" s="58"/>
      <c r="L345" s="13" t="str">
        <f t="shared" si="50"/>
        <v/>
      </c>
      <c r="M345" s="13" t="str">
        <f t="shared" si="51"/>
        <v/>
      </c>
      <c r="Q345" t="str">
        <f t="shared" si="52"/>
        <v/>
      </c>
      <c r="R345" t="str">
        <f t="shared" si="53"/>
        <v/>
      </c>
      <c r="S345" t="str">
        <f t="shared" si="54"/>
        <v/>
      </c>
      <c r="T345" t="str">
        <f t="shared" si="55"/>
        <v/>
      </c>
      <c r="U345" t="str">
        <f t="shared" si="56"/>
        <v/>
      </c>
      <c r="V345" t="str">
        <f t="shared" si="57"/>
        <v/>
      </c>
      <c r="W345" t="str">
        <f t="shared" si="58"/>
        <v/>
      </c>
      <c r="X345">
        <f>IF($T345="",N($X344),IF(MATCH($T345,$T$6:$T$10005,0)=ROW()-5,N($X344)+1,N($X344)))</f>
        <v>0</v>
      </c>
      <c r="Z345" t="str">
        <f t="shared" si="59"/>
        <v/>
      </c>
      <c r="AA345">
        <f>IF($V345="",N($AA344),IF(MATCH($V345,$V$6:$V$10005,0)=ROW()-5,N($AA344)+1,N($AA344)))</f>
        <v>0</v>
      </c>
    </row>
    <row r="346" spans="1:27" ht="21" customHeight="1" x14ac:dyDescent="0.95">
      <c r="A346" s="56"/>
      <c r="B346" s="57"/>
      <c r="C346" s="57"/>
      <c r="D346" s="57"/>
      <c r="E346" s="56"/>
      <c r="F346" s="57"/>
      <c r="G346" s="57"/>
      <c r="H346" s="56"/>
      <c r="I346" s="56"/>
      <c r="J346" s="58"/>
      <c r="K346" s="58"/>
      <c r="L346" s="13" t="str">
        <f t="shared" si="50"/>
        <v/>
      </c>
      <c r="M346" s="13" t="str">
        <f t="shared" si="51"/>
        <v/>
      </c>
      <c r="Q346" t="str">
        <f t="shared" si="52"/>
        <v/>
      </c>
      <c r="R346" t="str">
        <f t="shared" si="53"/>
        <v/>
      </c>
      <c r="S346" t="str">
        <f t="shared" si="54"/>
        <v/>
      </c>
      <c r="T346" t="str">
        <f t="shared" si="55"/>
        <v/>
      </c>
      <c r="U346" t="str">
        <f t="shared" si="56"/>
        <v/>
      </c>
      <c r="V346" t="str">
        <f t="shared" si="57"/>
        <v/>
      </c>
      <c r="W346" t="str">
        <f t="shared" si="58"/>
        <v/>
      </c>
      <c r="X346">
        <f>IF($T346="",N($X345),IF(MATCH($T346,$T$6:$T$10005,0)=ROW()-5,N($X345)+1,N($X345)))</f>
        <v>0</v>
      </c>
      <c r="Z346" t="str">
        <f t="shared" si="59"/>
        <v/>
      </c>
      <c r="AA346">
        <f>IF($V346="",N($AA345),IF(MATCH($V346,$V$6:$V$10005,0)=ROW()-5,N($AA345)+1,N($AA345)))</f>
        <v>0</v>
      </c>
    </row>
    <row r="347" spans="1:27" ht="21" customHeight="1" x14ac:dyDescent="0.95">
      <c r="A347" s="56"/>
      <c r="B347" s="57"/>
      <c r="C347" s="57"/>
      <c r="D347" s="57"/>
      <c r="E347" s="56"/>
      <c r="F347" s="57"/>
      <c r="G347" s="57"/>
      <c r="H347" s="56"/>
      <c r="I347" s="56"/>
      <c r="J347" s="58"/>
      <c r="K347" s="58"/>
      <c r="L347" s="13" t="str">
        <f t="shared" si="50"/>
        <v/>
      </c>
      <c r="M347" s="13" t="str">
        <f t="shared" si="51"/>
        <v/>
      </c>
      <c r="Q347" t="str">
        <f t="shared" si="52"/>
        <v/>
      </c>
      <c r="R347" t="str">
        <f t="shared" si="53"/>
        <v/>
      </c>
      <c r="S347" t="str">
        <f t="shared" si="54"/>
        <v/>
      </c>
      <c r="T347" t="str">
        <f t="shared" si="55"/>
        <v/>
      </c>
      <c r="U347" t="str">
        <f t="shared" si="56"/>
        <v/>
      </c>
      <c r="V347" t="str">
        <f t="shared" si="57"/>
        <v/>
      </c>
      <c r="W347" t="str">
        <f t="shared" si="58"/>
        <v/>
      </c>
      <c r="X347">
        <f>IF($T347="",N($X346),IF(MATCH($T347,$T$6:$T$10005,0)=ROW()-5,N($X346)+1,N($X346)))</f>
        <v>0</v>
      </c>
      <c r="Z347" t="str">
        <f t="shared" si="59"/>
        <v/>
      </c>
      <c r="AA347">
        <f>IF($V347="",N($AA346),IF(MATCH($V347,$V$6:$V$10005,0)=ROW()-5,N($AA346)+1,N($AA346)))</f>
        <v>0</v>
      </c>
    </row>
    <row r="348" spans="1:27" ht="21" customHeight="1" x14ac:dyDescent="0.95">
      <c r="A348" s="56"/>
      <c r="B348" s="57"/>
      <c r="C348" s="57"/>
      <c r="D348" s="57"/>
      <c r="E348" s="56"/>
      <c r="F348" s="57"/>
      <c r="G348" s="57"/>
      <c r="H348" s="56"/>
      <c r="I348" s="56"/>
      <c r="J348" s="58"/>
      <c r="K348" s="58"/>
      <c r="L348" s="13" t="str">
        <f t="shared" si="50"/>
        <v/>
      </c>
      <c r="M348" s="13" t="str">
        <f t="shared" si="51"/>
        <v/>
      </c>
      <c r="Q348" t="str">
        <f t="shared" si="52"/>
        <v/>
      </c>
      <c r="R348" t="str">
        <f t="shared" si="53"/>
        <v/>
      </c>
      <c r="S348" t="str">
        <f t="shared" si="54"/>
        <v/>
      </c>
      <c r="T348" t="str">
        <f t="shared" si="55"/>
        <v/>
      </c>
      <c r="U348" t="str">
        <f t="shared" si="56"/>
        <v/>
      </c>
      <c r="V348" t="str">
        <f t="shared" si="57"/>
        <v/>
      </c>
      <c r="W348" t="str">
        <f t="shared" si="58"/>
        <v/>
      </c>
      <c r="X348">
        <f>IF($T348="",N($X347),IF(MATCH($T348,$T$6:$T$10005,0)=ROW()-5,N($X347)+1,N($X347)))</f>
        <v>0</v>
      </c>
      <c r="Z348" t="str">
        <f t="shared" si="59"/>
        <v/>
      </c>
      <c r="AA348">
        <f>IF($V348="",N($AA347),IF(MATCH($V348,$V$6:$V$10005,0)=ROW()-5,N($AA347)+1,N($AA347)))</f>
        <v>0</v>
      </c>
    </row>
    <row r="349" spans="1:27" ht="21" customHeight="1" x14ac:dyDescent="0.95">
      <c r="A349" s="56"/>
      <c r="B349" s="57"/>
      <c r="C349" s="57"/>
      <c r="D349" s="57"/>
      <c r="E349" s="56"/>
      <c r="F349" s="57"/>
      <c r="G349" s="57"/>
      <c r="H349" s="56"/>
      <c r="I349" s="56"/>
      <c r="J349" s="58"/>
      <c r="K349" s="58"/>
      <c r="L349" s="13" t="str">
        <f t="shared" si="50"/>
        <v/>
      </c>
      <c r="M349" s="13" t="str">
        <f t="shared" si="51"/>
        <v/>
      </c>
      <c r="Q349" t="str">
        <f t="shared" si="52"/>
        <v/>
      </c>
      <c r="R349" t="str">
        <f t="shared" si="53"/>
        <v/>
      </c>
      <c r="S349" t="str">
        <f t="shared" si="54"/>
        <v/>
      </c>
      <c r="T349" t="str">
        <f t="shared" si="55"/>
        <v/>
      </c>
      <c r="U349" t="str">
        <f t="shared" si="56"/>
        <v/>
      </c>
      <c r="V349" t="str">
        <f t="shared" si="57"/>
        <v/>
      </c>
      <c r="W349" t="str">
        <f t="shared" si="58"/>
        <v/>
      </c>
      <c r="X349">
        <f>IF($T349="",N($X348),IF(MATCH($T349,$T$6:$T$10005,0)=ROW()-5,N($X348)+1,N($X348)))</f>
        <v>0</v>
      </c>
      <c r="Z349" t="str">
        <f t="shared" si="59"/>
        <v/>
      </c>
      <c r="AA349">
        <f>IF($V349="",N($AA348),IF(MATCH($V349,$V$6:$V$10005,0)=ROW()-5,N($AA348)+1,N($AA348)))</f>
        <v>0</v>
      </c>
    </row>
    <row r="350" spans="1:27" ht="21" customHeight="1" x14ac:dyDescent="0.95">
      <c r="A350" s="56"/>
      <c r="B350" s="57"/>
      <c r="C350" s="57"/>
      <c r="D350" s="57"/>
      <c r="E350" s="56"/>
      <c r="F350" s="57"/>
      <c r="G350" s="57"/>
      <c r="H350" s="56"/>
      <c r="I350" s="56"/>
      <c r="J350" s="58"/>
      <c r="K350" s="58"/>
      <c r="L350" s="13" t="str">
        <f t="shared" si="50"/>
        <v/>
      </c>
      <c r="M350" s="13" t="str">
        <f t="shared" si="51"/>
        <v/>
      </c>
      <c r="Q350" t="str">
        <f t="shared" si="52"/>
        <v/>
      </c>
      <c r="R350" t="str">
        <f t="shared" si="53"/>
        <v/>
      </c>
      <c r="S350" t="str">
        <f t="shared" si="54"/>
        <v/>
      </c>
      <c r="T350" t="str">
        <f t="shared" si="55"/>
        <v/>
      </c>
      <c r="U350" t="str">
        <f t="shared" si="56"/>
        <v/>
      </c>
      <c r="V350" t="str">
        <f t="shared" si="57"/>
        <v/>
      </c>
      <c r="W350" t="str">
        <f t="shared" si="58"/>
        <v/>
      </c>
      <c r="X350">
        <f>IF($T350="",N($X349),IF(MATCH($T350,$T$6:$T$10005,0)=ROW()-5,N($X349)+1,N($X349)))</f>
        <v>0</v>
      </c>
      <c r="Z350" t="str">
        <f t="shared" si="59"/>
        <v/>
      </c>
      <c r="AA350">
        <f>IF($V350="",N($AA349),IF(MATCH($V350,$V$6:$V$10005,0)=ROW()-5,N($AA349)+1,N($AA349)))</f>
        <v>0</v>
      </c>
    </row>
    <row r="351" spans="1:27" ht="21" customHeight="1" x14ac:dyDescent="0.95">
      <c r="A351" s="56"/>
      <c r="B351" s="57"/>
      <c r="C351" s="57"/>
      <c r="D351" s="57"/>
      <c r="E351" s="56"/>
      <c r="F351" s="57"/>
      <c r="G351" s="57"/>
      <c r="H351" s="56"/>
      <c r="I351" s="56"/>
      <c r="J351" s="58"/>
      <c r="K351" s="58"/>
      <c r="L351" s="13" t="str">
        <f t="shared" si="50"/>
        <v/>
      </c>
      <c r="M351" s="13" t="str">
        <f t="shared" si="51"/>
        <v/>
      </c>
      <c r="Q351" t="str">
        <f t="shared" si="52"/>
        <v/>
      </c>
      <c r="R351" t="str">
        <f t="shared" si="53"/>
        <v/>
      </c>
      <c r="S351" t="str">
        <f t="shared" si="54"/>
        <v/>
      </c>
      <c r="T351" t="str">
        <f t="shared" si="55"/>
        <v/>
      </c>
      <c r="U351" t="str">
        <f t="shared" si="56"/>
        <v/>
      </c>
      <c r="V351" t="str">
        <f t="shared" si="57"/>
        <v/>
      </c>
      <c r="W351" t="str">
        <f t="shared" si="58"/>
        <v/>
      </c>
      <c r="X351">
        <f>IF($T351="",N($X350),IF(MATCH($T351,$T$6:$T$10005,0)=ROW()-5,N($X350)+1,N($X350)))</f>
        <v>0</v>
      </c>
      <c r="Z351" t="str">
        <f t="shared" si="59"/>
        <v/>
      </c>
      <c r="AA351">
        <f>IF($V351="",N($AA350),IF(MATCH($V351,$V$6:$V$10005,0)=ROW()-5,N($AA350)+1,N($AA350)))</f>
        <v>0</v>
      </c>
    </row>
    <row r="352" spans="1:27" ht="21" customHeight="1" x14ac:dyDescent="0.95">
      <c r="A352" s="56"/>
      <c r="B352" s="57"/>
      <c r="C352" s="57"/>
      <c r="D352" s="57"/>
      <c r="E352" s="56"/>
      <c r="F352" s="57"/>
      <c r="G352" s="57"/>
      <c r="H352" s="56"/>
      <c r="I352" s="56"/>
      <c r="J352" s="58"/>
      <c r="K352" s="58"/>
      <c r="L352" s="13" t="str">
        <f t="shared" si="50"/>
        <v/>
      </c>
      <c r="M352" s="13" t="str">
        <f t="shared" si="51"/>
        <v/>
      </c>
      <c r="Q352" t="str">
        <f t="shared" si="52"/>
        <v/>
      </c>
      <c r="R352" t="str">
        <f t="shared" si="53"/>
        <v/>
      </c>
      <c r="S352" t="str">
        <f t="shared" si="54"/>
        <v/>
      </c>
      <c r="T352" t="str">
        <f t="shared" si="55"/>
        <v/>
      </c>
      <c r="U352" t="str">
        <f t="shared" si="56"/>
        <v/>
      </c>
      <c r="V352" t="str">
        <f t="shared" si="57"/>
        <v/>
      </c>
      <c r="W352" t="str">
        <f t="shared" si="58"/>
        <v/>
      </c>
      <c r="X352">
        <f>IF($T352="",N($X351),IF(MATCH($T352,$T$6:$T$10005,0)=ROW()-5,N($X351)+1,N($X351)))</f>
        <v>0</v>
      </c>
      <c r="Z352" t="str">
        <f t="shared" si="59"/>
        <v/>
      </c>
      <c r="AA352">
        <f>IF($V352="",N($AA351),IF(MATCH($V352,$V$6:$V$10005,0)=ROW()-5,N($AA351)+1,N($AA351)))</f>
        <v>0</v>
      </c>
    </row>
    <row r="353" spans="1:27" ht="21" customHeight="1" x14ac:dyDescent="0.95">
      <c r="A353" s="56"/>
      <c r="B353" s="57"/>
      <c r="C353" s="57"/>
      <c r="D353" s="57"/>
      <c r="E353" s="56"/>
      <c r="F353" s="57"/>
      <c r="G353" s="57"/>
      <c r="H353" s="56"/>
      <c r="I353" s="56"/>
      <c r="J353" s="58"/>
      <c r="K353" s="58"/>
      <c r="L353" s="13" t="str">
        <f t="shared" si="50"/>
        <v/>
      </c>
      <c r="M353" s="13" t="str">
        <f t="shared" si="51"/>
        <v/>
      </c>
      <c r="Q353" t="str">
        <f t="shared" si="52"/>
        <v/>
      </c>
      <c r="R353" t="str">
        <f t="shared" si="53"/>
        <v/>
      </c>
      <c r="S353" t="str">
        <f t="shared" si="54"/>
        <v/>
      </c>
      <c r="T353" t="str">
        <f t="shared" si="55"/>
        <v/>
      </c>
      <c r="U353" t="str">
        <f t="shared" si="56"/>
        <v/>
      </c>
      <c r="V353" t="str">
        <f t="shared" si="57"/>
        <v/>
      </c>
      <c r="W353" t="str">
        <f t="shared" si="58"/>
        <v/>
      </c>
      <c r="X353">
        <f>IF($T353="",N($X352),IF(MATCH($T353,$T$6:$T$10005,0)=ROW()-5,N($X352)+1,N($X352)))</f>
        <v>0</v>
      </c>
      <c r="Z353" t="str">
        <f t="shared" si="59"/>
        <v/>
      </c>
      <c r="AA353">
        <f>IF($V353="",N($AA352),IF(MATCH($V353,$V$6:$V$10005,0)=ROW()-5,N($AA352)+1,N($AA352)))</f>
        <v>0</v>
      </c>
    </row>
    <row r="354" spans="1:27" ht="21" customHeight="1" x14ac:dyDescent="0.95">
      <c r="A354" s="56"/>
      <c r="B354" s="57"/>
      <c r="C354" s="57"/>
      <c r="D354" s="57"/>
      <c r="E354" s="56"/>
      <c r="F354" s="57"/>
      <c r="G354" s="57"/>
      <c r="H354" s="56"/>
      <c r="I354" s="56"/>
      <c r="J354" s="58"/>
      <c r="K354" s="58"/>
      <c r="L354" s="13" t="str">
        <f t="shared" si="50"/>
        <v/>
      </c>
      <c r="M354" s="13" t="str">
        <f t="shared" si="51"/>
        <v/>
      </c>
      <c r="Q354" t="str">
        <f t="shared" si="52"/>
        <v/>
      </c>
      <c r="R354" t="str">
        <f t="shared" si="53"/>
        <v/>
      </c>
      <c r="S354" t="str">
        <f t="shared" si="54"/>
        <v/>
      </c>
      <c r="T354" t="str">
        <f t="shared" si="55"/>
        <v/>
      </c>
      <c r="U354" t="str">
        <f t="shared" si="56"/>
        <v/>
      </c>
      <c r="V354" t="str">
        <f t="shared" si="57"/>
        <v/>
      </c>
      <c r="W354" t="str">
        <f t="shared" si="58"/>
        <v/>
      </c>
      <c r="X354">
        <f>IF($T354="",N($X353),IF(MATCH($T354,$T$6:$T$10005,0)=ROW()-5,N($X353)+1,N($X353)))</f>
        <v>0</v>
      </c>
      <c r="Z354" t="str">
        <f t="shared" si="59"/>
        <v/>
      </c>
      <c r="AA354">
        <f>IF($V354="",N($AA353),IF(MATCH($V354,$V$6:$V$10005,0)=ROW()-5,N($AA353)+1,N($AA353)))</f>
        <v>0</v>
      </c>
    </row>
    <row r="355" spans="1:27" ht="21" customHeight="1" x14ac:dyDescent="0.95">
      <c r="A355" s="56"/>
      <c r="B355" s="57"/>
      <c r="C355" s="57"/>
      <c r="D355" s="57"/>
      <c r="E355" s="56"/>
      <c r="F355" s="57"/>
      <c r="G355" s="57"/>
      <c r="H355" s="56"/>
      <c r="I355" s="56"/>
      <c r="J355" s="58"/>
      <c r="K355" s="58"/>
      <c r="L355" s="13" t="str">
        <f t="shared" si="50"/>
        <v/>
      </c>
      <c r="M355" s="13" t="str">
        <f t="shared" si="51"/>
        <v/>
      </c>
      <c r="Q355" t="str">
        <f t="shared" si="52"/>
        <v/>
      </c>
      <c r="R355" t="str">
        <f t="shared" si="53"/>
        <v/>
      </c>
      <c r="S355" t="str">
        <f t="shared" si="54"/>
        <v/>
      </c>
      <c r="T355" t="str">
        <f t="shared" si="55"/>
        <v/>
      </c>
      <c r="U355" t="str">
        <f t="shared" si="56"/>
        <v/>
      </c>
      <c r="V355" t="str">
        <f t="shared" si="57"/>
        <v/>
      </c>
      <c r="W355" t="str">
        <f t="shared" si="58"/>
        <v/>
      </c>
      <c r="X355">
        <f>IF($T355="",N($X354),IF(MATCH($T355,$T$6:$T$10005,0)=ROW()-5,N($X354)+1,N($X354)))</f>
        <v>0</v>
      </c>
      <c r="Z355" t="str">
        <f t="shared" si="59"/>
        <v/>
      </c>
      <c r="AA355">
        <f>IF($V355="",N($AA354),IF(MATCH($V355,$V$6:$V$10005,0)=ROW()-5,N($AA354)+1,N($AA354)))</f>
        <v>0</v>
      </c>
    </row>
    <row r="356" spans="1:27" ht="21" customHeight="1" x14ac:dyDescent="0.95">
      <c r="A356" s="56"/>
      <c r="B356" s="57"/>
      <c r="C356" s="57"/>
      <c r="D356" s="57"/>
      <c r="E356" s="56"/>
      <c r="F356" s="57"/>
      <c r="G356" s="57"/>
      <c r="H356" s="56"/>
      <c r="I356" s="56"/>
      <c r="J356" s="58"/>
      <c r="K356" s="58"/>
      <c r="L356" s="13" t="str">
        <f t="shared" si="50"/>
        <v/>
      </c>
      <c r="M356" s="13" t="str">
        <f t="shared" si="51"/>
        <v/>
      </c>
      <c r="Q356" t="str">
        <f t="shared" si="52"/>
        <v/>
      </c>
      <c r="R356" t="str">
        <f t="shared" si="53"/>
        <v/>
      </c>
      <c r="S356" t="str">
        <f t="shared" si="54"/>
        <v/>
      </c>
      <c r="T356" t="str">
        <f t="shared" si="55"/>
        <v/>
      </c>
      <c r="U356" t="str">
        <f t="shared" si="56"/>
        <v/>
      </c>
      <c r="V356" t="str">
        <f t="shared" si="57"/>
        <v/>
      </c>
      <c r="W356" t="str">
        <f t="shared" si="58"/>
        <v/>
      </c>
      <c r="X356">
        <f>IF($T356="",N($X355),IF(MATCH($T356,$T$6:$T$10005,0)=ROW()-5,N($X355)+1,N($X355)))</f>
        <v>0</v>
      </c>
      <c r="Z356" t="str">
        <f t="shared" si="59"/>
        <v/>
      </c>
      <c r="AA356">
        <f>IF($V356="",N($AA355),IF(MATCH($V356,$V$6:$V$10005,0)=ROW()-5,N($AA355)+1,N($AA355)))</f>
        <v>0</v>
      </c>
    </row>
    <row r="357" spans="1:27" ht="21" customHeight="1" x14ac:dyDescent="0.95">
      <c r="A357" s="56"/>
      <c r="B357" s="57"/>
      <c r="C357" s="57"/>
      <c r="D357" s="57"/>
      <c r="E357" s="56"/>
      <c r="F357" s="57"/>
      <c r="G357" s="57"/>
      <c r="H357" s="56"/>
      <c r="I357" s="56"/>
      <c r="J357" s="58"/>
      <c r="K357" s="58"/>
      <c r="L357" s="13" t="str">
        <f t="shared" si="50"/>
        <v/>
      </c>
      <c r="M357" s="13" t="str">
        <f t="shared" si="51"/>
        <v/>
      </c>
      <c r="Q357" t="str">
        <f t="shared" si="52"/>
        <v/>
      </c>
      <c r="R357" t="str">
        <f t="shared" si="53"/>
        <v/>
      </c>
      <c r="S357" t="str">
        <f t="shared" si="54"/>
        <v/>
      </c>
      <c r="T357" t="str">
        <f t="shared" si="55"/>
        <v/>
      </c>
      <c r="U357" t="str">
        <f t="shared" si="56"/>
        <v/>
      </c>
      <c r="V357" t="str">
        <f t="shared" si="57"/>
        <v/>
      </c>
      <c r="W357" t="str">
        <f t="shared" si="58"/>
        <v/>
      </c>
      <c r="X357">
        <f>IF($T357="",N($X356),IF(MATCH($T357,$T$6:$T$10005,0)=ROW()-5,N($X356)+1,N($X356)))</f>
        <v>0</v>
      </c>
      <c r="Z357" t="str">
        <f t="shared" si="59"/>
        <v/>
      </c>
      <c r="AA357">
        <f>IF($V357="",N($AA356),IF(MATCH($V357,$V$6:$V$10005,0)=ROW()-5,N($AA356)+1,N($AA356)))</f>
        <v>0</v>
      </c>
    </row>
    <row r="358" spans="1:27" ht="21" customHeight="1" x14ac:dyDescent="0.95">
      <c r="A358" s="56"/>
      <c r="B358" s="57"/>
      <c r="C358" s="57"/>
      <c r="D358" s="57"/>
      <c r="E358" s="56"/>
      <c r="F358" s="57"/>
      <c r="G358" s="57"/>
      <c r="H358" s="56"/>
      <c r="I358" s="56"/>
      <c r="J358" s="58"/>
      <c r="K358" s="58"/>
      <c r="L358" s="13" t="str">
        <f t="shared" si="50"/>
        <v/>
      </c>
      <c r="M358" s="13" t="str">
        <f t="shared" si="51"/>
        <v/>
      </c>
      <c r="Q358" t="str">
        <f t="shared" si="52"/>
        <v/>
      </c>
      <c r="R358" t="str">
        <f t="shared" si="53"/>
        <v/>
      </c>
      <c r="S358" t="str">
        <f t="shared" si="54"/>
        <v/>
      </c>
      <c r="T358" t="str">
        <f t="shared" si="55"/>
        <v/>
      </c>
      <c r="U358" t="str">
        <f t="shared" si="56"/>
        <v/>
      </c>
      <c r="V358" t="str">
        <f t="shared" si="57"/>
        <v/>
      </c>
      <c r="W358" t="str">
        <f t="shared" si="58"/>
        <v/>
      </c>
      <c r="X358">
        <f>IF($T358="",N($X357),IF(MATCH($T358,$T$6:$T$10005,0)=ROW()-5,N($X357)+1,N($X357)))</f>
        <v>0</v>
      </c>
      <c r="Z358" t="str">
        <f t="shared" si="59"/>
        <v/>
      </c>
      <c r="AA358">
        <f>IF($V358="",N($AA357),IF(MATCH($V358,$V$6:$V$10005,0)=ROW()-5,N($AA357)+1,N($AA357)))</f>
        <v>0</v>
      </c>
    </row>
    <row r="359" spans="1:27" ht="21" customHeight="1" x14ac:dyDescent="0.95">
      <c r="A359" s="56"/>
      <c r="B359" s="57"/>
      <c r="C359" s="57"/>
      <c r="D359" s="57"/>
      <c r="E359" s="56"/>
      <c r="F359" s="57"/>
      <c r="G359" s="57"/>
      <c r="H359" s="56"/>
      <c r="I359" s="56"/>
      <c r="J359" s="58"/>
      <c r="K359" s="58"/>
      <c r="L359" s="13" t="str">
        <f t="shared" si="50"/>
        <v/>
      </c>
      <c r="M359" s="13" t="str">
        <f t="shared" si="51"/>
        <v/>
      </c>
      <c r="Q359" t="str">
        <f t="shared" si="52"/>
        <v/>
      </c>
      <c r="R359" t="str">
        <f t="shared" si="53"/>
        <v/>
      </c>
      <c r="S359" t="str">
        <f t="shared" si="54"/>
        <v/>
      </c>
      <c r="T359" t="str">
        <f t="shared" si="55"/>
        <v/>
      </c>
      <c r="U359" t="str">
        <f t="shared" si="56"/>
        <v/>
      </c>
      <c r="V359" t="str">
        <f t="shared" si="57"/>
        <v/>
      </c>
      <c r="W359" t="str">
        <f t="shared" si="58"/>
        <v/>
      </c>
      <c r="X359">
        <f>IF($T359="",N($X358),IF(MATCH($T359,$T$6:$T$10005,0)=ROW()-5,N($X358)+1,N($X358)))</f>
        <v>0</v>
      </c>
      <c r="Z359" t="str">
        <f t="shared" si="59"/>
        <v/>
      </c>
      <c r="AA359">
        <f>IF($V359="",N($AA358),IF(MATCH($V359,$V$6:$V$10005,0)=ROW()-5,N($AA358)+1,N($AA358)))</f>
        <v>0</v>
      </c>
    </row>
    <row r="360" spans="1:27" ht="21" customHeight="1" x14ac:dyDescent="0.95">
      <c r="A360" s="56"/>
      <c r="B360" s="57"/>
      <c r="C360" s="57"/>
      <c r="D360" s="57"/>
      <c r="E360" s="56"/>
      <c r="F360" s="57"/>
      <c r="G360" s="57"/>
      <c r="H360" s="56"/>
      <c r="I360" s="56"/>
      <c r="J360" s="58"/>
      <c r="K360" s="58"/>
      <c r="L360" s="13" t="str">
        <f t="shared" si="50"/>
        <v/>
      </c>
      <c r="M360" s="13" t="str">
        <f t="shared" si="51"/>
        <v/>
      </c>
      <c r="Q360" t="str">
        <f t="shared" si="52"/>
        <v/>
      </c>
      <c r="R360" t="str">
        <f t="shared" si="53"/>
        <v/>
      </c>
      <c r="S360" t="str">
        <f t="shared" si="54"/>
        <v/>
      </c>
      <c r="T360" t="str">
        <f t="shared" si="55"/>
        <v/>
      </c>
      <c r="U360" t="str">
        <f t="shared" si="56"/>
        <v/>
      </c>
      <c r="V360" t="str">
        <f t="shared" si="57"/>
        <v/>
      </c>
      <c r="W360" t="str">
        <f t="shared" si="58"/>
        <v/>
      </c>
      <c r="X360">
        <f>IF($T360="",N($X359),IF(MATCH($T360,$T$6:$T$10005,0)=ROW()-5,N($X359)+1,N($X359)))</f>
        <v>0</v>
      </c>
      <c r="Z360" t="str">
        <f t="shared" si="59"/>
        <v/>
      </c>
      <c r="AA360">
        <f>IF($V360="",N($AA359),IF(MATCH($V360,$V$6:$V$10005,0)=ROW()-5,N($AA359)+1,N($AA359)))</f>
        <v>0</v>
      </c>
    </row>
    <row r="361" spans="1:27" ht="21" customHeight="1" x14ac:dyDescent="0.95">
      <c r="A361" s="56"/>
      <c r="B361" s="57"/>
      <c r="C361" s="57"/>
      <c r="D361" s="57"/>
      <c r="E361" s="56"/>
      <c r="F361" s="57"/>
      <c r="G361" s="57"/>
      <c r="H361" s="56"/>
      <c r="I361" s="56"/>
      <c r="J361" s="58"/>
      <c r="K361" s="58"/>
      <c r="L361" s="13" t="str">
        <f t="shared" si="50"/>
        <v/>
      </c>
      <c r="M361" s="13" t="str">
        <f t="shared" si="51"/>
        <v/>
      </c>
      <c r="Q361" t="str">
        <f t="shared" si="52"/>
        <v/>
      </c>
      <c r="R361" t="str">
        <f t="shared" si="53"/>
        <v/>
      </c>
      <c r="S361" t="str">
        <f t="shared" si="54"/>
        <v/>
      </c>
      <c r="T361" t="str">
        <f t="shared" si="55"/>
        <v/>
      </c>
      <c r="U361" t="str">
        <f t="shared" si="56"/>
        <v/>
      </c>
      <c r="V361" t="str">
        <f t="shared" si="57"/>
        <v/>
      </c>
      <c r="W361" t="str">
        <f t="shared" si="58"/>
        <v/>
      </c>
      <c r="X361">
        <f>IF($T361="",N($X360),IF(MATCH($T361,$T$6:$T$10005,0)=ROW()-5,N($X360)+1,N($X360)))</f>
        <v>0</v>
      </c>
      <c r="Z361" t="str">
        <f t="shared" si="59"/>
        <v/>
      </c>
      <c r="AA361">
        <f>IF($V361="",N($AA360),IF(MATCH($V361,$V$6:$V$10005,0)=ROW()-5,N($AA360)+1,N($AA360)))</f>
        <v>0</v>
      </c>
    </row>
    <row r="362" spans="1:27" ht="21" customHeight="1" x14ac:dyDescent="0.95">
      <c r="A362" s="56"/>
      <c r="B362" s="57"/>
      <c r="C362" s="57"/>
      <c r="D362" s="57"/>
      <c r="E362" s="56"/>
      <c r="F362" s="57"/>
      <c r="G362" s="57"/>
      <c r="H362" s="56"/>
      <c r="I362" s="56"/>
      <c r="J362" s="58"/>
      <c r="K362" s="58"/>
      <c r="L362" s="13" t="str">
        <f t="shared" si="50"/>
        <v/>
      </c>
      <c r="M362" s="13" t="str">
        <f t="shared" si="51"/>
        <v/>
      </c>
      <c r="Q362" t="str">
        <f t="shared" si="52"/>
        <v/>
      </c>
      <c r="R362" t="str">
        <f t="shared" si="53"/>
        <v/>
      </c>
      <c r="S362" t="str">
        <f t="shared" si="54"/>
        <v/>
      </c>
      <c r="T362" t="str">
        <f t="shared" si="55"/>
        <v/>
      </c>
      <c r="U362" t="str">
        <f t="shared" si="56"/>
        <v/>
      </c>
      <c r="V362" t="str">
        <f t="shared" si="57"/>
        <v/>
      </c>
      <c r="W362" t="str">
        <f t="shared" si="58"/>
        <v/>
      </c>
      <c r="X362">
        <f>IF($T362="",N($X361),IF(MATCH($T362,$T$6:$T$10005,0)=ROW()-5,N($X361)+1,N($X361)))</f>
        <v>0</v>
      </c>
      <c r="Z362" t="str">
        <f t="shared" si="59"/>
        <v/>
      </c>
      <c r="AA362">
        <f>IF($V362="",N($AA361),IF(MATCH($V362,$V$6:$V$10005,0)=ROW()-5,N($AA361)+1,N($AA361)))</f>
        <v>0</v>
      </c>
    </row>
    <row r="363" spans="1:27" ht="21" customHeight="1" x14ac:dyDescent="0.95">
      <c r="A363" s="56"/>
      <c r="B363" s="57"/>
      <c r="C363" s="57"/>
      <c r="D363" s="57"/>
      <c r="E363" s="56"/>
      <c r="F363" s="57"/>
      <c r="G363" s="57"/>
      <c r="H363" s="56"/>
      <c r="I363" s="56"/>
      <c r="J363" s="58"/>
      <c r="K363" s="58"/>
      <c r="L363" s="13" t="str">
        <f t="shared" si="50"/>
        <v/>
      </c>
      <c r="M363" s="13" t="str">
        <f t="shared" si="51"/>
        <v/>
      </c>
      <c r="Q363" t="str">
        <f t="shared" si="52"/>
        <v/>
      </c>
      <c r="R363" t="str">
        <f t="shared" si="53"/>
        <v/>
      </c>
      <c r="S363" t="str">
        <f t="shared" si="54"/>
        <v/>
      </c>
      <c r="T363" t="str">
        <f t="shared" si="55"/>
        <v/>
      </c>
      <c r="U363" t="str">
        <f t="shared" si="56"/>
        <v/>
      </c>
      <c r="V363" t="str">
        <f t="shared" si="57"/>
        <v/>
      </c>
      <c r="W363" t="str">
        <f t="shared" si="58"/>
        <v/>
      </c>
      <c r="X363">
        <f>IF($T363="",N($X362),IF(MATCH($T363,$T$6:$T$10005,0)=ROW()-5,N($X362)+1,N($X362)))</f>
        <v>0</v>
      </c>
      <c r="Z363" t="str">
        <f t="shared" si="59"/>
        <v/>
      </c>
      <c r="AA363">
        <f>IF($V363="",N($AA362),IF(MATCH($V363,$V$6:$V$10005,0)=ROW()-5,N($AA362)+1,N($AA362)))</f>
        <v>0</v>
      </c>
    </row>
    <row r="364" spans="1:27" ht="21" customHeight="1" x14ac:dyDescent="0.95">
      <c r="A364" s="56"/>
      <c r="B364" s="57"/>
      <c r="C364" s="57"/>
      <c r="D364" s="57"/>
      <c r="E364" s="56"/>
      <c r="F364" s="57"/>
      <c r="G364" s="57"/>
      <c r="H364" s="56"/>
      <c r="I364" s="56"/>
      <c r="J364" s="58"/>
      <c r="K364" s="58"/>
      <c r="L364" s="13" t="str">
        <f t="shared" si="50"/>
        <v/>
      </c>
      <c r="M364" s="13" t="str">
        <f t="shared" si="51"/>
        <v/>
      </c>
      <c r="Q364" t="str">
        <f t="shared" si="52"/>
        <v/>
      </c>
      <c r="R364" t="str">
        <f t="shared" si="53"/>
        <v/>
      </c>
      <c r="S364" t="str">
        <f t="shared" si="54"/>
        <v/>
      </c>
      <c r="T364" t="str">
        <f t="shared" si="55"/>
        <v/>
      </c>
      <c r="U364" t="str">
        <f t="shared" si="56"/>
        <v/>
      </c>
      <c r="V364" t="str">
        <f t="shared" si="57"/>
        <v/>
      </c>
      <c r="W364" t="str">
        <f t="shared" si="58"/>
        <v/>
      </c>
      <c r="X364">
        <f>IF($T364="",N($X363),IF(MATCH($T364,$T$6:$T$10005,0)=ROW()-5,N($X363)+1,N($X363)))</f>
        <v>0</v>
      </c>
      <c r="Z364" t="str">
        <f t="shared" si="59"/>
        <v/>
      </c>
      <c r="AA364">
        <f>IF($V364="",N($AA363),IF(MATCH($V364,$V$6:$V$10005,0)=ROW()-5,N($AA363)+1,N($AA363)))</f>
        <v>0</v>
      </c>
    </row>
    <row r="365" spans="1:27" ht="21" customHeight="1" x14ac:dyDescent="0.95">
      <c r="A365" s="56"/>
      <c r="B365" s="57"/>
      <c r="C365" s="57"/>
      <c r="D365" s="57"/>
      <c r="E365" s="56"/>
      <c r="F365" s="57"/>
      <c r="G365" s="57"/>
      <c r="H365" s="56"/>
      <c r="I365" s="56"/>
      <c r="J365" s="58"/>
      <c r="K365" s="58"/>
      <c r="L365" s="13" t="str">
        <f t="shared" si="50"/>
        <v/>
      </c>
      <c r="M365" s="13" t="str">
        <f t="shared" si="51"/>
        <v/>
      </c>
      <c r="Q365" t="str">
        <f t="shared" si="52"/>
        <v/>
      </c>
      <c r="R365" t="str">
        <f t="shared" si="53"/>
        <v/>
      </c>
      <c r="S365" t="str">
        <f t="shared" si="54"/>
        <v/>
      </c>
      <c r="T365" t="str">
        <f t="shared" si="55"/>
        <v/>
      </c>
      <c r="U365" t="str">
        <f t="shared" si="56"/>
        <v/>
      </c>
      <c r="V365" t="str">
        <f t="shared" si="57"/>
        <v/>
      </c>
      <c r="W365" t="str">
        <f t="shared" si="58"/>
        <v/>
      </c>
      <c r="X365">
        <f>IF($T365="",N($X364),IF(MATCH($T365,$T$6:$T$10005,0)=ROW()-5,N($X364)+1,N($X364)))</f>
        <v>0</v>
      </c>
      <c r="Z365" t="str">
        <f t="shared" si="59"/>
        <v/>
      </c>
      <c r="AA365">
        <f>IF($V365="",N($AA364),IF(MATCH($V365,$V$6:$V$10005,0)=ROW()-5,N($AA364)+1,N($AA364)))</f>
        <v>0</v>
      </c>
    </row>
    <row r="366" spans="1:27" ht="21" customHeight="1" x14ac:dyDescent="0.95">
      <c r="A366" s="56"/>
      <c r="B366" s="57"/>
      <c r="C366" s="57"/>
      <c r="D366" s="57"/>
      <c r="E366" s="56"/>
      <c r="F366" s="57"/>
      <c r="G366" s="57"/>
      <c r="H366" s="56"/>
      <c r="I366" s="56"/>
      <c r="J366" s="58"/>
      <c r="K366" s="58"/>
      <c r="L366" s="13" t="str">
        <f t="shared" si="50"/>
        <v/>
      </c>
      <c r="M366" s="13" t="str">
        <f t="shared" si="51"/>
        <v/>
      </c>
      <c r="Q366" t="str">
        <f t="shared" si="52"/>
        <v/>
      </c>
      <c r="R366" t="str">
        <f t="shared" si="53"/>
        <v/>
      </c>
      <c r="S366" t="str">
        <f t="shared" si="54"/>
        <v/>
      </c>
      <c r="T366" t="str">
        <f t="shared" si="55"/>
        <v/>
      </c>
      <c r="U366" t="str">
        <f t="shared" si="56"/>
        <v/>
      </c>
      <c r="V366" t="str">
        <f t="shared" si="57"/>
        <v/>
      </c>
      <c r="W366" t="str">
        <f t="shared" si="58"/>
        <v/>
      </c>
      <c r="X366">
        <f>IF($T366="",N($X365),IF(MATCH($T366,$T$6:$T$10005,0)=ROW()-5,N($X365)+1,N($X365)))</f>
        <v>0</v>
      </c>
      <c r="Z366" t="str">
        <f t="shared" si="59"/>
        <v/>
      </c>
      <c r="AA366">
        <f>IF($V366="",N($AA365),IF(MATCH($V366,$V$6:$V$10005,0)=ROW()-5,N($AA365)+1,N($AA365)))</f>
        <v>0</v>
      </c>
    </row>
    <row r="367" spans="1:27" ht="21" customHeight="1" x14ac:dyDescent="0.95">
      <c r="A367" s="56"/>
      <c r="B367" s="57"/>
      <c r="C367" s="57"/>
      <c r="D367" s="57"/>
      <c r="E367" s="56"/>
      <c r="F367" s="57"/>
      <c r="G367" s="57"/>
      <c r="H367" s="56"/>
      <c r="I367" s="56"/>
      <c r="J367" s="58"/>
      <c r="K367" s="58"/>
      <c r="L367" s="13" t="str">
        <f t="shared" si="50"/>
        <v/>
      </c>
      <c r="M367" s="13" t="str">
        <f t="shared" si="51"/>
        <v/>
      </c>
      <c r="Q367" t="str">
        <f t="shared" si="52"/>
        <v/>
      </c>
      <c r="R367" t="str">
        <f t="shared" si="53"/>
        <v/>
      </c>
      <c r="S367" t="str">
        <f t="shared" si="54"/>
        <v/>
      </c>
      <c r="T367" t="str">
        <f t="shared" si="55"/>
        <v/>
      </c>
      <c r="U367" t="str">
        <f t="shared" si="56"/>
        <v/>
      </c>
      <c r="V367" t="str">
        <f t="shared" si="57"/>
        <v/>
      </c>
      <c r="W367" t="str">
        <f t="shared" si="58"/>
        <v/>
      </c>
      <c r="X367">
        <f>IF($T367="",N($X366),IF(MATCH($T367,$T$6:$T$10005,0)=ROW()-5,N($X366)+1,N($X366)))</f>
        <v>0</v>
      </c>
      <c r="Z367" t="str">
        <f t="shared" si="59"/>
        <v/>
      </c>
      <c r="AA367">
        <f>IF($V367="",N($AA366),IF(MATCH($V367,$V$6:$V$10005,0)=ROW()-5,N($AA366)+1,N($AA366)))</f>
        <v>0</v>
      </c>
    </row>
    <row r="368" spans="1:27" ht="21" customHeight="1" x14ac:dyDescent="0.95">
      <c r="A368" s="56"/>
      <c r="B368" s="57"/>
      <c r="C368" s="57"/>
      <c r="D368" s="57"/>
      <c r="E368" s="56"/>
      <c r="F368" s="57"/>
      <c r="G368" s="57"/>
      <c r="H368" s="56"/>
      <c r="I368" s="56"/>
      <c r="J368" s="58"/>
      <c r="K368" s="58"/>
      <c r="L368" s="13" t="str">
        <f t="shared" si="50"/>
        <v/>
      </c>
      <c r="M368" s="13" t="str">
        <f t="shared" si="51"/>
        <v/>
      </c>
      <c r="Q368" t="str">
        <f t="shared" si="52"/>
        <v/>
      </c>
      <c r="R368" t="str">
        <f t="shared" si="53"/>
        <v/>
      </c>
      <c r="S368" t="str">
        <f t="shared" si="54"/>
        <v/>
      </c>
      <c r="T368" t="str">
        <f t="shared" si="55"/>
        <v/>
      </c>
      <c r="U368" t="str">
        <f t="shared" si="56"/>
        <v/>
      </c>
      <c r="V368" t="str">
        <f t="shared" si="57"/>
        <v/>
      </c>
      <c r="W368" t="str">
        <f t="shared" si="58"/>
        <v/>
      </c>
      <c r="X368">
        <f>IF($T368="",N($X367),IF(MATCH($T368,$T$6:$T$10005,0)=ROW()-5,N($X367)+1,N($X367)))</f>
        <v>0</v>
      </c>
      <c r="Z368" t="str">
        <f t="shared" si="59"/>
        <v/>
      </c>
      <c r="AA368">
        <f>IF($V368="",N($AA367),IF(MATCH($V368,$V$6:$V$10005,0)=ROW()-5,N($AA367)+1,N($AA367)))</f>
        <v>0</v>
      </c>
    </row>
    <row r="369" spans="1:27" ht="21" customHeight="1" x14ac:dyDescent="0.95">
      <c r="A369" s="56"/>
      <c r="B369" s="57"/>
      <c r="C369" s="57"/>
      <c r="D369" s="57"/>
      <c r="E369" s="56"/>
      <c r="F369" s="57"/>
      <c r="G369" s="57"/>
      <c r="H369" s="56"/>
      <c r="I369" s="56"/>
      <c r="J369" s="58"/>
      <c r="K369" s="58"/>
      <c r="L369" s="13" t="str">
        <f t="shared" si="50"/>
        <v/>
      </c>
      <c r="M369" s="13" t="str">
        <f t="shared" si="51"/>
        <v/>
      </c>
      <c r="Q369" t="str">
        <f t="shared" si="52"/>
        <v/>
      </c>
      <c r="R369" t="str">
        <f t="shared" si="53"/>
        <v/>
      </c>
      <c r="S369" t="str">
        <f t="shared" si="54"/>
        <v/>
      </c>
      <c r="T369" t="str">
        <f t="shared" si="55"/>
        <v/>
      </c>
      <c r="U369" t="str">
        <f t="shared" si="56"/>
        <v/>
      </c>
      <c r="V369" t="str">
        <f t="shared" si="57"/>
        <v/>
      </c>
      <c r="W369" t="str">
        <f t="shared" si="58"/>
        <v/>
      </c>
      <c r="X369">
        <f>IF($T369="",N($X368),IF(MATCH($T369,$T$6:$T$10005,0)=ROW()-5,N($X368)+1,N($X368)))</f>
        <v>0</v>
      </c>
      <c r="Z369" t="str">
        <f t="shared" si="59"/>
        <v/>
      </c>
      <c r="AA369">
        <f>IF($V369="",N($AA368),IF(MATCH($V369,$V$6:$V$10005,0)=ROW()-5,N($AA368)+1,N($AA368)))</f>
        <v>0</v>
      </c>
    </row>
    <row r="370" spans="1:27" ht="21" customHeight="1" x14ac:dyDescent="0.95">
      <c r="A370" s="56"/>
      <c r="B370" s="57"/>
      <c r="C370" s="57"/>
      <c r="D370" s="57"/>
      <c r="E370" s="56"/>
      <c r="F370" s="57"/>
      <c r="G370" s="57"/>
      <c r="H370" s="56"/>
      <c r="I370" s="56"/>
      <c r="J370" s="58"/>
      <c r="K370" s="58"/>
      <c r="L370" s="13" t="str">
        <f t="shared" si="50"/>
        <v/>
      </c>
      <c r="M370" s="13" t="str">
        <f t="shared" si="51"/>
        <v/>
      </c>
      <c r="Q370" t="str">
        <f t="shared" si="52"/>
        <v/>
      </c>
      <c r="R370" t="str">
        <f t="shared" si="53"/>
        <v/>
      </c>
      <c r="S370" t="str">
        <f t="shared" si="54"/>
        <v/>
      </c>
      <c r="T370" t="str">
        <f t="shared" si="55"/>
        <v/>
      </c>
      <c r="U370" t="str">
        <f t="shared" si="56"/>
        <v/>
      </c>
      <c r="V370" t="str">
        <f t="shared" si="57"/>
        <v/>
      </c>
      <c r="W370" t="str">
        <f t="shared" si="58"/>
        <v/>
      </c>
      <c r="X370">
        <f>IF($T370="",N($X369),IF(MATCH($T370,$T$6:$T$10005,0)=ROW()-5,N($X369)+1,N($X369)))</f>
        <v>0</v>
      </c>
      <c r="Z370" t="str">
        <f t="shared" si="59"/>
        <v/>
      </c>
      <c r="AA370">
        <f>IF($V370="",N($AA369),IF(MATCH($V370,$V$6:$V$10005,0)=ROW()-5,N($AA369)+1,N($AA369)))</f>
        <v>0</v>
      </c>
    </row>
    <row r="371" spans="1:27" ht="21" customHeight="1" x14ac:dyDescent="0.95">
      <c r="A371" s="56"/>
      <c r="B371" s="57"/>
      <c r="C371" s="57"/>
      <c r="D371" s="57"/>
      <c r="E371" s="56"/>
      <c r="F371" s="57"/>
      <c r="G371" s="57"/>
      <c r="H371" s="56"/>
      <c r="I371" s="56"/>
      <c r="J371" s="58"/>
      <c r="K371" s="58"/>
      <c r="L371" s="13" t="str">
        <f t="shared" si="50"/>
        <v/>
      </c>
      <c r="M371" s="13" t="str">
        <f t="shared" si="51"/>
        <v/>
      </c>
      <c r="Q371" t="str">
        <f t="shared" si="52"/>
        <v/>
      </c>
      <c r="R371" t="str">
        <f t="shared" si="53"/>
        <v/>
      </c>
      <c r="S371" t="str">
        <f t="shared" si="54"/>
        <v/>
      </c>
      <c r="T371" t="str">
        <f t="shared" si="55"/>
        <v/>
      </c>
      <c r="U371" t="str">
        <f t="shared" si="56"/>
        <v/>
      </c>
      <c r="V371" t="str">
        <f t="shared" si="57"/>
        <v/>
      </c>
      <c r="W371" t="str">
        <f t="shared" si="58"/>
        <v/>
      </c>
      <c r="X371">
        <f>IF($T371="",N($X370),IF(MATCH($T371,$T$6:$T$10005,0)=ROW()-5,N($X370)+1,N($X370)))</f>
        <v>0</v>
      </c>
      <c r="Z371" t="str">
        <f t="shared" si="59"/>
        <v/>
      </c>
      <c r="AA371">
        <f>IF($V371="",N($AA370),IF(MATCH($V371,$V$6:$V$10005,0)=ROW()-5,N($AA370)+1,N($AA370)))</f>
        <v>0</v>
      </c>
    </row>
    <row r="372" spans="1:27" ht="21" customHeight="1" x14ac:dyDescent="0.95">
      <c r="A372" s="56"/>
      <c r="B372" s="57"/>
      <c r="C372" s="57"/>
      <c r="D372" s="57"/>
      <c r="E372" s="56"/>
      <c r="F372" s="57"/>
      <c r="G372" s="57"/>
      <c r="H372" s="56"/>
      <c r="I372" s="56"/>
      <c r="J372" s="58"/>
      <c r="K372" s="58"/>
      <c r="L372" s="13" t="str">
        <f t="shared" si="50"/>
        <v/>
      </c>
      <c r="M372" s="13" t="str">
        <f t="shared" si="51"/>
        <v/>
      </c>
      <c r="Q372" t="str">
        <f t="shared" si="52"/>
        <v/>
      </c>
      <c r="R372" t="str">
        <f t="shared" si="53"/>
        <v/>
      </c>
      <c r="S372" t="str">
        <f t="shared" si="54"/>
        <v/>
      </c>
      <c r="T372" t="str">
        <f t="shared" si="55"/>
        <v/>
      </c>
      <c r="U372" t="str">
        <f t="shared" si="56"/>
        <v/>
      </c>
      <c r="V372" t="str">
        <f t="shared" si="57"/>
        <v/>
      </c>
      <c r="W372" t="str">
        <f t="shared" si="58"/>
        <v/>
      </c>
      <c r="X372">
        <f>IF($T372="",N($X371),IF(MATCH($T372,$T$6:$T$10005,0)=ROW()-5,N($X371)+1,N($X371)))</f>
        <v>0</v>
      </c>
      <c r="Z372" t="str">
        <f t="shared" si="59"/>
        <v/>
      </c>
      <c r="AA372">
        <f>IF($V372="",N($AA371),IF(MATCH($V372,$V$6:$V$10005,0)=ROW()-5,N($AA371)+1,N($AA371)))</f>
        <v>0</v>
      </c>
    </row>
    <row r="373" spans="1:27" ht="21" customHeight="1" x14ac:dyDescent="0.95">
      <c r="A373" s="56"/>
      <c r="B373" s="57"/>
      <c r="C373" s="57"/>
      <c r="D373" s="57"/>
      <c r="E373" s="56"/>
      <c r="F373" s="57"/>
      <c r="G373" s="57"/>
      <c r="H373" s="56"/>
      <c r="I373" s="56"/>
      <c r="J373" s="58"/>
      <c r="K373" s="58"/>
      <c r="L373" s="13" t="str">
        <f t="shared" si="50"/>
        <v/>
      </c>
      <c r="M373" s="13" t="str">
        <f t="shared" si="51"/>
        <v/>
      </c>
      <c r="Q373" t="str">
        <f t="shared" si="52"/>
        <v/>
      </c>
      <c r="R373" t="str">
        <f t="shared" si="53"/>
        <v/>
      </c>
      <c r="S373" t="str">
        <f t="shared" si="54"/>
        <v/>
      </c>
      <c r="T373" t="str">
        <f t="shared" si="55"/>
        <v/>
      </c>
      <c r="U373" t="str">
        <f t="shared" si="56"/>
        <v/>
      </c>
      <c r="V373" t="str">
        <f t="shared" si="57"/>
        <v/>
      </c>
      <c r="W373" t="str">
        <f t="shared" si="58"/>
        <v/>
      </c>
      <c r="X373">
        <f>IF($T373="",N($X372),IF(MATCH($T373,$T$6:$T$10005,0)=ROW()-5,N($X372)+1,N($X372)))</f>
        <v>0</v>
      </c>
      <c r="Z373" t="str">
        <f t="shared" si="59"/>
        <v/>
      </c>
      <c r="AA373">
        <f>IF($V373="",N($AA372),IF(MATCH($V373,$V$6:$V$10005,0)=ROW()-5,N($AA372)+1,N($AA372)))</f>
        <v>0</v>
      </c>
    </row>
    <row r="374" spans="1:27" ht="21" customHeight="1" x14ac:dyDescent="0.95">
      <c r="A374" s="56"/>
      <c r="B374" s="57"/>
      <c r="C374" s="57"/>
      <c r="D374" s="57"/>
      <c r="E374" s="56"/>
      <c r="F374" s="57"/>
      <c r="G374" s="57"/>
      <c r="H374" s="56"/>
      <c r="I374" s="56"/>
      <c r="J374" s="58"/>
      <c r="K374" s="58"/>
      <c r="L374" s="13" t="str">
        <f t="shared" si="50"/>
        <v/>
      </c>
      <c r="M374" s="13" t="str">
        <f t="shared" si="51"/>
        <v/>
      </c>
      <c r="Q374" t="str">
        <f t="shared" si="52"/>
        <v/>
      </c>
      <c r="R374" t="str">
        <f t="shared" si="53"/>
        <v/>
      </c>
      <c r="S374" t="str">
        <f t="shared" si="54"/>
        <v/>
      </c>
      <c r="T374" t="str">
        <f t="shared" si="55"/>
        <v/>
      </c>
      <c r="U374" t="str">
        <f t="shared" si="56"/>
        <v/>
      </c>
      <c r="V374" t="str">
        <f t="shared" si="57"/>
        <v/>
      </c>
      <c r="W374" t="str">
        <f t="shared" si="58"/>
        <v/>
      </c>
      <c r="X374">
        <f>IF($T374="",N($X373),IF(MATCH($T374,$T$6:$T$10005,0)=ROW()-5,N($X373)+1,N($X373)))</f>
        <v>0</v>
      </c>
      <c r="Z374" t="str">
        <f t="shared" si="59"/>
        <v/>
      </c>
      <c r="AA374">
        <f>IF($V374="",N($AA373),IF(MATCH($V374,$V$6:$V$10005,0)=ROW()-5,N($AA373)+1,N($AA373)))</f>
        <v>0</v>
      </c>
    </row>
    <row r="375" spans="1:27" ht="21" customHeight="1" x14ac:dyDescent="0.95">
      <c r="A375" s="56"/>
      <c r="B375" s="57"/>
      <c r="C375" s="57"/>
      <c r="D375" s="57"/>
      <c r="E375" s="56"/>
      <c r="F375" s="57"/>
      <c r="G375" s="57"/>
      <c r="H375" s="56"/>
      <c r="I375" s="56"/>
      <c r="J375" s="58"/>
      <c r="K375" s="58"/>
      <c r="L375" s="13" t="str">
        <f t="shared" si="50"/>
        <v/>
      </c>
      <c r="M375" s="13" t="str">
        <f t="shared" si="51"/>
        <v/>
      </c>
      <c r="Q375" t="str">
        <f t="shared" si="52"/>
        <v/>
      </c>
      <c r="R375" t="str">
        <f t="shared" si="53"/>
        <v/>
      </c>
      <c r="S375" t="str">
        <f t="shared" si="54"/>
        <v/>
      </c>
      <c r="T375" t="str">
        <f t="shared" si="55"/>
        <v/>
      </c>
      <c r="U375" t="str">
        <f t="shared" si="56"/>
        <v/>
      </c>
      <c r="V375" t="str">
        <f t="shared" si="57"/>
        <v/>
      </c>
      <c r="W375" t="str">
        <f t="shared" si="58"/>
        <v/>
      </c>
      <c r="X375">
        <f>IF($T375="",N($X374),IF(MATCH($T375,$T$6:$T$10005,0)=ROW()-5,N($X374)+1,N($X374)))</f>
        <v>0</v>
      </c>
      <c r="Z375" t="str">
        <f t="shared" si="59"/>
        <v/>
      </c>
      <c r="AA375">
        <f>IF($V375="",N($AA374),IF(MATCH($V375,$V$6:$V$10005,0)=ROW()-5,N($AA374)+1,N($AA374)))</f>
        <v>0</v>
      </c>
    </row>
    <row r="376" spans="1:27" ht="21" customHeight="1" x14ac:dyDescent="0.95">
      <c r="A376" s="56"/>
      <c r="B376" s="57"/>
      <c r="C376" s="57"/>
      <c r="D376" s="57"/>
      <c r="E376" s="56"/>
      <c r="F376" s="57"/>
      <c r="G376" s="57"/>
      <c r="H376" s="56"/>
      <c r="I376" s="56"/>
      <c r="J376" s="58"/>
      <c r="K376" s="58"/>
      <c r="L376" s="13" t="str">
        <f t="shared" si="50"/>
        <v/>
      </c>
      <c r="M376" s="13" t="str">
        <f t="shared" si="51"/>
        <v/>
      </c>
      <c r="Q376" t="str">
        <f t="shared" si="52"/>
        <v/>
      </c>
      <c r="R376" t="str">
        <f t="shared" si="53"/>
        <v/>
      </c>
      <c r="S376" t="str">
        <f t="shared" si="54"/>
        <v/>
      </c>
      <c r="T376" t="str">
        <f t="shared" si="55"/>
        <v/>
      </c>
      <c r="U376" t="str">
        <f t="shared" si="56"/>
        <v/>
      </c>
      <c r="V376" t="str">
        <f t="shared" si="57"/>
        <v/>
      </c>
      <c r="W376" t="str">
        <f t="shared" si="58"/>
        <v/>
      </c>
      <c r="X376">
        <f>IF($T376="",N($X375),IF(MATCH($T376,$T$6:$T$10005,0)=ROW()-5,N($X375)+1,N($X375)))</f>
        <v>0</v>
      </c>
      <c r="Z376" t="str">
        <f t="shared" si="59"/>
        <v/>
      </c>
      <c r="AA376">
        <f>IF($V376="",N($AA375),IF(MATCH($V376,$V$6:$V$10005,0)=ROW()-5,N($AA375)+1,N($AA375)))</f>
        <v>0</v>
      </c>
    </row>
    <row r="377" spans="1:27" ht="21" customHeight="1" x14ac:dyDescent="0.95">
      <c r="A377" s="56"/>
      <c r="B377" s="57"/>
      <c r="C377" s="57"/>
      <c r="D377" s="57"/>
      <c r="E377" s="56"/>
      <c r="F377" s="57"/>
      <c r="G377" s="57"/>
      <c r="H377" s="56"/>
      <c r="I377" s="56"/>
      <c r="J377" s="58"/>
      <c r="K377" s="58"/>
      <c r="L377" s="13" t="str">
        <f t="shared" si="50"/>
        <v/>
      </c>
      <c r="M377" s="13" t="str">
        <f t="shared" si="51"/>
        <v/>
      </c>
      <c r="Q377" t="str">
        <f t="shared" si="52"/>
        <v/>
      </c>
      <c r="R377" t="str">
        <f t="shared" si="53"/>
        <v/>
      </c>
      <c r="S377" t="str">
        <f t="shared" si="54"/>
        <v/>
      </c>
      <c r="T377" t="str">
        <f t="shared" si="55"/>
        <v/>
      </c>
      <c r="U377" t="str">
        <f t="shared" si="56"/>
        <v/>
      </c>
      <c r="V377" t="str">
        <f t="shared" si="57"/>
        <v/>
      </c>
      <c r="W377" t="str">
        <f t="shared" si="58"/>
        <v/>
      </c>
      <c r="X377">
        <f>IF($T377="",N($X376),IF(MATCH($T377,$T$6:$T$10005,0)=ROW()-5,N($X376)+1,N($X376)))</f>
        <v>0</v>
      </c>
      <c r="Z377" t="str">
        <f t="shared" si="59"/>
        <v/>
      </c>
      <c r="AA377">
        <f>IF($V377="",N($AA376),IF(MATCH($V377,$V$6:$V$10005,0)=ROW()-5,N($AA376)+1,N($AA376)))</f>
        <v>0</v>
      </c>
    </row>
    <row r="378" spans="1:27" ht="21" customHeight="1" x14ac:dyDescent="0.95">
      <c r="A378" s="56"/>
      <c r="B378" s="57"/>
      <c r="C378" s="57"/>
      <c r="D378" s="57"/>
      <c r="E378" s="56"/>
      <c r="F378" s="57"/>
      <c r="G378" s="57"/>
      <c r="H378" s="56"/>
      <c r="I378" s="56"/>
      <c r="J378" s="58"/>
      <c r="K378" s="58"/>
      <c r="L378" s="13" t="str">
        <f t="shared" si="50"/>
        <v/>
      </c>
      <c r="M378" s="13" t="str">
        <f t="shared" si="51"/>
        <v/>
      </c>
      <c r="Q378" t="str">
        <f t="shared" si="52"/>
        <v/>
      </c>
      <c r="R378" t="str">
        <f t="shared" si="53"/>
        <v/>
      </c>
      <c r="S378" t="str">
        <f t="shared" si="54"/>
        <v/>
      </c>
      <c r="T378" t="str">
        <f t="shared" si="55"/>
        <v/>
      </c>
      <c r="U378" t="str">
        <f t="shared" si="56"/>
        <v/>
      </c>
      <c r="V378" t="str">
        <f t="shared" si="57"/>
        <v/>
      </c>
      <c r="W378" t="str">
        <f t="shared" si="58"/>
        <v/>
      </c>
      <c r="X378">
        <f>IF($T378="",N($X377),IF(MATCH($T378,$T$6:$T$10005,0)=ROW()-5,N($X377)+1,N($X377)))</f>
        <v>0</v>
      </c>
      <c r="Z378" t="str">
        <f t="shared" si="59"/>
        <v/>
      </c>
      <c r="AA378">
        <f>IF($V378="",N($AA377),IF(MATCH($V378,$V$6:$V$10005,0)=ROW()-5,N($AA377)+1,N($AA377)))</f>
        <v>0</v>
      </c>
    </row>
    <row r="379" spans="1:27" ht="21" customHeight="1" x14ac:dyDescent="0.95">
      <c r="A379" s="56"/>
      <c r="B379" s="57"/>
      <c r="C379" s="57"/>
      <c r="D379" s="57"/>
      <c r="E379" s="56"/>
      <c r="F379" s="57"/>
      <c r="G379" s="57"/>
      <c r="H379" s="56"/>
      <c r="I379" s="56"/>
      <c r="J379" s="58"/>
      <c r="K379" s="58"/>
      <c r="L379" s="13" t="str">
        <f t="shared" si="50"/>
        <v/>
      </c>
      <c r="M379" s="13" t="str">
        <f t="shared" si="51"/>
        <v/>
      </c>
      <c r="Q379" t="str">
        <f t="shared" si="52"/>
        <v/>
      </c>
      <c r="R379" t="str">
        <f t="shared" si="53"/>
        <v/>
      </c>
      <c r="S379" t="str">
        <f t="shared" si="54"/>
        <v/>
      </c>
      <c r="T379" t="str">
        <f t="shared" si="55"/>
        <v/>
      </c>
      <c r="U379" t="str">
        <f t="shared" si="56"/>
        <v/>
      </c>
      <c r="V379" t="str">
        <f t="shared" si="57"/>
        <v/>
      </c>
      <c r="W379" t="str">
        <f t="shared" si="58"/>
        <v/>
      </c>
      <c r="X379">
        <f>IF($T379="",N($X378),IF(MATCH($T379,$T$6:$T$10005,0)=ROW()-5,N($X378)+1,N($X378)))</f>
        <v>0</v>
      </c>
      <c r="Z379" t="str">
        <f t="shared" si="59"/>
        <v/>
      </c>
      <c r="AA379">
        <f>IF($V379="",N($AA378),IF(MATCH($V379,$V$6:$V$10005,0)=ROW()-5,N($AA378)+1,N($AA378)))</f>
        <v>0</v>
      </c>
    </row>
    <row r="380" spans="1:27" ht="21" customHeight="1" x14ac:dyDescent="0.95">
      <c r="A380" s="56"/>
      <c r="B380" s="57"/>
      <c r="C380" s="57"/>
      <c r="D380" s="57"/>
      <c r="E380" s="56"/>
      <c r="F380" s="57"/>
      <c r="G380" s="57"/>
      <c r="H380" s="56"/>
      <c r="I380" s="56"/>
      <c r="J380" s="58"/>
      <c r="K380" s="58"/>
      <c r="L380" s="13" t="str">
        <f t="shared" si="50"/>
        <v/>
      </c>
      <c r="M380" s="13" t="str">
        <f t="shared" si="51"/>
        <v/>
      </c>
      <c r="Q380" t="str">
        <f t="shared" si="52"/>
        <v/>
      </c>
      <c r="R380" t="str">
        <f t="shared" si="53"/>
        <v/>
      </c>
      <c r="S380" t="str">
        <f t="shared" si="54"/>
        <v/>
      </c>
      <c r="T380" t="str">
        <f t="shared" si="55"/>
        <v/>
      </c>
      <c r="U380" t="str">
        <f t="shared" si="56"/>
        <v/>
      </c>
      <c r="V380" t="str">
        <f t="shared" si="57"/>
        <v/>
      </c>
      <c r="W380" t="str">
        <f t="shared" si="58"/>
        <v/>
      </c>
      <c r="X380">
        <f>IF($T380="",N($X379),IF(MATCH($T380,$T$6:$T$10005,0)=ROW()-5,N($X379)+1,N($X379)))</f>
        <v>0</v>
      </c>
      <c r="Z380" t="str">
        <f t="shared" si="59"/>
        <v/>
      </c>
      <c r="AA380">
        <f>IF($V380="",N($AA379),IF(MATCH($V380,$V$6:$V$10005,0)=ROW()-5,N($AA379)+1,N($AA379)))</f>
        <v>0</v>
      </c>
    </row>
    <row r="381" spans="1:27" ht="21" customHeight="1" x14ac:dyDescent="0.95">
      <c r="A381" s="56"/>
      <c r="B381" s="57"/>
      <c r="C381" s="57"/>
      <c r="D381" s="57"/>
      <c r="E381" s="56"/>
      <c r="F381" s="57"/>
      <c r="G381" s="57"/>
      <c r="H381" s="56"/>
      <c r="I381" s="56"/>
      <c r="J381" s="58"/>
      <c r="K381" s="58"/>
      <c r="L381" s="13" t="str">
        <f t="shared" si="50"/>
        <v/>
      </c>
      <c r="M381" s="13" t="str">
        <f t="shared" si="51"/>
        <v/>
      </c>
      <c r="Q381" t="str">
        <f t="shared" si="52"/>
        <v/>
      </c>
      <c r="R381" t="str">
        <f t="shared" si="53"/>
        <v/>
      </c>
      <c r="S381" t="str">
        <f t="shared" si="54"/>
        <v/>
      </c>
      <c r="T381" t="str">
        <f t="shared" si="55"/>
        <v/>
      </c>
      <c r="U381" t="str">
        <f t="shared" si="56"/>
        <v/>
      </c>
      <c r="V381" t="str">
        <f t="shared" si="57"/>
        <v/>
      </c>
      <c r="W381" t="str">
        <f t="shared" si="58"/>
        <v/>
      </c>
      <c r="X381">
        <f>IF($T381="",N($X380),IF(MATCH($T381,$T$6:$T$10005,0)=ROW()-5,N($X380)+1,N($X380)))</f>
        <v>0</v>
      </c>
      <c r="Z381" t="str">
        <f t="shared" si="59"/>
        <v/>
      </c>
      <c r="AA381">
        <f>IF($V381="",N($AA380),IF(MATCH($V381,$V$6:$V$10005,0)=ROW()-5,N($AA380)+1,N($AA380)))</f>
        <v>0</v>
      </c>
    </row>
    <row r="382" spans="1:27" ht="21" customHeight="1" x14ac:dyDescent="0.95">
      <c r="A382" s="56"/>
      <c r="B382" s="57"/>
      <c r="C382" s="57"/>
      <c r="D382" s="57"/>
      <c r="E382" s="56"/>
      <c r="F382" s="57"/>
      <c r="G382" s="57"/>
      <c r="H382" s="56"/>
      <c r="I382" s="56"/>
      <c r="J382" s="58"/>
      <c r="K382" s="58"/>
      <c r="L382" s="13" t="str">
        <f t="shared" si="50"/>
        <v/>
      </c>
      <c r="M382" s="13" t="str">
        <f t="shared" si="51"/>
        <v/>
      </c>
      <c r="Q382" t="str">
        <f t="shared" si="52"/>
        <v/>
      </c>
      <c r="R382" t="str">
        <f t="shared" si="53"/>
        <v/>
      </c>
      <c r="S382" t="str">
        <f t="shared" si="54"/>
        <v/>
      </c>
      <c r="T382" t="str">
        <f t="shared" si="55"/>
        <v/>
      </c>
      <c r="U382" t="str">
        <f t="shared" si="56"/>
        <v/>
      </c>
      <c r="V382" t="str">
        <f t="shared" si="57"/>
        <v/>
      </c>
      <c r="W382" t="str">
        <f t="shared" si="58"/>
        <v/>
      </c>
      <c r="X382">
        <f>IF($T382="",N($X381),IF(MATCH($T382,$T$6:$T$10005,0)=ROW()-5,N($X381)+1,N($X381)))</f>
        <v>0</v>
      </c>
      <c r="Z382" t="str">
        <f t="shared" si="59"/>
        <v/>
      </c>
      <c r="AA382">
        <f>IF($V382="",N($AA381),IF(MATCH($V382,$V$6:$V$10005,0)=ROW()-5,N($AA381)+1,N($AA381)))</f>
        <v>0</v>
      </c>
    </row>
    <row r="383" spans="1:27" ht="21" customHeight="1" x14ac:dyDescent="0.95">
      <c r="A383" s="56"/>
      <c r="B383" s="57"/>
      <c r="C383" s="57"/>
      <c r="D383" s="57"/>
      <c r="E383" s="56"/>
      <c r="F383" s="57"/>
      <c r="G383" s="57"/>
      <c r="H383" s="56"/>
      <c r="I383" s="56"/>
      <c r="J383" s="58"/>
      <c r="K383" s="58"/>
      <c r="L383" s="13" t="str">
        <f t="shared" si="50"/>
        <v/>
      </c>
      <c r="M383" s="13" t="str">
        <f t="shared" si="51"/>
        <v/>
      </c>
      <c r="Q383" t="str">
        <f t="shared" si="52"/>
        <v/>
      </c>
      <c r="R383" t="str">
        <f t="shared" si="53"/>
        <v/>
      </c>
      <c r="S383" t="str">
        <f t="shared" si="54"/>
        <v/>
      </c>
      <c r="T383" t="str">
        <f t="shared" si="55"/>
        <v/>
      </c>
      <c r="U383" t="str">
        <f t="shared" si="56"/>
        <v/>
      </c>
      <c r="V383" t="str">
        <f t="shared" si="57"/>
        <v/>
      </c>
      <c r="W383" t="str">
        <f t="shared" si="58"/>
        <v/>
      </c>
      <c r="X383">
        <f>IF($T383="",N($X382),IF(MATCH($T383,$T$6:$T$10005,0)=ROW()-5,N($X382)+1,N($X382)))</f>
        <v>0</v>
      </c>
      <c r="Z383" t="str">
        <f t="shared" si="59"/>
        <v/>
      </c>
      <c r="AA383">
        <f>IF($V383="",N($AA382),IF(MATCH($V383,$V$6:$V$10005,0)=ROW()-5,N($AA382)+1,N($AA382)))</f>
        <v>0</v>
      </c>
    </row>
    <row r="384" spans="1:27" ht="21" customHeight="1" x14ac:dyDescent="0.95">
      <c r="A384" s="56"/>
      <c r="B384" s="57"/>
      <c r="C384" s="57"/>
      <c r="D384" s="57"/>
      <c r="E384" s="56"/>
      <c r="F384" s="57"/>
      <c r="G384" s="57"/>
      <c r="H384" s="56"/>
      <c r="I384" s="56"/>
      <c r="J384" s="58"/>
      <c r="K384" s="58"/>
      <c r="L384" s="13" t="str">
        <f t="shared" si="50"/>
        <v/>
      </c>
      <c r="M384" s="13" t="str">
        <f t="shared" si="51"/>
        <v/>
      </c>
      <c r="Q384" t="str">
        <f t="shared" si="52"/>
        <v/>
      </c>
      <c r="R384" t="str">
        <f t="shared" si="53"/>
        <v/>
      </c>
      <c r="S384" t="str">
        <f t="shared" si="54"/>
        <v/>
      </c>
      <c r="T384" t="str">
        <f t="shared" si="55"/>
        <v/>
      </c>
      <c r="U384" t="str">
        <f t="shared" si="56"/>
        <v/>
      </c>
      <c r="V384" t="str">
        <f t="shared" si="57"/>
        <v/>
      </c>
      <c r="W384" t="str">
        <f t="shared" si="58"/>
        <v/>
      </c>
      <c r="X384">
        <f>IF($T384="",N($X383),IF(MATCH($T384,$T$6:$T$10005,0)=ROW()-5,N($X383)+1,N($X383)))</f>
        <v>0</v>
      </c>
      <c r="Z384" t="str">
        <f t="shared" si="59"/>
        <v/>
      </c>
      <c r="AA384">
        <f>IF($V384="",N($AA383),IF(MATCH($V384,$V$6:$V$10005,0)=ROW()-5,N($AA383)+1,N($AA383)))</f>
        <v>0</v>
      </c>
    </row>
    <row r="385" spans="1:27" ht="21" customHeight="1" x14ac:dyDescent="0.95">
      <c r="A385" s="56"/>
      <c r="B385" s="57"/>
      <c r="C385" s="57"/>
      <c r="D385" s="57"/>
      <c r="E385" s="56"/>
      <c r="F385" s="57"/>
      <c r="G385" s="57"/>
      <c r="H385" s="56"/>
      <c r="I385" s="56"/>
      <c r="J385" s="58"/>
      <c r="K385" s="58"/>
      <c r="L385" s="13" t="str">
        <f t="shared" si="50"/>
        <v/>
      </c>
      <c r="M385" s="13" t="str">
        <f t="shared" si="51"/>
        <v/>
      </c>
      <c r="Q385" t="str">
        <f t="shared" si="52"/>
        <v/>
      </c>
      <c r="R385" t="str">
        <f t="shared" si="53"/>
        <v/>
      </c>
      <c r="S385" t="str">
        <f t="shared" si="54"/>
        <v/>
      </c>
      <c r="T385" t="str">
        <f t="shared" si="55"/>
        <v/>
      </c>
      <c r="U385" t="str">
        <f t="shared" si="56"/>
        <v/>
      </c>
      <c r="V385" t="str">
        <f t="shared" si="57"/>
        <v/>
      </c>
      <c r="W385" t="str">
        <f t="shared" si="58"/>
        <v/>
      </c>
      <c r="X385">
        <f>IF($T385="",N($X384),IF(MATCH($T385,$T$6:$T$10005,0)=ROW()-5,N($X384)+1,N($X384)))</f>
        <v>0</v>
      </c>
      <c r="Z385" t="str">
        <f t="shared" si="59"/>
        <v/>
      </c>
      <c r="AA385">
        <f>IF($V385="",N($AA384),IF(MATCH($V385,$V$6:$V$10005,0)=ROW()-5,N($AA384)+1,N($AA384)))</f>
        <v>0</v>
      </c>
    </row>
    <row r="386" spans="1:27" ht="21" customHeight="1" x14ac:dyDescent="0.95">
      <c r="A386" s="56"/>
      <c r="B386" s="57"/>
      <c r="C386" s="57"/>
      <c r="D386" s="57"/>
      <c r="E386" s="56"/>
      <c r="F386" s="57"/>
      <c r="G386" s="57"/>
      <c r="H386" s="56"/>
      <c r="I386" s="56"/>
      <c r="J386" s="58"/>
      <c r="K386" s="58"/>
      <c r="L386" s="13" t="str">
        <f t="shared" si="50"/>
        <v/>
      </c>
      <c r="M386" s="13" t="str">
        <f t="shared" si="51"/>
        <v/>
      </c>
      <c r="Q386" t="str">
        <f t="shared" si="52"/>
        <v/>
      </c>
      <c r="R386" t="str">
        <f t="shared" si="53"/>
        <v/>
      </c>
      <c r="S386" t="str">
        <f t="shared" si="54"/>
        <v/>
      </c>
      <c r="T386" t="str">
        <f t="shared" si="55"/>
        <v/>
      </c>
      <c r="U386" t="str">
        <f t="shared" si="56"/>
        <v/>
      </c>
      <c r="V386" t="str">
        <f t="shared" si="57"/>
        <v/>
      </c>
      <c r="W386" t="str">
        <f t="shared" si="58"/>
        <v/>
      </c>
      <c r="X386">
        <f>IF($T386="",N($X385),IF(MATCH($T386,$T$6:$T$10005,0)=ROW()-5,N($X385)+1,N($X385)))</f>
        <v>0</v>
      </c>
      <c r="Z386" t="str">
        <f t="shared" si="59"/>
        <v/>
      </c>
      <c r="AA386">
        <f>IF($V386="",N($AA385),IF(MATCH($V386,$V$6:$V$10005,0)=ROW()-5,N($AA385)+1,N($AA385)))</f>
        <v>0</v>
      </c>
    </row>
    <row r="387" spans="1:27" ht="21" customHeight="1" x14ac:dyDescent="0.95">
      <c r="A387" s="56"/>
      <c r="B387" s="57"/>
      <c r="C387" s="57"/>
      <c r="D387" s="57"/>
      <c r="E387" s="56"/>
      <c r="F387" s="57"/>
      <c r="G387" s="57"/>
      <c r="H387" s="56"/>
      <c r="I387" s="56"/>
      <c r="J387" s="58"/>
      <c r="K387" s="58"/>
      <c r="L387" s="13" t="str">
        <f t="shared" si="50"/>
        <v/>
      </c>
      <c r="M387" s="13" t="str">
        <f t="shared" si="51"/>
        <v/>
      </c>
      <c r="Q387" t="str">
        <f t="shared" si="52"/>
        <v/>
      </c>
      <c r="R387" t="str">
        <f t="shared" si="53"/>
        <v/>
      </c>
      <c r="S387" t="str">
        <f t="shared" si="54"/>
        <v/>
      </c>
      <c r="T387" t="str">
        <f t="shared" si="55"/>
        <v/>
      </c>
      <c r="U387" t="str">
        <f t="shared" si="56"/>
        <v/>
      </c>
      <c r="V387" t="str">
        <f t="shared" si="57"/>
        <v/>
      </c>
      <c r="W387" t="str">
        <f t="shared" si="58"/>
        <v/>
      </c>
      <c r="X387">
        <f>IF($T387="",N($X386),IF(MATCH($T387,$T$6:$T$10005,0)=ROW()-5,N($X386)+1,N($X386)))</f>
        <v>0</v>
      </c>
      <c r="Z387" t="str">
        <f t="shared" si="59"/>
        <v/>
      </c>
      <c r="AA387">
        <f>IF($V387="",N($AA386),IF(MATCH($V387,$V$6:$V$10005,0)=ROW()-5,N($AA386)+1,N($AA386)))</f>
        <v>0</v>
      </c>
    </row>
    <row r="388" spans="1:27" ht="21" customHeight="1" x14ac:dyDescent="0.95">
      <c r="A388" s="56"/>
      <c r="B388" s="57"/>
      <c r="C388" s="57"/>
      <c r="D388" s="57"/>
      <c r="E388" s="56"/>
      <c r="F388" s="57"/>
      <c r="G388" s="57"/>
      <c r="H388" s="56"/>
      <c r="I388" s="56"/>
      <c r="J388" s="58"/>
      <c r="K388" s="58"/>
      <c r="L388" s="13" t="str">
        <f t="shared" si="50"/>
        <v/>
      </c>
      <c r="M388" s="13" t="str">
        <f t="shared" si="51"/>
        <v/>
      </c>
      <c r="Q388" t="str">
        <f t="shared" si="52"/>
        <v/>
      </c>
      <c r="R388" t="str">
        <f t="shared" si="53"/>
        <v/>
      </c>
      <c r="S388" t="str">
        <f t="shared" si="54"/>
        <v/>
      </c>
      <c r="T388" t="str">
        <f t="shared" si="55"/>
        <v/>
      </c>
      <c r="U388" t="str">
        <f t="shared" si="56"/>
        <v/>
      </c>
      <c r="V388" t="str">
        <f t="shared" si="57"/>
        <v/>
      </c>
      <c r="W388" t="str">
        <f t="shared" si="58"/>
        <v/>
      </c>
      <c r="X388">
        <f>IF($T388="",N($X387),IF(MATCH($T388,$T$6:$T$10005,0)=ROW()-5,N($X387)+1,N($X387)))</f>
        <v>0</v>
      </c>
      <c r="Z388" t="str">
        <f t="shared" si="59"/>
        <v/>
      </c>
      <c r="AA388">
        <f>IF($V388="",N($AA387),IF(MATCH($V388,$V$6:$V$10005,0)=ROW()-5,N($AA387)+1,N($AA387)))</f>
        <v>0</v>
      </c>
    </row>
    <row r="389" spans="1:27" ht="21" customHeight="1" x14ac:dyDescent="0.95">
      <c r="A389" s="56"/>
      <c r="B389" s="57"/>
      <c r="C389" s="57"/>
      <c r="D389" s="57"/>
      <c r="E389" s="56"/>
      <c r="F389" s="57"/>
      <c r="G389" s="57"/>
      <c r="H389" s="56"/>
      <c r="I389" s="56"/>
      <c r="J389" s="58"/>
      <c r="K389" s="58"/>
      <c r="L389" s="13" t="str">
        <f t="shared" si="50"/>
        <v/>
      </c>
      <c r="M389" s="13" t="str">
        <f t="shared" si="51"/>
        <v/>
      </c>
      <c r="Q389" t="str">
        <f t="shared" si="52"/>
        <v/>
      </c>
      <c r="R389" t="str">
        <f t="shared" si="53"/>
        <v/>
      </c>
      <c r="S389" t="str">
        <f t="shared" si="54"/>
        <v/>
      </c>
      <c r="T389" t="str">
        <f t="shared" si="55"/>
        <v/>
      </c>
      <c r="U389" t="str">
        <f t="shared" si="56"/>
        <v/>
      </c>
      <c r="V389" t="str">
        <f t="shared" si="57"/>
        <v/>
      </c>
      <c r="W389" t="str">
        <f t="shared" si="58"/>
        <v/>
      </c>
      <c r="X389">
        <f>IF($T389="",N($X388),IF(MATCH($T389,$T$6:$T$10005,0)=ROW()-5,N($X388)+1,N($X388)))</f>
        <v>0</v>
      </c>
      <c r="Z389" t="str">
        <f t="shared" si="59"/>
        <v/>
      </c>
      <c r="AA389">
        <f>IF($V389="",N($AA388),IF(MATCH($V389,$V$6:$V$10005,0)=ROW()-5,N($AA388)+1,N($AA388)))</f>
        <v>0</v>
      </c>
    </row>
    <row r="390" spans="1:27" ht="21" customHeight="1" x14ac:dyDescent="0.95">
      <c r="A390" s="56"/>
      <c r="B390" s="57"/>
      <c r="C390" s="57"/>
      <c r="D390" s="57"/>
      <c r="E390" s="56"/>
      <c r="F390" s="57"/>
      <c r="G390" s="57"/>
      <c r="H390" s="56"/>
      <c r="I390" s="56"/>
      <c r="J390" s="58"/>
      <c r="K390" s="58"/>
      <c r="L390" s="13" t="str">
        <f t="shared" ref="L390:L453" si="60">IF(OR($A390="",AND($J390="",$K390="")),"",ROUND(N($J390)-N($K390),2))</f>
        <v/>
      </c>
      <c r="M390" s="13" t="str">
        <f t="shared" ref="M390:M453" si="61">IF(OR($A390="",AND($J390="",$K390="")),"",MIN($J390,$K390))</f>
        <v/>
      </c>
      <c r="Q390" t="str">
        <f t="shared" ref="Q390:Q453" si="62">IF($A390="","",$D390&amp;"("&amp;SUBSTITUTE($E390," ","")&amp;")")</f>
        <v/>
      </c>
      <c r="R390" t="str">
        <f t="shared" ref="R390:R453" si="63">IF($A390="","",$B390&amp;" - "&amp;$C390)</f>
        <v/>
      </c>
      <c r="S390" t="str">
        <f t="shared" ref="S390:S453" si="64">IF($A390="","",$R390&amp;"|"&amp;$Q390)</f>
        <v/>
      </c>
      <c r="T390" t="str">
        <f t="shared" ref="T390:T453" si="65">IF($A390="","",$S390&amp;"|"&amp;$F390)</f>
        <v/>
      </c>
      <c r="U390" t="str">
        <f t="shared" ref="U390:U453" si="66">IF($A390="","",$R390&amp;"("&amp;$E390&amp;")")</f>
        <v/>
      </c>
      <c r="V390" t="str">
        <f t="shared" ref="V390:V453" si="67">IF($A390="","",$F390&amp;"|"&amp;$U390&amp;"|"&amp;$D390)</f>
        <v/>
      </c>
      <c r="W390" t="str">
        <f t="shared" ref="W390:W453" si="68">IF($T390="","",IF($X390&gt;N($X389),$X390,""))</f>
        <v/>
      </c>
      <c r="X390">
        <f>IF($T390="",N($X389),IF(MATCH($T390,$T$6:$T$10005,0)=ROW()-5,N($X389)+1,N($X389)))</f>
        <v>0</v>
      </c>
      <c r="Z390" t="str">
        <f t="shared" ref="Z390:Z453" si="69">IF($V390="","",IF($AA390&gt;N($AA389),$AA390,""))</f>
        <v/>
      </c>
      <c r="AA390">
        <f>IF($V390="",N($AA389),IF(MATCH($V390,$V$6:$V$10005,0)=ROW()-5,N($AA389)+1,N($AA389)))</f>
        <v>0</v>
      </c>
    </row>
    <row r="391" spans="1:27" ht="21" customHeight="1" x14ac:dyDescent="0.95">
      <c r="A391" s="56"/>
      <c r="B391" s="57"/>
      <c r="C391" s="57"/>
      <c r="D391" s="57"/>
      <c r="E391" s="56"/>
      <c r="F391" s="57"/>
      <c r="G391" s="57"/>
      <c r="H391" s="56"/>
      <c r="I391" s="56"/>
      <c r="J391" s="58"/>
      <c r="K391" s="58"/>
      <c r="L391" s="13" t="str">
        <f t="shared" si="60"/>
        <v/>
      </c>
      <c r="M391" s="13" t="str">
        <f t="shared" si="61"/>
        <v/>
      </c>
      <c r="Q391" t="str">
        <f t="shared" si="62"/>
        <v/>
      </c>
      <c r="R391" t="str">
        <f t="shared" si="63"/>
        <v/>
      </c>
      <c r="S391" t="str">
        <f t="shared" si="64"/>
        <v/>
      </c>
      <c r="T391" t="str">
        <f t="shared" si="65"/>
        <v/>
      </c>
      <c r="U391" t="str">
        <f t="shared" si="66"/>
        <v/>
      </c>
      <c r="V391" t="str">
        <f t="shared" si="67"/>
        <v/>
      </c>
      <c r="W391" t="str">
        <f t="shared" si="68"/>
        <v/>
      </c>
      <c r="X391">
        <f>IF($T391="",N($X390),IF(MATCH($T391,$T$6:$T$10005,0)=ROW()-5,N($X390)+1,N($X390)))</f>
        <v>0</v>
      </c>
      <c r="Z391" t="str">
        <f t="shared" si="69"/>
        <v/>
      </c>
      <c r="AA391">
        <f>IF($V391="",N($AA390),IF(MATCH($V391,$V$6:$V$10005,0)=ROW()-5,N($AA390)+1,N($AA390)))</f>
        <v>0</v>
      </c>
    </row>
    <row r="392" spans="1:27" ht="21" customHeight="1" x14ac:dyDescent="0.95">
      <c r="A392" s="56"/>
      <c r="B392" s="57"/>
      <c r="C392" s="57"/>
      <c r="D392" s="57"/>
      <c r="E392" s="56"/>
      <c r="F392" s="57"/>
      <c r="G392" s="57"/>
      <c r="H392" s="56"/>
      <c r="I392" s="56"/>
      <c r="J392" s="58"/>
      <c r="K392" s="58"/>
      <c r="L392" s="13" t="str">
        <f t="shared" si="60"/>
        <v/>
      </c>
      <c r="M392" s="13" t="str">
        <f t="shared" si="61"/>
        <v/>
      </c>
      <c r="Q392" t="str">
        <f t="shared" si="62"/>
        <v/>
      </c>
      <c r="R392" t="str">
        <f t="shared" si="63"/>
        <v/>
      </c>
      <c r="S392" t="str">
        <f t="shared" si="64"/>
        <v/>
      </c>
      <c r="T392" t="str">
        <f t="shared" si="65"/>
        <v/>
      </c>
      <c r="U392" t="str">
        <f t="shared" si="66"/>
        <v/>
      </c>
      <c r="V392" t="str">
        <f t="shared" si="67"/>
        <v/>
      </c>
      <c r="W392" t="str">
        <f t="shared" si="68"/>
        <v/>
      </c>
      <c r="X392">
        <f>IF($T392="",N($X391),IF(MATCH($T392,$T$6:$T$10005,0)=ROW()-5,N($X391)+1,N($X391)))</f>
        <v>0</v>
      </c>
      <c r="Z392" t="str">
        <f t="shared" si="69"/>
        <v/>
      </c>
      <c r="AA392">
        <f>IF($V392="",N($AA391),IF(MATCH($V392,$V$6:$V$10005,0)=ROW()-5,N($AA391)+1,N($AA391)))</f>
        <v>0</v>
      </c>
    </row>
    <row r="393" spans="1:27" ht="21" customHeight="1" x14ac:dyDescent="0.95">
      <c r="A393" s="56"/>
      <c r="B393" s="57"/>
      <c r="C393" s="57"/>
      <c r="D393" s="57"/>
      <c r="E393" s="56"/>
      <c r="F393" s="57"/>
      <c r="G393" s="57"/>
      <c r="H393" s="56"/>
      <c r="I393" s="56"/>
      <c r="J393" s="58"/>
      <c r="K393" s="58"/>
      <c r="L393" s="13" t="str">
        <f t="shared" si="60"/>
        <v/>
      </c>
      <c r="M393" s="13" t="str">
        <f t="shared" si="61"/>
        <v/>
      </c>
      <c r="Q393" t="str">
        <f t="shared" si="62"/>
        <v/>
      </c>
      <c r="R393" t="str">
        <f t="shared" si="63"/>
        <v/>
      </c>
      <c r="S393" t="str">
        <f t="shared" si="64"/>
        <v/>
      </c>
      <c r="T393" t="str">
        <f t="shared" si="65"/>
        <v/>
      </c>
      <c r="U393" t="str">
        <f t="shared" si="66"/>
        <v/>
      </c>
      <c r="V393" t="str">
        <f t="shared" si="67"/>
        <v/>
      </c>
      <c r="W393" t="str">
        <f t="shared" si="68"/>
        <v/>
      </c>
      <c r="X393">
        <f>IF($T393="",N($X392),IF(MATCH($T393,$T$6:$T$10005,0)=ROW()-5,N($X392)+1,N($X392)))</f>
        <v>0</v>
      </c>
      <c r="Z393" t="str">
        <f t="shared" si="69"/>
        <v/>
      </c>
      <c r="AA393">
        <f>IF($V393="",N($AA392),IF(MATCH($V393,$V$6:$V$10005,0)=ROW()-5,N($AA392)+1,N($AA392)))</f>
        <v>0</v>
      </c>
    </row>
    <row r="394" spans="1:27" ht="21" customHeight="1" x14ac:dyDescent="0.95">
      <c r="A394" s="56"/>
      <c r="B394" s="57"/>
      <c r="C394" s="57"/>
      <c r="D394" s="57"/>
      <c r="E394" s="56"/>
      <c r="F394" s="57"/>
      <c r="G394" s="57"/>
      <c r="H394" s="56"/>
      <c r="I394" s="56"/>
      <c r="J394" s="58"/>
      <c r="K394" s="58"/>
      <c r="L394" s="13" t="str">
        <f t="shared" si="60"/>
        <v/>
      </c>
      <c r="M394" s="13" t="str">
        <f t="shared" si="61"/>
        <v/>
      </c>
      <c r="Q394" t="str">
        <f t="shared" si="62"/>
        <v/>
      </c>
      <c r="R394" t="str">
        <f t="shared" si="63"/>
        <v/>
      </c>
      <c r="S394" t="str">
        <f t="shared" si="64"/>
        <v/>
      </c>
      <c r="T394" t="str">
        <f t="shared" si="65"/>
        <v/>
      </c>
      <c r="U394" t="str">
        <f t="shared" si="66"/>
        <v/>
      </c>
      <c r="V394" t="str">
        <f t="shared" si="67"/>
        <v/>
      </c>
      <c r="W394" t="str">
        <f t="shared" si="68"/>
        <v/>
      </c>
      <c r="X394">
        <f>IF($T394="",N($X393),IF(MATCH($T394,$T$6:$T$10005,0)=ROW()-5,N($X393)+1,N($X393)))</f>
        <v>0</v>
      </c>
      <c r="Z394" t="str">
        <f t="shared" si="69"/>
        <v/>
      </c>
      <c r="AA394">
        <f>IF($V394="",N($AA393),IF(MATCH($V394,$V$6:$V$10005,0)=ROW()-5,N($AA393)+1,N($AA393)))</f>
        <v>0</v>
      </c>
    </row>
    <row r="395" spans="1:27" ht="21" customHeight="1" x14ac:dyDescent="0.95">
      <c r="A395" s="56"/>
      <c r="B395" s="57"/>
      <c r="C395" s="57"/>
      <c r="D395" s="57"/>
      <c r="E395" s="56"/>
      <c r="F395" s="57"/>
      <c r="G395" s="57"/>
      <c r="H395" s="56"/>
      <c r="I395" s="56"/>
      <c r="J395" s="58"/>
      <c r="K395" s="58"/>
      <c r="L395" s="13" t="str">
        <f t="shared" si="60"/>
        <v/>
      </c>
      <c r="M395" s="13" t="str">
        <f t="shared" si="61"/>
        <v/>
      </c>
      <c r="Q395" t="str">
        <f t="shared" si="62"/>
        <v/>
      </c>
      <c r="R395" t="str">
        <f t="shared" si="63"/>
        <v/>
      </c>
      <c r="S395" t="str">
        <f t="shared" si="64"/>
        <v/>
      </c>
      <c r="T395" t="str">
        <f t="shared" si="65"/>
        <v/>
      </c>
      <c r="U395" t="str">
        <f t="shared" si="66"/>
        <v/>
      </c>
      <c r="V395" t="str">
        <f t="shared" si="67"/>
        <v/>
      </c>
      <c r="W395" t="str">
        <f t="shared" si="68"/>
        <v/>
      </c>
      <c r="X395">
        <f>IF($T395="",N($X394),IF(MATCH($T395,$T$6:$T$10005,0)=ROW()-5,N($X394)+1,N($X394)))</f>
        <v>0</v>
      </c>
      <c r="Z395" t="str">
        <f t="shared" si="69"/>
        <v/>
      </c>
      <c r="AA395">
        <f>IF($V395="",N($AA394),IF(MATCH($V395,$V$6:$V$10005,0)=ROW()-5,N($AA394)+1,N($AA394)))</f>
        <v>0</v>
      </c>
    </row>
    <row r="396" spans="1:27" ht="21" customHeight="1" x14ac:dyDescent="0.95">
      <c r="A396" s="56"/>
      <c r="B396" s="57"/>
      <c r="C396" s="57"/>
      <c r="D396" s="57"/>
      <c r="E396" s="56"/>
      <c r="F396" s="57"/>
      <c r="G396" s="57"/>
      <c r="H396" s="56"/>
      <c r="I396" s="56"/>
      <c r="J396" s="58"/>
      <c r="K396" s="58"/>
      <c r="L396" s="13" t="str">
        <f t="shared" si="60"/>
        <v/>
      </c>
      <c r="M396" s="13" t="str">
        <f t="shared" si="61"/>
        <v/>
      </c>
      <c r="Q396" t="str">
        <f t="shared" si="62"/>
        <v/>
      </c>
      <c r="R396" t="str">
        <f t="shared" si="63"/>
        <v/>
      </c>
      <c r="S396" t="str">
        <f t="shared" si="64"/>
        <v/>
      </c>
      <c r="T396" t="str">
        <f t="shared" si="65"/>
        <v/>
      </c>
      <c r="U396" t="str">
        <f t="shared" si="66"/>
        <v/>
      </c>
      <c r="V396" t="str">
        <f t="shared" si="67"/>
        <v/>
      </c>
      <c r="W396" t="str">
        <f t="shared" si="68"/>
        <v/>
      </c>
      <c r="X396">
        <f>IF($T396="",N($X395),IF(MATCH($T396,$T$6:$T$10005,0)=ROW()-5,N($X395)+1,N($X395)))</f>
        <v>0</v>
      </c>
      <c r="Z396" t="str">
        <f t="shared" si="69"/>
        <v/>
      </c>
      <c r="AA396">
        <f>IF($V396="",N($AA395),IF(MATCH($V396,$V$6:$V$10005,0)=ROW()-5,N($AA395)+1,N($AA395)))</f>
        <v>0</v>
      </c>
    </row>
    <row r="397" spans="1:27" ht="21" customHeight="1" x14ac:dyDescent="0.95">
      <c r="A397" s="56"/>
      <c r="B397" s="57"/>
      <c r="C397" s="57"/>
      <c r="D397" s="57"/>
      <c r="E397" s="56"/>
      <c r="F397" s="57"/>
      <c r="G397" s="57"/>
      <c r="H397" s="56"/>
      <c r="I397" s="56"/>
      <c r="J397" s="58"/>
      <c r="K397" s="58"/>
      <c r="L397" s="13" t="str">
        <f t="shared" si="60"/>
        <v/>
      </c>
      <c r="M397" s="13" t="str">
        <f t="shared" si="61"/>
        <v/>
      </c>
      <c r="Q397" t="str">
        <f t="shared" si="62"/>
        <v/>
      </c>
      <c r="R397" t="str">
        <f t="shared" si="63"/>
        <v/>
      </c>
      <c r="S397" t="str">
        <f t="shared" si="64"/>
        <v/>
      </c>
      <c r="T397" t="str">
        <f t="shared" si="65"/>
        <v/>
      </c>
      <c r="U397" t="str">
        <f t="shared" si="66"/>
        <v/>
      </c>
      <c r="V397" t="str">
        <f t="shared" si="67"/>
        <v/>
      </c>
      <c r="W397" t="str">
        <f t="shared" si="68"/>
        <v/>
      </c>
      <c r="X397">
        <f>IF($T397="",N($X396),IF(MATCH($T397,$T$6:$T$10005,0)=ROW()-5,N($X396)+1,N($X396)))</f>
        <v>0</v>
      </c>
      <c r="Z397" t="str">
        <f t="shared" si="69"/>
        <v/>
      </c>
      <c r="AA397">
        <f>IF($V397="",N($AA396),IF(MATCH($V397,$V$6:$V$10005,0)=ROW()-5,N($AA396)+1,N($AA396)))</f>
        <v>0</v>
      </c>
    </row>
    <row r="398" spans="1:27" ht="21" customHeight="1" x14ac:dyDescent="0.95">
      <c r="A398" s="56"/>
      <c r="B398" s="57"/>
      <c r="C398" s="57"/>
      <c r="D398" s="57"/>
      <c r="E398" s="56"/>
      <c r="F398" s="57"/>
      <c r="G398" s="57"/>
      <c r="H398" s="56"/>
      <c r="I398" s="56"/>
      <c r="J398" s="58"/>
      <c r="K398" s="58"/>
      <c r="L398" s="13" t="str">
        <f t="shared" si="60"/>
        <v/>
      </c>
      <c r="M398" s="13" t="str">
        <f t="shared" si="61"/>
        <v/>
      </c>
      <c r="Q398" t="str">
        <f t="shared" si="62"/>
        <v/>
      </c>
      <c r="R398" t="str">
        <f t="shared" si="63"/>
        <v/>
      </c>
      <c r="S398" t="str">
        <f t="shared" si="64"/>
        <v/>
      </c>
      <c r="T398" t="str">
        <f t="shared" si="65"/>
        <v/>
      </c>
      <c r="U398" t="str">
        <f t="shared" si="66"/>
        <v/>
      </c>
      <c r="V398" t="str">
        <f t="shared" si="67"/>
        <v/>
      </c>
      <c r="W398" t="str">
        <f t="shared" si="68"/>
        <v/>
      </c>
      <c r="X398">
        <f>IF($T398="",N($X397),IF(MATCH($T398,$T$6:$T$10005,0)=ROW()-5,N($X397)+1,N($X397)))</f>
        <v>0</v>
      </c>
      <c r="Z398" t="str">
        <f t="shared" si="69"/>
        <v/>
      </c>
      <c r="AA398">
        <f>IF($V398="",N($AA397),IF(MATCH($V398,$V$6:$V$10005,0)=ROW()-5,N($AA397)+1,N($AA397)))</f>
        <v>0</v>
      </c>
    </row>
    <row r="399" spans="1:27" ht="21" customHeight="1" x14ac:dyDescent="0.95">
      <c r="A399" s="56"/>
      <c r="B399" s="57"/>
      <c r="C399" s="57"/>
      <c r="D399" s="57"/>
      <c r="E399" s="56"/>
      <c r="F399" s="57"/>
      <c r="G399" s="57"/>
      <c r="H399" s="56"/>
      <c r="I399" s="56"/>
      <c r="J399" s="58"/>
      <c r="K399" s="58"/>
      <c r="L399" s="13" t="str">
        <f t="shared" si="60"/>
        <v/>
      </c>
      <c r="M399" s="13" t="str">
        <f t="shared" si="61"/>
        <v/>
      </c>
      <c r="Q399" t="str">
        <f t="shared" si="62"/>
        <v/>
      </c>
      <c r="R399" t="str">
        <f t="shared" si="63"/>
        <v/>
      </c>
      <c r="S399" t="str">
        <f t="shared" si="64"/>
        <v/>
      </c>
      <c r="T399" t="str">
        <f t="shared" si="65"/>
        <v/>
      </c>
      <c r="U399" t="str">
        <f t="shared" si="66"/>
        <v/>
      </c>
      <c r="V399" t="str">
        <f t="shared" si="67"/>
        <v/>
      </c>
      <c r="W399" t="str">
        <f t="shared" si="68"/>
        <v/>
      </c>
      <c r="X399">
        <f>IF($T399="",N($X398),IF(MATCH($T399,$T$6:$T$10005,0)=ROW()-5,N($X398)+1,N($X398)))</f>
        <v>0</v>
      </c>
      <c r="Z399" t="str">
        <f t="shared" si="69"/>
        <v/>
      </c>
      <c r="AA399">
        <f>IF($V399="",N($AA398),IF(MATCH($V399,$V$6:$V$10005,0)=ROW()-5,N($AA398)+1,N($AA398)))</f>
        <v>0</v>
      </c>
    </row>
    <row r="400" spans="1:27" ht="21" customHeight="1" x14ac:dyDescent="0.95">
      <c r="A400" s="56"/>
      <c r="B400" s="57"/>
      <c r="C400" s="57"/>
      <c r="D400" s="57"/>
      <c r="E400" s="56"/>
      <c r="F400" s="57"/>
      <c r="G400" s="57"/>
      <c r="H400" s="56"/>
      <c r="I400" s="56"/>
      <c r="J400" s="58"/>
      <c r="K400" s="58"/>
      <c r="L400" s="13" t="str">
        <f t="shared" si="60"/>
        <v/>
      </c>
      <c r="M400" s="13" t="str">
        <f t="shared" si="61"/>
        <v/>
      </c>
      <c r="Q400" t="str">
        <f t="shared" si="62"/>
        <v/>
      </c>
      <c r="R400" t="str">
        <f t="shared" si="63"/>
        <v/>
      </c>
      <c r="S400" t="str">
        <f t="shared" si="64"/>
        <v/>
      </c>
      <c r="T400" t="str">
        <f t="shared" si="65"/>
        <v/>
      </c>
      <c r="U400" t="str">
        <f t="shared" si="66"/>
        <v/>
      </c>
      <c r="V400" t="str">
        <f t="shared" si="67"/>
        <v/>
      </c>
      <c r="W400" t="str">
        <f t="shared" si="68"/>
        <v/>
      </c>
      <c r="X400">
        <f>IF($T400="",N($X399),IF(MATCH($T400,$T$6:$T$10005,0)=ROW()-5,N($X399)+1,N($X399)))</f>
        <v>0</v>
      </c>
      <c r="Z400" t="str">
        <f t="shared" si="69"/>
        <v/>
      </c>
      <c r="AA400">
        <f>IF($V400="",N($AA399),IF(MATCH($V400,$V$6:$V$10005,0)=ROW()-5,N($AA399)+1,N($AA399)))</f>
        <v>0</v>
      </c>
    </row>
    <row r="401" spans="1:27" ht="21" customHeight="1" x14ac:dyDescent="0.95">
      <c r="A401" s="56"/>
      <c r="B401" s="57"/>
      <c r="C401" s="57"/>
      <c r="D401" s="57"/>
      <c r="E401" s="56"/>
      <c r="F401" s="57"/>
      <c r="G401" s="57"/>
      <c r="H401" s="56"/>
      <c r="I401" s="56"/>
      <c r="J401" s="58"/>
      <c r="K401" s="58"/>
      <c r="L401" s="13" t="str">
        <f t="shared" si="60"/>
        <v/>
      </c>
      <c r="M401" s="13" t="str">
        <f t="shared" si="61"/>
        <v/>
      </c>
      <c r="Q401" t="str">
        <f t="shared" si="62"/>
        <v/>
      </c>
      <c r="R401" t="str">
        <f t="shared" si="63"/>
        <v/>
      </c>
      <c r="S401" t="str">
        <f t="shared" si="64"/>
        <v/>
      </c>
      <c r="T401" t="str">
        <f t="shared" si="65"/>
        <v/>
      </c>
      <c r="U401" t="str">
        <f t="shared" si="66"/>
        <v/>
      </c>
      <c r="V401" t="str">
        <f t="shared" si="67"/>
        <v/>
      </c>
      <c r="W401" t="str">
        <f t="shared" si="68"/>
        <v/>
      </c>
      <c r="X401">
        <f>IF($T401="",N($X400),IF(MATCH($T401,$T$6:$T$10005,0)=ROW()-5,N($X400)+1,N($X400)))</f>
        <v>0</v>
      </c>
      <c r="Z401" t="str">
        <f t="shared" si="69"/>
        <v/>
      </c>
      <c r="AA401">
        <f>IF($V401="",N($AA400),IF(MATCH($V401,$V$6:$V$10005,0)=ROW()-5,N($AA400)+1,N($AA400)))</f>
        <v>0</v>
      </c>
    </row>
    <row r="402" spans="1:27" ht="21" customHeight="1" x14ac:dyDescent="0.95">
      <c r="A402" s="56"/>
      <c r="B402" s="57"/>
      <c r="C402" s="57"/>
      <c r="D402" s="57"/>
      <c r="E402" s="56"/>
      <c r="F402" s="57"/>
      <c r="G402" s="57"/>
      <c r="H402" s="56"/>
      <c r="I402" s="56"/>
      <c r="J402" s="58"/>
      <c r="K402" s="58"/>
      <c r="L402" s="13" t="str">
        <f t="shared" si="60"/>
        <v/>
      </c>
      <c r="M402" s="13" t="str">
        <f t="shared" si="61"/>
        <v/>
      </c>
      <c r="Q402" t="str">
        <f t="shared" si="62"/>
        <v/>
      </c>
      <c r="R402" t="str">
        <f t="shared" si="63"/>
        <v/>
      </c>
      <c r="S402" t="str">
        <f t="shared" si="64"/>
        <v/>
      </c>
      <c r="T402" t="str">
        <f t="shared" si="65"/>
        <v/>
      </c>
      <c r="U402" t="str">
        <f t="shared" si="66"/>
        <v/>
      </c>
      <c r="V402" t="str">
        <f t="shared" si="67"/>
        <v/>
      </c>
      <c r="W402" t="str">
        <f t="shared" si="68"/>
        <v/>
      </c>
      <c r="X402">
        <f>IF($T402="",N($X401),IF(MATCH($T402,$T$6:$T$10005,0)=ROW()-5,N($X401)+1,N($X401)))</f>
        <v>0</v>
      </c>
      <c r="Z402" t="str">
        <f t="shared" si="69"/>
        <v/>
      </c>
      <c r="AA402">
        <f>IF($V402="",N($AA401),IF(MATCH($V402,$V$6:$V$10005,0)=ROW()-5,N($AA401)+1,N($AA401)))</f>
        <v>0</v>
      </c>
    </row>
    <row r="403" spans="1:27" ht="21" customHeight="1" x14ac:dyDescent="0.95">
      <c r="A403" s="56"/>
      <c r="B403" s="57"/>
      <c r="C403" s="57"/>
      <c r="D403" s="57"/>
      <c r="E403" s="56"/>
      <c r="F403" s="57"/>
      <c r="G403" s="57"/>
      <c r="H403" s="56"/>
      <c r="I403" s="56"/>
      <c r="J403" s="58"/>
      <c r="K403" s="58"/>
      <c r="L403" s="13" t="str">
        <f t="shared" si="60"/>
        <v/>
      </c>
      <c r="M403" s="13" t="str">
        <f t="shared" si="61"/>
        <v/>
      </c>
      <c r="Q403" t="str">
        <f t="shared" si="62"/>
        <v/>
      </c>
      <c r="R403" t="str">
        <f t="shared" si="63"/>
        <v/>
      </c>
      <c r="S403" t="str">
        <f t="shared" si="64"/>
        <v/>
      </c>
      <c r="T403" t="str">
        <f t="shared" si="65"/>
        <v/>
      </c>
      <c r="U403" t="str">
        <f t="shared" si="66"/>
        <v/>
      </c>
      <c r="V403" t="str">
        <f t="shared" si="67"/>
        <v/>
      </c>
      <c r="W403" t="str">
        <f t="shared" si="68"/>
        <v/>
      </c>
      <c r="X403">
        <f>IF($T403="",N($X402),IF(MATCH($T403,$T$6:$T$10005,0)=ROW()-5,N($X402)+1,N($X402)))</f>
        <v>0</v>
      </c>
      <c r="Z403" t="str">
        <f t="shared" si="69"/>
        <v/>
      </c>
      <c r="AA403">
        <f>IF($V403="",N($AA402),IF(MATCH($V403,$V$6:$V$10005,0)=ROW()-5,N($AA402)+1,N($AA402)))</f>
        <v>0</v>
      </c>
    </row>
    <row r="404" spans="1:27" ht="21" customHeight="1" x14ac:dyDescent="0.95">
      <c r="A404" s="56"/>
      <c r="B404" s="57"/>
      <c r="C404" s="57"/>
      <c r="D404" s="57"/>
      <c r="E404" s="56"/>
      <c r="F404" s="57"/>
      <c r="G404" s="57"/>
      <c r="H404" s="56"/>
      <c r="I404" s="56"/>
      <c r="J404" s="58"/>
      <c r="K404" s="58"/>
      <c r="L404" s="13" t="str">
        <f t="shared" si="60"/>
        <v/>
      </c>
      <c r="M404" s="13" t="str">
        <f t="shared" si="61"/>
        <v/>
      </c>
      <c r="Q404" t="str">
        <f t="shared" si="62"/>
        <v/>
      </c>
      <c r="R404" t="str">
        <f t="shared" si="63"/>
        <v/>
      </c>
      <c r="S404" t="str">
        <f t="shared" si="64"/>
        <v/>
      </c>
      <c r="T404" t="str">
        <f t="shared" si="65"/>
        <v/>
      </c>
      <c r="U404" t="str">
        <f t="shared" si="66"/>
        <v/>
      </c>
      <c r="V404" t="str">
        <f t="shared" si="67"/>
        <v/>
      </c>
      <c r="W404" t="str">
        <f t="shared" si="68"/>
        <v/>
      </c>
      <c r="X404">
        <f>IF($T404="",N($X403),IF(MATCH($T404,$T$6:$T$10005,0)=ROW()-5,N($X403)+1,N($X403)))</f>
        <v>0</v>
      </c>
      <c r="Z404" t="str">
        <f t="shared" si="69"/>
        <v/>
      </c>
      <c r="AA404">
        <f>IF($V404="",N($AA403),IF(MATCH($V404,$V$6:$V$10005,0)=ROW()-5,N($AA403)+1,N($AA403)))</f>
        <v>0</v>
      </c>
    </row>
    <row r="405" spans="1:27" ht="21" customHeight="1" x14ac:dyDescent="0.95">
      <c r="A405" s="56"/>
      <c r="B405" s="57"/>
      <c r="C405" s="57"/>
      <c r="D405" s="57"/>
      <c r="E405" s="56"/>
      <c r="F405" s="57"/>
      <c r="G405" s="57"/>
      <c r="H405" s="56"/>
      <c r="I405" s="56"/>
      <c r="J405" s="58"/>
      <c r="K405" s="58"/>
      <c r="L405" s="13" t="str">
        <f t="shared" si="60"/>
        <v/>
      </c>
      <c r="M405" s="13" t="str">
        <f t="shared" si="61"/>
        <v/>
      </c>
      <c r="Q405" t="str">
        <f t="shared" si="62"/>
        <v/>
      </c>
      <c r="R405" t="str">
        <f t="shared" si="63"/>
        <v/>
      </c>
      <c r="S405" t="str">
        <f t="shared" si="64"/>
        <v/>
      </c>
      <c r="T405" t="str">
        <f t="shared" si="65"/>
        <v/>
      </c>
      <c r="U405" t="str">
        <f t="shared" si="66"/>
        <v/>
      </c>
      <c r="V405" t="str">
        <f t="shared" si="67"/>
        <v/>
      </c>
      <c r="W405" t="str">
        <f t="shared" si="68"/>
        <v/>
      </c>
      <c r="X405">
        <f>IF($T405="",N($X404),IF(MATCH($T405,$T$6:$T$10005,0)=ROW()-5,N($X404)+1,N($X404)))</f>
        <v>0</v>
      </c>
      <c r="Z405" t="str">
        <f t="shared" si="69"/>
        <v/>
      </c>
      <c r="AA405">
        <f>IF($V405="",N($AA404),IF(MATCH($V405,$V$6:$V$10005,0)=ROW()-5,N($AA404)+1,N($AA404)))</f>
        <v>0</v>
      </c>
    </row>
    <row r="406" spans="1:27" ht="21" customHeight="1" x14ac:dyDescent="0.95">
      <c r="A406" s="56"/>
      <c r="B406" s="57"/>
      <c r="C406" s="57"/>
      <c r="D406" s="57"/>
      <c r="E406" s="56"/>
      <c r="F406" s="57"/>
      <c r="G406" s="57"/>
      <c r="H406" s="56"/>
      <c r="I406" s="56"/>
      <c r="J406" s="58"/>
      <c r="K406" s="58"/>
      <c r="L406" s="13" t="str">
        <f t="shared" si="60"/>
        <v/>
      </c>
      <c r="M406" s="13" t="str">
        <f t="shared" si="61"/>
        <v/>
      </c>
      <c r="Q406" t="str">
        <f t="shared" si="62"/>
        <v/>
      </c>
      <c r="R406" t="str">
        <f t="shared" si="63"/>
        <v/>
      </c>
      <c r="S406" t="str">
        <f t="shared" si="64"/>
        <v/>
      </c>
      <c r="T406" t="str">
        <f t="shared" si="65"/>
        <v/>
      </c>
      <c r="U406" t="str">
        <f t="shared" si="66"/>
        <v/>
      </c>
      <c r="V406" t="str">
        <f t="shared" si="67"/>
        <v/>
      </c>
      <c r="W406" t="str">
        <f t="shared" si="68"/>
        <v/>
      </c>
      <c r="X406">
        <f>IF($T406="",N($X405),IF(MATCH($T406,$T$6:$T$10005,0)=ROW()-5,N($X405)+1,N($X405)))</f>
        <v>0</v>
      </c>
      <c r="Z406" t="str">
        <f t="shared" si="69"/>
        <v/>
      </c>
      <c r="AA406">
        <f>IF($V406="",N($AA405),IF(MATCH($V406,$V$6:$V$10005,0)=ROW()-5,N($AA405)+1,N($AA405)))</f>
        <v>0</v>
      </c>
    </row>
    <row r="407" spans="1:27" ht="21" customHeight="1" x14ac:dyDescent="0.95">
      <c r="A407" s="56"/>
      <c r="B407" s="57"/>
      <c r="C407" s="57"/>
      <c r="D407" s="57"/>
      <c r="E407" s="56"/>
      <c r="F407" s="57"/>
      <c r="G407" s="57"/>
      <c r="H407" s="56"/>
      <c r="I407" s="56"/>
      <c r="J407" s="58"/>
      <c r="K407" s="58"/>
      <c r="L407" s="13" t="str">
        <f t="shared" si="60"/>
        <v/>
      </c>
      <c r="M407" s="13" t="str">
        <f t="shared" si="61"/>
        <v/>
      </c>
      <c r="Q407" t="str">
        <f t="shared" si="62"/>
        <v/>
      </c>
      <c r="R407" t="str">
        <f t="shared" si="63"/>
        <v/>
      </c>
      <c r="S407" t="str">
        <f t="shared" si="64"/>
        <v/>
      </c>
      <c r="T407" t="str">
        <f t="shared" si="65"/>
        <v/>
      </c>
      <c r="U407" t="str">
        <f t="shared" si="66"/>
        <v/>
      </c>
      <c r="V407" t="str">
        <f t="shared" si="67"/>
        <v/>
      </c>
      <c r="W407" t="str">
        <f t="shared" si="68"/>
        <v/>
      </c>
      <c r="X407">
        <f>IF($T407="",N($X406),IF(MATCH($T407,$T$6:$T$10005,0)=ROW()-5,N($X406)+1,N($X406)))</f>
        <v>0</v>
      </c>
      <c r="Z407" t="str">
        <f t="shared" si="69"/>
        <v/>
      </c>
      <c r="AA407">
        <f>IF($V407="",N($AA406),IF(MATCH($V407,$V$6:$V$10005,0)=ROW()-5,N($AA406)+1,N($AA406)))</f>
        <v>0</v>
      </c>
    </row>
    <row r="408" spans="1:27" ht="21" customHeight="1" x14ac:dyDescent="0.95">
      <c r="A408" s="56"/>
      <c r="B408" s="57"/>
      <c r="C408" s="57"/>
      <c r="D408" s="57"/>
      <c r="E408" s="56"/>
      <c r="F408" s="57"/>
      <c r="G408" s="57"/>
      <c r="H408" s="56"/>
      <c r="I408" s="56"/>
      <c r="J408" s="58"/>
      <c r="K408" s="58"/>
      <c r="L408" s="13" t="str">
        <f t="shared" si="60"/>
        <v/>
      </c>
      <c r="M408" s="13" t="str">
        <f t="shared" si="61"/>
        <v/>
      </c>
      <c r="Q408" t="str">
        <f t="shared" si="62"/>
        <v/>
      </c>
      <c r="R408" t="str">
        <f t="shared" si="63"/>
        <v/>
      </c>
      <c r="S408" t="str">
        <f t="shared" si="64"/>
        <v/>
      </c>
      <c r="T408" t="str">
        <f t="shared" si="65"/>
        <v/>
      </c>
      <c r="U408" t="str">
        <f t="shared" si="66"/>
        <v/>
      </c>
      <c r="V408" t="str">
        <f t="shared" si="67"/>
        <v/>
      </c>
      <c r="W408" t="str">
        <f t="shared" si="68"/>
        <v/>
      </c>
      <c r="X408">
        <f>IF($T408="",N($X407),IF(MATCH($T408,$T$6:$T$10005,0)=ROW()-5,N($X407)+1,N($X407)))</f>
        <v>0</v>
      </c>
      <c r="Z408" t="str">
        <f t="shared" si="69"/>
        <v/>
      </c>
      <c r="AA408">
        <f>IF($V408="",N($AA407),IF(MATCH($V408,$V$6:$V$10005,0)=ROW()-5,N($AA407)+1,N($AA407)))</f>
        <v>0</v>
      </c>
    </row>
    <row r="409" spans="1:27" ht="21" customHeight="1" x14ac:dyDescent="0.95">
      <c r="A409" s="56"/>
      <c r="B409" s="57"/>
      <c r="C409" s="57"/>
      <c r="D409" s="57"/>
      <c r="E409" s="56"/>
      <c r="F409" s="57"/>
      <c r="G409" s="57"/>
      <c r="H409" s="56"/>
      <c r="I409" s="56"/>
      <c r="J409" s="58"/>
      <c r="K409" s="58"/>
      <c r="L409" s="13" t="str">
        <f t="shared" si="60"/>
        <v/>
      </c>
      <c r="M409" s="13" t="str">
        <f t="shared" si="61"/>
        <v/>
      </c>
      <c r="Q409" t="str">
        <f t="shared" si="62"/>
        <v/>
      </c>
      <c r="R409" t="str">
        <f t="shared" si="63"/>
        <v/>
      </c>
      <c r="S409" t="str">
        <f t="shared" si="64"/>
        <v/>
      </c>
      <c r="T409" t="str">
        <f t="shared" si="65"/>
        <v/>
      </c>
      <c r="U409" t="str">
        <f t="shared" si="66"/>
        <v/>
      </c>
      <c r="V409" t="str">
        <f t="shared" si="67"/>
        <v/>
      </c>
      <c r="W409" t="str">
        <f t="shared" si="68"/>
        <v/>
      </c>
      <c r="X409">
        <f>IF($T409="",N($X408),IF(MATCH($T409,$T$6:$T$10005,0)=ROW()-5,N($X408)+1,N($X408)))</f>
        <v>0</v>
      </c>
      <c r="Z409" t="str">
        <f t="shared" si="69"/>
        <v/>
      </c>
      <c r="AA409">
        <f>IF($V409="",N($AA408),IF(MATCH($V409,$V$6:$V$10005,0)=ROW()-5,N($AA408)+1,N($AA408)))</f>
        <v>0</v>
      </c>
    </row>
    <row r="410" spans="1:27" ht="21" customHeight="1" x14ac:dyDescent="0.95">
      <c r="A410" s="56"/>
      <c r="B410" s="57"/>
      <c r="C410" s="57"/>
      <c r="D410" s="57"/>
      <c r="E410" s="56"/>
      <c r="F410" s="57"/>
      <c r="G410" s="57"/>
      <c r="H410" s="56"/>
      <c r="I410" s="56"/>
      <c r="J410" s="58"/>
      <c r="K410" s="58"/>
      <c r="L410" s="13" t="str">
        <f t="shared" si="60"/>
        <v/>
      </c>
      <c r="M410" s="13" t="str">
        <f t="shared" si="61"/>
        <v/>
      </c>
      <c r="Q410" t="str">
        <f t="shared" si="62"/>
        <v/>
      </c>
      <c r="R410" t="str">
        <f t="shared" si="63"/>
        <v/>
      </c>
      <c r="S410" t="str">
        <f t="shared" si="64"/>
        <v/>
      </c>
      <c r="T410" t="str">
        <f t="shared" si="65"/>
        <v/>
      </c>
      <c r="U410" t="str">
        <f t="shared" si="66"/>
        <v/>
      </c>
      <c r="V410" t="str">
        <f t="shared" si="67"/>
        <v/>
      </c>
      <c r="W410" t="str">
        <f t="shared" si="68"/>
        <v/>
      </c>
      <c r="X410">
        <f>IF($T410="",N($X409),IF(MATCH($T410,$T$6:$T$10005,0)=ROW()-5,N($X409)+1,N($X409)))</f>
        <v>0</v>
      </c>
      <c r="Z410" t="str">
        <f t="shared" si="69"/>
        <v/>
      </c>
      <c r="AA410">
        <f>IF($V410="",N($AA409),IF(MATCH($V410,$V$6:$V$10005,0)=ROW()-5,N($AA409)+1,N($AA409)))</f>
        <v>0</v>
      </c>
    </row>
    <row r="411" spans="1:27" ht="21" customHeight="1" x14ac:dyDescent="0.95">
      <c r="A411" s="56"/>
      <c r="B411" s="57"/>
      <c r="C411" s="57"/>
      <c r="D411" s="57"/>
      <c r="E411" s="56"/>
      <c r="F411" s="57"/>
      <c r="G411" s="57"/>
      <c r="H411" s="56"/>
      <c r="I411" s="56"/>
      <c r="J411" s="58"/>
      <c r="K411" s="58"/>
      <c r="L411" s="13" t="str">
        <f t="shared" si="60"/>
        <v/>
      </c>
      <c r="M411" s="13" t="str">
        <f t="shared" si="61"/>
        <v/>
      </c>
      <c r="Q411" t="str">
        <f t="shared" si="62"/>
        <v/>
      </c>
      <c r="R411" t="str">
        <f t="shared" si="63"/>
        <v/>
      </c>
      <c r="S411" t="str">
        <f t="shared" si="64"/>
        <v/>
      </c>
      <c r="T411" t="str">
        <f t="shared" si="65"/>
        <v/>
      </c>
      <c r="U411" t="str">
        <f t="shared" si="66"/>
        <v/>
      </c>
      <c r="V411" t="str">
        <f t="shared" si="67"/>
        <v/>
      </c>
      <c r="W411" t="str">
        <f t="shared" si="68"/>
        <v/>
      </c>
      <c r="X411">
        <f>IF($T411="",N($X410),IF(MATCH($T411,$T$6:$T$10005,0)=ROW()-5,N($X410)+1,N($X410)))</f>
        <v>0</v>
      </c>
      <c r="Z411" t="str">
        <f t="shared" si="69"/>
        <v/>
      </c>
      <c r="AA411">
        <f>IF($V411="",N($AA410),IF(MATCH($V411,$V$6:$V$10005,0)=ROW()-5,N($AA410)+1,N($AA410)))</f>
        <v>0</v>
      </c>
    </row>
    <row r="412" spans="1:27" ht="21" customHeight="1" x14ac:dyDescent="0.95">
      <c r="A412" s="56"/>
      <c r="B412" s="57"/>
      <c r="C412" s="57"/>
      <c r="D412" s="57"/>
      <c r="E412" s="56"/>
      <c r="F412" s="57"/>
      <c r="G412" s="57"/>
      <c r="H412" s="56"/>
      <c r="I412" s="56"/>
      <c r="J412" s="58"/>
      <c r="K412" s="58"/>
      <c r="L412" s="13" t="str">
        <f t="shared" si="60"/>
        <v/>
      </c>
      <c r="M412" s="13" t="str">
        <f t="shared" si="61"/>
        <v/>
      </c>
      <c r="Q412" t="str">
        <f t="shared" si="62"/>
        <v/>
      </c>
      <c r="R412" t="str">
        <f t="shared" si="63"/>
        <v/>
      </c>
      <c r="S412" t="str">
        <f t="shared" si="64"/>
        <v/>
      </c>
      <c r="T412" t="str">
        <f t="shared" si="65"/>
        <v/>
      </c>
      <c r="U412" t="str">
        <f t="shared" si="66"/>
        <v/>
      </c>
      <c r="V412" t="str">
        <f t="shared" si="67"/>
        <v/>
      </c>
      <c r="W412" t="str">
        <f t="shared" si="68"/>
        <v/>
      </c>
      <c r="X412">
        <f>IF($T412="",N($X411),IF(MATCH($T412,$T$6:$T$10005,0)=ROW()-5,N($X411)+1,N($X411)))</f>
        <v>0</v>
      </c>
      <c r="Z412" t="str">
        <f t="shared" si="69"/>
        <v/>
      </c>
      <c r="AA412">
        <f>IF($V412="",N($AA411),IF(MATCH($V412,$V$6:$V$10005,0)=ROW()-5,N($AA411)+1,N($AA411)))</f>
        <v>0</v>
      </c>
    </row>
    <row r="413" spans="1:27" ht="21" customHeight="1" x14ac:dyDescent="0.95">
      <c r="A413" s="56"/>
      <c r="B413" s="57"/>
      <c r="C413" s="57"/>
      <c r="D413" s="57"/>
      <c r="E413" s="56"/>
      <c r="F413" s="57"/>
      <c r="G413" s="57"/>
      <c r="H413" s="56"/>
      <c r="I413" s="56"/>
      <c r="J413" s="58"/>
      <c r="K413" s="58"/>
      <c r="L413" s="13" t="str">
        <f t="shared" si="60"/>
        <v/>
      </c>
      <c r="M413" s="13" t="str">
        <f t="shared" si="61"/>
        <v/>
      </c>
      <c r="Q413" t="str">
        <f t="shared" si="62"/>
        <v/>
      </c>
      <c r="R413" t="str">
        <f t="shared" si="63"/>
        <v/>
      </c>
      <c r="S413" t="str">
        <f t="shared" si="64"/>
        <v/>
      </c>
      <c r="T413" t="str">
        <f t="shared" si="65"/>
        <v/>
      </c>
      <c r="U413" t="str">
        <f t="shared" si="66"/>
        <v/>
      </c>
      <c r="V413" t="str">
        <f t="shared" si="67"/>
        <v/>
      </c>
      <c r="W413" t="str">
        <f t="shared" si="68"/>
        <v/>
      </c>
      <c r="X413">
        <f>IF($T413="",N($X412),IF(MATCH($T413,$T$6:$T$10005,0)=ROW()-5,N($X412)+1,N($X412)))</f>
        <v>0</v>
      </c>
      <c r="Z413" t="str">
        <f t="shared" si="69"/>
        <v/>
      </c>
      <c r="AA413">
        <f>IF($V413="",N($AA412),IF(MATCH($V413,$V$6:$V$10005,0)=ROW()-5,N($AA412)+1,N($AA412)))</f>
        <v>0</v>
      </c>
    </row>
    <row r="414" spans="1:27" ht="21" customHeight="1" x14ac:dyDescent="0.95">
      <c r="A414" s="56"/>
      <c r="B414" s="57"/>
      <c r="C414" s="57"/>
      <c r="D414" s="57"/>
      <c r="E414" s="56"/>
      <c r="F414" s="57"/>
      <c r="G414" s="57"/>
      <c r="H414" s="56"/>
      <c r="I414" s="56"/>
      <c r="J414" s="58"/>
      <c r="K414" s="58"/>
      <c r="L414" s="13" t="str">
        <f t="shared" si="60"/>
        <v/>
      </c>
      <c r="M414" s="13" t="str">
        <f t="shared" si="61"/>
        <v/>
      </c>
      <c r="Q414" t="str">
        <f t="shared" si="62"/>
        <v/>
      </c>
      <c r="R414" t="str">
        <f t="shared" si="63"/>
        <v/>
      </c>
      <c r="S414" t="str">
        <f t="shared" si="64"/>
        <v/>
      </c>
      <c r="T414" t="str">
        <f t="shared" si="65"/>
        <v/>
      </c>
      <c r="U414" t="str">
        <f t="shared" si="66"/>
        <v/>
      </c>
      <c r="V414" t="str">
        <f t="shared" si="67"/>
        <v/>
      </c>
      <c r="W414" t="str">
        <f t="shared" si="68"/>
        <v/>
      </c>
      <c r="X414">
        <f>IF($T414="",N($X413),IF(MATCH($T414,$T$6:$T$10005,0)=ROW()-5,N($X413)+1,N($X413)))</f>
        <v>0</v>
      </c>
      <c r="Z414" t="str">
        <f t="shared" si="69"/>
        <v/>
      </c>
      <c r="AA414">
        <f>IF($V414="",N($AA413),IF(MATCH($V414,$V$6:$V$10005,0)=ROW()-5,N($AA413)+1,N($AA413)))</f>
        <v>0</v>
      </c>
    </row>
    <row r="415" spans="1:27" ht="21" customHeight="1" x14ac:dyDescent="0.95">
      <c r="A415" s="56"/>
      <c r="B415" s="57"/>
      <c r="C415" s="57"/>
      <c r="D415" s="57"/>
      <c r="E415" s="56"/>
      <c r="F415" s="57"/>
      <c r="G415" s="57"/>
      <c r="H415" s="56"/>
      <c r="I415" s="56"/>
      <c r="J415" s="58"/>
      <c r="K415" s="58"/>
      <c r="L415" s="13" t="str">
        <f t="shared" si="60"/>
        <v/>
      </c>
      <c r="M415" s="13" t="str">
        <f t="shared" si="61"/>
        <v/>
      </c>
      <c r="Q415" t="str">
        <f t="shared" si="62"/>
        <v/>
      </c>
      <c r="R415" t="str">
        <f t="shared" si="63"/>
        <v/>
      </c>
      <c r="S415" t="str">
        <f t="shared" si="64"/>
        <v/>
      </c>
      <c r="T415" t="str">
        <f t="shared" si="65"/>
        <v/>
      </c>
      <c r="U415" t="str">
        <f t="shared" si="66"/>
        <v/>
      </c>
      <c r="V415" t="str">
        <f t="shared" si="67"/>
        <v/>
      </c>
      <c r="W415" t="str">
        <f t="shared" si="68"/>
        <v/>
      </c>
      <c r="X415">
        <f>IF($T415="",N($X414),IF(MATCH($T415,$T$6:$T$10005,0)=ROW()-5,N($X414)+1,N($X414)))</f>
        <v>0</v>
      </c>
      <c r="Z415" t="str">
        <f t="shared" si="69"/>
        <v/>
      </c>
      <c r="AA415">
        <f>IF($V415="",N($AA414),IF(MATCH($V415,$V$6:$V$10005,0)=ROW()-5,N($AA414)+1,N($AA414)))</f>
        <v>0</v>
      </c>
    </row>
    <row r="416" spans="1:27" ht="21" customHeight="1" x14ac:dyDescent="0.95">
      <c r="A416" s="56"/>
      <c r="B416" s="57"/>
      <c r="C416" s="57"/>
      <c r="D416" s="57"/>
      <c r="E416" s="56"/>
      <c r="F416" s="57"/>
      <c r="G416" s="57"/>
      <c r="H416" s="56"/>
      <c r="I416" s="56"/>
      <c r="J416" s="58"/>
      <c r="K416" s="58"/>
      <c r="L416" s="13" t="str">
        <f t="shared" si="60"/>
        <v/>
      </c>
      <c r="M416" s="13" t="str">
        <f t="shared" si="61"/>
        <v/>
      </c>
      <c r="Q416" t="str">
        <f t="shared" si="62"/>
        <v/>
      </c>
      <c r="R416" t="str">
        <f t="shared" si="63"/>
        <v/>
      </c>
      <c r="S416" t="str">
        <f t="shared" si="64"/>
        <v/>
      </c>
      <c r="T416" t="str">
        <f t="shared" si="65"/>
        <v/>
      </c>
      <c r="U416" t="str">
        <f t="shared" si="66"/>
        <v/>
      </c>
      <c r="V416" t="str">
        <f t="shared" si="67"/>
        <v/>
      </c>
      <c r="W416" t="str">
        <f t="shared" si="68"/>
        <v/>
      </c>
      <c r="X416">
        <f>IF($T416="",N($X415),IF(MATCH($T416,$T$6:$T$10005,0)=ROW()-5,N($X415)+1,N($X415)))</f>
        <v>0</v>
      </c>
      <c r="Z416" t="str">
        <f t="shared" si="69"/>
        <v/>
      </c>
      <c r="AA416">
        <f>IF($V416="",N($AA415),IF(MATCH($V416,$V$6:$V$10005,0)=ROW()-5,N($AA415)+1,N($AA415)))</f>
        <v>0</v>
      </c>
    </row>
    <row r="417" spans="1:27" ht="21" customHeight="1" x14ac:dyDescent="0.95">
      <c r="A417" s="56"/>
      <c r="B417" s="57"/>
      <c r="C417" s="57"/>
      <c r="D417" s="57"/>
      <c r="E417" s="56"/>
      <c r="F417" s="57"/>
      <c r="G417" s="57"/>
      <c r="H417" s="56"/>
      <c r="I417" s="56"/>
      <c r="J417" s="58"/>
      <c r="K417" s="58"/>
      <c r="L417" s="13" t="str">
        <f t="shared" si="60"/>
        <v/>
      </c>
      <c r="M417" s="13" t="str">
        <f t="shared" si="61"/>
        <v/>
      </c>
      <c r="Q417" t="str">
        <f t="shared" si="62"/>
        <v/>
      </c>
      <c r="R417" t="str">
        <f t="shared" si="63"/>
        <v/>
      </c>
      <c r="S417" t="str">
        <f t="shared" si="64"/>
        <v/>
      </c>
      <c r="T417" t="str">
        <f t="shared" si="65"/>
        <v/>
      </c>
      <c r="U417" t="str">
        <f t="shared" si="66"/>
        <v/>
      </c>
      <c r="V417" t="str">
        <f t="shared" si="67"/>
        <v/>
      </c>
      <c r="W417" t="str">
        <f t="shared" si="68"/>
        <v/>
      </c>
      <c r="X417">
        <f>IF($T417="",N($X416),IF(MATCH($T417,$T$6:$T$10005,0)=ROW()-5,N($X416)+1,N($X416)))</f>
        <v>0</v>
      </c>
      <c r="Z417" t="str">
        <f t="shared" si="69"/>
        <v/>
      </c>
      <c r="AA417">
        <f>IF($V417="",N($AA416),IF(MATCH($V417,$V$6:$V$10005,0)=ROW()-5,N($AA416)+1,N($AA416)))</f>
        <v>0</v>
      </c>
    </row>
    <row r="418" spans="1:27" ht="21" customHeight="1" x14ac:dyDescent="0.95">
      <c r="A418" s="56"/>
      <c r="B418" s="57"/>
      <c r="C418" s="57"/>
      <c r="D418" s="57"/>
      <c r="E418" s="56"/>
      <c r="F418" s="57"/>
      <c r="G418" s="57"/>
      <c r="H418" s="56"/>
      <c r="I418" s="56"/>
      <c r="J418" s="58"/>
      <c r="K418" s="58"/>
      <c r="L418" s="13" t="str">
        <f t="shared" si="60"/>
        <v/>
      </c>
      <c r="M418" s="13" t="str">
        <f t="shared" si="61"/>
        <v/>
      </c>
      <c r="Q418" t="str">
        <f t="shared" si="62"/>
        <v/>
      </c>
      <c r="R418" t="str">
        <f t="shared" si="63"/>
        <v/>
      </c>
      <c r="S418" t="str">
        <f t="shared" si="64"/>
        <v/>
      </c>
      <c r="T418" t="str">
        <f t="shared" si="65"/>
        <v/>
      </c>
      <c r="U418" t="str">
        <f t="shared" si="66"/>
        <v/>
      </c>
      <c r="V418" t="str">
        <f t="shared" si="67"/>
        <v/>
      </c>
      <c r="W418" t="str">
        <f t="shared" si="68"/>
        <v/>
      </c>
      <c r="X418">
        <f>IF($T418="",N($X417),IF(MATCH($T418,$T$6:$T$10005,0)=ROW()-5,N($X417)+1,N($X417)))</f>
        <v>0</v>
      </c>
      <c r="Z418" t="str">
        <f t="shared" si="69"/>
        <v/>
      </c>
      <c r="AA418">
        <f>IF($V418="",N($AA417),IF(MATCH($V418,$V$6:$V$10005,0)=ROW()-5,N($AA417)+1,N($AA417)))</f>
        <v>0</v>
      </c>
    </row>
    <row r="419" spans="1:27" ht="21" customHeight="1" x14ac:dyDescent="0.95">
      <c r="A419" s="56"/>
      <c r="B419" s="57"/>
      <c r="C419" s="57"/>
      <c r="D419" s="57"/>
      <c r="E419" s="56"/>
      <c r="F419" s="57"/>
      <c r="G419" s="57"/>
      <c r="H419" s="56"/>
      <c r="I419" s="56"/>
      <c r="J419" s="58"/>
      <c r="K419" s="58"/>
      <c r="L419" s="13" t="str">
        <f t="shared" si="60"/>
        <v/>
      </c>
      <c r="M419" s="13" t="str">
        <f t="shared" si="61"/>
        <v/>
      </c>
      <c r="Q419" t="str">
        <f t="shared" si="62"/>
        <v/>
      </c>
      <c r="R419" t="str">
        <f t="shared" si="63"/>
        <v/>
      </c>
      <c r="S419" t="str">
        <f t="shared" si="64"/>
        <v/>
      </c>
      <c r="T419" t="str">
        <f t="shared" si="65"/>
        <v/>
      </c>
      <c r="U419" t="str">
        <f t="shared" si="66"/>
        <v/>
      </c>
      <c r="V419" t="str">
        <f t="shared" si="67"/>
        <v/>
      </c>
      <c r="W419" t="str">
        <f t="shared" si="68"/>
        <v/>
      </c>
      <c r="X419">
        <f>IF($T419="",N($X418),IF(MATCH($T419,$T$6:$T$10005,0)=ROW()-5,N($X418)+1,N($X418)))</f>
        <v>0</v>
      </c>
      <c r="Z419" t="str">
        <f t="shared" si="69"/>
        <v/>
      </c>
      <c r="AA419">
        <f>IF($V419="",N($AA418),IF(MATCH($V419,$V$6:$V$10005,0)=ROW()-5,N($AA418)+1,N($AA418)))</f>
        <v>0</v>
      </c>
    </row>
    <row r="420" spans="1:27" ht="21" customHeight="1" x14ac:dyDescent="0.95">
      <c r="A420" s="56"/>
      <c r="B420" s="57"/>
      <c r="C420" s="57"/>
      <c r="D420" s="57"/>
      <c r="E420" s="56"/>
      <c r="F420" s="57"/>
      <c r="G420" s="57"/>
      <c r="H420" s="56"/>
      <c r="I420" s="56"/>
      <c r="J420" s="58"/>
      <c r="K420" s="58"/>
      <c r="L420" s="13" t="str">
        <f t="shared" si="60"/>
        <v/>
      </c>
      <c r="M420" s="13" t="str">
        <f t="shared" si="61"/>
        <v/>
      </c>
      <c r="Q420" t="str">
        <f t="shared" si="62"/>
        <v/>
      </c>
      <c r="R420" t="str">
        <f t="shared" si="63"/>
        <v/>
      </c>
      <c r="S420" t="str">
        <f t="shared" si="64"/>
        <v/>
      </c>
      <c r="T420" t="str">
        <f t="shared" si="65"/>
        <v/>
      </c>
      <c r="U420" t="str">
        <f t="shared" si="66"/>
        <v/>
      </c>
      <c r="V420" t="str">
        <f t="shared" si="67"/>
        <v/>
      </c>
      <c r="W420" t="str">
        <f t="shared" si="68"/>
        <v/>
      </c>
      <c r="X420">
        <f>IF($T420="",N($X419),IF(MATCH($T420,$T$6:$T$10005,0)=ROW()-5,N($X419)+1,N($X419)))</f>
        <v>0</v>
      </c>
      <c r="Z420" t="str">
        <f t="shared" si="69"/>
        <v/>
      </c>
      <c r="AA420">
        <f>IF($V420="",N($AA419),IF(MATCH($V420,$V$6:$V$10005,0)=ROW()-5,N($AA419)+1,N($AA419)))</f>
        <v>0</v>
      </c>
    </row>
    <row r="421" spans="1:27" ht="21" customHeight="1" x14ac:dyDescent="0.95">
      <c r="A421" s="56"/>
      <c r="B421" s="57"/>
      <c r="C421" s="57"/>
      <c r="D421" s="57"/>
      <c r="E421" s="56"/>
      <c r="F421" s="57"/>
      <c r="G421" s="57"/>
      <c r="H421" s="56"/>
      <c r="I421" s="56"/>
      <c r="J421" s="58"/>
      <c r="K421" s="58"/>
      <c r="L421" s="13" t="str">
        <f t="shared" si="60"/>
        <v/>
      </c>
      <c r="M421" s="13" t="str">
        <f t="shared" si="61"/>
        <v/>
      </c>
      <c r="Q421" t="str">
        <f t="shared" si="62"/>
        <v/>
      </c>
      <c r="R421" t="str">
        <f t="shared" si="63"/>
        <v/>
      </c>
      <c r="S421" t="str">
        <f t="shared" si="64"/>
        <v/>
      </c>
      <c r="T421" t="str">
        <f t="shared" si="65"/>
        <v/>
      </c>
      <c r="U421" t="str">
        <f t="shared" si="66"/>
        <v/>
      </c>
      <c r="V421" t="str">
        <f t="shared" si="67"/>
        <v/>
      </c>
      <c r="W421" t="str">
        <f t="shared" si="68"/>
        <v/>
      </c>
      <c r="X421">
        <f>IF($T421="",N($X420),IF(MATCH($T421,$T$6:$T$10005,0)=ROW()-5,N($X420)+1,N($X420)))</f>
        <v>0</v>
      </c>
      <c r="Z421" t="str">
        <f t="shared" si="69"/>
        <v/>
      </c>
      <c r="AA421">
        <f>IF($V421="",N($AA420),IF(MATCH($V421,$V$6:$V$10005,0)=ROW()-5,N($AA420)+1,N($AA420)))</f>
        <v>0</v>
      </c>
    </row>
    <row r="422" spans="1:27" ht="21" customHeight="1" x14ac:dyDescent="0.95">
      <c r="A422" s="56"/>
      <c r="B422" s="57"/>
      <c r="C422" s="57"/>
      <c r="D422" s="57"/>
      <c r="E422" s="56"/>
      <c r="F422" s="57"/>
      <c r="G422" s="57"/>
      <c r="H422" s="56"/>
      <c r="I422" s="56"/>
      <c r="J422" s="58"/>
      <c r="K422" s="58"/>
      <c r="L422" s="13" t="str">
        <f t="shared" si="60"/>
        <v/>
      </c>
      <c r="M422" s="13" t="str">
        <f t="shared" si="61"/>
        <v/>
      </c>
      <c r="Q422" t="str">
        <f t="shared" si="62"/>
        <v/>
      </c>
      <c r="R422" t="str">
        <f t="shared" si="63"/>
        <v/>
      </c>
      <c r="S422" t="str">
        <f t="shared" si="64"/>
        <v/>
      </c>
      <c r="T422" t="str">
        <f t="shared" si="65"/>
        <v/>
      </c>
      <c r="U422" t="str">
        <f t="shared" si="66"/>
        <v/>
      </c>
      <c r="V422" t="str">
        <f t="shared" si="67"/>
        <v/>
      </c>
      <c r="W422" t="str">
        <f t="shared" si="68"/>
        <v/>
      </c>
      <c r="X422">
        <f>IF($T422="",N($X421),IF(MATCH($T422,$T$6:$T$10005,0)=ROW()-5,N($X421)+1,N($X421)))</f>
        <v>0</v>
      </c>
      <c r="Z422" t="str">
        <f t="shared" si="69"/>
        <v/>
      </c>
      <c r="AA422">
        <f>IF($V422="",N($AA421),IF(MATCH($V422,$V$6:$V$10005,0)=ROW()-5,N($AA421)+1,N($AA421)))</f>
        <v>0</v>
      </c>
    </row>
    <row r="423" spans="1:27" ht="21" customHeight="1" x14ac:dyDescent="0.95">
      <c r="A423" s="56"/>
      <c r="B423" s="57"/>
      <c r="C423" s="57"/>
      <c r="D423" s="57"/>
      <c r="E423" s="56"/>
      <c r="F423" s="57"/>
      <c r="G423" s="57"/>
      <c r="H423" s="56"/>
      <c r="I423" s="56"/>
      <c r="J423" s="58"/>
      <c r="K423" s="58"/>
      <c r="L423" s="13" t="str">
        <f t="shared" si="60"/>
        <v/>
      </c>
      <c r="M423" s="13" t="str">
        <f t="shared" si="61"/>
        <v/>
      </c>
      <c r="Q423" t="str">
        <f t="shared" si="62"/>
        <v/>
      </c>
      <c r="R423" t="str">
        <f t="shared" si="63"/>
        <v/>
      </c>
      <c r="S423" t="str">
        <f t="shared" si="64"/>
        <v/>
      </c>
      <c r="T423" t="str">
        <f t="shared" si="65"/>
        <v/>
      </c>
      <c r="U423" t="str">
        <f t="shared" si="66"/>
        <v/>
      </c>
      <c r="V423" t="str">
        <f t="shared" si="67"/>
        <v/>
      </c>
      <c r="W423" t="str">
        <f t="shared" si="68"/>
        <v/>
      </c>
      <c r="X423">
        <f>IF($T423="",N($X422),IF(MATCH($T423,$T$6:$T$10005,0)=ROW()-5,N($X422)+1,N($X422)))</f>
        <v>0</v>
      </c>
      <c r="Z423" t="str">
        <f t="shared" si="69"/>
        <v/>
      </c>
      <c r="AA423">
        <f>IF($V423="",N($AA422),IF(MATCH($V423,$V$6:$V$10005,0)=ROW()-5,N($AA422)+1,N($AA422)))</f>
        <v>0</v>
      </c>
    </row>
    <row r="424" spans="1:27" ht="21" customHeight="1" x14ac:dyDescent="0.95">
      <c r="A424" s="56"/>
      <c r="B424" s="57"/>
      <c r="C424" s="57"/>
      <c r="D424" s="57"/>
      <c r="E424" s="56"/>
      <c r="F424" s="57"/>
      <c r="G424" s="57"/>
      <c r="H424" s="56"/>
      <c r="I424" s="56"/>
      <c r="J424" s="58"/>
      <c r="K424" s="58"/>
      <c r="L424" s="13" t="str">
        <f t="shared" si="60"/>
        <v/>
      </c>
      <c r="M424" s="13" t="str">
        <f t="shared" si="61"/>
        <v/>
      </c>
      <c r="Q424" t="str">
        <f t="shared" si="62"/>
        <v/>
      </c>
      <c r="R424" t="str">
        <f t="shared" si="63"/>
        <v/>
      </c>
      <c r="S424" t="str">
        <f t="shared" si="64"/>
        <v/>
      </c>
      <c r="T424" t="str">
        <f t="shared" si="65"/>
        <v/>
      </c>
      <c r="U424" t="str">
        <f t="shared" si="66"/>
        <v/>
      </c>
      <c r="V424" t="str">
        <f t="shared" si="67"/>
        <v/>
      </c>
      <c r="W424" t="str">
        <f t="shared" si="68"/>
        <v/>
      </c>
      <c r="X424">
        <f>IF($T424="",N($X423),IF(MATCH($T424,$T$6:$T$10005,0)=ROW()-5,N($X423)+1,N($X423)))</f>
        <v>0</v>
      </c>
      <c r="Z424" t="str">
        <f t="shared" si="69"/>
        <v/>
      </c>
      <c r="AA424">
        <f>IF($V424="",N($AA423),IF(MATCH($V424,$V$6:$V$10005,0)=ROW()-5,N($AA423)+1,N($AA423)))</f>
        <v>0</v>
      </c>
    </row>
    <row r="425" spans="1:27" ht="21" customHeight="1" x14ac:dyDescent="0.95">
      <c r="A425" s="56"/>
      <c r="B425" s="57"/>
      <c r="C425" s="57"/>
      <c r="D425" s="57"/>
      <c r="E425" s="56"/>
      <c r="F425" s="57"/>
      <c r="G425" s="57"/>
      <c r="H425" s="56"/>
      <c r="I425" s="56"/>
      <c r="J425" s="58"/>
      <c r="K425" s="58"/>
      <c r="L425" s="13" t="str">
        <f t="shared" si="60"/>
        <v/>
      </c>
      <c r="M425" s="13" t="str">
        <f t="shared" si="61"/>
        <v/>
      </c>
      <c r="Q425" t="str">
        <f t="shared" si="62"/>
        <v/>
      </c>
      <c r="R425" t="str">
        <f t="shared" si="63"/>
        <v/>
      </c>
      <c r="S425" t="str">
        <f t="shared" si="64"/>
        <v/>
      </c>
      <c r="T425" t="str">
        <f t="shared" si="65"/>
        <v/>
      </c>
      <c r="U425" t="str">
        <f t="shared" si="66"/>
        <v/>
      </c>
      <c r="V425" t="str">
        <f t="shared" si="67"/>
        <v/>
      </c>
      <c r="W425" t="str">
        <f t="shared" si="68"/>
        <v/>
      </c>
      <c r="X425">
        <f>IF($T425="",N($X424),IF(MATCH($T425,$T$6:$T$10005,0)=ROW()-5,N($X424)+1,N($X424)))</f>
        <v>0</v>
      </c>
      <c r="Z425" t="str">
        <f t="shared" si="69"/>
        <v/>
      </c>
      <c r="AA425">
        <f>IF($V425="",N($AA424),IF(MATCH($V425,$V$6:$V$10005,0)=ROW()-5,N($AA424)+1,N($AA424)))</f>
        <v>0</v>
      </c>
    </row>
    <row r="426" spans="1:27" ht="21" customHeight="1" x14ac:dyDescent="0.95">
      <c r="A426" s="56"/>
      <c r="B426" s="57"/>
      <c r="C426" s="57"/>
      <c r="D426" s="57"/>
      <c r="E426" s="56"/>
      <c r="F426" s="57"/>
      <c r="G426" s="57"/>
      <c r="H426" s="56"/>
      <c r="I426" s="56"/>
      <c r="J426" s="58"/>
      <c r="K426" s="58"/>
      <c r="L426" s="13" t="str">
        <f t="shared" si="60"/>
        <v/>
      </c>
      <c r="M426" s="13" t="str">
        <f t="shared" si="61"/>
        <v/>
      </c>
      <c r="Q426" t="str">
        <f t="shared" si="62"/>
        <v/>
      </c>
      <c r="R426" t="str">
        <f t="shared" si="63"/>
        <v/>
      </c>
      <c r="S426" t="str">
        <f t="shared" si="64"/>
        <v/>
      </c>
      <c r="T426" t="str">
        <f t="shared" si="65"/>
        <v/>
      </c>
      <c r="U426" t="str">
        <f t="shared" si="66"/>
        <v/>
      </c>
      <c r="V426" t="str">
        <f t="shared" si="67"/>
        <v/>
      </c>
      <c r="W426" t="str">
        <f t="shared" si="68"/>
        <v/>
      </c>
      <c r="X426">
        <f>IF($T426="",N($X425),IF(MATCH($T426,$T$6:$T$10005,0)=ROW()-5,N($X425)+1,N($X425)))</f>
        <v>0</v>
      </c>
      <c r="Z426" t="str">
        <f t="shared" si="69"/>
        <v/>
      </c>
      <c r="AA426">
        <f>IF($V426="",N($AA425),IF(MATCH($V426,$V$6:$V$10005,0)=ROW()-5,N($AA425)+1,N($AA425)))</f>
        <v>0</v>
      </c>
    </row>
    <row r="427" spans="1:27" ht="21" customHeight="1" x14ac:dyDescent="0.95">
      <c r="A427" s="56"/>
      <c r="B427" s="57"/>
      <c r="C427" s="57"/>
      <c r="D427" s="57"/>
      <c r="E427" s="56"/>
      <c r="F427" s="57"/>
      <c r="G427" s="57"/>
      <c r="H427" s="56"/>
      <c r="I427" s="56"/>
      <c r="J427" s="58"/>
      <c r="K427" s="58"/>
      <c r="L427" s="13" t="str">
        <f t="shared" si="60"/>
        <v/>
      </c>
      <c r="M427" s="13" t="str">
        <f t="shared" si="61"/>
        <v/>
      </c>
      <c r="Q427" t="str">
        <f t="shared" si="62"/>
        <v/>
      </c>
      <c r="R427" t="str">
        <f t="shared" si="63"/>
        <v/>
      </c>
      <c r="S427" t="str">
        <f t="shared" si="64"/>
        <v/>
      </c>
      <c r="T427" t="str">
        <f t="shared" si="65"/>
        <v/>
      </c>
      <c r="U427" t="str">
        <f t="shared" si="66"/>
        <v/>
      </c>
      <c r="V427" t="str">
        <f t="shared" si="67"/>
        <v/>
      </c>
      <c r="W427" t="str">
        <f t="shared" si="68"/>
        <v/>
      </c>
      <c r="X427">
        <f>IF($T427="",N($X426),IF(MATCH($T427,$T$6:$T$10005,0)=ROW()-5,N($X426)+1,N($X426)))</f>
        <v>0</v>
      </c>
      <c r="Z427" t="str">
        <f t="shared" si="69"/>
        <v/>
      </c>
      <c r="AA427">
        <f>IF($V427="",N($AA426),IF(MATCH($V427,$V$6:$V$10005,0)=ROW()-5,N($AA426)+1,N($AA426)))</f>
        <v>0</v>
      </c>
    </row>
    <row r="428" spans="1:27" ht="21" customHeight="1" x14ac:dyDescent="0.95">
      <c r="A428" s="56"/>
      <c r="B428" s="57"/>
      <c r="C428" s="57"/>
      <c r="D428" s="57"/>
      <c r="E428" s="56"/>
      <c r="F428" s="57"/>
      <c r="G428" s="57"/>
      <c r="H428" s="56"/>
      <c r="I428" s="56"/>
      <c r="J428" s="58"/>
      <c r="K428" s="58"/>
      <c r="L428" s="13" t="str">
        <f t="shared" si="60"/>
        <v/>
      </c>
      <c r="M428" s="13" t="str">
        <f t="shared" si="61"/>
        <v/>
      </c>
      <c r="Q428" t="str">
        <f t="shared" si="62"/>
        <v/>
      </c>
      <c r="R428" t="str">
        <f t="shared" si="63"/>
        <v/>
      </c>
      <c r="S428" t="str">
        <f t="shared" si="64"/>
        <v/>
      </c>
      <c r="T428" t="str">
        <f t="shared" si="65"/>
        <v/>
      </c>
      <c r="U428" t="str">
        <f t="shared" si="66"/>
        <v/>
      </c>
      <c r="V428" t="str">
        <f t="shared" si="67"/>
        <v/>
      </c>
      <c r="W428" t="str">
        <f t="shared" si="68"/>
        <v/>
      </c>
      <c r="X428">
        <f>IF($T428="",N($X427),IF(MATCH($T428,$T$6:$T$10005,0)=ROW()-5,N($X427)+1,N($X427)))</f>
        <v>0</v>
      </c>
      <c r="Z428" t="str">
        <f t="shared" si="69"/>
        <v/>
      </c>
      <c r="AA428">
        <f>IF($V428="",N($AA427),IF(MATCH($V428,$V$6:$V$10005,0)=ROW()-5,N($AA427)+1,N($AA427)))</f>
        <v>0</v>
      </c>
    </row>
    <row r="429" spans="1:27" ht="21" customHeight="1" x14ac:dyDescent="0.95">
      <c r="A429" s="56"/>
      <c r="B429" s="57"/>
      <c r="C429" s="57"/>
      <c r="D429" s="57"/>
      <c r="E429" s="56"/>
      <c r="F429" s="57"/>
      <c r="G429" s="57"/>
      <c r="H429" s="56"/>
      <c r="I429" s="56"/>
      <c r="J429" s="58"/>
      <c r="K429" s="58"/>
      <c r="L429" s="13" t="str">
        <f t="shared" si="60"/>
        <v/>
      </c>
      <c r="M429" s="13" t="str">
        <f t="shared" si="61"/>
        <v/>
      </c>
      <c r="Q429" t="str">
        <f t="shared" si="62"/>
        <v/>
      </c>
      <c r="R429" t="str">
        <f t="shared" si="63"/>
        <v/>
      </c>
      <c r="S429" t="str">
        <f t="shared" si="64"/>
        <v/>
      </c>
      <c r="T429" t="str">
        <f t="shared" si="65"/>
        <v/>
      </c>
      <c r="U429" t="str">
        <f t="shared" si="66"/>
        <v/>
      </c>
      <c r="V429" t="str">
        <f t="shared" si="67"/>
        <v/>
      </c>
      <c r="W429" t="str">
        <f t="shared" si="68"/>
        <v/>
      </c>
      <c r="X429">
        <f>IF($T429="",N($X428),IF(MATCH($T429,$T$6:$T$10005,0)=ROW()-5,N($X428)+1,N($X428)))</f>
        <v>0</v>
      </c>
      <c r="Z429" t="str">
        <f t="shared" si="69"/>
        <v/>
      </c>
      <c r="AA429">
        <f>IF($V429="",N($AA428),IF(MATCH($V429,$V$6:$V$10005,0)=ROW()-5,N($AA428)+1,N($AA428)))</f>
        <v>0</v>
      </c>
    </row>
    <row r="430" spans="1:27" ht="21" customHeight="1" x14ac:dyDescent="0.95">
      <c r="A430" s="56"/>
      <c r="B430" s="57"/>
      <c r="C430" s="57"/>
      <c r="D430" s="57"/>
      <c r="E430" s="56"/>
      <c r="F430" s="57"/>
      <c r="G430" s="57"/>
      <c r="H430" s="56"/>
      <c r="I430" s="56"/>
      <c r="J430" s="58"/>
      <c r="K430" s="58"/>
      <c r="L430" s="13" t="str">
        <f t="shared" si="60"/>
        <v/>
      </c>
      <c r="M430" s="13" t="str">
        <f t="shared" si="61"/>
        <v/>
      </c>
      <c r="Q430" t="str">
        <f t="shared" si="62"/>
        <v/>
      </c>
      <c r="R430" t="str">
        <f t="shared" si="63"/>
        <v/>
      </c>
      <c r="S430" t="str">
        <f t="shared" si="64"/>
        <v/>
      </c>
      <c r="T430" t="str">
        <f t="shared" si="65"/>
        <v/>
      </c>
      <c r="U430" t="str">
        <f t="shared" si="66"/>
        <v/>
      </c>
      <c r="V430" t="str">
        <f t="shared" si="67"/>
        <v/>
      </c>
      <c r="W430" t="str">
        <f t="shared" si="68"/>
        <v/>
      </c>
      <c r="X430">
        <f>IF($T430="",N($X429),IF(MATCH($T430,$T$6:$T$10005,0)=ROW()-5,N($X429)+1,N($X429)))</f>
        <v>0</v>
      </c>
      <c r="Z430" t="str">
        <f t="shared" si="69"/>
        <v/>
      </c>
      <c r="AA430">
        <f>IF($V430="",N($AA429),IF(MATCH($V430,$V$6:$V$10005,0)=ROW()-5,N($AA429)+1,N($AA429)))</f>
        <v>0</v>
      </c>
    </row>
    <row r="431" spans="1:27" ht="21" customHeight="1" x14ac:dyDescent="0.95">
      <c r="A431" s="56"/>
      <c r="B431" s="57"/>
      <c r="C431" s="57"/>
      <c r="D431" s="57"/>
      <c r="E431" s="56"/>
      <c r="F431" s="57"/>
      <c r="G431" s="57"/>
      <c r="H431" s="56"/>
      <c r="I431" s="56"/>
      <c r="J431" s="58"/>
      <c r="K431" s="58"/>
      <c r="L431" s="13" t="str">
        <f t="shared" si="60"/>
        <v/>
      </c>
      <c r="M431" s="13" t="str">
        <f t="shared" si="61"/>
        <v/>
      </c>
      <c r="Q431" t="str">
        <f t="shared" si="62"/>
        <v/>
      </c>
      <c r="R431" t="str">
        <f t="shared" si="63"/>
        <v/>
      </c>
      <c r="S431" t="str">
        <f t="shared" si="64"/>
        <v/>
      </c>
      <c r="T431" t="str">
        <f t="shared" si="65"/>
        <v/>
      </c>
      <c r="U431" t="str">
        <f t="shared" si="66"/>
        <v/>
      </c>
      <c r="V431" t="str">
        <f t="shared" si="67"/>
        <v/>
      </c>
      <c r="W431" t="str">
        <f t="shared" si="68"/>
        <v/>
      </c>
      <c r="X431">
        <f>IF($T431="",N($X430),IF(MATCH($T431,$T$6:$T$10005,0)=ROW()-5,N($X430)+1,N($X430)))</f>
        <v>0</v>
      </c>
      <c r="Z431" t="str">
        <f t="shared" si="69"/>
        <v/>
      </c>
      <c r="AA431">
        <f>IF($V431="",N($AA430),IF(MATCH($V431,$V$6:$V$10005,0)=ROW()-5,N($AA430)+1,N($AA430)))</f>
        <v>0</v>
      </c>
    </row>
    <row r="432" spans="1:27" ht="21" customHeight="1" x14ac:dyDescent="0.95">
      <c r="A432" s="56"/>
      <c r="B432" s="57"/>
      <c r="C432" s="57"/>
      <c r="D432" s="57"/>
      <c r="E432" s="56"/>
      <c r="F432" s="57"/>
      <c r="G432" s="57"/>
      <c r="H432" s="56"/>
      <c r="I432" s="56"/>
      <c r="J432" s="58"/>
      <c r="K432" s="58"/>
      <c r="L432" s="13" t="str">
        <f t="shared" si="60"/>
        <v/>
      </c>
      <c r="M432" s="13" t="str">
        <f t="shared" si="61"/>
        <v/>
      </c>
      <c r="Q432" t="str">
        <f t="shared" si="62"/>
        <v/>
      </c>
      <c r="R432" t="str">
        <f t="shared" si="63"/>
        <v/>
      </c>
      <c r="S432" t="str">
        <f t="shared" si="64"/>
        <v/>
      </c>
      <c r="T432" t="str">
        <f t="shared" si="65"/>
        <v/>
      </c>
      <c r="U432" t="str">
        <f t="shared" si="66"/>
        <v/>
      </c>
      <c r="V432" t="str">
        <f t="shared" si="67"/>
        <v/>
      </c>
      <c r="W432" t="str">
        <f t="shared" si="68"/>
        <v/>
      </c>
      <c r="X432">
        <f>IF($T432="",N($X431),IF(MATCH($T432,$T$6:$T$10005,0)=ROW()-5,N($X431)+1,N($X431)))</f>
        <v>0</v>
      </c>
      <c r="Z432" t="str">
        <f t="shared" si="69"/>
        <v/>
      </c>
      <c r="AA432">
        <f>IF($V432="",N($AA431),IF(MATCH($V432,$V$6:$V$10005,0)=ROW()-5,N($AA431)+1,N($AA431)))</f>
        <v>0</v>
      </c>
    </row>
    <row r="433" spans="1:27" ht="21" customHeight="1" x14ac:dyDescent="0.95">
      <c r="A433" s="56"/>
      <c r="B433" s="57"/>
      <c r="C433" s="57"/>
      <c r="D433" s="57"/>
      <c r="E433" s="56"/>
      <c r="F433" s="57"/>
      <c r="G433" s="57"/>
      <c r="H433" s="56"/>
      <c r="I433" s="56"/>
      <c r="J433" s="58"/>
      <c r="K433" s="58"/>
      <c r="L433" s="13" t="str">
        <f t="shared" si="60"/>
        <v/>
      </c>
      <c r="M433" s="13" t="str">
        <f t="shared" si="61"/>
        <v/>
      </c>
      <c r="Q433" t="str">
        <f t="shared" si="62"/>
        <v/>
      </c>
      <c r="R433" t="str">
        <f t="shared" si="63"/>
        <v/>
      </c>
      <c r="S433" t="str">
        <f t="shared" si="64"/>
        <v/>
      </c>
      <c r="T433" t="str">
        <f t="shared" si="65"/>
        <v/>
      </c>
      <c r="U433" t="str">
        <f t="shared" si="66"/>
        <v/>
      </c>
      <c r="V433" t="str">
        <f t="shared" si="67"/>
        <v/>
      </c>
      <c r="W433" t="str">
        <f t="shared" si="68"/>
        <v/>
      </c>
      <c r="X433">
        <f>IF($T433="",N($X432),IF(MATCH($T433,$T$6:$T$10005,0)=ROW()-5,N($X432)+1,N($X432)))</f>
        <v>0</v>
      </c>
      <c r="Z433" t="str">
        <f t="shared" si="69"/>
        <v/>
      </c>
      <c r="AA433">
        <f>IF($V433="",N($AA432),IF(MATCH($V433,$V$6:$V$10005,0)=ROW()-5,N($AA432)+1,N($AA432)))</f>
        <v>0</v>
      </c>
    </row>
    <row r="434" spans="1:27" ht="21" customHeight="1" x14ac:dyDescent="0.95">
      <c r="A434" s="56"/>
      <c r="B434" s="57"/>
      <c r="C434" s="57"/>
      <c r="D434" s="57"/>
      <c r="E434" s="56"/>
      <c r="F434" s="57"/>
      <c r="G434" s="57"/>
      <c r="H434" s="56"/>
      <c r="I434" s="56"/>
      <c r="J434" s="58"/>
      <c r="K434" s="58"/>
      <c r="L434" s="13" t="str">
        <f t="shared" si="60"/>
        <v/>
      </c>
      <c r="M434" s="13" t="str">
        <f t="shared" si="61"/>
        <v/>
      </c>
      <c r="Q434" t="str">
        <f t="shared" si="62"/>
        <v/>
      </c>
      <c r="R434" t="str">
        <f t="shared" si="63"/>
        <v/>
      </c>
      <c r="S434" t="str">
        <f t="shared" si="64"/>
        <v/>
      </c>
      <c r="T434" t="str">
        <f t="shared" si="65"/>
        <v/>
      </c>
      <c r="U434" t="str">
        <f t="shared" si="66"/>
        <v/>
      </c>
      <c r="V434" t="str">
        <f t="shared" si="67"/>
        <v/>
      </c>
      <c r="W434" t="str">
        <f t="shared" si="68"/>
        <v/>
      </c>
      <c r="X434">
        <f>IF($T434="",N($X433),IF(MATCH($T434,$T$6:$T$10005,0)=ROW()-5,N($X433)+1,N($X433)))</f>
        <v>0</v>
      </c>
      <c r="Z434" t="str">
        <f t="shared" si="69"/>
        <v/>
      </c>
      <c r="AA434">
        <f>IF($V434="",N($AA433),IF(MATCH($V434,$V$6:$V$10005,0)=ROW()-5,N($AA433)+1,N($AA433)))</f>
        <v>0</v>
      </c>
    </row>
    <row r="435" spans="1:27" ht="21" customHeight="1" x14ac:dyDescent="0.95">
      <c r="A435" s="56"/>
      <c r="B435" s="57"/>
      <c r="C435" s="57"/>
      <c r="D435" s="57"/>
      <c r="E435" s="56"/>
      <c r="F435" s="57"/>
      <c r="G435" s="57"/>
      <c r="H435" s="56"/>
      <c r="I435" s="56"/>
      <c r="J435" s="58"/>
      <c r="K435" s="58"/>
      <c r="L435" s="13" t="str">
        <f t="shared" si="60"/>
        <v/>
      </c>
      <c r="M435" s="13" t="str">
        <f t="shared" si="61"/>
        <v/>
      </c>
      <c r="Q435" t="str">
        <f t="shared" si="62"/>
        <v/>
      </c>
      <c r="R435" t="str">
        <f t="shared" si="63"/>
        <v/>
      </c>
      <c r="S435" t="str">
        <f t="shared" si="64"/>
        <v/>
      </c>
      <c r="T435" t="str">
        <f t="shared" si="65"/>
        <v/>
      </c>
      <c r="U435" t="str">
        <f t="shared" si="66"/>
        <v/>
      </c>
      <c r="V435" t="str">
        <f t="shared" si="67"/>
        <v/>
      </c>
      <c r="W435" t="str">
        <f t="shared" si="68"/>
        <v/>
      </c>
      <c r="X435">
        <f>IF($T435="",N($X434),IF(MATCH($T435,$T$6:$T$10005,0)=ROW()-5,N($X434)+1,N($X434)))</f>
        <v>0</v>
      </c>
      <c r="Z435" t="str">
        <f t="shared" si="69"/>
        <v/>
      </c>
      <c r="AA435">
        <f>IF($V435="",N($AA434),IF(MATCH($V435,$V$6:$V$10005,0)=ROW()-5,N($AA434)+1,N($AA434)))</f>
        <v>0</v>
      </c>
    </row>
    <row r="436" spans="1:27" ht="21" customHeight="1" x14ac:dyDescent="0.95">
      <c r="A436" s="56"/>
      <c r="B436" s="57"/>
      <c r="C436" s="57"/>
      <c r="D436" s="57"/>
      <c r="E436" s="56"/>
      <c r="F436" s="57"/>
      <c r="G436" s="57"/>
      <c r="H436" s="56"/>
      <c r="I436" s="56"/>
      <c r="J436" s="58"/>
      <c r="K436" s="58"/>
      <c r="L436" s="13" t="str">
        <f t="shared" si="60"/>
        <v/>
      </c>
      <c r="M436" s="13" t="str">
        <f t="shared" si="61"/>
        <v/>
      </c>
      <c r="Q436" t="str">
        <f t="shared" si="62"/>
        <v/>
      </c>
      <c r="R436" t="str">
        <f t="shared" si="63"/>
        <v/>
      </c>
      <c r="S436" t="str">
        <f t="shared" si="64"/>
        <v/>
      </c>
      <c r="T436" t="str">
        <f t="shared" si="65"/>
        <v/>
      </c>
      <c r="U436" t="str">
        <f t="shared" si="66"/>
        <v/>
      </c>
      <c r="V436" t="str">
        <f t="shared" si="67"/>
        <v/>
      </c>
      <c r="W436" t="str">
        <f t="shared" si="68"/>
        <v/>
      </c>
      <c r="X436">
        <f>IF($T436="",N($X435),IF(MATCH($T436,$T$6:$T$10005,0)=ROW()-5,N($X435)+1,N($X435)))</f>
        <v>0</v>
      </c>
      <c r="Z436" t="str">
        <f t="shared" si="69"/>
        <v/>
      </c>
      <c r="AA436">
        <f>IF($V436="",N($AA435),IF(MATCH($V436,$V$6:$V$10005,0)=ROW()-5,N($AA435)+1,N($AA435)))</f>
        <v>0</v>
      </c>
    </row>
    <row r="437" spans="1:27" ht="21" customHeight="1" x14ac:dyDescent="0.95">
      <c r="A437" s="56"/>
      <c r="B437" s="57"/>
      <c r="C437" s="57"/>
      <c r="D437" s="57"/>
      <c r="E437" s="56"/>
      <c r="F437" s="57"/>
      <c r="G437" s="57"/>
      <c r="H437" s="56"/>
      <c r="I437" s="56"/>
      <c r="J437" s="58"/>
      <c r="K437" s="58"/>
      <c r="L437" s="13" t="str">
        <f t="shared" si="60"/>
        <v/>
      </c>
      <c r="M437" s="13" t="str">
        <f t="shared" si="61"/>
        <v/>
      </c>
      <c r="Q437" t="str">
        <f t="shared" si="62"/>
        <v/>
      </c>
      <c r="R437" t="str">
        <f t="shared" si="63"/>
        <v/>
      </c>
      <c r="S437" t="str">
        <f t="shared" si="64"/>
        <v/>
      </c>
      <c r="T437" t="str">
        <f t="shared" si="65"/>
        <v/>
      </c>
      <c r="U437" t="str">
        <f t="shared" si="66"/>
        <v/>
      </c>
      <c r="V437" t="str">
        <f t="shared" si="67"/>
        <v/>
      </c>
      <c r="W437" t="str">
        <f t="shared" si="68"/>
        <v/>
      </c>
      <c r="X437">
        <f>IF($T437="",N($X436),IF(MATCH($T437,$T$6:$T$10005,0)=ROW()-5,N($X436)+1,N($X436)))</f>
        <v>0</v>
      </c>
      <c r="Z437" t="str">
        <f t="shared" si="69"/>
        <v/>
      </c>
      <c r="AA437">
        <f>IF($V437="",N($AA436),IF(MATCH($V437,$V$6:$V$10005,0)=ROW()-5,N($AA436)+1,N($AA436)))</f>
        <v>0</v>
      </c>
    </row>
    <row r="438" spans="1:27" ht="21" customHeight="1" x14ac:dyDescent="0.95">
      <c r="A438" s="56"/>
      <c r="B438" s="57"/>
      <c r="C438" s="57"/>
      <c r="D438" s="57"/>
      <c r="E438" s="56"/>
      <c r="F438" s="57"/>
      <c r="G438" s="57"/>
      <c r="H438" s="56"/>
      <c r="I438" s="56"/>
      <c r="J438" s="58"/>
      <c r="K438" s="58"/>
      <c r="L438" s="13" t="str">
        <f t="shared" si="60"/>
        <v/>
      </c>
      <c r="M438" s="13" t="str">
        <f t="shared" si="61"/>
        <v/>
      </c>
      <c r="Q438" t="str">
        <f t="shared" si="62"/>
        <v/>
      </c>
      <c r="R438" t="str">
        <f t="shared" si="63"/>
        <v/>
      </c>
      <c r="S438" t="str">
        <f t="shared" si="64"/>
        <v/>
      </c>
      <c r="T438" t="str">
        <f t="shared" si="65"/>
        <v/>
      </c>
      <c r="U438" t="str">
        <f t="shared" si="66"/>
        <v/>
      </c>
      <c r="V438" t="str">
        <f t="shared" si="67"/>
        <v/>
      </c>
      <c r="W438" t="str">
        <f t="shared" si="68"/>
        <v/>
      </c>
      <c r="X438">
        <f>IF($T438="",N($X437),IF(MATCH($T438,$T$6:$T$10005,0)=ROW()-5,N($X437)+1,N($X437)))</f>
        <v>0</v>
      </c>
      <c r="Z438" t="str">
        <f t="shared" si="69"/>
        <v/>
      </c>
      <c r="AA438">
        <f>IF($V438="",N($AA437),IF(MATCH($V438,$V$6:$V$10005,0)=ROW()-5,N($AA437)+1,N($AA437)))</f>
        <v>0</v>
      </c>
    </row>
    <row r="439" spans="1:27" ht="21" customHeight="1" x14ac:dyDescent="0.95">
      <c r="A439" s="56"/>
      <c r="B439" s="57"/>
      <c r="C439" s="57"/>
      <c r="D439" s="57"/>
      <c r="E439" s="56"/>
      <c r="F439" s="57"/>
      <c r="G439" s="57"/>
      <c r="H439" s="56"/>
      <c r="I439" s="56"/>
      <c r="J439" s="58"/>
      <c r="K439" s="58"/>
      <c r="L439" s="13" t="str">
        <f t="shared" si="60"/>
        <v/>
      </c>
      <c r="M439" s="13" t="str">
        <f t="shared" si="61"/>
        <v/>
      </c>
      <c r="Q439" t="str">
        <f t="shared" si="62"/>
        <v/>
      </c>
      <c r="R439" t="str">
        <f t="shared" si="63"/>
        <v/>
      </c>
      <c r="S439" t="str">
        <f t="shared" si="64"/>
        <v/>
      </c>
      <c r="T439" t="str">
        <f t="shared" si="65"/>
        <v/>
      </c>
      <c r="U439" t="str">
        <f t="shared" si="66"/>
        <v/>
      </c>
      <c r="V439" t="str">
        <f t="shared" si="67"/>
        <v/>
      </c>
      <c r="W439" t="str">
        <f t="shared" si="68"/>
        <v/>
      </c>
      <c r="X439">
        <f>IF($T439="",N($X438),IF(MATCH($T439,$T$6:$T$10005,0)=ROW()-5,N($X438)+1,N($X438)))</f>
        <v>0</v>
      </c>
      <c r="Z439" t="str">
        <f t="shared" si="69"/>
        <v/>
      </c>
      <c r="AA439">
        <f>IF($V439="",N($AA438),IF(MATCH($V439,$V$6:$V$10005,0)=ROW()-5,N($AA438)+1,N($AA438)))</f>
        <v>0</v>
      </c>
    </row>
    <row r="440" spans="1:27" ht="21" customHeight="1" x14ac:dyDescent="0.95">
      <c r="A440" s="56"/>
      <c r="B440" s="57"/>
      <c r="C440" s="57"/>
      <c r="D440" s="57"/>
      <c r="E440" s="56"/>
      <c r="F440" s="57"/>
      <c r="G440" s="57"/>
      <c r="H440" s="56"/>
      <c r="I440" s="56"/>
      <c r="J440" s="58"/>
      <c r="K440" s="58"/>
      <c r="L440" s="13" t="str">
        <f t="shared" si="60"/>
        <v/>
      </c>
      <c r="M440" s="13" t="str">
        <f t="shared" si="61"/>
        <v/>
      </c>
      <c r="Q440" t="str">
        <f t="shared" si="62"/>
        <v/>
      </c>
      <c r="R440" t="str">
        <f t="shared" si="63"/>
        <v/>
      </c>
      <c r="S440" t="str">
        <f t="shared" si="64"/>
        <v/>
      </c>
      <c r="T440" t="str">
        <f t="shared" si="65"/>
        <v/>
      </c>
      <c r="U440" t="str">
        <f t="shared" si="66"/>
        <v/>
      </c>
      <c r="V440" t="str">
        <f t="shared" si="67"/>
        <v/>
      </c>
      <c r="W440" t="str">
        <f t="shared" si="68"/>
        <v/>
      </c>
      <c r="X440">
        <f>IF($T440="",N($X439),IF(MATCH($T440,$T$6:$T$10005,0)=ROW()-5,N($X439)+1,N($X439)))</f>
        <v>0</v>
      </c>
      <c r="Z440" t="str">
        <f t="shared" si="69"/>
        <v/>
      </c>
      <c r="AA440">
        <f>IF($V440="",N($AA439),IF(MATCH($V440,$V$6:$V$10005,0)=ROW()-5,N($AA439)+1,N($AA439)))</f>
        <v>0</v>
      </c>
    </row>
    <row r="441" spans="1:27" ht="21" customHeight="1" x14ac:dyDescent="0.95">
      <c r="A441" s="56"/>
      <c r="B441" s="57"/>
      <c r="C441" s="57"/>
      <c r="D441" s="57"/>
      <c r="E441" s="56"/>
      <c r="F441" s="57"/>
      <c r="G441" s="57"/>
      <c r="H441" s="56"/>
      <c r="I441" s="56"/>
      <c r="J441" s="58"/>
      <c r="K441" s="58"/>
      <c r="L441" s="13" t="str">
        <f t="shared" si="60"/>
        <v/>
      </c>
      <c r="M441" s="13" t="str">
        <f t="shared" si="61"/>
        <v/>
      </c>
      <c r="Q441" t="str">
        <f t="shared" si="62"/>
        <v/>
      </c>
      <c r="R441" t="str">
        <f t="shared" si="63"/>
        <v/>
      </c>
      <c r="S441" t="str">
        <f t="shared" si="64"/>
        <v/>
      </c>
      <c r="T441" t="str">
        <f t="shared" si="65"/>
        <v/>
      </c>
      <c r="U441" t="str">
        <f t="shared" si="66"/>
        <v/>
      </c>
      <c r="V441" t="str">
        <f t="shared" si="67"/>
        <v/>
      </c>
      <c r="W441" t="str">
        <f t="shared" si="68"/>
        <v/>
      </c>
      <c r="X441">
        <f>IF($T441="",N($X440),IF(MATCH($T441,$T$6:$T$10005,0)=ROW()-5,N($X440)+1,N($X440)))</f>
        <v>0</v>
      </c>
      <c r="Z441" t="str">
        <f t="shared" si="69"/>
        <v/>
      </c>
      <c r="AA441">
        <f>IF($V441="",N($AA440),IF(MATCH($V441,$V$6:$V$10005,0)=ROW()-5,N($AA440)+1,N($AA440)))</f>
        <v>0</v>
      </c>
    </row>
    <row r="442" spans="1:27" ht="21" customHeight="1" x14ac:dyDescent="0.95">
      <c r="A442" s="56"/>
      <c r="B442" s="57"/>
      <c r="C442" s="57"/>
      <c r="D442" s="57"/>
      <c r="E442" s="56"/>
      <c r="F442" s="57"/>
      <c r="G442" s="57"/>
      <c r="H442" s="56"/>
      <c r="I442" s="56"/>
      <c r="J442" s="58"/>
      <c r="K442" s="58"/>
      <c r="L442" s="13" t="str">
        <f t="shared" si="60"/>
        <v/>
      </c>
      <c r="M442" s="13" t="str">
        <f t="shared" si="61"/>
        <v/>
      </c>
      <c r="Q442" t="str">
        <f t="shared" si="62"/>
        <v/>
      </c>
      <c r="R442" t="str">
        <f t="shared" si="63"/>
        <v/>
      </c>
      <c r="S442" t="str">
        <f t="shared" si="64"/>
        <v/>
      </c>
      <c r="T442" t="str">
        <f t="shared" si="65"/>
        <v/>
      </c>
      <c r="U442" t="str">
        <f t="shared" si="66"/>
        <v/>
      </c>
      <c r="V442" t="str">
        <f t="shared" si="67"/>
        <v/>
      </c>
      <c r="W442" t="str">
        <f t="shared" si="68"/>
        <v/>
      </c>
      <c r="X442">
        <f>IF($T442="",N($X441),IF(MATCH($T442,$T$6:$T$10005,0)=ROW()-5,N($X441)+1,N($X441)))</f>
        <v>0</v>
      </c>
      <c r="Z442" t="str">
        <f t="shared" si="69"/>
        <v/>
      </c>
      <c r="AA442">
        <f>IF($V442="",N($AA441),IF(MATCH($V442,$V$6:$V$10005,0)=ROW()-5,N($AA441)+1,N($AA441)))</f>
        <v>0</v>
      </c>
    </row>
    <row r="443" spans="1:27" ht="21" customHeight="1" x14ac:dyDescent="0.95">
      <c r="A443" s="56"/>
      <c r="B443" s="57"/>
      <c r="C443" s="57"/>
      <c r="D443" s="57"/>
      <c r="E443" s="56"/>
      <c r="F443" s="57"/>
      <c r="G443" s="57"/>
      <c r="H443" s="56"/>
      <c r="I443" s="56"/>
      <c r="J443" s="58"/>
      <c r="K443" s="58"/>
      <c r="L443" s="13" t="str">
        <f t="shared" si="60"/>
        <v/>
      </c>
      <c r="M443" s="13" t="str">
        <f t="shared" si="61"/>
        <v/>
      </c>
      <c r="Q443" t="str">
        <f t="shared" si="62"/>
        <v/>
      </c>
      <c r="R443" t="str">
        <f t="shared" si="63"/>
        <v/>
      </c>
      <c r="S443" t="str">
        <f t="shared" si="64"/>
        <v/>
      </c>
      <c r="T443" t="str">
        <f t="shared" si="65"/>
        <v/>
      </c>
      <c r="U443" t="str">
        <f t="shared" si="66"/>
        <v/>
      </c>
      <c r="V443" t="str">
        <f t="shared" si="67"/>
        <v/>
      </c>
      <c r="W443" t="str">
        <f t="shared" si="68"/>
        <v/>
      </c>
      <c r="X443">
        <f>IF($T443="",N($X442),IF(MATCH($T443,$T$6:$T$10005,0)=ROW()-5,N($X442)+1,N($X442)))</f>
        <v>0</v>
      </c>
      <c r="Z443" t="str">
        <f t="shared" si="69"/>
        <v/>
      </c>
      <c r="AA443">
        <f>IF($V443="",N($AA442),IF(MATCH($V443,$V$6:$V$10005,0)=ROW()-5,N($AA442)+1,N($AA442)))</f>
        <v>0</v>
      </c>
    </row>
    <row r="444" spans="1:27" ht="21" customHeight="1" x14ac:dyDescent="0.95">
      <c r="A444" s="56"/>
      <c r="B444" s="57"/>
      <c r="C444" s="57"/>
      <c r="D444" s="57"/>
      <c r="E444" s="56"/>
      <c r="F444" s="57"/>
      <c r="G444" s="57"/>
      <c r="H444" s="56"/>
      <c r="I444" s="56"/>
      <c r="J444" s="58"/>
      <c r="K444" s="58"/>
      <c r="L444" s="13" t="str">
        <f t="shared" si="60"/>
        <v/>
      </c>
      <c r="M444" s="13" t="str">
        <f t="shared" si="61"/>
        <v/>
      </c>
      <c r="Q444" t="str">
        <f t="shared" si="62"/>
        <v/>
      </c>
      <c r="R444" t="str">
        <f t="shared" si="63"/>
        <v/>
      </c>
      <c r="S444" t="str">
        <f t="shared" si="64"/>
        <v/>
      </c>
      <c r="T444" t="str">
        <f t="shared" si="65"/>
        <v/>
      </c>
      <c r="U444" t="str">
        <f t="shared" si="66"/>
        <v/>
      </c>
      <c r="V444" t="str">
        <f t="shared" si="67"/>
        <v/>
      </c>
      <c r="W444" t="str">
        <f t="shared" si="68"/>
        <v/>
      </c>
      <c r="X444">
        <f>IF($T444="",N($X443),IF(MATCH($T444,$T$6:$T$10005,0)=ROW()-5,N($X443)+1,N($X443)))</f>
        <v>0</v>
      </c>
      <c r="Z444" t="str">
        <f t="shared" si="69"/>
        <v/>
      </c>
      <c r="AA444">
        <f>IF($V444="",N($AA443),IF(MATCH($V444,$V$6:$V$10005,0)=ROW()-5,N($AA443)+1,N($AA443)))</f>
        <v>0</v>
      </c>
    </row>
    <row r="445" spans="1:27" ht="21" customHeight="1" x14ac:dyDescent="0.95">
      <c r="A445" s="56"/>
      <c r="B445" s="57"/>
      <c r="C445" s="57"/>
      <c r="D445" s="57"/>
      <c r="E445" s="56"/>
      <c r="F445" s="57"/>
      <c r="G445" s="57"/>
      <c r="H445" s="56"/>
      <c r="I445" s="56"/>
      <c r="J445" s="58"/>
      <c r="K445" s="58"/>
      <c r="L445" s="13" t="str">
        <f t="shared" si="60"/>
        <v/>
      </c>
      <c r="M445" s="13" t="str">
        <f t="shared" si="61"/>
        <v/>
      </c>
      <c r="Q445" t="str">
        <f t="shared" si="62"/>
        <v/>
      </c>
      <c r="R445" t="str">
        <f t="shared" si="63"/>
        <v/>
      </c>
      <c r="S445" t="str">
        <f t="shared" si="64"/>
        <v/>
      </c>
      <c r="T445" t="str">
        <f t="shared" si="65"/>
        <v/>
      </c>
      <c r="U445" t="str">
        <f t="shared" si="66"/>
        <v/>
      </c>
      <c r="V445" t="str">
        <f t="shared" si="67"/>
        <v/>
      </c>
      <c r="W445" t="str">
        <f t="shared" si="68"/>
        <v/>
      </c>
      <c r="X445">
        <f>IF($T445="",N($X444),IF(MATCH($T445,$T$6:$T$10005,0)=ROW()-5,N($X444)+1,N($X444)))</f>
        <v>0</v>
      </c>
      <c r="Z445" t="str">
        <f t="shared" si="69"/>
        <v/>
      </c>
      <c r="AA445">
        <f>IF($V445="",N($AA444),IF(MATCH($V445,$V$6:$V$10005,0)=ROW()-5,N($AA444)+1,N($AA444)))</f>
        <v>0</v>
      </c>
    </row>
    <row r="446" spans="1:27" ht="21" customHeight="1" x14ac:dyDescent="0.95">
      <c r="A446" s="56"/>
      <c r="B446" s="57"/>
      <c r="C446" s="57"/>
      <c r="D446" s="57"/>
      <c r="E446" s="56"/>
      <c r="F446" s="57"/>
      <c r="G446" s="57"/>
      <c r="H446" s="56"/>
      <c r="I446" s="56"/>
      <c r="J446" s="58"/>
      <c r="K446" s="58"/>
      <c r="L446" s="13" t="str">
        <f t="shared" si="60"/>
        <v/>
      </c>
      <c r="M446" s="13" t="str">
        <f t="shared" si="61"/>
        <v/>
      </c>
      <c r="Q446" t="str">
        <f t="shared" si="62"/>
        <v/>
      </c>
      <c r="R446" t="str">
        <f t="shared" si="63"/>
        <v/>
      </c>
      <c r="S446" t="str">
        <f t="shared" si="64"/>
        <v/>
      </c>
      <c r="T446" t="str">
        <f t="shared" si="65"/>
        <v/>
      </c>
      <c r="U446" t="str">
        <f t="shared" si="66"/>
        <v/>
      </c>
      <c r="V446" t="str">
        <f t="shared" si="67"/>
        <v/>
      </c>
      <c r="W446" t="str">
        <f t="shared" si="68"/>
        <v/>
      </c>
      <c r="X446">
        <f>IF($T446="",N($X445),IF(MATCH($T446,$T$6:$T$10005,0)=ROW()-5,N($X445)+1,N($X445)))</f>
        <v>0</v>
      </c>
      <c r="Z446" t="str">
        <f t="shared" si="69"/>
        <v/>
      </c>
      <c r="AA446">
        <f>IF($V446="",N($AA445),IF(MATCH($V446,$V$6:$V$10005,0)=ROW()-5,N($AA445)+1,N($AA445)))</f>
        <v>0</v>
      </c>
    </row>
    <row r="447" spans="1:27" ht="21" customHeight="1" x14ac:dyDescent="0.95">
      <c r="A447" s="56"/>
      <c r="B447" s="57"/>
      <c r="C447" s="57"/>
      <c r="D447" s="57"/>
      <c r="E447" s="56"/>
      <c r="F447" s="57"/>
      <c r="G447" s="57"/>
      <c r="H447" s="56"/>
      <c r="I447" s="56"/>
      <c r="J447" s="58"/>
      <c r="K447" s="58"/>
      <c r="L447" s="13" t="str">
        <f t="shared" si="60"/>
        <v/>
      </c>
      <c r="M447" s="13" t="str">
        <f t="shared" si="61"/>
        <v/>
      </c>
      <c r="Q447" t="str">
        <f t="shared" si="62"/>
        <v/>
      </c>
      <c r="R447" t="str">
        <f t="shared" si="63"/>
        <v/>
      </c>
      <c r="S447" t="str">
        <f t="shared" si="64"/>
        <v/>
      </c>
      <c r="T447" t="str">
        <f t="shared" si="65"/>
        <v/>
      </c>
      <c r="U447" t="str">
        <f t="shared" si="66"/>
        <v/>
      </c>
      <c r="V447" t="str">
        <f t="shared" si="67"/>
        <v/>
      </c>
      <c r="W447" t="str">
        <f t="shared" si="68"/>
        <v/>
      </c>
      <c r="X447">
        <f>IF($T447="",N($X446),IF(MATCH($T447,$T$6:$T$10005,0)=ROW()-5,N($X446)+1,N($X446)))</f>
        <v>0</v>
      </c>
      <c r="Z447" t="str">
        <f t="shared" si="69"/>
        <v/>
      </c>
      <c r="AA447">
        <f>IF($V447="",N($AA446),IF(MATCH($V447,$V$6:$V$10005,0)=ROW()-5,N($AA446)+1,N($AA446)))</f>
        <v>0</v>
      </c>
    </row>
    <row r="448" spans="1:27" ht="21" customHeight="1" x14ac:dyDescent="0.95">
      <c r="A448" s="56"/>
      <c r="B448" s="57"/>
      <c r="C448" s="57"/>
      <c r="D448" s="57"/>
      <c r="E448" s="56"/>
      <c r="F448" s="57"/>
      <c r="G448" s="57"/>
      <c r="H448" s="56"/>
      <c r="I448" s="56"/>
      <c r="J448" s="58"/>
      <c r="K448" s="58"/>
      <c r="L448" s="13" t="str">
        <f t="shared" si="60"/>
        <v/>
      </c>
      <c r="M448" s="13" t="str">
        <f t="shared" si="61"/>
        <v/>
      </c>
      <c r="Q448" t="str">
        <f t="shared" si="62"/>
        <v/>
      </c>
      <c r="R448" t="str">
        <f t="shared" si="63"/>
        <v/>
      </c>
      <c r="S448" t="str">
        <f t="shared" si="64"/>
        <v/>
      </c>
      <c r="T448" t="str">
        <f t="shared" si="65"/>
        <v/>
      </c>
      <c r="U448" t="str">
        <f t="shared" si="66"/>
        <v/>
      </c>
      <c r="V448" t="str">
        <f t="shared" si="67"/>
        <v/>
      </c>
      <c r="W448" t="str">
        <f t="shared" si="68"/>
        <v/>
      </c>
      <c r="X448">
        <f>IF($T448="",N($X447),IF(MATCH($T448,$T$6:$T$10005,0)=ROW()-5,N($X447)+1,N($X447)))</f>
        <v>0</v>
      </c>
      <c r="Z448" t="str">
        <f t="shared" si="69"/>
        <v/>
      </c>
      <c r="AA448">
        <f>IF($V448="",N($AA447),IF(MATCH($V448,$V$6:$V$10005,0)=ROW()-5,N($AA447)+1,N($AA447)))</f>
        <v>0</v>
      </c>
    </row>
    <row r="449" spans="1:27" ht="21" customHeight="1" x14ac:dyDescent="0.95">
      <c r="A449" s="56"/>
      <c r="B449" s="57"/>
      <c r="C449" s="57"/>
      <c r="D449" s="57"/>
      <c r="E449" s="56"/>
      <c r="F449" s="57"/>
      <c r="G449" s="57"/>
      <c r="H449" s="56"/>
      <c r="I449" s="56"/>
      <c r="J449" s="58"/>
      <c r="K449" s="58"/>
      <c r="L449" s="13" t="str">
        <f t="shared" si="60"/>
        <v/>
      </c>
      <c r="M449" s="13" t="str">
        <f t="shared" si="61"/>
        <v/>
      </c>
      <c r="Q449" t="str">
        <f t="shared" si="62"/>
        <v/>
      </c>
      <c r="R449" t="str">
        <f t="shared" si="63"/>
        <v/>
      </c>
      <c r="S449" t="str">
        <f t="shared" si="64"/>
        <v/>
      </c>
      <c r="T449" t="str">
        <f t="shared" si="65"/>
        <v/>
      </c>
      <c r="U449" t="str">
        <f t="shared" si="66"/>
        <v/>
      </c>
      <c r="V449" t="str">
        <f t="shared" si="67"/>
        <v/>
      </c>
      <c r="W449" t="str">
        <f t="shared" si="68"/>
        <v/>
      </c>
      <c r="X449">
        <f>IF($T449="",N($X448),IF(MATCH($T449,$T$6:$T$10005,0)=ROW()-5,N($X448)+1,N($X448)))</f>
        <v>0</v>
      </c>
      <c r="Z449" t="str">
        <f t="shared" si="69"/>
        <v/>
      </c>
      <c r="AA449">
        <f>IF($V449="",N($AA448),IF(MATCH($V449,$V$6:$V$10005,0)=ROW()-5,N($AA448)+1,N($AA448)))</f>
        <v>0</v>
      </c>
    </row>
    <row r="450" spans="1:27" ht="21" customHeight="1" x14ac:dyDescent="0.95">
      <c r="A450" s="56"/>
      <c r="B450" s="57"/>
      <c r="C450" s="57"/>
      <c r="D450" s="57"/>
      <c r="E450" s="56"/>
      <c r="F450" s="57"/>
      <c r="G450" s="57"/>
      <c r="H450" s="56"/>
      <c r="I450" s="56"/>
      <c r="J450" s="58"/>
      <c r="K450" s="58"/>
      <c r="L450" s="13" t="str">
        <f t="shared" si="60"/>
        <v/>
      </c>
      <c r="M450" s="13" t="str">
        <f t="shared" si="61"/>
        <v/>
      </c>
      <c r="Q450" t="str">
        <f t="shared" si="62"/>
        <v/>
      </c>
      <c r="R450" t="str">
        <f t="shared" si="63"/>
        <v/>
      </c>
      <c r="S450" t="str">
        <f t="shared" si="64"/>
        <v/>
      </c>
      <c r="T450" t="str">
        <f t="shared" si="65"/>
        <v/>
      </c>
      <c r="U450" t="str">
        <f t="shared" si="66"/>
        <v/>
      </c>
      <c r="V450" t="str">
        <f t="shared" si="67"/>
        <v/>
      </c>
      <c r="W450" t="str">
        <f t="shared" si="68"/>
        <v/>
      </c>
      <c r="X450">
        <f>IF($T450="",N($X449),IF(MATCH($T450,$T$6:$T$10005,0)=ROW()-5,N($X449)+1,N($X449)))</f>
        <v>0</v>
      </c>
      <c r="Z450" t="str">
        <f t="shared" si="69"/>
        <v/>
      </c>
      <c r="AA450">
        <f>IF($V450="",N($AA449),IF(MATCH($V450,$V$6:$V$10005,0)=ROW()-5,N($AA449)+1,N($AA449)))</f>
        <v>0</v>
      </c>
    </row>
    <row r="451" spans="1:27" ht="21" customHeight="1" x14ac:dyDescent="0.95">
      <c r="A451" s="56"/>
      <c r="B451" s="57"/>
      <c r="C451" s="57"/>
      <c r="D451" s="57"/>
      <c r="E451" s="56"/>
      <c r="F451" s="57"/>
      <c r="G451" s="57"/>
      <c r="H451" s="56"/>
      <c r="I451" s="56"/>
      <c r="J451" s="58"/>
      <c r="K451" s="58"/>
      <c r="L451" s="13" t="str">
        <f t="shared" si="60"/>
        <v/>
      </c>
      <c r="M451" s="13" t="str">
        <f t="shared" si="61"/>
        <v/>
      </c>
      <c r="Q451" t="str">
        <f t="shared" si="62"/>
        <v/>
      </c>
      <c r="R451" t="str">
        <f t="shared" si="63"/>
        <v/>
      </c>
      <c r="S451" t="str">
        <f t="shared" si="64"/>
        <v/>
      </c>
      <c r="T451" t="str">
        <f t="shared" si="65"/>
        <v/>
      </c>
      <c r="U451" t="str">
        <f t="shared" si="66"/>
        <v/>
      </c>
      <c r="V451" t="str">
        <f t="shared" si="67"/>
        <v/>
      </c>
      <c r="W451" t="str">
        <f t="shared" si="68"/>
        <v/>
      </c>
      <c r="X451">
        <f>IF($T451="",N($X450),IF(MATCH($T451,$T$6:$T$10005,0)=ROW()-5,N($X450)+1,N($X450)))</f>
        <v>0</v>
      </c>
      <c r="Z451" t="str">
        <f t="shared" si="69"/>
        <v/>
      </c>
      <c r="AA451">
        <f>IF($V451="",N($AA450),IF(MATCH($V451,$V$6:$V$10005,0)=ROW()-5,N($AA450)+1,N($AA450)))</f>
        <v>0</v>
      </c>
    </row>
    <row r="452" spans="1:27" ht="21" customHeight="1" x14ac:dyDescent="0.95">
      <c r="A452" s="56"/>
      <c r="B452" s="57"/>
      <c r="C452" s="57"/>
      <c r="D452" s="57"/>
      <c r="E452" s="56"/>
      <c r="F452" s="57"/>
      <c r="G452" s="57"/>
      <c r="H452" s="56"/>
      <c r="I452" s="56"/>
      <c r="J452" s="58"/>
      <c r="K452" s="58"/>
      <c r="L452" s="13" t="str">
        <f t="shared" si="60"/>
        <v/>
      </c>
      <c r="M452" s="13" t="str">
        <f t="shared" si="61"/>
        <v/>
      </c>
      <c r="Q452" t="str">
        <f t="shared" si="62"/>
        <v/>
      </c>
      <c r="R452" t="str">
        <f t="shared" si="63"/>
        <v/>
      </c>
      <c r="S452" t="str">
        <f t="shared" si="64"/>
        <v/>
      </c>
      <c r="T452" t="str">
        <f t="shared" si="65"/>
        <v/>
      </c>
      <c r="U452" t="str">
        <f t="shared" si="66"/>
        <v/>
      </c>
      <c r="V452" t="str">
        <f t="shared" si="67"/>
        <v/>
      </c>
      <c r="W452" t="str">
        <f t="shared" si="68"/>
        <v/>
      </c>
      <c r="X452">
        <f>IF($T452="",N($X451),IF(MATCH($T452,$T$6:$T$10005,0)=ROW()-5,N($X451)+1,N($X451)))</f>
        <v>0</v>
      </c>
      <c r="Z452" t="str">
        <f t="shared" si="69"/>
        <v/>
      </c>
      <c r="AA452">
        <f>IF($V452="",N($AA451),IF(MATCH($V452,$V$6:$V$10005,0)=ROW()-5,N($AA451)+1,N($AA451)))</f>
        <v>0</v>
      </c>
    </row>
    <row r="453" spans="1:27" ht="21" customHeight="1" x14ac:dyDescent="0.95">
      <c r="A453" s="56"/>
      <c r="B453" s="57"/>
      <c r="C453" s="57"/>
      <c r="D453" s="57"/>
      <c r="E453" s="56"/>
      <c r="F453" s="57"/>
      <c r="G453" s="57"/>
      <c r="H453" s="56"/>
      <c r="I453" s="56"/>
      <c r="J453" s="58"/>
      <c r="K453" s="58"/>
      <c r="L453" s="13" t="str">
        <f t="shared" si="60"/>
        <v/>
      </c>
      <c r="M453" s="13" t="str">
        <f t="shared" si="61"/>
        <v/>
      </c>
      <c r="Q453" t="str">
        <f t="shared" si="62"/>
        <v/>
      </c>
      <c r="R453" t="str">
        <f t="shared" si="63"/>
        <v/>
      </c>
      <c r="S453" t="str">
        <f t="shared" si="64"/>
        <v/>
      </c>
      <c r="T453" t="str">
        <f t="shared" si="65"/>
        <v/>
      </c>
      <c r="U453" t="str">
        <f t="shared" si="66"/>
        <v/>
      </c>
      <c r="V453" t="str">
        <f t="shared" si="67"/>
        <v/>
      </c>
      <c r="W453" t="str">
        <f t="shared" si="68"/>
        <v/>
      </c>
      <c r="X453">
        <f>IF($T453="",N($X452),IF(MATCH($T453,$T$6:$T$10005,0)=ROW()-5,N($X452)+1,N($X452)))</f>
        <v>0</v>
      </c>
      <c r="Z453" t="str">
        <f t="shared" si="69"/>
        <v/>
      </c>
      <c r="AA453">
        <f>IF($V453="",N($AA452),IF(MATCH($V453,$V$6:$V$10005,0)=ROW()-5,N($AA452)+1,N($AA452)))</f>
        <v>0</v>
      </c>
    </row>
    <row r="454" spans="1:27" ht="21" customHeight="1" x14ac:dyDescent="0.95">
      <c r="A454" s="56"/>
      <c r="B454" s="57"/>
      <c r="C454" s="57"/>
      <c r="D454" s="57"/>
      <c r="E454" s="56"/>
      <c r="F454" s="57"/>
      <c r="G454" s="57"/>
      <c r="H454" s="56"/>
      <c r="I454" s="56"/>
      <c r="J454" s="58"/>
      <c r="K454" s="58"/>
      <c r="L454" s="13" t="str">
        <f t="shared" ref="L454:L517" si="70">IF(OR($A454="",AND($J454="",$K454="")),"",ROUND(N($J454)-N($K454),2))</f>
        <v/>
      </c>
      <c r="M454" s="13" t="str">
        <f t="shared" ref="M454:M517" si="71">IF(OR($A454="",AND($J454="",$K454="")),"",MIN($J454,$K454))</f>
        <v/>
      </c>
      <c r="Q454" t="str">
        <f t="shared" ref="Q454:Q517" si="72">IF($A454="","",$D454&amp;"("&amp;SUBSTITUTE($E454," ","")&amp;")")</f>
        <v/>
      </c>
      <c r="R454" t="str">
        <f t="shared" ref="R454:R517" si="73">IF($A454="","",$B454&amp;" - "&amp;$C454)</f>
        <v/>
      </c>
      <c r="S454" t="str">
        <f t="shared" ref="S454:S517" si="74">IF($A454="","",$R454&amp;"|"&amp;$Q454)</f>
        <v/>
      </c>
      <c r="T454" t="str">
        <f t="shared" ref="T454:T517" si="75">IF($A454="","",$S454&amp;"|"&amp;$F454)</f>
        <v/>
      </c>
      <c r="U454" t="str">
        <f t="shared" ref="U454:U517" si="76">IF($A454="","",$R454&amp;"("&amp;$E454&amp;")")</f>
        <v/>
      </c>
      <c r="V454" t="str">
        <f t="shared" ref="V454:V517" si="77">IF($A454="","",$F454&amp;"|"&amp;$U454&amp;"|"&amp;$D454)</f>
        <v/>
      </c>
      <c r="W454" t="str">
        <f t="shared" ref="W454:W517" si="78">IF($T454="","",IF($X454&gt;N($X453),$X454,""))</f>
        <v/>
      </c>
      <c r="X454">
        <f>IF($T454="",N($X453),IF(MATCH($T454,$T$6:$T$10005,0)=ROW()-5,N($X453)+1,N($X453)))</f>
        <v>0</v>
      </c>
      <c r="Z454" t="str">
        <f t="shared" ref="Z454:Z517" si="79">IF($V454="","",IF($AA454&gt;N($AA453),$AA454,""))</f>
        <v/>
      </c>
      <c r="AA454">
        <f>IF($V454="",N($AA453),IF(MATCH($V454,$V$6:$V$10005,0)=ROW()-5,N($AA453)+1,N($AA453)))</f>
        <v>0</v>
      </c>
    </row>
    <row r="455" spans="1:27" ht="21" customHeight="1" x14ac:dyDescent="0.95">
      <c r="A455" s="56"/>
      <c r="B455" s="57"/>
      <c r="C455" s="57"/>
      <c r="D455" s="57"/>
      <c r="E455" s="56"/>
      <c r="F455" s="57"/>
      <c r="G455" s="57"/>
      <c r="H455" s="56"/>
      <c r="I455" s="56"/>
      <c r="J455" s="58"/>
      <c r="K455" s="58"/>
      <c r="L455" s="13" t="str">
        <f t="shared" si="70"/>
        <v/>
      </c>
      <c r="M455" s="13" t="str">
        <f t="shared" si="71"/>
        <v/>
      </c>
      <c r="Q455" t="str">
        <f t="shared" si="72"/>
        <v/>
      </c>
      <c r="R455" t="str">
        <f t="shared" si="73"/>
        <v/>
      </c>
      <c r="S455" t="str">
        <f t="shared" si="74"/>
        <v/>
      </c>
      <c r="T455" t="str">
        <f t="shared" si="75"/>
        <v/>
      </c>
      <c r="U455" t="str">
        <f t="shared" si="76"/>
        <v/>
      </c>
      <c r="V455" t="str">
        <f t="shared" si="77"/>
        <v/>
      </c>
      <c r="W455" t="str">
        <f t="shared" si="78"/>
        <v/>
      </c>
      <c r="X455">
        <f>IF($T455="",N($X454),IF(MATCH($T455,$T$6:$T$10005,0)=ROW()-5,N($X454)+1,N($X454)))</f>
        <v>0</v>
      </c>
      <c r="Z455" t="str">
        <f t="shared" si="79"/>
        <v/>
      </c>
      <c r="AA455">
        <f>IF($V455="",N($AA454),IF(MATCH($V455,$V$6:$V$10005,0)=ROW()-5,N($AA454)+1,N($AA454)))</f>
        <v>0</v>
      </c>
    </row>
    <row r="456" spans="1:27" ht="21" customHeight="1" x14ac:dyDescent="0.95">
      <c r="A456" s="56"/>
      <c r="B456" s="57"/>
      <c r="C456" s="57"/>
      <c r="D456" s="57"/>
      <c r="E456" s="56"/>
      <c r="F456" s="57"/>
      <c r="G456" s="57"/>
      <c r="H456" s="56"/>
      <c r="I456" s="56"/>
      <c r="J456" s="58"/>
      <c r="K456" s="58"/>
      <c r="L456" s="13" t="str">
        <f t="shared" si="70"/>
        <v/>
      </c>
      <c r="M456" s="13" t="str">
        <f t="shared" si="71"/>
        <v/>
      </c>
      <c r="Q456" t="str">
        <f t="shared" si="72"/>
        <v/>
      </c>
      <c r="R456" t="str">
        <f t="shared" si="73"/>
        <v/>
      </c>
      <c r="S456" t="str">
        <f t="shared" si="74"/>
        <v/>
      </c>
      <c r="T456" t="str">
        <f t="shared" si="75"/>
        <v/>
      </c>
      <c r="U456" t="str">
        <f t="shared" si="76"/>
        <v/>
      </c>
      <c r="V456" t="str">
        <f t="shared" si="77"/>
        <v/>
      </c>
      <c r="W456" t="str">
        <f t="shared" si="78"/>
        <v/>
      </c>
      <c r="X456">
        <f>IF($T456="",N($X455),IF(MATCH($T456,$T$6:$T$10005,0)=ROW()-5,N($X455)+1,N($X455)))</f>
        <v>0</v>
      </c>
      <c r="Z456" t="str">
        <f t="shared" si="79"/>
        <v/>
      </c>
      <c r="AA456">
        <f>IF($V456="",N($AA455),IF(MATCH($V456,$V$6:$V$10005,0)=ROW()-5,N($AA455)+1,N($AA455)))</f>
        <v>0</v>
      </c>
    </row>
    <row r="457" spans="1:27" ht="21" customHeight="1" x14ac:dyDescent="0.95">
      <c r="A457" s="56"/>
      <c r="B457" s="57"/>
      <c r="C457" s="57"/>
      <c r="D457" s="57"/>
      <c r="E457" s="56"/>
      <c r="F457" s="57"/>
      <c r="G457" s="57"/>
      <c r="H457" s="56"/>
      <c r="I457" s="56"/>
      <c r="J457" s="58"/>
      <c r="K457" s="58"/>
      <c r="L457" s="13" t="str">
        <f t="shared" si="70"/>
        <v/>
      </c>
      <c r="M457" s="13" t="str">
        <f t="shared" si="71"/>
        <v/>
      </c>
      <c r="Q457" t="str">
        <f t="shared" si="72"/>
        <v/>
      </c>
      <c r="R457" t="str">
        <f t="shared" si="73"/>
        <v/>
      </c>
      <c r="S457" t="str">
        <f t="shared" si="74"/>
        <v/>
      </c>
      <c r="T457" t="str">
        <f t="shared" si="75"/>
        <v/>
      </c>
      <c r="U457" t="str">
        <f t="shared" si="76"/>
        <v/>
      </c>
      <c r="V457" t="str">
        <f t="shared" si="77"/>
        <v/>
      </c>
      <c r="W457" t="str">
        <f t="shared" si="78"/>
        <v/>
      </c>
      <c r="X457">
        <f>IF($T457="",N($X456),IF(MATCH($T457,$T$6:$T$10005,0)=ROW()-5,N($X456)+1,N($X456)))</f>
        <v>0</v>
      </c>
      <c r="Z457" t="str">
        <f t="shared" si="79"/>
        <v/>
      </c>
      <c r="AA457">
        <f>IF($V457="",N($AA456),IF(MATCH($V457,$V$6:$V$10005,0)=ROW()-5,N($AA456)+1,N($AA456)))</f>
        <v>0</v>
      </c>
    </row>
    <row r="458" spans="1:27" ht="21" customHeight="1" x14ac:dyDescent="0.95">
      <c r="A458" s="56"/>
      <c r="B458" s="57"/>
      <c r="C458" s="57"/>
      <c r="D458" s="57"/>
      <c r="E458" s="56"/>
      <c r="F458" s="57"/>
      <c r="G458" s="57"/>
      <c r="H458" s="56"/>
      <c r="I458" s="56"/>
      <c r="J458" s="58"/>
      <c r="K458" s="58"/>
      <c r="L458" s="13" t="str">
        <f t="shared" si="70"/>
        <v/>
      </c>
      <c r="M458" s="13" t="str">
        <f t="shared" si="71"/>
        <v/>
      </c>
      <c r="Q458" t="str">
        <f t="shared" si="72"/>
        <v/>
      </c>
      <c r="R458" t="str">
        <f t="shared" si="73"/>
        <v/>
      </c>
      <c r="S458" t="str">
        <f t="shared" si="74"/>
        <v/>
      </c>
      <c r="T458" t="str">
        <f t="shared" si="75"/>
        <v/>
      </c>
      <c r="U458" t="str">
        <f t="shared" si="76"/>
        <v/>
      </c>
      <c r="V458" t="str">
        <f t="shared" si="77"/>
        <v/>
      </c>
      <c r="W458" t="str">
        <f t="shared" si="78"/>
        <v/>
      </c>
      <c r="X458">
        <f>IF($T458="",N($X457),IF(MATCH($T458,$T$6:$T$10005,0)=ROW()-5,N($X457)+1,N($X457)))</f>
        <v>0</v>
      </c>
      <c r="Z458" t="str">
        <f t="shared" si="79"/>
        <v/>
      </c>
      <c r="AA458">
        <f>IF($V458="",N($AA457),IF(MATCH($V458,$V$6:$V$10005,0)=ROW()-5,N($AA457)+1,N($AA457)))</f>
        <v>0</v>
      </c>
    </row>
    <row r="459" spans="1:27" ht="21" customHeight="1" x14ac:dyDescent="0.95">
      <c r="A459" s="56"/>
      <c r="B459" s="57"/>
      <c r="C459" s="57"/>
      <c r="D459" s="57"/>
      <c r="E459" s="56"/>
      <c r="F459" s="57"/>
      <c r="G459" s="57"/>
      <c r="H459" s="56"/>
      <c r="I459" s="56"/>
      <c r="J459" s="58"/>
      <c r="K459" s="58"/>
      <c r="L459" s="13" t="str">
        <f t="shared" si="70"/>
        <v/>
      </c>
      <c r="M459" s="13" t="str">
        <f t="shared" si="71"/>
        <v/>
      </c>
      <c r="Q459" t="str">
        <f t="shared" si="72"/>
        <v/>
      </c>
      <c r="R459" t="str">
        <f t="shared" si="73"/>
        <v/>
      </c>
      <c r="S459" t="str">
        <f t="shared" si="74"/>
        <v/>
      </c>
      <c r="T459" t="str">
        <f t="shared" si="75"/>
        <v/>
      </c>
      <c r="U459" t="str">
        <f t="shared" si="76"/>
        <v/>
      </c>
      <c r="V459" t="str">
        <f t="shared" si="77"/>
        <v/>
      </c>
      <c r="W459" t="str">
        <f t="shared" si="78"/>
        <v/>
      </c>
      <c r="X459">
        <f>IF($T459="",N($X458),IF(MATCH($T459,$T$6:$T$10005,0)=ROW()-5,N($X458)+1,N($X458)))</f>
        <v>0</v>
      </c>
      <c r="Z459" t="str">
        <f t="shared" si="79"/>
        <v/>
      </c>
      <c r="AA459">
        <f>IF($V459="",N($AA458),IF(MATCH($V459,$V$6:$V$10005,0)=ROW()-5,N($AA458)+1,N($AA458)))</f>
        <v>0</v>
      </c>
    </row>
    <row r="460" spans="1:27" ht="21" customHeight="1" x14ac:dyDescent="0.95">
      <c r="A460" s="56"/>
      <c r="B460" s="57"/>
      <c r="C460" s="57"/>
      <c r="D460" s="57"/>
      <c r="E460" s="56"/>
      <c r="F460" s="57"/>
      <c r="G460" s="57"/>
      <c r="H460" s="56"/>
      <c r="I460" s="56"/>
      <c r="J460" s="58"/>
      <c r="K460" s="58"/>
      <c r="L460" s="13" t="str">
        <f t="shared" si="70"/>
        <v/>
      </c>
      <c r="M460" s="13" t="str">
        <f t="shared" si="71"/>
        <v/>
      </c>
      <c r="Q460" t="str">
        <f t="shared" si="72"/>
        <v/>
      </c>
      <c r="R460" t="str">
        <f t="shared" si="73"/>
        <v/>
      </c>
      <c r="S460" t="str">
        <f t="shared" si="74"/>
        <v/>
      </c>
      <c r="T460" t="str">
        <f t="shared" si="75"/>
        <v/>
      </c>
      <c r="U460" t="str">
        <f t="shared" si="76"/>
        <v/>
      </c>
      <c r="V460" t="str">
        <f t="shared" si="77"/>
        <v/>
      </c>
      <c r="W460" t="str">
        <f t="shared" si="78"/>
        <v/>
      </c>
      <c r="X460">
        <f>IF($T460="",N($X459),IF(MATCH($T460,$T$6:$T$10005,0)=ROW()-5,N($X459)+1,N($X459)))</f>
        <v>0</v>
      </c>
      <c r="Z460" t="str">
        <f t="shared" si="79"/>
        <v/>
      </c>
      <c r="AA460">
        <f>IF($V460="",N($AA459),IF(MATCH($V460,$V$6:$V$10005,0)=ROW()-5,N($AA459)+1,N($AA459)))</f>
        <v>0</v>
      </c>
    </row>
    <row r="461" spans="1:27" ht="21" customHeight="1" x14ac:dyDescent="0.95">
      <c r="A461" s="56"/>
      <c r="B461" s="57"/>
      <c r="C461" s="57"/>
      <c r="D461" s="57"/>
      <c r="E461" s="56"/>
      <c r="F461" s="57"/>
      <c r="G461" s="57"/>
      <c r="H461" s="56"/>
      <c r="I461" s="56"/>
      <c r="J461" s="58"/>
      <c r="K461" s="58"/>
      <c r="L461" s="13" t="str">
        <f t="shared" si="70"/>
        <v/>
      </c>
      <c r="M461" s="13" t="str">
        <f t="shared" si="71"/>
        <v/>
      </c>
      <c r="Q461" t="str">
        <f t="shared" si="72"/>
        <v/>
      </c>
      <c r="R461" t="str">
        <f t="shared" si="73"/>
        <v/>
      </c>
      <c r="S461" t="str">
        <f t="shared" si="74"/>
        <v/>
      </c>
      <c r="T461" t="str">
        <f t="shared" si="75"/>
        <v/>
      </c>
      <c r="U461" t="str">
        <f t="shared" si="76"/>
        <v/>
      </c>
      <c r="V461" t="str">
        <f t="shared" si="77"/>
        <v/>
      </c>
      <c r="W461" t="str">
        <f t="shared" si="78"/>
        <v/>
      </c>
      <c r="X461">
        <f>IF($T461="",N($X460),IF(MATCH($T461,$T$6:$T$10005,0)=ROW()-5,N($X460)+1,N($X460)))</f>
        <v>0</v>
      </c>
      <c r="Z461" t="str">
        <f t="shared" si="79"/>
        <v/>
      </c>
      <c r="AA461">
        <f>IF($V461="",N($AA460),IF(MATCH($V461,$V$6:$V$10005,0)=ROW()-5,N($AA460)+1,N($AA460)))</f>
        <v>0</v>
      </c>
    </row>
    <row r="462" spans="1:27" ht="21" customHeight="1" x14ac:dyDescent="0.95">
      <c r="A462" s="56"/>
      <c r="B462" s="57"/>
      <c r="C462" s="57"/>
      <c r="D462" s="57"/>
      <c r="E462" s="56"/>
      <c r="F462" s="57"/>
      <c r="G462" s="57"/>
      <c r="H462" s="56"/>
      <c r="I462" s="56"/>
      <c r="J462" s="58"/>
      <c r="K462" s="58"/>
      <c r="L462" s="13" t="str">
        <f t="shared" si="70"/>
        <v/>
      </c>
      <c r="M462" s="13" t="str">
        <f t="shared" si="71"/>
        <v/>
      </c>
      <c r="Q462" t="str">
        <f t="shared" si="72"/>
        <v/>
      </c>
      <c r="R462" t="str">
        <f t="shared" si="73"/>
        <v/>
      </c>
      <c r="S462" t="str">
        <f t="shared" si="74"/>
        <v/>
      </c>
      <c r="T462" t="str">
        <f t="shared" si="75"/>
        <v/>
      </c>
      <c r="U462" t="str">
        <f t="shared" si="76"/>
        <v/>
      </c>
      <c r="V462" t="str">
        <f t="shared" si="77"/>
        <v/>
      </c>
      <c r="W462" t="str">
        <f t="shared" si="78"/>
        <v/>
      </c>
      <c r="X462">
        <f>IF($T462="",N($X461),IF(MATCH($T462,$T$6:$T$10005,0)=ROW()-5,N($X461)+1,N($X461)))</f>
        <v>0</v>
      </c>
      <c r="Z462" t="str">
        <f t="shared" si="79"/>
        <v/>
      </c>
      <c r="AA462">
        <f>IF($V462="",N($AA461),IF(MATCH($V462,$V$6:$V$10005,0)=ROW()-5,N($AA461)+1,N($AA461)))</f>
        <v>0</v>
      </c>
    </row>
    <row r="463" spans="1:27" ht="21" customHeight="1" x14ac:dyDescent="0.95">
      <c r="A463" s="56"/>
      <c r="B463" s="57"/>
      <c r="C463" s="57"/>
      <c r="D463" s="57"/>
      <c r="E463" s="56"/>
      <c r="F463" s="57"/>
      <c r="G463" s="57"/>
      <c r="H463" s="56"/>
      <c r="I463" s="56"/>
      <c r="J463" s="58"/>
      <c r="K463" s="58"/>
      <c r="L463" s="13" t="str">
        <f t="shared" si="70"/>
        <v/>
      </c>
      <c r="M463" s="13" t="str">
        <f t="shared" si="71"/>
        <v/>
      </c>
      <c r="Q463" t="str">
        <f t="shared" si="72"/>
        <v/>
      </c>
      <c r="R463" t="str">
        <f t="shared" si="73"/>
        <v/>
      </c>
      <c r="S463" t="str">
        <f t="shared" si="74"/>
        <v/>
      </c>
      <c r="T463" t="str">
        <f t="shared" si="75"/>
        <v/>
      </c>
      <c r="U463" t="str">
        <f t="shared" si="76"/>
        <v/>
      </c>
      <c r="V463" t="str">
        <f t="shared" si="77"/>
        <v/>
      </c>
      <c r="W463" t="str">
        <f t="shared" si="78"/>
        <v/>
      </c>
      <c r="X463">
        <f>IF($T463="",N($X462),IF(MATCH($T463,$T$6:$T$10005,0)=ROW()-5,N($X462)+1,N($X462)))</f>
        <v>0</v>
      </c>
      <c r="Z463" t="str">
        <f t="shared" si="79"/>
        <v/>
      </c>
      <c r="AA463">
        <f>IF($V463="",N($AA462),IF(MATCH($V463,$V$6:$V$10005,0)=ROW()-5,N($AA462)+1,N($AA462)))</f>
        <v>0</v>
      </c>
    </row>
    <row r="464" spans="1:27" ht="21" customHeight="1" x14ac:dyDescent="0.95">
      <c r="A464" s="56"/>
      <c r="B464" s="57"/>
      <c r="C464" s="57"/>
      <c r="D464" s="57"/>
      <c r="E464" s="56"/>
      <c r="F464" s="57"/>
      <c r="G464" s="57"/>
      <c r="H464" s="56"/>
      <c r="I464" s="56"/>
      <c r="J464" s="58"/>
      <c r="K464" s="58"/>
      <c r="L464" s="13" t="str">
        <f t="shared" si="70"/>
        <v/>
      </c>
      <c r="M464" s="13" t="str">
        <f t="shared" si="71"/>
        <v/>
      </c>
      <c r="Q464" t="str">
        <f t="shared" si="72"/>
        <v/>
      </c>
      <c r="R464" t="str">
        <f t="shared" si="73"/>
        <v/>
      </c>
      <c r="S464" t="str">
        <f t="shared" si="74"/>
        <v/>
      </c>
      <c r="T464" t="str">
        <f t="shared" si="75"/>
        <v/>
      </c>
      <c r="U464" t="str">
        <f t="shared" si="76"/>
        <v/>
      </c>
      <c r="V464" t="str">
        <f t="shared" si="77"/>
        <v/>
      </c>
      <c r="W464" t="str">
        <f t="shared" si="78"/>
        <v/>
      </c>
      <c r="X464">
        <f>IF($T464="",N($X463),IF(MATCH($T464,$T$6:$T$10005,0)=ROW()-5,N($X463)+1,N($X463)))</f>
        <v>0</v>
      </c>
      <c r="Z464" t="str">
        <f t="shared" si="79"/>
        <v/>
      </c>
      <c r="AA464">
        <f>IF($V464="",N($AA463),IF(MATCH($V464,$V$6:$V$10005,0)=ROW()-5,N($AA463)+1,N($AA463)))</f>
        <v>0</v>
      </c>
    </row>
    <row r="465" spans="1:27" ht="21" customHeight="1" x14ac:dyDescent="0.95">
      <c r="A465" s="56"/>
      <c r="B465" s="57"/>
      <c r="C465" s="57"/>
      <c r="D465" s="57"/>
      <c r="E465" s="56"/>
      <c r="F465" s="57"/>
      <c r="G465" s="57"/>
      <c r="H465" s="56"/>
      <c r="I465" s="56"/>
      <c r="J465" s="58"/>
      <c r="K465" s="58"/>
      <c r="L465" s="13" t="str">
        <f t="shared" si="70"/>
        <v/>
      </c>
      <c r="M465" s="13" t="str">
        <f t="shared" si="71"/>
        <v/>
      </c>
      <c r="Q465" t="str">
        <f t="shared" si="72"/>
        <v/>
      </c>
      <c r="R465" t="str">
        <f t="shared" si="73"/>
        <v/>
      </c>
      <c r="S465" t="str">
        <f t="shared" si="74"/>
        <v/>
      </c>
      <c r="T465" t="str">
        <f t="shared" si="75"/>
        <v/>
      </c>
      <c r="U465" t="str">
        <f t="shared" si="76"/>
        <v/>
      </c>
      <c r="V465" t="str">
        <f t="shared" si="77"/>
        <v/>
      </c>
      <c r="W465" t="str">
        <f t="shared" si="78"/>
        <v/>
      </c>
      <c r="X465">
        <f>IF($T465="",N($X464),IF(MATCH($T465,$T$6:$T$10005,0)=ROW()-5,N($X464)+1,N($X464)))</f>
        <v>0</v>
      </c>
      <c r="Z465" t="str">
        <f t="shared" si="79"/>
        <v/>
      </c>
      <c r="AA465">
        <f>IF($V465="",N($AA464),IF(MATCH($V465,$V$6:$V$10005,0)=ROW()-5,N($AA464)+1,N($AA464)))</f>
        <v>0</v>
      </c>
    </row>
    <row r="466" spans="1:27" ht="21" customHeight="1" x14ac:dyDescent="0.95">
      <c r="A466" s="56"/>
      <c r="B466" s="57"/>
      <c r="C466" s="57"/>
      <c r="D466" s="57"/>
      <c r="E466" s="56"/>
      <c r="F466" s="57"/>
      <c r="G466" s="57"/>
      <c r="H466" s="56"/>
      <c r="I466" s="56"/>
      <c r="J466" s="58"/>
      <c r="K466" s="58"/>
      <c r="L466" s="13" t="str">
        <f t="shared" si="70"/>
        <v/>
      </c>
      <c r="M466" s="13" t="str">
        <f t="shared" si="71"/>
        <v/>
      </c>
      <c r="Q466" t="str">
        <f t="shared" si="72"/>
        <v/>
      </c>
      <c r="R466" t="str">
        <f t="shared" si="73"/>
        <v/>
      </c>
      <c r="S466" t="str">
        <f t="shared" si="74"/>
        <v/>
      </c>
      <c r="T466" t="str">
        <f t="shared" si="75"/>
        <v/>
      </c>
      <c r="U466" t="str">
        <f t="shared" si="76"/>
        <v/>
      </c>
      <c r="V466" t="str">
        <f t="shared" si="77"/>
        <v/>
      </c>
      <c r="W466" t="str">
        <f t="shared" si="78"/>
        <v/>
      </c>
      <c r="X466">
        <f>IF($T466="",N($X465),IF(MATCH($T466,$T$6:$T$10005,0)=ROW()-5,N($X465)+1,N($X465)))</f>
        <v>0</v>
      </c>
      <c r="Z466" t="str">
        <f t="shared" si="79"/>
        <v/>
      </c>
      <c r="AA466">
        <f>IF($V466="",N($AA465),IF(MATCH($V466,$V$6:$V$10005,0)=ROW()-5,N($AA465)+1,N($AA465)))</f>
        <v>0</v>
      </c>
    </row>
    <row r="467" spans="1:27" ht="21" customHeight="1" x14ac:dyDescent="0.95">
      <c r="A467" s="56"/>
      <c r="B467" s="57"/>
      <c r="C467" s="57"/>
      <c r="D467" s="57"/>
      <c r="E467" s="56"/>
      <c r="F467" s="57"/>
      <c r="G467" s="57"/>
      <c r="H467" s="56"/>
      <c r="I467" s="56"/>
      <c r="J467" s="58"/>
      <c r="K467" s="58"/>
      <c r="L467" s="13" t="str">
        <f t="shared" si="70"/>
        <v/>
      </c>
      <c r="M467" s="13" t="str">
        <f t="shared" si="71"/>
        <v/>
      </c>
      <c r="Q467" t="str">
        <f t="shared" si="72"/>
        <v/>
      </c>
      <c r="R467" t="str">
        <f t="shared" si="73"/>
        <v/>
      </c>
      <c r="S467" t="str">
        <f t="shared" si="74"/>
        <v/>
      </c>
      <c r="T467" t="str">
        <f t="shared" si="75"/>
        <v/>
      </c>
      <c r="U467" t="str">
        <f t="shared" si="76"/>
        <v/>
      </c>
      <c r="V467" t="str">
        <f t="shared" si="77"/>
        <v/>
      </c>
      <c r="W467" t="str">
        <f t="shared" si="78"/>
        <v/>
      </c>
      <c r="X467">
        <f>IF($T467="",N($X466),IF(MATCH($T467,$T$6:$T$10005,0)=ROW()-5,N($X466)+1,N($X466)))</f>
        <v>0</v>
      </c>
      <c r="Z467" t="str">
        <f t="shared" si="79"/>
        <v/>
      </c>
      <c r="AA467">
        <f>IF($V467="",N($AA466),IF(MATCH($V467,$V$6:$V$10005,0)=ROW()-5,N($AA466)+1,N($AA466)))</f>
        <v>0</v>
      </c>
    </row>
    <row r="468" spans="1:27" ht="21" customHeight="1" x14ac:dyDescent="0.95">
      <c r="A468" s="56"/>
      <c r="B468" s="57"/>
      <c r="C468" s="57"/>
      <c r="D468" s="57"/>
      <c r="E468" s="56"/>
      <c r="F468" s="57"/>
      <c r="G468" s="57"/>
      <c r="H468" s="56"/>
      <c r="I468" s="56"/>
      <c r="J468" s="58"/>
      <c r="K468" s="58"/>
      <c r="L468" s="13" t="str">
        <f t="shared" si="70"/>
        <v/>
      </c>
      <c r="M468" s="13" t="str">
        <f t="shared" si="71"/>
        <v/>
      </c>
      <c r="Q468" t="str">
        <f t="shared" si="72"/>
        <v/>
      </c>
      <c r="R468" t="str">
        <f t="shared" si="73"/>
        <v/>
      </c>
      <c r="S468" t="str">
        <f t="shared" si="74"/>
        <v/>
      </c>
      <c r="T468" t="str">
        <f t="shared" si="75"/>
        <v/>
      </c>
      <c r="U468" t="str">
        <f t="shared" si="76"/>
        <v/>
      </c>
      <c r="V468" t="str">
        <f t="shared" si="77"/>
        <v/>
      </c>
      <c r="W468" t="str">
        <f t="shared" si="78"/>
        <v/>
      </c>
      <c r="X468">
        <f>IF($T468="",N($X467),IF(MATCH($T468,$T$6:$T$10005,0)=ROW()-5,N($X467)+1,N($X467)))</f>
        <v>0</v>
      </c>
      <c r="Z468" t="str">
        <f t="shared" si="79"/>
        <v/>
      </c>
      <c r="AA468">
        <f>IF($V468="",N($AA467),IF(MATCH($V468,$V$6:$V$10005,0)=ROW()-5,N($AA467)+1,N($AA467)))</f>
        <v>0</v>
      </c>
    </row>
    <row r="469" spans="1:27" ht="21" customHeight="1" x14ac:dyDescent="0.95">
      <c r="A469" s="56"/>
      <c r="B469" s="57"/>
      <c r="C469" s="57"/>
      <c r="D469" s="57"/>
      <c r="E469" s="56"/>
      <c r="F469" s="57"/>
      <c r="G469" s="57"/>
      <c r="H469" s="56"/>
      <c r="I469" s="56"/>
      <c r="J469" s="58"/>
      <c r="K469" s="58"/>
      <c r="L469" s="13" t="str">
        <f t="shared" si="70"/>
        <v/>
      </c>
      <c r="M469" s="13" t="str">
        <f t="shared" si="71"/>
        <v/>
      </c>
      <c r="Q469" t="str">
        <f t="shared" si="72"/>
        <v/>
      </c>
      <c r="R469" t="str">
        <f t="shared" si="73"/>
        <v/>
      </c>
      <c r="S469" t="str">
        <f t="shared" si="74"/>
        <v/>
      </c>
      <c r="T469" t="str">
        <f t="shared" si="75"/>
        <v/>
      </c>
      <c r="U469" t="str">
        <f t="shared" si="76"/>
        <v/>
      </c>
      <c r="V469" t="str">
        <f t="shared" si="77"/>
        <v/>
      </c>
      <c r="W469" t="str">
        <f t="shared" si="78"/>
        <v/>
      </c>
      <c r="X469">
        <f>IF($T469="",N($X468),IF(MATCH($T469,$T$6:$T$10005,0)=ROW()-5,N($X468)+1,N($X468)))</f>
        <v>0</v>
      </c>
      <c r="Z469" t="str">
        <f t="shared" si="79"/>
        <v/>
      </c>
      <c r="AA469">
        <f>IF($V469="",N($AA468),IF(MATCH($V469,$V$6:$V$10005,0)=ROW()-5,N($AA468)+1,N($AA468)))</f>
        <v>0</v>
      </c>
    </row>
    <row r="470" spans="1:27" ht="21" customHeight="1" x14ac:dyDescent="0.95">
      <c r="A470" s="56"/>
      <c r="B470" s="57"/>
      <c r="C470" s="57"/>
      <c r="D470" s="57"/>
      <c r="E470" s="56"/>
      <c r="F470" s="57"/>
      <c r="G470" s="57"/>
      <c r="H470" s="56"/>
      <c r="I470" s="56"/>
      <c r="J470" s="58"/>
      <c r="K470" s="58"/>
      <c r="L470" s="13" t="str">
        <f t="shared" si="70"/>
        <v/>
      </c>
      <c r="M470" s="13" t="str">
        <f t="shared" si="71"/>
        <v/>
      </c>
      <c r="Q470" t="str">
        <f t="shared" si="72"/>
        <v/>
      </c>
      <c r="R470" t="str">
        <f t="shared" si="73"/>
        <v/>
      </c>
      <c r="S470" t="str">
        <f t="shared" si="74"/>
        <v/>
      </c>
      <c r="T470" t="str">
        <f t="shared" si="75"/>
        <v/>
      </c>
      <c r="U470" t="str">
        <f t="shared" si="76"/>
        <v/>
      </c>
      <c r="V470" t="str">
        <f t="shared" si="77"/>
        <v/>
      </c>
      <c r="W470" t="str">
        <f t="shared" si="78"/>
        <v/>
      </c>
      <c r="X470">
        <f>IF($T470="",N($X469),IF(MATCH($T470,$T$6:$T$10005,0)=ROW()-5,N($X469)+1,N($X469)))</f>
        <v>0</v>
      </c>
      <c r="Z470" t="str">
        <f t="shared" si="79"/>
        <v/>
      </c>
      <c r="AA470">
        <f>IF($V470="",N($AA469),IF(MATCH($V470,$V$6:$V$10005,0)=ROW()-5,N($AA469)+1,N($AA469)))</f>
        <v>0</v>
      </c>
    </row>
    <row r="471" spans="1:27" ht="21" customHeight="1" x14ac:dyDescent="0.95">
      <c r="A471" s="56"/>
      <c r="B471" s="57"/>
      <c r="C471" s="57"/>
      <c r="D471" s="57"/>
      <c r="E471" s="56"/>
      <c r="F471" s="57"/>
      <c r="G471" s="57"/>
      <c r="H471" s="56"/>
      <c r="I471" s="56"/>
      <c r="J471" s="58"/>
      <c r="K471" s="58"/>
      <c r="L471" s="13" t="str">
        <f t="shared" si="70"/>
        <v/>
      </c>
      <c r="M471" s="13" t="str">
        <f t="shared" si="71"/>
        <v/>
      </c>
      <c r="Q471" t="str">
        <f t="shared" si="72"/>
        <v/>
      </c>
      <c r="R471" t="str">
        <f t="shared" si="73"/>
        <v/>
      </c>
      <c r="S471" t="str">
        <f t="shared" si="74"/>
        <v/>
      </c>
      <c r="T471" t="str">
        <f t="shared" si="75"/>
        <v/>
      </c>
      <c r="U471" t="str">
        <f t="shared" si="76"/>
        <v/>
      </c>
      <c r="V471" t="str">
        <f t="shared" si="77"/>
        <v/>
      </c>
      <c r="W471" t="str">
        <f t="shared" si="78"/>
        <v/>
      </c>
      <c r="X471">
        <f>IF($T471="",N($X470),IF(MATCH($T471,$T$6:$T$10005,0)=ROW()-5,N($X470)+1,N($X470)))</f>
        <v>0</v>
      </c>
      <c r="Z471" t="str">
        <f t="shared" si="79"/>
        <v/>
      </c>
      <c r="AA471">
        <f>IF($V471="",N($AA470),IF(MATCH($V471,$V$6:$V$10005,0)=ROW()-5,N($AA470)+1,N($AA470)))</f>
        <v>0</v>
      </c>
    </row>
    <row r="472" spans="1:27" ht="21" customHeight="1" x14ac:dyDescent="0.95">
      <c r="A472" s="56"/>
      <c r="B472" s="57"/>
      <c r="C472" s="57"/>
      <c r="D472" s="57"/>
      <c r="E472" s="56"/>
      <c r="F472" s="57"/>
      <c r="G472" s="57"/>
      <c r="H472" s="56"/>
      <c r="I472" s="56"/>
      <c r="J472" s="58"/>
      <c r="K472" s="58"/>
      <c r="L472" s="13" t="str">
        <f t="shared" si="70"/>
        <v/>
      </c>
      <c r="M472" s="13" t="str">
        <f t="shared" si="71"/>
        <v/>
      </c>
      <c r="Q472" t="str">
        <f t="shared" si="72"/>
        <v/>
      </c>
      <c r="R472" t="str">
        <f t="shared" si="73"/>
        <v/>
      </c>
      <c r="S472" t="str">
        <f t="shared" si="74"/>
        <v/>
      </c>
      <c r="T472" t="str">
        <f t="shared" si="75"/>
        <v/>
      </c>
      <c r="U472" t="str">
        <f t="shared" si="76"/>
        <v/>
      </c>
      <c r="V472" t="str">
        <f t="shared" si="77"/>
        <v/>
      </c>
      <c r="W472" t="str">
        <f t="shared" si="78"/>
        <v/>
      </c>
      <c r="X472">
        <f>IF($T472="",N($X471),IF(MATCH($T472,$T$6:$T$10005,0)=ROW()-5,N($X471)+1,N($X471)))</f>
        <v>0</v>
      </c>
      <c r="Z472" t="str">
        <f t="shared" si="79"/>
        <v/>
      </c>
      <c r="AA472">
        <f>IF($V472="",N($AA471),IF(MATCH($V472,$V$6:$V$10005,0)=ROW()-5,N($AA471)+1,N($AA471)))</f>
        <v>0</v>
      </c>
    </row>
    <row r="473" spans="1:27" ht="21" customHeight="1" x14ac:dyDescent="0.95">
      <c r="A473" s="56"/>
      <c r="B473" s="57"/>
      <c r="C473" s="57"/>
      <c r="D473" s="57"/>
      <c r="E473" s="56"/>
      <c r="F473" s="57"/>
      <c r="G473" s="57"/>
      <c r="H473" s="56"/>
      <c r="I473" s="56"/>
      <c r="J473" s="58"/>
      <c r="K473" s="58"/>
      <c r="L473" s="13" t="str">
        <f t="shared" si="70"/>
        <v/>
      </c>
      <c r="M473" s="13" t="str">
        <f t="shared" si="71"/>
        <v/>
      </c>
      <c r="Q473" t="str">
        <f t="shared" si="72"/>
        <v/>
      </c>
      <c r="R473" t="str">
        <f t="shared" si="73"/>
        <v/>
      </c>
      <c r="S473" t="str">
        <f t="shared" si="74"/>
        <v/>
      </c>
      <c r="T473" t="str">
        <f t="shared" si="75"/>
        <v/>
      </c>
      <c r="U473" t="str">
        <f t="shared" si="76"/>
        <v/>
      </c>
      <c r="V473" t="str">
        <f t="shared" si="77"/>
        <v/>
      </c>
      <c r="W473" t="str">
        <f t="shared" si="78"/>
        <v/>
      </c>
      <c r="X473">
        <f>IF($T473="",N($X472),IF(MATCH($T473,$T$6:$T$10005,0)=ROW()-5,N($X472)+1,N($X472)))</f>
        <v>0</v>
      </c>
      <c r="Z473" t="str">
        <f t="shared" si="79"/>
        <v/>
      </c>
      <c r="AA473">
        <f>IF($V473="",N($AA472),IF(MATCH($V473,$V$6:$V$10005,0)=ROW()-5,N($AA472)+1,N($AA472)))</f>
        <v>0</v>
      </c>
    </row>
    <row r="474" spans="1:27" ht="21" customHeight="1" x14ac:dyDescent="0.95">
      <c r="A474" s="56"/>
      <c r="B474" s="57"/>
      <c r="C474" s="57"/>
      <c r="D474" s="57"/>
      <c r="E474" s="56"/>
      <c r="F474" s="57"/>
      <c r="G474" s="57"/>
      <c r="H474" s="56"/>
      <c r="I474" s="56"/>
      <c r="J474" s="58"/>
      <c r="K474" s="58"/>
      <c r="L474" s="13" t="str">
        <f t="shared" si="70"/>
        <v/>
      </c>
      <c r="M474" s="13" t="str">
        <f t="shared" si="71"/>
        <v/>
      </c>
      <c r="Q474" t="str">
        <f t="shared" si="72"/>
        <v/>
      </c>
      <c r="R474" t="str">
        <f t="shared" si="73"/>
        <v/>
      </c>
      <c r="S474" t="str">
        <f t="shared" si="74"/>
        <v/>
      </c>
      <c r="T474" t="str">
        <f t="shared" si="75"/>
        <v/>
      </c>
      <c r="U474" t="str">
        <f t="shared" si="76"/>
        <v/>
      </c>
      <c r="V474" t="str">
        <f t="shared" si="77"/>
        <v/>
      </c>
      <c r="W474" t="str">
        <f t="shared" si="78"/>
        <v/>
      </c>
      <c r="X474">
        <f>IF($T474="",N($X473),IF(MATCH($T474,$T$6:$T$10005,0)=ROW()-5,N($X473)+1,N($X473)))</f>
        <v>0</v>
      </c>
      <c r="Z474" t="str">
        <f t="shared" si="79"/>
        <v/>
      </c>
      <c r="AA474">
        <f>IF($V474="",N($AA473),IF(MATCH($V474,$V$6:$V$10005,0)=ROW()-5,N($AA473)+1,N($AA473)))</f>
        <v>0</v>
      </c>
    </row>
    <row r="475" spans="1:27" ht="21" customHeight="1" x14ac:dyDescent="0.95">
      <c r="A475" s="56"/>
      <c r="B475" s="57"/>
      <c r="C475" s="57"/>
      <c r="D475" s="57"/>
      <c r="E475" s="56"/>
      <c r="F475" s="57"/>
      <c r="G475" s="57"/>
      <c r="H475" s="56"/>
      <c r="I475" s="56"/>
      <c r="J475" s="58"/>
      <c r="K475" s="58"/>
      <c r="L475" s="13" t="str">
        <f t="shared" si="70"/>
        <v/>
      </c>
      <c r="M475" s="13" t="str">
        <f t="shared" si="71"/>
        <v/>
      </c>
      <c r="Q475" t="str">
        <f t="shared" si="72"/>
        <v/>
      </c>
      <c r="R475" t="str">
        <f t="shared" si="73"/>
        <v/>
      </c>
      <c r="S475" t="str">
        <f t="shared" si="74"/>
        <v/>
      </c>
      <c r="T475" t="str">
        <f t="shared" si="75"/>
        <v/>
      </c>
      <c r="U475" t="str">
        <f t="shared" si="76"/>
        <v/>
      </c>
      <c r="V475" t="str">
        <f t="shared" si="77"/>
        <v/>
      </c>
      <c r="W475" t="str">
        <f t="shared" si="78"/>
        <v/>
      </c>
      <c r="X475">
        <f>IF($T475="",N($X474),IF(MATCH($T475,$T$6:$T$10005,0)=ROW()-5,N($X474)+1,N($X474)))</f>
        <v>0</v>
      </c>
      <c r="Z475" t="str">
        <f t="shared" si="79"/>
        <v/>
      </c>
      <c r="AA475">
        <f>IF($V475="",N($AA474),IF(MATCH($V475,$V$6:$V$10005,0)=ROW()-5,N($AA474)+1,N($AA474)))</f>
        <v>0</v>
      </c>
    </row>
    <row r="476" spans="1:27" ht="21" customHeight="1" x14ac:dyDescent="0.95">
      <c r="A476" s="56"/>
      <c r="B476" s="57"/>
      <c r="C476" s="57"/>
      <c r="D476" s="57"/>
      <c r="E476" s="56"/>
      <c r="F476" s="57"/>
      <c r="G476" s="57"/>
      <c r="H476" s="56"/>
      <c r="I476" s="56"/>
      <c r="J476" s="58"/>
      <c r="K476" s="58"/>
      <c r="L476" s="13" t="str">
        <f t="shared" si="70"/>
        <v/>
      </c>
      <c r="M476" s="13" t="str">
        <f t="shared" si="71"/>
        <v/>
      </c>
      <c r="Q476" t="str">
        <f t="shared" si="72"/>
        <v/>
      </c>
      <c r="R476" t="str">
        <f t="shared" si="73"/>
        <v/>
      </c>
      <c r="S476" t="str">
        <f t="shared" si="74"/>
        <v/>
      </c>
      <c r="T476" t="str">
        <f t="shared" si="75"/>
        <v/>
      </c>
      <c r="U476" t="str">
        <f t="shared" si="76"/>
        <v/>
      </c>
      <c r="V476" t="str">
        <f t="shared" si="77"/>
        <v/>
      </c>
      <c r="W476" t="str">
        <f t="shared" si="78"/>
        <v/>
      </c>
      <c r="X476">
        <f>IF($T476="",N($X475),IF(MATCH($T476,$T$6:$T$10005,0)=ROW()-5,N($X475)+1,N($X475)))</f>
        <v>0</v>
      </c>
      <c r="Z476" t="str">
        <f t="shared" si="79"/>
        <v/>
      </c>
      <c r="AA476">
        <f>IF($V476="",N($AA475),IF(MATCH($V476,$V$6:$V$10005,0)=ROW()-5,N($AA475)+1,N($AA475)))</f>
        <v>0</v>
      </c>
    </row>
    <row r="477" spans="1:27" ht="21" customHeight="1" x14ac:dyDescent="0.95">
      <c r="A477" s="56"/>
      <c r="B477" s="57"/>
      <c r="C477" s="57"/>
      <c r="D477" s="57"/>
      <c r="E477" s="56"/>
      <c r="F477" s="57"/>
      <c r="G477" s="57"/>
      <c r="H477" s="56"/>
      <c r="I477" s="56"/>
      <c r="J477" s="58"/>
      <c r="K477" s="58"/>
      <c r="L477" s="13" t="str">
        <f t="shared" si="70"/>
        <v/>
      </c>
      <c r="M477" s="13" t="str">
        <f t="shared" si="71"/>
        <v/>
      </c>
      <c r="Q477" t="str">
        <f t="shared" si="72"/>
        <v/>
      </c>
      <c r="R477" t="str">
        <f t="shared" si="73"/>
        <v/>
      </c>
      <c r="S477" t="str">
        <f t="shared" si="74"/>
        <v/>
      </c>
      <c r="T477" t="str">
        <f t="shared" si="75"/>
        <v/>
      </c>
      <c r="U477" t="str">
        <f t="shared" si="76"/>
        <v/>
      </c>
      <c r="V477" t="str">
        <f t="shared" si="77"/>
        <v/>
      </c>
      <c r="W477" t="str">
        <f t="shared" si="78"/>
        <v/>
      </c>
      <c r="X477">
        <f>IF($T477="",N($X476),IF(MATCH($T477,$T$6:$T$10005,0)=ROW()-5,N($X476)+1,N($X476)))</f>
        <v>0</v>
      </c>
      <c r="Z477" t="str">
        <f t="shared" si="79"/>
        <v/>
      </c>
      <c r="AA477">
        <f>IF($V477="",N($AA476),IF(MATCH($V477,$V$6:$V$10005,0)=ROW()-5,N($AA476)+1,N($AA476)))</f>
        <v>0</v>
      </c>
    </row>
    <row r="478" spans="1:27" ht="21" customHeight="1" x14ac:dyDescent="0.95">
      <c r="A478" s="56"/>
      <c r="B478" s="57"/>
      <c r="C478" s="57"/>
      <c r="D478" s="57"/>
      <c r="E478" s="56"/>
      <c r="F478" s="57"/>
      <c r="G478" s="57"/>
      <c r="H478" s="56"/>
      <c r="I478" s="56"/>
      <c r="J478" s="58"/>
      <c r="K478" s="58"/>
      <c r="L478" s="13" t="str">
        <f t="shared" si="70"/>
        <v/>
      </c>
      <c r="M478" s="13" t="str">
        <f t="shared" si="71"/>
        <v/>
      </c>
      <c r="Q478" t="str">
        <f t="shared" si="72"/>
        <v/>
      </c>
      <c r="R478" t="str">
        <f t="shared" si="73"/>
        <v/>
      </c>
      <c r="S478" t="str">
        <f t="shared" si="74"/>
        <v/>
      </c>
      <c r="T478" t="str">
        <f t="shared" si="75"/>
        <v/>
      </c>
      <c r="U478" t="str">
        <f t="shared" si="76"/>
        <v/>
      </c>
      <c r="V478" t="str">
        <f t="shared" si="77"/>
        <v/>
      </c>
      <c r="W478" t="str">
        <f t="shared" si="78"/>
        <v/>
      </c>
      <c r="X478">
        <f>IF($T478="",N($X477),IF(MATCH($T478,$T$6:$T$10005,0)=ROW()-5,N($X477)+1,N($X477)))</f>
        <v>0</v>
      </c>
      <c r="Z478" t="str">
        <f t="shared" si="79"/>
        <v/>
      </c>
      <c r="AA478">
        <f>IF($V478="",N($AA477),IF(MATCH($V478,$V$6:$V$10005,0)=ROW()-5,N($AA477)+1,N($AA477)))</f>
        <v>0</v>
      </c>
    </row>
    <row r="479" spans="1:27" ht="21" customHeight="1" x14ac:dyDescent="0.95">
      <c r="A479" s="56"/>
      <c r="B479" s="57"/>
      <c r="C479" s="57"/>
      <c r="D479" s="57"/>
      <c r="E479" s="56"/>
      <c r="F479" s="57"/>
      <c r="G479" s="57"/>
      <c r="H479" s="56"/>
      <c r="I479" s="56"/>
      <c r="J479" s="58"/>
      <c r="K479" s="58"/>
      <c r="L479" s="13" t="str">
        <f t="shared" si="70"/>
        <v/>
      </c>
      <c r="M479" s="13" t="str">
        <f t="shared" si="71"/>
        <v/>
      </c>
      <c r="Q479" t="str">
        <f t="shared" si="72"/>
        <v/>
      </c>
      <c r="R479" t="str">
        <f t="shared" si="73"/>
        <v/>
      </c>
      <c r="S479" t="str">
        <f t="shared" si="74"/>
        <v/>
      </c>
      <c r="T479" t="str">
        <f t="shared" si="75"/>
        <v/>
      </c>
      <c r="U479" t="str">
        <f t="shared" si="76"/>
        <v/>
      </c>
      <c r="V479" t="str">
        <f t="shared" si="77"/>
        <v/>
      </c>
      <c r="W479" t="str">
        <f t="shared" si="78"/>
        <v/>
      </c>
      <c r="X479">
        <f>IF($T479="",N($X478),IF(MATCH($T479,$T$6:$T$10005,0)=ROW()-5,N($X478)+1,N($X478)))</f>
        <v>0</v>
      </c>
      <c r="Z479" t="str">
        <f t="shared" si="79"/>
        <v/>
      </c>
      <c r="AA479">
        <f>IF($V479="",N($AA478),IF(MATCH($V479,$V$6:$V$10005,0)=ROW()-5,N($AA478)+1,N($AA478)))</f>
        <v>0</v>
      </c>
    </row>
    <row r="480" spans="1:27" ht="21" customHeight="1" x14ac:dyDescent="0.95">
      <c r="A480" s="56"/>
      <c r="B480" s="57"/>
      <c r="C480" s="57"/>
      <c r="D480" s="57"/>
      <c r="E480" s="56"/>
      <c r="F480" s="57"/>
      <c r="G480" s="57"/>
      <c r="H480" s="56"/>
      <c r="I480" s="56"/>
      <c r="J480" s="58"/>
      <c r="K480" s="58"/>
      <c r="L480" s="13" t="str">
        <f t="shared" si="70"/>
        <v/>
      </c>
      <c r="M480" s="13" t="str">
        <f t="shared" si="71"/>
        <v/>
      </c>
      <c r="Q480" t="str">
        <f t="shared" si="72"/>
        <v/>
      </c>
      <c r="R480" t="str">
        <f t="shared" si="73"/>
        <v/>
      </c>
      <c r="S480" t="str">
        <f t="shared" si="74"/>
        <v/>
      </c>
      <c r="T480" t="str">
        <f t="shared" si="75"/>
        <v/>
      </c>
      <c r="U480" t="str">
        <f t="shared" si="76"/>
        <v/>
      </c>
      <c r="V480" t="str">
        <f t="shared" si="77"/>
        <v/>
      </c>
      <c r="W480" t="str">
        <f t="shared" si="78"/>
        <v/>
      </c>
      <c r="X480">
        <f>IF($T480="",N($X479),IF(MATCH($T480,$T$6:$T$10005,0)=ROW()-5,N($X479)+1,N($X479)))</f>
        <v>0</v>
      </c>
      <c r="Z480" t="str">
        <f t="shared" si="79"/>
        <v/>
      </c>
      <c r="AA480">
        <f>IF($V480="",N($AA479),IF(MATCH($V480,$V$6:$V$10005,0)=ROW()-5,N($AA479)+1,N($AA479)))</f>
        <v>0</v>
      </c>
    </row>
    <row r="481" spans="1:27" ht="21" customHeight="1" x14ac:dyDescent="0.95">
      <c r="A481" s="56"/>
      <c r="B481" s="57"/>
      <c r="C481" s="57"/>
      <c r="D481" s="57"/>
      <c r="E481" s="56"/>
      <c r="F481" s="57"/>
      <c r="G481" s="57"/>
      <c r="H481" s="56"/>
      <c r="I481" s="56"/>
      <c r="J481" s="58"/>
      <c r="K481" s="58"/>
      <c r="L481" s="13" t="str">
        <f t="shared" si="70"/>
        <v/>
      </c>
      <c r="M481" s="13" t="str">
        <f t="shared" si="71"/>
        <v/>
      </c>
      <c r="Q481" t="str">
        <f t="shared" si="72"/>
        <v/>
      </c>
      <c r="R481" t="str">
        <f t="shared" si="73"/>
        <v/>
      </c>
      <c r="S481" t="str">
        <f t="shared" si="74"/>
        <v/>
      </c>
      <c r="T481" t="str">
        <f t="shared" si="75"/>
        <v/>
      </c>
      <c r="U481" t="str">
        <f t="shared" si="76"/>
        <v/>
      </c>
      <c r="V481" t="str">
        <f t="shared" si="77"/>
        <v/>
      </c>
      <c r="W481" t="str">
        <f t="shared" si="78"/>
        <v/>
      </c>
      <c r="X481">
        <f>IF($T481="",N($X480),IF(MATCH($T481,$T$6:$T$10005,0)=ROW()-5,N($X480)+1,N($X480)))</f>
        <v>0</v>
      </c>
      <c r="Z481" t="str">
        <f t="shared" si="79"/>
        <v/>
      </c>
      <c r="AA481">
        <f>IF($V481="",N($AA480),IF(MATCH($V481,$V$6:$V$10005,0)=ROW()-5,N($AA480)+1,N($AA480)))</f>
        <v>0</v>
      </c>
    </row>
    <row r="482" spans="1:27" ht="21" customHeight="1" x14ac:dyDescent="0.95">
      <c r="A482" s="56"/>
      <c r="B482" s="57"/>
      <c r="C482" s="57"/>
      <c r="D482" s="57"/>
      <c r="E482" s="56"/>
      <c r="F482" s="57"/>
      <c r="G482" s="57"/>
      <c r="H482" s="56"/>
      <c r="I482" s="56"/>
      <c r="J482" s="58"/>
      <c r="K482" s="58"/>
      <c r="L482" s="13" t="str">
        <f t="shared" si="70"/>
        <v/>
      </c>
      <c r="M482" s="13" t="str">
        <f t="shared" si="71"/>
        <v/>
      </c>
      <c r="Q482" t="str">
        <f t="shared" si="72"/>
        <v/>
      </c>
      <c r="R482" t="str">
        <f t="shared" si="73"/>
        <v/>
      </c>
      <c r="S482" t="str">
        <f t="shared" si="74"/>
        <v/>
      </c>
      <c r="T482" t="str">
        <f t="shared" si="75"/>
        <v/>
      </c>
      <c r="U482" t="str">
        <f t="shared" si="76"/>
        <v/>
      </c>
      <c r="V482" t="str">
        <f t="shared" si="77"/>
        <v/>
      </c>
      <c r="W482" t="str">
        <f t="shared" si="78"/>
        <v/>
      </c>
      <c r="X482">
        <f>IF($T482="",N($X481),IF(MATCH($T482,$T$6:$T$10005,0)=ROW()-5,N($X481)+1,N($X481)))</f>
        <v>0</v>
      </c>
      <c r="Z482" t="str">
        <f t="shared" si="79"/>
        <v/>
      </c>
      <c r="AA482">
        <f>IF($V482="",N($AA481),IF(MATCH($V482,$V$6:$V$10005,0)=ROW()-5,N($AA481)+1,N($AA481)))</f>
        <v>0</v>
      </c>
    </row>
    <row r="483" spans="1:27" ht="21" customHeight="1" x14ac:dyDescent="0.95">
      <c r="A483" s="56"/>
      <c r="B483" s="57"/>
      <c r="C483" s="57"/>
      <c r="D483" s="57"/>
      <c r="E483" s="56"/>
      <c r="F483" s="57"/>
      <c r="G483" s="57"/>
      <c r="H483" s="56"/>
      <c r="I483" s="56"/>
      <c r="J483" s="58"/>
      <c r="K483" s="58"/>
      <c r="L483" s="13" t="str">
        <f t="shared" si="70"/>
        <v/>
      </c>
      <c r="M483" s="13" t="str">
        <f t="shared" si="71"/>
        <v/>
      </c>
      <c r="Q483" t="str">
        <f t="shared" si="72"/>
        <v/>
      </c>
      <c r="R483" t="str">
        <f t="shared" si="73"/>
        <v/>
      </c>
      <c r="S483" t="str">
        <f t="shared" si="74"/>
        <v/>
      </c>
      <c r="T483" t="str">
        <f t="shared" si="75"/>
        <v/>
      </c>
      <c r="U483" t="str">
        <f t="shared" si="76"/>
        <v/>
      </c>
      <c r="V483" t="str">
        <f t="shared" si="77"/>
        <v/>
      </c>
      <c r="W483" t="str">
        <f t="shared" si="78"/>
        <v/>
      </c>
      <c r="X483">
        <f>IF($T483="",N($X482),IF(MATCH($T483,$T$6:$T$10005,0)=ROW()-5,N($X482)+1,N($X482)))</f>
        <v>0</v>
      </c>
      <c r="Z483" t="str">
        <f t="shared" si="79"/>
        <v/>
      </c>
      <c r="AA483">
        <f>IF($V483="",N($AA482),IF(MATCH($V483,$V$6:$V$10005,0)=ROW()-5,N($AA482)+1,N($AA482)))</f>
        <v>0</v>
      </c>
    </row>
    <row r="484" spans="1:27" ht="21" customHeight="1" x14ac:dyDescent="0.95">
      <c r="A484" s="56"/>
      <c r="B484" s="57"/>
      <c r="C484" s="57"/>
      <c r="D484" s="57"/>
      <c r="E484" s="56"/>
      <c r="F484" s="57"/>
      <c r="G484" s="57"/>
      <c r="H484" s="56"/>
      <c r="I484" s="56"/>
      <c r="J484" s="58"/>
      <c r="K484" s="58"/>
      <c r="L484" s="13" t="str">
        <f t="shared" si="70"/>
        <v/>
      </c>
      <c r="M484" s="13" t="str">
        <f t="shared" si="71"/>
        <v/>
      </c>
      <c r="Q484" t="str">
        <f t="shared" si="72"/>
        <v/>
      </c>
      <c r="R484" t="str">
        <f t="shared" si="73"/>
        <v/>
      </c>
      <c r="S484" t="str">
        <f t="shared" si="74"/>
        <v/>
      </c>
      <c r="T484" t="str">
        <f t="shared" si="75"/>
        <v/>
      </c>
      <c r="U484" t="str">
        <f t="shared" si="76"/>
        <v/>
      </c>
      <c r="V484" t="str">
        <f t="shared" si="77"/>
        <v/>
      </c>
      <c r="W484" t="str">
        <f t="shared" si="78"/>
        <v/>
      </c>
      <c r="X484">
        <f>IF($T484="",N($X483),IF(MATCH($T484,$T$6:$T$10005,0)=ROW()-5,N($X483)+1,N($X483)))</f>
        <v>0</v>
      </c>
      <c r="Z484" t="str">
        <f t="shared" si="79"/>
        <v/>
      </c>
      <c r="AA484">
        <f>IF($V484="",N($AA483),IF(MATCH($V484,$V$6:$V$10005,0)=ROW()-5,N($AA483)+1,N($AA483)))</f>
        <v>0</v>
      </c>
    </row>
    <row r="485" spans="1:27" ht="21" customHeight="1" x14ac:dyDescent="0.95">
      <c r="A485" s="56"/>
      <c r="B485" s="57"/>
      <c r="C485" s="57"/>
      <c r="D485" s="57"/>
      <c r="E485" s="56"/>
      <c r="F485" s="57"/>
      <c r="G485" s="57"/>
      <c r="H485" s="56"/>
      <c r="I485" s="56"/>
      <c r="J485" s="58"/>
      <c r="K485" s="58"/>
      <c r="L485" s="13" t="str">
        <f t="shared" si="70"/>
        <v/>
      </c>
      <c r="M485" s="13" t="str">
        <f t="shared" si="71"/>
        <v/>
      </c>
      <c r="Q485" t="str">
        <f t="shared" si="72"/>
        <v/>
      </c>
      <c r="R485" t="str">
        <f t="shared" si="73"/>
        <v/>
      </c>
      <c r="S485" t="str">
        <f t="shared" si="74"/>
        <v/>
      </c>
      <c r="T485" t="str">
        <f t="shared" si="75"/>
        <v/>
      </c>
      <c r="U485" t="str">
        <f t="shared" si="76"/>
        <v/>
      </c>
      <c r="V485" t="str">
        <f t="shared" si="77"/>
        <v/>
      </c>
      <c r="W485" t="str">
        <f t="shared" si="78"/>
        <v/>
      </c>
      <c r="X485">
        <f>IF($T485="",N($X484),IF(MATCH($T485,$T$6:$T$10005,0)=ROW()-5,N($X484)+1,N($X484)))</f>
        <v>0</v>
      </c>
      <c r="Z485" t="str">
        <f t="shared" si="79"/>
        <v/>
      </c>
      <c r="AA485">
        <f>IF($V485="",N($AA484),IF(MATCH($V485,$V$6:$V$10005,0)=ROW()-5,N($AA484)+1,N($AA484)))</f>
        <v>0</v>
      </c>
    </row>
    <row r="486" spans="1:27" ht="21" customHeight="1" x14ac:dyDescent="0.95">
      <c r="A486" s="56"/>
      <c r="B486" s="57"/>
      <c r="C486" s="57"/>
      <c r="D486" s="57"/>
      <c r="E486" s="56"/>
      <c r="F486" s="57"/>
      <c r="G486" s="57"/>
      <c r="H486" s="56"/>
      <c r="I486" s="56"/>
      <c r="J486" s="58"/>
      <c r="K486" s="58"/>
      <c r="L486" s="13" t="str">
        <f t="shared" si="70"/>
        <v/>
      </c>
      <c r="M486" s="13" t="str">
        <f t="shared" si="71"/>
        <v/>
      </c>
      <c r="Q486" t="str">
        <f t="shared" si="72"/>
        <v/>
      </c>
      <c r="R486" t="str">
        <f t="shared" si="73"/>
        <v/>
      </c>
      <c r="S486" t="str">
        <f t="shared" si="74"/>
        <v/>
      </c>
      <c r="T486" t="str">
        <f t="shared" si="75"/>
        <v/>
      </c>
      <c r="U486" t="str">
        <f t="shared" si="76"/>
        <v/>
      </c>
      <c r="V486" t="str">
        <f t="shared" si="77"/>
        <v/>
      </c>
      <c r="W486" t="str">
        <f t="shared" si="78"/>
        <v/>
      </c>
      <c r="X486">
        <f>IF($T486="",N($X485),IF(MATCH($T486,$T$6:$T$10005,0)=ROW()-5,N($X485)+1,N($X485)))</f>
        <v>0</v>
      </c>
      <c r="Z486" t="str">
        <f t="shared" si="79"/>
        <v/>
      </c>
      <c r="AA486">
        <f>IF($V486="",N($AA485),IF(MATCH($V486,$V$6:$V$10005,0)=ROW()-5,N($AA485)+1,N($AA485)))</f>
        <v>0</v>
      </c>
    </row>
    <row r="487" spans="1:27" ht="21" customHeight="1" x14ac:dyDescent="0.95">
      <c r="A487" s="56"/>
      <c r="B487" s="57"/>
      <c r="C487" s="57"/>
      <c r="D487" s="57"/>
      <c r="E487" s="56"/>
      <c r="F487" s="57"/>
      <c r="G487" s="57"/>
      <c r="H487" s="56"/>
      <c r="I487" s="56"/>
      <c r="J487" s="58"/>
      <c r="K487" s="58"/>
      <c r="L487" s="13" t="str">
        <f t="shared" si="70"/>
        <v/>
      </c>
      <c r="M487" s="13" t="str">
        <f t="shared" si="71"/>
        <v/>
      </c>
      <c r="Q487" t="str">
        <f t="shared" si="72"/>
        <v/>
      </c>
      <c r="R487" t="str">
        <f t="shared" si="73"/>
        <v/>
      </c>
      <c r="S487" t="str">
        <f t="shared" si="74"/>
        <v/>
      </c>
      <c r="T487" t="str">
        <f t="shared" si="75"/>
        <v/>
      </c>
      <c r="U487" t="str">
        <f t="shared" si="76"/>
        <v/>
      </c>
      <c r="V487" t="str">
        <f t="shared" si="77"/>
        <v/>
      </c>
      <c r="W487" t="str">
        <f t="shared" si="78"/>
        <v/>
      </c>
      <c r="X487">
        <f>IF($T487="",N($X486),IF(MATCH($T487,$T$6:$T$10005,0)=ROW()-5,N($X486)+1,N($X486)))</f>
        <v>0</v>
      </c>
      <c r="Z487" t="str">
        <f t="shared" si="79"/>
        <v/>
      </c>
      <c r="AA487">
        <f>IF($V487="",N($AA486),IF(MATCH($V487,$V$6:$V$10005,0)=ROW()-5,N($AA486)+1,N($AA486)))</f>
        <v>0</v>
      </c>
    </row>
    <row r="488" spans="1:27" ht="21" customHeight="1" x14ac:dyDescent="0.95">
      <c r="A488" s="56"/>
      <c r="B488" s="57"/>
      <c r="C488" s="57"/>
      <c r="D488" s="57"/>
      <c r="E488" s="56"/>
      <c r="F488" s="57"/>
      <c r="G488" s="57"/>
      <c r="H488" s="56"/>
      <c r="I488" s="56"/>
      <c r="J488" s="58"/>
      <c r="K488" s="58"/>
      <c r="L488" s="13" t="str">
        <f t="shared" si="70"/>
        <v/>
      </c>
      <c r="M488" s="13" t="str">
        <f t="shared" si="71"/>
        <v/>
      </c>
      <c r="Q488" t="str">
        <f t="shared" si="72"/>
        <v/>
      </c>
      <c r="R488" t="str">
        <f t="shared" si="73"/>
        <v/>
      </c>
      <c r="S488" t="str">
        <f t="shared" si="74"/>
        <v/>
      </c>
      <c r="T488" t="str">
        <f t="shared" si="75"/>
        <v/>
      </c>
      <c r="U488" t="str">
        <f t="shared" si="76"/>
        <v/>
      </c>
      <c r="V488" t="str">
        <f t="shared" si="77"/>
        <v/>
      </c>
      <c r="W488" t="str">
        <f t="shared" si="78"/>
        <v/>
      </c>
      <c r="X488">
        <f>IF($T488="",N($X487),IF(MATCH($T488,$T$6:$T$10005,0)=ROW()-5,N($X487)+1,N($X487)))</f>
        <v>0</v>
      </c>
      <c r="Z488" t="str">
        <f t="shared" si="79"/>
        <v/>
      </c>
      <c r="AA488">
        <f>IF($V488="",N($AA487),IF(MATCH($V488,$V$6:$V$10005,0)=ROW()-5,N($AA487)+1,N($AA487)))</f>
        <v>0</v>
      </c>
    </row>
    <row r="489" spans="1:27" ht="21" customHeight="1" x14ac:dyDescent="0.95">
      <c r="A489" s="56"/>
      <c r="B489" s="57"/>
      <c r="C489" s="57"/>
      <c r="D489" s="57"/>
      <c r="E489" s="56"/>
      <c r="F489" s="57"/>
      <c r="G489" s="57"/>
      <c r="H489" s="56"/>
      <c r="I489" s="56"/>
      <c r="J489" s="58"/>
      <c r="K489" s="58"/>
      <c r="L489" s="13" t="str">
        <f t="shared" si="70"/>
        <v/>
      </c>
      <c r="M489" s="13" t="str">
        <f t="shared" si="71"/>
        <v/>
      </c>
      <c r="Q489" t="str">
        <f t="shared" si="72"/>
        <v/>
      </c>
      <c r="R489" t="str">
        <f t="shared" si="73"/>
        <v/>
      </c>
      <c r="S489" t="str">
        <f t="shared" si="74"/>
        <v/>
      </c>
      <c r="T489" t="str">
        <f t="shared" si="75"/>
        <v/>
      </c>
      <c r="U489" t="str">
        <f t="shared" si="76"/>
        <v/>
      </c>
      <c r="V489" t="str">
        <f t="shared" si="77"/>
        <v/>
      </c>
      <c r="W489" t="str">
        <f t="shared" si="78"/>
        <v/>
      </c>
      <c r="X489">
        <f>IF($T489="",N($X488),IF(MATCH($T489,$T$6:$T$10005,0)=ROW()-5,N($X488)+1,N($X488)))</f>
        <v>0</v>
      </c>
      <c r="Z489" t="str">
        <f t="shared" si="79"/>
        <v/>
      </c>
      <c r="AA489">
        <f>IF($V489="",N($AA488),IF(MATCH($V489,$V$6:$V$10005,0)=ROW()-5,N($AA488)+1,N($AA488)))</f>
        <v>0</v>
      </c>
    </row>
    <row r="490" spans="1:27" ht="21" customHeight="1" x14ac:dyDescent="0.95">
      <c r="A490" s="56"/>
      <c r="B490" s="57"/>
      <c r="C490" s="57"/>
      <c r="D490" s="57"/>
      <c r="E490" s="56"/>
      <c r="F490" s="57"/>
      <c r="G490" s="57"/>
      <c r="H490" s="56"/>
      <c r="I490" s="56"/>
      <c r="J490" s="58"/>
      <c r="K490" s="58"/>
      <c r="L490" s="13" t="str">
        <f t="shared" si="70"/>
        <v/>
      </c>
      <c r="M490" s="13" t="str">
        <f t="shared" si="71"/>
        <v/>
      </c>
      <c r="Q490" t="str">
        <f t="shared" si="72"/>
        <v/>
      </c>
      <c r="R490" t="str">
        <f t="shared" si="73"/>
        <v/>
      </c>
      <c r="S490" t="str">
        <f t="shared" si="74"/>
        <v/>
      </c>
      <c r="T490" t="str">
        <f t="shared" si="75"/>
        <v/>
      </c>
      <c r="U490" t="str">
        <f t="shared" si="76"/>
        <v/>
      </c>
      <c r="V490" t="str">
        <f t="shared" si="77"/>
        <v/>
      </c>
      <c r="W490" t="str">
        <f t="shared" si="78"/>
        <v/>
      </c>
      <c r="X490">
        <f>IF($T490="",N($X489),IF(MATCH($T490,$T$6:$T$10005,0)=ROW()-5,N($X489)+1,N($X489)))</f>
        <v>0</v>
      </c>
      <c r="Z490" t="str">
        <f t="shared" si="79"/>
        <v/>
      </c>
      <c r="AA490">
        <f>IF($V490="",N($AA489),IF(MATCH($V490,$V$6:$V$10005,0)=ROW()-5,N($AA489)+1,N($AA489)))</f>
        <v>0</v>
      </c>
    </row>
    <row r="491" spans="1:27" ht="21" customHeight="1" x14ac:dyDescent="0.95">
      <c r="A491" s="56"/>
      <c r="B491" s="57"/>
      <c r="C491" s="57"/>
      <c r="D491" s="57"/>
      <c r="E491" s="56"/>
      <c r="F491" s="57"/>
      <c r="G491" s="57"/>
      <c r="H491" s="56"/>
      <c r="I491" s="56"/>
      <c r="J491" s="58"/>
      <c r="K491" s="58"/>
      <c r="L491" s="13" t="str">
        <f t="shared" si="70"/>
        <v/>
      </c>
      <c r="M491" s="13" t="str">
        <f t="shared" si="71"/>
        <v/>
      </c>
      <c r="Q491" t="str">
        <f t="shared" si="72"/>
        <v/>
      </c>
      <c r="R491" t="str">
        <f t="shared" si="73"/>
        <v/>
      </c>
      <c r="S491" t="str">
        <f t="shared" si="74"/>
        <v/>
      </c>
      <c r="T491" t="str">
        <f t="shared" si="75"/>
        <v/>
      </c>
      <c r="U491" t="str">
        <f t="shared" si="76"/>
        <v/>
      </c>
      <c r="V491" t="str">
        <f t="shared" si="77"/>
        <v/>
      </c>
      <c r="W491" t="str">
        <f t="shared" si="78"/>
        <v/>
      </c>
      <c r="X491">
        <f>IF($T491="",N($X490),IF(MATCH($T491,$T$6:$T$10005,0)=ROW()-5,N($X490)+1,N($X490)))</f>
        <v>0</v>
      </c>
      <c r="Z491" t="str">
        <f t="shared" si="79"/>
        <v/>
      </c>
      <c r="AA491">
        <f>IF($V491="",N($AA490),IF(MATCH($V491,$V$6:$V$10005,0)=ROW()-5,N($AA490)+1,N($AA490)))</f>
        <v>0</v>
      </c>
    </row>
    <row r="492" spans="1:27" ht="21" customHeight="1" x14ac:dyDescent="0.95">
      <c r="A492" s="56"/>
      <c r="B492" s="57"/>
      <c r="C492" s="57"/>
      <c r="D492" s="57"/>
      <c r="E492" s="56"/>
      <c r="F492" s="57"/>
      <c r="G492" s="57"/>
      <c r="H492" s="56"/>
      <c r="I492" s="56"/>
      <c r="J492" s="58"/>
      <c r="K492" s="58"/>
      <c r="L492" s="13" t="str">
        <f t="shared" si="70"/>
        <v/>
      </c>
      <c r="M492" s="13" t="str">
        <f t="shared" si="71"/>
        <v/>
      </c>
      <c r="Q492" t="str">
        <f t="shared" si="72"/>
        <v/>
      </c>
      <c r="R492" t="str">
        <f t="shared" si="73"/>
        <v/>
      </c>
      <c r="S492" t="str">
        <f t="shared" si="74"/>
        <v/>
      </c>
      <c r="T492" t="str">
        <f t="shared" si="75"/>
        <v/>
      </c>
      <c r="U492" t="str">
        <f t="shared" si="76"/>
        <v/>
      </c>
      <c r="V492" t="str">
        <f t="shared" si="77"/>
        <v/>
      </c>
      <c r="W492" t="str">
        <f t="shared" si="78"/>
        <v/>
      </c>
      <c r="X492">
        <f>IF($T492="",N($X491),IF(MATCH($T492,$T$6:$T$10005,0)=ROW()-5,N($X491)+1,N($X491)))</f>
        <v>0</v>
      </c>
      <c r="Z492" t="str">
        <f t="shared" si="79"/>
        <v/>
      </c>
      <c r="AA492">
        <f>IF($V492="",N($AA491),IF(MATCH($V492,$V$6:$V$10005,0)=ROW()-5,N($AA491)+1,N($AA491)))</f>
        <v>0</v>
      </c>
    </row>
    <row r="493" spans="1:27" ht="21" customHeight="1" x14ac:dyDescent="0.95">
      <c r="A493" s="56"/>
      <c r="B493" s="57"/>
      <c r="C493" s="57"/>
      <c r="D493" s="57"/>
      <c r="E493" s="56"/>
      <c r="F493" s="57"/>
      <c r="G493" s="57"/>
      <c r="H493" s="56"/>
      <c r="I493" s="56"/>
      <c r="J493" s="58"/>
      <c r="K493" s="58"/>
      <c r="L493" s="13" t="str">
        <f t="shared" si="70"/>
        <v/>
      </c>
      <c r="M493" s="13" t="str">
        <f t="shared" si="71"/>
        <v/>
      </c>
      <c r="Q493" t="str">
        <f t="shared" si="72"/>
        <v/>
      </c>
      <c r="R493" t="str">
        <f t="shared" si="73"/>
        <v/>
      </c>
      <c r="S493" t="str">
        <f t="shared" si="74"/>
        <v/>
      </c>
      <c r="T493" t="str">
        <f t="shared" si="75"/>
        <v/>
      </c>
      <c r="U493" t="str">
        <f t="shared" si="76"/>
        <v/>
      </c>
      <c r="V493" t="str">
        <f t="shared" si="77"/>
        <v/>
      </c>
      <c r="W493" t="str">
        <f t="shared" si="78"/>
        <v/>
      </c>
      <c r="X493">
        <f>IF($T493="",N($X492),IF(MATCH($T493,$T$6:$T$10005,0)=ROW()-5,N($X492)+1,N($X492)))</f>
        <v>0</v>
      </c>
      <c r="Z493" t="str">
        <f t="shared" si="79"/>
        <v/>
      </c>
      <c r="AA493">
        <f>IF($V493="",N($AA492),IF(MATCH($V493,$V$6:$V$10005,0)=ROW()-5,N($AA492)+1,N($AA492)))</f>
        <v>0</v>
      </c>
    </row>
    <row r="494" spans="1:27" ht="21" customHeight="1" x14ac:dyDescent="0.95">
      <c r="A494" s="56"/>
      <c r="B494" s="57"/>
      <c r="C494" s="57"/>
      <c r="D494" s="57"/>
      <c r="E494" s="56"/>
      <c r="F494" s="57"/>
      <c r="G494" s="57"/>
      <c r="H494" s="56"/>
      <c r="I494" s="56"/>
      <c r="J494" s="58"/>
      <c r="K494" s="58"/>
      <c r="L494" s="13" t="str">
        <f t="shared" si="70"/>
        <v/>
      </c>
      <c r="M494" s="13" t="str">
        <f t="shared" si="71"/>
        <v/>
      </c>
      <c r="Q494" t="str">
        <f t="shared" si="72"/>
        <v/>
      </c>
      <c r="R494" t="str">
        <f t="shared" si="73"/>
        <v/>
      </c>
      <c r="S494" t="str">
        <f t="shared" si="74"/>
        <v/>
      </c>
      <c r="T494" t="str">
        <f t="shared" si="75"/>
        <v/>
      </c>
      <c r="U494" t="str">
        <f t="shared" si="76"/>
        <v/>
      </c>
      <c r="V494" t="str">
        <f t="shared" si="77"/>
        <v/>
      </c>
      <c r="W494" t="str">
        <f t="shared" si="78"/>
        <v/>
      </c>
      <c r="X494">
        <f>IF($T494="",N($X493),IF(MATCH($T494,$T$6:$T$10005,0)=ROW()-5,N($X493)+1,N($X493)))</f>
        <v>0</v>
      </c>
      <c r="Z494" t="str">
        <f t="shared" si="79"/>
        <v/>
      </c>
      <c r="AA494">
        <f>IF($V494="",N($AA493),IF(MATCH($V494,$V$6:$V$10005,0)=ROW()-5,N($AA493)+1,N($AA493)))</f>
        <v>0</v>
      </c>
    </row>
    <row r="495" spans="1:27" ht="21" customHeight="1" x14ac:dyDescent="0.95">
      <c r="A495" s="56"/>
      <c r="B495" s="57"/>
      <c r="C495" s="57"/>
      <c r="D495" s="57"/>
      <c r="E495" s="56"/>
      <c r="F495" s="57"/>
      <c r="G495" s="57"/>
      <c r="H495" s="56"/>
      <c r="I495" s="56"/>
      <c r="J495" s="58"/>
      <c r="K495" s="58"/>
      <c r="L495" s="13" t="str">
        <f t="shared" si="70"/>
        <v/>
      </c>
      <c r="M495" s="13" t="str">
        <f t="shared" si="71"/>
        <v/>
      </c>
      <c r="Q495" t="str">
        <f t="shared" si="72"/>
        <v/>
      </c>
      <c r="R495" t="str">
        <f t="shared" si="73"/>
        <v/>
      </c>
      <c r="S495" t="str">
        <f t="shared" si="74"/>
        <v/>
      </c>
      <c r="T495" t="str">
        <f t="shared" si="75"/>
        <v/>
      </c>
      <c r="U495" t="str">
        <f t="shared" si="76"/>
        <v/>
      </c>
      <c r="V495" t="str">
        <f t="shared" si="77"/>
        <v/>
      </c>
      <c r="W495" t="str">
        <f t="shared" si="78"/>
        <v/>
      </c>
      <c r="X495">
        <f>IF($T495="",N($X494),IF(MATCH($T495,$T$6:$T$10005,0)=ROW()-5,N($X494)+1,N($X494)))</f>
        <v>0</v>
      </c>
      <c r="Z495" t="str">
        <f t="shared" si="79"/>
        <v/>
      </c>
      <c r="AA495">
        <f>IF($V495="",N($AA494),IF(MATCH($V495,$V$6:$V$10005,0)=ROW()-5,N($AA494)+1,N($AA494)))</f>
        <v>0</v>
      </c>
    </row>
    <row r="496" spans="1:27" ht="21" customHeight="1" x14ac:dyDescent="0.95">
      <c r="A496" s="56"/>
      <c r="B496" s="57"/>
      <c r="C496" s="57"/>
      <c r="D496" s="57"/>
      <c r="E496" s="56"/>
      <c r="F496" s="57"/>
      <c r="G496" s="57"/>
      <c r="H496" s="56"/>
      <c r="I496" s="56"/>
      <c r="J496" s="58"/>
      <c r="K496" s="58"/>
      <c r="L496" s="13" t="str">
        <f t="shared" si="70"/>
        <v/>
      </c>
      <c r="M496" s="13" t="str">
        <f t="shared" si="71"/>
        <v/>
      </c>
      <c r="Q496" t="str">
        <f t="shared" si="72"/>
        <v/>
      </c>
      <c r="R496" t="str">
        <f t="shared" si="73"/>
        <v/>
      </c>
      <c r="S496" t="str">
        <f t="shared" si="74"/>
        <v/>
      </c>
      <c r="T496" t="str">
        <f t="shared" si="75"/>
        <v/>
      </c>
      <c r="U496" t="str">
        <f t="shared" si="76"/>
        <v/>
      </c>
      <c r="V496" t="str">
        <f t="shared" si="77"/>
        <v/>
      </c>
      <c r="W496" t="str">
        <f t="shared" si="78"/>
        <v/>
      </c>
      <c r="X496">
        <f>IF($T496="",N($X495),IF(MATCH($T496,$T$6:$T$10005,0)=ROW()-5,N($X495)+1,N($X495)))</f>
        <v>0</v>
      </c>
      <c r="Z496" t="str">
        <f t="shared" si="79"/>
        <v/>
      </c>
      <c r="AA496">
        <f>IF($V496="",N($AA495),IF(MATCH($V496,$V$6:$V$10005,0)=ROW()-5,N($AA495)+1,N($AA495)))</f>
        <v>0</v>
      </c>
    </row>
    <row r="497" spans="1:27" ht="21" customHeight="1" x14ac:dyDescent="0.95">
      <c r="A497" s="56"/>
      <c r="B497" s="57"/>
      <c r="C497" s="57"/>
      <c r="D497" s="57"/>
      <c r="E497" s="56"/>
      <c r="F497" s="57"/>
      <c r="G497" s="57"/>
      <c r="H497" s="56"/>
      <c r="I497" s="56"/>
      <c r="J497" s="58"/>
      <c r="K497" s="58"/>
      <c r="L497" s="13" t="str">
        <f t="shared" si="70"/>
        <v/>
      </c>
      <c r="M497" s="13" t="str">
        <f t="shared" si="71"/>
        <v/>
      </c>
      <c r="Q497" t="str">
        <f t="shared" si="72"/>
        <v/>
      </c>
      <c r="R497" t="str">
        <f t="shared" si="73"/>
        <v/>
      </c>
      <c r="S497" t="str">
        <f t="shared" si="74"/>
        <v/>
      </c>
      <c r="T497" t="str">
        <f t="shared" si="75"/>
        <v/>
      </c>
      <c r="U497" t="str">
        <f t="shared" si="76"/>
        <v/>
      </c>
      <c r="V497" t="str">
        <f t="shared" si="77"/>
        <v/>
      </c>
      <c r="W497" t="str">
        <f t="shared" si="78"/>
        <v/>
      </c>
      <c r="X497">
        <f>IF($T497="",N($X496),IF(MATCH($T497,$T$6:$T$10005,0)=ROW()-5,N($X496)+1,N($X496)))</f>
        <v>0</v>
      </c>
      <c r="Z497" t="str">
        <f t="shared" si="79"/>
        <v/>
      </c>
      <c r="AA497">
        <f>IF($V497="",N($AA496),IF(MATCH($V497,$V$6:$V$10005,0)=ROW()-5,N($AA496)+1,N($AA496)))</f>
        <v>0</v>
      </c>
    </row>
    <row r="498" spans="1:27" ht="21" customHeight="1" x14ac:dyDescent="0.95">
      <c r="A498" s="56"/>
      <c r="B498" s="57"/>
      <c r="C498" s="57"/>
      <c r="D498" s="57"/>
      <c r="E498" s="56"/>
      <c r="F498" s="57"/>
      <c r="G498" s="57"/>
      <c r="H498" s="56"/>
      <c r="I498" s="56"/>
      <c r="J498" s="58"/>
      <c r="K498" s="58"/>
      <c r="L498" s="13" t="str">
        <f t="shared" si="70"/>
        <v/>
      </c>
      <c r="M498" s="13" t="str">
        <f t="shared" si="71"/>
        <v/>
      </c>
      <c r="Q498" t="str">
        <f t="shared" si="72"/>
        <v/>
      </c>
      <c r="R498" t="str">
        <f t="shared" si="73"/>
        <v/>
      </c>
      <c r="S498" t="str">
        <f t="shared" si="74"/>
        <v/>
      </c>
      <c r="T498" t="str">
        <f t="shared" si="75"/>
        <v/>
      </c>
      <c r="U498" t="str">
        <f t="shared" si="76"/>
        <v/>
      </c>
      <c r="V498" t="str">
        <f t="shared" si="77"/>
        <v/>
      </c>
      <c r="W498" t="str">
        <f t="shared" si="78"/>
        <v/>
      </c>
      <c r="X498">
        <f>IF($T498="",N($X497),IF(MATCH($T498,$T$6:$T$10005,0)=ROW()-5,N($X497)+1,N($X497)))</f>
        <v>0</v>
      </c>
      <c r="Z498" t="str">
        <f t="shared" si="79"/>
        <v/>
      </c>
      <c r="AA498">
        <f>IF($V498="",N($AA497),IF(MATCH($V498,$V$6:$V$10005,0)=ROW()-5,N($AA497)+1,N($AA497)))</f>
        <v>0</v>
      </c>
    </row>
    <row r="499" spans="1:27" ht="21" customHeight="1" x14ac:dyDescent="0.95">
      <c r="A499" s="56"/>
      <c r="B499" s="57"/>
      <c r="C499" s="57"/>
      <c r="D499" s="57"/>
      <c r="E499" s="56"/>
      <c r="F499" s="57"/>
      <c r="G499" s="57"/>
      <c r="H499" s="56"/>
      <c r="I499" s="56"/>
      <c r="J499" s="58"/>
      <c r="K499" s="58"/>
      <c r="L499" s="13" t="str">
        <f t="shared" si="70"/>
        <v/>
      </c>
      <c r="M499" s="13" t="str">
        <f t="shared" si="71"/>
        <v/>
      </c>
      <c r="Q499" t="str">
        <f t="shared" si="72"/>
        <v/>
      </c>
      <c r="R499" t="str">
        <f t="shared" si="73"/>
        <v/>
      </c>
      <c r="S499" t="str">
        <f t="shared" si="74"/>
        <v/>
      </c>
      <c r="T499" t="str">
        <f t="shared" si="75"/>
        <v/>
      </c>
      <c r="U499" t="str">
        <f t="shared" si="76"/>
        <v/>
      </c>
      <c r="V499" t="str">
        <f t="shared" si="77"/>
        <v/>
      </c>
      <c r="W499" t="str">
        <f t="shared" si="78"/>
        <v/>
      </c>
      <c r="X499">
        <f>IF($T499="",N($X498),IF(MATCH($T499,$T$6:$T$10005,0)=ROW()-5,N($X498)+1,N($X498)))</f>
        <v>0</v>
      </c>
      <c r="Z499" t="str">
        <f t="shared" si="79"/>
        <v/>
      </c>
      <c r="AA499">
        <f>IF($V499="",N($AA498),IF(MATCH($V499,$V$6:$V$10005,0)=ROW()-5,N($AA498)+1,N($AA498)))</f>
        <v>0</v>
      </c>
    </row>
    <row r="500" spans="1:27" ht="21" customHeight="1" x14ac:dyDescent="0.95">
      <c r="A500" s="56"/>
      <c r="B500" s="57"/>
      <c r="C500" s="57"/>
      <c r="D500" s="57"/>
      <c r="E500" s="56"/>
      <c r="F500" s="57"/>
      <c r="G500" s="57"/>
      <c r="H500" s="56"/>
      <c r="I500" s="56"/>
      <c r="J500" s="58"/>
      <c r="K500" s="58"/>
      <c r="L500" s="13" t="str">
        <f t="shared" si="70"/>
        <v/>
      </c>
      <c r="M500" s="13" t="str">
        <f t="shared" si="71"/>
        <v/>
      </c>
      <c r="Q500" t="str">
        <f t="shared" si="72"/>
        <v/>
      </c>
      <c r="R500" t="str">
        <f t="shared" si="73"/>
        <v/>
      </c>
      <c r="S500" t="str">
        <f t="shared" si="74"/>
        <v/>
      </c>
      <c r="T500" t="str">
        <f t="shared" si="75"/>
        <v/>
      </c>
      <c r="U500" t="str">
        <f t="shared" si="76"/>
        <v/>
      </c>
      <c r="V500" t="str">
        <f t="shared" si="77"/>
        <v/>
      </c>
      <c r="W500" t="str">
        <f t="shared" si="78"/>
        <v/>
      </c>
      <c r="X500">
        <f>IF($T500="",N($X499),IF(MATCH($T500,$T$6:$T$10005,0)=ROW()-5,N($X499)+1,N($X499)))</f>
        <v>0</v>
      </c>
      <c r="Z500" t="str">
        <f t="shared" si="79"/>
        <v/>
      </c>
      <c r="AA500">
        <f>IF($V500="",N($AA499),IF(MATCH($V500,$V$6:$V$10005,0)=ROW()-5,N($AA499)+1,N($AA499)))</f>
        <v>0</v>
      </c>
    </row>
    <row r="501" spans="1:27" ht="21" customHeight="1" x14ac:dyDescent="0.95">
      <c r="A501" s="56"/>
      <c r="B501" s="57"/>
      <c r="C501" s="57"/>
      <c r="D501" s="57"/>
      <c r="E501" s="56"/>
      <c r="F501" s="57"/>
      <c r="G501" s="57"/>
      <c r="H501" s="56"/>
      <c r="I501" s="56"/>
      <c r="J501" s="58"/>
      <c r="K501" s="58"/>
      <c r="L501" s="13" t="str">
        <f t="shared" si="70"/>
        <v/>
      </c>
      <c r="M501" s="13" t="str">
        <f t="shared" si="71"/>
        <v/>
      </c>
      <c r="Q501" t="str">
        <f t="shared" si="72"/>
        <v/>
      </c>
      <c r="R501" t="str">
        <f t="shared" si="73"/>
        <v/>
      </c>
      <c r="S501" t="str">
        <f t="shared" si="74"/>
        <v/>
      </c>
      <c r="T501" t="str">
        <f t="shared" si="75"/>
        <v/>
      </c>
      <c r="U501" t="str">
        <f t="shared" si="76"/>
        <v/>
      </c>
      <c r="V501" t="str">
        <f t="shared" si="77"/>
        <v/>
      </c>
      <c r="W501" t="str">
        <f t="shared" si="78"/>
        <v/>
      </c>
      <c r="X501">
        <f>IF($T501="",N($X500),IF(MATCH($T501,$T$6:$T$10005,0)=ROW()-5,N($X500)+1,N($X500)))</f>
        <v>0</v>
      </c>
      <c r="Z501" t="str">
        <f t="shared" si="79"/>
        <v/>
      </c>
      <c r="AA501">
        <f>IF($V501="",N($AA500),IF(MATCH($V501,$V$6:$V$10005,0)=ROW()-5,N($AA500)+1,N($AA500)))</f>
        <v>0</v>
      </c>
    </row>
    <row r="502" spans="1:27" ht="21" customHeight="1" x14ac:dyDescent="0.95">
      <c r="A502" s="56"/>
      <c r="B502" s="57"/>
      <c r="C502" s="57"/>
      <c r="D502" s="57"/>
      <c r="E502" s="56"/>
      <c r="F502" s="57"/>
      <c r="G502" s="57"/>
      <c r="H502" s="56"/>
      <c r="I502" s="56"/>
      <c r="J502" s="58"/>
      <c r="K502" s="58"/>
      <c r="L502" s="13" t="str">
        <f t="shared" si="70"/>
        <v/>
      </c>
      <c r="M502" s="13" t="str">
        <f t="shared" si="71"/>
        <v/>
      </c>
      <c r="Q502" t="str">
        <f t="shared" si="72"/>
        <v/>
      </c>
      <c r="R502" t="str">
        <f t="shared" si="73"/>
        <v/>
      </c>
      <c r="S502" t="str">
        <f t="shared" si="74"/>
        <v/>
      </c>
      <c r="T502" t="str">
        <f t="shared" si="75"/>
        <v/>
      </c>
      <c r="U502" t="str">
        <f t="shared" si="76"/>
        <v/>
      </c>
      <c r="V502" t="str">
        <f t="shared" si="77"/>
        <v/>
      </c>
      <c r="W502" t="str">
        <f t="shared" si="78"/>
        <v/>
      </c>
      <c r="X502">
        <f>IF($T502="",N($X501),IF(MATCH($T502,$T$6:$T$10005,0)=ROW()-5,N($X501)+1,N($X501)))</f>
        <v>0</v>
      </c>
      <c r="Z502" t="str">
        <f t="shared" si="79"/>
        <v/>
      </c>
      <c r="AA502">
        <f>IF($V502="",N($AA501),IF(MATCH($V502,$V$6:$V$10005,0)=ROW()-5,N($AA501)+1,N($AA501)))</f>
        <v>0</v>
      </c>
    </row>
    <row r="503" spans="1:27" ht="21" customHeight="1" x14ac:dyDescent="0.95">
      <c r="A503" s="56"/>
      <c r="B503" s="57"/>
      <c r="C503" s="57"/>
      <c r="D503" s="57"/>
      <c r="E503" s="56"/>
      <c r="F503" s="57"/>
      <c r="G503" s="57"/>
      <c r="H503" s="56"/>
      <c r="I503" s="56"/>
      <c r="J503" s="58"/>
      <c r="K503" s="58"/>
      <c r="L503" s="13" t="str">
        <f t="shared" si="70"/>
        <v/>
      </c>
      <c r="M503" s="13" t="str">
        <f t="shared" si="71"/>
        <v/>
      </c>
      <c r="Q503" t="str">
        <f t="shared" si="72"/>
        <v/>
      </c>
      <c r="R503" t="str">
        <f t="shared" si="73"/>
        <v/>
      </c>
      <c r="S503" t="str">
        <f t="shared" si="74"/>
        <v/>
      </c>
      <c r="T503" t="str">
        <f t="shared" si="75"/>
        <v/>
      </c>
      <c r="U503" t="str">
        <f t="shared" si="76"/>
        <v/>
      </c>
      <c r="V503" t="str">
        <f t="shared" si="77"/>
        <v/>
      </c>
      <c r="W503" t="str">
        <f t="shared" si="78"/>
        <v/>
      </c>
      <c r="X503">
        <f>IF($T503="",N($X502),IF(MATCH($T503,$T$6:$T$10005,0)=ROW()-5,N($X502)+1,N($X502)))</f>
        <v>0</v>
      </c>
      <c r="Z503" t="str">
        <f t="shared" si="79"/>
        <v/>
      </c>
      <c r="AA503">
        <f>IF($V503="",N($AA502),IF(MATCH($V503,$V$6:$V$10005,0)=ROW()-5,N($AA502)+1,N($AA502)))</f>
        <v>0</v>
      </c>
    </row>
    <row r="504" spans="1:27" ht="21" customHeight="1" x14ac:dyDescent="0.95">
      <c r="A504" s="56"/>
      <c r="B504" s="57"/>
      <c r="C504" s="57"/>
      <c r="D504" s="57"/>
      <c r="E504" s="56"/>
      <c r="F504" s="57"/>
      <c r="G504" s="57"/>
      <c r="H504" s="56"/>
      <c r="I504" s="56"/>
      <c r="J504" s="58"/>
      <c r="K504" s="58"/>
      <c r="L504" s="13" t="str">
        <f t="shared" si="70"/>
        <v/>
      </c>
      <c r="M504" s="13" t="str">
        <f t="shared" si="71"/>
        <v/>
      </c>
      <c r="Q504" t="str">
        <f t="shared" si="72"/>
        <v/>
      </c>
      <c r="R504" t="str">
        <f t="shared" si="73"/>
        <v/>
      </c>
      <c r="S504" t="str">
        <f t="shared" si="74"/>
        <v/>
      </c>
      <c r="T504" t="str">
        <f t="shared" si="75"/>
        <v/>
      </c>
      <c r="U504" t="str">
        <f t="shared" si="76"/>
        <v/>
      </c>
      <c r="V504" t="str">
        <f t="shared" si="77"/>
        <v/>
      </c>
      <c r="W504" t="str">
        <f t="shared" si="78"/>
        <v/>
      </c>
      <c r="X504">
        <f>IF($T504="",N($X503),IF(MATCH($T504,$T$6:$T$10005,0)=ROW()-5,N($X503)+1,N($X503)))</f>
        <v>0</v>
      </c>
      <c r="Z504" t="str">
        <f t="shared" si="79"/>
        <v/>
      </c>
      <c r="AA504">
        <f>IF($V504="",N($AA503),IF(MATCH($V504,$V$6:$V$10005,0)=ROW()-5,N($AA503)+1,N($AA503)))</f>
        <v>0</v>
      </c>
    </row>
    <row r="505" spans="1:27" ht="21" customHeight="1" x14ac:dyDescent="0.95">
      <c r="A505" s="56"/>
      <c r="B505" s="57"/>
      <c r="C505" s="57"/>
      <c r="D505" s="57"/>
      <c r="E505" s="56"/>
      <c r="F505" s="57"/>
      <c r="G505" s="57"/>
      <c r="H505" s="56"/>
      <c r="I505" s="56"/>
      <c r="J505" s="58"/>
      <c r="K505" s="58"/>
      <c r="L505" s="13" t="str">
        <f t="shared" si="70"/>
        <v/>
      </c>
      <c r="M505" s="13" t="str">
        <f t="shared" si="71"/>
        <v/>
      </c>
      <c r="Q505" t="str">
        <f t="shared" si="72"/>
        <v/>
      </c>
      <c r="R505" t="str">
        <f t="shared" si="73"/>
        <v/>
      </c>
      <c r="S505" t="str">
        <f t="shared" si="74"/>
        <v/>
      </c>
      <c r="T505" t="str">
        <f t="shared" si="75"/>
        <v/>
      </c>
      <c r="U505" t="str">
        <f t="shared" si="76"/>
        <v/>
      </c>
      <c r="V505" t="str">
        <f t="shared" si="77"/>
        <v/>
      </c>
      <c r="W505" t="str">
        <f t="shared" si="78"/>
        <v/>
      </c>
      <c r="X505">
        <f>IF($T505="",N($X504),IF(MATCH($T505,$T$6:$T$10005,0)=ROW()-5,N($X504)+1,N($X504)))</f>
        <v>0</v>
      </c>
      <c r="Z505" t="str">
        <f t="shared" si="79"/>
        <v/>
      </c>
      <c r="AA505">
        <f>IF($V505="",N($AA504),IF(MATCH($V505,$V$6:$V$10005,0)=ROW()-5,N($AA504)+1,N($AA504)))</f>
        <v>0</v>
      </c>
    </row>
    <row r="506" spans="1:27" ht="21" customHeight="1" x14ac:dyDescent="0.95">
      <c r="A506" s="56"/>
      <c r="B506" s="57"/>
      <c r="C506" s="57"/>
      <c r="D506" s="57"/>
      <c r="E506" s="56"/>
      <c r="F506" s="57"/>
      <c r="G506" s="57"/>
      <c r="H506" s="56"/>
      <c r="I506" s="56"/>
      <c r="J506" s="58"/>
      <c r="K506" s="58"/>
      <c r="L506" s="13" t="str">
        <f t="shared" si="70"/>
        <v/>
      </c>
      <c r="M506" s="13" t="str">
        <f t="shared" si="71"/>
        <v/>
      </c>
      <c r="Q506" t="str">
        <f t="shared" si="72"/>
        <v/>
      </c>
      <c r="R506" t="str">
        <f t="shared" si="73"/>
        <v/>
      </c>
      <c r="S506" t="str">
        <f t="shared" si="74"/>
        <v/>
      </c>
      <c r="T506" t="str">
        <f t="shared" si="75"/>
        <v/>
      </c>
      <c r="U506" t="str">
        <f t="shared" si="76"/>
        <v/>
      </c>
      <c r="V506" t="str">
        <f t="shared" si="77"/>
        <v/>
      </c>
      <c r="W506" t="str">
        <f t="shared" si="78"/>
        <v/>
      </c>
      <c r="X506">
        <f>IF($T506="",N($X505),IF(MATCH($T506,$T$6:$T$10005,0)=ROW()-5,N($X505)+1,N($X505)))</f>
        <v>0</v>
      </c>
      <c r="Z506" t="str">
        <f t="shared" si="79"/>
        <v/>
      </c>
      <c r="AA506">
        <f>IF($V506="",N($AA505),IF(MATCH($V506,$V$6:$V$10005,0)=ROW()-5,N($AA505)+1,N($AA505)))</f>
        <v>0</v>
      </c>
    </row>
    <row r="507" spans="1:27" ht="21" customHeight="1" x14ac:dyDescent="0.95">
      <c r="A507" s="56"/>
      <c r="B507" s="57"/>
      <c r="C507" s="57"/>
      <c r="D507" s="57"/>
      <c r="E507" s="56"/>
      <c r="F507" s="57"/>
      <c r="G507" s="57"/>
      <c r="H507" s="56"/>
      <c r="I507" s="56"/>
      <c r="J507" s="58"/>
      <c r="K507" s="58"/>
      <c r="L507" s="13" t="str">
        <f t="shared" si="70"/>
        <v/>
      </c>
      <c r="M507" s="13" t="str">
        <f t="shared" si="71"/>
        <v/>
      </c>
      <c r="Q507" t="str">
        <f t="shared" si="72"/>
        <v/>
      </c>
      <c r="R507" t="str">
        <f t="shared" si="73"/>
        <v/>
      </c>
      <c r="S507" t="str">
        <f t="shared" si="74"/>
        <v/>
      </c>
      <c r="T507" t="str">
        <f t="shared" si="75"/>
        <v/>
      </c>
      <c r="U507" t="str">
        <f t="shared" si="76"/>
        <v/>
      </c>
      <c r="V507" t="str">
        <f t="shared" si="77"/>
        <v/>
      </c>
      <c r="W507" t="str">
        <f t="shared" si="78"/>
        <v/>
      </c>
      <c r="X507">
        <f>IF($T507="",N($X506),IF(MATCH($T507,$T$6:$T$10005,0)=ROW()-5,N($X506)+1,N($X506)))</f>
        <v>0</v>
      </c>
      <c r="Z507" t="str">
        <f t="shared" si="79"/>
        <v/>
      </c>
      <c r="AA507">
        <f>IF($V507="",N($AA506),IF(MATCH($V507,$V$6:$V$10005,0)=ROW()-5,N($AA506)+1,N($AA506)))</f>
        <v>0</v>
      </c>
    </row>
    <row r="508" spans="1:27" ht="21" customHeight="1" x14ac:dyDescent="0.95">
      <c r="A508" s="56"/>
      <c r="B508" s="57"/>
      <c r="C508" s="57"/>
      <c r="D508" s="57"/>
      <c r="E508" s="56"/>
      <c r="F508" s="57"/>
      <c r="G508" s="57"/>
      <c r="H508" s="56"/>
      <c r="I508" s="56"/>
      <c r="J508" s="58"/>
      <c r="K508" s="58"/>
      <c r="L508" s="13" t="str">
        <f t="shared" si="70"/>
        <v/>
      </c>
      <c r="M508" s="13" t="str">
        <f t="shared" si="71"/>
        <v/>
      </c>
      <c r="Q508" t="str">
        <f t="shared" si="72"/>
        <v/>
      </c>
      <c r="R508" t="str">
        <f t="shared" si="73"/>
        <v/>
      </c>
      <c r="S508" t="str">
        <f t="shared" si="74"/>
        <v/>
      </c>
      <c r="T508" t="str">
        <f t="shared" si="75"/>
        <v/>
      </c>
      <c r="U508" t="str">
        <f t="shared" si="76"/>
        <v/>
      </c>
      <c r="V508" t="str">
        <f t="shared" si="77"/>
        <v/>
      </c>
      <c r="W508" t="str">
        <f t="shared" si="78"/>
        <v/>
      </c>
      <c r="X508">
        <f>IF($T508="",N($X507),IF(MATCH($T508,$T$6:$T$10005,0)=ROW()-5,N($X507)+1,N($X507)))</f>
        <v>0</v>
      </c>
      <c r="Z508" t="str">
        <f t="shared" si="79"/>
        <v/>
      </c>
      <c r="AA508">
        <f>IF($V508="",N($AA507),IF(MATCH($V508,$V$6:$V$10005,0)=ROW()-5,N($AA507)+1,N($AA507)))</f>
        <v>0</v>
      </c>
    </row>
    <row r="509" spans="1:27" ht="21" customHeight="1" x14ac:dyDescent="0.95">
      <c r="A509" s="56"/>
      <c r="B509" s="57"/>
      <c r="C509" s="57"/>
      <c r="D509" s="57"/>
      <c r="E509" s="56"/>
      <c r="F509" s="57"/>
      <c r="G509" s="57"/>
      <c r="H509" s="56"/>
      <c r="I509" s="56"/>
      <c r="J509" s="58"/>
      <c r="K509" s="58"/>
      <c r="L509" s="13" t="str">
        <f t="shared" si="70"/>
        <v/>
      </c>
      <c r="M509" s="13" t="str">
        <f t="shared" si="71"/>
        <v/>
      </c>
      <c r="Q509" t="str">
        <f t="shared" si="72"/>
        <v/>
      </c>
      <c r="R509" t="str">
        <f t="shared" si="73"/>
        <v/>
      </c>
      <c r="S509" t="str">
        <f t="shared" si="74"/>
        <v/>
      </c>
      <c r="T509" t="str">
        <f t="shared" si="75"/>
        <v/>
      </c>
      <c r="U509" t="str">
        <f t="shared" si="76"/>
        <v/>
      </c>
      <c r="V509" t="str">
        <f t="shared" si="77"/>
        <v/>
      </c>
      <c r="W509" t="str">
        <f t="shared" si="78"/>
        <v/>
      </c>
      <c r="X509">
        <f>IF($T509="",N($X508),IF(MATCH($T509,$T$6:$T$10005,0)=ROW()-5,N($X508)+1,N($X508)))</f>
        <v>0</v>
      </c>
      <c r="Z509" t="str">
        <f t="shared" si="79"/>
        <v/>
      </c>
      <c r="AA509">
        <f>IF($V509="",N($AA508),IF(MATCH($V509,$V$6:$V$10005,0)=ROW()-5,N($AA508)+1,N($AA508)))</f>
        <v>0</v>
      </c>
    </row>
    <row r="510" spans="1:27" ht="21" customHeight="1" x14ac:dyDescent="0.95">
      <c r="A510" s="56"/>
      <c r="B510" s="57"/>
      <c r="C510" s="57"/>
      <c r="D510" s="57"/>
      <c r="E510" s="56"/>
      <c r="F510" s="57"/>
      <c r="G510" s="57"/>
      <c r="H510" s="56"/>
      <c r="I510" s="56"/>
      <c r="J510" s="58"/>
      <c r="K510" s="58"/>
      <c r="L510" s="13" t="str">
        <f t="shared" si="70"/>
        <v/>
      </c>
      <c r="M510" s="13" t="str">
        <f t="shared" si="71"/>
        <v/>
      </c>
      <c r="Q510" t="str">
        <f t="shared" si="72"/>
        <v/>
      </c>
      <c r="R510" t="str">
        <f t="shared" si="73"/>
        <v/>
      </c>
      <c r="S510" t="str">
        <f t="shared" si="74"/>
        <v/>
      </c>
      <c r="T510" t="str">
        <f t="shared" si="75"/>
        <v/>
      </c>
      <c r="U510" t="str">
        <f t="shared" si="76"/>
        <v/>
      </c>
      <c r="V510" t="str">
        <f t="shared" si="77"/>
        <v/>
      </c>
      <c r="W510" t="str">
        <f t="shared" si="78"/>
        <v/>
      </c>
      <c r="X510">
        <f>IF($T510="",N($X509),IF(MATCH($T510,$T$6:$T$10005,0)=ROW()-5,N($X509)+1,N($X509)))</f>
        <v>0</v>
      </c>
      <c r="Z510" t="str">
        <f t="shared" si="79"/>
        <v/>
      </c>
      <c r="AA510">
        <f>IF($V510="",N($AA509),IF(MATCH($V510,$V$6:$V$10005,0)=ROW()-5,N($AA509)+1,N($AA509)))</f>
        <v>0</v>
      </c>
    </row>
    <row r="511" spans="1:27" ht="21" customHeight="1" x14ac:dyDescent="0.95">
      <c r="A511" s="56"/>
      <c r="B511" s="57"/>
      <c r="C511" s="57"/>
      <c r="D511" s="57"/>
      <c r="E511" s="56"/>
      <c r="F511" s="57"/>
      <c r="G511" s="57"/>
      <c r="H511" s="56"/>
      <c r="I511" s="56"/>
      <c r="J511" s="58"/>
      <c r="K511" s="58"/>
      <c r="L511" s="13" t="str">
        <f t="shared" si="70"/>
        <v/>
      </c>
      <c r="M511" s="13" t="str">
        <f t="shared" si="71"/>
        <v/>
      </c>
      <c r="Q511" t="str">
        <f t="shared" si="72"/>
        <v/>
      </c>
      <c r="R511" t="str">
        <f t="shared" si="73"/>
        <v/>
      </c>
      <c r="S511" t="str">
        <f t="shared" si="74"/>
        <v/>
      </c>
      <c r="T511" t="str">
        <f t="shared" si="75"/>
        <v/>
      </c>
      <c r="U511" t="str">
        <f t="shared" si="76"/>
        <v/>
      </c>
      <c r="V511" t="str">
        <f t="shared" si="77"/>
        <v/>
      </c>
      <c r="W511" t="str">
        <f t="shared" si="78"/>
        <v/>
      </c>
      <c r="X511">
        <f>IF($T511="",N($X510),IF(MATCH($T511,$T$6:$T$10005,0)=ROW()-5,N($X510)+1,N($X510)))</f>
        <v>0</v>
      </c>
      <c r="Z511" t="str">
        <f t="shared" si="79"/>
        <v/>
      </c>
      <c r="AA511">
        <f>IF($V511="",N($AA510),IF(MATCH($V511,$V$6:$V$10005,0)=ROW()-5,N($AA510)+1,N($AA510)))</f>
        <v>0</v>
      </c>
    </row>
    <row r="512" spans="1:27" ht="21" customHeight="1" x14ac:dyDescent="0.95">
      <c r="A512" s="56"/>
      <c r="B512" s="57"/>
      <c r="C512" s="57"/>
      <c r="D512" s="57"/>
      <c r="E512" s="56"/>
      <c r="F512" s="57"/>
      <c r="G512" s="57"/>
      <c r="H512" s="56"/>
      <c r="I512" s="56"/>
      <c r="J512" s="58"/>
      <c r="K512" s="58"/>
      <c r="L512" s="13" t="str">
        <f t="shared" si="70"/>
        <v/>
      </c>
      <c r="M512" s="13" t="str">
        <f t="shared" si="71"/>
        <v/>
      </c>
      <c r="Q512" t="str">
        <f t="shared" si="72"/>
        <v/>
      </c>
      <c r="R512" t="str">
        <f t="shared" si="73"/>
        <v/>
      </c>
      <c r="S512" t="str">
        <f t="shared" si="74"/>
        <v/>
      </c>
      <c r="T512" t="str">
        <f t="shared" si="75"/>
        <v/>
      </c>
      <c r="U512" t="str">
        <f t="shared" si="76"/>
        <v/>
      </c>
      <c r="V512" t="str">
        <f t="shared" si="77"/>
        <v/>
      </c>
      <c r="W512" t="str">
        <f t="shared" si="78"/>
        <v/>
      </c>
      <c r="X512">
        <f>IF($T512="",N($X511),IF(MATCH($T512,$T$6:$T$10005,0)=ROW()-5,N($X511)+1,N($X511)))</f>
        <v>0</v>
      </c>
      <c r="Z512" t="str">
        <f t="shared" si="79"/>
        <v/>
      </c>
      <c r="AA512">
        <f>IF($V512="",N($AA511),IF(MATCH($V512,$V$6:$V$10005,0)=ROW()-5,N($AA511)+1,N($AA511)))</f>
        <v>0</v>
      </c>
    </row>
    <row r="513" spans="1:27" ht="21" customHeight="1" x14ac:dyDescent="0.95">
      <c r="A513" s="56"/>
      <c r="B513" s="57"/>
      <c r="C513" s="57"/>
      <c r="D513" s="57"/>
      <c r="E513" s="56"/>
      <c r="F513" s="57"/>
      <c r="G513" s="57"/>
      <c r="H513" s="56"/>
      <c r="I513" s="56"/>
      <c r="J513" s="58"/>
      <c r="K513" s="58"/>
      <c r="L513" s="13" t="str">
        <f t="shared" si="70"/>
        <v/>
      </c>
      <c r="M513" s="13" t="str">
        <f t="shared" si="71"/>
        <v/>
      </c>
      <c r="Q513" t="str">
        <f t="shared" si="72"/>
        <v/>
      </c>
      <c r="R513" t="str">
        <f t="shared" si="73"/>
        <v/>
      </c>
      <c r="S513" t="str">
        <f t="shared" si="74"/>
        <v/>
      </c>
      <c r="T513" t="str">
        <f t="shared" si="75"/>
        <v/>
      </c>
      <c r="U513" t="str">
        <f t="shared" si="76"/>
        <v/>
      </c>
      <c r="V513" t="str">
        <f t="shared" si="77"/>
        <v/>
      </c>
      <c r="W513" t="str">
        <f t="shared" si="78"/>
        <v/>
      </c>
      <c r="X513">
        <f>IF($T513="",N($X512),IF(MATCH($T513,$T$6:$T$10005,0)=ROW()-5,N($X512)+1,N($X512)))</f>
        <v>0</v>
      </c>
      <c r="Z513" t="str">
        <f t="shared" si="79"/>
        <v/>
      </c>
      <c r="AA513">
        <f>IF($V513="",N($AA512),IF(MATCH($V513,$V$6:$V$10005,0)=ROW()-5,N($AA512)+1,N($AA512)))</f>
        <v>0</v>
      </c>
    </row>
    <row r="514" spans="1:27" ht="21" customHeight="1" x14ac:dyDescent="0.95">
      <c r="A514" s="56"/>
      <c r="B514" s="57"/>
      <c r="C514" s="57"/>
      <c r="D514" s="57"/>
      <c r="E514" s="56"/>
      <c r="F514" s="57"/>
      <c r="G514" s="57"/>
      <c r="H514" s="56"/>
      <c r="I514" s="56"/>
      <c r="J514" s="58"/>
      <c r="K514" s="58"/>
      <c r="L514" s="13" t="str">
        <f t="shared" si="70"/>
        <v/>
      </c>
      <c r="M514" s="13" t="str">
        <f t="shared" si="71"/>
        <v/>
      </c>
      <c r="Q514" t="str">
        <f t="shared" si="72"/>
        <v/>
      </c>
      <c r="R514" t="str">
        <f t="shared" si="73"/>
        <v/>
      </c>
      <c r="S514" t="str">
        <f t="shared" si="74"/>
        <v/>
      </c>
      <c r="T514" t="str">
        <f t="shared" si="75"/>
        <v/>
      </c>
      <c r="U514" t="str">
        <f t="shared" si="76"/>
        <v/>
      </c>
      <c r="V514" t="str">
        <f t="shared" si="77"/>
        <v/>
      </c>
      <c r="W514" t="str">
        <f t="shared" si="78"/>
        <v/>
      </c>
      <c r="X514">
        <f>IF($T514="",N($X513),IF(MATCH($T514,$T$6:$T$10005,0)=ROW()-5,N($X513)+1,N($X513)))</f>
        <v>0</v>
      </c>
      <c r="Z514" t="str">
        <f t="shared" si="79"/>
        <v/>
      </c>
      <c r="AA514">
        <f>IF($V514="",N($AA513),IF(MATCH($V514,$V$6:$V$10005,0)=ROW()-5,N($AA513)+1,N($AA513)))</f>
        <v>0</v>
      </c>
    </row>
    <row r="515" spans="1:27" ht="21" customHeight="1" x14ac:dyDescent="0.95">
      <c r="A515" s="56"/>
      <c r="B515" s="57"/>
      <c r="C515" s="57"/>
      <c r="D515" s="57"/>
      <c r="E515" s="56"/>
      <c r="F515" s="57"/>
      <c r="G515" s="57"/>
      <c r="H515" s="56"/>
      <c r="I515" s="56"/>
      <c r="J515" s="58"/>
      <c r="K515" s="58"/>
      <c r="L515" s="13" t="str">
        <f t="shared" si="70"/>
        <v/>
      </c>
      <c r="M515" s="13" t="str">
        <f t="shared" si="71"/>
        <v/>
      </c>
      <c r="Q515" t="str">
        <f t="shared" si="72"/>
        <v/>
      </c>
      <c r="R515" t="str">
        <f t="shared" si="73"/>
        <v/>
      </c>
      <c r="S515" t="str">
        <f t="shared" si="74"/>
        <v/>
      </c>
      <c r="T515" t="str">
        <f t="shared" si="75"/>
        <v/>
      </c>
      <c r="U515" t="str">
        <f t="shared" si="76"/>
        <v/>
      </c>
      <c r="V515" t="str">
        <f t="shared" si="77"/>
        <v/>
      </c>
      <c r="W515" t="str">
        <f t="shared" si="78"/>
        <v/>
      </c>
      <c r="X515">
        <f>IF($T515="",N($X514),IF(MATCH($T515,$T$6:$T$10005,0)=ROW()-5,N($X514)+1,N($X514)))</f>
        <v>0</v>
      </c>
      <c r="Z515" t="str">
        <f t="shared" si="79"/>
        <v/>
      </c>
      <c r="AA515">
        <f>IF($V515="",N($AA514),IF(MATCH($V515,$V$6:$V$10005,0)=ROW()-5,N($AA514)+1,N($AA514)))</f>
        <v>0</v>
      </c>
    </row>
    <row r="516" spans="1:27" ht="21" customHeight="1" x14ac:dyDescent="0.95">
      <c r="A516" s="56"/>
      <c r="B516" s="57"/>
      <c r="C516" s="57"/>
      <c r="D516" s="57"/>
      <c r="E516" s="56"/>
      <c r="F516" s="57"/>
      <c r="G516" s="57"/>
      <c r="H516" s="56"/>
      <c r="I516" s="56"/>
      <c r="J516" s="58"/>
      <c r="K516" s="58"/>
      <c r="L516" s="13" t="str">
        <f t="shared" si="70"/>
        <v/>
      </c>
      <c r="M516" s="13" t="str">
        <f t="shared" si="71"/>
        <v/>
      </c>
      <c r="Q516" t="str">
        <f t="shared" si="72"/>
        <v/>
      </c>
      <c r="R516" t="str">
        <f t="shared" si="73"/>
        <v/>
      </c>
      <c r="S516" t="str">
        <f t="shared" si="74"/>
        <v/>
      </c>
      <c r="T516" t="str">
        <f t="shared" si="75"/>
        <v/>
      </c>
      <c r="U516" t="str">
        <f t="shared" si="76"/>
        <v/>
      </c>
      <c r="V516" t="str">
        <f t="shared" si="77"/>
        <v/>
      </c>
      <c r="W516" t="str">
        <f t="shared" si="78"/>
        <v/>
      </c>
      <c r="X516">
        <f>IF($T516="",N($X515),IF(MATCH($T516,$T$6:$T$10005,0)=ROW()-5,N($X515)+1,N($X515)))</f>
        <v>0</v>
      </c>
      <c r="Z516" t="str">
        <f t="shared" si="79"/>
        <v/>
      </c>
      <c r="AA516">
        <f>IF($V516="",N($AA515),IF(MATCH($V516,$V$6:$V$10005,0)=ROW()-5,N($AA515)+1,N($AA515)))</f>
        <v>0</v>
      </c>
    </row>
    <row r="517" spans="1:27" ht="21" customHeight="1" x14ac:dyDescent="0.95">
      <c r="A517" s="56"/>
      <c r="B517" s="57"/>
      <c r="C517" s="57"/>
      <c r="D517" s="57"/>
      <c r="E517" s="56"/>
      <c r="F517" s="57"/>
      <c r="G517" s="57"/>
      <c r="H517" s="56"/>
      <c r="I517" s="56"/>
      <c r="J517" s="58"/>
      <c r="K517" s="58"/>
      <c r="L517" s="13" t="str">
        <f t="shared" si="70"/>
        <v/>
      </c>
      <c r="M517" s="13" t="str">
        <f t="shared" si="71"/>
        <v/>
      </c>
      <c r="Q517" t="str">
        <f t="shared" si="72"/>
        <v/>
      </c>
      <c r="R517" t="str">
        <f t="shared" si="73"/>
        <v/>
      </c>
      <c r="S517" t="str">
        <f t="shared" si="74"/>
        <v/>
      </c>
      <c r="T517" t="str">
        <f t="shared" si="75"/>
        <v/>
      </c>
      <c r="U517" t="str">
        <f t="shared" si="76"/>
        <v/>
      </c>
      <c r="V517" t="str">
        <f t="shared" si="77"/>
        <v/>
      </c>
      <c r="W517" t="str">
        <f t="shared" si="78"/>
        <v/>
      </c>
      <c r="X517">
        <f>IF($T517="",N($X516),IF(MATCH($T517,$T$6:$T$10005,0)=ROW()-5,N($X516)+1,N($X516)))</f>
        <v>0</v>
      </c>
      <c r="Z517" t="str">
        <f t="shared" si="79"/>
        <v/>
      </c>
      <c r="AA517">
        <f>IF($V517="",N($AA516),IF(MATCH($V517,$V$6:$V$10005,0)=ROW()-5,N($AA516)+1,N($AA516)))</f>
        <v>0</v>
      </c>
    </row>
    <row r="518" spans="1:27" ht="21" customHeight="1" x14ac:dyDescent="0.95">
      <c r="A518" s="56"/>
      <c r="B518" s="57"/>
      <c r="C518" s="57"/>
      <c r="D518" s="57"/>
      <c r="E518" s="56"/>
      <c r="F518" s="57"/>
      <c r="G518" s="57"/>
      <c r="H518" s="56"/>
      <c r="I518" s="56"/>
      <c r="J518" s="58"/>
      <c r="K518" s="58"/>
      <c r="L518" s="13" t="str">
        <f t="shared" ref="L518:L581" si="80">IF(OR($A518="",AND($J518="",$K518="")),"",ROUND(N($J518)-N($K518),2))</f>
        <v/>
      </c>
      <c r="M518" s="13" t="str">
        <f t="shared" ref="M518:M581" si="81">IF(OR($A518="",AND($J518="",$K518="")),"",MIN($J518,$K518))</f>
        <v/>
      </c>
      <c r="Q518" t="str">
        <f t="shared" ref="Q518:Q581" si="82">IF($A518="","",$D518&amp;"("&amp;SUBSTITUTE($E518," ","")&amp;")")</f>
        <v/>
      </c>
      <c r="R518" t="str">
        <f t="shared" ref="R518:R581" si="83">IF($A518="","",$B518&amp;" - "&amp;$C518)</f>
        <v/>
      </c>
      <c r="S518" t="str">
        <f t="shared" ref="S518:S581" si="84">IF($A518="","",$R518&amp;"|"&amp;$Q518)</f>
        <v/>
      </c>
      <c r="T518" t="str">
        <f t="shared" ref="T518:T581" si="85">IF($A518="","",$S518&amp;"|"&amp;$F518)</f>
        <v/>
      </c>
      <c r="U518" t="str">
        <f t="shared" ref="U518:U581" si="86">IF($A518="","",$R518&amp;"("&amp;$E518&amp;")")</f>
        <v/>
      </c>
      <c r="V518" t="str">
        <f t="shared" ref="V518:V581" si="87">IF($A518="","",$F518&amp;"|"&amp;$U518&amp;"|"&amp;$D518)</f>
        <v/>
      </c>
      <c r="W518" t="str">
        <f t="shared" ref="W518:W581" si="88">IF($T518="","",IF($X518&gt;N($X517),$X518,""))</f>
        <v/>
      </c>
      <c r="X518">
        <f>IF($T518="",N($X517),IF(MATCH($T518,$T$6:$T$10005,0)=ROW()-5,N($X517)+1,N($X517)))</f>
        <v>0</v>
      </c>
      <c r="Z518" t="str">
        <f t="shared" ref="Z518:Z581" si="89">IF($V518="","",IF($AA518&gt;N($AA517),$AA518,""))</f>
        <v/>
      </c>
      <c r="AA518">
        <f>IF($V518="",N($AA517),IF(MATCH($V518,$V$6:$V$10005,0)=ROW()-5,N($AA517)+1,N($AA517)))</f>
        <v>0</v>
      </c>
    </row>
    <row r="519" spans="1:27" ht="21" customHeight="1" x14ac:dyDescent="0.95">
      <c r="A519" s="56"/>
      <c r="B519" s="57"/>
      <c r="C519" s="57"/>
      <c r="D519" s="57"/>
      <c r="E519" s="56"/>
      <c r="F519" s="57"/>
      <c r="G519" s="57"/>
      <c r="H519" s="56"/>
      <c r="I519" s="56"/>
      <c r="J519" s="58"/>
      <c r="K519" s="58"/>
      <c r="L519" s="13" t="str">
        <f t="shared" si="80"/>
        <v/>
      </c>
      <c r="M519" s="13" t="str">
        <f t="shared" si="81"/>
        <v/>
      </c>
      <c r="Q519" t="str">
        <f t="shared" si="82"/>
        <v/>
      </c>
      <c r="R519" t="str">
        <f t="shared" si="83"/>
        <v/>
      </c>
      <c r="S519" t="str">
        <f t="shared" si="84"/>
        <v/>
      </c>
      <c r="T519" t="str">
        <f t="shared" si="85"/>
        <v/>
      </c>
      <c r="U519" t="str">
        <f t="shared" si="86"/>
        <v/>
      </c>
      <c r="V519" t="str">
        <f t="shared" si="87"/>
        <v/>
      </c>
      <c r="W519" t="str">
        <f t="shared" si="88"/>
        <v/>
      </c>
      <c r="X519">
        <f>IF($T519="",N($X518),IF(MATCH($T519,$T$6:$T$10005,0)=ROW()-5,N($X518)+1,N($X518)))</f>
        <v>0</v>
      </c>
      <c r="Z519" t="str">
        <f t="shared" si="89"/>
        <v/>
      </c>
      <c r="AA519">
        <f>IF($V519="",N($AA518),IF(MATCH($V519,$V$6:$V$10005,0)=ROW()-5,N($AA518)+1,N($AA518)))</f>
        <v>0</v>
      </c>
    </row>
    <row r="520" spans="1:27" ht="21" customHeight="1" x14ac:dyDescent="0.95">
      <c r="A520" s="56"/>
      <c r="B520" s="57"/>
      <c r="C520" s="57"/>
      <c r="D520" s="57"/>
      <c r="E520" s="56"/>
      <c r="F520" s="57"/>
      <c r="G520" s="57"/>
      <c r="H520" s="56"/>
      <c r="I520" s="56"/>
      <c r="J520" s="58"/>
      <c r="K520" s="58"/>
      <c r="L520" s="13" t="str">
        <f t="shared" si="80"/>
        <v/>
      </c>
      <c r="M520" s="13" t="str">
        <f t="shared" si="81"/>
        <v/>
      </c>
      <c r="Q520" t="str">
        <f t="shared" si="82"/>
        <v/>
      </c>
      <c r="R520" t="str">
        <f t="shared" si="83"/>
        <v/>
      </c>
      <c r="S520" t="str">
        <f t="shared" si="84"/>
        <v/>
      </c>
      <c r="T520" t="str">
        <f t="shared" si="85"/>
        <v/>
      </c>
      <c r="U520" t="str">
        <f t="shared" si="86"/>
        <v/>
      </c>
      <c r="V520" t="str">
        <f t="shared" si="87"/>
        <v/>
      </c>
      <c r="W520" t="str">
        <f t="shared" si="88"/>
        <v/>
      </c>
      <c r="X520">
        <f>IF($T520="",N($X519),IF(MATCH($T520,$T$6:$T$10005,0)=ROW()-5,N($X519)+1,N($X519)))</f>
        <v>0</v>
      </c>
      <c r="Z520" t="str">
        <f t="shared" si="89"/>
        <v/>
      </c>
      <c r="AA520">
        <f>IF($V520="",N($AA519),IF(MATCH($V520,$V$6:$V$10005,0)=ROW()-5,N($AA519)+1,N($AA519)))</f>
        <v>0</v>
      </c>
    </row>
    <row r="521" spans="1:27" ht="21" customHeight="1" x14ac:dyDescent="0.95">
      <c r="A521" s="56"/>
      <c r="B521" s="57"/>
      <c r="C521" s="57"/>
      <c r="D521" s="57"/>
      <c r="E521" s="56"/>
      <c r="F521" s="57"/>
      <c r="G521" s="57"/>
      <c r="H521" s="56"/>
      <c r="I521" s="56"/>
      <c r="J521" s="58"/>
      <c r="K521" s="58"/>
      <c r="L521" s="13" t="str">
        <f t="shared" si="80"/>
        <v/>
      </c>
      <c r="M521" s="13" t="str">
        <f t="shared" si="81"/>
        <v/>
      </c>
      <c r="Q521" t="str">
        <f t="shared" si="82"/>
        <v/>
      </c>
      <c r="R521" t="str">
        <f t="shared" si="83"/>
        <v/>
      </c>
      <c r="S521" t="str">
        <f t="shared" si="84"/>
        <v/>
      </c>
      <c r="T521" t="str">
        <f t="shared" si="85"/>
        <v/>
      </c>
      <c r="U521" t="str">
        <f t="shared" si="86"/>
        <v/>
      </c>
      <c r="V521" t="str">
        <f t="shared" si="87"/>
        <v/>
      </c>
      <c r="W521" t="str">
        <f t="shared" si="88"/>
        <v/>
      </c>
      <c r="X521">
        <f>IF($T521="",N($X520),IF(MATCH($T521,$T$6:$T$10005,0)=ROW()-5,N($X520)+1,N($X520)))</f>
        <v>0</v>
      </c>
      <c r="Z521" t="str">
        <f t="shared" si="89"/>
        <v/>
      </c>
      <c r="AA521">
        <f>IF($V521="",N($AA520),IF(MATCH($V521,$V$6:$V$10005,0)=ROW()-5,N($AA520)+1,N($AA520)))</f>
        <v>0</v>
      </c>
    </row>
    <row r="522" spans="1:27" ht="21" customHeight="1" x14ac:dyDescent="0.95">
      <c r="A522" s="56"/>
      <c r="B522" s="57"/>
      <c r="C522" s="57"/>
      <c r="D522" s="57"/>
      <c r="E522" s="56"/>
      <c r="F522" s="57"/>
      <c r="G522" s="57"/>
      <c r="H522" s="56"/>
      <c r="I522" s="56"/>
      <c r="J522" s="58"/>
      <c r="K522" s="58"/>
      <c r="L522" s="13" t="str">
        <f t="shared" si="80"/>
        <v/>
      </c>
      <c r="M522" s="13" t="str">
        <f t="shared" si="81"/>
        <v/>
      </c>
      <c r="Q522" t="str">
        <f t="shared" si="82"/>
        <v/>
      </c>
      <c r="R522" t="str">
        <f t="shared" si="83"/>
        <v/>
      </c>
      <c r="S522" t="str">
        <f t="shared" si="84"/>
        <v/>
      </c>
      <c r="T522" t="str">
        <f t="shared" si="85"/>
        <v/>
      </c>
      <c r="U522" t="str">
        <f t="shared" si="86"/>
        <v/>
      </c>
      <c r="V522" t="str">
        <f t="shared" si="87"/>
        <v/>
      </c>
      <c r="W522" t="str">
        <f t="shared" si="88"/>
        <v/>
      </c>
      <c r="X522">
        <f>IF($T522="",N($X521),IF(MATCH($T522,$T$6:$T$10005,0)=ROW()-5,N($X521)+1,N($X521)))</f>
        <v>0</v>
      </c>
      <c r="Z522" t="str">
        <f t="shared" si="89"/>
        <v/>
      </c>
      <c r="AA522">
        <f>IF($V522="",N($AA521),IF(MATCH($V522,$V$6:$V$10005,0)=ROW()-5,N($AA521)+1,N($AA521)))</f>
        <v>0</v>
      </c>
    </row>
    <row r="523" spans="1:27" ht="21" customHeight="1" x14ac:dyDescent="0.95">
      <c r="A523" s="56"/>
      <c r="B523" s="57"/>
      <c r="C523" s="57"/>
      <c r="D523" s="57"/>
      <c r="E523" s="56"/>
      <c r="F523" s="57"/>
      <c r="G523" s="57"/>
      <c r="H523" s="56"/>
      <c r="I523" s="56"/>
      <c r="J523" s="58"/>
      <c r="K523" s="58"/>
      <c r="L523" s="13" t="str">
        <f t="shared" si="80"/>
        <v/>
      </c>
      <c r="M523" s="13" t="str">
        <f t="shared" si="81"/>
        <v/>
      </c>
      <c r="Q523" t="str">
        <f t="shared" si="82"/>
        <v/>
      </c>
      <c r="R523" t="str">
        <f t="shared" si="83"/>
        <v/>
      </c>
      <c r="S523" t="str">
        <f t="shared" si="84"/>
        <v/>
      </c>
      <c r="T523" t="str">
        <f t="shared" si="85"/>
        <v/>
      </c>
      <c r="U523" t="str">
        <f t="shared" si="86"/>
        <v/>
      </c>
      <c r="V523" t="str">
        <f t="shared" si="87"/>
        <v/>
      </c>
      <c r="W523" t="str">
        <f t="shared" si="88"/>
        <v/>
      </c>
      <c r="X523">
        <f>IF($T523="",N($X522),IF(MATCH($T523,$T$6:$T$10005,0)=ROW()-5,N($X522)+1,N($X522)))</f>
        <v>0</v>
      </c>
      <c r="Z523" t="str">
        <f t="shared" si="89"/>
        <v/>
      </c>
      <c r="AA523">
        <f>IF($V523="",N($AA522),IF(MATCH($V523,$V$6:$V$10005,0)=ROW()-5,N($AA522)+1,N($AA522)))</f>
        <v>0</v>
      </c>
    </row>
    <row r="524" spans="1:27" ht="21" customHeight="1" x14ac:dyDescent="0.95">
      <c r="A524" s="56"/>
      <c r="B524" s="57"/>
      <c r="C524" s="57"/>
      <c r="D524" s="57"/>
      <c r="E524" s="56"/>
      <c r="F524" s="57"/>
      <c r="G524" s="57"/>
      <c r="H524" s="56"/>
      <c r="I524" s="56"/>
      <c r="J524" s="58"/>
      <c r="K524" s="58"/>
      <c r="L524" s="13" t="str">
        <f t="shared" si="80"/>
        <v/>
      </c>
      <c r="M524" s="13" t="str">
        <f t="shared" si="81"/>
        <v/>
      </c>
      <c r="Q524" t="str">
        <f t="shared" si="82"/>
        <v/>
      </c>
      <c r="R524" t="str">
        <f t="shared" si="83"/>
        <v/>
      </c>
      <c r="S524" t="str">
        <f t="shared" si="84"/>
        <v/>
      </c>
      <c r="T524" t="str">
        <f t="shared" si="85"/>
        <v/>
      </c>
      <c r="U524" t="str">
        <f t="shared" si="86"/>
        <v/>
      </c>
      <c r="V524" t="str">
        <f t="shared" si="87"/>
        <v/>
      </c>
      <c r="W524" t="str">
        <f t="shared" si="88"/>
        <v/>
      </c>
      <c r="X524">
        <f>IF($T524="",N($X523),IF(MATCH($T524,$T$6:$T$10005,0)=ROW()-5,N($X523)+1,N($X523)))</f>
        <v>0</v>
      </c>
      <c r="Z524" t="str">
        <f t="shared" si="89"/>
        <v/>
      </c>
      <c r="AA524">
        <f>IF($V524="",N($AA523),IF(MATCH($V524,$V$6:$V$10005,0)=ROW()-5,N($AA523)+1,N($AA523)))</f>
        <v>0</v>
      </c>
    </row>
    <row r="525" spans="1:27" ht="21" customHeight="1" x14ac:dyDescent="0.95">
      <c r="A525" s="56"/>
      <c r="B525" s="57"/>
      <c r="C525" s="57"/>
      <c r="D525" s="57"/>
      <c r="E525" s="56"/>
      <c r="F525" s="57"/>
      <c r="G525" s="57"/>
      <c r="H525" s="56"/>
      <c r="I525" s="56"/>
      <c r="J525" s="58"/>
      <c r="K525" s="58"/>
      <c r="L525" s="13" t="str">
        <f t="shared" si="80"/>
        <v/>
      </c>
      <c r="M525" s="13" t="str">
        <f t="shared" si="81"/>
        <v/>
      </c>
      <c r="Q525" t="str">
        <f t="shared" si="82"/>
        <v/>
      </c>
      <c r="R525" t="str">
        <f t="shared" si="83"/>
        <v/>
      </c>
      <c r="S525" t="str">
        <f t="shared" si="84"/>
        <v/>
      </c>
      <c r="T525" t="str">
        <f t="shared" si="85"/>
        <v/>
      </c>
      <c r="U525" t="str">
        <f t="shared" si="86"/>
        <v/>
      </c>
      <c r="V525" t="str">
        <f t="shared" si="87"/>
        <v/>
      </c>
      <c r="W525" t="str">
        <f t="shared" si="88"/>
        <v/>
      </c>
      <c r="X525">
        <f>IF($T525="",N($X524),IF(MATCH($T525,$T$6:$T$10005,0)=ROW()-5,N($X524)+1,N($X524)))</f>
        <v>0</v>
      </c>
      <c r="Z525" t="str">
        <f t="shared" si="89"/>
        <v/>
      </c>
      <c r="AA525">
        <f>IF($V525="",N($AA524),IF(MATCH($V525,$V$6:$V$10005,0)=ROW()-5,N($AA524)+1,N($AA524)))</f>
        <v>0</v>
      </c>
    </row>
    <row r="526" spans="1:27" ht="21" customHeight="1" x14ac:dyDescent="0.95">
      <c r="A526" s="56"/>
      <c r="B526" s="57"/>
      <c r="C526" s="57"/>
      <c r="D526" s="57"/>
      <c r="E526" s="56"/>
      <c r="F526" s="57"/>
      <c r="G526" s="57"/>
      <c r="H526" s="56"/>
      <c r="I526" s="56"/>
      <c r="J526" s="58"/>
      <c r="K526" s="58"/>
      <c r="L526" s="13" t="str">
        <f t="shared" si="80"/>
        <v/>
      </c>
      <c r="M526" s="13" t="str">
        <f t="shared" si="81"/>
        <v/>
      </c>
      <c r="Q526" t="str">
        <f t="shared" si="82"/>
        <v/>
      </c>
      <c r="R526" t="str">
        <f t="shared" si="83"/>
        <v/>
      </c>
      <c r="S526" t="str">
        <f t="shared" si="84"/>
        <v/>
      </c>
      <c r="T526" t="str">
        <f t="shared" si="85"/>
        <v/>
      </c>
      <c r="U526" t="str">
        <f t="shared" si="86"/>
        <v/>
      </c>
      <c r="V526" t="str">
        <f t="shared" si="87"/>
        <v/>
      </c>
      <c r="W526" t="str">
        <f t="shared" si="88"/>
        <v/>
      </c>
      <c r="X526">
        <f>IF($T526="",N($X525),IF(MATCH($T526,$T$6:$T$10005,0)=ROW()-5,N($X525)+1,N($X525)))</f>
        <v>0</v>
      </c>
      <c r="Z526" t="str">
        <f t="shared" si="89"/>
        <v/>
      </c>
      <c r="AA526">
        <f>IF($V526="",N($AA525),IF(MATCH($V526,$V$6:$V$10005,0)=ROW()-5,N($AA525)+1,N($AA525)))</f>
        <v>0</v>
      </c>
    </row>
    <row r="527" spans="1:27" ht="21" customHeight="1" x14ac:dyDescent="0.95">
      <c r="A527" s="56"/>
      <c r="B527" s="57"/>
      <c r="C527" s="57"/>
      <c r="D527" s="57"/>
      <c r="E527" s="56"/>
      <c r="F527" s="57"/>
      <c r="G527" s="57"/>
      <c r="H527" s="56"/>
      <c r="I527" s="56"/>
      <c r="J527" s="58"/>
      <c r="K527" s="58"/>
      <c r="L527" s="13" t="str">
        <f t="shared" si="80"/>
        <v/>
      </c>
      <c r="M527" s="13" t="str">
        <f t="shared" si="81"/>
        <v/>
      </c>
      <c r="Q527" t="str">
        <f t="shared" si="82"/>
        <v/>
      </c>
      <c r="R527" t="str">
        <f t="shared" si="83"/>
        <v/>
      </c>
      <c r="S527" t="str">
        <f t="shared" si="84"/>
        <v/>
      </c>
      <c r="T527" t="str">
        <f t="shared" si="85"/>
        <v/>
      </c>
      <c r="U527" t="str">
        <f t="shared" si="86"/>
        <v/>
      </c>
      <c r="V527" t="str">
        <f t="shared" si="87"/>
        <v/>
      </c>
      <c r="W527" t="str">
        <f t="shared" si="88"/>
        <v/>
      </c>
      <c r="X527">
        <f>IF($T527="",N($X526),IF(MATCH($T527,$T$6:$T$10005,0)=ROW()-5,N($X526)+1,N($X526)))</f>
        <v>0</v>
      </c>
      <c r="Z527" t="str">
        <f t="shared" si="89"/>
        <v/>
      </c>
      <c r="AA527">
        <f>IF($V527="",N($AA526),IF(MATCH($V527,$V$6:$V$10005,0)=ROW()-5,N($AA526)+1,N($AA526)))</f>
        <v>0</v>
      </c>
    </row>
    <row r="528" spans="1:27" ht="21" customHeight="1" x14ac:dyDescent="0.95">
      <c r="A528" s="56"/>
      <c r="B528" s="57"/>
      <c r="C528" s="57"/>
      <c r="D528" s="57"/>
      <c r="E528" s="56"/>
      <c r="F528" s="57"/>
      <c r="G528" s="57"/>
      <c r="H528" s="56"/>
      <c r="I528" s="56"/>
      <c r="J528" s="58"/>
      <c r="K528" s="58"/>
      <c r="L528" s="13" t="str">
        <f t="shared" si="80"/>
        <v/>
      </c>
      <c r="M528" s="13" t="str">
        <f t="shared" si="81"/>
        <v/>
      </c>
      <c r="Q528" t="str">
        <f t="shared" si="82"/>
        <v/>
      </c>
      <c r="R528" t="str">
        <f t="shared" si="83"/>
        <v/>
      </c>
      <c r="S528" t="str">
        <f t="shared" si="84"/>
        <v/>
      </c>
      <c r="T528" t="str">
        <f t="shared" si="85"/>
        <v/>
      </c>
      <c r="U528" t="str">
        <f t="shared" si="86"/>
        <v/>
      </c>
      <c r="V528" t="str">
        <f t="shared" si="87"/>
        <v/>
      </c>
      <c r="W528" t="str">
        <f t="shared" si="88"/>
        <v/>
      </c>
      <c r="X528">
        <f>IF($T528="",N($X527),IF(MATCH($T528,$T$6:$T$10005,0)=ROW()-5,N($X527)+1,N($X527)))</f>
        <v>0</v>
      </c>
      <c r="Z528" t="str">
        <f t="shared" si="89"/>
        <v/>
      </c>
      <c r="AA528">
        <f>IF($V528="",N($AA527),IF(MATCH($V528,$V$6:$V$10005,0)=ROW()-5,N($AA527)+1,N($AA527)))</f>
        <v>0</v>
      </c>
    </row>
    <row r="529" spans="1:27" ht="21" customHeight="1" x14ac:dyDescent="0.95">
      <c r="A529" s="56"/>
      <c r="B529" s="57"/>
      <c r="C529" s="57"/>
      <c r="D529" s="57"/>
      <c r="E529" s="56"/>
      <c r="F529" s="57"/>
      <c r="G529" s="57"/>
      <c r="H529" s="56"/>
      <c r="I529" s="56"/>
      <c r="J529" s="58"/>
      <c r="K529" s="58"/>
      <c r="L529" s="13" t="str">
        <f t="shared" si="80"/>
        <v/>
      </c>
      <c r="M529" s="13" t="str">
        <f t="shared" si="81"/>
        <v/>
      </c>
      <c r="Q529" t="str">
        <f t="shared" si="82"/>
        <v/>
      </c>
      <c r="R529" t="str">
        <f t="shared" si="83"/>
        <v/>
      </c>
      <c r="S529" t="str">
        <f t="shared" si="84"/>
        <v/>
      </c>
      <c r="T529" t="str">
        <f t="shared" si="85"/>
        <v/>
      </c>
      <c r="U529" t="str">
        <f t="shared" si="86"/>
        <v/>
      </c>
      <c r="V529" t="str">
        <f t="shared" si="87"/>
        <v/>
      </c>
      <c r="W529" t="str">
        <f t="shared" si="88"/>
        <v/>
      </c>
      <c r="X529">
        <f>IF($T529="",N($X528),IF(MATCH($T529,$T$6:$T$10005,0)=ROW()-5,N($X528)+1,N($X528)))</f>
        <v>0</v>
      </c>
      <c r="Z529" t="str">
        <f t="shared" si="89"/>
        <v/>
      </c>
      <c r="AA529">
        <f>IF($V529="",N($AA528),IF(MATCH($V529,$V$6:$V$10005,0)=ROW()-5,N($AA528)+1,N($AA528)))</f>
        <v>0</v>
      </c>
    </row>
    <row r="530" spans="1:27" ht="21" customHeight="1" x14ac:dyDescent="0.95">
      <c r="A530" s="56"/>
      <c r="B530" s="57"/>
      <c r="C530" s="57"/>
      <c r="D530" s="57"/>
      <c r="E530" s="56"/>
      <c r="F530" s="57"/>
      <c r="G530" s="57"/>
      <c r="H530" s="56"/>
      <c r="I530" s="56"/>
      <c r="J530" s="58"/>
      <c r="K530" s="58"/>
      <c r="L530" s="13" t="str">
        <f t="shared" si="80"/>
        <v/>
      </c>
      <c r="M530" s="13" t="str">
        <f t="shared" si="81"/>
        <v/>
      </c>
      <c r="Q530" t="str">
        <f t="shared" si="82"/>
        <v/>
      </c>
      <c r="R530" t="str">
        <f t="shared" si="83"/>
        <v/>
      </c>
      <c r="S530" t="str">
        <f t="shared" si="84"/>
        <v/>
      </c>
      <c r="T530" t="str">
        <f t="shared" si="85"/>
        <v/>
      </c>
      <c r="U530" t="str">
        <f t="shared" si="86"/>
        <v/>
      </c>
      <c r="V530" t="str">
        <f t="shared" si="87"/>
        <v/>
      </c>
      <c r="W530" t="str">
        <f t="shared" si="88"/>
        <v/>
      </c>
      <c r="X530">
        <f>IF($T530="",N($X529),IF(MATCH($T530,$T$6:$T$10005,0)=ROW()-5,N($X529)+1,N($X529)))</f>
        <v>0</v>
      </c>
      <c r="Z530" t="str">
        <f t="shared" si="89"/>
        <v/>
      </c>
      <c r="AA530">
        <f>IF($V530="",N($AA529),IF(MATCH($V530,$V$6:$V$10005,0)=ROW()-5,N($AA529)+1,N($AA529)))</f>
        <v>0</v>
      </c>
    </row>
    <row r="531" spans="1:27" ht="21" customHeight="1" x14ac:dyDescent="0.95">
      <c r="A531" s="56"/>
      <c r="B531" s="57"/>
      <c r="C531" s="57"/>
      <c r="D531" s="57"/>
      <c r="E531" s="56"/>
      <c r="F531" s="57"/>
      <c r="G531" s="57"/>
      <c r="H531" s="56"/>
      <c r="I531" s="56"/>
      <c r="J531" s="58"/>
      <c r="K531" s="58"/>
      <c r="L531" s="13" t="str">
        <f t="shared" si="80"/>
        <v/>
      </c>
      <c r="M531" s="13" t="str">
        <f t="shared" si="81"/>
        <v/>
      </c>
      <c r="Q531" t="str">
        <f t="shared" si="82"/>
        <v/>
      </c>
      <c r="R531" t="str">
        <f t="shared" si="83"/>
        <v/>
      </c>
      <c r="S531" t="str">
        <f t="shared" si="84"/>
        <v/>
      </c>
      <c r="T531" t="str">
        <f t="shared" si="85"/>
        <v/>
      </c>
      <c r="U531" t="str">
        <f t="shared" si="86"/>
        <v/>
      </c>
      <c r="V531" t="str">
        <f t="shared" si="87"/>
        <v/>
      </c>
      <c r="W531" t="str">
        <f t="shared" si="88"/>
        <v/>
      </c>
      <c r="X531">
        <f>IF($T531="",N($X530),IF(MATCH($T531,$T$6:$T$10005,0)=ROW()-5,N($X530)+1,N($X530)))</f>
        <v>0</v>
      </c>
      <c r="Z531" t="str">
        <f t="shared" si="89"/>
        <v/>
      </c>
      <c r="AA531">
        <f>IF($V531="",N($AA530),IF(MATCH($V531,$V$6:$V$10005,0)=ROW()-5,N($AA530)+1,N($AA530)))</f>
        <v>0</v>
      </c>
    </row>
    <row r="532" spans="1:27" ht="21" customHeight="1" x14ac:dyDescent="0.95">
      <c r="A532" s="56"/>
      <c r="B532" s="57"/>
      <c r="C532" s="57"/>
      <c r="D532" s="57"/>
      <c r="E532" s="56"/>
      <c r="F532" s="57"/>
      <c r="G532" s="57"/>
      <c r="H532" s="56"/>
      <c r="I532" s="56"/>
      <c r="J532" s="58"/>
      <c r="K532" s="58"/>
      <c r="L532" s="13" t="str">
        <f t="shared" si="80"/>
        <v/>
      </c>
      <c r="M532" s="13" t="str">
        <f t="shared" si="81"/>
        <v/>
      </c>
      <c r="Q532" t="str">
        <f t="shared" si="82"/>
        <v/>
      </c>
      <c r="R532" t="str">
        <f t="shared" si="83"/>
        <v/>
      </c>
      <c r="S532" t="str">
        <f t="shared" si="84"/>
        <v/>
      </c>
      <c r="T532" t="str">
        <f t="shared" si="85"/>
        <v/>
      </c>
      <c r="U532" t="str">
        <f t="shared" si="86"/>
        <v/>
      </c>
      <c r="V532" t="str">
        <f t="shared" si="87"/>
        <v/>
      </c>
      <c r="W532" t="str">
        <f t="shared" si="88"/>
        <v/>
      </c>
      <c r="X532">
        <f>IF($T532="",N($X531),IF(MATCH($T532,$T$6:$T$10005,0)=ROW()-5,N($X531)+1,N($X531)))</f>
        <v>0</v>
      </c>
      <c r="Z532" t="str">
        <f t="shared" si="89"/>
        <v/>
      </c>
      <c r="AA532">
        <f>IF($V532="",N($AA531),IF(MATCH($V532,$V$6:$V$10005,0)=ROW()-5,N($AA531)+1,N($AA531)))</f>
        <v>0</v>
      </c>
    </row>
    <row r="533" spans="1:27" ht="21" customHeight="1" x14ac:dyDescent="0.95">
      <c r="A533" s="56"/>
      <c r="B533" s="57"/>
      <c r="C533" s="57"/>
      <c r="D533" s="57"/>
      <c r="E533" s="56"/>
      <c r="F533" s="57"/>
      <c r="G533" s="57"/>
      <c r="H533" s="56"/>
      <c r="I533" s="56"/>
      <c r="J533" s="58"/>
      <c r="K533" s="58"/>
      <c r="L533" s="13" t="str">
        <f t="shared" si="80"/>
        <v/>
      </c>
      <c r="M533" s="13" t="str">
        <f t="shared" si="81"/>
        <v/>
      </c>
      <c r="Q533" t="str">
        <f t="shared" si="82"/>
        <v/>
      </c>
      <c r="R533" t="str">
        <f t="shared" si="83"/>
        <v/>
      </c>
      <c r="S533" t="str">
        <f t="shared" si="84"/>
        <v/>
      </c>
      <c r="T533" t="str">
        <f t="shared" si="85"/>
        <v/>
      </c>
      <c r="U533" t="str">
        <f t="shared" si="86"/>
        <v/>
      </c>
      <c r="V533" t="str">
        <f t="shared" si="87"/>
        <v/>
      </c>
      <c r="W533" t="str">
        <f t="shared" si="88"/>
        <v/>
      </c>
      <c r="X533">
        <f>IF($T533="",N($X532),IF(MATCH($T533,$T$6:$T$10005,0)=ROW()-5,N($X532)+1,N($X532)))</f>
        <v>0</v>
      </c>
      <c r="Z533" t="str">
        <f t="shared" si="89"/>
        <v/>
      </c>
      <c r="AA533">
        <f>IF($V533="",N($AA532),IF(MATCH($V533,$V$6:$V$10005,0)=ROW()-5,N($AA532)+1,N($AA532)))</f>
        <v>0</v>
      </c>
    </row>
    <row r="534" spans="1:27" ht="21" customHeight="1" x14ac:dyDescent="0.95">
      <c r="A534" s="56"/>
      <c r="B534" s="57"/>
      <c r="C534" s="57"/>
      <c r="D534" s="57"/>
      <c r="E534" s="56"/>
      <c r="F534" s="57"/>
      <c r="G534" s="57"/>
      <c r="H534" s="56"/>
      <c r="I534" s="56"/>
      <c r="J534" s="58"/>
      <c r="K534" s="58"/>
      <c r="L534" s="13" t="str">
        <f t="shared" si="80"/>
        <v/>
      </c>
      <c r="M534" s="13" t="str">
        <f t="shared" si="81"/>
        <v/>
      </c>
      <c r="Q534" t="str">
        <f t="shared" si="82"/>
        <v/>
      </c>
      <c r="R534" t="str">
        <f t="shared" si="83"/>
        <v/>
      </c>
      <c r="S534" t="str">
        <f t="shared" si="84"/>
        <v/>
      </c>
      <c r="T534" t="str">
        <f t="shared" si="85"/>
        <v/>
      </c>
      <c r="U534" t="str">
        <f t="shared" si="86"/>
        <v/>
      </c>
      <c r="V534" t="str">
        <f t="shared" si="87"/>
        <v/>
      </c>
      <c r="W534" t="str">
        <f t="shared" si="88"/>
        <v/>
      </c>
      <c r="X534">
        <f>IF($T534="",N($X533),IF(MATCH($T534,$T$6:$T$10005,0)=ROW()-5,N($X533)+1,N($X533)))</f>
        <v>0</v>
      </c>
      <c r="Z534" t="str">
        <f t="shared" si="89"/>
        <v/>
      </c>
      <c r="AA534">
        <f>IF($V534="",N($AA533),IF(MATCH($V534,$V$6:$V$10005,0)=ROW()-5,N($AA533)+1,N($AA533)))</f>
        <v>0</v>
      </c>
    </row>
    <row r="535" spans="1:27" ht="21" customHeight="1" x14ac:dyDescent="0.95">
      <c r="A535" s="56"/>
      <c r="B535" s="57"/>
      <c r="C535" s="57"/>
      <c r="D535" s="57"/>
      <c r="E535" s="56"/>
      <c r="F535" s="57"/>
      <c r="G535" s="57"/>
      <c r="H535" s="56"/>
      <c r="I535" s="56"/>
      <c r="J535" s="58"/>
      <c r="K535" s="58"/>
      <c r="L535" s="13" t="str">
        <f t="shared" si="80"/>
        <v/>
      </c>
      <c r="M535" s="13" t="str">
        <f t="shared" si="81"/>
        <v/>
      </c>
      <c r="Q535" t="str">
        <f t="shared" si="82"/>
        <v/>
      </c>
      <c r="R535" t="str">
        <f t="shared" si="83"/>
        <v/>
      </c>
      <c r="S535" t="str">
        <f t="shared" si="84"/>
        <v/>
      </c>
      <c r="T535" t="str">
        <f t="shared" si="85"/>
        <v/>
      </c>
      <c r="U535" t="str">
        <f t="shared" si="86"/>
        <v/>
      </c>
      <c r="V535" t="str">
        <f t="shared" si="87"/>
        <v/>
      </c>
      <c r="W535" t="str">
        <f t="shared" si="88"/>
        <v/>
      </c>
      <c r="X535">
        <f>IF($T535="",N($X534),IF(MATCH($T535,$T$6:$T$10005,0)=ROW()-5,N($X534)+1,N($X534)))</f>
        <v>0</v>
      </c>
      <c r="Z535" t="str">
        <f t="shared" si="89"/>
        <v/>
      </c>
      <c r="AA535">
        <f>IF($V535="",N($AA534),IF(MATCH($V535,$V$6:$V$10005,0)=ROW()-5,N($AA534)+1,N($AA534)))</f>
        <v>0</v>
      </c>
    </row>
    <row r="536" spans="1:27" ht="21" customHeight="1" x14ac:dyDescent="0.95">
      <c r="A536" s="56"/>
      <c r="B536" s="57"/>
      <c r="C536" s="57"/>
      <c r="D536" s="57"/>
      <c r="E536" s="56"/>
      <c r="F536" s="57"/>
      <c r="G536" s="57"/>
      <c r="H536" s="56"/>
      <c r="I536" s="56"/>
      <c r="J536" s="58"/>
      <c r="K536" s="58"/>
      <c r="L536" s="13" t="str">
        <f t="shared" si="80"/>
        <v/>
      </c>
      <c r="M536" s="13" t="str">
        <f t="shared" si="81"/>
        <v/>
      </c>
      <c r="Q536" t="str">
        <f t="shared" si="82"/>
        <v/>
      </c>
      <c r="R536" t="str">
        <f t="shared" si="83"/>
        <v/>
      </c>
      <c r="S536" t="str">
        <f t="shared" si="84"/>
        <v/>
      </c>
      <c r="T536" t="str">
        <f t="shared" si="85"/>
        <v/>
      </c>
      <c r="U536" t="str">
        <f t="shared" si="86"/>
        <v/>
      </c>
      <c r="V536" t="str">
        <f t="shared" si="87"/>
        <v/>
      </c>
      <c r="W536" t="str">
        <f t="shared" si="88"/>
        <v/>
      </c>
      <c r="X536">
        <f>IF($T536="",N($X535),IF(MATCH($T536,$T$6:$T$10005,0)=ROW()-5,N($X535)+1,N($X535)))</f>
        <v>0</v>
      </c>
      <c r="Z536" t="str">
        <f t="shared" si="89"/>
        <v/>
      </c>
      <c r="AA536">
        <f>IF($V536="",N($AA535),IF(MATCH($V536,$V$6:$V$10005,0)=ROW()-5,N($AA535)+1,N($AA535)))</f>
        <v>0</v>
      </c>
    </row>
    <row r="537" spans="1:27" ht="21" customHeight="1" x14ac:dyDescent="0.95">
      <c r="A537" s="56"/>
      <c r="B537" s="57"/>
      <c r="C537" s="57"/>
      <c r="D537" s="57"/>
      <c r="E537" s="56"/>
      <c r="F537" s="57"/>
      <c r="G537" s="57"/>
      <c r="H537" s="56"/>
      <c r="I537" s="56"/>
      <c r="J537" s="58"/>
      <c r="K537" s="58"/>
      <c r="L537" s="13" t="str">
        <f t="shared" si="80"/>
        <v/>
      </c>
      <c r="M537" s="13" t="str">
        <f t="shared" si="81"/>
        <v/>
      </c>
      <c r="Q537" t="str">
        <f t="shared" si="82"/>
        <v/>
      </c>
      <c r="R537" t="str">
        <f t="shared" si="83"/>
        <v/>
      </c>
      <c r="S537" t="str">
        <f t="shared" si="84"/>
        <v/>
      </c>
      <c r="T537" t="str">
        <f t="shared" si="85"/>
        <v/>
      </c>
      <c r="U537" t="str">
        <f t="shared" si="86"/>
        <v/>
      </c>
      <c r="V537" t="str">
        <f t="shared" si="87"/>
        <v/>
      </c>
      <c r="W537" t="str">
        <f t="shared" si="88"/>
        <v/>
      </c>
      <c r="X537">
        <f>IF($T537="",N($X536),IF(MATCH($T537,$T$6:$T$10005,0)=ROW()-5,N($X536)+1,N($X536)))</f>
        <v>0</v>
      </c>
      <c r="Z537" t="str">
        <f t="shared" si="89"/>
        <v/>
      </c>
      <c r="AA537">
        <f>IF($V537="",N($AA536),IF(MATCH($V537,$V$6:$V$10005,0)=ROW()-5,N($AA536)+1,N($AA536)))</f>
        <v>0</v>
      </c>
    </row>
    <row r="538" spans="1:27" ht="21" customHeight="1" x14ac:dyDescent="0.95">
      <c r="A538" s="56"/>
      <c r="B538" s="57"/>
      <c r="C538" s="57"/>
      <c r="D538" s="57"/>
      <c r="E538" s="56"/>
      <c r="F538" s="57"/>
      <c r="G538" s="57"/>
      <c r="H538" s="56"/>
      <c r="I538" s="56"/>
      <c r="J538" s="58"/>
      <c r="K538" s="58"/>
      <c r="L538" s="13" t="str">
        <f t="shared" si="80"/>
        <v/>
      </c>
      <c r="M538" s="13" t="str">
        <f t="shared" si="81"/>
        <v/>
      </c>
      <c r="Q538" t="str">
        <f t="shared" si="82"/>
        <v/>
      </c>
      <c r="R538" t="str">
        <f t="shared" si="83"/>
        <v/>
      </c>
      <c r="S538" t="str">
        <f t="shared" si="84"/>
        <v/>
      </c>
      <c r="T538" t="str">
        <f t="shared" si="85"/>
        <v/>
      </c>
      <c r="U538" t="str">
        <f t="shared" si="86"/>
        <v/>
      </c>
      <c r="V538" t="str">
        <f t="shared" si="87"/>
        <v/>
      </c>
      <c r="W538" t="str">
        <f t="shared" si="88"/>
        <v/>
      </c>
      <c r="X538">
        <f>IF($T538="",N($X537),IF(MATCH($T538,$T$6:$T$10005,0)=ROW()-5,N($X537)+1,N($X537)))</f>
        <v>0</v>
      </c>
      <c r="Z538" t="str">
        <f t="shared" si="89"/>
        <v/>
      </c>
      <c r="AA538">
        <f>IF($V538="",N($AA537),IF(MATCH($V538,$V$6:$V$10005,0)=ROW()-5,N($AA537)+1,N($AA537)))</f>
        <v>0</v>
      </c>
    </row>
    <row r="539" spans="1:27" ht="21" customHeight="1" x14ac:dyDescent="0.95">
      <c r="A539" s="56"/>
      <c r="B539" s="57"/>
      <c r="C539" s="57"/>
      <c r="D539" s="57"/>
      <c r="E539" s="56"/>
      <c r="F539" s="57"/>
      <c r="G539" s="57"/>
      <c r="H539" s="56"/>
      <c r="I539" s="56"/>
      <c r="J539" s="58"/>
      <c r="K539" s="58"/>
      <c r="L539" s="13" t="str">
        <f t="shared" si="80"/>
        <v/>
      </c>
      <c r="M539" s="13" t="str">
        <f t="shared" si="81"/>
        <v/>
      </c>
      <c r="Q539" t="str">
        <f t="shared" si="82"/>
        <v/>
      </c>
      <c r="R539" t="str">
        <f t="shared" si="83"/>
        <v/>
      </c>
      <c r="S539" t="str">
        <f t="shared" si="84"/>
        <v/>
      </c>
      <c r="T539" t="str">
        <f t="shared" si="85"/>
        <v/>
      </c>
      <c r="U539" t="str">
        <f t="shared" si="86"/>
        <v/>
      </c>
      <c r="V539" t="str">
        <f t="shared" si="87"/>
        <v/>
      </c>
      <c r="W539" t="str">
        <f t="shared" si="88"/>
        <v/>
      </c>
      <c r="X539">
        <f>IF($T539="",N($X538),IF(MATCH($T539,$T$6:$T$10005,0)=ROW()-5,N($X538)+1,N($X538)))</f>
        <v>0</v>
      </c>
      <c r="Z539" t="str">
        <f t="shared" si="89"/>
        <v/>
      </c>
      <c r="AA539">
        <f>IF($V539="",N($AA538),IF(MATCH($V539,$V$6:$V$10005,0)=ROW()-5,N($AA538)+1,N($AA538)))</f>
        <v>0</v>
      </c>
    </row>
    <row r="540" spans="1:27" ht="21" customHeight="1" x14ac:dyDescent="0.95">
      <c r="A540" s="56"/>
      <c r="B540" s="57"/>
      <c r="C540" s="57"/>
      <c r="D540" s="57"/>
      <c r="E540" s="56"/>
      <c r="F540" s="57"/>
      <c r="G540" s="57"/>
      <c r="H540" s="56"/>
      <c r="I540" s="56"/>
      <c r="J540" s="58"/>
      <c r="K540" s="58"/>
      <c r="L540" s="13" t="str">
        <f t="shared" si="80"/>
        <v/>
      </c>
      <c r="M540" s="13" t="str">
        <f t="shared" si="81"/>
        <v/>
      </c>
      <c r="Q540" t="str">
        <f t="shared" si="82"/>
        <v/>
      </c>
      <c r="R540" t="str">
        <f t="shared" si="83"/>
        <v/>
      </c>
      <c r="S540" t="str">
        <f t="shared" si="84"/>
        <v/>
      </c>
      <c r="T540" t="str">
        <f t="shared" si="85"/>
        <v/>
      </c>
      <c r="U540" t="str">
        <f t="shared" si="86"/>
        <v/>
      </c>
      <c r="V540" t="str">
        <f t="shared" si="87"/>
        <v/>
      </c>
      <c r="W540" t="str">
        <f t="shared" si="88"/>
        <v/>
      </c>
      <c r="X540">
        <f>IF($T540="",N($X539),IF(MATCH($T540,$T$6:$T$10005,0)=ROW()-5,N($X539)+1,N($X539)))</f>
        <v>0</v>
      </c>
      <c r="Z540" t="str">
        <f t="shared" si="89"/>
        <v/>
      </c>
      <c r="AA540">
        <f>IF($V540="",N($AA539),IF(MATCH($V540,$V$6:$V$10005,0)=ROW()-5,N($AA539)+1,N($AA539)))</f>
        <v>0</v>
      </c>
    </row>
    <row r="541" spans="1:27" ht="21" customHeight="1" x14ac:dyDescent="0.95">
      <c r="A541" s="56"/>
      <c r="B541" s="57"/>
      <c r="C541" s="57"/>
      <c r="D541" s="57"/>
      <c r="E541" s="56"/>
      <c r="F541" s="57"/>
      <c r="G541" s="57"/>
      <c r="H541" s="56"/>
      <c r="I541" s="56"/>
      <c r="J541" s="58"/>
      <c r="K541" s="58"/>
      <c r="L541" s="13" t="str">
        <f t="shared" si="80"/>
        <v/>
      </c>
      <c r="M541" s="13" t="str">
        <f t="shared" si="81"/>
        <v/>
      </c>
      <c r="Q541" t="str">
        <f t="shared" si="82"/>
        <v/>
      </c>
      <c r="R541" t="str">
        <f t="shared" si="83"/>
        <v/>
      </c>
      <c r="S541" t="str">
        <f t="shared" si="84"/>
        <v/>
      </c>
      <c r="T541" t="str">
        <f t="shared" si="85"/>
        <v/>
      </c>
      <c r="U541" t="str">
        <f t="shared" si="86"/>
        <v/>
      </c>
      <c r="V541" t="str">
        <f t="shared" si="87"/>
        <v/>
      </c>
      <c r="W541" t="str">
        <f t="shared" si="88"/>
        <v/>
      </c>
      <c r="X541">
        <f>IF($T541="",N($X540),IF(MATCH($T541,$T$6:$T$10005,0)=ROW()-5,N($X540)+1,N($X540)))</f>
        <v>0</v>
      </c>
      <c r="Z541" t="str">
        <f t="shared" si="89"/>
        <v/>
      </c>
      <c r="AA541">
        <f>IF($V541="",N($AA540),IF(MATCH($V541,$V$6:$V$10005,0)=ROW()-5,N($AA540)+1,N($AA540)))</f>
        <v>0</v>
      </c>
    </row>
    <row r="542" spans="1:27" ht="21" customHeight="1" x14ac:dyDescent="0.95">
      <c r="A542" s="56"/>
      <c r="B542" s="57"/>
      <c r="C542" s="57"/>
      <c r="D542" s="57"/>
      <c r="E542" s="56"/>
      <c r="F542" s="57"/>
      <c r="G542" s="57"/>
      <c r="H542" s="56"/>
      <c r="I542" s="56"/>
      <c r="J542" s="58"/>
      <c r="K542" s="58"/>
      <c r="L542" s="13" t="str">
        <f t="shared" si="80"/>
        <v/>
      </c>
      <c r="M542" s="13" t="str">
        <f t="shared" si="81"/>
        <v/>
      </c>
      <c r="Q542" t="str">
        <f t="shared" si="82"/>
        <v/>
      </c>
      <c r="R542" t="str">
        <f t="shared" si="83"/>
        <v/>
      </c>
      <c r="S542" t="str">
        <f t="shared" si="84"/>
        <v/>
      </c>
      <c r="T542" t="str">
        <f t="shared" si="85"/>
        <v/>
      </c>
      <c r="U542" t="str">
        <f t="shared" si="86"/>
        <v/>
      </c>
      <c r="V542" t="str">
        <f t="shared" si="87"/>
        <v/>
      </c>
      <c r="W542" t="str">
        <f t="shared" si="88"/>
        <v/>
      </c>
      <c r="X542">
        <f>IF($T542="",N($X541),IF(MATCH($T542,$T$6:$T$10005,0)=ROW()-5,N($X541)+1,N($X541)))</f>
        <v>0</v>
      </c>
      <c r="Z542" t="str">
        <f t="shared" si="89"/>
        <v/>
      </c>
      <c r="AA542">
        <f>IF($V542="",N($AA541),IF(MATCH($V542,$V$6:$V$10005,0)=ROW()-5,N($AA541)+1,N($AA541)))</f>
        <v>0</v>
      </c>
    </row>
    <row r="543" spans="1:27" ht="21" customHeight="1" x14ac:dyDescent="0.95">
      <c r="A543" s="56"/>
      <c r="B543" s="57"/>
      <c r="C543" s="57"/>
      <c r="D543" s="57"/>
      <c r="E543" s="56"/>
      <c r="F543" s="57"/>
      <c r="G543" s="57"/>
      <c r="H543" s="56"/>
      <c r="I543" s="56"/>
      <c r="J543" s="58"/>
      <c r="K543" s="58"/>
      <c r="L543" s="13" t="str">
        <f t="shared" si="80"/>
        <v/>
      </c>
      <c r="M543" s="13" t="str">
        <f t="shared" si="81"/>
        <v/>
      </c>
      <c r="Q543" t="str">
        <f t="shared" si="82"/>
        <v/>
      </c>
      <c r="R543" t="str">
        <f t="shared" si="83"/>
        <v/>
      </c>
      <c r="S543" t="str">
        <f t="shared" si="84"/>
        <v/>
      </c>
      <c r="T543" t="str">
        <f t="shared" si="85"/>
        <v/>
      </c>
      <c r="U543" t="str">
        <f t="shared" si="86"/>
        <v/>
      </c>
      <c r="V543" t="str">
        <f t="shared" si="87"/>
        <v/>
      </c>
      <c r="W543" t="str">
        <f t="shared" si="88"/>
        <v/>
      </c>
      <c r="X543">
        <f>IF($T543="",N($X542),IF(MATCH($T543,$T$6:$T$10005,0)=ROW()-5,N($X542)+1,N($X542)))</f>
        <v>0</v>
      </c>
      <c r="Z543" t="str">
        <f t="shared" si="89"/>
        <v/>
      </c>
      <c r="AA543">
        <f>IF($V543="",N($AA542),IF(MATCH($V543,$V$6:$V$10005,0)=ROW()-5,N($AA542)+1,N($AA542)))</f>
        <v>0</v>
      </c>
    </row>
    <row r="544" spans="1:27" ht="21" customHeight="1" x14ac:dyDescent="0.95">
      <c r="A544" s="56"/>
      <c r="B544" s="57"/>
      <c r="C544" s="57"/>
      <c r="D544" s="57"/>
      <c r="E544" s="56"/>
      <c r="F544" s="57"/>
      <c r="G544" s="57"/>
      <c r="H544" s="56"/>
      <c r="I544" s="56"/>
      <c r="J544" s="58"/>
      <c r="K544" s="58"/>
      <c r="L544" s="13" t="str">
        <f t="shared" si="80"/>
        <v/>
      </c>
      <c r="M544" s="13" t="str">
        <f t="shared" si="81"/>
        <v/>
      </c>
      <c r="Q544" t="str">
        <f t="shared" si="82"/>
        <v/>
      </c>
      <c r="R544" t="str">
        <f t="shared" si="83"/>
        <v/>
      </c>
      <c r="S544" t="str">
        <f t="shared" si="84"/>
        <v/>
      </c>
      <c r="T544" t="str">
        <f t="shared" si="85"/>
        <v/>
      </c>
      <c r="U544" t="str">
        <f t="shared" si="86"/>
        <v/>
      </c>
      <c r="V544" t="str">
        <f t="shared" si="87"/>
        <v/>
      </c>
      <c r="W544" t="str">
        <f t="shared" si="88"/>
        <v/>
      </c>
      <c r="X544">
        <f>IF($T544="",N($X543),IF(MATCH($T544,$T$6:$T$10005,0)=ROW()-5,N($X543)+1,N($X543)))</f>
        <v>0</v>
      </c>
      <c r="Z544" t="str">
        <f t="shared" si="89"/>
        <v/>
      </c>
      <c r="AA544">
        <f>IF($V544="",N($AA543),IF(MATCH($V544,$V$6:$V$10005,0)=ROW()-5,N($AA543)+1,N($AA543)))</f>
        <v>0</v>
      </c>
    </row>
    <row r="545" spans="1:27" ht="21" customHeight="1" x14ac:dyDescent="0.95">
      <c r="A545" s="56"/>
      <c r="B545" s="57"/>
      <c r="C545" s="57"/>
      <c r="D545" s="57"/>
      <c r="E545" s="56"/>
      <c r="F545" s="57"/>
      <c r="G545" s="57"/>
      <c r="H545" s="56"/>
      <c r="I545" s="56"/>
      <c r="J545" s="58"/>
      <c r="K545" s="58"/>
      <c r="L545" s="13" t="str">
        <f t="shared" si="80"/>
        <v/>
      </c>
      <c r="M545" s="13" t="str">
        <f t="shared" si="81"/>
        <v/>
      </c>
      <c r="Q545" t="str">
        <f t="shared" si="82"/>
        <v/>
      </c>
      <c r="R545" t="str">
        <f t="shared" si="83"/>
        <v/>
      </c>
      <c r="S545" t="str">
        <f t="shared" si="84"/>
        <v/>
      </c>
      <c r="T545" t="str">
        <f t="shared" si="85"/>
        <v/>
      </c>
      <c r="U545" t="str">
        <f t="shared" si="86"/>
        <v/>
      </c>
      <c r="V545" t="str">
        <f t="shared" si="87"/>
        <v/>
      </c>
      <c r="W545" t="str">
        <f t="shared" si="88"/>
        <v/>
      </c>
      <c r="X545">
        <f>IF($T545="",N($X544),IF(MATCH($T545,$T$6:$T$10005,0)=ROW()-5,N($X544)+1,N($X544)))</f>
        <v>0</v>
      </c>
      <c r="Z545" t="str">
        <f t="shared" si="89"/>
        <v/>
      </c>
      <c r="AA545">
        <f>IF($V545="",N($AA544),IF(MATCH($V545,$V$6:$V$10005,0)=ROW()-5,N($AA544)+1,N($AA544)))</f>
        <v>0</v>
      </c>
    </row>
    <row r="546" spans="1:27" ht="21" customHeight="1" x14ac:dyDescent="0.95">
      <c r="A546" s="56"/>
      <c r="B546" s="57"/>
      <c r="C546" s="57"/>
      <c r="D546" s="57"/>
      <c r="E546" s="56"/>
      <c r="F546" s="57"/>
      <c r="G546" s="57"/>
      <c r="H546" s="56"/>
      <c r="I546" s="56"/>
      <c r="J546" s="58"/>
      <c r="K546" s="58"/>
      <c r="L546" s="13" t="str">
        <f t="shared" si="80"/>
        <v/>
      </c>
      <c r="M546" s="13" t="str">
        <f t="shared" si="81"/>
        <v/>
      </c>
      <c r="Q546" t="str">
        <f t="shared" si="82"/>
        <v/>
      </c>
      <c r="R546" t="str">
        <f t="shared" si="83"/>
        <v/>
      </c>
      <c r="S546" t="str">
        <f t="shared" si="84"/>
        <v/>
      </c>
      <c r="T546" t="str">
        <f t="shared" si="85"/>
        <v/>
      </c>
      <c r="U546" t="str">
        <f t="shared" si="86"/>
        <v/>
      </c>
      <c r="V546" t="str">
        <f t="shared" si="87"/>
        <v/>
      </c>
      <c r="W546" t="str">
        <f t="shared" si="88"/>
        <v/>
      </c>
      <c r="X546">
        <f>IF($T546="",N($X545),IF(MATCH($T546,$T$6:$T$10005,0)=ROW()-5,N($X545)+1,N($X545)))</f>
        <v>0</v>
      </c>
      <c r="Z546" t="str">
        <f t="shared" si="89"/>
        <v/>
      </c>
      <c r="AA546">
        <f>IF($V546="",N($AA545),IF(MATCH($V546,$V$6:$V$10005,0)=ROW()-5,N($AA545)+1,N($AA545)))</f>
        <v>0</v>
      </c>
    </row>
    <row r="547" spans="1:27" ht="21" customHeight="1" x14ac:dyDescent="0.95">
      <c r="A547" s="56"/>
      <c r="B547" s="57"/>
      <c r="C547" s="57"/>
      <c r="D547" s="57"/>
      <c r="E547" s="56"/>
      <c r="F547" s="57"/>
      <c r="G547" s="57"/>
      <c r="H547" s="56"/>
      <c r="I547" s="56"/>
      <c r="J547" s="58"/>
      <c r="K547" s="58"/>
      <c r="L547" s="13" t="str">
        <f t="shared" si="80"/>
        <v/>
      </c>
      <c r="M547" s="13" t="str">
        <f t="shared" si="81"/>
        <v/>
      </c>
      <c r="Q547" t="str">
        <f t="shared" si="82"/>
        <v/>
      </c>
      <c r="R547" t="str">
        <f t="shared" si="83"/>
        <v/>
      </c>
      <c r="S547" t="str">
        <f t="shared" si="84"/>
        <v/>
      </c>
      <c r="T547" t="str">
        <f t="shared" si="85"/>
        <v/>
      </c>
      <c r="U547" t="str">
        <f t="shared" si="86"/>
        <v/>
      </c>
      <c r="V547" t="str">
        <f t="shared" si="87"/>
        <v/>
      </c>
      <c r="W547" t="str">
        <f t="shared" si="88"/>
        <v/>
      </c>
      <c r="X547">
        <f>IF($T547="",N($X546),IF(MATCH($T547,$T$6:$T$10005,0)=ROW()-5,N($X546)+1,N($X546)))</f>
        <v>0</v>
      </c>
      <c r="Z547" t="str">
        <f t="shared" si="89"/>
        <v/>
      </c>
      <c r="AA547">
        <f>IF($V547="",N($AA546),IF(MATCH($V547,$V$6:$V$10005,0)=ROW()-5,N($AA546)+1,N($AA546)))</f>
        <v>0</v>
      </c>
    </row>
    <row r="548" spans="1:27" ht="21" customHeight="1" x14ac:dyDescent="0.95">
      <c r="A548" s="56"/>
      <c r="B548" s="57"/>
      <c r="C548" s="57"/>
      <c r="D548" s="57"/>
      <c r="E548" s="56"/>
      <c r="F548" s="57"/>
      <c r="G548" s="57"/>
      <c r="H548" s="56"/>
      <c r="I548" s="56"/>
      <c r="J548" s="58"/>
      <c r="K548" s="58"/>
      <c r="L548" s="13" t="str">
        <f t="shared" si="80"/>
        <v/>
      </c>
      <c r="M548" s="13" t="str">
        <f t="shared" si="81"/>
        <v/>
      </c>
      <c r="Q548" t="str">
        <f t="shared" si="82"/>
        <v/>
      </c>
      <c r="R548" t="str">
        <f t="shared" si="83"/>
        <v/>
      </c>
      <c r="S548" t="str">
        <f t="shared" si="84"/>
        <v/>
      </c>
      <c r="T548" t="str">
        <f t="shared" si="85"/>
        <v/>
      </c>
      <c r="U548" t="str">
        <f t="shared" si="86"/>
        <v/>
      </c>
      <c r="V548" t="str">
        <f t="shared" si="87"/>
        <v/>
      </c>
      <c r="W548" t="str">
        <f t="shared" si="88"/>
        <v/>
      </c>
      <c r="X548">
        <f>IF($T548="",N($X547),IF(MATCH($T548,$T$6:$T$10005,0)=ROW()-5,N($X547)+1,N($X547)))</f>
        <v>0</v>
      </c>
      <c r="Z548" t="str">
        <f t="shared" si="89"/>
        <v/>
      </c>
      <c r="AA548">
        <f>IF($V548="",N($AA547),IF(MATCH($V548,$V$6:$V$10005,0)=ROW()-5,N($AA547)+1,N($AA547)))</f>
        <v>0</v>
      </c>
    </row>
    <row r="549" spans="1:27" ht="21" customHeight="1" x14ac:dyDescent="0.95">
      <c r="A549" s="56"/>
      <c r="B549" s="57"/>
      <c r="C549" s="57"/>
      <c r="D549" s="57"/>
      <c r="E549" s="56"/>
      <c r="F549" s="57"/>
      <c r="G549" s="57"/>
      <c r="H549" s="56"/>
      <c r="I549" s="56"/>
      <c r="J549" s="58"/>
      <c r="K549" s="58"/>
      <c r="L549" s="13" t="str">
        <f t="shared" si="80"/>
        <v/>
      </c>
      <c r="M549" s="13" t="str">
        <f t="shared" si="81"/>
        <v/>
      </c>
      <c r="Q549" t="str">
        <f t="shared" si="82"/>
        <v/>
      </c>
      <c r="R549" t="str">
        <f t="shared" si="83"/>
        <v/>
      </c>
      <c r="S549" t="str">
        <f t="shared" si="84"/>
        <v/>
      </c>
      <c r="T549" t="str">
        <f t="shared" si="85"/>
        <v/>
      </c>
      <c r="U549" t="str">
        <f t="shared" si="86"/>
        <v/>
      </c>
      <c r="V549" t="str">
        <f t="shared" si="87"/>
        <v/>
      </c>
      <c r="W549" t="str">
        <f t="shared" si="88"/>
        <v/>
      </c>
      <c r="X549">
        <f>IF($T549="",N($X548),IF(MATCH($T549,$T$6:$T$10005,0)=ROW()-5,N($X548)+1,N($X548)))</f>
        <v>0</v>
      </c>
      <c r="Z549" t="str">
        <f t="shared" si="89"/>
        <v/>
      </c>
      <c r="AA549">
        <f>IF($V549="",N($AA548),IF(MATCH($V549,$V$6:$V$10005,0)=ROW()-5,N($AA548)+1,N($AA548)))</f>
        <v>0</v>
      </c>
    </row>
    <row r="550" spans="1:27" ht="21" customHeight="1" x14ac:dyDescent="0.95">
      <c r="A550" s="56"/>
      <c r="B550" s="57"/>
      <c r="C550" s="57"/>
      <c r="D550" s="57"/>
      <c r="E550" s="56"/>
      <c r="F550" s="57"/>
      <c r="G550" s="57"/>
      <c r="H550" s="56"/>
      <c r="I550" s="56"/>
      <c r="J550" s="58"/>
      <c r="K550" s="58"/>
      <c r="L550" s="13" t="str">
        <f t="shared" si="80"/>
        <v/>
      </c>
      <c r="M550" s="13" t="str">
        <f t="shared" si="81"/>
        <v/>
      </c>
      <c r="Q550" t="str">
        <f t="shared" si="82"/>
        <v/>
      </c>
      <c r="R550" t="str">
        <f t="shared" si="83"/>
        <v/>
      </c>
      <c r="S550" t="str">
        <f t="shared" si="84"/>
        <v/>
      </c>
      <c r="T550" t="str">
        <f t="shared" si="85"/>
        <v/>
      </c>
      <c r="U550" t="str">
        <f t="shared" si="86"/>
        <v/>
      </c>
      <c r="V550" t="str">
        <f t="shared" si="87"/>
        <v/>
      </c>
      <c r="W550" t="str">
        <f t="shared" si="88"/>
        <v/>
      </c>
      <c r="X550">
        <f>IF($T550="",N($X549),IF(MATCH($T550,$T$6:$T$10005,0)=ROW()-5,N($X549)+1,N($X549)))</f>
        <v>0</v>
      </c>
      <c r="Z550" t="str">
        <f t="shared" si="89"/>
        <v/>
      </c>
      <c r="AA550">
        <f>IF($V550="",N($AA549),IF(MATCH($V550,$V$6:$V$10005,0)=ROW()-5,N($AA549)+1,N($AA549)))</f>
        <v>0</v>
      </c>
    </row>
    <row r="551" spans="1:27" ht="21" customHeight="1" x14ac:dyDescent="0.95">
      <c r="A551" s="56"/>
      <c r="B551" s="57"/>
      <c r="C551" s="57"/>
      <c r="D551" s="57"/>
      <c r="E551" s="56"/>
      <c r="F551" s="57"/>
      <c r="G551" s="57"/>
      <c r="H551" s="56"/>
      <c r="I551" s="56"/>
      <c r="J551" s="58"/>
      <c r="K551" s="58"/>
      <c r="L551" s="13" t="str">
        <f t="shared" si="80"/>
        <v/>
      </c>
      <c r="M551" s="13" t="str">
        <f t="shared" si="81"/>
        <v/>
      </c>
      <c r="Q551" t="str">
        <f t="shared" si="82"/>
        <v/>
      </c>
      <c r="R551" t="str">
        <f t="shared" si="83"/>
        <v/>
      </c>
      <c r="S551" t="str">
        <f t="shared" si="84"/>
        <v/>
      </c>
      <c r="T551" t="str">
        <f t="shared" si="85"/>
        <v/>
      </c>
      <c r="U551" t="str">
        <f t="shared" si="86"/>
        <v/>
      </c>
      <c r="V551" t="str">
        <f t="shared" si="87"/>
        <v/>
      </c>
      <c r="W551" t="str">
        <f t="shared" si="88"/>
        <v/>
      </c>
      <c r="X551">
        <f>IF($T551="",N($X550),IF(MATCH($T551,$T$6:$T$10005,0)=ROW()-5,N($X550)+1,N($X550)))</f>
        <v>0</v>
      </c>
      <c r="Z551" t="str">
        <f t="shared" si="89"/>
        <v/>
      </c>
      <c r="AA551">
        <f>IF($V551="",N($AA550),IF(MATCH($V551,$V$6:$V$10005,0)=ROW()-5,N($AA550)+1,N($AA550)))</f>
        <v>0</v>
      </c>
    </row>
    <row r="552" spans="1:27" ht="21" customHeight="1" x14ac:dyDescent="0.95">
      <c r="A552" s="56"/>
      <c r="B552" s="57"/>
      <c r="C552" s="57"/>
      <c r="D552" s="57"/>
      <c r="E552" s="56"/>
      <c r="F552" s="57"/>
      <c r="G552" s="57"/>
      <c r="H552" s="56"/>
      <c r="I552" s="56"/>
      <c r="J552" s="58"/>
      <c r="K552" s="58"/>
      <c r="L552" s="13" t="str">
        <f t="shared" si="80"/>
        <v/>
      </c>
      <c r="M552" s="13" t="str">
        <f t="shared" si="81"/>
        <v/>
      </c>
      <c r="Q552" t="str">
        <f t="shared" si="82"/>
        <v/>
      </c>
      <c r="R552" t="str">
        <f t="shared" si="83"/>
        <v/>
      </c>
      <c r="S552" t="str">
        <f t="shared" si="84"/>
        <v/>
      </c>
      <c r="T552" t="str">
        <f t="shared" si="85"/>
        <v/>
      </c>
      <c r="U552" t="str">
        <f t="shared" si="86"/>
        <v/>
      </c>
      <c r="V552" t="str">
        <f t="shared" si="87"/>
        <v/>
      </c>
      <c r="W552" t="str">
        <f t="shared" si="88"/>
        <v/>
      </c>
      <c r="X552">
        <f>IF($T552="",N($X551),IF(MATCH($T552,$T$6:$T$10005,0)=ROW()-5,N($X551)+1,N($X551)))</f>
        <v>0</v>
      </c>
      <c r="Z552" t="str">
        <f t="shared" si="89"/>
        <v/>
      </c>
      <c r="AA552">
        <f>IF($V552="",N($AA551),IF(MATCH($V552,$V$6:$V$10005,0)=ROW()-5,N($AA551)+1,N($AA551)))</f>
        <v>0</v>
      </c>
    </row>
    <row r="553" spans="1:27" ht="21" customHeight="1" x14ac:dyDescent="0.95">
      <c r="A553" s="56"/>
      <c r="B553" s="57"/>
      <c r="C553" s="57"/>
      <c r="D553" s="57"/>
      <c r="E553" s="56"/>
      <c r="F553" s="57"/>
      <c r="G553" s="57"/>
      <c r="H553" s="56"/>
      <c r="I553" s="56"/>
      <c r="J553" s="58"/>
      <c r="K553" s="58"/>
      <c r="L553" s="13" t="str">
        <f t="shared" si="80"/>
        <v/>
      </c>
      <c r="M553" s="13" t="str">
        <f t="shared" si="81"/>
        <v/>
      </c>
      <c r="Q553" t="str">
        <f t="shared" si="82"/>
        <v/>
      </c>
      <c r="R553" t="str">
        <f t="shared" si="83"/>
        <v/>
      </c>
      <c r="S553" t="str">
        <f t="shared" si="84"/>
        <v/>
      </c>
      <c r="T553" t="str">
        <f t="shared" si="85"/>
        <v/>
      </c>
      <c r="U553" t="str">
        <f t="shared" si="86"/>
        <v/>
      </c>
      <c r="V553" t="str">
        <f t="shared" si="87"/>
        <v/>
      </c>
      <c r="W553" t="str">
        <f t="shared" si="88"/>
        <v/>
      </c>
      <c r="X553">
        <f>IF($T553="",N($X552),IF(MATCH($T553,$T$6:$T$10005,0)=ROW()-5,N($X552)+1,N($X552)))</f>
        <v>0</v>
      </c>
      <c r="Z553" t="str">
        <f t="shared" si="89"/>
        <v/>
      </c>
      <c r="AA553">
        <f>IF($V553="",N($AA552),IF(MATCH($V553,$V$6:$V$10005,0)=ROW()-5,N($AA552)+1,N($AA552)))</f>
        <v>0</v>
      </c>
    </row>
    <row r="554" spans="1:27" ht="21" customHeight="1" x14ac:dyDescent="0.95">
      <c r="A554" s="56"/>
      <c r="B554" s="57"/>
      <c r="C554" s="57"/>
      <c r="D554" s="57"/>
      <c r="E554" s="56"/>
      <c r="F554" s="57"/>
      <c r="G554" s="57"/>
      <c r="H554" s="56"/>
      <c r="I554" s="56"/>
      <c r="J554" s="58"/>
      <c r="K554" s="58"/>
      <c r="L554" s="13" t="str">
        <f t="shared" si="80"/>
        <v/>
      </c>
      <c r="M554" s="13" t="str">
        <f t="shared" si="81"/>
        <v/>
      </c>
      <c r="Q554" t="str">
        <f t="shared" si="82"/>
        <v/>
      </c>
      <c r="R554" t="str">
        <f t="shared" si="83"/>
        <v/>
      </c>
      <c r="S554" t="str">
        <f t="shared" si="84"/>
        <v/>
      </c>
      <c r="T554" t="str">
        <f t="shared" si="85"/>
        <v/>
      </c>
      <c r="U554" t="str">
        <f t="shared" si="86"/>
        <v/>
      </c>
      <c r="V554" t="str">
        <f t="shared" si="87"/>
        <v/>
      </c>
      <c r="W554" t="str">
        <f t="shared" si="88"/>
        <v/>
      </c>
      <c r="X554">
        <f>IF($T554="",N($X553),IF(MATCH($T554,$T$6:$T$10005,0)=ROW()-5,N($X553)+1,N($X553)))</f>
        <v>0</v>
      </c>
      <c r="Z554" t="str">
        <f t="shared" si="89"/>
        <v/>
      </c>
      <c r="AA554">
        <f>IF($V554="",N($AA553),IF(MATCH($V554,$V$6:$V$10005,0)=ROW()-5,N($AA553)+1,N($AA553)))</f>
        <v>0</v>
      </c>
    </row>
    <row r="555" spans="1:27" ht="21" customHeight="1" x14ac:dyDescent="0.95">
      <c r="A555" s="56"/>
      <c r="B555" s="57"/>
      <c r="C555" s="57"/>
      <c r="D555" s="57"/>
      <c r="E555" s="56"/>
      <c r="F555" s="57"/>
      <c r="G555" s="57"/>
      <c r="H555" s="56"/>
      <c r="I555" s="56"/>
      <c r="J555" s="58"/>
      <c r="K555" s="58"/>
      <c r="L555" s="13" t="str">
        <f t="shared" si="80"/>
        <v/>
      </c>
      <c r="M555" s="13" t="str">
        <f t="shared" si="81"/>
        <v/>
      </c>
      <c r="Q555" t="str">
        <f t="shared" si="82"/>
        <v/>
      </c>
      <c r="R555" t="str">
        <f t="shared" si="83"/>
        <v/>
      </c>
      <c r="S555" t="str">
        <f t="shared" si="84"/>
        <v/>
      </c>
      <c r="T555" t="str">
        <f t="shared" si="85"/>
        <v/>
      </c>
      <c r="U555" t="str">
        <f t="shared" si="86"/>
        <v/>
      </c>
      <c r="V555" t="str">
        <f t="shared" si="87"/>
        <v/>
      </c>
      <c r="W555" t="str">
        <f t="shared" si="88"/>
        <v/>
      </c>
      <c r="X555">
        <f>IF($T555="",N($X554),IF(MATCH($T555,$T$6:$T$10005,0)=ROW()-5,N($X554)+1,N($X554)))</f>
        <v>0</v>
      </c>
      <c r="Z555" t="str">
        <f t="shared" si="89"/>
        <v/>
      </c>
      <c r="AA555">
        <f>IF($V555="",N($AA554),IF(MATCH($V555,$V$6:$V$10005,0)=ROW()-5,N($AA554)+1,N($AA554)))</f>
        <v>0</v>
      </c>
    </row>
    <row r="556" spans="1:27" ht="21" customHeight="1" x14ac:dyDescent="0.95">
      <c r="A556" s="56"/>
      <c r="B556" s="57"/>
      <c r="C556" s="57"/>
      <c r="D556" s="57"/>
      <c r="E556" s="56"/>
      <c r="F556" s="57"/>
      <c r="G556" s="57"/>
      <c r="H556" s="56"/>
      <c r="I556" s="56"/>
      <c r="J556" s="58"/>
      <c r="K556" s="58"/>
      <c r="L556" s="13" t="str">
        <f t="shared" si="80"/>
        <v/>
      </c>
      <c r="M556" s="13" t="str">
        <f t="shared" si="81"/>
        <v/>
      </c>
      <c r="Q556" t="str">
        <f t="shared" si="82"/>
        <v/>
      </c>
      <c r="R556" t="str">
        <f t="shared" si="83"/>
        <v/>
      </c>
      <c r="S556" t="str">
        <f t="shared" si="84"/>
        <v/>
      </c>
      <c r="T556" t="str">
        <f t="shared" si="85"/>
        <v/>
      </c>
      <c r="U556" t="str">
        <f t="shared" si="86"/>
        <v/>
      </c>
      <c r="V556" t="str">
        <f t="shared" si="87"/>
        <v/>
      </c>
      <c r="W556" t="str">
        <f t="shared" si="88"/>
        <v/>
      </c>
      <c r="X556">
        <f>IF($T556="",N($X555),IF(MATCH($T556,$T$6:$T$10005,0)=ROW()-5,N($X555)+1,N($X555)))</f>
        <v>0</v>
      </c>
      <c r="Z556" t="str">
        <f t="shared" si="89"/>
        <v/>
      </c>
      <c r="AA556">
        <f>IF($V556="",N($AA555),IF(MATCH($V556,$V$6:$V$10005,0)=ROW()-5,N($AA555)+1,N($AA555)))</f>
        <v>0</v>
      </c>
    </row>
    <row r="557" spans="1:27" ht="21" customHeight="1" x14ac:dyDescent="0.95">
      <c r="A557" s="56"/>
      <c r="B557" s="57"/>
      <c r="C557" s="57"/>
      <c r="D557" s="57"/>
      <c r="E557" s="56"/>
      <c r="F557" s="57"/>
      <c r="G557" s="57"/>
      <c r="H557" s="56"/>
      <c r="I557" s="56"/>
      <c r="J557" s="58"/>
      <c r="K557" s="58"/>
      <c r="L557" s="13" t="str">
        <f t="shared" si="80"/>
        <v/>
      </c>
      <c r="M557" s="13" t="str">
        <f t="shared" si="81"/>
        <v/>
      </c>
      <c r="Q557" t="str">
        <f t="shared" si="82"/>
        <v/>
      </c>
      <c r="R557" t="str">
        <f t="shared" si="83"/>
        <v/>
      </c>
      <c r="S557" t="str">
        <f t="shared" si="84"/>
        <v/>
      </c>
      <c r="T557" t="str">
        <f t="shared" si="85"/>
        <v/>
      </c>
      <c r="U557" t="str">
        <f t="shared" si="86"/>
        <v/>
      </c>
      <c r="V557" t="str">
        <f t="shared" si="87"/>
        <v/>
      </c>
      <c r="W557" t="str">
        <f t="shared" si="88"/>
        <v/>
      </c>
      <c r="X557">
        <f>IF($T557="",N($X556),IF(MATCH($T557,$T$6:$T$10005,0)=ROW()-5,N($X556)+1,N($X556)))</f>
        <v>0</v>
      </c>
      <c r="Z557" t="str">
        <f t="shared" si="89"/>
        <v/>
      </c>
      <c r="AA557">
        <f>IF($V557="",N($AA556),IF(MATCH($V557,$V$6:$V$10005,0)=ROW()-5,N($AA556)+1,N($AA556)))</f>
        <v>0</v>
      </c>
    </row>
    <row r="558" spans="1:27" ht="21" customHeight="1" x14ac:dyDescent="0.95">
      <c r="A558" s="56"/>
      <c r="B558" s="57"/>
      <c r="C558" s="57"/>
      <c r="D558" s="57"/>
      <c r="E558" s="56"/>
      <c r="F558" s="57"/>
      <c r="G558" s="57"/>
      <c r="H558" s="56"/>
      <c r="I558" s="56"/>
      <c r="J558" s="58"/>
      <c r="K558" s="58"/>
      <c r="L558" s="13" t="str">
        <f t="shared" si="80"/>
        <v/>
      </c>
      <c r="M558" s="13" t="str">
        <f t="shared" si="81"/>
        <v/>
      </c>
      <c r="Q558" t="str">
        <f t="shared" si="82"/>
        <v/>
      </c>
      <c r="R558" t="str">
        <f t="shared" si="83"/>
        <v/>
      </c>
      <c r="S558" t="str">
        <f t="shared" si="84"/>
        <v/>
      </c>
      <c r="T558" t="str">
        <f t="shared" si="85"/>
        <v/>
      </c>
      <c r="U558" t="str">
        <f t="shared" si="86"/>
        <v/>
      </c>
      <c r="V558" t="str">
        <f t="shared" si="87"/>
        <v/>
      </c>
      <c r="W558" t="str">
        <f t="shared" si="88"/>
        <v/>
      </c>
      <c r="X558">
        <f>IF($T558="",N($X557),IF(MATCH($T558,$T$6:$T$10005,0)=ROW()-5,N($X557)+1,N($X557)))</f>
        <v>0</v>
      </c>
      <c r="Z558" t="str">
        <f t="shared" si="89"/>
        <v/>
      </c>
      <c r="AA558">
        <f>IF($V558="",N($AA557),IF(MATCH($V558,$V$6:$V$10005,0)=ROW()-5,N($AA557)+1,N($AA557)))</f>
        <v>0</v>
      </c>
    </row>
    <row r="559" spans="1:27" ht="21" customHeight="1" x14ac:dyDescent="0.95">
      <c r="A559" s="56"/>
      <c r="B559" s="57"/>
      <c r="C559" s="57"/>
      <c r="D559" s="57"/>
      <c r="E559" s="56"/>
      <c r="F559" s="57"/>
      <c r="G559" s="57"/>
      <c r="H559" s="56"/>
      <c r="I559" s="56"/>
      <c r="J559" s="58"/>
      <c r="K559" s="58"/>
      <c r="L559" s="13" t="str">
        <f t="shared" si="80"/>
        <v/>
      </c>
      <c r="M559" s="13" t="str">
        <f t="shared" si="81"/>
        <v/>
      </c>
      <c r="Q559" t="str">
        <f t="shared" si="82"/>
        <v/>
      </c>
      <c r="R559" t="str">
        <f t="shared" si="83"/>
        <v/>
      </c>
      <c r="S559" t="str">
        <f t="shared" si="84"/>
        <v/>
      </c>
      <c r="T559" t="str">
        <f t="shared" si="85"/>
        <v/>
      </c>
      <c r="U559" t="str">
        <f t="shared" si="86"/>
        <v/>
      </c>
      <c r="V559" t="str">
        <f t="shared" si="87"/>
        <v/>
      </c>
      <c r="W559" t="str">
        <f t="shared" si="88"/>
        <v/>
      </c>
      <c r="X559">
        <f>IF($T559="",N($X558),IF(MATCH($T559,$T$6:$T$10005,0)=ROW()-5,N($X558)+1,N($X558)))</f>
        <v>0</v>
      </c>
      <c r="Z559" t="str">
        <f t="shared" si="89"/>
        <v/>
      </c>
      <c r="AA559">
        <f>IF($V559="",N($AA558),IF(MATCH($V559,$V$6:$V$10005,0)=ROW()-5,N($AA558)+1,N($AA558)))</f>
        <v>0</v>
      </c>
    </row>
    <row r="560" spans="1:27" ht="21" customHeight="1" x14ac:dyDescent="0.95">
      <c r="A560" s="56"/>
      <c r="B560" s="57"/>
      <c r="C560" s="57"/>
      <c r="D560" s="57"/>
      <c r="E560" s="56"/>
      <c r="F560" s="57"/>
      <c r="G560" s="57"/>
      <c r="H560" s="56"/>
      <c r="I560" s="56"/>
      <c r="J560" s="58"/>
      <c r="K560" s="58"/>
      <c r="L560" s="13" t="str">
        <f t="shared" si="80"/>
        <v/>
      </c>
      <c r="M560" s="13" t="str">
        <f t="shared" si="81"/>
        <v/>
      </c>
      <c r="Q560" t="str">
        <f t="shared" si="82"/>
        <v/>
      </c>
      <c r="R560" t="str">
        <f t="shared" si="83"/>
        <v/>
      </c>
      <c r="S560" t="str">
        <f t="shared" si="84"/>
        <v/>
      </c>
      <c r="T560" t="str">
        <f t="shared" si="85"/>
        <v/>
      </c>
      <c r="U560" t="str">
        <f t="shared" si="86"/>
        <v/>
      </c>
      <c r="V560" t="str">
        <f t="shared" si="87"/>
        <v/>
      </c>
      <c r="W560" t="str">
        <f t="shared" si="88"/>
        <v/>
      </c>
      <c r="X560">
        <f>IF($T560="",N($X559),IF(MATCH($T560,$T$6:$T$10005,0)=ROW()-5,N($X559)+1,N($X559)))</f>
        <v>0</v>
      </c>
      <c r="Z560" t="str">
        <f t="shared" si="89"/>
        <v/>
      </c>
      <c r="AA560">
        <f>IF($V560="",N($AA559),IF(MATCH($V560,$V$6:$V$10005,0)=ROW()-5,N($AA559)+1,N($AA559)))</f>
        <v>0</v>
      </c>
    </row>
    <row r="561" spans="1:27" ht="21" customHeight="1" x14ac:dyDescent="0.95">
      <c r="A561" s="56"/>
      <c r="B561" s="57"/>
      <c r="C561" s="57"/>
      <c r="D561" s="57"/>
      <c r="E561" s="56"/>
      <c r="F561" s="57"/>
      <c r="G561" s="57"/>
      <c r="H561" s="56"/>
      <c r="I561" s="56"/>
      <c r="J561" s="58"/>
      <c r="K561" s="58"/>
      <c r="L561" s="13" t="str">
        <f t="shared" si="80"/>
        <v/>
      </c>
      <c r="M561" s="13" t="str">
        <f t="shared" si="81"/>
        <v/>
      </c>
      <c r="Q561" t="str">
        <f t="shared" si="82"/>
        <v/>
      </c>
      <c r="R561" t="str">
        <f t="shared" si="83"/>
        <v/>
      </c>
      <c r="S561" t="str">
        <f t="shared" si="84"/>
        <v/>
      </c>
      <c r="T561" t="str">
        <f t="shared" si="85"/>
        <v/>
      </c>
      <c r="U561" t="str">
        <f t="shared" si="86"/>
        <v/>
      </c>
      <c r="V561" t="str">
        <f t="shared" si="87"/>
        <v/>
      </c>
      <c r="W561" t="str">
        <f t="shared" si="88"/>
        <v/>
      </c>
      <c r="X561">
        <f>IF($T561="",N($X560),IF(MATCH($T561,$T$6:$T$10005,0)=ROW()-5,N($X560)+1,N($X560)))</f>
        <v>0</v>
      </c>
      <c r="Z561" t="str">
        <f t="shared" si="89"/>
        <v/>
      </c>
      <c r="AA561">
        <f>IF($V561="",N($AA560),IF(MATCH($V561,$V$6:$V$10005,0)=ROW()-5,N($AA560)+1,N($AA560)))</f>
        <v>0</v>
      </c>
    </row>
    <row r="562" spans="1:27" ht="21" customHeight="1" x14ac:dyDescent="0.95">
      <c r="A562" s="56"/>
      <c r="B562" s="57"/>
      <c r="C562" s="57"/>
      <c r="D562" s="57"/>
      <c r="E562" s="56"/>
      <c r="F562" s="57"/>
      <c r="G562" s="57"/>
      <c r="H562" s="56"/>
      <c r="I562" s="56"/>
      <c r="J562" s="58"/>
      <c r="K562" s="58"/>
      <c r="L562" s="13" t="str">
        <f t="shared" si="80"/>
        <v/>
      </c>
      <c r="M562" s="13" t="str">
        <f t="shared" si="81"/>
        <v/>
      </c>
      <c r="Q562" t="str">
        <f t="shared" si="82"/>
        <v/>
      </c>
      <c r="R562" t="str">
        <f t="shared" si="83"/>
        <v/>
      </c>
      <c r="S562" t="str">
        <f t="shared" si="84"/>
        <v/>
      </c>
      <c r="T562" t="str">
        <f t="shared" si="85"/>
        <v/>
      </c>
      <c r="U562" t="str">
        <f t="shared" si="86"/>
        <v/>
      </c>
      <c r="V562" t="str">
        <f t="shared" si="87"/>
        <v/>
      </c>
      <c r="W562" t="str">
        <f t="shared" si="88"/>
        <v/>
      </c>
      <c r="X562">
        <f>IF($T562="",N($X561),IF(MATCH($T562,$T$6:$T$10005,0)=ROW()-5,N($X561)+1,N($X561)))</f>
        <v>0</v>
      </c>
      <c r="Z562" t="str">
        <f t="shared" si="89"/>
        <v/>
      </c>
      <c r="AA562">
        <f>IF($V562="",N($AA561),IF(MATCH($V562,$V$6:$V$10005,0)=ROW()-5,N($AA561)+1,N($AA561)))</f>
        <v>0</v>
      </c>
    </row>
    <row r="563" spans="1:27" ht="21" customHeight="1" x14ac:dyDescent="0.95">
      <c r="A563" s="56"/>
      <c r="B563" s="57"/>
      <c r="C563" s="57"/>
      <c r="D563" s="57"/>
      <c r="E563" s="56"/>
      <c r="F563" s="57"/>
      <c r="G563" s="57"/>
      <c r="H563" s="56"/>
      <c r="I563" s="56"/>
      <c r="J563" s="58"/>
      <c r="K563" s="58"/>
      <c r="L563" s="13" t="str">
        <f t="shared" si="80"/>
        <v/>
      </c>
      <c r="M563" s="13" t="str">
        <f t="shared" si="81"/>
        <v/>
      </c>
      <c r="Q563" t="str">
        <f t="shared" si="82"/>
        <v/>
      </c>
      <c r="R563" t="str">
        <f t="shared" si="83"/>
        <v/>
      </c>
      <c r="S563" t="str">
        <f t="shared" si="84"/>
        <v/>
      </c>
      <c r="T563" t="str">
        <f t="shared" si="85"/>
        <v/>
      </c>
      <c r="U563" t="str">
        <f t="shared" si="86"/>
        <v/>
      </c>
      <c r="V563" t="str">
        <f t="shared" si="87"/>
        <v/>
      </c>
      <c r="W563" t="str">
        <f t="shared" si="88"/>
        <v/>
      </c>
      <c r="X563">
        <f>IF($T563="",N($X562),IF(MATCH($T563,$T$6:$T$10005,0)=ROW()-5,N($X562)+1,N($X562)))</f>
        <v>0</v>
      </c>
      <c r="Z563" t="str">
        <f t="shared" si="89"/>
        <v/>
      </c>
      <c r="AA563">
        <f>IF($V563="",N($AA562),IF(MATCH($V563,$V$6:$V$10005,0)=ROW()-5,N($AA562)+1,N($AA562)))</f>
        <v>0</v>
      </c>
    </row>
    <row r="564" spans="1:27" ht="21" customHeight="1" x14ac:dyDescent="0.95">
      <c r="A564" s="56"/>
      <c r="B564" s="57"/>
      <c r="C564" s="57"/>
      <c r="D564" s="57"/>
      <c r="E564" s="56"/>
      <c r="F564" s="57"/>
      <c r="G564" s="57"/>
      <c r="H564" s="56"/>
      <c r="I564" s="56"/>
      <c r="J564" s="58"/>
      <c r="K564" s="58"/>
      <c r="L564" s="13" t="str">
        <f t="shared" si="80"/>
        <v/>
      </c>
      <c r="M564" s="13" t="str">
        <f t="shared" si="81"/>
        <v/>
      </c>
      <c r="Q564" t="str">
        <f t="shared" si="82"/>
        <v/>
      </c>
      <c r="R564" t="str">
        <f t="shared" si="83"/>
        <v/>
      </c>
      <c r="S564" t="str">
        <f t="shared" si="84"/>
        <v/>
      </c>
      <c r="T564" t="str">
        <f t="shared" si="85"/>
        <v/>
      </c>
      <c r="U564" t="str">
        <f t="shared" si="86"/>
        <v/>
      </c>
      <c r="V564" t="str">
        <f t="shared" si="87"/>
        <v/>
      </c>
      <c r="W564" t="str">
        <f t="shared" si="88"/>
        <v/>
      </c>
      <c r="X564">
        <f>IF($T564="",N($X563),IF(MATCH($T564,$T$6:$T$10005,0)=ROW()-5,N($X563)+1,N($X563)))</f>
        <v>0</v>
      </c>
      <c r="Z564" t="str">
        <f t="shared" si="89"/>
        <v/>
      </c>
      <c r="AA564">
        <f>IF($V564="",N($AA563),IF(MATCH($V564,$V$6:$V$10005,0)=ROW()-5,N($AA563)+1,N($AA563)))</f>
        <v>0</v>
      </c>
    </row>
    <row r="565" spans="1:27" ht="21" customHeight="1" x14ac:dyDescent="0.95">
      <c r="A565" s="56"/>
      <c r="B565" s="57"/>
      <c r="C565" s="57"/>
      <c r="D565" s="57"/>
      <c r="E565" s="56"/>
      <c r="F565" s="57"/>
      <c r="G565" s="57"/>
      <c r="H565" s="56"/>
      <c r="I565" s="56"/>
      <c r="J565" s="58"/>
      <c r="K565" s="58"/>
      <c r="L565" s="13" t="str">
        <f t="shared" si="80"/>
        <v/>
      </c>
      <c r="M565" s="13" t="str">
        <f t="shared" si="81"/>
        <v/>
      </c>
      <c r="Q565" t="str">
        <f t="shared" si="82"/>
        <v/>
      </c>
      <c r="R565" t="str">
        <f t="shared" si="83"/>
        <v/>
      </c>
      <c r="S565" t="str">
        <f t="shared" si="84"/>
        <v/>
      </c>
      <c r="T565" t="str">
        <f t="shared" si="85"/>
        <v/>
      </c>
      <c r="U565" t="str">
        <f t="shared" si="86"/>
        <v/>
      </c>
      <c r="V565" t="str">
        <f t="shared" si="87"/>
        <v/>
      </c>
      <c r="W565" t="str">
        <f t="shared" si="88"/>
        <v/>
      </c>
      <c r="X565">
        <f>IF($T565="",N($X564),IF(MATCH($T565,$T$6:$T$10005,0)=ROW()-5,N($X564)+1,N($X564)))</f>
        <v>0</v>
      </c>
      <c r="Z565" t="str">
        <f t="shared" si="89"/>
        <v/>
      </c>
      <c r="AA565">
        <f>IF($V565="",N($AA564),IF(MATCH($V565,$V$6:$V$10005,0)=ROW()-5,N($AA564)+1,N($AA564)))</f>
        <v>0</v>
      </c>
    </row>
    <row r="566" spans="1:27" ht="21" customHeight="1" x14ac:dyDescent="0.95">
      <c r="A566" s="56"/>
      <c r="B566" s="57"/>
      <c r="C566" s="57"/>
      <c r="D566" s="57"/>
      <c r="E566" s="56"/>
      <c r="F566" s="57"/>
      <c r="G566" s="57"/>
      <c r="H566" s="56"/>
      <c r="I566" s="56"/>
      <c r="J566" s="58"/>
      <c r="K566" s="58"/>
      <c r="L566" s="13" t="str">
        <f t="shared" si="80"/>
        <v/>
      </c>
      <c r="M566" s="13" t="str">
        <f t="shared" si="81"/>
        <v/>
      </c>
      <c r="Q566" t="str">
        <f t="shared" si="82"/>
        <v/>
      </c>
      <c r="R566" t="str">
        <f t="shared" si="83"/>
        <v/>
      </c>
      <c r="S566" t="str">
        <f t="shared" si="84"/>
        <v/>
      </c>
      <c r="T566" t="str">
        <f t="shared" si="85"/>
        <v/>
      </c>
      <c r="U566" t="str">
        <f t="shared" si="86"/>
        <v/>
      </c>
      <c r="V566" t="str">
        <f t="shared" si="87"/>
        <v/>
      </c>
      <c r="W566" t="str">
        <f t="shared" si="88"/>
        <v/>
      </c>
      <c r="X566">
        <f>IF($T566="",N($X565),IF(MATCH($T566,$T$6:$T$10005,0)=ROW()-5,N($X565)+1,N($X565)))</f>
        <v>0</v>
      </c>
      <c r="Z566" t="str">
        <f t="shared" si="89"/>
        <v/>
      </c>
      <c r="AA566">
        <f>IF($V566="",N($AA565),IF(MATCH($V566,$V$6:$V$10005,0)=ROW()-5,N($AA565)+1,N($AA565)))</f>
        <v>0</v>
      </c>
    </row>
    <row r="567" spans="1:27" ht="21" customHeight="1" x14ac:dyDescent="0.95">
      <c r="A567" s="56"/>
      <c r="B567" s="57"/>
      <c r="C567" s="57"/>
      <c r="D567" s="57"/>
      <c r="E567" s="56"/>
      <c r="F567" s="57"/>
      <c r="G567" s="57"/>
      <c r="H567" s="56"/>
      <c r="I567" s="56"/>
      <c r="J567" s="58"/>
      <c r="K567" s="58"/>
      <c r="L567" s="13" t="str">
        <f t="shared" si="80"/>
        <v/>
      </c>
      <c r="M567" s="13" t="str">
        <f t="shared" si="81"/>
        <v/>
      </c>
      <c r="Q567" t="str">
        <f t="shared" si="82"/>
        <v/>
      </c>
      <c r="R567" t="str">
        <f t="shared" si="83"/>
        <v/>
      </c>
      <c r="S567" t="str">
        <f t="shared" si="84"/>
        <v/>
      </c>
      <c r="T567" t="str">
        <f t="shared" si="85"/>
        <v/>
      </c>
      <c r="U567" t="str">
        <f t="shared" si="86"/>
        <v/>
      </c>
      <c r="V567" t="str">
        <f t="shared" si="87"/>
        <v/>
      </c>
      <c r="W567" t="str">
        <f t="shared" si="88"/>
        <v/>
      </c>
      <c r="X567">
        <f>IF($T567="",N($X566),IF(MATCH($T567,$T$6:$T$10005,0)=ROW()-5,N($X566)+1,N($X566)))</f>
        <v>0</v>
      </c>
      <c r="Z567" t="str">
        <f t="shared" si="89"/>
        <v/>
      </c>
      <c r="AA567">
        <f>IF($V567="",N($AA566),IF(MATCH($V567,$V$6:$V$10005,0)=ROW()-5,N($AA566)+1,N($AA566)))</f>
        <v>0</v>
      </c>
    </row>
    <row r="568" spans="1:27" ht="21" customHeight="1" x14ac:dyDescent="0.95">
      <c r="A568" s="56"/>
      <c r="B568" s="57"/>
      <c r="C568" s="57"/>
      <c r="D568" s="57"/>
      <c r="E568" s="56"/>
      <c r="F568" s="57"/>
      <c r="G568" s="57"/>
      <c r="H568" s="56"/>
      <c r="I568" s="56"/>
      <c r="J568" s="58"/>
      <c r="K568" s="58"/>
      <c r="L568" s="13" t="str">
        <f t="shared" si="80"/>
        <v/>
      </c>
      <c r="M568" s="13" t="str">
        <f t="shared" si="81"/>
        <v/>
      </c>
      <c r="Q568" t="str">
        <f t="shared" si="82"/>
        <v/>
      </c>
      <c r="R568" t="str">
        <f t="shared" si="83"/>
        <v/>
      </c>
      <c r="S568" t="str">
        <f t="shared" si="84"/>
        <v/>
      </c>
      <c r="T568" t="str">
        <f t="shared" si="85"/>
        <v/>
      </c>
      <c r="U568" t="str">
        <f t="shared" si="86"/>
        <v/>
      </c>
      <c r="V568" t="str">
        <f t="shared" si="87"/>
        <v/>
      </c>
      <c r="W568" t="str">
        <f t="shared" si="88"/>
        <v/>
      </c>
      <c r="X568">
        <f>IF($T568="",N($X567),IF(MATCH($T568,$T$6:$T$10005,0)=ROW()-5,N($X567)+1,N($X567)))</f>
        <v>0</v>
      </c>
      <c r="Z568" t="str">
        <f t="shared" si="89"/>
        <v/>
      </c>
      <c r="AA568">
        <f>IF($V568="",N($AA567),IF(MATCH($V568,$V$6:$V$10005,0)=ROW()-5,N($AA567)+1,N($AA567)))</f>
        <v>0</v>
      </c>
    </row>
    <row r="569" spans="1:27" ht="21" customHeight="1" x14ac:dyDescent="0.95">
      <c r="A569" s="56"/>
      <c r="B569" s="57"/>
      <c r="C569" s="57"/>
      <c r="D569" s="57"/>
      <c r="E569" s="56"/>
      <c r="F569" s="57"/>
      <c r="G569" s="57"/>
      <c r="H569" s="56"/>
      <c r="I569" s="56"/>
      <c r="J569" s="58"/>
      <c r="K569" s="58"/>
      <c r="L569" s="13" t="str">
        <f t="shared" si="80"/>
        <v/>
      </c>
      <c r="M569" s="13" t="str">
        <f t="shared" si="81"/>
        <v/>
      </c>
      <c r="Q569" t="str">
        <f t="shared" si="82"/>
        <v/>
      </c>
      <c r="R569" t="str">
        <f t="shared" si="83"/>
        <v/>
      </c>
      <c r="S569" t="str">
        <f t="shared" si="84"/>
        <v/>
      </c>
      <c r="T569" t="str">
        <f t="shared" si="85"/>
        <v/>
      </c>
      <c r="U569" t="str">
        <f t="shared" si="86"/>
        <v/>
      </c>
      <c r="V569" t="str">
        <f t="shared" si="87"/>
        <v/>
      </c>
      <c r="W569" t="str">
        <f t="shared" si="88"/>
        <v/>
      </c>
      <c r="X569">
        <f>IF($T569="",N($X568),IF(MATCH($T569,$T$6:$T$10005,0)=ROW()-5,N($X568)+1,N($X568)))</f>
        <v>0</v>
      </c>
      <c r="Z569" t="str">
        <f t="shared" si="89"/>
        <v/>
      </c>
      <c r="AA569">
        <f>IF($V569="",N($AA568),IF(MATCH($V569,$V$6:$V$10005,0)=ROW()-5,N($AA568)+1,N($AA568)))</f>
        <v>0</v>
      </c>
    </row>
    <row r="570" spans="1:27" ht="21" customHeight="1" x14ac:dyDescent="0.95">
      <c r="A570" s="56"/>
      <c r="B570" s="57"/>
      <c r="C570" s="57"/>
      <c r="D570" s="57"/>
      <c r="E570" s="56"/>
      <c r="F570" s="57"/>
      <c r="G570" s="57"/>
      <c r="H570" s="56"/>
      <c r="I570" s="56"/>
      <c r="J570" s="58"/>
      <c r="K570" s="58"/>
      <c r="L570" s="13" t="str">
        <f t="shared" si="80"/>
        <v/>
      </c>
      <c r="M570" s="13" t="str">
        <f t="shared" si="81"/>
        <v/>
      </c>
      <c r="Q570" t="str">
        <f t="shared" si="82"/>
        <v/>
      </c>
      <c r="R570" t="str">
        <f t="shared" si="83"/>
        <v/>
      </c>
      <c r="S570" t="str">
        <f t="shared" si="84"/>
        <v/>
      </c>
      <c r="T570" t="str">
        <f t="shared" si="85"/>
        <v/>
      </c>
      <c r="U570" t="str">
        <f t="shared" si="86"/>
        <v/>
      </c>
      <c r="V570" t="str">
        <f t="shared" si="87"/>
        <v/>
      </c>
      <c r="W570" t="str">
        <f t="shared" si="88"/>
        <v/>
      </c>
      <c r="X570">
        <f>IF($T570="",N($X569),IF(MATCH($T570,$T$6:$T$10005,0)=ROW()-5,N($X569)+1,N($X569)))</f>
        <v>0</v>
      </c>
      <c r="Z570" t="str">
        <f t="shared" si="89"/>
        <v/>
      </c>
      <c r="AA570">
        <f>IF($V570="",N($AA569),IF(MATCH($V570,$V$6:$V$10005,0)=ROW()-5,N($AA569)+1,N($AA569)))</f>
        <v>0</v>
      </c>
    </row>
    <row r="571" spans="1:27" ht="21" customHeight="1" x14ac:dyDescent="0.95">
      <c r="A571" s="56"/>
      <c r="B571" s="57"/>
      <c r="C571" s="57"/>
      <c r="D571" s="57"/>
      <c r="E571" s="56"/>
      <c r="F571" s="57"/>
      <c r="G571" s="57"/>
      <c r="H571" s="56"/>
      <c r="I571" s="56"/>
      <c r="J571" s="58"/>
      <c r="K571" s="58"/>
      <c r="L571" s="13" t="str">
        <f t="shared" si="80"/>
        <v/>
      </c>
      <c r="M571" s="13" t="str">
        <f t="shared" si="81"/>
        <v/>
      </c>
      <c r="Q571" t="str">
        <f t="shared" si="82"/>
        <v/>
      </c>
      <c r="R571" t="str">
        <f t="shared" si="83"/>
        <v/>
      </c>
      <c r="S571" t="str">
        <f t="shared" si="84"/>
        <v/>
      </c>
      <c r="T571" t="str">
        <f t="shared" si="85"/>
        <v/>
      </c>
      <c r="U571" t="str">
        <f t="shared" si="86"/>
        <v/>
      </c>
      <c r="V571" t="str">
        <f t="shared" si="87"/>
        <v/>
      </c>
      <c r="W571" t="str">
        <f t="shared" si="88"/>
        <v/>
      </c>
      <c r="X571">
        <f>IF($T571="",N($X570),IF(MATCH($T571,$T$6:$T$10005,0)=ROW()-5,N($X570)+1,N($X570)))</f>
        <v>0</v>
      </c>
      <c r="Z571" t="str">
        <f t="shared" si="89"/>
        <v/>
      </c>
      <c r="AA571">
        <f>IF($V571="",N($AA570),IF(MATCH($V571,$V$6:$V$10005,0)=ROW()-5,N($AA570)+1,N($AA570)))</f>
        <v>0</v>
      </c>
    </row>
    <row r="572" spans="1:27" ht="21" customHeight="1" x14ac:dyDescent="0.95">
      <c r="A572" s="56"/>
      <c r="B572" s="57"/>
      <c r="C572" s="57"/>
      <c r="D572" s="57"/>
      <c r="E572" s="56"/>
      <c r="F572" s="57"/>
      <c r="G572" s="57"/>
      <c r="H572" s="56"/>
      <c r="I572" s="56"/>
      <c r="J572" s="58"/>
      <c r="K572" s="58"/>
      <c r="L572" s="13" t="str">
        <f t="shared" si="80"/>
        <v/>
      </c>
      <c r="M572" s="13" t="str">
        <f t="shared" si="81"/>
        <v/>
      </c>
      <c r="Q572" t="str">
        <f t="shared" si="82"/>
        <v/>
      </c>
      <c r="R572" t="str">
        <f t="shared" si="83"/>
        <v/>
      </c>
      <c r="S572" t="str">
        <f t="shared" si="84"/>
        <v/>
      </c>
      <c r="T572" t="str">
        <f t="shared" si="85"/>
        <v/>
      </c>
      <c r="U572" t="str">
        <f t="shared" si="86"/>
        <v/>
      </c>
      <c r="V572" t="str">
        <f t="shared" si="87"/>
        <v/>
      </c>
      <c r="W572" t="str">
        <f t="shared" si="88"/>
        <v/>
      </c>
      <c r="X572">
        <f>IF($T572="",N($X571),IF(MATCH($T572,$T$6:$T$10005,0)=ROW()-5,N($X571)+1,N($X571)))</f>
        <v>0</v>
      </c>
      <c r="Z572" t="str">
        <f t="shared" si="89"/>
        <v/>
      </c>
      <c r="AA572">
        <f>IF($V572="",N($AA571),IF(MATCH($V572,$V$6:$V$10005,0)=ROW()-5,N($AA571)+1,N($AA571)))</f>
        <v>0</v>
      </c>
    </row>
    <row r="573" spans="1:27" ht="21" customHeight="1" x14ac:dyDescent="0.95">
      <c r="A573" s="56"/>
      <c r="B573" s="57"/>
      <c r="C573" s="57"/>
      <c r="D573" s="57"/>
      <c r="E573" s="56"/>
      <c r="F573" s="57"/>
      <c r="G573" s="57"/>
      <c r="H573" s="56"/>
      <c r="I573" s="56"/>
      <c r="J573" s="58"/>
      <c r="K573" s="58"/>
      <c r="L573" s="13" t="str">
        <f t="shared" si="80"/>
        <v/>
      </c>
      <c r="M573" s="13" t="str">
        <f t="shared" si="81"/>
        <v/>
      </c>
      <c r="Q573" t="str">
        <f t="shared" si="82"/>
        <v/>
      </c>
      <c r="R573" t="str">
        <f t="shared" si="83"/>
        <v/>
      </c>
      <c r="S573" t="str">
        <f t="shared" si="84"/>
        <v/>
      </c>
      <c r="T573" t="str">
        <f t="shared" si="85"/>
        <v/>
      </c>
      <c r="U573" t="str">
        <f t="shared" si="86"/>
        <v/>
      </c>
      <c r="V573" t="str">
        <f t="shared" si="87"/>
        <v/>
      </c>
      <c r="W573" t="str">
        <f t="shared" si="88"/>
        <v/>
      </c>
      <c r="X573">
        <f>IF($T573="",N($X572),IF(MATCH($T573,$T$6:$T$10005,0)=ROW()-5,N($X572)+1,N($X572)))</f>
        <v>0</v>
      </c>
      <c r="Z573" t="str">
        <f t="shared" si="89"/>
        <v/>
      </c>
      <c r="AA573">
        <f>IF($V573="",N($AA572),IF(MATCH($V573,$V$6:$V$10005,0)=ROW()-5,N($AA572)+1,N($AA572)))</f>
        <v>0</v>
      </c>
    </row>
    <row r="574" spans="1:27" ht="21" customHeight="1" x14ac:dyDescent="0.95">
      <c r="A574" s="56"/>
      <c r="B574" s="57"/>
      <c r="C574" s="57"/>
      <c r="D574" s="57"/>
      <c r="E574" s="56"/>
      <c r="F574" s="57"/>
      <c r="G574" s="57"/>
      <c r="H574" s="56"/>
      <c r="I574" s="56"/>
      <c r="J574" s="58"/>
      <c r="K574" s="58"/>
      <c r="L574" s="13" t="str">
        <f t="shared" si="80"/>
        <v/>
      </c>
      <c r="M574" s="13" t="str">
        <f t="shared" si="81"/>
        <v/>
      </c>
      <c r="Q574" t="str">
        <f t="shared" si="82"/>
        <v/>
      </c>
      <c r="R574" t="str">
        <f t="shared" si="83"/>
        <v/>
      </c>
      <c r="S574" t="str">
        <f t="shared" si="84"/>
        <v/>
      </c>
      <c r="T574" t="str">
        <f t="shared" si="85"/>
        <v/>
      </c>
      <c r="U574" t="str">
        <f t="shared" si="86"/>
        <v/>
      </c>
      <c r="V574" t="str">
        <f t="shared" si="87"/>
        <v/>
      </c>
      <c r="W574" t="str">
        <f t="shared" si="88"/>
        <v/>
      </c>
      <c r="X574">
        <f>IF($T574="",N($X573),IF(MATCH($T574,$T$6:$T$10005,0)=ROW()-5,N($X573)+1,N($X573)))</f>
        <v>0</v>
      </c>
      <c r="Z574" t="str">
        <f t="shared" si="89"/>
        <v/>
      </c>
      <c r="AA574">
        <f>IF($V574="",N($AA573),IF(MATCH($V574,$V$6:$V$10005,0)=ROW()-5,N($AA573)+1,N($AA573)))</f>
        <v>0</v>
      </c>
    </row>
    <row r="575" spans="1:27" ht="21" customHeight="1" x14ac:dyDescent="0.95">
      <c r="A575" s="56"/>
      <c r="B575" s="57"/>
      <c r="C575" s="57"/>
      <c r="D575" s="57"/>
      <c r="E575" s="56"/>
      <c r="F575" s="57"/>
      <c r="G575" s="57"/>
      <c r="H575" s="56"/>
      <c r="I575" s="56"/>
      <c r="J575" s="58"/>
      <c r="K575" s="58"/>
      <c r="L575" s="13" t="str">
        <f t="shared" si="80"/>
        <v/>
      </c>
      <c r="M575" s="13" t="str">
        <f t="shared" si="81"/>
        <v/>
      </c>
      <c r="Q575" t="str">
        <f t="shared" si="82"/>
        <v/>
      </c>
      <c r="R575" t="str">
        <f t="shared" si="83"/>
        <v/>
      </c>
      <c r="S575" t="str">
        <f t="shared" si="84"/>
        <v/>
      </c>
      <c r="T575" t="str">
        <f t="shared" si="85"/>
        <v/>
      </c>
      <c r="U575" t="str">
        <f t="shared" si="86"/>
        <v/>
      </c>
      <c r="V575" t="str">
        <f t="shared" si="87"/>
        <v/>
      </c>
      <c r="W575" t="str">
        <f t="shared" si="88"/>
        <v/>
      </c>
      <c r="X575">
        <f>IF($T575="",N($X574),IF(MATCH($T575,$T$6:$T$10005,0)=ROW()-5,N($X574)+1,N($X574)))</f>
        <v>0</v>
      </c>
      <c r="Z575" t="str">
        <f t="shared" si="89"/>
        <v/>
      </c>
      <c r="AA575">
        <f>IF($V575="",N($AA574),IF(MATCH($V575,$V$6:$V$10005,0)=ROW()-5,N($AA574)+1,N($AA574)))</f>
        <v>0</v>
      </c>
    </row>
    <row r="576" spans="1:27" ht="21" customHeight="1" x14ac:dyDescent="0.95">
      <c r="A576" s="56"/>
      <c r="B576" s="57"/>
      <c r="C576" s="57"/>
      <c r="D576" s="57"/>
      <c r="E576" s="56"/>
      <c r="F576" s="57"/>
      <c r="G576" s="57"/>
      <c r="H576" s="56"/>
      <c r="I576" s="56"/>
      <c r="J576" s="58"/>
      <c r="K576" s="58"/>
      <c r="L576" s="13" t="str">
        <f t="shared" si="80"/>
        <v/>
      </c>
      <c r="M576" s="13" t="str">
        <f t="shared" si="81"/>
        <v/>
      </c>
      <c r="Q576" t="str">
        <f t="shared" si="82"/>
        <v/>
      </c>
      <c r="R576" t="str">
        <f t="shared" si="83"/>
        <v/>
      </c>
      <c r="S576" t="str">
        <f t="shared" si="84"/>
        <v/>
      </c>
      <c r="T576" t="str">
        <f t="shared" si="85"/>
        <v/>
      </c>
      <c r="U576" t="str">
        <f t="shared" si="86"/>
        <v/>
      </c>
      <c r="V576" t="str">
        <f t="shared" si="87"/>
        <v/>
      </c>
      <c r="W576" t="str">
        <f t="shared" si="88"/>
        <v/>
      </c>
      <c r="X576">
        <f>IF($T576="",N($X575),IF(MATCH($T576,$T$6:$T$10005,0)=ROW()-5,N($X575)+1,N($X575)))</f>
        <v>0</v>
      </c>
      <c r="Z576" t="str">
        <f t="shared" si="89"/>
        <v/>
      </c>
      <c r="AA576">
        <f>IF($V576="",N($AA575),IF(MATCH($V576,$V$6:$V$10005,0)=ROW()-5,N($AA575)+1,N($AA575)))</f>
        <v>0</v>
      </c>
    </row>
    <row r="577" spans="1:27" ht="21" customHeight="1" x14ac:dyDescent="0.95">
      <c r="A577" s="56"/>
      <c r="B577" s="57"/>
      <c r="C577" s="57"/>
      <c r="D577" s="57"/>
      <c r="E577" s="56"/>
      <c r="F577" s="57"/>
      <c r="G577" s="57"/>
      <c r="H577" s="56"/>
      <c r="I577" s="56"/>
      <c r="J577" s="58"/>
      <c r="K577" s="58"/>
      <c r="L577" s="13" t="str">
        <f t="shared" si="80"/>
        <v/>
      </c>
      <c r="M577" s="13" t="str">
        <f t="shared" si="81"/>
        <v/>
      </c>
      <c r="Q577" t="str">
        <f t="shared" si="82"/>
        <v/>
      </c>
      <c r="R577" t="str">
        <f t="shared" si="83"/>
        <v/>
      </c>
      <c r="S577" t="str">
        <f t="shared" si="84"/>
        <v/>
      </c>
      <c r="T577" t="str">
        <f t="shared" si="85"/>
        <v/>
      </c>
      <c r="U577" t="str">
        <f t="shared" si="86"/>
        <v/>
      </c>
      <c r="V577" t="str">
        <f t="shared" si="87"/>
        <v/>
      </c>
      <c r="W577" t="str">
        <f t="shared" si="88"/>
        <v/>
      </c>
      <c r="X577">
        <f>IF($T577="",N($X576),IF(MATCH($T577,$T$6:$T$10005,0)=ROW()-5,N($X576)+1,N($X576)))</f>
        <v>0</v>
      </c>
      <c r="Z577" t="str">
        <f t="shared" si="89"/>
        <v/>
      </c>
      <c r="AA577">
        <f>IF($V577="",N($AA576),IF(MATCH($V577,$V$6:$V$10005,0)=ROW()-5,N($AA576)+1,N($AA576)))</f>
        <v>0</v>
      </c>
    </row>
    <row r="578" spans="1:27" ht="21" customHeight="1" x14ac:dyDescent="0.95">
      <c r="A578" s="56"/>
      <c r="B578" s="57"/>
      <c r="C578" s="57"/>
      <c r="D578" s="57"/>
      <c r="E578" s="56"/>
      <c r="F578" s="57"/>
      <c r="G578" s="57"/>
      <c r="H578" s="56"/>
      <c r="I578" s="56"/>
      <c r="J578" s="58"/>
      <c r="K578" s="58"/>
      <c r="L578" s="13" t="str">
        <f t="shared" si="80"/>
        <v/>
      </c>
      <c r="M578" s="13" t="str">
        <f t="shared" si="81"/>
        <v/>
      </c>
      <c r="Q578" t="str">
        <f t="shared" si="82"/>
        <v/>
      </c>
      <c r="R578" t="str">
        <f t="shared" si="83"/>
        <v/>
      </c>
      <c r="S578" t="str">
        <f t="shared" si="84"/>
        <v/>
      </c>
      <c r="T578" t="str">
        <f t="shared" si="85"/>
        <v/>
      </c>
      <c r="U578" t="str">
        <f t="shared" si="86"/>
        <v/>
      </c>
      <c r="V578" t="str">
        <f t="shared" si="87"/>
        <v/>
      </c>
      <c r="W578" t="str">
        <f t="shared" si="88"/>
        <v/>
      </c>
      <c r="X578">
        <f>IF($T578="",N($X577),IF(MATCH($T578,$T$6:$T$10005,0)=ROW()-5,N($X577)+1,N($X577)))</f>
        <v>0</v>
      </c>
      <c r="Z578" t="str">
        <f t="shared" si="89"/>
        <v/>
      </c>
      <c r="AA578">
        <f>IF($V578="",N($AA577),IF(MATCH($V578,$V$6:$V$10005,0)=ROW()-5,N($AA577)+1,N($AA577)))</f>
        <v>0</v>
      </c>
    </row>
    <row r="579" spans="1:27" ht="21" customHeight="1" x14ac:dyDescent="0.95">
      <c r="A579" s="56"/>
      <c r="B579" s="57"/>
      <c r="C579" s="57"/>
      <c r="D579" s="57"/>
      <c r="E579" s="56"/>
      <c r="F579" s="57"/>
      <c r="G579" s="57"/>
      <c r="H579" s="56"/>
      <c r="I579" s="56"/>
      <c r="J579" s="58"/>
      <c r="K579" s="58"/>
      <c r="L579" s="13" t="str">
        <f t="shared" si="80"/>
        <v/>
      </c>
      <c r="M579" s="13" t="str">
        <f t="shared" si="81"/>
        <v/>
      </c>
      <c r="Q579" t="str">
        <f t="shared" si="82"/>
        <v/>
      </c>
      <c r="R579" t="str">
        <f t="shared" si="83"/>
        <v/>
      </c>
      <c r="S579" t="str">
        <f t="shared" si="84"/>
        <v/>
      </c>
      <c r="T579" t="str">
        <f t="shared" si="85"/>
        <v/>
      </c>
      <c r="U579" t="str">
        <f t="shared" si="86"/>
        <v/>
      </c>
      <c r="V579" t="str">
        <f t="shared" si="87"/>
        <v/>
      </c>
      <c r="W579" t="str">
        <f t="shared" si="88"/>
        <v/>
      </c>
      <c r="X579">
        <f>IF($T579="",N($X578),IF(MATCH($T579,$T$6:$T$10005,0)=ROW()-5,N($X578)+1,N($X578)))</f>
        <v>0</v>
      </c>
      <c r="Z579" t="str">
        <f t="shared" si="89"/>
        <v/>
      </c>
      <c r="AA579">
        <f>IF($V579="",N($AA578),IF(MATCH($V579,$V$6:$V$10005,0)=ROW()-5,N($AA578)+1,N($AA578)))</f>
        <v>0</v>
      </c>
    </row>
    <row r="580" spans="1:27" ht="21" customHeight="1" x14ac:dyDescent="0.95">
      <c r="A580" s="56"/>
      <c r="B580" s="57"/>
      <c r="C580" s="57"/>
      <c r="D580" s="57"/>
      <c r="E580" s="56"/>
      <c r="F580" s="57"/>
      <c r="G580" s="57"/>
      <c r="H580" s="56"/>
      <c r="I580" s="56"/>
      <c r="J580" s="58"/>
      <c r="K580" s="58"/>
      <c r="L580" s="13" t="str">
        <f t="shared" si="80"/>
        <v/>
      </c>
      <c r="M580" s="13" t="str">
        <f t="shared" si="81"/>
        <v/>
      </c>
      <c r="Q580" t="str">
        <f t="shared" si="82"/>
        <v/>
      </c>
      <c r="R580" t="str">
        <f t="shared" si="83"/>
        <v/>
      </c>
      <c r="S580" t="str">
        <f t="shared" si="84"/>
        <v/>
      </c>
      <c r="T580" t="str">
        <f t="shared" si="85"/>
        <v/>
      </c>
      <c r="U580" t="str">
        <f t="shared" si="86"/>
        <v/>
      </c>
      <c r="V580" t="str">
        <f t="shared" si="87"/>
        <v/>
      </c>
      <c r="W580" t="str">
        <f t="shared" si="88"/>
        <v/>
      </c>
      <c r="X580">
        <f>IF($T580="",N($X579),IF(MATCH($T580,$T$6:$T$10005,0)=ROW()-5,N($X579)+1,N($X579)))</f>
        <v>0</v>
      </c>
      <c r="Z580" t="str">
        <f t="shared" si="89"/>
        <v/>
      </c>
      <c r="AA580">
        <f>IF($V580="",N($AA579),IF(MATCH($V580,$V$6:$V$10005,0)=ROW()-5,N($AA579)+1,N($AA579)))</f>
        <v>0</v>
      </c>
    </row>
    <row r="581" spans="1:27" ht="21" customHeight="1" x14ac:dyDescent="0.95">
      <c r="A581" s="56"/>
      <c r="B581" s="57"/>
      <c r="C581" s="57"/>
      <c r="D581" s="57"/>
      <c r="E581" s="56"/>
      <c r="F581" s="57"/>
      <c r="G581" s="57"/>
      <c r="H581" s="56"/>
      <c r="I581" s="56"/>
      <c r="J581" s="58"/>
      <c r="K581" s="58"/>
      <c r="L581" s="13" t="str">
        <f t="shared" si="80"/>
        <v/>
      </c>
      <c r="M581" s="13" t="str">
        <f t="shared" si="81"/>
        <v/>
      </c>
      <c r="Q581" t="str">
        <f t="shared" si="82"/>
        <v/>
      </c>
      <c r="R581" t="str">
        <f t="shared" si="83"/>
        <v/>
      </c>
      <c r="S581" t="str">
        <f t="shared" si="84"/>
        <v/>
      </c>
      <c r="T581" t="str">
        <f t="shared" si="85"/>
        <v/>
      </c>
      <c r="U581" t="str">
        <f t="shared" si="86"/>
        <v/>
      </c>
      <c r="V581" t="str">
        <f t="shared" si="87"/>
        <v/>
      </c>
      <c r="W581" t="str">
        <f t="shared" si="88"/>
        <v/>
      </c>
      <c r="X581">
        <f>IF($T581="",N($X580),IF(MATCH($T581,$T$6:$T$10005,0)=ROW()-5,N($X580)+1,N($X580)))</f>
        <v>0</v>
      </c>
      <c r="Z581" t="str">
        <f t="shared" si="89"/>
        <v/>
      </c>
      <c r="AA581">
        <f>IF($V581="",N($AA580),IF(MATCH($V581,$V$6:$V$10005,0)=ROW()-5,N($AA580)+1,N($AA580)))</f>
        <v>0</v>
      </c>
    </row>
    <row r="582" spans="1:27" ht="21" customHeight="1" x14ac:dyDescent="0.95">
      <c r="A582" s="56"/>
      <c r="B582" s="57"/>
      <c r="C582" s="57"/>
      <c r="D582" s="57"/>
      <c r="E582" s="56"/>
      <c r="F582" s="57"/>
      <c r="G582" s="57"/>
      <c r="H582" s="56"/>
      <c r="I582" s="56"/>
      <c r="J582" s="58"/>
      <c r="K582" s="58"/>
      <c r="L582" s="13" t="str">
        <f t="shared" ref="L582:L645" si="90">IF(OR($A582="",AND($J582="",$K582="")),"",ROUND(N($J582)-N($K582),2))</f>
        <v/>
      </c>
      <c r="M582" s="13" t="str">
        <f t="shared" ref="M582:M645" si="91">IF(OR($A582="",AND($J582="",$K582="")),"",MIN($J582,$K582))</f>
        <v/>
      </c>
      <c r="Q582" t="str">
        <f t="shared" ref="Q582:Q645" si="92">IF($A582="","",$D582&amp;"("&amp;SUBSTITUTE($E582," ","")&amp;")")</f>
        <v/>
      </c>
      <c r="R582" t="str">
        <f t="shared" ref="R582:R645" si="93">IF($A582="","",$B582&amp;" - "&amp;$C582)</f>
        <v/>
      </c>
      <c r="S582" t="str">
        <f t="shared" ref="S582:S645" si="94">IF($A582="","",$R582&amp;"|"&amp;$Q582)</f>
        <v/>
      </c>
      <c r="T582" t="str">
        <f t="shared" ref="T582:T645" si="95">IF($A582="","",$S582&amp;"|"&amp;$F582)</f>
        <v/>
      </c>
      <c r="U582" t="str">
        <f t="shared" ref="U582:U645" si="96">IF($A582="","",$R582&amp;"("&amp;$E582&amp;")")</f>
        <v/>
      </c>
      <c r="V582" t="str">
        <f t="shared" ref="V582:V645" si="97">IF($A582="","",$F582&amp;"|"&amp;$U582&amp;"|"&amp;$D582)</f>
        <v/>
      </c>
      <c r="W582" t="str">
        <f t="shared" ref="W582:W645" si="98">IF($T582="","",IF($X582&gt;N($X581),$X582,""))</f>
        <v/>
      </c>
      <c r="X582">
        <f>IF($T582="",N($X581),IF(MATCH($T582,$T$6:$T$10005,0)=ROW()-5,N($X581)+1,N($X581)))</f>
        <v>0</v>
      </c>
      <c r="Z582" t="str">
        <f t="shared" ref="Z582:Z645" si="99">IF($V582="","",IF($AA582&gt;N($AA581),$AA582,""))</f>
        <v/>
      </c>
      <c r="AA582">
        <f>IF($V582="",N($AA581),IF(MATCH($V582,$V$6:$V$10005,0)=ROW()-5,N($AA581)+1,N($AA581)))</f>
        <v>0</v>
      </c>
    </row>
    <row r="583" spans="1:27" ht="21" customHeight="1" x14ac:dyDescent="0.95">
      <c r="A583" s="56"/>
      <c r="B583" s="57"/>
      <c r="C583" s="57"/>
      <c r="D583" s="57"/>
      <c r="E583" s="56"/>
      <c r="F583" s="57"/>
      <c r="G583" s="57"/>
      <c r="H583" s="56"/>
      <c r="I583" s="56"/>
      <c r="J583" s="58"/>
      <c r="K583" s="58"/>
      <c r="L583" s="13" t="str">
        <f t="shared" si="90"/>
        <v/>
      </c>
      <c r="M583" s="13" t="str">
        <f t="shared" si="91"/>
        <v/>
      </c>
      <c r="Q583" t="str">
        <f t="shared" si="92"/>
        <v/>
      </c>
      <c r="R583" t="str">
        <f t="shared" si="93"/>
        <v/>
      </c>
      <c r="S583" t="str">
        <f t="shared" si="94"/>
        <v/>
      </c>
      <c r="T583" t="str">
        <f t="shared" si="95"/>
        <v/>
      </c>
      <c r="U583" t="str">
        <f t="shared" si="96"/>
        <v/>
      </c>
      <c r="V583" t="str">
        <f t="shared" si="97"/>
        <v/>
      </c>
      <c r="W583" t="str">
        <f t="shared" si="98"/>
        <v/>
      </c>
      <c r="X583">
        <f>IF($T583="",N($X582),IF(MATCH($T583,$T$6:$T$10005,0)=ROW()-5,N($X582)+1,N($X582)))</f>
        <v>0</v>
      </c>
      <c r="Z583" t="str">
        <f t="shared" si="99"/>
        <v/>
      </c>
      <c r="AA583">
        <f>IF($V583="",N($AA582),IF(MATCH($V583,$V$6:$V$10005,0)=ROW()-5,N($AA582)+1,N($AA582)))</f>
        <v>0</v>
      </c>
    </row>
    <row r="584" spans="1:27" ht="21" customHeight="1" x14ac:dyDescent="0.95">
      <c r="A584" s="56"/>
      <c r="B584" s="57"/>
      <c r="C584" s="57"/>
      <c r="D584" s="57"/>
      <c r="E584" s="56"/>
      <c r="F584" s="57"/>
      <c r="G584" s="57"/>
      <c r="H584" s="56"/>
      <c r="I584" s="56"/>
      <c r="J584" s="58"/>
      <c r="K584" s="58"/>
      <c r="L584" s="13" t="str">
        <f t="shared" si="90"/>
        <v/>
      </c>
      <c r="M584" s="13" t="str">
        <f t="shared" si="91"/>
        <v/>
      </c>
      <c r="Q584" t="str">
        <f t="shared" si="92"/>
        <v/>
      </c>
      <c r="R584" t="str">
        <f t="shared" si="93"/>
        <v/>
      </c>
      <c r="S584" t="str">
        <f t="shared" si="94"/>
        <v/>
      </c>
      <c r="T584" t="str">
        <f t="shared" si="95"/>
        <v/>
      </c>
      <c r="U584" t="str">
        <f t="shared" si="96"/>
        <v/>
      </c>
      <c r="V584" t="str">
        <f t="shared" si="97"/>
        <v/>
      </c>
      <c r="W584" t="str">
        <f t="shared" si="98"/>
        <v/>
      </c>
      <c r="X584">
        <f>IF($T584="",N($X583),IF(MATCH($T584,$T$6:$T$10005,0)=ROW()-5,N($X583)+1,N($X583)))</f>
        <v>0</v>
      </c>
      <c r="Z584" t="str">
        <f t="shared" si="99"/>
        <v/>
      </c>
      <c r="AA584">
        <f>IF($V584="",N($AA583),IF(MATCH($V584,$V$6:$V$10005,0)=ROW()-5,N($AA583)+1,N($AA583)))</f>
        <v>0</v>
      </c>
    </row>
    <row r="585" spans="1:27" ht="21" customHeight="1" x14ac:dyDescent="0.95">
      <c r="A585" s="56"/>
      <c r="B585" s="57"/>
      <c r="C585" s="57"/>
      <c r="D585" s="57"/>
      <c r="E585" s="56"/>
      <c r="F585" s="57"/>
      <c r="G585" s="57"/>
      <c r="H585" s="56"/>
      <c r="I585" s="56"/>
      <c r="J585" s="58"/>
      <c r="K585" s="58"/>
      <c r="L585" s="13" t="str">
        <f t="shared" si="90"/>
        <v/>
      </c>
      <c r="M585" s="13" t="str">
        <f t="shared" si="91"/>
        <v/>
      </c>
      <c r="Q585" t="str">
        <f t="shared" si="92"/>
        <v/>
      </c>
      <c r="R585" t="str">
        <f t="shared" si="93"/>
        <v/>
      </c>
      <c r="S585" t="str">
        <f t="shared" si="94"/>
        <v/>
      </c>
      <c r="T585" t="str">
        <f t="shared" si="95"/>
        <v/>
      </c>
      <c r="U585" t="str">
        <f t="shared" si="96"/>
        <v/>
      </c>
      <c r="V585" t="str">
        <f t="shared" si="97"/>
        <v/>
      </c>
      <c r="W585" t="str">
        <f t="shared" si="98"/>
        <v/>
      </c>
      <c r="X585">
        <f>IF($T585="",N($X584),IF(MATCH($T585,$T$6:$T$10005,0)=ROW()-5,N($X584)+1,N($X584)))</f>
        <v>0</v>
      </c>
      <c r="Z585" t="str">
        <f t="shared" si="99"/>
        <v/>
      </c>
      <c r="AA585">
        <f>IF($V585="",N($AA584),IF(MATCH($V585,$V$6:$V$10005,0)=ROW()-5,N($AA584)+1,N($AA584)))</f>
        <v>0</v>
      </c>
    </row>
    <row r="586" spans="1:27" ht="21" customHeight="1" x14ac:dyDescent="0.95">
      <c r="A586" s="56"/>
      <c r="B586" s="57"/>
      <c r="C586" s="57"/>
      <c r="D586" s="57"/>
      <c r="E586" s="56"/>
      <c r="F586" s="57"/>
      <c r="G586" s="57"/>
      <c r="H586" s="56"/>
      <c r="I586" s="56"/>
      <c r="J586" s="58"/>
      <c r="K586" s="58"/>
      <c r="L586" s="13" t="str">
        <f t="shared" si="90"/>
        <v/>
      </c>
      <c r="M586" s="13" t="str">
        <f t="shared" si="91"/>
        <v/>
      </c>
      <c r="Q586" t="str">
        <f t="shared" si="92"/>
        <v/>
      </c>
      <c r="R586" t="str">
        <f t="shared" si="93"/>
        <v/>
      </c>
      <c r="S586" t="str">
        <f t="shared" si="94"/>
        <v/>
      </c>
      <c r="T586" t="str">
        <f t="shared" si="95"/>
        <v/>
      </c>
      <c r="U586" t="str">
        <f t="shared" si="96"/>
        <v/>
      </c>
      <c r="V586" t="str">
        <f t="shared" si="97"/>
        <v/>
      </c>
      <c r="W586" t="str">
        <f t="shared" si="98"/>
        <v/>
      </c>
      <c r="X586">
        <f>IF($T586="",N($X585),IF(MATCH($T586,$T$6:$T$10005,0)=ROW()-5,N($X585)+1,N($X585)))</f>
        <v>0</v>
      </c>
      <c r="Z586" t="str">
        <f t="shared" si="99"/>
        <v/>
      </c>
      <c r="AA586">
        <f>IF($V586="",N($AA585),IF(MATCH($V586,$V$6:$V$10005,0)=ROW()-5,N($AA585)+1,N($AA585)))</f>
        <v>0</v>
      </c>
    </row>
    <row r="587" spans="1:27" ht="21" customHeight="1" x14ac:dyDescent="0.95">
      <c r="A587" s="56"/>
      <c r="B587" s="57"/>
      <c r="C587" s="57"/>
      <c r="D587" s="57"/>
      <c r="E587" s="56"/>
      <c r="F587" s="57"/>
      <c r="G587" s="57"/>
      <c r="H587" s="56"/>
      <c r="I587" s="56"/>
      <c r="J587" s="58"/>
      <c r="K587" s="58"/>
      <c r="L587" s="13" t="str">
        <f t="shared" si="90"/>
        <v/>
      </c>
      <c r="M587" s="13" t="str">
        <f t="shared" si="91"/>
        <v/>
      </c>
      <c r="Q587" t="str">
        <f t="shared" si="92"/>
        <v/>
      </c>
      <c r="R587" t="str">
        <f t="shared" si="93"/>
        <v/>
      </c>
      <c r="S587" t="str">
        <f t="shared" si="94"/>
        <v/>
      </c>
      <c r="T587" t="str">
        <f t="shared" si="95"/>
        <v/>
      </c>
      <c r="U587" t="str">
        <f t="shared" si="96"/>
        <v/>
      </c>
      <c r="V587" t="str">
        <f t="shared" si="97"/>
        <v/>
      </c>
      <c r="W587" t="str">
        <f t="shared" si="98"/>
        <v/>
      </c>
      <c r="X587">
        <f>IF($T587="",N($X586),IF(MATCH($T587,$T$6:$T$10005,0)=ROW()-5,N($X586)+1,N($X586)))</f>
        <v>0</v>
      </c>
      <c r="Z587" t="str">
        <f t="shared" si="99"/>
        <v/>
      </c>
      <c r="AA587">
        <f>IF($V587="",N($AA586),IF(MATCH($V587,$V$6:$V$10005,0)=ROW()-5,N($AA586)+1,N($AA586)))</f>
        <v>0</v>
      </c>
    </row>
    <row r="588" spans="1:27" ht="21" customHeight="1" x14ac:dyDescent="0.95">
      <c r="A588" s="56"/>
      <c r="B588" s="57"/>
      <c r="C588" s="57"/>
      <c r="D588" s="57"/>
      <c r="E588" s="56"/>
      <c r="F588" s="57"/>
      <c r="G588" s="57"/>
      <c r="H588" s="56"/>
      <c r="I588" s="56"/>
      <c r="J588" s="58"/>
      <c r="K588" s="58"/>
      <c r="L588" s="13" t="str">
        <f t="shared" si="90"/>
        <v/>
      </c>
      <c r="M588" s="13" t="str">
        <f t="shared" si="91"/>
        <v/>
      </c>
      <c r="Q588" t="str">
        <f t="shared" si="92"/>
        <v/>
      </c>
      <c r="R588" t="str">
        <f t="shared" si="93"/>
        <v/>
      </c>
      <c r="S588" t="str">
        <f t="shared" si="94"/>
        <v/>
      </c>
      <c r="T588" t="str">
        <f t="shared" si="95"/>
        <v/>
      </c>
      <c r="U588" t="str">
        <f t="shared" si="96"/>
        <v/>
      </c>
      <c r="V588" t="str">
        <f t="shared" si="97"/>
        <v/>
      </c>
      <c r="W588" t="str">
        <f t="shared" si="98"/>
        <v/>
      </c>
      <c r="X588">
        <f>IF($T588="",N($X587),IF(MATCH($T588,$T$6:$T$10005,0)=ROW()-5,N($X587)+1,N($X587)))</f>
        <v>0</v>
      </c>
      <c r="Z588" t="str">
        <f t="shared" si="99"/>
        <v/>
      </c>
      <c r="AA588">
        <f>IF($V588="",N($AA587),IF(MATCH($V588,$V$6:$V$10005,0)=ROW()-5,N($AA587)+1,N($AA587)))</f>
        <v>0</v>
      </c>
    </row>
    <row r="589" spans="1:27" ht="21" customHeight="1" x14ac:dyDescent="0.95">
      <c r="A589" s="56"/>
      <c r="B589" s="57"/>
      <c r="C589" s="57"/>
      <c r="D589" s="57"/>
      <c r="E589" s="56"/>
      <c r="F589" s="57"/>
      <c r="G589" s="57"/>
      <c r="H589" s="56"/>
      <c r="I589" s="56"/>
      <c r="J589" s="58"/>
      <c r="K589" s="58"/>
      <c r="L589" s="13" t="str">
        <f t="shared" si="90"/>
        <v/>
      </c>
      <c r="M589" s="13" t="str">
        <f t="shared" si="91"/>
        <v/>
      </c>
      <c r="Q589" t="str">
        <f t="shared" si="92"/>
        <v/>
      </c>
      <c r="R589" t="str">
        <f t="shared" si="93"/>
        <v/>
      </c>
      <c r="S589" t="str">
        <f t="shared" si="94"/>
        <v/>
      </c>
      <c r="T589" t="str">
        <f t="shared" si="95"/>
        <v/>
      </c>
      <c r="U589" t="str">
        <f t="shared" si="96"/>
        <v/>
      </c>
      <c r="V589" t="str">
        <f t="shared" si="97"/>
        <v/>
      </c>
      <c r="W589" t="str">
        <f t="shared" si="98"/>
        <v/>
      </c>
      <c r="X589">
        <f>IF($T589="",N($X588),IF(MATCH($T589,$T$6:$T$10005,0)=ROW()-5,N($X588)+1,N($X588)))</f>
        <v>0</v>
      </c>
      <c r="Z589" t="str">
        <f t="shared" si="99"/>
        <v/>
      </c>
      <c r="AA589">
        <f>IF($V589="",N($AA588),IF(MATCH($V589,$V$6:$V$10005,0)=ROW()-5,N($AA588)+1,N($AA588)))</f>
        <v>0</v>
      </c>
    </row>
    <row r="590" spans="1:27" ht="21" customHeight="1" x14ac:dyDescent="0.95">
      <c r="A590" s="56"/>
      <c r="B590" s="57"/>
      <c r="C590" s="57"/>
      <c r="D590" s="57"/>
      <c r="E590" s="56"/>
      <c r="F590" s="57"/>
      <c r="G590" s="57"/>
      <c r="H590" s="56"/>
      <c r="I590" s="56"/>
      <c r="J590" s="58"/>
      <c r="K590" s="58"/>
      <c r="L590" s="13" t="str">
        <f t="shared" si="90"/>
        <v/>
      </c>
      <c r="M590" s="13" t="str">
        <f t="shared" si="91"/>
        <v/>
      </c>
      <c r="Q590" t="str">
        <f t="shared" si="92"/>
        <v/>
      </c>
      <c r="R590" t="str">
        <f t="shared" si="93"/>
        <v/>
      </c>
      <c r="S590" t="str">
        <f t="shared" si="94"/>
        <v/>
      </c>
      <c r="T590" t="str">
        <f t="shared" si="95"/>
        <v/>
      </c>
      <c r="U590" t="str">
        <f t="shared" si="96"/>
        <v/>
      </c>
      <c r="V590" t="str">
        <f t="shared" si="97"/>
        <v/>
      </c>
      <c r="W590" t="str">
        <f t="shared" si="98"/>
        <v/>
      </c>
      <c r="X590">
        <f>IF($T590="",N($X589),IF(MATCH($T590,$T$6:$T$10005,0)=ROW()-5,N($X589)+1,N($X589)))</f>
        <v>0</v>
      </c>
      <c r="Z590" t="str">
        <f t="shared" si="99"/>
        <v/>
      </c>
      <c r="AA590">
        <f>IF($V590="",N($AA589),IF(MATCH($V590,$V$6:$V$10005,0)=ROW()-5,N($AA589)+1,N($AA589)))</f>
        <v>0</v>
      </c>
    </row>
    <row r="591" spans="1:27" ht="21" customHeight="1" x14ac:dyDescent="0.95">
      <c r="A591" s="56"/>
      <c r="B591" s="57"/>
      <c r="C591" s="57"/>
      <c r="D591" s="57"/>
      <c r="E591" s="56"/>
      <c r="F591" s="57"/>
      <c r="G591" s="57"/>
      <c r="H591" s="56"/>
      <c r="I591" s="56"/>
      <c r="J591" s="58"/>
      <c r="K591" s="58"/>
      <c r="L591" s="13" t="str">
        <f t="shared" si="90"/>
        <v/>
      </c>
      <c r="M591" s="13" t="str">
        <f t="shared" si="91"/>
        <v/>
      </c>
      <c r="Q591" t="str">
        <f t="shared" si="92"/>
        <v/>
      </c>
      <c r="R591" t="str">
        <f t="shared" si="93"/>
        <v/>
      </c>
      <c r="S591" t="str">
        <f t="shared" si="94"/>
        <v/>
      </c>
      <c r="T591" t="str">
        <f t="shared" si="95"/>
        <v/>
      </c>
      <c r="U591" t="str">
        <f t="shared" si="96"/>
        <v/>
      </c>
      <c r="V591" t="str">
        <f t="shared" si="97"/>
        <v/>
      </c>
      <c r="W591" t="str">
        <f t="shared" si="98"/>
        <v/>
      </c>
      <c r="X591">
        <f>IF($T591="",N($X590),IF(MATCH($T591,$T$6:$T$10005,0)=ROW()-5,N($X590)+1,N($X590)))</f>
        <v>0</v>
      </c>
      <c r="Z591" t="str">
        <f t="shared" si="99"/>
        <v/>
      </c>
      <c r="AA591">
        <f>IF($V591="",N($AA590),IF(MATCH($V591,$V$6:$V$10005,0)=ROW()-5,N($AA590)+1,N($AA590)))</f>
        <v>0</v>
      </c>
    </row>
    <row r="592" spans="1:27" ht="21" customHeight="1" x14ac:dyDescent="0.95">
      <c r="A592" s="56"/>
      <c r="B592" s="57"/>
      <c r="C592" s="57"/>
      <c r="D592" s="57"/>
      <c r="E592" s="56"/>
      <c r="F592" s="57"/>
      <c r="G592" s="57"/>
      <c r="H592" s="56"/>
      <c r="I592" s="56"/>
      <c r="J592" s="58"/>
      <c r="K592" s="58"/>
      <c r="L592" s="13" t="str">
        <f t="shared" si="90"/>
        <v/>
      </c>
      <c r="M592" s="13" t="str">
        <f t="shared" si="91"/>
        <v/>
      </c>
      <c r="Q592" t="str">
        <f t="shared" si="92"/>
        <v/>
      </c>
      <c r="R592" t="str">
        <f t="shared" si="93"/>
        <v/>
      </c>
      <c r="S592" t="str">
        <f t="shared" si="94"/>
        <v/>
      </c>
      <c r="T592" t="str">
        <f t="shared" si="95"/>
        <v/>
      </c>
      <c r="U592" t="str">
        <f t="shared" si="96"/>
        <v/>
      </c>
      <c r="V592" t="str">
        <f t="shared" si="97"/>
        <v/>
      </c>
      <c r="W592" t="str">
        <f t="shared" si="98"/>
        <v/>
      </c>
      <c r="X592">
        <f>IF($T592="",N($X591),IF(MATCH($T592,$T$6:$T$10005,0)=ROW()-5,N($X591)+1,N($X591)))</f>
        <v>0</v>
      </c>
      <c r="Z592" t="str">
        <f t="shared" si="99"/>
        <v/>
      </c>
      <c r="AA592">
        <f>IF($V592="",N($AA591),IF(MATCH($V592,$V$6:$V$10005,0)=ROW()-5,N($AA591)+1,N($AA591)))</f>
        <v>0</v>
      </c>
    </row>
    <row r="593" spans="1:27" ht="21" customHeight="1" x14ac:dyDescent="0.95">
      <c r="A593" s="56"/>
      <c r="B593" s="57"/>
      <c r="C593" s="57"/>
      <c r="D593" s="57"/>
      <c r="E593" s="56"/>
      <c r="F593" s="57"/>
      <c r="G593" s="57"/>
      <c r="H593" s="56"/>
      <c r="I593" s="56"/>
      <c r="J593" s="58"/>
      <c r="K593" s="58"/>
      <c r="L593" s="13" t="str">
        <f t="shared" si="90"/>
        <v/>
      </c>
      <c r="M593" s="13" t="str">
        <f t="shared" si="91"/>
        <v/>
      </c>
      <c r="Q593" t="str">
        <f t="shared" si="92"/>
        <v/>
      </c>
      <c r="R593" t="str">
        <f t="shared" si="93"/>
        <v/>
      </c>
      <c r="S593" t="str">
        <f t="shared" si="94"/>
        <v/>
      </c>
      <c r="T593" t="str">
        <f t="shared" si="95"/>
        <v/>
      </c>
      <c r="U593" t="str">
        <f t="shared" si="96"/>
        <v/>
      </c>
      <c r="V593" t="str">
        <f t="shared" si="97"/>
        <v/>
      </c>
      <c r="W593" t="str">
        <f t="shared" si="98"/>
        <v/>
      </c>
      <c r="X593">
        <f>IF($T593="",N($X592),IF(MATCH($T593,$T$6:$T$10005,0)=ROW()-5,N($X592)+1,N($X592)))</f>
        <v>0</v>
      </c>
      <c r="Z593" t="str">
        <f t="shared" si="99"/>
        <v/>
      </c>
      <c r="AA593">
        <f>IF($V593="",N($AA592),IF(MATCH($V593,$V$6:$V$10005,0)=ROW()-5,N($AA592)+1,N($AA592)))</f>
        <v>0</v>
      </c>
    </row>
    <row r="594" spans="1:27" ht="21" customHeight="1" x14ac:dyDescent="0.95">
      <c r="A594" s="56"/>
      <c r="B594" s="57"/>
      <c r="C594" s="57"/>
      <c r="D594" s="57"/>
      <c r="E594" s="56"/>
      <c r="F594" s="57"/>
      <c r="G594" s="57"/>
      <c r="H594" s="56"/>
      <c r="I594" s="56"/>
      <c r="J594" s="58"/>
      <c r="K594" s="58"/>
      <c r="L594" s="13" t="str">
        <f t="shared" si="90"/>
        <v/>
      </c>
      <c r="M594" s="13" t="str">
        <f t="shared" si="91"/>
        <v/>
      </c>
      <c r="Q594" t="str">
        <f t="shared" si="92"/>
        <v/>
      </c>
      <c r="R594" t="str">
        <f t="shared" si="93"/>
        <v/>
      </c>
      <c r="S594" t="str">
        <f t="shared" si="94"/>
        <v/>
      </c>
      <c r="T594" t="str">
        <f t="shared" si="95"/>
        <v/>
      </c>
      <c r="U594" t="str">
        <f t="shared" si="96"/>
        <v/>
      </c>
      <c r="V594" t="str">
        <f t="shared" si="97"/>
        <v/>
      </c>
      <c r="W594" t="str">
        <f t="shared" si="98"/>
        <v/>
      </c>
      <c r="X594">
        <f>IF($T594="",N($X593),IF(MATCH($T594,$T$6:$T$10005,0)=ROW()-5,N($X593)+1,N($X593)))</f>
        <v>0</v>
      </c>
      <c r="Z594" t="str">
        <f t="shared" si="99"/>
        <v/>
      </c>
      <c r="AA594">
        <f>IF($V594="",N($AA593),IF(MATCH($V594,$V$6:$V$10005,0)=ROW()-5,N($AA593)+1,N($AA593)))</f>
        <v>0</v>
      </c>
    </row>
    <row r="595" spans="1:27" ht="21" customHeight="1" x14ac:dyDescent="0.95">
      <c r="A595" s="56"/>
      <c r="B595" s="57"/>
      <c r="C595" s="57"/>
      <c r="D595" s="57"/>
      <c r="E595" s="56"/>
      <c r="F595" s="57"/>
      <c r="G595" s="57"/>
      <c r="H595" s="56"/>
      <c r="I595" s="56"/>
      <c r="J595" s="58"/>
      <c r="K595" s="58"/>
      <c r="L595" s="13" t="str">
        <f t="shared" si="90"/>
        <v/>
      </c>
      <c r="M595" s="13" t="str">
        <f t="shared" si="91"/>
        <v/>
      </c>
      <c r="Q595" t="str">
        <f t="shared" si="92"/>
        <v/>
      </c>
      <c r="R595" t="str">
        <f t="shared" si="93"/>
        <v/>
      </c>
      <c r="S595" t="str">
        <f t="shared" si="94"/>
        <v/>
      </c>
      <c r="T595" t="str">
        <f t="shared" si="95"/>
        <v/>
      </c>
      <c r="U595" t="str">
        <f t="shared" si="96"/>
        <v/>
      </c>
      <c r="V595" t="str">
        <f t="shared" si="97"/>
        <v/>
      </c>
      <c r="W595" t="str">
        <f t="shared" si="98"/>
        <v/>
      </c>
      <c r="X595">
        <f>IF($T595="",N($X594),IF(MATCH($T595,$T$6:$T$10005,0)=ROW()-5,N($X594)+1,N($X594)))</f>
        <v>0</v>
      </c>
      <c r="Z595" t="str">
        <f t="shared" si="99"/>
        <v/>
      </c>
      <c r="AA595">
        <f>IF($V595="",N($AA594),IF(MATCH($V595,$V$6:$V$10005,0)=ROW()-5,N($AA594)+1,N($AA594)))</f>
        <v>0</v>
      </c>
    </row>
    <row r="596" spans="1:27" ht="21" customHeight="1" x14ac:dyDescent="0.95">
      <c r="A596" s="56"/>
      <c r="B596" s="57"/>
      <c r="C596" s="57"/>
      <c r="D596" s="57"/>
      <c r="E596" s="56"/>
      <c r="F596" s="57"/>
      <c r="G596" s="57"/>
      <c r="H596" s="56"/>
      <c r="I596" s="56"/>
      <c r="J596" s="58"/>
      <c r="K596" s="58"/>
      <c r="L596" s="13" t="str">
        <f t="shared" si="90"/>
        <v/>
      </c>
      <c r="M596" s="13" t="str">
        <f t="shared" si="91"/>
        <v/>
      </c>
      <c r="Q596" t="str">
        <f t="shared" si="92"/>
        <v/>
      </c>
      <c r="R596" t="str">
        <f t="shared" si="93"/>
        <v/>
      </c>
      <c r="S596" t="str">
        <f t="shared" si="94"/>
        <v/>
      </c>
      <c r="T596" t="str">
        <f t="shared" si="95"/>
        <v/>
      </c>
      <c r="U596" t="str">
        <f t="shared" si="96"/>
        <v/>
      </c>
      <c r="V596" t="str">
        <f t="shared" si="97"/>
        <v/>
      </c>
      <c r="W596" t="str">
        <f t="shared" si="98"/>
        <v/>
      </c>
      <c r="X596">
        <f>IF($T596="",N($X595),IF(MATCH($T596,$T$6:$T$10005,0)=ROW()-5,N($X595)+1,N($X595)))</f>
        <v>0</v>
      </c>
      <c r="Z596" t="str">
        <f t="shared" si="99"/>
        <v/>
      </c>
      <c r="AA596">
        <f>IF($V596="",N($AA595),IF(MATCH($V596,$V$6:$V$10005,0)=ROW()-5,N($AA595)+1,N($AA595)))</f>
        <v>0</v>
      </c>
    </row>
    <row r="597" spans="1:27" ht="21" customHeight="1" x14ac:dyDescent="0.95">
      <c r="A597" s="56"/>
      <c r="B597" s="57"/>
      <c r="C597" s="57"/>
      <c r="D597" s="57"/>
      <c r="E597" s="56"/>
      <c r="F597" s="57"/>
      <c r="G597" s="57"/>
      <c r="H597" s="56"/>
      <c r="I597" s="56"/>
      <c r="J597" s="58"/>
      <c r="K597" s="58"/>
      <c r="L597" s="13" t="str">
        <f t="shared" si="90"/>
        <v/>
      </c>
      <c r="M597" s="13" t="str">
        <f t="shared" si="91"/>
        <v/>
      </c>
      <c r="Q597" t="str">
        <f t="shared" si="92"/>
        <v/>
      </c>
      <c r="R597" t="str">
        <f t="shared" si="93"/>
        <v/>
      </c>
      <c r="S597" t="str">
        <f t="shared" si="94"/>
        <v/>
      </c>
      <c r="T597" t="str">
        <f t="shared" si="95"/>
        <v/>
      </c>
      <c r="U597" t="str">
        <f t="shared" si="96"/>
        <v/>
      </c>
      <c r="V597" t="str">
        <f t="shared" si="97"/>
        <v/>
      </c>
      <c r="W597" t="str">
        <f t="shared" si="98"/>
        <v/>
      </c>
      <c r="X597">
        <f>IF($T597="",N($X596),IF(MATCH($T597,$T$6:$T$10005,0)=ROW()-5,N($X596)+1,N($X596)))</f>
        <v>0</v>
      </c>
      <c r="Z597" t="str">
        <f t="shared" si="99"/>
        <v/>
      </c>
      <c r="AA597">
        <f>IF($V597="",N($AA596),IF(MATCH($V597,$V$6:$V$10005,0)=ROW()-5,N($AA596)+1,N($AA596)))</f>
        <v>0</v>
      </c>
    </row>
    <row r="598" spans="1:27" ht="21" customHeight="1" x14ac:dyDescent="0.95">
      <c r="A598" s="56"/>
      <c r="B598" s="57"/>
      <c r="C598" s="57"/>
      <c r="D598" s="57"/>
      <c r="E598" s="56"/>
      <c r="F598" s="57"/>
      <c r="G598" s="57"/>
      <c r="H598" s="56"/>
      <c r="I598" s="56"/>
      <c r="J598" s="58"/>
      <c r="K598" s="58"/>
      <c r="L598" s="13" t="str">
        <f t="shared" si="90"/>
        <v/>
      </c>
      <c r="M598" s="13" t="str">
        <f t="shared" si="91"/>
        <v/>
      </c>
      <c r="Q598" t="str">
        <f t="shared" si="92"/>
        <v/>
      </c>
      <c r="R598" t="str">
        <f t="shared" si="93"/>
        <v/>
      </c>
      <c r="S598" t="str">
        <f t="shared" si="94"/>
        <v/>
      </c>
      <c r="T598" t="str">
        <f t="shared" si="95"/>
        <v/>
      </c>
      <c r="U598" t="str">
        <f t="shared" si="96"/>
        <v/>
      </c>
      <c r="V598" t="str">
        <f t="shared" si="97"/>
        <v/>
      </c>
      <c r="W598" t="str">
        <f t="shared" si="98"/>
        <v/>
      </c>
      <c r="X598">
        <f>IF($T598="",N($X597),IF(MATCH($T598,$T$6:$T$10005,0)=ROW()-5,N($X597)+1,N($X597)))</f>
        <v>0</v>
      </c>
      <c r="Z598" t="str">
        <f t="shared" si="99"/>
        <v/>
      </c>
      <c r="AA598">
        <f>IF($V598="",N($AA597),IF(MATCH($V598,$V$6:$V$10005,0)=ROW()-5,N($AA597)+1,N($AA597)))</f>
        <v>0</v>
      </c>
    </row>
    <row r="599" spans="1:27" ht="21" customHeight="1" x14ac:dyDescent="0.95">
      <c r="A599" s="56"/>
      <c r="B599" s="57"/>
      <c r="C599" s="57"/>
      <c r="D599" s="57"/>
      <c r="E599" s="56"/>
      <c r="F599" s="57"/>
      <c r="G599" s="57"/>
      <c r="H599" s="56"/>
      <c r="I599" s="56"/>
      <c r="J599" s="58"/>
      <c r="K599" s="58"/>
      <c r="L599" s="13" t="str">
        <f t="shared" si="90"/>
        <v/>
      </c>
      <c r="M599" s="13" t="str">
        <f t="shared" si="91"/>
        <v/>
      </c>
      <c r="Q599" t="str">
        <f t="shared" si="92"/>
        <v/>
      </c>
      <c r="R599" t="str">
        <f t="shared" si="93"/>
        <v/>
      </c>
      <c r="S599" t="str">
        <f t="shared" si="94"/>
        <v/>
      </c>
      <c r="T599" t="str">
        <f t="shared" si="95"/>
        <v/>
      </c>
      <c r="U599" t="str">
        <f t="shared" si="96"/>
        <v/>
      </c>
      <c r="V599" t="str">
        <f t="shared" si="97"/>
        <v/>
      </c>
      <c r="W599" t="str">
        <f t="shared" si="98"/>
        <v/>
      </c>
      <c r="X599">
        <f>IF($T599="",N($X598),IF(MATCH($T599,$T$6:$T$10005,0)=ROW()-5,N($X598)+1,N($X598)))</f>
        <v>0</v>
      </c>
      <c r="Z599" t="str">
        <f t="shared" si="99"/>
        <v/>
      </c>
      <c r="AA599">
        <f>IF($V599="",N($AA598),IF(MATCH($V599,$V$6:$V$10005,0)=ROW()-5,N($AA598)+1,N($AA598)))</f>
        <v>0</v>
      </c>
    </row>
    <row r="600" spans="1:27" ht="21" customHeight="1" x14ac:dyDescent="0.95">
      <c r="A600" s="56"/>
      <c r="B600" s="57"/>
      <c r="C600" s="57"/>
      <c r="D600" s="57"/>
      <c r="E600" s="56"/>
      <c r="F600" s="57"/>
      <c r="G600" s="57"/>
      <c r="H600" s="56"/>
      <c r="I600" s="56"/>
      <c r="J600" s="58"/>
      <c r="K600" s="58"/>
      <c r="L600" s="13" t="str">
        <f t="shared" si="90"/>
        <v/>
      </c>
      <c r="M600" s="13" t="str">
        <f t="shared" si="91"/>
        <v/>
      </c>
      <c r="Q600" t="str">
        <f t="shared" si="92"/>
        <v/>
      </c>
      <c r="R600" t="str">
        <f t="shared" si="93"/>
        <v/>
      </c>
      <c r="S600" t="str">
        <f t="shared" si="94"/>
        <v/>
      </c>
      <c r="T600" t="str">
        <f t="shared" si="95"/>
        <v/>
      </c>
      <c r="U600" t="str">
        <f t="shared" si="96"/>
        <v/>
      </c>
      <c r="V600" t="str">
        <f t="shared" si="97"/>
        <v/>
      </c>
      <c r="W600" t="str">
        <f t="shared" si="98"/>
        <v/>
      </c>
      <c r="X600">
        <f>IF($T600="",N($X599),IF(MATCH($T600,$T$6:$T$10005,0)=ROW()-5,N($X599)+1,N($X599)))</f>
        <v>0</v>
      </c>
      <c r="Z600" t="str">
        <f t="shared" si="99"/>
        <v/>
      </c>
      <c r="AA600">
        <f>IF($V600="",N($AA599),IF(MATCH($V600,$V$6:$V$10005,0)=ROW()-5,N($AA599)+1,N($AA599)))</f>
        <v>0</v>
      </c>
    </row>
    <row r="601" spans="1:27" ht="21" customHeight="1" x14ac:dyDescent="0.95">
      <c r="A601" s="56"/>
      <c r="B601" s="57"/>
      <c r="C601" s="57"/>
      <c r="D601" s="57"/>
      <c r="E601" s="56"/>
      <c r="F601" s="57"/>
      <c r="G601" s="57"/>
      <c r="H601" s="56"/>
      <c r="I601" s="56"/>
      <c r="J601" s="58"/>
      <c r="K601" s="58"/>
      <c r="L601" s="13" t="str">
        <f t="shared" si="90"/>
        <v/>
      </c>
      <c r="M601" s="13" t="str">
        <f t="shared" si="91"/>
        <v/>
      </c>
      <c r="Q601" t="str">
        <f t="shared" si="92"/>
        <v/>
      </c>
      <c r="R601" t="str">
        <f t="shared" si="93"/>
        <v/>
      </c>
      <c r="S601" t="str">
        <f t="shared" si="94"/>
        <v/>
      </c>
      <c r="T601" t="str">
        <f t="shared" si="95"/>
        <v/>
      </c>
      <c r="U601" t="str">
        <f t="shared" si="96"/>
        <v/>
      </c>
      <c r="V601" t="str">
        <f t="shared" si="97"/>
        <v/>
      </c>
      <c r="W601" t="str">
        <f t="shared" si="98"/>
        <v/>
      </c>
      <c r="X601">
        <f>IF($T601="",N($X600),IF(MATCH($T601,$T$6:$T$10005,0)=ROW()-5,N($X600)+1,N($X600)))</f>
        <v>0</v>
      </c>
      <c r="Z601" t="str">
        <f t="shared" si="99"/>
        <v/>
      </c>
      <c r="AA601">
        <f>IF($V601="",N($AA600),IF(MATCH($V601,$V$6:$V$10005,0)=ROW()-5,N($AA600)+1,N($AA600)))</f>
        <v>0</v>
      </c>
    </row>
    <row r="602" spans="1:27" ht="21" customHeight="1" x14ac:dyDescent="0.95">
      <c r="A602" s="56"/>
      <c r="B602" s="57"/>
      <c r="C602" s="57"/>
      <c r="D602" s="57"/>
      <c r="E602" s="56"/>
      <c r="F602" s="57"/>
      <c r="G602" s="57"/>
      <c r="H602" s="56"/>
      <c r="I602" s="56"/>
      <c r="J602" s="58"/>
      <c r="K602" s="58"/>
      <c r="L602" s="13" t="str">
        <f t="shared" si="90"/>
        <v/>
      </c>
      <c r="M602" s="13" t="str">
        <f t="shared" si="91"/>
        <v/>
      </c>
      <c r="Q602" t="str">
        <f t="shared" si="92"/>
        <v/>
      </c>
      <c r="R602" t="str">
        <f t="shared" si="93"/>
        <v/>
      </c>
      <c r="S602" t="str">
        <f t="shared" si="94"/>
        <v/>
      </c>
      <c r="T602" t="str">
        <f t="shared" si="95"/>
        <v/>
      </c>
      <c r="U602" t="str">
        <f t="shared" si="96"/>
        <v/>
      </c>
      <c r="V602" t="str">
        <f t="shared" si="97"/>
        <v/>
      </c>
      <c r="W602" t="str">
        <f t="shared" si="98"/>
        <v/>
      </c>
      <c r="X602">
        <f>IF($T602="",N($X601),IF(MATCH($T602,$T$6:$T$10005,0)=ROW()-5,N($X601)+1,N($X601)))</f>
        <v>0</v>
      </c>
      <c r="Z602" t="str">
        <f t="shared" si="99"/>
        <v/>
      </c>
      <c r="AA602">
        <f>IF($V602="",N($AA601),IF(MATCH($V602,$V$6:$V$10005,0)=ROW()-5,N($AA601)+1,N($AA601)))</f>
        <v>0</v>
      </c>
    </row>
    <row r="603" spans="1:27" ht="21" customHeight="1" x14ac:dyDescent="0.95">
      <c r="A603" s="56"/>
      <c r="B603" s="57"/>
      <c r="C603" s="57"/>
      <c r="D603" s="57"/>
      <c r="E603" s="56"/>
      <c r="F603" s="57"/>
      <c r="G603" s="57"/>
      <c r="H603" s="56"/>
      <c r="I603" s="56"/>
      <c r="J603" s="58"/>
      <c r="K603" s="58"/>
      <c r="L603" s="13" t="str">
        <f t="shared" si="90"/>
        <v/>
      </c>
      <c r="M603" s="13" t="str">
        <f t="shared" si="91"/>
        <v/>
      </c>
      <c r="Q603" t="str">
        <f t="shared" si="92"/>
        <v/>
      </c>
      <c r="R603" t="str">
        <f t="shared" si="93"/>
        <v/>
      </c>
      <c r="S603" t="str">
        <f t="shared" si="94"/>
        <v/>
      </c>
      <c r="T603" t="str">
        <f t="shared" si="95"/>
        <v/>
      </c>
      <c r="U603" t="str">
        <f t="shared" si="96"/>
        <v/>
      </c>
      <c r="V603" t="str">
        <f t="shared" si="97"/>
        <v/>
      </c>
      <c r="W603" t="str">
        <f t="shared" si="98"/>
        <v/>
      </c>
      <c r="X603">
        <f>IF($T603="",N($X602),IF(MATCH($T603,$T$6:$T$10005,0)=ROW()-5,N($X602)+1,N($X602)))</f>
        <v>0</v>
      </c>
      <c r="Z603" t="str">
        <f t="shared" si="99"/>
        <v/>
      </c>
      <c r="AA603">
        <f>IF($V603="",N($AA602),IF(MATCH($V603,$V$6:$V$10005,0)=ROW()-5,N($AA602)+1,N($AA602)))</f>
        <v>0</v>
      </c>
    </row>
    <row r="604" spans="1:27" ht="21" customHeight="1" x14ac:dyDescent="0.95">
      <c r="A604" s="56"/>
      <c r="B604" s="57"/>
      <c r="C604" s="57"/>
      <c r="D604" s="57"/>
      <c r="E604" s="56"/>
      <c r="F604" s="57"/>
      <c r="G604" s="57"/>
      <c r="H604" s="56"/>
      <c r="I604" s="56"/>
      <c r="J604" s="58"/>
      <c r="K604" s="58"/>
      <c r="L604" s="13" t="str">
        <f t="shared" si="90"/>
        <v/>
      </c>
      <c r="M604" s="13" t="str">
        <f t="shared" si="91"/>
        <v/>
      </c>
      <c r="Q604" t="str">
        <f t="shared" si="92"/>
        <v/>
      </c>
      <c r="R604" t="str">
        <f t="shared" si="93"/>
        <v/>
      </c>
      <c r="S604" t="str">
        <f t="shared" si="94"/>
        <v/>
      </c>
      <c r="T604" t="str">
        <f t="shared" si="95"/>
        <v/>
      </c>
      <c r="U604" t="str">
        <f t="shared" si="96"/>
        <v/>
      </c>
      <c r="V604" t="str">
        <f t="shared" si="97"/>
        <v/>
      </c>
      <c r="W604" t="str">
        <f t="shared" si="98"/>
        <v/>
      </c>
      <c r="X604">
        <f>IF($T604="",N($X603),IF(MATCH($T604,$T$6:$T$10005,0)=ROW()-5,N($X603)+1,N($X603)))</f>
        <v>0</v>
      </c>
      <c r="Z604" t="str">
        <f t="shared" si="99"/>
        <v/>
      </c>
      <c r="AA604">
        <f>IF($V604="",N($AA603),IF(MATCH($V604,$V$6:$V$10005,0)=ROW()-5,N($AA603)+1,N($AA603)))</f>
        <v>0</v>
      </c>
    </row>
    <row r="605" spans="1:27" ht="21" customHeight="1" x14ac:dyDescent="0.95">
      <c r="A605" s="56"/>
      <c r="B605" s="57"/>
      <c r="C605" s="57"/>
      <c r="D605" s="57"/>
      <c r="E605" s="56"/>
      <c r="F605" s="57"/>
      <c r="G605" s="57"/>
      <c r="H605" s="56"/>
      <c r="I605" s="56"/>
      <c r="J605" s="58"/>
      <c r="K605" s="58"/>
      <c r="L605" s="13" t="str">
        <f t="shared" si="90"/>
        <v/>
      </c>
      <c r="M605" s="13" t="str">
        <f t="shared" si="91"/>
        <v/>
      </c>
      <c r="Q605" t="str">
        <f t="shared" si="92"/>
        <v/>
      </c>
      <c r="R605" t="str">
        <f t="shared" si="93"/>
        <v/>
      </c>
      <c r="S605" t="str">
        <f t="shared" si="94"/>
        <v/>
      </c>
      <c r="T605" t="str">
        <f t="shared" si="95"/>
        <v/>
      </c>
      <c r="U605" t="str">
        <f t="shared" si="96"/>
        <v/>
      </c>
      <c r="V605" t="str">
        <f t="shared" si="97"/>
        <v/>
      </c>
      <c r="W605" t="str">
        <f t="shared" si="98"/>
        <v/>
      </c>
      <c r="X605">
        <f>IF($T605="",N($X604),IF(MATCH($T605,$T$6:$T$10005,0)=ROW()-5,N($X604)+1,N($X604)))</f>
        <v>0</v>
      </c>
      <c r="Z605" t="str">
        <f t="shared" si="99"/>
        <v/>
      </c>
      <c r="AA605">
        <f>IF($V605="",N($AA604),IF(MATCH($V605,$V$6:$V$10005,0)=ROW()-5,N($AA604)+1,N($AA604)))</f>
        <v>0</v>
      </c>
    </row>
    <row r="606" spans="1:27" ht="21" customHeight="1" x14ac:dyDescent="0.95">
      <c r="A606" s="56"/>
      <c r="B606" s="57"/>
      <c r="C606" s="57"/>
      <c r="D606" s="57"/>
      <c r="E606" s="56"/>
      <c r="F606" s="57"/>
      <c r="G606" s="57"/>
      <c r="H606" s="56"/>
      <c r="I606" s="56"/>
      <c r="J606" s="58"/>
      <c r="K606" s="58"/>
      <c r="L606" s="13" t="str">
        <f t="shared" si="90"/>
        <v/>
      </c>
      <c r="M606" s="13" t="str">
        <f t="shared" si="91"/>
        <v/>
      </c>
      <c r="Q606" t="str">
        <f t="shared" si="92"/>
        <v/>
      </c>
      <c r="R606" t="str">
        <f t="shared" si="93"/>
        <v/>
      </c>
      <c r="S606" t="str">
        <f t="shared" si="94"/>
        <v/>
      </c>
      <c r="T606" t="str">
        <f t="shared" si="95"/>
        <v/>
      </c>
      <c r="U606" t="str">
        <f t="shared" si="96"/>
        <v/>
      </c>
      <c r="V606" t="str">
        <f t="shared" si="97"/>
        <v/>
      </c>
      <c r="W606" t="str">
        <f t="shared" si="98"/>
        <v/>
      </c>
      <c r="X606">
        <f>IF($T606="",N($X605),IF(MATCH($T606,$T$6:$T$10005,0)=ROW()-5,N($X605)+1,N($X605)))</f>
        <v>0</v>
      </c>
      <c r="Z606" t="str">
        <f t="shared" si="99"/>
        <v/>
      </c>
      <c r="AA606">
        <f>IF($V606="",N($AA605),IF(MATCH($V606,$V$6:$V$10005,0)=ROW()-5,N($AA605)+1,N($AA605)))</f>
        <v>0</v>
      </c>
    </row>
    <row r="607" spans="1:27" ht="21" customHeight="1" x14ac:dyDescent="0.95">
      <c r="A607" s="56"/>
      <c r="B607" s="57"/>
      <c r="C607" s="57"/>
      <c r="D607" s="57"/>
      <c r="E607" s="56"/>
      <c r="F607" s="57"/>
      <c r="G607" s="57"/>
      <c r="H607" s="56"/>
      <c r="I607" s="56"/>
      <c r="J607" s="58"/>
      <c r="K607" s="58"/>
      <c r="L607" s="13" t="str">
        <f t="shared" si="90"/>
        <v/>
      </c>
      <c r="M607" s="13" t="str">
        <f t="shared" si="91"/>
        <v/>
      </c>
      <c r="Q607" t="str">
        <f t="shared" si="92"/>
        <v/>
      </c>
      <c r="R607" t="str">
        <f t="shared" si="93"/>
        <v/>
      </c>
      <c r="S607" t="str">
        <f t="shared" si="94"/>
        <v/>
      </c>
      <c r="T607" t="str">
        <f t="shared" si="95"/>
        <v/>
      </c>
      <c r="U607" t="str">
        <f t="shared" si="96"/>
        <v/>
      </c>
      <c r="V607" t="str">
        <f t="shared" si="97"/>
        <v/>
      </c>
      <c r="W607" t="str">
        <f t="shared" si="98"/>
        <v/>
      </c>
      <c r="X607">
        <f>IF($T607="",N($X606),IF(MATCH($T607,$T$6:$T$10005,0)=ROW()-5,N($X606)+1,N($X606)))</f>
        <v>0</v>
      </c>
      <c r="Z607" t="str">
        <f t="shared" si="99"/>
        <v/>
      </c>
      <c r="AA607">
        <f>IF($V607="",N($AA606),IF(MATCH($V607,$V$6:$V$10005,0)=ROW()-5,N($AA606)+1,N($AA606)))</f>
        <v>0</v>
      </c>
    </row>
    <row r="608" spans="1:27" ht="21" customHeight="1" x14ac:dyDescent="0.95">
      <c r="A608" s="56"/>
      <c r="B608" s="57"/>
      <c r="C608" s="57"/>
      <c r="D608" s="57"/>
      <c r="E608" s="56"/>
      <c r="F608" s="57"/>
      <c r="G608" s="57"/>
      <c r="H608" s="56"/>
      <c r="I608" s="56"/>
      <c r="J608" s="58"/>
      <c r="K608" s="58"/>
      <c r="L608" s="13" t="str">
        <f t="shared" si="90"/>
        <v/>
      </c>
      <c r="M608" s="13" t="str">
        <f t="shared" si="91"/>
        <v/>
      </c>
      <c r="Q608" t="str">
        <f t="shared" si="92"/>
        <v/>
      </c>
      <c r="R608" t="str">
        <f t="shared" si="93"/>
        <v/>
      </c>
      <c r="S608" t="str">
        <f t="shared" si="94"/>
        <v/>
      </c>
      <c r="T608" t="str">
        <f t="shared" si="95"/>
        <v/>
      </c>
      <c r="U608" t="str">
        <f t="shared" si="96"/>
        <v/>
      </c>
      <c r="V608" t="str">
        <f t="shared" si="97"/>
        <v/>
      </c>
      <c r="W608" t="str">
        <f t="shared" si="98"/>
        <v/>
      </c>
      <c r="X608">
        <f>IF($T608="",N($X607),IF(MATCH($T608,$T$6:$T$10005,0)=ROW()-5,N($X607)+1,N($X607)))</f>
        <v>0</v>
      </c>
      <c r="Z608" t="str">
        <f t="shared" si="99"/>
        <v/>
      </c>
      <c r="AA608">
        <f>IF($V608="",N($AA607),IF(MATCH($V608,$V$6:$V$10005,0)=ROW()-5,N($AA607)+1,N($AA607)))</f>
        <v>0</v>
      </c>
    </row>
    <row r="609" spans="1:27" ht="21" customHeight="1" x14ac:dyDescent="0.95">
      <c r="A609" s="56"/>
      <c r="B609" s="57"/>
      <c r="C609" s="57"/>
      <c r="D609" s="57"/>
      <c r="E609" s="56"/>
      <c r="F609" s="57"/>
      <c r="G609" s="57"/>
      <c r="H609" s="56"/>
      <c r="I609" s="56"/>
      <c r="J609" s="58"/>
      <c r="K609" s="58"/>
      <c r="L609" s="13" t="str">
        <f t="shared" si="90"/>
        <v/>
      </c>
      <c r="M609" s="13" t="str">
        <f t="shared" si="91"/>
        <v/>
      </c>
      <c r="Q609" t="str">
        <f t="shared" si="92"/>
        <v/>
      </c>
      <c r="R609" t="str">
        <f t="shared" si="93"/>
        <v/>
      </c>
      <c r="S609" t="str">
        <f t="shared" si="94"/>
        <v/>
      </c>
      <c r="T609" t="str">
        <f t="shared" si="95"/>
        <v/>
      </c>
      <c r="U609" t="str">
        <f t="shared" si="96"/>
        <v/>
      </c>
      <c r="V609" t="str">
        <f t="shared" si="97"/>
        <v/>
      </c>
      <c r="W609" t="str">
        <f t="shared" si="98"/>
        <v/>
      </c>
      <c r="X609">
        <f>IF($T609="",N($X608),IF(MATCH($T609,$T$6:$T$10005,0)=ROW()-5,N($X608)+1,N($X608)))</f>
        <v>0</v>
      </c>
      <c r="Z609" t="str">
        <f t="shared" si="99"/>
        <v/>
      </c>
      <c r="AA609">
        <f>IF($V609="",N($AA608),IF(MATCH($V609,$V$6:$V$10005,0)=ROW()-5,N($AA608)+1,N($AA608)))</f>
        <v>0</v>
      </c>
    </row>
    <row r="610" spans="1:27" ht="21" customHeight="1" x14ac:dyDescent="0.95">
      <c r="A610" s="56"/>
      <c r="B610" s="57"/>
      <c r="C610" s="57"/>
      <c r="D610" s="57"/>
      <c r="E610" s="56"/>
      <c r="F610" s="57"/>
      <c r="G610" s="57"/>
      <c r="H610" s="56"/>
      <c r="I610" s="56"/>
      <c r="J610" s="58"/>
      <c r="K610" s="58"/>
      <c r="L610" s="13" t="str">
        <f t="shared" si="90"/>
        <v/>
      </c>
      <c r="M610" s="13" t="str">
        <f t="shared" si="91"/>
        <v/>
      </c>
      <c r="Q610" t="str">
        <f t="shared" si="92"/>
        <v/>
      </c>
      <c r="R610" t="str">
        <f t="shared" si="93"/>
        <v/>
      </c>
      <c r="S610" t="str">
        <f t="shared" si="94"/>
        <v/>
      </c>
      <c r="T610" t="str">
        <f t="shared" si="95"/>
        <v/>
      </c>
      <c r="U610" t="str">
        <f t="shared" si="96"/>
        <v/>
      </c>
      <c r="V610" t="str">
        <f t="shared" si="97"/>
        <v/>
      </c>
      <c r="W610" t="str">
        <f t="shared" si="98"/>
        <v/>
      </c>
      <c r="X610">
        <f>IF($T610="",N($X609),IF(MATCH($T610,$T$6:$T$10005,0)=ROW()-5,N($X609)+1,N($X609)))</f>
        <v>0</v>
      </c>
      <c r="Z610" t="str">
        <f t="shared" si="99"/>
        <v/>
      </c>
      <c r="AA610">
        <f>IF($V610="",N($AA609),IF(MATCH($V610,$V$6:$V$10005,0)=ROW()-5,N($AA609)+1,N($AA609)))</f>
        <v>0</v>
      </c>
    </row>
    <row r="611" spans="1:27" ht="21" customHeight="1" x14ac:dyDescent="0.95">
      <c r="A611" s="56"/>
      <c r="B611" s="57"/>
      <c r="C611" s="57"/>
      <c r="D611" s="57"/>
      <c r="E611" s="56"/>
      <c r="F611" s="57"/>
      <c r="G611" s="57"/>
      <c r="H611" s="56"/>
      <c r="I611" s="56"/>
      <c r="J611" s="58"/>
      <c r="K611" s="58"/>
      <c r="L611" s="13" t="str">
        <f t="shared" si="90"/>
        <v/>
      </c>
      <c r="M611" s="13" t="str">
        <f t="shared" si="91"/>
        <v/>
      </c>
      <c r="Q611" t="str">
        <f t="shared" si="92"/>
        <v/>
      </c>
      <c r="R611" t="str">
        <f t="shared" si="93"/>
        <v/>
      </c>
      <c r="S611" t="str">
        <f t="shared" si="94"/>
        <v/>
      </c>
      <c r="T611" t="str">
        <f t="shared" si="95"/>
        <v/>
      </c>
      <c r="U611" t="str">
        <f t="shared" si="96"/>
        <v/>
      </c>
      <c r="V611" t="str">
        <f t="shared" si="97"/>
        <v/>
      </c>
      <c r="W611" t="str">
        <f t="shared" si="98"/>
        <v/>
      </c>
      <c r="X611">
        <f>IF($T611="",N($X610),IF(MATCH($T611,$T$6:$T$10005,0)=ROW()-5,N($X610)+1,N($X610)))</f>
        <v>0</v>
      </c>
      <c r="Z611" t="str">
        <f t="shared" si="99"/>
        <v/>
      </c>
      <c r="AA611">
        <f>IF($V611="",N($AA610),IF(MATCH($V611,$V$6:$V$10005,0)=ROW()-5,N($AA610)+1,N($AA610)))</f>
        <v>0</v>
      </c>
    </row>
    <row r="612" spans="1:27" ht="21" customHeight="1" x14ac:dyDescent="0.95">
      <c r="A612" s="56"/>
      <c r="B612" s="57"/>
      <c r="C612" s="57"/>
      <c r="D612" s="57"/>
      <c r="E612" s="56"/>
      <c r="F612" s="57"/>
      <c r="G612" s="57"/>
      <c r="H612" s="56"/>
      <c r="I612" s="56"/>
      <c r="J612" s="58"/>
      <c r="K612" s="58"/>
      <c r="L612" s="13" t="str">
        <f t="shared" si="90"/>
        <v/>
      </c>
      <c r="M612" s="13" t="str">
        <f t="shared" si="91"/>
        <v/>
      </c>
      <c r="Q612" t="str">
        <f t="shared" si="92"/>
        <v/>
      </c>
      <c r="R612" t="str">
        <f t="shared" si="93"/>
        <v/>
      </c>
      <c r="S612" t="str">
        <f t="shared" si="94"/>
        <v/>
      </c>
      <c r="T612" t="str">
        <f t="shared" si="95"/>
        <v/>
      </c>
      <c r="U612" t="str">
        <f t="shared" si="96"/>
        <v/>
      </c>
      <c r="V612" t="str">
        <f t="shared" si="97"/>
        <v/>
      </c>
      <c r="W612" t="str">
        <f t="shared" si="98"/>
        <v/>
      </c>
      <c r="X612">
        <f>IF($T612="",N($X611),IF(MATCH($T612,$T$6:$T$10005,0)=ROW()-5,N($X611)+1,N($X611)))</f>
        <v>0</v>
      </c>
      <c r="Z612" t="str">
        <f t="shared" si="99"/>
        <v/>
      </c>
      <c r="AA612">
        <f>IF($V612="",N($AA611),IF(MATCH($V612,$V$6:$V$10005,0)=ROW()-5,N($AA611)+1,N($AA611)))</f>
        <v>0</v>
      </c>
    </row>
    <row r="613" spans="1:27" ht="21" customHeight="1" x14ac:dyDescent="0.95">
      <c r="A613" s="56"/>
      <c r="B613" s="57"/>
      <c r="C613" s="57"/>
      <c r="D613" s="57"/>
      <c r="E613" s="56"/>
      <c r="F613" s="57"/>
      <c r="G613" s="57"/>
      <c r="H613" s="56"/>
      <c r="I613" s="56"/>
      <c r="J613" s="58"/>
      <c r="K613" s="58"/>
      <c r="L613" s="13" t="str">
        <f t="shared" si="90"/>
        <v/>
      </c>
      <c r="M613" s="13" t="str">
        <f t="shared" si="91"/>
        <v/>
      </c>
      <c r="Q613" t="str">
        <f t="shared" si="92"/>
        <v/>
      </c>
      <c r="R613" t="str">
        <f t="shared" si="93"/>
        <v/>
      </c>
      <c r="S613" t="str">
        <f t="shared" si="94"/>
        <v/>
      </c>
      <c r="T613" t="str">
        <f t="shared" si="95"/>
        <v/>
      </c>
      <c r="U613" t="str">
        <f t="shared" si="96"/>
        <v/>
      </c>
      <c r="V613" t="str">
        <f t="shared" si="97"/>
        <v/>
      </c>
      <c r="W613" t="str">
        <f t="shared" si="98"/>
        <v/>
      </c>
      <c r="X613">
        <f>IF($T613="",N($X612),IF(MATCH($T613,$T$6:$T$10005,0)=ROW()-5,N($X612)+1,N($X612)))</f>
        <v>0</v>
      </c>
      <c r="Z613" t="str">
        <f t="shared" si="99"/>
        <v/>
      </c>
      <c r="AA613">
        <f>IF($V613="",N($AA612),IF(MATCH($V613,$V$6:$V$10005,0)=ROW()-5,N($AA612)+1,N($AA612)))</f>
        <v>0</v>
      </c>
    </row>
    <row r="614" spans="1:27" ht="21" customHeight="1" x14ac:dyDescent="0.95">
      <c r="A614" s="56"/>
      <c r="B614" s="57"/>
      <c r="C614" s="57"/>
      <c r="D614" s="57"/>
      <c r="E614" s="56"/>
      <c r="F614" s="57"/>
      <c r="G614" s="57"/>
      <c r="H614" s="56"/>
      <c r="I614" s="56"/>
      <c r="J614" s="58"/>
      <c r="K614" s="58"/>
      <c r="L614" s="13" t="str">
        <f t="shared" si="90"/>
        <v/>
      </c>
      <c r="M614" s="13" t="str">
        <f t="shared" si="91"/>
        <v/>
      </c>
      <c r="Q614" t="str">
        <f t="shared" si="92"/>
        <v/>
      </c>
      <c r="R614" t="str">
        <f t="shared" si="93"/>
        <v/>
      </c>
      <c r="S614" t="str">
        <f t="shared" si="94"/>
        <v/>
      </c>
      <c r="T614" t="str">
        <f t="shared" si="95"/>
        <v/>
      </c>
      <c r="U614" t="str">
        <f t="shared" si="96"/>
        <v/>
      </c>
      <c r="V614" t="str">
        <f t="shared" si="97"/>
        <v/>
      </c>
      <c r="W614" t="str">
        <f t="shared" si="98"/>
        <v/>
      </c>
      <c r="X614">
        <f>IF($T614="",N($X613),IF(MATCH($T614,$T$6:$T$10005,0)=ROW()-5,N($X613)+1,N($X613)))</f>
        <v>0</v>
      </c>
      <c r="Z614" t="str">
        <f t="shared" si="99"/>
        <v/>
      </c>
      <c r="AA614">
        <f>IF($V614="",N($AA613),IF(MATCH($V614,$V$6:$V$10005,0)=ROW()-5,N($AA613)+1,N($AA613)))</f>
        <v>0</v>
      </c>
    </row>
    <row r="615" spans="1:27" ht="21" customHeight="1" x14ac:dyDescent="0.95">
      <c r="A615" s="56"/>
      <c r="B615" s="57"/>
      <c r="C615" s="57"/>
      <c r="D615" s="57"/>
      <c r="E615" s="56"/>
      <c r="F615" s="57"/>
      <c r="G615" s="57"/>
      <c r="H615" s="56"/>
      <c r="I615" s="56"/>
      <c r="J615" s="58"/>
      <c r="K615" s="58"/>
      <c r="L615" s="13" t="str">
        <f t="shared" si="90"/>
        <v/>
      </c>
      <c r="M615" s="13" t="str">
        <f t="shared" si="91"/>
        <v/>
      </c>
      <c r="Q615" t="str">
        <f t="shared" si="92"/>
        <v/>
      </c>
      <c r="R615" t="str">
        <f t="shared" si="93"/>
        <v/>
      </c>
      <c r="S615" t="str">
        <f t="shared" si="94"/>
        <v/>
      </c>
      <c r="T615" t="str">
        <f t="shared" si="95"/>
        <v/>
      </c>
      <c r="U615" t="str">
        <f t="shared" si="96"/>
        <v/>
      </c>
      <c r="V615" t="str">
        <f t="shared" si="97"/>
        <v/>
      </c>
      <c r="W615" t="str">
        <f t="shared" si="98"/>
        <v/>
      </c>
      <c r="X615">
        <f>IF($T615="",N($X614),IF(MATCH($T615,$T$6:$T$10005,0)=ROW()-5,N($X614)+1,N($X614)))</f>
        <v>0</v>
      </c>
      <c r="Z615" t="str">
        <f t="shared" si="99"/>
        <v/>
      </c>
      <c r="AA615">
        <f>IF($V615="",N($AA614),IF(MATCH($V615,$V$6:$V$10005,0)=ROW()-5,N($AA614)+1,N($AA614)))</f>
        <v>0</v>
      </c>
    </row>
    <row r="616" spans="1:27" ht="21" customHeight="1" x14ac:dyDescent="0.95">
      <c r="A616" s="56"/>
      <c r="B616" s="57"/>
      <c r="C616" s="57"/>
      <c r="D616" s="57"/>
      <c r="E616" s="56"/>
      <c r="F616" s="57"/>
      <c r="G616" s="57"/>
      <c r="H616" s="56"/>
      <c r="I616" s="56"/>
      <c r="J616" s="58"/>
      <c r="K616" s="58"/>
      <c r="L616" s="13" t="str">
        <f t="shared" si="90"/>
        <v/>
      </c>
      <c r="M616" s="13" t="str">
        <f t="shared" si="91"/>
        <v/>
      </c>
      <c r="Q616" t="str">
        <f t="shared" si="92"/>
        <v/>
      </c>
      <c r="R616" t="str">
        <f t="shared" si="93"/>
        <v/>
      </c>
      <c r="S616" t="str">
        <f t="shared" si="94"/>
        <v/>
      </c>
      <c r="T616" t="str">
        <f t="shared" si="95"/>
        <v/>
      </c>
      <c r="U616" t="str">
        <f t="shared" si="96"/>
        <v/>
      </c>
      <c r="V616" t="str">
        <f t="shared" si="97"/>
        <v/>
      </c>
      <c r="W616" t="str">
        <f t="shared" si="98"/>
        <v/>
      </c>
      <c r="X616">
        <f>IF($T616="",N($X615),IF(MATCH($T616,$T$6:$T$10005,0)=ROW()-5,N($X615)+1,N($X615)))</f>
        <v>0</v>
      </c>
      <c r="Z616" t="str">
        <f t="shared" si="99"/>
        <v/>
      </c>
      <c r="AA616">
        <f>IF($V616="",N($AA615),IF(MATCH($V616,$V$6:$V$10005,0)=ROW()-5,N($AA615)+1,N($AA615)))</f>
        <v>0</v>
      </c>
    </row>
    <row r="617" spans="1:27" ht="21" customHeight="1" x14ac:dyDescent="0.95">
      <c r="A617" s="56"/>
      <c r="B617" s="57"/>
      <c r="C617" s="57"/>
      <c r="D617" s="57"/>
      <c r="E617" s="56"/>
      <c r="F617" s="57"/>
      <c r="G617" s="57"/>
      <c r="H617" s="56"/>
      <c r="I617" s="56"/>
      <c r="J617" s="58"/>
      <c r="K617" s="58"/>
      <c r="L617" s="13" t="str">
        <f t="shared" si="90"/>
        <v/>
      </c>
      <c r="M617" s="13" t="str">
        <f t="shared" si="91"/>
        <v/>
      </c>
      <c r="Q617" t="str">
        <f t="shared" si="92"/>
        <v/>
      </c>
      <c r="R617" t="str">
        <f t="shared" si="93"/>
        <v/>
      </c>
      <c r="S617" t="str">
        <f t="shared" si="94"/>
        <v/>
      </c>
      <c r="T617" t="str">
        <f t="shared" si="95"/>
        <v/>
      </c>
      <c r="U617" t="str">
        <f t="shared" si="96"/>
        <v/>
      </c>
      <c r="V617" t="str">
        <f t="shared" si="97"/>
        <v/>
      </c>
      <c r="W617" t="str">
        <f t="shared" si="98"/>
        <v/>
      </c>
      <c r="X617">
        <f>IF($T617="",N($X616),IF(MATCH($T617,$T$6:$T$10005,0)=ROW()-5,N($X616)+1,N($X616)))</f>
        <v>0</v>
      </c>
      <c r="Z617" t="str">
        <f t="shared" si="99"/>
        <v/>
      </c>
      <c r="AA617">
        <f>IF($V617="",N($AA616),IF(MATCH($V617,$V$6:$V$10005,0)=ROW()-5,N($AA616)+1,N($AA616)))</f>
        <v>0</v>
      </c>
    </row>
    <row r="618" spans="1:27" ht="21" customHeight="1" x14ac:dyDescent="0.95">
      <c r="A618" s="56"/>
      <c r="B618" s="57"/>
      <c r="C618" s="57"/>
      <c r="D618" s="57"/>
      <c r="E618" s="56"/>
      <c r="F618" s="57"/>
      <c r="G618" s="57"/>
      <c r="H618" s="56"/>
      <c r="I618" s="56"/>
      <c r="J618" s="58"/>
      <c r="K618" s="58"/>
      <c r="L618" s="13" t="str">
        <f t="shared" si="90"/>
        <v/>
      </c>
      <c r="M618" s="13" t="str">
        <f t="shared" si="91"/>
        <v/>
      </c>
      <c r="Q618" t="str">
        <f t="shared" si="92"/>
        <v/>
      </c>
      <c r="R618" t="str">
        <f t="shared" si="93"/>
        <v/>
      </c>
      <c r="S618" t="str">
        <f t="shared" si="94"/>
        <v/>
      </c>
      <c r="T618" t="str">
        <f t="shared" si="95"/>
        <v/>
      </c>
      <c r="U618" t="str">
        <f t="shared" si="96"/>
        <v/>
      </c>
      <c r="V618" t="str">
        <f t="shared" si="97"/>
        <v/>
      </c>
      <c r="W618" t="str">
        <f t="shared" si="98"/>
        <v/>
      </c>
      <c r="X618">
        <f>IF($T618="",N($X617),IF(MATCH($T618,$T$6:$T$10005,0)=ROW()-5,N($X617)+1,N($X617)))</f>
        <v>0</v>
      </c>
      <c r="Z618" t="str">
        <f t="shared" si="99"/>
        <v/>
      </c>
      <c r="AA618">
        <f>IF($V618="",N($AA617),IF(MATCH($V618,$V$6:$V$10005,0)=ROW()-5,N($AA617)+1,N($AA617)))</f>
        <v>0</v>
      </c>
    </row>
    <row r="619" spans="1:27" ht="21" customHeight="1" x14ac:dyDescent="0.95">
      <c r="A619" s="56"/>
      <c r="B619" s="57"/>
      <c r="C619" s="57"/>
      <c r="D619" s="57"/>
      <c r="E619" s="56"/>
      <c r="F619" s="57"/>
      <c r="G619" s="57"/>
      <c r="H619" s="56"/>
      <c r="I619" s="56"/>
      <c r="J619" s="58"/>
      <c r="K619" s="58"/>
      <c r="L619" s="13" t="str">
        <f t="shared" si="90"/>
        <v/>
      </c>
      <c r="M619" s="13" t="str">
        <f t="shared" si="91"/>
        <v/>
      </c>
      <c r="Q619" t="str">
        <f t="shared" si="92"/>
        <v/>
      </c>
      <c r="R619" t="str">
        <f t="shared" si="93"/>
        <v/>
      </c>
      <c r="S619" t="str">
        <f t="shared" si="94"/>
        <v/>
      </c>
      <c r="T619" t="str">
        <f t="shared" si="95"/>
        <v/>
      </c>
      <c r="U619" t="str">
        <f t="shared" si="96"/>
        <v/>
      </c>
      <c r="V619" t="str">
        <f t="shared" si="97"/>
        <v/>
      </c>
      <c r="W619" t="str">
        <f t="shared" si="98"/>
        <v/>
      </c>
      <c r="X619">
        <f>IF($T619="",N($X618),IF(MATCH($T619,$T$6:$T$10005,0)=ROW()-5,N($X618)+1,N($X618)))</f>
        <v>0</v>
      </c>
      <c r="Z619" t="str">
        <f t="shared" si="99"/>
        <v/>
      </c>
      <c r="AA619">
        <f>IF($V619="",N($AA618),IF(MATCH($V619,$V$6:$V$10005,0)=ROW()-5,N($AA618)+1,N($AA618)))</f>
        <v>0</v>
      </c>
    </row>
    <row r="620" spans="1:27" ht="21" customHeight="1" x14ac:dyDescent="0.95">
      <c r="A620" s="56"/>
      <c r="B620" s="57"/>
      <c r="C620" s="57"/>
      <c r="D620" s="57"/>
      <c r="E620" s="56"/>
      <c r="F620" s="57"/>
      <c r="G620" s="57"/>
      <c r="H620" s="56"/>
      <c r="I620" s="56"/>
      <c r="J620" s="58"/>
      <c r="K620" s="58"/>
      <c r="L620" s="13" t="str">
        <f t="shared" si="90"/>
        <v/>
      </c>
      <c r="M620" s="13" t="str">
        <f t="shared" si="91"/>
        <v/>
      </c>
      <c r="Q620" t="str">
        <f t="shared" si="92"/>
        <v/>
      </c>
      <c r="R620" t="str">
        <f t="shared" si="93"/>
        <v/>
      </c>
      <c r="S620" t="str">
        <f t="shared" si="94"/>
        <v/>
      </c>
      <c r="T620" t="str">
        <f t="shared" si="95"/>
        <v/>
      </c>
      <c r="U620" t="str">
        <f t="shared" si="96"/>
        <v/>
      </c>
      <c r="V620" t="str">
        <f t="shared" si="97"/>
        <v/>
      </c>
      <c r="W620" t="str">
        <f t="shared" si="98"/>
        <v/>
      </c>
      <c r="X620">
        <f>IF($T620="",N($X619),IF(MATCH($T620,$T$6:$T$10005,0)=ROW()-5,N($X619)+1,N($X619)))</f>
        <v>0</v>
      </c>
      <c r="Z620" t="str">
        <f t="shared" si="99"/>
        <v/>
      </c>
      <c r="AA620">
        <f>IF($V620="",N($AA619),IF(MATCH($V620,$V$6:$V$10005,0)=ROW()-5,N($AA619)+1,N($AA619)))</f>
        <v>0</v>
      </c>
    </row>
    <row r="621" spans="1:27" ht="21" customHeight="1" x14ac:dyDescent="0.95">
      <c r="A621" s="56"/>
      <c r="B621" s="57"/>
      <c r="C621" s="57"/>
      <c r="D621" s="57"/>
      <c r="E621" s="56"/>
      <c r="F621" s="57"/>
      <c r="G621" s="57"/>
      <c r="H621" s="56"/>
      <c r="I621" s="56"/>
      <c r="J621" s="58"/>
      <c r="K621" s="58"/>
      <c r="L621" s="13" t="str">
        <f t="shared" si="90"/>
        <v/>
      </c>
      <c r="M621" s="13" t="str">
        <f t="shared" si="91"/>
        <v/>
      </c>
      <c r="Q621" t="str">
        <f t="shared" si="92"/>
        <v/>
      </c>
      <c r="R621" t="str">
        <f t="shared" si="93"/>
        <v/>
      </c>
      <c r="S621" t="str">
        <f t="shared" si="94"/>
        <v/>
      </c>
      <c r="T621" t="str">
        <f t="shared" si="95"/>
        <v/>
      </c>
      <c r="U621" t="str">
        <f t="shared" si="96"/>
        <v/>
      </c>
      <c r="V621" t="str">
        <f t="shared" si="97"/>
        <v/>
      </c>
      <c r="W621" t="str">
        <f t="shared" si="98"/>
        <v/>
      </c>
      <c r="X621">
        <f>IF($T621="",N($X620),IF(MATCH($T621,$T$6:$T$10005,0)=ROW()-5,N($X620)+1,N($X620)))</f>
        <v>0</v>
      </c>
      <c r="Z621" t="str">
        <f t="shared" si="99"/>
        <v/>
      </c>
      <c r="AA621">
        <f>IF($V621="",N($AA620),IF(MATCH($V621,$V$6:$V$10005,0)=ROW()-5,N($AA620)+1,N($AA620)))</f>
        <v>0</v>
      </c>
    </row>
    <row r="622" spans="1:27" ht="21" customHeight="1" x14ac:dyDescent="0.95">
      <c r="A622" s="56"/>
      <c r="B622" s="57"/>
      <c r="C622" s="57"/>
      <c r="D622" s="57"/>
      <c r="E622" s="56"/>
      <c r="F622" s="57"/>
      <c r="G622" s="57"/>
      <c r="H622" s="56"/>
      <c r="I622" s="56"/>
      <c r="J622" s="58"/>
      <c r="K622" s="58"/>
      <c r="L622" s="13" t="str">
        <f t="shared" si="90"/>
        <v/>
      </c>
      <c r="M622" s="13" t="str">
        <f t="shared" si="91"/>
        <v/>
      </c>
      <c r="Q622" t="str">
        <f t="shared" si="92"/>
        <v/>
      </c>
      <c r="R622" t="str">
        <f t="shared" si="93"/>
        <v/>
      </c>
      <c r="S622" t="str">
        <f t="shared" si="94"/>
        <v/>
      </c>
      <c r="T622" t="str">
        <f t="shared" si="95"/>
        <v/>
      </c>
      <c r="U622" t="str">
        <f t="shared" si="96"/>
        <v/>
      </c>
      <c r="V622" t="str">
        <f t="shared" si="97"/>
        <v/>
      </c>
      <c r="W622" t="str">
        <f t="shared" si="98"/>
        <v/>
      </c>
      <c r="X622">
        <f>IF($T622="",N($X621),IF(MATCH($T622,$T$6:$T$10005,0)=ROW()-5,N($X621)+1,N($X621)))</f>
        <v>0</v>
      </c>
      <c r="Z622" t="str">
        <f t="shared" si="99"/>
        <v/>
      </c>
      <c r="AA622">
        <f>IF($V622="",N($AA621),IF(MATCH($V622,$V$6:$V$10005,0)=ROW()-5,N($AA621)+1,N($AA621)))</f>
        <v>0</v>
      </c>
    </row>
    <row r="623" spans="1:27" ht="21" customHeight="1" x14ac:dyDescent="0.95">
      <c r="A623" s="56"/>
      <c r="B623" s="57"/>
      <c r="C623" s="57"/>
      <c r="D623" s="57"/>
      <c r="E623" s="56"/>
      <c r="F623" s="57"/>
      <c r="G623" s="57"/>
      <c r="H623" s="56"/>
      <c r="I623" s="56"/>
      <c r="J623" s="58"/>
      <c r="K623" s="58"/>
      <c r="L623" s="13" t="str">
        <f t="shared" si="90"/>
        <v/>
      </c>
      <c r="M623" s="13" t="str">
        <f t="shared" si="91"/>
        <v/>
      </c>
      <c r="Q623" t="str">
        <f t="shared" si="92"/>
        <v/>
      </c>
      <c r="R623" t="str">
        <f t="shared" si="93"/>
        <v/>
      </c>
      <c r="S623" t="str">
        <f t="shared" si="94"/>
        <v/>
      </c>
      <c r="T623" t="str">
        <f t="shared" si="95"/>
        <v/>
      </c>
      <c r="U623" t="str">
        <f t="shared" si="96"/>
        <v/>
      </c>
      <c r="V623" t="str">
        <f t="shared" si="97"/>
        <v/>
      </c>
      <c r="W623" t="str">
        <f t="shared" si="98"/>
        <v/>
      </c>
      <c r="X623">
        <f>IF($T623="",N($X622),IF(MATCH($T623,$T$6:$T$10005,0)=ROW()-5,N($X622)+1,N($X622)))</f>
        <v>0</v>
      </c>
      <c r="Z623" t="str">
        <f t="shared" si="99"/>
        <v/>
      </c>
      <c r="AA623">
        <f>IF($V623="",N($AA622),IF(MATCH($V623,$V$6:$V$10005,0)=ROW()-5,N($AA622)+1,N($AA622)))</f>
        <v>0</v>
      </c>
    </row>
    <row r="624" spans="1:27" ht="21" customHeight="1" x14ac:dyDescent="0.95">
      <c r="A624" s="56"/>
      <c r="B624" s="57"/>
      <c r="C624" s="57"/>
      <c r="D624" s="57"/>
      <c r="E624" s="56"/>
      <c r="F624" s="57"/>
      <c r="G624" s="57"/>
      <c r="H624" s="56"/>
      <c r="I624" s="56"/>
      <c r="J624" s="58"/>
      <c r="K624" s="58"/>
      <c r="L624" s="13" t="str">
        <f t="shared" si="90"/>
        <v/>
      </c>
      <c r="M624" s="13" t="str">
        <f t="shared" si="91"/>
        <v/>
      </c>
      <c r="Q624" t="str">
        <f t="shared" si="92"/>
        <v/>
      </c>
      <c r="R624" t="str">
        <f t="shared" si="93"/>
        <v/>
      </c>
      <c r="S624" t="str">
        <f t="shared" si="94"/>
        <v/>
      </c>
      <c r="T624" t="str">
        <f t="shared" si="95"/>
        <v/>
      </c>
      <c r="U624" t="str">
        <f t="shared" si="96"/>
        <v/>
      </c>
      <c r="V624" t="str">
        <f t="shared" si="97"/>
        <v/>
      </c>
      <c r="W624" t="str">
        <f t="shared" si="98"/>
        <v/>
      </c>
      <c r="X624">
        <f>IF($T624="",N($X623),IF(MATCH($T624,$T$6:$T$10005,0)=ROW()-5,N($X623)+1,N($X623)))</f>
        <v>0</v>
      </c>
      <c r="Z624" t="str">
        <f t="shared" si="99"/>
        <v/>
      </c>
      <c r="AA624">
        <f>IF($V624="",N($AA623),IF(MATCH($V624,$V$6:$V$10005,0)=ROW()-5,N($AA623)+1,N($AA623)))</f>
        <v>0</v>
      </c>
    </row>
    <row r="625" spans="1:27" ht="21" customHeight="1" x14ac:dyDescent="0.95">
      <c r="A625" s="56"/>
      <c r="B625" s="57"/>
      <c r="C625" s="57"/>
      <c r="D625" s="57"/>
      <c r="E625" s="56"/>
      <c r="F625" s="57"/>
      <c r="G625" s="57"/>
      <c r="H625" s="56"/>
      <c r="I625" s="56"/>
      <c r="J625" s="58"/>
      <c r="K625" s="58"/>
      <c r="L625" s="13" t="str">
        <f t="shared" si="90"/>
        <v/>
      </c>
      <c r="M625" s="13" t="str">
        <f t="shared" si="91"/>
        <v/>
      </c>
      <c r="Q625" t="str">
        <f t="shared" si="92"/>
        <v/>
      </c>
      <c r="R625" t="str">
        <f t="shared" si="93"/>
        <v/>
      </c>
      <c r="S625" t="str">
        <f t="shared" si="94"/>
        <v/>
      </c>
      <c r="T625" t="str">
        <f t="shared" si="95"/>
        <v/>
      </c>
      <c r="U625" t="str">
        <f t="shared" si="96"/>
        <v/>
      </c>
      <c r="V625" t="str">
        <f t="shared" si="97"/>
        <v/>
      </c>
      <c r="W625" t="str">
        <f t="shared" si="98"/>
        <v/>
      </c>
      <c r="X625">
        <f>IF($T625="",N($X624),IF(MATCH($T625,$T$6:$T$10005,0)=ROW()-5,N($X624)+1,N($X624)))</f>
        <v>0</v>
      </c>
      <c r="Z625" t="str">
        <f t="shared" si="99"/>
        <v/>
      </c>
      <c r="AA625">
        <f>IF($V625="",N($AA624),IF(MATCH($V625,$V$6:$V$10005,0)=ROW()-5,N($AA624)+1,N($AA624)))</f>
        <v>0</v>
      </c>
    </row>
    <row r="626" spans="1:27" ht="21" customHeight="1" x14ac:dyDescent="0.95">
      <c r="A626" s="56"/>
      <c r="B626" s="57"/>
      <c r="C626" s="57"/>
      <c r="D626" s="57"/>
      <c r="E626" s="56"/>
      <c r="F626" s="57"/>
      <c r="G626" s="57"/>
      <c r="H626" s="56"/>
      <c r="I626" s="56"/>
      <c r="J626" s="58"/>
      <c r="K626" s="58"/>
      <c r="L626" s="13" t="str">
        <f t="shared" si="90"/>
        <v/>
      </c>
      <c r="M626" s="13" t="str">
        <f t="shared" si="91"/>
        <v/>
      </c>
      <c r="Q626" t="str">
        <f t="shared" si="92"/>
        <v/>
      </c>
      <c r="R626" t="str">
        <f t="shared" si="93"/>
        <v/>
      </c>
      <c r="S626" t="str">
        <f t="shared" si="94"/>
        <v/>
      </c>
      <c r="T626" t="str">
        <f t="shared" si="95"/>
        <v/>
      </c>
      <c r="U626" t="str">
        <f t="shared" si="96"/>
        <v/>
      </c>
      <c r="V626" t="str">
        <f t="shared" si="97"/>
        <v/>
      </c>
      <c r="W626" t="str">
        <f t="shared" si="98"/>
        <v/>
      </c>
      <c r="X626">
        <f>IF($T626="",N($X625),IF(MATCH($T626,$T$6:$T$10005,0)=ROW()-5,N($X625)+1,N($X625)))</f>
        <v>0</v>
      </c>
      <c r="Z626" t="str">
        <f t="shared" si="99"/>
        <v/>
      </c>
      <c r="AA626">
        <f>IF($V626="",N($AA625),IF(MATCH($V626,$V$6:$V$10005,0)=ROW()-5,N($AA625)+1,N($AA625)))</f>
        <v>0</v>
      </c>
    </row>
    <row r="627" spans="1:27" ht="21" customHeight="1" x14ac:dyDescent="0.95">
      <c r="A627" s="56"/>
      <c r="B627" s="57"/>
      <c r="C627" s="57"/>
      <c r="D627" s="57"/>
      <c r="E627" s="56"/>
      <c r="F627" s="57"/>
      <c r="G627" s="57"/>
      <c r="H627" s="56"/>
      <c r="I627" s="56"/>
      <c r="J627" s="58"/>
      <c r="K627" s="58"/>
      <c r="L627" s="13" t="str">
        <f t="shared" si="90"/>
        <v/>
      </c>
      <c r="M627" s="13" t="str">
        <f t="shared" si="91"/>
        <v/>
      </c>
      <c r="Q627" t="str">
        <f t="shared" si="92"/>
        <v/>
      </c>
      <c r="R627" t="str">
        <f t="shared" si="93"/>
        <v/>
      </c>
      <c r="S627" t="str">
        <f t="shared" si="94"/>
        <v/>
      </c>
      <c r="T627" t="str">
        <f t="shared" si="95"/>
        <v/>
      </c>
      <c r="U627" t="str">
        <f t="shared" si="96"/>
        <v/>
      </c>
      <c r="V627" t="str">
        <f t="shared" si="97"/>
        <v/>
      </c>
      <c r="W627" t="str">
        <f t="shared" si="98"/>
        <v/>
      </c>
      <c r="X627">
        <f>IF($T627="",N($X626),IF(MATCH($T627,$T$6:$T$10005,0)=ROW()-5,N($X626)+1,N($X626)))</f>
        <v>0</v>
      </c>
      <c r="Z627" t="str">
        <f t="shared" si="99"/>
        <v/>
      </c>
      <c r="AA627">
        <f>IF($V627="",N($AA626),IF(MATCH($V627,$V$6:$V$10005,0)=ROW()-5,N($AA626)+1,N($AA626)))</f>
        <v>0</v>
      </c>
    </row>
    <row r="628" spans="1:27" ht="21" customHeight="1" x14ac:dyDescent="0.95">
      <c r="A628" s="56"/>
      <c r="B628" s="57"/>
      <c r="C628" s="57"/>
      <c r="D628" s="57"/>
      <c r="E628" s="56"/>
      <c r="F628" s="57"/>
      <c r="G628" s="57"/>
      <c r="H628" s="56"/>
      <c r="I628" s="56"/>
      <c r="J628" s="58"/>
      <c r="K628" s="58"/>
      <c r="L628" s="13" t="str">
        <f t="shared" si="90"/>
        <v/>
      </c>
      <c r="M628" s="13" t="str">
        <f t="shared" si="91"/>
        <v/>
      </c>
      <c r="Q628" t="str">
        <f t="shared" si="92"/>
        <v/>
      </c>
      <c r="R628" t="str">
        <f t="shared" si="93"/>
        <v/>
      </c>
      <c r="S628" t="str">
        <f t="shared" si="94"/>
        <v/>
      </c>
      <c r="T628" t="str">
        <f t="shared" si="95"/>
        <v/>
      </c>
      <c r="U628" t="str">
        <f t="shared" si="96"/>
        <v/>
      </c>
      <c r="V628" t="str">
        <f t="shared" si="97"/>
        <v/>
      </c>
      <c r="W628" t="str">
        <f t="shared" si="98"/>
        <v/>
      </c>
      <c r="X628">
        <f>IF($T628="",N($X627),IF(MATCH($T628,$T$6:$T$10005,0)=ROW()-5,N($X627)+1,N($X627)))</f>
        <v>0</v>
      </c>
      <c r="Z628" t="str">
        <f t="shared" si="99"/>
        <v/>
      </c>
      <c r="AA628">
        <f>IF($V628="",N($AA627),IF(MATCH($V628,$V$6:$V$10005,0)=ROW()-5,N($AA627)+1,N($AA627)))</f>
        <v>0</v>
      </c>
    </row>
    <row r="629" spans="1:27" ht="21" customHeight="1" x14ac:dyDescent="0.95">
      <c r="A629" s="56"/>
      <c r="B629" s="57"/>
      <c r="C629" s="57"/>
      <c r="D629" s="57"/>
      <c r="E629" s="56"/>
      <c r="F629" s="57"/>
      <c r="G629" s="57"/>
      <c r="H629" s="56"/>
      <c r="I629" s="56"/>
      <c r="J629" s="58"/>
      <c r="K629" s="58"/>
      <c r="L629" s="13" t="str">
        <f t="shared" si="90"/>
        <v/>
      </c>
      <c r="M629" s="13" t="str">
        <f t="shared" si="91"/>
        <v/>
      </c>
      <c r="Q629" t="str">
        <f t="shared" si="92"/>
        <v/>
      </c>
      <c r="R629" t="str">
        <f t="shared" si="93"/>
        <v/>
      </c>
      <c r="S629" t="str">
        <f t="shared" si="94"/>
        <v/>
      </c>
      <c r="T629" t="str">
        <f t="shared" si="95"/>
        <v/>
      </c>
      <c r="U629" t="str">
        <f t="shared" si="96"/>
        <v/>
      </c>
      <c r="V629" t="str">
        <f t="shared" si="97"/>
        <v/>
      </c>
      <c r="W629" t="str">
        <f t="shared" si="98"/>
        <v/>
      </c>
      <c r="X629">
        <f>IF($T629="",N($X628),IF(MATCH($T629,$T$6:$T$10005,0)=ROW()-5,N($X628)+1,N($X628)))</f>
        <v>0</v>
      </c>
      <c r="Z629" t="str">
        <f t="shared" si="99"/>
        <v/>
      </c>
      <c r="AA629">
        <f>IF($V629="",N($AA628),IF(MATCH($V629,$V$6:$V$10005,0)=ROW()-5,N($AA628)+1,N($AA628)))</f>
        <v>0</v>
      </c>
    </row>
    <row r="630" spans="1:27" ht="21" customHeight="1" x14ac:dyDescent="0.95">
      <c r="A630" s="56"/>
      <c r="B630" s="57"/>
      <c r="C630" s="57"/>
      <c r="D630" s="57"/>
      <c r="E630" s="56"/>
      <c r="F630" s="57"/>
      <c r="G630" s="57"/>
      <c r="H630" s="56"/>
      <c r="I630" s="56"/>
      <c r="J630" s="58"/>
      <c r="K630" s="58"/>
      <c r="L630" s="13" t="str">
        <f t="shared" si="90"/>
        <v/>
      </c>
      <c r="M630" s="13" t="str">
        <f t="shared" si="91"/>
        <v/>
      </c>
      <c r="Q630" t="str">
        <f t="shared" si="92"/>
        <v/>
      </c>
      <c r="R630" t="str">
        <f t="shared" si="93"/>
        <v/>
      </c>
      <c r="S630" t="str">
        <f t="shared" si="94"/>
        <v/>
      </c>
      <c r="T630" t="str">
        <f t="shared" si="95"/>
        <v/>
      </c>
      <c r="U630" t="str">
        <f t="shared" si="96"/>
        <v/>
      </c>
      <c r="V630" t="str">
        <f t="shared" si="97"/>
        <v/>
      </c>
      <c r="W630" t="str">
        <f t="shared" si="98"/>
        <v/>
      </c>
      <c r="X630">
        <f>IF($T630="",N($X629),IF(MATCH($T630,$T$6:$T$10005,0)=ROW()-5,N($X629)+1,N($X629)))</f>
        <v>0</v>
      </c>
      <c r="Z630" t="str">
        <f t="shared" si="99"/>
        <v/>
      </c>
      <c r="AA630">
        <f>IF($V630="",N($AA629),IF(MATCH($V630,$V$6:$V$10005,0)=ROW()-5,N($AA629)+1,N($AA629)))</f>
        <v>0</v>
      </c>
    </row>
    <row r="631" spans="1:27" ht="21" customHeight="1" x14ac:dyDescent="0.95">
      <c r="A631" s="56"/>
      <c r="B631" s="57"/>
      <c r="C631" s="57"/>
      <c r="D631" s="57"/>
      <c r="E631" s="56"/>
      <c r="F631" s="57"/>
      <c r="G631" s="57"/>
      <c r="H631" s="56"/>
      <c r="I631" s="56"/>
      <c r="J631" s="58"/>
      <c r="K631" s="58"/>
      <c r="L631" s="13" t="str">
        <f t="shared" si="90"/>
        <v/>
      </c>
      <c r="M631" s="13" t="str">
        <f t="shared" si="91"/>
        <v/>
      </c>
      <c r="Q631" t="str">
        <f t="shared" si="92"/>
        <v/>
      </c>
      <c r="R631" t="str">
        <f t="shared" si="93"/>
        <v/>
      </c>
      <c r="S631" t="str">
        <f t="shared" si="94"/>
        <v/>
      </c>
      <c r="T631" t="str">
        <f t="shared" si="95"/>
        <v/>
      </c>
      <c r="U631" t="str">
        <f t="shared" si="96"/>
        <v/>
      </c>
      <c r="V631" t="str">
        <f t="shared" si="97"/>
        <v/>
      </c>
      <c r="W631" t="str">
        <f t="shared" si="98"/>
        <v/>
      </c>
      <c r="X631">
        <f>IF($T631="",N($X630),IF(MATCH($T631,$T$6:$T$10005,0)=ROW()-5,N($X630)+1,N($X630)))</f>
        <v>0</v>
      </c>
      <c r="Z631" t="str">
        <f t="shared" si="99"/>
        <v/>
      </c>
      <c r="AA631">
        <f>IF($V631="",N($AA630),IF(MATCH($V631,$V$6:$V$10005,0)=ROW()-5,N($AA630)+1,N($AA630)))</f>
        <v>0</v>
      </c>
    </row>
    <row r="632" spans="1:27" ht="21" customHeight="1" x14ac:dyDescent="0.95">
      <c r="A632" s="56"/>
      <c r="B632" s="57"/>
      <c r="C632" s="57"/>
      <c r="D632" s="57"/>
      <c r="E632" s="56"/>
      <c r="F632" s="57"/>
      <c r="G632" s="57"/>
      <c r="H632" s="56"/>
      <c r="I632" s="56"/>
      <c r="J632" s="58"/>
      <c r="K632" s="58"/>
      <c r="L632" s="13" t="str">
        <f t="shared" si="90"/>
        <v/>
      </c>
      <c r="M632" s="13" t="str">
        <f t="shared" si="91"/>
        <v/>
      </c>
      <c r="Q632" t="str">
        <f t="shared" si="92"/>
        <v/>
      </c>
      <c r="R632" t="str">
        <f t="shared" si="93"/>
        <v/>
      </c>
      <c r="S632" t="str">
        <f t="shared" si="94"/>
        <v/>
      </c>
      <c r="T632" t="str">
        <f t="shared" si="95"/>
        <v/>
      </c>
      <c r="U632" t="str">
        <f t="shared" si="96"/>
        <v/>
      </c>
      <c r="V632" t="str">
        <f t="shared" si="97"/>
        <v/>
      </c>
      <c r="W632" t="str">
        <f t="shared" si="98"/>
        <v/>
      </c>
      <c r="X632">
        <f>IF($T632="",N($X631),IF(MATCH($T632,$T$6:$T$10005,0)=ROW()-5,N($X631)+1,N($X631)))</f>
        <v>0</v>
      </c>
      <c r="Z632" t="str">
        <f t="shared" si="99"/>
        <v/>
      </c>
      <c r="AA632">
        <f>IF($V632="",N($AA631),IF(MATCH($V632,$V$6:$V$10005,0)=ROW()-5,N($AA631)+1,N($AA631)))</f>
        <v>0</v>
      </c>
    </row>
    <row r="633" spans="1:27" ht="21" customHeight="1" x14ac:dyDescent="0.95">
      <c r="A633" s="56"/>
      <c r="B633" s="57"/>
      <c r="C633" s="57"/>
      <c r="D633" s="57"/>
      <c r="E633" s="56"/>
      <c r="F633" s="57"/>
      <c r="G633" s="57"/>
      <c r="H633" s="56"/>
      <c r="I633" s="56"/>
      <c r="J633" s="58"/>
      <c r="K633" s="58"/>
      <c r="L633" s="13" t="str">
        <f t="shared" si="90"/>
        <v/>
      </c>
      <c r="M633" s="13" t="str">
        <f t="shared" si="91"/>
        <v/>
      </c>
      <c r="Q633" t="str">
        <f t="shared" si="92"/>
        <v/>
      </c>
      <c r="R633" t="str">
        <f t="shared" si="93"/>
        <v/>
      </c>
      <c r="S633" t="str">
        <f t="shared" si="94"/>
        <v/>
      </c>
      <c r="T633" t="str">
        <f t="shared" si="95"/>
        <v/>
      </c>
      <c r="U633" t="str">
        <f t="shared" si="96"/>
        <v/>
      </c>
      <c r="V633" t="str">
        <f t="shared" si="97"/>
        <v/>
      </c>
      <c r="W633" t="str">
        <f t="shared" si="98"/>
        <v/>
      </c>
      <c r="X633">
        <f>IF($T633="",N($X632),IF(MATCH($T633,$T$6:$T$10005,0)=ROW()-5,N($X632)+1,N($X632)))</f>
        <v>0</v>
      </c>
      <c r="Z633" t="str">
        <f t="shared" si="99"/>
        <v/>
      </c>
      <c r="AA633">
        <f>IF($V633="",N($AA632),IF(MATCH($V633,$V$6:$V$10005,0)=ROW()-5,N($AA632)+1,N($AA632)))</f>
        <v>0</v>
      </c>
    </row>
    <row r="634" spans="1:27" ht="21" customHeight="1" x14ac:dyDescent="0.95">
      <c r="A634" s="56"/>
      <c r="B634" s="57"/>
      <c r="C634" s="57"/>
      <c r="D634" s="57"/>
      <c r="E634" s="56"/>
      <c r="F634" s="57"/>
      <c r="G634" s="57"/>
      <c r="H634" s="56"/>
      <c r="I634" s="56"/>
      <c r="J634" s="58"/>
      <c r="K634" s="58"/>
      <c r="L634" s="13" t="str">
        <f t="shared" si="90"/>
        <v/>
      </c>
      <c r="M634" s="13" t="str">
        <f t="shared" si="91"/>
        <v/>
      </c>
      <c r="Q634" t="str">
        <f t="shared" si="92"/>
        <v/>
      </c>
      <c r="R634" t="str">
        <f t="shared" si="93"/>
        <v/>
      </c>
      <c r="S634" t="str">
        <f t="shared" si="94"/>
        <v/>
      </c>
      <c r="T634" t="str">
        <f t="shared" si="95"/>
        <v/>
      </c>
      <c r="U634" t="str">
        <f t="shared" si="96"/>
        <v/>
      </c>
      <c r="V634" t="str">
        <f t="shared" si="97"/>
        <v/>
      </c>
      <c r="W634" t="str">
        <f t="shared" si="98"/>
        <v/>
      </c>
      <c r="X634">
        <f>IF($T634="",N($X633),IF(MATCH($T634,$T$6:$T$10005,0)=ROW()-5,N($X633)+1,N($X633)))</f>
        <v>0</v>
      </c>
      <c r="Z634" t="str">
        <f t="shared" si="99"/>
        <v/>
      </c>
      <c r="AA634">
        <f>IF($V634="",N($AA633),IF(MATCH($V634,$V$6:$V$10005,0)=ROW()-5,N($AA633)+1,N($AA633)))</f>
        <v>0</v>
      </c>
    </row>
    <row r="635" spans="1:27" ht="21" customHeight="1" x14ac:dyDescent="0.95">
      <c r="A635" s="56"/>
      <c r="B635" s="57"/>
      <c r="C635" s="57"/>
      <c r="D635" s="57"/>
      <c r="E635" s="56"/>
      <c r="F635" s="57"/>
      <c r="G635" s="57"/>
      <c r="H635" s="56"/>
      <c r="I635" s="56"/>
      <c r="J635" s="58"/>
      <c r="K635" s="58"/>
      <c r="L635" s="13" t="str">
        <f t="shared" si="90"/>
        <v/>
      </c>
      <c r="M635" s="13" t="str">
        <f t="shared" si="91"/>
        <v/>
      </c>
      <c r="Q635" t="str">
        <f t="shared" si="92"/>
        <v/>
      </c>
      <c r="R635" t="str">
        <f t="shared" si="93"/>
        <v/>
      </c>
      <c r="S635" t="str">
        <f t="shared" si="94"/>
        <v/>
      </c>
      <c r="T635" t="str">
        <f t="shared" si="95"/>
        <v/>
      </c>
      <c r="U635" t="str">
        <f t="shared" si="96"/>
        <v/>
      </c>
      <c r="V635" t="str">
        <f t="shared" si="97"/>
        <v/>
      </c>
      <c r="W635" t="str">
        <f t="shared" si="98"/>
        <v/>
      </c>
      <c r="X635">
        <f>IF($T635="",N($X634),IF(MATCH($T635,$T$6:$T$10005,0)=ROW()-5,N($X634)+1,N($X634)))</f>
        <v>0</v>
      </c>
      <c r="Z635" t="str">
        <f t="shared" si="99"/>
        <v/>
      </c>
      <c r="AA635">
        <f>IF($V635="",N($AA634),IF(MATCH($V635,$V$6:$V$10005,0)=ROW()-5,N($AA634)+1,N($AA634)))</f>
        <v>0</v>
      </c>
    </row>
    <row r="636" spans="1:27" ht="21" customHeight="1" x14ac:dyDescent="0.95">
      <c r="A636" s="56"/>
      <c r="B636" s="57"/>
      <c r="C636" s="57"/>
      <c r="D636" s="57"/>
      <c r="E636" s="56"/>
      <c r="F636" s="57"/>
      <c r="G636" s="57"/>
      <c r="H636" s="56"/>
      <c r="I636" s="56"/>
      <c r="J636" s="58"/>
      <c r="K636" s="58"/>
      <c r="L636" s="13" t="str">
        <f t="shared" si="90"/>
        <v/>
      </c>
      <c r="M636" s="13" t="str">
        <f t="shared" si="91"/>
        <v/>
      </c>
      <c r="Q636" t="str">
        <f t="shared" si="92"/>
        <v/>
      </c>
      <c r="R636" t="str">
        <f t="shared" si="93"/>
        <v/>
      </c>
      <c r="S636" t="str">
        <f t="shared" si="94"/>
        <v/>
      </c>
      <c r="T636" t="str">
        <f t="shared" si="95"/>
        <v/>
      </c>
      <c r="U636" t="str">
        <f t="shared" si="96"/>
        <v/>
      </c>
      <c r="V636" t="str">
        <f t="shared" si="97"/>
        <v/>
      </c>
      <c r="W636" t="str">
        <f t="shared" si="98"/>
        <v/>
      </c>
      <c r="X636">
        <f>IF($T636="",N($X635),IF(MATCH($T636,$T$6:$T$10005,0)=ROW()-5,N($X635)+1,N($X635)))</f>
        <v>0</v>
      </c>
      <c r="Z636" t="str">
        <f t="shared" si="99"/>
        <v/>
      </c>
      <c r="AA636">
        <f>IF($V636="",N($AA635),IF(MATCH($V636,$V$6:$V$10005,0)=ROW()-5,N($AA635)+1,N($AA635)))</f>
        <v>0</v>
      </c>
    </row>
    <row r="637" spans="1:27" ht="21" customHeight="1" x14ac:dyDescent="0.95">
      <c r="A637" s="56"/>
      <c r="B637" s="57"/>
      <c r="C637" s="57"/>
      <c r="D637" s="57"/>
      <c r="E637" s="56"/>
      <c r="F637" s="57"/>
      <c r="G637" s="57"/>
      <c r="H637" s="56"/>
      <c r="I637" s="56"/>
      <c r="J637" s="58"/>
      <c r="K637" s="58"/>
      <c r="L637" s="13" t="str">
        <f t="shared" si="90"/>
        <v/>
      </c>
      <c r="M637" s="13" t="str">
        <f t="shared" si="91"/>
        <v/>
      </c>
      <c r="Q637" t="str">
        <f t="shared" si="92"/>
        <v/>
      </c>
      <c r="R637" t="str">
        <f t="shared" si="93"/>
        <v/>
      </c>
      <c r="S637" t="str">
        <f t="shared" si="94"/>
        <v/>
      </c>
      <c r="T637" t="str">
        <f t="shared" si="95"/>
        <v/>
      </c>
      <c r="U637" t="str">
        <f t="shared" si="96"/>
        <v/>
      </c>
      <c r="V637" t="str">
        <f t="shared" si="97"/>
        <v/>
      </c>
      <c r="W637" t="str">
        <f t="shared" si="98"/>
        <v/>
      </c>
      <c r="X637">
        <f>IF($T637="",N($X636),IF(MATCH($T637,$T$6:$T$10005,0)=ROW()-5,N($X636)+1,N($X636)))</f>
        <v>0</v>
      </c>
      <c r="Z637" t="str">
        <f t="shared" si="99"/>
        <v/>
      </c>
      <c r="AA637">
        <f>IF($V637="",N($AA636),IF(MATCH($V637,$V$6:$V$10005,0)=ROW()-5,N($AA636)+1,N($AA636)))</f>
        <v>0</v>
      </c>
    </row>
    <row r="638" spans="1:27" ht="21" customHeight="1" x14ac:dyDescent="0.95">
      <c r="A638" s="56"/>
      <c r="B638" s="57"/>
      <c r="C638" s="57"/>
      <c r="D638" s="57"/>
      <c r="E638" s="56"/>
      <c r="F638" s="57"/>
      <c r="G638" s="57"/>
      <c r="H638" s="56"/>
      <c r="I638" s="56"/>
      <c r="J638" s="58"/>
      <c r="K638" s="58"/>
      <c r="L638" s="13" t="str">
        <f t="shared" si="90"/>
        <v/>
      </c>
      <c r="M638" s="13" t="str">
        <f t="shared" si="91"/>
        <v/>
      </c>
      <c r="Q638" t="str">
        <f t="shared" si="92"/>
        <v/>
      </c>
      <c r="R638" t="str">
        <f t="shared" si="93"/>
        <v/>
      </c>
      <c r="S638" t="str">
        <f t="shared" si="94"/>
        <v/>
      </c>
      <c r="T638" t="str">
        <f t="shared" si="95"/>
        <v/>
      </c>
      <c r="U638" t="str">
        <f t="shared" si="96"/>
        <v/>
      </c>
      <c r="V638" t="str">
        <f t="shared" si="97"/>
        <v/>
      </c>
      <c r="W638" t="str">
        <f t="shared" si="98"/>
        <v/>
      </c>
      <c r="X638">
        <f>IF($T638="",N($X637),IF(MATCH($T638,$T$6:$T$10005,0)=ROW()-5,N($X637)+1,N($X637)))</f>
        <v>0</v>
      </c>
      <c r="Z638" t="str">
        <f t="shared" si="99"/>
        <v/>
      </c>
      <c r="AA638">
        <f>IF($V638="",N($AA637),IF(MATCH($V638,$V$6:$V$10005,0)=ROW()-5,N($AA637)+1,N($AA637)))</f>
        <v>0</v>
      </c>
    </row>
    <row r="639" spans="1:27" ht="21" customHeight="1" x14ac:dyDescent="0.95">
      <c r="A639" s="56"/>
      <c r="B639" s="57"/>
      <c r="C639" s="57"/>
      <c r="D639" s="57"/>
      <c r="E639" s="56"/>
      <c r="F639" s="57"/>
      <c r="G639" s="57"/>
      <c r="H639" s="56"/>
      <c r="I639" s="56"/>
      <c r="J639" s="58"/>
      <c r="K639" s="58"/>
      <c r="L639" s="13" t="str">
        <f t="shared" si="90"/>
        <v/>
      </c>
      <c r="M639" s="13" t="str">
        <f t="shared" si="91"/>
        <v/>
      </c>
      <c r="Q639" t="str">
        <f t="shared" si="92"/>
        <v/>
      </c>
      <c r="R639" t="str">
        <f t="shared" si="93"/>
        <v/>
      </c>
      <c r="S639" t="str">
        <f t="shared" si="94"/>
        <v/>
      </c>
      <c r="T639" t="str">
        <f t="shared" si="95"/>
        <v/>
      </c>
      <c r="U639" t="str">
        <f t="shared" si="96"/>
        <v/>
      </c>
      <c r="V639" t="str">
        <f t="shared" si="97"/>
        <v/>
      </c>
      <c r="W639" t="str">
        <f t="shared" si="98"/>
        <v/>
      </c>
      <c r="X639">
        <f>IF($T639="",N($X638),IF(MATCH($T639,$T$6:$T$10005,0)=ROW()-5,N($X638)+1,N($X638)))</f>
        <v>0</v>
      </c>
      <c r="Z639" t="str">
        <f t="shared" si="99"/>
        <v/>
      </c>
      <c r="AA639">
        <f>IF($V639="",N($AA638),IF(MATCH($V639,$V$6:$V$10005,0)=ROW()-5,N($AA638)+1,N($AA638)))</f>
        <v>0</v>
      </c>
    </row>
    <row r="640" spans="1:27" ht="21" customHeight="1" x14ac:dyDescent="0.95">
      <c r="A640" s="56"/>
      <c r="B640" s="57"/>
      <c r="C640" s="57"/>
      <c r="D640" s="57"/>
      <c r="E640" s="56"/>
      <c r="F640" s="57"/>
      <c r="G640" s="57"/>
      <c r="H640" s="56"/>
      <c r="I640" s="56"/>
      <c r="J640" s="58"/>
      <c r="K640" s="58"/>
      <c r="L640" s="13" t="str">
        <f t="shared" si="90"/>
        <v/>
      </c>
      <c r="M640" s="13" t="str">
        <f t="shared" si="91"/>
        <v/>
      </c>
      <c r="Q640" t="str">
        <f t="shared" si="92"/>
        <v/>
      </c>
      <c r="R640" t="str">
        <f t="shared" si="93"/>
        <v/>
      </c>
      <c r="S640" t="str">
        <f t="shared" si="94"/>
        <v/>
      </c>
      <c r="T640" t="str">
        <f t="shared" si="95"/>
        <v/>
      </c>
      <c r="U640" t="str">
        <f t="shared" si="96"/>
        <v/>
      </c>
      <c r="V640" t="str">
        <f t="shared" si="97"/>
        <v/>
      </c>
      <c r="W640" t="str">
        <f t="shared" si="98"/>
        <v/>
      </c>
      <c r="X640">
        <f>IF($T640="",N($X639),IF(MATCH($T640,$T$6:$T$10005,0)=ROW()-5,N($X639)+1,N($X639)))</f>
        <v>0</v>
      </c>
      <c r="Z640" t="str">
        <f t="shared" si="99"/>
        <v/>
      </c>
      <c r="AA640">
        <f>IF($V640="",N($AA639),IF(MATCH($V640,$V$6:$V$10005,0)=ROW()-5,N($AA639)+1,N($AA639)))</f>
        <v>0</v>
      </c>
    </row>
    <row r="641" spans="1:27" ht="21" customHeight="1" x14ac:dyDescent="0.95">
      <c r="A641" s="56"/>
      <c r="B641" s="57"/>
      <c r="C641" s="57"/>
      <c r="D641" s="57"/>
      <c r="E641" s="56"/>
      <c r="F641" s="57"/>
      <c r="G641" s="57"/>
      <c r="H641" s="56"/>
      <c r="I641" s="56"/>
      <c r="J641" s="58"/>
      <c r="K641" s="58"/>
      <c r="L641" s="13" t="str">
        <f t="shared" si="90"/>
        <v/>
      </c>
      <c r="M641" s="13" t="str">
        <f t="shared" si="91"/>
        <v/>
      </c>
      <c r="Q641" t="str">
        <f t="shared" si="92"/>
        <v/>
      </c>
      <c r="R641" t="str">
        <f t="shared" si="93"/>
        <v/>
      </c>
      <c r="S641" t="str">
        <f t="shared" si="94"/>
        <v/>
      </c>
      <c r="T641" t="str">
        <f t="shared" si="95"/>
        <v/>
      </c>
      <c r="U641" t="str">
        <f t="shared" si="96"/>
        <v/>
      </c>
      <c r="V641" t="str">
        <f t="shared" si="97"/>
        <v/>
      </c>
      <c r="W641" t="str">
        <f t="shared" si="98"/>
        <v/>
      </c>
      <c r="X641">
        <f>IF($T641="",N($X640),IF(MATCH($T641,$T$6:$T$10005,0)=ROW()-5,N($X640)+1,N($X640)))</f>
        <v>0</v>
      </c>
      <c r="Z641" t="str">
        <f t="shared" si="99"/>
        <v/>
      </c>
      <c r="AA641">
        <f>IF($V641="",N($AA640),IF(MATCH($V641,$V$6:$V$10005,0)=ROW()-5,N($AA640)+1,N($AA640)))</f>
        <v>0</v>
      </c>
    </row>
    <row r="642" spans="1:27" ht="21" customHeight="1" x14ac:dyDescent="0.95">
      <c r="A642" s="56"/>
      <c r="B642" s="57"/>
      <c r="C642" s="57"/>
      <c r="D642" s="57"/>
      <c r="E642" s="56"/>
      <c r="F642" s="57"/>
      <c r="G642" s="57"/>
      <c r="H642" s="56"/>
      <c r="I642" s="56"/>
      <c r="J642" s="58"/>
      <c r="K642" s="58"/>
      <c r="L642" s="13" t="str">
        <f t="shared" si="90"/>
        <v/>
      </c>
      <c r="M642" s="13" t="str">
        <f t="shared" si="91"/>
        <v/>
      </c>
      <c r="Q642" t="str">
        <f t="shared" si="92"/>
        <v/>
      </c>
      <c r="R642" t="str">
        <f t="shared" si="93"/>
        <v/>
      </c>
      <c r="S642" t="str">
        <f t="shared" si="94"/>
        <v/>
      </c>
      <c r="T642" t="str">
        <f t="shared" si="95"/>
        <v/>
      </c>
      <c r="U642" t="str">
        <f t="shared" si="96"/>
        <v/>
      </c>
      <c r="V642" t="str">
        <f t="shared" si="97"/>
        <v/>
      </c>
      <c r="W642" t="str">
        <f t="shared" si="98"/>
        <v/>
      </c>
      <c r="X642">
        <f>IF($T642="",N($X641),IF(MATCH($T642,$T$6:$T$10005,0)=ROW()-5,N($X641)+1,N($X641)))</f>
        <v>0</v>
      </c>
      <c r="Z642" t="str">
        <f t="shared" si="99"/>
        <v/>
      </c>
      <c r="AA642">
        <f>IF($V642="",N($AA641),IF(MATCH($V642,$V$6:$V$10005,0)=ROW()-5,N($AA641)+1,N($AA641)))</f>
        <v>0</v>
      </c>
    </row>
    <row r="643" spans="1:27" ht="21" customHeight="1" x14ac:dyDescent="0.95">
      <c r="A643" s="56"/>
      <c r="B643" s="57"/>
      <c r="C643" s="57"/>
      <c r="D643" s="57"/>
      <c r="E643" s="56"/>
      <c r="F643" s="57"/>
      <c r="G643" s="57"/>
      <c r="H643" s="56"/>
      <c r="I643" s="56"/>
      <c r="J643" s="58"/>
      <c r="K643" s="58"/>
      <c r="L643" s="13" t="str">
        <f t="shared" si="90"/>
        <v/>
      </c>
      <c r="M643" s="13" t="str">
        <f t="shared" si="91"/>
        <v/>
      </c>
      <c r="Q643" t="str">
        <f t="shared" si="92"/>
        <v/>
      </c>
      <c r="R643" t="str">
        <f t="shared" si="93"/>
        <v/>
      </c>
      <c r="S643" t="str">
        <f t="shared" si="94"/>
        <v/>
      </c>
      <c r="T643" t="str">
        <f t="shared" si="95"/>
        <v/>
      </c>
      <c r="U643" t="str">
        <f t="shared" si="96"/>
        <v/>
      </c>
      <c r="V643" t="str">
        <f t="shared" si="97"/>
        <v/>
      </c>
      <c r="W643" t="str">
        <f t="shared" si="98"/>
        <v/>
      </c>
      <c r="X643">
        <f>IF($T643="",N($X642),IF(MATCH($T643,$T$6:$T$10005,0)=ROW()-5,N($X642)+1,N($X642)))</f>
        <v>0</v>
      </c>
      <c r="Z643" t="str">
        <f t="shared" si="99"/>
        <v/>
      </c>
      <c r="AA643">
        <f>IF($V643="",N($AA642),IF(MATCH($V643,$V$6:$V$10005,0)=ROW()-5,N($AA642)+1,N($AA642)))</f>
        <v>0</v>
      </c>
    </row>
    <row r="644" spans="1:27" ht="21" customHeight="1" x14ac:dyDescent="0.95">
      <c r="A644" s="56"/>
      <c r="B644" s="57"/>
      <c r="C644" s="57"/>
      <c r="D644" s="57"/>
      <c r="E644" s="56"/>
      <c r="F644" s="57"/>
      <c r="G644" s="57"/>
      <c r="H644" s="56"/>
      <c r="I644" s="56"/>
      <c r="J644" s="58"/>
      <c r="K644" s="58"/>
      <c r="L644" s="13" t="str">
        <f t="shared" si="90"/>
        <v/>
      </c>
      <c r="M644" s="13" t="str">
        <f t="shared" si="91"/>
        <v/>
      </c>
      <c r="Q644" t="str">
        <f t="shared" si="92"/>
        <v/>
      </c>
      <c r="R644" t="str">
        <f t="shared" si="93"/>
        <v/>
      </c>
      <c r="S644" t="str">
        <f t="shared" si="94"/>
        <v/>
      </c>
      <c r="T644" t="str">
        <f t="shared" si="95"/>
        <v/>
      </c>
      <c r="U644" t="str">
        <f t="shared" si="96"/>
        <v/>
      </c>
      <c r="V644" t="str">
        <f t="shared" si="97"/>
        <v/>
      </c>
      <c r="W644" t="str">
        <f t="shared" si="98"/>
        <v/>
      </c>
      <c r="X644">
        <f>IF($T644="",N($X643),IF(MATCH($T644,$T$6:$T$10005,0)=ROW()-5,N($X643)+1,N($X643)))</f>
        <v>0</v>
      </c>
      <c r="Z644" t="str">
        <f t="shared" si="99"/>
        <v/>
      </c>
      <c r="AA644">
        <f>IF($V644="",N($AA643),IF(MATCH($V644,$V$6:$V$10005,0)=ROW()-5,N($AA643)+1,N($AA643)))</f>
        <v>0</v>
      </c>
    </row>
    <row r="645" spans="1:27" ht="21" customHeight="1" x14ac:dyDescent="0.95">
      <c r="A645" s="56"/>
      <c r="B645" s="57"/>
      <c r="C645" s="57"/>
      <c r="D645" s="57"/>
      <c r="E645" s="56"/>
      <c r="F645" s="57"/>
      <c r="G645" s="57"/>
      <c r="H645" s="56"/>
      <c r="I645" s="56"/>
      <c r="J645" s="58"/>
      <c r="K645" s="58"/>
      <c r="L645" s="13" t="str">
        <f t="shared" si="90"/>
        <v/>
      </c>
      <c r="M645" s="13" t="str">
        <f t="shared" si="91"/>
        <v/>
      </c>
      <c r="Q645" t="str">
        <f t="shared" si="92"/>
        <v/>
      </c>
      <c r="R645" t="str">
        <f t="shared" si="93"/>
        <v/>
      </c>
      <c r="S645" t="str">
        <f t="shared" si="94"/>
        <v/>
      </c>
      <c r="T645" t="str">
        <f t="shared" si="95"/>
        <v/>
      </c>
      <c r="U645" t="str">
        <f t="shared" si="96"/>
        <v/>
      </c>
      <c r="V645" t="str">
        <f t="shared" si="97"/>
        <v/>
      </c>
      <c r="W645" t="str">
        <f t="shared" si="98"/>
        <v/>
      </c>
      <c r="X645">
        <f>IF($T645="",N($X644),IF(MATCH($T645,$T$6:$T$10005,0)=ROW()-5,N($X644)+1,N($X644)))</f>
        <v>0</v>
      </c>
      <c r="Z645" t="str">
        <f t="shared" si="99"/>
        <v/>
      </c>
      <c r="AA645">
        <f>IF($V645="",N($AA644),IF(MATCH($V645,$V$6:$V$10005,0)=ROW()-5,N($AA644)+1,N($AA644)))</f>
        <v>0</v>
      </c>
    </row>
    <row r="646" spans="1:27" ht="21" customHeight="1" x14ac:dyDescent="0.95">
      <c r="A646" s="56"/>
      <c r="B646" s="57"/>
      <c r="C646" s="57"/>
      <c r="D646" s="57"/>
      <c r="E646" s="56"/>
      <c r="F646" s="57"/>
      <c r="G646" s="57"/>
      <c r="H646" s="56"/>
      <c r="I646" s="56"/>
      <c r="J646" s="58"/>
      <c r="K646" s="58"/>
      <c r="L646" s="13" t="str">
        <f t="shared" ref="L646:L709" si="100">IF(OR($A646="",AND($J646="",$K646="")),"",ROUND(N($J646)-N($K646),2))</f>
        <v/>
      </c>
      <c r="M646" s="13" t="str">
        <f t="shared" ref="M646:M709" si="101">IF(OR($A646="",AND($J646="",$K646="")),"",MIN($J646,$K646))</f>
        <v/>
      </c>
      <c r="Q646" t="str">
        <f t="shared" ref="Q646:Q709" si="102">IF($A646="","",$D646&amp;"("&amp;SUBSTITUTE($E646," ","")&amp;")")</f>
        <v/>
      </c>
      <c r="R646" t="str">
        <f t="shared" ref="R646:R709" si="103">IF($A646="","",$B646&amp;" - "&amp;$C646)</f>
        <v/>
      </c>
      <c r="S646" t="str">
        <f t="shared" ref="S646:S709" si="104">IF($A646="","",$R646&amp;"|"&amp;$Q646)</f>
        <v/>
      </c>
      <c r="T646" t="str">
        <f t="shared" ref="T646:T709" si="105">IF($A646="","",$S646&amp;"|"&amp;$F646)</f>
        <v/>
      </c>
      <c r="U646" t="str">
        <f t="shared" ref="U646:U709" si="106">IF($A646="","",$R646&amp;"("&amp;$E646&amp;")")</f>
        <v/>
      </c>
      <c r="V646" t="str">
        <f t="shared" ref="V646:V709" si="107">IF($A646="","",$F646&amp;"|"&amp;$U646&amp;"|"&amp;$D646)</f>
        <v/>
      </c>
      <c r="W646" t="str">
        <f t="shared" ref="W646:W709" si="108">IF($T646="","",IF($X646&gt;N($X645),$X646,""))</f>
        <v/>
      </c>
      <c r="X646">
        <f>IF($T646="",N($X645),IF(MATCH($T646,$T$6:$T$10005,0)=ROW()-5,N($X645)+1,N($X645)))</f>
        <v>0</v>
      </c>
      <c r="Z646" t="str">
        <f t="shared" ref="Z646:Z709" si="109">IF($V646="","",IF($AA646&gt;N($AA645),$AA646,""))</f>
        <v/>
      </c>
      <c r="AA646">
        <f>IF($V646="",N($AA645),IF(MATCH($V646,$V$6:$V$10005,0)=ROW()-5,N($AA645)+1,N($AA645)))</f>
        <v>0</v>
      </c>
    </row>
    <row r="647" spans="1:27" ht="21" customHeight="1" x14ac:dyDescent="0.95">
      <c r="A647" s="56"/>
      <c r="B647" s="57"/>
      <c r="C647" s="57"/>
      <c r="D647" s="57"/>
      <c r="E647" s="56"/>
      <c r="F647" s="57"/>
      <c r="G647" s="57"/>
      <c r="H647" s="56"/>
      <c r="I647" s="56"/>
      <c r="J647" s="58"/>
      <c r="K647" s="58"/>
      <c r="L647" s="13" t="str">
        <f t="shared" si="100"/>
        <v/>
      </c>
      <c r="M647" s="13" t="str">
        <f t="shared" si="101"/>
        <v/>
      </c>
      <c r="Q647" t="str">
        <f t="shared" si="102"/>
        <v/>
      </c>
      <c r="R647" t="str">
        <f t="shared" si="103"/>
        <v/>
      </c>
      <c r="S647" t="str">
        <f t="shared" si="104"/>
        <v/>
      </c>
      <c r="T647" t="str">
        <f t="shared" si="105"/>
        <v/>
      </c>
      <c r="U647" t="str">
        <f t="shared" si="106"/>
        <v/>
      </c>
      <c r="V647" t="str">
        <f t="shared" si="107"/>
        <v/>
      </c>
      <c r="W647" t="str">
        <f t="shared" si="108"/>
        <v/>
      </c>
      <c r="X647">
        <f>IF($T647="",N($X646),IF(MATCH($T647,$T$6:$T$10005,0)=ROW()-5,N($X646)+1,N($X646)))</f>
        <v>0</v>
      </c>
      <c r="Z647" t="str">
        <f t="shared" si="109"/>
        <v/>
      </c>
      <c r="AA647">
        <f>IF($V647="",N($AA646),IF(MATCH($V647,$V$6:$V$10005,0)=ROW()-5,N($AA646)+1,N($AA646)))</f>
        <v>0</v>
      </c>
    </row>
    <row r="648" spans="1:27" ht="21" customHeight="1" x14ac:dyDescent="0.95">
      <c r="A648" s="56"/>
      <c r="B648" s="57"/>
      <c r="C648" s="57"/>
      <c r="D648" s="57"/>
      <c r="E648" s="56"/>
      <c r="F648" s="57"/>
      <c r="G648" s="57"/>
      <c r="H648" s="56"/>
      <c r="I648" s="56"/>
      <c r="J648" s="58"/>
      <c r="K648" s="58"/>
      <c r="L648" s="13" t="str">
        <f t="shared" si="100"/>
        <v/>
      </c>
      <c r="M648" s="13" t="str">
        <f t="shared" si="101"/>
        <v/>
      </c>
      <c r="Q648" t="str">
        <f t="shared" si="102"/>
        <v/>
      </c>
      <c r="R648" t="str">
        <f t="shared" si="103"/>
        <v/>
      </c>
      <c r="S648" t="str">
        <f t="shared" si="104"/>
        <v/>
      </c>
      <c r="T648" t="str">
        <f t="shared" si="105"/>
        <v/>
      </c>
      <c r="U648" t="str">
        <f t="shared" si="106"/>
        <v/>
      </c>
      <c r="V648" t="str">
        <f t="shared" si="107"/>
        <v/>
      </c>
      <c r="W648" t="str">
        <f t="shared" si="108"/>
        <v/>
      </c>
      <c r="X648">
        <f>IF($T648="",N($X647),IF(MATCH($T648,$T$6:$T$10005,0)=ROW()-5,N($X647)+1,N($X647)))</f>
        <v>0</v>
      </c>
      <c r="Z648" t="str">
        <f t="shared" si="109"/>
        <v/>
      </c>
      <c r="AA648">
        <f>IF($V648="",N($AA647),IF(MATCH($V648,$V$6:$V$10005,0)=ROW()-5,N($AA647)+1,N($AA647)))</f>
        <v>0</v>
      </c>
    </row>
    <row r="649" spans="1:27" ht="21" customHeight="1" x14ac:dyDescent="0.95">
      <c r="A649" s="56"/>
      <c r="B649" s="57"/>
      <c r="C649" s="57"/>
      <c r="D649" s="57"/>
      <c r="E649" s="56"/>
      <c r="F649" s="57"/>
      <c r="G649" s="57"/>
      <c r="H649" s="56"/>
      <c r="I649" s="56"/>
      <c r="J649" s="58"/>
      <c r="K649" s="58"/>
      <c r="L649" s="13" t="str">
        <f t="shared" si="100"/>
        <v/>
      </c>
      <c r="M649" s="13" t="str">
        <f t="shared" si="101"/>
        <v/>
      </c>
      <c r="Q649" t="str">
        <f t="shared" si="102"/>
        <v/>
      </c>
      <c r="R649" t="str">
        <f t="shared" si="103"/>
        <v/>
      </c>
      <c r="S649" t="str">
        <f t="shared" si="104"/>
        <v/>
      </c>
      <c r="T649" t="str">
        <f t="shared" si="105"/>
        <v/>
      </c>
      <c r="U649" t="str">
        <f t="shared" si="106"/>
        <v/>
      </c>
      <c r="V649" t="str">
        <f t="shared" si="107"/>
        <v/>
      </c>
      <c r="W649" t="str">
        <f t="shared" si="108"/>
        <v/>
      </c>
      <c r="X649">
        <f>IF($T649="",N($X648),IF(MATCH($T649,$T$6:$T$10005,0)=ROW()-5,N($X648)+1,N($X648)))</f>
        <v>0</v>
      </c>
      <c r="Z649" t="str">
        <f t="shared" si="109"/>
        <v/>
      </c>
      <c r="AA649">
        <f>IF($V649="",N($AA648),IF(MATCH($V649,$V$6:$V$10005,0)=ROW()-5,N($AA648)+1,N($AA648)))</f>
        <v>0</v>
      </c>
    </row>
    <row r="650" spans="1:27" ht="21" customHeight="1" x14ac:dyDescent="0.95">
      <c r="A650" s="56"/>
      <c r="B650" s="57"/>
      <c r="C650" s="57"/>
      <c r="D650" s="57"/>
      <c r="E650" s="56"/>
      <c r="F650" s="57"/>
      <c r="G650" s="57"/>
      <c r="H650" s="56"/>
      <c r="I650" s="56"/>
      <c r="J650" s="58"/>
      <c r="K650" s="58"/>
      <c r="L650" s="13" t="str">
        <f t="shared" si="100"/>
        <v/>
      </c>
      <c r="M650" s="13" t="str">
        <f t="shared" si="101"/>
        <v/>
      </c>
      <c r="Q650" t="str">
        <f t="shared" si="102"/>
        <v/>
      </c>
      <c r="R650" t="str">
        <f t="shared" si="103"/>
        <v/>
      </c>
      <c r="S650" t="str">
        <f t="shared" si="104"/>
        <v/>
      </c>
      <c r="T650" t="str">
        <f t="shared" si="105"/>
        <v/>
      </c>
      <c r="U650" t="str">
        <f t="shared" si="106"/>
        <v/>
      </c>
      <c r="V650" t="str">
        <f t="shared" si="107"/>
        <v/>
      </c>
      <c r="W650" t="str">
        <f t="shared" si="108"/>
        <v/>
      </c>
      <c r="X650">
        <f>IF($T650="",N($X649),IF(MATCH($T650,$T$6:$T$10005,0)=ROW()-5,N($X649)+1,N($X649)))</f>
        <v>0</v>
      </c>
      <c r="Z650" t="str">
        <f t="shared" si="109"/>
        <v/>
      </c>
      <c r="AA650">
        <f>IF($V650="",N($AA649),IF(MATCH($V650,$V$6:$V$10005,0)=ROW()-5,N($AA649)+1,N($AA649)))</f>
        <v>0</v>
      </c>
    </row>
    <row r="651" spans="1:27" ht="21" customHeight="1" x14ac:dyDescent="0.95">
      <c r="A651" s="56"/>
      <c r="B651" s="57"/>
      <c r="C651" s="57"/>
      <c r="D651" s="57"/>
      <c r="E651" s="56"/>
      <c r="F651" s="57"/>
      <c r="G651" s="57"/>
      <c r="H651" s="56"/>
      <c r="I651" s="56"/>
      <c r="J651" s="58"/>
      <c r="K651" s="58"/>
      <c r="L651" s="13" t="str">
        <f t="shared" si="100"/>
        <v/>
      </c>
      <c r="M651" s="13" t="str">
        <f t="shared" si="101"/>
        <v/>
      </c>
      <c r="Q651" t="str">
        <f t="shared" si="102"/>
        <v/>
      </c>
      <c r="R651" t="str">
        <f t="shared" si="103"/>
        <v/>
      </c>
      <c r="S651" t="str">
        <f t="shared" si="104"/>
        <v/>
      </c>
      <c r="T651" t="str">
        <f t="shared" si="105"/>
        <v/>
      </c>
      <c r="U651" t="str">
        <f t="shared" si="106"/>
        <v/>
      </c>
      <c r="V651" t="str">
        <f t="shared" si="107"/>
        <v/>
      </c>
      <c r="W651" t="str">
        <f t="shared" si="108"/>
        <v/>
      </c>
      <c r="X651">
        <f>IF($T651="",N($X650),IF(MATCH($T651,$T$6:$T$10005,0)=ROW()-5,N($X650)+1,N($X650)))</f>
        <v>0</v>
      </c>
      <c r="Z651" t="str">
        <f t="shared" si="109"/>
        <v/>
      </c>
      <c r="AA651">
        <f>IF($V651="",N($AA650),IF(MATCH($V651,$V$6:$V$10005,0)=ROW()-5,N($AA650)+1,N($AA650)))</f>
        <v>0</v>
      </c>
    </row>
    <row r="652" spans="1:27" ht="21" customHeight="1" x14ac:dyDescent="0.95">
      <c r="A652" s="56"/>
      <c r="B652" s="57"/>
      <c r="C652" s="57"/>
      <c r="D652" s="57"/>
      <c r="E652" s="56"/>
      <c r="F652" s="57"/>
      <c r="G652" s="57"/>
      <c r="H652" s="56"/>
      <c r="I652" s="56"/>
      <c r="J652" s="58"/>
      <c r="K652" s="58"/>
      <c r="L652" s="13" t="str">
        <f t="shared" si="100"/>
        <v/>
      </c>
      <c r="M652" s="13" t="str">
        <f t="shared" si="101"/>
        <v/>
      </c>
      <c r="Q652" t="str">
        <f t="shared" si="102"/>
        <v/>
      </c>
      <c r="R652" t="str">
        <f t="shared" si="103"/>
        <v/>
      </c>
      <c r="S652" t="str">
        <f t="shared" si="104"/>
        <v/>
      </c>
      <c r="T652" t="str">
        <f t="shared" si="105"/>
        <v/>
      </c>
      <c r="U652" t="str">
        <f t="shared" si="106"/>
        <v/>
      </c>
      <c r="V652" t="str">
        <f t="shared" si="107"/>
        <v/>
      </c>
      <c r="W652" t="str">
        <f t="shared" si="108"/>
        <v/>
      </c>
      <c r="X652">
        <f>IF($T652="",N($X651),IF(MATCH($T652,$T$6:$T$10005,0)=ROW()-5,N($X651)+1,N($X651)))</f>
        <v>0</v>
      </c>
      <c r="Z652" t="str">
        <f t="shared" si="109"/>
        <v/>
      </c>
      <c r="AA652">
        <f>IF($V652="",N($AA651),IF(MATCH($V652,$V$6:$V$10005,0)=ROW()-5,N($AA651)+1,N($AA651)))</f>
        <v>0</v>
      </c>
    </row>
    <row r="653" spans="1:27" ht="21" customHeight="1" x14ac:dyDescent="0.95">
      <c r="A653" s="56"/>
      <c r="B653" s="57"/>
      <c r="C653" s="57"/>
      <c r="D653" s="57"/>
      <c r="E653" s="56"/>
      <c r="F653" s="57"/>
      <c r="G653" s="57"/>
      <c r="H653" s="56"/>
      <c r="I653" s="56"/>
      <c r="J653" s="58"/>
      <c r="K653" s="58"/>
      <c r="L653" s="13" t="str">
        <f t="shared" si="100"/>
        <v/>
      </c>
      <c r="M653" s="13" t="str">
        <f t="shared" si="101"/>
        <v/>
      </c>
      <c r="Q653" t="str">
        <f t="shared" si="102"/>
        <v/>
      </c>
      <c r="R653" t="str">
        <f t="shared" si="103"/>
        <v/>
      </c>
      <c r="S653" t="str">
        <f t="shared" si="104"/>
        <v/>
      </c>
      <c r="T653" t="str">
        <f t="shared" si="105"/>
        <v/>
      </c>
      <c r="U653" t="str">
        <f t="shared" si="106"/>
        <v/>
      </c>
      <c r="V653" t="str">
        <f t="shared" si="107"/>
        <v/>
      </c>
      <c r="W653" t="str">
        <f t="shared" si="108"/>
        <v/>
      </c>
      <c r="X653">
        <f>IF($T653="",N($X652),IF(MATCH($T653,$T$6:$T$10005,0)=ROW()-5,N($X652)+1,N($X652)))</f>
        <v>0</v>
      </c>
      <c r="Z653" t="str">
        <f t="shared" si="109"/>
        <v/>
      </c>
      <c r="AA653">
        <f>IF($V653="",N($AA652),IF(MATCH($V653,$V$6:$V$10005,0)=ROW()-5,N($AA652)+1,N($AA652)))</f>
        <v>0</v>
      </c>
    </row>
    <row r="654" spans="1:27" ht="21" customHeight="1" x14ac:dyDescent="0.95">
      <c r="A654" s="56"/>
      <c r="B654" s="57"/>
      <c r="C654" s="57"/>
      <c r="D654" s="57"/>
      <c r="E654" s="56"/>
      <c r="F654" s="57"/>
      <c r="G654" s="57"/>
      <c r="H654" s="56"/>
      <c r="I654" s="56"/>
      <c r="J654" s="58"/>
      <c r="K654" s="58"/>
      <c r="L654" s="13" t="str">
        <f t="shared" si="100"/>
        <v/>
      </c>
      <c r="M654" s="13" t="str">
        <f t="shared" si="101"/>
        <v/>
      </c>
      <c r="Q654" t="str">
        <f t="shared" si="102"/>
        <v/>
      </c>
      <c r="R654" t="str">
        <f t="shared" si="103"/>
        <v/>
      </c>
      <c r="S654" t="str">
        <f t="shared" si="104"/>
        <v/>
      </c>
      <c r="T654" t="str">
        <f t="shared" si="105"/>
        <v/>
      </c>
      <c r="U654" t="str">
        <f t="shared" si="106"/>
        <v/>
      </c>
      <c r="V654" t="str">
        <f t="shared" si="107"/>
        <v/>
      </c>
      <c r="W654" t="str">
        <f t="shared" si="108"/>
        <v/>
      </c>
      <c r="X654">
        <f>IF($T654="",N($X653),IF(MATCH($T654,$T$6:$T$10005,0)=ROW()-5,N($X653)+1,N($X653)))</f>
        <v>0</v>
      </c>
      <c r="Z654" t="str">
        <f t="shared" si="109"/>
        <v/>
      </c>
      <c r="AA654">
        <f>IF($V654="",N($AA653),IF(MATCH($V654,$V$6:$V$10005,0)=ROW()-5,N($AA653)+1,N($AA653)))</f>
        <v>0</v>
      </c>
    </row>
    <row r="655" spans="1:27" ht="21" customHeight="1" x14ac:dyDescent="0.95">
      <c r="A655" s="56"/>
      <c r="B655" s="57"/>
      <c r="C655" s="57"/>
      <c r="D655" s="57"/>
      <c r="E655" s="56"/>
      <c r="F655" s="57"/>
      <c r="G655" s="57"/>
      <c r="H655" s="56"/>
      <c r="I655" s="56"/>
      <c r="J655" s="58"/>
      <c r="K655" s="58"/>
      <c r="L655" s="13" t="str">
        <f t="shared" si="100"/>
        <v/>
      </c>
      <c r="M655" s="13" t="str">
        <f t="shared" si="101"/>
        <v/>
      </c>
      <c r="Q655" t="str">
        <f t="shared" si="102"/>
        <v/>
      </c>
      <c r="R655" t="str">
        <f t="shared" si="103"/>
        <v/>
      </c>
      <c r="S655" t="str">
        <f t="shared" si="104"/>
        <v/>
      </c>
      <c r="T655" t="str">
        <f t="shared" si="105"/>
        <v/>
      </c>
      <c r="U655" t="str">
        <f t="shared" si="106"/>
        <v/>
      </c>
      <c r="V655" t="str">
        <f t="shared" si="107"/>
        <v/>
      </c>
      <c r="W655" t="str">
        <f t="shared" si="108"/>
        <v/>
      </c>
      <c r="X655">
        <f>IF($T655="",N($X654),IF(MATCH($T655,$T$6:$T$10005,0)=ROW()-5,N($X654)+1,N($X654)))</f>
        <v>0</v>
      </c>
      <c r="Z655" t="str">
        <f t="shared" si="109"/>
        <v/>
      </c>
      <c r="AA655">
        <f>IF($V655="",N($AA654),IF(MATCH($V655,$V$6:$V$10005,0)=ROW()-5,N($AA654)+1,N($AA654)))</f>
        <v>0</v>
      </c>
    </row>
    <row r="656" spans="1:27" ht="21" customHeight="1" x14ac:dyDescent="0.95">
      <c r="A656" s="56"/>
      <c r="B656" s="57"/>
      <c r="C656" s="57"/>
      <c r="D656" s="57"/>
      <c r="E656" s="56"/>
      <c r="F656" s="57"/>
      <c r="G656" s="57"/>
      <c r="H656" s="56"/>
      <c r="I656" s="56"/>
      <c r="J656" s="58"/>
      <c r="K656" s="58"/>
      <c r="L656" s="13" t="str">
        <f t="shared" si="100"/>
        <v/>
      </c>
      <c r="M656" s="13" t="str">
        <f t="shared" si="101"/>
        <v/>
      </c>
      <c r="Q656" t="str">
        <f t="shared" si="102"/>
        <v/>
      </c>
      <c r="R656" t="str">
        <f t="shared" si="103"/>
        <v/>
      </c>
      <c r="S656" t="str">
        <f t="shared" si="104"/>
        <v/>
      </c>
      <c r="T656" t="str">
        <f t="shared" si="105"/>
        <v/>
      </c>
      <c r="U656" t="str">
        <f t="shared" si="106"/>
        <v/>
      </c>
      <c r="V656" t="str">
        <f t="shared" si="107"/>
        <v/>
      </c>
      <c r="W656" t="str">
        <f t="shared" si="108"/>
        <v/>
      </c>
      <c r="X656">
        <f>IF($T656="",N($X655),IF(MATCH($T656,$T$6:$T$10005,0)=ROW()-5,N($X655)+1,N($X655)))</f>
        <v>0</v>
      </c>
      <c r="Z656" t="str">
        <f t="shared" si="109"/>
        <v/>
      </c>
      <c r="AA656">
        <f>IF($V656="",N($AA655),IF(MATCH($V656,$V$6:$V$10005,0)=ROW()-5,N($AA655)+1,N($AA655)))</f>
        <v>0</v>
      </c>
    </row>
    <row r="657" spans="1:27" ht="21" customHeight="1" x14ac:dyDescent="0.95">
      <c r="A657" s="56"/>
      <c r="B657" s="57"/>
      <c r="C657" s="57"/>
      <c r="D657" s="57"/>
      <c r="E657" s="56"/>
      <c r="F657" s="57"/>
      <c r="G657" s="57"/>
      <c r="H657" s="56"/>
      <c r="I657" s="56"/>
      <c r="J657" s="58"/>
      <c r="K657" s="58"/>
      <c r="L657" s="13" t="str">
        <f t="shared" si="100"/>
        <v/>
      </c>
      <c r="M657" s="13" t="str">
        <f t="shared" si="101"/>
        <v/>
      </c>
      <c r="Q657" t="str">
        <f t="shared" si="102"/>
        <v/>
      </c>
      <c r="R657" t="str">
        <f t="shared" si="103"/>
        <v/>
      </c>
      <c r="S657" t="str">
        <f t="shared" si="104"/>
        <v/>
      </c>
      <c r="T657" t="str">
        <f t="shared" si="105"/>
        <v/>
      </c>
      <c r="U657" t="str">
        <f t="shared" si="106"/>
        <v/>
      </c>
      <c r="V657" t="str">
        <f t="shared" si="107"/>
        <v/>
      </c>
      <c r="W657" t="str">
        <f t="shared" si="108"/>
        <v/>
      </c>
      <c r="X657">
        <f>IF($T657="",N($X656),IF(MATCH($T657,$T$6:$T$10005,0)=ROW()-5,N($X656)+1,N($X656)))</f>
        <v>0</v>
      </c>
      <c r="Z657" t="str">
        <f t="shared" si="109"/>
        <v/>
      </c>
      <c r="AA657">
        <f>IF($V657="",N($AA656),IF(MATCH($V657,$V$6:$V$10005,0)=ROW()-5,N($AA656)+1,N($AA656)))</f>
        <v>0</v>
      </c>
    </row>
    <row r="658" spans="1:27" ht="21" customHeight="1" x14ac:dyDescent="0.95">
      <c r="A658" s="56"/>
      <c r="B658" s="57"/>
      <c r="C658" s="57"/>
      <c r="D658" s="57"/>
      <c r="E658" s="56"/>
      <c r="F658" s="57"/>
      <c r="G658" s="57"/>
      <c r="H658" s="56"/>
      <c r="I658" s="56"/>
      <c r="J658" s="58"/>
      <c r="K658" s="58"/>
      <c r="L658" s="13" t="str">
        <f t="shared" si="100"/>
        <v/>
      </c>
      <c r="M658" s="13" t="str">
        <f t="shared" si="101"/>
        <v/>
      </c>
      <c r="Q658" t="str">
        <f t="shared" si="102"/>
        <v/>
      </c>
      <c r="R658" t="str">
        <f t="shared" si="103"/>
        <v/>
      </c>
      <c r="S658" t="str">
        <f t="shared" si="104"/>
        <v/>
      </c>
      <c r="T658" t="str">
        <f t="shared" si="105"/>
        <v/>
      </c>
      <c r="U658" t="str">
        <f t="shared" si="106"/>
        <v/>
      </c>
      <c r="V658" t="str">
        <f t="shared" si="107"/>
        <v/>
      </c>
      <c r="W658" t="str">
        <f t="shared" si="108"/>
        <v/>
      </c>
      <c r="X658">
        <f>IF($T658="",N($X657),IF(MATCH($T658,$T$6:$T$10005,0)=ROW()-5,N($X657)+1,N($X657)))</f>
        <v>0</v>
      </c>
      <c r="Z658" t="str">
        <f t="shared" si="109"/>
        <v/>
      </c>
      <c r="AA658">
        <f>IF($V658="",N($AA657),IF(MATCH($V658,$V$6:$V$10005,0)=ROW()-5,N($AA657)+1,N($AA657)))</f>
        <v>0</v>
      </c>
    </row>
    <row r="659" spans="1:27" ht="21" customHeight="1" x14ac:dyDescent="0.95">
      <c r="A659" s="56"/>
      <c r="B659" s="57"/>
      <c r="C659" s="57"/>
      <c r="D659" s="57"/>
      <c r="E659" s="56"/>
      <c r="F659" s="57"/>
      <c r="G659" s="57"/>
      <c r="H659" s="56"/>
      <c r="I659" s="56"/>
      <c r="J659" s="58"/>
      <c r="K659" s="58"/>
      <c r="L659" s="13" t="str">
        <f t="shared" si="100"/>
        <v/>
      </c>
      <c r="M659" s="13" t="str">
        <f t="shared" si="101"/>
        <v/>
      </c>
      <c r="Q659" t="str">
        <f t="shared" si="102"/>
        <v/>
      </c>
      <c r="R659" t="str">
        <f t="shared" si="103"/>
        <v/>
      </c>
      <c r="S659" t="str">
        <f t="shared" si="104"/>
        <v/>
      </c>
      <c r="T659" t="str">
        <f t="shared" si="105"/>
        <v/>
      </c>
      <c r="U659" t="str">
        <f t="shared" si="106"/>
        <v/>
      </c>
      <c r="V659" t="str">
        <f t="shared" si="107"/>
        <v/>
      </c>
      <c r="W659" t="str">
        <f t="shared" si="108"/>
        <v/>
      </c>
      <c r="X659">
        <f>IF($T659="",N($X658),IF(MATCH($T659,$T$6:$T$10005,0)=ROW()-5,N($X658)+1,N($X658)))</f>
        <v>0</v>
      </c>
      <c r="Z659" t="str">
        <f t="shared" si="109"/>
        <v/>
      </c>
      <c r="AA659">
        <f>IF($V659="",N($AA658),IF(MATCH($V659,$V$6:$V$10005,0)=ROW()-5,N($AA658)+1,N($AA658)))</f>
        <v>0</v>
      </c>
    </row>
    <row r="660" spans="1:27" ht="21" customHeight="1" x14ac:dyDescent="0.95">
      <c r="A660" s="56"/>
      <c r="B660" s="57"/>
      <c r="C660" s="57"/>
      <c r="D660" s="57"/>
      <c r="E660" s="56"/>
      <c r="F660" s="57"/>
      <c r="G660" s="57"/>
      <c r="H660" s="56"/>
      <c r="I660" s="56"/>
      <c r="J660" s="58"/>
      <c r="K660" s="58"/>
      <c r="L660" s="13" t="str">
        <f t="shared" si="100"/>
        <v/>
      </c>
      <c r="M660" s="13" t="str">
        <f t="shared" si="101"/>
        <v/>
      </c>
      <c r="Q660" t="str">
        <f t="shared" si="102"/>
        <v/>
      </c>
      <c r="R660" t="str">
        <f t="shared" si="103"/>
        <v/>
      </c>
      <c r="S660" t="str">
        <f t="shared" si="104"/>
        <v/>
      </c>
      <c r="T660" t="str">
        <f t="shared" si="105"/>
        <v/>
      </c>
      <c r="U660" t="str">
        <f t="shared" si="106"/>
        <v/>
      </c>
      <c r="V660" t="str">
        <f t="shared" si="107"/>
        <v/>
      </c>
      <c r="W660" t="str">
        <f t="shared" si="108"/>
        <v/>
      </c>
      <c r="X660">
        <f>IF($T660="",N($X659),IF(MATCH($T660,$T$6:$T$10005,0)=ROW()-5,N($X659)+1,N($X659)))</f>
        <v>0</v>
      </c>
      <c r="Z660" t="str">
        <f t="shared" si="109"/>
        <v/>
      </c>
      <c r="AA660">
        <f>IF($V660="",N($AA659),IF(MATCH($V660,$V$6:$V$10005,0)=ROW()-5,N($AA659)+1,N($AA659)))</f>
        <v>0</v>
      </c>
    </row>
    <row r="661" spans="1:27" ht="21" customHeight="1" x14ac:dyDescent="0.95">
      <c r="A661" s="56"/>
      <c r="B661" s="57"/>
      <c r="C661" s="57"/>
      <c r="D661" s="57"/>
      <c r="E661" s="56"/>
      <c r="F661" s="57"/>
      <c r="G661" s="57"/>
      <c r="H661" s="56"/>
      <c r="I661" s="56"/>
      <c r="J661" s="58"/>
      <c r="K661" s="58"/>
      <c r="L661" s="13" t="str">
        <f t="shared" si="100"/>
        <v/>
      </c>
      <c r="M661" s="13" t="str">
        <f t="shared" si="101"/>
        <v/>
      </c>
      <c r="Q661" t="str">
        <f t="shared" si="102"/>
        <v/>
      </c>
      <c r="R661" t="str">
        <f t="shared" si="103"/>
        <v/>
      </c>
      <c r="S661" t="str">
        <f t="shared" si="104"/>
        <v/>
      </c>
      <c r="T661" t="str">
        <f t="shared" si="105"/>
        <v/>
      </c>
      <c r="U661" t="str">
        <f t="shared" si="106"/>
        <v/>
      </c>
      <c r="V661" t="str">
        <f t="shared" si="107"/>
        <v/>
      </c>
      <c r="W661" t="str">
        <f t="shared" si="108"/>
        <v/>
      </c>
      <c r="X661">
        <f>IF($T661="",N($X660),IF(MATCH($T661,$T$6:$T$10005,0)=ROW()-5,N($X660)+1,N($X660)))</f>
        <v>0</v>
      </c>
      <c r="Z661" t="str">
        <f t="shared" si="109"/>
        <v/>
      </c>
      <c r="AA661">
        <f>IF($V661="",N($AA660),IF(MATCH($V661,$V$6:$V$10005,0)=ROW()-5,N($AA660)+1,N($AA660)))</f>
        <v>0</v>
      </c>
    </row>
    <row r="662" spans="1:27" ht="21" customHeight="1" x14ac:dyDescent="0.95">
      <c r="A662" s="56"/>
      <c r="B662" s="57"/>
      <c r="C662" s="57"/>
      <c r="D662" s="57"/>
      <c r="E662" s="56"/>
      <c r="F662" s="57"/>
      <c r="G662" s="57"/>
      <c r="H662" s="56"/>
      <c r="I662" s="56"/>
      <c r="J662" s="58"/>
      <c r="K662" s="58"/>
      <c r="L662" s="13" t="str">
        <f t="shared" si="100"/>
        <v/>
      </c>
      <c r="M662" s="13" t="str">
        <f t="shared" si="101"/>
        <v/>
      </c>
      <c r="Q662" t="str">
        <f t="shared" si="102"/>
        <v/>
      </c>
      <c r="R662" t="str">
        <f t="shared" si="103"/>
        <v/>
      </c>
      <c r="S662" t="str">
        <f t="shared" si="104"/>
        <v/>
      </c>
      <c r="T662" t="str">
        <f t="shared" si="105"/>
        <v/>
      </c>
      <c r="U662" t="str">
        <f t="shared" si="106"/>
        <v/>
      </c>
      <c r="V662" t="str">
        <f t="shared" si="107"/>
        <v/>
      </c>
      <c r="W662" t="str">
        <f t="shared" si="108"/>
        <v/>
      </c>
      <c r="X662">
        <f>IF($T662="",N($X661),IF(MATCH($T662,$T$6:$T$10005,0)=ROW()-5,N($X661)+1,N($X661)))</f>
        <v>0</v>
      </c>
      <c r="Z662" t="str">
        <f t="shared" si="109"/>
        <v/>
      </c>
      <c r="AA662">
        <f>IF($V662="",N($AA661),IF(MATCH($V662,$V$6:$V$10005,0)=ROW()-5,N($AA661)+1,N($AA661)))</f>
        <v>0</v>
      </c>
    </row>
    <row r="663" spans="1:27" ht="21" customHeight="1" x14ac:dyDescent="0.95">
      <c r="A663" s="56"/>
      <c r="B663" s="57"/>
      <c r="C663" s="57"/>
      <c r="D663" s="57"/>
      <c r="E663" s="56"/>
      <c r="F663" s="57"/>
      <c r="G663" s="57"/>
      <c r="H663" s="56"/>
      <c r="I663" s="56"/>
      <c r="J663" s="58"/>
      <c r="K663" s="58"/>
      <c r="L663" s="13" t="str">
        <f t="shared" si="100"/>
        <v/>
      </c>
      <c r="M663" s="13" t="str">
        <f t="shared" si="101"/>
        <v/>
      </c>
      <c r="Q663" t="str">
        <f t="shared" si="102"/>
        <v/>
      </c>
      <c r="R663" t="str">
        <f t="shared" si="103"/>
        <v/>
      </c>
      <c r="S663" t="str">
        <f t="shared" si="104"/>
        <v/>
      </c>
      <c r="T663" t="str">
        <f t="shared" si="105"/>
        <v/>
      </c>
      <c r="U663" t="str">
        <f t="shared" si="106"/>
        <v/>
      </c>
      <c r="V663" t="str">
        <f t="shared" si="107"/>
        <v/>
      </c>
      <c r="W663" t="str">
        <f t="shared" si="108"/>
        <v/>
      </c>
      <c r="X663">
        <f>IF($T663="",N($X662),IF(MATCH($T663,$T$6:$T$10005,0)=ROW()-5,N($X662)+1,N($X662)))</f>
        <v>0</v>
      </c>
      <c r="Z663" t="str">
        <f t="shared" si="109"/>
        <v/>
      </c>
      <c r="AA663">
        <f>IF($V663="",N($AA662),IF(MATCH($V663,$V$6:$V$10005,0)=ROW()-5,N($AA662)+1,N($AA662)))</f>
        <v>0</v>
      </c>
    </row>
    <row r="664" spans="1:27" ht="21" customHeight="1" x14ac:dyDescent="0.95">
      <c r="A664" s="56"/>
      <c r="B664" s="57"/>
      <c r="C664" s="57"/>
      <c r="D664" s="57"/>
      <c r="E664" s="56"/>
      <c r="F664" s="57"/>
      <c r="G664" s="57"/>
      <c r="H664" s="56"/>
      <c r="I664" s="56"/>
      <c r="J664" s="58"/>
      <c r="K664" s="58"/>
      <c r="L664" s="13" t="str">
        <f t="shared" si="100"/>
        <v/>
      </c>
      <c r="M664" s="13" t="str">
        <f t="shared" si="101"/>
        <v/>
      </c>
      <c r="Q664" t="str">
        <f t="shared" si="102"/>
        <v/>
      </c>
      <c r="R664" t="str">
        <f t="shared" si="103"/>
        <v/>
      </c>
      <c r="S664" t="str">
        <f t="shared" si="104"/>
        <v/>
      </c>
      <c r="T664" t="str">
        <f t="shared" si="105"/>
        <v/>
      </c>
      <c r="U664" t="str">
        <f t="shared" si="106"/>
        <v/>
      </c>
      <c r="V664" t="str">
        <f t="shared" si="107"/>
        <v/>
      </c>
      <c r="W664" t="str">
        <f t="shared" si="108"/>
        <v/>
      </c>
      <c r="X664">
        <f>IF($T664="",N($X663),IF(MATCH($T664,$T$6:$T$10005,0)=ROW()-5,N($X663)+1,N($X663)))</f>
        <v>0</v>
      </c>
      <c r="Z664" t="str">
        <f t="shared" si="109"/>
        <v/>
      </c>
      <c r="AA664">
        <f>IF($V664="",N($AA663),IF(MATCH($V664,$V$6:$V$10005,0)=ROW()-5,N($AA663)+1,N($AA663)))</f>
        <v>0</v>
      </c>
    </row>
    <row r="665" spans="1:27" ht="21" customHeight="1" x14ac:dyDescent="0.95">
      <c r="A665" s="56"/>
      <c r="B665" s="57"/>
      <c r="C665" s="57"/>
      <c r="D665" s="57"/>
      <c r="E665" s="56"/>
      <c r="F665" s="57"/>
      <c r="G665" s="57"/>
      <c r="H665" s="56"/>
      <c r="I665" s="56"/>
      <c r="J665" s="58"/>
      <c r="K665" s="58"/>
      <c r="L665" s="13" t="str">
        <f t="shared" si="100"/>
        <v/>
      </c>
      <c r="M665" s="13" t="str">
        <f t="shared" si="101"/>
        <v/>
      </c>
      <c r="Q665" t="str">
        <f t="shared" si="102"/>
        <v/>
      </c>
      <c r="R665" t="str">
        <f t="shared" si="103"/>
        <v/>
      </c>
      <c r="S665" t="str">
        <f t="shared" si="104"/>
        <v/>
      </c>
      <c r="T665" t="str">
        <f t="shared" si="105"/>
        <v/>
      </c>
      <c r="U665" t="str">
        <f t="shared" si="106"/>
        <v/>
      </c>
      <c r="V665" t="str">
        <f t="shared" si="107"/>
        <v/>
      </c>
      <c r="W665" t="str">
        <f t="shared" si="108"/>
        <v/>
      </c>
      <c r="X665">
        <f>IF($T665="",N($X664),IF(MATCH($T665,$T$6:$T$10005,0)=ROW()-5,N($X664)+1,N($X664)))</f>
        <v>0</v>
      </c>
      <c r="Z665" t="str">
        <f t="shared" si="109"/>
        <v/>
      </c>
      <c r="AA665">
        <f>IF($V665="",N($AA664),IF(MATCH($V665,$V$6:$V$10005,0)=ROW()-5,N($AA664)+1,N($AA664)))</f>
        <v>0</v>
      </c>
    </row>
    <row r="666" spans="1:27" ht="21" customHeight="1" x14ac:dyDescent="0.95">
      <c r="A666" s="56"/>
      <c r="B666" s="57"/>
      <c r="C666" s="57"/>
      <c r="D666" s="57"/>
      <c r="E666" s="56"/>
      <c r="F666" s="57"/>
      <c r="G666" s="57"/>
      <c r="H666" s="56"/>
      <c r="I666" s="56"/>
      <c r="J666" s="58"/>
      <c r="K666" s="58"/>
      <c r="L666" s="13" t="str">
        <f t="shared" si="100"/>
        <v/>
      </c>
      <c r="M666" s="13" t="str">
        <f t="shared" si="101"/>
        <v/>
      </c>
      <c r="Q666" t="str">
        <f t="shared" si="102"/>
        <v/>
      </c>
      <c r="R666" t="str">
        <f t="shared" si="103"/>
        <v/>
      </c>
      <c r="S666" t="str">
        <f t="shared" si="104"/>
        <v/>
      </c>
      <c r="T666" t="str">
        <f t="shared" si="105"/>
        <v/>
      </c>
      <c r="U666" t="str">
        <f t="shared" si="106"/>
        <v/>
      </c>
      <c r="V666" t="str">
        <f t="shared" si="107"/>
        <v/>
      </c>
      <c r="W666" t="str">
        <f t="shared" si="108"/>
        <v/>
      </c>
      <c r="X666">
        <f>IF($T666="",N($X665),IF(MATCH($T666,$T$6:$T$10005,0)=ROW()-5,N($X665)+1,N($X665)))</f>
        <v>0</v>
      </c>
      <c r="Z666" t="str">
        <f t="shared" si="109"/>
        <v/>
      </c>
      <c r="AA666">
        <f>IF($V666="",N($AA665),IF(MATCH($V666,$V$6:$V$10005,0)=ROW()-5,N($AA665)+1,N($AA665)))</f>
        <v>0</v>
      </c>
    </row>
    <row r="667" spans="1:27" ht="21" customHeight="1" x14ac:dyDescent="0.95">
      <c r="A667" s="56"/>
      <c r="B667" s="57"/>
      <c r="C667" s="57"/>
      <c r="D667" s="57"/>
      <c r="E667" s="56"/>
      <c r="F667" s="57"/>
      <c r="G667" s="57"/>
      <c r="H667" s="56"/>
      <c r="I667" s="56"/>
      <c r="J667" s="58"/>
      <c r="K667" s="58"/>
      <c r="L667" s="13" t="str">
        <f t="shared" si="100"/>
        <v/>
      </c>
      <c r="M667" s="13" t="str">
        <f t="shared" si="101"/>
        <v/>
      </c>
      <c r="Q667" t="str">
        <f t="shared" si="102"/>
        <v/>
      </c>
      <c r="R667" t="str">
        <f t="shared" si="103"/>
        <v/>
      </c>
      <c r="S667" t="str">
        <f t="shared" si="104"/>
        <v/>
      </c>
      <c r="T667" t="str">
        <f t="shared" si="105"/>
        <v/>
      </c>
      <c r="U667" t="str">
        <f t="shared" si="106"/>
        <v/>
      </c>
      <c r="V667" t="str">
        <f t="shared" si="107"/>
        <v/>
      </c>
      <c r="W667" t="str">
        <f t="shared" si="108"/>
        <v/>
      </c>
      <c r="X667">
        <f>IF($T667="",N($X666),IF(MATCH($T667,$T$6:$T$10005,0)=ROW()-5,N($X666)+1,N($X666)))</f>
        <v>0</v>
      </c>
      <c r="Z667" t="str">
        <f t="shared" si="109"/>
        <v/>
      </c>
      <c r="AA667">
        <f>IF($V667="",N($AA666),IF(MATCH($V667,$V$6:$V$10005,0)=ROW()-5,N($AA666)+1,N($AA666)))</f>
        <v>0</v>
      </c>
    </row>
    <row r="668" spans="1:27" ht="21" customHeight="1" x14ac:dyDescent="0.95">
      <c r="A668" s="56"/>
      <c r="B668" s="57"/>
      <c r="C668" s="57"/>
      <c r="D668" s="57"/>
      <c r="E668" s="56"/>
      <c r="F668" s="57"/>
      <c r="G668" s="57"/>
      <c r="H668" s="56"/>
      <c r="I668" s="56"/>
      <c r="J668" s="58"/>
      <c r="K668" s="58"/>
      <c r="L668" s="13" t="str">
        <f t="shared" si="100"/>
        <v/>
      </c>
      <c r="M668" s="13" t="str">
        <f t="shared" si="101"/>
        <v/>
      </c>
      <c r="Q668" t="str">
        <f t="shared" si="102"/>
        <v/>
      </c>
      <c r="R668" t="str">
        <f t="shared" si="103"/>
        <v/>
      </c>
      <c r="S668" t="str">
        <f t="shared" si="104"/>
        <v/>
      </c>
      <c r="T668" t="str">
        <f t="shared" si="105"/>
        <v/>
      </c>
      <c r="U668" t="str">
        <f t="shared" si="106"/>
        <v/>
      </c>
      <c r="V668" t="str">
        <f t="shared" si="107"/>
        <v/>
      </c>
      <c r="W668" t="str">
        <f t="shared" si="108"/>
        <v/>
      </c>
      <c r="X668">
        <f>IF($T668="",N($X667),IF(MATCH($T668,$T$6:$T$10005,0)=ROW()-5,N($X667)+1,N($X667)))</f>
        <v>0</v>
      </c>
      <c r="Z668" t="str">
        <f t="shared" si="109"/>
        <v/>
      </c>
      <c r="AA668">
        <f>IF($V668="",N($AA667),IF(MATCH($V668,$V$6:$V$10005,0)=ROW()-5,N($AA667)+1,N($AA667)))</f>
        <v>0</v>
      </c>
    </row>
    <row r="669" spans="1:27" ht="21" customHeight="1" x14ac:dyDescent="0.95">
      <c r="A669" s="56"/>
      <c r="B669" s="57"/>
      <c r="C669" s="57"/>
      <c r="D669" s="57"/>
      <c r="E669" s="56"/>
      <c r="F669" s="57"/>
      <c r="G669" s="57"/>
      <c r="H669" s="56"/>
      <c r="I669" s="56"/>
      <c r="J669" s="58"/>
      <c r="K669" s="58"/>
      <c r="L669" s="13" t="str">
        <f t="shared" si="100"/>
        <v/>
      </c>
      <c r="M669" s="13" t="str">
        <f t="shared" si="101"/>
        <v/>
      </c>
      <c r="Q669" t="str">
        <f t="shared" si="102"/>
        <v/>
      </c>
      <c r="R669" t="str">
        <f t="shared" si="103"/>
        <v/>
      </c>
      <c r="S669" t="str">
        <f t="shared" si="104"/>
        <v/>
      </c>
      <c r="T669" t="str">
        <f t="shared" si="105"/>
        <v/>
      </c>
      <c r="U669" t="str">
        <f t="shared" si="106"/>
        <v/>
      </c>
      <c r="V669" t="str">
        <f t="shared" si="107"/>
        <v/>
      </c>
      <c r="W669" t="str">
        <f t="shared" si="108"/>
        <v/>
      </c>
      <c r="X669">
        <f>IF($T669="",N($X668),IF(MATCH($T669,$T$6:$T$10005,0)=ROW()-5,N($X668)+1,N($X668)))</f>
        <v>0</v>
      </c>
      <c r="Z669" t="str">
        <f t="shared" si="109"/>
        <v/>
      </c>
      <c r="AA669">
        <f>IF($V669="",N($AA668),IF(MATCH($V669,$V$6:$V$10005,0)=ROW()-5,N($AA668)+1,N($AA668)))</f>
        <v>0</v>
      </c>
    </row>
    <row r="670" spans="1:27" ht="21" customHeight="1" x14ac:dyDescent="0.95">
      <c r="A670" s="56"/>
      <c r="B670" s="57"/>
      <c r="C670" s="57"/>
      <c r="D670" s="57"/>
      <c r="E670" s="56"/>
      <c r="F670" s="57"/>
      <c r="G670" s="57"/>
      <c r="H670" s="56"/>
      <c r="I670" s="56"/>
      <c r="J670" s="58"/>
      <c r="K670" s="58"/>
      <c r="L670" s="13" t="str">
        <f t="shared" si="100"/>
        <v/>
      </c>
      <c r="M670" s="13" t="str">
        <f t="shared" si="101"/>
        <v/>
      </c>
      <c r="Q670" t="str">
        <f t="shared" si="102"/>
        <v/>
      </c>
      <c r="R670" t="str">
        <f t="shared" si="103"/>
        <v/>
      </c>
      <c r="S670" t="str">
        <f t="shared" si="104"/>
        <v/>
      </c>
      <c r="T670" t="str">
        <f t="shared" si="105"/>
        <v/>
      </c>
      <c r="U670" t="str">
        <f t="shared" si="106"/>
        <v/>
      </c>
      <c r="V670" t="str">
        <f t="shared" si="107"/>
        <v/>
      </c>
      <c r="W670" t="str">
        <f t="shared" si="108"/>
        <v/>
      </c>
      <c r="X670">
        <f>IF($T670="",N($X669),IF(MATCH($T670,$T$6:$T$10005,0)=ROW()-5,N($X669)+1,N($X669)))</f>
        <v>0</v>
      </c>
      <c r="Z670" t="str">
        <f t="shared" si="109"/>
        <v/>
      </c>
      <c r="AA670">
        <f>IF($V670="",N($AA669),IF(MATCH($V670,$V$6:$V$10005,0)=ROW()-5,N($AA669)+1,N($AA669)))</f>
        <v>0</v>
      </c>
    </row>
    <row r="671" spans="1:27" ht="21" customHeight="1" x14ac:dyDescent="0.95">
      <c r="A671" s="56"/>
      <c r="B671" s="57"/>
      <c r="C671" s="57"/>
      <c r="D671" s="57"/>
      <c r="E671" s="56"/>
      <c r="F671" s="57"/>
      <c r="G671" s="57"/>
      <c r="H671" s="56"/>
      <c r="I671" s="56"/>
      <c r="J671" s="58"/>
      <c r="K671" s="58"/>
      <c r="L671" s="13" t="str">
        <f t="shared" si="100"/>
        <v/>
      </c>
      <c r="M671" s="13" t="str">
        <f t="shared" si="101"/>
        <v/>
      </c>
      <c r="Q671" t="str">
        <f t="shared" si="102"/>
        <v/>
      </c>
      <c r="R671" t="str">
        <f t="shared" si="103"/>
        <v/>
      </c>
      <c r="S671" t="str">
        <f t="shared" si="104"/>
        <v/>
      </c>
      <c r="T671" t="str">
        <f t="shared" si="105"/>
        <v/>
      </c>
      <c r="U671" t="str">
        <f t="shared" si="106"/>
        <v/>
      </c>
      <c r="V671" t="str">
        <f t="shared" si="107"/>
        <v/>
      </c>
      <c r="W671" t="str">
        <f t="shared" si="108"/>
        <v/>
      </c>
      <c r="X671">
        <f>IF($T671="",N($X670),IF(MATCH($T671,$T$6:$T$10005,0)=ROW()-5,N($X670)+1,N($X670)))</f>
        <v>0</v>
      </c>
      <c r="Z671" t="str">
        <f t="shared" si="109"/>
        <v/>
      </c>
      <c r="AA671">
        <f>IF($V671="",N($AA670),IF(MATCH($V671,$V$6:$V$10005,0)=ROW()-5,N($AA670)+1,N($AA670)))</f>
        <v>0</v>
      </c>
    </row>
    <row r="672" spans="1:27" ht="21" customHeight="1" x14ac:dyDescent="0.95">
      <c r="A672" s="56"/>
      <c r="B672" s="57"/>
      <c r="C672" s="57"/>
      <c r="D672" s="57"/>
      <c r="E672" s="56"/>
      <c r="F672" s="57"/>
      <c r="G672" s="57"/>
      <c r="H672" s="56"/>
      <c r="I672" s="56"/>
      <c r="J672" s="58"/>
      <c r="K672" s="58"/>
      <c r="L672" s="13" t="str">
        <f t="shared" si="100"/>
        <v/>
      </c>
      <c r="M672" s="13" t="str">
        <f t="shared" si="101"/>
        <v/>
      </c>
      <c r="Q672" t="str">
        <f t="shared" si="102"/>
        <v/>
      </c>
      <c r="R672" t="str">
        <f t="shared" si="103"/>
        <v/>
      </c>
      <c r="S672" t="str">
        <f t="shared" si="104"/>
        <v/>
      </c>
      <c r="T672" t="str">
        <f t="shared" si="105"/>
        <v/>
      </c>
      <c r="U672" t="str">
        <f t="shared" si="106"/>
        <v/>
      </c>
      <c r="V672" t="str">
        <f t="shared" si="107"/>
        <v/>
      </c>
      <c r="W672" t="str">
        <f t="shared" si="108"/>
        <v/>
      </c>
      <c r="X672">
        <f>IF($T672="",N($X671),IF(MATCH($T672,$T$6:$T$10005,0)=ROW()-5,N($X671)+1,N($X671)))</f>
        <v>0</v>
      </c>
      <c r="Z672" t="str">
        <f t="shared" si="109"/>
        <v/>
      </c>
      <c r="AA672">
        <f>IF($V672="",N($AA671),IF(MATCH($V672,$V$6:$V$10005,0)=ROW()-5,N($AA671)+1,N($AA671)))</f>
        <v>0</v>
      </c>
    </row>
    <row r="673" spans="1:27" ht="21" customHeight="1" x14ac:dyDescent="0.95">
      <c r="A673" s="56"/>
      <c r="B673" s="57"/>
      <c r="C673" s="57"/>
      <c r="D673" s="57"/>
      <c r="E673" s="56"/>
      <c r="F673" s="57"/>
      <c r="G673" s="57"/>
      <c r="H673" s="56"/>
      <c r="I673" s="56"/>
      <c r="J673" s="58"/>
      <c r="K673" s="58"/>
      <c r="L673" s="13" t="str">
        <f t="shared" si="100"/>
        <v/>
      </c>
      <c r="M673" s="13" t="str">
        <f t="shared" si="101"/>
        <v/>
      </c>
      <c r="Q673" t="str">
        <f t="shared" si="102"/>
        <v/>
      </c>
      <c r="R673" t="str">
        <f t="shared" si="103"/>
        <v/>
      </c>
      <c r="S673" t="str">
        <f t="shared" si="104"/>
        <v/>
      </c>
      <c r="T673" t="str">
        <f t="shared" si="105"/>
        <v/>
      </c>
      <c r="U673" t="str">
        <f t="shared" si="106"/>
        <v/>
      </c>
      <c r="V673" t="str">
        <f t="shared" si="107"/>
        <v/>
      </c>
      <c r="W673" t="str">
        <f t="shared" si="108"/>
        <v/>
      </c>
      <c r="X673">
        <f>IF($T673="",N($X672),IF(MATCH($T673,$T$6:$T$10005,0)=ROW()-5,N($X672)+1,N($X672)))</f>
        <v>0</v>
      </c>
      <c r="Z673" t="str">
        <f t="shared" si="109"/>
        <v/>
      </c>
      <c r="AA673">
        <f>IF($V673="",N($AA672),IF(MATCH($V673,$V$6:$V$10005,0)=ROW()-5,N($AA672)+1,N($AA672)))</f>
        <v>0</v>
      </c>
    </row>
    <row r="674" spans="1:27" ht="21" customHeight="1" x14ac:dyDescent="0.95">
      <c r="A674" s="56"/>
      <c r="B674" s="57"/>
      <c r="C674" s="57"/>
      <c r="D674" s="57"/>
      <c r="E674" s="56"/>
      <c r="F674" s="57"/>
      <c r="G674" s="57"/>
      <c r="H674" s="56"/>
      <c r="I674" s="56"/>
      <c r="J674" s="58"/>
      <c r="K674" s="58"/>
      <c r="L674" s="13" t="str">
        <f t="shared" si="100"/>
        <v/>
      </c>
      <c r="M674" s="13" t="str">
        <f t="shared" si="101"/>
        <v/>
      </c>
      <c r="Q674" t="str">
        <f t="shared" si="102"/>
        <v/>
      </c>
      <c r="R674" t="str">
        <f t="shared" si="103"/>
        <v/>
      </c>
      <c r="S674" t="str">
        <f t="shared" si="104"/>
        <v/>
      </c>
      <c r="T674" t="str">
        <f t="shared" si="105"/>
        <v/>
      </c>
      <c r="U674" t="str">
        <f t="shared" si="106"/>
        <v/>
      </c>
      <c r="V674" t="str">
        <f t="shared" si="107"/>
        <v/>
      </c>
      <c r="W674" t="str">
        <f t="shared" si="108"/>
        <v/>
      </c>
      <c r="X674">
        <f>IF($T674="",N($X673),IF(MATCH($T674,$T$6:$T$10005,0)=ROW()-5,N($X673)+1,N($X673)))</f>
        <v>0</v>
      </c>
      <c r="Z674" t="str">
        <f t="shared" si="109"/>
        <v/>
      </c>
      <c r="AA674">
        <f>IF($V674="",N($AA673),IF(MATCH($V674,$V$6:$V$10005,0)=ROW()-5,N($AA673)+1,N($AA673)))</f>
        <v>0</v>
      </c>
    </row>
    <row r="675" spans="1:27" ht="21" customHeight="1" x14ac:dyDescent="0.95">
      <c r="A675" s="56"/>
      <c r="B675" s="57"/>
      <c r="C675" s="57"/>
      <c r="D675" s="57"/>
      <c r="E675" s="56"/>
      <c r="F675" s="57"/>
      <c r="G675" s="57"/>
      <c r="H675" s="56"/>
      <c r="I675" s="56"/>
      <c r="J675" s="58"/>
      <c r="K675" s="58"/>
      <c r="L675" s="13" t="str">
        <f t="shared" si="100"/>
        <v/>
      </c>
      <c r="M675" s="13" t="str">
        <f t="shared" si="101"/>
        <v/>
      </c>
      <c r="Q675" t="str">
        <f t="shared" si="102"/>
        <v/>
      </c>
      <c r="R675" t="str">
        <f t="shared" si="103"/>
        <v/>
      </c>
      <c r="S675" t="str">
        <f t="shared" si="104"/>
        <v/>
      </c>
      <c r="T675" t="str">
        <f t="shared" si="105"/>
        <v/>
      </c>
      <c r="U675" t="str">
        <f t="shared" si="106"/>
        <v/>
      </c>
      <c r="V675" t="str">
        <f t="shared" si="107"/>
        <v/>
      </c>
      <c r="W675" t="str">
        <f t="shared" si="108"/>
        <v/>
      </c>
      <c r="X675">
        <f>IF($T675="",N($X674),IF(MATCH($T675,$T$6:$T$10005,0)=ROW()-5,N($X674)+1,N($X674)))</f>
        <v>0</v>
      </c>
      <c r="Z675" t="str">
        <f t="shared" si="109"/>
        <v/>
      </c>
      <c r="AA675">
        <f>IF($V675="",N($AA674),IF(MATCH($V675,$V$6:$V$10005,0)=ROW()-5,N($AA674)+1,N($AA674)))</f>
        <v>0</v>
      </c>
    </row>
    <row r="676" spans="1:27" ht="21" customHeight="1" x14ac:dyDescent="0.95">
      <c r="A676" s="56"/>
      <c r="B676" s="57"/>
      <c r="C676" s="57"/>
      <c r="D676" s="57"/>
      <c r="E676" s="56"/>
      <c r="F676" s="57"/>
      <c r="G676" s="57"/>
      <c r="H676" s="56"/>
      <c r="I676" s="56"/>
      <c r="J676" s="58"/>
      <c r="K676" s="58"/>
      <c r="L676" s="13" t="str">
        <f t="shared" si="100"/>
        <v/>
      </c>
      <c r="M676" s="13" t="str">
        <f t="shared" si="101"/>
        <v/>
      </c>
      <c r="Q676" t="str">
        <f t="shared" si="102"/>
        <v/>
      </c>
      <c r="R676" t="str">
        <f t="shared" si="103"/>
        <v/>
      </c>
      <c r="S676" t="str">
        <f t="shared" si="104"/>
        <v/>
      </c>
      <c r="T676" t="str">
        <f t="shared" si="105"/>
        <v/>
      </c>
      <c r="U676" t="str">
        <f t="shared" si="106"/>
        <v/>
      </c>
      <c r="V676" t="str">
        <f t="shared" si="107"/>
        <v/>
      </c>
      <c r="W676" t="str">
        <f t="shared" si="108"/>
        <v/>
      </c>
      <c r="X676">
        <f>IF($T676="",N($X675),IF(MATCH($T676,$T$6:$T$10005,0)=ROW()-5,N($X675)+1,N($X675)))</f>
        <v>0</v>
      </c>
      <c r="Z676" t="str">
        <f t="shared" si="109"/>
        <v/>
      </c>
      <c r="AA676">
        <f>IF($V676="",N($AA675),IF(MATCH($V676,$V$6:$V$10005,0)=ROW()-5,N($AA675)+1,N($AA675)))</f>
        <v>0</v>
      </c>
    </row>
    <row r="677" spans="1:27" ht="21" customHeight="1" x14ac:dyDescent="0.95">
      <c r="A677" s="56"/>
      <c r="B677" s="57"/>
      <c r="C677" s="57"/>
      <c r="D677" s="57"/>
      <c r="E677" s="56"/>
      <c r="F677" s="57"/>
      <c r="G677" s="57"/>
      <c r="H677" s="56"/>
      <c r="I677" s="56"/>
      <c r="J677" s="58"/>
      <c r="K677" s="58"/>
      <c r="L677" s="13" t="str">
        <f t="shared" si="100"/>
        <v/>
      </c>
      <c r="M677" s="13" t="str">
        <f t="shared" si="101"/>
        <v/>
      </c>
      <c r="Q677" t="str">
        <f t="shared" si="102"/>
        <v/>
      </c>
      <c r="R677" t="str">
        <f t="shared" si="103"/>
        <v/>
      </c>
      <c r="S677" t="str">
        <f t="shared" si="104"/>
        <v/>
      </c>
      <c r="T677" t="str">
        <f t="shared" si="105"/>
        <v/>
      </c>
      <c r="U677" t="str">
        <f t="shared" si="106"/>
        <v/>
      </c>
      <c r="V677" t="str">
        <f t="shared" si="107"/>
        <v/>
      </c>
      <c r="W677" t="str">
        <f t="shared" si="108"/>
        <v/>
      </c>
      <c r="X677">
        <f>IF($T677="",N($X676),IF(MATCH($T677,$T$6:$T$10005,0)=ROW()-5,N($X676)+1,N($X676)))</f>
        <v>0</v>
      </c>
      <c r="Z677" t="str">
        <f t="shared" si="109"/>
        <v/>
      </c>
      <c r="AA677">
        <f>IF($V677="",N($AA676),IF(MATCH($V677,$V$6:$V$10005,0)=ROW()-5,N($AA676)+1,N($AA676)))</f>
        <v>0</v>
      </c>
    </row>
    <row r="678" spans="1:27" ht="21" customHeight="1" x14ac:dyDescent="0.95">
      <c r="A678" s="56"/>
      <c r="B678" s="57"/>
      <c r="C678" s="57"/>
      <c r="D678" s="57"/>
      <c r="E678" s="56"/>
      <c r="F678" s="57"/>
      <c r="G678" s="57"/>
      <c r="H678" s="56"/>
      <c r="I678" s="56"/>
      <c r="J678" s="58"/>
      <c r="K678" s="58"/>
      <c r="L678" s="13" t="str">
        <f t="shared" si="100"/>
        <v/>
      </c>
      <c r="M678" s="13" t="str">
        <f t="shared" si="101"/>
        <v/>
      </c>
      <c r="Q678" t="str">
        <f t="shared" si="102"/>
        <v/>
      </c>
      <c r="R678" t="str">
        <f t="shared" si="103"/>
        <v/>
      </c>
      <c r="S678" t="str">
        <f t="shared" si="104"/>
        <v/>
      </c>
      <c r="T678" t="str">
        <f t="shared" si="105"/>
        <v/>
      </c>
      <c r="U678" t="str">
        <f t="shared" si="106"/>
        <v/>
      </c>
      <c r="V678" t="str">
        <f t="shared" si="107"/>
        <v/>
      </c>
      <c r="W678" t="str">
        <f t="shared" si="108"/>
        <v/>
      </c>
      <c r="X678">
        <f>IF($T678="",N($X677),IF(MATCH($T678,$T$6:$T$10005,0)=ROW()-5,N($X677)+1,N($X677)))</f>
        <v>0</v>
      </c>
      <c r="Z678" t="str">
        <f t="shared" si="109"/>
        <v/>
      </c>
      <c r="AA678">
        <f>IF($V678="",N($AA677),IF(MATCH($V678,$V$6:$V$10005,0)=ROW()-5,N($AA677)+1,N($AA677)))</f>
        <v>0</v>
      </c>
    </row>
    <row r="679" spans="1:27" ht="21" customHeight="1" x14ac:dyDescent="0.95">
      <c r="A679" s="56"/>
      <c r="B679" s="57"/>
      <c r="C679" s="57"/>
      <c r="D679" s="57"/>
      <c r="E679" s="56"/>
      <c r="F679" s="57"/>
      <c r="G679" s="57"/>
      <c r="H679" s="56"/>
      <c r="I679" s="56"/>
      <c r="J679" s="58"/>
      <c r="K679" s="58"/>
      <c r="L679" s="13" t="str">
        <f t="shared" si="100"/>
        <v/>
      </c>
      <c r="M679" s="13" t="str">
        <f t="shared" si="101"/>
        <v/>
      </c>
      <c r="Q679" t="str">
        <f t="shared" si="102"/>
        <v/>
      </c>
      <c r="R679" t="str">
        <f t="shared" si="103"/>
        <v/>
      </c>
      <c r="S679" t="str">
        <f t="shared" si="104"/>
        <v/>
      </c>
      <c r="T679" t="str">
        <f t="shared" si="105"/>
        <v/>
      </c>
      <c r="U679" t="str">
        <f t="shared" si="106"/>
        <v/>
      </c>
      <c r="V679" t="str">
        <f t="shared" si="107"/>
        <v/>
      </c>
      <c r="W679" t="str">
        <f t="shared" si="108"/>
        <v/>
      </c>
      <c r="X679">
        <f>IF($T679="",N($X678),IF(MATCH($T679,$T$6:$T$10005,0)=ROW()-5,N($X678)+1,N($X678)))</f>
        <v>0</v>
      </c>
      <c r="Z679" t="str">
        <f t="shared" si="109"/>
        <v/>
      </c>
      <c r="AA679">
        <f>IF($V679="",N($AA678),IF(MATCH($V679,$V$6:$V$10005,0)=ROW()-5,N($AA678)+1,N($AA678)))</f>
        <v>0</v>
      </c>
    </row>
    <row r="680" spans="1:27" ht="21" customHeight="1" x14ac:dyDescent="0.95">
      <c r="A680" s="56"/>
      <c r="B680" s="57"/>
      <c r="C680" s="57"/>
      <c r="D680" s="57"/>
      <c r="E680" s="56"/>
      <c r="F680" s="57"/>
      <c r="G680" s="57"/>
      <c r="H680" s="56"/>
      <c r="I680" s="56"/>
      <c r="J680" s="58"/>
      <c r="K680" s="58"/>
      <c r="L680" s="13" t="str">
        <f t="shared" si="100"/>
        <v/>
      </c>
      <c r="M680" s="13" t="str">
        <f t="shared" si="101"/>
        <v/>
      </c>
      <c r="Q680" t="str">
        <f t="shared" si="102"/>
        <v/>
      </c>
      <c r="R680" t="str">
        <f t="shared" si="103"/>
        <v/>
      </c>
      <c r="S680" t="str">
        <f t="shared" si="104"/>
        <v/>
      </c>
      <c r="T680" t="str">
        <f t="shared" si="105"/>
        <v/>
      </c>
      <c r="U680" t="str">
        <f t="shared" si="106"/>
        <v/>
      </c>
      <c r="V680" t="str">
        <f t="shared" si="107"/>
        <v/>
      </c>
      <c r="W680" t="str">
        <f t="shared" si="108"/>
        <v/>
      </c>
      <c r="X680">
        <f>IF($T680="",N($X679),IF(MATCH($T680,$T$6:$T$10005,0)=ROW()-5,N($X679)+1,N($X679)))</f>
        <v>0</v>
      </c>
      <c r="Z680" t="str">
        <f t="shared" si="109"/>
        <v/>
      </c>
      <c r="AA680">
        <f>IF($V680="",N($AA679),IF(MATCH($V680,$V$6:$V$10005,0)=ROW()-5,N($AA679)+1,N($AA679)))</f>
        <v>0</v>
      </c>
    </row>
    <row r="681" spans="1:27" ht="21" customHeight="1" x14ac:dyDescent="0.95">
      <c r="A681" s="56"/>
      <c r="B681" s="57"/>
      <c r="C681" s="57"/>
      <c r="D681" s="57"/>
      <c r="E681" s="56"/>
      <c r="F681" s="57"/>
      <c r="G681" s="57"/>
      <c r="H681" s="56"/>
      <c r="I681" s="56"/>
      <c r="J681" s="58"/>
      <c r="K681" s="58"/>
      <c r="L681" s="13" t="str">
        <f t="shared" si="100"/>
        <v/>
      </c>
      <c r="M681" s="13" t="str">
        <f t="shared" si="101"/>
        <v/>
      </c>
      <c r="Q681" t="str">
        <f t="shared" si="102"/>
        <v/>
      </c>
      <c r="R681" t="str">
        <f t="shared" si="103"/>
        <v/>
      </c>
      <c r="S681" t="str">
        <f t="shared" si="104"/>
        <v/>
      </c>
      <c r="T681" t="str">
        <f t="shared" si="105"/>
        <v/>
      </c>
      <c r="U681" t="str">
        <f t="shared" si="106"/>
        <v/>
      </c>
      <c r="V681" t="str">
        <f t="shared" si="107"/>
        <v/>
      </c>
      <c r="W681" t="str">
        <f t="shared" si="108"/>
        <v/>
      </c>
      <c r="X681">
        <f>IF($T681="",N($X680),IF(MATCH($T681,$T$6:$T$10005,0)=ROW()-5,N($X680)+1,N($X680)))</f>
        <v>0</v>
      </c>
      <c r="Z681" t="str">
        <f t="shared" si="109"/>
        <v/>
      </c>
      <c r="AA681">
        <f>IF($V681="",N($AA680),IF(MATCH($V681,$V$6:$V$10005,0)=ROW()-5,N($AA680)+1,N($AA680)))</f>
        <v>0</v>
      </c>
    </row>
    <row r="682" spans="1:27" ht="21" customHeight="1" x14ac:dyDescent="0.95">
      <c r="A682" s="56"/>
      <c r="B682" s="57"/>
      <c r="C682" s="57"/>
      <c r="D682" s="57"/>
      <c r="E682" s="56"/>
      <c r="F682" s="57"/>
      <c r="G682" s="57"/>
      <c r="H682" s="56"/>
      <c r="I682" s="56"/>
      <c r="J682" s="58"/>
      <c r="K682" s="58"/>
      <c r="L682" s="13" t="str">
        <f t="shared" si="100"/>
        <v/>
      </c>
      <c r="M682" s="13" t="str">
        <f t="shared" si="101"/>
        <v/>
      </c>
      <c r="Q682" t="str">
        <f t="shared" si="102"/>
        <v/>
      </c>
      <c r="R682" t="str">
        <f t="shared" si="103"/>
        <v/>
      </c>
      <c r="S682" t="str">
        <f t="shared" si="104"/>
        <v/>
      </c>
      <c r="T682" t="str">
        <f t="shared" si="105"/>
        <v/>
      </c>
      <c r="U682" t="str">
        <f t="shared" si="106"/>
        <v/>
      </c>
      <c r="V682" t="str">
        <f t="shared" si="107"/>
        <v/>
      </c>
      <c r="W682" t="str">
        <f t="shared" si="108"/>
        <v/>
      </c>
      <c r="X682">
        <f>IF($T682="",N($X681),IF(MATCH($T682,$T$6:$T$10005,0)=ROW()-5,N($X681)+1,N($X681)))</f>
        <v>0</v>
      </c>
      <c r="Z682" t="str">
        <f t="shared" si="109"/>
        <v/>
      </c>
      <c r="AA682">
        <f>IF($V682="",N($AA681),IF(MATCH($V682,$V$6:$V$10005,0)=ROW()-5,N($AA681)+1,N($AA681)))</f>
        <v>0</v>
      </c>
    </row>
    <row r="683" spans="1:27" ht="21" customHeight="1" x14ac:dyDescent="0.95">
      <c r="A683" s="56"/>
      <c r="B683" s="57"/>
      <c r="C683" s="57"/>
      <c r="D683" s="57"/>
      <c r="E683" s="56"/>
      <c r="F683" s="57"/>
      <c r="G683" s="57"/>
      <c r="H683" s="56"/>
      <c r="I683" s="56"/>
      <c r="J683" s="58"/>
      <c r="K683" s="58"/>
      <c r="L683" s="13" t="str">
        <f t="shared" si="100"/>
        <v/>
      </c>
      <c r="M683" s="13" t="str">
        <f t="shared" si="101"/>
        <v/>
      </c>
      <c r="Q683" t="str">
        <f t="shared" si="102"/>
        <v/>
      </c>
      <c r="R683" t="str">
        <f t="shared" si="103"/>
        <v/>
      </c>
      <c r="S683" t="str">
        <f t="shared" si="104"/>
        <v/>
      </c>
      <c r="T683" t="str">
        <f t="shared" si="105"/>
        <v/>
      </c>
      <c r="U683" t="str">
        <f t="shared" si="106"/>
        <v/>
      </c>
      <c r="V683" t="str">
        <f t="shared" si="107"/>
        <v/>
      </c>
      <c r="W683" t="str">
        <f t="shared" si="108"/>
        <v/>
      </c>
      <c r="X683">
        <f>IF($T683="",N($X682),IF(MATCH($T683,$T$6:$T$10005,0)=ROW()-5,N($X682)+1,N($X682)))</f>
        <v>0</v>
      </c>
      <c r="Z683" t="str">
        <f t="shared" si="109"/>
        <v/>
      </c>
      <c r="AA683">
        <f>IF($V683="",N($AA682),IF(MATCH($V683,$V$6:$V$10005,0)=ROW()-5,N($AA682)+1,N($AA682)))</f>
        <v>0</v>
      </c>
    </row>
    <row r="684" spans="1:27" ht="21" customHeight="1" x14ac:dyDescent="0.95">
      <c r="A684" s="56"/>
      <c r="B684" s="57"/>
      <c r="C684" s="57"/>
      <c r="D684" s="57"/>
      <c r="E684" s="56"/>
      <c r="F684" s="57"/>
      <c r="G684" s="57"/>
      <c r="H684" s="56"/>
      <c r="I684" s="56"/>
      <c r="J684" s="58"/>
      <c r="K684" s="58"/>
      <c r="L684" s="13" t="str">
        <f t="shared" si="100"/>
        <v/>
      </c>
      <c r="M684" s="13" t="str">
        <f t="shared" si="101"/>
        <v/>
      </c>
      <c r="Q684" t="str">
        <f t="shared" si="102"/>
        <v/>
      </c>
      <c r="R684" t="str">
        <f t="shared" si="103"/>
        <v/>
      </c>
      <c r="S684" t="str">
        <f t="shared" si="104"/>
        <v/>
      </c>
      <c r="T684" t="str">
        <f t="shared" si="105"/>
        <v/>
      </c>
      <c r="U684" t="str">
        <f t="shared" si="106"/>
        <v/>
      </c>
      <c r="V684" t="str">
        <f t="shared" si="107"/>
        <v/>
      </c>
      <c r="W684" t="str">
        <f t="shared" si="108"/>
        <v/>
      </c>
      <c r="X684">
        <f>IF($T684="",N($X683),IF(MATCH($T684,$T$6:$T$10005,0)=ROW()-5,N($X683)+1,N($X683)))</f>
        <v>0</v>
      </c>
      <c r="Z684" t="str">
        <f t="shared" si="109"/>
        <v/>
      </c>
      <c r="AA684">
        <f>IF($V684="",N($AA683),IF(MATCH($V684,$V$6:$V$10005,0)=ROW()-5,N($AA683)+1,N($AA683)))</f>
        <v>0</v>
      </c>
    </row>
    <row r="685" spans="1:27" ht="21" customHeight="1" x14ac:dyDescent="0.95">
      <c r="A685" s="56"/>
      <c r="B685" s="57"/>
      <c r="C685" s="57"/>
      <c r="D685" s="57"/>
      <c r="E685" s="56"/>
      <c r="F685" s="57"/>
      <c r="G685" s="57"/>
      <c r="H685" s="56"/>
      <c r="I685" s="56"/>
      <c r="J685" s="58"/>
      <c r="K685" s="58"/>
      <c r="L685" s="13" t="str">
        <f t="shared" si="100"/>
        <v/>
      </c>
      <c r="M685" s="13" t="str">
        <f t="shared" si="101"/>
        <v/>
      </c>
      <c r="Q685" t="str">
        <f t="shared" si="102"/>
        <v/>
      </c>
      <c r="R685" t="str">
        <f t="shared" si="103"/>
        <v/>
      </c>
      <c r="S685" t="str">
        <f t="shared" si="104"/>
        <v/>
      </c>
      <c r="T685" t="str">
        <f t="shared" si="105"/>
        <v/>
      </c>
      <c r="U685" t="str">
        <f t="shared" si="106"/>
        <v/>
      </c>
      <c r="V685" t="str">
        <f t="shared" si="107"/>
        <v/>
      </c>
      <c r="W685" t="str">
        <f t="shared" si="108"/>
        <v/>
      </c>
      <c r="X685">
        <f>IF($T685="",N($X684),IF(MATCH($T685,$T$6:$T$10005,0)=ROW()-5,N($X684)+1,N($X684)))</f>
        <v>0</v>
      </c>
      <c r="Z685" t="str">
        <f t="shared" si="109"/>
        <v/>
      </c>
      <c r="AA685">
        <f>IF($V685="",N($AA684),IF(MATCH($V685,$V$6:$V$10005,0)=ROW()-5,N($AA684)+1,N($AA684)))</f>
        <v>0</v>
      </c>
    </row>
    <row r="686" spans="1:27" ht="21" customHeight="1" x14ac:dyDescent="0.95">
      <c r="A686" s="56"/>
      <c r="B686" s="57"/>
      <c r="C686" s="57"/>
      <c r="D686" s="57"/>
      <c r="E686" s="56"/>
      <c r="F686" s="57"/>
      <c r="G686" s="57"/>
      <c r="H686" s="56"/>
      <c r="I686" s="56"/>
      <c r="J686" s="58"/>
      <c r="K686" s="58"/>
      <c r="L686" s="13" t="str">
        <f t="shared" si="100"/>
        <v/>
      </c>
      <c r="M686" s="13" t="str">
        <f t="shared" si="101"/>
        <v/>
      </c>
      <c r="Q686" t="str">
        <f t="shared" si="102"/>
        <v/>
      </c>
      <c r="R686" t="str">
        <f t="shared" si="103"/>
        <v/>
      </c>
      <c r="S686" t="str">
        <f t="shared" si="104"/>
        <v/>
      </c>
      <c r="T686" t="str">
        <f t="shared" si="105"/>
        <v/>
      </c>
      <c r="U686" t="str">
        <f t="shared" si="106"/>
        <v/>
      </c>
      <c r="V686" t="str">
        <f t="shared" si="107"/>
        <v/>
      </c>
      <c r="W686" t="str">
        <f t="shared" si="108"/>
        <v/>
      </c>
      <c r="X686">
        <f>IF($T686="",N($X685),IF(MATCH($T686,$T$6:$T$10005,0)=ROW()-5,N($X685)+1,N($X685)))</f>
        <v>0</v>
      </c>
      <c r="Z686" t="str">
        <f t="shared" si="109"/>
        <v/>
      </c>
      <c r="AA686">
        <f>IF($V686="",N($AA685),IF(MATCH($V686,$V$6:$V$10005,0)=ROW()-5,N($AA685)+1,N($AA685)))</f>
        <v>0</v>
      </c>
    </row>
    <row r="687" spans="1:27" ht="21" customHeight="1" x14ac:dyDescent="0.95">
      <c r="A687" s="56"/>
      <c r="B687" s="57"/>
      <c r="C687" s="57"/>
      <c r="D687" s="57"/>
      <c r="E687" s="56"/>
      <c r="F687" s="57"/>
      <c r="G687" s="57"/>
      <c r="H687" s="56"/>
      <c r="I687" s="56"/>
      <c r="J687" s="58"/>
      <c r="K687" s="58"/>
      <c r="L687" s="13" t="str">
        <f t="shared" si="100"/>
        <v/>
      </c>
      <c r="M687" s="13" t="str">
        <f t="shared" si="101"/>
        <v/>
      </c>
      <c r="Q687" t="str">
        <f t="shared" si="102"/>
        <v/>
      </c>
      <c r="R687" t="str">
        <f t="shared" si="103"/>
        <v/>
      </c>
      <c r="S687" t="str">
        <f t="shared" si="104"/>
        <v/>
      </c>
      <c r="T687" t="str">
        <f t="shared" si="105"/>
        <v/>
      </c>
      <c r="U687" t="str">
        <f t="shared" si="106"/>
        <v/>
      </c>
      <c r="V687" t="str">
        <f t="shared" si="107"/>
        <v/>
      </c>
      <c r="W687" t="str">
        <f t="shared" si="108"/>
        <v/>
      </c>
      <c r="X687">
        <f>IF($T687="",N($X686),IF(MATCH($T687,$T$6:$T$10005,0)=ROW()-5,N($X686)+1,N($X686)))</f>
        <v>0</v>
      </c>
      <c r="Z687" t="str">
        <f t="shared" si="109"/>
        <v/>
      </c>
      <c r="AA687">
        <f>IF($V687="",N($AA686),IF(MATCH($V687,$V$6:$V$10005,0)=ROW()-5,N($AA686)+1,N($AA686)))</f>
        <v>0</v>
      </c>
    </row>
    <row r="688" spans="1:27" ht="21" customHeight="1" x14ac:dyDescent="0.95">
      <c r="A688" s="56"/>
      <c r="B688" s="57"/>
      <c r="C688" s="57"/>
      <c r="D688" s="57"/>
      <c r="E688" s="56"/>
      <c r="F688" s="57"/>
      <c r="G688" s="57"/>
      <c r="H688" s="56"/>
      <c r="I688" s="56"/>
      <c r="J688" s="58"/>
      <c r="K688" s="58"/>
      <c r="L688" s="13" t="str">
        <f t="shared" si="100"/>
        <v/>
      </c>
      <c r="M688" s="13" t="str">
        <f t="shared" si="101"/>
        <v/>
      </c>
      <c r="Q688" t="str">
        <f t="shared" si="102"/>
        <v/>
      </c>
      <c r="R688" t="str">
        <f t="shared" si="103"/>
        <v/>
      </c>
      <c r="S688" t="str">
        <f t="shared" si="104"/>
        <v/>
      </c>
      <c r="T688" t="str">
        <f t="shared" si="105"/>
        <v/>
      </c>
      <c r="U688" t="str">
        <f t="shared" si="106"/>
        <v/>
      </c>
      <c r="V688" t="str">
        <f t="shared" si="107"/>
        <v/>
      </c>
      <c r="W688" t="str">
        <f t="shared" si="108"/>
        <v/>
      </c>
      <c r="X688">
        <f>IF($T688="",N($X687),IF(MATCH($T688,$T$6:$T$10005,0)=ROW()-5,N($X687)+1,N($X687)))</f>
        <v>0</v>
      </c>
      <c r="Z688" t="str">
        <f t="shared" si="109"/>
        <v/>
      </c>
      <c r="AA688">
        <f>IF($V688="",N($AA687),IF(MATCH($V688,$V$6:$V$10005,0)=ROW()-5,N($AA687)+1,N($AA687)))</f>
        <v>0</v>
      </c>
    </row>
    <row r="689" spans="1:27" ht="21" customHeight="1" x14ac:dyDescent="0.95">
      <c r="A689" s="56"/>
      <c r="B689" s="57"/>
      <c r="C689" s="57"/>
      <c r="D689" s="57"/>
      <c r="E689" s="56"/>
      <c r="F689" s="57"/>
      <c r="G689" s="57"/>
      <c r="H689" s="56"/>
      <c r="I689" s="56"/>
      <c r="J689" s="58"/>
      <c r="K689" s="58"/>
      <c r="L689" s="13" t="str">
        <f t="shared" si="100"/>
        <v/>
      </c>
      <c r="M689" s="13" t="str">
        <f t="shared" si="101"/>
        <v/>
      </c>
      <c r="Q689" t="str">
        <f t="shared" si="102"/>
        <v/>
      </c>
      <c r="R689" t="str">
        <f t="shared" si="103"/>
        <v/>
      </c>
      <c r="S689" t="str">
        <f t="shared" si="104"/>
        <v/>
      </c>
      <c r="T689" t="str">
        <f t="shared" si="105"/>
        <v/>
      </c>
      <c r="U689" t="str">
        <f t="shared" si="106"/>
        <v/>
      </c>
      <c r="V689" t="str">
        <f t="shared" si="107"/>
        <v/>
      </c>
      <c r="W689" t="str">
        <f t="shared" si="108"/>
        <v/>
      </c>
      <c r="X689">
        <f>IF($T689="",N($X688),IF(MATCH($T689,$T$6:$T$10005,0)=ROW()-5,N($X688)+1,N($X688)))</f>
        <v>0</v>
      </c>
      <c r="Z689" t="str">
        <f t="shared" si="109"/>
        <v/>
      </c>
      <c r="AA689">
        <f>IF($V689="",N($AA688),IF(MATCH($V689,$V$6:$V$10005,0)=ROW()-5,N($AA688)+1,N($AA688)))</f>
        <v>0</v>
      </c>
    </row>
    <row r="690" spans="1:27" ht="21" customHeight="1" x14ac:dyDescent="0.95">
      <c r="A690" s="56"/>
      <c r="B690" s="57"/>
      <c r="C690" s="57"/>
      <c r="D690" s="57"/>
      <c r="E690" s="56"/>
      <c r="F690" s="57"/>
      <c r="G690" s="57"/>
      <c r="H690" s="56"/>
      <c r="I690" s="56"/>
      <c r="J690" s="58"/>
      <c r="K690" s="58"/>
      <c r="L690" s="13" t="str">
        <f t="shared" si="100"/>
        <v/>
      </c>
      <c r="M690" s="13" t="str">
        <f t="shared" si="101"/>
        <v/>
      </c>
      <c r="Q690" t="str">
        <f t="shared" si="102"/>
        <v/>
      </c>
      <c r="R690" t="str">
        <f t="shared" si="103"/>
        <v/>
      </c>
      <c r="S690" t="str">
        <f t="shared" si="104"/>
        <v/>
      </c>
      <c r="T690" t="str">
        <f t="shared" si="105"/>
        <v/>
      </c>
      <c r="U690" t="str">
        <f t="shared" si="106"/>
        <v/>
      </c>
      <c r="V690" t="str">
        <f t="shared" si="107"/>
        <v/>
      </c>
      <c r="W690" t="str">
        <f t="shared" si="108"/>
        <v/>
      </c>
      <c r="X690">
        <f>IF($T690="",N($X689),IF(MATCH($T690,$T$6:$T$10005,0)=ROW()-5,N($X689)+1,N($X689)))</f>
        <v>0</v>
      </c>
      <c r="Z690" t="str">
        <f t="shared" si="109"/>
        <v/>
      </c>
      <c r="AA690">
        <f>IF($V690="",N($AA689),IF(MATCH($V690,$V$6:$V$10005,0)=ROW()-5,N($AA689)+1,N($AA689)))</f>
        <v>0</v>
      </c>
    </row>
    <row r="691" spans="1:27" ht="21" customHeight="1" x14ac:dyDescent="0.95">
      <c r="A691" s="56"/>
      <c r="B691" s="57"/>
      <c r="C691" s="57"/>
      <c r="D691" s="57"/>
      <c r="E691" s="56"/>
      <c r="F691" s="57"/>
      <c r="G691" s="57"/>
      <c r="H691" s="56"/>
      <c r="I691" s="56"/>
      <c r="J691" s="58"/>
      <c r="K691" s="58"/>
      <c r="L691" s="13" t="str">
        <f t="shared" si="100"/>
        <v/>
      </c>
      <c r="M691" s="13" t="str">
        <f t="shared" si="101"/>
        <v/>
      </c>
      <c r="Q691" t="str">
        <f t="shared" si="102"/>
        <v/>
      </c>
      <c r="R691" t="str">
        <f t="shared" si="103"/>
        <v/>
      </c>
      <c r="S691" t="str">
        <f t="shared" si="104"/>
        <v/>
      </c>
      <c r="T691" t="str">
        <f t="shared" si="105"/>
        <v/>
      </c>
      <c r="U691" t="str">
        <f t="shared" si="106"/>
        <v/>
      </c>
      <c r="V691" t="str">
        <f t="shared" si="107"/>
        <v/>
      </c>
      <c r="W691" t="str">
        <f t="shared" si="108"/>
        <v/>
      </c>
      <c r="X691">
        <f>IF($T691="",N($X690),IF(MATCH($T691,$T$6:$T$10005,0)=ROW()-5,N($X690)+1,N($X690)))</f>
        <v>0</v>
      </c>
      <c r="Z691" t="str">
        <f t="shared" si="109"/>
        <v/>
      </c>
      <c r="AA691">
        <f>IF($V691="",N($AA690),IF(MATCH($V691,$V$6:$V$10005,0)=ROW()-5,N($AA690)+1,N($AA690)))</f>
        <v>0</v>
      </c>
    </row>
    <row r="692" spans="1:27" ht="21" customHeight="1" x14ac:dyDescent="0.95">
      <c r="A692" s="56"/>
      <c r="B692" s="57"/>
      <c r="C692" s="57"/>
      <c r="D692" s="57"/>
      <c r="E692" s="56"/>
      <c r="F692" s="57"/>
      <c r="G692" s="57"/>
      <c r="H692" s="56"/>
      <c r="I692" s="56"/>
      <c r="J692" s="58"/>
      <c r="K692" s="58"/>
      <c r="L692" s="13" t="str">
        <f t="shared" si="100"/>
        <v/>
      </c>
      <c r="M692" s="13" t="str">
        <f t="shared" si="101"/>
        <v/>
      </c>
      <c r="Q692" t="str">
        <f t="shared" si="102"/>
        <v/>
      </c>
      <c r="R692" t="str">
        <f t="shared" si="103"/>
        <v/>
      </c>
      <c r="S692" t="str">
        <f t="shared" si="104"/>
        <v/>
      </c>
      <c r="T692" t="str">
        <f t="shared" si="105"/>
        <v/>
      </c>
      <c r="U692" t="str">
        <f t="shared" si="106"/>
        <v/>
      </c>
      <c r="V692" t="str">
        <f t="shared" si="107"/>
        <v/>
      </c>
      <c r="W692" t="str">
        <f t="shared" si="108"/>
        <v/>
      </c>
      <c r="X692">
        <f>IF($T692="",N($X691),IF(MATCH($T692,$T$6:$T$10005,0)=ROW()-5,N($X691)+1,N($X691)))</f>
        <v>0</v>
      </c>
      <c r="Z692" t="str">
        <f t="shared" si="109"/>
        <v/>
      </c>
      <c r="AA692">
        <f>IF($V692="",N($AA691),IF(MATCH($V692,$V$6:$V$10005,0)=ROW()-5,N($AA691)+1,N($AA691)))</f>
        <v>0</v>
      </c>
    </row>
    <row r="693" spans="1:27" ht="21" customHeight="1" x14ac:dyDescent="0.95">
      <c r="A693" s="56"/>
      <c r="B693" s="57"/>
      <c r="C693" s="57"/>
      <c r="D693" s="57"/>
      <c r="E693" s="56"/>
      <c r="F693" s="57"/>
      <c r="G693" s="57"/>
      <c r="H693" s="56"/>
      <c r="I693" s="56"/>
      <c r="J693" s="58"/>
      <c r="K693" s="58"/>
      <c r="L693" s="13" t="str">
        <f t="shared" si="100"/>
        <v/>
      </c>
      <c r="M693" s="13" t="str">
        <f t="shared" si="101"/>
        <v/>
      </c>
      <c r="Q693" t="str">
        <f t="shared" si="102"/>
        <v/>
      </c>
      <c r="R693" t="str">
        <f t="shared" si="103"/>
        <v/>
      </c>
      <c r="S693" t="str">
        <f t="shared" si="104"/>
        <v/>
      </c>
      <c r="T693" t="str">
        <f t="shared" si="105"/>
        <v/>
      </c>
      <c r="U693" t="str">
        <f t="shared" si="106"/>
        <v/>
      </c>
      <c r="V693" t="str">
        <f t="shared" si="107"/>
        <v/>
      </c>
      <c r="W693" t="str">
        <f t="shared" si="108"/>
        <v/>
      </c>
      <c r="X693">
        <f>IF($T693="",N($X692),IF(MATCH($T693,$T$6:$T$10005,0)=ROW()-5,N($X692)+1,N($X692)))</f>
        <v>0</v>
      </c>
      <c r="Z693" t="str">
        <f t="shared" si="109"/>
        <v/>
      </c>
      <c r="AA693">
        <f>IF($V693="",N($AA692),IF(MATCH($V693,$V$6:$V$10005,0)=ROW()-5,N($AA692)+1,N($AA692)))</f>
        <v>0</v>
      </c>
    </row>
    <row r="694" spans="1:27" ht="21" customHeight="1" x14ac:dyDescent="0.95">
      <c r="A694" s="56"/>
      <c r="B694" s="57"/>
      <c r="C694" s="57"/>
      <c r="D694" s="57"/>
      <c r="E694" s="56"/>
      <c r="F694" s="57"/>
      <c r="G694" s="57"/>
      <c r="H694" s="56"/>
      <c r="I694" s="56"/>
      <c r="J694" s="58"/>
      <c r="K694" s="58"/>
      <c r="L694" s="13" t="str">
        <f t="shared" si="100"/>
        <v/>
      </c>
      <c r="M694" s="13" t="str">
        <f t="shared" si="101"/>
        <v/>
      </c>
      <c r="Q694" t="str">
        <f t="shared" si="102"/>
        <v/>
      </c>
      <c r="R694" t="str">
        <f t="shared" si="103"/>
        <v/>
      </c>
      <c r="S694" t="str">
        <f t="shared" si="104"/>
        <v/>
      </c>
      <c r="T694" t="str">
        <f t="shared" si="105"/>
        <v/>
      </c>
      <c r="U694" t="str">
        <f t="shared" si="106"/>
        <v/>
      </c>
      <c r="V694" t="str">
        <f t="shared" si="107"/>
        <v/>
      </c>
      <c r="W694" t="str">
        <f t="shared" si="108"/>
        <v/>
      </c>
      <c r="X694">
        <f>IF($T694="",N($X693),IF(MATCH($T694,$T$6:$T$10005,0)=ROW()-5,N($X693)+1,N($X693)))</f>
        <v>0</v>
      </c>
      <c r="Z694" t="str">
        <f t="shared" si="109"/>
        <v/>
      </c>
      <c r="AA694">
        <f>IF($V694="",N($AA693),IF(MATCH($V694,$V$6:$V$10005,0)=ROW()-5,N($AA693)+1,N($AA693)))</f>
        <v>0</v>
      </c>
    </row>
    <row r="695" spans="1:27" ht="21" customHeight="1" x14ac:dyDescent="0.95">
      <c r="A695" s="56"/>
      <c r="B695" s="57"/>
      <c r="C695" s="57"/>
      <c r="D695" s="57"/>
      <c r="E695" s="56"/>
      <c r="F695" s="57"/>
      <c r="G695" s="57"/>
      <c r="H695" s="56"/>
      <c r="I695" s="56"/>
      <c r="J695" s="58"/>
      <c r="K695" s="58"/>
      <c r="L695" s="13" t="str">
        <f t="shared" si="100"/>
        <v/>
      </c>
      <c r="M695" s="13" t="str">
        <f t="shared" si="101"/>
        <v/>
      </c>
      <c r="Q695" t="str">
        <f t="shared" si="102"/>
        <v/>
      </c>
      <c r="R695" t="str">
        <f t="shared" si="103"/>
        <v/>
      </c>
      <c r="S695" t="str">
        <f t="shared" si="104"/>
        <v/>
      </c>
      <c r="T695" t="str">
        <f t="shared" si="105"/>
        <v/>
      </c>
      <c r="U695" t="str">
        <f t="shared" si="106"/>
        <v/>
      </c>
      <c r="V695" t="str">
        <f t="shared" si="107"/>
        <v/>
      </c>
      <c r="W695" t="str">
        <f t="shared" si="108"/>
        <v/>
      </c>
      <c r="X695">
        <f>IF($T695="",N($X694),IF(MATCH($T695,$T$6:$T$10005,0)=ROW()-5,N($X694)+1,N($X694)))</f>
        <v>0</v>
      </c>
      <c r="Z695" t="str">
        <f t="shared" si="109"/>
        <v/>
      </c>
      <c r="AA695">
        <f>IF($V695="",N($AA694),IF(MATCH($V695,$V$6:$V$10005,0)=ROW()-5,N($AA694)+1,N($AA694)))</f>
        <v>0</v>
      </c>
    </row>
    <row r="696" spans="1:27" ht="21" customHeight="1" x14ac:dyDescent="0.95">
      <c r="A696" s="56"/>
      <c r="B696" s="57"/>
      <c r="C696" s="57"/>
      <c r="D696" s="57"/>
      <c r="E696" s="56"/>
      <c r="F696" s="57"/>
      <c r="G696" s="57"/>
      <c r="H696" s="56"/>
      <c r="I696" s="56"/>
      <c r="J696" s="58"/>
      <c r="K696" s="58"/>
      <c r="L696" s="13" t="str">
        <f t="shared" si="100"/>
        <v/>
      </c>
      <c r="M696" s="13" t="str">
        <f t="shared" si="101"/>
        <v/>
      </c>
      <c r="Q696" t="str">
        <f t="shared" si="102"/>
        <v/>
      </c>
      <c r="R696" t="str">
        <f t="shared" si="103"/>
        <v/>
      </c>
      <c r="S696" t="str">
        <f t="shared" si="104"/>
        <v/>
      </c>
      <c r="T696" t="str">
        <f t="shared" si="105"/>
        <v/>
      </c>
      <c r="U696" t="str">
        <f t="shared" si="106"/>
        <v/>
      </c>
      <c r="V696" t="str">
        <f t="shared" si="107"/>
        <v/>
      </c>
      <c r="W696" t="str">
        <f t="shared" si="108"/>
        <v/>
      </c>
      <c r="X696">
        <f>IF($T696="",N($X695),IF(MATCH($T696,$T$6:$T$10005,0)=ROW()-5,N($X695)+1,N($X695)))</f>
        <v>0</v>
      </c>
      <c r="Z696" t="str">
        <f t="shared" si="109"/>
        <v/>
      </c>
      <c r="AA696">
        <f>IF($V696="",N($AA695),IF(MATCH($V696,$V$6:$V$10005,0)=ROW()-5,N($AA695)+1,N($AA695)))</f>
        <v>0</v>
      </c>
    </row>
    <row r="697" spans="1:27" ht="21" customHeight="1" x14ac:dyDescent="0.95">
      <c r="A697" s="56"/>
      <c r="B697" s="57"/>
      <c r="C697" s="57"/>
      <c r="D697" s="57"/>
      <c r="E697" s="56"/>
      <c r="F697" s="57"/>
      <c r="G697" s="57"/>
      <c r="H697" s="56"/>
      <c r="I697" s="56"/>
      <c r="J697" s="58"/>
      <c r="K697" s="58"/>
      <c r="L697" s="13" t="str">
        <f t="shared" si="100"/>
        <v/>
      </c>
      <c r="M697" s="13" t="str">
        <f t="shared" si="101"/>
        <v/>
      </c>
      <c r="Q697" t="str">
        <f t="shared" si="102"/>
        <v/>
      </c>
      <c r="R697" t="str">
        <f t="shared" si="103"/>
        <v/>
      </c>
      <c r="S697" t="str">
        <f t="shared" si="104"/>
        <v/>
      </c>
      <c r="T697" t="str">
        <f t="shared" si="105"/>
        <v/>
      </c>
      <c r="U697" t="str">
        <f t="shared" si="106"/>
        <v/>
      </c>
      <c r="V697" t="str">
        <f t="shared" si="107"/>
        <v/>
      </c>
      <c r="W697" t="str">
        <f t="shared" si="108"/>
        <v/>
      </c>
      <c r="X697">
        <f>IF($T697="",N($X696),IF(MATCH($T697,$T$6:$T$10005,0)=ROW()-5,N($X696)+1,N($X696)))</f>
        <v>0</v>
      </c>
      <c r="Z697" t="str">
        <f t="shared" si="109"/>
        <v/>
      </c>
      <c r="AA697">
        <f>IF($V697="",N($AA696),IF(MATCH($V697,$V$6:$V$10005,0)=ROW()-5,N($AA696)+1,N($AA696)))</f>
        <v>0</v>
      </c>
    </row>
    <row r="698" spans="1:27" ht="21" customHeight="1" x14ac:dyDescent="0.95">
      <c r="A698" s="56"/>
      <c r="B698" s="57"/>
      <c r="C698" s="57"/>
      <c r="D698" s="57"/>
      <c r="E698" s="56"/>
      <c r="F698" s="57"/>
      <c r="G698" s="57"/>
      <c r="H698" s="56"/>
      <c r="I698" s="56"/>
      <c r="J698" s="58"/>
      <c r="K698" s="58"/>
      <c r="L698" s="13" t="str">
        <f t="shared" si="100"/>
        <v/>
      </c>
      <c r="M698" s="13" t="str">
        <f t="shared" si="101"/>
        <v/>
      </c>
      <c r="Q698" t="str">
        <f t="shared" si="102"/>
        <v/>
      </c>
      <c r="R698" t="str">
        <f t="shared" si="103"/>
        <v/>
      </c>
      <c r="S698" t="str">
        <f t="shared" si="104"/>
        <v/>
      </c>
      <c r="T698" t="str">
        <f t="shared" si="105"/>
        <v/>
      </c>
      <c r="U698" t="str">
        <f t="shared" si="106"/>
        <v/>
      </c>
      <c r="V698" t="str">
        <f t="shared" si="107"/>
        <v/>
      </c>
      <c r="W698" t="str">
        <f t="shared" si="108"/>
        <v/>
      </c>
      <c r="X698">
        <f>IF($T698="",N($X697),IF(MATCH($T698,$T$6:$T$10005,0)=ROW()-5,N($X697)+1,N($X697)))</f>
        <v>0</v>
      </c>
      <c r="Z698" t="str">
        <f t="shared" si="109"/>
        <v/>
      </c>
      <c r="AA698">
        <f>IF($V698="",N($AA697),IF(MATCH($V698,$V$6:$V$10005,0)=ROW()-5,N($AA697)+1,N($AA697)))</f>
        <v>0</v>
      </c>
    </row>
    <row r="699" spans="1:27" ht="21" customHeight="1" x14ac:dyDescent="0.95">
      <c r="A699" s="56"/>
      <c r="B699" s="57"/>
      <c r="C699" s="57"/>
      <c r="D699" s="57"/>
      <c r="E699" s="56"/>
      <c r="F699" s="57"/>
      <c r="G699" s="57"/>
      <c r="H699" s="56"/>
      <c r="I699" s="56"/>
      <c r="J699" s="58"/>
      <c r="K699" s="58"/>
      <c r="L699" s="13" t="str">
        <f t="shared" si="100"/>
        <v/>
      </c>
      <c r="M699" s="13" t="str">
        <f t="shared" si="101"/>
        <v/>
      </c>
      <c r="Q699" t="str">
        <f t="shared" si="102"/>
        <v/>
      </c>
      <c r="R699" t="str">
        <f t="shared" si="103"/>
        <v/>
      </c>
      <c r="S699" t="str">
        <f t="shared" si="104"/>
        <v/>
      </c>
      <c r="T699" t="str">
        <f t="shared" si="105"/>
        <v/>
      </c>
      <c r="U699" t="str">
        <f t="shared" si="106"/>
        <v/>
      </c>
      <c r="V699" t="str">
        <f t="shared" si="107"/>
        <v/>
      </c>
      <c r="W699" t="str">
        <f t="shared" si="108"/>
        <v/>
      </c>
      <c r="X699">
        <f>IF($T699="",N($X698),IF(MATCH($T699,$T$6:$T$10005,0)=ROW()-5,N($X698)+1,N($X698)))</f>
        <v>0</v>
      </c>
      <c r="Z699" t="str">
        <f t="shared" si="109"/>
        <v/>
      </c>
      <c r="AA699">
        <f>IF($V699="",N($AA698),IF(MATCH($V699,$V$6:$V$10005,0)=ROW()-5,N($AA698)+1,N($AA698)))</f>
        <v>0</v>
      </c>
    </row>
    <row r="700" spans="1:27" ht="21" customHeight="1" x14ac:dyDescent="0.95">
      <c r="A700" s="56"/>
      <c r="B700" s="57"/>
      <c r="C700" s="57"/>
      <c r="D700" s="57"/>
      <c r="E700" s="56"/>
      <c r="F700" s="57"/>
      <c r="G700" s="57"/>
      <c r="H700" s="56"/>
      <c r="I700" s="56"/>
      <c r="J700" s="58"/>
      <c r="K700" s="58"/>
      <c r="L700" s="13" t="str">
        <f t="shared" si="100"/>
        <v/>
      </c>
      <c r="M700" s="13" t="str">
        <f t="shared" si="101"/>
        <v/>
      </c>
      <c r="Q700" t="str">
        <f t="shared" si="102"/>
        <v/>
      </c>
      <c r="R700" t="str">
        <f t="shared" si="103"/>
        <v/>
      </c>
      <c r="S700" t="str">
        <f t="shared" si="104"/>
        <v/>
      </c>
      <c r="T700" t="str">
        <f t="shared" si="105"/>
        <v/>
      </c>
      <c r="U700" t="str">
        <f t="shared" si="106"/>
        <v/>
      </c>
      <c r="V700" t="str">
        <f t="shared" si="107"/>
        <v/>
      </c>
      <c r="W700" t="str">
        <f t="shared" si="108"/>
        <v/>
      </c>
      <c r="X700">
        <f>IF($T700="",N($X699),IF(MATCH($T700,$T$6:$T$10005,0)=ROW()-5,N($X699)+1,N($X699)))</f>
        <v>0</v>
      </c>
      <c r="Z700" t="str">
        <f t="shared" si="109"/>
        <v/>
      </c>
      <c r="AA700">
        <f>IF($V700="",N($AA699),IF(MATCH($V700,$V$6:$V$10005,0)=ROW()-5,N($AA699)+1,N($AA699)))</f>
        <v>0</v>
      </c>
    </row>
    <row r="701" spans="1:27" ht="21" customHeight="1" x14ac:dyDescent="0.95">
      <c r="A701" s="56"/>
      <c r="B701" s="57"/>
      <c r="C701" s="57"/>
      <c r="D701" s="57"/>
      <c r="E701" s="56"/>
      <c r="F701" s="57"/>
      <c r="G701" s="57"/>
      <c r="H701" s="56"/>
      <c r="I701" s="56"/>
      <c r="J701" s="58"/>
      <c r="K701" s="58"/>
      <c r="L701" s="13" t="str">
        <f t="shared" si="100"/>
        <v/>
      </c>
      <c r="M701" s="13" t="str">
        <f t="shared" si="101"/>
        <v/>
      </c>
      <c r="Q701" t="str">
        <f t="shared" si="102"/>
        <v/>
      </c>
      <c r="R701" t="str">
        <f t="shared" si="103"/>
        <v/>
      </c>
      <c r="S701" t="str">
        <f t="shared" si="104"/>
        <v/>
      </c>
      <c r="T701" t="str">
        <f t="shared" si="105"/>
        <v/>
      </c>
      <c r="U701" t="str">
        <f t="shared" si="106"/>
        <v/>
      </c>
      <c r="V701" t="str">
        <f t="shared" si="107"/>
        <v/>
      </c>
      <c r="W701" t="str">
        <f t="shared" si="108"/>
        <v/>
      </c>
      <c r="X701">
        <f>IF($T701="",N($X700),IF(MATCH($T701,$T$6:$T$10005,0)=ROW()-5,N($X700)+1,N($X700)))</f>
        <v>0</v>
      </c>
      <c r="Z701" t="str">
        <f t="shared" si="109"/>
        <v/>
      </c>
      <c r="AA701">
        <f>IF($V701="",N($AA700),IF(MATCH($V701,$V$6:$V$10005,0)=ROW()-5,N($AA700)+1,N($AA700)))</f>
        <v>0</v>
      </c>
    </row>
    <row r="702" spans="1:27" ht="21" customHeight="1" x14ac:dyDescent="0.95">
      <c r="A702" s="56"/>
      <c r="B702" s="57"/>
      <c r="C702" s="57"/>
      <c r="D702" s="57"/>
      <c r="E702" s="56"/>
      <c r="F702" s="57"/>
      <c r="G702" s="57"/>
      <c r="H702" s="56"/>
      <c r="I702" s="56"/>
      <c r="J702" s="58"/>
      <c r="K702" s="58"/>
      <c r="L702" s="13" t="str">
        <f t="shared" si="100"/>
        <v/>
      </c>
      <c r="M702" s="13" t="str">
        <f t="shared" si="101"/>
        <v/>
      </c>
      <c r="Q702" t="str">
        <f t="shared" si="102"/>
        <v/>
      </c>
      <c r="R702" t="str">
        <f t="shared" si="103"/>
        <v/>
      </c>
      <c r="S702" t="str">
        <f t="shared" si="104"/>
        <v/>
      </c>
      <c r="T702" t="str">
        <f t="shared" si="105"/>
        <v/>
      </c>
      <c r="U702" t="str">
        <f t="shared" si="106"/>
        <v/>
      </c>
      <c r="V702" t="str">
        <f t="shared" si="107"/>
        <v/>
      </c>
      <c r="W702" t="str">
        <f t="shared" si="108"/>
        <v/>
      </c>
      <c r="X702">
        <f>IF($T702="",N($X701),IF(MATCH($T702,$T$6:$T$10005,0)=ROW()-5,N($X701)+1,N($X701)))</f>
        <v>0</v>
      </c>
      <c r="Z702" t="str">
        <f t="shared" si="109"/>
        <v/>
      </c>
      <c r="AA702">
        <f>IF($V702="",N($AA701),IF(MATCH($V702,$V$6:$V$10005,0)=ROW()-5,N($AA701)+1,N($AA701)))</f>
        <v>0</v>
      </c>
    </row>
    <row r="703" spans="1:27" ht="21" customHeight="1" x14ac:dyDescent="0.95">
      <c r="A703" s="56"/>
      <c r="B703" s="57"/>
      <c r="C703" s="57"/>
      <c r="D703" s="57"/>
      <c r="E703" s="56"/>
      <c r="F703" s="57"/>
      <c r="G703" s="57"/>
      <c r="H703" s="56"/>
      <c r="I703" s="56"/>
      <c r="J703" s="58"/>
      <c r="K703" s="58"/>
      <c r="L703" s="13" t="str">
        <f t="shared" si="100"/>
        <v/>
      </c>
      <c r="M703" s="13" t="str">
        <f t="shared" si="101"/>
        <v/>
      </c>
      <c r="Q703" t="str">
        <f t="shared" si="102"/>
        <v/>
      </c>
      <c r="R703" t="str">
        <f t="shared" si="103"/>
        <v/>
      </c>
      <c r="S703" t="str">
        <f t="shared" si="104"/>
        <v/>
      </c>
      <c r="T703" t="str">
        <f t="shared" si="105"/>
        <v/>
      </c>
      <c r="U703" t="str">
        <f t="shared" si="106"/>
        <v/>
      </c>
      <c r="V703" t="str">
        <f t="shared" si="107"/>
        <v/>
      </c>
      <c r="W703" t="str">
        <f t="shared" si="108"/>
        <v/>
      </c>
      <c r="X703">
        <f>IF($T703="",N($X702),IF(MATCH($T703,$T$6:$T$10005,0)=ROW()-5,N($X702)+1,N($X702)))</f>
        <v>0</v>
      </c>
      <c r="Z703" t="str">
        <f t="shared" si="109"/>
        <v/>
      </c>
      <c r="AA703">
        <f>IF($V703="",N($AA702),IF(MATCH($V703,$V$6:$V$10005,0)=ROW()-5,N($AA702)+1,N($AA702)))</f>
        <v>0</v>
      </c>
    </row>
    <row r="704" spans="1:27" ht="21" customHeight="1" x14ac:dyDescent="0.95">
      <c r="A704" s="56"/>
      <c r="B704" s="57"/>
      <c r="C704" s="57"/>
      <c r="D704" s="57"/>
      <c r="E704" s="56"/>
      <c r="F704" s="57"/>
      <c r="G704" s="57"/>
      <c r="H704" s="56"/>
      <c r="I704" s="56"/>
      <c r="J704" s="58"/>
      <c r="K704" s="58"/>
      <c r="L704" s="13" t="str">
        <f t="shared" si="100"/>
        <v/>
      </c>
      <c r="M704" s="13" t="str">
        <f t="shared" si="101"/>
        <v/>
      </c>
      <c r="Q704" t="str">
        <f t="shared" si="102"/>
        <v/>
      </c>
      <c r="R704" t="str">
        <f t="shared" si="103"/>
        <v/>
      </c>
      <c r="S704" t="str">
        <f t="shared" si="104"/>
        <v/>
      </c>
      <c r="T704" t="str">
        <f t="shared" si="105"/>
        <v/>
      </c>
      <c r="U704" t="str">
        <f t="shared" si="106"/>
        <v/>
      </c>
      <c r="V704" t="str">
        <f t="shared" si="107"/>
        <v/>
      </c>
      <c r="W704" t="str">
        <f t="shared" si="108"/>
        <v/>
      </c>
      <c r="X704">
        <f>IF($T704="",N($X703),IF(MATCH($T704,$T$6:$T$10005,0)=ROW()-5,N($X703)+1,N($X703)))</f>
        <v>0</v>
      </c>
      <c r="Z704" t="str">
        <f t="shared" si="109"/>
        <v/>
      </c>
      <c r="AA704">
        <f>IF($V704="",N($AA703),IF(MATCH($V704,$V$6:$V$10005,0)=ROW()-5,N($AA703)+1,N($AA703)))</f>
        <v>0</v>
      </c>
    </row>
    <row r="705" spans="1:27" ht="21" customHeight="1" x14ac:dyDescent="0.95">
      <c r="A705" s="56"/>
      <c r="B705" s="57"/>
      <c r="C705" s="57"/>
      <c r="D705" s="57"/>
      <c r="E705" s="56"/>
      <c r="F705" s="57"/>
      <c r="G705" s="57"/>
      <c r="H705" s="56"/>
      <c r="I705" s="56"/>
      <c r="J705" s="58"/>
      <c r="K705" s="58"/>
      <c r="L705" s="13" t="str">
        <f t="shared" si="100"/>
        <v/>
      </c>
      <c r="M705" s="13" t="str">
        <f t="shared" si="101"/>
        <v/>
      </c>
      <c r="Q705" t="str">
        <f t="shared" si="102"/>
        <v/>
      </c>
      <c r="R705" t="str">
        <f t="shared" si="103"/>
        <v/>
      </c>
      <c r="S705" t="str">
        <f t="shared" si="104"/>
        <v/>
      </c>
      <c r="T705" t="str">
        <f t="shared" si="105"/>
        <v/>
      </c>
      <c r="U705" t="str">
        <f t="shared" si="106"/>
        <v/>
      </c>
      <c r="V705" t="str">
        <f t="shared" si="107"/>
        <v/>
      </c>
      <c r="W705" t="str">
        <f t="shared" si="108"/>
        <v/>
      </c>
      <c r="X705">
        <f>IF($T705="",N($X704),IF(MATCH($T705,$T$6:$T$10005,0)=ROW()-5,N($X704)+1,N($X704)))</f>
        <v>0</v>
      </c>
      <c r="Z705" t="str">
        <f t="shared" si="109"/>
        <v/>
      </c>
      <c r="AA705">
        <f>IF($V705="",N($AA704),IF(MATCH($V705,$V$6:$V$10005,0)=ROW()-5,N($AA704)+1,N($AA704)))</f>
        <v>0</v>
      </c>
    </row>
    <row r="706" spans="1:27" ht="21" customHeight="1" x14ac:dyDescent="0.95">
      <c r="A706" s="56"/>
      <c r="B706" s="57"/>
      <c r="C706" s="57"/>
      <c r="D706" s="57"/>
      <c r="E706" s="56"/>
      <c r="F706" s="57"/>
      <c r="G706" s="57"/>
      <c r="H706" s="56"/>
      <c r="I706" s="56"/>
      <c r="J706" s="58"/>
      <c r="K706" s="58"/>
      <c r="L706" s="13" t="str">
        <f t="shared" si="100"/>
        <v/>
      </c>
      <c r="M706" s="13" t="str">
        <f t="shared" si="101"/>
        <v/>
      </c>
      <c r="Q706" t="str">
        <f t="shared" si="102"/>
        <v/>
      </c>
      <c r="R706" t="str">
        <f t="shared" si="103"/>
        <v/>
      </c>
      <c r="S706" t="str">
        <f t="shared" si="104"/>
        <v/>
      </c>
      <c r="T706" t="str">
        <f t="shared" si="105"/>
        <v/>
      </c>
      <c r="U706" t="str">
        <f t="shared" si="106"/>
        <v/>
      </c>
      <c r="V706" t="str">
        <f t="shared" si="107"/>
        <v/>
      </c>
      <c r="W706" t="str">
        <f t="shared" si="108"/>
        <v/>
      </c>
      <c r="X706">
        <f>IF($T706="",N($X705),IF(MATCH($T706,$T$6:$T$10005,0)=ROW()-5,N($X705)+1,N($X705)))</f>
        <v>0</v>
      </c>
      <c r="Z706" t="str">
        <f t="shared" si="109"/>
        <v/>
      </c>
      <c r="AA706">
        <f>IF($V706="",N($AA705),IF(MATCH($V706,$V$6:$V$10005,0)=ROW()-5,N($AA705)+1,N($AA705)))</f>
        <v>0</v>
      </c>
    </row>
    <row r="707" spans="1:27" ht="21" customHeight="1" x14ac:dyDescent="0.95">
      <c r="A707" s="56"/>
      <c r="B707" s="57"/>
      <c r="C707" s="57"/>
      <c r="D707" s="57"/>
      <c r="E707" s="56"/>
      <c r="F707" s="57"/>
      <c r="G707" s="57"/>
      <c r="H707" s="56"/>
      <c r="I707" s="56"/>
      <c r="J707" s="58"/>
      <c r="K707" s="58"/>
      <c r="L707" s="13" t="str">
        <f t="shared" si="100"/>
        <v/>
      </c>
      <c r="M707" s="13" t="str">
        <f t="shared" si="101"/>
        <v/>
      </c>
      <c r="Q707" t="str">
        <f t="shared" si="102"/>
        <v/>
      </c>
      <c r="R707" t="str">
        <f t="shared" si="103"/>
        <v/>
      </c>
      <c r="S707" t="str">
        <f t="shared" si="104"/>
        <v/>
      </c>
      <c r="T707" t="str">
        <f t="shared" si="105"/>
        <v/>
      </c>
      <c r="U707" t="str">
        <f t="shared" si="106"/>
        <v/>
      </c>
      <c r="V707" t="str">
        <f t="shared" si="107"/>
        <v/>
      </c>
      <c r="W707" t="str">
        <f t="shared" si="108"/>
        <v/>
      </c>
      <c r="X707">
        <f>IF($T707="",N($X706),IF(MATCH($T707,$T$6:$T$10005,0)=ROW()-5,N($X706)+1,N($X706)))</f>
        <v>0</v>
      </c>
      <c r="Z707" t="str">
        <f t="shared" si="109"/>
        <v/>
      </c>
      <c r="AA707">
        <f>IF($V707="",N($AA706),IF(MATCH($V707,$V$6:$V$10005,0)=ROW()-5,N($AA706)+1,N($AA706)))</f>
        <v>0</v>
      </c>
    </row>
    <row r="708" spans="1:27" ht="21" customHeight="1" x14ac:dyDescent="0.95">
      <c r="A708" s="56"/>
      <c r="B708" s="57"/>
      <c r="C708" s="57"/>
      <c r="D708" s="57"/>
      <c r="E708" s="56"/>
      <c r="F708" s="57"/>
      <c r="G708" s="57"/>
      <c r="H708" s="56"/>
      <c r="I708" s="56"/>
      <c r="J708" s="58"/>
      <c r="K708" s="58"/>
      <c r="L708" s="13" t="str">
        <f t="shared" si="100"/>
        <v/>
      </c>
      <c r="M708" s="13" t="str">
        <f t="shared" si="101"/>
        <v/>
      </c>
      <c r="Q708" t="str">
        <f t="shared" si="102"/>
        <v/>
      </c>
      <c r="R708" t="str">
        <f t="shared" si="103"/>
        <v/>
      </c>
      <c r="S708" t="str">
        <f t="shared" si="104"/>
        <v/>
      </c>
      <c r="T708" t="str">
        <f t="shared" si="105"/>
        <v/>
      </c>
      <c r="U708" t="str">
        <f t="shared" si="106"/>
        <v/>
      </c>
      <c r="V708" t="str">
        <f t="shared" si="107"/>
        <v/>
      </c>
      <c r="W708" t="str">
        <f t="shared" si="108"/>
        <v/>
      </c>
      <c r="X708">
        <f>IF($T708="",N($X707),IF(MATCH($T708,$T$6:$T$10005,0)=ROW()-5,N($X707)+1,N($X707)))</f>
        <v>0</v>
      </c>
      <c r="Z708" t="str">
        <f t="shared" si="109"/>
        <v/>
      </c>
      <c r="AA708">
        <f>IF($V708="",N($AA707),IF(MATCH($V708,$V$6:$V$10005,0)=ROW()-5,N($AA707)+1,N($AA707)))</f>
        <v>0</v>
      </c>
    </row>
    <row r="709" spans="1:27" ht="21" customHeight="1" x14ac:dyDescent="0.95">
      <c r="A709" s="56"/>
      <c r="B709" s="57"/>
      <c r="C709" s="57"/>
      <c r="D709" s="57"/>
      <c r="E709" s="56"/>
      <c r="F709" s="57"/>
      <c r="G709" s="57"/>
      <c r="H709" s="56"/>
      <c r="I709" s="56"/>
      <c r="J709" s="58"/>
      <c r="K709" s="58"/>
      <c r="L709" s="13" t="str">
        <f t="shared" si="100"/>
        <v/>
      </c>
      <c r="M709" s="13" t="str">
        <f t="shared" si="101"/>
        <v/>
      </c>
      <c r="Q709" t="str">
        <f t="shared" si="102"/>
        <v/>
      </c>
      <c r="R709" t="str">
        <f t="shared" si="103"/>
        <v/>
      </c>
      <c r="S709" t="str">
        <f t="shared" si="104"/>
        <v/>
      </c>
      <c r="T709" t="str">
        <f t="shared" si="105"/>
        <v/>
      </c>
      <c r="U709" t="str">
        <f t="shared" si="106"/>
        <v/>
      </c>
      <c r="V709" t="str">
        <f t="shared" si="107"/>
        <v/>
      </c>
      <c r="W709" t="str">
        <f t="shared" si="108"/>
        <v/>
      </c>
      <c r="X709">
        <f>IF($T709="",N($X708),IF(MATCH($T709,$T$6:$T$10005,0)=ROW()-5,N($X708)+1,N($X708)))</f>
        <v>0</v>
      </c>
      <c r="Z709" t="str">
        <f t="shared" si="109"/>
        <v/>
      </c>
      <c r="AA709">
        <f>IF($V709="",N($AA708),IF(MATCH($V709,$V$6:$V$10005,0)=ROW()-5,N($AA708)+1,N($AA708)))</f>
        <v>0</v>
      </c>
    </row>
    <row r="710" spans="1:27" ht="21" customHeight="1" x14ac:dyDescent="0.95">
      <c r="A710" s="56"/>
      <c r="B710" s="57"/>
      <c r="C710" s="57"/>
      <c r="D710" s="57"/>
      <c r="E710" s="56"/>
      <c r="F710" s="57"/>
      <c r="G710" s="57"/>
      <c r="H710" s="56"/>
      <c r="I710" s="56"/>
      <c r="J710" s="58"/>
      <c r="K710" s="58"/>
      <c r="L710" s="13" t="str">
        <f t="shared" ref="L710:L773" si="110">IF(OR($A710="",AND($J710="",$K710="")),"",ROUND(N($J710)-N($K710),2))</f>
        <v/>
      </c>
      <c r="M710" s="13" t="str">
        <f t="shared" ref="M710:M773" si="111">IF(OR($A710="",AND($J710="",$K710="")),"",MIN($J710,$K710))</f>
        <v/>
      </c>
      <c r="Q710" t="str">
        <f t="shared" ref="Q710:Q773" si="112">IF($A710="","",$D710&amp;"("&amp;SUBSTITUTE($E710," ","")&amp;")")</f>
        <v/>
      </c>
      <c r="R710" t="str">
        <f t="shared" ref="R710:R773" si="113">IF($A710="","",$B710&amp;" - "&amp;$C710)</f>
        <v/>
      </c>
      <c r="S710" t="str">
        <f t="shared" ref="S710:S773" si="114">IF($A710="","",$R710&amp;"|"&amp;$Q710)</f>
        <v/>
      </c>
      <c r="T710" t="str">
        <f t="shared" ref="T710:T773" si="115">IF($A710="","",$S710&amp;"|"&amp;$F710)</f>
        <v/>
      </c>
      <c r="U710" t="str">
        <f t="shared" ref="U710:U773" si="116">IF($A710="","",$R710&amp;"("&amp;$E710&amp;")")</f>
        <v/>
      </c>
      <c r="V710" t="str">
        <f t="shared" ref="V710:V773" si="117">IF($A710="","",$F710&amp;"|"&amp;$U710&amp;"|"&amp;$D710)</f>
        <v/>
      </c>
      <c r="W710" t="str">
        <f t="shared" ref="W710:W773" si="118">IF($T710="","",IF($X710&gt;N($X709),$X710,""))</f>
        <v/>
      </c>
      <c r="X710">
        <f>IF($T710="",N($X709),IF(MATCH($T710,$T$6:$T$10005,0)=ROW()-5,N($X709)+1,N($X709)))</f>
        <v>0</v>
      </c>
      <c r="Z710" t="str">
        <f t="shared" ref="Z710:Z773" si="119">IF($V710="","",IF($AA710&gt;N($AA709),$AA710,""))</f>
        <v/>
      </c>
      <c r="AA710">
        <f>IF($V710="",N($AA709),IF(MATCH($V710,$V$6:$V$10005,0)=ROW()-5,N($AA709)+1,N($AA709)))</f>
        <v>0</v>
      </c>
    </row>
    <row r="711" spans="1:27" ht="21" customHeight="1" x14ac:dyDescent="0.95">
      <c r="A711" s="56"/>
      <c r="B711" s="57"/>
      <c r="C711" s="57"/>
      <c r="D711" s="57"/>
      <c r="E711" s="56"/>
      <c r="F711" s="57"/>
      <c r="G711" s="57"/>
      <c r="H711" s="56"/>
      <c r="I711" s="56"/>
      <c r="J711" s="58"/>
      <c r="K711" s="58"/>
      <c r="L711" s="13" t="str">
        <f t="shared" si="110"/>
        <v/>
      </c>
      <c r="M711" s="13" t="str">
        <f t="shared" si="111"/>
        <v/>
      </c>
      <c r="Q711" t="str">
        <f t="shared" si="112"/>
        <v/>
      </c>
      <c r="R711" t="str">
        <f t="shared" si="113"/>
        <v/>
      </c>
      <c r="S711" t="str">
        <f t="shared" si="114"/>
        <v/>
      </c>
      <c r="T711" t="str">
        <f t="shared" si="115"/>
        <v/>
      </c>
      <c r="U711" t="str">
        <f t="shared" si="116"/>
        <v/>
      </c>
      <c r="V711" t="str">
        <f t="shared" si="117"/>
        <v/>
      </c>
      <c r="W711" t="str">
        <f t="shared" si="118"/>
        <v/>
      </c>
      <c r="X711">
        <f>IF($T711="",N($X710),IF(MATCH($T711,$T$6:$T$10005,0)=ROW()-5,N($X710)+1,N($X710)))</f>
        <v>0</v>
      </c>
      <c r="Z711" t="str">
        <f t="shared" si="119"/>
        <v/>
      </c>
      <c r="AA711">
        <f>IF($V711="",N($AA710),IF(MATCH($V711,$V$6:$V$10005,0)=ROW()-5,N($AA710)+1,N($AA710)))</f>
        <v>0</v>
      </c>
    </row>
    <row r="712" spans="1:27" ht="21" customHeight="1" x14ac:dyDescent="0.95">
      <c r="A712" s="56"/>
      <c r="B712" s="57"/>
      <c r="C712" s="57"/>
      <c r="D712" s="57"/>
      <c r="E712" s="56"/>
      <c r="F712" s="57"/>
      <c r="G712" s="57"/>
      <c r="H712" s="56"/>
      <c r="I712" s="56"/>
      <c r="J712" s="58"/>
      <c r="K712" s="58"/>
      <c r="L712" s="13" t="str">
        <f t="shared" si="110"/>
        <v/>
      </c>
      <c r="M712" s="13" t="str">
        <f t="shared" si="111"/>
        <v/>
      </c>
      <c r="Q712" t="str">
        <f t="shared" si="112"/>
        <v/>
      </c>
      <c r="R712" t="str">
        <f t="shared" si="113"/>
        <v/>
      </c>
      <c r="S712" t="str">
        <f t="shared" si="114"/>
        <v/>
      </c>
      <c r="T712" t="str">
        <f t="shared" si="115"/>
        <v/>
      </c>
      <c r="U712" t="str">
        <f t="shared" si="116"/>
        <v/>
      </c>
      <c r="V712" t="str">
        <f t="shared" si="117"/>
        <v/>
      </c>
      <c r="W712" t="str">
        <f t="shared" si="118"/>
        <v/>
      </c>
      <c r="X712">
        <f>IF($T712="",N($X711),IF(MATCH($T712,$T$6:$T$10005,0)=ROW()-5,N($X711)+1,N($X711)))</f>
        <v>0</v>
      </c>
      <c r="Z712" t="str">
        <f t="shared" si="119"/>
        <v/>
      </c>
      <c r="AA712">
        <f>IF($V712="",N($AA711),IF(MATCH($V712,$V$6:$V$10005,0)=ROW()-5,N($AA711)+1,N($AA711)))</f>
        <v>0</v>
      </c>
    </row>
    <row r="713" spans="1:27" ht="21" customHeight="1" x14ac:dyDescent="0.95">
      <c r="A713" s="56"/>
      <c r="B713" s="57"/>
      <c r="C713" s="57"/>
      <c r="D713" s="57"/>
      <c r="E713" s="56"/>
      <c r="F713" s="57"/>
      <c r="G713" s="57"/>
      <c r="H713" s="56"/>
      <c r="I713" s="56"/>
      <c r="J713" s="58"/>
      <c r="K713" s="58"/>
      <c r="L713" s="13" t="str">
        <f t="shared" si="110"/>
        <v/>
      </c>
      <c r="M713" s="13" t="str">
        <f t="shared" si="111"/>
        <v/>
      </c>
      <c r="Q713" t="str">
        <f t="shared" si="112"/>
        <v/>
      </c>
      <c r="R713" t="str">
        <f t="shared" si="113"/>
        <v/>
      </c>
      <c r="S713" t="str">
        <f t="shared" si="114"/>
        <v/>
      </c>
      <c r="T713" t="str">
        <f t="shared" si="115"/>
        <v/>
      </c>
      <c r="U713" t="str">
        <f t="shared" si="116"/>
        <v/>
      </c>
      <c r="V713" t="str">
        <f t="shared" si="117"/>
        <v/>
      </c>
      <c r="W713" t="str">
        <f t="shared" si="118"/>
        <v/>
      </c>
      <c r="X713">
        <f>IF($T713="",N($X712),IF(MATCH($T713,$T$6:$T$10005,0)=ROW()-5,N($X712)+1,N($X712)))</f>
        <v>0</v>
      </c>
      <c r="Z713" t="str">
        <f t="shared" si="119"/>
        <v/>
      </c>
      <c r="AA713">
        <f>IF($V713="",N($AA712),IF(MATCH($V713,$V$6:$V$10005,0)=ROW()-5,N($AA712)+1,N($AA712)))</f>
        <v>0</v>
      </c>
    </row>
    <row r="714" spans="1:27" ht="21" customHeight="1" x14ac:dyDescent="0.95">
      <c r="A714" s="56"/>
      <c r="B714" s="57"/>
      <c r="C714" s="57"/>
      <c r="D714" s="57"/>
      <c r="E714" s="56"/>
      <c r="F714" s="57"/>
      <c r="G714" s="57"/>
      <c r="H714" s="56"/>
      <c r="I714" s="56"/>
      <c r="J714" s="58"/>
      <c r="K714" s="58"/>
      <c r="L714" s="13" t="str">
        <f t="shared" si="110"/>
        <v/>
      </c>
      <c r="M714" s="13" t="str">
        <f t="shared" si="111"/>
        <v/>
      </c>
      <c r="Q714" t="str">
        <f t="shared" si="112"/>
        <v/>
      </c>
      <c r="R714" t="str">
        <f t="shared" si="113"/>
        <v/>
      </c>
      <c r="S714" t="str">
        <f t="shared" si="114"/>
        <v/>
      </c>
      <c r="T714" t="str">
        <f t="shared" si="115"/>
        <v/>
      </c>
      <c r="U714" t="str">
        <f t="shared" si="116"/>
        <v/>
      </c>
      <c r="V714" t="str">
        <f t="shared" si="117"/>
        <v/>
      </c>
      <c r="W714" t="str">
        <f t="shared" si="118"/>
        <v/>
      </c>
      <c r="X714">
        <f>IF($T714="",N($X713),IF(MATCH($T714,$T$6:$T$10005,0)=ROW()-5,N($X713)+1,N($X713)))</f>
        <v>0</v>
      </c>
      <c r="Z714" t="str">
        <f t="shared" si="119"/>
        <v/>
      </c>
      <c r="AA714">
        <f>IF($V714="",N($AA713),IF(MATCH($V714,$V$6:$V$10005,0)=ROW()-5,N($AA713)+1,N($AA713)))</f>
        <v>0</v>
      </c>
    </row>
    <row r="715" spans="1:27" ht="21" customHeight="1" x14ac:dyDescent="0.95">
      <c r="A715" s="56"/>
      <c r="B715" s="57"/>
      <c r="C715" s="57"/>
      <c r="D715" s="57"/>
      <c r="E715" s="56"/>
      <c r="F715" s="57"/>
      <c r="G715" s="57"/>
      <c r="H715" s="56"/>
      <c r="I715" s="56"/>
      <c r="J715" s="58"/>
      <c r="K715" s="58"/>
      <c r="L715" s="13" t="str">
        <f t="shared" si="110"/>
        <v/>
      </c>
      <c r="M715" s="13" t="str">
        <f t="shared" si="111"/>
        <v/>
      </c>
      <c r="Q715" t="str">
        <f t="shared" si="112"/>
        <v/>
      </c>
      <c r="R715" t="str">
        <f t="shared" si="113"/>
        <v/>
      </c>
      <c r="S715" t="str">
        <f t="shared" si="114"/>
        <v/>
      </c>
      <c r="T715" t="str">
        <f t="shared" si="115"/>
        <v/>
      </c>
      <c r="U715" t="str">
        <f t="shared" si="116"/>
        <v/>
      </c>
      <c r="V715" t="str">
        <f t="shared" si="117"/>
        <v/>
      </c>
      <c r="W715" t="str">
        <f t="shared" si="118"/>
        <v/>
      </c>
      <c r="X715">
        <f>IF($T715="",N($X714),IF(MATCH($T715,$T$6:$T$10005,0)=ROW()-5,N($X714)+1,N($X714)))</f>
        <v>0</v>
      </c>
      <c r="Z715" t="str">
        <f t="shared" si="119"/>
        <v/>
      </c>
      <c r="AA715">
        <f>IF($V715="",N($AA714),IF(MATCH($V715,$V$6:$V$10005,0)=ROW()-5,N($AA714)+1,N($AA714)))</f>
        <v>0</v>
      </c>
    </row>
    <row r="716" spans="1:27" ht="21" customHeight="1" x14ac:dyDescent="0.95">
      <c r="A716" s="56"/>
      <c r="B716" s="57"/>
      <c r="C716" s="57"/>
      <c r="D716" s="57"/>
      <c r="E716" s="56"/>
      <c r="F716" s="57"/>
      <c r="G716" s="57"/>
      <c r="H716" s="56"/>
      <c r="I716" s="56"/>
      <c r="J716" s="58"/>
      <c r="K716" s="58"/>
      <c r="L716" s="13" t="str">
        <f t="shared" si="110"/>
        <v/>
      </c>
      <c r="M716" s="13" t="str">
        <f t="shared" si="111"/>
        <v/>
      </c>
      <c r="Q716" t="str">
        <f t="shared" si="112"/>
        <v/>
      </c>
      <c r="R716" t="str">
        <f t="shared" si="113"/>
        <v/>
      </c>
      <c r="S716" t="str">
        <f t="shared" si="114"/>
        <v/>
      </c>
      <c r="T716" t="str">
        <f t="shared" si="115"/>
        <v/>
      </c>
      <c r="U716" t="str">
        <f t="shared" si="116"/>
        <v/>
      </c>
      <c r="V716" t="str">
        <f t="shared" si="117"/>
        <v/>
      </c>
      <c r="W716" t="str">
        <f t="shared" si="118"/>
        <v/>
      </c>
      <c r="X716">
        <f>IF($T716="",N($X715),IF(MATCH($T716,$T$6:$T$10005,0)=ROW()-5,N($X715)+1,N($X715)))</f>
        <v>0</v>
      </c>
      <c r="Z716" t="str">
        <f t="shared" si="119"/>
        <v/>
      </c>
      <c r="AA716">
        <f>IF($V716="",N($AA715),IF(MATCH($V716,$V$6:$V$10005,0)=ROW()-5,N($AA715)+1,N($AA715)))</f>
        <v>0</v>
      </c>
    </row>
    <row r="717" spans="1:27" ht="21" customHeight="1" x14ac:dyDescent="0.95">
      <c r="A717" s="56"/>
      <c r="B717" s="57"/>
      <c r="C717" s="57"/>
      <c r="D717" s="57"/>
      <c r="E717" s="56"/>
      <c r="F717" s="57"/>
      <c r="G717" s="57"/>
      <c r="H717" s="56"/>
      <c r="I717" s="56"/>
      <c r="J717" s="58"/>
      <c r="K717" s="58"/>
      <c r="L717" s="13" t="str">
        <f t="shared" si="110"/>
        <v/>
      </c>
      <c r="M717" s="13" t="str">
        <f t="shared" si="111"/>
        <v/>
      </c>
      <c r="Q717" t="str">
        <f t="shared" si="112"/>
        <v/>
      </c>
      <c r="R717" t="str">
        <f t="shared" si="113"/>
        <v/>
      </c>
      <c r="S717" t="str">
        <f t="shared" si="114"/>
        <v/>
      </c>
      <c r="T717" t="str">
        <f t="shared" si="115"/>
        <v/>
      </c>
      <c r="U717" t="str">
        <f t="shared" si="116"/>
        <v/>
      </c>
      <c r="V717" t="str">
        <f t="shared" si="117"/>
        <v/>
      </c>
      <c r="W717" t="str">
        <f t="shared" si="118"/>
        <v/>
      </c>
      <c r="X717">
        <f>IF($T717="",N($X716),IF(MATCH($T717,$T$6:$T$10005,0)=ROW()-5,N($X716)+1,N($X716)))</f>
        <v>0</v>
      </c>
      <c r="Z717" t="str">
        <f t="shared" si="119"/>
        <v/>
      </c>
      <c r="AA717">
        <f>IF($V717="",N($AA716),IF(MATCH($V717,$V$6:$V$10005,0)=ROW()-5,N($AA716)+1,N($AA716)))</f>
        <v>0</v>
      </c>
    </row>
    <row r="718" spans="1:27" ht="21" customHeight="1" x14ac:dyDescent="0.95">
      <c r="A718" s="56"/>
      <c r="B718" s="57"/>
      <c r="C718" s="57"/>
      <c r="D718" s="57"/>
      <c r="E718" s="56"/>
      <c r="F718" s="57"/>
      <c r="G718" s="57"/>
      <c r="H718" s="56"/>
      <c r="I718" s="56"/>
      <c r="J718" s="58"/>
      <c r="K718" s="58"/>
      <c r="L718" s="13" t="str">
        <f t="shared" si="110"/>
        <v/>
      </c>
      <c r="M718" s="13" t="str">
        <f t="shared" si="111"/>
        <v/>
      </c>
      <c r="Q718" t="str">
        <f t="shared" si="112"/>
        <v/>
      </c>
      <c r="R718" t="str">
        <f t="shared" si="113"/>
        <v/>
      </c>
      <c r="S718" t="str">
        <f t="shared" si="114"/>
        <v/>
      </c>
      <c r="T718" t="str">
        <f t="shared" si="115"/>
        <v/>
      </c>
      <c r="U718" t="str">
        <f t="shared" si="116"/>
        <v/>
      </c>
      <c r="V718" t="str">
        <f t="shared" si="117"/>
        <v/>
      </c>
      <c r="W718" t="str">
        <f t="shared" si="118"/>
        <v/>
      </c>
      <c r="X718">
        <f>IF($T718="",N($X717),IF(MATCH($T718,$T$6:$T$10005,0)=ROW()-5,N($X717)+1,N($X717)))</f>
        <v>0</v>
      </c>
      <c r="Z718" t="str">
        <f t="shared" si="119"/>
        <v/>
      </c>
      <c r="AA718">
        <f>IF($V718="",N($AA717),IF(MATCH($V718,$V$6:$V$10005,0)=ROW()-5,N($AA717)+1,N($AA717)))</f>
        <v>0</v>
      </c>
    </row>
    <row r="719" spans="1:27" ht="21" customHeight="1" x14ac:dyDescent="0.95">
      <c r="A719" s="56"/>
      <c r="B719" s="57"/>
      <c r="C719" s="57"/>
      <c r="D719" s="57"/>
      <c r="E719" s="56"/>
      <c r="F719" s="57"/>
      <c r="G719" s="57"/>
      <c r="H719" s="56"/>
      <c r="I719" s="56"/>
      <c r="J719" s="58"/>
      <c r="K719" s="58"/>
      <c r="L719" s="13" t="str">
        <f t="shared" si="110"/>
        <v/>
      </c>
      <c r="M719" s="13" t="str">
        <f t="shared" si="111"/>
        <v/>
      </c>
      <c r="Q719" t="str">
        <f t="shared" si="112"/>
        <v/>
      </c>
      <c r="R719" t="str">
        <f t="shared" si="113"/>
        <v/>
      </c>
      <c r="S719" t="str">
        <f t="shared" si="114"/>
        <v/>
      </c>
      <c r="T719" t="str">
        <f t="shared" si="115"/>
        <v/>
      </c>
      <c r="U719" t="str">
        <f t="shared" si="116"/>
        <v/>
      </c>
      <c r="V719" t="str">
        <f t="shared" si="117"/>
        <v/>
      </c>
      <c r="W719" t="str">
        <f t="shared" si="118"/>
        <v/>
      </c>
      <c r="X719">
        <f>IF($T719="",N($X718),IF(MATCH($T719,$T$6:$T$10005,0)=ROW()-5,N($X718)+1,N($X718)))</f>
        <v>0</v>
      </c>
      <c r="Z719" t="str">
        <f t="shared" si="119"/>
        <v/>
      </c>
      <c r="AA719">
        <f>IF($V719="",N($AA718),IF(MATCH($V719,$V$6:$V$10005,0)=ROW()-5,N($AA718)+1,N($AA718)))</f>
        <v>0</v>
      </c>
    </row>
    <row r="720" spans="1:27" ht="21" customHeight="1" x14ac:dyDescent="0.95">
      <c r="A720" s="56"/>
      <c r="B720" s="57"/>
      <c r="C720" s="57"/>
      <c r="D720" s="57"/>
      <c r="E720" s="56"/>
      <c r="F720" s="57"/>
      <c r="G720" s="57"/>
      <c r="H720" s="56"/>
      <c r="I720" s="56"/>
      <c r="J720" s="58"/>
      <c r="K720" s="58"/>
      <c r="L720" s="13" t="str">
        <f t="shared" si="110"/>
        <v/>
      </c>
      <c r="M720" s="13" t="str">
        <f t="shared" si="111"/>
        <v/>
      </c>
      <c r="Q720" t="str">
        <f t="shared" si="112"/>
        <v/>
      </c>
      <c r="R720" t="str">
        <f t="shared" si="113"/>
        <v/>
      </c>
      <c r="S720" t="str">
        <f t="shared" si="114"/>
        <v/>
      </c>
      <c r="T720" t="str">
        <f t="shared" si="115"/>
        <v/>
      </c>
      <c r="U720" t="str">
        <f t="shared" si="116"/>
        <v/>
      </c>
      <c r="V720" t="str">
        <f t="shared" si="117"/>
        <v/>
      </c>
      <c r="W720" t="str">
        <f t="shared" si="118"/>
        <v/>
      </c>
      <c r="X720">
        <f>IF($T720="",N($X719),IF(MATCH($T720,$T$6:$T$10005,0)=ROW()-5,N($X719)+1,N($X719)))</f>
        <v>0</v>
      </c>
      <c r="Z720" t="str">
        <f t="shared" si="119"/>
        <v/>
      </c>
      <c r="AA720">
        <f>IF($V720="",N($AA719),IF(MATCH($V720,$V$6:$V$10005,0)=ROW()-5,N($AA719)+1,N($AA719)))</f>
        <v>0</v>
      </c>
    </row>
    <row r="721" spans="1:27" ht="21" customHeight="1" x14ac:dyDescent="0.95">
      <c r="A721" s="56"/>
      <c r="B721" s="57"/>
      <c r="C721" s="57"/>
      <c r="D721" s="57"/>
      <c r="E721" s="56"/>
      <c r="F721" s="57"/>
      <c r="G721" s="57"/>
      <c r="H721" s="56"/>
      <c r="I721" s="56"/>
      <c r="J721" s="58"/>
      <c r="K721" s="58"/>
      <c r="L721" s="13" t="str">
        <f t="shared" si="110"/>
        <v/>
      </c>
      <c r="M721" s="13" t="str">
        <f t="shared" si="111"/>
        <v/>
      </c>
      <c r="Q721" t="str">
        <f t="shared" si="112"/>
        <v/>
      </c>
      <c r="R721" t="str">
        <f t="shared" si="113"/>
        <v/>
      </c>
      <c r="S721" t="str">
        <f t="shared" si="114"/>
        <v/>
      </c>
      <c r="T721" t="str">
        <f t="shared" si="115"/>
        <v/>
      </c>
      <c r="U721" t="str">
        <f t="shared" si="116"/>
        <v/>
      </c>
      <c r="V721" t="str">
        <f t="shared" si="117"/>
        <v/>
      </c>
      <c r="W721" t="str">
        <f t="shared" si="118"/>
        <v/>
      </c>
      <c r="X721">
        <f>IF($T721="",N($X720),IF(MATCH($T721,$T$6:$T$10005,0)=ROW()-5,N($X720)+1,N($X720)))</f>
        <v>0</v>
      </c>
      <c r="Z721" t="str">
        <f t="shared" si="119"/>
        <v/>
      </c>
      <c r="AA721">
        <f>IF($V721="",N($AA720),IF(MATCH($V721,$V$6:$V$10005,0)=ROW()-5,N($AA720)+1,N($AA720)))</f>
        <v>0</v>
      </c>
    </row>
    <row r="722" spans="1:27" ht="21" customHeight="1" x14ac:dyDescent="0.95">
      <c r="A722" s="56"/>
      <c r="B722" s="57"/>
      <c r="C722" s="57"/>
      <c r="D722" s="57"/>
      <c r="E722" s="56"/>
      <c r="F722" s="57"/>
      <c r="G722" s="57"/>
      <c r="H722" s="56"/>
      <c r="I722" s="56"/>
      <c r="J722" s="58"/>
      <c r="K722" s="58"/>
      <c r="L722" s="13" t="str">
        <f t="shared" si="110"/>
        <v/>
      </c>
      <c r="M722" s="13" t="str">
        <f t="shared" si="111"/>
        <v/>
      </c>
      <c r="Q722" t="str">
        <f t="shared" si="112"/>
        <v/>
      </c>
      <c r="R722" t="str">
        <f t="shared" si="113"/>
        <v/>
      </c>
      <c r="S722" t="str">
        <f t="shared" si="114"/>
        <v/>
      </c>
      <c r="T722" t="str">
        <f t="shared" si="115"/>
        <v/>
      </c>
      <c r="U722" t="str">
        <f t="shared" si="116"/>
        <v/>
      </c>
      <c r="V722" t="str">
        <f t="shared" si="117"/>
        <v/>
      </c>
      <c r="W722" t="str">
        <f t="shared" si="118"/>
        <v/>
      </c>
      <c r="X722">
        <f>IF($T722="",N($X721),IF(MATCH($T722,$T$6:$T$10005,0)=ROW()-5,N($X721)+1,N($X721)))</f>
        <v>0</v>
      </c>
      <c r="Z722" t="str">
        <f t="shared" si="119"/>
        <v/>
      </c>
      <c r="AA722">
        <f>IF($V722="",N($AA721),IF(MATCH($V722,$V$6:$V$10005,0)=ROW()-5,N($AA721)+1,N($AA721)))</f>
        <v>0</v>
      </c>
    </row>
    <row r="723" spans="1:27" ht="21" customHeight="1" x14ac:dyDescent="0.95">
      <c r="A723" s="56"/>
      <c r="B723" s="57"/>
      <c r="C723" s="57"/>
      <c r="D723" s="57"/>
      <c r="E723" s="56"/>
      <c r="F723" s="57"/>
      <c r="G723" s="57"/>
      <c r="H723" s="56"/>
      <c r="I723" s="56"/>
      <c r="J723" s="58"/>
      <c r="K723" s="58"/>
      <c r="L723" s="13" t="str">
        <f t="shared" si="110"/>
        <v/>
      </c>
      <c r="M723" s="13" t="str">
        <f t="shared" si="111"/>
        <v/>
      </c>
      <c r="Q723" t="str">
        <f t="shared" si="112"/>
        <v/>
      </c>
      <c r="R723" t="str">
        <f t="shared" si="113"/>
        <v/>
      </c>
      <c r="S723" t="str">
        <f t="shared" si="114"/>
        <v/>
      </c>
      <c r="T723" t="str">
        <f t="shared" si="115"/>
        <v/>
      </c>
      <c r="U723" t="str">
        <f t="shared" si="116"/>
        <v/>
      </c>
      <c r="V723" t="str">
        <f t="shared" si="117"/>
        <v/>
      </c>
      <c r="W723" t="str">
        <f t="shared" si="118"/>
        <v/>
      </c>
      <c r="X723">
        <f>IF($T723="",N($X722),IF(MATCH($T723,$T$6:$T$10005,0)=ROW()-5,N($X722)+1,N($X722)))</f>
        <v>0</v>
      </c>
      <c r="Z723" t="str">
        <f t="shared" si="119"/>
        <v/>
      </c>
      <c r="AA723">
        <f>IF($V723="",N($AA722),IF(MATCH($V723,$V$6:$V$10005,0)=ROW()-5,N($AA722)+1,N($AA722)))</f>
        <v>0</v>
      </c>
    </row>
    <row r="724" spans="1:27" ht="21" customHeight="1" x14ac:dyDescent="0.95">
      <c r="A724" s="56"/>
      <c r="B724" s="57"/>
      <c r="C724" s="57"/>
      <c r="D724" s="57"/>
      <c r="E724" s="56"/>
      <c r="F724" s="57"/>
      <c r="G724" s="57"/>
      <c r="H724" s="56"/>
      <c r="I724" s="56"/>
      <c r="J724" s="58"/>
      <c r="K724" s="58"/>
      <c r="L724" s="13" t="str">
        <f t="shared" si="110"/>
        <v/>
      </c>
      <c r="M724" s="13" t="str">
        <f t="shared" si="111"/>
        <v/>
      </c>
      <c r="Q724" t="str">
        <f t="shared" si="112"/>
        <v/>
      </c>
      <c r="R724" t="str">
        <f t="shared" si="113"/>
        <v/>
      </c>
      <c r="S724" t="str">
        <f t="shared" si="114"/>
        <v/>
      </c>
      <c r="T724" t="str">
        <f t="shared" si="115"/>
        <v/>
      </c>
      <c r="U724" t="str">
        <f t="shared" si="116"/>
        <v/>
      </c>
      <c r="V724" t="str">
        <f t="shared" si="117"/>
        <v/>
      </c>
      <c r="W724" t="str">
        <f t="shared" si="118"/>
        <v/>
      </c>
      <c r="X724">
        <f>IF($T724="",N($X723),IF(MATCH($T724,$T$6:$T$10005,0)=ROW()-5,N($X723)+1,N($X723)))</f>
        <v>0</v>
      </c>
      <c r="Z724" t="str">
        <f t="shared" si="119"/>
        <v/>
      </c>
      <c r="AA724">
        <f>IF($V724="",N($AA723),IF(MATCH($V724,$V$6:$V$10005,0)=ROW()-5,N($AA723)+1,N($AA723)))</f>
        <v>0</v>
      </c>
    </row>
    <row r="725" spans="1:27" ht="21" customHeight="1" x14ac:dyDescent="0.95">
      <c r="A725" s="56"/>
      <c r="B725" s="57"/>
      <c r="C725" s="57"/>
      <c r="D725" s="57"/>
      <c r="E725" s="56"/>
      <c r="F725" s="57"/>
      <c r="G725" s="57"/>
      <c r="H725" s="56"/>
      <c r="I725" s="56"/>
      <c r="J725" s="58"/>
      <c r="K725" s="58"/>
      <c r="L725" s="13" t="str">
        <f t="shared" si="110"/>
        <v/>
      </c>
      <c r="M725" s="13" t="str">
        <f t="shared" si="111"/>
        <v/>
      </c>
      <c r="Q725" t="str">
        <f t="shared" si="112"/>
        <v/>
      </c>
      <c r="R725" t="str">
        <f t="shared" si="113"/>
        <v/>
      </c>
      <c r="S725" t="str">
        <f t="shared" si="114"/>
        <v/>
      </c>
      <c r="T725" t="str">
        <f t="shared" si="115"/>
        <v/>
      </c>
      <c r="U725" t="str">
        <f t="shared" si="116"/>
        <v/>
      </c>
      <c r="V725" t="str">
        <f t="shared" si="117"/>
        <v/>
      </c>
      <c r="W725" t="str">
        <f t="shared" si="118"/>
        <v/>
      </c>
      <c r="X725">
        <f>IF($T725="",N($X724),IF(MATCH($T725,$T$6:$T$10005,0)=ROW()-5,N($X724)+1,N($X724)))</f>
        <v>0</v>
      </c>
      <c r="Z725" t="str">
        <f t="shared" si="119"/>
        <v/>
      </c>
      <c r="AA725">
        <f>IF($V725="",N($AA724),IF(MATCH($V725,$V$6:$V$10005,0)=ROW()-5,N($AA724)+1,N($AA724)))</f>
        <v>0</v>
      </c>
    </row>
    <row r="726" spans="1:27" ht="21" customHeight="1" x14ac:dyDescent="0.95">
      <c r="A726" s="56"/>
      <c r="B726" s="57"/>
      <c r="C726" s="57"/>
      <c r="D726" s="57"/>
      <c r="E726" s="56"/>
      <c r="F726" s="57"/>
      <c r="G726" s="57"/>
      <c r="H726" s="56"/>
      <c r="I726" s="56"/>
      <c r="J726" s="58"/>
      <c r="K726" s="58"/>
      <c r="L726" s="13" t="str">
        <f t="shared" si="110"/>
        <v/>
      </c>
      <c r="M726" s="13" t="str">
        <f t="shared" si="111"/>
        <v/>
      </c>
      <c r="Q726" t="str">
        <f t="shared" si="112"/>
        <v/>
      </c>
      <c r="R726" t="str">
        <f t="shared" si="113"/>
        <v/>
      </c>
      <c r="S726" t="str">
        <f t="shared" si="114"/>
        <v/>
      </c>
      <c r="T726" t="str">
        <f t="shared" si="115"/>
        <v/>
      </c>
      <c r="U726" t="str">
        <f t="shared" si="116"/>
        <v/>
      </c>
      <c r="V726" t="str">
        <f t="shared" si="117"/>
        <v/>
      </c>
      <c r="W726" t="str">
        <f t="shared" si="118"/>
        <v/>
      </c>
      <c r="X726">
        <f>IF($T726="",N($X725),IF(MATCH($T726,$T$6:$T$10005,0)=ROW()-5,N($X725)+1,N($X725)))</f>
        <v>0</v>
      </c>
      <c r="Z726" t="str">
        <f t="shared" si="119"/>
        <v/>
      </c>
      <c r="AA726">
        <f>IF($V726="",N($AA725),IF(MATCH($V726,$V$6:$V$10005,0)=ROW()-5,N($AA725)+1,N($AA725)))</f>
        <v>0</v>
      </c>
    </row>
    <row r="727" spans="1:27" ht="21" customHeight="1" x14ac:dyDescent="0.95">
      <c r="A727" s="56"/>
      <c r="B727" s="57"/>
      <c r="C727" s="57"/>
      <c r="D727" s="57"/>
      <c r="E727" s="56"/>
      <c r="F727" s="57"/>
      <c r="G727" s="57"/>
      <c r="H727" s="56"/>
      <c r="I727" s="56"/>
      <c r="J727" s="58"/>
      <c r="K727" s="58"/>
      <c r="L727" s="13" t="str">
        <f t="shared" si="110"/>
        <v/>
      </c>
      <c r="M727" s="13" t="str">
        <f t="shared" si="111"/>
        <v/>
      </c>
      <c r="Q727" t="str">
        <f t="shared" si="112"/>
        <v/>
      </c>
      <c r="R727" t="str">
        <f t="shared" si="113"/>
        <v/>
      </c>
      <c r="S727" t="str">
        <f t="shared" si="114"/>
        <v/>
      </c>
      <c r="T727" t="str">
        <f t="shared" si="115"/>
        <v/>
      </c>
      <c r="U727" t="str">
        <f t="shared" si="116"/>
        <v/>
      </c>
      <c r="V727" t="str">
        <f t="shared" si="117"/>
        <v/>
      </c>
      <c r="W727" t="str">
        <f t="shared" si="118"/>
        <v/>
      </c>
      <c r="X727">
        <f>IF($T727="",N($X726),IF(MATCH($T727,$T$6:$T$10005,0)=ROW()-5,N($X726)+1,N($X726)))</f>
        <v>0</v>
      </c>
      <c r="Z727" t="str">
        <f t="shared" si="119"/>
        <v/>
      </c>
      <c r="AA727">
        <f>IF($V727="",N($AA726),IF(MATCH($V727,$V$6:$V$10005,0)=ROW()-5,N($AA726)+1,N($AA726)))</f>
        <v>0</v>
      </c>
    </row>
    <row r="728" spans="1:27" ht="21" customHeight="1" x14ac:dyDescent="0.95">
      <c r="A728" s="56"/>
      <c r="B728" s="57"/>
      <c r="C728" s="57"/>
      <c r="D728" s="57"/>
      <c r="E728" s="56"/>
      <c r="F728" s="57"/>
      <c r="G728" s="57"/>
      <c r="H728" s="56"/>
      <c r="I728" s="56"/>
      <c r="J728" s="58"/>
      <c r="K728" s="58"/>
      <c r="L728" s="13" t="str">
        <f t="shared" si="110"/>
        <v/>
      </c>
      <c r="M728" s="13" t="str">
        <f t="shared" si="111"/>
        <v/>
      </c>
      <c r="Q728" t="str">
        <f t="shared" si="112"/>
        <v/>
      </c>
      <c r="R728" t="str">
        <f t="shared" si="113"/>
        <v/>
      </c>
      <c r="S728" t="str">
        <f t="shared" si="114"/>
        <v/>
      </c>
      <c r="T728" t="str">
        <f t="shared" si="115"/>
        <v/>
      </c>
      <c r="U728" t="str">
        <f t="shared" si="116"/>
        <v/>
      </c>
      <c r="V728" t="str">
        <f t="shared" si="117"/>
        <v/>
      </c>
      <c r="W728" t="str">
        <f t="shared" si="118"/>
        <v/>
      </c>
      <c r="X728">
        <f>IF($T728="",N($X727),IF(MATCH($T728,$T$6:$T$10005,0)=ROW()-5,N($X727)+1,N($X727)))</f>
        <v>0</v>
      </c>
      <c r="Z728" t="str">
        <f t="shared" si="119"/>
        <v/>
      </c>
      <c r="AA728">
        <f>IF($V728="",N($AA727),IF(MATCH($V728,$V$6:$V$10005,0)=ROW()-5,N($AA727)+1,N($AA727)))</f>
        <v>0</v>
      </c>
    </row>
    <row r="729" spans="1:27" ht="21" customHeight="1" x14ac:dyDescent="0.95">
      <c r="A729" s="56"/>
      <c r="B729" s="57"/>
      <c r="C729" s="57"/>
      <c r="D729" s="57"/>
      <c r="E729" s="56"/>
      <c r="F729" s="57"/>
      <c r="G729" s="57"/>
      <c r="H729" s="56"/>
      <c r="I729" s="56"/>
      <c r="J729" s="58"/>
      <c r="K729" s="58"/>
      <c r="L729" s="13" t="str">
        <f t="shared" si="110"/>
        <v/>
      </c>
      <c r="M729" s="13" t="str">
        <f t="shared" si="111"/>
        <v/>
      </c>
      <c r="Q729" t="str">
        <f t="shared" si="112"/>
        <v/>
      </c>
      <c r="R729" t="str">
        <f t="shared" si="113"/>
        <v/>
      </c>
      <c r="S729" t="str">
        <f t="shared" si="114"/>
        <v/>
      </c>
      <c r="T729" t="str">
        <f t="shared" si="115"/>
        <v/>
      </c>
      <c r="U729" t="str">
        <f t="shared" si="116"/>
        <v/>
      </c>
      <c r="V729" t="str">
        <f t="shared" si="117"/>
        <v/>
      </c>
      <c r="W729" t="str">
        <f t="shared" si="118"/>
        <v/>
      </c>
      <c r="X729">
        <f>IF($T729="",N($X728),IF(MATCH($T729,$T$6:$T$10005,0)=ROW()-5,N($X728)+1,N($X728)))</f>
        <v>0</v>
      </c>
      <c r="Z729" t="str">
        <f t="shared" si="119"/>
        <v/>
      </c>
      <c r="AA729">
        <f>IF($V729="",N($AA728),IF(MATCH($V729,$V$6:$V$10005,0)=ROW()-5,N($AA728)+1,N($AA728)))</f>
        <v>0</v>
      </c>
    </row>
    <row r="730" spans="1:27" ht="21" customHeight="1" x14ac:dyDescent="0.95">
      <c r="A730" s="56"/>
      <c r="B730" s="57"/>
      <c r="C730" s="57"/>
      <c r="D730" s="57"/>
      <c r="E730" s="56"/>
      <c r="F730" s="57"/>
      <c r="G730" s="57"/>
      <c r="H730" s="56"/>
      <c r="I730" s="56"/>
      <c r="J730" s="58"/>
      <c r="K730" s="58"/>
      <c r="L730" s="13" t="str">
        <f t="shared" si="110"/>
        <v/>
      </c>
      <c r="M730" s="13" t="str">
        <f t="shared" si="111"/>
        <v/>
      </c>
      <c r="Q730" t="str">
        <f t="shared" si="112"/>
        <v/>
      </c>
      <c r="R730" t="str">
        <f t="shared" si="113"/>
        <v/>
      </c>
      <c r="S730" t="str">
        <f t="shared" si="114"/>
        <v/>
      </c>
      <c r="T730" t="str">
        <f t="shared" si="115"/>
        <v/>
      </c>
      <c r="U730" t="str">
        <f t="shared" si="116"/>
        <v/>
      </c>
      <c r="V730" t="str">
        <f t="shared" si="117"/>
        <v/>
      </c>
      <c r="W730" t="str">
        <f t="shared" si="118"/>
        <v/>
      </c>
      <c r="X730">
        <f>IF($T730="",N($X729),IF(MATCH($T730,$T$6:$T$10005,0)=ROW()-5,N($X729)+1,N($X729)))</f>
        <v>0</v>
      </c>
      <c r="Z730" t="str">
        <f t="shared" si="119"/>
        <v/>
      </c>
      <c r="AA730">
        <f>IF($V730="",N($AA729),IF(MATCH($V730,$V$6:$V$10005,0)=ROW()-5,N($AA729)+1,N($AA729)))</f>
        <v>0</v>
      </c>
    </row>
    <row r="731" spans="1:27" ht="21" customHeight="1" x14ac:dyDescent="0.95">
      <c r="A731" s="56"/>
      <c r="B731" s="57"/>
      <c r="C731" s="57"/>
      <c r="D731" s="57"/>
      <c r="E731" s="56"/>
      <c r="F731" s="57"/>
      <c r="G731" s="57"/>
      <c r="H731" s="56"/>
      <c r="I731" s="56"/>
      <c r="J731" s="58"/>
      <c r="K731" s="58"/>
      <c r="L731" s="13" t="str">
        <f t="shared" si="110"/>
        <v/>
      </c>
      <c r="M731" s="13" t="str">
        <f t="shared" si="111"/>
        <v/>
      </c>
      <c r="Q731" t="str">
        <f t="shared" si="112"/>
        <v/>
      </c>
      <c r="R731" t="str">
        <f t="shared" si="113"/>
        <v/>
      </c>
      <c r="S731" t="str">
        <f t="shared" si="114"/>
        <v/>
      </c>
      <c r="T731" t="str">
        <f t="shared" si="115"/>
        <v/>
      </c>
      <c r="U731" t="str">
        <f t="shared" si="116"/>
        <v/>
      </c>
      <c r="V731" t="str">
        <f t="shared" si="117"/>
        <v/>
      </c>
      <c r="W731" t="str">
        <f t="shared" si="118"/>
        <v/>
      </c>
      <c r="X731">
        <f>IF($T731="",N($X730),IF(MATCH($T731,$T$6:$T$10005,0)=ROW()-5,N($X730)+1,N($X730)))</f>
        <v>0</v>
      </c>
      <c r="Z731" t="str">
        <f t="shared" si="119"/>
        <v/>
      </c>
      <c r="AA731">
        <f>IF($V731="",N($AA730),IF(MATCH($V731,$V$6:$V$10005,0)=ROW()-5,N($AA730)+1,N($AA730)))</f>
        <v>0</v>
      </c>
    </row>
    <row r="732" spans="1:27" ht="21" customHeight="1" x14ac:dyDescent="0.95">
      <c r="A732" s="56"/>
      <c r="B732" s="57"/>
      <c r="C732" s="57"/>
      <c r="D732" s="57"/>
      <c r="E732" s="56"/>
      <c r="F732" s="57"/>
      <c r="G732" s="57"/>
      <c r="H732" s="56"/>
      <c r="I732" s="56"/>
      <c r="J732" s="58"/>
      <c r="K732" s="58"/>
      <c r="L732" s="13" t="str">
        <f t="shared" si="110"/>
        <v/>
      </c>
      <c r="M732" s="13" t="str">
        <f t="shared" si="111"/>
        <v/>
      </c>
      <c r="Q732" t="str">
        <f t="shared" si="112"/>
        <v/>
      </c>
      <c r="R732" t="str">
        <f t="shared" si="113"/>
        <v/>
      </c>
      <c r="S732" t="str">
        <f t="shared" si="114"/>
        <v/>
      </c>
      <c r="T732" t="str">
        <f t="shared" si="115"/>
        <v/>
      </c>
      <c r="U732" t="str">
        <f t="shared" si="116"/>
        <v/>
      </c>
      <c r="V732" t="str">
        <f t="shared" si="117"/>
        <v/>
      </c>
      <c r="W732" t="str">
        <f t="shared" si="118"/>
        <v/>
      </c>
      <c r="X732">
        <f>IF($T732="",N($X731),IF(MATCH($T732,$T$6:$T$10005,0)=ROW()-5,N($X731)+1,N($X731)))</f>
        <v>0</v>
      </c>
      <c r="Z732" t="str">
        <f t="shared" si="119"/>
        <v/>
      </c>
      <c r="AA732">
        <f>IF($V732="",N($AA731),IF(MATCH($V732,$V$6:$V$10005,0)=ROW()-5,N($AA731)+1,N($AA731)))</f>
        <v>0</v>
      </c>
    </row>
    <row r="733" spans="1:27" ht="21" customHeight="1" x14ac:dyDescent="0.95">
      <c r="A733" s="56"/>
      <c r="B733" s="57"/>
      <c r="C733" s="57"/>
      <c r="D733" s="57"/>
      <c r="E733" s="56"/>
      <c r="F733" s="57"/>
      <c r="G733" s="57"/>
      <c r="H733" s="56"/>
      <c r="I733" s="56"/>
      <c r="J733" s="58"/>
      <c r="K733" s="58"/>
      <c r="L733" s="13" t="str">
        <f t="shared" si="110"/>
        <v/>
      </c>
      <c r="M733" s="13" t="str">
        <f t="shared" si="111"/>
        <v/>
      </c>
      <c r="Q733" t="str">
        <f t="shared" si="112"/>
        <v/>
      </c>
      <c r="R733" t="str">
        <f t="shared" si="113"/>
        <v/>
      </c>
      <c r="S733" t="str">
        <f t="shared" si="114"/>
        <v/>
      </c>
      <c r="T733" t="str">
        <f t="shared" si="115"/>
        <v/>
      </c>
      <c r="U733" t="str">
        <f t="shared" si="116"/>
        <v/>
      </c>
      <c r="V733" t="str">
        <f t="shared" si="117"/>
        <v/>
      </c>
      <c r="W733" t="str">
        <f t="shared" si="118"/>
        <v/>
      </c>
      <c r="X733">
        <f>IF($T733="",N($X732),IF(MATCH($T733,$T$6:$T$10005,0)=ROW()-5,N($X732)+1,N($X732)))</f>
        <v>0</v>
      </c>
      <c r="Z733" t="str">
        <f t="shared" si="119"/>
        <v/>
      </c>
      <c r="AA733">
        <f>IF($V733="",N($AA732),IF(MATCH($V733,$V$6:$V$10005,0)=ROW()-5,N($AA732)+1,N($AA732)))</f>
        <v>0</v>
      </c>
    </row>
    <row r="734" spans="1:27" ht="21" customHeight="1" x14ac:dyDescent="0.95">
      <c r="A734" s="56"/>
      <c r="B734" s="57"/>
      <c r="C734" s="57"/>
      <c r="D734" s="57"/>
      <c r="E734" s="56"/>
      <c r="F734" s="57"/>
      <c r="G734" s="57"/>
      <c r="H734" s="56"/>
      <c r="I734" s="56"/>
      <c r="J734" s="58"/>
      <c r="K734" s="58"/>
      <c r="L734" s="13" t="str">
        <f t="shared" si="110"/>
        <v/>
      </c>
      <c r="M734" s="13" t="str">
        <f t="shared" si="111"/>
        <v/>
      </c>
      <c r="Q734" t="str">
        <f t="shared" si="112"/>
        <v/>
      </c>
      <c r="R734" t="str">
        <f t="shared" si="113"/>
        <v/>
      </c>
      <c r="S734" t="str">
        <f t="shared" si="114"/>
        <v/>
      </c>
      <c r="T734" t="str">
        <f t="shared" si="115"/>
        <v/>
      </c>
      <c r="U734" t="str">
        <f t="shared" si="116"/>
        <v/>
      </c>
      <c r="V734" t="str">
        <f t="shared" si="117"/>
        <v/>
      </c>
      <c r="W734" t="str">
        <f t="shared" si="118"/>
        <v/>
      </c>
      <c r="X734">
        <f>IF($T734="",N($X733),IF(MATCH($T734,$T$6:$T$10005,0)=ROW()-5,N($X733)+1,N($X733)))</f>
        <v>0</v>
      </c>
      <c r="Z734" t="str">
        <f t="shared" si="119"/>
        <v/>
      </c>
      <c r="AA734">
        <f>IF($V734="",N($AA733),IF(MATCH($V734,$V$6:$V$10005,0)=ROW()-5,N($AA733)+1,N($AA733)))</f>
        <v>0</v>
      </c>
    </row>
    <row r="735" spans="1:27" ht="21" customHeight="1" x14ac:dyDescent="0.95">
      <c r="A735" s="56"/>
      <c r="B735" s="57"/>
      <c r="C735" s="57"/>
      <c r="D735" s="57"/>
      <c r="E735" s="56"/>
      <c r="F735" s="57"/>
      <c r="G735" s="57"/>
      <c r="H735" s="56"/>
      <c r="I735" s="56"/>
      <c r="J735" s="58"/>
      <c r="K735" s="58"/>
      <c r="L735" s="13" t="str">
        <f t="shared" si="110"/>
        <v/>
      </c>
      <c r="M735" s="13" t="str">
        <f t="shared" si="111"/>
        <v/>
      </c>
      <c r="Q735" t="str">
        <f t="shared" si="112"/>
        <v/>
      </c>
      <c r="R735" t="str">
        <f t="shared" si="113"/>
        <v/>
      </c>
      <c r="S735" t="str">
        <f t="shared" si="114"/>
        <v/>
      </c>
      <c r="T735" t="str">
        <f t="shared" si="115"/>
        <v/>
      </c>
      <c r="U735" t="str">
        <f t="shared" si="116"/>
        <v/>
      </c>
      <c r="V735" t="str">
        <f t="shared" si="117"/>
        <v/>
      </c>
      <c r="W735" t="str">
        <f t="shared" si="118"/>
        <v/>
      </c>
      <c r="X735">
        <f>IF($T735="",N($X734),IF(MATCH($T735,$T$6:$T$10005,0)=ROW()-5,N($X734)+1,N($X734)))</f>
        <v>0</v>
      </c>
      <c r="Z735" t="str">
        <f t="shared" si="119"/>
        <v/>
      </c>
      <c r="AA735">
        <f>IF($V735="",N($AA734),IF(MATCH($V735,$V$6:$V$10005,0)=ROW()-5,N($AA734)+1,N($AA734)))</f>
        <v>0</v>
      </c>
    </row>
    <row r="736" spans="1:27" ht="21" customHeight="1" x14ac:dyDescent="0.95">
      <c r="A736" s="56"/>
      <c r="B736" s="57"/>
      <c r="C736" s="57"/>
      <c r="D736" s="57"/>
      <c r="E736" s="56"/>
      <c r="F736" s="57"/>
      <c r="G736" s="57"/>
      <c r="H736" s="56"/>
      <c r="I736" s="56"/>
      <c r="J736" s="58"/>
      <c r="K736" s="58"/>
      <c r="L736" s="13" t="str">
        <f t="shared" si="110"/>
        <v/>
      </c>
      <c r="M736" s="13" t="str">
        <f t="shared" si="111"/>
        <v/>
      </c>
      <c r="Q736" t="str">
        <f t="shared" si="112"/>
        <v/>
      </c>
      <c r="R736" t="str">
        <f t="shared" si="113"/>
        <v/>
      </c>
      <c r="S736" t="str">
        <f t="shared" si="114"/>
        <v/>
      </c>
      <c r="T736" t="str">
        <f t="shared" si="115"/>
        <v/>
      </c>
      <c r="U736" t="str">
        <f t="shared" si="116"/>
        <v/>
      </c>
      <c r="V736" t="str">
        <f t="shared" si="117"/>
        <v/>
      </c>
      <c r="W736" t="str">
        <f t="shared" si="118"/>
        <v/>
      </c>
      <c r="X736">
        <f>IF($T736="",N($X735),IF(MATCH($T736,$T$6:$T$10005,0)=ROW()-5,N($X735)+1,N($X735)))</f>
        <v>0</v>
      </c>
      <c r="Z736" t="str">
        <f t="shared" si="119"/>
        <v/>
      </c>
      <c r="AA736">
        <f>IF($V736="",N($AA735),IF(MATCH($V736,$V$6:$V$10005,0)=ROW()-5,N($AA735)+1,N($AA735)))</f>
        <v>0</v>
      </c>
    </row>
    <row r="737" spans="1:27" ht="21" customHeight="1" x14ac:dyDescent="0.95">
      <c r="A737" s="56"/>
      <c r="B737" s="57"/>
      <c r="C737" s="57"/>
      <c r="D737" s="57"/>
      <c r="E737" s="56"/>
      <c r="F737" s="57"/>
      <c r="G737" s="57"/>
      <c r="H737" s="56"/>
      <c r="I737" s="56"/>
      <c r="J737" s="58"/>
      <c r="K737" s="58"/>
      <c r="L737" s="13" t="str">
        <f t="shared" si="110"/>
        <v/>
      </c>
      <c r="M737" s="13" t="str">
        <f t="shared" si="111"/>
        <v/>
      </c>
      <c r="Q737" t="str">
        <f t="shared" si="112"/>
        <v/>
      </c>
      <c r="R737" t="str">
        <f t="shared" si="113"/>
        <v/>
      </c>
      <c r="S737" t="str">
        <f t="shared" si="114"/>
        <v/>
      </c>
      <c r="T737" t="str">
        <f t="shared" si="115"/>
        <v/>
      </c>
      <c r="U737" t="str">
        <f t="shared" si="116"/>
        <v/>
      </c>
      <c r="V737" t="str">
        <f t="shared" si="117"/>
        <v/>
      </c>
      <c r="W737" t="str">
        <f t="shared" si="118"/>
        <v/>
      </c>
      <c r="X737">
        <f>IF($T737="",N($X736),IF(MATCH($T737,$T$6:$T$10005,0)=ROW()-5,N($X736)+1,N($X736)))</f>
        <v>0</v>
      </c>
      <c r="Z737" t="str">
        <f t="shared" si="119"/>
        <v/>
      </c>
      <c r="AA737">
        <f>IF($V737="",N($AA736),IF(MATCH($V737,$V$6:$V$10005,0)=ROW()-5,N($AA736)+1,N($AA736)))</f>
        <v>0</v>
      </c>
    </row>
    <row r="738" spans="1:27" ht="21" customHeight="1" x14ac:dyDescent="0.95">
      <c r="A738" s="56"/>
      <c r="B738" s="57"/>
      <c r="C738" s="57"/>
      <c r="D738" s="57"/>
      <c r="E738" s="56"/>
      <c r="F738" s="57"/>
      <c r="G738" s="57"/>
      <c r="H738" s="56"/>
      <c r="I738" s="56"/>
      <c r="J738" s="58"/>
      <c r="K738" s="58"/>
      <c r="L738" s="13" t="str">
        <f t="shared" si="110"/>
        <v/>
      </c>
      <c r="M738" s="13" t="str">
        <f t="shared" si="111"/>
        <v/>
      </c>
      <c r="Q738" t="str">
        <f t="shared" si="112"/>
        <v/>
      </c>
      <c r="R738" t="str">
        <f t="shared" si="113"/>
        <v/>
      </c>
      <c r="S738" t="str">
        <f t="shared" si="114"/>
        <v/>
      </c>
      <c r="T738" t="str">
        <f t="shared" si="115"/>
        <v/>
      </c>
      <c r="U738" t="str">
        <f t="shared" si="116"/>
        <v/>
      </c>
      <c r="V738" t="str">
        <f t="shared" si="117"/>
        <v/>
      </c>
      <c r="W738" t="str">
        <f t="shared" si="118"/>
        <v/>
      </c>
      <c r="X738">
        <f>IF($T738="",N($X737),IF(MATCH($T738,$T$6:$T$10005,0)=ROW()-5,N($X737)+1,N($X737)))</f>
        <v>0</v>
      </c>
      <c r="Z738" t="str">
        <f t="shared" si="119"/>
        <v/>
      </c>
      <c r="AA738">
        <f>IF($V738="",N($AA737),IF(MATCH($V738,$V$6:$V$10005,0)=ROW()-5,N($AA737)+1,N($AA737)))</f>
        <v>0</v>
      </c>
    </row>
    <row r="739" spans="1:27" ht="21" customHeight="1" x14ac:dyDescent="0.95">
      <c r="A739" s="56"/>
      <c r="B739" s="57"/>
      <c r="C739" s="57"/>
      <c r="D739" s="57"/>
      <c r="E739" s="56"/>
      <c r="F739" s="57"/>
      <c r="G739" s="57"/>
      <c r="H739" s="56"/>
      <c r="I739" s="56"/>
      <c r="J739" s="58"/>
      <c r="K739" s="58"/>
      <c r="L739" s="13" t="str">
        <f t="shared" si="110"/>
        <v/>
      </c>
      <c r="M739" s="13" t="str">
        <f t="shared" si="111"/>
        <v/>
      </c>
      <c r="Q739" t="str">
        <f t="shared" si="112"/>
        <v/>
      </c>
      <c r="R739" t="str">
        <f t="shared" si="113"/>
        <v/>
      </c>
      <c r="S739" t="str">
        <f t="shared" si="114"/>
        <v/>
      </c>
      <c r="T739" t="str">
        <f t="shared" si="115"/>
        <v/>
      </c>
      <c r="U739" t="str">
        <f t="shared" si="116"/>
        <v/>
      </c>
      <c r="V739" t="str">
        <f t="shared" si="117"/>
        <v/>
      </c>
      <c r="W739" t="str">
        <f t="shared" si="118"/>
        <v/>
      </c>
      <c r="X739">
        <f>IF($T739="",N($X738),IF(MATCH($T739,$T$6:$T$10005,0)=ROW()-5,N($X738)+1,N($X738)))</f>
        <v>0</v>
      </c>
      <c r="Z739" t="str">
        <f t="shared" si="119"/>
        <v/>
      </c>
      <c r="AA739">
        <f>IF($V739="",N($AA738),IF(MATCH($V739,$V$6:$V$10005,0)=ROW()-5,N($AA738)+1,N($AA738)))</f>
        <v>0</v>
      </c>
    </row>
    <row r="740" spans="1:27" ht="21" customHeight="1" x14ac:dyDescent="0.95">
      <c r="A740" s="56"/>
      <c r="B740" s="57"/>
      <c r="C740" s="57"/>
      <c r="D740" s="57"/>
      <c r="E740" s="56"/>
      <c r="F740" s="57"/>
      <c r="G740" s="57"/>
      <c r="H740" s="56"/>
      <c r="I740" s="56"/>
      <c r="J740" s="58"/>
      <c r="K740" s="58"/>
      <c r="L740" s="13" t="str">
        <f t="shared" si="110"/>
        <v/>
      </c>
      <c r="M740" s="13" t="str">
        <f t="shared" si="111"/>
        <v/>
      </c>
      <c r="Q740" t="str">
        <f t="shared" si="112"/>
        <v/>
      </c>
      <c r="R740" t="str">
        <f t="shared" si="113"/>
        <v/>
      </c>
      <c r="S740" t="str">
        <f t="shared" si="114"/>
        <v/>
      </c>
      <c r="T740" t="str">
        <f t="shared" si="115"/>
        <v/>
      </c>
      <c r="U740" t="str">
        <f t="shared" si="116"/>
        <v/>
      </c>
      <c r="V740" t="str">
        <f t="shared" si="117"/>
        <v/>
      </c>
      <c r="W740" t="str">
        <f t="shared" si="118"/>
        <v/>
      </c>
      <c r="X740">
        <f>IF($T740="",N($X739),IF(MATCH($T740,$T$6:$T$10005,0)=ROW()-5,N($X739)+1,N($X739)))</f>
        <v>0</v>
      </c>
      <c r="Z740" t="str">
        <f t="shared" si="119"/>
        <v/>
      </c>
      <c r="AA740">
        <f>IF($V740="",N($AA739),IF(MATCH($V740,$V$6:$V$10005,0)=ROW()-5,N($AA739)+1,N($AA739)))</f>
        <v>0</v>
      </c>
    </row>
    <row r="741" spans="1:27" ht="21" customHeight="1" x14ac:dyDescent="0.95">
      <c r="A741" s="56"/>
      <c r="B741" s="57"/>
      <c r="C741" s="57"/>
      <c r="D741" s="57"/>
      <c r="E741" s="56"/>
      <c r="F741" s="57"/>
      <c r="G741" s="57"/>
      <c r="H741" s="56"/>
      <c r="I741" s="56"/>
      <c r="J741" s="58"/>
      <c r="K741" s="58"/>
      <c r="L741" s="13" t="str">
        <f t="shared" si="110"/>
        <v/>
      </c>
      <c r="M741" s="13" t="str">
        <f t="shared" si="111"/>
        <v/>
      </c>
      <c r="Q741" t="str">
        <f t="shared" si="112"/>
        <v/>
      </c>
      <c r="R741" t="str">
        <f t="shared" si="113"/>
        <v/>
      </c>
      <c r="S741" t="str">
        <f t="shared" si="114"/>
        <v/>
      </c>
      <c r="T741" t="str">
        <f t="shared" si="115"/>
        <v/>
      </c>
      <c r="U741" t="str">
        <f t="shared" si="116"/>
        <v/>
      </c>
      <c r="V741" t="str">
        <f t="shared" si="117"/>
        <v/>
      </c>
      <c r="W741" t="str">
        <f t="shared" si="118"/>
        <v/>
      </c>
      <c r="X741">
        <f>IF($T741="",N($X740),IF(MATCH($T741,$T$6:$T$10005,0)=ROW()-5,N($X740)+1,N($X740)))</f>
        <v>0</v>
      </c>
      <c r="Z741" t="str">
        <f t="shared" si="119"/>
        <v/>
      </c>
      <c r="AA741">
        <f>IF($V741="",N($AA740),IF(MATCH($V741,$V$6:$V$10005,0)=ROW()-5,N($AA740)+1,N($AA740)))</f>
        <v>0</v>
      </c>
    </row>
    <row r="742" spans="1:27" ht="21" customHeight="1" x14ac:dyDescent="0.95">
      <c r="A742" s="56"/>
      <c r="B742" s="57"/>
      <c r="C742" s="57"/>
      <c r="D742" s="57"/>
      <c r="E742" s="56"/>
      <c r="F742" s="57"/>
      <c r="G742" s="57"/>
      <c r="H742" s="56"/>
      <c r="I742" s="56"/>
      <c r="J742" s="58"/>
      <c r="K742" s="58"/>
      <c r="L742" s="13" t="str">
        <f t="shared" si="110"/>
        <v/>
      </c>
      <c r="M742" s="13" t="str">
        <f t="shared" si="111"/>
        <v/>
      </c>
      <c r="Q742" t="str">
        <f t="shared" si="112"/>
        <v/>
      </c>
      <c r="R742" t="str">
        <f t="shared" si="113"/>
        <v/>
      </c>
      <c r="S742" t="str">
        <f t="shared" si="114"/>
        <v/>
      </c>
      <c r="T742" t="str">
        <f t="shared" si="115"/>
        <v/>
      </c>
      <c r="U742" t="str">
        <f t="shared" si="116"/>
        <v/>
      </c>
      <c r="V742" t="str">
        <f t="shared" si="117"/>
        <v/>
      </c>
      <c r="W742" t="str">
        <f t="shared" si="118"/>
        <v/>
      </c>
      <c r="X742">
        <f>IF($T742="",N($X741),IF(MATCH($T742,$T$6:$T$10005,0)=ROW()-5,N($X741)+1,N($X741)))</f>
        <v>0</v>
      </c>
      <c r="Z742" t="str">
        <f t="shared" si="119"/>
        <v/>
      </c>
      <c r="AA742">
        <f>IF($V742="",N($AA741),IF(MATCH($V742,$V$6:$V$10005,0)=ROW()-5,N($AA741)+1,N($AA741)))</f>
        <v>0</v>
      </c>
    </row>
    <row r="743" spans="1:27" ht="21" customHeight="1" x14ac:dyDescent="0.95">
      <c r="A743" s="56"/>
      <c r="B743" s="57"/>
      <c r="C743" s="57"/>
      <c r="D743" s="57"/>
      <c r="E743" s="56"/>
      <c r="F743" s="57"/>
      <c r="G743" s="57"/>
      <c r="H743" s="56"/>
      <c r="I743" s="56"/>
      <c r="J743" s="58"/>
      <c r="K743" s="58"/>
      <c r="L743" s="13" t="str">
        <f t="shared" si="110"/>
        <v/>
      </c>
      <c r="M743" s="13" t="str">
        <f t="shared" si="111"/>
        <v/>
      </c>
      <c r="Q743" t="str">
        <f t="shared" si="112"/>
        <v/>
      </c>
      <c r="R743" t="str">
        <f t="shared" si="113"/>
        <v/>
      </c>
      <c r="S743" t="str">
        <f t="shared" si="114"/>
        <v/>
      </c>
      <c r="T743" t="str">
        <f t="shared" si="115"/>
        <v/>
      </c>
      <c r="U743" t="str">
        <f t="shared" si="116"/>
        <v/>
      </c>
      <c r="V743" t="str">
        <f t="shared" si="117"/>
        <v/>
      </c>
      <c r="W743" t="str">
        <f t="shared" si="118"/>
        <v/>
      </c>
      <c r="X743">
        <f>IF($T743="",N($X742),IF(MATCH($T743,$T$6:$T$10005,0)=ROW()-5,N($X742)+1,N($X742)))</f>
        <v>0</v>
      </c>
      <c r="Z743" t="str">
        <f t="shared" si="119"/>
        <v/>
      </c>
      <c r="AA743">
        <f>IF($V743="",N($AA742),IF(MATCH($V743,$V$6:$V$10005,0)=ROW()-5,N($AA742)+1,N($AA742)))</f>
        <v>0</v>
      </c>
    </row>
    <row r="744" spans="1:27" ht="21" customHeight="1" x14ac:dyDescent="0.95">
      <c r="A744" s="56"/>
      <c r="B744" s="57"/>
      <c r="C744" s="57"/>
      <c r="D744" s="57"/>
      <c r="E744" s="56"/>
      <c r="F744" s="57"/>
      <c r="G744" s="57"/>
      <c r="H744" s="56"/>
      <c r="I744" s="56"/>
      <c r="J744" s="58"/>
      <c r="K744" s="58"/>
      <c r="L744" s="13" t="str">
        <f t="shared" si="110"/>
        <v/>
      </c>
      <c r="M744" s="13" t="str">
        <f t="shared" si="111"/>
        <v/>
      </c>
      <c r="Q744" t="str">
        <f t="shared" si="112"/>
        <v/>
      </c>
      <c r="R744" t="str">
        <f t="shared" si="113"/>
        <v/>
      </c>
      <c r="S744" t="str">
        <f t="shared" si="114"/>
        <v/>
      </c>
      <c r="T744" t="str">
        <f t="shared" si="115"/>
        <v/>
      </c>
      <c r="U744" t="str">
        <f t="shared" si="116"/>
        <v/>
      </c>
      <c r="V744" t="str">
        <f t="shared" si="117"/>
        <v/>
      </c>
      <c r="W744" t="str">
        <f t="shared" si="118"/>
        <v/>
      </c>
      <c r="X744">
        <f>IF($T744="",N($X743),IF(MATCH($T744,$T$6:$T$10005,0)=ROW()-5,N($X743)+1,N($X743)))</f>
        <v>0</v>
      </c>
      <c r="Z744" t="str">
        <f t="shared" si="119"/>
        <v/>
      </c>
      <c r="AA744">
        <f>IF($V744="",N($AA743),IF(MATCH($V744,$V$6:$V$10005,0)=ROW()-5,N($AA743)+1,N($AA743)))</f>
        <v>0</v>
      </c>
    </row>
    <row r="745" spans="1:27" ht="21" customHeight="1" x14ac:dyDescent="0.95">
      <c r="A745" s="56"/>
      <c r="B745" s="57"/>
      <c r="C745" s="57"/>
      <c r="D745" s="57"/>
      <c r="E745" s="56"/>
      <c r="F745" s="57"/>
      <c r="G745" s="57"/>
      <c r="H745" s="56"/>
      <c r="I745" s="56"/>
      <c r="J745" s="58"/>
      <c r="K745" s="58"/>
      <c r="L745" s="13" t="str">
        <f t="shared" si="110"/>
        <v/>
      </c>
      <c r="M745" s="13" t="str">
        <f t="shared" si="111"/>
        <v/>
      </c>
      <c r="Q745" t="str">
        <f t="shared" si="112"/>
        <v/>
      </c>
      <c r="R745" t="str">
        <f t="shared" si="113"/>
        <v/>
      </c>
      <c r="S745" t="str">
        <f t="shared" si="114"/>
        <v/>
      </c>
      <c r="T745" t="str">
        <f t="shared" si="115"/>
        <v/>
      </c>
      <c r="U745" t="str">
        <f t="shared" si="116"/>
        <v/>
      </c>
      <c r="V745" t="str">
        <f t="shared" si="117"/>
        <v/>
      </c>
      <c r="W745" t="str">
        <f t="shared" si="118"/>
        <v/>
      </c>
      <c r="X745">
        <f>IF($T745="",N($X744),IF(MATCH($T745,$T$6:$T$10005,0)=ROW()-5,N($X744)+1,N($X744)))</f>
        <v>0</v>
      </c>
      <c r="Z745" t="str">
        <f t="shared" si="119"/>
        <v/>
      </c>
      <c r="AA745">
        <f>IF($V745="",N($AA744),IF(MATCH($V745,$V$6:$V$10005,0)=ROW()-5,N($AA744)+1,N($AA744)))</f>
        <v>0</v>
      </c>
    </row>
    <row r="746" spans="1:27" ht="21" customHeight="1" x14ac:dyDescent="0.95">
      <c r="A746" s="56"/>
      <c r="B746" s="57"/>
      <c r="C746" s="57"/>
      <c r="D746" s="57"/>
      <c r="E746" s="56"/>
      <c r="F746" s="57"/>
      <c r="G746" s="57"/>
      <c r="H746" s="56"/>
      <c r="I746" s="56"/>
      <c r="J746" s="58"/>
      <c r="K746" s="58"/>
      <c r="L746" s="13" t="str">
        <f t="shared" si="110"/>
        <v/>
      </c>
      <c r="M746" s="13" t="str">
        <f t="shared" si="111"/>
        <v/>
      </c>
      <c r="Q746" t="str">
        <f t="shared" si="112"/>
        <v/>
      </c>
      <c r="R746" t="str">
        <f t="shared" si="113"/>
        <v/>
      </c>
      <c r="S746" t="str">
        <f t="shared" si="114"/>
        <v/>
      </c>
      <c r="T746" t="str">
        <f t="shared" si="115"/>
        <v/>
      </c>
      <c r="U746" t="str">
        <f t="shared" si="116"/>
        <v/>
      </c>
      <c r="V746" t="str">
        <f t="shared" si="117"/>
        <v/>
      </c>
      <c r="W746" t="str">
        <f t="shared" si="118"/>
        <v/>
      </c>
      <c r="X746">
        <f>IF($T746="",N($X745),IF(MATCH($T746,$T$6:$T$10005,0)=ROW()-5,N($X745)+1,N($X745)))</f>
        <v>0</v>
      </c>
      <c r="Z746" t="str">
        <f t="shared" si="119"/>
        <v/>
      </c>
      <c r="AA746">
        <f>IF($V746="",N($AA745),IF(MATCH($V746,$V$6:$V$10005,0)=ROW()-5,N($AA745)+1,N($AA745)))</f>
        <v>0</v>
      </c>
    </row>
    <row r="747" spans="1:27" ht="21" customHeight="1" x14ac:dyDescent="0.95">
      <c r="A747" s="56"/>
      <c r="B747" s="57"/>
      <c r="C747" s="57"/>
      <c r="D747" s="57"/>
      <c r="E747" s="56"/>
      <c r="F747" s="57"/>
      <c r="G747" s="57"/>
      <c r="H747" s="56"/>
      <c r="I747" s="56"/>
      <c r="J747" s="58"/>
      <c r="K747" s="58"/>
      <c r="L747" s="13" t="str">
        <f t="shared" si="110"/>
        <v/>
      </c>
      <c r="M747" s="13" t="str">
        <f t="shared" si="111"/>
        <v/>
      </c>
      <c r="Q747" t="str">
        <f t="shared" si="112"/>
        <v/>
      </c>
      <c r="R747" t="str">
        <f t="shared" si="113"/>
        <v/>
      </c>
      <c r="S747" t="str">
        <f t="shared" si="114"/>
        <v/>
      </c>
      <c r="T747" t="str">
        <f t="shared" si="115"/>
        <v/>
      </c>
      <c r="U747" t="str">
        <f t="shared" si="116"/>
        <v/>
      </c>
      <c r="V747" t="str">
        <f t="shared" si="117"/>
        <v/>
      </c>
      <c r="W747" t="str">
        <f t="shared" si="118"/>
        <v/>
      </c>
      <c r="X747">
        <f>IF($T747="",N($X746),IF(MATCH($T747,$T$6:$T$10005,0)=ROW()-5,N($X746)+1,N($X746)))</f>
        <v>0</v>
      </c>
      <c r="Z747" t="str">
        <f t="shared" si="119"/>
        <v/>
      </c>
      <c r="AA747">
        <f>IF($V747="",N($AA746),IF(MATCH($V747,$V$6:$V$10005,0)=ROW()-5,N($AA746)+1,N($AA746)))</f>
        <v>0</v>
      </c>
    </row>
    <row r="748" spans="1:27" ht="21" customHeight="1" x14ac:dyDescent="0.95">
      <c r="A748" s="56"/>
      <c r="B748" s="57"/>
      <c r="C748" s="57"/>
      <c r="D748" s="57"/>
      <c r="E748" s="56"/>
      <c r="F748" s="57"/>
      <c r="G748" s="57"/>
      <c r="H748" s="56"/>
      <c r="I748" s="56"/>
      <c r="J748" s="58"/>
      <c r="K748" s="58"/>
      <c r="L748" s="13" t="str">
        <f t="shared" si="110"/>
        <v/>
      </c>
      <c r="M748" s="13" t="str">
        <f t="shared" si="111"/>
        <v/>
      </c>
      <c r="Q748" t="str">
        <f t="shared" si="112"/>
        <v/>
      </c>
      <c r="R748" t="str">
        <f t="shared" si="113"/>
        <v/>
      </c>
      <c r="S748" t="str">
        <f t="shared" si="114"/>
        <v/>
      </c>
      <c r="T748" t="str">
        <f t="shared" si="115"/>
        <v/>
      </c>
      <c r="U748" t="str">
        <f t="shared" si="116"/>
        <v/>
      </c>
      <c r="V748" t="str">
        <f t="shared" si="117"/>
        <v/>
      </c>
      <c r="W748" t="str">
        <f t="shared" si="118"/>
        <v/>
      </c>
      <c r="X748">
        <f>IF($T748="",N($X747),IF(MATCH($T748,$T$6:$T$10005,0)=ROW()-5,N($X747)+1,N($X747)))</f>
        <v>0</v>
      </c>
      <c r="Z748" t="str">
        <f t="shared" si="119"/>
        <v/>
      </c>
      <c r="AA748">
        <f>IF($V748="",N($AA747),IF(MATCH($V748,$V$6:$V$10005,0)=ROW()-5,N($AA747)+1,N($AA747)))</f>
        <v>0</v>
      </c>
    </row>
    <row r="749" spans="1:27" ht="21" customHeight="1" x14ac:dyDescent="0.95">
      <c r="A749" s="56"/>
      <c r="B749" s="57"/>
      <c r="C749" s="57"/>
      <c r="D749" s="57"/>
      <c r="E749" s="56"/>
      <c r="F749" s="57"/>
      <c r="G749" s="57"/>
      <c r="H749" s="56"/>
      <c r="I749" s="56"/>
      <c r="J749" s="58"/>
      <c r="K749" s="58"/>
      <c r="L749" s="13" t="str">
        <f t="shared" si="110"/>
        <v/>
      </c>
      <c r="M749" s="13" t="str">
        <f t="shared" si="111"/>
        <v/>
      </c>
      <c r="Q749" t="str">
        <f t="shared" si="112"/>
        <v/>
      </c>
      <c r="R749" t="str">
        <f t="shared" si="113"/>
        <v/>
      </c>
      <c r="S749" t="str">
        <f t="shared" si="114"/>
        <v/>
      </c>
      <c r="T749" t="str">
        <f t="shared" si="115"/>
        <v/>
      </c>
      <c r="U749" t="str">
        <f t="shared" si="116"/>
        <v/>
      </c>
      <c r="V749" t="str">
        <f t="shared" si="117"/>
        <v/>
      </c>
      <c r="W749" t="str">
        <f t="shared" si="118"/>
        <v/>
      </c>
      <c r="X749">
        <f>IF($T749="",N($X748),IF(MATCH($T749,$T$6:$T$10005,0)=ROW()-5,N($X748)+1,N($X748)))</f>
        <v>0</v>
      </c>
      <c r="Z749" t="str">
        <f t="shared" si="119"/>
        <v/>
      </c>
      <c r="AA749">
        <f>IF($V749="",N($AA748),IF(MATCH($V749,$V$6:$V$10005,0)=ROW()-5,N($AA748)+1,N($AA748)))</f>
        <v>0</v>
      </c>
    </row>
    <row r="750" spans="1:27" ht="21" customHeight="1" x14ac:dyDescent="0.95">
      <c r="A750" s="56"/>
      <c r="B750" s="57"/>
      <c r="C750" s="57"/>
      <c r="D750" s="57"/>
      <c r="E750" s="56"/>
      <c r="F750" s="57"/>
      <c r="G750" s="57"/>
      <c r="H750" s="56"/>
      <c r="I750" s="56"/>
      <c r="J750" s="58"/>
      <c r="K750" s="58"/>
      <c r="L750" s="13" t="str">
        <f t="shared" si="110"/>
        <v/>
      </c>
      <c r="M750" s="13" t="str">
        <f t="shared" si="111"/>
        <v/>
      </c>
      <c r="Q750" t="str">
        <f t="shared" si="112"/>
        <v/>
      </c>
      <c r="R750" t="str">
        <f t="shared" si="113"/>
        <v/>
      </c>
      <c r="S750" t="str">
        <f t="shared" si="114"/>
        <v/>
      </c>
      <c r="T750" t="str">
        <f t="shared" si="115"/>
        <v/>
      </c>
      <c r="U750" t="str">
        <f t="shared" si="116"/>
        <v/>
      </c>
      <c r="V750" t="str">
        <f t="shared" si="117"/>
        <v/>
      </c>
      <c r="W750" t="str">
        <f t="shared" si="118"/>
        <v/>
      </c>
      <c r="X750">
        <f>IF($T750="",N($X749),IF(MATCH($T750,$T$6:$T$10005,0)=ROW()-5,N($X749)+1,N($X749)))</f>
        <v>0</v>
      </c>
      <c r="Z750" t="str">
        <f t="shared" si="119"/>
        <v/>
      </c>
      <c r="AA750">
        <f>IF($V750="",N($AA749),IF(MATCH($V750,$V$6:$V$10005,0)=ROW()-5,N($AA749)+1,N($AA749)))</f>
        <v>0</v>
      </c>
    </row>
    <row r="751" spans="1:27" ht="21" customHeight="1" x14ac:dyDescent="0.95">
      <c r="A751" s="56"/>
      <c r="B751" s="57"/>
      <c r="C751" s="57"/>
      <c r="D751" s="57"/>
      <c r="E751" s="56"/>
      <c r="F751" s="57"/>
      <c r="G751" s="57"/>
      <c r="H751" s="56"/>
      <c r="I751" s="56"/>
      <c r="J751" s="58"/>
      <c r="K751" s="58"/>
      <c r="L751" s="13" t="str">
        <f t="shared" si="110"/>
        <v/>
      </c>
      <c r="M751" s="13" t="str">
        <f t="shared" si="111"/>
        <v/>
      </c>
      <c r="Q751" t="str">
        <f t="shared" si="112"/>
        <v/>
      </c>
      <c r="R751" t="str">
        <f t="shared" si="113"/>
        <v/>
      </c>
      <c r="S751" t="str">
        <f t="shared" si="114"/>
        <v/>
      </c>
      <c r="T751" t="str">
        <f t="shared" si="115"/>
        <v/>
      </c>
      <c r="U751" t="str">
        <f t="shared" si="116"/>
        <v/>
      </c>
      <c r="V751" t="str">
        <f t="shared" si="117"/>
        <v/>
      </c>
      <c r="W751" t="str">
        <f t="shared" si="118"/>
        <v/>
      </c>
      <c r="X751">
        <f>IF($T751="",N($X750),IF(MATCH($T751,$T$6:$T$10005,0)=ROW()-5,N($X750)+1,N($X750)))</f>
        <v>0</v>
      </c>
      <c r="Z751" t="str">
        <f t="shared" si="119"/>
        <v/>
      </c>
      <c r="AA751">
        <f>IF($V751="",N($AA750),IF(MATCH($V751,$V$6:$V$10005,0)=ROW()-5,N($AA750)+1,N($AA750)))</f>
        <v>0</v>
      </c>
    </row>
    <row r="752" spans="1:27" ht="21" customHeight="1" x14ac:dyDescent="0.95">
      <c r="A752" s="56"/>
      <c r="B752" s="57"/>
      <c r="C752" s="57"/>
      <c r="D752" s="57"/>
      <c r="E752" s="56"/>
      <c r="F752" s="57"/>
      <c r="G752" s="57"/>
      <c r="H752" s="56"/>
      <c r="I752" s="56"/>
      <c r="J752" s="58"/>
      <c r="K752" s="58"/>
      <c r="L752" s="13" t="str">
        <f t="shared" si="110"/>
        <v/>
      </c>
      <c r="M752" s="13" t="str">
        <f t="shared" si="111"/>
        <v/>
      </c>
      <c r="Q752" t="str">
        <f t="shared" si="112"/>
        <v/>
      </c>
      <c r="R752" t="str">
        <f t="shared" si="113"/>
        <v/>
      </c>
      <c r="S752" t="str">
        <f t="shared" si="114"/>
        <v/>
      </c>
      <c r="T752" t="str">
        <f t="shared" si="115"/>
        <v/>
      </c>
      <c r="U752" t="str">
        <f t="shared" si="116"/>
        <v/>
      </c>
      <c r="V752" t="str">
        <f t="shared" si="117"/>
        <v/>
      </c>
      <c r="W752" t="str">
        <f t="shared" si="118"/>
        <v/>
      </c>
      <c r="X752">
        <f>IF($T752="",N($X751),IF(MATCH($T752,$T$6:$T$10005,0)=ROW()-5,N($X751)+1,N($X751)))</f>
        <v>0</v>
      </c>
      <c r="Z752" t="str">
        <f t="shared" si="119"/>
        <v/>
      </c>
      <c r="AA752">
        <f>IF($V752="",N($AA751),IF(MATCH($V752,$V$6:$V$10005,0)=ROW()-5,N($AA751)+1,N($AA751)))</f>
        <v>0</v>
      </c>
    </row>
    <row r="753" spans="1:27" ht="21" customHeight="1" x14ac:dyDescent="0.95">
      <c r="A753" s="56"/>
      <c r="B753" s="57"/>
      <c r="C753" s="57"/>
      <c r="D753" s="57"/>
      <c r="E753" s="56"/>
      <c r="F753" s="57"/>
      <c r="G753" s="57"/>
      <c r="H753" s="56"/>
      <c r="I753" s="56"/>
      <c r="J753" s="58"/>
      <c r="K753" s="58"/>
      <c r="L753" s="13" t="str">
        <f t="shared" si="110"/>
        <v/>
      </c>
      <c r="M753" s="13" t="str">
        <f t="shared" si="111"/>
        <v/>
      </c>
      <c r="Q753" t="str">
        <f t="shared" si="112"/>
        <v/>
      </c>
      <c r="R753" t="str">
        <f t="shared" si="113"/>
        <v/>
      </c>
      <c r="S753" t="str">
        <f t="shared" si="114"/>
        <v/>
      </c>
      <c r="T753" t="str">
        <f t="shared" si="115"/>
        <v/>
      </c>
      <c r="U753" t="str">
        <f t="shared" si="116"/>
        <v/>
      </c>
      <c r="V753" t="str">
        <f t="shared" si="117"/>
        <v/>
      </c>
      <c r="W753" t="str">
        <f t="shared" si="118"/>
        <v/>
      </c>
      <c r="X753">
        <f>IF($T753="",N($X752),IF(MATCH($T753,$T$6:$T$10005,0)=ROW()-5,N($X752)+1,N($X752)))</f>
        <v>0</v>
      </c>
      <c r="Z753" t="str">
        <f t="shared" si="119"/>
        <v/>
      </c>
      <c r="AA753">
        <f>IF($V753="",N($AA752),IF(MATCH($V753,$V$6:$V$10005,0)=ROW()-5,N($AA752)+1,N($AA752)))</f>
        <v>0</v>
      </c>
    </row>
    <row r="754" spans="1:27" ht="21" customHeight="1" x14ac:dyDescent="0.95">
      <c r="A754" s="56"/>
      <c r="B754" s="57"/>
      <c r="C754" s="57"/>
      <c r="D754" s="57"/>
      <c r="E754" s="56"/>
      <c r="F754" s="57"/>
      <c r="G754" s="57"/>
      <c r="H754" s="56"/>
      <c r="I754" s="56"/>
      <c r="J754" s="58"/>
      <c r="K754" s="58"/>
      <c r="L754" s="13" t="str">
        <f t="shared" si="110"/>
        <v/>
      </c>
      <c r="M754" s="13" t="str">
        <f t="shared" si="111"/>
        <v/>
      </c>
      <c r="Q754" t="str">
        <f t="shared" si="112"/>
        <v/>
      </c>
      <c r="R754" t="str">
        <f t="shared" si="113"/>
        <v/>
      </c>
      <c r="S754" t="str">
        <f t="shared" si="114"/>
        <v/>
      </c>
      <c r="T754" t="str">
        <f t="shared" si="115"/>
        <v/>
      </c>
      <c r="U754" t="str">
        <f t="shared" si="116"/>
        <v/>
      </c>
      <c r="V754" t="str">
        <f t="shared" si="117"/>
        <v/>
      </c>
      <c r="W754" t="str">
        <f t="shared" si="118"/>
        <v/>
      </c>
      <c r="X754">
        <f>IF($T754="",N($X753),IF(MATCH($T754,$T$6:$T$10005,0)=ROW()-5,N($X753)+1,N($X753)))</f>
        <v>0</v>
      </c>
      <c r="Z754" t="str">
        <f t="shared" si="119"/>
        <v/>
      </c>
      <c r="AA754">
        <f>IF($V754="",N($AA753),IF(MATCH($V754,$V$6:$V$10005,0)=ROW()-5,N($AA753)+1,N($AA753)))</f>
        <v>0</v>
      </c>
    </row>
    <row r="755" spans="1:27" ht="21" customHeight="1" x14ac:dyDescent="0.95">
      <c r="A755" s="56"/>
      <c r="B755" s="57"/>
      <c r="C755" s="57"/>
      <c r="D755" s="57"/>
      <c r="E755" s="56"/>
      <c r="F755" s="57"/>
      <c r="G755" s="57"/>
      <c r="H755" s="56"/>
      <c r="I755" s="56"/>
      <c r="J755" s="58"/>
      <c r="K755" s="58"/>
      <c r="L755" s="13" t="str">
        <f t="shared" si="110"/>
        <v/>
      </c>
      <c r="M755" s="13" t="str">
        <f t="shared" si="111"/>
        <v/>
      </c>
      <c r="Q755" t="str">
        <f t="shared" si="112"/>
        <v/>
      </c>
      <c r="R755" t="str">
        <f t="shared" si="113"/>
        <v/>
      </c>
      <c r="S755" t="str">
        <f t="shared" si="114"/>
        <v/>
      </c>
      <c r="T755" t="str">
        <f t="shared" si="115"/>
        <v/>
      </c>
      <c r="U755" t="str">
        <f t="shared" si="116"/>
        <v/>
      </c>
      <c r="V755" t="str">
        <f t="shared" si="117"/>
        <v/>
      </c>
      <c r="W755" t="str">
        <f t="shared" si="118"/>
        <v/>
      </c>
      <c r="X755">
        <f>IF($T755="",N($X754),IF(MATCH($T755,$T$6:$T$10005,0)=ROW()-5,N($X754)+1,N($X754)))</f>
        <v>0</v>
      </c>
      <c r="Z755" t="str">
        <f t="shared" si="119"/>
        <v/>
      </c>
      <c r="AA755">
        <f>IF($V755="",N($AA754),IF(MATCH($V755,$V$6:$V$10005,0)=ROW()-5,N($AA754)+1,N($AA754)))</f>
        <v>0</v>
      </c>
    </row>
    <row r="756" spans="1:27" ht="21" customHeight="1" x14ac:dyDescent="0.95">
      <c r="A756" s="56"/>
      <c r="B756" s="57"/>
      <c r="C756" s="57"/>
      <c r="D756" s="57"/>
      <c r="E756" s="56"/>
      <c r="F756" s="57"/>
      <c r="G756" s="57"/>
      <c r="H756" s="56"/>
      <c r="I756" s="56"/>
      <c r="J756" s="58"/>
      <c r="K756" s="58"/>
      <c r="L756" s="13" t="str">
        <f t="shared" si="110"/>
        <v/>
      </c>
      <c r="M756" s="13" t="str">
        <f t="shared" si="111"/>
        <v/>
      </c>
      <c r="Q756" t="str">
        <f t="shared" si="112"/>
        <v/>
      </c>
      <c r="R756" t="str">
        <f t="shared" si="113"/>
        <v/>
      </c>
      <c r="S756" t="str">
        <f t="shared" si="114"/>
        <v/>
      </c>
      <c r="T756" t="str">
        <f t="shared" si="115"/>
        <v/>
      </c>
      <c r="U756" t="str">
        <f t="shared" si="116"/>
        <v/>
      </c>
      <c r="V756" t="str">
        <f t="shared" si="117"/>
        <v/>
      </c>
      <c r="W756" t="str">
        <f t="shared" si="118"/>
        <v/>
      </c>
      <c r="X756">
        <f>IF($T756="",N($X755),IF(MATCH($T756,$T$6:$T$10005,0)=ROW()-5,N($X755)+1,N($X755)))</f>
        <v>0</v>
      </c>
      <c r="Z756" t="str">
        <f t="shared" si="119"/>
        <v/>
      </c>
      <c r="AA756">
        <f>IF($V756="",N($AA755),IF(MATCH($V756,$V$6:$V$10005,0)=ROW()-5,N($AA755)+1,N($AA755)))</f>
        <v>0</v>
      </c>
    </row>
    <row r="757" spans="1:27" ht="21" customHeight="1" x14ac:dyDescent="0.95">
      <c r="A757" s="56"/>
      <c r="B757" s="57"/>
      <c r="C757" s="57"/>
      <c r="D757" s="57"/>
      <c r="E757" s="56"/>
      <c r="F757" s="57"/>
      <c r="G757" s="57"/>
      <c r="H757" s="56"/>
      <c r="I757" s="56"/>
      <c r="J757" s="58"/>
      <c r="K757" s="58"/>
      <c r="L757" s="13" t="str">
        <f t="shared" si="110"/>
        <v/>
      </c>
      <c r="M757" s="13" t="str">
        <f t="shared" si="111"/>
        <v/>
      </c>
      <c r="Q757" t="str">
        <f t="shared" si="112"/>
        <v/>
      </c>
      <c r="R757" t="str">
        <f t="shared" si="113"/>
        <v/>
      </c>
      <c r="S757" t="str">
        <f t="shared" si="114"/>
        <v/>
      </c>
      <c r="T757" t="str">
        <f t="shared" si="115"/>
        <v/>
      </c>
      <c r="U757" t="str">
        <f t="shared" si="116"/>
        <v/>
      </c>
      <c r="V757" t="str">
        <f t="shared" si="117"/>
        <v/>
      </c>
      <c r="W757" t="str">
        <f t="shared" si="118"/>
        <v/>
      </c>
      <c r="X757">
        <f>IF($T757="",N($X756),IF(MATCH($T757,$T$6:$T$10005,0)=ROW()-5,N($X756)+1,N($X756)))</f>
        <v>0</v>
      </c>
      <c r="Z757" t="str">
        <f t="shared" si="119"/>
        <v/>
      </c>
      <c r="AA757">
        <f>IF($V757="",N($AA756),IF(MATCH($V757,$V$6:$V$10005,0)=ROW()-5,N($AA756)+1,N($AA756)))</f>
        <v>0</v>
      </c>
    </row>
    <row r="758" spans="1:27" ht="21" customHeight="1" x14ac:dyDescent="0.95">
      <c r="A758" s="56"/>
      <c r="B758" s="57"/>
      <c r="C758" s="57"/>
      <c r="D758" s="57"/>
      <c r="E758" s="56"/>
      <c r="F758" s="57"/>
      <c r="G758" s="57"/>
      <c r="H758" s="56"/>
      <c r="I758" s="56"/>
      <c r="J758" s="58"/>
      <c r="K758" s="58"/>
      <c r="L758" s="13" t="str">
        <f t="shared" si="110"/>
        <v/>
      </c>
      <c r="M758" s="13" t="str">
        <f t="shared" si="111"/>
        <v/>
      </c>
      <c r="Q758" t="str">
        <f t="shared" si="112"/>
        <v/>
      </c>
      <c r="R758" t="str">
        <f t="shared" si="113"/>
        <v/>
      </c>
      <c r="S758" t="str">
        <f t="shared" si="114"/>
        <v/>
      </c>
      <c r="T758" t="str">
        <f t="shared" si="115"/>
        <v/>
      </c>
      <c r="U758" t="str">
        <f t="shared" si="116"/>
        <v/>
      </c>
      <c r="V758" t="str">
        <f t="shared" si="117"/>
        <v/>
      </c>
      <c r="W758" t="str">
        <f t="shared" si="118"/>
        <v/>
      </c>
      <c r="X758">
        <f>IF($T758="",N($X757),IF(MATCH($T758,$T$6:$T$10005,0)=ROW()-5,N($X757)+1,N($X757)))</f>
        <v>0</v>
      </c>
      <c r="Z758" t="str">
        <f t="shared" si="119"/>
        <v/>
      </c>
      <c r="AA758">
        <f>IF($V758="",N($AA757),IF(MATCH($V758,$V$6:$V$10005,0)=ROW()-5,N($AA757)+1,N($AA757)))</f>
        <v>0</v>
      </c>
    </row>
    <row r="759" spans="1:27" ht="21" customHeight="1" x14ac:dyDescent="0.95">
      <c r="A759" s="56"/>
      <c r="B759" s="57"/>
      <c r="C759" s="57"/>
      <c r="D759" s="57"/>
      <c r="E759" s="56"/>
      <c r="F759" s="57"/>
      <c r="G759" s="57"/>
      <c r="H759" s="56"/>
      <c r="I759" s="56"/>
      <c r="J759" s="58"/>
      <c r="K759" s="58"/>
      <c r="L759" s="13" t="str">
        <f t="shared" si="110"/>
        <v/>
      </c>
      <c r="M759" s="13" t="str">
        <f t="shared" si="111"/>
        <v/>
      </c>
      <c r="Q759" t="str">
        <f t="shared" si="112"/>
        <v/>
      </c>
      <c r="R759" t="str">
        <f t="shared" si="113"/>
        <v/>
      </c>
      <c r="S759" t="str">
        <f t="shared" si="114"/>
        <v/>
      </c>
      <c r="T759" t="str">
        <f t="shared" si="115"/>
        <v/>
      </c>
      <c r="U759" t="str">
        <f t="shared" si="116"/>
        <v/>
      </c>
      <c r="V759" t="str">
        <f t="shared" si="117"/>
        <v/>
      </c>
      <c r="W759" t="str">
        <f t="shared" si="118"/>
        <v/>
      </c>
      <c r="X759">
        <f>IF($T759="",N($X758),IF(MATCH($T759,$T$6:$T$10005,0)=ROW()-5,N($X758)+1,N($X758)))</f>
        <v>0</v>
      </c>
      <c r="Z759" t="str">
        <f t="shared" si="119"/>
        <v/>
      </c>
      <c r="AA759">
        <f>IF($V759="",N($AA758),IF(MATCH($V759,$V$6:$V$10005,0)=ROW()-5,N($AA758)+1,N($AA758)))</f>
        <v>0</v>
      </c>
    </row>
    <row r="760" spans="1:27" ht="21" customHeight="1" x14ac:dyDescent="0.95">
      <c r="A760" s="56"/>
      <c r="B760" s="57"/>
      <c r="C760" s="57"/>
      <c r="D760" s="57"/>
      <c r="E760" s="56"/>
      <c r="F760" s="57"/>
      <c r="G760" s="57"/>
      <c r="H760" s="56"/>
      <c r="I760" s="56"/>
      <c r="J760" s="58"/>
      <c r="K760" s="58"/>
      <c r="L760" s="13" t="str">
        <f t="shared" si="110"/>
        <v/>
      </c>
      <c r="M760" s="13" t="str">
        <f t="shared" si="111"/>
        <v/>
      </c>
      <c r="Q760" t="str">
        <f t="shared" si="112"/>
        <v/>
      </c>
      <c r="R760" t="str">
        <f t="shared" si="113"/>
        <v/>
      </c>
      <c r="S760" t="str">
        <f t="shared" si="114"/>
        <v/>
      </c>
      <c r="T760" t="str">
        <f t="shared" si="115"/>
        <v/>
      </c>
      <c r="U760" t="str">
        <f t="shared" si="116"/>
        <v/>
      </c>
      <c r="V760" t="str">
        <f t="shared" si="117"/>
        <v/>
      </c>
      <c r="W760" t="str">
        <f t="shared" si="118"/>
        <v/>
      </c>
      <c r="X760">
        <f>IF($T760="",N($X759),IF(MATCH($T760,$T$6:$T$10005,0)=ROW()-5,N($X759)+1,N($X759)))</f>
        <v>0</v>
      </c>
      <c r="Z760" t="str">
        <f t="shared" si="119"/>
        <v/>
      </c>
      <c r="AA760">
        <f>IF($V760="",N($AA759),IF(MATCH($V760,$V$6:$V$10005,0)=ROW()-5,N($AA759)+1,N($AA759)))</f>
        <v>0</v>
      </c>
    </row>
    <row r="761" spans="1:27" ht="21" customHeight="1" x14ac:dyDescent="0.95">
      <c r="A761" s="56"/>
      <c r="B761" s="57"/>
      <c r="C761" s="57"/>
      <c r="D761" s="57"/>
      <c r="E761" s="56"/>
      <c r="F761" s="57"/>
      <c r="G761" s="57"/>
      <c r="H761" s="56"/>
      <c r="I761" s="56"/>
      <c r="J761" s="58"/>
      <c r="K761" s="58"/>
      <c r="L761" s="13" t="str">
        <f t="shared" si="110"/>
        <v/>
      </c>
      <c r="M761" s="13" t="str">
        <f t="shared" si="111"/>
        <v/>
      </c>
      <c r="Q761" t="str">
        <f t="shared" si="112"/>
        <v/>
      </c>
      <c r="R761" t="str">
        <f t="shared" si="113"/>
        <v/>
      </c>
      <c r="S761" t="str">
        <f t="shared" si="114"/>
        <v/>
      </c>
      <c r="T761" t="str">
        <f t="shared" si="115"/>
        <v/>
      </c>
      <c r="U761" t="str">
        <f t="shared" si="116"/>
        <v/>
      </c>
      <c r="V761" t="str">
        <f t="shared" si="117"/>
        <v/>
      </c>
      <c r="W761" t="str">
        <f t="shared" si="118"/>
        <v/>
      </c>
      <c r="X761">
        <f>IF($T761="",N($X760),IF(MATCH($T761,$T$6:$T$10005,0)=ROW()-5,N($X760)+1,N($X760)))</f>
        <v>0</v>
      </c>
      <c r="Z761" t="str">
        <f t="shared" si="119"/>
        <v/>
      </c>
      <c r="AA761">
        <f>IF($V761="",N($AA760),IF(MATCH($V761,$V$6:$V$10005,0)=ROW()-5,N($AA760)+1,N($AA760)))</f>
        <v>0</v>
      </c>
    </row>
    <row r="762" spans="1:27" ht="21" customHeight="1" x14ac:dyDescent="0.95">
      <c r="A762" s="56"/>
      <c r="B762" s="57"/>
      <c r="C762" s="57"/>
      <c r="D762" s="57"/>
      <c r="E762" s="56"/>
      <c r="F762" s="57"/>
      <c r="G762" s="57"/>
      <c r="H762" s="56"/>
      <c r="I762" s="56"/>
      <c r="J762" s="58"/>
      <c r="K762" s="58"/>
      <c r="L762" s="13" t="str">
        <f t="shared" si="110"/>
        <v/>
      </c>
      <c r="M762" s="13" t="str">
        <f t="shared" si="111"/>
        <v/>
      </c>
      <c r="Q762" t="str">
        <f t="shared" si="112"/>
        <v/>
      </c>
      <c r="R762" t="str">
        <f t="shared" si="113"/>
        <v/>
      </c>
      <c r="S762" t="str">
        <f t="shared" si="114"/>
        <v/>
      </c>
      <c r="T762" t="str">
        <f t="shared" si="115"/>
        <v/>
      </c>
      <c r="U762" t="str">
        <f t="shared" si="116"/>
        <v/>
      </c>
      <c r="V762" t="str">
        <f t="shared" si="117"/>
        <v/>
      </c>
      <c r="W762" t="str">
        <f t="shared" si="118"/>
        <v/>
      </c>
      <c r="X762">
        <f>IF($T762="",N($X761),IF(MATCH($T762,$T$6:$T$10005,0)=ROW()-5,N($X761)+1,N($X761)))</f>
        <v>0</v>
      </c>
      <c r="Z762" t="str">
        <f t="shared" si="119"/>
        <v/>
      </c>
      <c r="AA762">
        <f>IF($V762="",N($AA761),IF(MATCH($V762,$V$6:$V$10005,0)=ROW()-5,N($AA761)+1,N($AA761)))</f>
        <v>0</v>
      </c>
    </row>
    <row r="763" spans="1:27" ht="21" customHeight="1" x14ac:dyDescent="0.95">
      <c r="A763" s="56"/>
      <c r="B763" s="57"/>
      <c r="C763" s="57"/>
      <c r="D763" s="57"/>
      <c r="E763" s="56"/>
      <c r="F763" s="57"/>
      <c r="G763" s="57"/>
      <c r="H763" s="56"/>
      <c r="I763" s="56"/>
      <c r="J763" s="58"/>
      <c r="K763" s="58"/>
      <c r="L763" s="13" t="str">
        <f t="shared" si="110"/>
        <v/>
      </c>
      <c r="M763" s="13" t="str">
        <f t="shared" si="111"/>
        <v/>
      </c>
      <c r="Q763" t="str">
        <f t="shared" si="112"/>
        <v/>
      </c>
      <c r="R763" t="str">
        <f t="shared" si="113"/>
        <v/>
      </c>
      <c r="S763" t="str">
        <f t="shared" si="114"/>
        <v/>
      </c>
      <c r="T763" t="str">
        <f t="shared" si="115"/>
        <v/>
      </c>
      <c r="U763" t="str">
        <f t="shared" si="116"/>
        <v/>
      </c>
      <c r="V763" t="str">
        <f t="shared" si="117"/>
        <v/>
      </c>
      <c r="W763" t="str">
        <f t="shared" si="118"/>
        <v/>
      </c>
      <c r="X763">
        <f>IF($T763="",N($X762),IF(MATCH($T763,$T$6:$T$10005,0)=ROW()-5,N($X762)+1,N($X762)))</f>
        <v>0</v>
      </c>
      <c r="Z763" t="str">
        <f t="shared" si="119"/>
        <v/>
      </c>
      <c r="AA763">
        <f>IF($V763="",N($AA762),IF(MATCH($V763,$V$6:$V$10005,0)=ROW()-5,N($AA762)+1,N($AA762)))</f>
        <v>0</v>
      </c>
    </row>
    <row r="764" spans="1:27" ht="21" customHeight="1" x14ac:dyDescent="0.95">
      <c r="A764" s="56"/>
      <c r="B764" s="57"/>
      <c r="C764" s="57"/>
      <c r="D764" s="57"/>
      <c r="E764" s="56"/>
      <c r="F764" s="57"/>
      <c r="G764" s="57"/>
      <c r="H764" s="56"/>
      <c r="I764" s="56"/>
      <c r="J764" s="58"/>
      <c r="K764" s="58"/>
      <c r="L764" s="13" t="str">
        <f t="shared" si="110"/>
        <v/>
      </c>
      <c r="M764" s="13" t="str">
        <f t="shared" si="111"/>
        <v/>
      </c>
      <c r="Q764" t="str">
        <f t="shared" si="112"/>
        <v/>
      </c>
      <c r="R764" t="str">
        <f t="shared" si="113"/>
        <v/>
      </c>
      <c r="S764" t="str">
        <f t="shared" si="114"/>
        <v/>
      </c>
      <c r="T764" t="str">
        <f t="shared" si="115"/>
        <v/>
      </c>
      <c r="U764" t="str">
        <f t="shared" si="116"/>
        <v/>
      </c>
      <c r="V764" t="str">
        <f t="shared" si="117"/>
        <v/>
      </c>
      <c r="W764" t="str">
        <f t="shared" si="118"/>
        <v/>
      </c>
      <c r="X764">
        <f>IF($T764="",N($X763),IF(MATCH($T764,$T$6:$T$10005,0)=ROW()-5,N($X763)+1,N($X763)))</f>
        <v>0</v>
      </c>
      <c r="Z764" t="str">
        <f t="shared" si="119"/>
        <v/>
      </c>
      <c r="AA764">
        <f>IF($V764="",N($AA763),IF(MATCH($V764,$V$6:$V$10005,0)=ROW()-5,N($AA763)+1,N($AA763)))</f>
        <v>0</v>
      </c>
    </row>
    <row r="765" spans="1:27" ht="21" customHeight="1" x14ac:dyDescent="0.95">
      <c r="A765" s="56"/>
      <c r="B765" s="57"/>
      <c r="C765" s="57"/>
      <c r="D765" s="57"/>
      <c r="E765" s="56"/>
      <c r="F765" s="57"/>
      <c r="G765" s="57"/>
      <c r="H765" s="56"/>
      <c r="I765" s="56"/>
      <c r="J765" s="58"/>
      <c r="K765" s="58"/>
      <c r="L765" s="13" t="str">
        <f t="shared" si="110"/>
        <v/>
      </c>
      <c r="M765" s="13" t="str">
        <f t="shared" si="111"/>
        <v/>
      </c>
      <c r="Q765" t="str">
        <f t="shared" si="112"/>
        <v/>
      </c>
      <c r="R765" t="str">
        <f t="shared" si="113"/>
        <v/>
      </c>
      <c r="S765" t="str">
        <f t="shared" si="114"/>
        <v/>
      </c>
      <c r="T765" t="str">
        <f t="shared" si="115"/>
        <v/>
      </c>
      <c r="U765" t="str">
        <f t="shared" si="116"/>
        <v/>
      </c>
      <c r="V765" t="str">
        <f t="shared" si="117"/>
        <v/>
      </c>
      <c r="W765" t="str">
        <f t="shared" si="118"/>
        <v/>
      </c>
      <c r="X765">
        <f>IF($T765="",N($X764),IF(MATCH($T765,$T$6:$T$10005,0)=ROW()-5,N($X764)+1,N($X764)))</f>
        <v>0</v>
      </c>
      <c r="Z765" t="str">
        <f t="shared" si="119"/>
        <v/>
      </c>
      <c r="AA765">
        <f>IF($V765="",N($AA764),IF(MATCH($V765,$V$6:$V$10005,0)=ROW()-5,N($AA764)+1,N($AA764)))</f>
        <v>0</v>
      </c>
    </row>
    <row r="766" spans="1:27" ht="21" customHeight="1" x14ac:dyDescent="0.95">
      <c r="A766" s="56"/>
      <c r="B766" s="57"/>
      <c r="C766" s="57"/>
      <c r="D766" s="57"/>
      <c r="E766" s="56"/>
      <c r="F766" s="57"/>
      <c r="G766" s="57"/>
      <c r="H766" s="56"/>
      <c r="I766" s="56"/>
      <c r="J766" s="58"/>
      <c r="K766" s="58"/>
      <c r="L766" s="13" t="str">
        <f t="shared" si="110"/>
        <v/>
      </c>
      <c r="M766" s="13" t="str">
        <f t="shared" si="111"/>
        <v/>
      </c>
      <c r="Q766" t="str">
        <f t="shared" si="112"/>
        <v/>
      </c>
      <c r="R766" t="str">
        <f t="shared" si="113"/>
        <v/>
      </c>
      <c r="S766" t="str">
        <f t="shared" si="114"/>
        <v/>
      </c>
      <c r="T766" t="str">
        <f t="shared" si="115"/>
        <v/>
      </c>
      <c r="U766" t="str">
        <f t="shared" si="116"/>
        <v/>
      </c>
      <c r="V766" t="str">
        <f t="shared" si="117"/>
        <v/>
      </c>
      <c r="W766" t="str">
        <f t="shared" si="118"/>
        <v/>
      </c>
      <c r="X766">
        <f>IF($T766="",N($X765),IF(MATCH($T766,$T$6:$T$10005,0)=ROW()-5,N($X765)+1,N($X765)))</f>
        <v>0</v>
      </c>
      <c r="Z766" t="str">
        <f t="shared" si="119"/>
        <v/>
      </c>
      <c r="AA766">
        <f>IF($V766="",N($AA765),IF(MATCH($V766,$V$6:$V$10005,0)=ROW()-5,N($AA765)+1,N($AA765)))</f>
        <v>0</v>
      </c>
    </row>
    <row r="767" spans="1:27" ht="21" customHeight="1" x14ac:dyDescent="0.95">
      <c r="A767" s="56"/>
      <c r="B767" s="57"/>
      <c r="C767" s="57"/>
      <c r="D767" s="57"/>
      <c r="E767" s="56"/>
      <c r="F767" s="57"/>
      <c r="G767" s="57"/>
      <c r="H767" s="56"/>
      <c r="I767" s="56"/>
      <c r="J767" s="58"/>
      <c r="K767" s="58"/>
      <c r="L767" s="13" t="str">
        <f t="shared" si="110"/>
        <v/>
      </c>
      <c r="M767" s="13" t="str">
        <f t="shared" si="111"/>
        <v/>
      </c>
      <c r="Q767" t="str">
        <f t="shared" si="112"/>
        <v/>
      </c>
      <c r="R767" t="str">
        <f t="shared" si="113"/>
        <v/>
      </c>
      <c r="S767" t="str">
        <f t="shared" si="114"/>
        <v/>
      </c>
      <c r="T767" t="str">
        <f t="shared" si="115"/>
        <v/>
      </c>
      <c r="U767" t="str">
        <f t="shared" si="116"/>
        <v/>
      </c>
      <c r="V767" t="str">
        <f t="shared" si="117"/>
        <v/>
      </c>
      <c r="W767" t="str">
        <f t="shared" si="118"/>
        <v/>
      </c>
      <c r="X767">
        <f>IF($T767="",N($X766),IF(MATCH($T767,$T$6:$T$10005,0)=ROW()-5,N($X766)+1,N($X766)))</f>
        <v>0</v>
      </c>
      <c r="Z767" t="str">
        <f t="shared" si="119"/>
        <v/>
      </c>
      <c r="AA767">
        <f>IF($V767="",N($AA766),IF(MATCH($V767,$V$6:$V$10005,0)=ROW()-5,N($AA766)+1,N($AA766)))</f>
        <v>0</v>
      </c>
    </row>
    <row r="768" spans="1:27" ht="21" customHeight="1" x14ac:dyDescent="0.95">
      <c r="A768" s="56"/>
      <c r="B768" s="57"/>
      <c r="C768" s="57"/>
      <c r="D768" s="57"/>
      <c r="E768" s="56"/>
      <c r="F768" s="57"/>
      <c r="G768" s="57"/>
      <c r="H768" s="56"/>
      <c r="I768" s="56"/>
      <c r="J768" s="58"/>
      <c r="K768" s="58"/>
      <c r="L768" s="13" t="str">
        <f t="shared" si="110"/>
        <v/>
      </c>
      <c r="M768" s="13" t="str">
        <f t="shared" si="111"/>
        <v/>
      </c>
      <c r="Q768" t="str">
        <f t="shared" si="112"/>
        <v/>
      </c>
      <c r="R768" t="str">
        <f t="shared" si="113"/>
        <v/>
      </c>
      <c r="S768" t="str">
        <f t="shared" si="114"/>
        <v/>
      </c>
      <c r="T768" t="str">
        <f t="shared" si="115"/>
        <v/>
      </c>
      <c r="U768" t="str">
        <f t="shared" si="116"/>
        <v/>
      </c>
      <c r="V768" t="str">
        <f t="shared" si="117"/>
        <v/>
      </c>
      <c r="W768" t="str">
        <f t="shared" si="118"/>
        <v/>
      </c>
      <c r="X768">
        <f>IF($T768="",N($X767),IF(MATCH($T768,$T$6:$T$10005,0)=ROW()-5,N($X767)+1,N($X767)))</f>
        <v>0</v>
      </c>
      <c r="Z768" t="str">
        <f t="shared" si="119"/>
        <v/>
      </c>
      <c r="AA768">
        <f>IF($V768="",N($AA767),IF(MATCH($V768,$V$6:$V$10005,0)=ROW()-5,N($AA767)+1,N($AA767)))</f>
        <v>0</v>
      </c>
    </row>
    <row r="769" spans="1:27" ht="21" customHeight="1" x14ac:dyDescent="0.95">
      <c r="A769" s="56"/>
      <c r="B769" s="57"/>
      <c r="C769" s="57"/>
      <c r="D769" s="57"/>
      <c r="E769" s="56"/>
      <c r="F769" s="57"/>
      <c r="G769" s="57"/>
      <c r="H769" s="56"/>
      <c r="I769" s="56"/>
      <c r="J769" s="58"/>
      <c r="K769" s="58"/>
      <c r="L769" s="13" t="str">
        <f t="shared" si="110"/>
        <v/>
      </c>
      <c r="M769" s="13" t="str">
        <f t="shared" si="111"/>
        <v/>
      </c>
      <c r="Q769" t="str">
        <f t="shared" si="112"/>
        <v/>
      </c>
      <c r="R769" t="str">
        <f t="shared" si="113"/>
        <v/>
      </c>
      <c r="S769" t="str">
        <f t="shared" si="114"/>
        <v/>
      </c>
      <c r="T769" t="str">
        <f t="shared" si="115"/>
        <v/>
      </c>
      <c r="U769" t="str">
        <f t="shared" si="116"/>
        <v/>
      </c>
      <c r="V769" t="str">
        <f t="shared" si="117"/>
        <v/>
      </c>
      <c r="W769" t="str">
        <f t="shared" si="118"/>
        <v/>
      </c>
      <c r="X769">
        <f>IF($T769="",N($X768),IF(MATCH($T769,$T$6:$T$10005,0)=ROW()-5,N($X768)+1,N($X768)))</f>
        <v>0</v>
      </c>
      <c r="Z769" t="str">
        <f t="shared" si="119"/>
        <v/>
      </c>
      <c r="AA769">
        <f>IF($V769="",N($AA768),IF(MATCH($V769,$V$6:$V$10005,0)=ROW()-5,N($AA768)+1,N($AA768)))</f>
        <v>0</v>
      </c>
    </row>
    <row r="770" spans="1:27" ht="21" customHeight="1" x14ac:dyDescent="0.95">
      <c r="A770" s="56"/>
      <c r="B770" s="57"/>
      <c r="C770" s="57"/>
      <c r="D770" s="57"/>
      <c r="E770" s="56"/>
      <c r="F770" s="57"/>
      <c r="G770" s="57"/>
      <c r="H770" s="56"/>
      <c r="I770" s="56"/>
      <c r="J770" s="58"/>
      <c r="K770" s="58"/>
      <c r="L770" s="13" t="str">
        <f t="shared" si="110"/>
        <v/>
      </c>
      <c r="M770" s="13" t="str">
        <f t="shared" si="111"/>
        <v/>
      </c>
      <c r="Q770" t="str">
        <f t="shared" si="112"/>
        <v/>
      </c>
      <c r="R770" t="str">
        <f t="shared" si="113"/>
        <v/>
      </c>
      <c r="S770" t="str">
        <f t="shared" si="114"/>
        <v/>
      </c>
      <c r="T770" t="str">
        <f t="shared" si="115"/>
        <v/>
      </c>
      <c r="U770" t="str">
        <f t="shared" si="116"/>
        <v/>
      </c>
      <c r="V770" t="str">
        <f t="shared" si="117"/>
        <v/>
      </c>
      <c r="W770" t="str">
        <f t="shared" si="118"/>
        <v/>
      </c>
      <c r="X770">
        <f>IF($T770="",N($X769),IF(MATCH($T770,$T$6:$T$10005,0)=ROW()-5,N($X769)+1,N($X769)))</f>
        <v>0</v>
      </c>
      <c r="Z770" t="str">
        <f t="shared" si="119"/>
        <v/>
      </c>
      <c r="AA770">
        <f>IF($V770="",N($AA769),IF(MATCH($V770,$V$6:$V$10005,0)=ROW()-5,N($AA769)+1,N($AA769)))</f>
        <v>0</v>
      </c>
    </row>
    <row r="771" spans="1:27" ht="21" customHeight="1" x14ac:dyDescent="0.95">
      <c r="A771" s="56"/>
      <c r="B771" s="57"/>
      <c r="C771" s="57"/>
      <c r="D771" s="57"/>
      <c r="E771" s="56"/>
      <c r="F771" s="57"/>
      <c r="G771" s="57"/>
      <c r="H771" s="56"/>
      <c r="I771" s="56"/>
      <c r="J771" s="58"/>
      <c r="K771" s="58"/>
      <c r="L771" s="13" t="str">
        <f t="shared" si="110"/>
        <v/>
      </c>
      <c r="M771" s="13" t="str">
        <f t="shared" si="111"/>
        <v/>
      </c>
      <c r="Q771" t="str">
        <f t="shared" si="112"/>
        <v/>
      </c>
      <c r="R771" t="str">
        <f t="shared" si="113"/>
        <v/>
      </c>
      <c r="S771" t="str">
        <f t="shared" si="114"/>
        <v/>
      </c>
      <c r="T771" t="str">
        <f t="shared" si="115"/>
        <v/>
      </c>
      <c r="U771" t="str">
        <f t="shared" si="116"/>
        <v/>
      </c>
      <c r="V771" t="str">
        <f t="shared" si="117"/>
        <v/>
      </c>
      <c r="W771" t="str">
        <f t="shared" si="118"/>
        <v/>
      </c>
      <c r="X771">
        <f>IF($T771="",N($X770),IF(MATCH($T771,$T$6:$T$10005,0)=ROW()-5,N($X770)+1,N($X770)))</f>
        <v>0</v>
      </c>
      <c r="Z771" t="str">
        <f t="shared" si="119"/>
        <v/>
      </c>
      <c r="AA771">
        <f>IF($V771="",N($AA770),IF(MATCH($V771,$V$6:$V$10005,0)=ROW()-5,N($AA770)+1,N($AA770)))</f>
        <v>0</v>
      </c>
    </row>
    <row r="772" spans="1:27" ht="21" customHeight="1" x14ac:dyDescent="0.95">
      <c r="A772" s="56"/>
      <c r="B772" s="57"/>
      <c r="C772" s="57"/>
      <c r="D772" s="57"/>
      <c r="E772" s="56"/>
      <c r="F772" s="57"/>
      <c r="G772" s="57"/>
      <c r="H772" s="56"/>
      <c r="I772" s="56"/>
      <c r="J772" s="58"/>
      <c r="K772" s="58"/>
      <c r="L772" s="13" t="str">
        <f t="shared" si="110"/>
        <v/>
      </c>
      <c r="M772" s="13" t="str">
        <f t="shared" si="111"/>
        <v/>
      </c>
      <c r="Q772" t="str">
        <f t="shared" si="112"/>
        <v/>
      </c>
      <c r="R772" t="str">
        <f t="shared" si="113"/>
        <v/>
      </c>
      <c r="S772" t="str">
        <f t="shared" si="114"/>
        <v/>
      </c>
      <c r="T772" t="str">
        <f t="shared" si="115"/>
        <v/>
      </c>
      <c r="U772" t="str">
        <f t="shared" si="116"/>
        <v/>
      </c>
      <c r="V772" t="str">
        <f t="shared" si="117"/>
        <v/>
      </c>
      <c r="W772" t="str">
        <f t="shared" si="118"/>
        <v/>
      </c>
      <c r="X772">
        <f>IF($T772="",N($X771),IF(MATCH($T772,$T$6:$T$10005,0)=ROW()-5,N($X771)+1,N($X771)))</f>
        <v>0</v>
      </c>
      <c r="Z772" t="str">
        <f t="shared" si="119"/>
        <v/>
      </c>
      <c r="AA772">
        <f>IF($V772="",N($AA771),IF(MATCH($V772,$V$6:$V$10005,0)=ROW()-5,N($AA771)+1,N($AA771)))</f>
        <v>0</v>
      </c>
    </row>
    <row r="773" spans="1:27" ht="21" customHeight="1" x14ac:dyDescent="0.95">
      <c r="A773" s="56"/>
      <c r="B773" s="57"/>
      <c r="C773" s="57"/>
      <c r="D773" s="57"/>
      <c r="E773" s="56"/>
      <c r="F773" s="57"/>
      <c r="G773" s="57"/>
      <c r="H773" s="56"/>
      <c r="I773" s="56"/>
      <c r="J773" s="58"/>
      <c r="K773" s="58"/>
      <c r="L773" s="13" t="str">
        <f t="shared" si="110"/>
        <v/>
      </c>
      <c r="M773" s="13" t="str">
        <f t="shared" si="111"/>
        <v/>
      </c>
      <c r="Q773" t="str">
        <f t="shared" si="112"/>
        <v/>
      </c>
      <c r="R773" t="str">
        <f t="shared" si="113"/>
        <v/>
      </c>
      <c r="S773" t="str">
        <f t="shared" si="114"/>
        <v/>
      </c>
      <c r="T773" t="str">
        <f t="shared" si="115"/>
        <v/>
      </c>
      <c r="U773" t="str">
        <f t="shared" si="116"/>
        <v/>
      </c>
      <c r="V773" t="str">
        <f t="shared" si="117"/>
        <v/>
      </c>
      <c r="W773" t="str">
        <f t="shared" si="118"/>
        <v/>
      </c>
      <c r="X773">
        <f>IF($T773="",N($X772),IF(MATCH($T773,$T$6:$T$10005,0)=ROW()-5,N($X772)+1,N($X772)))</f>
        <v>0</v>
      </c>
      <c r="Z773" t="str">
        <f t="shared" si="119"/>
        <v/>
      </c>
      <c r="AA773">
        <f>IF($V773="",N($AA772),IF(MATCH($V773,$V$6:$V$10005,0)=ROW()-5,N($AA772)+1,N($AA772)))</f>
        <v>0</v>
      </c>
    </row>
    <row r="774" spans="1:27" ht="21" customHeight="1" x14ac:dyDescent="0.95">
      <c r="A774" s="56"/>
      <c r="B774" s="57"/>
      <c r="C774" s="57"/>
      <c r="D774" s="57"/>
      <c r="E774" s="56"/>
      <c r="F774" s="57"/>
      <c r="G774" s="57"/>
      <c r="H774" s="56"/>
      <c r="I774" s="56"/>
      <c r="J774" s="58"/>
      <c r="K774" s="58"/>
      <c r="L774" s="13" t="str">
        <f t="shared" ref="L774:L837" si="120">IF(OR($A774="",AND($J774="",$K774="")),"",ROUND(N($J774)-N($K774),2))</f>
        <v/>
      </c>
      <c r="M774" s="13" t="str">
        <f t="shared" ref="M774:M837" si="121">IF(OR($A774="",AND($J774="",$K774="")),"",MIN($J774,$K774))</f>
        <v/>
      </c>
      <c r="Q774" t="str">
        <f t="shared" ref="Q774:Q837" si="122">IF($A774="","",$D774&amp;"("&amp;SUBSTITUTE($E774," ","")&amp;")")</f>
        <v/>
      </c>
      <c r="R774" t="str">
        <f t="shared" ref="R774:R837" si="123">IF($A774="","",$B774&amp;" - "&amp;$C774)</f>
        <v/>
      </c>
      <c r="S774" t="str">
        <f t="shared" ref="S774:S837" si="124">IF($A774="","",$R774&amp;"|"&amp;$Q774)</f>
        <v/>
      </c>
      <c r="T774" t="str">
        <f t="shared" ref="T774:T837" si="125">IF($A774="","",$S774&amp;"|"&amp;$F774)</f>
        <v/>
      </c>
      <c r="U774" t="str">
        <f t="shared" ref="U774:U837" si="126">IF($A774="","",$R774&amp;"("&amp;$E774&amp;")")</f>
        <v/>
      </c>
      <c r="V774" t="str">
        <f t="shared" ref="V774:V837" si="127">IF($A774="","",$F774&amp;"|"&amp;$U774&amp;"|"&amp;$D774)</f>
        <v/>
      </c>
      <c r="W774" t="str">
        <f t="shared" ref="W774:W837" si="128">IF($T774="","",IF($X774&gt;N($X773),$X774,""))</f>
        <v/>
      </c>
      <c r="X774">
        <f>IF($T774="",N($X773),IF(MATCH($T774,$T$6:$T$10005,0)=ROW()-5,N($X773)+1,N($X773)))</f>
        <v>0</v>
      </c>
      <c r="Z774" t="str">
        <f t="shared" ref="Z774:Z837" si="129">IF($V774="","",IF($AA774&gt;N($AA773),$AA774,""))</f>
        <v/>
      </c>
      <c r="AA774">
        <f>IF($V774="",N($AA773),IF(MATCH($V774,$V$6:$V$10005,0)=ROW()-5,N($AA773)+1,N($AA773)))</f>
        <v>0</v>
      </c>
    </row>
    <row r="775" spans="1:27" ht="21" customHeight="1" x14ac:dyDescent="0.95">
      <c r="A775" s="56"/>
      <c r="B775" s="57"/>
      <c r="C775" s="57"/>
      <c r="D775" s="57"/>
      <c r="E775" s="56"/>
      <c r="F775" s="57"/>
      <c r="G775" s="57"/>
      <c r="H775" s="56"/>
      <c r="I775" s="56"/>
      <c r="J775" s="58"/>
      <c r="K775" s="58"/>
      <c r="L775" s="13" t="str">
        <f t="shared" si="120"/>
        <v/>
      </c>
      <c r="M775" s="13" t="str">
        <f t="shared" si="121"/>
        <v/>
      </c>
      <c r="Q775" t="str">
        <f t="shared" si="122"/>
        <v/>
      </c>
      <c r="R775" t="str">
        <f t="shared" si="123"/>
        <v/>
      </c>
      <c r="S775" t="str">
        <f t="shared" si="124"/>
        <v/>
      </c>
      <c r="T775" t="str">
        <f t="shared" si="125"/>
        <v/>
      </c>
      <c r="U775" t="str">
        <f t="shared" si="126"/>
        <v/>
      </c>
      <c r="V775" t="str">
        <f t="shared" si="127"/>
        <v/>
      </c>
      <c r="W775" t="str">
        <f t="shared" si="128"/>
        <v/>
      </c>
      <c r="X775">
        <f>IF($T775="",N($X774),IF(MATCH($T775,$T$6:$T$10005,0)=ROW()-5,N($X774)+1,N($X774)))</f>
        <v>0</v>
      </c>
      <c r="Z775" t="str">
        <f t="shared" si="129"/>
        <v/>
      </c>
      <c r="AA775">
        <f>IF($V775="",N($AA774),IF(MATCH($V775,$V$6:$V$10005,0)=ROW()-5,N($AA774)+1,N($AA774)))</f>
        <v>0</v>
      </c>
    </row>
    <row r="776" spans="1:27" ht="21" customHeight="1" x14ac:dyDescent="0.95">
      <c r="A776" s="56"/>
      <c r="B776" s="57"/>
      <c r="C776" s="57"/>
      <c r="D776" s="57"/>
      <c r="E776" s="56"/>
      <c r="F776" s="57"/>
      <c r="G776" s="57"/>
      <c r="H776" s="56"/>
      <c r="I776" s="56"/>
      <c r="J776" s="58"/>
      <c r="K776" s="58"/>
      <c r="L776" s="13" t="str">
        <f t="shared" si="120"/>
        <v/>
      </c>
      <c r="M776" s="13" t="str">
        <f t="shared" si="121"/>
        <v/>
      </c>
      <c r="Q776" t="str">
        <f t="shared" si="122"/>
        <v/>
      </c>
      <c r="R776" t="str">
        <f t="shared" si="123"/>
        <v/>
      </c>
      <c r="S776" t="str">
        <f t="shared" si="124"/>
        <v/>
      </c>
      <c r="T776" t="str">
        <f t="shared" si="125"/>
        <v/>
      </c>
      <c r="U776" t="str">
        <f t="shared" si="126"/>
        <v/>
      </c>
      <c r="V776" t="str">
        <f t="shared" si="127"/>
        <v/>
      </c>
      <c r="W776" t="str">
        <f t="shared" si="128"/>
        <v/>
      </c>
      <c r="X776">
        <f>IF($T776="",N($X775),IF(MATCH($T776,$T$6:$T$10005,0)=ROW()-5,N($X775)+1,N($X775)))</f>
        <v>0</v>
      </c>
      <c r="Z776" t="str">
        <f t="shared" si="129"/>
        <v/>
      </c>
      <c r="AA776">
        <f>IF($V776="",N($AA775),IF(MATCH($V776,$V$6:$V$10005,0)=ROW()-5,N($AA775)+1,N($AA775)))</f>
        <v>0</v>
      </c>
    </row>
    <row r="777" spans="1:27" ht="21" customHeight="1" x14ac:dyDescent="0.95">
      <c r="A777" s="56"/>
      <c r="B777" s="57"/>
      <c r="C777" s="57"/>
      <c r="D777" s="57"/>
      <c r="E777" s="56"/>
      <c r="F777" s="57"/>
      <c r="G777" s="57"/>
      <c r="H777" s="56"/>
      <c r="I777" s="56"/>
      <c r="J777" s="58"/>
      <c r="K777" s="58"/>
      <c r="L777" s="13" t="str">
        <f t="shared" si="120"/>
        <v/>
      </c>
      <c r="M777" s="13" t="str">
        <f t="shared" si="121"/>
        <v/>
      </c>
      <c r="Q777" t="str">
        <f t="shared" si="122"/>
        <v/>
      </c>
      <c r="R777" t="str">
        <f t="shared" si="123"/>
        <v/>
      </c>
      <c r="S777" t="str">
        <f t="shared" si="124"/>
        <v/>
      </c>
      <c r="T777" t="str">
        <f t="shared" si="125"/>
        <v/>
      </c>
      <c r="U777" t="str">
        <f t="shared" si="126"/>
        <v/>
      </c>
      <c r="V777" t="str">
        <f t="shared" si="127"/>
        <v/>
      </c>
      <c r="W777" t="str">
        <f t="shared" si="128"/>
        <v/>
      </c>
      <c r="X777">
        <f>IF($T777="",N($X776),IF(MATCH($T777,$T$6:$T$10005,0)=ROW()-5,N($X776)+1,N($X776)))</f>
        <v>0</v>
      </c>
      <c r="Z777" t="str">
        <f t="shared" si="129"/>
        <v/>
      </c>
      <c r="AA777">
        <f>IF($V777="",N($AA776),IF(MATCH($V777,$V$6:$V$10005,0)=ROW()-5,N($AA776)+1,N($AA776)))</f>
        <v>0</v>
      </c>
    </row>
    <row r="778" spans="1:27" ht="21" customHeight="1" x14ac:dyDescent="0.95">
      <c r="A778" s="56"/>
      <c r="B778" s="57"/>
      <c r="C778" s="57"/>
      <c r="D778" s="57"/>
      <c r="E778" s="56"/>
      <c r="F778" s="57"/>
      <c r="G778" s="57"/>
      <c r="H778" s="56"/>
      <c r="I778" s="56"/>
      <c r="J778" s="58"/>
      <c r="K778" s="58"/>
      <c r="L778" s="13" t="str">
        <f t="shared" si="120"/>
        <v/>
      </c>
      <c r="M778" s="13" t="str">
        <f t="shared" si="121"/>
        <v/>
      </c>
      <c r="Q778" t="str">
        <f t="shared" si="122"/>
        <v/>
      </c>
      <c r="R778" t="str">
        <f t="shared" si="123"/>
        <v/>
      </c>
      <c r="S778" t="str">
        <f t="shared" si="124"/>
        <v/>
      </c>
      <c r="T778" t="str">
        <f t="shared" si="125"/>
        <v/>
      </c>
      <c r="U778" t="str">
        <f t="shared" si="126"/>
        <v/>
      </c>
      <c r="V778" t="str">
        <f t="shared" si="127"/>
        <v/>
      </c>
      <c r="W778" t="str">
        <f t="shared" si="128"/>
        <v/>
      </c>
      <c r="X778">
        <f>IF($T778="",N($X777),IF(MATCH($T778,$T$6:$T$10005,0)=ROW()-5,N($X777)+1,N($X777)))</f>
        <v>0</v>
      </c>
      <c r="Z778" t="str">
        <f t="shared" si="129"/>
        <v/>
      </c>
      <c r="AA778">
        <f>IF($V778="",N($AA777),IF(MATCH($V778,$V$6:$V$10005,0)=ROW()-5,N($AA777)+1,N($AA777)))</f>
        <v>0</v>
      </c>
    </row>
    <row r="779" spans="1:27" ht="21" customHeight="1" x14ac:dyDescent="0.95">
      <c r="A779" s="56"/>
      <c r="B779" s="57"/>
      <c r="C779" s="57"/>
      <c r="D779" s="57"/>
      <c r="E779" s="56"/>
      <c r="F779" s="57"/>
      <c r="G779" s="57"/>
      <c r="H779" s="56"/>
      <c r="I779" s="56"/>
      <c r="J779" s="58"/>
      <c r="K779" s="58"/>
      <c r="L779" s="13" t="str">
        <f t="shared" si="120"/>
        <v/>
      </c>
      <c r="M779" s="13" t="str">
        <f t="shared" si="121"/>
        <v/>
      </c>
      <c r="Q779" t="str">
        <f t="shared" si="122"/>
        <v/>
      </c>
      <c r="R779" t="str">
        <f t="shared" si="123"/>
        <v/>
      </c>
      <c r="S779" t="str">
        <f t="shared" si="124"/>
        <v/>
      </c>
      <c r="T779" t="str">
        <f t="shared" si="125"/>
        <v/>
      </c>
      <c r="U779" t="str">
        <f t="shared" si="126"/>
        <v/>
      </c>
      <c r="V779" t="str">
        <f t="shared" si="127"/>
        <v/>
      </c>
      <c r="W779" t="str">
        <f t="shared" si="128"/>
        <v/>
      </c>
      <c r="X779">
        <f>IF($T779="",N($X778),IF(MATCH($T779,$T$6:$T$10005,0)=ROW()-5,N($X778)+1,N($X778)))</f>
        <v>0</v>
      </c>
      <c r="Z779" t="str">
        <f t="shared" si="129"/>
        <v/>
      </c>
      <c r="AA779">
        <f>IF($V779="",N($AA778),IF(MATCH($V779,$V$6:$V$10005,0)=ROW()-5,N($AA778)+1,N($AA778)))</f>
        <v>0</v>
      </c>
    </row>
    <row r="780" spans="1:27" ht="21" customHeight="1" x14ac:dyDescent="0.95">
      <c r="A780" s="56"/>
      <c r="B780" s="57"/>
      <c r="C780" s="57"/>
      <c r="D780" s="57"/>
      <c r="E780" s="56"/>
      <c r="F780" s="57"/>
      <c r="G780" s="57"/>
      <c r="H780" s="56"/>
      <c r="I780" s="56"/>
      <c r="J780" s="58"/>
      <c r="K780" s="58"/>
      <c r="L780" s="13" t="str">
        <f t="shared" si="120"/>
        <v/>
      </c>
      <c r="M780" s="13" t="str">
        <f t="shared" si="121"/>
        <v/>
      </c>
      <c r="Q780" t="str">
        <f t="shared" si="122"/>
        <v/>
      </c>
      <c r="R780" t="str">
        <f t="shared" si="123"/>
        <v/>
      </c>
      <c r="S780" t="str">
        <f t="shared" si="124"/>
        <v/>
      </c>
      <c r="T780" t="str">
        <f t="shared" si="125"/>
        <v/>
      </c>
      <c r="U780" t="str">
        <f t="shared" si="126"/>
        <v/>
      </c>
      <c r="V780" t="str">
        <f t="shared" si="127"/>
        <v/>
      </c>
      <c r="W780" t="str">
        <f t="shared" si="128"/>
        <v/>
      </c>
      <c r="X780">
        <f>IF($T780="",N($X779),IF(MATCH($T780,$T$6:$T$10005,0)=ROW()-5,N($X779)+1,N($X779)))</f>
        <v>0</v>
      </c>
      <c r="Z780" t="str">
        <f t="shared" si="129"/>
        <v/>
      </c>
      <c r="AA780">
        <f>IF($V780="",N($AA779),IF(MATCH($V780,$V$6:$V$10005,0)=ROW()-5,N($AA779)+1,N($AA779)))</f>
        <v>0</v>
      </c>
    </row>
    <row r="781" spans="1:27" ht="21" customHeight="1" x14ac:dyDescent="0.95">
      <c r="A781" s="56"/>
      <c r="B781" s="57"/>
      <c r="C781" s="57"/>
      <c r="D781" s="57"/>
      <c r="E781" s="56"/>
      <c r="F781" s="57"/>
      <c r="G781" s="57"/>
      <c r="H781" s="56"/>
      <c r="I781" s="56"/>
      <c r="J781" s="58"/>
      <c r="K781" s="58"/>
      <c r="L781" s="13" t="str">
        <f t="shared" si="120"/>
        <v/>
      </c>
      <c r="M781" s="13" t="str">
        <f t="shared" si="121"/>
        <v/>
      </c>
      <c r="Q781" t="str">
        <f t="shared" si="122"/>
        <v/>
      </c>
      <c r="R781" t="str">
        <f t="shared" si="123"/>
        <v/>
      </c>
      <c r="S781" t="str">
        <f t="shared" si="124"/>
        <v/>
      </c>
      <c r="T781" t="str">
        <f t="shared" si="125"/>
        <v/>
      </c>
      <c r="U781" t="str">
        <f t="shared" si="126"/>
        <v/>
      </c>
      <c r="V781" t="str">
        <f t="shared" si="127"/>
        <v/>
      </c>
      <c r="W781" t="str">
        <f t="shared" si="128"/>
        <v/>
      </c>
      <c r="X781">
        <f>IF($T781="",N($X780),IF(MATCH($T781,$T$6:$T$10005,0)=ROW()-5,N($X780)+1,N($X780)))</f>
        <v>0</v>
      </c>
      <c r="Z781" t="str">
        <f t="shared" si="129"/>
        <v/>
      </c>
      <c r="AA781">
        <f>IF($V781="",N($AA780),IF(MATCH($V781,$V$6:$V$10005,0)=ROW()-5,N($AA780)+1,N($AA780)))</f>
        <v>0</v>
      </c>
    </row>
    <row r="782" spans="1:27" ht="21" customHeight="1" x14ac:dyDescent="0.95">
      <c r="A782" s="56"/>
      <c r="B782" s="57"/>
      <c r="C782" s="57"/>
      <c r="D782" s="57"/>
      <c r="E782" s="56"/>
      <c r="F782" s="57"/>
      <c r="G782" s="57"/>
      <c r="H782" s="56"/>
      <c r="I782" s="56"/>
      <c r="J782" s="58"/>
      <c r="K782" s="58"/>
      <c r="L782" s="13" t="str">
        <f t="shared" si="120"/>
        <v/>
      </c>
      <c r="M782" s="13" t="str">
        <f t="shared" si="121"/>
        <v/>
      </c>
      <c r="Q782" t="str">
        <f t="shared" si="122"/>
        <v/>
      </c>
      <c r="R782" t="str">
        <f t="shared" si="123"/>
        <v/>
      </c>
      <c r="S782" t="str">
        <f t="shared" si="124"/>
        <v/>
      </c>
      <c r="T782" t="str">
        <f t="shared" si="125"/>
        <v/>
      </c>
      <c r="U782" t="str">
        <f t="shared" si="126"/>
        <v/>
      </c>
      <c r="V782" t="str">
        <f t="shared" si="127"/>
        <v/>
      </c>
      <c r="W782" t="str">
        <f t="shared" si="128"/>
        <v/>
      </c>
      <c r="X782">
        <f>IF($T782="",N($X781),IF(MATCH($T782,$T$6:$T$10005,0)=ROW()-5,N($X781)+1,N($X781)))</f>
        <v>0</v>
      </c>
      <c r="Z782" t="str">
        <f t="shared" si="129"/>
        <v/>
      </c>
      <c r="AA782">
        <f>IF($V782="",N($AA781),IF(MATCH($V782,$V$6:$V$10005,0)=ROW()-5,N($AA781)+1,N($AA781)))</f>
        <v>0</v>
      </c>
    </row>
    <row r="783" spans="1:27" ht="21" customHeight="1" x14ac:dyDescent="0.95">
      <c r="A783" s="56"/>
      <c r="B783" s="57"/>
      <c r="C783" s="57"/>
      <c r="D783" s="57"/>
      <c r="E783" s="56"/>
      <c r="F783" s="57"/>
      <c r="G783" s="57"/>
      <c r="H783" s="56"/>
      <c r="I783" s="56"/>
      <c r="J783" s="58"/>
      <c r="K783" s="58"/>
      <c r="L783" s="13" t="str">
        <f t="shared" si="120"/>
        <v/>
      </c>
      <c r="M783" s="13" t="str">
        <f t="shared" si="121"/>
        <v/>
      </c>
      <c r="Q783" t="str">
        <f t="shared" si="122"/>
        <v/>
      </c>
      <c r="R783" t="str">
        <f t="shared" si="123"/>
        <v/>
      </c>
      <c r="S783" t="str">
        <f t="shared" si="124"/>
        <v/>
      </c>
      <c r="T783" t="str">
        <f t="shared" si="125"/>
        <v/>
      </c>
      <c r="U783" t="str">
        <f t="shared" si="126"/>
        <v/>
      </c>
      <c r="V783" t="str">
        <f t="shared" si="127"/>
        <v/>
      </c>
      <c r="W783" t="str">
        <f t="shared" si="128"/>
        <v/>
      </c>
      <c r="X783">
        <f>IF($T783="",N($X782),IF(MATCH($T783,$T$6:$T$10005,0)=ROW()-5,N($X782)+1,N($X782)))</f>
        <v>0</v>
      </c>
      <c r="Z783" t="str">
        <f t="shared" si="129"/>
        <v/>
      </c>
      <c r="AA783">
        <f>IF($V783="",N($AA782),IF(MATCH($V783,$V$6:$V$10005,0)=ROW()-5,N($AA782)+1,N($AA782)))</f>
        <v>0</v>
      </c>
    </row>
    <row r="784" spans="1:27" ht="21" customHeight="1" x14ac:dyDescent="0.95">
      <c r="A784" s="56"/>
      <c r="B784" s="57"/>
      <c r="C784" s="57"/>
      <c r="D784" s="57"/>
      <c r="E784" s="56"/>
      <c r="F784" s="57"/>
      <c r="G784" s="57"/>
      <c r="H784" s="56"/>
      <c r="I784" s="56"/>
      <c r="J784" s="58"/>
      <c r="K784" s="58"/>
      <c r="L784" s="13" t="str">
        <f t="shared" si="120"/>
        <v/>
      </c>
      <c r="M784" s="13" t="str">
        <f t="shared" si="121"/>
        <v/>
      </c>
      <c r="Q784" t="str">
        <f t="shared" si="122"/>
        <v/>
      </c>
      <c r="R784" t="str">
        <f t="shared" si="123"/>
        <v/>
      </c>
      <c r="S784" t="str">
        <f t="shared" si="124"/>
        <v/>
      </c>
      <c r="T784" t="str">
        <f t="shared" si="125"/>
        <v/>
      </c>
      <c r="U784" t="str">
        <f t="shared" si="126"/>
        <v/>
      </c>
      <c r="V784" t="str">
        <f t="shared" si="127"/>
        <v/>
      </c>
      <c r="W784" t="str">
        <f t="shared" si="128"/>
        <v/>
      </c>
      <c r="X784">
        <f>IF($T784="",N($X783),IF(MATCH($T784,$T$6:$T$10005,0)=ROW()-5,N($X783)+1,N($X783)))</f>
        <v>0</v>
      </c>
      <c r="Z784" t="str">
        <f t="shared" si="129"/>
        <v/>
      </c>
      <c r="AA784">
        <f>IF($V784="",N($AA783),IF(MATCH($V784,$V$6:$V$10005,0)=ROW()-5,N($AA783)+1,N($AA783)))</f>
        <v>0</v>
      </c>
    </row>
    <row r="785" spans="1:27" ht="21" customHeight="1" x14ac:dyDescent="0.95">
      <c r="A785" s="56"/>
      <c r="B785" s="57"/>
      <c r="C785" s="57"/>
      <c r="D785" s="57"/>
      <c r="E785" s="56"/>
      <c r="F785" s="57"/>
      <c r="G785" s="57"/>
      <c r="H785" s="56"/>
      <c r="I785" s="56"/>
      <c r="J785" s="58"/>
      <c r="K785" s="58"/>
      <c r="L785" s="13" t="str">
        <f t="shared" si="120"/>
        <v/>
      </c>
      <c r="M785" s="13" t="str">
        <f t="shared" si="121"/>
        <v/>
      </c>
      <c r="Q785" t="str">
        <f t="shared" si="122"/>
        <v/>
      </c>
      <c r="R785" t="str">
        <f t="shared" si="123"/>
        <v/>
      </c>
      <c r="S785" t="str">
        <f t="shared" si="124"/>
        <v/>
      </c>
      <c r="T785" t="str">
        <f t="shared" si="125"/>
        <v/>
      </c>
      <c r="U785" t="str">
        <f t="shared" si="126"/>
        <v/>
      </c>
      <c r="V785" t="str">
        <f t="shared" si="127"/>
        <v/>
      </c>
      <c r="W785" t="str">
        <f t="shared" si="128"/>
        <v/>
      </c>
      <c r="X785">
        <f>IF($T785="",N($X784),IF(MATCH($T785,$T$6:$T$10005,0)=ROW()-5,N($X784)+1,N($X784)))</f>
        <v>0</v>
      </c>
      <c r="Z785" t="str">
        <f t="shared" si="129"/>
        <v/>
      </c>
      <c r="AA785">
        <f>IF($V785="",N($AA784),IF(MATCH($V785,$V$6:$V$10005,0)=ROW()-5,N($AA784)+1,N($AA784)))</f>
        <v>0</v>
      </c>
    </row>
    <row r="786" spans="1:27" ht="21" customHeight="1" x14ac:dyDescent="0.95">
      <c r="A786" s="56"/>
      <c r="B786" s="57"/>
      <c r="C786" s="57"/>
      <c r="D786" s="57"/>
      <c r="E786" s="56"/>
      <c r="F786" s="57"/>
      <c r="G786" s="57"/>
      <c r="H786" s="56"/>
      <c r="I786" s="56"/>
      <c r="J786" s="58"/>
      <c r="K786" s="58"/>
      <c r="L786" s="13" t="str">
        <f t="shared" si="120"/>
        <v/>
      </c>
      <c r="M786" s="13" t="str">
        <f t="shared" si="121"/>
        <v/>
      </c>
      <c r="Q786" t="str">
        <f t="shared" si="122"/>
        <v/>
      </c>
      <c r="R786" t="str">
        <f t="shared" si="123"/>
        <v/>
      </c>
      <c r="S786" t="str">
        <f t="shared" si="124"/>
        <v/>
      </c>
      <c r="T786" t="str">
        <f t="shared" si="125"/>
        <v/>
      </c>
      <c r="U786" t="str">
        <f t="shared" si="126"/>
        <v/>
      </c>
      <c r="V786" t="str">
        <f t="shared" si="127"/>
        <v/>
      </c>
      <c r="W786" t="str">
        <f t="shared" si="128"/>
        <v/>
      </c>
      <c r="X786">
        <f>IF($T786="",N($X785),IF(MATCH($T786,$T$6:$T$10005,0)=ROW()-5,N($X785)+1,N($X785)))</f>
        <v>0</v>
      </c>
      <c r="Z786" t="str">
        <f t="shared" si="129"/>
        <v/>
      </c>
      <c r="AA786">
        <f>IF($V786="",N($AA785),IF(MATCH($V786,$V$6:$V$10005,0)=ROW()-5,N($AA785)+1,N($AA785)))</f>
        <v>0</v>
      </c>
    </row>
    <row r="787" spans="1:27" ht="21" customHeight="1" x14ac:dyDescent="0.95">
      <c r="A787" s="56"/>
      <c r="B787" s="57"/>
      <c r="C787" s="57"/>
      <c r="D787" s="57"/>
      <c r="E787" s="56"/>
      <c r="F787" s="57"/>
      <c r="G787" s="57"/>
      <c r="H787" s="56"/>
      <c r="I787" s="56"/>
      <c r="J787" s="58"/>
      <c r="K787" s="58"/>
      <c r="L787" s="13" t="str">
        <f t="shared" si="120"/>
        <v/>
      </c>
      <c r="M787" s="13" t="str">
        <f t="shared" si="121"/>
        <v/>
      </c>
      <c r="Q787" t="str">
        <f t="shared" si="122"/>
        <v/>
      </c>
      <c r="R787" t="str">
        <f t="shared" si="123"/>
        <v/>
      </c>
      <c r="S787" t="str">
        <f t="shared" si="124"/>
        <v/>
      </c>
      <c r="T787" t="str">
        <f t="shared" si="125"/>
        <v/>
      </c>
      <c r="U787" t="str">
        <f t="shared" si="126"/>
        <v/>
      </c>
      <c r="V787" t="str">
        <f t="shared" si="127"/>
        <v/>
      </c>
      <c r="W787" t="str">
        <f t="shared" si="128"/>
        <v/>
      </c>
      <c r="X787">
        <f>IF($T787="",N($X786),IF(MATCH($T787,$T$6:$T$10005,0)=ROW()-5,N($X786)+1,N($X786)))</f>
        <v>0</v>
      </c>
      <c r="Z787" t="str">
        <f t="shared" si="129"/>
        <v/>
      </c>
      <c r="AA787">
        <f>IF($V787="",N($AA786),IF(MATCH($V787,$V$6:$V$10005,0)=ROW()-5,N($AA786)+1,N($AA786)))</f>
        <v>0</v>
      </c>
    </row>
    <row r="788" spans="1:27" ht="21" customHeight="1" x14ac:dyDescent="0.95">
      <c r="A788" s="56"/>
      <c r="B788" s="57"/>
      <c r="C788" s="57"/>
      <c r="D788" s="57"/>
      <c r="E788" s="56"/>
      <c r="F788" s="57"/>
      <c r="G788" s="57"/>
      <c r="H788" s="56"/>
      <c r="I788" s="56"/>
      <c r="J788" s="58"/>
      <c r="K788" s="58"/>
      <c r="L788" s="13" t="str">
        <f t="shared" si="120"/>
        <v/>
      </c>
      <c r="M788" s="13" t="str">
        <f t="shared" si="121"/>
        <v/>
      </c>
      <c r="Q788" t="str">
        <f t="shared" si="122"/>
        <v/>
      </c>
      <c r="R788" t="str">
        <f t="shared" si="123"/>
        <v/>
      </c>
      <c r="S788" t="str">
        <f t="shared" si="124"/>
        <v/>
      </c>
      <c r="T788" t="str">
        <f t="shared" si="125"/>
        <v/>
      </c>
      <c r="U788" t="str">
        <f t="shared" si="126"/>
        <v/>
      </c>
      <c r="V788" t="str">
        <f t="shared" si="127"/>
        <v/>
      </c>
      <c r="W788" t="str">
        <f t="shared" si="128"/>
        <v/>
      </c>
      <c r="X788">
        <f>IF($T788="",N($X787),IF(MATCH($T788,$T$6:$T$10005,0)=ROW()-5,N($X787)+1,N($X787)))</f>
        <v>0</v>
      </c>
      <c r="Z788" t="str">
        <f t="shared" si="129"/>
        <v/>
      </c>
      <c r="AA788">
        <f>IF($V788="",N($AA787),IF(MATCH($V788,$V$6:$V$10005,0)=ROW()-5,N($AA787)+1,N($AA787)))</f>
        <v>0</v>
      </c>
    </row>
    <row r="789" spans="1:27" ht="21" customHeight="1" x14ac:dyDescent="0.95">
      <c r="A789" s="56"/>
      <c r="B789" s="57"/>
      <c r="C789" s="57"/>
      <c r="D789" s="57"/>
      <c r="E789" s="56"/>
      <c r="F789" s="57"/>
      <c r="G789" s="57"/>
      <c r="H789" s="56"/>
      <c r="I789" s="56"/>
      <c r="J789" s="58"/>
      <c r="K789" s="58"/>
      <c r="L789" s="13" t="str">
        <f t="shared" si="120"/>
        <v/>
      </c>
      <c r="M789" s="13" t="str">
        <f t="shared" si="121"/>
        <v/>
      </c>
      <c r="Q789" t="str">
        <f t="shared" si="122"/>
        <v/>
      </c>
      <c r="R789" t="str">
        <f t="shared" si="123"/>
        <v/>
      </c>
      <c r="S789" t="str">
        <f t="shared" si="124"/>
        <v/>
      </c>
      <c r="T789" t="str">
        <f t="shared" si="125"/>
        <v/>
      </c>
      <c r="U789" t="str">
        <f t="shared" si="126"/>
        <v/>
      </c>
      <c r="V789" t="str">
        <f t="shared" si="127"/>
        <v/>
      </c>
      <c r="W789" t="str">
        <f t="shared" si="128"/>
        <v/>
      </c>
      <c r="X789">
        <f>IF($T789="",N($X788),IF(MATCH($T789,$T$6:$T$10005,0)=ROW()-5,N($X788)+1,N($X788)))</f>
        <v>0</v>
      </c>
      <c r="Z789" t="str">
        <f t="shared" si="129"/>
        <v/>
      </c>
      <c r="AA789">
        <f>IF($V789="",N($AA788),IF(MATCH($V789,$V$6:$V$10005,0)=ROW()-5,N($AA788)+1,N($AA788)))</f>
        <v>0</v>
      </c>
    </row>
    <row r="790" spans="1:27" ht="21" customHeight="1" x14ac:dyDescent="0.95">
      <c r="A790" s="56"/>
      <c r="B790" s="57"/>
      <c r="C790" s="57"/>
      <c r="D790" s="57"/>
      <c r="E790" s="56"/>
      <c r="F790" s="57"/>
      <c r="G790" s="57"/>
      <c r="H790" s="56"/>
      <c r="I790" s="56"/>
      <c r="J790" s="58"/>
      <c r="K790" s="58"/>
      <c r="L790" s="13" t="str">
        <f t="shared" si="120"/>
        <v/>
      </c>
      <c r="M790" s="13" t="str">
        <f t="shared" si="121"/>
        <v/>
      </c>
      <c r="Q790" t="str">
        <f t="shared" si="122"/>
        <v/>
      </c>
      <c r="R790" t="str">
        <f t="shared" si="123"/>
        <v/>
      </c>
      <c r="S790" t="str">
        <f t="shared" si="124"/>
        <v/>
      </c>
      <c r="T790" t="str">
        <f t="shared" si="125"/>
        <v/>
      </c>
      <c r="U790" t="str">
        <f t="shared" si="126"/>
        <v/>
      </c>
      <c r="V790" t="str">
        <f t="shared" si="127"/>
        <v/>
      </c>
      <c r="W790" t="str">
        <f t="shared" si="128"/>
        <v/>
      </c>
      <c r="X790">
        <f>IF($T790="",N($X789),IF(MATCH($T790,$T$6:$T$10005,0)=ROW()-5,N($X789)+1,N($X789)))</f>
        <v>0</v>
      </c>
      <c r="Z790" t="str">
        <f t="shared" si="129"/>
        <v/>
      </c>
      <c r="AA790">
        <f>IF($V790="",N($AA789),IF(MATCH($V790,$V$6:$V$10005,0)=ROW()-5,N($AA789)+1,N($AA789)))</f>
        <v>0</v>
      </c>
    </row>
    <row r="791" spans="1:27" ht="21" customHeight="1" x14ac:dyDescent="0.95">
      <c r="A791" s="56"/>
      <c r="B791" s="57"/>
      <c r="C791" s="57"/>
      <c r="D791" s="57"/>
      <c r="E791" s="56"/>
      <c r="F791" s="57"/>
      <c r="G791" s="57"/>
      <c r="H791" s="56"/>
      <c r="I791" s="56"/>
      <c r="J791" s="58"/>
      <c r="K791" s="58"/>
      <c r="L791" s="13" t="str">
        <f t="shared" si="120"/>
        <v/>
      </c>
      <c r="M791" s="13" t="str">
        <f t="shared" si="121"/>
        <v/>
      </c>
      <c r="Q791" t="str">
        <f t="shared" si="122"/>
        <v/>
      </c>
      <c r="R791" t="str">
        <f t="shared" si="123"/>
        <v/>
      </c>
      <c r="S791" t="str">
        <f t="shared" si="124"/>
        <v/>
      </c>
      <c r="T791" t="str">
        <f t="shared" si="125"/>
        <v/>
      </c>
      <c r="U791" t="str">
        <f t="shared" si="126"/>
        <v/>
      </c>
      <c r="V791" t="str">
        <f t="shared" si="127"/>
        <v/>
      </c>
      <c r="W791" t="str">
        <f t="shared" si="128"/>
        <v/>
      </c>
      <c r="X791">
        <f>IF($T791="",N($X790),IF(MATCH($T791,$T$6:$T$10005,0)=ROW()-5,N($X790)+1,N($X790)))</f>
        <v>0</v>
      </c>
      <c r="Z791" t="str">
        <f t="shared" si="129"/>
        <v/>
      </c>
      <c r="AA791">
        <f>IF($V791="",N($AA790),IF(MATCH($V791,$V$6:$V$10005,0)=ROW()-5,N($AA790)+1,N($AA790)))</f>
        <v>0</v>
      </c>
    </row>
    <row r="792" spans="1:27" ht="21" customHeight="1" x14ac:dyDescent="0.95">
      <c r="A792" s="56"/>
      <c r="B792" s="57"/>
      <c r="C792" s="57"/>
      <c r="D792" s="57"/>
      <c r="E792" s="56"/>
      <c r="F792" s="57"/>
      <c r="G792" s="57"/>
      <c r="H792" s="56"/>
      <c r="I792" s="56"/>
      <c r="J792" s="58"/>
      <c r="K792" s="58"/>
      <c r="L792" s="13" t="str">
        <f t="shared" si="120"/>
        <v/>
      </c>
      <c r="M792" s="13" t="str">
        <f t="shared" si="121"/>
        <v/>
      </c>
      <c r="Q792" t="str">
        <f t="shared" si="122"/>
        <v/>
      </c>
      <c r="R792" t="str">
        <f t="shared" si="123"/>
        <v/>
      </c>
      <c r="S792" t="str">
        <f t="shared" si="124"/>
        <v/>
      </c>
      <c r="T792" t="str">
        <f t="shared" si="125"/>
        <v/>
      </c>
      <c r="U792" t="str">
        <f t="shared" si="126"/>
        <v/>
      </c>
      <c r="V792" t="str">
        <f t="shared" si="127"/>
        <v/>
      </c>
      <c r="W792" t="str">
        <f t="shared" si="128"/>
        <v/>
      </c>
      <c r="X792">
        <f>IF($T792="",N($X791),IF(MATCH($T792,$T$6:$T$10005,0)=ROW()-5,N($X791)+1,N($X791)))</f>
        <v>0</v>
      </c>
      <c r="Z792" t="str">
        <f t="shared" si="129"/>
        <v/>
      </c>
      <c r="AA792">
        <f>IF($V792="",N($AA791),IF(MATCH($V792,$V$6:$V$10005,0)=ROW()-5,N($AA791)+1,N($AA791)))</f>
        <v>0</v>
      </c>
    </row>
    <row r="793" spans="1:27" ht="21" customHeight="1" x14ac:dyDescent="0.95">
      <c r="A793" s="56"/>
      <c r="B793" s="57"/>
      <c r="C793" s="57"/>
      <c r="D793" s="57"/>
      <c r="E793" s="56"/>
      <c r="F793" s="57"/>
      <c r="G793" s="57"/>
      <c r="H793" s="56"/>
      <c r="I793" s="56"/>
      <c r="J793" s="58"/>
      <c r="K793" s="58"/>
      <c r="L793" s="13" t="str">
        <f t="shared" si="120"/>
        <v/>
      </c>
      <c r="M793" s="13" t="str">
        <f t="shared" si="121"/>
        <v/>
      </c>
      <c r="Q793" t="str">
        <f t="shared" si="122"/>
        <v/>
      </c>
      <c r="R793" t="str">
        <f t="shared" si="123"/>
        <v/>
      </c>
      <c r="S793" t="str">
        <f t="shared" si="124"/>
        <v/>
      </c>
      <c r="T793" t="str">
        <f t="shared" si="125"/>
        <v/>
      </c>
      <c r="U793" t="str">
        <f t="shared" si="126"/>
        <v/>
      </c>
      <c r="V793" t="str">
        <f t="shared" si="127"/>
        <v/>
      </c>
      <c r="W793" t="str">
        <f t="shared" si="128"/>
        <v/>
      </c>
      <c r="X793">
        <f>IF($T793="",N($X792),IF(MATCH($T793,$T$6:$T$10005,0)=ROW()-5,N($X792)+1,N($X792)))</f>
        <v>0</v>
      </c>
      <c r="Z793" t="str">
        <f t="shared" si="129"/>
        <v/>
      </c>
      <c r="AA793">
        <f>IF($V793="",N($AA792),IF(MATCH($V793,$V$6:$V$10005,0)=ROW()-5,N($AA792)+1,N($AA792)))</f>
        <v>0</v>
      </c>
    </row>
    <row r="794" spans="1:27" ht="21" customHeight="1" x14ac:dyDescent="0.95">
      <c r="A794" s="56"/>
      <c r="B794" s="57"/>
      <c r="C794" s="57"/>
      <c r="D794" s="57"/>
      <c r="E794" s="56"/>
      <c r="F794" s="57"/>
      <c r="G794" s="57"/>
      <c r="H794" s="56"/>
      <c r="I794" s="56"/>
      <c r="J794" s="58"/>
      <c r="K794" s="58"/>
      <c r="L794" s="13" t="str">
        <f t="shared" si="120"/>
        <v/>
      </c>
      <c r="M794" s="13" t="str">
        <f t="shared" si="121"/>
        <v/>
      </c>
      <c r="Q794" t="str">
        <f t="shared" si="122"/>
        <v/>
      </c>
      <c r="R794" t="str">
        <f t="shared" si="123"/>
        <v/>
      </c>
      <c r="S794" t="str">
        <f t="shared" si="124"/>
        <v/>
      </c>
      <c r="T794" t="str">
        <f t="shared" si="125"/>
        <v/>
      </c>
      <c r="U794" t="str">
        <f t="shared" si="126"/>
        <v/>
      </c>
      <c r="V794" t="str">
        <f t="shared" si="127"/>
        <v/>
      </c>
      <c r="W794" t="str">
        <f t="shared" si="128"/>
        <v/>
      </c>
      <c r="X794">
        <f>IF($T794="",N($X793),IF(MATCH($T794,$T$6:$T$10005,0)=ROW()-5,N($X793)+1,N($X793)))</f>
        <v>0</v>
      </c>
      <c r="Z794" t="str">
        <f t="shared" si="129"/>
        <v/>
      </c>
      <c r="AA794">
        <f>IF($V794="",N($AA793),IF(MATCH($V794,$V$6:$V$10005,0)=ROW()-5,N($AA793)+1,N($AA793)))</f>
        <v>0</v>
      </c>
    </row>
    <row r="795" spans="1:27" ht="21" customHeight="1" x14ac:dyDescent="0.95">
      <c r="A795" s="56"/>
      <c r="B795" s="57"/>
      <c r="C795" s="57"/>
      <c r="D795" s="57"/>
      <c r="E795" s="56"/>
      <c r="F795" s="57"/>
      <c r="G795" s="57"/>
      <c r="H795" s="56"/>
      <c r="I795" s="56"/>
      <c r="J795" s="58"/>
      <c r="K795" s="58"/>
      <c r="L795" s="13" t="str">
        <f t="shared" si="120"/>
        <v/>
      </c>
      <c r="M795" s="13" t="str">
        <f t="shared" si="121"/>
        <v/>
      </c>
      <c r="Q795" t="str">
        <f t="shared" si="122"/>
        <v/>
      </c>
      <c r="R795" t="str">
        <f t="shared" si="123"/>
        <v/>
      </c>
      <c r="S795" t="str">
        <f t="shared" si="124"/>
        <v/>
      </c>
      <c r="T795" t="str">
        <f t="shared" si="125"/>
        <v/>
      </c>
      <c r="U795" t="str">
        <f t="shared" si="126"/>
        <v/>
      </c>
      <c r="V795" t="str">
        <f t="shared" si="127"/>
        <v/>
      </c>
      <c r="W795" t="str">
        <f t="shared" si="128"/>
        <v/>
      </c>
      <c r="X795">
        <f>IF($T795="",N($X794),IF(MATCH($T795,$T$6:$T$10005,0)=ROW()-5,N($X794)+1,N($X794)))</f>
        <v>0</v>
      </c>
      <c r="Z795" t="str">
        <f t="shared" si="129"/>
        <v/>
      </c>
      <c r="AA795">
        <f>IF($V795="",N($AA794),IF(MATCH($V795,$V$6:$V$10005,0)=ROW()-5,N($AA794)+1,N($AA794)))</f>
        <v>0</v>
      </c>
    </row>
    <row r="796" spans="1:27" ht="21" customHeight="1" x14ac:dyDescent="0.95">
      <c r="A796" s="56"/>
      <c r="B796" s="57"/>
      <c r="C796" s="57"/>
      <c r="D796" s="57"/>
      <c r="E796" s="56"/>
      <c r="F796" s="57"/>
      <c r="G796" s="57"/>
      <c r="H796" s="56"/>
      <c r="I796" s="56"/>
      <c r="J796" s="58"/>
      <c r="K796" s="58"/>
      <c r="L796" s="13" t="str">
        <f t="shared" si="120"/>
        <v/>
      </c>
      <c r="M796" s="13" t="str">
        <f t="shared" si="121"/>
        <v/>
      </c>
      <c r="Q796" t="str">
        <f t="shared" si="122"/>
        <v/>
      </c>
      <c r="R796" t="str">
        <f t="shared" si="123"/>
        <v/>
      </c>
      <c r="S796" t="str">
        <f t="shared" si="124"/>
        <v/>
      </c>
      <c r="T796" t="str">
        <f t="shared" si="125"/>
        <v/>
      </c>
      <c r="U796" t="str">
        <f t="shared" si="126"/>
        <v/>
      </c>
      <c r="V796" t="str">
        <f t="shared" si="127"/>
        <v/>
      </c>
      <c r="W796" t="str">
        <f t="shared" si="128"/>
        <v/>
      </c>
      <c r="X796">
        <f>IF($T796="",N($X795),IF(MATCH($T796,$T$6:$T$10005,0)=ROW()-5,N($X795)+1,N($X795)))</f>
        <v>0</v>
      </c>
      <c r="Z796" t="str">
        <f t="shared" si="129"/>
        <v/>
      </c>
      <c r="AA796">
        <f>IF($V796="",N($AA795),IF(MATCH($V796,$V$6:$V$10005,0)=ROW()-5,N($AA795)+1,N($AA795)))</f>
        <v>0</v>
      </c>
    </row>
    <row r="797" spans="1:27" ht="21" customHeight="1" x14ac:dyDescent="0.95">
      <c r="A797" s="56"/>
      <c r="B797" s="57"/>
      <c r="C797" s="57"/>
      <c r="D797" s="57"/>
      <c r="E797" s="56"/>
      <c r="F797" s="57"/>
      <c r="G797" s="57"/>
      <c r="H797" s="56"/>
      <c r="I797" s="56"/>
      <c r="J797" s="58"/>
      <c r="K797" s="58"/>
      <c r="L797" s="13" t="str">
        <f t="shared" si="120"/>
        <v/>
      </c>
      <c r="M797" s="13" t="str">
        <f t="shared" si="121"/>
        <v/>
      </c>
      <c r="Q797" t="str">
        <f t="shared" si="122"/>
        <v/>
      </c>
      <c r="R797" t="str">
        <f t="shared" si="123"/>
        <v/>
      </c>
      <c r="S797" t="str">
        <f t="shared" si="124"/>
        <v/>
      </c>
      <c r="T797" t="str">
        <f t="shared" si="125"/>
        <v/>
      </c>
      <c r="U797" t="str">
        <f t="shared" si="126"/>
        <v/>
      </c>
      <c r="V797" t="str">
        <f t="shared" si="127"/>
        <v/>
      </c>
      <c r="W797" t="str">
        <f t="shared" si="128"/>
        <v/>
      </c>
      <c r="X797">
        <f>IF($T797="",N($X796),IF(MATCH($T797,$T$6:$T$10005,0)=ROW()-5,N($X796)+1,N($X796)))</f>
        <v>0</v>
      </c>
      <c r="Z797" t="str">
        <f t="shared" si="129"/>
        <v/>
      </c>
      <c r="AA797">
        <f>IF($V797="",N($AA796),IF(MATCH($V797,$V$6:$V$10005,0)=ROW()-5,N($AA796)+1,N($AA796)))</f>
        <v>0</v>
      </c>
    </row>
    <row r="798" spans="1:27" ht="21" customHeight="1" x14ac:dyDescent="0.95">
      <c r="A798" s="56"/>
      <c r="B798" s="57"/>
      <c r="C798" s="57"/>
      <c r="D798" s="57"/>
      <c r="E798" s="56"/>
      <c r="F798" s="57"/>
      <c r="G798" s="57"/>
      <c r="H798" s="56"/>
      <c r="I798" s="56"/>
      <c r="J798" s="58"/>
      <c r="K798" s="58"/>
      <c r="L798" s="13" t="str">
        <f t="shared" si="120"/>
        <v/>
      </c>
      <c r="M798" s="13" t="str">
        <f t="shared" si="121"/>
        <v/>
      </c>
      <c r="Q798" t="str">
        <f t="shared" si="122"/>
        <v/>
      </c>
      <c r="R798" t="str">
        <f t="shared" si="123"/>
        <v/>
      </c>
      <c r="S798" t="str">
        <f t="shared" si="124"/>
        <v/>
      </c>
      <c r="T798" t="str">
        <f t="shared" si="125"/>
        <v/>
      </c>
      <c r="U798" t="str">
        <f t="shared" si="126"/>
        <v/>
      </c>
      <c r="V798" t="str">
        <f t="shared" si="127"/>
        <v/>
      </c>
      <c r="W798" t="str">
        <f t="shared" si="128"/>
        <v/>
      </c>
      <c r="X798">
        <f>IF($T798="",N($X797),IF(MATCH($T798,$T$6:$T$10005,0)=ROW()-5,N($X797)+1,N($X797)))</f>
        <v>0</v>
      </c>
      <c r="Z798" t="str">
        <f t="shared" si="129"/>
        <v/>
      </c>
      <c r="AA798">
        <f>IF($V798="",N($AA797),IF(MATCH($V798,$V$6:$V$10005,0)=ROW()-5,N($AA797)+1,N($AA797)))</f>
        <v>0</v>
      </c>
    </row>
    <row r="799" spans="1:27" ht="21" customHeight="1" x14ac:dyDescent="0.95">
      <c r="A799" s="56"/>
      <c r="B799" s="57"/>
      <c r="C799" s="57"/>
      <c r="D799" s="57"/>
      <c r="E799" s="56"/>
      <c r="F799" s="57"/>
      <c r="G799" s="57"/>
      <c r="H799" s="56"/>
      <c r="I799" s="56"/>
      <c r="J799" s="58"/>
      <c r="K799" s="58"/>
      <c r="L799" s="13" t="str">
        <f t="shared" si="120"/>
        <v/>
      </c>
      <c r="M799" s="13" t="str">
        <f t="shared" si="121"/>
        <v/>
      </c>
      <c r="Q799" t="str">
        <f t="shared" si="122"/>
        <v/>
      </c>
      <c r="R799" t="str">
        <f t="shared" si="123"/>
        <v/>
      </c>
      <c r="S799" t="str">
        <f t="shared" si="124"/>
        <v/>
      </c>
      <c r="T799" t="str">
        <f t="shared" si="125"/>
        <v/>
      </c>
      <c r="U799" t="str">
        <f t="shared" si="126"/>
        <v/>
      </c>
      <c r="V799" t="str">
        <f t="shared" si="127"/>
        <v/>
      </c>
      <c r="W799" t="str">
        <f t="shared" si="128"/>
        <v/>
      </c>
      <c r="X799">
        <f>IF($T799="",N($X798),IF(MATCH($T799,$T$6:$T$10005,0)=ROW()-5,N($X798)+1,N($X798)))</f>
        <v>0</v>
      </c>
      <c r="Z799" t="str">
        <f t="shared" si="129"/>
        <v/>
      </c>
      <c r="AA799">
        <f>IF($V799="",N($AA798),IF(MATCH($V799,$V$6:$V$10005,0)=ROW()-5,N($AA798)+1,N($AA798)))</f>
        <v>0</v>
      </c>
    </row>
    <row r="800" spans="1:27" ht="21" customHeight="1" x14ac:dyDescent="0.95">
      <c r="A800" s="56"/>
      <c r="B800" s="57"/>
      <c r="C800" s="57"/>
      <c r="D800" s="57"/>
      <c r="E800" s="56"/>
      <c r="F800" s="57"/>
      <c r="G800" s="57"/>
      <c r="H800" s="56"/>
      <c r="I800" s="56"/>
      <c r="J800" s="58"/>
      <c r="K800" s="58"/>
      <c r="L800" s="13" t="str">
        <f t="shared" si="120"/>
        <v/>
      </c>
      <c r="M800" s="13" t="str">
        <f t="shared" si="121"/>
        <v/>
      </c>
      <c r="Q800" t="str">
        <f t="shared" si="122"/>
        <v/>
      </c>
      <c r="R800" t="str">
        <f t="shared" si="123"/>
        <v/>
      </c>
      <c r="S800" t="str">
        <f t="shared" si="124"/>
        <v/>
      </c>
      <c r="T800" t="str">
        <f t="shared" si="125"/>
        <v/>
      </c>
      <c r="U800" t="str">
        <f t="shared" si="126"/>
        <v/>
      </c>
      <c r="V800" t="str">
        <f t="shared" si="127"/>
        <v/>
      </c>
      <c r="W800" t="str">
        <f t="shared" si="128"/>
        <v/>
      </c>
      <c r="X800">
        <f>IF($T800="",N($X799),IF(MATCH($T800,$T$6:$T$10005,0)=ROW()-5,N($X799)+1,N($X799)))</f>
        <v>0</v>
      </c>
      <c r="Z800" t="str">
        <f t="shared" si="129"/>
        <v/>
      </c>
      <c r="AA800">
        <f>IF($V800="",N($AA799),IF(MATCH($V800,$V$6:$V$10005,0)=ROW()-5,N($AA799)+1,N($AA799)))</f>
        <v>0</v>
      </c>
    </row>
    <row r="801" spans="1:27" ht="21" customHeight="1" x14ac:dyDescent="0.95">
      <c r="A801" s="56"/>
      <c r="B801" s="57"/>
      <c r="C801" s="57"/>
      <c r="D801" s="57"/>
      <c r="E801" s="56"/>
      <c r="F801" s="57"/>
      <c r="G801" s="57"/>
      <c r="H801" s="56"/>
      <c r="I801" s="56"/>
      <c r="J801" s="58"/>
      <c r="K801" s="58"/>
      <c r="L801" s="13" t="str">
        <f t="shared" si="120"/>
        <v/>
      </c>
      <c r="M801" s="13" t="str">
        <f t="shared" si="121"/>
        <v/>
      </c>
      <c r="Q801" t="str">
        <f t="shared" si="122"/>
        <v/>
      </c>
      <c r="R801" t="str">
        <f t="shared" si="123"/>
        <v/>
      </c>
      <c r="S801" t="str">
        <f t="shared" si="124"/>
        <v/>
      </c>
      <c r="T801" t="str">
        <f t="shared" si="125"/>
        <v/>
      </c>
      <c r="U801" t="str">
        <f t="shared" si="126"/>
        <v/>
      </c>
      <c r="V801" t="str">
        <f t="shared" si="127"/>
        <v/>
      </c>
      <c r="W801" t="str">
        <f t="shared" si="128"/>
        <v/>
      </c>
      <c r="X801">
        <f>IF($T801="",N($X800),IF(MATCH($T801,$T$6:$T$10005,0)=ROW()-5,N($X800)+1,N($X800)))</f>
        <v>0</v>
      </c>
      <c r="Z801" t="str">
        <f t="shared" si="129"/>
        <v/>
      </c>
      <c r="AA801">
        <f>IF($V801="",N($AA800),IF(MATCH($V801,$V$6:$V$10005,0)=ROW()-5,N($AA800)+1,N($AA800)))</f>
        <v>0</v>
      </c>
    </row>
    <row r="802" spans="1:27" ht="21" customHeight="1" x14ac:dyDescent="0.95">
      <c r="A802" s="56"/>
      <c r="B802" s="57"/>
      <c r="C802" s="57"/>
      <c r="D802" s="57"/>
      <c r="E802" s="56"/>
      <c r="F802" s="57"/>
      <c r="G802" s="57"/>
      <c r="H802" s="56"/>
      <c r="I802" s="56"/>
      <c r="J802" s="58"/>
      <c r="K802" s="58"/>
      <c r="L802" s="13" t="str">
        <f t="shared" si="120"/>
        <v/>
      </c>
      <c r="M802" s="13" t="str">
        <f t="shared" si="121"/>
        <v/>
      </c>
      <c r="Q802" t="str">
        <f t="shared" si="122"/>
        <v/>
      </c>
      <c r="R802" t="str">
        <f t="shared" si="123"/>
        <v/>
      </c>
      <c r="S802" t="str">
        <f t="shared" si="124"/>
        <v/>
      </c>
      <c r="T802" t="str">
        <f t="shared" si="125"/>
        <v/>
      </c>
      <c r="U802" t="str">
        <f t="shared" si="126"/>
        <v/>
      </c>
      <c r="V802" t="str">
        <f t="shared" si="127"/>
        <v/>
      </c>
      <c r="W802" t="str">
        <f t="shared" si="128"/>
        <v/>
      </c>
      <c r="X802">
        <f>IF($T802="",N($X801),IF(MATCH($T802,$T$6:$T$10005,0)=ROW()-5,N($X801)+1,N($X801)))</f>
        <v>0</v>
      </c>
      <c r="Z802" t="str">
        <f t="shared" si="129"/>
        <v/>
      </c>
      <c r="AA802">
        <f>IF($V802="",N($AA801),IF(MATCH($V802,$V$6:$V$10005,0)=ROW()-5,N($AA801)+1,N($AA801)))</f>
        <v>0</v>
      </c>
    </row>
    <row r="803" spans="1:27" ht="21" customHeight="1" x14ac:dyDescent="0.95">
      <c r="A803" s="56"/>
      <c r="B803" s="57"/>
      <c r="C803" s="57"/>
      <c r="D803" s="57"/>
      <c r="E803" s="56"/>
      <c r="F803" s="57"/>
      <c r="G803" s="57"/>
      <c r="H803" s="56"/>
      <c r="I803" s="56"/>
      <c r="J803" s="58"/>
      <c r="K803" s="58"/>
      <c r="L803" s="13" t="str">
        <f t="shared" si="120"/>
        <v/>
      </c>
      <c r="M803" s="13" t="str">
        <f t="shared" si="121"/>
        <v/>
      </c>
      <c r="Q803" t="str">
        <f t="shared" si="122"/>
        <v/>
      </c>
      <c r="R803" t="str">
        <f t="shared" si="123"/>
        <v/>
      </c>
      <c r="S803" t="str">
        <f t="shared" si="124"/>
        <v/>
      </c>
      <c r="T803" t="str">
        <f t="shared" si="125"/>
        <v/>
      </c>
      <c r="U803" t="str">
        <f t="shared" si="126"/>
        <v/>
      </c>
      <c r="V803" t="str">
        <f t="shared" si="127"/>
        <v/>
      </c>
      <c r="W803" t="str">
        <f t="shared" si="128"/>
        <v/>
      </c>
      <c r="X803">
        <f>IF($T803="",N($X802),IF(MATCH($T803,$T$6:$T$10005,0)=ROW()-5,N($X802)+1,N($X802)))</f>
        <v>0</v>
      </c>
      <c r="Z803" t="str">
        <f t="shared" si="129"/>
        <v/>
      </c>
      <c r="AA803">
        <f>IF($V803="",N($AA802),IF(MATCH($V803,$V$6:$V$10005,0)=ROW()-5,N($AA802)+1,N($AA802)))</f>
        <v>0</v>
      </c>
    </row>
    <row r="804" spans="1:27" ht="21" customHeight="1" x14ac:dyDescent="0.95">
      <c r="A804" s="56"/>
      <c r="B804" s="57"/>
      <c r="C804" s="57"/>
      <c r="D804" s="57"/>
      <c r="E804" s="56"/>
      <c r="F804" s="57"/>
      <c r="G804" s="57"/>
      <c r="H804" s="56"/>
      <c r="I804" s="56"/>
      <c r="J804" s="58"/>
      <c r="K804" s="58"/>
      <c r="L804" s="13" t="str">
        <f t="shared" si="120"/>
        <v/>
      </c>
      <c r="M804" s="13" t="str">
        <f t="shared" si="121"/>
        <v/>
      </c>
      <c r="Q804" t="str">
        <f t="shared" si="122"/>
        <v/>
      </c>
      <c r="R804" t="str">
        <f t="shared" si="123"/>
        <v/>
      </c>
      <c r="S804" t="str">
        <f t="shared" si="124"/>
        <v/>
      </c>
      <c r="T804" t="str">
        <f t="shared" si="125"/>
        <v/>
      </c>
      <c r="U804" t="str">
        <f t="shared" si="126"/>
        <v/>
      </c>
      <c r="V804" t="str">
        <f t="shared" si="127"/>
        <v/>
      </c>
      <c r="W804" t="str">
        <f t="shared" si="128"/>
        <v/>
      </c>
      <c r="X804">
        <f>IF($T804="",N($X803),IF(MATCH($T804,$T$6:$T$10005,0)=ROW()-5,N($X803)+1,N($X803)))</f>
        <v>0</v>
      </c>
      <c r="Z804" t="str">
        <f t="shared" si="129"/>
        <v/>
      </c>
      <c r="AA804">
        <f>IF($V804="",N($AA803),IF(MATCH($V804,$V$6:$V$10005,0)=ROW()-5,N($AA803)+1,N($AA803)))</f>
        <v>0</v>
      </c>
    </row>
    <row r="805" spans="1:27" ht="21" customHeight="1" x14ac:dyDescent="0.95">
      <c r="A805" s="56"/>
      <c r="B805" s="57"/>
      <c r="C805" s="57"/>
      <c r="D805" s="57"/>
      <c r="E805" s="56"/>
      <c r="F805" s="57"/>
      <c r="G805" s="57"/>
      <c r="H805" s="56"/>
      <c r="I805" s="56"/>
      <c r="J805" s="58"/>
      <c r="K805" s="58"/>
      <c r="L805" s="13" t="str">
        <f t="shared" si="120"/>
        <v/>
      </c>
      <c r="M805" s="13" t="str">
        <f t="shared" si="121"/>
        <v/>
      </c>
      <c r="Q805" t="str">
        <f t="shared" si="122"/>
        <v/>
      </c>
      <c r="R805" t="str">
        <f t="shared" si="123"/>
        <v/>
      </c>
      <c r="S805" t="str">
        <f t="shared" si="124"/>
        <v/>
      </c>
      <c r="T805" t="str">
        <f t="shared" si="125"/>
        <v/>
      </c>
      <c r="U805" t="str">
        <f t="shared" si="126"/>
        <v/>
      </c>
      <c r="V805" t="str">
        <f t="shared" si="127"/>
        <v/>
      </c>
      <c r="W805" t="str">
        <f t="shared" si="128"/>
        <v/>
      </c>
      <c r="X805">
        <f>IF($T805="",N($X804),IF(MATCH($T805,$T$6:$T$10005,0)=ROW()-5,N($X804)+1,N($X804)))</f>
        <v>0</v>
      </c>
      <c r="Z805" t="str">
        <f t="shared" si="129"/>
        <v/>
      </c>
      <c r="AA805">
        <f>IF($V805="",N($AA804),IF(MATCH($V805,$V$6:$V$10005,0)=ROW()-5,N($AA804)+1,N($AA804)))</f>
        <v>0</v>
      </c>
    </row>
    <row r="806" spans="1:27" ht="21" customHeight="1" x14ac:dyDescent="0.95">
      <c r="A806" s="56"/>
      <c r="B806" s="57"/>
      <c r="C806" s="57"/>
      <c r="D806" s="57"/>
      <c r="E806" s="56"/>
      <c r="F806" s="57"/>
      <c r="G806" s="57"/>
      <c r="H806" s="56"/>
      <c r="I806" s="56"/>
      <c r="J806" s="58"/>
      <c r="K806" s="58"/>
      <c r="L806" s="13" t="str">
        <f t="shared" si="120"/>
        <v/>
      </c>
      <c r="M806" s="13" t="str">
        <f t="shared" si="121"/>
        <v/>
      </c>
      <c r="Q806" t="str">
        <f t="shared" si="122"/>
        <v/>
      </c>
      <c r="R806" t="str">
        <f t="shared" si="123"/>
        <v/>
      </c>
      <c r="S806" t="str">
        <f t="shared" si="124"/>
        <v/>
      </c>
      <c r="T806" t="str">
        <f t="shared" si="125"/>
        <v/>
      </c>
      <c r="U806" t="str">
        <f t="shared" si="126"/>
        <v/>
      </c>
      <c r="V806" t="str">
        <f t="shared" si="127"/>
        <v/>
      </c>
      <c r="W806" t="str">
        <f t="shared" si="128"/>
        <v/>
      </c>
      <c r="X806">
        <f>IF($T806="",N($X805),IF(MATCH($T806,$T$6:$T$10005,0)=ROW()-5,N($X805)+1,N($X805)))</f>
        <v>0</v>
      </c>
      <c r="Z806" t="str">
        <f t="shared" si="129"/>
        <v/>
      </c>
      <c r="AA806">
        <f>IF($V806="",N($AA805),IF(MATCH($V806,$V$6:$V$10005,0)=ROW()-5,N($AA805)+1,N($AA805)))</f>
        <v>0</v>
      </c>
    </row>
    <row r="807" spans="1:27" ht="21" customHeight="1" x14ac:dyDescent="0.95">
      <c r="A807" s="56"/>
      <c r="B807" s="57"/>
      <c r="C807" s="57"/>
      <c r="D807" s="57"/>
      <c r="E807" s="56"/>
      <c r="F807" s="57"/>
      <c r="G807" s="57"/>
      <c r="H807" s="56"/>
      <c r="I807" s="56"/>
      <c r="J807" s="58"/>
      <c r="K807" s="58"/>
      <c r="L807" s="13" t="str">
        <f t="shared" si="120"/>
        <v/>
      </c>
      <c r="M807" s="13" t="str">
        <f t="shared" si="121"/>
        <v/>
      </c>
      <c r="Q807" t="str">
        <f t="shared" si="122"/>
        <v/>
      </c>
      <c r="R807" t="str">
        <f t="shared" si="123"/>
        <v/>
      </c>
      <c r="S807" t="str">
        <f t="shared" si="124"/>
        <v/>
      </c>
      <c r="T807" t="str">
        <f t="shared" si="125"/>
        <v/>
      </c>
      <c r="U807" t="str">
        <f t="shared" si="126"/>
        <v/>
      </c>
      <c r="V807" t="str">
        <f t="shared" si="127"/>
        <v/>
      </c>
      <c r="W807" t="str">
        <f t="shared" si="128"/>
        <v/>
      </c>
      <c r="X807">
        <f>IF($T807="",N($X806),IF(MATCH($T807,$T$6:$T$10005,0)=ROW()-5,N($X806)+1,N($X806)))</f>
        <v>0</v>
      </c>
      <c r="Z807" t="str">
        <f t="shared" si="129"/>
        <v/>
      </c>
      <c r="AA807">
        <f>IF($V807="",N($AA806),IF(MATCH($V807,$V$6:$V$10005,0)=ROW()-5,N($AA806)+1,N($AA806)))</f>
        <v>0</v>
      </c>
    </row>
    <row r="808" spans="1:27" ht="21" customHeight="1" x14ac:dyDescent="0.95">
      <c r="A808" s="56"/>
      <c r="B808" s="57"/>
      <c r="C808" s="57"/>
      <c r="D808" s="57"/>
      <c r="E808" s="56"/>
      <c r="F808" s="57"/>
      <c r="G808" s="57"/>
      <c r="H808" s="56"/>
      <c r="I808" s="56"/>
      <c r="J808" s="58"/>
      <c r="K808" s="58"/>
      <c r="L808" s="13" t="str">
        <f t="shared" si="120"/>
        <v/>
      </c>
      <c r="M808" s="13" t="str">
        <f t="shared" si="121"/>
        <v/>
      </c>
      <c r="Q808" t="str">
        <f t="shared" si="122"/>
        <v/>
      </c>
      <c r="R808" t="str">
        <f t="shared" si="123"/>
        <v/>
      </c>
      <c r="S808" t="str">
        <f t="shared" si="124"/>
        <v/>
      </c>
      <c r="T808" t="str">
        <f t="shared" si="125"/>
        <v/>
      </c>
      <c r="U808" t="str">
        <f t="shared" si="126"/>
        <v/>
      </c>
      <c r="V808" t="str">
        <f t="shared" si="127"/>
        <v/>
      </c>
      <c r="W808" t="str">
        <f t="shared" si="128"/>
        <v/>
      </c>
      <c r="X808">
        <f>IF($T808="",N($X807),IF(MATCH($T808,$T$6:$T$10005,0)=ROW()-5,N($X807)+1,N($X807)))</f>
        <v>0</v>
      </c>
      <c r="Z808" t="str">
        <f t="shared" si="129"/>
        <v/>
      </c>
      <c r="AA808">
        <f>IF($V808="",N($AA807),IF(MATCH($V808,$V$6:$V$10005,0)=ROW()-5,N($AA807)+1,N($AA807)))</f>
        <v>0</v>
      </c>
    </row>
    <row r="809" spans="1:27" ht="21" customHeight="1" x14ac:dyDescent="0.95">
      <c r="A809" s="56"/>
      <c r="B809" s="57"/>
      <c r="C809" s="57"/>
      <c r="D809" s="57"/>
      <c r="E809" s="56"/>
      <c r="F809" s="57"/>
      <c r="G809" s="57"/>
      <c r="H809" s="56"/>
      <c r="I809" s="56"/>
      <c r="J809" s="58"/>
      <c r="K809" s="58"/>
      <c r="L809" s="13" t="str">
        <f t="shared" si="120"/>
        <v/>
      </c>
      <c r="M809" s="13" t="str">
        <f t="shared" si="121"/>
        <v/>
      </c>
      <c r="Q809" t="str">
        <f t="shared" si="122"/>
        <v/>
      </c>
      <c r="R809" t="str">
        <f t="shared" si="123"/>
        <v/>
      </c>
      <c r="S809" t="str">
        <f t="shared" si="124"/>
        <v/>
      </c>
      <c r="T809" t="str">
        <f t="shared" si="125"/>
        <v/>
      </c>
      <c r="U809" t="str">
        <f t="shared" si="126"/>
        <v/>
      </c>
      <c r="V809" t="str">
        <f t="shared" si="127"/>
        <v/>
      </c>
      <c r="W809" t="str">
        <f t="shared" si="128"/>
        <v/>
      </c>
      <c r="X809">
        <f>IF($T809="",N($X808),IF(MATCH($T809,$T$6:$T$10005,0)=ROW()-5,N($X808)+1,N($X808)))</f>
        <v>0</v>
      </c>
      <c r="Z809" t="str">
        <f t="shared" si="129"/>
        <v/>
      </c>
      <c r="AA809">
        <f>IF($V809="",N($AA808),IF(MATCH($V809,$V$6:$V$10005,0)=ROW()-5,N($AA808)+1,N($AA808)))</f>
        <v>0</v>
      </c>
    </row>
    <row r="810" spans="1:27" ht="21" customHeight="1" x14ac:dyDescent="0.95">
      <c r="A810" s="56"/>
      <c r="B810" s="57"/>
      <c r="C810" s="57"/>
      <c r="D810" s="57"/>
      <c r="E810" s="56"/>
      <c r="F810" s="57"/>
      <c r="G810" s="57"/>
      <c r="H810" s="56"/>
      <c r="I810" s="56"/>
      <c r="J810" s="58"/>
      <c r="K810" s="58"/>
      <c r="L810" s="13" t="str">
        <f t="shared" si="120"/>
        <v/>
      </c>
      <c r="M810" s="13" t="str">
        <f t="shared" si="121"/>
        <v/>
      </c>
      <c r="Q810" t="str">
        <f t="shared" si="122"/>
        <v/>
      </c>
      <c r="R810" t="str">
        <f t="shared" si="123"/>
        <v/>
      </c>
      <c r="S810" t="str">
        <f t="shared" si="124"/>
        <v/>
      </c>
      <c r="T810" t="str">
        <f t="shared" si="125"/>
        <v/>
      </c>
      <c r="U810" t="str">
        <f t="shared" si="126"/>
        <v/>
      </c>
      <c r="V810" t="str">
        <f t="shared" si="127"/>
        <v/>
      </c>
      <c r="W810" t="str">
        <f t="shared" si="128"/>
        <v/>
      </c>
      <c r="X810">
        <f>IF($T810="",N($X809),IF(MATCH($T810,$T$6:$T$10005,0)=ROW()-5,N($X809)+1,N($X809)))</f>
        <v>0</v>
      </c>
      <c r="Z810" t="str">
        <f t="shared" si="129"/>
        <v/>
      </c>
      <c r="AA810">
        <f>IF($V810="",N($AA809),IF(MATCH($V810,$V$6:$V$10005,0)=ROW()-5,N($AA809)+1,N($AA809)))</f>
        <v>0</v>
      </c>
    </row>
    <row r="811" spans="1:27" ht="21" customHeight="1" x14ac:dyDescent="0.95">
      <c r="A811" s="56"/>
      <c r="B811" s="57"/>
      <c r="C811" s="57"/>
      <c r="D811" s="57"/>
      <c r="E811" s="56"/>
      <c r="F811" s="57"/>
      <c r="G811" s="57"/>
      <c r="H811" s="56"/>
      <c r="I811" s="56"/>
      <c r="J811" s="58"/>
      <c r="K811" s="58"/>
      <c r="L811" s="13" t="str">
        <f t="shared" si="120"/>
        <v/>
      </c>
      <c r="M811" s="13" t="str">
        <f t="shared" si="121"/>
        <v/>
      </c>
      <c r="Q811" t="str">
        <f t="shared" si="122"/>
        <v/>
      </c>
      <c r="R811" t="str">
        <f t="shared" si="123"/>
        <v/>
      </c>
      <c r="S811" t="str">
        <f t="shared" si="124"/>
        <v/>
      </c>
      <c r="T811" t="str">
        <f t="shared" si="125"/>
        <v/>
      </c>
      <c r="U811" t="str">
        <f t="shared" si="126"/>
        <v/>
      </c>
      <c r="V811" t="str">
        <f t="shared" si="127"/>
        <v/>
      </c>
      <c r="W811" t="str">
        <f t="shared" si="128"/>
        <v/>
      </c>
      <c r="X811">
        <f>IF($T811="",N($X810),IF(MATCH($T811,$T$6:$T$10005,0)=ROW()-5,N($X810)+1,N($X810)))</f>
        <v>0</v>
      </c>
      <c r="Z811" t="str">
        <f t="shared" si="129"/>
        <v/>
      </c>
      <c r="AA811">
        <f>IF($V811="",N($AA810),IF(MATCH($V811,$V$6:$V$10005,0)=ROW()-5,N($AA810)+1,N($AA810)))</f>
        <v>0</v>
      </c>
    </row>
    <row r="812" spans="1:27" ht="21" customHeight="1" x14ac:dyDescent="0.95">
      <c r="A812" s="56"/>
      <c r="B812" s="57"/>
      <c r="C812" s="57"/>
      <c r="D812" s="57"/>
      <c r="E812" s="56"/>
      <c r="F812" s="57"/>
      <c r="G812" s="57"/>
      <c r="H812" s="56"/>
      <c r="I812" s="56"/>
      <c r="J812" s="58"/>
      <c r="K812" s="58"/>
      <c r="L812" s="13" t="str">
        <f t="shared" si="120"/>
        <v/>
      </c>
      <c r="M812" s="13" t="str">
        <f t="shared" si="121"/>
        <v/>
      </c>
      <c r="Q812" t="str">
        <f t="shared" si="122"/>
        <v/>
      </c>
      <c r="R812" t="str">
        <f t="shared" si="123"/>
        <v/>
      </c>
      <c r="S812" t="str">
        <f t="shared" si="124"/>
        <v/>
      </c>
      <c r="T812" t="str">
        <f t="shared" si="125"/>
        <v/>
      </c>
      <c r="U812" t="str">
        <f t="shared" si="126"/>
        <v/>
      </c>
      <c r="V812" t="str">
        <f t="shared" si="127"/>
        <v/>
      </c>
      <c r="W812" t="str">
        <f t="shared" si="128"/>
        <v/>
      </c>
      <c r="X812">
        <f>IF($T812="",N($X811),IF(MATCH($T812,$T$6:$T$10005,0)=ROW()-5,N($X811)+1,N($X811)))</f>
        <v>0</v>
      </c>
      <c r="Z812" t="str">
        <f t="shared" si="129"/>
        <v/>
      </c>
      <c r="AA812">
        <f>IF($V812="",N($AA811),IF(MATCH($V812,$V$6:$V$10005,0)=ROW()-5,N($AA811)+1,N($AA811)))</f>
        <v>0</v>
      </c>
    </row>
    <row r="813" spans="1:27" ht="21" customHeight="1" x14ac:dyDescent="0.95">
      <c r="A813" s="56"/>
      <c r="B813" s="57"/>
      <c r="C813" s="57"/>
      <c r="D813" s="57"/>
      <c r="E813" s="56"/>
      <c r="F813" s="57"/>
      <c r="G813" s="57"/>
      <c r="H813" s="56"/>
      <c r="I813" s="56"/>
      <c r="J813" s="58"/>
      <c r="K813" s="58"/>
      <c r="L813" s="13" t="str">
        <f t="shared" si="120"/>
        <v/>
      </c>
      <c r="M813" s="13" t="str">
        <f t="shared" si="121"/>
        <v/>
      </c>
      <c r="Q813" t="str">
        <f t="shared" si="122"/>
        <v/>
      </c>
      <c r="R813" t="str">
        <f t="shared" si="123"/>
        <v/>
      </c>
      <c r="S813" t="str">
        <f t="shared" si="124"/>
        <v/>
      </c>
      <c r="T813" t="str">
        <f t="shared" si="125"/>
        <v/>
      </c>
      <c r="U813" t="str">
        <f t="shared" si="126"/>
        <v/>
      </c>
      <c r="V813" t="str">
        <f t="shared" si="127"/>
        <v/>
      </c>
      <c r="W813" t="str">
        <f t="shared" si="128"/>
        <v/>
      </c>
      <c r="X813">
        <f>IF($T813="",N($X812),IF(MATCH($T813,$T$6:$T$10005,0)=ROW()-5,N($X812)+1,N($X812)))</f>
        <v>0</v>
      </c>
      <c r="Z813" t="str">
        <f t="shared" si="129"/>
        <v/>
      </c>
      <c r="AA813">
        <f>IF($V813="",N($AA812),IF(MATCH($V813,$V$6:$V$10005,0)=ROW()-5,N($AA812)+1,N($AA812)))</f>
        <v>0</v>
      </c>
    </row>
    <row r="814" spans="1:27" ht="21" customHeight="1" x14ac:dyDescent="0.95">
      <c r="A814" s="56"/>
      <c r="B814" s="57"/>
      <c r="C814" s="57"/>
      <c r="D814" s="57"/>
      <c r="E814" s="56"/>
      <c r="F814" s="57"/>
      <c r="G814" s="57"/>
      <c r="H814" s="56"/>
      <c r="I814" s="56"/>
      <c r="J814" s="58"/>
      <c r="K814" s="58"/>
      <c r="L814" s="13" t="str">
        <f t="shared" si="120"/>
        <v/>
      </c>
      <c r="M814" s="13" t="str">
        <f t="shared" si="121"/>
        <v/>
      </c>
      <c r="Q814" t="str">
        <f t="shared" si="122"/>
        <v/>
      </c>
      <c r="R814" t="str">
        <f t="shared" si="123"/>
        <v/>
      </c>
      <c r="S814" t="str">
        <f t="shared" si="124"/>
        <v/>
      </c>
      <c r="T814" t="str">
        <f t="shared" si="125"/>
        <v/>
      </c>
      <c r="U814" t="str">
        <f t="shared" si="126"/>
        <v/>
      </c>
      <c r="V814" t="str">
        <f t="shared" si="127"/>
        <v/>
      </c>
      <c r="W814" t="str">
        <f t="shared" si="128"/>
        <v/>
      </c>
      <c r="X814">
        <f>IF($T814="",N($X813),IF(MATCH($T814,$T$6:$T$10005,0)=ROW()-5,N($X813)+1,N($X813)))</f>
        <v>0</v>
      </c>
      <c r="Z814" t="str">
        <f t="shared" si="129"/>
        <v/>
      </c>
      <c r="AA814">
        <f>IF($V814="",N($AA813),IF(MATCH($V814,$V$6:$V$10005,0)=ROW()-5,N($AA813)+1,N($AA813)))</f>
        <v>0</v>
      </c>
    </row>
    <row r="815" spans="1:27" ht="21" customHeight="1" x14ac:dyDescent="0.95">
      <c r="A815" s="56"/>
      <c r="B815" s="57"/>
      <c r="C815" s="57"/>
      <c r="D815" s="57"/>
      <c r="E815" s="56"/>
      <c r="F815" s="57"/>
      <c r="G815" s="57"/>
      <c r="H815" s="56"/>
      <c r="I815" s="56"/>
      <c r="J815" s="58"/>
      <c r="K815" s="58"/>
      <c r="L815" s="13" t="str">
        <f t="shared" si="120"/>
        <v/>
      </c>
      <c r="M815" s="13" t="str">
        <f t="shared" si="121"/>
        <v/>
      </c>
      <c r="Q815" t="str">
        <f t="shared" si="122"/>
        <v/>
      </c>
      <c r="R815" t="str">
        <f t="shared" si="123"/>
        <v/>
      </c>
      <c r="S815" t="str">
        <f t="shared" si="124"/>
        <v/>
      </c>
      <c r="T815" t="str">
        <f t="shared" si="125"/>
        <v/>
      </c>
      <c r="U815" t="str">
        <f t="shared" si="126"/>
        <v/>
      </c>
      <c r="V815" t="str">
        <f t="shared" si="127"/>
        <v/>
      </c>
      <c r="W815" t="str">
        <f t="shared" si="128"/>
        <v/>
      </c>
      <c r="X815">
        <f>IF($T815="",N($X814),IF(MATCH($T815,$T$6:$T$10005,0)=ROW()-5,N($X814)+1,N($X814)))</f>
        <v>0</v>
      </c>
      <c r="Z815" t="str">
        <f t="shared" si="129"/>
        <v/>
      </c>
      <c r="AA815">
        <f>IF($V815="",N($AA814),IF(MATCH($V815,$V$6:$V$10005,0)=ROW()-5,N($AA814)+1,N($AA814)))</f>
        <v>0</v>
      </c>
    </row>
    <row r="816" spans="1:27" ht="21" customHeight="1" x14ac:dyDescent="0.95">
      <c r="A816" s="56"/>
      <c r="B816" s="57"/>
      <c r="C816" s="57"/>
      <c r="D816" s="57"/>
      <c r="E816" s="56"/>
      <c r="F816" s="57"/>
      <c r="G816" s="57"/>
      <c r="H816" s="56"/>
      <c r="I816" s="56"/>
      <c r="J816" s="58"/>
      <c r="K816" s="58"/>
      <c r="L816" s="13" t="str">
        <f t="shared" si="120"/>
        <v/>
      </c>
      <c r="M816" s="13" t="str">
        <f t="shared" si="121"/>
        <v/>
      </c>
      <c r="Q816" t="str">
        <f t="shared" si="122"/>
        <v/>
      </c>
      <c r="R816" t="str">
        <f t="shared" si="123"/>
        <v/>
      </c>
      <c r="S816" t="str">
        <f t="shared" si="124"/>
        <v/>
      </c>
      <c r="T816" t="str">
        <f t="shared" si="125"/>
        <v/>
      </c>
      <c r="U816" t="str">
        <f t="shared" si="126"/>
        <v/>
      </c>
      <c r="V816" t="str">
        <f t="shared" si="127"/>
        <v/>
      </c>
      <c r="W816" t="str">
        <f t="shared" si="128"/>
        <v/>
      </c>
      <c r="X816">
        <f>IF($T816="",N($X815),IF(MATCH($T816,$T$6:$T$10005,0)=ROW()-5,N($X815)+1,N($X815)))</f>
        <v>0</v>
      </c>
      <c r="Z816" t="str">
        <f t="shared" si="129"/>
        <v/>
      </c>
      <c r="AA816">
        <f>IF($V816="",N($AA815),IF(MATCH($V816,$V$6:$V$10005,0)=ROW()-5,N($AA815)+1,N($AA815)))</f>
        <v>0</v>
      </c>
    </row>
    <row r="817" spans="1:27" ht="21" customHeight="1" x14ac:dyDescent="0.95">
      <c r="A817" s="56"/>
      <c r="B817" s="57"/>
      <c r="C817" s="57"/>
      <c r="D817" s="57"/>
      <c r="E817" s="56"/>
      <c r="F817" s="57"/>
      <c r="G817" s="57"/>
      <c r="H817" s="56"/>
      <c r="I817" s="56"/>
      <c r="J817" s="58"/>
      <c r="K817" s="58"/>
      <c r="L817" s="13" t="str">
        <f t="shared" si="120"/>
        <v/>
      </c>
      <c r="M817" s="13" t="str">
        <f t="shared" si="121"/>
        <v/>
      </c>
      <c r="Q817" t="str">
        <f t="shared" si="122"/>
        <v/>
      </c>
      <c r="R817" t="str">
        <f t="shared" si="123"/>
        <v/>
      </c>
      <c r="S817" t="str">
        <f t="shared" si="124"/>
        <v/>
      </c>
      <c r="T817" t="str">
        <f t="shared" si="125"/>
        <v/>
      </c>
      <c r="U817" t="str">
        <f t="shared" si="126"/>
        <v/>
      </c>
      <c r="V817" t="str">
        <f t="shared" si="127"/>
        <v/>
      </c>
      <c r="W817" t="str">
        <f t="shared" si="128"/>
        <v/>
      </c>
      <c r="X817">
        <f>IF($T817="",N($X816),IF(MATCH($T817,$T$6:$T$10005,0)=ROW()-5,N($X816)+1,N($X816)))</f>
        <v>0</v>
      </c>
      <c r="Z817" t="str">
        <f t="shared" si="129"/>
        <v/>
      </c>
      <c r="AA817">
        <f>IF($V817="",N($AA816),IF(MATCH($V817,$V$6:$V$10005,0)=ROW()-5,N($AA816)+1,N($AA816)))</f>
        <v>0</v>
      </c>
    </row>
    <row r="818" spans="1:27" ht="21" customHeight="1" x14ac:dyDescent="0.95">
      <c r="A818" s="56"/>
      <c r="B818" s="57"/>
      <c r="C818" s="57"/>
      <c r="D818" s="57"/>
      <c r="E818" s="56"/>
      <c r="F818" s="57"/>
      <c r="G818" s="57"/>
      <c r="H818" s="56"/>
      <c r="I818" s="56"/>
      <c r="J818" s="58"/>
      <c r="K818" s="58"/>
      <c r="L818" s="13" t="str">
        <f t="shared" si="120"/>
        <v/>
      </c>
      <c r="M818" s="13" t="str">
        <f t="shared" si="121"/>
        <v/>
      </c>
      <c r="Q818" t="str">
        <f t="shared" si="122"/>
        <v/>
      </c>
      <c r="R818" t="str">
        <f t="shared" si="123"/>
        <v/>
      </c>
      <c r="S818" t="str">
        <f t="shared" si="124"/>
        <v/>
      </c>
      <c r="T818" t="str">
        <f t="shared" si="125"/>
        <v/>
      </c>
      <c r="U818" t="str">
        <f t="shared" si="126"/>
        <v/>
      </c>
      <c r="V818" t="str">
        <f t="shared" si="127"/>
        <v/>
      </c>
      <c r="W818" t="str">
        <f t="shared" si="128"/>
        <v/>
      </c>
      <c r="X818">
        <f>IF($T818="",N($X817),IF(MATCH($T818,$T$6:$T$10005,0)=ROW()-5,N($X817)+1,N($X817)))</f>
        <v>0</v>
      </c>
      <c r="Z818" t="str">
        <f t="shared" si="129"/>
        <v/>
      </c>
      <c r="AA818">
        <f>IF($V818="",N($AA817),IF(MATCH($V818,$V$6:$V$10005,0)=ROW()-5,N($AA817)+1,N($AA817)))</f>
        <v>0</v>
      </c>
    </row>
    <row r="819" spans="1:27" ht="21" customHeight="1" x14ac:dyDescent="0.95">
      <c r="A819" s="56"/>
      <c r="B819" s="57"/>
      <c r="C819" s="57"/>
      <c r="D819" s="57"/>
      <c r="E819" s="56"/>
      <c r="F819" s="57"/>
      <c r="G819" s="57"/>
      <c r="H819" s="56"/>
      <c r="I819" s="56"/>
      <c r="J819" s="58"/>
      <c r="K819" s="58"/>
      <c r="L819" s="13" t="str">
        <f t="shared" si="120"/>
        <v/>
      </c>
      <c r="M819" s="13" t="str">
        <f t="shared" si="121"/>
        <v/>
      </c>
      <c r="Q819" t="str">
        <f t="shared" si="122"/>
        <v/>
      </c>
      <c r="R819" t="str">
        <f t="shared" si="123"/>
        <v/>
      </c>
      <c r="S819" t="str">
        <f t="shared" si="124"/>
        <v/>
      </c>
      <c r="T819" t="str">
        <f t="shared" si="125"/>
        <v/>
      </c>
      <c r="U819" t="str">
        <f t="shared" si="126"/>
        <v/>
      </c>
      <c r="V819" t="str">
        <f t="shared" si="127"/>
        <v/>
      </c>
      <c r="W819" t="str">
        <f t="shared" si="128"/>
        <v/>
      </c>
      <c r="X819">
        <f>IF($T819="",N($X818),IF(MATCH($T819,$T$6:$T$10005,0)=ROW()-5,N($X818)+1,N($X818)))</f>
        <v>0</v>
      </c>
      <c r="Z819" t="str">
        <f t="shared" si="129"/>
        <v/>
      </c>
      <c r="AA819">
        <f>IF($V819="",N($AA818),IF(MATCH($V819,$V$6:$V$10005,0)=ROW()-5,N($AA818)+1,N($AA818)))</f>
        <v>0</v>
      </c>
    </row>
    <row r="820" spans="1:27" ht="21" customHeight="1" x14ac:dyDescent="0.95">
      <c r="A820" s="56"/>
      <c r="B820" s="57"/>
      <c r="C820" s="57"/>
      <c r="D820" s="57"/>
      <c r="E820" s="56"/>
      <c r="F820" s="57"/>
      <c r="G820" s="57"/>
      <c r="H820" s="56"/>
      <c r="I820" s="56"/>
      <c r="J820" s="58"/>
      <c r="K820" s="58"/>
      <c r="L820" s="13" t="str">
        <f t="shared" si="120"/>
        <v/>
      </c>
      <c r="M820" s="13" t="str">
        <f t="shared" si="121"/>
        <v/>
      </c>
      <c r="Q820" t="str">
        <f t="shared" si="122"/>
        <v/>
      </c>
      <c r="R820" t="str">
        <f t="shared" si="123"/>
        <v/>
      </c>
      <c r="S820" t="str">
        <f t="shared" si="124"/>
        <v/>
      </c>
      <c r="T820" t="str">
        <f t="shared" si="125"/>
        <v/>
      </c>
      <c r="U820" t="str">
        <f t="shared" si="126"/>
        <v/>
      </c>
      <c r="V820" t="str">
        <f t="shared" si="127"/>
        <v/>
      </c>
      <c r="W820" t="str">
        <f t="shared" si="128"/>
        <v/>
      </c>
      <c r="X820">
        <f>IF($T820="",N($X819),IF(MATCH($T820,$T$6:$T$10005,0)=ROW()-5,N($X819)+1,N($X819)))</f>
        <v>0</v>
      </c>
      <c r="Z820" t="str">
        <f t="shared" si="129"/>
        <v/>
      </c>
      <c r="AA820">
        <f>IF($V820="",N($AA819),IF(MATCH($V820,$V$6:$V$10005,0)=ROW()-5,N($AA819)+1,N($AA819)))</f>
        <v>0</v>
      </c>
    </row>
    <row r="821" spans="1:27" ht="21" customHeight="1" x14ac:dyDescent="0.95">
      <c r="A821" s="56"/>
      <c r="B821" s="57"/>
      <c r="C821" s="57"/>
      <c r="D821" s="57"/>
      <c r="E821" s="56"/>
      <c r="F821" s="57"/>
      <c r="G821" s="57"/>
      <c r="H821" s="56"/>
      <c r="I821" s="56"/>
      <c r="J821" s="58"/>
      <c r="K821" s="58"/>
      <c r="L821" s="13" t="str">
        <f t="shared" si="120"/>
        <v/>
      </c>
      <c r="M821" s="13" t="str">
        <f t="shared" si="121"/>
        <v/>
      </c>
      <c r="Q821" t="str">
        <f t="shared" si="122"/>
        <v/>
      </c>
      <c r="R821" t="str">
        <f t="shared" si="123"/>
        <v/>
      </c>
      <c r="S821" t="str">
        <f t="shared" si="124"/>
        <v/>
      </c>
      <c r="T821" t="str">
        <f t="shared" si="125"/>
        <v/>
      </c>
      <c r="U821" t="str">
        <f t="shared" si="126"/>
        <v/>
      </c>
      <c r="V821" t="str">
        <f t="shared" si="127"/>
        <v/>
      </c>
      <c r="W821" t="str">
        <f t="shared" si="128"/>
        <v/>
      </c>
      <c r="X821">
        <f>IF($T821="",N($X820),IF(MATCH($T821,$T$6:$T$10005,0)=ROW()-5,N($X820)+1,N($X820)))</f>
        <v>0</v>
      </c>
      <c r="Z821" t="str">
        <f t="shared" si="129"/>
        <v/>
      </c>
      <c r="AA821">
        <f>IF($V821="",N($AA820),IF(MATCH($V821,$V$6:$V$10005,0)=ROW()-5,N($AA820)+1,N($AA820)))</f>
        <v>0</v>
      </c>
    </row>
    <row r="822" spans="1:27" ht="21" customHeight="1" x14ac:dyDescent="0.95">
      <c r="A822" s="56"/>
      <c r="B822" s="57"/>
      <c r="C822" s="57"/>
      <c r="D822" s="57"/>
      <c r="E822" s="56"/>
      <c r="F822" s="57"/>
      <c r="G822" s="57"/>
      <c r="H822" s="56"/>
      <c r="I822" s="56"/>
      <c r="J822" s="58"/>
      <c r="K822" s="58"/>
      <c r="L822" s="13" t="str">
        <f t="shared" si="120"/>
        <v/>
      </c>
      <c r="M822" s="13" t="str">
        <f t="shared" si="121"/>
        <v/>
      </c>
      <c r="Q822" t="str">
        <f t="shared" si="122"/>
        <v/>
      </c>
      <c r="R822" t="str">
        <f t="shared" si="123"/>
        <v/>
      </c>
      <c r="S822" t="str">
        <f t="shared" si="124"/>
        <v/>
      </c>
      <c r="T822" t="str">
        <f t="shared" si="125"/>
        <v/>
      </c>
      <c r="U822" t="str">
        <f t="shared" si="126"/>
        <v/>
      </c>
      <c r="V822" t="str">
        <f t="shared" si="127"/>
        <v/>
      </c>
      <c r="W822" t="str">
        <f t="shared" si="128"/>
        <v/>
      </c>
      <c r="X822">
        <f>IF($T822="",N($X821),IF(MATCH($T822,$T$6:$T$10005,0)=ROW()-5,N($X821)+1,N($X821)))</f>
        <v>0</v>
      </c>
      <c r="Z822" t="str">
        <f t="shared" si="129"/>
        <v/>
      </c>
      <c r="AA822">
        <f>IF($V822="",N($AA821),IF(MATCH($V822,$V$6:$V$10005,0)=ROW()-5,N($AA821)+1,N($AA821)))</f>
        <v>0</v>
      </c>
    </row>
    <row r="823" spans="1:27" ht="21" customHeight="1" x14ac:dyDescent="0.95">
      <c r="A823" s="56"/>
      <c r="B823" s="57"/>
      <c r="C823" s="57"/>
      <c r="D823" s="57"/>
      <c r="E823" s="56"/>
      <c r="F823" s="57"/>
      <c r="G823" s="57"/>
      <c r="H823" s="56"/>
      <c r="I823" s="56"/>
      <c r="J823" s="58"/>
      <c r="K823" s="58"/>
      <c r="L823" s="13" t="str">
        <f t="shared" si="120"/>
        <v/>
      </c>
      <c r="M823" s="13" t="str">
        <f t="shared" si="121"/>
        <v/>
      </c>
      <c r="Q823" t="str">
        <f t="shared" si="122"/>
        <v/>
      </c>
      <c r="R823" t="str">
        <f t="shared" si="123"/>
        <v/>
      </c>
      <c r="S823" t="str">
        <f t="shared" si="124"/>
        <v/>
      </c>
      <c r="T823" t="str">
        <f t="shared" si="125"/>
        <v/>
      </c>
      <c r="U823" t="str">
        <f t="shared" si="126"/>
        <v/>
      </c>
      <c r="V823" t="str">
        <f t="shared" si="127"/>
        <v/>
      </c>
      <c r="W823" t="str">
        <f t="shared" si="128"/>
        <v/>
      </c>
      <c r="X823">
        <f>IF($T823="",N($X822),IF(MATCH($T823,$T$6:$T$10005,0)=ROW()-5,N($X822)+1,N($X822)))</f>
        <v>0</v>
      </c>
      <c r="Z823" t="str">
        <f t="shared" si="129"/>
        <v/>
      </c>
      <c r="AA823">
        <f>IF($V823="",N($AA822),IF(MATCH($V823,$V$6:$V$10005,0)=ROW()-5,N($AA822)+1,N($AA822)))</f>
        <v>0</v>
      </c>
    </row>
    <row r="824" spans="1:27" ht="21" customHeight="1" x14ac:dyDescent="0.95">
      <c r="A824" s="56"/>
      <c r="B824" s="57"/>
      <c r="C824" s="57"/>
      <c r="D824" s="57"/>
      <c r="E824" s="56"/>
      <c r="F824" s="57"/>
      <c r="G824" s="57"/>
      <c r="H824" s="56"/>
      <c r="I824" s="56"/>
      <c r="J824" s="58"/>
      <c r="K824" s="58"/>
      <c r="L824" s="13" t="str">
        <f t="shared" si="120"/>
        <v/>
      </c>
      <c r="M824" s="13" t="str">
        <f t="shared" si="121"/>
        <v/>
      </c>
      <c r="Q824" t="str">
        <f t="shared" si="122"/>
        <v/>
      </c>
      <c r="R824" t="str">
        <f t="shared" si="123"/>
        <v/>
      </c>
      <c r="S824" t="str">
        <f t="shared" si="124"/>
        <v/>
      </c>
      <c r="T824" t="str">
        <f t="shared" si="125"/>
        <v/>
      </c>
      <c r="U824" t="str">
        <f t="shared" si="126"/>
        <v/>
      </c>
      <c r="V824" t="str">
        <f t="shared" si="127"/>
        <v/>
      </c>
      <c r="W824" t="str">
        <f t="shared" si="128"/>
        <v/>
      </c>
      <c r="X824">
        <f>IF($T824="",N($X823),IF(MATCH($T824,$T$6:$T$10005,0)=ROW()-5,N($X823)+1,N($X823)))</f>
        <v>0</v>
      </c>
      <c r="Z824" t="str">
        <f t="shared" si="129"/>
        <v/>
      </c>
      <c r="AA824">
        <f>IF($V824="",N($AA823),IF(MATCH($V824,$V$6:$V$10005,0)=ROW()-5,N($AA823)+1,N($AA823)))</f>
        <v>0</v>
      </c>
    </row>
    <row r="825" spans="1:27" ht="21" customHeight="1" x14ac:dyDescent="0.95">
      <c r="A825" s="56"/>
      <c r="B825" s="57"/>
      <c r="C825" s="57"/>
      <c r="D825" s="57"/>
      <c r="E825" s="56"/>
      <c r="F825" s="57"/>
      <c r="G825" s="57"/>
      <c r="H825" s="56"/>
      <c r="I825" s="56"/>
      <c r="J825" s="58"/>
      <c r="K825" s="58"/>
      <c r="L825" s="13" t="str">
        <f t="shared" si="120"/>
        <v/>
      </c>
      <c r="M825" s="13" t="str">
        <f t="shared" si="121"/>
        <v/>
      </c>
      <c r="Q825" t="str">
        <f t="shared" si="122"/>
        <v/>
      </c>
      <c r="R825" t="str">
        <f t="shared" si="123"/>
        <v/>
      </c>
      <c r="S825" t="str">
        <f t="shared" si="124"/>
        <v/>
      </c>
      <c r="T825" t="str">
        <f t="shared" si="125"/>
        <v/>
      </c>
      <c r="U825" t="str">
        <f t="shared" si="126"/>
        <v/>
      </c>
      <c r="V825" t="str">
        <f t="shared" si="127"/>
        <v/>
      </c>
      <c r="W825" t="str">
        <f t="shared" si="128"/>
        <v/>
      </c>
      <c r="X825">
        <f>IF($T825="",N($X824),IF(MATCH($T825,$T$6:$T$10005,0)=ROW()-5,N($X824)+1,N($X824)))</f>
        <v>0</v>
      </c>
      <c r="Z825" t="str">
        <f t="shared" si="129"/>
        <v/>
      </c>
      <c r="AA825">
        <f>IF($V825="",N($AA824),IF(MATCH($V825,$V$6:$V$10005,0)=ROW()-5,N($AA824)+1,N($AA824)))</f>
        <v>0</v>
      </c>
    </row>
    <row r="826" spans="1:27" ht="21" customHeight="1" x14ac:dyDescent="0.95">
      <c r="A826" s="56"/>
      <c r="B826" s="57"/>
      <c r="C826" s="57"/>
      <c r="D826" s="57"/>
      <c r="E826" s="56"/>
      <c r="F826" s="57"/>
      <c r="G826" s="57"/>
      <c r="H826" s="56"/>
      <c r="I826" s="56"/>
      <c r="J826" s="58"/>
      <c r="K826" s="58"/>
      <c r="L826" s="13" t="str">
        <f t="shared" si="120"/>
        <v/>
      </c>
      <c r="M826" s="13" t="str">
        <f t="shared" si="121"/>
        <v/>
      </c>
      <c r="Q826" t="str">
        <f t="shared" si="122"/>
        <v/>
      </c>
      <c r="R826" t="str">
        <f t="shared" si="123"/>
        <v/>
      </c>
      <c r="S826" t="str">
        <f t="shared" si="124"/>
        <v/>
      </c>
      <c r="T826" t="str">
        <f t="shared" si="125"/>
        <v/>
      </c>
      <c r="U826" t="str">
        <f t="shared" si="126"/>
        <v/>
      </c>
      <c r="V826" t="str">
        <f t="shared" si="127"/>
        <v/>
      </c>
      <c r="W826" t="str">
        <f t="shared" si="128"/>
        <v/>
      </c>
      <c r="X826">
        <f>IF($T826="",N($X825),IF(MATCH($T826,$T$6:$T$10005,0)=ROW()-5,N($X825)+1,N($X825)))</f>
        <v>0</v>
      </c>
      <c r="Z826" t="str">
        <f t="shared" si="129"/>
        <v/>
      </c>
      <c r="AA826">
        <f>IF($V826="",N($AA825),IF(MATCH($V826,$V$6:$V$10005,0)=ROW()-5,N($AA825)+1,N($AA825)))</f>
        <v>0</v>
      </c>
    </row>
    <row r="827" spans="1:27" ht="21" customHeight="1" x14ac:dyDescent="0.95">
      <c r="A827" s="56"/>
      <c r="B827" s="57"/>
      <c r="C827" s="57"/>
      <c r="D827" s="57"/>
      <c r="E827" s="56"/>
      <c r="F827" s="57"/>
      <c r="G827" s="57"/>
      <c r="H827" s="56"/>
      <c r="I827" s="56"/>
      <c r="J827" s="58"/>
      <c r="K827" s="58"/>
      <c r="L827" s="13" t="str">
        <f t="shared" si="120"/>
        <v/>
      </c>
      <c r="M827" s="13" t="str">
        <f t="shared" si="121"/>
        <v/>
      </c>
      <c r="Q827" t="str">
        <f t="shared" si="122"/>
        <v/>
      </c>
      <c r="R827" t="str">
        <f t="shared" si="123"/>
        <v/>
      </c>
      <c r="S827" t="str">
        <f t="shared" si="124"/>
        <v/>
      </c>
      <c r="T827" t="str">
        <f t="shared" si="125"/>
        <v/>
      </c>
      <c r="U827" t="str">
        <f t="shared" si="126"/>
        <v/>
      </c>
      <c r="V827" t="str">
        <f t="shared" si="127"/>
        <v/>
      </c>
      <c r="W827" t="str">
        <f t="shared" si="128"/>
        <v/>
      </c>
      <c r="X827">
        <f>IF($T827="",N($X826),IF(MATCH($T827,$T$6:$T$10005,0)=ROW()-5,N($X826)+1,N($X826)))</f>
        <v>0</v>
      </c>
      <c r="Z827" t="str">
        <f t="shared" si="129"/>
        <v/>
      </c>
      <c r="AA827">
        <f>IF($V827="",N($AA826),IF(MATCH($V827,$V$6:$V$10005,0)=ROW()-5,N($AA826)+1,N($AA826)))</f>
        <v>0</v>
      </c>
    </row>
    <row r="828" spans="1:27" ht="21" customHeight="1" x14ac:dyDescent="0.95">
      <c r="A828" s="56"/>
      <c r="B828" s="57"/>
      <c r="C828" s="57"/>
      <c r="D828" s="57"/>
      <c r="E828" s="56"/>
      <c r="F828" s="57"/>
      <c r="G828" s="57"/>
      <c r="H828" s="56"/>
      <c r="I828" s="56"/>
      <c r="J828" s="58"/>
      <c r="K828" s="58"/>
      <c r="L828" s="13" t="str">
        <f t="shared" si="120"/>
        <v/>
      </c>
      <c r="M828" s="13" t="str">
        <f t="shared" si="121"/>
        <v/>
      </c>
      <c r="Q828" t="str">
        <f t="shared" si="122"/>
        <v/>
      </c>
      <c r="R828" t="str">
        <f t="shared" si="123"/>
        <v/>
      </c>
      <c r="S828" t="str">
        <f t="shared" si="124"/>
        <v/>
      </c>
      <c r="T828" t="str">
        <f t="shared" si="125"/>
        <v/>
      </c>
      <c r="U828" t="str">
        <f t="shared" si="126"/>
        <v/>
      </c>
      <c r="V828" t="str">
        <f t="shared" si="127"/>
        <v/>
      </c>
      <c r="W828" t="str">
        <f t="shared" si="128"/>
        <v/>
      </c>
      <c r="X828">
        <f>IF($T828="",N($X827),IF(MATCH($T828,$T$6:$T$10005,0)=ROW()-5,N($X827)+1,N($X827)))</f>
        <v>0</v>
      </c>
      <c r="Z828" t="str">
        <f t="shared" si="129"/>
        <v/>
      </c>
      <c r="AA828">
        <f>IF($V828="",N($AA827),IF(MATCH($V828,$V$6:$V$10005,0)=ROW()-5,N($AA827)+1,N($AA827)))</f>
        <v>0</v>
      </c>
    </row>
    <row r="829" spans="1:27" ht="21" customHeight="1" x14ac:dyDescent="0.95">
      <c r="A829" s="56"/>
      <c r="B829" s="57"/>
      <c r="C829" s="57"/>
      <c r="D829" s="57"/>
      <c r="E829" s="56"/>
      <c r="F829" s="57"/>
      <c r="G829" s="57"/>
      <c r="H829" s="56"/>
      <c r="I829" s="56"/>
      <c r="J829" s="58"/>
      <c r="K829" s="58"/>
      <c r="L829" s="13" t="str">
        <f t="shared" si="120"/>
        <v/>
      </c>
      <c r="M829" s="13" t="str">
        <f t="shared" si="121"/>
        <v/>
      </c>
      <c r="Q829" t="str">
        <f t="shared" si="122"/>
        <v/>
      </c>
      <c r="R829" t="str">
        <f t="shared" si="123"/>
        <v/>
      </c>
      <c r="S829" t="str">
        <f t="shared" si="124"/>
        <v/>
      </c>
      <c r="T829" t="str">
        <f t="shared" si="125"/>
        <v/>
      </c>
      <c r="U829" t="str">
        <f t="shared" si="126"/>
        <v/>
      </c>
      <c r="V829" t="str">
        <f t="shared" si="127"/>
        <v/>
      </c>
      <c r="W829" t="str">
        <f t="shared" si="128"/>
        <v/>
      </c>
      <c r="X829">
        <f>IF($T829="",N($X828),IF(MATCH($T829,$T$6:$T$10005,0)=ROW()-5,N($X828)+1,N($X828)))</f>
        <v>0</v>
      </c>
      <c r="Z829" t="str">
        <f t="shared" si="129"/>
        <v/>
      </c>
      <c r="AA829">
        <f>IF($V829="",N($AA828),IF(MATCH($V829,$V$6:$V$10005,0)=ROW()-5,N($AA828)+1,N($AA828)))</f>
        <v>0</v>
      </c>
    </row>
    <row r="830" spans="1:27" ht="21" customHeight="1" x14ac:dyDescent="0.95">
      <c r="A830" s="56"/>
      <c r="B830" s="57"/>
      <c r="C830" s="57"/>
      <c r="D830" s="57"/>
      <c r="E830" s="56"/>
      <c r="F830" s="57"/>
      <c r="G830" s="57"/>
      <c r="H830" s="56"/>
      <c r="I830" s="56"/>
      <c r="J830" s="58"/>
      <c r="K830" s="58"/>
      <c r="L830" s="13" t="str">
        <f t="shared" si="120"/>
        <v/>
      </c>
      <c r="M830" s="13" t="str">
        <f t="shared" si="121"/>
        <v/>
      </c>
      <c r="Q830" t="str">
        <f t="shared" si="122"/>
        <v/>
      </c>
      <c r="R830" t="str">
        <f t="shared" si="123"/>
        <v/>
      </c>
      <c r="S830" t="str">
        <f t="shared" si="124"/>
        <v/>
      </c>
      <c r="T830" t="str">
        <f t="shared" si="125"/>
        <v/>
      </c>
      <c r="U830" t="str">
        <f t="shared" si="126"/>
        <v/>
      </c>
      <c r="V830" t="str">
        <f t="shared" si="127"/>
        <v/>
      </c>
      <c r="W830" t="str">
        <f t="shared" si="128"/>
        <v/>
      </c>
      <c r="X830">
        <f>IF($T830="",N($X829),IF(MATCH($T830,$T$6:$T$10005,0)=ROW()-5,N($X829)+1,N($X829)))</f>
        <v>0</v>
      </c>
      <c r="Z830" t="str">
        <f t="shared" si="129"/>
        <v/>
      </c>
      <c r="AA830">
        <f>IF($V830="",N($AA829),IF(MATCH($V830,$V$6:$V$10005,0)=ROW()-5,N($AA829)+1,N($AA829)))</f>
        <v>0</v>
      </c>
    </row>
    <row r="831" spans="1:27" ht="21" customHeight="1" x14ac:dyDescent="0.95">
      <c r="A831" s="56"/>
      <c r="B831" s="57"/>
      <c r="C831" s="57"/>
      <c r="D831" s="57"/>
      <c r="E831" s="56"/>
      <c r="F831" s="57"/>
      <c r="G831" s="57"/>
      <c r="H831" s="56"/>
      <c r="I831" s="56"/>
      <c r="J831" s="58"/>
      <c r="K831" s="58"/>
      <c r="L831" s="13" t="str">
        <f t="shared" si="120"/>
        <v/>
      </c>
      <c r="M831" s="13" t="str">
        <f t="shared" si="121"/>
        <v/>
      </c>
      <c r="Q831" t="str">
        <f t="shared" si="122"/>
        <v/>
      </c>
      <c r="R831" t="str">
        <f t="shared" si="123"/>
        <v/>
      </c>
      <c r="S831" t="str">
        <f t="shared" si="124"/>
        <v/>
      </c>
      <c r="T831" t="str">
        <f t="shared" si="125"/>
        <v/>
      </c>
      <c r="U831" t="str">
        <f t="shared" si="126"/>
        <v/>
      </c>
      <c r="V831" t="str">
        <f t="shared" si="127"/>
        <v/>
      </c>
      <c r="W831" t="str">
        <f t="shared" si="128"/>
        <v/>
      </c>
      <c r="X831">
        <f>IF($T831="",N($X830),IF(MATCH($T831,$T$6:$T$10005,0)=ROW()-5,N($X830)+1,N($X830)))</f>
        <v>0</v>
      </c>
      <c r="Z831" t="str">
        <f t="shared" si="129"/>
        <v/>
      </c>
      <c r="AA831">
        <f>IF($V831="",N($AA830),IF(MATCH($V831,$V$6:$V$10005,0)=ROW()-5,N($AA830)+1,N($AA830)))</f>
        <v>0</v>
      </c>
    </row>
    <row r="832" spans="1:27" ht="21" customHeight="1" x14ac:dyDescent="0.95">
      <c r="A832" s="56"/>
      <c r="B832" s="57"/>
      <c r="C832" s="57"/>
      <c r="D832" s="57"/>
      <c r="E832" s="56"/>
      <c r="F832" s="57"/>
      <c r="G832" s="57"/>
      <c r="H832" s="56"/>
      <c r="I832" s="56"/>
      <c r="J832" s="58"/>
      <c r="K832" s="58"/>
      <c r="L832" s="13" t="str">
        <f t="shared" si="120"/>
        <v/>
      </c>
      <c r="M832" s="13" t="str">
        <f t="shared" si="121"/>
        <v/>
      </c>
      <c r="Q832" t="str">
        <f t="shared" si="122"/>
        <v/>
      </c>
      <c r="R832" t="str">
        <f t="shared" si="123"/>
        <v/>
      </c>
      <c r="S832" t="str">
        <f t="shared" si="124"/>
        <v/>
      </c>
      <c r="T832" t="str">
        <f t="shared" si="125"/>
        <v/>
      </c>
      <c r="U832" t="str">
        <f t="shared" si="126"/>
        <v/>
      </c>
      <c r="V832" t="str">
        <f t="shared" si="127"/>
        <v/>
      </c>
      <c r="W832" t="str">
        <f t="shared" si="128"/>
        <v/>
      </c>
      <c r="X832">
        <f>IF($T832="",N($X831),IF(MATCH($T832,$T$6:$T$10005,0)=ROW()-5,N($X831)+1,N($X831)))</f>
        <v>0</v>
      </c>
      <c r="Z832" t="str">
        <f t="shared" si="129"/>
        <v/>
      </c>
      <c r="AA832">
        <f>IF($V832="",N($AA831),IF(MATCH($V832,$V$6:$V$10005,0)=ROW()-5,N($AA831)+1,N($AA831)))</f>
        <v>0</v>
      </c>
    </row>
    <row r="833" spans="1:27" ht="21" customHeight="1" x14ac:dyDescent="0.95">
      <c r="A833" s="56"/>
      <c r="B833" s="57"/>
      <c r="C833" s="57"/>
      <c r="D833" s="57"/>
      <c r="E833" s="56"/>
      <c r="F833" s="57"/>
      <c r="G833" s="57"/>
      <c r="H833" s="56"/>
      <c r="I833" s="56"/>
      <c r="J833" s="58"/>
      <c r="K833" s="58"/>
      <c r="L833" s="13" t="str">
        <f t="shared" si="120"/>
        <v/>
      </c>
      <c r="M833" s="13" t="str">
        <f t="shared" si="121"/>
        <v/>
      </c>
      <c r="Q833" t="str">
        <f t="shared" si="122"/>
        <v/>
      </c>
      <c r="R833" t="str">
        <f t="shared" si="123"/>
        <v/>
      </c>
      <c r="S833" t="str">
        <f t="shared" si="124"/>
        <v/>
      </c>
      <c r="T833" t="str">
        <f t="shared" si="125"/>
        <v/>
      </c>
      <c r="U833" t="str">
        <f t="shared" si="126"/>
        <v/>
      </c>
      <c r="V833" t="str">
        <f t="shared" si="127"/>
        <v/>
      </c>
      <c r="W833" t="str">
        <f t="shared" si="128"/>
        <v/>
      </c>
      <c r="X833">
        <f>IF($T833="",N($X832),IF(MATCH($T833,$T$6:$T$10005,0)=ROW()-5,N($X832)+1,N($X832)))</f>
        <v>0</v>
      </c>
      <c r="Z833" t="str">
        <f t="shared" si="129"/>
        <v/>
      </c>
      <c r="AA833">
        <f>IF($V833="",N($AA832),IF(MATCH($V833,$V$6:$V$10005,0)=ROW()-5,N($AA832)+1,N($AA832)))</f>
        <v>0</v>
      </c>
    </row>
    <row r="834" spans="1:27" ht="21" customHeight="1" x14ac:dyDescent="0.95">
      <c r="A834" s="56"/>
      <c r="B834" s="57"/>
      <c r="C834" s="57"/>
      <c r="D834" s="57"/>
      <c r="E834" s="56"/>
      <c r="F834" s="57"/>
      <c r="G834" s="57"/>
      <c r="H834" s="56"/>
      <c r="I834" s="56"/>
      <c r="J834" s="58"/>
      <c r="K834" s="58"/>
      <c r="L834" s="13" t="str">
        <f t="shared" si="120"/>
        <v/>
      </c>
      <c r="M834" s="13" t="str">
        <f t="shared" si="121"/>
        <v/>
      </c>
      <c r="Q834" t="str">
        <f t="shared" si="122"/>
        <v/>
      </c>
      <c r="R834" t="str">
        <f t="shared" si="123"/>
        <v/>
      </c>
      <c r="S834" t="str">
        <f t="shared" si="124"/>
        <v/>
      </c>
      <c r="T834" t="str">
        <f t="shared" si="125"/>
        <v/>
      </c>
      <c r="U834" t="str">
        <f t="shared" si="126"/>
        <v/>
      </c>
      <c r="V834" t="str">
        <f t="shared" si="127"/>
        <v/>
      </c>
      <c r="W834" t="str">
        <f t="shared" si="128"/>
        <v/>
      </c>
      <c r="X834">
        <f>IF($T834="",N($X833),IF(MATCH($T834,$T$6:$T$10005,0)=ROW()-5,N($X833)+1,N($X833)))</f>
        <v>0</v>
      </c>
      <c r="Z834" t="str">
        <f t="shared" si="129"/>
        <v/>
      </c>
      <c r="AA834">
        <f>IF($V834="",N($AA833),IF(MATCH($V834,$V$6:$V$10005,0)=ROW()-5,N($AA833)+1,N($AA833)))</f>
        <v>0</v>
      </c>
    </row>
    <row r="835" spans="1:27" ht="21" customHeight="1" x14ac:dyDescent="0.95">
      <c r="A835" s="56"/>
      <c r="B835" s="57"/>
      <c r="C835" s="57"/>
      <c r="D835" s="57"/>
      <c r="E835" s="56"/>
      <c r="F835" s="57"/>
      <c r="G835" s="57"/>
      <c r="H835" s="56"/>
      <c r="I835" s="56"/>
      <c r="J835" s="58"/>
      <c r="K835" s="58"/>
      <c r="L835" s="13" t="str">
        <f t="shared" si="120"/>
        <v/>
      </c>
      <c r="M835" s="13" t="str">
        <f t="shared" si="121"/>
        <v/>
      </c>
      <c r="Q835" t="str">
        <f t="shared" si="122"/>
        <v/>
      </c>
      <c r="R835" t="str">
        <f t="shared" si="123"/>
        <v/>
      </c>
      <c r="S835" t="str">
        <f t="shared" si="124"/>
        <v/>
      </c>
      <c r="T835" t="str">
        <f t="shared" si="125"/>
        <v/>
      </c>
      <c r="U835" t="str">
        <f t="shared" si="126"/>
        <v/>
      </c>
      <c r="V835" t="str">
        <f t="shared" si="127"/>
        <v/>
      </c>
      <c r="W835" t="str">
        <f t="shared" si="128"/>
        <v/>
      </c>
      <c r="X835">
        <f>IF($T835="",N($X834),IF(MATCH($T835,$T$6:$T$10005,0)=ROW()-5,N($X834)+1,N($X834)))</f>
        <v>0</v>
      </c>
      <c r="Z835" t="str">
        <f t="shared" si="129"/>
        <v/>
      </c>
      <c r="AA835">
        <f>IF($V835="",N($AA834),IF(MATCH($V835,$V$6:$V$10005,0)=ROW()-5,N($AA834)+1,N($AA834)))</f>
        <v>0</v>
      </c>
    </row>
    <row r="836" spans="1:27" ht="21" customHeight="1" x14ac:dyDescent="0.95">
      <c r="A836" s="56"/>
      <c r="B836" s="57"/>
      <c r="C836" s="57"/>
      <c r="D836" s="57"/>
      <c r="E836" s="56"/>
      <c r="F836" s="57"/>
      <c r="G836" s="57"/>
      <c r="H836" s="56"/>
      <c r="I836" s="56"/>
      <c r="J836" s="58"/>
      <c r="K836" s="58"/>
      <c r="L836" s="13" t="str">
        <f t="shared" si="120"/>
        <v/>
      </c>
      <c r="M836" s="13" t="str">
        <f t="shared" si="121"/>
        <v/>
      </c>
      <c r="Q836" t="str">
        <f t="shared" si="122"/>
        <v/>
      </c>
      <c r="R836" t="str">
        <f t="shared" si="123"/>
        <v/>
      </c>
      <c r="S836" t="str">
        <f t="shared" si="124"/>
        <v/>
      </c>
      <c r="T836" t="str">
        <f t="shared" si="125"/>
        <v/>
      </c>
      <c r="U836" t="str">
        <f t="shared" si="126"/>
        <v/>
      </c>
      <c r="V836" t="str">
        <f t="shared" si="127"/>
        <v/>
      </c>
      <c r="W836" t="str">
        <f t="shared" si="128"/>
        <v/>
      </c>
      <c r="X836">
        <f>IF($T836="",N($X835),IF(MATCH($T836,$T$6:$T$10005,0)=ROW()-5,N($X835)+1,N($X835)))</f>
        <v>0</v>
      </c>
      <c r="Z836" t="str">
        <f t="shared" si="129"/>
        <v/>
      </c>
      <c r="AA836">
        <f>IF($V836="",N($AA835),IF(MATCH($V836,$V$6:$V$10005,0)=ROW()-5,N($AA835)+1,N($AA835)))</f>
        <v>0</v>
      </c>
    </row>
    <row r="837" spans="1:27" ht="21" customHeight="1" x14ac:dyDescent="0.95">
      <c r="A837" s="56"/>
      <c r="B837" s="57"/>
      <c r="C837" s="57"/>
      <c r="D837" s="57"/>
      <c r="E837" s="56"/>
      <c r="F837" s="57"/>
      <c r="G837" s="57"/>
      <c r="H837" s="56"/>
      <c r="I837" s="56"/>
      <c r="J837" s="58"/>
      <c r="K837" s="58"/>
      <c r="L837" s="13" t="str">
        <f t="shared" si="120"/>
        <v/>
      </c>
      <c r="M837" s="13" t="str">
        <f t="shared" si="121"/>
        <v/>
      </c>
      <c r="Q837" t="str">
        <f t="shared" si="122"/>
        <v/>
      </c>
      <c r="R837" t="str">
        <f t="shared" si="123"/>
        <v/>
      </c>
      <c r="S837" t="str">
        <f t="shared" si="124"/>
        <v/>
      </c>
      <c r="T837" t="str">
        <f t="shared" si="125"/>
        <v/>
      </c>
      <c r="U837" t="str">
        <f t="shared" si="126"/>
        <v/>
      </c>
      <c r="V837" t="str">
        <f t="shared" si="127"/>
        <v/>
      </c>
      <c r="W837" t="str">
        <f t="shared" si="128"/>
        <v/>
      </c>
      <c r="X837">
        <f>IF($T837="",N($X836),IF(MATCH($T837,$T$6:$T$10005,0)=ROW()-5,N($X836)+1,N($X836)))</f>
        <v>0</v>
      </c>
      <c r="Z837" t="str">
        <f t="shared" si="129"/>
        <v/>
      </c>
      <c r="AA837">
        <f>IF($V837="",N($AA836),IF(MATCH($V837,$V$6:$V$10005,0)=ROW()-5,N($AA836)+1,N($AA836)))</f>
        <v>0</v>
      </c>
    </row>
    <row r="838" spans="1:27" ht="21" customHeight="1" x14ac:dyDescent="0.95">
      <c r="A838" s="56"/>
      <c r="B838" s="57"/>
      <c r="C838" s="57"/>
      <c r="D838" s="57"/>
      <c r="E838" s="56"/>
      <c r="F838" s="57"/>
      <c r="G838" s="57"/>
      <c r="H838" s="56"/>
      <c r="I838" s="56"/>
      <c r="J838" s="58"/>
      <c r="K838" s="58"/>
      <c r="L838" s="13" t="str">
        <f t="shared" ref="L838:L901" si="130">IF(OR($A838="",AND($J838="",$K838="")),"",ROUND(N($J838)-N($K838),2))</f>
        <v/>
      </c>
      <c r="M838" s="13" t="str">
        <f t="shared" ref="M838:M901" si="131">IF(OR($A838="",AND($J838="",$K838="")),"",MIN($J838,$K838))</f>
        <v/>
      </c>
      <c r="Q838" t="str">
        <f t="shared" ref="Q838:Q901" si="132">IF($A838="","",$D838&amp;"("&amp;SUBSTITUTE($E838," ","")&amp;")")</f>
        <v/>
      </c>
      <c r="R838" t="str">
        <f t="shared" ref="R838:R901" si="133">IF($A838="","",$B838&amp;" - "&amp;$C838)</f>
        <v/>
      </c>
      <c r="S838" t="str">
        <f t="shared" ref="S838:S901" si="134">IF($A838="","",$R838&amp;"|"&amp;$Q838)</f>
        <v/>
      </c>
      <c r="T838" t="str">
        <f t="shared" ref="T838:T901" si="135">IF($A838="","",$S838&amp;"|"&amp;$F838)</f>
        <v/>
      </c>
      <c r="U838" t="str">
        <f t="shared" ref="U838:U901" si="136">IF($A838="","",$R838&amp;"("&amp;$E838&amp;")")</f>
        <v/>
      </c>
      <c r="V838" t="str">
        <f t="shared" ref="V838:V901" si="137">IF($A838="","",$F838&amp;"|"&amp;$U838&amp;"|"&amp;$D838)</f>
        <v/>
      </c>
      <c r="W838" t="str">
        <f t="shared" ref="W838:W901" si="138">IF($T838="","",IF($X838&gt;N($X837),$X838,""))</f>
        <v/>
      </c>
      <c r="X838">
        <f>IF($T838="",N($X837),IF(MATCH($T838,$T$6:$T$10005,0)=ROW()-5,N($X837)+1,N($X837)))</f>
        <v>0</v>
      </c>
      <c r="Z838" t="str">
        <f t="shared" ref="Z838:Z901" si="139">IF($V838="","",IF($AA838&gt;N($AA837),$AA838,""))</f>
        <v/>
      </c>
      <c r="AA838">
        <f>IF($V838="",N($AA837),IF(MATCH($V838,$V$6:$V$10005,0)=ROW()-5,N($AA837)+1,N($AA837)))</f>
        <v>0</v>
      </c>
    </row>
    <row r="839" spans="1:27" ht="21" customHeight="1" x14ac:dyDescent="0.95">
      <c r="A839" s="56"/>
      <c r="B839" s="57"/>
      <c r="C839" s="57"/>
      <c r="D839" s="57"/>
      <c r="E839" s="56"/>
      <c r="F839" s="57"/>
      <c r="G839" s="57"/>
      <c r="H839" s="56"/>
      <c r="I839" s="56"/>
      <c r="J839" s="58"/>
      <c r="K839" s="58"/>
      <c r="L839" s="13" t="str">
        <f t="shared" si="130"/>
        <v/>
      </c>
      <c r="M839" s="13" t="str">
        <f t="shared" si="131"/>
        <v/>
      </c>
      <c r="Q839" t="str">
        <f t="shared" si="132"/>
        <v/>
      </c>
      <c r="R839" t="str">
        <f t="shared" si="133"/>
        <v/>
      </c>
      <c r="S839" t="str">
        <f t="shared" si="134"/>
        <v/>
      </c>
      <c r="T839" t="str">
        <f t="shared" si="135"/>
        <v/>
      </c>
      <c r="U839" t="str">
        <f t="shared" si="136"/>
        <v/>
      </c>
      <c r="V839" t="str">
        <f t="shared" si="137"/>
        <v/>
      </c>
      <c r="W839" t="str">
        <f t="shared" si="138"/>
        <v/>
      </c>
      <c r="X839">
        <f>IF($T839="",N($X838),IF(MATCH($T839,$T$6:$T$10005,0)=ROW()-5,N($X838)+1,N($X838)))</f>
        <v>0</v>
      </c>
      <c r="Z839" t="str">
        <f t="shared" si="139"/>
        <v/>
      </c>
      <c r="AA839">
        <f>IF($V839="",N($AA838),IF(MATCH($V839,$V$6:$V$10005,0)=ROW()-5,N($AA838)+1,N($AA838)))</f>
        <v>0</v>
      </c>
    </row>
    <row r="840" spans="1:27" ht="21" customHeight="1" x14ac:dyDescent="0.95">
      <c r="A840" s="56"/>
      <c r="B840" s="57"/>
      <c r="C840" s="57"/>
      <c r="D840" s="57"/>
      <c r="E840" s="56"/>
      <c r="F840" s="57"/>
      <c r="G840" s="57"/>
      <c r="H840" s="56"/>
      <c r="I840" s="56"/>
      <c r="J840" s="58"/>
      <c r="K840" s="58"/>
      <c r="L840" s="13" t="str">
        <f t="shared" si="130"/>
        <v/>
      </c>
      <c r="M840" s="13" t="str">
        <f t="shared" si="131"/>
        <v/>
      </c>
      <c r="Q840" t="str">
        <f t="shared" si="132"/>
        <v/>
      </c>
      <c r="R840" t="str">
        <f t="shared" si="133"/>
        <v/>
      </c>
      <c r="S840" t="str">
        <f t="shared" si="134"/>
        <v/>
      </c>
      <c r="T840" t="str">
        <f t="shared" si="135"/>
        <v/>
      </c>
      <c r="U840" t="str">
        <f t="shared" si="136"/>
        <v/>
      </c>
      <c r="V840" t="str">
        <f t="shared" si="137"/>
        <v/>
      </c>
      <c r="W840" t="str">
        <f t="shared" si="138"/>
        <v/>
      </c>
      <c r="X840">
        <f>IF($T840="",N($X839),IF(MATCH($T840,$T$6:$T$10005,0)=ROW()-5,N($X839)+1,N($X839)))</f>
        <v>0</v>
      </c>
      <c r="Z840" t="str">
        <f t="shared" si="139"/>
        <v/>
      </c>
      <c r="AA840">
        <f>IF($V840="",N($AA839),IF(MATCH($V840,$V$6:$V$10005,0)=ROW()-5,N($AA839)+1,N($AA839)))</f>
        <v>0</v>
      </c>
    </row>
    <row r="841" spans="1:27" ht="21" customHeight="1" x14ac:dyDescent="0.95">
      <c r="A841" s="56"/>
      <c r="B841" s="57"/>
      <c r="C841" s="57"/>
      <c r="D841" s="57"/>
      <c r="E841" s="56"/>
      <c r="F841" s="57"/>
      <c r="G841" s="57"/>
      <c r="H841" s="56"/>
      <c r="I841" s="56"/>
      <c r="J841" s="58"/>
      <c r="K841" s="58"/>
      <c r="L841" s="13" t="str">
        <f t="shared" si="130"/>
        <v/>
      </c>
      <c r="M841" s="13" t="str">
        <f t="shared" si="131"/>
        <v/>
      </c>
      <c r="Q841" t="str">
        <f t="shared" si="132"/>
        <v/>
      </c>
      <c r="R841" t="str">
        <f t="shared" si="133"/>
        <v/>
      </c>
      <c r="S841" t="str">
        <f t="shared" si="134"/>
        <v/>
      </c>
      <c r="T841" t="str">
        <f t="shared" si="135"/>
        <v/>
      </c>
      <c r="U841" t="str">
        <f t="shared" si="136"/>
        <v/>
      </c>
      <c r="V841" t="str">
        <f t="shared" si="137"/>
        <v/>
      </c>
      <c r="W841" t="str">
        <f t="shared" si="138"/>
        <v/>
      </c>
      <c r="X841">
        <f>IF($T841="",N($X840),IF(MATCH($T841,$T$6:$T$10005,0)=ROW()-5,N($X840)+1,N($X840)))</f>
        <v>0</v>
      </c>
      <c r="Z841" t="str">
        <f t="shared" si="139"/>
        <v/>
      </c>
      <c r="AA841">
        <f>IF($V841="",N($AA840),IF(MATCH($V841,$V$6:$V$10005,0)=ROW()-5,N($AA840)+1,N($AA840)))</f>
        <v>0</v>
      </c>
    </row>
    <row r="842" spans="1:27" ht="21" customHeight="1" x14ac:dyDescent="0.95">
      <c r="A842" s="56"/>
      <c r="B842" s="57"/>
      <c r="C842" s="57"/>
      <c r="D842" s="57"/>
      <c r="E842" s="56"/>
      <c r="F842" s="57"/>
      <c r="G842" s="57"/>
      <c r="H842" s="56"/>
      <c r="I842" s="56"/>
      <c r="J842" s="58"/>
      <c r="K842" s="58"/>
      <c r="L842" s="13" t="str">
        <f t="shared" si="130"/>
        <v/>
      </c>
      <c r="M842" s="13" t="str">
        <f t="shared" si="131"/>
        <v/>
      </c>
      <c r="Q842" t="str">
        <f t="shared" si="132"/>
        <v/>
      </c>
      <c r="R842" t="str">
        <f t="shared" si="133"/>
        <v/>
      </c>
      <c r="S842" t="str">
        <f t="shared" si="134"/>
        <v/>
      </c>
      <c r="T842" t="str">
        <f t="shared" si="135"/>
        <v/>
      </c>
      <c r="U842" t="str">
        <f t="shared" si="136"/>
        <v/>
      </c>
      <c r="V842" t="str">
        <f t="shared" si="137"/>
        <v/>
      </c>
      <c r="W842" t="str">
        <f t="shared" si="138"/>
        <v/>
      </c>
      <c r="X842">
        <f>IF($T842="",N($X841),IF(MATCH($T842,$T$6:$T$10005,0)=ROW()-5,N($X841)+1,N($X841)))</f>
        <v>0</v>
      </c>
      <c r="Z842" t="str">
        <f t="shared" si="139"/>
        <v/>
      </c>
      <c r="AA842">
        <f>IF($V842="",N($AA841),IF(MATCH($V842,$V$6:$V$10005,0)=ROW()-5,N($AA841)+1,N($AA841)))</f>
        <v>0</v>
      </c>
    </row>
    <row r="843" spans="1:27" ht="21" customHeight="1" x14ac:dyDescent="0.95">
      <c r="A843" s="56"/>
      <c r="B843" s="57"/>
      <c r="C843" s="57"/>
      <c r="D843" s="57"/>
      <c r="E843" s="56"/>
      <c r="F843" s="57"/>
      <c r="G843" s="57"/>
      <c r="H843" s="56"/>
      <c r="I843" s="56"/>
      <c r="J843" s="58"/>
      <c r="K843" s="58"/>
      <c r="L843" s="13" t="str">
        <f t="shared" si="130"/>
        <v/>
      </c>
      <c r="M843" s="13" t="str">
        <f t="shared" si="131"/>
        <v/>
      </c>
      <c r="Q843" t="str">
        <f t="shared" si="132"/>
        <v/>
      </c>
      <c r="R843" t="str">
        <f t="shared" si="133"/>
        <v/>
      </c>
      <c r="S843" t="str">
        <f t="shared" si="134"/>
        <v/>
      </c>
      <c r="T843" t="str">
        <f t="shared" si="135"/>
        <v/>
      </c>
      <c r="U843" t="str">
        <f t="shared" si="136"/>
        <v/>
      </c>
      <c r="V843" t="str">
        <f t="shared" si="137"/>
        <v/>
      </c>
      <c r="W843" t="str">
        <f t="shared" si="138"/>
        <v/>
      </c>
      <c r="X843">
        <f>IF($T843="",N($X842),IF(MATCH($T843,$T$6:$T$10005,0)=ROW()-5,N($X842)+1,N($X842)))</f>
        <v>0</v>
      </c>
      <c r="Z843" t="str">
        <f t="shared" si="139"/>
        <v/>
      </c>
      <c r="AA843">
        <f>IF($V843="",N($AA842),IF(MATCH($V843,$V$6:$V$10005,0)=ROW()-5,N($AA842)+1,N($AA842)))</f>
        <v>0</v>
      </c>
    </row>
    <row r="844" spans="1:27" ht="21" customHeight="1" x14ac:dyDescent="0.95">
      <c r="A844" s="56"/>
      <c r="B844" s="57"/>
      <c r="C844" s="57"/>
      <c r="D844" s="57"/>
      <c r="E844" s="56"/>
      <c r="F844" s="57"/>
      <c r="G844" s="57"/>
      <c r="H844" s="56"/>
      <c r="I844" s="56"/>
      <c r="J844" s="58"/>
      <c r="K844" s="58"/>
      <c r="L844" s="13" t="str">
        <f t="shared" si="130"/>
        <v/>
      </c>
      <c r="M844" s="13" t="str">
        <f t="shared" si="131"/>
        <v/>
      </c>
      <c r="Q844" t="str">
        <f t="shared" si="132"/>
        <v/>
      </c>
      <c r="R844" t="str">
        <f t="shared" si="133"/>
        <v/>
      </c>
      <c r="S844" t="str">
        <f t="shared" si="134"/>
        <v/>
      </c>
      <c r="T844" t="str">
        <f t="shared" si="135"/>
        <v/>
      </c>
      <c r="U844" t="str">
        <f t="shared" si="136"/>
        <v/>
      </c>
      <c r="V844" t="str">
        <f t="shared" si="137"/>
        <v/>
      </c>
      <c r="W844" t="str">
        <f t="shared" si="138"/>
        <v/>
      </c>
      <c r="X844">
        <f>IF($T844="",N($X843),IF(MATCH($T844,$T$6:$T$10005,0)=ROW()-5,N($X843)+1,N($X843)))</f>
        <v>0</v>
      </c>
      <c r="Z844" t="str">
        <f t="shared" si="139"/>
        <v/>
      </c>
      <c r="AA844">
        <f>IF($V844="",N($AA843),IF(MATCH($V844,$V$6:$V$10005,0)=ROW()-5,N($AA843)+1,N($AA843)))</f>
        <v>0</v>
      </c>
    </row>
    <row r="845" spans="1:27" ht="21" customHeight="1" x14ac:dyDescent="0.95">
      <c r="A845" s="56"/>
      <c r="B845" s="57"/>
      <c r="C845" s="57"/>
      <c r="D845" s="57"/>
      <c r="E845" s="56"/>
      <c r="F845" s="57"/>
      <c r="G845" s="57"/>
      <c r="H845" s="56"/>
      <c r="I845" s="56"/>
      <c r="J845" s="58"/>
      <c r="K845" s="58"/>
      <c r="L845" s="13" t="str">
        <f t="shared" si="130"/>
        <v/>
      </c>
      <c r="M845" s="13" t="str">
        <f t="shared" si="131"/>
        <v/>
      </c>
      <c r="Q845" t="str">
        <f t="shared" si="132"/>
        <v/>
      </c>
      <c r="R845" t="str">
        <f t="shared" si="133"/>
        <v/>
      </c>
      <c r="S845" t="str">
        <f t="shared" si="134"/>
        <v/>
      </c>
      <c r="T845" t="str">
        <f t="shared" si="135"/>
        <v/>
      </c>
      <c r="U845" t="str">
        <f t="shared" si="136"/>
        <v/>
      </c>
      <c r="V845" t="str">
        <f t="shared" si="137"/>
        <v/>
      </c>
      <c r="W845" t="str">
        <f t="shared" si="138"/>
        <v/>
      </c>
      <c r="X845">
        <f>IF($T845="",N($X844),IF(MATCH($T845,$T$6:$T$10005,0)=ROW()-5,N($X844)+1,N($X844)))</f>
        <v>0</v>
      </c>
      <c r="Z845" t="str">
        <f t="shared" si="139"/>
        <v/>
      </c>
      <c r="AA845">
        <f>IF($V845="",N($AA844),IF(MATCH($V845,$V$6:$V$10005,0)=ROW()-5,N($AA844)+1,N($AA844)))</f>
        <v>0</v>
      </c>
    </row>
    <row r="846" spans="1:27" ht="21" customHeight="1" x14ac:dyDescent="0.95">
      <c r="A846" s="56"/>
      <c r="B846" s="57"/>
      <c r="C846" s="57"/>
      <c r="D846" s="57"/>
      <c r="E846" s="56"/>
      <c r="F846" s="57"/>
      <c r="G846" s="57"/>
      <c r="H846" s="56"/>
      <c r="I846" s="56"/>
      <c r="J846" s="58"/>
      <c r="K846" s="58"/>
      <c r="L846" s="13" t="str">
        <f t="shared" si="130"/>
        <v/>
      </c>
      <c r="M846" s="13" t="str">
        <f t="shared" si="131"/>
        <v/>
      </c>
      <c r="Q846" t="str">
        <f t="shared" si="132"/>
        <v/>
      </c>
      <c r="R846" t="str">
        <f t="shared" si="133"/>
        <v/>
      </c>
      <c r="S846" t="str">
        <f t="shared" si="134"/>
        <v/>
      </c>
      <c r="T846" t="str">
        <f t="shared" si="135"/>
        <v/>
      </c>
      <c r="U846" t="str">
        <f t="shared" si="136"/>
        <v/>
      </c>
      <c r="V846" t="str">
        <f t="shared" si="137"/>
        <v/>
      </c>
      <c r="W846" t="str">
        <f t="shared" si="138"/>
        <v/>
      </c>
      <c r="X846">
        <f>IF($T846="",N($X845),IF(MATCH($T846,$T$6:$T$10005,0)=ROW()-5,N($X845)+1,N($X845)))</f>
        <v>0</v>
      </c>
      <c r="Z846" t="str">
        <f t="shared" si="139"/>
        <v/>
      </c>
      <c r="AA846">
        <f>IF($V846="",N($AA845),IF(MATCH($V846,$V$6:$V$10005,0)=ROW()-5,N($AA845)+1,N($AA845)))</f>
        <v>0</v>
      </c>
    </row>
    <row r="847" spans="1:27" ht="21" customHeight="1" x14ac:dyDescent="0.95">
      <c r="A847" s="56"/>
      <c r="B847" s="57"/>
      <c r="C847" s="57"/>
      <c r="D847" s="57"/>
      <c r="E847" s="56"/>
      <c r="F847" s="57"/>
      <c r="G847" s="57"/>
      <c r="H847" s="56"/>
      <c r="I847" s="56"/>
      <c r="J847" s="58"/>
      <c r="K847" s="58"/>
      <c r="L847" s="13" t="str">
        <f t="shared" si="130"/>
        <v/>
      </c>
      <c r="M847" s="13" t="str">
        <f t="shared" si="131"/>
        <v/>
      </c>
      <c r="Q847" t="str">
        <f t="shared" si="132"/>
        <v/>
      </c>
      <c r="R847" t="str">
        <f t="shared" si="133"/>
        <v/>
      </c>
      <c r="S847" t="str">
        <f t="shared" si="134"/>
        <v/>
      </c>
      <c r="T847" t="str">
        <f t="shared" si="135"/>
        <v/>
      </c>
      <c r="U847" t="str">
        <f t="shared" si="136"/>
        <v/>
      </c>
      <c r="V847" t="str">
        <f t="shared" si="137"/>
        <v/>
      </c>
      <c r="W847" t="str">
        <f t="shared" si="138"/>
        <v/>
      </c>
      <c r="X847">
        <f>IF($T847="",N($X846),IF(MATCH($T847,$T$6:$T$10005,0)=ROW()-5,N($X846)+1,N($X846)))</f>
        <v>0</v>
      </c>
      <c r="Z847" t="str">
        <f t="shared" si="139"/>
        <v/>
      </c>
      <c r="AA847">
        <f>IF($V847="",N($AA846),IF(MATCH($V847,$V$6:$V$10005,0)=ROW()-5,N($AA846)+1,N($AA846)))</f>
        <v>0</v>
      </c>
    </row>
    <row r="848" spans="1:27" ht="21" customHeight="1" x14ac:dyDescent="0.95">
      <c r="A848" s="56"/>
      <c r="B848" s="57"/>
      <c r="C848" s="57"/>
      <c r="D848" s="57"/>
      <c r="E848" s="56"/>
      <c r="F848" s="57"/>
      <c r="G848" s="57"/>
      <c r="H848" s="56"/>
      <c r="I848" s="56"/>
      <c r="J848" s="58"/>
      <c r="K848" s="58"/>
      <c r="L848" s="13" t="str">
        <f t="shared" si="130"/>
        <v/>
      </c>
      <c r="M848" s="13" t="str">
        <f t="shared" si="131"/>
        <v/>
      </c>
      <c r="Q848" t="str">
        <f t="shared" si="132"/>
        <v/>
      </c>
      <c r="R848" t="str">
        <f t="shared" si="133"/>
        <v/>
      </c>
      <c r="S848" t="str">
        <f t="shared" si="134"/>
        <v/>
      </c>
      <c r="T848" t="str">
        <f t="shared" si="135"/>
        <v/>
      </c>
      <c r="U848" t="str">
        <f t="shared" si="136"/>
        <v/>
      </c>
      <c r="V848" t="str">
        <f t="shared" si="137"/>
        <v/>
      </c>
      <c r="W848" t="str">
        <f t="shared" si="138"/>
        <v/>
      </c>
      <c r="X848">
        <f>IF($T848="",N($X847),IF(MATCH($T848,$T$6:$T$10005,0)=ROW()-5,N($X847)+1,N($X847)))</f>
        <v>0</v>
      </c>
      <c r="Z848" t="str">
        <f t="shared" si="139"/>
        <v/>
      </c>
      <c r="AA848">
        <f>IF($V848="",N($AA847),IF(MATCH($V848,$V$6:$V$10005,0)=ROW()-5,N($AA847)+1,N($AA847)))</f>
        <v>0</v>
      </c>
    </row>
    <row r="849" spans="1:27" ht="21" customHeight="1" x14ac:dyDescent="0.95">
      <c r="A849" s="56"/>
      <c r="B849" s="57"/>
      <c r="C849" s="57"/>
      <c r="D849" s="57"/>
      <c r="E849" s="56"/>
      <c r="F849" s="57"/>
      <c r="G849" s="57"/>
      <c r="H849" s="56"/>
      <c r="I849" s="56"/>
      <c r="J849" s="58"/>
      <c r="K849" s="58"/>
      <c r="L849" s="13" t="str">
        <f t="shared" si="130"/>
        <v/>
      </c>
      <c r="M849" s="13" t="str">
        <f t="shared" si="131"/>
        <v/>
      </c>
      <c r="Q849" t="str">
        <f t="shared" si="132"/>
        <v/>
      </c>
      <c r="R849" t="str">
        <f t="shared" si="133"/>
        <v/>
      </c>
      <c r="S849" t="str">
        <f t="shared" si="134"/>
        <v/>
      </c>
      <c r="T849" t="str">
        <f t="shared" si="135"/>
        <v/>
      </c>
      <c r="U849" t="str">
        <f t="shared" si="136"/>
        <v/>
      </c>
      <c r="V849" t="str">
        <f t="shared" si="137"/>
        <v/>
      </c>
      <c r="W849" t="str">
        <f t="shared" si="138"/>
        <v/>
      </c>
      <c r="X849">
        <f>IF($T849="",N($X848),IF(MATCH($T849,$T$6:$T$10005,0)=ROW()-5,N($X848)+1,N($X848)))</f>
        <v>0</v>
      </c>
      <c r="Z849" t="str">
        <f t="shared" si="139"/>
        <v/>
      </c>
      <c r="AA849">
        <f>IF($V849="",N($AA848),IF(MATCH($V849,$V$6:$V$10005,0)=ROW()-5,N($AA848)+1,N($AA848)))</f>
        <v>0</v>
      </c>
    </row>
    <row r="850" spans="1:27" ht="21" customHeight="1" x14ac:dyDescent="0.95">
      <c r="A850" s="56"/>
      <c r="B850" s="57"/>
      <c r="C850" s="57"/>
      <c r="D850" s="57"/>
      <c r="E850" s="56"/>
      <c r="F850" s="57"/>
      <c r="G850" s="57"/>
      <c r="H850" s="56"/>
      <c r="I850" s="56"/>
      <c r="J850" s="58"/>
      <c r="K850" s="58"/>
      <c r="L850" s="13" t="str">
        <f t="shared" si="130"/>
        <v/>
      </c>
      <c r="M850" s="13" t="str">
        <f t="shared" si="131"/>
        <v/>
      </c>
      <c r="Q850" t="str">
        <f t="shared" si="132"/>
        <v/>
      </c>
      <c r="R850" t="str">
        <f t="shared" si="133"/>
        <v/>
      </c>
      <c r="S850" t="str">
        <f t="shared" si="134"/>
        <v/>
      </c>
      <c r="T850" t="str">
        <f t="shared" si="135"/>
        <v/>
      </c>
      <c r="U850" t="str">
        <f t="shared" si="136"/>
        <v/>
      </c>
      <c r="V850" t="str">
        <f t="shared" si="137"/>
        <v/>
      </c>
      <c r="W850" t="str">
        <f t="shared" si="138"/>
        <v/>
      </c>
      <c r="X850">
        <f>IF($T850="",N($X849),IF(MATCH($T850,$T$6:$T$10005,0)=ROW()-5,N($X849)+1,N($X849)))</f>
        <v>0</v>
      </c>
      <c r="Z850" t="str">
        <f t="shared" si="139"/>
        <v/>
      </c>
      <c r="AA850">
        <f>IF($V850="",N($AA849),IF(MATCH($V850,$V$6:$V$10005,0)=ROW()-5,N($AA849)+1,N($AA849)))</f>
        <v>0</v>
      </c>
    </row>
    <row r="851" spans="1:27" ht="21" customHeight="1" x14ac:dyDescent="0.95">
      <c r="A851" s="56"/>
      <c r="B851" s="57"/>
      <c r="C851" s="57"/>
      <c r="D851" s="57"/>
      <c r="E851" s="56"/>
      <c r="F851" s="57"/>
      <c r="G851" s="57"/>
      <c r="H851" s="56"/>
      <c r="I851" s="56"/>
      <c r="J851" s="58"/>
      <c r="K851" s="58"/>
      <c r="L851" s="13" t="str">
        <f t="shared" si="130"/>
        <v/>
      </c>
      <c r="M851" s="13" t="str">
        <f t="shared" si="131"/>
        <v/>
      </c>
      <c r="Q851" t="str">
        <f t="shared" si="132"/>
        <v/>
      </c>
      <c r="R851" t="str">
        <f t="shared" si="133"/>
        <v/>
      </c>
      <c r="S851" t="str">
        <f t="shared" si="134"/>
        <v/>
      </c>
      <c r="T851" t="str">
        <f t="shared" si="135"/>
        <v/>
      </c>
      <c r="U851" t="str">
        <f t="shared" si="136"/>
        <v/>
      </c>
      <c r="V851" t="str">
        <f t="shared" si="137"/>
        <v/>
      </c>
      <c r="W851" t="str">
        <f t="shared" si="138"/>
        <v/>
      </c>
      <c r="X851">
        <f>IF($T851="",N($X850),IF(MATCH($T851,$T$6:$T$10005,0)=ROW()-5,N($X850)+1,N($X850)))</f>
        <v>0</v>
      </c>
      <c r="Z851" t="str">
        <f t="shared" si="139"/>
        <v/>
      </c>
      <c r="AA851">
        <f>IF($V851="",N($AA850),IF(MATCH($V851,$V$6:$V$10005,0)=ROW()-5,N($AA850)+1,N($AA850)))</f>
        <v>0</v>
      </c>
    </row>
    <row r="852" spans="1:27" ht="21" customHeight="1" x14ac:dyDescent="0.95">
      <c r="A852" s="56"/>
      <c r="B852" s="57"/>
      <c r="C852" s="57"/>
      <c r="D852" s="57"/>
      <c r="E852" s="56"/>
      <c r="F852" s="57"/>
      <c r="G852" s="57"/>
      <c r="H852" s="56"/>
      <c r="I852" s="56"/>
      <c r="J852" s="58"/>
      <c r="K852" s="58"/>
      <c r="L852" s="13" t="str">
        <f t="shared" si="130"/>
        <v/>
      </c>
      <c r="M852" s="13" t="str">
        <f t="shared" si="131"/>
        <v/>
      </c>
      <c r="Q852" t="str">
        <f t="shared" si="132"/>
        <v/>
      </c>
      <c r="R852" t="str">
        <f t="shared" si="133"/>
        <v/>
      </c>
      <c r="S852" t="str">
        <f t="shared" si="134"/>
        <v/>
      </c>
      <c r="T852" t="str">
        <f t="shared" si="135"/>
        <v/>
      </c>
      <c r="U852" t="str">
        <f t="shared" si="136"/>
        <v/>
      </c>
      <c r="V852" t="str">
        <f t="shared" si="137"/>
        <v/>
      </c>
      <c r="W852" t="str">
        <f t="shared" si="138"/>
        <v/>
      </c>
      <c r="X852">
        <f>IF($T852="",N($X851),IF(MATCH($T852,$T$6:$T$10005,0)=ROW()-5,N($X851)+1,N($X851)))</f>
        <v>0</v>
      </c>
      <c r="Z852" t="str">
        <f t="shared" si="139"/>
        <v/>
      </c>
      <c r="AA852">
        <f>IF($V852="",N($AA851),IF(MATCH($V852,$V$6:$V$10005,0)=ROW()-5,N($AA851)+1,N($AA851)))</f>
        <v>0</v>
      </c>
    </row>
    <row r="853" spans="1:27" ht="21" customHeight="1" x14ac:dyDescent="0.95">
      <c r="A853" s="56"/>
      <c r="B853" s="57"/>
      <c r="C853" s="57"/>
      <c r="D853" s="57"/>
      <c r="E853" s="56"/>
      <c r="F853" s="57"/>
      <c r="G853" s="57"/>
      <c r="H853" s="56"/>
      <c r="I853" s="56"/>
      <c r="J853" s="58"/>
      <c r="K853" s="58"/>
      <c r="L853" s="13" t="str">
        <f t="shared" si="130"/>
        <v/>
      </c>
      <c r="M853" s="13" t="str">
        <f t="shared" si="131"/>
        <v/>
      </c>
      <c r="Q853" t="str">
        <f t="shared" si="132"/>
        <v/>
      </c>
      <c r="R853" t="str">
        <f t="shared" si="133"/>
        <v/>
      </c>
      <c r="S853" t="str">
        <f t="shared" si="134"/>
        <v/>
      </c>
      <c r="T853" t="str">
        <f t="shared" si="135"/>
        <v/>
      </c>
      <c r="U853" t="str">
        <f t="shared" si="136"/>
        <v/>
      </c>
      <c r="V853" t="str">
        <f t="shared" si="137"/>
        <v/>
      </c>
      <c r="W853" t="str">
        <f t="shared" si="138"/>
        <v/>
      </c>
      <c r="X853">
        <f>IF($T853="",N($X852),IF(MATCH($T853,$T$6:$T$10005,0)=ROW()-5,N($X852)+1,N($X852)))</f>
        <v>0</v>
      </c>
      <c r="Z853" t="str">
        <f t="shared" si="139"/>
        <v/>
      </c>
      <c r="AA853">
        <f>IF($V853="",N($AA852),IF(MATCH($V853,$V$6:$V$10005,0)=ROW()-5,N($AA852)+1,N($AA852)))</f>
        <v>0</v>
      </c>
    </row>
    <row r="854" spans="1:27" ht="21" customHeight="1" x14ac:dyDescent="0.95">
      <c r="A854" s="56"/>
      <c r="B854" s="57"/>
      <c r="C854" s="57"/>
      <c r="D854" s="57"/>
      <c r="E854" s="56"/>
      <c r="F854" s="57"/>
      <c r="G854" s="57"/>
      <c r="H854" s="56"/>
      <c r="I854" s="56"/>
      <c r="J854" s="58"/>
      <c r="K854" s="58"/>
      <c r="L854" s="13" t="str">
        <f t="shared" si="130"/>
        <v/>
      </c>
      <c r="M854" s="13" t="str">
        <f t="shared" si="131"/>
        <v/>
      </c>
      <c r="Q854" t="str">
        <f t="shared" si="132"/>
        <v/>
      </c>
      <c r="R854" t="str">
        <f t="shared" si="133"/>
        <v/>
      </c>
      <c r="S854" t="str">
        <f t="shared" si="134"/>
        <v/>
      </c>
      <c r="T854" t="str">
        <f t="shared" si="135"/>
        <v/>
      </c>
      <c r="U854" t="str">
        <f t="shared" si="136"/>
        <v/>
      </c>
      <c r="V854" t="str">
        <f t="shared" si="137"/>
        <v/>
      </c>
      <c r="W854" t="str">
        <f t="shared" si="138"/>
        <v/>
      </c>
      <c r="X854">
        <f>IF($T854="",N($X853),IF(MATCH($T854,$T$6:$T$10005,0)=ROW()-5,N($X853)+1,N($X853)))</f>
        <v>0</v>
      </c>
      <c r="Z854" t="str">
        <f t="shared" si="139"/>
        <v/>
      </c>
      <c r="AA854">
        <f>IF($V854="",N($AA853),IF(MATCH($V854,$V$6:$V$10005,0)=ROW()-5,N($AA853)+1,N($AA853)))</f>
        <v>0</v>
      </c>
    </row>
    <row r="855" spans="1:27" ht="21" customHeight="1" x14ac:dyDescent="0.95">
      <c r="A855" s="56"/>
      <c r="B855" s="57"/>
      <c r="C855" s="57"/>
      <c r="D855" s="57"/>
      <c r="E855" s="56"/>
      <c r="F855" s="57"/>
      <c r="G855" s="57"/>
      <c r="H855" s="56"/>
      <c r="I855" s="56"/>
      <c r="J855" s="58"/>
      <c r="K855" s="58"/>
      <c r="L855" s="13" t="str">
        <f t="shared" si="130"/>
        <v/>
      </c>
      <c r="M855" s="13" t="str">
        <f t="shared" si="131"/>
        <v/>
      </c>
      <c r="Q855" t="str">
        <f t="shared" si="132"/>
        <v/>
      </c>
      <c r="R855" t="str">
        <f t="shared" si="133"/>
        <v/>
      </c>
      <c r="S855" t="str">
        <f t="shared" si="134"/>
        <v/>
      </c>
      <c r="T855" t="str">
        <f t="shared" si="135"/>
        <v/>
      </c>
      <c r="U855" t="str">
        <f t="shared" si="136"/>
        <v/>
      </c>
      <c r="V855" t="str">
        <f t="shared" si="137"/>
        <v/>
      </c>
      <c r="W855" t="str">
        <f t="shared" si="138"/>
        <v/>
      </c>
      <c r="X855">
        <f>IF($T855="",N($X854),IF(MATCH($T855,$T$6:$T$10005,0)=ROW()-5,N($X854)+1,N($X854)))</f>
        <v>0</v>
      </c>
      <c r="Z855" t="str">
        <f t="shared" si="139"/>
        <v/>
      </c>
      <c r="AA855">
        <f>IF($V855="",N($AA854),IF(MATCH($V855,$V$6:$V$10005,0)=ROW()-5,N($AA854)+1,N($AA854)))</f>
        <v>0</v>
      </c>
    </row>
    <row r="856" spans="1:27" ht="21" customHeight="1" x14ac:dyDescent="0.95">
      <c r="A856" s="56"/>
      <c r="B856" s="57"/>
      <c r="C856" s="57"/>
      <c r="D856" s="57"/>
      <c r="E856" s="56"/>
      <c r="F856" s="57"/>
      <c r="G856" s="57"/>
      <c r="H856" s="56"/>
      <c r="I856" s="56"/>
      <c r="J856" s="58"/>
      <c r="K856" s="58"/>
      <c r="L856" s="13" t="str">
        <f t="shared" si="130"/>
        <v/>
      </c>
      <c r="M856" s="13" t="str">
        <f t="shared" si="131"/>
        <v/>
      </c>
      <c r="Q856" t="str">
        <f t="shared" si="132"/>
        <v/>
      </c>
      <c r="R856" t="str">
        <f t="shared" si="133"/>
        <v/>
      </c>
      <c r="S856" t="str">
        <f t="shared" si="134"/>
        <v/>
      </c>
      <c r="T856" t="str">
        <f t="shared" si="135"/>
        <v/>
      </c>
      <c r="U856" t="str">
        <f t="shared" si="136"/>
        <v/>
      </c>
      <c r="V856" t="str">
        <f t="shared" si="137"/>
        <v/>
      </c>
      <c r="W856" t="str">
        <f t="shared" si="138"/>
        <v/>
      </c>
      <c r="X856">
        <f>IF($T856="",N($X855),IF(MATCH($T856,$T$6:$T$10005,0)=ROW()-5,N($X855)+1,N($X855)))</f>
        <v>0</v>
      </c>
      <c r="Z856" t="str">
        <f t="shared" si="139"/>
        <v/>
      </c>
      <c r="AA856">
        <f>IF($V856="",N($AA855),IF(MATCH($V856,$V$6:$V$10005,0)=ROW()-5,N($AA855)+1,N($AA855)))</f>
        <v>0</v>
      </c>
    </row>
    <row r="857" spans="1:27" ht="21" customHeight="1" x14ac:dyDescent="0.95">
      <c r="A857" s="56"/>
      <c r="B857" s="57"/>
      <c r="C857" s="57"/>
      <c r="D857" s="57"/>
      <c r="E857" s="56"/>
      <c r="F857" s="57"/>
      <c r="G857" s="57"/>
      <c r="H857" s="56"/>
      <c r="I857" s="56"/>
      <c r="J857" s="58"/>
      <c r="K857" s="58"/>
      <c r="L857" s="13" t="str">
        <f t="shared" si="130"/>
        <v/>
      </c>
      <c r="M857" s="13" t="str">
        <f t="shared" si="131"/>
        <v/>
      </c>
      <c r="Q857" t="str">
        <f t="shared" si="132"/>
        <v/>
      </c>
      <c r="R857" t="str">
        <f t="shared" si="133"/>
        <v/>
      </c>
      <c r="S857" t="str">
        <f t="shared" si="134"/>
        <v/>
      </c>
      <c r="T857" t="str">
        <f t="shared" si="135"/>
        <v/>
      </c>
      <c r="U857" t="str">
        <f t="shared" si="136"/>
        <v/>
      </c>
      <c r="V857" t="str">
        <f t="shared" si="137"/>
        <v/>
      </c>
      <c r="W857" t="str">
        <f t="shared" si="138"/>
        <v/>
      </c>
      <c r="X857">
        <f>IF($T857="",N($X856),IF(MATCH($T857,$T$6:$T$10005,0)=ROW()-5,N($X856)+1,N($X856)))</f>
        <v>0</v>
      </c>
      <c r="Z857" t="str">
        <f t="shared" si="139"/>
        <v/>
      </c>
      <c r="AA857">
        <f>IF($V857="",N($AA856),IF(MATCH($V857,$V$6:$V$10005,0)=ROW()-5,N($AA856)+1,N($AA856)))</f>
        <v>0</v>
      </c>
    </row>
    <row r="858" spans="1:27" ht="21" customHeight="1" x14ac:dyDescent="0.95">
      <c r="A858" s="56"/>
      <c r="B858" s="57"/>
      <c r="C858" s="57"/>
      <c r="D858" s="57"/>
      <c r="E858" s="56"/>
      <c r="F858" s="57"/>
      <c r="G858" s="57"/>
      <c r="H858" s="56"/>
      <c r="I858" s="56"/>
      <c r="J858" s="58"/>
      <c r="K858" s="58"/>
      <c r="L858" s="13" t="str">
        <f t="shared" si="130"/>
        <v/>
      </c>
      <c r="M858" s="13" t="str">
        <f t="shared" si="131"/>
        <v/>
      </c>
      <c r="Q858" t="str">
        <f t="shared" si="132"/>
        <v/>
      </c>
      <c r="R858" t="str">
        <f t="shared" si="133"/>
        <v/>
      </c>
      <c r="S858" t="str">
        <f t="shared" si="134"/>
        <v/>
      </c>
      <c r="T858" t="str">
        <f t="shared" si="135"/>
        <v/>
      </c>
      <c r="U858" t="str">
        <f t="shared" si="136"/>
        <v/>
      </c>
      <c r="V858" t="str">
        <f t="shared" si="137"/>
        <v/>
      </c>
      <c r="W858" t="str">
        <f t="shared" si="138"/>
        <v/>
      </c>
      <c r="X858">
        <f>IF($T858="",N($X857),IF(MATCH($T858,$T$6:$T$10005,0)=ROW()-5,N($X857)+1,N($X857)))</f>
        <v>0</v>
      </c>
      <c r="Z858" t="str">
        <f t="shared" si="139"/>
        <v/>
      </c>
      <c r="AA858">
        <f>IF($V858="",N($AA857),IF(MATCH($V858,$V$6:$V$10005,0)=ROW()-5,N($AA857)+1,N($AA857)))</f>
        <v>0</v>
      </c>
    </row>
    <row r="859" spans="1:27" ht="21" customHeight="1" x14ac:dyDescent="0.95">
      <c r="A859" s="56"/>
      <c r="B859" s="57"/>
      <c r="C859" s="57"/>
      <c r="D859" s="57"/>
      <c r="E859" s="56"/>
      <c r="F859" s="57"/>
      <c r="G859" s="57"/>
      <c r="H859" s="56"/>
      <c r="I859" s="56"/>
      <c r="J859" s="58"/>
      <c r="K859" s="58"/>
      <c r="L859" s="13" t="str">
        <f t="shared" si="130"/>
        <v/>
      </c>
      <c r="M859" s="13" t="str">
        <f t="shared" si="131"/>
        <v/>
      </c>
      <c r="Q859" t="str">
        <f t="shared" si="132"/>
        <v/>
      </c>
      <c r="R859" t="str">
        <f t="shared" si="133"/>
        <v/>
      </c>
      <c r="S859" t="str">
        <f t="shared" si="134"/>
        <v/>
      </c>
      <c r="T859" t="str">
        <f t="shared" si="135"/>
        <v/>
      </c>
      <c r="U859" t="str">
        <f t="shared" si="136"/>
        <v/>
      </c>
      <c r="V859" t="str">
        <f t="shared" si="137"/>
        <v/>
      </c>
      <c r="W859" t="str">
        <f t="shared" si="138"/>
        <v/>
      </c>
      <c r="X859">
        <f>IF($T859="",N($X858),IF(MATCH($T859,$T$6:$T$10005,0)=ROW()-5,N($X858)+1,N($X858)))</f>
        <v>0</v>
      </c>
      <c r="Z859" t="str">
        <f t="shared" si="139"/>
        <v/>
      </c>
      <c r="AA859">
        <f>IF($V859="",N($AA858),IF(MATCH($V859,$V$6:$V$10005,0)=ROW()-5,N($AA858)+1,N($AA858)))</f>
        <v>0</v>
      </c>
    </row>
    <row r="860" spans="1:27" ht="21" customHeight="1" x14ac:dyDescent="0.95">
      <c r="A860" s="56"/>
      <c r="B860" s="57"/>
      <c r="C860" s="57"/>
      <c r="D860" s="57"/>
      <c r="E860" s="56"/>
      <c r="F860" s="57"/>
      <c r="G860" s="57"/>
      <c r="H860" s="56"/>
      <c r="I860" s="56"/>
      <c r="J860" s="58"/>
      <c r="K860" s="58"/>
      <c r="L860" s="13" t="str">
        <f t="shared" si="130"/>
        <v/>
      </c>
      <c r="M860" s="13" t="str">
        <f t="shared" si="131"/>
        <v/>
      </c>
      <c r="Q860" t="str">
        <f t="shared" si="132"/>
        <v/>
      </c>
      <c r="R860" t="str">
        <f t="shared" si="133"/>
        <v/>
      </c>
      <c r="S860" t="str">
        <f t="shared" si="134"/>
        <v/>
      </c>
      <c r="T860" t="str">
        <f t="shared" si="135"/>
        <v/>
      </c>
      <c r="U860" t="str">
        <f t="shared" si="136"/>
        <v/>
      </c>
      <c r="V860" t="str">
        <f t="shared" si="137"/>
        <v/>
      </c>
      <c r="W860" t="str">
        <f t="shared" si="138"/>
        <v/>
      </c>
      <c r="X860">
        <f>IF($T860="",N($X859),IF(MATCH($T860,$T$6:$T$10005,0)=ROW()-5,N($X859)+1,N($X859)))</f>
        <v>0</v>
      </c>
      <c r="Z860" t="str">
        <f t="shared" si="139"/>
        <v/>
      </c>
      <c r="AA860">
        <f>IF($V860="",N($AA859),IF(MATCH($V860,$V$6:$V$10005,0)=ROW()-5,N($AA859)+1,N($AA859)))</f>
        <v>0</v>
      </c>
    </row>
    <row r="861" spans="1:27" ht="21" customHeight="1" x14ac:dyDescent="0.95">
      <c r="A861" s="56"/>
      <c r="B861" s="57"/>
      <c r="C861" s="57"/>
      <c r="D861" s="57"/>
      <c r="E861" s="56"/>
      <c r="F861" s="57"/>
      <c r="G861" s="57"/>
      <c r="H861" s="56"/>
      <c r="I861" s="56"/>
      <c r="J861" s="58"/>
      <c r="K861" s="58"/>
      <c r="L861" s="13" t="str">
        <f t="shared" si="130"/>
        <v/>
      </c>
      <c r="M861" s="13" t="str">
        <f t="shared" si="131"/>
        <v/>
      </c>
      <c r="Q861" t="str">
        <f t="shared" si="132"/>
        <v/>
      </c>
      <c r="R861" t="str">
        <f t="shared" si="133"/>
        <v/>
      </c>
      <c r="S861" t="str">
        <f t="shared" si="134"/>
        <v/>
      </c>
      <c r="T861" t="str">
        <f t="shared" si="135"/>
        <v/>
      </c>
      <c r="U861" t="str">
        <f t="shared" si="136"/>
        <v/>
      </c>
      <c r="V861" t="str">
        <f t="shared" si="137"/>
        <v/>
      </c>
      <c r="W861" t="str">
        <f t="shared" si="138"/>
        <v/>
      </c>
      <c r="X861">
        <f>IF($T861="",N($X860),IF(MATCH($T861,$T$6:$T$10005,0)=ROW()-5,N($X860)+1,N($X860)))</f>
        <v>0</v>
      </c>
      <c r="Z861" t="str">
        <f t="shared" si="139"/>
        <v/>
      </c>
      <c r="AA861">
        <f>IF($V861="",N($AA860),IF(MATCH($V861,$V$6:$V$10005,0)=ROW()-5,N($AA860)+1,N($AA860)))</f>
        <v>0</v>
      </c>
    </row>
    <row r="862" spans="1:27" ht="21" customHeight="1" x14ac:dyDescent="0.95">
      <c r="A862" s="56"/>
      <c r="B862" s="57"/>
      <c r="C862" s="57"/>
      <c r="D862" s="57"/>
      <c r="E862" s="56"/>
      <c r="F862" s="57"/>
      <c r="G862" s="57"/>
      <c r="H862" s="56"/>
      <c r="I862" s="56"/>
      <c r="J862" s="58"/>
      <c r="K862" s="58"/>
      <c r="L862" s="13" t="str">
        <f t="shared" si="130"/>
        <v/>
      </c>
      <c r="M862" s="13" t="str">
        <f t="shared" si="131"/>
        <v/>
      </c>
      <c r="Q862" t="str">
        <f t="shared" si="132"/>
        <v/>
      </c>
      <c r="R862" t="str">
        <f t="shared" si="133"/>
        <v/>
      </c>
      <c r="S862" t="str">
        <f t="shared" si="134"/>
        <v/>
      </c>
      <c r="T862" t="str">
        <f t="shared" si="135"/>
        <v/>
      </c>
      <c r="U862" t="str">
        <f t="shared" si="136"/>
        <v/>
      </c>
      <c r="V862" t="str">
        <f t="shared" si="137"/>
        <v/>
      </c>
      <c r="W862" t="str">
        <f t="shared" si="138"/>
        <v/>
      </c>
      <c r="X862">
        <f>IF($T862="",N($X861),IF(MATCH($T862,$T$6:$T$10005,0)=ROW()-5,N($X861)+1,N($X861)))</f>
        <v>0</v>
      </c>
      <c r="Z862" t="str">
        <f t="shared" si="139"/>
        <v/>
      </c>
      <c r="AA862">
        <f>IF($V862="",N($AA861),IF(MATCH($V862,$V$6:$V$10005,0)=ROW()-5,N($AA861)+1,N($AA861)))</f>
        <v>0</v>
      </c>
    </row>
    <row r="863" spans="1:27" ht="21" customHeight="1" x14ac:dyDescent="0.95">
      <c r="A863" s="56"/>
      <c r="B863" s="57"/>
      <c r="C863" s="57"/>
      <c r="D863" s="57"/>
      <c r="E863" s="56"/>
      <c r="F863" s="57"/>
      <c r="G863" s="57"/>
      <c r="H863" s="56"/>
      <c r="I863" s="56"/>
      <c r="J863" s="58"/>
      <c r="K863" s="58"/>
      <c r="L863" s="13" t="str">
        <f t="shared" si="130"/>
        <v/>
      </c>
      <c r="M863" s="13" t="str">
        <f t="shared" si="131"/>
        <v/>
      </c>
      <c r="Q863" t="str">
        <f t="shared" si="132"/>
        <v/>
      </c>
      <c r="R863" t="str">
        <f t="shared" si="133"/>
        <v/>
      </c>
      <c r="S863" t="str">
        <f t="shared" si="134"/>
        <v/>
      </c>
      <c r="T863" t="str">
        <f t="shared" si="135"/>
        <v/>
      </c>
      <c r="U863" t="str">
        <f t="shared" si="136"/>
        <v/>
      </c>
      <c r="V863" t="str">
        <f t="shared" si="137"/>
        <v/>
      </c>
      <c r="W863" t="str">
        <f t="shared" si="138"/>
        <v/>
      </c>
      <c r="X863">
        <f>IF($T863="",N($X862),IF(MATCH($T863,$T$6:$T$10005,0)=ROW()-5,N($X862)+1,N($X862)))</f>
        <v>0</v>
      </c>
      <c r="Z863" t="str">
        <f t="shared" si="139"/>
        <v/>
      </c>
      <c r="AA863">
        <f>IF($V863="",N($AA862),IF(MATCH($V863,$V$6:$V$10005,0)=ROW()-5,N($AA862)+1,N($AA862)))</f>
        <v>0</v>
      </c>
    </row>
    <row r="864" spans="1:27" ht="21" customHeight="1" x14ac:dyDescent="0.95">
      <c r="A864" s="56"/>
      <c r="B864" s="57"/>
      <c r="C864" s="57"/>
      <c r="D864" s="57"/>
      <c r="E864" s="56"/>
      <c r="F864" s="57"/>
      <c r="G864" s="57"/>
      <c r="H864" s="56"/>
      <c r="I864" s="56"/>
      <c r="J864" s="58"/>
      <c r="K864" s="58"/>
      <c r="L864" s="13" t="str">
        <f t="shared" si="130"/>
        <v/>
      </c>
      <c r="M864" s="13" t="str">
        <f t="shared" si="131"/>
        <v/>
      </c>
      <c r="Q864" t="str">
        <f t="shared" si="132"/>
        <v/>
      </c>
      <c r="R864" t="str">
        <f t="shared" si="133"/>
        <v/>
      </c>
      <c r="S864" t="str">
        <f t="shared" si="134"/>
        <v/>
      </c>
      <c r="T864" t="str">
        <f t="shared" si="135"/>
        <v/>
      </c>
      <c r="U864" t="str">
        <f t="shared" si="136"/>
        <v/>
      </c>
      <c r="V864" t="str">
        <f t="shared" si="137"/>
        <v/>
      </c>
      <c r="W864" t="str">
        <f t="shared" si="138"/>
        <v/>
      </c>
      <c r="X864">
        <f>IF($T864="",N($X863),IF(MATCH($T864,$T$6:$T$10005,0)=ROW()-5,N($X863)+1,N($X863)))</f>
        <v>0</v>
      </c>
      <c r="Z864" t="str">
        <f t="shared" si="139"/>
        <v/>
      </c>
      <c r="AA864">
        <f>IF($V864="",N($AA863),IF(MATCH($V864,$V$6:$V$10005,0)=ROW()-5,N($AA863)+1,N($AA863)))</f>
        <v>0</v>
      </c>
    </row>
    <row r="865" spans="1:27" ht="21" customHeight="1" x14ac:dyDescent="0.95">
      <c r="A865" s="56"/>
      <c r="B865" s="57"/>
      <c r="C865" s="57"/>
      <c r="D865" s="57"/>
      <c r="E865" s="56"/>
      <c r="F865" s="57"/>
      <c r="G865" s="57"/>
      <c r="H865" s="56"/>
      <c r="I865" s="56"/>
      <c r="J865" s="58"/>
      <c r="K865" s="58"/>
      <c r="L865" s="13" t="str">
        <f t="shared" si="130"/>
        <v/>
      </c>
      <c r="M865" s="13" t="str">
        <f t="shared" si="131"/>
        <v/>
      </c>
      <c r="Q865" t="str">
        <f t="shared" si="132"/>
        <v/>
      </c>
      <c r="R865" t="str">
        <f t="shared" si="133"/>
        <v/>
      </c>
      <c r="S865" t="str">
        <f t="shared" si="134"/>
        <v/>
      </c>
      <c r="T865" t="str">
        <f t="shared" si="135"/>
        <v/>
      </c>
      <c r="U865" t="str">
        <f t="shared" si="136"/>
        <v/>
      </c>
      <c r="V865" t="str">
        <f t="shared" si="137"/>
        <v/>
      </c>
      <c r="W865" t="str">
        <f t="shared" si="138"/>
        <v/>
      </c>
      <c r="X865">
        <f>IF($T865="",N($X864),IF(MATCH($T865,$T$6:$T$10005,0)=ROW()-5,N($X864)+1,N($X864)))</f>
        <v>0</v>
      </c>
      <c r="Z865" t="str">
        <f t="shared" si="139"/>
        <v/>
      </c>
      <c r="AA865">
        <f>IF($V865="",N($AA864),IF(MATCH($V865,$V$6:$V$10005,0)=ROW()-5,N($AA864)+1,N($AA864)))</f>
        <v>0</v>
      </c>
    </row>
    <row r="866" spans="1:27" ht="21" customHeight="1" x14ac:dyDescent="0.95">
      <c r="A866" s="56"/>
      <c r="B866" s="57"/>
      <c r="C866" s="57"/>
      <c r="D866" s="57"/>
      <c r="E866" s="56"/>
      <c r="F866" s="57"/>
      <c r="G866" s="57"/>
      <c r="H866" s="56"/>
      <c r="I866" s="56"/>
      <c r="J866" s="58"/>
      <c r="K866" s="58"/>
      <c r="L866" s="13" t="str">
        <f t="shared" si="130"/>
        <v/>
      </c>
      <c r="M866" s="13" t="str">
        <f t="shared" si="131"/>
        <v/>
      </c>
      <c r="Q866" t="str">
        <f t="shared" si="132"/>
        <v/>
      </c>
      <c r="R866" t="str">
        <f t="shared" si="133"/>
        <v/>
      </c>
      <c r="S866" t="str">
        <f t="shared" si="134"/>
        <v/>
      </c>
      <c r="T866" t="str">
        <f t="shared" si="135"/>
        <v/>
      </c>
      <c r="U866" t="str">
        <f t="shared" si="136"/>
        <v/>
      </c>
      <c r="V866" t="str">
        <f t="shared" si="137"/>
        <v/>
      </c>
      <c r="W866" t="str">
        <f t="shared" si="138"/>
        <v/>
      </c>
      <c r="X866">
        <f>IF($T866="",N($X865),IF(MATCH($T866,$T$6:$T$10005,0)=ROW()-5,N($X865)+1,N($X865)))</f>
        <v>0</v>
      </c>
      <c r="Z866" t="str">
        <f t="shared" si="139"/>
        <v/>
      </c>
      <c r="AA866">
        <f>IF($V866="",N($AA865),IF(MATCH($V866,$V$6:$V$10005,0)=ROW()-5,N($AA865)+1,N($AA865)))</f>
        <v>0</v>
      </c>
    </row>
    <row r="867" spans="1:27" ht="21" customHeight="1" x14ac:dyDescent="0.95">
      <c r="A867" s="56"/>
      <c r="B867" s="57"/>
      <c r="C867" s="57"/>
      <c r="D867" s="57"/>
      <c r="E867" s="56"/>
      <c r="F867" s="57"/>
      <c r="G867" s="57"/>
      <c r="H867" s="56"/>
      <c r="I867" s="56"/>
      <c r="J867" s="58"/>
      <c r="K867" s="58"/>
      <c r="L867" s="13" t="str">
        <f t="shared" si="130"/>
        <v/>
      </c>
      <c r="M867" s="13" t="str">
        <f t="shared" si="131"/>
        <v/>
      </c>
      <c r="Q867" t="str">
        <f t="shared" si="132"/>
        <v/>
      </c>
      <c r="R867" t="str">
        <f t="shared" si="133"/>
        <v/>
      </c>
      <c r="S867" t="str">
        <f t="shared" si="134"/>
        <v/>
      </c>
      <c r="T867" t="str">
        <f t="shared" si="135"/>
        <v/>
      </c>
      <c r="U867" t="str">
        <f t="shared" si="136"/>
        <v/>
      </c>
      <c r="V867" t="str">
        <f t="shared" si="137"/>
        <v/>
      </c>
      <c r="W867" t="str">
        <f t="shared" si="138"/>
        <v/>
      </c>
      <c r="X867">
        <f>IF($T867="",N($X866),IF(MATCH($T867,$T$6:$T$10005,0)=ROW()-5,N($X866)+1,N($X866)))</f>
        <v>0</v>
      </c>
      <c r="Z867" t="str">
        <f t="shared" si="139"/>
        <v/>
      </c>
      <c r="AA867">
        <f>IF($V867="",N($AA866),IF(MATCH($V867,$V$6:$V$10005,0)=ROW()-5,N($AA866)+1,N($AA866)))</f>
        <v>0</v>
      </c>
    </row>
    <row r="868" spans="1:27" ht="21" customHeight="1" x14ac:dyDescent="0.95">
      <c r="A868" s="56"/>
      <c r="B868" s="57"/>
      <c r="C868" s="57"/>
      <c r="D868" s="57"/>
      <c r="E868" s="56"/>
      <c r="F868" s="57"/>
      <c r="G868" s="57"/>
      <c r="H868" s="56"/>
      <c r="I868" s="56"/>
      <c r="J868" s="58"/>
      <c r="K868" s="58"/>
      <c r="L868" s="13" t="str">
        <f t="shared" si="130"/>
        <v/>
      </c>
      <c r="M868" s="13" t="str">
        <f t="shared" si="131"/>
        <v/>
      </c>
      <c r="Q868" t="str">
        <f t="shared" si="132"/>
        <v/>
      </c>
      <c r="R868" t="str">
        <f t="shared" si="133"/>
        <v/>
      </c>
      <c r="S868" t="str">
        <f t="shared" si="134"/>
        <v/>
      </c>
      <c r="T868" t="str">
        <f t="shared" si="135"/>
        <v/>
      </c>
      <c r="U868" t="str">
        <f t="shared" si="136"/>
        <v/>
      </c>
      <c r="V868" t="str">
        <f t="shared" si="137"/>
        <v/>
      </c>
      <c r="W868" t="str">
        <f t="shared" si="138"/>
        <v/>
      </c>
      <c r="X868">
        <f>IF($T868="",N($X867),IF(MATCH($T868,$T$6:$T$10005,0)=ROW()-5,N($X867)+1,N($X867)))</f>
        <v>0</v>
      </c>
      <c r="Z868" t="str">
        <f t="shared" si="139"/>
        <v/>
      </c>
      <c r="AA868">
        <f>IF($V868="",N($AA867),IF(MATCH($V868,$V$6:$V$10005,0)=ROW()-5,N($AA867)+1,N($AA867)))</f>
        <v>0</v>
      </c>
    </row>
    <row r="869" spans="1:27" ht="21" customHeight="1" x14ac:dyDescent="0.95">
      <c r="A869" s="56"/>
      <c r="B869" s="57"/>
      <c r="C869" s="57"/>
      <c r="D869" s="57"/>
      <c r="E869" s="56"/>
      <c r="F869" s="57"/>
      <c r="G869" s="57"/>
      <c r="H869" s="56"/>
      <c r="I869" s="56"/>
      <c r="J869" s="58"/>
      <c r="K869" s="58"/>
      <c r="L869" s="13" t="str">
        <f t="shared" si="130"/>
        <v/>
      </c>
      <c r="M869" s="13" t="str">
        <f t="shared" si="131"/>
        <v/>
      </c>
      <c r="Q869" t="str">
        <f t="shared" si="132"/>
        <v/>
      </c>
      <c r="R869" t="str">
        <f t="shared" si="133"/>
        <v/>
      </c>
      <c r="S869" t="str">
        <f t="shared" si="134"/>
        <v/>
      </c>
      <c r="T869" t="str">
        <f t="shared" si="135"/>
        <v/>
      </c>
      <c r="U869" t="str">
        <f t="shared" si="136"/>
        <v/>
      </c>
      <c r="V869" t="str">
        <f t="shared" si="137"/>
        <v/>
      </c>
      <c r="W869" t="str">
        <f t="shared" si="138"/>
        <v/>
      </c>
      <c r="X869">
        <f>IF($T869="",N($X868),IF(MATCH($T869,$T$6:$T$10005,0)=ROW()-5,N($X868)+1,N($X868)))</f>
        <v>0</v>
      </c>
      <c r="Z869" t="str">
        <f t="shared" si="139"/>
        <v/>
      </c>
      <c r="AA869">
        <f>IF($V869="",N($AA868),IF(MATCH($V869,$V$6:$V$10005,0)=ROW()-5,N($AA868)+1,N($AA868)))</f>
        <v>0</v>
      </c>
    </row>
    <row r="870" spans="1:27" ht="21" customHeight="1" x14ac:dyDescent="0.95">
      <c r="A870" s="56"/>
      <c r="B870" s="57"/>
      <c r="C870" s="57"/>
      <c r="D870" s="57"/>
      <c r="E870" s="56"/>
      <c r="F870" s="57"/>
      <c r="G870" s="57"/>
      <c r="H870" s="56"/>
      <c r="I870" s="56"/>
      <c r="J870" s="58"/>
      <c r="K870" s="58"/>
      <c r="L870" s="13" t="str">
        <f t="shared" si="130"/>
        <v/>
      </c>
      <c r="M870" s="13" t="str">
        <f t="shared" si="131"/>
        <v/>
      </c>
      <c r="Q870" t="str">
        <f t="shared" si="132"/>
        <v/>
      </c>
      <c r="R870" t="str">
        <f t="shared" si="133"/>
        <v/>
      </c>
      <c r="S870" t="str">
        <f t="shared" si="134"/>
        <v/>
      </c>
      <c r="T870" t="str">
        <f t="shared" si="135"/>
        <v/>
      </c>
      <c r="U870" t="str">
        <f t="shared" si="136"/>
        <v/>
      </c>
      <c r="V870" t="str">
        <f t="shared" si="137"/>
        <v/>
      </c>
      <c r="W870" t="str">
        <f t="shared" si="138"/>
        <v/>
      </c>
      <c r="X870">
        <f>IF($T870="",N($X869),IF(MATCH($T870,$T$6:$T$10005,0)=ROW()-5,N($X869)+1,N($X869)))</f>
        <v>0</v>
      </c>
      <c r="Z870" t="str">
        <f t="shared" si="139"/>
        <v/>
      </c>
      <c r="AA870">
        <f>IF($V870="",N($AA869),IF(MATCH($V870,$V$6:$V$10005,0)=ROW()-5,N($AA869)+1,N($AA869)))</f>
        <v>0</v>
      </c>
    </row>
    <row r="871" spans="1:27" ht="21" customHeight="1" x14ac:dyDescent="0.95">
      <c r="A871" s="56"/>
      <c r="B871" s="57"/>
      <c r="C871" s="57"/>
      <c r="D871" s="57"/>
      <c r="E871" s="56"/>
      <c r="F871" s="57"/>
      <c r="G871" s="57"/>
      <c r="H871" s="56"/>
      <c r="I871" s="56"/>
      <c r="J871" s="58"/>
      <c r="K871" s="58"/>
      <c r="L871" s="13" t="str">
        <f t="shared" si="130"/>
        <v/>
      </c>
      <c r="M871" s="13" t="str">
        <f t="shared" si="131"/>
        <v/>
      </c>
      <c r="Q871" t="str">
        <f t="shared" si="132"/>
        <v/>
      </c>
      <c r="R871" t="str">
        <f t="shared" si="133"/>
        <v/>
      </c>
      <c r="S871" t="str">
        <f t="shared" si="134"/>
        <v/>
      </c>
      <c r="T871" t="str">
        <f t="shared" si="135"/>
        <v/>
      </c>
      <c r="U871" t="str">
        <f t="shared" si="136"/>
        <v/>
      </c>
      <c r="V871" t="str">
        <f t="shared" si="137"/>
        <v/>
      </c>
      <c r="W871" t="str">
        <f t="shared" si="138"/>
        <v/>
      </c>
      <c r="X871">
        <f>IF($T871="",N($X870),IF(MATCH($T871,$T$6:$T$10005,0)=ROW()-5,N($X870)+1,N($X870)))</f>
        <v>0</v>
      </c>
      <c r="Z871" t="str">
        <f t="shared" si="139"/>
        <v/>
      </c>
      <c r="AA871">
        <f>IF($V871="",N($AA870),IF(MATCH($V871,$V$6:$V$10005,0)=ROW()-5,N($AA870)+1,N($AA870)))</f>
        <v>0</v>
      </c>
    </row>
    <row r="872" spans="1:27" ht="21" customHeight="1" x14ac:dyDescent="0.95">
      <c r="A872" s="56"/>
      <c r="B872" s="57"/>
      <c r="C872" s="57"/>
      <c r="D872" s="57"/>
      <c r="E872" s="56"/>
      <c r="F872" s="57"/>
      <c r="G872" s="57"/>
      <c r="H872" s="56"/>
      <c r="I872" s="56"/>
      <c r="J872" s="58"/>
      <c r="K872" s="58"/>
      <c r="L872" s="13" t="str">
        <f t="shared" si="130"/>
        <v/>
      </c>
      <c r="M872" s="13" t="str">
        <f t="shared" si="131"/>
        <v/>
      </c>
      <c r="Q872" t="str">
        <f t="shared" si="132"/>
        <v/>
      </c>
      <c r="R872" t="str">
        <f t="shared" si="133"/>
        <v/>
      </c>
      <c r="S872" t="str">
        <f t="shared" si="134"/>
        <v/>
      </c>
      <c r="T872" t="str">
        <f t="shared" si="135"/>
        <v/>
      </c>
      <c r="U872" t="str">
        <f t="shared" si="136"/>
        <v/>
      </c>
      <c r="V872" t="str">
        <f t="shared" si="137"/>
        <v/>
      </c>
      <c r="W872" t="str">
        <f t="shared" si="138"/>
        <v/>
      </c>
      <c r="X872">
        <f>IF($T872="",N($X871),IF(MATCH($T872,$T$6:$T$10005,0)=ROW()-5,N($X871)+1,N($X871)))</f>
        <v>0</v>
      </c>
      <c r="Z872" t="str">
        <f t="shared" si="139"/>
        <v/>
      </c>
      <c r="AA872">
        <f>IF($V872="",N($AA871),IF(MATCH($V872,$V$6:$V$10005,0)=ROW()-5,N($AA871)+1,N($AA871)))</f>
        <v>0</v>
      </c>
    </row>
    <row r="873" spans="1:27" ht="21" customHeight="1" x14ac:dyDescent="0.95">
      <c r="A873" s="56"/>
      <c r="B873" s="57"/>
      <c r="C873" s="57"/>
      <c r="D873" s="57"/>
      <c r="E873" s="56"/>
      <c r="F873" s="57"/>
      <c r="G873" s="57"/>
      <c r="H873" s="56"/>
      <c r="I873" s="56"/>
      <c r="J873" s="58"/>
      <c r="K873" s="58"/>
      <c r="L873" s="13" t="str">
        <f t="shared" si="130"/>
        <v/>
      </c>
      <c r="M873" s="13" t="str">
        <f t="shared" si="131"/>
        <v/>
      </c>
      <c r="Q873" t="str">
        <f t="shared" si="132"/>
        <v/>
      </c>
      <c r="R873" t="str">
        <f t="shared" si="133"/>
        <v/>
      </c>
      <c r="S873" t="str">
        <f t="shared" si="134"/>
        <v/>
      </c>
      <c r="T873" t="str">
        <f t="shared" si="135"/>
        <v/>
      </c>
      <c r="U873" t="str">
        <f t="shared" si="136"/>
        <v/>
      </c>
      <c r="V873" t="str">
        <f t="shared" si="137"/>
        <v/>
      </c>
      <c r="W873" t="str">
        <f t="shared" si="138"/>
        <v/>
      </c>
      <c r="X873">
        <f>IF($T873="",N($X872),IF(MATCH($T873,$T$6:$T$10005,0)=ROW()-5,N($X872)+1,N($X872)))</f>
        <v>0</v>
      </c>
      <c r="Z873" t="str">
        <f t="shared" si="139"/>
        <v/>
      </c>
      <c r="AA873">
        <f>IF($V873="",N($AA872),IF(MATCH($V873,$V$6:$V$10005,0)=ROW()-5,N($AA872)+1,N($AA872)))</f>
        <v>0</v>
      </c>
    </row>
    <row r="874" spans="1:27" ht="21" customHeight="1" x14ac:dyDescent="0.95">
      <c r="A874" s="56"/>
      <c r="B874" s="57"/>
      <c r="C874" s="57"/>
      <c r="D874" s="57"/>
      <c r="E874" s="56"/>
      <c r="F874" s="57"/>
      <c r="G874" s="57"/>
      <c r="H874" s="56"/>
      <c r="I874" s="56"/>
      <c r="J874" s="58"/>
      <c r="K874" s="58"/>
      <c r="L874" s="13" t="str">
        <f t="shared" si="130"/>
        <v/>
      </c>
      <c r="M874" s="13" t="str">
        <f t="shared" si="131"/>
        <v/>
      </c>
      <c r="Q874" t="str">
        <f t="shared" si="132"/>
        <v/>
      </c>
      <c r="R874" t="str">
        <f t="shared" si="133"/>
        <v/>
      </c>
      <c r="S874" t="str">
        <f t="shared" si="134"/>
        <v/>
      </c>
      <c r="T874" t="str">
        <f t="shared" si="135"/>
        <v/>
      </c>
      <c r="U874" t="str">
        <f t="shared" si="136"/>
        <v/>
      </c>
      <c r="V874" t="str">
        <f t="shared" si="137"/>
        <v/>
      </c>
      <c r="W874" t="str">
        <f t="shared" si="138"/>
        <v/>
      </c>
      <c r="X874">
        <f>IF($T874="",N($X873),IF(MATCH($T874,$T$6:$T$10005,0)=ROW()-5,N($X873)+1,N($X873)))</f>
        <v>0</v>
      </c>
      <c r="Z874" t="str">
        <f t="shared" si="139"/>
        <v/>
      </c>
      <c r="AA874">
        <f>IF($V874="",N($AA873),IF(MATCH($V874,$V$6:$V$10005,0)=ROW()-5,N($AA873)+1,N($AA873)))</f>
        <v>0</v>
      </c>
    </row>
    <row r="875" spans="1:27" ht="21" customHeight="1" x14ac:dyDescent="0.95">
      <c r="A875" s="56"/>
      <c r="B875" s="57"/>
      <c r="C875" s="57"/>
      <c r="D875" s="57"/>
      <c r="E875" s="56"/>
      <c r="F875" s="57"/>
      <c r="G875" s="57"/>
      <c r="H875" s="56"/>
      <c r="I875" s="56"/>
      <c r="J875" s="58"/>
      <c r="K875" s="58"/>
      <c r="L875" s="13" t="str">
        <f t="shared" si="130"/>
        <v/>
      </c>
      <c r="M875" s="13" t="str">
        <f t="shared" si="131"/>
        <v/>
      </c>
      <c r="Q875" t="str">
        <f t="shared" si="132"/>
        <v/>
      </c>
      <c r="R875" t="str">
        <f t="shared" si="133"/>
        <v/>
      </c>
      <c r="S875" t="str">
        <f t="shared" si="134"/>
        <v/>
      </c>
      <c r="T875" t="str">
        <f t="shared" si="135"/>
        <v/>
      </c>
      <c r="U875" t="str">
        <f t="shared" si="136"/>
        <v/>
      </c>
      <c r="V875" t="str">
        <f t="shared" si="137"/>
        <v/>
      </c>
      <c r="W875" t="str">
        <f t="shared" si="138"/>
        <v/>
      </c>
      <c r="X875">
        <f>IF($T875="",N($X874),IF(MATCH($T875,$T$6:$T$10005,0)=ROW()-5,N($X874)+1,N($X874)))</f>
        <v>0</v>
      </c>
      <c r="Z875" t="str">
        <f t="shared" si="139"/>
        <v/>
      </c>
      <c r="AA875">
        <f>IF($V875="",N($AA874),IF(MATCH($V875,$V$6:$V$10005,0)=ROW()-5,N($AA874)+1,N($AA874)))</f>
        <v>0</v>
      </c>
    </row>
    <row r="876" spans="1:27" ht="21" customHeight="1" x14ac:dyDescent="0.95">
      <c r="A876" s="56"/>
      <c r="B876" s="57"/>
      <c r="C876" s="57"/>
      <c r="D876" s="57"/>
      <c r="E876" s="56"/>
      <c r="F876" s="57"/>
      <c r="G876" s="57"/>
      <c r="H876" s="56"/>
      <c r="I876" s="56"/>
      <c r="J876" s="58"/>
      <c r="K876" s="58"/>
      <c r="L876" s="13" t="str">
        <f t="shared" si="130"/>
        <v/>
      </c>
      <c r="M876" s="13" t="str">
        <f t="shared" si="131"/>
        <v/>
      </c>
      <c r="Q876" t="str">
        <f t="shared" si="132"/>
        <v/>
      </c>
      <c r="R876" t="str">
        <f t="shared" si="133"/>
        <v/>
      </c>
      <c r="S876" t="str">
        <f t="shared" si="134"/>
        <v/>
      </c>
      <c r="T876" t="str">
        <f t="shared" si="135"/>
        <v/>
      </c>
      <c r="U876" t="str">
        <f t="shared" si="136"/>
        <v/>
      </c>
      <c r="V876" t="str">
        <f t="shared" si="137"/>
        <v/>
      </c>
      <c r="W876" t="str">
        <f t="shared" si="138"/>
        <v/>
      </c>
      <c r="X876">
        <f>IF($T876="",N($X875),IF(MATCH($T876,$T$6:$T$10005,0)=ROW()-5,N($X875)+1,N($X875)))</f>
        <v>0</v>
      </c>
      <c r="Z876" t="str">
        <f t="shared" si="139"/>
        <v/>
      </c>
      <c r="AA876">
        <f>IF($V876="",N($AA875),IF(MATCH($V876,$V$6:$V$10005,0)=ROW()-5,N($AA875)+1,N($AA875)))</f>
        <v>0</v>
      </c>
    </row>
    <row r="877" spans="1:27" ht="21" customHeight="1" x14ac:dyDescent="0.95">
      <c r="A877" s="56"/>
      <c r="B877" s="57"/>
      <c r="C877" s="57"/>
      <c r="D877" s="57"/>
      <c r="E877" s="56"/>
      <c r="F877" s="57"/>
      <c r="G877" s="57"/>
      <c r="H877" s="56"/>
      <c r="I877" s="56"/>
      <c r="J877" s="58"/>
      <c r="K877" s="58"/>
      <c r="L877" s="13" t="str">
        <f t="shared" si="130"/>
        <v/>
      </c>
      <c r="M877" s="13" t="str">
        <f t="shared" si="131"/>
        <v/>
      </c>
      <c r="Q877" t="str">
        <f t="shared" si="132"/>
        <v/>
      </c>
      <c r="R877" t="str">
        <f t="shared" si="133"/>
        <v/>
      </c>
      <c r="S877" t="str">
        <f t="shared" si="134"/>
        <v/>
      </c>
      <c r="T877" t="str">
        <f t="shared" si="135"/>
        <v/>
      </c>
      <c r="U877" t="str">
        <f t="shared" si="136"/>
        <v/>
      </c>
      <c r="V877" t="str">
        <f t="shared" si="137"/>
        <v/>
      </c>
      <c r="W877" t="str">
        <f t="shared" si="138"/>
        <v/>
      </c>
      <c r="X877">
        <f>IF($T877="",N($X876),IF(MATCH($T877,$T$6:$T$10005,0)=ROW()-5,N($X876)+1,N($X876)))</f>
        <v>0</v>
      </c>
      <c r="Z877" t="str">
        <f t="shared" si="139"/>
        <v/>
      </c>
      <c r="AA877">
        <f>IF($V877="",N($AA876),IF(MATCH($V877,$V$6:$V$10005,0)=ROW()-5,N($AA876)+1,N($AA876)))</f>
        <v>0</v>
      </c>
    </row>
    <row r="878" spans="1:27" ht="21" customHeight="1" x14ac:dyDescent="0.95">
      <c r="A878" s="56"/>
      <c r="B878" s="57"/>
      <c r="C878" s="57"/>
      <c r="D878" s="57"/>
      <c r="E878" s="56"/>
      <c r="F878" s="57"/>
      <c r="G878" s="57"/>
      <c r="H878" s="56"/>
      <c r="I878" s="56"/>
      <c r="J878" s="58"/>
      <c r="K878" s="58"/>
      <c r="L878" s="13" t="str">
        <f t="shared" si="130"/>
        <v/>
      </c>
      <c r="M878" s="13" t="str">
        <f t="shared" si="131"/>
        <v/>
      </c>
      <c r="Q878" t="str">
        <f t="shared" si="132"/>
        <v/>
      </c>
      <c r="R878" t="str">
        <f t="shared" si="133"/>
        <v/>
      </c>
      <c r="S878" t="str">
        <f t="shared" si="134"/>
        <v/>
      </c>
      <c r="T878" t="str">
        <f t="shared" si="135"/>
        <v/>
      </c>
      <c r="U878" t="str">
        <f t="shared" si="136"/>
        <v/>
      </c>
      <c r="V878" t="str">
        <f t="shared" si="137"/>
        <v/>
      </c>
      <c r="W878" t="str">
        <f t="shared" si="138"/>
        <v/>
      </c>
      <c r="X878">
        <f>IF($T878="",N($X877),IF(MATCH($T878,$T$6:$T$10005,0)=ROW()-5,N($X877)+1,N($X877)))</f>
        <v>0</v>
      </c>
      <c r="Z878" t="str">
        <f t="shared" si="139"/>
        <v/>
      </c>
      <c r="AA878">
        <f>IF($V878="",N($AA877),IF(MATCH($V878,$V$6:$V$10005,0)=ROW()-5,N($AA877)+1,N($AA877)))</f>
        <v>0</v>
      </c>
    </row>
    <row r="879" spans="1:27" ht="21" customHeight="1" x14ac:dyDescent="0.95">
      <c r="A879" s="56"/>
      <c r="B879" s="57"/>
      <c r="C879" s="57"/>
      <c r="D879" s="57"/>
      <c r="E879" s="56"/>
      <c r="F879" s="57"/>
      <c r="G879" s="57"/>
      <c r="H879" s="56"/>
      <c r="I879" s="56"/>
      <c r="J879" s="58"/>
      <c r="K879" s="58"/>
      <c r="L879" s="13" t="str">
        <f t="shared" si="130"/>
        <v/>
      </c>
      <c r="M879" s="13" t="str">
        <f t="shared" si="131"/>
        <v/>
      </c>
      <c r="Q879" t="str">
        <f t="shared" si="132"/>
        <v/>
      </c>
      <c r="R879" t="str">
        <f t="shared" si="133"/>
        <v/>
      </c>
      <c r="S879" t="str">
        <f t="shared" si="134"/>
        <v/>
      </c>
      <c r="T879" t="str">
        <f t="shared" si="135"/>
        <v/>
      </c>
      <c r="U879" t="str">
        <f t="shared" si="136"/>
        <v/>
      </c>
      <c r="V879" t="str">
        <f t="shared" si="137"/>
        <v/>
      </c>
      <c r="W879" t="str">
        <f t="shared" si="138"/>
        <v/>
      </c>
      <c r="X879">
        <f>IF($T879="",N($X878),IF(MATCH($T879,$T$6:$T$10005,0)=ROW()-5,N($X878)+1,N($X878)))</f>
        <v>0</v>
      </c>
      <c r="Z879" t="str">
        <f t="shared" si="139"/>
        <v/>
      </c>
      <c r="AA879">
        <f>IF($V879="",N($AA878),IF(MATCH($V879,$V$6:$V$10005,0)=ROW()-5,N($AA878)+1,N($AA878)))</f>
        <v>0</v>
      </c>
    </row>
    <row r="880" spans="1:27" ht="21" customHeight="1" x14ac:dyDescent="0.95">
      <c r="A880" s="56"/>
      <c r="B880" s="57"/>
      <c r="C880" s="57"/>
      <c r="D880" s="57"/>
      <c r="E880" s="56"/>
      <c r="F880" s="57"/>
      <c r="G880" s="57"/>
      <c r="H880" s="56"/>
      <c r="I880" s="56"/>
      <c r="J880" s="58"/>
      <c r="K880" s="58"/>
      <c r="L880" s="13" t="str">
        <f t="shared" si="130"/>
        <v/>
      </c>
      <c r="M880" s="13" t="str">
        <f t="shared" si="131"/>
        <v/>
      </c>
      <c r="Q880" t="str">
        <f t="shared" si="132"/>
        <v/>
      </c>
      <c r="R880" t="str">
        <f t="shared" si="133"/>
        <v/>
      </c>
      <c r="S880" t="str">
        <f t="shared" si="134"/>
        <v/>
      </c>
      <c r="T880" t="str">
        <f t="shared" si="135"/>
        <v/>
      </c>
      <c r="U880" t="str">
        <f t="shared" si="136"/>
        <v/>
      </c>
      <c r="V880" t="str">
        <f t="shared" si="137"/>
        <v/>
      </c>
      <c r="W880" t="str">
        <f t="shared" si="138"/>
        <v/>
      </c>
      <c r="X880">
        <f>IF($T880="",N($X879),IF(MATCH($T880,$T$6:$T$10005,0)=ROW()-5,N($X879)+1,N($X879)))</f>
        <v>0</v>
      </c>
      <c r="Z880" t="str">
        <f t="shared" si="139"/>
        <v/>
      </c>
      <c r="AA880">
        <f>IF($V880="",N($AA879),IF(MATCH($V880,$V$6:$V$10005,0)=ROW()-5,N($AA879)+1,N($AA879)))</f>
        <v>0</v>
      </c>
    </row>
    <row r="881" spans="1:27" ht="21" customHeight="1" x14ac:dyDescent="0.95">
      <c r="A881" s="56"/>
      <c r="B881" s="57"/>
      <c r="C881" s="57"/>
      <c r="D881" s="57"/>
      <c r="E881" s="56"/>
      <c r="F881" s="57"/>
      <c r="G881" s="57"/>
      <c r="H881" s="56"/>
      <c r="I881" s="56"/>
      <c r="J881" s="58"/>
      <c r="K881" s="58"/>
      <c r="L881" s="13" t="str">
        <f t="shared" si="130"/>
        <v/>
      </c>
      <c r="M881" s="13" t="str">
        <f t="shared" si="131"/>
        <v/>
      </c>
      <c r="Q881" t="str">
        <f t="shared" si="132"/>
        <v/>
      </c>
      <c r="R881" t="str">
        <f t="shared" si="133"/>
        <v/>
      </c>
      <c r="S881" t="str">
        <f t="shared" si="134"/>
        <v/>
      </c>
      <c r="T881" t="str">
        <f t="shared" si="135"/>
        <v/>
      </c>
      <c r="U881" t="str">
        <f t="shared" si="136"/>
        <v/>
      </c>
      <c r="V881" t="str">
        <f t="shared" si="137"/>
        <v/>
      </c>
      <c r="W881" t="str">
        <f t="shared" si="138"/>
        <v/>
      </c>
      <c r="X881">
        <f>IF($T881="",N($X880),IF(MATCH($T881,$T$6:$T$10005,0)=ROW()-5,N($X880)+1,N($X880)))</f>
        <v>0</v>
      </c>
      <c r="Z881" t="str">
        <f t="shared" si="139"/>
        <v/>
      </c>
      <c r="AA881">
        <f>IF($V881="",N($AA880),IF(MATCH($V881,$V$6:$V$10005,0)=ROW()-5,N($AA880)+1,N($AA880)))</f>
        <v>0</v>
      </c>
    </row>
    <row r="882" spans="1:27" ht="21" customHeight="1" x14ac:dyDescent="0.95">
      <c r="A882" s="56"/>
      <c r="B882" s="57"/>
      <c r="C882" s="57"/>
      <c r="D882" s="57"/>
      <c r="E882" s="56"/>
      <c r="F882" s="57"/>
      <c r="G882" s="57"/>
      <c r="H882" s="56"/>
      <c r="I882" s="56"/>
      <c r="J882" s="58"/>
      <c r="K882" s="58"/>
      <c r="L882" s="13" t="str">
        <f t="shared" si="130"/>
        <v/>
      </c>
      <c r="M882" s="13" t="str">
        <f t="shared" si="131"/>
        <v/>
      </c>
      <c r="Q882" t="str">
        <f t="shared" si="132"/>
        <v/>
      </c>
      <c r="R882" t="str">
        <f t="shared" si="133"/>
        <v/>
      </c>
      <c r="S882" t="str">
        <f t="shared" si="134"/>
        <v/>
      </c>
      <c r="T882" t="str">
        <f t="shared" si="135"/>
        <v/>
      </c>
      <c r="U882" t="str">
        <f t="shared" si="136"/>
        <v/>
      </c>
      <c r="V882" t="str">
        <f t="shared" si="137"/>
        <v/>
      </c>
      <c r="W882" t="str">
        <f t="shared" si="138"/>
        <v/>
      </c>
      <c r="X882">
        <f>IF($T882="",N($X881),IF(MATCH($T882,$T$6:$T$10005,0)=ROW()-5,N($X881)+1,N($X881)))</f>
        <v>0</v>
      </c>
      <c r="Z882" t="str">
        <f t="shared" si="139"/>
        <v/>
      </c>
      <c r="AA882">
        <f>IF($V882="",N($AA881),IF(MATCH($V882,$V$6:$V$10005,0)=ROW()-5,N($AA881)+1,N($AA881)))</f>
        <v>0</v>
      </c>
    </row>
    <row r="883" spans="1:27" ht="21" customHeight="1" x14ac:dyDescent="0.95">
      <c r="A883" s="56"/>
      <c r="B883" s="57"/>
      <c r="C883" s="57"/>
      <c r="D883" s="57"/>
      <c r="E883" s="56"/>
      <c r="F883" s="57"/>
      <c r="G883" s="57"/>
      <c r="H883" s="56"/>
      <c r="I883" s="56"/>
      <c r="J883" s="58"/>
      <c r="K883" s="58"/>
      <c r="L883" s="13" t="str">
        <f t="shared" si="130"/>
        <v/>
      </c>
      <c r="M883" s="13" t="str">
        <f t="shared" si="131"/>
        <v/>
      </c>
      <c r="Q883" t="str">
        <f t="shared" si="132"/>
        <v/>
      </c>
      <c r="R883" t="str">
        <f t="shared" si="133"/>
        <v/>
      </c>
      <c r="S883" t="str">
        <f t="shared" si="134"/>
        <v/>
      </c>
      <c r="T883" t="str">
        <f t="shared" si="135"/>
        <v/>
      </c>
      <c r="U883" t="str">
        <f t="shared" si="136"/>
        <v/>
      </c>
      <c r="V883" t="str">
        <f t="shared" si="137"/>
        <v/>
      </c>
      <c r="W883" t="str">
        <f t="shared" si="138"/>
        <v/>
      </c>
      <c r="X883">
        <f>IF($T883="",N($X882),IF(MATCH($T883,$T$6:$T$10005,0)=ROW()-5,N($X882)+1,N($X882)))</f>
        <v>0</v>
      </c>
      <c r="Z883" t="str">
        <f t="shared" si="139"/>
        <v/>
      </c>
      <c r="AA883">
        <f>IF($V883="",N($AA882),IF(MATCH($V883,$V$6:$V$10005,0)=ROW()-5,N($AA882)+1,N($AA882)))</f>
        <v>0</v>
      </c>
    </row>
    <row r="884" spans="1:27" ht="21" customHeight="1" x14ac:dyDescent="0.95">
      <c r="A884" s="56"/>
      <c r="B884" s="57"/>
      <c r="C884" s="57"/>
      <c r="D884" s="57"/>
      <c r="E884" s="56"/>
      <c r="F884" s="57"/>
      <c r="G884" s="57"/>
      <c r="H884" s="56"/>
      <c r="I884" s="56"/>
      <c r="J884" s="58"/>
      <c r="K884" s="58"/>
      <c r="L884" s="13" t="str">
        <f t="shared" si="130"/>
        <v/>
      </c>
      <c r="M884" s="13" t="str">
        <f t="shared" si="131"/>
        <v/>
      </c>
      <c r="Q884" t="str">
        <f t="shared" si="132"/>
        <v/>
      </c>
      <c r="R884" t="str">
        <f t="shared" si="133"/>
        <v/>
      </c>
      <c r="S884" t="str">
        <f t="shared" si="134"/>
        <v/>
      </c>
      <c r="T884" t="str">
        <f t="shared" si="135"/>
        <v/>
      </c>
      <c r="U884" t="str">
        <f t="shared" si="136"/>
        <v/>
      </c>
      <c r="V884" t="str">
        <f t="shared" si="137"/>
        <v/>
      </c>
      <c r="W884" t="str">
        <f t="shared" si="138"/>
        <v/>
      </c>
      <c r="X884">
        <f>IF($T884="",N($X883),IF(MATCH($T884,$T$6:$T$10005,0)=ROW()-5,N($X883)+1,N($X883)))</f>
        <v>0</v>
      </c>
      <c r="Z884" t="str">
        <f t="shared" si="139"/>
        <v/>
      </c>
      <c r="AA884">
        <f>IF($V884="",N($AA883),IF(MATCH($V884,$V$6:$V$10005,0)=ROW()-5,N($AA883)+1,N($AA883)))</f>
        <v>0</v>
      </c>
    </row>
    <row r="885" spans="1:27" ht="21" customHeight="1" x14ac:dyDescent="0.95">
      <c r="A885" s="56"/>
      <c r="B885" s="57"/>
      <c r="C885" s="57"/>
      <c r="D885" s="57"/>
      <c r="E885" s="56"/>
      <c r="F885" s="57"/>
      <c r="G885" s="57"/>
      <c r="H885" s="56"/>
      <c r="I885" s="56"/>
      <c r="J885" s="58"/>
      <c r="K885" s="58"/>
      <c r="L885" s="13" t="str">
        <f t="shared" si="130"/>
        <v/>
      </c>
      <c r="M885" s="13" t="str">
        <f t="shared" si="131"/>
        <v/>
      </c>
      <c r="Q885" t="str">
        <f t="shared" si="132"/>
        <v/>
      </c>
      <c r="R885" t="str">
        <f t="shared" si="133"/>
        <v/>
      </c>
      <c r="S885" t="str">
        <f t="shared" si="134"/>
        <v/>
      </c>
      <c r="T885" t="str">
        <f t="shared" si="135"/>
        <v/>
      </c>
      <c r="U885" t="str">
        <f t="shared" si="136"/>
        <v/>
      </c>
      <c r="V885" t="str">
        <f t="shared" si="137"/>
        <v/>
      </c>
      <c r="W885" t="str">
        <f t="shared" si="138"/>
        <v/>
      </c>
      <c r="X885">
        <f>IF($T885="",N($X884),IF(MATCH($T885,$T$6:$T$10005,0)=ROW()-5,N($X884)+1,N($X884)))</f>
        <v>0</v>
      </c>
      <c r="Z885" t="str">
        <f t="shared" si="139"/>
        <v/>
      </c>
      <c r="AA885">
        <f>IF($V885="",N($AA884),IF(MATCH($V885,$V$6:$V$10005,0)=ROW()-5,N($AA884)+1,N($AA884)))</f>
        <v>0</v>
      </c>
    </row>
    <row r="886" spans="1:27" ht="21" customHeight="1" x14ac:dyDescent="0.95">
      <c r="A886" s="56"/>
      <c r="B886" s="57"/>
      <c r="C886" s="57"/>
      <c r="D886" s="57"/>
      <c r="E886" s="56"/>
      <c r="F886" s="57"/>
      <c r="G886" s="57"/>
      <c r="H886" s="56"/>
      <c r="I886" s="56"/>
      <c r="J886" s="58"/>
      <c r="K886" s="58"/>
      <c r="L886" s="13" t="str">
        <f t="shared" si="130"/>
        <v/>
      </c>
      <c r="M886" s="13" t="str">
        <f t="shared" si="131"/>
        <v/>
      </c>
      <c r="Q886" t="str">
        <f t="shared" si="132"/>
        <v/>
      </c>
      <c r="R886" t="str">
        <f t="shared" si="133"/>
        <v/>
      </c>
      <c r="S886" t="str">
        <f t="shared" si="134"/>
        <v/>
      </c>
      <c r="T886" t="str">
        <f t="shared" si="135"/>
        <v/>
      </c>
      <c r="U886" t="str">
        <f t="shared" si="136"/>
        <v/>
      </c>
      <c r="V886" t="str">
        <f t="shared" si="137"/>
        <v/>
      </c>
      <c r="W886" t="str">
        <f t="shared" si="138"/>
        <v/>
      </c>
      <c r="X886">
        <f>IF($T886="",N($X885),IF(MATCH($T886,$T$6:$T$10005,0)=ROW()-5,N($X885)+1,N($X885)))</f>
        <v>0</v>
      </c>
      <c r="Z886" t="str">
        <f t="shared" si="139"/>
        <v/>
      </c>
      <c r="AA886">
        <f>IF($V886="",N($AA885),IF(MATCH($V886,$V$6:$V$10005,0)=ROW()-5,N($AA885)+1,N($AA885)))</f>
        <v>0</v>
      </c>
    </row>
    <row r="887" spans="1:27" ht="21" customHeight="1" x14ac:dyDescent="0.95">
      <c r="A887" s="56"/>
      <c r="B887" s="57"/>
      <c r="C887" s="57"/>
      <c r="D887" s="57"/>
      <c r="E887" s="56"/>
      <c r="F887" s="57"/>
      <c r="G887" s="57"/>
      <c r="H887" s="56"/>
      <c r="I887" s="56"/>
      <c r="J887" s="58"/>
      <c r="K887" s="58"/>
      <c r="L887" s="13" t="str">
        <f t="shared" si="130"/>
        <v/>
      </c>
      <c r="M887" s="13" t="str">
        <f t="shared" si="131"/>
        <v/>
      </c>
      <c r="Q887" t="str">
        <f t="shared" si="132"/>
        <v/>
      </c>
      <c r="R887" t="str">
        <f t="shared" si="133"/>
        <v/>
      </c>
      <c r="S887" t="str">
        <f t="shared" si="134"/>
        <v/>
      </c>
      <c r="T887" t="str">
        <f t="shared" si="135"/>
        <v/>
      </c>
      <c r="U887" t="str">
        <f t="shared" si="136"/>
        <v/>
      </c>
      <c r="V887" t="str">
        <f t="shared" si="137"/>
        <v/>
      </c>
      <c r="W887" t="str">
        <f t="shared" si="138"/>
        <v/>
      </c>
      <c r="X887">
        <f>IF($T887="",N($X886),IF(MATCH($T887,$T$6:$T$10005,0)=ROW()-5,N($X886)+1,N($X886)))</f>
        <v>0</v>
      </c>
      <c r="Z887" t="str">
        <f t="shared" si="139"/>
        <v/>
      </c>
      <c r="AA887">
        <f>IF($V887="",N($AA886),IF(MATCH($V887,$V$6:$V$10005,0)=ROW()-5,N($AA886)+1,N($AA886)))</f>
        <v>0</v>
      </c>
    </row>
    <row r="888" spans="1:27" ht="21" customHeight="1" x14ac:dyDescent="0.95">
      <c r="A888" s="56"/>
      <c r="B888" s="57"/>
      <c r="C888" s="57"/>
      <c r="D888" s="57"/>
      <c r="E888" s="56"/>
      <c r="F888" s="57"/>
      <c r="G888" s="57"/>
      <c r="H888" s="56"/>
      <c r="I888" s="56"/>
      <c r="J888" s="58"/>
      <c r="K888" s="58"/>
      <c r="L888" s="13" t="str">
        <f t="shared" si="130"/>
        <v/>
      </c>
      <c r="M888" s="13" t="str">
        <f t="shared" si="131"/>
        <v/>
      </c>
      <c r="Q888" t="str">
        <f t="shared" si="132"/>
        <v/>
      </c>
      <c r="R888" t="str">
        <f t="shared" si="133"/>
        <v/>
      </c>
      <c r="S888" t="str">
        <f t="shared" si="134"/>
        <v/>
      </c>
      <c r="T888" t="str">
        <f t="shared" si="135"/>
        <v/>
      </c>
      <c r="U888" t="str">
        <f t="shared" si="136"/>
        <v/>
      </c>
      <c r="V888" t="str">
        <f t="shared" si="137"/>
        <v/>
      </c>
      <c r="W888" t="str">
        <f t="shared" si="138"/>
        <v/>
      </c>
      <c r="X888">
        <f>IF($T888="",N($X887),IF(MATCH($T888,$T$6:$T$10005,0)=ROW()-5,N($X887)+1,N($X887)))</f>
        <v>0</v>
      </c>
      <c r="Z888" t="str">
        <f t="shared" si="139"/>
        <v/>
      </c>
      <c r="AA888">
        <f>IF($V888="",N($AA887),IF(MATCH($V888,$V$6:$V$10005,0)=ROW()-5,N($AA887)+1,N($AA887)))</f>
        <v>0</v>
      </c>
    </row>
    <row r="889" spans="1:27" ht="21" customHeight="1" x14ac:dyDescent="0.95">
      <c r="A889" s="56"/>
      <c r="B889" s="57"/>
      <c r="C889" s="57"/>
      <c r="D889" s="57"/>
      <c r="E889" s="56"/>
      <c r="F889" s="57"/>
      <c r="G889" s="57"/>
      <c r="H889" s="56"/>
      <c r="I889" s="56"/>
      <c r="J889" s="58"/>
      <c r="K889" s="58"/>
      <c r="L889" s="13" t="str">
        <f t="shared" si="130"/>
        <v/>
      </c>
      <c r="M889" s="13" t="str">
        <f t="shared" si="131"/>
        <v/>
      </c>
      <c r="Q889" t="str">
        <f t="shared" si="132"/>
        <v/>
      </c>
      <c r="R889" t="str">
        <f t="shared" si="133"/>
        <v/>
      </c>
      <c r="S889" t="str">
        <f t="shared" si="134"/>
        <v/>
      </c>
      <c r="T889" t="str">
        <f t="shared" si="135"/>
        <v/>
      </c>
      <c r="U889" t="str">
        <f t="shared" si="136"/>
        <v/>
      </c>
      <c r="V889" t="str">
        <f t="shared" si="137"/>
        <v/>
      </c>
      <c r="W889" t="str">
        <f t="shared" si="138"/>
        <v/>
      </c>
      <c r="X889">
        <f>IF($T889="",N($X888),IF(MATCH($T889,$T$6:$T$10005,0)=ROW()-5,N($X888)+1,N($X888)))</f>
        <v>0</v>
      </c>
      <c r="Z889" t="str">
        <f t="shared" si="139"/>
        <v/>
      </c>
      <c r="AA889">
        <f>IF($V889="",N($AA888),IF(MATCH($V889,$V$6:$V$10005,0)=ROW()-5,N($AA888)+1,N($AA888)))</f>
        <v>0</v>
      </c>
    </row>
    <row r="890" spans="1:27" ht="21" customHeight="1" x14ac:dyDescent="0.95">
      <c r="A890" s="56"/>
      <c r="B890" s="57"/>
      <c r="C890" s="57"/>
      <c r="D890" s="57"/>
      <c r="E890" s="56"/>
      <c r="F890" s="57"/>
      <c r="G890" s="57"/>
      <c r="H890" s="56"/>
      <c r="I890" s="56"/>
      <c r="J890" s="58"/>
      <c r="K890" s="58"/>
      <c r="L890" s="13" t="str">
        <f t="shared" si="130"/>
        <v/>
      </c>
      <c r="M890" s="13" t="str">
        <f t="shared" si="131"/>
        <v/>
      </c>
      <c r="Q890" t="str">
        <f t="shared" si="132"/>
        <v/>
      </c>
      <c r="R890" t="str">
        <f t="shared" si="133"/>
        <v/>
      </c>
      <c r="S890" t="str">
        <f t="shared" si="134"/>
        <v/>
      </c>
      <c r="T890" t="str">
        <f t="shared" si="135"/>
        <v/>
      </c>
      <c r="U890" t="str">
        <f t="shared" si="136"/>
        <v/>
      </c>
      <c r="V890" t="str">
        <f t="shared" si="137"/>
        <v/>
      </c>
      <c r="W890" t="str">
        <f t="shared" si="138"/>
        <v/>
      </c>
      <c r="X890">
        <f>IF($T890="",N($X889),IF(MATCH($T890,$T$6:$T$10005,0)=ROW()-5,N($X889)+1,N($X889)))</f>
        <v>0</v>
      </c>
      <c r="Z890" t="str">
        <f t="shared" si="139"/>
        <v/>
      </c>
      <c r="AA890">
        <f>IF($V890="",N($AA889),IF(MATCH($V890,$V$6:$V$10005,0)=ROW()-5,N($AA889)+1,N($AA889)))</f>
        <v>0</v>
      </c>
    </row>
    <row r="891" spans="1:27" ht="21" customHeight="1" x14ac:dyDescent="0.95">
      <c r="A891" s="56"/>
      <c r="B891" s="57"/>
      <c r="C891" s="57"/>
      <c r="D891" s="57"/>
      <c r="E891" s="56"/>
      <c r="F891" s="57"/>
      <c r="G891" s="57"/>
      <c r="H891" s="56"/>
      <c r="I891" s="56"/>
      <c r="J891" s="58"/>
      <c r="K891" s="58"/>
      <c r="L891" s="13" t="str">
        <f t="shared" si="130"/>
        <v/>
      </c>
      <c r="M891" s="13" t="str">
        <f t="shared" si="131"/>
        <v/>
      </c>
      <c r="Q891" t="str">
        <f t="shared" si="132"/>
        <v/>
      </c>
      <c r="R891" t="str">
        <f t="shared" si="133"/>
        <v/>
      </c>
      <c r="S891" t="str">
        <f t="shared" si="134"/>
        <v/>
      </c>
      <c r="T891" t="str">
        <f t="shared" si="135"/>
        <v/>
      </c>
      <c r="U891" t="str">
        <f t="shared" si="136"/>
        <v/>
      </c>
      <c r="V891" t="str">
        <f t="shared" si="137"/>
        <v/>
      </c>
      <c r="W891" t="str">
        <f t="shared" si="138"/>
        <v/>
      </c>
      <c r="X891">
        <f>IF($T891="",N($X890),IF(MATCH($T891,$T$6:$T$10005,0)=ROW()-5,N($X890)+1,N($X890)))</f>
        <v>0</v>
      </c>
      <c r="Z891" t="str">
        <f t="shared" si="139"/>
        <v/>
      </c>
      <c r="AA891">
        <f>IF($V891="",N($AA890),IF(MATCH($V891,$V$6:$V$10005,0)=ROW()-5,N($AA890)+1,N($AA890)))</f>
        <v>0</v>
      </c>
    </row>
    <row r="892" spans="1:27" ht="21" customHeight="1" x14ac:dyDescent="0.95">
      <c r="A892" s="56"/>
      <c r="B892" s="57"/>
      <c r="C892" s="57"/>
      <c r="D892" s="57"/>
      <c r="E892" s="56"/>
      <c r="F892" s="57"/>
      <c r="G892" s="57"/>
      <c r="H892" s="56"/>
      <c r="I892" s="56"/>
      <c r="J892" s="58"/>
      <c r="K892" s="58"/>
      <c r="L892" s="13" t="str">
        <f t="shared" si="130"/>
        <v/>
      </c>
      <c r="M892" s="13" t="str">
        <f t="shared" si="131"/>
        <v/>
      </c>
      <c r="Q892" t="str">
        <f t="shared" si="132"/>
        <v/>
      </c>
      <c r="R892" t="str">
        <f t="shared" si="133"/>
        <v/>
      </c>
      <c r="S892" t="str">
        <f t="shared" si="134"/>
        <v/>
      </c>
      <c r="T892" t="str">
        <f t="shared" si="135"/>
        <v/>
      </c>
      <c r="U892" t="str">
        <f t="shared" si="136"/>
        <v/>
      </c>
      <c r="V892" t="str">
        <f t="shared" si="137"/>
        <v/>
      </c>
      <c r="W892" t="str">
        <f t="shared" si="138"/>
        <v/>
      </c>
      <c r="X892">
        <f>IF($T892="",N($X891),IF(MATCH($T892,$T$6:$T$10005,0)=ROW()-5,N($X891)+1,N($X891)))</f>
        <v>0</v>
      </c>
      <c r="Z892" t="str">
        <f t="shared" si="139"/>
        <v/>
      </c>
      <c r="AA892">
        <f>IF($V892="",N($AA891),IF(MATCH($V892,$V$6:$V$10005,0)=ROW()-5,N($AA891)+1,N($AA891)))</f>
        <v>0</v>
      </c>
    </row>
    <row r="893" spans="1:27" ht="21" customHeight="1" x14ac:dyDescent="0.95">
      <c r="A893" s="56"/>
      <c r="B893" s="57"/>
      <c r="C893" s="57"/>
      <c r="D893" s="57"/>
      <c r="E893" s="56"/>
      <c r="F893" s="57"/>
      <c r="G893" s="57"/>
      <c r="H893" s="56"/>
      <c r="I893" s="56"/>
      <c r="J893" s="58"/>
      <c r="K893" s="58"/>
      <c r="L893" s="13" t="str">
        <f t="shared" si="130"/>
        <v/>
      </c>
      <c r="M893" s="13" t="str">
        <f t="shared" si="131"/>
        <v/>
      </c>
      <c r="Q893" t="str">
        <f t="shared" si="132"/>
        <v/>
      </c>
      <c r="R893" t="str">
        <f t="shared" si="133"/>
        <v/>
      </c>
      <c r="S893" t="str">
        <f t="shared" si="134"/>
        <v/>
      </c>
      <c r="T893" t="str">
        <f t="shared" si="135"/>
        <v/>
      </c>
      <c r="U893" t="str">
        <f t="shared" si="136"/>
        <v/>
      </c>
      <c r="V893" t="str">
        <f t="shared" si="137"/>
        <v/>
      </c>
      <c r="W893" t="str">
        <f t="shared" si="138"/>
        <v/>
      </c>
      <c r="X893">
        <f>IF($T893="",N($X892),IF(MATCH($T893,$T$6:$T$10005,0)=ROW()-5,N($X892)+1,N($X892)))</f>
        <v>0</v>
      </c>
      <c r="Z893" t="str">
        <f t="shared" si="139"/>
        <v/>
      </c>
      <c r="AA893">
        <f>IF($V893="",N($AA892),IF(MATCH($V893,$V$6:$V$10005,0)=ROW()-5,N($AA892)+1,N($AA892)))</f>
        <v>0</v>
      </c>
    </row>
    <row r="894" spans="1:27" ht="21" customHeight="1" x14ac:dyDescent="0.95">
      <c r="A894" s="56"/>
      <c r="B894" s="57"/>
      <c r="C894" s="57"/>
      <c r="D894" s="57"/>
      <c r="E894" s="56"/>
      <c r="F894" s="57"/>
      <c r="G894" s="57"/>
      <c r="H894" s="56"/>
      <c r="I894" s="56"/>
      <c r="J894" s="58"/>
      <c r="K894" s="58"/>
      <c r="L894" s="13" t="str">
        <f t="shared" si="130"/>
        <v/>
      </c>
      <c r="M894" s="13" t="str">
        <f t="shared" si="131"/>
        <v/>
      </c>
      <c r="Q894" t="str">
        <f t="shared" si="132"/>
        <v/>
      </c>
      <c r="R894" t="str">
        <f t="shared" si="133"/>
        <v/>
      </c>
      <c r="S894" t="str">
        <f t="shared" si="134"/>
        <v/>
      </c>
      <c r="T894" t="str">
        <f t="shared" si="135"/>
        <v/>
      </c>
      <c r="U894" t="str">
        <f t="shared" si="136"/>
        <v/>
      </c>
      <c r="V894" t="str">
        <f t="shared" si="137"/>
        <v/>
      </c>
      <c r="W894" t="str">
        <f t="shared" si="138"/>
        <v/>
      </c>
      <c r="X894">
        <f>IF($T894="",N($X893),IF(MATCH($T894,$T$6:$T$10005,0)=ROW()-5,N($X893)+1,N($X893)))</f>
        <v>0</v>
      </c>
      <c r="Z894" t="str">
        <f t="shared" si="139"/>
        <v/>
      </c>
      <c r="AA894">
        <f>IF($V894="",N($AA893),IF(MATCH($V894,$V$6:$V$10005,0)=ROW()-5,N($AA893)+1,N($AA893)))</f>
        <v>0</v>
      </c>
    </row>
    <row r="895" spans="1:27" ht="21" customHeight="1" x14ac:dyDescent="0.95">
      <c r="A895" s="56"/>
      <c r="B895" s="57"/>
      <c r="C895" s="57"/>
      <c r="D895" s="57"/>
      <c r="E895" s="56"/>
      <c r="F895" s="57"/>
      <c r="G895" s="57"/>
      <c r="H895" s="56"/>
      <c r="I895" s="56"/>
      <c r="J895" s="58"/>
      <c r="K895" s="58"/>
      <c r="L895" s="13" t="str">
        <f t="shared" si="130"/>
        <v/>
      </c>
      <c r="M895" s="13" t="str">
        <f t="shared" si="131"/>
        <v/>
      </c>
      <c r="Q895" t="str">
        <f t="shared" si="132"/>
        <v/>
      </c>
      <c r="R895" t="str">
        <f t="shared" si="133"/>
        <v/>
      </c>
      <c r="S895" t="str">
        <f t="shared" si="134"/>
        <v/>
      </c>
      <c r="T895" t="str">
        <f t="shared" si="135"/>
        <v/>
      </c>
      <c r="U895" t="str">
        <f t="shared" si="136"/>
        <v/>
      </c>
      <c r="V895" t="str">
        <f t="shared" si="137"/>
        <v/>
      </c>
      <c r="W895" t="str">
        <f t="shared" si="138"/>
        <v/>
      </c>
      <c r="X895">
        <f>IF($T895="",N($X894),IF(MATCH($T895,$T$6:$T$10005,0)=ROW()-5,N($X894)+1,N($X894)))</f>
        <v>0</v>
      </c>
      <c r="Z895" t="str">
        <f t="shared" si="139"/>
        <v/>
      </c>
      <c r="AA895">
        <f>IF($V895="",N($AA894),IF(MATCH($V895,$V$6:$V$10005,0)=ROW()-5,N($AA894)+1,N($AA894)))</f>
        <v>0</v>
      </c>
    </row>
    <row r="896" spans="1:27" ht="21" customHeight="1" x14ac:dyDescent="0.95">
      <c r="A896" s="56"/>
      <c r="B896" s="57"/>
      <c r="C896" s="57"/>
      <c r="D896" s="57"/>
      <c r="E896" s="56"/>
      <c r="F896" s="57"/>
      <c r="G896" s="57"/>
      <c r="H896" s="56"/>
      <c r="I896" s="56"/>
      <c r="J896" s="58"/>
      <c r="K896" s="58"/>
      <c r="L896" s="13" t="str">
        <f t="shared" si="130"/>
        <v/>
      </c>
      <c r="M896" s="13" t="str">
        <f t="shared" si="131"/>
        <v/>
      </c>
      <c r="Q896" t="str">
        <f t="shared" si="132"/>
        <v/>
      </c>
      <c r="R896" t="str">
        <f t="shared" si="133"/>
        <v/>
      </c>
      <c r="S896" t="str">
        <f t="shared" si="134"/>
        <v/>
      </c>
      <c r="T896" t="str">
        <f t="shared" si="135"/>
        <v/>
      </c>
      <c r="U896" t="str">
        <f t="shared" si="136"/>
        <v/>
      </c>
      <c r="V896" t="str">
        <f t="shared" si="137"/>
        <v/>
      </c>
      <c r="W896" t="str">
        <f t="shared" si="138"/>
        <v/>
      </c>
      <c r="X896">
        <f>IF($T896="",N($X895),IF(MATCH($T896,$T$6:$T$10005,0)=ROW()-5,N($X895)+1,N($X895)))</f>
        <v>0</v>
      </c>
      <c r="Z896" t="str">
        <f t="shared" si="139"/>
        <v/>
      </c>
      <c r="AA896">
        <f>IF($V896="",N($AA895),IF(MATCH($V896,$V$6:$V$10005,0)=ROW()-5,N($AA895)+1,N($AA895)))</f>
        <v>0</v>
      </c>
    </row>
    <row r="897" spans="1:27" ht="21" customHeight="1" x14ac:dyDescent="0.95">
      <c r="A897" s="56"/>
      <c r="B897" s="57"/>
      <c r="C897" s="57"/>
      <c r="D897" s="57"/>
      <c r="E897" s="56"/>
      <c r="F897" s="57"/>
      <c r="G897" s="57"/>
      <c r="H897" s="56"/>
      <c r="I897" s="56"/>
      <c r="J897" s="58"/>
      <c r="K897" s="58"/>
      <c r="L897" s="13" t="str">
        <f t="shared" si="130"/>
        <v/>
      </c>
      <c r="M897" s="13" t="str">
        <f t="shared" si="131"/>
        <v/>
      </c>
      <c r="Q897" t="str">
        <f t="shared" si="132"/>
        <v/>
      </c>
      <c r="R897" t="str">
        <f t="shared" si="133"/>
        <v/>
      </c>
      <c r="S897" t="str">
        <f t="shared" si="134"/>
        <v/>
      </c>
      <c r="T897" t="str">
        <f t="shared" si="135"/>
        <v/>
      </c>
      <c r="U897" t="str">
        <f t="shared" si="136"/>
        <v/>
      </c>
      <c r="V897" t="str">
        <f t="shared" si="137"/>
        <v/>
      </c>
      <c r="W897" t="str">
        <f t="shared" si="138"/>
        <v/>
      </c>
      <c r="X897">
        <f>IF($T897="",N($X896),IF(MATCH($T897,$T$6:$T$10005,0)=ROW()-5,N($X896)+1,N($X896)))</f>
        <v>0</v>
      </c>
      <c r="Z897" t="str">
        <f t="shared" si="139"/>
        <v/>
      </c>
      <c r="AA897">
        <f>IF($V897="",N($AA896),IF(MATCH($V897,$V$6:$V$10005,0)=ROW()-5,N($AA896)+1,N($AA896)))</f>
        <v>0</v>
      </c>
    </row>
    <row r="898" spans="1:27" ht="21" customHeight="1" x14ac:dyDescent="0.95">
      <c r="A898" s="56"/>
      <c r="B898" s="57"/>
      <c r="C898" s="57"/>
      <c r="D898" s="57"/>
      <c r="E898" s="56"/>
      <c r="F898" s="57"/>
      <c r="G898" s="57"/>
      <c r="H898" s="56"/>
      <c r="I898" s="56"/>
      <c r="J898" s="58"/>
      <c r="K898" s="58"/>
      <c r="L898" s="13" t="str">
        <f t="shared" si="130"/>
        <v/>
      </c>
      <c r="M898" s="13" t="str">
        <f t="shared" si="131"/>
        <v/>
      </c>
      <c r="Q898" t="str">
        <f t="shared" si="132"/>
        <v/>
      </c>
      <c r="R898" t="str">
        <f t="shared" si="133"/>
        <v/>
      </c>
      <c r="S898" t="str">
        <f t="shared" si="134"/>
        <v/>
      </c>
      <c r="T898" t="str">
        <f t="shared" si="135"/>
        <v/>
      </c>
      <c r="U898" t="str">
        <f t="shared" si="136"/>
        <v/>
      </c>
      <c r="V898" t="str">
        <f t="shared" si="137"/>
        <v/>
      </c>
      <c r="W898" t="str">
        <f t="shared" si="138"/>
        <v/>
      </c>
      <c r="X898">
        <f>IF($T898="",N($X897),IF(MATCH($T898,$T$6:$T$10005,0)=ROW()-5,N($X897)+1,N($X897)))</f>
        <v>0</v>
      </c>
      <c r="Z898" t="str">
        <f t="shared" si="139"/>
        <v/>
      </c>
      <c r="AA898">
        <f>IF($V898="",N($AA897),IF(MATCH($V898,$V$6:$V$10005,0)=ROW()-5,N($AA897)+1,N($AA897)))</f>
        <v>0</v>
      </c>
    </row>
    <row r="899" spans="1:27" ht="21" customHeight="1" x14ac:dyDescent="0.95">
      <c r="A899" s="56"/>
      <c r="B899" s="57"/>
      <c r="C899" s="57"/>
      <c r="D899" s="57"/>
      <c r="E899" s="56"/>
      <c r="F899" s="57"/>
      <c r="G899" s="57"/>
      <c r="H899" s="56"/>
      <c r="I899" s="56"/>
      <c r="J899" s="58"/>
      <c r="K899" s="58"/>
      <c r="L899" s="13" t="str">
        <f t="shared" si="130"/>
        <v/>
      </c>
      <c r="M899" s="13" t="str">
        <f t="shared" si="131"/>
        <v/>
      </c>
      <c r="Q899" t="str">
        <f t="shared" si="132"/>
        <v/>
      </c>
      <c r="R899" t="str">
        <f t="shared" si="133"/>
        <v/>
      </c>
      <c r="S899" t="str">
        <f t="shared" si="134"/>
        <v/>
      </c>
      <c r="T899" t="str">
        <f t="shared" si="135"/>
        <v/>
      </c>
      <c r="U899" t="str">
        <f t="shared" si="136"/>
        <v/>
      </c>
      <c r="V899" t="str">
        <f t="shared" si="137"/>
        <v/>
      </c>
      <c r="W899" t="str">
        <f t="shared" si="138"/>
        <v/>
      </c>
      <c r="X899">
        <f>IF($T899="",N($X898),IF(MATCH($T899,$T$6:$T$10005,0)=ROW()-5,N($X898)+1,N($X898)))</f>
        <v>0</v>
      </c>
      <c r="Z899" t="str">
        <f t="shared" si="139"/>
        <v/>
      </c>
      <c r="AA899">
        <f>IF($V899="",N($AA898),IF(MATCH($V899,$V$6:$V$10005,0)=ROW()-5,N($AA898)+1,N($AA898)))</f>
        <v>0</v>
      </c>
    </row>
    <row r="900" spans="1:27" ht="21" customHeight="1" x14ac:dyDescent="0.95">
      <c r="A900" s="56"/>
      <c r="B900" s="57"/>
      <c r="C900" s="57"/>
      <c r="D900" s="57"/>
      <c r="E900" s="56"/>
      <c r="F900" s="57"/>
      <c r="G900" s="57"/>
      <c r="H900" s="56"/>
      <c r="I900" s="56"/>
      <c r="J900" s="58"/>
      <c r="K900" s="58"/>
      <c r="L900" s="13" t="str">
        <f t="shared" si="130"/>
        <v/>
      </c>
      <c r="M900" s="13" t="str">
        <f t="shared" si="131"/>
        <v/>
      </c>
      <c r="Q900" t="str">
        <f t="shared" si="132"/>
        <v/>
      </c>
      <c r="R900" t="str">
        <f t="shared" si="133"/>
        <v/>
      </c>
      <c r="S900" t="str">
        <f t="shared" si="134"/>
        <v/>
      </c>
      <c r="T900" t="str">
        <f t="shared" si="135"/>
        <v/>
      </c>
      <c r="U900" t="str">
        <f t="shared" si="136"/>
        <v/>
      </c>
      <c r="V900" t="str">
        <f t="shared" si="137"/>
        <v/>
      </c>
      <c r="W900" t="str">
        <f t="shared" si="138"/>
        <v/>
      </c>
      <c r="X900">
        <f>IF($T900="",N($X899),IF(MATCH($T900,$T$6:$T$10005,0)=ROW()-5,N($X899)+1,N($X899)))</f>
        <v>0</v>
      </c>
      <c r="Z900" t="str">
        <f t="shared" si="139"/>
        <v/>
      </c>
      <c r="AA900">
        <f>IF($V900="",N($AA899),IF(MATCH($V900,$V$6:$V$10005,0)=ROW()-5,N($AA899)+1,N($AA899)))</f>
        <v>0</v>
      </c>
    </row>
    <row r="901" spans="1:27" ht="21" customHeight="1" x14ac:dyDescent="0.95">
      <c r="A901" s="56"/>
      <c r="B901" s="57"/>
      <c r="C901" s="57"/>
      <c r="D901" s="57"/>
      <c r="E901" s="56"/>
      <c r="F901" s="57"/>
      <c r="G901" s="57"/>
      <c r="H901" s="56"/>
      <c r="I901" s="56"/>
      <c r="J901" s="58"/>
      <c r="K901" s="58"/>
      <c r="L901" s="13" t="str">
        <f t="shared" si="130"/>
        <v/>
      </c>
      <c r="M901" s="13" t="str">
        <f t="shared" si="131"/>
        <v/>
      </c>
      <c r="Q901" t="str">
        <f t="shared" si="132"/>
        <v/>
      </c>
      <c r="R901" t="str">
        <f t="shared" si="133"/>
        <v/>
      </c>
      <c r="S901" t="str">
        <f t="shared" si="134"/>
        <v/>
      </c>
      <c r="T901" t="str">
        <f t="shared" si="135"/>
        <v/>
      </c>
      <c r="U901" t="str">
        <f t="shared" si="136"/>
        <v/>
      </c>
      <c r="V901" t="str">
        <f t="shared" si="137"/>
        <v/>
      </c>
      <c r="W901" t="str">
        <f t="shared" si="138"/>
        <v/>
      </c>
      <c r="X901">
        <f>IF($T901="",N($X900),IF(MATCH($T901,$T$6:$T$10005,0)=ROW()-5,N($X900)+1,N($X900)))</f>
        <v>0</v>
      </c>
      <c r="Z901" t="str">
        <f t="shared" si="139"/>
        <v/>
      </c>
      <c r="AA901">
        <f>IF($V901="",N($AA900),IF(MATCH($V901,$V$6:$V$10005,0)=ROW()-5,N($AA900)+1,N($AA900)))</f>
        <v>0</v>
      </c>
    </row>
    <row r="902" spans="1:27" ht="21" customHeight="1" x14ac:dyDescent="0.95">
      <c r="A902" s="56"/>
      <c r="B902" s="57"/>
      <c r="C902" s="57"/>
      <c r="D902" s="57"/>
      <c r="E902" s="56"/>
      <c r="F902" s="57"/>
      <c r="G902" s="57"/>
      <c r="H902" s="56"/>
      <c r="I902" s="56"/>
      <c r="J902" s="58"/>
      <c r="K902" s="58"/>
      <c r="L902" s="13" t="str">
        <f t="shared" ref="L902:L965" si="140">IF(OR($A902="",AND($J902="",$K902="")),"",ROUND(N($J902)-N($K902),2))</f>
        <v/>
      </c>
      <c r="M902" s="13" t="str">
        <f t="shared" ref="M902:M965" si="141">IF(OR($A902="",AND($J902="",$K902="")),"",MIN($J902,$K902))</f>
        <v/>
      </c>
      <c r="Q902" t="str">
        <f t="shared" ref="Q902:Q965" si="142">IF($A902="","",$D902&amp;"("&amp;SUBSTITUTE($E902," ","")&amp;")")</f>
        <v/>
      </c>
      <c r="R902" t="str">
        <f t="shared" ref="R902:R965" si="143">IF($A902="","",$B902&amp;" - "&amp;$C902)</f>
        <v/>
      </c>
      <c r="S902" t="str">
        <f t="shared" ref="S902:S965" si="144">IF($A902="","",$R902&amp;"|"&amp;$Q902)</f>
        <v/>
      </c>
      <c r="T902" t="str">
        <f t="shared" ref="T902:T965" si="145">IF($A902="","",$S902&amp;"|"&amp;$F902)</f>
        <v/>
      </c>
      <c r="U902" t="str">
        <f t="shared" ref="U902:U965" si="146">IF($A902="","",$R902&amp;"("&amp;$E902&amp;")")</f>
        <v/>
      </c>
      <c r="V902" t="str">
        <f t="shared" ref="V902:V965" si="147">IF($A902="","",$F902&amp;"|"&amp;$U902&amp;"|"&amp;$D902)</f>
        <v/>
      </c>
      <c r="W902" t="str">
        <f t="shared" ref="W902:W965" si="148">IF($T902="","",IF($X902&gt;N($X901),$X902,""))</f>
        <v/>
      </c>
      <c r="X902">
        <f>IF($T902="",N($X901),IF(MATCH($T902,$T$6:$T$10005,0)=ROW()-5,N($X901)+1,N($X901)))</f>
        <v>0</v>
      </c>
      <c r="Z902" t="str">
        <f t="shared" ref="Z902:Z965" si="149">IF($V902="","",IF($AA902&gt;N($AA901),$AA902,""))</f>
        <v/>
      </c>
      <c r="AA902">
        <f>IF($V902="",N($AA901),IF(MATCH($V902,$V$6:$V$10005,0)=ROW()-5,N($AA901)+1,N($AA901)))</f>
        <v>0</v>
      </c>
    </row>
    <row r="903" spans="1:27" ht="21" customHeight="1" x14ac:dyDescent="0.95">
      <c r="A903" s="56"/>
      <c r="B903" s="57"/>
      <c r="C903" s="57"/>
      <c r="D903" s="57"/>
      <c r="E903" s="56"/>
      <c r="F903" s="57"/>
      <c r="G903" s="57"/>
      <c r="H903" s="56"/>
      <c r="I903" s="56"/>
      <c r="J903" s="58"/>
      <c r="K903" s="58"/>
      <c r="L903" s="13" t="str">
        <f t="shared" si="140"/>
        <v/>
      </c>
      <c r="M903" s="13" t="str">
        <f t="shared" si="141"/>
        <v/>
      </c>
      <c r="Q903" t="str">
        <f t="shared" si="142"/>
        <v/>
      </c>
      <c r="R903" t="str">
        <f t="shared" si="143"/>
        <v/>
      </c>
      <c r="S903" t="str">
        <f t="shared" si="144"/>
        <v/>
      </c>
      <c r="T903" t="str">
        <f t="shared" si="145"/>
        <v/>
      </c>
      <c r="U903" t="str">
        <f t="shared" si="146"/>
        <v/>
      </c>
      <c r="V903" t="str">
        <f t="shared" si="147"/>
        <v/>
      </c>
      <c r="W903" t="str">
        <f t="shared" si="148"/>
        <v/>
      </c>
      <c r="X903">
        <f>IF($T903="",N($X902),IF(MATCH($T903,$T$6:$T$10005,0)=ROW()-5,N($X902)+1,N($X902)))</f>
        <v>0</v>
      </c>
      <c r="Z903" t="str">
        <f t="shared" si="149"/>
        <v/>
      </c>
      <c r="AA903">
        <f>IF($V903="",N($AA902),IF(MATCH($V903,$V$6:$V$10005,0)=ROW()-5,N($AA902)+1,N($AA902)))</f>
        <v>0</v>
      </c>
    </row>
    <row r="904" spans="1:27" ht="21" customHeight="1" x14ac:dyDescent="0.95">
      <c r="A904" s="56"/>
      <c r="B904" s="57"/>
      <c r="C904" s="57"/>
      <c r="D904" s="57"/>
      <c r="E904" s="56"/>
      <c r="F904" s="57"/>
      <c r="G904" s="57"/>
      <c r="H904" s="56"/>
      <c r="I904" s="56"/>
      <c r="J904" s="58"/>
      <c r="K904" s="58"/>
      <c r="L904" s="13" t="str">
        <f t="shared" si="140"/>
        <v/>
      </c>
      <c r="M904" s="13" t="str">
        <f t="shared" si="141"/>
        <v/>
      </c>
      <c r="Q904" t="str">
        <f t="shared" si="142"/>
        <v/>
      </c>
      <c r="R904" t="str">
        <f t="shared" si="143"/>
        <v/>
      </c>
      <c r="S904" t="str">
        <f t="shared" si="144"/>
        <v/>
      </c>
      <c r="T904" t="str">
        <f t="shared" si="145"/>
        <v/>
      </c>
      <c r="U904" t="str">
        <f t="shared" si="146"/>
        <v/>
      </c>
      <c r="V904" t="str">
        <f t="shared" si="147"/>
        <v/>
      </c>
      <c r="W904" t="str">
        <f t="shared" si="148"/>
        <v/>
      </c>
      <c r="X904">
        <f>IF($T904="",N($X903),IF(MATCH($T904,$T$6:$T$10005,0)=ROW()-5,N($X903)+1,N($X903)))</f>
        <v>0</v>
      </c>
      <c r="Z904" t="str">
        <f t="shared" si="149"/>
        <v/>
      </c>
      <c r="AA904">
        <f>IF($V904="",N($AA903),IF(MATCH($V904,$V$6:$V$10005,0)=ROW()-5,N($AA903)+1,N($AA903)))</f>
        <v>0</v>
      </c>
    </row>
    <row r="905" spans="1:27" ht="21" customHeight="1" x14ac:dyDescent="0.95">
      <c r="A905" s="56"/>
      <c r="B905" s="57"/>
      <c r="C905" s="57"/>
      <c r="D905" s="57"/>
      <c r="E905" s="56"/>
      <c r="F905" s="57"/>
      <c r="G905" s="57"/>
      <c r="H905" s="56"/>
      <c r="I905" s="56"/>
      <c r="J905" s="58"/>
      <c r="K905" s="58"/>
      <c r="L905" s="13" t="str">
        <f t="shared" si="140"/>
        <v/>
      </c>
      <c r="M905" s="13" t="str">
        <f t="shared" si="141"/>
        <v/>
      </c>
      <c r="Q905" t="str">
        <f t="shared" si="142"/>
        <v/>
      </c>
      <c r="R905" t="str">
        <f t="shared" si="143"/>
        <v/>
      </c>
      <c r="S905" t="str">
        <f t="shared" si="144"/>
        <v/>
      </c>
      <c r="T905" t="str">
        <f t="shared" si="145"/>
        <v/>
      </c>
      <c r="U905" t="str">
        <f t="shared" si="146"/>
        <v/>
      </c>
      <c r="V905" t="str">
        <f t="shared" si="147"/>
        <v/>
      </c>
      <c r="W905" t="str">
        <f t="shared" si="148"/>
        <v/>
      </c>
      <c r="X905">
        <f>IF($T905="",N($X904),IF(MATCH($T905,$T$6:$T$10005,0)=ROW()-5,N($X904)+1,N($X904)))</f>
        <v>0</v>
      </c>
      <c r="Z905" t="str">
        <f t="shared" si="149"/>
        <v/>
      </c>
      <c r="AA905">
        <f>IF($V905="",N($AA904),IF(MATCH($V905,$V$6:$V$10005,0)=ROW()-5,N($AA904)+1,N($AA904)))</f>
        <v>0</v>
      </c>
    </row>
    <row r="906" spans="1:27" ht="21" customHeight="1" x14ac:dyDescent="0.95">
      <c r="A906" s="56"/>
      <c r="B906" s="57"/>
      <c r="C906" s="57"/>
      <c r="D906" s="57"/>
      <c r="E906" s="56"/>
      <c r="F906" s="57"/>
      <c r="G906" s="57"/>
      <c r="H906" s="56"/>
      <c r="I906" s="56"/>
      <c r="J906" s="58"/>
      <c r="K906" s="58"/>
      <c r="L906" s="13" t="str">
        <f t="shared" si="140"/>
        <v/>
      </c>
      <c r="M906" s="13" t="str">
        <f t="shared" si="141"/>
        <v/>
      </c>
      <c r="Q906" t="str">
        <f t="shared" si="142"/>
        <v/>
      </c>
      <c r="R906" t="str">
        <f t="shared" si="143"/>
        <v/>
      </c>
      <c r="S906" t="str">
        <f t="shared" si="144"/>
        <v/>
      </c>
      <c r="T906" t="str">
        <f t="shared" si="145"/>
        <v/>
      </c>
      <c r="U906" t="str">
        <f t="shared" si="146"/>
        <v/>
      </c>
      <c r="V906" t="str">
        <f t="shared" si="147"/>
        <v/>
      </c>
      <c r="W906" t="str">
        <f t="shared" si="148"/>
        <v/>
      </c>
      <c r="X906">
        <f>IF($T906="",N($X905),IF(MATCH($T906,$T$6:$T$10005,0)=ROW()-5,N($X905)+1,N($X905)))</f>
        <v>0</v>
      </c>
      <c r="Z906" t="str">
        <f t="shared" si="149"/>
        <v/>
      </c>
      <c r="AA906">
        <f>IF($V906="",N($AA905),IF(MATCH($V906,$V$6:$V$10005,0)=ROW()-5,N($AA905)+1,N($AA905)))</f>
        <v>0</v>
      </c>
    </row>
    <row r="907" spans="1:27" ht="21" customHeight="1" x14ac:dyDescent="0.95">
      <c r="A907" s="56"/>
      <c r="B907" s="57"/>
      <c r="C907" s="57"/>
      <c r="D907" s="57"/>
      <c r="E907" s="56"/>
      <c r="F907" s="57"/>
      <c r="G907" s="57"/>
      <c r="H907" s="56"/>
      <c r="I907" s="56"/>
      <c r="J907" s="58"/>
      <c r="K907" s="58"/>
      <c r="L907" s="13" t="str">
        <f t="shared" si="140"/>
        <v/>
      </c>
      <c r="M907" s="13" t="str">
        <f t="shared" si="141"/>
        <v/>
      </c>
      <c r="Q907" t="str">
        <f t="shared" si="142"/>
        <v/>
      </c>
      <c r="R907" t="str">
        <f t="shared" si="143"/>
        <v/>
      </c>
      <c r="S907" t="str">
        <f t="shared" si="144"/>
        <v/>
      </c>
      <c r="T907" t="str">
        <f t="shared" si="145"/>
        <v/>
      </c>
      <c r="U907" t="str">
        <f t="shared" si="146"/>
        <v/>
      </c>
      <c r="V907" t="str">
        <f t="shared" si="147"/>
        <v/>
      </c>
      <c r="W907" t="str">
        <f t="shared" si="148"/>
        <v/>
      </c>
      <c r="X907">
        <f>IF($T907="",N($X906),IF(MATCH($T907,$T$6:$T$10005,0)=ROW()-5,N($X906)+1,N($X906)))</f>
        <v>0</v>
      </c>
      <c r="Z907" t="str">
        <f t="shared" si="149"/>
        <v/>
      </c>
      <c r="AA907">
        <f>IF($V907="",N($AA906),IF(MATCH($V907,$V$6:$V$10005,0)=ROW()-5,N($AA906)+1,N($AA906)))</f>
        <v>0</v>
      </c>
    </row>
    <row r="908" spans="1:27" ht="21" customHeight="1" x14ac:dyDescent="0.95">
      <c r="A908" s="56"/>
      <c r="B908" s="57"/>
      <c r="C908" s="57"/>
      <c r="D908" s="57"/>
      <c r="E908" s="56"/>
      <c r="F908" s="57"/>
      <c r="G908" s="57"/>
      <c r="H908" s="56"/>
      <c r="I908" s="56"/>
      <c r="J908" s="58"/>
      <c r="K908" s="58"/>
      <c r="L908" s="13" t="str">
        <f t="shared" si="140"/>
        <v/>
      </c>
      <c r="M908" s="13" t="str">
        <f t="shared" si="141"/>
        <v/>
      </c>
      <c r="Q908" t="str">
        <f t="shared" si="142"/>
        <v/>
      </c>
      <c r="R908" t="str">
        <f t="shared" si="143"/>
        <v/>
      </c>
      <c r="S908" t="str">
        <f t="shared" si="144"/>
        <v/>
      </c>
      <c r="T908" t="str">
        <f t="shared" si="145"/>
        <v/>
      </c>
      <c r="U908" t="str">
        <f t="shared" si="146"/>
        <v/>
      </c>
      <c r="V908" t="str">
        <f t="shared" si="147"/>
        <v/>
      </c>
      <c r="W908" t="str">
        <f t="shared" si="148"/>
        <v/>
      </c>
      <c r="X908">
        <f>IF($T908="",N($X907),IF(MATCH($T908,$T$6:$T$10005,0)=ROW()-5,N($X907)+1,N($X907)))</f>
        <v>0</v>
      </c>
      <c r="Z908" t="str">
        <f t="shared" si="149"/>
        <v/>
      </c>
      <c r="AA908">
        <f>IF($V908="",N($AA907),IF(MATCH($V908,$V$6:$V$10005,0)=ROW()-5,N($AA907)+1,N($AA907)))</f>
        <v>0</v>
      </c>
    </row>
    <row r="909" spans="1:27" ht="21" customHeight="1" x14ac:dyDescent="0.95">
      <c r="A909" s="56"/>
      <c r="B909" s="57"/>
      <c r="C909" s="57"/>
      <c r="D909" s="57"/>
      <c r="E909" s="56"/>
      <c r="F909" s="57"/>
      <c r="G909" s="57"/>
      <c r="H909" s="56"/>
      <c r="I909" s="56"/>
      <c r="J909" s="58"/>
      <c r="K909" s="58"/>
      <c r="L909" s="13" t="str">
        <f t="shared" si="140"/>
        <v/>
      </c>
      <c r="M909" s="13" t="str">
        <f t="shared" si="141"/>
        <v/>
      </c>
      <c r="Q909" t="str">
        <f t="shared" si="142"/>
        <v/>
      </c>
      <c r="R909" t="str">
        <f t="shared" si="143"/>
        <v/>
      </c>
      <c r="S909" t="str">
        <f t="shared" si="144"/>
        <v/>
      </c>
      <c r="T909" t="str">
        <f t="shared" si="145"/>
        <v/>
      </c>
      <c r="U909" t="str">
        <f t="shared" si="146"/>
        <v/>
      </c>
      <c r="V909" t="str">
        <f t="shared" si="147"/>
        <v/>
      </c>
      <c r="W909" t="str">
        <f t="shared" si="148"/>
        <v/>
      </c>
      <c r="X909">
        <f>IF($T909="",N($X908),IF(MATCH($T909,$T$6:$T$10005,0)=ROW()-5,N($X908)+1,N($X908)))</f>
        <v>0</v>
      </c>
      <c r="Z909" t="str">
        <f t="shared" si="149"/>
        <v/>
      </c>
      <c r="AA909">
        <f>IF($V909="",N($AA908),IF(MATCH($V909,$V$6:$V$10005,0)=ROW()-5,N($AA908)+1,N($AA908)))</f>
        <v>0</v>
      </c>
    </row>
    <row r="910" spans="1:27" ht="21" customHeight="1" x14ac:dyDescent="0.95">
      <c r="A910" s="56"/>
      <c r="B910" s="57"/>
      <c r="C910" s="57"/>
      <c r="D910" s="57"/>
      <c r="E910" s="56"/>
      <c r="F910" s="57"/>
      <c r="G910" s="57"/>
      <c r="H910" s="56"/>
      <c r="I910" s="56"/>
      <c r="J910" s="58"/>
      <c r="K910" s="58"/>
      <c r="L910" s="13" t="str">
        <f t="shared" si="140"/>
        <v/>
      </c>
      <c r="M910" s="13" t="str">
        <f t="shared" si="141"/>
        <v/>
      </c>
      <c r="Q910" t="str">
        <f t="shared" si="142"/>
        <v/>
      </c>
      <c r="R910" t="str">
        <f t="shared" si="143"/>
        <v/>
      </c>
      <c r="S910" t="str">
        <f t="shared" si="144"/>
        <v/>
      </c>
      <c r="T910" t="str">
        <f t="shared" si="145"/>
        <v/>
      </c>
      <c r="U910" t="str">
        <f t="shared" si="146"/>
        <v/>
      </c>
      <c r="V910" t="str">
        <f t="shared" si="147"/>
        <v/>
      </c>
      <c r="W910" t="str">
        <f t="shared" si="148"/>
        <v/>
      </c>
      <c r="X910">
        <f>IF($T910="",N($X909),IF(MATCH($T910,$T$6:$T$10005,0)=ROW()-5,N($X909)+1,N($X909)))</f>
        <v>0</v>
      </c>
      <c r="Z910" t="str">
        <f t="shared" si="149"/>
        <v/>
      </c>
      <c r="AA910">
        <f>IF($V910="",N($AA909),IF(MATCH($V910,$V$6:$V$10005,0)=ROW()-5,N($AA909)+1,N($AA909)))</f>
        <v>0</v>
      </c>
    </row>
    <row r="911" spans="1:27" ht="21" customHeight="1" x14ac:dyDescent="0.95">
      <c r="A911" s="56"/>
      <c r="B911" s="57"/>
      <c r="C911" s="57"/>
      <c r="D911" s="57"/>
      <c r="E911" s="56"/>
      <c r="F911" s="57"/>
      <c r="G911" s="57"/>
      <c r="H911" s="56"/>
      <c r="I911" s="56"/>
      <c r="J911" s="58"/>
      <c r="K911" s="58"/>
      <c r="L911" s="13" t="str">
        <f t="shared" si="140"/>
        <v/>
      </c>
      <c r="M911" s="13" t="str">
        <f t="shared" si="141"/>
        <v/>
      </c>
      <c r="Q911" t="str">
        <f t="shared" si="142"/>
        <v/>
      </c>
      <c r="R911" t="str">
        <f t="shared" si="143"/>
        <v/>
      </c>
      <c r="S911" t="str">
        <f t="shared" si="144"/>
        <v/>
      </c>
      <c r="T911" t="str">
        <f t="shared" si="145"/>
        <v/>
      </c>
      <c r="U911" t="str">
        <f t="shared" si="146"/>
        <v/>
      </c>
      <c r="V911" t="str">
        <f t="shared" si="147"/>
        <v/>
      </c>
      <c r="W911" t="str">
        <f t="shared" si="148"/>
        <v/>
      </c>
      <c r="X911">
        <f>IF($T911="",N($X910),IF(MATCH($T911,$T$6:$T$10005,0)=ROW()-5,N($X910)+1,N($X910)))</f>
        <v>0</v>
      </c>
      <c r="Z911" t="str">
        <f t="shared" si="149"/>
        <v/>
      </c>
      <c r="AA911">
        <f>IF($V911="",N($AA910),IF(MATCH($V911,$V$6:$V$10005,0)=ROW()-5,N($AA910)+1,N($AA910)))</f>
        <v>0</v>
      </c>
    </row>
    <row r="912" spans="1:27" ht="21" customHeight="1" x14ac:dyDescent="0.95">
      <c r="A912" s="56"/>
      <c r="B912" s="57"/>
      <c r="C912" s="57"/>
      <c r="D912" s="57"/>
      <c r="E912" s="56"/>
      <c r="F912" s="57"/>
      <c r="G912" s="57"/>
      <c r="H912" s="56"/>
      <c r="I912" s="56"/>
      <c r="J912" s="58"/>
      <c r="K912" s="58"/>
      <c r="L912" s="13" t="str">
        <f t="shared" si="140"/>
        <v/>
      </c>
      <c r="M912" s="13" t="str">
        <f t="shared" si="141"/>
        <v/>
      </c>
      <c r="Q912" t="str">
        <f t="shared" si="142"/>
        <v/>
      </c>
      <c r="R912" t="str">
        <f t="shared" si="143"/>
        <v/>
      </c>
      <c r="S912" t="str">
        <f t="shared" si="144"/>
        <v/>
      </c>
      <c r="T912" t="str">
        <f t="shared" si="145"/>
        <v/>
      </c>
      <c r="U912" t="str">
        <f t="shared" si="146"/>
        <v/>
      </c>
      <c r="V912" t="str">
        <f t="shared" si="147"/>
        <v/>
      </c>
      <c r="W912" t="str">
        <f t="shared" si="148"/>
        <v/>
      </c>
      <c r="X912">
        <f>IF($T912="",N($X911),IF(MATCH($T912,$T$6:$T$10005,0)=ROW()-5,N($X911)+1,N($X911)))</f>
        <v>0</v>
      </c>
      <c r="Z912" t="str">
        <f t="shared" si="149"/>
        <v/>
      </c>
      <c r="AA912">
        <f>IF($V912="",N($AA911),IF(MATCH($V912,$V$6:$V$10005,0)=ROW()-5,N($AA911)+1,N($AA911)))</f>
        <v>0</v>
      </c>
    </row>
    <row r="913" spans="1:27" ht="21" customHeight="1" x14ac:dyDescent="0.95">
      <c r="A913" s="56"/>
      <c r="B913" s="57"/>
      <c r="C913" s="57"/>
      <c r="D913" s="57"/>
      <c r="E913" s="56"/>
      <c r="F913" s="57"/>
      <c r="G913" s="57"/>
      <c r="H913" s="56"/>
      <c r="I913" s="56"/>
      <c r="J913" s="58"/>
      <c r="K913" s="58"/>
      <c r="L913" s="13" t="str">
        <f t="shared" si="140"/>
        <v/>
      </c>
      <c r="M913" s="13" t="str">
        <f t="shared" si="141"/>
        <v/>
      </c>
      <c r="Q913" t="str">
        <f t="shared" si="142"/>
        <v/>
      </c>
      <c r="R913" t="str">
        <f t="shared" si="143"/>
        <v/>
      </c>
      <c r="S913" t="str">
        <f t="shared" si="144"/>
        <v/>
      </c>
      <c r="T913" t="str">
        <f t="shared" si="145"/>
        <v/>
      </c>
      <c r="U913" t="str">
        <f t="shared" si="146"/>
        <v/>
      </c>
      <c r="V913" t="str">
        <f t="shared" si="147"/>
        <v/>
      </c>
      <c r="W913" t="str">
        <f t="shared" si="148"/>
        <v/>
      </c>
      <c r="X913">
        <f>IF($T913="",N($X912),IF(MATCH($T913,$T$6:$T$10005,0)=ROW()-5,N($X912)+1,N($X912)))</f>
        <v>0</v>
      </c>
      <c r="Z913" t="str">
        <f t="shared" si="149"/>
        <v/>
      </c>
      <c r="AA913">
        <f>IF($V913="",N($AA912),IF(MATCH($V913,$V$6:$V$10005,0)=ROW()-5,N($AA912)+1,N($AA912)))</f>
        <v>0</v>
      </c>
    </row>
    <row r="914" spans="1:27" ht="21" customHeight="1" x14ac:dyDescent="0.95">
      <c r="A914" s="56"/>
      <c r="B914" s="57"/>
      <c r="C914" s="57"/>
      <c r="D914" s="57"/>
      <c r="E914" s="56"/>
      <c r="F914" s="57"/>
      <c r="G914" s="57"/>
      <c r="H914" s="56"/>
      <c r="I914" s="56"/>
      <c r="J914" s="58"/>
      <c r="K914" s="58"/>
      <c r="L914" s="13" t="str">
        <f t="shared" si="140"/>
        <v/>
      </c>
      <c r="M914" s="13" t="str">
        <f t="shared" si="141"/>
        <v/>
      </c>
      <c r="Q914" t="str">
        <f t="shared" si="142"/>
        <v/>
      </c>
      <c r="R914" t="str">
        <f t="shared" si="143"/>
        <v/>
      </c>
      <c r="S914" t="str">
        <f t="shared" si="144"/>
        <v/>
      </c>
      <c r="T914" t="str">
        <f t="shared" si="145"/>
        <v/>
      </c>
      <c r="U914" t="str">
        <f t="shared" si="146"/>
        <v/>
      </c>
      <c r="V914" t="str">
        <f t="shared" si="147"/>
        <v/>
      </c>
      <c r="W914" t="str">
        <f t="shared" si="148"/>
        <v/>
      </c>
      <c r="X914">
        <f>IF($T914="",N($X913),IF(MATCH($T914,$T$6:$T$10005,0)=ROW()-5,N($X913)+1,N($X913)))</f>
        <v>0</v>
      </c>
      <c r="Z914" t="str">
        <f t="shared" si="149"/>
        <v/>
      </c>
      <c r="AA914">
        <f>IF($V914="",N($AA913),IF(MATCH($V914,$V$6:$V$10005,0)=ROW()-5,N($AA913)+1,N($AA913)))</f>
        <v>0</v>
      </c>
    </row>
    <row r="915" spans="1:27" ht="21" customHeight="1" x14ac:dyDescent="0.95">
      <c r="A915" s="56"/>
      <c r="B915" s="57"/>
      <c r="C915" s="57"/>
      <c r="D915" s="57"/>
      <c r="E915" s="56"/>
      <c r="F915" s="57"/>
      <c r="G915" s="57"/>
      <c r="H915" s="56"/>
      <c r="I915" s="56"/>
      <c r="J915" s="58"/>
      <c r="K915" s="58"/>
      <c r="L915" s="13" t="str">
        <f t="shared" si="140"/>
        <v/>
      </c>
      <c r="M915" s="13" t="str">
        <f t="shared" si="141"/>
        <v/>
      </c>
      <c r="Q915" t="str">
        <f t="shared" si="142"/>
        <v/>
      </c>
      <c r="R915" t="str">
        <f t="shared" si="143"/>
        <v/>
      </c>
      <c r="S915" t="str">
        <f t="shared" si="144"/>
        <v/>
      </c>
      <c r="T915" t="str">
        <f t="shared" si="145"/>
        <v/>
      </c>
      <c r="U915" t="str">
        <f t="shared" si="146"/>
        <v/>
      </c>
      <c r="V915" t="str">
        <f t="shared" si="147"/>
        <v/>
      </c>
      <c r="W915" t="str">
        <f t="shared" si="148"/>
        <v/>
      </c>
      <c r="X915">
        <f>IF($T915="",N($X914),IF(MATCH($T915,$T$6:$T$10005,0)=ROW()-5,N($X914)+1,N($X914)))</f>
        <v>0</v>
      </c>
      <c r="Z915" t="str">
        <f t="shared" si="149"/>
        <v/>
      </c>
      <c r="AA915">
        <f>IF($V915="",N($AA914),IF(MATCH($V915,$V$6:$V$10005,0)=ROW()-5,N($AA914)+1,N($AA914)))</f>
        <v>0</v>
      </c>
    </row>
    <row r="916" spans="1:27" ht="21" customHeight="1" x14ac:dyDescent="0.95">
      <c r="A916" s="56"/>
      <c r="B916" s="57"/>
      <c r="C916" s="57"/>
      <c r="D916" s="57"/>
      <c r="E916" s="56"/>
      <c r="F916" s="57"/>
      <c r="G916" s="57"/>
      <c r="H916" s="56"/>
      <c r="I916" s="56"/>
      <c r="J916" s="58"/>
      <c r="K916" s="58"/>
      <c r="L916" s="13" t="str">
        <f t="shared" si="140"/>
        <v/>
      </c>
      <c r="M916" s="13" t="str">
        <f t="shared" si="141"/>
        <v/>
      </c>
      <c r="Q916" t="str">
        <f t="shared" si="142"/>
        <v/>
      </c>
      <c r="R916" t="str">
        <f t="shared" si="143"/>
        <v/>
      </c>
      <c r="S916" t="str">
        <f t="shared" si="144"/>
        <v/>
      </c>
      <c r="T916" t="str">
        <f t="shared" si="145"/>
        <v/>
      </c>
      <c r="U916" t="str">
        <f t="shared" si="146"/>
        <v/>
      </c>
      <c r="V916" t="str">
        <f t="shared" si="147"/>
        <v/>
      </c>
      <c r="W916" t="str">
        <f t="shared" si="148"/>
        <v/>
      </c>
      <c r="X916">
        <f>IF($T916="",N($X915),IF(MATCH($T916,$T$6:$T$10005,0)=ROW()-5,N($X915)+1,N($X915)))</f>
        <v>0</v>
      </c>
      <c r="Z916" t="str">
        <f t="shared" si="149"/>
        <v/>
      </c>
      <c r="AA916">
        <f>IF($V916="",N($AA915),IF(MATCH($V916,$V$6:$V$10005,0)=ROW()-5,N($AA915)+1,N($AA915)))</f>
        <v>0</v>
      </c>
    </row>
    <row r="917" spans="1:27" ht="21" customHeight="1" x14ac:dyDescent="0.95">
      <c r="A917" s="56"/>
      <c r="B917" s="57"/>
      <c r="C917" s="57"/>
      <c r="D917" s="57"/>
      <c r="E917" s="56"/>
      <c r="F917" s="57"/>
      <c r="G917" s="57"/>
      <c r="H917" s="56"/>
      <c r="I917" s="56"/>
      <c r="J917" s="58"/>
      <c r="K917" s="58"/>
      <c r="L917" s="13" t="str">
        <f t="shared" si="140"/>
        <v/>
      </c>
      <c r="M917" s="13" t="str">
        <f t="shared" si="141"/>
        <v/>
      </c>
      <c r="Q917" t="str">
        <f t="shared" si="142"/>
        <v/>
      </c>
      <c r="R917" t="str">
        <f t="shared" si="143"/>
        <v/>
      </c>
      <c r="S917" t="str">
        <f t="shared" si="144"/>
        <v/>
      </c>
      <c r="T917" t="str">
        <f t="shared" si="145"/>
        <v/>
      </c>
      <c r="U917" t="str">
        <f t="shared" si="146"/>
        <v/>
      </c>
      <c r="V917" t="str">
        <f t="shared" si="147"/>
        <v/>
      </c>
      <c r="W917" t="str">
        <f t="shared" si="148"/>
        <v/>
      </c>
      <c r="X917">
        <f>IF($T917="",N($X916),IF(MATCH($T917,$T$6:$T$10005,0)=ROW()-5,N($X916)+1,N($X916)))</f>
        <v>0</v>
      </c>
      <c r="Z917" t="str">
        <f t="shared" si="149"/>
        <v/>
      </c>
      <c r="AA917">
        <f>IF($V917="",N($AA916),IF(MATCH($V917,$V$6:$V$10005,0)=ROW()-5,N($AA916)+1,N($AA916)))</f>
        <v>0</v>
      </c>
    </row>
    <row r="918" spans="1:27" ht="21" customHeight="1" x14ac:dyDescent="0.95">
      <c r="A918" s="56"/>
      <c r="B918" s="57"/>
      <c r="C918" s="57"/>
      <c r="D918" s="57"/>
      <c r="E918" s="56"/>
      <c r="F918" s="57"/>
      <c r="G918" s="57"/>
      <c r="H918" s="56"/>
      <c r="I918" s="56"/>
      <c r="J918" s="58"/>
      <c r="K918" s="58"/>
      <c r="L918" s="13" t="str">
        <f t="shared" si="140"/>
        <v/>
      </c>
      <c r="M918" s="13" t="str">
        <f t="shared" si="141"/>
        <v/>
      </c>
      <c r="Q918" t="str">
        <f t="shared" si="142"/>
        <v/>
      </c>
      <c r="R918" t="str">
        <f t="shared" si="143"/>
        <v/>
      </c>
      <c r="S918" t="str">
        <f t="shared" si="144"/>
        <v/>
      </c>
      <c r="T918" t="str">
        <f t="shared" si="145"/>
        <v/>
      </c>
      <c r="U918" t="str">
        <f t="shared" si="146"/>
        <v/>
      </c>
      <c r="V918" t="str">
        <f t="shared" si="147"/>
        <v/>
      </c>
      <c r="W918" t="str">
        <f t="shared" si="148"/>
        <v/>
      </c>
      <c r="X918">
        <f>IF($T918="",N($X917),IF(MATCH($T918,$T$6:$T$10005,0)=ROW()-5,N($X917)+1,N($X917)))</f>
        <v>0</v>
      </c>
      <c r="Z918" t="str">
        <f t="shared" si="149"/>
        <v/>
      </c>
      <c r="AA918">
        <f>IF($V918="",N($AA917),IF(MATCH($V918,$V$6:$V$10005,0)=ROW()-5,N($AA917)+1,N($AA917)))</f>
        <v>0</v>
      </c>
    </row>
    <row r="919" spans="1:27" ht="21" customHeight="1" x14ac:dyDescent="0.95">
      <c r="A919" s="56"/>
      <c r="B919" s="57"/>
      <c r="C919" s="57"/>
      <c r="D919" s="57"/>
      <c r="E919" s="56"/>
      <c r="F919" s="57"/>
      <c r="G919" s="57"/>
      <c r="H919" s="56"/>
      <c r="I919" s="56"/>
      <c r="J919" s="58"/>
      <c r="K919" s="58"/>
      <c r="L919" s="13" t="str">
        <f t="shared" si="140"/>
        <v/>
      </c>
      <c r="M919" s="13" t="str">
        <f t="shared" si="141"/>
        <v/>
      </c>
      <c r="Q919" t="str">
        <f t="shared" si="142"/>
        <v/>
      </c>
      <c r="R919" t="str">
        <f t="shared" si="143"/>
        <v/>
      </c>
      <c r="S919" t="str">
        <f t="shared" si="144"/>
        <v/>
      </c>
      <c r="T919" t="str">
        <f t="shared" si="145"/>
        <v/>
      </c>
      <c r="U919" t="str">
        <f t="shared" si="146"/>
        <v/>
      </c>
      <c r="V919" t="str">
        <f t="shared" si="147"/>
        <v/>
      </c>
      <c r="W919" t="str">
        <f t="shared" si="148"/>
        <v/>
      </c>
      <c r="X919">
        <f>IF($T919="",N($X918),IF(MATCH($T919,$T$6:$T$10005,0)=ROW()-5,N($X918)+1,N($X918)))</f>
        <v>0</v>
      </c>
      <c r="Z919" t="str">
        <f t="shared" si="149"/>
        <v/>
      </c>
      <c r="AA919">
        <f>IF($V919="",N($AA918),IF(MATCH($V919,$V$6:$V$10005,0)=ROW()-5,N($AA918)+1,N($AA918)))</f>
        <v>0</v>
      </c>
    </row>
    <row r="920" spans="1:27" ht="21" customHeight="1" x14ac:dyDescent="0.95">
      <c r="A920" s="56"/>
      <c r="B920" s="57"/>
      <c r="C920" s="57"/>
      <c r="D920" s="57"/>
      <c r="E920" s="56"/>
      <c r="F920" s="57"/>
      <c r="G920" s="57"/>
      <c r="H920" s="56"/>
      <c r="I920" s="56"/>
      <c r="J920" s="58"/>
      <c r="K920" s="58"/>
      <c r="L920" s="13" t="str">
        <f t="shared" si="140"/>
        <v/>
      </c>
      <c r="M920" s="13" t="str">
        <f t="shared" si="141"/>
        <v/>
      </c>
      <c r="Q920" t="str">
        <f t="shared" si="142"/>
        <v/>
      </c>
      <c r="R920" t="str">
        <f t="shared" si="143"/>
        <v/>
      </c>
      <c r="S920" t="str">
        <f t="shared" si="144"/>
        <v/>
      </c>
      <c r="T920" t="str">
        <f t="shared" si="145"/>
        <v/>
      </c>
      <c r="U920" t="str">
        <f t="shared" si="146"/>
        <v/>
      </c>
      <c r="V920" t="str">
        <f t="shared" si="147"/>
        <v/>
      </c>
      <c r="W920" t="str">
        <f t="shared" si="148"/>
        <v/>
      </c>
      <c r="X920">
        <f>IF($T920="",N($X919),IF(MATCH($T920,$T$6:$T$10005,0)=ROW()-5,N($X919)+1,N($X919)))</f>
        <v>0</v>
      </c>
      <c r="Z920" t="str">
        <f t="shared" si="149"/>
        <v/>
      </c>
      <c r="AA920">
        <f>IF($V920="",N($AA919),IF(MATCH($V920,$V$6:$V$10005,0)=ROW()-5,N($AA919)+1,N($AA919)))</f>
        <v>0</v>
      </c>
    </row>
    <row r="921" spans="1:27" ht="21" customHeight="1" x14ac:dyDescent="0.95">
      <c r="A921" s="56"/>
      <c r="B921" s="57"/>
      <c r="C921" s="57"/>
      <c r="D921" s="57"/>
      <c r="E921" s="56"/>
      <c r="F921" s="57"/>
      <c r="G921" s="57"/>
      <c r="H921" s="56"/>
      <c r="I921" s="56"/>
      <c r="J921" s="58"/>
      <c r="K921" s="58"/>
      <c r="L921" s="13" t="str">
        <f t="shared" si="140"/>
        <v/>
      </c>
      <c r="M921" s="13" t="str">
        <f t="shared" si="141"/>
        <v/>
      </c>
      <c r="Q921" t="str">
        <f t="shared" si="142"/>
        <v/>
      </c>
      <c r="R921" t="str">
        <f t="shared" si="143"/>
        <v/>
      </c>
      <c r="S921" t="str">
        <f t="shared" si="144"/>
        <v/>
      </c>
      <c r="T921" t="str">
        <f t="shared" si="145"/>
        <v/>
      </c>
      <c r="U921" t="str">
        <f t="shared" si="146"/>
        <v/>
      </c>
      <c r="V921" t="str">
        <f t="shared" si="147"/>
        <v/>
      </c>
      <c r="W921" t="str">
        <f t="shared" si="148"/>
        <v/>
      </c>
      <c r="X921">
        <f>IF($T921="",N($X920),IF(MATCH($T921,$T$6:$T$10005,0)=ROW()-5,N($X920)+1,N($X920)))</f>
        <v>0</v>
      </c>
      <c r="Z921" t="str">
        <f t="shared" si="149"/>
        <v/>
      </c>
      <c r="AA921">
        <f>IF($V921="",N($AA920),IF(MATCH($V921,$V$6:$V$10005,0)=ROW()-5,N($AA920)+1,N($AA920)))</f>
        <v>0</v>
      </c>
    </row>
    <row r="922" spans="1:27" ht="21" customHeight="1" x14ac:dyDescent="0.95">
      <c r="A922" s="56"/>
      <c r="B922" s="57"/>
      <c r="C922" s="57"/>
      <c r="D922" s="57"/>
      <c r="E922" s="56"/>
      <c r="F922" s="57"/>
      <c r="G922" s="57"/>
      <c r="H922" s="56"/>
      <c r="I922" s="56"/>
      <c r="J922" s="58"/>
      <c r="K922" s="58"/>
      <c r="L922" s="13" t="str">
        <f t="shared" si="140"/>
        <v/>
      </c>
      <c r="M922" s="13" t="str">
        <f t="shared" si="141"/>
        <v/>
      </c>
      <c r="Q922" t="str">
        <f t="shared" si="142"/>
        <v/>
      </c>
      <c r="R922" t="str">
        <f t="shared" si="143"/>
        <v/>
      </c>
      <c r="S922" t="str">
        <f t="shared" si="144"/>
        <v/>
      </c>
      <c r="T922" t="str">
        <f t="shared" si="145"/>
        <v/>
      </c>
      <c r="U922" t="str">
        <f t="shared" si="146"/>
        <v/>
      </c>
      <c r="V922" t="str">
        <f t="shared" si="147"/>
        <v/>
      </c>
      <c r="W922" t="str">
        <f t="shared" si="148"/>
        <v/>
      </c>
      <c r="X922">
        <f>IF($T922="",N($X921),IF(MATCH($T922,$T$6:$T$10005,0)=ROW()-5,N($X921)+1,N($X921)))</f>
        <v>0</v>
      </c>
      <c r="Z922" t="str">
        <f t="shared" si="149"/>
        <v/>
      </c>
      <c r="AA922">
        <f>IF($V922="",N($AA921),IF(MATCH($V922,$V$6:$V$10005,0)=ROW()-5,N($AA921)+1,N($AA921)))</f>
        <v>0</v>
      </c>
    </row>
    <row r="923" spans="1:27" ht="21" customHeight="1" x14ac:dyDescent="0.95">
      <c r="A923" s="56"/>
      <c r="B923" s="57"/>
      <c r="C923" s="57"/>
      <c r="D923" s="57"/>
      <c r="E923" s="56"/>
      <c r="F923" s="57"/>
      <c r="G923" s="57"/>
      <c r="H923" s="56"/>
      <c r="I923" s="56"/>
      <c r="J923" s="58"/>
      <c r="K923" s="58"/>
      <c r="L923" s="13" t="str">
        <f t="shared" si="140"/>
        <v/>
      </c>
      <c r="M923" s="13" t="str">
        <f t="shared" si="141"/>
        <v/>
      </c>
      <c r="Q923" t="str">
        <f t="shared" si="142"/>
        <v/>
      </c>
      <c r="R923" t="str">
        <f t="shared" si="143"/>
        <v/>
      </c>
      <c r="S923" t="str">
        <f t="shared" si="144"/>
        <v/>
      </c>
      <c r="T923" t="str">
        <f t="shared" si="145"/>
        <v/>
      </c>
      <c r="U923" t="str">
        <f t="shared" si="146"/>
        <v/>
      </c>
      <c r="V923" t="str">
        <f t="shared" si="147"/>
        <v/>
      </c>
      <c r="W923" t="str">
        <f t="shared" si="148"/>
        <v/>
      </c>
      <c r="X923">
        <f>IF($T923="",N($X922),IF(MATCH($T923,$T$6:$T$10005,0)=ROW()-5,N($X922)+1,N($X922)))</f>
        <v>0</v>
      </c>
      <c r="Z923" t="str">
        <f t="shared" si="149"/>
        <v/>
      </c>
      <c r="AA923">
        <f>IF($V923="",N($AA922),IF(MATCH($V923,$V$6:$V$10005,0)=ROW()-5,N($AA922)+1,N($AA922)))</f>
        <v>0</v>
      </c>
    </row>
    <row r="924" spans="1:27" ht="21" customHeight="1" x14ac:dyDescent="0.95">
      <c r="A924" s="56"/>
      <c r="B924" s="57"/>
      <c r="C924" s="57"/>
      <c r="D924" s="57"/>
      <c r="E924" s="56"/>
      <c r="F924" s="57"/>
      <c r="G924" s="57"/>
      <c r="H924" s="56"/>
      <c r="I924" s="56"/>
      <c r="J924" s="58"/>
      <c r="K924" s="58"/>
      <c r="L924" s="13" t="str">
        <f t="shared" si="140"/>
        <v/>
      </c>
      <c r="M924" s="13" t="str">
        <f t="shared" si="141"/>
        <v/>
      </c>
      <c r="Q924" t="str">
        <f t="shared" si="142"/>
        <v/>
      </c>
      <c r="R924" t="str">
        <f t="shared" si="143"/>
        <v/>
      </c>
      <c r="S924" t="str">
        <f t="shared" si="144"/>
        <v/>
      </c>
      <c r="T924" t="str">
        <f t="shared" si="145"/>
        <v/>
      </c>
      <c r="U924" t="str">
        <f t="shared" si="146"/>
        <v/>
      </c>
      <c r="V924" t="str">
        <f t="shared" si="147"/>
        <v/>
      </c>
      <c r="W924" t="str">
        <f t="shared" si="148"/>
        <v/>
      </c>
      <c r="X924">
        <f>IF($T924="",N($X923),IF(MATCH($T924,$T$6:$T$10005,0)=ROW()-5,N($X923)+1,N($X923)))</f>
        <v>0</v>
      </c>
      <c r="Z924" t="str">
        <f t="shared" si="149"/>
        <v/>
      </c>
      <c r="AA924">
        <f>IF($V924="",N($AA923),IF(MATCH($V924,$V$6:$V$10005,0)=ROW()-5,N($AA923)+1,N($AA923)))</f>
        <v>0</v>
      </c>
    </row>
    <row r="925" spans="1:27" ht="21" customHeight="1" x14ac:dyDescent="0.95">
      <c r="A925" s="56"/>
      <c r="B925" s="57"/>
      <c r="C925" s="57"/>
      <c r="D925" s="57"/>
      <c r="E925" s="56"/>
      <c r="F925" s="57"/>
      <c r="G925" s="57"/>
      <c r="H925" s="56"/>
      <c r="I925" s="56"/>
      <c r="J925" s="58"/>
      <c r="K925" s="58"/>
      <c r="L925" s="13" t="str">
        <f t="shared" si="140"/>
        <v/>
      </c>
      <c r="M925" s="13" t="str">
        <f t="shared" si="141"/>
        <v/>
      </c>
      <c r="Q925" t="str">
        <f t="shared" si="142"/>
        <v/>
      </c>
      <c r="R925" t="str">
        <f t="shared" si="143"/>
        <v/>
      </c>
      <c r="S925" t="str">
        <f t="shared" si="144"/>
        <v/>
      </c>
      <c r="T925" t="str">
        <f t="shared" si="145"/>
        <v/>
      </c>
      <c r="U925" t="str">
        <f t="shared" si="146"/>
        <v/>
      </c>
      <c r="V925" t="str">
        <f t="shared" si="147"/>
        <v/>
      </c>
      <c r="W925" t="str">
        <f t="shared" si="148"/>
        <v/>
      </c>
      <c r="X925">
        <f>IF($T925="",N($X924),IF(MATCH($T925,$T$6:$T$10005,0)=ROW()-5,N($X924)+1,N($X924)))</f>
        <v>0</v>
      </c>
      <c r="Z925" t="str">
        <f t="shared" si="149"/>
        <v/>
      </c>
      <c r="AA925">
        <f>IF($V925="",N($AA924),IF(MATCH($V925,$V$6:$V$10005,0)=ROW()-5,N($AA924)+1,N($AA924)))</f>
        <v>0</v>
      </c>
    </row>
    <row r="926" spans="1:27" ht="21" customHeight="1" x14ac:dyDescent="0.95">
      <c r="A926" s="56"/>
      <c r="B926" s="57"/>
      <c r="C926" s="57"/>
      <c r="D926" s="57"/>
      <c r="E926" s="56"/>
      <c r="F926" s="57"/>
      <c r="G926" s="57"/>
      <c r="H926" s="56"/>
      <c r="I926" s="56"/>
      <c r="J926" s="58"/>
      <c r="K926" s="58"/>
      <c r="L926" s="13" t="str">
        <f t="shared" si="140"/>
        <v/>
      </c>
      <c r="M926" s="13" t="str">
        <f t="shared" si="141"/>
        <v/>
      </c>
      <c r="Q926" t="str">
        <f t="shared" si="142"/>
        <v/>
      </c>
      <c r="R926" t="str">
        <f t="shared" si="143"/>
        <v/>
      </c>
      <c r="S926" t="str">
        <f t="shared" si="144"/>
        <v/>
      </c>
      <c r="T926" t="str">
        <f t="shared" si="145"/>
        <v/>
      </c>
      <c r="U926" t="str">
        <f t="shared" si="146"/>
        <v/>
      </c>
      <c r="V926" t="str">
        <f t="shared" si="147"/>
        <v/>
      </c>
      <c r="W926" t="str">
        <f t="shared" si="148"/>
        <v/>
      </c>
      <c r="X926">
        <f>IF($T926="",N($X925),IF(MATCH($T926,$T$6:$T$10005,0)=ROW()-5,N($X925)+1,N($X925)))</f>
        <v>0</v>
      </c>
      <c r="Z926" t="str">
        <f t="shared" si="149"/>
        <v/>
      </c>
      <c r="AA926">
        <f>IF($V926="",N($AA925),IF(MATCH($V926,$V$6:$V$10005,0)=ROW()-5,N($AA925)+1,N($AA925)))</f>
        <v>0</v>
      </c>
    </row>
    <row r="927" spans="1:27" ht="21" customHeight="1" x14ac:dyDescent="0.95">
      <c r="A927" s="56"/>
      <c r="B927" s="57"/>
      <c r="C927" s="57"/>
      <c r="D927" s="57"/>
      <c r="E927" s="56"/>
      <c r="F927" s="57"/>
      <c r="G927" s="57"/>
      <c r="H927" s="56"/>
      <c r="I927" s="56"/>
      <c r="J927" s="58"/>
      <c r="K927" s="58"/>
      <c r="L927" s="13" t="str">
        <f t="shared" si="140"/>
        <v/>
      </c>
      <c r="M927" s="13" t="str">
        <f t="shared" si="141"/>
        <v/>
      </c>
      <c r="Q927" t="str">
        <f t="shared" si="142"/>
        <v/>
      </c>
      <c r="R927" t="str">
        <f t="shared" si="143"/>
        <v/>
      </c>
      <c r="S927" t="str">
        <f t="shared" si="144"/>
        <v/>
      </c>
      <c r="T927" t="str">
        <f t="shared" si="145"/>
        <v/>
      </c>
      <c r="U927" t="str">
        <f t="shared" si="146"/>
        <v/>
      </c>
      <c r="V927" t="str">
        <f t="shared" si="147"/>
        <v/>
      </c>
      <c r="W927" t="str">
        <f t="shared" si="148"/>
        <v/>
      </c>
      <c r="X927">
        <f>IF($T927="",N($X926),IF(MATCH($T927,$T$6:$T$10005,0)=ROW()-5,N($X926)+1,N($X926)))</f>
        <v>0</v>
      </c>
      <c r="Z927" t="str">
        <f t="shared" si="149"/>
        <v/>
      </c>
      <c r="AA927">
        <f>IF($V927="",N($AA926),IF(MATCH($V927,$V$6:$V$10005,0)=ROW()-5,N($AA926)+1,N($AA926)))</f>
        <v>0</v>
      </c>
    </row>
    <row r="928" spans="1:27" ht="21" customHeight="1" x14ac:dyDescent="0.95">
      <c r="A928" s="56"/>
      <c r="B928" s="57"/>
      <c r="C928" s="57"/>
      <c r="D928" s="57"/>
      <c r="E928" s="56"/>
      <c r="F928" s="57"/>
      <c r="G928" s="57"/>
      <c r="H928" s="56"/>
      <c r="I928" s="56"/>
      <c r="J928" s="58"/>
      <c r="K928" s="58"/>
      <c r="L928" s="13" t="str">
        <f t="shared" si="140"/>
        <v/>
      </c>
      <c r="M928" s="13" t="str">
        <f t="shared" si="141"/>
        <v/>
      </c>
      <c r="Q928" t="str">
        <f t="shared" si="142"/>
        <v/>
      </c>
      <c r="R928" t="str">
        <f t="shared" si="143"/>
        <v/>
      </c>
      <c r="S928" t="str">
        <f t="shared" si="144"/>
        <v/>
      </c>
      <c r="T928" t="str">
        <f t="shared" si="145"/>
        <v/>
      </c>
      <c r="U928" t="str">
        <f t="shared" si="146"/>
        <v/>
      </c>
      <c r="V928" t="str">
        <f t="shared" si="147"/>
        <v/>
      </c>
      <c r="W928" t="str">
        <f t="shared" si="148"/>
        <v/>
      </c>
      <c r="X928">
        <f>IF($T928="",N($X927),IF(MATCH($T928,$T$6:$T$10005,0)=ROW()-5,N($X927)+1,N($X927)))</f>
        <v>0</v>
      </c>
      <c r="Z928" t="str">
        <f t="shared" si="149"/>
        <v/>
      </c>
      <c r="AA928">
        <f>IF($V928="",N($AA927),IF(MATCH($V928,$V$6:$V$10005,0)=ROW()-5,N($AA927)+1,N($AA927)))</f>
        <v>0</v>
      </c>
    </row>
    <row r="929" spans="1:27" ht="21" customHeight="1" x14ac:dyDescent="0.95">
      <c r="A929" s="56"/>
      <c r="B929" s="57"/>
      <c r="C929" s="57"/>
      <c r="D929" s="57"/>
      <c r="E929" s="56"/>
      <c r="F929" s="57"/>
      <c r="G929" s="57"/>
      <c r="H929" s="56"/>
      <c r="I929" s="56"/>
      <c r="J929" s="58"/>
      <c r="K929" s="58"/>
      <c r="L929" s="13" t="str">
        <f t="shared" si="140"/>
        <v/>
      </c>
      <c r="M929" s="13" t="str">
        <f t="shared" si="141"/>
        <v/>
      </c>
      <c r="Q929" t="str">
        <f t="shared" si="142"/>
        <v/>
      </c>
      <c r="R929" t="str">
        <f t="shared" si="143"/>
        <v/>
      </c>
      <c r="S929" t="str">
        <f t="shared" si="144"/>
        <v/>
      </c>
      <c r="T929" t="str">
        <f t="shared" si="145"/>
        <v/>
      </c>
      <c r="U929" t="str">
        <f t="shared" si="146"/>
        <v/>
      </c>
      <c r="V929" t="str">
        <f t="shared" si="147"/>
        <v/>
      </c>
      <c r="W929" t="str">
        <f t="shared" si="148"/>
        <v/>
      </c>
      <c r="X929">
        <f>IF($T929="",N($X928),IF(MATCH($T929,$T$6:$T$10005,0)=ROW()-5,N($X928)+1,N($X928)))</f>
        <v>0</v>
      </c>
      <c r="Z929" t="str">
        <f t="shared" si="149"/>
        <v/>
      </c>
      <c r="AA929">
        <f>IF($V929="",N($AA928),IF(MATCH($V929,$V$6:$V$10005,0)=ROW()-5,N($AA928)+1,N($AA928)))</f>
        <v>0</v>
      </c>
    </row>
    <row r="930" spans="1:27" ht="21" customHeight="1" x14ac:dyDescent="0.95">
      <c r="A930" s="56"/>
      <c r="B930" s="57"/>
      <c r="C930" s="57"/>
      <c r="D930" s="57"/>
      <c r="E930" s="56"/>
      <c r="F930" s="57"/>
      <c r="G930" s="57"/>
      <c r="H930" s="56"/>
      <c r="I930" s="56"/>
      <c r="J930" s="58"/>
      <c r="K930" s="58"/>
      <c r="L930" s="13" t="str">
        <f t="shared" si="140"/>
        <v/>
      </c>
      <c r="M930" s="13" t="str">
        <f t="shared" si="141"/>
        <v/>
      </c>
      <c r="Q930" t="str">
        <f t="shared" si="142"/>
        <v/>
      </c>
      <c r="R930" t="str">
        <f t="shared" si="143"/>
        <v/>
      </c>
      <c r="S930" t="str">
        <f t="shared" si="144"/>
        <v/>
      </c>
      <c r="T930" t="str">
        <f t="shared" si="145"/>
        <v/>
      </c>
      <c r="U930" t="str">
        <f t="shared" si="146"/>
        <v/>
      </c>
      <c r="V930" t="str">
        <f t="shared" si="147"/>
        <v/>
      </c>
      <c r="W930" t="str">
        <f t="shared" si="148"/>
        <v/>
      </c>
      <c r="X930">
        <f>IF($T930="",N($X929),IF(MATCH($T930,$T$6:$T$10005,0)=ROW()-5,N($X929)+1,N($X929)))</f>
        <v>0</v>
      </c>
      <c r="Z930" t="str">
        <f t="shared" si="149"/>
        <v/>
      </c>
      <c r="AA930">
        <f>IF($V930="",N($AA929),IF(MATCH($V930,$V$6:$V$10005,0)=ROW()-5,N($AA929)+1,N($AA929)))</f>
        <v>0</v>
      </c>
    </row>
    <row r="931" spans="1:27" ht="21" customHeight="1" x14ac:dyDescent="0.95">
      <c r="A931" s="56"/>
      <c r="B931" s="57"/>
      <c r="C931" s="57"/>
      <c r="D931" s="57"/>
      <c r="E931" s="56"/>
      <c r="F931" s="57"/>
      <c r="G931" s="57"/>
      <c r="H931" s="56"/>
      <c r="I931" s="56"/>
      <c r="J931" s="58"/>
      <c r="K931" s="58"/>
      <c r="L931" s="13" t="str">
        <f t="shared" si="140"/>
        <v/>
      </c>
      <c r="M931" s="13" t="str">
        <f t="shared" si="141"/>
        <v/>
      </c>
      <c r="Q931" t="str">
        <f t="shared" si="142"/>
        <v/>
      </c>
      <c r="R931" t="str">
        <f t="shared" si="143"/>
        <v/>
      </c>
      <c r="S931" t="str">
        <f t="shared" si="144"/>
        <v/>
      </c>
      <c r="T931" t="str">
        <f t="shared" si="145"/>
        <v/>
      </c>
      <c r="U931" t="str">
        <f t="shared" si="146"/>
        <v/>
      </c>
      <c r="V931" t="str">
        <f t="shared" si="147"/>
        <v/>
      </c>
      <c r="W931" t="str">
        <f t="shared" si="148"/>
        <v/>
      </c>
      <c r="X931">
        <f>IF($T931="",N($X930),IF(MATCH($T931,$T$6:$T$10005,0)=ROW()-5,N($X930)+1,N($X930)))</f>
        <v>0</v>
      </c>
      <c r="Z931" t="str">
        <f t="shared" si="149"/>
        <v/>
      </c>
      <c r="AA931">
        <f>IF($V931="",N($AA930),IF(MATCH($V931,$V$6:$V$10005,0)=ROW()-5,N($AA930)+1,N($AA930)))</f>
        <v>0</v>
      </c>
    </row>
    <row r="932" spans="1:27" ht="21" customHeight="1" x14ac:dyDescent="0.95">
      <c r="A932" s="56"/>
      <c r="B932" s="57"/>
      <c r="C932" s="57"/>
      <c r="D932" s="57"/>
      <c r="E932" s="56"/>
      <c r="F932" s="57"/>
      <c r="G932" s="57"/>
      <c r="H932" s="56"/>
      <c r="I932" s="56"/>
      <c r="J932" s="58"/>
      <c r="K932" s="58"/>
      <c r="L932" s="13" t="str">
        <f t="shared" si="140"/>
        <v/>
      </c>
      <c r="M932" s="13" t="str">
        <f t="shared" si="141"/>
        <v/>
      </c>
      <c r="Q932" t="str">
        <f t="shared" si="142"/>
        <v/>
      </c>
      <c r="R932" t="str">
        <f t="shared" si="143"/>
        <v/>
      </c>
      <c r="S932" t="str">
        <f t="shared" si="144"/>
        <v/>
      </c>
      <c r="T932" t="str">
        <f t="shared" si="145"/>
        <v/>
      </c>
      <c r="U932" t="str">
        <f t="shared" si="146"/>
        <v/>
      </c>
      <c r="V932" t="str">
        <f t="shared" si="147"/>
        <v/>
      </c>
      <c r="W932" t="str">
        <f t="shared" si="148"/>
        <v/>
      </c>
      <c r="X932">
        <f>IF($T932="",N($X931),IF(MATCH($T932,$T$6:$T$10005,0)=ROW()-5,N($X931)+1,N($X931)))</f>
        <v>0</v>
      </c>
      <c r="Z932" t="str">
        <f t="shared" si="149"/>
        <v/>
      </c>
      <c r="AA932">
        <f>IF($V932="",N($AA931),IF(MATCH($V932,$V$6:$V$10005,0)=ROW()-5,N($AA931)+1,N($AA931)))</f>
        <v>0</v>
      </c>
    </row>
    <row r="933" spans="1:27" ht="21" customHeight="1" x14ac:dyDescent="0.95">
      <c r="A933" s="56"/>
      <c r="B933" s="57"/>
      <c r="C933" s="57"/>
      <c r="D933" s="57"/>
      <c r="E933" s="56"/>
      <c r="F933" s="57"/>
      <c r="G933" s="57"/>
      <c r="H933" s="56"/>
      <c r="I933" s="56"/>
      <c r="J933" s="58"/>
      <c r="K933" s="58"/>
      <c r="L933" s="13" t="str">
        <f t="shared" si="140"/>
        <v/>
      </c>
      <c r="M933" s="13" t="str">
        <f t="shared" si="141"/>
        <v/>
      </c>
      <c r="Q933" t="str">
        <f t="shared" si="142"/>
        <v/>
      </c>
      <c r="R933" t="str">
        <f t="shared" si="143"/>
        <v/>
      </c>
      <c r="S933" t="str">
        <f t="shared" si="144"/>
        <v/>
      </c>
      <c r="T933" t="str">
        <f t="shared" si="145"/>
        <v/>
      </c>
      <c r="U933" t="str">
        <f t="shared" si="146"/>
        <v/>
      </c>
      <c r="V933" t="str">
        <f t="shared" si="147"/>
        <v/>
      </c>
      <c r="W933" t="str">
        <f t="shared" si="148"/>
        <v/>
      </c>
      <c r="X933">
        <f>IF($T933="",N($X932),IF(MATCH($T933,$T$6:$T$10005,0)=ROW()-5,N($X932)+1,N($X932)))</f>
        <v>0</v>
      </c>
      <c r="Z933" t="str">
        <f t="shared" si="149"/>
        <v/>
      </c>
      <c r="AA933">
        <f>IF($V933="",N($AA932),IF(MATCH($V933,$V$6:$V$10005,0)=ROW()-5,N($AA932)+1,N($AA932)))</f>
        <v>0</v>
      </c>
    </row>
    <row r="934" spans="1:27" ht="21" customHeight="1" x14ac:dyDescent="0.95">
      <c r="A934" s="56"/>
      <c r="B934" s="57"/>
      <c r="C934" s="57"/>
      <c r="D934" s="57"/>
      <c r="E934" s="56"/>
      <c r="F934" s="57"/>
      <c r="G934" s="57"/>
      <c r="H934" s="56"/>
      <c r="I934" s="56"/>
      <c r="J934" s="58"/>
      <c r="K934" s="58"/>
      <c r="L934" s="13" t="str">
        <f t="shared" si="140"/>
        <v/>
      </c>
      <c r="M934" s="13" t="str">
        <f t="shared" si="141"/>
        <v/>
      </c>
      <c r="Q934" t="str">
        <f t="shared" si="142"/>
        <v/>
      </c>
      <c r="R934" t="str">
        <f t="shared" si="143"/>
        <v/>
      </c>
      <c r="S934" t="str">
        <f t="shared" si="144"/>
        <v/>
      </c>
      <c r="T934" t="str">
        <f t="shared" si="145"/>
        <v/>
      </c>
      <c r="U934" t="str">
        <f t="shared" si="146"/>
        <v/>
      </c>
      <c r="V934" t="str">
        <f t="shared" si="147"/>
        <v/>
      </c>
      <c r="W934" t="str">
        <f t="shared" si="148"/>
        <v/>
      </c>
      <c r="X934">
        <f>IF($T934="",N($X933),IF(MATCH($T934,$T$6:$T$10005,0)=ROW()-5,N($X933)+1,N($X933)))</f>
        <v>0</v>
      </c>
      <c r="Z934" t="str">
        <f t="shared" si="149"/>
        <v/>
      </c>
      <c r="AA934">
        <f>IF($V934="",N($AA933),IF(MATCH($V934,$V$6:$V$10005,0)=ROW()-5,N($AA933)+1,N($AA933)))</f>
        <v>0</v>
      </c>
    </row>
    <row r="935" spans="1:27" ht="21" customHeight="1" x14ac:dyDescent="0.95">
      <c r="A935" s="56"/>
      <c r="B935" s="57"/>
      <c r="C935" s="57"/>
      <c r="D935" s="57"/>
      <c r="E935" s="56"/>
      <c r="F935" s="57"/>
      <c r="G935" s="57"/>
      <c r="H935" s="56"/>
      <c r="I935" s="56"/>
      <c r="J935" s="58"/>
      <c r="K935" s="58"/>
      <c r="L935" s="13" t="str">
        <f t="shared" si="140"/>
        <v/>
      </c>
      <c r="M935" s="13" t="str">
        <f t="shared" si="141"/>
        <v/>
      </c>
      <c r="Q935" t="str">
        <f t="shared" si="142"/>
        <v/>
      </c>
      <c r="R935" t="str">
        <f t="shared" si="143"/>
        <v/>
      </c>
      <c r="S935" t="str">
        <f t="shared" si="144"/>
        <v/>
      </c>
      <c r="T935" t="str">
        <f t="shared" si="145"/>
        <v/>
      </c>
      <c r="U935" t="str">
        <f t="shared" si="146"/>
        <v/>
      </c>
      <c r="V935" t="str">
        <f t="shared" si="147"/>
        <v/>
      </c>
      <c r="W935" t="str">
        <f t="shared" si="148"/>
        <v/>
      </c>
      <c r="X935">
        <f>IF($T935="",N($X934),IF(MATCH($T935,$T$6:$T$10005,0)=ROW()-5,N($X934)+1,N($X934)))</f>
        <v>0</v>
      </c>
      <c r="Z935" t="str">
        <f t="shared" si="149"/>
        <v/>
      </c>
      <c r="AA935">
        <f>IF($V935="",N($AA934),IF(MATCH($V935,$V$6:$V$10005,0)=ROW()-5,N($AA934)+1,N($AA934)))</f>
        <v>0</v>
      </c>
    </row>
    <row r="936" spans="1:27" ht="21" customHeight="1" x14ac:dyDescent="0.95">
      <c r="A936" s="56"/>
      <c r="B936" s="57"/>
      <c r="C936" s="57"/>
      <c r="D936" s="57"/>
      <c r="E936" s="56"/>
      <c r="F936" s="57"/>
      <c r="G936" s="57"/>
      <c r="H936" s="56"/>
      <c r="I936" s="56"/>
      <c r="J936" s="58"/>
      <c r="K936" s="58"/>
      <c r="L936" s="13" t="str">
        <f t="shared" si="140"/>
        <v/>
      </c>
      <c r="M936" s="13" t="str">
        <f t="shared" si="141"/>
        <v/>
      </c>
      <c r="Q936" t="str">
        <f t="shared" si="142"/>
        <v/>
      </c>
      <c r="R936" t="str">
        <f t="shared" si="143"/>
        <v/>
      </c>
      <c r="S936" t="str">
        <f t="shared" si="144"/>
        <v/>
      </c>
      <c r="T936" t="str">
        <f t="shared" si="145"/>
        <v/>
      </c>
      <c r="U936" t="str">
        <f t="shared" si="146"/>
        <v/>
      </c>
      <c r="V936" t="str">
        <f t="shared" si="147"/>
        <v/>
      </c>
      <c r="W936" t="str">
        <f t="shared" si="148"/>
        <v/>
      </c>
      <c r="X936">
        <f>IF($T936="",N($X935),IF(MATCH($T936,$T$6:$T$10005,0)=ROW()-5,N($X935)+1,N($X935)))</f>
        <v>0</v>
      </c>
      <c r="Z936" t="str">
        <f t="shared" si="149"/>
        <v/>
      </c>
      <c r="AA936">
        <f>IF($V936="",N($AA935),IF(MATCH($V936,$V$6:$V$10005,0)=ROW()-5,N($AA935)+1,N($AA935)))</f>
        <v>0</v>
      </c>
    </row>
    <row r="937" spans="1:27" ht="21" customHeight="1" x14ac:dyDescent="0.95">
      <c r="A937" s="56"/>
      <c r="B937" s="57"/>
      <c r="C937" s="57"/>
      <c r="D937" s="57"/>
      <c r="E937" s="56"/>
      <c r="F937" s="57"/>
      <c r="G937" s="57"/>
      <c r="H937" s="56"/>
      <c r="I937" s="56"/>
      <c r="J937" s="58"/>
      <c r="K937" s="58"/>
      <c r="L937" s="13" t="str">
        <f t="shared" si="140"/>
        <v/>
      </c>
      <c r="M937" s="13" t="str">
        <f t="shared" si="141"/>
        <v/>
      </c>
      <c r="Q937" t="str">
        <f t="shared" si="142"/>
        <v/>
      </c>
      <c r="R937" t="str">
        <f t="shared" si="143"/>
        <v/>
      </c>
      <c r="S937" t="str">
        <f t="shared" si="144"/>
        <v/>
      </c>
      <c r="T937" t="str">
        <f t="shared" si="145"/>
        <v/>
      </c>
      <c r="U937" t="str">
        <f t="shared" si="146"/>
        <v/>
      </c>
      <c r="V937" t="str">
        <f t="shared" si="147"/>
        <v/>
      </c>
      <c r="W937" t="str">
        <f t="shared" si="148"/>
        <v/>
      </c>
      <c r="X937">
        <f>IF($T937="",N($X936),IF(MATCH($T937,$T$6:$T$10005,0)=ROW()-5,N($X936)+1,N($X936)))</f>
        <v>0</v>
      </c>
      <c r="Z937" t="str">
        <f t="shared" si="149"/>
        <v/>
      </c>
      <c r="AA937">
        <f>IF($V937="",N($AA936),IF(MATCH($V937,$V$6:$V$10005,0)=ROW()-5,N($AA936)+1,N($AA936)))</f>
        <v>0</v>
      </c>
    </row>
    <row r="938" spans="1:27" ht="21" customHeight="1" x14ac:dyDescent="0.95">
      <c r="A938" s="56"/>
      <c r="B938" s="57"/>
      <c r="C938" s="57"/>
      <c r="D938" s="57"/>
      <c r="E938" s="56"/>
      <c r="F938" s="57"/>
      <c r="G938" s="57"/>
      <c r="H938" s="56"/>
      <c r="I938" s="56"/>
      <c r="J938" s="58"/>
      <c r="K938" s="58"/>
      <c r="L938" s="13" t="str">
        <f t="shared" si="140"/>
        <v/>
      </c>
      <c r="M938" s="13" t="str">
        <f t="shared" si="141"/>
        <v/>
      </c>
      <c r="Q938" t="str">
        <f t="shared" si="142"/>
        <v/>
      </c>
      <c r="R938" t="str">
        <f t="shared" si="143"/>
        <v/>
      </c>
      <c r="S938" t="str">
        <f t="shared" si="144"/>
        <v/>
      </c>
      <c r="T938" t="str">
        <f t="shared" si="145"/>
        <v/>
      </c>
      <c r="U938" t="str">
        <f t="shared" si="146"/>
        <v/>
      </c>
      <c r="V938" t="str">
        <f t="shared" si="147"/>
        <v/>
      </c>
      <c r="W938" t="str">
        <f t="shared" si="148"/>
        <v/>
      </c>
      <c r="X938">
        <f>IF($T938="",N($X937),IF(MATCH($T938,$T$6:$T$10005,0)=ROW()-5,N($X937)+1,N($X937)))</f>
        <v>0</v>
      </c>
      <c r="Z938" t="str">
        <f t="shared" si="149"/>
        <v/>
      </c>
      <c r="AA938">
        <f>IF($V938="",N($AA937),IF(MATCH($V938,$V$6:$V$10005,0)=ROW()-5,N($AA937)+1,N($AA937)))</f>
        <v>0</v>
      </c>
    </row>
    <row r="939" spans="1:27" ht="21" customHeight="1" x14ac:dyDescent="0.95">
      <c r="A939" s="56"/>
      <c r="B939" s="57"/>
      <c r="C939" s="57"/>
      <c r="D939" s="57"/>
      <c r="E939" s="56"/>
      <c r="F939" s="57"/>
      <c r="G939" s="57"/>
      <c r="H939" s="56"/>
      <c r="I939" s="56"/>
      <c r="J939" s="58"/>
      <c r="K939" s="58"/>
      <c r="L939" s="13" t="str">
        <f t="shared" si="140"/>
        <v/>
      </c>
      <c r="M939" s="13" t="str">
        <f t="shared" si="141"/>
        <v/>
      </c>
      <c r="Q939" t="str">
        <f t="shared" si="142"/>
        <v/>
      </c>
      <c r="R939" t="str">
        <f t="shared" si="143"/>
        <v/>
      </c>
      <c r="S939" t="str">
        <f t="shared" si="144"/>
        <v/>
      </c>
      <c r="T939" t="str">
        <f t="shared" si="145"/>
        <v/>
      </c>
      <c r="U939" t="str">
        <f t="shared" si="146"/>
        <v/>
      </c>
      <c r="V939" t="str">
        <f t="shared" si="147"/>
        <v/>
      </c>
      <c r="W939" t="str">
        <f t="shared" si="148"/>
        <v/>
      </c>
      <c r="X939">
        <f>IF($T939="",N($X938),IF(MATCH($T939,$T$6:$T$10005,0)=ROW()-5,N($X938)+1,N($X938)))</f>
        <v>0</v>
      </c>
      <c r="Z939" t="str">
        <f t="shared" si="149"/>
        <v/>
      </c>
      <c r="AA939">
        <f>IF($V939="",N($AA938),IF(MATCH($V939,$V$6:$V$10005,0)=ROW()-5,N($AA938)+1,N($AA938)))</f>
        <v>0</v>
      </c>
    </row>
    <row r="940" spans="1:27" ht="21" customHeight="1" x14ac:dyDescent="0.95">
      <c r="A940" s="56"/>
      <c r="B940" s="57"/>
      <c r="C940" s="57"/>
      <c r="D940" s="57"/>
      <c r="E940" s="56"/>
      <c r="F940" s="57"/>
      <c r="G940" s="57"/>
      <c r="H940" s="56"/>
      <c r="I940" s="56"/>
      <c r="J940" s="58"/>
      <c r="K940" s="58"/>
      <c r="L940" s="13" t="str">
        <f t="shared" si="140"/>
        <v/>
      </c>
      <c r="M940" s="13" t="str">
        <f t="shared" si="141"/>
        <v/>
      </c>
      <c r="Q940" t="str">
        <f t="shared" si="142"/>
        <v/>
      </c>
      <c r="R940" t="str">
        <f t="shared" si="143"/>
        <v/>
      </c>
      <c r="S940" t="str">
        <f t="shared" si="144"/>
        <v/>
      </c>
      <c r="T940" t="str">
        <f t="shared" si="145"/>
        <v/>
      </c>
      <c r="U940" t="str">
        <f t="shared" si="146"/>
        <v/>
      </c>
      <c r="V940" t="str">
        <f t="shared" si="147"/>
        <v/>
      </c>
      <c r="W940" t="str">
        <f t="shared" si="148"/>
        <v/>
      </c>
      <c r="X940">
        <f>IF($T940="",N($X939),IF(MATCH($T940,$T$6:$T$10005,0)=ROW()-5,N($X939)+1,N($X939)))</f>
        <v>0</v>
      </c>
      <c r="Z940" t="str">
        <f t="shared" si="149"/>
        <v/>
      </c>
      <c r="AA940">
        <f>IF($V940="",N($AA939),IF(MATCH($V940,$V$6:$V$10005,0)=ROW()-5,N($AA939)+1,N($AA939)))</f>
        <v>0</v>
      </c>
    </row>
    <row r="941" spans="1:27" ht="21" customHeight="1" x14ac:dyDescent="0.95">
      <c r="A941" s="56"/>
      <c r="B941" s="57"/>
      <c r="C941" s="57"/>
      <c r="D941" s="57"/>
      <c r="E941" s="56"/>
      <c r="F941" s="57"/>
      <c r="G941" s="57"/>
      <c r="H941" s="56"/>
      <c r="I941" s="56"/>
      <c r="J941" s="58"/>
      <c r="K941" s="58"/>
      <c r="L941" s="13" t="str">
        <f t="shared" si="140"/>
        <v/>
      </c>
      <c r="M941" s="13" t="str">
        <f t="shared" si="141"/>
        <v/>
      </c>
      <c r="Q941" t="str">
        <f t="shared" si="142"/>
        <v/>
      </c>
      <c r="R941" t="str">
        <f t="shared" si="143"/>
        <v/>
      </c>
      <c r="S941" t="str">
        <f t="shared" si="144"/>
        <v/>
      </c>
      <c r="T941" t="str">
        <f t="shared" si="145"/>
        <v/>
      </c>
      <c r="U941" t="str">
        <f t="shared" si="146"/>
        <v/>
      </c>
      <c r="V941" t="str">
        <f t="shared" si="147"/>
        <v/>
      </c>
      <c r="W941" t="str">
        <f t="shared" si="148"/>
        <v/>
      </c>
      <c r="X941">
        <f>IF($T941="",N($X940),IF(MATCH($T941,$T$6:$T$10005,0)=ROW()-5,N($X940)+1,N($X940)))</f>
        <v>0</v>
      </c>
      <c r="Z941" t="str">
        <f t="shared" si="149"/>
        <v/>
      </c>
      <c r="AA941">
        <f>IF($V941="",N($AA940),IF(MATCH($V941,$V$6:$V$10005,0)=ROW()-5,N($AA940)+1,N($AA940)))</f>
        <v>0</v>
      </c>
    </row>
    <row r="942" spans="1:27" ht="21" customHeight="1" x14ac:dyDescent="0.95">
      <c r="A942" s="56"/>
      <c r="B942" s="57"/>
      <c r="C942" s="57"/>
      <c r="D942" s="57"/>
      <c r="E942" s="56"/>
      <c r="F942" s="57"/>
      <c r="G942" s="57"/>
      <c r="H942" s="56"/>
      <c r="I942" s="56"/>
      <c r="J942" s="58"/>
      <c r="K942" s="58"/>
      <c r="L942" s="13" t="str">
        <f t="shared" si="140"/>
        <v/>
      </c>
      <c r="M942" s="13" t="str">
        <f t="shared" si="141"/>
        <v/>
      </c>
      <c r="Q942" t="str">
        <f t="shared" si="142"/>
        <v/>
      </c>
      <c r="R942" t="str">
        <f t="shared" si="143"/>
        <v/>
      </c>
      <c r="S942" t="str">
        <f t="shared" si="144"/>
        <v/>
      </c>
      <c r="T942" t="str">
        <f t="shared" si="145"/>
        <v/>
      </c>
      <c r="U942" t="str">
        <f t="shared" si="146"/>
        <v/>
      </c>
      <c r="V942" t="str">
        <f t="shared" si="147"/>
        <v/>
      </c>
      <c r="W942" t="str">
        <f t="shared" si="148"/>
        <v/>
      </c>
      <c r="X942">
        <f>IF($T942="",N($X941),IF(MATCH($T942,$T$6:$T$10005,0)=ROW()-5,N($X941)+1,N($X941)))</f>
        <v>0</v>
      </c>
      <c r="Z942" t="str">
        <f t="shared" si="149"/>
        <v/>
      </c>
      <c r="AA942">
        <f>IF($V942="",N($AA941),IF(MATCH($V942,$V$6:$V$10005,0)=ROW()-5,N($AA941)+1,N($AA941)))</f>
        <v>0</v>
      </c>
    </row>
    <row r="943" spans="1:27" ht="21" customHeight="1" x14ac:dyDescent="0.95">
      <c r="A943" s="56"/>
      <c r="B943" s="57"/>
      <c r="C943" s="57"/>
      <c r="D943" s="57"/>
      <c r="E943" s="56"/>
      <c r="F943" s="57"/>
      <c r="G943" s="57"/>
      <c r="H943" s="56"/>
      <c r="I943" s="56"/>
      <c r="J943" s="58"/>
      <c r="K943" s="58"/>
      <c r="L943" s="13" t="str">
        <f t="shared" si="140"/>
        <v/>
      </c>
      <c r="M943" s="13" t="str">
        <f t="shared" si="141"/>
        <v/>
      </c>
      <c r="Q943" t="str">
        <f t="shared" si="142"/>
        <v/>
      </c>
      <c r="R943" t="str">
        <f t="shared" si="143"/>
        <v/>
      </c>
      <c r="S943" t="str">
        <f t="shared" si="144"/>
        <v/>
      </c>
      <c r="T943" t="str">
        <f t="shared" si="145"/>
        <v/>
      </c>
      <c r="U943" t="str">
        <f t="shared" si="146"/>
        <v/>
      </c>
      <c r="V943" t="str">
        <f t="shared" si="147"/>
        <v/>
      </c>
      <c r="W943" t="str">
        <f t="shared" si="148"/>
        <v/>
      </c>
      <c r="X943">
        <f>IF($T943="",N($X942),IF(MATCH($T943,$T$6:$T$10005,0)=ROW()-5,N($X942)+1,N($X942)))</f>
        <v>0</v>
      </c>
      <c r="Z943" t="str">
        <f t="shared" si="149"/>
        <v/>
      </c>
      <c r="AA943">
        <f>IF($V943="",N($AA942),IF(MATCH($V943,$V$6:$V$10005,0)=ROW()-5,N($AA942)+1,N($AA942)))</f>
        <v>0</v>
      </c>
    </row>
    <row r="944" spans="1:27" ht="21" customHeight="1" x14ac:dyDescent="0.95">
      <c r="A944" s="56"/>
      <c r="B944" s="57"/>
      <c r="C944" s="57"/>
      <c r="D944" s="57"/>
      <c r="E944" s="56"/>
      <c r="F944" s="57"/>
      <c r="G944" s="57"/>
      <c r="H944" s="56"/>
      <c r="I944" s="56"/>
      <c r="J944" s="58"/>
      <c r="K944" s="58"/>
      <c r="L944" s="13" t="str">
        <f t="shared" si="140"/>
        <v/>
      </c>
      <c r="M944" s="13" t="str">
        <f t="shared" si="141"/>
        <v/>
      </c>
      <c r="Q944" t="str">
        <f t="shared" si="142"/>
        <v/>
      </c>
      <c r="R944" t="str">
        <f t="shared" si="143"/>
        <v/>
      </c>
      <c r="S944" t="str">
        <f t="shared" si="144"/>
        <v/>
      </c>
      <c r="T944" t="str">
        <f t="shared" si="145"/>
        <v/>
      </c>
      <c r="U944" t="str">
        <f t="shared" si="146"/>
        <v/>
      </c>
      <c r="V944" t="str">
        <f t="shared" si="147"/>
        <v/>
      </c>
      <c r="W944" t="str">
        <f t="shared" si="148"/>
        <v/>
      </c>
      <c r="X944">
        <f>IF($T944="",N($X943),IF(MATCH($T944,$T$6:$T$10005,0)=ROW()-5,N($X943)+1,N($X943)))</f>
        <v>0</v>
      </c>
      <c r="Z944" t="str">
        <f t="shared" si="149"/>
        <v/>
      </c>
      <c r="AA944">
        <f>IF($V944="",N($AA943),IF(MATCH($V944,$V$6:$V$10005,0)=ROW()-5,N($AA943)+1,N($AA943)))</f>
        <v>0</v>
      </c>
    </row>
    <row r="945" spans="1:27" ht="21" customHeight="1" x14ac:dyDescent="0.95">
      <c r="A945" s="56"/>
      <c r="B945" s="57"/>
      <c r="C945" s="57"/>
      <c r="D945" s="57"/>
      <c r="E945" s="56"/>
      <c r="F945" s="57"/>
      <c r="G945" s="57"/>
      <c r="H945" s="56"/>
      <c r="I945" s="56"/>
      <c r="J945" s="58"/>
      <c r="K945" s="58"/>
      <c r="L945" s="13" t="str">
        <f t="shared" si="140"/>
        <v/>
      </c>
      <c r="M945" s="13" t="str">
        <f t="shared" si="141"/>
        <v/>
      </c>
      <c r="Q945" t="str">
        <f t="shared" si="142"/>
        <v/>
      </c>
      <c r="R945" t="str">
        <f t="shared" si="143"/>
        <v/>
      </c>
      <c r="S945" t="str">
        <f t="shared" si="144"/>
        <v/>
      </c>
      <c r="T945" t="str">
        <f t="shared" si="145"/>
        <v/>
      </c>
      <c r="U945" t="str">
        <f t="shared" si="146"/>
        <v/>
      </c>
      <c r="V945" t="str">
        <f t="shared" si="147"/>
        <v/>
      </c>
      <c r="W945" t="str">
        <f t="shared" si="148"/>
        <v/>
      </c>
      <c r="X945">
        <f>IF($T945="",N($X944),IF(MATCH($T945,$T$6:$T$10005,0)=ROW()-5,N($X944)+1,N($X944)))</f>
        <v>0</v>
      </c>
      <c r="Z945" t="str">
        <f t="shared" si="149"/>
        <v/>
      </c>
      <c r="AA945">
        <f>IF($V945="",N($AA944),IF(MATCH($V945,$V$6:$V$10005,0)=ROW()-5,N($AA944)+1,N($AA944)))</f>
        <v>0</v>
      </c>
    </row>
    <row r="946" spans="1:27" ht="21" customHeight="1" x14ac:dyDescent="0.95">
      <c r="A946" s="56"/>
      <c r="B946" s="57"/>
      <c r="C946" s="57"/>
      <c r="D946" s="57"/>
      <c r="E946" s="56"/>
      <c r="F946" s="57"/>
      <c r="G946" s="57"/>
      <c r="H946" s="56"/>
      <c r="I946" s="56"/>
      <c r="J946" s="58"/>
      <c r="K946" s="58"/>
      <c r="L946" s="13" t="str">
        <f t="shared" si="140"/>
        <v/>
      </c>
      <c r="M946" s="13" t="str">
        <f t="shared" si="141"/>
        <v/>
      </c>
      <c r="Q946" t="str">
        <f t="shared" si="142"/>
        <v/>
      </c>
      <c r="R946" t="str">
        <f t="shared" si="143"/>
        <v/>
      </c>
      <c r="S946" t="str">
        <f t="shared" si="144"/>
        <v/>
      </c>
      <c r="T946" t="str">
        <f t="shared" si="145"/>
        <v/>
      </c>
      <c r="U946" t="str">
        <f t="shared" si="146"/>
        <v/>
      </c>
      <c r="V946" t="str">
        <f t="shared" si="147"/>
        <v/>
      </c>
      <c r="W946" t="str">
        <f t="shared" si="148"/>
        <v/>
      </c>
      <c r="X946">
        <f>IF($T946="",N($X945),IF(MATCH($T946,$T$6:$T$10005,0)=ROW()-5,N($X945)+1,N($X945)))</f>
        <v>0</v>
      </c>
      <c r="Z946" t="str">
        <f t="shared" si="149"/>
        <v/>
      </c>
      <c r="AA946">
        <f>IF($V946="",N($AA945),IF(MATCH($V946,$V$6:$V$10005,0)=ROW()-5,N($AA945)+1,N($AA945)))</f>
        <v>0</v>
      </c>
    </row>
    <row r="947" spans="1:27" ht="21" customHeight="1" x14ac:dyDescent="0.95">
      <c r="A947" s="56"/>
      <c r="B947" s="57"/>
      <c r="C947" s="57"/>
      <c r="D947" s="57"/>
      <c r="E947" s="56"/>
      <c r="F947" s="57"/>
      <c r="G947" s="57"/>
      <c r="H947" s="56"/>
      <c r="I947" s="56"/>
      <c r="J947" s="58"/>
      <c r="K947" s="58"/>
      <c r="L947" s="13" t="str">
        <f t="shared" si="140"/>
        <v/>
      </c>
      <c r="M947" s="13" t="str">
        <f t="shared" si="141"/>
        <v/>
      </c>
      <c r="Q947" t="str">
        <f t="shared" si="142"/>
        <v/>
      </c>
      <c r="R947" t="str">
        <f t="shared" si="143"/>
        <v/>
      </c>
      <c r="S947" t="str">
        <f t="shared" si="144"/>
        <v/>
      </c>
      <c r="T947" t="str">
        <f t="shared" si="145"/>
        <v/>
      </c>
      <c r="U947" t="str">
        <f t="shared" si="146"/>
        <v/>
      </c>
      <c r="V947" t="str">
        <f t="shared" si="147"/>
        <v/>
      </c>
      <c r="W947" t="str">
        <f t="shared" si="148"/>
        <v/>
      </c>
      <c r="X947">
        <f>IF($T947="",N($X946),IF(MATCH($T947,$T$6:$T$10005,0)=ROW()-5,N($X946)+1,N($X946)))</f>
        <v>0</v>
      </c>
      <c r="Z947" t="str">
        <f t="shared" si="149"/>
        <v/>
      </c>
      <c r="AA947">
        <f>IF($V947="",N($AA946),IF(MATCH($V947,$V$6:$V$10005,0)=ROW()-5,N($AA946)+1,N($AA946)))</f>
        <v>0</v>
      </c>
    </row>
    <row r="948" spans="1:27" ht="21" customHeight="1" x14ac:dyDescent="0.95">
      <c r="A948" s="56"/>
      <c r="B948" s="57"/>
      <c r="C948" s="57"/>
      <c r="D948" s="57"/>
      <c r="E948" s="56"/>
      <c r="F948" s="57"/>
      <c r="G948" s="57"/>
      <c r="H948" s="56"/>
      <c r="I948" s="56"/>
      <c r="J948" s="58"/>
      <c r="K948" s="58"/>
      <c r="L948" s="13" t="str">
        <f t="shared" si="140"/>
        <v/>
      </c>
      <c r="M948" s="13" t="str">
        <f t="shared" si="141"/>
        <v/>
      </c>
      <c r="Q948" t="str">
        <f t="shared" si="142"/>
        <v/>
      </c>
      <c r="R948" t="str">
        <f t="shared" si="143"/>
        <v/>
      </c>
      <c r="S948" t="str">
        <f t="shared" si="144"/>
        <v/>
      </c>
      <c r="T948" t="str">
        <f t="shared" si="145"/>
        <v/>
      </c>
      <c r="U948" t="str">
        <f t="shared" si="146"/>
        <v/>
      </c>
      <c r="V948" t="str">
        <f t="shared" si="147"/>
        <v/>
      </c>
      <c r="W948" t="str">
        <f t="shared" si="148"/>
        <v/>
      </c>
      <c r="X948">
        <f>IF($T948="",N($X947),IF(MATCH($T948,$T$6:$T$10005,0)=ROW()-5,N($X947)+1,N($X947)))</f>
        <v>0</v>
      </c>
      <c r="Z948" t="str">
        <f t="shared" si="149"/>
        <v/>
      </c>
      <c r="AA948">
        <f>IF($V948="",N($AA947),IF(MATCH($V948,$V$6:$V$10005,0)=ROW()-5,N($AA947)+1,N($AA947)))</f>
        <v>0</v>
      </c>
    </row>
    <row r="949" spans="1:27" ht="21" customHeight="1" x14ac:dyDescent="0.95">
      <c r="A949" s="56"/>
      <c r="B949" s="57"/>
      <c r="C949" s="57"/>
      <c r="D949" s="57"/>
      <c r="E949" s="56"/>
      <c r="F949" s="57"/>
      <c r="G949" s="57"/>
      <c r="H949" s="56"/>
      <c r="I949" s="56"/>
      <c r="J949" s="58"/>
      <c r="K949" s="58"/>
      <c r="L949" s="13" t="str">
        <f t="shared" si="140"/>
        <v/>
      </c>
      <c r="M949" s="13" t="str">
        <f t="shared" si="141"/>
        <v/>
      </c>
      <c r="Q949" t="str">
        <f t="shared" si="142"/>
        <v/>
      </c>
      <c r="R949" t="str">
        <f t="shared" si="143"/>
        <v/>
      </c>
      <c r="S949" t="str">
        <f t="shared" si="144"/>
        <v/>
      </c>
      <c r="T949" t="str">
        <f t="shared" si="145"/>
        <v/>
      </c>
      <c r="U949" t="str">
        <f t="shared" si="146"/>
        <v/>
      </c>
      <c r="V949" t="str">
        <f t="shared" si="147"/>
        <v/>
      </c>
      <c r="W949" t="str">
        <f t="shared" si="148"/>
        <v/>
      </c>
      <c r="X949">
        <f>IF($T949="",N($X948),IF(MATCH($T949,$T$6:$T$10005,0)=ROW()-5,N($X948)+1,N($X948)))</f>
        <v>0</v>
      </c>
      <c r="Z949" t="str">
        <f t="shared" si="149"/>
        <v/>
      </c>
      <c r="AA949">
        <f>IF($V949="",N($AA948),IF(MATCH($V949,$V$6:$V$10005,0)=ROW()-5,N($AA948)+1,N($AA948)))</f>
        <v>0</v>
      </c>
    </row>
    <row r="950" spans="1:27" ht="21" customHeight="1" x14ac:dyDescent="0.95">
      <c r="A950" s="56"/>
      <c r="B950" s="57"/>
      <c r="C950" s="57"/>
      <c r="D950" s="57"/>
      <c r="E950" s="56"/>
      <c r="F950" s="57"/>
      <c r="G950" s="57"/>
      <c r="H950" s="56"/>
      <c r="I950" s="56"/>
      <c r="J950" s="58"/>
      <c r="K950" s="58"/>
      <c r="L950" s="13" t="str">
        <f t="shared" si="140"/>
        <v/>
      </c>
      <c r="M950" s="13" t="str">
        <f t="shared" si="141"/>
        <v/>
      </c>
      <c r="Q950" t="str">
        <f t="shared" si="142"/>
        <v/>
      </c>
      <c r="R950" t="str">
        <f t="shared" si="143"/>
        <v/>
      </c>
      <c r="S950" t="str">
        <f t="shared" si="144"/>
        <v/>
      </c>
      <c r="T950" t="str">
        <f t="shared" si="145"/>
        <v/>
      </c>
      <c r="U950" t="str">
        <f t="shared" si="146"/>
        <v/>
      </c>
      <c r="V950" t="str">
        <f t="shared" si="147"/>
        <v/>
      </c>
      <c r="W950" t="str">
        <f t="shared" si="148"/>
        <v/>
      </c>
      <c r="X950">
        <f>IF($T950="",N($X949),IF(MATCH($T950,$T$6:$T$10005,0)=ROW()-5,N($X949)+1,N($X949)))</f>
        <v>0</v>
      </c>
      <c r="Z950" t="str">
        <f t="shared" si="149"/>
        <v/>
      </c>
      <c r="AA950">
        <f>IF($V950="",N($AA949),IF(MATCH($V950,$V$6:$V$10005,0)=ROW()-5,N($AA949)+1,N($AA949)))</f>
        <v>0</v>
      </c>
    </row>
    <row r="951" spans="1:27" ht="21" customHeight="1" x14ac:dyDescent="0.95">
      <c r="A951" s="56"/>
      <c r="B951" s="57"/>
      <c r="C951" s="57"/>
      <c r="D951" s="57"/>
      <c r="E951" s="56"/>
      <c r="F951" s="57"/>
      <c r="G951" s="57"/>
      <c r="H951" s="56"/>
      <c r="I951" s="56"/>
      <c r="J951" s="58"/>
      <c r="K951" s="58"/>
      <c r="L951" s="13" t="str">
        <f t="shared" si="140"/>
        <v/>
      </c>
      <c r="M951" s="13" t="str">
        <f t="shared" si="141"/>
        <v/>
      </c>
      <c r="Q951" t="str">
        <f t="shared" si="142"/>
        <v/>
      </c>
      <c r="R951" t="str">
        <f t="shared" si="143"/>
        <v/>
      </c>
      <c r="S951" t="str">
        <f t="shared" si="144"/>
        <v/>
      </c>
      <c r="T951" t="str">
        <f t="shared" si="145"/>
        <v/>
      </c>
      <c r="U951" t="str">
        <f t="shared" si="146"/>
        <v/>
      </c>
      <c r="V951" t="str">
        <f t="shared" si="147"/>
        <v/>
      </c>
      <c r="W951" t="str">
        <f t="shared" si="148"/>
        <v/>
      </c>
      <c r="X951">
        <f>IF($T951="",N($X950),IF(MATCH($T951,$T$6:$T$10005,0)=ROW()-5,N($X950)+1,N($X950)))</f>
        <v>0</v>
      </c>
      <c r="Z951" t="str">
        <f t="shared" si="149"/>
        <v/>
      </c>
      <c r="AA951">
        <f>IF($V951="",N($AA950),IF(MATCH($V951,$V$6:$V$10005,0)=ROW()-5,N($AA950)+1,N($AA950)))</f>
        <v>0</v>
      </c>
    </row>
    <row r="952" spans="1:27" ht="21" customHeight="1" x14ac:dyDescent="0.95">
      <c r="A952" s="56"/>
      <c r="B952" s="57"/>
      <c r="C952" s="57"/>
      <c r="D952" s="57"/>
      <c r="E952" s="56"/>
      <c r="F952" s="57"/>
      <c r="G952" s="57"/>
      <c r="H952" s="56"/>
      <c r="I952" s="56"/>
      <c r="J952" s="58"/>
      <c r="K952" s="58"/>
      <c r="L952" s="13" t="str">
        <f t="shared" si="140"/>
        <v/>
      </c>
      <c r="M952" s="13" t="str">
        <f t="shared" si="141"/>
        <v/>
      </c>
      <c r="Q952" t="str">
        <f t="shared" si="142"/>
        <v/>
      </c>
      <c r="R952" t="str">
        <f t="shared" si="143"/>
        <v/>
      </c>
      <c r="S952" t="str">
        <f t="shared" si="144"/>
        <v/>
      </c>
      <c r="T952" t="str">
        <f t="shared" si="145"/>
        <v/>
      </c>
      <c r="U952" t="str">
        <f t="shared" si="146"/>
        <v/>
      </c>
      <c r="V952" t="str">
        <f t="shared" si="147"/>
        <v/>
      </c>
      <c r="W952" t="str">
        <f t="shared" si="148"/>
        <v/>
      </c>
      <c r="X952">
        <f>IF($T952="",N($X951),IF(MATCH($T952,$T$6:$T$10005,0)=ROW()-5,N($X951)+1,N($X951)))</f>
        <v>0</v>
      </c>
      <c r="Z952" t="str">
        <f t="shared" si="149"/>
        <v/>
      </c>
      <c r="AA952">
        <f>IF($V952="",N($AA951),IF(MATCH($V952,$V$6:$V$10005,0)=ROW()-5,N($AA951)+1,N($AA951)))</f>
        <v>0</v>
      </c>
    </row>
    <row r="953" spans="1:27" ht="21" customHeight="1" x14ac:dyDescent="0.95">
      <c r="A953" s="56"/>
      <c r="B953" s="57"/>
      <c r="C953" s="57"/>
      <c r="D953" s="57"/>
      <c r="E953" s="56"/>
      <c r="F953" s="57"/>
      <c r="G953" s="57"/>
      <c r="H953" s="56"/>
      <c r="I953" s="56"/>
      <c r="J953" s="58"/>
      <c r="K953" s="58"/>
      <c r="L953" s="13" t="str">
        <f t="shared" si="140"/>
        <v/>
      </c>
      <c r="M953" s="13" t="str">
        <f t="shared" si="141"/>
        <v/>
      </c>
      <c r="Q953" t="str">
        <f t="shared" si="142"/>
        <v/>
      </c>
      <c r="R953" t="str">
        <f t="shared" si="143"/>
        <v/>
      </c>
      <c r="S953" t="str">
        <f t="shared" si="144"/>
        <v/>
      </c>
      <c r="T953" t="str">
        <f t="shared" si="145"/>
        <v/>
      </c>
      <c r="U953" t="str">
        <f t="shared" si="146"/>
        <v/>
      </c>
      <c r="V953" t="str">
        <f t="shared" si="147"/>
        <v/>
      </c>
      <c r="W953" t="str">
        <f t="shared" si="148"/>
        <v/>
      </c>
      <c r="X953">
        <f>IF($T953="",N($X952),IF(MATCH($T953,$T$6:$T$10005,0)=ROW()-5,N($X952)+1,N($X952)))</f>
        <v>0</v>
      </c>
      <c r="Z953" t="str">
        <f t="shared" si="149"/>
        <v/>
      </c>
      <c r="AA953">
        <f>IF($V953="",N($AA952),IF(MATCH($V953,$V$6:$V$10005,0)=ROW()-5,N($AA952)+1,N($AA952)))</f>
        <v>0</v>
      </c>
    </row>
    <row r="954" spans="1:27" ht="21" customHeight="1" x14ac:dyDescent="0.95">
      <c r="A954" s="56"/>
      <c r="B954" s="57"/>
      <c r="C954" s="57"/>
      <c r="D954" s="57"/>
      <c r="E954" s="56"/>
      <c r="F954" s="57"/>
      <c r="G954" s="57"/>
      <c r="H954" s="56"/>
      <c r="I954" s="56"/>
      <c r="J954" s="58"/>
      <c r="K954" s="58"/>
      <c r="L954" s="13" t="str">
        <f t="shared" si="140"/>
        <v/>
      </c>
      <c r="M954" s="13" t="str">
        <f t="shared" si="141"/>
        <v/>
      </c>
      <c r="Q954" t="str">
        <f t="shared" si="142"/>
        <v/>
      </c>
      <c r="R954" t="str">
        <f t="shared" si="143"/>
        <v/>
      </c>
      <c r="S954" t="str">
        <f t="shared" si="144"/>
        <v/>
      </c>
      <c r="T954" t="str">
        <f t="shared" si="145"/>
        <v/>
      </c>
      <c r="U954" t="str">
        <f t="shared" si="146"/>
        <v/>
      </c>
      <c r="V954" t="str">
        <f t="shared" si="147"/>
        <v/>
      </c>
      <c r="W954" t="str">
        <f t="shared" si="148"/>
        <v/>
      </c>
      <c r="X954">
        <f>IF($T954="",N($X953),IF(MATCH($T954,$T$6:$T$10005,0)=ROW()-5,N($X953)+1,N($X953)))</f>
        <v>0</v>
      </c>
      <c r="Z954" t="str">
        <f t="shared" si="149"/>
        <v/>
      </c>
      <c r="AA954">
        <f>IF($V954="",N($AA953),IF(MATCH($V954,$V$6:$V$10005,0)=ROW()-5,N($AA953)+1,N($AA953)))</f>
        <v>0</v>
      </c>
    </row>
    <row r="955" spans="1:27" ht="21" customHeight="1" x14ac:dyDescent="0.95">
      <c r="A955" s="56"/>
      <c r="B955" s="57"/>
      <c r="C955" s="57"/>
      <c r="D955" s="57"/>
      <c r="E955" s="56"/>
      <c r="F955" s="57"/>
      <c r="G955" s="57"/>
      <c r="H955" s="56"/>
      <c r="I955" s="56"/>
      <c r="J955" s="58"/>
      <c r="K955" s="58"/>
      <c r="L955" s="13" t="str">
        <f t="shared" si="140"/>
        <v/>
      </c>
      <c r="M955" s="13" t="str">
        <f t="shared" si="141"/>
        <v/>
      </c>
      <c r="Q955" t="str">
        <f t="shared" si="142"/>
        <v/>
      </c>
      <c r="R955" t="str">
        <f t="shared" si="143"/>
        <v/>
      </c>
      <c r="S955" t="str">
        <f t="shared" si="144"/>
        <v/>
      </c>
      <c r="T955" t="str">
        <f t="shared" si="145"/>
        <v/>
      </c>
      <c r="U955" t="str">
        <f t="shared" si="146"/>
        <v/>
      </c>
      <c r="V955" t="str">
        <f t="shared" si="147"/>
        <v/>
      </c>
      <c r="W955" t="str">
        <f t="shared" si="148"/>
        <v/>
      </c>
      <c r="X955">
        <f>IF($T955="",N($X954),IF(MATCH($T955,$T$6:$T$10005,0)=ROW()-5,N($X954)+1,N($X954)))</f>
        <v>0</v>
      </c>
      <c r="Z955" t="str">
        <f t="shared" si="149"/>
        <v/>
      </c>
      <c r="AA955">
        <f>IF($V955="",N($AA954),IF(MATCH($V955,$V$6:$V$10005,0)=ROW()-5,N($AA954)+1,N($AA954)))</f>
        <v>0</v>
      </c>
    </row>
    <row r="956" spans="1:27" ht="21" customHeight="1" x14ac:dyDescent="0.95">
      <c r="A956" s="56"/>
      <c r="B956" s="57"/>
      <c r="C956" s="57"/>
      <c r="D956" s="57"/>
      <c r="E956" s="56"/>
      <c r="F956" s="57"/>
      <c r="G956" s="57"/>
      <c r="H956" s="56"/>
      <c r="I956" s="56"/>
      <c r="J956" s="58"/>
      <c r="K956" s="58"/>
      <c r="L956" s="13" t="str">
        <f t="shared" si="140"/>
        <v/>
      </c>
      <c r="M956" s="13" t="str">
        <f t="shared" si="141"/>
        <v/>
      </c>
      <c r="Q956" t="str">
        <f t="shared" si="142"/>
        <v/>
      </c>
      <c r="R956" t="str">
        <f t="shared" si="143"/>
        <v/>
      </c>
      <c r="S956" t="str">
        <f t="shared" si="144"/>
        <v/>
      </c>
      <c r="T956" t="str">
        <f t="shared" si="145"/>
        <v/>
      </c>
      <c r="U956" t="str">
        <f t="shared" si="146"/>
        <v/>
      </c>
      <c r="V956" t="str">
        <f t="shared" si="147"/>
        <v/>
      </c>
      <c r="W956" t="str">
        <f t="shared" si="148"/>
        <v/>
      </c>
      <c r="X956">
        <f>IF($T956="",N($X955),IF(MATCH($T956,$T$6:$T$10005,0)=ROW()-5,N($X955)+1,N($X955)))</f>
        <v>0</v>
      </c>
      <c r="Z956" t="str">
        <f t="shared" si="149"/>
        <v/>
      </c>
      <c r="AA956">
        <f>IF($V956="",N($AA955),IF(MATCH($V956,$V$6:$V$10005,0)=ROW()-5,N($AA955)+1,N($AA955)))</f>
        <v>0</v>
      </c>
    </row>
    <row r="957" spans="1:27" ht="21" customHeight="1" x14ac:dyDescent="0.95">
      <c r="A957" s="56"/>
      <c r="B957" s="57"/>
      <c r="C957" s="57"/>
      <c r="D957" s="57"/>
      <c r="E957" s="56"/>
      <c r="F957" s="57"/>
      <c r="G957" s="57"/>
      <c r="H957" s="56"/>
      <c r="I957" s="56"/>
      <c r="J957" s="58"/>
      <c r="K957" s="58"/>
      <c r="L957" s="13" t="str">
        <f t="shared" si="140"/>
        <v/>
      </c>
      <c r="M957" s="13" t="str">
        <f t="shared" si="141"/>
        <v/>
      </c>
      <c r="Q957" t="str">
        <f t="shared" si="142"/>
        <v/>
      </c>
      <c r="R957" t="str">
        <f t="shared" si="143"/>
        <v/>
      </c>
      <c r="S957" t="str">
        <f t="shared" si="144"/>
        <v/>
      </c>
      <c r="T957" t="str">
        <f t="shared" si="145"/>
        <v/>
      </c>
      <c r="U957" t="str">
        <f t="shared" si="146"/>
        <v/>
      </c>
      <c r="V957" t="str">
        <f t="shared" si="147"/>
        <v/>
      </c>
      <c r="W957" t="str">
        <f t="shared" si="148"/>
        <v/>
      </c>
      <c r="X957">
        <f>IF($T957="",N($X956),IF(MATCH($T957,$T$6:$T$10005,0)=ROW()-5,N($X956)+1,N($X956)))</f>
        <v>0</v>
      </c>
      <c r="Z957" t="str">
        <f t="shared" si="149"/>
        <v/>
      </c>
      <c r="AA957">
        <f>IF($V957="",N($AA956),IF(MATCH($V957,$V$6:$V$10005,0)=ROW()-5,N($AA956)+1,N($AA956)))</f>
        <v>0</v>
      </c>
    </row>
    <row r="958" spans="1:27" ht="21" customHeight="1" x14ac:dyDescent="0.95">
      <c r="A958" s="56"/>
      <c r="B958" s="57"/>
      <c r="C958" s="57"/>
      <c r="D958" s="57"/>
      <c r="E958" s="56"/>
      <c r="F958" s="57"/>
      <c r="G958" s="57"/>
      <c r="H958" s="56"/>
      <c r="I958" s="56"/>
      <c r="J958" s="58"/>
      <c r="K958" s="58"/>
      <c r="L958" s="13" t="str">
        <f t="shared" si="140"/>
        <v/>
      </c>
      <c r="M958" s="13" t="str">
        <f t="shared" si="141"/>
        <v/>
      </c>
      <c r="Q958" t="str">
        <f t="shared" si="142"/>
        <v/>
      </c>
      <c r="R958" t="str">
        <f t="shared" si="143"/>
        <v/>
      </c>
      <c r="S958" t="str">
        <f t="shared" si="144"/>
        <v/>
      </c>
      <c r="T958" t="str">
        <f t="shared" si="145"/>
        <v/>
      </c>
      <c r="U958" t="str">
        <f t="shared" si="146"/>
        <v/>
      </c>
      <c r="V958" t="str">
        <f t="shared" si="147"/>
        <v/>
      </c>
      <c r="W958" t="str">
        <f t="shared" si="148"/>
        <v/>
      </c>
      <c r="X958">
        <f>IF($T958="",N($X957),IF(MATCH($T958,$T$6:$T$10005,0)=ROW()-5,N($X957)+1,N($X957)))</f>
        <v>0</v>
      </c>
      <c r="Z958" t="str">
        <f t="shared" si="149"/>
        <v/>
      </c>
      <c r="AA958">
        <f>IF($V958="",N($AA957),IF(MATCH($V958,$V$6:$V$10005,0)=ROW()-5,N($AA957)+1,N($AA957)))</f>
        <v>0</v>
      </c>
    </row>
    <row r="959" spans="1:27" ht="21" customHeight="1" x14ac:dyDescent="0.95">
      <c r="A959" s="56"/>
      <c r="B959" s="57"/>
      <c r="C959" s="57"/>
      <c r="D959" s="57"/>
      <c r="E959" s="56"/>
      <c r="F959" s="57"/>
      <c r="G959" s="57"/>
      <c r="H959" s="56"/>
      <c r="I959" s="56"/>
      <c r="J959" s="58"/>
      <c r="K959" s="58"/>
      <c r="L959" s="13" t="str">
        <f t="shared" si="140"/>
        <v/>
      </c>
      <c r="M959" s="13" t="str">
        <f t="shared" si="141"/>
        <v/>
      </c>
      <c r="Q959" t="str">
        <f t="shared" si="142"/>
        <v/>
      </c>
      <c r="R959" t="str">
        <f t="shared" si="143"/>
        <v/>
      </c>
      <c r="S959" t="str">
        <f t="shared" si="144"/>
        <v/>
      </c>
      <c r="T959" t="str">
        <f t="shared" si="145"/>
        <v/>
      </c>
      <c r="U959" t="str">
        <f t="shared" si="146"/>
        <v/>
      </c>
      <c r="V959" t="str">
        <f t="shared" si="147"/>
        <v/>
      </c>
      <c r="W959" t="str">
        <f t="shared" si="148"/>
        <v/>
      </c>
      <c r="X959">
        <f>IF($T959="",N($X958),IF(MATCH($T959,$T$6:$T$10005,0)=ROW()-5,N($X958)+1,N($X958)))</f>
        <v>0</v>
      </c>
      <c r="Z959" t="str">
        <f t="shared" si="149"/>
        <v/>
      </c>
      <c r="AA959">
        <f>IF($V959="",N($AA958),IF(MATCH($V959,$V$6:$V$10005,0)=ROW()-5,N($AA958)+1,N($AA958)))</f>
        <v>0</v>
      </c>
    </row>
    <row r="960" spans="1:27" ht="21" customHeight="1" x14ac:dyDescent="0.95">
      <c r="A960" s="56"/>
      <c r="B960" s="57"/>
      <c r="C960" s="57"/>
      <c r="D960" s="57"/>
      <c r="E960" s="56"/>
      <c r="F960" s="57"/>
      <c r="G960" s="57"/>
      <c r="H960" s="56"/>
      <c r="I960" s="56"/>
      <c r="J960" s="58"/>
      <c r="K960" s="58"/>
      <c r="L960" s="13" t="str">
        <f t="shared" si="140"/>
        <v/>
      </c>
      <c r="M960" s="13" t="str">
        <f t="shared" si="141"/>
        <v/>
      </c>
      <c r="Q960" t="str">
        <f t="shared" si="142"/>
        <v/>
      </c>
      <c r="R960" t="str">
        <f t="shared" si="143"/>
        <v/>
      </c>
      <c r="S960" t="str">
        <f t="shared" si="144"/>
        <v/>
      </c>
      <c r="T960" t="str">
        <f t="shared" si="145"/>
        <v/>
      </c>
      <c r="U960" t="str">
        <f t="shared" si="146"/>
        <v/>
      </c>
      <c r="V960" t="str">
        <f t="shared" si="147"/>
        <v/>
      </c>
      <c r="W960" t="str">
        <f t="shared" si="148"/>
        <v/>
      </c>
      <c r="X960">
        <f>IF($T960="",N($X959),IF(MATCH($T960,$T$6:$T$10005,0)=ROW()-5,N($X959)+1,N($X959)))</f>
        <v>0</v>
      </c>
      <c r="Z960" t="str">
        <f t="shared" si="149"/>
        <v/>
      </c>
      <c r="AA960">
        <f>IF($V960="",N($AA959),IF(MATCH($V960,$V$6:$V$10005,0)=ROW()-5,N($AA959)+1,N($AA959)))</f>
        <v>0</v>
      </c>
    </row>
    <row r="961" spans="1:27" ht="21" customHeight="1" x14ac:dyDescent="0.95">
      <c r="A961" s="56"/>
      <c r="B961" s="57"/>
      <c r="C961" s="57"/>
      <c r="D961" s="57"/>
      <c r="E961" s="56"/>
      <c r="F961" s="57"/>
      <c r="G961" s="57"/>
      <c r="H961" s="56"/>
      <c r="I961" s="56"/>
      <c r="J961" s="58"/>
      <c r="K961" s="58"/>
      <c r="L961" s="13" t="str">
        <f t="shared" si="140"/>
        <v/>
      </c>
      <c r="M961" s="13" t="str">
        <f t="shared" si="141"/>
        <v/>
      </c>
      <c r="Q961" t="str">
        <f t="shared" si="142"/>
        <v/>
      </c>
      <c r="R961" t="str">
        <f t="shared" si="143"/>
        <v/>
      </c>
      <c r="S961" t="str">
        <f t="shared" si="144"/>
        <v/>
      </c>
      <c r="T961" t="str">
        <f t="shared" si="145"/>
        <v/>
      </c>
      <c r="U961" t="str">
        <f t="shared" si="146"/>
        <v/>
      </c>
      <c r="V961" t="str">
        <f t="shared" si="147"/>
        <v/>
      </c>
      <c r="W961" t="str">
        <f t="shared" si="148"/>
        <v/>
      </c>
      <c r="X961">
        <f>IF($T961="",N($X960),IF(MATCH($T961,$T$6:$T$10005,0)=ROW()-5,N($X960)+1,N($X960)))</f>
        <v>0</v>
      </c>
      <c r="Z961" t="str">
        <f t="shared" si="149"/>
        <v/>
      </c>
      <c r="AA961">
        <f>IF($V961="",N($AA960),IF(MATCH($V961,$V$6:$V$10005,0)=ROW()-5,N($AA960)+1,N($AA960)))</f>
        <v>0</v>
      </c>
    </row>
    <row r="962" spans="1:27" ht="21" customHeight="1" x14ac:dyDescent="0.95">
      <c r="A962" s="56"/>
      <c r="B962" s="57"/>
      <c r="C962" s="57"/>
      <c r="D962" s="57"/>
      <c r="E962" s="56"/>
      <c r="F962" s="57"/>
      <c r="G962" s="57"/>
      <c r="H962" s="56"/>
      <c r="I962" s="56"/>
      <c r="J962" s="58"/>
      <c r="K962" s="58"/>
      <c r="L962" s="13" t="str">
        <f t="shared" si="140"/>
        <v/>
      </c>
      <c r="M962" s="13" t="str">
        <f t="shared" si="141"/>
        <v/>
      </c>
      <c r="Q962" t="str">
        <f t="shared" si="142"/>
        <v/>
      </c>
      <c r="R962" t="str">
        <f t="shared" si="143"/>
        <v/>
      </c>
      <c r="S962" t="str">
        <f t="shared" si="144"/>
        <v/>
      </c>
      <c r="T962" t="str">
        <f t="shared" si="145"/>
        <v/>
      </c>
      <c r="U962" t="str">
        <f t="shared" si="146"/>
        <v/>
      </c>
      <c r="V962" t="str">
        <f t="shared" si="147"/>
        <v/>
      </c>
      <c r="W962" t="str">
        <f t="shared" si="148"/>
        <v/>
      </c>
      <c r="X962">
        <f>IF($T962="",N($X961),IF(MATCH($T962,$T$6:$T$10005,0)=ROW()-5,N($X961)+1,N($X961)))</f>
        <v>0</v>
      </c>
      <c r="Z962" t="str">
        <f t="shared" si="149"/>
        <v/>
      </c>
      <c r="AA962">
        <f>IF($V962="",N($AA961),IF(MATCH($V962,$V$6:$V$10005,0)=ROW()-5,N($AA961)+1,N($AA961)))</f>
        <v>0</v>
      </c>
    </row>
    <row r="963" spans="1:27" ht="21" customHeight="1" x14ac:dyDescent="0.95">
      <c r="A963" s="56"/>
      <c r="B963" s="57"/>
      <c r="C963" s="57"/>
      <c r="D963" s="57"/>
      <c r="E963" s="56"/>
      <c r="F963" s="57"/>
      <c r="G963" s="57"/>
      <c r="H963" s="56"/>
      <c r="I963" s="56"/>
      <c r="J963" s="58"/>
      <c r="K963" s="58"/>
      <c r="L963" s="13" t="str">
        <f t="shared" si="140"/>
        <v/>
      </c>
      <c r="M963" s="13" t="str">
        <f t="shared" si="141"/>
        <v/>
      </c>
      <c r="Q963" t="str">
        <f t="shared" si="142"/>
        <v/>
      </c>
      <c r="R963" t="str">
        <f t="shared" si="143"/>
        <v/>
      </c>
      <c r="S963" t="str">
        <f t="shared" si="144"/>
        <v/>
      </c>
      <c r="T963" t="str">
        <f t="shared" si="145"/>
        <v/>
      </c>
      <c r="U963" t="str">
        <f t="shared" si="146"/>
        <v/>
      </c>
      <c r="V963" t="str">
        <f t="shared" si="147"/>
        <v/>
      </c>
      <c r="W963" t="str">
        <f t="shared" si="148"/>
        <v/>
      </c>
      <c r="X963">
        <f>IF($T963="",N($X962),IF(MATCH($T963,$T$6:$T$10005,0)=ROW()-5,N($X962)+1,N($X962)))</f>
        <v>0</v>
      </c>
      <c r="Z963" t="str">
        <f t="shared" si="149"/>
        <v/>
      </c>
      <c r="AA963">
        <f>IF($V963="",N($AA962),IF(MATCH($V963,$V$6:$V$10005,0)=ROW()-5,N($AA962)+1,N($AA962)))</f>
        <v>0</v>
      </c>
    </row>
    <row r="964" spans="1:27" ht="21" customHeight="1" x14ac:dyDescent="0.95">
      <c r="A964" s="56"/>
      <c r="B964" s="57"/>
      <c r="C964" s="57"/>
      <c r="D964" s="57"/>
      <c r="E964" s="56"/>
      <c r="F964" s="57"/>
      <c r="G964" s="57"/>
      <c r="H964" s="56"/>
      <c r="I964" s="56"/>
      <c r="J964" s="58"/>
      <c r="K964" s="58"/>
      <c r="L964" s="13" t="str">
        <f t="shared" si="140"/>
        <v/>
      </c>
      <c r="M964" s="13" t="str">
        <f t="shared" si="141"/>
        <v/>
      </c>
      <c r="Q964" t="str">
        <f t="shared" si="142"/>
        <v/>
      </c>
      <c r="R964" t="str">
        <f t="shared" si="143"/>
        <v/>
      </c>
      <c r="S964" t="str">
        <f t="shared" si="144"/>
        <v/>
      </c>
      <c r="T964" t="str">
        <f t="shared" si="145"/>
        <v/>
      </c>
      <c r="U964" t="str">
        <f t="shared" si="146"/>
        <v/>
      </c>
      <c r="V964" t="str">
        <f t="shared" si="147"/>
        <v/>
      </c>
      <c r="W964" t="str">
        <f t="shared" si="148"/>
        <v/>
      </c>
      <c r="X964">
        <f>IF($T964="",N($X963),IF(MATCH($T964,$T$6:$T$10005,0)=ROW()-5,N($X963)+1,N($X963)))</f>
        <v>0</v>
      </c>
      <c r="Z964" t="str">
        <f t="shared" si="149"/>
        <v/>
      </c>
      <c r="AA964">
        <f>IF($V964="",N($AA963),IF(MATCH($V964,$V$6:$V$10005,0)=ROW()-5,N($AA963)+1,N($AA963)))</f>
        <v>0</v>
      </c>
    </row>
    <row r="965" spans="1:27" ht="21" customHeight="1" x14ac:dyDescent="0.95">
      <c r="A965" s="56"/>
      <c r="B965" s="57"/>
      <c r="C965" s="57"/>
      <c r="D965" s="57"/>
      <c r="E965" s="56"/>
      <c r="F965" s="57"/>
      <c r="G965" s="57"/>
      <c r="H965" s="56"/>
      <c r="I965" s="56"/>
      <c r="J965" s="58"/>
      <c r="K965" s="58"/>
      <c r="L965" s="13" t="str">
        <f t="shared" si="140"/>
        <v/>
      </c>
      <c r="M965" s="13" t="str">
        <f t="shared" si="141"/>
        <v/>
      </c>
      <c r="Q965" t="str">
        <f t="shared" si="142"/>
        <v/>
      </c>
      <c r="R965" t="str">
        <f t="shared" si="143"/>
        <v/>
      </c>
      <c r="S965" t="str">
        <f t="shared" si="144"/>
        <v/>
      </c>
      <c r="T965" t="str">
        <f t="shared" si="145"/>
        <v/>
      </c>
      <c r="U965" t="str">
        <f t="shared" si="146"/>
        <v/>
      </c>
      <c r="V965" t="str">
        <f t="shared" si="147"/>
        <v/>
      </c>
      <c r="W965" t="str">
        <f t="shared" si="148"/>
        <v/>
      </c>
      <c r="X965">
        <f>IF($T965="",N($X964),IF(MATCH($T965,$T$6:$T$10005,0)=ROW()-5,N($X964)+1,N($X964)))</f>
        <v>0</v>
      </c>
      <c r="Z965" t="str">
        <f t="shared" si="149"/>
        <v/>
      </c>
      <c r="AA965">
        <f>IF($V965="",N($AA964),IF(MATCH($V965,$V$6:$V$10005,0)=ROW()-5,N($AA964)+1,N($AA964)))</f>
        <v>0</v>
      </c>
    </row>
    <row r="966" spans="1:27" ht="21" customHeight="1" x14ac:dyDescent="0.95">
      <c r="A966" s="56"/>
      <c r="B966" s="57"/>
      <c r="C966" s="57"/>
      <c r="D966" s="57"/>
      <c r="E966" s="56"/>
      <c r="F966" s="57"/>
      <c r="G966" s="57"/>
      <c r="H966" s="56"/>
      <c r="I966" s="56"/>
      <c r="J966" s="58"/>
      <c r="K966" s="58"/>
      <c r="L966" s="13" t="str">
        <f t="shared" ref="L966:L1029" si="150">IF(OR($A966="",AND($J966="",$K966="")),"",ROUND(N($J966)-N($K966),2))</f>
        <v/>
      </c>
      <c r="M966" s="13" t="str">
        <f t="shared" ref="M966:M1029" si="151">IF(OR($A966="",AND($J966="",$K966="")),"",MIN($J966,$K966))</f>
        <v/>
      </c>
      <c r="Q966" t="str">
        <f t="shared" ref="Q966:Q1029" si="152">IF($A966="","",$D966&amp;"("&amp;SUBSTITUTE($E966," ","")&amp;")")</f>
        <v/>
      </c>
      <c r="R966" t="str">
        <f t="shared" ref="R966:R1029" si="153">IF($A966="","",$B966&amp;" - "&amp;$C966)</f>
        <v/>
      </c>
      <c r="S966" t="str">
        <f t="shared" ref="S966:S1029" si="154">IF($A966="","",$R966&amp;"|"&amp;$Q966)</f>
        <v/>
      </c>
      <c r="T966" t="str">
        <f t="shared" ref="T966:T1029" si="155">IF($A966="","",$S966&amp;"|"&amp;$F966)</f>
        <v/>
      </c>
      <c r="U966" t="str">
        <f t="shared" ref="U966:U1029" si="156">IF($A966="","",$R966&amp;"("&amp;$E966&amp;")")</f>
        <v/>
      </c>
      <c r="V966" t="str">
        <f t="shared" ref="V966:V1029" si="157">IF($A966="","",$F966&amp;"|"&amp;$U966&amp;"|"&amp;$D966)</f>
        <v/>
      </c>
      <c r="W966" t="str">
        <f t="shared" ref="W966:W1029" si="158">IF($T966="","",IF($X966&gt;N($X965),$X966,""))</f>
        <v/>
      </c>
      <c r="X966">
        <f>IF($T966="",N($X965),IF(MATCH($T966,$T$6:$T$10005,0)=ROW()-5,N($X965)+1,N($X965)))</f>
        <v>0</v>
      </c>
      <c r="Z966" t="str">
        <f t="shared" ref="Z966:Z1029" si="159">IF($V966="","",IF($AA966&gt;N($AA965),$AA966,""))</f>
        <v/>
      </c>
      <c r="AA966">
        <f>IF($V966="",N($AA965),IF(MATCH($V966,$V$6:$V$10005,0)=ROW()-5,N($AA965)+1,N($AA965)))</f>
        <v>0</v>
      </c>
    </row>
    <row r="967" spans="1:27" ht="21" customHeight="1" x14ac:dyDescent="0.95">
      <c r="A967" s="56"/>
      <c r="B967" s="57"/>
      <c r="C967" s="57"/>
      <c r="D967" s="57"/>
      <c r="E967" s="56"/>
      <c r="F967" s="57"/>
      <c r="G967" s="57"/>
      <c r="H967" s="56"/>
      <c r="I967" s="56"/>
      <c r="J967" s="58"/>
      <c r="K967" s="58"/>
      <c r="L967" s="13" t="str">
        <f t="shared" si="150"/>
        <v/>
      </c>
      <c r="M967" s="13" t="str">
        <f t="shared" si="151"/>
        <v/>
      </c>
      <c r="Q967" t="str">
        <f t="shared" si="152"/>
        <v/>
      </c>
      <c r="R967" t="str">
        <f t="shared" si="153"/>
        <v/>
      </c>
      <c r="S967" t="str">
        <f t="shared" si="154"/>
        <v/>
      </c>
      <c r="T967" t="str">
        <f t="shared" si="155"/>
        <v/>
      </c>
      <c r="U967" t="str">
        <f t="shared" si="156"/>
        <v/>
      </c>
      <c r="V967" t="str">
        <f t="shared" si="157"/>
        <v/>
      </c>
      <c r="W967" t="str">
        <f t="shared" si="158"/>
        <v/>
      </c>
      <c r="X967">
        <f>IF($T967="",N($X966),IF(MATCH($T967,$T$6:$T$10005,0)=ROW()-5,N($X966)+1,N($X966)))</f>
        <v>0</v>
      </c>
      <c r="Z967" t="str">
        <f t="shared" si="159"/>
        <v/>
      </c>
      <c r="AA967">
        <f>IF($V967="",N($AA966),IF(MATCH($V967,$V$6:$V$10005,0)=ROW()-5,N($AA966)+1,N($AA966)))</f>
        <v>0</v>
      </c>
    </row>
    <row r="968" spans="1:27" ht="21" customHeight="1" x14ac:dyDescent="0.95">
      <c r="A968" s="56"/>
      <c r="B968" s="57"/>
      <c r="C968" s="57"/>
      <c r="D968" s="57"/>
      <c r="E968" s="56"/>
      <c r="F968" s="57"/>
      <c r="G968" s="57"/>
      <c r="H968" s="56"/>
      <c r="I968" s="56"/>
      <c r="J968" s="58"/>
      <c r="K968" s="58"/>
      <c r="L968" s="13" t="str">
        <f t="shared" si="150"/>
        <v/>
      </c>
      <c r="M968" s="13" t="str">
        <f t="shared" si="151"/>
        <v/>
      </c>
      <c r="Q968" t="str">
        <f t="shared" si="152"/>
        <v/>
      </c>
      <c r="R968" t="str">
        <f t="shared" si="153"/>
        <v/>
      </c>
      <c r="S968" t="str">
        <f t="shared" si="154"/>
        <v/>
      </c>
      <c r="T968" t="str">
        <f t="shared" si="155"/>
        <v/>
      </c>
      <c r="U968" t="str">
        <f t="shared" si="156"/>
        <v/>
      </c>
      <c r="V968" t="str">
        <f t="shared" si="157"/>
        <v/>
      </c>
      <c r="W968" t="str">
        <f t="shared" si="158"/>
        <v/>
      </c>
      <c r="X968">
        <f>IF($T968="",N($X967),IF(MATCH($T968,$T$6:$T$10005,0)=ROW()-5,N($X967)+1,N($X967)))</f>
        <v>0</v>
      </c>
      <c r="Z968" t="str">
        <f t="shared" si="159"/>
        <v/>
      </c>
      <c r="AA968">
        <f>IF($V968="",N($AA967),IF(MATCH($V968,$V$6:$V$10005,0)=ROW()-5,N($AA967)+1,N($AA967)))</f>
        <v>0</v>
      </c>
    </row>
    <row r="969" spans="1:27" ht="21" customHeight="1" x14ac:dyDescent="0.95">
      <c r="A969" s="56"/>
      <c r="B969" s="57"/>
      <c r="C969" s="57"/>
      <c r="D969" s="57"/>
      <c r="E969" s="56"/>
      <c r="F969" s="57"/>
      <c r="G969" s="57"/>
      <c r="H969" s="56"/>
      <c r="I969" s="56"/>
      <c r="J969" s="58"/>
      <c r="K969" s="58"/>
      <c r="L969" s="13" t="str">
        <f t="shared" si="150"/>
        <v/>
      </c>
      <c r="M969" s="13" t="str">
        <f t="shared" si="151"/>
        <v/>
      </c>
      <c r="Q969" t="str">
        <f t="shared" si="152"/>
        <v/>
      </c>
      <c r="R969" t="str">
        <f t="shared" si="153"/>
        <v/>
      </c>
      <c r="S969" t="str">
        <f t="shared" si="154"/>
        <v/>
      </c>
      <c r="T969" t="str">
        <f t="shared" si="155"/>
        <v/>
      </c>
      <c r="U969" t="str">
        <f t="shared" si="156"/>
        <v/>
      </c>
      <c r="V969" t="str">
        <f t="shared" si="157"/>
        <v/>
      </c>
      <c r="W969" t="str">
        <f t="shared" si="158"/>
        <v/>
      </c>
      <c r="X969">
        <f>IF($T969="",N($X968),IF(MATCH($T969,$T$6:$T$10005,0)=ROW()-5,N($X968)+1,N($X968)))</f>
        <v>0</v>
      </c>
      <c r="Z969" t="str">
        <f t="shared" si="159"/>
        <v/>
      </c>
      <c r="AA969">
        <f>IF($V969="",N($AA968),IF(MATCH($V969,$V$6:$V$10005,0)=ROW()-5,N($AA968)+1,N($AA968)))</f>
        <v>0</v>
      </c>
    </row>
    <row r="970" spans="1:27" ht="21" customHeight="1" x14ac:dyDescent="0.95">
      <c r="A970" s="56"/>
      <c r="B970" s="57"/>
      <c r="C970" s="57"/>
      <c r="D970" s="57"/>
      <c r="E970" s="56"/>
      <c r="F970" s="57"/>
      <c r="G970" s="57"/>
      <c r="H970" s="56"/>
      <c r="I970" s="56"/>
      <c r="J970" s="58"/>
      <c r="K970" s="58"/>
      <c r="L970" s="13" t="str">
        <f t="shared" si="150"/>
        <v/>
      </c>
      <c r="M970" s="13" t="str">
        <f t="shared" si="151"/>
        <v/>
      </c>
      <c r="Q970" t="str">
        <f t="shared" si="152"/>
        <v/>
      </c>
      <c r="R970" t="str">
        <f t="shared" si="153"/>
        <v/>
      </c>
      <c r="S970" t="str">
        <f t="shared" si="154"/>
        <v/>
      </c>
      <c r="T970" t="str">
        <f t="shared" si="155"/>
        <v/>
      </c>
      <c r="U970" t="str">
        <f t="shared" si="156"/>
        <v/>
      </c>
      <c r="V970" t="str">
        <f t="shared" si="157"/>
        <v/>
      </c>
      <c r="W970" t="str">
        <f t="shared" si="158"/>
        <v/>
      </c>
      <c r="X970">
        <f>IF($T970="",N($X969),IF(MATCH($T970,$T$6:$T$10005,0)=ROW()-5,N($X969)+1,N($X969)))</f>
        <v>0</v>
      </c>
      <c r="Z970" t="str">
        <f t="shared" si="159"/>
        <v/>
      </c>
      <c r="AA970">
        <f>IF($V970="",N($AA969),IF(MATCH($V970,$V$6:$V$10005,0)=ROW()-5,N($AA969)+1,N($AA969)))</f>
        <v>0</v>
      </c>
    </row>
    <row r="971" spans="1:27" ht="21" customHeight="1" x14ac:dyDescent="0.95">
      <c r="A971" s="56"/>
      <c r="B971" s="57"/>
      <c r="C971" s="57"/>
      <c r="D971" s="57"/>
      <c r="E971" s="56"/>
      <c r="F971" s="57"/>
      <c r="G971" s="57"/>
      <c r="H971" s="56"/>
      <c r="I971" s="56"/>
      <c r="J971" s="58"/>
      <c r="K971" s="58"/>
      <c r="L971" s="13" t="str">
        <f t="shared" si="150"/>
        <v/>
      </c>
      <c r="M971" s="13" t="str">
        <f t="shared" si="151"/>
        <v/>
      </c>
      <c r="Q971" t="str">
        <f t="shared" si="152"/>
        <v/>
      </c>
      <c r="R971" t="str">
        <f t="shared" si="153"/>
        <v/>
      </c>
      <c r="S971" t="str">
        <f t="shared" si="154"/>
        <v/>
      </c>
      <c r="T971" t="str">
        <f t="shared" si="155"/>
        <v/>
      </c>
      <c r="U971" t="str">
        <f t="shared" si="156"/>
        <v/>
      </c>
      <c r="V971" t="str">
        <f t="shared" si="157"/>
        <v/>
      </c>
      <c r="W971" t="str">
        <f t="shared" si="158"/>
        <v/>
      </c>
      <c r="X971">
        <f>IF($T971="",N($X970),IF(MATCH($T971,$T$6:$T$10005,0)=ROW()-5,N($X970)+1,N($X970)))</f>
        <v>0</v>
      </c>
      <c r="Z971" t="str">
        <f t="shared" si="159"/>
        <v/>
      </c>
      <c r="AA971">
        <f>IF($V971="",N($AA970),IF(MATCH($V971,$V$6:$V$10005,0)=ROW()-5,N($AA970)+1,N($AA970)))</f>
        <v>0</v>
      </c>
    </row>
    <row r="972" spans="1:27" ht="21" customHeight="1" x14ac:dyDescent="0.95">
      <c r="A972" s="56"/>
      <c r="B972" s="57"/>
      <c r="C972" s="57"/>
      <c r="D972" s="57"/>
      <c r="E972" s="56"/>
      <c r="F972" s="57"/>
      <c r="G972" s="57"/>
      <c r="H972" s="56"/>
      <c r="I972" s="56"/>
      <c r="J972" s="58"/>
      <c r="K972" s="58"/>
      <c r="L972" s="13" t="str">
        <f t="shared" si="150"/>
        <v/>
      </c>
      <c r="M972" s="13" t="str">
        <f t="shared" si="151"/>
        <v/>
      </c>
      <c r="Q972" t="str">
        <f t="shared" si="152"/>
        <v/>
      </c>
      <c r="R972" t="str">
        <f t="shared" si="153"/>
        <v/>
      </c>
      <c r="S972" t="str">
        <f t="shared" si="154"/>
        <v/>
      </c>
      <c r="T972" t="str">
        <f t="shared" si="155"/>
        <v/>
      </c>
      <c r="U972" t="str">
        <f t="shared" si="156"/>
        <v/>
      </c>
      <c r="V972" t="str">
        <f t="shared" si="157"/>
        <v/>
      </c>
      <c r="W972" t="str">
        <f t="shared" si="158"/>
        <v/>
      </c>
      <c r="X972">
        <f>IF($T972="",N($X971),IF(MATCH($T972,$T$6:$T$10005,0)=ROW()-5,N($X971)+1,N($X971)))</f>
        <v>0</v>
      </c>
      <c r="Z972" t="str">
        <f t="shared" si="159"/>
        <v/>
      </c>
      <c r="AA972">
        <f>IF($V972="",N($AA971),IF(MATCH($V972,$V$6:$V$10005,0)=ROW()-5,N($AA971)+1,N($AA971)))</f>
        <v>0</v>
      </c>
    </row>
    <row r="973" spans="1:27" ht="21" customHeight="1" x14ac:dyDescent="0.95">
      <c r="A973" s="56"/>
      <c r="B973" s="57"/>
      <c r="C973" s="57"/>
      <c r="D973" s="57"/>
      <c r="E973" s="56"/>
      <c r="F973" s="57"/>
      <c r="G973" s="57"/>
      <c r="H973" s="56"/>
      <c r="I973" s="56"/>
      <c r="J973" s="58"/>
      <c r="K973" s="58"/>
      <c r="L973" s="13" t="str">
        <f t="shared" si="150"/>
        <v/>
      </c>
      <c r="M973" s="13" t="str">
        <f t="shared" si="151"/>
        <v/>
      </c>
      <c r="Q973" t="str">
        <f t="shared" si="152"/>
        <v/>
      </c>
      <c r="R973" t="str">
        <f t="shared" si="153"/>
        <v/>
      </c>
      <c r="S973" t="str">
        <f t="shared" si="154"/>
        <v/>
      </c>
      <c r="T973" t="str">
        <f t="shared" si="155"/>
        <v/>
      </c>
      <c r="U973" t="str">
        <f t="shared" si="156"/>
        <v/>
      </c>
      <c r="V973" t="str">
        <f t="shared" si="157"/>
        <v/>
      </c>
      <c r="W973" t="str">
        <f t="shared" si="158"/>
        <v/>
      </c>
      <c r="X973">
        <f>IF($T973="",N($X972),IF(MATCH($T973,$T$6:$T$10005,0)=ROW()-5,N($X972)+1,N($X972)))</f>
        <v>0</v>
      </c>
      <c r="Z973" t="str">
        <f t="shared" si="159"/>
        <v/>
      </c>
      <c r="AA973">
        <f>IF($V973="",N($AA972),IF(MATCH($V973,$V$6:$V$10005,0)=ROW()-5,N($AA972)+1,N($AA972)))</f>
        <v>0</v>
      </c>
    </row>
    <row r="974" spans="1:27" ht="21" customHeight="1" x14ac:dyDescent="0.95">
      <c r="A974" s="56"/>
      <c r="B974" s="57"/>
      <c r="C974" s="57"/>
      <c r="D974" s="57"/>
      <c r="E974" s="56"/>
      <c r="F974" s="57"/>
      <c r="G974" s="57"/>
      <c r="H974" s="56"/>
      <c r="I974" s="56"/>
      <c r="J974" s="58"/>
      <c r="K974" s="58"/>
      <c r="L974" s="13" t="str">
        <f t="shared" si="150"/>
        <v/>
      </c>
      <c r="M974" s="13" t="str">
        <f t="shared" si="151"/>
        <v/>
      </c>
      <c r="Q974" t="str">
        <f t="shared" si="152"/>
        <v/>
      </c>
      <c r="R974" t="str">
        <f t="shared" si="153"/>
        <v/>
      </c>
      <c r="S974" t="str">
        <f t="shared" si="154"/>
        <v/>
      </c>
      <c r="T974" t="str">
        <f t="shared" si="155"/>
        <v/>
      </c>
      <c r="U974" t="str">
        <f t="shared" si="156"/>
        <v/>
      </c>
      <c r="V974" t="str">
        <f t="shared" si="157"/>
        <v/>
      </c>
      <c r="W974" t="str">
        <f t="shared" si="158"/>
        <v/>
      </c>
      <c r="X974">
        <f>IF($T974="",N($X973),IF(MATCH($T974,$T$6:$T$10005,0)=ROW()-5,N($X973)+1,N($X973)))</f>
        <v>0</v>
      </c>
      <c r="Z974" t="str">
        <f t="shared" si="159"/>
        <v/>
      </c>
      <c r="AA974">
        <f>IF($V974="",N($AA973),IF(MATCH($V974,$V$6:$V$10005,0)=ROW()-5,N($AA973)+1,N($AA973)))</f>
        <v>0</v>
      </c>
    </row>
    <row r="975" spans="1:27" ht="21" customHeight="1" x14ac:dyDescent="0.95">
      <c r="A975" s="56"/>
      <c r="B975" s="57"/>
      <c r="C975" s="57"/>
      <c r="D975" s="57"/>
      <c r="E975" s="56"/>
      <c r="F975" s="57"/>
      <c r="G975" s="57"/>
      <c r="H975" s="56"/>
      <c r="I975" s="56"/>
      <c r="J975" s="58"/>
      <c r="K975" s="58"/>
      <c r="L975" s="13" t="str">
        <f t="shared" si="150"/>
        <v/>
      </c>
      <c r="M975" s="13" t="str">
        <f t="shared" si="151"/>
        <v/>
      </c>
      <c r="Q975" t="str">
        <f t="shared" si="152"/>
        <v/>
      </c>
      <c r="R975" t="str">
        <f t="shared" si="153"/>
        <v/>
      </c>
      <c r="S975" t="str">
        <f t="shared" si="154"/>
        <v/>
      </c>
      <c r="T975" t="str">
        <f t="shared" si="155"/>
        <v/>
      </c>
      <c r="U975" t="str">
        <f t="shared" si="156"/>
        <v/>
      </c>
      <c r="V975" t="str">
        <f t="shared" si="157"/>
        <v/>
      </c>
      <c r="W975" t="str">
        <f t="shared" si="158"/>
        <v/>
      </c>
      <c r="X975">
        <f>IF($T975="",N($X974),IF(MATCH($T975,$T$6:$T$10005,0)=ROW()-5,N($X974)+1,N($X974)))</f>
        <v>0</v>
      </c>
      <c r="Z975" t="str">
        <f t="shared" si="159"/>
        <v/>
      </c>
      <c r="AA975">
        <f>IF($V975="",N($AA974),IF(MATCH($V975,$V$6:$V$10005,0)=ROW()-5,N($AA974)+1,N($AA974)))</f>
        <v>0</v>
      </c>
    </row>
    <row r="976" spans="1:27" ht="21" customHeight="1" x14ac:dyDescent="0.95">
      <c r="A976" s="56"/>
      <c r="B976" s="57"/>
      <c r="C976" s="57"/>
      <c r="D976" s="57"/>
      <c r="E976" s="56"/>
      <c r="F976" s="57"/>
      <c r="G976" s="57"/>
      <c r="H976" s="56"/>
      <c r="I976" s="56"/>
      <c r="J976" s="58"/>
      <c r="K976" s="58"/>
      <c r="L976" s="13" t="str">
        <f t="shared" si="150"/>
        <v/>
      </c>
      <c r="M976" s="13" t="str">
        <f t="shared" si="151"/>
        <v/>
      </c>
      <c r="Q976" t="str">
        <f t="shared" si="152"/>
        <v/>
      </c>
      <c r="R976" t="str">
        <f t="shared" si="153"/>
        <v/>
      </c>
      <c r="S976" t="str">
        <f t="shared" si="154"/>
        <v/>
      </c>
      <c r="T976" t="str">
        <f t="shared" si="155"/>
        <v/>
      </c>
      <c r="U976" t="str">
        <f t="shared" si="156"/>
        <v/>
      </c>
      <c r="V976" t="str">
        <f t="shared" si="157"/>
        <v/>
      </c>
      <c r="W976" t="str">
        <f t="shared" si="158"/>
        <v/>
      </c>
      <c r="X976">
        <f>IF($T976="",N($X975),IF(MATCH($T976,$T$6:$T$10005,0)=ROW()-5,N($X975)+1,N($X975)))</f>
        <v>0</v>
      </c>
      <c r="Z976" t="str">
        <f t="shared" si="159"/>
        <v/>
      </c>
      <c r="AA976">
        <f>IF($V976="",N($AA975),IF(MATCH($V976,$V$6:$V$10005,0)=ROW()-5,N($AA975)+1,N($AA975)))</f>
        <v>0</v>
      </c>
    </row>
    <row r="977" spans="1:27" ht="21" customHeight="1" x14ac:dyDescent="0.95">
      <c r="A977" s="56"/>
      <c r="B977" s="57"/>
      <c r="C977" s="57"/>
      <c r="D977" s="57"/>
      <c r="E977" s="56"/>
      <c r="F977" s="57"/>
      <c r="G977" s="57"/>
      <c r="H977" s="56"/>
      <c r="I977" s="56"/>
      <c r="J977" s="58"/>
      <c r="K977" s="58"/>
      <c r="L977" s="13" t="str">
        <f t="shared" si="150"/>
        <v/>
      </c>
      <c r="M977" s="13" t="str">
        <f t="shared" si="151"/>
        <v/>
      </c>
      <c r="Q977" t="str">
        <f t="shared" si="152"/>
        <v/>
      </c>
      <c r="R977" t="str">
        <f t="shared" si="153"/>
        <v/>
      </c>
      <c r="S977" t="str">
        <f t="shared" si="154"/>
        <v/>
      </c>
      <c r="T977" t="str">
        <f t="shared" si="155"/>
        <v/>
      </c>
      <c r="U977" t="str">
        <f t="shared" si="156"/>
        <v/>
      </c>
      <c r="V977" t="str">
        <f t="shared" si="157"/>
        <v/>
      </c>
      <c r="W977" t="str">
        <f t="shared" si="158"/>
        <v/>
      </c>
      <c r="X977">
        <f>IF($T977="",N($X976),IF(MATCH($T977,$T$6:$T$10005,0)=ROW()-5,N($X976)+1,N($X976)))</f>
        <v>0</v>
      </c>
      <c r="Z977" t="str">
        <f t="shared" si="159"/>
        <v/>
      </c>
      <c r="AA977">
        <f>IF($V977="",N($AA976),IF(MATCH($V977,$V$6:$V$10005,0)=ROW()-5,N($AA976)+1,N($AA976)))</f>
        <v>0</v>
      </c>
    </row>
    <row r="978" spans="1:27" ht="21" customHeight="1" x14ac:dyDescent="0.95">
      <c r="A978" s="56"/>
      <c r="B978" s="57"/>
      <c r="C978" s="57"/>
      <c r="D978" s="57"/>
      <c r="E978" s="56"/>
      <c r="F978" s="57"/>
      <c r="G978" s="57"/>
      <c r="H978" s="56"/>
      <c r="I978" s="56"/>
      <c r="J978" s="58"/>
      <c r="K978" s="58"/>
      <c r="L978" s="13" t="str">
        <f t="shared" si="150"/>
        <v/>
      </c>
      <c r="M978" s="13" t="str">
        <f t="shared" si="151"/>
        <v/>
      </c>
      <c r="Q978" t="str">
        <f t="shared" si="152"/>
        <v/>
      </c>
      <c r="R978" t="str">
        <f t="shared" si="153"/>
        <v/>
      </c>
      <c r="S978" t="str">
        <f t="shared" si="154"/>
        <v/>
      </c>
      <c r="T978" t="str">
        <f t="shared" si="155"/>
        <v/>
      </c>
      <c r="U978" t="str">
        <f t="shared" si="156"/>
        <v/>
      </c>
      <c r="V978" t="str">
        <f t="shared" si="157"/>
        <v/>
      </c>
      <c r="W978" t="str">
        <f t="shared" si="158"/>
        <v/>
      </c>
      <c r="X978">
        <f>IF($T978="",N($X977),IF(MATCH($T978,$T$6:$T$10005,0)=ROW()-5,N($X977)+1,N($X977)))</f>
        <v>0</v>
      </c>
      <c r="Z978" t="str">
        <f t="shared" si="159"/>
        <v/>
      </c>
      <c r="AA978">
        <f>IF($V978="",N($AA977),IF(MATCH($V978,$V$6:$V$10005,0)=ROW()-5,N($AA977)+1,N($AA977)))</f>
        <v>0</v>
      </c>
    </row>
    <row r="979" spans="1:27" ht="21" customHeight="1" x14ac:dyDescent="0.95">
      <c r="A979" s="56"/>
      <c r="B979" s="57"/>
      <c r="C979" s="57"/>
      <c r="D979" s="57"/>
      <c r="E979" s="56"/>
      <c r="F979" s="57"/>
      <c r="G979" s="57"/>
      <c r="H979" s="56"/>
      <c r="I979" s="56"/>
      <c r="J979" s="58"/>
      <c r="K979" s="58"/>
      <c r="L979" s="13" t="str">
        <f t="shared" si="150"/>
        <v/>
      </c>
      <c r="M979" s="13" t="str">
        <f t="shared" si="151"/>
        <v/>
      </c>
      <c r="Q979" t="str">
        <f t="shared" si="152"/>
        <v/>
      </c>
      <c r="R979" t="str">
        <f t="shared" si="153"/>
        <v/>
      </c>
      <c r="S979" t="str">
        <f t="shared" si="154"/>
        <v/>
      </c>
      <c r="T979" t="str">
        <f t="shared" si="155"/>
        <v/>
      </c>
      <c r="U979" t="str">
        <f t="shared" si="156"/>
        <v/>
      </c>
      <c r="V979" t="str">
        <f t="shared" si="157"/>
        <v/>
      </c>
      <c r="W979" t="str">
        <f t="shared" si="158"/>
        <v/>
      </c>
      <c r="X979">
        <f>IF($T979="",N($X978),IF(MATCH($T979,$T$6:$T$10005,0)=ROW()-5,N($X978)+1,N($X978)))</f>
        <v>0</v>
      </c>
      <c r="Z979" t="str">
        <f t="shared" si="159"/>
        <v/>
      </c>
      <c r="AA979">
        <f>IF($V979="",N($AA978),IF(MATCH($V979,$V$6:$V$10005,0)=ROW()-5,N($AA978)+1,N($AA978)))</f>
        <v>0</v>
      </c>
    </row>
    <row r="980" spans="1:27" ht="21" customHeight="1" x14ac:dyDescent="0.95">
      <c r="A980" s="56"/>
      <c r="B980" s="57"/>
      <c r="C980" s="57"/>
      <c r="D980" s="57"/>
      <c r="E980" s="56"/>
      <c r="F980" s="57"/>
      <c r="G980" s="57"/>
      <c r="H980" s="56"/>
      <c r="I980" s="56"/>
      <c r="J980" s="58"/>
      <c r="K980" s="58"/>
      <c r="L980" s="13" t="str">
        <f t="shared" si="150"/>
        <v/>
      </c>
      <c r="M980" s="13" t="str">
        <f t="shared" si="151"/>
        <v/>
      </c>
      <c r="Q980" t="str">
        <f t="shared" si="152"/>
        <v/>
      </c>
      <c r="R980" t="str">
        <f t="shared" si="153"/>
        <v/>
      </c>
      <c r="S980" t="str">
        <f t="shared" si="154"/>
        <v/>
      </c>
      <c r="T980" t="str">
        <f t="shared" si="155"/>
        <v/>
      </c>
      <c r="U980" t="str">
        <f t="shared" si="156"/>
        <v/>
      </c>
      <c r="V980" t="str">
        <f t="shared" si="157"/>
        <v/>
      </c>
      <c r="W980" t="str">
        <f t="shared" si="158"/>
        <v/>
      </c>
      <c r="X980">
        <f>IF($T980="",N($X979),IF(MATCH($T980,$T$6:$T$10005,0)=ROW()-5,N($X979)+1,N($X979)))</f>
        <v>0</v>
      </c>
      <c r="Z980" t="str">
        <f t="shared" si="159"/>
        <v/>
      </c>
      <c r="AA980">
        <f>IF($V980="",N($AA979),IF(MATCH($V980,$V$6:$V$10005,0)=ROW()-5,N($AA979)+1,N($AA979)))</f>
        <v>0</v>
      </c>
    </row>
    <row r="981" spans="1:27" ht="21" customHeight="1" x14ac:dyDescent="0.95">
      <c r="A981" s="56"/>
      <c r="B981" s="57"/>
      <c r="C981" s="57"/>
      <c r="D981" s="57"/>
      <c r="E981" s="56"/>
      <c r="F981" s="57"/>
      <c r="G981" s="57"/>
      <c r="H981" s="56"/>
      <c r="I981" s="56"/>
      <c r="J981" s="58"/>
      <c r="K981" s="58"/>
      <c r="L981" s="13" t="str">
        <f t="shared" si="150"/>
        <v/>
      </c>
      <c r="M981" s="13" t="str">
        <f t="shared" si="151"/>
        <v/>
      </c>
      <c r="Q981" t="str">
        <f t="shared" si="152"/>
        <v/>
      </c>
      <c r="R981" t="str">
        <f t="shared" si="153"/>
        <v/>
      </c>
      <c r="S981" t="str">
        <f t="shared" si="154"/>
        <v/>
      </c>
      <c r="T981" t="str">
        <f t="shared" si="155"/>
        <v/>
      </c>
      <c r="U981" t="str">
        <f t="shared" si="156"/>
        <v/>
      </c>
      <c r="V981" t="str">
        <f t="shared" si="157"/>
        <v/>
      </c>
      <c r="W981" t="str">
        <f t="shared" si="158"/>
        <v/>
      </c>
      <c r="X981">
        <f>IF($T981="",N($X980),IF(MATCH($T981,$T$6:$T$10005,0)=ROW()-5,N($X980)+1,N($X980)))</f>
        <v>0</v>
      </c>
      <c r="Z981" t="str">
        <f t="shared" si="159"/>
        <v/>
      </c>
      <c r="AA981">
        <f>IF($V981="",N($AA980),IF(MATCH($V981,$V$6:$V$10005,0)=ROW()-5,N($AA980)+1,N($AA980)))</f>
        <v>0</v>
      </c>
    </row>
    <row r="982" spans="1:27" ht="21" customHeight="1" x14ac:dyDescent="0.95">
      <c r="A982" s="56"/>
      <c r="B982" s="57"/>
      <c r="C982" s="57"/>
      <c r="D982" s="57"/>
      <c r="E982" s="56"/>
      <c r="F982" s="57"/>
      <c r="G982" s="57"/>
      <c r="H982" s="56"/>
      <c r="I982" s="56"/>
      <c r="J982" s="58"/>
      <c r="K982" s="58"/>
      <c r="L982" s="13" t="str">
        <f t="shared" si="150"/>
        <v/>
      </c>
      <c r="M982" s="13" t="str">
        <f t="shared" si="151"/>
        <v/>
      </c>
      <c r="Q982" t="str">
        <f t="shared" si="152"/>
        <v/>
      </c>
      <c r="R982" t="str">
        <f t="shared" si="153"/>
        <v/>
      </c>
      <c r="S982" t="str">
        <f t="shared" si="154"/>
        <v/>
      </c>
      <c r="T982" t="str">
        <f t="shared" si="155"/>
        <v/>
      </c>
      <c r="U982" t="str">
        <f t="shared" si="156"/>
        <v/>
      </c>
      <c r="V982" t="str">
        <f t="shared" si="157"/>
        <v/>
      </c>
      <c r="W982" t="str">
        <f t="shared" si="158"/>
        <v/>
      </c>
      <c r="X982">
        <f>IF($T982="",N($X981),IF(MATCH($T982,$T$6:$T$10005,0)=ROW()-5,N($X981)+1,N($X981)))</f>
        <v>0</v>
      </c>
      <c r="Z982" t="str">
        <f t="shared" si="159"/>
        <v/>
      </c>
      <c r="AA982">
        <f>IF($V982="",N($AA981),IF(MATCH($V982,$V$6:$V$10005,0)=ROW()-5,N($AA981)+1,N($AA981)))</f>
        <v>0</v>
      </c>
    </row>
    <row r="983" spans="1:27" ht="21" customHeight="1" x14ac:dyDescent="0.95">
      <c r="A983" s="56"/>
      <c r="B983" s="57"/>
      <c r="C983" s="57"/>
      <c r="D983" s="57"/>
      <c r="E983" s="56"/>
      <c r="F983" s="57"/>
      <c r="G983" s="57"/>
      <c r="H983" s="56"/>
      <c r="I983" s="56"/>
      <c r="J983" s="58"/>
      <c r="K983" s="58"/>
      <c r="L983" s="13" t="str">
        <f t="shared" si="150"/>
        <v/>
      </c>
      <c r="M983" s="13" t="str">
        <f t="shared" si="151"/>
        <v/>
      </c>
      <c r="Q983" t="str">
        <f t="shared" si="152"/>
        <v/>
      </c>
      <c r="R983" t="str">
        <f t="shared" si="153"/>
        <v/>
      </c>
      <c r="S983" t="str">
        <f t="shared" si="154"/>
        <v/>
      </c>
      <c r="T983" t="str">
        <f t="shared" si="155"/>
        <v/>
      </c>
      <c r="U983" t="str">
        <f t="shared" si="156"/>
        <v/>
      </c>
      <c r="V983" t="str">
        <f t="shared" si="157"/>
        <v/>
      </c>
      <c r="W983" t="str">
        <f t="shared" si="158"/>
        <v/>
      </c>
      <c r="X983">
        <f>IF($T983="",N($X982),IF(MATCH($T983,$T$6:$T$10005,0)=ROW()-5,N($X982)+1,N($X982)))</f>
        <v>0</v>
      </c>
      <c r="Z983" t="str">
        <f t="shared" si="159"/>
        <v/>
      </c>
      <c r="AA983">
        <f>IF($V983="",N($AA982),IF(MATCH($V983,$V$6:$V$10005,0)=ROW()-5,N($AA982)+1,N($AA982)))</f>
        <v>0</v>
      </c>
    </row>
    <row r="984" spans="1:27" ht="21" customHeight="1" x14ac:dyDescent="0.95">
      <c r="A984" s="56"/>
      <c r="B984" s="57"/>
      <c r="C984" s="57"/>
      <c r="D984" s="57"/>
      <c r="E984" s="56"/>
      <c r="F984" s="57"/>
      <c r="G984" s="57"/>
      <c r="H984" s="56"/>
      <c r="I984" s="56"/>
      <c r="J984" s="58"/>
      <c r="K984" s="58"/>
      <c r="L984" s="13" t="str">
        <f t="shared" si="150"/>
        <v/>
      </c>
      <c r="M984" s="13" t="str">
        <f t="shared" si="151"/>
        <v/>
      </c>
      <c r="Q984" t="str">
        <f t="shared" si="152"/>
        <v/>
      </c>
      <c r="R984" t="str">
        <f t="shared" si="153"/>
        <v/>
      </c>
      <c r="S984" t="str">
        <f t="shared" si="154"/>
        <v/>
      </c>
      <c r="T984" t="str">
        <f t="shared" si="155"/>
        <v/>
      </c>
      <c r="U984" t="str">
        <f t="shared" si="156"/>
        <v/>
      </c>
      <c r="V984" t="str">
        <f t="shared" si="157"/>
        <v/>
      </c>
      <c r="W984" t="str">
        <f t="shared" si="158"/>
        <v/>
      </c>
      <c r="X984">
        <f>IF($T984="",N($X983),IF(MATCH($T984,$T$6:$T$10005,0)=ROW()-5,N($X983)+1,N($X983)))</f>
        <v>0</v>
      </c>
      <c r="Z984" t="str">
        <f t="shared" si="159"/>
        <v/>
      </c>
      <c r="AA984">
        <f>IF($V984="",N($AA983),IF(MATCH($V984,$V$6:$V$10005,0)=ROW()-5,N($AA983)+1,N($AA983)))</f>
        <v>0</v>
      </c>
    </row>
    <row r="985" spans="1:27" ht="21" customHeight="1" x14ac:dyDescent="0.95">
      <c r="A985" s="56"/>
      <c r="B985" s="57"/>
      <c r="C985" s="57"/>
      <c r="D985" s="57"/>
      <c r="E985" s="56"/>
      <c r="F985" s="57"/>
      <c r="G985" s="57"/>
      <c r="H985" s="56"/>
      <c r="I985" s="56"/>
      <c r="J985" s="58"/>
      <c r="K985" s="58"/>
      <c r="L985" s="13" t="str">
        <f t="shared" si="150"/>
        <v/>
      </c>
      <c r="M985" s="13" t="str">
        <f t="shared" si="151"/>
        <v/>
      </c>
      <c r="Q985" t="str">
        <f t="shared" si="152"/>
        <v/>
      </c>
      <c r="R985" t="str">
        <f t="shared" si="153"/>
        <v/>
      </c>
      <c r="S985" t="str">
        <f t="shared" si="154"/>
        <v/>
      </c>
      <c r="T985" t="str">
        <f t="shared" si="155"/>
        <v/>
      </c>
      <c r="U985" t="str">
        <f t="shared" si="156"/>
        <v/>
      </c>
      <c r="V985" t="str">
        <f t="shared" si="157"/>
        <v/>
      </c>
      <c r="W985" t="str">
        <f t="shared" si="158"/>
        <v/>
      </c>
      <c r="X985">
        <f>IF($T985="",N($X984),IF(MATCH($T985,$T$6:$T$10005,0)=ROW()-5,N($X984)+1,N($X984)))</f>
        <v>0</v>
      </c>
      <c r="Z985" t="str">
        <f t="shared" si="159"/>
        <v/>
      </c>
      <c r="AA985">
        <f>IF($V985="",N($AA984),IF(MATCH($V985,$V$6:$V$10005,0)=ROW()-5,N($AA984)+1,N($AA984)))</f>
        <v>0</v>
      </c>
    </row>
    <row r="986" spans="1:27" ht="21" customHeight="1" x14ac:dyDescent="0.95">
      <c r="A986" s="56"/>
      <c r="B986" s="57"/>
      <c r="C986" s="57"/>
      <c r="D986" s="57"/>
      <c r="E986" s="56"/>
      <c r="F986" s="57"/>
      <c r="G986" s="57"/>
      <c r="H986" s="56"/>
      <c r="I986" s="56"/>
      <c r="J986" s="58"/>
      <c r="K986" s="58"/>
      <c r="L986" s="13" t="str">
        <f t="shared" si="150"/>
        <v/>
      </c>
      <c r="M986" s="13" t="str">
        <f t="shared" si="151"/>
        <v/>
      </c>
      <c r="Q986" t="str">
        <f t="shared" si="152"/>
        <v/>
      </c>
      <c r="R986" t="str">
        <f t="shared" si="153"/>
        <v/>
      </c>
      <c r="S986" t="str">
        <f t="shared" si="154"/>
        <v/>
      </c>
      <c r="T986" t="str">
        <f t="shared" si="155"/>
        <v/>
      </c>
      <c r="U986" t="str">
        <f t="shared" si="156"/>
        <v/>
      </c>
      <c r="V986" t="str">
        <f t="shared" si="157"/>
        <v/>
      </c>
      <c r="W986" t="str">
        <f t="shared" si="158"/>
        <v/>
      </c>
      <c r="X986">
        <f>IF($T986="",N($X985),IF(MATCH($T986,$T$6:$T$10005,0)=ROW()-5,N($X985)+1,N($X985)))</f>
        <v>0</v>
      </c>
      <c r="Z986" t="str">
        <f t="shared" si="159"/>
        <v/>
      </c>
      <c r="AA986">
        <f>IF($V986="",N($AA985),IF(MATCH($V986,$V$6:$V$10005,0)=ROW()-5,N($AA985)+1,N($AA985)))</f>
        <v>0</v>
      </c>
    </row>
    <row r="987" spans="1:27" ht="21" customHeight="1" x14ac:dyDescent="0.95">
      <c r="A987" s="56"/>
      <c r="B987" s="57"/>
      <c r="C987" s="57"/>
      <c r="D987" s="57"/>
      <c r="E987" s="56"/>
      <c r="F987" s="57"/>
      <c r="G987" s="57"/>
      <c r="H987" s="56"/>
      <c r="I987" s="56"/>
      <c r="J987" s="58"/>
      <c r="K987" s="58"/>
      <c r="L987" s="13" t="str">
        <f t="shared" si="150"/>
        <v/>
      </c>
      <c r="M987" s="13" t="str">
        <f t="shared" si="151"/>
        <v/>
      </c>
      <c r="Q987" t="str">
        <f t="shared" si="152"/>
        <v/>
      </c>
      <c r="R987" t="str">
        <f t="shared" si="153"/>
        <v/>
      </c>
      <c r="S987" t="str">
        <f t="shared" si="154"/>
        <v/>
      </c>
      <c r="T987" t="str">
        <f t="shared" si="155"/>
        <v/>
      </c>
      <c r="U987" t="str">
        <f t="shared" si="156"/>
        <v/>
      </c>
      <c r="V987" t="str">
        <f t="shared" si="157"/>
        <v/>
      </c>
      <c r="W987" t="str">
        <f t="shared" si="158"/>
        <v/>
      </c>
      <c r="X987">
        <f>IF($T987="",N($X986),IF(MATCH($T987,$T$6:$T$10005,0)=ROW()-5,N($X986)+1,N($X986)))</f>
        <v>0</v>
      </c>
      <c r="Z987" t="str">
        <f t="shared" si="159"/>
        <v/>
      </c>
      <c r="AA987">
        <f>IF($V987="",N($AA986),IF(MATCH($V987,$V$6:$V$10005,0)=ROW()-5,N($AA986)+1,N($AA986)))</f>
        <v>0</v>
      </c>
    </row>
    <row r="988" spans="1:27" ht="21" customHeight="1" x14ac:dyDescent="0.95">
      <c r="A988" s="56"/>
      <c r="B988" s="57"/>
      <c r="C988" s="57"/>
      <c r="D988" s="57"/>
      <c r="E988" s="56"/>
      <c r="F988" s="57"/>
      <c r="G988" s="57"/>
      <c r="H988" s="56"/>
      <c r="I988" s="56"/>
      <c r="J988" s="58"/>
      <c r="K988" s="58"/>
      <c r="L988" s="13" t="str">
        <f t="shared" si="150"/>
        <v/>
      </c>
      <c r="M988" s="13" t="str">
        <f t="shared" si="151"/>
        <v/>
      </c>
      <c r="Q988" t="str">
        <f t="shared" si="152"/>
        <v/>
      </c>
      <c r="R988" t="str">
        <f t="shared" si="153"/>
        <v/>
      </c>
      <c r="S988" t="str">
        <f t="shared" si="154"/>
        <v/>
      </c>
      <c r="T988" t="str">
        <f t="shared" si="155"/>
        <v/>
      </c>
      <c r="U988" t="str">
        <f t="shared" si="156"/>
        <v/>
      </c>
      <c r="V988" t="str">
        <f t="shared" si="157"/>
        <v/>
      </c>
      <c r="W988" t="str">
        <f t="shared" si="158"/>
        <v/>
      </c>
      <c r="X988">
        <f>IF($T988="",N($X987),IF(MATCH($T988,$T$6:$T$10005,0)=ROW()-5,N($X987)+1,N($X987)))</f>
        <v>0</v>
      </c>
      <c r="Z988" t="str">
        <f t="shared" si="159"/>
        <v/>
      </c>
      <c r="AA988">
        <f>IF($V988="",N($AA987),IF(MATCH($V988,$V$6:$V$10005,0)=ROW()-5,N($AA987)+1,N($AA987)))</f>
        <v>0</v>
      </c>
    </row>
    <row r="989" spans="1:27" ht="21" customHeight="1" x14ac:dyDescent="0.95">
      <c r="A989" s="56"/>
      <c r="B989" s="57"/>
      <c r="C989" s="57"/>
      <c r="D989" s="57"/>
      <c r="E989" s="56"/>
      <c r="F989" s="57"/>
      <c r="G989" s="57"/>
      <c r="H989" s="56"/>
      <c r="I989" s="56"/>
      <c r="J989" s="58"/>
      <c r="K989" s="58"/>
      <c r="L989" s="13" t="str">
        <f t="shared" si="150"/>
        <v/>
      </c>
      <c r="M989" s="13" t="str">
        <f t="shared" si="151"/>
        <v/>
      </c>
      <c r="Q989" t="str">
        <f t="shared" si="152"/>
        <v/>
      </c>
      <c r="R989" t="str">
        <f t="shared" si="153"/>
        <v/>
      </c>
      <c r="S989" t="str">
        <f t="shared" si="154"/>
        <v/>
      </c>
      <c r="T989" t="str">
        <f t="shared" si="155"/>
        <v/>
      </c>
      <c r="U989" t="str">
        <f t="shared" si="156"/>
        <v/>
      </c>
      <c r="V989" t="str">
        <f t="shared" si="157"/>
        <v/>
      </c>
      <c r="W989" t="str">
        <f t="shared" si="158"/>
        <v/>
      </c>
      <c r="X989">
        <f>IF($T989="",N($X988),IF(MATCH($T989,$T$6:$T$10005,0)=ROW()-5,N($X988)+1,N($X988)))</f>
        <v>0</v>
      </c>
      <c r="Z989" t="str">
        <f t="shared" si="159"/>
        <v/>
      </c>
      <c r="AA989">
        <f>IF($V989="",N($AA988),IF(MATCH($V989,$V$6:$V$10005,0)=ROW()-5,N($AA988)+1,N($AA988)))</f>
        <v>0</v>
      </c>
    </row>
    <row r="990" spans="1:27" ht="21" customHeight="1" x14ac:dyDescent="0.95">
      <c r="A990" s="56"/>
      <c r="B990" s="57"/>
      <c r="C990" s="57"/>
      <c r="D990" s="57"/>
      <c r="E990" s="56"/>
      <c r="F990" s="57"/>
      <c r="G990" s="57"/>
      <c r="H990" s="56"/>
      <c r="I990" s="56"/>
      <c r="J990" s="58"/>
      <c r="K990" s="58"/>
      <c r="L990" s="13" t="str">
        <f t="shared" si="150"/>
        <v/>
      </c>
      <c r="M990" s="13" t="str">
        <f t="shared" si="151"/>
        <v/>
      </c>
      <c r="Q990" t="str">
        <f t="shared" si="152"/>
        <v/>
      </c>
      <c r="R990" t="str">
        <f t="shared" si="153"/>
        <v/>
      </c>
      <c r="S990" t="str">
        <f t="shared" si="154"/>
        <v/>
      </c>
      <c r="T990" t="str">
        <f t="shared" si="155"/>
        <v/>
      </c>
      <c r="U990" t="str">
        <f t="shared" si="156"/>
        <v/>
      </c>
      <c r="V990" t="str">
        <f t="shared" si="157"/>
        <v/>
      </c>
      <c r="W990" t="str">
        <f t="shared" si="158"/>
        <v/>
      </c>
      <c r="X990">
        <f>IF($T990="",N($X989),IF(MATCH($T990,$T$6:$T$10005,0)=ROW()-5,N($X989)+1,N($X989)))</f>
        <v>0</v>
      </c>
      <c r="Z990" t="str">
        <f t="shared" si="159"/>
        <v/>
      </c>
      <c r="AA990">
        <f>IF($V990="",N($AA989),IF(MATCH($V990,$V$6:$V$10005,0)=ROW()-5,N($AA989)+1,N($AA989)))</f>
        <v>0</v>
      </c>
    </row>
    <row r="991" spans="1:27" ht="21" customHeight="1" x14ac:dyDescent="0.95">
      <c r="A991" s="56"/>
      <c r="B991" s="57"/>
      <c r="C991" s="57"/>
      <c r="D991" s="57"/>
      <c r="E991" s="56"/>
      <c r="F991" s="57"/>
      <c r="G991" s="57"/>
      <c r="H991" s="56"/>
      <c r="I991" s="56"/>
      <c r="J991" s="58"/>
      <c r="K991" s="58"/>
      <c r="L991" s="13" t="str">
        <f t="shared" si="150"/>
        <v/>
      </c>
      <c r="M991" s="13" t="str">
        <f t="shared" si="151"/>
        <v/>
      </c>
      <c r="Q991" t="str">
        <f t="shared" si="152"/>
        <v/>
      </c>
      <c r="R991" t="str">
        <f t="shared" si="153"/>
        <v/>
      </c>
      <c r="S991" t="str">
        <f t="shared" si="154"/>
        <v/>
      </c>
      <c r="T991" t="str">
        <f t="shared" si="155"/>
        <v/>
      </c>
      <c r="U991" t="str">
        <f t="shared" si="156"/>
        <v/>
      </c>
      <c r="V991" t="str">
        <f t="shared" si="157"/>
        <v/>
      </c>
      <c r="W991" t="str">
        <f t="shared" si="158"/>
        <v/>
      </c>
      <c r="X991">
        <f>IF($T991="",N($X990),IF(MATCH($T991,$T$6:$T$10005,0)=ROW()-5,N($X990)+1,N($X990)))</f>
        <v>0</v>
      </c>
      <c r="Z991" t="str">
        <f t="shared" si="159"/>
        <v/>
      </c>
      <c r="AA991">
        <f>IF($V991="",N($AA990),IF(MATCH($V991,$V$6:$V$10005,0)=ROW()-5,N($AA990)+1,N($AA990)))</f>
        <v>0</v>
      </c>
    </row>
    <row r="992" spans="1:27" ht="21" customHeight="1" x14ac:dyDescent="0.95">
      <c r="A992" s="56"/>
      <c r="B992" s="57"/>
      <c r="C992" s="57"/>
      <c r="D992" s="57"/>
      <c r="E992" s="56"/>
      <c r="F992" s="57"/>
      <c r="G992" s="57"/>
      <c r="H992" s="56"/>
      <c r="I992" s="56"/>
      <c r="J992" s="58"/>
      <c r="K992" s="58"/>
      <c r="L992" s="13" t="str">
        <f t="shared" si="150"/>
        <v/>
      </c>
      <c r="M992" s="13" t="str">
        <f t="shared" si="151"/>
        <v/>
      </c>
      <c r="Q992" t="str">
        <f t="shared" si="152"/>
        <v/>
      </c>
      <c r="R992" t="str">
        <f t="shared" si="153"/>
        <v/>
      </c>
      <c r="S992" t="str">
        <f t="shared" si="154"/>
        <v/>
      </c>
      <c r="T992" t="str">
        <f t="shared" si="155"/>
        <v/>
      </c>
      <c r="U992" t="str">
        <f t="shared" si="156"/>
        <v/>
      </c>
      <c r="V992" t="str">
        <f t="shared" si="157"/>
        <v/>
      </c>
      <c r="W992" t="str">
        <f t="shared" si="158"/>
        <v/>
      </c>
      <c r="X992">
        <f>IF($T992="",N($X991),IF(MATCH($T992,$T$6:$T$10005,0)=ROW()-5,N($X991)+1,N($X991)))</f>
        <v>0</v>
      </c>
      <c r="Z992" t="str">
        <f t="shared" si="159"/>
        <v/>
      </c>
      <c r="AA992">
        <f>IF($V992="",N($AA991),IF(MATCH($V992,$V$6:$V$10005,0)=ROW()-5,N($AA991)+1,N($AA991)))</f>
        <v>0</v>
      </c>
    </row>
    <row r="993" spans="1:27" ht="21" customHeight="1" x14ac:dyDescent="0.95">
      <c r="A993" s="56"/>
      <c r="B993" s="57"/>
      <c r="C993" s="57"/>
      <c r="D993" s="57"/>
      <c r="E993" s="56"/>
      <c r="F993" s="57"/>
      <c r="G993" s="57"/>
      <c r="H993" s="56"/>
      <c r="I993" s="56"/>
      <c r="J993" s="58"/>
      <c r="K993" s="58"/>
      <c r="L993" s="13" t="str">
        <f t="shared" si="150"/>
        <v/>
      </c>
      <c r="M993" s="13" t="str">
        <f t="shared" si="151"/>
        <v/>
      </c>
      <c r="Q993" t="str">
        <f t="shared" si="152"/>
        <v/>
      </c>
      <c r="R993" t="str">
        <f t="shared" si="153"/>
        <v/>
      </c>
      <c r="S993" t="str">
        <f t="shared" si="154"/>
        <v/>
      </c>
      <c r="T993" t="str">
        <f t="shared" si="155"/>
        <v/>
      </c>
      <c r="U993" t="str">
        <f t="shared" si="156"/>
        <v/>
      </c>
      <c r="V993" t="str">
        <f t="shared" si="157"/>
        <v/>
      </c>
      <c r="W993" t="str">
        <f t="shared" si="158"/>
        <v/>
      </c>
      <c r="X993">
        <f>IF($T993="",N($X992),IF(MATCH($T993,$T$6:$T$10005,0)=ROW()-5,N($X992)+1,N($X992)))</f>
        <v>0</v>
      </c>
      <c r="Z993" t="str">
        <f t="shared" si="159"/>
        <v/>
      </c>
      <c r="AA993">
        <f>IF($V993="",N($AA992),IF(MATCH($V993,$V$6:$V$10005,0)=ROW()-5,N($AA992)+1,N($AA992)))</f>
        <v>0</v>
      </c>
    </row>
    <row r="994" spans="1:27" ht="21" customHeight="1" x14ac:dyDescent="0.95">
      <c r="A994" s="56"/>
      <c r="B994" s="57"/>
      <c r="C994" s="57"/>
      <c r="D994" s="57"/>
      <c r="E994" s="56"/>
      <c r="F994" s="57"/>
      <c r="G994" s="57"/>
      <c r="H994" s="56"/>
      <c r="I994" s="56"/>
      <c r="J994" s="58"/>
      <c r="K994" s="58"/>
      <c r="L994" s="13" t="str">
        <f t="shared" si="150"/>
        <v/>
      </c>
      <c r="M994" s="13" t="str">
        <f t="shared" si="151"/>
        <v/>
      </c>
      <c r="Q994" t="str">
        <f t="shared" si="152"/>
        <v/>
      </c>
      <c r="R994" t="str">
        <f t="shared" si="153"/>
        <v/>
      </c>
      <c r="S994" t="str">
        <f t="shared" si="154"/>
        <v/>
      </c>
      <c r="T994" t="str">
        <f t="shared" si="155"/>
        <v/>
      </c>
      <c r="U994" t="str">
        <f t="shared" si="156"/>
        <v/>
      </c>
      <c r="V994" t="str">
        <f t="shared" si="157"/>
        <v/>
      </c>
      <c r="W994" t="str">
        <f t="shared" si="158"/>
        <v/>
      </c>
      <c r="X994">
        <f>IF($T994="",N($X993),IF(MATCH($T994,$T$6:$T$10005,0)=ROW()-5,N($X993)+1,N($X993)))</f>
        <v>0</v>
      </c>
      <c r="Z994" t="str">
        <f t="shared" si="159"/>
        <v/>
      </c>
      <c r="AA994">
        <f>IF($V994="",N($AA993),IF(MATCH($V994,$V$6:$V$10005,0)=ROW()-5,N($AA993)+1,N($AA993)))</f>
        <v>0</v>
      </c>
    </row>
    <row r="995" spans="1:27" ht="21" customHeight="1" x14ac:dyDescent="0.95">
      <c r="A995" s="56"/>
      <c r="B995" s="57"/>
      <c r="C995" s="57"/>
      <c r="D995" s="57"/>
      <c r="E995" s="56"/>
      <c r="F995" s="57"/>
      <c r="G995" s="57"/>
      <c r="H995" s="56"/>
      <c r="I995" s="56"/>
      <c r="J995" s="58"/>
      <c r="K995" s="58"/>
      <c r="L995" s="13" t="str">
        <f t="shared" si="150"/>
        <v/>
      </c>
      <c r="M995" s="13" t="str">
        <f t="shared" si="151"/>
        <v/>
      </c>
      <c r="Q995" t="str">
        <f t="shared" si="152"/>
        <v/>
      </c>
      <c r="R995" t="str">
        <f t="shared" si="153"/>
        <v/>
      </c>
      <c r="S995" t="str">
        <f t="shared" si="154"/>
        <v/>
      </c>
      <c r="T995" t="str">
        <f t="shared" si="155"/>
        <v/>
      </c>
      <c r="U995" t="str">
        <f t="shared" si="156"/>
        <v/>
      </c>
      <c r="V995" t="str">
        <f t="shared" si="157"/>
        <v/>
      </c>
      <c r="W995" t="str">
        <f t="shared" si="158"/>
        <v/>
      </c>
      <c r="X995">
        <f>IF($T995="",N($X994),IF(MATCH($T995,$T$6:$T$10005,0)=ROW()-5,N($X994)+1,N($X994)))</f>
        <v>0</v>
      </c>
      <c r="Z995" t="str">
        <f t="shared" si="159"/>
        <v/>
      </c>
      <c r="AA995">
        <f>IF($V995="",N($AA994),IF(MATCH($V995,$V$6:$V$10005,0)=ROW()-5,N($AA994)+1,N($AA994)))</f>
        <v>0</v>
      </c>
    </row>
    <row r="996" spans="1:27" ht="21" customHeight="1" x14ac:dyDescent="0.95">
      <c r="A996" s="56"/>
      <c r="B996" s="57"/>
      <c r="C996" s="57"/>
      <c r="D996" s="57"/>
      <c r="E996" s="56"/>
      <c r="F996" s="57"/>
      <c r="G996" s="57"/>
      <c r="H996" s="56"/>
      <c r="I996" s="56"/>
      <c r="J996" s="58"/>
      <c r="K996" s="58"/>
      <c r="L996" s="13" t="str">
        <f t="shared" si="150"/>
        <v/>
      </c>
      <c r="M996" s="13" t="str">
        <f t="shared" si="151"/>
        <v/>
      </c>
      <c r="Q996" t="str">
        <f t="shared" si="152"/>
        <v/>
      </c>
      <c r="R996" t="str">
        <f t="shared" si="153"/>
        <v/>
      </c>
      <c r="S996" t="str">
        <f t="shared" si="154"/>
        <v/>
      </c>
      <c r="T996" t="str">
        <f t="shared" si="155"/>
        <v/>
      </c>
      <c r="U996" t="str">
        <f t="shared" si="156"/>
        <v/>
      </c>
      <c r="V996" t="str">
        <f t="shared" si="157"/>
        <v/>
      </c>
      <c r="W996" t="str">
        <f t="shared" si="158"/>
        <v/>
      </c>
      <c r="X996">
        <f>IF($T996="",N($X995),IF(MATCH($T996,$T$6:$T$10005,0)=ROW()-5,N($X995)+1,N($X995)))</f>
        <v>0</v>
      </c>
      <c r="Z996" t="str">
        <f t="shared" si="159"/>
        <v/>
      </c>
      <c r="AA996">
        <f>IF($V996="",N($AA995),IF(MATCH($V996,$V$6:$V$10005,0)=ROW()-5,N($AA995)+1,N($AA995)))</f>
        <v>0</v>
      </c>
    </row>
    <row r="997" spans="1:27" ht="21" customHeight="1" x14ac:dyDescent="0.95">
      <c r="A997" s="56"/>
      <c r="B997" s="57"/>
      <c r="C997" s="57"/>
      <c r="D997" s="57"/>
      <c r="E997" s="56"/>
      <c r="F997" s="57"/>
      <c r="G997" s="57"/>
      <c r="H997" s="56"/>
      <c r="I997" s="56"/>
      <c r="J997" s="58"/>
      <c r="K997" s="58"/>
      <c r="L997" s="13" t="str">
        <f t="shared" si="150"/>
        <v/>
      </c>
      <c r="M997" s="13" t="str">
        <f t="shared" si="151"/>
        <v/>
      </c>
      <c r="Q997" t="str">
        <f t="shared" si="152"/>
        <v/>
      </c>
      <c r="R997" t="str">
        <f t="shared" si="153"/>
        <v/>
      </c>
      <c r="S997" t="str">
        <f t="shared" si="154"/>
        <v/>
      </c>
      <c r="T997" t="str">
        <f t="shared" si="155"/>
        <v/>
      </c>
      <c r="U997" t="str">
        <f t="shared" si="156"/>
        <v/>
      </c>
      <c r="V997" t="str">
        <f t="shared" si="157"/>
        <v/>
      </c>
      <c r="W997" t="str">
        <f t="shared" si="158"/>
        <v/>
      </c>
      <c r="X997">
        <f>IF($T997="",N($X996),IF(MATCH($T997,$T$6:$T$10005,0)=ROW()-5,N($X996)+1,N($X996)))</f>
        <v>0</v>
      </c>
      <c r="Z997" t="str">
        <f t="shared" si="159"/>
        <v/>
      </c>
      <c r="AA997">
        <f>IF($V997="",N($AA996),IF(MATCH($V997,$V$6:$V$10005,0)=ROW()-5,N($AA996)+1,N($AA996)))</f>
        <v>0</v>
      </c>
    </row>
    <row r="998" spans="1:27" ht="21" customHeight="1" x14ac:dyDescent="0.95">
      <c r="A998" s="56"/>
      <c r="B998" s="57"/>
      <c r="C998" s="57"/>
      <c r="D998" s="57"/>
      <c r="E998" s="56"/>
      <c r="F998" s="57"/>
      <c r="G998" s="57"/>
      <c r="H998" s="56"/>
      <c r="I998" s="56"/>
      <c r="J998" s="58"/>
      <c r="K998" s="58"/>
      <c r="L998" s="13" t="str">
        <f t="shared" si="150"/>
        <v/>
      </c>
      <c r="M998" s="13" t="str">
        <f t="shared" si="151"/>
        <v/>
      </c>
      <c r="Q998" t="str">
        <f t="shared" si="152"/>
        <v/>
      </c>
      <c r="R998" t="str">
        <f t="shared" si="153"/>
        <v/>
      </c>
      <c r="S998" t="str">
        <f t="shared" si="154"/>
        <v/>
      </c>
      <c r="T998" t="str">
        <f t="shared" si="155"/>
        <v/>
      </c>
      <c r="U998" t="str">
        <f t="shared" si="156"/>
        <v/>
      </c>
      <c r="V998" t="str">
        <f t="shared" si="157"/>
        <v/>
      </c>
      <c r="W998" t="str">
        <f t="shared" si="158"/>
        <v/>
      </c>
      <c r="X998">
        <f>IF($T998="",N($X997),IF(MATCH($T998,$T$6:$T$10005,0)=ROW()-5,N($X997)+1,N($X997)))</f>
        <v>0</v>
      </c>
      <c r="Z998" t="str">
        <f t="shared" si="159"/>
        <v/>
      </c>
      <c r="AA998">
        <f>IF($V998="",N($AA997),IF(MATCH($V998,$V$6:$V$10005,0)=ROW()-5,N($AA997)+1,N($AA997)))</f>
        <v>0</v>
      </c>
    </row>
    <row r="999" spans="1:27" ht="21" customHeight="1" x14ac:dyDescent="0.95">
      <c r="A999" s="56"/>
      <c r="B999" s="57"/>
      <c r="C999" s="57"/>
      <c r="D999" s="57"/>
      <c r="E999" s="56"/>
      <c r="F999" s="57"/>
      <c r="G999" s="57"/>
      <c r="H999" s="56"/>
      <c r="I999" s="56"/>
      <c r="J999" s="58"/>
      <c r="K999" s="58"/>
      <c r="L999" s="13" t="str">
        <f t="shared" si="150"/>
        <v/>
      </c>
      <c r="M999" s="13" t="str">
        <f t="shared" si="151"/>
        <v/>
      </c>
      <c r="Q999" t="str">
        <f t="shared" si="152"/>
        <v/>
      </c>
      <c r="R999" t="str">
        <f t="shared" si="153"/>
        <v/>
      </c>
      <c r="S999" t="str">
        <f t="shared" si="154"/>
        <v/>
      </c>
      <c r="T999" t="str">
        <f t="shared" si="155"/>
        <v/>
      </c>
      <c r="U999" t="str">
        <f t="shared" si="156"/>
        <v/>
      </c>
      <c r="V999" t="str">
        <f t="shared" si="157"/>
        <v/>
      </c>
      <c r="W999" t="str">
        <f t="shared" si="158"/>
        <v/>
      </c>
      <c r="X999">
        <f>IF($T999="",N($X998),IF(MATCH($T999,$T$6:$T$10005,0)=ROW()-5,N($X998)+1,N($X998)))</f>
        <v>0</v>
      </c>
      <c r="Z999" t="str">
        <f t="shared" si="159"/>
        <v/>
      </c>
      <c r="AA999">
        <f>IF($V999="",N($AA998),IF(MATCH($V999,$V$6:$V$10005,0)=ROW()-5,N($AA998)+1,N($AA998)))</f>
        <v>0</v>
      </c>
    </row>
    <row r="1000" spans="1:27" ht="21" customHeight="1" x14ac:dyDescent="0.95">
      <c r="A1000" s="56"/>
      <c r="B1000" s="57"/>
      <c r="C1000" s="57"/>
      <c r="D1000" s="57"/>
      <c r="E1000" s="56"/>
      <c r="F1000" s="57"/>
      <c r="G1000" s="57"/>
      <c r="H1000" s="56"/>
      <c r="I1000" s="56"/>
      <c r="J1000" s="58"/>
      <c r="K1000" s="58"/>
      <c r="L1000" s="13" t="str">
        <f t="shared" si="150"/>
        <v/>
      </c>
      <c r="M1000" s="13" t="str">
        <f t="shared" si="151"/>
        <v/>
      </c>
      <c r="Q1000" t="str">
        <f t="shared" si="152"/>
        <v/>
      </c>
      <c r="R1000" t="str">
        <f t="shared" si="153"/>
        <v/>
      </c>
      <c r="S1000" t="str">
        <f t="shared" si="154"/>
        <v/>
      </c>
      <c r="T1000" t="str">
        <f t="shared" si="155"/>
        <v/>
      </c>
      <c r="U1000" t="str">
        <f t="shared" si="156"/>
        <v/>
      </c>
      <c r="V1000" t="str">
        <f t="shared" si="157"/>
        <v/>
      </c>
      <c r="W1000" t="str">
        <f t="shared" si="158"/>
        <v/>
      </c>
      <c r="X1000">
        <f>IF($T1000="",N($X999),IF(MATCH($T1000,$T$6:$T$10005,0)=ROW()-5,N($X999)+1,N($X999)))</f>
        <v>0</v>
      </c>
      <c r="Z1000" t="str">
        <f t="shared" si="159"/>
        <v/>
      </c>
      <c r="AA1000">
        <f>IF($V1000="",N($AA999),IF(MATCH($V1000,$V$6:$V$10005,0)=ROW()-5,N($AA999)+1,N($AA999)))</f>
        <v>0</v>
      </c>
    </row>
    <row r="1001" spans="1:27" ht="21" customHeight="1" x14ac:dyDescent="0.95">
      <c r="A1001" s="56"/>
      <c r="B1001" s="57"/>
      <c r="C1001" s="57"/>
      <c r="D1001" s="57"/>
      <c r="E1001" s="56"/>
      <c r="F1001" s="57"/>
      <c r="G1001" s="57"/>
      <c r="H1001" s="56"/>
      <c r="I1001" s="56"/>
      <c r="J1001" s="58"/>
      <c r="K1001" s="58"/>
      <c r="L1001" s="13" t="str">
        <f t="shared" si="150"/>
        <v/>
      </c>
      <c r="M1001" s="13" t="str">
        <f t="shared" si="151"/>
        <v/>
      </c>
      <c r="Q1001" t="str">
        <f t="shared" si="152"/>
        <v/>
      </c>
      <c r="R1001" t="str">
        <f t="shared" si="153"/>
        <v/>
      </c>
      <c r="S1001" t="str">
        <f t="shared" si="154"/>
        <v/>
      </c>
      <c r="T1001" t="str">
        <f t="shared" si="155"/>
        <v/>
      </c>
      <c r="U1001" t="str">
        <f t="shared" si="156"/>
        <v/>
      </c>
      <c r="V1001" t="str">
        <f t="shared" si="157"/>
        <v/>
      </c>
      <c r="W1001" t="str">
        <f t="shared" si="158"/>
        <v/>
      </c>
      <c r="X1001">
        <f>IF($T1001="",N($X1000),IF(MATCH($T1001,$T$6:$T$10005,0)=ROW()-5,N($X1000)+1,N($X1000)))</f>
        <v>0</v>
      </c>
      <c r="Z1001" t="str">
        <f t="shared" si="159"/>
        <v/>
      </c>
      <c r="AA1001">
        <f>IF($V1001="",N($AA1000),IF(MATCH($V1001,$V$6:$V$10005,0)=ROW()-5,N($AA1000)+1,N($AA1000)))</f>
        <v>0</v>
      </c>
    </row>
    <row r="1002" spans="1:27" ht="21" customHeight="1" x14ac:dyDescent="0.95">
      <c r="A1002" s="56"/>
      <c r="B1002" s="57"/>
      <c r="C1002" s="57"/>
      <c r="D1002" s="57"/>
      <c r="E1002" s="56"/>
      <c r="F1002" s="57"/>
      <c r="G1002" s="57"/>
      <c r="H1002" s="56"/>
      <c r="I1002" s="56"/>
      <c r="J1002" s="58"/>
      <c r="K1002" s="58"/>
      <c r="L1002" s="13" t="str">
        <f t="shared" si="150"/>
        <v/>
      </c>
      <c r="M1002" s="13" t="str">
        <f t="shared" si="151"/>
        <v/>
      </c>
      <c r="Q1002" t="str">
        <f t="shared" si="152"/>
        <v/>
      </c>
      <c r="R1002" t="str">
        <f t="shared" si="153"/>
        <v/>
      </c>
      <c r="S1002" t="str">
        <f t="shared" si="154"/>
        <v/>
      </c>
      <c r="T1002" t="str">
        <f t="shared" si="155"/>
        <v/>
      </c>
      <c r="U1002" t="str">
        <f t="shared" si="156"/>
        <v/>
      </c>
      <c r="V1002" t="str">
        <f t="shared" si="157"/>
        <v/>
      </c>
      <c r="W1002" t="str">
        <f t="shared" si="158"/>
        <v/>
      </c>
      <c r="X1002">
        <f>IF($T1002="",N($X1001),IF(MATCH($T1002,$T$6:$T$10005,0)=ROW()-5,N($X1001)+1,N($X1001)))</f>
        <v>0</v>
      </c>
      <c r="Z1002" t="str">
        <f t="shared" si="159"/>
        <v/>
      </c>
      <c r="AA1002">
        <f>IF($V1002="",N($AA1001),IF(MATCH($V1002,$V$6:$V$10005,0)=ROW()-5,N($AA1001)+1,N($AA1001)))</f>
        <v>0</v>
      </c>
    </row>
    <row r="1003" spans="1:27" ht="21" customHeight="1" x14ac:dyDescent="0.95">
      <c r="A1003" s="56"/>
      <c r="B1003" s="57"/>
      <c r="C1003" s="57"/>
      <c r="D1003" s="57"/>
      <c r="E1003" s="56"/>
      <c r="F1003" s="57"/>
      <c r="G1003" s="57"/>
      <c r="H1003" s="56"/>
      <c r="I1003" s="56"/>
      <c r="J1003" s="58"/>
      <c r="K1003" s="58"/>
      <c r="L1003" s="13" t="str">
        <f t="shared" si="150"/>
        <v/>
      </c>
      <c r="M1003" s="13" t="str">
        <f t="shared" si="151"/>
        <v/>
      </c>
      <c r="Q1003" t="str">
        <f t="shared" si="152"/>
        <v/>
      </c>
      <c r="R1003" t="str">
        <f t="shared" si="153"/>
        <v/>
      </c>
      <c r="S1003" t="str">
        <f t="shared" si="154"/>
        <v/>
      </c>
      <c r="T1003" t="str">
        <f t="shared" si="155"/>
        <v/>
      </c>
      <c r="U1003" t="str">
        <f t="shared" si="156"/>
        <v/>
      </c>
      <c r="V1003" t="str">
        <f t="shared" si="157"/>
        <v/>
      </c>
      <c r="W1003" t="str">
        <f t="shared" si="158"/>
        <v/>
      </c>
      <c r="X1003">
        <f>IF($T1003="",N($X1002),IF(MATCH($T1003,$T$6:$T$10005,0)=ROW()-5,N($X1002)+1,N($X1002)))</f>
        <v>0</v>
      </c>
      <c r="Z1003" t="str">
        <f t="shared" si="159"/>
        <v/>
      </c>
      <c r="AA1003">
        <f>IF($V1003="",N($AA1002),IF(MATCH($V1003,$V$6:$V$10005,0)=ROW()-5,N($AA1002)+1,N($AA1002)))</f>
        <v>0</v>
      </c>
    </row>
    <row r="1004" spans="1:27" ht="21" customHeight="1" x14ac:dyDescent="0.95">
      <c r="A1004" s="56"/>
      <c r="B1004" s="57"/>
      <c r="C1004" s="57"/>
      <c r="D1004" s="57"/>
      <c r="E1004" s="56"/>
      <c r="F1004" s="57"/>
      <c r="G1004" s="57"/>
      <c r="H1004" s="56"/>
      <c r="I1004" s="56"/>
      <c r="J1004" s="58"/>
      <c r="K1004" s="58"/>
      <c r="L1004" s="13" t="str">
        <f t="shared" si="150"/>
        <v/>
      </c>
      <c r="M1004" s="13" t="str">
        <f t="shared" si="151"/>
        <v/>
      </c>
      <c r="Q1004" t="str">
        <f t="shared" si="152"/>
        <v/>
      </c>
      <c r="R1004" t="str">
        <f t="shared" si="153"/>
        <v/>
      </c>
      <c r="S1004" t="str">
        <f t="shared" si="154"/>
        <v/>
      </c>
      <c r="T1004" t="str">
        <f t="shared" si="155"/>
        <v/>
      </c>
      <c r="U1004" t="str">
        <f t="shared" si="156"/>
        <v/>
      </c>
      <c r="V1004" t="str">
        <f t="shared" si="157"/>
        <v/>
      </c>
      <c r="W1004" t="str">
        <f t="shared" si="158"/>
        <v/>
      </c>
      <c r="X1004">
        <f>IF($T1004="",N($X1003),IF(MATCH($T1004,$T$6:$T$10005,0)=ROW()-5,N($X1003)+1,N($X1003)))</f>
        <v>0</v>
      </c>
      <c r="Z1004" t="str">
        <f t="shared" si="159"/>
        <v/>
      </c>
      <c r="AA1004">
        <f>IF($V1004="",N($AA1003),IF(MATCH($V1004,$V$6:$V$10005,0)=ROW()-5,N($AA1003)+1,N($AA1003)))</f>
        <v>0</v>
      </c>
    </row>
    <row r="1005" spans="1:27" ht="21" customHeight="1" x14ac:dyDescent="0.95">
      <c r="A1005" s="56"/>
      <c r="B1005" s="57"/>
      <c r="C1005" s="57"/>
      <c r="D1005" s="57"/>
      <c r="E1005" s="56"/>
      <c r="F1005" s="57"/>
      <c r="G1005" s="57"/>
      <c r="H1005" s="56"/>
      <c r="I1005" s="56"/>
      <c r="J1005" s="58"/>
      <c r="K1005" s="58"/>
      <c r="L1005" s="13" t="str">
        <f t="shared" si="150"/>
        <v/>
      </c>
      <c r="M1005" s="13" t="str">
        <f t="shared" si="151"/>
        <v/>
      </c>
      <c r="Q1005" t="str">
        <f t="shared" si="152"/>
        <v/>
      </c>
      <c r="R1005" t="str">
        <f t="shared" si="153"/>
        <v/>
      </c>
      <c r="S1005" t="str">
        <f t="shared" si="154"/>
        <v/>
      </c>
      <c r="T1005" t="str">
        <f t="shared" si="155"/>
        <v/>
      </c>
      <c r="U1005" t="str">
        <f t="shared" si="156"/>
        <v/>
      </c>
      <c r="V1005" t="str">
        <f t="shared" si="157"/>
        <v/>
      </c>
      <c r="W1005" t="str">
        <f t="shared" si="158"/>
        <v/>
      </c>
      <c r="X1005">
        <f>IF($T1005="",N($X1004),IF(MATCH($T1005,$T$6:$T$10005,0)=ROW()-5,N($X1004)+1,N($X1004)))</f>
        <v>0</v>
      </c>
      <c r="Z1005" t="str">
        <f t="shared" si="159"/>
        <v/>
      </c>
      <c r="AA1005">
        <f>IF($V1005="",N($AA1004),IF(MATCH($V1005,$V$6:$V$10005,0)=ROW()-5,N($AA1004)+1,N($AA1004)))</f>
        <v>0</v>
      </c>
    </row>
    <row r="1006" spans="1:27" ht="21" customHeight="1" x14ac:dyDescent="0.95">
      <c r="A1006" s="56"/>
      <c r="B1006" s="57"/>
      <c r="C1006" s="57"/>
      <c r="D1006" s="57"/>
      <c r="E1006" s="56"/>
      <c r="F1006" s="57"/>
      <c r="G1006" s="57"/>
      <c r="H1006" s="56"/>
      <c r="I1006" s="56"/>
      <c r="J1006" s="58"/>
      <c r="K1006" s="58"/>
      <c r="L1006" s="13" t="str">
        <f t="shared" si="150"/>
        <v/>
      </c>
      <c r="M1006" s="13" t="str">
        <f t="shared" si="151"/>
        <v/>
      </c>
      <c r="Q1006" t="str">
        <f t="shared" si="152"/>
        <v/>
      </c>
      <c r="R1006" t="str">
        <f t="shared" si="153"/>
        <v/>
      </c>
      <c r="S1006" t="str">
        <f t="shared" si="154"/>
        <v/>
      </c>
      <c r="T1006" t="str">
        <f t="shared" si="155"/>
        <v/>
      </c>
      <c r="U1006" t="str">
        <f t="shared" si="156"/>
        <v/>
      </c>
      <c r="V1006" t="str">
        <f t="shared" si="157"/>
        <v/>
      </c>
      <c r="W1006" t="str">
        <f t="shared" si="158"/>
        <v/>
      </c>
      <c r="X1006">
        <f>IF($T1006="",N($X1005),IF(MATCH($T1006,$T$6:$T$10005,0)=ROW()-5,N($X1005)+1,N($X1005)))</f>
        <v>0</v>
      </c>
      <c r="Z1006" t="str">
        <f t="shared" si="159"/>
        <v/>
      </c>
      <c r="AA1006">
        <f>IF($V1006="",N($AA1005),IF(MATCH($V1006,$V$6:$V$10005,0)=ROW()-5,N($AA1005)+1,N($AA1005)))</f>
        <v>0</v>
      </c>
    </row>
    <row r="1007" spans="1:27" ht="21" customHeight="1" x14ac:dyDescent="0.95">
      <c r="A1007" s="56"/>
      <c r="B1007" s="57"/>
      <c r="C1007" s="57"/>
      <c r="D1007" s="57"/>
      <c r="E1007" s="56"/>
      <c r="F1007" s="57"/>
      <c r="G1007" s="57"/>
      <c r="H1007" s="56"/>
      <c r="I1007" s="56"/>
      <c r="J1007" s="58"/>
      <c r="K1007" s="58"/>
      <c r="L1007" s="13" t="str">
        <f t="shared" si="150"/>
        <v/>
      </c>
      <c r="M1007" s="13" t="str">
        <f t="shared" si="151"/>
        <v/>
      </c>
      <c r="Q1007" t="str">
        <f t="shared" si="152"/>
        <v/>
      </c>
      <c r="R1007" t="str">
        <f t="shared" si="153"/>
        <v/>
      </c>
      <c r="S1007" t="str">
        <f t="shared" si="154"/>
        <v/>
      </c>
      <c r="T1007" t="str">
        <f t="shared" si="155"/>
        <v/>
      </c>
      <c r="U1007" t="str">
        <f t="shared" si="156"/>
        <v/>
      </c>
      <c r="V1007" t="str">
        <f t="shared" si="157"/>
        <v/>
      </c>
      <c r="W1007" t="str">
        <f t="shared" si="158"/>
        <v/>
      </c>
      <c r="X1007">
        <f>IF($T1007="",N($X1006),IF(MATCH($T1007,$T$6:$T$10005,0)=ROW()-5,N($X1006)+1,N($X1006)))</f>
        <v>0</v>
      </c>
      <c r="Z1007" t="str">
        <f t="shared" si="159"/>
        <v/>
      </c>
      <c r="AA1007">
        <f>IF($V1007="",N($AA1006),IF(MATCH($V1007,$V$6:$V$10005,0)=ROW()-5,N($AA1006)+1,N($AA1006)))</f>
        <v>0</v>
      </c>
    </row>
    <row r="1008" spans="1:27" ht="21" customHeight="1" x14ac:dyDescent="0.95">
      <c r="A1008" s="56"/>
      <c r="B1008" s="57"/>
      <c r="C1008" s="57"/>
      <c r="D1008" s="57"/>
      <c r="E1008" s="56"/>
      <c r="F1008" s="57"/>
      <c r="G1008" s="57"/>
      <c r="H1008" s="56"/>
      <c r="I1008" s="56"/>
      <c r="J1008" s="58"/>
      <c r="K1008" s="58"/>
      <c r="L1008" s="13" t="str">
        <f t="shared" si="150"/>
        <v/>
      </c>
      <c r="M1008" s="13" t="str">
        <f t="shared" si="151"/>
        <v/>
      </c>
      <c r="Q1008" t="str">
        <f t="shared" si="152"/>
        <v/>
      </c>
      <c r="R1008" t="str">
        <f t="shared" si="153"/>
        <v/>
      </c>
      <c r="S1008" t="str">
        <f t="shared" si="154"/>
        <v/>
      </c>
      <c r="T1008" t="str">
        <f t="shared" si="155"/>
        <v/>
      </c>
      <c r="U1008" t="str">
        <f t="shared" si="156"/>
        <v/>
      </c>
      <c r="V1008" t="str">
        <f t="shared" si="157"/>
        <v/>
      </c>
      <c r="W1008" t="str">
        <f t="shared" si="158"/>
        <v/>
      </c>
      <c r="X1008">
        <f>IF($T1008="",N($X1007),IF(MATCH($T1008,$T$6:$T$10005,0)=ROW()-5,N($X1007)+1,N($X1007)))</f>
        <v>0</v>
      </c>
      <c r="Z1008" t="str">
        <f t="shared" si="159"/>
        <v/>
      </c>
      <c r="AA1008">
        <f>IF($V1008="",N($AA1007),IF(MATCH($V1008,$V$6:$V$10005,0)=ROW()-5,N($AA1007)+1,N($AA1007)))</f>
        <v>0</v>
      </c>
    </row>
    <row r="1009" spans="1:27" ht="21" customHeight="1" x14ac:dyDescent="0.95">
      <c r="A1009" s="56"/>
      <c r="B1009" s="57"/>
      <c r="C1009" s="57"/>
      <c r="D1009" s="57"/>
      <c r="E1009" s="56"/>
      <c r="F1009" s="57"/>
      <c r="G1009" s="57"/>
      <c r="H1009" s="56"/>
      <c r="I1009" s="56"/>
      <c r="J1009" s="58"/>
      <c r="K1009" s="58"/>
      <c r="L1009" s="13" t="str">
        <f t="shared" si="150"/>
        <v/>
      </c>
      <c r="M1009" s="13" t="str">
        <f t="shared" si="151"/>
        <v/>
      </c>
      <c r="Q1009" t="str">
        <f t="shared" si="152"/>
        <v/>
      </c>
      <c r="R1009" t="str">
        <f t="shared" si="153"/>
        <v/>
      </c>
      <c r="S1009" t="str">
        <f t="shared" si="154"/>
        <v/>
      </c>
      <c r="T1009" t="str">
        <f t="shared" si="155"/>
        <v/>
      </c>
      <c r="U1009" t="str">
        <f t="shared" si="156"/>
        <v/>
      </c>
      <c r="V1009" t="str">
        <f t="shared" si="157"/>
        <v/>
      </c>
      <c r="W1009" t="str">
        <f t="shared" si="158"/>
        <v/>
      </c>
      <c r="X1009">
        <f>IF($T1009="",N($X1008),IF(MATCH($T1009,$T$6:$T$10005,0)=ROW()-5,N($X1008)+1,N($X1008)))</f>
        <v>0</v>
      </c>
      <c r="Z1009" t="str">
        <f t="shared" si="159"/>
        <v/>
      </c>
      <c r="AA1009">
        <f>IF($V1009="",N($AA1008),IF(MATCH($V1009,$V$6:$V$10005,0)=ROW()-5,N($AA1008)+1,N($AA1008)))</f>
        <v>0</v>
      </c>
    </row>
    <row r="1010" spans="1:27" ht="21" customHeight="1" x14ac:dyDescent="0.95">
      <c r="A1010" s="56"/>
      <c r="B1010" s="57"/>
      <c r="C1010" s="57"/>
      <c r="D1010" s="57"/>
      <c r="E1010" s="56"/>
      <c r="F1010" s="57"/>
      <c r="G1010" s="57"/>
      <c r="H1010" s="56"/>
      <c r="I1010" s="56"/>
      <c r="J1010" s="58"/>
      <c r="K1010" s="58"/>
      <c r="L1010" s="13" t="str">
        <f t="shared" si="150"/>
        <v/>
      </c>
      <c r="M1010" s="13" t="str">
        <f t="shared" si="151"/>
        <v/>
      </c>
      <c r="Q1010" t="str">
        <f t="shared" si="152"/>
        <v/>
      </c>
      <c r="R1010" t="str">
        <f t="shared" si="153"/>
        <v/>
      </c>
      <c r="S1010" t="str">
        <f t="shared" si="154"/>
        <v/>
      </c>
      <c r="T1010" t="str">
        <f t="shared" si="155"/>
        <v/>
      </c>
      <c r="U1010" t="str">
        <f t="shared" si="156"/>
        <v/>
      </c>
      <c r="V1010" t="str">
        <f t="shared" si="157"/>
        <v/>
      </c>
      <c r="W1010" t="str">
        <f t="shared" si="158"/>
        <v/>
      </c>
      <c r="X1010">
        <f>IF($T1010="",N($X1009),IF(MATCH($T1010,$T$6:$T$10005,0)=ROW()-5,N($X1009)+1,N($X1009)))</f>
        <v>0</v>
      </c>
      <c r="Z1010" t="str">
        <f t="shared" si="159"/>
        <v/>
      </c>
      <c r="AA1010">
        <f>IF($V1010="",N($AA1009),IF(MATCH($V1010,$V$6:$V$10005,0)=ROW()-5,N($AA1009)+1,N($AA1009)))</f>
        <v>0</v>
      </c>
    </row>
    <row r="1011" spans="1:27" ht="21" customHeight="1" x14ac:dyDescent="0.95">
      <c r="A1011" s="56"/>
      <c r="B1011" s="57"/>
      <c r="C1011" s="57"/>
      <c r="D1011" s="57"/>
      <c r="E1011" s="56"/>
      <c r="F1011" s="57"/>
      <c r="G1011" s="57"/>
      <c r="H1011" s="56"/>
      <c r="I1011" s="56"/>
      <c r="J1011" s="58"/>
      <c r="K1011" s="58"/>
      <c r="L1011" s="13" t="str">
        <f t="shared" si="150"/>
        <v/>
      </c>
      <c r="M1011" s="13" t="str">
        <f t="shared" si="151"/>
        <v/>
      </c>
      <c r="Q1011" t="str">
        <f t="shared" si="152"/>
        <v/>
      </c>
      <c r="R1011" t="str">
        <f t="shared" si="153"/>
        <v/>
      </c>
      <c r="S1011" t="str">
        <f t="shared" si="154"/>
        <v/>
      </c>
      <c r="T1011" t="str">
        <f t="shared" si="155"/>
        <v/>
      </c>
      <c r="U1011" t="str">
        <f t="shared" si="156"/>
        <v/>
      </c>
      <c r="V1011" t="str">
        <f t="shared" si="157"/>
        <v/>
      </c>
      <c r="W1011" t="str">
        <f t="shared" si="158"/>
        <v/>
      </c>
      <c r="X1011">
        <f>IF($T1011="",N($X1010),IF(MATCH($T1011,$T$6:$T$10005,0)=ROW()-5,N($X1010)+1,N($X1010)))</f>
        <v>0</v>
      </c>
      <c r="Z1011" t="str">
        <f t="shared" si="159"/>
        <v/>
      </c>
      <c r="AA1011">
        <f>IF($V1011="",N($AA1010),IF(MATCH($V1011,$V$6:$V$10005,0)=ROW()-5,N($AA1010)+1,N($AA1010)))</f>
        <v>0</v>
      </c>
    </row>
    <row r="1012" spans="1:27" ht="21" customHeight="1" x14ac:dyDescent="0.95">
      <c r="A1012" s="56"/>
      <c r="B1012" s="57"/>
      <c r="C1012" s="57"/>
      <c r="D1012" s="57"/>
      <c r="E1012" s="56"/>
      <c r="F1012" s="57"/>
      <c r="G1012" s="57"/>
      <c r="H1012" s="56"/>
      <c r="I1012" s="56"/>
      <c r="J1012" s="58"/>
      <c r="K1012" s="58"/>
      <c r="L1012" s="13" t="str">
        <f t="shared" si="150"/>
        <v/>
      </c>
      <c r="M1012" s="13" t="str">
        <f t="shared" si="151"/>
        <v/>
      </c>
      <c r="Q1012" t="str">
        <f t="shared" si="152"/>
        <v/>
      </c>
      <c r="R1012" t="str">
        <f t="shared" si="153"/>
        <v/>
      </c>
      <c r="S1012" t="str">
        <f t="shared" si="154"/>
        <v/>
      </c>
      <c r="T1012" t="str">
        <f t="shared" si="155"/>
        <v/>
      </c>
      <c r="U1012" t="str">
        <f t="shared" si="156"/>
        <v/>
      </c>
      <c r="V1012" t="str">
        <f t="shared" si="157"/>
        <v/>
      </c>
      <c r="W1012" t="str">
        <f t="shared" si="158"/>
        <v/>
      </c>
      <c r="X1012">
        <f>IF($T1012="",N($X1011),IF(MATCH($T1012,$T$6:$T$10005,0)=ROW()-5,N($X1011)+1,N($X1011)))</f>
        <v>0</v>
      </c>
      <c r="Z1012" t="str">
        <f t="shared" si="159"/>
        <v/>
      </c>
      <c r="AA1012">
        <f>IF($V1012="",N($AA1011),IF(MATCH($V1012,$V$6:$V$10005,0)=ROW()-5,N($AA1011)+1,N($AA1011)))</f>
        <v>0</v>
      </c>
    </row>
    <row r="1013" spans="1:27" ht="21" customHeight="1" x14ac:dyDescent="0.95">
      <c r="A1013" s="56"/>
      <c r="B1013" s="57"/>
      <c r="C1013" s="57"/>
      <c r="D1013" s="57"/>
      <c r="E1013" s="56"/>
      <c r="F1013" s="57"/>
      <c r="G1013" s="57"/>
      <c r="H1013" s="56"/>
      <c r="I1013" s="56"/>
      <c r="J1013" s="58"/>
      <c r="K1013" s="58"/>
      <c r="L1013" s="13" t="str">
        <f t="shared" si="150"/>
        <v/>
      </c>
      <c r="M1013" s="13" t="str">
        <f t="shared" si="151"/>
        <v/>
      </c>
      <c r="Q1013" t="str">
        <f t="shared" si="152"/>
        <v/>
      </c>
      <c r="R1013" t="str">
        <f t="shared" si="153"/>
        <v/>
      </c>
      <c r="S1013" t="str">
        <f t="shared" si="154"/>
        <v/>
      </c>
      <c r="T1013" t="str">
        <f t="shared" si="155"/>
        <v/>
      </c>
      <c r="U1013" t="str">
        <f t="shared" si="156"/>
        <v/>
      </c>
      <c r="V1013" t="str">
        <f t="shared" si="157"/>
        <v/>
      </c>
      <c r="W1013" t="str">
        <f t="shared" si="158"/>
        <v/>
      </c>
      <c r="X1013">
        <f>IF($T1013="",N($X1012),IF(MATCH($T1013,$T$6:$T$10005,0)=ROW()-5,N($X1012)+1,N($X1012)))</f>
        <v>0</v>
      </c>
      <c r="Z1013" t="str">
        <f t="shared" si="159"/>
        <v/>
      </c>
      <c r="AA1013">
        <f>IF($V1013="",N($AA1012),IF(MATCH($V1013,$V$6:$V$10005,0)=ROW()-5,N($AA1012)+1,N($AA1012)))</f>
        <v>0</v>
      </c>
    </row>
    <row r="1014" spans="1:27" ht="21" customHeight="1" x14ac:dyDescent="0.95">
      <c r="A1014" s="56"/>
      <c r="B1014" s="57"/>
      <c r="C1014" s="57"/>
      <c r="D1014" s="57"/>
      <c r="E1014" s="56"/>
      <c r="F1014" s="57"/>
      <c r="G1014" s="57"/>
      <c r="H1014" s="56"/>
      <c r="I1014" s="56"/>
      <c r="J1014" s="58"/>
      <c r="K1014" s="58"/>
      <c r="L1014" s="13" t="str">
        <f t="shared" si="150"/>
        <v/>
      </c>
      <c r="M1014" s="13" t="str">
        <f t="shared" si="151"/>
        <v/>
      </c>
      <c r="Q1014" t="str">
        <f t="shared" si="152"/>
        <v/>
      </c>
      <c r="R1014" t="str">
        <f t="shared" si="153"/>
        <v/>
      </c>
      <c r="S1014" t="str">
        <f t="shared" si="154"/>
        <v/>
      </c>
      <c r="T1014" t="str">
        <f t="shared" si="155"/>
        <v/>
      </c>
      <c r="U1014" t="str">
        <f t="shared" si="156"/>
        <v/>
      </c>
      <c r="V1014" t="str">
        <f t="shared" si="157"/>
        <v/>
      </c>
      <c r="W1014" t="str">
        <f t="shared" si="158"/>
        <v/>
      </c>
      <c r="X1014">
        <f>IF($T1014="",N($X1013),IF(MATCH($T1014,$T$6:$T$10005,0)=ROW()-5,N($X1013)+1,N($X1013)))</f>
        <v>0</v>
      </c>
      <c r="Z1014" t="str">
        <f t="shared" si="159"/>
        <v/>
      </c>
      <c r="AA1014">
        <f>IF($V1014="",N($AA1013),IF(MATCH($V1014,$V$6:$V$10005,0)=ROW()-5,N($AA1013)+1,N($AA1013)))</f>
        <v>0</v>
      </c>
    </row>
    <row r="1015" spans="1:27" ht="21" customHeight="1" x14ac:dyDescent="0.95">
      <c r="A1015" s="56"/>
      <c r="B1015" s="57"/>
      <c r="C1015" s="57"/>
      <c r="D1015" s="57"/>
      <c r="E1015" s="56"/>
      <c r="F1015" s="57"/>
      <c r="G1015" s="57"/>
      <c r="H1015" s="56"/>
      <c r="I1015" s="56"/>
      <c r="J1015" s="58"/>
      <c r="K1015" s="58"/>
      <c r="L1015" s="13" t="str">
        <f t="shared" si="150"/>
        <v/>
      </c>
      <c r="M1015" s="13" t="str">
        <f t="shared" si="151"/>
        <v/>
      </c>
      <c r="Q1015" t="str">
        <f t="shared" si="152"/>
        <v/>
      </c>
      <c r="R1015" t="str">
        <f t="shared" si="153"/>
        <v/>
      </c>
      <c r="S1015" t="str">
        <f t="shared" si="154"/>
        <v/>
      </c>
      <c r="T1015" t="str">
        <f t="shared" si="155"/>
        <v/>
      </c>
      <c r="U1015" t="str">
        <f t="shared" si="156"/>
        <v/>
      </c>
      <c r="V1015" t="str">
        <f t="shared" si="157"/>
        <v/>
      </c>
      <c r="W1015" t="str">
        <f t="shared" si="158"/>
        <v/>
      </c>
      <c r="X1015">
        <f>IF($T1015="",N($X1014),IF(MATCH($T1015,$T$6:$T$10005,0)=ROW()-5,N($X1014)+1,N($X1014)))</f>
        <v>0</v>
      </c>
      <c r="Z1015" t="str">
        <f t="shared" si="159"/>
        <v/>
      </c>
      <c r="AA1015">
        <f>IF($V1015="",N($AA1014),IF(MATCH($V1015,$V$6:$V$10005,0)=ROW()-5,N($AA1014)+1,N($AA1014)))</f>
        <v>0</v>
      </c>
    </row>
    <row r="1016" spans="1:27" ht="21" customHeight="1" x14ac:dyDescent="0.95">
      <c r="A1016" s="56"/>
      <c r="B1016" s="57"/>
      <c r="C1016" s="57"/>
      <c r="D1016" s="57"/>
      <c r="E1016" s="56"/>
      <c r="F1016" s="57"/>
      <c r="G1016" s="57"/>
      <c r="H1016" s="56"/>
      <c r="I1016" s="56"/>
      <c r="J1016" s="58"/>
      <c r="K1016" s="58"/>
      <c r="L1016" s="13" t="str">
        <f t="shared" si="150"/>
        <v/>
      </c>
      <c r="M1016" s="13" t="str">
        <f t="shared" si="151"/>
        <v/>
      </c>
      <c r="Q1016" t="str">
        <f t="shared" si="152"/>
        <v/>
      </c>
      <c r="R1016" t="str">
        <f t="shared" si="153"/>
        <v/>
      </c>
      <c r="S1016" t="str">
        <f t="shared" si="154"/>
        <v/>
      </c>
      <c r="T1016" t="str">
        <f t="shared" si="155"/>
        <v/>
      </c>
      <c r="U1016" t="str">
        <f t="shared" si="156"/>
        <v/>
      </c>
      <c r="V1016" t="str">
        <f t="shared" si="157"/>
        <v/>
      </c>
      <c r="W1016" t="str">
        <f t="shared" si="158"/>
        <v/>
      </c>
      <c r="X1016">
        <f>IF($T1016="",N($X1015),IF(MATCH($T1016,$T$6:$T$10005,0)=ROW()-5,N($X1015)+1,N($X1015)))</f>
        <v>0</v>
      </c>
      <c r="Z1016" t="str">
        <f t="shared" si="159"/>
        <v/>
      </c>
      <c r="AA1016">
        <f>IF($V1016="",N($AA1015),IF(MATCH($V1016,$V$6:$V$10005,0)=ROW()-5,N($AA1015)+1,N($AA1015)))</f>
        <v>0</v>
      </c>
    </row>
    <row r="1017" spans="1:27" ht="21" customHeight="1" x14ac:dyDescent="0.95">
      <c r="A1017" s="56"/>
      <c r="B1017" s="57"/>
      <c r="C1017" s="57"/>
      <c r="D1017" s="57"/>
      <c r="E1017" s="56"/>
      <c r="F1017" s="57"/>
      <c r="G1017" s="57"/>
      <c r="H1017" s="56"/>
      <c r="I1017" s="56"/>
      <c r="J1017" s="58"/>
      <c r="K1017" s="58"/>
      <c r="L1017" s="13" t="str">
        <f t="shared" si="150"/>
        <v/>
      </c>
      <c r="M1017" s="13" t="str">
        <f t="shared" si="151"/>
        <v/>
      </c>
      <c r="Q1017" t="str">
        <f t="shared" si="152"/>
        <v/>
      </c>
      <c r="R1017" t="str">
        <f t="shared" si="153"/>
        <v/>
      </c>
      <c r="S1017" t="str">
        <f t="shared" si="154"/>
        <v/>
      </c>
      <c r="T1017" t="str">
        <f t="shared" si="155"/>
        <v/>
      </c>
      <c r="U1017" t="str">
        <f t="shared" si="156"/>
        <v/>
      </c>
      <c r="V1017" t="str">
        <f t="shared" si="157"/>
        <v/>
      </c>
      <c r="W1017" t="str">
        <f t="shared" si="158"/>
        <v/>
      </c>
      <c r="X1017">
        <f>IF($T1017="",N($X1016),IF(MATCH($T1017,$T$6:$T$10005,0)=ROW()-5,N($X1016)+1,N($X1016)))</f>
        <v>0</v>
      </c>
      <c r="Z1017" t="str">
        <f t="shared" si="159"/>
        <v/>
      </c>
      <c r="AA1017">
        <f>IF($V1017="",N($AA1016),IF(MATCH($V1017,$V$6:$V$10005,0)=ROW()-5,N($AA1016)+1,N($AA1016)))</f>
        <v>0</v>
      </c>
    </row>
    <row r="1018" spans="1:27" ht="21" customHeight="1" x14ac:dyDescent="0.95">
      <c r="A1018" s="56"/>
      <c r="B1018" s="57"/>
      <c r="C1018" s="57"/>
      <c r="D1018" s="57"/>
      <c r="E1018" s="56"/>
      <c r="F1018" s="57"/>
      <c r="G1018" s="57"/>
      <c r="H1018" s="56"/>
      <c r="I1018" s="56"/>
      <c r="J1018" s="58"/>
      <c r="K1018" s="58"/>
      <c r="L1018" s="13" t="str">
        <f t="shared" si="150"/>
        <v/>
      </c>
      <c r="M1018" s="13" t="str">
        <f t="shared" si="151"/>
        <v/>
      </c>
      <c r="Q1018" t="str">
        <f t="shared" si="152"/>
        <v/>
      </c>
      <c r="R1018" t="str">
        <f t="shared" si="153"/>
        <v/>
      </c>
      <c r="S1018" t="str">
        <f t="shared" si="154"/>
        <v/>
      </c>
      <c r="T1018" t="str">
        <f t="shared" si="155"/>
        <v/>
      </c>
      <c r="U1018" t="str">
        <f t="shared" si="156"/>
        <v/>
      </c>
      <c r="V1018" t="str">
        <f t="shared" si="157"/>
        <v/>
      </c>
      <c r="W1018" t="str">
        <f t="shared" si="158"/>
        <v/>
      </c>
      <c r="X1018">
        <f>IF($T1018="",N($X1017),IF(MATCH($T1018,$T$6:$T$10005,0)=ROW()-5,N($X1017)+1,N($X1017)))</f>
        <v>0</v>
      </c>
      <c r="Z1018" t="str">
        <f t="shared" si="159"/>
        <v/>
      </c>
      <c r="AA1018">
        <f>IF($V1018="",N($AA1017),IF(MATCH($V1018,$V$6:$V$10005,0)=ROW()-5,N($AA1017)+1,N($AA1017)))</f>
        <v>0</v>
      </c>
    </row>
    <row r="1019" spans="1:27" ht="21" customHeight="1" x14ac:dyDescent="0.95">
      <c r="A1019" s="56"/>
      <c r="B1019" s="57"/>
      <c r="C1019" s="57"/>
      <c r="D1019" s="57"/>
      <c r="E1019" s="56"/>
      <c r="F1019" s="57"/>
      <c r="G1019" s="57"/>
      <c r="H1019" s="56"/>
      <c r="I1019" s="56"/>
      <c r="J1019" s="58"/>
      <c r="K1019" s="58"/>
      <c r="L1019" s="13" t="str">
        <f t="shared" si="150"/>
        <v/>
      </c>
      <c r="M1019" s="13" t="str">
        <f t="shared" si="151"/>
        <v/>
      </c>
      <c r="Q1019" t="str">
        <f t="shared" si="152"/>
        <v/>
      </c>
      <c r="R1019" t="str">
        <f t="shared" si="153"/>
        <v/>
      </c>
      <c r="S1019" t="str">
        <f t="shared" si="154"/>
        <v/>
      </c>
      <c r="T1019" t="str">
        <f t="shared" si="155"/>
        <v/>
      </c>
      <c r="U1019" t="str">
        <f t="shared" si="156"/>
        <v/>
      </c>
      <c r="V1019" t="str">
        <f t="shared" si="157"/>
        <v/>
      </c>
      <c r="W1019" t="str">
        <f t="shared" si="158"/>
        <v/>
      </c>
      <c r="X1019">
        <f>IF($T1019="",N($X1018),IF(MATCH($T1019,$T$6:$T$10005,0)=ROW()-5,N($X1018)+1,N($X1018)))</f>
        <v>0</v>
      </c>
      <c r="Z1019" t="str">
        <f t="shared" si="159"/>
        <v/>
      </c>
      <c r="AA1019">
        <f>IF($V1019="",N($AA1018),IF(MATCH($V1019,$V$6:$V$10005,0)=ROW()-5,N($AA1018)+1,N($AA1018)))</f>
        <v>0</v>
      </c>
    </row>
    <row r="1020" spans="1:27" ht="21" customHeight="1" x14ac:dyDescent="0.95">
      <c r="A1020" s="56"/>
      <c r="B1020" s="57"/>
      <c r="C1020" s="57"/>
      <c r="D1020" s="57"/>
      <c r="E1020" s="56"/>
      <c r="F1020" s="57"/>
      <c r="G1020" s="57"/>
      <c r="H1020" s="56"/>
      <c r="I1020" s="56"/>
      <c r="J1020" s="58"/>
      <c r="K1020" s="58"/>
      <c r="L1020" s="13" t="str">
        <f t="shared" si="150"/>
        <v/>
      </c>
      <c r="M1020" s="13" t="str">
        <f t="shared" si="151"/>
        <v/>
      </c>
      <c r="Q1020" t="str">
        <f t="shared" si="152"/>
        <v/>
      </c>
      <c r="R1020" t="str">
        <f t="shared" si="153"/>
        <v/>
      </c>
      <c r="S1020" t="str">
        <f t="shared" si="154"/>
        <v/>
      </c>
      <c r="T1020" t="str">
        <f t="shared" si="155"/>
        <v/>
      </c>
      <c r="U1020" t="str">
        <f t="shared" si="156"/>
        <v/>
      </c>
      <c r="V1020" t="str">
        <f t="shared" si="157"/>
        <v/>
      </c>
      <c r="W1020" t="str">
        <f t="shared" si="158"/>
        <v/>
      </c>
      <c r="X1020">
        <f>IF($T1020="",N($X1019),IF(MATCH($T1020,$T$6:$T$10005,0)=ROW()-5,N($X1019)+1,N($X1019)))</f>
        <v>0</v>
      </c>
      <c r="Z1020" t="str">
        <f t="shared" si="159"/>
        <v/>
      </c>
      <c r="AA1020">
        <f>IF($V1020="",N($AA1019),IF(MATCH($V1020,$V$6:$V$10005,0)=ROW()-5,N($AA1019)+1,N($AA1019)))</f>
        <v>0</v>
      </c>
    </row>
    <row r="1021" spans="1:27" ht="21" customHeight="1" x14ac:dyDescent="0.95">
      <c r="A1021" s="56"/>
      <c r="B1021" s="57"/>
      <c r="C1021" s="57"/>
      <c r="D1021" s="57"/>
      <c r="E1021" s="56"/>
      <c r="F1021" s="57"/>
      <c r="G1021" s="57"/>
      <c r="H1021" s="56"/>
      <c r="I1021" s="56"/>
      <c r="J1021" s="58"/>
      <c r="K1021" s="58"/>
      <c r="L1021" s="13" t="str">
        <f t="shared" si="150"/>
        <v/>
      </c>
      <c r="M1021" s="13" t="str">
        <f t="shared" si="151"/>
        <v/>
      </c>
      <c r="Q1021" t="str">
        <f t="shared" si="152"/>
        <v/>
      </c>
      <c r="R1021" t="str">
        <f t="shared" si="153"/>
        <v/>
      </c>
      <c r="S1021" t="str">
        <f t="shared" si="154"/>
        <v/>
      </c>
      <c r="T1021" t="str">
        <f t="shared" si="155"/>
        <v/>
      </c>
      <c r="U1021" t="str">
        <f t="shared" si="156"/>
        <v/>
      </c>
      <c r="V1021" t="str">
        <f t="shared" si="157"/>
        <v/>
      </c>
      <c r="W1021" t="str">
        <f t="shared" si="158"/>
        <v/>
      </c>
      <c r="X1021">
        <f>IF($T1021="",N($X1020),IF(MATCH($T1021,$T$6:$T$10005,0)=ROW()-5,N($X1020)+1,N($X1020)))</f>
        <v>0</v>
      </c>
      <c r="Z1021" t="str">
        <f t="shared" si="159"/>
        <v/>
      </c>
      <c r="AA1021">
        <f>IF($V1021="",N($AA1020),IF(MATCH($V1021,$V$6:$V$10005,0)=ROW()-5,N($AA1020)+1,N($AA1020)))</f>
        <v>0</v>
      </c>
    </row>
    <row r="1022" spans="1:27" ht="21" customHeight="1" x14ac:dyDescent="0.95">
      <c r="A1022" s="56"/>
      <c r="B1022" s="57"/>
      <c r="C1022" s="57"/>
      <c r="D1022" s="57"/>
      <c r="E1022" s="56"/>
      <c r="F1022" s="57"/>
      <c r="G1022" s="57"/>
      <c r="H1022" s="56"/>
      <c r="I1022" s="56"/>
      <c r="J1022" s="58"/>
      <c r="K1022" s="58"/>
      <c r="L1022" s="13" t="str">
        <f t="shared" si="150"/>
        <v/>
      </c>
      <c r="M1022" s="13" t="str">
        <f t="shared" si="151"/>
        <v/>
      </c>
      <c r="Q1022" t="str">
        <f t="shared" si="152"/>
        <v/>
      </c>
      <c r="R1022" t="str">
        <f t="shared" si="153"/>
        <v/>
      </c>
      <c r="S1022" t="str">
        <f t="shared" si="154"/>
        <v/>
      </c>
      <c r="T1022" t="str">
        <f t="shared" si="155"/>
        <v/>
      </c>
      <c r="U1022" t="str">
        <f t="shared" si="156"/>
        <v/>
      </c>
      <c r="V1022" t="str">
        <f t="shared" si="157"/>
        <v/>
      </c>
      <c r="W1022" t="str">
        <f t="shared" si="158"/>
        <v/>
      </c>
      <c r="X1022">
        <f>IF($T1022="",N($X1021),IF(MATCH($T1022,$T$6:$T$10005,0)=ROW()-5,N($X1021)+1,N($X1021)))</f>
        <v>0</v>
      </c>
      <c r="Z1022" t="str">
        <f t="shared" si="159"/>
        <v/>
      </c>
      <c r="AA1022">
        <f>IF($V1022="",N($AA1021),IF(MATCH($V1022,$V$6:$V$10005,0)=ROW()-5,N($AA1021)+1,N($AA1021)))</f>
        <v>0</v>
      </c>
    </row>
    <row r="1023" spans="1:27" ht="21" customHeight="1" x14ac:dyDescent="0.95">
      <c r="A1023" s="56"/>
      <c r="B1023" s="57"/>
      <c r="C1023" s="57"/>
      <c r="D1023" s="57"/>
      <c r="E1023" s="56"/>
      <c r="F1023" s="57"/>
      <c r="G1023" s="57"/>
      <c r="H1023" s="56"/>
      <c r="I1023" s="56"/>
      <c r="J1023" s="58"/>
      <c r="K1023" s="58"/>
      <c r="L1023" s="13" t="str">
        <f t="shared" si="150"/>
        <v/>
      </c>
      <c r="M1023" s="13" t="str">
        <f t="shared" si="151"/>
        <v/>
      </c>
      <c r="Q1023" t="str">
        <f t="shared" si="152"/>
        <v/>
      </c>
      <c r="R1023" t="str">
        <f t="shared" si="153"/>
        <v/>
      </c>
      <c r="S1023" t="str">
        <f t="shared" si="154"/>
        <v/>
      </c>
      <c r="T1023" t="str">
        <f t="shared" si="155"/>
        <v/>
      </c>
      <c r="U1023" t="str">
        <f t="shared" si="156"/>
        <v/>
      </c>
      <c r="V1023" t="str">
        <f t="shared" si="157"/>
        <v/>
      </c>
      <c r="W1023" t="str">
        <f t="shared" si="158"/>
        <v/>
      </c>
      <c r="X1023">
        <f>IF($T1023="",N($X1022),IF(MATCH($T1023,$T$6:$T$10005,0)=ROW()-5,N($X1022)+1,N($X1022)))</f>
        <v>0</v>
      </c>
      <c r="Z1023" t="str">
        <f t="shared" si="159"/>
        <v/>
      </c>
      <c r="AA1023">
        <f>IF($V1023="",N($AA1022),IF(MATCH($V1023,$V$6:$V$10005,0)=ROW()-5,N($AA1022)+1,N($AA1022)))</f>
        <v>0</v>
      </c>
    </row>
    <row r="1024" spans="1:27" ht="21" customHeight="1" x14ac:dyDescent="0.95">
      <c r="A1024" s="56"/>
      <c r="B1024" s="57"/>
      <c r="C1024" s="57"/>
      <c r="D1024" s="57"/>
      <c r="E1024" s="56"/>
      <c r="F1024" s="57"/>
      <c r="G1024" s="57"/>
      <c r="H1024" s="56"/>
      <c r="I1024" s="56"/>
      <c r="J1024" s="58"/>
      <c r="K1024" s="58"/>
      <c r="L1024" s="13" t="str">
        <f t="shared" si="150"/>
        <v/>
      </c>
      <c r="M1024" s="13" t="str">
        <f t="shared" si="151"/>
        <v/>
      </c>
      <c r="Q1024" t="str">
        <f t="shared" si="152"/>
        <v/>
      </c>
      <c r="R1024" t="str">
        <f t="shared" si="153"/>
        <v/>
      </c>
      <c r="S1024" t="str">
        <f t="shared" si="154"/>
        <v/>
      </c>
      <c r="T1024" t="str">
        <f t="shared" si="155"/>
        <v/>
      </c>
      <c r="U1024" t="str">
        <f t="shared" si="156"/>
        <v/>
      </c>
      <c r="V1024" t="str">
        <f t="shared" si="157"/>
        <v/>
      </c>
      <c r="W1024" t="str">
        <f t="shared" si="158"/>
        <v/>
      </c>
      <c r="X1024">
        <f>IF($T1024="",N($X1023),IF(MATCH($T1024,$T$6:$T$10005,0)=ROW()-5,N($X1023)+1,N($X1023)))</f>
        <v>0</v>
      </c>
      <c r="Z1024" t="str">
        <f t="shared" si="159"/>
        <v/>
      </c>
      <c r="AA1024">
        <f>IF($V1024="",N($AA1023),IF(MATCH($V1024,$V$6:$V$10005,0)=ROW()-5,N($AA1023)+1,N($AA1023)))</f>
        <v>0</v>
      </c>
    </row>
    <row r="1025" spans="1:27" ht="21" customHeight="1" x14ac:dyDescent="0.95">
      <c r="A1025" s="56"/>
      <c r="B1025" s="57"/>
      <c r="C1025" s="57"/>
      <c r="D1025" s="57"/>
      <c r="E1025" s="56"/>
      <c r="F1025" s="57"/>
      <c r="G1025" s="57"/>
      <c r="H1025" s="56"/>
      <c r="I1025" s="56"/>
      <c r="J1025" s="58"/>
      <c r="K1025" s="58"/>
      <c r="L1025" s="13" t="str">
        <f t="shared" si="150"/>
        <v/>
      </c>
      <c r="M1025" s="13" t="str">
        <f t="shared" si="151"/>
        <v/>
      </c>
      <c r="Q1025" t="str">
        <f t="shared" si="152"/>
        <v/>
      </c>
      <c r="R1025" t="str">
        <f t="shared" si="153"/>
        <v/>
      </c>
      <c r="S1025" t="str">
        <f t="shared" si="154"/>
        <v/>
      </c>
      <c r="T1025" t="str">
        <f t="shared" si="155"/>
        <v/>
      </c>
      <c r="U1025" t="str">
        <f t="shared" si="156"/>
        <v/>
      </c>
      <c r="V1025" t="str">
        <f t="shared" si="157"/>
        <v/>
      </c>
      <c r="W1025" t="str">
        <f t="shared" si="158"/>
        <v/>
      </c>
      <c r="X1025">
        <f>IF($T1025="",N($X1024),IF(MATCH($T1025,$T$6:$T$10005,0)=ROW()-5,N($X1024)+1,N($X1024)))</f>
        <v>0</v>
      </c>
      <c r="Z1025" t="str">
        <f t="shared" si="159"/>
        <v/>
      </c>
      <c r="AA1025">
        <f>IF($V1025="",N($AA1024),IF(MATCH($V1025,$V$6:$V$10005,0)=ROW()-5,N($AA1024)+1,N($AA1024)))</f>
        <v>0</v>
      </c>
    </row>
    <row r="1026" spans="1:27" ht="21" customHeight="1" x14ac:dyDescent="0.95">
      <c r="A1026" s="56"/>
      <c r="B1026" s="57"/>
      <c r="C1026" s="57"/>
      <c r="D1026" s="57"/>
      <c r="E1026" s="56"/>
      <c r="F1026" s="57"/>
      <c r="G1026" s="57"/>
      <c r="H1026" s="56"/>
      <c r="I1026" s="56"/>
      <c r="J1026" s="58"/>
      <c r="K1026" s="58"/>
      <c r="L1026" s="13" t="str">
        <f t="shared" si="150"/>
        <v/>
      </c>
      <c r="M1026" s="13" t="str">
        <f t="shared" si="151"/>
        <v/>
      </c>
      <c r="Q1026" t="str">
        <f t="shared" si="152"/>
        <v/>
      </c>
      <c r="R1026" t="str">
        <f t="shared" si="153"/>
        <v/>
      </c>
      <c r="S1026" t="str">
        <f t="shared" si="154"/>
        <v/>
      </c>
      <c r="T1026" t="str">
        <f t="shared" si="155"/>
        <v/>
      </c>
      <c r="U1026" t="str">
        <f t="shared" si="156"/>
        <v/>
      </c>
      <c r="V1026" t="str">
        <f t="shared" si="157"/>
        <v/>
      </c>
      <c r="W1026" t="str">
        <f t="shared" si="158"/>
        <v/>
      </c>
      <c r="X1026">
        <f>IF($T1026="",N($X1025),IF(MATCH($T1026,$T$6:$T$10005,0)=ROW()-5,N($X1025)+1,N($X1025)))</f>
        <v>0</v>
      </c>
      <c r="Z1026" t="str">
        <f t="shared" si="159"/>
        <v/>
      </c>
      <c r="AA1026">
        <f>IF($V1026="",N($AA1025),IF(MATCH($V1026,$V$6:$V$10005,0)=ROW()-5,N($AA1025)+1,N($AA1025)))</f>
        <v>0</v>
      </c>
    </row>
    <row r="1027" spans="1:27" ht="21" customHeight="1" x14ac:dyDescent="0.95">
      <c r="A1027" s="56"/>
      <c r="B1027" s="57"/>
      <c r="C1027" s="57"/>
      <c r="D1027" s="57"/>
      <c r="E1027" s="56"/>
      <c r="F1027" s="57"/>
      <c r="G1027" s="57"/>
      <c r="H1027" s="56"/>
      <c r="I1027" s="56"/>
      <c r="J1027" s="58"/>
      <c r="K1027" s="58"/>
      <c r="L1027" s="13" t="str">
        <f t="shared" si="150"/>
        <v/>
      </c>
      <c r="M1027" s="13" t="str">
        <f t="shared" si="151"/>
        <v/>
      </c>
      <c r="Q1027" t="str">
        <f t="shared" si="152"/>
        <v/>
      </c>
      <c r="R1027" t="str">
        <f t="shared" si="153"/>
        <v/>
      </c>
      <c r="S1027" t="str">
        <f t="shared" si="154"/>
        <v/>
      </c>
      <c r="T1027" t="str">
        <f t="shared" si="155"/>
        <v/>
      </c>
      <c r="U1027" t="str">
        <f t="shared" si="156"/>
        <v/>
      </c>
      <c r="V1027" t="str">
        <f t="shared" si="157"/>
        <v/>
      </c>
      <c r="W1027" t="str">
        <f t="shared" si="158"/>
        <v/>
      </c>
      <c r="X1027">
        <f>IF($T1027="",N($X1026),IF(MATCH($T1027,$T$6:$T$10005,0)=ROW()-5,N($X1026)+1,N($X1026)))</f>
        <v>0</v>
      </c>
      <c r="Z1027" t="str">
        <f t="shared" si="159"/>
        <v/>
      </c>
      <c r="AA1027">
        <f>IF($V1027="",N($AA1026),IF(MATCH($V1027,$V$6:$V$10005,0)=ROW()-5,N($AA1026)+1,N($AA1026)))</f>
        <v>0</v>
      </c>
    </row>
    <row r="1028" spans="1:27" ht="21" customHeight="1" x14ac:dyDescent="0.95">
      <c r="A1028" s="56"/>
      <c r="B1028" s="57"/>
      <c r="C1028" s="57"/>
      <c r="D1028" s="57"/>
      <c r="E1028" s="56"/>
      <c r="F1028" s="57"/>
      <c r="G1028" s="57"/>
      <c r="H1028" s="56"/>
      <c r="I1028" s="56"/>
      <c r="J1028" s="58"/>
      <c r="K1028" s="58"/>
      <c r="L1028" s="13" t="str">
        <f t="shared" si="150"/>
        <v/>
      </c>
      <c r="M1028" s="13" t="str">
        <f t="shared" si="151"/>
        <v/>
      </c>
      <c r="Q1028" t="str">
        <f t="shared" si="152"/>
        <v/>
      </c>
      <c r="R1028" t="str">
        <f t="shared" si="153"/>
        <v/>
      </c>
      <c r="S1028" t="str">
        <f t="shared" si="154"/>
        <v/>
      </c>
      <c r="T1028" t="str">
        <f t="shared" si="155"/>
        <v/>
      </c>
      <c r="U1028" t="str">
        <f t="shared" si="156"/>
        <v/>
      </c>
      <c r="V1028" t="str">
        <f t="shared" si="157"/>
        <v/>
      </c>
      <c r="W1028" t="str">
        <f t="shared" si="158"/>
        <v/>
      </c>
      <c r="X1028">
        <f>IF($T1028="",N($X1027),IF(MATCH($T1028,$T$6:$T$10005,0)=ROW()-5,N($X1027)+1,N($X1027)))</f>
        <v>0</v>
      </c>
      <c r="Z1028" t="str">
        <f t="shared" si="159"/>
        <v/>
      </c>
      <c r="AA1028">
        <f>IF($V1028="",N($AA1027),IF(MATCH($V1028,$V$6:$V$10005,0)=ROW()-5,N($AA1027)+1,N($AA1027)))</f>
        <v>0</v>
      </c>
    </row>
    <row r="1029" spans="1:27" ht="21" customHeight="1" x14ac:dyDescent="0.95">
      <c r="A1029" s="56"/>
      <c r="B1029" s="57"/>
      <c r="C1029" s="57"/>
      <c r="D1029" s="57"/>
      <c r="E1029" s="56"/>
      <c r="F1029" s="57"/>
      <c r="G1029" s="57"/>
      <c r="H1029" s="56"/>
      <c r="I1029" s="56"/>
      <c r="J1029" s="58"/>
      <c r="K1029" s="58"/>
      <c r="L1029" s="13" t="str">
        <f t="shared" si="150"/>
        <v/>
      </c>
      <c r="M1029" s="13" t="str">
        <f t="shared" si="151"/>
        <v/>
      </c>
      <c r="Q1029" t="str">
        <f t="shared" si="152"/>
        <v/>
      </c>
      <c r="R1029" t="str">
        <f t="shared" si="153"/>
        <v/>
      </c>
      <c r="S1029" t="str">
        <f t="shared" si="154"/>
        <v/>
      </c>
      <c r="T1029" t="str">
        <f t="shared" si="155"/>
        <v/>
      </c>
      <c r="U1029" t="str">
        <f t="shared" si="156"/>
        <v/>
      </c>
      <c r="V1029" t="str">
        <f t="shared" si="157"/>
        <v/>
      </c>
      <c r="W1029" t="str">
        <f t="shared" si="158"/>
        <v/>
      </c>
      <c r="X1029">
        <f>IF($T1029="",N($X1028),IF(MATCH($T1029,$T$6:$T$10005,0)=ROW()-5,N($X1028)+1,N($X1028)))</f>
        <v>0</v>
      </c>
      <c r="Z1029" t="str">
        <f t="shared" si="159"/>
        <v/>
      </c>
      <c r="AA1029">
        <f>IF($V1029="",N($AA1028),IF(MATCH($V1029,$V$6:$V$10005,0)=ROW()-5,N($AA1028)+1,N($AA1028)))</f>
        <v>0</v>
      </c>
    </row>
    <row r="1030" spans="1:27" ht="21" customHeight="1" x14ac:dyDescent="0.95">
      <c r="A1030" s="56"/>
      <c r="B1030" s="57"/>
      <c r="C1030" s="57"/>
      <c r="D1030" s="57"/>
      <c r="E1030" s="56"/>
      <c r="F1030" s="57"/>
      <c r="G1030" s="57"/>
      <c r="H1030" s="56"/>
      <c r="I1030" s="56"/>
      <c r="J1030" s="58"/>
      <c r="K1030" s="58"/>
      <c r="L1030" s="13" t="str">
        <f t="shared" ref="L1030:L1093" si="160">IF(OR($A1030="",AND($J1030="",$K1030="")),"",ROUND(N($J1030)-N($K1030),2))</f>
        <v/>
      </c>
      <c r="M1030" s="13" t="str">
        <f t="shared" ref="M1030:M1093" si="161">IF(OR($A1030="",AND($J1030="",$K1030="")),"",MIN($J1030,$K1030))</f>
        <v/>
      </c>
      <c r="Q1030" t="str">
        <f t="shared" ref="Q1030:Q1093" si="162">IF($A1030="","",$D1030&amp;"("&amp;SUBSTITUTE($E1030," ","")&amp;")")</f>
        <v/>
      </c>
      <c r="R1030" t="str">
        <f t="shared" ref="R1030:R1093" si="163">IF($A1030="","",$B1030&amp;" - "&amp;$C1030)</f>
        <v/>
      </c>
      <c r="S1030" t="str">
        <f t="shared" ref="S1030:S1093" si="164">IF($A1030="","",$R1030&amp;"|"&amp;$Q1030)</f>
        <v/>
      </c>
      <c r="T1030" t="str">
        <f t="shared" ref="T1030:T1093" si="165">IF($A1030="","",$S1030&amp;"|"&amp;$F1030)</f>
        <v/>
      </c>
      <c r="U1030" t="str">
        <f t="shared" ref="U1030:U1093" si="166">IF($A1030="","",$R1030&amp;"("&amp;$E1030&amp;")")</f>
        <v/>
      </c>
      <c r="V1030" t="str">
        <f t="shared" ref="V1030:V1093" si="167">IF($A1030="","",$F1030&amp;"|"&amp;$U1030&amp;"|"&amp;$D1030)</f>
        <v/>
      </c>
      <c r="W1030" t="str">
        <f t="shared" ref="W1030:W1093" si="168">IF($T1030="","",IF($X1030&gt;N($X1029),$X1030,""))</f>
        <v/>
      </c>
      <c r="X1030">
        <f>IF($T1030="",N($X1029),IF(MATCH($T1030,$T$6:$T$10005,0)=ROW()-5,N($X1029)+1,N($X1029)))</f>
        <v>0</v>
      </c>
      <c r="Z1030" t="str">
        <f t="shared" ref="Z1030:Z1093" si="169">IF($V1030="","",IF($AA1030&gt;N($AA1029),$AA1030,""))</f>
        <v/>
      </c>
      <c r="AA1030">
        <f>IF($V1030="",N($AA1029),IF(MATCH($V1030,$V$6:$V$10005,0)=ROW()-5,N($AA1029)+1,N($AA1029)))</f>
        <v>0</v>
      </c>
    </row>
    <row r="1031" spans="1:27" ht="21" customHeight="1" x14ac:dyDescent="0.95">
      <c r="A1031" s="56"/>
      <c r="B1031" s="57"/>
      <c r="C1031" s="57"/>
      <c r="D1031" s="57"/>
      <c r="E1031" s="56"/>
      <c r="F1031" s="57"/>
      <c r="G1031" s="57"/>
      <c r="H1031" s="56"/>
      <c r="I1031" s="56"/>
      <c r="J1031" s="58"/>
      <c r="K1031" s="58"/>
      <c r="L1031" s="13" t="str">
        <f t="shared" si="160"/>
        <v/>
      </c>
      <c r="M1031" s="13" t="str">
        <f t="shared" si="161"/>
        <v/>
      </c>
      <c r="Q1031" t="str">
        <f t="shared" si="162"/>
        <v/>
      </c>
      <c r="R1031" t="str">
        <f t="shared" si="163"/>
        <v/>
      </c>
      <c r="S1031" t="str">
        <f t="shared" si="164"/>
        <v/>
      </c>
      <c r="T1031" t="str">
        <f t="shared" si="165"/>
        <v/>
      </c>
      <c r="U1031" t="str">
        <f t="shared" si="166"/>
        <v/>
      </c>
      <c r="V1031" t="str">
        <f t="shared" si="167"/>
        <v/>
      </c>
      <c r="W1031" t="str">
        <f t="shared" si="168"/>
        <v/>
      </c>
      <c r="X1031">
        <f>IF($T1031="",N($X1030),IF(MATCH($T1031,$T$6:$T$10005,0)=ROW()-5,N($X1030)+1,N($X1030)))</f>
        <v>0</v>
      </c>
      <c r="Z1031" t="str">
        <f t="shared" si="169"/>
        <v/>
      </c>
      <c r="AA1031">
        <f>IF($V1031="",N($AA1030),IF(MATCH($V1031,$V$6:$V$10005,0)=ROW()-5,N($AA1030)+1,N($AA1030)))</f>
        <v>0</v>
      </c>
    </row>
    <row r="1032" spans="1:27" ht="21" customHeight="1" x14ac:dyDescent="0.95">
      <c r="A1032" s="56"/>
      <c r="B1032" s="57"/>
      <c r="C1032" s="57"/>
      <c r="D1032" s="57"/>
      <c r="E1032" s="56"/>
      <c r="F1032" s="57"/>
      <c r="G1032" s="57"/>
      <c r="H1032" s="56"/>
      <c r="I1032" s="56"/>
      <c r="J1032" s="58"/>
      <c r="K1032" s="58"/>
      <c r="L1032" s="13" t="str">
        <f t="shared" si="160"/>
        <v/>
      </c>
      <c r="M1032" s="13" t="str">
        <f t="shared" si="161"/>
        <v/>
      </c>
      <c r="Q1032" t="str">
        <f t="shared" si="162"/>
        <v/>
      </c>
      <c r="R1032" t="str">
        <f t="shared" si="163"/>
        <v/>
      </c>
      <c r="S1032" t="str">
        <f t="shared" si="164"/>
        <v/>
      </c>
      <c r="T1032" t="str">
        <f t="shared" si="165"/>
        <v/>
      </c>
      <c r="U1032" t="str">
        <f t="shared" si="166"/>
        <v/>
      </c>
      <c r="V1032" t="str">
        <f t="shared" si="167"/>
        <v/>
      </c>
      <c r="W1032" t="str">
        <f t="shared" si="168"/>
        <v/>
      </c>
      <c r="X1032">
        <f>IF($T1032="",N($X1031),IF(MATCH($T1032,$T$6:$T$10005,0)=ROW()-5,N($X1031)+1,N($X1031)))</f>
        <v>0</v>
      </c>
      <c r="Z1032" t="str">
        <f t="shared" si="169"/>
        <v/>
      </c>
      <c r="AA1032">
        <f>IF($V1032="",N($AA1031),IF(MATCH($V1032,$V$6:$V$10005,0)=ROW()-5,N($AA1031)+1,N($AA1031)))</f>
        <v>0</v>
      </c>
    </row>
    <row r="1033" spans="1:27" ht="21" customHeight="1" x14ac:dyDescent="0.95">
      <c r="A1033" s="56"/>
      <c r="B1033" s="57"/>
      <c r="C1033" s="57"/>
      <c r="D1033" s="57"/>
      <c r="E1033" s="56"/>
      <c r="F1033" s="57"/>
      <c r="G1033" s="57"/>
      <c r="H1033" s="56"/>
      <c r="I1033" s="56"/>
      <c r="J1033" s="58"/>
      <c r="K1033" s="58"/>
      <c r="L1033" s="13" t="str">
        <f t="shared" si="160"/>
        <v/>
      </c>
      <c r="M1033" s="13" t="str">
        <f t="shared" si="161"/>
        <v/>
      </c>
      <c r="Q1033" t="str">
        <f t="shared" si="162"/>
        <v/>
      </c>
      <c r="R1033" t="str">
        <f t="shared" si="163"/>
        <v/>
      </c>
      <c r="S1033" t="str">
        <f t="shared" si="164"/>
        <v/>
      </c>
      <c r="T1033" t="str">
        <f t="shared" si="165"/>
        <v/>
      </c>
      <c r="U1033" t="str">
        <f t="shared" si="166"/>
        <v/>
      </c>
      <c r="V1033" t="str">
        <f t="shared" si="167"/>
        <v/>
      </c>
      <c r="W1033" t="str">
        <f t="shared" si="168"/>
        <v/>
      </c>
      <c r="X1033">
        <f>IF($T1033="",N($X1032),IF(MATCH($T1033,$T$6:$T$10005,0)=ROW()-5,N($X1032)+1,N($X1032)))</f>
        <v>0</v>
      </c>
      <c r="Z1033" t="str">
        <f t="shared" si="169"/>
        <v/>
      </c>
      <c r="AA1033">
        <f>IF($V1033="",N($AA1032),IF(MATCH($V1033,$V$6:$V$10005,0)=ROW()-5,N($AA1032)+1,N($AA1032)))</f>
        <v>0</v>
      </c>
    </row>
    <row r="1034" spans="1:27" ht="21" customHeight="1" x14ac:dyDescent="0.95">
      <c r="A1034" s="56"/>
      <c r="B1034" s="57"/>
      <c r="C1034" s="57"/>
      <c r="D1034" s="57"/>
      <c r="E1034" s="56"/>
      <c r="F1034" s="57"/>
      <c r="G1034" s="57"/>
      <c r="H1034" s="56"/>
      <c r="I1034" s="56"/>
      <c r="J1034" s="58"/>
      <c r="K1034" s="58"/>
      <c r="L1034" s="13" t="str">
        <f t="shared" si="160"/>
        <v/>
      </c>
      <c r="M1034" s="13" t="str">
        <f t="shared" si="161"/>
        <v/>
      </c>
      <c r="Q1034" t="str">
        <f t="shared" si="162"/>
        <v/>
      </c>
      <c r="R1034" t="str">
        <f t="shared" si="163"/>
        <v/>
      </c>
      <c r="S1034" t="str">
        <f t="shared" si="164"/>
        <v/>
      </c>
      <c r="T1034" t="str">
        <f t="shared" si="165"/>
        <v/>
      </c>
      <c r="U1034" t="str">
        <f t="shared" si="166"/>
        <v/>
      </c>
      <c r="V1034" t="str">
        <f t="shared" si="167"/>
        <v/>
      </c>
      <c r="W1034" t="str">
        <f t="shared" si="168"/>
        <v/>
      </c>
      <c r="X1034">
        <f>IF($T1034="",N($X1033),IF(MATCH($T1034,$T$6:$T$10005,0)=ROW()-5,N($X1033)+1,N($X1033)))</f>
        <v>0</v>
      </c>
      <c r="Z1034" t="str">
        <f t="shared" si="169"/>
        <v/>
      </c>
      <c r="AA1034">
        <f>IF($V1034="",N($AA1033),IF(MATCH($V1034,$V$6:$V$10005,0)=ROW()-5,N($AA1033)+1,N($AA1033)))</f>
        <v>0</v>
      </c>
    </row>
    <row r="1035" spans="1:27" ht="21" customHeight="1" x14ac:dyDescent="0.95">
      <c r="A1035" s="56"/>
      <c r="B1035" s="57"/>
      <c r="C1035" s="57"/>
      <c r="D1035" s="57"/>
      <c r="E1035" s="56"/>
      <c r="F1035" s="57"/>
      <c r="G1035" s="57"/>
      <c r="H1035" s="56"/>
      <c r="I1035" s="56"/>
      <c r="J1035" s="58"/>
      <c r="K1035" s="58"/>
      <c r="L1035" s="13" t="str">
        <f t="shared" si="160"/>
        <v/>
      </c>
      <c r="M1035" s="13" t="str">
        <f t="shared" si="161"/>
        <v/>
      </c>
      <c r="Q1035" t="str">
        <f t="shared" si="162"/>
        <v/>
      </c>
      <c r="R1035" t="str">
        <f t="shared" si="163"/>
        <v/>
      </c>
      <c r="S1035" t="str">
        <f t="shared" si="164"/>
        <v/>
      </c>
      <c r="T1035" t="str">
        <f t="shared" si="165"/>
        <v/>
      </c>
      <c r="U1035" t="str">
        <f t="shared" si="166"/>
        <v/>
      </c>
      <c r="V1035" t="str">
        <f t="shared" si="167"/>
        <v/>
      </c>
      <c r="W1035" t="str">
        <f t="shared" si="168"/>
        <v/>
      </c>
      <c r="X1035">
        <f>IF($T1035="",N($X1034),IF(MATCH($T1035,$T$6:$T$10005,0)=ROW()-5,N($X1034)+1,N($X1034)))</f>
        <v>0</v>
      </c>
      <c r="Z1035" t="str">
        <f t="shared" si="169"/>
        <v/>
      </c>
      <c r="AA1035">
        <f>IF($V1035="",N($AA1034),IF(MATCH($V1035,$V$6:$V$10005,0)=ROW()-5,N($AA1034)+1,N($AA1034)))</f>
        <v>0</v>
      </c>
    </row>
    <row r="1036" spans="1:27" ht="21" customHeight="1" x14ac:dyDescent="0.95">
      <c r="A1036" s="56"/>
      <c r="B1036" s="57"/>
      <c r="C1036" s="57"/>
      <c r="D1036" s="57"/>
      <c r="E1036" s="56"/>
      <c r="F1036" s="57"/>
      <c r="G1036" s="57"/>
      <c r="H1036" s="56"/>
      <c r="I1036" s="56"/>
      <c r="J1036" s="58"/>
      <c r="K1036" s="58"/>
      <c r="L1036" s="13" t="str">
        <f t="shared" si="160"/>
        <v/>
      </c>
      <c r="M1036" s="13" t="str">
        <f t="shared" si="161"/>
        <v/>
      </c>
      <c r="Q1036" t="str">
        <f t="shared" si="162"/>
        <v/>
      </c>
      <c r="R1036" t="str">
        <f t="shared" si="163"/>
        <v/>
      </c>
      <c r="S1036" t="str">
        <f t="shared" si="164"/>
        <v/>
      </c>
      <c r="T1036" t="str">
        <f t="shared" si="165"/>
        <v/>
      </c>
      <c r="U1036" t="str">
        <f t="shared" si="166"/>
        <v/>
      </c>
      <c r="V1036" t="str">
        <f t="shared" si="167"/>
        <v/>
      </c>
      <c r="W1036" t="str">
        <f t="shared" si="168"/>
        <v/>
      </c>
      <c r="X1036">
        <f>IF($T1036="",N($X1035),IF(MATCH($T1036,$T$6:$T$10005,0)=ROW()-5,N($X1035)+1,N($X1035)))</f>
        <v>0</v>
      </c>
      <c r="Z1036" t="str">
        <f t="shared" si="169"/>
        <v/>
      </c>
      <c r="AA1036">
        <f>IF($V1036="",N($AA1035),IF(MATCH($V1036,$V$6:$V$10005,0)=ROW()-5,N($AA1035)+1,N($AA1035)))</f>
        <v>0</v>
      </c>
    </row>
    <row r="1037" spans="1:27" ht="21" customHeight="1" x14ac:dyDescent="0.95">
      <c r="A1037" s="56"/>
      <c r="B1037" s="57"/>
      <c r="C1037" s="57"/>
      <c r="D1037" s="57"/>
      <c r="E1037" s="56"/>
      <c r="F1037" s="57"/>
      <c r="G1037" s="57"/>
      <c r="H1037" s="56"/>
      <c r="I1037" s="56"/>
      <c r="J1037" s="58"/>
      <c r="K1037" s="58"/>
      <c r="L1037" s="13" t="str">
        <f t="shared" si="160"/>
        <v/>
      </c>
      <c r="M1037" s="13" t="str">
        <f t="shared" si="161"/>
        <v/>
      </c>
      <c r="Q1037" t="str">
        <f t="shared" si="162"/>
        <v/>
      </c>
      <c r="R1037" t="str">
        <f t="shared" si="163"/>
        <v/>
      </c>
      <c r="S1037" t="str">
        <f t="shared" si="164"/>
        <v/>
      </c>
      <c r="T1037" t="str">
        <f t="shared" si="165"/>
        <v/>
      </c>
      <c r="U1037" t="str">
        <f t="shared" si="166"/>
        <v/>
      </c>
      <c r="V1037" t="str">
        <f t="shared" si="167"/>
        <v/>
      </c>
      <c r="W1037" t="str">
        <f t="shared" si="168"/>
        <v/>
      </c>
      <c r="X1037">
        <f>IF($T1037="",N($X1036),IF(MATCH($T1037,$T$6:$T$10005,0)=ROW()-5,N($X1036)+1,N($X1036)))</f>
        <v>0</v>
      </c>
      <c r="Z1037" t="str">
        <f t="shared" si="169"/>
        <v/>
      </c>
      <c r="AA1037">
        <f>IF($V1037="",N($AA1036),IF(MATCH($V1037,$V$6:$V$10005,0)=ROW()-5,N($AA1036)+1,N($AA1036)))</f>
        <v>0</v>
      </c>
    </row>
    <row r="1038" spans="1:27" ht="21" customHeight="1" x14ac:dyDescent="0.95">
      <c r="A1038" s="56"/>
      <c r="B1038" s="57"/>
      <c r="C1038" s="57"/>
      <c r="D1038" s="57"/>
      <c r="E1038" s="56"/>
      <c r="F1038" s="57"/>
      <c r="G1038" s="57"/>
      <c r="H1038" s="56"/>
      <c r="I1038" s="56"/>
      <c r="J1038" s="58"/>
      <c r="K1038" s="58"/>
      <c r="L1038" s="13" t="str">
        <f t="shared" si="160"/>
        <v/>
      </c>
      <c r="M1038" s="13" t="str">
        <f t="shared" si="161"/>
        <v/>
      </c>
      <c r="Q1038" t="str">
        <f t="shared" si="162"/>
        <v/>
      </c>
      <c r="R1038" t="str">
        <f t="shared" si="163"/>
        <v/>
      </c>
      <c r="S1038" t="str">
        <f t="shared" si="164"/>
        <v/>
      </c>
      <c r="T1038" t="str">
        <f t="shared" si="165"/>
        <v/>
      </c>
      <c r="U1038" t="str">
        <f t="shared" si="166"/>
        <v/>
      </c>
      <c r="V1038" t="str">
        <f t="shared" si="167"/>
        <v/>
      </c>
      <c r="W1038" t="str">
        <f t="shared" si="168"/>
        <v/>
      </c>
      <c r="X1038">
        <f>IF($T1038="",N($X1037),IF(MATCH($T1038,$T$6:$T$10005,0)=ROW()-5,N($X1037)+1,N($X1037)))</f>
        <v>0</v>
      </c>
      <c r="Z1038" t="str">
        <f t="shared" si="169"/>
        <v/>
      </c>
      <c r="AA1038">
        <f>IF($V1038="",N($AA1037),IF(MATCH($V1038,$V$6:$V$10005,0)=ROW()-5,N($AA1037)+1,N($AA1037)))</f>
        <v>0</v>
      </c>
    </row>
    <row r="1039" spans="1:27" ht="21" customHeight="1" x14ac:dyDescent="0.95">
      <c r="A1039" s="56"/>
      <c r="B1039" s="57"/>
      <c r="C1039" s="57"/>
      <c r="D1039" s="57"/>
      <c r="E1039" s="56"/>
      <c r="F1039" s="57"/>
      <c r="G1039" s="57"/>
      <c r="H1039" s="56"/>
      <c r="I1039" s="56"/>
      <c r="J1039" s="58"/>
      <c r="K1039" s="58"/>
      <c r="L1039" s="13" t="str">
        <f t="shared" si="160"/>
        <v/>
      </c>
      <c r="M1039" s="13" t="str">
        <f t="shared" si="161"/>
        <v/>
      </c>
      <c r="Q1039" t="str">
        <f t="shared" si="162"/>
        <v/>
      </c>
      <c r="R1039" t="str">
        <f t="shared" si="163"/>
        <v/>
      </c>
      <c r="S1039" t="str">
        <f t="shared" si="164"/>
        <v/>
      </c>
      <c r="T1039" t="str">
        <f t="shared" si="165"/>
        <v/>
      </c>
      <c r="U1039" t="str">
        <f t="shared" si="166"/>
        <v/>
      </c>
      <c r="V1039" t="str">
        <f t="shared" si="167"/>
        <v/>
      </c>
      <c r="W1039" t="str">
        <f t="shared" si="168"/>
        <v/>
      </c>
      <c r="X1039">
        <f>IF($T1039="",N($X1038),IF(MATCH($T1039,$T$6:$T$10005,0)=ROW()-5,N($X1038)+1,N($X1038)))</f>
        <v>0</v>
      </c>
      <c r="Z1039" t="str">
        <f t="shared" si="169"/>
        <v/>
      </c>
      <c r="AA1039">
        <f>IF($V1039="",N($AA1038),IF(MATCH($V1039,$V$6:$V$10005,0)=ROW()-5,N($AA1038)+1,N($AA1038)))</f>
        <v>0</v>
      </c>
    </row>
    <row r="1040" spans="1:27" ht="21" customHeight="1" x14ac:dyDescent="0.95">
      <c r="A1040" s="56"/>
      <c r="B1040" s="57"/>
      <c r="C1040" s="57"/>
      <c r="D1040" s="57"/>
      <c r="E1040" s="56"/>
      <c r="F1040" s="57"/>
      <c r="G1040" s="57"/>
      <c r="H1040" s="56"/>
      <c r="I1040" s="56"/>
      <c r="J1040" s="58"/>
      <c r="K1040" s="58"/>
      <c r="L1040" s="13" t="str">
        <f t="shared" si="160"/>
        <v/>
      </c>
      <c r="M1040" s="13" t="str">
        <f t="shared" si="161"/>
        <v/>
      </c>
      <c r="Q1040" t="str">
        <f t="shared" si="162"/>
        <v/>
      </c>
      <c r="R1040" t="str">
        <f t="shared" si="163"/>
        <v/>
      </c>
      <c r="S1040" t="str">
        <f t="shared" si="164"/>
        <v/>
      </c>
      <c r="T1040" t="str">
        <f t="shared" si="165"/>
        <v/>
      </c>
      <c r="U1040" t="str">
        <f t="shared" si="166"/>
        <v/>
      </c>
      <c r="V1040" t="str">
        <f t="shared" si="167"/>
        <v/>
      </c>
      <c r="W1040" t="str">
        <f t="shared" si="168"/>
        <v/>
      </c>
      <c r="X1040">
        <f>IF($T1040="",N($X1039),IF(MATCH($T1040,$T$6:$T$10005,0)=ROW()-5,N($X1039)+1,N($X1039)))</f>
        <v>0</v>
      </c>
      <c r="Z1040" t="str">
        <f t="shared" si="169"/>
        <v/>
      </c>
      <c r="AA1040">
        <f>IF($V1040="",N($AA1039),IF(MATCH($V1040,$V$6:$V$10005,0)=ROW()-5,N($AA1039)+1,N($AA1039)))</f>
        <v>0</v>
      </c>
    </row>
    <row r="1041" spans="1:27" ht="21" customHeight="1" x14ac:dyDescent="0.95">
      <c r="A1041" s="56"/>
      <c r="B1041" s="57"/>
      <c r="C1041" s="57"/>
      <c r="D1041" s="57"/>
      <c r="E1041" s="56"/>
      <c r="F1041" s="57"/>
      <c r="G1041" s="57"/>
      <c r="H1041" s="56"/>
      <c r="I1041" s="56"/>
      <c r="J1041" s="58"/>
      <c r="K1041" s="58"/>
      <c r="L1041" s="13" t="str">
        <f t="shared" si="160"/>
        <v/>
      </c>
      <c r="M1041" s="13" t="str">
        <f t="shared" si="161"/>
        <v/>
      </c>
      <c r="Q1041" t="str">
        <f t="shared" si="162"/>
        <v/>
      </c>
      <c r="R1041" t="str">
        <f t="shared" si="163"/>
        <v/>
      </c>
      <c r="S1041" t="str">
        <f t="shared" si="164"/>
        <v/>
      </c>
      <c r="T1041" t="str">
        <f t="shared" si="165"/>
        <v/>
      </c>
      <c r="U1041" t="str">
        <f t="shared" si="166"/>
        <v/>
      </c>
      <c r="V1041" t="str">
        <f t="shared" si="167"/>
        <v/>
      </c>
      <c r="W1041" t="str">
        <f t="shared" si="168"/>
        <v/>
      </c>
      <c r="X1041">
        <f>IF($T1041="",N($X1040),IF(MATCH($T1041,$T$6:$T$10005,0)=ROW()-5,N($X1040)+1,N($X1040)))</f>
        <v>0</v>
      </c>
      <c r="Z1041" t="str">
        <f t="shared" si="169"/>
        <v/>
      </c>
      <c r="AA1041">
        <f>IF($V1041="",N($AA1040),IF(MATCH($V1041,$V$6:$V$10005,0)=ROW()-5,N($AA1040)+1,N($AA1040)))</f>
        <v>0</v>
      </c>
    </row>
    <row r="1042" spans="1:27" ht="21" customHeight="1" x14ac:dyDescent="0.95">
      <c r="A1042" s="56"/>
      <c r="B1042" s="57"/>
      <c r="C1042" s="57"/>
      <c r="D1042" s="57"/>
      <c r="E1042" s="56"/>
      <c r="F1042" s="57"/>
      <c r="G1042" s="57"/>
      <c r="H1042" s="56"/>
      <c r="I1042" s="56"/>
      <c r="J1042" s="58"/>
      <c r="K1042" s="58"/>
      <c r="L1042" s="13" t="str">
        <f t="shared" si="160"/>
        <v/>
      </c>
      <c r="M1042" s="13" t="str">
        <f t="shared" si="161"/>
        <v/>
      </c>
      <c r="Q1042" t="str">
        <f t="shared" si="162"/>
        <v/>
      </c>
      <c r="R1042" t="str">
        <f t="shared" si="163"/>
        <v/>
      </c>
      <c r="S1042" t="str">
        <f t="shared" si="164"/>
        <v/>
      </c>
      <c r="T1042" t="str">
        <f t="shared" si="165"/>
        <v/>
      </c>
      <c r="U1042" t="str">
        <f t="shared" si="166"/>
        <v/>
      </c>
      <c r="V1042" t="str">
        <f t="shared" si="167"/>
        <v/>
      </c>
      <c r="W1042" t="str">
        <f t="shared" si="168"/>
        <v/>
      </c>
      <c r="X1042">
        <f>IF($T1042="",N($X1041),IF(MATCH($T1042,$T$6:$T$10005,0)=ROW()-5,N($X1041)+1,N($X1041)))</f>
        <v>0</v>
      </c>
      <c r="Z1042" t="str">
        <f t="shared" si="169"/>
        <v/>
      </c>
      <c r="AA1042">
        <f>IF($V1042="",N($AA1041),IF(MATCH($V1042,$V$6:$V$10005,0)=ROW()-5,N($AA1041)+1,N($AA1041)))</f>
        <v>0</v>
      </c>
    </row>
    <row r="1043" spans="1:27" ht="21" customHeight="1" x14ac:dyDescent="0.95">
      <c r="A1043" s="56"/>
      <c r="B1043" s="57"/>
      <c r="C1043" s="57"/>
      <c r="D1043" s="57"/>
      <c r="E1043" s="56"/>
      <c r="F1043" s="57"/>
      <c r="G1043" s="57"/>
      <c r="H1043" s="56"/>
      <c r="I1043" s="56"/>
      <c r="J1043" s="58"/>
      <c r="K1043" s="58"/>
      <c r="L1043" s="13" t="str">
        <f t="shared" si="160"/>
        <v/>
      </c>
      <c r="M1043" s="13" t="str">
        <f t="shared" si="161"/>
        <v/>
      </c>
      <c r="Q1043" t="str">
        <f t="shared" si="162"/>
        <v/>
      </c>
      <c r="R1043" t="str">
        <f t="shared" si="163"/>
        <v/>
      </c>
      <c r="S1043" t="str">
        <f t="shared" si="164"/>
        <v/>
      </c>
      <c r="T1043" t="str">
        <f t="shared" si="165"/>
        <v/>
      </c>
      <c r="U1043" t="str">
        <f t="shared" si="166"/>
        <v/>
      </c>
      <c r="V1043" t="str">
        <f t="shared" si="167"/>
        <v/>
      </c>
      <c r="W1043" t="str">
        <f t="shared" si="168"/>
        <v/>
      </c>
      <c r="X1043">
        <f>IF($T1043="",N($X1042),IF(MATCH($T1043,$T$6:$T$10005,0)=ROW()-5,N($X1042)+1,N($X1042)))</f>
        <v>0</v>
      </c>
      <c r="Z1043" t="str">
        <f t="shared" si="169"/>
        <v/>
      </c>
      <c r="AA1043">
        <f>IF($V1043="",N($AA1042),IF(MATCH($V1043,$V$6:$V$10005,0)=ROW()-5,N($AA1042)+1,N($AA1042)))</f>
        <v>0</v>
      </c>
    </row>
    <row r="1044" spans="1:27" ht="21" customHeight="1" x14ac:dyDescent="0.95">
      <c r="A1044" s="56"/>
      <c r="B1044" s="57"/>
      <c r="C1044" s="57"/>
      <c r="D1044" s="57"/>
      <c r="E1044" s="56"/>
      <c r="F1044" s="57"/>
      <c r="G1044" s="57"/>
      <c r="H1044" s="56"/>
      <c r="I1044" s="56"/>
      <c r="J1044" s="58"/>
      <c r="K1044" s="58"/>
      <c r="L1044" s="13" t="str">
        <f t="shared" si="160"/>
        <v/>
      </c>
      <c r="M1044" s="13" t="str">
        <f t="shared" si="161"/>
        <v/>
      </c>
      <c r="Q1044" t="str">
        <f t="shared" si="162"/>
        <v/>
      </c>
      <c r="R1044" t="str">
        <f t="shared" si="163"/>
        <v/>
      </c>
      <c r="S1044" t="str">
        <f t="shared" si="164"/>
        <v/>
      </c>
      <c r="T1044" t="str">
        <f t="shared" si="165"/>
        <v/>
      </c>
      <c r="U1044" t="str">
        <f t="shared" si="166"/>
        <v/>
      </c>
      <c r="V1044" t="str">
        <f t="shared" si="167"/>
        <v/>
      </c>
      <c r="W1044" t="str">
        <f t="shared" si="168"/>
        <v/>
      </c>
      <c r="X1044">
        <f>IF($T1044="",N($X1043),IF(MATCH($T1044,$T$6:$T$10005,0)=ROW()-5,N($X1043)+1,N($X1043)))</f>
        <v>0</v>
      </c>
      <c r="Z1044" t="str">
        <f t="shared" si="169"/>
        <v/>
      </c>
      <c r="AA1044">
        <f>IF($V1044="",N($AA1043),IF(MATCH($V1044,$V$6:$V$10005,0)=ROW()-5,N($AA1043)+1,N($AA1043)))</f>
        <v>0</v>
      </c>
    </row>
    <row r="1045" spans="1:27" ht="21" customHeight="1" x14ac:dyDescent="0.95">
      <c r="A1045" s="56"/>
      <c r="B1045" s="57"/>
      <c r="C1045" s="57"/>
      <c r="D1045" s="57"/>
      <c r="E1045" s="56"/>
      <c r="F1045" s="57"/>
      <c r="G1045" s="57"/>
      <c r="H1045" s="56"/>
      <c r="I1045" s="56"/>
      <c r="J1045" s="58"/>
      <c r="K1045" s="58"/>
      <c r="L1045" s="13" t="str">
        <f t="shared" si="160"/>
        <v/>
      </c>
      <c r="M1045" s="13" t="str">
        <f t="shared" si="161"/>
        <v/>
      </c>
      <c r="Q1045" t="str">
        <f t="shared" si="162"/>
        <v/>
      </c>
      <c r="R1045" t="str">
        <f t="shared" si="163"/>
        <v/>
      </c>
      <c r="S1045" t="str">
        <f t="shared" si="164"/>
        <v/>
      </c>
      <c r="T1045" t="str">
        <f t="shared" si="165"/>
        <v/>
      </c>
      <c r="U1045" t="str">
        <f t="shared" si="166"/>
        <v/>
      </c>
      <c r="V1045" t="str">
        <f t="shared" si="167"/>
        <v/>
      </c>
      <c r="W1045" t="str">
        <f t="shared" si="168"/>
        <v/>
      </c>
      <c r="X1045">
        <f>IF($T1045="",N($X1044),IF(MATCH($T1045,$T$6:$T$10005,0)=ROW()-5,N($X1044)+1,N($X1044)))</f>
        <v>0</v>
      </c>
      <c r="Z1045" t="str">
        <f t="shared" si="169"/>
        <v/>
      </c>
      <c r="AA1045">
        <f>IF($V1045="",N($AA1044),IF(MATCH($V1045,$V$6:$V$10005,0)=ROW()-5,N($AA1044)+1,N($AA1044)))</f>
        <v>0</v>
      </c>
    </row>
    <row r="1046" spans="1:27" ht="21" customHeight="1" x14ac:dyDescent="0.95">
      <c r="A1046" s="56"/>
      <c r="B1046" s="57"/>
      <c r="C1046" s="57"/>
      <c r="D1046" s="57"/>
      <c r="E1046" s="56"/>
      <c r="F1046" s="57"/>
      <c r="G1046" s="57"/>
      <c r="H1046" s="56"/>
      <c r="I1046" s="56"/>
      <c r="J1046" s="58"/>
      <c r="K1046" s="58"/>
      <c r="L1046" s="13" t="str">
        <f t="shared" si="160"/>
        <v/>
      </c>
      <c r="M1046" s="13" t="str">
        <f t="shared" si="161"/>
        <v/>
      </c>
      <c r="Q1046" t="str">
        <f t="shared" si="162"/>
        <v/>
      </c>
      <c r="R1046" t="str">
        <f t="shared" si="163"/>
        <v/>
      </c>
      <c r="S1046" t="str">
        <f t="shared" si="164"/>
        <v/>
      </c>
      <c r="T1046" t="str">
        <f t="shared" si="165"/>
        <v/>
      </c>
      <c r="U1046" t="str">
        <f t="shared" si="166"/>
        <v/>
      </c>
      <c r="V1046" t="str">
        <f t="shared" si="167"/>
        <v/>
      </c>
      <c r="W1046" t="str">
        <f t="shared" si="168"/>
        <v/>
      </c>
      <c r="X1046">
        <f>IF($T1046="",N($X1045),IF(MATCH($T1046,$T$6:$T$10005,0)=ROW()-5,N($X1045)+1,N($X1045)))</f>
        <v>0</v>
      </c>
      <c r="Z1046" t="str">
        <f t="shared" si="169"/>
        <v/>
      </c>
      <c r="AA1046">
        <f>IF($V1046="",N($AA1045),IF(MATCH($V1046,$V$6:$V$10005,0)=ROW()-5,N($AA1045)+1,N($AA1045)))</f>
        <v>0</v>
      </c>
    </row>
    <row r="1047" spans="1:27" ht="21" customHeight="1" x14ac:dyDescent="0.95">
      <c r="A1047" s="56"/>
      <c r="B1047" s="57"/>
      <c r="C1047" s="57"/>
      <c r="D1047" s="57"/>
      <c r="E1047" s="56"/>
      <c r="F1047" s="57"/>
      <c r="G1047" s="57"/>
      <c r="H1047" s="56"/>
      <c r="I1047" s="56"/>
      <c r="J1047" s="58"/>
      <c r="K1047" s="58"/>
      <c r="L1047" s="13" t="str">
        <f t="shared" si="160"/>
        <v/>
      </c>
      <c r="M1047" s="13" t="str">
        <f t="shared" si="161"/>
        <v/>
      </c>
      <c r="Q1047" t="str">
        <f t="shared" si="162"/>
        <v/>
      </c>
      <c r="R1047" t="str">
        <f t="shared" si="163"/>
        <v/>
      </c>
      <c r="S1047" t="str">
        <f t="shared" si="164"/>
        <v/>
      </c>
      <c r="T1047" t="str">
        <f t="shared" si="165"/>
        <v/>
      </c>
      <c r="U1047" t="str">
        <f t="shared" si="166"/>
        <v/>
      </c>
      <c r="V1047" t="str">
        <f t="shared" si="167"/>
        <v/>
      </c>
      <c r="W1047" t="str">
        <f t="shared" si="168"/>
        <v/>
      </c>
      <c r="X1047">
        <f>IF($T1047="",N($X1046),IF(MATCH($T1047,$T$6:$T$10005,0)=ROW()-5,N($X1046)+1,N($X1046)))</f>
        <v>0</v>
      </c>
      <c r="Z1047" t="str">
        <f t="shared" si="169"/>
        <v/>
      </c>
      <c r="AA1047">
        <f>IF($V1047="",N($AA1046),IF(MATCH($V1047,$V$6:$V$10005,0)=ROW()-5,N($AA1046)+1,N($AA1046)))</f>
        <v>0</v>
      </c>
    </row>
    <row r="1048" spans="1:27" ht="21" customHeight="1" x14ac:dyDescent="0.95">
      <c r="A1048" s="56"/>
      <c r="B1048" s="57"/>
      <c r="C1048" s="57"/>
      <c r="D1048" s="57"/>
      <c r="E1048" s="56"/>
      <c r="F1048" s="57"/>
      <c r="G1048" s="57"/>
      <c r="H1048" s="56"/>
      <c r="I1048" s="56"/>
      <c r="J1048" s="58"/>
      <c r="K1048" s="58"/>
      <c r="L1048" s="13" t="str">
        <f t="shared" si="160"/>
        <v/>
      </c>
      <c r="M1048" s="13" t="str">
        <f t="shared" si="161"/>
        <v/>
      </c>
      <c r="Q1048" t="str">
        <f t="shared" si="162"/>
        <v/>
      </c>
      <c r="R1048" t="str">
        <f t="shared" si="163"/>
        <v/>
      </c>
      <c r="S1048" t="str">
        <f t="shared" si="164"/>
        <v/>
      </c>
      <c r="T1048" t="str">
        <f t="shared" si="165"/>
        <v/>
      </c>
      <c r="U1048" t="str">
        <f t="shared" si="166"/>
        <v/>
      </c>
      <c r="V1048" t="str">
        <f t="shared" si="167"/>
        <v/>
      </c>
      <c r="W1048" t="str">
        <f t="shared" si="168"/>
        <v/>
      </c>
      <c r="X1048">
        <f>IF($T1048="",N($X1047),IF(MATCH($T1048,$T$6:$T$10005,0)=ROW()-5,N($X1047)+1,N($X1047)))</f>
        <v>0</v>
      </c>
      <c r="Z1048" t="str">
        <f t="shared" si="169"/>
        <v/>
      </c>
      <c r="AA1048">
        <f>IF($V1048="",N($AA1047),IF(MATCH($V1048,$V$6:$V$10005,0)=ROW()-5,N($AA1047)+1,N($AA1047)))</f>
        <v>0</v>
      </c>
    </row>
    <row r="1049" spans="1:27" ht="21" customHeight="1" x14ac:dyDescent="0.95">
      <c r="A1049" s="56"/>
      <c r="B1049" s="57"/>
      <c r="C1049" s="57"/>
      <c r="D1049" s="57"/>
      <c r="E1049" s="56"/>
      <c r="F1049" s="57"/>
      <c r="G1049" s="57"/>
      <c r="H1049" s="56"/>
      <c r="I1049" s="56"/>
      <c r="J1049" s="58"/>
      <c r="K1049" s="58"/>
      <c r="L1049" s="13" t="str">
        <f t="shared" si="160"/>
        <v/>
      </c>
      <c r="M1049" s="13" t="str">
        <f t="shared" si="161"/>
        <v/>
      </c>
      <c r="Q1049" t="str">
        <f t="shared" si="162"/>
        <v/>
      </c>
      <c r="R1049" t="str">
        <f t="shared" si="163"/>
        <v/>
      </c>
      <c r="S1049" t="str">
        <f t="shared" si="164"/>
        <v/>
      </c>
      <c r="T1049" t="str">
        <f t="shared" si="165"/>
        <v/>
      </c>
      <c r="U1049" t="str">
        <f t="shared" si="166"/>
        <v/>
      </c>
      <c r="V1049" t="str">
        <f t="shared" si="167"/>
        <v/>
      </c>
      <c r="W1049" t="str">
        <f t="shared" si="168"/>
        <v/>
      </c>
      <c r="X1049">
        <f>IF($T1049="",N($X1048),IF(MATCH($T1049,$T$6:$T$10005,0)=ROW()-5,N($X1048)+1,N($X1048)))</f>
        <v>0</v>
      </c>
      <c r="Z1049" t="str">
        <f t="shared" si="169"/>
        <v/>
      </c>
      <c r="AA1049">
        <f>IF($V1049="",N($AA1048),IF(MATCH($V1049,$V$6:$V$10005,0)=ROW()-5,N($AA1048)+1,N($AA1048)))</f>
        <v>0</v>
      </c>
    </row>
    <row r="1050" spans="1:27" ht="21" customHeight="1" x14ac:dyDescent="0.95">
      <c r="A1050" s="56"/>
      <c r="B1050" s="57"/>
      <c r="C1050" s="57"/>
      <c r="D1050" s="57"/>
      <c r="E1050" s="56"/>
      <c r="F1050" s="57"/>
      <c r="G1050" s="57"/>
      <c r="H1050" s="56"/>
      <c r="I1050" s="56"/>
      <c r="J1050" s="58"/>
      <c r="K1050" s="58"/>
      <c r="L1050" s="13" t="str">
        <f t="shared" si="160"/>
        <v/>
      </c>
      <c r="M1050" s="13" t="str">
        <f t="shared" si="161"/>
        <v/>
      </c>
      <c r="Q1050" t="str">
        <f t="shared" si="162"/>
        <v/>
      </c>
      <c r="R1050" t="str">
        <f t="shared" si="163"/>
        <v/>
      </c>
      <c r="S1050" t="str">
        <f t="shared" si="164"/>
        <v/>
      </c>
      <c r="T1050" t="str">
        <f t="shared" si="165"/>
        <v/>
      </c>
      <c r="U1050" t="str">
        <f t="shared" si="166"/>
        <v/>
      </c>
      <c r="V1050" t="str">
        <f t="shared" si="167"/>
        <v/>
      </c>
      <c r="W1050" t="str">
        <f t="shared" si="168"/>
        <v/>
      </c>
      <c r="X1050">
        <f>IF($T1050="",N($X1049),IF(MATCH($T1050,$T$6:$T$10005,0)=ROW()-5,N($X1049)+1,N($X1049)))</f>
        <v>0</v>
      </c>
      <c r="Z1050" t="str">
        <f t="shared" si="169"/>
        <v/>
      </c>
      <c r="AA1050">
        <f>IF($V1050="",N($AA1049),IF(MATCH($V1050,$V$6:$V$10005,0)=ROW()-5,N($AA1049)+1,N($AA1049)))</f>
        <v>0</v>
      </c>
    </row>
    <row r="1051" spans="1:27" ht="21" customHeight="1" x14ac:dyDescent="0.95">
      <c r="A1051" s="56"/>
      <c r="B1051" s="57"/>
      <c r="C1051" s="57"/>
      <c r="D1051" s="57"/>
      <c r="E1051" s="56"/>
      <c r="F1051" s="57"/>
      <c r="G1051" s="57"/>
      <c r="H1051" s="56"/>
      <c r="I1051" s="56"/>
      <c r="J1051" s="58"/>
      <c r="K1051" s="58"/>
      <c r="L1051" s="13" t="str">
        <f t="shared" si="160"/>
        <v/>
      </c>
      <c r="M1051" s="13" t="str">
        <f t="shared" si="161"/>
        <v/>
      </c>
      <c r="Q1051" t="str">
        <f t="shared" si="162"/>
        <v/>
      </c>
      <c r="R1051" t="str">
        <f t="shared" si="163"/>
        <v/>
      </c>
      <c r="S1051" t="str">
        <f t="shared" si="164"/>
        <v/>
      </c>
      <c r="T1051" t="str">
        <f t="shared" si="165"/>
        <v/>
      </c>
      <c r="U1051" t="str">
        <f t="shared" si="166"/>
        <v/>
      </c>
      <c r="V1051" t="str">
        <f t="shared" si="167"/>
        <v/>
      </c>
      <c r="W1051" t="str">
        <f t="shared" si="168"/>
        <v/>
      </c>
      <c r="X1051">
        <f>IF($T1051="",N($X1050),IF(MATCH($T1051,$T$6:$T$10005,0)=ROW()-5,N($X1050)+1,N($X1050)))</f>
        <v>0</v>
      </c>
      <c r="Z1051" t="str">
        <f t="shared" si="169"/>
        <v/>
      </c>
      <c r="AA1051">
        <f>IF($V1051="",N($AA1050),IF(MATCH($V1051,$V$6:$V$10005,0)=ROW()-5,N($AA1050)+1,N($AA1050)))</f>
        <v>0</v>
      </c>
    </row>
    <row r="1052" spans="1:27" ht="21" customHeight="1" x14ac:dyDescent="0.95">
      <c r="A1052" s="56"/>
      <c r="B1052" s="57"/>
      <c r="C1052" s="57"/>
      <c r="D1052" s="57"/>
      <c r="E1052" s="56"/>
      <c r="F1052" s="57"/>
      <c r="G1052" s="57"/>
      <c r="H1052" s="56"/>
      <c r="I1052" s="56"/>
      <c r="J1052" s="58"/>
      <c r="K1052" s="58"/>
      <c r="L1052" s="13" t="str">
        <f t="shared" si="160"/>
        <v/>
      </c>
      <c r="M1052" s="13" t="str">
        <f t="shared" si="161"/>
        <v/>
      </c>
      <c r="Q1052" t="str">
        <f t="shared" si="162"/>
        <v/>
      </c>
      <c r="R1052" t="str">
        <f t="shared" si="163"/>
        <v/>
      </c>
      <c r="S1052" t="str">
        <f t="shared" si="164"/>
        <v/>
      </c>
      <c r="T1052" t="str">
        <f t="shared" si="165"/>
        <v/>
      </c>
      <c r="U1052" t="str">
        <f t="shared" si="166"/>
        <v/>
      </c>
      <c r="V1052" t="str">
        <f t="shared" si="167"/>
        <v/>
      </c>
      <c r="W1052" t="str">
        <f t="shared" si="168"/>
        <v/>
      </c>
      <c r="X1052">
        <f>IF($T1052="",N($X1051),IF(MATCH($T1052,$T$6:$T$10005,0)=ROW()-5,N($X1051)+1,N($X1051)))</f>
        <v>0</v>
      </c>
      <c r="Z1052" t="str">
        <f t="shared" si="169"/>
        <v/>
      </c>
      <c r="AA1052">
        <f>IF($V1052="",N($AA1051),IF(MATCH($V1052,$V$6:$V$10005,0)=ROW()-5,N($AA1051)+1,N($AA1051)))</f>
        <v>0</v>
      </c>
    </row>
    <row r="1053" spans="1:27" ht="21" customHeight="1" x14ac:dyDescent="0.95">
      <c r="A1053" s="56"/>
      <c r="B1053" s="57"/>
      <c r="C1053" s="57"/>
      <c r="D1053" s="57"/>
      <c r="E1053" s="56"/>
      <c r="F1053" s="57"/>
      <c r="G1053" s="57"/>
      <c r="H1053" s="56"/>
      <c r="I1053" s="56"/>
      <c r="J1053" s="58"/>
      <c r="K1053" s="58"/>
      <c r="L1053" s="13" t="str">
        <f t="shared" si="160"/>
        <v/>
      </c>
      <c r="M1053" s="13" t="str">
        <f t="shared" si="161"/>
        <v/>
      </c>
      <c r="Q1053" t="str">
        <f t="shared" si="162"/>
        <v/>
      </c>
      <c r="R1053" t="str">
        <f t="shared" si="163"/>
        <v/>
      </c>
      <c r="S1053" t="str">
        <f t="shared" si="164"/>
        <v/>
      </c>
      <c r="T1053" t="str">
        <f t="shared" si="165"/>
        <v/>
      </c>
      <c r="U1053" t="str">
        <f t="shared" si="166"/>
        <v/>
      </c>
      <c r="V1053" t="str">
        <f t="shared" si="167"/>
        <v/>
      </c>
      <c r="W1053" t="str">
        <f t="shared" si="168"/>
        <v/>
      </c>
      <c r="X1053">
        <f>IF($T1053="",N($X1052),IF(MATCH($T1053,$T$6:$T$10005,0)=ROW()-5,N($X1052)+1,N($X1052)))</f>
        <v>0</v>
      </c>
      <c r="Z1053" t="str">
        <f t="shared" si="169"/>
        <v/>
      </c>
      <c r="AA1053">
        <f>IF($V1053="",N($AA1052),IF(MATCH($V1053,$V$6:$V$10005,0)=ROW()-5,N($AA1052)+1,N($AA1052)))</f>
        <v>0</v>
      </c>
    </row>
    <row r="1054" spans="1:27" ht="21" customHeight="1" x14ac:dyDescent="0.95">
      <c r="A1054" s="56"/>
      <c r="B1054" s="57"/>
      <c r="C1054" s="57"/>
      <c r="D1054" s="57"/>
      <c r="E1054" s="56"/>
      <c r="F1054" s="57"/>
      <c r="G1054" s="57"/>
      <c r="H1054" s="56"/>
      <c r="I1054" s="56"/>
      <c r="J1054" s="58"/>
      <c r="K1054" s="58"/>
      <c r="L1054" s="13" t="str">
        <f t="shared" si="160"/>
        <v/>
      </c>
      <c r="M1054" s="13" t="str">
        <f t="shared" si="161"/>
        <v/>
      </c>
      <c r="Q1054" t="str">
        <f t="shared" si="162"/>
        <v/>
      </c>
      <c r="R1054" t="str">
        <f t="shared" si="163"/>
        <v/>
      </c>
      <c r="S1054" t="str">
        <f t="shared" si="164"/>
        <v/>
      </c>
      <c r="T1054" t="str">
        <f t="shared" si="165"/>
        <v/>
      </c>
      <c r="U1054" t="str">
        <f t="shared" si="166"/>
        <v/>
      </c>
      <c r="V1054" t="str">
        <f t="shared" si="167"/>
        <v/>
      </c>
      <c r="W1054" t="str">
        <f t="shared" si="168"/>
        <v/>
      </c>
      <c r="X1054">
        <f>IF($T1054="",N($X1053),IF(MATCH($T1054,$T$6:$T$10005,0)=ROW()-5,N($X1053)+1,N($X1053)))</f>
        <v>0</v>
      </c>
      <c r="Z1054" t="str">
        <f t="shared" si="169"/>
        <v/>
      </c>
      <c r="AA1054">
        <f>IF($V1054="",N($AA1053),IF(MATCH($V1054,$V$6:$V$10005,0)=ROW()-5,N($AA1053)+1,N($AA1053)))</f>
        <v>0</v>
      </c>
    </row>
    <row r="1055" spans="1:27" ht="21" customHeight="1" x14ac:dyDescent="0.95">
      <c r="A1055" s="56"/>
      <c r="B1055" s="57"/>
      <c r="C1055" s="57"/>
      <c r="D1055" s="57"/>
      <c r="E1055" s="56"/>
      <c r="F1055" s="57"/>
      <c r="G1055" s="57"/>
      <c r="H1055" s="56"/>
      <c r="I1055" s="56"/>
      <c r="J1055" s="58"/>
      <c r="K1055" s="58"/>
      <c r="L1055" s="13" t="str">
        <f t="shared" si="160"/>
        <v/>
      </c>
      <c r="M1055" s="13" t="str">
        <f t="shared" si="161"/>
        <v/>
      </c>
      <c r="Q1055" t="str">
        <f t="shared" si="162"/>
        <v/>
      </c>
      <c r="R1055" t="str">
        <f t="shared" si="163"/>
        <v/>
      </c>
      <c r="S1055" t="str">
        <f t="shared" si="164"/>
        <v/>
      </c>
      <c r="T1055" t="str">
        <f t="shared" si="165"/>
        <v/>
      </c>
      <c r="U1055" t="str">
        <f t="shared" si="166"/>
        <v/>
      </c>
      <c r="V1055" t="str">
        <f t="shared" si="167"/>
        <v/>
      </c>
      <c r="W1055" t="str">
        <f t="shared" si="168"/>
        <v/>
      </c>
      <c r="X1055">
        <f>IF($T1055="",N($X1054),IF(MATCH($T1055,$T$6:$T$10005,0)=ROW()-5,N($X1054)+1,N($X1054)))</f>
        <v>0</v>
      </c>
      <c r="Z1055" t="str">
        <f t="shared" si="169"/>
        <v/>
      </c>
      <c r="AA1055">
        <f>IF($V1055="",N($AA1054),IF(MATCH($V1055,$V$6:$V$10005,0)=ROW()-5,N($AA1054)+1,N($AA1054)))</f>
        <v>0</v>
      </c>
    </row>
    <row r="1056" spans="1:27" ht="21" customHeight="1" x14ac:dyDescent="0.95">
      <c r="A1056" s="56"/>
      <c r="B1056" s="57"/>
      <c r="C1056" s="57"/>
      <c r="D1056" s="57"/>
      <c r="E1056" s="56"/>
      <c r="F1056" s="57"/>
      <c r="G1056" s="57"/>
      <c r="H1056" s="56"/>
      <c r="I1056" s="56"/>
      <c r="J1056" s="58"/>
      <c r="K1056" s="58"/>
      <c r="L1056" s="13" t="str">
        <f t="shared" si="160"/>
        <v/>
      </c>
      <c r="M1056" s="13" t="str">
        <f t="shared" si="161"/>
        <v/>
      </c>
      <c r="Q1056" t="str">
        <f t="shared" si="162"/>
        <v/>
      </c>
      <c r="R1056" t="str">
        <f t="shared" si="163"/>
        <v/>
      </c>
      <c r="S1056" t="str">
        <f t="shared" si="164"/>
        <v/>
      </c>
      <c r="T1056" t="str">
        <f t="shared" si="165"/>
        <v/>
      </c>
      <c r="U1056" t="str">
        <f t="shared" si="166"/>
        <v/>
      </c>
      <c r="V1056" t="str">
        <f t="shared" si="167"/>
        <v/>
      </c>
      <c r="W1056" t="str">
        <f t="shared" si="168"/>
        <v/>
      </c>
      <c r="X1056">
        <f>IF($T1056="",N($X1055),IF(MATCH($T1056,$T$6:$T$10005,0)=ROW()-5,N($X1055)+1,N($X1055)))</f>
        <v>0</v>
      </c>
      <c r="Z1056" t="str">
        <f t="shared" si="169"/>
        <v/>
      </c>
      <c r="AA1056">
        <f>IF($V1056="",N($AA1055),IF(MATCH($V1056,$V$6:$V$10005,0)=ROW()-5,N($AA1055)+1,N($AA1055)))</f>
        <v>0</v>
      </c>
    </row>
    <row r="1057" spans="1:27" ht="21" customHeight="1" x14ac:dyDescent="0.95">
      <c r="A1057" s="56"/>
      <c r="B1057" s="57"/>
      <c r="C1057" s="57"/>
      <c r="D1057" s="57"/>
      <c r="E1057" s="56"/>
      <c r="F1057" s="57"/>
      <c r="G1057" s="57"/>
      <c r="H1057" s="56"/>
      <c r="I1057" s="56"/>
      <c r="J1057" s="58"/>
      <c r="K1057" s="58"/>
      <c r="L1057" s="13" t="str">
        <f t="shared" si="160"/>
        <v/>
      </c>
      <c r="M1057" s="13" t="str">
        <f t="shared" si="161"/>
        <v/>
      </c>
      <c r="Q1057" t="str">
        <f t="shared" si="162"/>
        <v/>
      </c>
      <c r="R1057" t="str">
        <f t="shared" si="163"/>
        <v/>
      </c>
      <c r="S1057" t="str">
        <f t="shared" si="164"/>
        <v/>
      </c>
      <c r="T1057" t="str">
        <f t="shared" si="165"/>
        <v/>
      </c>
      <c r="U1057" t="str">
        <f t="shared" si="166"/>
        <v/>
      </c>
      <c r="V1057" t="str">
        <f t="shared" si="167"/>
        <v/>
      </c>
      <c r="W1057" t="str">
        <f t="shared" si="168"/>
        <v/>
      </c>
      <c r="X1057">
        <f>IF($T1057="",N($X1056),IF(MATCH($T1057,$T$6:$T$10005,0)=ROW()-5,N($X1056)+1,N($X1056)))</f>
        <v>0</v>
      </c>
      <c r="Z1057" t="str">
        <f t="shared" si="169"/>
        <v/>
      </c>
      <c r="AA1057">
        <f>IF($V1057="",N($AA1056),IF(MATCH($V1057,$V$6:$V$10005,0)=ROW()-5,N($AA1056)+1,N($AA1056)))</f>
        <v>0</v>
      </c>
    </row>
    <row r="1058" spans="1:27" ht="21" customHeight="1" x14ac:dyDescent="0.95">
      <c r="A1058" s="56"/>
      <c r="B1058" s="57"/>
      <c r="C1058" s="57"/>
      <c r="D1058" s="57"/>
      <c r="E1058" s="56"/>
      <c r="F1058" s="57"/>
      <c r="G1058" s="57"/>
      <c r="H1058" s="56"/>
      <c r="I1058" s="56"/>
      <c r="J1058" s="58"/>
      <c r="K1058" s="58"/>
      <c r="L1058" s="13" t="str">
        <f t="shared" si="160"/>
        <v/>
      </c>
      <c r="M1058" s="13" t="str">
        <f t="shared" si="161"/>
        <v/>
      </c>
      <c r="Q1058" t="str">
        <f t="shared" si="162"/>
        <v/>
      </c>
      <c r="R1058" t="str">
        <f t="shared" si="163"/>
        <v/>
      </c>
      <c r="S1058" t="str">
        <f t="shared" si="164"/>
        <v/>
      </c>
      <c r="T1058" t="str">
        <f t="shared" si="165"/>
        <v/>
      </c>
      <c r="U1058" t="str">
        <f t="shared" si="166"/>
        <v/>
      </c>
      <c r="V1058" t="str">
        <f t="shared" si="167"/>
        <v/>
      </c>
      <c r="W1058" t="str">
        <f t="shared" si="168"/>
        <v/>
      </c>
      <c r="X1058">
        <f>IF($T1058="",N($X1057),IF(MATCH($T1058,$T$6:$T$10005,0)=ROW()-5,N($X1057)+1,N($X1057)))</f>
        <v>0</v>
      </c>
      <c r="Z1058" t="str">
        <f t="shared" si="169"/>
        <v/>
      </c>
      <c r="AA1058">
        <f>IF($V1058="",N($AA1057),IF(MATCH($V1058,$V$6:$V$10005,0)=ROW()-5,N($AA1057)+1,N($AA1057)))</f>
        <v>0</v>
      </c>
    </row>
    <row r="1059" spans="1:27" ht="21" customHeight="1" x14ac:dyDescent="0.95">
      <c r="A1059" s="56"/>
      <c r="B1059" s="57"/>
      <c r="C1059" s="57"/>
      <c r="D1059" s="57"/>
      <c r="E1059" s="56"/>
      <c r="F1059" s="57"/>
      <c r="G1059" s="57"/>
      <c r="H1059" s="56"/>
      <c r="I1059" s="56"/>
      <c r="J1059" s="58"/>
      <c r="K1059" s="58"/>
      <c r="L1059" s="13" t="str">
        <f t="shared" si="160"/>
        <v/>
      </c>
      <c r="M1059" s="13" t="str">
        <f t="shared" si="161"/>
        <v/>
      </c>
      <c r="Q1059" t="str">
        <f t="shared" si="162"/>
        <v/>
      </c>
      <c r="R1059" t="str">
        <f t="shared" si="163"/>
        <v/>
      </c>
      <c r="S1059" t="str">
        <f t="shared" si="164"/>
        <v/>
      </c>
      <c r="T1059" t="str">
        <f t="shared" si="165"/>
        <v/>
      </c>
      <c r="U1059" t="str">
        <f t="shared" si="166"/>
        <v/>
      </c>
      <c r="V1059" t="str">
        <f t="shared" si="167"/>
        <v/>
      </c>
      <c r="W1059" t="str">
        <f t="shared" si="168"/>
        <v/>
      </c>
      <c r="X1059">
        <f>IF($T1059="",N($X1058),IF(MATCH($T1059,$T$6:$T$10005,0)=ROW()-5,N($X1058)+1,N($X1058)))</f>
        <v>0</v>
      </c>
      <c r="Z1059" t="str">
        <f t="shared" si="169"/>
        <v/>
      </c>
      <c r="AA1059">
        <f>IF($V1059="",N($AA1058),IF(MATCH($V1059,$V$6:$V$10005,0)=ROW()-5,N($AA1058)+1,N($AA1058)))</f>
        <v>0</v>
      </c>
    </row>
    <row r="1060" spans="1:27" ht="21" customHeight="1" x14ac:dyDescent="0.95">
      <c r="A1060" s="56"/>
      <c r="B1060" s="57"/>
      <c r="C1060" s="57"/>
      <c r="D1060" s="57"/>
      <c r="E1060" s="56"/>
      <c r="F1060" s="57"/>
      <c r="G1060" s="57"/>
      <c r="H1060" s="56"/>
      <c r="I1060" s="56"/>
      <c r="J1060" s="58"/>
      <c r="K1060" s="58"/>
      <c r="L1060" s="13" t="str">
        <f t="shared" si="160"/>
        <v/>
      </c>
      <c r="M1060" s="13" t="str">
        <f t="shared" si="161"/>
        <v/>
      </c>
      <c r="Q1060" t="str">
        <f t="shared" si="162"/>
        <v/>
      </c>
      <c r="R1060" t="str">
        <f t="shared" si="163"/>
        <v/>
      </c>
      <c r="S1060" t="str">
        <f t="shared" si="164"/>
        <v/>
      </c>
      <c r="T1060" t="str">
        <f t="shared" si="165"/>
        <v/>
      </c>
      <c r="U1060" t="str">
        <f t="shared" si="166"/>
        <v/>
      </c>
      <c r="V1060" t="str">
        <f t="shared" si="167"/>
        <v/>
      </c>
      <c r="W1060" t="str">
        <f t="shared" si="168"/>
        <v/>
      </c>
      <c r="X1060">
        <f>IF($T1060="",N($X1059),IF(MATCH($T1060,$T$6:$T$10005,0)=ROW()-5,N($X1059)+1,N($X1059)))</f>
        <v>0</v>
      </c>
      <c r="Z1060" t="str">
        <f t="shared" si="169"/>
        <v/>
      </c>
      <c r="AA1060">
        <f>IF($V1060="",N($AA1059),IF(MATCH($V1060,$V$6:$V$10005,0)=ROW()-5,N($AA1059)+1,N($AA1059)))</f>
        <v>0</v>
      </c>
    </row>
    <row r="1061" spans="1:27" ht="21" customHeight="1" x14ac:dyDescent="0.95">
      <c r="A1061" s="56"/>
      <c r="B1061" s="57"/>
      <c r="C1061" s="57"/>
      <c r="D1061" s="57"/>
      <c r="E1061" s="56"/>
      <c r="F1061" s="57"/>
      <c r="G1061" s="57"/>
      <c r="H1061" s="56"/>
      <c r="I1061" s="56"/>
      <c r="J1061" s="58"/>
      <c r="K1061" s="58"/>
      <c r="L1061" s="13" t="str">
        <f t="shared" si="160"/>
        <v/>
      </c>
      <c r="M1061" s="13" t="str">
        <f t="shared" si="161"/>
        <v/>
      </c>
      <c r="Q1061" t="str">
        <f t="shared" si="162"/>
        <v/>
      </c>
      <c r="R1061" t="str">
        <f t="shared" si="163"/>
        <v/>
      </c>
      <c r="S1061" t="str">
        <f t="shared" si="164"/>
        <v/>
      </c>
      <c r="T1061" t="str">
        <f t="shared" si="165"/>
        <v/>
      </c>
      <c r="U1061" t="str">
        <f t="shared" si="166"/>
        <v/>
      </c>
      <c r="V1061" t="str">
        <f t="shared" si="167"/>
        <v/>
      </c>
      <c r="W1061" t="str">
        <f t="shared" si="168"/>
        <v/>
      </c>
      <c r="X1061">
        <f>IF($T1061="",N($X1060),IF(MATCH($T1061,$T$6:$T$10005,0)=ROW()-5,N($X1060)+1,N($X1060)))</f>
        <v>0</v>
      </c>
      <c r="Z1061" t="str">
        <f t="shared" si="169"/>
        <v/>
      </c>
      <c r="AA1061">
        <f>IF($V1061="",N($AA1060),IF(MATCH($V1061,$V$6:$V$10005,0)=ROW()-5,N($AA1060)+1,N($AA1060)))</f>
        <v>0</v>
      </c>
    </row>
    <row r="1062" spans="1:27" ht="21" customHeight="1" x14ac:dyDescent="0.95">
      <c r="A1062" s="56"/>
      <c r="B1062" s="57"/>
      <c r="C1062" s="57"/>
      <c r="D1062" s="57"/>
      <c r="E1062" s="56"/>
      <c r="F1062" s="57"/>
      <c r="G1062" s="57"/>
      <c r="H1062" s="56"/>
      <c r="I1062" s="56"/>
      <c r="J1062" s="58"/>
      <c r="K1062" s="58"/>
      <c r="L1062" s="13" t="str">
        <f t="shared" si="160"/>
        <v/>
      </c>
      <c r="M1062" s="13" t="str">
        <f t="shared" si="161"/>
        <v/>
      </c>
      <c r="Q1062" t="str">
        <f t="shared" si="162"/>
        <v/>
      </c>
      <c r="R1062" t="str">
        <f t="shared" si="163"/>
        <v/>
      </c>
      <c r="S1062" t="str">
        <f t="shared" si="164"/>
        <v/>
      </c>
      <c r="T1062" t="str">
        <f t="shared" si="165"/>
        <v/>
      </c>
      <c r="U1062" t="str">
        <f t="shared" si="166"/>
        <v/>
      </c>
      <c r="V1062" t="str">
        <f t="shared" si="167"/>
        <v/>
      </c>
      <c r="W1062" t="str">
        <f t="shared" si="168"/>
        <v/>
      </c>
      <c r="X1062">
        <f>IF($T1062="",N($X1061),IF(MATCH($T1062,$T$6:$T$10005,0)=ROW()-5,N($X1061)+1,N($X1061)))</f>
        <v>0</v>
      </c>
      <c r="Z1062" t="str">
        <f t="shared" si="169"/>
        <v/>
      </c>
      <c r="AA1062">
        <f>IF($V1062="",N($AA1061),IF(MATCH($V1062,$V$6:$V$10005,0)=ROW()-5,N($AA1061)+1,N($AA1061)))</f>
        <v>0</v>
      </c>
    </row>
    <row r="1063" spans="1:27" ht="21" customHeight="1" x14ac:dyDescent="0.95">
      <c r="A1063" s="56"/>
      <c r="B1063" s="57"/>
      <c r="C1063" s="57"/>
      <c r="D1063" s="57"/>
      <c r="E1063" s="56"/>
      <c r="F1063" s="57"/>
      <c r="G1063" s="57"/>
      <c r="H1063" s="56"/>
      <c r="I1063" s="56"/>
      <c r="J1063" s="58"/>
      <c r="K1063" s="58"/>
      <c r="L1063" s="13" t="str">
        <f t="shared" si="160"/>
        <v/>
      </c>
      <c r="M1063" s="13" t="str">
        <f t="shared" si="161"/>
        <v/>
      </c>
      <c r="Q1063" t="str">
        <f t="shared" si="162"/>
        <v/>
      </c>
      <c r="R1063" t="str">
        <f t="shared" si="163"/>
        <v/>
      </c>
      <c r="S1063" t="str">
        <f t="shared" si="164"/>
        <v/>
      </c>
      <c r="T1063" t="str">
        <f t="shared" si="165"/>
        <v/>
      </c>
      <c r="U1063" t="str">
        <f t="shared" si="166"/>
        <v/>
      </c>
      <c r="V1063" t="str">
        <f t="shared" si="167"/>
        <v/>
      </c>
      <c r="W1063" t="str">
        <f t="shared" si="168"/>
        <v/>
      </c>
      <c r="X1063">
        <f>IF($T1063="",N($X1062),IF(MATCH($T1063,$T$6:$T$10005,0)=ROW()-5,N($X1062)+1,N($X1062)))</f>
        <v>0</v>
      </c>
      <c r="Z1063" t="str">
        <f t="shared" si="169"/>
        <v/>
      </c>
      <c r="AA1063">
        <f>IF($V1063="",N($AA1062),IF(MATCH($V1063,$V$6:$V$10005,0)=ROW()-5,N($AA1062)+1,N($AA1062)))</f>
        <v>0</v>
      </c>
    </row>
    <row r="1064" spans="1:27" ht="21" customHeight="1" x14ac:dyDescent="0.95">
      <c r="A1064" s="56"/>
      <c r="B1064" s="57"/>
      <c r="C1064" s="57"/>
      <c r="D1064" s="57"/>
      <c r="E1064" s="56"/>
      <c r="F1064" s="57"/>
      <c r="G1064" s="57"/>
      <c r="H1064" s="56"/>
      <c r="I1064" s="56"/>
      <c r="J1064" s="58"/>
      <c r="K1064" s="58"/>
      <c r="L1064" s="13" t="str">
        <f t="shared" si="160"/>
        <v/>
      </c>
      <c r="M1064" s="13" t="str">
        <f t="shared" si="161"/>
        <v/>
      </c>
      <c r="Q1064" t="str">
        <f t="shared" si="162"/>
        <v/>
      </c>
      <c r="R1064" t="str">
        <f t="shared" si="163"/>
        <v/>
      </c>
      <c r="S1064" t="str">
        <f t="shared" si="164"/>
        <v/>
      </c>
      <c r="T1064" t="str">
        <f t="shared" si="165"/>
        <v/>
      </c>
      <c r="U1064" t="str">
        <f t="shared" si="166"/>
        <v/>
      </c>
      <c r="V1064" t="str">
        <f t="shared" si="167"/>
        <v/>
      </c>
      <c r="W1064" t="str">
        <f t="shared" si="168"/>
        <v/>
      </c>
      <c r="X1064">
        <f>IF($T1064="",N($X1063),IF(MATCH($T1064,$T$6:$T$10005,0)=ROW()-5,N($X1063)+1,N($X1063)))</f>
        <v>0</v>
      </c>
      <c r="Z1064" t="str">
        <f t="shared" si="169"/>
        <v/>
      </c>
      <c r="AA1064">
        <f>IF($V1064="",N($AA1063),IF(MATCH($V1064,$V$6:$V$10005,0)=ROW()-5,N($AA1063)+1,N($AA1063)))</f>
        <v>0</v>
      </c>
    </row>
    <row r="1065" spans="1:27" ht="21" customHeight="1" x14ac:dyDescent="0.95">
      <c r="A1065" s="56"/>
      <c r="B1065" s="57"/>
      <c r="C1065" s="57"/>
      <c r="D1065" s="57"/>
      <c r="E1065" s="56"/>
      <c r="F1065" s="57"/>
      <c r="G1065" s="57"/>
      <c r="H1065" s="56"/>
      <c r="I1065" s="56"/>
      <c r="J1065" s="58"/>
      <c r="K1065" s="58"/>
      <c r="L1065" s="13" t="str">
        <f t="shared" si="160"/>
        <v/>
      </c>
      <c r="M1065" s="13" t="str">
        <f t="shared" si="161"/>
        <v/>
      </c>
      <c r="Q1065" t="str">
        <f t="shared" si="162"/>
        <v/>
      </c>
      <c r="R1065" t="str">
        <f t="shared" si="163"/>
        <v/>
      </c>
      <c r="S1065" t="str">
        <f t="shared" si="164"/>
        <v/>
      </c>
      <c r="T1065" t="str">
        <f t="shared" si="165"/>
        <v/>
      </c>
      <c r="U1065" t="str">
        <f t="shared" si="166"/>
        <v/>
      </c>
      <c r="V1065" t="str">
        <f t="shared" si="167"/>
        <v/>
      </c>
      <c r="W1065" t="str">
        <f t="shared" si="168"/>
        <v/>
      </c>
      <c r="X1065">
        <f>IF($T1065="",N($X1064),IF(MATCH($T1065,$T$6:$T$10005,0)=ROW()-5,N($X1064)+1,N($X1064)))</f>
        <v>0</v>
      </c>
      <c r="Z1065" t="str">
        <f t="shared" si="169"/>
        <v/>
      </c>
      <c r="AA1065">
        <f>IF($V1065="",N($AA1064),IF(MATCH($V1065,$V$6:$V$10005,0)=ROW()-5,N($AA1064)+1,N($AA1064)))</f>
        <v>0</v>
      </c>
    </row>
    <row r="1066" spans="1:27" ht="21" customHeight="1" x14ac:dyDescent="0.95">
      <c r="A1066" s="56"/>
      <c r="B1066" s="57"/>
      <c r="C1066" s="57"/>
      <c r="D1066" s="57"/>
      <c r="E1066" s="56"/>
      <c r="F1066" s="57"/>
      <c r="G1066" s="57"/>
      <c r="H1066" s="56"/>
      <c r="I1066" s="56"/>
      <c r="J1066" s="58"/>
      <c r="K1066" s="58"/>
      <c r="L1066" s="13" t="str">
        <f t="shared" si="160"/>
        <v/>
      </c>
      <c r="M1066" s="13" t="str">
        <f t="shared" si="161"/>
        <v/>
      </c>
      <c r="Q1066" t="str">
        <f t="shared" si="162"/>
        <v/>
      </c>
      <c r="R1066" t="str">
        <f t="shared" si="163"/>
        <v/>
      </c>
      <c r="S1066" t="str">
        <f t="shared" si="164"/>
        <v/>
      </c>
      <c r="T1066" t="str">
        <f t="shared" si="165"/>
        <v/>
      </c>
      <c r="U1066" t="str">
        <f t="shared" si="166"/>
        <v/>
      </c>
      <c r="V1066" t="str">
        <f t="shared" si="167"/>
        <v/>
      </c>
      <c r="W1066" t="str">
        <f t="shared" si="168"/>
        <v/>
      </c>
      <c r="X1066">
        <f>IF($T1066="",N($X1065),IF(MATCH($T1066,$T$6:$T$10005,0)=ROW()-5,N($X1065)+1,N($X1065)))</f>
        <v>0</v>
      </c>
      <c r="Z1066" t="str">
        <f t="shared" si="169"/>
        <v/>
      </c>
      <c r="AA1066">
        <f>IF($V1066="",N($AA1065),IF(MATCH($V1066,$V$6:$V$10005,0)=ROW()-5,N($AA1065)+1,N($AA1065)))</f>
        <v>0</v>
      </c>
    </row>
    <row r="1067" spans="1:27" ht="21" customHeight="1" x14ac:dyDescent="0.95">
      <c r="A1067" s="56"/>
      <c r="B1067" s="57"/>
      <c r="C1067" s="57"/>
      <c r="D1067" s="57"/>
      <c r="E1067" s="56"/>
      <c r="F1067" s="57"/>
      <c r="G1067" s="57"/>
      <c r="H1067" s="56"/>
      <c r="I1067" s="56"/>
      <c r="J1067" s="58"/>
      <c r="K1067" s="58"/>
      <c r="L1067" s="13" t="str">
        <f t="shared" si="160"/>
        <v/>
      </c>
      <c r="M1067" s="13" t="str">
        <f t="shared" si="161"/>
        <v/>
      </c>
      <c r="Q1067" t="str">
        <f t="shared" si="162"/>
        <v/>
      </c>
      <c r="R1067" t="str">
        <f t="shared" si="163"/>
        <v/>
      </c>
      <c r="S1067" t="str">
        <f t="shared" si="164"/>
        <v/>
      </c>
      <c r="T1067" t="str">
        <f t="shared" si="165"/>
        <v/>
      </c>
      <c r="U1067" t="str">
        <f t="shared" si="166"/>
        <v/>
      </c>
      <c r="V1067" t="str">
        <f t="shared" si="167"/>
        <v/>
      </c>
      <c r="W1067" t="str">
        <f t="shared" si="168"/>
        <v/>
      </c>
      <c r="X1067">
        <f>IF($T1067="",N($X1066),IF(MATCH($T1067,$T$6:$T$10005,0)=ROW()-5,N($X1066)+1,N($X1066)))</f>
        <v>0</v>
      </c>
      <c r="Z1067" t="str">
        <f t="shared" si="169"/>
        <v/>
      </c>
      <c r="AA1067">
        <f>IF($V1067="",N($AA1066),IF(MATCH($V1067,$V$6:$V$10005,0)=ROW()-5,N($AA1066)+1,N($AA1066)))</f>
        <v>0</v>
      </c>
    </row>
    <row r="1068" spans="1:27" ht="21" customHeight="1" x14ac:dyDescent="0.95">
      <c r="A1068" s="56"/>
      <c r="B1068" s="57"/>
      <c r="C1068" s="57"/>
      <c r="D1068" s="57"/>
      <c r="E1068" s="56"/>
      <c r="F1068" s="57"/>
      <c r="G1068" s="57"/>
      <c r="H1068" s="56"/>
      <c r="I1068" s="56"/>
      <c r="J1068" s="58"/>
      <c r="K1068" s="58"/>
      <c r="L1068" s="13" t="str">
        <f t="shared" si="160"/>
        <v/>
      </c>
      <c r="M1068" s="13" t="str">
        <f t="shared" si="161"/>
        <v/>
      </c>
      <c r="Q1068" t="str">
        <f t="shared" si="162"/>
        <v/>
      </c>
      <c r="R1068" t="str">
        <f t="shared" si="163"/>
        <v/>
      </c>
      <c r="S1068" t="str">
        <f t="shared" si="164"/>
        <v/>
      </c>
      <c r="T1068" t="str">
        <f t="shared" si="165"/>
        <v/>
      </c>
      <c r="U1068" t="str">
        <f t="shared" si="166"/>
        <v/>
      </c>
      <c r="V1068" t="str">
        <f t="shared" si="167"/>
        <v/>
      </c>
      <c r="W1068" t="str">
        <f t="shared" si="168"/>
        <v/>
      </c>
      <c r="X1068">
        <f>IF($T1068="",N($X1067),IF(MATCH($T1068,$T$6:$T$10005,0)=ROW()-5,N($X1067)+1,N($X1067)))</f>
        <v>0</v>
      </c>
      <c r="Z1068" t="str">
        <f t="shared" si="169"/>
        <v/>
      </c>
      <c r="AA1068">
        <f>IF($V1068="",N($AA1067),IF(MATCH($V1068,$V$6:$V$10005,0)=ROW()-5,N($AA1067)+1,N($AA1067)))</f>
        <v>0</v>
      </c>
    </row>
    <row r="1069" spans="1:27" ht="21" customHeight="1" x14ac:dyDescent="0.95">
      <c r="A1069" s="56"/>
      <c r="B1069" s="57"/>
      <c r="C1069" s="57"/>
      <c r="D1069" s="57"/>
      <c r="E1069" s="56"/>
      <c r="F1069" s="57"/>
      <c r="G1069" s="57"/>
      <c r="H1069" s="56"/>
      <c r="I1069" s="56"/>
      <c r="J1069" s="58"/>
      <c r="K1069" s="58"/>
      <c r="L1069" s="13" t="str">
        <f t="shared" si="160"/>
        <v/>
      </c>
      <c r="M1069" s="13" t="str">
        <f t="shared" si="161"/>
        <v/>
      </c>
      <c r="Q1069" t="str">
        <f t="shared" si="162"/>
        <v/>
      </c>
      <c r="R1069" t="str">
        <f t="shared" si="163"/>
        <v/>
      </c>
      <c r="S1069" t="str">
        <f t="shared" si="164"/>
        <v/>
      </c>
      <c r="T1069" t="str">
        <f t="shared" si="165"/>
        <v/>
      </c>
      <c r="U1069" t="str">
        <f t="shared" si="166"/>
        <v/>
      </c>
      <c r="V1069" t="str">
        <f t="shared" si="167"/>
        <v/>
      </c>
      <c r="W1069" t="str">
        <f t="shared" si="168"/>
        <v/>
      </c>
      <c r="X1069">
        <f>IF($T1069="",N($X1068),IF(MATCH($T1069,$T$6:$T$10005,0)=ROW()-5,N($X1068)+1,N($X1068)))</f>
        <v>0</v>
      </c>
      <c r="Z1069" t="str">
        <f t="shared" si="169"/>
        <v/>
      </c>
      <c r="AA1069">
        <f>IF($V1069="",N($AA1068),IF(MATCH($V1069,$V$6:$V$10005,0)=ROW()-5,N($AA1068)+1,N($AA1068)))</f>
        <v>0</v>
      </c>
    </row>
    <row r="1070" spans="1:27" ht="21" customHeight="1" x14ac:dyDescent="0.95">
      <c r="A1070" s="56"/>
      <c r="B1070" s="57"/>
      <c r="C1070" s="57"/>
      <c r="D1070" s="57"/>
      <c r="E1070" s="56"/>
      <c r="F1070" s="57"/>
      <c r="G1070" s="57"/>
      <c r="H1070" s="56"/>
      <c r="I1070" s="56"/>
      <c r="J1070" s="58"/>
      <c r="K1070" s="58"/>
      <c r="L1070" s="13" t="str">
        <f t="shared" si="160"/>
        <v/>
      </c>
      <c r="M1070" s="13" t="str">
        <f t="shared" si="161"/>
        <v/>
      </c>
      <c r="Q1070" t="str">
        <f t="shared" si="162"/>
        <v/>
      </c>
      <c r="R1070" t="str">
        <f t="shared" si="163"/>
        <v/>
      </c>
      <c r="S1070" t="str">
        <f t="shared" si="164"/>
        <v/>
      </c>
      <c r="T1070" t="str">
        <f t="shared" si="165"/>
        <v/>
      </c>
      <c r="U1070" t="str">
        <f t="shared" si="166"/>
        <v/>
      </c>
      <c r="V1070" t="str">
        <f t="shared" si="167"/>
        <v/>
      </c>
      <c r="W1070" t="str">
        <f t="shared" si="168"/>
        <v/>
      </c>
      <c r="X1070">
        <f>IF($T1070="",N($X1069),IF(MATCH($T1070,$T$6:$T$10005,0)=ROW()-5,N($X1069)+1,N($X1069)))</f>
        <v>0</v>
      </c>
      <c r="Z1070" t="str">
        <f t="shared" si="169"/>
        <v/>
      </c>
      <c r="AA1070">
        <f>IF($V1070="",N($AA1069),IF(MATCH($V1070,$V$6:$V$10005,0)=ROW()-5,N($AA1069)+1,N($AA1069)))</f>
        <v>0</v>
      </c>
    </row>
    <row r="1071" spans="1:27" ht="21" customHeight="1" x14ac:dyDescent="0.95">
      <c r="A1071" s="56"/>
      <c r="B1071" s="57"/>
      <c r="C1071" s="57"/>
      <c r="D1071" s="57"/>
      <c r="E1071" s="56"/>
      <c r="F1071" s="57"/>
      <c r="G1071" s="57"/>
      <c r="H1071" s="56"/>
      <c r="I1071" s="56"/>
      <c r="J1071" s="58"/>
      <c r="K1071" s="58"/>
      <c r="L1071" s="13" t="str">
        <f t="shared" si="160"/>
        <v/>
      </c>
      <c r="M1071" s="13" t="str">
        <f t="shared" si="161"/>
        <v/>
      </c>
      <c r="Q1071" t="str">
        <f t="shared" si="162"/>
        <v/>
      </c>
      <c r="R1071" t="str">
        <f t="shared" si="163"/>
        <v/>
      </c>
      <c r="S1071" t="str">
        <f t="shared" si="164"/>
        <v/>
      </c>
      <c r="T1071" t="str">
        <f t="shared" si="165"/>
        <v/>
      </c>
      <c r="U1071" t="str">
        <f t="shared" si="166"/>
        <v/>
      </c>
      <c r="V1071" t="str">
        <f t="shared" si="167"/>
        <v/>
      </c>
      <c r="W1071" t="str">
        <f t="shared" si="168"/>
        <v/>
      </c>
      <c r="X1071">
        <f>IF($T1071="",N($X1070),IF(MATCH($T1071,$T$6:$T$10005,0)=ROW()-5,N($X1070)+1,N($X1070)))</f>
        <v>0</v>
      </c>
      <c r="Z1071" t="str">
        <f t="shared" si="169"/>
        <v/>
      </c>
      <c r="AA1071">
        <f>IF($V1071="",N($AA1070),IF(MATCH($V1071,$V$6:$V$10005,0)=ROW()-5,N($AA1070)+1,N($AA1070)))</f>
        <v>0</v>
      </c>
    </row>
    <row r="1072" spans="1:27" ht="21" customHeight="1" x14ac:dyDescent="0.95">
      <c r="A1072" s="56"/>
      <c r="B1072" s="57"/>
      <c r="C1072" s="57"/>
      <c r="D1072" s="57"/>
      <c r="E1072" s="56"/>
      <c r="F1072" s="57"/>
      <c r="G1072" s="57"/>
      <c r="H1072" s="56"/>
      <c r="I1072" s="56"/>
      <c r="J1072" s="58"/>
      <c r="K1072" s="58"/>
      <c r="L1072" s="13" t="str">
        <f t="shared" si="160"/>
        <v/>
      </c>
      <c r="M1072" s="13" t="str">
        <f t="shared" si="161"/>
        <v/>
      </c>
      <c r="Q1072" t="str">
        <f t="shared" si="162"/>
        <v/>
      </c>
      <c r="R1072" t="str">
        <f t="shared" si="163"/>
        <v/>
      </c>
      <c r="S1072" t="str">
        <f t="shared" si="164"/>
        <v/>
      </c>
      <c r="T1072" t="str">
        <f t="shared" si="165"/>
        <v/>
      </c>
      <c r="U1072" t="str">
        <f t="shared" si="166"/>
        <v/>
      </c>
      <c r="V1072" t="str">
        <f t="shared" si="167"/>
        <v/>
      </c>
      <c r="W1072" t="str">
        <f t="shared" si="168"/>
        <v/>
      </c>
      <c r="X1072">
        <f>IF($T1072="",N($X1071),IF(MATCH($T1072,$T$6:$T$10005,0)=ROW()-5,N($X1071)+1,N($X1071)))</f>
        <v>0</v>
      </c>
      <c r="Z1072" t="str">
        <f t="shared" si="169"/>
        <v/>
      </c>
      <c r="AA1072">
        <f>IF($V1072="",N($AA1071),IF(MATCH($V1072,$V$6:$V$10005,0)=ROW()-5,N($AA1071)+1,N($AA1071)))</f>
        <v>0</v>
      </c>
    </row>
    <row r="1073" spans="1:27" ht="21" customHeight="1" x14ac:dyDescent="0.95">
      <c r="A1073" s="56"/>
      <c r="B1073" s="57"/>
      <c r="C1073" s="57"/>
      <c r="D1073" s="57"/>
      <c r="E1073" s="56"/>
      <c r="F1073" s="57"/>
      <c r="G1073" s="57"/>
      <c r="H1073" s="56"/>
      <c r="I1073" s="56"/>
      <c r="J1073" s="58"/>
      <c r="K1073" s="58"/>
      <c r="L1073" s="13" t="str">
        <f t="shared" si="160"/>
        <v/>
      </c>
      <c r="M1073" s="13" t="str">
        <f t="shared" si="161"/>
        <v/>
      </c>
      <c r="Q1073" t="str">
        <f t="shared" si="162"/>
        <v/>
      </c>
      <c r="R1073" t="str">
        <f t="shared" si="163"/>
        <v/>
      </c>
      <c r="S1073" t="str">
        <f t="shared" si="164"/>
        <v/>
      </c>
      <c r="T1073" t="str">
        <f t="shared" si="165"/>
        <v/>
      </c>
      <c r="U1073" t="str">
        <f t="shared" si="166"/>
        <v/>
      </c>
      <c r="V1073" t="str">
        <f t="shared" si="167"/>
        <v/>
      </c>
      <c r="W1073" t="str">
        <f t="shared" si="168"/>
        <v/>
      </c>
      <c r="X1073">
        <f>IF($T1073="",N($X1072),IF(MATCH($T1073,$T$6:$T$10005,0)=ROW()-5,N($X1072)+1,N($X1072)))</f>
        <v>0</v>
      </c>
      <c r="Z1073" t="str">
        <f t="shared" si="169"/>
        <v/>
      </c>
      <c r="AA1073">
        <f>IF($V1073="",N($AA1072),IF(MATCH($V1073,$V$6:$V$10005,0)=ROW()-5,N($AA1072)+1,N($AA1072)))</f>
        <v>0</v>
      </c>
    </row>
    <row r="1074" spans="1:27" ht="21" customHeight="1" x14ac:dyDescent="0.95">
      <c r="A1074" s="56"/>
      <c r="B1074" s="57"/>
      <c r="C1074" s="57"/>
      <c r="D1074" s="57"/>
      <c r="E1074" s="56"/>
      <c r="F1074" s="57"/>
      <c r="G1074" s="57"/>
      <c r="H1074" s="56"/>
      <c r="I1074" s="56"/>
      <c r="J1074" s="58"/>
      <c r="K1074" s="58"/>
      <c r="L1074" s="13" t="str">
        <f t="shared" si="160"/>
        <v/>
      </c>
      <c r="M1074" s="13" t="str">
        <f t="shared" si="161"/>
        <v/>
      </c>
      <c r="Q1074" t="str">
        <f t="shared" si="162"/>
        <v/>
      </c>
      <c r="R1074" t="str">
        <f t="shared" si="163"/>
        <v/>
      </c>
      <c r="S1074" t="str">
        <f t="shared" si="164"/>
        <v/>
      </c>
      <c r="T1074" t="str">
        <f t="shared" si="165"/>
        <v/>
      </c>
      <c r="U1074" t="str">
        <f t="shared" si="166"/>
        <v/>
      </c>
      <c r="V1074" t="str">
        <f t="shared" si="167"/>
        <v/>
      </c>
      <c r="W1074" t="str">
        <f t="shared" si="168"/>
        <v/>
      </c>
      <c r="X1074">
        <f>IF($T1074="",N($X1073),IF(MATCH($T1074,$T$6:$T$10005,0)=ROW()-5,N($X1073)+1,N($X1073)))</f>
        <v>0</v>
      </c>
      <c r="Z1074" t="str">
        <f t="shared" si="169"/>
        <v/>
      </c>
      <c r="AA1074">
        <f>IF($V1074="",N($AA1073),IF(MATCH($V1074,$V$6:$V$10005,0)=ROW()-5,N($AA1073)+1,N($AA1073)))</f>
        <v>0</v>
      </c>
    </row>
    <row r="1075" spans="1:27" ht="21" customHeight="1" x14ac:dyDescent="0.95">
      <c r="A1075" s="56"/>
      <c r="B1075" s="57"/>
      <c r="C1075" s="57"/>
      <c r="D1075" s="57"/>
      <c r="E1075" s="56"/>
      <c r="F1075" s="57"/>
      <c r="G1075" s="57"/>
      <c r="H1075" s="56"/>
      <c r="I1075" s="56"/>
      <c r="J1075" s="58"/>
      <c r="K1075" s="58"/>
      <c r="L1075" s="13" t="str">
        <f t="shared" si="160"/>
        <v/>
      </c>
      <c r="M1075" s="13" t="str">
        <f t="shared" si="161"/>
        <v/>
      </c>
      <c r="Q1075" t="str">
        <f t="shared" si="162"/>
        <v/>
      </c>
      <c r="R1075" t="str">
        <f t="shared" si="163"/>
        <v/>
      </c>
      <c r="S1075" t="str">
        <f t="shared" si="164"/>
        <v/>
      </c>
      <c r="T1075" t="str">
        <f t="shared" si="165"/>
        <v/>
      </c>
      <c r="U1075" t="str">
        <f t="shared" si="166"/>
        <v/>
      </c>
      <c r="V1075" t="str">
        <f t="shared" si="167"/>
        <v/>
      </c>
      <c r="W1075" t="str">
        <f t="shared" si="168"/>
        <v/>
      </c>
      <c r="X1075">
        <f>IF($T1075="",N($X1074),IF(MATCH($T1075,$T$6:$T$10005,0)=ROW()-5,N($X1074)+1,N($X1074)))</f>
        <v>0</v>
      </c>
      <c r="Z1075" t="str">
        <f t="shared" si="169"/>
        <v/>
      </c>
      <c r="AA1075">
        <f>IF($V1075="",N($AA1074),IF(MATCH($V1075,$V$6:$V$10005,0)=ROW()-5,N($AA1074)+1,N($AA1074)))</f>
        <v>0</v>
      </c>
    </row>
    <row r="1076" spans="1:27" ht="21" customHeight="1" x14ac:dyDescent="0.95">
      <c r="A1076" s="56"/>
      <c r="B1076" s="57"/>
      <c r="C1076" s="57"/>
      <c r="D1076" s="57"/>
      <c r="E1076" s="56"/>
      <c r="F1076" s="57"/>
      <c r="G1076" s="57"/>
      <c r="H1076" s="56"/>
      <c r="I1076" s="56"/>
      <c r="J1076" s="58"/>
      <c r="K1076" s="58"/>
      <c r="L1076" s="13" t="str">
        <f t="shared" si="160"/>
        <v/>
      </c>
      <c r="M1076" s="13" t="str">
        <f t="shared" si="161"/>
        <v/>
      </c>
      <c r="Q1076" t="str">
        <f t="shared" si="162"/>
        <v/>
      </c>
      <c r="R1076" t="str">
        <f t="shared" si="163"/>
        <v/>
      </c>
      <c r="S1076" t="str">
        <f t="shared" si="164"/>
        <v/>
      </c>
      <c r="T1076" t="str">
        <f t="shared" si="165"/>
        <v/>
      </c>
      <c r="U1076" t="str">
        <f t="shared" si="166"/>
        <v/>
      </c>
      <c r="V1076" t="str">
        <f t="shared" si="167"/>
        <v/>
      </c>
      <c r="W1076" t="str">
        <f t="shared" si="168"/>
        <v/>
      </c>
      <c r="X1076">
        <f>IF($T1076="",N($X1075),IF(MATCH($T1076,$T$6:$T$10005,0)=ROW()-5,N($X1075)+1,N($X1075)))</f>
        <v>0</v>
      </c>
      <c r="Z1076" t="str">
        <f t="shared" si="169"/>
        <v/>
      </c>
      <c r="AA1076">
        <f>IF($V1076="",N($AA1075),IF(MATCH($V1076,$V$6:$V$10005,0)=ROW()-5,N($AA1075)+1,N($AA1075)))</f>
        <v>0</v>
      </c>
    </row>
    <row r="1077" spans="1:27" ht="21" customHeight="1" x14ac:dyDescent="0.95">
      <c r="A1077" s="56"/>
      <c r="B1077" s="57"/>
      <c r="C1077" s="57"/>
      <c r="D1077" s="57"/>
      <c r="E1077" s="56"/>
      <c r="F1077" s="57"/>
      <c r="G1077" s="57"/>
      <c r="H1077" s="56"/>
      <c r="I1077" s="56"/>
      <c r="J1077" s="58"/>
      <c r="K1077" s="58"/>
      <c r="L1077" s="13" t="str">
        <f t="shared" si="160"/>
        <v/>
      </c>
      <c r="M1077" s="13" t="str">
        <f t="shared" si="161"/>
        <v/>
      </c>
      <c r="Q1077" t="str">
        <f t="shared" si="162"/>
        <v/>
      </c>
      <c r="R1077" t="str">
        <f t="shared" si="163"/>
        <v/>
      </c>
      <c r="S1077" t="str">
        <f t="shared" si="164"/>
        <v/>
      </c>
      <c r="T1077" t="str">
        <f t="shared" si="165"/>
        <v/>
      </c>
      <c r="U1077" t="str">
        <f t="shared" si="166"/>
        <v/>
      </c>
      <c r="V1077" t="str">
        <f t="shared" si="167"/>
        <v/>
      </c>
      <c r="W1077" t="str">
        <f t="shared" si="168"/>
        <v/>
      </c>
      <c r="X1077">
        <f>IF($T1077="",N($X1076),IF(MATCH($T1077,$T$6:$T$10005,0)=ROW()-5,N($X1076)+1,N($X1076)))</f>
        <v>0</v>
      </c>
      <c r="Z1077" t="str">
        <f t="shared" si="169"/>
        <v/>
      </c>
      <c r="AA1077">
        <f>IF($V1077="",N($AA1076),IF(MATCH($V1077,$V$6:$V$10005,0)=ROW()-5,N($AA1076)+1,N($AA1076)))</f>
        <v>0</v>
      </c>
    </row>
    <row r="1078" spans="1:27" ht="21" customHeight="1" x14ac:dyDescent="0.95">
      <c r="A1078" s="56"/>
      <c r="B1078" s="57"/>
      <c r="C1078" s="57"/>
      <c r="D1078" s="57"/>
      <c r="E1078" s="56"/>
      <c r="F1078" s="57"/>
      <c r="G1078" s="57"/>
      <c r="H1078" s="56"/>
      <c r="I1078" s="56"/>
      <c r="J1078" s="58"/>
      <c r="K1078" s="58"/>
      <c r="L1078" s="13" t="str">
        <f t="shared" si="160"/>
        <v/>
      </c>
      <c r="M1078" s="13" t="str">
        <f t="shared" si="161"/>
        <v/>
      </c>
      <c r="Q1078" t="str">
        <f t="shared" si="162"/>
        <v/>
      </c>
      <c r="R1078" t="str">
        <f t="shared" si="163"/>
        <v/>
      </c>
      <c r="S1078" t="str">
        <f t="shared" si="164"/>
        <v/>
      </c>
      <c r="T1078" t="str">
        <f t="shared" si="165"/>
        <v/>
      </c>
      <c r="U1078" t="str">
        <f t="shared" si="166"/>
        <v/>
      </c>
      <c r="V1078" t="str">
        <f t="shared" si="167"/>
        <v/>
      </c>
      <c r="W1078" t="str">
        <f t="shared" si="168"/>
        <v/>
      </c>
      <c r="X1078">
        <f>IF($T1078="",N($X1077),IF(MATCH($T1078,$T$6:$T$10005,0)=ROW()-5,N($X1077)+1,N($X1077)))</f>
        <v>0</v>
      </c>
      <c r="Z1078" t="str">
        <f t="shared" si="169"/>
        <v/>
      </c>
      <c r="AA1078">
        <f>IF($V1078="",N($AA1077),IF(MATCH($V1078,$V$6:$V$10005,0)=ROW()-5,N($AA1077)+1,N($AA1077)))</f>
        <v>0</v>
      </c>
    </row>
    <row r="1079" spans="1:27" ht="21" customHeight="1" x14ac:dyDescent="0.95">
      <c r="A1079" s="56"/>
      <c r="B1079" s="57"/>
      <c r="C1079" s="57"/>
      <c r="D1079" s="57"/>
      <c r="E1079" s="56"/>
      <c r="F1079" s="57"/>
      <c r="G1079" s="57"/>
      <c r="H1079" s="56"/>
      <c r="I1079" s="56"/>
      <c r="J1079" s="58"/>
      <c r="K1079" s="58"/>
      <c r="L1079" s="13" t="str">
        <f t="shared" si="160"/>
        <v/>
      </c>
      <c r="M1079" s="13" t="str">
        <f t="shared" si="161"/>
        <v/>
      </c>
      <c r="Q1079" t="str">
        <f t="shared" si="162"/>
        <v/>
      </c>
      <c r="R1079" t="str">
        <f t="shared" si="163"/>
        <v/>
      </c>
      <c r="S1079" t="str">
        <f t="shared" si="164"/>
        <v/>
      </c>
      <c r="T1079" t="str">
        <f t="shared" si="165"/>
        <v/>
      </c>
      <c r="U1079" t="str">
        <f t="shared" si="166"/>
        <v/>
      </c>
      <c r="V1079" t="str">
        <f t="shared" si="167"/>
        <v/>
      </c>
      <c r="W1079" t="str">
        <f t="shared" si="168"/>
        <v/>
      </c>
      <c r="X1079">
        <f>IF($T1079="",N($X1078),IF(MATCH($T1079,$T$6:$T$10005,0)=ROW()-5,N($X1078)+1,N($X1078)))</f>
        <v>0</v>
      </c>
      <c r="Z1079" t="str">
        <f t="shared" si="169"/>
        <v/>
      </c>
      <c r="AA1079">
        <f>IF($V1079="",N($AA1078),IF(MATCH($V1079,$V$6:$V$10005,0)=ROW()-5,N($AA1078)+1,N($AA1078)))</f>
        <v>0</v>
      </c>
    </row>
    <row r="1080" spans="1:27" ht="21" customHeight="1" x14ac:dyDescent="0.95">
      <c r="A1080" s="56"/>
      <c r="B1080" s="57"/>
      <c r="C1080" s="57"/>
      <c r="D1080" s="57"/>
      <c r="E1080" s="56"/>
      <c r="F1080" s="57"/>
      <c r="G1080" s="57"/>
      <c r="H1080" s="56"/>
      <c r="I1080" s="56"/>
      <c r="J1080" s="58"/>
      <c r="K1080" s="58"/>
      <c r="L1080" s="13" t="str">
        <f t="shared" si="160"/>
        <v/>
      </c>
      <c r="M1080" s="13" t="str">
        <f t="shared" si="161"/>
        <v/>
      </c>
      <c r="Q1080" t="str">
        <f t="shared" si="162"/>
        <v/>
      </c>
      <c r="R1080" t="str">
        <f t="shared" si="163"/>
        <v/>
      </c>
      <c r="S1080" t="str">
        <f t="shared" si="164"/>
        <v/>
      </c>
      <c r="T1080" t="str">
        <f t="shared" si="165"/>
        <v/>
      </c>
      <c r="U1080" t="str">
        <f t="shared" si="166"/>
        <v/>
      </c>
      <c r="V1080" t="str">
        <f t="shared" si="167"/>
        <v/>
      </c>
      <c r="W1080" t="str">
        <f t="shared" si="168"/>
        <v/>
      </c>
      <c r="X1080">
        <f>IF($T1080="",N($X1079),IF(MATCH($T1080,$T$6:$T$10005,0)=ROW()-5,N($X1079)+1,N($X1079)))</f>
        <v>0</v>
      </c>
      <c r="Z1080" t="str">
        <f t="shared" si="169"/>
        <v/>
      </c>
      <c r="AA1080">
        <f>IF($V1080="",N($AA1079),IF(MATCH($V1080,$V$6:$V$10005,0)=ROW()-5,N($AA1079)+1,N($AA1079)))</f>
        <v>0</v>
      </c>
    </row>
    <row r="1081" spans="1:27" ht="21" customHeight="1" x14ac:dyDescent="0.95">
      <c r="A1081" s="56"/>
      <c r="B1081" s="57"/>
      <c r="C1081" s="57"/>
      <c r="D1081" s="57"/>
      <c r="E1081" s="56"/>
      <c r="F1081" s="57"/>
      <c r="G1081" s="57"/>
      <c r="H1081" s="56"/>
      <c r="I1081" s="56"/>
      <c r="J1081" s="58"/>
      <c r="K1081" s="58"/>
      <c r="L1081" s="13" t="str">
        <f t="shared" si="160"/>
        <v/>
      </c>
      <c r="M1081" s="13" t="str">
        <f t="shared" si="161"/>
        <v/>
      </c>
      <c r="Q1081" t="str">
        <f t="shared" si="162"/>
        <v/>
      </c>
      <c r="R1081" t="str">
        <f t="shared" si="163"/>
        <v/>
      </c>
      <c r="S1081" t="str">
        <f t="shared" si="164"/>
        <v/>
      </c>
      <c r="T1081" t="str">
        <f t="shared" si="165"/>
        <v/>
      </c>
      <c r="U1081" t="str">
        <f t="shared" si="166"/>
        <v/>
      </c>
      <c r="V1081" t="str">
        <f t="shared" si="167"/>
        <v/>
      </c>
      <c r="W1081" t="str">
        <f t="shared" si="168"/>
        <v/>
      </c>
      <c r="X1081">
        <f>IF($T1081="",N($X1080),IF(MATCH($T1081,$T$6:$T$10005,0)=ROW()-5,N($X1080)+1,N($X1080)))</f>
        <v>0</v>
      </c>
      <c r="Z1081" t="str">
        <f t="shared" si="169"/>
        <v/>
      </c>
      <c r="AA1081">
        <f>IF($V1081="",N($AA1080),IF(MATCH($V1081,$V$6:$V$10005,0)=ROW()-5,N($AA1080)+1,N($AA1080)))</f>
        <v>0</v>
      </c>
    </row>
    <row r="1082" spans="1:27" ht="21" customHeight="1" x14ac:dyDescent="0.95">
      <c r="A1082" s="56"/>
      <c r="B1082" s="57"/>
      <c r="C1082" s="57"/>
      <c r="D1082" s="57"/>
      <c r="E1082" s="56"/>
      <c r="F1082" s="57"/>
      <c r="G1082" s="57"/>
      <c r="H1082" s="56"/>
      <c r="I1082" s="56"/>
      <c r="J1082" s="58"/>
      <c r="K1082" s="58"/>
      <c r="L1082" s="13" t="str">
        <f t="shared" si="160"/>
        <v/>
      </c>
      <c r="M1082" s="13" t="str">
        <f t="shared" si="161"/>
        <v/>
      </c>
      <c r="Q1082" t="str">
        <f t="shared" si="162"/>
        <v/>
      </c>
      <c r="R1082" t="str">
        <f t="shared" si="163"/>
        <v/>
      </c>
      <c r="S1082" t="str">
        <f t="shared" si="164"/>
        <v/>
      </c>
      <c r="T1082" t="str">
        <f t="shared" si="165"/>
        <v/>
      </c>
      <c r="U1082" t="str">
        <f t="shared" si="166"/>
        <v/>
      </c>
      <c r="V1082" t="str">
        <f t="shared" si="167"/>
        <v/>
      </c>
      <c r="W1082" t="str">
        <f t="shared" si="168"/>
        <v/>
      </c>
      <c r="X1082">
        <f>IF($T1082="",N($X1081),IF(MATCH($T1082,$T$6:$T$10005,0)=ROW()-5,N($X1081)+1,N($X1081)))</f>
        <v>0</v>
      </c>
      <c r="Z1082" t="str">
        <f t="shared" si="169"/>
        <v/>
      </c>
      <c r="AA1082">
        <f>IF($V1082="",N($AA1081),IF(MATCH($V1082,$V$6:$V$10005,0)=ROW()-5,N($AA1081)+1,N($AA1081)))</f>
        <v>0</v>
      </c>
    </row>
    <row r="1083" spans="1:27" ht="21" customHeight="1" x14ac:dyDescent="0.95">
      <c r="A1083" s="56"/>
      <c r="B1083" s="57"/>
      <c r="C1083" s="57"/>
      <c r="D1083" s="57"/>
      <c r="E1083" s="56"/>
      <c r="F1083" s="57"/>
      <c r="G1083" s="57"/>
      <c r="H1083" s="56"/>
      <c r="I1083" s="56"/>
      <c r="J1083" s="58"/>
      <c r="K1083" s="58"/>
      <c r="L1083" s="13" t="str">
        <f t="shared" si="160"/>
        <v/>
      </c>
      <c r="M1083" s="13" t="str">
        <f t="shared" si="161"/>
        <v/>
      </c>
      <c r="Q1083" t="str">
        <f t="shared" si="162"/>
        <v/>
      </c>
      <c r="R1083" t="str">
        <f t="shared" si="163"/>
        <v/>
      </c>
      <c r="S1083" t="str">
        <f t="shared" si="164"/>
        <v/>
      </c>
      <c r="T1083" t="str">
        <f t="shared" si="165"/>
        <v/>
      </c>
      <c r="U1083" t="str">
        <f t="shared" si="166"/>
        <v/>
      </c>
      <c r="V1083" t="str">
        <f t="shared" si="167"/>
        <v/>
      </c>
      <c r="W1083" t="str">
        <f t="shared" si="168"/>
        <v/>
      </c>
      <c r="X1083">
        <f>IF($T1083="",N($X1082),IF(MATCH($T1083,$T$6:$T$10005,0)=ROW()-5,N($X1082)+1,N($X1082)))</f>
        <v>0</v>
      </c>
      <c r="Z1083" t="str">
        <f t="shared" si="169"/>
        <v/>
      </c>
      <c r="AA1083">
        <f>IF($V1083="",N($AA1082),IF(MATCH($V1083,$V$6:$V$10005,0)=ROW()-5,N($AA1082)+1,N($AA1082)))</f>
        <v>0</v>
      </c>
    </row>
    <row r="1084" spans="1:27" ht="21" customHeight="1" x14ac:dyDescent="0.95">
      <c r="A1084" s="56"/>
      <c r="B1084" s="57"/>
      <c r="C1084" s="57"/>
      <c r="D1084" s="57"/>
      <c r="E1084" s="56"/>
      <c r="F1084" s="57"/>
      <c r="G1084" s="57"/>
      <c r="H1084" s="56"/>
      <c r="I1084" s="56"/>
      <c r="J1084" s="58"/>
      <c r="K1084" s="58"/>
      <c r="L1084" s="13" t="str">
        <f t="shared" si="160"/>
        <v/>
      </c>
      <c r="M1084" s="13" t="str">
        <f t="shared" si="161"/>
        <v/>
      </c>
      <c r="Q1084" t="str">
        <f t="shared" si="162"/>
        <v/>
      </c>
      <c r="R1084" t="str">
        <f t="shared" si="163"/>
        <v/>
      </c>
      <c r="S1084" t="str">
        <f t="shared" si="164"/>
        <v/>
      </c>
      <c r="T1084" t="str">
        <f t="shared" si="165"/>
        <v/>
      </c>
      <c r="U1084" t="str">
        <f t="shared" si="166"/>
        <v/>
      </c>
      <c r="V1084" t="str">
        <f t="shared" si="167"/>
        <v/>
      </c>
      <c r="W1084" t="str">
        <f t="shared" si="168"/>
        <v/>
      </c>
      <c r="X1084">
        <f>IF($T1084="",N($X1083),IF(MATCH($T1084,$T$6:$T$10005,0)=ROW()-5,N($X1083)+1,N($X1083)))</f>
        <v>0</v>
      </c>
      <c r="Z1084" t="str">
        <f t="shared" si="169"/>
        <v/>
      </c>
      <c r="AA1084">
        <f>IF($V1084="",N($AA1083),IF(MATCH($V1084,$V$6:$V$10005,0)=ROW()-5,N($AA1083)+1,N($AA1083)))</f>
        <v>0</v>
      </c>
    </row>
    <row r="1085" spans="1:27" ht="21" customHeight="1" x14ac:dyDescent="0.95">
      <c r="A1085" s="56"/>
      <c r="B1085" s="57"/>
      <c r="C1085" s="57"/>
      <c r="D1085" s="57"/>
      <c r="E1085" s="56"/>
      <c r="F1085" s="57"/>
      <c r="G1085" s="57"/>
      <c r="H1085" s="56"/>
      <c r="I1085" s="56"/>
      <c r="J1085" s="58"/>
      <c r="K1085" s="58"/>
      <c r="L1085" s="13" t="str">
        <f t="shared" si="160"/>
        <v/>
      </c>
      <c r="M1085" s="13" t="str">
        <f t="shared" si="161"/>
        <v/>
      </c>
      <c r="Q1085" t="str">
        <f t="shared" si="162"/>
        <v/>
      </c>
      <c r="R1085" t="str">
        <f t="shared" si="163"/>
        <v/>
      </c>
      <c r="S1085" t="str">
        <f t="shared" si="164"/>
        <v/>
      </c>
      <c r="T1085" t="str">
        <f t="shared" si="165"/>
        <v/>
      </c>
      <c r="U1085" t="str">
        <f t="shared" si="166"/>
        <v/>
      </c>
      <c r="V1085" t="str">
        <f t="shared" si="167"/>
        <v/>
      </c>
      <c r="W1085" t="str">
        <f t="shared" si="168"/>
        <v/>
      </c>
      <c r="X1085">
        <f>IF($T1085="",N($X1084),IF(MATCH($T1085,$T$6:$T$10005,0)=ROW()-5,N($X1084)+1,N($X1084)))</f>
        <v>0</v>
      </c>
      <c r="Z1085" t="str">
        <f t="shared" si="169"/>
        <v/>
      </c>
      <c r="AA1085">
        <f>IF($V1085="",N($AA1084),IF(MATCH($V1085,$V$6:$V$10005,0)=ROW()-5,N($AA1084)+1,N($AA1084)))</f>
        <v>0</v>
      </c>
    </row>
    <row r="1086" spans="1:27" ht="21" customHeight="1" x14ac:dyDescent="0.95">
      <c r="A1086" s="56"/>
      <c r="B1086" s="57"/>
      <c r="C1086" s="57"/>
      <c r="D1086" s="57"/>
      <c r="E1086" s="56"/>
      <c r="F1086" s="57"/>
      <c r="G1086" s="57"/>
      <c r="H1086" s="56"/>
      <c r="I1086" s="56"/>
      <c r="J1086" s="58"/>
      <c r="K1086" s="58"/>
      <c r="L1086" s="13" t="str">
        <f t="shared" si="160"/>
        <v/>
      </c>
      <c r="M1086" s="13" t="str">
        <f t="shared" si="161"/>
        <v/>
      </c>
      <c r="Q1086" t="str">
        <f t="shared" si="162"/>
        <v/>
      </c>
      <c r="R1086" t="str">
        <f t="shared" si="163"/>
        <v/>
      </c>
      <c r="S1086" t="str">
        <f t="shared" si="164"/>
        <v/>
      </c>
      <c r="T1086" t="str">
        <f t="shared" si="165"/>
        <v/>
      </c>
      <c r="U1086" t="str">
        <f t="shared" si="166"/>
        <v/>
      </c>
      <c r="V1086" t="str">
        <f t="shared" si="167"/>
        <v/>
      </c>
      <c r="W1086" t="str">
        <f t="shared" si="168"/>
        <v/>
      </c>
      <c r="X1086">
        <f>IF($T1086="",N($X1085),IF(MATCH($T1086,$T$6:$T$10005,0)=ROW()-5,N($X1085)+1,N($X1085)))</f>
        <v>0</v>
      </c>
      <c r="Z1086" t="str">
        <f t="shared" si="169"/>
        <v/>
      </c>
      <c r="AA1086">
        <f>IF($V1086="",N($AA1085),IF(MATCH($V1086,$V$6:$V$10005,0)=ROW()-5,N($AA1085)+1,N($AA1085)))</f>
        <v>0</v>
      </c>
    </row>
    <row r="1087" spans="1:27" ht="21" customHeight="1" x14ac:dyDescent="0.95">
      <c r="A1087" s="56"/>
      <c r="B1087" s="57"/>
      <c r="C1087" s="57"/>
      <c r="D1087" s="57"/>
      <c r="E1087" s="56"/>
      <c r="F1087" s="57"/>
      <c r="G1087" s="57"/>
      <c r="H1087" s="56"/>
      <c r="I1087" s="56"/>
      <c r="J1087" s="58"/>
      <c r="K1087" s="58"/>
      <c r="L1087" s="13" t="str">
        <f t="shared" si="160"/>
        <v/>
      </c>
      <c r="M1087" s="13" t="str">
        <f t="shared" si="161"/>
        <v/>
      </c>
      <c r="Q1087" t="str">
        <f t="shared" si="162"/>
        <v/>
      </c>
      <c r="R1087" t="str">
        <f t="shared" si="163"/>
        <v/>
      </c>
      <c r="S1087" t="str">
        <f t="shared" si="164"/>
        <v/>
      </c>
      <c r="T1087" t="str">
        <f t="shared" si="165"/>
        <v/>
      </c>
      <c r="U1087" t="str">
        <f t="shared" si="166"/>
        <v/>
      </c>
      <c r="V1087" t="str">
        <f t="shared" si="167"/>
        <v/>
      </c>
      <c r="W1087" t="str">
        <f t="shared" si="168"/>
        <v/>
      </c>
      <c r="X1087">
        <f>IF($T1087="",N($X1086),IF(MATCH($T1087,$T$6:$T$10005,0)=ROW()-5,N($X1086)+1,N($X1086)))</f>
        <v>0</v>
      </c>
      <c r="Z1087" t="str">
        <f t="shared" si="169"/>
        <v/>
      </c>
      <c r="AA1087">
        <f>IF($V1087="",N($AA1086),IF(MATCH($V1087,$V$6:$V$10005,0)=ROW()-5,N($AA1086)+1,N($AA1086)))</f>
        <v>0</v>
      </c>
    </row>
    <row r="1088" spans="1:27" ht="21" customHeight="1" x14ac:dyDescent="0.95">
      <c r="A1088" s="56"/>
      <c r="B1088" s="57"/>
      <c r="C1088" s="57"/>
      <c r="D1088" s="57"/>
      <c r="E1088" s="56"/>
      <c r="F1088" s="57"/>
      <c r="G1088" s="57"/>
      <c r="H1088" s="56"/>
      <c r="I1088" s="56"/>
      <c r="J1088" s="58"/>
      <c r="K1088" s="58"/>
      <c r="L1088" s="13" t="str">
        <f t="shared" si="160"/>
        <v/>
      </c>
      <c r="M1088" s="13" t="str">
        <f t="shared" si="161"/>
        <v/>
      </c>
      <c r="Q1088" t="str">
        <f t="shared" si="162"/>
        <v/>
      </c>
      <c r="R1088" t="str">
        <f t="shared" si="163"/>
        <v/>
      </c>
      <c r="S1088" t="str">
        <f t="shared" si="164"/>
        <v/>
      </c>
      <c r="T1088" t="str">
        <f t="shared" si="165"/>
        <v/>
      </c>
      <c r="U1088" t="str">
        <f t="shared" si="166"/>
        <v/>
      </c>
      <c r="V1088" t="str">
        <f t="shared" si="167"/>
        <v/>
      </c>
      <c r="W1088" t="str">
        <f t="shared" si="168"/>
        <v/>
      </c>
      <c r="X1088">
        <f>IF($T1088="",N($X1087),IF(MATCH($T1088,$T$6:$T$10005,0)=ROW()-5,N($X1087)+1,N($X1087)))</f>
        <v>0</v>
      </c>
      <c r="Z1088" t="str">
        <f t="shared" si="169"/>
        <v/>
      </c>
      <c r="AA1088">
        <f>IF($V1088="",N($AA1087),IF(MATCH($V1088,$V$6:$V$10005,0)=ROW()-5,N($AA1087)+1,N($AA1087)))</f>
        <v>0</v>
      </c>
    </row>
    <row r="1089" spans="1:27" ht="21" customHeight="1" x14ac:dyDescent="0.95">
      <c r="A1089" s="56"/>
      <c r="B1089" s="57"/>
      <c r="C1089" s="57"/>
      <c r="D1089" s="57"/>
      <c r="E1089" s="56"/>
      <c r="F1089" s="57"/>
      <c r="G1089" s="57"/>
      <c r="H1089" s="56"/>
      <c r="I1089" s="56"/>
      <c r="J1089" s="58"/>
      <c r="K1089" s="58"/>
      <c r="L1089" s="13" t="str">
        <f t="shared" si="160"/>
        <v/>
      </c>
      <c r="M1089" s="13" t="str">
        <f t="shared" si="161"/>
        <v/>
      </c>
      <c r="Q1089" t="str">
        <f t="shared" si="162"/>
        <v/>
      </c>
      <c r="R1089" t="str">
        <f t="shared" si="163"/>
        <v/>
      </c>
      <c r="S1089" t="str">
        <f t="shared" si="164"/>
        <v/>
      </c>
      <c r="T1089" t="str">
        <f t="shared" si="165"/>
        <v/>
      </c>
      <c r="U1089" t="str">
        <f t="shared" si="166"/>
        <v/>
      </c>
      <c r="V1089" t="str">
        <f t="shared" si="167"/>
        <v/>
      </c>
      <c r="W1089" t="str">
        <f t="shared" si="168"/>
        <v/>
      </c>
      <c r="X1089">
        <f>IF($T1089="",N($X1088),IF(MATCH($T1089,$T$6:$T$10005,0)=ROW()-5,N($X1088)+1,N($X1088)))</f>
        <v>0</v>
      </c>
      <c r="Z1089" t="str">
        <f t="shared" si="169"/>
        <v/>
      </c>
      <c r="AA1089">
        <f>IF($V1089="",N($AA1088),IF(MATCH($V1089,$V$6:$V$10005,0)=ROW()-5,N($AA1088)+1,N($AA1088)))</f>
        <v>0</v>
      </c>
    </row>
    <row r="1090" spans="1:27" ht="21" customHeight="1" x14ac:dyDescent="0.95">
      <c r="A1090" s="56"/>
      <c r="B1090" s="57"/>
      <c r="C1090" s="57"/>
      <c r="D1090" s="57"/>
      <c r="E1090" s="56"/>
      <c r="F1090" s="57"/>
      <c r="G1090" s="57"/>
      <c r="H1090" s="56"/>
      <c r="I1090" s="56"/>
      <c r="J1090" s="58"/>
      <c r="K1090" s="58"/>
      <c r="L1090" s="13" t="str">
        <f t="shared" si="160"/>
        <v/>
      </c>
      <c r="M1090" s="13" t="str">
        <f t="shared" si="161"/>
        <v/>
      </c>
      <c r="Q1090" t="str">
        <f t="shared" si="162"/>
        <v/>
      </c>
      <c r="R1090" t="str">
        <f t="shared" si="163"/>
        <v/>
      </c>
      <c r="S1090" t="str">
        <f t="shared" si="164"/>
        <v/>
      </c>
      <c r="T1090" t="str">
        <f t="shared" si="165"/>
        <v/>
      </c>
      <c r="U1090" t="str">
        <f t="shared" si="166"/>
        <v/>
      </c>
      <c r="V1090" t="str">
        <f t="shared" si="167"/>
        <v/>
      </c>
      <c r="W1090" t="str">
        <f t="shared" si="168"/>
        <v/>
      </c>
      <c r="X1090">
        <f>IF($T1090="",N($X1089),IF(MATCH($T1090,$T$6:$T$10005,0)=ROW()-5,N($X1089)+1,N($X1089)))</f>
        <v>0</v>
      </c>
      <c r="Z1090" t="str">
        <f t="shared" si="169"/>
        <v/>
      </c>
      <c r="AA1090">
        <f>IF($V1090="",N($AA1089),IF(MATCH($V1090,$V$6:$V$10005,0)=ROW()-5,N($AA1089)+1,N($AA1089)))</f>
        <v>0</v>
      </c>
    </row>
    <row r="1091" spans="1:27" ht="21" customHeight="1" x14ac:dyDescent="0.95">
      <c r="A1091" s="56"/>
      <c r="B1091" s="57"/>
      <c r="C1091" s="57"/>
      <c r="D1091" s="57"/>
      <c r="E1091" s="56"/>
      <c r="F1091" s="57"/>
      <c r="G1091" s="57"/>
      <c r="H1091" s="56"/>
      <c r="I1091" s="56"/>
      <c r="J1091" s="58"/>
      <c r="K1091" s="58"/>
      <c r="L1091" s="13" t="str">
        <f t="shared" si="160"/>
        <v/>
      </c>
      <c r="M1091" s="13" t="str">
        <f t="shared" si="161"/>
        <v/>
      </c>
      <c r="Q1091" t="str">
        <f t="shared" si="162"/>
        <v/>
      </c>
      <c r="R1091" t="str">
        <f t="shared" si="163"/>
        <v/>
      </c>
      <c r="S1091" t="str">
        <f t="shared" si="164"/>
        <v/>
      </c>
      <c r="T1091" t="str">
        <f t="shared" si="165"/>
        <v/>
      </c>
      <c r="U1091" t="str">
        <f t="shared" si="166"/>
        <v/>
      </c>
      <c r="V1091" t="str">
        <f t="shared" si="167"/>
        <v/>
      </c>
      <c r="W1091" t="str">
        <f t="shared" si="168"/>
        <v/>
      </c>
      <c r="X1091">
        <f>IF($T1091="",N($X1090),IF(MATCH($T1091,$T$6:$T$10005,0)=ROW()-5,N($X1090)+1,N($X1090)))</f>
        <v>0</v>
      </c>
      <c r="Z1091" t="str">
        <f t="shared" si="169"/>
        <v/>
      </c>
      <c r="AA1091">
        <f>IF($V1091="",N($AA1090),IF(MATCH($V1091,$V$6:$V$10005,0)=ROW()-5,N($AA1090)+1,N($AA1090)))</f>
        <v>0</v>
      </c>
    </row>
    <row r="1092" spans="1:27" ht="21" customHeight="1" x14ac:dyDescent="0.95">
      <c r="A1092" s="56"/>
      <c r="B1092" s="57"/>
      <c r="C1092" s="57"/>
      <c r="D1092" s="57"/>
      <c r="E1092" s="56"/>
      <c r="F1092" s="57"/>
      <c r="G1092" s="57"/>
      <c r="H1092" s="56"/>
      <c r="I1092" s="56"/>
      <c r="J1092" s="58"/>
      <c r="K1092" s="58"/>
      <c r="L1092" s="13" t="str">
        <f t="shared" si="160"/>
        <v/>
      </c>
      <c r="M1092" s="13" t="str">
        <f t="shared" si="161"/>
        <v/>
      </c>
      <c r="Q1092" t="str">
        <f t="shared" si="162"/>
        <v/>
      </c>
      <c r="R1092" t="str">
        <f t="shared" si="163"/>
        <v/>
      </c>
      <c r="S1092" t="str">
        <f t="shared" si="164"/>
        <v/>
      </c>
      <c r="T1092" t="str">
        <f t="shared" si="165"/>
        <v/>
      </c>
      <c r="U1092" t="str">
        <f t="shared" si="166"/>
        <v/>
      </c>
      <c r="V1092" t="str">
        <f t="shared" si="167"/>
        <v/>
      </c>
      <c r="W1092" t="str">
        <f t="shared" si="168"/>
        <v/>
      </c>
      <c r="X1092">
        <f>IF($T1092="",N($X1091),IF(MATCH($T1092,$T$6:$T$10005,0)=ROW()-5,N($X1091)+1,N($X1091)))</f>
        <v>0</v>
      </c>
      <c r="Z1092" t="str">
        <f t="shared" si="169"/>
        <v/>
      </c>
      <c r="AA1092">
        <f>IF($V1092="",N($AA1091),IF(MATCH($V1092,$V$6:$V$10005,0)=ROW()-5,N($AA1091)+1,N($AA1091)))</f>
        <v>0</v>
      </c>
    </row>
    <row r="1093" spans="1:27" ht="21" customHeight="1" x14ac:dyDescent="0.95">
      <c r="A1093" s="56"/>
      <c r="B1093" s="57"/>
      <c r="C1093" s="57"/>
      <c r="D1093" s="57"/>
      <c r="E1093" s="56"/>
      <c r="F1093" s="57"/>
      <c r="G1093" s="57"/>
      <c r="H1093" s="56"/>
      <c r="I1093" s="56"/>
      <c r="J1093" s="58"/>
      <c r="K1093" s="58"/>
      <c r="L1093" s="13" t="str">
        <f t="shared" si="160"/>
        <v/>
      </c>
      <c r="M1093" s="13" t="str">
        <f t="shared" si="161"/>
        <v/>
      </c>
      <c r="Q1093" t="str">
        <f t="shared" si="162"/>
        <v/>
      </c>
      <c r="R1093" t="str">
        <f t="shared" si="163"/>
        <v/>
      </c>
      <c r="S1093" t="str">
        <f t="shared" si="164"/>
        <v/>
      </c>
      <c r="T1093" t="str">
        <f t="shared" si="165"/>
        <v/>
      </c>
      <c r="U1093" t="str">
        <f t="shared" si="166"/>
        <v/>
      </c>
      <c r="V1093" t="str">
        <f t="shared" si="167"/>
        <v/>
      </c>
      <c r="W1093" t="str">
        <f t="shared" si="168"/>
        <v/>
      </c>
      <c r="X1093">
        <f>IF($T1093="",N($X1092),IF(MATCH($T1093,$T$6:$T$10005,0)=ROW()-5,N($X1092)+1,N($X1092)))</f>
        <v>0</v>
      </c>
      <c r="Z1093" t="str">
        <f t="shared" si="169"/>
        <v/>
      </c>
      <c r="AA1093">
        <f>IF($V1093="",N($AA1092),IF(MATCH($V1093,$V$6:$V$10005,0)=ROW()-5,N($AA1092)+1,N($AA1092)))</f>
        <v>0</v>
      </c>
    </row>
    <row r="1094" spans="1:27" ht="21" customHeight="1" x14ac:dyDescent="0.95">
      <c r="A1094" s="56"/>
      <c r="B1094" s="57"/>
      <c r="C1094" s="57"/>
      <c r="D1094" s="57"/>
      <c r="E1094" s="56"/>
      <c r="F1094" s="57"/>
      <c r="G1094" s="57"/>
      <c r="H1094" s="56"/>
      <c r="I1094" s="56"/>
      <c r="J1094" s="58"/>
      <c r="K1094" s="58"/>
      <c r="L1094" s="13" t="str">
        <f t="shared" ref="L1094:L1157" si="170">IF(OR($A1094="",AND($J1094="",$K1094="")),"",ROUND(N($J1094)-N($K1094),2))</f>
        <v/>
      </c>
      <c r="M1094" s="13" t="str">
        <f t="shared" ref="M1094:M1157" si="171">IF(OR($A1094="",AND($J1094="",$K1094="")),"",MIN($J1094,$K1094))</f>
        <v/>
      </c>
      <c r="Q1094" t="str">
        <f t="shared" ref="Q1094:Q1157" si="172">IF($A1094="","",$D1094&amp;"("&amp;SUBSTITUTE($E1094," ","")&amp;")")</f>
        <v/>
      </c>
      <c r="R1094" t="str">
        <f t="shared" ref="R1094:R1157" si="173">IF($A1094="","",$B1094&amp;" - "&amp;$C1094)</f>
        <v/>
      </c>
      <c r="S1094" t="str">
        <f t="shared" ref="S1094:S1157" si="174">IF($A1094="","",$R1094&amp;"|"&amp;$Q1094)</f>
        <v/>
      </c>
      <c r="T1094" t="str">
        <f t="shared" ref="T1094:T1157" si="175">IF($A1094="","",$S1094&amp;"|"&amp;$F1094)</f>
        <v/>
      </c>
      <c r="U1094" t="str">
        <f t="shared" ref="U1094:U1157" si="176">IF($A1094="","",$R1094&amp;"("&amp;$E1094&amp;")")</f>
        <v/>
      </c>
      <c r="V1094" t="str">
        <f t="shared" ref="V1094:V1157" si="177">IF($A1094="","",$F1094&amp;"|"&amp;$U1094&amp;"|"&amp;$D1094)</f>
        <v/>
      </c>
      <c r="W1094" t="str">
        <f t="shared" ref="W1094:W1157" si="178">IF($T1094="","",IF($X1094&gt;N($X1093),$X1094,""))</f>
        <v/>
      </c>
      <c r="X1094">
        <f>IF($T1094="",N($X1093),IF(MATCH($T1094,$T$6:$T$10005,0)=ROW()-5,N($X1093)+1,N($X1093)))</f>
        <v>0</v>
      </c>
      <c r="Z1094" t="str">
        <f t="shared" ref="Z1094:Z1157" si="179">IF($V1094="","",IF($AA1094&gt;N($AA1093),$AA1094,""))</f>
        <v/>
      </c>
      <c r="AA1094">
        <f>IF($V1094="",N($AA1093),IF(MATCH($V1094,$V$6:$V$10005,0)=ROW()-5,N($AA1093)+1,N($AA1093)))</f>
        <v>0</v>
      </c>
    </row>
    <row r="1095" spans="1:27" ht="21" customHeight="1" x14ac:dyDescent="0.95">
      <c r="A1095" s="56"/>
      <c r="B1095" s="57"/>
      <c r="C1095" s="57"/>
      <c r="D1095" s="57"/>
      <c r="E1095" s="56"/>
      <c r="F1095" s="57"/>
      <c r="G1095" s="57"/>
      <c r="H1095" s="56"/>
      <c r="I1095" s="56"/>
      <c r="J1095" s="58"/>
      <c r="K1095" s="58"/>
      <c r="L1095" s="13" t="str">
        <f t="shared" si="170"/>
        <v/>
      </c>
      <c r="M1095" s="13" t="str">
        <f t="shared" si="171"/>
        <v/>
      </c>
      <c r="Q1095" t="str">
        <f t="shared" si="172"/>
        <v/>
      </c>
      <c r="R1095" t="str">
        <f t="shared" si="173"/>
        <v/>
      </c>
      <c r="S1095" t="str">
        <f t="shared" si="174"/>
        <v/>
      </c>
      <c r="T1095" t="str">
        <f t="shared" si="175"/>
        <v/>
      </c>
      <c r="U1095" t="str">
        <f t="shared" si="176"/>
        <v/>
      </c>
      <c r="V1095" t="str">
        <f t="shared" si="177"/>
        <v/>
      </c>
      <c r="W1095" t="str">
        <f t="shared" si="178"/>
        <v/>
      </c>
      <c r="X1095">
        <f>IF($T1095="",N($X1094),IF(MATCH($T1095,$T$6:$T$10005,0)=ROW()-5,N($X1094)+1,N($X1094)))</f>
        <v>0</v>
      </c>
      <c r="Z1095" t="str">
        <f t="shared" si="179"/>
        <v/>
      </c>
      <c r="AA1095">
        <f>IF($V1095="",N($AA1094),IF(MATCH($V1095,$V$6:$V$10005,0)=ROW()-5,N($AA1094)+1,N($AA1094)))</f>
        <v>0</v>
      </c>
    </row>
    <row r="1096" spans="1:27" ht="21" customHeight="1" x14ac:dyDescent="0.95">
      <c r="A1096" s="56"/>
      <c r="B1096" s="57"/>
      <c r="C1096" s="57"/>
      <c r="D1096" s="57"/>
      <c r="E1096" s="56"/>
      <c r="F1096" s="57"/>
      <c r="G1096" s="57"/>
      <c r="H1096" s="56"/>
      <c r="I1096" s="56"/>
      <c r="J1096" s="58"/>
      <c r="K1096" s="58"/>
      <c r="L1096" s="13" t="str">
        <f t="shared" si="170"/>
        <v/>
      </c>
      <c r="M1096" s="13" t="str">
        <f t="shared" si="171"/>
        <v/>
      </c>
      <c r="Q1096" t="str">
        <f t="shared" si="172"/>
        <v/>
      </c>
      <c r="R1096" t="str">
        <f t="shared" si="173"/>
        <v/>
      </c>
      <c r="S1096" t="str">
        <f t="shared" si="174"/>
        <v/>
      </c>
      <c r="T1096" t="str">
        <f t="shared" si="175"/>
        <v/>
      </c>
      <c r="U1096" t="str">
        <f t="shared" si="176"/>
        <v/>
      </c>
      <c r="V1096" t="str">
        <f t="shared" si="177"/>
        <v/>
      </c>
      <c r="W1096" t="str">
        <f t="shared" si="178"/>
        <v/>
      </c>
      <c r="X1096">
        <f>IF($T1096="",N($X1095),IF(MATCH($T1096,$T$6:$T$10005,0)=ROW()-5,N($X1095)+1,N($X1095)))</f>
        <v>0</v>
      </c>
      <c r="Z1096" t="str">
        <f t="shared" si="179"/>
        <v/>
      </c>
      <c r="AA1096">
        <f>IF($V1096="",N($AA1095),IF(MATCH($V1096,$V$6:$V$10005,0)=ROW()-5,N($AA1095)+1,N($AA1095)))</f>
        <v>0</v>
      </c>
    </row>
    <row r="1097" spans="1:27" ht="21" customHeight="1" x14ac:dyDescent="0.95">
      <c r="A1097" s="56"/>
      <c r="B1097" s="57"/>
      <c r="C1097" s="57"/>
      <c r="D1097" s="57"/>
      <c r="E1097" s="56"/>
      <c r="F1097" s="57"/>
      <c r="G1097" s="57"/>
      <c r="H1097" s="56"/>
      <c r="I1097" s="56"/>
      <c r="J1097" s="58"/>
      <c r="K1097" s="58"/>
      <c r="L1097" s="13" t="str">
        <f t="shared" si="170"/>
        <v/>
      </c>
      <c r="M1097" s="13" t="str">
        <f t="shared" si="171"/>
        <v/>
      </c>
      <c r="Q1097" t="str">
        <f t="shared" si="172"/>
        <v/>
      </c>
      <c r="R1097" t="str">
        <f t="shared" si="173"/>
        <v/>
      </c>
      <c r="S1097" t="str">
        <f t="shared" si="174"/>
        <v/>
      </c>
      <c r="T1097" t="str">
        <f t="shared" si="175"/>
        <v/>
      </c>
      <c r="U1097" t="str">
        <f t="shared" si="176"/>
        <v/>
      </c>
      <c r="V1097" t="str">
        <f t="shared" si="177"/>
        <v/>
      </c>
      <c r="W1097" t="str">
        <f t="shared" si="178"/>
        <v/>
      </c>
      <c r="X1097">
        <f>IF($T1097="",N($X1096),IF(MATCH($T1097,$T$6:$T$10005,0)=ROW()-5,N($X1096)+1,N($X1096)))</f>
        <v>0</v>
      </c>
      <c r="Z1097" t="str">
        <f t="shared" si="179"/>
        <v/>
      </c>
      <c r="AA1097">
        <f>IF($V1097="",N($AA1096),IF(MATCH($V1097,$V$6:$V$10005,0)=ROW()-5,N($AA1096)+1,N($AA1096)))</f>
        <v>0</v>
      </c>
    </row>
    <row r="1098" spans="1:27" ht="21" customHeight="1" x14ac:dyDescent="0.95">
      <c r="A1098" s="56"/>
      <c r="B1098" s="57"/>
      <c r="C1098" s="57"/>
      <c r="D1098" s="57"/>
      <c r="E1098" s="56"/>
      <c r="F1098" s="57"/>
      <c r="G1098" s="57"/>
      <c r="H1098" s="56"/>
      <c r="I1098" s="56"/>
      <c r="J1098" s="58"/>
      <c r="K1098" s="58"/>
      <c r="L1098" s="13" t="str">
        <f t="shared" si="170"/>
        <v/>
      </c>
      <c r="M1098" s="13" t="str">
        <f t="shared" si="171"/>
        <v/>
      </c>
      <c r="Q1098" t="str">
        <f t="shared" si="172"/>
        <v/>
      </c>
      <c r="R1098" t="str">
        <f t="shared" si="173"/>
        <v/>
      </c>
      <c r="S1098" t="str">
        <f t="shared" si="174"/>
        <v/>
      </c>
      <c r="T1098" t="str">
        <f t="shared" si="175"/>
        <v/>
      </c>
      <c r="U1098" t="str">
        <f t="shared" si="176"/>
        <v/>
      </c>
      <c r="V1098" t="str">
        <f t="shared" si="177"/>
        <v/>
      </c>
      <c r="W1098" t="str">
        <f t="shared" si="178"/>
        <v/>
      </c>
      <c r="X1098">
        <f>IF($T1098="",N($X1097),IF(MATCH($T1098,$T$6:$T$10005,0)=ROW()-5,N($X1097)+1,N($X1097)))</f>
        <v>0</v>
      </c>
      <c r="Z1098" t="str">
        <f t="shared" si="179"/>
        <v/>
      </c>
      <c r="AA1098">
        <f>IF($V1098="",N($AA1097),IF(MATCH($V1098,$V$6:$V$10005,0)=ROW()-5,N($AA1097)+1,N($AA1097)))</f>
        <v>0</v>
      </c>
    </row>
    <row r="1099" spans="1:27" ht="21" customHeight="1" x14ac:dyDescent="0.95">
      <c r="A1099" s="56"/>
      <c r="B1099" s="57"/>
      <c r="C1099" s="57"/>
      <c r="D1099" s="57"/>
      <c r="E1099" s="56"/>
      <c r="F1099" s="57"/>
      <c r="G1099" s="57"/>
      <c r="H1099" s="56"/>
      <c r="I1099" s="56"/>
      <c r="J1099" s="58"/>
      <c r="K1099" s="58"/>
      <c r="L1099" s="13" t="str">
        <f t="shared" si="170"/>
        <v/>
      </c>
      <c r="M1099" s="13" t="str">
        <f t="shared" si="171"/>
        <v/>
      </c>
      <c r="Q1099" t="str">
        <f t="shared" si="172"/>
        <v/>
      </c>
      <c r="R1099" t="str">
        <f t="shared" si="173"/>
        <v/>
      </c>
      <c r="S1099" t="str">
        <f t="shared" si="174"/>
        <v/>
      </c>
      <c r="T1099" t="str">
        <f t="shared" si="175"/>
        <v/>
      </c>
      <c r="U1099" t="str">
        <f t="shared" si="176"/>
        <v/>
      </c>
      <c r="V1099" t="str">
        <f t="shared" si="177"/>
        <v/>
      </c>
      <c r="W1099" t="str">
        <f t="shared" si="178"/>
        <v/>
      </c>
      <c r="X1099">
        <f>IF($T1099="",N($X1098),IF(MATCH($T1099,$T$6:$T$10005,0)=ROW()-5,N($X1098)+1,N($X1098)))</f>
        <v>0</v>
      </c>
      <c r="Z1099" t="str">
        <f t="shared" si="179"/>
        <v/>
      </c>
      <c r="AA1099">
        <f>IF($V1099="",N($AA1098),IF(MATCH($V1099,$V$6:$V$10005,0)=ROW()-5,N($AA1098)+1,N($AA1098)))</f>
        <v>0</v>
      </c>
    </row>
    <row r="1100" spans="1:27" ht="21" customHeight="1" x14ac:dyDescent="0.95">
      <c r="A1100" s="56"/>
      <c r="B1100" s="57"/>
      <c r="C1100" s="57"/>
      <c r="D1100" s="57"/>
      <c r="E1100" s="56"/>
      <c r="F1100" s="57"/>
      <c r="G1100" s="57"/>
      <c r="H1100" s="56"/>
      <c r="I1100" s="56"/>
      <c r="J1100" s="58"/>
      <c r="K1100" s="58"/>
      <c r="L1100" s="13" t="str">
        <f t="shared" si="170"/>
        <v/>
      </c>
      <c r="M1100" s="13" t="str">
        <f t="shared" si="171"/>
        <v/>
      </c>
      <c r="Q1100" t="str">
        <f t="shared" si="172"/>
        <v/>
      </c>
      <c r="R1100" t="str">
        <f t="shared" si="173"/>
        <v/>
      </c>
      <c r="S1100" t="str">
        <f t="shared" si="174"/>
        <v/>
      </c>
      <c r="T1100" t="str">
        <f t="shared" si="175"/>
        <v/>
      </c>
      <c r="U1100" t="str">
        <f t="shared" si="176"/>
        <v/>
      </c>
      <c r="V1100" t="str">
        <f t="shared" si="177"/>
        <v/>
      </c>
      <c r="W1100" t="str">
        <f t="shared" si="178"/>
        <v/>
      </c>
      <c r="X1100">
        <f>IF($T1100="",N($X1099),IF(MATCH($T1100,$T$6:$T$10005,0)=ROW()-5,N($X1099)+1,N($X1099)))</f>
        <v>0</v>
      </c>
      <c r="Z1100" t="str">
        <f t="shared" si="179"/>
        <v/>
      </c>
      <c r="AA1100">
        <f>IF($V1100="",N($AA1099),IF(MATCH($V1100,$V$6:$V$10005,0)=ROW()-5,N($AA1099)+1,N($AA1099)))</f>
        <v>0</v>
      </c>
    </row>
    <row r="1101" spans="1:27" ht="21" customHeight="1" x14ac:dyDescent="0.95">
      <c r="A1101" s="56"/>
      <c r="B1101" s="57"/>
      <c r="C1101" s="57"/>
      <c r="D1101" s="57"/>
      <c r="E1101" s="56"/>
      <c r="F1101" s="57"/>
      <c r="G1101" s="57"/>
      <c r="H1101" s="56"/>
      <c r="I1101" s="56"/>
      <c r="J1101" s="58"/>
      <c r="K1101" s="58"/>
      <c r="L1101" s="13" t="str">
        <f t="shared" si="170"/>
        <v/>
      </c>
      <c r="M1101" s="13" t="str">
        <f t="shared" si="171"/>
        <v/>
      </c>
      <c r="Q1101" t="str">
        <f t="shared" si="172"/>
        <v/>
      </c>
      <c r="R1101" t="str">
        <f t="shared" si="173"/>
        <v/>
      </c>
      <c r="S1101" t="str">
        <f t="shared" si="174"/>
        <v/>
      </c>
      <c r="T1101" t="str">
        <f t="shared" si="175"/>
        <v/>
      </c>
      <c r="U1101" t="str">
        <f t="shared" si="176"/>
        <v/>
      </c>
      <c r="V1101" t="str">
        <f t="shared" si="177"/>
        <v/>
      </c>
      <c r="W1101" t="str">
        <f t="shared" si="178"/>
        <v/>
      </c>
      <c r="X1101">
        <f>IF($T1101="",N($X1100),IF(MATCH($T1101,$T$6:$T$10005,0)=ROW()-5,N($X1100)+1,N($X1100)))</f>
        <v>0</v>
      </c>
      <c r="Z1101" t="str">
        <f t="shared" si="179"/>
        <v/>
      </c>
      <c r="AA1101">
        <f>IF($V1101="",N($AA1100),IF(MATCH($V1101,$V$6:$V$10005,0)=ROW()-5,N($AA1100)+1,N($AA1100)))</f>
        <v>0</v>
      </c>
    </row>
    <row r="1102" spans="1:27" ht="21" customHeight="1" x14ac:dyDescent="0.95">
      <c r="A1102" s="56"/>
      <c r="B1102" s="57"/>
      <c r="C1102" s="57"/>
      <c r="D1102" s="57"/>
      <c r="E1102" s="56"/>
      <c r="F1102" s="57"/>
      <c r="G1102" s="57"/>
      <c r="H1102" s="56"/>
      <c r="I1102" s="56"/>
      <c r="J1102" s="58"/>
      <c r="K1102" s="58"/>
      <c r="L1102" s="13" t="str">
        <f t="shared" si="170"/>
        <v/>
      </c>
      <c r="M1102" s="13" t="str">
        <f t="shared" si="171"/>
        <v/>
      </c>
      <c r="Q1102" t="str">
        <f t="shared" si="172"/>
        <v/>
      </c>
      <c r="R1102" t="str">
        <f t="shared" si="173"/>
        <v/>
      </c>
      <c r="S1102" t="str">
        <f t="shared" si="174"/>
        <v/>
      </c>
      <c r="T1102" t="str">
        <f t="shared" si="175"/>
        <v/>
      </c>
      <c r="U1102" t="str">
        <f t="shared" si="176"/>
        <v/>
      </c>
      <c r="V1102" t="str">
        <f t="shared" si="177"/>
        <v/>
      </c>
      <c r="W1102" t="str">
        <f t="shared" si="178"/>
        <v/>
      </c>
      <c r="X1102">
        <f>IF($T1102="",N($X1101),IF(MATCH($T1102,$T$6:$T$10005,0)=ROW()-5,N($X1101)+1,N($X1101)))</f>
        <v>0</v>
      </c>
      <c r="Z1102" t="str">
        <f t="shared" si="179"/>
        <v/>
      </c>
      <c r="AA1102">
        <f>IF($V1102="",N($AA1101),IF(MATCH($V1102,$V$6:$V$10005,0)=ROW()-5,N($AA1101)+1,N($AA1101)))</f>
        <v>0</v>
      </c>
    </row>
    <row r="1103" spans="1:27" ht="21" customHeight="1" x14ac:dyDescent="0.95">
      <c r="A1103" s="56"/>
      <c r="B1103" s="57"/>
      <c r="C1103" s="57"/>
      <c r="D1103" s="57"/>
      <c r="E1103" s="56"/>
      <c r="F1103" s="57"/>
      <c r="G1103" s="57"/>
      <c r="H1103" s="56"/>
      <c r="I1103" s="56"/>
      <c r="J1103" s="58"/>
      <c r="K1103" s="58"/>
      <c r="L1103" s="13" t="str">
        <f t="shared" si="170"/>
        <v/>
      </c>
      <c r="M1103" s="13" t="str">
        <f t="shared" si="171"/>
        <v/>
      </c>
      <c r="Q1103" t="str">
        <f t="shared" si="172"/>
        <v/>
      </c>
      <c r="R1103" t="str">
        <f t="shared" si="173"/>
        <v/>
      </c>
      <c r="S1103" t="str">
        <f t="shared" si="174"/>
        <v/>
      </c>
      <c r="T1103" t="str">
        <f t="shared" si="175"/>
        <v/>
      </c>
      <c r="U1103" t="str">
        <f t="shared" si="176"/>
        <v/>
      </c>
      <c r="V1103" t="str">
        <f t="shared" si="177"/>
        <v/>
      </c>
      <c r="W1103" t="str">
        <f t="shared" si="178"/>
        <v/>
      </c>
      <c r="X1103">
        <f>IF($T1103="",N($X1102),IF(MATCH($T1103,$T$6:$T$10005,0)=ROW()-5,N($X1102)+1,N($X1102)))</f>
        <v>0</v>
      </c>
      <c r="Z1103" t="str">
        <f t="shared" si="179"/>
        <v/>
      </c>
      <c r="AA1103">
        <f>IF($V1103="",N($AA1102),IF(MATCH($V1103,$V$6:$V$10005,0)=ROW()-5,N($AA1102)+1,N($AA1102)))</f>
        <v>0</v>
      </c>
    </row>
    <row r="1104" spans="1:27" ht="21" customHeight="1" x14ac:dyDescent="0.95">
      <c r="A1104" s="56"/>
      <c r="B1104" s="57"/>
      <c r="C1104" s="57"/>
      <c r="D1104" s="57"/>
      <c r="E1104" s="56"/>
      <c r="F1104" s="57"/>
      <c r="G1104" s="57"/>
      <c r="H1104" s="56"/>
      <c r="I1104" s="56"/>
      <c r="J1104" s="58"/>
      <c r="K1104" s="58"/>
      <c r="L1104" s="13" t="str">
        <f t="shared" si="170"/>
        <v/>
      </c>
      <c r="M1104" s="13" t="str">
        <f t="shared" si="171"/>
        <v/>
      </c>
      <c r="Q1104" t="str">
        <f t="shared" si="172"/>
        <v/>
      </c>
      <c r="R1104" t="str">
        <f t="shared" si="173"/>
        <v/>
      </c>
      <c r="S1104" t="str">
        <f t="shared" si="174"/>
        <v/>
      </c>
      <c r="T1104" t="str">
        <f t="shared" si="175"/>
        <v/>
      </c>
      <c r="U1104" t="str">
        <f t="shared" si="176"/>
        <v/>
      </c>
      <c r="V1104" t="str">
        <f t="shared" si="177"/>
        <v/>
      </c>
      <c r="W1104" t="str">
        <f t="shared" si="178"/>
        <v/>
      </c>
      <c r="X1104">
        <f>IF($T1104="",N($X1103),IF(MATCH($T1104,$T$6:$T$10005,0)=ROW()-5,N($X1103)+1,N($X1103)))</f>
        <v>0</v>
      </c>
      <c r="Z1104" t="str">
        <f t="shared" si="179"/>
        <v/>
      </c>
      <c r="AA1104">
        <f>IF($V1104="",N($AA1103),IF(MATCH($V1104,$V$6:$V$10005,0)=ROW()-5,N($AA1103)+1,N($AA1103)))</f>
        <v>0</v>
      </c>
    </row>
    <row r="1105" spans="1:27" ht="21" customHeight="1" x14ac:dyDescent="0.95">
      <c r="A1105" s="56"/>
      <c r="B1105" s="57"/>
      <c r="C1105" s="57"/>
      <c r="D1105" s="57"/>
      <c r="E1105" s="56"/>
      <c r="F1105" s="57"/>
      <c r="G1105" s="57"/>
      <c r="H1105" s="56"/>
      <c r="I1105" s="56"/>
      <c r="J1105" s="58"/>
      <c r="K1105" s="58"/>
      <c r="L1105" s="13" t="str">
        <f t="shared" si="170"/>
        <v/>
      </c>
      <c r="M1105" s="13" t="str">
        <f t="shared" si="171"/>
        <v/>
      </c>
      <c r="Q1105" t="str">
        <f t="shared" si="172"/>
        <v/>
      </c>
      <c r="R1105" t="str">
        <f t="shared" si="173"/>
        <v/>
      </c>
      <c r="S1105" t="str">
        <f t="shared" si="174"/>
        <v/>
      </c>
      <c r="T1105" t="str">
        <f t="shared" si="175"/>
        <v/>
      </c>
      <c r="U1105" t="str">
        <f t="shared" si="176"/>
        <v/>
      </c>
      <c r="V1105" t="str">
        <f t="shared" si="177"/>
        <v/>
      </c>
      <c r="W1105" t="str">
        <f t="shared" si="178"/>
        <v/>
      </c>
      <c r="X1105">
        <f>IF($T1105="",N($X1104),IF(MATCH($T1105,$T$6:$T$10005,0)=ROW()-5,N($X1104)+1,N($X1104)))</f>
        <v>0</v>
      </c>
      <c r="Z1105" t="str">
        <f t="shared" si="179"/>
        <v/>
      </c>
      <c r="AA1105">
        <f>IF($V1105="",N($AA1104),IF(MATCH($V1105,$V$6:$V$10005,0)=ROW()-5,N($AA1104)+1,N($AA1104)))</f>
        <v>0</v>
      </c>
    </row>
    <row r="1106" spans="1:27" ht="21" customHeight="1" x14ac:dyDescent="0.95">
      <c r="A1106" s="56"/>
      <c r="B1106" s="57"/>
      <c r="C1106" s="57"/>
      <c r="D1106" s="57"/>
      <c r="E1106" s="56"/>
      <c r="F1106" s="57"/>
      <c r="G1106" s="57"/>
      <c r="H1106" s="56"/>
      <c r="I1106" s="56"/>
      <c r="J1106" s="58"/>
      <c r="K1106" s="58"/>
      <c r="L1106" s="13" t="str">
        <f t="shared" si="170"/>
        <v/>
      </c>
      <c r="M1106" s="13" t="str">
        <f t="shared" si="171"/>
        <v/>
      </c>
      <c r="Q1106" t="str">
        <f t="shared" si="172"/>
        <v/>
      </c>
      <c r="R1106" t="str">
        <f t="shared" si="173"/>
        <v/>
      </c>
      <c r="S1106" t="str">
        <f t="shared" si="174"/>
        <v/>
      </c>
      <c r="T1106" t="str">
        <f t="shared" si="175"/>
        <v/>
      </c>
      <c r="U1106" t="str">
        <f t="shared" si="176"/>
        <v/>
      </c>
      <c r="V1106" t="str">
        <f t="shared" si="177"/>
        <v/>
      </c>
      <c r="W1106" t="str">
        <f t="shared" si="178"/>
        <v/>
      </c>
      <c r="X1106">
        <f>IF($T1106="",N($X1105),IF(MATCH($T1106,$T$6:$T$10005,0)=ROW()-5,N($X1105)+1,N($X1105)))</f>
        <v>0</v>
      </c>
      <c r="Z1106" t="str">
        <f t="shared" si="179"/>
        <v/>
      </c>
      <c r="AA1106">
        <f>IF($V1106="",N($AA1105),IF(MATCH($V1106,$V$6:$V$10005,0)=ROW()-5,N($AA1105)+1,N($AA1105)))</f>
        <v>0</v>
      </c>
    </row>
    <row r="1107" spans="1:27" ht="21" customHeight="1" x14ac:dyDescent="0.95">
      <c r="A1107" s="56"/>
      <c r="B1107" s="57"/>
      <c r="C1107" s="57"/>
      <c r="D1107" s="57"/>
      <c r="E1107" s="56"/>
      <c r="F1107" s="57"/>
      <c r="G1107" s="57"/>
      <c r="H1107" s="56"/>
      <c r="I1107" s="56"/>
      <c r="J1107" s="58"/>
      <c r="K1107" s="58"/>
      <c r="L1107" s="13" t="str">
        <f t="shared" si="170"/>
        <v/>
      </c>
      <c r="M1107" s="13" t="str">
        <f t="shared" si="171"/>
        <v/>
      </c>
      <c r="Q1107" t="str">
        <f t="shared" si="172"/>
        <v/>
      </c>
      <c r="R1107" t="str">
        <f t="shared" si="173"/>
        <v/>
      </c>
      <c r="S1107" t="str">
        <f t="shared" si="174"/>
        <v/>
      </c>
      <c r="T1107" t="str">
        <f t="shared" si="175"/>
        <v/>
      </c>
      <c r="U1107" t="str">
        <f t="shared" si="176"/>
        <v/>
      </c>
      <c r="V1107" t="str">
        <f t="shared" si="177"/>
        <v/>
      </c>
      <c r="W1107" t="str">
        <f t="shared" si="178"/>
        <v/>
      </c>
      <c r="X1107">
        <f>IF($T1107="",N($X1106),IF(MATCH($T1107,$T$6:$T$10005,0)=ROW()-5,N($X1106)+1,N($X1106)))</f>
        <v>0</v>
      </c>
      <c r="Z1107" t="str">
        <f t="shared" si="179"/>
        <v/>
      </c>
      <c r="AA1107">
        <f>IF($V1107="",N($AA1106),IF(MATCH($V1107,$V$6:$V$10005,0)=ROW()-5,N($AA1106)+1,N($AA1106)))</f>
        <v>0</v>
      </c>
    </row>
    <row r="1108" spans="1:27" ht="21" customHeight="1" x14ac:dyDescent="0.95">
      <c r="A1108" s="56"/>
      <c r="B1108" s="57"/>
      <c r="C1108" s="57"/>
      <c r="D1108" s="57"/>
      <c r="E1108" s="56"/>
      <c r="F1108" s="57"/>
      <c r="G1108" s="57"/>
      <c r="H1108" s="56"/>
      <c r="I1108" s="56"/>
      <c r="J1108" s="58"/>
      <c r="K1108" s="58"/>
      <c r="L1108" s="13" t="str">
        <f t="shared" si="170"/>
        <v/>
      </c>
      <c r="M1108" s="13" t="str">
        <f t="shared" si="171"/>
        <v/>
      </c>
      <c r="Q1108" t="str">
        <f t="shared" si="172"/>
        <v/>
      </c>
      <c r="R1108" t="str">
        <f t="shared" si="173"/>
        <v/>
      </c>
      <c r="S1108" t="str">
        <f t="shared" si="174"/>
        <v/>
      </c>
      <c r="T1108" t="str">
        <f t="shared" si="175"/>
        <v/>
      </c>
      <c r="U1108" t="str">
        <f t="shared" si="176"/>
        <v/>
      </c>
      <c r="V1108" t="str">
        <f t="shared" si="177"/>
        <v/>
      </c>
      <c r="W1108" t="str">
        <f t="shared" si="178"/>
        <v/>
      </c>
      <c r="X1108">
        <f>IF($T1108="",N($X1107),IF(MATCH($T1108,$T$6:$T$10005,0)=ROW()-5,N($X1107)+1,N($X1107)))</f>
        <v>0</v>
      </c>
      <c r="Z1108" t="str">
        <f t="shared" si="179"/>
        <v/>
      </c>
      <c r="AA1108">
        <f>IF($V1108="",N($AA1107),IF(MATCH($V1108,$V$6:$V$10005,0)=ROW()-5,N($AA1107)+1,N($AA1107)))</f>
        <v>0</v>
      </c>
    </row>
    <row r="1109" spans="1:27" ht="21" customHeight="1" x14ac:dyDescent="0.95">
      <c r="A1109" s="56"/>
      <c r="B1109" s="57"/>
      <c r="C1109" s="57"/>
      <c r="D1109" s="57"/>
      <c r="E1109" s="56"/>
      <c r="F1109" s="57"/>
      <c r="G1109" s="57"/>
      <c r="H1109" s="56"/>
      <c r="I1109" s="56"/>
      <c r="J1109" s="58"/>
      <c r="K1109" s="58"/>
      <c r="L1109" s="13" t="str">
        <f t="shared" si="170"/>
        <v/>
      </c>
      <c r="M1109" s="13" t="str">
        <f t="shared" si="171"/>
        <v/>
      </c>
      <c r="Q1109" t="str">
        <f t="shared" si="172"/>
        <v/>
      </c>
      <c r="R1109" t="str">
        <f t="shared" si="173"/>
        <v/>
      </c>
      <c r="S1109" t="str">
        <f t="shared" si="174"/>
        <v/>
      </c>
      <c r="T1109" t="str">
        <f t="shared" si="175"/>
        <v/>
      </c>
      <c r="U1109" t="str">
        <f t="shared" si="176"/>
        <v/>
      </c>
      <c r="V1109" t="str">
        <f t="shared" si="177"/>
        <v/>
      </c>
      <c r="W1109" t="str">
        <f t="shared" si="178"/>
        <v/>
      </c>
      <c r="X1109">
        <f>IF($T1109="",N($X1108),IF(MATCH($T1109,$T$6:$T$10005,0)=ROW()-5,N($X1108)+1,N($X1108)))</f>
        <v>0</v>
      </c>
      <c r="Z1109" t="str">
        <f t="shared" si="179"/>
        <v/>
      </c>
      <c r="AA1109">
        <f>IF($V1109="",N($AA1108),IF(MATCH($V1109,$V$6:$V$10005,0)=ROW()-5,N($AA1108)+1,N($AA1108)))</f>
        <v>0</v>
      </c>
    </row>
    <row r="1110" spans="1:27" ht="21" customHeight="1" x14ac:dyDescent="0.95">
      <c r="A1110" s="56"/>
      <c r="B1110" s="57"/>
      <c r="C1110" s="57"/>
      <c r="D1110" s="57"/>
      <c r="E1110" s="56"/>
      <c r="F1110" s="57"/>
      <c r="G1110" s="57"/>
      <c r="H1110" s="56"/>
      <c r="I1110" s="56"/>
      <c r="J1110" s="58"/>
      <c r="K1110" s="58"/>
      <c r="L1110" s="13" t="str">
        <f t="shared" si="170"/>
        <v/>
      </c>
      <c r="M1110" s="13" t="str">
        <f t="shared" si="171"/>
        <v/>
      </c>
      <c r="Q1110" t="str">
        <f t="shared" si="172"/>
        <v/>
      </c>
      <c r="R1110" t="str">
        <f t="shared" si="173"/>
        <v/>
      </c>
      <c r="S1110" t="str">
        <f t="shared" si="174"/>
        <v/>
      </c>
      <c r="T1110" t="str">
        <f t="shared" si="175"/>
        <v/>
      </c>
      <c r="U1110" t="str">
        <f t="shared" si="176"/>
        <v/>
      </c>
      <c r="V1110" t="str">
        <f t="shared" si="177"/>
        <v/>
      </c>
      <c r="W1110" t="str">
        <f t="shared" si="178"/>
        <v/>
      </c>
      <c r="X1110">
        <f>IF($T1110="",N($X1109),IF(MATCH($T1110,$T$6:$T$10005,0)=ROW()-5,N($X1109)+1,N($X1109)))</f>
        <v>0</v>
      </c>
      <c r="Z1110" t="str">
        <f t="shared" si="179"/>
        <v/>
      </c>
      <c r="AA1110">
        <f>IF($V1110="",N($AA1109),IF(MATCH($V1110,$V$6:$V$10005,0)=ROW()-5,N($AA1109)+1,N($AA1109)))</f>
        <v>0</v>
      </c>
    </row>
    <row r="1111" spans="1:27" ht="21" customHeight="1" x14ac:dyDescent="0.95">
      <c r="A1111" s="56"/>
      <c r="B1111" s="57"/>
      <c r="C1111" s="57"/>
      <c r="D1111" s="57"/>
      <c r="E1111" s="56"/>
      <c r="F1111" s="57"/>
      <c r="G1111" s="57"/>
      <c r="H1111" s="56"/>
      <c r="I1111" s="56"/>
      <c r="J1111" s="58"/>
      <c r="K1111" s="58"/>
      <c r="L1111" s="13" t="str">
        <f t="shared" si="170"/>
        <v/>
      </c>
      <c r="M1111" s="13" t="str">
        <f t="shared" si="171"/>
        <v/>
      </c>
      <c r="Q1111" t="str">
        <f t="shared" si="172"/>
        <v/>
      </c>
      <c r="R1111" t="str">
        <f t="shared" si="173"/>
        <v/>
      </c>
      <c r="S1111" t="str">
        <f t="shared" si="174"/>
        <v/>
      </c>
      <c r="T1111" t="str">
        <f t="shared" si="175"/>
        <v/>
      </c>
      <c r="U1111" t="str">
        <f t="shared" si="176"/>
        <v/>
      </c>
      <c r="V1111" t="str">
        <f t="shared" si="177"/>
        <v/>
      </c>
      <c r="W1111" t="str">
        <f t="shared" si="178"/>
        <v/>
      </c>
      <c r="X1111">
        <f>IF($T1111="",N($X1110),IF(MATCH($T1111,$T$6:$T$10005,0)=ROW()-5,N($X1110)+1,N($X1110)))</f>
        <v>0</v>
      </c>
      <c r="Z1111" t="str">
        <f t="shared" si="179"/>
        <v/>
      </c>
      <c r="AA1111">
        <f>IF($V1111="",N($AA1110),IF(MATCH($V1111,$V$6:$V$10005,0)=ROW()-5,N($AA1110)+1,N($AA1110)))</f>
        <v>0</v>
      </c>
    </row>
    <row r="1112" spans="1:27" ht="21" customHeight="1" x14ac:dyDescent="0.95">
      <c r="A1112" s="56"/>
      <c r="B1112" s="57"/>
      <c r="C1112" s="57"/>
      <c r="D1112" s="57"/>
      <c r="E1112" s="56"/>
      <c r="F1112" s="57"/>
      <c r="G1112" s="57"/>
      <c r="H1112" s="56"/>
      <c r="I1112" s="56"/>
      <c r="J1112" s="58"/>
      <c r="K1112" s="58"/>
      <c r="L1112" s="13" t="str">
        <f t="shared" si="170"/>
        <v/>
      </c>
      <c r="M1112" s="13" t="str">
        <f t="shared" si="171"/>
        <v/>
      </c>
      <c r="Q1112" t="str">
        <f t="shared" si="172"/>
        <v/>
      </c>
      <c r="R1112" t="str">
        <f t="shared" si="173"/>
        <v/>
      </c>
      <c r="S1112" t="str">
        <f t="shared" si="174"/>
        <v/>
      </c>
      <c r="T1112" t="str">
        <f t="shared" si="175"/>
        <v/>
      </c>
      <c r="U1112" t="str">
        <f t="shared" si="176"/>
        <v/>
      </c>
      <c r="V1112" t="str">
        <f t="shared" si="177"/>
        <v/>
      </c>
      <c r="W1112" t="str">
        <f t="shared" si="178"/>
        <v/>
      </c>
      <c r="X1112">
        <f>IF($T1112="",N($X1111),IF(MATCH($T1112,$T$6:$T$10005,0)=ROW()-5,N($X1111)+1,N($X1111)))</f>
        <v>0</v>
      </c>
      <c r="Z1112" t="str">
        <f t="shared" si="179"/>
        <v/>
      </c>
      <c r="AA1112">
        <f>IF($V1112="",N($AA1111),IF(MATCH($V1112,$V$6:$V$10005,0)=ROW()-5,N($AA1111)+1,N($AA1111)))</f>
        <v>0</v>
      </c>
    </row>
    <row r="1113" spans="1:27" ht="21" customHeight="1" x14ac:dyDescent="0.95">
      <c r="A1113" s="56"/>
      <c r="B1113" s="57"/>
      <c r="C1113" s="57"/>
      <c r="D1113" s="57"/>
      <c r="E1113" s="56"/>
      <c r="F1113" s="57"/>
      <c r="G1113" s="57"/>
      <c r="H1113" s="56"/>
      <c r="I1113" s="56"/>
      <c r="J1113" s="58"/>
      <c r="K1113" s="58"/>
      <c r="L1113" s="13" t="str">
        <f t="shared" si="170"/>
        <v/>
      </c>
      <c r="M1113" s="13" t="str">
        <f t="shared" si="171"/>
        <v/>
      </c>
      <c r="Q1113" t="str">
        <f t="shared" si="172"/>
        <v/>
      </c>
      <c r="R1113" t="str">
        <f t="shared" si="173"/>
        <v/>
      </c>
      <c r="S1113" t="str">
        <f t="shared" si="174"/>
        <v/>
      </c>
      <c r="T1113" t="str">
        <f t="shared" si="175"/>
        <v/>
      </c>
      <c r="U1113" t="str">
        <f t="shared" si="176"/>
        <v/>
      </c>
      <c r="V1113" t="str">
        <f t="shared" si="177"/>
        <v/>
      </c>
      <c r="W1113" t="str">
        <f t="shared" si="178"/>
        <v/>
      </c>
      <c r="X1113">
        <f>IF($T1113="",N($X1112),IF(MATCH($T1113,$T$6:$T$10005,0)=ROW()-5,N($X1112)+1,N($X1112)))</f>
        <v>0</v>
      </c>
      <c r="Z1113" t="str">
        <f t="shared" si="179"/>
        <v/>
      </c>
      <c r="AA1113">
        <f>IF($V1113="",N($AA1112),IF(MATCH($V1113,$V$6:$V$10005,0)=ROW()-5,N($AA1112)+1,N($AA1112)))</f>
        <v>0</v>
      </c>
    </row>
    <row r="1114" spans="1:27" ht="21" customHeight="1" x14ac:dyDescent="0.95">
      <c r="A1114" s="56"/>
      <c r="B1114" s="57"/>
      <c r="C1114" s="57"/>
      <c r="D1114" s="57"/>
      <c r="E1114" s="56"/>
      <c r="F1114" s="57"/>
      <c r="G1114" s="57"/>
      <c r="H1114" s="56"/>
      <c r="I1114" s="56"/>
      <c r="J1114" s="58"/>
      <c r="K1114" s="58"/>
      <c r="L1114" s="13" t="str">
        <f t="shared" si="170"/>
        <v/>
      </c>
      <c r="M1114" s="13" t="str">
        <f t="shared" si="171"/>
        <v/>
      </c>
      <c r="Q1114" t="str">
        <f t="shared" si="172"/>
        <v/>
      </c>
      <c r="R1114" t="str">
        <f t="shared" si="173"/>
        <v/>
      </c>
      <c r="S1114" t="str">
        <f t="shared" si="174"/>
        <v/>
      </c>
      <c r="T1114" t="str">
        <f t="shared" si="175"/>
        <v/>
      </c>
      <c r="U1114" t="str">
        <f t="shared" si="176"/>
        <v/>
      </c>
      <c r="V1114" t="str">
        <f t="shared" si="177"/>
        <v/>
      </c>
      <c r="W1114" t="str">
        <f t="shared" si="178"/>
        <v/>
      </c>
      <c r="X1114">
        <f>IF($T1114="",N($X1113),IF(MATCH($T1114,$T$6:$T$10005,0)=ROW()-5,N($X1113)+1,N($X1113)))</f>
        <v>0</v>
      </c>
      <c r="Z1114" t="str">
        <f t="shared" si="179"/>
        <v/>
      </c>
      <c r="AA1114">
        <f>IF($V1114="",N($AA1113),IF(MATCH($V1114,$V$6:$V$10005,0)=ROW()-5,N($AA1113)+1,N($AA1113)))</f>
        <v>0</v>
      </c>
    </row>
    <row r="1115" spans="1:27" ht="21" customHeight="1" x14ac:dyDescent="0.95">
      <c r="A1115" s="56"/>
      <c r="B1115" s="57"/>
      <c r="C1115" s="57"/>
      <c r="D1115" s="57"/>
      <c r="E1115" s="56"/>
      <c r="F1115" s="57"/>
      <c r="G1115" s="57"/>
      <c r="H1115" s="56"/>
      <c r="I1115" s="56"/>
      <c r="J1115" s="58"/>
      <c r="K1115" s="58"/>
      <c r="L1115" s="13" t="str">
        <f t="shared" si="170"/>
        <v/>
      </c>
      <c r="M1115" s="13" t="str">
        <f t="shared" si="171"/>
        <v/>
      </c>
      <c r="Q1115" t="str">
        <f t="shared" si="172"/>
        <v/>
      </c>
      <c r="R1115" t="str">
        <f t="shared" si="173"/>
        <v/>
      </c>
      <c r="S1115" t="str">
        <f t="shared" si="174"/>
        <v/>
      </c>
      <c r="T1115" t="str">
        <f t="shared" si="175"/>
        <v/>
      </c>
      <c r="U1115" t="str">
        <f t="shared" si="176"/>
        <v/>
      </c>
      <c r="V1115" t="str">
        <f t="shared" si="177"/>
        <v/>
      </c>
      <c r="W1115" t="str">
        <f t="shared" si="178"/>
        <v/>
      </c>
      <c r="X1115">
        <f>IF($T1115="",N($X1114),IF(MATCH($T1115,$T$6:$T$10005,0)=ROW()-5,N($X1114)+1,N($X1114)))</f>
        <v>0</v>
      </c>
      <c r="Z1115" t="str">
        <f t="shared" si="179"/>
        <v/>
      </c>
      <c r="AA1115">
        <f>IF($V1115="",N($AA1114),IF(MATCH($V1115,$V$6:$V$10005,0)=ROW()-5,N($AA1114)+1,N($AA1114)))</f>
        <v>0</v>
      </c>
    </row>
    <row r="1116" spans="1:27" ht="21" customHeight="1" x14ac:dyDescent="0.95">
      <c r="A1116" s="56"/>
      <c r="B1116" s="57"/>
      <c r="C1116" s="57"/>
      <c r="D1116" s="57"/>
      <c r="E1116" s="56"/>
      <c r="F1116" s="57"/>
      <c r="G1116" s="57"/>
      <c r="H1116" s="56"/>
      <c r="I1116" s="56"/>
      <c r="J1116" s="58"/>
      <c r="K1116" s="58"/>
      <c r="L1116" s="13" t="str">
        <f t="shared" si="170"/>
        <v/>
      </c>
      <c r="M1116" s="13" t="str">
        <f t="shared" si="171"/>
        <v/>
      </c>
      <c r="Q1116" t="str">
        <f t="shared" si="172"/>
        <v/>
      </c>
      <c r="R1116" t="str">
        <f t="shared" si="173"/>
        <v/>
      </c>
      <c r="S1116" t="str">
        <f t="shared" si="174"/>
        <v/>
      </c>
      <c r="T1116" t="str">
        <f t="shared" si="175"/>
        <v/>
      </c>
      <c r="U1116" t="str">
        <f t="shared" si="176"/>
        <v/>
      </c>
      <c r="V1116" t="str">
        <f t="shared" si="177"/>
        <v/>
      </c>
      <c r="W1116" t="str">
        <f t="shared" si="178"/>
        <v/>
      </c>
      <c r="X1116">
        <f>IF($T1116="",N($X1115),IF(MATCH($T1116,$T$6:$T$10005,0)=ROW()-5,N($X1115)+1,N($X1115)))</f>
        <v>0</v>
      </c>
      <c r="Z1116" t="str">
        <f t="shared" si="179"/>
        <v/>
      </c>
      <c r="AA1116">
        <f>IF($V1116="",N($AA1115),IF(MATCH($V1116,$V$6:$V$10005,0)=ROW()-5,N($AA1115)+1,N($AA1115)))</f>
        <v>0</v>
      </c>
    </row>
    <row r="1117" spans="1:27" ht="21" customHeight="1" x14ac:dyDescent="0.95">
      <c r="A1117" s="56"/>
      <c r="B1117" s="57"/>
      <c r="C1117" s="57"/>
      <c r="D1117" s="57"/>
      <c r="E1117" s="56"/>
      <c r="F1117" s="57"/>
      <c r="G1117" s="57"/>
      <c r="H1117" s="56"/>
      <c r="I1117" s="56"/>
      <c r="J1117" s="58"/>
      <c r="K1117" s="58"/>
      <c r="L1117" s="13" t="str">
        <f t="shared" si="170"/>
        <v/>
      </c>
      <c r="M1117" s="13" t="str">
        <f t="shared" si="171"/>
        <v/>
      </c>
      <c r="Q1117" t="str">
        <f t="shared" si="172"/>
        <v/>
      </c>
      <c r="R1117" t="str">
        <f t="shared" si="173"/>
        <v/>
      </c>
      <c r="S1117" t="str">
        <f t="shared" si="174"/>
        <v/>
      </c>
      <c r="T1117" t="str">
        <f t="shared" si="175"/>
        <v/>
      </c>
      <c r="U1117" t="str">
        <f t="shared" si="176"/>
        <v/>
      </c>
      <c r="V1117" t="str">
        <f t="shared" si="177"/>
        <v/>
      </c>
      <c r="W1117" t="str">
        <f t="shared" si="178"/>
        <v/>
      </c>
      <c r="X1117">
        <f>IF($T1117="",N($X1116),IF(MATCH($T1117,$T$6:$T$10005,0)=ROW()-5,N($X1116)+1,N($X1116)))</f>
        <v>0</v>
      </c>
      <c r="Z1117" t="str">
        <f t="shared" si="179"/>
        <v/>
      </c>
      <c r="AA1117">
        <f>IF($V1117="",N($AA1116),IF(MATCH($V1117,$V$6:$V$10005,0)=ROW()-5,N($AA1116)+1,N($AA1116)))</f>
        <v>0</v>
      </c>
    </row>
    <row r="1118" spans="1:27" ht="21" customHeight="1" x14ac:dyDescent="0.95">
      <c r="A1118" s="56"/>
      <c r="B1118" s="57"/>
      <c r="C1118" s="57"/>
      <c r="D1118" s="57"/>
      <c r="E1118" s="56"/>
      <c r="F1118" s="57"/>
      <c r="G1118" s="57"/>
      <c r="H1118" s="56"/>
      <c r="I1118" s="56"/>
      <c r="J1118" s="58"/>
      <c r="K1118" s="58"/>
      <c r="L1118" s="13" t="str">
        <f t="shared" si="170"/>
        <v/>
      </c>
      <c r="M1118" s="13" t="str">
        <f t="shared" si="171"/>
        <v/>
      </c>
      <c r="Q1118" t="str">
        <f t="shared" si="172"/>
        <v/>
      </c>
      <c r="R1118" t="str">
        <f t="shared" si="173"/>
        <v/>
      </c>
      <c r="S1118" t="str">
        <f t="shared" si="174"/>
        <v/>
      </c>
      <c r="T1118" t="str">
        <f t="shared" si="175"/>
        <v/>
      </c>
      <c r="U1118" t="str">
        <f t="shared" si="176"/>
        <v/>
      </c>
      <c r="V1118" t="str">
        <f t="shared" si="177"/>
        <v/>
      </c>
      <c r="W1118" t="str">
        <f t="shared" si="178"/>
        <v/>
      </c>
      <c r="X1118">
        <f>IF($T1118="",N($X1117),IF(MATCH($T1118,$T$6:$T$10005,0)=ROW()-5,N($X1117)+1,N($X1117)))</f>
        <v>0</v>
      </c>
      <c r="Z1118" t="str">
        <f t="shared" si="179"/>
        <v/>
      </c>
      <c r="AA1118">
        <f>IF($V1118="",N($AA1117),IF(MATCH($V1118,$V$6:$V$10005,0)=ROW()-5,N($AA1117)+1,N($AA1117)))</f>
        <v>0</v>
      </c>
    </row>
    <row r="1119" spans="1:27" ht="21" customHeight="1" x14ac:dyDescent="0.95">
      <c r="A1119" s="56"/>
      <c r="B1119" s="57"/>
      <c r="C1119" s="57"/>
      <c r="D1119" s="57"/>
      <c r="E1119" s="56"/>
      <c r="F1119" s="57"/>
      <c r="G1119" s="57"/>
      <c r="H1119" s="56"/>
      <c r="I1119" s="56"/>
      <c r="J1119" s="58"/>
      <c r="K1119" s="58"/>
      <c r="L1119" s="13" t="str">
        <f t="shared" si="170"/>
        <v/>
      </c>
      <c r="M1119" s="13" t="str">
        <f t="shared" si="171"/>
        <v/>
      </c>
      <c r="Q1119" t="str">
        <f t="shared" si="172"/>
        <v/>
      </c>
      <c r="R1119" t="str">
        <f t="shared" si="173"/>
        <v/>
      </c>
      <c r="S1119" t="str">
        <f t="shared" si="174"/>
        <v/>
      </c>
      <c r="T1119" t="str">
        <f t="shared" si="175"/>
        <v/>
      </c>
      <c r="U1119" t="str">
        <f t="shared" si="176"/>
        <v/>
      </c>
      <c r="V1119" t="str">
        <f t="shared" si="177"/>
        <v/>
      </c>
      <c r="W1119" t="str">
        <f t="shared" si="178"/>
        <v/>
      </c>
      <c r="X1119">
        <f>IF($T1119="",N($X1118),IF(MATCH($T1119,$T$6:$T$10005,0)=ROW()-5,N($X1118)+1,N($X1118)))</f>
        <v>0</v>
      </c>
      <c r="Z1119" t="str">
        <f t="shared" si="179"/>
        <v/>
      </c>
      <c r="AA1119">
        <f>IF($V1119="",N($AA1118),IF(MATCH($V1119,$V$6:$V$10005,0)=ROW()-5,N($AA1118)+1,N($AA1118)))</f>
        <v>0</v>
      </c>
    </row>
    <row r="1120" spans="1:27" ht="21" customHeight="1" x14ac:dyDescent="0.95">
      <c r="A1120" s="56"/>
      <c r="B1120" s="57"/>
      <c r="C1120" s="57"/>
      <c r="D1120" s="57"/>
      <c r="E1120" s="56"/>
      <c r="F1120" s="57"/>
      <c r="G1120" s="57"/>
      <c r="H1120" s="56"/>
      <c r="I1120" s="56"/>
      <c r="J1120" s="58"/>
      <c r="K1120" s="58"/>
      <c r="L1120" s="13" t="str">
        <f t="shared" si="170"/>
        <v/>
      </c>
      <c r="M1120" s="13" t="str">
        <f t="shared" si="171"/>
        <v/>
      </c>
      <c r="Q1120" t="str">
        <f t="shared" si="172"/>
        <v/>
      </c>
      <c r="R1120" t="str">
        <f t="shared" si="173"/>
        <v/>
      </c>
      <c r="S1120" t="str">
        <f t="shared" si="174"/>
        <v/>
      </c>
      <c r="T1120" t="str">
        <f t="shared" si="175"/>
        <v/>
      </c>
      <c r="U1120" t="str">
        <f t="shared" si="176"/>
        <v/>
      </c>
      <c r="V1120" t="str">
        <f t="shared" si="177"/>
        <v/>
      </c>
      <c r="W1120" t="str">
        <f t="shared" si="178"/>
        <v/>
      </c>
      <c r="X1120">
        <f>IF($T1120="",N($X1119),IF(MATCH($T1120,$T$6:$T$10005,0)=ROW()-5,N($X1119)+1,N($X1119)))</f>
        <v>0</v>
      </c>
      <c r="Z1120" t="str">
        <f t="shared" si="179"/>
        <v/>
      </c>
      <c r="AA1120">
        <f>IF($V1120="",N($AA1119),IF(MATCH($V1120,$V$6:$V$10005,0)=ROW()-5,N($AA1119)+1,N($AA1119)))</f>
        <v>0</v>
      </c>
    </row>
    <row r="1121" spans="1:27" ht="21" customHeight="1" x14ac:dyDescent="0.95">
      <c r="A1121" s="56"/>
      <c r="B1121" s="57"/>
      <c r="C1121" s="57"/>
      <c r="D1121" s="57"/>
      <c r="E1121" s="56"/>
      <c r="F1121" s="57"/>
      <c r="G1121" s="57"/>
      <c r="H1121" s="56"/>
      <c r="I1121" s="56"/>
      <c r="J1121" s="58"/>
      <c r="K1121" s="58"/>
      <c r="L1121" s="13" t="str">
        <f t="shared" si="170"/>
        <v/>
      </c>
      <c r="M1121" s="13" t="str">
        <f t="shared" si="171"/>
        <v/>
      </c>
      <c r="Q1121" t="str">
        <f t="shared" si="172"/>
        <v/>
      </c>
      <c r="R1121" t="str">
        <f t="shared" si="173"/>
        <v/>
      </c>
      <c r="S1121" t="str">
        <f t="shared" si="174"/>
        <v/>
      </c>
      <c r="T1121" t="str">
        <f t="shared" si="175"/>
        <v/>
      </c>
      <c r="U1121" t="str">
        <f t="shared" si="176"/>
        <v/>
      </c>
      <c r="V1121" t="str">
        <f t="shared" si="177"/>
        <v/>
      </c>
      <c r="W1121" t="str">
        <f t="shared" si="178"/>
        <v/>
      </c>
      <c r="X1121">
        <f>IF($T1121="",N($X1120),IF(MATCH($T1121,$T$6:$T$10005,0)=ROW()-5,N($X1120)+1,N($X1120)))</f>
        <v>0</v>
      </c>
      <c r="Z1121" t="str">
        <f t="shared" si="179"/>
        <v/>
      </c>
      <c r="AA1121">
        <f>IF($V1121="",N($AA1120),IF(MATCH($V1121,$V$6:$V$10005,0)=ROW()-5,N($AA1120)+1,N($AA1120)))</f>
        <v>0</v>
      </c>
    </row>
    <row r="1122" spans="1:27" ht="21" customHeight="1" x14ac:dyDescent="0.95">
      <c r="A1122" s="56"/>
      <c r="B1122" s="57"/>
      <c r="C1122" s="57"/>
      <c r="D1122" s="57"/>
      <c r="E1122" s="56"/>
      <c r="F1122" s="57"/>
      <c r="G1122" s="57"/>
      <c r="H1122" s="56"/>
      <c r="I1122" s="56"/>
      <c r="J1122" s="58"/>
      <c r="K1122" s="58"/>
      <c r="L1122" s="13" t="str">
        <f t="shared" si="170"/>
        <v/>
      </c>
      <c r="M1122" s="13" t="str">
        <f t="shared" si="171"/>
        <v/>
      </c>
      <c r="Q1122" t="str">
        <f t="shared" si="172"/>
        <v/>
      </c>
      <c r="R1122" t="str">
        <f t="shared" si="173"/>
        <v/>
      </c>
      <c r="S1122" t="str">
        <f t="shared" si="174"/>
        <v/>
      </c>
      <c r="T1122" t="str">
        <f t="shared" si="175"/>
        <v/>
      </c>
      <c r="U1122" t="str">
        <f t="shared" si="176"/>
        <v/>
      </c>
      <c r="V1122" t="str">
        <f t="shared" si="177"/>
        <v/>
      </c>
      <c r="W1122" t="str">
        <f t="shared" si="178"/>
        <v/>
      </c>
      <c r="X1122">
        <f>IF($T1122="",N($X1121),IF(MATCH($T1122,$T$6:$T$10005,0)=ROW()-5,N($X1121)+1,N($X1121)))</f>
        <v>0</v>
      </c>
      <c r="Z1122" t="str">
        <f t="shared" si="179"/>
        <v/>
      </c>
      <c r="AA1122">
        <f>IF($V1122="",N($AA1121),IF(MATCH($V1122,$V$6:$V$10005,0)=ROW()-5,N($AA1121)+1,N($AA1121)))</f>
        <v>0</v>
      </c>
    </row>
    <row r="1123" spans="1:27" ht="21" customHeight="1" x14ac:dyDescent="0.95">
      <c r="A1123" s="56"/>
      <c r="B1123" s="57"/>
      <c r="C1123" s="57"/>
      <c r="D1123" s="57"/>
      <c r="E1123" s="56"/>
      <c r="F1123" s="57"/>
      <c r="G1123" s="57"/>
      <c r="H1123" s="56"/>
      <c r="I1123" s="56"/>
      <c r="J1123" s="58"/>
      <c r="K1123" s="58"/>
      <c r="L1123" s="13" t="str">
        <f t="shared" si="170"/>
        <v/>
      </c>
      <c r="M1123" s="13" t="str">
        <f t="shared" si="171"/>
        <v/>
      </c>
      <c r="Q1123" t="str">
        <f t="shared" si="172"/>
        <v/>
      </c>
      <c r="R1123" t="str">
        <f t="shared" si="173"/>
        <v/>
      </c>
      <c r="S1123" t="str">
        <f t="shared" si="174"/>
        <v/>
      </c>
      <c r="T1123" t="str">
        <f t="shared" si="175"/>
        <v/>
      </c>
      <c r="U1123" t="str">
        <f t="shared" si="176"/>
        <v/>
      </c>
      <c r="V1123" t="str">
        <f t="shared" si="177"/>
        <v/>
      </c>
      <c r="W1123" t="str">
        <f t="shared" si="178"/>
        <v/>
      </c>
      <c r="X1123">
        <f>IF($T1123="",N($X1122),IF(MATCH($T1123,$T$6:$T$10005,0)=ROW()-5,N($X1122)+1,N($X1122)))</f>
        <v>0</v>
      </c>
      <c r="Z1123" t="str">
        <f t="shared" si="179"/>
        <v/>
      </c>
      <c r="AA1123">
        <f>IF($V1123="",N($AA1122),IF(MATCH($V1123,$V$6:$V$10005,0)=ROW()-5,N($AA1122)+1,N($AA1122)))</f>
        <v>0</v>
      </c>
    </row>
    <row r="1124" spans="1:27" ht="21" customHeight="1" x14ac:dyDescent="0.95">
      <c r="A1124" s="56"/>
      <c r="B1124" s="57"/>
      <c r="C1124" s="57"/>
      <c r="D1124" s="57"/>
      <c r="E1124" s="56"/>
      <c r="F1124" s="57"/>
      <c r="G1124" s="57"/>
      <c r="H1124" s="56"/>
      <c r="I1124" s="56"/>
      <c r="J1124" s="58"/>
      <c r="K1124" s="58"/>
      <c r="L1124" s="13" t="str">
        <f t="shared" si="170"/>
        <v/>
      </c>
      <c r="M1124" s="13" t="str">
        <f t="shared" si="171"/>
        <v/>
      </c>
      <c r="Q1124" t="str">
        <f t="shared" si="172"/>
        <v/>
      </c>
      <c r="R1124" t="str">
        <f t="shared" si="173"/>
        <v/>
      </c>
      <c r="S1124" t="str">
        <f t="shared" si="174"/>
        <v/>
      </c>
      <c r="T1124" t="str">
        <f t="shared" si="175"/>
        <v/>
      </c>
      <c r="U1124" t="str">
        <f t="shared" si="176"/>
        <v/>
      </c>
      <c r="V1124" t="str">
        <f t="shared" si="177"/>
        <v/>
      </c>
      <c r="W1124" t="str">
        <f t="shared" si="178"/>
        <v/>
      </c>
      <c r="X1124">
        <f>IF($T1124="",N($X1123),IF(MATCH($T1124,$T$6:$T$10005,0)=ROW()-5,N($X1123)+1,N($X1123)))</f>
        <v>0</v>
      </c>
      <c r="Z1124" t="str">
        <f t="shared" si="179"/>
        <v/>
      </c>
      <c r="AA1124">
        <f>IF($V1124="",N($AA1123),IF(MATCH($V1124,$V$6:$V$10005,0)=ROW()-5,N($AA1123)+1,N($AA1123)))</f>
        <v>0</v>
      </c>
    </row>
    <row r="1125" spans="1:27" ht="21" customHeight="1" x14ac:dyDescent="0.95">
      <c r="A1125" s="56"/>
      <c r="B1125" s="57"/>
      <c r="C1125" s="57"/>
      <c r="D1125" s="57"/>
      <c r="E1125" s="56"/>
      <c r="F1125" s="57"/>
      <c r="G1125" s="57"/>
      <c r="H1125" s="56"/>
      <c r="I1125" s="56"/>
      <c r="J1125" s="58"/>
      <c r="K1125" s="58"/>
      <c r="L1125" s="13" t="str">
        <f t="shared" si="170"/>
        <v/>
      </c>
      <c r="M1125" s="13" t="str">
        <f t="shared" si="171"/>
        <v/>
      </c>
      <c r="Q1125" t="str">
        <f t="shared" si="172"/>
        <v/>
      </c>
      <c r="R1125" t="str">
        <f t="shared" si="173"/>
        <v/>
      </c>
      <c r="S1125" t="str">
        <f t="shared" si="174"/>
        <v/>
      </c>
      <c r="T1125" t="str">
        <f t="shared" si="175"/>
        <v/>
      </c>
      <c r="U1125" t="str">
        <f t="shared" si="176"/>
        <v/>
      </c>
      <c r="V1125" t="str">
        <f t="shared" si="177"/>
        <v/>
      </c>
      <c r="W1125" t="str">
        <f t="shared" si="178"/>
        <v/>
      </c>
      <c r="X1125">
        <f>IF($T1125="",N($X1124),IF(MATCH($T1125,$T$6:$T$10005,0)=ROW()-5,N($X1124)+1,N($X1124)))</f>
        <v>0</v>
      </c>
      <c r="Z1125" t="str">
        <f t="shared" si="179"/>
        <v/>
      </c>
      <c r="AA1125">
        <f>IF($V1125="",N($AA1124),IF(MATCH($V1125,$V$6:$V$10005,0)=ROW()-5,N($AA1124)+1,N($AA1124)))</f>
        <v>0</v>
      </c>
    </row>
    <row r="1126" spans="1:27" ht="21" customHeight="1" x14ac:dyDescent="0.95">
      <c r="A1126" s="56"/>
      <c r="B1126" s="57"/>
      <c r="C1126" s="57"/>
      <c r="D1126" s="57"/>
      <c r="E1126" s="56"/>
      <c r="F1126" s="57"/>
      <c r="G1126" s="57"/>
      <c r="H1126" s="56"/>
      <c r="I1126" s="56"/>
      <c r="J1126" s="58"/>
      <c r="K1126" s="58"/>
      <c r="L1126" s="13" t="str">
        <f t="shared" si="170"/>
        <v/>
      </c>
      <c r="M1126" s="13" t="str">
        <f t="shared" si="171"/>
        <v/>
      </c>
      <c r="Q1126" t="str">
        <f t="shared" si="172"/>
        <v/>
      </c>
      <c r="R1126" t="str">
        <f t="shared" si="173"/>
        <v/>
      </c>
      <c r="S1126" t="str">
        <f t="shared" si="174"/>
        <v/>
      </c>
      <c r="T1126" t="str">
        <f t="shared" si="175"/>
        <v/>
      </c>
      <c r="U1126" t="str">
        <f t="shared" si="176"/>
        <v/>
      </c>
      <c r="V1126" t="str">
        <f t="shared" si="177"/>
        <v/>
      </c>
      <c r="W1126" t="str">
        <f t="shared" si="178"/>
        <v/>
      </c>
      <c r="X1126">
        <f>IF($T1126="",N($X1125),IF(MATCH($T1126,$T$6:$T$10005,0)=ROW()-5,N($X1125)+1,N($X1125)))</f>
        <v>0</v>
      </c>
      <c r="Z1126" t="str">
        <f t="shared" si="179"/>
        <v/>
      </c>
      <c r="AA1126">
        <f>IF($V1126="",N($AA1125),IF(MATCH($V1126,$V$6:$V$10005,0)=ROW()-5,N($AA1125)+1,N($AA1125)))</f>
        <v>0</v>
      </c>
    </row>
    <row r="1127" spans="1:27" ht="21" customHeight="1" x14ac:dyDescent="0.95">
      <c r="A1127" s="56"/>
      <c r="B1127" s="57"/>
      <c r="C1127" s="57"/>
      <c r="D1127" s="57"/>
      <c r="E1127" s="56"/>
      <c r="F1127" s="57"/>
      <c r="G1127" s="57"/>
      <c r="H1127" s="56"/>
      <c r="I1127" s="56"/>
      <c r="J1127" s="58"/>
      <c r="K1127" s="58"/>
      <c r="L1127" s="13" t="str">
        <f t="shared" si="170"/>
        <v/>
      </c>
      <c r="M1127" s="13" t="str">
        <f t="shared" si="171"/>
        <v/>
      </c>
      <c r="Q1127" t="str">
        <f t="shared" si="172"/>
        <v/>
      </c>
      <c r="R1127" t="str">
        <f t="shared" si="173"/>
        <v/>
      </c>
      <c r="S1127" t="str">
        <f t="shared" si="174"/>
        <v/>
      </c>
      <c r="T1127" t="str">
        <f t="shared" si="175"/>
        <v/>
      </c>
      <c r="U1127" t="str">
        <f t="shared" si="176"/>
        <v/>
      </c>
      <c r="V1127" t="str">
        <f t="shared" si="177"/>
        <v/>
      </c>
      <c r="W1127" t="str">
        <f t="shared" si="178"/>
        <v/>
      </c>
      <c r="X1127">
        <f>IF($T1127="",N($X1126),IF(MATCH($T1127,$T$6:$T$10005,0)=ROW()-5,N($X1126)+1,N($X1126)))</f>
        <v>0</v>
      </c>
      <c r="Z1127" t="str">
        <f t="shared" si="179"/>
        <v/>
      </c>
      <c r="AA1127">
        <f>IF($V1127="",N($AA1126),IF(MATCH($V1127,$V$6:$V$10005,0)=ROW()-5,N($AA1126)+1,N($AA1126)))</f>
        <v>0</v>
      </c>
    </row>
    <row r="1128" spans="1:27" ht="21" customHeight="1" x14ac:dyDescent="0.95">
      <c r="A1128" s="56"/>
      <c r="B1128" s="57"/>
      <c r="C1128" s="57"/>
      <c r="D1128" s="57"/>
      <c r="E1128" s="56"/>
      <c r="F1128" s="57"/>
      <c r="G1128" s="57"/>
      <c r="H1128" s="56"/>
      <c r="I1128" s="56"/>
      <c r="J1128" s="58"/>
      <c r="K1128" s="58"/>
      <c r="L1128" s="13" t="str">
        <f t="shared" si="170"/>
        <v/>
      </c>
      <c r="M1128" s="13" t="str">
        <f t="shared" si="171"/>
        <v/>
      </c>
      <c r="Q1128" t="str">
        <f t="shared" si="172"/>
        <v/>
      </c>
      <c r="R1128" t="str">
        <f t="shared" si="173"/>
        <v/>
      </c>
      <c r="S1128" t="str">
        <f t="shared" si="174"/>
        <v/>
      </c>
      <c r="T1128" t="str">
        <f t="shared" si="175"/>
        <v/>
      </c>
      <c r="U1128" t="str">
        <f t="shared" si="176"/>
        <v/>
      </c>
      <c r="V1128" t="str">
        <f t="shared" si="177"/>
        <v/>
      </c>
      <c r="W1128" t="str">
        <f t="shared" si="178"/>
        <v/>
      </c>
      <c r="X1128">
        <f>IF($T1128="",N($X1127),IF(MATCH($T1128,$T$6:$T$10005,0)=ROW()-5,N($X1127)+1,N($X1127)))</f>
        <v>0</v>
      </c>
      <c r="Z1128" t="str">
        <f t="shared" si="179"/>
        <v/>
      </c>
      <c r="AA1128">
        <f>IF($V1128="",N($AA1127),IF(MATCH($V1128,$V$6:$V$10005,0)=ROW()-5,N($AA1127)+1,N($AA1127)))</f>
        <v>0</v>
      </c>
    </row>
    <row r="1129" spans="1:27" ht="21" customHeight="1" x14ac:dyDescent="0.95">
      <c r="A1129" s="56"/>
      <c r="B1129" s="57"/>
      <c r="C1129" s="57"/>
      <c r="D1129" s="57"/>
      <c r="E1129" s="56"/>
      <c r="F1129" s="57"/>
      <c r="G1129" s="57"/>
      <c r="H1129" s="56"/>
      <c r="I1129" s="56"/>
      <c r="J1129" s="58"/>
      <c r="K1129" s="58"/>
      <c r="L1129" s="13" t="str">
        <f t="shared" si="170"/>
        <v/>
      </c>
      <c r="M1129" s="13" t="str">
        <f t="shared" si="171"/>
        <v/>
      </c>
      <c r="Q1129" t="str">
        <f t="shared" si="172"/>
        <v/>
      </c>
      <c r="R1129" t="str">
        <f t="shared" si="173"/>
        <v/>
      </c>
      <c r="S1129" t="str">
        <f t="shared" si="174"/>
        <v/>
      </c>
      <c r="T1129" t="str">
        <f t="shared" si="175"/>
        <v/>
      </c>
      <c r="U1129" t="str">
        <f t="shared" si="176"/>
        <v/>
      </c>
      <c r="V1129" t="str">
        <f t="shared" si="177"/>
        <v/>
      </c>
      <c r="W1129" t="str">
        <f t="shared" si="178"/>
        <v/>
      </c>
      <c r="X1129">
        <f>IF($T1129="",N($X1128),IF(MATCH($T1129,$T$6:$T$10005,0)=ROW()-5,N($X1128)+1,N($X1128)))</f>
        <v>0</v>
      </c>
      <c r="Z1129" t="str">
        <f t="shared" si="179"/>
        <v/>
      </c>
      <c r="AA1129">
        <f>IF($V1129="",N($AA1128),IF(MATCH($V1129,$V$6:$V$10005,0)=ROW()-5,N($AA1128)+1,N($AA1128)))</f>
        <v>0</v>
      </c>
    </row>
    <row r="1130" spans="1:27" ht="21" customHeight="1" x14ac:dyDescent="0.95">
      <c r="A1130" s="56"/>
      <c r="B1130" s="57"/>
      <c r="C1130" s="57"/>
      <c r="D1130" s="57"/>
      <c r="E1130" s="56"/>
      <c r="F1130" s="57"/>
      <c r="G1130" s="57"/>
      <c r="H1130" s="56"/>
      <c r="I1130" s="56"/>
      <c r="J1130" s="58"/>
      <c r="K1130" s="58"/>
      <c r="L1130" s="13" t="str">
        <f t="shared" si="170"/>
        <v/>
      </c>
      <c r="M1130" s="13" t="str">
        <f t="shared" si="171"/>
        <v/>
      </c>
      <c r="Q1130" t="str">
        <f t="shared" si="172"/>
        <v/>
      </c>
      <c r="R1130" t="str">
        <f t="shared" si="173"/>
        <v/>
      </c>
      <c r="S1130" t="str">
        <f t="shared" si="174"/>
        <v/>
      </c>
      <c r="T1130" t="str">
        <f t="shared" si="175"/>
        <v/>
      </c>
      <c r="U1130" t="str">
        <f t="shared" si="176"/>
        <v/>
      </c>
      <c r="V1130" t="str">
        <f t="shared" si="177"/>
        <v/>
      </c>
      <c r="W1130" t="str">
        <f t="shared" si="178"/>
        <v/>
      </c>
      <c r="X1130">
        <f>IF($T1130="",N($X1129),IF(MATCH($T1130,$T$6:$T$10005,0)=ROW()-5,N($X1129)+1,N($X1129)))</f>
        <v>0</v>
      </c>
      <c r="Z1130" t="str">
        <f t="shared" si="179"/>
        <v/>
      </c>
      <c r="AA1130">
        <f>IF($V1130="",N($AA1129),IF(MATCH($V1130,$V$6:$V$10005,0)=ROW()-5,N($AA1129)+1,N($AA1129)))</f>
        <v>0</v>
      </c>
    </row>
    <row r="1131" spans="1:27" ht="21" customHeight="1" x14ac:dyDescent="0.95">
      <c r="A1131" s="56"/>
      <c r="B1131" s="57"/>
      <c r="C1131" s="57"/>
      <c r="D1131" s="57"/>
      <c r="E1131" s="56"/>
      <c r="F1131" s="57"/>
      <c r="G1131" s="57"/>
      <c r="H1131" s="56"/>
      <c r="I1131" s="56"/>
      <c r="J1131" s="58"/>
      <c r="K1131" s="58"/>
      <c r="L1131" s="13" t="str">
        <f t="shared" si="170"/>
        <v/>
      </c>
      <c r="M1131" s="13" t="str">
        <f t="shared" si="171"/>
        <v/>
      </c>
      <c r="Q1131" t="str">
        <f t="shared" si="172"/>
        <v/>
      </c>
      <c r="R1131" t="str">
        <f t="shared" si="173"/>
        <v/>
      </c>
      <c r="S1131" t="str">
        <f t="shared" si="174"/>
        <v/>
      </c>
      <c r="T1131" t="str">
        <f t="shared" si="175"/>
        <v/>
      </c>
      <c r="U1131" t="str">
        <f t="shared" si="176"/>
        <v/>
      </c>
      <c r="V1131" t="str">
        <f t="shared" si="177"/>
        <v/>
      </c>
      <c r="W1131" t="str">
        <f t="shared" si="178"/>
        <v/>
      </c>
      <c r="X1131">
        <f>IF($T1131="",N($X1130),IF(MATCH($T1131,$T$6:$T$10005,0)=ROW()-5,N($X1130)+1,N($X1130)))</f>
        <v>0</v>
      </c>
      <c r="Z1131" t="str">
        <f t="shared" si="179"/>
        <v/>
      </c>
      <c r="AA1131">
        <f>IF($V1131="",N($AA1130),IF(MATCH($V1131,$V$6:$V$10005,0)=ROW()-5,N($AA1130)+1,N($AA1130)))</f>
        <v>0</v>
      </c>
    </row>
    <row r="1132" spans="1:27" ht="21" customHeight="1" x14ac:dyDescent="0.95">
      <c r="A1132" s="56"/>
      <c r="B1132" s="57"/>
      <c r="C1132" s="57"/>
      <c r="D1132" s="57"/>
      <c r="E1132" s="56"/>
      <c r="F1132" s="57"/>
      <c r="G1132" s="57"/>
      <c r="H1132" s="56"/>
      <c r="I1132" s="56"/>
      <c r="J1132" s="58"/>
      <c r="K1132" s="58"/>
      <c r="L1132" s="13" t="str">
        <f t="shared" si="170"/>
        <v/>
      </c>
      <c r="M1132" s="13" t="str">
        <f t="shared" si="171"/>
        <v/>
      </c>
      <c r="Q1132" t="str">
        <f t="shared" si="172"/>
        <v/>
      </c>
      <c r="R1132" t="str">
        <f t="shared" si="173"/>
        <v/>
      </c>
      <c r="S1132" t="str">
        <f t="shared" si="174"/>
        <v/>
      </c>
      <c r="T1132" t="str">
        <f t="shared" si="175"/>
        <v/>
      </c>
      <c r="U1132" t="str">
        <f t="shared" si="176"/>
        <v/>
      </c>
      <c r="V1132" t="str">
        <f t="shared" si="177"/>
        <v/>
      </c>
      <c r="W1132" t="str">
        <f t="shared" si="178"/>
        <v/>
      </c>
      <c r="X1132">
        <f>IF($T1132="",N($X1131),IF(MATCH($T1132,$T$6:$T$10005,0)=ROW()-5,N($X1131)+1,N($X1131)))</f>
        <v>0</v>
      </c>
      <c r="Z1132" t="str">
        <f t="shared" si="179"/>
        <v/>
      </c>
      <c r="AA1132">
        <f>IF($V1132="",N($AA1131),IF(MATCH($V1132,$V$6:$V$10005,0)=ROW()-5,N($AA1131)+1,N($AA1131)))</f>
        <v>0</v>
      </c>
    </row>
    <row r="1133" spans="1:27" ht="21" customHeight="1" x14ac:dyDescent="0.95">
      <c r="A1133" s="56"/>
      <c r="B1133" s="57"/>
      <c r="C1133" s="57"/>
      <c r="D1133" s="57"/>
      <c r="E1133" s="56"/>
      <c r="F1133" s="57"/>
      <c r="G1133" s="57"/>
      <c r="H1133" s="56"/>
      <c r="I1133" s="56"/>
      <c r="J1133" s="58"/>
      <c r="K1133" s="58"/>
      <c r="L1133" s="13" t="str">
        <f t="shared" si="170"/>
        <v/>
      </c>
      <c r="M1133" s="13" t="str">
        <f t="shared" si="171"/>
        <v/>
      </c>
      <c r="Q1133" t="str">
        <f t="shared" si="172"/>
        <v/>
      </c>
      <c r="R1133" t="str">
        <f t="shared" si="173"/>
        <v/>
      </c>
      <c r="S1133" t="str">
        <f t="shared" si="174"/>
        <v/>
      </c>
      <c r="T1133" t="str">
        <f t="shared" si="175"/>
        <v/>
      </c>
      <c r="U1133" t="str">
        <f t="shared" si="176"/>
        <v/>
      </c>
      <c r="V1133" t="str">
        <f t="shared" si="177"/>
        <v/>
      </c>
      <c r="W1133" t="str">
        <f t="shared" si="178"/>
        <v/>
      </c>
      <c r="X1133">
        <f>IF($T1133="",N($X1132),IF(MATCH($T1133,$T$6:$T$10005,0)=ROW()-5,N($X1132)+1,N($X1132)))</f>
        <v>0</v>
      </c>
      <c r="Z1133" t="str">
        <f t="shared" si="179"/>
        <v/>
      </c>
      <c r="AA1133">
        <f>IF($V1133="",N($AA1132),IF(MATCH($V1133,$V$6:$V$10005,0)=ROW()-5,N($AA1132)+1,N($AA1132)))</f>
        <v>0</v>
      </c>
    </row>
    <row r="1134" spans="1:27" ht="21" customHeight="1" x14ac:dyDescent="0.95">
      <c r="A1134" s="56"/>
      <c r="B1134" s="57"/>
      <c r="C1134" s="57"/>
      <c r="D1134" s="57"/>
      <c r="E1134" s="56"/>
      <c r="F1134" s="57"/>
      <c r="G1134" s="57"/>
      <c r="H1134" s="56"/>
      <c r="I1134" s="56"/>
      <c r="J1134" s="58"/>
      <c r="K1134" s="58"/>
      <c r="L1134" s="13" t="str">
        <f t="shared" si="170"/>
        <v/>
      </c>
      <c r="M1134" s="13" t="str">
        <f t="shared" si="171"/>
        <v/>
      </c>
      <c r="Q1134" t="str">
        <f t="shared" si="172"/>
        <v/>
      </c>
      <c r="R1134" t="str">
        <f t="shared" si="173"/>
        <v/>
      </c>
      <c r="S1134" t="str">
        <f t="shared" si="174"/>
        <v/>
      </c>
      <c r="T1134" t="str">
        <f t="shared" si="175"/>
        <v/>
      </c>
      <c r="U1134" t="str">
        <f t="shared" si="176"/>
        <v/>
      </c>
      <c r="V1134" t="str">
        <f t="shared" si="177"/>
        <v/>
      </c>
      <c r="W1134" t="str">
        <f t="shared" si="178"/>
        <v/>
      </c>
      <c r="X1134">
        <f>IF($T1134="",N($X1133),IF(MATCH($T1134,$T$6:$T$10005,0)=ROW()-5,N($X1133)+1,N($X1133)))</f>
        <v>0</v>
      </c>
      <c r="Z1134" t="str">
        <f t="shared" si="179"/>
        <v/>
      </c>
      <c r="AA1134">
        <f>IF($V1134="",N($AA1133),IF(MATCH($V1134,$V$6:$V$10005,0)=ROW()-5,N($AA1133)+1,N($AA1133)))</f>
        <v>0</v>
      </c>
    </row>
    <row r="1135" spans="1:27" ht="21" customHeight="1" x14ac:dyDescent="0.95">
      <c r="A1135" s="56"/>
      <c r="B1135" s="57"/>
      <c r="C1135" s="57"/>
      <c r="D1135" s="57"/>
      <c r="E1135" s="56"/>
      <c r="F1135" s="57"/>
      <c r="G1135" s="57"/>
      <c r="H1135" s="56"/>
      <c r="I1135" s="56"/>
      <c r="J1135" s="58"/>
      <c r="K1135" s="58"/>
      <c r="L1135" s="13" t="str">
        <f t="shared" si="170"/>
        <v/>
      </c>
      <c r="M1135" s="13" t="str">
        <f t="shared" si="171"/>
        <v/>
      </c>
      <c r="Q1135" t="str">
        <f t="shared" si="172"/>
        <v/>
      </c>
      <c r="R1135" t="str">
        <f t="shared" si="173"/>
        <v/>
      </c>
      <c r="S1135" t="str">
        <f t="shared" si="174"/>
        <v/>
      </c>
      <c r="T1135" t="str">
        <f t="shared" si="175"/>
        <v/>
      </c>
      <c r="U1135" t="str">
        <f t="shared" si="176"/>
        <v/>
      </c>
      <c r="V1135" t="str">
        <f t="shared" si="177"/>
        <v/>
      </c>
      <c r="W1135" t="str">
        <f t="shared" si="178"/>
        <v/>
      </c>
      <c r="X1135">
        <f>IF($T1135="",N($X1134),IF(MATCH($T1135,$T$6:$T$10005,0)=ROW()-5,N($X1134)+1,N($X1134)))</f>
        <v>0</v>
      </c>
      <c r="Z1135" t="str">
        <f t="shared" si="179"/>
        <v/>
      </c>
      <c r="AA1135">
        <f>IF($V1135="",N($AA1134),IF(MATCH($V1135,$V$6:$V$10005,0)=ROW()-5,N($AA1134)+1,N($AA1134)))</f>
        <v>0</v>
      </c>
    </row>
    <row r="1136" spans="1:27" ht="21" customHeight="1" x14ac:dyDescent="0.95">
      <c r="A1136" s="56"/>
      <c r="B1136" s="57"/>
      <c r="C1136" s="57"/>
      <c r="D1136" s="57"/>
      <c r="E1136" s="56"/>
      <c r="F1136" s="57"/>
      <c r="G1136" s="57"/>
      <c r="H1136" s="56"/>
      <c r="I1136" s="56"/>
      <c r="J1136" s="58"/>
      <c r="K1136" s="58"/>
      <c r="L1136" s="13" t="str">
        <f t="shared" si="170"/>
        <v/>
      </c>
      <c r="M1136" s="13" t="str">
        <f t="shared" si="171"/>
        <v/>
      </c>
      <c r="Q1136" t="str">
        <f t="shared" si="172"/>
        <v/>
      </c>
      <c r="R1136" t="str">
        <f t="shared" si="173"/>
        <v/>
      </c>
      <c r="S1136" t="str">
        <f t="shared" si="174"/>
        <v/>
      </c>
      <c r="T1136" t="str">
        <f t="shared" si="175"/>
        <v/>
      </c>
      <c r="U1136" t="str">
        <f t="shared" si="176"/>
        <v/>
      </c>
      <c r="V1136" t="str">
        <f t="shared" si="177"/>
        <v/>
      </c>
      <c r="W1136" t="str">
        <f t="shared" si="178"/>
        <v/>
      </c>
      <c r="X1136">
        <f>IF($T1136="",N($X1135),IF(MATCH($T1136,$T$6:$T$10005,0)=ROW()-5,N($X1135)+1,N($X1135)))</f>
        <v>0</v>
      </c>
      <c r="Z1136" t="str">
        <f t="shared" si="179"/>
        <v/>
      </c>
      <c r="AA1136">
        <f>IF($V1136="",N($AA1135),IF(MATCH($V1136,$V$6:$V$10005,0)=ROW()-5,N($AA1135)+1,N($AA1135)))</f>
        <v>0</v>
      </c>
    </row>
    <row r="1137" spans="1:27" ht="21" customHeight="1" x14ac:dyDescent="0.95">
      <c r="A1137" s="56"/>
      <c r="B1137" s="57"/>
      <c r="C1137" s="57"/>
      <c r="D1137" s="57"/>
      <c r="E1137" s="56"/>
      <c r="F1137" s="57"/>
      <c r="G1137" s="57"/>
      <c r="H1137" s="56"/>
      <c r="I1137" s="56"/>
      <c r="J1137" s="58"/>
      <c r="K1137" s="58"/>
      <c r="L1137" s="13" t="str">
        <f t="shared" si="170"/>
        <v/>
      </c>
      <c r="M1137" s="13" t="str">
        <f t="shared" si="171"/>
        <v/>
      </c>
      <c r="Q1137" t="str">
        <f t="shared" si="172"/>
        <v/>
      </c>
      <c r="R1137" t="str">
        <f t="shared" si="173"/>
        <v/>
      </c>
      <c r="S1137" t="str">
        <f t="shared" si="174"/>
        <v/>
      </c>
      <c r="T1137" t="str">
        <f t="shared" si="175"/>
        <v/>
      </c>
      <c r="U1137" t="str">
        <f t="shared" si="176"/>
        <v/>
      </c>
      <c r="V1137" t="str">
        <f t="shared" si="177"/>
        <v/>
      </c>
      <c r="W1137" t="str">
        <f t="shared" si="178"/>
        <v/>
      </c>
      <c r="X1137">
        <f>IF($T1137="",N($X1136),IF(MATCH($T1137,$T$6:$T$10005,0)=ROW()-5,N($X1136)+1,N($X1136)))</f>
        <v>0</v>
      </c>
      <c r="Z1137" t="str">
        <f t="shared" si="179"/>
        <v/>
      </c>
      <c r="AA1137">
        <f>IF($V1137="",N($AA1136),IF(MATCH($V1137,$V$6:$V$10005,0)=ROW()-5,N($AA1136)+1,N($AA1136)))</f>
        <v>0</v>
      </c>
    </row>
    <row r="1138" spans="1:27" ht="21" customHeight="1" x14ac:dyDescent="0.95">
      <c r="A1138" s="56"/>
      <c r="B1138" s="57"/>
      <c r="C1138" s="57"/>
      <c r="D1138" s="57"/>
      <c r="E1138" s="56"/>
      <c r="F1138" s="57"/>
      <c r="G1138" s="57"/>
      <c r="H1138" s="56"/>
      <c r="I1138" s="56"/>
      <c r="J1138" s="58"/>
      <c r="K1138" s="58"/>
      <c r="L1138" s="13" t="str">
        <f t="shared" si="170"/>
        <v/>
      </c>
      <c r="M1138" s="13" t="str">
        <f t="shared" si="171"/>
        <v/>
      </c>
      <c r="Q1138" t="str">
        <f t="shared" si="172"/>
        <v/>
      </c>
      <c r="R1138" t="str">
        <f t="shared" si="173"/>
        <v/>
      </c>
      <c r="S1138" t="str">
        <f t="shared" si="174"/>
        <v/>
      </c>
      <c r="T1138" t="str">
        <f t="shared" si="175"/>
        <v/>
      </c>
      <c r="U1138" t="str">
        <f t="shared" si="176"/>
        <v/>
      </c>
      <c r="V1138" t="str">
        <f t="shared" si="177"/>
        <v/>
      </c>
      <c r="W1138" t="str">
        <f t="shared" si="178"/>
        <v/>
      </c>
      <c r="X1138">
        <f>IF($T1138="",N($X1137),IF(MATCH($T1138,$T$6:$T$10005,0)=ROW()-5,N($X1137)+1,N($X1137)))</f>
        <v>0</v>
      </c>
      <c r="Z1138" t="str">
        <f t="shared" si="179"/>
        <v/>
      </c>
      <c r="AA1138">
        <f>IF($V1138="",N($AA1137),IF(MATCH($V1138,$V$6:$V$10005,0)=ROW()-5,N($AA1137)+1,N($AA1137)))</f>
        <v>0</v>
      </c>
    </row>
    <row r="1139" spans="1:27" ht="21" customHeight="1" x14ac:dyDescent="0.95">
      <c r="A1139" s="56"/>
      <c r="B1139" s="57"/>
      <c r="C1139" s="57"/>
      <c r="D1139" s="57"/>
      <c r="E1139" s="56"/>
      <c r="F1139" s="57"/>
      <c r="G1139" s="57"/>
      <c r="H1139" s="56"/>
      <c r="I1139" s="56"/>
      <c r="J1139" s="58"/>
      <c r="K1139" s="58"/>
      <c r="L1139" s="13" t="str">
        <f t="shared" si="170"/>
        <v/>
      </c>
      <c r="M1139" s="13" t="str">
        <f t="shared" si="171"/>
        <v/>
      </c>
      <c r="Q1139" t="str">
        <f t="shared" si="172"/>
        <v/>
      </c>
      <c r="R1139" t="str">
        <f t="shared" si="173"/>
        <v/>
      </c>
      <c r="S1139" t="str">
        <f t="shared" si="174"/>
        <v/>
      </c>
      <c r="T1139" t="str">
        <f t="shared" si="175"/>
        <v/>
      </c>
      <c r="U1139" t="str">
        <f t="shared" si="176"/>
        <v/>
      </c>
      <c r="V1139" t="str">
        <f t="shared" si="177"/>
        <v/>
      </c>
      <c r="W1139" t="str">
        <f t="shared" si="178"/>
        <v/>
      </c>
      <c r="X1139">
        <f>IF($T1139="",N($X1138),IF(MATCH($T1139,$T$6:$T$10005,0)=ROW()-5,N($X1138)+1,N($X1138)))</f>
        <v>0</v>
      </c>
      <c r="Z1139" t="str">
        <f t="shared" si="179"/>
        <v/>
      </c>
      <c r="AA1139">
        <f>IF($V1139="",N($AA1138),IF(MATCH($V1139,$V$6:$V$10005,0)=ROW()-5,N($AA1138)+1,N($AA1138)))</f>
        <v>0</v>
      </c>
    </row>
    <row r="1140" spans="1:27" ht="21" customHeight="1" x14ac:dyDescent="0.95">
      <c r="A1140" s="56"/>
      <c r="B1140" s="57"/>
      <c r="C1140" s="57"/>
      <c r="D1140" s="57"/>
      <c r="E1140" s="56"/>
      <c r="F1140" s="57"/>
      <c r="G1140" s="57"/>
      <c r="H1140" s="56"/>
      <c r="I1140" s="56"/>
      <c r="J1140" s="58"/>
      <c r="K1140" s="58"/>
      <c r="L1140" s="13" t="str">
        <f t="shared" si="170"/>
        <v/>
      </c>
      <c r="M1140" s="13" t="str">
        <f t="shared" si="171"/>
        <v/>
      </c>
      <c r="Q1140" t="str">
        <f t="shared" si="172"/>
        <v/>
      </c>
      <c r="R1140" t="str">
        <f t="shared" si="173"/>
        <v/>
      </c>
      <c r="S1140" t="str">
        <f t="shared" si="174"/>
        <v/>
      </c>
      <c r="T1140" t="str">
        <f t="shared" si="175"/>
        <v/>
      </c>
      <c r="U1140" t="str">
        <f t="shared" si="176"/>
        <v/>
      </c>
      <c r="V1140" t="str">
        <f t="shared" si="177"/>
        <v/>
      </c>
      <c r="W1140" t="str">
        <f t="shared" si="178"/>
        <v/>
      </c>
      <c r="X1140">
        <f>IF($T1140="",N($X1139),IF(MATCH($T1140,$T$6:$T$10005,0)=ROW()-5,N($X1139)+1,N($X1139)))</f>
        <v>0</v>
      </c>
      <c r="Z1140" t="str">
        <f t="shared" si="179"/>
        <v/>
      </c>
      <c r="AA1140">
        <f>IF($V1140="",N($AA1139),IF(MATCH($V1140,$V$6:$V$10005,0)=ROW()-5,N($AA1139)+1,N($AA1139)))</f>
        <v>0</v>
      </c>
    </row>
    <row r="1141" spans="1:27" ht="21" customHeight="1" x14ac:dyDescent="0.95">
      <c r="A1141" s="56"/>
      <c r="B1141" s="57"/>
      <c r="C1141" s="57"/>
      <c r="D1141" s="57"/>
      <c r="E1141" s="56"/>
      <c r="F1141" s="57"/>
      <c r="G1141" s="57"/>
      <c r="H1141" s="56"/>
      <c r="I1141" s="56"/>
      <c r="J1141" s="58"/>
      <c r="K1141" s="58"/>
      <c r="L1141" s="13" t="str">
        <f t="shared" si="170"/>
        <v/>
      </c>
      <c r="M1141" s="13" t="str">
        <f t="shared" si="171"/>
        <v/>
      </c>
      <c r="Q1141" t="str">
        <f t="shared" si="172"/>
        <v/>
      </c>
      <c r="R1141" t="str">
        <f t="shared" si="173"/>
        <v/>
      </c>
      <c r="S1141" t="str">
        <f t="shared" si="174"/>
        <v/>
      </c>
      <c r="T1141" t="str">
        <f t="shared" si="175"/>
        <v/>
      </c>
      <c r="U1141" t="str">
        <f t="shared" si="176"/>
        <v/>
      </c>
      <c r="V1141" t="str">
        <f t="shared" si="177"/>
        <v/>
      </c>
      <c r="W1141" t="str">
        <f t="shared" si="178"/>
        <v/>
      </c>
      <c r="X1141">
        <f>IF($T1141="",N($X1140),IF(MATCH($T1141,$T$6:$T$10005,0)=ROW()-5,N($X1140)+1,N($X1140)))</f>
        <v>0</v>
      </c>
      <c r="Z1141" t="str">
        <f t="shared" si="179"/>
        <v/>
      </c>
      <c r="AA1141">
        <f>IF($V1141="",N($AA1140),IF(MATCH($V1141,$V$6:$V$10005,0)=ROW()-5,N($AA1140)+1,N($AA1140)))</f>
        <v>0</v>
      </c>
    </row>
    <row r="1142" spans="1:27" ht="21" customHeight="1" x14ac:dyDescent="0.95">
      <c r="A1142" s="56"/>
      <c r="B1142" s="57"/>
      <c r="C1142" s="57"/>
      <c r="D1142" s="57"/>
      <c r="E1142" s="56"/>
      <c r="F1142" s="57"/>
      <c r="G1142" s="57"/>
      <c r="H1142" s="56"/>
      <c r="I1142" s="56"/>
      <c r="J1142" s="58"/>
      <c r="K1142" s="58"/>
      <c r="L1142" s="13" t="str">
        <f t="shared" si="170"/>
        <v/>
      </c>
      <c r="M1142" s="13" t="str">
        <f t="shared" si="171"/>
        <v/>
      </c>
      <c r="Q1142" t="str">
        <f t="shared" si="172"/>
        <v/>
      </c>
      <c r="R1142" t="str">
        <f t="shared" si="173"/>
        <v/>
      </c>
      <c r="S1142" t="str">
        <f t="shared" si="174"/>
        <v/>
      </c>
      <c r="T1142" t="str">
        <f t="shared" si="175"/>
        <v/>
      </c>
      <c r="U1142" t="str">
        <f t="shared" si="176"/>
        <v/>
      </c>
      <c r="V1142" t="str">
        <f t="shared" si="177"/>
        <v/>
      </c>
      <c r="W1142" t="str">
        <f t="shared" si="178"/>
        <v/>
      </c>
      <c r="X1142">
        <f>IF($T1142="",N($X1141),IF(MATCH($T1142,$T$6:$T$10005,0)=ROW()-5,N($X1141)+1,N($X1141)))</f>
        <v>0</v>
      </c>
      <c r="Z1142" t="str">
        <f t="shared" si="179"/>
        <v/>
      </c>
      <c r="AA1142">
        <f>IF($V1142="",N($AA1141),IF(MATCH($V1142,$V$6:$V$10005,0)=ROW()-5,N($AA1141)+1,N($AA1141)))</f>
        <v>0</v>
      </c>
    </row>
    <row r="1143" spans="1:27" ht="21" customHeight="1" x14ac:dyDescent="0.95">
      <c r="A1143" s="56"/>
      <c r="B1143" s="57"/>
      <c r="C1143" s="57"/>
      <c r="D1143" s="57"/>
      <c r="E1143" s="56"/>
      <c r="F1143" s="57"/>
      <c r="G1143" s="57"/>
      <c r="H1143" s="56"/>
      <c r="I1143" s="56"/>
      <c r="J1143" s="58"/>
      <c r="K1143" s="58"/>
      <c r="L1143" s="13" t="str">
        <f t="shared" si="170"/>
        <v/>
      </c>
      <c r="M1143" s="13" t="str">
        <f t="shared" si="171"/>
        <v/>
      </c>
      <c r="Q1143" t="str">
        <f t="shared" si="172"/>
        <v/>
      </c>
      <c r="R1143" t="str">
        <f t="shared" si="173"/>
        <v/>
      </c>
      <c r="S1143" t="str">
        <f t="shared" si="174"/>
        <v/>
      </c>
      <c r="T1143" t="str">
        <f t="shared" si="175"/>
        <v/>
      </c>
      <c r="U1143" t="str">
        <f t="shared" si="176"/>
        <v/>
      </c>
      <c r="V1143" t="str">
        <f t="shared" si="177"/>
        <v/>
      </c>
      <c r="W1143" t="str">
        <f t="shared" si="178"/>
        <v/>
      </c>
      <c r="X1143">
        <f>IF($T1143="",N($X1142),IF(MATCH($T1143,$T$6:$T$10005,0)=ROW()-5,N($X1142)+1,N($X1142)))</f>
        <v>0</v>
      </c>
      <c r="Z1143" t="str">
        <f t="shared" si="179"/>
        <v/>
      </c>
      <c r="AA1143">
        <f>IF($V1143="",N($AA1142),IF(MATCH($V1143,$V$6:$V$10005,0)=ROW()-5,N($AA1142)+1,N($AA1142)))</f>
        <v>0</v>
      </c>
    </row>
    <row r="1144" spans="1:27" ht="21" customHeight="1" x14ac:dyDescent="0.95">
      <c r="A1144" s="56"/>
      <c r="B1144" s="57"/>
      <c r="C1144" s="57"/>
      <c r="D1144" s="57"/>
      <c r="E1144" s="56"/>
      <c r="F1144" s="57"/>
      <c r="G1144" s="57"/>
      <c r="H1144" s="56"/>
      <c r="I1144" s="56"/>
      <c r="J1144" s="58"/>
      <c r="K1144" s="58"/>
      <c r="L1144" s="13" t="str">
        <f t="shared" si="170"/>
        <v/>
      </c>
      <c r="M1144" s="13" t="str">
        <f t="shared" si="171"/>
        <v/>
      </c>
      <c r="Q1144" t="str">
        <f t="shared" si="172"/>
        <v/>
      </c>
      <c r="R1144" t="str">
        <f t="shared" si="173"/>
        <v/>
      </c>
      <c r="S1144" t="str">
        <f t="shared" si="174"/>
        <v/>
      </c>
      <c r="T1144" t="str">
        <f t="shared" si="175"/>
        <v/>
      </c>
      <c r="U1144" t="str">
        <f t="shared" si="176"/>
        <v/>
      </c>
      <c r="V1144" t="str">
        <f t="shared" si="177"/>
        <v/>
      </c>
      <c r="W1144" t="str">
        <f t="shared" si="178"/>
        <v/>
      </c>
      <c r="X1144">
        <f>IF($T1144="",N($X1143),IF(MATCH($T1144,$T$6:$T$10005,0)=ROW()-5,N($X1143)+1,N($X1143)))</f>
        <v>0</v>
      </c>
      <c r="Z1144" t="str">
        <f t="shared" si="179"/>
        <v/>
      </c>
      <c r="AA1144">
        <f>IF($V1144="",N($AA1143),IF(MATCH($V1144,$V$6:$V$10005,0)=ROW()-5,N($AA1143)+1,N($AA1143)))</f>
        <v>0</v>
      </c>
    </row>
    <row r="1145" spans="1:27" ht="21" customHeight="1" x14ac:dyDescent="0.95">
      <c r="A1145" s="56"/>
      <c r="B1145" s="57"/>
      <c r="C1145" s="57"/>
      <c r="D1145" s="57"/>
      <c r="E1145" s="56"/>
      <c r="F1145" s="57"/>
      <c r="G1145" s="57"/>
      <c r="H1145" s="56"/>
      <c r="I1145" s="56"/>
      <c r="J1145" s="58"/>
      <c r="K1145" s="58"/>
      <c r="L1145" s="13" t="str">
        <f t="shared" si="170"/>
        <v/>
      </c>
      <c r="M1145" s="13" t="str">
        <f t="shared" si="171"/>
        <v/>
      </c>
      <c r="Q1145" t="str">
        <f t="shared" si="172"/>
        <v/>
      </c>
      <c r="R1145" t="str">
        <f t="shared" si="173"/>
        <v/>
      </c>
      <c r="S1145" t="str">
        <f t="shared" si="174"/>
        <v/>
      </c>
      <c r="T1145" t="str">
        <f t="shared" si="175"/>
        <v/>
      </c>
      <c r="U1145" t="str">
        <f t="shared" si="176"/>
        <v/>
      </c>
      <c r="V1145" t="str">
        <f t="shared" si="177"/>
        <v/>
      </c>
      <c r="W1145" t="str">
        <f t="shared" si="178"/>
        <v/>
      </c>
      <c r="X1145">
        <f>IF($T1145="",N($X1144),IF(MATCH($T1145,$T$6:$T$10005,0)=ROW()-5,N($X1144)+1,N($X1144)))</f>
        <v>0</v>
      </c>
      <c r="Z1145" t="str">
        <f t="shared" si="179"/>
        <v/>
      </c>
      <c r="AA1145">
        <f>IF($V1145="",N($AA1144),IF(MATCH($V1145,$V$6:$V$10005,0)=ROW()-5,N($AA1144)+1,N($AA1144)))</f>
        <v>0</v>
      </c>
    </row>
    <row r="1146" spans="1:27" ht="21" customHeight="1" x14ac:dyDescent="0.95">
      <c r="A1146" s="56"/>
      <c r="B1146" s="57"/>
      <c r="C1146" s="57"/>
      <c r="D1146" s="57"/>
      <c r="E1146" s="56"/>
      <c r="F1146" s="57"/>
      <c r="G1146" s="57"/>
      <c r="H1146" s="56"/>
      <c r="I1146" s="56"/>
      <c r="J1146" s="58"/>
      <c r="K1146" s="58"/>
      <c r="L1146" s="13" t="str">
        <f t="shared" si="170"/>
        <v/>
      </c>
      <c r="M1146" s="13" t="str">
        <f t="shared" si="171"/>
        <v/>
      </c>
      <c r="Q1146" t="str">
        <f t="shared" si="172"/>
        <v/>
      </c>
      <c r="R1146" t="str">
        <f t="shared" si="173"/>
        <v/>
      </c>
      <c r="S1146" t="str">
        <f t="shared" si="174"/>
        <v/>
      </c>
      <c r="T1146" t="str">
        <f t="shared" si="175"/>
        <v/>
      </c>
      <c r="U1146" t="str">
        <f t="shared" si="176"/>
        <v/>
      </c>
      <c r="V1146" t="str">
        <f t="shared" si="177"/>
        <v/>
      </c>
      <c r="W1146" t="str">
        <f t="shared" si="178"/>
        <v/>
      </c>
      <c r="X1146">
        <f>IF($T1146="",N($X1145),IF(MATCH($T1146,$T$6:$T$10005,0)=ROW()-5,N($X1145)+1,N($X1145)))</f>
        <v>0</v>
      </c>
      <c r="Z1146" t="str">
        <f t="shared" si="179"/>
        <v/>
      </c>
      <c r="AA1146">
        <f>IF($V1146="",N($AA1145),IF(MATCH($V1146,$V$6:$V$10005,0)=ROW()-5,N($AA1145)+1,N($AA1145)))</f>
        <v>0</v>
      </c>
    </row>
    <row r="1147" spans="1:27" ht="21" customHeight="1" x14ac:dyDescent="0.95">
      <c r="A1147" s="56"/>
      <c r="B1147" s="57"/>
      <c r="C1147" s="57"/>
      <c r="D1147" s="57"/>
      <c r="E1147" s="56"/>
      <c r="F1147" s="57"/>
      <c r="G1147" s="57"/>
      <c r="H1147" s="56"/>
      <c r="I1147" s="56"/>
      <c r="J1147" s="58"/>
      <c r="K1147" s="58"/>
      <c r="L1147" s="13" t="str">
        <f t="shared" si="170"/>
        <v/>
      </c>
      <c r="M1147" s="13" t="str">
        <f t="shared" si="171"/>
        <v/>
      </c>
      <c r="Q1147" t="str">
        <f t="shared" si="172"/>
        <v/>
      </c>
      <c r="R1147" t="str">
        <f t="shared" si="173"/>
        <v/>
      </c>
      <c r="S1147" t="str">
        <f t="shared" si="174"/>
        <v/>
      </c>
      <c r="T1147" t="str">
        <f t="shared" si="175"/>
        <v/>
      </c>
      <c r="U1147" t="str">
        <f t="shared" si="176"/>
        <v/>
      </c>
      <c r="V1147" t="str">
        <f t="shared" si="177"/>
        <v/>
      </c>
      <c r="W1147" t="str">
        <f t="shared" si="178"/>
        <v/>
      </c>
      <c r="X1147">
        <f>IF($T1147="",N($X1146),IF(MATCH($T1147,$T$6:$T$10005,0)=ROW()-5,N($X1146)+1,N($X1146)))</f>
        <v>0</v>
      </c>
      <c r="Z1147" t="str">
        <f t="shared" si="179"/>
        <v/>
      </c>
      <c r="AA1147">
        <f>IF($V1147="",N($AA1146),IF(MATCH($V1147,$V$6:$V$10005,0)=ROW()-5,N($AA1146)+1,N($AA1146)))</f>
        <v>0</v>
      </c>
    </row>
    <row r="1148" spans="1:27" ht="21" customHeight="1" x14ac:dyDescent="0.95">
      <c r="A1148" s="56"/>
      <c r="B1148" s="57"/>
      <c r="C1148" s="57"/>
      <c r="D1148" s="57"/>
      <c r="E1148" s="56"/>
      <c r="F1148" s="57"/>
      <c r="G1148" s="57"/>
      <c r="H1148" s="56"/>
      <c r="I1148" s="56"/>
      <c r="J1148" s="58"/>
      <c r="K1148" s="58"/>
      <c r="L1148" s="13" t="str">
        <f t="shared" si="170"/>
        <v/>
      </c>
      <c r="M1148" s="13" t="str">
        <f t="shared" si="171"/>
        <v/>
      </c>
      <c r="Q1148" t="str">
        <f t="shared" si="172"/>
        <v/>
      </c>
      <c r="R1148" t="str">
        <f t="shared" si="173"/>
        <v/>
      </c>
      <c r="S1148" t="str">
        <f t="shared" si="174"/>
        <v/>
      </c>
      <c r="T1148" t="str">
        <f t="shared" si="175"/>
        <v/>
      </c>
      <c r="U1148" t="str">
        <f t="shared" si="176"/>
        <v/>
      </c>
      <c r="V1148" t="str">
        <f t="shared" si="177"/>
        <v/>
      </c>
      <c r="W1148" t="str">
        <f t="shared" si="178"/>
        <v/>
      </c>
      <c r="X1148">
        <f>IF($T1148="",N($X1147),IF(MATCH($T1148,$T$6:$T$10005,0)=ROW()-5,N($X1147)+1,N($X1147)))</f>
        <v>0</v>
      </c>
      <c r="Z1148" t="str">
        <f t="shared" si="179"/>
        <v/>
      </c>
      <c r="AA1148">
        <f>IF($V1148="",N($AA1147),IF(MATCH($V1148,$V$6:$V$10005,0)=ROW()-5,N($AA1147)+1,N($AA1147)))</f>
        <v>0</v>
      </c>
    </row>
    <row r="1149" spans="1:27" ht="21" customHeight="1" x14ac:dyDescent="0.95">
      <c r="A1149" s="56"/>
      <c r="B1149" s="57"/>
      <c r="C1149" s="57"/>
      <c r="D1149" s="57"/>
      <c r="E1149" s="56"/>
      <c r="F1149" s="57"/>
      <c r="G1149" s="57"/>
      <c r="H1149" s="56"/>
      <c r="I1149" s="56"/>
      <c r="J1149" s="58"/>
      <c r="K1149" s="58"/>
      <c r="L1149" s="13" t="str">
        <f t="shared" si="170"/>
        <v/>
      </c>
      <c r="M1149" s="13" t="str">
        <f t="shared" si="171"/>
        <v/>
      </c>
      <c r="Q1149" t="str">
        <f t="shared" si="172"/>
        <v/>
      </c>
      <c r="R1149" t="str">
        <f t="shared" si="173"/>
        <v/>
      </c>
      <c r="S1149" t="str">
        <f t="shared" si="174"/>
        <v/>
      </c>
      <c r="T1149" t="str">
        <f t="shared" si="175"/>
        <v/>
      </c>
      <c r="U1149" t="str">
        <f t="shared" si="176"/>
        <v/>
      </c>
      <c r="V1149" t="str">
        <f t="shared" si="177"/>
        <v/>
      </c>
      <c r="W1149" t="str">
        <f t="shared" si="178"/>
        <v/>
      </c>
      <c r="X1149">
        <f>IF($T1149="",N($X1148),IF(MATCH($T1149,$T$6:$T$10005,0)=ROW()-5,N($X1148)+1,N($X1148)))</f>
        <v>0</v>
      </c>
      <c r="Z1149" t="str">
        <f t="shared" si="179"/>
        <v/>
      </c>
      <c r="AA1149">
        <f>IF($V1149="",N($AA1148),IF(MATCH($V1149,$V$6:$V$10005,0)=ROW()-5,N($AA1148)+1,N($AA1148)))</f>
        <v>0</v>
      </c>
    </row>
    <row r="1150" spans="1:27" ht="21" customHeight="1" x14ac:dyDescent="0.95">
      <c r="A1150" s="56"/>
      <c r="B1150" s="57"/>
      <c r="C1150" s="57"/>
      <c r="D1150" s="57"/>
      <c r="E1150" s="56"/>
      <c r="F1150" s="57"/>
      <c r="G1150" s="57"/>
      <c r="H1150" s="56"/>
      <c r="I1150" s="56"/>
      <c r="J1150" s="58"/>
      <c r="K1150" s="58"/>
      <c r="L1150" s="13" t="str">
        <f t="shared" si="170"/>
        <v/>
      </c>
      <c r="M1150" s="13" t="str">
        <f t="shared" si="171"/>
        <v/>
      </c>
      <c r="Q1150" t="str">
        <f t="shared" si="172"/>
        <v/>
      </c>
      <c r="R1150" t="str">
        <f t="shared" si="173"/>
        <v/>
      </c>
      <c r="S1150" t="str">
        <f t="shared" si="174"/>
        <v/>
      </c>
      <c r="T1150" t="str">
        <f t="shared" si="175"/>
        <v/>
      </c>
      <c r="U1150" t="str">
        <f t="shared" si="176"/>
        <v/>
      </c>
      <c r="V1150" t="str">
        <f t="shared" si="177"/>
        <v/>
      </c>
      <c r="W1150" t="str">
        <f t="shared" si="178"/>
        <v/>
      </c>
      <c r="X1150">
        <f>IF($T1150="",N($X1149),IF(MATCH($T1150,$T$6:$T$10005,0)=ROW()-5,N($X1149)+1,N($X1149)))</f>
        <v>0</v>
      </c>
      <c r="Z1150" t="str">
        <f t="shared" si="179"/>
        <v/>
      </c>
      <c r="AA1150">
        <f>IF($V1150="",N($AA1149),IF(MATCH($V1150,$V$6:$V$10005,0)=ROW()-5,N($AA1149)+1,N($AA1149)))</f>
        <v>0</v>
      </c>
    </row>
    <row r="1151" spans="1:27" ht="21" customHeight="1" x14ac:dyDescent="0.95">
      <c r="A1151" s="56"/>
      <c r="B1151" s="57"/>
      <c r="C1151" s="57"/>
      <c r="D1151" s="57"/>
      <c r="E1151" s="56"/>
      <c r="F1151" s="57"/>
      <c r="G1151" s="57"/>
      <c r="H1151" s="56"/>
      <c r="I1151" s="56"/>
      <c r="J1151" s="58"/>
      <c r="K1151" s="58"/>
      <c r="L1151" s="13" t="str">
        <f t="shared" si="170"/>
        <v/>
      </c>
      <c r="M1151" s="13" t="str">
        <f t="shared" si="171"/>
        <v/>
      </c>
      <c r="Q1151" t="str">
        <f t="shared" si="172"/>
        <v/>
      </c>
      <c r="R1151" t="str">
        <f t="shared" si="173"/>
        <v/>
      </c>
      <c r="S1151" t="str">
        <f t="shared" si="174"/>
        <v/>
      </c>
      <c r="T1151" t="str">
        <f t="shared" si="175"/>
        <v/>
      </c>
      <c r="U1151" t="str">
        <f t="shared" si="176"/>
        <v/>
      </c>
      <c r="V1151" t="str">
        <f t="shared" si="177"/>
        <v/>
      </c>
      <c r="W1151" t="str">
        <f t="shared" si="178"/>
        <v/>
      </c>
      <c r="X1151">
        <f>IF($T1151="",N($X1150),IF(MATCH($T1151,$T$6:$T$10005,0)=ROW()-5,N($X1150)+1,N($X1150)))</f>
        <v>0</v>
      </c>
      <c r="Z1151" t="str">
        <f t="shared" si="179"/>
        <v/>
      </c>
      <c r="AA1151">
        <f>IF($V1151="",N($AA1150),IF(MATCH($V1151,$V$6:$V$10005,0)=ROW()-5,N($AA1150)+1,N($AA1150)))</f>
        <v>0</v>
      </c>
    </row>
    <row r="1152" spans="1:27" ht="21" customHeight="1" x14ac:dyDescent="0.95">
      <c r="A1152" s="56"/>
      <c r="B1152" s="57"/>
      <c r="C1152" s="57"/>
      <c r="D1152" s="57"/>
      <c r="E1152" s="56"/>
      <c r="F1152" s="57"/>
      <c r="G1152" s="57"/>
      <c r="H1152" s="56"/>
      <c r="I1152" s="56"/>
      <c r="J1152" s="58"/>
      <c r="K1152" s="58"/>
      <c r="L1152" s="13" t="str">
        <f t="shared" si="170"/>
        <v/>
      </c>
      <c r="M1152" s="13" t="str">
        <f t="shared" si="171"/>
        <v/>
      </c>
      <c r="Q1152" t="str">
        <f t="shared" si="172"/>
        <v/>
      </c>
      <c r="R1152" t="str">
        <f t="shared" si="173"/>
        <v/>
      </c>
      <c r="S1152" t="str">
        <f t="shared" si="174"/>
        <v/>
      </c>
      <c r="T1152" t="str">
        <f t="shared" si="175"/>
        <v/>
      </c>
      <c r="U1152" t="str">
        <f t="shared" si="176"/>
        <v/>
      </c>
      <c r="V1152" t="str">
        <f t="shared" si="177"/>
        <v/>
      </c>
      <c r="W1152" t="str">
        <f t="shared" si="178"/>
        <v/>
      </c>
      <c r="X1152">
        <f>IF($T1152="",N($X1151),IF(MATCH($T1152,$T$6:$T$10005,0)=ROW()-5,N($X1151)+1,N($X1151)))</f>
        <v>0</v>
      </c>
      <c r="Z1152" t="str">
        <f t="shared" si="179"/>
        <v/>
      </c>
      <c r="AA1152">
        <f>IF($V1152="",N($AA1151),IF(MATCH($V1152,$V$6:$V$10005,0)=ROW()-5,N($AA1151)+1,N($AA1151)))</f>
        <v>0</v>
      </c>
    </row>
    <row r="1153" spans="1:27" ht="21" customHeight="1" x14ac:dyDescent="0.95">
      <c r="A1153" s="56"/>
      <c r="B1153" s="57"/>
      <c r="C1153" s="57"/>
      <c r="D1153" s="57"/>
      <c r="E1153" s="56"/>
      <c r="F1153" s="57"/>
      <c r="G1153" s="57"/>
      <c r="H1153" s="56"/>
      <c r="I1153" s="56"/>
      <c r="J1153" s="58"/>
      <c r="K1153" s="58"/>
      <c r="L1153" s="13" t="str">
        <f t="shared" si="170"/>
        <v/>
      </c>
      <c r="M1153" s="13" t="str">
        <f t="shared" si="171"/>
        <v/>
      </c>
      <c r="Q1153" t="str">
        <f t="shared" si="172"/>
        <v/>
      </c>
      <c r="R1153" t="str">
        <f t="shared" si="173"/>
        <v/>
      </c>
      <c r="S1153" t="str">
        <f t="shared" si="174"/>
        <v/>
      </c>
      <c r="T1153" t="str">
        <f t="shared" si="175"/>
        <v/>
      </c>
      <c r="U1153" t="str">
        <f t="shared" si="176"/>
        <v/>
      </c>
      <c r="V1153" t="str">
        <f t="shared" si="177"/>
        <v/>
      </c>
      <c r="W1153" t="str">
        <f t="shared" si="178"/>
        <v/>
      </c>
      <c r="X1153">
        <f>IF($T1153="",N($X1152),IF(MATCH($T1153,$T$6:$T$10005,0)=ROW()-5,N($X1152)+1,N($X1152)))</f>
        <v>0</v>
      </c>
      <c r="Z1153" t="str">
        <f t="shared" si="179"/>
        <v/>
      </c>
      <c r="AA1153">
        <f>IF($V1153="",N($AA1152),IF(MATCH($V1153,$V$6:$V$10005,0)=ROW()-5,N($AA1152)+1,N($AA1152)))</f>
        <v>0</v>
      </c>
    </row>
    <row r="1154" spans="1:27" ht="21" customHeight="1" x14ac:dyDescent="0.95">
      <c r="A1154" s="56"/>
      <c r="B1154" s="57"/>
      <c r="C1154" s="57"/>
      <c r="D1154" s="57"/>
      <c r="E1154" s="56"/>
      <c r="F1154" s="57"/>
      <c r="G1154" s="57"/>
      <c r="H1154" s="56"/>
      <c r="I1154" s="56"/>
      <c r="J1154" s="58"/>
      <c r="K1154" s="58"/>
      <c r="L1154" s="13" t="str">
        <f t="shared" si="170"/>
        <v/>
      </c>
      <c r="M1154" s="13" t="str">
        <f t="shared" si="171"/>
        <v/>
      </c>
      <c r="Q1154" t="str">
        <f t="shared" si="172"/>
        <v/>
      </c>
      <c r="R1154" t="str">
        <f t="shared" si="173"/>
        <v/>
      </c>
      <c r="S1154" t="str">
        <f t="shared" si="174"/>
        <v/>
      </c>
      <c r="T1154" t="str">
        <f t="shared" si="175"/>
        <v/>
      </c>
      <c r="U1154" t="str">
        <f t="shared" si="176"/>
        <v/>
      </c>
      <c r="V1154" t="str">
        <f t="shared" si="177"/>
        <v/>
      </c>
      <c r="W1154" t="str">
        <f t="shared" si="178"/>
        <v/>
      </c>
      <c r="X1154">
        <f>IF($T1154="",N($X1153),IF(MATCH($T1154,$T$6:$T$10005,0)=ROW()-5,N($X1153)+1,N($X1153)))</f>
        <v>0</v>
      </c>
      <c r="Z1154" t="str">
        <f t="shared" si="179"/>
        <v/>
      </c>
      <c r="AA1154">
        <f>IF($V1154="",N($AA1153),IF(MATCH($V1154,$V$6:$V$10005,0)=ROW()-5,N($AA1153)+1,N($AA1153)))</f>
        <v>0</v>
      </c>
    </row>
    <row r="1155" spans="1:27" ht="21" customHeight="1" x14ac:dyDescent="0.95">
      <c r="A1155" s="56"/>
      <c r="B1155" s="57"/>
      <c r="C1155" s="57"/>
      <c r="D1155" s="57"/>
      <c r="E1155" s="56"/>
      <c r="F1155" s="57"/>
      <c r="G1155" s="57"/>
      <c r="H1155" s="56"/>
      <c r="I1155" s="56"/>
      <c r="J1155" s="58"/>
      <c r="K1155" s="58"/>
      <c r="L1155" s="13" t="str">
        <f t="shared" si="170"/>
        <v/>
      </c>
      <c r="M1155" s="13" t="str">
        <f t="shared" si="171"/>
        <v/>
      </c>
      <c r="Q1155" t="str">
        <f t="shared" si="172"/>
        <v/>
      </c>
      <c r="R1155" t="str">
        <f t="shared" si="173"/>
        <v/>
      </c>
      <c r="S1155" t="str">
        <f t="shared" si="174"/>
        <v/>
      </c>
      <c r="T1155" t="str">
        <f t="shared" si="175"/>
        <v/>
      </c>
      <c r="U1155" t="str">
        <f t="shared" si="176"/>
        <v/>
      </c>
      <c r="V1155" t="str">
        <f t="shared" si="177"/>
        <v/>
      </c>
      <c r="W1155" t="str">
        <f t="shared" si="178"/>
        <v/>
      </c>
      <c r="X1155">
        <f>IF($T1155="",N($X1154),IF(MATCH($T1155,$T$6:$T$10005,0)=ROW()-5,N($X1154)+1,N($X1154)))</f>
        <v>0</v>
      </c>
      <c r="Z1155" t="str">
        <f t="shared" si="179"/>
        <v/>
      </c>
      <c r="AA1155">
        <f>IF($V1155="",N($AA1154),IF(MATCH($V1155,$V$6:$V$10005,0)=ROW()-5,N($AA1154)+1,N($AA1154)))</f>
        <v>0</v>
      </c>
    </row>
    <row r="1156" spans="1:27" ht="21" customHeight="1" x14ac:dyDescent="0.95">
      <c r="A1156" s="56"/>
      <c r="B1156" s="57"/>
      <c r="C1156" s="57"/>
      <c r="D1156" s="57"/>
      <c r="E1156" s="56"/>
      <c r="F1156" s="57"/>
      <c r="G1156" s="57"/>
      <c r="H1156" s="56"/>
      <c r="I1156" s="56"/>
      <c r="J1156" s="58"/>
      <c r="K1156" s="58"/>
      <c r="L1156" s="13" t="str">
        <f t="shared" si="170"/>
        <v/>
      </c>
      <c r="M1156" s="13" t="str">
        <f t="shared" si="171"/>
        <v/>
      </c>
      <c r="Q1156" t="str">
        <f t="shared" si="172"/>
        <v/>
      </c>
      <c r="R1156" t="str">
        <f t="shared" si="173"/>
        <v/>
      </c>
      <c r="S1156" t="str">
        <f t="shared" si="174"/>
        <v/>
      </c>
      <c r="T1156" t="str">
        <f t="shared" si="175"/>
        <v/>
      </c>
      <c r="U1156" t="str">
        <f t="shared" si="176"/>
        <v/>
      </c>
      <c r="V1156" t="str">
        <f t="shared" si="177"/>
        <v/>
      </c>
      <c r="W1156" t="str">
        <f t="shared" si="178"/>
        <v/>
      </c>
      <c r="X1156">
        <f>IF($T1156="",N($X1155),IF(MATCH($T1156,$T$6:$T$10005,0)=ROW()-5,N($X1155)+1,N($X1155)))</f>
        <v>0</v>
      </c>
      <c r="Z1156" t="str">
        <f t="shared" si="179"/>
        <v/>
      </c>
      <c r="AA1156">
        <f>IF($V1156="",N($AA1155),IF(MATCH($V1156,$V$6:$V$10005,0)=ROW()-5,N($AA1155)+1,N($AA1155)))</f>
        <v>0</v>
      </c>
    </row>
    <row r="1157" spans="1:27" ht="21" customHeight="1" x14ac:dyDescent="0.95">
      <c r="A1157" s="56"/>
      <c r="B1157" s="57"/>
      <c r="C1157" s="57"/>
      <c r="D1157" s="57"/>
      <c r="E1157" s="56"/>
      <c r="F1157" s="57"/>
      <c r="G1157" s="57"/>
      <c r="H1157" s="56"/>
      <c r="I1157" s="56"/>
      <c r="J1157" s="58"/>
      <c r="K1157" s="58"/>
      <c r="L1157" s="13" t="str">
        <f t="shared" si="170"/>
        <v/>
      </c>
      <c r="M1157" s="13" t="str">
        <f t="shared" si="171"/>
        <v/>
      </c>
      <c r="Q1157" t="str">
        <f t="shared" si="172"/>
        <v/>
      </c>
      <c r="R1157" t="str">
        <f t="shared" si="173"/>
        <v/>
      </c>
      <c r="S1157" t="str">
        <f t="shared" si="174"/>
        <v/>
      </c>
      <c r="T1157" t="str">
        <f t="shared" si="175"/>
        <v/>
      </c>
      <c r="U1157" t="str">
        <f t="shared" si="176"/>
        <v/>
      </c>
      <c r="V1157" t="str">
        <f t="shared" si="177"/>
        <v/>
      </c>
      <c r="W1157" t="str">
        <f t="shared" si="178"/>
        <v/>
      </c>
      <c r="X1157">
        <f>IF($T1157="",N($X1156),IF(MATCH($T1157,$T$6:$T$10005,0)=ROW()-5,N($X1156)+1,N($X1156)))</f>
        <v>0</v>
      </c>
      <c r="Z1157" t="str">
        <f t="shared" si="179"/>
        <v/>
      </c>
      <c r="AA1157">
        <f>IF($V1157="",N($AA1156),IF(MATCH($V1157,$V$6:$V$10005,0)=ROW()-5,N($AA1156)+1,N($AA1156)))</f>
        <v>0</v>
      </c>
    </row>
    <row r="1158" spans="1:27" ht="21" customHeight="1" x14ac:dyDescent="0.95">
      <c r="A1158" s="56"/>
      <c r="B1158" s="57"/>
      <c r="C1158" s="57"/>
      <c r="D1158" s="57"/>
      <c r="E1158" s="56"/>
      <c r="F1158" s="57"/>
      <c r="G1158" s="57"/>
      <c r="H1158" s="56"/>
      <c r="I1158" s="56"/>
      <c r="J1158" s="58"/>
      <c r="K1158" s="58"/>
      <c r="L1158" s="13" t="str">
        <f t="shared" ref="L1158:L1221" si="180">IF(OR($A1158="",AND($J1158="",$K1158="")),"",ROUND(N($J1158)-N($K1158),2))</f>
        <v/>
      </c>
      <c r="M1158" s="13" t="str">
        <f t="shared" ref="M1158:M1221" si="181">IF(OR($A1158="",AND($J1158="",$K1158="")),"",MIN($J1158,$K1158))</f>
        <v/>
      </c>
      <c r="Q1158" t="str">
        <f t="shared" ref="Q1158:Q1221" si="182">IF($A1158="","",$D1158&amp;"("&amp;SUBSTITUTE($E1158," ","")&amp;")")</f>
        <v/>
      </c>
      <c r="R1158" t="str">
        <f t="shared" ref="R1158:R1221" si="183">IF($A1158="","",$B1158&amp;" - "&amp;$C1158)</f>
        <v/>
      </c>
      <c r="S1158" t="str">
        <f t="shared" ref="S1158:S1221" si="184">IF($A1158="","",$R1158&amp;"|"&amp;$Q1158)</f>
        <v/>
      </c>
      <c r="T1158" t="str">
        <f t="shared" ref="T1158:T1221" si="185">IF($A1158="","",$S1158&amp;"|"&amp;$F1158)</f>
        <v/>
      </c>
      <c r="U1158" t="str">
        <f t="shared" ref="U1158:U1221" si="186">IF($A1158="","",$R1158&amp;"("&amp;$E1158&amp;")")</f>
        <v/>
      </c>
      <c r="V1158" t="str">
        <f t="shared" ref="V1158:V1221" si="187">IF($A1158="","",$F1158&amp;"|"&amp;$U1158&amp;"|"&amp;$D1158)</f>
        <v/>
      </c>
      <c r="W1158" t="str">
        <f t="shared" ref="W1158:W1221" si="188">IF($T1158="","",IF($X1158&gt;N($X1157),$X1158,""))</f>
        <v/>
      </c>
      <c r="X1158">
        <f>IF($T1158="",N($X1157),IF(MATCH($T1158,$T$6:$T$10005,0)=ROW()-5,N($X1157)+1,N($X1157)))</f>
        <v>0</v>
      </c>
      <c r="Z1158" t="str">
        <f t="shared" ref="Z1158:Z1221" si="189">IF($V1158="","",IF($AA1158&gt;N($AA1157),$AA1158,""))</f>
        <v/>
      </c>
      <c r="AA1158">
        <f>IF($V1158="",N($AA1157),IF(MATCH($V1158,$V$6:$V$10005,0)=ROW()-5,N($AA1157)+1,N($AA1157)))</f>
        <v>0</v>
      </c>
    </row>
    <row r="1159" spans="1:27" ht="21" customHeight="1" x14ac:dyDescent="0.95">
      <c r="A1159" s="56"/>
      <c r="B1159" s="57"/>
      <c r="C1159" s="57"/>
      <c r="D1159" s="57"/>
      <c r="E1159" s="56"/>
      <c r="F1159" s="57"/>
      <c r="G1159" s="57"/>
      <c r="H1159" s="56"/>
      <c r="I1159" s="56"/>
      <c r="J1159" s="58"/>
      <c r="K1159" s="58"/>
      <c r="L1159" s="13" t="str">
        <f t="shared" si="180"/>
        <v/>
      </c>
      <c r="M1159" s="13" t="str">
        <f t="shared" si="181"/>
        <v/>
      </c>
      <c r="Q1159" t="str">
        <f t="shared" si="182"/>
        <v/>
      </c>
      <c r="R1159" t="str">
        <f t="shared" si="183"/>
        <v/>
      </c>
      <c r="S1159" t="str">
        <f t="shared" si="184"/>
        <v/>
      </c>
      <c r="T1159" t="str">
        <f t="shared" si="185"/>
        <v/>
      </c>
      <c r="U1159" t="str">
        <f t="shared" si="186"/>
        <v/>
      </c>
      <c r="V1159" t="str">
        <f t="shared" si="187"/>
        <v/>
      </c>
      <c r="W1159" t="str">
        <f t="shared" si="188"/>
        <v/>
      </c>
      <c r="X1159">
        <f>IF($T1159="",N($X1158),IF(MATCH($T1159,$T$6:$T$10005,0)=ROW()-5,N($X1158)+1,N($X1158)))</f>
        <v>0</v>
      </c>
      <c r="Z1159" t="str">
        <f t="shared" si="189"/>
        <v/>
      </c>
      <c r="AA1159">
        <f>IF($V1159="",N($AA1158),IF(MATCH($V1159,$V$6:$V$10005,0)=ROW()-5,N($AA1158)+1,N($AA1158)))</f>
        <v>0</v>
      </c>
    </row>
    <row r="1160" spans="1:27" ht="21" customHeight="1" x14ac:dyDescent="0.95">
      <c r="A1160" s="56"/>
      <c r="B1160" s="57"/>
      <c r="C1160" s="57"/>
      <c r="D1160" s="57"/>
      <c r="E1160" s="56"/>
      <c r="F1160" s="57"/>
      <c r="G1160" s="57"/>
      <c r="H1160" s="56"/>
      <c r="I1160" s="56"/>
      <c r="J1160" s="58"/>
      <c r="K1160" s="58"/>
      <c r="L1160" s="13" t="str">
        <f t="shared" si="180"/>
        <v/>
      </c>
      <c r="M1160" s="13" t="str">
        <f t="shared" si="181"/>
        <v/>
      </c>
      <c r="Q1160" t="str">
        <f t="shared" si="182"/>
        <v/>
      </c>
      <c r="R1160" t="str">
        <f t="shared" si="183"/>
        <v/>
      </c>
      <c r="S1160" t="str">
        <f t="shared" si="184"/>
        <v/>
      </c>
      <c r="T1160" t="str">
        <f t="shared" si="185"/>
        <v/>
      </c>
      <c r="U1160" t="str">
        <f t="shared" si="186"/>
        <v/>
      </c>
      <c r="V1160" t="str">
        <f t="shared" si="187"/>
        <v/>
      </c>
      <c r="W1160" t="str">
        <f t="shared" si="188"/>
        <v/>
      </c>
      <c r="X1160">
        <f>IF($T1160="",N($X1159),IF(MATCH($T1160,$T$6:$T$10005,0)=ROW()-5,N($X1159)+1,N($X1159)))</f>
        <v>0</v>
      </c>
      <c r="Z1160" t="str">
        <f t="shared" si="189"/>
        <v/>
      </c>
      <c r="AA1160">
        <f>IF($V1160="",N($AA1159),IF(MATCH($V1160,$V$6:$V$10005,0)=ROW()-5,N($AA1159)+1,N($AA1159)))</f>
        <v>0</v>
      </c>
    </row>
    <row r="1161" spans="1:27" ht="21" customHeight="1" x14ac:dyDescent="0.95">
      <c r="A1161" s="56"/>
      <c r="B1161" s="57"/>
      <c r="C1161" s="57"/>
      <c r="D1161" s="57"/>
      <c r="E1161" s="56"/>
      <c r="F1161" s="57"/>
      <c r="G1161" s="57"/>
      <c r="H1161" s="56"/>
      <c r="I1161" s="56"/>
      <c r="J1161" s="58"/>
      <c r="K1161" s="58"/>
      <c r="L1161" s="13" t="str">
        <f t="shared" si="180"/>
        <v/>
      </c>
      <c r="M1161" s="13" t="str">
        <f t="shared" si="181"/>
        <v/>
      </c>
      <c r="Q1161" t="str">
        <f t="shared" si="182"/>
        <v/>
      </c>
      <c r="R1161" t="str">
        <f t="shared" si="183"/>
        <v/>
      </c>
      <c r="S1161" t="str">
        <f t="shared" si="184"/>
        <v/>
      </c>
      <c r="T1161" t="str">
        <f t="shared" si="185"/>
        <v/>
      </c>
      <c r="U1161" t="str">
        <f t="shared" si="186"/>
        <v/>
      </c>
      <c r="V1161" t="str">
        <f t="shared" si="187"/>
        <v/>
      </c>
      <c r="W1161" t="str">
        <f t="shared" si="188"/>
        <v/>
      </c>
      <c r="X1161">
        <f>IF($T1161="",N($X1160),IF(MATCH($T1161,$T$6:$T$10005,0)=ROW()-5,N($X1160)+1,N($X1160)))</f>
        <v>0</v>
      </c>
      <c r="Z1161" t="str">
        <f t="shared" si="189"/>
        <v/>
      </c>
      <c r="AA1161">
        <f>IF($V1161="",N($AA1160),IF(MATCH($V1161,$V$6:$V$10005,0)=ROW()-5,N($AA1160)+1,N($AA1160)))</f>
        <v>0</v>
      </c>
    </row>
    <row r="1162" spans="1:27" ht="21" customHeight="1" x14ac:dyDescent="0.95">
      <c r="A1162" s="56"/>
      <c r="B1162" s="57"/>
      <c r="C1162" s="57"/>
      <c r="D1162" s="57"/>
      <c r="E1162" s="56"/>
      <c r="F1162" s="57"/>
      <c r="G1162" s="57"/>
      <c r="H1162" s="56"/>
      <c r="I1162" s="56"/>
      <c r="J1162" s="58"/>
      <c r="K1162" s="58"/>
      <c r="L1162" s="13" t="str">
        <f t="shared" si="180"/>
        <v/>
      </c>
      <c r="M1162" s="13" t="str">
        <f t="shared" si="181"/>
        <v/>
      </c>
      <c r="Q1162" t="str">
        <f t="shared" si="182"/>
        <v/>
      </c>
      <c r="R1162" t="str">
        <f t="shared" si="183"/>
        <v/>
      </c>
      <c r="S1162" t="str">
        <f t="shared" si="184"/>
        <v/>
      </c>
      <c r="T1162" t="str">
        <f t="shared" si="185"/>
        <v/>
      </c>
      <c r="U1162" t="str">
        <f t="shared" si="186"/>
        <v/>
      </c>
      <c r="V1162" t="str">
        <f t="shared" si="187"/>
        <v/>
      </c>
      <c r="W1162" t="str">
        <f t="shared" si="188"/>
        <v/>
      </c>
      <c r="X1162">
        <f>IF($T1162="",N($X1161),IF(MATCH($T1162,$T$6:$T$10005,0)=ROW()-5,N($X1161)+1,N($X1161)))</f>
        <v>0</v>
      </c>
      <c r="Z1162" t="str">
        <f t="shared" si="189"/>
        <v/>
      </c>
      <c r="AA1162">
        <f>IF($V1162="",N($AA1161),IF(MATCH($V1162,$V$6:$V$10005,0)=ROW()-5,N($AA1161)+1,N($AA1161)))</f>
        <v>0</v>
      </c>
    </row>
    <row r="1163" spans="1:27" ht="21" customHeight="1" x14ac:dyDescent="0.95">
      <c r="A1163" s="56"/>
      <c r="B1163" s="57"/>
      <c r="C1163" s="57"/>
      <c r="D1163" s="57"/>
      <c r="E1163" s="56"/>
      <c r="F1163" s="57"/>
      <c r="G1163" s="57"/>
      <c r="H1163" s="56"/>
      <c r="I1163" s="56"/>
      <c r="J1163" s="58"/>
      <c r="K1163" s="58"/>
      <c r="L1163" s="13" t="str">
        <f t="shared" si="180"/>
        <v/>
      </c>
      <c r="M1163" s="13" t="str">
        <f t="shared" si="181"/>
        <v/>
      </c>
      <c r="Q1163" t="str">
        <f t="shared" si="182"/>
        <v/>
      </c>
      <c r="R1163" t="str">
        <f t="shared" si="183"/>
        <v/>
      </c>
      <c r="S1163" t="str">
        <f t="shared" si="184"/>
        <v/>
      </c>
      <c r="T1163" t="str">
        <f t="shared" si="185"/>
        <v/>
      </c>
      <c r="U1163" t="str">
        <f t="shared" si="186"/>
        <v/>
      </c>
      <c r="V1163" t="str">
        <f t="shared" si="187"/>
        <v/>
      </c>
      <c r="W1163" t="str">
        <f t="shared" si="188"/>
        <v/>
      </c>
      <c r="X1163">
        <f>IF($T1163="",N($X1162),IF(MATCH($T1163,$T$6:$T$10005,0)=ROW()-5,N($X1162)+1,N($X1162)))</f>
        <v>0</v>
      </c>
      <c r="Z1163" t="str">
        <f t="shared" si="189"/>
        <v/>
      </c>
      <c r="AA1163">
        <f>IF($V1163="",N($AA1162),IF(MATCH($V1163,$V$6:$V$10005,0)=ROW()-5,N($AA1162)+1,N($AA1162)))</f>
        <v>0</v>
      </c>
    </row>
    <row r="1164" spans="1:27" ht="21" customHeight="1" x14ac:dyDescent="0.95">
      <c r="A1164" s="56"/>
      <c r="B1164" s="57"/>
      <c r="C1164" s="57"/>
      <c r="D1164" s="57"/>
      <c r="E1164" s="56"/>
      <c r="F1164" s="57"/>
      <c r="G1164" s="57"/>
      <c r="H1164" s="56"/>
      <c r="I1164" s="56"/>
      <c r="J1164" s="58"/>
      <c r="K1164" s="58"/>
      <c r="L1164" s="13" t="str">
        <f t="shared" si="180"/>
        <v/>
      </c>
      <c r="M1164" s="13" t="str">
        <f t="shared" si="181"/>
        <v/>
      </c>
      <c r="Q1164" t="str">
        <f t="shared" si="182"/>
        <v/>
      </c>
      <c r="R1164" t="str">
        <f t="shared" si="183"/>
        <v/>
      </c>
      <c r="S1164" t="str">
        <f t="shared" si="184"/>
        <v/>
      </c>
      <c r="T1164" t="str">
        <f t="shared" si="185"/>
        <v/>
      </c>
      <c r="U1164" t="str">
        <f t="shared" si="186"/>
        <v/>
      </c>
      <c r="V1164" t="str">
        <f t="shared" si="187"/>
        <v/>
      </c>
      <c r="W1164" t="str">
        <f t="shared" si="188"/>
        <v/>
      </c>
      <c r="X1164">
        <f>IF($T1164="",N($X1163),IF(MATCH($T1164,$T$6:$T$10005,0)=ROW()-5,N($X1163)+1,N($X1163)))</f>
        <v>0</v>
      </c>
      <c r="Z1164" t="str">
        <f t="shared" si="189"/>
        <v/>
      </c>
      <c r="AA1164">
        <f>IF($V1164="",N($AA1163),IF(MATCH($V1164,$V$6:$V$10005,0)=ROW()-5,N($AA1163)+1,N($AA1163)))</f>
        <v>0</v>
      </c>
    </row>
    <row r="1165" spans="1:27" ht="21" customHeight="1" x14ac:dyDescent="0.95">
      <c r="A1165" s="56"/>
      <c r="B1165" s="57"/>
      <c r="C1165" s="57"/>
      <c r="D1165" s="57"/>
      <c r="E1165" s="56"/>
      <c r="F1165" s="57"/>
      <c r="G1165" s="57"/>
      <c r="H1165" s="56"/>
      <c r="I1165" s="56"/>
      <c r="J1165" s="58"/>
      <c r="K1165" s="58"/>
      <c r="L1165" s="13" t="str">
        <f t="shared" si="180"/>
        <v/>
      </c>
      <c r="M1165" s="13" t="str">
        <f t="shared" si="181"/>
        <v/>
      </c>
      <c r="Q1165" t="str">
        <f t="shared" si="182"/>
        <v/>
      </c>
      <c r="R1165" t="str">
        <f t="shared" si="183"/>
        <v/>
      </c>
      <c r="S1165" t="str">
        <f t="shared" si="184"/>
        <v/>
      </c>
      <c r="T1165" t="str">
        <f t="shared" si="185"/>
        <v/>
      </c>
      <c r="U1165" t="str">
        <f t="shared" si="186"/>
        <v/>
      </c>
      <c r="V1165" t="str">
        <f t="shared" si="187"/>
        <v/>
      </c>
      <c r="W1165" t="str">
        <f t="shared" si="188"/>
        <v/>
      </c>
      <c r="X1165">
        <f>IF($T1165="",N($X1164),IF(MATCH($T1165,$T$6:$T$10005,0)=ROW()-5,N($X1164)+1,N($X1164)))</f>
        <v>0</v>
      </c>
      <c r="Z1165" t="str">
        <f t="shared" si="189"/>
        <v/>
      </c>
      <c r="AA1165">
        <f>IF($V1165="",N($AA1164),IF(MATCH($V1165,$V$6:$V$10005,0)=ROW()-5,N($AA1164)+1,N($AA1164)))</f>
        <v>0</v>
      </c>
    </row>
    <row r="1166" spans="1:27" ht="21" customHeight="1" x14ac:dyDescent="0.95">
      <c r="A1166" s="56"/>
      <c r="B1166" s="57"/>
      <c r="C1166" s="57"/>
      <c r="D1166" s="57"/>
      <c r="E1166" s="56"/>
      <c r="F1166" s="57"/>
      <c r="G1166" s="57"/>
      <c r="H1166" s="56"/>
      <c r="I1166" s="56"/>
      <c r="J1166" s="58"/>
      <c r="K1166" s="58"/>
      <c r="L1166" s="13" t="str">
        <f t="shared" si="180"/>
        <v/>
      </c>
      <c r="M1166" s="13" t="str">
        <f t="shared" si="181"/>
        <v/>
      </c>
      <c r="Q1166" t="str">
        <f t="shared" si="182"/>
        <v/>
      </c>
      <c r="R1166" t="str">
        <f t="shared" si="183"/>
        <v/>
      </c>
      <c r="S1166" t="str">
        <f t="shared" si="184"/>
        <v/>
      </c>
      <c r="T1166" t="str">
        <f t="shared" si="185"/>
        <v/>
      </c>
      <c r="U1166" t="str">
        <f t="shared" si="186"/>
        <v/>
      </c>
      <c r="V1166" t="str">
        <f t="shared" si="187"/>
        <v/>
      </c>
      <c r="W1166" t="str">
        <f t="shared" si="188"/>
        <v/>
      </c>
      <c r="X1166">
        <f>IF($T1166="",N($X1165),IF(MATCH($T1166,$T$6:$T$10005,0)=ROW()-5,N($X1165)+1,N($X1165)))</f>
        <v>0</v>
      </c>
      <c r="Z1166" t="str">
        <f t="shared" si="189"/>
        <v/>
      </c>
      <c r="AA1166">
        <f>IF($V1166="",N($AA1165),IF(MATCH($V1166,$V$6:$V$10005,0)=ROW()-5,N($AA1165)+1,N($AA1165)))</f>
        <v>0</v>
      </c>
    </row>
    <row r="1167" spans="1:27" ht="21" customHeight="1" x14ac:dyDescent="0.95">
      <c r="A1167" s="56"/>
      <c r="B1167" s="57"/>
      <c r="C1167" s="57"/>
      <c r="D1167" s="57"/>
      <c r="E1167" s="56"/>
      <c r="F1167" s="57"/>
      <c r="G1167" s="57"/>
      <c r="H1167" s="56"/>
      <c r="I1167" s="56"/>
      <c r="J1167" s="58"/>
      <c r="K1167" s="58"/>
      <c r="L1167" s="13" t="str">
        <f t="shared" si="180"/>
        <v/>
      </c>
      <c r="M1167" s="13" t="str">
        <f t="shared" si="181"/>
        <v/>
      </c>
      <c r="Q1167" t="str">
        <f t="shared" si="182"/>
        <v/>
      </c>
      <c r="R1167" t="str">
        <f t="shared" si="183"/>
        <v/>
      </c>
      <c r="S1167" t="str">
        <f t="shared" si="184"/>
        <v/>
      </c>
      <c r="T1167" t="str">
        <f t="shared" si="185"/>
        <v/>
      </c>
      <c r="U1167" t="str">
        <f t="shared" si="186"/>
        <v/>
      </c>
      <c r="V1167" t="str">
        <f t="shared" si="187"/>
        <v/>
      </c>
      <c r="W1167" t="str">
        <f t="shared" si="188"/>
        <v/>
      </c>
      <c r="X1167">
        <f>IF($T1167="",N($X1166),IF(MATCH($T1167,$T$6:$T$10005,0)=ROW()-5,N($X1166)+1,N($X1166)))</f>
        <v>0</v>
      </c>
      <c r="Z1167" t="str">
        <f t="shared" si="189"/>
        <v/>
      </c>
      <c r="AA1167">
        <f>IF($V1167="",N($AA1166),IF(MATCH($V1167,$V$6:$V$10005,0)=ROW()-5,N($AA1166)+1,N($AA1166)))</f>
        <v>0</v>
      </c>
    </row>
    <row r="1168" spans="1:27" ht="21" customHeight="1" x14ac:dyDescent="0.95">
      <c r="A1168" s="56"/>
      <c r="B1168" s="57"/>
      <c r="C1168" s="57"/>
      <c r="D1168" s="57"/>
      <c r="E1168" s="56"/>
      <c r="F1168" s="57"/>
      <c r="G1168" s="57"/>
      <c r="H1168" s="56"/>
      <c r="I1168" s="56"/>
      <c r="J1168" s="58"/>
      <c r="K1168" s="58"/>
      <c r="L1168" s="13" t="str">
        <f t="shared" si="180"/>
        <v/>
      </c>
      <c r="M1168" s="13" t="str">
        <f t="shared" si="181"/>
        <v/>
      </c>
      <c r="Q1168" t="str">
        <f t="shared" si="182"/>
        <v/>
      </c>
      <c r="R1168" t="str">
        <f t="shared" si="183"/>
        <v/>
      </c>
      <c r="S1168" t="str">
        <f t="shared" si="184"/>
        <v/>
      </c>
      <c r="T1168" t="str">
        <f t="shared" si="185"/>
        <v/>
      </c>
      <c r="U1168" t="str">
        <f t="shared" si="186"/>
        <v/>
      </c>
      <c r="V1168" t="str">
        <f t="shared" si="187"/>
        <v/>
      </c>
      <c r="W1168" t="str">
        <f t="shared" si="188"/>
        <v/>
      </c>
      <c r="X1168">
        <f>IF($T1168="",N($X1167),IF(MATCH($T1168,$T$6:$T$10005,0)=ROW()-5,N($X1167)+1,N($X1167)))</f>
        <v>0</v>
      </c>
      <c r="Z1168" t="str">
        <f t="shared" si="189"/>
        <v/>
      </c>
      <c r="AA1168">
        <f>IF($V1168="",N($AA1167),IF(MATCH($V1168,$V$6:$V$10005,0)=ROW()-5,N($AA1167)+1,N($AA1167)))</f>
        <v>0</v>
      </c>
    </row>
    <row r="1169" spans="1:27" ht="21" customHeight="1" x14ac:dyDescent="0.95">
      <c r="A1169" s="56"/>
      <c r="B1169" s="57"/>
      <c r="C1169" s="57"/>
      <c r="D1169" s="57"/>
      <c r="E1169" s="56"/>
      <c r="F1169" s="57"/>
      <c r="G1169" s="57"/>
      <c r="H1169" s="56"/>
      <c r="I1169" s="56"/>
      <c r="J1169" s="58"/>
      <c r="K1169" s="58"/>
      <c r="L1169" s="13" t="str">
        <f t="shared" si="180"/>
        <v/>
      </c>
      <c r="M1169" s="13" t="str">
        <f t="shared" si="181"/>
        <v/>
      </c>
      <c r="Q1169" t="str">
        <f t="shared" si="182"/>
        <v/>
      </c>
      <c r="R1169" t="str">
        <f t="shared" si="183"/>
        <v/>
      </c>
      <c r="S1169" t="str">
        <f t="shared" si="184"/>
        <v/>
      </c>
      <c r="T1169" t="str">
        <f t="shared" si="185"/>
        <v/>
      </c>
      <c r="U1169" t="str">
        <f t="shared" si="186"/>
        <v/>
      </c>
      <c r="V1169" t="str">
        <f t="shared" si="187"/>
        <v/>
      </c>
      <c r="W1169" t="str">
        <f t="shared" si="188"/>
        <v/>
      </c>
      <c r="X1169">
        <f>IF($T1169="",N($X1168),IF(MATCH($T1169,$T$6:$T$10005,0)=ROW()-5,N($X1168)+1,N($X1168)))</f>
        <v>0</v>
      </c>
      <c r="Z1169" t="str">
        <f t="shared" si="189"/>
        <v/>
      </c>
      <c r="AA1169">
        <f>IF($V1169="",N($AA1168),IF(MATCH($V1169,$V$6:$V$10005,0)=ROW()-5,N($AA1168)+1,N($AA1168)))</f>
        <v>0</v>
      </c>
    </row>
    <row r="1170" spans="1:27" ht="21" customHeight="1" x14ac:dyDescent="0.95">
      <c r="A1170" s="56"/>
      <c r="B1170" s="57"/>
      <c r="C1170" s="57"/>
      <c r="D1170" s="57"/>
      <c r="E1170" s="56"/>
      <c r="F1170" s="57"/>
      <c r="G1170" s="57"/>
      <c r="H1170" s="56"/>
      <c r="I1170" s="56"/>
      <c r="J1170" s="58"/>
      <c r="K1170" s="58"/>
      <c r="L1170" s="13" t="str">
        <f t="shared" si="180"/>
        <v/>
      </c>
      <c r="M1170" s="13" t="str">
        <f t="shared" si="181"/>
        <v/>
      </c>
      <c r="Q1170" t="str">
        <f t="shared" si="182"/>
        <v/>
      </c>
      <c r="R1170" t="str">
        <f t="shared" si="183"/>
        <v/>
      </c>
      <c r="S1170" t="str">
        <f t="shared" si="184"/>
        <v/>
      </c>
      <c r="T1170" t="str">
        <f t="shared" si="185"/>
        <v/>
      </c>
      <c r="U1170" t="str">
        <f t="shared" si="186"/>
        <v/>
      </c>
      <c r="V1170" t="str">
        <f t="shared" si="187"/>
        <v/>
      </c>
      <c r="W1170" t="str">
        <f t="shared" si="188"/>
        <v/>
      </c>
      <c r="X1170">
        <f>IF($T1170="",N($X1169),IF(MATCH($T1170,$T$6:$T$10005,0)=ROW()-5,N($X1169)+1,N($X1169)))</f>
        <v>0</v>
      </c>
      <c r="Z1170" t="str">
        <f t="shared" si="189"/>
        <v/>
      </c>
      <c r="AA1170">
        <f>IF($V1170="",N($AA1169),IF(MATCH($V1170,$V$6:$V$10005,0)=ROW()-5,N($AA1169)+1,N($AA1169)))</f>
        <v>0</v>
      </c>
    </row>
    <row r="1171" spans="1:27" ht="21" customHeight="1" x14ac:dyDescent="0.95">
      <c r="A1171" s="56"/>
      <c r="B1171" s="57"/>
      <c r="C1171" s="57"/>
      <c r="D1171" s="57"/>
      <c r="E1171" s="56"/>
      <c r="F1171" s="57"/>
      <c r="G1171" s="57"/>
      <c r="H1171" s="56"/>
      <c r="I1171" s="56"/>
      <c r="J1171" s="58"/>
      <c r="K1171" s="58"/>
      <c r="L1171" s="13" t="str">
        <f t="shared" si="180"/>
        <v/>
      </c>
      <c r="M1171" s="13" t="str">
        <f t="shared" si="181"/>
        <v/>
      </c>
      <c r="Q1171" t="str">
        <f t="shared" si="182"/>
        <v/>
      </c>
      <c r="R1171" t="str">
        <f t="shared" si="183"/>
        <v/>
      </c>
      <c r="S1171" t="str">
        <f t="shared" si="184"/>
        <v/>
      </c>
      <c r="T1171" t="str">
        <f t="shared" si="185"/>
        <v/>
      </c>
      <c r="U1171" t="str">
        <f t="shared" si="186"/>
        <v/>
      </c>
      <c r="V1171" t="str">
        <f t="shared" si="187"/>
        <v/>
      </c>
      <c r="W1171" t="str">
        <f t="shared" si="188"/>
        <v/>
      </c>
      <c r="X1171">
        <f>IF($T1171="",N($X1170),IF(MATCH($T1171,$T$6:$T$10005,0)=ROW()-5,N($X1170)+1,N($X1170)))</f>
        <v>0</v>
      </c>
      <c r="Z1171" t="str">
        <f t="shared" si="189"/>
        <v/>
      </c>
      <c r="AA1171">
        <f>IF($V1171="",N($AA1170),IF(MATCH($V1171,$V$6:$V$10005,0)=ROW()-5,N($AA1170)+1,N($AA1170)))</f>
        <v>0</v>
      </c>
    </row>
    <row r="1172" spans="1:27" ht="21" customHeight="1" x14ac:dyDescent="0.95">
      <c r="A1172" s="56"/>
      <c r="B1172" s="57"/>
      <c r="C1172" s="57"/>
      <c r="D1172" s="57"/>
      <c r="E1172" s="56"/>
      <c r="F1172" s="57"/>
      <c r="G1172" s="57"/>
      <c r="H1172" s="56"/>
      <c r="I1172" s="56"/>
      <c r="J1172" s="58"/>
      <c r="K1172" s="58"/>
      <c r="L1172" s="13" t="str">
        <f t="shared" si="180"/>
        <v/>
      </c>
      <c r="M1172" s="13" t="str">
        <f t="shared" si="181"/>
        <v/>
      </c>
      <c r="Q1172" t="str">
        <f t="shared" si="182"/>
        <v/>
      </c>
      <c r="R1172" t="str">
        <f t="shared" si="183"/>
        <v/>
      </c>
      <c r="S1172" t="str">
        <f t="shared" si="184"/>
        <v/>
      </c>
      <c r="T1172" t="str">
        <f t="shared" si="185"/>
        <v/>
      </c>
      <c r="U1172" t="str">
        <f t="shared" si="186"/>
        <v/>
      </c>
      <c r="V1172" t="str">
        <f t="shared" si="187"/>
        <v/>
      </c>
      <c r="W1172" t="str">
        <f t="shared" si="188"/>
        <v/>
      </c>
      <c r="X1172">
        <f>IF($T1172="",N($X1171),IF(MATCH($T1172,$T$6:$T$10005,0)=ROW()-5,N($X1171)+1,N($X1171)))</f>
        <v>0</v>
      </c>
      <c r="Z1172" t="str">
        <f t="shared" si="189"/>
        <v/>
      </c>
      <c r="AA1172">
        <f>IF($V1172="",N($AA1171),IF(MATCH($V1172,$V$6:$V$10005,0)=ROW()-5,N($AA1171)+1,N($AA1171)))</f>
        <v>0</v>
      </c>
    </row>
    <row r="1173" spans="1:27" ht="21" customHeight="1" x14ac:dyDescent="0.95">
      <c r="A1173" s="56"/>
      <c r="B1173" s="57"/>
      <c r="C1173" s="57"/>
      <c r="D1173" s="57"/>
      <c r="E1173" s="56"/>
      <c r="F1173" s="57"/>
      <c r="G1173" s="57"/>
      <c r="H1173" s="56"/>
      <c r="I1173" s="56"/>
      <c r="J1173" s="58"/>
      <c r="K1173" s="58"/>
      <c r="L1173" s="13" t="str">
        <f t="shared" si="180"/>
        <v/>
      </c>
      <c r="M1173" s="13" t="str">
        <f t="shared" si="181"/>
        <v/>
      </c>
      <c r="Q1173" t="str">
        <f t="shared" si="182"/>
        <v/>
      </c>
      <c r="R1173" t="str">
        <f t="shared" si="183"/>
        <v/>
      </c>
      <c r="S1173" t="str">
        <f t="shared" si="184"/>
        <v/>
      </c>
      <c r="T1173" t="str">
        <f t="shared" si="185"/>
        <v/>
      </c>
      <c r="U1173" t="str">
        <f t="shared" si="186"/>
        <v/>
      </c>
      <c r="V1173" t="str">
        <f t="shared" si="187"/>
        <v/>
      </c>
      <c r="W1173" t="str">
        <f t="shared" si="188"/>
        <v/>
      </c>
      <c r="X1173">
        <f>IF($T1173="",N($X1172),IF(MATCH($T1173,$T$6:$T$10005,0)=ROW()-5,N($X1172)+1,N($X1172)))</f>
        <v>0</v>
      </c>
      <c r="Z1173" t="str">
        <f t="shared" si="189"/>
        <v/>
      </c>
      <c r="AA1173">
        <f>IF($V1173="",N($AA1172),IF(MATCH($V1173,$V$6:$V$10005,0)=ROW()-5,N($AA1172)+1,N($AA1172)))</f>
        <v>0</v>
      </c>
    </row>
    <row r="1174" spans="1:27" ht="21" customHeight="1" x14ac:dyDescent="0.95">
      <c r="A1174" s="56"/>
      <c r="B1174" s="57"/>
      <c r="C1174" s="57"/>
      <c r="D1174" s="57"/>
      <c r="E1174" s="56"/>
      <c r="F1174" s="57"/>
      <c r="G1174" s="57"/>
      <c r="H1174" s="56"/>
      <c r="I1174" s="56"/>
      <c r="J1174" s="58"/>
      <c r="K1174" s="58"/>
      <c r="L1174" s="13" t="str">
        <f t="shared" si="180"/>
        <v/>
      </c>
      <c r="M1174" s="13" t="str">
        <f t="shared" si="181"/>
        <v/>
      </c>
      <c r="Q1174" t="str">
        <f t="shared" si="182"/>
        <v/>
      </c>
      <c r="R1174" t="str">
        <f t="shared" si="183"/>
        <v/>
      </c>
      <c r="S1174" t="str">
        <f t="shared" si="184"/>
        <v/>
      </c>
      <c r="T1174" t="str">
        <f t="shared" si="185"/>
        <v/>
      </c>
      <c r="U1174" t="str">
        <f t="shared" si="186"/>
        <v/>
      </c>
      <c r="V1174" t="str">
        <f t="shared" si="187"/>
        <v/>
      </c>
      <c r="W1174" t="str">
        <f t="shared" si="188"/>
        <v/>
      </c>
      <c r="X1174">
        <f>IF($T1174="",N($X1173),IF(MATCH($T1174,$T$6:$T$10005,0)=ROW()-5,N($X1173)+1,N($X1173)))</f>
        <v>0</v>
      </c>
      <c r="Z1174" t="str">
        <f t="shared" si="189"/>
        <v/>
      </c>
      <c r="AA1174">
        <f>IF($V1174="",N($AA1173),IF(MATCH($V1174,$V$6:$V$10005,0)=ROW()-5,N($AA1173)+1,N($AA1173)))</f>
        <v>0</v>
      </c>
    </row>
    <row r="1175" spans="1:27" ht="21" customHeight="1" x14ac:dyDescent="0.95">
      <c r="A1175" s="56"/>
      <c r="B1175" s="57"/>
      <c r="C1175" s="57"/>
      <c r="D1175" s="57"/>
      <c r="E1175" s="56"/>
      <c r="F1175" s="57"/>
      <c r="G1175" s="57"/>
      <c r="H1175" s="56"/>
      <c r="I1175" s="56"/>
      <c r="J1175" s="58"/>
      <c r="K1175" s="58"/>
      <c r="L1175" s="13" t="str">
        <f t="shared" si="180"/>
        <v/>
      </c>
      <c r="M1175" s="13" t="str">
        <f t="shared" si="181"/>
        <v/>
      </c>
      <c r="Q1175" t="str">
        <f t="shared" si="182"/>
        <v/>
      </c>
      <c r="R1175" t="str">
        <f t="shared" si="183"/>
        <v/>
      </c>
      <c r="S1175" t="str">
        <f t="shared" si="184"/>
        <v/>
      </c>
      <c r="T1175" t="str">
        <f t="shared" si="185"/>
        <v/>
      </c>
      <c r="U1175" t="str">
        <f t="shared" si="186"/>
        <v/>
      </c>
      <c r="V1175" t="str">
        <f t="shared" si="187"/>
        <v/>
      </c>
      <c r="W1175" t="str">
        <f t="shared" si="188"/>
        <v/>
      </c>
      <c r="X1175">
        <f>IF($T1175="",N($X1174),IF(MATCH($T1175,$T$6:$T$10005,0)=ROW()-5,N($X1174)+1,N($X1174)))</f>
        <v>0</v>
      </c>
      <c r="Z1175" t="str">
        <f t="shared" si="189"/>
        <v/>
      </c>
      <c r="AA1175">
        <f>IF($V1175="",N($AA1174),IF(MATCH($V1175,$V$6:$V$10005,0)=ROW()-5,N($AA1174)+1,N($AA1174)))</f>
        <v>0</v>
      </c>
    </row>
    <row r="1176" spans="1:27" ht="21" customHeight="1" x14ac:dyDescent="0.95">
      <c r="A1176" s="56"/>
      <c r="B1176" s="57"/>
      <c r="C1176" s="57"/>
      <c r="D1176" s="57"/>
      <c r="E1176" s="56"/>
      <c r="F1176" s="57"/>
      <c r="G1176" s="57"/>
      <c r="H1176" s="56"/>
      <c r="I1176" s="56"/>
      <c r="J1176" s="58"/>
      <c r="K1176" s="58"/>
      <c r="L1176" s="13" t="str">
        <f t="shared" si="180"/>
        <v/>
      </c>
      <c r="M1176" s="13" t="str">
        <f t="shared" si="181"/>
        <v/>
      </c>
      <c r="Q1176" t="str">
        <f t="shared" si="182"/>
        <v/>
      </c>
      <c r="R1176" t="str">
        <f t="shared" si="183"/>
        <v/>
      </c>
      <c r="S1176" t="str">
        <f t="shared" si="184"/>
        <v/>
      </c>
      <c r="T1176" t="str">
        <f t="shared" si="185"/>
        <v/>
      </c>
      <c r="U1176" t="str">
        <f t="shared" si="186"/>
        <v/>
      </c>
      <c r="V1176" t="str">
        <f t="shared" si="187"/>
        <v/>
      </c>
      <c r="W1176" t="str">
        <f t="shared" si="188"/>
        <v/>
      </c>
      <c r="X1176">
        <f>IF($T1176="",N($X1175),IF(MATCH($T1176,$T$6:$T$10005,0)=ROW()-5,N($X1175)+1,N($X1175)))</f>
        <v>0</v>
      </c>
      <c r="Z1176" t="str">
        <f t="shared" si="189"/>
        <v/>
      </c>
      <c r="AA1176">
        <f>IF($V1176="",N($AA1175),IF(MATCH($V1176,$V$6:$V$10005,0)=ROW()-5,N($AA1175)+1,N($AA1175)))</f>
        <v>0</v>
      </c>
    </row>
    <row r="1177" spans="1:27" ht="21" customHeight="1" x14ac:dyDescent="0.95">
      <c r="A1177" s="56"/>
      <c r="B1177" s="57"/>
      <c r="C1177" s="57"/>
      <c r="D1177" s="57"/>
      <c r="E1177" s="56"/>
      <c r="F1177" s="57"/>
      <c r="G1177" s="57"/>
      <c r="H1177" s="56"/>
      <c r="I1177" s="56"/>
      <c r="J1177" s="58"/>
      <c r="K1177" s="58"/>
      <c r="L1177" s="13" t="str">
        <f t="shared" si="180"/>
        <v/>
      </c>
      <c r="M1177" s="13" t="str">
        <f t="shared" si="181"/>
        <v/>
      </c>
      <c r="Q1177" t="str">
        <f t="shared" si="182"/>
        <v/>
      </c>
      <c r="R1177" t="str">
        <f t="shared" si="183"/>
        <v/>
      </c>
      <c r="S1177" t="str">
        <f t="shared" si="184"/>
        <v/>
      </c>
      <c r="T1177" t="str">
        <f t="shared" si="185"/>
        <v/>
      </c>
      <c r="U1177" t="str">
        <f t="shared" si="186"/>
        <v/>
      </c>
      <c r="V1177" t="str">
        <f t="shared" si="187"/>
        <v/>
      </c>
      <c r="W1177" t="str">
        <f t="shared" si="188"/>
        <v/>
      </c>
      <c r="X1177">
        <f>IF($T1177="",N($X1176),IF(MATCH($T1177,$T$6:$T$10005,0)=ROW()-5,N($X1176)+1,N($X1176)))</f>
        <v>0</v>
      </c>
      <c r="Z1177" t="str">
        <f t="shared" si="189"/>
        <v/>
      </c>
      <c r="AA1177">
        <f>IF($V1177="",N($AA1176),IF(MATCH($V1177,$V$6:$V$10005,0)=ROW()-5,N($AA1176)+1,N($AA1176)))</f>
        <v>0</v>
      </c>
    </row>
    <row r="1178" spans="1:27" ht="21" customHeight="1" x14ac:dyDescent="0.95">
      <c r="A1178" s="56"/>
      <c r="B1178" s="57"/>
      <c r="C1178" s="57"/>
      <c r="D1178" s="57"/>
      <c r="E1178" s="56"/>
      <c r="F1178" s="57"/>
      <c r="G1178" s="57"/>
      <c r="H1178" s="56"/>
      <c r="I1178" s="56"/>
      <c r="J1178" s="58"/>
      <c r="K1178" s="58"/>
      <c r="L1178" s="13" t="str">
        <f t="shared" si="180"/>
        <v/>
      </c>
      <c r="M1178" s="13" t="str">
        <f t="shared" si="181"/>
        <v/>
      </c>
      <c r="Q1178" t="str">
        <f t="shared" si="182"/>
        <v/>
      </c>
      <c r="R1178" t="str">
        <f t="shared" si="183"/>
        <v/>
      </c>
      <c r="S1178" t="str">
        <f t="shared" si="184"/>
        <v/>
      </c>
      <c r="T1178" t="str">
        <f t="shared" si="185"/>
        <v/>
      </c>
      <c r="U1178" t="str">
        <f t="shared" si="186"/>
        <v/>
      </c>
      <c r="V1178" t="str">
        <f t="shared" si="187"/>
        <v/>
      </c>
      <c r="W1178" t="str">
        <f t="shared" si="188"/>
        <v/>
      </c>
      <c r="X1178">
        <f>IF($T1178="",N($X1177),IF(MATCH($T1178,$T$6:$T$10005,0)=ROW()-5,N($X1177)+1,N($X1177)))</f>
        <v>0</v>
      </c>
      <c r="Z1178" t="str">
        <f t="shared" si="189"/>
        <v/>
      </c>
      <c r="AA1178">
        <f>IF($V1178="",N($AA1177),IF(MATCH($V1178,$V$6:$V$10005,0)=ROW()-5,N($AA1177)+1,N($AA1177)))</f>
        <v>0</v>
      </c>
    </row>
    <row r="1179" spans="1:27" ht="21" customHeight="1" x14ac:dyDescent="0.95">
      <c r="A1179" s="56"/>
      <c r="B1179" s="57"/>
      <c r="C1179" s="57"/>
      <c r="D1179" s="57"/>
      <c r="E1179" s="56"/>
      <c r="F1179" s="57"/>
      <c r="G1179" s="57"/>
      <c r="H1179" s="56"/>
      <c r="I1179" s="56"/>
      <c r="J1179" s="58"/>
      <c r="K1179" s="58"/>
      <c r="L1179" s="13" t="str">
        <f t="shared" si="180"/>
        <v/>
      </c>
      <c r="M1179" s="13" t="str">
        <f t="shared" si="181"/>
        <v/>
      </c>
      <c r="Q1179" t="str">
        <f t="shared" si="182"/>
        <v/>
      </c>
      <c r="R1179" t="str">
        <f t="shared" si="183"/>
        <v/>
      </c>
      <c r="S1179" t="str">
        <f t="shared" si="184"/>
        <v/>
      </c>
      <c r="T1179" t="str">
        <f t="shared" si="185"/>
        <v/>
      </c>
      <c r="U1179" t="str">
        <f t="shared" si="186"/>
        <v/>
      </c>
      <c r="V1179" t="str">
        <f t="shared" si="187"/>
        <v/>
      </c>
      <c r="W1179" t="str">
        <f t="shared" si="188"/>
        <v/>
      </c>
      <c r="X1179">
        <f>IF($T1179="",N($X1178),IF(MATCH($T1179,$T$6:$T$10005,0)=ROW()-5,N($X1178)+1,N($X1178)))</f>
        <v>0</v>
      </c>
      <c r="Z1179" t="str">
        <f t="shared" si="189"/>
        <v/>
      </c>
      <c r="AA1179">
        <f>IF($V1179="",N($AA1178),IF(MATCH($V1179,$V$6:$V$10005,0)=ROW()-5,N($AA1178)+1,N($AA1178)))</f>
        <v>0</v>
      </c>
    </row>
    <row r="1180" spans="1:27" ht="21" customHeight="1" x14ac:dyDescent="0.95">
      <c r="A1180" s="56"/>
      <c r="B1180" s="57"/>
      <c r="C1180" s="57"/>
      <c r="D1180" s="57"/>
      <c r="E1180" s="56"/>
      <c r="F1180" s="57"/>
      <c r="G1180" s="57"/>
      <c r="H1180" s="56"/>
      <c r="I1180" s="56"/>
      <c r="J1180" s="58"/>
      <c r="K1180" s="58"/>
      <c r="L1180" s="13" t="str">
        <f t="shared" si="180"/>
        <v/>
      </c>
      <c r="M1180" s="13" t="str">
        <f t="shared" si="181"/>
        <v/>
      </c>
      <c r="Q1180" t="str">
        <f t="shared" si="182"/>
        <v/>
      </c>
      <c r="R1180" t="str">
        <f t="shared" si="183"/>
        <v/>
      </c>
      <c r="S1180" t="str">
        <f t="shared" si="184"/>
        <v/>
      </c>
      <c r="T1180" t="str">
        <f t="shared" si="185"/>
        <v/>
      </c>
      <c r="U1180" t="str">
        <f t="shared" si="186"/>
        <v/>
      </c>
      <c r="V1180" t="str">
        <f t="shared" si="187"/>
        <v/>
      </c>
      <c r="W1180" t="str">
        <f t="shared" si="188"/>
        <v/>
      </c>
      <c r="X1180">
        <f>IF($T1180="",N($X1179),IF(MATCH($T1180,$T$6:$T$10005,0)=ROW()-5,N($X1179)+1,N($X1179)))</f>
        <v>0</v>
      </c>
      <c r="Z1180" t="str">
        <f t="shared" si="189"/>
        <v/>
      </c>
      <c r="AA1180">
        <f>IF($V1180="",N($AA1179),IF(MATCH($V1180,$V$6:$V$10005,0)=ROW()-5,N($AA1179)+1,N($AA1179)))</f>
        <v>0</v>
      </c>
    </row>
    <row r="1181" spans="1:27" ht="21" customHeight="1" x14ac:dyDescent="0.95">
      <c r="A1181" s="56"/>
      <c r="B1181" s="57"/>
      <c r="C1181" s="57"/>
      <c r="D1181" s="57"/>
      <c r="E1181" s="56"/>
      <c r="F1181" s="57"/>
      <c r="G1181" s="57"/>
      <c r="H1181" s="56"/>
      <c r="I1181" s="56"/>
      <c r="J1181" s="58"/>
      <c r="K1181" s="58"/>
      <c r="L1181" s="13" t="str">
        <f t="shared" si="180"/>
        <v/>
      </c>
      <c r="M1181" s="13" t="str">
        <f t="shared" si="181"/>
        <v/>
      </c>
      <c r="Q1181" t="str">
        <f t="shared" si="182"/>
        <v/>
      </c>
      <c r="R1181" t="str">
        <f t="shared" si="183"/>
        <v/>
      </c>
      <c r="S1181" t="str">
        <f t="shared" si="184"/>
        <v/>
      </c>
      <c r="T1181" t="str">
        <f t="shared" si="185"/>
        <v/>
      </c>
      <c r="U1181" t="str">
        <f t="shared" si="186"/>
        <v/>
      </c>
      <c r="V1181" t="str">
        <f t="shared" si="187"/>
        <v/>
      </c>
      <c r="W1181" t="str">
        <f t="shared" si="188"/>
        <v/>
      </c>
      <c r="X1181">
        <f>IF($T1181="",N($X1180),IF(MATCH($T1181,$T$6:$T$10005,0)=ROW()-5,N($X1180)+1,N($X1180)))</f>
        <v>0</v>
      </c>
      <c r="Z1181" t="str">
        <f t="shared" si="189"/>
        <v/>
      </c>
      <c r="AA1181">
        <f>IF($V1181="",N($AA1180),IF(MATCH($V1181,$V$6:$V$10005,0)=ROW()-5,N($AA1180)+1,N($AA1180)))</f>
        <v>0</v>
      </c>
    </row>
    <row r="1182" spans="1:27" ht="21" customHeight="1" x14ac:dyDescent="0.95">
      <c r="A1182" s="56"/>
      <c r="B1182" s="57"/>
      <c r="C1182" s="57"/>
      <c r="D1182" s="57"/>
      <c r="E1182" s="56"/>
      <c r="F1182" s="57"/>
      <c r="G1182" s="57"/>
      <c r="H1182" s="56"/>
      <c r="I1182" s="56"/>
      <c r="J1182" s="58"/>
      <c r="K1182" s="58"/>
      <c r="L1182" s="13" t="str">
        <f t="shared" si="180"/>
        <v/>
      </c>
      <c r="M1182" s="13" t="str">
        <f t="shared" si="181"/>
        <v/>
      </c>
      <c r="Q1182" t="str">
        <f t="shared" si="182"/>
        <v/>
      </c>
      <c r="R1182" t="str">
        <f t="shared" si="183"/>
        <v/>
      </c>
      <c r="S1182" t="str">
        <f t="shared" si="184"/>
        <v/>
      </c>
      <c r="T1182" t="str">
        <f t="shared" si="185"/>
        <v/>
      </c>
      <c r="U1182" t="str">
        <f t="shared" si="186"/>
        <v/>
      </c>
      <c r="V1182" t="str">
        <f t="shared" si="187"/>
        <v/>
      </c>
      <c r="W1182" t="str">
        <f t="shared" si="188"/>
        <v/>
      </c>
      <c r="X1182">
        <f>IF($T1182="",N($X1181),IF(MATCH($T1182,$T$6:$T$10005,0)=ROW()-5,N($X1181)+1,N($X1181)))</f>
        <v>0</v>
      </c>
      <c r="Z1182" t="str">
        <f t="shared" si="189"/>
        <v/>
      </c>
      <c r="AA1182">
        <f>IF($V1182="",N($AA1181),IF(MATCH($V1182,$V$6:$V$10005,0)=ROW()-5,N($AA1181)+1,N($AA1181)))</f>
        <v>0</v>
      </c>
    </row>
    <row r="1183" spans="1:27" ht="21" customHeight="1" x14ac:dyDescent="0.95">
      <c r="A1183" s="56"/>
      <c r="B1183" s="57"/>
      <c r="C1183" s="57"/>
      <c r="D1183" s="57"/>
      <c r="E1183" s="56"/>
      <c r="F1183" s="57"/>
      <c r="G1183" s="57"/>
      <c r="H1183" s="56"/>
      <c r="I1183" s="56"/>
      <c r="J1183" s="58"/>
      <c r="K1183" s="58"/>
      <c r="L1183" s="13" t="str">
        <f t="shared" si="180"/>
        <v/>
      </c>
      <c r="M1183" s="13" t="str">
        <f t="shared" si="181"/>
        <v/>
      </c>
      <c r="Q1183" t="str">
        <f t="shared" si="182"/>
        <v/>
      </c>
      <c r="R1183" t="str">
        <f t="shared" si="183"/>
        <v/>
      </c>
      <c r="S1183" t="str">
        <f t="shared" si="184"/>
        <v/>
      </c>
      <c r="T1183" t="str">
        <f t="shared" si="185"/>
        <v/>
      </c>
      <c r="U1183" t="str">
        <f t="shared" si="186"/>
        <v/>
      </c>
      <c r="V1183" t="str">
        <f t="shared" si="187"/>
        <v/>
      </c>
      <c r="W1183" t="str">
        <f t="shared" si="188"/>
        <v/>
      </c>
      <c r="X1183">
        <f>IF($T1183="",N($X1182),IF(MATCH($T1183,$T$6:$T$10005,0)=ROW()-5,N($X1182)+1,N($X1182)))</f>
        <v>0</v>
      </c>
      <c r="Z1183" t="str">
        <f t="shared" si="189"/>
        <v/>
      </c>
      <c r="AA1183">
        <f>IF($V1183="",N($AA1182),IF(MATCH($V1183,$V$6:$V$10005,0)=ROW()-5,N($AA1182)+1,N($AA1182)))</f>
        <v>0</v>
      </c>
    </row>
    <row r="1184" spans="1:27" ht="21" customHeight="1" x14ac:dyDescent="0.95">
      <c r="A1184" s="56"/>
      <c r="B1184" s="57"/>
      <c r="C1184" s="57"/>
      <c r="D1184" s="57"/>
      <c r="E1184" s="56"/>
      <c r="F1184" s="57"/>
      <c r="G1184" s="57"/>
      <c r="H1184" s="56"/>
      <c r="I1184" s="56"/>
      <c r="J1184" s="58"/>
      <c r="K1184" s="58"/>
      <c r="L1184" s="13" t="str">
        <f t="shared" si="180"/>
        <v/>
      </c>
      <c r="M1184" s="13" t="str">
        <f t="shared" si="181"/>
        <v/>
      </c>
      <c r="Q1184" t="str">
        <f t="shared" si="182"/>
        <v/>
      </c>
      <c r="R1184" t="str">
        <f t="shared" si="183"/>
        <v/>
      </c>
      <c r="S1184" t="str">
        <f t="shared" si="184"/>
        <v/>
      </c>
      <c r="T1184" t="str">
        <f t="shared" si="185"/>
        <v/>
      </c>
      <c r="U1184" t="str">
        <f t="shared" si="186"/>
        <v/>
      </c>
      <c r="V1184" t="str">
        <f t="shared" si="187"/>
        <v/>
      </c>
      <c r="W1184" t="str">
        <f t="shared" si="188"/>
        <v/>
      </c>
      <c r="X1184">
        <f>IF($T1184="",N($X1183),IF(MATCH($T1184,$T$6:$T$10005,0)=ROW()-5,N($X1183)+1,N($X1183)))</f>
        <v>0</v>
      </c>
      <c r="Z1184" t="str">
        <f t="shared" si="189"/>
        <v/>
      </c>
      <c r="AA1184">
        <f>IF($V1184="",N($AA1183),IF(MATCH($V1184,$V$6:$V$10005,0)=ROW()-5,N($AA1183)+1,N($AA1183)))</f>
        <v>0</v>
      </c>
    </row>
    <row r="1185" spans="1:27" ht="21" customHeight="1" x14ac:dyDescent="0.95">
      <c r="A1185" s="56"/>
      <c r="B1185" s="57"/>
      <c r="C1185" s="57"/>
      <c r="D1185" s="57"/>
      <c r="E1185" s="56"/>
      <c r="F1185" s="57"/>
      <c r="G1185" s="57"/>
      <c r="H1185" s="56"/>
      <c r="I1185" s="56"/>
      <c r="J1185" s="58"/>
      <c r="K1185" s="58"/>
      <c r="L1185" s="13" t="str">
        <f t="shared" si="180"/>
        <v/>
      </c>
      <c r="M1185" s="13" t="str">
        <f t="shared" si="181"/>
        <v/>
      </c>
      <c r="Q1185" t="str">
        <f t="shared" si="182"/>
        <v/>
      </c>
      <c r="R1185" t="str">
        <f t="shared" si="183"/>
        <v/>
      </c>
      <c r="S1185" t="str">
        <f t="shared" si="184"/>
        <v/>
      </c>
      <c r="T1185" t="str">
        <f t="shared" si="185"/>
        <v/>
      </c>
      <c r="U1185" t="str">
        <f t="shared" si="186"/>
        <v/>
      </c>
      <c r="V1185" t="str">
        <f t="shared" si="187"/>
        <v/>
      </c>
      <c r="W1185" t="str">
        <f t="shared" si="188"/>
        <v/>
      </c>
      <c r="X1185">
        <f>IF($T1185="",N($X1184),IF(MATCH($T1185,$T$6:$T$10005,0)=ROW()-5,N($X1184)+1,N($X1184)))</f>
        <v>0</v>
      </c>
      <c r="Z1185" t="str">
        <f t="shared" si="189"/>
        <v/>
      </c>
      <c r="AA1185">
        <f>IF($V1185="",N($AA1184),IF(MATCH($V1185,$V$6:$V$10005,0)=ROW()-5,N($AA1184)+1,N($AA1184)))</f>
        <v>0</v>
      </c>
    </row>
    <row r="1186" spans="1:27" ht="21" customHeight="1" x14ac:dyDescent="0.95">
      <c r="A1186" s="56"/>
      <c r="B1186" s="57"/>
      <c r="C1186" s="57"/>
      <c r="D1186" s="57"/>
      <c r="E1186" s="56"/>
      <c r="F1186" s="57"/>
      <c r="G1186" s="57"/>
      <c r="H1186" s="56"/>
      <c r="I1186" s="56"/>
      <c r="J1186" s="58"/>
      <c r="K1186" s="58"/>
      <c r="L1186" s="13" t="str">
        <f t="shared" si="180"/>
        <v/>
      </c>
      <c r="M1186" s="13" t="str">
        <f t="shared" si="181"/>
        <v/>
      </c>
      <c r="Q1186" t="str">
        <f t="shared" si="182"/>
        <v/>
      </c>
      <c r="R1186" t="str">
        <f t="shared" si="183"/>
        <v/>
      </c>
      <c r="S1186" t="str">
        <f t="shared" si="184"/>
        <v/>
      </c>
      <c r="T1186" t="str">
        <f t="shared" si="185"/>
        <v/>
      </c>
      <c r="U1186" t="str">
        <f t="shared" si="186"/>
        <v/>
      </c>
      <c r="V1186" t="str">
        <f t="shared" si="187"/>
        <v/>
      </c>
      <c r="W1186" t="str">
        <f t="shared" si="188"/>
        <v/>
      </c>
      <c r="X1186">
        <f>IF($T1186="",N($X1185),IF(MATCH($T1186,$T$6:$T$10005,0)=ROW()-5,N($X1185)+1,N($X1185)))</f>
        <v>0</v>
      </c>
      <c r="Z1186" t="str">
        <f t="shared" si="189"/>
        <v/>
      </c>
      <c r="AA1186">
        <f>IF($V1186="",N($AA1185),IF(MATCH($V1186,$V$6:$V$10005,0)=ROW()-5,N($AA1185)+1,N($AA1185)))</f>
        <v>0</v>
      </c>
    </row>
    <row r="1187" spans="1:27" ht="21" customHeight="1" x14ac:dyDescent="0.95">
      <c r="A1187" s="56"/>
      <c r="B1187" s="57"/>
      <c r="C1187" s="57"/>
      <c r="D1187" s="57"/>
      <c r="E1187" s="56"/>
      <c r="F1187" s="57"/>
      <c r="G1187" s="57"/>
      <c r="H1187" s="56"/>
      <c r="I1187" s="56"/>
      <c r="J1187" s="58"/>
      <c r="K1187" s="58"/>
      <c r="L1187" s="13" t="str">
        <f t="shared" si="180"/>
        <v/>
      </c>
      <c r="M1187" s="13" t="str">
        <f t="shared" si="181"/>
        <v/>
      </c>
      <c r="Q1187" t="str">
        <f t="shared" si="182"/>
        <v/>
      </c>
      <c r="R1187" t="str">
        <f t="shared" si="183"/>
        <v/>
      </c>
      <c r="S1187" t="str">
        <f t="shared" si="184"/>
        <v/>
      </c>
      <c r="T1187" t="str">
        <f t="shared" si="185"/>
        <v/>
      </c>
      <c r="U1187" t="str">
        <f t="shared" si="186"/>
        <v/>
      </c>
      <c r="V1187" t="str">
        <f t="shared" si="187"/>
        <v/>
      </c>
      <c r="W1187" t="str">
        <f t="shared" si="188"/>
        <v/>
      </c>
      <c r="X1187">
        <f>IF($T1187="",N($X1186),IF(MATCH($T1187,$T$6:$T$10005,0)=ROW()-5,N($X1186)+1,N($X1186)))</f>
        <v>0</v>
      </c>
      <c r="Z1187" t="str">
        <f t="shared" si="189"/>
        <v/>
      </c>
      <c r="AA1187">
        <f>IF($V1187="",N($AA1186),IF(MATCH($V1187,$V$6:$V$10005,0)=ROW()-5,N($AA1186)+1,N($AA1186)))</f>
        <v>0</v>
      </c>
    </row>
    <row r="1188" spans="1:27" ht="21" customHeight="1" x14ac:dyDescent="0.95">
      <c r="A1188" s="56"/>
      <c r="B1188" s="57"/>
      <c r="C1188" s="57"/>
      <c r="D1188" s="57"/>
      <c r="E1188" s="56"/>
      <c r="F1188" s="57"/>
      <c r="G1188" s="57"/>
      <c r="H1188" s="56"/>
      <c r="I1188" s="56"/>
      <c r="J1188" s="58"/>
      <c r="K1188" s="58"/>
      <c r="L1188" s="13" t="str">
        <f t="shared" si="180"/>
        <v/>
      </c>
      <c r="M1188" s="13" t="str">
        <f t="shared" si="181"/>
        <v/>
      </c>
      <c r="Q1188" t="str">
        <f t="shared" si="182"/>
        <v/>
      </c>
      <c r="R1188" t="str">
        <f t="shared" si="183"/>
        <v/>
      </c>
      <c r="S1188" t="str">
        <f t="shared" si="184"/>
        <v/>
      </c>
      <c r="T1188" t="str">
        <f t="shared" si="185"/>
        <v/>
      </c>
      <c r="U1188" t="str">
        <f t="shared" si="186"/>
        <v/>
      </c>
      <c r="V1188" t="str">
        <f t="shared" si="187"/>
        <v/>
      </c>
      <c r="W1188" t="str">
        <f t="shared" si="188"/>
        <v/>
      </c>
      <c r="X1188">
        <f>IF($T1188="",N($X1187),IF(MATCH($T1188,$T$6:$T$10005,0)=ROW()-5,N($X1187)+1,N($X1187)))</f>
        <v>0</v>
      </c>
      <c r="Z1188" t="str">
        <f t="shared" si="189"/>
        <v/>
      </c>
      <c r="AA1188">
        <f>IF($V1188="",N($AA1187),IF(MATCH($V1188,$V$6:$V$10005,0)=ROW()-5,N($AA1187)+1,N($AA1187)))</f>
        <v>0</v>
      </c>
    </row>
    <row r="1189" spans="1:27" ht="21" customHeight="1" x14ac:dyDescent="0.95">
      <c r="A1189" s="56"/>
      <c r="B1189" s="57"/>
      <c r="C1189" s="57"/>
      <c r="D1189" s="57"/>
      <c r="E1189" s="56"/>
      <c r="F1189" s="57"/>
      <c r="G1189" s="57"/>
      <c r="H1189" s="56"/>
      <c r="I1189" s="56"/>
      <c r="J1189" s="58"/>
      <c r="K1189" s="58"/>
      <c r="L1189" s="13" t="str">
        <f t="shared" si="180"/>
        <v/>
      </c>
      <c r="M1189" s="13" t="str">
        <f t="shared" si="181"/>
        <v/>
      </c>
      <c r="Q1189" t="str">
        <f t="shared" si="182"/>
        <v/>
      </c>
      <c r="R1189" t="str">
        <f t="shared" si="183"/>
        <v/>
      </c>
      <c r="S1189" t="str">
        <f t="shared" si="184"/>
        <v/>
      </c>
      <c r="T1189" t="str">
        <f t="shared" si="185"/>
        <v/>
      </c>
      <c r="U1189" t="str">
        <f t="shared" si="186"/>
        <v/>
      </c>
      <c r="V1189" t="str">
        <f t="shared" si="187"/>
        <v/>
      </c>
      <c r="W1189" t="str">
        <f t="shared" si="188"/>
        <v/>
      </c>
      <c r="X1189">
        <f>IF($T1189="",N($X1188),IF(MATCH($T1189,$T$6:$T$10005,0)=ROW()-5,N($X1188)+1,N($X1188)))</f>
        <v>0</v>
      </c>
      <c r="Z1189" t="str">
        <f t="shared" si="189"/>
        <v/>
      </c>
      <c r="AA1189">
        <f>IF($V1189="",N($AA1188),IF(MATCH($V1189,$V$6:$V$10005,0)=ROW()-5,N($AA1188)+1,N($AA1188)))</f>
        <v>0</v>
      </c>
    </row>
    <row r="1190" spans="1:27" ht="21" customHeight="1" x14ac:dyDescent="0.95">
      <c r="A1190" s="56"/>
      <c r="B1190" s="57"/>
      <c r="C1190" s="57"/>
      <c r="D1190" s="57"/>
      <c r="E1190" s="56"/>
      <c r="F1190" s="57"/>
      <c r="G1190" s="57"/>
      <c r="H1190" s="56"/>
      <c r="I1190" s="56"/>
      <c r="J1190" s="58"/>
      <c r="K1190" s="58"/>
      <c r="L1190" s="13" t="str">
        <f t="shared" si="180"/>
        <v/>
      </c>
      <c r="M1190" s="13" t="str">
        <f t="shared" si="181"/>
        <v/>
      </c>
      <c r="Q1190" t="str">
        <f t="shared" si="182"/>
        <v/>
      </c>
      <c r="R1190" t="str">
        <f t="shared" si="183"/>
        <v/>
      </c>
      <c r="S1190" t="str">
        <f t="shared" si="184"/>
        <v/>
      </c>
      <c r="T1190" t="str">
        <f t="shared" si="185"/>
        <v/>
      </c>
      <c r="U1190" t="str">
        <f t="shared" si="186"/>
        <v/>
      </c>
      <c r="V1190" t="str">
        <f t="shared" si="187"/>
        <v/>
      </c>
      <c r="W1190" t="str">
        <f t="shared" si="188"/>
        <v/>
      </c>
      <c r="X1190">
        <f>IF($T1190="",N($X1189),IF(MATCH($T1190,$T$6:$T$10005,0)=ROW()-5,N($X1189)+1,N($X1189)))</f>
        <v>0</v>
      </c>
      <c r="Z1190" t="str">
        <f t="shared" si="189"/>
        <v/>
      </c>
      <c r="AA1190">
        <f>IF($V1190="",N($AA1189),IF(MATCH($V1190,$V$6:$V$10005,0)=ROW()-5,N($AA1189)+1,N($AA1189)))</f>
        <v>0</v>
      </c>
    </row>
    <row r="1191" spans="1:27" ht="21" customHeight="1" x14ac:dyDescent="0.95">
      <c r="A1191" s="56"/>
      <c r="B1191" s="57"/>
      <c r="C1191" s="57"/>
      <c r="D1191" s="57"/>
      <c r="E1191" s="56"/>
      <c r="F1191" s="57"/>
      <c r="G1191" s="57"/>
      <c r="H1191" s="56"/>
      <c r="I1191" s="56"/>
      <c r="J1191" s="58"/>
      <c r="K1191" s="58"/>
      <c r="L1191" s="13" t="str">
        <f t="shared" si="180"/>
        <v/>
      </c>
      <c r="M1191" s="13" t="str">
        <f t="shared" si="181"/>
        <v/>
      </c>
      <c r="Q1191" t="str">
        <f t="shared" si="182"/>
        <v/>
      </c>
      <c r="R1191" t="str">
        <f t="shared" si="183"/>
        <v/>
      </c>
      <c r="S1191" t="str">
        <f t="shared" si="184"/>
        <v/>
      </c>
      <c r="T1191" t="str">
        <f t="shared" si="185"/>
        <v/>
      </c>
      <c r="U1191" t="str">
        <f t="shared" si="186"/>
        <v/>
      </c>
      <c r="V1191" t="str">
        <f t="shared" si="187"/>
        <v/>
      </c>
      <c r="W1191" t="str">
        <f t="shared" si="188"/>
        <v/>
      </c>
      <c r="X1191">
        <f>IF($T1191="",N($X1190),IF(MATCH($T1191,$T$6:$T$10005,0)=ROW()-5,N($X1190)+1,N($X1190)))</f>
        <v>0</v>
      </c>
      <c r="Z1191" t="str">
        <f t="shared" si="189"/>
        <v/>
      </c>
      <c r="AA1191">
        <f>IF($V1191="",N($AA1190),IF(MATCH($V1191,$V$6:$V$10005,0)=ROW()-5,N($AA1190)+1,N($AA1190)))</f>
        <v>0</v>
      </c>
    </row>
    <row r="1192" spans="1:27" ht="21" customHeight="1" x14ac:dyDescent="0.95">
      <c r="A1192" s="56"/>
      <c r="B1192" s="57"/>
      <c r="C1192" s="57"/>
      <c r="D1192" s="57"/>
      <c r="E1192" s="56"/>
      <c r="F1192" s="57"/>
      <c r="G1192" s="57"/>
      <c r="H1192" s="56"/>
      <c r="I1192" s="56"/>
      <c r="J1192" s="58"/>
      <c r="K1192" s="58"/>
      <c r="L1192" s="13" t="str">
        <f t="shared" si="180"/>
        <v/>
      </c>
      <c r="M1192" s="13" t="str">
        <f t="shared" si="181"/>
        <v/>
      </c>
      <c r="Q1192" t="str">
        <f t="shared" si="182"/>
        <v/>
      </c>
      <c r="R1192" t="str">
        <f t="shared" si="183"/>
        <v/>
      </c>
      <c r="S1192" t="str">
        <f t="shared" si="184"/>
        <v/>
      </c>
      <c r="T1192" t="str">
        <f t="shared" si="185"/>
        <v/>
      </c>
      <c r="U1192" t="str">
        <f t="shared" si="186"/>
        <v/>
      </c>
      <c r="V1192" t="str">
        <f t="shared" si="187"/>
        <v/>
      </c>
      <c r="W1192" t="str">
        <f t="shared" si="188"/>
        <v/>
      </c>
      <c r="X1192">
        <f>IF($T1192="",N($X1191),IF(MATCH($T1192,$T$6:$T$10005,0)=ROW()-5,N($X1191)+1,N($X1191)))</f>
        <v>0</v>
      </c>
      <c r="Z1192" t="str">
        <f t="shared" si="189"/>
        <v/>
      </c>
      <c r="AA1192">
        <f>IF($V1192="",N($AA1191),IF(MATCH($V1192,$V$6:$V$10005,0)=ROW()-5,N($AA1191)+1,N($AA1191)))</f>
        <v>0</v>
      </c>
    </row>
    <row r="1193" spans="1:27" ht="21" customHeight="1" x14ac:dyDescent="0.95">
      <c r="A1193" s="56"/>
      <c r="B1193" s="57"/>
      <c r="C1193" s="57"/>
      <c r="D1193" s="57"/>
      <c r="E1193" s="56"/>
      <c r="F1193" s="57"/>
      <c r="G1193" s="57"/>
      <c r="H1193" s="56"/>
      <c r="I1193" s="56"/>
      <c r="J1193" s="58"/>
      <c r="K1193" s="58"/>
      <c r="L1193" s="13" t="str">
        <f t="shared" si="180"/>
        <v/>
      </c>
      <c r="M1193" s="13" t="str">
        <f t="shared" si="181"/>
        <v/>
      </c>
      <c r="Q1193" t="str">
        <f t="shared" si="182"/>
        <v/>
      </c>
      <c r="R1193" t="str">
        <f t="shared" si="183"/>
        <v/>
      </c>
      <c r="S1193" t="str">
        <f t="shared" si="184"/>
        <v/>
      </c>
      <c r="T1193" t="str">
        <f t="shared" si="185"/>
        <v/>
      </c>
      <c r="U1193" t="str">
        <f t="shared" si="186"/>
        <v/>
      </c>
      <c r="V1193" t="str">
        <f t="shared" si="187"/>
        <v/>
      </c>
      <c r="W1193" t="str">
        <f t="shared" si="188"/>
        <v/>
      </c>
      <c r="X1193">
        <f>IF($T1193="",N($X1192),IF(MATCH($T1193,$T$6:$T$10005,0)=ROW()-5,N($X1192)+1,N($X1192)))</f>
        <v>0</v>
      </c>
      <c r="Z1193" t="str">
        <f t="shared" si="189"/>
        <v/>
      </c>
      <c r="AA1193">
        <f>IF($V1193="",N($AA1192),IF(MATCH($V1193,$V$6:$V$10005,0)=ROW()-5,N($AA1192)+1,N($AA1192)))</f>
        <v>0</v>
      </c>
    </row>
    <row r="1194" spans="1:27" ht="21" customHeight="1" x14ac:dyDescent="0.95">
      <c r="A1194" s="56"/>
      <c r="B1194" s="57"/>
      <c r="C1194" s="57"/>
      <c r="D1194" s="57"/>
      <c r="E1194" s="56"/>
      <c r="F1194" s="57"/>
      <c r="G1194" s="57"/>
      <c r="H1194" s="56"/>
      <c r="I1194" s="56"/>
      <c r="J1194" s="58"/>
      <c r="K1194" s="58"/>
      <c r="L1194" s="13" t="str">
        <f t="shared" si="180"/>
        <v/>
      </c>
      <c r="M1194" s="13" t="str">
        <f t="shared" si="181"/>
        <v/>
      </c>
      <c r="Q1194" t="str">
        <f t="shared" si="182"/>
        <v/>
      </c>
      <c r="R1194" t="str">
        <f t="shared" si="183"/>
        <v/>
      </c>
      <c r="S1194" t="str">
        <f t="shared" si="184"/>
        <v/>
      </c>
      <c r="T1194" t="str">
        <f t="shared" si="185"/>
        <v/>
      </c>
      <c r="U1194" t="str">
        <f t="shared" si="186"/>
        <v/>
      </c>
      <c r="V1194" t="str">
        <f t="shared" si="187"/>
        <v/>
      </c>
      <c r="W1194" t="str">
        <f t="shared" si="188"/>
        <v/>
      </c>
      <c r="X1194">
        <f>IF($T1194="",N($X1193),IF(MATCH($T1194,$T$6:$T$10005,0)=ROW()-5,N($X1193)+1,N($X1193)))</f>
        <v>0</v>
      </c>
      <c r="Z1194" t="str">
        <f t="shared" si="189"/>
        <v/>
      </c>
      <c r="AA1194">
        <f>IF($V1194="",N($AA1193),IF(MATCH($V1194,$V$6:$V$10005,0)=ROW()-5,N($AA1193)+1,N($AA1193)))</f>
        <v>0</v>
      </c>
    </row>
    <row r="1195" spans="1:27" ht="21" customHeight="1" x14ac:dyDescent="0.95">
      <c r="A1195" s="56"/>
      <c r="B1195" s="57"/>
      <c r="C1195" s="57"/>
      <c r="D1195" s="57"/>
      <c r="E1195" s="56"/>
      <c r="F1195" s="57"/>
      <c r="G1195" s="57"/>
      <c r="H1195" s="56"/>
      <c r="I1195" s="56"/>
      <c r="J1195" s="58"/>
      <c r="K1195" s="58"/>
      <c r="L1195" s="13" t="str">
        <f t="shared" si="180"/>
        <v/>
      </c>
      <c r="M1195" s="13" t="str">
        <f t="shared" si="181"/>
        <v/>
      </c>
      <c r="Q1195" t="str">
        <f t="shared" si="182"/>
        <v/>
      </c>
      <c r="R1195" t="str">
        <f t="shared" si="183"/>
        <v/>
      </c>
      <c r="S1195" t="str">
        <f t="shared" si="184"/>
        <v/>
      </c>
      <c r="T1195" t="str">
        <f t="shared" si="185"/>
        <v/>
      </c>
      <c r="U1195" t="str">
        <f t="shared" si="186"/>
        <v/>
      </c>
      <c r="V1195" t="str">
        <f t="shared" si="187"/>
        <v/>
      </c>
      <c r="W1195" t="str">
        <f t="shared" si="188"/>
        <v/>
      </c>
      <c r="X1195">
        <f>IF($T1195="",N($X1194),IF(MATCH($T1195,$T$6:$T$10005,0)=ROW()-5,N($X1194)+1,N($X1194)))</f>
        <v>0</v>
      </c>
      <c r="Z1195" t="str">
        <f t="shared" si="189"/>
        <v/>
      </c>
      <c r="AA1195">
        <f>IF($V1195="",N($AA1194),IF(MATCH($V1195,$V$6:$V$10005,0)=ROW()-5,N($AA1194)+1,N($AA1194)))</f>
        <v>0</v>
      </c>
    </row>
    <row r="1196" spans="1:27" ht="21" customHeight="1" x14ac:dyDescent="0.95">
      <c r="A1196" s="56"/>
      <c r="B1196" s="57"/>
      <c r="C1196" s="57"/>
      <c r="D1196" s="57"/>
      <c r="E1196" s="56"/>
      <c r="F1196" s="57"/>
      <c r="G1196" s="57"/>
      <c r="H1196" s="56"/>
      <c r="I1196" s="56"/>
      <c r="J1196" s="58"/>
      <c r="K1196" s="58"/>
      <c r="L1196" s="13" t="str">
        <f t="shared" si="180"/>
        <v/>
      </c>
      <c r="M1196" s="13" t="str">
        <f t="shared" si="181"/>
        <v/>
      </c>
      <c r="Q1196" t="str">
        <f t="shared" si="182"/>
        <v/>
      </c>
      <c r="R1196" t="str">
        <f t="shared" si="183"/>
        <v/>
      </c>
      <c r="S1196" t="str">
        <f t="shared" si="184"/>
        <v/>
      </c>
      <c r="T1196" t="str">
        <f t="shared" si="185"/>
        <v/>
      </c>
      <c r="U1196" t="str">
        <f t="shared" si="186"/>
        <v/>
      </c>
      <c r="V1196" t="str">
        <f t="shared" si="187"/>
        <v/>
      </c>
      <c r="W1196" t="str">
        <f t="shared" si="188"/>
        <v/>
      </c>
      <c r="X1196">
        <f>IF($T1196="",N($X1195),IF(MATCH($T1196,$T$6:$T$10005,0)=ROW()-5,N($X1195)+1,N($X1195)))</f>
        <v>0</v>
      </c>
      <c r="Z1196" t="str">
        <f t="shared" si="189"/>
        <v/>
      </c>
      <c r="AA1196">
        <f>IF($V1196="",N($AA1195),IF(MATCH($V1196,$V$6:$V$10005,0)=ROW()-5,N($AA1195)+1,N($AA1195)))</f>
        <v>0</v>
      </c>
    </row>
    <row r="1197" spans="1:27" ht="21" customHeight="1" x14ac:dyDescent="0.95">
      <c r="A1197" s="56"/>
      <c r="B1197" s="57"/>
      <c r="C1197" s="57"/>
      <c r="D1197" s="57"/>
      <c r="E1197" s="56"/>
      <c r="F1197" s="57"/>
      <c r="G1197" s="57"/>
      <c r="H1197" s="56"/>
      <c r="I1197" s="56"/>
      <c r="J1197" s="58"/>
      <c r="K1197" s="58"/>
      <c r="L1197" s="13" t="str">
        <f t="shared" si="180"/>
        <v/>
      </c>
      <c r="M1197" s="13" t="str">
        <f t="shared" si="181"/>
        <v/>
      </c>
      <c r="Q1197" t="str">
        <f t="shared" si="182"/>
        <v/>
      </c>
      <c r="R1197" t="str">
        <f t="shared" si="183"/>
        <v/>
      </c>
      <c r="S1197" t="str">
        <f t="shared" si="184"/>
        <v/>
      </c>
      <c r="T1197" t="str">
        <f t="shared" si="185"/>
        <v/>
      </c>
      <c r="U1197" t="str">
        <f t="shared" si="186"/>
        <v/>
      </c>
      <c r="V1197" t="str">
        <f t="shared" si="187"/>
        <v/>
      </c>
      <c r="W1197" t="str">
        <f t="shared" si="188"/>
        <v/>
      </c>
      <c r="X1197">
        <f>IF($T1197="",N($X1196),IF(MATCH($T1197,$T$6:$T$10005,0)=ROW()-5,N($X1196)+1,N($X1196)))</f>
        <v>0</v>
      </c>
      <c r="Z1197" t="str">
        <f t="shared" si="189"/>
        <v/>
      </c>
      <c r="AA1197">
        <f>IF($V1197="",N($AA1196),IF(MATCH($V1197,$V$6:$V$10005,0)=ROW()-5,N($AA1196)+1,N($AA1196)))</f>
        <v>0</v>
      </c>
    </row>
    <row r="1198" spans="1:27" ht="21" customHeight="1" x14ac:dyDescent="0.95">
      <c r="A1198" s="56"/>
      <c r="B1198" s="57"/>
      <c r="C1198" s="57"/>
      <c r="D1198" s="57"/>
      <c r="E1198" s="56"/>
      <c r="F1198" s="57"/>
      <c r="G1198" s="57"/>
      <c r="H1198" s="56"/>
      <c r="I1198" s="56"/>
      <c r="J1198" s="58"/>
      <c r="K1198" s="58"/>
      <c r="L1198" s="13" t="str">
        <f t="shared" si="180"/>
        <v/>
      </c>
      <c r="M1198" s="13" t="str">
        <f t="shared" si="181"/>
        <v/>
      </c>
      <c r="Q1198" t="str">
        <f t="shared" si="182"/>
        <v/>
      </c>
      <c r="R1198" t="str">
        <f t="shared" si="183"/>
        <v/>
      </c>
      <c r="S1198" t="str">
        <f t="shared" si="184"/>
        <v/>
      </c>
      <c r="T1198" t="str">
        <f t="shared" si="185"/>
        <v/>
      </c>
      <c r="U1198" t="str">
        <f t="shared" si="186"/>
        <v/>
      </c>
      <c r="V1198" t="str">
        <f t="shared" si="187"/>
        <v/>
      </c>
      <c r="W1198" t="str">
        <f t="shared" si="188"/>
        <v/>
      </c>
      <c r="X1198">
        <f>IF($T1198="",N($X1197),IF(MATCH($T1198,$T$6:$T$10005,0)=ROW()-5,N($X1197)+1,N($X1197)))</f>
        <v>0</v>
      </c>
      <c r="Z1198" t="str">
        <f t="shared" si="189"/>
        <v/>
      </c>
      <c r="AA1198">
        <f>IF($V1198="",N($AA1197),IF(MATCH($V1198,$V$6:$V$10005,0)=ROW()-5,N($AA1197)+1,N($AA1197)))</f>
        <v>0</v>
      </c>
    </row>
    <row r="1199" spans="1:27" ht="21" customHeight="1" x14ac:dyDescent="0.95">
      <c r="A1199" s="56"/>
      <c r="B1199" s="57"/>
      <c r="C1199" s="57"/>
      <c r="D1199" s="57"/>
      <c r="E1199" s="56"/>
      <c r="F1199" s="57"/>
      <c r="G1199" s="57"/>
      <c r="H1199" s="56"/>
      <c r="I1199" s="56"/>
      <c r="J1199" s="58"/>
      <c r="K1199" s="58"/>
      <c r="L1199" s="13" t="str">
        <f t="shared" si="180"/>
        <v/>
      </c>
      <c r="M1199" s="13" t="str">
        <f t="shared" si="181"/>
        <v/>
      </c>
      <c r="Q1199" t="str">
        <f t="shared" si="182"/>
        <v/>
      </c>
      <c r="R1199" t="str">
        <f t="shared" si="183"/>
        <v/>
      </c>
      <c r="S1199" t="str">
        <f t="shared" si="184"/>
        <v/>
      </c>
      <c r="T1199" t="str">
        <f t="shared" si="185"/>
        <v/>
      </c>
      <c r="U1199" t="str">
        <f t="shared" si="186"/>
        <v/>
      </c>
      <c r="V1199" t="str">
        <f t="shared" si="187"/>
        <v/>
      </c>
      <c r="W1199" t="str">
        <f t="shared" si="188"/>
        <v/>
      </c>
      <c r="X1199">
        <f>IF($T1199="",N($X1198),IF(MATCH($T1199,$T$6:$T$10005,0)=ROW()-5,N($X1198)+1,N($X1198)))</f>
        <v>0</v>
      </c>
      <c r="Z1199" t="str">
        <f t="shared" si="189"/>
        <v/>
      </c>
      <c r="AA1199">
        <f>IF($V1199="",N($AA1198),IF(MATCH($V1199,$V$6:$V$10005,0)=ROW()-5,N($AA1198)+1,N($AA1198)))</f>
        <v>0</v>
      </c>
    </row>
    <row r="1200" spans="1:27" ht="21" customHeight="1" x14ac:dyDescent="0.95">
      <c r="A1200" s="56"/>
      <c r="B1200" s="57"/>
      <c r="C1200" s="57"/>
      <c r="D1200" s="57"/>
      <c r="E1200" s="56"/>
      <c r="F1200" s="57"/>
      <c r="G1200" s="57"/>
      <c r="H1200" s="56"/>
      <c r="I1200" s="56"/>
      <c r="J1200" s="58"/>
      <c r="K1200" s="58"/>
      <c r="L1200" s="13" t="str">
        <f t="shared" si="180"/>
        <v/>
      </c>
      <c r="M1200" s="13" t="str">
        <f t="shared" si="181"/>
        <v/>
      </c>
      <c r="Q1200" t="str">
        <f t="shared" si="182"/>
        <v/>
      </c>
      <c r="R1200" t="str">
        <f t="shared" si="183"/>
        <v/>
      </c>
      <c r="S1200" t="str">
        <f t="shared" si="184"/>
        <v/>
      </c>
      <c r="T1200" t="str">
        <f t="shared" si="185"/>
        <v/>
      </c>
      <c r="U1200" t="str">
        <f t="shared" si="186"/>
        <v/>
      </c>
      <c r="V1200" t="str">
        <f t="shared" si="187"/>
        <v/>
      </c>
      <c r="W1200" t="str">
        <f t="shared" si="188"/>
        <v/>
      </c>
      <c r="X1200">
        <f>IF($T1200="",N($X1199),IF(MATCH($T1200,$T$6:$T$10005,0)=ROW()-5,N($X1199)+1,N($X1199)))</f>
        <v>0</v>
      </c>
      <c r="Z1200" t="str">
        <f t="shared" si="189"/>
        <v/>
      </c>
      <c r="AA1200">
        <f>IF($V1200="",N($AA1199),IF(MATCH($V1200,$V$6:$V$10005,0)=ROW()-5,N($AA1199)+1,N($AA1199)))</f>
        <v>0</v>
      </c>
    </row>
    <row r="1201" spans="1:27" ht="21" customHeight="1" x14ac:dyDescent="0.95">
      <c r="A1201" s="56"/>
      <c r="B1201" s="57"/>
      <c r="C1201" s="57"/>
      <c r="D1201" s="57"/>
      <c r="E1201" s="56"/>
      <c r="F1201" s="57"/>
      <c r="G1201" s="57"/>
      <c r="H1201" s="56"/>
      <c r="I1201" s="56"/>
      <c r="J1201" s="58"/>
      <c r="K1201" s="58"/>
      <c r="L1201" s="13" t="str">
        <f t="shared" si="180"/>
        <v/>
      </c>
      <c r="M1201" s="13" t="str">
        <f t="shared" si="181"/>
        <v/>
      </c>
      <c r="Q1201" t="str">
        <f t="shared" si="182"/>
        <v/>
      </c>
      <c r="R1201" t="str">
        <f t="shared" si="183"/>
        <v/>
      </c>
      <c r="S1201" t="str">
        <f t="shared" si="184"/>
        <v/>
      </c>
      <c r="T1201" t="str">
        <f t="shared" si="185"/>
        <v/>
      </c>
      <c r="U1201" t="str">
        <f t="shared" si="186"/>
        <v/>
      </c>
      <c r="V1201" t="str">
        <f t="shared" si="187"/>
        <v/>
      </c>
      <c r="W1201" t="str">
        <f t="shared" si="188"/>
        <v/>
      </c>
      <c r="X1201">
        <f>IF($T1201="",N($X1200),IF(MATCH($T1201,$T$6:$T$10005,0)=ROW()-5,N($X1200)+1,N($X1200)))</f>
        <v>0</v>
      </c>
      <c r="Z1201" t="str">
        <f t="shared" si="189"/>
        <v/>
      </c>
      <c r="AA1201">
        <f>IF($V1201="",N($AA1200),IF(MATCH($V1201,$V$6:$V$10005,0)=ROW()-5,N($AA1200)+1,N($AA1200)))</f>
        <v>0</v>
      </c>
    </row>
    <row r="1202" spans="1:27" ht="21" customHeight="1" x14ac:dyDescent="0.95">
      <c r="A1202" s="56"/>
      <c r="B1202" s="57"/>
      <c r="C1202" s="57"/>
      <c r="D1202" s="57"/>
      <c r="E1202" s="56"/>
      <c r="F1202" s="57"/>
      <c r="G1202" s="57"/>
      <c r="H1202" s="56"/>
      <c r="I1202" s="56"/>
      <c r="J1202" s="58"/>
      <c r="K1202" s="58"/>
      <c r="L1202" s="13" t="str">
        <f t="shared" si="180"/>
        <v/>
      </c>
      <c r="M1202" s="13" t="str">
        <f t="shared" si="181"/>
        <v/>
      </c>
      <c r="Q1202" t="str">
        <f t="shared" si="182"/>
        <v/>
      </c>
      <c r="R1202" t="str">
        <f t="shared" si="183"/>
        <v/>
      </c>
      <c r="S1202" t="str">
        <f t="shared" si="184"/>
        <v/>
      </c>
      <c r="T1202" t="str">
        <f t="shared" si="185"/>
        <v/>
      </c>
      <c r="U1202" t="str">
        <f t="shared" si="186"/>
        <v/>
      </c>
      <c r="V1202" t="str">
        <f t="shared" si="187"/>
        <v/>
      </c>
      <c r="W1202" t="str">
        <f t="shared" si="188"/>
        <v/>
      </c>
      <c r="X1202">
        <f>IF($T1202="",N($X1201),IF(MATCH($T1202,$T$6:$T$10005,0)=ROW()-5,N($X1201)+1,N($X1201)))</f>
        <v>0</v>
      </c>
      <c r="Z1202" t="str">
        <f t="shared" si="189"/>
        <v/>
      </c>
      <c r="AA1202">
        <f>IF($V1202="",N($AA1201),IF(MATCH($V1202,$V$6:$V$10005,0)=ROW()-5,N($AA1201)+1,N($AA1201)))</f>
        <v>0</v>
      </c>
    </row>
    <row r="1203" spans="1:27" ht="21" customHeight="1" x14ac:dyDescent="0.95">
      <c r="A1203" s="56"/>
      <c r="B1203" s="57"/>
      <c r="C1203" s="57"/>
      <c r="D1203" s="57"/>
      <c r="E1203" s="56"/>
      <c r="F1203" s="57"/>
      <c r="G1203" s="57"/>
      <c r="H1203" s="56"/>
      <c r="I1203" s="56"/>
      <c r="J1203" s="58"/>
      <c r="K1203" s="58"/>
      <c r="L1203" s="13" t="str">
        <f t="shared" si="180"/>
        <v/>
      </c>
      <c r="M1203" s="13" t="str">
        <f t="shared" si="181"/>
        <v/>
      </c>
      <c r="Q1203" t="str">
        <f t="shared" si="182"/>
        <v/>
      </c>
      <c r="R1203" t="str">
        <f t="shared" si="183"/>
        <v/>
      </c>
      <c r="S1203" t="str">
        <f t="shared" si="184"/>
        <v/>
      </c>
      <c r="T1203" t="str">
        <f t="shared" si="185"/>
        <v/>
      </c>
      <c r="U1203" t="str">
        <f t="shared" si="186"/>
        <v/>
      </c>
      <c r="V1203" t="str">
        <f t="shared" si="187"/>
        <v/>
      </c>
      <c r="W1203" t="str">
        <f t="shared" si="188"/>
        <v/>
      </c>
      <c r="X1203">
        <f>IF($T1203="",N($X1202),IF(MATCH($T1203,$T$6:$T$10005,0)=ROW()-5,N($X1202)+1,N($X1202)))</f>
        <v>0</v>
      </c>
      <c r="Z1203" t="str">
        <f t="shared" si="189"/>
        <v/>
      </c>
      <c r="AA1203">
        <f>IF($V1203="",N($AA1202),IF(MATCH($V1203,$V$6:$V$10005,0)=ROW()-5,N($AA1202)+1,N($AA1202)))</f>
        <v>0</v>
      </c>
    </row>
    <row r="1204" spans="1:27" ht="21" customHeight="1" x14ac:dyDescent="0.95">
      <c r="A1204" s="56"/>
      <c r="B1204" s="57"/>
      <c r="C1204" s="57"/>
      <c r="D1204" s="57"/>
      <c r="E1204" s="56"/>
      <c r="F1204" s="57"/>
      <c r="G1204" s="57"/>
      <c r="H1204" s="56"/>
      <c r="I1204" s="56"/>
      <c r="J1204" s="58"/>
      <c r="K1204" s="58"/>
      <c r="L1204" s="13" t="str">
        <f t="shared" si="180"/>
        <v/>
      </c>
      <c r="M1204" s="13" t="str">
        <f t="shared" si="181"/>
        <v/>
      </c>
      <c r="Q1204" t="str">
        <f t="shared" si="182"/>
        <v/>
      </c>
      <c r="R1204" t="str">
        <f t="shared" si="183"/>
        <v/>
      </c>
      <c r="S1204" t="str">
        <f t="shared" si="184"/>
        <v/>
      </c>
      <c r="T1204" t="str">
        <f t="shared" si="185"/>
        <v/>
      </c>
      <c r="U1204" t="str">
        <f t="shared" si="186"/>
        <v/>
      </c>
      <c r="V1204" t="str">
        <f t="shared" si="187"/>
        <v/>
      </c>
      <c r="W1204" t="str">
        <f t="shared" si="188"/>
        <v/>
      </c>
      <c r="X1204">
        <f>IF($T1204="",N($X1203),IF(MATCH($T1204,$T$6:$T$10005,0)=ROW()-5,N($X1203)+1,N($X1203)))</f>
        <v>0</v>
      </c>
      <c r="Z1204" t="str">
        <f t="shared" si="189"/>
        <v/>
      </c>
      <c r="AA1204">
        <f>IF($V1204="",N($AA1203),IF(MATCH($V1204,$V$6:$V$10005,0)=ROW()-5,N($AA1203)+1,N($AA1203)))</f>
        <v>0</v>
      </c>
    </row>
    <row r="1205" spans="1:27" ht="21" customHeight="1" x14ac:dyDescent="0.95">
      <c r="A1205" s="56"/>
      <c r="B1205" s="57"/>
      <c r="C1205" s="57"/>
      <c r="D1205" s="57"/>
      <c r="E1205" s="56"/>
      <c r="F1205" s="57"/>
      <c r="G1205" s="57"/>
      <c r="H1205" s="56"/>
      <c r="I1205" s="56"/>
      <c r="J1205" s="58"/>
      <c r="K1205" s="58"/>
      <c r="L1205" s="13" t="str">
        <f t="shared" si="180"/>
        <v/>
      </c>
      <c r="M1205" s="13" t="str">
        <f t="shared" si="181"/>
        <v/>
      </c>
      <c r="Q1205" t="str">
        <f t="shared" si="182"/>
        <v/>
      </c>
      <c r="R1205" t="str">
        <f t="shared" si="183"/>
        <v/>
      </c>
      <c r="S1205" t="str">
        <f t="shared" si="184"/>
        <v/>
      </c>
      <c r="T1205" t="str">
        <f t="shared" si="185"/>
        <v/>
      </c>
      <c r="U1205" t="str">
        <f t="shared" si="186"/>
        <v/>
      </c>
      <c r="V1205" t="str">
        <f t="shared" si="187"/>
        <v/>
      </c>
      <c r="W1205" t="str">
        <f t="shared" si="188"/>
        <v/>
      </c>
      <c r="X1205">
        <f>IF($T1205="",N($X1204),IF(MATCH($T1205,$T$6:$T$10005,0)=ROW()-5,N($X1204)+1,N($X1204)))</f>
        <v>0</v>
      </c>
      <c r="Z1205" t="str">
        <f t="shared" si="189"/>
        <v/>
      </c>
      <c r="AA1205">
        <f>IF($V1205="",N($AA1204),IF(MATCH($V1205,$V$6:$V$10005,0)=ROW()-5,N($AA1204)+1,N($AA1204)))</f>
        <v>0</v>
      </c>
    </row>
    <row r="1206" spans="1:27" ht="21" customHeight="1" x14ac:dyDescent="0.95">
      <c r="A1206" s="56"/>
      <c r="B1206" s="57"/>
      <c r="C1206" s="57"/>
      <c r="D1206" s="57"/>
      <c r="E1206" s="56"/>
      <c r="F1206" s="57"/>
      <c r="G1206" s="57"/>
      <c r="H1206" s="56"/>
      <c r="I1206" s="56"/>
      <c r="J1206" s="58"/>
      <c r="K1206" s="58"/>
      <c r="L1206" s="13" t="str">
        <f t="shared" si="180"/>
        <v/>
      </c>
      <c r="M1206" s="13" t="str">
        <f t="shared" si="181"/>
        <v/>
      </c>
      <c r="Q1206" t="str">
        <f t="shared" si="182"/>
        <v/>
      </c>
      <c r="R1206" t="str">
        <f t="shared" si="183"/>
        <v/>
      </c>
      <c r="S1206" t="str">
        <f t="shared" si="184"/>
        <v/>
      </c>
      <c r="T1206" t="str">
        <f t="shared" si="185"/>
        <v/>
      </c>
      <c r="U1206" t="str">
        <f t="shared" si="186"/>
        <v/>
      </c>
      <c r="V1206" t="str">
        <f t="shared" si="187"/>
        <v/>
      </c>
      <c r="W1206" t="str">
        <f t="shared" si="188"/>
        <v/>
      </c>
      <c r="X1206">
        <f>IF($T1206="",N($X1205),IF(MATCH($T1206,$T$6:$T$10005,0)=ROW()-5,N($X1205)+1,N($X1205)))</f>
        <v>0</v>
      </c>
      <c r="Z1206" t="str">
        <f t="shared" si="189"/>
        <v/>
      </c>
      <c r="AA1206">
        <f>IF($V1206="",N($AA1205),IF(MATCH($V1206,$V$6:$V$10005,0)=ROW()-5,N($AA1205)+1,N($AA1205)))</f>
        <v>0</v>
      </c>
    </row>
    <row r="1207" spans="1:27" ht="21" customHeight="1" x14ac:dyDescent="0.95">
      <c r="A1207" s="56"/>
      <c r="B1207" s="57"/>
      <c r="C1207" s="57"/>
      <c r="D1207" s="57"/>
      <c r="E1207" s="56"/>
      <c r="F1207" s="57"/>
      <c r="G1207" s="57"/>
      <c r="H1207" s="56"/>
      <c r="I1207" s="56"/>
      <c r="J1207" s="58"/>
      <c r="K1207" s="58"/>
      <c r="L1207" s="13" t="str">
        <f t="shared" si="180"/>
        <v/>
      </c>
      <c r="M1207" s="13" t="str">
        <f t="shared" si="181"/>
        <v/>
      </c>
      <c r="Q1207" t="str">
        <f t="shared" si="182"/>
        <v/>
      </c>
      <c r="R1207" t="str">
        <f t="shared" si="183"/>
        <v/>
      </c>
      <c r="S1207" t="str">
        <f t="shared" si="184"/>
        <v/>
      </c>
      <c r="T1207" t="str">
        <f t="shared" si="185"/>
        <v/>
      </c>
      <c r="U1207" t="str">
        <f t="shared" si="186"/>
        <v/>
      </c>
      <c r="V1207" t="str">
        <f t="shared" si="187"/>
        <v/>
      </c>
      <c r="W1207" t="str">
        <f t="shared" si="188"/>
        <v/>
      </c>
      <c r="X1207">
        <f>IF($T1207="",N($X1206),IF(MATCH($T1207,$T$6:$T$10005,0)=ROW()-5,N($X1206)+1,N($X1206)))</f>
        <v>0</v>
      </c>
      <c r="Z1207" t="str">
        <f t="shared" si="189"/>
        <v/>
      </c>
      <c r="AA1207">
        <f>IF($V1207="",N($AA1206),IF(MATCH($V1207,$V$6:$V$10005,0)=ROW()-5,N($AA1206)+1,N($AA1206)))</f>
        <v>0</v>
      </c>
    </row>
    <row r="1208" spans="1:27" ht="21" customHeight="1" x14ac:dyDescent="0.95">
      <c r="A1208" s="56"/>
      <c r="B1208" s="57"/>
      <c r="C1208" s="57"/>
      <c r="D1208" s="57"/>
      <c r="E1208" s="56"/>
      <c r="F1208" s="57"/>
      <c r="G1208" s="57"/>
      <c r="H1208" s="56"/>
      <c r="I1208" s="56"/>
      <c r="J1208" s="58"/>
      <c r="K1208" s="58"/>
      <c r="L1208" s="13" t="str">
        <f t="shared" si="180"/>
        <v/>
      </c>
      <c r="M1208" s="13" t="str">
        <f t="shared" si="181"/>
        <v/>
      </c>
      <c r="Q1208" t="str">
        <f t="shared" si="182"/>
        <v/>
      </c>
      <c r="R1208" t="str">
        <f t="shared" si="183"/>
        <v/>
      </c>
      <c r="S1208" t="str">
        <f t="shared" si="184"/>
        <v/>
      </c>
      <c r="T1208" t="str">
        <f t="shared" si="185"/>
        <v/>
      </c>
      <c r="U1208" t="str">
        <f t="shared" si="186"/>
        <v/>
      </c>
      <c r="V1208" t="str">
        <f t="shared" si="187"/>
        <v/>
      </c>
      <c r="W1208" t="str">
        <f t="shared" si="188"/>
        <v/>
      </c>
      <c r="X1208">
        <f>IF($T1208="",N($X1207),IF(MATCH($T1208,$T$6:$T$10005,0)=ROW()-5,N($X1207)+1,N($X1207)))</f>
        <v>0</v>
      </c>
      <c r="Z1208" t="str">
        <f t="shared" si="189"/>
        <v/>
      </c>
      <c r="AA1208">
        <f>IF($V1208="",N($AA1207),IF(MATCH($V1208,$V$6:$V$10005,0)=ROW()-5,N($AA1207)+1,N($AA1207)))</f>
        <v>0</v>
      </c>
    </row>
    <row r="1209" spans="1:27" ht="21" customHeight="1" x14ac:dyDescent="0.95">
      <c r="A1209" s="56"/>
      <c r="B1209" s="57"/>
      <c r="C1209" s="57"/>
      <c r="D1209" s="57"/>
      <c r="E1209" s="56"/>
      <c r="F1209" s="57"/>
      <c r="G1209" s="57"/>
      <c r="H1209" s="56"/>
      <c r="I1209" s="56"/>
      <c r="J1209" s="58"/>
      <c r="K1209" s="58"/>
      <c r="L1209" s="13" t="str">
        <f t="shared" si="180"/>
        <v/>
      </c>
      <c r="M1209" s="13" t="str">
        <f t="shared" si="181"/>
        <v/>
      </c>
      <c r="Q1209" t="str">
        <f t="shared" si="182"/>
        <v/>
      </c>
      <c r="R1209" t="str">
        <f t="shared" si="183"/>
        <v/>
      </c>
      <c r="S1209" t="str">
        <f t="shared" si="184"/>
        <v/>
      </c>
      <c r="T1209" t="str">
        <f t="shared" si="185"/>
        <v/>
      </c>
      <c r="U1209" t="str">
        <f t="shared" si="186"/>
        <v/>
      </c>
      <c r="V1209" t="str">
        <f t="shared" si="187"/>
        <v/>
      </c>
      <c r="W1209" t="str">
        <f t="shared" si="188"/>
        <v/>
      </c>
      <c r="X1209">
        <f>IF($T1209="",N($X1208),IF(MATCH($T1209,$T$6:$T$10005,0)=ROW()-5,N($X1208)+1,N($X1208)))</f>
        <v>0</v>
      </c>
      <c r="Z1209" t="str">
        <f t="shared" si="189"/>
        <v/>
      </c>
      <c r="AA1209">
        <f>IF($V1209="",N($AA1208),IF(MATCH($V1209,$V$6:$V$10005,0)=ROW()-5,N($AA1208)+1,N($AA1208)))</f>
        <v>0</v>
      </c>
    </row>
    <row r="1210" spans="1:27" ht="21" customHeight="1" x14ac:dyDescent="0.95">
      <c r="A1210" s="56"/>
      <c r="B1210" s="57"/>
      <c r="C1210" s="57"/>
      <c r="D1210" s="57"/>
      <c r="E1210" s="56"/>
      <c r="F1210" s="57"/>
      <c r="G1210" s="57"/>
      <c r="H1210" s="56"/>
      <c r="I1210" s="56"/>
      <c r="J1210" s="58"/>
      <c r="K1210" s="58"/>
      <c r="L1210" s="13" t="str">
        <f t="shared" si="180"/>
        <v/>
      </c>
      <c r="M1210" s="13" t="str">
        <f t="shared" si="181"/>
        <v/>
      </c>
      <c r="Q1210" t="str">
        <f t="shared" si="182"/>
        <v/>
      </c>
      <c r="R1210" t="str">
        <f t="shared" si="183"/>
        <v/>
      </c>
      <c r="S1210" t="str">
        <f t="shared" si="184"/>
        <v/>
      </c>
      <c r="T1210" t="str">
        <f t="shared" si="185"/>
        <v/>
      </c>
      <c r="U1210" t="str">
        <f t="shared" si="186"/>
        <v/>
      </c>
      <c r="V1210" t="str">
        <f t="shared" si="187"/>
        <v/>
      </c>
      <c r="W1210" t="str">
        <f t="shared" si="188"/>
        <v/>
      </c>
      <c r="X1210">
        <f>IF($T1210="",N($X1209),IF(MATCH($T1210,$T$6:$T$10005,0)=ROW()-5,N($X1209)+1,N($X1209)))</f>
        <v>0</v>
      </c>
      <c r="Z1210" t="str">
        <f t="shared" si="189"/>
        <v/>
      </c>
      <c r="AA1210">
        <f>IF($V1210="",N($AA1209),IF(MATCH($V1210,$V$6:$V$10005,0)=ROW()-5,N($AA1209)+1,N($AA1209)))</f>
        <v>0</v>
      </c>
    </row>
    <row r="1211" spans="1:27" ht="21" customHeight="1" x14ac:dyDescent="0.95">
      <c r="A1211" s="56"/>
      <c r="B1211" s="57"/>
      <c r="C1211" s="57"/>
      <c r="D1211" s="57"/>
      <c r="E1211" s="56"/>
      <c r="F1211" s="57"/>
      <c r="G1211" s="57"/>
      <c r="H1211" s="56"/>
      <c r="I1211" s="56"/>
      <c r="J1211" s="58"/>
      <c r="K1211" s="58"/>
      <c r="L1211" s="13" t="str">
        <f t="shared" si="180"/>
        <v/>
      </c>
      <c r="M1211" s="13" t="str">
        <f t="shared" si="181"/>
        <v/>
      </c>
      <c r="Q1211" t="str">
        <f t="shared" si="182"/>
        <v/>
      </c>
      <c r="R1211" t="str">
        <f t="shared" si="183"/>
        <v/>
      </c>
      <c r="S1211" t="str">
        <f t="shared" si="184"/>
        <v/>
      </c>
      <c r="T1211" t="str">
        <f t="shared" si="185"/>
        <v/>
      </c>
      <c r="U1211" t="str">
        <f t="shared" si="186"/>
        <v/>
      </c>
      <c r="V1211" t="str">
        <f t="shared" si="187"/>
        <v/>
      </c>
      <c r="W1211" t="str">
        <f t="shared" si="188"/>
        <v/>
      </c>
      <c r="X1211">
        <f>IF($T1211="",N($X1210),IF(MATCH($T1211,$T$6:$T$10005,0)=ROW()-5,N($X1210)+1,N($X1210)))</f>
        <v>0</v>
      </c>
      <c r="Z1211" t="str">
        <f t="shared" si="189"/>
        <v/>
      </c>
      <c r="AA1211">
        <f>IF($V1211="",N($AA1210),IF(MATCH($V1211,$V$6:$V$10005,0)=ROW()-5,N($AA1210)+1,N($AA1210)))</f>
        <v>0</v>
      </c>
    </row>
    <row r="1212" spans="1:27" ht="21" customHeight="1" x14ac:dyDescent="0.95">
      <c r="A1212" s="56"/>
      <c r="B1212" s="57"/>
      <c r="C1212" s="57"/>
      <c r="D1212" s="57"/>
      <c r="E1212" s="56"/>
      <c r="F1212" s="57"/>
      <c r="G1212" s="57"/>
      <c r="H1212" s="56"/>
      <c r="I1212" s="56"/>
      <c r="J1212" s="58"/>
      <c r="K1212" s="58"/>
      <c r="L1212" s="13" t="str">
        <f t="shared" si="180"/>
        <v/>
      </c>
      <c r="M1212" s="13" t="str">
        <f t="shared" si="181"/>
        <v/>
      </c>
      <c r="Q1212" t="str">
        <f t="shared" si="182"/>
        <v/>
      </c>
      <c r="R1212" t="str">
        <f t="shared" si="183"/>
        <v/>
      </c>
      <c r="S1212" t="str">
        <f t="shared" si="184"/>
        <v/>
      </c>
      <c r="T1212" t="str">
        <f t="shared" si="185"/>
        <v/>
      </c>
      <c r="U1212" t="str">
        <f t="shared" si="186"/>
        <v/>
      </c>
      <c r="V1212" t="str">
        <f t="shared" si="187"/>
        <v/>
      </c>
      <c r="W1212" t="str">
        <f t="shared" si="188"/>
        <v/>
      </c>
      <c r="X1212">
        <f>IF($T1212="",N($X1211),IF(MATCH($T1212,$T$6:$T$10005,0)=ROW()-5,N($X1211)+1,N($X1211)))</f>
        <v>0</v>
      </c>
      <c r="Z1212" t="str">
        <f t="shared" si="189"/>
        <v/>
      </c>
      <c r="AA1212">
        <f>IF($V1212="",N($AA1211),IF(MATCH($V1212,$V$6:$V$10005,0)=ROW()-5,N($AA1211)+1,N($AA1211)))</f>
        <v>0</v>
      </c>
    </row>
    <row r="1213" spans="1:27" ht="21" customHeight="1" x14ac:dyDescent="0.95">
      <c r="A1213" s="56"/>
      <c r="B1213" s="57"/>
      <c r="C1213" s="57"/>
      <c r="D1213" s="57"/>
      <c r="E1213" s="56"/>
      <c r="F1213" s="57"/>
      <c r="G1213" s="57"/>
      <c r="H1213" s="56"/>
      <c r="I1213" s="56"/>
      <c r="J1213" s="58"/>
      <c r="K1213" s="58"/>
      <c r="L1213" s="13" t="str">
        <f t="shared" si="180"/>
        <v/>
      </c>
      <c r="M1213" s="13" t="str">
        <f t="shared" si="181"/>
        <v/>
      </c>
      <c r="Q1213" t="str">
        <f t="shared" si="182"/>
        <v/>
      </c>
      <c r="R1213" t="str">
        <f t="shared" si="183"/>
        <v/>
      </c>
      <c r="S1213" t="str">
        <f t="shared" si="184"/>
        <v/>
      </c>
      <c r="T1213" t="str">
        <f t="shared" si="185"/>
        <v/>
      </c>
      <c r="U1213" t="str">
        <f t="shared" si="186"/>
        <v/>
      </c>
      <c r="V1213" t="str">
        <f t="shared" si="187"/>
        <v/>
      </c>
      <c r="W1213" t="str">
        <f t="shared" si="188"/>
        <v/>
      </c>
      <c r="X1213">
        <f>IF($T1213="",N($X1212),IF(MATCH($T1213,$T$6:$T$10005,0)=ROW()-5,N($X1212)+1,N($X1212)))</f>
        <v>0</v>
      </c>
      <c r="Z1213" t="str">
        <f t="shared" si="189"/>
        <v/>
      </c>
      <c r="AA1213">
        <f>IF($V1213="",N($AA1212),IF(MATCH($V1213,$V$6:$V$10005,0)=ROW()-5,N($AA1212)+1,N($AA1212)))</f>
        <v>0</v>
      </c>
    </row>
    <row r="1214" spans="1:27" ht="21" customHeight="1" x14ac:dyDescent="0.95">
      <c r="A1214" s="56"/>
      <c r="B1214" s="57"/>
      <c r="C1214" s="57"/>
      <c r="D1214" s="57"/>
      <c r="E1214" s="56"/>
      <c r="F1214" s="57"/>
      <c r="G1214" s="57"/>
      <c r="H1214" s="56"/>
      <c r="I1214" s="56"/>
      <c r="J1214" s="58"/>
      <c r="K1214" s="58"/>
      <c r="L1214" s="13" t="str">
        <f t="shared" si="180"/>
        <v/>
      </c>
      <c r="M1214" s="13" t="str">
        <f t="shared" si="181"/>
        <v/>
      </c>
      <c r="Q1214" t="str">
        <f t="shared" si="182"/>
        <v/>
      </c>
      <c r="R1214" t="str">
        <f t="shared" si="183"/>
        <v/>
      </c>
      <c r="S1214" t="str">
        <f t="shared" si="184"/>
        <v/>
      </c>
      <c r="T1214" t="str">
        <f t="shared" si="185"/>
        <v/>
      </c>
      <c r="U1214" t="str">
        <f t="shared" si="186"/>
        <v/>
      </c>
      <c r="V1214" t="str">
        <f t="shared" si="187"/>
        <v/>
      </c>
      <c r="W1214" t="str">
        <f t="shared" si="188"/>
        <v/>
      </c>
      <c r="X1214">
        <f>IF($T1214="",N($X1213),IF(MATCH($T1214,$T$6:$T$10005,0)=ROW()-5,N($X1213)+1,N($X1213)))</f>
        <v>0</v>
      </c>
      <c r="Z1214" t="str">
        <f t="shared" si="189"/>
        <v/>
      </c>
      <c r="AA1214">
        <f>IF($V1214="",N($AA1213),IF(MATCH($V1214,$V$6:$V$10005,0)=ROW()-5,N($AA1213)+1,N($AA1213)))</f>
        <v>0</v>
      </c>
    </row>
    <row r="1215" spans="1:27" ht="21" customHeight="1" x14ac:dyDescent="0.95">
      <c r="A1215" s="56"/>
      <c r="B1215" s="57"/>
      <c r="C1215" s="57"/>
      <c r="D1215" s="57"/>
      <c r="E1215" s="56"/>
      <c r="F1215" s="57"/>
      <c r="G1215" s="57"/>
      <c r="H1215" s="56"/>
      <c r="I1215" s="56"/>
      <c r="J1215" s="58"/>
      <c r="K1215" s="58"/>
      <c r="L1215" s="13" t="str">
        <f t="shared" si="180"/>
        <v/>
      </c>
      <c r="M1215" s="13" t="str">
        <f t="shared" si="181"/>
        <v/>
      </c>
      <c r="Q1215" t="str">
        <f t="shared" si="182"/>
        <v/>
      </c>
      <c r="R1215" t="str">
        <f t="shared" si="183"/>
        <v/>
      </c>
      <c r="S1215" t="str">
        <f t="shared" si="184"/>
        <v/>
      </c>
      <c r="T1215" t="str">
        <f t="shared" si="185"/>
        <v/>
      </c>
      <c r="U1215" t="str">
        <f t="shared" si="186"/>
        <v/>
      </c>
      <c r="V1215" t="str">
        <f t="shared" si="187"/>
        <v/>
      </c>
      <c r="W1215" t="str">
        <f t="shared" si="188"/>
        <v/>
      </c>
      <c r="X1215">
        <f>IF($T1215="",N($X1214),IF(MATCH($T1215,$T$6:$T$10005,0)=ROW()-5,N($X1214)+1,N($X1214)))</f>
        <v>0</v>
      </c>
      <c r="Z1215" t="str">
        <f t="shared" si="189"/>
        <v/>
      </c>
      <c r="AA1215">
        <f>IF($V1215="",N($AA1214),IF(MATCH($V1215,$V$6:$V$10005,0)=ROW()-5,N($AA1214)+1,N($AA1214)))</f>
        <v>0</v>
      </c>
    </row>
    <row r="1216" spans="1:27" ht="21" customHeight="1" x14ac:dyDescent="0.95">
      <c r="A1216" s="56"/>
      <c r="B1216" s="57"/>
      <c r="C1216" s="57"/>
      <c r="D1216" s="57"/>
      <c r="E1216" s="56"/>
      <c r="F1216" s="57"/>
      <c r="G1216" s="57"/>
      <c r="H1216" s="56"/>
      <c r="I1216" s="56"/>
      <c r="J1216" s="58"/>
      <c r="K1216" s="58"/>
      <c r="L1216" s="13" t="str">
        <f t="shared" si="180"/>
        <v/>
      </c>
      <c r="M1216" s="13" t="str">
        <f t="shared" si="181"/>
        <v/>
      </c>
      <c r="Q1216" t="str">
        <f t="shared" si="182"/>
        <v/>
      </c>
      <c r="R1216" t="str">
        <f t="shared" si="183"/>
        <v/>
      </c>
      <c r="S1216" t="str">
        <f t="shared" si="184"/>
        <v/>
      </c>
      <c r="T1216" t="str">
        <f t="shared" si="185"/>
        <v/>
      </c>
      <c r="U1216" t="str">
        <f t="shared" si="186"/>
        <v/>
      </c>
      <c r="V1216" t="str">
        <f t="shared" si="187"/>
        <v/>
      </c>
      <c r="W1216" t="str">
        <f t="shared" si="188"/>
        <v/>
      </c>
      <c r="X1216">
        <f>IF($T1216="",N($X1215),IF(MATCH($T1216,$T$6:$T$10005,0)=ROW()-5,N($X1215)+1,N($X1215)))</f>
        <v>0</v>
      </c>
      <c r="Z1216" t="str">
        <f t="shared" si="189"/>
        <v/>
      </c>
      <c r="AA1216">
        <f>IF($V1216="",N($AA1215),IF(MATCH($V1216,$V$6:$V$10005,0)=ROW()-5,N($AA1215)+1,N($AA1215)))</f>
        <v>0</v>
      </c>
    </row>
    <row r="1217" spans="1:27" ht="21" customHeight="1" x14ac:dyDescent="0.95">
      <c r="A1217" s="56"/>
      <c r="B1217" s="57"/>
      <c r="C1217" s="57"/>
      <c r="D1217" s="57"/>
      <c r="E1217" s="56"/>
      <c r="F1217" s="57"/>
      <c r="G1217" s="57"/>
      <c r="H1217" s="56"/>
      <c r="I1217" s="56"/>
      <c r="J1217" s="58"/>
      <c r="K1217" s="58"/>
      <c r="L1217" s="13" t="str">
        <f t="shared" si="180"/>
        <v/>
      </c>
      <c r="M1217" s="13" t="str">
        <f t="shared" si="181"/>
        <v/>
      </c>
      <c r="Q1217" t="str">
        <f t="shared" si="182"/>
        <v/>
      </c>
      <c r="R1217" t="str">
        <f t="shared" si="183"/>
        <v/>
      </c>
      <c r="S1217" t="str">
        <f t="shared" si="184"/>
        <v/>
      </c>
      <c r="T1217" t="str">
        <f t="shared" si="185"/>
        <v/>
      </c>
      <c r="U1217" t="str">
        <f t="shared" si="186"/>
        <v/>
      </c>
      <c r="V1217" t="str">
        <f t="shared" si="187"/>
        <v/>
      </c>
      <c r="W1217" t="str">
        <f t="shared" si="188"/>
        <v/>
      </c>
      <c r="X1217">
        <f>IF($T1217="",N($X1216),IF(MATCH($T1217,$T$6:$T$10005,0)=ROW()-5,N($X1216)+1,N($X1216)))</f>
        <v>0</v>
      </c>
      <c r="Z1217" t="str">
        <f t="shared" si="189"/>
        <v/>
      </c>
      <c r="AA1217">
        <f>IF($V1217="",N($AA1216),IF(MATCH($V1217,$V$6:$V$10005,0)=ROW()-5,N($AA1216)+1,N($AA1216)))</f>
        <v>0</v>
      </c>
    </row>
    <row r="1218" spans="1:27" ht="21" customHeight="1" x14ac:dyDescent="0.95">
      <c r="A1218" s="56"/>
      <c r="B1218" s="57"/>
      <c r="C1218" s="57"/>
      <c r="D1218" s="57"/>
      <c r="E1218" s="56"/>
      <c r="F1218" s="57"/>
      <c r="G1218" s="57"/>
      <c r="H1218" s="56"/>
      <c r="I1218" s="56"/>
      <c r="J1218" s="58"/>
      <c r="K1218" s="58"/>
      <c r="L1218" s="13" t="str">
        <f t="shared" si="180"/>
        <v/>
      </c>
      <c r="M1218" s="13" t="str">
        <f t="shared" si="181"/>
        <v/>
      </c>
      <c r="Q1218" t="str">
        <f t="shared" si="182"/>
        <v/>
      </c>
      <c r="R1218" t="str">
        <f t="shared" si="183"/>
        <v/>
      </c>
      <c r="S1218" t="str">
        <f t="shared" si="184"/>
        <v/>
      </c>
      <c r="T1218" t="str">
        <f t="shared" si="185"/>
        <v/>
      </c>
      <c r="U1218" t="str">
        <f t="shared" si="186"/>
        <v/>
      </c>
      <c r="V1218" t="str">
        <f t="shared" si="187"/>
        <v/>
      </c>
      <c r="W1218" t="str">
        <f t="shared" si="188"/>
        <v/>
      </c>
      <c r="X1218">
        <f>IF($T1218="",N($X1217),IF(MATCH($T1218,$T$6:$T$10005,0)=ROW()-5,N($X1217)+1,N($X1217)))</f>
        <v>0</v>
      </c>
      <c r="Z1218" t="str">
        <f t="shared" si="189"/>
        <v/>
      </c>
      <c r="AA1218">
        <f>IF($V1218="",N($AA1217),IF(MATCH($V1218,$V$6:$V$10005,0)=ROW()-5,N($AA1217)+1,N($AA1217)))</f>
        <v>0</v>
      </c>
    </row>
    <row r="1219" spans="1:27" ht="21" customHeight="1" x14ac:dyDescent="0.95">
      <c r="A1219" s="56"/>
      <c r="B1219" s="57"/>
      <c r="C1219" s="57"/>
      <c r="D1219" s="57"/>
      <c r="E1219" s="56"/>
      <c r="F1219" s="57"/>
      <c r="G1219" s="57"/>
      <c r="H1219" s="56"/>
      <c r="I1219" s="56"/>
      <c r="J1219" s="58"/>
      <c r="K1219" s="58"/>
      <c r="L1219" s="13" t="str">
        <f t="shared" si="180"/>
        <v/>
      </c>
      <c r="M1219" s="13" t="str">
        <f t="shared" si="181"/>
        <v/>
      </c>
      <c r="Q1219" t="str">
        <f t="shared" si="182"/>
        <v/>
      </c>
      <c r="R1219" t="str">
        <f t="shared" si="183"/>
        <v/>
      </c>
      <c r="S1219" t="str">
        <f t="shared" si="184"/>
        <v/>
      </c>
      <c r="T1219" t="str">
        <f t="shared" si="185"/>
        <v/>
      </c>
      <c r="U1219" t="str">
        <f t="shared" si="186"/>
        <v/>
      </c>
      <c r="V1219" t="str">
        <f t="shared" si="187"/>
        <v/>
      </c>
      <c r="W1219" t="str">
        <f t="shared" si="188"/>
        <v/>
      </c>
      <c r="X1219">
        <f>IF($T1219="",N($X1218),IF(MATCH($T1219,$T$6:$T$10005,0)=ROW()-5,N($X1218)+1,N($X1218)))</f>
        <v>0</v>
      </c>
      <c r="Z1219" t="str">
        <f t="shared" si="189"/>
        <v/>
      </c>
      <c r="AA1219">
        <f>IF($V1219="",N($AA1218),IF(MATCH($V1219,$V$6:$V$10005,0)=ROW()-5,N($AA1218)+1,N($AA1218)))</f>
        <v>0</v>
      </c>
    </row>
    <row r="1220" spans="1:27" ht="21" customHeight="1" x14ac:dyDescent="0.95">
      <c r="A1220" s="56"/>
      <c r="B1220" s="57"/>
      <c r="C1220" s="57"/>
      <c r="D1220" s="57"/>
      <c r="E1220" s="56"/>
      <c r="F1220" s="57"/>
      <c r="G1220" s="57"/>
      <c r="H1220" s="56"/>
      <c r="I1220" s="56"/>
      <c r="J1220" s="58"/>
      <c r="K1220" s="58"/>
      <c r="L1220" s="13" t="str">
        <f t="shared" si="180"/>
        <v/>
      </c>
      <c r="M1220" s="13" t="str">
        <f t="shared" si="181"/>
        <v/>
      </c>
      <c r="Q1220" t="str">
        <f t="shared" si="182"/>
        <v/>
      </c>
      <c r="R1220" t="str">
        <f t="shared" si="183"/>
        <v/>
      </c>
      <c r="S1220" t="str">
        <f t="shared" si="184"/>
        <v/>
      </c>
      <c r="T1220" t="str">
        <f t="shared" si="185"/>
        <v/>
      </c>
      <c r="U1220" t="str">
        <f t="shared" si="186"/>
        <v/>
      </c>
      <c r="V1220" t="str">
        <f t="shared" si="187"/>
        <v/>
      </c>
      <c r="W1220" t="str">
        <f t="shared" si="188"/>
        <v/>
      </c>
      <c r="X1220">
        <f>IF($T1220="",N($X1219),IF(MATCH($T1220,$T$6:$T$10005,0)=ROW()-5,N($X1219)+1,N($X1219)))</f>
        <v>0</v>
      </c>
      <c r="Z1220" t="str">
        <f t="shared" si="189"/>
        <v/>
      </c>
      <c r="AA1220">
        <f>IF($V1220="",N($AA1219),IF(MATCH($V1220,$V$6:$V$10005,0)=ROW()-5,N($AA1219)+1,N($AA1219)))</f>
        <v>0</v>
      </c>
    </row>
    <row r="1221" spans="1:27" ht="21" customHeight="1" x14ac:dyDescent="0.95">
      <c r="A1221" s="56"/>
      <c r="B1221" s="57"/>
      <c r="C1221" s="57"/>
      <c r="D1221" s="57"/>
      <c r="E1221" s="56"/>
      <c r="F1221" s="57"/>
      <c r="G1221" s="57"/>
      <c r="H1221" s="56"/>
      <c r="I1221" s="56"/>
      <c r="J1221" s="58"/>
      <c r="K1221" s="58"/>
      <c r="L1221" s="13" t="str">
        <f t="shared" si="180"/>
        <v/>
      </c>
      <c r="M1221" s="13" t="str">
        <f t="shared" si="181"/>
        <v/>
      </c>
      <c r="Q1221" t="str">
        <f t="shared" si="182"/>
        <v/>
      </c>
      <c r="R1221" t="str">
        <f t="shared" si="183"/>
        <v/>
      </c>
      <c r="S1221" t="str">
        <f t="shared" si="184"/>
        <v/>
      </c>
      <c r="T1221" t="str">
        <f t="shared" si="185"/>
        <v/>
      </c>
      <c r="U1221" t="str">
        <f t="shared" si="186"/>
        <v/>
      </c>
      <c r="V1221" t="str">
        <f t="shared" si="187"/>
        <v/>
      </c>
      <c r="W1221" t="str">
        <f t="shared" si="188"/>
        <v/>
      </c>
      <c r="X1221">
        <f>IF($T1221="",N($X1220),IF(MATCH($T1221,$T$6:$T$10005,0)=ROW()-5,N($X1220)+1,N($X1220)))</f>
        <v>0</v>
      </c>
      <c r="Z1221" t="str">
        <f t="shared" si="189"/>
        <v/>
      </c>
      <c r="AA1221">
        <f>IF($V1221="",N($AA1220),IF(MATCH($V1221,$V$6:$V$10005,0)=ROW()-5,N($AA1220)+1,N($AA1220)))</f>
        <v>0</v>
      </c>
    </row>
    <row r="1222" spans="1:27" ht="21" customHeight="1" x14ac:dyDescent="0.95">
      <c r="A1222" s="56"/>
      <c r="B1222" s="57"/>
      <c r="C1222" s="57"/>
      <c r="D1222" s="57"/>
      <c r="E1222" s="56"/>
      <c r="F1222" s="57"/>
      <c r="G1222" s="57"/>
      <c r="H1222" s="56"/>
      <c r="I1222" s="56"/>
      <c r="J1222" s="58"/>
      <c r="K1222" s="58"/>
      <c r="L1222" s="13" t="str">
        <f t="shared" ref="L1222:L1285" si="190">IF(OR($A1222="",AND($J1222="",$K1222="")),"",ROUND(N($J1222)-N($K1222),2))</f>
        <v/>
      </c>
      <c r="M1222" s="13" t="str">
        <f t="shared" ref="M1222:M1285" si="191">IF(OR($A1222="",AND($J1222="",$K1222="")),"",MIN($J1222,$K1222))</f>
        <v/>
      </c>
      <c r="Q1222" t="str">
        <f t="shared" ref="Q1222:Q1285" si="192">IF($A1222="","",$D1222&amp;"("&amp;SUBSTITUTE($E1222," ","")&amp;")")</f>
        <v/>
      </c>
      <c r="R1222" t="str">
        <f t="shared" ref="R1222:R1285" si="193">IF($A1222="","",$B1222&amp;" - "&amp;$C1222)</f>
        <v/>
      </c>
      <c r="S1222" t="str">
        <f t="shared" ref="S1222:S1285" si="194">IF($A1222="","",$R1222&amp;"|"&amp;$Q1222)</f>
        <v/>
      </c>
      <c r="T1222" t="str">
        <f t="shared" ref="T1222:T1285" si="195">IF($A1222="","",$S1222&amp;"|"&amp;$F1222)</f>
        <v/>
      </c>
      <c r="U1222" t="str">
        <f t="shared" ref="U1222:U1285" si="196">IF($A1222="","",$R1222&amp;"("&amp;$E1222&amp;")")</f>
        <v/>
      </c>
      <c r="V1222" t="str">
        <f t="shared" ref="V1222:V1285" si="197">IF($A1222="","",$F1222&amp;"|"&amp;$U1222&amp;"|"&amp;$D1222)</f>
        <v/>
      </c>
      <c r="W1222" t="str">
        <f t="shared" ref="W1222:W1285" si="198">IF($T1222="","",IF($X1222&gt;N($X1221),$X1222,""))</f>
        <v/>
      </c>
      <c r="X1222">
        <f>IF($T1222="",N($X1221),IF(MATCH($T1222,$T$6:$T$10005,0)=ROW()-5,N($X1221)+1,N($X1221)))</f>
        <v>0</v>
      </c>
      <c r="Z1222" t="str">
        <f t="shared" ref="Z1222:Z1285" si="199">IF($V1222="","",IF($AA1222&gt;N($AA1221),$AA1222,""))</f>
        <v/>
      </c>
      <c r="AA1222">
        <f>IF($V1222="",N($AA1221),IF(MATCH($V1222,$V$6:$V$10005,0)=ROW()-5,N($AA1221)+1,N($AA1221)))</f>
        <v>0</v>
      </c>
    </row>
    <row r="1223" spans="1:27" ht="21" customHeight="1" x14ac:dyDescent="0.95">
      <c r="A1223" s="56"/>
      <c r="B1223" s="57"/>
      <c r="C1223" s="57"/>
      <c r="D1223" s="57"/>
      <c r="E1223" s="56"/>
      <c r="F1223" s="57"/>
      <c r="G1223" s="57"/>
      <c r="H1223" s="56"/>
      <c r="I1223" s="56"/>
      <c r="J1223" s="58"/>
      <c r="K1223" s="58"/>
      <c r="L1223" s="13" t="str">
        <f t="shared" si="190"/>
        <v/>
      </c>
      <c r="M1223" s="13" t="str">
        <f t="shared" si="191"/>
        <v/>
      </c>
      <c r="Q1223" t="str">
        <f t="shared" si="192"/>
        <v/>
      </c>
      <c r="R1223" t="str">
        <f t="shared" si="193"/>
        <v/>
      </c>
      <c r="S1223" t="str">
        <f t="shared" si="194"/>
        <v/>
      </c>
      <c r="T1223" t="str">
        <f t="shared" si="195"/>
        <v/>
      </c>
      <c r="U1223" t="str">
        <f t="shared" si="196"/>
        <v/>
      </c>
      <c r="V1223" t="str">
        <f t="shared" si="197"/>
        <v/>
      </c>
      <c r="W1223" t="str">
        <f t="shared" si="198"/>
        <v/>
      </c>
      <c r="X1223">
        <f>IF($T1223="",N($X1222),IF(MATCH($T1223,$T$6:$T$10005,0)=ROW()-5,N($X1222)+1,N($X1222)))</f>
        <v>0</v>
      </c>
      <c r="Z1223" t="str">
        <f t="shared" si="199"/>
        <v/>
      </c>
      <c r="AA1223">
        <f>IF($V1223="",N($AA1222),IF(MATCH($V1223,$V$6:$V$10005,0)=ROW()-5,N($AA1222)+1,N($AA1222)))</f>
        <v>0</v>
      </c>
    </row>
    <row r="1224" spans="1:27" ht="21" customHeight="1" x14ac:dyDescent="0.95">
      <c r="A1224" s="56"/>
      <c r="B1224" s="57"/>
      <c r="C1224" s="57"/>
      <c r="D1224" s="57"/>
      <c r="E1224" s="56"/>
      <c r="F1224" s="57"/>
      <c r="G1224" s="57"/>
      <c r="H1224" s="56"/>
      <c r="I1224" s="56"/>
      <c r="J1224" s="58"/>
      <c r="K1224" s="58"/>
      <c r="L1224" s="13" t="str">
        <f t="shared" si="190"/>
        <v/>
      </c>
      <c r="M1224" s="13" t="str">
        <f t="shared" si="191"/>
        <v/>
      </c>
      <c r="Q1224" t="str">
        <f t="shared" si="192"/>
        <v/>
      </c>
      <c r="R1224" t="str">
        <f t="shared" si="193"/>
        <v/>
      </c>
      <c r="S1224" t="str">
        <f t="shared" si="194"/>
        <v/>
      </c>
      <c r="T1224" t="str">
        <f t="shared" si="195"/>
        <v/>
      </c>
      <c r="U1224" t="str">
        <f t="shared" si="196"/>
        <v/>
      </c>
      <c r="V1224" t="str">
        <f t="shared" si="197"/>
        <v/>
      </c>
      <c r="W1224" t="str">
        <f t="shared" si="198"/>
        <v/>
      </c>
      <c r="X1224">
        <f>IF($T1224="",N($X1223),IF(MATCH($T1224,$T$6:$T$10005,0)=ROW()-5,N($X1223)+1,N($X1223)))</f>
        <v>0</v>
      </c>
      <c r="Z1224" t="str">
        <f t="shared" si="199"/>
        <v/>
      </c>
      <c r="AA1224">
        <f>IF($V1224="",N($AA1223),IF(MATCH($V1224,$V$6:$V$10005,0)=ROW()-5,N($AA1223)+1,N($AA1223)))</f>
        <v>0</v>
      </c>
    </row>
    <row r="1225" spans="1:27" ht="21" customHeight="1" x14ac:dyDescent="0.95">
      <c r="A1225" s="56"/>
      <c r="B1225" s="57"/>
      <c r="C1225" s="57"/>
      <c r="D1225" s="57"/>
      <c r="E1225" s="56"/>
      <c r="F1225" s="57"/>
      <c r="G1225" s="57"/>
      <c r="H1225" s="56"/>
      <c r="I1225" s="56"/>
      <c r="J1225" s="58"/>
      <c r="K1225" s="58"/>
      <c r="L1225" s="13" t="str">
        <f t="shared" si="190"/>
        <v/>
      </c>
      <c r="M1225" s="13" t="str">
        <f t="shared" si="191"/>
        <v/>
      </c>
      <c r="Q1225" t="str">
        <f t="shared" si="192"/>
        <v/>
      </c>
      <c r="R1225" t="str">
        <f t="shared" si="193"/>
        <v/>
      </c>
      <c r="S1225" t="str">
        <f t="shared" si="194"/>
        <v/>
      </c>
      <c r="T1225" t="str">
        <f t="shared" si="195"/>
        <v/>
      </c>
      <c r="U1225" t="str">
        <f t="shared" si="196"/>
        <v/>
      </c>
      <c r="V1225" t="str">
        <f t="shared" si="197"/>
        <v/>
      </c>
      <c r="W1225" t="str">
        <f t="shared" si="198"/>
        <v/>
      </c>
      <c r="X1225">
        <f>IF($T1225="",N($X1224),IF(MATCH($T1225,$T$6:$T$10005,0)=ROW()-5,N($X1224)+1,N($X1224)))</f>
        <v>0</v>
      </c>
      <c r="Z1225" t="str">
        <f t="shared" si="199"/>
        <v/>
      </c>
      <c r="AA1225">
        <f>IF($V1225="",N($AA1224),IF(MATCH($V1225,$V$6:$V$10005,0)=ROW()-5,N($AA1224)+1,N($AA1224)))</f>
        <v>0</v>
      </c>
    </row>
    <row r="1226" spans="1:27" ht="21" customHeight="1" x14ac:dyDescent="0.95">
      <c r="A1226" s="56"/>
      <c r="B1226" s="57"/>
      <c r="C1226" s="57"/>
      <c r="D1226" s="57"/>
      <c r="E1226" s="56"/>
      <c r="F1226" s="57"/>
      <c r="G1226" s="57"/>
      <c r="H1226" s="56"/>
      <c r="I1226" s="56"/>
      <c r="J1226" s="58"/>
      <c r="K1226" s="58"/>
      <c r="L1226" s="13" t="str">
        <f t="shared" si="190"/>
        <v/>
      </c>
      <c r="M1226" s="13" t="str">
        <f t="shared" si="191"/>
        <v/>
      </c>
      <c r="Q1226" t="str">
        <f t="shared" si="192"/>
        <v/>
      </c>
      <c r="R1226" t="str">
        <f t="shared" si="193"/>
        <v/>
      </c>
      <c r="S1226" t="str">
        <f t="shared" si="194"/>
        <v/>
      </c>
      <c r="T1226" t="str">
        <f t="shared" si="195"/>
        <v/>
      </c>
      <c r="U1226" t="str">
        <f t="shared" si="196"/>
        <v/>
      </c>
      <c r="V1226" t="str">
        <f t="shared" si="197"/>
        <v/>
      </c>
      <c r="W1226" t="str">
        <f t="shared" si="198"/>
        <v/>
      </c>
      <c r="X1226">
        <f>IF($T1226="",N($X1225),IF(MATCH($T1226,$T$6:$T$10005,0)=ROW()-5,N($X1225)+1,N($X1225)))</f>
        <v>0</v>
      </c>
      <c r="Z1226" t="str">
        <f t="shared" si="199"/>
        <v/>
      </c>
      <c r="AA1226">
        <f>IF($V1226="",N($AA1225),IF(MATCH($V1226,$V$6:$V$10005,0)=ROW()-5,N($AA1225)+1,N($AA1225)))</f>
        <v>0</v>
      </c>
    </row>
    <row r="1227" spans="1:27" ht="21" customHeight="1" x14ac:dyDescent="0.95">
      <c r="A1227" s="56"/>
      <c r="B1227" s="57"/>
      <c r="C1227" s="57"/>
      <c r="D1227" s="57"/>
      <c r="E1227" s="56"/>
      <c r="F1227" s="57"/>
      <c r="G1227" s="57"/>
      <c r="H1227" s="56"/>
      <c r="I1227" s="56"/>
      <c r="J1227" s="58"/>
      <c r="K1227" s="58"/>
      <c r="L1227" s="13" t="str">
        <f t="shared" si="190"/>
        <v/>
      </c>
      <c r="M1227" s="13" t="str">
        <f t="shared" si="191"/>
        <v/>
      </c>
      <c r="Q1227" t="str">
        <f t="shared" si="192"/>
        <v/>
      </c>
      <c r="R1227" t="str">
        <f t="shared" si="193"/>
        <v/>
      </c>
      <c r="S1227" t="str">
        <f t="shared" si="194"/>
        <v/>
      </c>
      <c r="T1227" t="str">
        <f t="shared" si="195"/>
        <v/>
      </c>
      <c r="U1227" t="str">
        <f t="shared" si="196"/>
        <v/>
      </c>
      <c r="V1227" t="str">
        <f t="shared" si="197"/>
        <v/>
      </c>
      <c r="W1227" t="str">
        <f t="shared" si="198"/>
        <v/>
      </c>
      <c r="X1227">
        <f>IF($T1227="",N($X1226),IF(MATCH($T1227,$T$6:$T$10005,0)=ROW()-5,N($X1226)+1,N($X1226)))</f>
        <v>0</v>
      </c>
      <c r="Z1227" t="str">
        <f t="shared" si="199"/>
        <v/>
      </c>
      <c r="AA1227">
        <f>IF($V1227="",N($AA1226),IF(MATCH($V1227,$V$6:$V$10005,0)=ROW()-5,N($AA1226)+1,N($AA1226)))</f>
        <v>0</v>
      </c>
    </row>
    <row r="1228" spans="1:27" ht="21" customHeight="1" x14ac:dyDescent="0.95">
      <c r="A1228" s="56"/>
      <c r="B1228" s="57"/>
      <c r="C1228" s="57"/>
      <c r="D1228" s="57"/>
      <c r="E1228" s="56"/>
      <c r="F1228" s="57"/>
      <c r="G1228" s="57"/>
      <c r="H1228" s="56"/>
      <c r="I1228" s="56"/>
      <c r="J1228" s="58"/>
      <c r="K1228" s="58"/>
      <c r="L1228" s="13" t="str">
        <f t="shared" si="190"/>
        <v/>
      </c>
      <c r="M1228" s="13" t="str">
        <f t="shared" si="191"/>
        <v/>
      </c>
      <c r="Q1228" t="str">
        <f t="shared" si="192"/>
        <v/>
      </c>
      <c r="R1228" t="str">
        <f t="shared" si="193"/>
        <v/>
      </c>
      <c r="S1228" t="str">
        <f t="shared" si="194"/>
        <v/>
      </c>
      <c r="T1228" t="str">
        <f t="shared" si="195"/>
        <v/>
      </c>
      <c r="U1228" t="str">
        <f t="shared" si="196"/>
        <v/>
      </c>
      <c r="V1228" t="str">
        <f t="shared" si="197"/>
        <v/>
      </c>
      <c r="W1228" t="str">
        <f t="shared" si="198"/>
        <v/>
      </c>
      <c r="X1228">
        <f>IF($T1228="",N($X1227),IF(MATCH($T1228,$T$6:$T$10005,0)=ROW()-5,N($X1227)+1,N($X1227)))</f>
        <v>0</v>
      </c>
      <c r="Z1228" t="str">
        <f t="shared" si="199"/>
        <v/>
      </c>
      <c r="AA1228">
        <f>IF($V1228="",N($AA1227),IF(MATCH($V1228,$V$6:$V$10005,0)=ROW()-5,N($AA1227)+1,N($AA1227)))</f>
        <v>0</v>
      </c>
    </row>
    <row r="1229" spans="1:27" ht="21" customHeight="1" x14ac:dyDescent="0.95">
      <c r="A1229" s="56"/>
      <c r="B1229" s="57"/>
      <c r="C1229" s="57"/>
      <c r="D1229" s="57"/>
      <c r="E1229" s="56"/>
      <c r="F1229" s="57"/>
      <c r="G1229" s="57"/>
      <c r="H1229" s="56"/>
      <c r="I1229" s="56"/>
      <c r="J1229" s="58"/>
      <c r="K1229" s="58"/>
      <c r="L1229" s="13" t="str">
        <f t="shared" si="190"/>
        <v/>
      </c>
      <c r="M1229" s="13" t="str">
        <f t="shared" si="191"/>
        <v/>
      </c>
      <c r="Q1229" t="str">
        <f t="shared" si="192"/>
        <v/>
      </c>
      <c r="R1229" t="str">
        <f t="shared" si="193"/>
        <v/>
      </c>
      <c r="S1229" t="str">
        <f t="shared" si="194"/>
        <v/>
      </c>
      <c r="T1229" t="str">
        <f t="shared" si="195"/>
        <v/>
      </c>
      <c r="U1229" t="str">
        <f t="shared" si="196"/>
        <v/>
      </c>
      <c r="V1229" t="str">
        <f t="shared" si="197"/>
        <v/>
      </c>
      <c r="W1229" t="str">
        <f t="shared" si="198"/>
        <v/>
      </c>
      <c r="X1229">
        <f>IF($T1229="",N($X1228),IF(MATCH($T1229,$T$6:$T$10005,0)=ROW()-5,N($X1228)+1,N($X1228)))</f>
        <v>0</v>
      </c>
      <c r="Z1229" t="str">
        <f t="shared" si="199"/>
        <v/>
      </c>
      <c r="AA1229">
        <f>IF($V1229="",N($AA1228),IF(MATCH($V1229,$V$6:$V$10005,0)=ROW()-5,N($AA1228)+1,N($AA1228)))</f>
        <v>0</v>
      </c>
    </row>
    <row r="1230" spans="1:27" ht="21" customHeight="1" x14ac:dyDescent="0.95">
      <c r="A1230" s="56"/>
      <c r="B1230" s="57"/>
      <c r="C1230" s="57"/>
      <c r="D1230" s="57"/>
      <c r="E1230" s="56"/>
      <c r="F1230" s="57"/>
      <c r="G1230" s="57"/>
      <c r="H1230" s="56"/>
      <c r="I1230" s="56"/>
      <c r="J1230" s="58"/>
      <c r="K1230" s="58"/>
      <c r="L1230" s="13" t="str">
        <f t="shared" si="190"/>
        <v/>
      </c>
      <c r="M1230" s="13" t="str">
        <f t="shared" si="191"/>
        <v/>
      </c>
      <c r="Q1230" t="str">
        <f t="shared" si="192"/>
        <v/>
      </c>
      <c r="R1230" t="str">
        <f t="shared" si="193"/>
        <v/>
      </c>
      <c r="S1230" t="str">
        <f t="shared" si="194"/>
        <v/>
      </c>
      <c r="T1230" t="str">
        <f t="shared" si="195"/>
        <v/>
      </c>
      <c r="U1230" t="str">
        <f t="shared" si="196"/>
        <v/>
      </c>
      <c r="V1230" t="str">
        <f t="shared" si="197"/>
        <v/>
      </c>
      <c r="W1230" t="str">
        <f t="shared" si="198"/>
        <v/>
      </c>
      <c r="X1230">
        <f>IF($T1230="",N($X1229),IF(MATCH($T1230,$T$6:$T$10005,0)=ROW()-5,N($X1229)+1,N($X1229)))</f>
        <v>0</v>
      </c>
      <c r="Z1230" t="str">
        <f t="shared" si="199"/>
        <v/>
      </c>
      <c r="AA1230">
        <f>IF($V1230="",N($AA1229),IF(MATCH($V1230,$V$6:$V$10005,0)=ROW()-5,N($AA1229)+1,N($AA1229)))</f>
        <v>0</v>
      </c>
    </row>
    <row r="1231" spans="1:27" ht="21" customHeight="1" x14ac:dyDescent="0.95">
      <c r="A1231" s="56"/>
      <c r="B1231" s="57"/>
      <c r="C1231" s="57"/>
      <c r="D1231" s="57"/>
      <c r="E1231" s="56"/>
      <c r="F1231" s="57"/>
      <c r="G1231" s="57"/>
      <c r="H1231" s="56"/>
      <c r="I1231" s="56"/>
      <c r="J1231" s="58"/>
      <c r="K1231" s="58"/>
      <c r="L1231" s="13" t="str">
        <f t="shared" si="190"/>
        <v/>
      </c>
      <c r="M1231" s="13" t="str">
        <f t="shared" si="191"/>
        <v/>
      </c>
      <c r="Q1231" t="str">
        <f t="shared" si="192"/>
        <v/>
      </c>
      <c r="R1231" t="str">
        <f t="shared" si="193"/>
        <v/>
      </c>
      <c r="S1231" t="str">
        <f t="shared" si="194"/>
        <v/>
      </c>
      <c r="T1231" t="str">
        <f t="shared" si="195"/>
        <v/>
      </c>
      <c r="U1231" t="str">
        <f t="shared" si="196"/>
        <v/>
      </c>
      <c r="V1231" t="str">
        <f t="shared" si="197"/>
        <v/>
      </c>
      <c r="W1231" t="str">
        <f t="shared" si="198"/>
        <v/>
      </c>
      <c r="X1231">
        <f>IF($T1231="",N($X1230),IF(MATCH($T1231,$T$6:$T$10005,0)=ROW()-5,N($X1230)+1,N($X1230)))</f>
        <v>0</v>
      </c>
      <c r="Z1231" t="str">
        <f t="shared" si="199"/>
        <v/>
      </c>
      <c r="AA1231">
        <f>IF($V1231="",N($AA1230),IF(MATCH($V1231,$V$6:$V$10005,0)=ROW()-5,N($AA1230)+1,N($AA1230)))</f>
        <v>0</v>
      </c>
    </row>
    <row r="1232" spans="1:27" ht="21" customHeight="1" x14ac:dyDescent="0.95">
      <c r="A1232" s="56"/>
      <c r="B1232" s="57"/>
      <c r="C1232" s="57"/>
      <c r="D1232" s="57"/>
      <c r="E1232" s="56"/>
      <c r="F1232" s="57"/>
      <c r="G1232" s="57"/>
      <c r="H1232" s="56"/>
      <c r="I1232" s="56"/>
      <c r="J1232" s="58"/>
      <c r="K1232" s="58"/>
      <c r="L1232" s="13" t="str">
        <f t="shared" si="190"/>
        <v/>
      </c>
      <c r="M1232" s="13" t="str">
        <f t="shared" si="191"/>
        <v/>
      </c>
      <c r="Q1232" t="str">
        <f t="shared" si="192"/>
        <v/>
      </c>
      <c r="R1232" t="str">
        <f t="shared" si="193"/>
        <v/>
      </c>
      <c r="S1232" t="str">
        <f t="shared" si="194"/>
        <v/>
      </c>
      <c r="T1232" t="str">
        <f t="shared" si="195"/>
        <v/>
      </c>
      <c r="U1232" t="str">
        <f t="shared" si="196"/>
        <v/>
      </c>
      <c r="V1232" t="str">
        <f t="shared" si="197"/>
        <v/>
      </c>
      <c r="W1232" t="str">
        <f t="shared" si="198"/>
        <v/>
      </c>
      <c r="X1232">
        <f>IF($T1232="",N($X1231),IF(MATCH($T1232,$T$6:$T$10005,0)=ROW()-5,N($X1231)+1,N($X1231)))</f>
        <v>0</v>
      </c>
      <c r="Z1232" t="str">
        <f t="shared" si="199"/>
        <v/>
      </c>
      <c r="AA1232">
        <f>IF($V1232="",N($AA1231),IF(MATCH($V1232,$V$6:$V$10005,0)=ROW()-5,N($AA1231)+1,N($AA1231)))</f>
        <v>0</v>
      </c>
    </row>
    <row r="1233" spans="1:27" ht="21" customHeight="1" x14ac:dyDescent="0.95">
      <c r="A1233" s="56"/>
      <c r="B1233" s="57"/>
      <c r="C1233" s="57"/>
      <c r="D1233" s="57"/>
      <c r="E1233" s="56"/>
      <c r="F1233" s="57"/>
      <c r="G1233" s="57"/>
      <c r="H1233" s="56"/>
      <c r="I1233" s="56"/>
      <c r="J1233" s="58"/>
      <c r="K1233" s="58"/>
      <c r="L1233" s="13" t="str">
        <f t="shared" si="190"/>
        <v/>
      </c>
      <c r="M1233" s="13" t="str">
        <f t="shared" si="191"/>
        <v/>
      </c>
      <c r="Q1233" t="str">
        <f t="shared" si="192"/>
        <v/>
      </c>
      <c r="R1233" t="str">
        <f t="shared" si="193"/>
        <v/>
      </c>
      <c r="S1233" t="str">
        <f t="shared" si="194"/>
        <v/>
      </c>
      <c r="T1233" t="str">
        <f t="shared" si="195"/>
        <v/>
      </c>
      <c r="U1233" t="str">
        <f t="shared" si="196"/>
        <v/>
      </c>
      <c r="V1233" t="str">
        <f t="shared" si="197"/>
        <v/>
      </c>
      <c r="W1233" t="str">
        <f t="shared" si="198"/>
        <v/>
      </c>
      <c r="X1233">
        <f>IF($T1233="",N($X1232),IF(MATCH($T1233,$T$6:$T$10005,0)=ROW()-5,N($X1232)+1,N($X1232)))</f>
        <v>0</v>
      </c>
      <c r="Z1233" t="str">
        <f t="shared" si="199"/>
        <v/>
      </c>
      <c r="AA1233">
        <f>IF($V1233="",N($AA1232),IF(MATCH($V1233,$V$6:$V$10005,0)=ROW()-5,N($AA1232)+1,N($AA1232)))</f>
        <v>0</v>
      </c>
    </row>
    <row r="1234" spans="1:27" ht="21" customHeight="1" x14ac:dyDescent="0.95">
      <c r="A1234" s="56"/>
      <c r="B1234" s="57"/>
      <c r="C1234" s="57"/>
      <c r="D1234" s="57"/>
      <c r="E1234" s="56"/>
      <c r="F1234" s="57"/>
      <c r="G1234" s="57"/>
      <c r="H1234" s="56"/>
      <c r="I1234" s="56"/>
      <c r="J1234" s="58"/>
      <c r="K1234" s="58"/>
      <c r="L1234" s="13" t="str">
        <f t="shared" si="190"/>
        <v/>
      </c>
      <c r="M1234" s="13" t="str">
        <f t="shared" si="191"/>
        <v/>
      </c>
      <c r="Q1234" t="str">
        <f t="shared" si="192"/>
        <v/>
      </c>
      <c r="R1234" t="str">
        <f t="shared" si="193"/>
        <v/>
      </c>
      <c r="S1234" t="str">
        <f t="shared" si="194"/>
        <v/>
      </c>
      <c r="T1234" t="str">
        <f t="shared" si="195"/>
        <v/>
      </c>
      <c r="U1234" t="str">
        <f t="shared" si="196"/>
        <v/>
      </c>
      <c r="V1234" t="str">
        <f t="shared" si="197"/>
        <v/>
      </c>
      <c r="W1234" t="str">
        <f t="shared" si="198"/>
        <v/>
      </c>
      <c r="X1234">
        <f>IF($T1234="",N($X1233),IF(MATCH($T1234,$T$6:$T$10005,0)=ROW()-5,N($X1233)+1,N($X1233)))</f>
        <v>0</v>
      </c>
      <c r="Z1234" t="str">
        <f t="shared" si="199"/>
        <v/>
      </c>
      <c r="AA1234">
        <f>IF($V1234="",N($AA1233),IF(MATCH($V1234,$V$6:$V$10005,0)=ROW()-5,N($AA1233)+1,N($AA1233)))</f>
        <v>0</v>
      </c>
    </row>
    <row r="1235" spans="1:27" ht="21" customHeight="1" x14ac:dyDescent="0.95">
      <c r="A1235" s="56"/>
      <c r="B1235" s="57"/>
      <c r="C1235" s="57"/>
      <c r="D1235" s="57"/>
      <c r="E1235" s="56"/>
      <c r="F1235" s="57"/>
      <c r="G1235" s="57"/>
      <c r="H1235" s="56"/>
      <c r="I1235" s="56"/>
      <c r="J1235" s="58"/>
      <c r="K1235" s="58"/>
      <c r="L1235" s="13" t="str">
        <f t="shared" si="190"/>
        <v/>
      </c>
      <c r="M1235" s="13" t="str">
        <f t="shared" si="191"/>
        <v/>
      </c>
      <c r="Q1235" t="str">
        <f t="shared" si="192"/>
        <v/>
      </c>
      <c r="R1235" t="str">
        <f t="shared" si="193"/>
        <v/>
      </c>
      <c r="S1235" t="str">
        <f t="shared" si="194"/>
        <v/>
      </c>
      <c r="T1235" t="str">
        <f t="shared" si="195"/>
        <v/>
      </c>
      <c r="U1235" t="str">
        <f t="shared" si="196"/>
        <v/>
      </c>
      <c r="V1235" t="str">
        <f t="shared" si="197"/>
        <v/>
      </c>
      <c r="W1235" t="str">
        <f t="shared" si="198"/>
        <v/>
      </c>
      <c r="X1235">
        <f>IF($T1235="",N($X1234),IF(MATCH($T1235,$T$6:$T$10005,0)=ROW()-5,N($X1234)+1,N($X1234)))</f>
        <v>0</v>
      </c>
      <c r="Z1235" t="str">
        <f t="shared" si="199"/>
        <v/>
      </c>
      <c r="AA1235">
        <f>IF($V1235="",N($AA1234),IF(MATCH($V1235,$V$6:$V$10005,0)=ROW()-5,N($AA1234)+1,N($AA1234)))</f>
        <v>0</v>
      </c>
    </row>
    <row r="1236" spans="1:27" ht="21" customHeight="1" x14ac:dyDescent="0.95">
      <c r="A1236" s="56"/>
      <c r="B1236" s="57"/>
      <c r="C1236" s="57"/>
      <c r="D1236" s="57"/>
      <c r="E1236" s="56"/>
      <c r="F1236" s="57"/>
      <c r="G1236" s="57"/>
      <c r="H1236" s="56"/>
      <c r="I1236" s="56"/>
      <c r="J1236" s="58"/>
      <c r="K1236" s="58"/>
      <c r="L1236" s="13" t="str">
        <f t="shared" si="190"/>
        <v/>
      </c>
      <c r="M1236" s="13" t="str">
        <f t="shared" si="191"/>
        <v/>
      </c>
      <c r="Q1236" t="str">
        <f t="shared" si="192"/>
        <v/>
      </c>
      <c r="R1236" t="str">
        <f t="shared" si="193"/>
        <v/>
      </c>
      <c r="S1236" t="str">
        <f t="shared" si="194"/>
        <v/>
      </c>
      <c r="T1236" t="str">
        <f t="shared" si="195"/>
        <v/>
      </c>
      <c r="U1236" t="str">
        <f t="shared" si="196"/>
        <v/>
      </c>
      <c r="V1236" t="str">
        <f t="shared" si="197"/>
        <v/>
      </c>
      <c r="W1236" t="str">
        <f t="shared" si="198"/>
        <v/>
      </c>
      <c r="X1236">
        <f>IF($T1236="",N($X1235),IF(MATCH($T1236,$T$6:$T$10005,0)=ROW()-5,N($X1235)+1,N($X1235)))</f>
        <v>0</v>
      </c>
      <c r="Z1236" t="str">
        <f t="shared" si="199"/>
        <v/>
      </c>
      <c r="AA1236">
        <f>IF($V1236="",N($AA1235),IF(MATCH($V1236,$V$6:$V$10005,0)=ROW()-5,N($AA1235)+1,N($AA1235)))</f>
        <v>0</v>
      </c>
    </row>
    <row r="1237" spans="1:27" ht="21" customHeight="1" x14ac:dyDescent="0.95">
      <c r="A1237" s="56"/>
      <c r="B1237" s="57"/>
      <c r="C1237" s="57"/>
      <c r="D1237" s="57"/>
      <c r="E1237" s="56"/>
      <c r="F1237" s="57"/>
      <c r="G1237" s="57"/>
      <c r="H1237" s="56"/>
      <c r="I1237" s="56"/>
      <c r="J1237" s="58"/>
      <c r="K1237" s="58"/>
      <c r="L1237" s="13" t="str">
        <f t="shared" si="190"/>
        <v/>
      </c>
      <c r="M1237" s="13" t="str">
        <f t="shared" si="191"/>
        <v/>
      </c>
      <c r="Q1237" t="str">
        <f t="shared" si="192"/>
        <v/>
      </c>
      <c r="R1237" t="str">
        <f t="shared" si="193"/>
        <v/>
      </c>
      <c r="S1237" t="str">
        <f t="shared" si="194"/>
        <v/>
      </c>
      <c r="T1237" t="str">
        <f t="shared" si="195"/>
        <v/>
      </c>
      <c r="U1237" t="str">
        <f t="shared" si="196"/>
        <v/>
      </c>
      <c r="V1237" t="str">
        <f t="shared" si="197"/>
        <v/>
      </c>
      <c r="W1237" t="str">
        <f t="shared" si="198"/>
        <v/>
      </c>
      <c r="X1237">
        <f>IF($T1237="",N($X1236),IF(MATCH($T1237,$T$6:$T$10005,0)=ROW()-5,N($X1236)+1,N($X1236)))</f>
        <v>0</v>
      </c>
      <c r="Z1237" t="str">
        <f t="shared" si="199"/>
        <v/>
      </c>
      <c r="AA1237">
        <f>IF($V1237="",N($AA1236),IF(MATCH($V1237,$V$6:$V$10005,0)=ROW()-5,N($AA1236)+1,N($AA1236)))</f>
        <v>0</v>
      </c>
    </row>
    <row r="1238" spans="1:27" ht="21" customHeight="1" x14ac:dyDescent="0.95">
      <c r="A1238" s="56"/>
      <c r="B1238" s="57"/>
      <c r="C1238" s="57"/>
      <c r="D1238" s="57"/>
      <c r="E1238" s="56"/>
      <c r="F1238" s="57"/>
      <c r="G1238" s="57"/>
      <c r="H1238" s="56"/>
      <c r="I1238" s="56"/>
      <c r="J1238" s="58"/>
      <c r="K1238" s="58"/>
      <c r="L1238" s="13" t="str">
        <f t="shared" si="190"/>
        <v/>
      </c>
      <c r="M1238" s="13" t="str">
        <f t="shared" si="191"/>
        <v/>
      </c>
      <c r="Q1238" t="str">
        <f t="shared" si="192"/>
        <v/>
      </c>
      <c r="R1238" t="str">
        <f t="shared" si="193"/>
        <v/>
      </c>
      <c r="S1238" t="str">
        <f t="shared" si="194"/>
        <v/>
      </c>
      <c r="T1238" t="str">
        <f t="shared" si="195"/>
        <v/>
      </c>
      <c r="U1238" t="str">
        <f t="shared" si="196"/>
        <v/>
      </c>
      <c r="V1238" t="str">
        <f t="shared" si="197"/>
        <v/>
      </c>
      <c r="W1238" t="str">
        <f t="shared" si="198"/>
        <v/>
      </c>
      <c r="X1238">
        <f>IF($T1238="",N($X1237),IF(MATCH($T1238,$T$6:$T$10005,0)=ROW()-5,N($X1237)+1,N($X1237)))</f>
        <v>0</v>
      </c>
      <c r="Z1238" t="str">
        <f t="shared" si="199"/>
        <v/>
      </c>
      <c r="AA1238">
        <f>IF($V1238="",N($AA1237),IF(MATCH($V1238,$V$6:$V$10005,0)=ROW()-5,N($AA1237)+1,N($AA1237)))</f>
        <v>0</v>
      </c>
    </row>
    <row r="1239" spans="1:27" ht="21" customHeight="1" x14ac:dyDescent="0.95">
      <c r="A1239" s="56"/>
      <c r="B1239" s="57"/>
      <c r="C1239" s="57"/>
      <c r="D1239" s="57"/>
      <c r="E1239" s="56"/>
      <c r="F1239" s="57"/>
      <c r="G1239" s="57"/>
      <c r="H1239" s="56"/>
      <c r="I1239" s="56"/>
      <c r="J1239" s="58"/>
      <c r="K1239" s="58"/>
      <c r="L1239" s="13" t="str">
        <f t="shared" si="190"/>
        <v/>
      </c>
      <c r="M1239" s="13" t="str">
        <f t="shared" si="191"/>
        <v/>
      </c>
      <c r="Q1239" t="str">
        <f t="shared" si="192"/>
        <v/>
      </c>
      <c r="R1239" t="str">
        <f t="shared" si="193"/>
        <v/>
      </c>
      <c r="S1239" t="str">
        <f t="shared" si="194"/>
        <v/>
      </c>
      <c r="T1239" t="str">
        <f t="shared" si="195"/>
        <v/>
      </c>
      <c r="U1239" t="str">
        <f t="shared" si="196"/>
        <v/>
      </c>
      <c r="V1239" t="str">
        <f t="shared" si="197"/>
        <v/>
      </c>
      <c r="W1239" t="str">
        <f t="shared" si="198"/>
        <v/>
      </c>
      <c r="X1239">
        <f>IF($T1239="",N($X1238),IF(MATCH($T1239,$T$6:$T$10005,0)=ROW()-5,N($X1238)+1,N($X1238)))</f>
        <v>0</v>
      </c>
      <c r="Z1239" t="str">
        <f t="shared" si="199"/>
        <v/>
      </c>
      <c r="AA1239">
        <f>IF($V1239="",N($AA1238),IF(MATCH($V1239,$V$6:$V$10005,0)=ROW()-5,N($AA1238)+1,N($AA1238)))</f>
        <v>0</v>
      </c>
    </row>
    <row r="1240" spans="1:27" ht="21" customHeight="1" x14ac:dyDescent="0.95">
      <c r="A1240" s="56"/>
      <c r="B1240" s="57"/>
      <c r="C1240" s="57"/>
      <c r="D1240" s="57"/>
      <c r="E1240" s="56"/>
      <c r="F1240" s="57"/>
      <c r="G1240" s="57"/>
      <c r="H1240" s="56"/>
      <c r="I1240" s="56"/>
      <c r="J1240" s="58"/>
      <c r="K1240" s="58"/>
      <c r="L1240" s="13" t="str">
        <f t="shared" si="190"/>
        <v/>
      </c>
      <c r="M1240" s="13" t="str">
        <f t="shared" si="191"/>
        <v/>
      </c>
      <c r="Q1240" t="str">
        <f t="shared" si="192"/>
        <v/>
      </c>
      <c r="R1240" t="str">
        <f t="shared" si="193"/>
        <v/>
      </c>
      <c r="S1240" t="str">
        <f t="shared" si="194"/>
        <v/>
      </c>
      <c r="T1240" t="str">
        <f t="shared" si="195"/>
        <v/>
      </c>
      <c r="U1240" t="str">
        <f t="shared" si="196"/>
        <v/>
      </c>
      <c r="V1240" t="str">
        <f t="shared" si="197"/>
        <v/>
      </c>
      <c r="W1240" t="str">
        <f t="shared" si="198"/>
        <v/>
      </c>
      <c r="X1240">
        <f>IF($T1240="",N($X1239),IF(MATCH($T1240,$T$6:$T$10005,0)=ROW()-5,N($X1239)+1,N($X1239)))</f>
        <v>0</v>
      </c>
      <c r="Z1240" t="str">
        <f t="shared" si="199"/>
        <v/>
      </c>
      <c r="AA1240">
        <f>IF($V1240="",N($AA1239),IF(MATCH($V1240,$V$6:$V$10005,0)=ROW()-5,N($AA1239)+1,N($AA1239)))</f>
        <v>0</v>
      </c>
    </row>
    <row r="1241" spans="1:27" ht="21" customHeight="1" x14ac:dyDescent="0.95">
      <c r="A1241" s="56"/>
      <c r="B1241" s="57"/>
      <c r="C1241" s="57"/>
      <c r="D1241" s="57"/>
      <c r="E1241" s="56"/>
      <c r="F1241" s="57"/>
      <c r="G1241" s="57"/>
      <c r="H1241" s="56"/>
      <c r="I1241" s="56"/>
      <c r="J1241" s="58"/>
      <c r="K1241" s="58"/>
      <c r="L1241" s="13" t="str">
        <f t="shared" si="190"/>
        <v/>
      </c>
      <c r="M1241" s="13" t="str">
        <f t="shared" si="191"/>
        <v/>
      </c>
      <c r="Q1241" t="str">
        <f t="shared" si="192"/>
        <v/>
      </c>
      <c r="R1241" t="str">
        <f t="shared" si="193"/>
        <v/>
      </c>
      <c r="S1241" t="str">
        <f t="shared" si="194"/>
        <v/>
      </c>
      <c r="T1241" t="str">
        <f t="shared" si="195"/>
        <v/>
      </c>
      <c r="U1241" t="str">
        <f t="shared" si="196"/>
        <v/>
      </c>
      <c r="V1241" t="str">
        <f t="shared" si="197"/>
        <v/>
      </c>
      <c r="W1241" t="str">
        <f t="shared" si="198"/>
        <v/>
      </c>
      <c r="X1241">
        <f>IF($T1241="",N($X1240),IF(MATCH($T1241,$T$6:$T$10005,0)=ROW()-5,N($X1240)+1,N($X1240)))</f>
        <v>0</v>
      </c>
      <c r="Z1241" t="str">
        <f t="shared" si="199"/>
        <v/>
      </c>
      <c r="AA1241">
        <f>IF($V1241="",N($AA1240),IF(MATCH($V1241,$V$6:$V$10005,0)=ROW()-5,N($AA1240)+1,N($AA1240)))</f>
        <v>0</v>
      </c>
    </row>
    <row r="1242" spans="1:27" ht="21" customHeight="1" x14ac:dyDescent="0.95">
      <c r="A1242" s="56"/>
      <c r="B1242" s="57"/>
      <c r="C1242" s="57"/>
      <c r="D1242" s="57"/>
      <c r="E1242" s="56"/>
      <c r="F1242" s="57"/>
      <c r="G1242" s="57"/>
      <c r="H1242" s="56"/>
      <c r="I1242" s="56"/>
      <c r="J1242" s="58"/>
      <c r="K1242" s="58"/>
      <c r="L1242" s="13" t="str">
        <f t="shared" si="190"/>
        <v/>
      </c>
      <c r="M1242" s="13" t="str">
        <f t="shared" si="191"/>
        <v/>
      </c>
      <c r="Q1242" t="str">
        <f t="shared" si="192"/>
        <v/>
      </c>
      <c r="R1242" t="str">
        <f t="shared" si="193"/>
        <v/>
      </c>
      <c r="S1242" t="str">
        <f t="shared" si="194"/>
        <v/>
      </c>
      <c r="T1242" t="str">
        <f t="shared" si="195"/>
        <v/>
      </c>
      <c r="U1242" t="str">
        <f t="shared" si="196"/>
        <v/>
      </c>
      <c r="V1242" t="str">
        <f t="shared" si="197"/>
        <v/>
      </c>
      <c r="W1242" t="str">
        <f t="shared" si="198"/>
        <v/>
      </c>
      <c r="X1242">
        <f>IF($T1242="",N($X1241),IF(MATCH($T1242,$T$6:$T$10005,0)=ROW()-5,N($X1241)+1,N($X1241)))</f>
        <v>0</v>
      </c>
      <c r="Z1242" t="str">
        <f t="shared" si="199"/>
        <v/>
      </c>
      <c r="AA1242">
        <f>IF($V1242="",N($AA1241),IF(MATCH($V1242,$V$6:$V$10005,0)=ROW()-5,N($AA1241)+1,N($AA1241)))</f>
        <v>0</v>
      </c>
    </row>
    <row r="1243" spans="1:27" ht="21" customHeight="1" x14ac:dyDescent="0.95">
      <c r="A1243" s="56"/>
      <c r="B1243" s="57"/>
      <c r="C1243" s="57"/>
      <c r="D1243" s="57"/>
      <c r="E1243" s="56"/>
      <c r="F1243" s="57"/>
      <c r="G1243" s="57"/>
      <c r="H1243" s="56"/>
      <c r="I1243" s="56"/>
      <c r="J1243" s="58"/>
      <c r="K1243" s="58"/>
      <c r="L1243" s="13" t="str">
        <f t="shared" si="190"/>
        <v/>
      </c>
      <c r="M1243" s="13" t="str">
        <f t="shared" si="191"/>
        <v/>
      </c>
      <c r="Q1243" t="str">
        <f t="shared" si="192"/>
        <v/>
      </c>
      <c r="R1243" t="str">
        <f t="shared" si="193"/>
        <v/>
      </c>
      <c r="S1243" t="str">
        <f t="shared" si="194"/>
        <v/>
      </c>
      <c r="T1243" t="str">
        <f t="shared" si="195"/>
        <v/>
      </c>
      <c r="U1243" t="str">
        <f t="shared" si="196"/>
        <v/>
      </c>
      <c r="V1243" t="str">
        <f t="shared" si="197"/>
        <v/>
      </c>
      <c r="W1243" t="str">
        <f t="shared" si="198"/>
        <v/>
      </c>
      <c r="X1243">
        <f>IF($T1243="",N($X1242),IF(MATCH($T1243,$T$6:$T$10005,0)=ROW()-5,N($X1242)+1,N($X1242)))</f>
        <v>0</v>
      </c>
      <c r="Z1243" t="str">
        <f t="shared" si="199"/>
        <v/>
      </c>
      <c r="AA1243">
        <f>IF($V1243="",N($AA1242),IF(MATCH($V1243,$V$6:$V$10005,0)=ROW()-5,N($AA1242)+1,N($AA1242)))</f>
        <v>0</v>
      </c>
    </row>
    <row r="1244" spans="1:27" ht="21" customHeight="1" x14ac:dyDescent="0.95">
      <c r="A1244" s="56"/>
      <c r="B1244" s="57"/>
      <c r="C1244" s="57"/>
      <c r="D1244" s="57"/>
      <c r="E1244" s="56"/>
      <c r="F1244" s="57"/>
      <c r="G1244" s="57"/>
      <c r="H1244" s="56"/>
      <c r="I1244" s="56"/>
      <c r="J1244" s="58"/>
      <c r="K1244" s="58"/>
      <c r="L1244" s="13" t="str">
        <f t="shared" si="190"/>
        <v/>
      </c>
      <c r="M1244" s="13" t="str">
        <f t="shared" si="191"/>
        <v/>
      </c>
      <c r="Q1244" t="str">
        <f t="shared" si="192"/>
        <v/>
      </c>
      <c r="R1244" t="str">
        <f t="shared" si="193"/>
        <v/>
      </c>
      <c r="S1244" t="str">
        <f t="shared" si="194"/>
        <v/>
      </c>
      <c r="T1244" t="str">
        <f t="shared" si="195"/>
        <v/>
      </c>
      <c r="U1244" t="str">
        <f t="shared" si="196"/>
        <v/>
      </c>
      <c r="V1244" t="str">
        <f t="shared" si="197"/>
        <v/>
      </c>
      <c r="W1244" t="str">
        <f t="shared" si="198"/>
        <v/>
      </c>
      <c r="X1244">
        <f>IF($T1244="",N($X1243),IF(MATCH($T1244,$T$6:$T$10005,0)=ROW()-5,N($X1243)+1,N($X1243)))</f>
        <v>0</v>
      </c>
      <c r="Z1244" t="str">
        <f t="shared" si="199"/>
        <v/>
      </c>
      <c r="AA1244">
        <f>IF($V1244="",N($AA1243),IF(MATCH($V1244,$V$6:$V$10005,0)=ROW()-5,N($AA1243)+1,N($AA1243)))</f>
        <v>0</v>
      </c>
    </row>
    <row r="1245" spans="1:27" ht="21" customHeight="1" x14ac:dyDescent="0.95">
      <c r="A1245" s="56"/>
      <c r="B1245" s="57"/>
      <c r="C1245" s="57"/>
      <c r="D1245" s="57"/>
      <c r="E1245" s="56"/>
      <c r="F1245" s="57"/>
      <c r="G1245" s="57"/>
      <c r="H1245" s="56"/>
      <c r="I1245" s="56"/>
      <c r="J1245" s="58"/>
      <c r="K1245" s="58"/>
      <c r="L1245" s="13" t="str">
        <f t="shared" si="190"/>
        <v/>
      </c>
      <c r="M1245" s="13" t="str">
        <f t="shared" si="191"/>
        <v/>
      </c>
      <c r="Q1245" t="str">
        <f t="shared" si="192"/>
        <v/>
      </c>
      <c r="R1245" t="str">
        <f t="shared" si="193"/>
        <v/>
      </c>
      <c r="S1245" t="str">
        <f t="shared" si="194"/>
        <v/>
      </c>
      <c r="T1245" t="str">
        <f t="shared" si="195"/>
        <v/>
      </c>
      <c r="U1245" t="str">
        <f t="shared" si="196"/>
        <v/>
      </c>
      <c r="V1245" t="str">
        <f t="shared" si="197"/>
        <v/>
      </c>
      <c r="W1245" t="str">
        <f t="shared" si="198"/>
        <v/>
      </c>
      <c r="X1245">
        <f>IF($T1245="",N($X1244),IF(MATCH($T1245,$T$6:$T$10005,0)=ROW()-5,N($X1244)+1,N($X1244)))</f>
        <v>0</v>
      </c>
      <c r="Z1245" t="str">
        <f t="shared" si="199"/>
        <v/>
      </c>
      <c r="AA1245">
        <f>IF($V1245="",N($AA1244),IF(MATCH($V1245,$V$6:$V$10005,0)=ROW()-5,N($AA1244)+1,N($AA1244)))</f>
        <v>0</v>
      </c>
    </row>
    <row r="1246" spans="1:27" ht="21" customHeight="1" x14ac:dyDescent="0.95">
      <c r="A1246" s="56"/>
      <c r="B1246" s="57"/>
      <c r="C1246" s="57"/>
      <c r="D1246" s="57"/>
      <c r="E1246" s="56"/>
      <c r="F1246" s="57"/>
      <c r="G1246" s="57"/>
      <c r="H1246" s="56"/>
      <c r="I1246" s="56"/>
      <c r="J1246" s="58"/>
      <c r="K1246" s="58"/>
      <c r="L1246" s="13" t="str">
        <f t="shared" si="190"/>
        <v/>
      </c>
      <c r="M1246" s="13" t="str">
        <f t="shared" si="191"/>
        <v/>
      </c>
      <c r="Q1246" t="str">
        <f t="shared" si="192"/>
        <v/>
      </c>
      <c r="R1246" t="str">
        <f t="shared" si="193"/>
        <v/>
      </c>
      <c r="S1246" t="str">
        <f t="shared" si="194"/>
        <v/>
      </c>
      <c r="T1246" t="str">
        <f t="shared" si="195"/>
        <v/>
      </c>
      <c r="U1246" t="str">
        <f t="shared" si="196"/>
        <v/>
      </c>
      <c r="V1246" t="str">
        <f t="shared" si="197"/>
        <v/>
      </c>
      <c r="W1246" t="str">
        <f t="shared" si="198"/>
        <v/>
      </c>
      <c r="X1246">
        <f>IF($T1246="",N($X1245),IF(MATCH($T1246,$T$6:$T$10005,0)=ROW()-5,N($X1245)+1,N($X1245)))</f>
        <v>0</v>
      </c>
      <c r="Z1246" t="str">
        <f t="shared" si="199"/>
        <v/>
      </c>
      <c r="AA1246">
        <f>IF($V1246="",N($AA1245),IF(MATCH($V1246,$V$6:$V$10005,0)=ROW()-5,N($AA1245)+1,N($AA1245)))</f>
        <v>0</v>
      </c>
    </row>
    <row r="1247" spans="1:27" ht="21" customHeight="1" x14ac:dyDescent="0.95">
      <c r="A1247" s="56"/>
      <c r="B1247" s="57"/>
      <c r="C1247" s="57"/>
      <c r="D1247" s="57"/>
      <c r="E1247" s="56"/>
      <c r="F1247" s="57"/>
      <c r="G1247" s="57"/>
      <c r="H1247" s="56"/>
      <c r="I1247" s="56"/>
      <c r="J1247" s="58"/>
      <c r="K1247" s="58"/>
      <c r="L1247" s="13" t="str">
        <f t="shared" si="190"/>
        <v/>
      </c>
      <c r="M1247" s="13" t="str">
        <f t="shared" si="191"/>
        <v/>
      </c>
      <c r="Q1247" t="str">
        <f t="shared" si="192"/>
        <v/>
      </c>
      <c r="R1247" t="str">
        <f t="shared" si="193"/>
        <v/>
      </c>
      <c r="S1247" t="str">
        <f t="shared" si="194"/>
        <v/>
      </c>
      <c r="T1247" t="str">
        <f t="shared" si="195"/>
        <v/>
      </c>
      <c r="U1247" t="str">
        <f t="shared" si="196"/>
        <v/>
      </c>
      <c r="V1247" t="str">
        <f t="shared" si="197"/>
        <v/>
      </c>
      <c r="W1247" t="str">
        <f t="shared" si="198"/>
        <v/>
      </c>
      <c r="X1247">
        <f>IF($T1247="",N($X1246),IF(MATCH($T1247,$T$6:$T$10005,0)=ROW()-5,N($X1246)+1,N($X1246)))</f>
        <v>0</v>
      </c>
      <c r="Z1247" t="str">
        <f t="shared" si="199"/>
        <v/>
      </c>
      <c r="AA1247">
        <f>IF($V1247="",N($AA1246),IF(MATCH($V1247,$V$6:$V$10005,0)=ROW()-5,N($AA1246)+1,N($AA1246)))</f>
        <v>0</v>
      </c>
    </row>
    <row r="1248" spans="1:27" ht="21" customHeight="1" x14ac:dyDescent="0.95">
      <c r="A1248" s="56"/>
      <c r="B1248" s="57"/>
      <c r="C1248" s="57"/>
      <c r="D1248" s="57"/>
      <c r="E1248" s="56"/>
      <c r="F1248" s="57"/>
      <c r="G1248" s="57"/>
      <c r="H1248" s="56"/>
      <c r="I1248" s="56"/>
      <c r="J1248" s="58"/>
      <c r="K1248" s="58"/>
      <c r="L1248" s="13" t="str">
        <f t="shared" si="190"/>
        <v/>
      </c>
      <c r="M1248" s="13" t="str">
        <f t="shared" si="191"/>
        <v/>
      </c>
      <c r="Q1248" t="str">
        <f t="shared" si="192"/>
        <v/>
      </c>
      <c r="R1248" t="str">
        <f t="shared" si="193"/>
        <v/>
      </c>
      <c r="S1248" t="str">
        <f t="shared" si="194"/>
        <v/>
      </c>
      <c r="T1248" t="str">
        <f t="shared" si="195"/>
        <v/>
      </c>
      <c r="U1248" t="str">
        <f t="shared" si="196"/>
        <v/>
      </c>
      <c r="V1248" t="str">
        <f t="shared" si="197"/>
        <v/>
      </c>
      <c r="W1248" t="str">
        <f t="shared" si="198"/>
        <v/>
      </c>
      <c r="X1248">
        <f>IF($T1248="",N($X1247),IF(MATCH($T1248,$T$6:$T$10005,0)=ROW()-5,N($X1247)+1,N($X1247)))</f>
        <v>0</v>
      </c>
      <c r="Z1248" t="str">
        <f t="shared" si="199"/>
        <v/>
      </c>
      <c r="AA1248">
        <f>IF($V1248="",N($AA1247),IF(MATCH($V1248,$V$6:$V$10005,0)=ROW()-5,N($AA1247)+1,N($AA1247)))</f>
        <v>0</v>
      </c>
    </row>
    <row r="1249" spans="1:27" ht="21" customHeight="1" x14ac:dyDescent="0.95">
      <c r="A1249" s="56"/>
      <c r="B1249" s="57"/>
      <c r="C1249" s="57"/>
      <c r="D1249" s="57"/>
      <c r="E1249" s="56"/>
      <c r="F1249" s="57"/>
      <c r="G1249" s="57"/>
      <c r="H1249" s="56"/>
      <c r="I1249" s="56"/>
      <c r="J1249" s="58"/>
      <c r="K1249" s="58"/>
      <c r="L1249" s="13" t="str">
        <f t="shared" si="190"/>
        <v/>
      </c>
      <c r="M1249" s="13" t="str">
        <f t="shared" si="191"/>
        <v/>
      </c>
      <c r="Q1249" t="str">
        <f t="shared" si="192"/>
        <v/>
      </c>
      <c r="R1249" t="str">
        <f t="shared" si="193"/>
        <v/>
      </c>
      <c r="S1249" t="str">
        <f t="shared" si="194"/>
        <v/>
      </c>
      <c r="T1249" t="str">
        <f t="shared" si="195"/>
        <v/>
      </c>
      <c r="U1249" t="str">
        <f t="shared" si="196"/>
        <v/>
      </c>
      <c r="V1249" t="str">
        <f t="shared" si="197"/>
        <v/>
      </c>
      <c r="W1249" t="str">
        <f t="shared" si="198"/>
        <v/>
      </c>
      <c r="X1249">
        <f>IF($T1249="",N($X1248),IF(MATCH($T1249,$T$6:$T$10005,0)=ROW()-5,N($X1248)+1,N($X1248)))</f>
        <v>0</v>
      </c>
      <c r="Z1249" t="str">
        <f t="shared" si="199"/>
        <v/>
      </c>
      <c r="AA1249">
        <f>IF($V1249="",N($AA1248),IF(MATCH($V1249,$V$6:$V$10005,0)=ROW()-5,N($AA1248)+1,N($AA1248)))</f>
        <v>0</v>
      </c>
    </row>
    <row r="1250" spans="1:27" ht="21" customHeight="1" x14ac:dyDescent="0.95">
      <c r="A1250" s="56"/>
      <c r="B1250" s="57"/>
      <c r="C1250" s="57"/>
      <c r="D1250" s="57"/>
      <c r="E1250" s="56"/>
      <c r="F1250" s="57"/>
      <c r="G1250" s="57"/>
      <c r="H1250" s="56"/>
      <c r="I1250" s="56"/>
      <c r="J1250" s="58"/>
      <c r="K1250" s="58"/>
      <c r="L1250" s="13" t="str">
        <f t="shared" si="190"/>
        <v/>
      </c>
      <c r="M1250" s="13" t="str">
        <f t="shared" si="191"/>
        <v/>
      </c>
      <c r="Q1250" t="str">
        <f t="shared" si="192"/>
        <v/>
      </c>
      <c r="R1250" t="str">
        <f t="shared" si="193"/>
        <v/>
      </c>
      <c r="S1250" t="str">
        <f t="shared" si="194"/>
        <v/>
      </c>
      <c r="T1250" t="str">
        <f t="shared" si="195"/>
        <v/>
      </c>
      <c r="U1250" t="str">
        <f t="shared" si="196"/>
        <v/>
      </c>
      <c r="V1250" t="str">
        <f t="shared" si="197"/>
        <v/>
      </c>
      <c r="W1250" t="str">
        <f t="shared" si="198"/>
        <v/>
      </c>
      <c r="X1250">
        <f>IF($T1250="",N($X1249),IF(MATCH($T1250,$T$6:$T$10005,0)=ROW()-5,N($X1249)+1,N($X1249)))</f>
        <v>0</v>
      </c>
      <c r="Z1250" t="str">
        <f t="shared" si="199"/>
        <v/>
      </c>
      <c r="AA1250">
        <f>IF($V1250="",N($AA1249),IF(MATCH($V1250,$V$6:$V$10005,0)=ROW()-5,N($AA1249)+1,N($AA1249)))</f>
        <v>0</v>
      </c>
    </row>
    <row r="1251" spans="1:27" ht="21" customHeight="1" x14ac:dyDescent="0.95">
      <c r="A1251" s="56"/>
      <c r="B1251" s="57"/>
      <c r="C1251" s="57"/>
      <c r="D1251" s="57"/>
      <c r="E1251" s="56"/>
      <c r="F1251" s="57"/>
      <c r="G1251" s="57"/>
      <c r="H1251" s="56"/>
      <c r="I1251" s="56"/>
      <c r="J1251" s="58"/>
      <c r="K1251" s="58"/>
      <c r="L1251" s="13" t="str">
        <f t="shared" si="190"/>
        <v/>
      </c>
      <c r="M1251" s="13" t="str">
        <f t="shared" si="191"/>
        <v/>
      </c>
      <c r="Q1251" t="str">
        <f t="shared" si="192"/>
        <v/>
      </c>
      <c r="R1251" t="str">
        <f t="shared" si="193"/>
        <v/>
      </c>
      <c r="S1251" t="str">
        <f t="shared" si="194"/>
        <v/>
      </c>
      <c r="T1251" t="str">
        <f t="shared" si="195"/>
        <v/>
      </c>
      <c r="U1251" t="str">
        <f t="shared" si="196"/>
        <v/>
      </c>
      <c r="V1251" t="str">
        <f t="shared" si="197"/>
        <v/>
      </c>
      <c r="W1251" t="str">
        <f t="shared" si="198"/>
        <v/>
      </c>
      <c r="X1251">
        <f>IF($T1251="",N($X1250),IF(MATCH($T1251,$T$6:$T$10005,0)=ROW()-5,N($X1250)+1,N($X1250)))</f>
        <v>0</v>
      </c>
      <c r="Z1251" t="str">
        <f t="shared" si="199"/>
        <v/>
      </c>
      <c r="AA1251">
        <f>IF($V1251="",N($AA1250),IF(MATCH($V1251,$V$6:$V$10005,0)=ROW()-5,N($AA1250)+1,N($AA1250)))</f>
        <v>0</v>
      </c>
    </row>
    <row r="1252" spans="1:27" ht="21" customHeight="1" x14ac:dyDescent="0.95">
      <c r="A1252" s="56"/>
      <c r="B1252" s="57"/>
      <c r="C1252" s="57"/>
      <c r="D1252" s="57"/>
      <c r="E1252" s="56"/>
      <c r="F1252" s="57"/>
      <c r="G1252" s="57"/>
      <c r="H1252" s="56"/>
      <c r="I1252" s="56"/>
      <c r="J1252" s="58"/>
      <c r="K1252" s="58"/>
      <c r="L1252" s="13" t="str">
        <f t="shared" si="190"/>
        <v/>
      </c>
      <c r="M1252" s="13" t="str">
        <f t="shared" si="191"/>
        <v/>
      </c>
      <c r="Q1252" t="str">
        <f t="shared" si="192"/>
        <v/>
      </c>
      <c r="R1252" t="str">
        <f t="shared" si="193"/>
        <v/>
      </c>
      <c r="S1252" t="str">
        <f t="shared" si="194"/>
        <v/>
      </c>
      <c r="T1252" t="str">
        <f t="shared" si="195"/>
        <v/>
      </c>
      <c r="U1252" t="str">
        <f t="shared" si="196"/>
        <v/>
      </c>
      <c r="V1252" t="str">
        <f t="shared" si="197"/>
        <v/>
      </c>
      <c r="W1252" t="str">
        <f t="shared" si="198"/>
        <v/>
      </c>
      <c r="X1252">
        <f>IF($T1252="",N($X1251),IF(MATCH($T1252,$T$6:$T$10005,0)=ROW()-5,N($X1251)+1,N($X1251)))</f>
        <v>0</v>
      </c>
      <c r="Z1252" t="str">
        <f t="shared" si="199"/>
        <v/>
      </c>
      <c r="AA1252">
        <f>IF($V1252="",N($AA1251),IF(MATCH($V1252,$V$6:$V$10005,0)=ROW()-5,N($AA1251)+1,N($AA1251)))</f>
        <v>0</v>
      </c>
    </row>
    <row r="1253" spans="1:27" ht="21" customHeight="1" x14ac:dyDescent="0.95">
      <c r="A1253" s="56"/>
      <c r="B1253" s="57"/>
      <c r="C1253" s="57"/>
      <c r="D1253" s="57"/>
      <c r="E1253" s="56"/>
      <c r="F1253" s="57"/>
      <c r="G1253" s="57"/>
      <c r="H1253" s="56"/>
      <c r="I1253" s="56"/>
      <c r="J1253" s="58"/>
      <c r="K1253" s="58"/>
      <c r="L1253" s="13" t="str">
        <f t="shared" si="190"/>
        <v/>
      </c>
      <c r="M1253" s="13" t="str">
        <f t="shared" si="191"/>
        <v/>
      </c>
      <c r="Q1253" t="str">
        <f t="shared" si="192"/>
        <v/>
      </c>
      <c r="R1253" t="str">
        <f t="shared" si="193"/>
        <v/>
      </c>
      <c r="S1253" t="str">
        <f t="shared" si="194"/>
        <v/>
      </c>
      <c r="T1253" t="str">
        <f t="shared" si="195"/>
        <v/>
      </c>
      <c r="U1253" t="str">
        <f t="shared" si="196"/>
        <v/>
      </c>
      <c r="V1253" t="str">
        <f t="shared" si="197"/>
        <v/>
      </c>
      <c r="W1253" t="str">
        <f t="shared" si="198"/>
        <v/>
      </c>
      <c r="X1253">
        <f>IF($T1253="",N($X1252),IF(MATCH($T1253,$T$6:$T$10005,0)=ROW()-5,N($X1252)+1,N($X1252)))</f>
        <v>0</v>
      </c>
      <c r="Z1253" t="str">
        <f t="shared" si="199"/>
        <v/>
      </c>
      <c r="AA1253">
        <f>IF($V1253="",N($AA1252),IF(MATCH($V1253,$V$6:$V$10005,0)=ROW()-5,N($AA1252)+1,N($AA1252)))</f>
        <v>0</v>
      </c>
    </row>
    <row r="1254" spans="1:27" ht="21" customHeight="1" x14ac:dyDescent="0.95">
      <c r="A1254" s="56"/>
      <c r="B1254" s="57"/>
      <c r="C1254" s="57"/>
      <c r="D1254" s="57"/>
      <c r="E1254" s="56"/>
      <c r="F1254" s="57"/>
      <c r="G1254" s="57"/>
      <c r="H1254" s="56"/>
      <c r="I1254" s="56"/>
      <c r="J1254" s="58"/>
      <c r="K1254" s="58"/>
      <c r="L1254" s="13" t="str">
        <f t="shared" si="190"/>
        <v/>
      </c>
      <c r="M1254" s="13" t="str">
        <f t="shared" si="191"/>
        <v/>
      </c>
      <c r="Q1254" t="str">
        <f t="shared" si="192"/>
        <v/>
      </c>
      <c r="R1254" t="str">
        <f t="shared" si="193"/>
        <v/>
      </c>
      <c r="S1254" t="str">
        <f t="shared" si="194"/>
        <v/>
      </c>
      <c r="T1254" t="str">
        <f t="shared" si="195"/>
        <v/>
      </c>
      <c r="U1254" t="str">
        <f t="shared" si="196"/>
        <v/>
      </c>
      <c r="V1254" t="str">
        <f t="shared" si="197"/>
        <v/>
      </c>
      <c r="W1254" t="str">
        <f t="shared" si="198"/>
        <v/>
      </c>
      <c r="X1254">
        <f>IF($T1254="",N($X1253),IF(MATCH($T1254,$T$6:$T$10005,0)=ROW()-5,N($X1253)+1,N($X1253)))</f>
        <v>0</v>
      </c>
      <c r="Z1254" t="str">
        <f t="shared" si="199"/>
        <v/>
      </c>
      <c r="AA1254">
        <f>IF($V1254="",N($AA1253),IF(MATCH($V1254,$V$6:$V$10005,0)=ROW()-5,N($AA1253)+1,N($AA1253)))</f>
        <v>0</v>
      </c>
    </row>
    <row r="1255" spans="1:27" ht="21" customHeight="1" x14ac:dyDescent="0.95">
      <c r="A1255" s="56"/>
      <c r="B1255" s="57"/>
      <c r="C1255" s="57"/>
      <c r="D1255" s="57"/>
      <c r="E1255" s="56"/>
      <c r="F1255" s="57"/>
      <c r="G1255" s="57"/>
      <c r="H1255" s="56"/>
      <c r="I1255" s="56"/>
      <c r="J1255" s="58"/>
      <c r="K1255" s="58"/>
      <c r="L1255" s="13" t="str">
        <f t="shared" si="190"/>
        <v/>
      </c>
      <c r="M1255" s="13" t="str">
        <f t="shared" si="191"/>
        <v/>
      </c>
      <c r="Q1255" t="str">
        <f t="shared" si="192"/>
        <v/>
      </c>
      <c r="R1255" t="str">
        <f t="shared" si="193"/>
        <v/>
      </c>
      <c r="S1255" t="str">
        <f t="shared" si="194"/>
        <v/>
      </c>
      <c r="T1255" t="str">
        <f t="shared" si="195"/>
        <v/>
      </c>
      <c r="U1255" t="str">
        <f t="shared" si="196"/>
        <v/>
      </c>
      <c r="V1255" t="str">
        <f t="shared" si="197"/>
        <v/>
      </c>
      <c r="W1255" t="str">
        <f t="shared" si="198"/>
        <v/>
      </c>
      <c r="X1255">
        <f>IF($T1255="",N($X1254),IF(MATCH($T1255,$T$6:$T$10005,0)=ROW()-5,N($X1254)+1,N($X1254)))</f>
        <v>0</v>
      </c>
      <c r="Z1255" t="str">
        <f t="shared" si="199"/>
        <v/>
      </c>
      <c r="AA1255">
        <f>IF($V1255="",N($AA1254),IF(MATCH($V1255,$V$6:$V$10005,0)=ROW()-5,N($AA1254)+1,N($AA1254)))</f>
        <v>0</v>
      </c>
    </row>
    <row r="1256" spans="1:27" ht="21" customHeight="1" x14ac:dyDescent="0.95">
      <c r="A1256" s="56"/>
      <c r="B1256" s="57"/>
      <c r="C1256" s="57"/>
      <c r="D1256" s="57"/>
      <c r="E1256" s="56"/>
      <c r="F1256" s="57"/>
      <c r="G1256" s="57"/>
      <c r="H1256" s="56"/>
      <c r="I1256" s="56"/>
      <c r="J1256" s="58"/>
      <c r="K1256" s="58"/>
      <c r="L1256" s="13" t="str">
        <f t="shared" si="190"/>
        <v/>
      </c>
      <c r="M1256" s="13" t="str">
        <f t="shared" si="191"/>
        <v/>
      </c>
      <c r="Q1256" t="str">
        <f t="shared" si="192"/>
        <v/>
      </c>
      <c r="R1256" t="str">
        <f t="shared" si="193"/>
        <v/>
      </c>
      <c r="S1256" t="str">
        <f t="shared" si="194"/>
        <v/>
      </c>
      <c r="T1256" t="str">
        <f t="shared" si="195"/>
        <v/>
      </c>
      <c r="U1256" t="str">
        <f t="shared" si="196"/>
        <v/>
      </c>
      <c r="V1256" t="str">
        <f t="shared" si="197"/>
        <v/>
      </c>
      <c r="W1256" t="str">
        <f t="shared" si="198"/>
        <v/>
      </c>
      <c r="X1256">
        <f>IF($T1256="",N($X1255),IF(MATCH($T1256,$T$6:$T$10005,0)=ROW()-5,N($X1255)+1,N($X1255)))</f>
        <v>0</v>
      </c>
      <c r="Z1256" t="str">
        <f t="shared" si="199"/>
        <v/>
      </c>
      <c r="AA1256">
        <f>IF($V1256="",N($AA1255),IF(MATCH($V1256,$V$6:$V$10005,0)=ROW()-5,N($AA1255)+1,N($AA1255)))</f>
        <v>0</v>
      </c>
    </row>
    <row r="1257" spans="1:27" ht="21" customHeight="1" x14ac:dyDescent="0.95">
      <c r="A1257" s="56"/>
      <c r="B1257" s="57"/>
      <c r="C1257" s="57"/>
      <c r="D1257" s="57"/>
      <c r="E1257" s="56"/>
      <c r="F1257" s="57"/>
      <c r="G1257" s="57"/>
      <c r="H1257" s="56"/>
      <c r="I1257" s="56"/>
      <c r="J1257" s="58"/>
      <c r="K1257" s="58"/>
      <c r="L1257" s="13" t="str">
        <f t="shared" si="190"/>
        <v/>
      </c>
      <c r="M1257" s="13" t="str">
        <f t="shared" si="191"/>
        <v/>
      </c>
      <c r="Q1257" t="str">
        <f t="shared" si="192"/>
        <v/>
      </c>
      <c r="R1257" t="str">
        <f t="shared" si="193"/>
        <v/>
      </c>
      <c r="S1257" t="str">
        <f t="shared" si="194"/>
        <v/>
      </c>
      <c r="T1257" t="str">
        <f t="shared" si="195"/>
        <v/>
      </c>
      <c r="U1257" t="str">
        <f t="shared" si="196"/>
        <v/>
      </c>
      <c r="V1257" t="str">
        <f t="shared" si="197"/>
        <v/>
      </c>
      <c r="W1257" t="str">
        <f t="shared" si="198"/>
        <v/>
      </c>
      <c r="X1257">
        <f>IF($T1257="",N($X1256),IF(MATCH($T1257,$T$6:$T$10005,0)=ROW()-5,N($X1256)+1,N($X1256)))</f>
        <v>0</v>
      </c>
      <c r="Z1257" t="str">
        <f t="shared" si="199"/>
        <v/>
      </c>
      <c r="AA1257">
        <f>IF($V1257="",N($AA1256),IF(MATCH($V1257,$V$6:$V$10005,0)=ROW()-5,N($AA1256)+1,N($AA1256)))</f>
        <v>0</v>
      </c>
    </row>
    <row r="1258" spans="1:27" ht="21" customHeight="1" x14ac:dyDescent="0.95">
      <c r="A1258" s="56"/>
      <c r="B1258" s="57"/>
      <c r="C1258" s="57"/>
      <c r="D1258" s="57"/>
      <c r="E1258" s="56"/>
      <c r="F1258" s="57"/>
      <c r="G1258" s="57"/>
      <c r="H1258" s="56"/>
      <c r="I1258" s="56"/>
      <c r="J1258" s="58"/>
      <c r="K1258" s="58"/>
      <c r="L1258" s="13" t="str">
        <f t="shared" si="190"/>
        <v/>
      </c>
      <c r="M1258" s="13" t="str">
        <f t="shared" si="191"/>
        <v/>
      </c>
      <c r="Q1258" t="str">
        <f t="shared" si="192"/>
        <v/>
      </c>
      <c r="R1258" t="str">
        <f t="shared" si="193"/>
        <v/>
      </c>
      <c r="S1258" t="str">
        <f t="shared" si="194"/>
        <v/>
      </c>
      <c r="T1258" t="str">
        <f t="shared" si="195"/>
        <v/>
      </c>
      <c r="U1258" t="str">
        <f t="shared" si="196"/>
        <v/>
      </c>
      <c r="V1258" t="str">
        <f t="shared" si="197"/>
        <v/>
      </c>
      <c r="W1258" t="str">
        <f t="shared" si="198"/>
        <v/>
      </c>
      <c r="X1258">
        <f>IF($T1258="",N($X1257),IF(MATCH($T1258,$T$6:$T$10005,0)=ROW()-5,N($X1257)+1,N($X1257)))</f>
        <v>0</v>
      </c>
      <c r="Z1258" t="str">
        <f t="shared" si="199"/>
        <v/>
      </c>
      <c r="AA1258">
        <f>IF($V1258="",N($AA1257),IF(MATCH($V1258,$V$6:$V$10005,0)=ROW()-5,N($AA1257)+1,N($AA1257)))</f>
        <v>0</v>
      </c>
    </row>
    <row r="1259" spans="1:27" ht="21" customHeight="1" x14ac:dyDescent="0.95">
      <c r="A1259" s="56"/>
      <c r="B1259" s="57"/>
      <c r="C1259" s="57"/>
      <c r="D1259" s="57"/>
      <c r="E1259" s="56"/>
      <c r="F1259" s="57"/>
      <c r="G1259" s="57"/>
      <c r="H1259" s="56"/>
      <c r="I1259" s="56"/>
      <c r="J1259" s="58"/>
      <c r="K1259" s="58"/>
      <c r="L1259" s="13" t="str">
        <f t="shared" si="190"/>
        <v/>
      </c>
      <c r="M1259" s="13" t="str">
        <f t="shared" si="191"/>
        <v/>
      </c>
      <c r="Q1259" t="str">
        <f t="shared" si="192"/>
        <v/>
      </c>
      <c r="R1259" t="str">
        <f t="shared" si="193"/>
        <v/>
      </c>
      <c r="S1259" t="str">
        <f t="shared" si="194"/>
        <v/>
      </c>
      <c r="T1259" t="str">
        <f t="shared" si="195"/>
        <v/>
      </c>
      <c r="U1259" t="str">
        <f t="shared" si="196"/>
        <v/>
      </c>
      <c r="V1259" t="str">
        <f t="shared" si="197"/>
        <v/>
      </c>
      <c r="W1259" t="str">
        <f t="shared" si="198"/>
        <v/>
      </c>
      <c r="X1259">
        <f>IF($T1259="",N($X1258),IF(MATCH($T1259,$T$6:$T$10005,0)=ROW()-5,N($X1258)+1,N($X1258)))</f>
        <v>0</v>
      </c>
      <c r="Z1259" t="str">
        <f t="shared" si="199"/>
        <v/>
      </c>
      <c r="AA1259">
        <f>IF($V1259="",N($AA1258),IF(MATCH($V1259,$V$6:$V$10005,0)=ROW()-5,N($AA1258)+1,N($AA1258)))</f>
        <v>0</v>
      </c>
    </row>
    <row r="1260" spans="1:27" ht="21" customHeight="1" x14ac:dyDescent="0.95">
      <c r="A1260" s="56"/>
      <c r="B1260" s="57"/>
      <c r="C1260" s="57"/>
      <c r="D1260" s="57"/>
      <c r="E1260" s="56"/>
      <c r="F1260" s="57"/>
      <c r="G1260" s="57"/>
      <c r="H1260" s="56"/>
      <c r="I1260" s="56"/>
      <c r="J1260" s="58"/>
      <c r="K1260" s="58"/>
      <c r="L1260" s="13" t="str">
        <f t="shared" si="190"/>
        <v/>
      </c>
      <c r="M1260" s="13" t="str">
        <f t="shared" si="191"/>
        <v/>
      </c>
      <c r="Q1260" t="str">
        <f t="shared" si="192"/>
        <v/>
      </c>
      <c r="R1260" t="str">
        <f t="shared" si="193"/>
        <v/>
      </c>
      <c r="S1260" t="str">
        <f t="shared" si="194"/>
        <v/>
      </c>
      <c r="T1260" t="str">
        <f t="shared" si="195"/>
        <v/>
      </c>
      <c r="U1260" t="str">
        <f t="shared" si="196"/>
        <v/>
      </c>
      <c r="V1260" t="str">
        <f t="shared" si="197"/>
        <v/>
      </c>
      <c r="W1260" t="str">
        <f t="shared" si="198"/>
        <v/>
      </c>
      <c r="X1260">
        <f>IF($T1260="",N($X1259),IF(MATCH($T1260,$T$6:$T$10005,0)=ROW()-5,N($X1259)+1,N($X1259)))</f>
        <v>0</v>
      </c>
      <c r="Z1260" t="str">
        <f t="shared" si="199"/>
        <v/>
      </c>
      <c r="AA1260">
        <f>IF($V1260="",N($AA1259),IF(MATCH($V1260,$V$6:$V$10005,0)=ROW()-5,N($AA1259)+1,N($AA1259)))</f>
        <v>0</v>
      </c>
    </row>
    <row r="1261" spans="1:27" ht="21" customHeight="1" x14ac:dyDescent="0.95">
      <c r="A1261" s="56"/>
      <c r="B1261" s="57"/>
      <c r="C1261" s="57"/>
      <c r="D1261" s="57"/>
      <c r="E1261" s="56"/>
      <c r="F1261" s="57"/>
      <c r="G1261" s="57"/>
      <c r="H1261" s="56"/>
      <c r="I1261" s="56"/>
      <c r="J1261" s="58"/>
      <c r="K1261" s="58"/>
      <c r="L1261" s="13" t="str">
        <f t="shared" si="190"/>
        <v/>
      </c>
      <c r="M1261" s="13" t="str">
        <f t="shared" si="191"/>
        <v/>
      </c>
      <c r="Q1261" t="str">
        <f t="shared" si="192"/>
        <v/>
      </c>
      <c r="R1261" t="str">
        <f t="shared" si="193"/>
        <v/>
      </c>
      <c r="S1261" t="str">
        <f t="shared" si="194"/>
        <v/>
      </c>
      <c r="T1261" t="str">
        <f t="shared" si="195"/>
        <v/>
      </c>
      <c r="U1261" t="str">
        <f t="shared" si="196"/>
        <v/>
      </c>
      <c r="V1261" t="str">
        <f t="shared" si="197"/>
        <v/>
      </c>
      <c r="W1261" t="str">
        <f t="shared" si="198"/>
        <v/>
      </c>
      <c r="X1261">
        <f>IF($T1261="",N($X1260),IF(MATCH($T1261,$T$6:$T$10005,0)=ROW()-5,N($X1260)+1,N($X1260)))</f>
        <v>0</v>
      </c>
      <c r="Z1261" t="str">
        <f t="shared" si="199"/>
        <v/>
      </c>
      <c r="AA1261">
        <f>IF($V1261="",N($AA1260),IF(MATCH($V1261,$V$6:$V$10005,0)=ROW()-5,N($AA1260)+1,N($AA1260)))</f>
        <v>0</v>
      </c>
    </row>
    <row r="1262" spans="1:27" ht="21" customHeight="1" x14ac:dyDescent="0.95">
      <c r="A1262" s="56"/>
      <c r="B1262" s="57"/>
      <c r="C1262" s="57"/>
      <c r="D1262" s="57"/>
      <c r="E1262" s="56"/>
      <c r="F1262" s="57"/>
      <c r="G1262" s="57"/>
      <c r="H1262" s="56"/>
      <c r="I1262" s="56"/>
      <c r="J1262" s="58"/>
      <c r="K1262" s="58"/>
      <c r="L1262" s="13" t="str">
        <f t="shared" si="190"/>
        <v/>
      </c>
      <c r="M1262" s="13" t="str">
        <f t="shared" si="191"/>
        <v/>
      </c>
      <c r="Q1262" t="str">
        <f t="shared" si="192"/>
        <v/>
      </c>
      <c r="R1262" t="str">
        <f t="shared" si="193"/>
        <v/>
      </c>
      <c r="S1262" t="str">
        <f t="shared" si="194"/>
        <v/>
      </c>
      <c r="T1262" t="str">
        <f t="shared" si="195"/>
        <v/>
      </c>
      <c r="U1262" t="str">
        <f t="shared" si="196"/>
        <v/>
      </c>
      <c r="V1262" t="str">
        <f t="shared" si="197"/>
        <v/>
      </c>
      <c r="W1262" t="str">
        <f t="shared" si="198"/>
        <v/>
      </c>
      <c r="X1262">
        <f>IF($T1262="",N($X1261),IF(MATCH($T1262,$T$6:$T$10005,0)=ROW()-5,N($X1261)+1,N($X1261)))</f>
        <v>0</v>
      </c>
      <c r="Z1262" t="str">
        <f t="shared" si="199"/>
        <v/>
      </c>
      <c r="AA1262">
        <f>IF($V1262="",N($AA1261),IF(MATCH($V1262,$V$6:$V$10005,0)=ROW()-5,N($AA1261)+1,N($AA1261)))</f>
        <v>0</v>
      </c>
    </row>
    <row r="1263" spans="1:27" ht="21" customHeight="1" x14ac:dyDescent="0.95">
      <c r="A1263" s="56"/>
      <c r="B1263" s="57"/>
      <c r="C1263" s="57"/>
      <c r="D1263" s="57"/>
      <c r="E1263" s="56"/>
      <c r="F1263" s="57"/>
      <c r="G1263" s="57"/>
      <c r="H1263" s="56"/>
      <c r="I1263" s="56"/>
      <c r="J1263" s="58"/>
      <c r="K1263" s="58"/>
      <c r="L1263" s="13" t="str">
        <f t="shared" si="190"/>
        <v/>
      </c>
      <c r="M1263" s="13" t="str">
        <f t="shared" si="191"/>
        <v/>
      </c>
      <c r="Q1263" t="str">
        <f t="shared" si="192"/>
        <v/>
      </c>
      <c r="R1263" t="str">
        <f t="shared" si="193"/>
        <v/>
      </c>
      <c r="S1263" t="str">
        <f t="shared" si="194"/>
        <v/>
      </c>
      <c r="T1263" t="str">
        <f t="shared" si="195"/>
        <v/>
      </c>
      <c r="U1263" t="str">
        <f t="shared" si="196"/>
        <v/>
      </c>
      <c r="V1263" t="str">
        <f t="shared" si="197"/>
        <v/>
      </c>
      <c r="W1263" t="str">
        <f t="shared" si="198"/>
        <v/>
      </c>
      <c r="X1263">
        <f>IF($T1263="",N($X1262),IF(MATCH($T1263,$T$6:$T$10005,0)=ROW()-5,N($X1262)+1,N($X1262)))</f>
        <v>0</v>
      </c>
      <c r="Z1263" t="str">
        <f t="shared" si="199"/>
        <v/>
      </c>
      <c r="AA1263">
        <f>IF($V1263="",N($AA1262),IF(MATCH($V1263,$V$6:$V$10005,0)=ROW()-5,N($AA1262)+1,N($AA1262)))</f>
        <v>0</v>
      </c>
    </row>
    <row r="1264" spans="1:27" ht="21" customHeight="1" x14ac:dyDescent="0.95">
      <c r="A1264" s="56"/>
      <c r="B1264" s="57"/>
      <c r="C1264" s="57"/>
      <c r="D1264" s="57"/>
      <c r="E1264" s="56"/>
      <c r="F1264" s="57"/>
      <c r="G1264" s="57"/>
      <c r="H1264" s="56"/>
      <c r="I1264" s="56"/>
      <c r="J1264" s="58"/>
      <c r="K1264" s="58"/>
      <c r="L1264" s="13" t="str">
        <f t="shared" si="190"/>
        <v/>
      </c>
      <c r="M1264" s="13" t="str">
        <f t="shared" si="191"/>
        <v/>
      </c>
      <c r="Q1264" t="str">
        <f t="shared" si="192"/>
        <v/>
      </c>
      <c r="R1264" t="str">
        <f t="shared" si="193"/>
        <v/>
      </c>
      <c r="S1264" t="str">
        <f t="shared" si="194"/>
        <v/>
      </c>
      <c r="T1264" t="str">
        <f t="shared" si="195"/>
        <v/>
      </c>
      <c r="U1264" t="str">
        <f t="shared" si="196"/>
        <v/>
      </c>
      <c r="V1264" t="str">
        <f t="shared" si="197"/>
        <v/>
      </c>
      <c r="W1264" t="str">
        <f t="shared" si="198"/>
        <v/>
      </c>
      <c r="X1264">
        <f>IF($T1264="",N($X1263),IF(MATCH($T1264,$T$6:$T$10005,0)=ROW()-5,N($X1263)+1,N($X1263)))</f>
        <v>0</v>
      </c>
      <c r="Z1264" t="str">
        <f t="shared" si="199"/>
        <v/>
      </c>
      <c r="AA1264">
        <f>IF($V1264="",N($AA1263),IF(MATCH($V1264,$V$6:$V$10005,0)=ROW()-5,N($AA1263)+1,N($AA1263)))</f>
        <v>0</v>
      </c>
    </row>
    <row r="1265" spans="1:27" ht="21" customHeight="1" x14ac:dyDescent="0.95">
      <c r="A1265" s="56"/>
      <c r="B1265" s="57"/>
      <c r="C1265" s="57"/>
      <c r="D1265" s="57"/>
      <c r="E1265" s="56"/>
      <c r="F1265" s="57"/>
      <c r="G1265" s="57"/>
      <c r="H1265" s="56"/>
      <c r="I1265" s="56"/>
      <c r="J1265" s="58"/>
      <c r="K1265" s="58"/>
      <c r="L1265" s="13" t="str">
        <f t="shared" si="190"/>
        <v/>
      </c>
      <c r="M1265" s="13" t="str">
        <f t="shared" si="191"/>
        <v/>
      </c>
      <c r="Q1265" t="str">
        <f t="shared" si="192"/>
        <v/>
      </c>
      <c r="R1265" t="str">
        <f t="shared" si="193"/>
        <v/>
      </c>
      <c r="S1265" t="str">
        <f t="shared" si="194"/>
        <v/>
      </c>
      <c r="T1265" t="str">
        <f t="shared" si="195"/>
        <v/>
      </c>
      <c r="U1265" t="str">
        <f t="shared" si="196"/>
        <v/>
      </c>
      <c r="V1265" t="str">
        <f t="shared" si="197"/>
        <v/>
      </c>
      <c r="W1265" t="str">
        <f t="shared" si="198"/>
        <v/>
      </c>
      <c r="X1265">
        <f>IF($T1265="",N($X1264),IF(MATCH($T1265,$T$6:$T$10005,0)=ROW()-5,N($X1264)+1,N($X1264)))</f>
        <v>0</v>
      </c>
      <c r="Z1265" t="str">
        <f t="shared" si="199"/>
        <v/>
      </c>
      <c r="AA1265">
        <f>IF($V1265="",N($AA1264),IF(MATCH($V1265,$V$6:$V$10005,0)=ROW()-5,N($AA1264)+1,N($AA1264)))</f>
        <v>0</v>
      </c>
    </row>
    <row r="1266" spans="1:27" ht="21" customHeight="1" x14ac:dyDescent="0.95">
      <c r="A1266" s="56"/>
      <c r="B1266" s="57"/>
      <c r="C1266" s="57"/>
      <c r="D1266" s="57"/>
      <c r="E1266" s="56"/>
      <c r="F1266" s="57"/>
      <c r="G1266" s="57"/>
      <c r="H1266" s="56"/>
      <c r="I1266" s="56"/>
      <c r="J1266" s="58"/>
      <c r="K1266" s="58"/>
      <c r="L1266" s="13" t="str">
        <f t="shared" si="190"/>
        <v/>
      </c>
      <c r="M1266" s="13" t="str">
        <f t="shared" si="191"/>
        <v/>
      </c>
      <c r="Q1266" t="str">
        <f t="shared" si="192"/>
        <v/>
      </c>
      <c r="R1266" t="str">
        <f t="shared" si="193"/>
        <v/>
      </c>
      <c r="S1266" t="str">
        <f t="shared" si="194"/>
        <v/>
      </c>
      <c r="T1266" t="str">
        <f t="shared" si="195"/>
        <v/>
      </c>
      <c r="U1266" t="str">
        <f t="shared" si="196"/>
        <v/>
      </c>
      <c r="V1266" t="str">
        <f t="shared" si="197"/>
        <v/>
      </c>
      <c r="W1266" t="str">
        <f t="shared" si="198"/>
        <v/>
      </c>
      <c r="X1266">
        <f>IF($T1266="",N($X1265),IF(MATCH($T1266,$T$6:$T$10005,0)=ROW()-5,N($X1265)+1,N($X1265)))</f>
        <v>0</v>
      </c>
      <c r="Z1266" t="str">
        <f t="shared" si="199"/>
        <v/>
      </c>
      <c r="AA1266">
        <f>IF($V1266="",N($AA1265),IF(MATCH($V1266,$V$6:$V$10005,0)=ROW()-5,N($AA1265)+1,N($AA1265)))</f>
        <v>0</v>
      </c>
    </row>
    <row r="1267" spans="1:27" ht="21" customHeight="1" x14ac:dyDescent="0.95">
      <c r="A1267" s="56"/>
      <c r="B1267" s="57"/>
      <c r="C1267" s="57"/>
      <c r="D1267" s="57"/>
      <c r="E1267" s="56"/>
      <c r="F1267" s="57"/>
      <c r="G1267" s="57"/>
      <c r="H1267" s="56"/>
      <c r="I1267" s="56"/>
      <c r="J1267" s="58"/>
      <c r="K1267" s="58"/>
      <c r="L1267" s="13" t="str">
        <f t="shared" si="190"/>
        <v/>
      </c>
      <c r="M1267" s="13" t="str">
        <f t="shared" si="191"/>
        <v/>
      </c>
      <c r="Q1267" t="str">
        <f t="shared" si="192"/>
        <v/>
      </c>
      <c r="R1267" t="str">
        <f t="shared" si="193"/>
        <v/>
      </c>
      <c r="S1267" t="str">
        <f t="shared" si="194"/>
        <v/>
      </c>
      <c r="T1267" t="str">
        <f t="shared" si="195"/>
        <v/>
      </c>
      <c r="U1267" t="str">
        <f t="shared" si="196"/>
        <v/>
      </c>
      <c r="V1267" t="str">
        <f t="shared" si="197"/>
        <v/>
      </c>
      <c r="W1267" t="str">
        <f t="shared" si="198"/>
        <v/>
      </c>
      <c r="X1267">
        <f>IF($T1267="",N($X1266),IF(MATCH($T1267,$T$6:$T$10005,0)=ROW()-5,N($X1266)+1,N($X1266)))</f>
        <v>0</v>
      </c>
      <c r="Z1267" t="str">
        <f t="shared" si="199"/>
        <v/>
      </c>
      <c r="AA1267">
        <f>IF($V1267="",N($AA1266),IF(MATCH($V1267,$V$6:$V$10005,0)=ROW()-5,N($AA1266)+1,N($AA1266)))</f>
        <v>0</v>
      </c>
    </row>
    <row r="1268" spans="1:27" ht="21" customHeight="1" x14ac:dyDescent="0.95">
      <c r="A1268" s="56"/>
      <c r="B1268" s="57"/>
      <c r="C1268" s="57"/>
      <c r="D1268" s="57"/>
      <c r="E1268" s="56"/>
      <c r="F1268" s="57"/>
      <c r="G1268" s="57"/>
      <c r="H1268" s="56"/>
      <c r="I1268" s="56"/>
      <c r="J1268" s="58"/>
      <c r="K1268" s="58"/>
      <c r="L1268" s="13" t="str">
        <f t="shared" si="190"/>
        <v/>
      </c>
      <c r="M1268" s="13" t="str">
        <f t="shared" si="191"/>
        <v/>
      </c>
      <c r="Q1268" t="str">
        <f t="shared" si="192"/>
        <v/>
      </c>
      <c r="R1268" t="str">
        <f t="shared" si="193"/>
        <v/>
      </c>
      <c r="S1268" t="str">
        <f t="shared" si="194"/>
        <v/>
      </c>
      <c r="T1268" t="str">
        <f t="shared" si="195"/>
        <v/>
      </c>
      <c r="U1268" t="str">
        <f t="shared" si="196"/>
        <v/>
      </c>
      <c r="V1268" t="str">
        <f t="shared" si="197"/>
        <v/>
      </c>
      <c r="W1268" t="str">
        <f t="shared" si="198"/>
        <v/>
      </c>
      <c r="X1268">
        <f>IF($T1268="",N($X1267),IF(MATCH($T1268,$T$6:$T$10005,0)=ROW()-5,N($X1267)+1,N($X1267)))</f>
        <v>0</v>
      </c>
      <c r="Z1268" t="str">
        <f t="shared" si="199"/>
        <v/>
      </c>
      <c r="AA1268">
        <f>IF($V1268="",N($AA1267),IF(MATCH($V1268,$V$6:$V$10005,0)=ROW()-5,N($AA1267)+1,N($AA1267)))</f>
        <v>0</v>
      </c>
    </row>
    <row r="1269" spans="1:27" ht="21" customHeight="1" x14ac:dyDescent="0.95">
      <c r="A1269" s="56"/>
      <c r="B1269" s="57"/>
      <c r="C1269" s="57"/>
      <c r="D1269" s="57"/>
      <c r="E1269" s="56"/>
      <c r="F1269" s="57"/>
      <c r="G1269" s="57"/>
      <c r="H1269" s="56"/>
      <c r="I1269" s="56"/>
      <c r="J1269" s="58"/>
      <c r="K1269" s="58"/>
      <c r="L1269" s="13" t="str">
        <f t="shared" si="190"/>
        <v/>
      </c>
      <c r="M1269" s="13" t="str">
        <f t="shared" si="191"/>
        <v/>
      </c>
      <c r="Q1269" t="str">
        <f t="shared" si="192"/>
        <v/>
      </c>
      <c r="R1269" t="str">
        <f t="shared" si="193"/>
        <v/>
      </c>
      <c r="S1269" t="str">
        <f t="shared" si="194"/>
        <v/>
      </c>
      <c r="T1269" t="str">
        <f t="shared" si="195"/>
        <v/>
      </c>
      <c r="U1269" t="str">
        <f t="shared" si="196"/>
        <v/>
      </c>
      <c r="V1269" t="str">
        <f t="shared" si="197"/>
        <v/>
      </c>
      <c r="W1269" t="str">
        <f t="shared" si="198"/>
        <v/>
      </c>
      <c r="X1269">
        <f>IF($T1269="",N($X1268),IF(MATCH($T1269,$T$6:$T$10005,0)=ROW()-5,N($X1268)+1,N($X1268)))</f>
        <v>0</v>
      </c>
      <c r="Z1269" t="str">
        <f t="shared" si="199"/>
        <v/>
      </c>
      <c r="AA1269">
        <f>IF($V1269="",N($AA1268),IF(MATCH($V1269,$V$6:$V$10005,0)=ROW()-5,N($AA1268)+1,N($AA1268)))</f>
        <v>0</v>
      </c>
    </row>
    <row r="1270" spans="1:27" ht="21" customHeight="1" x14ac:dyDescent="0.95">
      <c r="A1270" s="56"/>
      <c r="B1270" s="57"/>
      <c r="C1270" s="57"/>
      <c r="D1270" s="57"/>
      <c r="E1270" s="56"/>
      <c r="F1270" s="57"/>
      <c r="G1270" s="57"/>
      <c r="H1270" s="56"/>
      <c r="I1270" s="56"/>
      <c r="J1270" s="58"/>
      <c r="K1270" s="58"/>
      <c r="L1270" s="13" t="str">
        <f t="shared" si="190"/>
        <v/>
      </c>
      <c r="M1270" s="13" t="str">
        <f t="shared" si="191"/>
        <v/>
      </c>
      <c r="Q1270" t="str">
        <f t="shared" si="192"/>
        <v/>
      </c>
      <c r="R1270" t="str">
        <f t="shared" si="193"/>
        <v/>
      </c>
      <c r="S1270" t="str">
        <f t="shared" si="194"/>
        <v/>
      </c>
      <c r="T1270" t="str">
        <f t="shared" si="195"/>
        <v/>
      </c>
      <c r="U1270" t="str">
        <f t="shared" si="196"/>
        <v/>
      </c>
      <c r="V1270" t="str">
        <f t="shared" si="197"/>
        <v/>
      </c>
      <c r="W1270" t="str">
        <f t="shared" si="198"/>
        <v/>
      </c>
      <c r="X1270">
        <f>IF($T1270="",N($X1269),IF(MATCH($T1270,$T$6:$T$10005,0)=ROW()-5,N($X1269)+1,N($X1269)))</f>
        <v>0</v>
      </c>
      <c r="Z1270" t="str">
        <f t="shared" si="199"/>
        <v/>
      </c>
      <c r="AA1270">
        <f>IF($V1270="",N($AA1269),IF(MATCH($V1270,$V$6:$V$10005,0)=ROW()-5,N($AA1269)+1,N($AA1269)))</f>
        <v>0</v>
      </c>
    </row>
    <row r="1271" spans="1:27" ht="21" customHeight="1" x14ac:dyDescent="0.95">
      <c r="A1271" s="56"/>
      <c r="B1271" s="57"/>
      <c r="C1271" s="57"/>
      <c r="D1271" s="57"/>
      <c r="E1271" s="56"/>
      <c r="F1271" s="57"/>
      <c r="G1271" s="57"/>
      <c r="H1271" s="56"/>
      <c r="I1271" s="56"/>
      <c r="J1271" s="58"/>
      <c r="K1271" s="58"/>
      <c r="L1271" s="13" t="str">
        <f t="shared" si="190"/>
        <v/>
      </c>
      <c r="M1271" s="13" t="str">
        <f t="shared" si="191"/>
        <v/>
      </c>
      <c r="Q1271" t="str">
        <f t="shared" si="192"/>
        <v/>
      </c>
      <c r="R1271" t="str">
        <f t="shared" si="193"/>
        <v/>
      </c>
      <c r="S1271" t="str">
        <f t="shared" si="194"/>
        <v/>
      </c>
      <c r="T1271" t="str">
        <f t="shared" si="195"/>
        <v/>
      </c>
      <c r="U1271" t="str">
        <f t="shared" si="196"/>
        <v/>
      </c>
      <c r="V1271" t="str">
        <f t="shared" si="197"/>
        <v/>
      </c>
      <c r="W1271" t="str">
        <f t="shared" si="198"/>
        <v/>
      </c>
      <c r="X1271">
        <f>IF($T1271="",N($X1270),IF(MATCH($T1271,$T$6:$T$10005,0)=ROW()-5,N($X1270)+1,N($X1270)))</f>
        <v>0</v>
      </c>
      <c r="Z1271" t="str">
        <f t="shared" si="199"/>
        <v/>
      </c>
      <c r="AA1271">
        <f>IF($V1271="",N($AA1270),IF(MATCH($V1271,$V$6:$V$10005,0)=ROW()-5,N($AA1270)+1,N($AA1270)))</f>
        <v>0</v>
      </c>
    </row>
    <row r="1272" spans="1:27" ht="21" customHeight="1" x14ac:dyDescent="0.95">
      <c r="A1272" s="56"/>
      <c r="B1272" s="57"/>
      <c r="C1272" s="57"/>
      <c r="D1272" s="57"/>
      <c r="E1272" s="56"/>
      <c r="F1272" s="57"/>
      <c r="G1272" s="57"/>
      <c r="H1272" s="56"/>
      <c r="I1272" s="56"/>
      <c r="J1272" s="58"/>
      <c r="K1272" s="58"/>
      <c r="L1272" s="13" t="str">
        <f t="shared" si="190"/>
        <v/>
      </c>
      <c r="M1272" s="13" t="str">
        <f t="shared" si="191"/>
        <v/>
      </c>
      <c r="Q1272" t="str">
        <f t="shared" si="192"/>
        <v/>
      </c>
      <c r="R1272" t="str">
        <f t="shared" si="193"/>
        <v/>
      </c>
      <c r="S1272" t="str">
        <f t="shared" si="194"/>
        <v/>
      </c>
      <c r="T1272" t="str">
        <f t="shared" si="195"/>
        <v/>
      </c>
      <c r="U1272" t="str">
        <f t="shared" si="196"/>
        <v/>
      </c>
      <c r="V1272" t="str">
        <f t="shared" si="197"/>
        <v/>
      </c>
      <c r="W1272" t="str">
        <f t="shared" si="198"/>
        <v/>
      </c>
      <c r="X1272">
        <f>IF($T1272="",N($X1271),IF(MATCH($T1272,$T$6:$T$10005,0)=ROW()-5,N($X1271)+1,N($X1271)))</f>
        <v>0</v>
      </c>
      <c r="Z1272" t="str">
        <f t="shared" si="199"/>
        <v/>
      </c>
      <c r="AA1272">
        <f>IF($V1272="",N($AA1271),IF(MATCH($V1272,$V$6:$V$10005,0)=ROW()-5,N($AA1271)+1,N($AA1271)))</f>
        <v>0</v>
      </c>
    </row>
    <row r="1273" spans="1:27" ht="21" customHeight="1" x14ac:dyDescent="0.95">
      <c r="A1273" s="56"/>
      <c r="B1273" s="57"/>
      <c r="C1273" s="57"/>
      <c r="D1273" s="57"/>
      <c r="E1273" s="56"/>
      <c r="F1273" s="57"/>
      <c r="G1273" s="57"/>
      <c r="H1273" s="56"/>
      <c r="I1273" s="56"/>
      <c r="J1273" s="58"/>
      <c r="K1273" s="58"/>
      <c r="L1273" s="13" t="str">
        <f t="shared" si="190"/>
        <v/>
      </c>
      <c r="M1273" s="13" t="str">
        <f t="shared" si="191"/>
        <v/>
      </c>
      <c r="Q1273" t="str">
        <f t="shared" si="192"/>
        <v/>
      </c>
      <c r="R1273" t="str">
        <f t="shared" si="193"/>
        <v/>
      </c>
      <c r="S1273" t="str">
        <f t="shared" si="194"/>
        <v/>
      </c>
      <c r="T1273" t="str">
        <f t="shared" si="195"/>
        <v/>
      </c>
      <c r="U1273" t="str">
        <f t="shared" si="196"/>
        <v/>
      </c>
      <c r="V1273" t="str">
        <f t="shared" si="197"/>
        <v/>
      </c>
      <c r="W1273" t="str">
        <f t="shared" si="198"/>
        <v/>
      </c>
      <c r="X1273">
        <f>IF($T1273="",N($X1272),IF(MATCH($T1273,$T$6:$T$10005,0)=ROW()-5,N($X1272)+1,N($X1272)))</f>
        <v>0</v>
      </c>
      <c r="Z1273" t="str">
        <f t="shared" si="199"/>
        <v/>
      </c>
      <c r="AA1273">
        <f>IF($V1273="",N($AA1272),IF(MATCH($V1273,$V$6:$V$10005,0)=ROW()-5,N($AA1272)+1,N($AA1272)))</f>
        <v>0</v>
      </c>
    </row>
    <row r="1274" spans="1:27" ht="21" customHeight="1" x14ac:dyDescent="0.95">
      <c r="A1274" s="56"/>
      <c r="B1274" s="57"/>
      <c r="C1274" s="57"/>
      <c r="D1274" s="57"/>
      <c r="E1274" s="56"/>
      <c r="F1274" s="57"/>
      <c r="G1274" s="57"/>
      <c r="H1274" s="56"/>
      <c r="I1274" s="56"/>
      <c r="J1274" s="58"/>
      <c r="K1274" s="58"/>
      <c r="L1274" s="13" t="str">
        <f t="shared" si="190"/>
        <v/>
      </c>
      <c r="M1274" s="13" t="str">
        <f t="shared" si="191"/>
        <v/>
      </c>
      <c r="Q1274" t="str">
        <f t="shared" si="192"/>
        <v/>
      </c>
      <c r="R1274" t="str">
        <f t="shared" si="193"/>
        <v/>
      </c>
      <c r="S1274" t="str">
        <f t="shared" si="194"/>
        <v/>
      </c>
      <c r="T1274" t="str">
        <f t="shared" si="195"/>
        <v/>
      </c>
      <c r="U1274" t="str">
        <f t="shared" si="196"/>
        <v/>
      </c>
      <c r="V1274" t="str">
        <f t="shared" si="197"/>
        <v/>
      </c>
      <c r="W1274" t="str">
        <f t="shared" si="198"/>
        <v/>
      </c>
      <c r="X1274">
        <f>IF($T1274="",N($X1273),IF(MATCH($T1274,$T$6:$T$10005,0)=ROW()-5,N($X1273)+1,N($X1273)))</f>
        <v>0</v>
      </c>
      <c r="Z1274" t="str">
        <f t="shared" si="199"/>
        <v/>
      </c>
      <c r="AA1274">
        <f>IF($V1274="",N($AA1273),IF(MATCH($V1274,$V$6:$V$10005,0)=ROW()-5,N($AA1273)+1,N($AA1273)))</f>
        <v>0</v>
      </c>
    </row>
    <row r="1275" spans="1:27" ht="21" customHeight="1" x14ac:dyDescent="0.95">
      <c r="A1275" s="56"/>
      <c r="B1275" s="57"/>
      <c r="C1275" s="57"/>
      <c r="D1275" s="57"/>
      <c r="E1275" s="56"/>
      <c r="F1275" s="57"/>
      <c r="G1275" s="57"/>
      <c r="H1275" s="56"/>
      <c r="I1275" s="56"/>
      <c r="J1275" s="58"/>
      <c r="K1275" s="58"/>
      <c r="L1275" s="13" t="str">
        <f t="shared" si="190"/>
        <v/>
      </c>
      <c r="M1275" s="13" t="str">
        <f t="shared" si="191"/>
        <v/>
      </c>
      <c r="Q1275" t="str">
        <f t="shared" si="192"/>
        <v/>
      </c>
      <c r="R1275" t="str">
        <f t="shared" si="193"/>
        <v/>
      </c>
      <c r="S1275" t="str">
        <f t="shared" si="194"/>
        <v/>
      </c>
      <c r="T1275" t="str">
        <f t="shared" si="195"/>
        <v/>
      </c>
      <c r="U1275" t="str">
        <f t="shared" si="196"/>
        <v/>
      </c>
      <c r="V1275" t="str">
        <f t="shared" si="197"/>
        <v/>
      </c>
      <c r="W1275" t="str">
        <f t="shared" si="198"/>
        <v/>
      </c>
      <c r="X1275">
        <f>IF($T1275="",N($X1274),IF(MATCH($T1275,$T$6:$T$10005,0)=ROW()-5,N($X1274)+1,N($X1274)))</f>
        <v>0</v>
      </c>
      <c r="Z1275" t="str">
        <f t="shared" si="199"/>
        <v/>
      </c>
      <c r="AA1275">
        <f>IF($V1275="",N($AA1274),IF(MATCH($V1275,$V$6:$V$10005,0)=ROW()-5,N($AA1274)+1,N($AA1274)))</f>
        <v>0</v>
      </c>
    </row>
    <row r="1276" spans="1:27" ht="21" customHeight="1" x14ac:dyDescent="0.95">
      <c r="A1276" s="56"/>
      <c r="B1276" s="57"/>
      <c r="C1276" s="57"/>
      <c r="D1276" s="57"/>
      <c r="E1276" s="56"/>
      <c r="F1276" s="57"/>
      <c r="G1276" s="57"/>
      <c r="H1276" s="56"/>
      <c r="I1276" s="56"/>
      <c r="J1276" s="58"/>
      <c r="K1276" s="58"/>
      <c r="L1276" s="13" t="str">
        <f t="shared" si="190"/>
        <v/>
      </c>
      <c r="M1276" s="13" t="str">
        <f t="shared" si="191"/>
        <v/>
      </c>
      <c r="Q1276" t="str">
        <f t="shared" si="192"/>
        <v/>
      </c>
      <c r="R1276" t="str">
        <f t="shared" si="193"/>
        <v/>
      </c>
      <c r="S1276" t="str">
        <f t="shared" si="194"/>
        <v/>
      </c>
      <c r="T1276" t="str">
        <f t="shared" si="195"/>
        <v/>
      </c>
      <c r="U1276" t="str">
        <f t="shared" si="196"/>
        <v/>
      </c>
      <c r="V1276" t="str">
        <f t="shared" si="197"/>
        <v/>
      </c>
      <c r="W1276" t="str">
        <f t="shared" si="198"/>
        <v/>
      </c>
      <c r="X1276">
        <f>IF($T1276="",N($X1275),IF(MATCH($T1276,$T$6:$T$10005,0)=ROW()-5,N($X1275)+1,N($X1275)))</f>
        <v>0</v>
      </c>
      <c r="Z1276" t="str">
        <f t="shared" si="199"/>
        <v/>
      </c>
      <c r="AA1276">
        <f>IF($V1276="",N($AA1275),IF(MATCH($V1276,$V$6:$V$10005,0)=ROW()-5,N($AA1275)+1,N($AA1275)))</f>
        <v>0</v>
      </c>
    </row>
    <row r="1277" spans="1:27" ht="21" customHeight="1" x14ac:dyDescent="0.95">
      <c r="A1277" s="56"/>
      <c r="B1277" s="57"/>
      <c r="C1277" s="57"/>
      <c r="D1277" s="57"/>
      <c r="E1277" s="56"/>
      <c r="F1277" s="57"/>
      <c r="G1277" s="57"/>
      <c r="H1277" s="56"/>
      <c r="I1277" s="56"/>
      <c r="J1277" s="58"/>
      <c r="K1277" s="58"/>
      <c r="L1277" s="13" t="str">
        <f t="shared" si="190"/>
        <v/>
      </c>
      <c r="M1277" s="13" t="str">
        <f t="shared" si="191"/>
        <v/>
      </c>
      <c r="Q1277" t="str">
        <f t="shared" si="192"/>
        <v/>
      </c>
      <c r="R1277" t="str">
        <f t="shared" si="193"/>
        <v/>
      </c>
      <c r="S1277" t="str">
        <f t="shared" si="194"/>
        <v/>
      </c>
      <c r="T1277" t="str">
        <f t="shared" si="195"/>
        <v/>
      </c>
      <c r="U1277" t="str">
        <f t="shared" si="196"/>
        <v/>
      </c>
      <c r="V1277" t="str">
        <f t="shared" si="197"/>
        <v/>
      </c>
      <c r="W1277" t="str">
        <f t="shared" si="198"/>
        <v/>
      </c>
      <c r="X1277">
        <f>IF($T1277="",N($X1276),IF(MATCH($T1277,$T$6:$T$10005,0)=ROW()-5,N($X1276)+1,N($X1276)))</f>
        <v>0</v>
      </c>
      <c r="Z1277" t="str">
        <f t="shared" si="199"/>
        <v/>
      </c>
      <c r="AA1277">
        <f>IF($V1277="",N($AA1276),IF(MATCH($V1277,$V$6:$V$10005,0)=ROW()-5,N($AA1276)+1,N($AA1276)))</f>
        <v>0</v>
      </c>
    </row>
    <row r="1278" spans="1:27" ht="21" customHeight="1" x14ac:dyDescent="0.95">
      <c r="A1278" s="56"/>
      <c r="B1278" s="57"/>
      <c r="C1278" s="57"/>
      <c r="D1278" s="57"/>
      <c r="E1278" s="56"/>
      <c r="F1278" s="57"/>
      <c r="G1278" s="57"/>
      <c r="H1278" s="56"/>
      <c r="I1278" s="56"/>
      <c r="J1278" s="58"/>
      <c r="K1278" s="58"/>
      <c r="L1278" s="13" t="str">
        <f t="shared" si="190"/>
        <v/>
      </c>
      <c r="M1278" s="13" t="str">
        <f t="shared" si="191"/>
        <v/>
      </c>
      <c r="Q1278" t="str">
        <f t="shared" si="192"/>
        <v/>
      </c>
      <c r="R1278" t="str">
        <f t="shared" si="193"/>
        <v/>
      </c>
      <c r="S1278" t="str">
        <f t="shared" si="194"/>
        <v/>
      </c>
      <c r="T1278" t="str">
        <f t="shared" si="195"/>
        <v/>
      </c>
      <c r="U1278" t="str">
        <f t="shared" si="196"/>
        <v/>
      </c>
      <c r="V1278" t="str">
        <f t="shared" si="197"/>
        <v/>
      </c>
      <c r="W1278" t="str">
        <f t="shared" si="198"/>
        <v/>
      </c>
      <c r="X1278">
        <f>IF($T1278="",N($X1277),IF(MATCH($T1278,$T$6:$T$10005,0)=ROW()-5,N($X1277)+1,N($X1277)))</f>
        <v>0</v>
      </c>
      <c r="Z1278" t="str">
        <f t="shared" si="199"/>
        <v/>
      </c>
      <c r="AA1278">
        <f>IF($V1278="",N($AA1277),IF(MATCH($V1278,$V$6:$V$10005,0)=ROW()-5,N($AA1277)+1,N($AA1277)))</f>
        <v>0</v>
      </c>
    </row>
    <row r="1279" spans="1:27" ht="21" customHeight="1" x14ac:dyDescent="0.95">
      <c r="A1279" s="56"/>
      <c r="B1279" s="57"/>
      <c r="C1279" s="57"/>
      <c r="D1279" s="57"/>
      <c r="E1279" s="56"/>
      <c r="F1279" s="57"/>
      <c r="G1279" s="57"/>
      <c r="H1279" s="56"/>
      <c r="I1279" s="56"/>
      <c r="J1279" s="58"/>
      <c r="K1279" s="58"/>
      <c r="L1279" s="13" t="str">
        <f t="shared" si="190"/>
        <v/>
      </c>
      <c r="M1279" s="13" t="str">
        <f t="shared" si="191"/>
        <v/>
      </c>
      <c r="Q1279" t="str">
        <f t="shared" si="192"/>
        <v/>
      </c>
      <c r="R1279" t="str">
        <f t="shared" si="193"/>
        <v/>
      </c>
      <c r="S1279" t="str">
        <f t="shared" si="194"/>
        <v/>
      </c>
      <c r="T1279" t="str">
        <f t="shared" si="195"/>
        <v/>
      </c>
      <c r="U1279" t="str">
        <f t="shared" si="196"/>
        <v/>
      </c>
      <c r="V1279" t="str">
        <f t="shared" si="197"/>
        <v/>
      </c>
      <c r="W1279" t="str">
        <f t="shared" si="198"/>
        <v/>
      </c>
      <c r="X1279">
        <f>IF($T1279="",N($X1278),IF(MATCH($T1279,$T$6:$T$10005,0)=ROW()-5,N($X1278)+1,N($X1278)))</f>
        <v>0</v>
      </c>
      <c r="Z1279" t="str">
        <f t="shared" si="199"/>
        <v/>
      </c>
      <c r="AA1279">
        <f>IF($V1279="",N($AA1278),IF(MATCH($V1279,$V$6:$V$10005,0)=ROW()-5,N($AA1278)+1,N($AA1278)))</f>
        <v>0</v>
      </c>
    </row>
    <row r="1280" spans="1:27" ht="21" customHeight="1" x14ac:dyDescent="0.95">
      <c r="A1280" s="56"/>
      <c r="B1280" s="57"/>
      <c r="C1280" s="57"/>
      <c r="D1280" s="57"/>
      <c r="E1280" s="56"/>
      <c r="F1280" s="57"/>
      <c r="G1280" s="57"/>
      <c r="H1280" s="56"/>
      <c r="I1280" s="56"/>
      <c r="J1280" s="58"/>
      <c r="K1280" s="58"/>
      <c r="L1280" s="13" t="str">
        <f t="shared" si="190"/>
        <v/>
      </c>
      <c r="M1280" s="13" t="str">
        <f t="shared" si="191"/>
        <v/>
      </c>
      <c r="Q1280" t="str">
        <f t="shared" si="192"/>
        <v/>
      </c>
      <c r="R1280" t="str">
        <f t="shared" si="193"/>
        <v/>
      </c>
      <c r="S1280" t="str">
        <f t="shared" si="194"/>
        <v/>
      </c>
      <c r="T1280" t="str">
        <f t="shared" si="195"/>
        <v/>
      </c>
      <c r="U1280" t="str">
        <f t="shared" si="196"/>
        <v/>
      </c>
      <c r="V1280" t="str">
        <f t="shared" si="197"/>
        <v/>
      </c>
      <c r="W1280" t="str">
        <f t="shared" si="198"/>
        <v/>
      </c>
      <c r="X1280">
        <f>IF($T1280="",N($X1279),IF(MATCH($T1280,$T$6:$T$10005,0)=ROW()-5,N($X1279)+1,N($X1279)))</f>
        <v>0</v>
      </c>
      <c r="Z1280" t="str">
        <f t="shared" si="199"/>
        <v/>
      </c>
      <c r="AA1280">
        <f>IF($V1280="",N($AA1279),IF(MATCH($V1280,$V$6:$V$10005,0)=ROW()-5,N($AA1279)+1,N($AA1279)))</f>
        <v>0</v>
      </c>
    </row>
    <row r="1281" spans="1:27" ht="21" customHeight="1" x14ac:dyDescent="0.95">
      <c r="A1281" s="56"/>
      <c r="B1281" s="57"/>
      <c r="C1281" s="57"/>
      <c r="D1281" s="57"/>
      <c r="E1281" s="56"/>
      <c r="F1281" s="57"/>
      <c r="G1281" s="57"/>
      <c r="H1281" s="56"/>
      <c r="I1281" s="56"/>
      <c r="J1281" s="58"/>
      <c r="K1281" s="58"/>
      <c r="L1281" s="13" t="str">
        <f t="shared" si="190"/>
        <v/>
      </c>
      <c r="M1281" s="13" t="str">
        <f t="shared" si="191"/>
        <v/>
      </c>
      <c r="Q1281" t="str">
        <f t="shared" si="192"/>
        <v/>
      </c>
      <c r="R1281" t="str">
        <f t="shared" si="193"/>
        <v/>
      </c>
      <c r="S1281" t="str">
        <f t="shared" si="194"/>
        <v/>
      </c>
      <c r="T1281" t="str">
        <f t="shared" si="195"/>
        <v/>
      </c>
      <c r="U1281" t="str">
        <f t="shared" si="196"/>
        <v/>
      </c>
      <c r="V1281" t="str">
        <f t="shared" si="197"/>
        <v/>
      </c>
      <c r="W1281" t="str">
        <f t="shared" si="198"/>
        <v/>
      </c>
      <c r="X1281">
        <f>IF($T1281="",N($X1280),IF(MATCH($T1281,$T$6:$T$10005,0)=ROW()-5,N($X1280)+1,N($X1280)))</f>
        <v>0</v>
      </c>
      <c r="Z1281" t="str">
        <f t="shared" si="199"/>
        <v/>
      </c>
      <c r="AA1281">
        <f>IF($V1281="",N($AA1280),IF(MATCH($V1281,$V$6:$V$10005,0)=ROW()-5,N($AA1280)+1,N($AA1280)))</f>
        <v>0</v>
      </c>
    </row>
    <row r="1282" spans="1:27" ht="21" customHeight="1" x14ac:dyDescent="0.95">
      <c r="A1282" s="56"/>
      <c r="B1282" s="57"/>
      <c r="C1282" s="57"/>
      <c r="D1282" s="57"/>
      <c r="E1282" s="56"/>
      <c r="F1282" s="57"/>
      <c r="G1282" s="57"/>
      <c r="H1282" s="56"/>
      <c r="I1282" s="56"/>
      <c r="J1282" s="58"/>
      <c r="K1282" s="58"/>
      <c r="L1282" s="13" t="str">
        <f t="shared" si="190"/>
        <v/>
      </c>
      <c r="M1282" s="13" t="str">
        <f t="shared" si="191"/>
        <v/>
      </c>
      <c r="Q1282" t="str">
        <f t="shared" si="192"/>
        <v/>
      </c>
      <c r="R1282" t="str">
        <f t="shared" si="193"/>
        <v/>
      </c>
      <c r="S1282" t="str">
        <f t="shared" si="194"/>
        <v/>
      </c>
      <c r="T1282" t="str">
        <f t="shared" si="195"/>
        <v/>
      </c>
      <c r="U1282" t="str">
        <f t="shared" si="196"/>
        <v/>
      </c>
      <c r="V1282" t="str">
        <f t="shared" si="197"/>
        <v/>
      </c>
      <c r="W1282" t="str">
        <f t="shared" si="198"/>
        <v/>
      </c>
      <c r="X1282">
        <f>IF($T1282="",N($X1281),IF(MATCH($T1282,$T$6:$T$10005,0)=ROW()-5,N($X1281)+1,N($X1281)))</f>
        <v>0</v>
      </c>
      <c r="Z1282" t="str">
        <f t="shared" si="199"/>
        <v/>
      </c>
      <c r="AA1282">
        <f>IF($V1282="",N($AA1281),IF(MATCH($V1282,$V$6:$V$10005,0)=ROW()-5,N($AA1281)+1,N($AA1281)))</f>
        <v>0</v>
      </c>
    </row>
    <row r="1283" spans="1:27" ht="21" customHeight="1" x14ac:dyDescent="0.95">
      <c r="A1283" s="56"/>
      <c r="B1283" s="57"/>
      <c r="C1283" s="57"/>
      <c r="D1283" s="57"/>
      <c r="E1283" s="56"/>
      <c r="F1283" s="57"/>
      <c r="G1283" s="57"/>
      <c r="H1283" s="56"/>
      <c r="I1283" s="56"/>
      <c r="J1283" s="58"/>
      <c r="K1283" s="58"/>
      <c r="L1283" s="13" t="str">
        <f t="shared" si="190"/>
        <v/>
      </c>
      <c r="M1283" s="13" t="str">
        <f t="shared" si="191"/>
        <v/>
      </c>
      <c r="Q1283" t="str">
        <f t="shared" si="192"/>
        <v/>
      </c>
      <c r="R1283" t="str">
        <f t="shared" si="193"/>
        <v/>
      </c>
      <c r="S1283" t="str">
        <f t="shared" si="194"/>
        <v/>
      </c>
      <c r="T1283" t="str">
        <f t="shared" si="195"/>
        <v/>
      </c>
      <c r="U1283" t="str">
        <f t="shared" si="196"/>
        <v/>
      </c>
      <c r="V1283" t="str">
        <f t="shared" si="197"/>
        <v/>
      </c>
      <c r="W1283" t="str">
        <f t="shared" si="198"/>
        <v/>
      </c>
      <c r="X1283">
        <f>IF($T1283="",N($X1282),IF(MATCH($T1283,$T$6:$T$10005,0)=ROW()-5,N($X1282)+1,N($X1282)))</f>
        <v>0</v>
      </c>
      <c r="Z1283" t="str">
        <f t="shared" si="199"/>
        <v/>
      </c>
      <c r="AA1283">
        <f>IF($V1283="",N($AA1282),IF(MATCH($V1283,$V$6:$V$10005,0)=ROW()-5,N($AA1282)+1,N($AA1282)))</f>
        <v>0</v>
      </c>
    </row>
    <row r="1284" spans="1:27" ht="21" customHeight="1" x14ac:dyDescent="0.95">
      <c r="A1284" s="56"/>
      <c r="B1284" s="57"/>
      <c r="C1284" s="57"/>
      <c r="D1284" s="57"/>
      <c r="E1284" s="56"/>
      <c r="F1284" s="57"/>
      <c r="G1284" s="57"/>
      <c r="H1284" s="56"/>
      <c r="I1284" s="56"/>
      <c r="J1284" s="58"/>
      <c r="K1284" s="58"/>
      <c r="L1284" s="13" t="str">
        <f t="shared" si="190"/>
        <v/>
      </c>
      <c r="M1284" s="13" t="str">
        <f t="shared" si="191"/>
        <v/>
      </c>
      <c r="Q1284" t="str">
        <f t="shared" si="192"/>
        <v/>
      </c>
      <c r="R1284" t="str">
        <f t="shared" si="193"/>
        <v/>
      </c>
      <c r="S1284" t="str">
        <f t="shared" si="194"/>
        <v/>
      </c>
      <c r="T1284" t="str">
        <f t="shared" si="195"/>
        <v/>
      </c>
      <c r="U1284" t="str">
        <f t="shared" si="196"/>
        <v/>
      </c>
      <c r="V1284" t="str">
        <f t="shared" si="197"/>
        <v/>
      </c>
      <c r="W1284" t="str">
        <f t="shared" si="198"/>
        <v/>
      </c>
      <c r="X1284">
        <f>IF($T1284="",N($X1283),IF(MATCH($T1284,$T$6:$T$10005,0)=ROW()-5,N($X1283)+1,N($X1283)))</f>
        <v>0</v>
      </c>
      <c r="Z1284" t="str">
        <f t="shared" si="199"/>
        <v/>
      </c>
      <c r="AA1284">
        <f>IF($V1284="",N($AA1283),IF(MATCH($V1284,$V$6:$V$10005,0)=ROW()-5,N($AA1283)+1,N($AA1283)))</f>
        <v>0</v>
      </c>
    </row>
    <row r="1285" spans="1:27" ht="21" customHeight="1" x14ac:dyDescent="0.95">
      <c r="A1285" s="56"/>
      <c r="B1285" s="57"/>
      <c r="C1285" s="57"/>
      <c r="D1285" s="57"/>
      <c r="E1285" s="56"/>
      <c r="F1285" s="57"/>
      <c r="G1285" s="57"/>
      <c r="H1285" s="56"/>
      <c r="I1285" s="56"/>
      <c r="J1285" s="58"/>
      <c r="K1285" s="58"/>
      <c r="L1285" s="13" t="str">
        <f t="shared" si="190"/>
        <v/>
      </c>
      <c r="M1285" s="13" t="str">
        <f t="shared" si="191"/>
        <v/>
      </c>
      <c r="Q1285" t="str">
        <f t="shared" si="192"/>
        <v/>
      </c>
      <c r="R1285" t="str">
        <f t="shared" si="193"/>
        <v/>
      </c>
      <c r="S1285" t="str">
        <f t="shared" si="194"/>
        <v/>
      </c>
      <c r="T1285" t="str">
        <f t="shared" si="195"/>
        <v/>
      </c>
      <c r="U1285" t="str">
        <f t="shared" si="196"/>
        <v/>
      </c>
      <c r="V1285" t="str">
        <f t="shared" si="197"/>
        <v/>
      </c>
      <c r="W1285" t="str">
        <f t="shared" si="198"/>
        <v/>
      </c>
      <c r="X1285">
        <f>IF($T1285="",N($X1284),IF(MATCH($T1285,$T$6:$T$10005,0)=ROW()-5,N($X1284)+1,N($X1284)))</f>
        <v>0</v>
      </c>
      <c r="Z1285" t="str">
        <f t="shared" si="199"/>
        <v/>
      </c>
      <c r="AA1285">
        <f>IF($V1285="",N($AA1284),IF(MATCH($V1285,$V$6:$V$10005,0)=ROW()-5,N($AA1284)+1,N($AA1284)))</f>
        <v>0</v>
      </c>
    </row>
    <row r="1286" spans="1:27" ht="21" customHeight="1" x14ac:dyDescent="0.95">
      <c r="A1286" s="56"/>
      <c r="B1286" s="57"/>
      <c r="C1286" s="57"/>
      <c r="D1286" s="57"/>
      <c r="E1286" s="56"/>
      <c r="F1286" s="57"/>
      <c r="G1286" s="57"/>
      <c r="H1286" s="56"/>
      <c r="I1286" s="56"/>
      <c r="J1286" s="58"/>
      <c r="K1286" s="58"/>
      <c r="L1286" s="13" t="str">
        <f t="shared" ref="L1286:L1349" si="200">IF(OR($A1286="",AND($J1286="",$K1286="")),"",ROUND(N($J1286)-N($K1286),2))</f>
        <v/>
      </c>
      <c r="M1286" s="13" t="str">
        <f t="shared" ref="M1286:M1349" si="201">IF(OR($A1286="",AND($J1286="",$K1286="")),"",MIN($J1286,$K1286))</f>
        <v/>
      </c>
      <c r="Q1286" t="str">
        <f t="shared" ref="Q1286:Q1349" si="202">IF($A1286="","",$D1286&amp;"("&amp;SUBSTITUTE($E1286," ","")&amp;")")</f>
        <v/>
      </c>
      <c r="R1286" t="str">
        <f t="shared" ref="R1286:R1349" si="203">IF($A1286="","",$B1286&amp;" - "&amp;$C1286)</f>
        <v/>
      </c>
      <c r="S1286" t="str">
        <f t="shared" ref="S1286:S1349" si="204">IF($A1286="","",$R1286&amp;"|"&amp;$Q1286)</f>
        <v/>
      </c>
      <c r="T1286" t="str">
        <f t="shared" ref="T1286:T1349" si="205">IF($A1286="","",$S1286&amp;"|"&amp;$F1286)</f>
        <v/>
      </c>
      <c r="U1286" t="str">
        <f t="shared" ref="U1286:U1349" si="206">IF($A1286="","",$R1286&amp;"("&amp;$E1286&amp;")")</f>
        <v/>
      </c>
      <c r="V1286" t="str">
        <f t="shared" ref="V1286:V1349" si="207">IF($A1286="","",$F1286&amp;"|"&amp;$U1286&amp;"|"&amp;$D1286)</f>
        <v/>
      </c>
      <c r="W1286" t="str">
        <f t="shared" ref="W1286:W1349" si="208">IF($T1286="","",IF($X1286&gt;N($X1285),$X1286,""))</f>
        <v/>
      </c>
      <c r="X1286">
        <f>IF($T1286="",N($X1285),IF(MATCH($T1286,$T$6:$T$10005,0)=ROW()-5,N($X1285)+1,N($X1285)))</f>
        <v>0</v>
      </c>
      <c r="Z1286" t="str">
        <f t="shared" ref="Z1286:Z1349" si="209">IF($V1286="","",IF($AA1286&gt;N($AA1285),$AA1286,""))</f>
        <v/>
      </c>
      <c r="AA1286">
        <f>IF($V1286="",N($AA1285),IF(MATCH($V1286,$V$6:$V$10005,0)=ROW()-5,N($AA1285)+1,N($AA1285)))</f>
        <v>0</v>
      </c>
    </row>
    <row r="1287" spans="1:27" ht="21" customHeight="1" x14ac:dyDescent="0.95">
      <c r="A1287" s="56"/>
      <c r="B1287" s="57"/>
      <c r="C1287" s="57"/>
      <c r="D1287" s="57"/>
      <c r="E1287" s="56"/>
      <c r="F1287" s="57"/>
      <c r="G1287" s="57"/>
      <c r="H1287" s="56"/>
      <c r="I1287" s="56"/>
      <c r="J1287" s="58"/>
      <c r="K1287" s="58"/>
      <c r="L1287" s="13" t="str">
        <f t="shared" si="200"/>
        <v/>
      </c>
      <c r="M1287" s="13" t="str">
        <f t="shared" si="201"/>
        <v/>
      </c>
      <c r="Q1287" t="str">
        <f t="shared" si="202"/>
        <v/>
      </c>
      <c r="R1287" t="str">
        <f t="shared" si="203"/>
        <v/>
      </c>
      <c r="S1287" t="str">
        <f t="shared" si="204"/>
        <v/>
      </c>
      <c r="T1287" t="str">
        <f t="shared" si="205"/>
        <v/>
      </c>
      <c r="U1287" t="str">
        <f t="shared" si="206"/>
        <v/>
      </c>
      <c r="V1287" t="str">
        <f t="shared" si="207"/>
        <v/>
      </c>
      <c r="W1287" t="str">
        <f t="shared" si="208"/>
        <v/>
      </c>
      <c r="X1287">
        <f>IF($T1287="",N($X1286),IF(MATCH($T1287,$T$6:$T$10005,0)=ROW()-5,N($X1286)+1,N($X1286)))</f>
        <v>0</v>
      </c>
      <c r="Z1287" t="str">
        <f t="shared" si="209"/>
        <v/>
      </c>
      <c r="AA1287">
        <f>IF($V1287="",N($AA1286),IF(MATCH($V1287,$V$6:$V$10005,0)=ROW()-5,N($AA1286)+1,N($AA1286)))</f>
        <v>0</v>
      </c>
    </row>
    <row r="1288" spans="1:27" ht="21" customHeight="1" x14ac:dyDescent="0.95">
      <c r="A1288" s="56"/>
      <c r="B1288" s="57"/>
      <c r="C1288" s="57"/>
      <c r="D1288" s="57"/>
      <c r="E1288" s="56"/>
      <c r="F1288" s="57"/>
      <c r="G1288" s="57"/>
      <c r="H1288" s="56"/>
      <c r="I1288" s="56"/>
      <c r="J1288" s="58"/>
      <c r="K1288" s="58"/>
      <c r="L1288" s="13" t="str">
        <f t="shared" si="200"/>
        <v/>
      </c>
      <c r="M1288" s="13" t="str">
        <f t="shared" si="201"/>
        <v/>
      </c>
      <c r="Q1288" t="str">
        <f t="shared" si="202"/>
        <v/>
      </c>
      <c r="R1288" t="str">
        <f t="shared" si="203"/>
        <v/>
      </c>
      <c r="S1288" t="str">
        <f t="shared" si="204"/>
        <v/>
      </c>
      <c r="T1288" t="str">
        <f t="shared" si="205"/>
        <v/>
      </c>
      <c r="U1288" t="str">
        <f t="shared" si="206"/>
        <v/>
      </c>
      <c r="V1288" t="str">
        <f t="shared" si="207"/>
        <v/>
      </c>
      <c r="W1288" t="str">
        <f t="shared" si="208"/>
        <v/>
      </c>
      <c r="X1288">
        <f>IF($T1288="",N($X1287),IF(MATCH($T1288,$T$6:$T$10005,0)=ROW()-5,N($X1287)+1,N($X1287)))</f>
        <v>0</v>
      </c>
      <c r="Z1288" t="str">
        <f t="shared" si="209"/>
        <v/>
      </c>
      <c r="AA1288">
        <f>IF($V1288="",N($AA1287),IF(MATCH($V1288,$V$6:$V$10005,0)=ROW()-5,N($AA1287)+1,N($AA1287)))</f>
        <v>0</v>
      </c>
    </row>
    <row r="1289" spans="1:27" ht="21" customHeight="1" x14ac:dyDescent="0.95">
      <c r="A1289" s="56"/>
      <c r="B1289" s="57"/>
      <c r="C1289" s="57"/>
      <c r="D1289" s="57"/>
      <c r="E1289" s="56"/>
      <c r="F1289" s="57"/>
      <c r="G1289" s="57"/>
      <c r="H1289" s="56"/>
      <c r="I1289" s="56"/>
      <c r="J1289" s="58"/>
      <c r="K1289" s="58"/>
      <c r="L1289" s="13" t="str">
        <f t="shared" si="200"/>
        <v/>
      </c>
      <c r="M1289" s="13" t="str">
        <f t="shared" si="201"/>
        <v/>
      </c>
      <c r="Q1289" t="str">
        <f t="shared" si="202"/>
        <v/>
      </c>
      <c r="R1289" t="str">
        <f t="shared" si="203"/>
        <v/>
      </c>
      <c r="S1289" t="str">
        <f t="shared" si="204"/>
        <v/>
      </c>
      <c r="T1289" t="str">
        <f t="shared" si="205"/>
        <v/>
      </c>
      <c r="U1289" t="str">
        <f t="shared" si="206"/>
        <v/>
      </c>
      <c r="V1289" t="str">
        <f t="shared" si="207"/>
        <v/>
      </c>
      <c r="W1289" t="str">
        <f t="shared" si="208"/>
        <v/>
      </c>
      <c r="X1289">
        <f>IF($T1289="",N($X1288),IF(MATCH($T1289,$T$6:$T$10005,0)=ROW()-5,N($X1288)+1,N($X1288)))</f>
        <v>0</v>
      </c>
      <c r="Z1289" t="str">
        <f t="shared" si="209"/>
        <v/>
      </c>
      <c r="AA1289">
        <f>IF($V1289="",N($AA1288),IF(MATCH($V1289,$V$6:$V$10005,0)=ROW()-5,N($AA1288)+1,N($AA1288)))</f>
        <v>0</v>
      </c>
    </row>
    <row r="1290" spans="1:27" ht="21" customHeight="1" x14ac:dyDescent="0.95">
      <c r="A1290" s="56"/>
      <c r="B1290" s="57"/>
      <c r="C1290" s="57"/>
      <c r="D1290" s="57"/>
      <c r="E1290" s="56"/>
      <c r="F1290" s="57"/>
      <c r="G1290" s="57"/>
      <c r="H1290" s="56"/>
      <c r="I1290" s="56"/>
      <c r="J1290" s="58"/>
      <c r="K1290" s="58"/>
      <c r="L1290" s="13" t="str">
        <f t="shared" si="200"/>
        <v/>
      </c>
      <c r="M1290" s="13" t="str">
        <f t="shared" si="201"/>
        <v/>
      </c>
      <c r="Q1290" t="str">
        <f t="shared" si="202"/>
        <v/>
      </c>
      <c r="R1290" t="str">
        <f t="shared" si="203"/>
        <v/>
      </c>
      <c r="S1290" t="str">
        <f t="shared" si="204"/>
        <v/>
      </c>
      <c r="T1290" t="str">
        <f t="shared" si="205"/>
        <v/>
      </c>
      <c r="U1290" t="str">
        <f t="shared" si="206"/>
        <v/>
      </c>
      <c r="V1290" t="str">
        <f t="shared" si="207"/>
        <v/>
      </c>
      <c r="W1290" t="str">
        <f t="shared" si="208"/>
        <v/>
      </c>
      <c r="X1290">
        <f>IF($T1290="",N($X1289),IF(MATCH($T1290,$T$6:$T$10005,0)=ROW()-5,N($X1289)+1,N($X1289)))</f>
        <v>0</v>
      </c>
      <c r="Z1290" t="str">
        <f t="shared" si="209"/>
        <v/>
      </c>
      <c r="AA1290">
        <f>IF($V1290="",N($AA1289),IF(MATCH($V1290,$V$6:$V$10005,0)=ROW()-5,N($AA1289)+1,N($AA1289)))</f>
        <v>0</v>
      </c>
    </row>
    <row r="1291" spans="1:27" ht="21" customHeight="1" x14ac:dyDescent="0.95">
      <c r="A1291" s="56"/>
      <c r="B1291" s="57"/>
      <c r="C1291" s="57"/>
      <c r="D1291" s="57"/>
      <c r="E1291" s="56"/>
      <c r="F1291" s="57"/>
      <c r="G1291" s="57"/>
      <c r="H1291" s="56"/>
      <c r="I1291" s="56"/>
      <c r="J1291" s="58"/>
      <c r="K1291" s="58"/>
      <c r="L1291" s="13" t="str">
        <f t="shared" si="200"/>
        <v/>
      </c>
      <c r="M1291" s="13" t="str">
        <f t="shared" si="201"/>
        <v/>
      </c>
      <c r="Q1291" t="str">
        <f t="shared" si="202"/>
        <v/>
      </c>
      <c r="R1291" t="str">
        <f t="shared" si="203"/>
        <v/>
      </c>
      <c r="S1291" t="str">
        <f t="shared" si="204"/>
        <v/>
      </c>
      <c r="T1291" t="str">
        <f t="shared" si="205"/>
        <v/>
      </c>
      <c r="U1291" t="str">
        <f t="shared" si="206"/>
        <v/>
      </c>
      <c r="V1291" t="str">
        <f t="shared" si="207"/>
        <v/>
      </c>
      <c r="W1291" t="str">
        <f t="shared" si="208"/>
        <v/>
      </c>
      <c r="X1291">
        <f>IF($T1291="",N($X1290),IF(MATCH($T1291,$T$6:$T$10005,0)=ROW()-5,N($X1290)+1,N($X1290)))</f>
        <v>0</v>
      </c>
      <c r="Z1291" t="str">
        <f t="shared" si="209"/>
        <v/>
      </c>
      <c r="AA1291">
        <f>IF($V1291="",N($AA1290),IF(MATCH($V1291,$V$6:$V$10005,0)=ROW()-5,N($AA1290)+1,N($AA1290)))</f>
        <v>0</v>
      </c>
    </row>
    <row r="1292" spans="1:27" ht="21" customHeight="1" x14ac:dyDescent="0.95">
      <c r="A1292" s="56"/>
      <c r="B1292" s="57"/>
      <c r="C1292" s="57"/>
      <c r="D1292" s="57"/>
      <c r="E1292" s="56"/>
      <c r="F1292" s="57"/>
      <c r="G1292" s="57"/>
      <c r="H1292" s="56"/>
      <c r="I1292" s="56"/>
      <c r="J1292" s="58"/>
      <c r="K1292" s="58"/>
      <c r="L1292" s="13" t="str">
        <f t="shared" si="200"/>
        <v/>
      </c>
      <c r="M1292" s="13" t="str">
        <f t="shared" si="201"/>
        <v/>
      </c>
      <c r="Q1292" t="str">
        <f t="shared" si="202"/>
        <v/>
      </c>
      <c r="R1292" t="str">
        <f t="shared" si="203"/>
        <v/>
      </c>
      <c r="S1292" t="str">
        <f t="shared" si="204"/>
        <v/>
      </c>
      <c r="T1292" t="str">
        <f t="shared" si="205"/>
        <v/>
      </c>
      <c r="U1292" t="str">
        <f t="shared" si="206"/>
        <v/>
      </c>
      <c r="V1292" t="str">
        <f t="shared" si="207"/>
        <v/>
      </c>
      <c r="W1292" t="str">
        <f t="shared" si="208"/>
        <v/>
      </c>
      <c r="X1292">
        <f>IF($T1292="",N($X1291),IF(MATCH($T1292,$T$6:$T$10005,0)=ROW()-5,N($X1291)+1,N($X1291)))</f>
        <v>0</v>
      </c>
      <c r="Z1292" t="str">
        <f t="shared" si="209"/>
        <v/>
      </c>
      <c r="AA1292">
        <f>IF($V1292="",N($AA1291),IF(MATCH($V1292,$V$6:$V$10005,0)=ROW()-5,N($AA1291)+1,N($AA1291)))</f>
        <v>0</v>
      </c>
    </row>
    <row r="1293" spans="1:27" ht="21" customHeight="1" x14ac:dyDescent="0.95">
      <c r="A1293" s="56"/>
      <c r="B1293" s="57"/>
      <c r="C1293" s="57"/>
      <c r="D1293" s="57"/>
      <c r="E1293" s="56"/>
      <c r="F1293" s="57"/>
      <c r="G1293" s="57"/>
      <c r="H1293" s="56"/>
      <c r="I1293" s="56"/>
      <c r="J1293" s="58"/>
      <c r="K1293" s="58"/>
      <c r="L1293" s="13" t="str">
        <f t="shared" si="200"/>
        <v/>
      </c>
      <c r="M1293" s="13" t="str">
        <f t="shared" si="201"/>
        <v/>
      </c>
      <c r="Q1293" t="str">
        <f t="shared" si="202"/>
        <v/>
      </c>
      <c r="R1293" t="str">
        <f t="shared" si="203"/>
        <v/>
      </c>
      <c r="S1293" t="str">
        <f t="shared" si="204"/>
        <v/>
      </c>
      <c r="T1293" t="str">
        <f t="shared" si="205"/>
        <v/>
      </c>
      <c r="U1293" t="str">
        <f t="shared" si="206"/>
        <v/>
      </c>
      <c r="V1293" t="str">
        <f t="shared" si="207"/>
        <v/>
      </c>
      <c r="W1293" t="str">
        <f t="shared" si="208"/>
        <v/>
      </c>
      <c r="X1293">
        <f>IF($T1293="",N($X1292),IF(MATCH($T1293,$T$6:$T$10005,0)=ROW()-5,N($X1292)+1,N($X1292)))</f>
        <v>0</v>
      </c>
      <c r="Z1293" t="str">
        <f t="shared" si="209"/>
        <v/>
      </c>
      <c r="AA1293">
        <f>IF($V1293="",N($AA1292),IF(MATCH($V1293,$V$6:$V$10005,0)=ROW()-5,N($AA1292)+1,N($AA1292)))</f>
        <v>0</v>
      </c>
    </row>
    <row r="1294" spans="1:27" ht="21" customHeight="1" x14ac:dyDescent="0.95">
      <c r="A1294" s="56"/>
      <c r="B1294" s="57"/>
      <c r="C1294" s="57"/>
      <c r="D1294" s="57"/>
      <c r="E1294" s="56"/>
      <c r="F1294" s="57"/>
      <c r="G1294" s="57"/>
      <c r="H1294" s="56"/>
      <c r="I1294" s="56"/>
      <c r="J1294" s="58"/>
      <c r="K1294" s="58"/>
      <c r="L1294" s="13" t="str">
        <f t="shared" si="200"/>
        <v/>
      </c>
      <c r="M1294" s="13" t="str">
        <f t="shared" si="201"/>
        <v/>
      </c>
      <c r="Q1294" t="str">
        <f t="shared" si="202"/>
        <v/>
      </c>
      <c r="R1294" t="str">
        <f t="shared" si="203"/>
        <v/>
      </c>
      <c r="S1294" t="str">
        <f t="shared" si="204"/>
        <v/>
      </c>
      <c r="T1294" t="str">
        <f t="shared" si="205"/>
        <v/>
      </c>
      <c r="U1294" t="str">
        <f t="shared" si="206"/>
        <v/>
      </c>
      <c r="V1294" t="str">
        <f t="shared" si="207"/>
        <v/>
      </c>
      <c r="W1294" t="str">
        <f t="shared" si="208"/>
        <v/>
      </c>
      <c r="X1294">
        <f>IF($T1294="",N($X1293),IF(MATCH($T1294,$T$6:$T$10005,0)=ROW()-5,N($X1293)+1,N($X1293)))</f>
        <v>0</v>
      </c>
      <c r="Z1294" t="str">
        <f t="shared" si="209"/>
        <v/>
      </c>
      <c r="AA1294">
        <f>IF($V1294="",N($AA1293),IF(MATCH($V1294,$V$6:$V$10005,0)=ROW()-5,N($AA1293)+1,N($AA1293)))</f>
        <v>0</v>
      </c>
    </row>
    <row r="1295" spans="1:27" ht="21" customHeight="1" x14ac:dyDescent="0.95">
      <c r="A1295" s="56"/>
      <c r="B1295" s="57"/>
      <c r="C1295" s="57"/>
      <c r="D1295" s="57"/>
      <c r="E1295" s="56"/>
      <c r="F1295" s="57"/>
      <c r="G1295" s="57"/>
      <c r="H1295" s="56"/>
      <c r="I1295" s="56"/>
      <c r="J1295" s="58"/>
      <c r="K1295" s="58"/>
      <c r="L1295" s="13" t="str">
        <f t="shared" si="200"/>
        <v/>
      </c>
      <c r="M1295" s="13" t="str">
        <f t="shared" si="201"/>
        <v/>
      </c>
      <c r="Q1295" t="str">
        <f t="shared" si="202"/>
        <v/>
      </c>
      <c r="R1295" t="str">
        <f t="shared" si="203"/>
        <v/>
      </c>
      <c r="S1295" t="str">
        <f t="shared" si="204"/>
        <v/>
      </c>
      <c r="T1295" t="str">
        <f t="shared" si="205"/>
        <v/>
      </c>
      <c r="U1295" t="str">
        <f t="shared" si="206"/>
        <v/>
      </c>
      <c r="V1295" t="str">
        <f t="shared" si="207"/>
        <v/>
      </c>
      <c r="W1295" t="str">
        <f t="shared" si="208"/>
        <v/>
      </c>
      <c r="X1295">
        <f>IF($T1295="",N($X1294),IF(MATCH($T1295,$T$6:$T$10005,0)=ROW()-5,N($X1294)+1,N($X1294)))</f>
        <v>0</v>
      </c>
      <c r="Z1295" t="str">
        <f t="shared" si="209"/>
        <v/>
      </c>
      <c r="AA1295">
        <f>IF($V1295="",N($AA1294),IF(MATCH($V1295,$V$6:$V$10005,0)=ROW()-5,N($AA1294)+1,N($AA1294)))</f>
        <v>0</v>
      </c>
    </row>
    <row r="1296" spans="1:27" ht="21" customHeight="1" x14ac:dyDescent="0.95">
      <c r="A1296" s="56"/>
      <c r="B1296" s="57"/>
      <c r="C1296" s="57"/>
      <c r="D1296" s="57"/>
      <c r="E1296" s="56"/>
      <c r="F1296" s="57"/>
      <c r="G1296" s="57"/>
      <c r="H1296" s="56"/>
      <c r="I1296" s="56"/>
      <c r="J1296" s="58"/>
      <c r="K1296" s="58"/>
      <c r="L1296" s="13" t="str">
        <f t="shared" si="200"/>
        <v/>
      </c>
      <c r="M1296" s="13" t="str">
        <f t="shared" si="201"/>
        <v/>
      </c>
      <c r="Q1296" t="str">
        <f t="shared" si="202"/>
        <v/>
      </c>
      <c r="R1296" t="str">
        <f t="shared" si="203"/>
        <v/>
      </c>
      <c r="S1296" t="str">
        <f t="shared" si="204"/>
        <v/>
      </c>
      <c r="T1296" t="str">
        <f t="shared" si="205"/>
        <v/>
      </c>
      <c r="U1296" t="str">
        <f t="shared" si="206"/>
        <v/>
      </c>
      <c r="V1296" t="str">
        <f t="shared" si="207"/>
        <v/>
      </c>
      <c r="W1296" t="str">
        <f t="shared" si="208"/>
        <v/>
      </c>
      <c r="X1296">
        <f>IF($T1296="",N($X1295),IF(MATCH($T1296,$T$6:$T$10005,0)=ROW()-5,N($X1295)+1,N($X1295)))</f>
        <v>0</v>
      </c>
      <c r="Z1296" t="str">
        <f t="shared" si="209"/>
        <v/>
      </c>
      <c r="AA1296">
        <f>IF($V1296="",N($AA1295),IF(MATCH($V1296,$V$6:$V$10005,0)=ROW()-5,N($AA1295)+1,N($AA1295)))</f>
        <v>0</v>
      </c>
    </row>
    <row r="1297" spans="1:27" ht="21" customHeight="1" x14ac:dyDescent="0.95">
      <c r="A1297" s="56"/>
      <c r="B1297" s="57"/>
      <c r="C1297" s="57"/>
      <c r="D1297" s="57"/>
      <c r="E1297" s="56"/>
      <c r="F1297" s="57"/>
      <c r="G1297" s="57"/>
      <c r="H1297" s="56"/>
      <c r="I1297" s="56"/>
      <c r="J1297" s="58"/>
      <c r="K1297" s="58"/>
      <c r="L1297" s="13" t="str">
        <f t="shared" si="200"/>
        <v/>
      </c>
      <c r="M1297" s="13" t="str">
        <f t="shared" si="201"/>
        <v/>
      </c>
      <c r="Q1297" t="str">
        <f t="shared" si="202"/>
        <v/>
      </c>
      <c r="R1297" t="str">
        <f t="shared" si="203"/>
        <v/>
      </c>
      <c r="S1297" t="str">
        <f t="shared" si="204"/>
        <v/>
      </c>
      <c r="T1297" t="str">
        <f t="shared" si="205"/>
        <v/>
      </c>
      <c r="U1297" t="str">
        <f t="shared" si="206"/>
        <v/>
      </c>
      <c r="V1297" t="str">
        <f t="shared" si="207"/>
        <v/>
      </c>
      <c r="W1297" t="str">
        <f t="shared" si="208"/>
        <v/>
      </c>
      <c r="X1297">
        <f>IF($T1297="",N($X1296),IF(MATCH($T1297,$T$6:$T$10005,0)=ROW()-5,N($X1296)+1,N($X1296)))</f>
        <v>0</v>
      </c>
      <c r="Z1297" t="str">
        <f t="shared" si="209"/>
        <v/>
      </c>
      <c r="AA1297">
        <f>IF($V1297="",N($AA1296),IF(MATCH($V1297,$V$6:$V$10005,0)=ROW()-5,N($AA1296)+1,N($AA1296)))</f>
        <v>0</v>
      </c>
    </row>
    <row r="1298" spans="1:27" ht="21" customHeight="1" x14ac:dyDescent="0.95">
      <c r="A1298" s="56"/>
      <c r="B1298" s="57"/>
      <c r="C1298" s="57"/>
      <c r="D1298" s="57"/>
      <c r="E1298" s="56"/>
      <c r="F1298" s="57"/>
      <c r="G1298" s="57"/>
      <c r="H1298" s="56"/>
      <c r="I1298" s="56"/>
      <c r="J1298" s="58"/>
      <c r="K1298" s="58"/>
      <c r="L1298" s="13" t="str">
        <f t="shared" si="200"/>
        <v/>
      </c>
      <c r="M1298" s="13" t="str">
        <f t="shared" si="201"/>
        <v/>
      </c>
      <c r="Q1298" t="str">
        <f t="shared" si="202"/>
        <v/>
      </c>
      <c r="R1298" t="str">
        <f t="shared" si="203"/>
        <v/>
      </c>
      <c r="S1298" t="str">
        <f t="shared" si="204"/>
        <v/>
      </c>
      <c r="T1298" t="str">
        <f t="shared" si="205"/>
        <v/>
      </c>
      <c r="U1298" t="str">
        <f t="shared" si="206"/>
        <v/>
      </c>
      <c r="V1298" t="str">
        <f t="shared" si="207"/>
        <v/>
      </c>
      <c r="W1298" t="str">
        <f t="shared" si="208"/>
        <v/>
      </c>
      <c r="X1298">
        <f>IF($T1298="",N($X1297),IF(MATCH($T1298,$T$6:$T$10005,0)=ROW()-5,N($X1297)+1,N($X1297)))</f>
        <v>0</v>
      </c>
      <c r="Z1298" t="str">
        <f t="shared" si="209"/>
        <v/>
      </c>
      <c r="AA1298">
        <f>IF($V1298="",N($AA1297),IF(MATCH($V1298,$V$6:$V$10005,0)=ROW()-5,N($AA1297)+1,N($AA1297)))</f>
        <v>0</v>
      </c>
    </row>
    <row r="1299" spans="1:27" ht="21" customHeight="1" x14ac:dyDescent="0.95">
      <c r="A1299" s="56"/>
      <c r="B1299" s="57"/>
      <c r="C1299" s="57"/>
      <c r="D1299" s="57"/>
      <c r="E1299" s="56"/>
      <c r="F1299" s="57"/>
      <c r="G1299" s="57"/>
      <c r="H1299" s="56"/>
      <c r="I1299" s="56"/>
      <c r="J1299" s="58"/>
      <c r="K1299" s="58"/>
      <c r="L1299" s="13" t="str">
        <f t="shared" si="200"/>
        <v/>
      </c>
      <c r="M1299" s="13" t="str">
        <f t="shared" si="201"/>
        <v/>
      </c>
      <c r="Q1299" t="str">
        <f t="shared" si="202"/>
        <v/>
      </c>
      <c r="R1299" t="str">
        <f t="shared" si="203"/>
        <v/>
      </c>
      <c r="S1299" t="str">
        <f t="shared" si="204"/>
        <v/>
      </c>
      <c r="T1299" t="str">
        <f t="shared" si="205"/>
        <v/>
      </c>
      <c r="U1299" t="str">
        <f t="shared" si="206"/>
        <v/>
      </c>
      <c r="V1299" t="str">
        <f t="shared" si="207"/>
        <v/>
      </c>
      <c r="W1299" t="str">
        <f t="shared" si="208"/>
        <v/>
      </c>
      <c r="X1299">
        <f>IF($T1299="",N($X1298),IF(MATCH($T1299,$T$6:$T$10005,0)=ROW()-5,N($X1298)+1,N($X1298)))</f>
        <v>0</v>
      </c>
      <c r="Z1299" t="str">
        <f t="shared" si="209"/>
        <v/>
      </c>
      <c r="AA1299">
        <f>IF($V1299="",N($AA1298),IF(MATCH($V1299,$V$6:$V$10005,0)=ROW()-5,N($AA1298)+1,N($AA1298)))</f>
        <v>0</v>
      </c>
    </row>
    <row r="1300" spans="1:27" ht="21" customHeight="1" x14ac:dyDescent="0.95">
      <c r="A1300" s="56"/>
      <c r="B1300" s="57"/>
      <c r="C1300" s="57"/>
      <c r="D1300" s="57"/>
      <c r="E1300" s="56"/>
      <c r="F1300" s="57"/>
      <c r="G1300" s="57"/>
      <c r="H1300" s="56"/>
      <c r="I1300" s="56"/>
      <c r="J1300" s="58"/>
      <c r="K1300" s="58"/>
      <c r="L1300" s="13" t="str">
        <f t="shared" si="200"/>
        <v/>
      </c>
      <c r="M1300" s="13" t="str">
        <f t="shared" si="201"/>
        <v/>
      </c>
      <c r="Q1300" t="str">
        <f t="shared" si="202"/>
        <v/>
      </c>
      <c r="R1300" t="str">
        <f t="shared" si="203"/>
        <v/>
      </c>
      <c r="S1300" t="str">
        <f t="shared" si="204"/>
        <v/>
      </c>
      <c r="T1300" t="str">
        <f t="shared" si="205"/>
        <v/>
      </c>
      <c r="U1300" t="str">
        <f t="shared" si="206"/>
        <v/>
      </c>
      <c r="V1300" t="str">
        <f t="shared" si="207"/>
        <v/>
      </c>
      <c r="W1300" t="str">
        <f t="shared" si="208"/>
        <v/>
      </c>
      <c r="X1300">
        <f>IF($T1300="",N($X1299),IF(MATCH($T1300,$T$6:$T$10005,0)=ROW()-5,N($X1299)+1,N($X1299)))</f>
        <v>0</v>
      </c>
      <c r="Z1300" t="str">
        <f t="shared" si="209"/>
        <v/>
      </c>
      <c r="AA1300">
        <f>IF($V1300="",N($AA1299),IF(MATCH($V1300,$V$6:$V$10005,0)=ROW()-5,N($AA1299)+1,N($AA1299)))</f>
        <v>0</v>
      </c>
    </row>
    <row r="1301" spans="1:27" ht="21" customHeight="1" x14ac:dyDescent="0.95">
      <c r="A1301" s="56"/>
      <c r="B1301" s="57"/>
      <c r="C1301" s="57"/>
      <c r="D1301" s="57"/>
      <c r="E1301" s="56"/>
      <c r="F1301" s="57"/>
      <c r="G1301" s="57"/>
      <c r="H1301" s="56"/>
      <c r="I1301" s="56"/>
      <c r="J1301" s="58"/>
      <c r="K1301" s="58"/>
      <c r="L1301" s="13" t="str">
        <f t="shared" si="200"/>
        <v/>
      </c>
      <c r="M1301" s="13" t="str">
        <f t="shared" si="201"/>
        <v/>
      </c>
      <c r="Q1301" t="str">
        <f t="shared" si="202"/>
        <v/>
      </c>
      <c r="R1301" t="str">
        <f t="shared" si="203"/>
        <v/>
      </c>
      <c r="S1301" t="str">
        <f t="shared" si="204"/>
        <v/>
      </c>
      <c r="T1301" t="str">
        <f t="shared" si="205"/>
        <v/>
      </c>
      <c r="U1301" t="str">
        <f t="shared" si="206"/>
        <v/>
      </c>
      <c r="V1301" t="str">
        <f t="shared" si="207"/>
        <v/>
      </c>
      <c r="W1301" t="str">
        <f t="shared" si="208"/>
        <v/>
      </c>
      <c r="X1301">
        <f>IF($T1301="",N($X1300),IF(MATCH($T1301,$T$6:$T$10005,0)=ROW()-5,N($X1300)+1,N($X1300)))</f>
        <v>0</v>
      </c>
      <c r="Z1301" t="str">
        <f t="shared" si="209"/>
        <v/>
      </c>
      <c r="AA1301">
        <f>IF($V1301="",N($AA1300),IF(MATCH($V1301,$V$6:$V$10005,0)=ROW()-5,N($AA1300)+1,N($AA1300)))</f>
        <v>0</v>
      </c>
    </row>
    <row r="1302" spans="1:27" ht="21" customHeight="1" x14ac:dyDescent="0.95">
      <c r="A1302" s="56"/>
      <c r="B1302" s="57"/>
      <c r="C1302" s="57"/>
      <c r="D1302" s="57"/>
      <c r="E1302" s="56"/>
      <c r="F1302" s="57"/>
      <c r="G1302" s="57"/>
      <c r="H1302" s="56"/>
      <c r="I1302" s="56"/>
      <c r="J1302" s="58"/>
      <c r="K1302" s="58"/>
      <c r="L1302" s="13" t="str">
        <f t="shared" si="200"/>
        <v/>
      </c>
      <c r="M1302" s="13" t="str">
        <f t="shared" si="201"/>
        <v/>
      </c>
      <c r="Q1302" t="str">
        <f t="shared" si="202"/>
        <v/>
      </c>
      <c r="R1302" t="str">
        <f t="shared" si="203"/>
        <v/>
      </c>
      <c r="S1302" t="str">
        <f t="shared" si="204"/>
        <v/>
      </c>
      <c r="T1302" t="str">
        <f t="shared" si="205"/>
        <v/>
      </c>
      <c r="U1302" t="str">
        <f t="shared" si="206"/>
        <v/>
      </c>
      <c r="V1302" t="str">
        <f t="shared" si="207"/>
        <v/>
      </c>
      <c r="W1302" t="str">
        <f t="shared" si="208"/>
        <v/>
      </c>
      <c r="X1302">
        <f>IF($T1302="",N($X1301),IF(MATCH($T1302,$T$6:$T$10005,0)=ROW()-5,N($X1301)+1,N($X1301)))</f>
        <v>0</v>
      </c>
      <c r="Z1302" t="str">
        <f t="shared" si="209"/>
        <v/>
      </c>
      <c r="AA1302">
        <f>IF($V1302="",N($AA1301),IF(MATCH($V1302,$V$6:$V$10005,0)=ROW()-5,N($AA1301)+1,N($AA1301)))</f>
        <v>0</v>
      </c>
    </row>
    <row r="1303" spans="1:27" ht="21" customHeight="1" x14ac:dyDescent="0.95">
      <c r="A1303" s="56"/>
      <c r="B1303" s="57"/>
      <c r="C1303" s="57"/>
      <c r="D1303" s="57"/>
      <c r="E1303" s="56"/>
      <c r="F1303" s="57"/>
      <c r="G1303" s="57"/>
      <c r="H1303" s="56"/>
      <c r="I1303" s="56"/>
      <c r="J1303" s="58"/>
      <c r="K1303" s="58"/>
      <c r="L1303" s="13" t="str">
        <f t="shared" si="200"/>
        <v/>
      </c>
      <c r="M1303" s="13" t="str">
        <f t="shared" si="201"/>
        <v/>
      </c>
      <c r="Q1303" t="str">
        <f t="shared" si="202"/>
        <v/>
      </c>
      <c r="R1303" t="str">
        <f t="shared" si="203"/>
        <v/>
      </c>
      <c r="S1303" t="str">
        <f t="shared" si="204"/>
        <v/>
      </c>
      <c r="T1303" t="str">
        <f t="shared" si="205"/>
        <v/>
      </c>
      <c r="U1303" t="str">
        <f t="shared" si="206"/>
        <v/>
      </c>
      <c r="V1303" t="str">
        <f t="shared" si="207"/>
        <v/>
      </c>
      <c r="W1303" t="str">
        <f t="shared" si="208"/>
        <v/>
      </c>
      <c r="X1303">
        <f>IF($T1303="",N($X1302),IF(MATCH($T1303,$T$6:$T$10005,0)=ROW()-5,N($X1302)+1,N($X1302)))</f>
        <v>0</v>
      </c>
      <c r="Z1303" t="str">
        <f t="shared" si="209"/>
        <v/>
      </c>
      <c r="AA1303">
        <f>IF($V1303="",N($AA1302),IF(MATCH($V1303,$V$6:$V$10005,0)=ROW()-5,N($AA1302)+1,N($AA1302)))</f>
        <v>0</v>
      </c>
    </row>
    <row r="1304" spans="1:27" ht="21" customHeight="1" x14ac:dyDescent="0.95">
      <c r="A1304" s="56"/>
      <c r="B1304" s="57"/>
      <c r="C1304" s="57"/>
      <c r="D1304" s="57"/>
      <c r="E1304" s="56"/>
      <c r="F1304" s="57"/>
      <c r="G1304" s="57"/>
      <c r="H1304" s="56"/>
      <c r="I1304" s="56"/>
      <c r="J1304" s="58"/>
      <c r="K1304" s="58"/>
      <c r="L1304" s="13" t="str">
        <f t="shared" si="200"/>
        <v/>
      </c>
      <c r="M1304" s="13" t="str">
        <f t="shared" si="201"/>
        <v/>
      </c>
      <c r="Q1304" t="str">
        <f t="shared" si="202"/>
        <v/>
      </c>
      <c r="R1304" t="str">
        <f t="shared" si="203"/>
        <v/>
      </c>
      <c r="S1304" t="str">
        <f t="shared" si="204"/>
        <v/>
      </c>
      <c r="T1304" t="str">
        <f t="shared" si="205"/>
        <v/>
      </c>
      <c r="U1304" t="str">
        <f t="shared" si="206"/>
        <v/>
      </c>
      <c r="V1304" t="str">
        <f t="shared" si="207"/>
        <v/>
      </c>
      <c r="W1304" t="str">
        <f t="shared" si="208"/>
        <v/>
      </c>
      <c r="X1304">
        <f>IF($T1304="",N($X1303),IF(MATCH($T1304,$T$6:$T$10005,0)=ROW()-5,N($X1303)+1,N($X1303)))</f>
        <v>0</v>
      </c>
      <c r="Z1304" t="str">
        <f t="shared" si="209"/>
        <v/>
      </c>
      <c r="AA1304">
        <f>IF($V1304="",N($AA1303),IF(MATCH($V1304,$V$6:$V$10005,0)=ROW()-5,N($AA1303)+1,N($AA1303)))</f>
        <v>0</v>
      </c>
    </row>
    <row r="1305" spans="1:27" ht="21" customHeight="1" x14ac:dyDescent="0.95">
      <c r="A1305" s="56"/>
      <c r="B1305" s="57"/>
      <c r="C1305" s="57"/>
      <c r="D1305" s="57"/>
      <c r="E1305" s="56"/>
      <c r="F1305" s="57"/>
      <c r="G1305" s="57"/>
      <c r="H1305" s="56"/>
      <c r="I1305" s="56"/>
      <c r="J1305" s="58"/>
      <c r="K1305" s="58"/>
      <c r="L1305" s="13" t="str">
        <f t="shared" si="200"/>
        <v/>
      </c>
      <c r="M1305" s="13" t="str">
        <f t="shared" si="201"/>
        <v/>
      </c>
      <c r="Q1305" t="str">
        <f t="shared" si="202"/>
        <v/>
      </c>
      <c r="R1305" t="str">
        <f t="shared" si="203"/>
        <v/>
      </c>
      <c r="S1305" t="str">
        <f t="shared" si="204"/>
        <v/>
      </c>
      <c r="T1305" t="str">
        <f t="shared" si="205"/>
        <v/>
      </c>
      <c r="U1305" t="str">
        <f t="shared" si="206"/>
        <v/>
      </c>
      <c r="V1305" t="str">
        <f t="shared" si="207"/>
        <v/>
      </c>
      <c r="W1305" t="str">
        <f t="shared" si="208"/>
        <v/>
      </c>
      <c r="X1305">
        <f>IF($T1305="",N($X1304),IF(MATCH($T1305,$T$6:$T$10005,0)=ROW()-5,N($X1304)+1,N($X1304)))</f>
        <v>0</v>
      </c>
      <c r="Z1305" t="str">
        <f t="shared" si="209"/>
        <v/>
      </c>
      <c r="AA1305">
        <f>IF($V1305="",N($AA1304),IF(MATCH($V1305,$V$6:$V$10005,0)=ROW()-5,N($AA1304)+1,N($AA1304)))</f>
        <v>0</v>
      </c>
    </row>
    <row r="1306" spans="1:27" ht="21" customHeight="1" x14ac:dyDescent="0.95">
      <c r="A1306" s="56"/>
      <c r="B1306" s="57"/>
      <c r="C1306" s="57"/>
      <c r="D1306" s="57"/>
      <c r="E1306" s="56"/>
      <c r="F1306" s="57"/>
      <c r="G1306" s="57"/>
      <c r="H1306" s="56"/>
      <c r="I1306" s="56"/>
      <c r="J1306" s="58"/>
      <c r="K1306" s="58"/>
      <c r="L1306" s="13" t="str">
        <f t="shared" si="200"/>
        <v/>
      </c>
      <c r="M1306" s="13" t="str">
        <f t="shared" si="201"/>
        <v/>
      </c>
      <c r="Q1306" t="str">
        <f t="shared" si="202"/>
        <v/>
      </c>
      <c r="R1306" t="str">
        <f t="shared" si="203"/>
        <v/>
      </c>
      <c r="S1306" t="str">
        <f t="shared" si="204"/>
        <v/>
      </c>
      <c r="T1306" t="str">
        <f t="shared" si="205"/>
        <v/>
      </c>
      <c r="U1306" t="str">
        <f t="shared" si="206"/>
        <v/>
      </c>
      <c r="V1306" t="str">
        <f t="shared" si="207"/>
        <v/>
      </c>
      <c r="W1306" t="str">
        <f t="shared" si="208"/>
        <v/>
      </c>
      <c r="X1306">
        <f>IF($T1306="",N($X1305),IF(MATCH($T1306,$T$6:$T$10005,0)=ROW()-5,N($X1305)+1,N($X1305)))</f>
        <v>0</v>
      </c>
      <c r="Z1306" t="str">
        <f t="shared" si="209"/>
        <v/>
      </c>
      <c r="AA1306">
        <f>IF($V1306="",N($AA1305),IF(MATCH($V1306,$V$6:$V$10005,0)=ROW()-5,N($AA1305)+1,N($AA1305)))</f>
        <v>0</v>
      </c>
    </row>
    <row r="1307" spans="1:27" ht="21" customHeight="1" x14ac:dyDescent="0.95">
      <c r="A1307" s="56"/>
      <c r="B1307" s="57"/>
      <c r="C1307" s="57"/>
      <c r="D1307" s="57"/>
      <c r="E1307" s="56"/>
      <c r="F1307" s="57"/>
      <c r="G1307" s="57"/>
      <c r="H1307" s="56"/>
      <c r="I1307" s="56"/>
      <c r="J1307" s="58"/>
      <c r="K1307" s="58"/>
      <c r="L1307" s="13" t="str">
        <f t="shared" si="200"/>
        <v/>
      </c>
      <c r="M1307" s="13" t="str">
        <f t="shared" si="201"/>
        <v/>
      </c>
      <c r="Q1307" t="str">
        <f t="shared" si="202"/>
        <v/>
      </c>
      <c r="R1307" t="str">
        <f t="shared" si="203"/>
        <v/>
      </c>
      <c r="S1307" t="str">
        <f t="shared" si="204"/>
        <v/>
      </c>
      <c r="T1307" t="str">
        <f t="shared" si="205"/>
        <v/>
      </c>
      <c r="U1307" t="str">
        <f t="shared" si="206"/>
        <v/>
      </c>
      <c r="V1307" t="str">
        <f t="shared" si="207"/>
        <v/>
      </c>
      <c r="W1307" t="str">
        <f t="shared" si="208"/>
        <v/>
      </c>
      <c r="X1307">
        <f>IF($T1307="",N($X1306),IF(MATCH($T1307,$T$6:$T$10005,0)=ROW()-5,N($X1306)+1,N($X1306)))</f>
        <v>0</v>
      </c>
      <c r="Z1307" t="str">
        <f t="shared" si="209"/>
        <v/>
      </c>
      <c r="AA1307">
        <f>IF($V1307="",N($AA1306),IF(MATCH($V1307,$V$6:$V$10005,0)=ROW()-5,N($AA1306)+1,N($AA1306)))</f>
        <v>0</v>
      </c>
    </row>
    <row r="1308" spans="1:27" ht="21" customHeight="1" x14ac:dyDescent="0.95">
      <c r="A1308" s="56"/>
      <c r="B1308" s="57"/>
      <c r="C1308" s="57"/>
      <c r="D1308" s="57"/>
      <c r="E1308" s="56"/>
      <c r="F1308" s="57"/>
      <c r="G1308" s="57"/>
      <c r="H1308" s="56"/>
      <c r="I1308" s="56"/>
      <c r="J1308" s="58"/>
      <c r="K1308" s="58"/>
      <c r="L1308" s="13" t="str">
        <f t="shared" si="200"/>
        <v/>
      </c>
      <c r="M1308" s="13" t="str">
        <f t="shared" si="201"/>
        <v/>
      </c>
      <c r="Q1308" t="str">
        <f t="shared" si="202"/>
        <v/>
      </c>
      <c r="R1308" t="str">
        <f t="shared" si="203"/>
        <v/>
      </c>
      <c r="S1308" t="str">
        <f t="shared" si="204"/>
        <v/>
      </c>
      <c r="T1308" t="str">
        <f t="shared" si="205"/>
        <v/>
      </c>
      <c r="U1308" t="str">
        <f t="shared" si="206"/>
        <v/>
      </c>
      <c r="V1308" t="str">
        <f t="shared" si="207"/>
        <v/>
      </c>
      <c r="W1308" t="str">
        <f t="shared" si="208"/>
        <v/>
      </c>
      <c r="X1308">
        <f>IF($T1308="",N($X1307),IF(MATCH($T1308,$T$6:$T$10005,0)=ROW()-5,N($X1307)+1,N($X1307)))</f>
        <v>0</v>
      </c>
      <c r="Z1308" t="str">
        <f t="shared" si="209"/>
        <v/>
      </c>
      <c r="AA1308">
        <f>IF($V1308="",N($AA1307),IF(MATCH($V1308,$V$6:$V$10005,0)=ROW()-5,N($AA1307)+1,N($AA1307)))</f>
        <v>0</v>
      </c>
    </row>
    <row r="1309" spans="1:27" ht="21" customHeight="1" x14ac:dyDescent="0.95">
      <c r="A1309" s="56"/>
      <c r="B1309" s="57"/>
      <c r="C1309" s="57"/>
      <c r="D1309" s="57"/>
      <c r="E1309" s="56"/>
      <c r="F1309" s="57"/>
      <c r="G1309" s="57"/>
      <c r="H1309" s="56"/>
      <c r="I1309" s="56"/>
      <c r="J1309" s="58"/>
      <c r="K1309" s="58"/>
      <c r="L1309" s="13" t="str">
        <f t="shared" si="200"/>
        <v/>
      </c>
      <c r="M1309" s="13" t="str">
        <f t="shared" si="201"/>
        <v/>
      </c>
      <c r="Q1309" t="str">
        <f t="shared" si="202"/>
        <v/>
      </c>
      <c r="R1309" t="str">
        <f t="shared" si="203"/>
        <v/>
      </c>
      <c r="S1309" t="str">
        <f t="shared" si="204"/>
        <v/>
      </c>
      <c r="T1309" t="str">
        <f t="shared" si="205"/>
        <v/>
      </c>
      <c r="U1309" t="str">
        <f t="shared" si="206"/>
        <v/>
      </c>
      <c r="V1309" t="str">
        <f t="shared" si="207"/>
        <v/>
      </c>
      <c r="W1309" t="str">
        <f t="shared" si="208"/>
        <v/>
      </c>
      <c r="X1309">
        <f>IF($T1309="",N($X1308),IF(MATCH($T1309,$T$6:$T$10005,0)=ROW()-5,N($X1308)+1,N($X1308)))</f>
        <v>0</v>
      </c>
      <c r="Z1309" t="str">
        <f t="shared" si="209"/>
        <v/>
      </c>
      <c r="AA1309">
        <f>IF($V1309="",N($AA1308),IF(MATCH($V1309,$V$6:$V$10005,0)=ROW()-5,N($AA1308)+1,N($AA1308)))</f>
        <v>0</v>
      </c>
    </row>
    <row r="1310" spans="1:27" ht="21" customHeight="1" x14ac:dyDescent="0.95">
      <c r="A1310" s="56"/>
      <c r="B1310" s="57"/>
      <c r="C1310" s="57"/>
      <c r="D1310" s="57"/>
      <c r="E1310" s="56"/>
      <c r="F1310" s="57"/>
      <c r="G1310" s="57"/>
      <c r="H1310" s="56"/>
      <c r="I1310" s="56"/>
      <c r="J1310" s="58"/>
      <c r="K1310" s="58"/>
      <c r="L1310" s="13" t="str">
        <f t="shared" si="200"/>
        <v/>
      </c>
      <c r="M1310" s="13" t="str">
        <f t="shared" si="201"/>
        <v/>
      </c>
      <c r="Q1310" t="str">
        <f t="shared" si="202"/>
        <v/>
      </c>
      <c r="R1310" t="str">
        <f t="shared" si="203"/>
        <v/>
      </c>
      <c r="S1310" t="str">
        <f t="shared" si="204"/>
        <v/>
      </c>
      <c r="T1310" t="str">
        <f t="shared" si="205"/>
        <v/>
      </c>
      <c r="U1310" t="str">
        <f t="shared" si="206"/>
        <v/>
      </c>
      <c r="V1310" t="str">
        <f t="shared" si="207"/>
        <v/>
      </c>
      <c r="W1310" t="str">
        <f t="shared" si="208"/>
        <v/>
      </c>
      <c r="X1310">
        <f>IF($T1310="",N($X1309),IF(MATCH($T1310,$T$6:$T$10005,0)=ROW()-5,N($X1309)+1,N($X1309)))</f>
        <v>0</v>
      </c>
      <c r="Z1310" t="str">
        <f t="shared" si="209"/>
        <v/>
      </c>
      <c r="AA1310">
        <f>IF($V1310="",N($AA1309),IF(MATCH($V1310,$V$6:$V$10005,0)=ROW()-5,N($AA1309)+1,N($AA1309)))</f>
        <v>0</v>
      </c>
    </row>
    <row r="1311" spans="1:27" ht="21" customHeight="1" x14ac:dyDescent="0.95">
      <c r="A1311" s="56"/>
      <c r="B1311" s="57"/>
      <c r="C1311" s="57"/>
      <c r="D1311" s="57"/>
      <c r="E1311" s="56"/>
      <c r="F1311" s="57"/>
      <c r="G1311" s="57"/>
      <c r="H1311" s="56"/>
      <c r="I1311" s="56"/>
      <c r="J1311" s="58"/>
      <c r="K1311" s="58"/>
      <c r="L1311" s="13" t="str">
        <f t="shared" si="200"/>
        <v/>
      </c>
      <c r="M1311" s="13" t="str">
        <f t="shared" si="201"/>
        <v/>
      </c>
      <c r="Q1311" t="str">
        <f t="shared" si="202"/>
        <v/>
      </c>
      <c r="R1311" t="str">
        <f t="shared" si="203"/>
        <v/>
      </c>
      <c r="S1311" t="str">
        <f t="shared" si="204"/>
        <v/>
      </c>
      <c r="T1311" t="str">
        <f t="shared" si="205"/>
        <v/>
      </c>
      <c r="U1311" t="str">
        <f t="shared" si="206"/>
        <v/>
      </c>
      <c r="V1311" t="str">
        <f t="shared" si="207"/>
        <v/>
      </c>
      <c r="W1311" t="str">
        <f t="shared" si="208"/>
        <v/>
      </c>
      <c r="X1311">
        <f>IF($T1311="",N($X1310),IF(MATCH($T1311,$T$6:$T$10005,0)=ROW()-5,N($X1310)+1,N($X1310)))</f>
        <v>0</v>
      </c>
      <c r="Z1311" t="str">
        <f t="shared" si="209"/>
        <v/>
      </c>
      <c r="AA1311">
        <f>IF($V1311="",N($AA1310),IF(MATCH($V1311,$V$6:$V$10005,0)=ROW()-5,N($AA1310)+1,N($AA1310)))</f>
        <v>0</v>
      </c>
    </row>
    <row r="1312" spans="1:27" ht="21" customHeight="1" x14ac:dyDescent="0.95">
      <c r="A1312" s="56"/>
      <c r="B1312" s="57"/>
      <c r="C1312" s="57"/>
      <c r="D1312" s="57"/>
      <c r="E1312" s="56"/>
      <c r="F1312" s="57"/>
      <c r="G1312" s="57"/>
      <c r="H1312" s="56"/>
      <c r="I1312" s="56"/>
      <c r="J1312" s="58"/>
      <c r="K1312" s="58"/>
      <c r="L1312" s="13" t="str">
        <f t="shared" si="200"/>
        <v/>
      </c>
      <c r="M1312" s="13" t="str">
        <f t="shared" si="201"/>
        <v/>
      </c>
      <c r="Q1312" t="str">
        <f t="shared" si="202"/>
        <v/>
      </c>
      <c r="R1312" t="str">
        <f t="shared" si="203"/>
        <v/>
      </c>
      <c r="S1312" t="str">
        <f t="shared" si="204"/>
        <v/>
      </c>
      <c r="T1312" t="str">
        <f t="shared" si="205"/>
        <v/>
      </c>
      <c r="U1312" t="str">
        <f t="shared" si="206"/>
        <v/>
      </c>
      <c r="V1312" t="str">
        <f t="shared" si="207"/>
        <v/>
      </c>
      <c r="W1312" t="str">
        <f t="shared" si="208"/>
        <v/>
      </c>
      <c r="X1312">
        <f>IF($T1312="",N($X1311),IF(MATCH($T1312,$T$6:$T$10005,0)=ROW()-5,N($X1311)+1,N($X1311)))</f>
        <v>0</v>
      </c>
      <c r="Z1312" t="str">
        <f t="shared" si="209"/>
        <v/>
      </c>
      <c r="AA1312">
        <f>IF($V1312="",N($AA1311),IF(MATCH($V1312,$V$6:$V$10005,0)=ROW()-5,N($AA1311)+1,N($AA1311)))</f>
        <v>0</v>
      </c>
    </row>
    <row r="1313" spans="1:27" ht="21" customHeight="1" x14ac:dyDescent="0.95">
      <c r="A1313" s="56"/>
      <c r="B1313" s="57"/>
      <c r="C1313" s="57"/>
      <c r="D1313" s="57"/>
      <c r="E1313" s="56"/>
      <c r="F1313" s="57"/>
      <c r="G1313" s="57"/>
      <c r="H1313" s="56"/>
      <c r="I1313" s="56"/>
      <c r="J1313" s="58"/>
      <c r="K1313" s="58"/>
      <c r="L1313" s="13" t="str">
        <f t="shared" si="200"/>
        <v/>
      </c>
      <c r="M1313" s="13" t="str">
        <f t="shared" si="201"/>
        <v/>
      </c>
      <c r="Q1313" t="str">
        <f t="shared" si="202"/>
        <v/>
      </c>
      <c r="R1313" t="str">
        <f t="shared" si="203"/>
        <v/>
      </c>
      <c r="S1313" t="str">
        <f t="shared" si="204"/>
        <v/>
      </c>
      <c r="T1313" t="str">
        <f t="shared" si="205"/>
        <v/>
      </c>
      <c r="U1313" t="str">
        <f t="shared" si="206"/>
        <v/>
      </c>
      <c r="V1313" t="str">
        <f t="shared" si="207"/>
        <v/>
      </c>
      <c r="W1313" t="str">
        <f t="shared" si="208"/>
        <v/>
      </c>
      <c r="X1313">
        <f>IF($T1313="",N($X1312),IF(MATCH($T1313,$T$6:$T$10005,0)=ROW()-5,N($X1312)+1,N($X1312)))</f>
        <v>0</v>
      </c>
      <c r="Z1313" t="str">
        <f t="shared" si="209"/>
        <v/>
      </c>
      <c r="AA1313">
        <f>IF($V1313="",N($AA1312),IF(MATCH($V1313,$V$6:$V$10005,0)=ROW()-5,N($AA1312)+1,N($AA1312)))</f>
        <v>0</v>
      </c>
    </row>
    <row r="1314" spans="1:27" ht="21" customHeight="1" x14ac:dyDescent="0.95">
      <c r="A1314" s="56"/>
      <c r="B1314" s="57"/>
      <c r="C1314" s="57"/>
      <c r="D1314" s="57"/>
      <c r="E1314" s="56"/>
      <c r="F1314" s="57"/>
      <c r="G1314" s="57"/>
      <c r="H1314" s="56"/>
      <c r="I1314" s="56"/>
      <c r="J1314" s="58"/>
      <c r="K1314" s="58"/>
      <c r="L1314" s="13" t="str">
        <f t="shared" si="200"/>
        <v/>
      </c>
      <c r="M1314" s="13" t="str">
        <f t="shared" si="201"/>
        <v/>
      </c>
      <c r="Q1314" t="str">
        <f t="shared" si="202"/>
        <v/>
      </c>
      <c r="R1314" t="str">
        <f t="shared" si="203"/>
        <v/>
      </c>
      <c r="S1314" t="str">
        <f t="shared" si="204"/>
        <v/>
      </c>
      <c r="T1314" t="str">
        <f t="shared" si="205"/>
        <v/>
      </c>
      <c r="U1314" t="str">
        <f t="shared" si="206"/>
        <v/>
      </c>
      <c r="V1314" t="str">
        <f t="shared" si="207"/>
        <v/>
      </c>
      <c r="W1314" t="str">
        <f t="shared" si="208"/>
        <v/>
      </c>
      <c r="X1314">
        <f>IF($T1314="",N($X1313),IF(MATCH($T1314,$T$6:$T$10005,0)=ROW()-5,N($X1313)+1,N($X1313)))</f>
        <v>0</v>
      </c>
      <c r="Z1314" t="str">
        <f t="shared" si="209"/>
        <v/>
      </c>
      <c r="AA1314">
        <f>IF($V1314="",N($AA1313),IF(MATCH($V1314,$V$6:$V$10005,0)=ROW()-5,N($AA1313)+1,N($AA1313)))</f>
        <v>0</v>
      </c>
    </row>
    <row r="1315" spans="1:27" ht="21" customHeight="1" x14ac:dyDescent="0.95">
      <c r="A1315" s="56"/>
      <c r="B1315" s="57"/>
      <c r="C1315" s="57"/>
      <c r="D1315" s="57"/>
      <c r="E1315" s="56"/>
      <c r="F1315" s="57"/>
      <c r="G1315" s="57"/>
      <c r="H1315" s="56"/>
      <c r="I1315" s="56"/>
      <c r="J1315" s="58"/>
      <c r="K1315" s="58"/>
      <c r="L1315" s="13" t="str">
        <f t="shared" si="200"/>
        <v/>
      </c>
      <c r="M1315" s="13" t="str">
        <f t="shared" si="201"/>
        <v/>
      </c>
      <c r="Q1315" t="str">
        <f t="shared" si="202"/>
        <v/>
      </c>
      <c r="R1315" t="str">
        <f t="shared" si="203"/>
        <v/>
      </c>
      <c r="S1315" t="str">
        <f t="shared" si="204"/>
        <v/>
      </c>
      <c r="T1315" t="str">
        <f t="shared" si="205"/>
        <v/>
      </c>
      <c r="U1315" t="str">
        <f t="shared" si="206"/>
        <v/>
      </c>
      <c r="V1315" t="str">
        <f t="shared" si="207"/>
        <v/>
      </c>
      <c r="W1315" t="str">
        <f t="shared" si="208"/>
        <v/>
      </c>
      <c r="X1315">
        <f>IF($T1315="",N($X1314),IF(MATCH($T1315,$T$6:$T$10005,0)=ROW()-5,N($X1314)+1,N($X1314)))</f>
        <v>0</v>
      </c>
      <c r="Z1315" t="str">
        <f t="shared" si="209"/>
        <v/>
      </c>
      <c r="AA1315">
        <f>IF($V1315="",N($AA1314),IF(MATCH($V1315,$V$6:$V$10005,0)=ROW()-5,N($AA1314)+1,N($AA1314)))</f>
        <v>0</v>
      </c>
    </row>
    <row r="1316" spans="1:27" ht="21" customHeight="1" x14ac:dyDescent="0.95">
      <c r="A1316" s="56"/>
      <c r="B1316" s="57"/>
      <c r="C1316" s="57"/>
      <c r="D1316" s="57"/>
      <c r="E1316" s="56"/>
      <c r="F1316" s="57"/>
      <c r="G1316" s="57"/>
      <c r="H1316" s="56"/>
      <c r="I1316" s="56"/>
      <c r="J1316" s="58"/>
      <c r="K1316" s="58"/>
      <c r="L1316" s="13" t="str">
        <f t="shared" si="200"/>
        <v/>
      </c>
      <c r="M1316" s="13" t="str">
        <f t="shared" si="201"/>
        <v/>
      </c>
      <c r="Q1316" t="str">
        <f t="shared" si="202"/>
        <v/>
      </c>
      <c r="R1316" t="str">
        <f t="shared" si="203"/>
        <v/>
      </c>
      <c r="S1316" t="str">
        <f t="shared" si="204"/>
        <v/>
      </c>
      <c r="T1316" t="str">
        <f t="shared" si="205"/>
        <v/>
      </c>
      <c r="U1316" t="str">
        <f t="shared" si="206"/>
        <v/>
      </c>
      <c r="V1316" t="str">
        <f t="shared" si="207"/>
        <v/>
      </c>
      <c r="W1316" t="str">
        <f t="shared" si="208"/>
        <v/>
      </c>
      <c r="X1316">
        <f>IF($T1316="",N($X1315),IF(MATCH($T1316,$T$6:$T$10005,0)=ROW()-5,N($X1315)+1,N($X1315)))</f>
        <v>0</v>
      </c>
      <c r="Z1316" t="str">
        <f t="shared" si="209"/>
        <v/>
      </c>
      <c r="AA1316">
        <f>IF($V1316="",N($AA1315),IF(MATCH($V1316,$V$6:$V$10005,0)=ROW()-5,N($AA1315)+1,N($AA1315)))</f>
        <v>0</v>
      </c>
    </row>
    <row r="1317" spans="1:27" ht="21" customHeight="1" x14ac:dyDescent="0.95">
      <c r="A1317" s="56"/>
      <c r="B1317" s="57"/>
      <c r="C1317" s="57"/>
      <c r="D1317" s="57"/>
      <c r="E1317" s="56"/>
      <c r="F1317" s="57"/>
      <c r="G1317" s="57"/>
      <c r="H1317" s="56"/>
      <c r="I1317" s="56"/>
      <c r="J1317" s="58"/>
      <c r="K1317" s="58"/>
      <c r="L1317" s="13" t="str">
        <f t="shared" si="200"/>
        <v/>
      </c>
      <c r="M1317" s="13" t="str">
        <f t="shared" si="201"/>
        <v/>
      </c>
      <c r="Q1317" t="str">
        <f t="shared" si="202"/>
        <v/>
      </c>
      <c r="R1317" t="str">
        <f t="shared" si="203"/>
        <v/>
      </c>
      <c r="S1317" t="str">
        <f t="shared" si="204"/>
        <v/>
      </c>
      <c r="T1317" t="str">
        <f t="shared" si="205"/>
        <v/>
      </c>
      <c r="U1317" t="str">
        <f t="shared" si="206"/>
        <v/>
      </c>
      <c r="V1317" t="str">
        <f t="shared" si="207"/>
        <v/>
      </c>
      <c r="W1317" t="str">
        <f t="shared" si="208"/>
        <v/>
      </c>
      <c r="X1317">
        <f>IF($T1317="",N($X1316),IF(MATCH($T1317,$T$6:$T$10005,0)=ROW()-5,N($X1316)+1,N($X1316)))</f>
        <v>0</v>
      </c>
      <c r="Z1317" t="str">
        <f t="shared" si="209"/>
        <v/>
      </c>
      <c r="AA1317">
        <f>IF($V1317="",N($AA1316),IF(MATCH($V1317,$V$6:$V$10005,0)=ROW()-5,N($AA1316)+1,N($AA1316)))</f>
        <v>0</v>
      </c>
    </row>
    <row r="1318" spans="1:27" ht="21" customHeight="1" x14ac:dyDescent="0.95">
      <c r="A1318" s="56"/>
      <c r="B1318" s="57"/>
      <c r="C1318" s="57"/>
      <c r="D1318" s="57"/>
      <c r="E1318" s="56"/>
      <c r="F1318" s="57"/>
      <c r="G1318" s="57"/>
      <c r="H1318" s="56"/>
      <c r="I1318" s="56"/>
      <c r="J1318" s="58"/>
      <c r="K1318" s="58"/>
      <c r="L1318" s="13" t="str">
        <f t="shared" si="200"/>
        <v/>
      </c>
      <c r="M1318" s="13" t="str">
        <f t="shared" si="201"/>
        <v/>
      </c>
      <c r="Q1318" t="str">
        <f t="shared" si="202"/>
        <v/>
      </c>
      <c r="R1318" t="str">
        <f t="shared" si="203"/>
        <v/>
      </c>
      <c r="S1318" t="str">
        <f t="shared" si="204"/>
        <v/>
      </c>
      <c r="T1318" t="str">
        <f t="shared" si="205"/>
        <v/>
      </c>
      <c r="U1318" t="str">
        <f t="shared" si="206"/>
        <v/>
      </c>
      <c r="V1318" t="str">
        <f t="shared" si="207"/>
        <v/>
      </c>
      <c r="W1318" t="str">
        <f t="shared" si="208"/>
        <v/>
      </c>
      <c r="X1318">
        <f>IF($T1318="",N($X1317),IF(MATCH($T1318,$T$6:$T$10005,0)=ROW()-5,N($X1317)+1,N($X1317)))</f>
        <v>0</v>
      </c>
      <c r="Z1318" t="str">
        <f t="shared" si="209"/>
        <v/>
      </c>
      <c r="AA1318">
        <f>IF($V1318="",N($AA1317),IF(MATCH($V1318,$V$6:$V$10005,0)=ROW()-5,N($AA1317)+1,N($AA1317)))</f>
        <v>0</v>
      </c>
    </row>
    <row r="1319" spans="1:27" ht="21" customHeight="1" x14ac:dyDescent="0.95">
      <c r="A1319" s="56"/>
      <c r="B1319" s="57"/>
      <c r="C1319" s="57"/>
      <c r="D1319" s="57"/>
      <c r="E1319" s="56"/>
      <c r="F1319" s="57"/>
      <c r="G1319" s="57"/>
      <c r="H1319" s="56"/>
      <c r="I1319" s="56"/>
      <c r="J1319" s="58"/>
      <c r="K1319" s="58"/>
      <c r="L1319" s="13" t="str">
        <f t="shared" si="200"/>
        <v/>
      </c>
      <c r="M1319" s="13" t="str">
        <f t="shared" si="201"/>
        <v/>
      </c>
      <c r="Q1319" t="str">
        <f t="shared" si="202"/>
        <v/>
      </c>
      <c r="R1319" t="str">
        <f t="shared" si="203"/>
        <v/>
      </c>
      <c r="S1319" t="str">
        <f t="shared" si="204"/>
        <v/>
      </c>
      <c r="T1319" t="str">
        <f t="shared" si="205"/>
        <v/>
      </c>
      <c r="U1319" t="str">
        <f t="shared" si="206"/>
        <v/>
      </c>
      <c r="V1319" t="str">
        <f t="shared" si="207"/>
        <v/>
      </c>
      <c r="W1319" t="str">
        <f t="shared" si="208"/>
        <v/>
      </c>
      <c r="X1319">
        <f>IF($T1319="",N($X1318),IF(MATCH($T1319,$T$6:$T$10005,0)=ROW()-5,N($X1318)+1,N($X1318)))</f>
        <v>0</v>
      </c>
      <c r="Z1319" t="str">
        <f t="shared" si="209"/>
        <v/>
      </c>
      <c r="AA1319">
        <f>IF($V1319="",N($AA1318),IF(MATCH($V1319,$V$6:$V$10005,0)=ROW()-5,N($AA1318)+1,N($AA1318)))</f>
        <v>0</v>
      </c>
    </row>
    <row r="1320" spans="1:27" ht="21" customHeight="1" x14ac:dyDescent="0.95">
      <c r="A1320" s="56"/>
      <c r="B1320" s="57"/>
      <c r="C1320" s="57"/>
      <c r="D1320" s="57"/>
      <c r="E1320" s="56"/>
      <c r="F1320" s="57"/>
      <c r="G1320" s="57"/>
      <c r="H1320" s="56"/>
      <c r="I1320" s="56"/>
      <c r="J1320" s="58"/>
      <c r="K1320" s="58"/>
      <c r="L1320" s="13" t="str">
        <f t="shared" si="200"/>
        <v/>
      </c>
      <c r="M1320" s="13" t="str">
        <f t="shared" si="201"/>
        <v/>
      </c>
      <c r="Q1320" t="str">
        <f t="shared" si="202"/>
        <v/>
      </c>
      <c r="R1320" t="str">
        <f t="shared" si="203"/>
        <v/>
      </c>
      <c r="S1320" t="str">
        <f t="shared" si="204"/>
        <v/>
      </c>
      <c r="T1320" t="str">
        <f t="shared" si="205"/>
        <v/>
      </c>
      <c r="U1320" t="str">
        <f t="shared" si="206"/>
        <v/>
      </c>
      <c r="V1320" t="str">
        <f t="shared" si="207"/>
        <v/>
      </c>
      <c r="W1320" t="str">
        <f t="shared" si="208"/>
        <v/>
      </c>
      <c r="X1320">
        <f>IF($T1320="",N($X1319),IF(MATCH($T1320,$T$6:$T$10005,0)=ROW()-5,N($X1319)+1,N($X1319)))</f>
        <v>0</v>
      </c>
      <c r="Z1320" t="str">
        <f t="shared" si="209"/>
        <v/>
      </c>
      <c r="AA1320">
        <f>IF($V1320="",N($AA1319),IF(MATCH($V1320,$V$6:$V$10005,0)=ROW()-5,N($AA1319)+1,N($AA1319)))</f>
        <v>0</v>
      </c>
    </row>
    <row r="1321" spans="1:27" ht="21" customHeight="1" x14ac:dyDescent="0.95">
      <c r="A1321" s="56"/>
      <c r="B1321" s="57"/>
      <c r="C1321" s="57"/>
      <c r="D1321" s="57"/>
      <c r="E1321" s="56"/>
      <c r="F1321" s="57"/>
      <c r="G1321" s="57"/>
      <c r="H1321" s="56"/>
      <c r="I1321" s="56"/>
      <c r="J1321" s="58"/>
      <c r="K1321" s="58"/>
      <c r="L1321" s="13" t="str">
        <f t="shared" si="200"/>
        <v/>
      </c>
      <c r="M1321" s="13" t="str">
        <f t="shared" si="201"/>
        <v/>
      </c>
      <c r="Q1321" t="str">
        <f t="shared" si="202"/>
        <v/>
      </c>
      <c r="R1321" t="str">
        <f t="shared" si="203"/>
        <v/>
      </c>
      <c r="S1321" t="str">
        <f t="shared" si="204"/>
        <v/>
      </c>
      <c r="T1321" t="str">
        <f t="shared" si="205"/>
        <v/>
      </c>
      <c r="U1321" t="str">
        <f t="shared" si="206"/>
        <v/>
      </c>
      <c r="V1321" t="str">
        <f t="shared" si="207"/>
        <v/>
      </c>
      <c r="W1321" t="str">
        <f t="shared" si="208"/>
        <v/>
      </c>
      <c r="X1321">
        <f>IF($T1321="",N($X1320),IF(MATCH($T1321,$T$6:$T$10005,0)=ROW()-5,N($X1320)+1,N($X1320)))</f>
        <v>0</v>
      </c>
      <c r="Z1321" t="str">
        <f t="shared" si="209"/>
        <v/>
      </c>
      <c r="AA1321">
        <f>IF($V1321="",N($AA1320),IF(MATCH($V1321,$V$6:$V$10005,0)=ROW()-5,N($AA1320)+1,N($AA1320)))</f>
        <v>0</v>
      </c>
    </row>
    <row r="1322" spans="1:27" ht="21" customHeight="1" x14ac:dyDescent="0.95">
      <c r="A1322" s="56"/>
      <c r="B1322" s="57"/>
      <c r="C1322" s="57"/>
      <c r="D1322" s="57"/>
      <c r="E1322" s="56"/>
      <c r="F1322" s="57"/>
      <c r="G1322" s="57"/>
      <c r="H1322" s="56"/>
      <c r="I1322" s="56"/>
      <c r="J1322" s="58"/>
      <c r="K1322" s="58"/>
      <c r="L1322" s="13" t="str">
        <f t="shared" si="200"/>
        <v/>
      </c>
      <c r="M1322" s="13" t="str">
        <f t="shared" si="201"/>
        <v/>
      </c>
      <c r="Q1322" t="str">
        <f t="shared" si="202"/>
        <v/>
      </c>
      <c r="R1322" t="str">
        <f t="shared" si="203"/>
        <v/>
      </c>
      <c r="S1322" t="str">
        <f t="shared" si="204"/>
        <v/>
      </c>
      <c r="T1322" t="str">
        <f t="shared" si="205"/>
        <v/>
      </c>
      <c r="U1322" t="str">
        <f t="shared" si="206"/>
        <v/>
      </c>
      <c r="V1322" t="str">
        <f t="shared" si="207"/>
        <v/>
      </c>
      <c r="W1322" t="str">
        <f t="shared" si="208"/>
        <v/>
      </c>
      <c r="X1322">
        <f>IF($T1322="",N($X1321),IF(MATCH($T1322,$T$6:$T$10005,0)=ROW()-5,N($X1321)+1,N($X1321)))</f>
        <v>0</v>
      </c>
      <c r="Z1322" t="str">
        <f t="shared" si="209"/>
        <v/>
      </c>
      <c r="AA1322">
        <f>IF($V1322="",N($AA1321),IF(MATCH($V1322,$V$6:$V$10005,0)=ROW()-5,N($AA1321)+1,N($AA1321)))</f>
        <v>0</v>
      </c>
    </row>
    <row r="1323" spans="1:27" ht="21" customHeight="1" x14ac:dyDescent="0.95">
      <c r="A1323" s="56"/>
      <c r="B1323" s="57"/>
      <c r="C1323" s="57"/>
      <c r="D1323" s="57"/>
      <c r="E1323" s="56"/>
      <c r="F1323" s="57"/>
      <c r="G1323" s="57"/>
      <c r="H1323" s="56"/>
      <c r="I1323" s="56"/>
      <c r="J1323" s="58"/>
      <c r="K1323" s="58"/>
      <c r="L1323" s="13" t="str">
        <f t="shared" si="200"/>
        <v/>
      </c>
      <c r="M1323" s="13" t="str">
        <f t="shared" si="201"/>
        <v/>
      </c>
      <c r="Q1323" t="str">
        <f t="shared" si="202"/>
        <v/>
      </c>
      <c r="R1323" t="str">
        <f t="shared" si="203"/>
        <v/>
      </c>
      <c r="S1323" t="str">
        <f t="shared" si="204"/>
        <v/>
      </c>
      <c r="T1323" t="str">
        <f t="shared" si="205"/>
        <v/>
      </c>
      <c r="U1323" t="str">
        <f t="shared" si="206"/>
        <v/>
      </c>
      <c r="V1323" t="str">
        <f t="shared" si="207"/>
        <v/>
      </c>
      <c r="W1323" t="str">
        <f t="shared" si="208"/>
        <v/>
      </c>
      <c r="X1323">
        <f>IF($T1323="",N($X1322),IF(MATCH($T1323,$T$6:$T$10005,0)=ROW()-5,N($X1322)+1,N($X1322)))</f>
        <v>0</v>
      </c>
      <c r="Z1323" t="str">
        <f t="shared" si="209"/>
        <v/>
      </c>
      <c r="AA1323">
        <f>IF($V1323="",N($AA1322),IF(MATCH($V1323,$V$6:$V$10005,0)=ROW()-5,N($AA1322)+1,N($AA1322)))</f>
        <v>0</v>
      </c>
    </row>
    <row r="1324" spans="1:27" ht="21" customHeight="1" x14ac:dyDescent="0.95">
      <c r="A1324" s="56"/>
      <c r="B1324" s="57"/>
      <c r="C1324" s="57"/>
      <c r="D1324" s="57"/>
      <c r="E1324" s="56"/>
      <c r="F1324" s="57"/>
      <c r="G1324" s="57"/>
      <c r="H1324" s="56"/>
      <c r="I1324" s="56"/>
      <c r="J1324" s="58"/>
      <c r="K1324" s="58"/>
      <c r="L1324" s="13" t="str">
        <f t="shared" si="200"/>
        <v/>
      </c>
      <c r="M1324" s="13" t="str">
        <f t="shared" si="201"/>
        <v/>
      </c>
      <c r="Q1324" t="str">
        <f t="shared" si="202"/>
        <v/>
      </c>
      <c r="R1324" t="str">
        <f t="shared" si="203"/>
        <v/>
      </c>
      <c r="S1324" t="str">
        <f t="shared" si="204"/>
        <v/>
      </c>
      <c r="T1324" t="str">
        <f t="shared" si="205"/>
        <v/>
      </c>
      <c r="U1324" t="str">
        <f t="shared" si="206"/>
        <v/>
      </c>
      <c r="V1324" t="str">
        <f t="shared" si="207"/>
        <v/>
      </c>
      <c r="W1324" t="str">
        <f t="shared" si="208"/>
        <v/>
      </c>
      <c r="X1324">
        <f>IF($T1324="",N($X1323),IF(MATCH($T1324,$T$6:$T$10005,0)=ROW()-5,N($X1323)+1,N($X1323)))</f>
        <v>0</v>
      </c>
      <c r="Z1324" t="str">
        <f t="shared" si="209"/>
        <v/>
      </c>
      <c r="AA1324">
        <f>IF($V1324="",N($AA1323),IF(MATCH($V1324,$V$6:$V$10005,0)=ROW()-5,N($AA1323)+1,N($AA1323)))</f>
        <v>0</v>
      </c>
    </row>
    <row r="1325" spans="1:27" ht="21" customHeight="1" x14ac:dyDescent="0.95">
      <c r="A1325" s="56"/>
      <c r="B1325" s="57"/>
      <c r="C1325" s="57"/>
      <c r="D1325" s="57"/>
      <c r="E1325" s="56"/>
      <c r="F1325" s="57"/>
      <c r="G1325" s="57"/>
      <c r="H1325" s="56"/>
      <c r="I1325" s="56"/>
      <c r="J1325" s="58"/>
      <c r="K1325" s="58"/>
      <c r="L1325" s="13" t="str">
        <f t="shared" si="200"/>
        <v/>
      </c>
      <c r="M1325" s="13" t="str">
        <f t="shared" si="201"/>
        <v/>
      </c>
      <c r="Q1325" t="str">
        <f t="shared" si="202"/>
        <v/>
      </c>
      <c r="R1325" t="str">
        <f t="shared" si="203"/>
        <v/>
      </c>
      <c r="S1325" t="str">
        <f t="shared" si="204"/>
        <v/>
      </c>
      <c r="T1325" t="str">
        <f t="shared" si="205"/>
        <v/>
      </c>
      <c r="U1325" t="str">
        <f t="shared" si="206"/>
        <v/>
      </c>
      <c r="V1325" t="str">
        <f t="shared" si="207"/>
        <v/>
      </c>
      <c r="W1325" t="str">
        <f t="shared" si="208"/>
        <v/>
      </c>
      <c r="X1325">
        <f>IF($T1325="",N($X1324),IF(MATCH($T1325,$T$6:$T$10005,0)=ROW()-5,N($X1324)+1,N($X1324)))</f>
        <v>0</v>
      </c>
      <c r="Z1325" t="str">
        <f t="shared" si="209"/>
        <v/>
      </c>
      <c r="AA1325">
        <f>IF($V1325="",N($AA1324),IF(MATCH($V1325,$V$6:$V$10005,0)=ROW()-5,N($AA1324)+1,N($AA1324)))</f>
        <v>0</v>
      </c>
    </row>
    <row r="1326" spans="1:27" ht="21" customHeight="1" x14ac:dyDescent="0.95">
      <c r="A1326" s="56"/>
      <c r="B1326" s="57"/>
      <c r="C1326" s="57"/>
      <c r="D1326" s="57"/>
      <c r="E1326" s="56"/>
      <c r="F1326" s="57"/>
      <c r="G1326" s="57"/>
      <c r="H1326" s="56"/>
      <c r="I1326" s="56"/>
      <c r="J1326" s="58"/>
      <c r="K1326" s="58"/>
      <c r="L1326" s="13" t="str">
        <f t="shared" si="200"/>
        <v/>
      </c>
      <c r="M1326" s="13" t="str">
        <f t="shared" si="201"/>
        <v/>
      </c>
      <c r="Q1326" t="str">
        <f t="shared" si="202"/>
        <v/>
      </c>
      <c r="R1326" t="str">
        <f t="shared" si="203"/>
        <v/>
      </c>
      <c r="S1326" t="str">
        <f t="shared" si="204"/>
        <v/>
      </c>
      <c r="T1326" t="str">
        <f t="shared" si="205"/>
        <v/>
      </c>
      <c r="U1326" t="str">
        <f t="shared" si="206"/>
        <v/>
      </c>
      <c r="V1326" t="str">
        <f t="shared" si="207"/>
        <v/>
      </c>
      <c r="W1326" t="str">
        <f t="shared" si="208"/>
        <v/>
      </c>
      <c r="X1326">
        <f>IF($T1326="",N($X1325),IF(MATCH($T1326,$T$6:$T$10005,0)=ROW()-5,N($X1325)+1,N($X1325)))</f>
        <v>0</v>
      </c>
      <c r="Z1326" t="str">
        <f t="shared" si="209"/>
        <v/>
      </c>
      <c r="AA1326">
        <f>IF($V1326="",N($AA1325),IF(MATCH($V1326,$V$6:$V$10005,0)=ROW()-5,N($AA1325)+1,N($AA1325)))</f>
        <v>0</v>
      </c>
    </row>
    <row r="1327" spans="1:27" ht="21" customHeight="1" x14ac:dyDescent="0.95">
      <c r="A1327" s="56"/>
      <c r="B1327" s="57"/>
      <c r="C1327" s="57"/>
      <c r="D1327" s="57"/>
      <c r="E1327" s="56"/>
      <c r="F1327" s="57"/>
      <c r="G1327" s="57"/>
      <c r="H1327" s="56"/>
      <c r="I1327" s="56"/>
      <c r="J1327" s="58"/>
      <c r="K1327" s="58"/>
      <c r="L1327" s="13" t="str">
        <f t="shared" si="200"/>
        <v/>
      </c>
      <c r="M1327" s="13" t="str">
        <f t="shared" si="201"/>
        <v/>
      </c>
      <c r="Q1327" t="str">
        <f t="shared" si="202"/>
        <v/>
      </c>
      <c r="R1327" t="str">
        <f t="shared" si="203"/>
        <v/>
      </c>
      <c r="S1327" t="str">
        <f t="shared" si="204"/>
        <v/>
      </c>
      <c r="T1327" t="str">
        <f t="shared" si="205"/>
        <v/>
      </c>
      <c r="U1327" t="str">
        <f t="shared" si="206"/>
        <v/>
      </c>
      <c r="V1327" t="str">
        <f t="shared" si="207"/>
        <v/>
      </c>
      <c r="W1327" t="str">
        <f t="shared" si="208"/>
        <v/>
      </c>
      <c r="X1327">
        <f>IF($T1327="",N($X1326),IF(MATCH($T1327,$T$6:$T$10005,0)=ROW()-5,N($X1326)+1,N($X1326)))</f>
        <v>0</v>
      </c>
      <c r="Z1327" t="str">
        <f t="shared" si="209"/>
        <v/>
      </c>
      <c r="AA1327">
        <f>IF($V1327="",N($AA1326),IF(MATCH($V1327,$V$6:$V$10005,0)=ROW()-5,N($AA1326)+1,N($AA1326)))</f>
        <v>0</v>
      </c>
    </row>
    <row r="1328" spans="1:27" ht="21" customHeight="1" x14ac:dyDescent="0.95">
      <c r="A1328" s="56"/>
      <c r="B1328" s="57"/>
      <c r="C1328" s="57"/>
      <c r="D1328" s="57"/>
      <c r="E1328" s="56"/>
      <c r="F1328" s="57"/>
      <c r="G1328" s="57"/>
      <c r="H1328" s="56"/>
      <c r="I1328" s="56"/>
      <c r="J1328" s="58"/>
      <c r="K1328" s="58"/>
      <c r="L1328" s="13" t="str">
        <f t="shared" si="200"/>
        <v/>
      </c>
      <c r="M1328" s="13" t="str">
        <f t="shared" si="201"/>
        <v/>
      </c>
      <c r="Q1328" t="str">
        <f t="shared" si="202"/>
        <v/>
      </c>
      <c r="R1328" t="str">
        <f t="shared" si="203"/>
        <v/>
      </c>
      <c r="S1328" t="str">
        <f t="shared" si="204"/>
        <v/>
      </c>
      <c r="T1328" t="str">
        <f t="shared" si="205"/>
        <v/>
      </c>
      <c r="U1328" t="str">
        <f t="shared" si="206"/>
        <v/>
      </c>
      <c r="V1328" t="str">
        <f t="shared" si="207"/>
        <v/>
      </c>
      <c r="W1328" t="str">
        <f t="shared" si="208"/>
        <v/>
      </c>
      <c r="X1328">
        <f>IF($T1328="",N($X1327),IF(MATCH($T1328,$T$6:$T$10005,0)=ROW()-5,N($X1327)+1,N($X1327)))</f>
        <v>0</v>
      </c>
      <c r="Z1328" t="str">
        <f t="shared" si="209"/>
        <v/>
      </c>
      <c r="AA1328">
        <f>IF($V1328="",N($AA1327),IF(MATCH($V1328,$V$6:$V$10005,0)=ROW()-5,N($AA1327)+1,N($AA1327)))</f>
        <v>0</v>
      </c>
    </row>
    <row r="1329" spans="1:27" ht="21" customHeight="1" x14ac:dyDescent="0.95">
      <c r="A1329" s="56"/>
      <c r="B1329" s="57"/>
      <c r="C1329" s="57"/>
      <c r="D1329" s="57"/>
      <c r="E1329" s="56"/>
      <c r="F1329" s="57"/>
      <c r="G1329" s="57"/>
      <c r="H1329" s="56"/>
      <c r="I1329" s="56"/>
      <c r="J1329" s="58"/>
      <c r="K1329" s="58"/>
      <c r="L1329" s="13" t="str">
        <f t="shared" si="200"/>
        <v/>
      </c>
      <c r="M1329" s="13" t="str">
        <f t="shared" si="201"/>
        <v/>
      </c>
      <c r="Q1329" t="str">
        <f t="shared" si="202"/>
        <v/>
      </c>
      <c r="R1329" t="str">
        <f t="shared" si="203"/>
        <v/>
      </c>
      <c r="S1329" t="str">
        <f t="shared" si="204"/>
        <v/>
      </c>
      <c r="T1329" t="str">
        <f t="shared" si="205"/>
        <v/>
      </c>
      <c r="U1329" t="str">
        <f t="shared" si="206"/>
        <v/>
      </c>
      <c r="V1329" t="str">
        <f t="shared" si="207"/>
        <v/>
      </c>
      <c r="W1329" t="str">
        <f t="shared" si="208"/>
        <v/>
      </c>
      <c r="X1329">
        <f>IF($T1329="",N($X1328),IF(MATCH($T1329,$T$6:$T$10005,0)=ROW()-5,N($X1328)+1,N($X1328)))</f>
        <v>0</v>
      </c>
      <c r="Z1329" t="str">
        <f t="shared" si="209"/>
        <v/>
      </c>
      <c r="AA1329">
        <f>IF($V1329="",N($AA1328),IF(MATCH($V1329,$V$6:$V$10005,0)=ROW()-5,N($AA1328)+1,N($AA1328)))</f>
        <v>0</v>
      </c>
    </row>
    <row r="1330" spans="1:27" ht="21" customHeight="1" x14ac:dyDescent="0.95">
      <c r="A1330" s="56"/>
      <c r="B1330" s="57"/>
      <c r="C1330" s="57"/>
      <c r="D1330" s="57"/>
      <c r="E1330" s="56"/>
      <c r="F1330" s="57"/>
      <c r="G1330" s="57"/>
      <c r="H1330" s="56"/>
      <c r="I1330" s="56"/>
      <c r="J1330" s="58"/>
      <c r="K1330" s="58"/>
      <c r="L1330" s="13" t="str">
        <f t="shared" si="200"/>
        <v/>
      </c>
      <c r="M1330" s="13" t="str">
        <f t="shared" si="201"/>
        <v/>
      </c>
      <c r="Q1330" t="str">
        <f t="shared" si="202"/>
        <v/>
      </c>
      <c r="R1330" t="str">
        <f t="shared" si="203"/>
        <v/>
      </c>
      <c r="S1330" t="str">
        <f t="shared" si="204"/>
        <v/>
      </c>
      <c r="T1330" t="str">
        <f t="shared" si="205"/>
        <v/>
      </c>
      <c r="U1330" t="str">
        <f t="shared" si="206"/>
        <v/>
      </c>
      <c r="V1330" t="str">
        <f t="shared" si="207"/>
        <v/>
      </c>
      <c r="W1330" t="str">
        <f t="shared" si="208"/>
        <v/>
      </c>
      <c r="X1330">
        <f>IF($T1330="",N($X1329),IF(MATCH($T1330,$T$6:$T$10005,0)=ROW()-5,N($X1329)+1,N($X1329)))</f>
        <v>0</v>
      </c>
      <c r="Z1330" t="str">
        <f t="shared" si="209"/>
        <v/>
      </c>
      <c r="AA1330">
        <f>IF($V1330="",N($AA1329),IF(MATCH($V1330,$V$6:$V$10005,0)=ROW()-5,N($AA1329)+1,N($AA1329)))</f>
        <v>0</v>
      </c>
    </row>
    <row r="1331" spans="1:27" ht="21" customHeight="1" x14ac:dyDescent="0.95">
      <c r="A1331" s="56"/>
      <c r="B1331" s="57"/>
      <c r="C1331" s="57"/>
      <c r="D1331" s="57"/>
      <c r="E1331" s="56"/>
      <c r="F1331" s="57"/>
      <c r="G1331" s="57"/>
      <c r="H1331" s="56"/>
      <c r="I1331" s="56"/>
      <c r="J1331" s="58"/>
      <c r="K1331" s="58"/>
      <c r="L1331" s="13" t="str">
        <f t="shared" si="200"/>
        <v/>
      </c>
      <c r="M1331" s="13" t="str">
        <f t="shared" si="201"/>
        <v/>
      </c>
      <c r="Q1331" t="str">
        <f t="shared" si="202"/>
        <v/>
      </c>
      <c r="R1331" t="str">
        <f t="shared" si="203"/>
        <v/>
      </c>
      <c r="S1331" t="str">
        <f t="shared" si="204"/>
        <v/>
      </c>
      <c r="T1331" t="str">
        <f t="shared" si="205"/>
        <v/>
      </c>
      <c r="U1331" t="str">
        <f t="shared" si="206"/>
        <v/>
      </c>
      <c r="V1331" t="str">
        <f t="shared" si="207"/>
        <v/>
      </c>
      <c r="W1331" t="str">
        <f t="shared" si="208"/>
        <v/>
      </c>
      <c r="X1331">
        <f>IF($T1331="",N($X1330),IF(MATCH($T1331,$T$6:$T$10005,0)=ROW()-5,N($X1330)+1,N($X1330)))</f>
        <v>0</v>
      </c>
      <c r="Z1331" t="str">
        <f t="shared" si="209"/>
        <v/>
      </c>
      <c r="AA1331">
        <f>IF($V1331="",N($AA1330),IF(MATCH($V1331,$V$6:$V$10005,0)=ROW()-5,N($AA1330)+1,N($AA1330)))</f>
        <v>0</v>
      </c>
    </row>
    <row r="1332" spans="1:27" ht="21" customHeight="1" x14ac:dyDescent="0.95">
      <c r="A1332" s="56"/>
      <c r="B1332" s="57"/>
      <c r="C1332" s="57"/>
      <c r="D1332" s="57"/>
      <c r="E1332" s="56"/>
      <c r="F1332" s="57"/>
      <c r="G1332" s="57"/>
      <c r="H1332" s="56"/>
      <c r="I1332" s="56"/>
      <c r="J1332" s="58"/>
      <c r="K1332" s="58"/>
      <c r="L1332" s="13" t="str">
        <f t="shared" si="200"/>
        <v/>
      </c>
      <c r="M1332" s="13" t="str">
        <f t="shared" si="201"/>
        <v/>
      </c>
      <c r="Q1332" t="str">
        <f t="shared" si="202"/>
        <v/>
      </c>
      <c r="R1332" t="str">
        <f t="shared" si="203"/>
        <v/>
      </c>
      <c r="S1332" t="str">
        <f t="shared" si="204"/>
        <v/>
      </c>
      <c r="T1332" t="str">
        <f t="shared" si="205"/>
        <v/>
      </c>
      <c r="U1332" t="str">
        <f t="shared" si="206"/>
        <v/>
      </c>
      <c r="V1332" t="str">
        <f t="shared" si="207"/>
        <v/>
      </c>
      <c r="W1332" t="str">
        <f t="shared" si="208"/>
        <v/>
      </c>
      <c r="X1332">
        <f>IF($T1332="",N($X1331),IF(MATCH($T1332,$T$6:$T$10005,0)=ROW()-5,N($X1331)+1,N($X1331)))</f>
        <v>0</v>
      </c>
      <c r="Z1332" t="str">
        <f t="shared" si="209"/>
        <v/>
      </c>
      <c r="AA1332">
        <f>IF($V1332="",N($AA1331),IF(MATCH($V1332,$V$6:$V$10005,0)=ROW()-5,N($AA1331)+1,N($AA1331)))</f>
        <v>0</v>
      </c>
    </row>
    <row r="1333" spans="1:27" ht="21" customHeight="1" x14ac:dyDescent="0.95">
      <c r="A1333" s="56"/>
      <c r="B1333" s="57"/>
      <c r="C1333" s="57"/>
      <c r="D1333" s="57"/>
      <c r="E1333" s="56"/>
      <c r="F1333" s="57"/>
      <c r="G1333" s="57"/>
      <c r="H1333" s="56"/>
      <c r="I1333" s="56"/>
      <c r="J1333" s="58"/>
      <c r="K1333" s="58"/>
      <c r="L1333" s="13" t="str">
        <f t="shared" si="200"/>
        <v/>
      </c>
      <c r="M1333" s="13" t="str">
        <f t="shared" si="201"/>
        <v/>
      </c>
      <c r="Q1333" t="str">
        <f t="shared" si="202"/>
        <v/>
      </c>
      <c r="R1333" t="str">
        <f t="shared" si="203"/>
        <v/>
      </c>
      <c r="S1333" t="str">
        <f t="shared" si="204"/>
        <v/>
      </c>
      <c r="T1333" t="str">
        <f t="shared" si="205"/>
        <v/>
      </c>
      <c r="U1333" t="str">
        <f t="shared" si="206"/>
        <v/>
      </c>
      <c r="V1333" t="str">
        <f t="shared" si="207"/>
        <v/>
      </c>
      <c r="W1333" t="str">
        <f t="shared" si="208"/>
        <v/>
      </c>
      <c r="X1333">
        <f>IF($T1333="",N($X1332),IF(MATCH($T1333,$T$6:$T$10005,0)=ROW()-5,N($X1332)+1,N($X1332)))</f>
        <v>0</v>
      </c>
      <c r="Z1333" t="str">
        <f t="shared" si="209"/>
        <v/>
      </c>
      <c r="AA1333">
        <f>IF($V1333="",N($AA1332),IF(MATCH($V1333,$V$6:$V$10005,0)=ROW()-5,N($AA1332)+1,N($AA1332)))</f>
        <v>0</v>
      </c>
    </row>
    <row r="1334" spans="1:27" ht="21" customHeight="1" x14ac:dyDescent="0.95">
      <c r="A1334" s="56"/>
      <c r="B1334" s="57"/>
      <c r="C1334" s="57"/>
      <c r="D1334" s="57"/>
      <c r="E1334" s="56"/>
      <c r="F1334" s="57"/>
      <c r="G1334" s="57"/>
      <c r="H1334" s="56"/>
      <c r="I1334" s="56"/>
      <c r="J1334" s="58"/>
      <c r="K1334" s="58"/>
      <c r="L1334" s="13" t="str">
        <f t="shared" si="200"/>
        <v/>
      </c>
      <c r="M1334" s="13" t="str">
        <f t="shared" si="201"/>
        <v/>
      </c>
      <c r="Q1334" t="str">
        <f t="shared" si="202"/>
        <v/>
      </c>
      <c r="R1334" t="str">
        <f t="shared" si="203"/>
        <v/>
      </c>
      <c r="S1334" t="str">
        <f t="shared" si="204"/>
        <v/>
      </c>
      <c r="T1334" t="str">
        <f t="shared" si="205"/>
        <v/>
      </c>
      <c r="U1334" t="str">
        <f t="shared" si="206"/>
        <v/>
      </c>
      <c r="V1334" t="str">
        <f t="shared" si="207"/>
        <v/>
      </c>
      <c r="W1334" t="str">
        <f t="shared" si="208"/>
        <v/>
      </c>
      <c r="X1334">
        <f>IF($T1334="",N($X1333),IF(MATCH($T1334,$T$6:$T$10005,0)=ROW()-5,N($X1333)+1,N($X1333)))</f>
        <v>0</v>
      </c>
      <c r="Z1334" t="str">
        <f t="shared" si="209"/>
        <v/>
      </c>
      <c r="AA1334">
        <f>IF($V1334="",N($AA1333),IF(MATCH($V1334,$V$6:$V$10005,0)=ROW()-5,N($AA1333)+1,N($AA1333)))</f>
        <v>0</v>
      </c>
    </row>
    <row r="1335" spans="1:27" ht="21" customHeight="1" x14ac:dyDescent="0.95">
      <c r="A1335" s="56"/>
      <c r="B1335" s="57"/>
      <c r="C1335" s="57"/>
      <c r="D1335" s="57"/>
      <c r="E1335" s="56"/>
      <c r="F1335" s="57"/>
      <c r="G1335" s="57"/>
      <c r="H1335" s="56"/>
      <c r="I1335" s="56"/>
      <c r="J1335" s="58"/>
      <c r="K1335" s="58"/>
      <c r="L1335" s="13" t="str">
        <f t="shared" si="200"/>
        <v/>
      </c>
      <c r="M1335" s="13" t="str">
        <f t="shared" si="201"/>
        <v/>
      </c>
      <c r="Q1335" t="str">
        <f t="shared" si="202"/>
        <v/>
      </c>
      <c r="R1335" t="str">
        <f t="shared" si="203"/>
        <v/>
      </c>
      <c r="S1335" t="str">
        <f t="shared" si="204"/>
        <v/>
      </c>
      <c r="T1335" t="str">
        <f t="shared" si="205"/>
        <v/>
      </c>
      <c r="U1335" t="str">
        <f t="shared" si="206"/>
        <v/>
      </c>
      <c r="V1335" t="str">
        <f t="shared" si="207"/>
        <v/>
      </c>
      <c r="W1335" t="str">
        <f t="shared" si="208"/>
        <v/>
      </c>
      <c r="X1335">
        <f>IF($T1335="",N($X1334),IF(MATCH($T1335,$T$6:$T$10005,0)=ROW()-5,N($X1334)+1,N($X1334)))</f>
        <v>0</v>
      </c>
      <c r="Z1335" t="str">
        <f t="shared" si="209"/>
        <v/>
      </c>
      <c r="AA1335">
        <f>IF($V1335="",N($AA1334),IF(MATCH($V1335,$V$6:$V$10005,0)=ROW()-5,N($AA1334)+1,N($AA1334)))</f>
        <v>0</v>
      </c>
    </row>
    <row r="1336" spans="1:27" ht="21" customHeight="1" x14ac:dyDescent="0.95">
      <c r="A1336" s="56"/>
      <c r="B1336" s="57"/>
      <c r="C1336" s="57"/>
      <c r="D1336" s="57"/>
      <c r="E1336" s="56"/>
      <c r="F1336" s="57"/>
      <c r="G1336" s="57"/>
      <c r="H1336" s="56"/>
      <c r="I1336" s="56"/>
      <c r="J1336" s="58"/>
      <c r="K1336" s="58"/>
      <c r="L1336" s="13" t="str">
        <f t="shared" si="200"/>
        <v/>
      </c>
      <c r="M1336" s="13" t="str">
        <f t="shared" si="201"/>
        <v/>
      </c>
      <c r="Q1336" t="str">
        <f t="shared" si="202"/>
        <v/>
      </c>
      <c r="R1336" t="str">
        <f t="shared" si="203"/>
        <v/>
      </c>
      <c r="S1336" t="str">
        <f t="shared" si="204"/>
        <v/>
      </c>
      <c r="T1336" t="str">
        <f t="shared" si="205"/>
        <v/>
      </c>
      <c r="U1336" t="str">
        <f t="shared" si="206"/>
        <v/>
      </c>
      <c r="V1336" t="str">
        <f t="shared" si="207"/>
        <v/>
      </c>
      <c r="W1336" t="str">
        <f t="shared" si="208"/>
        <v/>
      </c>
      <c r="X1336">
        <f>IF($T1336="",N($X1335),IF(MATCH($T1336,$T$6:$T$10005,0)=ROW()-5,N($X1335)+1,N($X1335)))</f>
        <v>0</v>
      </c>
      <c r="Z1336" t="str">
        <f t="shared" si="209"/>
        <v/>
      </c>
      <c r="AA1336">
        <f>IF($V1336="",N($AA1335),IF(MATCH($V1336,$V$6:$V$10005,0)=ROW()-5,N($AA1335)+1,N($AA1335)))</f>
        <v>0</v>
      </c>
    </row>
    <row r="1337" spans="1:27" ht="21" customHeight="1" x14ac:dyDescent="0.95">
      <c r="A1337" s="56"/>
      <c r="B1337" s="57"/>
      <c r="C1337" s="57"/>
      <c r="D1337" s="57"/>
      <c r="E1337" s="56"/>
      <c r="F1337" s="57"/>
      <c r="G1337" s="57"/>
      <c r="H1337" s="56"/>
      <c r="I1337" s="56"/>
      <c r="J1337" s="58"/>
      <c r="K1337" s="58"/>
      <c r="L1337" s="13" t="str">
        <f t="shared" si="200"/>
        <v/>
      </c>
      <c r="M1337" s="13" t="str">
        <f t="shared" si="201"/>
        <v/>
      </c>
      <c r="Q1337" t="str">
        <f t="shared" si="202"/>
        <v/>
      </c>
      <c r="R1337" t="str">
        <f t="shared" si="203"/>
        <v/>
      </c>
      <c r="S1337" t="str">
        <f t="shared" si="204"/>
        <v/>
      </c>
      <c r="T1337" t="str">
        <f t="shared" si="205"/>
        <v/>
      </c>
      <c r="U1337" t="str">
        <f t="shared" si="206"/>
        <v/>
      </c>
      <c r="V1337" t="str">
        <f t="shared" si="207"/>
        <v/>
      </c>
      <c r="W1337" t="str">
        <f t="shared" si="208"/>
        <v/>
      </c>
      <c r="X1337">
        <f>IF($T1337="",N($X1336),IF(MATCH($T1337,$T$6:$T$10005,0)=ROW()-5,N($X1336)+1,N($X1336)))</f>
        <v>0</v>
      </c>
      <c r="Z1337" t="str">
        <f t="shared" si="209"/>
        <v/>
      </c>
      <c r="AA1337">
        <f>IF($V1337="",N($AA1336),IF(MATCH($V1337,$V$6:$V$10005,0)=ROW()-5,N($AA1336)+1,N($AA1336)))</f>
        <v>0</v>
      </c>
    </row>
    <row r="1338" spans="1:27" ht="21" customHeight="1" x14ac:dyDescent="0.95">
      <c r="A1338" s="56"/>
      <c r="B1338" s="57"/>
      <c r="C1338" s="57"/>
      <c r="D1338" s="57"/>
      <c r="E1338" s="56"/>
      <c r="F1338" s="57"/>
      <c r="G1338" s="57"/>
      <c r="H1338" s="56"/>
      <c r="I1338" s="56"/>
      <c r="J1338" s="58"/>
      <c r="K1338" s="58"/>
      <c r="L1338" s="13" t="str">
        <f t="shared" si="200"/>
        <v/>
      </c>
      <c r="M1338" s="13" t="str">
        <f t="shared" si="201"/>
        <v/>
      </c>
      <c r="Q1338" t="str">
        <f t="shared" si="202"/>
        <v/>
      </c>
      <c r="R1338" t="str">
        <f t="shared" si="203"/>
        <v/>
      </c>
      <c r="S1338" t="str">
        <f t="shared" si="204"/>
        <v/>
      </c>
      <c r="T1338" t="str">
        <f t="shared" si="205"/>
        <v/>
      </c>
      <c r="U1338" t="str">
        <f t="shared" si="206"/>
        <v/>
      </c>
      <c r="V1338" t="str">
        <f t="shared" si="207"/>
        <v/>
      </c>
      <c r="W1338" t="str">
        <f t="shared" si="208"/>
        <v/>
      </c>
      <c r="X1338">
        <f>IF($T1338="",N($X1337),IF(MATCH($T1338,$T$6:$T$10005,0)=ROW()-5,N($X1337)+1,N($X1337)))</f>
        <v>0</v>
      </c>
      <c r="Z1338" t="str">
        <f t="shared" si="209"/>
        <v/>
      </c>
      <c r="AA1338">
        <f>IF($V1338="",N($AA1337),IF(MATCH($V1338,$V$6:$V$10005,0)=ROW()-5,N($AA1337)+1,N($AA1337)))</f>
        <v>0</v>
      </c>
    </row>
    <row r="1339" spans="1:27" ht="21" customHeight="1" x14ac:dyDescent="0.95">
      <c r="A1339" s="56"/>
      <c r="B1339" s="57"/>
      <c r="C1339" s="57"/>
      <c r="D1339" s="57"/>
      <c r="E1339" s="56"/>
      <c r="F1339" s="57"/>
      <c r="G1339" s="57"/>
      <c r="H1339" s="56"/>
      <c r="I1339" s="56"/>
      <c r="J1339" s="58"/>
      <c r="K1339" s="58"/>
      <c r="L1339" s="13" t="str">
        <f t="shared" si="200"/>
        <v/>
      </c>
      <c r="M1339" s="13" t="str">
        <f t="shared" si="201"/>
        <v/>
      </c>
      <c r="Q1339" t="str">
        <f t="shared" si="202"/>
        <v/>
      </c>
      <c r="R1339" t="str">
        <f t="shared" si="203"/>
        <v/>
      </c>
      <c r="S1339" t="str">
        <f t="shared" si="204"/>
        <v/>
      </c>
      <c r="T1339" t="str">
        <f t="shared" si="205"/>
        <v/>
      </c>
      <c r="U1339" t="str">
        <f t="shared" si="206"/>
        <v/>
      </c>
      <c r="V1339" t="str">
        <f t="shared" si="207"/>
        <v/>
      </c>
      <c r="W1339" t="str">
        <f t="shared" si="208"/>
        <v/>
      </c>
      <c r="X1339">
        <f>IF($T1339="",N($X1338),IF(MATCH($T1339,$T$6:$T$10005,0)=ROW()-5,N($X1338)+1,N($X1338)))</f>
        <v>0</v>
      </c>
      <c r="Z1339" t="str">
        <f t="shared" si="209"/>
        <v/>
      </c>
      <c r="AA1339">
        <f>IF($V1339="",N($AA1338),IF(MATCH($V1339,$V$6:$V$10005,0)=ROW()-5,N($AA1338)+1,N($AA1338)))</f>
        <v>0</v>
      </c>
    </row>
    <row r="1340" spans="1:27" ht="21" customHeight="1" x14ac:dyDescent="0.95">
      <c r="A1340" s="56"/>
      <c r="B1340" s="57"/>
      <c r="C1340" s="57"/>
      <c r="D1340" s="57"/>
      <c r="E1340" s="56"/>
      <c r="F1340" s="57"/>
      <c r="G1340" s="57"/>
      <c r="H1340" s="56"/>
      <c r="I1340" s="56"/>
      <c r="J1340" s="58"/>
      <c r="K1340" s="58"/>
      <c r="L1340" s="13" t="str">
        <f t="shared" si="200"/>
        <v/>
      </c>
      <c r="M1340" s="13" t="str">
        <f t="shared" si="201"/>
        <v/>
      </c>
      <c r="Q1340" t="str">
        <f t="shared" si="202"/>
        <v/>
      </c>
      <c r="R1340" t="str">
        <f t="shared" si="203"/>
        <v/>
      </c>
      <c r="S1340" t="str">
        <f t="shared" si="204"/>
        <v/>
      </c>
      <c r="T1340" t="str">
        <f t="shared" si="205"/>
        <v/>
      </c>
      <c r="U1340" t="str">
        <f t="shared" si="206"/>
        <v/>
      </c>
      <c r="V1340" t="str">
        <f t="shared" si="207"/>
        <v/>
      </c>
      <c r="W1340" t="str">
        <f t="shared" si="208"/>
        <v/>
      </c>
      <c r="X1340">
        <f>IF($T1340="",N($X1339),IF(MATCH($T1340,$T$6:$T$10005,0)=ROW()-5,N($X1339)+1,N($X1339)))</f>
        <v>0</v>
      </c>
      <c r="Z1340" t="str">
        <f t="shared" si="209"/>
        <v/>
      </c>
      <c r="AA1340">
        <f>IF($V1340="",N($AA1339),IF(MATCH($V1340,$V$6:$V$10005,0)=ROW()-5,N($AA1339)+1,N($AA1339)))</f>
        <v>0</v>
      </c>
    </row>
    <row r="1341" spans="1:27" ht="21" customHeight="1" x14ac:dyDescent="0.95">
      <c r="A1341" s="56"/>
      <c r="B1341" s="57"/>
      <c r="C1341" s="57"/>
      <c r="D1341" s="57"/>
      <c r="E1341" s="56"/>
      <c r="F1341" s="57"/>
      <c r="G1341" s="57"/>
      <c r="H1341" s="56"/>
      <c r="I1341" s="56"/>
      <c r="J1341" s="58"/>
      <c r="K1341" s="58"/>
      <c r="L1341" s="13" t="str">
        <f t="shared" si="200"/>
        <v/>
      </c>
      <c r="M1341" s="13" t="str">
        <f t="shared" si="201"/>
        <v/>
      </c>
      <c r="Q1341" t="str">
        <f t="shared" si="202"/>
        <v/>
      </c>
      <c r="R1341" t="str">
        <f t="shared" si="203"/>
        <v/>
      </c>
      <c r="S1341" t="str">
        <f t="shared" si="204"/>
        <v/>
      </c>
      <c r="T1341" t="str">
        <f t="shared" si="205"/>
        <v/>
      </c>
      <c r="U1341" t="str">
        <f t="shared" si="206"/>
        <v/>
      </c>
      <c r="V1341" t="str">
        <f t="shared" si="207"/>
        <v/>
      </c>
      <c r="W1341" t="str">
        <f t="shared" si="208"/>
        <v/>
      </c>
      <c r="X1341">
        <f>IF($T1341="",N($X1340),IF(MATCH($T1341,$T$6:$T$10005,0)=ROW()-5,N($X1340)+1,N($X1340)))</f>
        <v>0</v>
      </c>
      <c r="Z1341" t="str">
        <f t="shared" si="209"/>
        <v/>
      </c>
      <c r="AA1341">
        <f>IF($V1341="",N($AA1340),IF(MATCH($V1341,$V$6:$V$10005,0)=ROW()-5,N($AA1340)+1,N($AA1340)))</f>
        <v>0</v>
      </c>
    </row>
    <row r="1342" spans="1:27" ht="21" customHeight="1" x14ac:dyDescent="0.95">
      <c r="A1342" s="56"/>
      <c r="B1342" s="57"/>
      <c r="C1342" s="57"/>
      <c r="D1342" s="57"/>
      <c r="E1342" s="56"/>
      <c r="F1342" s="57"/>
      <c r="G1342" s="57"/>
      <c r="H1342" s="56"/>
      <c r="I1342" s="56"/>
      <c r="J1342" s="58"/>
      <c r="K1342" s="58"/>
      <c r="L1342" s="13" t="str">
        <f t="shared" si="200"/>
        <v/>
      </c>
      <c r="M1342" s="13" t="str">
        <f t="shared" si="201"/>
        <v/>
      </c>
      <c r="Q1342" t="str">
        <f t="shared" si="202"/>
        <v/>
      </c>
      <c r="R1342" t="str">
        <f t="shared" si="203"/>
        <v/>
      </c>
      <c r="S1342" t="str">
        <f t="shared" si="204"/>
        <v/>
      </c>
      <c r="T1342" t="str">
        <f t="shared" si="205"/>
        <v/>
      </c>
      <c r="U1342" t="str">
        <f t="shared" si="206"/>
        <v/>
      </c>
      <c r="V1342" t="str">
        <f t="shared" si="207"/>
        <v/>
      </c>
      <c r="W1342" t="str">
        <f t="shared" si="208"/>
        <v/>
      </c>
      <c r="X1342">
        <f>IF($T1342="",N($X1341),IF(MATCH($T1342,$T$6:$T$10005,0)=ROW()-5,N($X1341)+1,N($X1341)))</f>
        <v>0</v>
      </c>
      <c r="Z1342" t="str">
        <f t="shared" si="209"/>
        <v/>
      </c>
      <c r="AA1342">
        <f>IF($V1342="",N($AA1341),IF(MATCH($V1342,$V$6:$V$10005,0)=ROW()-5,N($AA1341)+1,N($AA1341)))</f>
        <v>0</v>
      </c>
    </row>
    <row r="1343" spans="1:27" ht="21" customHeight="1" x14ac:dyDescent="0.95">
      <c r="A1343" s="56"/>
      <c r="B1343" s="57"/>
      <c r="C1343" s="57"/>
      <c r="D1343" s="57"/>
      <c r="E1343" s="56"/>
      <c r="F1343" s="57"/>
      <c r="G1343" s="57"/>
      <c r="H1343" s="56"/>
      <c r="I1343" s="56"/>
      <c r="J1343" s="58"/>
      <c r="K1343" s="58"/>
      <c r="L1343" s="13" t="str">
        <f t="shared" si="200"/>
        <v/>
      </c>
      <c r="M1343" s="13" t="str">
        <f t="shared" si="201"/>
        <v/>
      </c>
      <c r="Q1343" t="str">
        <f t="shared" si="202"/>
        <v/>
      </c>
      <c r="R1343" t="str">
        <f t="shared" si="203"/>
        <v/>
      </c>
      <c r="S1343" t="str">
        <f t="shared" si="204"/>
        <v/>
      </c>
      <c r="T1343" t="str">
        <f t="shared" si="205"/>
        <v/>
      </c>
      <c r="U1343" t="str">
        <f t="shared" si="206"/>
        <v/>
      </c>
      <c r="V1343" t="str">
        <f t="shared" si="207"/>
        <v/>
      </c>
      <c r="W1343" t="str">
        <f t="shared" si="208"/>
        <v/>
      </c>
      <c r="X1343">
        <f>IF($T1343="",N($X1342),IF(MATCH($T1343,$T$6:$T$10005,0)=ROW()-5,N($X1342)+1,N($X1342)))</f>
        <v>0</v>
      </c>
      <c r="Z1343" t="str">
        <f t="shared" si="209"/>
        <v/>
      </c>
      <c r="AA1343">
        <f>IF($V1343="",N($AA1342),IF(MATCH($V1343,$V$6:$V$10005,0)=ROW()-5,N($AA1342)+1,N($AA1342)))</f>
        <v>0</v>
      </c>
    </row>
    <row r="1344" spans="1:27" ht="21" customHeight="1" x14ac:dyDescent="0.95">
      <c r="A1344" s="56"/>
      <c r="B1344" s="57"/>
      <c r="C1344" s="57"/>
      <c r="D1344" s="57"/>
      <c r="E1344" s="56"/>
      <c r="F1344" s="57"/>
      <c r="G1344" s="57"/>
      <c r="H1344" s="56"/>
      <c r="I1344" s="56"/>
      <c r="J1344" s="58"/>
      <c r="K1344" s="58"/>
      <c r="L1344" s="13" t="str">
        <f t="shared" si="200"/>
        <v/>
      </c>
      <c r="M1344" s="13" t="str">
        <f t="shared" si="201"/>
        <v/>
      </c>
      <c r="Q1344" t="str">
        <f t="shared" si="202"/>
        <v/>
      </c>
      <c r="R1344" t="str">
        <f t="shared" si="203"/>
        <v/>
      </c>
      <c r="S1344" t="str">
        <f t="shared" si="204"/>
        <v/>
      </c>
      <c r="T1344" t="str">
        <f t="shared" si="205"/>
        <v/>
      </c>
      <c r="U1344" t="str">
        <f t="shared" si="206"/>
        <v/>
      </c>
      <c r="V1344" t="str">
        <f t="shared" si="207"/>
        <v/>
      </c>
      <c r="W1344" t="str">
        <f t="shared" si="208"/>
        <v/>
      </c>
      <c r="X1344">
        <f>IF($T1344="",N($X1343),IF(MATCH($T1344,$T$6:$T$10005,0)=ROW()-5,N($X1343)+1,N($X1343)))</f>
        <v>0</v>
      </c>
      <c r="Z1344" t="str">
        <f t="shared" si="209"/>
        <v/>
      </c>
      <c r="AA1344">
        <f>IF($V1344="",N($AA1343),IF(MATCH($V1344,$V$6:$V$10005,0)=ROW()-5,N($AA1343)+1,N($AA1343)))</f>
        <v>0</v>
      </c>
    </row>
    <row r="1345" spans="1:27" ht="21" customHeight="1" x14ac:dyDescent="0.95">
      <c r="A1345" s="56"/>
      <c r="B1345" s="57"/>
      <c r="C1345" s="57"/>
      <c r="D1345" s="57"/>
      <c r="E1345" s="56"/>
      <c r="F1345" s="57"/>
      <c r="G1345" s="57"/>
      <c r="H1345" s="56"/>
      <c r="I1345" s="56"/>
      <c r="J1345" s="58"/>
      <c r="K1345" s="58"/>
      <c r="L1345" s="13" t="str">
        <f t="shared" si="200"/>
        <v/>
      </c>
      <c r="M1345" s="13" t="str">
        <f t="shared" si="201"/>
        <v/>
      </c>
      <c r="Q1345" t="str">
        <f t="shared" si="202"/>
        <v/>
      </c>
      <c r="R1345" t="str">
        <f t="shared" si="203"/>
        <v/>
      </c>
      <c r="S1345" t="str">
        <f t="shared" si="204"/>
        <v/>
      </c>
      <c r="T1345" t="str">
        <f t="shared" si="205"/>
        <v/>
      </c>
      <c r="U1345" t="str">
        <f t="shared" si="206"/>
        <v/>
      </c>
      <c r="V1345" t="str">
        <f t="shared" si="207"/>
        <v/>
      </c>
      <c r="W1345" t="str">
        <f t="shared" si="208"/>
        <v/>
      </c>
      <c r="X1345">
        <f>IF($T1345="",N($X1344),IF(MATCH($T1345,$T$6:$T$10005,0)=ROW()-5,N($X1344)+1,N($X1344)))</f>
        <v>0</v>
      </c>
      <c r="Z1345" t="str">
        <f t="shared" si="209"/>
        <v/>
      </c>
      <c r="AA1345">
        <f>IF($V1345="",N($AA1344),IF(MATCH($V1345,$V$6:$V$10005,0)=ROW()-5,N($AA1344)+1,N($AA1344)))</f>
        <v>0</v>
      </c>
    </row>
    <row r="1346" spans="1:27" ht="21" customHeight="1" x14ac:dyDescent="0.95">
      <c r="A1346" s="56"/>
      <c r="B1346" s="57"/>
      <c r="C1346" s="57"/>
      <c r="D1346" s="57"/>
      <c r="E1346" s="56"/>
      <c r="F1346" s="57"/>
      <c r="G1346" s="57"/>
      <c r="H1346" s="56"/>
      <c r="I1346" s="56"/>
      <c r="J1346" s="58"/>
      <c r="K1346" s="58"/>
      <c r="L1346" s="13" t="str">
        <f t="shared" si="200"/>
        <v/>
      </c>
      <c r="M1346" s="13" t="str">
        <f t="shared" si="201"/>
        <v/>
      </c>
      <c r="Q1346" t="str">
        <f t="shared" si="202"/>
        <v/>
      </c>
      <c r="R1346" t="str">
        <f t="shared" si="203"/>
        <v/>
      </c>
      <c r="S1346" t="str">
        <f t="shared" si="204"/>
        <v/>
      </c>
      <c r="T1346" t="str">
        <f t="shared" si="205"/>
        <v/>
      </c>
      <c r="U1346" t="str">
        <f t="shared" si="206"/>
        <v/>
      </c>
      <c r="V1346" t="str">
        <f t="shared" si="207"/>
        <v/>
      </c>
      <c r="W1346" t="str">
        <f t="shared" si="208"/>
        <v/>
      </c>
      <c r="X1346">
        <f>IF($T1346="",N($X1345),IF(MATCH($T1346,$T$6:$T$10005,0)=ROW()-5,N($X1345)+1,N($X1345)))</f>
        <v>0</v>
      </c>
      <c r="Z1346" t="str">
        <f t="shared" si="209"/>
        <v/>
      </c>
      <c r="AA1346">
        <f>IF($V1346="",N($AA1345),IF(MATCH($V1346,$V$6:$V$10005,0)=ROW()-5,N($AA1345)+1,N($AA1345)))</f>
        <v>0</v>
      </c>
    </row>
    <row r="1347" spans="1:27" ht="21" customHeight="1" x14ac:dyDescent="0.95">
      <c r="A1347" s="56"/>
      <c r="B1347" s="57"/>
      <c r="C1347" s="57"/>
      <c r="D1347" s="57"/>
      <c r="E1347" s="56"/>
      <c r="F1347" s="57"/>
      <c r="G1347" s="57"/>
      <c r="H1347" s="56"/>
      <c r="I1347" s="56"/>
      <c r="J1347" s="58"/>
      <c r="K1347" s="58"/>
      <c r="L1347" s="13" t="str">
        <f t="shared" si="200"/>
        <v/>
      </c>
      <c r="M1347" s="13" t="str">
        <f t="shared" si="201"/>
        <v/>
      </c>
      <c r="Q1347" t="str">
        <f t="shared" si="202"/>
        <v/>
      </c>
      <c r="R1347" t="str">
        <f t="shared" si="203"/>
        <v/>
      </c>
      <c r="S1347" t="str">
        <f t="shared" si="204"/>
        <v/>
      </c>
      <c r="T1347" t="str">
        <f t="shared" si="205"/>
        <v/>
      </c>
      <c r="U1347" t="str">
        <f t="shared" si="206"/>
        <v/>
      </c>
      <c r="V1347" t="str">
        <f t="shared" si="207"/>
        <v/>
      </c>
      <c r="W1347" t="str">
        <f t="shared" si="208"/>
        <v/>
      </c>
      <c r="X1347">
        <f>IF($T1347="",N($X1346),IF(MATCH($T1347,$T$6:$T$10005,0)=ROW()-5,N($X1346)+1,N($X1346)))</f>
        <v>0</v>
      </c>
      <c r="Z1347" t="str">
        <f t="shared" si="209"/>
        <v/>
      </c>
      <c r="AA1347">
        <f>IF($V1347="",N($AA1346),IF(MATCH($V1347,$V$6:$V$10005,0)=ROW()-5,N($AA1346)+1,N($AA1346)))</f>
        <v>0</v>
      </c>
    </row>
    <row r="1348" spans="1:27" ht="21" customHeight="1" x14ac:dyDescent="0.95">
      <c r="A1348" s="56"/>
      <c r="B1348" s="57"/>
      <c r="C1348" s="57"/>
      <c r="D1348" s="57"/>
      <c r="E1348" s="56"/>
      <c r="F1348" s="57"/>
      <c r="G1348" s="57"/>
      <c r="H1348" s="56"/>
      <c r="I1348" s="56"/>
      <c r="J1348" s="58"/>
      <c r="K1348" s="58"/>
      <c r="L1348" s="13" t="str">
        <f t="shared" si="200"/>
        <v/>
      </c>
      <c r="M1348" s="13" t="str">
        <f t="shared" si="201"/>
        <v/>
      </c>
      <c r="Q1348" t="str">
        <f t="shared" si="202"/>
        <v/>
      </c>
      <c r="R1348" t="str">
        <f t="shared" si="203"/>
        <v/>
      </c>
      <c r="S1348" t="str">
        <f t="shared" si="204"/>
        <v/>
      </c>
      <c r="T1348" t="str">
        <f t="shared" si="205"/>
        <v/>
      </c>
      <c r="U1348" t="str">
        <f t="shared" si="206"/>
        <v/>
      </c>
      <c r="V1348" t="str">
        <f t="shared" si="207"/>
        <v/>
      </c>
      <c r="W1348" t="str">
        <f t="shared" si="208"/>
        <v/>
      </c>
      <c r="X1348">
        <f>IF($T1348="",N($X1347),IF(MATCH($T1348,$T$6:$T$10005,0)=ROW()-5,N($X1347)+1,N($X1347)))</f>
        <v>0</v>
      </c>
      <c r="Z1348" t="str">
        <f t="shared" si="209"/>
        <v/>
      </c>
      <c r="AA1348">
        <f>IF($V1348="",N($AA1347),IF(MATCH($V1348,$V$6:$V$10005,0)=ROW()-5,N($AA1347)+1,N($AA1347)))</f>
        <v>0</v>
      </c>
    </row>
    <row r="1349" spans="1:27" ht="21" customHeight="1" x14ac:dyDescent="0.95">
      <c r="A1349" s="56"/>
      <c r="B1349" s="57"/>
      <c r="C1349" s="57"/>
      <c r="D1349" s="57"/>
      <c r="E1349" s="56"/>
      <c r="F1349" s="57"/>
      <c r="G1349" s="57"/>
      <c r="H1349" s="56"/>
      <c r="I1349" s="56"/>
      <c r="J1349" s="58"/>
      <c r="K1349" s="58"/>
      <c r="L1349" s="13" t="str">
        <f t="shared" si="200"/>
        <v/>
      </c>
      <c r="M1349" s="13" t="str">
        <f t="shared" si="201"/>
        <v/>
      </c>
      <c r="Q1349" t="str">
        <f t="shared" si="202"/>
        <v/>
      </c>
      <c r="R1349" t="str">
        <f t="shared" si="203"/>
        <v/>
      </c>
      <c r="S1349" t="str">
        <f t="shared" si="204"/>
        <v/>
      </c>
      <c r="T1349" t="str">
        <f t="shared" si="205"/>
        <v/>
      </c>
      <c r="U1349" t="str">
        <f t="shared" si="206"/>
        <v/>
      </c>
      <c r="V1349" t="str">
        <f t="shared" si="207"/>
        <v/>
      </c>
      <c r="W1349" t="str">
        <f t="shared" si="208"/>
        <v/>
      </c>
      <c r="X1349">
        <f>IF($T1349="",N($X1348),IF(MATCH($T1349,$T$6:$T$10005,0)=ROW()-5,N($X1348)+1,N($X1348)))</f>
        <v>0</v>
      </c>
      <c r="Z1349" t="str">
        <f t="shared" si="209"/>
        <v/>
      </c>
      <c r="AA1349">
        <f>IF($V1349="",N($AA1348),IF(MATCH($V1349,$V$6:$V$10005,0)=ROW()-5,N($AA1348)+1,N($AA1348)))</f>
        <v>0</v>
      </c>
    </row>
    <row r="1350" spans="1:27" ht="21" customHeight="1" x14ac:dyDescent="0.95">
      <c r="A1350" s="56"/>
      <c r="B1350" s="57"/>
      <c r="C1350" s="57"/>
      <c r="D1350" s="57"/>
      <c r="E1350" s="56"/>
      <c r="F1350" s="57"/>
      <c r="G1350" s="57"/>
      <c r="H1350" s="56"/>
      <c r="I1350" s="56"/>
      <c r="J1350" s="58"/>
      <c r="K1350" s="58"/>
      <c r="L1350" s="13" t="str">
        <f t="shared" ref="L1350:L1413" si="210">IF(OR($A1350="",AND($J1350="",$K1350="")),"",ROUND(N($J1350)-N($K1350),2))</f>
        <v/>
      </c>
      <c r="M1350" s="13" t="str">
        <f t="shared" ref="M1350:M1413" si="211">IF(OR($A1350="",AND($J1350="",$K1350="")),"",MIN($J1350,$K1350))</f>
        <v/>
      </c>
      <c r="Q1350" t="str">
        <f t="shared" ref="Q1350:Q1413" si="212">IF($A1350="","",$D1350&amp;"("&amp;SUBSTITUTE($E1350," ","")&amp;")")</f>
        <v/>
      </c>
      <c r="R1350" t="str">
        <f t="shared" ref="R1350:R1413" si="213">IF($A1350="","",$B1350&amp;" - "&amp;$C1350)</f>
        <v/>
      </c>
      <c r="S1350" t="str">
        <f t="shared" ref="S1350:S1413" si="214">IF($A1350="","",$R1350&amp;"|"&amp;$Q1350)</f>
        <v/>
      </c>
      <c r="T1350" t="str">
        <f t="shared" ref="T1350:T1413" si="215">IF($A1350="","",$S1350&amp;"|"&amp;$F1350)</f>
        <v/>
      </c>
      <c r="U1350" t="str">
        <f t="shared" ref="U1350:U1413" si="216">IF($A1350="","",$R1350&amp;"("&amp;$E1350&amp;")")</f>
        <v/>
      </c>
      <c r="V1350" t="str">
        <f t="shared" ref="V1350:V1413" si="217">IF($A1350="","",$F1350&amp;"|"&amp;$U1350&amp;"|"&amp;$D1350)</f>
        <v/>
      </c>
      <c r="W1350" t="str">
        <f t="shared" ref="W1350:W1413" si="218">IF($T1350="","",IF($X1350&gt;N($X1349),$X1350,""))</f>
        <v/>
      </c>
      <c r="X1350">
        <f>IF($T1350="",N($X1349),IF(MATCH($T1350,$T$6:$T$10005,0)=ROW()-5,N($X1349)+1,N($X1349)))</f>
        <v>0</v>
      </c>
      <c r="Z1350" t="str">
        <f t="shared" ref="Z1350:Z1413" si="219">IF($V1350="","",IF($AA1350&gt;N($AA1349),$AA1350,""))</f>
        <v/>
      </c>
      <c r="AA1350">
        <f>IF($V1350="",N($AA1349),IF(MATCH($V1350,$V$6:$V$10005,0)=ROW()-5,N($AA1349)+1,N($AA1349)))</f>
        <v>0</v>
      </c>
    </row>
    <row r="1351" spans="1:27" ht="21" customHeight="1" x14ac:dyDescent="0.95">
      <c r="A1351" s="56"/>
      <c r="B1351" s="57"/>
      <c r="C1351" s="57"/>
      <c r="D1351" s="57"/>
      <c r="E1351" s="56"/>
      <c r="F1351" s="57"/>
      <c r="G1351" s="57"/>
      <c r="H1351" s="56"/>
      <c r="I1351" s="56"/>
      <c r="J1351" s="58"/>
      <c r="K1351" s="58"/>
      <c r="L1351" s="13" t="str">
        <f t="shared" si="210"/>
        <v/>
      </c>
      <c r="M1351" s="13" t="str">
        <f t="shared" si="211"/>
        <v/>
      </c>
      <c r="Q1351" t="str">
        <f t="shared" si="212"/>
        <v/>
      </c>
      <c r="R1351" t="str">
        <f t="shared" si="213"/>
        <v/>
      </c>
      <c r="S1351" t="str">
        <f t="shared" si="214"/>
        <v/>
      </c>
      <c r="T1351" t="str">
        <f t="shared" si="215"/>
        <v/>
      </c>
      <c r="U1351" t="str">
        <f t="shared" si="216"/>
        <v/>
      </c>
      <c r="V1351" t="str">
        <f t="shared" si="217"/>
        <v/>
      </c>
      <c r="W1351" t="str">
        <f t="shared" si="218"/>
        <v/>
      </c>
      <c r="X1351">
        <f>IF($T1351="",N($X1350),IF(MATCH($T1351,$T$6:$T$10005,0)=ROW()-5,N($X1350)+1,N($X1350)))</f>
        <v>0</v>
      </c>
      <c r="Z1351" t="str">
        <f t="shared" si="219"/>
        <v/>
      </c>
      <c r="AA1351">
        <f>IF($V1351="",N($AA1350),IF(MATCH($V1351,$V$6:$V$10005,0)=ROW()-5,N($AA1350)+1,N($AA1350)))</f>
        <v>0</v>
      </c>
    </row>
    <row r="1352" spans="1:27" ht="21" customHeight="1" x14ac:dyDescent="0.95">
      <c r="A1352" s="56"/>
      <c r="B1352" s="57"/>
      <c r="C1352" s="57"/>
      <c r="D1352" s="57"/>
      <c r="E1352" s="56"/>
      <c r="F1352" s="57"/>
      <c r="G1352" s="57"/>
      <c r="H1352" s="56"/>
      <c r="I1352" s="56"/>
      <c r="J1352" s="58"/>
      <c r="K1352" s="58"/>
      <c r="L1352" s="13" t="str">
        <f t="shared" si="210"/>
        <v/>
      </c>
      <c r="M1352" s="13" t="str">
        <f t="shared" si="211"/>
        <v/>
      </c>
      <c r="Q1352" t="str">
        <f t="shared" si="212"/>
        <v/>
      </c>
      <c r="R1352" t="str">
        <f t="shared" si="213"/>
        <v/>
      </c>
      <c r="S1352" t="str">
        <f t="shared" si="214"/>
        <v/>
      </c>
      <c r="T1352" t="str">
        <f t="shared" si="215"/>
        <v/>
      </c>
      <c r="U1352" t="str">
        <f t="shared" si="216"/>
        <v/>
      </c>
      <c r="V1352" t="str">
        <f t="shared" si="217"/>
        <v/>
      </c>
      <c r="W1352" t="str">
        <f t="shared" si="218"/>
        <v/>
      </c>
      <c r="X1352">
        <f>IF($T1352="",N($X1351),IF(MATCH($T1352,$T$6:$T$10005,0)=ROW()-5,N($X1351)+1,N($X1351)))</f>
        <v>0</v>
      </c>
      <c r="Z1352" t="str">
        <f t="shared" si="219"/>
        <v/>
      </c>
      <c r="AA1352">
        <f>IF($V1352="",N($AA1351),IF(MATCH($V1352,$V$6:$V$10005,0)=ROW()-5,N($AA1351)+1,N($AA1351)))</f>
        <v>0</v>
      </c>
    </row>
    <row r="1353" spans="1:27" ht="21" customHeight="1" x14ac:dyDescent="0.95">
      <c r="A1353" s="56"/>
      <c r="B1353" s="57"/>
      <c r="C1353" s="57"/>
      <c r="D1353" s="57"/>
      <c r="E1353" s="56"/>
      <c r="F1353" s="57"/>
      <c r="G1353" s="57"/>
      <c r="H1353" s="56"/>
      <c r="I1353" s="56"/>
      <c r="J1353" s="58"/>
      <c r="K1353" s="58"/>
      <c r="L1353" s="13" t="str">
        <f t="shared" si="210"/>
        <v/>
      </c>
      <c r="M1353" s="13" t="str">
        <f t="shared" si="211"/>
        <v/>
      </c>
      <c r="Q1353" t="str">
        <f t="shared" si="212"/>
        <v/>
      </c>
      <c r="R1353" t="str">
        <f t="shared" si="213"/>
        <v/>
      </c>
      <c r="S1353" t="str">
        <f t="shared" si="214"/>
        <v/>
      </c>
      <c r="T1353" t="str">
        <f t="shared" si="215"/>
        <v/>
      </c>
      <c r="U1353" t="str">
        <f t="shared" si="216"/>
        <v/>
      </c>
      <c r="V1353" t="str">
        <f t="shared" si="217"/>
        <v/>
      </c>
      <c r="W1353" t="str">
        <f t="shared" si="218"/>
        <v/>
      </c>
      <c r="X1353">
        <f>IF($T1353="",N($X1352),IF(MATCH($T1353,$T$6:$T$10005,0)=ROW()-5,N($X1352)+1,N($X1352)))</f>
        <v>0</v>
      </c>
      <c r="Z1353" t="str">
        <f t="shared" si="219"/>
        <v/>
      </c>
      <c r="AA1353">
        <f>IF($V1353="",N($AA1352),IF(MATCH($V1353,$V$6:$V$10005,0)=ROW()-5,N($AA1352)+1,N($AA1352)))</f>
        <v>0</v>
      </c>
    </row>
    <row r="1354" spans="1:27" ht="21" customHeight="1" x14ac:dyDescent="0.95">
      <c r="A1354" s="56"/>
      <c r="B1354" s="57"/>
      <c r="C1354" s="57"/>
      <c r="D1354" s="57"/>
      <c r="E1354" s="56"/>
      <c r="F1354" s="57"/>
      <c r="G1354" s="57"/>
      <c r="H1354" s="56"/>
      <c r="I1354" s="56"/>
      <c r="J1354" s="58"/>
      <c r="K1354" s="58"/>
      <c r="L1354" s="13" t="str">
        <f t="shared" si="210"/>
        <v/>
      </c>
      <c r="M1354" s="13" t="str">
        <f t="shared" si="211"/>
        <v/>
      </c>
      <c r="Q1354" t="str">
        <f t="shared" si="212"/>
        <v/>
      </c>
      <c r="R1354" t="str">
        <f t="shared" si="213"/>
        <v/>
      </c>
      <c r="S1354" t="str">
        <f t="shared" si="214"/>
        <v/>
      </c>
      <c r="T1354" t="str">
        <f t="shared" si="215"/>
        <v/>
      </c>
      <c r="U1354" t="str">
        <f t="shared" si="216"/>
        <v/>
      </c>
      <c r="V1354" t="str">
        <f t="shared" si="217"/>
        <v/>
      </c>
      <c r="W1354" t="str">
        <f t="shared" si="218"/>
        <v/>
      </c>
      <c r="X1354">
        <f>IF($T1354="",N($X1353),IF(MATCH($T1354,$T$6:$T$10005,0)=ROW()-5,N($X1353)+1,N($X1353)))</f>
        <v>0</v>
      </c>
      <c r="Z1354" t="str">
        <f t="shared" si="219"/>
        <v/>
      </c>
      <c r="AA1354">
        <f>IF($V1354="",N($AA1353),IF(MATCH($V1354,$V$6:$V$10005,0)=ROW()-5,N($AA1353)+1,N($AA1353)))</f>
        <v>0</v>
      </c>
    </row>
    <row r="1355" spans="1:27" ht="21" customHeight="1" x14ac:dyDescent="0.95">
      <c r="A1355" s="56"/>
      <c r="B1355" s="57"/>
      <c r="C1355" s="57"/>
      <c r="D1355" s="57"/>
      <c r="E1355" s="56"/>
      <c r="F1355" s="57"/>
      <c r="G1355" s="57"/>
      <c r="H1355" s="56"/>
      <c r="I1355" s="56"/>
      <c r="J1355" s="58"/>
      <c r="K1355" s="58"/>
      <c r="L1355" s="13" t="str">
        <f t="shared" si="210"/>
        <v/>
      </c>
      <c r="M1355" s="13" t="str">
        <f t="shared" si="211"/>
        <v/>
      </c>
      <c r="Q1355" t="str">
        <f t="shared" si="212"/>
        <v/>
      </c>
      <c r="R1355" t="str">
        <f t="shared" si="213"/>
        <v/>
      </c>
      <c r="S1355" t="str">
        <f t="shared" si="214"/>
        <v/>
      </c>
      <c r="T1355" t="str">
        <f t="shared" si="215"/>
        <v/>
      </c>
      <c r="U1355" t="str">
        <f t="shared" si="216"/>
        <v/>
      </c>
      <c r="V1355" t="str">
        <f t="shared" si="217"/>
        <v/>
      </c>
      <c r="W1355" t="str">
        <f t="shared" si="218"/>
        <v/>
      </c>
      <c r="X1355">
        <f>IF($T1355="",N($X1354),IF(MATCH($T1355,$T$6:$T$10005,0)=ROW()-5,N($X1354)+1,N($X1354)))</f>
        <v>0</v>
      </c>
      <c r="Z1355" t="str">
        <f t="shared" si="219"/>
        <v/>
      </c>
      <c r="AA1355">
        <f>IF($V1355="",N($AA1354),IF(MATCH($V1355,$V$6:$V$10005,0)=ROW()-5,N($AA1354)+1,N($AA1354)))</f>
        <v>0</v>
      </c>
    </row>
    <row r="1356" spans="1:27" ht="21" customHeight="1" x14ac:dyDescent="0.95">
      <c r="A1356" s="56"/>
      <c r="B1356" s="57"/>
      <c r="C1356" s="57"/>
      <c r="D1356" s="57"/>
      <c r="E1356" s="56"/>
      <c r="F1356" s="57"/>
      <c r="G1356" s="57"/>
      <c r="H1356" s="56"/>
      <c r="I1356" s="56"/>
      <c r="J1356" s="58"/>
      <c r="K1356" s="58"/>
      <c r="L1356" s="13" t="str">
        <f t="shared" si="210"/>
        <v/>
      </c>
      <c r="M1356" s="13" t="str">
        <f t="shared" si="211"/>
        <v/>
      </c>
      <c r="Q1356" t="str">
        <f t="shared" si="212"/>
        <v/>
      </c>
      <c r="R1356" t="str">
        <f t="shared" si="213"/>
        <v/>
      </c>
      <c r="S1356" t="str">
        <f t="shared" si="214"/>
        <v/>
      </c>
      <c r="T1356" t="str">
        <f t="shared" si="215"/>
        <v/>
      </c>
      <c r="U1356" t="str">
        <f t="shared" si="216"/>
        <v/>
      </c>
      <c r="V1356" t="str">
        <f t="shared" si="217"/>
        <v/>
      </c>
      <c r="W1356" t="str">
        <f t="shared" si="218"/>
        <v/>
      </c>
      <c r="X1356">
        <f>IF($T1356="",N($X1355),IF(MATCH($T1356,$T$6:$T$10005,0)=ROW()-5,N($X1355)+1,N($X1355)))</f>
        <v>0</v>
      </c>
      <c r="Z1356" t="str">
        <f t="shared" si="219"/>
        <v/>
      </c>
      <c r="AA1356">
        <f>IF($V1356="",N($AA1355),IF(MATCH($V1356,$V$6:$V$10005,0)=ROW()-5,N($AA1355)+1,N($AA1355)))</f>
        <v>0</v>
      </c>
    </row>
    <row r="1357" spans="1:27" ht="21" customHeight="1" x14ac:dyDescent="0.95">
      <c r="A1357" s="56"/>
      <c r="B1357" s="57"/>
      <c r="C1357" s="57"/>
      <c r="D1357" s="57"/>
      <c r="E1357" s="56"/>
      <c r="F1357" s="57"/>
      <c r="G1357" s="57"/>
      <c r="H1357" s="56"/>
      <c r="I1357" s="56"/>
      <c r="J1357" s="58"/>
      <c r="K1357" s="58"/>
      <c r="L1357" s="13" t="str">
        <f t="shared" si="210"/>
        <v/>
      </c>
      <c r="M1357" s="13" t="str">
        <f t="shared" si="211"/>
        <v/>
      </c>
      <c r="Q1357" t="str">
        <f t="shared" si="212"/>
        <v/>
      </c>
      <c r="R1357" t="str">
        <f t="shared" si="213"/>
        <v/>
      </c>
      <c r="S1357" t="str">
        <f t="shared" si="214"/>
        <v/>
      </c>
      <c r="T1357" t="str">
        <f t="shared" si="215"/>
        <v/>
      </c>
      <c r="U1357" t="str">
        <f t="shared" si="216"/>
        <v/>
      </c>
      <c r="V1357" t="str">
        <f t="shared" si="217"/>
        <v/>
      </c>
      <c r="W1357" t="str">
        <f t="shared" si="218"/>
        <v/>
      </c>
      <c r="X1357">
        <f>IF($T1357="",N($X1356),IF(MATCH($T1357,$T$6:$T$10005,0)=ROW()-5,N($X1356)+1,N($X1356)))</f>
        <v>0</v>
      </c>
      <c r="Z1357" t="str">
        <f t="shared" si="219"/>
        <v/>
      </c>
      <c r="AA1357">
        <f>IF($V1357="",N($AA1356),IF(MATCH($V1357,$V$6:$V$10005,0)=ROW()-5,N($AA1356)+1,N($AA1356)))</f>
        <v>0</v>
      </c>
    </row>
    <row r="1358" spans="1:27" ht="21" customHeight="1" x14ac:dyDescent="0.95">
      <c r="A1358" s="56"/>
      <c r="B1358" s="57"/>
      <c r="C1358" s="57"/>
      <c r="D1358" s="57"/>
      <c r="E1358" s="56"/>
      <c r="F1358" s="57"/>
      <c r="G1358" s="57"/>
      <c r="H1358" s="56"/>
      <c r="I1358" s="56"/>
      <c r="J1358" s="58"/>
      <c r="K1358" s="58"/>
      <c r="L1358" s="13" t="str">
        <f t="shared" si="210"/>
        <v/>
      </c>
      <c r="M1358" s="13" t="str">
        <f t="shared" si="211"/>
        <v/>
      </c>
      <c r="Q1358" t="str">
        <f t="shared" si="212"/>
        <v/>
      </c>
      <c r="R1358" t="str">
        <f t="shared" si="213"/>
        <v/>
      </c>
      <c r="S1358" t="str">
        <f t="shared" si="214"/>
        <v/>
      </c>
      <c r="T1358" t="str">
        <f t="shared" si="215"/>
        <v/>
      </c>
      <c r="U1358" t="str">
        <f t="shared" si="216"/>
        <v/>
      </c>
      <c r="V1358" t="str">
        <f t="shared" si="217"/>
        <v/>
      </c>
      <c r="W1358" t="str">
        <f t="shared" si="218"/>
        <v/>
      </c>
      <c r="X1358">
        <f>IF($T1358="",N($X1357),IF(MATCH($T1358,$T$6:$T$10005,0)=ROW()-5,N($X1357)+1,N($X1357)))</f>
        <v>0</v>
      </c>
      <c r="Z1358" t="str">
        <f t="shared" si="219"/>
        <v/>
      </c>
      <c r="AA1358">
        <f>IF($V1358="",N($AA1357),IF(MATCH($V1358,$V$6:$V$10005,0)=ROW()-5,N($AA1357)+1,N($AA1357)))</f>
        <v>0</v>
      </c>
    </row>
    <row r="1359" spans="1:27" ht="21" customHeight="1" x14ac:dyDescent="0.95">
      <c r="A1359" s="56"/>
      <c r="B1359" s="57"/>
      <c r="C1359" s="57"/>
      <c r="D1359" s="57"/>
      <c r="E1359" s="56"/>
      <c r="F1359" s="57"/>
      <c r="G1359" s="57"/>
      <c r="H1359" s="56"/>
      <c r="I1359" s="56"/>
      <c r="J1359" s="58"/>
      <c r="K1359" s="58"/>
      <c r="L1359" s="13" t="str">
        <f t="shared" si="210"/>
        <v/>
      </c>
      <c r="M1359" s="13" t="str">
        <f t="shared" si="211"/>
        <v/>
      </c>
      <c r="Q1359" t="str">
        <f t="shared" si="212"/>
        <v/>
      </c>
      <c r="R1359" t="str">
        <f t="shared" si="213"/>
        <v/>
      </c>
      <c r="S1359" t="str">
        <f t="shared" si="214"/>
        <v/>
      </c>
      <c r="T1359" t="str">
        <f t="shared" si="215"/>
        <v/>
      </c>
      <c r="U1359" t="str">
        <f t="shared" si="216"/>
        <v/>
      </c>
      <c r="V1359" t="str">
        <f t="shared" si="217"/>
        <v/>
      </c>
      <c r="W1359" t="str">
        <f t="shared" si="218"/>
        <v/>
      </c>
      <c r="X1359">
        <f>IF($T1359="",N($X1358),IF(MATCH($T1359,$T$6:$T$10005,0)=ROW()-5,N($X1358)+1,N($X1358)))</f>
        <v>0</v>
      </c>
      <c r="Z1359" t="str">
        <f t="shared" si="219"/>
        <v/>
      </c>
      <c r="AA1359">
        <f>IF($V1359="",N($AA1358),IF(MATCH($V1359,$V$6:$V$10005,0)=ROW()-5,N($AA1358)+1,N($AA1358)))</f>
        <v>0</v>
      </c>
    </row>
    <row r="1360" spans="1:27" ht="21" customHeight="1" x14ac:dyDescent="0.95">
      <c r="A1360" s="56"/>
      <c r="B1360" s="57"/>
      <c r="C1360" s="57"/>
      <c r="D1360" s="57"/>
      <c r="E1360" s="56"/>
      <c r="F1360" s="57"/>
      <c r="G1360" s="57"/>
      <c r="H1360" s="56"/>
      <c r="I1360" s="56"/>
      <c r="J1360" s="58"/>
      <c r="K1360" s="58"/>
      <c r="L1360" s="13" t="str">
        <f t="shared" si="210"/>
        <v/>
      </c>
      <c r="M1360" s="13" t="str">
        <f t="shared" si="211"/>
        <v/>
      </c>
      <c r="Q1360" t="str">
        <f t="shared" si="212"/>
        <v/>
      </c>
      <c r="R1360" t="str">
        <f t="shared" si="213"/>
        <v/>
      </c>
      <c r="S1360" t="str">
        <f t="shared" si="214"/>
        <v/>
      </c>
      <c r="T1360" t="str">
        <f t="shared" si="215"/>
        <v/>
      </c>
      <c r="U1360" t="str">
        <f t="shared" si="216"/>
        <v/>
      </c>
      <c r="V1360" t="str">
        <f t="shared" si="217"/>
        <v/>
      </c>
      <c r="W1360" t="str">
        <f t="shared" si="218"/>
        <v/>
      </c>
      <c r="X1360">
        <f>IF($T1360="",N($X1359),IF(MATCH($T1360,$T$6:$T$10005,0)=ROW()-5,N($X1359)+1,N($X1359)))</f>
        <v>0</v>
      </c>
      <c r="Z1360" t="str">
        <f t="shared" si="219"/>
        <v/>
      </c>
      <c r="AA1360">
        <f>IF($V1360="",N($AA1359),IF(MATCH($V1360,$V$6:$V$10005,0)=ROW()-5,N($AA1359)+1,N($AA1359)))</f>
        <v>0</v>
      </c>
    </row>
    <row r="1361" spans="1:27" ht="21" customHeight="1" x14ac:dyDescent="0.95">
      <c r="A1361" s="56"/>
      <c r="B1361" s="57"/>
      <c r="C1361" s="57"/>
      <c r="D1361" s="57"/>
      <c r="E1361" s="56"/>
      <c r="F1361" s="57"/>
      <c r="G1361" s="57"/>
      <c r="H1361" s="56"/>
      <c r="I1361" s="56"/>
      <c r="J1361" s="58"/>
      <c r="K1361" s="58"/>
      <c r="L1361" s="13" t="str">
        <f t="shared" si="210"/>
        <v/>
      </c>
      <c r="M1361" s="13" t="str">
        <f t="shared" si="211"/>
        <v/>
      </c>
      <c r="Q1361" t="str">
        <f t="shared" si="212"/>
        <v/>
      </c>
      <c r="R1361" t="str">
        <f t="shared" si="213"/>
        <v/>
      </c>
      <c r="S1361" t="str">
        <f t="shared" si="214"/>
        <v/>
      </c>
      <c r="T1361" t="str">
        <f t="shared" si="215"/>
        <v/>
      </c>
      <c r="U1361" t="str">
        <f t="shared" si="216"/>
        <v/>
      </c>
      <c r="V1361" t="str">
        <f t="shared" si="217"/>
        <v/>
      </c>
      <c r="W1361" t="str">
        <f t="shared" si="218"/>
        <v/>
      </c>
      <c r="X1361">
        <f>IF($T1361="",N($X1360),IF(MATCH($T1361,$T$6:$T$10005,0)=ROW()-5,N($X1360)+1,N($X1360)))</f>
        <v>0</v>
      </c>
      <c r="Z1361" t="str">
        <f t="shared" si="219"/>
        <v/>
      </c>
      <c r="AA1361">
        <f>IF($V1361="",N($AA1360),IF(MATCH($V1361,$V$6:$V$10005,0)=ROW()-5,N($AA1360)+1,N($AA1360)))</f>
        <v>0</v>
      </c>
    </row>
    <row r="1362" spans="1:27" ht="21" customHeight="1" x14ac:dyDescent="0.95">
      <c r="A1362" s="56"/>
      <c r="B1362" s="57"/>
      <c r="C1362" s="57"/>
      <c r="D1362" s="57"/>
      <c r="E1362" s="56"/>
      <c r="F1362" s="57"/>
      <c r="G1362" s="57"/>
      <c r="H1362" s="56"/>
      <c r="I1362" s="56"/>
      <c r="J1362" s="58"/>
      <c r="K1362" s="58"/>
      <c r="L1362" s="13" t="str">
        <f t="shared" si="210"/>
        <v/>
      </c>
      <c r="M1362" s="13" t="str">
        <f t="shared" si="211"/>
        <v/>
      </c>
      <c r="Q1362" t="str">
        <f t="shared" si="212"/>
        <v/>
      </c>
      <c r="R1362" t="str">
        <f t="shared" si="213"/>
        <v/>
      </c>
      <c r="S1362" t="str">
        <f t="shared" si="214"/>
        <v/>
      </c>
      <c r="T1362" t="str">
        <f t="shared" si="215"/>
        <v/>
      </c>
      <c r="U1362" t="str">
        <f t="shared" si="216"/>
        <v/>
      </c>
      <c r="V1362" t="str">
        <f t="shared" si="217"/>
        <v/>
      </c>
      <c r="W1362" t="str">
        <f t="shared" si="218"/>
        <v/>
      </c>
      <c r="X1362">
        <f>IF($T1362="",N($X1361),IF(MATCH($T1362,$T$6:$T$10005,0)=ROW()-5,N($X1361)+1,N($X1361)))</f>
        <v>0</v>
      </c>
      <c r="Z1362" t="str">
        <f t="shared" si="219"/>
        <v/>
      </c>
      <c r="AA1362">
        <f>IF($V1362="",N($AA1361),IF(MATCH($V1362,$V$6:$V$10005,0)=ROW()-5,N($AA1361)+1,N($AA1361)))</f>
        <v>0</v>
      </c>
    </row>
    <row r="1363" spans="1:27" ht="21" customHeight="1" x14ac:dyDescent="0.95">
      <c r="A1363" s="56"/>
      <c r="B1363" s="57"/>
      <c r="C1363" s="57"/>
      <c r="D1363" s="57"/>
      <c r="E1363" s="56"/>
      <c r="F1363" s="57"/>
      <c r="G1363" s="57"/>
      <c r="H1363" s="56"/>
      <c r="I1363" s="56"/>
      <c r="J1363" s="58"/>
      <c r="K1363" s="58"/>
      <c r="L1363" s="13" t="str">
        <f t="shared" si="210"/>
        <v/>
      </c>
      <c r="M1363" s="13" t="str">
        <f t="shared" si="211"/>
        <v/>
      </c>
      <c r="Q1363" t="str">
        <f t="shared" si="212"/>
        <v/>
      </c>
      <c r="R1363" t="str">
        <f t="shared" si="213"/>
        <v/>
      </c>
      <c r="S1363" t="str">
        <f t="shared" si="214"/>
        <v/>
      </c>
      <c r="T1363" t="str">
        <f t="shared" si="215"/>
        <v/>
      </c>
      <c r="U1363" t="str">
        <f t="shared" si="216"/>
        <v/>
      </c>
      <c r="V1363" t="str">
        <f t="shared" si="217"/>
        <v/>
      </c>
      <c r="W1363" t="str">
        <f t="shared" si="218"/>
        <v/>
      </c>
      <c r="X1363">
        <f>IF($T1363="",N($X1362),IF(MATCH($T1363,$T$6:$T$10005,0)=ROW()-5,N($X1362)+1,N($X1362)))</f>
        <v>0</v>
      </c>
      <c r="Z1363" t="str">
        <f t="shared" si="219"/>
        <v/>
      </c>
      <c r="AA1363">
        <f>IF($V1363="",N($AA1362),IF(MATCH($V1363,$V$6:$V$10005,0)=ROW()-5,N($AA1362)+1,N($AA1362)))</f>
        <v>0</v>
      </c>
    </row>
    <row r="1364" spans="1:27" ht="21" customHeight="1" x14ac:dyDescent="0.95">
      <c r="A1364" s="56"/>
      <c r="B1364" s="57"/>
      <c r="C1364" s="57"/>
      <c r="D1364" s="57"/>
      <c r="E1364" s="56"/>
      <c r="F1364" s="57"/>
      <c r="G1364" s="57"/>
      <c r="H1364" s="56"/>
      <c r="I1364" s="56"/>
      <c r="J1364" s="58"/>
      <c r="K1364" s="58"/>
      <c r="L1364" s="13" t="str">
        <f t="shared" si="210"/>
        <v/>
      </c>
      <c r="M1364" s="13" t="str">
        <f t="shared" si="211"/>
        <v/>
      </c>
      <c r="Q1364" t="str">
        <f t="shared" si="212"/>
        <v/>
      </c>
      <c r="R1364" t="str">
        <f t="shared" si="213"/>
        <v/>
      </c>
      <c r="S1364" t="str">
        <f t="shared" si="214"/>
        <v/>
      </c>
      <c r="T1364" t="str">
        <f t="shared" si="215"/>
        <v/>
      </c>
      <c r="U1364" t="str">
        <f t="shared" si="216"/>
        <v/>
      </c>
      <c r="V1364" t="str">
        <f t="shared" si="217"/>
        <v/>
      </c>
      <c r="W1364" t="str">
        <f t="shared" si="218"/>
        <v/>
      </c>
      <c r="X1364">
        <f>IF($T1364="",N($X1363),IF(MATCH($T1364,$T$6:$T$10005,0)=ROW()-5,N($X1363)+1,N($X1363)))</f>
        <v>0</v>
      </c>
      <c r="Z1364" t="str">
        <f t="shared" si="219"/>
        <v/>
      </c>
      <c r="AA1364">
        <f>IF($V1364="",N($AA1363),IF(MATCH($V1364,$V$6:$V$10005,0)=ROW()-5,N($AA1363)+1,N($AA1363)))</f>
        <v>0</v>
      </c>
    </row>
    <row r="1365" spans="1:27" ht="21" customHeight="1" x14ac:dyDescent="0.95">
      <c r="A1365" s="56"/>
      <c r="B1365" s="57"/>
      <c r="C1365" s="57"/>
      <c r="D1365" s="57"/>
      <c r="E1365" s="56"/>
      <c r="F1365" s="57"/>
      <c r="G1365" s="57"/>
      <c r="H1365" s="56"/>
      <c r="I1365" s="56"/>
      <c r="J1365" s="58"/>
      <c r="K1365" s="58"/>
      <c r="L1365" s="13" t="str">
        <f t="shared" si="210"/>
        <v/>
      </c>
      <c r="M1365" s="13" t="str">
        <f t="shared" si="211"/>
        <v/>
      </c>
      <c r="Q1365" t="str">
        <f t="shared" si="212"/>
        <v/>
      </c>
      <c r="R1365" t="str">
        <f t="shared" si="213"/>
        <v/>
      </c>
      <c r="S1365" t="str">
        <f t="shared" si="214"/>
        <v/>
      </c>
      <c r="T1365" t="str">
        <f t="shared" si="215"/>
        <v/>
      </c>
      <c r="U1365" t="str">
        <f t="shared" si="216"/>
        <v/>
      </c>
      <c r="V1365" t="str">
        <f t="shared" si="217"/>
        <v/>
      </c>
      <c r="W1365" t="str">
        <f t="shared" si="218"/>
        <v/>
      </c>
      <c r="X1365">
        <f>IF($T1365="",N($X1364),IF(MATCH($T1365,$T$6:$T$10005,0)=ROW()-5,N($X1364)+1,N($X1364)))</f>
        <v>0</v>
      </c>
      <c r="Z1365" t="str">
        <f t="shared" si="219"/>
        <v/>
      </c>
      <c r="AA1365">
        <f>IF($V1365="",N($AA1364),IF(MATCH($V1365,$V$6:$V$10005,0)=ROW()-5,N($AA1364)+1,N($AA1364)))</f>
        <v>0</v>
      </c>
    </row>
    <row r="1366" spans="1:27" ht="21" customHeight="1" x14ac:dyDescent="0.95">
      <c r="A1366" s="56"/>
      <c r="B1366" s="57"/>
      <c r="C1366" s="57"/>
      <c r="D1366" s="57"/>
      <c r="E1366" s="56"/>
      <c r="F1366" s="57"/>
      <c r="G1366" s="57"/>
      <c r="H1366" s="56"/>
      <c r="I1366" s="56"/>
      <c r="J1366" s="58"/>
      <c r="K1366" s="58"/>
      <c r="L1366" s="13" t="str">
        <f t="shared" si="210"/>
        <v/>
      </c>
      <c r="M1366" s="13" t="str">
        <f t="shared" si="211"/>
        <v/>
      </c>
      <c r="Q1366" t="str">
        <f t="shared" si="212"/>
        <v/>
      </c>
      <c r="R1366" t="str">
        <f t="shared" si="213"/>
        <v/>
      </c>
      <c r="S1366" t="str">
        <f t="shared" si="214"/>
        <v/>
      </c>
      <c r="T1366" t="str">
        <f t="shared" si="215"/>
        <v/>
      </c>
      <c r="U1366" t="str">
        <f t="shared" si="216"/>
        <v/>
      </c>
      <c r="V1366" t="str">
        <f t="shared" si="217"/>
        <v/>
      </c>
      <c r="W1366" t="str">
        <f t="shared" si="218"/>
        <v/>
      </c>
      <c r="X1366">
        <f>IF($T1366="",N($X1365),IF(MATCH($T1366,$T$6:$T$10005,0)=ROW()-5,N($X1365)+1,N($X1365)))</f>
        <v>0</v>
      </c>
      <c r="Z1366" t="str">
        <f t="shared" si="219"/>
        <v/>
      </c>
      <c r="AA1366">
        <f>IF($V1366="",N($AA1365),IF(MATCH($V1366,$V$6:$V$10005,0)=ROW()-5,N($AA1365)+1,N($AA1365)))</f>
        <v>0</v>
      </c>
    </row>
    <row r="1367" spans="1:27" ht="21" customHeight="1" x14ac:dyDescent="0.95">
      <c r="A1367" s="56"/>
      <c r="B1367" s="57"/>
      <c r="C1367" s="57"/>
      <c r="D1367" s="57"/>
      <c r="E1367" s="56"/>
      <c r="F1367" s="57"/>
      <c r="G1367" s="57"/>
      <c r="H1367" s="56"/>
      <c r="I1367" s="56"/>
      <c r="J1367" s="58"/>
      <c r="K1367" s="58"/>
      <c r="L1367" s="13" t="str">
        <f t="shared" si="210"/>
        <v/>
      </c>
      <c r="M1367" s="13" t="str">
        <f t="shared" si="211"/>
        <v/>
      </c>
      <c r="Q1367" t="str">
        <f t="shared" si="212"/>
        <v/>
      </c>
      <c r="R1367" t="str">
        <f t="shared" si="213"/>
        <v/>
      </c>
      <c r="S1367" t="str">
        <f t="shared" si="214"/>
        <v/>
      </c>
      <c r="T1367" t="str">
        <f t="shared" si="215"/>
        <v/>
      </c>
      <c r="U1367" t="str">
        <f t="shared" si="216"/>
        <v/>
      </c>
      <c r="V1367" t="str">
        <f t="shared" si="217"/>
        <v/>
      </c>
      <c r="W1367" t="str">
        <f t="shared" si="218"/>
        <v/>
      </c>
      <c r="X1367">
        <f>IF($T1367="",N($X1366),IF(MATCH($T1367,$T$6:$T$10005,0)=ROW()-5,N($X1366)+1,N($X1366)))</f>
        <v>0</v>
      </c>
      <c r="Z1367" t="str">
        <f t="shared" si="219"/>
        <v/>
      </c>
      <c r="AA1367">
        <f>IF($V1367="",N($AA1366),IF(MATCH($V1367,$V$6:$V$10005,0)=ROW()-5,N($AA1366)+1,N($AA1366)))</f>
        <v>0</v>
      </c>
    </row>
    <row r="1368" spans="1:27" ht="21" customHeight="1" x14ac:dyDescent="0.95">
      <c r="A1368" s="56"/>
      <c r="B1368" s="57"/>
      <c r="C1368" s="57"/>
      <c r="D1368" s="57"/>
      <c r="E1368" s="56"/>
      <c r="F1368" s="57"/>
      <c r="G1368" s="57"/>
      <c r="H1368" s="56"/>
      <c r="I1368" s="56"/>
      <c r="J1368" s="58"/>
      <c r="K1368" s="58"/>
      <c r="L1368" s="13" t="str">
        <f t="shared" si="210"/>
        <v/>
      </c>
      <c r="M1368" s="13" t="str">
        <f t="shared" si="211"/>
        <v/>
      </c>
      <c r="Q1368" t="str">
        <f t="shared" si="212"/>
        <v/>
      </c>
      <c r="R1368" t="str">
        <f t="shared" si="213"/>
        <v/>
      </c>
      <c r="S1368" t="str">
        <f t="shared" si="214"/>
        <v/>
      </c>
      <c r="T1368" t="str">
        <f t="shared" si="215"/>
        <v/>
      </c>
      <c r="U1368" t="str">
        <f t="shared" si="216"/>
        <v/>
      </c>
      <c r="V1368" t="str">
        <f t="shared" si="217"/>
        <v/>
      </c>
      <c r="W1368" t="str">
        <f t="shared" si="218"/>
        <v/>
      </c>
      <c r="X1368">
        <f>IF($T1368="",N($X1367),IF(MATCH($T1368,$T$6:$T$10005,0)=ROW()-5,N($X1367)+1,N($X1367)))</f>
        <v>0</v>
      </c>
      <c r="Z1368" t="str">
        <f t="shared" si="219"/>
        <v/>
      </c>
      <c r="AA1368">
        <f>IF($V1368="",N($AA1367),IF(MATCH($V1368,$V$6:$V$10005,0)=ROW()-5,N($AA1367)+1,N($AA1367)))</f>
        <v>0</v>
      </c>
    </row>
    <row r="1369" spans="1:27" ht="21" customHeight="1" x14ac:dyDescent="0.95">
      <c r="A1369" s="56"/>
      <c r="B1369" s="57"/>
      <c r="C1369" s="57"/>
      <c r="D1369" s="57"/>
      <c r="E1369" s="56"/>
      <c r="F1369" s="57"/>
      <c r="G1369" s="57"/>
      <c r="H1369" s="56"/>
      <c r="I1369" s="56"/>
      <c r="J1369" s="58"/>
      <c r="K1369" s="58"/>
      <c r="L1369" s="13" t="str">
        <f t="shared" si="210"/>
        <v/>
      </c>
      <c r="M1369" s="13" t="str">
        <f t="shared" si="211"/>
        <v/>
      </c>
      <c r="Q1369" t="str">
        <f t="shared" si="212"/>
        <v/>
      </c>
      <c r="R1369" t="str">
        <f t="shared" si="213"/>
        <v/>
      </c>
      <c r="S1369" t="str">
        <f t="shared" si="214"/>
        <v/>
      </c>
      <c r="T1369" t="str">
        <f t="shared" si="215"/>
        <v/>
      </c>
      <c r="U1369" t="str">
        <f t="shared" si="216"/>
        <v/>
      </c>
      <c r="V1369" t="str">
        <f t="shared" si="217"/>
        <v/>
      </c>
      <c r="W1369" t="str">
        <f t="shared" si="218"/>
        <v/>
      </c>
      <c r="X1369">
        <f>IF($T1369="",N($X1368),IF(MATCH($T1369,$T$6:$T$10005,0)=ROW()-5,N($X1368)+1,N($X1368)))</f>
        <v>0</v>
      </c>
      <c r="Z1369" t="str">
        <f t="shared" si="219"/>
        <v/>
      </c>
      <c r="AA1369">
        <f>IF($V1369="",N($AA1368),IF(MATCH($V1369,$V$6:$V$10005,0)=ROW()-5,N($AA1368)+1,N($AA1368)))</f>
        <v>0</v>
      </c>
    </row>
    <row r="1370" spans="1:27" ht="21" customHeight="1" x14ac:dyDescent="0.95">
      <c r="A1370" s="56"/>
      <c r="B1370" s="57"/>
      <c r="C1370" s="57"/>
      <c r="D1370" s="57"/>
      <c r="E1370" s="56"/>
      <c r="F1370" s="57"/>
      <c r="G1370" s="57"/>
      <c r="H1370" s="56"/>
      <c r="I1370" s="56"/>
      <c r="J1370" s="58"/>
      <c r="K1370" s="58"/>
      <c r="L1370" s="13" t="str">
        <f t="shared" si="210"/>
        <v/>
      </c>
      <c r="M1370" s="13" t="str">
        <f t="shared" si="211"/>
        <v/>
      </c>
      <c r="Q1370" t="str">
        <f t="shared" si="212"/>
        <v/>
      </c>
      <c r="R1370" t="str">
        <f t="shared" si="213"/>
        <v/>
      </c>
      <c r="S1370" t="str">
        <f t="shared" si="214"/>
        <v/>
      </c>
      <c r="T1370" t="str">
        <f t="shared" si="215"/>
        <v/>
      </c>
      <c r="U1370" t="str">
        <f t="shared" si="216"/>
        <v/>
      </c>
      <c r="V1370" t="str">
        <f t="shared" si="217"/>
        <v/>
      </c>
      <c r="W1370" t="str">
        <f t="shared" si="218"/>
        <v/>
      </c>
      <c r="X1370">
        <f>IF($T1370="",N($X1369),IF(MATCH($T1370,$T$6:$T$10005,0)=ROW()-5,N($X1369)+1,N($X1369)))</f>
        <v>0</v>
      </c>
      <c r="Z1370" t="str">
        <f t="shared" si="219"/>
        <v/>
      </c>
      <c r="AA1370">
        <f>IF($V1370="",N($AA1369),IF(MATCH($V1370,$V$6:$V$10005,0)=ROW()-5,N($AA1369)+1,N($AA1369)))</f>
        <v>0</v>
      </c>
    </row>
    <row r="1371" spans="1:27" ht="21" customHeight="1" x14ac:dyDescent="0.95">
      <c r="A1371" s="56"/>
      <c r="B1371" s="57"/>
      <c r="C1371" s="57"/>
      <c r="D1371" s="57"/>
      <c r="E1371" s="56"/>
      <c r="F1371" s="57"/>
      <c r="G1371" s="57"/>
      <c r="H1371" s="56"/>
      <c r="I1371" s="56"/>
      <c r="J1371" s="58"/>
      <c r="K1371" s="58"/>
      <c r="L1371" s="13" t="str">
        <f t="shared" si="210"/>
        <v/>
      </c>
      <c r="M1371" s="13" t="str">
        <f t="shared" si="211"/>
        <v/>
      </c>
      <c r="Q1371" t="str">
        <f t="shared" si="212"/>
        <v/>
      </c>
      <c r="R1371" t="str">
        <f t="shared" si="213"/>
        <v/>
      </c>
      <c r="S1371" t="str">
        <f t="shared" si="214"/>
        <v/>
      </c>
      <c r="T1371" t="str">
        <f t="shared" si="215"/>
        <v/>
      </c>
      <c r="U1371" t="str">
        <f t="shared" si="216"/>
        <v/>
      </c>
      <c r="V1371" t="str">
        <f t="shared" si="217"/>
        <v/>
      </c>
      <c r="W1371" t="str">
        <f t="shared" si="218"/>
        <v/>
      </c>
      <c r="X1371">
        <f>IF($T1371="",N($X1370),IF(MATCH($T1371,$T$6:$T$10005,0)=ROW()-5,N($X1370)+1,N($X1370)))</f>
        <v>0</v>
      </c>
      <c r="Z1371" t="str">
        <f t="shared" si="219"/>
        <v/>
      </c>
      <c r="AA1371">
        <f>IF($V1371="",N($AA1370),IF(MATCH($V1371,$V$6:$V$10005,0)=ROW()-5,N($AA1370)+1,N($AA1370)))</f>
        <v>0</v>
      </c>
    </row>
    <row r="1372" spans="1:27" ht="21" customHeight="1" x14ac:dyDescent="0.95">
      <c r="A1372" s="56"/>
      <c r="B1372" s="57"/>
      <c r="C1372" s="57"/>
      <c r="D1372" s="57"/>
      <c r="E1372" s="56"/>
      <c r="F1372" s="57"/>
      <c r="G1372" s="57"/>
      <c r="H1372" s="56"/>
      <c r="I1372" s="56"/>
      <c r="J1372" s="58"/>
      <c r="K1372" s="58"/>
      <c r="L1372" s="13" t="str">
        <f t="shared" si="210"/>
        <v/>
      </c>
      <c r="M1372" s="13" t="str">
        <f t="shared" si="211"/>
        <v/>
      </c>
      <c r="Q1372" t="str">
        <f t="shared" si="212"/>
        <v/>
      </c>
      <c r="R1372" t="str">
        <f t="shared" si="213"/>
        <v/>
      </c>
      <c r="S1372" t="str">
        <f t="shared" si="214"/>
        <v/>
      </c>
      <c r="T1372" t="str">
        <f t="shared" si="215"/>
        <v/>
      </c>
      <c r="U1372" t="str">
        <f t="shared" si="216"/>
        <v/>
      </c>
      <c r="V1372" t="str">
        <f t="shared" si="217"/>
        <v/>
      </c>
      <c r="W1372" t="str">
        <f t="shared" si="218"/>
        <v/>
      </c>
      <c r="X1372">
        <f>IF($T1372="",N($X1371),IF(MATCH($T1372,$T$6:$T$10005,0)=ROW()-5,N($X1371)+1,N($X1371)))</f>
        <v>0</v>
      </c>
      <c r="Z1372" t="str">
        <f t="shared" si="219"/>
        <v/>
      </c>
      <c r="AA1372">
        <f>IF($V1372="",N($AA1371),IF(MATCH($V1372,$V$6:$V$10005,0)=ROW()-5,N($AA1371)+1,N($AA1371)))</f>
        <v>0</v>
      </c>
    </row>
    <row r="1373" spans="1:27" ht="21" customHeight="1" x14ac:dyDescent="0.95">
      <c r="A1373" s="56"/>
      <c r="B1373" s="57"/>
      <c r="C1373" s="57"/>
      <c r="D1373" s="57"/>
      <c r="E1373" s="56"/>
      <c r="F1373" s="57"/>
      <c r="G1373" s="57"/>
      <c r="H1373" s="56"/>
      <c r="I1373" s="56"/>
      <c r="J1373" s="58"/>
      <c r="K1373" s="58"/>
      <c r="L1373" s="13" t="str">
        <f t="shared" si="210"/>
        <v/>
      </c>
      <c r="M1373" s="13" t="str">
        <f t="shared" si="211"/>
        <v/>
      </c>
      <c r="Q1373" t="str">
        <f t="shared" si="212"/>
        <v/>
      </c>
      <c r="R1373" t="str">
        <f t="shared" si="213"/>
        <v/>
      </c>
      <c r="S1373" t="str">
        <f t="shared" si="214"/>
        <v/>
      </c>
      <c r="T1373" t="str">
        <f t="shared" si="215"/>
        <v/>
      </c>
      <c r="U1373" t="str">
        <f t="shared" si="216"/>
        <v/>
      </c>
      <c r="V1373" t="str">
        <f t="shared" si="217"/>
        <v/>
      </c>
      <c r="W1373" t="str">
        <f t="shared" si="218"/>
        <v/>
      </c>
      <c r="X1373">
        <f>IF($T1373="",N($X1372),IF(MATCH($T1373,$T$6:$T$10005,0)=ROW()-5,N($X1372)+1,N($X1372)))</f>
        <v>0</v>
      </c>
      <c r="Z1373" t="str">
        <f t="shared" si="219"/>
        <v/>
      </c>
      <c r="AA1373">
        <f>IF($V1373="",N($AA1372),IF(MATCH($V1373,$V$6:$V$10005,0)=ROW()-5,N($AA1372)+1,N($AA1372)))</f>
        <v>0</v>
      </c>
    </row>
    <row r="1374" spans="1:27" ht="21" customHeight="1" x14ac:dyDescent="0.95">
      <c r="A1374" s="56"/>
      <c r="B1374" s="57"/>
      <c r="C1374" s="57"/>
      <c r="D1374" s="57"/>
      <c r="E1374" s="56"/>
      <c r="F1374" s="57"/>
      <c r="G1374" s="57"/>
      <c r="H1374" s="56"/>
      <c r="I1374" s="56"/>
      <c r="J1374" s="58"/>
      <c r="K1374" s="58"/>
      <c r="L1374" s="13" t="str">
        <f t="shared" si="210"/>
        <v/>
      </c>
      <c r="M1374" s="13" t="str">
        <f t="shared" si="211"/>
        <v/>
      </c>
      <c r="Q1374" t="str">
        <f t="shared" si="212"/>
        <v/>
      </c>
      <c r="R1374" t="str">
        <f t="shared" si="213"/>
        <v/>
      </c>
      <c r="S1374" t="str">
        <f t="shared" si="214"/>
        <v/>
      </c>
      <c r="T1374" t="str">
        <f t="shared" si="215"/>
        <v/>
      </c>
      <c r="U1374" t="str">
        <f t="shared" si="216"/>
        <v/>
      </c>
      <c r="V1374" t="str">
        <f t="shared" si="217"/>
        <v/>
      </c>
      <c r="W1374" t="str">
        <f t="shared" si="218"/>
        <v/>
      </c>
      <c r="X1374">
        <f>IF($T1374="",N($X1373),IF(MATCH($T1374,$T$6:$T$10005,0)=ROW()-5,N($X1373)+1,N($X1373)))</f>
        <v>0</v>
      </c>
      <c r="Z1374" t="str">
        <f t="shared" si="219"/>
        <v/>
      </c>
      <c r="AA1374">
        <f>IF($V1374="",N($AA1373),IF(MATCH($V1374,$V$6:$V$10005,0)=ROW()-5,N($AA1373)+1,N($AA1373)))</f>
        <v>0</v>
      </c>
    </row>
    <row r="1375" spans="1:27" ht="21" customHeight="1" x14ac:dyDescent="0.95">
      <c r="A1375" s="56"/>
      <c r="B1375" s="57"/>
      <c r="C1375" s="57"/>
      <c r="D1375" s="57"/>
      <c r="E1375" s="56"/>
      <c r="F1375" s="57"/>
      <c r="G1375" s="57"/>
      <c r="H1375" s="56"/>
      <c r="I1375" s="56"/>
      <c r="J1375" s="58"/>
      <c r="K1375" s="58"/>
      <c r="L1375" s="13" t="str">
        <f t="shared" si="210"/>
        <v/>
      </c>
      <c r="M1375" s="13" t="str">
        <f t="shared" si="211"/>
        <v/>
      </c>
      <c r="Q1375" t="str">
        <f t="shared" si="212"/>
        <v/>
      </c>
      <c r="R1375" t="str">
        <f t="shared" si="213"/>
        <v/>
      </c>
      <c r="S1375" t="str">
        <f t="shared" si="214"/>
        <v/>
      </c>
      <c r="T1375" t="str">
        <f t="shared" si="215"/>
        <v/>
      </c>
      <c r="U1375" t="str">
        <f t="shared" si="216"/>
        <v/>
      </c>
      <c r="V1375" t="str">
        <f t="shared" si="217"/>
        <v/>
      </c>
      <c r="W1375" t="str">
        <f t="shared" si="218"/>
        <v/>
      </c>
      <c r="X1375">
        <f>IF($T1375="",N($X1374),IF(MATCH($T1375,$T$6:$T$10005,0)=ROW()-5,N($X1374)+1,N($X1374)))</f>
        <v>0</v>
      </c>
      <c r="Z1375" t="str">
        <f t="shared" si="219"/>
        <v/>
      </c>
      <c r="AA1375">
        <f>IF($V1375="",N($AA1374),IF(MATCH($V1375,$V$6:$V$10005,0)=ROW()-5,N($AA1374)+1,N($AA1374)))</f>
        <v>0</v>
      </c>
    </row>
    <row r="1376" spans="1:27" ht="21" customHeight="1" x14ac:dyDescent="0.95">
      <c r="A1376" s="56"/>
      <c r="B1376" s="57"/>
      <c r="C1376" s="57"/>
      <c r="D1376" s="57"/>
      <c r="E1376" s="56"/>
      <c r="F1376" s="57"/>
      <c r="G1376" s="57"/>
      <c r="H1376" s="56"/>
      <c r="I1376" s="56"/>
      <c r="J1376" s="58"/>
      <c r="K1376" s="58"/>
      <c r="L1376" s="13" t="str">
        <f t="shared" si="210"/>
        <v/>
      </c>
      <c r="M1376" s="13" t="str">
        <f t="shared" si="211"/>
        <v/>
      </c>
      <c r="Q1376" t="str">
        <f t="shared" si="212"/>
        <v/>
      </c>
      <c r="R1376" t="str">
        <f t="shared" si="213"/>
        <v/>
      </c>
      <c r="S1376" t="str">
        <f t="shared" si="214"/>
        <v/>
      </c>
      <c r="T1376" t="str">
        <f t="shared" si="215"/>
        <v/>
      </c>
      <c r="U1376" t="str">
        <f t="shared" si="216"/>
        <v/>
      </c>
      <c r="V1376" t="str">
        <f t="shared" si="217"/>
        <v/>
      </c>
      <c r="W1376" t="str">
        <f t="shared" si="218"/>
        <v/>
      </c>
      <c r="X1376">
        <f>IF($T1376="",N($X1375),IF(MATCH($T1376,$T$6:$T$10005,0)=ROW()-5,N($X1375)+1,N($X1375)))</f>
        <v>0</v>
      </c>
      <c r="Z1376" t="str">
        <f t="shared" si="219"/>
        <v/>
      </c>
      <c r="AA1376">
        <f>IF($V1376="",N($AA1375),IF(MATCH($V1376,$V$6:$V$10005,0)=ROW()-5,N($AA1375)+1,N($AA1375)))</f>
        <v>0</v>
      </c>
    </row>
    <row r="1377" spans="1:27" ht="21" customHeight="1" x14ac:dyDescent="0.95">
      <c r="A1377" s="56"/>
      <c r="B1377" s="57"/>
      <c r="C1377" s="57"/>
      <c r="D1377" s="57"/>
      <c r="E1377" s="56"/>
      <c r="F1377" s="57"/>
      <c r="G1377" s="57"/>
      <c r="H1377" s="56"/>
      <c r="I1377" s="56"/>
      <c r="J1377" s="58"/>
      <c r="K1377" s="58"/>
      <c r="L1377" s="13" t="str">
        <f t="shared" si="210"/>
        <v/>
      </c>
      <c r="M1377" s="13" t="str">
        <f t="shared" si="211"/>
        <v/>
      </c>
      <c r="Q1377" t="str">
        <f t="shared" si="212"/>
        <v/>
      </c>
      <c r="R1377" t="str">
        <f t="shared" si="213"/>
        <v/>
      </c>
      <c r="S1377" t="str">
        <f t="shared" si="214"/>
        <v/>
      </c>
      <c r="T1377" t="str">
        <f t="shared" si="215"/>
        <v/>
      </c>
      <c r="U1377" t="str">
        <f t="shared" si="216"/>
        <v/>
      </c>
      <c r="V1377" t="str">
        <f t="shared" si="217"/>
        <v/>
      </c>
      <c r="W1377" t="str">
        <f t="shared" si="218"/>
        <v/>
      </c>
      <c r="X1377">
        <f>IF($T1377="",N($X1376),IF(MATCH($T1377,$T$6:$T$10005,0)=ROW()-5,N($X1376)+1,N($X1376)))</f>
        <v>0</v>
      </c>
      <c r="Z1377" t="str">
        <f t="shared" si="219"/>
        <v/>
      </c>
      <c r="AA1377">
        <f>IF($V1377="",N($AA1376),IF(MATCH($V1377,$V$6:$V$10005,0)=ROW()-5,N($AA1376)+1,N($AA1376)))</f>
        <v>0</v>
      </c>
    </row>
    <row r="1378" spans="1:27" ht="21" customHeight="1" x14ac:dyDescent="0.95">
      <c r="A1378" s="56"/>
      <c r="B1378" s="57"/>
      <c r="C1378" s="57"/>
      <c r="D1378" s="57"/>
      <c r="E1378" s="56"/>
      <c r="F1378" s="57"/>
      <c r="G1378" s="57"/>
      <c r="H1378" s="56"/>
      <c r="I1378" s="56"/>
      <c r="J1378" s="58"/>
      <c r="K1378" s="58"/>
      <c r="L1378" s="13" t="str">
        <f t="shared" si="210"/>
        <v/>
      </c>
      <c r="M1378" s="13" t="str">
        <f t="shared" si="211"/>
        <v/>
      </c>
      <c r="Q1378" t="str">
        <f t="shared" si="212"/>
        <v/>
      </c>
      <c r="R1378" t="str">
        <f t="shared" si="213"/>
        <v/>
      </c>
      <c r="S1378" t="str">
        <f t="shared" si="214"/>
        <v/>
      </c>
      <c r="T1378" t="str">
        <f t="shared" si="215"/>
        <v/>
      </c>
      <c r="U1378" t="str">
        <f t="shared" si="216"/>
        <v/>
      </c>
      <c r="V1378" t="str">
        <f t="shared" si="217"/>
        <v/>
      </c>
      <c r="W1378" t="str">
        <f t="shared" si="218"/>
        <v/>
      </c>
      <c r="X1378">
        <f>IF($T1378="",N($X1377),IF(MATCH($T1378,$T$6:$T$10005,0)=ROW()-5,N($X1377)+1,N($X1377)))</f>
        <v>0</v>
      </c>
      <c r="Z1378" t="str">
        <f t="shared" si="219"/>
        <v/>
      </c>
      <c r="AA1378">
        <f>IF($V1378="",N($AA1377),IF(MATCH($V1378,$V$6:$V$10005,0)=ROW()-5,N($AA1377)+1,N($AA1377)))</f>
        <v>0</v>
      </c>
    </row>
    <row r="1379" spans="1:27" ht="21" customHeight="1" x14ac:dyDescent="0.95">
      <c r="A1379" s="56"/>
      <c r="B1379" s="57"/>
      <c r="C1379" s="57"/>
      <c r="D1379" s="57"/>
      <c r="E1379" s="56"/>
      <c r="F1379" s="57"/>
      <c r="G1379" s="57"/>
      <c r="H1379" s="56"/>
      <c r="I1379" s="56"/>
      <c r="J1379" s="58"/>
      <c r="K1379" s="58"/>
      <c r="L1379" s="13" t="str">
        <f t="shared" si="210"/>
        <v/>
      </c>
      <c r="M1379" s="13" t="str">
        <f t="shared" si="211"/>
        <v/>
      </c>
      <c r="Q1379" t="str">
        <f t="shared" si="212"/>
        <v/>
      </c>
      <c r="R1379" t="str">
        <f t="shared" si="213"/>
        <v/>
      </c>
      <c r="S1379" t="str">
        <f t="shared" si="214"/>
        <v/>
      </c>
      <c r="T1379" t="str">
        <f t="shared" si="215"/>
        <v/>
      </c>
      <c r="U1379" t="str">
        <f t="shared" si="216"/>
        <v/>
      </c>
      <c r="V1379" t="str">
        <f t="shared" si="217"/>
        <v/>
      </c>
      <c r="W1379" t="str">
        <f t="shared" si="218"/>
        <v/>
      </c>
      <c r="X1379">
        <f>IF($T1379="",N($X1378),IF(MATCH($T1379,$T$6:$T$10005,0)=ROW()-5,N($X1378)+1,N($X1378)))</f>
        <v>0</v>
      </c>
      <c r="Z1379" t="str">
        <f t="shared" si="219"/>
        <v/>
      </c>
      <c r="AA1379">
        <f>IF($V1379="",N($AA1378),IF(MATCH($V1379,$V$6:$V$10005,0)=ROW()-5,N($AA1378)+1,N($AA1378)))</f>
        <v>0</v>
      </c>
    </row>
    <row r="1380" spans="1:27" ht="21" customHeight="1" x14ac:dyDescent="0.95">
      <c r="A1380" s="56"/>
      <c r="B1380" s="57"/>
      <c r="C1380" s="57"/>
      <c r="D1380" s="57"/>
      <c r="E1380" s="56"/>
      <c r="F1380" s="57"/>
      <c r="G1380" s="57"/>
      <c r="H1380" s="56"/>
      <c r="I1380" s="56"/>
      <c r="J1380" s="58"/>
      <c r="K1380" s="58"/>
      <c r="L1380" s="13" t="str">
        <f t="shared" si="210"/>
        <v/>
      </c>
      <c r="M1380" s="13" t="str">
        <f t="shared" si="211"/>
        <v/>
      </c>
      <c r="Q1380" t="str">
        <f t="shared" si="212"/>
        <v/>
      </c>
      <c r="R1380" t="str">
        <f t="shared" si="213"/>
        <v/>
      </c>
      <c r="S1380" t="str">
        <f t="shared" si="214"/>
        <v/>
      </c>
      <c r="T1380" t="str">
        <f t="shared" si="215"/>
        <v/>
      </c>
      <c r="U1380" t="str">
        <f t="shared" si="216"/>
        <v/>
      </c>
      <c r="V1380" t="str">
        <f t="shared" si="217"/>
        <v/>
      </c>
      <c r="W1380" t="str">
        <f t="shared" si="218"/>
        <v/>
      </c>
      <c r="X1380">
        <f>IF($T1380="",N($X1379),IF(MATCH($T1380,$T$6:$T$10005,0)=ROW()-5,N($X1379)+1,N($X1379)))</f>
        <v>0</v>
      </c>
      <c r="Z1380" t="str">
        <f t="shared" si="219"/>
        <v/>
      </c>
      <c r="AA1380">
        <f>IF($V1380="",N($AA1379),IF(MATCH($V1380,$V$6:$V$10005,0)=ROW()-5,N($AA1379)+1,N($AA1379)))</f>
        <v>0</v>
      </c>
    </row>
    <row r="1381" spans="1:27" ht="21" customHeight="1" x14ac:dyDescent="0.95">
      <c r="A1381" s="56"/>
      <c r="B1381" s="57"/>
      <c r="C1381" s="57"/>
      <c r="D1381" s="57"/>
      <c r="E1381" s="56"/>
      <c r="F1381" s="57"/>
      <c r="G1381" s="57"/>
      <c r="H1381" s="56"/>
      <c r="I1381" s="56"/>
      <c r="J1381" s="58"/>
      <c r="K1381" s="58"/>
      <c r="L1381" s="13" t="str">
        <f t="shared" si="210"/>
        <v/>
      </c>
      <c r="M1381" s="13" t="str">
        <f t="shared" si="211"/>
        <v/>
      </c>
      <c r="Q1381" t="str">
        <f t="shared" si="212"/>
        <v/>
      </c>
      <c r="R1381" t="str">
        <f t="shared" si="213"/>
        <v/>
      </c>
      <c r="S1381" t="str">
        <f t="shared" si="214"/>
        <v/>
      </c>
      <c r="T1381" t="str">
        <f t="shared" si="215"/>
        <v/>
      </c>
      <c r="U1381" t="str">
        <f t="shared" si="216"/>
        <v/>
      </c>
      <c r="V1381" t="str">
        <f t="shared" si="217"/>
        <v/>
      </c>
      <c r="W1381" t="str">
        <f t="shared" si="218"/>
        <v/>
      </c>
      <c r="X1381">
        <f>IF($T1381="",N($X1380),IF(MATCH($T1381,$T$6:$T$10005,0)=ROW()-5,N($X1380)+1,N($X1380)))</f>
        <v>0</v>
      </c>
      <c r="Z1381" t="str">
        <f t="shared" si="219"/>
        <v/>
      </c>
      <c r="AA1381">
        <f>IF($V1381="",N($AA1380),IF(MATCH($V1381,$V$6:$V$10005,0)=ROW()-5,N($AA1380)+1,N($AA1380)))</f>
        <v>0</v>
      </c>
    </row>
    <row r="1382" spans="1:27" ht="21" customHeight="1" x14ac:dyDescent="0.95">
      <c r="A1382" s="56"/>
      <c r="B1382" s="57"/>
      <c r="C1382" s="57"/>
      <c r="D1382" s="57"/>
      <c r="E1382" s="56"/>
      <c r="F1382" s="57"/>
      <c r="G1382" s="57"/>
      <c r="H1382" s="56"/>
      <c r="I1382" s="56"/>
      <c r="J1382" s="58"/>
      <c r="K1382" s="58"/>
      <c r="L1382" s="13" t="str">
        <f t="shared" si="210"/>
        <v/>
      </c>
      <c r="M1382" s="13" t="str">
        <f t="shared" si="211"/>
        <v/>
      </c>
      <c r="Q1382" t="str">
        <f t="shared" si="212"/>
        <v/>
      </c>
      <c r="R1382" t="str">
        <f t="shared" si="213"/>
        <v/>
      </c>
      <c r="S1382" t="str">
        <f t="shared" si="214"/>
        <v/>
      </c>
      <c r="T1382" t="str">
        <f t="shared" si="215"/>
        <v/>
      </c>
      <c r="U1382" t="str">
        <f t="shared" si="216"/>
        <v/>
      </c>
      <c r="V1382" t="str">
        <f t="shared" si="217"/>
        <v/>
      </c>
      <c r="W1382" t="str">
        <f t="shared" si="218"/>
        <v/>
      </c>
      <c r="X1382">
        <f>IF($T1382="",N($X1381),IF(MATCH($T1382,$T$6:$T$10005,0)=ROW()-5,N($X1381)+1,N($X1381)))</f>
        <v>0</v>
      </c>
      <c r="Z1382" t="str">
        <f t="shared" si="219"/>
        <v/>
      </c>
      <c r="AA1382">
        <f>IF($V1382="",N($AA1381),IF(MATCH($V1382,$V$6:$V$10005,0)=ROW()-5,N($AA1381)+1,N($AA1381)))</f>
        <v>0</v>
      </c>
    </row>
    <row r="1383" spans="1:27" ht="21" customHeight="1" x14ac:dyDescent="0.95">
      <c r="A1383" s="56"/>
      <c r="B1383" s="57"/>
      <c r="C1383" s="57"/>
      <c r="D1383" s="57"/>
      <c r="E1383" s="56"/>
      <c r="F1383" s="57"/>
      <c r="G1383" s="57"/>
      <c r="H1383" s="56"/>
      <c r="I1383" s="56"/>
      <c r="J1383" s="58"/>
      <c r="K1383" s="58"/>
      <c r="L1383" s="13" t="str">
        <f t="shared" si="210"/>
        <v/>
      </c>
      <c r="M1383" s="13" t="str">
        <f t="shared" si="211"/>
        <v/>
      </c>
      <c r="Q1383" t="str">
        <f t="shared" si="212"/>
        <v/>
      </c>
      <c r="R1383" t="str">
        <f t="shared" si="213"/>
        <v/>
      </c>
      <c r="S1383" t="str">
        <f t="shared" si="214"/>
        <v/>
      </c>
      <c r="T1383" t="str">
        <f t="shared" si="215"/>
        <v/>
      </c>
      <c r="U1383" t="str">
        <f t="shared" si="216"/>
        <v/>
      </c>
      <c r="V1383" t="str">
        <f t="shared" si="217"/>
        <v/>
      </c>
      <c r="W1383" t="str">
        <f t="shared" si="218"/>
        <v/>
      </c>
      <c r="X1383">
        <f>IF($T1383="",N($X1382),IF(MATCH($T1383,$T$6:$T$10005,0)=ROW()-5,N($X1382)+1,N($X1382)))</f>
        <v>0</v>
      </c>
      <c r="Z1383" t="str">
        <f t="shared" si="219"/>
        <v/>
      </c>
      <c r="AA1383">
        <f>IF($V1383="",N($AA1382),IF(MATCH($V1383,$V$6:$V$10005,0)=ROW()-5,N($AA1382)+1,N($AA1382)))</f>
        <v>0</v>
      </c>
    </row>
    <row r="1384" spans="1:27" ht="21" customHeight="1" x14ac:dyDescent="0.95">
      <c r="A1384" s="56"/>
      <c r="B1384" s="57"/>
      <c r="C1384" s="57"/>
      <c r="D1384" s="57"/>
      <c r="E1384" s="56"/>
      <c r="F1384" s="57"/>
      <c r="G1384" s="57"/>
      <c r="H1384" s="56"/>
      <c r="I1384" s="56"/>
      <c r="J1384" s="58"/>
      <c r="K1384" s="58"/>
      <c r="L1384" s="13" t="str">
        <f t="shared" si="210"/>
        <v/>
      </c>
      <c r="M1384" s="13" t="str">
        <f t="shared" si="211"/>
        <v/>
      </c>
      <c r="Q1384" t="str">
        <f t="shared" si="212"/>
        <v/>
      </c>
      <c r="R1384" t="str">
        <f t="shared" si="213"/>
        <v/>
      </c>
      <c r="S1384" t="str">
        <f t="shared" si="214"/>
        <v/>
      </c>
      <c r="T1384" t="str">
        <f t="shared" si="215"/>
        <v/>
      </c>
      <c r="U1384" t="str">
        <f t="shared" si="216"/>
        <v/>
      </c>
      <c r="V1384" t="str">
        <f t="shared" si="217"/>
        <v/>
      </c>
      <c r="W1384" t="str">
        <f t="shared" si="218"/>
        <v/>
      </c>
      <c r="X1384">
        <f>IF($T1384="",N($X1383),IF(MATCH($T1384,$T$6:$T$10005,0)=ROW()-5,N($X1383)+1,N($X1383)))</f>
        <v>0</v>
      </c>
      <c r="Z1384" t="str">
        <f t="shared" si="219"/>
        <v/>
      </c>
      <c r="AA1384">
        <f>IF($V1384="",N($AA1383),IF(MATCH($V1384,$V$6:$V$10005,0)=ROW()-5,N($AA1383)+1,N($AA1383)))</f>
        <v>0</v>
      </c>
    </row>
    <row r="1385" spans="1:27" ht="21" customHeight="1" x14ac:dyDescent="0.95">
      <c r="A1385" s="56"/>
      <c r="B1385" s="57"/>
      <c r="C1385" s="57"/>
      <c r="D1385" s="57"/>
      <c r="E1385" s="56"/>
      <c r="F1385" s="57"/>
      <c r="G1385" s="57"/>
      <c r="H1385" s="56"/>
      <c r="I1385" s="56"/>
      <c r="J1385" s="58"/>
      <c r="K1385" s="58"/>
      <c r="L1385" s="13" t="str">
        <f t="shared" si="210"/>
        <v/>
      </c>
      <c r="M1385" s="13" t="str">
        <f t="shared" si="211"/>
        <v/>
      </c>
      <c r="Q1385" t="str">
        <f t="shared" si="212"/>
        <v/>
      </c>
      <c r="R1385" t="str">
        <f t="shared" si="213"/>
        <v/>
      </c>
      <c r="S1385" t="str">
        <f t="shared" si="214"/>
        <v/>
      </c>
      <c r="T1385" t="str">
        <f t="shared" si="215"/>
        <v/>
      </c>
      <c r="U1385" t="str">
        <f t="shared" si="216"/>
        <v/>
      </c>
      <c r="V1385" t="str">
        <f t="shared" si="217"/>
        <v/>
      </c>
      <c r="W1385" t="str">
        <f t="shared" si="218"/>
        <v/>
      </c>
      <c r="X1385">
        <f>IF($T1385="",N($X1384),IF(MATCH($T1385,$T$6:$T$10005,0)=ROW()-5,N($X1384)+1,N($X1384)))</f>
        <v>0</v>
      </c>
      <c r="Z1385" t="str">
        <f t="shared" si="219"/>
        <v/>
      </c>
      <c r="AA1385">
        <f>IF($V1385="",N($AA1384),IF(MATCH($V1385,$V$6:$V$10005,0)=ROW()-5,N($AA1384)+1,N($AA1384)))</f>
        <v>0</v>
      </c>
    </row>
    <row r="1386" spans="1:27" ht="21" customHeight="1" x14ac:dyDescent="0.95">
      <c r="A1386" s="56"/>
      <c r="B1386" s="57"/>
      <c r="C1386" s="57"/>
      <c r="D1386" s="57"/>
      <c r="E1386" s="56"/>
      <c r="F1386" s="57"/>
      <c r="G1386" s="57"/>
      <c r="H1386" s="56"/>
      <c r="I1386" s="56"/>
      <c r="J1386" s="58"/>
      <c r="K1386" s="58"/>
      <c r="L1386" s="13" t="str">
        <f t="shared" si="210"/>
        <v/>
      </c>
      <c r="M1386" s="13" t="str">
        <f t="shared" si="211"/>
        <v/>
      </c>
      <c r="Q1386" t="str">
        <f t="shared" si="212"/>
        <v/>
      </c>
      <c r="R1386" t="str">
        <f t="shared" si="213"/>
        <v/>
      </c>
      <c r="S1386" t="str">
        <f t="shared" si="214"/>
        <v/>
      </c>
      <c r="T1386" t="str">
        <f t="shared" si="215"/>
        <v/>
      </c>
      <c r="U1386" t="str">
        <f t="shared" si="216"/>
        <v/>
      </c>
      <c r="V1386" t="str">
        <f t="shared" si="217"/>
        <v/>
      </c>
      <c r="W1386" t="str">
        <f t="shared" si="218"/>
        <v/>
      </c>
      <c r="X1386">
        <f>IF($T1386="",N($X1385),IF(MATCH($T1386,$T$6:$T$10005,0)=ROW()-5,N($X1385)+1,N($X1385)))</f>
        <v>0</v>
      </c>
      <c r="Z1386" t="str">
        <f t="shared" si="219"/>
        <v/>
      </c>
      <c r="AA1386">
        <f>IF($V1386="",N($AA1385),IF(MATCH($V1386,$V$6:$V$10005,0)=ROW()-5,N($AA1385)+1,N($AA1385)))</f>
        <v>0</v>
      </c>
    </row>
    <row r="1387" spans="1:27" ht="21" customHeight="1" x14ac:dyDescent="0.95">
      <c r="A1387" s="56"/>
      <c r="B1387" s="57"/>
      <c r="C1387" s="57"/>
      <c r="D1387" s="57"/>
      <c r="E1387" s="56"/>
      <c r="F1387" s="57"/>
      <c r="G1387" s="57"/>
      <c r="H1387" s="56"/>
      <c r="I1387" s="56"/>
      <c r="J1387" s="58"/>
      <c r="K1387" s="58"/>
      <c r="L1387" s="13" t="str">
        <f t="shared" si="210"/>
        <v/>
      </c>
      <c r="M1387" s="13" t="str">
        <f t="shared" si="211"/>
        <v/>
      </c>
      <c r="Q1387" t="str">
        <f t="shared" si="212"/>
        <v/>
      </c>
      <c r="R1387" t="str">
        <f t="shared" si="213"/>
        <v/>
      </c>
      <c r="S1387" t="str">
        <f t="shared" si="214"/>
        <v/>
      </c>
      <c r="T1387" t="str">
        <f t="shared" si="215"/>
        <v/>
      </c>
      <c r="U1387" t="str">
        <f t="shared" si="216"/>
        <v/>
      </c>
      <c r="V1387" t="str">
        <f t="shared" si="217"/>
        <v/>
      </c>
      <c r="W1387" t="str">
        <f t="shared" si="218"/>
        <v/>
      </c>
      <c r="X1387">
        <f>IF($T1387="",N($X1386),IF(MATCH($T1387,$T$6:$T$10005,0)=ROW()-5,N($X1386)+1,N($X1386)))</f>
        <v>0</v>
      </c>
      <c r="Z1387" t="str">
        <f t="shared" si="219"/>
        <v/>
      </c>
      <c r="AA1387">
        <f>IF($V1387="",N($AA1386),IF(MATCH($V1387,$V$6:$V$10005,0)=ROW()-5,N($AA1386)+1,N($AA1386)))</f>
        <v>0</v>
      </c>
    </row>
    <row r="1388" spans="1:27" ht="21" customHeight="1" x14ac:dyDescent="0.95">
      <c r="A1388" s="56"/>
      <c r="B1388" s="57"/>
      <c r="C1388" s="57"/>
      <c r="D1388" s="57"/>
      <c r="E1388" s="56"/>
      <c r="F1388" s="57"/>
      <c r="G1388" s="57"/>
      <c r="H1388" s="56"/>
      <c r="I1388" s="56"/>
      <c r="J1388" s="58"/>
      <c r="K1388" s="58"/>
      <c r="L1388" s="13" t="str">
        <f t="shared" si="210"/>
        <v/>
      </c>
      <c r="M1388" s="13" t="str">
        <f t="shared" si="211"/>
        <v/>
      </c>
      <c r="Q1388" t="str">
        <f t="shared" si="212"/>
        <v/>
      </c>
      <c r="R1388" t="str">
        <f t="shared" si="213"/>
        <v/>
      </c>
      <c r="S1388" t="str">
        <f t="shared" si="214"/>
        <v/>
      </c>
      <c r="T1388" t="str">
        <f t="shared" si="215"/>
        <v/>
      </c>
      <c r="U1388" t="str">
        <f t="shared" si="216"/>
        <v/>
      </c>
      <c r="V1388" t="str">
        <f t="shared" si="217"/>
        <v/>
      </c>
      <c r="W1388" t="str">
        <f t="shared" si="218"/>
        <v/>
      </c>
      <c r="X1388">
        <f>IF($T1388="",N($X1387),IF(MATCH($T1388,$T$6:$T$10005,0)=ROW()-5,N($X1387)+1,N($X1387)))</f>
        <v>0</v>
      </c>
      <c r="Z1388" t="str">
        <f t="shared" si="219"/>
        <v/>
      </c>
      <c r="AA1388">
        <f>IF($V1388="",N($AA1387),IF(MATCH($V1388,$V$6:$V$10005,0)=ROW()-5,N($AA1387)+1,N($AA1387)))</f>
        <v>0</v>
      </c>
    </row>
    <row r="1389" spans="1:27" ht="21" customHeight="1" x14ac:dyDescent="0.95">
      <c r="A1389" s="56"/>
      <c r="B1389" s="57"/>
      <c r="C1389" s="57"/>
      <c r="D1389" s="57"/>
      <c r="E1389" s="56"/>
      <c r="F1389" s="57"/>
      <c r="G1389" s="57"/>
      <c r="H1389" s="56"/>
      <c r="I1389" s="56"/>
      <c r="J1389" s="58"/>
      <c r="K1389" s="58"/>
      <c r="L1389" s="13" t="str">
        <f t="shared" si="210"/>
        <v/>
      </c>
      <c r="M1389" s="13" t="str">
        <f t="shared" si="211"/>
        <v/>
      </c>
      <c r="Q1389" t="str">
        <f t="shared" si="212"/>
        <v/>
      </c>
      <c r="R1389" t="str">
        <f t="shared" si="213"/>
        <v/>
      </c>
      <c r="S1389" t="str">
        <f t="shared" si="214"/>
        <v/>
      </c>
      <c r="T1389" t="str">
        <f t="shared" si="215"/>
        <v/>
      </c>
      <c r="U1389" t="str">
        <f t="shared" si="216"/>
        <v/>
      </c>
      <c r="V1389" t="str">
        <f t="shared" si="217"/>
        <v/>
      </c>
      <c r="W1389" t="str">
        <f t="shared" si="218"/>
        <v/>
      </c>
      <c r="X1389">
        <f>IF($T1389="",N($X1388),IF(MATCH($T1389,$T$6:$T$10005,0)=ROW()-5,N($X1388)+1,N($X1388)))</f>
        <v>0</v>
      </c>
      <c r="Z1389" t="str">
        <f t="shared" si="219"/>
        <v/>
      </c>
      <c r="AA1389">
        <f>IF($V1389="",N($AA1388),IF(MATCH($V1389,$V$6:$V$10005,0)=ROW()-5,N($AA1388)+1,N($AA1388)))</f>
        <v>0</v>
      </c>
    </row>
    <row r="1390" spans="1:27" ht="21" customHeight="1" x14ac:dyDescent="0.95">
      <c r="A1390" s="56"/>
      <c r="B1390" s="57"/>
      <c r="C1390" s="57"/>
      <c r="D1390" s="57"/>
      <c r="E1390" s="56"/>
      <c r="F1390" s="57"/>
      <c r="G1390" s="57"/>
      <c r="H1390" s="56"/>
      <c r="I1390" s="56"/>
      <c r="J1390" s="58"/>
      <c r="K1390" s="58"/>
      <c r="L1390" s="13" t="str">
        <f t="shared" si="210"/>
        <v/>
      </c>
      <c r="M1390" s="13" t="str">
        <f t="shared" si="211"/>
        <v/>
      </c>
      <c r="Q1390" t="str">
        <f t="shared" si="212"/>
        <v/>
      </c>
      <c r="R1390" t="str">
        <f t="shared" si="213"/>
        <v/>
      </c>
      <c r="S1390" t="str">
        <f t="shared" si="214"/>
        <v/>
      </c>
      <c r="T1390" t="str">
        <f t="shared" si="215"/>
        <v/>
      </c>
      <c r="U1390" t="str">
        <f t="shared" si="216"/>
        <v/>
      </c>
      <c r="V1390" t="str">
        <f t="shared" si="217"/>
        <v/>
      </c>
      <c r="W1390" t="str">
        <f t="shared" si="218"/>
        <v/>
      </c>
      <c r="X1390">
        <f>IF($T1390="",N($X1389),IF(MATCH($T1390,$T$6:$T$10005,0)=ROW()-5,N($X1389)+1,N($X1389)))</f>
        <v>0</v>
      </c>
      <c r="Z1390" t="str">
        <f t="shared" si="219"/>
        <v/>
      </c>
      <c r="AA1390">
        <f>IF($V1390="",N($AA1389),IF(MATCH($V1390,$V$6:$V$10005,0)=ROW()-5,N($AA1389)+1,N($AA1389)))</f>
        <v>0</v>
      </c>
    </row>
    <row r="1391" spans="1:27" ht="21" customHeight="1" x14ac:dyDescent="0.95">
      <c r="A1391" s="56"/>
      <c r="B1391" s="57"/>
      <c r="C1391" s="57"/>
      <c r="D1391" s="57"/>
      <c r="E1391" s="56"/>
      <c r="F1391" s="57"/>
      <c r="G1391" s="57"/>
      <c r="H1391" s="56"/>
      <c r="I1391" s="56"/>
      <c r="J1391" s="58"/>
      <c r="K1391" s="58"/>
      <c r="L1391" s="13" t="str">
        <f t="shared" si="210"/>
        <v/>
      </c>
      <c r="M1391" s="13" t="str">
        <f t="shared" si="211"/>
        <v/>
      </c>
      <c r="Q1391" t="str">
        <f t="shared" si="212"/>
        <v/>
      </c>
      <c r="R1391" t="str">
        <f t="shared" si="213"/>
        <v/>
      </c>
      <c r="S1391" t="str">
        <f t="shared" si="214"/>
        <v/>
      </c>
      <c r="T1391" t="str">
        <f t="shared" si="215"/>
        <v/>
      </c>
      <c r="U1391" t="str">
        <f t="shared" si="216"/>
        <v/>
      </c>
      <c r="V1391" t="str">
        <f t="shared" si="217"/>
        <v/>
      </c>
      <c r="W1391" t="str">
        <f t="shared" si="218"/>
        <v/>
      </c>
      <c r="X1391">
        <f>IF($T1391="",N($X1390),IF(MATCH($T1391,$T$6:$T$10005,0)=ROW()-5,N($X1390)+1,N($X1390)))</f>
        <v>0</v>
      </c>
      <c r="Z1391" t="str">
        <f t="shared" si="219"/>
        <v/>
      </c>
      <c r="AA1391">
        <f>IF($V1391="",N($AA1390),IF(MATCH($V1391,$V$6:$V$10005,0)=ROW()-5,N($AA1390)+1,N($AA1390)))</f>
        <v>0</v>
      </c>
    </row>
    <row r="1392" spans="1:27" ht="21" customHeight="1" x14ac:dyDescent="0.95">
      <c r="A1392" s="56"/>
      <c r="B1392" s="57"/>
      <c r="C1392" s="57"/>
      <c r="D1392" s="57"/>
      <c r="E1392" s="56"/>
      <c r="F1392" s="57"/>
      <c r="G1392" s="57"/>
      <c r="H1392" s="56"/>
      <c r="I1392" s="56"/>
      <c r="J1392" s="58"/>
      <c r="K1392" s="58"/>
      <c r="L1392" s="13" t="str">
        <f t="shared" si="210"/>
        <v/>
      </c>
      <c r="M1392" s="13" t="str">
        <f t="shared" si="211"/>
        <v/>
      </c>
      <c r="Q1392" t="str">
        <f t="shared" si="212"/>
        <v/>
      </c>
      <c r="R1392" t="str">
        <f t="shared" si="213"/>
        <v/>
      </c>
      <c r="S1392" t="str">
        <f t="shared" si="214"/>
        <v/>
      </c>
      <c r="T1392" t="str">
        <f t="shared" si="215"/>
        <v/>
      </c>
      <c r="U1392" t="str">
        <f t="shared" si="216"/>
        <v/>
      </c>
      <c r="V1392" t="str">
        <f t="shared" si="217"/>
        <v/>
      </c>
      <c r="W1392" t="str">
        <f t="shared" si="218"/>
        <v/>
      </c>
      <c r="X1392">
        <f>IF($T1392="",N($X1391),IF(MATCH($T1392,$T$6:$T$10005,0)=ROW()-5,N($X1391)+1,N($X1391)))</f>
        <v>0</v>
      </c>
      <c r="Z1392" t="str">
        <f t="shared" si="219"/>
        <v/>
      </c>
      <c r="AA1392">
        <f>IF($V1392="",N($AA1391),IF(MATCH($V1392,$V$6:$V$10005,0)=ROW()-5,N($AA1391)+1,N($AA1391)))</f>
        <v>0</v>
      </c>
    </row>
    <row r="1393" spans="1:27" ht="21" customHeight="1" x14ac:dyDescent="0.95">
      <c r="A1393" s="56"/>
      <c r="B1393" s="57"/>
      <c r="C1393" s="57"/>
      <c r="D1393" s="57"/>
      <c r="E1393" s="56"/>
      <c r="F1393" s="57"/>
      <c r="G1393" s="57"/>
      <c r="H1393" s="56"/>
      <c r="I1393" s="56"/>
      <c r="J1393" s="58"/>
      <c r="K1393" s="58"/>
      <c r="L1393" s="13" t="str">
        <f t="shared" si="210"/>
        <v/>
      </c>
      <c r="M1393" s="13" t="str">
        <f t="shared" si="211"/>
        <v/>
      </c>
      <c r="Q1393" t="str">
        <f t="shared" si="212"/>
        <v/>
      </c>
      <c r="R1393" t="str">
        <f t="shared" si="213"/>
        <v/>
      </c>
      <c r="S1393" t="str">
        <f t="shared" si="214"/>
        <v/>
      </c>
      <c r="T1393" t="str">
        <f t="shared" si="215"/>
        <v/>
      </c>
      <c r="U1393" t="str">
        <f t="shared" si="216"/>
        <v/>
      </c>
      <c r="V1393" t="str">
        <f t="shared" si="217"/>
        <v/>
      </c>
      <c r="W1393" t="str">
        <f t="shared" si="218"/>
        <v/>
      </c>
      <c r="X1393">
        <f>IF($T1393="",N($X1392),IF(MATCH($T1393,$T$6:$T$10005,0)=ROW()-5,N($X1392)+1,N($X1392)))</f>
        <v>0</v>
      </c>
      <c r="Z1393" t="str">
        <f t="shared" si="219"/>
        <v/>
      </c>
      <c r="AA1393">
        <f>IF($V1393="",N($AA1392),IF(MATCH($V1393,$V$6:$V$10005,0)=ROW()-5,N($AA1392)+1,N($AA1392)))</f>
        <v>0</v>
      </c>
    </row>
    <row r="1394" spans="1:27" ht="21" customHeight="1" x14ac:dyDescent="0.95">
      <c r="A1394" s="56"/>
      <c r="B1394" s="57"/>
      <c r="C1394" s="57"/>
      <c r="D1394" s="57"/>
      <c r="E1394" s="56"/>
      <c r="F1394" s="57"/>
      <c r="G1394" s="57"/>
      <c r="H1394" s="56"/>
      <c r="I1394" s="56"/>
      <c r="J1394" s="58"/>
      <c r="K1394" s="58"/>
      <c r="L1394" s="13" t="str">
        <f t="shared" si="210"/>
        <v/>
      </c>
      <c r="M1394" s="13" t="str">
        <f t="shared" si="211"/>
        <v/>
      </c>
      <c r="Q1394" t="str">
        <f t="shared" si="212"/>
        <v/>
      </c>
      <c r="R1394" t="str">
        <f t="shared" si="213"/>
        <v/>
      </c>
      <c r="S1394" t="str">
        <f t="shared" si="214"/>
        <v/>
      </c>
      <c r="T1394" t="str">
        <f t="shared" si="215"/>
        <v/>
      </c>
      <c r="U1394" t="str">
        <f t="shared" si="216"/>
        <v/>
      </c>
      <c r="V1394" t="str">
        <f t="shared" si="217"/>
        <v/>
      </c>
      <c r="W1394" t="str">
        <f t="shared" si="218"/>
        <v/>
      </c>
      <c r="X1394">
        <f>IF($T1394="",N($X1393),IF(MATCH($T1394,$T$6:$T$10005,0)=ROW()-5,N($X1393)+1,N($X1393)))</f>
        <v>0</v>
      </c>
      <c r="Z1394" t="str">
        <f t="shared" si="219"/>
        <v/>
      </c>
      <c r="AA1394">
        <f>IF($V1394="",N($AA1393),IF(MATCH($V1394,$V$6:$V$10005,0)=ROW()-5,N($AA1393)+1,N($AA1393)))</f>
        <v>0</v>
      </c>
    </row>
    <row r="1395" spans="1:27" ht="21" customHeight="1" x14ac:dyDescent="0.95">
      <c r="A1395" s="56"/>
      <c r="B1395" s="57"/>
      <c r="C1395" s="57"/>
      <c r="D1395" s="57"/>
      <c r="E1395" s="56"/>
      <c r="F1395" s="57"/>
      <c r="G1395" s="57"/>
      <c r="H1395" s="56"/>
      <c r="I1395" s="56"/>
      <c r="J1395" s="58"/>
      <c r="K1395" s="58"/>
      <c r="L1395" s="13" t="str">
        <f t="shared" si="210"/>
        <v/>
      </c>
      <c r="M1395" s="13" t="str">
        <f t="shared" si="211"/>
        <v/>
      </c>
      <c r="Q1395" t="str">
        <f t="shared" si="212"/>
        <v/>
      </c>
      <c r="R1395" t="str">
        <f t="shared" si="213"/>
        <v/>
      </c>
      <c r="S1395" t="str">
        <f t="shared" si="214"/>
        <v/>
      </c>
      <c r="T1395" t="str">
        <f t="shared" si="215"/>
        <v/>
      </c>
      <c r="U1395" t="str">
        <f t="shared" si="216"/>
        <v/>
      </c>
      <c r="V1395" t="str">
        <f t="shared" si="217"/>
        <v/>
      </c>
      <c r="W1395" t="str">
        <f t="shared" si="218"/>
        <v/>
      </c>
      <c r="X1395">
        <f>IF($T1395="",N($X1394),IF(MATCH($T1395,$T$6:$T$10005,0)=ROW()-5,N($X1394)+1,N($X1394)))</f>
        <v>0</v>
      </c>
      <c r="Z1395" t="str">
        <f t="shared" si="219"/>
        <v/>
      </c>
      <c r="AA1395">
        <f>IF($V1395="",N($AA1394),IF(MATCH($V1395,$V$6:$V$10005,0)=ROW()-5,N($AA1394)+1,N($AA1394)))</f>
        <v>0</v>
      </c>
    </row>
    <row r="1396" spans="1:27" ht="21" customHeight="1" x14ac:dyDescent="0.95">
      <c r="A1396" s="56"/>
      <c r="B1396" s="57"/>
      <c r="C1396" s="57"/>
      <c r="D1396" s="57"/>
      <c r="E1396" s="56"/>
      <c r="F1396" s="57"/>
      <c r="G1396" s="57"/>
      <c r="H1396" s="56"/>
      <c r="I1396" s="56"/>
      <c r="J1396" s="58"/>
      <c r="K1396" s="58"/>
      <c r="L1396" s="13" t="str">
        <f t="shared" si="210"/>
        <v/>
      </c>
      <c r="M1396" s="13" t="str">
        <f t="shared" si="211"/>
        <v/>
      </c>
      <c r="Q1396" t="str">
        <f t="shared" si="212"/>
        <v/>
      </c>
      <c r="R1396" t="str">
        <f t="shared" si="213"/>
        <v/>
      </c>
      <c r="S1396" t="str">
        <f t="shared" si="214"/>
        <v/>
      </c>
      <c r="T1396" t="str">
        <f t="shared" si="215"/>
        <v/>
      </c>
      <c r="U1396" t="str">
        <f t="shared" si="216"/>
        <v/>
      </c>
      <c r="V1396" t="str">
        <f t="shared" si="217"/>
        <v/>
      </c>
      <c r="W1396" t="str">
        <f t="shared" si="218"/>
        <v/>
      </c>
      <c r="X1396">
        <f>IF($T1396="",N($X1395),IF(MATCH($T1396,$T$6:$T$10005,0)=ROW()-5,N($X1395)+1,N($X1395)))</f>
        <v>0</v>
      </c>
      <c r="Z1396" t="str">
        <f t="shared" si="219"/>
        <v/>
      </c>
      <c r="AA1396">
        <f>IF($V1396="",N($AA1395),IF(MATCH($V1396,$V$6:$V$10005,0)=ROW()-5,N($AA1395)+1,N($AA1395)))</f>
        <v>0</v>
      </c>
    </row>
    <row r="1397" spans="1:27" ht="21" customHeight="1" x14ac:dyDescent="0.95">
      <c r="A1397" s="56"/>
      <c r="B1397" s="57"/>
      <c r="C1397" s="57"/>
      <c r="D1397" s="57"/>
      <c r="E1397" s="56"/>
      <c r="F1397" s="57"/>
      <c r="G1397" s="57"/>
      <c r="H1397" s="56"/>
      <c r="I1397" s="56"/>
      <c r="J1397" s="58"/>
      <c r="K1397" s="58"/>
      <c r="L1397" s="13" t="str">
        <f t="shared" si="210"/>
        <v/>
      </c>
      <c r="M1397" s="13" t="str">
        <f t="shared" si="211"/>
        <v/>
      </c>
      <c r="Q1397" t="str">
        <f t="shared" si="212"/>
        <v/>
      </c>
      <c r="R1397" t="str">
        <f t="shared" si="213"/>
        <v/>
      </c>
      <c r="S1397" t="str">
        <f t="shared" si="214"/>
        <v/>
      </c>
      <c r="T1397" t="str">
        <f t="shared" si="215"/>
        <v/>
      </c>
      <c r="U1397" t="str">
        <f t="shared" si="216"/>
        <v/>
      </c>
      <c r="V1397" t="str">
        <f t="shared" si="217"/>
        <v/>
      </c>
      <c r="W1397" t="str">
        <f t="shared" si="218"/>
        <v/>
      </c>
      <c r="X1397">
        <f>IF($T1397="",N($X1396),IF(MATCH($T1397,$T$6:$T$10005,0)=ROW()-5,N($X1396)+1,N($X1396)))</f>
        <v>0</v>
      </c>
      <c r="Z1397" t="str">
        <f t="shared" si="219"/>
        <v/>
      </c>
      <c r="AA1397">
        <f>IF($V1397="",N($AA1396),IF(MATCH($V1397,$V$6:$V$10005,0)=ROW()-5,N($AA1396)+1,N($AA1396)))</f>
        <v>0</v>
      </c>
    </row>
    <row r="1398" spans="1:27" ht="21" customHeight="1" x14ac:dyDescent="0.95">
      <c r="A1398" s="56"/>
      <c r="B1398" s="57"/>
      <c r="C1398" s="57"/>
      <c r="D1398" s="57"/>
      <c r="E1398" s="56"/>
      <c r="F1398" s="57"/>
      <c r="G1398" s="57"/>
      <c r="H1398" s="56"/>
      <c r="I1398" s="56"/>
      <c r="J1398" s="58"/>
      <c r="K1398" s="58"/>
      <c r="L1398" s="13" t="str">
        <f t="shared" si="210"/>
        <v/>
      </c>
      <c r="M1398" s="13" t="str">
        <f t="shared" si="211"/>
        <v/>
      </c>
      <c r="Q1398" t="str">
        <f t="shared" si="212"/>
        <v/>
      </c>
      <c r="R1398" t="str">
        <f t="shared" si="213"/>
        <v/>
      </c>
      <c r="S1398" t="str">
        <f t="shared" si="214"/>
        <v/>
      </c>
      <c r="T1398" t="str">
        <f t="shared" si="215"/>
        <v/>
      </c>
      <c r="U1398" t="str">
        <f t="shared" si="216"/>
        <v/>
      </c>
      <c r="V1398" t="str">
        <f t="shared" si="217"/>
        <v/>
      </c>
      <c r="W1398" t="str">
        <f t="shared" si="218"/>
        <v/>
      </c>
      <c r="X1398">
        <f>IF($T1398="",N($X1397),IF(MATCH($T1398,$T$6:$T$10005,0)=ROW()-5,N($X1397)+1,N($X1397)))</f>
        <v>0</v>
      </c>
      <c r="Z1398" t="str">
        <f t="shared" si="219"/>
        <v/>
      </c>
      <c r="AA1398">
        <f>IF($V1398="",N($AA1397),IF(MATCH($V1398,$V$6:$V$10005,0)=ROW()-5,N($AA1397)+1,N($AA1397)))</f>
        <v>0</v>
      </c>
    </row>
    <row r="1399" spans="1:27" ht="21" customHeight="1" x14ac:dyDescent="0.95">
      <c r="A1399" s="56"/>
      <c r="B1399" s="57"/>
      <c r="C1399" s="57"/>
      <c r="D1399" s="57"/>
      <c r="E1399" s="56"/>
      <c r="F1399" s="57"/>
      <c r="G1399" s="57"/>
      <c r="H1399" s="56"/>
      <c r="I1399" s="56"/>
      <c r="J1399" s="58"/>
      <c r="K1399" s="58"/>
      <c r="L1399" s="13" t="str">
        <f t="shared" si="210"/>
        <v/>
      </c>
      <c r="M1399" s="13" t="str">
        <f t="shared" si="211"/>
        <v/>
      </c>
      <c r="Q1399" t="str">
        <f t="shared" si="212"/>
        <v/>
      </c>
      <c r="R1399" t="str">
        <f t="shared" si="213"/>
        <v/>
      </c>
      <c r="S1399" t="str">
        <f t="shared" si="214"/>
        <v/>
      </c>
      <c r="T1399" t="str">
        <f t="shared" si="215"/>
        <v/>
      </c>
      <c r="U1399" t="str">
        <f t="shared" si="216"/>
        <v/>
      </c>
      <c r="V1399" t="str">
        <f t="shared" si="217"/>
        <v/>
      </c>
      <c r="W1399" t="str">
        <f t="shared" si="218"/>
        <v/>
      </c>
      <c r="X1399">
        <f>IF($T1399="",N($X1398),IF(MATCH($T1399,$T$6:$T$10005,0)=ROW()-5,N($X1398)+1,N($X1398)))</f>
        <v>0</v>
      </c>
      <c r="Z1399" t="str">
        <f t="shared" si="219"/>
        <v/>
      </c>
      <c r="AA1399">
        <f>IF($V1399="",N($AA1398),IF(MATCH($V1399,$V$6:$V$10005,0)=ROW()-5,N($AA1398)+1,N($AA1398)))</f>
        <v>0</v>
      </c>
    </row>
    <row r="1400" spans="1:27" ht="21" customHeight="1" x14ac:dyDescent="0.95">
      <c r="A1400" s="56"/>
      <c r="B1400" s="57"/>
      <c r="C1400" s="57"/>
      <c r="D1400" s="57"/>
      <c r="E1400" s="56"/>
      <c r="F1400" s="57"/>
      <c r="G1400" s="57"/>
      <c r="H1400" s="56"/>
      <c r="I1400" s="56"/>
      <c r="J1400" s="58"/>
      <c r="K1400" s="58"/>
      <c r="L1400" s="13" t="str">
        <f t="shared" si="210"/>
        <v/>
      </c>
      <c r="M1400" s="13" t="str">
        <f t="shared" si="211"/>
        <v/>
      </c>
      <c r="Q1400" t="str">
        <f t="shared" si="212"/>
        <v/>
      </c>
      <c r="R1400" t="str">
        <f t="shared" si="213"/>
        <v/>
      </c>
      <c r="S1400" t="str">
        <f t="shared" si="214"/>
        <v/>
      </c>
      <c r="T1400" t="str">
        <f t="shared" si="215"/>
        <v/>
      </c>
      <c r="U1400" t="str">
        <f t="shared" si="216"/>
        <v/>
      </c>
      <c r="V1400" t="str">
        <f t="shared" si="217"/>
        <v/>
      </c>
      <c r="W1400" t="str">
        <f t="shared" si="218"/>
        <v/>
      </c>
      <c r="X1400">
        <f>IF($T1400="",N($X1399),IF(MATCH($T1400,$T$6:$T$10005,0)=ROW()-5,N($X1399)+1,N($X1399)))</f>
        <v>0</v>
      </c>
      <c r="Z1400" t="str">
        <f t="shared" si="219"/>
        <v/>
      </c>
      <c r="AA1400">
        <f>IF($V1400="",N($AA1399),IF(MATCH($V1400,$V$6:$V$10005,0)=ROW()-5,N($AA1399)+1,N($AA1399)))</f>
        <v>0</v>
      </c>
    </row>
    <row r="1401" spans="1:27" ht="21" customHeight="1" x14ac:dyDescent="0.95">
      <c r="A1401" s="56"/>
      <c r="B1401" s="57"/>
      <c r="C1401" s="57"/>
      <c r="D1401" s="57"/>
      <c r="E1401" s="56"/>
      <c r="F1401" s="57"/>
      <c r="G1401" s="57"/>
      <c r="H1401" s="56"/>
      <c r="I1401" s="56"/>
      <c r="J1401" s="58"/>
      <c r="K1401" s="58"/>
      <c r="L1401" s="13" t="str">
        <f t="shared" si="210"/>
        <v/>
      </c>
      <c r="M1401" s="13" t="str">
        <f t="shared" si="211"/>
        <v/>
      </c>
      <c r="Q1401" t="str">
        <f t="shared" si="212"/>
        <v/>
      </c>
      <c r="R1401" t="str">
        <f t="shared" si="213"/>
        <v/>
      </c>
      <c r="S1401" t="str">
        <f t="shared" si="214"/>
        <v/>
      </c>
      <c r="T1401" t="str">
        <f t="shared" si="215"/>
        <v/>
      </c>
      <c r="U1401" t="str">
        <f t="shared" si="216"/>
        <v/>
      </c>
      <c r="V1401" t="str">
        <f t="shared" si="217"/>
        <v/>
      </c>
      <c r="W1401" t="str">
        <f t="shared" si="218"/>
        <v/>
      </c>
      <c r="X1401">
        <f>IF($T1401="",N($X1400),IF(MATCH($T1401,$T$6:$T$10005,0)=ROW()-5,N($X1400)+1,N($X1400)))</f>
        <v>0</v>
      </c>
      <c r="Z1401" t="str">
        <f t="shared" si="219"/>
        <v/>
      </c>
      <c r="AA1401">
        <f>IF($V1401="",N($AA1400),IF(MATCH($V1401,$V$6:$V$10005,0)=ROW()-5,N($AA1400)+1,N($AA1400)))</f>
        <v>0</v>
      </c>
    </row>
    <row r="1402" spans="1:27" ht="21" customHeight="1" x14ac:dyDescent="0.95">
      <c r="A1402" s="56"/>
      <c r="B1402" s="57"/>
      <c r="C1402" s="57"/>
      <c r="D1402" s="57"/>
      <c r="E1402" s="56"/>
      <c r="F1402" s="57"/>
      <c r="G1402" s="57"/>
      <c r="H1402" s="56"/>
      <c r="I1402" s="56"/>
      <c r="J1402" s="58"/>
      <c r="K1402" s="58"/>
      <c r="L1402" s="13" t="str">
        <f t="shared" si="210"/>
        <v/>
      </c>
      <c r="M1402" s="13" t="str">
        <f t="shared" si="211"/>
        <v/>
      </c>
      <c r="Q1402" t="str">
        <f t="shared" si="212"/>
        <v/>
      </c>
      <c r="R1402" t="str">
        <f t="shared" si="213"/>
        <v/>
      </c>
      <c r="S1402" t="str">
        <f t="shared" si="214"/>
        <v/>
      </c>
      <c r="T1402" t="str">
        <f t="shared" si="215"/>
        <v/>
      </c>
      <c r="U1402" t="str">
        <f t="shared" si="216"/>
        <v/>
      </c>
      <c r="V1402" t="str">
        <f t="shared" si="217"/>
        <v/>
      </c>
      <c r="W1402" t="str">
        <f t="shared" si="218"/>
        <v/>
      </c>
      <c r="X1402">
        <f>IF($T1402="",N($X1401),IF(MATCH($T1402,$T$6:$T$10005,0)=ROW()-5,N($X1401)+1,N($X1401)))</f>
        <v>0</v>
      </c>
      <c r="Z1402" t="str">
        <f t="shared" si="219"/>
        <v/>
      </c>
      <c r="AA1402">
        <f>IF($V1402="",N($AA1401),IF(MATCH($V1402,$V$6:$V$10005,0)=ROW()-5,N($AA1401)+1,N($AA1401)))</f>
        <v>0</v>
      </c>
    </row>
    <row r="1403" spans="1:27" ht="21" customHeight="1" x14ac:dyDescent="0.95">
      <c r="A1403" s="56"/>
      <c r="B1403" s="57"/>
      <c r="C1403" s="57"/>
      <c r="D1403" s="57"/>
      <c r="E1403" s="56"/>
      <c r="F1403" s="57"/>
      <c r="G1403" s="57"/>
      <c r="H1403" s="56"/>
      <c r="I1403" s="56"/>
      <c r="J1403" s="58"/>
      <c r="K1403" s="58"/>
      <c r="L1403" s="13" t="str">
        <f t="shared" si="210"/>
        <v/>
      </c>
      <c r="M1403" s="13" t="str">
        <f t="shared" si="211"/>
        <v/>
      </c>
      <c r="Q1403" t="str">
        <f t="shared" si="212"/>
        <v/>
      </c>
      <c r="R1403" t="str">
        <f t="shared" si="213"/>
        <v/>
      </c>
      <c r="S1403" t="str">
        <f t="shared" si="214"/>
        <v/>
      </c>
      <c r="T1403" t="str">
        <f t="shared" si="215"/>
        <v/>
      </c>
      <c r="U1403" t="str">
        <f t="shared" si="216"/>
        <v/>
      </c>
      <c r="V1403" t="str">
        <f t="shared" si="217"/>
        <v/>
      </c>
      <c r="W1403" t="str">
        <f t="shared" si="218"/>
        <v/>
      </c>
      <c r="X1403">
        <f>IF($T1403="",N($X1402),IF(MATCH($T1403,$T$6:$T$10005,0)=ROW()-5,N($X1402)+1,N($X1402)))</f>
        <v>0</v>
      </c>
      <c r="Z1403" t="str">
        <f t="shared" si="219"/>
        <v/>
      </c>
      <c r="AA1403">
        <f>IF($V1403="",N($AA1402),IF(MATCH($V1403,$V$6:$V$10005,0)=ROW()-5,N($AA1402)+1,N($AA1402)))</f>
        <v>0</v>
      </c>
    </row>
    <row r="1404" spans="1:27" ht="21" customHeight="1" x14ac:dyDescent="0.95">
      <c r="A1404" s="56"/>
      <c r="B1404" s="57"/>
      <c r="C1404" s="57"/>
      <c r="D1404" s="57"/>
      <c r="E1404" s="56"/>
      <c r="F1404" s="57"/>
      <c r="G1404" s="57"/>
      <c r="H1404" s="56"/>
      <c r="I1404" s="56"/>
      <c r="J1404" s="58"/>
      <c r="K1404" s="58"/>
      <c r="L1404" s="13" t="str">
        <f t="shared" si="210"/>
        <v/>
      </c>
      <c r="M1404" s="13" t="str">
        <f t="shared" si="211"/>
        <v/>
      </c>
      <c r="Q1404" t="str">
        <f t="shared" si="212"/>
        <v/>
      </c>
      <c r="R1404" t="str">
        <f t="shared" si="213"/>
        <v/>
      </c>
      <c r="S1404" t="str">
        <f t="shared" si="214"/>
        <v/>
      </c>
      <c r="T1404" t="str">
        <f t="shared" si="215"/>
        <v/>
      </c>
      <c r="U1404" t="str">
        <f t="shared" si="216"/>
        <v/>
      </c>
      <c r="V1404" t="str">
        <f t="shared" si="217"/>
        <v/>
      </c>
      <c r="W1404" t="str">
        <f t="shared" si="218"/>
        <v/>
      </c>
      <c r="X1404">
        <f>IF($T1404="",N($X1403),IF(MATCH($T1404,$T$6:$T$10005,0)=ROW()-5,N($X1403)+1,N($X1403)))</f>
        <v>0</v>
      </c>
      <c r="Z1404" t="str">
        <f t="shared" si="219"/>
        <v/>
      </c>
      <c r="AA1404">
        <f>IF($V1404="",N($AA1403),IF(MATCH($V1404,$V$6:$V$10005,0)=ROW()-5,N($AA1403)+1,N($AA1403)))</f>
        <v>0</v>
      </c>
    </row>
    <row r="1405" spans="1:27" ht="21" customHeight="1" x14ac:dyDescent="0.95">
      <c r="A1405" s="56"/>
      <c r="B1405" s="57"/>
      <c r="C1405" s="57"/>
      <c r="D1405" s="57"/>
      <c r="E1405" s="56"/>
      <c r="F1405" s="57"/>
      <c r="G1405" s="57"/>
      <c r="H1405" s="56"/>
      <c r="I1405" s="56"/>
      <c r="J1405" s="58"/>
      <c r="K1405" s="58"/>
      <c r="L1405" s="13" t="str">
        <f t="shared" si="210"/>
        <v/>
      </c>
      <c r="M1405" s="13" t="str">
        <f t="shared" si="211"/>
        <v/>
      </c>
      <c r="Q1405" t="str">
        <f t="shared" si="212"/>
        <v/>
      </c>
      <c r="R1405" t="str">
        <f t="shared" si="213"/>
        <v/>
      </c>
      <c r="S1405" t="str">
        <f t="shared" si="214"/>
        <v/>
      </c>
      <c r="T1405" t="str">
        <f t="shared" si="215"/>
        <v/>
      </c>
      <c r="U1405" t="str">
        <f t="shared" si="216"/>
        <v/>
      </c>
      <c r="V1405" t="str">
        <f t="shared" si="217"/>
        <v/>
      </c>
      <c r="W1405" t="str">
        <f t="shared" si="218"/>
        <v/>
      </c>
      <c r="X1405">
        <f>IF($T1405="",N($X1404),IF(MATCH($T1405,$T$6:$T$10005,0)=ROW()-5,N($X1404)+1,N($X1404)))</f>
        <v>0</v>
      </c>
      <c r="Z1405" t="str">
        <f t="shared" si="219"/>
        <v/>
      </c>
      <c r="AA1405">
        <f>IF($V1405="",N($AA1404),IF(MATCH($V1405,$V$6:$V$10005,0)=ROW()-5,N($AA1404)+1,N($AA1404)))</f>
        <v>0</v>
      </c>
    </row>
    <row r="1406" spans="1:27" ht="21" customHeight="1" x14ac:dyDescent="0.95">
      <c r="A1406" s="56"/>
      <c r="B1406" s="57"/>
      <c r="C1406" s="57"/>
      <c r="D1406" s="57"/>
      <c r="E1406" s="56"/>
      <c r="F1406" s="57"/>
      <c r="G1406" s="57"/>
      <c r="H1406" s="56"/>
      <c r="I1406" s="56"/>
      <c r="J1406" s="58"/>
      <c r="K1406" s="58"/>
      <c r="L1406" s="13" t="str">
        <f t="shared" si="210"/>
        <v/>
      </c>
      <c r="M1406" s="13" t="str">
        <f t="shared" si="211"/>
        <v/>
      </c>
      <c r="Q1406" t="str">
        <f t="shared" si="212"/>
        <v/>
      </c>
      <c r="R1406" t="str">
        <f t="shared" si="213"/>
        <v/>
      </c>
      <c r="S1406" t="str">
        <f t="shared" si="214"/>
        <v/>
      </c>
      <c r="T1406" t="str">
        <f t="shared" si="215"/>
        <v/>
      </c>
      <c r="U1406" t="str">
        <f t="shared" si="216"/>
        <v/>
      </c>
      <c r="V1406" t="str">
        <f t="shared" si="217"/>
        <v/>
      </c>
      <c r="W1406" t="str">
        <f t="shared" si="218"/>
        <v/>
      </c>
      <c r="X1406">
        <f>IF($T1406="",N($X1405),IF(MATCH($T1406,$T$6:$T$10005,0)=ROW()-5,N($X1405)+1,N($X1405)))</f>
        <v>0</v>
      </c>
      <c r="Z1406" t="str">
        <f t="shared" si="219"/>
        <v/>
      </c>
      <c r="AA1406">
        <f>IF($V1406="",N($AA1405),IF(MATCH($V1406,$V$6:$V$10005,0)=ROW()-5,N($AA1405)+1,N($AA1405)))</f>
        <v>0</v>
      </c>
    </row>
    <row r="1407" spans="1:27" ht="21" customHeight="1" x14ac:dyDescent="0.95">
      <c r="A1407" s="56"/>
      <c r="B1407" s="57"/>
      <c r="C1407" s="57"/>
      <c r="D1407" s="57"/>
      <c r="E1407" s="56"/>
      <c r="F1407" s="57"/>
      <c r="G1407" s="57"/>
      <c r="H1407" s="56"/>
      <c r="I1407" s="56"/>
      <c r="J1407" s="58"/>
      <c r="K1407" s="58"/>
      <c r="L1407" s="13" t="str">
        <f t="shared" si="210"/>
        <v/>
      </c>
      <c r="M1407" s="13" t="str">
        <f t="shared" si="211"/>
        <v/>
      </c>
      <c r="Q1407" t="str">
        <f t="shared" si="212"/>
        <v/>
      </c>
      <c r="R1407" t="str">
        <f t="shared" si="213"/>
        <v/>
      </c>
      <c r="S1407" t="str">
        <f t="shared" si="214"/>
        <v/>
      </c>
      <c r="T1407" t="str">
        <f t="shared" si="215"/>
        <v/>
      </c>
      <c r="U1407" t="str">
        <f t="shared" si="216"/>
        <v/>
      </c>
      <c r="V1407" t="str">
        <f t="shared" si="217"/>
        <v/>
      </c>
      <c r="W1407" t="str">
        <f t="shared" si="218"/>
        <v/>
      </c>
      <c r="X1407">
        <f>IF($T1407="",N($X1406),IF(MATCH($T1407,$T$6:$T$10005,0)=ROW()-5,N($X1406)+1,N($X1406)))</f>
        <v>0</v>
      </c>
      <c r="Z1407" t="str">
        <f t="shared" si="219"/>
        <v/>
      </c>
      <c r="AA1407">
        <f>IF($V1407="",N($AA1406),IF(MATCH($V1407,$V$6:$V$10005,0)=ROW()-5,N($AA1406)+1,N($AA1406)))</f>
        <v>0</v>
      </c>
    </row>
    <row r="1408" spans="1:27" ht="21" customHeight="1" x14ac:dyDescent="0.95">
      <c r="A1408" s="56"/>
      <c r="B1408" s="57"/>
      <c r="C1408" s="57"/>
      <c r="D1408" s="57"/>
      <c r="E1408" s="56"/>
      <c r="F1408" s="57"/>
      <c r="G1408" s="57"/>
      <c r="H1408" s="56"/>
      <c r="I1408" s="56"/>
      <c r="J1408" s="58"/>
      <c r="K1408" s="58"/>
      <c r="L1408" s="13" t="str">
        <f t="shared" si="210"/>
        <v/>
      </c>
      <c r="M1408" s="13" t="str">
        <f t="shared" si="211"/>
        <v/>
      </c>
      <c r="Q1408" t="str">
        <f t="shared" si="212"/>
        <v/>
      </c>
      <c r="R1408" t="str">
        <f t="shared" si="213"/>
        <v/>
      </c>
      <c r="S1408" t="str">
        <f t="shared" si="214"/>
        <v/>
      </c>
      <c r="T1408" t="str">
        <f t="shared" si="215"/>
        <v/>
      </c>
      <c r="U1408" t="str">
        <f t="shared" si="216"/>
        <v/>
      </c>
      <c r="V1408" t="str">
        <f t="shared" si="217"/>
        <v/>
      </c>
      <c r="W1408" t="str">
        <f t="shared" si="218"/>
        <v/>
      </c>
      <c r="X1408">
        <f>IF($T1408="",N($X1407),IF(MATCH($T1408,$T$6:$T$10005,0)=ROW()-5,N($X1407)+1,N($X1407)))</f>
        <v>0</v>
      </c>
      <c r="Z1408" t="str">
        <f t="shared" si="219"/>
        <v/>
      </c>
      <c r="AA1408">
        <f>IF($V1408="",N($AA1407),IF(MATCH($V1408,$V$6:$V$10005,0)=ROW()-5,N($AA1407)+1,N($AA1407)))</f>
        <v>0</v>
      </c>
    </row>
    <row r="1409" spans="1:27" ht="21" customHeight="1" x14ac:dyDescent="0.95">
      <c r="A1409" s="56"/>
      <c r="B1409" s="57"/>
      <c r="C1409" s="57"/>
      <c r="D1409" s="57"/>
      <c r="E1409" s="56"/>
      <c r="F1409" s="57"/>
      <c r="G1409" s="57"/>
      <c r="H1409" s="56"/>
      <c r="I1409" s="56"/>
      <c r="J1409" s="58"/>
      <c r="K1409" s="58"/>
      <c r="L1409" s="13" t="str">
        <f t="shared" si="210"/>
        <v/>
      </c>
      <c r="M1409" s="13" t="str">
        <f t="shared" si="211"/>
        <v/>
      </c>
      <c r="Q1409" t="str">
        <f t="shared" si="212"/>
        <v/>
      </c>
      <c r="R1409" t="str">
        <f t="shared" si="213"/>
        <v/>
      </c>
      <c r="S1409" t="str">
        <f t="shared" si="214"/>
        <v/>
      </c>
      <c r="T1409" t="str">
        <f t="shared" si="215"/>
        <v/>
      </c>
      <c r="U1409" t="str">
        <f t="shared" si="216"/>
        <v/>
      </c>
      <c r="V1409" t="str">
        <f t="shared" si="217"/>
        <v/>
      </c>
      <c r="W1409" t="str">
        <f t="shared" si="218"/>
        <v/>
      </c>
      <c r="X1409">
        <f>IF($T1409="",N($X1408),IF(MATCH($T1409,$T$6:$T$10005,0)=ROW()-5,N($X1408)+1,N($X1408)))</f>
        <v>0</v>
      </c>
      <c r="Z1409" t="str">
        <f t="shared" si="219"/>
        <v/>
      </c>
      <c r="AA1409">
        <f>IF($V1409="",N($AA1408),IF(MATCH($V1409,$V$6:$V$10005,0)=ROW()-5,N($AA1408)+1,N($AA1408)))</f>
        <v>0</v>
      </c>
    </row>
    <row r="1410" spans="1:27" ht="21" customHeight="1" x14ac:dyDescent="0.95">
      <c r="A1410" s="56"/>
      <c r="B1410" s="57"/>
      <c r="C1410" s="57"/>
      <c r="D1410" s="57"/>
      <c r="E1410" s="56"/>
      <c r="F1410" s="57"/>
      <c r="G1410" s="57"/>
      <c r="H1410" s="56"/>
      <c r="I1410" s="56"/>
      <c r="J1410" s="58"/>
      <c r="K1410" s="58"/>
      <c r="L1410" s="13" t="str">
        <f t="shared" si="210"/>
        <v/>
      </c>
      <c r="M1410" s="13" t="str">
        <f t="shared" si="211"/>
        <v/>
      </c>
      <c r="Q1410" t="str">
        <f t="shared" si="212"/>
        <v/>
      </c>
      <c r="R1410" t="str">
        <f t="shared" si="213"/>
        <v/>
      </c>
      <c r="S1410" t="str">
        <f t="shared" si="214"/>
        <v/>
      </c>
      <c r="T1410" t="str">
        <f t="shared" si="215"/>
        <v/>
      </c>
      <c r="U1410" t="str">
        <f t="shared" si="216"/>
        <v/>
      </c>
      <c r="V1410" t="str">
        <f t="shared" si="217"/>
        <v/>
      </c>
      <c r="W1410" t="str">
        <f t="shared" si="218"/>
        <v/>
      </c>
      <c r="X1410">
        <f>IF($T1410="",N($X1409),IF(MATCH($T1410,$T$6:$T$10005,0)=ROW()-5,N($X1409)+1,N($X1409)))</f>
        <v>0</v>
      </c>
      <c r="Z1410" t="str">
        <f t="shared" si="219"/>
        <v/>
      </c>
      <c r="AA1410">
        <f>IF($V1410="",N($AA1409),IF(MATCH($V1410,$V$6:$V$10005,0)=ROW()-5,N($AA1409)+1,N($AA1409)))</f>
        <v>0</v>
      </c>
    </row>
    <row r="1411" spans="1:27" ht="21" customHeight="1" x14ac:dyDescent="0.95">
      <c r="A1411" s="56"/>
      <c r="B1411" s="57"/>
      <c r="C1411" s="57"/>
      <c r="D1411" s="57"/>
      <c r="E1411" s="56"/>
      <c r="F1411" s="57"/>
      <c r="G1411" s="57"/>
      <c r="H1411" s="56"/>
      <c r="I1411" s="56"/>
      <c r="J1411" s="58"/>
      <c r="K1411" s="58"/>
      <c r="L1411" s="13" t="str">
        <f t="shared" si="210"/>
        <v/>
      </c>
      <c r="M1411" s="13" t="str">
        <f t="shared" si="211"/>
        <v/>
      </c>
      <c r="Q1411" t="str">
        <f t="shared" si="212"/>
        <v/>
      </c>
      <c r="R1411" t="str">
        <f t="shared" si="213"/>
        <v/>
      </c>
      <c r="S1411" t="str">
        <f t="shared" si="214"/>
        <v/>
      </c>
      <c r="T1411" t="str">
        <f t="shared" si="215"/>
        <v/>
      </c>
      <c r="U1411" t="str">
        <f t="shared" si="216"/>
        <v/>
      </c>
      <c r="V1411" t="str">
        <f t="shared" si="217"/>
        <v/>
      </c>
      <c r="W1411" t="str">
        <f t="shared" si="218"/>
        <v/>
      </c>
      <c r="X1411">
        <f>IF($T1411="",N($X1410),IF(MATCH($T1411,$T$6:$T$10005,0)=ROW()-5,N($X1410)+1,N($X1410)))</f>
        <v>0</v>
      </c>
      <c r="Z1411" t="str">
        <f t="shared" si="219"/>
        <v/>
      </c>
      <c r="AA1411">
        <f>IF($V1411="",N($AA1410),IF(MATCH($V1411,$V$6:$V$10005,0)=ROW()-5,N($AA1410)+1,N($AA1410)))</f>
        <v>0</v>
      </c>
    </row>
    <row r="1412" spans="1:27" ht="21" customHeight="1" x14ac:dyDescent="0.95">
      <c r="A1412" s="56"/>
      <c r="B1412" s="57"/>
      <c r="C1412" s="57"/>
      <c r="D1412" s="57"/>
      <c r="E1412" s="56"/>
      <c r="F1412" s="57"/>
      <c r="G1412" s="57"/>
      <c r="H1412" s="56"/>
      <c r="I1412" s="56"/>
      <c r="J1412" s="58"/>
      <c r="K1412" s="58"/>
      <c r="L1412" s="13" t="str">
        <f t="shared" si="210"/>
        <v/>
      </c>
      <c r="M1412" s="13" t="str">
        <f t="shared" si="211"/>
        <v/>
      </c>
      <c r="Q1412" t="str">
        <f t="shared" si="212"/>
        <v/>
      </c>
      <c r="R1412" t="str">
        <f t="shared" si="213"/>
        <v/>
      </c>
      <c r="S1412" t="str">
        <f t="shared" si="214"/>
        <v/>
      </c>
      <c r="T1412" t="str">
        <f t="shared" si="215"/>
        <v/>
      </c>
      <c r="U1412" t="str">
        <f t="shared" si="216"/>
        <v/>
      </c>
      <c r="V1412" t="str">
        <f t="shared" si="217"/>
        <v/>
      </c>
      <c r="W1412" t="str">
        <f t="shared" si="218"/>
        <v/>
      </c>
      <c r="X1412">
        <f>IF($T1412="",N($X1411),IF(MATCH($T1412,$T$6:$T$10005,0)=ROW()-5,N($X1411)+1,N($X1411)))</f>
        <v>0</v>
      </c>
      <c r="Z1412" t="str">
        <f t="shared" si="219"/>
        <v/>
      </c>
      <c r="AA1412">
        <f>IF($V1412="",N($AA1411),IF(MATCH($V1412,$V$6:$V$10005,0)=ROW()-5,N($AA1411)+1,N($AA1411)))</f>
        <v>0</v>
      </c>
    </row>
    <row r="1413" spans="1:27" ht="21" customHeight="1" x14ac:dyDescent="0.95">
      <c r="A1413" s="56"/>
      <c r="B1413" s="57"/>
      <c r="C1413" s="57"/>
      <c r="D1413" s="57"/>
      <c r="E1413" s="56"/>
      <c r="F1413" s="57"/>
      <c r="G1413" s="57"/>
      <c r="H1413" s="56"/>
      <c r="I1413" s="56"/>
      <c r="J1413" s="58"/>
      <c r="K1413" s="58"/>
      <c r="L1413" s="13" t="str">
        <f t="shared" si="210"/>
        <v/>
      </c>
      <c r="M1413" s="13" t="str">
        <f t="shared" si="211"/>
        <v/>
      </c>
      <c r="Q1413" t="str">
        <f t="shared" si="212"/>
        <v/>
      </c>
      <c r="R1413" t="str">
        <f t="shared" si="213"/>
        <v/>
      </c>
      <c r="S1413" t="str">
        <f t="shared" si="214"/>
        <v/>
      </c>
      <c r="T1413" t="str">
        <f t="shared" si="215"/>
        <v/>
      </c>
      <c r="U1413" t="str">
        <f t="shared" si="216"/>
        <v/>
      </c>
      <c r="V1413" t="str">
        <f t="shared" si="217"/>
        <v/>
      </c>
      <c r="W1413" t="str">
        <f t="shared" si="218"/>
        <v/>
      </c>
      <c r="X1413">
        <f>IF($T1413="",N($X1412),IF(MATCH($T1413,$T$6:$T$10005,0)=ROW()-5,N($X1412)+1,N($X1412)))</f>
        <v>0</v>
      </c>
      <c r="Z1413" t="str">
        <f t="shared" si="219"/>
        <v/>
      </c>
      <c r="AA1413">
        <f>IF($V1413="",N($AA1412),IF(MATCH($V1413,$V$6:$V$10005,0)=ROW()-5,N($AA1412)+1,N($AA1412)))</f>
        <v>0</v>
      </c>
    </row>
    <row r="1414" spans="1:27" ht="21" customHeight="1" x14ac:dyDescent="0.95">
      <c r="A1414" s="56"/>
      <c r="B1414" s="57"/>
      <c r="C1414" s="57"/>
      <c r="D1414" s="57"/>
      <c r="E1414" s="56"/>
      <c r="F1414" s="57"/>
      <c r="G1414" s="57"/>
      <c r="H1414" s="56"/>
      <c r="I1414" s="56"/>
      <c r="J1414" s="58"/>
      <c r="K1414" s="58"/>
      <c r="L1414" s="13" t="str">
        <f t="shared" ref="L1414:L1477" si="220">IF(OR($A1414="",AND($J1414="",$K1414="")),"",ROUND(N($J1414)-N($K1414),2))</f>
        <v/>
      </c>
      <c r="M1414" s="13" t="str">
        <f t="shared" ref="M1414:M1477" si="221">IF(OR($A1414="",AND($J1414="",$K1414="")),"",MIN($J1414,$K1414))</f>
        <v/>
      </c>
      <c r="Q1414" t="str">
        <f t="shared" ref="Q1414:Q1477" si="222">IF($A1414="","",$D1414&amp;"("&amp;SUBSTITUTE($E1414," ","")&amp;")")</f>
        <v/>
      </c>
      <c r="R1414" t="str">
        <f t="shared" ref="R1414:R1477" si="223">IF($A1414="","",$B1414&amp;" - "&amp;$C1414)</f>
        <v/>
      </c>
      <c r="S1414" t="str">
        <f t="shared" ref="S1414:S1477" si="224">IF($A1414="","",$R1414&amp;"|"&amp;$Q1414)</f>
        <v/>
      </c>
      <c r="T1414" t="str">
        <f t="shared" ref="T1414:T1477" si="225">IF($A1414="","",$S1414&amp;"|"&amp;$F1414)</f>
        <v/>
      </c>
      <c r="U1414" t="str">
        <f t="shared" ref="U1414:U1477" si="226">IF($A1414="","",$R1414&amp;"("&amp;$E1414&amp;")")</f>
        <v/>
      </c>
      <c r="V1414" t="str">
        <f t="shared" ref="V1414:V1477" si="227">IF($A1414="","",$F1414&amp;"|"&amp;$U1414&amp;"|"&amp;$D1414)</f>
        <v/>
      </c>
      <c r="W1414" t="str">
        <f t="shared" ref="W1414:W1477" si="228">IF($T1414="","",IF($X1414&gt;N($X1413),$X1414,""))</f>
        <v/>
      </c>
      <c r="X1414">
        <f>IF($T1414="",N($X1413),IF(MATCH($T1414,$T$6:$T$10005,0)=ROW()-5,N($X1413)+1,N($X1413)))</f>
        <v>0</v>
      </c>
      <c r="Z1414" t="str">
        <f t="shared" ref="Z1414:Z1477" si="229">IF($V1414="","",IF($AA1414&gt;N($AA1413),$AA1414,""))</f>
        <v/>
      </c>
      <c r="AA1414">
        <f>IF($V1414="",N($AA1413),IF(MATCH($V1414,$V$6:$V$10005,0)=ROW()-5,N($AA1413)+1,N($AA1413)))</f>
        <v>0</v>
      </c>
    </row>
    <row r="1415" spans="1:27" ht="21" customHeight="1" x14ac:dyDescent="0.95">
      <c r="A1415" s="56"/>
      <c r="B1415" s="57"/>
      <c r="C1415" s="57"/>
      <c r="D1415" s="57"/>
      <c r="E1415" s="56"/>
      <c r="F1415" s="57"/>
      <c r="G1415" s="57"/>
      <c r="H1415" s="56"/>
      <c r="I1415" s="56"/>
      <c r="J1415" s="58"/>
      <c r="K1415" s="58"/>
      <c r="L1415" s="13" t="str">
        <f t="shared" si="220"/>
        <v/>
      </c>
      <c r="M1415" s="13" t="str">
        <f t="shared" si="221"/>
        <v/>
      </c>
      <c r="Q1415" t="str">
        <f t="shared" si="222"/>
        <v/>
      </c>
      <c r="R1415" t="str">
        <f t="shared" si="223"/>
        <v/>
      </c>
      <c r="S1415" t="str">
        <f t="shared" si="224"/>
        <v/>
      </c>
      <c r="T1415" t="str">
        <f t="shared" si="225"/>
        <v/>
      </c>
      <c r="U1415" t="str">
        <f t="shared" si="226"/>
        <v/>
      </c>
      <c r="V1415" t="str">
        <f t="shared" si="227"/>
        <v/>
      </c>
      <c r="W1415" t="str">
        <f t="shared" si="228"/>
        <v/>
      </c>
      <c r="X1415">
        <f>IF($T1415="",N($X1414),IF(MATCH($T1415,$T$6:$T$10005,0)=ROW()-5,N($X1414)+1,N($X1414)))</f>
        <v>0</v>
      </c>
      <c r="Z1415" t="str">
        <f t="shared" si="229"/>
        <v/>
      </c>
      <c r="AA1415">
        <f>IF($V1415="",N($AA1414),IF(MATCH($V1415,$V$6:$V$10005,0)=ROW()-5,N($AA1414)+1,N($AA1414)))</f>
        <v>0</v>
      </c>
    </row>
    <row r="1416" spans="1:27" ht="21" customHeight="1" x14ac:dyDescent="0.95">
      <c r="A1416" s="56"/>
      <c r="B1416" s="57"/>
      <c r="C1416" s="57"/>
      <c r="D1416" s="57"/>
      <c r="E1416" s="56"/>
      <c r="F1416" s="57"/>
      <c r="G1416" s="57"/>
      <c r="H1416" s="56"/>
      <c r="I1416" s="56"/>
      <c r="J1416" s="58"/>
      <c r="K1416" s="58"/>
      <c r="L1416" s="13" t="str">
        <f t="shared" si="220"/>
        <v/>
      </c>
      <c r="M1416" s="13" t="str">
        <f t="shared" si="221"/>
        <v/>
      </c>
      <c r="Q1416" t="str">
        <f t="shared" si="222"/>
        <v/>
      </c>
      <c r="R1416" t="str">
        <f t="shared" si="223"/>
        <v/>
      </c>
      <c r="S1416" t="str">
        <f t="shared" si="224"/>
        <v/>
      </c>
      <c r="T1416" t="str">
        <f t="shared" si="225"/>
        <v/>
      </c>
      <c r="U1416" t="str">
        <f t="shared" si="226"/>
        <v/>
      </c>
      <c r="V1416" t="str">
        <f t="shared" si="227"/>
        <v/>
      </c>
      <c r="W1416" t="str">
        <f t="shared" si="228"/>
        <v/>
      </c>
      <c r="X1416">
        <f>IF($T1416="",N($X1415),IF(MATCH($T1416,$T$6:$T$10005,0)=ROW()-5,N($X1415)+1,N($X1415)))</f>
        <v>0</v>
      </c>
      <c r="Z1416" t="str">
        <f t="shared" si="229"/>
        <v/>
      </c>
      <c r="AA1416">
        <f>IF($V1416="",N($AA1415),IF(MATCH($V1416,$V$6:$V$10005,0)=ROW()-5,N($AA1415)+1,N($AA1415)))</f>
        <v>0</v>
      </c>
    </row>
    <row r="1417" spans="1:27" ht="21" customHeight="1" x14ac:dyDescent="0.95">
      <c r="A1417" s="56"/>
      <c r="B1417" s="57"/>
      <c r="C1417" s="57"/>
      <c r="D1417" s="57"/>
      <c r="E1417" s="56"/>
      <c r="F1417" s="57"/>
      <c r="G1417" s="57"/>
      <c r="H1417" s="56"/>
      <c r="I1417" s="56"/>
      <c r="J1417" s="58"/>
      <c r="K1417" s="58"/>
      <c r="L1417" s="13" t="str">
        <f t="shared" si="220"/>
        <v/>
      </c>
      <c r="M1417" s="13" t="str">
        <f t="shared" si="221"/>
        <v/>
      </c>
      <c r="Q1417" t="str">
        <f t="shared" si="222"/>
        <v/>
      </c>
      <c r="R1417" t="str">
        <f t="shared" si="223"/>
        <v/>
      </c>
      <c r="S1417" t="str">
        <f t="shared" si="224"/>
        <v/>
      </c>
      <c r="T1417" t="str">
        <f t="shared" si="225"/>
        <v/>
      </c>
      <c r="U1417" t="str">
        <f t="shared" si="226"/>
        <v/>
      </c>
      <c r="V1417" t="str">
        <f t="shared" si="227"/>
        <v/>
      </c>
      <c r="W1417" t="str">
        <f t="shared" si="228"/>
        <v/>
      </c>
      <c r="X1417">
        <f>IF($T1417="",N($X1416),IF(MATCH($T1417,$T$6:$T$10005,0)=ROW()-5,N($X1416)+1,N($X1416)))</f>
        <v>0</v>
      </c>
      <c r="Z1417" t="str">
        <f t="shared" si="229"/>
        <v/>
      </c>
      <c r="AA1417">
        <f>IF($V1417="",N($AA1416),IF(MATCH($V1417,$V$6:$V$10005,0)=ROW()-5,N($AA1416)+1,N($AA1416)))</f>
        <v>0</v>
      </c>
    </row>
    <row r="1418" spans="1:27" ht="21" customHeight="1" x14ac:dyDescent="0.95">
      <c r="A1418" s="56"/>
      <c r="B1418" s="57"/>
      <c r="C1418" s="57"/>
      <c r="D1418" s="57"/>
      <c r="E1418" s="56"/>
      <c r="F1418" s="57"/>
      <c r="G1418" s="57"/>
      <c r="H1418" s="56"/>
      <c r="I1418" s="56"/>
      <c r="J1418" s="58"/>
      <c r="K1418" s="58"/>
      <c r="L1418" s="13" t="str">
        <f t="shared" si="220"/>
        <v/>
      </c>
      <c r="M1418" s="13" t="str">
        <f t="shared" si="221"/>
        <v/>
      </c>
      <c r="Q1418" t="str">
        <f t="shared" si="222"/>
        <v/>
      </c>
      <c r="R1418" t="str">
        <f t="shared" si="223"/>
        <v/>
      </c>
      <c r="S1418" t="str">
        <f t="shared" si="224"/>
        <v/>
      </c>
      <c r="T1418" t="str">
        <f t="shared" si="225"/>
        <v/>
      </c>
      <c r="U1418" t="str">
        <f t="shared" si="226"/>
        <v/>
      </c>
      <c r="V1418" t="str">
        <f t="shared" si="227"/>
        <v/>
      </c>
      <c r="W1418" t="str">
        <f t="shared" si="228"/>
        <v/>
      </c>
      <c r="X1418">
        <f>IF($T1418="",N($X1417),IF(MATCH($T1418,$T$6:$T$10005,0)=ROW()-5,N($X1417)+1,N($X1417)))</f>
        <v>0</v>
      </c>
      <c r="Z1418" t="str">
        <f t="shared" si="229"/>
        <v/>
      </c>
      <c r="AA1418">
        <f>IF($V1418="",N($AA1417),IF(MATCH($V1418,$V$6:$V$10005,0)=ROW()-5,N($AA1417)+1,N($AA1417)))</f>
        <v>0</v>
      </c>
    </row>
    <row r="1419" spans="1:27" ht="21" customHeight="1" x14ac:dyDescent="0.95">
      <c r="A1419" s="56"/>
      <c r="B1419" s="57"/>
      <c r="C1419" s="57"/>
      <c r="D1419" s="57"/>
      <c r="E1419" s="56"/>
      <c r="F1419" s="57"/>
      <c r="G1419" s="57"/>
      <c r="H1419" s="56"/>
      <c r="I1419" s="56"/>
      <c r="J1419" s="58"/>
      <c r="K1419" s="58"/>
      <c r="L1419" s="13" t="str">
        <f t="shared" si="220"/>
        <v/>
      </c>
      <c r="M1419" s="13" t="str">
        <f t="shared" si="221"/>
        <v/>
      </c>
      <c r="Q1419" t="str">
        <f t="shared" si="222"/>
        <v/>
      </c>
      <c r="R1419" t="str">
        <f t="shared" si="223"/>
        <v/>
      </c>
      <c r="S1419" t="str">
        <f t="shared" si="224"/>
        <v/>
      </c>
      <c r="T1419" t="str">
        <f t="shared" si="225"/>
        <v/>
      </c>
      <c r="U1419" t="str">
        <f t="shared" si="226"/>
        <v/>
      </c>
      <c r="V1419" t="str">
        <f t="shared" si="227"/>
        <v/>
      </c>
      <c r="W1419" t="str">
        <f t="shared" si="228"/>
        <v/>
      </c>
      <c r="X1419">
        <f>IF($T1419="",N($X1418),IF(MATCH($T1419,$T$6:$T$10005,0)=ROW()-5,N($X1418)+1,N($X1418)))</f>
        <v>0</v>
      </c>
      <c r="Z1419" t="str">
        <f t="shared" si="229"/>
        <v/>
      </c>
      <c r="AA1419">
        <f>IF($V1419="",N($AA1418),IF(MATCH($V1419,$V$6:$V$10005,0)=ROW()-5,N($AA1418)+1,N($AA1418)))</f>
        <v>0</v>
      </c>
    </row>
    <row r="1420" spans="1:27" ht="21" customHeight="1" x14ac:dyDescent="0.95">
      <c r="A1420" s="56"/>
      <c r="B1420" s="57"/>
      <c r="C1420" s="57"/>
      <c r="D1420" s="57"/>
      <c r="E1420" s="56"/>
      <c r="F1420" s="57"/>
      <c r="G1420" s="57"/>
      <c r="H1420" s="56"/>
      <c r="I1420" s="56"/>
      <c r="J1420" s="58"/>
      <c r="K1420" s="58"/>
      <c r="L1420" s="13" t="str">
        <f t="shared" si="220"/>
        <v/>
      </c>
      <c r="M1420" s="13" t="str">
        <f t="shared" si="221"/>
        <v/>
      </c>
      <c r="Q1420" t="str">
        <f t="shared" si="222"/>
        <v/>
      </c>
      <c r="R1420" t="str">
        <f t="shared" si="223"/>
        <v/>
      </c>
      <c r="S1420" t="str">
        <f t="shared" si="224"/>
        <v/>
      </c>
      <c r="T1420" t="str">
        <f t="shared" si="225"/>
        <v/>
      </c>
      <c r="U1420" t="str">
        <f t="shared" si="226"/>
        <v/>
      </c>
      <c r="V1420" t="str">
        <f t="shared" si="227"/>
        <v/>
      </c>
      <c r="W1420" t="str">
        <f t="shared" si="228"/>
        <v/>
      </c>
      <c r="X1420">
        <f>IF($T1420="",N($X1419),IF(MATCH($T1420,$T$6:$T$10005,0)=ROW()-5,N($X1419)+1,N($X1419)))</f>
        <v>0</v>
      </c>
      <c r="Z1420" t="str">
        <f t="shared" si="229"/>
        <v/>
      </c>
      <c r="AA1420">
        <f>IF($V1420="",N($AA1419),IF(MATCH($V1420,$V$6:$V$10005,0)=ROW()-5,N($AA1419)+1,N($AA1419)))</f>
        <v>0</v>
      </c>
    </row>
    <row r="1421" spans="1:27" ht="21" customHeight="1" x14ac:dyDescent="0.95">
      <c r="A1421" s="56"/>
      <c r="B1421" s="57"/>
      <c r="C1421" s="57"/>
      <c r="D1421" s="57"/>
      <c r="E1421" s="56"/>
      <c r="F1421" s="57"/>
      <c r="G1421" s="57"/>
      <c r="H1421" s="56"/>
      <c r="I1421" s="56"/>
      <c r="J1421" s="58"/>
      <c r="K1421" s="58"/>
      <c r="L1421" s="13" t="str">
        <f t="shared" si="220"/>
        <v/>
      </c>
      <c r="M1421" s="13" t="str">
        <f t="shared" si="221"/>
        <v/>
      </c>
      <c r="Q1421" t="str">
        <f t="shared" si="222"/>
        <v/>
      </c>
      <c r="R1421" t="str">
        <f t="shared" si="223"/>
        <v/>
      </c>
      <c r="S1421" t="str">
        <f t="shared" si="224"/>
        <v/>
      </c>
      <c r="T1421" t="str">
        <f t="shared" si="225"/>
        <v/>
      </c>
      <c r="U1421" t="str">
        <f t="shared" si="226"/>
        <v/>
      </c>
      <c r="V1421" t="str">
        <f t="shared" si="227"/>
        <v/>
      </c>
      <c r="W1421" t="str">
        <f t="shared" si="228"/>
        <v/>
      </c>
      <c r="X1421">
        <f>IF($T1421="",N($X1420),IF(MATCH($T1421,$T$6:$T$10005,0)=ROW()-5,N($X1420)+1,N($X1420)))</f>
        <v>0</v>
      </c>
      <c r="Z1421" t="str">
        <f t="shared" si="229"/>
        <v/>
      </c>
      <c r="AA1421">
        <f>IF($V1421="",N($AA1420),IF(MATCH($V1421,$V$6:$V$10005,0)=ROW()-5,N($AA1420)+1,N($AA1420)))</f>
        <v>0</v>
      </c>
    </row>
    <row r="1422" spans="1:27" ht="21" customHeight="1" x14ac:dyDescent="0.95">
      <c r="A1422" s="56"/>
      <c r="B1422" s="57"/>
      <c r="C1422" s="57"/>
      <c r="D1422" s="57"/>
      <c r="E1422" s="56"/>
      <c r="F1422" s="57"/>
      <c r="G1422" s="57"/>
      <c r="H1422" s="56"/>
      <c r="I1422" s="56"/>
      <c r="J1422" s="58"/>
      <c r="K1422" s="58"/>
      <c r="L1422" s="13" t="str">
        <f t="shared" si="220"/>
        <v/>
      </c>
      <c r="M1422" s="13" t="str">
        <f t="shared" si="221"/>
        <v/>
      </c>
      <c r="Q1422" t="str">
        <f t="shared" si="222"/>
        <v/>
      </c>
      <c r="R1422" t="str">
        <f t="shared" si="223"/>
        <v/>
      </c>
      <c r="S1422" t="str">
        <f t="shared" si="224"/>
        <v/>
      </c>
      <c r="T1422" t="str">
        <f t="shared" si="225"/>
        <v/>
      </c>
      <c r="U1422" t="str">
        <f t="shared" si="226"/>
        <v/>
      </c>
      <c r="V1422" t="str">
        <f t="shared" si="227"/>
        <v/>
      </c>
      <c r="W1422" t="str">
        <f t="shared" si="228"/>
        <v/>
      </c>
      <c r="X1422">
        <f>IF($T1422="",N($X1421),IF(MATCH($T1422,$T$6:$T$10005,0)=ROW()-5,N($X1421)+1,N($X1421)))</f>
        <v>0</v>
      </c>
      <c r="Z1422" t="str">
        <f t="shared" si="229"/>
        <v/>
      </c>
      <c r="AA1422">
        <f>IF($V1422="",N($AA1421),IF(MATCH($V1422,$V$6:$V$10005,0)=ROW()-5,N($AA1421)+1,N($AA1421)))</f>
        <v>0</v>
      </c>
    </row>
    <row r="1423" spans="1:27" ht="21" customHeight="1" x14ac:dyDescent="0.95">
      <c r="A1423" s="56"/>
      <c r="B1423" s="57"/>
      <c r="C1423" s="57"/>
      <c r="D1423" s="57"/>
      <c r="E1423" s="56"/>
      <c r="F1423" s="57"/>
      <c r="G1423" s="57"/>
      <c r="H1423" s="56"/>
      <c r="I1423" s="56"/>
      <c r="J1423" s="58"/>
      <c r="K1423" s="58"/>
      <c r="L1423" s="13" t="str">
        <f t="shared" si="220"/>
        <v/>
      </c>
      <c r="M1423" s="13" t="str">
        <f t="shared" si="221"/>
        <v/>
      </c>
      <c r="Q1423" t="str">
        <f t="shared" si="222"/>
        <v/>
      </c>
      <c r="R1423" t="str">
        <f t="shared" si="223"/>
        <v/>
      </c>
      <c r="S1423" t="str">
        <f t="shared" si="224"/>
        <v/>
      </c>
      <c r="T1423" t="str">
        <f t="shared" si="225"/>
        <v/>
      </c>
      <c r="U1423" t="str">
        <f t="shared" si="226"/>
        <v/>
      </c>
      <c r="V1423" t="str">
        <f t="shared" si="227"/>
        <v/>
      </c>
      <c r="W1423" t="str">
        <f t="shared" si="228"/>
        <v/>
      </c>
      <c r="X1423">
        <f>IF($T1423="",N($X1422),IF(MATCH($T1423,$T$6:$T$10005,0)=ROW()-5,N($X1422)+1,N($X1422)))</f>
        <v>0</v>
      </c>
      <c r="Z1423" t="str">
        <f t="shared" si="229"/>
        <v/>
      </c>
      <c r="AA1423">
        <f>IF($V1423="",N($AA1422),IF(MATCH($V1423,$V$6:$V$10005,0)=ROW()-5,N($AA1422)+1,N($AA1422)))</f>
        <v>0</v>
      </c>
    </row>
    <row r="1424" spans="1:27" ht="21" customHeight="1" x14ac:dyDescent="0.95">
      <c r="A1424" s="56"/>
      <c r="B1424" s="57"/>
      <c r="C1424" s="57"/>
      <c r="D1424" s="57"/>
      <c r="E1424" s="56"/>
      <c r="F1424" s="57"/>
      <c r="G1424" s="57"/>
      <c r="H1424" s="56"/>
      <c r="I1424" s="56"/>
      <c r="J1424" s="58"/>
      <c r="K1424" s="58"/>
      <c r="L1424" s="13" t="str">
        <f t="shared" si="220"/>
        <v/>
      </c>
      <c r="M1424" s="13" t="str">
        <f t="shared" si="221"/>
        <v/>
      </c>
      <c r="Q1424" t="str">
        <f t="shared" si="222"/>
        <v/>
      </c>
      <c r="R1424" t="str">
        <f t="shared" si="223"/>
        <v/>
      </c>
      <c r="S1424" t="str">
        <f t="shared" si="224"/>
        <v/>
      </c>
      <c r="T1424" t="str">
        <f t="shared" si="225"/>
        <v/>
      </c>
      <c r="U1424" t="str">
        <f t="shared" si="226"/>
        <v/>
      </c>
      <c r="V1424" t="str">
        <f t="shared" si="227"/>
        <v/>
      </c>
      <c r="W1424" t="str">
        <f t="shared" si="228"/>
        <v/>
      </c>
      <c r="X1424">
        <f>IF($T1424="",N($X1423),IF(MATCH($T1424,$T$6:$T$10005,0)=ROW()-5,N($X1423)+1,N($X1423)))</f>
        <v>0</v>
      </c>
      <c r="Z1424" t="str">
        <f t="shared" si="229"/>
        <v/>
      </c>
      <c r="AA1424">
        <f>IF($V1424="",N($AA1423),IF(MATCH($V1424,$V$6:$V$10005,0)=ROW()-5,N($AA1423)+1,N($AA1423)))</f>
        <v>0</v>
      </c>
    </row>
    <row r="1425" spans="1:27" ht="21" customHeight="1" x14ac:dyDescent="0.95">
      <c r="A1425" s="56"/>
      <c r="B1425" s="57"/>
      <c r="C1425" s="57"/>
      <c r="D1425" s="57"/>
      <c r="E1425" s="56"/>
      <c r="F1425" s="57"/>
      <c r="G1425" s="57"/>
      <c r="H1425" s="56"/>
      <c r="I1425" s="56"/>
      <c r="J1425" s="58"/>
      <c r="K1425" s="58"/>
      <c r="L1425" s="13" t="str">
        <f t="shared" si="220"/>
        <v/>
      </c>
      <c r="M1425" s="13" t="str">
        <f t="shared" si="221"/>
        <v/>
      </c>
      <c r="Q1425" t="str">
        <f t="shared" si="222"/>
        <v/>
      </c>
      <c r="R1425" t="str">
        <f t="shared" si="223"/>
        <v/>
      </c>
      <c r="S1425" t="str">
        <f t="shared" si="224"/>
        <v/>
      </c>
      <c r="T1425" t="str">
        <f t="shared" si="225"/>
        <v/>
      </c>
      <c r="U1425" t="str">
        <f t="shared" si="226"/>
        <v/>
      </c>
      <c r="V1425" t="str">
        <f t="shared" si="227"/>
        <v/>
      </c>
      <c r="W1425" t="str">
        <f t="shared" si="228"/>
        <v/>
      </c>
      <c r="X1425">
        <f>IF($T1425="",N($X1424),IF(MATCH($T1425,$T$6:$T$10005,0)=ROW()-5,N($X1424)+1,N($X1424)))</f>
        <v>0</v>
      </c>
      <c r="Z1425" t="str">
        <f t="shared" si="229"/>
        <v/>
      </c>
      <c r="AA1425">
        <f>IF($V1425="",N($AA1424),IF(MATCH($V1425,$V$6:$V$10005,0)=ROW()-5,N($AA1424)+1,N($AA1424)))</f>
        <v>0</v>
      </c>
    </row>
    <row r="1426" spans="1:27" ht="21" customHeight="1" x14ac:dyDescent="0.95">
      <c r="A1426" s="56"/>
      <c r="B1426" s="57"/>
      <c r="C1426" s="57"/>
      <c r="D1426" s="57"/>
      <c r="E1426" s="56"/>
      <c r="F1426" s="57"/>
      <c r="G1426" s="57"/>
      <c r="H1426" s="56"/>
      <c r="I1426" s="56"/>
      <c r="J1426" s="58"/>
      <c r="K1426" s="58"/>
      <c r="L1426" s="13" t="str">
        <f t="shared" si="220"/>
        <v/>
      </c>
      <c r="M1426" s="13" t="str">
        <f t="shared" si="221"/>
        <v/>
      </c>
      <c r="Q1426" t="str">
        <f t="shared" si="222"/>
        <v/>
      </c>
      <c r="R1426" t="str">
        <f t="shared" si="223"/>
        <v/>
      </c>
      <c r="S1426" t="str">
        <f t="shared" si="224"/>
        <v/>
      </c>
      <c r="T1426" t="str">
        <f t="shared" si="225"/>
        <v/>
      </c>
      <c r="U1426" t="str">
        <f t="shared" si="226"/>
        <v/>
      </c>
      <c r="V1426" t="str">
        <f t="shared" si="227"/>
        <v/>
      </c>
      <c r="W1426" t="str">
        <f t="shared" si="228"/>
        <v/>
      </c>
      <c r="X1426">
        <f>IF($T1426="",N($X1425),IF(MATCH($T1426,$T$6:$T$10005,0)=ROW()-5,N($X1425)+1,N($X1425)))</f>
        <v>0</v>
      </c>
      <c r="Z1426" t="str">
        <f t="shared" si="229"/>
        <v/>
      </c>
      <c r="AA1426">
        <f>IF($V1426="",N($AA1425),IF(MATCH($V1426,$V$6:$V$10005,0)=ROW()-5,N($AA1425)+1,N($AA1425)))</f>
        <v>0</v>
      </c>
    </row>
    <row r="1427" spans="1:27" ht="21" customHeight="1" x14ac:dyDescent="0.95">
      <c r="A1427" s="56"/>
      <c r="B1427" s="57"/>
      <c r="C1427" s="57"/>
      <c r="D1427" s="57"/>
      <c r="E1427" s="56"/>
      <c r="F1427" s="57"/>
      <c r="G1427" s="57"/>
      <c r="H1427" s="56"/>
      <c r="I1427" s="56"/>
      <c r="J1427" s="58"/>
      <c r="K1427" s="58"/>
      <c r="L1427" s="13" t="str">
        <f t="shared" si="220"/>
        <v/>
      </c>
      <c r="M1427" s="13" t="str">
        <f t="shared" si="221"/>
        <v/>
      </c>
      <c r="Q1427" t="str">
        <f t="shared" si="222"/>
        <v/>
      </c>
      <c r="R1427" t="str">
        <f t="shared" si="223"/>
        <v/>
      </c>
      <c r="S1427" t="str">
        <f t="shared" si="224"/>
        <v/>
      </c>
      <c r="T1427" t="str">
        <f t="shared" si="225"/>
        <v/>
      </c>
      <c r="U1427" t="str">
        <f t="shared" si="226"/>
        <v/>
      </c>
      <c r="V1427" t="str">
        <f t="shared" si="227"/>
        <v/>
      </c>
      <c r="W1427" t="str">
        <f t="shared" si="228"/>
        <v/>
      </c>
      <c r="X1427">
        <f>IF($T1427="",N($X1426),IF(MATCH($T1427,$T$6:$T$10005,0)=ROW()-5,N($X1426)+1,N($X1426)))</f>
        <v>0</v>
      </c>
      <c r="Z1427" t="str">
        <f t="shared" si="229"/>
        <v/>
      </c>
      <c r="AA1427">
        <f>IF($V1427="",N($AA1426),IF(MATCH($V1427,$V$6:$V$10005,0)=ROW()-5,N($AA1426)+1,N($AA1426)))</f>
        <v>0</v>
      </c>
    </row>
    <row r="1428" spans="1:27" ht="21" customHeight="1" x14ac:dyDescent="0.95">
      <c r="A1428" s="56"/>
      <c r="B1428" s="57"/>
      <c r="C1428" s="57"/>
      <c r="D1428" s="57"/>
      <c r="E1428" s="56"/>
      <c r="F1428" s="57"/>
      <c r="G1428" s="57"/>
      <c r="H1428" s="56"/>
      <c r="I1428" s="56"/>
      <c r="J1428" s="58"/>
      <c r="K1428" s="58"/>
      <c r="L1428" s="13" t="str">
        <f t="shared" si="220"/>
        <v/>
      </c>
      <c r="M1428" s="13" t="str">
        <f t="shared" si="221"/>
        <v/>
      </c>
      <c r="Q1428" t="str">
        <f t="shared" si="222"/>
        <v/>
      </c>
      <c r="R1428" t="str">
        <f t="shared" si="223"/>
        <v/>
      </c>
      <c r="S1428" t="str">
        <f t="shared" si="224"/>
        <v/>
      </c>
      <c r="T1428" t="str">
        <f t="shared" si="225"/>
        <v/>
      </c>
      <c r="U1428" t="str">
        <f t="shared" si="226"/>
        <v/>
      </c>
      <c r="V1428" t="str">
        <f t="shared" si="227"/>
        <v/>
      </c>
      <c r="W1428" t="str">
        <f t="shared" si="228"/>
        <v/>
      </c>
      <c r="X1428">
        <f>IF($T1428="",N($X1427),IF(MATCH($T1428,$T$6:$T$10005,0)=ROW()-5,N($X1427)+1,N($X1427)))</f>
        <v>0</v>
      </c>
      <c r="Z1428" t="str">
        <f t="shared" si="229"/>
        <v/>
      </c>
      <c r="AA1428">
        <f>IF($V1428="",N($AA1427),IF(MATCH($V1428,$V$6:$V$10005,0)=ROW()-5,N($AA1427)+1,N($AA1427)))</f>
        <v>0</v>
      </c>
    </row>
    <row r="1429" spans="1:27" ht="21" customHeight="1" x14ac:dyDescent="0.95">
      <c r="A1429" s="56"/>
      <c r="B1429" s="57"/>
      <c r="C1429" s="57"/>
      <c r="D1429" s="57"/>
      <c r="E1429" s="56"/>
      <c r="F1429" s="57"/>
      <c r="G1429" s="57"/>
      <c r="H1429" s="56"/>
      <c r="I1429" s="56"/>
      <c r="J1429" s="58"/>
      <c r="K1429" s="58"/>
      <c r="L1429" s="13" t="str">
        <f t="shared" si="220"/>
        <v/>
      </c>
      <c r="M1429" s="13" t="str">
        <f t="shared" si="221"/>
        <v/>
      </c>
      <c r="Q1429" t="str">
        <f t="shared" si="222"/>
        <v/>
      </c>
      <c r="R1429" t="str">
        <f t="shared" si="223"/>
        <v/>
      </c>
      <c r="S1429" t="str">
        <f t="shared" si="224"/>
        <v/>
      </c>
      <c r="T1429" t="str">
        <f t="shared" si="225"/>
        <v/>
      </c>
      <c r="U1429" t="str">
        <f t="shared" si="226"/>
        <v/>
      </c>
      <c r="V1429" t="str">
        <f t="shared" si="227"/>
        <v/>
      </c>
      <c r="W1429" t="str">
        <f t="shared" si="228"/>
        <v/>
      </c>
      <c r="X1429">
        <f>IF($T1429="",N($X1428),IF(MATCH($T1429,$T$6:$T$10005,0)=ROW()-5,N($X1428)+1,N($X1428)))</f>
        <v>0</v>
      </c>
      <c r="Z1429" t="str">
        <f t="shared" si="229"/>
        <v/>
      </c>
      <c r="AA1429">
        <f>IF($V1429="",N($AA1428),IF(MATCH($V1429,$V$6:$V$10005,0)=ROW()-5,N($AA1428)+1,N($AA1428)))</f>
        <v>0</v>
      </c>
    </row>
    <row r="1430" spans="1:27" ht="21" customHeight="1" x14ac:dyDescent="0.95">
      <c r="A1430" s="56"/>
      <c r="B1430" s="57"/>
      <c r="C1430" s="57"/>
      <c r="D1430" s="57"/>
      <c r="E1430" s="56"/>
      <c r="F1430" s="57"/>
      <c r="G1430" s="57"/>
      <c r="H1430" s="56"/>
      <c r="I1430" s="56"/>
      <c r="J1430" s="58"/>
      <c r="K1430" s="58"/>
      <c r="L1430" s="13" t="str">
        <f t="shared" si="220"/>
        <v/>
      </c>
      <c r="M1430" s="13" t="str">
        <f t="shared" si="221"/>
        <v/>
      </c>
      <c r="Q1430" t="str">
        <f t="shared" si="222"/>
        <v/>
      </c>
      <c r="R1430" t="str">
        <f t="shared" si="223"/>
        <v/>
      </c>
      <c r="S1430" t="str">
        <f t="shared" si="224"/>
        <v/>
      </c>
      <c r="T1430" t="str">
        <f t="shared" si="225"/>
        <v/>
      </c>
      <c r="U1430" t="str">
        <f t="shared" si="226"/>
        <v/>
      </c>
      <c r="V1430" t="str">
        <f t="shared" si="227"/>
        <v/>
      </c>
      <c r="W1430" t="str">
        <f t="shared" si="228"/>
        <v/>
      </c>
      <c r="X1430">
        <f>IF($T1430="",N($X1429),IF(MATCH($T1430,$T$6:$T$10005,0)=ROW()-5,N($X1429)+1,N($X1429)))</f>
        <v>0</v>
      </c>
      <c r="Z1430" t="str">
        <f t="shared" si="229"/>
        <v/>
      </c>
      <c r="AA1430">
        <f>IF($V1430="",N($AA1429),IF(MATCH($V1430,$V$6:$V$10005,0)=ROW()-5,N($AA1429)+1,N($AA1429)))</f>
        <v>0</v>
      </c>
    </row>
    <row r="1431" spans="1:27" ht="21" customHeight="1" x14ac:dyDescent="0.95">
      <c r="A1431" s="56"/>
      <c r="B1431" s="57"/>
      <c r="C1431" s="57"/>
      <c r="D1431" s="57"/>
      <c r="E1431" s="56"/>
      <c r="F1431" s="57"/>
      <c r="G1431" s="57"/>
      <c r="H1431" s="56"/>
      <c r="I1431" s="56"/>
      <c r="J1431" s="58"/>
      <c r="K1431" s="58"/>
      <c r="L1431" s="13" t="str">
        <f t="shared" si="220"/>
        <v/>
      </c>
      <c r="M1431" s="13" t="str">
        <f t="shared" si="221"/>
        <v/>
      </c>
      <c r="Q1431" t="str">
        <f t="shared" si="222"/>
        <v/>
      </c>
      <c r="R1431" t="str">
        <f t="shared" si="223"/>
        <v/>
      </c>
      <c r="S1431" t="str">
        <f t="shared" si="224"/>
        <v/>
      </c>
      <c r="T1431" t="str">
        <f t="shared" si="225"/>
        <v/>
      </c>
      <c r="U1431" t="str">
        <f t="shared" si="226"/>
        <v/>
      </c>
      <c r="V1431" t="str">
        <f t="shared" si="227"/>
        <v/>
      </c>
      <c r="W1431" t="str">
        <f t="shared" si="228"/>
        <v/>
      </c>
      <c r="X1431">
        <f>IF($T1431="",N($X1430),IF(MATCH($T1431,$T$6:$T$10005,0)=ROW()-5,N($X1430)+1,N($X1430)))</f>
        <v>0</v>
      </c>
      <c r="Z1431" t="str">
        <f t="shared" si="229"/>
        <v/>
      </c>
      <c r="AA1431">
        <f>IF($V1431="",N($AA1430),IF(MATCH($V1431,$V$6:$V$10005,0)=ROW()-5,N($AA1430)+1,N($AA1430)))</f>
        <v>0</v>
      </c>
    </row>
    <row r="1432" spans="1:27" ht="21" customHeight="1" x14ac:dyDescent="0.95">
      <c r="A1432" s="56"/>
      <c r="B1432" s="57"/>
      <c r="C1432" s="57"/>
      <c r="D1432" s="57"/>
      <c r="E1432" s="56"/>
      <c r="F1432" s="57"/>
      <c r="G1432" s="57"/>
      <c r="H1432" s="56"/>
      <c r="I1432" s="56"/>
      <c r="J1432" s="58"/>
      <c r="K1432" s="58"/>
      <c r="L1432" s="13" t="str">
        <f t="shared" si="220"/>
        <v/>
      </c>
      <c r="M1432" s="13" t="str">
        <f t="shared" si="221"/>
        <v/>
      </c>
      <c r="Q1432" t="str">
        <f t="shared" si="222"/>
        <v/>
      </c>
      <c r="R1432" t="str">
        <f t="shared" si="223"/>
        <v/>
      </c>
      <c r="S1432" t="str">
        <f t="shared" si="224"/>
        <v/>
      </c>
      <c r="T1432" t="str">
        <f t="shared" si="225"/>
        <v/>
      </c>
      <c r="U1432" t="str">
        <f t="shared" si="226"/>
        <v/>
      </c>
      <c r="V1432" t="str">
        <f t="shared" si="227"/>
        <v/>
      </c>
      <c r="W1432" t="str">
        <f t="shared" si="228"/>
        <v/>
      </c>
      <c r="X1432">
        <f>IF($T1432="",N($X1431),IF(MATCH($T1432,$T$6:$T$10005,0)=ROW()-5,N($X1431)+1,N($X1431)))</f>
        <v>0</v>
      </c>
      <c r="Z1432" t="str">
        <f t="shared" si="229"/>
        <v/>
      </c>
      <c r="AA1432">
        <f>IF($V1432="",N($AA1431),IF(MATCH($V1432,$V$6:$V$10005,0)=ROW()-5,N($AA1431)+1,N($AA1431)))</f>
        <v>0</v>
      </c>
    </row>
    <row r="1433" spans="1:27" ht="21" customHeight="1" x14ac:dyDescent="0.95">
      <c r="A1433" s="56"/>
      <c r="B1433" s="57"/>
      <c r="C1433" s="57"/>
      <c r="D1433" s="57"/>
      <c r="E1433" s="56"/>
      <c r="F1433" s="57"/>
      <c r="G1433" s="57"/>
      <c r="H1433" s="56"/>
      <c r="I1433" s="56"/>
      <c r="J1433" s="58"/>
      <c r="K1433" s="58"/>
      <c r="L1433" s="13" t="str">
        <f t="shared" si="220"/>
        <v/>
      </c>
      <c r="M1433" s="13" t="str">
        <f t="shared" si="221"/>
        <v/>
      </c>
      <c r="Q1433" t="str">
        <f t="shared" si="222"/>
        <v/>
      </c>
      <c r="R1433" t="str">
        <f t="shared" si="223"/>
        <v/>
      </c>
      <c r="S1433" t="str">
        <f t="shared" si="224"/>
        <v/>
      </c>
      <c r="T1433" t="str">
        <f t="shared" si="225"/>
        <v/>
      </c>
      <c r="U1433" t="str">
        <f t="shared" si="226"/>
        <v/>
      </c>
      <c r="V1433" t="str">
        <f t="shared" si="227"/>
        <v/>
      </c>
      <c r="W1433" t="str">
        <f t="shared" si="228"/>
        <v/>
      </c>
      <c r="X1433">
        <f>IF($T1433="",N($X1432),IF(MATCH($T1433,$T$6:$T$10005,0)=ROW()-5,N($X1432)+1,N($X1432)))</f>
        <v>0</v>
      </c>
      <c r="Z1433" t="str">
        <f t="shared" si="229"/>
        <v/>
      </c>
      <c r="AA1433">
        <f>IF($V1433="",N($AA1432),IF(MATCH($V1433,$V$6:$V$10005,0)=ROW()-5,N($AA1432)+1,N($AA1432)))</f>
        <v>0</v>
      </c>
    </row>
    <row r="1434" spans="1:27" ht="21" customHeight="1" x14ac:dyDescent="0.95">
      <c r="A1434" s="56"/>
      <c r="B1434" s="57"/>
      <c r="C1434" s="57"/>
      <c r="D1434" s="57"/>
      <c r="E1434" s="56"/>
      <c r="F1434" s="57"/>
      <c r="G1434" s="57"/>
      <c r="H1434" s="56"/>
      <c r="I1434" s="56"/>
      <c r="J1434" s="58"/>
      <c r="K1434" s="58"/>
      <c r="L1434" s="13" t="str">
        <f t="shared" si="220"/>
        <v/>
      </c>
      <c r="M1434" s="13" t="str">
        <f t="shared" si="221"/>
        <v/>
      </c>
      <c r="Q1434" t="str">
        <f t="shared" si="222"/>
        <v/>
      </c>
      <c r="R1434" t="str">
        <f t="shared" si="223"/>
        <v/>
      </c>
      <c r="S1434" t="str">
        <f t="shared" si="224"/>
        <v/>
      </c>
      <c r="T1434" t="str">
        <f t="shared" si="225"/>
        <v/>
      </c>
      <c r="U1434" t="str">
        <f t="shared" si="226"/>
        <v/>
      </c>
      <c r="V1434" t="str">
        <f t="shared" si="227"/>
        <v/>
      </c>
      <c r="W1434" t="str">
        <f t="shared" si="228"/>
        <v/>
      </c>
      <c r="X1434">
        <f>IF($T1434="",N($X1433),IF(MATCH($T1434,$T$6:$T$10005,0)=ROW()-5,N($X1433)+1,N($X1433)))</f>
        <v>0</v>
      </c>
      <c r="Z1434" t="str">
        <f t="shared" si="229"/>
        <v/>
      </c>
      <c r="AA1434">
        <f>IF($V1434="",N($AA1433),IF(MATCH($V1434,$V$6:$V$10005,0)=ROW()-5,N($AA1433)+1,N($AA1433)))</f>
        <v>0</v>
      </c>
    </row>
    <row r="1435" spans="1:27" ht="21" customHeight="1" x14ac:dyDescent="0.95">
      <c r="A1435" s="56"/>
      <c r="B1435" s="57"/>
      <c r="C1435" s="57"/>
      <c r="D1435" s="57"/>
      <c r="E1435" s="56"/>
      <c r="F1435" s="57"/>
      <c r="G1435" s="57"/>
      <c r="H1435" s="56"/>
      <c r="I1435" s="56"/>
      <c r="J1435" s="58"/>
      <c r="K1435" s="58"/>
      <c r="L1435" s="13" t="str">
        <f t="shared" si="220"/>
        <v/>
      </c>
      <c r="M1435" s="13" t="str">
        <f t="shared" si="221"/>
        <v/>
      </c>
      <c r="Q1435" t="str">
        <f t="shared" si="222"/>
        <v/>
      </c>
      <c r="R1435" t="str">
        <f t="shared" si="223"/>
        <v/>
      </c>
      <c r="S1435" t="str">
        <f t="shared" si="224"/>
        <v/>
      </c>
      <c r="T1435" t="str">
        <f t="shared" si="225"/>
        <v/>
      </c>
      <c r="U1435" t="str">
        <f t="shared" si="226"/>
        <v/>
      </c>
      <c r="V1435" t="str">
        <f t="shared" si="227"/>
        <v/>
      </c>
      <c r="W1435" t="str">
        <f t="shared" si="228"/>
        <v/>
      </c>
      <c r="X1435">
        <f>IF($T1435="",N($X1434),IF(MATCH($T1435,$T$6:$T$10005,0)=ROW()-5,N($X1434)+1,N($X1434)))</f>
        <v>0</v>
      </c>
      <c r="Z1435" t="str">
        <f t="shared" si="229"/>
        <v/>
      </c>
      <c r="AA1435">
        <f>IF($V1435="",N($AA1434),IF(MATCH($V1435,$V$6:$V$10005,0)=ROW()-5,N($AA1434)+1,N($AA1434)))</f>
        <v>0</v>
      </c>
    </row>
    <row r="1436" spans="1:27" ht="21" customHeight="1" x14ac:dyDescent="0.95">
      <c r="A1436" s="56"/>
      <c r="B1436" s="57"/>
      <c r="C1436" s="57"/>
      <c r="D1436" s="57"/>
      <c r="E1436" s="56"/>
      <c r="F1436" s="57"/>
      <c r="G1436" s="57"/>
      <c r="H1436" s="56"/>
      <c r="I1436" s="56"/>
      <c r="J1436" s="58"/>
      <c r="K1436" s="58"/>
      <c r="L1436" s="13" t="str">
        <f t="shared" si="220"/>
        <v/>
      </c>
      <c r="M1436" s="13" t="str">
        <f t="shared" si="221"/>
        <v/>
      </c>
      <c r="Q1436" t="str">
        <f t="shared" si="222"/>
        <v/>
      </c>
      <c r="R1436" t="str">
        <f t="shared" si="223"/>
        <v/>
      </c>
      <c r="S1436" t="str">
        <f t="shared" si="224"/>
        <v/>
      </c>
      <c r="T1436" t="str">
        <f t="shared" si="225"/>
        <v/>
      </c>
      <c r="U1436" t="str">
        <f t="shared" si="226"/>
        <v/>
      </c>
      <c r="V1436" t="str">
        <f t="shared" si="227"/>
        <v/>
      </c>
      <c r="W1436" t="str">
        <f t="shared" si="228"/>
        <v/>
      </c>
      <c r="X1436">
        <f>IF($T1436="",N($X1435),IF(MATCH($T1436,$T$6:$T$10005,0)=ROW()-5,N($X1435)+1,N($X1435)))</f>
        <v>0</v>
      </c>
      <c r="Z1436" t="str">
        <f t="shared" si="229"/>
        <v/>
      </c>
      <c r="AA1436">
        <f>IF($V1436="",N($AA1435),IF(MATCH($V1436,$V$6:$V$10005,0)=ROW()-5,N($AA1435)+1,N($AA1435)))</f>
        <v>0</v>
      </c>
    </row>
    <row r="1437" spans="1:27" ht="21" customHeight="1" x14ac:dyDescent="0.95">
      <c r="A1437" s="56"/>
      <c r="B1437" s="57"/>
      <c r="C1437" s="57"/>
      <c r="D1437" s="57"/>
      <c r="E1437" s="56"/>
      <c r="F1437" s="57"/>
      <c r="G1437" s="57"/>
      <c r="H1437" s="56"/>
      <c r="I1437" s="56"/>
      <c r="J1437" s="58"/>
      <c r="K1437" s="58"/>
      <c r="L1437" s="13" t="str">
        <f t="shared" si="220"/>
        <v/>
      </c>
      <c r="M1437" s="13" t="str">
        <f t="shared" si="221"/>
        <v/>
      </c>
      <c r="Q1437" t="str">
        <f t="shared" si="222"/>
        <v/>
      </c>
      <c r="R1437" t="str">
        <f t="shared" si="223"/>
        <v/>
      </c>
      <c r="S1437" t="str">
        <f t="shared" si="224"/>
        <v/>
      </c>
      <c r="T1437" t="str">
        <f t="shared" si="225"/>
        <v/>
      </c>
      <c r="U1437" t="str">
        <f t="shared" si="226"/>
        <v/>
      </c>
      <c r="V1437" t="str">
        <f t="shared" si="227"/>
        <v/>
      </c>
      <c r="W1437" t="str">
        <f t="shared" si="228"/>
        <v/>
      </c>
      <c r="X1437">
        <f>IF($T1437="",N($X1436),IF(MATCH($T1437,$T$6:$T$10005,0)=ROW()-5,N($X1436)+1,N($X1436)))</f>
        <v>0</v>
      </c>
      <c r="Z1437" t="str">
        <f t="shared" si="229"/>
        <v/>
      </c>
      <c r="AA1437">
        <f>IF($V1437="",N($AA1436),IF(MATCH($V1437,$V$6:$V$10005,0)=ROW()-5,N($AA1436)+1,N($AA1436)))</f>
        <v>0</v>
      </c>
    </row>
    <row r="1438" spans="1:27" ht="21" customHeight="1" x14ac:dyDescent="0.95">
      <c r="A1438" s="56"/>
      <c r="B1438" s="57"/>
      <c r="C1438" s="57"/>
      <c r="D1438" s="57"/>
      <c r="E1438" s="56"/>
      <c r="F1438" s="57"/>
      <c r="G1438" s="57"/>
      <c r="H1438" s="56"/>
      <c r="I1438" s="56"/>
      <c r="J1438" s="58"/>
      <c r="K1438" s="58"/>
      <c r="L1438" s="13" t="str">
        <f t="shared" si="220"/>
        <v/>
      </c>
      <c r="M1438" s="13" t="str">
        <f t="shared" si="221"/>
        <v/>
      </c>
      <c r="Q1438" t="str">
        <f t="shared" si="222"/>
        <v/>
      </c>
      <c r="R1438" t="str">
        <f t="shared" si="223"/>
        <v/>
      </c>
      <c r="S1438" t="str">
        <f t="shared" si="224"/>
        <v/>
      </c>
      <c r="T1438" t="str">
        <f t="shared" si="225"/>
        <v/>
      </c>
      <c r="U1438" t="str">
        <f t="shared" si="226"/>
        <v/>
      </c>
      <c r="V1438" t="str">
        <f t="shared" si="227"/>
        <v/>
      </c>
      <c r="W1438" t="str">
        <f t="shared" si="228"/>
        <v/>
      </c>
      <c r="X1438">
        <f>IF($T1438="",N($X1437),IF(MATCH($T1438,$T$6:$T$10005,0)=ROW()-5,N($X1437)+1,N($X1437)))</f>
        <v>0</v>
      </c>
      <c r="Z1438" t="str">
        <f t="shared" si="229"/>
        <v/>
      </c>
      <c r="AA1438">
        <f>IF($V1438="",N($AA1437),IF(MATCH($V1438,$V$6:$V$10005,0)=ROW()-5,N($AA1437)+1,N($AA1437)))</f>
        <v>0</v>
      </c>
    </row>
    <row r="1439" spans="1:27" ht="21" customHeight="1" x14ac:dyDescent="0.95">
      <c r="A1439" s="56"/>
      <c r="B1439" s="57"/>
      <c r="C1439" s="57"/>
      <c r="D1439" s="57"/>
      <c r="E1439" s="56"/>
      <c r="F1439" s="57"/>
      <c r="G1439" s="57"/>
      <c r="H1439" s="56"/>
      <c r="I1439" s="56"/>
      <c r="J1439" s="58"/>
      <c r="K1439" s="58"/>
      <c r="L1439" s="13" t="str">
        <f t="shared" si="220"/>
        <v/>
      </c>
      <c r="M1439" s="13" t="str">
        <f t="shared" si="221"/>
        <v/>
      </c>
      <c r="Q1439" t="str">
        <f t="shared" si="222"/>
        <v/>
      </c>
      <c r="R1439" t="str">
        <f t="shared" si="223"/>
        <v/>
      </c>
      <c r="S1439" t="str">
        <f t="shared" si="224"/>
        <v/>
      </c>
      <c r="T1439" t="str">
        <f t="shared" si="225"/>
        <v/>
      </c>
      <c r="U1439" t="str">
        <f t="shared" si="226"/>
        <v/>
      </c>
      <c r="V1439" t="str">
        <f t="shared" si="227"/>
        <v/>
      </c>
      <c r="W1439" t="str">
        <f t="shared" si="228"/>
        <v/>
      </c>
      <c r="X1439">
        <f>IF($T1439="",N($X1438),IF(MATCH($T1439,$T$6:$T$10005,0)=ROW()-5,N($X1438)+1,N($X1438)))</f>
        <v>0</v>
      </c>
      <c r="Z1439" t="str">
        <f t="shared" si="229"/>
        <v/>
      </c>
      <c r="AA1439">
        <f>IF($V1439="",N($AA1438),IF(MATCH($V1439,$V$6:$V$10005,0)=ROW()-5,N($AA1438)+1,N($AA1438)))</f>
        <v>0</v>
      </c>
    </row>
    <row r="1440" spans="1:27" ht="21" customHeight="1" x14ac:dyDescent="0.95">
      <c r="A1440" s="56"/>
      <c r="B1440" s="57"/>
      <c r="C1440" s="57"/>
      <c r="D1440" s="57"/>
      <c r="E1440" s="56"/>
      <c r="F1440" s="57"/>
      <c r="G1440" s="57"/>
      <c r="H1440" s="56"/>
      <c r="I1440" s="56"/>
      <c r="J1440" s="58"/>
      <c r="K1440" s="58"/>
      <c r="L1440" s="13" t="str">
        <f t="shared" si="220"/>
        <v/>
      </c>
      <c r="M1440" s="13" t="str">
        <f t="shared" si="221"/>
        <v/>
      </c>
      <c r="Q1440" t="str">
        <f t="shared" si="222"/>
        <v/>
      </c>
      <c r="R1440" t="str">
        <f t="shared" si="223"/>
        <v/>
      </c>
      <c r="S1440" t="str">
        <f t="shared" si="224"/>
        <v/>
      </c>
      <c r="T1440" t="str">
        <f t="shared" si="225"/>
        <v/>
      </c>
      <c r="U1440" t="str">
        <f t="shared" si="226"/>
        <v/>
      </c>
      <c r="V1440" t="str">
        <f t="shared" si="227"/>
        <v/>
      </c>
      <c r="W1440" t="str">
        <f t="shared" si="228"/>
        <v/>
      </c>
      <c r="X1440">
        <f>IF($T1440="",N($X1439),IF(MATCH($T1440,$T$6:$T$10005,0)=ROW()-5,N($X1439)+1,N($X1439)))</f>
        <v>0</v>
      </c>
      <c r="Z1440" t="str">
        <f t="shared" si="229"/>
        <v/>
      </c>
      <c r="AA1440">
        <f>IF($V1440="",N($AA1439),IF(MATCH($V1440,$V$6:$V$10005,0)=ROW()-5,N($AA1439)+1,N($AA1439)))</f>
        <v>0</v>
      </c>
    </row>
    <row r="1441" spans="1:27" ht="21" customHeight="1" x14ac:dyDescent="0.95">
      <c r="A1441" s="56"/>
      <c r="B1441" s="57"/>
      <c r="C1441" s="57"/>
      <c r="D1441" s="57"/>
      <c r="E1441" s="56"/>
      <c r="F1441" s="57"/>
      <c r="G1441" s="57"/>
      <c r="H1441" s="56"/>
      <c r="I1441" s="56"/>
      <c r="J1441" s="58"/>
      <c r="K1441" s="58"/>
      <c r="L1441" s="13" t="str">
        <f t="shared" si="220"/>
        <v/>
      </c>
      <c r="M1441" s="13" t="str">
        <f t="shared" si="221"/>
        <v/>
      </c>
      <c r="Q1441" t="str">
        <f t="shared" si="222"/>
        <v/>
      </c>
      <c r="R1441" t="str">
        <f t="shared" si="223"/>
        <v/>
      </c>
      <c r="S1441" t="str">
        <f t="shared" si="224"/>
        <v/>
      </c>
      <c r="T1441" t="str">
        <f t="shared" si="225"/>
        <v/>
      </c>
      <c r="U1441" t="str">
        <f t="shared" si="226"/>
        <v/>
      </c>
      <c r="V1441" t="str">
        <f t="shared" si="227"/>
        <v/>
      </c>
      <c r="W1441" t="str">
        <f t="shared" si="228"/>
        <v/>
      </c>
      <c r="X1441">
        <f>IF($T1441="",N($X1440),IF(MATCH($T1441,$T$6:$T$10005,0)=ROW()-5,N($X1440)+1,N($X1440)))</f>
        <v>0</v>
      </c>
      <c r="Z1441" t="str">
        <f t="shared" si="229"/>
        <v/>
      </c>
      <c r="AA1441">
        <f>IF($V1441="",N($AA1440),IF(MATCH($V1441,$V$6:$V$10005,0)=ROW()-5,N($AA1440)+1,N($AA1440)))</f>
        <v>0</v>
      </c>
    </row>
    <row r="1442" spans="1:27" ht="21" customHeight="1" x14ac:dyDescent="0.95">
      <c r="A1442" s="56"/>
      <c r="B1442" s="57"/>
      <c r="C1442" s="57"/>
      <c r="D1442" s="57"/>
      <c r="E1442" s="56"/>
      <c r="F1442" s="57"/>
      <c r="G1442" s="57"/>
      <c r="H1442" s="56"/>
      <c r="I1442" s="56"/>
      <c r="J1442" s="58"/>
      <c r="K1442" s="58"/>
      <c r="L1442" s="13" t="str">
        <f t="shared" si="220"/>
        <v/>
      </c>
      <c r="M1442" s="13" t="str">
        <f t="shared" si="221"/>
        <v/>
      </c>
      <c r="Q1442" t="str">
        <f t="shared" si="222"/>
        <v/>
      </c>
      <c r="R1442" t="str">
        <f t="shared" si="223"/>
        <v/>
      </c>
      <c r="S1442" t="str">
        <f t="shared" si="224"/>
        <v/>
      </c>
      <c r="T1442" t="str">
        <f t="shared" si="225"/>
        <v/>
      </c>
      <c r="U1442" t="str">
        <f t="shared" si="226"/>
        <v/>
      </c>
      <c r="V1442" t="str">
        <f t="shared" si="227"/>
        <v/>
      </c>
      <c r="W1442" t="str">
        <f t="shared" si="228"/>
        <v/>
      </c>
      <c r="X1442">
        <f>IF($T1442="",N($X1441),IF(MATCH($T1442,$T$6:$T$10005,0)=ROW()-5,N($X1441)+1,N($X1441)))</f>
        <v>0</v>
      </c>
      <c r="Z1442" t="str">
        <f t="shared" si="229"/>
        <v/>
      </c>
      <c r="AA1442">
        <f>IF($V1442="",N($AA1441),IF(MATCH($V1442,$V$6:$V$10005,0)=ROW()-5,N($AA1441)+1,N($AA1441)))</f>
        <v>0</v>
      </c>
    </row>
    <row r="1443" spans="1:27" ht="21" customHeight="1" x14ac:dyDescent="0.95">
      <c r="A1443" s="56"/>
      <c r="B1443" s="57"/>
      <c r="C1443" s="57"/>
      <c r="D1443" s="57"/>
      <c r="E1443" s="56"/>
      <c r="F1443" s="57"/>
      <c r="G1443" s="57"/>
      <c r="H1443" s="56"/>
      <c r="I1443" s="56"/>
      <c r="J1443" s="58"/>
      <c r="K1443" s="58"/>
      <c r="L1443" s="13" t="str">
        <f t="shared" si="220"/>
        <v/>
      </c>
      <c r="M1443" s="13" t="str">
        <f t="shared" si="221"/>
        <v/>
      </c>
      <c r="Q1443" t="str">
        <f t="shared" si="222"/>
        <v/>
      </c>
      <c r="R1443" t="str">
        <f t="shared" si="223"/>
        <v/>
      </c>
      <c r="S1443" t="str">
        <f t="shared" si="224"/>
        <v/>
      </c>
      <c r="T1443" t="str">
        <f t="shared" si="225"/>
        <v/>
      </c>
      <c r="U1443" t="str">
        <f t="shared" si="226"/>
        <v/>
      </c>
      <c r="V1443" t="str">
        <f t="shared" si="227"/>
        <v/>
      </c>
      <c r="W1443" t="str">
        <f t="shared" si="228"/>
        <v/>
      </c>
      <c r="X1443">
        <f>IF($T1443="",N($X1442),IF(MATCH($T1443,$T$6:$T$10005,0)=ROW()-5,N($X1442)+1,N($X1442)))</f>
        <v>0</v>
      </c>
      <c r="Z1443" t="str">
        <f t="shared" si="229"/>
        <v/>
      </c>
      <c r="AA1443">
        <f>IF($V1443="",N($AA1442),IF(MATCH($V1443,$V$6:$V$10005,0)=ROW()-5,N($AA1442)+1,N($AA1442)))</f>
        <v>0</v>
      </c>
    </row>
    <row r="1444" spans="1:27" ht="21" customHeight="1" x14ac:dyDescent="0.95">
      <c r="A1444" s="56"/>
      <c r="B1444" s="57"/>
      <c r="C1444" s="57"/>
      <c r="D1444" s="57"/>
      <c r="E1444" s="56"/>
      <c r="F1444" s="57"/>
      <c r="G1444" s="57"/>
      <c r="H1444" s="56"/>
      <c r="I1444" s="56"/>
      <c r="J1444" s="58"/>
      <c r="K1444" s="58"/>
      <c r="L1444" s="13" t="str">
        <f t="shared" si="220"/>
        <v/>
      </c>
      <c r="M1444" s="13" t="str">
        <f t="shared" si="221"/>
        <v/>
      </c>
      <c r="Q1444" t="str">
        <f t="shared" si="222"/>
        <v/>
      </c>
      <c r="R1444" t="str">
        <f t="shared" si="223"/>
        <v/>
      </c>
      <c r="S1444" t="str">
        <f t="shared" si="224"/>
        <v/>
      </c>
      <c r="T1444" t="str">
        <f t="shared" si="225"/>
        <v/>
      </c>
      <c r="U1444" t="str">
        <f t="shared" si="226"/>
        <v/>
      </c>
      <c r="V1444" t="str">
        <f t="shared" si="227"/>
        <v/>
      </c>
      <c r="W1444" t="str">
        <f t="shared" si="228"/>
        <v/>
      </c>
      <c r="X1444">
        <f>IF($T1444="",N($X1443),IF(MATCH($T1444,$T$6:$T$10005,0)=ROW()-5,N($X1443)+1,N($X1443)))</f>
        <v>0</v>
      </c>
      <c r="Z1444" t="str">
        <f t="shared" si="229"/>
        <v/>
      </c>
      <c r="AA1444">
        <f>IF($V1444="",N($AA1443),IF(MATCH($V1444,$V$6:$V$10005,0)=ROW()-5,N($AA1443)+1,N($AA1443)))</f>
        <v>0</v>
      </c>
    </row>
    <row r="1445" spans="1:27" ht="21" customHeight="1" x14ac:dyDescent="0.95">
      <c r="A1445" s="56"/>
      <c r="B1445" s="57"/>
      <c r="C1445" s="57"/>
      <c r="D1445" s="57"/>
      <c r="E1445" s="56"/>
      <c r="F1445" s="57"/>
      <c r="G1445" s="57"/>
      <c r="H1445" s="56"/>
      <c r="I1445" s="56"/>
      <c r="J1445" s="58"/>
      <c r="K1445" s="58"/>
      <c r="L1445" s="13" t="str">
        <f t="shared" si="220"/>
        <v/>
      </c>
      <c r="M1445" s="13" t="str">
        <f t="shared" si="221"/>
        <v/>
      </c>
      <c r="Q1445" t="str">
        <f t="shared" si="222"/>
        <v/>
      </c>
      <c r="R1445" t="str">
        <f t="shared" si="223"/>
        <v/>
      </c>
      <c r="S1445" t="str">
        <f t="shared" si="224"/>
        <v/>
      </c>
      <c r="T1445" t="str">
        <f t="shared" si="225"/>
        <v/>
      </c>
      <c r="U1445" t="str">
        <f t="shared" si="226"/>
        <v/>
      </c>
      <c r="V1445" t="str">
        <f t="shared" si="227"/>
        <v/>
      </c>
      <c r="W1445" t="str">
        <f t="shared" si="228"/>
        <v/>
      </c>
      <c r="X1445">
        <f>IF($T1445="",N($X1444),IF(MATCH($T1445,$T$6:$T$10005,0)=ROW()-5,N($X1444)+1,N($X1444)))</f>
        <v>0</v>
      </c>
      <c r="Z1445" t="str">
        <f t="shared" si="229"/>
        <v/>
      </c>
      <c r="AA1445">
        <f>IF($V1445="",N($AA1444),IF(MATCH($V1445,$V$6:$V$10005,0)=ROW()-5,N($AA1444)+1,N($AA1444)))</f>
        <v>0</v>
      </c>
    </row>
    <row r="1446" spans="1:27" ht="21" customHeight="1" x14ac:dyDescent="0.95">
      <c r="A1446" s="56"/>
      <c r="B1446" s="57"/>
      <c r="C1446" s="57"/>
      <c r="D1446" s="57"/>
      <c r="E1446" s="56"/>
      <c r="F1446" s="57"/>
      <c r="G1446" s="57"/>
      <c r="H1446" s="56"/>
      <c r="I1446" s="56"/>
      <c r="J1446" s="58"/>
      <c r="K1446" s="58"/>
      <c r="L1446" s="13" t="str">
        <f t="shared" si="220"/>
        <v/>
      </c>
      <c r="M1446" s="13" t="str">
        <f t="shared" si="221"/>
        <v/>
      </c>
      <c r="Q1446" t="str">
        <f t="shared" si="222"/>
        <v/>
      </c>
      <c r="R1446" t="str">
        <f t="shared" si="223"/>
        <v/>
      </c>
      <c r="S1446" t="str">
        <f t="shared" si="224"/>
        <v/>
      </c>
      <c r="T1446" t="str">
        <f t="shared" si="225"/>
        <v/>
      </c>
      <c r="U1446" t="str">
        <f t="shared" si="226"/>
        <v/>
      </c>
      <c r="V1446" t="str">
        <f t="shared" si="227"/>
        <v/>
      </c>
      <c r="W1446" t="str">
        <f t="shared" si="228"/>
        <v/>
      </c>
      <c r="X1446">
        <f>IF($T1446="",N($X1445),IF(MATCH($T1446,$T$6:$T$10005,0)=ROW()-5,N($X1445)+1,N($X1445)))</f>
        <v>0</v>
      </c>
      <c r="Z1446" t="str">
        <f t="shared" si="229"/>
        <v/>
      </c>
      <c r="AA1446">
        <f>IF($V1446="",N($AA1445),IF(MATCH($V1446,$V$6:$V$10005,0)=ROW()-5,N($AA1445)+1,N($AA1445)))</f>
        <v>0</v>
      </c>
    </row>
    <row r="1447" spans="1:27" ht="21" customHeight="1" x14ac:dyDescent="0.95">
      <c r="A1447" s="56"/>
      <c r="B1447" s="57"/>
      <c r="C1447" s="57"/>
      <c r="D1447" s="57"/>
      <c r="E1447" s="56"/>
      <c r="F1447" s="57"/>
      <c r="G1447" s="57"/>
      <c r="H1447" s="56"/>
      <c r="I1447" s="56"/>
      <c r="J1447" s="58"/>
      <c r="K1447" s="58"/>
      <c r="L1447" s="13" t="str">
        <f t="shared" si="220"/>
        <v/>
      </c>
      <c r="M1447" s="13" t="str">
        <f t="shared" si="221"/>
        <v/>
      </c>
      <c r="Q1447" t="str">
        <f t="shared" si="222"/>
        <v/>
      </c>
      <c r="R1447" t="str">
        <f t="shared" si="223"/>
        <v/>
      </c>
      <c r="S1447" t="str">
        <f t="shared" si="224"/>
        <v/>
      </c>
      <c r="T1447" t="str">
        <f t="shared" si="225"/>
        <v/>
      </c>
      <c r="U1447" t="str">
        <f t="shared" si="226"/>
        <v/>
      </c>
      <c r="V1447" t="str">
        <f t="shared" si="227"/>
        <v/>
      </c>
      <c r="W1447" t="str">
        <f t="shared" si="228"/>
        <v/>
      </c>
      <c r="X1447">
        <f>IF($T1447="",N($X1446),IF(MATCH($T1447,$T$6:$T$10005,0)=ROW()-5,N($X1446)+1,N($X1446)))</f>
        <v>0</v>
      </c>
      <c r="Z1447" t="str">
        <f t="shared" si="229"/>
        <v/>
      </c>
      <c r="AA1447">
        <f>IF($V1447="",N($AA1446),IF(MATCH($V1447,$V$6:$V$10005,0)=ROW()-5,N($AA1446)+1,N($AA1446)))</f>
        <v>0</v>
      </c>
    </row>
    <row r="1448" spans="1:27" ht="21" customHeight="1" x14ac:dyDescent="0.95">
      <c r="A1448" s="56"/>
      <c r="B1448" s="57"/>
      <c r="C1448" s="57"/>
      <c r="D1448" s="57"/>
      <c r="E1448" s="56"/>
      <c r="F1448" s="57"/>
      <c r="G1448" s="57"/>
      <c r="H1448" s="56"/>
      <c r="I1448" s="56"/>
      <c r="J1448" s="58"/>
      <c r="K1448" s="58"/>
      <c r="L1448" s="13" t="str">
        <f t="shared" si="220"/>
        <v/>
      </c>
      <c r="M1448" s="13" t="str">
        <f t="shared" si="221"/>
        <v/>
      </c>
      <c r="Q1448" t="str">
        <f t="shared" si="222"/>
        <v/>
      </c>
      <c r="R1448" t="str">
        <f t="shared" si="223"/>
        <v/>
      </c>
      <c r="S1448" t="str">
        <f t="shared" si="224"/>
        <v/>
      </c>
      <c r="T1448" t="str">
        <f t="shared" si="225"/>
        <v/>
      </c>
      <c r="U1448" t="str">
        <f t="shared" si="226"/>
        <v/>
      </c>
      <c r="V1448" t="str">
        <f t="shared" si="227"/>
        <v/>
      </c>
      <c r="W1448" t="str">
        <f t="shared" si="228"/>
        <v/>
      </c>
      <c r="X1448">
        <f>IF($T1448="",N($X1447),IF(MATCH($T1448,$T$6:$T$10005,0)=ROW()-5,N($X1447)+1,N($X1447)))</f>
        <v>0</v>
      </c>
      <c r="Z1448" t="str">
        <f t="shared" si="229"/>
        <v/>
      </c>
      <c r="AA1448">
        <f>IF($V1448="",N($AA1447),IF(MATCH($V1448,$V$6:$V$10005,0)=ROW()-5,N($AA1447)+1,N($AA1447)))</f>
        <v>0</v>
      </c>
    </row>
    <row r="1449" spans="1:27" ht="21" customHeight="1" x14ac:dyDescent="0.95">
      <c r="A1449" s="56"/>
      <c r="B1449" s="57"/>
      <c r="C1449" s="57"/>
      <c r="D1449" s="57"/>
      <c r="E1449" s="56"/>
      <c r="F1449" s="57"/>
      <c r="G1449" s="57"/>
      <c r="H1449" s="56"/>
      <c r="I1449" s="56"/>
      <c r="J1449" s="58"/>
      <c r="K1449" s="58"/>
      <c r="L1449" s="13" t="str">
        <f t="shared" si="220"/>
        <v/>
      </c>
      <c r="M1449" s="13" t="str">
        <f t="shared" si="221"/>
        <v/>
      </c>
      <c r="Q1449" t="str">
        <f t="shared" si="222"/>
        <v/>
      </c>
      <c r="R1449" t="str">
        <f t="shared" si="223"/>
        <v/>
      </c>
      <c r="S1449" t="str">
        <f t="shared" si="224"/>
        <v/>
      </c>
      <c r="T1449" t="str">
        <f t="shared" si="225"/>
        <v/>
      </c>
      <c r="U1449" t="str">
        <f t="shared" si="226"/>
        <v/>
      </c>
      <c r="V1449" t="str">
        <f t="shared" si="227"/>
        <v/>
      </c>
      <c r="W1449" t="str">
        <f t="shared" si="228"/>
        <v/>
      </c>
      <c r="X1449">
        <f>IF($T1449="",N($X1448),IF(MATCH($T1449,$T$6:$T$10005,0)=ROW()-5,N($X1448)+1,N($X1448)))</f>
        <v>0</v>
      </c>
      <c r="Z1449" t="str">
        <f t="shared" si="229"/>
        <v/>
      </c>
      <c r="AA1449">
        <f>IF($V1449="",N($AA1448),IF(MATCH($V1449,$V$6:$V$10005,0)=ROW()-5,N($AA1448)+1,N($AA1448)))</f>
        <v>0</v>
      </c>
    </row>
    <row r="1450" spans="1:27" ht="21" customHeight="1" x14ac:dyDescent="0.95">
      <c r="A1450" s="56"/>
      <c r="B1450" s="57"/>
      <c r="C1450" s="57"/>
      <c r="D1450" s="57"/>
      <c r="E1450" s="56"/>
      <c r="F1450" s="57"/>
      <c r="G1450" s="57"/>
      <c r="H1450" s="56"/>
      <c r="I1450" s="56"/>
      <c r="J1450" s="58"/>
      <c r="K1450" s="58"/>
      <c r="L1450" s="13" t="str">
        <f t="shared" si="220"/>
        <v/>
      </c>
      <c r="M1450" s="13" t="str">
        <f t="shared" si="221"/>
        <v/>
      </c>
      <c r="Q1450" t="str">
        <f t="shared" si="222"/>
        <v/>
      </c>
      <c r="R1450" t="str">
        <f t="shared" si="223"/>
        <v/>
      </c>
      <c r="S1450" t="str">
        <f t="shared" si="224"/>
        <v/>
      </c>
      <c r="T1450" t="str">
        <f t="shared" si="225"/>
        <v/>
      </c>
      <c r="U1450" t="str">
        <f t="shared" si="226"/>
        <v/>
      </c>
      <c r="V1450" t="str">
        <f t="shared" si="227"/>
        <v/>
      </c>
      <c r="W1450" t="str">
        <f t="shared" si="228"/>
        <v/>
      </c>
      <c r="X1450">
        <f>IF($T1450="",N($X1449),IF(MATCH($T1450,$T$6:$T$10005,0)=ROW()-5,N($X1449)+1,N($X1449)))</f>
        <v>0</v>
      </c>
      <c r="Z1450" t="str">
        <f t="shared" si="229"/>
        <v/>
      </c>
      <c r="AA1450">
        <f>IF($V1450="",N($AA1449),IF(MATCH($V1450,$V$6:$V$10005,0)=ROW()-5,N($AA1449)+1,N($AA1449)))</f>
        <v>0</v>
      </c>
    </row>
    <row r="1451" spans="1:27" ht="21" customHeight="1" x14ac:dyDescent="0.95">
      <c r="A1451" s="56"/>
      <c r="B1451" s="57"/>
      <c r="C1451" s="57"/>
      <c r="D1451" s="57"/>
      <c r="E1451" s="56"/>
      <c r="F1451" s="57"/>
      <c r="G1451" s="57"/>
      <c r="H1451" s="56"/>
      <c r="I1451" s="56"/>
      <c r="J1451" s="58"/>
      <c r="K1451" s="58"/>
      <c r="L1451" s="13" t="str">
        <f t="shared" si="220"/>
        <v/>
      </c>
      <c r="M1451" s="13" t="str">
        <f t="shared" si="221"/>
        <v/>
      </c>
      <c r="Q1451" t="str">
        <f t="shared" si="222"/>
        <v/>
      </c>
      <c r="R1451" t="str">
        <f t="shared" si="223"/>
        <v/>
      </c>
      <c r="S1451" t="str">
        <f t="shared" si="224"/>
        <v/>
      </c>
      <c r="T1451" t="str">
        <f t="shared" si="225"/>
        <v/>
      </c>
      <c r="U1451" t="str">
        <f t="shared" si="226"/>
        <v/>
      </c>
      <c r="V1451" t="str">
        <f t="shared" si="227"/>
        <v/>
      </c>
      <c r="W1451" t="str">
        <f t="shared" si="228"/>
        <v/>
      </c>
      <c r="X1451">
        <f>IF($T1451="",N($X1450),IF(MATCH($T1451,$T$6:$T$10005,0)=ROW()-5,N($X1450)+1,N($X1450)))</f>
        <v>0</v>
      </c>
      <c r="Z1451" t="str">
        <f t="shared" si="229"/>
        <v/>
      </c>
      <c r="AA1451">
        <f>IF($V1451="",N($AA1450),IF(MATCH($V1451,$V$6:$V$10005,0)=ROW()-5,N($AA1450)+1,N($AA1450)))</f>
        <v>0</v>
      </c>
    </row>
    <row r="1452" spans="1:27" ht="21" customHeight="1" x14ac:dyDescent="0.95">
      <c r="A1452" s="56"/>
      <c r="B1452" s="57"/>
      <c r="C1452" s="57"/>
      <c r="D1452" s="57"/>
      <c r="E1452" s="56"/>
      <c r="F1452" s="57"/>
      <c r="G1452" s="57"/>
      <c r="H1452" s="56"/>
      <c r="I1452" s="56"/>
      <c r="J1452" s="58"/>
      <c r="K1452" s="58"/>
      <c r="L1452" s="13" t="str">
        <f t="shared" si="220"/>
        <v/>
      </c>
      <c r="M1452" s="13" t="str">
        <f t="shared" si="221"/>
        <v/>
      </c>
      <c r="Q1452" t="str">
        <f t="shared" si="222"/>
        <v/>
      </c>
      <c r="R1452" t="str">
        <f t="shared" si="223"/>
        <v/>
      </c>
      <c r="S1452" t="str">
        <f t="shared" si="224"/>
        <v/>
      </c>
      <c r="T1452" t="str">
        <f t="shared" si="225"/>
        <v/>
      </c>
      <c r="U1452" t="str">
        <f t="shared" si="226"/>
        <v/>
      </c>
      <c r="V1452" t="str">
        <f t="shared" si="227"/>
        <v/>
      </c>
      <c r="W1452" t="str">
        <f t="shared" si="228"/>
        <v/>
      </c>
      <c r="X1452">
        <f>IF($T1452="",N($X1451),IF(MATCH($T1452,$T$6:$T$10005,0)=ROW()-5,N($X1451)+1,N($X1451)))</f>
        <v>0</v>
      </c>
      <c r="Z1452" t="str">
        <f t="shared" si="229"/>
        <v/>
      </c>
      <c r="AA1452">
        <f>IF($V1452="",N($AA1451),IF(MATCH($V1452,$V$6:$V$10005,0)=ROW()-5,N($AA1451)+1,N($AA1451)))</f>
        <v>0</v>
      </c>
    </row>
    <row r="1453" spans="1:27" ht="21" customHeight="1" x14ac:dyDescent="0.95">
      <c r="A1453" s="56"/>
      <c r="B1453" s="57"/>
      <c r="C1453" s="57"/>
      <c r="D1453" s="57"/>
      <c r="E1453" s="56"/>
      <c r="F1453" s="57"/>
      <c r="G1453" s="57"/>
      <c r="H1453" s="56"/>
      <c r="I1453" s="56"/>
      <c r="J1453" s="58"/>
      <c r="K1453" s="58"/>
      <c r="L1453" s="13" t="str">
        <f t="shared" si="220"/>
        <v/>
      </c>
      <c r="M1453" s="13" t="str">
        <f t="shared" si="221"/>
        <v/>
      </c>
      <c r="Q1453" t="str">
        <f t="shared" si="222"/>
        <v/>
      </c>
      <c r="R1453" t="str">
        <f t="shared" si="223"/>
        <v/>
      </c>
      <c r="S1453" t="str">
        <f t="shared" si="224"/>
        <v/>
      </c>
      <c r="T1453" t="str">
        <f t="shared" si="225"/>
        <v/>
      </c>
      <c r="U1453" t="str">
        <f t="shared" si="226"/>
        <v/>
      </c>
      <c r="V1453" t="str">
        <f t="shared" si="227"/>
        <v/>
      </c>
      <c r="W1453" t="str">
        <f t="shared" si="228"/>
        <v/>
      </c>
      <c r="X1453">
        <f>IF($T1453="",N($X1452),IF(MATCH($T1453,$T$6:$T$10005,0)=ROW()-5,N($X1452)+1,N($X1452)))</f>
        <v>0</v>
      </c>
      <c r="Z1453" t="str">
        <f t="shared" si="229"/>
        <v/>
      </c>
      <c r="AA1453">
        <f>IF($V1453="",N($AA1452),IF(MATCH($V1453,$V$6:$V$10005,0)=ROW()-5,N($AA1452)+1,N($AA1452)))</f>
        <v>0</v>
      </c>
    </row>
    <row r="1454" spans="1:27" ht="21" customHeight="1" x14ac:dyDescent="0.95">
      <c r="A1454" s="56"/>
      <c r="B1454" s="57"/>
      <c r="C1454" s="57"/>
      <c r="D1454" s="57"/>
      <c r="E1454" s="56"/>
      <c r="F1454" s="57"/>
      <c r="G1454" s="57"/>
      <c r="H1454" s="56"/>
      <c r="I1454" s="56"/>
      <c r="J1454" s="58"/>
      <c r="K1454" s="58"/>
      <c r="L1454" s="13" t="str">
        <f t="shared" si="220"/>
        <v/>
      </c>
      <c r="M1454" s="13" t="str">
        <f t="shared" si="221"/>
        <v/>
      </c>
      <c r="Q1454" t="str">
        <f t="shared" si="222"/>
        <v/>
      </c>
      <c r="R1454" t="str">
        <f t="shared" si="223"/>
        <v/>
      </c>
      <c r="S1454" t="str">
        <f t="shared" si="224"/>
        <v/>
      </c>
      <c r="T1454" t="str">
        <f t="shared" si="225"/>
        <v/>
      </c>
      <c r="U1454" t="str">
        <f t="shared" si="226"/>
        <v/>
      </c>
      <c r="V1454" t="str">
        <f t="shared" si="227"/>
        <v/>
      </c>
      <c r="W1454" t="str">
        <f t="shared" si="228"/>
        <v/>
      </c>
      <c r="X1454">
        <f>IF($T1454="",N($X1453),IF(MATCH($T1454,$T$6:$T$10005,0)=ROW()-5,N($X1453)+1,N($X1453)))</f>
        <v>0</v>
      </c>
      <c r="Z1454" t="str">
        <f t="shared" si="229"/>
        <v/>
      </c>
      <c r="AA1454">
        <f>IF($V1454="",N($AA1453),IF(MATCH($V1454,$V$6:$V$10005,0)=ROW()-5,N($AA1453)+1,N($AA1453)))</f>
        <v>0</v>
      </c>
    </row>
    <row r="1455" spans="1:27" ht="21" customHeight="1" x14ac:dyDescent="0.95">
      <c r="A1455" s="56"/>
      <c r="B1455" s="57"/>
      <c r="C1455" s="57"/>
      <c r="D1455" s="57"/>
      <c r="E1455" s="56"/>
      <c r="F1455" s="57"/>
      <c r="G1455" s="57"/>
      <c r="H1455" s="56"/>
      <c r="I1455" s="56"/>
      <c r="J1455" s="58"/>
      <c r="K1455" s="58"/>
      <c r="L1455" s="13" t="str">
        <f t="shared" si="220"/>
        <v/>
      </c>
      <c r="M1455" s="13" t="str">
        <f t="shared" si="221"/>
        <v/>
      </c>
      <c r="Q1455" t="str">
        <f t="shared" si="222"/>
        <v/>
      </c>
      <c r="R1455" t="str">
        <f t="shared" si="223"/>
        <v/>
      </c>
      <c r="S1455" t="str">
        <f t="shared" si="224"/>
        <v/>
      </c>
      <c r="T1455" t="str">
        <f t="shared" si="225"/>
        <v/>
      </c>
      <c r="U1455" t="str">
        <f t="shared" si="226"/>
        <v/>
      </c>
      <c r="V1455" t="str">
        <f t="shared" si="227"/>
        <v/>
      </c>
      <c r="W1455" t="str">
        <f t="shared" si="228"/>
        <v/>
      </c>
      <c r="X1455">
        <f>IF($T1455="",N($X1454),IF(MATCH($T1455,$T$6:$T$10005,0)=ROW()-5,N($X1454)+1,N($X1454)))</f>
        <v>0</v>
      </c>
      <c r="Z1455" t="str">
        <f t="shared" si="229"/>
        <v/>
      </c>
      <c r="AA1455">
        <f>IF($V1455="",N($AA1454),IF(MATCH($V1455,$V$6:$V$10005,0)=ROW()-5,N($AA1454)+1,N($AA1454)))</f>
        <v>0</v>
      </c>
    </row>
    <row r="1456" spans="1:27" ht="21" customHeight="1" x14ac:dyDescent="0.95">
      <c r="A1456" s="56"/>
      <c r="B1456" s="57"/>
      <c r="C1456" s="57"/>
      <c r="D1456" s="57"/>
      <c r="E1456" s="56"/>
      <c r="F1456" s="57"/>
      <c r="G1456" s="57"/>
      <c r="H1456" s="56"/>
      <c r="I1456" s="56"/>
      <c r="J1456" s="58"/>
      <c r="K1456" s="58"/>
      <c r="L1456" s="13" t="str">
        <f t="shared" si="220"/>
        <v/>
      </c>
      <c r="M1456" s="13" t="str">
        <f t="shared" si="221"/>
        <v/>
      </c>
      <c r="Q1456" t="str">
        <f t="shared" si="222"/>
        <v/>
      </c>
      <c r="R1456" t="str">
        <f t="shared" si="223"/>
        <v/>
      </c>
      <c r="S1456" t="str">
        <f t="shared" si="224"/>
        <v/>
      </c>
      <c r="T1456" t="str">
        <f t="shared" si="225"/>
        <v/>
      </c>
      <c r="U1456" t="str">
        <f t="shared" si="226"/>
        <v/>
      </c>
      <c r="V1456" t="str">
        <f t="shared" si="227"/>
        <v/>
      </c>
      <c r="W1456" t="str">
        <f t="shared" si="228"/>
        <v/>
      </c>
      <c r="X1456">
        <f>IF($T1456="",N($X1455),IF(MATCH($T1456,$T$6:$T$10005,0)=ROW()-5,N($X1455)+1,N($X1455)))</f>
        <v>0</v>
      </c>
      <c r="Z1456" t="str">
        <f t="shared" si="229"/>
        <v/>
      </c>
      <c r="AA1456">
        <f>IF($V1456="",N($AA1455),IF(MATCH($V1456,$V$6:$V$10005,0)=ROW()-5,N($AA1455)+1,N($AA1455)))</f>
        <v>0</v>
      </c>
    </row>
    <row r="1457" spans="1:27" ht="21" customHeight="1" x14ac:dyDescent="0.95">
      <c r="A1457" s="56"/>
      <c r="B1457" s="57"/>
      <c r="C1457" s="57"/>
      <c r="D1457" s="57"/>
      <c r="E1457" s="56"/>
      <c r="F1457" s="57"/>
      <c r="G1457" s="57"/>
      <c r="H1457" s="56"/>
      <c r="I1457" s="56"/>
      <c r="J1457" s="58"/>
      <c r="K1457" s="58"/>
      <c r="L1457" s="13" t="str">
        <f t="shared" si="220"/>
        <v/>
      </c>
      <c r="M1457" s="13" t="str">
        <f t="shared" si="221"/>
        <v/>
      </c>
      <c r="Q1457" t="str">
        <f t="shared" si="222"/>
        <v/>
      </c>
      <c r="R1457" t="str">
        <f t="shared" si="223"/>
        <v/>
      </c>
      <c r="S1457" t="str">
        <f t="shared" si="224"/>
        <v/>
      </c>
      <c r="T1457" t="str">
        <f t="shared" si="225"/>
        <v/>
      </c>
      <c r="U1457" t="str">
        <f t="shared" si="226"/>
        <v/>
      </c>
      <c r="V1457" t="str">
        <f t="shared" si="227"/>
        <v/>
      </c>
      <c r="W1457" t="str">
        <f t="shared" si="228"/>
        <v/>
      </c>
      <c r="X1457">
        <f>IF($T1457="",N($X1456),IF(MATCH($T1457,$T$6:$T$10005,0)=ROW()-5,N($X1456)+1,N($X1456)))</f>
        <v>0</v>
      </c>
      <c r="Z1457" t="str">
        <f t="shared" si="229"/>
        <v/>
      </c>
      <c r="AA1457">
        <f>IF($V1457="",N($AA1456),IF(MATCH($V1457,$V$6:$V$10005,0)=ROW()-5,N($AA1456)+1,N($AA1456)))</f>
        <v>0</v>
      </c>
    </row>
    <row r="1458" spans="1:27" ht="21" customHeight="1" x14ac:dyDescent="0.95">
      <c r="A1458" s="56"/>
      <c r="B1458" s="57"/>
      <c r="C1458" s="57"/>
      <c r="D1458" s="57"/>
      <c r="E1458" s="56"/>
      <c r="F1458" s="57"/>
      <c r="G1458" s="57"/>
      <c r="H1458" s="56"/>
      <c r="I1458" s="56"/>
      <c r="J1458" s="58"/>
      <c r="K1458" s="58"/>
      <c r="L1458" s="13" t="str">
        <f t="shared" si="220"/>
        <v/>
      </c>
      <c r="M1458" s="13" t="str">
        <f t="shared" si="221"/>
        <v/>
      </c>
      <c r="Q1458" t="str">
        <f t="shared" si="222"/>
        <v/>
      </c>
      <c r="R1458" t="str">
        <f t="shared" si="223"/>
        <v/>
      </c>
      <c r="S1458" t="str">
        <f t="shared" si="224"/>
        <v/>
      </c>
      <c r="T1458" t="str">
        <f t="shared" si="225"/>
        <v/>
      </c>
      <c r="U1458" t="str">
        <f t="shared" si="226"/>
        <v/>
      </c>
      <c r="V1458" t="str">
        <f t="shared" si="227"/>
        <v/>
      </c>
      <c r="W1458" t="str">
        <f t="shared" si="228"/>
        <v/>
      </c>
      <c r="X1458">
        <f>IF($T1458="",N($X1457),IF(MATCH($T1458,$T$6:$T$10005,0)=ROW()-5,N($X1457)+1,N($X1457)))</f>
        <v>0</v>
      </c>
      <c r="Z1458" t="str">
        <f t="shared" si="229"/>
        <v/>
      </c>
      <c r="AA1458">
        <f>IF($V1458="",N($AA1457),IF(MATCH($V1458,$V$6:$V$10005,0)=ROW()-5,N($AA1457)+1,N($AA1457)))</f>
        <v>0</v>
      </c>
    </row>
    <row r="1459" spans="1:27" ht="21" customHeight="1" x14ac:dyDescent="0.95">
      <c r="A1459" s="56"/>
      <c r="B1459" s="57"/>
      <c r="C1459" s="57"/>
      <c r="D1459" s="57"/>
      <c r="E1459" s="56"/>
      <c r="F1459" s="57"/>
      <c r="G1459" s="57"/>
      <c r="H1459" s="56"/>
      <c r="I1459" s="56"/>
      <c r="J1459" s="58"/>
      <c r="K1459" s="58"/>
      <c r="L1459" s="13" t="str">
        <f t="shared" si="220"/>
        <v/>
      </c>
      <c r="M1459" s="13" t="str">
        <f t="shared" si="221"/>
        <v/>
      </c>
      <c r="Q1459" t="str">
        <f t="shared" si="222"/>
        <v/>
      </c>
      <c r="R1459" t="str">
        <f t="shared" si="223"/>
        <v/>
      </c>
      <c r="S1459" t="str">
        <f t="shared" si="224"/>
        <v/>
      </c>
      <c r="T1459" t="str">
        <f t="shared" si="225"/>
        <v/>
      </c>
      <c r="U1459" t="str">
        <f t="shared" si="226"/>
        <v/>
      </c>
      <c r="V1459" t="str">
        <f t="shared" si="227"/>
        <v/>
      </c>
      <c r="W1459" t="str">
        <f t="shared" si="228"/>
        <v/>
      </c>
      <c r="X1459">
        <f>IF($T1459="",N($X1458),IF(MATCH($T1459,$T$6:$T$10005,0)=ROW()-5,N($X1458)+1,N($X1458)))</f>
        <v>0</v>
      </c>
      <c r="Z1459" t="str">
        <f t="shared" si="229"/>
        <v/>
      </c>
      <c r="AA1459">
        <f>IF($V1459="",N($AA1458),IF(MATCH($V1459,$V$6:$V$10005,0)=ROW()-5,N($AA1458)+1,N($AA1458)))</f>
        <v>0</v>
      </c>
    </row>
    <row r="1460" spans="1:27" ht="21" customHeight="1" x14ac:dyDescent="0.95">
      <c r="A1460" s="56"/>
      <c r="B1460" s="57"/>
      <c r="C1460" s="57"/>
      <c r="D1460" s="57"/>
      <c r="E1460" s="56"/>
      <c r="F1460" s="57"/>
      <c r="G1460" s="57"/>
      <c r="H1460" s="56"/>
      <c r="I1460" s="56"/>
      <c r="J1460" s="58"/>
      <c r="K1460" s="58"/>
      <c r="L1460" s="13" t="str">
        <f t="shared" si="220"/>
        <v/>
      </c>
      <c r="M1460" s="13" t="str">
        <f t="shared" si="221"/>
        <v/>
      </c>
      <c r="Q1460" t="str">
        <f t="shared" si="222"/>
        <v/>
      </c>
      <c r="R1460" t="str">
        <f t="shared" si="223"/>
        <v/>
      </c>
      <c r="S1460" t="str">
        <f t="shared" si="224"/>
        <v/>
      </c>
      <c r="T1460" t="str">
        <f t="shared" si="225"/>
        <v/>
      </c>
      <c r="U1460" t="str">
        <f t="shared" si="226"/>
        <v/>
      </c>
      <c r="V1460" t="str">
        <f t="shared" si="227"/>
        <v/>
      </c>
      <c r="W1460" t="str">
        <f t="shared" si="228"/>
        <v/>
      </c>
      <c r="X1460">
        <f>IF($T1460="",N($X1459),IF(MATCH($T1460,$T$6:$T$10005,0)=ROW()-5,N($X1459)+1,N($X1459)))</f>
        <v>0</v>
      </c>
      <c r="Z1460" t="str">
        <f t="shared" si="229"/>
        <v/>
      </c>
      <c r="AA1460">
        <f>IF($V1460="",N($AA1459),IF(MATCH($V1460,$V$6:$V$10005,0)=ROW()-5,N($AA1459)+1,N($AA1459)))</f>
        <v>0</v>
      </c>
    </row>
    <row r="1461" spans="1:27" ht="21" customHeight="1" x14ac:dyDescent="0.95">
      <c r="A1461" s="56"/>
      <c r="B1461" s="57"/>
      <c r="C1461" s="57"/>
      <c r="D1461" s="57"/>
      <c r="E1461" s="56"/>
      <c r="F1461" s="57"/>
      <c r="G1461" s="57"/>
      <c r="H1461" s="56"/>
      <c r="I1461" s="56"/>
      <c r="J1461" s="58"/>
      <c r="K1461" s="58"/>
      <c r="L1461" s="13" t="str">
        <f t="shared" si="220"/>
        <v/>
      </c>
      <c r="M1461" s="13" t="str">
        <f t="shared" si="221"/>
        <v/>
      </c>
      <c r="Q1461" t="str">
        <f t="shared" si="222"/>
        <v/>
      </c>
      <c r="R1461" t="str">
        <f t="shared" si="223"/>
        <v/>
      </c>
      <c r="S1461" t="str">
        <f t="shared" si="224"/>
        <v/>
      </c>
      <c r="T1461" t="str">
        <f t="shared" si="225"/>
        <v/>
      </c>
      <c r="U1461" t="str">
        <f t="shared" si="226"/>
        <v/>
      </c>
      <c r="V1461" t="str">
        <f t="shared" si="227"/>
        <v/>
      </c>
      <c r="W1461" t="str">
        <f t="shared" si="228"/>
        <v/>
      </c>
      <c r="X1461">
        <f>IF($T1461="",N($X1460),IF(MATCH($T1461,$T$6:$T$10005,0)=ROW()-5,N($X1460)+1,N($X1460)))</f>
        <v>0</v>
      </c>
      <c r="Z1461" t="str">
        <f t="shared" si="229"/>
        <v/>
      </c>
      <c r="AA1461">
        <f>IF($V1461="",N($AA1460),IF(MATCH($V1461,$V$6:$V$10005,0)=ROW()-5,N($AA1460)+1,N($AA1460)))</f>
        <v>0</v>
      </c>
    </row>
    <row r="1462" spans="1:27" ht="21" customHeight="1" x14ac:dyDescent="0.95">
      <c r="A1462" s="56"/>
      <c r="B1462" s="57"/>
      <c r="C1462" s="57"/>
      <c r="D1462" s="57"/>
      <c r="E1462" s="56"/>
      <c r="F1462" s="57"/>
      <c r="G1462" s="57"/>
      <c r="H1462" s="56"/>
      <c r="I1462" s="56"/>
      <c r="J1462" s="58"/>
      <c r="K1462" s="58"/>
      <c r="L1462" s="13" t="str">
        <f t="shared" si="220"/>
        <v/>
      </c>
      <c r="M1462" s="13" t="str">
        <f t="shared" si="221"/>
        <v/>
      </c>
      <c r="Q1462" t="str">
        <f t="shared" si="222"/>
        <v/>
      </c>
      <c r="R1462" t="str">
        <f t="shared" si="223"/>
        <v/>
      </c>
      <c r="S1462" t="str">
        <f t="shared" si="224"/>
        <v/>
      </c>
      <c r="T1462" t="str">
        <f t="shared" si="225"/>
        <v/>
      </c>
      <c r="U1462" t="str">
        <f t="shared" si="226"/>
        <v/>
      </c>
      <c r="V1462" t="str">
        <f t="shared" si="227"/>
        <v/>
      </c>
      <c r="W1462" t="str">
        <f t="shared" si="228"/>
        <v/>
      </c>
      <c r="X1462">
        <f>IF($T1462="",N($X1461),IF(MATCH($T1462,$T$6:$T$10005,0)=ROW()-5,N($X1461)+1,N($X1461)))</f>
        <v>0</v>
      </c>
      <c r="Z1462" t="str">
        <f t="shared" si="229"/>
        <v/>
      </c>
      <c r="AA1462">
        <f>IF($V1462="",N($AA1461),IF(MATCH($V1462,$V$6:$V$10005,0)=ROW()-5,N($AA1461)+1,N($AA1461)))</f>
        <v>0</v>
      </c>
    </row>
    <row r="1463" spans="1:27" ht="21" customHeight="1" x14ac:dyDescent="0.95">
      <c r="A1463" s="56"/>
      <c r="B1463" s="57"/>
      <c r="C1463" s="57"/>
      <c r="D1463" s="57"/>
      <c r="E1463" s="56"/>
      <c r="F1463" s="57"/>
      <c r="G1463" s="57"/>
      <c r="H1463" s="56"/>
      <c r="I1463" s="56"/>
      <c r="J1463" s="58"/>
      <c r="K1463" s="58"/>
      <c r="L1463" s="13" t="str">
        <f t="shared" si="220"/>
        <v/>
      </c>
      <c r="M1463" s="13" t="str">
        <f t="shared" si="221"/>
        <v/>
      </c>
      <c r="Q1463" t="str">
        <f t="shared" si="222"/>
        <v/>
      </c>
      <c r="R1463" t="str">
        <f t="shared" si="223"/>
        <v/>
      </c>
      <c r="S1463" t="str">
        <f t="shared" si="224"/>
        <v/>
      </c>
      <c r="T1463" t="str">
        <f t="shared" si="225"/>
        <v/>
      </c>
      <c r="U1463" t="str">
        <f t="shared" si="226"/>
        <v/>
      </c>
      <c r="V1463" t="str">
        <f t="shared" si="227"/>
        <v/>
      </c>
      <c r="W1463" t="str">
        <f t="shared" si="228"/>
        <v/>
      </c>
      <c r="X1463">
        <f>IF($T1463="",N($X1462),IF(MATCH($T1463,$T$6:$T$10005,0)=ROW()-5,N($X1462)+1,N($X1462)))</f>
        <v>0</v>
      </c>
      <c r="Z1463" t="str">
        <f t="shared" si="229"/>
        <v/>
      </c>
      <c r="AA1463">
        <f>IF($V1463="",N($AA1462),IF(MATCH($V1463,$V$6:$V$10005,0)=ROW()-5,N($AA1462)+1,N($AA1462)))</f>
        <v>0</v>
      </c>
    </row>
    <row r="1464" spans="1:27" ht="21" customHeight="1" x14ac:dyDescent="0.95">
      <c r="A1464" s="56"/>
      <c r="B1464" s="57"/>
      <c r="C1464" s="57"/>
      <c r="D1464" s="57"/>
      <c r="E1464" s="56"/>
      <c r="F1464" s="57"/>
      <c r="G1464" s="57"/>
      <c r="H1464" s="56"/>
      <c r="I1464" s="56"/>
      <c r="J1464" s="58"/>
      <c r="K1464" s="58"/>
      <c r="L1464" s="13" t="str">
        <f t="shared" si="220"/>
        <v/>
      </c>
      <c r="M1464" s="13" t="str">
        <f t="shared" si="221"/>
        <v/>
      </c>
      <c r="Q1464" t="str">
        <f t="shared" si="222"/>
        <v/>
      </c>
      <c r="R1464" t="str">
        <f t="shared" si="223"/>
        <v/>
      </c>
      <c r="S1464" t="str">
        <f t="shared" si="224"/>
        <v/>
      </c>
      <c r="T1464" t="str">
        <f t="shared" si="225"/>
        <v/>
      </c>
      <c r="U1464" t="str">
        <f t="shared" si="226"/>
        <v/>
      </c>
      <c r="V1464" t="str">
        <f t="shared" si="227"/>
        <v/>
      </c>
      <c r="W1464" t="str">
        <f t="shared" si="228"/>
        <v/>
      </c>
      <c r="X1464">
        <f>IF($T1464="",N($X1463),IF(MATCH($T1464,$T$6:$T$10005,0)=ROW()-5,N($X1463)+1,N($X1463)))</f>
        <v>0</v>
      </c>
      <c r="Z1464" t="str">
        <f t="shared" si="229"/>
        <v/>
      </c>
      <c r="AA1464">
        <f>IF($V1464="",N($AA1463),IF(MATCH($V1464,$V$6:$V$10005,0)=ROW()-5,N($AA1463)+1,N($AA1463)))</f>
        <v>0</v>
      </c>
    </row>
    <row r="1465" spans="1:27" ht="21" customHeight="1" x14ac:dyDescent="0.95">
      <c r="A1465" s="56"/>
      <c r="B1465" s="57"/>
      <c r="C1465" s="57"/>
      <c r="D1465" s="57"/>
      <c r="E1465" s="56"/>
      <c r="F1465" s="57"/>
      <c r="G1465" s="57"/>
      <c r="H1465" s="56"/>
      <c r="I1465" s="56"/>
      <c r="J1465" s="58"/>
      <c r="K1465" s="58"/>
      <c r="L1465" s="13" t="str">
        <f t="shared" si="220"/>
        <v/>
      </c>
      <c r="M1465" s="13" t="str">
        <f t="shared" si="221"/>
        <v/>
      </c>
      <c r="Q1465" t="str">
        <f t="shared" si="222"/>
        <v/>
      </c>
      <c r="R1465" t="str">
        <f t="shared" si="223"/>
        <v/>
      </c>
      <c r="S1465" t="str">
        <f t="shared" si="224"/>
        <v/>
      </c>
      <c r="T1465" t="str">
        <f t="shared" si="225"/>
        <v/>
      </c>
      <c r="U1465" t="str">
        <f t="shared" si="226"/>
        <v/>
      </c>
      <c r="V1465" t="str">
        <f t="shared" si="227"/>
        <v/>
      </c>
      <c r="W1465" t="str">
        <f t="shared" si="228"/>
        <v/>
      </c>
      <c r="X1465">
        <f>IF($T1465="",N($X1464),IF(MATCH($T1465,$T$6:$T$10005,0)=ROW()-5,N($X1464)+1,N($X1464)))</f>
        <v>0</v>
      </c>
      <c r="Z1465" t="str">
        <f t="shared" si="229"/>
        <v/>
      </c>
      <c r="AA1465">
        <f>IF($V1465="",N($AA1464),IF(MATCH($V1465,$V$6:$V$10005,0)=ROW()-5,N($AA1464)+1,N($AA1464)))</f>
        <v>0</v>
      </c>
    </row>
    <row r="1466" spans="1:27" ht="21" customHeight="1" x14ac:dyDescent="0.95">
      <c r="A1466" s="56"/>
      <c r="B1466" s="57"/>
      <c r="C1466" s="57"/>
      <c r="D1466" s="57"/>
      <c r="E1466" s="56"/>
      <c r="F1466" s="57"/>
      <c r="G1466" s="57"/>
      <c r="H1466" s="56"/>
      <c r="I1466" s="56"/>
      <c r="J1466" s="58"/>
      <c r="K1466" s="58"/>
      <c r="L1466" s="13" t="str">
        <f t="shared" si="220"/>
        <v/>
      </c>
      <c r="M1466" s="13" t="str">
        <f t="shared" si="221"/>
        <v/>
      </c>
      <c r="Q1466" t="str">
        <f t="shared" si="222"/>
        <v/>
      </c>
      <c r="R1466" t="str">
        <f t="shared" si="223"/>
        <v/>
      </c>
      <c r="S1466" t="str">
        <f t="shared" si="224"/>
        <v/>
      </c>
      <c r="T1466" t="str">
        <f t="shared" si="225"/>
        <v/>
      </c>
      <c r="U1466" t="str">
        <f t="shared" si="226"/>
        <v/>
      </c>
      <c r="V1466" t="str">
        <f t="shared" si="227"/>
        <v/>
      </c>
      <c r="W1466" t="str">
        <f t="shared" si="228"/>
        <v/>
      </c>
      <c r="X1466">
        <f>IF($T1466="",N($X1465),IF(MATCH($T1466,$T$6:$T$10005,0)=ROW()-5,N($X1465)+1,N($X1465)))</f>
        <v>0</v>
      </c>
      <c r="Z1466" t="str">
        <f t="shared" si="229"/>
        <v/>
      </c>
      <c r="AA1466">
        <f>IF($V1466="",N($AA1465),IF(MATCH($V1466,$V$6:$V$10005,0)=ROW()-5,N($AA1465)+1,N($AA1465)))</f>
        <v>0</v>
      </c>
    </row>
    <row r="1467" spans="1:27" ht="21" customHeight="1" x14ac:dyDescent="0.95">
      <c r="A1467" s="56"/>
      <c r="B1467" s="57"/>
      <c r="C1467" s="57"/>
      <c r="D1467" s="57"/>
      <c r="E1467" s="56"/>
      <c r="F1467" s="57"/>
      <c r="G1467" s="57"/>
      <c r="H1467" s="56"/>
      <c r="I1467" s="56"/>
      <c r="J1467" s="58"/>
      <c r="K1467" s="58"/>
      <c r="L1467" s="13" t="str">
        <f t="shared" si="220"/>
        <v/>
      </c>
      <c r="M1467" s="13" t="str">
        <f t="shared" si="221"/>
        <v/>
      </c>
      <c r="Q1467" t="str">
        <f t="shared" si="222"/>
        <v/>
      </c>
      <c r="R1467" t="str">
        <f t="shared" si="223"/>
        <v/>
      </c>
      <c r="S1467" t="str">
        <f t="shared" si="224"/>
        <v/>
      </c>
      <c r="T1467" t="str">
        <f t="shared" si="225"/>
        <v/>
      </c>
      <c r="U1467" t="str">
        <f t="shared" si="226"/>
        <v/>
      </c>
      <c r="V1467" t="str">
        <f t="shared" si="227"/>
        <v/>
      </c>
      <c r="W1467" t="str">
        <f t="shared" si="228"/>
        <v/>
      </c>
      <c r="X1467">
        <f>IF($T1467="",N($X1466),IF(MATCH($T1467,$T$6:$T$10005,0)=ROW()-5,N($X1466)+1,N($X1466)))</f>
        <v>0</v>
      </c>
      <c r="Z1467" t="str">
        <f t="shared" si="229"/>
        <v/>
      </c>
      <c r="AA1467">
        <f>IF($V1467="",N($AA1466),IF(MATCH($V1467,$V$6:$V$10005,0)=ROW()-5,N($AA1466)+1,N($AA1466)))</f>
        <v>0</v>
      </c>
    </row>
    <row r="1468" spans="1:27" ht="21" customHeight="1" x14ac:dyDescent="0.95">
      <c r="A1468" s="56"/>
      <c r="B1468" s="57"/>
      <c r="C1468" s="57"/>
      <c r="D1468" s="57"/>
      <c r="E1468" s="56"/>
      <c r="F1468" s="57"/>
      <c r="G1468" s="57"/>
      <c r="H1468" s="56"/>
      <c r="I1468" s="56"/>
      <c r="J1468" s="58"/>
      <c r="K1468" s="58"/>
      <c r="L1468" s="13" t="str">
        <f t="shared" si="220"/>
        <v/>
      </c>
      <c r="M1468" s="13" t="str">
        <f t="shared" si="221"/>
        <v/>
      </c>
      <c r="Q1468" t="str">
        <f t="shared" si="222"/>
        <v/>
      </c>
      <c r="R1468" t="str">
        <f t="shared" si="223"/>
        <v/>
      </c>
      <c r="S1468" t="str">
        <f t="shared" si="224"/>
        <v/>
      </c>
      <c r="T1468" t="str">
        <f t="shared" si="225"/>
        <v/>
      </c>
      <c r="U1468" t="str">
        <f t="shared" si="226"/>
        <v/>
      </c>
      <c r="V1468" t="str">
        <f t="shared" si="227"/>
        <v/>
      </c>
      <c r="W1468" t="str">
        <f t="shared" si="228"/>
        <v/>
      </c>
      <c r="X1468">
        <f>IF($T1468="",N($X1467),IF(MATCH($T1468,$T$6:$T$10005,0)=ROW()-5,N($X1467)+1,N($X1467)))</f>
        <v>0</v>
      </c>
      <c r="Z1468" t="str">
        <f t="shared" si="229"/>
        <v/>
      </c>
      <c r="AA1468">
        <f>IF($V1468="",N($AA1467),IF(MATCH($V1468,$V$6:$V$10005,0)=ROW()-5,N($AA1467)+1,N($AA1467)))</f>
        <v>0</v>
      </c>
    </row>
    <row r="1469" spans="1:27" ht="21" customHeight="1" x14ac:dyDescent="0.95">
      <c r="A1469" s="56"/>
      <c r="B1469" s="57"/>
      <c r="C1469" s="57"/>
      <c r="D1469" s="57"/>
      <c r="E1469" s="56"/>
      <c r="F1469" s="57"/>
      <c r="G1469" s="57"/>
      <c r="H1469" s="56"/>
      <c r="I1469" s="56"/>
      <c r="J1469" s="58"/>
      <c r="K1469" s="58"/>
      <c r="L1469" s="13" t="str">
        <f t="shared" si="220"/>
        <v/>
      </c>
      <c r="M1469" s="13" t="str">
        <f t="shared" si="221"/>
        <v/>
      </c>
      <c r="Q1469" t="str">
        <f t="shared" si="222"/>
        <v/>
      </c>
      <c r="R1469" t="str">
        <f t="shared" si="223"/>
        <v/>
      </c>
      <c r="S1469" t="str">
        <f t="shared" si="224"/>
        <v/>
      </c>
      <c r="T1469" t="str">
        <f t="shared" si="225"/>
        <v/>
      </c>
      <c r="U1469" t="str">
        <f t="shared" si="226"/>
        <v/>
      </c>
      <c r="V1469" t="str">
        <f t="shared" si="227"/>
        <v/>
      </c>
      <c r="W1469" t="str">
        <f t="shared" si="228"/>
        <v/>
      </c>
      <c r="X1469">
        <f>IF($T1469="",N($X1468),IF(MATCH($T1469,$T$6:$T$10005,0)=ROW()-5,N($X1468)+1,N($X1468)))</f>
        <v>0</v>
      </c>
      <c r="Z1469" t="str">
        <f t="shared" si="229"/>
        <v/>
      </c>
      <c r="AA1469">
        <f>IF($V1469="",N($AA1468),IF(MATCH($V1469,$V$6:$V$10005,0)=ROW()-5,N($AA1468)+1,N($AA1468)))</f>
        <v>0</v>
      </c>
    </row>
    <row r="1470" spans="1:27" ht="21" customHeight="1" x14ac:dyDescent="0.95">
      <c r="A1470" s="56"/>
      <c r="B1470" s="57"/>
      <c r="C1470" s="57"/>
      <c r="D1470" s="57"/>
      <c r="E1470" s="56"/>
      <c r="F1470" s="57"/>
      <c r="G1470" s="57"/>
      <c r="H1470" s="56"/>
      <c r="I1470" s="56"/>
      <c r="J1470" s="58"/>
      <c r="K1470" s="58"/>
      <c r="L1470" s="13" t="str">
        <f t="shared" si="220"/>
        <v/>
      </c>
      <c r="M1470" s="13" t="str">
        <f t="shared" si="221"/>
        <v/>
      </c>
      <c r="Q1470" t="str">
        <f t="shared" si="222"/>
        <v/>
      </c>
      <c r="R1470" t="str">
        <f t="shared" si="223"/>
        <v/>
      </c>
      <c r="S1470" t="str">
        <f t="shared" si="224"/>
        <v/>
      </c>
      <c r="T1470" t="str">
        <f t="shared" si="225"/>
        <v/>
      </c>
      <c r="U1470" t="str">
        <f t="shared" si="226"/>
        <v/>
      </c>
      <c r="V1470" t="str">
        <f t="shared" si="227"/>
        <v/>
      </c>
      <c r="W1470" t="str">
        <f t="shared" si="228"/>
        <v/>
      </c>
      <c r="X1470">
        <f>IF($T1470="",N($X1469),IF(MATCH($T1470,$T$6:$T$10005,0)=ROW()-5,N($X1469)+1,N($X1469)))</f>
        <v>0</v>
      </c>
      <c r="Z1470" t="str">
        <f t="shared" si="229"/>
        <v/>
      </c>
      <c r="AA1470">
        <f>IF($V1470="",N($AA1469),IF(MATCH($V1470,$V$6:$V$10005,0)=ROW()-5,N($AA1469)+1,N($AA1469)))</f>
        <v>0</v>
      </c>
    </row>
    <row r="1471" spans="1:27" ht="21" customHeight="1" x14ac:dyDescent="0.95">
      <c r="A1471" s="56"/>
      <c r="B1471" s="57"/>
      <c r="C1471" s="57"/>
      <c r="D1471" s="57"/>
      <c r="E1471" s="56"/>
      <c r="F1471" s="57"/>
      <c r="G1471" s="57"/>
      <c r="H1471" s="56"/>
      <c r="I1471" s="56"/>
      <c r="J1471" s="58"/>
      <c r="K1471" s="58"/>
      <c r="L1471" s="13" t="str">
        <f t="shared" si="220"/>
        <v/>
      </c>
      <c r="M1471" s="13" t="str">
        <f t="shared" si="221"/>
        <v/>
      </c>
      <c r="Q1471" t="str">
        <f t="shared" si="222"/>
        <v/>
      </c>
      <c r="R1471" t="str">
        <f t="shared" si="223"/>
        <v/>
      </c>
      <c r="S1471" t="str">
        <f t="shared" si="224"/>
        <v/>
      </c>
      <c r="T1471" t="str">
        <f t="shared" si="225"/>
        <v/>
      </c>
      <c r="U1471" t="str">
        <f t="shared" si="226"/>
        <v/>
      </c>
      <c r="V1471" t="str">
        <f t="shared" si="227"/>
        <v/>
      </c>
      <c r="W1471" t="str">
        <f t="shared" si="228"/>
        <v/>
      </c>
      <c r="X1471">
        <f>IF($T1471="",N($X1470),IF(MATCH($T1471,$T$6:$T$10005,0)=ROW()-5,N($X1470)+1,N($X1470)))</f>
        <v>0</v>
      </c>
      <c r="Z1471" t="str">
        <f t="shared" si="229"/>
        <v/>
      </c>
      <c r="AA1471">
        <f>IF($V1471="",N($AA1470),IF(MATCH($V1471,$V$6:$V$10005,0)=ROW()-5,N($AA1470)+1,N($AA1470)))</f>
        <v>0</v>
      </c>
    </row>
    <row r="1472" spans="1:27" ht="21" customHeight="1" x14ac:dyDescent="0.95">
      <c r="A1472" s="56"/>
      <c r="B1472" s="57"/>
      <c r="C1472" s="57"/>
      <c r="D1472" s="57"/>
      <c r="E1472" s="56"/>
      <c r="F1472" s="57"/>
      <c r="G1472" s="57"/>
      <c r="H1472" s="56"/>
      <c r="I1472" s="56"/>
      <c r="J1472" s="58"/>
      <c r="K1472" s="58"/>
      <c r="L1472" s="13" t="str">
        <f t="shared" si="220"/>
        <v/>
      </c>
      <c r="M1472" s="13" t="str">
        <f t="shared" si="221"/>
        <v/>
      </c>
      <c r="Q1472" t="str">
        <f t="shared" si="222"/>
        <v/>
      </c>
      <c r="R1472" t="str">
        <f t="shared" si="223"/>
        <v/>
      </c>
      <c r="S1472" t="str">
        <f t="shared" si="224"/>
        <v/>
      </c>
      <c r="T1472" t="str">
        <f t="shared" si="225"/>
        <v/>
      </c>
      <c r="U1472" t="str">
        <f t="shared" si="226"/>
        <v/>
      </c>
      <c r="V1472" t="str">
        <f t="shared" si="227"/>
        <v/>
      </c>
      <c r="W1472" t="str">
        <f t="shared" si="228"/>
        <v/>
      </c>
      <c r="X1472">
        <f>IF($T1472="",N($X1471),IF(MATCH($T1472,$T$6:$T$10005,0)=ROW()-5,N($X1471)+1,N($X1471)))</f>
        <v>0</v>
      </c>
      <c r="Z1472" t="str">
        <f t="shared" si="229"/>
        <v/>
      </c>
      <c r="AA1472">
        <f>IF($V1472="",N($AA1471),IF(MATCH($V1472,$V$6:$V$10005,0)=ROW()-5,N($AA1471)+1,N($AA1471)))</f>
        <v>0</v>
      </c>
    </row>
    <row r="1473" spans="1:27" ht="21" customHeight="1" x14ac:dyDescent="0.95">
      <c r="A1473" s="56"/>
      <c r="B1473" s="57"/>
      <c r="C1473" s="57"/>
      <c r="D1473" s="57"/>
      <c r="E1473" s="56"/>
      <c r="F1473" s="57"/>
      <c r="G1473" s="57"/>
      <c r="H1473" s="56"/>
      <c r="I1473" s="56"/>
      <c r="J1473" s="58"/>
      <c r="K1473" s="58"/>
      <c r="L1473" s="13" t="str">
        <f t="shared" si="220"/>
        <v/>
      </c>
      <c r="M1473" s="13" t="str">
        <f t="shared" si="221"/>
        <v/>
      </c>
      <c r="Q1473" t="str">
        <f t="shared" si="222"/>
        <v/>
      </c>
      <c r="R1473" t="str">
        <f t="shared" si="223"/>
        <v/>
      </c>
      <c r="S1473" t="str">
        <f t="shared" si="224"/>
        <v/>
      </c>
      <c r="T1473" t="str">
        <f t="shared" si="225"/>
        <v/>
      </c>
      <c r="U1473" t="str">
        <f t="shared" si="226"/>
        <v/>
      </c>
      <c r="V1473" t="str">
        <f t="shared" si="227"/>
        <v/>
      </c>
      <c r="W1473" t="str">
        <f t="shared" si="228"/>
        <v/>
      </c>
      <c r="X1473">
        <f>IF($T1473="",N($X1472),IF(MATCH($T1473,$T$6:$T$10005,0)=ROW()-5,N($X1472)+1,N($X1472)))</f>
        <v>0</v>
      </c>
      <c r="Z1473" t="str">
        <f t="shared" si="229"/>
        <v/>
      </c>
      <c r="AA1473">
        <f>IF($V1473="",N($AA1472),IF(MATCH($V1473,$V$6:$V$10005,0)=ROW()-5,N($AA1472)+1,N($AA1472)))</f>
        <v>0</v>
      </c>
    </row>
    <row r="1474" spans="1:27" ht="21" customHeight="1" x14ac:dyDescent="0.95">
      <c r="A1474" s="56"/>
      <c r="B1474" s="57"/>
      <c r="C1474" s="57"/>
      <c r="D1474" s="57"/>
      <c r="E1474" s="56"/>
      <c r="F1474" s="57"/>
      <c r="G1474" s="57"/>
      <c r="H1474" s="56"/>
      <c r="I1474" s="56"/>
      <c r="J1474" s="58"/>
      <c r="K1474" s="58"/>
      <c r="L1474" s="13" t="str">
        <f t="shared" si="220"/>
        <v/>
      </c>
      <c r="M1474" s="13" t="str">
        <f t="shared" si="221"/>
        <v/>
      </c>
      <c r="Q1474" t="str">
        <f t="shared" si="222"/>
        <v/>
      </c>
      <c r="R1474" t="str">
        <f t="shared" si="223"/>
        <v/>
      </c>
      <c r="S1474" t="str">
        <f t="shared" si="224"/>
        <v/>
      </c>
      <c r="T1474" t="str">
        <f t="shared" si="225"/>
        <v/>
      </c>
      <c r="U1474" t="str">
        <f t="shared" si="226"/>
        <v/>
      </c>
      <c r="V1474" t="str">
        <f t="shared" si="227"/>
        <v/>
      </c>
      <c r="W1474" t="str">
        <f t="shared" si="228"/>
        <v/>
      </c>
      <c r="X1474">
        <f>IF($T1474="",N($X1473),IF(MATCH($T1474,$T$6:$T$10005,0)=ROW()-5,N($X1473)+1,N($X1473)))</f>
        <v>0</v>
      </c>
      <c r="Z1474" t="str">
        <f t="shared" si="229"/>
        <v/>
      </c>
      <c r="AA1474">
        <f>IF($V1474="",N($AA1473),IF(MATCH($V1474,$V$6:$V$10005,0)=ROW()-5,N($AA1473)+1,N($AA1473)))</f>
        <v>0</v>
      </c>
    </row>
    <row r="1475" spans="1:27" ht="21" customHeight="1" x14ac:dyDescent="0.95">
      <c r="A1475" s="56"/>
      <c r="B1475" s="57"/>
      <c r="C1475" s="57"/>
      <c r="D1475" s="57"/>
      <c r="E1475" s="56"/>
      <c r="F1475" s="57"/>
      <c r="G1475" s="57"/>
      <c r="H1475" s="56"/>
      <c r="I1475" s="56"/>
      <c r="J1475" s="58"/>
      <c r="K1475" s="58"/>
      <c r="L1475" s="13" t="str">
        <f t="shared" si="220"/>
        <v/>
      </c>
      <c r="M1475" s="13" t="str">
        <f t="shared" si="221"/>
        <v/>
      </c>
      <c r="Q1475" t="str">
        <f t="shared" si="222"/>
        <v/>
      </c>
      <c r="R1475" t="str">
        <f t="shared" si="223"/>
        <v/>
      </c>
      <c r="S1475" t="str">
        <f t="shared" si="224"/>
        <v/>
      </c>
      <c r="T1475" t="str">
        <f t="shared" si="225"/>
        <v/>
      </c>
      <c r="U1475" t="str">
        <f t="shared" si="226"/>
        <v/>
      </c>
      <c r="V1475" t="str">
        <f t="shared" si="227"/>
        <v/>
      </c>
      <c r="W1475" t="str">
        <f t="shared" si="228"/>
        <v/>
      </c>
      <c r="X1475">
        <f>IF($T1475="",N($X1474),IF(MATCH($T1475,$T$6:$T$10005,0)=ROW()-5,N($X1474)+1,N($X1474)))</f>
        <v>0</v>
      </c>
      <c r="Z1475" t="str">
        <f t="shared" si="229"/>
        <v/>
      </c>
      <c r="AA1475">
        <f>IF($V1475="",N($AA1474),IF(MATCH($V1475,$V$6:$V$10005,0)=ROW()-5,N($AA1474)+1,N($AA1474)))</f>
        <v>0</v>
      </c>
    </row>
    <row r="1476" spans="1:27" ht="21" customHeight="1" x14ac:dyDescent="0.95">
      <c r="A1476" s="56"/>
      <c r="B1476" s="57"/>
      <c r="C1476" s="57"/>
      <c r="D1476" s="57"/>
      <c r="E1476" s="56"/>
      <c r="F1476" s="57"/>
      <c r="G1476" s="57"/>
      <c r="H1476" s="56"/>
      <c r="I1476" s="56"/>
      <c r="J1476" s="58"/>
      <c r="K1476" s="58"/>
      <c r="L1476" s="13" t="str">
        <f t="shared" si="220"/>
        <v/>
      </c>
      <c r="M1476" s="13" t="str">
        <f t="shared" si="221"/>
        <v/>
      </c>
      <c r="Q1476" t="str">
        <f t="shared" si="222"/>
        <v/>
      </c>
      <c r="R1476" t="str">
        <f t="shared" si="223"/>
        <v/>
      </c>
      <c r="S1476" t="str">
        <f t="shared" si="224"/>
        <v/>
      </c>
      <c r="T1476" t="str">
        <f t="shared" si="225"/>
        <v/>
      </c>
      <c r="U1476" t="str">
        <f t="shared" si="226"/>
        <v/>
      </c>
      <c r="V1476" t="str">
        <f t="shared" si="227"/>
        <v/>
      </c>
      <c r="W1476" t="str">
        <f t="shared" si="228"/>
        <v/>
      </c>
      <c r="X1476">
        <f>IF($T1476="",N($X1475),IF(MATCH($T1476,$T$6:$T$10005,0)=ROW()-5,N($X1475)+1,N($X1475)))</f>
        <v>0</v>
      </c>
      <c r="Z1476" t="str">
        <f t="shared" si="229"/>
        <v/>
      </c>
      <c r="AA1476">
        <f>IF($V1476="",N($AA1475),IF(MATCH($V1476,$V$6:$V$10005,0)=ROW()-5,N($AA1475)+1,N($AA1475)))</f>
        <v>0</v>
      </c>
    </row>
    <row r="1477" spans="1:27" ht="21" customHeight="1" x14ac:dyDescent="0.95">
      <c r="A1477" s="56"/>
      <c r="B1477" s="57"/>
      <c r="C1477" s="57"/>
      <c r="D1477" s="57"/>
      <c r="E1477" s="56"/>
      <c r="F1477" s="57"/>
      <c r="G1477" s="57"/>
      <c r="H1477" s="56"/>
      <c r="I1477" s="56"/>
      <c r="J1477" s="58"/>
      <c r="K1477" s="58"/>
      <c r="L1477" s="13" t="str">
        <f t="shared" si="220"/>
        <v/>
      </c>
      <c r="M1477" s="13" t="str">
        <f t="shared" si="221"/>
        <v/>
      </c>
      <c r="Q1477" t="str">
        <f t="shared" si="222"/>
        <v/>
      </c>
      <c r="R1477" t="str">
        <f t="shared" si="223"/>
        <v/>
      </c>
      <c r="S1477" t="str">
        <f t="shared" si="224"/>
        <v/>
      </c>
      <c r="T1477" t="str">
        <f t="shared" si="225"/>
        <v/>
      </c>
      <c r="U1477" t="str">
        <f t="shared" si="226"/>
        <v/>
      </c>
      <c r="V1477" t="str">
        <f t="shared" si="227"/>
        <v/>
      </c>
      <c r="W1477" t="str">
        <f t="shared" si="228"/>
        <v/>
      </c>
      <c r="X1477">
        <f>IF($T1477="",N($X1476),IF(MATCH($T1477,$T$6:$T$10005,0)=ROW()-5,N($X1476)+1,N($X1476)))</f>
        <v>0</v>
      </c>
      <c r="Z1477" t="str">
        <f t="shared" si="229"/>
        <v/>
      </c>
      <c r="AA1477">
        <f>IF($V1477="",N($AA1476),IF(MATCH($V1477,$V$6:$V$10005,0)=ROW()-5,N($AA1476)+1,N($AA1476)))</f>
        <v>0</v>
      </c>
    </row>
    <row r="1478" spans="1:27" ht="21" customHeight="1" x14ac:dyDescent="0.95">
      <c r="A1478" s="56"/>
      <c r="B1478" s="57"/>
      <c r="C1478" s="57"/>
      <c r="D1478" s="57"/>
      <c r="E1478" s="56"/>
      <c r="F1478" s="57"/>
      <c r="G1478" s="57"/>
      <c r="H1478" s="56"/>
      <c r="I1478" s="56"/>
      <c r="J1478" s="58"/>
      <c r="K1478" s="58"/>
      <c r="L1478" s="13" t="str">
        <f t="shared" ref="L1478:L1541" si="230">IF(OR($A1478="",AND($J1478="",$K1478="")),"",ROUND(N($J1478)-N($K1478),2))</f>
        <v/>
      </c>
      <c r="M1478" s="13" t="str">
        <f t="shared" ref="M1478:M1541" si="231">IF(OR($A1478="",AND($J1478="",$K1478="")),"",MIN($J1478,$K1478))</f>
        <v/>
      </c>
      <c r="Q1478" t="str">
        <f t="shared" ref="Q1478:Q1541" si="232">IF($A1478="","",$D1478&amp;"("&amp;SUBSTITUTE($E1478," ","")&amp;")")</f>
        <v/>
      </c>
      <c r="R1478" t="str">
        <f t="shared" ref="R1478:R1541" si="233">IF($A1478="","",$B1478&amp;" - "&amp;$C1478)</f>
        <v/>
      </c>
      <c r="S1478" t="str">
        <f t="shared" ref="S1478:S1541" si="234">IF($A1478="","",$R1478&amp;"|"&amp;$Q1478)</f>
        <v/>
      </c>
      <c r="T1478" t="str">
        <f t="shared" ref="T1478:T1541" si="235">IF($A1478="","",$S1478&amp;"|"&amp;$F1478)</f>
        <v/>
      </c>
      <c r="U1478" t="str">
        <f t="shared" ref="U1478:U1541" si="236">IF($A1478="","",$R1478&amp;"("&amp;$E1478&amp;")")</f>
        <v/>
      </c>
      <c r="V1478" t="str">
        <f t="shared" ref="V1478:V1541" si="237">IF($A1478="","",$F1478&amp;"|"&amp;$U1478&amp;"|"&amp;$D1478)</f>
        <v/>
      </c>
      <c r="W1478" t="str">
        <f t="shared" ref="W1478:W1541" si="238">IF($T1478="","",IF($X1478&gt;N($X1477),$X1478,""))</f>
        <v/>
      </c>
      <c r="X1478">
        <f>IF($T1478="",N($X1477),IF(MATCH($T1478,$T$6:$T$10005,0)=ROW()-5,N($X1477)+1,N($X1477)))</f>
        <v>0</v>
      </c>
      <c r="Z1478" t="str">
        <f t="shared" ref="Z1478:Z1541" si="239">IF($V1478="","",IF($AA1478&gt;N($AA1477),$AA1478,""))</f>
        <v/>
      </c>
      <c r="AA1478">
        <f>IF($V1478="",N($AA1477),IF(MATCH($V1478,$V$6:$V$10005,0)=ROW()-5,N($AA1477)+1,N($AA1477)))</f>
        <v>0</v>
      </c>
    </row>
    <row r="1479" spans="1:27" ht="21" customHeight="1" x14ac:dyDescent="0.95">
      <c r="A1479" s="56"/>
      <c r="B1479" s="57"/>
      <c r="C1479" s="57"/>
      <c r="D1479" s="57"/>
      <c r="E1479" s="56"/>
      <c r="F1479" s="57"/>
      <c r="G1479" s="57"/>
      <c r="H1479" s="56"/>
      <c r="I1479" s="56"/>
      <c r="J1479" s="58"/>
      <c r="K1479" s="58"/>
      <c r="L1479" s="13" t="str">
        <f t="shared" si="230"/>
        <v/>
      </c>
      <c r="M1479" s="13" t="str">
        <f t="shared" si="231"/>
        <v/>
      </c>
      <c r="Q1479" t="str">
        <f t="shared" si="232"/>
        <v/>
      </c>
      <c r="R1479" t="str">
        <f t="shared" si="233"/>
        <v/>
      </c>
      <c r="S1479" t="str">
        <f t="shared" si="234"/>
        <v/>
      </c>
      <c r="T1479" t="str">
        <f t="shared" si="235"/>
        <v/>
      </c>
      <c r="U1479" t="str">
        <f t="shared" si="236"/>
        <v/>
      </c>
      <c r="V1479" t="str">
        <f t="shared" si="237"/>
        <v/>
      </c>
      <c r="W1479" t="str">
        <f t="shared" si="238"/>
        <v/>
      </c>
      <c r="X1479">
        <f>IF($T1479="",N($X1478),IF(MATCH($T1479,$T$6:$T$10005,0)=ROW()-5,N($X1478)+1,N($X1478)))</f>
        <v>0</v>
      </c>
      <c r="Z1479" t="str">
        <f t="shared" si="239"/>
        <v/>
      </c>
      <c r="AA1479">
        <f>IF($V1479="",N($AA1478),IF(MATCH($V1479,$V$6:$V$10005,0)=ROW()-5,N($AA1478)+1,N($AA1478)))</f>
        <v>0</v>
      </c>
    </row>
    <row r="1480" spans="1:27" ht="21" customHeight="1" x14ac:dyDescent="0.95">
      <c r="A1480" s="56"/>
      <c r="B1480" s="57"/>
      <c r="C1480" s="57"/>
      <c r="D1480" s="57"/>
      <c r="E1480" s="56"/>
      <c r="F1480" s="57"/>
      <c r="G1480" s="57"/>
      <c r="H1480" s="56"/>
      <c r="I1480" s="56"/>
      <c r="J1480" s="58"/>
      <c r="K1480" s="58"/>
      <c r="L1480" s="13" t="str">
        <f t="shared" si="230"/>
        <v/>
      </c>
      <c r="M1480" s="13" t="str">
        <f t="shared" si="231"/>
        <v/>
      </c>
      <c r="Q1480" t="str">
        <f t="shared" si="232"/>
        <v/>
      </c>
      <c r="R1480" t="str">
        <f t="shared" si="233"/>
        <v/>
      </c>
      <c r="S1480" t="str">
        <f t="shared" si="234"/>
        <v/>
      </c>
      <c r="T1480" t="str">
        <f t="shared" si="235"/>
        <v/>
      </c>
      <c r="U1480" t="str">
        <f t="shared" si="236"/>
        <v/>
      </c>
      <c r="V1480" t="str">
        <f t="shared" si="237"/>
        <v/>
      </c>
      <c r="W1480" t="str">
        <f t="shared" si="238"/>
        <v/>
      </c>
      <c r="X1480">
        <f>IF($T1480="",N($X1479),IF(MATCH($T1480,$T$6:$T$10005,0)=ROW()-5,N($X1479)+1,N($X1479)))</f>
        <v>0</v>
      </c>
      <c r="Z1480" t="str">
        <f t="shared" si="239"/>
        <v/>
      </c>
      <c r="AA1480">
        <f>IF($V1480="",N($AA1479),IF(MATCH($V1480,$V$6:$V$10005,0)=ROW()-5,N($AA1479)+1,N($AA1479)))</f>
        <v>0</v>
      </c>
    </row>
    <row r="1481" spans="1:27" ht="21" customHeight="1" x14ac:dyDescent="0.95">
      <c r="A1481" s="56"/>
      <c r="B1481" s="57"/>
      <c r="C1481" s="57"/>
      <c r="D1481" s="57"/>
      <c r="E1481" s="56"/>
      <c r="F1481" s="57"/>
      <c r="G1481" s="57"/>
      <c r="H1481" s="56"/>
      <c r="I1481" s="56"/>
      <c r="J1481" s="58"/>
      <c r="K1481" s="58"/>
      <c r="L1481" s="13" t="str">
        <f t="shared" si="230"/>
        <v/>
      </c>
      <c r="M1481" s="13" t="str">
        <f t="shared" si="231"/>
        <v/>
      </c>
      <c r="Q1481" t="str">
        <f t="shared" si="232"/>
        <v/>
      </c>
      <c r="R1481" t="str">
        <f t="shared" si="233"/>
        <v/>
      </c>
      <c r="S1481" t="str">
        <f t="shared" si="234"/>
        <v/>
      </c>
      <c r="T1481" t="str">
        <f t="shared" si="235"/>
        <v/>
      </c>
      <c r="U1481" t="str">
        <f t="shared" si="236"/>
        <v/>
      </c>
      <c r="V1481" t="str">
        <f t="shared" si="237"/>
        <v/>
      </c>
      <c r="W1481" t="str">
        <f t="shared" si="238"/>
        <v/>
      </c>
      <c r="X1481">
        <f>IF($T1481="",N($X1480),IF(MATCH($T1481,$T$6:$T$10005,0)=ROW()-5,N($X1480)+1,N($X1480)))</f>
        <v>0</v>
      </c>
      <c r="Z1481" t="str">
        <f t="shared" si="239"/>
        <v/>
      </c>
      <c r="AA1481">
        <f>IF($V1481="",N($AA1480),IF(MATCH($V1481,$V$6:$V$10005,0)=ROW()-5,N($AA1480)+1,N($AA1480)))</f>
        <v>0</v>
      </c>
    </row>
    <row r="1482" spans="1:27" ht="21" customHeight="1" x14ac:dyDescent="0.95">
      <c r="A1482" s="56"/>
      <c r="B1482" s="57"/>
      <c r="C1482" s="57"/>
      <c r="D1482" s="57"/>
      <c r="E1482" s="56"/>
      <c r="F1482" s="57"/>
      <c r="G1482" s="57"/>
      <c r="H1482" s="56"/>
      <c r="I1482" s="56"/>
      <c r="J1482" s="58"/>
      <c r="K1482" s="58"/>
      <c r="L1482" s="13" t="str">
        <f t="shared" si="230"/>
        <v/>
      </c>
      <c r="M1482" s="13" t="str">
        <f t="shared" si="231"/>
        <v/>
      </c>
      <c r="Q1482" t="str">
        <f t="shared" si="232"/>
        <v/>
      </c>
      <c r="R1482" t="str">
        <f t="shared" si="233"/>
        <v/>
      </c>
      <c r="S1482" t="str">
        <f t="shared" si="234"/>
        <v/>
      </c>
      <c r="T1482" t="str">
        <f t="shared" si="235"/>
        <v/>
      </c>
      <c r="U1482" t="str">
        <f t="shared" si="236"/>
        <v/>
      </c>
      <c r="V1482" t="str">
        <f t="shared" si="237"/>
        <v/>
      </c>
      <c r="W1482" t="str">
        <f t="shared" si="238"/>
        <v/>
      </c>
      <c r="X1482">
        <f>IF($T1482="",N($X1481),IF(MATCH($T1482,$T$6:$T$10005,0)=ROW()-5,N($X1481)+1,N($X1481)))</f>
        <v>0</v>
      </c>
      <c r="Z1482" t="str">
        <f t="shared" si="239"/>
        <v/>
      </c>
      <c r="AA1482">
        <f>IF($V1482="",N($AA1481),IF(MATCH($V1482,$V$6:$V$10005,0)=ROW()-5,N($AA1481)+1,N($AA1481)))</f>
        <v>0</v>
      </c>
    </row>
    <row r="1483" spans="1:27" ht="21" customHeight="1" x14ac:dyDescent="0.95">
      <c r="A1483" s="56"/>
      <c r="B1483" s="57"/>
      <c r="C1483" s="57"/>
      <c r="D1483" s="57"/>
      <c r="E1483" s="56"/>
      <c r="F1483" s="57"/>
      <c r="G1483" s="57"/>
      <c r="H1483" s="56"/>
      <c r="I1483" s="56"/>
      <c r="J1483" s="58"/>
      <c r="K1483" s="58"/>
      <c r="L1483" s="13" t="str">
        <f t="shared" si="230"/>
        <v/>
      </c>
      <c r="M1483" s="13" t="str">
        <f t="shared" si="231"/>
        <v/>
      </c>
      <c r="Q1483" t="str">
        <f t="shared" si="232"/>
        <v/>
      </c>
      <c r="R1483" t="str">
        <f t="shared" si="233"/>
        <v/>
      </c>
      <c r="S1483" t="str">
        <f t="shared" si="234"/>
        <v/>
      </c>
      <c r="T1483" t="str">
        <f t="shared" si="235"/>
        <v/>
      </c>
      <c r="U1483" t="str">
        <f t="shared" si="236"/>
        <v/>
      </c>
      <c r="V1483" t="str">
        <f t="shared" si="237"/>
        <v/>
      </c>
      <c r="W1483" t="str">
        <f t="shared" si="238"/>
        <v/>
      </c>
      <c r="X1483">
        <f>IF($T1483="",N($X1482),IF(MATCH($T1483,$T$6:$T$10005,0)=ROW()-5,N($X1482)+1,N($X1482)))</f>
        <v>0</v>
      </c>
      <c r="Z1483" t="str">
        <f t="shared" si="239"/>
        <v/>
      </c>
      <c r="AA1483">
        <f>IF($V1483="",N($AA1482),IF(MATCH($V1483,$V$6:$V$10005,0)=ROW()-5,N($AA1482)+1,N($AA1482)))</f>
        <v>0</v>
      </c>
    </row>
    <row r="1484" spans="1:27" ht="21" customHeight="1" x14ac:dyDescent="0.95">
      <c r="A1484" s="56"/>
      <c r="B1484" s="57"/>
      <c r="C1484" s="57"/>
      <c r="D1484" s="57"/>
      <c r="E1484" s="56"/>
      <c r="F1484" s="57"/>
      <c r="G1484" s="57"/>
      <c r="H1484" s="56"/>
      <c r="I1484" s="56"/>
      <c r="J1484" s="58"/>
      <c r="K1484" s="58"/>
      <c r="L1484" s="13" t="str">
        <f t="shared" si="230"/>
        <v/>
      </c>
      <c r="M1484" s="13" t="str">
        <f t="shared" si="231"/>
        <v/>
      </c>
      <c r="Q1484" t="str">
        <f t="shared" si="232"/>
        <v/>
      </c>
      <c r="R1484" t="str">
        <f t="shared" si="233"/>
        <v/>
      </c>
      <c r="S1484" t="str">
        <f t="shared" si="234"/>
        <v/>
      </c>
      <c r="T1484" t="str">
        <f t="shared" si="235"/>
        <v/>
      </c>
      <c r="U1484" t="str">
        <f t="shared" si="236"/>
        <v/>
      </c>
      <c r="V1484" t="str">
        <f t="shared" si="237"/>
        <v/>
      </c>
      <c r="W1484" t="str">
        <f t="shared" si="238"/>
        <v/>
      </c>
      <c r="X1484">
        <f>IF($T1484="",N($X1483),IF(MATCH($T1484,$T$6:$T$10005,0)=ROW()-5,N($X1483)+1,N($X1483)))</f>
        <v>0</v>
      </c>
      <c r="Z1484" t="str">
        <f t="shared" si="239"/>
        <v/>
      </c>
      <c r="AA1484">
        <f>IF($V1484="",N($AA1483),IF(MATCH($V1484,$V$6:$V$10005,0)=ROW()-5,N($AA1483)+1,N($AA1483)))</f>
        <v>0</v>
      </c>
    </row>
    <row r="1485" spans="1:27" ht="21" customHeight="1" x14ac:dyDescent="0.95">
      <c r="A1485" s="56"/>
      <c r="B1485" s="57"/>
      <c r="C1485" s="57"/>
      <c r="D1485" s="57"/>
      <c r="E1485" s="56"/>
      <c r="F1485" s="57"/>
      <c r="G1485" s="57"/>
      <c r="H1485" s="56"/>
      <c r="I1485" s="56"/>
      <c r="J1485" s="58"/>
      <c r="K1485" s="58"/>
      <c r="L1485" s="13" t="str">
        <f t="shared" si="230"/>
        <v/>
      </c>
      <c r="M1485" s="13" t="str">
        <f t="shared" si="231"/>
        <v/>
      </c>
      <c r="Q1485" t="str">
        <f t="shared" si="232"/>
        <v/>
      </c>
      <c r="R1485" t="str">
        <f t="shared" si="233"/>
        <v/>
      </c>
      <c r="S1485" t="str">
        <f t="shared" si="234"/>
        <v/>
      </c>
      <c r="T1485" t="str">
        <f t="shared" si="235"/>
        <v/>
      </c>
      <c r="U1485" t="str">
        <f t="shared" si="236"/>
        <v/>
      </c>
      <c r="V1485" t="str">
        <f t="shared" si="237"/>
        <v/>
      </c>
      <c r="W1485" t="str">
        <f t="shared" si="238"/>
        <v/>
      </c>
      <c r="X1485">
        <f>IF($T1485="",N($X1484),IF(MATCH($T1485,$T$6:$T$10005,0)=ROW()-5,N($X1484)+1,N($X1484)))</f>
        <v>0</v>
      </c>
      <c r="Z1485" t="str">
        <f t="shared" si="239"/>
        <v/>
      </c>
      <c r="AA1485">
        <f>IF($V1485="",N($AA1484),IF(MATCH($V1485,$V$6:$V$10005,0)=ROW()-5,N($AA1484)+1,N($AA1484)))</f>
        <v>0</v>
      </c>
    </row>
    <row r="1486" spans="1:27" ht="21" customHeight="1" x14ac:dyDescent="0.95">
      <c r="A1486" s="56"/>
      <c r="B1486" s="57"/>
      <c r="C1486" s="57"/>
      <c r="D1486" s="57"/>
      <c r="E1486" s="56"/>
      <c r="F1486" s="57"/>
      <c r="G1486" s="57"/>
      <c r="H1486" s="56"/>
      <c r="I1486" s="56"/>
      <c r="J1486" s="58"/>
      <c r="K1486" s="58"/>
      <c r="L1486" s="13" t="str">
        <f t="shared" si="230"/>
        <v/>
      </c>
      <c r="M1486" s="13" t="str">
        <f t="shared" si="231"/>
        <v/>
      </c>
      <c r="Q1486" t="str">
        <f t="shared" si="232"/>
        <v/>
      </c>
      <c r="R1486" t="str">
        <f t="shared" si="233"/>
        <v/>
      </c>
      <c r="S1486" t="str">
        <f t="shared" si="234"/>
        <v/>
      </c>
      <c r="T1486" t="str">
        <f t="shared" si="235"/>
        <v/>
      </c>
      <c r="U1486" t="str">
        <f t="shared" si="236"/>
        <v/>
      </c>
      <c r="V1486" t="str">
        <f t="shared" si="237"/>
        <v/>
      </c>
      <c r="W1486" t="str">
        <f t="shared" si="238"/>
        <v/>
      </c>
      <c r="X1486">
        <f>IF($T1486="",N($X1485),IF(MATCH($T1486,$T$6:$T$10005,0)=ROW()-5,N($X1485)+1,N($X1485)))</f>
        <v>0</v>
      </c>
      <c r="Z1486" t="str">
        <f t="shared" si="239"/>
        <v/>
      </c>
      <c r="AA1486">
        <f>IF($V1486="",N($AA1485),IF(MATCH($V1486,$V$6:$V$10005,0)=ROW()-5,N($AA1485)+1,N($AA1485)))</f>
        <v>0</v>
      </c>
    </row>
    <row r="1487" spans="1:27" ht="21" customHeight="1" x14ac:dyDescent="0.95">
      <c r="A1487" s="56"/>
      <c r="B1487" s="57"/>
      <c r="C1487" s="57"/>
      <c r="D1487" s="57"/>
      <c r="E1487" s="56"/>
      <c r="F1487" s="57"/>
      <c r="G1487" s="57"/>
      <c r="H1487" s="56"/>
      <c r="I1487" s="56"/>
      <c r="J1487" s="58"/>
      <c r="K1487" s="58"/>
      <c r="L1487" s="13" t="str">
        <f t="shared" si="230"/>
        <v/>
      </c>
      <c r="M1487" s="13" t="str">
        <f t="shared" si="231"/>
        <v/>
      </c>
      <c r="Q1487" t="str">
        <f t="shared" si="232"/>
        <v/>
      </c>
      <c r="R1487" t="str">
        <f t="shared" si="233"/>
        <v/>
      </c>
      <c r="S1487" t="str">
        <f t="shared" si="234"/>
        <v/>
      </c>
      <c r="T1487" t="str">
        <f t="shared" si="235"/>
        <v/>
      </c>
      <c r="U1487" t="str">
        <f t="shared" si="236"/>
        <v/>
      </c>
      <c r="V1487" t="str">
        <f t="shared" si="237"/>
        <v/>
      </c>
      <c r="W1487" t="str">
        <f t="shared" si="238"/>
        <v/>
      </c>
      <c r="X1487">
        <f>IF($T1487="",N($X1486),IF(MATCH($T1487,$T$6:$T$10005,0)=ROW()-5,N($X1486)+1,N($X1486)))</f>
        <v>0</v>
      </c>
      <c r="Z1487" t="str">
        <f t="shared" si="239"/>
        <v/>
      </c>
      <c r="AA1487">
        <f>IF($V1487="",N($AA1486),IF(MATCH($V1487,$V$6:$V$10005,0)=ROW()-5,N($AA1486)+1,N($AA1486)))</f>
        <v>0</v>
      </c>
    </row>
    <row r="1488" spans="1:27" ht="21" customHeight="1" x14ac:dyDescent="0.95">
      <c r="A1488" s="56"/>
      <c r="B1488" s="57"/>
      <c r="C1488" s="57"/>
      <c r="D1488" s="57"/>
      <c r="E1488" s="56"/>
      <c r="F1488" s="57"/>
      <c r="G1488" s="57"/>
      <c r="H1488" s="56"/>
      <c r="I1488" s="56"/>
      <c r="J1488" s="58"/>
      <c r="K1488" s="58"/>
      <c r="L1488" s="13" t="str">
        <f t="shared" si="230"/>
        <v/>
      </c>
      <c r="M1488" s="13" t="str">
        <f t="shared" si="231"/>
        <v/>
      </c>
      <c r="Q1488" t="str">
        <f t="shared" si="232"/>
        <v/>
      </c>
      <c r="R1488" t="str">
        <f t="shared" si="233"/>
        <v/>
      </c>
      <c r="S1488" t="str">
        <f t="shared" si="234"/>
        <v/>
      </c>
      <c r="T1488" t="str">
        <f t="shared" si="235"/>
        <v/>
      </c>
      <c r="U1488" t="str">
        <f t="shared" si="236"/>
        <v/>
      </c>
      <c r="V1488" t="str">
        <f t="shared" si="237"/>
        <v/>
      </c>
      <c r="W1488" t="str">
        <f t="shared" si="238"/>
        <v/>
      </c>
      <c r="X1488">
        <f>IF($T1488="",N($X1487),IF(MATCH($T1488,$T$6:$T$10005,0)=ROW()-5,N($X1487)+1,N($X1487)))</f>
        <v>0</v>
      </c>
      <c r="Z1488" t="str">
        <f t="shared" si="239"/>
        <v/>
      </c>
      <c r="AA1488">
        <f>IF($V1488="",N($AA1487),IF(MATCH($V1488,$V$6:$V$10005,0)=ROW()-5,N($AA1487)+1,N($AA1487)))</f>
        <v>0</v>
      </c>
    </row>
    <row r="1489" spans="1:27" ht="21" customHeight="1" x14ac:dyDescent="0.95">
      <c r="A1489" s="56"/>
      <c r="B1489" s="57"/>
      <c r="C1489" s="57"/>
      <c r="D1489" s="57"/>
      <c r="E1489" s="56"/>
      <c r="F1489" s="57"/>
      <c r="G1489" s="57"/>
      <c r="H1489" s="56"/>
      <c r="I1489" s="56"/>
      <c r="J1489" s="58"/>
      <c r="K1489" s="58"/>
      <c r="L1489" s="13" t="str">
        <f t="shared" si="230"/>
        <v/>
      </c>
      <c r="M1489" s="13" t="str">
        <f t="shared" si="231"/>
        <v/>
      </c>
      <c r="Q1489" t="str">
        <f t="shared" si="232"/>
        <v/>
      </c>
      <c r="R1489" t="str">
        <f t="shared" si="233"/>
        <v/>
      </c>
      <c r="S1489" t="str">
        <f t="shared" si="234"/>
        <v/>
      </c>
      <c r="T1489" t="str">
        <f t="shared" si="235"/>
        <v/>
      </c>
      <c r="U1489" t="str">
        <f t="shared" si="236"/>
        <v/>
      </c>
      <c r="V1489" t="str">
        <f t="shared" si="237"/>
        <v/>
      </c>
      <c r="W1489" t="str">
        <f t="shared" si="238"/>
        <v/>
      </c>
      <c r="X1489">
        <f>IF($T1489="",N($X1488),IF(MATCH($T1489,$T$6:$T$10005,0)=ROW()-5,N($X1488)+1,N($X1488)))</f>
        <v>0</v>
      </c>
      <c r="Z1489" t="str">
        <f t="shared" si="239"/>
        <v/>
      </c>
      <c r="AA1489">
        <f>IF($V1489="",N($AA1488),IF(MATCH($V1489,$V$6:$V$10005,0)=ROW()-5,N($AA1488)+1,N($AA1488)))</f>
        <v>0</v>
      </c>
    </row>
    <row r="1490" spans="1:27" ht="21" customHeight="1" x14ac:dyDescent="0.95">
      <c r="A1490" s="56"/>
      <c r="B1490" s="57"/>
      <c r="C1490" s="57"/>
      <c r="D1490" s="57"/>
      <c r="E1490" s="56"/>
      <c r="F1490" s="57"/>
      <c r="G1490" s="57"/>
      <c r="H1490" s="56"/>
      <c r="I1490" s="56"/>
      <c r="J1490" s="58"/>
      <c r="K1490" s="58"/>
      <c r="L1490" s="13" t="str">
        <f t="shared" si="230"/>
        <v/>
      </c>
      <c r="M1490" s="13" t="str">
        <f t="shared" si="231"/>
        <v/>
      </c>
      <c r="Q1490" t="str">
        <f t="shared" si="232"/>
        <v/>
      </c>
      <c r="R1490" t="str">
        <f t="shared" si="233"/>
        <v/>
      </c>
      <c r="S1490" t="str">
        <f t="shared" si="234"/>
        <v/>
      </c>
      <c r="T1490" t="str">
        <f t="shared" si="235"/>
        <v/>
      </c>
      <c r="U1490" t="str">
        <f t="shared" si="236"/>
        <v/>
      </c>
      <c r="V1490" t="str">
        <f t="shared" si="237"/>
        <v/>
      </c>
      <c r="W1490" t="str">
        <f t="shared" si="238"/>
        <v/>
      </c>
      <c r="X1490">
        <f>IF($T1490="",N($X1489),IF(MATCH($T1490,$T$6:$T$10005,0)=ROW()-5,N($X1489)+1,N($X1489)))</f>
        <v>0</v>
      </c>
      <c r="Z1490" t="str">
        <f t="shared" si="239"/>
        <v/>
      </c>
      <c r="AA1490">
        <f>IF($V1490="",N($AA1489),IF(MATCH($V1490,$V$6:$V$10005,0)=ROW()-5,N($AA1489)+1,N($AA1489)))</f>
        <v>0</v>
      </c>
    </row>
    <row r="1491" spans="1:27" ht="21" customHeight="1" x14ac:dyDescent="0.95">
      <c r="A1491" s="56"/>
      <c r="B1491" s="57"/>
      <c r="C1491" s="57"/>
      <c r="D1491" s="57"/>
      <c r="E1491" s="56"/>
      <c r="F1491" s="57"/>
      <c r="G1491" s="57"/>
      <c r="H1491" s="56"/>
      <c r="I1491" s="56"/>
      <c r="J1491" s="58"/>
      <c r="K1491" s="58"/>
      <c r="L1491" s="13" t="str">
        <f t="shared" si="230"/>
        <v/>
      </c>
      <c r="M1491" s="13" t="str">
        <f t="shared" si="231"/>
        <v/>
      </c>
      <c r="Q1491" t="str">
        <f t="shared" si="232"/>
        <v/>
      </c>
      <c r="R1491" t="str">
        <f t="shared" si="233"/>
        <v/>
      </c>
      <c r="S1491" t="str">
        <f t="shared" si="234"/>
        <v/>
      </c>
      <c r="T1491" t="str">
        <f t="shared" si="235"/>
        <v/>
      </c>
      <c r="U1491" t="str">
        <f t="shared" si="236"/>
        <v/>
      </c>
      <c r="V1491" t="str">
        <f t="shared" si="237"/>
        <v/>
      </c>
      <c r="W1491" t="str">
        <f t="shared" si="238"/>
        <v/>
      </c>
      <c r="X1491">
        <f>IF($T1491="",N($X1490),IF(MATCH($T1491,$T$6:$T$10005,0)=ROW()-5,N($X1490)+1,N($X1490)))</f>
        <v>0</v>
      </c>
      <c r="Z1491" t="str">
        <f t="shared" si="239"/>
        <v/>
      </c>
      <c r="AA1491">
        <f>IF($V1491="",N($AA1490),IF(MATCH($V1491,$V$6:$V$10005,0)=ROW()-5,N($AA1490)+1,N($AA1490)))</f>
        <v>0</v>
      </c>
    </row>
    <row r="1492" spans="1:27" ht="21" customHeight="1" x14ac:dyDescent="0.95">
      <c r="A1492" s="56"/>
      <c r="B1492" s="57"/>
      <c r="C1492" s="57"/>
      <c r="D1492" s="57"/>
      <c r="E1492" s="56"/>
      <c r="F1492" s="57"/>
      <c r="G1492" s="57"/>
      <c r="H1492" s="56"/>
      <c r="I1492" s="56"/>
      <c r="J1492" s="58"/>
      <c r="K1492" s="58"/>
      <c r="L1492" s="13" t="str">
        <f t="shared" si="230"/>
        <v/>
      </c>
      <c r="M1492" s="13" t="str">
        <f t="shared" si="231"/>
        <v/>
      </c>
      <c r="Q1492" t="str">
        <f t="shared" si="232"/>
        <v/>
      </c>
      <c r="R1492" t="str">
        <f t="shared" si="233"/>
        <v/>
      </c>
      <c r="S1492" t="str">
        <f t="shared" si="234"/>
        <v/>
      </c>
      <c r="T1492" t="str">
        <f t="shared" si="235"/>
        <v/>
      </c>
      <c r="U1492" t="str">
        <f t="shared" si="236"/>
        <v/>
      </c>
      <c r="V1492" t="str">
        <f t="shared" si="237"/>
        <v/>
      </c>
      <c r="W1492" t="str">
        <f t="shared" si="238"/>
        <v/>
      </c>
      <c r="X1492">
        <f>IF($T1492="",N($X1491),IF(MATCH($T1492,$T$6:$T$10005,0)=ROW()-5,N($X1491)+1,N($X1491)))</f>
        <v>0</v>
      </c>
      <c r="Z1492" t="str">
        <f t="shared" si="239"/>
        <v/>
      </c>
      <c r="AA1492">
        <f>IF($V1492="",N($AA1491),IF(MATCH($V1492,$V$6:$V$10005,0)=ROW()-5,N($AA1491)+1,N($AA1491)))</f>
        <v>0</v>
      </c>
    </row>
    <row r="1493" spans="1:27" ht="21" customHeight="1" x14ac:dyDescent="0.95">
      <c r="A1493" s="56"/>
      <c r="B1493" s="57"/>
      <c r="C1493" s="57"/>
      <c r="D1493" s="57"/>
      <c r="E1493" s="56"/>
      <c r="F1493" s="57"/>
      <c r="G1493" s="57"/>
      <c r="H1493" s="56"/>
      <c r="I1493" s="56"/>
      <c r="J1493" s="58"/>
      <c r="K1493" s="58"/>
      <c r="L1493" s="13" t="str">
        <f t="shared" si="230"/>
        <v/>
      </c>
      <c r="M1493" s="13" t="str">
        <f t="shared" si="231"/>
        <v/>
      </c>
      <c r="Q1493" t="str">
        <f t="shared" si="232"/>
        <v/>
      </c>
      <c r="R1493" t="str">
        <f t="shared" si="233"/>
        <v/>
      </c>
      <c r="S1493" t="str">
        <f t="shared" si="234"/>
        <v/>
      </c>
      <c r="T1493" t="str">
        <f t="shared" si="235"/>
        <v/>
      </c>
      <c r="U1493" t="str">
        <f t="shared" si="236"/>
        <v/>
      </c>
      <c r="V1493" t="str">
        <f t="shared" si="237"/>
        <v/>
      </c>
      <c r="W1493" t="str">
        <f t="shared" si="238"/>
        <v/>
      </c>
      <c r="X1493">
        <f>IF($T1493="",N($X1492),IF(MATCH($T1493,$T$6:$T$10005,0)=ROW()-5,N($X1492)+1,N($X1492)))</f>
        <v>0</v>
      </c>
      <c r="Z1493" t="str">
        <f t="shared" si="239"/>
        <v/>
      </c>
      <c r="AA1493">
        <f>IF($V1493="",N($AA1492),IF(MATCH($V1493,$V$6:$V$10005,0)=ROW()-5,N($AA1492)+1,N($AA1492)))</f>
        <v>0</v>
      </c>
    </row>
    <row r="1494" spans="1:27" ht="21" customHeight="1" x14ac:dyDescent="0.95">
      <c r="A1494" s="56"/>
      <c r="B1494" s="57"/>
      <c r="C1494" s="57"/>
      <c r="D1494" s="57"/>
      <c r="E1494" s="56"/>
      <c r="F1494" s="57"/>
      <c r="G1494" s="57"/>
      <c r="H1494" s="56"/>
      <c r="I1494" s="56"/>
      <c r="J1494" s="58"/>
      <c r="K1494" s="58"/>
      <c r="L1494" s="13" t="str">
        <f t="shared" si="230"/>
        <v/>
      </c>
      <c r="M1494" s="13" t="str">
        <f t="shared" si="231"/>
        <v/>
      </c>
      <c r="Q1494" t="str">
        <f t="shared" si="232"/>
        <v/>
      </c>
      <c r="R1494" t="str">
        <f t="shared" si="233"/>
        <v/>
      </c>
      <c r="S1494" t="str">
        <f t="shared" si="234"/>
        <v/>
      </c>
      <c r="T1494" t="str">
        <f t="shared" si="235"/>
        <v/>
      </c>
      <c r="U1494" t="str">
        <f t="shared" si="236"/>
        <v/>
      </c>
      <c r="V1494" t="str">
        <f t="shared" si="237"/>
        <v/>
      </c>
      <c r="W1494" t="str">
        <f t="shared" si="238"/>
        <v/>
      </c>
      <c r="X1494">
        <f>IF($T1494="",N($X1493),IF(MATCH($T1494,$T$6:$T$10005,0)=ROW()-5,N($X1493)+1,N($X1493)))</f>
        <v>0</v>
      </c>
      <c r="Z1494" t="str">
        <f t="shared" si="239"/>
        <v/>
      </c>
      <c r="AA1494">
        <f>IF($V1494="",N($AA1493),IF(MATCH($V1494,$V$6:$V$10005,0)=ROW()-5,N($AA1493)+1,N($AA1493)))</f>
        <v>0</v>
      </c>
    </row>
    <row r="1495" spans="1:27" ht="21" customHeight="1" x14ac:dyDescent="0.95">
      <c r="A1495" s="56"/>
      <c r="B1495" s="57"/>
      <c r="C1495" s="57"/>
      <c r="D1495" s="57"/>
      <c r="E1495" s="56"/>
      <c r="F1495" s="57"/>
      <c r="G1495" s="57"/>
      <c r="H1495" s="56"/>
      <c r="I1495" s="56"/>
      <c r="J1495" s="58"/>
      <c r="K1495" s="58"/>
      <c r="L1495" s="13" t="str">
        <f t="shared" si="230"/>
        <v/>
      </c>
      <c r="M1495" s="13" t="str">
        <f t="shared" si="231"/>
        <v/>
      </c>
      <c r="Q1495" t="str">
        <f t="shared" si="232"/>
        <v/>
      </c>
      <c r="R1495" t="str">
        <f t="shared" si="233"/>
        <v/>
      </c>
      <c r="S1495" t="str">
        <f t="shared" si="234"/>
        <v/>
      </c>
      <c r="T1495" t="str">
        <f t="shared" si="235"/>
        <v/>
      </c>
      <c r="U1495" t="str">
        <f t="shared" si="236"/>
        <v/>
      </c>
      <c r="V1495" t="str">
        <f t="shared" si="237"/>
        <v/>
      </c>
      <c r="W1495" t="str">
        <f t="shared" si="238"/>
        <v/>
      </c>
      <c r="X1495">
        <f>IF($T1495="",N($X1494),IF(MATCH($T1495,$T$6:$T$10005,0)=ROW()-5,N($X1494)+1,N($X1494)))</f>
        <v>0</v>
      </c>
      <c r="Z1495" t="str">
        <f t="shared" si="239"/>
        <v/>
      </c>
      <c r="AA1495">
        <f>IF($V1495="",N($AA1494),IF(MATCH($V1495,$V$6:$V$10005,0)=ROW()-5,N($AA1494)+1,N($AA1494)))</f>
        <v>0</v>
      </c>
    </row>
    <row r="1496" spans="1:27" ht="21" customHeight="1" x14ac:dyDescent="0.95">
      <c r="A1496" s="56"/>
      <c r="B1496" s="57"/>
      <c r="C1496" s="57"/>
      <c r="D1496" s="57"/>
      <c r="E1496" s="56"/>
      <c r="F1496" s="57"/>
      <c r="G1496" s="57"/>
      <c r="H1496" s="56"/>
      <c r="I1496" s="56"/>
      <c r="J1496" s="58"/>
      <c r="K1496" s="58"/>
      <c r="L1496" s="13" t="str">
        <f t="shared" si="230"/>
        <v/>
      </c>
      <c r="M1496" s="13" t="str">
        <f t="shared" si="231"/>
        <v/>
      </c>
      <c r="Q1496" t="str">
        <f t="shared" si="232"/>
        <v/>
      </c>
      <c r="R1496" t="str">
        <f t="shared" si="233"/>
        <v/>
      </c>
      <c r="S1496" t="str">
        <f t="shared" si="234"/>
        <v/>
      </c>
      <c r="T1496" t="str">
        <f t="shared" si="235"/>
        <v/>
      </c>
      <c r="U1496" t="str">
        <f t="shared" si="236"/>
        <v/>
      </c>
      <c r="V1496" t="str">
        <f t="shared" si="237"/>
        <v/>
      </c>
      <c r="W1496" t="str">
        <f t="shared" si="238"/>
        <v/>
      </c>
      <c r="X1496">
        <f>IF($T1496="",N($X1495),IF(MATCH($T1496,$T$6:$T$10005,0)=ROW()-5,N($X1495)+1,N($X1495)))</f>
        <v>0</v>
      </c>
      <c r="Z1496" t="str">
        <f t="shared" si="239"/>
        <v/>
      </c>
      <c r="AA1496">
        <f>IF($V1496="",N($AA1495),IF(MATCH($V1496,$V$6:$V$10005,0)=ROW()-5,N($AA1495)+1,N($AA1495)))</f>
        <v>0</v>
      </c>
    </row>
    <row r="1497" spans="1:27" ht="21" customHeight="1" x14ac:dyDescent="0.95">
      <c r="A1497" s="56"/>
      <c r="B1497" s="57"/>
      <c r="C1497" s="57"/>
      <c r="D1497" s="57"/>
      <c r="E1497" s="56"/>
      <c r="F1497" s="57"/>
      <c r="G1497" s="57"/>
      <c r="H1497" s="56"/>
      <c r="I1497" s="56"/>
      <c r="J1497" s="58"/>
      <c r="K1497" s="58"/>
      <c r="L1497" s="13" t="str">
        <f t="shared" si="230"/>
        <v/>
      </c>
      <c r="M1497" s="13" t="str">
        <f t="shared" si="231"/>
        <v/>
      </c>
      <c r="Q1497" t="str">
        <f t="shared" si="232"/>
        <v/>
      </c>
      <c r="R1497" t="str">
        <f t="shared" si="233"/>
        <v/>
      </c>
      <c r="S1497" t="str">
        <f t="shared" si="234"/>
        <v/>
      </c>
      <c r="T1497" t="str">
        <f t="shared" si="235"/>
        <v/>
      </c>
      <c r="U1497" t="str">
        <f t="shared" si="236"/>
        <v/>
      </c>
      <c r="V1497" t="str">
        <f t="shared" si="237"/>
        <v/>
      </c>
      <c r="W1497" t="str">
        <f t="shared" si="238"/>
        <v/>
      </c>
      <c r="X1497">
        <f>IF($T1497="",N($X1496),IF(MATCH($T1497,$T$6:$T$10005,0)=ROW()-5,N($X1496)+1,N($X1496)))</f>
        <v>0</v>
      </c>
      <c r="Z1497" t="str">
        <f t="shared" si="239"/>
        <v/>
      </c>
      <c r="AA1497">
        <f>IF($V1497="",N($AA1496),IF(MATCH($V1497,$V$6:$V$10005,0)=ROW()-5,N($AA1496)+1,N($AA1496)))</f>
        <v>0</v>
      </c>
    </row>
    <row r="1498" spans="1:27" ht="21" customHeight="1" x14ac:dyDescent="0.95">
      <c r="A1498" s="56"/>
      <c r="B1498" s="57"/>
      <c r="C1498" s="57"/>
      <c r="D1498" s="57"/>
      <c r="E1498" s="56"/>
      <c r="F1498" s="57"/>
      <c r="G1498" s="57"/>
      <c r="H1498" s="56"/>
      <c r="I1498" s="56"/>
      <c r="J1498" s="58"/>
      <c r="K1498" s="58"/>
      <c r="L1498" s="13" t="str">
        <f t="shared" si="230"/>
        <v/>
      </c>
      <c r="M1498" s="13" t="str">
        <f t="shared" si="231"/>
        <v/>
      </c>
      <c r="Q1498" t="str">
        <f t="shared" si="232"/>
        <v/>
      </c>
      <c r="R1498" t="str">
        <f t="shared" si="233"/>
        <v/>
      </c>
      <c r="S1498" t="str">
        <f t="shared" si="234"/>
        <v/>
      </c>
      <c r="T1498" t="str">
        <f t="shared" si="235"/>
        <v/>
      </c>
      <c r="U1498" t="str">
        <f t="shared" si="236"/>
        <v/>
      </c>
      <c r="V1498" t="str">
        <f t="shared" si="237"/>
        <v/>
      </c>
      <c r="W1498" t="str">
        <f t="shared" si="238"/>
        <v/>
      </c>
      <c r="X1498">
        <f>IF($T1498="",N($X1497),IF(MATCH($T1498,$T$6:$T$10005,0)=ROW()-5,N($X1497)+1,N($X1497)))</f>
        <v>0</v>
      </c>
      <c r="Z1498" t="str">
        <f t="shared" si="239"/>
        <v/>
      </c>
      <c r="AA1498">
        <f>IF($V1498="",N($AA1497),IF(MATCH($V1498,$V$6:$V$10005,0)=ROW()-5,N($AA1497)+1,N($AA1497)))</f>
        <v>0</v>
      </c>
    </row>
    <row r="1499" spans="1:27" ht="21" customHeight="1" x14ac:dyDescent="0.95">
      <c r="A1499" s="56"/>
      <c r="B1499" s="57"/>
      <c r="C1499" s="57"/>
      <c r="D1499" s="57"/>
      <c r="E1499" s="56"/>
      <c r="F1499" s="57"/>
      <c r="G1499" s="57"/>
      <c r="H1499" s="56"/>
      <c r="I1499" s="56"/>
      <c r="J1499" s="58"/>
      <c r="K1499" s="58"/>
      <c r="L1499" s="13" t="str">
        <f t="shared" si="230"/>
        <v/>
      </c>
      <c r="M1499" s="13" t="str">
        <f t="shared" si="231"/>
        <v/>
      </c>
      <c r="Q1499" t="str">
        <f t="shared" si="232"/>
        <v/>
      </c>
      <c r="R1499" t="str">
        <f t="shared" si="233"/>
        <v/>
      </c>
      <c r="S1499" t="str">
        <f t="shared" si="234"/>
        <v/>
      </c>
      <c r="T1499" t="str">
        <f t="shared" si="235"/>
        <v/>
      </c>
      <c r="U1499" t="str">
        <f t="shared" si="236"/>
        <v/>
      </c>
      <c r="V1499" t="str">
        <f t="shared" si="237"/>
        <v/>
      </c>
      <c r="W1499" t="str">
        <f t="shared" si="238"/>
        <v/>
      </c>
      <c r="X1499">
        <f>IF($T1499="",N($X1498),IF(MATCH($T1499,$T$6:$T$10005,0)=ROW()-5,N($X1498)+1,N($X1498)))</f>
        <v>0</v>
      </c>
      <c r="Z1499" t="str">
        <f t="shared" si="239"/>
        <v/>
      </c>
      <c r="AA1499">
        <f>IF($V1499="",N($AA1498),IF(MATCH($V1499,$V$6:$V$10005,0)=ROW()-5,N($AA1498)+1,N($AA1498)))</f>
        <v>0</v>
      </c>
    </row>
    <row r="1500" spans="1:27" ht="21" customHeight="1" x14ac:dyDescent="0.95">
      <c r="A1500" s="56"/>
      <c r="B1500" s="57"/>
      <c r="C1500" s="57"/>
      <c r="D1500" s="57"/>
      <c r="E1500" s="56"/>
      <c r="F1500" s="57"/>
      <c r="G1500" s="57"/>
      <c r="H1500" s="56"/>
      <c r="I1500" s="56"/>
      <c r="J1500" s="58"/>
      <c r="K1500" s="58"/>
      <c r="L1500" s="13" t="str">
        <f t="shared" si="230"/>
        <v/>
      </c>
      <c r="M1500" s="13" t="str">
        <f t="shared" si="231"/>
        <v/>
      </c>
      <c r="Q1500" t="str">
        <f t="shared" si="232"/>
        <v/>
      </c>
      <c r="R1500" t="str">
        <f t="shared" si="233"/>
        <v/>
      </c>
      <c r="S1500" t="str">
        <f t="shared" si="234"/>
        <v/>
      </c>
      <c r="T1500" t="str">
        <f t="shared" si="235"/>
        <v/>
      </c>
      <c r="U1500" t="str">
        <f t="shared" si="236"/>
        <v/>
      </c>
      <c r="V1500" t="str">
        <f t="shared" si="237"/>
        <v/>
      </c>
      <c r="W1500" t="str">
        <f t="shared" si="238"/>
        <v/>
      </c>
      <c r="X1500">
        <f>IF($T1500="",N($X1499),IF(MATCH($T1500,$T$6:$T$10005,0)=ROW()-5,N($X1499)+1,N($X1499)))</f>
        <v>0</v>
      </c>
      <c r="Z1500" t="str">
        <f t="shared" si="239"/>
        <v/>
      </c>
      <c r="AA1500">
        <f>IF($V1500="",N($AA1499),IF(MATCH($V1500,$V$6:$V$10005,0)=ROW()-5,N($AA1499)+1,N($AA1499)))</f>
        <v>0</v>
      </c>
    </row>
    <row r="1501" spans="1:27" ht="21" customHeight="1" x14ac:dyDescent="0.95">
      <c r="A1501" s="56"/>
      <c r="B1501" s="57"/>
      <c r="C1501" s="57"/>
      <c r="D1501" s="57"/>
      <c r="E1501" s="56"/>
      <c r="F1501" s="57"/>
      <c r="G1501" s="57"/>
      <c r="H1501" s="56"/>
      <c r="I1501" s="56"/>
      <c r="J1501" s="58"/>
      <c r="K1501" s="58"/>
      <c r="L1501" s="13" t="str">
        <f t="shared" si="230"/>
        <v/>
      </c>
      <c r="M1501" s="13" t="str">
        <f t="shared" si="231"/>
        <v/>
      </c>
      <c r="Q1501" t="str">
        <f t="shared" si="232"/>
        <v/>
      </c>
      <c r="R1501" t="str">
        <f t="shared" si="233"/>
        <v/>
      </c>
      <c r="S1501" t="str">
        <f t="shared" si="234"/>
        <v/>
      </c>
      <c r="T1501" t="str">
        <f t="shared" si="235"/>
        <v/>
      </c>
      <c r="U1501" t="str">
        <f t="shared" si="236"/>
        <v/>
      </c>
      <c r="V1501" t="str">
        <f t="shared" si="237"/>
        <v/>
      </c>
      <c r="W1501" t="str">
        <f t="shared" si="238"/>
        <v/>
      </c>
      <c r="X1501">
        <f>IF($T1501="",N($X1500),IF(MATCH($T1501,$T$6:$T$10005,0)=ROW()-5,N($X1500)+1,N($X1500)))</f>
        <v>0</v>
      </c>
      <c r="Z1501" t="str">
        <f t="shared" si="239"/>
        <v/>
      </c>
      <c r="AA1501">
        <f>IF($V1501="",N($AA1500),IF(MATCH($V1501,$V$6:$V$10005,0)=ROW()-5,N($AA1500)+1,N($AA1500)))</f>
        <v>0</v>
      </c>
    </row>
    <row r="1502" spans="1:27" ht="21" customHeight="1" x14ac:dyDescent="0.95">
      <c r="A1502" s="56"/>
      <c r="B1502" s="57"/>
      <c r="C1502" s="57"/>
      <c r="D1502" s="57"/>
      <c r="E1502" s="56"/>
      <c r="F1502" s="57"/>
      <c r="G1502" s="57"/>
      <c r="H1502" s="56"/>
      <c r="I1502" s="56"/>
      <c r="J1502" s="58"/>
      <c r="K1502" s="58"/>
      <c r="L1502" s="13" t="str">
        <f t="shared" si="230"/>
        <v/>
      </c>
      <c r="M1502" s="13" t="str">
        <f t="shared" si="231"/>
        <v/>
      </c>
      <c r="Q1502" t="str">
        <f t="shared" si="232"/>
        <v/>
      </c>
      <c r="R1502" t="str">
        <f t="shared" si="233"/>
        <v/>
      </c>
      <c r="S1502" t="str">
        <f t="shared" si="234"/>
        <v/>
      </c>
      <c r="T1502" t="str">
        <f t="shared" si="235"/>
        <v/>
      </c>
      <c r="U1502" t="str">
        <f t="shared" si="236"/>
        <v/>
      </c>
      <c r="V1502" t="str">
        <f t="shared" si="237"/>
        <v/>
      </c>
      <c r="W1502" t="str">
        <f t="shared" si="238"/>
        <v/>
      </c>
      <c r="X1502">
        <f>IF($T1502="",N($X1501),IF(MATCH($T1502,$T$6:$T$10005,0)=ROW()-5,N($X1501)+1,N($X1501)))</f>
        <v>0</v>
      </c>
      <c r="Z1502" t="str">
        <f t="shared" si="239"/>
        <v/>
      </c>
      <c r="AA1502">
        <f>IF($V1502="",N($AA1501),IF(MATCH($V1502,$V$6:$V$10005,0)=ROW()-5,N($AA1501)+1,N($AA1501)))</f>
        <v>0</v>
      </c>
    </row>
    <row r="1503" spans="1:27" ht="21" customHeight="1" x14ac:dyDescent="0.95">
      <c r="A1503" s="56"/>
      <c r="B1503" s="57"/>
      <c r="C1503" s="57"/>
      <c r="D1503" s="57"/>
      <c r="E1503" s="56"/>
      <c r="F1503" s="57"/>
      <c r="G1503" s="57"/>
      <c r="H1503" s="56"/>
      <c r="I1503" s="56"/>
      <c r="J1503" s="58"/>
      <c r="K1503" s="58"/>
      <c r="L1503" s="13" t="str">
        <f t="shared" si="230"/>
        <v/>
      </c>
      <c r="M1503" s="13" t="str">
        <f t="shared" si="231"/>
        <v/>
      </c>
      <c r="Q1503" t="str">
        <f t="shared" si="232"/>
        <v/>
      </c>
      <c r="R1503" t="str">
        <f t="shared" si="233"/>
        <v/>
      </c>
      <c r="S1503" t="str">
        <f t="shared" si="234"/>
        <v/>
      </c>
      <c r="T1503" t="str">
        <f t="shared" si="235"/>
        <v/>
      </c>
      <c r="U1503" t="str">
        <f t="shared" si="236"/>
        <v/>
      </c>
      <c r="V1503" t="str">
        <f t="shared" si="237"/>
        <v/>
      </c>
      <c r="W1503" t="str">
        <f t="shared" si="238"/>
        <v/>
      </c>
      <c r="X1503">
        <f>IF($T1503="",N($X1502),IF(MATCH($T1503,$T$6:$T$10005,0)=ROW()-5,N($X1502)+1,N($X1502)))</f>
        <v>0</v>
      </c>
      <c r="Z1503" t="str">
        <f t="shared" si="239"/>
        <v/>
      </c>
      <c r="AA1503">
        <f>IF($V1503="",N($AA1502),IF(MATCH($V1503,$V$6:$V$10005,0)=ROW()-5,N($AA1502)+1,N($AA1502)))</f>
        <v>0</v>
      </c>
    </row>
    <row r="1504" spans="1:27" ht="21" customHeight="1" x14ac:dyDescent="0.95">
      <c r="A1504" s="56"/>
      <c r="B1504" s="57"/>
      <c r="C1504" s="57"/>
      <c r="D1504" s="57"/>
      <c r="E1504" s="56"/>
      <c r="F1504" s="57"/>
      <c r="G1504" s="57"/>
      <c r="H1504" s="56"/>
      <c r="I1504" s="56"/>
      <c r="J1504" s="58"/>
      <c r="K1504" s="58"/>
      <c r="L1504" s="13" t="str">
        <f t="shared" si="230"/>
        <v/>
      </c>
      <c r="M1504" s="13" t="str">
        <f t="shared" si="231"/>
        <v/>
      </c>
      <c r="Q1504" t="str">
        <f t="shared" si="232"/>
        <v/>
      </c>
      <c r="R1504" t="str">
        <f t="shared" si="233"/>
        <v/>
      </c>
      <c r="S1504" t="str">
        <f t="shared" si="234"/>
        <v/>
      </c>
      <c r="T1504" t="str">
        <f t="shared" si="235"/>
        <v/>
      </c>
      <c r="U1504" t="str">
        <f t="shared" si="236"/>
        <v/>
      </c>
      <c r="V1504" t="str">
        <f t="shared" si="237"/>
        <v/>
      </c>
      <c r="W1504" t="str">
        <f t="shared" si="238"/>
        <v/>
      </c>
      <c r="X1504">
        <f>IF($T1504="",N($X1503),IF(MATCH($T1504,$T$6:$T$10005,0)=ROW()-5,N($X1503)+1,N($X1503)))</f>
        <v>0</v>
      </c>
      <c r="Z1504" t="str">
        <f t="shared" si="239"/>
        <v/>
      </c>
      <c r="AA1504">
        <f>IF($V1504="",N($AA1503),IF(MATCH($V1504,$V$6:$V$10005,0)=ROW()-5,N($AA1503)+1,N($AA1503)))</f>
        <v>0</v>
      </c>
    </row>
    <row r="1505" spans="1:27" ht="21" customHeight="1" x14ac:dyDescent="0.95">
      <c r="A1505" s="56"/>
      <c r="B1505" s="57"/>
      <c r="C1505" s="57"/>
      <c r="D1505" s="57"/>
      <c r="E1505" s="56"/>
      <c r="F1505" s="57"/>
      <c r="G1505" s="57"/>
      <c r="H1505" s="56"/>
      <c r="I1505" s="56"/>
      <c r="J1505" s="58"/>
      <c r="K1505" s="58"/>
      <c r="L1505" s="13" t="str">
        <f t="shared" si="230"/>
        <v/>
      </c>
      <c r="M1505" s="13" t="str">
        <f t="shared" si="231"/>
        <v/>
      </c>
      <c r="Q1505" t="str">
        <f t="shared" si="232"/>
        <v/>
      </c>
      <c r="R1505" t="str">
        <f t="shared" si="233"/>
        <v/>
      </c>
      <c r="S1505" t="str">
        <f t="shared" si="234"/>
        <v/>
      </c>
      <c r="T1505" t="str">
        <f t="shared" si="235"/>
        <v/>
      </c>
      <c r="U1505" t="str">
        <f t="shared" si="236"/>
        <v/>
      </c>
      <c r="V1505" t="str">
        <f t="shared" si="237"/>
        <v/>
      </c>
      <c r="W1505" t="str">
        <f t="shared" si="238"/>
        <v/>
      </c>
      <c r="X1505">
        <f>IF($T1505="",N($X1504),IF(MATCH($T1505,$T$6:$T$10005,0)=ROW()-5,N($X1504)+1,N($X1504)))</f>
        <v>0</v>
      </c>
      <c r="Z1505" t="str">
        <f t="shared" si="239"/>
        <v/>
      </c>
      <c r="AA1505">
        <f>IF($V1505="",N($AA1504),IF(MATCH($V1505,$V$6:$V$10005,0)=ROW()-5,N($AA1504)+1,N($AA1504)))</f>
        <v>0</v>
      </c>
    </row>
    <row r="1506" spans="1:27" ht="21" customHeight="1" x14ac:dyDescent="0.95">
      <c r="A1506" s="56"/>
      <c r="B1506" s="57"/>
      <c r="C1506" s="57"/>
      <c r="D1506" s="57"/>
      <c r="E1506" s="56"/>
      <c r="F1506" s="57"/>
      <c r="G1506" s="57"/>
      <c r="H1506" s="56"/>
      <c r="I1506" s="56"/>
      <c r="J1506" s="58"/>
      <c r="K1506" s="58"/>
      <c r="L1506" s="13" t="str">
        <f t="shared" si="230"/>
        <v/>
      </c>
      <c r="M1506" s="13" t="str">
        <f t="shared" si="231"/>
        <v/>
      </c>
      <c r="Q1506" t="str">
        <f t="shared" si="232"/>
        <v/>
      </c>
      <c r="R1506" t="str">
        <f t="shared" si="233"/>
        <v/>
      </c>
      <c r="S1506" t="str">
        <f t="shared" si="234"/>
        <v/>
      </c>
      <c r="T1506" t="str">
        <f t="shared" si="235"/>
        <v/>
      </c>
      <c r="U1506" t="str">
        <f t="shared" si="236"/>
        <v/>
      </c>
      <c r="V1506" t="str">
        <f t="shared" si="237"/>
        <v/>
      </c>
      <c r="W1506" t="str">
        <f t="shared" si="238"/>
        <v/>
      </c>
      <c r="X1506">
        <f>IF($T1506="",N($X1505),IF(MATCH($T1506,$T$6:$T$10005,0)=ROW()-5,N($X1505)+1,N($X1505)))</f>
        <v>0</v>
      </c>
      <c r="Z1506" t="str">
        <f t="shared" si="239"/>
        <v/>
      </c>
      <c r="AA1506">
        <f>IF($V1506="",N($AA1505),IF(MATCH($V1506,$V$6:$V$10005,0)=ROW()-5,N($AA1505)+1,N($AA1505)))</f>
        <v>0</v>
      </c>
    </row>
    <row r="1507" spans="1:27" ht="21" customHeight="1" x14ac:dyDescent="0.95">
      <c r="A1507" s="56"/>
      <c r="B1507" s="57"/>
      <c r="C1507" s="57"/>
      <c r="D1507" s="57"/>
      <c r="E1507" s="56"/>
      <c r="F1507" s="57"/>
      <c r="G1507" s="57"/>
      <c r="H1507" s="56"/>
      <c r="I1507" s="56"/>
      <c r="J1507" s="58"/>
      <c r="K1507" s="58"/>
      <c r="L1507" s="13" t="str">
        <f t="shared" si="230"/>
        <v/>
      </c>
      <c r="M1507" s="13" t="str">
        <f t="shared" si="231"/>
        <v/>
      </c>
      <c r="Q1507" t="str">
        <f t="shared" si="232"/>
        <v/>
      </c>
      <c r="R1507" t="str">
        <f t="shared" si="233"/>
        <v/>
      </c>
      <c r="S1507" t="str">
        <f t="shared" si="234"/>
        <v/>
      </c>
      <c r="T1507" t="str">
        <f t="shared" si="235"/>
        <v/>
      </c>
      <c r="U1507" t="str">
        <f t="shared" si="236"/>
        <v/>
      </c>
      <c r="V1507" t="str">
        <f t="shared" si="237"/>
        <v/>
      </c>
      <c r="W1507" t="str">
        <f t="shared" si="238"/>
        <v/>
      </c>
      <c r="X1507">
        <f>IF($T1507="",N($X1506),IF(MATCH($T1507,$T$6:$T$10005,0)=ROW()-5,N($X1506)+1,N($X1506)))</f>
        <v>0</v>
      </c>
      <c r="Z1507" t="str">
        <f t="shared" si="239"/>
        <v/>
      </c>
      <c r="AA1507">
        <f>IF($V1507="",N($AA1506),IF(MATCH($V1507,$V$6:$V$10005,0)=ROW()-5,N($AA1506)+1,N($AA1506)))</f>
        <v>0</v>
      </c>
    </row>
    <row r="1508" spans="1:27" ht="21" customHeight="1" x14ac:dyDescent="0.95">
      <c r="A1508" s="56"/>
      <c r="B1508" s="57"/>
      <c r="C1508" s="57"/>
      <c r="D1508" s="57"/>
      <c r="E1508" s="56"/>
      <c r="F1508" s="57"/>
      <c r="G1508" s="57"/>
      <c r="H1508" s="56"/>
      <c r="I1508" s="56"/>
      <c r="J1508" s="58"/>
      <c r="K1508" s="58"/>
      <c r="L1508" s="13" t="str">
        <f t="shared" si="230"/>
        <v/>
      </c>
      <c r="M1508" s="13" t="str">
        <f t="shared" si="231"/>
        <v/>
      </c>
      <c r="Q1508" t="str">
        <f t="shared" si="232"/>
        <v/>
      </c>
      <c r="R1508" t="str">
        <f t="shared" si="233"/>
        <v/>
      </c>
      <c r="S1508" t="str">
        <f t="shared" si="234"/>
        <v/>
      </c>
      <c r="T1508" t="str">
        <f t="shared" si="235"/>
        <v/>
      </c>
      <c r="U1508" t="str">
        <f t="shared" si="236"/>
        <v/>
      </c>
      <c r="V1508" t="str">
        <f t="shared" si="237"/>
        <v/>
      </c>
      <c r="W1508" t="str">
        <f t="shared" si="238"/>
        <v/>
      </c>
      <c r="X1508">
        <f>IF($T1508="",N($X1507),IF(MATCH($T1508,$T$6:$T$10005,0)=ROW()-5,N($X1507)+1,N($X1507)))</f>
        <v>0</v>
      </c>
      <c r="Z1508" t="str">
        <f t="shared" si="239"/>
        <v/>
      </c>
      <c r="AA1508">
        <f>IF($V1508="",N($AA1507),IF(MATCH($V1508,$V$6:$V$10005,0)=ROW()-5,N($AA1507)+1,N($AA1507)))</f>
        <v>0</v>
      </c>
    </row>
    <row r="1509" spans="1:27" ht="21" customHeight="1" x14ac:dyDescent="0.95">
      <c r="A1509" s="56"/>
      <c r="B1509" s="57"/>
      <c r="C1509" s="57"/>
      <c r="D1509" s="57"/>
      <c r="E1509" s="56"/>
      <c r="F1509" s="57"/>
      <c r="G1509" s="57"/>
      <c r="H1509" s="56"/>
      <c r="I1509" s="56"/>
      <c r="J1509" s="58"/>
      <c r="K1509" s="58"/>
      <c r="L1509" s="13" t="str">
        <f t="shared" si="230"/>
        <v/>
      </c>
      <c r="M1509" s="13" t="str">
        <f t="shared" si="231"/>
        <v/>
      </c>
      <c r="Q1509" t="str">
        <f t="shared" si="232"/>
        <v/>
      </c>
      <c r="R1509" t="str">
        <f t="shared" si="233"/>
        <v/>
      </c>
      <c r="S1509" t="str">
        <f t="shared" si="234"/>
        <v/>
      </c>
      <c r="T1509" t="str">
        <f t="shared" si="235"/>
        <v/>
      </c>
      <c r="U1509" t="str">
        <f t="shared" si="236"/>
        <v/>
      </c>
      <c r="V1509" t="str">
        <f t="shared" si="237"/>
        <v/>
      </c>
      <c r="W1509" t="str">
        <f t="shared" si="238"/>
        <v/>
      </c>
      <c r="X1509">
        <f>IF($T1509="",N($X1508),IF(MATCH($T1509,$T$6:$T$10005,0)=ROW()-5,N($X1508)+1,N($X1508)))</f>
        <v>0</v>
      </c>
      <c r="Z1509" t="str">
        <f t="shared" si="239"/>
        <v/>
      </c>
      <c r="AA1509">
        <f>IF($V1509="",N($AA1508),IF(MATCH($V1509,$V$6:$V$10005,0)=ROW()-5,N($AA1508)+1,N($AA1508)))</f>
        <v>0</v>
      </c>
    </row>
    <row r="1510" spans="1:27" ht="21" customHeight="1" x14ac:dyDescent="0.95">
      <c r="A1510" s="56"/>
      <c r="B1510" s="57"/>
      <c r="C1510" s="57"/>
      <c r="D1510" s="57"/>
      <c r="E1510" s="56"/>
      <c r="F1510" s="57"/>
      <c r="G1510" s="57"/>
      <c r="H1510" s="56"/>
      <c r="I1510" s="56"/>
      <c r="J1510" s="58"/>
      <c r="K1510" s="58"/>
      <c r="L1510" s="13" t="str">
        <f t="shared" si="230"/>
        <v/>
      </c>
      <c r="M1510" s="13" t="str">
        <f t="shared" si="231"/>
        <v/>
      </c>
      <c r="Q1510" t="str">
        <f t="shared" si="232"/>
        <v/>
      </c>
      <c r="R1510" t="str">
        <f t="shared" si="233"/>
        <v/>
      </c>
      <c r="S1510" t="str">
        <f t="shared" si="234"/>
        <v/>
      </c>
      <c r="T1510" t="str">
        <f t="shared" si="235"/>
        <v/>
      </c>
      <c r="U1510" t="str">
        <f t="shared" si="236"/>
        <v/>
      </c>
      <c r="V1510" t="str">
        <f t="shared" si="237"/>
        <v/>
      </c>
      <c r="W1510" t="str">
        <f t="shared" si="238"/>
        <v/>
      </c>
      <c r="X1510">
        <f>IF($T1510="",N($X1509),IF(MATCH($T1510,$T$6:$T$10005,0)=ROW()-5,N($X1509)+1,N($X1509)))</f>
        <v>0</v>
      </c>
      <c r="Z1510" t="str">
        <f t="shared" si="239"/>
        <v/>
      </c>
      <c r="AA1510">
        <f>IF($V1510="",N($AA1509),IF(MATCH($V1510,$V$6:$V$10005,0)=ROW()-5,N($AA1509)+1,N($AA1509)))</f>
        <v>0</v>
      </c>
    </row>
    <row r="1511" spans="1:27" ht="21" customHeight="1" x14ac:dyDescent="0.95">
      <c r="A1511" s="56"/>
      <c r="B1511" s="57"/>
      <c r="C1511" s="57"/>
      <c r="D1511" s="57"/>
      <c r="E1511" s="56"/>
      <c r="F1511" s="57"/>
      <c r="G1511" s="57"/>
      <c r="H1511" s="56"/>
      <c r="I1511" s="56"/>
      <c r="J1511" s="58"/>
      <c r="K1511" s="58"/>
      <c r="L1511" s="13" t="str">
        <f t="shared" si="230"/>
        <v/>
      </c>
      <c r="M1511" s="13" t="str">
        <f t="shared" si="231"/>
        <v/>
      </c>
      <c r="Q1511" t="str">
        <f t="shared" si="232"/>
        <v/>
      </c>
      <c r="R1511" t="str">
        <f t="shared" si="233"/>
        <v/>
      </c>
      <c r="S1511" t="str">
        <f t="shared" si="234"/>
        <v/>
      </c>
      <c r="T1511" t="str">
        <f t="shared" si="235"/>
        <v/>
      </c>
      <c r="U1511" t="str">
        <f t="shared" si="236"/>
        <v/>
      </c>
      <c r="V1511" t="str">
        <f t="shared" si="237"/>
        <v/>
      </c>
      <c r="W1511" t="str">
        <f t="shared" si="238"/>
        <v/>
      </c>
      <c r="X1511">
        <f>IF($T1511="",N($X1510),IF(MATCH($T1511,$T$6:$T$10005,0)=ROW()-5,N($X1510)+1,N($X1510)))</f>
        <v>0</v>
      </c>
      <c r="Z1511" t="str">
        <f t="shared" si="239"/>
        <v/>
      </c>
      <c r="AA1511">
        <f>IF($V1511="",N($AA1510),IF(MATCH($V1511,$V$6:$V$10005,0)=ROW()-5,N($AA1510)+1,N($AA1510)))</f>
        <v>0</v>
      </c>
    </row>
    <row r="1512" spans="1:27" ht="21" customHeight="1" x14ac:dyDescent="0.95">
      <c r="A1512" s="56"/>
      <c r="B1512" s="57"/>
      <c r="C1512" s="57"/>
      <c r="D1512" s="57"/>
      <c r="E1512" s="56"/>
      <c r="F1512" s="57"/>
      <c r="G1512" s="57"/>
      <c r="H1512" s="56"/>
      <c r="I1512" s="56"/>
      <c r="J1512" s="58"/>
      <c r="K1512" s="58"/>
      <c r="L1512" s="13" t="str">
        <f t="shared" si="230"/>
        <v/>
      </c>
      <c r="M1512" s="13" t="str">
        <f t="shared" si="231"/>
        <v/>
      </c>
      <c r="Q1512" t="str">
        <f t="shared" si="232"/>
        <v/>
      </c>
      <c r="R1512" t="str">
        <f t="shared" si="233"/>
        <v/>
      </c>
      <c r="S1512" t="str">
        <f t="shared" si="234"/>
        <v/>
      </c>
      <c r="T1512" t="str">
        <f t="shared" si="235"/>
        <v/>
      </c>
      <c r="U1512" t="str">
        <f t="shared" si="236"/>
        <v/>
      </c>
      <c r="V1512" t="str">
        <f t="shared" si="237"/>
        <v/>
      </c>
      <c r="W1512" t="str">
        <f t="shared" si="238"/>
        <v/>
      </c>
      <c r="X1512">
        <f>IF($T1512="",N($X1511),IF(MATCH($T1512,$T$6:$T$10005,0)=ROW()-5,N($X1511)+1,N($X1511)))</f>
        <v>0</v>
      </c>
      <c r="Z1512" t="str">
        <f t="shared" si="239"/>
        <v/>
      </c>
      <c r="AA1512">
        <f>IF($V1512="",N($AA1511),IF(MATCH($V1512,$V$6:$V$10005,0)=ROW()-5,N($AA1511)+1,N($AA1511)))</f>
        <v>0</v>
      </c>
    </row>
    <row r="1513" spans="1:27" ht="21" customHeight="1" x14ac:dyDescent="0.95">
      <c r="A1513" s="56"/>
      <c r="B1513" s="57"/>
      <c r="C1513" s="57"/>
      <c r="D1513" s="57"/>
      <c r="E1513" s="56"/>
      <c r="F1513" s="57"/>
      <c r="G1513" s="57"/>
      <c r="H1513" s="56"/>
      <c r="I1513" s="56"/>
      <c r="J1513" s="58"/>
      <c r="K1513" s="58"/>
      <c r="L1513" s="13" t="str">
        <f t="shared" si="230"/>
        <v/>
      </c>
      <c r="M1513" s="13" t="str">
        <f t="shared" si="231"/>
        <v/>
      </c>
      <c r="Q1513" t="str">
        <f t="shared" si="232"/>
        <v/>
      </c>
      <c r="R1513" t="str">
        <f t="shared" si="233"/>
        <v/>
      </c>
      <c r="S1513" t="str">
        <f t="shared" si="234"/>
        <v/>
      </c>
      <c r="T1513" t="str">
        <f t="shared" si="235"/>
        <v/>
      </c>
      <c r="U1513" t="str">
        <f t="shared" si="236"/>
        <v/>
      </c>
      <c r="V1513" t="str">
        <f t="shared" si="237"/>
        <v/>
      </c>
      <c r="W1513" t="str">
        <f t="shared" si="238"/>
        <v/>
      </c>
      <c r="X1513">
        <f>IF($T1513="",N($X1512),IF(MATCH($T1513,$T$6:$T$10005,0)=ROW()-5,N($X1512)+1,N($X1512)))</f>
        <v>0</v>
      </c>
      <c r="Z1513" t="str">
        <f t="shared" si="239"/>
        <v/>
      </c>
      <c r="AA1513">
        <f>IF($V1513="",N($AA1512),IF(MATCH($V1513,$V$6:$V$10005,0)=ROW()-5,N($AA1512)+1,N($AA1512)))</f>
        <v>0</v>
      </c>
    </row>
    <row r="1514" spans="1:27" ht="21" customHeight="1" x14ac:dyDescent="0.95">
      <c r="A1514" s="56"/>
      <c r="B1514" s="57"/>
      <c r="C1514" s="57"/>
      <c r="D1514" s="57"/>
      <c r="E1514" s="56"/>
      <c r="F1514" s="57"/>
      <c r="G1514" s="57"/>
      <c r="H1514" s="56"/>
      <c r="I1514" s="56"/>
      <c r="J1514" s="58"/>
      <c r="K1514" s="58"/>
      <c r="L1514" s="13" t="str">
        <f t="shared" si="230"/>
        <v/>
      </c>
      <c r="M1514" s="13" t="str">
        <f t="shared" si="231"/>
        <v/>
      </c>
      <c r="Q1514" t="str">
        <f t="shared" si="232"/>
        <v/>
      </c>
      <c r="R1514" t="str">
        <f t="shared" si="233"/>
        <v/>
      </c>
      <c r="S1514" t="str">
        <f t="shared" si="234"/>
        <v/>
      </c>
      <c r="T1514" t="str">
        <f t="shared" si="235"/>
        <v/>
      </c>
      <c r="U1514" t="str">
        <f t="shared" si="236"/>
        <v/>
      </c>
      <c r="V1514" t="str">
        <f t="shared" si="237"/>
        <v/>
      </c>
      <c r="W1514" t="str">
        <f t="shared" si="238"/>
        <v/>
      </c>
      <c r="X1514">
        <f>IF($T1514="",N($X1513),IF(MATCH($T1514,$T$6:$T$10005,0)=ROW()-5,N($X1513)+1,N($X1513)))</f>
        <v>0</v>
      </c>
      <c r="Z1514" t="str">
        <f t="shared" si="239"/>
        <v/>
      </c>
      <c r="AA1514">
        <f>IF($V1514="",N($AA1513),IF(MATCH($V1514,$V$6:$V$10005,0)=ROW()-5,N($AA1513)+1,N($AA1513)))</f>
        <v>0</v>
      </c>
    </row>
    <row r="1515" spans="1:27" ht="21" customHeight="1" x14ac:dyDescent="0.95">
      <c r="A1515" s="56"/>
      <c r="B1515" s="57"/>
      <c r="C1515" s="57"/>
      <c r="D1515" s="57"/>
      <c r="E1515" s="56"/>
      <c r="F1515" s="57"/>
      <c r="G1515" s="57"/>
      <c r="H1515" s="56"/>
      <c r="I1515" s="56"/>
      <c r="J1515" s="58"/>
      <c r="K1515" s="58"/>
      <c r="L1515" s="13" t="str">
        <f t="shared" si="230"/>
        <v/>
      </c>
      <c r="M1515" s="13" t="str">
        <f t="shared" si="231"/>
        <v/>
      </c>
      <c r="Q1515" t="str">
        <f t="shared" si="232"/>
        <v/>
      </c>
      <c r="R1515" t="str">
        <f t="shared" si="233"/>
        <v/>
      </c>
      <c r="S1515" t="str">
        <f t="shared" si="234"/>
        <v/>
      </c>
      <c r="T1515" t="str">
        <f t="shared" si="235"/>
        <v/>
      </c>
      <c r="U1515" t="str">
        <f t="shared" si="236"/>
        <v/>
      </c>
      <c r="V1515" t="str">
        <f t="shared" si="237"/>
        <v/>
      </c>
      <c r="W1515" t="str">
        <f t="shared" si="238"/>
        <v/>
      </c>
      <c r="X1515">
        <f>IF($T1515="",N($X1514),IF(MATCH($T1515,$T$6:$T$10005,0)=ROW()-5,N($X1514)+1,N($X1514)))</f>
        <v>0</v>
      </c>
      <c r="Z1515" t="str">
        <f t="shared" si="239"/>
        <v/>
      </c>
      <c r="AA1515">
        <f>IF($V1515="",N($AA1514),IF(MATCH($V1515,$V$6:$V$10005,0)=ROW()-5,N($AA1514)+1,N($AA1514)))</f>
        <v>0</v>
      </c>
    </row>
    <row r="1516" spans="1:27" ht="21" customHeight="1" x14ac:dyDescent="0.95">
      <c r="A1516" s="56"/>
      <c r="B1516" s="57"/>
      <c r="C1516" s="57"/>
      <c r="D1516" s="57"/>
      <c r="E1516" s="56"/>
      <c r="F1516" s="57"/>
      <c r="G1516" s="57"/>
      <c r="H1516" s="56"/>
      <c r="I1516" s="56"/>
      <c r="J1516" s="58"/>
      <c r="K1516" s="58"/>
      <c r="L1516" s="13" t="str">
        <f t="shared" si="230"/>
        <v/>
      </c>
      <c r="M1516" s="13" t="str">
        <f t="shared" si="231"/>
        <v/>
      </c>
      <c r="Q1516" t="str">
        <f t="shared" si="232"/>
        <v/>
      </c>
      <c r="R1516" t="str">
        <f t="shared" si="233"/>
        <v/>
      </c>
      <c r="S1516" t="str">
        <f t="shared" si="234"/>
        <v/>
      </c>
      <c r="T1516" t="str">
        <f t="shared" si="235"/>
        <v/>
      </c>
      <c r="U1516" t="str">
        <f t="shared" si="236"/>
        <v/>
      </c>
      <c r="V1516" t="str">
        <f t="shared" si="237"/>
        <v/>
      </c>
      <c r="W1516" t="str">
        <f t="shared" si="238"/>
        <v/>
      </c>
      <c r="X1516">
        <f>IF($T1516="",N($X1515),IF(MATCH($T1516,$T$6:$T$10005,0)=ROW()-5,N($X1515)+1,N($X1515)))</f>
        <v>0</v>
      </c>
      <c r="Z1516" t="str">
        <f t="shared" si="239"/>
        <v/>
      </c>
      <c r="AA1516">
        <f>IF($V1516="",N($AA1515),IF(MATCH($V1516,$V$6:$V$10005,0)=ROW()-5,N($AA1515)+1,N($AA1515)))</f>
        <v>0</v>
      </c>
    </row>
    <row r="1517" spans="1:27" ht="21" customHeight="1" x14ac:dyDescent="0.95">
      <c r="A1517" s="56"/>
      <c r="B1517" s="57"/>
      <c r="C1517" s="57"/>
      <c r="D1517" s="57"/>
      <c r="E1517" s="56"/>
      <c r="F1517" s="57"/>
      <c r="G1517" s="57"/>
      <c r="H1517" s="56"/>
      <c r="I1517" s="56"/>
      <c r="J1517" s="58"/>
      <c r="K1517" s="58"/>
      <c r="L1517" s="13" t="str">
        <f t="shared" si="230"/>
        <v/>
      </c>
      <c r="M1517" s="13" t="str">
        <f t="shared" si="231"/>
        <v/>
      </c>
      <c r="Q1517" t="str">
        <f t="shared" si="232"/>
        <v/>
      </c>
      <c r="R1517" t="str">
        <f t="shared" si="233"/>
        <v/>
      </c>
      <c r="S1517" t="str">
        <f t="shared" si="234"/>
        <v/>
      </c>
      <c r="T1517" t="str">
        <f t="shared" si="235"/>
        <v/>
      </c>
      <c r="U1517" t="str">
        <f t="shared" si="236"/>
        <v/>
      </c>
      <c r="V1517" t="str">
        <f t="shared" si="237"/>
        <v/>
      </c>
      <c r="W1517" t="str">
        <f t="shared" si="238"/>
        <v/>
      </c>
      <c r="X1517">
        <f>IF($T1517="",N($X1516),IF(MATCH($T1517,$T$6:$T$10005,0)=ROW()-5,N($X1516)+1,N($X1516)))</f>
        <v>0</v>
      </c>
      <c r="Z1517" t="str">
        <f t="shared" si="239"/>
        <v/>
      </c>
      <c r="AA1517">
        <f>IF($V1517="",N($AA1516),IF(MATCH($V1517,$V$6:$V$10005,0)=ROW()-5,N($AA1516)+1,N($AA1516)))</f>
        <v>0</v>
      </c>
    </row>
    <row r="1518" spans="1:27" ht="21" customHeight="1" x14ac:dyDescent="0.95">
      <c r="A1518" s="56"/>
      <c r="B1518" s="57"/>
      <c r="C1518" s="57"/>
      <c r="D1518" s="57"/>
      <c r="E1518" s="56"/>
      <c r="F1518" s="57"/>
      <c r="G1518" s="57"/>
      <c r="H1518" s="56"/>
      <c r="I1518" s="56"/>
      <c r="J1518" s="58"/>
      <c r="K1518" s="58"/>
      <c r="L1518" s="13" t="str">
        <f t="shared" si="230"/>
        <v/>
      </c>
      <c r="M1518" s="13" t="str">
        <f t="shared" si="231"/>
        <v/>
      </c>
      <c r="Q1518" t="str">
        <f t="shared" si="232"/>
        <v/>
      </c>
      <c r="R1518" t="str">
        <f t="shared" si="233"/>
        <v/>
      </c>
      <c r="S1518" t="str">
        <f t="shared" si="234"/>
        <v/>
      </c>
      <c r="T1518" t="str">
        <f t="shared" si="235"/>
        <v/>
      </c>
      <c r="U1518" t="str">
        <f t="shared" si="236"/>
        <v/>
      </c>
      <c r="V1518" t="str">
        <f t="shared" si="237"/>
        <v/>
      </c>
      <c r="W1518" t="str">
        <f t="shared" si="238"/>
        <v/>
      </c>
      <c r="X1518">
        <f>IF($T1518="",N($X1517),IF(MATCH($T1518,$T$6:$T$10005,0)=ROW()-5,N($X1517)+1,N($X1517)))</f>
        <v>0</v>
      </c>
      <c r="Z1518" t="str">
        <f t="shared" si="239"/>
        <v/>
      </c>
      <c r="AA1518">
        <f>IF($V1518="",N($AA1517),IF(MATCH($V1518,$V$6:$V$10005,0)=ROW()-5,N($AA1517)+1,N($AA1517)))</f>
        <v>0</v>
      </c>
    </row>
    <row r="1519" spans="1:27" ht="21" customHeight="1" x14ac:dyDescent="0.95">
      <c r="A1519" s="56"/>
      <c r="B1519" s="57"/>
      <c r="C1519" s="57"/>
      <c r="D1519" s="57"/>
      <c r="E1519" s="56"/>
      <c r="F1519" s="57"/>
      <c r="G1519" s="57"/>
      <c r="H1519" s="56"/>
      <c r="I1519" s="56"/>
      <c r="J1519" s="58"/>
      <c r="K1519" s="58"/>
      <c r="L1519" s="13" t="str">
        <f t="shared" si="230"/>
        <v/>
      </c>
      <c r="M1519" s="13" t="str">
        <f t="shared" si="231"/>
        <v/>
      </c>
      <c r="Q1519" t="str">
        <f t="shared" si="232"/>
        <v/>
      </c>
      <c r="R1519" t="str">
        <f t="shared" si="233"/>
        <v/>
      </c>
      <c r="S1519" t="str">
        <f t="shared" si="234"/>
        <v/>
      </c>
      <c r="T1519" t="str">
        <f t="shared" si="235"/>
        <v/>
      </c>
      <c r="U1519" t="str">
        <f t="shared" si="236"/>
        <v/>
      </c>
      <c r="V1519" t="str">
        <f t="shared" si="237"/>
        <v/>
      </c>
      <c r="W1519" t="str">
        <f t="shared" si="238"/>
        <v/>
      </c>
      <c r="X1519">
        <f>IF($T1519="",N($X1518),IF(MATCH($T1519,$T$6:$T$10005,0)=ROW()-5,N($X1518)+1,N($X1518)))</f>
        <v>0</v>
      </c>
      <c r="Z1519" t="str">
        <f t="shared" si="239"/>
        <v/>
      </c>
      <c r="AA1519">
        <f>IF($V1519="",N($AA1518),IF(MATCH($V1519,$V$6:$V$10005,0)=ROW()-5,N($AA1518)+1,N($AA1518)))</f>
        <v>0</v>
      </c>
    </row>
    <row r="1520" spans="1:27" ht="21" customHeight="1" x14ac:dyDescent="0.95">
      <c r="A1520" s="56"/>
      <c r="B1520" s="57"/>
      <c r="C1520" s="57"/>
      <c r="D1520" s="57"/>
      <c r="E1520" s="56"/>
      <c r="F1520" s="57"/>
      <c r="G1520" s="57"/>
      <c r="H1520" s="56"/>
      <c r="I1520" s="56"/>
      <c r="J1520" s="58"/>
      <c r="K1520" s="58"/>
      <c r="L1520" s="13" t="str">
        <f t="shared" si="230"/>
        <v/>
      </c>
      <c r="M1520" s="13" t="str">
        <f t="shared" si="231"/>
        <v/>
      </c>
      <c r="Q1520" t="str">
        <f t="shared" si="232"/>
        <v/>
      </c>
      <c r="R1520" t="str">
        <f t="shared" si="233"/>
        <v/>
      </c>
      <c r="S1520" t="str">
        <f t="shared" si="234"/>
        <v/>
      </c>
      <c r="T1520" t="str">
        <f t="shared" si="235"/>
        <v/>
      </c>
      <c r="U1520" t="str">
        <f t="shared" si="236"/>
        <v/>
      </c>
      <c r="V1520" t="str">
        <f t="shared" si="237"/>
        <v/>
      </c>
      <c r="W1520" t="str">
        <f t="shared" si="238"/>
        <v/>
      </c>
      <c r="X1520">
        <f>IF($T1520="",N($X1519),IF(MATCH($T1520,$T$6:$T$10005,0)=ROW()-5,N($X1519)+1,N($X1519)))</f>
        <v>0</v>
      </c>
      <c r="Z1520" t="str">
        <f t="shared" si="239"/>
        <v/>
      </c>
      <c r="AA1520">
        <f>IF($V1520="",N($AA1519),IF(MATCH($V1520,$V$6:$V$10005,0)=ROW()-5,N($AA1519)+1,N($AA1519)))</f>
        <v>0</v>
      </c>
    </row>
    <row r="1521" spans="1:27" ht="21" customHeight="1" x14ac:dyDescent="0.95">
      <c r="A1521" s="56"/>
      <c r="B1521" s="57"/>
      <c r="C1521" s="57"/>
      <c r="D1521" s="57"/>
      <c r="E1521" s="56"/>
      <c r="F1521" s="57"/>
      <c r="G1521" s="57"/>
      <c r="H1521" s="56"/>
      <c r="I1521" s="56"/>
      <c r="J1521" s="58"/>
      <c r="K1521" s="58"/>
      <c r="L1521" s="13" t="str">
        <f t="shared" si="230"/>
        <v/>
      </c>
      <c r="M1521" s="13" t="str">
        <f t="shared" si="231"/>
        <v/>
      </c>
      <c r="Q1521" t="str">
        <f t="shared" si="232"/>
        <v/>
      </c>
      <c r="R1521" t="str">
        <f t="shared" si="233"/>
        <v/>
      </c>
      <c r="S1521" t="str">
        <f t="shared" si="234"/>
        <v/>
      </c>
      <c r="T1521" t="str">
        <f t="shared" si="235"/>
        <v/>
      </c>
      <c r="U1521" t="str">
        <f t="shared" si="236"/>
        <v/>
      </c>
      <c r="V1521" t="str">
        <f t="shared" si="237"/>
        <v/>
      </c>
      <c r="W1521" t="str">
        <f t="shared" si="238"/>
        <v/>
      </c>
      <c r="X1521">
        <f>IF($T1521="",N($X1520),IF(MATCH($T1521,$T$6:$T$10005,0)=ROW()-5,N($X1520)+1,N($X1520)))</f>
        <v>0</v>
      </c>
      <c r="Z1521" t="str">
        <f t="shared" si="239"/>
        <v/>
      </c>
      <c r="AA1521">
        <f>IF($V1521="",N($AA1520),IF(MATCH($V1521,$V$6:$V$10005,0)=ROW()-5,N($AA1520)+1,N($AA1520)))</f>
        <v>0</v>
      </c>
    </row>
    <row r="1522" spans="1:27" ht="21" customHeight="1" x14ac:dyDescent="0.95">
      <c r="A1522" s="56"/>
      <c r="B1522" s="57"/>
      <c r="C1522" s="57"/>
      <c r="D1522" s="57"/>
      <c r="E1522" s="56"/>
      <c r="F1522" s="57"/>
      <c r="G1522" s="57"/>
      <c r="H1522" s="56"/>
      <c r="I1522" s="56"/>
      <c r="J1522" s="58"/>
      <c r="K1522" s="58"/>
      <c r="L1522" s="13" t="str">
        <f t="shared" si="230"/>
        <v/>
      </c>
      <c r="M1522" s="13" t="str">
        <f t="shared" si="231"/>
        <v/>
      </c>
      <c r="Q1522" t="str">
        <f t="shared" si="232"/>
        <v/>
      </c>
      <c r="R1522" t="str">
        <f t="shared" si="233"/>
        <v/>
      </c>
      <c r="S1522" t="str">
        <f t="shared" si="234"/>
        <v/>
      </c>
      <c r="T1522" t="str">
        <f t="shared" si="235"/>
        <v/>
      </c>
      <c r="U1522" t="str">
        <f t="shared" si="236"/>
        <v/>
      </c>
      <c r="V1522" t="str">
        <f t="shared" si="237"/>
        <v/>
      </c>
      <c r="W1522" t="str">
        <f t="shared" si="238"/>
        <v/>
      </c>
      <c r="X1522">
        <f>IF($T1522="",N($X1521),IF(MATCH($T1522,$T$6:$T$10005,0)=ROW()-5,N($X1521)+1,N($X1521)))</f>
        <v>0</v>
      </c>
      <c r="Z1522" t="str">
        <f t="shared" si="239"/>
        <v/>
      </c>
      <c r="AA1522">
        <f>IF($V1522="",N($AA1521),IF(MATCH($V1522,$V$6:$V$10005,0)=ROW()-5,N($AA1521)+1,N($AA1521)))</f>
        <v>0</v>
      </c>
    </row>
    <row r="1523" spans="1:27" ht="21" customHeight="1" x14ac:dyDescent="0.95">
      <c r="A1523" s="56"/>
      <c r="B1523" s="57"/>
      <c r="C1523" s="57"/>
      <c r="D1523" s="57"/>
      <c r="E1523" s="56"/>
      <c r="F1523" s="57"/>
      <c r="G1523" s="57"/>
      <c r="H1523" s="56"/>
      <c r="I1523" s="56"/>
      <c r="J1523" s="58"/>
      <c r="K1523" s="58"/>
      <c r="L1523" s="13" t="str">
        <f t="shared" si="230"/>
        <v/>
      </c>
      <c r="M1523" s="13" t="str">
        <f t="shared" si="231"/>
        <v/>
      </c>
      <c r="Q1523" t="str">
        <f t="shared" si="232"/>
        <v/>
      </c>
      <c r="R1523" t="str">
        <f t="shared" si="233"/>
        <v/>
      </c>
      <c r="S1523" t="str">
        <f t="shared" si="234"/>
        <v/>
      </c>
      <c r="T1523" t="str">
        <f t="shared" si="235"/>
        <v/>
      </c>
      <c r="U1523" t="str">
        <f t="shared" si="236"/>
        <v/>
      </c>
      <c r="V1523" t="str">
        <f t="shared" si="237"/>
        <v/>
      </c>
      <c r="W1523" t="str">
        <f t="shared" si="238"/>
        <v/>
      </c>
      <c r="X1523">
        <f>IF($T1523="",N($X1522),IF(MATCH($T1523,$T$6:$T$10005,0)=ROW()-5,N($X1522)+1,N($X1522)))</f>
        <v>0</v>
      </c>
      <c r="Z1523" t="str">
        <f t="shared" si="239"/>
        <v/>
      </c>
      <c r="AA1523">
        <f>IF($V1523="",N($AA1522),IF(MATCH($V1523,$V$6:$V$10005,0)=ROW()-5,N($AA1522)+1,N($AA1522)))</f>
        <v>0</v>
      </c>
    </row>
    <row r="1524" spans="1:27" ht="21" customHeight="1" x14ac:dyDescent="0.95">
      <c r="A1524" s="56"/>
      <c r="B1524" s="57"/>
      <c r="C1524" s="57"/>
      <c r="D1524" s="57"/>
      <c r="E1524" s="56"/>
      <c r="F1524" s="57"/>
      <c r="G1524" s="57"/>
      <c r="H1524" s="56"/>
      <c r="I1524" s="56"/>
      <c r="J1524" s="58"/>
      <c r="K1524" s="58"/>
      <c r="L1524" s="13" t="str">
        <f t="shared" si="230"/>
        <v/>
      </c>
      <c r="M1524" s="13" t="str">
        <f t="shared" si="231"/>
        <v/>
      </c>
      <c r="Q1524" t="str">
        <f t="shared" si="232"/>
        <v/>
      </c>
      <c r="R1524" t="str">
        <f t="shared" si="233"/>
        <v/>
      </c>
      <c r="S1524" t="str">
        <f t="shared" si="234"/>
        <v/>
      </c>
      <c r="T1524" t="str">
        <f t="shared" si="235"/>
        <v/>
      </c>
      <c r="U1524" t="str">
        <f t="shared" si="236"/>
        <v/>
      </c>
      <c r="V1524" t="str">
        <f t="shared" si="237"/>
        <v/>
      </c>
      <c r="W1524" t="str">
        <f t="shared" si="238"/>
        <v/>
      </c>
      <c r="X1524">
        <f>IF($T1524="",N($X1523),IF(MATCH($T1524,$T$6:$T$10005,0)=ROW()-5,N($X1523)+1,N($X1523)))</f>
        <v>0</v>
      </c>
      <c r="Z1524" t="str">
        <f t="shared" si="239"/>
        <v/>
      </c>
      <c r="AA1524">
        <f>IF($V1524="",N($AA1523),IF(MATCH($V1524,$V$6:$V$10005,0)=ROW()-5,N($AA1523)+1,N($AA1523)))</f>
        <v>0</v>
      </c>
    </row>
    <row r="1525" spans="1:27" ht="21" customHeight="1" x14ac:dyDescent="0.95">
      <c r="A1525" s="56"/>
      <c r="B1525" s="57"/>
      <c r="C1525" s="57"/>
      <c r="D1525" s="57"/>
      <c r="E1525" s="56"/>
      <c r="F1525" s="57"/>
      <c r="G1525" s="57"/>
      <c r="H1525" s="56"/>
      <c r="I1525" s="56"/>
      <c r="J1525" s="58"/>
      <c r="K1525" s="58"/>
      <c r="L1525" s="13" t="str">
        <f t="shared" si="230"/>
        <v/>
      </c>
      <c r="M1525" s="13" t="str">
        <f t="shared" si="231"/>
        <v/>
      </c>
      <c r="Q1525" t="str">
        <f t="shared" si="232"/>
        <v/>
      </c>
      <c r="R1525" t="str">
        <f t="shared" si="233"/>
        <v/>
      </c>
      <c r="S1525" t="str">
        <f t="shared" si="234"/>
        <v/>
      </c>
      <c r="T1525" t="str">
        <f t="shared" si="235"/>
        <v/>
      </c>
      <c r="U1525" t="str">
        <f t="shared" si="236"/>
        <v/>
      </c>
      <c r="V1525" t="str">
        <f t="shared" si="237"/>
        <v/>
      </c>
      <c r="W1525" t="str">
        <f t="shared" si="238"/>
        <v/>
      </c>
      <c r="X1525">
        <f>IF($T1525="",N($X1524),IF(MATCH($T1525,$T$6:$T$10005,0)=ROW()-5,N($X1524)+1,N($X1524)))</f>
        <v>0</v>
      </c>
      <c r="Z1525" t="str">
        <f t="shared" si="239"/>
        <v/>
      </c>
      <c r="AA1525">
        <f>IF($V1525="",N($AA1524),IF(MATCH($V1525,$V$6:$V$10005,0)=ROW()-5,N($AA1524)+1,N($AA1524)))</f>
        <v>0</v>
      </c>
    </row>
    <row r="1526" spans="1:27" ht="21" customHeight="1" x14ac:dyDescent="0.95">
      <c r="A1526" s="56"/>
      <c r="B1526" s="57"/>
      <c r="C1526" s="57"/>
      <c r="D1526" s="57"/>
      <c r="E1526" s="56"/>
      <c r="F1526" s="57"/>
      <c r="G1526" s="57"/>
      <c r="H1526" s="56"/>
      <c r="I1526" s="56"/>
      <c r="J1526" s="58"/>
      <c r="K1526" s="58"/>
      <c r="L1526" s="13" t="str">
        <f t="shared" si="230"/>
        <v/>
      </c>
      <c r="M1526" s="13" t="str">
        <f t="shared" si="231"/>
        <v/>
      </c>
      <c r="Q1526" t="str">
        <f t="shared" si="232"/>
        <v/>
      </c>
      <c r="R1526" t="str">
        <f t="shared" si="233"/>
        <v/>
      </c>
      <c r="S1526" t="str">
        <f t="shared" si="234"/>
        <v/>
      </c>
      <c r="T1526" t="str">
        <f t="shared" si="235"/>
        <v/>
      </c>
      <c r="U1526" t="str">
        <f t="shared" si="236"/>
        <v/>
      </c>
      <c r="V1526" t="str">
        <f t="shared" si="237"/>
        <v/>
      </c>
      <c r="W1526" t="str">
        <f t="shared" si="238"/>
        <v/>
      </c>
      <c r="X1526">
        <f>IF($T1526="",N($X1525),IF(MATCH($T1526,$T$6:$T$10005,0)=ROW()-5,N($X1525)+1,N($X1525)))</f>
        <v>0</v>
      </c>
      <c r="Z1526" t="str">
        <f t="shared" si="239"/>
        <v/>
      </c>
      <c r="AA1526">
        <f>IF($V1526="",N($AA1525),IF(MATCH($V1526,$V$6:$V$10005,0)=ROW()-5,N($AA1525)+1,N($AA1525)))</f>
        <v>0</v>
      </c>
    </row>
    <row r="1527" spans="1:27" ht="21" customHeight="1" x14ac:dyDescent="0.95">
      <c r="A1527" s="56"/>
      <c r="B1527" s="57"/>
      <c r="C1527" s="57"/>
      <c r="D1527" s="57"/>
      <c r="E1527" s="56"/>
      <c r="F1527" s="57"/>
      <c r="G1527" s="57"/>
      <c r="H1527" s="56"/>
      <c r="I1527" s="56"/>
      <c r="J1527" s="58"/>
      <c r="K1527" s="58"/>
      <c r="L1527" s="13" t="str">
        <f t="shared" si="230"/>
        <v/>
      </c>
      <c r="M1527" s="13" t="str">
        <f t="shared" si="231"/>
        <v/>
      </c>
      <c r="Q1527" t="str">
        <f t="shared" si="232"/>
        <v/>
      </c>
      <c r="R1527" t="str">
        <f t="shared" si="233"/>
        <v/>
      </c>
      <c r="S1527" t="str">
        <f t="shared" si="234"/>
        <v/>
      </c>
      <c r="T1527" t="str">
        <f t="shared" si="235"/>
        <v/>
      </c>
      <c r="U1527" t="str">
        <f t="shared" si="236"/>
        <v/>
      </c>
      <c r="V1527" t="str">
        <f t="shared" si="237"/>
        <v/>
      </c>
      <c r="W1527" t="str">
        <f t="shared" si="238"/>
        <v/>
      </c>
      <c r="X1527">
        <f>IF($T1527="",N($X1526),IF(MATCH($T1527,$T$6:$T$10005,0)=ROW()-5,N($X1526)+1,N($X1526)))</f>
        <v>0</v>
      </c>
      <c r="Z1527" t="str">
        <f t="shared" si="239"/>
        <v/>
      </c>
      <c r="AA1527">
        <f>IF($V1527="",N($AA1526),IF(MATCH($V1527,$V$6:$V$10005,0)=ROW()-5,N($AA1526)+1,N($AA1526)))</f>
        <v>0</v>
      </c>
    </row>
    <row r="1528" spans="1:27" ht="21" customHeight="1" x14ac:dyDescent="0.95">
      <c r="A1528" s="56"/>
      <c r="B1528" s="57"/>
      <c r="C1528" s="57"/>
      <c r="D1528" s="57"/>
      <c r="E1528" s="56"/>
      <c r="F1528" s="57"/>
      <c r="G1528" s="57"/>
      <c r="H1528" s="56"/>
      <c r="I1528" s="56"/>
      <c r="J1528" s="58"/>
      <c r="K1528" s="58"/>
      <c r="L1528" s="13" t="str">
        <f t="shared" si="230"/>
        <v/>
      </c>
      <c r="M1528" s="13" t="str">
        <f t="shared" si="231"/>
        <v/>
      </c>
      <c r="Q1528" t="str">
        <f t="shared" si="232"/>
        <v/>
      </c>
      <c r="R1528" t="str">
        <f t="shared" si="233"/>
        <v/>
      </c>
      <c r="S1528" t="str">
        <f t="shared" si="234"/>
        <v/>
      </c>
      <c r="T1528" t="str">
        <f t="shared" si="235"/>
        <v/>
      </c>
      <c r="U1528" t="str">
        <f t="shared" si="236"/>
        <v/>
      </c>
      <c r="V1528" t="str">
        <f t="shared" si="237"/>
        <v/>
      </c>
      <c r="W1528" t="str">
        <f t="shared" si="238"/>
        <v/>
      </c>
      <c r="X1528">
        <f>IF($T1528="",N($X1527),IF(MATCH($T1528,$T$6:$T$10005,0)=ROW()-5,N($X1527)+1,N($X1527)))</f>
        <v>0</v>
      </c>
      <c r="Z1528" t="str">
        <f t="shared" si="239"/>
        <v/>
      </c>
      <c r="AA1528">
        <f>IF($V1528="",N($AA1527),IF(MATCH($V1528,$V$6:$V$10005,0)=ROW()-5,N($AA1527)+1,N($AA1527)))</f>
        <v>0</v>
      </c>
    </row>
    <row r="1529" spans="1:27" ht="21" customHeight="1" x14ac:dyDescent="0.95">
      <c r="A1529" s="56"/>
      <c r="B1529" s="57"/>
      <c r="C1529" s="57"/>
      <c r="D1529" s="57"/>
      <c r="E1529" s="56"/>
      <c r="F1529" s="57"/>
      <c r="G1529" s="57"/>
      <c r="H1529" s="56"/>
      <c r="I1529" s="56"/>
      <c r="J1529" s="58"/>
      <c r="K1529" s="58"/>
      <c r="L1529" s="13" t="str">
        <f t="shared" si="230"/>
        <v/>
      </c>
      <c r="M1529" s="13" t="str">
        <f t="shared" si="231"/>
        <v/>
      </c>
      <c r="Q1529" t="str">
        <f t="shared" si="232"/>
        <v/>
      </c>
      <c r="R1529" t="str">
        <f t="shared" si="233"/>
        <v/>
      </c>
      <c r="S1529" t="str">
        <f t="shared" si="234"/>
        <v/>
      </c>
      <c r="T1529" t="str">
        <f t="shared" si="235"/>
        <v/>
      </c>
      <c r="U1529" t="str">
        <f t="shared" si="236"/>
        <v/>
      </c>
      <c r="V1529" t="str">
        <f t="shared" si="237"/>
        <v/>
      </c>
      <c r="W1529" t="str">
        <f t="shared" si="238"/>
        <v/>
      </c>
      <c r="X1529">
        <f>IF($T1529="",N($X1528),IF(MATCH($T1529,$T$6:$T$10005,0)=ROW()-5,N($X1528)+1,N($X1528)))</f>
        <v>0</v>
      </c>
      <c r="Z1529" t="str">
        <f t="shared" si="239"/>
        <v/>
      </c>
      <c r="AA1529">
        <f>IF($V1529="",N($AA1528),IF(MATCH($V1529,$V$6:$V$10005,0)=ROW()-5,N($AA1528)+1,N($AA1528)))</f>
        <v>0</v>
      </c>
    </row>
    <row r="1530" spans="1:27" ht="21" customHeight="1" x14ac:dyDescent="0.95">
      <c r="A1530" s="56"/>
      <c r="B1530" s="57"/>
      <c r="C1530" s="57"/>
      <c r="D1530" s="57"/>
      <c r="E1530" s="56"/>
      <c r="F1530" s="57"/>
      <c r="G1530" s="57"/>
      <c r="H1530" s="56"/>
      <c r="I1530" s="56"/>
      <c r="J1530" s="58"/>
      <c r="K1530" s="58"/>
      <c r="L1530" s="13" t="str">
        <f t="shared" si="230"/>
        <v/>
      </c>
      <c r="M1530" s="13" t="str">
        <f t="shared" si="231"/>
        <v/>
      </c>
      <c r="Q1530" t="str">
        <f t="shared" si="232"/>
        <v/>
      </c>
      <c r="R1530" t="str">
        <f t="shared" si="233"/>
        <v/>
      </c>
      <c r="S1530" t="str">
        <f t="shared" si="234"/>
        <v/>
      </c>
      <c r="T1530" t="str">
        <f t="shared" si="235"/>
        <v/>
      </c>
      <c r="U1530" t="str">
        <f t="shared" si="236"/>
        <v/>
      </c>
      <c r="V1530" t="str">
        <f t="shared" si="237"/>
        <v/>
      </c>
      <c r="W1530" t="str">
        <f t="shared" si="238"/>
        <v/>
      </c>
      <c r="X1530">
        <f>IF($T1530="",N($X1529),IF(MATCH($T1530,$T$6:$T$10005,0)=ROW()-5,N($X1529)+1,N($X1529)))</f>
        <v>0</v>
      </c>
      <c r="Z1530" t="str">
        <f t="shared" si="239"/>
        <v/>
      </c>
      <c r="AA1530">
        <f>IF($V1530="",N($AA1529),IF(MATCH($V1530,$V$6:$V$10005,0)=ROW()-5,N($AA1529)+1,N($AA1529)))</f>
        <v>0</v>
      </c>
    </row>
    <row r="1531" spans="1:27" ht="21" customHeight="1" x14ac:dyDescent="0.95">
      <c r="A1531" s="56"/>
      <c r="B1531" s="57"/>
      <c r="C1531" s="57"/>
      <c r="D1531" s="57"/>
      <c r="E1531" s="56"/>
      <c r="F1531" s="57"/>
      <c r="G1531" s="57"/>
      <c r="H1531" s="56"/>
      <c r="I1531" s="56"/>
      <c r="J1531" s="58"/>
      <c r="K1531" s="58"/>
      <c r="L1531" s="13" t="str">
        <f t="shared" si="230"/>
        <v/>
      </c>
      <c r="M1531" s="13" t="str">
        <f t="shared" si="231"/>
        <v/>
      </c>
      <c r="Q1531" t="str">
        <f t="shared" si="232"/>
        <v/>
      </c>
      <c r="R1531" t="str">
        <f t="shared" si="233"/>
        <v/>
      </c>
      <c r="S1531" t="str">
        <f t="shared" si="234"/>
        <v/>
      </c>
      <c r="T1531" t="str">
        <f t="shared" si="235"/>
        <v/>
      </c>
      <c r="U1531" t="str">
        <f t="shared" si="236"/>
        <v/>
      </c>
      <c r="V1531" t="str">
        <f t="shared" si="237"/>
        <v/>
      </c>
      <c r="W1531" t="str">
        <f t="shared" si="238"/>
        <v/>
      </c>
      <c r="X1531">
        <f>IF($T1531="",N($X1530),IF(MATCH($T1531,$T$6:$T$10005,0)=ROW()-5,N($X1530)+1,N($X1530)))</f>
        <v>0</v>
      </c>
      <c r="Z1531" t="str">
        <f t="shared" si="239"/>
        <v/>
      </c>
      <c r="AA1531">
        <f>IF($V1531="",N($AA1530),IF(MATCH($V1531,$V$6:$V$10005,0)=ROW()-5,N($AA1530)+1,N($AA1530)))</f>
        <v>0</v>
      </c>
    </row>
    <row r="1532" spans="1:27" ht="21" customHeight="1" x14ac:dyDescent="0.95">
      <c r="A1532" s="56"/>
      <c r="B1532" s="57"/>
      <c r="C1532" s="57"/>
      <c r="D1532" s="57"/>
      <c r="E1532" s="56"/>
      <c r="F1532" s="57"/>
      <c r="G1532" s="57"/>
      <c r="H1532" s="56"/>
      <c r="I1532" s="56"/>
      <c r="J1532" s="58"/>
      <c r="K1532" s="58"/>
      <c r="L1532" s="13" t="str">
        <f t="shared" si="230"/>
        <v/>
      </c>
      <c r="M1532" s="13" t="str">
        <f t="shared" si="231"/>
        <v/>
      </c>
      <c r="Q1532" t="str">
        <f t="shared" si="232"/>
        <v/>
      </c>
      <c r="R1532" t="str">
        <f t="shared" si="233"/>
        <v/>
      </c>
      <c r="S1532" t="str">
        <f t="shared" si="234"/>
        <v/>
      </c>
      <c r="T1532" t="str">
        <f t="shared" si="235"/>
        <v/>
      </c>
      <c r="U1532" t="str">
        <f t="shared" si="236"/>
        <v/>
      </c>
      <c r="V1532" t="str">
        <f t="shared" si="237"/>
        <v/>
      </c>
      <c r="W1532" t="str">
        <f t="shared" si="238"/>
        <v/>
      </c>
      <c r="X1532">
        <f>IF($T1532="",N($X1531),IF(MATCH($T1532,$T$6:$T$10005,0)=ROW()-5,N($X1531)+1,N($X1531)))</f>
        <v>0</v>
      </c>
      <c r="Z1532" t="str">
        <f t="shared" si="239"/>
        <v/>
      </c>
      <c r="AA1532">
        <f>IF($V1532="",N($AA1531),IF(MATCH($V1532,$V$6:$V$10005,0)=ROW()-5,N($AA1531)+1,N($AA1531)))</f>
        <v>0</v>
      </c>
    </row>
    <row r="1533" spans="1:27" ht="21" customHeight="1" x14ac:dyDescent="0.95">
      <c r="A1533" s="56"/>
      <c r="B1533" s="57"/>
      <c r="C1533" s="57"/>
      <c r="D1533" s="57"/>
      <c r="E1533" s="56"/>
      <c r="F1533" s="57"/>
      <c r="G1533" s="57"/>
      <c r="H1533" s="56"/>
      <c r="I1533" s="56"/>
      <c r="J1533" s="58"/>
      <c r="K1533" s="58"/>
      <c r="L1533" s="13" t="str">
        <f t="shared" si="230"/>
        <v/>
      </c>
      <c r="M1533" s="13" t="str">
        <f t="shared" si="231"/>
        <v/>
      </c>
      <c r="Q1533" t="str">
        <f t="shared" si="232"/>
        <v/>
      </c>
      <c r="R1533" t="str">
        <f t="shared" si="233"/>
        <v/>
      </c>
      <c r="S1533" t="str">
        <f t="shared" si="234"/>
        <v/>
      </c>
      <c r="T1533" t="str">
        <f t="shared" si="235"/>
        <v/>
      </c>
      <c r="U1533" t="str">
        <f t="shared" si="236"/>
        <v/>
      </c>
      <c r="V1533" t="str">
        <f t="shared" si="237"/>
        <v/>
      </c>
      <c r="W1533" t="str">
        <f t="shared" si="238"/>
        <v/>
      </c>
      <c r="X1533">
        <f>IF($T1533="",N($X1532),IF(MATCH($T1533,$T$6:$T$10005,0)=ROW()-5,N($X1532)+1,N($X1532)))</f>
        <v>0</v>
      </c>
      <c r="Z1533" t="str">
        <f t="shared" si="239"/>
        <v/>
      </c>
      <c r="AA1533">
        <f>IF($V1533="",N($AA1532),IF(MATCH($V1533,$V$6:$V$10005,0)=ROW()-5,N($AA1532)+1,N($AA1532)))</f>
        <v>0</v>
      </c>
    </row>
    <row r="1534" spans="1:27" ht="21" customHeight="1" x14ac:dyDescent="0.95">
      <c r="A1534" s="56"/>
      <c r="B1534" s="57"/>
      <c r="C1534" s="57"/>
      <c r="D1534" s="57"/>
      <c r="E1534" s="56"/>
      <c r="F1534" s="57"/>
      <c r="G1534" s="57"/>
      <c r="H1534" s="56"/>
      <c r="I1534" s="56"/>
      <c r="J1534" s="58"/>
      <c r="K1534" s="58"/>
      <c r="L1534" s="13" t="str">
        <f t="shared" si="230"/>
        <v/>
      </c>
      <c r="M1534" s="13" t="str">
        <f t="shared" si="231"/>
        <v/>
      </c>
      <c r="Q1534" t="str">
        <f t="shared" si="232"/>
        <v/>
      </c>
      <c r="R1534" t="str">
        <f t="shared" si="233"/>
        <v/>
      </c>
      <c r="S1534" t="str">
        <f t="shared" si="234"/>
        <v/>
      </c>
      <c r="T1534" t="str">
        <f t="shared" si="235"/>
        <v/>
      </c>
      <c r="U1534" t="str">
        <f t="shared" si="236"/>
        <v/>
      </c>
      <c r="V1534" t="str">
        <f t="shared" si="237"/>
        <v/>
      </c>
      <c r="W1534" t="str">
        <f t="shared" si="238"/>
        <v/>
      </c>
      <c r="X1534">
        <f>IF($T1534="",N($X1533),IF(MATCH($T1534,$T$6:$T$10005,0)=ROW()-5,N($X1533)+1,N($X1533)))</f>
        <v>0</v>
      </c>
      <c r="Z1534" t="str">
        <f t="shared" si="239"/>
        <v/>
      </c>
      <c r="AA1534">
        <f>IF($V1534="",N($AA1533),IF(MATCH($V1534,$V$6:$V$10005,0)=ROW()-5,N($AA1533)+1,N($AA1533)))</f>
        <v>0</v>
      </c>
    </row>
    <row r="1535" spans="1:27" ht="21" customHeight="1" x14ac:dyDescent="0.95">
      <c r="A1535" s="56"/>
      <c r="B1535" s="57"/>
      <c r="C1535" s="57"/>
      <c r="D1535" s="57"/>
      <c r="E1535" s="56"/>
      <c r="F1535" s="57"/>
      <c r="G1535" s="57"/>
      <c r="H1535" s="56"/>
      <c r="I1535" s="56"/>
      <c r="J1535" s="58"/>
      <c r="K1535" s="58"/>
      <c r="L1535" s="13" t="str">
        <f t="shared" si="230"/>
        <v/>
      </c>
      <c r="M1535" s="13" t="str">
        <f t="shared" si="231"/>
        <v/>
      </c>
      <c r="Q1535" t="str">
        <f t="shared" si="232"/>
        <v/>
      </c>
      <c r="R1535" t="str">
        <f t="shared" si="233"/>
        <v/>
      </c>
      <c r="S1535" t="str">
        <f t="shared" si="234"/>
        <v/>
      </c>
      <c r="T1535" t="str">
        <f t="shared" si="235"/>
        <v/>
      </c>
      <c r="U1535" t="str">
        <f t="shared" si="236"/>
        <v/>
      </c>
      <c r="V1535" t="str">
        <f t="shared" si="237"/>
        <v/>
      </c>
      <c r="W1535" t="str">
        <f t="shared" si="238"/>
        <v/>
      </c>
      <c r="X1535">
        <f>IF($T1535="",N($X1534),IF(MATCH($T1535,$T$6:$T$10005,0)=ROW()-5,N($X1534)+1,N($X1534)))</f>
        <v>0</v>
      </c>
      <c r="Z1535" t="str">
        <f t="shared" si="239"/>
        <v/>
      </c>
      <c r="AA1535">
        <f>IF($V1535="",N($AA1534),IF(MATCH($V1535,$V$6:$V$10005,0)=ROW()-5,N($AA1534)+1,N($AA1534)))</f>
        <v>0</v>
      </c>
    </row>
    <row r="1536" spans="1:27" ht="21" customHeight="1" x14ac:dyDescent="0.95">
      <c r="A1536" s="56"/>
      <c r="B1536" s="57"/>
      <c r="C1536" s="57"/>
      <c r="D1536" s="57"/>
      <c r="E1536" s="56"/>
      <c r="F1536" s="57"/>
      <c r="G1536" s="57"/>
      <c r="H1536" s="56"/>
      <c r="I1536" s="56"/>
      <c r="J1536" s="58"/>
      <c r="K1536" s="58"/>
      <c r="L1536" s="13" t="str">
        <f t="shared" si="230"/>
        <v/>
      </c>
      <c r="M1536" s="13" t="str">
        <f t="shared" si="231"/>
        <v/>
      </c>
      <c r="Q1536" t="str">
        <f t="shared" si="232"/>
        <v/>
      </c>
      <c r="R1536" t="str">
        <f t="shared" si="233"/>
        <v/>
      </c>
      <c r="S1536" t="str">
        <f t="shared" si="234"/>
        <v/>
      </c>
      <c r="T1536" t="str">
        <f t="shared" si="235"/>
        <v/>
      </c>
      <c r="U1536" t="str">
        <f t="shared" si="236"/>
        <v/>
      </c>
      <c r="V1536" t="str">
        <f t="shared" si="237"/>
        <v/>
      </c>
      <c r="W1536" t="str">
        <f t="shared" si="238"/>
        <v/>
      </c>
      <c r="X1536">
        <f>IF($T1536="",N($X1535),IF(MATCH($T1536,$T$6:$T$10005,0)=ROW()-5,N($X1535)+1,N($X1535)))</f>
        <v>0</v>
      </c>
      <c r="Z1536" t="str">
        <f t="shared" si="239"/>
        <v/>
      </c>
      <c r="AA1536">
        <f>IF($V1536="",N($AA1535),IF(MATCH($V1536,$V$6:$V$10005,0)=ROW()-5,N($AA1535)+1,N($AA1535)))</f>
        <v>0</v>
      </c>
    </row>
    <row r="1537" spans="1:27" ht="21" customHeight="1" x14ac:dyDescent="0.95">
      <c r="A1537" s="56"/>
      <c r="B1537" s="57"/>
      <c r="C1537" s="57"/>
      <c r="D1537" s="57"/>
      <c r="E1537" s="56"/>
      <c r="F1537" s="57"/>
      <c r="G1537" s="57"/>
      <c r="H1537" s="56"/>
      <c r="I1537" s="56"/>
      <c r="J1537" s="58"/>
      <c r="K1537" s="58"/>
      <c r="L1537" s="13" t="str">
        <f t="shared" si="230"/>
        <v/>
      </c>
      <c r="M1537" s="13" t="str">
        <f t="shared" si="231"/>
        <v/>
      </c>
      <c r="Q1537" t="str">
        <f t="shared" si="232"/>
        <v/>
      </c>
      <c r="R1537" t="str">
        <f t="shared" si="233"/>
        <v/>
      </c>
      <c r="S1537" t="str">
        <f t="shared" si="234"/>
        <v/>
      </c>
      <c r="T1537" t="str">
        <f t="shared" si="235"/>
        <v/>
      </c>
      <c r="U1537" t="str">
        <f t="shared" si="236"/>
        <v/>
      </c>
      <c r="V1537" t="str">
        <f t="shared" si="237"/>
        <v/>
      </c>
      <c r="W1537" t="str">
        <f t="shared" si="238"/>
        <v/>
      </c>
      <c r="X1537">
        <f>IF($T1537="",N($X1536),IF(MATCH($T1537,$T$6:$T$10005,0)=ROW()-5,N($X1536)+1,N($X1536)))</f>
        <v>0</v>
      </c>
      <c r="Z1537" t="str">
        <f t="shared" si="239"/>
        <v/>
      </c>
      <c r="AA1537">
        <f>IF($V1537="",N($AA1536),IF(MATCH($V1537,$V$6:$V$10005,0)=ROW()-5,N($AA1536)+1,N($AA1536)))</f>
        <v>0</v>
      </c>
    </row>
    <row r="1538" spans="1:27" ht="21" customHeight="1" x14ac:dyDescent="0.95">
      <c r="A1538" s="56"/>
      <c r="B1538" s="57"/>
      <c r="C1538" s="57"/>
      <c r="D1538" s="57"/>
      <c r="E1538" s="56"/>
      <c r="F1538" s="57"/>
      <c r="G1538" s="57"/>
      <c r="H1538" s="56"/>
      <c r="I1538" s="56"/>
      <c r="J1538" s="58"/>
      <c r="K1538" s="58"/>
      <c r="L1538" s="13" t="str">
        <f t="shared" si="230"/>
        <v/>
      </c>
      <c r="M1538" s="13" t="str">
        <f t="shared" si="231"/>
        <v/>
      </c>
      <c r="Q1538" t="str">
        <f t="shared" si="232"/>
        <v/>
      </c>
      <c r="R1538" t="str">
        <f t="shared" si="233"/>
        <v/>
      </c>
      <c r="S1538" t="str">
        <f t="shared" si="234"/>
        <v/>
      </c>
      <c r="T1538" t="str">
        <f t="shared" si="235"/>
        <v/>
      </c>
      <c r="U1538" t="str">
        <f t="shared" si="236"/>
        <v/>
      </c>
      <c r="V1538" t="str">
        <f t="shared" si="237"/>
        <v/>
      </c>
      <c r="W1538" t="str">
        <f t="shared" si="238"/>
        <v/>
      </c>
      <c r="X1538">
        <f>IF($T1538="",N($X1537),IF(MATCH($T1538,$T$6:$T$10005,0)=ROW()-5,N($X1537)+1,N($X1537)))</f>
        <v>0</v>
      </c>
      <c r="Z1538" t="str">
        <f t="shared" si="239"/>
        <v/>
      </c>
      <c r="AA1538">
        <f>IF($V1538="",N($AA1537),IF(MATCH($V1538,$V$6:$V$10005,0)=ROW()-5,N($AA1537)+1,N($AA1537)))</f>
        <v>0</v>
      </c>
    </row>
    <row r="1539" spans="1:27" ht="21" customHeight="1" x14ac:dyDescent="0.95">
      <c r="A1539" s="56"/>
      <c r="B1539" s="57"/>
      <c r="C1539" s="57"/>
      <c r="D1539" s="57"/>
      <c r="E1539" s="56"/>
      <c r="F1539" s="57"/>
      <c r="G1539" s="57"/>
      <c r="H1539" s="56"/>
      <c r="I1539" s="56"/>
      <c r="J1539" s="58"/>
      <c r="K1539" s="58"/>
      <c r="L1539" s="13" t="str">
        <f t="shared" si="230"/>
        <v/>
      </c>
      <c r="M1539" s="13" t="str">
        <f t="shared" si="231"/>
        <v/>
      </c>
      <c r="Q1539" t="str">
        <f t="shared" si="232"/>
        <v/>
      </c>
      <c r="R1539" t="str">
        <f t="shared" si="233"/>
        <v/>
      </c>
      <c r="S1539" t="str">
        <f t="shared" si="234"/>
        <v/>
      </c>
      <c r="T1539" t="str">
        <f t="shared" si="235"/>
        <v/>
      </c>
      <c r="U1539" t="str">
        <f t="shared" si="236"/>
        <v/>
      </c>
      <c r="V1539" t="str">
        <f t="shared" si="237"/>
        <v/>
      </c>
      <c r="W1539" t="str">
        <f t="shared" si="238"/>
        <v/>
      </c>
      <c r="X1539">
        <f>IF($T1539="",N($X1538),IF(MATCH($T1539,$T$6:$T$10005,0)=ROW()-5,N($X1538)+1,N($X1538)))</f>
        <v>0</v>
      </c>
      <c r="Z1539" t="str">
        <f t="shared" si="239"/>
        <v/>
      </c>
      <c r="AA1539">
        <f>IF($V1539="",N($AA1538),IF(MATCH($V1539,$V$6:$V$10005,0)=ROW()-5,N($AA1538)+1,N($AA1538)))</f>
        <v>0</v>
      </c>
    </row>
    <row r="1540" spans="1:27" ht="21" customHeight="1" x14ac:dyDescent="0.95">
      <c r="A1540" s="56"/>
      <c r="B1540" s="57"/>
      <c r="C1540" s="57"/>
      <c r="D1540" s="57"/>
      <c r="E1540" s="56"/>
      <c r="F1540" s="57"/>
      <c r="G1540" s="57"/>
      <c r="H1540" s="56"/>
      <c r="I1540" s="56"/>
      <c r="J1540" s="58"/>
      <c r="K1540" s="58"/>
      <c r="L1540" s="13" t="str">
        <f t="shared" si="230"/>
        <v/>
      </c>
      <c r="M1540" s="13" t="str">
        <f t="shared" si="231"/>
        <v/>
      </c>
      <c r="Q1540" t="str">
        <f t="shared" si="232"/>
        <v/>
      </c>
      <c r="R1540" t="str">
        <f t="shared" si="233"/>
        <v/>
      </c>
      <c r="S1540" t="str">
        <f t="shared" si="234"/>
        <v/>
      </c>
      <c r="T1540" t="str">
        <f t="shared" si="235"/>
        <v/>
      </c>
      <c r="U1540" t="str">
        <f t="shared" si="236"/>
        <v/>
      </c>
      <c r="V1540" t="str">
        <f t="shared" si="237"/>
        <v/>
      </c>
      <c r="W1540" t="str">
        <f t="shared" si="238"/>
        <v/>
      </c>
      <c r="X1540">
        <f>IF($T1540="",N($X1539),IF(MATCH($T1540,$T$6:$T$10005,0)=ROW()-5,N($X1539)+1,N($X1539)))</f>
        <v>0</v>
      </c>
      <c r="Z1540" t="str">
        <f t="shared" si="239"/>
        <v/>
      </c>
      <c r="AA1540">
        <f>IF($V1540="",N($AA1539),IF(MATCH($V1540,$V$6:$V$10005,0)=ROW()-5,N($AA1539)+1,N($AA1539)))</f>
        <v>0</v>
      </c>
    </row>
    <row r="1541" spans="1:27" ht="21" customHeight="1" x14ac:dyDescent="0.95">
      <c r="A1541" s="56"/>
      <c r="B1541" s="57"/>
      <c r="C1541" s="57"/>
      <c r="D1541" s="57"/>
      <c r="E1541" s="56"/>
      <c r="F1541" s="57"/>
      <c r="G1541" s="57"/>
      <c r="H1541" s="56"/>
      <c r="I1541" s="56"/>
      <c r="J1541" s="58"/>
      <c r="K1541" s="58"/>
      <c r="L1541" s="13" t="str">
        <f t="shared" si="230"/>
        <v/>
      </c>
      <c r="M1541" s="13" t="str">
        <f t="shared" si="231"/>
        <v/>
      </c>
      <c r="Q1541" t="str">
        <f t="shared" si="232"/>
        <v/>
      </c>
      <c r="R1541" t="str">
        <f t="shared" si="233"/>
        <v/>
      </c>
      <c r="S1541" t="str">
        <f t="shared" si="234"/>
        <v/>
      </c>
      <c r="T1541" t="str">
        <f t="shared" si="235"/>
        <v/>
      </c>
      <c r="U1541" t="str">
        <f t="shared" si="236"/>
        <v/>
      </c>
      <c r="V1541" t="str">
        <f t="shared" si="237"/>
        <v/>
      </c>
      <c r="W1541" t="str">
        <f t="shared" si="238"/>
        <v/>
      </c>
      <c r="X1541">
        <f>IF($T1541="",N($X1540),IF(MATCH($T1541,$T$6:$T$10005,0)=ROW()-5,N($X1540)+1,N($X1540)))</f>
        <v>0</v>
      </c>
      <c r="Z1541" t="str">
        <f t="shared" si="239"/>
        <v/>
      </c>
      <c r="AA1541">
        <f>IF($V1541="",N($AA1540),IF(MATCH($V1541,$V$6:$V$10005,0)=ROW()-5,N($AA1540)+1,N($AA1540)))</f>
        <v>0</v>
      </c>
    </row>
    <row r="1542" spans="1:27" ht="21" customHeight="1" x14ac:dyDescent="0.95">
      <c r="A1542" s="56"/>
      <c r="B1542" s="57"/>
      <c r="C1542" s="57"/>
      <c r="D1542" s="57"/>
      <c r="E1542" s="56"/>
      <c r="F1542" s="57"/>
      <c r="G1542" s="57"/>
      <c r="H1542" s="56"/>
      <c r="I1542" s="56"/>
      <c r="J1542" s="58"/>
      <c r="K1542" s="58"/>
      <c r="L1542" s="13" t="str">
        <f t="shared" ref="L1542:L1605" si="240">IF(OR($A1542="",AND($J1542="",$K1542="")),"",ROUND(N($J1542)-N($K1542),2))</f>
        <v/>
      </c>
      <c r="M1542" s="13" t="str">
        <f t="shared" ref="M1542:M1605" si="241">IF(OR($A1542="",AND($J1542="",$K1542="")),"",MIN($J1542,$K1542))</f>
        <v/>
      </c>
      <c r="Q1542" t="str">
        <f t="shared" ref="Q1542:Q1605" si="242">IF($A1542="","",$D1542&amp;"("&amp;SUBSTITUTE($E1542," ","")&amp;")")</f>
        <v/>
      </c>
      <c r="R1542" t="str">
        <f t="shared" ref="R1542:R1605" si="243">IF($A1542="","",$B1542&amp;" - "&amp;$C1542)</f>
        <v/>
      </c>
      <c r="S1542" t="str">
        <f t="shared" ref="S1542:S1605" si="244">IF($A1542="","",$R1542&amp;"|"&amp;$Q1542)</f>
        <v/>
      </c>
      <c r="T1542" t="str">
        <f t="shared" ref="T1542:T1605" si="245">IF($A1542="","",$S1542&amp;"|"&amp;$F1542)</f>
        <v/>
      </c>
      <c r="U1542" t="str">
        <f t="shared" ref="U1542:U1605" si="246">IF($A1542="","",$R1542&amp;"("&amp;$E1542&amp;")")</f>
        <v/>
      </c>
      <c r="V1542" t="str">
        <f t="shared" ref="V1542:V1605" si="247">IF($A1542="","",$F1542&amp;"|"&amp;$U1542&amp;"|"&amp;$D1542)</f>
        <v/>
      </c>
      <c r="W1542" t="str">
        <f t="shared" ref="W1542:W1605" si="248">IF($T1542="","",IF($X1542&gt;N($X1541),$X1542,""))</f>
        <v/>
      </c>
      <c r="X1542">
        <f>IF($T1542="",N($X1541),IF(MATCH($T1542,$T$6:$T$10005,0)=ROW()-5,N($X1541)+1,N($X1541)))</f>
        <v>0</v>
      </c>
      <c r="Z1542" t="str">
        <f t="shared" ref="Z1542:Z1605" si="249">IF($V1542="","",IF($AA1542&gt;N($AA1541),$AA1542,""))</f>
        <v/>
      </c>
      <c r="AA1542">
        <f>IF($V1542="",N($AA1541),IF(MATCH($V1542,$V$6:$V$10005,0)=ROW()-5,N($AA1541)+1,N($AA1541)))</f>
        <v>0</v>
      </c>
    </row>
    <row r="1543" spans="1:27" ht="21" customHeight="1" x14ac:dyDescent="0.95">
      <c r="A1543" s="56"/>
      <c r="B1543" s="57"/>
      <c r="C1543" s="57"/>
      <c r="D1543" s="57"/>
      <c r="E1543" s="56"/>
      <c r="F1543" s="57"/>
      <c r="G1543" s="57"/>
      <c r="H1543" s="56"/>
      <c r="I1543" s="56"/>
      <c r="J1543" s="58"/>
      <c r="K1543" s="58"/>
      <c r="L1543" s="13" t="str">
        <f t="shared" si="240"/>
        <v/>
      </c>
      <c r="M1543" s="13" t="str">
        <f t="shared" si="241"/>
        <v/>
      </c>
      <c r="Q1543" t="str">
        <f t="shared" si="242"/>
        <v/>
      </c>
      <c r="R1543" t="str">
        <f t="shared" si="243"/>
        <v/>
      </c>
      <c r="S1543" t="str">
        <f t="shared" si="244"/>
        <v/>
      </c>
      <c r="T1543" t="str">
        <f t="shared" si="245"/>
        <v/>
      </c>
      <c r="U1543" t="str">
        <f t="shared" si="246"/>
        <v/>
      </c>
      <c r="V1543" t="str">
        <f t="shared" si="247"/>
        <v/>
      </c>
      <c r="W1543" t="str">
        <f t="shared" si="248"/>
        <v/>
      </c>
      <c r="X1543">
        <f>IF($T1543="",N($X1542),IF(MATCH($T1543,$T$6:$T$10005,0)=ROW()-5,N($X1542)+1,N($X1542)))</f>
        <v>0</v>
      </c>
      <c r="Z1543" t="str">
        <f t="shared" si="249"/>
        <v/>
      </c>
      <c r="AA1543">
        <f>IF($V1543="",N($AA1542),IF(MATCH($V1543,$V$6:$V$10005,0)=ROW()-5,N($AA1542)+1,N($AA1542)))</f>
        <v>0</v>
      </c>
    </row>
    <row r="1544" spans="1:27" ht="21" customHeight="1" x14ac:dyDescent="0.95">
      <c r="A1544" s="56"/>
      <c r="B1544" s="57"/>
      <c r="C1544" s="57"/>
      <c r="D1544" s="57"/>
      <c r="E1544" s="56"/>
      <c r="F1544" s="57"/>
      <c r="G1544" s="57"/>
      <c r="H1544" s="56"/>
      <c r="I1544" s="56"/>
      <c r="J1544" s="58"/>
      <c r="K1544" s="58"/>
      <c r="L1544" s="13" t="str">
        <f t="shared" si="240"/>
        <v/>
      </c>
      <c r="M1544" s="13" t="str">
        <f t="shared" si="241"/>
        <v/>
      </c>
      <c r="Q1544" t="str">
        <f t="shared" si="242"/>
        <v/>
      </c>
      <c r="R1544" t="str">
        <f t="shared" si="243"/>
        <v/>
      </c>
      <c r="S1544" t="str">
        <f t="shared" si="244"/>
        <v/>
      </c>
      <c r="T1544" t="str">
        <f t="shared" si="245"/>
        <v/>
      </c>
      <c r="U1544" t="str">
        <f t="shared" si="246"/>
        <v/>
      </c>
      <c r="V1544" t="str">
        <f t="shared" si="247"/>
        <v/>
      </c>
      <c r="W1544" t="str">
        <f t="shared" si="248"/>
        <v/>
      </c>
      <c r="X1544">
        <f>IF($T1544="",N($X1543),IF(MATCH($T1544,$T$6:$T$10005,0)=ROW()-5,N($X1543)+1,N($X1543)))</f>
        <v>0</v>
      </c>
      <c r="Z1544" t="str">
        <f t="shared" si="249"/>
        <v/>
      </c>
      <c r="AA1544">
        <f>IF($V1544="",N($AA1543),IF(MATCH($V1544,$V$6:$V$10005,0)=ROW()-5,N($AA1543)+1,N($AA1543)))</f>
        <v>0</v>
      </c>
    </row>
    <row r="1545" spans="1:27" ht="21" customHeight="1" x14ac:dyDescent="0.95">
      <c r="A1545" s="56"/>
      <c r="B1545" s="57"/>
      <c r="C1545" s="57"/>
      <c r="D1545" s="57"/>
      <c r="E1545" s="56"/>
      <c r="F1545" s="57"/>
      <c r="G1545" s="57"/>
      <c r="H1545" s="56"/>
      <c r="I1545" s="56"/>
      <c r="J1545" s="58"/>
      <c r="K1545" s="58"/>
      <c r="L1545" s="13" t="str">
        <f t="shared" si="240"/>
        <v/>
      </c>
      <c r="M1545" s="13" t="str">
        <f t="shared" si="241"/>
        <v/>
      </c>
      <c r="Q1545" t="str">
        <f t="shared" si="242"/>
        <v/>
      </c>
      <c r="R1545" t="str">
        <f t="shared" si="243"/>
        <v/>
      </c>
      <c r="S1545" t="str">
        <f t="shared" si="244"/>
        <v/>
      </c>
      <c r="T1545" t="str">
        <f t="shared" si="245"/>
        <v/>
      </c>
      <c r="U1545" t="str">
        <f t="shared" si="246"/>
        <v/>
      </c>
      <c r="V1545" t="str">
        <f t="shared" si="247"/>
        <v/>
      </c>
      <c r="W1545" t="str">
        <f t="shared" si="248"/>
        <v/>
      </c>
      <c r="X1545">
        <f>IF($T1545="",N($X1544),IF(MATCH($T1545,$T$6:$T$10005,0)=ROW()-5,N($X1544)+1,N($X1544)))</f>
        <v>0</v>
      </c>
      <c r="Z1545" t="str">
        <f t="shared" si="249"/>
        <v/>
      </c>
      <c r="AA1545">
        <f>IF($V1545="",N($AA1544),IF(MATCH($V1545,$V$6:$V$10005,0)=ROW()-5,N($AA1544)+1,N($AA1544)))</f>
        <v>0</v>
      </c>
    </row>
    <row r="1546" spans="1:27" ht="21" customHeight="1" x14ac:dyDescent="0.95">
      <c r="A1546" s="56"/>
      <c r="B1546" s="57"/>
      <c r="C1546" s="57"/>
      <c r="D1546" s="57"/>
      <c r="E1546" s="56"/>
      <c r="F1546" s="57"/>
      <c r="G1546" s="57"/>
      <c r="H1546" s="56"/>
      <c r="I1546" s="56"/>
      <c r="J1546" s="58"/>
      <c r="K1546" s="58"/>
      <c r="L1546" s="13" t="str">
        <f t="shared" si="240"/>
        <v/>
      </c>
      <c r="M1546" s="13" t="str">
        <f t="shared" si="241"/>
        <v/>
      </c>
      <c r="Q1546" t="str">
        <f t="shared" si="242"/>
        <v/>
      </c>
      <c r="R1546" t="str">
        <f t="shared" si="243"/>
        <v/>
      </c>
      <c r="S1546" t="str">
        <f t="shared" si="244"/>
        <v/>
      </c>
      <c r="T1546" t="str">
        <f t="shared" si="245"/>
        <v/>
      </c>
      <c r="U1546" t="str">
        <f t="shared" si="246"/>
        <v/>
      </c>
      <c r="V1546" t="str">
        <f t="shared" si="247"/>
        <v/>
      </c>
      <c r="W1546" t="str">
        <f t="shared" si="248"/>
        <v/>
      </c>
      <c r="X1546">
        <f>IF($T1546="",N($X1545),IF(MATCH($T1546,$T$6:$T$10005,0)=ROW()-5,N($X1545)+1,N($X1545)))</f>
        <v>0</v>
      </c>
      <c r="Z1546" t="str">
        <f t="shared" si="249"/>
        <v/>
      </c>
      <c r="AA1546">
        <f>IF($V1546="",N($AA1545),IF(MATCH($V1546,$V$6:$V$10005,0)=ROW()-5,N($AA1545)+1,N($AA1545)))</f>
        <v>0</v>
      </c>
    </row>
    <row r="1547" spans="1:27" ht="21" customHeight="1" x14ac:dyDescent="0.95">
      <c r="A1547" s="56"/>
      <c r="B1547" s="57"/>
      <c r="C1547" s="57"/>
      <c r="D1547" s="57"/>
      <c r="E1547" s="56"/>
      <c r="F1547" s="57"/>
      <c r="G1547" s="57"/>
      <c r="H1547" s="56"/>
      <c r="I1547" s="56"/>
      <c r="J1547" s="58"/>
      <c r="K1547" s="58"/>
      <c r="L1547" s="13" t="str">
        <f t="shared" si="240"/>
        <v/>
      </c>
      <c r="M1547" s="13" t="str">
        <f t="shared" si="241"/>
        <v/>
      </c>
      <c r="Q1547" t="str">
        <f t="shared" si="242"/>
        <v/>
      </c>
      <c r="R1547" t="str">
        <f t="shared" si="243"/>
        <v/>
      </c>
      <c r="S1547" t="str">
        <f t="shared" si="244"/>
        <v/>
      </c>
      <c r="T1547" t="str">
        <f t="shared" si="245"/>
        <v/>
      </c>
      <c r="U1547" t="str">
        <f t="shared" si="246"/>
        <v/>
      </c>
      <c r="V1547" t="str">
        <f t="shared" si="247"/>
        <v/>
      </c>
      <c r="W1547" t="str">
        <f t="shared" si="248"/>
        <v/>
      </c>
      <c r="X1547">
        <f>IF($T1547="",N($X1546),IF(MATCH($T1547,$T$6:$T$10005,0)=ROW()-5,N($X1546)+1,N($X1546)))</f>
        <v>0</v>
      </c>
      <c r="Z1547" t="str">
        <f t="shared" si="249"/>
        <v/>
      </c>
      <c r="AA1547">
        <f>IF($V1547="",N($AA1546),IF(MATCH($V1547,$V$6:$V$10005,0)=ROW()-5,N($AA1546)+1,N($AA1546)))</f>
        <v>0</v>
      </c>
    </row>
    <row r="1548" spans="1:27" ht="21" customHeight="1" x14ac:dyDescent="0.95">
      <c r="A1548" s="56"/>
      <c r="B1548" s="57"/>
      <c r="C1548" s="57"/>
      <c r="D1548" s="57"/>
      <c r="E1548" s="56"/>
      <c r="F1548" s="57"/>
      <c r="G1548" s="57"/>
      <c r="H1548" s="56"/>
      <c r="I1548" s="56"/>
      <c r="J1548" s="58"/>
      <c r="K1548" s="58"/>
      <c r="L1548" s="13" t="str">
        <f t="shared" si="240"/>
        <v/>
      </c>
      <c r="M1548" s="13" t="str">
        <f t="shared" si="241"/>
        <v/>
      </c>
      <c r="Q1548" t="str">
        <f t="shared" si="242"/>
        <v/>
      </c>
      <c r="R1548" t="str">
        <f t="shared" si="243"/>
        <v/>
      </c>
      <c r="S1548" t="str">
        <f t="shared" si="244"/>
        <v/>
      </c>
      <c r="T1548" t="str">
        <f t="shared" si="245"/>
        <v/>
      </c>
      <c r="U1548" t="str">
        <f t="shared" si="246"/>
        <v/>
      </c>
      <c r="V1548" t="str">
        <f t="shared" si="247"/>
        <v/>
      </c>
      <c r="W1548" t="str">
        <f t="shared" si="248"/>
        <v/>
      </c>
      <c r="X1548">
        <f>IF($T1548="",N($X1547),IF(MATCH($T1548,$T$6:$T$10005,0)=ROW()-5,N($X1547)+1,N($X1547)))</f>
        <v>0</v>
      </c>
      <c r="Z1548" t="str">
        <f t="shared" si="249"/>
        <v/>
      </c>
      <c r="AA1548">
        <f>IF($V1548="",N($AA1547),IF(MATCH($V1548,$V$6:$V$10005,0)=ROW()-5,N($AA1547)+1,N($AA1547)))</f>
        <v>0</v>
      </c>
    </row>
    <row r="1549" spans="1:27" ht="21" customHeight="1" x14ac:dyDescent="0.95">
      <c r="A1549" s="56"/>
      <c r="B1549" s="57"/>
      <c r="C1549" s="57"/>
      <c r="D1549" s="57"/>
      <c r="E1549" s="56"/>
      <c r="F1549" s="57"/>
      <c r="G1549" s="57"/>
      <c r="H1549" s="56"/>
      <c r="I1549" s="56"/>
      <c r="J1549" s="58"/>
      <c r="K1549" s="58"/>
      <c r="L1549" s="13" t="str">
        <f t="shared" si="240"/>
        <v/>
      </c>
      <c r="M1549" s="13" t="str">
        <f t="shared" si="241"/>
        <v/>
      </c>
      <c r="Q1549" t="str">
        <f t="shared" si="242"/>
        <v/>
      </c>
      <c r="R1549" t="str">
        <f t="shared" si="243"/>
        <v/>
      </c>
      <c r="S1549" t="str">
        <f t="shared" si="244"/>
        <v/>
      </c>
      <c r="T1549" t="str">
        <f t="shared" si="245"/>
        <v/>
      </c>
      <c r="U1549" t="str">
        <f t="shared" si="246"/>
        <v/>
      </c>
      <c r="V1549" t="str">
        <f t="shared" si="247"/>
        <v/>
      </c>
      <c r="W1549" t="str">
        <f t="shared" si="248"/>
        <v/>
      </c>
      <c r="X1549">
        <f>IF($T1549="",N($X1548),IF(MATCH($T1549,$T$6:$T$10005,0)=ROW()-5,N($X1548)+1,N($X1548)))</f>
        <v>0</v>
      </c>
      <c r="Z1549" t="str">
        <f t="shared" si="249"/>
        <v/>
      </c>
      <c r="AA1549">
        <f>IF($V1549="",N($AA1548),IF(MATCH($V1549,$V$6:$V$10005,0)=ROW()-5,N($AA1548)+1,N($AA1548)))</f>
        <v>0</v>
      </c>
    </row>
    <row r="1550" spans="1:27" ht="21" customHeight="1" x14ac:dyDescent="0.95">
      <c r="A1550" s="56"/>
      <c r="B1550" s="57"/>
      <c r="C1550" s="57"/>
      <c r="D1550" s="57"/>
      <c r="E1550" s="56"/>
      <c r="F1550" s="57"/>
      <c r="G1550" s="57"/>
      <c r="H1550" s="56"/>
      <c r="I1550" s="56"/>
      <c r="J1550" s="58"/>
      <c r="K1550" s="58"/>
      <c r="L1550" s="13" t="str">
        <f t="shared" si="240"/>
        <v/>
      </c>
      <c r="M1550" s="13" t="str">
        <f t="shared" si="241"/>
        <v/>
      </c>
      <c r="Q1550" t="str">
        <f t="shared" si="242"/>
        <v/>
      </c>
      <c r="R1550" t="str">
        <f t="shared" si="243"/>
        <v/>
      </c>
      <c r="S1550" t="str">
        <f t="shared" si="244"/>
        <v/>
      </c>
      <c r="T1550" t="str">
        <f t="shared" si="245"/>
        <v/>
      </c>
      <c r="U1550" t="str">
        <f t="shared" si="246"/>
        <v/>
      </c>
      <c r="V1550" t="str">
        <f t="shared" si="247"/>
        <v/>
      </c>
      <c r="W1550" t="str">
        <f t="shared" si="248"/>
        <v/>
      </c>
      <c r="X1550">
        <f>IF($T1550="",N($X1549),IF(MATCH($T1550,$T$6:$T$10005,0)=ROW()-5,N($X1549)+1,N($X1549)))</f>
        <v>0</v>
      </c>
      <c r="Z1550" t="str">
        <f t="shared" si="249"/>
        <v/>
      </c>
      <c r="AA1550">
        <f>IF($V1550="",N($AA1549),IF(MATCH($V1550,$V$6:$V$10005,0)=ROW()-5,N($AA1549)+1,N($AA1549)))</f>
        <v>0</v>
      </c>
    </row>
    <row r="1551" spans="1:27" ht="21" customHeight="1" x14ac:dyDescent="0.95">
      <c r="A1551" s="56"/>
      <c r="B1551" s="57"/>
      <c r="C1551" s="57"/>
      <c r="D1551" s="57"/>
      <c r="E1551" s="56"/>
      <c r="F1551" s="57"/>
      <c r="G1551" s="57"/>
      <c r="H1551" s="56"/>
      <c r="I1551" s="56"/>
      <c r="J1551" s="58"/>
      <c r="K1551" s="58"/>
      <c r="L1551" s="13" t="str">
        <f t="shared" si="240"/>
        <v/>
      </c>
      <c r="M1551" s="13" t="str">
        <f t="shared" si="241"/>
        <v/>
      </c>
      <c r="Q1551" t="str">
        <f t="shared" si="242"/>
        <v/>
      </c>
      <c r="R1551" t="str">
        <f t="shared" si="243"/>
        <v/>
      </c>
      <c r="S1551" t="str">
        <f t="shared" si="244"/>
        <v/>
      </c>
      <c r="T1551" t="str">
        <f t="shared" si="245"/>
        <v/>
      </c>
      <c r="U1551" t="str">
        <f t="shared" si="246"/>
        <v/>
      </c>
      <c r="V1551" t="str">
        <f t="shared" si="247"/>
        <v/>
      </c>
      <c r="W1551" t="str">
        <f t="shared" si="248"/>
        <v/>
      </c>
      <c r="X1551">
        <f>IF($T1551="",N($X1550),IF(MATCH($T1551,$T$6:$T$10005,0)=ROW()-5,N($X1550)+1,N($X1550)))</f>
        <v>0</v>
      </c>
      <c r="Z1551" t="str">
        <f t="shared" si="249"/>
        <v/>
      </c>
      <c r="AA1551">
        <f>IF($V1551="",N($AA1550),IF(MATCH($V1551,$V$6:$V$10005,0)=ROW()-5,N($AA1550)+1,N($AA1550)))</f>
        <v>0</v>
      </c>
    </row>
    <row r="1552" spans="1:27" ht="21" customHeight="1" x14ac:dyDescent="0.95">
      <c r="A1552" s="56"/>
      <c r="B1552" s="57"/>
      <c r="C1552" s="57"/>
      <c r="D1552" s="57"/>
      <c r="E1552" s="56"/>
      <c r="F1552" s="57"/>
      <c r="G1552" s="57"/>
      <c r="H1552" s="56"/>
      <c r="I1552" s="56"/>
      <c r="J1552" s="58"/>
      <c r="K1552" s="58"/>
      <c r="L1552" s="13" t="str">
        <f t="shared" si="240"/>
        <v/>
      </c>
      <c r="M1552" s="13" t="str">
        <f t="shared" si="241"/>
        <v/>
      </c>
      <c r="Q1552" t="str">
        <f t="shared" si="242"/>
        <v/>
      </c>
      <c r="R1552" t="str">
        <f t="shared" si="243"/>
        <v/>
      </c>
      <c r="S1552" t="str">
        <f t="shared" si="244"/>
        <v/>
      </c>
      <c r="T1552" t="str">
        <f t="shared" si="245"/>
        <v/>
      </c>
      <c r="U1552" t="str">
        <f t="shared" si="246"/>
        <v/>
      </c>
      <c r="V1552" t="str">
        <f t="shared" si="247"/>
        <v/>
      </c>
      <c r="W1552" t="str">
        <f t="shared" si="248"/>
        <v/>
      </c>
      <c r="X1552">
        <f>IF($T1552="",N($X1551),IF(MATCH($T1552,$T$6:$T$10005,0)=ROW()-5,N($X1551)+1,N($X1551)))</f>
        <v>0</v>
      </c>
      <c r="Z1552" t="str">
        <f t="shared" si="249"/>
        <v/>
      </c>
      <c r="AA1552">
        <f>IF($V1552="",N($AA1551),IF(MATCH($V1552,$V$6:$V$10005,0)=ROW()-5,N($AA1551)+1,N($AA1551)))</f>
        <v>0</v>
      </c>
    </row>
    <row r="1553" spans="1:27" ht="21" customHeight="1" x14ac:dyDescent="0.95">
      <c r="A1553" s="56"/>
      <c r="B1553" s="57"/>
      <c r="C1553" s="57"/>
      <c r="D1553" s="57"/>
      <c r="E1553" s="56"/>
      <c r="F1553" s="57"/>
      <c r="G1553" s="57"/>
      <c r="H1553" s="56"/>
      <c r="I1553" s="56"/>
      <c r="J1553" s="58"/>
      <c r="K1553" s="58"/>
      <c r="L1553" s="13" t="str">
        <f t="shared" si="240"/>
        <v/>
      </c>
      <c r="M1553" s="13" t="str">
        <f t="shared" si="241"/>
        <v/>
      </c>
      <c r="Q1553" t="str">
        <f t="shared" si="242"/>
        <v/>
      </c>
      <c r="R1553" t="str">
        <f t="shared" si="243"/>
        <v/>
      </c>
      <c r="S1553" t="str">
        <f t="shared" si="244"/>
        <v/>
      </c>
      <c r="T1553" t="str">
        <f t="shared" si="245"/>
        <v/>
      </c>
      <c r="U1553" t="str">
        <f t="shared" si="246"/>
        <v/>
      </c>
      <c r="V1553" t="str">
        <f t="shared" si="247"/>
        <v/>
      </c>
      <c r="W1553" t="str">
        <f t="shared" si="248"/>
        <v/>
      </c>
      <c r="X1553">
        <f>IF($T1553="",N($X1552),IF(MATCH($T1553,$T$6:$T$10005,0)=ROW()-5,N($X1552)+1,N($X1552)))</f>
        <v>0</v>
      </c>
      <c r="Z1553" t="str">
        <f t="shared" si="249"/>
        <v/>
      </c>
      <c r="AA1553">
        <f>IF($V1553="",N($AA1552),IF(MATCH($V1553,$V$6:$V$10005,0)=ROW()-5,N($AA1552)+1,N($AA1552)))</f>
        <v>0</v>
      </c>
    </row>
    <row r="1554" spans="1:27" ht="21" customHeight="1" x14ac:dyDescent="0.95">
      <c r="A1554" s="56"/>
      <c r="B1554" s="57"/>
      <c r="C1554" s="57"/>
      <c r="D1554" s="57"/>
      <c r="E1554" s="56"/>
      <c r="F1554" s="57"/>
      <c r="G1554" s="57"/>
      <c r="H1554" s="56"/>
      <c r="I1554" s="56"/>
      <c r="J1554" s="58"/>
      <c r="K1554" s="58"/>
      <c r="L1554" s="13" t="str">
        <f t="shared" si="240"/>
        <v/>
      </c>
      <c r="M1554" s="13" t="str">
        <f t="shared" si="241"/>
        <v/>
      </c>
      <c r="Q1554" t="str">
        <f t="shared" si="242"/>
        <v/>
      </c>
      <c r="R1554" t="str">
        <f t="shared" si="243"/>
        <v/>
      </c>
      <c r="S1554" t="str">
        <f t="shared" si="244"/>
        <v/>
      </c>
      <c r="T1554" t="str">
        <f t="shared" si="245"/>
        <v/>
      </c>
      <c r="U1554" t="str">
        <f t="shared" si="246"/>
        <v/>
      </c>
      <c r="V1554" t="str">
        <f t="shared" si="247"/>
        <v/>
      </c>
      <c r="W1554" t="str">
        <f t="shared" si="248"/>
        <v/>
      </c>
      <c r="X1554">
        <f>IF($T1554="",N($X1553),IF(MATCH($T1554,$T$6:$T$10005,0)=ROW()-5,N($X1553)+1,N($X1553)))</f>
        <v>0</v>
      </c>
      <c r="Z1554" t="str">
        <f t="shared" si="249"/>
        <v/>
      </c>
      <c r="AA1554">
        <f>IF($V1554="",N($AA1553),IF(MATCH($V1554,$V$6:$V$10005,0)=ROW()-5,N($AA1553)+1,N($AA1553)))</f>
        <v>0</v>
      </c>
    </row>
    <row r="1555" spans="1:27" ht="21" customHeight="1" x14ac:dyDescent="0.95">
      <c r="A1555" s="56"/>
      <c r="B1555" s="57"/>
      <c r="C1555" s="57"/>
      <c r="D1555" s="57"/>
      <c r="E1555" s="56"/>
      <c r="F1555" s="57"/>
      <c r="G1555" s="57"/>
      <c r="H1555" s="56"/>
      <c r="I1555" s="56"/>
      <c r="J1555" s="58"/>
      <c r="K1555" s="58"/>
      <c r="L1555" s="13" t="str">
        <f t="shared" si="240"/>
        <v/>
      </c>
      <c r="M1555" s="13" t="str">
        <f t="shared" si="241"/>
        <v/>
      </c>
      <c r="Q1555" t="str">
        <f t="shared" si="242"/>
        <v/>
      </c>
      <c r="R1555" t="str">
        <f t="shared" si="243"/>
        <v/>
      </c>
      <c r="S1555" t="str">
        <f t="shared" si="244"/>
        <v/>
      </c>
      <c r="T1555" t="str">
        <f t="shared" si="245"/>
        <v/>
      </c>
      <c r="U1555" t="str">
        <f t="shared" si="246"/>
        <v/>
      </c>
      <c r="V1555" t="str">
        <f t="shared" si="247"/>
        <v/>
      </c>
      <c r="W1555" t="str">
        <f t="shared" si="248"/>
        <v/>
      </c>
      <c r="X1555">
        <f>IF($T1555="",N($X1554),IF(MATCH($T1555,$T$6:$T$10005,0)=ROW()-5,N($X1554)+1,N($X1554)))</f>
        <v>0</v>
      </c>
      <c r="Z1555" t="str">
        <f t="shared" si="249"/>
        <v/>
      </c>
      <c r="AA1555">
        <f>IF($V1555="",N($AA1554),IF(MATCH($V1555,$V$6:$V$10005,0)=ROW()-5,N($AA1554)+1,N($AA1554)))</f>
        <v>0</v>
      </c>
    </row>
    <row r="1556" spans="1:27" ht="21" customHeight="1" x14ac:dyDescent="0.95">
      <c r="A1556" s="56"/>
      <c r="B1556" s="57"/>
      <c r="C1556" s="57"/>
      <c r="D1556" s="57"/>
      <c r="E1556" s="56"/>
      <c r="F1556" s="57"/>
      <c r="G1556" s="57"/>
      <c r="H1556" s="56"/>
      <c r="I1556" s="56"/>
      <c r="J1556" s="58"/>
      <c r="K1556" s="58"/>
      <c r="L1556" s="13" t="str">
        <f t="shared" si="240"/>
        <v/>
      </c>
      <c r="M1556" s="13" t="str">
        <f t="shared" si="241"/>
        <v/>
      </c>
      <c r="Q1556" t="str">
        <f t="shared" si="242"/>
        <v/>
      </c>
      <c r="R1556" t="str">
        <f t="shared" si="243"/>
        <v/>
      </c>
      <c r="S1556" t="str">
        <f t="shared" si="244"/>
        <v/>
      </c>
      <c r="T1556" t="str">
        <f t="shared" si="245"/>
        <v/>
      </c>
      <c r="U1556" t="str">
        <f t="shared" si="246"/>
        <v/>
      </c>
      <c r="V1556" t="str">
        <f t="shared" si="247"/>
        <v/>
      </c>
      <c r="W1556" t="str">
        <f t="shared" si="248"/>
        <v/>
      </c>
      <c r="X1556">
        <f>IF($T1556="",N($X1555),IF(MATCH($T1556,$T$6:$T$10005,0)=ROW()-5,N($X1555)+1,N($X1555)))</f>
        <v>0</v>
      </c>
      <c r="Z1556" t="str">
        <f t="shared" si="249"/>
        <v/>
      </c>
      <c r="AA1556">
        <f>IF($V1556="",N($AA1555),IF(MATCH($V1556,$V$6:$V$10005,0)=ROW()-5,N($AA1555)+1,N($AA1555)))</f>
        <v>0</v>
      </c>
    </row>
    <row r="1557" spans="1:27" ht="21" customHeight="1" x14ac:dyDescent="0.95">
      <c r="A1557" s="56"/>
      <c r="B1557" s="57"/>
      <c r="C1557" s="57"/>
      <c r="D1557" s="57"/>
      <c r="E1557" s="56"/>
      <c r="F1557" s="57"/>
      <c r="G1557" s="57"/>
      <c r="H1557" s="56"/>
      <c r="I1557" s="56"/>
      <c r="J1557" s="58"/>
      <c r="K1557" s="58"/>
      <c r="L1557" s="13" t="str">
        <f t="shared" si="240"/>
        <v/>
      </c>
      <c r="M1557" s="13" t="str">
        <f t="shared" si="241"/>
        <v/>
      </c>
      <c r="Q1557" t="str">
        <f t="shared" si="242"/>
        <v/>
      </c>
      <c r="R1557" t="str">
        <f t="shared" si="243"/>
        <v/>
      </c>
      <c r="S1557" t="str">
        <f t="shared" si="244"/>
        <v/>
      </c>
      <c r="T1557" t="str">
        <f t="shared" si="245"/>
        <v/>
      </c>
      <c r="U1557" t="str">
        <f t="shared" si="246"/>
        <v/>
      </c>
      <c r="V1557" t="str">
        <f t="shared" si="247"/>
        <v/>
      </c>
      <c r="W1557" t="str">
        <f t="shared" si="248"/>
        <v/>
      </c>
      <c r="X1557">
        <f>IF($T1557="",N($X1556),IF(MATCH($T1557,$T$6:$T$10005,0)=ROW()-5,N($X1556)+1,N($X1556)))</f>
        <v>0</v>
      </c>
      <c r="Z1557" t="str">
        <f t="shared" si="249"/>
        <v/>
      </c>
      <c r="AA1557">
        <f>IF($V1557="",N($AA1556),IF(MATCH($V1557,$V$6:$V$10005,0)=ROW()-5,N($AA1556)+1,N($AA1556)))</f>
        <v>0</v>
      </c>
    </row>
    <row r="1558" spans="1:27" ht="21" customHeight="1" x14ac:dyDescent="0.95">
      <c r="A1558" s="56"/>
      <c r="B1558" s="57"/>
      <c r="C1558" s="57"/>
      <c r="D1558" s="57"/>
      <c r="E1558" s="56"/>
      <c r="F1558" s="57"/>
      <c r="G1558" s="57"/>
      <c r="H1558" s="56"/>
      <c r="I1558" s="56"/>
      <c r="J1558" s="58"/>
      <c r="K1558" s="58"/>
      <c r="L1558" s="13" t="str">
        <f t="shared" si="240"/>
        <v/>
      </c>
      <c r="M1558" s="13" t="str">
        <f t="shared" si="241"/>
        <v/>
      </c>
      <c r="Q1558" t="str">
        <f t="shared" si="242"/>
        <v/>
      </c>
      <c r="R1558" t="str">
        <f t="shared" si="243"/>
        <v/>
      </c>
      <c r="S1558" t="str">
        <f t="shared" si="244"/>
        <v/>
      </c>
      <c r="T1558" t="str">
        <f t="shared" si="245"/>
        <v/>
      </c>
      <c r="U1558" t="str">
        <f t="shared" si="246"/>
        <v/>
      </c>
      <c r="V1558" t="str">
        <f t="shared" si="247"/>
        <v/>
      </c>
      <c r="W1558" t="str">
        <f t="shared" si="248"/>
        <v/>
      </c>
      <c r="X1558">
        <f>IF($T1558="",N($X1557),IF(MATCH($T1558,$T$6:$T$10005,0)=ROW()-5,N($X1557)+1,N($X1557)))</f>
        <v>0</v>
      </c>
      <c r="Z1558" t="str">
        <f t="shared" si="249"/>
        <v/>
      </c>
      <c r="AA1558">
        <f>IF($V1558="",N($AA1557),IF(MATCH($V1558,$V$6:$V$10005,0)=ROW()-5,N($AA1557)+1,N($AA1557)))</f>
        <v>0</v>
      </c>
    </row>
    <row r="1559" spans="1:27" ht="21" customHeight="1" x14ac:dyDescent="0.95">
      <c r="A1559" s="56"/>
      <c r="B1559" s="57"/>
      <c r="C1559" s="57"/>
      <c r="D1559" s="57"/>
      <c r="E1559" s="56"/>
      <c r="F1559" s="57"/>
      <c r="G1559" s="57"/>
      <c r="H1559" s="56"/>
      <c r="I1559" s="56"/>
      <c r="J1559" s="58"/>
      <c r="K1559" s="58"/>
      <c r="L1559" s="13" t="str">
        <f t="shared" si="240"/>
        <v/>
      </c>
      <c r="M1559" s="13" t="str">
        <f t="shared" si="241"/>
        <v/>
      </c>
      <c r="Q1559" t="str">
        <f t="shared" si="242"/>
        <v/>
      </c>
      <c r="R1559" t="str">
        <f t="shared" si="243"/>
        <v/>
      </c>
      <c r="S1559" t="str">
        <f t="shared" si="244"/>
        <v/>
      </c>
      <c r="T1559" t="str">
        <f t="shared" si="245"/>
        <v/>
      </c>
      <c r="U1559" t="str">
        <f t="shared" si="246"/>
        <v/>
      </c>
      <c r="V1559" t="str">
        <f t="shared" si="247"/>
        <v/>
      </c>
      <c r="W1559" t="str">
        <f t="shared" si="248"/>
        <v/>
      </c>
      <c r="X1559">
        <f>IF($T1559="",N($X1558),IF(MATCH($T1559,$T$6:$T$10005,0)=ROW()-5,N($X1558)+1,N($X1558)))</f>
        <v>0</v>
      </c>
      <c r="Z1559" t="str">
        <f t="shared" si="249"/>
        <v/>
      </c>
      <c r="AA1559">
        <f>IF($V1559="",N($AA1558),IF(MATCH($V1559,$V$6:$V$10005,0)=ROW()-5,N($AA1558)+1,N($AA1558)))</f>
        <v>0</v>
      </c>
    </row>
    <row r="1560" spans="1:27" ht="21" customHeight="1" x14ac:dyDescent="0.95">
      <c r="A1560" s="56"/>
      <c r="B1560" s="57"/>
      <c r="C1560" s="57"/>
      <c r="D1560" s="57"/>
      <c r="E1560" s="56"/>
      <c r="F1560" s="57"/>
      <c r="G1560" s="57"/>
      <c r="H1560" s="56"/>
      <c r="I1560" s="56"/>
      <c r="J1560" s="58"/>
      <c r="K1560" s="58"/>
      <c r="L1560" s="13" t="str">
        <f t="shared" si="240"/>
        <v/>
      </c>
      <c r="M1560" s="13" t="str">
        <f t="shared" si="241"/>
        <v/>
      </c>
      <c r="Q1560" t="str">
        <f t="shared" si="242"/>
        <v/>
      </c>
      <c r="R1560" t="str">
        <f t="shared" si="243"/>
        <v/>
      </c>
      <c r="S1560" t="str">
        <f t="shared" si="244"/>
        <v/>
      </c>
      <c r="T1560" t="str">
        <f t="shared" si="245"/>
        <v/>
      </c>
      <c r="U1560" t="str">
        <f t="shared" si="246"/>
        <v/>
      </c>
      <c r="V1560" t="str">
        <f t="shared" si="247"/>
        <v/>
      </c>
      <c r="W1560" t="str">
        <f t="shared" si="248"/>
        <v/>
      </c>
      <c r="X1560">
        <f>IF($T1560="",N($X1559),IF(MATCH($T1560,$T$6:$T$10005,0)=ROW()-5,N($X1559)+1,N($X1559)))</f>
        <v>0</v>
      </c>
      <c r="Z1560" t="str">
        <f t="shared" si="249"/>
        <v/>
      </c>
      <c r="AA1560">
        <f>IF($V1560="",N($AA1559),IF(MATCH($V1560,$V$6:$V$10005,0)=ROW()-5,N($AA1559)+1,N($AA1559)))</f>
        <v>0</v>
      </c>
    </row>
    <row r="1561" spans="1:27" ht="21" customHeight="1" x14ac:dyDescent="0.95">
      <c r="A1561" s="56"/>
      <c r="B1561" s="57"/>
      <c r="C1561" s="57"/>
      <c r="D1561" s="57"/>
      <c r="E1561" s="56"/>
      <c r="F1561" s="57"/>
      <c r="G1561" s="57"/>
      <c r="H1561" s="56"/>
      <c r="I1561" s="56"/>
      <c r="J1561" s="58"/>
      <c r="K1561" s="58"/>
      <c r="L1561" s="13" t="str">
        <f t="shared" si="240"/>
        <v/>
      </c>
      <c r="M1561" s="13" t="str">
        <f t="shared" si="241"/>
        <v/>
      </c>
      <c r="Q1561" t="str">
        <f t="shared" si="242"/>
        <v/>
      </c>
      <c r="R1561" t="str">
        <f t="shared" si="243"/>
        <v/>
      </c>
      <c r="S1561" t="str">
        <f t="shared" si="244"/>
        <v/>
      </c>
      <c r="T1561" t="str">
        <f t="shared" si="245"/>
        <v/>
      </c>
      <c r="U1561" t="str">
        <f t="shared" si="246"/>
        <v/>
      </c>
      <c r="V1561" t="str">
        <f t="shared" si="247"/>
        <v/>
      </c>
      <c r="W1561" t="str">
        <f t="shared" si="248"/>
        <v/>
      </c>
      <c r="X1561">
        <f>IF($T1561="",N($X1560),IF(MATCH($T1561,$T$6:$T$10005,0)=ROW()-5,N($X1560)+1,N($X1560)))</f>
        <v>0</v>
      </c>
      <c r="Z1561" t="str">
        <f t="shared" si="249"/>
        <v/>
      </c>
      <c r="AA1561">
        <f>IF($V1561="",N($AA1560),IF(MATCH($V1561,$V$6:$V$10005,0)=ROW()-5,N($AA1560)+1,N($AA1560)))</f>
        <v>0</v>
      </c>
    </row>
    <row r="1562" spans="1:27" ht="21" customHeight="1" x14ac:dyDescent="0.95">
      <c r="A1562" s="56"/>
      <c r="B1562" s="57"/>
      <c r="C1562" s="57"/>
      <c r="D1562" s="57"/>
      <c r="E1562" s="56"/>
      <c r="F1562" s="57"/>
      <c r="G1562" s="57"/>
      <c r="H1562" s="56"/>
      <c r="I1562" s="56"/>
      <c r="J1562" s="58"/>
      <c r="K1562" s="58"/>
      <c r="L1562" s="13" t="str">
        <f t="shared" si="240"/>
        <v/>
      </c>
      <c r="M1562" s="13" t="str">
        <f t="shared" si="241"/>
        <v/>
      </c>
      <c r="Q1562" t="str">
        <f t="shared" si="242"/>
        <v/>
      </c>
      <c r="R1562" t="str">
        <f t="shared" si="243"/>
        <v/>
      </c>
      <c r="S1562" t="str">
        <f t="shared" si="244"/>
        <v/>
      </c>
      <c r="T1562" t="str">
        <f t="shared" si="245"/>
        <v/>
      </c>
      <c r="U1562" t="str">
        <f t="shared" si="246"/>
        <v/>
      </c>
      <c r="V1562" t="str">
        <f t="shared" si="247"/>
        <v/>
      </c>
      <c r="W1562" t="str">
        <f t="shared" si="248"/>
        <v/>
      </c>
      <c r="X1562">
        <f>IF($T1562="",N($X1561),IF(MATCH($T1562,$T$6:$T$10005,0)=ROW()-5,N($X1561)+1,N($X1561)))</f>
        <v>0</v>
      </c>
      <c r="Z1562" t="str">
        <f t="shared" si="249"/>
        <v/>
      </c>
      <c r="AA1562">
        <f>IF($V1562="",N($AA1561),IF(MATCH($V1562,$V$6:$V$10005,0)=ROW()-5,N($AA1561)+1,N($AA1561)))</f>
        <v>0</v>
      </c>
    </row>
    <row r="1563" spans="1:27" ht="21" customHeight="1" x14ac:dyDescent="0.95">
      <c r="A1563" s="56"/>
      <c r="B1563" s="57"/>
      <c r="C1563" s="57"/>
      <c r="D1563" s="57"/>
      <c r="E1563" s="56"/>
      <c r="F1563" s="57"/>
      <c r="G1563" s="57"/>
      <c r="H1563" s="56"/>
      <c r="I1563" s="56"/>
      <c r="J1563" s="58"/>
      <c r="K1563" s="58"/>
      <c r="L1563" s="13" t="str">
        <f t="shared" si="240"/>
        <v/>
      </c>
      <c r="M1563" s="13" t="str">
        <f t="shared" si="241"/>
        <v/>
      </c>
      <c r="Q1563" t="str">
        <f t="shared" si="242"/>
        <v/>
      </c>
      <c r="R1563" t="str">
        <f t="shared" si="243"/>
        <v/>
      </c>
      <c r="S1563" t="str">
        <f t="shared" si="244"/>
        <v/>
      </c>
      <c r="T1563" t="str">
        <f t="shared" si="245"/>
        <v/>
      </c>
      <c r="U1563" t="str">
        <f t="shared" si="246"/>
        <v/>
      </c>
      <c r="V1563" t="str">
        <f t="shared" si="247"/>
        <v/>
      </c>
      <c r="W1563" t="str">
        <f t="shared" si="248"/>
        <v/>
      </c>
      <c r="X1563">
        <f>IF($T1563="",N($X1562),IF(MATCH($T1563,$T$6:$T$10005,0)=ROW()-5,N($X1562)+1,N($X1562)))</f>
        <v>0</v>
      </c>
      <c r="Z1563" t="str">
        <f t="shared" si="249"/>
        <v/>
      </c>
      <c r="AA1563">
        <f>IF($V1563="",N($AA1562),IF(MATCH($V1563,$V$6:$V$10005,0)=ROW()-5,N($AA1562)+1,N($AA1562)))</f>
        <v>0</v>
      </c>
    </row>
    <row r="1564" spans="1:27" ht="21" customHeight="1" x14ac:dyDescent="0.95">
      <c r="A1564" s="56"/>
      <c r="B1564" s="57"/>
      <c r="C1564" s="57"/>
      <c r="D1564" s="57"/>
      <c r="E1564" s="56"/>
      <c r="F1564" s="57"/>
      <c r="G1564" s="57"/>
      <c r="H1564" s="56"/>
      <c r="I1564" s="56"/>
      <c r="J1564" s="58"/>
      <c r="K1564" s="58"/>
      <c r="L1564" s="13" t="str">
        <f t="shared" si="240"/>
        <v/>
      </c>
      <c r="M1564" s="13" t="str">
        <f t="shared" si="241"/>
        <v/>
      </c>
      <c r="Q1564" t="str">
        <f t="shared" si="242"/>
        <v/>
      </c>
      <c r="R1564" t="str">
        <f t="shared" si="243"/>
        <v/>
      </c>
      <c r="S1564" t="str">
        <f t="shared" si="244"/>
        <v/>
      </c>
      <c r="T1564" t="str">
        <f t="shared" si="245"/>
        <v/>
      </c>
      <c r="U1564" t="str">
        <f t="shared" si="246"/>
        <v/>
      </c>
      <c r="V1564" t="str">
        <f t="shared" si="247"/>
        <v/>
      </c>
      <c r="W1564" t="str">
        <f t="shared" si="248"/>
        <v/>
      </c>
      <c r="X1564">
        <f>IF($T1564="",N($X1563),IF(MATCH($T1564,$T$6:$T$10005,0)=ROW()-5,N($X1563)+1,N($X1563)))</f>
        <v>0</v>
      </c>
      <c r="Z1564" t="str">
        <f t="shared" si="249"/>
        <v/>
      </c>
      <c r="AA1564">
        <f>IF($V1564="",N($AA1563),IF(MATCH($V1564,$V$6:$V$10005,0)=ROW()-5,N($AA1563)+1,N($AA1563)))</f>
        <v>0</v>
      </c>
    </row>
    <row r="1565" spans="1:27" ht="21" customHeight="1" x14ac:dyDescent="0.95">
      <c r="A1565" s="56"/>
      <c r="B1565" s="57"/>
      <c r="C1565" s="57"/>
      <c r="D1565" s="57"/>
      <c r="E1565" s="56"/>
      <c r="F1565" s="57"/>
      <c r="G1565" s="57"/>
      <c r="H1565" s="56"/>
      <c r="I1565" s="56"/>
      <c r="J1565" s="58"/>
      <c r="K1565" s="58"/>
      <c r="L1565" s="13" t="str">
        <f t="shared" si="240"/>
        <v/>
      </c>
      <c r="M1565" s="13" t="str">
        <f t="shared" si="241"/>
        <v/>
      </c>
      <c r="Q1565" t="str">
        <f t="shared" si="242"/>
        <v/>
      </c>
      <c r="R1565" t="str">
        <f t="shared" si="243"/>
        <v/>
      </c>
      <c r="S1565" t="str">
        <f t="shared" si="244"/>
        <v/>
      </c>
      <c r="T1565" t="str">
        <f t="shared" si="245"/>
        <v/>
      </c>
      <c r="U1565" t="str">
        <f t="shared" si="246"/>
        <v/>
      </c>
      <c r="V1565" t="str">
        <f t="shared" si="247"/>
        <v/>
      </c>
      <c r="W1565" t="str">
        <f t="shared" si="248"/>
        <v/>
      </c>
      <c r="X1565">
        <f>IF($T1565="",N($X1564),IF(MATCH($T1565,$T$6:$T$10005,0)=ROW()-5,N($X1564)+1,N($X1564)))</f>
        <v>0</v>
      </c>
      <c r="Z1565" t="str">
        <f t="shared" si="249"/>
        <v/>
      </c>
      <c r="AA1565">
        <f>IF($V1565="",N($AA1564),IF(MATCH($V1565,$V$6:$V$10005,0)=ROW()-5,N($AA1564)+1,N($AA1564)))</f>
        <v>0</v>
      </c>
    </row>
    <row r="1566" spans="1:27" ht="21" customHeight="1" x14ac:dyDescent="0.95">
      <c r="A1566" s="56"/>
      <c r="B1566" s="57"/>
      <c r="C1566" s="57"/>
      <c r="D1566" s="57"/>
      <c r="E1566" s="56"/>
      <c r="F1566" s="57"/>
      <c r="G1566" s="57"/>
      <c r="H1566" s="56"/>
      <c r="I1566" s="56"/>
      <c r="J1566" s="58"/>
      <c r="K1566" s="58"/>
      <c r="L1566" s="13" t="str">
        <f t="shared" si="240"/>
        <v/>
      </c>
      <c r="M1566" s="13" t="str">
        <f t="shared" si="241"/>
        <v/>
      </c>
      <c r="Q1566" t="str">
        <f t="shared" si="242"/>
        <v/>
      </c>
      <c r="R1566" t="str">
        <f t="shared" si="243"/>
        <v/>
      </c>
      <c r="S1566" t="str">
        <f t="shared" si="244"/>
        <v/>
      </c>
      <c r="T1566" t="str">
        <f t="shared" si="245"/>
        <v/>
      </c>
      <c r="U1566" t="str">
        <f t="shared" si="246"/>
        <v/>
      </c>
      <c r="V1566" t="str">
        <f t="shared" si="247"/>
        <v/>
      </c>
      <c r="W1566" t="str">
        <f t="shared" si="248"/>
        <v/>
      </c>
      <c r="X1566">
        <f>IF($T1566="",N($X1565),IF(MATCH($T1566,$T$6:$T$10005,0)=ROW()-5,N($X1565)+1,N($X1565)))</f>
        <v>0</v>
      </c>
      <c r="Z1566" t="str">
        <f t="shared" si="249"/>
        <v/>
      </c>
      <c r="AA1566">
        <f>IF($V1566="",N($AA1565),IF(MATCH($V1566,$V$6:$V$10005,0)=ROW()-5,N($AA1565)+1,N($AA1565)))</f>
        <v>0</v>
      </c>
    </row>
    <row r="1567" spans="1:27" ht="21" customHeight="1" x14ac:dyDescent="0.95">
      <c r="A1567" s="56"/>
      <c r="B1567" s="57"/>
      <c r="C1567" s="57"/>
      <c r="D1567" s="57"/>
      <c r="E1567" s="56"/>
      <c r="F1567" s="57"/>
      <c r="G1567" s="57"/>
      <c r="H1567" s="56"/>
      <c r="I1567" s="56"/>
      <c r="J1567" s="58"/>
      <c r="K1567" s="58"/>
      <c r="L1567" s="13" t="str">
        <f t="shared" si="240"/>
        <v/>
      </c>
      <c r="M1567" s="13" t="str">
        <f t="shared" si="241"/>
        <v/>
      </c>
      <c r="Q1567" t="str">
        <f t="shared" si="242"/>
        <v/>
      </c>
      <c r="R1567" t="str">
        <f t="shared" si="243"/>
        <v/>
      </c>
      <c r="S1567" t="str">
        <f t="shared" si="244"/>
        <v/>
      </c>
      <c r="T1567" t="str">
        <f t="shared" si="245"/>
        <v/>
      </c>
      <c r="U1567" t="str">
        <f t="shared" si="246"/>
        <v/>
      </c>
      <c r="V1567" t="str">
        <f t="shared" si="247"/>
        <v/>
      </c>
      <c r="W1567" t="str">
        <f t="shared" si="248"/>
        <v/>
      </c>
      <c r="X1567">
        <f>IF($T1567="",N($X1566),IF(MATCH($T1567,$T$6:$T$10005,0)=ROW()-5,N($X1566)+1,N($X1566)))</f>
        <v>0</v>
      </c>
      <c r="Z1567" t="str">
        <f t="shared" si="249"/>
        <v/>
      </c>
      <c r="AA1567">
        <f>IF($V1567="",N($AA1566),IF(MATCH($V1567,$V$6:$V$10005,0)=ROW()-5,N($AA1566)+1,N($AA1566)))</f>
        <v>0</v>
      </c>
    </row>
    <row r="1568" spans="1:27" ht="21" customHeight="1" x14ac:dyDescent="0.95">
      <c r="A1568" s="56"/>
      <c r="B1568" s="57"/>
      <c r="C1568" s="57"/>
      <c r="D1568" s="57"/>
      <c r="E1568" s="56"/>
      <c r="F1568" s="57"/>
      <c r="G1568" s="57"/>
      <c r="H1568" s="56"/>
      <c r="I1568" s="56"/>
      <c r="J1568" s="58"/>
      <c r="K1568" s="58"/>
      <c r="L1568" s="13" t="str">
        <f t="shared" si="240"/>
        <v/>
      </c>
      <c r="M1568" s="13" t="str">
        <f t="shared" si="241"/>
        <v/>
      </c>
      <c r="Q1568" t="str">
        <f t="shared" si="242"/>
        <v/>
      </c>
      <c r="R1568" t="str">
        <f t="shared" si="243"/>
        <v/>
      </c>
      <c r="S1568" t="str">
        <f t="shared" si="244"/>
        <v/>
      </c>
      <c r="T1568" t="str">
        <f t="shared" si="245"/>
        <v/>
      </c>
      <c r="U1568" t="str">
        <f t="shared" si="246"/>
        <v/>
      </c>
      <c r="V1568" t="str">
        <f t="shared" si="247"/>
        <v/>
      </c>
      <c r="W1568" t="str">
        <f t="shared" si="248"/>
        <v/>
      </c>
      <c r="X1568">
        <f>IF($T1568="",N($X1567),IF(MATCH($T1568,$T$6:$T$10005,0)=ROW()-5,N($X1567)+1,N($X1567)))</f>
        <v>0</v>
      </c>
      <c r="Z1568" t="str">
        <f t="shared" si="249"/>
        <v/>
      </c>
      <c r="AA1568">
        <f>IF($V1568="",N($AA1567),IF(MATCH($V1568,$V$6:$V$10005,0)=ROW()-5,N($AA1567)+1,N($AA1567)))</f>
        <v>0</v>
      </c>
    </row>
    <row r="1569" spans="1:27" ht="21" customHeight="1" x14ac:dyDescent="0.95">
      <c r="A1569" s="56"/>
      <c r="B1569" s="57"/>
      <c r="C1569" s="57"/>
      <c r="D1569" s="57"/>
      <c r="E1569" s="56"/>
      <c r="F1569" s="57"/>
      <c r="G1569" s="57"/>
      <c r="H1569" s="56"/>
      <c r="I1569" s="56"/>
      <c r="J1569" s="58"/>
      <c r="K1569" s="58"/>
      <c r="L1569" s="13" t="str">
        <f t="shared" si="240"/>
        <v/>
      </c>
      <c r="M1569" s="13" t="str">
        <f t="shared" si="241"/>
        <v/>
      </c>
      <c r="Q1569" t="str">
        <f t="shared" si="242"/>
        <v/>
      </c>
      <c r="R1569" t="str">
        <f t="shared" si="243"/>
        <v/>
      </c>
      <c r="S1569" t="str">
        <f t="shared" si="244"/>
        <v/>
      </c>
      <c r="T1569" t="str">
        <f t="shared" si="245"/>
        <v/>
      </c>
      <c r="U1569" t="str">
        <f t="shared" si="246"/>
        <v/>
      </c>
      <c r="V1569" t="str">
        <f t="shared" si="247"/>
        <v/>
      </c>
      <c r="W1569" t="str">
        <f t="shared" si="248"/>
        <v/>
      </c>
      <c r="X1569">
        <f>IF($T1569="",N($X1568),IF(MATCH($T1569,$T$6:$T$10005,0)=ROW()-5,N($X1568)+1,N($X1568)))</f>
        <v>0</v>
      </c>
      <c r="Z1569" t="str">
        <f t="shared" si="249"/>
        <v/>
      </c>
      <c r="AA1569">
        <f>IF($V1569="",N($AA1568),IF(MATCH($V1569,$V$6:$V$10005,0)=ROW()-5,N($AA1568)+1,N($AA1568)))</f>
        <v>0</v>
      </c>
    </row>
    <row r="1570" spans="1:27" ht="21" customHeight="1" x14ac:dyDescent="0.95">
      <c r="A1570" s="56"/>
      <c r="B1570" s="57"/>
      <c r="C1570" s="57"/>
      <c r="D1570" s="57"/>
      <c r="E1570" s="56"/>
      <c r="F1570" s="57"/>
      <c r="G1570" s="57"/>
      <c r="H1570" s="56"/>
      <c r="I1570" s="56"/>
      <c r="J1570" s="58"/>
      <c r="K1570" s="58"/>
      <c r="L1570" s="13" t="str">
        <f t="shared" si="240"/>
        <v/>
      </c>
      <c r="M1570" s="13" t="str">
        <f t="shared" si="241"/>
        <v/>
      </c>
      <c r="Q1570" t="str">
        <f t="shared" si="242"/>
        <v/>
      </c>
      <c r="R1570" t="str">
        <f t="shared" si="243"/>
        <v/>
      </c>
      <c r="S1570" t="str">
        <f t="shared" si="244"/>
        <v/>
      </c>
      <c r="T1570" t="str">
        <f t="shared" si="245"/>
        <v/>
      </c>
      <c r="U1570" t="str">
        <f t="shared" si="246"/>
        <v/>
      </c>
      <c r="V1570" t="str">
        <f t="shared" si="247"/>
        <v/>
      </c>
      <c r="W1570" t="str">
        <f t="shared" si="248"/>
        <v/>
      </c>
      <c r="X1570">
        <f>IF($T1570="",N($X1569),IF(MATCH($T1570,$T$6:$T$10005,0)=ROW()-5,N($X1569)+1,N($X1569)))</f>
        <v>0</v>
      </c>
      <c r="Z1570" t="str">
        <f t="shared" si="249"/>
        <v/>
      </c>
      <c r="AA1570">
        <f>IF($V1570="",N($AA1569),IF(MATCH($V1570,$V$6:$V$10005,0)=ROW()-5,N($AA1569)+1,N($AA1569)))</f>
        <v>0</v>
      </c>
    </row>
    <row r="1571" spans="1:27" ht="21" customHeight="1" x14ac:dyDescent="0.95">
      <c r="A1571" s="56"/>
      <c r="B1571" s="57"/>
      <c r="C1571" s="57"/>
      <c r="D1571" s="57"/>
      <c r="E1571" s="56"/>
      <c r="F1571" s="57"/>
      <c r="G1571" s="57"/>
      <c r="H1571" s="56"/>
      <c r="I1571" s="56"/>
      <c r="J1571" s="58"/>
      <c r="K1571" s="58"/>
      <c r="L1571" s="13" t="str">
        <f t="shared" si="240"/>
        <v/>
      </c>
      <c r="M1571" s="13" t="str">
        <f t="shared" si="241"/>
        <v/>
      </c>
      <c r="Q1571" t="str">
        <f t="shared" si="242"/>
        <v/>
      </c>
      <c r="R1571" t="str">
        <f t="shared" si="243"/>
        <v/>
      </c>
      <c r="S1571" t="str">
        <f t="shared" si="244"/>
        <v/>
      </c>
      <c r="T1571" t="str">
        <f t="shared" si="245"/>
        <v/>
      </c>
      <c r="U1571" t="str">
        <f t="shared" si="246"/>
        <v/>
      </c>
      <c r="V1571" t="str">
        <f t="shared" si="247"/>
        <v/>
      </c>
      <c r="W1571" t="str">
        <f t="shared" si="248"/>
        <v/>
      </c>
      <c r="X1571">
        <f>IF($T1571="",N($X1570),IF(MATCH($T1571,$T$6:$T$10005,0)=ROW()-5,N($X1570)+1,N($X1570)))</f>
        <v>0</v>
      </c>
      <c r="Z1571" t="str">
        <f t="shared" si="249"/>
        <v/>
      </c>
      <c r="AA1571">
        <f>IF($V1571="",N($AA1570),IF(MATCH($V1571,$V$6:$V$10005,0)=ROW()-5,N($AA1570)+1,N($AA1570)))</f>
        <v>0</v>
      </c>
    </row>
    <row r="1572" spans="1:27" ht="21" customHeight="1" x14ac:dyDescent="0.95">
      <c r="A1572" s="56"/>
      <c r="B1572" s="57"/>
      <c r="C1572" s="57"/>
      <c r="D1572" s="57"/>
      <c r="E1572" s="56"/>
      <c r="F1572" s="57"/>
      <c r="G1572" s="57"/>
      <c r="H1572" s="56"/>
      <c r="I1572" s="56"/>
      <c r="J1572" s="58"/>
      <c r="K1572" s="58"/>
      <c r="L1572" s="13" t="str">
        <f t="shared" si="240"/>
        <v/>
      </c>
      <c r="M1572" s="13" t="str">
        <f t="shared" si="241"/>
        <v/>
      </c>
      <c r="Q1572" t="str">
        <f t="shared" si="242"/>
        <v/>
      </c>
      <c r="R1572" t="str">
        <f t="shared" si="243"/>
        <v/>
      </c>
      <c r="S1572" t="str">
        <f t="shared" si="244"/>
        <v/>
      </c>
      <c r="T1572" t="str">
        <f t="shared" si="245"/>
        <v/>
      </c>
      <c r="U1572" t="str">
        <f t="shared" si="246"/>
        <v/>
      </c>
      <c r="V1572" t="str">
        <f t="shared" si="247"/>
        <v/>
      </c>
      <c r="W1572" t="str">
        <f t="shared" si="248"/>
        <v/>
      </c>
      <c r="X1572">
        <f>IF($T1572="",N($X1571),IF(MATCH($T1572,$T$6:$T$10005,0)=ROW()-5,N($X1571)+1,N($X1571)))</f>
        <v>0</v>
      </c>
      <c r="Z1572" t="str">
        <f t="shared" si="249"/>
        <v/>
      </c>
      <c r="AA1572">
        <f>IF($V1572="",N($AA1571),IF(MATCH($V1572,$V$6:$V$10005,0)=ROW()-5,N($AA1571)+1,N($AA1571)))</f>
        <v>0</v>
      </c>
    </row>
    <row r="1573" spans="1:27" ht="21" customHeight="1" x14ac:dyDescent="0.95">
      <c r="A1573" s="56"/>
      <c r="B1573" s="57"/>
      <c r="C1573" s="57"/>
      <c r="D1573" s="57"/>
      <c r="E1573" s="56"/>
      <c r="F1573" s="57"/>
      <c r="G1573" s="57"/>
      <c r="H1573" s="56"/>
      <c r="I1573" s="56"/>
      <c r="J1573" s="58"/>
      <c r="K1573" s="58"/>
      <c r="L1573" s="13" t="str">
        <f t="shared" si="240"/>
        <v/>
      </c>
      <c r="M1573" s="13" t="str">
        <f t="shared" si="241"/>
        <v/>
      </c>
      <c r="Q1573" t="str">
        <f t="shared" si="242"/>
        <v/>
      </c>
      <c r="R1573" t="str">
        <f t="shared" si="243"/>
        <v/>
      </c>
      <c r="S1573" t="str">
        <f t="shared" si="244"/>
        <v/>
      </c>
      <c r="T1573" t="str">
        <f t="shared" si="245"/>
        <v/>
      </c>
      <c r="U1573" t="str">
        <f t="shared" si="246"/>
        <v/>
      </c>
      <c r="V1573" t="str">
        <f t="shared" si="247"/>
        <v/>
      </c>
      <c r="W1573" t="str">
        <f t="shared" si="248"/>
        <v/>
      </c>
      <c r="X1573">
        <f>IF($T1573="",N($X1572),IF(MATCH($T1573,$T$6:$T$10005,0)=ROW()-5,N($X1572)+1,N($X1572)))</f>
        <v>0</v>
      </c>
      <c r="Z1573" t="str">
        <f t="shared" si="249"/>
        <v/>
      </c>
      <c r="AA1573">
        <f>IF($V1573="",N($AA1572),IF(MATCH($V1573,$V$6:$V$10005,0)=ROW()-5,N($AA1572)+1,N($AA1572)))</f>
        <v>0</v>
      </c>
    </row>
    <row r="1574" spans="1:27" ht="21" customHeight="1" x14ac:dyDescent="0.95">
      <c r="A1574" s="56"/>
      <c r="B1574" s="57"/>
      <c r="C1574" s="57"/>
      <c r="D1574" s="57"/>
      <c r="E1574" s="56"/>
      <c r="F1574" s="57"/>
      <c r="G1574" s="57"/>
      <c r="H1574" s="56"/>
      <c r="I1574" s="56"/>
      <c r="J1574" s="58"/>
      <c r="K1574" s="58"/>
      <c r="L1574" s="13" t="str">
        <f t="shared" si="240"/>
        <v/>
      </c>
      <c r="M1574" s="13" t="str">
        <f t="shared" si="241"/>
        <v/>
      </c>
      <c r="Q1574" t="str">
        <f t="shared" si="242"/>
        <v/>
      </c>
      <c r="R1574" t="str">
        <f t="shared" si="243"/>
        <v/>
      </c>
      <c r="S1574" t="str">
        <f t="shared" si="244"/>
        <v/>
      </c>
      <c r="T1574" t="str">
        <f t="shared" si="245"/>
        <v/>
      </c>
      <c r="U1574" t="str">
        <f t="shared" si="246"/>
        <v/>
      </c>
      <c r="V1574" t="str">
        <f t="shared" si="247"/>
        <v/>
      </c>
      <c r="W1574" t="str">
        <f t="shared" si="248"/>
        <v/>
      </c>
      <c r="X1574">
        <f>IF($T1574="",N($X1573),IF(MATCH($T1574,$T$6:$T$10005,0)=ROW()-5,N($X1573)+1,N($X1573)))</f>
        <v>0</v>
      </c>
      <c r="Z1574" t="str">
        <f t="shared" si="249"/>
        <v/>
      </c>
      <c r="AA1574">
        <f>IF($V1574="",N($AA1573),IF(MATCH($V1574,$V$6:$V$10005,0)=ROW()-5,N($AA1573)+1,N($AA1573)))</f>
        <v>0</v>
      </c>
    </row>
    <row r="1575" spans="1:27" ht="21" customHeight="1" x14ac:dyDescent="0.95">
      <c r="A1575" s="56"/>
      <c r="B1575" s="57"/>
      <c r="C1575" s="57"/>
      <c r="D1575" s="57"/>
      <c r="E1575" s="56"/>
      <c r="F1575" s="57"/>
      <c r="G1575" s="57"/>
      <c r="H1575" s="56"/>
      <c r="I1575" s="56"/>
      <c r="J1575" s="58"/>
      <c r="K1575" s="58"/>
      <c r="L1575" s="13" t="str">
        <f t="shared" si="240"/>
        <v/>
      </c>
      <c r="M1575" s="13" t="str">
        <f t="shared" si="241"/>
        <v/>
      </c>
      <c r="Q1575" t="str">
        <f t="shared" si="242"/>
        <v/>
      </c>
      <c r="R1575" t="str">
        <f t="shared" si="243"/>
        <v/>
      </c>
      <c r="S1575" t="str">
        <f t="shared" si="244"/>
        <v/>
      </c>
      <c r="T1575" t="str">
        <f t="shared" si="245"/>
        <v/>
      </c>
      <c r="U1575" t="str">
        <f t="shared" si="246"/>
        <v/>
      </c>
      <c r="V1575" t="str">
        <f t="shared" si="247"/>
        <v/>
      </c>
      <c r="W1575" t="str">
        <f t="shared" si="248"/>
        <v/>
      </c>
      <c r="X1575">
        <f>IF($T1575="",N($X1574),IF(MATCH($T1575,$T$6:$T$10005,0)=ROW()-5,N($X1574)+1,N($X1574)))</f>
        <v>0</v>
      </c>
      <c r="Z1575" t="str">
        <f t="shared" si="249"/>
        <v/>
      </c>
      <c r="AA1575">
        <f>IF($V1575="",N($AA1574),IF(MATCH($V1575,$V$6:$V$10005,0)=ROW()-5,N($AA1574)+1,N($AA1574)))</f>
        <v>0</v>
      </c>
    </row>
    <row r="1576" spans="1:27" ht="21" customHeight="1" x14ac:dyDescent="0.95">
      <c r="A1576" s="56"/>
      <c r="B1576" s="57"/>
      <c r="C1576" s="57"/>
      <c r="D1576" s="57"/>
      <c r="E1576" s="56"/>
      <c r="F1576" s="57"/>
      <c r="G1576" s="57"/>
      <c r="H1576" s="56"/>
      <c r="I1576" s="56"/>
      <c r="J1576" s="58"/>
      <c r="K1576" s="58"/>
      <c r="L1576" s="13" t="str">
        <f t="shared" si="240"/>
        <v/>
      </c>
      <c r="M1576" s="13" t="str">
        <f t="shared" si="241"/>
        <v/>
      </c>
      <c r="Q1576" t="str">
        <f t="shared" si="242"/>
        <v/>
      </c>
      <c r="R1576" t="str">
        <f t="shared" si="243"/>
        <v/>
      </c>
      <c r="S1576" t="str">
        <f t="shared" si="244"/>
        <v/>
      </c>
      <c r="T1576" t="str">
        <f t="shared" si="245"/>
        <v/>
      </c>
      <c r="U1576" t="str">
        <f t="shared" si="246"/>
        <v/>
      </c>
      <c r="V1576" t="str">
        <f t="shared" si="247"/>
        <v/>
      </c>
      <c r="W1576" t="str">
        <f t="shared" si="248"/>
        <v/>
      </c>
      <c r="X1576">
        <f>IF($T1576="",N($X1575),IF(MATCH($T1576,$T$6:$T$10005,0)=ROW()-5,N($X1575)+1,N($X1575)))</f>
        <v>0</v>
      </c>
      <c r="Z1576" t="str">
        <f t="shared" si="249"/>
        <v/>
      </c>
      <c r="AA1576">
        <f>IF($V1576="",N($AA1575),IF(MATCH($V1576,$V$6:$V$10005,0)=ROW()-5,N($AA1575)+1,N($AA1575)))</f>
        <v>0</v>
      </c>
    </row>
    <row r="1577" spans="1:27" ht="21" customHeight="1" x14ac:dyDescent="0.95">
      <c r="A1577" s="56"/>
      <c r="B1577" s="57"/>
      <c r="C1577" s="57"/>
      <c r="D1577" s="57"/>
      <c r="E1577" s="56"/>
      <c r="F1577" s="57"/>
      <c r="G1577" s="57"/>
      <c r="H1577" s="56"/>
      <c r="I1577" s="56"/>
      <c r="J1577" s="58"/>
      <c r="K1577" s="58"/>
      <c r="L1577" s="13" t="str">
        <f t="shared" si="240"/>
        <v/>
      </c>
      <c r="M1577" s="13" t="str">
        <f t="shared" si="241"/>
        <v/>
      </c>
      <c r="Q1577" t="str">
        <f t="shared" si="242"/>
        <v/>
      </c>
      <c r="R1577" t="str">
        <f t="shared" si="243"/>
        <v/>
      </c>
      <c r="S1577" t="str">
        <f t="shared" si="244"/>
        <v/>
      </c>
      <c r="T1577" t="str">
        <f t="shared" si="245"/>
        <v/>
      </c>
      <c r="U1577" t="str">
        <f t="shared" si="246"/>
        <v/>
      </c>
      <c r="V1577" t="str">
        <f t="shared" si="247"/>
        <v/>
      </c>
      <c r="W1577" t="str">
        <f t="shared" si="248"/>
        <v/>
      </c>
      <c r="X1577">
        <f>IF($T1577="",N($X1576),IF(MATCH($T1577,$T$6:$T$10005,0)=ROW()-5,N($X1576)+1,N($X1576)))</f>
        <v>0</v>
      </c>
      <c r="Z1577" t="str">
        <f t="shared" si="249"/>
        <v/>
      </c>
      <c r="AA1577">
        <f>IF($V1577="",N($AA1576),IF(MATCH($V1577,$V$6:$V$10005,0)=ROW()-5,N($AA1576)+1,N($AA1576)))</f>
        <v>0</v>
      </c>
    </row>
    <row r="1578" spans="1:27" ht="21" customHeight="1" x14ac:dyDescent="0.95">
      <c r="A1578" s="56"/>
      <c r="B1578" s="57"/>
      <c r="C1578" s="57"/>
      <c r="D1578" s="57"/>
      <c r="E1578" s="56"/>
      <c r="F1578" s="57"/>
      <c r="G1578" s="57"/>
      <c r="H1578" s="56"/>
      <c r="I1578" s="56"/>
      <c r="J1578" s="58"/>
      <c r="K1578" s="58"/>
      <c r="L1578" s="13" t="str">
        <f t="shared" si="240"/>
        <v/>
      </c>
      <c r="M1578" s="13" t="str">
        <f t="shared" si="241"/>
        <v/>
      </c>
      <c r="Q1578" t="str">
        <f t="shared" si="242"/>
        <v/>
      </c>
      <c r="R1578" t="str">
        <f t="shared" si="243"/>
        <v/>
      </c>
      <c r="S1578" t="str">
        <f t="shared" si="244"/>
        <v/>
      </c>
      <c r="T1578" t="str">
        <f t="shared" si="245"/>
        <v/>
      </c>
      <c r="U1578" t="str">
        <f t="shared" si="246"/>
        <v/>
      </c>
      <c r="V1578" t="str">
        <f t="shared" si="247"/>
        <v/>
      </c>
      <c r="W1578" t="str">
        <f t="shared" si="248"/>
        <v/>
      </c>
      <c r="X1578">
        <f>IF($T1578="",N($X1577),IF(MATCH($T1578,$T$6:$T$10005,0)=ROW()-5,N($X1577)+1,N($X1577)))</f>
        <v>0</v>
      </c>
      <c r="Z1578" t="str">
        <f t="shared" si="249"/>
        <v/>
      </c>
      <c r="AA1578">
        <f>IF($V1578="",N($AA1577),IF(MATCH($V1578,$V$6:$V$10005,0)=ROW()-5,N($AA1577)+1,N($AA1577)))</f>
        <v>0</v>
      </c>
    </row>
    <row r="1579" spans="1:27" ht="21" customHeight="1" x14ac:dyDescent="0.95">
      <c r="A1579" s="56"/>
      <c r="B1579" s="57"/>
      <c r="C1579" s="57"/>
      <c r="D1579" s="57"/>
      <c r="E1579" s="56"/>
      <c r="F1579" s="57"/>
      <c r="G1579" s="57"/>
      <c r="H1579" s="56"/>
      <c r="I1579" s="56"/>
      <c r="J1579" s="58"/>
      <c r="K1579" s="58"/>
      <c r="L1579" s="13" t="str">
        <f t="shared" si="240"/>
        <v/>
      </c>
      <c r="M1579" s="13" t="str">
        <f t="shared" si="241"/>
        <v/>
      </c>
      <c r="Q1579" t="str">
        <f t="shared" si="242"/>
        <v/>
      </c>
      <c r="R1579" t="str">
        <f t="shared" si="243"/>
        <v/>
      </c>
      <c r="S1579" t="str">
        <f t="shared" si="244"/>
        <v/>
      </c>
      <c r="T1579" t="str">
        <f t="shared" si="245"/>
        <v/>
      </c>
      <c r="U1579" t="str">
        <f t="shared" si="246"/>
        <v/>
      </c>
      <c r="V1579" t="str">
        <f t="shared" si="247"/>
        <v/>
      </c>
      <c r="W1579" t="str">
        <f t="shared" si="248"/>
        <v/>
      </c>
      <c r="X1579">
        <f>IF($T1579="",N($X1578),IF(MATCH($T1579,$T$6:$T$10005,0)=ROW()-5,N($X1578)+1,N($X1578)))</f>
        <v>0</v>
      </c>
      <c r="Z1579" t="str">
        <f t="shared" si="249"/>
        <v/>
      </c>
      <c r="AA1579">
        <f>IF($V1579="",N($AA1578),IF(MATCH($V1579,$V$6:$V$10005,0)=ROW()-5,N($AA1578)+1,N($AA1578)))</f>
        <v>0</v>
      </c>
    </row>
    <row r="1580" spans="1:27" ht="21" customHeight="1" x14ac:dyDescent="0.95">
      <c r="A1580" s="56"/>
      <c r="B1580" s="57"/>
      <c r="C1580" s="57"/>
      <c r="D1580" s="57"/>
      <c r="E1580" s="56"/>
      <c r="F1580" s="57"/>
      <c r="G1580" s="57"/>
      <c r="H1580" s="56"/>
      <c r="I1580" s="56"/>
      <c r="J1580" s="58"/>
      <c r="K1580" s="58"/>
      <c r="L1580" s="13" t="str">
        <f t="shared" si="240"/>
        <v/>
      </c>
      <c r="M1580" s="13" t="str">
        <f t="shared" si="241"/>
        <v/>
      </c>
      <c r="Q1580" t="str">
        <f t="shared" si="242"/>
        <v/>
      </c>
      <c r="R1580" t="str">
        <f t="shared" si="243"/>
        <v/>
      </c>
      <c r="S1580" t="str">
        <f t="shared" si="244"/>
        <v/>
      </c>
      <c r="T1580" t="str">
        <f t="shared" si="245"/>
        <v/>
      </c>
      <c r="U1580" t="str">
        <f t="shared" si="246"/>
        <v/>
      </c>
      <c r="V1580" t="str">
        <f t="shared" si="247"/>
        <v/>
      </c>
      <c r="W1580" t="str">
        <f t="shared" si="248"/>
        <v/>
      </c>
      <c r="X1580">
        <f>IF($T1580="",N($X1579),IF(MATCH($T1580,$T$6:$T$10005,0)=ROW()-5,N($X1579)+1,N($X1579)))</f>
        <v>0</v>
      </c>
      <c r="Z1580" t="str">
        <f t="shared" si="249"/>
        <v/>
      </c>
      <c r="AA1580">
        <f>IF($V1580="",N($AA1579),IF(MATCH($V1580,$V$6:$V$10005,0)=ROW()-5,N($AA1579)+1,N($AA1579)))</f>
        <v>0</v>
      </c>
    </row>
    <row r="1581" spans="1:27" ht="21" customHeight="1" x14ac:dyDescent="0.95">
      <c r="A1581" s="56"/>
      <c r="B1581" s="57"/>
      <c r="C1581" s="57"/>
      <c r="D1581" s="57"/>
      <c r="E1581" s="56"/>
      <c r="F1581" s="57"/>
      <c r="G1581" s="57"/>
      <c r="H1581" s="56"/>
      <c r="I1581" s="56"/>
      <c r="J1581" s="58"/>
      <c r="K1581" s="58"/>
      <c r="L1581" s="13" t="str">
        <f t="shared" si="240"/>
        <v/>
      </c>
      <c r="M1581" s="13" t="str">
        <f t="shared" si="241"/>
        <v/>
      </c>
      <c r="Q1581" t="str">
        <f t="shared" si="242"/>
        <v/>
      </c>
      <c r="R1581" t="str">
        <f t="shared" si="243"/>
        <v/>
      </c>
      <c r="S1581" t="str">
        <f t="shared" si="244"/>
        <v/>
      </c>
      <c r="T1581" t="str">
        <f t="shared" si="245"/>
        <v/>
      </c>
      <c r="U1581" t="str">
        <f t="shared" si="246"/>
        <v/>
      </c>
      <c r="V1581" t="str">
        <f t="shared" si="247"/>
        <v/>
      </c>
      <c r="W1581" t="str">
        <f t="shared" si="248"/>
        <v/>
      </c>
      <c r="X1581">
        <f>IF($T1581="",N($X1580),IF(MATCH($T1581,$T$6:$T$10005,0)=ROW()-5,N($X1580)+1,N($X1580)))</f>
        <v>0</v>
      </c>
      <c r="Z1581" t="str">
        <f t="shared" si="249"/>
        <v/>
      </c>
      <c r="AA1581">
        <f>IF($V1581="",N($AA1580),IF(MATCH($V1581,$V$6:$V$10005,0)=ROW()-5,N($AA1580)+1,N($AA1580)))</f>
        <v>0</v>
      </c>
    </row>
    <row r="1582" spans="1:27" ht="21" customHeight="1" x14ac:dyDescent="0.95">
      <c r="A1582" s="56"/>
      <c r="B1582" s="57"/>
      <c r="C1582" s="57"/>
      <c r="D1582" s="57"/>
      <c r="E1582" s="56"/>
      <c r="F1582" s="57"/>
      <c r="G1582" s="57"/>
      <c r="H1582" s="56"/>
      <c r="I1582" s="56"/>
      <c r="J1582" s="58"/>
      <c r="K1582" s="58"/>
      <c r="L1582" s="13" t="str">
        <f t="shared" si="240"/>
        <v/>
      </c>
      <c r="M1582" s="13" t="str">
        <f t="shared" si="241"/>
        <v/>
      </c>
      <c r="Q1582" t="str">
        <f t="shared" si="242"/>
        <v/>
      </c>
      <c r="R1582" t="str">
        <f t="shared" si="243"/>
        <v/>
      </c>
      <c r="S1582" t="str">
        <f t="shared" si="244"/>
        <v/>
      </c>
      <c r="T1582" t="str">
        <f t="shared" si="245"/>
        <v/>
      </c>
      <c r="U1582" t="str">
        <f t="shared" si="246"/>
        <v/>
      </c>
      <c r="V1582" t="str">
        <f t="shared" si="247"/>
        <v/>
      </c>
      <c r="W1582" t="str">
        <f t="shared" si="248"/>
        <v/>
      </c>
      <c r="X1582">
        <f>IF($T1582="",N($X1581),IF(MATCH($T1582,$T$6:$T$10005,0)=ROW()-5,N($X1581)+1,N($X1581)))</f>
        <v>0</v>
      </c>
      <c r="Z1582" t="str">
        <f t="shared" si="249"/>
        <v/>
      </c>
      <c r="AA1582">
        <f>IF($V1582="",N($AA1581),IF(MATCH($V1582,$V$6:$V$10005,0)=ROW()-5,N($AA1581)+1,N($AA1581)))</f>
        <v>0</v>
      </c>
    </row>
    <row r="1583" spans="1:27" ht="21" customHeight="1" x14ac:dyDescent="0.95">
      <c r="A1583" s="56"/>
      <c r="B1583" s="57"/>
      <c r="C1583" s="57"/>
      <c r="D1583" s="57"/>
      <c r="E1583" s="56"/>
      <c r="F1583" s="57"/>
      <c r="G1583" s="57"/>
      <c r="H1583" s="56"/>
      <c r="I1583" s="56"/>
      <c r="J1583" s="58"/>
      <c r="K1583" s="58"/>
      <c r="L1583" s="13" t="str">
        <f t="shared" si="240"/>
        <v/>
      </c>
      <c r="M1583" s="13" t="str">
        <f t="shared" si="241"/>
        <v/>
      </c>
      <c r="Q1583" t="str">
        <f t="shared" si="242"/>
        <v/>
      </c>
      <c r="R1583" t="str">
        <f t="shared" si="243"/>
        <v/>
      </c>
      <c r="S1583" t="str">
        <f t="shared" si="244"/>
        <v/>
      </c>
      <c r="T1583" t="str">
        <f t="shared" si="245"/>
        <v/>
      </c>
      <c r="U1583" t="str">
        <f t="shared" si="246"/>
        <v/>
      </c>
      <c r="V1583" t="str">
        <f t="shared" si="247"/>
        <v/>
      </c>
      <c r="W1583" t="str">
        <f t="shared" si="248"/>
        <v/>
      </c>
      <c r="X1583">
        <f>IF($T1583="",N($X1582),IF(MATCH($T1583,$T$6:$T$10005,0)=ROW()-5,N($X1582)+1,N($X1582)))</f>
        <v>0</v>
      </c>
      <c r="Z1583" t="str">
        <f t="shared" si="249"/>
        <v/>
      </c>
      <c r="AA1583">
        <f>IF($V1583="",N($AA1582),IF(MATCH($V1583,$V$6:$V$10005,0)=ROW()-5,N($AA1582)+1,N($AA1582)))</f>
        <v>0</v>
      </c>
    </row>
    <row r="1584" spans="1:27" ht="21" customHeight="1" x14ac:dyDescent="0.95">
      <c r="A1584" s="56"/>
      <c r="B1584" s="57"/>
      <c r="C1584" s="57"/>
      <c r="D1584" s="57"/>
      <c r="E1584" s="56"/>
      <c r="F1584" s="57"/>
      <c r="G1584" s="57"/>
      <c r="H1584" s="56"/>
      <c r="I1584" s="56"/>
      <c r="J1584" s="58"/>
      <c r="K1584" s="58"/>
      <c r="L1584" s="13" t="str">
        <f t="shared" si="240"/>
        <v/>
      </c>
      <c r="M1584" s="13" t="str">
        <f t="shared" si="241"/>
        <v/>
      </c>
      <c r="Q1584" t="str">
        <f t="shared" si="242"/>
        <v/>
      </c>
      <c r="R1584" t="str">
        <f t="shared" si="243"/>
        <v/>
      </c>
      <c r="S1584" t="str">
        <f t="shared" si="244"/>
        <v/>
      </c>
      <c r="T1584" t="str">
        <f t="shared" si="245"/>
        <v/>
      </c>
      <c r="U1584" t="str">
        <f t="shared" si="246"/>
        <v/>
      </c>
      <c r="V1584" t="str">
        <f t="shared" si="247"/>
        <v/>
      </c>
      <c r="W1584" t="str">
        <f t="shared" si="248"/>
        <v/>
      </c>
      <c r="X1584">
        <f>IF($T1584="",N($X1583),IF(MATCH($T1584,$T$6:$T$10005,0)=ROW()-5,N($X1583)+1,N($X1583)))</f>
        <v>0</v>
      </c>
      <c r="Z1584" t="str">
        <f t="shared" si="249"/>
        <v/>
      </c>
      <c r="AA1584">
        <f>IF($V1584="",N($AA1583),IF(MATCH($V1584,$V$6:$V$10005,0)=ROW()-5,N($AA1583)+1,N($AA1583)))</f>
        <v>0</v>
      </c>
    </row>
    <row r="1585" spans="1:27" ht="21" customHeight="1" x14ac:dyDescent="0.95">
      <c r="A1585" s="56"/>
      <c r="B1585" s="57"/>
      <c r="C1585" s="57"/>
      <c r="D1585" s="57"/>
      <c r="E1585" s="56"/>
      <c r="F1585" s="57"/>
      <c r="G1585" s="57"/>
      <c r="H1585" s="56"/>
      <c r="I1585" s="56"/>
      <c r="J1585" s="58"/>
      <c r="K1585" s="58"/>
      <c r="L1585" s="13" t="str">
        <f t="shared" si="240"/>
        <v/>
      </c>
      <c r="M1585" s="13" t="str">
        <f t="shared" si="241"/>
        <v/>
      </c>
      <c r="Q1585" t="str">
        <f t="shared" si="242"/>
        <v/>
      </c>
      <c r="R1585" t="str">
        <f t="shared" si="243"/>
        <v/>
      </c>
      <c r="S1585" t="str">
        <f t="shared" si="244"/>
        <v/>
      </c>
      <c r="T1585" t="str">
        <f t="shared" si="245"/>
        <v/>
      </c>
      <c r="U1585" t="str">
        <f t="shared" si="246"/>
        <v/>
      </c>
      <c r="V1585" t="str">
        <f t="shared" si="247"/>
        <v/>
      </c>
      <c r="W1585" t="str">
        <f t="shared" si="248"/>
        <v/>
      </c>
      <c r="X1585">
        <f>IF($T1585="",N($X1584),IF(MATCH($T1585,$T$6:$T$10005,0)=ROW()-5,N($X1584)+1,N($X1584)))</f>
        <v>0</v>
      </c>
      <c r="Z1585" t="str">
        <f t="shared" si="249"/>
        <v/>
      </c>
      <c r="AA1585">
        <f>IF($V1585="",N($AA1584),IF(MATCH($V1585,$V$6:$V$10005,0)=ROW()-5,N($AA1584)+1,N($AA1584)))</f>
        <v>0</v>
      </c>
    </row>
    <row r="1586" spans="1:27" ht="21" customHeight="1" x14ac:dyDescent="0.95">
      <c r="A1586" s="56"/>
      <c r="B1586" s="57"/>
      <c r="C1586" s="57"/>
      <c r="D1586" s="57"/>
      <c r="E1586" s="56"/>
      <c r="F1586" s="57"/>
      <c r="G1586" s="57"/>
      <c r="H1586" s="56"/>
      <c r="I1586" s="56"/>
      <c r="J1586" s="58"/>
      <c r="K1586" s="58"/>
      <c r="L1586" s="13" t="str">
        <f t="shared" si="240"/>
        <v/>
      </c>
      <c r="M1586" s="13" t="str">
        <f t="shared" si="241"/>
        <v/>
      </c>
      <c r="Q1586" t="str">
        <f t="shared" si="242"/>
        <v/>
      </c>
      <c r="R1586" t="str">
        <f t="shared" si="243"/>
        <v/>
      </c>
      <c r="S1586" t="str">
        <f t="shared" si="244"/>
        <v/>
      </c>
      <c r="T1586" t="str">
        <f t="shared" si="245"/>
        <v/>
      </c>
      <c r="U1586" t="str">
        <f t="shared" si="246"/>
        <v/>
      </c>
      <c r="V1586" t="str">
        <f t="shared" si="247"/>
        <v/>
      </c>
      <c r="W1586" t="str">
        <f t="shared" si="248"/>
        <v/>
      </c>
      <c r="X1586">
        <f>IF($T1586="",N($X1585),IF(MATCH($T1586,$T$6:$T$10005,0)=ROW()-5,N($X1585)+1,N($X1585)))</f>
        <v>0</v>
      </c>
      <c r="Z1586" t="str">
        <f t="shared" si="249"/>
        <v/>
      </c>
      <c r="AA1586">
        <f>IF($V1586="",N($AA1585),IF(MATCH($V1586,$V$6:$V$10005,0)=ROW()-5,N($AA1585)+1,N($AA1585)))</f>
        <v>0</v>
      </c>
    </row>
    <row r="1587" spans="1:27" ht="21" customHeight="1" x14ac:dyDescent="0.95">
      <c r="A1587" s="56"/>
      <c r="B1587" s="57"/>
      <c r="C1587" s="57"/>
      <c r="D1587" s="57"/>
      <c r="E1587" s="56"/>
      <c r="F1587" s="57"/>
      <c r="G1587" s="57"/>
      <c r="H1587" s="56"/>
      <c r="I1587" s="56"/>
      <c r="J1587" s="58"/>
      <c r="K1587" s="58"/>
      <c r="L1587" s="13" t="str">
        <f t="shared" si="240"/>
        <v/>
      </c>
      <c r="M1587" s="13" t="str">
        <f t="shared" si="241"/>
        <v/>
      </c>
      <c r="Q1587" t="str">
        <f t="shared" si="242"/>
        <v/>
      </c>
      <c r="R1587" t="str">
        <f t="shared" si="243"/>
        <v/>
      </c>
      <c r="S1587" t="str">
        <f t="shared" si="244"/>
        <v/>
      </c>
      <c r="T1587" t="str">
        <f t="shared" si="245"/>
        <v/>
      </c>
      <c r="U1587" t="str">
        <f t="shared" si="246"/>
        <v/>
      </c>
      <c r="V1587" t="str">
        <f t="shared" si="247"/>
        <v/>
      </c>
      <c r="W1587" t="str">
        <f t="shared" si="248"/>
        <v/>
      </c>
      <c r="X1587">
        <f>IF($T1587="",N($X1586),IF(MATCH($T1587,$T$6:$T$10005,0)=ROW()-5,N($X1586)+1,N($X1586)))</f>
        <v>0</v>
      </c>
      <c r="Z1587" t="str">
        <f t="shared" si="249"/>
        <v/>
      </c>
      <c r="AA1587">
        <f>IF($V1587="",N($AA1586),IF(MATCH($V1587,$V$6:$V$10005,0)=ROW()-5,N($AA1586)+1,N($AA1586)))</f>
        <v>0</v>
      </c>
    </row>
    <row r="1588" spans="1:27" ht="21" customHeight="1" x14ac:dyDescent="0.95">
      <c r="A1588" s="56"/>
      <c r="B1588" s="57"/>
      <c r="C1588" s="57"/>
      <c r="D1588" s="57"/>
      <c r="E1588" s="56"/>
      <c r="F1588" s="57"/>
      <c r="G1588" s="57"/>
      <c r="H1588" s="56"/>
      <c r="I1588" s="56"/>
      <c r="J1588" s="58"/>
      <c r="K1588" s="58"/>
      <c r="L1588" s="13" t="str">
        <f t="shared" si="240"/>
        <v/>
      </c>
      <c r="M1588" s="13" t="str">
        <f t="shared" si="241"/>
        <v/>
      </c>
      <c r="Q1588" t="str">
        <f t="shared" si="242"/>
        <v/>
      </c>
      <c r="R1588" t="str">
        <f t="shared" si="243"/>
        <v/>
      </c>
      <c r="S1588" t="str">
        <f t="shared" si="244"/>
        <v/>
      </c>
      <c r="T1588" t="str">
        <f t="shared" si="245"/>
        <v/>
      </c>
      <c r="U1588" t="str">
        <f t="shared" si="246"/>
        <v/>
      </c>
      <c r="V1588" t="str">
        <f t="shared" si="247"/>
        <v/>
      </c>
      <c r="W1588" t="str">
        <f t="shared" si="248"/>
        <v/>
      </c>
      <c r="X1588">
        <f>IF($T1588="",N($X1587),IF(MATCH($T1588,$T$6:$T$10005,0)=ROW()-5,N($X1587)+1,N($X1587)))</f>
        <v>0</v>
      </c>
      <c r="Z1588" t="str">
        <f t="shared" si="249"/>
        <v/>
      </c>
      <c r="AA1588">
        <f>IF($V1588="",N($AA1587),IF(MATCH($V1588,$V$6:$V$10005,0)=ROW()-5,N($AA1587)+1,N($AA1587)))</f>
        <v>0</v>
      </c>
    </row>
    <row r="1589" spans="1:27" ht="21" customHeight="1" x14ac:dyDescent="0.95">
      <c r="A1589" s="56"/>
      <c r="B1589" s="57"/>
      <c r="C1589" s="57"/>
      <c r="D1589" s="57"/>
      <c r="E1589" s="56"/>
      <c r="F1589" s="57"/>
      <c r="G1589" s="57"/>
      <c r="H1589" s="56"/>
      <c r="I1589" s="56"/>
      <c r="J1589" s="58"/>
      <c r="K1589" s="58"/>
      <c r="L1589" s="13" t="str">
        <f t="shared" si="240"/>
        <v/>
      </c>
      <c r="M1589" s="13" t="str">
        <f t="shared" si="241"/>
        <v/>
      </c>
      <c r="Q1589" t="str">
        <f t="shared" si="242"/>
        <v/>
      </c>
      <c r="R1589" t="str">
        <f t="shared" si="243"/>
        <v/>
      </c>
      <c r="S1589" t="str">
        <f t="shared" si="244"/>
        <v/>
      </c>
      <c r="T1589" t="str">
        <f t="shared" si="245"/>
        <v/>
      </c>
      <c r="U1589" t="str">
        <f t="shared" si="246"/>
        <v/>
      </c>
      <c r="V1589" t="str">
        <f t="shared" si="247"/>
        <v/>
      </c>
      <c r="W1589" t="str">
        <f t="shared" si="248"/>
        <v/>
      </c>
      <c r="X1589">
        <f>IF($T1589="",N($X1588),IF(MATCH($T1589,$T$6:$T$10005,0)=ROW()-5,N($X1588)+1,N($X1588)))</f>
        <v>0</v>
      </c>
      <c r="Z1589" t="str">
        <f t="shared" si="249"/>
        <v/>
      </c>
      <c r="AA1589">
        <f>IF($V1589="",N($AA1588),IF(MATCH($V1589,$V$6:$V$10005,0)=ROW()-5,N($AA1588)+1,N($AA1588)))</f>
        <v>0</v>
      </c>
    </row>
    <row r="1590" spans="1:27" ht="21" customHeight="1" x14ac:dyDescent="0.95">
      <c r="A1590" s="56"/>
      <c r="B1590" s="57"/>
      <c r="C1590" s="57"/>
      <c r="D1590" s="57"/>
      <c r="E1590" s="56"/>
      <c r="F1590" s="57"/>
      <c r="G1590" s="57"/>
      <c r="H1590" s="56"/>
      <c r="I1590" s="56"/>
      <c r="J1590" s="58"/>
      <c r="K1590" s="58"/>
      <c r="L1590" s="13" t="str">
        <f t="shared" si="240"/>
        <v/>
      </c>
      <c r="M1590" s="13" t="str">
        <f t="shared" si="241"/>
        <v/>
      </c>
      <c r="Q1590" t="str">
        <f t="shared" si="242"/>
        <v/>
      </c>
      <c r="R1590" t="str">
        <f t="shared" si="243"/>
        <v/>
      </c>
      <c r="S1590" t="str">
        <f t="shared" si="244"/>
        <v/>
      </c>
      <c r="T1590" t="str">
        <f t="shared" si="245"/>
        <v/>
      </c>
      <c r="U1590" t="str">
        <f t="shared" si="246"/>
        <v/>
      </c>
      <c r="V1590" t="str">
        <f t="shared" si="247"/>
        <v/>
      </c>
      <c r="W1590" t="str">
        <f t="shared" si="248"/>
        <v/>
      </c>
      <c r="X1590">
        <f>IF($T1590="",N($X1589),IF(MATCH($T1590,$T$6:$T$10005,0)=ROW()-5,N($X1589)+1,N($X1589)))</f>
        <v>0</v>
      </c>
      <c r="Z1590" t="str">
        <f t="shared" si="249"/>
        <v/>
      </c>
      <c r="AA1590">
        <f>IF($V1590="",N($AA1589),IF(MATCH($V1590,$V$6:$V$10005,0)=ROW()-5,N($AA1589)+1,N($AA1589)))</f>
        <v>0</v>
      </c>
    </row>
    <row r="1591" spans="1:27" ht="21" customHeight="1" x14ac:dyDescent="0.95">
      <c r="A1591" s="56"/>
      <c r="B1591" s="57"/>
      <c r="C1591" s="57"/>
      <c r="D1591" s="57"/>
      <c r="E1591" s="56"/>
      <c r="F1591" s="57"/>
      <c r="G1591" s="57"/>
      <c r="H1591" s="56"/>
      <c r="I1591" s="56"/>
      <c r="J1591" s="58"/>
      <c r="K1591" s="58"/>
      <c r="L1591" s="13" t="str">
        <f t="shared" si="240"/>
        <v/>
      </c>
      <c r="M1591" s="13" t="str">
        <f t="shared" si="241"/>
        <v/>
      </c>
      <c r="Q1591" t="str">
        <f t="shared" si="242"/>
        <v/>
      </c>
      <c r="R1591" t="str">
        <f t="shared" si="243"/>
        <v/>
      </c>
      <c r="S1591" t="str">
        <f t="shared" si="244"/>
        <v/>
      </c>
      <c r="T1591" t="str">
        <f t="shared" si="245"/>
        <v/>
      </c>
      <c r="U1591" t="str">
        <f t="shared" si="246"/>
        <v/>
      </c>
      <c r="V1591" t="str">
        <f t="shared" si="247"/>
        <v/>
      </c>
      <c r="W1591" t="str">
        <f t="shared" si="248"/>
        <v/>
      </c>
      <c r="X1591">
        <f>IF($T1591="",N($X1590),IF(MATCH($T1591,$T$6:$T$10005,0)=ROW()-5,N($X1590)+1,N($X1590)))</f>
        <v>0</v>
      </c>
      <c r="Z1591" t="str">
        <f t="shared" si="249"/>
        <v/>
      </c>
      <c r="AA1591">
        <f>IF($V1591="",N($AA1590),IF(MATCH($V1591,$V$6:$V$10005,0)=ROW()-5,N($AA1590)+1,N($AA1590)))</f>
        <v>0</v>
      </c>
    </row>
    <row r="1592" spans="1:27" ht="21" customHeight="1" x14ac:dyDescent="0.95">
      <c r="A1592" s="56"/>
      <c r="B1592" s="57"/>
      <c r="C1592" s="57"/>
      <c r="D1592" s="57"/>
      <c r="E1592" s="56"/>
      <c r="F1592" s="57"/>
      <c r="G1592" s="57"/>
      <c r="H1592" s="56"/>
      <c r="I1592" s="56"/>
      <c r="J1592" s="58"/>
      <c r="K1592" s="58"/>
      <c r="L1592" s="13" t="str">
        <f t="shared" si="240"/>
        <v/>
      </c>
      <c r="M1592" s="13" t="str">
        <f t="shared" si="241"/>
        <v/>
      </c>
      <c r="Q1592" t="str">
        <f t="shared" si="242"/>
        <v/>
      </c>
      <c r="R1592" t="str">
        <f t="shared" si="243"/>
        <v/>
      </c>
      <c r="S1592" t="str">
        <f t="shared" si="244"/>
        <v/>
      </c>
      <c r="T1592" t="str">
        <f t="shared" si="245"/>
        <v/>
      </c>
      <c r="U1592" t="str">
        <f t="shared" si="246"/>
        <v/>
      </c>
      <c r="V1592" t="str">
        <f t="shared" si="247"/>
        <v/>
      </c>
      <c r="W1592" t="str">
        <f t="shared" si="248"/>
        <v/>
      </c>
      <c r="X1592">
        <f>IF($T1592="",N($X1591),IF(MATCH($T1592,$T$6:$T$10005,0)=ROW()-5,N($X1591)+1,N($X1591)))</f>
        <v>0</v>
      </c>
      <c r="Z1592" t="str">
        <f t="shared" si="249"/>
        <v/>
      </c>
      <c r="AA1592">
        <f>IF($V1592="",N($AA1591),IF(MATCH($V1592,$V$6:$V$10005,0)=ROW()-5,N($AA1591)+1,N($AA1591)))</f>
        <v>0</v>
      </c>
    </row>
    <row r="1593" spans="1:27" ht="21" customHeight="1" x14ac:dyDescent="0.95">
      <c r="A1593" s="56"/>
      <c r="B1593" s="57"/>
      <c r="C1593" s="57"/>
      <c r="D1593" s="57"/>
      <c r="E1593" s="56"/>
      <c r="F1593" s="57"/>
      <c r="G1593" s="57"/>
      <c r="H1593" s="56"/>
      <c r="I1593" s="56"/>
      <c r="J1593" s="58"/>
      <c r="K1593" s="58"/>
      <c r="L1593" s="13" t="str">
        <f t="shared" si="240"/>
        <v/>
      </c>
      <c r="M1593" s="13" t="str">
        <f t="shared" si="241"/>
        <v/>
      </c>
      <c r="Q1593" t="str">
        <f t="shared" si="242"/>
        <v/>
      </c>
      <c r="R1593" t="str">
        <f t="shared" si="243"/>
        <v/>
      </c>
      <c r="S1593" t="str">
        <f t="shared" si="244"/>
        <v/>
      </c>
      <c r="T1593" t="str">
        <f t="shared" si="245"/>
        <v/>
      </c>
      <c r="U1593" t="str">
        <f t="shared" si="246"/>
        <v/>
      </c>
      <c r="V1593" t="str">
        <f t="shared" si="247"/>
        <v/>
      </c>
      <c r="W1593" t="str">
        <f t="shared" si="248"/>
        <v/>
      </c>
      <c r="X1593">
        <f>IF($T1593="",N($X1592),IF(MATCH($T1593,$T$6:$T$10005,0)=ROW()-5,N($X1592)+1,N($X1592)))</f>
        <v>0</v>
      </c>
      <c r="Z1593" t="str">
        <f t="shared" si="249"/>
        <v/>
      </c>
      <c r="AA1593">
        <f>IF($V1593="",N($AA1592),IF(MATCH($V1593,$V$6:$V$10005,0)=ROW()-5,N($AA1592)+1,N($AA1592)))</f>
        <v>0</v>
      </c>
    </row>
    <row r="1594" spans="1:27" ht="21" customHeight="1" x14ac:dyDescent="0.95">
      <c r="A1594" s="56"/>
      <c r="B1594" s="57"/>
      <c r="C1594" s="57"/>
      <c r="D1594" s="57"/>
      <c r="E1594" s="56"/>
      <c r="F1594" s="57"/>
      <c r="G1594" s="57"/>
      <c r="H1594" s="56"/>
      <c r="I1594" s="56"/>
      <c r="J1594" s="58"/>
      <c r="K1594" s="58"/>
      <c r="L1594" s="13" t="str">
        <f t="shared" si="240"/>
        <v/>
      </c>
      <c r="M1594" s="13" t="str">
        <f t="shared" si="241"/>
        <v/>
      </c>
      <c r="Q1594" t="str">
        <f t="shared" si="242"/>
        <v/>
      </c>
      <c r="R1594" t="str">
        <f t="shared" si="243"/>
        <v/>
      </c>
      <c r="S1594" t="str">
        <f t="shared" si="244"/>
        <v/>
      </c>
      <c r="T1594" t="str">
        <f t="shared" si="245"/>
        <v/>
      </c>
      <c r="U1594" t="str">
        <f t="shared" si="246"/>
        <v/>
      </c>
      <c r="V1594" t="str">
        <f t="shared" si="247"/>
        <v/>
      </c>
      <c r="W1594" t="str">
        <f t="shared" si="248"/>
        <v/>
      </c>
      <c r="X1594">
        <f>IF($T1594="",N($X1593),IF(MATCH($T1594,$T$6:$T$10005,0)=ROW()-5,N($X1593)+1,N($X1593)))</f>
        <v>0</v>
      </c>
      <c r="Z1594" t="str">
        <f t="shared" si="249"/>
        <v/>
      </c>
      <c r="AA1594">
        <f>IF($V1594="",N($AA1593),IF(MATCH($V1594,$V$6:$V$10005,0)=ROW()-5,N($AA1593)+1,N($AA1593)))</f>
        <v>0</v>
      </c>
    </row>
    <row r="1595" spans="1:27" ht="21" customHeight="1" x14ac:dyDescent="0.95">
      <c r="A1595" s="56"/>
      <c r="B1595" s="57"/>
      <c r="C1595" s="57"/>
      <c r="D1595" s="57"/>
      <c r="E1595" s="56"/>
      <c r="F1595" s="57"/>
      <c r="G1595" s="57"/>
      <c r="H1595" s="56"/>
      <c r="I1595" s="56"/>
      <c r="J1595" s="58"/>
      <c r="K1595" s="58"/>
      <c r="L1595" s="13" t="str">
        <f t="shared" si="240"/>
        <v/>
      </c>
      <c r="M1595" s="13" t="str">
        <f t="shared" si="241"/>
        <v/>
      </c>
      <c r="Q1595" t="str">
        <f t="shared" si="242"/>
        <v/>
      </c>
      <c r="R1595" t="str">
        <f t="shared" si="243"/>
        <v/>
      </c>
      <c r="S1595" t="str">
        <f t="shared" si="244"/>
        <v/>
      </c>
      <c r="T1595" t="str">
        <f t="shared" si="245"/>
        <v/>
      </c>
      <c r="U1595" t="str">
        <f t="shared" si="246"/>
        <v/>
      </c>
      <c r="V1595" t="str">
        <f t="shared" si="247"/>
        <v/>
      </c>
      <c r="W1595" t="str">
        <f t="shared" si="248"/>
        <v/>
      </c>
      <c r="X1595">
        <f>IF($T1595="",N($X1594),IF(MATCH($T1595,$T$6:$T$10005,0)=ROW()-5,N($X1594)+1,N($X1594)))</f>
        <v>0</v>
      </c>
      <c r="Z1595" t="str">
        <f t="shared" si="249"/>
        <v/>
      </c>
      <c r="AA1595">
        <f>IF($V1595="",N($AA1594),IF(MATCH($V1595,$V$6:$V$10005,0)=ROW()-5,N($AA1594)+1,N($AA1594)))</f>
        <v>0</v>
      </c>
    </row>
    <row r="1596" spans="1:27" ht="21" customHeight="1" x14ac:dyDescent="0.95">
      <c r="A1596" s="56"/>
      <c r="B1596" s="57"/>
      <c r="C1596" s="57"/>
      <c r="D1596" s="57"/>
      <c r="E1596" s="56"/>
      <c r="F1596" s="57"/>
      <c r="G1596" s="57"/>
      <c r="H1596" s="56"/>
      <c r="I1596" s="56"/>
      <c r="J1596" s="58"/>
      <c r="K1596" s="58"/>
      <c r="L1596" s="13" t="str">
        <f t="shared" si="240"/>
        <v/>
      </c>
      <c r="M1596" s="13" t="str">
        <f t="shared" si="241"/>
        <v/>
      </c>
      <c r="Q1596" t="str">
        <f t="shared" si="242"/>
        <v/>
      </c>
      <c r="R1596" t="str">
        <f t="shared" si="243"/>
        <v/>
      </c>
      <c r="S1596" t="str">
        <f t="shared" si="244"/>
        <v/>
      </c>
      <c r="T1596" t="str">
        <f t="shared" si="245"/>
        <v/>
      </c>
      <c r="U1596" t="str">
        <f t="shared" si="246"/>
        <v/>
      </c>
      <c r="V1596" t="str">
        <f t="shared" si="247"/>
        <v/>
      </c>
      <c r="W1596" t="str">
        <f t="shared" si="248"/>
        <v/>
      </c>
      <c r="X1596">
        <f>IF($T1596="",N($X1595),IF(MATCH($T1596,$T$6:$T$10005,0)=ROW()-5,N($X1595)+1,N($X1595)))</f>
        <v>0</v>
      </c>
      <c r="Z1596" t="str">
        <f t="shared" si="249"/>
        <v/>
      </c>
      <c r="AA1596">
        <f>IF($V1596="",N($AA1595),IF(MATCH($V1596,$V$6:$V$10005,0)=ROW()-5,N($AA1595)+1,N($AA1595)))</f>
        <v>0</v>
      </c>
    </row>
    <row r="1597" spans="1:27" ht="21" customHeight="1" x14ac:dyDescent="0.95">
      <c r="A1597" s="56"/>
      <c r="B1597" s="57"/>
      <c r="C1597" s="57"/>
      <c r="D1597" s="57"/>
      <c r="E1597" s="56"/>
      <c r="F1597" s="57"/>
      <c r="G1597" s="57"/>
      <c r="H1597" s="56"/>
      <c r="I1597" s="56"/>
      <c r="J1597" s="58"/>
      <c r="K1597" s="58"/>
      <c r="L1597" s="13" t="str">
        <f t="shared" si="240"/>
        <v/>
      </c>
      <c r="M1597" s="13" t="str">
        <f t="shared" si="241"/>
        <v/>
      </c>
      <c r="Q1597" t="str">
        <f t="shared" si="242"/>
        <v/>
      </c>
      <c r="R1597" t="str">
        <f t="shared" si="243"/>
        <v/>
      </c>
      <c r="S1597" t="str">
        <f t="shared" si="244"/>
        <v/>
      </c>
      <c r="T1597" t="str">
        <f t="shared" si="245"/>
        <v/>
      </c>
      <c r="U1597" t="str">
        <f t="shared" si="246"/>
        <v/>
      </c>
      <c r="V1597" t="str">
        <f t="shared" si="247"/>
        <v/>
      </c>
      <c r="W1597" t="str">
        <f t="shared" si="248"/>
        <v/>
      </c>
      <c r="X1597">
        <f>IF($T1597="",N($X1596),IF(MATCH($T1597,$T$6:$T$10005,0)=ROW()-5,N($X1596)+1,N($X1596)))</f>
        <v>0</v>
      </c>
      <c r="Z1597" t="str">
        <f t="shared" si="249"/>
        <v/>
      </c>
      <c r="AA1597">
        <f>IF($V1597="",N($AA1596),IF(MATCH($V1597,$V$6:$V$10005,0)=ROW()-5,N($AA1596)+1,N($AA1596)))</f>
        <v>0</v>
      </c>
    </row>
    <row r="1598" spans="1:27" ht="21" customHeight="1" x14ac:dyDescent="0.95">
      <c r="A1598" s="56"/>
      <c r="B1598" s="57"/>
      <c r="C1598" s="57"/>
      <c r="D1598" s="57"/>
      <c r="E1598" s="56"/>
      <c r="F1598" s="57"/>
      <c r="G1598" s="57"/>
      <c r="H1598" s="56"/>
      <c r="I1598" s="56"/>
      <c r="J1598" s="58"/>
      <c r="K1598" s="58"/>
      <c r="L1598" s="13" t="str">
        <f t="shared" si="240"/>
        <v/>
      </c>
      <c r="M1598" s="13" t="str">
        <f t="shared" si="241"/>
        <v/>
      </c>
      <c r="Q1598" t="str">
        <f t="shared" si="242"/>
        <v/>
      </c>
      <c r="R1598" t="str">
        <f t="shared" si="243"/>
        <v/>
      </c>
      <c r="S1598" t="str">
        <f t="shared" si="244"/>
        <v/>
      </c>
      <c r="T1598" t="str">
        <f t="shared" si="245"/>
        <v/>
      </c>
      <c r="U1598" t="str">
        <f t="shared" si="246"/>
        <v/>
      </c>
      <c r="V1598" t="str">
        <f t="shared" si="247"/>
        <v/>
      </c>
      <c r="W1598" t="str">
        <f t="shared" si="248"/>
        <v/>
      </c>
      <c r="X1598">
        <f>IF($T1598="",N($X1597),IF(MATCH($T1598,$T$6:$T$10005,0)=ROW()-5,N($X1597)+1,N($X1597)))</f>
        <v>0</v>
      </c>
      <c r="Z1598" t="str">
        <f t="shared" si="249"/>
        <v/>
      </c>
      <c r="AA1598">
        <f>IF($V1598="",N($AA1597),IF(MATCH($V1598,$V$6:$V$10005,0)=ROW()-5,N($AA1597)+1,N($AA1597)))</f>
        <v>0</v>
      </c>
    </row>
    <row r="1599" spans="1:27" ht="21" customHeight="1" x14ac:dyDescent="0.95">
      <c r="A1599" s="56"/>
      <c r="B1599" s="57"/>
      <c r="C1599" s="57"/>
      <c r="D1599" s="57"/>
      <c r="E1599" s="56"/>
      <c r="F1599" s="57"/>
      <c r="G1599" s="57"/>
      <c r="H1599" s="56"/>
      <c r="I1599" s="56"/>
      <c r="J1599" s="58"/>
      <c r="K1599" s="58"/>
      <c r="L1599" s="13" t="str">
        <f t="shared" si="240"/>
        <v/>
      </c>
      <c r="M1599" s="13" t="str">
        <f t="shared" si="241"/>
        <v/>
      </c>
      <c r="Q1599" t="str">
        <f t="shared" si="242"/>
        <v/>
      </c>
      <c r="R1599" t="str">
        <f t="shared" si="243"/>
        <v/>
      </c>
      <c r="S1599" t="str">
        <f t="shared" si="244"/>
        <v/>
      </c>
      <c r="T1599" t="str">
        <f t="shared" si="245"/>
        <v/>
      </c>
      <c r="U1599" t="str">
        <f t="shared" si="246"/>
        <v/>
      </c>
      <c r="V1599" t="str">
        <f t="shared" si="247"/>
        <v/>
      </c>
      <c r="W1599" t="str">
        <f t="shared" si="248"/>
        <v/>
      </c>
      <c r="X1599">
        <f>IF($T1599="",N($X1598),IF(MATCH($T1599,$T$6:$T$10005,0)=ROW()-5,N($X1598)+1,N($X1598)))</f>
        <v>0</v>
      </c>
      <c r="Z1599" t="str">
        <f t="shared" si="249"/>
        <v/>
      </c>
      <c r="AA1599">
        <f>IF($V1599="",N($AA1598),IF(MATCH($V1599,$V$6:$V$10005,0)=ROW()-5,N($AA1598)+1,N($AA1598)))</f>
        <v>0</v>
      </c>
    </row>
    <row r="1600" spans="1:27" ht="21" customHeight="1" x14ac:dyDescent="0.95">
      <c r="A1600" s="56"/>
      <c r="B1600" s="57"/>
      <c r="C1600" s="57"/>
      <c r="D1600" s="57"/>
      <c r="E1600" s="56"/>
      <c r="F1600" s="57"/>
      <c r="G1600" s="57"/>
      <c r="H1600" s="56"/>
      <c r="I1600" s="56"/>
      <c r="J1600" s="58"/>
      <c r="K1600" s="58"/>
      <c r="L1600" s="13" t="str">
        <f t="shared" si="240"/>
        <v/>
      </c>
      <c r="M1600" s="13" t="str">
        <f t="shared" si="241"/>
        <v/>
      </c>
      <c r="Q1600" t="str">
        <f t="shared" si="242"/>
        <v/>
      </c>
      <c r="R1600" t="str">
        <f t="shared" si="243"/>
        <v/>
      </c>
      <c r="S1600" t="str">
        <f t="shared" si="244"/>
        <v/>
      </c>
      <c r="T1600" t="str">
        <f t="shared" si="245"/>
        <v/>
      </c>
      <c r="U1600" t="str">
        <f t="shared" si="246"/>
        <v/>
      </c>
      <c r="V1600" t="str">
        <f t="shared" si="247"/>
        <v/>
      </c>
      <c r="W1600" t="str">
        <f t="shared" si="248"/>
        <v/>
      </c>
      <c r="X1600">
        <f>IF($T1600="",N($X1599),IF(MATCH($T1600,$T$6:$T$10005,0)=ROW()-5,N($X1599)+1,N($X1599)))</f>
        <v>0</v>
      </c>
      <c r="Z1600" t="str">
        <f t="shared" si="249"/>
        <v/>
      </c>
      <c r="AA1600">
        <f>IF($V1600="",N($AA1599),IF(MATCH($V1600,$V$6:$V$10005,0)=ROW()-5,N($AA1599)+1,N($AA1599)))</f>
        <v>0</v>
      </c>
    </row>
    <row r="1601" spans="1:27" ht="21" customHeight="1" x14ac:dyDescent="0.95">
      <c r="A1601" s="56"/>
      <c r="B1601" s="57"/>
      <c r="C1601" s="57"/>
      <c r="D1601" s="57"/>
      <c r="E1601" s="56"/>
      <c r="F1601" s="57"/>
      <c r="G1601" s="57"/>
      <c r="H1601" s="56"/>
      <c r="I1601" s="56"/>
      <c r="J1601" s="58"/>
      <c r="K1601" s="58"/>
      <c r="L1601" s="13" t="str">
        <f t="shared" si="240"/>
        <v/>
      </c>
      <c r="M1601" s="13" t="str">
        <f t="shared" si="241"/>
        <v/>
      </c>
      <c r="Q1601" t="str">
        <f t="shared" si="242"/>
        <v/>
      </c>
      <c r="R1601" t="str">
        <f t="shared" si="243"/>
        <v/>
      </c>
      <c r="S1601" t="str">
        <f t="shared" si="244"/>
        <v/>
      </c>
      <c r="T1601" t="str">
        <f t="shared" si="245"/>
        <v/>
      </c>
      <c r="U1601" t="str">
        <f t="shared" si="246"/>
        <v/>
      </c>
      <c r="V1601" t="str">
        <f t="shared" si="247"/>
        <v/>
      </c>
      <c r="W1601" t="str">
        <f t="shared" si="248"/>
        <v/>
      </c>
      <c r="X1601">
        <f>IF($T1601="",N($X1600),IF(MATCH($T1601,$T$6:$T$10005,0)=ROW()-5,N($X1600)+1,N($X1600)))</f>
        <v>0</v>
      </c>
      <c r="Z1601" t="str">
        <f t="shared" si="249"/>
        <v/>
      </c>
      <c r="AA1601">
        <f>IF($V1601="",N($AA1600),IF(MATCH($V1601,$V$6:$V$10005,0)=ROW()-5,N($AA1600)+1,N($AA1600)))</f>
        <v>0</v>
      </c>
    </row>
    <row r="1602" spans="1:27" ht="21" customHeight="1" x14ac:dyDescent="0.95">
      <c r="A1602" s="56"/>
      <c r="B1602" s="57"/>
      <c r="C1602" s="57"/>
      <c r="D1602" s="57"/>
      <c r="E1602" s="56"/>
      <c r="F1602" s="57"/>
      <c r="G1602" s="57"/>
      <c r="H1602" s="56"/>
      <c r="I1602" s="56"/>
      <c r="J1602" s="58"/>
      <c r="K1602" s="58"/>
      <c r="L1602" s="13" t="str">
        <f t="shared" si="240"/>
        <v/>
      </c>
      <c r="M1602" s="13" t="str">
        <f t="shared" si="241"/>
        <v/>
      </c>
      <c r="Q1602" t="str">
        <f t="shared" si="242"/>
        <v/>
      </c>
      <c r="R1602" t="str">
        <f t="shared" si="243"/>
        <v/>
      </c>
      <c r="S1602" t="str">
        <f t="shared" si="244"/>
        <v/>
      </c>
      <c r="T1602" t="str">
        <f t="shared" si="245"/>
        <v/>
      </c>
      <c r="U1602" t="str">
        <f t="shared" si="246"/>
        <v/>
      </c>
      <c r="V1602" t="str">
        <f t="shared" si="247"/>
        <v/>
      </c>
      <c r="W1602" t="str">
        <f t="shared" si="248"/>
        <v/>
      </c>
      <c r="X1602">
        <f>IF($T1602="",N($X1601),IF(MATCH($T1602,$T$6:$T$10005,0)=ROW()-5,N($X1601)+1,N($X1601)))</f>
        <v>0</v>
      </c>
      <c r="Z1602" t="str">
        <f t="shared" si="249"/>
        <v/>
      </c>
      <c r="AA1602">
        <f>IF($V1602="",N($AA1601),IF(MATCH($V1602,$V$6:$V$10005,0)=ROW()-5,N($AA1601)+1,N($AA1601)))</f>
        <v>0</v>
      </c>
    </row>
    <row r="1603" spans="1:27" ht="21" customHeight="1" x14ac:dyDescent="0.95">
      <c r="A1603" s="56"/>
      <c r="B1603" s="57"/>
      <c r="C1603" s="57"/>
      <c r="D1603" s="57"/>
      <c r="E1603" s="56"/>
      <c r="F1603" s="57"/>
      <c r="G1603" s="57"/>
      <c r="H1603" s="56"/>
      <c r="I1603" s="56"/>
      <c r="J1603" s="58"/>
      <c r="K1603" s="58"/>
      <c r="L1603" s="13" t="str">
        <f t="shared" si="240"/>
        <v/>
      </c>
      <c r="M1603" s="13" t="str">
        <f t="shared" si="241"/>
        <v/>
      </c>
      <c r="Q1603" t="str">
        <f t="shared" si="242"/>
        <v/>
      </c>
      <c r="R1603" t="str">
        <f t="shared" si="243"/>
        <v/>
      </c>
      <c r="S1603" t="str">
        <f t="shared" si="244"/>
        <v/>
      </c>
      <c r="T1603" t="str">
        <f t="shared" si="245"/>
        <v/>
      </c>
      <c r="U1603" t="str">
        <f t="shared" si="246"/>
        <v/>
      </c>
      <c r="V1603" t="str">
        <f t="shared" si="247"/>
        <v/>
      </c>
      <c r="W1603" t="str">
        <f t="shared" si="248"/>
        <v/>
      </c>
      <c r="X1603">
        <f>IF($T1603="",N($X1602),IF(MATCH($T1603,$T$6:$T$10005,0)=ROW()-5,N($X1602)+1,N($X1602)))</f>
        <v>0</v>
      </c>
      <c r="Z1603" t="str">
        <f t="shared" si="249"/>
        <v/>
      </c>
      <c r="AA1603">
        <f>IF($V1603="",N($AA1602),IF(MATCH($V1603,$V$6:$V$10005,0)=ROW()-5,N($AA1602)+1,N($AA1602)))</f>
        <v>0</v>
      </c>
    </row>
    <row r="1604" spans="1:27" ht="21" customHeight="1" x14ac:dyDescent="0.95">
      <c r="A1604" s="56"/>
      <c r="B1604" s="57"/>
      <c r="C1604" s="57"/>
      <c r="D1604" s="57"/>
      <c r="E1604" s="56"/>
      <c r="F1604" s="57"/>
      <c r="G1604" s="57"/>
      <c r="H1604" s="56"/>
      <c r="I1604" s="56"/>
      <c r="J1604" s="58"/>
      <c r="K1604" s="58"/>
      <c r="L1604" s="13" t="str">
        <f t="shared" si="240"/>
        <v/>
      </c>
      <c r="M1604" s="13" t="str">
        <f t="shared" si="241"/>
        <v/>
      </c>
      <c r="Q1604" t="str">
        <f t="shared" si="242"/>
        <v/>
      </c>
      <c r="R1604" t="str">
        <f t="shared" si="243"/>
        <v/>
      </c>
      <c r="S1604" t="str">
        <f t="shared" si="244"/>
        <v/>
      </c>
      <c r="T1604" t="str">
        <f t="shared" si="245"/>
        <v/>
      </c>
      <c r="U1604" t="str">
        <f t="shared" si="246"/>
        <v/>
      </c>
      <c r="V1604" t="str">
        <f t="shared" si="247"/>
        <v/>
      </c>
      <c r="W1604" t="str">
        <f t="shared" si="248"/>
        <v/>
      </c>
      <c r="X1604">
        <f>IF($T1604="",N($X1603),IF(MATCH($T1604,$T$6:$T$10005,0)=ROW()-5,N($X1603)+1,N($X1603)))</f>
        <v>0</v>
      </c>
      <c r="Z1604" t="str">
        <f t="shared" si="249"/>
        <v/>
      </c>
      <c r="AA1604">
        <f>IF($V1604="",N($AA1603),IF(MATCH($V1604,$V$6:$V$10005,0)=ROW()-5,N($AA1603)+1,N($AA1603)))</f>
        <v>0</v>
      </c>
    </row>
    <row r="1605" spans="1:27" ht="21" customHeight="1" x14ac:dyDescent="0.95">
      <c r="A1605" s="56"/>
      <c r="B1605" s="57"/>
      <c r="C1605" s="57"/>
      <c r="D1605" s="57"/>
      <c r="E1605" s="56"/>
      <c r="F1605" s="57"/>
      <c r="G1605" s="57"/>
      <c r="H1605" s="56"/>
      <c r="I1605" s="56"/>
      <c r="J1605" s="58"/>
      <c r="K1605" s="58"/>
      <c r="L1605" s="13" t="str">
        <f t="shared" si="240"/>
        <v/>
      </c>
      <c r="M1605" s="13" t="str">
        <f t="shared" si="241"/>
        <v/>
      </c>
      <c r="Q1605" t="str">
        <f t="shared" si="242"/>
        <v/>
      </c>
      <c r="R1605" t="str">
        <f t="shared" si="243"/>
        <v/>
      </c>
      <c r="S1605" t="str">
        <f t="shared" si="244"/>
        <v/>
      </c>
      <c r="T1605" t="str">
        <f t="shared" si="245"/>
        <v/>
      </c>
      <c r="U1605" t="str">
        <f t="shared" si="246"/>
        <v/>
      </c>
      <c r="V1605" t="str">
        <f t="shared" si="247"/>
        <v/>
      </c>
      <c r="W1605" t="str">
        <f t="shared" si="248"/>
        <v/>
      </c>
      <c r="X1605">
        <f>IF($T1605="",N($X1604),IF(MATCH($T1605,$T$6:$T$10005,0)=ROW()-5,N($X1604)+1,N($X1604)))</f>
        <v>0</v>
      </c>
      <c r="Z1605" t="str">
        <f t="shared" si="249"/>
        <v/>
      </c>
      <c r="AA1605">
        <f>IF($V1605="",N($AA1604),IF(MATCH($V1605,$V$6:$V$10005,0)=ROW()-5,N($AA1604)+1,N($AA1604)))</f>
        <v>0</v>
      </c>
    </row>
    <row r="1606" spans="1:27" ht="21" customHeight="1" x14ac:dyDescent="0.95">
      <c r="A1606" s="56"/>
      <c r="B1606" s="57"/>
      <c r="C1606" s="57"/>
      <c r="D1606" s="57"/>
      <c r="E1606" s="56"/>
      <c r="F1606" s="57"/>
      <c r="G1606" s="57"/>
      <c r="H1606" s="56"/>
      <c r="I1606" s="56"/>
      <c r="J1606" s="58"/>
      <c r="K1606" s="58"/>
      <c r="L1606" s="13" t="str">
        <f t="shared" ref="L1606:L1669" si="250">IF(OR($A1606="",AND($J1606="",$K1606="")),"",ROUND(N($J1606)-N($K1606),2))</f>
        <v/>
      </c>
      <c r="M1606" s="13" t="str">
        <f t="shared" ref="M1606:M1669" si="251">IF(OR($A1606="",AND($J1606="",$K1606="")),"",MIN($J1606,$K1606))</f>
        <v/>
      </c>
      <c r="Q1606" t="str">
        <f t="shared" ref="Q1606:Q1669" si="252">IF($A1606="","",$D1606&amp;"("&amp;SUBSTITUTE($E1606," ","")&amp;")")</f>
        <v/>
      </c>
      <c r="R1606" t="str">
        <f t="shared" ref="R1606:R1669" si="253">IF($A1606="","",$B1606&amp;" - "&amp;$C1606)</f>
        <v/>
      </c>
      <c r="S1606" t="str">
        <f t="shared" ref="S1606:S1669" si="254">IF($A1606="","",$R1606&amp;"|"&amp;$Q1606)</f>
        <v/>
      </c>
      <c r="T1606" t="str">
        <f t="shared" ref="T1606:T1669" si="255">IF($A1606="","",$S1606&amp;"|"&amp;$F1606)</f>
        <v/>
      </c>
      <c r="U1606" t="str">
        <f t="shared" ref="U1606:U1669" si="256">IF($A1606="","",$R1606&amp;"("&amp;$E1606&amp;")")</f>
        <v/>
      </c>
      <c r="V1606" t="str">
        <f t="shared" ref="V1606:V1669" si="257">IF($A1606="","",$F1606&amp;"|"&amp;$U1606&amp;"|"&amp;$D1606)</f>
        <v/>
      </c>
      <c r="W1606" t="str">
        <f t="shared" ref="W1606:W1669" si="258">IF($T1606="","",IF($X1606&gt;N($X1605),$X1606,""))</f>
        <v/>
      </c>
      <c r="X1606">
        <f>IF($T1606="",N($X1605),IF(MATCH($T1606,$T$6:$T$10005,0)=ROW()-5,N($X1605)+1,N($X1605)))</f>
        <v>0</v>
      </c>
      <c r="Z1606" t="str">
        <f t="shared" ref="Z1606:Z1669" si="259">IF($V1606="","",IF($AA1606&gt;N($AA1605),$AA1606,""))</f>
        <v/>
      </c>
      <c r="AA1606">
        <f>IF($V1606="",N($AA1605),IF(MATCH($V1606,$V$6:$V$10005,0)=ROW()-5,N($AA1605)+1,N($AA1605)))</f>
        <v>0</v>
      </c>
    </row>
    <row r="1607" spans="1:27" ht="21" customHeight="1" x14ac:dyDescent="0.95">
      <c r="A1607" s="56"/>
      <c r="B1607" s="57"/>
      <c r="C1607" s="57"/>
      <c r="D1607" s="57"/>
      <c r="E1607" s="56"/>
      <c r="F1607" s="57"/>
      <c r="G1607" s="57"/>
      <c r="H1607" s="56"/>
      <c r="I1607" s="56"/>
      <c r="J1607" s="58"/>
      <c r="K1607" s="58"/>
      <c r="L1607" s="13" t="str">
        <f t="shared" si="250"/>
        <v/>
      </c>
      <c r="M1607" s="13" t="str">
        <f t="shared" si="251"/>
        <v/>
      </c>
      <c r="Q1607" t="str">
        <f t="shared" si="252"/>
        <v/>
      </c>
      <c r="R1607" t="str">
        <f t="shared" si="253"/>
        <v/>
      </c>
      <c r="S1607" t="str">
        <f t="shared" si="254"/>
        <v/>
      </c>
      <c r="T1607" t="str">
        <f t="shared" si="255"/>
        <v/>
      </c>
      <c r="U1607" t="str">
        <f t="shared" si="256"/>
        <v/>
      </c>
      <c r="V1607" t="str">
        <f t="shared" si="257"/>
        <v/>
      </c>
      <c r="W1607" t="str">
        <f t="shared" si="258"/>
        <v/>
      </c>
      <c r="X1607">
        <f>IF($T1607="",N($X1606),IF(MATCH($T1607,$T$6:$T$10005,0)=ROW()-5,N($X1606)+1,N($X1606)))</f>
        <v>0</v>
      </c>
      <c r="Z1607" t="str">
        <f t="shared" si="259"/>
        <v/>
      </c>
      <c r="AA1607">
        <f>IF($V1607="",N($AA1606),IF(MATCH($V1607,$V$6:$V$10005,0)=ROW()-5,N($AA1606)+1,N($AA1606)))</f>
        <v>0</v>
      </c>
    </row>
    <row r="1608" spans="1:27" ht="21" customHeight="1" x14ac:dyDescent="0.95">
      <c r="A1608" s="56"/>
      <c r="B1608" s="57"/>
      <c r="C1608" s="57"/>
      <c r="D1608" s="57"/>
      <c r="E1608" s="56"/>
      <c r="F1608" s="57"/>
      <c r="G1608" s="57"/>
      <c r="H1608" s="56"/>
      <c r="I1608" s="56"/>
      <c r="J1608" s="58"/>
      <c r="K1608" s="58"/>
      <c r="L1608" s="13" t="str">
        <f t="shared" si="250"/>
        <v/>
      </c>
      <c r="M1608" s="13" t="str">
        <f t="shared" si="251"/>
        <v/>
      </c>
      <c r="Q1608" t="str">
        <f t="shared" si="252"/>
        <v/>
      </c>
      <c r="R1608" t="str">
        <f t="shared" si="253"/>
        <v/>
      </c>
      <c r="S1608" t="str">
        <f t="shared" si="254"/>
        <v/>
      </c>
      <c r="T1608" t="str">
        <f t="shared" si="255"/>
        <v/>
      </c>
      <c r="U1608" t="str">
        <f t="shared" si="256"/>
        <v/>
      </c>
      <c r="V1608" t="str">
        <f t="shared" si="257"/>
        <v/>
      </c>
      <c r="W1608" t="str">
        <f t="shared" si="258"/>
        <v/>
      </c>
      <c r="X1608">
        <f>IF($T1608="",N($X1607),IF(MATCH($T1608,$T$6:$T$10005,0)=ROW()-5,N($X1607)+1,N($X1607)))</f>
        <v>0</v>
      </c>
      <c r="Z1608" t="str">
        <f t="shared" si="259"/>
        <v/>
      </c>
      <c r="AA1608">
        <f>IF($V1608="",N($AA1607),IF(MATCH($V1608,$V$6:$V$10005,0)=ROW()-5,N($AA1607)+1,N($AA1607)))</f>
        <v>0</v>
      </c>
    </row>
    <row r="1609" spans="1:27" ht="21" customHeight="1" x14ac:dyDescent="0.95">
      <c r="A1609" s="56"/>
      <c r="B1609" s="57"/>
      <c r="C1609" s="57"/>
      <c r="D1609" s="57"/>
      <c r="E1609" s="56"/>
      <c r="F1609" s="57"/>
      <c r="G1609" s="57"/>
      <c r="H1609" s="56"/>
      <c r="I1609" s="56"/>
      <c r="J1609" s="58"/>
      <c r="K1609" s="58"/>
      <c r="L1609" s="13" t="str">
        <f t="shared" si="250"/>
        <v/>
      </c>
      <c r="M1609" s="13" t="str">
        <f t="shared" si="251"/>
        <v/>
      </c>
      <c r="Q1609" t="str">
        <f t="shared" si="252"/>
        <v/>
      </c>
      <c r="R1609" t="str">
        <f t="shared" si="253"/>
        <v/>
      </c>
      <c r="S1609" t="str">
        <f t="shared" si="254"/>
        <v/>
      </c>
      <c r="T1609" t="str">
        <f t="shared" si="255"/>
        <v/>
      </c>
      <c r="U1609" t="str">
        <f t="shared" si="256"/>
        <v/>
      </c>
      <c r="V1609" t="str">
        <f t="shared" si="257"/>
        <v/>
      </c>
      <c r="W1609" t="str">
        <f t="shared" si="258"/>
        <v/>
      </c>
      <c r="X1609">
        <f>IF($T1609="",N($X1608),IF(MATCH($T1609,$T$6:$T$10005,0)=ROW()-5,N($X1608)+1,N($X1608)))</f>
        <v>0</v>
      </c>
      <c r="Z1609" t="str">
        <f t="shared" si="259"/>
        <v/>
      </c>
      <c r="AA1609">
        <f>IF($V1609="",N($AA1608),IF(MATCH($V1609,$V$6:$V$10005,0)=ROW()-5,N($AA1608)+1,N($AA1608)))</f>
        <v>0</v>
      </c>
    </row>
    <row r="1610" spans="1:27" ht="21" customHeight="1" x14ac:dyDescent="0.95">
      <c r="A1610" s="56"/>
      <c r="B1610" s="57"/>
      <c r="C1610" s="57"/>
      <c r="D1610" s="57"/>
      <c r="E1610" s="56"/>
      <c r="F1610" s="57"/>
      <c r="G1610" s="57"/>
      <c r="H1610" s="56"/>
      <c r="I1610" s="56"/>
      <c r="J1610" s="58"/>
      <c r="K1610" s="58"/>
      <c r="L1610" s="13" t="str">
        <f t="shared" si="250"/>
        <v/>
      </c>
      <c r="M1610" s="13" t="str">
        <f t="shared" si="251"/>
        <v/>
      </c>
      <c r="Q1610" t="str">
        <f t="shared" si="252"/>
        <v/>
      </c>
      <c r="R1610" t="str">
        <f t="shared" si="253"/>
        <v/>
      </c>
      <c r="S1610" t="str">
        <f t="shared" si="254"/>
        <v/>
      </c>
      <c r="T1610" t="str">
        <f t="shared" si="255"/>
        <v/>
      </c>
      <c r="U1610" t="str">
        <f t="shared" si="256"/>
        <v/>
      </c>
      <c r="V1610" t="str">
        <f t="shared" si="257"/>
        <v/>
      </c>
      <c r="W1610" t="str">
        <f t="shared" si="258"/>
        <v/>
      </c>
      <c r="X1610">
        <f>IF($T1610="",N($X1609),IF(MATCH($T1610,$T$6:$T$10005,0)=ROW()-5,N($X1609)+1,N($X1609)))</f>
        <v>0</v>
      </c>
      <c r="Z1610" t="str">
        <f t="shared" si="259"/>
        <v/>
      </c>
      <c r="AA1610">
        <f>IF($V1610="",N($AA1609),IF(MATCH($V1610,$V$6:$V$10005,0)=ROW()-5,N($AA1609)+1,N($AA1609)))</f>
        <v>0</v>
      </c>
    </row>
    <row r="1611" spans="1:27" ht="21" customHeight="1" x14ac:dyDescent="0.95">
      <c r="A1611" s="56"/>
      <c r="B1611" s="57"/>
      <c r="C1611" s="57"/>
      <c r="D1611" s="57"/>
      <c r="E1611" s="56"/>
      <c r="F1611" s="57"/>
      <c r="G1611" s="57"/>
      <c r="H1611" s="56"/>
      <c r="I1611" s="56"/>
      <c r="J1611" s="58"/>
      <c r="K1611" s="58"/>
      <c r="L1611" s="13" t="str">
        <f t="shared" si="250"/>
        <v/>
      </c>
      <c r="M1611" s="13" t="str">
        <f t="shared" si="251"/>
        <v/>
      </c>
      <c r="Q1611" t="str">
        <f t="shared" si="252"/>
        <v/>
      </c>
      <c r="R1611" t="str">
        <f t="shared" si="253"/>
        <v/>
      </c>
      <c r="S1611" t="str">
        <f t="shared" si="254"/>
        <v/>
      </c>
      <c r="T1611" t="str">
        <f t="shared" si="255"/>
        <v/>
      </c>
      <c r="U1611" t="str">
        <f t="shared" si="256"/>
        <v/>
      </c>
      <c r="V1611" t="str">
        <f t="shared" si="257"/>
        <v/>
      </c>
      <c r="W1611" t="str">
        <f t="shared" si="258"/>
        <v/>
      </c>
      <c r="X1611">
        <f>IF($T1611="",N($X1610),IF(MATCH($T1611,$T$6:$T$10005,0)=ROW()-5,N($X1610)+1,N($X1610)))</f>
        <v>0</v>
      </c>
      <c r="Z1611" t="str">
        <f t="shared" si="259"/>
        <v/>
      </c>
      <c r="AA1611">
        <f>IF($V1611="",N($AA1610),IF(MATCH($V1611,$V$6:$V$10005,0)=ROW()-5,N($AA1610)+1,N($AA1610)))</f>
        <v>0</v>
      </c>
    </row>
    <row r="1612" spans="1:27" ht="21" customHeight="1" x14ac:dyDescent="0.95">
      <c r="A1612" s="56"/>
      <c r="B1612" s="57"/>
      <c r="C1612" s="57"/>
      <c r="D1612" s="57"/>
      <c r="E1612" s="56"/>
      <c r="F1612" s="57"/>
      <c r="G1612" s="57"/>
      <c r="H1612" s="56"/>
      <c r="I1612" s="56"/>
      <c r="J1612" s="58"/>
      <c r="K1612" s="58"/>
      <c r="L1612" s="13" t="str">
        <f t="shared" si="250"/>
        <v/>
      </c>
      <c r="M1612" s="13" t="str">
        <f t="shared" si="251"/>
        <v/>
      </c>
      <c r="Q1612" t="str">
        <f t="shared" si="252"/>
        <v/>
      </c>
      <c r="R1612" t="str">
        <f t="shared" si="253"/>
        <v/>
      </c>
      <c r="S1612" t="str">
        <f t="shared" si="254"/>
        <v/>
      </c>
      <c r="T1612" t="str">
        <f t="shared" si="255"/>
        <v/>
      </c>
      <c r="U1612" t="str">
        <f t="shared" si="256"/>
        <v/>
      </c>
      <c r="V1612" t="str">
        <f t="shared" si="257"/>
        <v/>
      </c>
      <c r="W1612" t="str">
        <f t="shared" si="258"/>
        <v/>
      </c>
      <c r="X1612">
        <f>IF($T1612="",N($X1611),IF(MATCH($T1612,$T$6:$T$10005,0)=ROW()-5,N($X1611)+1,N($X1611)))</f>
        <v>0</v>
      </c>
      <c r="Z1612" t="str">
        <f t="shared" si="259"/>
        <v/>
      </c>
      <c r="AA1612">
        <f>IF($V1612="",N($AA1611),IF(MATCH($V1612,$V$6:$V$10005,0)=ROW()-5,N($AA1611)+1,N($AA1611)))</f>
        <v>0</v>
      </c>
    </row>
    <row r="1613" spans="1:27" ht="21" customHeight="1" x14ac:dyDescent="0.95">
      <c r="A1613" s="56"/>
      <c r="B1613" s="57"/>
      <c r="C1613" s="57"/>
      <c r="D1613" s="57"/>
      <c r="E1613" s="56"/>
      <c r="F1613" s="57"/>
      <c r="G1613" s="57"/>
      <c r="H1613" s="56"/>
      <c r="I1613" s="56"/>
      <c r="J1613" s="58"/>
      <c r="K1613" s="58"/>
      <c r="L1613" s="13" t="str">
        <f t="shared" si="250"/>
        <v/>
      </c>
      <c r="M1613" s="13" t="str">
        <f t="shared" si="251"/>
        <v/>
      </c>
      <c r="Q1613" t="str">
        <f t="shared" si="252"/>
        <v/>
      </c>
      <c r="R1613" t="str">
        <f t="shared" si="253"/>
        <v/>
      </c>
      <c r="S1613" t="str">
        <f t="shared" si="254"/>
        <v/>
      </c>
      <c r="T1613" t="str">
        <f t="shared" si="255"/>
        <v/>
      </c>
      <c r="U1613" t="str">
        <f t="shared" si="256"/>
        <v/>
      </c>
      <c r="V1613" t="str">
        <f t="shared" si="257"/>
        <v/>
      </c>
      <c r="W1613" t="str">
        <f t="shared" si="258"/>
        <v/>
      </c>
      <c r="X1613">
        <f>IF($T1613="",N($X1612),IF(MATCH($T1613,$T$6:$T$10005,0)=ROW()-5,N($X1612)+1,N($X1612)))</f>
        <v>0</v>
      </c>
      <c r="Z1613" t="str">
        <f t="shared" si="259"/>
        <v/>
      </c>
      <c r="AA1613">
        <f>IF($V1613="",N($AA1612),IF(MATCH($V1613,$V$6:$V$10005,0)=ROW()-5,N($AA1612)+1,N($AA1612)))</f>
        <v>0</v>
      </c>
    </row>
    <row r="1614" spans="1:27" ht="21" customHeight="1" x14ac:dyDescent="0.95">
      <c r="A1614" s="56"/>
      <c r="B1614" s="57"/>
      <c r="C1614" s="57"/>
      <c r="D1614" s="57"/>
      <c r="E1614" s="56"/>
      <c r="F1614" s="57"/>
      <c r="G1614" s="57"/>
      <c r="H1614" s="56"/>
      <c r="I1614" s="56"/>
      <c r="J1614" s="58"/>
      <c r="K1614" s="58"/>
      <c r="L1614" s="13" t="str">
        <f t="shared" si="250"/>
        <v/>
      </c>
      <c r="M1614" s="13" t="str">
        <f t="shared" si="251"/>
        <v/>
      </c>
      <c r="Q1614" t="str">
        <f t="shared" si="252"/>
        <v/>
      </c>
      <c r="R1614" t="str">
        <f t="shared" si="253"/>
        <v/>
      </c>
      <c r="S1614" t="str">
        <f t="shared" si="254"/>
        <v/>
      </c>
      <c r="T1614" t="str">
        <f t="shared" si="255"/>
        <v/>
      </c>
      <c r="U1614" t="str">
        <f t="shared" si="256"/>
        <v/>
      </c>
      <c r="V1614" t="str">
        <f t="shared" si="257"/>
        <v/>
      </c>
      <c r="W1614" t="str">
        <f t="shared" si="258"/>
        <v/>
      </c>
      <c r="X1614">
        <f>IF($T1614="",N($X1613),IF(MATCH($T1614,$T$6:$T$10005,0)=ROW()-5,N($X1613)+1,N($X1613)))</f>
        <v>0</v>
      </c>
      <c r="Z1614" t="str">
        <f t="shared" si="259"/>
        <v/>
      </c>
      <c r="AA1614">
        <f>IF($V1614="",N($AA1613),IF(MATCH($V1614,$V$6:$V$10005,0)=ROW()-5,N($AA1613)+1,N($AA1613)))</f>
        <v>0</v>
      </c>
    </row>
    <row r="1615" spans="1:27" ht="21" customHeight="1" x14ac:dyDescent="0.95">
      <c r="A1615" s="56"/>
      <c r="B1615" s="57"/>
      <c r="C1615" s="57"/>
      <c r="D1615" s="57"/>
      <c r="E1615" s="56"/>
      <c r="F1615" s="57"/>
      <c r="G1615" s="57"/>
      <c r="H1615" s="56"/>
      <c r="I1615" s="56"/>
      <c r="J1615" s="58"/>
      <c r="K1615" s="58"/>
      <c r="L1615" s="13" t="str">
        <f t="shared" si="250"/>
        <v/>
      </c>
      <c r="M1615" s="13" t="str">
        <f t="shared" si="251"/>
        <v/>
      </c>
      <c r="Q1615" t="str">
        <f t="shared" si="252"/>
        <v/>
      </c>
      <c r="R1615" t="str">
        <f t="shared" si="253"/>
        <v/>
      </c>
      <c r="S1615" t="str">
        <f t="shared" si="254"/>
        <v/>
      </c>
      <c r="T1615" t="str">
        <f t="shared" si="255"/>
        <v/>
      </c>
      <c r="U1615" t="str">
        <f t="shared" si="256"/>
        <v/>
      </c>
      <c r="V1615" t="str">
        <f t="shared" si="257"/>
        <v/>
      </c>
      <c r="W1615" t="str">
        <f t="shared" si="258"/>
        <v/>
      </c>
      <c r="X1615">
        <f>IF($T1615="",N($X1614),IF(MATCH($T1615,$T$6:$T$10005,0)=ROW()-5,N($X1614)+1,N($X1614)))</f>
        <v>0</v>
      </c>
      <c r="Z1615" t="str">
        <f t="shared" si="259"/>
        <v/>
      </c>
      <c r="AA1615">
        <f>IF($V1615="",N($AA1614),IF(MATCH($V1615,$V$6:$V$10005,0)=ROW()-5,N($AA1614)+1,N($AA1614)))</f>
        <v>0</v>
      </c>
    </row>
    <row r="1616" spans="1:27" ht="21" customHeight="1" x14ac:dyDescent="0.95">
      <c r="A1616" s="56"/>
      <c r="B1616" s="57"/>
      <c r="C1616" s="57"/>
      <c r="D1616" s="57"/>
      <c r="E1616" s="56"/>
      <c r="F1616" s="57"/>
      <c r="G1616" s="57"/>
      <c r="H1616" s="56"/>
      <c r="I1616" s="56"/>
      <c r="J1616" s="58"/>
      <c r="K1616" s="58"/>
      <c r="L1616" s="13" t="str">
        <f t="shared" si="250"/>
        <v/>
      </c>
      <c r="M1616" s="13" t="str">
        <f t="shared" si="251"/>
        <v/>
      </c>
      <c r="Q1616" t="str">
        <f t="shared" si="252"/>
        <v/>
      </c>
      <c r="R1616" t="str">
        <f t="shared" si="253"/>
        <v/>
      </c>
      <c r="S1616" t="str">
        <f t="shared" si="254"/>
        <v/>
      </c>
      <c r="T1616" t="str">
        <f t="shared" si="255"/>
        <v/>
      </c>
      <c r="U1616" t="str">
        <f t="shared" si="256"/>
        <v/>
      </c>
      <c r="V1616" t="str">
        <f t="shared" si="257"/>
        <v/>
      </c>
      <c r="W1616" t="str">
        <f t="shared" si="258"/>
        <v/>
      </c>
      <c r="X1616">
        <f>IF($T1616="",N($X1615),IF(MATCH($T1616,$T$6:$T$10005,0)=ROW()-5,N($X1615)+1,N($X1615)))</f>
        <v>0</v>
      </c>
      <c r="Z1616" t="str">
        <f t="shared" si="259"/>
        <v/>
      </c>
      <c r="AA1616">
        <f>IF($V1616="",N($AA1615),IF(MATCH($V1616,$V$6:$V$10005,0)=ROW()-5,N($AA1615)+1,N($AA1615)))</f>
        <v>0</v>
      </c>
    </row>
    <row r="1617" spans="1:27" ht="21" customHeight="1" x14ac:dyDescent="0.95">
      <c r="A1617" s="56"/>
      <c r="B1617" s="57"/>
      <c r="C1617" s="57"/>
      <c r="D1617" s="57"/>
      <c r="E1617" s="56"/>
      <c r="F1617" s="57"/>
      <c r="G1617" s="57"/>
      <c r="H1617" s="56"/>
      <c r="I1617" s="56"/>
      <c r="J1617" s="58"/>
      <c r="K1617" s="58"/>
      <c r="L1617" s="13" t="str">
        <f t="shared" si="250"/>
        <v/>
      </c>
      <c r="M1617" s="13" t="str">
        <f t="shared" si="251"/>
        <v/>
      </c>
      <c r="Q1617" t="str">
        <f t="shared" si="252"/>
        <v/>
      </c>
      <c r="R1617" t="str">
        <f t="shared" si="253"/>
        <v/>
      </c>
      <c r="S1617" t="str">
        <f t="shared" si="254"/>
        <v/>
      </c>
      <c r="T1617" t="str">
        <f t="shared" si="255"/>
        <v/>
      </c>
      <c r="U1617" t="str">
        <f t="shared" si="256"/>
        <v/>
      </c>
      <c r="V1617" t="str">
        <f t="shared" si="257"/>
        <v/>
      </c>
      <c r="W1617" t="str">
        <f t="shared" si="258"/>
        <v/>
      </c>
      <c r="X1617">
        <f>IF($T1617="",N($X1616),IF(MATCH($T1617,$T$6:$T$10005,0)=ROW()-5,N($X1616)+1,N($X1616)))</f>
        <v>0</v>
      </c>
      <c r="Z1617" t="str">
        <f t="shared" si="259"/>
        <v/>
      </c>
      <c r="AA1617">
        <f>IF($V1617="",N($AA1616),IF(MATCH($V1617,$V$6:$V$10005,0)=ROW()-5,N($AA1616)+1,N($AA1616)))</f>
        <v>0</v>
      </c>
    </row>
    <row r="1618" spans="1:27" ht="21" customHeight="1" x14ac:dyDescent="0.95">
      <c r="A1618" s="56"/>
      <c r="B1618" s="57"/>
      <c r="C1618" s="57"/>
      <c r="D1618" s="57"/>
      <c r="E1618" s="56"/>
      <c r="F1618" s="57"/>
      <c r="G1618" s="57"/>
      <c r="H1618" s="56"/>
      <c r="I1618" s="56"/>
      <c r="J1618" s="58"/>
      <c r="K1618" s="58"/>
      <c r="L1618" s="13" t="str">
        <f t="shared" si="250"/>
        <v/>
      </c>
      <c r="M1618" s="13" t="str">
        <f t="shared" si="251"/>
        <v/>
      </c>
      <c r="Q1618" t="str">
        <f t="shared" si="252"/>
        <v/>
      </c>
      <c r="R1618" t="str">
        <f t="shared" si="253"/>
        <v/>
      </c>
      <c r="S1618" t="str">
        <f t="shared" si="254"/>
        <v/>
      </c>
      <c r="T1618" t="str">
        <f t="shared" si="255"/>
        <v/>
      </c>
      <c r="U1618" t="str">
        <f t="shared" si="256"/>
        <v/>
      </c>
      <c r="V1618" t="str">
        <f t="shared" si="257"/>
        <v/>
      </c>
      <c r="W1618" t="str">
        <f t="shared" si="258"/>
        <v/>
      </c>
      <c r="X1618">
        <f>IF($T1618="",N($X1617),IF(MATCH($T1618,$T$6:$T$10005,0)=ROW()-5,N($X1617)+1,N($X1617)))</f>
        <v>0</v>
      </c>
      <c r="Z1618" t="str">
        <f t="shared" si="259"/>
        <v/>
      </c>
      <c r="AA1618">
        <f>IF($V1618="",N($AA1617),IF(MATCH($V1618,$V$6:$V$10005,0)=ROW()-5,N($AA1617)+1,N($AA1617)))</f>
        <v>0</v>
      </c>
    </row>
    <row r="1619" spans="1:27" ht="21" customHeight="1" x14ac:dyDescent="0.95">
      <c r="A1619" s="56"/>
      <c r="B1619" s="57"/>
      <c r="C1619" s="57"/>
      <c r="D1619" s="57"/>
      <c r="E1619" s="56"/>
      <c r="F1619" s="57"/>
      <c r="G1619" s="57"/>
      <c r="H1619" s="56"/>
      <c r="I1619" s="56"/>
      <c r="J1619" s="58"/>
      <c r="K1619" s="58"/>
      <c r="L1619" s="13" t="str">
        <f t="shared" si="250"/>
        <v/>
      </c>
      <c r="M1619" s="13" t="str">
        <f t="shared" si="251"/>
        <v/>
      </c>
      <c r="Q1619" t="str">
        <f t="shared" si="252"/>
        <v/>
      </c>
      <c r="R1619" t="str">
        <f t="shared" si="253"/>
        <v/>
      </c>
      <c r="S1619" t="str">
        <f t="shared" si="254"/>
        <v/>
      </c>
      <c r="T1619" t="str">
        <f t="shared" si="255"/>
        <v/>
      </c>
      <c r="U1619" t="str">
        <f t="shared" si="256"/>
        <v/>
      </c>
      <c r="V1619" t="str">
        <f t="shared" si="257"/>
        <v/>
      </c>
      <c r="W1619" t="str">
        <f t="shared" si="258"/>
        <v/>
      </c>
      <c r="X1619">
        <f>IF($T1619="",N($X1618),IF(MATCH($T1619,$T$6:$T$10005,0)=ROW()-5,N($X1618)+1,N($X1618)))</f>
        <v>0</v>
      </c>
      <c r="Z1619" t="str">
        <f t="shared" si="259"/>
        <v/>
      </c>
      <c r="AA1619">
        <f>IF($V1619="",N($AA1618),IF(MATCH($V1619,$V$6:$V$10005,0)=ROW()-5,N($AA1618)+1,N($AA1618)))</f>
        <v>0</v>
      </c>
    </row>
    <row r="1620" spans="1:27" ht="21" customHeight="1" x14ac:dyDescent="0.95">
      <c r="A1620" s="56"/>
      <c r="B1620" s="57"/>
      <c r="C1620" s="57"/>
      <c r="D1620" s="57"/>
      <c r="E1620" s="56"/>
      <c r="F1620" s="57"/>
      <c r="G1620" s="57"/>
      <c r="H1620" s="56"/>
      <c r="I1620" s="56"/>
      <c r="J1620" s="58"/>
      <c r="K1620" s="58"/>
      <c r="L1620" s="13" t="str">
        <f t="shared" si="250"/>
        <v/>
      </c>
      <c r="M1620" s="13" t="str">
        <f t="shared" si="251"/>
        <v/>
      </c>
      <c r="Q1620" t="str">
        <f t="shared" si="252"/>
        <v/>
      </c>
      <c r="R1620" t="str">
        <f t="shared" si="253"/>
        <v/>
      </c>
      <c r="S1620" t="str">
        <f t="shared" si="254"/>
        <v/>
      </c>
      <c r="T1620" t="str">
        <f t="shared" si="255"/>
        <v/>
      </c>
      <c r="U1620" t="str">
        <f t="shared" si="256"/>
        <v/>
      </c>
      <c r="V1620" t="str">
        <f t="shared" si="257"/>
        <v/>
      </c>
      <c r="W1620" t="str">
        <f t="shared" si="258"/>
        <v/>
      </c>
      <c r="X1620">
        <f>IF($T1620="",N($X1619),IF(MATCH($T1620,$T$6:$T$10005,0)=ROW()-5,N($X1619)+1,N($X1619)))</f>
        <v>0</v>
      </c>
      <c r="Z1620" t="str">
        <f t="shared" si="259"/>
        <v/>
      </c>
      <c r="AA1620">
        <f>IF($V1620="",N($AA1619),IF(MATCH($V1620,$V$6:$V$10005,0)=ROW()-5,N($AA1619)+1,N($AA1619)))</f>
        <v>0</v>
      </c>
    </row>
    <row r="1621" spans="1:27" ht="21" customHeight="1" x14ac:dyDescent="0.95">
      <c r="A1621" s="56"/>
      <c r="B1621" s="57"/>
      <c r="C1621" s="57"/>
      <c r="D1621" s="57"/>
      <c r="E1621" s="56"/>
      <c r="F1621" s="57"/>
      <c r="G1621" s="57"/>
      <c r="H1621" s="56"/>
      <c r="I1621" s="56"/>
      <c r="J1621" s="58"/>
      <c r="K1621" s="58"/>
      <c r="L1621" s="13" t="str">
        <f t="shared" si="250"/>
        <v/>
      </c>
      <c r="M1621" s="13" t="str">
        <f t="shared" si="251"/>
        <v/>
      </c>
      <c r="Q1621" t="str">
        <f t="shared" si="252"/>
        <v/>
      </c>
      <c r="R1621" t="str">
        <f t="shared" si="253"/>
        <v/>
      </c>
      <c r="S1621" t="str">
        <f t="shared" si="254"/>
        <v/>
      </c>
      <c r="T1621" t="str">
        <f t="shared" si="255"/>
        <v/>
      </c>
      <c r="U1621" t="str">
        <f t="shared" si="256"/>
        <v/>
      </c>
      <c r="V1621" t="str">
        <f t="shared" si="257"/>
        <v/>
      </c>
      <c r="W1621" t="str">
        <f t="shared" si="258"/>
        <v/>
      </c>
      <c r="X1621">
        <f>IF($T1621="",N($X1620),IF(MATCH($T1621,$T$6:$T$10005,0)=ROW()-5,N($X1620)+1,N($X1620)))</f>
        <v>0</v>
      </c>
      <c r="Z1621" t="str">
        <f t="shared" si="259"/>
        <v/>
      </c>
      <c r="AA1621">
        <f>IF($V1621="",N($AA1620),IF(MATCH($V1621,$V$6:$V$10005,0)=ROW()-5,N($AA1620)+1,N($AA1620)))</f>
        <v>0</v>
      </c>
    </row>
    <row r="1622" spans="1:27" ht="21" customHeight="1" x14ac:dyDescent="0.95">
      <c r="A1622" s="56"/>
      <c r="B1622" s="57"/>
      <c r="C1622" s="57"/>
      <c r="D1622" s="57"/>
      <c r="E1622" s="56"/>
      <c r="F1622" s="57"/>
      <c r="G1622" s="57"/>
      <c r="H1622" s="56"/>
      <c r="I1622" s="56"/>
      <c r="J1622" s="58"/>
      <c r="K1622" s="58"/>
      <c r="L1622" s="13" t="str">
        <f t="shared" si="250"/>
        <v/>
      </c>
      <c r="M1622" s="13" t="str">
        <f t="shared" si="251"/>
        <v/>
      </c>
      <c r="Q1622" t="str">
        <f t="shared" si="252"/>
        <v/>
      </c>
      <c r="R1622" t="str">
        <f t="shared" si="253"/>
        <v/>
      </c>
      <c r="S1622" t="str">
        <f t="shared" si="254"/>
        <v/>
      </c>
      <c r="T1622" t="str">
        <f t="shared" si="255"/>
        <v/>
      </c>
      <c r="U1622" t="str">
        <f t="shared" si="256"/>
        <v/>
      </c>
      <c r="V1622" t="str">
        <f t="shared" si="257"/>
        <v/>
      </c>
      <c r="W1622" t="str">
        <f t="shared" si="258"/>
        <v/>
      </c>
      <c r="X1622">
        <f>IF($T1622="",N($X1621),IF(MATCH($T1622,$T$6:$T$10005,0)=ROW()-5,N($X1621)+1,N($X1621)))</f>
        <v>0</v>
      </c>
      <c r="Z1622" t="str">
        <f t="shared" si="259"/>
        <v/>
      </c>
      <c r="AA1622">
        <f>IF($V1622="",N($AA1621),IF(MATCH($V1622,$V$6:$V$10005,0)=ROW()-5,N($AA1621)+1,N($AA1621)))</f>
        <v>0</v>
      </c>
    </row>
    <row r="1623" spans="1:27" ht="21" customHeight="1" x14ac:dyDescent="0.95">
      <c r="A1623" s="56"/>
      <c r="B1623" s="57"/>
      <c r="C1623" s="57"/>
      <c r="D1623" s="57"/>
      <c r="E1623" s="56"/>
      <c r="F1623" s="57"/>
      <c r="G1623" s="57"/>
      <c r="H1623" s="56"/>
      <c r="I1623" s="56"/>
      <c r="J1623" s="58"/>
      <c r="K1623" s="58"/>
      <c r="L1623" s="13" t="str">
        <f t="shared" si="250"/>
        <v/>
      </c>
      <c r="M1623" s="13" t="str">
        <f t="shared" si="251"/>
        <v/>
      </c>
      <c r="Q1623" t="str">
        <f t="shared" si="252"/>
        <v/>
      </c>
      <c r="R1623" t="str">
        <f t="shared" si="253"/>
        <v/>
      </c>
      <c r="S1623" t="str">
        <f t="shared" si="254"/>
        <v/>
      </c>
      <c r="T1623" t="str">
        <f t="shared" si="255"/>
        <v/>
      </c>
      <c r="U1623" t="str">
        <f t="shared" si="256"/>
        <v/>
      </c>
      <c r="V1623" t="str">
        <f t="shared" si="257"/>
        <v/>
      </c>
      <c r="W1623" t="str">
        <f t="shared" si="258"/>
        <v/>
      </c>
      <c r="X1623">
        <f>IF($T1623="",N($X1622),IF(MATCH($T1623,$T$6:$T$10005,0)=ROW()-5,N($X1622)+1,N($X1622)))</f>
        <v>0</v>
      </c>
      <c r="Z1623" t="str">
        <f t="shared" si="259"/>
        <v/>
      </c>
      <c r="AA1623">
        <f>IF($V1623="",N($AA1622),IF(MATCH($V1623,$V$6:$V$10005,0)=ROW()-5,N($AA1622)+1,N($AA1622)))</f>
        <v>0</v>
      </c>
    </row>
    <row r="1624" spans="1:27" ht="21" customHeight="1" x14ac:dyDescent="0.95">
      <c r="A1624" s="56"/>
      <c r="B1624" s="57"/>
      <c r="C1624" s="57"/>
      <c r="D1624" s="57"/>
      <c r="E1624" s="56"/>
      <c r="F1624" s="57"/>
      <c r="G1624" s="57"/>
      <c r="H1624" s="56"/>
      <c r="I1624" s="56"/>
      <c r="J1624" s="58"/>
      <c r="K1624" s="58"/>
      <c r="L1624" s="13" t="str">
        <f t="shared" si="250"/>
        <v/>
      </c>
      <c r="M1624" s="13" t="str">
        <f t="shared" si="251"/>
        <v/>
      </c>
      <c r="Q1624" t="str">
        <f t="shared" si="252"/>
        <v/>
      </c>
      <c r="R1624" t="str">
        <f t="shared" si="253"/>
        <v/>
      </c>
      <c r="S1624" t="str">
        <f t="shared" si="254"/>
        <v/>
      </c>
      <c r="T1624" t="str">
        <f t="shared" si="255"/>
        <v/>
      </c>
      <c r="U1624" t="str">
        <f t="shared" si="256"/>
        <v/>
      </c>
      <c r="V1624" t="str">
        <f t="shared" si="257"/>
        <v/>
      </c>
      <c r="W1624" t="str">
        <f t="shared" si="258"/>
        <v/>
      </c>
      <c r="X1624">
        <f>IF($T1624="",N($X1623),IF(MATCH($T1624,$T$6:$T$10005,0)=ROW()-5,N($X1623)+1,N($X1623)))</f>
        <v>0</v>
      </c>
      <c r="Z1624" t="str">
        <f t="shared" si="259"/>
        <v/>
      </c>
      <c r="AA1624">
        <f>IF($V1624="",N($AA1623),IF(MATCH($V1624,$V$6:$V$10005,0)=ROW()-5,N($AA1623)+1,N($AA1623)))</f>
        <v>0</v>
      </c>
    </row>
    <row r="1625" spans="1:27" ht="21" customHeight="1" x14ac:dyDescent="0.95">
      <c r="A1625" s="56"/>
      <c r="B1625" s="57"/>
      <c r="C1625" s="57"/>
      <c r="D1625" s="57"/>
      <c r="E1625" s="56"/>
      <c r="F1625" s="57"/>
      <c r="G1625" s="57"/>
      <c r="H1625" s="56"/>
      <c r="I1625" s="56"/>
      <c r="J1625" s="58"/>
      <c r="K1625" s="58"/>
      <c r="L1625" s="13" t="str">
        <f t="shared" si="250"/>
        <v/>
      </c>
      <c r="M1625" s="13" t="str">
        <f t="shared" si="251"/>
        <v/>
      </c>
      <c r="Q1625" t="str">
        <f t="shared" si="252"/>
        <v/>
      </c>
      <c r="R1625" t="str">
        <f t="shared" si="253"/>
        <v/>
      </c>
      <c r="S1625" t="str">
        <f t="shared" si="254"/>
        <v/>
      </c>
      <c r="T1625" t="str">
        <f t="shared" si="255"/>
        <v/>
      </c>
      <c r="U1625" t="str">
        <f t="shared" si="256"/>
        <v/>
      </c>
      <c r="V1625" t="str">
        <f t="shared" si="257"/>
        <v/>
      </c>
      <c r="W1625" t="str">
        <f t="shared" si="258"/>
        <v/>
      </c>
      <c r="X1625">
        <f>IF($T1625="",N($X1624),IF(MATCH($T1625,$T$6:$T$10005,0)=ROW()-5,N($X1624)+1,N($X1624)))</f>
        <v>0</v>
      </c>
      <c r="Z1625" t="str">
        <f t="shared" si="259"/>
        <v/>
      </c>
      <c r="AA1625">
        <f>IF($V1625="",N($AA1624),IF(MATCH($V1625,$V$6:$V$10005,0)=ROW()-5,N($AA1624)+1,N($AA1624)))</f>
        <v>0</v>
      </c>
    </row>
    <row r="1626" spans="1:27" ht="21" customHeight="1" x14ac:dyDescent="0.95">
      <c r="A1626" s="56"/>
      <c r="B1626" s="57"/>
      <c r="C1626" s="57"/>
      <c r="D1626" s="57"/>
      <c r="E1626" s="56"/>
      <c r="F1626" s="57"/>
      <c r="G1626" s="57"/>
      <c r="H1626" s="56"/>
      <c r="I1626" s="56"/>
      <c r="J1626" s="58"/>
      <c r="K1626" s="58"/>
      <c r="L1626" s="13" t="str">
        <f t="shared" si="250"/>
        <v/>
      </c>
      <c r="M1626" s="13" t="str">
        <f t="shared" si="251"/>
        <v/>
      </c>
      <c r="Q1626" t="str">
        <f t="shared" si="252"/>
        <v/>
      </c>
      <c r="R1626" t="str">
        <f t="shared" si="253"/>
        <v/>
      </c>
      <c r="S1626" t="str">
        <f t="shared" si="254"/>
        <v/>
      </c>
      <c r="T1626" t="str">
        <f t="shared" si="255"/>
        <v/>
      </c>
      <c r="U1626" t="str">
        <f t="shared" si="256"/>
        <v/>
      </c>
      <c r="V1626" t="str">
        <f t="shared" si="257"/>
        <v/>
      </c>
      <c r="W1626" t="str">
        <f t="shared" si="258"/>
        <v/>
      </c>
      <c r="X1626">
        <f>IF($T1626="",N($X1625),IF(MATCH($T1626,$T$6:$T$10005,0)=ROW()-5,N($X1625)+1,N($X1625)))</f>
        <v>0</v>
      </c>
      <c r="Z1626" t="str">
        <f t="shared" si="259"/>
        <v/>
      </c>
      <c r="AA1626">
        <f>IF($V1626="",N($AA1625),IF(MATCH($V1626,$V$6:$V$10005,0)=ROW()-5,N($AA1625)+1,N($AA1625)))</f>
        <v>0</v>
      </c>
    </row>
    <row r="1627" spans="1:27" ht="21" customHeight="1" x14ac:dyDescent="0.95">
      <c r="A1627" s="56"/>
      <c r="B1627" s="57"/>
      <c r="C1627" s="57"/>
      <c r="D1627" s="57"/>
      <c r="E1627" s="56"/>
      <c r="F1627" s="57"/>
      <c r="G1627" s="57"/>
      <c r="H1627" s="56"/>
      <c r="I1627" s="56"/>
      <c r="J1627" s="58"/>
      <c r="K1627" s="58"/>
      <c r="L1627" s="13" t="str">
        <f t="shared" si="250"/>
        <v/>
      </c>
      <c r="M1627" s="13" t="str">
        <f t="shared" si="251"/>
        <v/>
      </c>
      <c r="Q1627" t="str">
        <f t="shared" si="252"/>
        <v/>
      </c>
      <c r="R1627" t="str">
        <f t="shared" si="253"/>
        <v/>
      </c>
      <c r="S1627" t="str">
        <f t="shared" si="254"/>
        <v/>
      </c>
      <c r="T1627" t="str">
        <f t="shared" si="255"/>
        <v/>
      </c>
      <c r="U1627" t="str">
        <f t="shared" si="256"/>
        <v/>
      </c>
      <c r="V1627" t="str">
        <f t="shared" si="257"/>
        <v/>
      </c>
      <c r="W1627" t="str">
        <f t="shared" si="258"/>
        <v/>
      </c>
      <c r="X1627">
        <f>IF($T1627="",N($X1626),IF(MATCH($T1627,$T$6:$T$10005,0)=ROW()-5,N($X1626)+1,N($X1626)))</f>
        <v>0</v>
      </c>
      <c r="Z1627" t="str">
        <f t="shared" si="259"/>
        <v/>
      </c>
      <c r="AA1627">
        <f>IF($V1627="",N($AA1626),IF(MATCH($V1627,$V$6:$V$10005,0)=ROW()-5,N($AA1626)+1,N($AA1626)))</f>
        <v>0</v>
      </c>
    </row>
    <row r="1628" spans="1:27" ht="21" customHeight="1" x14ac:dyDescent="0.95">
      <c r="A1628" s="56"/>
      <c r="B1628" s="57"/>
      <c r="C1628" s="57"/>
      <c r="D1628" s="57"/>
      <c r="E1628" s="56"/>
      <c r="F1628" s="57"/>
      <c r="G1628" s="57"/>
      <c r="H1628" s="56"/>
      <c r="I1628" s="56"/>
      <c r="J1628" s="58"/>
      <c r="K1628" s="58"/>
      <c r="L1628" s="13" t="str">
        <f t="shared" si="250"/>
        <v/>
      </c>
      <c r="M1628" s="13" t="str">
        <f t="shared" si="251"/>
        <v/>
      </c>
      <c r="Q1628" t="str">
        <f t="shared" si="252"/>
        <v/>
      </c>
      <c r="R1628" t="str">
        <f t="shared" si="253"/>
        <v/>
      </c>
      <c r="S1628" t="str">
        <f t="shared" si="254"/>
        <v/>
      </c>
      <c r="T1628" t="str">
        <f t="shared" si="255"/>
        <v/>
      </c>
      <c r="U1628" t="str">
        <f t="shared" si="256"/>
        <v/>
      </c>
      <c r="V1628" t="str">
        <f t="shared" si="257"/>
        <v/>
      </c>
      <c r="W1628" t="str">
        <f t="shared" si="258"/>
        <v/>
      </c>
      <c r="X1628">
        <f>IF($T1628="",N($X1627),IF(MATCH($T1628,$T$6:$T$10005,0)=ROW()-5,N($X1627)+1,N($X1627)))</f>
        <v>0</v>
      </c>
      <c r="Z1628" t="str">
        <f t="shared" si="259"/>
        <v/>
      </c>
      <c r="AA1628">
        <f>IF($V1628="",N($AA1627),IF(MATCH($V1628,$V$6:$V$10005,0)=ROW()-5,N($AA1627)+1,N($AA1627)))</f>
        <v>0</v>
      </c>
    </row>
    <row r="1629" spans="1:27" ht="21" customHeight="1" x14ac:dyDescent="0.95">
      <c r="A1629" s="56"/>
      <c r="B1629" s="57"/>
      <c r="C1629" s="57"/>
      <c r="D1629" s="57"/>
      <c r="E1629" s="56"/>
      <c r="F1629" s="57"/>
      <c r="G1629" s="57"/>
      <c r="H1629" s="56"/>
      <c r="I1629" s="56"/>
      <c r="J1629" s="58"/>
      <c r="K1629" s="58"/>
      <c r="L1629" s="13" t="str">
        <f t="shared" si="250"/>
        <v/>
      </c>
      <c r="M1629" s="13" t="str">
        <f t="shared" si="251"/>
        <v/>
      </c>
      <c r="Q1629" t="str">
        <f t="shared" si="252"/>
        <v/>
      </c>
      <c r="R1629" t="str">
        <f t="shared" si="253"/>
        <v/>
      </c>
      <c r="S1629" t="str">
        <f t="shared" si="254"/>
        <v/>
      </c>
      <c r="T1629" t="str">
        <f t="shared" si="255"/>
        <v/>
      </c>
      <c r="U1629" t="str">
        <f t="shared" si="256"/>
        <v/>
      </c>
      <c r="V1629" t="str">
        <f t="shared" si="257"/>
        <v/>
      </c>
      <c r="W1629" t="str">
        <f t="shared" si="258"/>
        <v/>
      </c>
      <c r="X1629">
        <f>IF($T1629="",N($X1628),IF(MATCH($T1629,$T$6:$T$10005,0)=ROW()-5,N($X1628)+1,N($X1628)))</f>
        <v>0</v>
      </c>
      <c r="Z1629" t="str">
        <f t="shared" si="259"/>
        <v/>
      </c>
      <c r="AA1629">
        <f>IF($V1629="",N($AA1628),IF(MATCH($V1629,$V$6:$V$10005,0)=ROW()-5,N($AA1628)+1,N($AA1628)))</f>
        <v>0</v>
      </c>
    </row>
    <row r="1630" spans="1:27" ht="21" customHeight="1" x14ac:dyDescent="0.95">
      <c r="A1630" s="56"/>
      <c r="B1630" s="57"/>
      <c r="C1630" s="57"/>
      <c r="D1630" s="57"/>
      <c r="E1630" s="56"/>
      <c r="F1630" s="57"/>
      <c r="G1630" s="57"/>
      <c r="H1630" s="56"/>
      <c r="I1630" s="56"/>
      <c r="J1630" s="58"/>
      <c r="K1630" s="58"/>
      <c r="L1630" s="13" t="str">
        <f t="shared" si="250"/>
        <v/>
      </c>
      <c r="M1630" s="13" t="str">
        <f t="shared" si="251"/>
        <v/>
      </c>
      <c r="Q1630" t="str">
        <f t="shared" si="252"/>
        <v/>
      </c>
      <c r="R1630" t="str">
        <f t="shared" si="253"/>
        <v/>
      </c>
      <c r="S1630" t="str">
        <f t="shared" si="254"/>
        <v/>
      </c>
      <c r="T1630" t="str">
        <f t="shared" si="255"/>
        <v/>
      </c>
      <c r="U1630" t="str">
        <f t="shared" si="256"/>
        <v/>
      </c>
      <c r="V1630" t="str">
        <f t="shared" si="257"/>
        <v/>
      </c>
      <c r="W1630" t="str">
        <f t="shared" si="258"/>
        <v/>
      </c>
      <c r="X1630">
        <f>IF($T1630="",N($X1629),IF(MATCH($T1630,$T$6:$T$10005,0)=ROW()-5,N($X1629)+1,N($X1629)))</f>
        <v>0</v>
      </c>
      <c r="Z1630" t="str">
        <f t="shared" si="259"/>
        <v/>
      </c>
      <c r="AA1630">
        <f>IF($V1630="",N($AA1629),IF(MATCH($V1630,$V$6:$V$10005,0)=ROW()-5,N($AA1629)+1,N($AA1629)))</f>
        <v>0</v>
      </c>
    </row>
    <row r="1631" spans="1:27" ht="21" customHeight="1" x14ac:dyDescent="0.95">
      <c r="A1631" s="56"/>
      <c r="B1631" s="57"/>
      <c r="C1631" s="57"/>
      <c r="D1631" s="57"/>
      <c r="E1631" s="56"/>
      <c r="F1631" s="57"/>
      <c r="G1631" s="57"/>
      <c r="H1631" s="56"/>
      <c r="I1631" s="56"/>
      <c r="J1631" s="58"/>
      <c r="K1631" s="58"/>
      <c r="L1631" s="13" t="str">
        <f t="shared" si="250"/>
        <v/>
      </c>
      <c r="M1631" s="13" t="str">
        <f t="shared" si="251"/>
        <v/>
      </c>
      <c r="Q1631" t="str">
        <f t="shared" si="252"/>
        <v/>
      </c>
      <c r="R1631" t="str">
        <f t="shared" si="253"/>
        <v/>
      </c>
      <c r="S1631" t="str">
        <f t="shared" si="254"/>
        <v/>
      </c>
      <c r="T1631" t="str">
        <f t="shared" si="255"/>
        <v/>
      </c>
      <c r="U1631" t="str">
        <f t="shared" si="256"/>
        <v/>
      </c>
      <c r="V1631" t="str">
        <f t="shared" si="257"/>
        <v/>
      </c>
      <c r="W1631" t="str">
        <f t="shared" si="258"/>
        <v/>
      </c>
      <c r="X1631">
        <f>IF($T1631="",N($X1630),IF(MATCH($T1631,$T$6:$T$10005,0)=ROW()-5,N($X1630)+1,N($X1630)))</f>
        <v>0</v>
      </c>
      <c r="Z1631" t="str">
        <f t="shared" si="259"/>
        <v/>
      </c>
      <c r="AA1631">
        <f>IF($V1631="",N($AA1630),IF(MATCH($V1631,$V$6:$V$10005,0)=ROW()-5,N($AA1630)+1,N($AA1630)))</f>
        <v>0</v>
      </c>
    </row>
    <row r="1632" spans="1:27" ht="21" customHeight="1" x14ac:dyDescent="0.95">
      <c r="A1632" s="56"/>
      <c r="B1632" s="57"/>
      <c r="C1632" s="57"/>
      <c r="D1632" s="57"/>
      <c r="E1632" s="56"/>
      <c r="F1632" s="57"/>
      <c r="G1632" s="57"/>
      <c r="H1632" s="56"/>
      <c r="I1632" s="56"/>
      <c r="J1632" s="58"/>
      <c r="K1632" s="58"/>
      <c r="L1632" s="13" t="str">
        <f t="shared" si="250"/>
        <v/>
      </c>
      <c r="M1632" s="13" t="str">
        <f t="shared" si="251"/>
        <v/>
      </c>
      <c r="Q1632" t="str">
        <f t="shared" si="252"/>
        <v/>
      </c>
      <c r="R1632" t="str">
        <f t="shared" si="253"/>
        <v/>
      </c>
      <c r="S1632" t="str">
        <f t="shared" si="254"/>
        <v/>
      </c>
      <c r="T1632" t="str">
        <f t="shared" si="255"/>
        <v/>
      </c>
      <c r="U1632" t="str">
        <f t="shared" si="256"/>
        <v/>
      </c>
      <c r="V1632" t="str">
        <f t="shared" si="257"/>
        <v/>
      </c>
      <c r="W1632" t="str">
        <f t="shared" si="258"/>
        <v/>
      </c>
      <c r="X1632">
        <f>IF($T1632="",N($X1631),IF(MATCH($T1632,$T$6:$T$10005,0)=ROW()-5,N($X1631)+1,N($X1631)))</f>
        <v>0</v>
      </c>
      <c r="Z1632" t="str">
        <f t="shared" si="259"/>
        <v/>
      </c>
      <c r="AA1632">
        <f>IF($V1632="",N($AA1631),IF(MATCH($V1632,$V$6:$V$10005,0)=ROW()-5,N($AA1631)+1,N($AA1631)))</f>
        <v>0</v>
      </c>
    </row>
    <row r="1633" spans="1:27" ht="21" customHeight="1" x14ac:dyDescent="0.95">
      <c r="A1633" s="56"/>
      <c r="B1633" s="57"/>
      <c r="C1633" s="57"/>
      <c r="D1633" s="57"/>
      <c r="E1633" s="56"/>
      <c r="F1633" s="57"/>
      <c r="G1633" s="57"/>
      <c r="H1633" s="56"/>
      <c r="I1633" s="56"/>
      <c r="J1633" s="58"/>
      <c r="K1633" s="58"/>
      <c r="L1633" s="13" t="str">
        <f t="shared" si="250"/>
        <v/>
      </c>
      <c r="M1633" s="13" t="str">
        <f t="shared" si="251"/>
        <v/>
      </c>
      <c r="Q1633" t="str">
        <f t="shared" si="252"/>
        <v/>
      </c>
      <c r="R1633" t="str">
        <f t="shared" si="253"/>
        <v/>
      </c>
      <c r="S1633" t="str">
        <f t="shared" si="254"/>
        <v/>
      </c>
      <c r="T1633" t="str">
        <f t="shared" si="255"/>
        <v/>
      </c>
      <c r="U1633" t="str">
        <f t="shared" si="256"/>
        <v/>
      </c>
      <c r="V1633" t="str">
        <f t="shared" si="257"/>
        <v/>
      </c>
      <c r="W1633" t="str">
        <f t="shared" si="258"/>
        <v/>
      </c>
      <c r="X1633">
        <f>IF($T1633="",N($X1632),IF(MATCH($T1633,$T$6:$T$10005,0)=ROW()-5,N($X1632)+1,N($X1632)))</f>
        <v>0</v>
      </c>
      <c r="Z1633" t="str">
        <f t="shared" si="259"/>
        <v/>
      </c>
      <c r="AA1633">
        <f>IF($V1633="",N($AA1632),IF(MATCH($V1633,$V$6:$V$10005,0)=ROW()-5,N($AA1632)+1,N($AA1632)))</f>
        <v>0</v>
      </c>
    </row>
    <row r="1634" spans="1:27" ht="21" customHeight="1" x14ac:dyDescent="0.95">
      <c r="A1634" s="56"/>
      <c r="B1634" s="57"/>
      <c r="C1634" s="57"/>
      <c r="D1634" s="57"/>
      <c r="E1634" s="56"/>
      <c r="F1634" s="57"/>
      <c r="G1634" s="57"/>
      <c r="H1634" s="56"/>
      <c r="I1634" s="56"/>
      <c r="J1634" s="58"/>
      <c r="K1634" s="58"/>
      <c r="L1634" s="13" t="str">
        <f t="shared" si="250"/>
        <v/>
      </c>
      <c r="M1634" s="13" t="str">
        <f t="shared" si="251"/>
        <v/>
      </c>
      <c r="Q1634" t="str">
        <f t="shared" si="252"/>
        <v/>
      </c>
      <c r="R1634" t="str">
        <f t="shared" si="253"/>
        <v/>
      </c>
      <c r="S1634" t="str">
        <f t="shared" si="254"/>
        <v/>
      </c>
      <c r="T1634" t="str">
        <f t="shared" si="255"/>
        <v/>
      </c>
      <c r="U1634" t="str">
        <f t="shared" si="256"/>
        <v/>
      </c>
      <c r="V1634" t="str">
        <f t="shared" si="257"/>
        <v/>
      </c>
      <c r="W1634" t="str">
        <f t="shared" si="258"/>
        <v/>
      </c>
      <c r="X1634">
        <f>IF($T1634="",N($X1633),IF(MATCH($T1634,$T$6:$T$10005,0)=ROW()-5,N($X1633)+1,N($X1633)))</f>
        <v>0</v>
      </c>
      <c r="Z1634" t="str">
        <f t="shared" si="259"/>
        <v/>
      </c>
      <c r="AA1634">
        <f>IF($V1634="",N($AA1633),IF(MATCH($V1634,$V$6:$V$10005,0)=ROW()-5,N($AA1633)+1,N($AA1633)))</f>
        <v>0</v>
      </c>
    </row>
    <row r="1635" spans="1:27" ht="21" customHeight="1" x14ac:dyDescent="0.95">
      <c r="A1635" s="56"/>
      <c r="B1635" s="57"/>
      <c r="C1635" s="57"/>
      <c r="D1635" s="57"/>
      <c r="E1635" s="56"/>
      <c r="F1635" s="57"/>
      <c r="G1635" s="57"/>
      <c r="H1635" s="56"/>
      <c r="I1635" s="56"/>
      <c r="J1635" s="58"/>
      <c r="K1635" s="58"/>
      <c r="L1635" s="13" t="str">
        <f t="shared" si="250"/>
        <v/>
      </c>
      <c r="M1635" s="13" t="str">
        <f t="shared" si="251"/>
        <v/>
      </c>
      <c r="Q1635" t="str">
        <f t="shared" si="252"/>
        <v/>
      </c>
      <c r="R1635" t="str">
        <f t="shared" si="253"/>
        <v/>
      </c>
      <c r="S1635" t="str">
        <f t="shared" si="254"/>
        <v/>
      </c>
      <c r="T1635" t="str">
        <f t="shared" si="255"/>
        <v/>
      </c>
      <c r="U1635" t="str">
        <f t="shared" si="256"/>
        <v/>
      </c>
      <c r="V1635" t="str">
        <f t="shared" si="257"/>
        <v/>
      </c>
      <c r="W1635" t="str">
        <f t="shared" si="258"/>
        <v/>
      </c>
      <c r="X1635">
        <f>IF($T1635="",N($X1634),IF(MATCH($T1635,$T$6:$T$10005,0)=ROW()-5,N($X1634)+1,N($X1634)))</f>
        <v>0</v>
      </c>
      <c r="Z1635" t="str">
        <f t="shared" si="259"/>
        <v/>
      </c>
      <c r="AA1635">
        <f>IF($V1635="",N($AA1634),IF(MATCH($V1635,$V$6:$V$10005,0)=ROW()-5,N($AA1634)+1,N($AA1634)))</f>
        <v>0</v>
      </c>
    </row>
    <row r="1636" spans="1:27" ht="21" customHeight="1" x14ac:dyDescent="0.95">
      <c r="A1636" s="56"/>
      <c r="B1636" s="57"/>
      <c r="C1636" s="57"/>
      <c r="D1636" s="57"/>
      <c r="E1636" s="56"/>
      <c r="F1636" s="57"/>
      <c r="G1636" s="57"/>
      <c r="H1636" s="56"/>
      <c r="I1636" s="56"/>
      <c r="J1636" s="58"/>
      <c r="K1636" s="58"/>
      <c r="L1636" s="13" t="str">
        <f t="shared" si="250"/>
        <v/>
      </c>
      <c r="M1636" s="13" t="str">
        <f t="shared" si="251"/>
        <v/>
      </c>
      <c r="Q1636" t="str">
        <f t="shared" si="252"/>
        <v/>
      </c>
      <c r="R1636" t="str">
        <f t="shared" si="253"/>
        <v/>
      </c>
      <c r="S1636" t="str">
        <f t="shared" si="254"/>
        <v/>
      </c>
      <c r="T1636" t="str">
        <f t="shared" si="255"/>
        <v/>
      </c>
      <c r="U1636" t="str">
        <f t="shared" si="256"/>
        <v/>
      </c>
      <c r="V1636" t="str">
        <f t="shared" si="257"/>
        <v/>
      </c>
      <c r="W1636" t="str">
        <f t="shared" si="258"/>
        <v/>
      </c>
      <c r="X1636">
        <f>IF($T1636="",N($X1635),IF(MATCH($T1636,$T$6:$T$10005,0)=ROW()-5,N($X1635)+1,N($X1635)))</f>
        <v>0</v>
      </c>
      <c r="Z1636" t="str">
        <f t="shared" si="259"/>
        <v/>
      </c>
      <c r="AA1636">
        <f>IF($V1636="",N($AA1635),IF(MATCH($V1636,$V$6:$V$10005,0)=ROW()-5,N($AA1635)+1,N($AA1635)))</f>
        <v>0</v>
      </c>
    </row>
    <row r="1637" spans="1:27" ht="21" customHeight="1" x14ac:dyDescent="0.95">
      <c r="A1637" s="56"/>
      <c r="B1637" s="57"/>
      <c r="C1637" s="57"/>
      <c r="D1637" s="57"/>
      <c r="E1637" s="56"/>
      <c r="F1637" s="57"/>
      <c r="G1637" s="57"/>
      <c r="H1637" s="56"/>
      <c r="I1637" s="56"/>
      <c r="J1637" s="58"/>
      <c r="K1637" s="58"/>
      <c r="L1637" s="13" t="str">
        <f t="shared" si="250"/>
        <v/>
      </c>
      <c r="M1637" s="13" t="str">
        <f t="shared" si="251"/>
        <v/>
      </c>
      <c r="Q1637" t="str">
        <f t="shared" si="252"/>
        <v/>
      </c>
      <c r="R1637" t="str">
        <f t="shared" si="253"/>
        <v/>
      </c>
      <c r="S1637" t="str">
        <f t="shared" si="254"/>
        <v/>
      </c>
      <c r="T1637" t="str">
        <f t="shared" si="255"/>
        <v/>
      </c>
      <c r="U1637" t="str">
        <f t="shared" si="256"/>
        <v/>
      </c>
      <c r="V1637" t="str">
        <f t="shared" si="257"/>
        <v/>
      </c>
      <c r="W1637" t="str">
        <f t="shared" si="258"/>
        <v/>
      </c>
      <c r="X1637">
        <f>IF($T1637="",N($X1636),IF(MATCH($T1637,$T$6:$T$10005,0)=ROW()-5,N($X1636)+1,N($X1636)))</f>
        <v>0</v>
      </c>
      <c r="Z1637" t="str">
        <f t="shared" si="259"/>
        <v/>
      </c>
      <c r="AA1637">
        <f>IF($V1637="",N($AA1636),IF(MATCH($V1637,$V$6:$V$10005,0)=ROW()-5,N($AA1636)+1,N($AA1636)))</f>
        <v>0</v>
      </c>
    </row>
    <row r="1638" spans="1:27" ht="21" customHeight="1" x14ac:dyDescent="0.95">
      <c r="A1638" s="56"/>
      <c r="B1638" s="57"/>
      <c r="C1638" s="57"/>
      <c r="D1638" s="57"/>
      <c r="E1638" s="56"/>
      <c r="F1638" s="57"/>
      <c r="G1638" s="57"/>
      <c r="H1638" s="56"/>
      <c r="I1638" s="56"/>
      <c r="J1638" s="58"/>
      <c r="K1638" s="58"/>
      <c r="L1638" s="13" t="str">
        <f t="shared" si="250"/>
        <v/>
      </c>
      <c r="M1638" s="13" t="str">
        <f t="shared" si="251"/>
        <v/>
      </c>
      <c r="Q1638" t="str">
        <f t="shared" si="252"/>
        <v/>
      </c>
      <c r="R1638" t="str">
        <f t="shared" si="253"/>
        <v/>
      </c>
      <c r="S1638" t="str">
        <f t="shared" si="254"/>
        <v/>
      </c>
      <c r="T1638" t="str">
        <f t="shared" si="255"/>
        <v/>
      </c>
      <c r="U1638" t="str">
        <f t="shared" si="256"/>
        <v/>
      </c>
      <c r="V1638" t="str">
        <f t="shared" si="257"/>
        <v/>
      </c>
      <c r="W1638" t="str">
        <f t="shared" si="258"/>
        <v/>
      </c>
      <c r="X1638">
        <f>IF($T1638="",N($X1637),IF(MATCH($T1638,$T$6:$T$10005,0)=ROW()-5,N($X1637)+1,N($X1637)))</f>
        <v>0</v>
      </c>
      <c r="Z1638" t="str">
        <f t="shared" si="259"/>
        <v/>
      </c>
      <c r="AA1638">
        <f>IF($V1638="",N($AA1637),IF(MATCH($V1638,$V$6:$V$10005,0)=ROW()-5,N($AA1637)+1,N($AA1637)))</f>
        <v>0</v>
      </c>
    </row>
    <row r="1639" spans="1:27" ht="21" customHeight="1" x14ac:dyDescent="0.95">
      <c r="A1639" s="56"/>
      <c r="B1639" s="57"/>
      <c r="C1639" s="57"/>
      <c r="D1639" s="57"/>
      <c r="E1639" s="56"/>
      <c r="F1639" s="57"/>
      <c r="G1639" s="57"/>
      <c r="H1639" s="56"/>
      <c r="I1639" s="56"/>
      <c r="J1639" s="58"/>
      <c r="K1639" s="58"/>
      <c r="L1639" s="13" t="str">
        <f t="shared" si="250"/>
        <v/>
      </c>
      <c r="M1639" s="13" t="str">
        <f t="shared" si="251"/>
        <v/>
      </c>
      <c r="Q1639" t="str">
        <f t="shared" si="252"/>
        <v/>
      </c>
      <c r="R1639" t="str">
        <f t="shared" si="253"/>
        <v/>
      </c>
      <c r="S1639" t="str">
        <f t="shared" si="254"/>
        <v/>
      </c>
      <c r="T1639" t="str">
        <f t="shared" si="255"/>
        <v/>
      </c>
      <c r="U1639" t="str">
        <f t="shared" si="256"/>
        <v/>
      </c>
      <c r="V1639" t="str">
        <f t="shared" si="257"/>
        <v/>
      </c>
      <c r="W1639" t="str">
        <f t="shared" si="258"/>
        <v/>
      </c>
      <c r="X1639">
        <f>IF($T1639="",N($X1638),IF(MATCH($T1639,$T$6:$T$10005,0)=ROW()-5,N($X1638)+1,N($X1638)))</f>
        <v>0</v>
      </c>
      <c r="Z1639" t="str">
        <f t="shared" si="259"/>
        <v/>
      </c>
      <c r="AA1639">
        <f>IF($V1639="",N($AA1638),IF(MATCH($V1639,$V$6:$V$10005,0)=ROW()-5,N($AA1638)+1,N($AA1638)))</f>
        <v>0</v>
      </c>
    </row>
    <row r="1640" spans="1:27" ht="21" customHeight="1" x14ac:dyDescent="0.95">
      <c r="A1640" s="56"/>
      <c r="B1640" s="57"/>
      <c r="C1640" s="57"/>
      <c r="D1640" s="57"/>
      <c r="E1640" s="56"/>
      <c r="F1640" s="57"/>
      <c r="G1640" s="57"/>
      <c r="H1640" s="56"/>
      <c r="I1640" s="56"/>
      <c r="J1640" s="58"/>
      <c r="K1640" s="58"/>
      <c r="L1640" s="13" t="str">
        <f t="shared" si="250"/>
        <v/>
      </c>
      <c r="M1640" s="13" t="str">
        <f t="shared" si="251"/>
        <v/>
      </c>
      <c r="Q1640" t="str">
        <f t="shared" si="252"/>
        <v/>
      </c>
      <c r="R1640" t="str">
        <f t="shared" si="253"/>
        <v/>
      </c>
      <c r="S1640" t="str">
        <f t="shared" si="254"/>
        <v/>
      </c>
      <c r="T1640" t="str">
        <f t="shared" si="255"/>
        <v/>
      </c>
      <c r="U1640" t="str">
        <f t="shared" si="256"/>
        <v/>
      </c>
      <c r="V1640" t="str">
        <f t="shared" si="257"/>
        <v/>
      </c>
      <c r="W1640" t="str">
        <f t="shared" si="258"/>
        <v/>
      </c>
      <c r="X1640">
        <f>IF($T1640="",N($X1639),IF(MATCH($T1640,$T$6:$T$10005,0)=ROW()-5,N($X1639)+1,N($X1639)))</f>
        <v>0</v>
      </c>
      <c r="Z1640" t="str">
        <f t="shared" si="259"/>
        <v/>
      </c>
      <c r="AA1640">
        <f>IF($V1640="",N($AA1639),IF(MATCH($V1640,$V$6:$V$10005,0)=ROW()-5,N($AA1639)+1,N($AA1639)))</f>
        <v>0</v>
      </c>
    </row>
    <row r="1641" spans="1:27" ht="21" customHeight="1" x14ac:dyDescent="0.95">
      <c r="A1641" s="56"/>
      <c r="B1641" s="57"/>
      <c r="C1641" s="57"/>
      <c r="D1641" s="57"/>
      <c r="E1641" s="56"/>
      <c r="F1641" s="57"/>
      <c r="G1641" s="57"/>
      <c r="H1641" s="56"/>
      <c r="I1641" s="56"/>
      <c r="J1641" s="58"/>
      <c r="K1641" s="58"/>
      <c r="L1641" s="13" t="str">
        <f t="shared" si="250"/>
        <v/>
      </c>
      <c r="M1641" s="13" t="str">
        <f t="shared" si="251"/>
        <v/>
      </c>
      <c r="Q1641" t="str">
        <f t="shared" si="252"/>
        <v/>
      </c>
      <c r="R1641" t="str">
        <f t="shared" si="253"/>
        <v/>
      </c>
      <c r="S1641" t="str">
        <f t="shared" si="254"/>
        <v/>
      </c>
      <c r="T1641" t="str">
        <f t="shared" si="255"/>
        <v/>
      </c>
      <c r="U1641" t="str">
        <f t="shared" si="256"/>
        <v/>
      </c>
      <c r="V1641" t="str">
        <f t="shared" si="257"/>
        <v/>
      </c>
      <c r="W1641" t="str">
        <f t="shared" si="258"/>
        <v/>
      </c>
      <c r="X1641">
        <f>IF($T1641="",N($X1640),IF(MATCH($T1641,$T$6:$T$10005,0)=ROW()-5,N($X1640)+1,N($X1640)))</f>
        <v>0</v>
      </c>
      <c r="Z1641" t="str">
        <f t="shared" si="259"/>
        <v/>
      </c>
      <c r="AA1641">
        <f>IF($V1641="",N($AA1640),IF(MATCH($V1641,$V$6:$V$10005,0)=ROW()-5,N($AA1640)+1,N($AA1640)))</f>
        <v>0</v>
      </c>
    </row>
    <row r="1642" spans="1:27" ht="21" customHeight="1" x14ac:dyDescent="0.95">
      <c r="A1642" s="56"/>
      <c r="B1642" s="57"/>
      <c r="C1642" s="57"/>
      <c r="D1642" s="57"/>
      <c r="E1642" s="56"/>
      <c r="F1642" s="57"/>
      <c r="G1642" s="57"/>
      <c r="H1642" s="56"/>
      <c r="I1642" s="56"/>
      <c r="J1642" s="58"/>
      <c r="K1642" s="58"/>
      <c r="L1642" s="13" t="str">
        <f t="shared" si="250"/>
        <v/>
      </c>
      <c r="M1642" s="13" t="str">
        <f t="shared" si="251"/>
        <v/>
      </c>
      <c r="Q1642" t="str">
        <f t="shared" si="252"/>
        <v/>
      </c>
      <c r="R1642" t="str">
        <f t="shared" si="253"/>
        <v/>
      </c>
      <c r="S1642" t="str">
        <f t="shared" si="254"/>
        <v/>
      </c>
      <c r="T1642" t="str">
        <f t="shared" si="255"/>
        <v/>
      </c>
      <c r="U1642" t="str">
        <f t="shared" si="256"/>
        <v/>
      </c>
      <c r="V1642" t="str">
        <f t="shared" si="257"/>
        <v/>
      </c>
      <c r="W1642" t="str">
        <f t="shared" si="258"/>
        <v/>
      </c>
      <c r="X1642">
        <f>IF($T1642="",N($X1641),IF(MATCH($T1642,$T$6:$T$10005,0)=ROW()-5,N($X1641)+1,N($X1641)))</f>
        <v>0</v>
      </c>
      <c r="Z1642" t="str">
        <f t="shared" si="259"/>
        <v/>
      </c>
      <c r="AA1642">
        <f>IF($V1642="",N($AA1641),IF(MATCH($V1642,$V$6:$V$10005,0)=ROW()-5,N($AA1641)+1,N($AA1641)))</f>
        <v>0</v>
      </c>
    </row>
    <row r="1643" spans="1:27" ht="21" customHeight="1" x14ac:dyDescent="0.95">
      <c r="A1643" s="56"/>
      <c r="B1643" s="57"/>
      <c r="C1643" s="57"/>
      <c r="D1643" s="57"/>
      <c r="E1643" s="56"/>
      <c r="F1643" s="57"/>
      <c r="G1643" s="57"/>
      <c r="H1643" s="56"/>
      <c r="I1643" s="56"/>
      <c r="J1643" s="58"/>
      <c r="K1643" s="58"/>
      <c r="L1643" s="13" t="str">
        <f t="shared" si="250"/>
        <v/>
      </c>
      <c r="M1643" s="13" t="str">
        <f t="shared" si="251"/>
        <v/>
      </c>
      <c r="Q1643" t="str">
        <f t="shared" si="252"/>
        <v/>
      </c>
      <c r="R1643" t="str">
        <f t="shared" si="253"/>
        <v/>
      </c>
      <c r="S1643" t="str">
        <f t="shared" si="254"/>
        <v/>
      </c>
      <c r="T1643" t="str">
        <f t="shared" si="255"/>
        <v/>
      </c>
      <c r="U1643" t="str">
        <f t="shared" si="256"/>
        <v/>
      </c>
      <c r="V1643" t="str">
        <f t="shared" si="257"/>
        <v/>
      </c>
      <c r="W1643" t="str">
        <f t="shared" si="258"/>
        <v/>
      </c>
      <c r="X1643">
        <f>IF($T1643="",N($X1642),IF(MATCH($T1643,$T$6:$T$10005,0)=ROW()-5,N($X1642)+1,N($X1642)))</f>
        <v>0</v>
      </c>
      <c r="Z1643" t="str">
        <f t="shared" si="259"/>
        <v/>
      </c>
      <c r="AA1643">
        <f>IF($V1643="",N($AA1642),IF(MATCH($V1643,$V$6:$V$10005,0)=ROW()-5,N($AA1642)+1,N($AA1642)))</f>
        <v>0</v>
      </c>
    </row>
    <row r="1644" spans="1:27" ht="21" customHeight="1" x14ac:dyDescent="0.95">
      <c r="A1644" s="56"/>
      <c r="B1644" s="57"/>
      <c r="C1644" s="57"/>
      <c r="D1644" s="57"/>
      <c r="E1644" s="56"/>
      <c r="F1644" s="57"/>
      <c r="G1644" s="57"/>
      <c r="H1644" s="56"/>
      <c r="I1644" s="56"/>
      <c r="J1644" s="58"/>
      <c r="K1644" s="58"/>
      <c r="L1644" s="13" t="str">
        <f t="shared" si="250"/>
        <v/>
      </c>
      <c r="M1644" s="13" t="str">
        <f t="shared" si="251"/>
        <v/>
      </c>
      <c r="Q1644" t="str">
        <f t="shared" si="252"/>
        <v/>
      </c>
      <c r="R1644" t="str">
        <f t="shared" si="253"/>
        <v/>
      </c>
      <c r="S1644" t="str">
        <f t="shared" si="254"/>
        <v/>
      </c>
      <c r="T1644" t="str">
        <f t="shared" si="255"/>
        <v/>
      </c>
      <c r="U1644" t="str">
        <f t="shared" si="256"/>
        <v/>
      </c>
      <c r="V1644" t="str">
        <f t="shared" si="257"/>
        <v/>
      </c>
      <c r="W1644" t="str">
        <f t="shared" si="258"/>
        <v/>
      </c>
      <c r="X1644">
        <f>IF($T1644="",N($X1643),IF(MATCH($T1644,$T$6:$T$10005,0)=ROW()-5,N($X1643)+1,N($X1643)))</f>
        <v>0</v>
      </c>
      <c r="Z1644" t="str">
        <f t="shared" si="259"/>
        <v/>
      </c>
      <c r="AA1644">
        <f>IF($V1644="",N($AA1643),IF(MATCH($V1644,$V$6:$V$10005,0)=ROW()-5,N($AA1643)+1,N($AA1643)))</f>
        <v>0</v>
      </c>
    </row>
    <row r="1645" spans="1:27" ht="21" customHeight="1" x14ac:dyDescent="0.95">
      <c r="A1645" s="56"/>
      <c r="B1645" s="57"/>
      <c r="C1645" s="57"/>
      <c r="D1645" s="57"/>
      <c r="E1645" s="56"/>
      <c r="F1645" s="57"/>
      <c r="G1645" s="57"/>
      <c r="H1645" s="56"/>
      <c r="I1645" s="56"/>
      <c r="J1645" s="58"/>
      <c r="K1645" s="58"/>
      <c r="L1645" s="13" t="str">
        <f t="shared" si="250"/>
        <v/>
      </c>
      <c r="M1645" s="13" t="str">
        <f t="shared" si="251"/>
        <v/>
      </c>
      <c r="Q1645" t="str">
        <f t="shared" si="252"/>
        <v/>
      </c>
      <c r="R1645" t="str">
        <f t="shared" si="253"/>
        <v/>
      </c>
      <c r="S1645" t="str">
        <f t="shared" si="254"/>
        <v/>
      </c>
      <c r="T1645" t="str">
        <f t="shared" si="255"/>
        <v/>
      </c>
      <c r="U1645" t="str">
        <f t="shared" si="256"/>
        <v/>
      </c>
      <c r="V1645" t="str">
        <f t="shared" si="257"/>
        <v/>
      </c>
      <c r="W1645" t="str">
        <f t="shared" si="258"/>
        <v/>
      </c>
      <c r="X1645">
        <f>IF($T1645="",N($X1644),IF(MATCH($T1645,$T$6:$T$10005,0)=ROW()-5,N($X1644)+1,N($X1644)))</f>
        <v>0</v>
      </c>
      <c r="Z1645" t="str">
        <f t="shared" si="259"/>
        <v/>
      </c>
      <c r="AA1645">
        <f>IF($V1645="",N($AA1644),IF(MATCH($V1645,$V$6:$V$10005,0)=ROW()-5,N($AA1644)+1,N($AA1644)))</f>
        <v>0</v>
      </c>
    </row>
    <row r="1646" spans="1:27" ht="21" customHeight="1" x14ac:dyDescent="0.95">
      <c r="A1646" s="56"/>
      <c r="B1646" s="57"/>
      <c r="C1646" s="57"/>
      <c r="D1646" s="57"/>
      <c r="E1646" s="56"/>
      <c r="F1646" s="57"/>
      <c r="G1646" s="57"/>
      <c r="H1646" s="56"/>
      <c r="I1646" s="56"/>
      <c r="J1646" s="58"/>
      <c r="K1646" s="58"/>
      <c r="L1646" s="13" t="str">
        <f t="shared" si="250"/>
        <v/>
      </c>
      <c r="M1646" s="13" t="str">
        <f t="shared" si="251"/>
        <v/>
      </c>
      <c r="Q1646" t="str">
        <f t="shared" si="252"/>
        <v/>
      </c>
      <c r="R1646" t="str">
        <f t="shared" si="253"/>
        <v/>
      </c>
      <c r="S1646" t="str">
        <f t="shared" si="254"/>
        <v/>
      </c>
      <c r="T1646" t="str">
        <f t="shared" si="255"/>
        <v/>
      </c>
      <c r="U1646" t="str">
        <f t="shared" si="256"/>
        <v/>
      </c>
      <c r="V1646" t="str">
        <f t="shared" si="257"/>
        <v/>
      </c>
      <c r="W1646" t="str">
        <f t="shared" si="258"/>
        <v/>
      </c>
      <c r="X1646">
        <f>IF($T1646="",N($X1645),IF(MATCH($T1646,$T$6:$T$10005,0)=ROW()-5,N($X1645)+1,N($X1645)))</f>
        <v>0</v>
      </c>
      <c r="Z1646" t="str">
        <f t="shared" si="259"/>
        <v/>
      </c>
      <c r="AA1646">
        <f>IF($V1646="",N($AA1645),IF(MATCH($V1646,$V$6:$V$10005,0)=ROW()-5,N($AA1645)+1,N($AA1645)))</f>
        <v>0</v>
      </c>
    </row>
    <row r="1647" spans="1:27" ht="21" customHeight="1" x14ac:dyDescent="0.95">
      <c r="A1647" s="56"/>
      <c r="B1647" s="57"/>
      <c r="C1647" s="57"/>
      <c r="D1647" s="57"/>
      <c r="E1647" s="56"/>
      <c r="F1647" s="57"/>
      <c r="G1647" s="57"/>
      <c r="H1647" s="56"/>
      <c r="I1647" s="56"/>
      <c r="J1647" s="58"/>
      <c r="K1647" s="58"/>
      <c r="L1647" s="13" t="str">
        <f t="shared" si="250"/>
        <v/>
      </c>
      <c r="M1647" s="13" t="str">
        <f t="shared" si="251"/>
        <v/>
      </c>
      <c r="Q1647" t="str">
        <f t="shared" si="252"/>
        <v/>
      </c>
      <c r="R1647" t="str">
        <f t="shared" si="253"/>
        <v/>
      </c>
      <c r="S1647" t="str">
        <f t="shared" si="254"/>
        <v/>
      </c>
      <c r="T1647" t="str">
        <f t="shared" si="255"/>
        <v/>
      </c>
      <c r="U1647" t="str">
        <f t="shared" si="256"/>
        <v/>
      </c>
      <c r="V1647" t="str">
        <f t="shared" si="257"/>
        <v/>
      </c>
      <c r="W1647" t="str">
        <f t="shared" si="258"/>
        <v/>
      </c>
      <c r="X1647">
        <f>IF($T1647="",N($X1646),IF(MATCH($T1647,$T$6:$T$10005,0)=ROW()-5,N($X1646)+1,N($X1646)))</f>
        <v>0</v>
      </c>
      <c r="Z1647" t="str">
        <f t="shared" si="259"/>
        <v/>
      </c>
      <c r="AA1647">
        <f>IF($V1647="",N($AA1646),IF(MATCH($V1647,$V$6:$V$10005,0)=ROW()-5,N($AA1646)+1,N($AA1646)))</f>
        <v>0</v>
      </c>
    </row>
    <row r="1648" spans="1:27" ht="21" customHeight="1" x14ac:dyDescent="0.95">
      <c r="A1648" s="56"/>
      <c r="B1648" s="57"/>
      <c r="C1648" s="57"/>
      <c r="D1648" s="57"/>
      <c r="E1648" s="56"/>
      <c r="F1648" s="57"/>
      <c r="G1648" s="57"/>
      <c r="H1648" s="56"/>
      <c r="I1648" s="56"/>
      <c r="J1648" s="58"/>
      <c r="K1648" s="58"/>
      <c r="L1648" s="13" t="str">
        <f t="shared" si="250"/>
        <v/>
      </c>
      <c r="M1648" s="13" t="str">
        <f t="shared" si="251"/>
        <v/>
      </c>
      <c r="Q1648" t="str">
        <f t="shared" si="252"/>
        <v/>
      </c>
      <c r="R1648" t="str">
        <f t="shared" si="253"/>
        <v/>
      </c>
      <c r="S1648" t="str">
        <f t="shared" si="254"/>
        <v/>
      </c>
      <c r="T1648" t="str">
        <f t="shared" si="255"/>
        <v/>
      </c>
      <c r="U1648" t="str">
        <f t="shared" si="256"/>
        <v/>
      </c>
      <c r="V1648" t="str">
        <f t="shared" si="257"/>
        <v/>
      </c>
      <c r="W1648" t="str">
        <f t="shared" si="258"/>
        <v/>
      </c>
      <c r="X1648">
        <f>IF($T1648="",N($X1647),IF(MATCH($T1648,$T$6:$T$10005,0)=ROW()-5,N($X1647)+1,N($X1647)))</f>
        <v>0</v>
      </c>
      <c r="Z1648" t="str">
        <f t="shared" si="259"/>
        <v/>
      </c>
      <c r="AA1648">
        <f>IF($V1648="",N($AA1647),IF(MATCH($V1648,$V$6:$V$10005,0)=ROW()-5,N($AA1647)+1,N($AA1647)))</f>
        <v>0</v>
      </c>
    </row>
    <row r="1649" spans="1:27" ht="21" customHeight="1" x14ac:dyDescent="0.95">
      <c r="A1649" s="56"/>
      <c r="B1649" s="57"/>
      <c r="C1649" s="57"/>
      <c r="D1649" s="57"/>
      <c r="E1649" s="56"/>
      <c r="F1649" s="57"/>
      <c r="G1649" s="57"/>
      <c r="H1649" s="56"/>
      <c r="I1649" s="56"/>
      <c r="J1649" s="58"/>
      <c r="K1649" s="58"/>
      <c r="L1649" s="13" t="str">
        <f t="shared" si="250"/>
        <v/>
      </c>
      <c r="M1649" s="13" t="str">
        <f t="shared" si="251"/>
        <v/>
      </c>
      <c r="Q1649" t="str">
        <f t="shared" si="252"/>
        <v/>
      </c>
      <c r="R1649" t="str">
        <f t="shared" si="253"/>
        <v/>
      </c>
      <c r="S1649" t="str">
        <f t="shared" si="254"/>
        <v/>
      </c>
      <c r="T1649" t="str">
        <f t="shared" si="255"/>
        <v/>
      </c>
      <c r="U1649" t="str">
        <f t="shared" si="256"/>
        <v/>
      </c>
      <c r="V1649" t="str">
        <f t="shared" si="257"/>
        <v/>
      </c>
      <c r="W1649" t="str">
        <f t="shared" si="258"/>
        <v/>
      </c>
      <c r="X1649">
        <f>IF($T1649="",N($X1648),IF(MATCH($T1649,$T$6:$T$10005,0)=ROW()-5,N($X1648)+1,N($X1648)))</f>
        <v>0</v>
      </c>
      <c r="Z1649" t="str">
        <f t="shared" si="259"/>
        <v/>
      </c>
      <c r="AA1649">
        <f>IF($V1649="",N($AA1648),IF(MATCH($V1649,$V$6:$V$10005,0)=ROW()-5,N($AA1648)+1,N($AA1648)))</f>
        <v>0</v>
      </c>
    </row>
    <row r="1650" spans="1:27" ht="21" customHeight="1" x14ac:dyDescent="0.95">
      <c r="A1650" s="56"/>
      <c r="B1650" s="57"/>
      <c r="C1650" s="57"/>
      <c r="D1650" s="57"/>
      <c r="E1650" s="56"/>
      <c r="F1650" s="57"/>
      <c r="G1650" s="57"/>
      <c r="H1650" s="56"/>
      <c r="I1650" s="56"/>
      <c r="J1650" s="58"/>
      <c r="K1650" s="58"/>
      <c r="L1650" s="13" t="str">
        <f t="shared" si="250"/>
        <v/>
      </c>
      <c r="M1650" s="13" t="str">
        <f t="shared" si="251"/>
        <v/>
      </c>
      <c r="Q1650" t="str">
        <f t="shared" si="252"/>
        <v/>
      </c>
      <c r="R1650" t="str">
        <f t="shared" si="253"/>
        <v/>
      </c>
      <c r="S1650" t="str">
        <f t="shared" si="254"/>
        <v/>
      </c>
      <c r="T1650" t="str">
        <f t="shared" si="255"/>
        <v/>
      </c>
      <c r="U1650" t="str">
        <f t="shared" si="256"/>
        <v/>
      </c>
      <c r="V1650" t="str">
        <f t="shared" si="257"/>
        <v/>
      </c>
      <c r="W1650" t="str">
        <f t="shared" si="258"/>
        <v/>
      </c>
      <c r="X1650">
        <f>IF($T1650="",N($X1649),IF(MATCH($T1650,$T$6:$T$10005,0)=ROW()-5,N($X1649)+1,N($X1649)))</f>
        <v>0</v>
      </c>
      <c r="Z1650" t="str">
        <f t="shared" si="259"/>
        <v/>
      </c>
      <c r="AA1650">
        <f>IF($V1650="",N($AA1649),IF(MATCH($V1650,$V$6:$V$10005,0)=ROW()-5,N($AA1649)+1,N($AA1649)))</f>
        <v>0</v>
      </c>
    </row>
    <row r="1651" spans="1:27" ht="21" customHeight="1" x14ac:dyDescent="0.95">
      <c r="A1651" s="56"/>
      <c r="B1651" s="57"/>
      <c r="C1651" s="57"/>
      <c r="D1651" s="57"/>
      <c r="E1651" s="56"/>
      <c r="F1651" s="57"/>
      <c r="G1651" s="57"/>
      <c r="H1651" s="56"/>
      <c r="I1651" s="56"/>
      <c r="J1651" s="58"/>
      <c r="K1651" s="58"/>
      <c r="L1651" s="13" t="str">
        <f t="shared" si="250"/>
        <v/>
      </c>
      <c r="M1651" s="13" t="str">
        <f t="shared" si="251"/>
        <v/>
      </c>
      <c r="Q1651" t="str">
        <f t="shared" si="252"/>
        <v/>
      </c>
      <c r="R1651" t="str">
        <f t="shared" si="253"/>
        <v/>
      </c>
      <c r="S1651" t="str">
        <f t="shared" si="254"/>
        <v/>
      </c>
      <c r="T1651" t="str">
        <f t="shared" si="255"/>
        <v/>
      </c>
      <c r="U1651" t="str">
        <f t="shared" si="256"/>
        <v/>
      </c>
      <c r="V1651" t="str">
        <f t="shared" si="257"/>
        <v/>
      </c>
      <c r="W1651" t="str">
        <f t="shared" si="258"/>
        <v/>
      </c>
      <c r="X1651">
        <f>IF($T1651="",N($X1650),IF(MATCH($T1651,$T$6:$T$10005,0)=ROW()-5,N($X1650)+1,N($X1650)))</f>
        <v>0</v>
      </c>
      <c r="Z1651" t="str">
        <f t="shared" si="259"/>
        <v/>
      </c>
      <c r="AA1651">
        <f>IF($V1651="",N($AA1650),IF(MATCH($V1651,$V$6:$V$10005,0)=ROW()-5,N($AA1650)+1,N($AA1650)))</f>
        <v>0</v>
      </c>
    </row>
    <row r="1652" spans="1:27" ht="21" customHeight="1" x14ac:dyDescent="0.95">
      <c r="A1652" s="56"/>
      <c r="B1652" s="57"/>
      <c r="C1652" s="57"/>
      <c r="D1652" s="57"/>
      <c r="E1652" s="56"/>
      <c r="F1652" s="57"/>
      <c r="G1652" s="57"/>
      <c r="H1652" s="56"/>
      <c r="I1652" s="56"/>
      <c r="J1652" s="58"/>
      <c r="K1652" s="58"/>
      <c r="L1652" s="13" t="str">
        <f t="shared" si="250"/>
        <v/>
      </c>
      <c r="M1652" s="13" t="str">
        <f t="shared" si="251"/>
        <v/>
      </c>
      <c r="Q1652" t="str">
        <f t="shared" si="252"/>
        <v/>
      </c>
      <c r="R1652" t="str">
        <f t="shared" si="253"/>
        <v/>
      </c>
      <c r="S1652" t="str">
        <f t="shared" si="254"/>
        <v/>
      </c>
      <c r="T1652" t="str">
        <f t="shared" si="255"/>
        <v/>
      </c>
      <c r="U1652" t="str">
        <f t="shared" si="256"/>
        <v/>
      </c>
      <c r="V1652" t="str">
        <f t="shared" si="257"/>
        <v/>
      </c>
      <c r="W1652" t="str">
        <f t="shared" si="258"/>
        <v/>
      </c>
      <c r="X1652">
        <f>IF($T1652="",N($X1651),IF(MATCH($T1652,$T$6:$T$10005,0)=ROW()-5,N($X1651)+1,N($X1651)))</f>
        <v>0</v>
      </c>
      <c r="Z1652" t="str">
        <f t="shared" si="259"/>
        <v/>
      </c>
      <c r="AA1652">
        <f>IF($V1652="",N($AA1651),IF(MATCH($V1652,$V$6:$V$10005,0)=ROW()-5,N($AA1651)+1,N($AA1651)))</f>
        <v>0</v>
      </c>
    </row>
    <row r="1653" spans="1:27" ht="21" customHeight="1" x14ac:dyDescent="0.95">
      <c r="A1653" s="56"/>
      <c r="B1653" s="57"/>
      <c r="C1653" s="57"/>
      <c r="D1653" s="57"/>
      <c r="E1653" s="56"/>
      <c r="F1653" s="57"/>
      <c r="G1653" s="57"/>
      <c r="H1653" s="56"/>
      <c r="I1653" s="56"/>
      <c r="J1653" s="58"/>
      <c r="K1653" s="58"/>
      <c r="L1653" s="13" t="str">
        <f t="shared" si="250"/>
        <v/>
      </c>
      <c r="M1653" s="13" t="str">
        <f t="shared" si="251"/>
        <v/>
      </c>
      <c r="Q1653" t="str">
        <f t="shared" si="252"/>
        <v/>
      </c>
      <c r="R1653" t="str">
        <f t="shared" si="253"/>
        <v/>
      </c>
      <c r="S1653" t="str">
        <f t="shared" si="254"/>
        <v/>
      </c>
      <c r="T1653" t="str">
        <f t="shared" si="255"/>
        <v/>
      </c>
      <c r="U1653" t="str">
        <f t="shared" si="256"/>
        <v/>
      </c>
      <c r="V1653" t="str">
        <f t="shared" si="257"/>
        <v/>
      </c>
      <c r="W1653" t="str">
        <f t="shared" si="258"/>
        <v/>
      </c>
      <c r="X1653">
        <f>IF($T1653="",N($X1652),IF(MATCH($T1653,$T$6:$T$10005,0)=ROW()-5,N($X1652)+1,N($X1652)))</f>
        <v>0</v>
      </c>
      <c r="Z1653" t="str">
        <f t="shared" si="259"/>
        <v/>
      </c>
      <c r="AA1653">
        <f>IF($V1653="",N($AA1652),IF(MATCH($V1653,$V$6:$V$10005,0)=ROW()-5,N($AA1652)+1,N($AA1652)))</f>
        <v>0</v>
      </c>
    </row>
    <row r="1654" spans="1:27" ht="21" customHeight="1" x14ac:dyDescent="0.95">
      <c r="A1654" s="56"/>
      <c r="B1654" s="57"/>
      <c r="C1654" s="57"/>
      <c r="D1654" s="57"/>
      <c r="E1654" s="56"/>
      <c r="F1654" s="57"/>
      <c r="G1654" s="57"/>
      <c r="H1654" s="56"/>
      <c r="I1654" s="56"/>
      <c r="J1654" s="58"/>
      <c r="K1654" s="58"/>
      <c r="L1654" s="13" t="str">
        <f t="shared" si="250"/>
        <v/>
      </c>
      <c r="M1654" s="13" t="str">
        <f t="shared" si="251"/>
        <v/>
      </c>
      <c r="Q1654" t="str">
        <f t="shared" si="252"/>
        <v/>
      </c>
      <c r="R1654" t="str">
        <f t="shared" si="253"/>
        <v/>
      </c>
      <c r="S1654" t="str">
        <f t="shared" si="254"/>
        <v/>
      </c>
      <c r="T1654" t="str">
        <f t="shared" si="255"/>
        <v/>
      </c>
      <c r="U1654" t="str">
        <f t="shared" si="256"/>
        <v/>
      </c>
      <c r="V1654" t="str">
        <f t="shared" si="257"/>
        <v/>
      </c>
      <c r="W1654" t="str">
        <f t="shared" si="258"/>
        <v/>
      </c>
      <c r="X1654">
        <f>IF($T1654="",N($X1653),IF(MATCH($T1654,$T$6:$T$10005,0)=ROW()-5,N($X1653)+1,N($X1653)))</f>
        <v>0</v>
      </c>
      <c r="Z1654" t="str">
        <f t="shared" si="259"/>
        <v/>
      </c>
      <c r="AA1654">
        <f>IF($V1654="",N($AA1653),IF(MATCH($V1654,$V$6:$V$10005,0)=ROW()-5,N($AA1653)+1,N($AA1653)))</f>
        <v>0</v>
      </c>
    </row>
    <row r="1655" spans="1:27" ht="21" customHeight="1" x14ac:dyDescent="0.95">
      <c r="A1655" s="56"/>
      <c r="B1655" s="57"/>
      <c r="C1655" s="57"/>
      <c r="D1655" s="57"/>
      <c r="E1655" s="56"/>
      <c r="F1655" s="57"/>
      <c r="G1655" s="57"/>
      <c r="H1655" s="56"/>
      <c r="I1655" s="56"/>
      <c r="J1655" s="58"/>
      <c r="K1655" s="58"/>
      <c r="L1655" s="13" t="str">
        <f t="shared" si="250"/>
        <v/>
      </c>
      <c r="M1655" s="13" t="str">
        <f t="shared" si="251"/>
        <v/>
      </c>
      <c r="Q1655" t="str">
        <f t="shared" si="252"/>
        <v/>
      </c>
      <c r="R1655" t="str">
        <f t="shared" si="253"/>
        <v/>
      </c>
      <c r="S1655" t="str">
        <f t="shared" si="254"/>
        <v/>
      </c>
      <c r="T1655" t="str">
        <f t="shared" si="255"/>
        <v/>
      </c>
      <c r="U1655" t="str">
        <f t="shared" si="256"/>
        <v/>
      </c>
      <c r="V1655" t="str">
        <f t="shared" si="257"/>
        <v/>
      </c>
      <c r="W1655" t="str">
        <f t="shared" si="258"/>
        <v/>
      </c>
      <c r="X1655">
        <f>IF($T1655="",N($X1654),IF(MATCH($T1655,$T$6:$T$10005,0)=ROW()-5,N($X1654)+1,N($X1654)))</f>
        <v>0</v>
      </c>
      <c r="Z1655" t="str">
        <f t="shared" si="259"/>
        <v/>
      </c>
      <c r="AA1655">
        <f>IF($V1655="",N($AA1654),IF(MATCH($V1655,$V$6:$V$10005,0)=ROW()-5,N($AA1654)+1,N($AA1654)))</f>
        <v>0</v>
      </c>
    </row>
    <row r="1656" spans="1:27" ht="21" customHeight="1" x14ac:dyDescent="0.95">
      <c r="A1656" s="56"/>
      <c r="B1656" s="57"/>
      <c r="C1656" s="57"/>
      <c r="D1656" s="57"/>
      <c r="E1656" s="56"/>
      <c r="F1656" s="57"/>
      <c r="G1656" s="57"/>
      <c r="H1656" s="56"/>
      <c r="I1656" s="56"/>
      <c r="J1656" s="58"/>
      <c r="K1656" s="58"/>
      <c r="L1656" s="13" t="str">
        <f t="shared" si="250"/>
        <v/>
      </c>
      <c r="M1656" s="13" t="str">
        <f t="shared" si="251"/>
        <v/>
      </c>
      <c r="Q1656" t="str">
        <f t="shared" si="252"/>
        <v/>
      </c>
      <c r="R1656" t="str">
        <f t="shared" si="253"/>
        <v/>
      </c>
      <c r="S1656" t="str">
        <f t="shared" si="254"/>
        <v/>
      </c>
      <c r="T1656" t="str">
        <f t="shared" si="255"/>
        <v/>
      </c>
      <c r="U1656" t="str">
        <f t="shared" si="256"/>
        <v/>
      </c>
      <c r="V1656" t="str">
        <f t="shared" si="257"/>
        <v/>
      </c>
      <c r="W1656" t="str">
        <f t="shared" si="258"/>
        <v/>
      </c>
      <c r="X1656">
        <f>IF($T1656="",N($X1655),IF(MATCH($T1656,$T$6:$T$10005,0)=ROW()-5,N($X1655)+1,N($X1655)))</f>
        <v>0</v>
      </c>
      <c r="Z1656" t="str">
        <f t="shared" si="259"/>
        <v/>
      </c>
      <c r="AA1656">
        <f>IF($V1656="",N($AA1655),IF(MATCH($V1656,$V$6:$V$10005,0)=ROW()-5,N($AA1655)+1,N($AA1655)))</f>
        <v>0</v>
      </c>
    </row>
    <row r="1657" spans="1:27" ht="21" customHeight="1" x14ac:dyDescent="0.95">
      <c r="A1657" s="56"/>
      <c r="B1657" s="57"/>
      <c r="C1657" s="57"/>
      <c r="D1657" s="57"/>
      <c r="E1657" s="56"/>
      <c r="F1657" s="57"/>
      <c r="G1657" s="57"/>
      <c r="H1657" s="56"/>
      <c r="I1657" s="56"/>
      <c r="J1657" s="58"/>
      <c r="K1657" s="58"/>
      <c r="L1657" s="13" t="str">
        <f t="shared" si="250"/>
        <v/>
      </c>
      <c r="M1657" s="13" t="str">
        <f t="shared" si="251"/>
        <v/>
      </c>
      <c r="Q1657" t="str">
        <f t="shared" si="252"/>
        <v/>
      </c>
      <c r="R1657" t="str">
        <f t="shared" si="253"/>
        <v/>
      </c>
      <c r="S1657" t="str">
        <f t="shared" si="254"/>
        <v/>
      </c>
      <c r="T1657" t="str">
        <f t="shared" si="255"/>
        <v/>
      </c>
      <c r="U1657" t="str">
        <f t="shared" si="256"/>
        <v/>
      </c>
      <c r="V1657" t="str">
        <f t="shared" si="257"/>
        <v/>
      </c>
      <c r="W1657" t="str">
        <f t="shared" si="258"/>
        <v/>
      </c>
      <c r="X1657">
        <f>IF($T1657="",N($X1656),IF(MATCH($T1657,$T$6:$T$10005,0)=ROW()-5,N($X1656)+1,N($X1656)))</f>
        <v>0</v>
      </c>
      <c r="Z1657" t="str">
        <f t="shared" si="259"/>
        <v/>
      </c>
      <c r="AA1657">
        <f>IF($V1657="",N($AA1656),IF(MATCH($V1657,$V$6:$V$10005,0)=ROW()-5,N($AA1656)+1,N($AA1656)))</f>
        <v>0</v>
      </c>
    </row>
    <row r="1658" spans="1:27" ht="21" customHeight="1" x14ac:dyDescent="0.95">
      <c r="A1658" s="56"/>
      <c r="B1658" s="57"/>
      <c r="C1658" s="57"/>
      <c r="D1658" s="57"/>
      <c r="E1658" s="56"/>
      <c r="F1658" s="57"/>
      <c r="G1658" s="57"/>
      <c r="H1658" s="56"/>
      <c r="I1658" s="56"/>
      <c r="J1658" s="58"/>
      <c r="K1658" s="58"/>
      <c r="L1658" s="13" t="str">
        <f t="shared" si="250"/>
        <v/>
      </c>
      <c r="M1658" s="13" t="str">
        <f t="shared" si="251"/>
        <v/>
      </c>
      <c r="Q1658" t="str">
        <f t="shared" si="252"/>
        <v/>
      </c>
      <c r="R1658" t="str">
        <f t="shared" si="253"/>
        <v/>
      </c>
      <c r="S1658" t="str">
        <f t="shared" si="254"/>
        <v/>
      </c>
      <c r="T1658" t="str">
        <f t="shared" si="255"/>
        <v/>
      </c>
      <c r="U1658" t="str">
        <f t="shared" si="256"/>
        <v/>
      </c>
      <c r="V1658" t="str">
        <f t="shared" si="257"/>
        <v/>
      </c>
      <c r="W1658" t="str">
        <f t="shared" si="258"/>
        <v/>
      </c>
      <c r="X1658">
        <f>IF($T1658="",N($X1657),IF(MATCH($T1658,$T$6:$T$10005,0)=ROW()-5,N($X1657)+1,N($X1657)))</f>
        <v>0</v>
      </c>
      <c r="Z1658" t="str">
        <f t="shared" si="259"/>
        <v/>
      </c>
      <c r="AA1658">
        <f>IF($V1658="",N($AA1657),IF(MATCH($V1658,$V$6:$V$10005,0)=ROW()-5,N($AA1657)+1,N($AA1657)))</f>
        <v>0</v>
      </c>
    </row>
    <row r="1659" spans="1:27" ht="21" customHeight="1" x14ac:dyDescent="0.95">
      <c r="A1659" s="56"/>
      <c r="B1659" s="57"/>
      <c r="C1659" s="57"/>
      <c r="D1659" s="57"/>
      <c r="E1659" s="56"/>
      <c r="F1659" s="57"/>
      <c r="G1659" s="57"/>
      <c r="H1659" s="56"/>
      <c r="I1659" s="56"/>
      <c r="J1659" s="58"/>
      <c r="K1659" s="58"/>
      <c r="L1659" s="13" t="str">
        <f t="shared" si="250"/>
        <v/>
      </c>
      <c r="M1659" s="13" t="str">
        <f t="shared" si="251"/>
        <v/>
      </c>
      <c r="Q1659" t="str">
        <f t="shared" si="252"/>
        <v/>
      </c>
      <c r="R1659" t="str">
        <f t="shared" si="253"/>
        <v/>
      </c>
      <c r="S1659" t="str">
        <f t="shared" si="254"/>
        <v/>
      </c>
      <c r="T1659" t="str">
        <f t="shared" si="255"/>
        <v/>
      </c>
      <c r="U1659" t="str">
        <f t="shared" si="256"/>
        <v/>
      </c>
      <c r="V1659" t="str">
        <f t="shared" si="257"/>
        <v/>
      </c>
      <c r="W1659" t="str">
        <f t="shared" si="258"/>
        <v/>
      </c>
      <c r="X1659">
        <f>IF($T1659="",N($X1658),IF(MATCH($T1659,$T$6:$T$10005,0)=ROW()-5,N($X1658)+1,N($X1658)))</f>
        <v>0</v>
      </c>
      <c r="Z1659" t="str">
        <f t="shared" si="259"/>
        <v/>
      </c>
      <c r="AA1659">
        <f>IF($V1659="",N($AA1658),IF(MATCH($V1659,$V$6:$V$10005,0)=ROW()-5,N($AA1658)+1,N($AA1658)))</f>
        <v>0</v>
      </c>
    </row>
    <row r="1660" spans="1:27" ht="21" customHeight="1" x14ac:dyDescent="0.95">
      <c r="A1660" s="56"/>
      <c r="B1660" s="57"/>
      <c r="C1660" s="57"/>
      <c r="D1660" s="57"/>
      <c r="E1660" s="56"/>
      <c r="F1660" s="57"/>
      <c r="G1660" s="57"/>
      <c r="H1660" s="56"/>
      <c r="I1660" s="56"/>
      <c r="J1660" s="58"/>
      <c r="K1660" s="58"/>
      <c r="L1660" s="13" t="str">
        <f t="shared" si="250"/>
        <v/>
      </c>
      <c r="M1660" s="13" t="str">
        <f t="shared" si="251"/>
        <v/>
      </c>
      <c r="Q1660" t="str">
        <f t="shared" si="252"/>
        <v/>
      </c>
      <c r="R1660" t="str">
        <f t="shared" si="253"/>
        <v/>
      </c>
      <c r="S1660" t="str">
        <f t="shared" si="254"/>
        <v/>
      </c>
      <c r="T1660" t="str">
        <f t="shared" si="255"/>
        <v/>
      </c>
      <c r="U1660" t="str">
        <f t="shared" si="256"/>
        <v/>
      </c>
      <c r="V1660" t="str">
        <f t="shared" si="257"/>
        <v/>
      </c>
      <c r="W1660" t="str">
        <f t="shared" si="258"/>
        <v/>
      </c>
      <c r="X1660">
        <f>IF($T1660="",N($X1659),IF(MATCH($T1660,$T$6:$T$10005,0)=ROW()-5,N($X1659)+1,N($X1659)))</f>
        <v>0</v>
      </c>
      <c r="Z1660" t="str">
        <f t="shared" si="259"/>
        <v/>
      </c>
      <c r="AA1660">
        <f>IF($V1660="",N($AA1659),IF(MATCH($V1660,$V$6:$V$10005,0)=ROW()-5,N($AA1659)+1,N($AA1659)))</f>
        <v>0</v>
      </c>
    </row>
    <row r="1661" spans="1:27" ht="21" customHeight="1" x14ac:dyDescent="0.95">
      <c r="A1661" s="56"/>
      <c r="B1661" s="57"/>
      <c r="C1661" s="57"/>
      <c r="D1661" s="57"/>
      <c r="E1661" s="56"/>
      <c r="F1661" s="57"/>
      <c r="G1661" s="57"/>
      <c r="H1661" s="56"/>
      <c r="I1661" s="56"/>
      <c r="J1661" s="58"/>
      <c r="K1661" s="58"/>
      <c r="L1661" s="13" t="str">
        <f t="shared" si="250"/>
        <v/>
      </c>
      <c r="M1661" s="13" t="str">
        <f t="shared" si="251"/>
        <v/>
      </c>
      <c r="Q1661" t="str">
        <f t="shared" si="252"/>
        <v/>
      </c>
      <c r="R1661" t="str">
        <f t="shared" si="253"/>
        <v/>
      </c>
      <c r="S1661" t="str">
        <f t="shared" si="254"/>
        <v/>
      </c>
      <c r="T1661" t="str">
        <f t="shared" si="255"/>
        <v/>
      </c>
      <c r="U1661" t="str">
        <f t="shared" si="256"/>
        <v/>
      </c>
      <c r="V1661" t="str">
        <f t="shared" si="257"/>
        <v/>
      </c>
      <c r="W1661" t="str">
        <f t="shared" si="258"/>
        <v/>
      </c>
      <c r="X1661">
        <f>IF($T1661="",N($X1660),IF(MATCH($T1661,$T$6:$T$10005,0)=ROW()-5,N($X1660)+1,N($X1660)))</f>
        <v>0</v>
      </c>
      <c r="Z1661" t="str">
        <f t="shared" si="259"/>
        <v/>
      </c>
      <c r="AA1661">
        <f>IF($V1661="",N($AA1660),IF(MATCH($V1661,$V$6:$V$10005,0)=ROW()-5,N($AA1660)+1,N($AA1660)))</f>
        <v>0</v>
      </c>
    </row>
    <row r="1662" spans="1:27" ht="21" customHeight="1" x14ac:dyDescent="0.95">
      <c r="A1662" s="56"/>
      <c r="B1662" s="57"/>
      <c r="C1662" s="57"/>
      <c r="D1662" s="57"/>
      <c r="E1662" s="56"/>
      <c r="F1662" s="57"/>
      <c r="G1662" s="57"/>
      <c r="H1662" s="56"/>
      <c r="I1662" s="56"/>
      <c r="J1662" s="58"/>
      <c r="K1662" s="58"/>
      <c r="L1662" s="13" t="str">
        <f t="shared" si="250"/>
        <v/>
      </c>
      <c r="M1662" s="13" t="str">
        <f t="shared" si="251"/>
        <v/>
      </c>
      <c r="Q1662" t="str">
        <f t="shared" si="252"/>
        <v/>
      </c>
      <c r="R1662" t="str">
        <f t="shared" si="253"/>
        <v/>
      </c>
      <c r="S1662" t="str">
        <f t="shared" si="254"/>
        <v/>
      </c>
      <c r="T1662" t="str">
        <f t="shared" si="255"/>
        <v/>
      </c>
      <c r="U1662" t="str">
        <f t="shared" si="256"/>
        <v/>
      </c>
      <c r="V1662" t="str">
        <f t="shared" si="257"/>
        <v/>
      </c>
      <c r="W1662" t="str">
        <f t="shared" si="258"/>
        <v/>
      </c>
      <c r="X1662">
        <f>IF($T1662="",N($X1661),IF(MATCH($T1662,$T$6:$T$10005,0)=ROW()-5,N($X1661)+1,N($X1661)))</f>
        <v>0</v>
      </c>
      <c r="Z1662" t="str">
        <f t="shared" si="259"/>
        <v/>
      </c>
      <c r="AA1662">
        <f>IF($V1662="",N($AA1661),IF(MATCH($V1662,$V$6:$V$10005,0)=ROW()-5,N($AA1661)+1,N($AA1661)))</f>
        <v>0</v>
      </c>
    </row>
    <row r="1663" spans="1:27" ht="21" customHeight="1" x14ac:dyDescent="0.95">
      <c r="A1663" s="56"/>
      <c r="B1663" s="57"/>
      <c r="C1663" s="57"/>
      <c r="D1663" s="57"/>
      <c r="E1663" s="56"/>
      <c r="F1663" s="57"/>
      <c r="G1663" s="57"/>
      <c r="H1663" s="56"/>
      <c r="I1663" s="56"/>
      <c r="J1663" s="58"/>
      <c r="K1663" s="58"/>
      <c r="L1663" s="13" t="str">
        <f t="shared" si="250"/>
        <v/>
      </c>
      <c r="M1663" s="13" t="str">
        <f t="shared" si="251"/>
        <v/>
      </c>
      <c r="Q1663" t="str">
        <f t="shared" si="252"/>
        <v/>
      </c>
      <c r="R1663" t="str">
        <f t="shared" si="253"/>
        <v/>
      </c>
      <c r="S1663" t="str">
        <f t="shared" si="254"/>
        <v/>
      </c>
      <c r="T1663" t="str">
        <f t="shared" si="255"/>
        <v/>
      </c>
      <c r="U1663" t="str">
        <f t="shared" si="256"/>
        <v/>
      </c>
      <c r="V1663" t="str">
        <f t="shared" si="257"/>
        <v/>
      </c>
      <c r="W1663" t="str">
        <f t="shared" si="258"/>
        <v/>
      </c>
      <c r="X1663">
        <f>IF($T1663="",N($X1662),IF(MATCH($T1663,$T$6:$T$10005,0)=ROW()-5,N($X1662)+1,N($X1662)))</f>
        <v>0</v>
      </c>
      <c r="Z1663" t="str">
        <f t="shared" si="259"/>
        <v/>
      </c>
      <c r="AA1663">
        <f>IF($V1663="",N($AA1662),IF(MATCH($V1663,$V$6:$V$10005,0)=ROW()-5,N($AA1662)+1,N($AA1662)))</f>
        <v>0</v>
      </c>
    </row>
    <row r="1664" spans="1:27" ht="21" customHeight="1" x14ac:dyDescent="0.95">
      <c r="A1664" s="56"/>
      <c r="B1664" s="57"/>
      <c r="C1664" s="57"/>
      <c r="D1664" s="57"/>
      <c r="E1664" s="56"/>
      <c r="F1664" s="57"/>
      <c r="G1664" s="57"/>
      <c r="H1664" s="56"/>
      <c r="I1664" s="56"/>
      <c r="J1664" s="58"/>
      <c r="K1664" s="58"/>
      <c r="L1664" s="13" t="str">
        <f t="shared" si="250"/>
        <v/>
      </c>
      <c r="M1664" s="13" t="str">
        <f t="shared" si="251"/>
        <v/>
      </c>
      <c r="Q1664" t="str">
        <f t="shared" si="252"/>
        <v/>
      </c>
      <c r="R1664" t="str">
        <f t="shared" si="253"/>
        <v/>
      </c>
      <c r="S1664" t="str">
        <f t="shared" si="254"/>
        <v/>
      </c>
      <c r="T1664" t="str">
        <f t="shared" si="255"/>
        <v/>
      </c>
      <c r="U1664" t="str">
        <f t="shared" si="256"/>
        <v/>
      </c>
      <c r="V1664" t="str">
        <f t="shared" si="257"/>
        <v/>
      </c>
      <c r="W1664" t="str">
        <f t="shared" si="258"/>
        <v/>
      </c>
      <c r="X1664">
        <f>IF($T1664="",N($X1663),IF(MATCH($T1664,$T$6:$T$10005,0)=ROW()-5,N($X1663)+1,N($X1663)))</f>
        <v>0</v>
      </c>
      <c r="Z1664" t="str">
        <f t="shared" si="259"/>
        <v/>
      </c>
      <c r="AA1664">
        <f>IF($V1664="",N($AA1663),IF(MATCH($V1664,$V$6:$V$10005,0)=ROW()-5,N($AA1663)+1,N($AA1663)))</f>
        <v>0</v>
      </c>
    </row>
    <row r="1665" spans="1:27" ht="21" customHeight="1" x14ac:dyDescent="0.95">
      <c r="A1665" s="56"/>
      <c r="B1665" s="57"/>
      <c r="C1665" s="57"/>
      <c r="D1665" s="57"/>
      <c r="E1665" s="56"/>
      <c r="F1665" s="57"/>
      <c r="G1665" s="57"/>
      <c r="H1665" s="56"/>
      <c r="I1665" s="56"/>
      <c r="J1665" s="58"/>
      <c r="K1665" s="58"/>
      <c r="L1665" s="13" t="str">
        <f t="shared" si="250"/>
        <v/>
      </c>
      <c r="M1665" s="13" t="str">
        <f t="shared" si="251"/>
        <v/>
      </c>
      <c r="Q1665" t="str">
        <f t="shared" si="252"/>
        <v/>
      </c>
      <c r="R1665" t="str">
        <f t="shared" si="253"/>
        <v/>
      </c>
      <c r="S1665" t="str">
        <f t="shared" si="254"/>
        <v/>
      </c>
      <c r="T1665" t="str">
        <f t="shared" si="255"/>
        <v/>
      </c>
      <c r="U1665" t="str">
        <f t="shared" si="256"/>
        <v/>
      </c>
      <c r="V1665" t="str">
        <f t="shared" si="257"/>
        <v/>
      </c>
      <c r="W1665" t="str">
        <f t="shared" si="258"/>
        <v/>
      </c>
      <c r="X1665">
        <f>IF($T1665="",N($X1664),IF(MATCH($T1665,$T$6:$T$10005,0)=ROW()-5,N($X1664)+1,N($X1664)))</f>
        <v>0</v>
      </c>
      <c r="Z1665" t="str">
        <f t="shared" si="259"/>
        <v/>
      </c>
      <c r="AA1665">
        <f>IF($V1665="",N($AA1664),IF(MATCH($V1665,$V$6:$V$10005,0)=ROW()-5,N($AA1664)+1,N($AA1664)))</f>
        <v>0</v>
      </c>
    </row>
    <row r="1666" spans="1:27" ht="21" customHeight="1" x14ac:dyDescent="0.95">
      <c r="A1666" s="56"/>
      <c r="B1666" s="57"/>
      <c r="C1666" s="57"/>
      <c r="D1666" s="57"/>
      <c r="E1666" s="56"/>
      <c r="F1666" s="57"/>
      <c r="G1666" s="57"/>
      <c r="H1666" s="56"/>
      <c r="I1666" s="56"/>
      <c r="J1666" s="58"/>
      <c r="K1666" s="58"/>
      <c r="L1666" s="13" t="str">
        <f t="shared" si="250"/>
        <v/>
      </c>
      <c r="M1666" s="13" t="str">
        <f t="shared" si="251"/>
        <v/>
      </c>
      <c r="Q1666" t="str">
        <f t="shared" si="252"/>
        <v/>
      </c>
      <c r="R1666" t="str">
        <f t="shared" si="253"/>
        <v/>
      </c>
      <c r="S1666" t="str">
        <f t="shared" si="254"/>
        <v/>
      </c>
      <c r="T1666" t="str">
        <f t="shared" si="255"/>
        <v/>
      </c>
      <c r="U1666" t="str">
        <f t="shared" si="256"/>
        <v/>
      </c>
      <c r="V1666" t="str">
        <f t="shared" si="257"/>
        <v/>
      </c>
      <c r="W1666" t="str">
        <f t="shared" si="258"/>
        <v/>
      </c>
      <c r="X1666">
        <f>IF($T1666="",N($X1665),IF(MATCH($T1666,$T$6:$T$10005,0)=ROW()-5,N($X1665)+1,N($X1665)))</f>
        <v>0</v>
      </c>
      <c r="Z1666" t="str">
        <f t="shared" si="259"/>
        <v/>
      </c>
      <c r="AA1666">
        <f>IF($V1666="",N($AA1665),IF(MATCH($V1666,$V$6:$V$10005,0)=ROW()-5,N($AA1665)+1,N($AA1665)))</f>
        <v>0</v>
      </c>
    </row>
    <row r="1667" spans="1:27" ht="21" customHeight="1" x14ac:dyDescent="0.95">
      <c r="A1667" s="56"/>
      <c r="B1667" s="57"/>
      <c r="C1667" s="57"/>
      <c r="D1667" s="57"/>
      <c r="E1667" s="56"/>
      <c r="F1667" s="57"/>
      <c r="G1667" s="57"/>
      <c r="H1667" s="56"/>
      <c r="I1667" s="56"/>
      <c r="J1667" s="58"/>
      <c r="K1667" s="58"/>
      <c r="L1667" s="13" t="str">
        <f t="shared" si="250"/>
        <v/>
      </c>
      <c r="M1667" s="13" t="str">
        <f t="shared" si="251"/>
        <v/>
      </c>
      <c r="Q1667" t="str">
        <f t="shared" si="252"/>
        <v/>
      </c>
      <c r="R1667" t="str">
        <f t="shared" si="253"/>
        <v/>
      </c>
      <c r="S1667" t="str">
        <f t="shared" si="254"/>
        <v/>
      </c>
      <c r="T1667" t="str">
        <f t="shared" si="255"/>
        <v/>
      </c>
      <c r="U1667" t="str">
        <f t="shared" si="256"/>
        <v/>
      </c>
      <c r="V1667" t="str">
        <f t="shared" si="257"/>
        <v/>
      </c>
      <c r="W1667" t="str">
        <f t="shared" si="258"/>
        <v/>
      </c>
      <c r="X1667">
        <f>IF($T1667="",N($X1666),IF(MATCH($T1667,$T$6:$T$10005,0)=ROW()-5,N($X1666)+1,N($X1666)))</f>
        <v>0</v>
      </c>
      <c r="Z1667" t="str">
        <f t="shared" si="259"/>
        <v/>
      </c>
      <c r="AA1667">
        <f>IF($V1667="",N($AA1666),IF(MATCH($V1667,$V$6:$V$10005,0)=ROW()-5,N($AA1666)+1,N($AA1666)))</f>
        <v>0</v>
      </c>
    </row>
    <row r="1668" spans="1:27" ht="21" customHeight="1" x14ac:dyDescent="0.95">
      <c r="A1668" s="56"/>
      <c r="B1668" s="57"/>
      <c r="C1668" s="57"/>
      <c r="D1668" s="57"/>
      <c r="E1668" s="56"/>
      <c r="F1668" s="57"/>
      <c r="G1668" s="57"/>
      <c r="H1668" s="56"/>
      <c r="I1668" s="56"/>
      <c r="J1668" s="58"/>
      <c r="K1668" s="58"/>
      <c r="L1668" s="13" t="str">
        <f t="shared" si="250"/>
        <v/>
      </c>
      <c r="M1668" s="13" t="str">
        <f t="shared" si="251"/>
        <v/>
      </c>
      <c r="Q1668" t="str">
        <f t="shared" si="252"/>
        <v/>
      </c>
      <c r="R1668" t="str">
        <f t="shared" si="253"/>
        <v/>
      </c>
      <c r="S1668" t="str">
        <f t="shared" si="254"/>
        <v/>
      </c>
      <c r="T1668" t="str">
        <f t="shared" si="255"/>
        <v/>
      </c>
      <c r="U1668" t="str">
        <f t="shared" si="256"/>
        <v/>
      </c>
      <c r="V1668" t="str">
        <f t="shared" si="257"/>
        <v/>
      </c>
      <c r="W1668" t="str">
        <f t="shared" si="258"/>
        <v/>
      </c>
      <c r="X1668">
        <f>IF($T1668="",N($X1667),IF(MATCH($T1668,$T$6:$T$10005,0)=ROW()-5,N($X1667)+1,N($X1667)))</f>
        <v>0</v>
      </c>
      <c r="Z1668" t="str">
        <f t="shared" si="259"/>
        <v/>
      </c>
      <c r="AA1668">
        <f>IF($V1668="",N($AA1667),IF(MATCH($V1668,$V$6:$V$10005,0)=ROW()-5,N($AA1667)+1,N($AA1667)))</f>
        <v>0</v>
      </c>
    </row>
    <row r="1669" spans="1:27" ht="21" customHeight="1" x14ac:dyDescent="0.95">
      <c r="A1669" s="56"/>
      <c r="B1669" s="57"/>
      <c r="C1669" s="57"/>
      <c r="D1669" s="57"/>
      <c r="E1669" s="56"/>
      <c r="F1669" s="57"/>
      <c r="G1669" s="57"/>
      <c r="H1669" s="56"/>
      <c r="I1669" s="56"/>
      <c r="J1669" s="58"/>
      <c r="K1669" s="58"/>
      <c r="L1669" s="13" t="str">
        <f t="shared" si="250"/>
        <v/>
      </c>
      <c r="M1669" s="13" t="str">
        <f t="shared" si="251"/>
        <v/>
      </c>
      <c r="Q1669" t="str">
        <f t="shared" si="252"/>
        <v/>
      </c>
      <c r="R1669" t="str">
        <f t="shared" si="253"/>
        <v/>
      </c>
      <c r="S1669" t="str">
        <f t="shared" si="254"/>
        <v/>
      </c>
      <c r="T1669" t="str">
        <f t="shared" si="255"/>
        <v/>
      </c>
      <c r="U1669" t="str">
        <f t="shared" si="256"/>
        <v/>
      </c>
      <c r="V1669" t="str">
        <f t="shared" si="257"/>
        <v/>
      </c>
      <c r="W1669" t="str">
        <f t="shared" si="258"/>
        <v/>
      </c>
      <c r="X1669">
        <f>IF($T1669="",N($X1668),IF(MATCH($T1669,$T$6:$T$10005,0)=ROW()-5,N($X1668)+1,N($X1668)))</f>
        <v>0</v>
      </c>
      <c r="Z1669" t="str">
        <f t="shared" si="259"/>
        <v/>
      </c>
      <c r="AA1669">
        <f>IF($V1669="",N($AA1668),IF(MATCH($V1669,$V$6:$V$10005,0)=ROW()-5,N($AA1668)+1,N($AA1668)))</f>
        <v>0</v>
      </c>
    </row>
    <row r="1670" spans="1:27" ht="21" customHeight="1" x14ac:dyDescent="0.95">
      <c r="A1670" s="56"/>
      <c r="B1670" s="57"/>
      <c r="C1670" s="57"/>
      <c r="D1670" s="57"/>
      <c r="E1670" s="56"/>
      <c r="F1670" s="57"/>
      <c r="G1670" s="57"/>
      <c r="H1670" s="56"/>
      <c r="I1670" s="56"/>
      <c r="J1670" s="58"/>
      <c r="K1670" s="58"/>
      <c r="L1670" s="13" t="str">
        <f t="shared" ref="L1670:L1733" si="260">IF(OR($A1670="",AND($J1670="",$K1670="")),"",ROUND(N($J1670)-N($K1670),2))</f>
        <v/>
      </c>
      <c r="M1670" s="13" t="str">
        <f t="shared" ref="M1670:M1733" si="261">IF(OR($A1670="",AND($J1670="",$K1670="")),"",MIN($J1670,$K1670))</f>
        <v/>
      </c>
      <c r="Q1670" t="str">
        <f t="shared" ref="Q1670:Q1733" si="262">IF($A1670="","",$D1670&amp;"("&amp;SUBSTITUTE($E1670," ","")&amp;")")</f>
        <v/>
      </c>
      <c r="R1670" t="str">
        <f t="shared" ref="R1670:R1733" si="263">IF($A1670="","",$B1670&amp;" - "&amp;$C1670)</f>
        <v/>
      </c>
      <c r="S1670" t="str">
        <f t="shared" ref="S1670:S1733" si="264">IF($A1670="","",$R1670&amp;"|"&amp;$Q1670)</f>
        <v/>
      </c>
      <c r="T1670" t="str">
        <f t="shared" ref="T1670:T1733" si="265">IF($A1670="","",$S1670&amp;"|"&amp;$F1670)</f>
        <v/>
      </c>
      <c r="U1670" t="str">
        <f t="shared" ref="U1670:U1733" si="266">IF($A1670="","",$R1670&amp;"("&amp;$E1670&amp;")")</f>
        <v/>
      </c>
      <c r="V1670" t="str">
        <f t="shared" ref="V1670:V1733" si="267">IF($A1670="","",$F1670&amp;"|"&amp;$U1670&amp;"|"&amp;$D1670)</f>
        <v/>
      </c>
      <c r="W1670" t="str">
        <f t="shared" ref="W1670:W1733" si="268">IF($T1670="","",IF($X1670&gt;N($X1669),$X1670,""))</f>
        <v/>
      </c>
      <c r="X1670">
        <f>IF($T1670="",N($X1669),IF(MATCH($T1670,$T$6:$T$10005,0)=ROW()-5,N($X1669)+1,N($X1669)))</f>
        <v>0</v>
      </c>
      <c r="Z1670" t="str">
        <f t="shared" ref="Z1670:Z1733" si="269">IF($V1670="","",IF($AA1670&gt;N($AA1669),$AA1670,""))</f>
        <v/>
      </c>
      <c r="AA1670">
        <f>IF($V1670="",N($AA1669),IF(MATCH($V1670,$V$6:$V$10005,0)=ROW()-5,N($AA1669)+1,N($AA1669)))</f>
        <v>0</v>
      </c>
    </row>
    <row r="1671" spans="1:27" ht="21" customHeight="1" x14ac:dyDescent="0.95">
      <c r="A1671" s="56"/>
      <c r="B1671" s="57"/>
      <c r="C1671" s="57"/>
      <c r="D1671" s="57"/>
      <c r="E1671" s="56"/>
      <c r="F1671" s="57"/>
      <c r="G1671" s="57"/>
      <c r="H1671" s="56"/>
      <c r="I1671" s="56"/>
      <c r="J1671" s="58"/>
      <c r="K1671" s="58"/>
      <c r="L1671" s="13" t="str">
        <f t="shared" si="260"/>
        <v/>
      </c>
      <c r="M1671" s="13" t="str">
        <f t="shared" si="261"/>
        <v/>
      </c>
      <c r="Q1671" t="str">
        <f t="shared" si="262"/>
        <v/>
      </c>
      <c r="R1671" t="str">
        <f t="shared" si="263"/>
        <v/>
      </c>
      <c r="S1671" t="str">
        <f t="shared" si="264"/>
        <v/>
      </c>
      <c r="T1671" t="str">
        <f t="shared" si="265"/>
        <v/>
      </c>
      <c r="U1671" t="str">
        <f t="shared" si="266"/>
        <v/>
      </c>
      <c r="V1671" t="str">
        <f t="shared" si="267"/>
        <v/>
      </c>
      <c r="W1671" t="str">
        <f t="shared" si="268"/>
        <v/>
      </c>
      <c r="X1671">
        <f>IF($T1671="",N($X1670),IF(MATCH($T1671,$T$6:$T$10005,0)=ROW()-5,N($X1670)+1,N($X1670)))</f>
        <v>0</v>
      </c>
      <c r="Z1671" t="str">
        <f t="shared" si="269"/>
        <v/>
      </c>
      <c r="AA1671">
        <f>IF($V1671="",N($AA1670),IF(MATCH($V1671,$V$6:$V$10005,0)=ROW()-5,N($AA1670)+1,N($AA1670)))</f>
        <v>0</v>
      </c>
    </row>
    <row r="1672" spans="1:27" ht="21" customHeight="1" x14ac:dyDescent="0.95">
      <c r="A1672" s="56"/>
      <c r="B1672" s="57"/>
      <c r="C1672" s="57"/>
      <c r="D1672" s="57"/>
      <c r="E1672" s="56"/>
      <c r="F1672" s="57"/>
      <c r="G1672" s="57"/>
      <c r="H1672" s="56"/>
      <c r="I1672" s="56"/>
      <c r="J1672" s="58"/>
      <c r="K1672" s="58"/>
      <c r="L1672" s="13" t="str">
        <f t="shared" si="260"/>
        <v/>
      </c>
      <c r="M1672" s="13" t="str">
        <f t="shared" si="261"/>
        <v/>
      </c>
      <c r="Q1672" t="str">
        <f t="shared" si="262"/>
        <v/>
      </c>
      <c r="R1672" t="str">
        <f t="shared" si="263"/>
        <v/>
      </c>
      <c r="S1672" t="str">
        <f t="shared" si="264"/>
        <v/>
      </c>
      <c r="T1672" t="str">
        <f t="shared" si="265"/>
        <v/>
      </c>
      <c r="U1672" t="str">
        <f t="shared" si="266"/>
        <v/>
      </c>
      <c r="V1672" t="str">
        <f t="shared" si="267"/>
        <v/>
      </c>
      <c r="W1672" t="str">
        <f t="shared" si="268"/>
        <v/>
      </c>
      <c r="X1672">
        <f>IF($T1672="",N($X1671),IF(MATCH($T1672,$T$6:$T$10005,0)=ROW()-5,N($X1671)+1,N($X1671)))</f>
        <v>0</v>
      </c>
      <c r="Z1672" t="str">
        <f t="shared" si="269"/>
        <v/>
      </c>
      <c r="AA1672">
        <f>IF($V1672="",N($AA1671),IF(MATCH($V1672,$V$6:$V$10005,0)=ROW()-5,N($AA1671)+1,N($AA1671)))</f>
        <v>0</v>
      </c>
    </row>
    <row r="1673" spans="1:27" ht="21" customHeight="1" x14ac:dyDescent="0.95">
      <c r="A1673" s="56"/>
      <c r="B1673" s="57"/>
      <c r="C1673" s="57"/>
      <c r="D1673" s="57"/>
      <c r="E1673" s="56"/>
      <c r="F1673" s="57"/>
      <c r="G1673" s="57"/>
      <c r="H1673" s="56"/>
      <c r="I1673" s="56"/>
      <c r="J1673" s="58"/>
      <c r="K1673" s="58"/>
      <c r="L1673" s="13" t="str">
        <f t="shared" si="260"/>
        <v/>
      </c>
      <c r="M1673" s="13" t="str">
        <f t="shared" si="261"/>
        <v/>
      </c>
      <c r="Q1673" t="str">
        <f t="shared" si="262"/>
        <v/>
      </c>
      <c r="R1673" t="str">
        <f t="shared" si="263"/>
        <v/>
      </c>
      <c r="S1673" t="str">
        <f t="shared" si="264"/>
        <v/>
      </c>
      <c r="T1673" t="str">
        <f t="shared" si="265"/>
        <v/>
      </c>
      <c r="U1673" t="str">
        <f t="shared" si="266"/>
        <v/>
      </c>
      <c r="V1673" t="str">
        <f t="shared" si="267"/>
        <v/>
      </c>
      <c r="W1673" t="str">
        <f t="shared" si="268"/>
        <v/>
      </c>
      <c r="X1673">
        <f>IF($T1673="",N($X1672),IF(MATCH($T1673,$T$6:$T$10005,0)=ROW()-5,N($X1672)+1,N($X1672)))</f>
        <v>0</v>
      </c>
      <c r="Z1673" t="str">
        <f t="shared" si="269"/>
        <v/>
      </c>
      <c r="AA1673">
        <f>IF($V1673="",N($AA1672),IF(MATCH($V1673,$V$6:$V$10005,0)=ROW()-5,N($AA1672)+1,N($AA1672)))</f>
        <v>0</v>
      </c>
    </row>
    <row r="1674" spans="1:27" ht="21" customHeight="1" x14ac:dyDescent="0.95">
      <c r="A1674" s="56"/>
      <c r="B1674" s="57"/>
      <c r="C1674" s="57"/>
      <c r="D1674" s="57"/>
      <c r="E1674" s="56"/>
      <c r="F1674" s="57"/>
      <c r="G1674" s="57"/>
      <c r="H1674" s="56"/>
      <c r="I1674" s="56"/>
      <c r="J1674" s="58"/>
      <c r="K1674" s="58"/>
      <c r="L1674" s="13" t="str">
        <f t="shared" si="260"/>
        <v/>
      </c>
      <c r="M1674" s="13" t="str">
        <f t="shared" si="261"/>
        <v/>
      </c>
      <c r="Q1674" t="str">
        <f t="shared" si="262"/>
        <v/>
      </c>
      <c r="R1674" t="str">
        <f t="shared" si="263"/>
        <v/>
      </c>
      <c r="S1674" t="str">
        <f t="shared" si="264"/>
        <v/>
      </c>
      <c r="T1674" t="str">
        <f t="shared" si="265"/>
        <v/>
      </c>
      <c r="U1674" t="str">
        <f t="shared" si="266"/>
        <v/>
      </c>
      <c r="V1674" t="str">
        <f t="shared" si="267"/>
        <v/>
      </c>
      <c r="W1674" t="str">
        <f t="shared" si="268"/>
        <v/>
      </c>
      <c r="X1674">
        <f>IF($T1674="",N($X1673),IF(MATCH($T1674,$T$6:$T$10005,0)=ROW()-5,N($X1673)+1,N($X1673)))</f>
        <v>0</v>
      </c>
      <c r="Z1674" t="str">
        <f t="shared" si="269"/>
        <v/>
      </c>
      <c r="AA1674">
        <f>IF($V1674="",N($AA1673),IF(MATCH($V1674,$V$6:$V$10005,0)=ROW()-5,N($AA1673)+1,N($AA1673)))</f>
        <v>0</v>
      </c>
    </row>
    <row r="1675" spans="1:27" ht="21" customHeight="1" x14ac:dyDescent="0.95">
      <c r="A1675" s="56"/>
      <c r="B1675" s="57"/>
      <c r="C1675" s="57"/>
      <c r="D1675" s="57"/>
      <c r="E1675" s="56"/>
      <c r="F1675" s="57"/>
      <c r="G1675" s="57"/>
      <c r="H1675" s="56"/>
      <c r="I1675" s="56"/>
      <c r="J1675" s="58"/>
      <c r="K1675" s="58"/>
      <c r="L1675" s="13" t="str">
        <f t="shared" si="260"/>
        <v/>
      </c>
      <c r="M1675" s="13" t="str">
        <f t="shared" si="261"/>
        <v/>
      </c>
      <c r="Q1675" t="str">
        <f t="shared" si="262"/>
        <v/>
      </c>
      <c r="R1675" t="str">
        <f t="shared" si="263"/>
        <v/>
      </c>
      <c r="S1675" t="str">
        <f t="shared" si="264"/>
        <v/>
      </c>
      <c r="T1675" t="str">
        <f t="shared" si="265"/>
        <v/>
      </c>
      <c r="U1675" t="str">
        <f t="shared" si="266"/>
        <v/>
      </c>
      <c r="V1675" t="str">
        <f t="shared" si="267"/>
        <v/>
      </c>
      <c r="W1675" t="str">
        <f t="shared" si="268"/>
        <v/>
      </c>
      <c r="X1675">
        <f>IF($T1675="",N($X1674),IF(MATCH($T1675,$T$6:$T$10005,0)=ROW()-5,N($X1674)+1,N($X1674)))</f>
        <v>0</v>
      </c>
      <c r="Z1675" t="str">
        <f t="shared" si="269"/>
        <v/>
      </c>
      <c r="AA1675">
        <f>IF($V1675="",N($AA1674),IF(MATCH($V1675,$V$6:$V$10005,0)=ROW()-5,N($AA1674)+1,N($AA1674)))</f>
        <v>0</v>
      </c>
    </row>
    <row r="1676" spans="1:27" ht="21" customHeight="1" x14ac:dyDescent="0.95">
      <c r="A1676" s="56"/>
      <c r="B1676" s="57"/>
      <c r="C1676" s="57"/>
      <c r="D1676" s="57"/>
      <c r="E1676" s="56"/>
      <c r="F1676" s="57"/>
      <c r="G1676" s="57"/>
      <c r="H1676" s="56"/>
      <c r="I1676" s="56"/>
      <c r="J1676" s="58"/>
      <c r="K1676" s="58"/>
      <c r="L1676" s="13" t="str">
        <f t="shared" si="260"/>
        <v/>
      </c>
      <c r="M1676" s="13" t="str">
        <f t="shared" si="261"/>
        <v/>
      </c>
      <c r="Q1676" t="str">
        <f t="shared" si="262"/>
        <v/>
      </c>
      <c r="R1676" t="str">
        <f t="shared" si="263"/>
        <v/>
      </c>
      <c r="S1676" t="str">
        <f t="shared" si="264"/>
        <v/>
      </c>
      <c r="T1676" t="str">
        <f t="shared" si="265"/>
        <v/>
      </c>
      <c r="U1676" t="str">
        <f t="shared" si="266"/>
        <v/>
      </c>
      <c r="V1676" t="str">
        <f t="shared" si="267"/>
        <v/>
      </c>
      <c r="W1676" t="str">
        <f t="shared" si="268"/>
        <v/>
      </c>
      <c r="X1676">
        <f>IF($T1676="",N($X1675),IF(MATCH($T1676,$T$6:$T$10005,0)=ROW()-5,N($X1675)+1,N($X1675)))</f>
        <v>0</v>
      </c>
      <c r="Z1676" t="str">
        <f t="shared" si="269"/>
        <v/>
      </c>
      <c r="AA1676">
        <f>IF($V1676="",N($AA1675),IF(MATCH($V1676,$V$6:$V$10005,0)=ROW()-5,N($AA1675)+1,N($AA1675)))</f>
        <v>0</v>
      </c>
    </row>
    <row r="1677" spans="1:27" ht="21" customHeight="1" x14ac:dyDescent="0.95">
      <c r="A1677" s="56"/>
      <c r="B1677" s="57"/>
      <c r="C1677" s="57"/>
      <c r="D1677" s="57"/>
      <c r="E1677" s="56"/>
      <c r="F1677" s="57"/>
      <c r="G1677" s="57"/>
      <c r="H1677" s="56"/>
      <c r="I1677" s="56"/>
      <c r="J1677" s="58"/>
      <c r="K1677" s="58"/>
      <c r="L1677" s="13" t="str">
        <f t="shared" si="260"/>
        <v/>
      </c>
      <c r="M1677" s="13" t="str">
        <f t="shared" si="261"/>
        <v/>
      </c>
      <c r="Q1677" t="str">
        <f t="shared" si="262"/>
        <v/>
      </c>
      <c r="R1677" t="str">
        <f t="shared" si="263"/>
        <v/>
      </c>
      <c r="S1677" t="str">
        <f t="shared" si="264"/>
        <v/>
      </c>
      <c r="T1677" t="str">
        <f t="shared" si="265"/>
        <v/>
      </c>
      <c r="U1677" t="str">
        <f t="shared" si="266"/>
        <v/>
      </c>
      <c r="V1677" t="str">
        <f t="shared" si="267"/>
        <v/>
      </c>
      <c r="W1677" t="str">
        <f t="shared" si="268"/>
        <v/>
      </c>
      <c r="X1677">
        <f>IF($T1677="",N($X1676),IF(MATCH($T1677,$T$6:$T$10005,0)=ROW()-5,N($X1676)+1,N($X1676)))</f>
        <v>0</v>
      </c>
      <c r="Z1677" t="str">
        <f t="shared" si="269"/>
        <v/>
      </c>
      <c r="AA1677">
        <f>IF($V1677="",N($AA1676),IF(MATCH($V1677,$V$6:$V$10005,0)=ROW()-5,N($AA1676)+1,N($AA1676)))</f>
        <v>0</v>
      </c>
    </row>
    <row r="1678" spans="1:27" ht="21" customHeight="1" x14ac:dyDescent="0.95">
      <c r="A1678" s="56"/>
      <c r="B1678" s="57"/>
      <c r="C1678" s="57"/>
      <c r="D1678" s="57"/>
      <c r="E1678" s="56"/>
      <c r="F1678" s="57"/>
      <c r="G1678" s="57"/>
      <c r="H1678" s="56"/>
      <c r="I1678" s="56"/>
      <c r="J1678" s="58"/>
      <c r="K1678" s="58"/>
      <c r="L1678" s="13" t="str">
        <f t="shared" si="260"/>
        <v/>
      </c>
      <c r="M1678" s="13" t="str">
        <f t="shared" si="261"/>
        <v/>
      </c>
      <c r="Q1678" t="str">
        <f t="shared" si="262"/>
        <v/>
      </c>
      <c r="R1678" t="str">
        <f t="shared" si="263"/>
        <v/>
      </c>
      <c r="S1678" t="str">
        <f t="shared" si="264"/>
        <v/>
      </c>
      <c r="T1678" t="str">
        <f t="shared" si="265"/>
        <v/>
      </c>
      <c r="U1678" t="str">
        <f t="shared" si="266"/>
        <v/>
      </c>
      <c r="V1678" t="str">
        <f t="shared" si="267"/>
        <v/>
      </c>
      <c r="W1678" t="str">
        <f t="shared" si="268"/>
        <v/>
      </c>
      <c r="X1678">
        <f>IF($T1678="",N($X1677),IF(MATCH($T1678,$T$6:$T$10005,0)=ROW()-5,N($X1677)+1,N($X1677)))</f>
        <v>0</v>
      </c>
      <c r="Z1678" t="str">
        <f t="shared" si="269"/>
        <v/>
      </c>
      <c r="AA1678">
        <f>IF($V1678="",N($AA1677),IF(MATCH($V1678,$V$6:$V$10005,0)=ROW()-5,N($AA1677)+1,N($AA1677)))</f>
        <v>0</v>
      </c>
    </row>
    <row r="1679" spans="1:27" ht="21" customHeight="1" x14ac:dyDescent="0.95">
      <c r="A1679" s="56"/>
      <c r="B1679" s="57"/>
      <c r="C1679" s="57"/>
      <c r="D1679" s="57"/>
      <c r="E1679" s="56"/>
      <c r="F1679" s="57"/>
      <c r="G1679" s="57"/>
      <c r="H1679" s="56"/>
      <c r="I1679" s="56"/>
      <c r="J1679" s="58"/>
      <c r="K1679" s="58"/>
      <c r="L1679" s="13" t="str">
        <f t="shared" si="260"/>
        <v/>
      </c>
      <c r="M1679" s="13" t="str">
        <f t="shared" si="261"/>
        <v/>
      </c>
      <c r="Q1679" t="str">
        <f t="shared" si="262"/>
        <v/>
      </c>
      <c r="R1679" t="str">
        <f t="shared" si="263"/>
        <v/>
      </c>
      <c r="S1679" t="str">
        <f t="shared" si="264"/>
        <v/>
      </c>
      <c r="T1679" t="str">
        <f t="shared" si="265"/>
        <v/>
      </c>
      <c r="U1679" t="str">
        <f t="shared" si="266"/>
        <v/>
      </c>
      <c r="V1679" t="str">
        <f t="shared" si="267"/>
        <v/>
      </c>
      <c r="W1679" t="str">
        <f t="shared" si="268"/>
        <v/>
      </c>
      <c r="X1679">
        <f>IF($T1679="",N($X1678),IF(MATCH($T1679,$T$6:$T$10005,0)=ROW()-5,N($X1678)+1,N($X1678)))</f>
        <v>0</v>
      </c>
      <c r="Z1679" t="str">
        <f t="shared" si="269"/>
        <v/>
      </c>
      <c r="AA1679">
        <f>IF($V1679="",N($AA1678),IF(MATCH($V1679,$V$6:$V$10005,0)=ROW()-5,N($AA1678)+1,N($AA1678)))</f>
        <v>0</v>
      </c>
    </row>
    <row r="1680" spans="1:27" ht="21" customHeight="1" x14ac:dyDescent="0.95">
      <c r="A1680" s="56"/>
      <c r="B1680" s="57"/>
      <c r="C1680" s="57"/>
      <c r="D1680" s="57"/>
      <c r="E1680" s="56"/>
      <c r="F1680" s="57"/>
      <c r="G1680" s="57"/>
      <c r="H1680" s="56"/>
      <c r="I1680" s="56"/>
      <c r="J1680" s="58"/>
      <c r="K1680" s="58"/>
      <c r="L1680" s="13" t="str">
        <f t="shared" si="260"/>
        <v/>
      </c>
      <c r="M1680" s="13" t="str">
        <f t="shared" si="261"/>
        <v/>
      </c>
      <c r="Q1680" t="str">
        <f t="shared" si="262"/>
        <v/>
      </c>
      <c r="R1680" t="str">
        <f t="shared" si="263"/>
        <v/>
      </c>
      <c r="S1680" t="str">
        <f t="shared" si="264"/>
        <v/>
      </c>
      <c r="T1680" t="str">
        <f t="shared" si="265"/>
        <v/>
      </c>
      <c r="U1680" t="str">
        <f t="shared" si="266"/>
        <v/>
      </c>
      <c r="V1680" t="str">
        <f t="shared" si="267"/>
        <v/>
      </c>
      <c r="W1680" t="str">
        <f t="shared" si="268"/>
        <v/>
      </c>
      <c r="X1680">
        <f>IF($T1680="",N($X1679),IF(MATCH($T1680,$T$6:$T$10005,0)=ROW()-5,N($X1679)+1,N($X1679)))</f>
        <v>0</v>
      </c>
      <c r="Z1680" t="str">
        <f t="shared" si="269"/>
        <v/>
      </c>
      <c r="AA1680">
        <f>IF($V1680="",N($AA1679),IF(MATCH($V1680,$V$6:$V$10005,0)=ROW()-5,N($AA1679)+1,N($AA1679)))</f>
        <v>0</v>
      </c>
    </row>
    <row r="1681" spans="1:27" ht="21" customHeight="1" x14ac:dyDescent="0.95">
      <c r="A1681" s="56"/>
      <c r="B1681" s="57"/>
      <c r="C1681" s="57"/>
      <c r="D1681" s="57"/>
      <c r="E1681" s="56"/>
      <c r="F1681" s="57"/>
      <c r="G1681" s="57"/>
      <c r="H1681" s="56"/>
      <c r="I1681" s="56"/>
      <c r="J1681" s="58"/>
      <c r="K1681" s="58"/>
      <c r="L1681" s="13" t="str">
        <f t="shared" si="260"/>
        <v/>
      </c>
      <c r="M1681" s="13" t="str">
        <f t="shared" si="261"/>
        <v/>
      </c>
      <c r="Q1681" t="str">
        <f t="shared" si="262"/>
        <v/>
      </c>
      <c r="R1681" t="str">
        <f t="shared" si="263"/>
        <v/>
      </c>
      <c r="S1681" t="str">
        <f t="shared" si="264"/>
        <v/>
      </c>
      <c r="T1681" t="str">
        <f t="shared" si="265"/>
        <v/>
      </c>
      <c r="U1681" t="str">
        <f t="shared" si="266"/>
        <v/>
      </c>
      <c r="V1681" t="str">
        <f t="shared" si="267"/>
        <v/>
      </c>
      <c r="W1681" t="str">
        <f t="shared" si="268"/>
        <v/>
      </c>
      <c r="X1681">
        <f>IF($T1681="",N($X1680),IF(MATCH($T1681,$T$6:$T$10005,0)=ROW()-5,N($X1680)+1,N($X1680)))</f>
        <v>0</v>
      </c>
      <c r="Z1681" t="str">
        <f t="shared" si="269"/>
        <v/>
      </c>
      <c r="AA1681">
        <f>IF($V1681="",N($AA1680),IF(MATCH($V1681,$V$6:$V$10005,0)=ROW()-5,N($AA1680)+1,N($AA1680)))</f>
        <v>0</v>
      </c>
    </row>
    <row r="1682" spans="1:27" ht="21" customHeight="1" x14ac:dyDescent="0.95">
      <c r="A1682" s="56"/>
      <c r="B1682" s="57"/>
      <c r="C1682" s="57"/>
      <c r="D1682" s="57"/>
      <c r="E1682" s="56"/>
      <c r="F1682" s="57"/>
      <c r="G1682" s="57"/>
      <c r="H1682" s="56"/>
      <c r="I1682" s="56"/>
      <c r="J1682" s="58"/>
      <c r="K1682" s="58"/>
      <c r="L1682" s="13" t="str">
        <f t="shared" si="260"/>
        <v/>
      </c>
      <c r="M1682" s="13" t="str">
        <f t="shared" si="261"/>
        <v/>
      </c>
      <c r="Q1682" t="str">
        <f t="shared" si="262"/>
        <v/>
      </c>
      <c r="R1682" t="str">
        <f t="shared" si="263"/>
        <v/>
      </c>
      <c r="S1682" t="str">
        <f t="shared" si="264"/>
        <v/>
      </c>
      <c r="T1682" t="str">
        <f t="shared" si="265"/>
        <v/>
      </c>
      <c r="U1682" t="str">
        <f t="shared" si="266"/>
        <v/>
      </c>
      <c r="V1682" t="str">
        <f t="shared" si="267"/>
        <v/>
      </c>
      <c r="W1682" t="str">
        <f t="shared" si="268"/>
        <v/>
      </c>
      <c r="X1682">
        <f>IF($T1682="",N($X1681),IF(MATCH($T1682,$T$6:$T$10005,0)=ROW()-5,N($X1681)+1,N($X1681)))</f>
        <v>0</v>
      </c>
      <c r="Z1682" t="str">
        <f t="shared" si="269"/>
        <v/>
      </c>
      <c r="AA1682">
        <f>IF($V1682="",N($AA1681),IF(MATCH($V1682,$V$6:$V$10005,0)=ROW()-5,N($AA1681)+1,N($AA1681)))</f>
        <v>0</v>
      </c>
    </row>
    <row r="1683" spans="1:27" ht="21" customHeight="1" x14ac:dyDescent="0.95">
      <c r="A1683" s="56"/>
      <c r="B1683" s="57"/>
      <c r="C1683" s="57"/>
      <c r="D1683" s="57"/>
      <c r="E1683" s="56"/>
      <c r="F1683" s="57"/>
      <c r="G1683" s="57"/>
      <c r="H1683" s="56"/>
      <c r="I1683" s="56"/>
      <c r="J1683" s="58"/>
      <c r="K1683" s="58"/>
      <c r="L1683" s="13" t="str">
        <f t="shared" si="260"/>
        <v/>
      </c>
      <c r="M1683" s="13" t="str">
        <f t="shared" si="261"/>
        <v/>
      </c>
      <c r="Q1683" t="str">
        <f t="shared" si="262"/>
        <v/>
      </c>
      <c r="R1683" t="str">
        <f t="shared" si="263"/>
        <v/>
      </c>
      <c r="S1683" t="str">
        <f t="shared" si="264"/>
        <v/>
      </c>
      <c r="T1683" t="str">
        <f t="shared" si="265"/>
        <v/>
      </c>
      <c r="U1683" t="str">
        <f t="shared" si="266"/>
        <v/>
      </c>
      <c r="V1683" t="str">
        <f t="shared" si="267"/>
        <v/>
      </c>
      <c r="W1683" t="str">
        <f t="shared" si="268"/>
        <v/>
      </c>
      <c r="X1683">
        <f>IF($T1683="",N($X1682),IF(MATCH($T1683,$T$6:$T$10005,0)=ROW()-5,N($X1682)+1,N($X1682)))</f>
        <v>0</v>
      </c>
      <c r="Z1683" t="str">
        <f t="shared" si="269"/>
        <v/>
      </c>
      <c r="AA1683">
        <f>IF($V1683="",N($AA1682),IF(MATCH($V1683,$V$6:$V$10005,0)=ROW()-5,N($AA1682)+1,N($AA1682)))</f>
        <v>0</v>
      </c>
    </row>
    <row r="1684" spans="1:27" ht="21" customHeight="1" x14ac:dyDescent="0.95">
      <c r="A1684" s="56"/>
      <c r="B1684" s="57"/>
      <c r="C1684" s="57"/>
      <c r="D1684" s="57"/>
      <c r="E1684" s="56"/>
      <c r="F1684" s="57"/>
      <c r="G1684" s="57"/>
      <c r="H1684" s="56"/>
      <c r="I1684" s="56"/>
      <c r="J1684" s="58"/>
      <c r="K1684" s="58"/>
      <c r="L1684" s="13" t="str">
        <f t="shared" si="260"/>
        <v/>
      </c>
      <c r="M1684" s="13" t="str">
        <f t="shared" si="261"/>
        <v/>
      </c>
      <c r="Q1684" t="str">
        <f t="shared" si="262"/>
        <v/>
      </c>
      <c r="R1684" t="str">
        <f t="shared" si="263"/>
        <v/>
      </c>
      <c r="S1684" t="str">
        <f t="shared" si="264"/>
        <v/>
      </c>
      <c r="T1684" t="str">
        <f t="shared" si="265"/>
        <v/>
      </c>
      <c r="U1684" t="str">
        <f t="shared" si="266"/>
        <v/>
      </c>
      <c r="V1684" t="str">
        <f t="shared" si="267"/>
        <v/>
      </c>
      <c r="W1684" t="str">
        <f t="shared" si="268"/>
        <v/>
      </c>
      <c r="X1684">
        <f>IF($T1684="",N($X1683),IF(MATCH($T1684,$T$6:$T$10005,0)=ROW()-5,N($X1683)+1,N($X1683)))</f>
        <v>0</v>
      </c>
      <c r="Z1684" t="str">
        <f t="shared" si="269"/>
        <v/>
      </c>
      <c r="AA1684">
        <f>IF($V1684="",N($AA1683),IF(MATCH($V1684,$V$6:$V$10005,0)=ROW()-5,N($AA1683)+1,N($AA1683)))</f>
        <v>0</v>
      </c>
    </row>
    <row r="1685" spans="1:27" ht="21" customHeight="1" x14ac:dyDescent="0.95">
      <c r="A1685" s="56"/>
      <c r="B1685" s="57"/>
      <c r="C1685" s="57"/>
      <c r="D1685" s="57"/>
      <c r="E1685" s="56"/>
      <c r="F1685" s="57"/>
      <c r="G1685" s="57"/>
      <c r="H1685" s="56"/>
      <c r="I1685" s="56"/>
      <c r="J1685" s="58"/>
      <c r="K1685" s="58"/>
      <c r="L1685" s="13" t="str">
        <f t="shared" si="260"/>
        <v/>
      </c>
      <c r="M1685" s="13" t="str">
        <f t="shared" si="261"/>
        <v/>
      </c>
      <c r="Q1685" t="str">
        <f t="shared" si="262"/>
        <v/>
      </c>
      <c r="R1685" t="str">
        <f t="shared" si="263"/>
        <v/>
      </c>
      <c r="S1685" t="str">
        <f t="shared" si="264"/>
        <v/>
      </c>
      <c r="T1685" t="str">
        <f t="shared" si="265"/>
        <v/>
      </c>
      <c r="U1685" t="str">
        <f t="shared" si="266"/>
        <v/>
      </c>
      <c r="V1685" t="str">
        <f t="shared" si="267"/>
        <v/>
      </c>
      <c r="W1685" t="str">
        <f t="shared" si="268"/>
        <v/>
      </c>
      <c r="X1685">
        <f>IF($T1685="",N($X1684),IF(MATCH($T1685,$T$6:$T$10005,0)=ROW()-5,N($X1684)+1,N($X1684)))</f>
        <v>0</v>
      </c>
      <c r="Z1685" t="str">
        <f t="shared" si="269"/>
        <v/>
      </c>
      <c r="AA1685">
        <f>IF($V1685="",N($AA1684),IF(MATCH($V1685,$V$6:$V$10005,0)=ROW()-5,N($AA1684)+1,N($AA1684)))</f>
        <v>0</v>
      </c>
    </row>
    <row r="1686" spans="1:27" ht="21" customHeight="1" x14ac:dyDescent="0.95">
      <c r="A1686" s="56"/>
      <c r="B1686" s="57"/>
      <c r="C1686" s="57"/>
      <c r="D1686" s="57"/>
      <c r="E1686" s="56"/>
      <c r="F1686" s="57"/>
      <c r="G1686" s="57"/>
      <c r="H1686" s="56"/>
      <c r="I1686" s="56"/>
      <c r="J1686" s="58"/>
      <c r="K1686" s="58"/>
      <c r="L1686" s="13" t="str">
        <f t="shared" si="260"/>
        <v/>
      </c>
      <c r="M1686" s="13" t="str">
        <f t="shared" si="261"/>
        <v/>
      </c>
      <c r="Q1686" t="str">
        <f t="shared" si="262"/>
        <v/>
      </c>
      <c r="R1686" t="str">
        <f t="shared" si="263"/>
        <v/>
      </c>
      <c r="S1686" t="str">
        <f t="shared" si="264"/>
        <v/>
      </c>
      <c r="T1686" t="str">
        <f t="shared" si="265"/>
        <v/>
      </c>
      <c r="U1686" t="str">
        <f t="shared" si="266"/>
        <v/>
      </c>
      <c r="V1686" t="str">
        <f t="shared" si="267"/>
        <v/>
      </c>
      <c r="W1686" t="str">
        <f t="shared" si="268"/>
        <v/>
      </c>
      <c r="X1686">
        <f>IF($T1686="",N($X1685),IF(MATCH($T1686,$T$6:$T$10005,0)=ROW()-5,N($X1685)+1,N($X1685)))</f>
        <v>0</v>
      </c>
      <c r="Z1686" t="str">
        <f t="shared" si="269"/>
        <v/>
      </c>
      <c r="AA1686">
        <f>IF($V1686="",N($AA1685),IF(MATCH($V1686,$V$6:$V$10005,0)=ROW()-5,N($AA1685)+1,N($AA1685)))</f>
        <v>0</v>
      </c>
    </row>
    <row r="1687" spans="1:27" ht="21" customHeight="1" x14ac:dyDescent="0.95">
      <c r="A1687" s="56"/>
      <c r="B1687" s="57"/>
      <c r="C1687" s="57"/>
      <c r="D1687" s="57"/>
      <c r="E1687" s="56"/>
      <c r="F1687" s="57"/>
      <c r="G1687" s="57"/>
      <c r="H1687" s="56"/>
      <c r="I1687" s="56"/>
      <c r="J1687" s="58"/>
      <c r="K1687" s="58"/>
      <c r="L1687" s="13" t="str">
        <f t="shared" si="260"/>
        <v/>
      </c>
      <c r="M1687" s="13" t="str">
        <f t="shared" si="261"/>
        <v/>
      </c>
      <c r="Q1687" t="str">
        <f t="shared" si="262"/>
        <v/>
      </c>
      <c r="R1687" t="str">
        <f t="shared" si="263"/>
        <v/>
      </c>
      <c r="S1687" t="str">
        <f t="shared" si="264"/>
        <v/>
      </c>
      <c r="T1687" t="str">
        <f t="shared" si="265"/>
        <v/>
      </c>
      <c r="U1687" t="str">
        <f t="shared" si="266"/>
        <v/>
      </c>
      <c r="V1687" t="str">
        <f t="shared" si="267"/>
        <v/>
      </c>
      <c r="W1687" t="str">
        <f t="shared" si="268"/>
        <v/>
      </c>
      <c r="X1687">
        <f>IF($T1687="",N($X1686),IF(MATCH($T1687,$T$6:$T$10005,0)=ROW()-5,N($X1686)+1,N($X1686)))</f>
        <v>0</v>
      </c>
      <c r="Z1687" t="str">
        <f t="shared" si="269"/>
        <v/>
      </c>
      <c r="AA1687">
        <f>IF($V1687="",N($AA1686),IF(MATCH($V1687,$V$6:$V$10005,0)=ROW()-5,N($AA1686)+1,N($AA1686)))</f>
        <v>0</v>
      </c>
    </row>
    <row r="1688" spans="1:27" ht="21" customHeight="1" x14ac:dyDescent="0.95">
      <c r="A1688" s="56"/>
      <c r="B1688" s="57"/>
      <c r="C1688" s="57"/>
      <c r="D1688" s="57"/>
      <c r="E1688" s="56"/>
      <c r="F1688" s="57"/>
      <c r="G1688" s="57"/>
      <c r="H1688" s="56"/>
      <c r="I1688" s="56"/>
      <c r="J1688" s="58"/>
      <c r="K1688" s="58"/>
      <c r="L1688" s="13" t="str">
        <f t="shared" si="260"/>
        <v/>
      </c>
      <c r="M1688" s="13" t="str">
        <f t="shared" si="261"/>
        <v/>
      </c>
      <c r="Q1688" t="str">
        <f t="shared" si="262"/>
        <v/>
      </c>
      <c r="R1688" t="str">
        <f t="shared" si="263"/>
        <v/>
      </c>
      <c r="S1688" t="str">
        <f t="shared" si="264"/>
        <v/>
      </c>
      <c r="T1688" t="str">
        <f t="shared" si="265"/>
        <v/>
      </c>
      <c r="U1688" t="str">
        <f t="shared" si="266"/>
        <v/>
      </c>
      <c r="V1688" t="str">
        <f t="shared" si="267"/>
        <v/>
      </c>
      <c r="W1688" t="str">
        <f t="shared" si="268"/>
        <v/>
      </c>
      <c r="X1688">
        <f>IF($T1688="",N($X1687),IF(MATCH($T1688,$T$6:$T$10005,0)=ROW()-5,N($X1687)+1,N($X1687)))</f>
        <v>0</v>
      </c>
      <c r="Z1688" t="str">
        <f t="shared" si="269"/>
        <v/>
      </c>
      <c r="AA1688">
        <f>IF($V1688="",N($AA1687),IF(MATCH($V1688,$V$6:$V$10005,0)=ROW()-5,N($AA1687)+1,N($AA1687)))</f>
        <v>0</v>
      </c>
    </row>
    <row r="1689" spans="1:27" ht="21" customHeight="1" x14ac:dyDescent="0.95">
      <c r="A1689" s="56"/>
      <c r="B1689" s="57"/>
      <c r="C1689" s="57"/>
      <c r="D1689" s="57"/>
      <c r="E1689" s="56"/>
      <c r="F1689" s="57"/>
      <c r="G1689" s="57"/>
      <c r="H1689" s="56"/>
      <c r="I1689" s="56"/>
      <c r="J1689" s="58"/>
      <c r="K1689" s="58"/>
      <c r="L1689" s="13" t="str">
        <f t="shared" si="260"/>
        <v/>
      </c>
      <c r="M1689" s="13" t="str">
        <f t="shared" si="261"/>
        <v/>
      </c>
      <c r="Q1689" t="str">
        <f t="shared" si="262"/>
        <v/>
      </c>
      <c r="R1689" t="str">
        <f t="shared" si="263"/>
        <v/>
      </c>
      <c r="S1689" t="str">
        <f t="shared" si="264"/>
        <v/>
      </c>
      <c r="T1689" t="str">
        <f t="shared" si="265"/>
        <v/>
      </c>
      <c r="U1689" t="str">
        <f t="shared" si="266"/>
        <v/>
      </c>
      <c r="V1689" t="str">
        <f t="shared" si="267"/>
        <v/>
      </c>
      <c r="W1689" t="str">
        <f t="shared" si="268"/>
        <v/>
      </c>
      <c r="X1689">
        <f>IF($T1689="",N($X1688),IF(MATCH($T1689,$T$6:$T$10005,0)=ROW()-5,N($X1688)+1,N($X1688)))</f>
        <v>0</v>
      </c>
      <c r="Z1689" t="str">
        <f t="shared" si="269"/>
        <v/>
      </c>
      <c r="AA1689">
        <f>IF($V1689="",N($AA1688),IF(MATCH($V1689,$V$6:$V$10005,0)=ROW()-5,N($AA1688)+1,N($AA1688)))</f>
        <v>0</v>
      </c>
    </row>
    <row r="1690" spans="1:27" ht="21" customHeight="1" x14ac:dyDescent="0.95">
      <c r="A1690" s="56"/>
      <c r="B1690" s="57"/>
      <c r="C1690" s="57"/>
      <c r="D1690" s="57"/>
      <c r="E1690" s="56"/>
      <c r="F1690" s="57"/>
      <c r="G1690" s="57"/>
      <c r="H1690" s="56"/>
      <c r="I1690" s="56"/>
      <c r="J1690" s="58"/>
      <c r="K1690" s="58"/>
      <c r="L1690" s="13" t="str">
        <f t="shared" si="260"/>
        <v/>
      </c>
      <c r="M1690" s="13" t="str">
        <f t="shared" si="261"/>
        <v/>
      </c>
      <c r="Q1690" t="str">
        <f t="shared" si="262"/>
        <v/>
      </c>
      <c r="R1690" t="str">
        <f t="shared" si="263"/>
        <v/>
      </c>
      <c r="S1690" t="str">
        <f t="shared" si="264"/>
        <v/>
      </c>
      <c r="T1690" t="str">
        <f t="shared" si="265"/>
        <v/>
      </c>
      <c r="U1690" t="str">
        <f t="shared" si="266"/>
        <v/>
      </c>
      <c r="V1690" t="str">
        <f t="shared" si="267"/>
        <v/>
      </c>
      <c r="W1690" t="str">
        <f t="shared" si="268"/>
        <v/>
      </c>
      <c r="X1690">
        <f>IF($T1690="",N($X1689),IF(MATCH($T1690,$T$6:$T$10005,0)=ROW()-5,N($X1689)+1,N($X1689)))</f>
        <v>0</v>
      </c>
      <c r="Z1690" t="str">
        <f t="shared" si="269"/>
        <v/>
      </c>
      <c r="AA1690">
        <f>IF($V1690="",N($AA1689),IF(MATCH($V1690,$V$6:$V$10005,0)=ROW()-5,N($AA1689)+1,N($AA1689)))</f>
        <v>0</v>
      </c>
    </row>
    <row r="1691" spans="1:27" ht="21" customHeight="1" x14ac:dyDescent="0.95">
      <c r="A1691" s="56"/>
      <c r="B1691" s="57"/>
      <c r="C1691" s="57"/>
      <c r="D1691" s="57"/>
      <c r="E1691" s="56"/>
      <c r="F1691" s="57"/>
      <c r="G1691" s="57"/>
      <c r="H1691" s="56"/>
      <c r="I1691" s="56"/>
      <c r="J1691" s="58"/>
      <c r="K1691" s="58"/>
      <c r="L1691" s="13" t="str">
        <f t="shared" si="260"/>
        <v/>
      </c>
      <c r="M1691" s="13" t="str">
        <f t="shared" si="261"/>
        <v/>
      </c>
      <c r="Q1691" t="str">
        <f t="shared" si="262"/>
        <v/>
      </c>
      <c r="R1691" t="str">
        <f t="shared" si="263"/>
        <v/>
      </c>
      <c r="S1691" t="str">
        <f t="shared" si="264"/>
        <v/>
      </c>
      <c r="T1691" t="str">
        <f t="shared" si="265"/>
        <v/>
      </c>
      <c r="U1691" t="str">
        <f t="shared" si="266"/>
        <v/>
      </c>
      <c r="V1691" t="str">
        <f t="shared" si="267"/>
        <v/>
      </c>
      <c r="W1691" t="str">
        <f t="shared" si="268"/>
        <v/>
      </c>
      <c r="X1691">
        <f>IF($T1691="",N($X1690),IF(MATCH($T1691,$T$6:$T$10005,0)=ROW()-5,N($X1690)+1,N($X1690)))</f>
        <v>0</v>
      </c>
      <c r="Z1691" t="str">
        <f t="shared" si="269"/>
        <v/>
      </c>
      <c r="AA1691">
        <f>IF($V1691="",N($AA1690),IF(MATCH($V1691,$V$6:$V$10005,0)=ROW()-5,N($AA1690)+1,N($AA1690)))</f>
        <v>0</v>
      </c>
    </row>
    <row r="1692" spans="1:27" ht="21" customHeight="1" x14ac:dyDescent="0.95">
      <c r="A1692" s="56"/>
      <c r="B1692" s="57"/>
      <c r="C1692" s="57"/>
      <c r="D1692" s="57"/>
      <c r="E1692" s="56"/>
      <c r="F1692" s="57"/>
      <c r="G1692" s="57"/>
      <c r="H1692" s="56"/>
      <c r="I1692" s="56"/>
      <c r="J1692" s="58"/>
      <c r="K1692" s="58"/>
      <c r="L1692" s="13" t="str">
        <f t="shared" si="260"/>
        <v/>
      </c>
      <c r="M1692" s="13" t="str">
        <f t="shared" si="261"/>
        <v/>
      </c>
      <c r="Q1692" t="str">
        <f t="shared" si="262"/>
        <v/>
      </c>
      <c r="R1692" t="str">
        <f t="shared" si="263"/>
        <v/>
      </c>
      <c r="S1692" t="str">
        <f t="shared" si="264"/>
        <v/>
      </c>
      <c r="T1692" t="str">
        <f t="shared" si="265"/>
        <v/>
      </c>
      <c r="U1692" t="str">
        <f t="shared" si="266"/>
        <v/>
      </c>
      <c r="V1692" t="str">
        <f t="shared" si="267"/>
        <v/>
      </c>
      <c r="W1692" t="str">
        <f t="shared" si="268"/>
        <v/>
      </c>
      <c r="X1692">
        <f>IF($T1692="",N($X1691),IF(MATCH($T1692,$T$6:$T$10005,0)=ROW()-5,N($X1691)+1,N($X1691)))</f>
        <v>0</v>
      </c>
      <c r="Z1692" t="str">
        <f t="shared" si="269"/>
        <v/>
      </c>
      <c r="AA1692">
        <f>IF($V1692="",N($AA1691),IF(MATCH($V1692,$V$6:$V$10005,0)=ROW()-5,N($AA1691)+1,N($AA1691)))</f>
        <v>0</v>
      </c>
    </row>
    <row r="1693" spans="1:27" ht="21" customHeight="1" x14ac:dyDescent="0.95">
      <c r="A1693" s="56"/>
      <c r="B1693" s="57"/>
      <c r="C1693" s="57"/>
      <c r="D1693" s="57"/>
      <c r="E1693" s="56"/>
      <c r="F1693" s="57"/>
      <c r="G1693" s="57"/>
      <c r="H1693" s="56"/>
      <c r="I1693" s="56"/>
      <c r="J1693" s="58"/>
      <c r="K1693" s="58"/>
      <c r="L1693" s="13" t="str">
        <f t="shared" si="260"/>
        <v/>
      </c>
      <c r="M1693" s="13" t="str">
        <f t="shared" si="261"/>
        <v/>
      </c>
      <c r="Q1693" t="str">
        <f t="shared" si="262"/>
        <v/>
      </c>
      <c r="R1693" t="str">
        <f t="shared" si="263"/>
        <v/>
      </c>
      <c r="S1693" t="str">
        <f t="shared" si="264"/>
        <v/>
      </c>
      <c r="T1693" t="str">
        <f t="shared" si="265"/>
        <v/>
      </c>
      <c r="U1693" t="str">
        <f t="shared" si="266"/>
        <v/>
      </c>
      <c r="V1693" t="str">
        <f t="shared" si="267"/>
        <v/>
      </c>
      <c r="W1693" t="str">
        <f t="shared" si="268"/>
        <v/>
      </c>
      <c r="X1693">
        <f>IF($T1693="",N($X1692),IF(MATCH($T1693,$T$6:$T$10005,0)=ROW()-5,N($X1692)+1,N($X1692)))</f>
        <v>0</v>
      </c>
      <c r="Z1693" t="str">
        <f t="shared" si="269"/>
        <v/>
      </c>
      <c r="AA1693">
        <f>IF($V1693="",N($AA1692),IF(MATCH($V1693,$V$6:$V$10005,0)=ROW()-5,N($AA1692)+1,N($AA1692)))</f>
        <v>0</v>
      </c>
    </row>
    <row r="1694" spans="1:27" ht="21" customHeight="1" x14ac:dyDescent="0.95">
      <c r="A1694" s="56"/>
      <c r="B1694" s="57"/>
      <c r="C1694" s="57"/>
      <c r="D1694" s="57"/>
      <c r="E1694" s="56"/>
      <c r="F1694" s="57"/>
      <c r="G1694" s="57"/>
      <c r="H1694" s="56"/>
      <c r="I1694" s="56"/>
      <c r="J1694" s="58"/>
      <c r="K1694" s="58"/>
      <c r="L1694" s="13" t="str">
        <f t="shared" si="260"/>
        <v/>
      </c>
      <c r="M1694" s="13" t="str">
        <f t="shared" si="261"/>
        <v/>
      </c>
      <c r="Q1694" t="str">
        <f t="shared" si="262"/>
        <v/>
      </c>
      <c r="R1694" t="str">
        <f t="shared" si="263"/>
        <v/>
      </c>
      <c r="S1694" t="str">
        <f t="shared" si="264"/>
        <v/>
      </c>
      <c r="T1694" t="str">
        <f t="shared" si="265"/>
        <v/>
      </c>
      <c r="U1694" t="str">
        <f t="shared" si="266"/>
        <v/>
      </c>
      <c r="V1694" t="str">
        <f t="shared" si="267"/>
        <v/>
      </c>
      <c r="W1694" t="str">
        <f t="shared" si="268"/>
        <v/>
      </c>
      <c r="X1694">
        <f>IF($T1694="",N($X1693),IF(MATCH($T1694,$T$6:$T$10005,0)=ROW()-5,N($X1693)+1,N($X1693)))</f>
        <v>0</v>
      </c>
      <c r="Z1694" t="str">
        <f t="shared" si="269"/>
        <v/>
      </c>
      <c r="AA1694">
        <f>IF($V1694="",N($AA1693),IF(MATCH($V1694,$V$6:$V$10005,0)=ROW()-5,N($AA1693)+1,N($AA1693)))</f>
        <v>0</v>
      </c>
    </row>
    <row r="1695" spans="1:27" ht="21" customHeight="1" x14ac:dyDescent="0.95">
      <c r="A1695" s="56"/>
      <c r="B1695" s="57"/>
      <c r="C1695" s="57"/>
      <c r="D1695" s="57"/>
      <c r="E1695" s="56"/>
      <c r="F1695" s="57"/>
      <c r="G1695" s="57"/>
      <c r="H1695" s="56"/>
      <c r="I1695" s="56"/>
      <c r="J1695" s="58"/>
      <c r="K1695" s="58"/>
      <c r="L1695" s="13" t="str">
        <f t="shared" si="260"/>
        <v/>
      </c>
      <c r="M1695" s="13" t="str">
        <f t="shared" si="261"/>
        <v/>
      </c>
      <c r="Q1695" t="str">
        <f t="shared" si="262"/>
        <v/>
      </c>
      <c r="R1695" t="str">
        <f t="shared" si="263"/>
        <v/>
      </c>
      <c r="S1695" t="str">
        <f t="shared" si="264"/>
        <v/>
      </c>
      <c r="T1695" t="str">
        <f t="shared" si="265"/>
        <v/>
      </c>
      <c r="U1695" t="str">
        <f t="shared" si="266"/>
        <v/>
      </c>
      <c r="V1695" t="str">
        <f t="shared" si="267"/>
        <v/>
      </c>
      <c r="W1695" t="str">
        <f t="shared" si="268"/>
        <v/>
      </c>
      <c r="X1695">
        <f>IF($T1695="",N($X1694),IF(MATCH($T1695,$T$6:$T$10005,0)=ROW()-5,N($X1694)+1,N($X1694)))</f>
        <v>0</v>
      </c>
      <c r="Z1695" t="str">
        <f t="shared" si="269"/>
        <v/>
      </c>
      <c r="AA1695">
        <f>IF($V1695="",N($AA1694),IF(MATCH($V1695,$V$6:$V$10005,0)=ROW()-5,N($AA1694)+1,N($AA1694)))</f>
        <v>0</v>
      </c>
    </row>
    <row r="1696" spans="1:27" ht="21" customHeight="1" x14ac:dyDescent="0.95">
      <c r="A1696" s="56"/>
      <c r="B1696" s="57"/>
      <c r="C1696" s="57"/>
      <c r="D1696" s="57"/>
      <c r="E1696" s="56"/>
      <c r="F1696" s="57"/>
      <c r="G1696" s="57"/>
      <c r="H1696" s="56"/>
      <c r="I1696" s="56"/>
      <c r="J1696" s="58"/>
      <c r="K1696" s="58"/>
      <c r="L1696" s="13" t="str">
        <f t="shared" si="260"/>
        <v/>
      </c>
      <c r="M1696" s="13" t="str">
        <f t="shared" si="261"/>
        <v/>
      </c>
      <c r="Q1696" t="str">
        <f t="shared" si="262"/>
        <v/>
      </c>
      <c r="R1696" t="str">
        <f t="shared" si="263"/>
        <v/>
      </c>
      <c r="S1696" t="str">
        <f t="shared" si="264"/>
        <v/>
      </c>
      <c r="T1696" t="str">
        <f t="shared" si="265"/>
        <v/>
      </c>
      <c r="U1696" t="str">
        <f t="shared" si="266"/>
        <v/>
      </c>
      <c r="V1696" t="str">
        <f t="shared" si="267"/>
        <v/>
      </c>
      <c r="W1696" t="str">
        <f t="shared" si="268"/>
        <v/>
      </c>
      <c r="X1696">
        <f>IF($T1696="",N($X1695),IF(MATCH($T1696,$T$6:$T$10005,0)=ROW()-5,N($X1695)+1,N($X1695)))</f>
        <v>0</v>
      </c>
      <c r="Z1696" t="str">
        <f t="shared" si="269"/>
        <v/>
      </c>
      <c r="AA1696">
        <f>IF($V1696="",N($AA1695),IF(MATCH($V1696,$V$6:$V$10005,0)=ROW()-5,N($AA1695)+1,N($AA1695)))</f>
        <v>0</v>
      </c>
    </row>
    <row r="1697" spans="1:27" ht="21" customHeight="1" x14ac:dyDescent="0.95">
      <c r="A1697" s="56"/>
      <c r="B1697" s="57"/>
      <c r="C1697" s="57"/>
      <c r="D1697" s="57"/>
      <c r="E1697" s="56"/>
      <c r="F1697" s="57"/>
      <c r="G1697" s="57"/>
      <c r="H1697" s="56"/>
      <c r="I1697" s="56"/>
      <c r="J1697" s="58"/>
      <c r="K1697" s="58"/>
      <c r="L1697" s="13" t="str">
        <f t="shared" si="260"/>
        <v/>
      </c>
      <c r="M1697" s="13" t="str">
        <f t="shared" si="261"/>
        <v/>
      </c>
      <c r="Q1697" t="str">
        <f t="shared" si="262"/>
        <v/>
      </c>
      <c r="R1697" t="str">
        <f t="shared" si="263"/>
        <v/>
      </c>
      <c r="S1697" t="str">
        <f t="shared" si="264"/>
        <v/>
      </c>
      <c r="T1697" t="str">
        <f t="shared" si="265"/>
        <v/>
      </c>
      <c r="U1697" t="str">
        <f t="shared" si="266"/>
        <v/>
      </c>
      <c r="V1697" t="str">
        <f t="shared" si="267"/>
        <v/>
      </c>
      <c r="W1697" t="str">
        <f t="shared" si="268"/>
        <v/>
      </c>
      <c r="X1697">
        <f>IF($T1697="",N($X1696),IF(MATCH($T1697,$T$6:$T$10005,0)=ROW()-5,N($X1696)+1,N($X1696)))</f>
        <v>0</v>
      </c>
      <c r="Z1697" t="str">
        <f t="shared" si="269"/>
        <v/>
      </c>
      <c r="AA1697">
        <f>IF($V1697="",N($AA1696),IF(MATCH($V1697,$V$6:$V$10005,0)=ROW()-5,N($AA1696)+1,N($AA1696)))</f>
        <v>0</v>
      </c>
    </row>
    <row r="1698" spans="1:27" ht="21" customHeight="1" x14ac:dyDescent="0.95">
      <c r="A1698" s="56"/>
      <c r="B1698" s="57"/>
      <c r="C1698" s="57"/>
      <c r="D1698" s="57"/>
      <c r="E1698" s="56"/>
      <c r="F1698" s="57"/>
      <c r="G1698" s="57"/>
      <c r="H1698" s="56"/>
      <c r="I1698" s="56"/>
      <c r="J1698" s="58"/>
      <c r="K1698" s="58"/>
      <c r="L1698" s="13" t="str">
        <f t="shared" si="260"/>
        <v/>
      </c>
      <c r="M1698" s="13" t="str">
        <f t="shared" si="261"/>
        <v/>
      </c>
      <c r="Q1698" t="str">
        <f t="shared" si="262"/>
        <v/>
      </c>
      <c r="R1698" t="str">
        <f t="shared" si="263"/>
        <v/>
      </c>
      <c r="S1698" t="str">
        <f t="shared" si="264"/>
        <v/>
      </c>
      <c r="T1698" t="str">
        <f t="shared" si="265"/>
        <v/>
      </c>
      <c r="U1698" t="str">
        <f t="shared" si="266"/>
        <v/>
      </c>
      <c r="V1698" t="str">
        <f t="shared" si="267"/>
        <v/>
      </c>
      <c r="W1698" t="str">
        <f t="shared" si="268"/>
        <v/>
      </c>
      <c r="X1698">
        <f>IF($T1698="",N($X1697),IF(MATCH($T1698,$T$6:$T$10005,0)=ROW()-5,N($X1697)+1,N($X1697)))</f>
        <v>0</v>
      </c>
      <c r="Z1698" t="str">
        <f t="shared" si="269"/>
        <v/>
      </c>
      <c r="AA1698">
        <f>IF($V1698="",N($AA1697),IF(MATCH($V1698,$V$6:$V$10005,0)=ROW()-5,N($AA1697)+1,N($AA1697)))</f>
        <v>0</v>
      </c>
    </row>
    <row r="1699" spans="1:27" ht="21" customHeight="1" x14ac:dyDescent="0.95">
      <c r="A1699" s="56"/>
      <c r="B1699" s="57"/>
      <c r="C1699" s="57"/>
      <c r="D1699" s="57"/>
      <c r="E1699" s="56"/>
      <c r="F1699" s="57"/>
      <c r="G1699" s="57"/>
      <c r="H1699" s="56"/>
      <c r="I1699" s="56"/>
      <c r="J1699" s="58"/>
      <c r="K1699" s="58"/>
      <c r="L1699" s="13" t="str">
        <f t="shared" si="260"/>
        <v/>
      </c>
      <c r="M1699" s="13" t="str">
        <f t="shared" si="261"/>
        <v/>
      </c>
      <c r="Q1699" t="str">
        <f t="shared" si="262"/>
        <v/>
      </c>
      <c r="R1699" t="str">
        <f t="shared" si="263"/>
        <v/>
      </c>
      <c r="S1699" t="str">
        <f t="shared" si="264"/>
        <v/>
      </c>
      <c r="T1699" t="str">
        <f t="shared" si="265"/>
        <v/>
      </c>
      <c r="U1699" t="str">
        <f t="shared" si="266"/>
        <v/>
      </c>
      <c r="V1699" t="str">
        <f t="shared" si="267"/>
        <v/>
      </c>
      <c r="W1699" t="str">
        <f t="shared" si="268"/>
        <v/>
      </c>
      <c r="X1699">
        <f>IF($T1699="",N($X1698),IF(MATCH($T1699,$T$6:$T$10005,0)=ROW()-5,N($X1698)+1,N($X1698)))</f>
        <v>0</v>
      </c>
      <c r="Z1699" t="str">
        <f t="shared" si="269"/>
        <v/>
      </c>
      <c r="AA1699">
        <f>IF($V1699="",N($AA1698),IF(MATCH($V1699,$V$6:$V$10005,0)=ROW()-5,N($AA1698)+1,N($AA1698)))</f>
        <v>0</v>
      </c>
    </row>
    <row r="1700" spans="1:27" ht="21" customHeight="1" x14ac:dyDescent="0.95">
      <c r="A1700" s="56"/>
      <c r="B1700" s="57"/>
      <c r="C1700" s="57"/>
      <c r="D1700" s="57"/>
      <c r="E1700" s="56"/>
      <c r="F1700" s="57"/>
      <c r="G1700" s="57"/>
      <c r="H1700" s="56"/>
      <c r="I1700" s="56"/>
      <c r="J1700" s="58"/>
      <c r="K1700" s="58"/>
      <c r="L1700" s="13" t="str">
        <f t="shared" si="260"/>
        <v/>
      </c>
      <c r="M1700" s="13" t="str">
        <f t="shared" si="261"/>
        <v/>
      </c>
      <c r="Q1700" t="str">
        <f t="shared" si="262"/>
        <v/>
      </c>
      <c r="R1700" t="str">
        <f t="shared" si="263"/>
        <v/>
      </c>
      <c r="S1700" t="str">
        <f t="shared" si="264"/>
        <v/>
      </c>
      <c r="T1700" t="str">
        <f t="shared" si="265"/>
        <v/>
      </c>
      <c r="U1700" t="str">
        <f t="shared" si="266"/>
        <v/>
      </c>
      <c r="V1700" t="str">
        <f t="shared" si="267"/>
        <v/>
      </c>
      <c r="W1700" t="str">
        <f t="shared" si="268"/>
        <v/>
      </c>
      <c r="X1700">
        <f>IF($T1700="",N($X1699),IF(MATCH($T1700,$T$6:$T$10005,0)=ROW()-5,N($X1699)+1,N($X1699)))</f>
        <v>0</v>
      </c>
      <c r="Z1700" t="str">
        <f t="shared" si="269"/>
        <v/>
      </c>
      <c r="AA1700">
        <f>IF($V1700="",N($AA1699),IF(MATCH($V1700,$V$6:$V$10005,0)=ROW()-5,N($AA1699)+1,N($AA1699)))</f>
        <v>0</v>
      </c>
    </row>
    <row r="1701" spans="1:27" ht="21" customHeight="1" x14ac:dyDescent="0.95">
      <c r="A1701" s="56"/>
      <c r="B1701" s="57"/>
      <c r="C1701" s="57"/>
      <c r="D1701" s="57"/>
      <c r="E1701" s="56"/>
      <c r="F1701" s="57"/>
      <c r="G1701" s="57"/>
      <c r="H1701" s="56"/>
      <c r="I1701" s="56"/>
      <c r="J1701" s="58"/>
      <c r="K1701" s="58"/>
      <c r="L1701" s="13" t="str">
        <f t="shared" si="260"/>
        <v/>
      </c>
      <c r="M1701" s="13" t="str">
        <f t="shared" si="261"/>
        <v/>
      </c>
      <c r="Q1701" t="str">
        <f t="shared" si="262"/>
        <v/>
      </c>
      <c r="R1701" t="str">
        <f t="shared" si="263"/>
        <v/>
      </c>
      <c r="S1701" t="str">
        <f t="shared" si="264"/>
        <v/>
      </c>
      <c r="T1701" t="str">
        <f t="shared" si="265"/>
        <v/>
      </c>
      <c r="U1701" t="str">
        <f t="shared" si="266"/>
        <v/>
      </c>
      <c r="V1701" t="str">
        <f t="shared" si="267"/>
        <v/>
      </c>
      <c r="W1701" t="str">
        <f t="shared" si="268"/>
        <v/>
      </c>
      <c r="X1701">
        <f>IF($T1701="",N($X1700),IF(MATCH($T1701,$T$6:$T$10005,0)=ROW()-5,N($X1700)+1,N($X1700)))</f>
        <v>0</v>
      </c>
      <c r="Z1701" t="str">
        <f t="shared" si="269"/>
        <v/>
      </c>
      <c r="AA1701">
        <f>IF($V1701="",N($AA1700),IF(MATCH($V1701,$V$6:$V$10005,0)=ROW()-5,N($AA1700)+1,N($AA1700)))</f>
        <v>0</v>
      </c>
    </row>
    <row r="1702" spans="1:27" ht="21" customHeight="1" x14ac:dyDescent="0.95">
      <c r="A1702" s="56"/>
      <c r="B1702" s="57"/>
      <c r="C1702" s="57"/>
      <c r="D1702" s="57"/>
      <c r="E1702" s="56"/>
      <c r="F1702" s="57"/>
      <c r="G1702" s="57"/>
      <c r="H1702" s="56"/>
      <c r="I1702" s="56"/>
      <c r="J1702" s="58"/>
      <c r="K1702" s="58"/>
      <c r="L1702" s="13" t="str">
        <f t="shared" si="260"/>
        <v/>
      </c>
      <c r="M1702" s="13" t="str">
        <f t="shared" si="261"/>
        <v/>
      </c>
      <c r="Q1702" t="str">
        <f t="shared" si="262"/>
        <v/>
      </c>
      <c r="R1702" t="str">
        <f t="shared" si="263"/>
        <v/>
      </c>
      <c r="S1702" t="str">
        <f t="shared" si="264"/>
        <v/>
      </c>
      <c r="T1702" t="str">
        <f t="shared" si="265"/>
        <v/>
      </c>
      <c r="U1702" t="str">
        <f t="shared" si="266"/>
        <v/>
      </c>
      <c r="V1702" t="str">
        <f t="shared" si="267"/>
        <v/>
      </c>
      <c r="W1702" t="str">
        <f t="shared" si="268"/>
        <v/>
      </c>
      <c r="X1702">
        <f>IF($T1702="",N($X1701),IF(MATCH($T1702,$T$6:$T$10005,0)=ROW()-5,N($X1701)+1,N($X1701)))</f>
        <v>0</v>
      </c>
      <c r="Z1702" t="str">
        <f t="shared" si="269"/>
        <v/>
      </c>
      <c r="AA1702">
        <f>IF($V1702="",N($AA1701),IF(MATCH($V1702,$V$6:$V$10005,0)=ROW()-5,N($AA1701)+1,N($AA1701)))</f>
        <v>0</v>
      </c>
    </row>
    <row r="1703" spans="1:27" ht="21" customHeight="1" x14ac:dyDescent="0.95">
      <c r="A1703" s="56"/>
      <c r="B1703" s="57"/>
      <c r="C1703" s="57"/>
      <c r="D1703" s="57"/>
      <c r="E1703" s="56"/>
      <c r="F1703" s="57"/>
      <c r="G1703" s="57"/>
      <c r="H1703" s="56"/>
      <c r="I1703" s="56"/>
      <c r="J1703" s="58"/>
      <c r="K1703" s="58"/>
      <c r="L1703" s="13" t="str">
        <f t="shared" si="260"/>
        <v/>
      </c>
      <c r="M1703" s="13" t="str">
        <f t="shared" si="261"/>
        <v/>
      </c>
      <c r="Q1703" t="str">
        <f t="shared" si="262"/>
        <v/>
      </c>
      <c r="R1703" t="str">
        <f t="shared" si="263"/>
        <v/>
      </c>
      <c r="S1703" t="str">
        <f t="shared" si="264"/>
        <v/>
      </c>
      <c r="T1703" t="str">
        <f t="shared" si="265"/>
        <v/>
      </c>
      <c r="U1703" t="str">
        <f t="shared" si="266"/>
        <v/>
      </c>
      <c r="V1703" t="str">
        <f t="shared" si="267"/>
        <v/>
      </c>
      <c r="W1703" t="str">
        <f t="shared" si="268"/>
        <v/>
      </c>
      <c r="X1703">
        <f>IF($T1703="",N($X1702),IF(MATCH($T1703,$T$6:$T$10005,0)=ROW()-5,N($X1702)+1,N($X1702)))</f>
        <v>0</v>
      </c>
      <c r="Z1703" t="str">
        <f t="shared" si="269"/>
        <v/>
      </c>
      <c r="AA1703">
        <f>IF($V1703="",N($AA1702),IF(MATCH($V1703,$V$6:$V$10005,0)=ROW()-5,N($AA1702)+1,N($AA1702)))</f>
        <v>0</v>
      </c>
    </row>
    <row r="1704" spans="1:27" ht="21" customHeight="1" x14ac:dyDescent="0.95">
      <c r="A1704" s="56"/>
      <c r="B1704" s="57"/>
      <c r="C1704" s="57"/>
      <c r="D1704" s="57"/>
      <c r="E1704" s="56"/>
      <c r="F1704" s="57"/>
      <c r="G1704" s="57"/>
      <c r="H1704" s="56"/>
      <c r="I1704" s="56"/>
      <c r="J1704" s="58"/>
      <c r="K1704" s="58"/>
      <c r="L1704" s="13" t="str">
        <f t="shared" si="260"/>
        <v/>
      </c>
      <c r="M1704" s="13" t="str">
        <f t="shared" si="261"/>
        <v/>
      </c>
      <c r="Q1704" t="str">
        <f t="shared" si="262"/>
        <v/>
      </c>
      <c r="R1704" t="str">
        <f t="shared" si="263"/>
        <v/>
      </c>
      <c r="S1704" t="str">
        <f t="shared" si="264"/>
        <v/>
      </c>
      <c r="T1704" t="str">
        <f t="shared" si="265"/>
        <v/>
      </c>
      <c r="U1704" t="str">
        <f t="shared" si="266"/>
        <v/>
      </c>
      <c r="V1704" t="str">
        <f t="shared" si="267"/>
        <v/>
      </c>
      <c r="W1704" t="str">
        <f t="shared" si="268"/>
        <v/>
      </c>
      <c r="X1704">
        <f>IF($T1704="",N($X1703),IF(MATCH($T1704,$T$6:$T$10005,0)=ROW()-5,N($X1703)+1,N($X1703)))</f>
        <v>0</v>
      </c>
      <c r="Z1704" t="str">
        <f t="shared" si="269"/>
        <v/>
      </c>
      <c r="AA1704">
        <f>IF($V1704="",N($AA1703),IF(MATCH($V1704,$V$6:$V$10005,0)=ROW()-5,N($AA1703)+1,N($AA1703)))</f>
        <v>0</v>
      </c>
    </row>
    <row r="1705" spans="1:27" ht="21" customHeight="1" x14ac:dyDescent="0.95">
      <c r="A1705" s="56"/>
      <c r="B1705" s="57"/>
      <c r="C1705" s="57"/>
      <c r="D1705" s="57"/>
      <c r="E1705" s="56"/>
      <c r="F1705" s="57"/>
      <c r="G1705" s="57"/>
      <c r="H1705" s="56"/>
      <c r="I1705" s="56"/>
      <c r="J1705" s="58"/>
      <c r="K1705" s="58"/>
      <c r="L1705" s="13" t="str">
        <f t="shared" si="260"/>
        <v/>
      </c>
      <c r="M1705" s="13" t="str">
        <f t="shared" si="261"/>
        <v/>
      </c>
      <c r="Q1705" t="str">
        <f t="shared" si="262"/>
        <v/>
      </c>
      <c r="R1705" t="str">
        <f t="shared" si="263"/>
        <v/>
      </c>
      <c r="S1705" t="str">
        <f t="shared" si="264"/>
        <v/>
      </c>
      <c r="T1705" t="str">
        <f t="shared" si="265"/>
        <v/>
      </c>
      <c r="U1705" t="str">
        <f t="shared" si="266"/>
        <v/>
      </c>
      <c r="V1705" t="str">
        <f t="shared" si="267"/>
        <v/>
      </c>
      <c r="W1705" t="str">
        <f t="shared" si="268"/>
        <v/>
      </c>
      <c r="X1705">
        <f>IF($T1705="",N($X1704),IF(MATCH($T1705,$T$6:$T$10005,0)=ROW()-5,N($X1704)+1,N($X1704)))</f>
        <v>0</v>
      </c>
      <c r="Z1705" t="str">
        <f t="shared" si="269"/>
        <v/>
      </c>
      <c r="AA1705">
        <f>IF($V1705="",N($AA1704),IF(MATCH($V1705,$V$6:$V$10005,0)=ROW()-5,N($AA1704)+1,N($AA1704)))</f>
        <v>0</v>
      </c>
    </row>
    <row r="1706" spans="1:27" ht="21" customHeight="1" x14ac:dyDescent="0.95">
      <c r="A1706" s="56"/>
      <c r="B1706" s="57"/>
      <c r="C1706" s="57"/>
      <c r="D1706" s="57"/>
      <c r="E1706" s="56"/>
      <c r="F1706" s="57"/>
      <c r="G1706" s="57"/>
      <c r="H1706" s="56"/>
      <c r="I1706" s="56"/>
      <c r="J1706" s="58"/>
      <c r="K1706" s="58"/>
      <c r="L1706" s="13" t="str">
        <f t="shared" si="260"/>
        <v/>
      </c>
      <c r="M1706" s="13" t="str">
        <f t="shared" si="261"/>
        <v/>
      </c>
      <c r="Q1706" t="str">
        <f t="shared" si="262"/>
        <v/>
      </c>
      <c r="R1706" t="str">
        <f t="shared" si="263"/>
        <v/>
      </c>
      <c r="S1706" t="str">
        <f t="shared" si="264"/>
        <v/>
      </c>
      <c r="T1706" t="str">
        <f t="shared" si="265"/>
        <v/>
      </c>
      <c r="U1706" t="str">
        <f t="shared" si="266"/>
        <v/>
      </c>
      <c r="V1706" t="str">
        <f t="shared" si="267"/>
        <v/>
      </c>
      <c r="W1706" t="str">
        <f t="shared" si="268"/>
        <v/>
      </c>
      <c r="X1706">
        <f>IF($T1706="",N($X1705),IF(MATCH($T1706,$T$6:$T$10005,0)=ROW()-5,N($X1705)+1,N($X1705)))</f>
        <v>0</v>
      </c>
      <c r="Z1706" t="str">
        <f t="shared" si="269"/>
        <v/>
      </c>
      <c r="AA1706">
        <f>IF($V1706="",N($AA1705),IF(MATCH($V1706,$V$6:$V$10005,0)=ROW()-5,N($AA1705)+1,N($AA1705)))</f>
        <v>0</v>
      </c>
    </row>
    <row r="1707" spans="1:27" ht="21" customHeight="1" x14ac:dyDescent="0.95">
      <c r="A1707" s="56"/>
      <c r="B1707" s="57"/>
      <c r="C1707" s="57"/>
      <c r="D1707" s="57"/>
      <c r="E1707" s="56"/>
      <c r="F1707" s="57"/>
      <c r="G1707" s="57"/>
      <c r="H1707" s="56"/>
      <c r="I1707" s="56"/>
      <c r="J1707" s="58"/>
      <c r="K1707" s="58"/>
      <c r="L1707" s="13" t="str">
        <f t="shared" si="260"/>
        <v/>
      </c>
      <c r="M1707" s="13" t="str">
        <f t="shared" si="261"/>
        <v/>
      </c>
      <c r="Q1707" t="str">
        <f t="shared" si="262"/>
        <v/>
      </c>
      <c r="R1707" t="str">
        <f t="shared" si="263"/>
        <v/>
      </c>
      <c r="S1707" t="str">
        <f t="shared" si="264"/>
        <v/>
      </c>
      <c r="T1707" t="str">
        <f t="shared" si="265"/>
        <v/>
      </c>
      <c r="U1707" t="str">
        <f t="shared" si="266"/>
        <v/>
      </c>
      <c r="V1707" t="str">
        <f t="shared" si="267"/>
        <v/>
      </c>
      <c r="W1707" t="str">
        <f t="shared" si="268"/>
        <v/>
      </c>
      <c r="X1707">
        <f>IF($T1707="",N($X1706),IF(MATCH($T1707,$T$6:$T$10005,0)=ROW()-5,N($X1706)+1,N($X1706)))</f>
        <v>0</v>
      </c>
      <c r="Z1707" t="str">
        <f t="shared" si="269"/>
        <v/>
      </c>
      <c r="AA1707">
        <f>IF($V1707="",N($AA1706),IF(MATCH($V1707,$V$6:$V$10005,0)=ROW()-5,N($AA1706)+1,N($AA1706)))</f>
        <v>0</v>
      </c>
    </row>
    <row r="1708" spans="1:27" ht="21" customHeight="1" x14ac:dyDescent="0.95">
      <c r="A1708" s="56"/>
      <c r="B1708" s="57"/>
      <c r="C1708" s="57"/>
      <c r="D1708" s="57"/>
      <c r="E1708" s="56"/>
      <c r="F1708" s="57"/>
      <c r="G1708" s="57"/>
      <c r="H1708" s="56"/>
      <c r="I1708" s="56"/>
      <c r="J1708" s="58"/>
      <c r="K1708" s="58"/>
      <c r="L1708" s="13" t="str">
        <f t="shared" si="260"/>
        <v/>
      </c>
      <c r="M1708" s="13" t="str">
        <f t="shared" si="261"/>
        <v/>
      </c>
      <c r="Q1708" t="str">
        <f t="shared" si="262"/>
        <v/>
      </c>
      <c r="R1708" t="str">
        <f t="shared" si="263"/>
        <v/>
      </c>
      <c r="S1708" t="str">
        <f t="shared" si="264"/>
        <v/>
      </c>
      <c r="T1708" t="str">
        <f t="shared" si="265"/>
        <v/>
      </c>
      <c r="U1708" t="str">
        <f t="shared" si="266"/>
        <v/>
      </c>
      <c r="V1708" t="str">
        <f t="shared" si="267"/>
        <v/>
      </c>
      <c r="W1708" t="str">
        <f t="shared" si="268"/>
        <v/>
      </c>
      <c r="X1708">
        <f>IF($T1708="",N($X1707),IF(MATCH($T1708,$T$6:$T$10005,0)=ROW()-5,N($X1707)+1,N($X1707)))</f>
        <v>0</v>
      </c>
      <c r="Z1708" t="str">
        <f t="shared" si="269"/>
        <v/>
      </c>
      <c r="AA1708">
        <f>IF($V1708="",N($AA1707),IF(MATCH($V1708,$V$6:$V$10005,0)=ROW()-5,N($AA1707)+1,N($AA1707)))</f>
        <v>0</v>
      </c>
    </row>
    <row r="1709" spans="1:27" ht="21" customHeight="1" x14ac:dyDescent="0.95">
      <c r="A1709" s="56"/>
      <c r="B1709" s="57"/>
      <c r="C1709" s="57"/>
      <c r="D1709" s="57"/>
      <c r="E1709" s="56"/>
      <c r="F1709" s="57"/>
      <c r="G1709" s="57"/>
      <c r="H1709" s="56"/>
      <c r="I1709" s="56"/>
      <c r="J1709" s="58"/>
      <c r="K1709" s="58"/>
      <c r="L1709" s="13" t="str">
        <f t="shared" si="260"/>
        <v/>
      </c>
      <c r="M1709" s="13" t="str">
        <f t="shared" si="261"/>
        <v/>
      </c>
      <c r="Q1709" t="str">
        <f t="shared" si="262"/>
        <v/>
      </c>
      <c r="R1709" t="str">
        <f t="shared" si="263"/>
        <v/>
      </c>
      <c r="S1709" t="str">
        <f t="shared" si="264"/>
        <v/>
      </c>
      <c r="T1709" t="str">
        <f t="shared" si="265"/>
        <v/>
      </c>
      <c r="U1709" t="str">
        <f t="shared" si="266"/>
        <v/>
      </c>
      <c r="V1709" t="str">
        <f t="shared" si="267"/>
        <v/>
      </c>
      <c r="W1709" t="str">
        <f t="shared" si="268"/>
        <v/>
      </c>
      <c r="X1709">
        <f>IF($T1709="",N($X1708),IF(MATCH($T1709,$T$6:$T$10005,0)=ROW()-5,N($X1708)+1,N($X1708)))</f>
        <v>0</v>
      </c>
      <c r="Z1709" t="str">
        <f t="shared" si="269"/>
        <v/>
      </c>
      <c r="AA1709">
        <f>IF($V1709="",N($AA1708),IF(MATCH($V1709,$V$6:$V$10005,0)=ROW()-5,N($AA1708)+1,N($AA1708)))</f>
        <v>0</v>
      </c>
    </row>
    <row r="1710" spans="1:27" ht="21" customHeight="1" x14ac:dyDescent="0.95">
      <c r="A1710" s="56"/>
      <c r="B1710" s="57"/>
      <c r="C1710" s="57"/>
      <c r="D1710" s="57"/>
      <c r="E1710" s="56"/>
      <c r="F1710" s="57"/>
      <c r="G1710" s="57"/>
      <c r="H1710" s="56"/>
      <c r="I1710" s="56"/>
      <c r="J1710" s="58"/>
      <c r="K1710" s="58"/>
      <c r="L1710" s="13" t="str">
        <f t="shared" si="260"/>
        <v/>
      </c>
      <c r="M1710" s="13" t="str">
        <f t="shared" si="261"/>
        <v/>
      </c>
      <c r="Q1710" t="str">
        <f t="shared" si="262"/>
        <v/>
      </c>
      <c r="R1710" t="str">
        <f t="shared" si="263"/>
        <v/>
      </c>
      <c r="S1710" t="str">
        <f t="shared" si="264"/>
        <v/>
      </c>
      <c r="T1710" t="str">
        <f t="shared" si="265"/>
        <v/>
      </c>
      <c r="U1710" t="str">
        <f t="shared" si="266"/>
        <v/>
      </c>
      <c r="V1710" t="str">
        <f t="shared" si="267"/>
        <v/>
      </c>
      <c r="W1710" t="str">
        <f t="shared" si="268"/>
        <v/>
      </c>
      <c r="X1710">
        <f>IF($T1710="",N($X1709),IF(MATCH($T1710,$T$6:$T$10005,0)=ROW()-5,N($X1709)+1,N($X1709)))</f>
        <v>0</v>
      </c>
      <c r="Z1710" t="str">
        <f t="shared" si="269"/>
        <v/>
      </c>
      <c r="AA1710">
        <f>IF($V1710="",N($AA1709),IF(MATCH($V1710,$V$6:$V$10005,0)=ROW()-5,N($AA1709)+1,N($AA1709)))</f>
        <v>0</v>
      </c>
    </row>
    <row r="1711" spans="1:27" ht="21" customHeight="1" x14ac:dyDescent="0.95">
      <c r="A1711" s="56"/>
      <c r="B1711" s="57"/>
      <c r="C1711" s="57"/>
      <c r="D1711" s="57"/>
      <c r="E1711" s="56"/>
      <c r="F1711" s="57"/>
      <c r="G1711" s="57"/>
      <c r="H1711" s="56"/>
      <c r="I1711" s="56"/>
      <c r="J1711" s="58"/>
      <c r="K1711" s="58"/>
      <c r="L1711" s="13" t="str">
        <f t="shared" si="260"/>
        <v/>
      </c>
      <c r="M1711" s="13" t="str">
        <f t="shared" si="261"/>
        <v/>
      </c>
      <c r="Q1711" t="str">
        <f t="shared" si="262"/>
        <v/>
      </c>
      <c r="R1711" t="str">
        <f t="shared" si="263"/>
        <v/>
      </c>
      <c r="S1711" t="str">
        <f t="shared" si="264"/>
        <v/>
      </c>
      <c r="T1711" t="str">
        <f t="shared" si="265"/>
        <v/>
      </c>
      <c r="U1711" t="str">
        <f t="shared" si="266"/>
        <v/>
      </c>
      <c r="V1711" t="str">
        <f t="shared" si="267"/>
        <v/>
      </c>
      <c r="W1711" t="str">
        <f t="shared" si="268"/>
        <v/>
      </c>
      <c r="X1711">
        <f>IF($T1711="",N($X1710),IF(MATCH($T1711,$T$6:$T$10005,0)=ROW()-5,N($X1710)+1,N($X1710)))</f>
        <v>0</v>
      </c>
      <c r="Z1711" t="str">
        <f t="shared" si="269"/>
        <v/>
      </c>
      <c r="AA1711">
        <f>IF($V1711="",N($AA1710),IF(MATCH($V1711,$V$6:$V$10005,0)=ROW()-5,N($AA1710)+1,N($AA1710)))</f>
        <v>0</v>
      </c>
    </row>
    <row r="1712" spans="1:27" ht="21" customHeight="1" x14ac:dyDescent="0.95">
      <c r="A1712" s="56"/>
      <c r="B1712" s="57"/>
      <c r="C1712" s="57"/>
      <c r="D1712" s="57"/>
      <c r="E1712" s="56"/>
      <c r="F1712" s="57"/>
      <c r="G1712" s="57"/>
      <c r="H1712" s="56"/>
      <c r="I1712" s="56"/>
      <c r="J1712" s="58"/>
      <c r="K1712" s="58"/>
      <c r="L1712" s="13" t="str">
        <f t="shared" si="260"/>
        <v/>
      </c>
      <c r="M1712" s="13" t="str">
        <f t="shared" si="261"/>
        <v/>
      </c>
      <c r="Q1712" t="str">
        <f t="shared" si="262"/>
        <v/>
      </c>
      <c r="R1712" t="str">
        <f t="shared" si="263"/>
        <v/>
      </c>
      <c r="S1712" t="str">
        <f t="shared" si="264"/>
        <v/>
      </c>
      <c r="T1712" t="str">
        <f t="shared" si="265"/>
        <v/>
      </c>
      <c r="U1712" t="str">
        <f t="shared" si="266"/>
        <v/>
      </c>
      <c r="V1712" t="str">
        <f t="shared" si="267"/>
        <v/>
      </c>
      <c r="W1712" t="str">
        <f t="shared" si="268"/>
        <v/>
      </c>
      <c r="X1712">
        <f>IF($T1712="",N($X1711),IF(MATCH($T1712,$T$6:$T$10005,0)=ROW()-5,N($X1711)+1,N($X1711)))</f>
        <v>0</v>
      </c>
      <c r="Z1712" t="str">
        <f t="shared" si="269"/>
        <v/>
      </c>
      <c r="AA1712">
        <f>IF($V1712="",N($AA1711),IF(MATCH($V1712,$V$6:$V$10005,0)=ROW()-5,N($AA1711)+1,N($AA1711)))</f>
        <v>0</v>
      </c>
    </row>
    <row r="1713" spans="1:27" ht="21" customHeight="1" x14ac:dyDescent="0.95">
      <c r="A1713" s="56"/>
      <c r="B1713" s="57"/>
      <c r="C1713" s="57"/>
      <c r="D1713" s="57"/>
      <c r="E1713" s="56"/>
      <c r="F1713" s="57"/>
      <c r="G1713" s="57"/>
      <c r="H1713" s="56"/>
      <c r="I1713" s="56"/>
      <c r="J1713" s="58"/>
      <c r="K1713" s="58"/>
      <c r="L1713" s="13" t="str">
        <f t="shared" si="260"/>
        <v/>
      </c>
      <c r="M1713" s="13" t="str">
        <f t="shared" si="261"/>
        <v/>
      </c>
      <c r="Q1713" t="str">
        <f t="shared" si="262"/>
        <v/>
      </c>
      <c r="R1713" t="str">
        <f t="shared" si="263"/>
        <v/>
      </c>
      <c r="S1713" t="str">
        <f t="shared" si="264"/>
        <v/>
      </c>
      <c r="T1713" t="str">
        <f t="shared" si="265"/>
        <v/>
      </c>
      <c r="U1713" t="str">
        <f t="shared" si="266"/>
        <v/>
      </c>
      <c r="V1713" t="str">
        <f t="shared" si="267"/>
        <v/>
      </c>
      <c r="W1713" t="str">
        <f t="shared" si="268"/>
        <v/>
      </c>
      <c r="X1713">
        <f>IF($T1713="",N($X1712),IF(MATCH($T1713,$T$6:$T$10005,0)=ROW()-5,N($X1712)+1,N($X1712)))</f>
        <v>0</v>
      </c>
      <c r="Z1713" t="str">
        <f t="shared" si="269"/>
        <v/>
      </c>
      <c r="AA1713">
        <f>IF($V1713="",N($AA1712),IF(MATCH($V1713,$V$6:$V$10005,0)=ROW()-5,N($AA1712)+1,N($AA1712)))</f>
        <v>0</v>
      </c>
    </row>
    <row r="1714" spans="1:27" ht="21" customHeight="1" x14ac:dyDescent="0.95">
      <c r="A1714" s="56"/>
      <c r="B1714" s="57"/>
      <c r="C1714" s="57"/>
      <c r="D1714" s="57"/>
      <c r="E1714" s="56"/>
      <c r="F1714" s="57"/>
      <c r="G1714" s="57"/>
      <c r="H1714" s="56"/>
      <c r="I1714" s="56"/>
      <c r="J1714" s="58"/>
      <c r="K1714" s="58"/>
      <c r="L1714" s="13" t="str">
        <f t="shared" si="260"/>
        <v/>
      </c>
      <c r="M1714" s="13" t="str">
        <f t="shared" si="261"/>
        <v/>
      </c>
      <c r="Q1714" t="str">
        <f t="shared" si="262"/>
        <v/>
      </c>
      <c r="R1714" t="str">
        <f t="shared" si="263"/>
        <v/>
      </c>
      <c r="S1714" t="str">
        <f t="shared" si="264"/>
        <v/>
      </c>
      <c r="T1714" t="str">
        <f t="shared" si="265"/>
        <v/>
      </c>
      <c r="U1714" t="str">
        <f t="shared" si="266"/>
        <v/>
      </c>
      <c r="V1714" t="str">
        <f t="shared" si="267"/>
        <v/>
      </c>
      <c r="W1714" t="str">
        <f t="shared" si="268"/>
        <v/>
      </c>
      <c r="X1714">
        <f>IF($T1714="",N($X1713),IF(MATCH($T1714,$T$6:$T$10005,0)=ROW()-5,N($X1713)+1,N($X1713)))</f>
        <v>0</v>
      </c>
      <c r="Z1714" t="str">
        <f t="shared" si="269"/>
        <v/>
      </c>
      <c r="AA1714">
        <f>IF($V1714="",N($AA1713),IF(MATCH($V1714,$V$6:$V$10005,0)=ROW()-5,N($AA1713)+1,N($AA1713)))</f>
        <v>0</v>
      </c>
    </row>
    <row r="1715" spans="1:27" ht="21" customHeight="1" x14ac:dyDescent="0.95">
      <c r="A1715" s="56"/>
      <c r="B1715" s="57"/>
      <c r="C1715" s="57"/>
      <c r="D1715" s="57"/>
      <c r="E1715" s="56"/>
      <c r="F1715" s="57"/>
      <c r="G1715" s="57"/>
      <c r="H1715" s="56"/>
      <c r="I1715" s="56"/>
      <c r="J1715" s="58"/>
      <c r="K1715" s="58"/>
      <c r="L1715" s="13" t="str">
        <f t="shared" si="260"/>
        <v/>
      </c>
      <c r="M1715" s="13" t="str">
        <f t="shared" si="261"/>
        <v/>
      </c>
      <c r="Q1715" t="str">
        <f t="shared" si="262"/>
        <v/>
      </c>
      <c r="R1715" t="str">
        <f t="shared" si="263"/>
        <v/>
      </c>
      <c r="S1715" t="str">
        <f t="shared" si="264"/>
        <v/>
      </c>
      <c r="T1715" t="str">
        <f t="shared" si="265"/>
        <v/>
      </c>
      <c r="U1715" t="str">
        <f t="shared" si="266"/>
        <v/>
      </c>
      <c r="V1715" t="str">
        <f t="shared" si="267"/>
        <v/>
      </c>
      <c r="W1715" t="str">
        <f t="shared" si="268"/>
        <v/>
      </c>
      <c r="X1715">
        <f>IF($T1715="",N($X1714),IF(MATCH($T1715,$T$6:$T$10005,0)=ROW()-5,N($X1714)+1,N($X1714)))</f>
        <v>0</v>
      </c>
      <c r="Z1715" t="str">
        <f t="shared" si="269"/>
        <v/>
      </c>
      <c r="AA1715">
        <f>IF($V1715="",N($AA1714),IF(MATCH($V1715,$V$6:$V$10005,0)=ROW()-5,N($AA1714)+1,N($AA1714)))</f>
        <v>0</v>
      </c>
    </row>
    <row r="1716" spans="1:27" ht="21" customHeight="1" x14ac:dyDescent="0.95">
      <c r="A1716" s="56"/>
      <c r="B1716" s="57"/>
      <c r="C1716" s="57"/>
      <c r="D1716" s="57"/>
      <c r="E1716" s="56"/>
      <c r="F1716" s="57"/>
      <c r="G1716" s="57"/>
      <c r="H1716" s="56"/>
      <c r="I1716" s="56"/>
      <c r="J1716" s="58"/>
      <c r="K1716" s="58"/>
      <c r="L1716" s="13" t="str">
        <f t="shared" si="260"/>
        <v/>
      </c>
      <c r="M1716" s="13" t="str">
        <f t="shared" si="261"/>
        <v/>
      </c>
      <c r="Q1716" t="str">
        <f t="shared" si="262"/>
        <v/>
      </c>
      <c r="R1716" t="str">
        <f t="shared" si="263"/>
        <v/>
      </c>
      <c r="S1716" t="str">
        <f t="shared" si="264"/>
        <v/>
      </c>
      <c r="T1716" t="str">
        <f t="shared" si="265"/>
        <v/>
      </c>
      <c r="U1716" t="str">
        <f t="shared" si="266"/>
        <v/>
      </c>
      <c r="V1716" t="str">
        <f t="shared" si="267"/>
        <v/>
      </c>
      <c r="W1716" t="str">
        <f t="shared" si="268"/>
        <v/>
      </c>
      <c r="X1716">
        <f>IF($T1716="",N($X1715),IF(MATCH($T1716,$T$6:$T$10005,0)=ROW()-5,N($X1715)+1,N($X1715)))</f>
        <v>0</v>
      </c>
      <c r="Z1716" t="str">
        <f t="shared" si="269"/>
        <v/>
      </c>
      <c r="AA1716">
        <f>IF($V1716="",N($AA1715),IF(MATCH($V1716,$V$6:$V$10005,0)=ROW()-5,N($AA1715)+1,N($AA1715)))</f>
        <v>0</v>
      </c>
    </row>
    <row r="1717" spans="1:27" ht="21" customHeight="1" x14ac:dyDescent="0.95">
      <c r="A1717" s="56"/>
      <c r="B1717" s="57"/>
      <c r="C1717" s="57"/>
      <c r="D1717" s="57"/>
      <c r="E1717" s="56"/>
      <c r="F1717" s="57"/>
      <c r="G1717" s="57"/>
      <c r="H1717" s="56"/>
      <c r="I1717" s="56"/>
      <c r="J1717" s="58"/>
      <c r="K1717" s="58"/>
      <c r="L1717" s="13" t="str">
        <f t="shared" si="260"/>
        <v/>
      </c>
      <c r="M1717" s="13" t="str">
        <f t="shared" si="261"/>
        <v/>
      </c>
      <c r="Q1717" t="str">
        <f t="shared" si="262"/>
        <v/>
      </c>
      <c r="R1717" t="str">
        <f t="shared" si="263"/>
        <v/>
      </c>
      <c r="S1717" t="str">
        <f t="shared" si="264"/>
        <v/>
      </c>
      <c r="T1717" t="str">
        <f t="shared" si="265"/>
        <v/>
      </c>
      <c r="U1717" t="str">
        <f t="shared" si="266"/>
        <v/>
      </c>
      <c r="V1717" t="str">
        <f t="shared" si="267"/>
        <v/>
      </c>
      <c r="W1717" t="str">
        <f t="shared" si="268"/>
        <v/>
      </c>
      <c r="X1717">
        <f>IF($T1717="",N($X1716),IF(MATCH($T1717,$T$6:$T$10005,0)=ROW()-5,N($X1716)+1,N($X1716)))</f>
        <v>0</v>
      </c>
      <c r="Z1717" t="str">
        <f t="shared" si="269"/>
        <v/>
      </c>
      <c r="AA1717">
        <f>IF($V1717="",N($AA1716),IF(MATCH($V1717,$V$6:$V$10005,0)=ROW()-5,N($AA1716)+1,N($AA1716)))</f>
        <v>0</v>
      </c>
    </row>
    <row r="1718" spans="1:27" ht="21" customHeight="1" x14ac:dyDescent="0.95">
      <c r="A1718" s="56"/>
      <c r="B1718" s="57"/>
      <c r="C1718" s="57"/>
      <c r="D1718" s="57"/>
      <c r="E1718" s="56"/>
      <c r="F1718" s="57"/>
      <c r="G1718" s="57"/>
      <c r="H1718" s="56"/>
      <c r="I1718" s="56"/>
      <c r="J1718" s="58"/>
      <c r="K1718" s="58"/>
      <c r="L1718" s="13" t="str">
        <f t="shared" si="260"/>
        <v/>
      </c>
      <c r="M1718" s="13" t="str">
        <f t="shared" si="261"/>
        <v/>
      </c>
      <c r="Q1718" t="str">
        <f t="shared" si="262"/>
        <v/>
      </c>
      <c r="R1718" t="str">
        <f t="shared" si="263"/>
        <v/>
      </c>
      <c r="S1718" t="str">
        <f t="shared" si="264"/>
        <v/>
      </c>
      <c r="T1718" t="str">
        <f t="shared" si="265"/>
        <v/>
      </c>
      <c r="U1718" t="str">
        <f t="shared" si="266"/>
        <v/>
      </c>
      <c r="V1718" t="str">
        <f t="shared" si="267"/>
        <v/>
      </c>
      <c r="W1718" t="str">
        <f t="shared" si="268"/>
        <v/>
      </c>
      <c r="X1718">
        <f>IF($T1718="",N($X1717),IF(MATCH($T1718,$T$6:$T$10005,0)=ROW()-5,N($X1717)+1,N($X1717)))</f>
        <v>0</v>
      </c>
      <c r="Z1718" t="str">
        <f t="shared" si="269"/>
        <v/>
      </c>
      <c r="AA1718">
        <f>IF($V1718="",N($AA1717),IF(MATCH($V1718,$V$6:$V$10005,0)=ROW()-5,N($AA1717)+1,N($AA1717)))</f>
        <v>0</v>
      </c>
    </row>
    <row r="1719" spans="1:27" ht="21" customHeight="1" x14ac:dyDescent="0.95">
      <c r="A1719" s="56"/>
      <c r="B1719" s="57"/>
      <c r="C1719" s="57"/>
      <c r="D1719" s="57"/>
      <c r="E1719" s="56"/>
      <c r="F1719" s="57"/>
      <c r="G1719" s="57"/>
      <c r="H1719" s="56"/>
      <c r="I1719" s="56"/>
      <c r="J1719" s="58"/>
      <c r="K1719" s="58"/>
      <c r="L1719" s="13" t="str">
        <f t="shared" si="260"/>
        <v/>
      </c>
      <c r="M1719" s="13" t="str">
        <f t="shared" si="261"/>
        <v/>
      </c>
      <c r="Q1719" t="str">
        <f t="shared" si="262"/>
        <v/>
      </c>
      <c r="R1719" t="str">
        <f t="shared" si="263"/>
        <v/>
      </c>
      <c r="S1719" t="str">
        <f t="shared" si="264"/>
        <v/>
      </c>
      <c r="T1719" t="str">
        <f t="shared" si="265"/>
        <v/>
      </c>
      <c r="U1719" t="str">
        <f t="shared" si="266"/>
        <v/>
      </c>
      <c r="V1719" t="str">
        <f t="shared" si="267"/>
        <v/>
      </c>
      <c r="W1719" t="str">
        <f t="shared" si="268"/>
        <v/>
      </c>
      <c r="X1719">
        <f>IF($T1719="",N($X1718),IF(MATCH($T1719,$T$6:$T$10005,0)=ROW()-5,N($X1718)+1,N($X1718)))</f>
        <v>0</v>
      </c>
      <c r="Z1719" t="str">
        <f t="shared" si="269"/>
        <v/>
      </c>
      <c r="AA1719">
        <f>IF($V1719="",N($AA1718),IF(MATCH($V1719,$V$6:$V$10005,0)=ROW()-5,N($AA1718)+1,N($AA1718)))</f>
        <v>0</v>
      </c>
    </row>
    <row r="1720" spans="1:27" ht="21" customHeight="1" x14ac:dyDescent="0.95">
      <c r="A1720" s="56"/>
      <c r="B1720" s="57"/>
      <c r="C1720" s="57"/>
      <c r="D1720" s="57"/>
      <c r="E1720" s="56"/>
      <c r="F1720" s="57"/>
      <c r="G1720" s="57"/>
      <c r="H1720" s="56"/>
      <c r="I1720" s="56"/>
      <c r="J1720" s="58"/>
      <c r="K1720" s="58"/>
      <c r="L1720" s="13" t="str">
        <f t="shared" si="260"/>
        <v/>
      </c>
      <c r="M1720" s="13" t="str">
        <f t="shared" si="261"/>
        <v/>
      </c>
      <c r="Q1720" t="str">
        <f t="shared" si="262"/>
        <v/>
      </c>
      <c r="R1720" t="str">
        <f t="shared" si="263"/>
        <v/>
      </c>
      <c r="S1720" t="str">
        <f t="shared" si="264"/>
        <v/>
      </c>
      <c r="T1720" t="str">
        <f t="shared" si="265"/>
        <v/>
      </c>
      <c r="U1720" t="str">
        <f t="shared" si="266"/>
        <v/>
      </c>
      <c r="V1720" t="str">
        <f t="shared" si="267"/>
        <v/>
      </c>
      <c r="W1720" t="str">
        <f t="shared" si="268"/>
        <v/>
      </c>
      <c r="X1720">
        <f>IF($T1720="",N($X1719),IF(MATCH($T1720,$T$6:$T$10005,0)=ROW()-5,N($X1719)+1,N($X1719)))</f>
        <v>0</v>
      </c>
      <c r="Z1720" t="str">
        <f t="shared" si="269"/>
        <v/>
      </c>
      <c r="AA1720">
        <f>IF($V1720="",N($AA1719),IF(MATCH($V1720,$V$6:$V$10005,0)=ROW()-5,N($AA1719)+1,N($AA1719)))</f>
        <v>0</v>
      </c>
    </row>
    <row r="1721" spans="1:27" ht="21" customHeight="1" x14ac:dyDescent="0.95">
      <c r="A1721" s="56"/>
      <c r="B1721" s="57"/>
      <c r="C1721" s="57"/>
      <c r="D1721" s="57"/>
      <c r="E1721" s="56"/>
      <c r="F1721" s="57"/>
      <c r="G1721" s="57"/>
      <c r="H1721" s="56"/>
      <c r="I1721" s="56"/>
      <c r="J1721" s="58"/>
      <c r="K1721" s="58"/>
      <c r="L1721" s="13" t="str">
        <f t="shared" si="260"/>
        <v/>
      </c>
      <c r="M1721" s="13" t="str">
        <f t="shared" si="261"/>
        <v/>
      </c>
      <c r="Q1721" t="str">
        <f t="shared" si="262"/>
        <v/>
      </c>
      <c r="R1721" t="str">
        <f t="shared" si="263"/>
        <v/>
      </c>
      <c r="S1721" t="str">
        <f t="shared" si="264"/>
        <v/>
      </c>
      <c r="T1721" t="str">
        <f t="shared" si="265"/>
        <v/>
      </c>
      <c r="U1721" t="str">
        <f t="shared" si="266"/>
        <v/>
      </c>
      <c r="V1721" t="str">
        <f t="shared" si="267"/>
        <v/>
      </c>
      <c r="W1721" t="str">
        <f t="shared" si="268"/>
        <v/>
      </c>
      <c r="X1721">
        <f>IF($T1721="",N($X1720),IF(MATCH($T1721,$T$6:$T$10005,0)=ROW()-5,N($X1720)+1,N($X1720)))</f>
        <v>0</v>
      </c>
      <c r="Z1721" t="str">
        <f t="shared" si="269"/>
        <v/>
      </c>
      <c r="AA1721">
        <f>IF($V1721="",N($AA1720),IF(MATCH($V1721,$V$6:$V$10005,0)=ROW()-5,N($AA1720)+1,N($AA1720)))</f>
        <v>0</v>
      </c>
    </row>
    <row r="1722" spans="1:27" ht="21" customHeight="1" x14ac:dyDescent="0.95">
      <c r="A1722" s="56"/>
      <c r="B1722" s="57"/>
      <c r="C1722" s="57"/>
      <c r="D1722" s="57"/>
      <c r="E1722" s="56"/>
      <c r="F1722" s="57"/>
      <c r="G1722" s="57"/>
      <c r="H1722" s="56"/>
      <c r="I1722" s="56"/>
      <c r="J1722" s="58"/>
      <c r="K1722" s="58"/>
      <c r="L1722" s="13" t="str">
        <f t="shared" si="260"/>
        <v/>
      </c>
      <c r="M1722" s="13" t="str">
        <f t="shared" si="261"/>
        <v/>
      </c>
      <c r="Q1722" t="str">
        <f t="shared" si="262"/>
        <v/>
      </c>
      <c r="R1722" t="str">
        <f t="shared" si="263"/>
        <v/>
      </c>
      <c r="S1722" t="str">
        <f t="shared" si="264"/>
        <v/>
      </c>
      <c r="T1722" t="str">
        <f t="shared" si="265"/>
        <v/>
      </c>
      <c r="U1722" t="str">
        <f t="shared" si="266"/>
        <v/>
      </c>
      <c r="V1722" t="str">
        <f t="shared" si="267"/>
        <v/>
      </c>
      <c r="W1722" t="str">
        <f t="shared" si="268"/>
        <v/>
      </c>
      <c r="X1722">
        <f>IF($T1722="",N($X1721),IF(MATCH($T1722,$T$6:$T$10005,0)=ROW()-5,N($X1721)+1,N($X1721)))</f>
        <v>0</v>
      </c>
      <c r="Z1722" t="str">
        <f t="shared" si="269"/>
        <v/>
      </c>
      <c r="AA1722">
        <f>IF($V1722="",N($AA1721),IF(MATCH($V1722,$V$6:$V$10005,0)=ROW()-5,N($AA1721)+1,N($AA1721)))</f>
        <v>0</v>
      </c>
    </row>
    <row r="1723" spans="1:27" ht="21" customHeight="1" x14ac:dyDescent="0.95">
      <c r="A1723" s="56"/>
      <c r="B1723" s="57"/>
      <c r="C1723" s="57"/>
      <c r="D1723" s="57"/>
      <c r="E1723" s="56"/>
      <c r="F1723" s="57"/>
      <c r="G1723" s="57"/>
      <c r="H1723" s="56"/>
      <c r="I1723" s="56"/>
      <c r="J1723" s="58"/>
      <c r="K1723" s="58"/>
      <c r="L1723" s="13" t="str">
        <f t="shared" si="260"/>
        <v/>
      </c>
      <c r="M1723" s="13" t="str">
        <f t="shared" si="261"/>
        <v/>
      </c>
      <c r="Q1723" t="str">
        <f t="shared" si="262"/>
        <v/>
      </c>
      <c r="R1723" t="str">
        <f t="shared" si="263"/>
        <v/>
      </c>
      <c r="S1723" t="str">
        <f t="shared" si="264"/>
        <v/>
      </c>
      <c r="T1723" t="str">
        <f t="shared" si="265"/>
        <v/>
      </c>
      <c r="U1723" t="str">
        <f t="shared" si="266"/>
        <v/>
      </c>
      <c r="V1723" t="str">
        <f t="shared" si="267"/>
        <v/>
      </c>
      <c r="W1723" t="str">
        <f t="shared" si="268"/>
        <v/>
      </c>
      <c r="X1723">
        <f>IF($T1723="",N($X1722),IF(MATCH($T1723,$T$6:$T$10005,0)=ROW()-5,N($X1722)+1,N($X1722)))</f>
        <v>0</v>
      </c>
      <c r="Z1723" t="str">
        <f t="shared" si="269"/>
        <v/>
      </c>
      <c r="AA1723">
        <f>IF($V1723="",N($AA1722),IF(MATCH($V1723,$V$6:$V$10005,0)=ROW()-5,N($AA1722)+1,N($AA1722)))</f>
        <v>0</v>
      </c>
    </row>
    <row r="1724" spans="1:27" ht="21" customHeight="1" x14ac:dyDescent="0.95">
      <c r="A1724" s="56"/>
      <c r="B1724" s="57"/>
      <c r="C1724" s="57"/>
      <c r="D1724" s="57"/>
      <c r="E1724" s="56"/>
      <c r="F1724" s="57"/>
      <c r="G1724" s="57"/>
      <c r="H1724" s="56"/>
      <c r="I1724" s="56"/>
      <c r="J1724" s="58"/>
      <c r="K1724" s="58"/>
      <c r="L1724" s="13" t="str">
        <f t="shared" si="260"/>
        <v/>
      </c>
      <c r="M1724" s="13" t="str">
        <f t="shared" si="261"/>
        <v/>
      </c>
      <c r="Q1724" t="str">
        <f t="shared" si="262"/>
        <v/>
      </c>
      <c r="R1724" t="str">
        <f t="shared" si="263"/>
        <v/>
      </c>
      <c r="S1724" t="str">
        <f t="shared" si="264"/>
        <v/>
      </c>
      <c r="T1724" t="str">
        <f t="shared" si="265"/>
        <v/>
      </c>
      <c r="U1724" t="str">
        <f t="shared" si="266"/>
        <v/>
      </c>
      <c r="V1724" t="str">
        <f t="shared" si="267"/>
        <v/>
      </c>
      <c r="W1724" t="str">
        <f t="shared" si="268"/>
        <v/>
      </c>
      <c r="X1724">
        <f>IF($T1724="",N($X1723),IF(MATCH($T1724,$T$6:$T$10005,0)=ROW()-5,N($X1723)+1,N($X1723)))</f>
        <v>0</v>
      </c>
      <c r="Z1724" t="str">
        <f t="shared" si="269"/>
        <v/>
      </c>
      <c r="AA1724">
        <f>IF($V1724="",N($AA1723),IF(MATCH($V1724,$V$6:$V$10005,0)=ROW()-5,N($AA1723)+1,N($AA1723)))</f>
        <v>0</v>
      </c>
    </row>
    <row r="1725" spans="1:27" ht="21" customHeight="1" x14ac:dyDescent="0.95">
      <c r="A1725" s="56"/>
      <c r="B1725" s="57"/>
      <c r="C1725" s="57"/>
      <c r="D1725" s="57"/>
      <c r="E1725" s="56"/>
      <c r="F1725" s="57"/>
      <c r="G1725" s="57"/>
      <c r="H1725" s="56"/>
      <c r="I1725" s="56"/>
      <c r="J1725" s="58"/>
      <c r="K1725" s="58"/>
      <c r="L1725" s="13" t="str">
        <f t="shared" si="260"/>
        <v/>
      </c>
      <c r="M1725" s="13" t="str">
        <f t="shared" si="261"/>
        <v/>
      </c>
      <c r="Q1725" t="str">
        <f t="shared" si="262"/>
        <v/>
      </c>
      <c r="R1725" t="str">
        <f t="shared" si="263"/>
        <v/>
      </c>
      <c r="S1725" t="str">
        <f t="shared" si="264"/>
        <v/>
      </c>
      <c r="T1725" t="str">
        <f t="shared" si="265"/>
        <v/>
      </c>
      <c r="U1725" t="str">
        <f t="shared" si="266"/>
        <v/>
      </c>
      <c r="V1725" t="str">
        <f t="shared" si="267"/>
        <v/>
      </c>
      <c r="W1725" t="str">
        <f t="shared" si="268"/>
        <v/>
      </c>
      <c r="X1725">
        <f>IF($T1725="",N($X1724),IF(MATCH($T1725,$T$6:$T$10005,0)=ROW()-5,N($X1724)+1,N($X1724)))</f>
        <v>0</v>
      </c>
      <c r="Z1725" t="str">
        <f t="shared" si="269"/>
        <v/>
      </c>
      <c r="AA1725">
        <f>IF($V1725="",N($AA1724),IF(MATCH($V1725,$V$6:$V$10005,0)=ROW()-5,N($AA1724)+1,N($AA1724)))</f>
        <v>0</v>
      </c>
    </row>
    <row r="1726" spans="1:27" ht="21" customHeight="1" x14ac:dyDescent="0.95">
      <c r="A1726" s="56"/>
      <c r="B1726" s="57"/>
      <c r="C1726" s="57"/>
      <c r="D1726" s="57"/>
      <c r="E1726" s="56"/>
      <c r="F1726" s="57"/>
      <c r="G1726" s="57"/>
      <c r="H1726" s="56"/>
      <c r="I1726" s="56"/>
      <c r="J1726" s="58"/>
      <c r="K1726" s="58"/>
      <c r="L1726" s="13" t="str">
        <f t="shared" si="260"/>
        <v/>
      </c>
      <c r="M1726" s="13" t="str">
        <f t="shared" si="261"/>
        <v/>
      </c>
      <c r="Q1726" t="str">
        <f t="shared" si="262"/>
        <v/>
      </c>
      <c r="R1726" t="str">
        <f t="shared" si="263"/>
        <v/>
      </c>
      <c r="S1726" t="str">
        <f t="shared" si="264"/>
        <v/>
      </c>
      <c r="T1726" t="str">
        <f t="shared" si="265"/>
        <v/>
      </c>
      <c r="U1726" t="str">
        <f t="shared" si="266"/>
        <v/>
      </c>
      <c r="V1726" t="str">
        <f t="shared" si="267"/>
        <v/>
      </c>
      <c r="W1726" t="str">
        <f t="shared" si="268"/>
        <v/>
      </c>
      <c r="X1726">
        <f>IF($T1726="",N($X1725),IF(MATCH($T1726,$T$6:$T$10005,0)=ROW()-5,N($X1725)+1,N($X1725)))</f>
        <v>0</v>
      </c>
      <c r="Z1726" t="str">
        <f t="shared" si="269"/>
        <v/>
      </c>
      <c r="AA1726">
        <f>IF($V1726="",N($AA1725),IF(MATCH($V1726,$V$6:$V$10005,0)=ROW()-5,N($AA1725)+1,N($AA1725)))</f>
        <v>0</v>
      </c>
    </row>
    <row r="1727" spans="1:27" ht="21" customHeight="1" x14ac:dyDescent="0.95">
      <c r="A1727" s="56"/>
      <c r="B1727" s="57"/>
      <c r="C1727" s="57"/>
      <c r="D1727" s="57"/>
      <c r="E1727" s="56"/>
      <c r="F1727" s="57"/>
      <c r="G1727" s="57"/>
      <c r="H1727" s="56"/>
      <c r="I1727" s="56"/>
      <c r="J1727" s="58"/>
      <c r="K1727" s="58"/>
      <c r="L1727" s="13" t="str">
        <f t="shared" si="260"/>
        <v/>
      </c>
      <c r="M1727" s="13" t="str">
        <f t="shared" si="261"/>
        <v/>
      </c>
      <c r="Q1727" t="str">
        <f t="shared" si="262"/>
        <v/>
      </c>
      <c r="R1727" t="str">
        <f t="shared" si="263"/>
        <v/>
      </c>
      <c r="S1727" t="str">
        <f t="shared" si="264"/>
        <v/>
      </c>
      <c r="T1727" t="str">
        <f t="shared" si="265"/>
        <v/>
      </c>
      <c r="U1727" t="str">
        <f t="shared" si="266"/>
        <v/>
      </c>
      <c r="V1727" t="str">
        <f t="shared" si="267"/>
        <v/>
      </c>
      <c r="W1727" t="str">
        <f t="shared" si="268"/>
        <v/>
      </c>
      <c r="X1727">
        <f>IF($T1727="",N($X1726),IF(MATCH($T1727,$T$6:$T$10005,0)=ROW()-5,N($X1726)+1,N($X1726)))</f>
        <v>0</v>
      </c>
      <c r="Z1727" t="str">
        <f t="shared" si="269"/>
        <v/>
      </c>
      <c r="AA1727">
        <f>IF($V1727="",N($AA1726),IF(MATCH($V1727,$V$6:$V$10005,0)=ROW()-5,N($AA1726)+1,N($AA1726)))</f>
        <v>0</v>
      </c>
    </row>
    <row r="1728" spans="1:27" ht="21" customHeight="1" x14ac:dyDescent="0.95">
      <c r="A1728" s="56"/>
      <c r="B1728" s="57"/>
      <c r="C1728" s="57"/>
      <c r="D1728" s="57"/>
      <c r="E1728" s="56"/>
      <c r="F1728" s="57"/>
      <c r="G1728" s="57"/>
      <c r="H1728" s="56"/>
      <c r="I1728" s="56"/>
      <c r="J1728" s="58"/>
      <c r="K1728" s="58"/>
      <c r="L1728" s="13" t="str">
        <f t="shared" si="260"/>
        <v/>
      </c>
      <c r="M1728" s="13" t="str">
        <f t="shared" si="261"/>
        <v/>
      </c>
      <c r="Q1728" t="str">
        <f t="shared" si="262"/>
        <v/>
      </c>
      <c r="R1728" t="str">
        <f t="shared" si="263"/>
        <v/>
      </c>
      <c r="S1728" t="str">
        <f t="shared" si="264"/>
        <v/>
      </c>
      <c r="T1728" t="str">
        <f t="shared" si="265"/>
        <v/>
      </c>
      <c r="U1728" t="str">
        <f t="shared" si="266"/>
        <v/>
      </c>
      <c r="V1728" t="str">
        <f t="shared" si="267"/>
        <v/>
      </c>
      <c r="W1728" t="str">
        <f t="shared" si="268"/>
        <v/>
      </c>
      <c r="X1728">
        <f>IF($T1728="",N($X1727),IF(MATCH($T1728,$T$6:$T$10005,0)=ROW()-5,N($X1727)+1,N($X1727)))</f>
        <v>0</v>
      </c>
      <c r="Z1728" t="str">
        <f t="shared" si="269"/>
        <v/>
      </c>
      <c r="AA1728">
        <f>IF($V1728="",N($AA1727),IF(MATCH($V1728,$V$6:$V$10005,0)=ROW()-5,N($AA1727)+1,N($AA1727)))</f>
        <v>0</v>
      </c>
    </row>
    <row r="1729" spans="1:27" ht="21" customHeight="1" x14ac:dyDescent="0.95">
      <c r="A1729" s="56"/>
      <c r="B1729" s="57"/>
      <c r="C1729" s="57"/>
      <c r="D1729" s="57"/>
      <c r="E1729" s="56"/>
      <c r="F1729" s="57"/>
      <c r="G1729" s="57"/>
      <c r="H1729" s="56"/>
      <c r="I1729" s="56"/>
      <c r="J1729" s="58"/>
      <c r="K1729" s="58"/>
      <c r="L1729" s="13" t="str">
        <f t="shared" si="260"/>
        <v/>
      </c>
      <c r="M1729" s="13" t="str">
        <f t="shared" si="261"/>
        <v/>
      </c>
      <c r="Q1729" t="str">
        <f t="shared" si="262"/>
        <v/>
      </c>
      <c r="R1729" t="str">
        <f t="shared" si="263"/>
        <v/>
      </c>
      <c r="S1729" t="str">
        <f t="shared" si="264"/>
        <v/>
      </c>
      <c r="T1729" t="str">
        <f t="shared" si="265"/>
        <v/>
      </c>
      <c r="U1729" t="str">
        <f t="shared" si="266"/>
        <v/>
      </c>
      <c r="V1729" t="str">
        <f t="shared" si="267"/>
        <v/>
      </c>
      <c r="W1729" t="str">
        <f t="shared" si="268"/>
        <v/>
      </c>
      <c r="X1729">
        <f>IF($T1729="",N($X1728),IF(MATCH($T1729,$T$6:$T$10005,0)=ROW()-5,N($X1728)+1,N($X1728)))</f>
        <v>0</v>
      </c>
      <c r="Z1729" t="str">
        <f t="shared" si="269"/>
        <v/>
      </c>
      <c r="AA1729">
        <f>IF($V1729="",N($AA1728),IF(MATCH($V1729,$V$6:$V$10005,0)=ROW()-5,N($AA1728)+1,N($AA1728)))</f>
        <v>0</v>
      </c>
    </row>
    <row r="1730" spans="1:27" ht="21" customHeight="1" x14ac:dyDescent="0.95">
      <c r="A1730" s="56"/>
      <c r="B1730" s="57"/>
      <c r="C1730" s="57"/>
      <c r="D1730" s="57"/>
      <c r="E1730" s="56"/>
      <c r="F1730" s="57"/>
      <c r="G1730" s="57"/>
      <c r="H1730" s="56"/>
      <c r="I1730" s="56"/>
      <c r="J1730" s="58"/>
      <c r="K1730" s="58"/>
      <c r="L1730" s="13" t="str">
        <f t="shared" si="260"/>
        <v/>
      </c>
      <c r="M1730" s="13" t="str">
        <f t="shared" si="261"/>
        <v/>
      </c>
      <c r="Q1730" t="str">
        <f t="shared" si="262"/>
        <v/>
      </c>
      <c r="R1730" t="str">
        <f t="shared" si="263"/>
        <v/>
      </c>
      <c r="S1730" t="str">
        <f t="shared" si="264"/>
        <v/>
      </c>
      <c r="T1730" t="str">
        <f t="shared" si="265"/>
        <v/>
      </c>
      <c r="U1730" t="str">
        <f t="shared" si="266"/>
        <v/>
      </c>
      <c r="V1730" t="str">
        <f t="shared" si="267"/>
        <v/>
      </c>
      <c r="W1730" t="str">
        <f t="shared" si="268"/>
        <v/>
      </c>
      <c r="X1730">
        <f>IF($T1730="",N($X1729),IF(MATCH($T1730,$T$6:$T$10005,0)=ROW()-5,N($X1729)+1,N($X1729)))</f>
        <v>0</v>
      </c>
      <c r="Z1730" t="str">
        <f t="shared" si="269"/>
        <v/>
      </c>
      <c r="AA1730">
        <f>IF($V1730="",N($AA1729),IF(MATCH($V1730,$V$6:$V$10005,0)=ROW()-5,N($AA1729)+1,N($AA1729)))</f>
        <v>0</v>
      </c>
    </row>
    <row r="1731" spans="1:27" ht="21" customHeight="1" x14ac:dyDescent="0.95">
      <c r="A1731" s="56"/>
      <c r="B1731" s="57"/>
      <c r="C1731" s="57"/>
      <c r="D1731" s="57"/>
      <c r="E1731" s="56"/>
      <c r="F1731" s="57"/>
      <c r="G1731" s="57"/>
      <c r="H1731" s="56"/>
      <c r="I1731" s="56"/>
      <c r="J1731" s="58"/>
      <c r="K1731" s="58"/>
      <c r="L1731" s="13" t="str">
        <f t="shared" si="260"/>
        <v/>
      </c>
      <c r="M1731" s="13" t="str">
        <f t="shared" si="261"/>
        <v/>
      </c>
      <c r="Q1731" t="str">
        <f t="shared" si="262"/>
        <v/>
      </c>
      <c r="R1731" t="str">
        <f t="shared" si="263"/>
        <v/>
      </c>
      <c r="S1731" t="str">
        <f t="shared" si="264"/>
        <v/>
      </c>
      <c r="T1731" t="str">
        <f t="shared" si="265"/>
        <v/>
      </c>
      <c r="U1731" t="str">
        <f t="shared" si="266"/>
        <v/>
      </c>
      <c r="V1731" t="str">
        <f t="shared" si="267"/>
        <v/>
      </c>
      <c r="W1731" t="str">
        <f t="shared" si="268"/>
        <v/>
      </c>
      <c r="X1731">
        <f>IF($T1731="",N($X1730),IF(MATCH($T1731,$T$6:$T$10005,0)=ROW()-5,N($X1730)+1,N($X1730)))</f>
        <v>0</v>
      </c>
      <c r="Z1731" t="str">
        <f t="shared" si="269"/>
        <v/>
      </c>
      <c r="AA1731">
        <f>IF($V1731="",N($AA1730),IF(MATCH($V1731,$V$6:$V$10005,0)=ROW()-5,N($AA1730)+1,N($AA1730)))</f>
        <v>0</v>
      </c>
    </row>
    <row r="1732" spans="1:27" ht="21" customHeight="1" x14ac:dyDescent="0.95">
      <c r="A1732" s="56"/>
      <c r="B1732" s="57"/>
      <c r="C1732" s="57"/>
      <c r="D1732" s="57"/>
      <c r="E1732" s="56"/>
      <c r="F1732" s="57"/>
      <c r="G1732" s="57"/>
      <c r="H1732" s="56"/>
      <c r="I1732" s="56"/>
      <c r="J1732" s="58"/>
      <c r="K1732" s="58"/>
      <c r="L1732" s="13" t="str">
        <f t="shared" si="260"/>
        <v/>
      </c>
      <c r="M1732" s="13" t="str">
        <f t="shared" si="261"/>
        <v/>
      </c>
      <c r="Q1732" t="str">
        <f t="shared" si="262"/>
        <v/>
      </c>
      <c r="R1732" t="str">
        <f t="shared" si="263"/>
        <v/>
      </c>
      <c r="S1732" t="str">
        <f t="shared" si="264"/>
        <v/>
      </c>
      <c r="T1732" t="str">
        <f t="shared" si="265"/>
        <v/>
      </c>
      <c r="U1732" t="str">
        <f t="shared" si="266"/>
        <v/>
      </c>
      <c r="V1732" t="str">
        <f t="shared" si="267"/>
        <v/>
      </c>
      <c r="W1732" t="str">
        <f t="shared" si="268"/>
        <v/>
      </c>
      <c r="X1732">
        <f>IF($T1732="",N($X1731),IF(MATCH($T1732,$T$6:$T$10005,0)=ROW()-5,N($X1731)+1,N($X1731)))</f>
        <v>0</v>
      </c>
      <c r="Z1732" t="str">
        <f t="shared" si="269"/>
        <v/>
      </c>
      <c r="AA1732">
        <f>IF($V1732="",N($AA1731),IF(MATCH($V1732,$V$6:$V$10005,0)=ROW()-5,N($AA1731)+1,N($AA1731)))</f>
        <v>0</v>
      </c>
    </row>
    <row r="1733" spans="1:27" ht="21" customHeight="1" x14ac:dyDescent="0.95">
      <c r="A1733" s="56"/>
      <c r="B1733" s="57"/>
      <c r="C1733" s="57"/>
      <c r="D1733" s="57"/>
      <c r="E1733" s="56"/>
      <c r="F1733" s="57"/>
      <c r="G1733" s="57"/>
      <c r="H1733" s="56"/>
      <c r="I1733" s="56"/>
      <c r="J1733" s="58"/>
      <c r="K1733" s="58"/>
      <c r="L1733" s="13" t="str">
        <f t="shared" si="260"/>
        <v/>
      </c>
      <c r="M1733" s="13" t="str">
        <f t="shared" si="261"/>
        <v/>
      </c>
      <c r="Q1733" t="str">
        <f t="shared" si="262"/>
        <v/>
      </c>
      <c r="R1733" t="str">
        <f t="shared" si="263"/>
        <v/>
      </c>
      <c r="S1733" t="str">
        <f t="shared" si="264"/>
        <v/>
      </c>
      <c r="T1733" t="str">
        <f t="shared" si="265"/>
        <v/>
      </c>
      <c r="U1733" t="str">
        <f t="shared" si="266"/>
        <v/>
      </c>
      <c r="V1733" t="str">
        <f t="shared" si="267"/>
        <v/>
      </c>
      <c r="W1733" t="str">
        <f t="shared" si="268"/>
        <v/>
      </c>
      <c r="X1733">
        <f>IF($T1733="",N($X1732),IF(MATCH($T1733,$T$6:$T$10005,0)=ROW()-5,N($X1732)+1,N($X1732)))</f>
        <v>0</v>
      </c>
      <c r="Z1733" t="str">
        <f t="shared" si="269"/>
        <v/>
      </c>
      <c r="AA1733">
        <f>IF($V1733="",N($AA1732),IF(MATCH($V1733,$V$6:$V$10005,0)=ROW()-5,N($AA1732)+1,N($AA1732)))</f>
        <v>0</v>
      </c>
    </row>
    <row r="1734" spans="1:27" ht="21" customHeight="1" x14ac:dyDescent="0.95">
      <c r="A1734" s="56"/>
      <c r="B1734" s="57"/>
      <c r="C1734" s="57"/>
      <c r="D1734" s="57"/>
      <c r="E1734" s="56"/>
      <c r="F1734" s="57"/>
      <c r="G1734" s="57"/>
      <c r="H1734" s="56"/>
      <c r="I1734" s="56"/>
      <c r="J1734" s="58"/>
      <c r="K1734" s="58"/>
      <c r="L1734" s="13" t="str">
        <f t="shared" ref="L1734:L1797" si="270">IF(OR($A1734="",AND($J1734="",$K1734="")),"",ROUND(N($J1734)-N($K1734),2))</f>
        <v/>
      </c>
      <c r="M1734" s="13" t="str">
        <f t="shared" ref="M1734:M1797" si="271">IF(OR($A1734="",AND($J1734="",$K1734="")),"",MIN($J1734,$K1734))</f>
        <v/>
      </c>
      <c r="Q1734" t="str">
        <f t="shared" ref="Q1734:Q1797" si="272">IF($A1734="","",$D1734&amp;"("&amp;SUBSTITUTE($E1734," ","")&amp;")")</f>
        <v/>
      </c>
      <c r="R1734" t="str">
        <f t="shared" ref="R1734:R1797" si="273">IF($A1734="","",$B1734&amp;" - "&amp;$C1734)</f>
        <v/>
      </c>
      <c r="S1734" t="str">
        <f t="shared" ref="S1734:S1797" si="274">IF($A1734="","",$R1734&amp;"|"&amp;$Q1734)</f>
        <v/>
      </c>
      <c r="T1734" t="str">
        <f t="shared" ref="T1734:T1797" si="275">IF($A1734="","",$S1734&amp;"|"&amp;$F1734)</f>
        <v/>
      </c>
      <c r="U1734" t="str">
        <f t="shared" ref="U1734:U1797" si="276">IF($A1734="","",$R1734&amp;"("&amp;$E1734&amp;")")</f>
        <v/>
      </c>
      <c r="V1734" t="str">
        <f t="shared" ref="V1734:V1797" si="277">IF($A1734="","",$F1734&amp;"|"&amp;$U1734&amp;"|"&amp;$D1734)</f>
        <v/>
      </c>
      <c r="W1734" t="str">
        <f t="shared" ref="W1734:W1797" si="278">IF($T1734="","",IF($X1734&gt;N($X1733),$X1734,""))</f>
        <v/>
      </c>
      <c r="X1734">
        <f>IF($T1734="",N($X1733),IF(MATCH($T1734,$T$6:$T$10005,0)=ROW()-5,N($X1733)+1,N($X1733)))</f>
        <v>0</v>
      </c>
      <c r="Z1734" t="str">
        <f t="shared" ref="Z1734:Z1797" si="279">IF($V1734="","",IF($AA1734&gt;N($AA1733),$AA1734,""))</f>
        <v/>
      </c>
      <c r="AA1734">
        <f>IF($V1734="",N($AA1733),IF(MATCH($V1734,$V$6:$V$10005,0)=ROW()-5,N($AA1733)+1,N($AA1733)))</f>
        <v>0</v>
      </c>
    </row>
    <row r="1735" spans="1:27" ht="21" customHeight="1" x14ac:dyDescent="0.95">
      <c r="A1735" s="56"/>
      <c r="B1735" s="57"/>
      <c r="C1735" s="57"/>
      <c r="D1735" s="57"/>
      <c r="E1735" s="56"/>
      <c r="F1735" s="57"/>
      <c r="G1735" s="57"/>
      <c r="H1735" s="56"/>
      <c r="I1735" s="56"/>
      <c r="J1735" s="58"/>
      <c r="K1735" s="58"/>
      <c r="L1735" s="13" t="str">
        <f t="shared" si="270"/>
        <v/>
      </c>
      <c r="M1735" s="13" t="str">
        <f t="shared" si="271"/>
        <v/>
      </c>
      <c r="Q1735" t="str">
        <f t="shared" si="272"/>
        <v/>
      </c>
      <c r="R1735" t="str">
        <f t="shared" si="273"/>
        <v/>
      </c>
      <c r="S1735" t="str">
        <f t="shared" si="274"/>
        <v/>
      </c>
      <c r="T1735" t="str">
        <f t="shared" si="275"/>
        <v/>
      </c>
      <c r="U1735" t="str">
        <f t="shared" si="276"/>
        <v/>
      </c>
      <c r="V1735" t="str">
        <f t="shared" si="277"/>
        <v/>
      </c>
      <c r="W1735" t="str">
        <f t="shared" si="278"/>
        <v/>
      </c>
      <c r="X1735">
        <f>IF($T1735="",N($X1734),IF(MATCH($T1735,$T$6:$T$10005,0)=ROW()-5,N($X1734)+1,N($X1734)))</f>
        <v>0</v>
      </c>
      <c r="Z1735" t="str">
        <f t="shared" si="279"/>
        <v/>
      </c>
      <c r="AA1735">
        <f>IF($V1735="",N($AA1734),IF(MATCH($V1735,$V$6:$V$10005,0)=ROW()-5,N($AA1734)+1,N($AA1734)))</f>
        <v>0</v>
      </c>
    </row>
    <row r="1736" spans="1:27" ht="21" customHeight="1" x14ac:dyDescent="0.95">
      <c r="A1736" s="56"/>
      <c r="B1736" s="57"/>
      <c r="C1736" s="57"/>
      <c r="D1736" s="57"/>
      <c r="E1736" s="56"/>
      <c r="F1736" s="57"/>
      <c r="G1736" s="57"/>
      <c r="H1736" s="56"/>
      <c r="I1736" s="56"/>
      <c r="J1736" s="58"/>
      <c r="K1736" s="58"/>
      <c r="L1736" s="13" t="str">
        <f t="shared" si="270"/>
        <v/>
      </c>
      <c r="M1736" s="13" t="str">
        <f t="shared" si="271"/>
        <v/>
      </c>
      <c r="Q1736" t="str">
        <f t="shared" si="272"/>
        <v/>
      </c>
      <c r="R1736" t="str">
        <f t="shared" si="273"/>
        <v/>
      </c>
      <c r="S1736" t="str">
        <f t="shared" si="274"/>
        <v/>
      </c>
      <c r="T1736" t="str">
        <f t="shared" si="275"/>
        <v/>
      </c>
      <c r="U1736" t="str">
        <f t="shared" si="276"/>
        <v/>
      </c>
      <c r="V1736" t="str">
        <f t="shared" si="277"/>
        <v/>
      </c>
      <c r="W1736" t="str">
        <f t="shared" si="278"/>
        <v/>
      </c>
      <c r="X1736">
        <f>IF($T1736="",N($X1735),IF(MATCH($T1736,$T$6:$T$10005,0)=ROW()-5,N($X1735)+1,N($X1735)))</f>
        <v>0</v>
      </c>
      <c r="Z1736" t="str">
        <f t="shared" si="279"/>
        <v/>
      </c>
      <c r="AA1736">
        <f>IF($V1736="",N($AA1735),IF(MATCH($V1736,$V$6:$V$10005,0)=ROW()-5,N($AA1735)+1,N($AA1735)))</f>
        <v>0</v>
      </c>
    </row>
    <row r="1737" spans="1:27" ht="21" customHeight="1" x14ac:dyDescent="0.95">
      <c r="A1737" s="56"/>
      <c r="B1737" s="57"/>
      <c r="C1737" s="57"/>
      <c r="D1737" s="57"/>
      <c r="E1737" s="56"/>
      <c r="F1737" s="57"/>
      <c r="G1737" s="57"/>
      <c r="H1737" s="56"/>
      <c r="I1737" s="56"/>
      <c r="J1737" s="58"/>
      <c r="K1737" s="58"/>
      <c r="L1737" s="13" t="str">
        <f t="shared" si="270"/>
        <v/>
      </c>
      <c r="M1737" s="13" t="str">
        <f t="shared" si="271"/>
        <v/>
      </c>
      <c r="Q1737" t="str">
        <f t="shared" si="272"/>
        <v/>
      </c>
      <c r="R1737" t="str">
        <f t="shared" si="273"/>
        <v/>
      </c>
      <c r="S1737" t="str">
        <f t="shared" si="274"/>
        <v/>
      </c>
      <c r="T1737" t="str">
        <f t="shared" si="275"/>
        <v/>
      </c>
      <c r="U1737" t="str">
        <f t="shared" si="276"/>
        <v/>
      </c>
      <c r="V1737" t="str">
        <f t="shared" si="277"/>
        <v/>
      </c>
      <c r="W1737" t="str">
        <f t="shared" si="278"/>
        <v/>
      </c>
      <c r="X1737">
        <f>IF($T1737="",N($X1736),IF(MATCH($T1737,$T$6:$T$10005,0)=ROW()-5,N($X1736)+1,N($X1736)))</f>
        <v>0</v>
      </c>
      <c r="Z1737" t="str">
        <f t="shared" si="279"/>
        <v/>
      </c>
      <c r="AA1737">
        <f>IF($V1737="",N($AA1736),IF(MATCH($V1737,$V$6:$V$10005,0)=ROW()-5,N($AA1736)+1,N($AA1736)))</f>
        <v>0</v>
      </c>
    </row>
    <row r="1738" spans="1:27" ht="21" customHeight="1" x14ac:dyDescent="0.95">
      <c r="A1738" s="56"/>
      <c r="B1738" s="57"/>
      <c r="C1738" s="57"/>
      <c r="D1738" s="57"/>
      <c r="E1738" s="56"/>
      <c r="F1738" s="57"/>
      <c r="G1738" s="57"/>
      <c r="H1738" s="56"/>
      <c r="I1738" s="56"/>
      <c r="J1738" s="58"/>
      <c r="K1738" s="58"/>
      <c r="L1738" s="13" t="str">
        <f t="shared" si="270"/>
        <v/>
      </c>
      <c r="M1738" s="13" t="str">
        <f t="shared" si="271"/>
        <v/>
      </c>
      <c r="Q1738" t="str">
        <f t="shared" si="272"/>
        <v/>
      </c>
      <c r="R1738" t="str">
        <f t="shared" si="273"/>
        <v/>
      </c>
      <c r="S1738" t="str">
        <f t="shared" si="274"/>
        <v/>
      </c>
      <c r="T1738" t="str">
        <f t="shared" si="275"/>
        <v/>
      </c>
      <c r="U1738" t="str">
        <f t="shared" si="276"/>
        <v/>
      </c>
      <c r="V1738" t="str">
        <f t="shared" si="277"/>
        <v/>
      </c>
      <c r="W1738" t="str">
        <f t="shared" si="278"/>
        <v/>
      </c>
      <c r="X1738">
        <f>IF($T1738="",N($X1737),IF(MATCH($T1738,$T$6:$T$10005,0)=ROW()-5,N($X1737)+1,N($X1737)))</f>
        <v>0</v>
      </c>
      <c r="Z1738" t="str">
        <f t="shared" si="279"/>
        <v/>
      </c>
      <c r="AA1738">
        <f>IF($V1738="",N($AA1737),IF(MATCH($V1738,$V$6:$V$10005,0)=ROW()-5,N($AA1737)+1,N($AA1737)))</f>
        <v>0</v>
      </c>
    </row>
    <row r="1739" spans="1:27" ht="21" customHeight="1" x14ac:dyDescent="0.95">
      <c r="A1739" s="56"/>
      <c r="B1739" s="57"/>
      <c r="C1739" s="57"/>
      <c r="D1739" s="57"/>
      <c r="E1739" s="56"/>
      <c r="F1739" s="57"/>
      <c r="G1739" s="57"/>
      <c r="H1739" s="56"/>
      <c r="I1739" s="56"/>
      <c r="J1739" s="58"/>
      <c r="K1739" s="58"/>
      <c r="L1739" s="13" t="str">
        <f t="shared" si="270"/>
        <v/>
      </c>
      <c r="M1739" s="13" t="str">
        <f t="shared" si="271"/>
        <v/>
      </c>
      <c r="Q1739" t="str">
        <f t="shared" si="272"/>
        <v/>
      </c>
      <c r="R1739" t="str">
        <f t="shared" si="273"/>
        <v/>
      </c>
      <c r="S1739" t="str">
        <f t="shared" si="274"/>
        <v/>
      </c>
      <c r="T1739" t="str">
        <f t="shared" si="275"/>
        <v/>
      </c>
      <c r="U1739" t="str">
        <f t="shared" si="276"/>
        <v/>
      </c>
      <c r="V1739" t="str">
        <f t="shared" si="277"/>
        <v/>
      </c>
      <c r="W1739" t="str">
        <f t="shared" si="278"/>
        <v/>
      </c>
      <c r="X1739">
        <f>IF($T1739="",N($X1738),IF(MATCH($T1739,$T$6:$T$10005,0)=ROW()-5,N($X1738)+1,N($X1738)))</f>
        <v>0</v>
      </c>
      <c r="Z1739" t="str">
        <f t="shared" si="279"/>
        <v/>
      </c>
      <c r="AA1739">
        <f>IF($V1739="",N($AA1738),IF(MATCH($V1739,$V$6:$V$10005,0)=ROW()-5,N($AA1738)+1,N($AA1738)))</f>
        <v>0</v>
      </c>
    </row>
    <row r="1740" spans="1:27" ht="21" customHeight="1" x14ac:dyDescent="0.95">
      <c r="A1740" s="56"/>
      <c r="B1740" s="57"/>
      <c r="C1740" s="57"/>
      <c r="D1740" s="57"/>
      <c r="E1740" s="56"/>
      <c r="F1740" s="57"/>
      <c r="G1740" s="57"/>
      <c r="H1740" s="56"/>
      <c r="I1740" s="56"/>
      <c r="J1740" s="58"/>
      <c r="K1740" s="58"/>
      <c r="L1740" s="13" t="str">
        <f t="shared" si="270"/>
        <v/>
      </c>
      <c r="M1740" s="13" t="str">
        <f t="shared" si="271"/>
        <v/>
      </c>
      <c r="Q1740" t="str">
        <f t="shared" si="272"/>
        <v/>
      </c>
      <c r="R1740" t="str">
        <f t="shared" si="273"/>
        <v/>
      </c>
      <c r="S1740" t="str">
        <f t="shared" si="274"/>
        <v/>
      </c>
      <c r="T1740" t="str">
        <f t="shared" si="275"/>
        <v/>
      </c>
      <c r="U1740" t="str">
        <f t="shared" si="276"/>
        <v/>
      </c>
      <c r="V1740" t="str">
        <f t="shared" si="277"/>
        <v/>
      </c>
      <c r="W1740" t="str">
        <f t="shared" si="278"/>
        <v/>
      </c>
      <c r="X1740">
        <f>IF($T1740="",N($X1739),IF(MATCH($T1740,$T$6:$T$10005,0)=ROW()-5,N($X1739)+1,N($X1739)))</f>
        <v>0</v>
      </c>
      <c r="Z1740" t="str">
        <f t="shared" si="279"/>
        <v/>
      </c>
      <c r="AA1740">
        <f>IF($V1740="",N($AA1739),IF(MATCH($V1740,$V$6:$V$10005,0)=ROW()-5,N($AA1739)+1,N($AA1739)))</f>
        <v>0</v>
      </c>
    </row>
    <row r="1741" spans="1:27" ht="21" customHeight="1" x14ac:dyDescent="0.95">
      <c r="A1741" s="56"/>
      <c r="B1741" s="57"/>
      <c r="C1741" s="57"/>
      <c r="D1741" s="57"/>
      <c r="E1741" s="56"/>
      <c r="F1741" s="57"/>
      <c r="G1741" s="57"/>
      <c r="H1741" s="56"/>
      <c r="I1741" s="56"/>
      <c r="J1741" s="58"/>
      <c r="K1741" s="58"/>
      <c r="L1741" s="13" t="str">
        <f t="shared" si="270"/>
        <v/>
      </c>
      <c r="M1741" s="13" t="str">
        <f t="shared" si="271"/>
        <v/>
      </c>
      <c r="Q1741" t="str">
        <f t="shared" si="272"/>
        <v/>
      </c>
      <c r="R1741" t="str">
        <f t="shared" si="273"/>
        <v/>
      </c>
      <c r="S1741" t="str">
        <f t="shared" si="274"/>
        <v/>
      </c>
      <c r="T1741" t="str">
        <f t="shared" si="275"/>
        <v/>
      </c>
      <c r="U1741" t="str">
        <f t="shared" si="276"/>
        <v/>
      </c>
      <c r="V1741" t="str">
        <f t="shared" si="277"/>
        <v/>
      </c>
      <c r="W1741" t="str">
        <f t="shared" si="278"/>
        <v/>
      </c>
      <c r="X1741">
        <f>IF($T1741="",N($X1740),IF(MATCH($T1741,$T$6:$T$10005,0)=ROW()-5,N($X1740)+1,N($X1740)))</f>
        <v>0</v>
      </c>
      <c r="Z1741" t="str">
        <f t="shared" si="279"/>
        <v/>
      </c>
      <c r="AA1741">
        <f>IF($V1741="",N($AA1740),IF(MATCH($V1741,$V$6:$V$10005,0)=ROW()-5,N($AA1740)+1,N($AA1740)))</f>
        <v>0</v>
      </c>
    </row>
    <row r="1742" spans="1:27" ht="21" customHeight="1" x14ac:dyDescent="0.95">
      <c r="A1742" s="56"/>
      <c r="B1742" s="57"/>
      <c r="C1742" s="57"/>
      <c r="D1742" s="57"/>
      <c r="E1742" s="56"/>
      <c r="F1742" s="57"/>
      <c r="G1742" s="57"/>
      <c r="H1742" s="56"/>
      <c r="I1742" s="56"/>
      <c r="J1742" s="58"/>
      <c r="K1742" s="58"/>
      <c r="L1742" s="13" t="str">
        <f t="shared" si="270"/>
        <v/>
      </c>
      <c r="M1742" s="13" t="str">
        <f t="shared" si="271"/>
        <v/>
      </c>
      <c r="Q1742" t="str">
        <f t="shared" si="272"/>
        <v/>
      </c>
      <c r="R1742" t="str">
        <f t="shared" si="273"/>
        <v/>
      </c>
      <c r="S1742" t="str">
        <f t="shared" si="274"/>
        <v/>
      </c>
      <c r="T1742" t="str">
        <f t="shared" si="275"/>
        <v/>
      </c>
      <c r="U1742" t="str">
        <f t="shared" si="276"/>
        <v/>
      </c>
      <c r="V1742" t="str">
        <f t="shared" si="277"/>
        <v/>
      </c>
      <c r="W1742" t="str">
        <f t="shared" si="278"/>
        <v/>
      </c>
      <c r="X1742">
        <f>IF($T1742="",N($X1741),IF(MATCH($T1742,$T$6:$T$10005,0)=ROW()-5,N($X1741)+1,N($X1741)))</f>
        <v>0</v>
      </c>
      <c r="Z1742" t="str">
        <f t="shared" si="279"/>
        <v/>
      </c>
      <c r="AA1742">
        <f>IF($V1742="",N($AA1741),IF(MATCH($V1742,$V$6:$V$10005,0)=ROW()-5,N($AA1741)+1,N($AA1741)))</f>
        <v>0</v>
      </c>
    </row>
    <row r="1743" spans="1:27" ht="21" customHeight="1" x14ac:dyDescent="0.95">
      <c r="A1743" s="56"/>
      <c r="B1743" s="57"/>
      <c r="C1743" s="57"/>
      <c r="D1743" s="57"/>
      <c r="E1743" s="56"/>
      <c r="F1743" s="57"/>
      <c r="G1743" s="57"/>
      <c r="H1743" s="56"/>
      <c r="I1743" s="56"/>
      <c r="J1743" s="58"/>
      <c r="K1743" s="58"/>
      <c r="L1743" s="13" t="str">
        <f t="shared" si="270"/>
        <v/>
      </c>
      <c r="M1743" s="13" t="str">
        <f t="shared" si="271"/>
        <v/>
      </c>
      <c r="Q1743" t="str">
        <f t="shared" si="272"/>
        <v/>
      </c>
      <c r="R1743" t="str">
        <f t="shared" si="273"/>
        <v/>
      </c>
      <c r="S1743" t="str">
        <f t="shared" si="274"/>
        <v/>
      </c>
      <c r="T1743" t="str">
        <f t="shared" si="275"/>
        <v/>
      </c>
      <c r="U1743" t="str">
        <f t="shared" si="276"/>
        <v/>
      </c>
      <c r="V1743" t="str">
        <f t="shared" si="277"/>
        <v/>
      </c>
      <c r="W1743" t="str">
        <f t="shared" si="278"/>
        <v/>
      </c>
      <c r="X1743">
        <f>IF($T1743="",N($X1742),IF(MATCH($T1743,$T$6:$T$10005,0)=ROW()-5,N($X1742)+1,N($X1742)))</f>
        <v>0</v>
      </c>
      <c r="Z1743" t="str">
        <f t="shared" si="279"/>
        <v/>
      </c>
      <c r="AA1743">
        <f>IF($V1743="",N($AA1742),IF(MATCH($V1743,$V$6:$V$10005,0)=ROW()-5,N($AA1742)+1,N($AA1742)))</f>
        <v>0</v>
      </c>
    </row>
    <row r="1744" spans="1:27" ht="21" customHeight="1" x14ac:dyDescent="0.95">
      <c r="A1744" s="56"/>
      <c r="B1744" s="57"/>
      <c r="C1744" s="57"/>
      <c r="D1744" s="57"/>
      <c r="E1744" s="56"/>
      <c r="F1744" s="57"/>
      <c r="G1744" s="57"/>
      <c r="H1744" s="56"/>
      <c r="I1744" s="56"/>
      <c r="J1744" s="58"/>
      <c r="K1744" s="58"/>
      <c r="L1744" s="13" t="str">
        <f t="shared" si="270"/>
        <v/>
      </c>
      <c r="M1744" s="13" t="str">
        <f t="shared" si="271"/>
        <v/>
      </c>
      <c r="Q1744" t="str">
        <f t="shared" si="272"/>
        <v/>
      </c>
      <c r="R1744" t="str">
        <f t="shared" si="273"/>
        <v/>
      </c>
      <c r="S1744" t="str">
        <f t="shared" si="274"/>
        <v/>
      </c>
      <c r="T1744" t="str">
        <f t="shared" si="275"/>
        <v/>
      </c>
      <c r="U1744" t="str">
        <f t="shared" si="276"/>
        <v/>
      </c>
      <c r="V1744" t="str">
        <f t="shared" si="277"/>
        <v/>
      </c>
      <c r="W1744" t="str">
        <f t="shared" si="278"/>
        <v/>
      </c>
      <c r="X1744">
        <f>IF($T1744="",N($X1743),IF(MATCH($T1744,$T$6:$T$10005,0)=ROW()-5,N($X1743)+1,N($X1743)))</f>
        <v>0</v>
      </c>
      <c r="Z1744" t="str">
        <f t="shared" si="279"/>
        <v/>
      </c>
      <c r="AA1744">
        <f>IF($V1744="",N($AA1743),IF(MATCH($V1744,$V$6:$V$10005,0)=ROW()-5,N($AA1743)+1,N($AA1743)))</f>
        <v>0</v>
      </c>
    </row>
    <row r="1745" spans="1:27" ht="21" customHeight="1" x14ac:dyDescent="0.95">
      <c r="A1745" s="56"/>
      <c r="B1745" s="57"/>
      <c r="C1745" s="57"/>
      <c r="D1745" s="57"/>
      <c r="E1745" s="56"/>
      <c r="F1745" s="57"/>
      <c r="G1745" s="57"/>
      <c r="H1745" s="56"/>
      <c r="I1745" s="56"/>
      <c r="J1745" s="58"/>
      <c r="K1745" s="58"/>
      <c r="L1745" s="13" t="str">
        <f t="shared" si="270"/>
        <v/>
      </c>
      <c r="M1745" s="13" t="str">
        <f t="shared" si="271"/>
        <v/>
      </c>
      <c r="Q1745" t="str">
        <f t="shared" si="272"/>
        <v/>
      </c>
      <c r="R1745" t="str">
        <f t="shared" si="273"/>
        <v/>
      </c>
      <c r="S1745" t="str">
        <f t="shared" si="274"/>
        <v/>
      </c>
      <c r="T1745" t="str">
        <f t="shared" si="275"/>
        <v/>
      </c>
      <c r="U1745" t="str">
        <f t="shared" si="276"/>
        <v/>
      </c>
      <c r="V1745" t="str">
        <f t="shared" si="277"/>
        <v/>
      </c>
      <c r="W1745" t="str">
        <f t="shared" si="278"/>
        <v/>
      </c>
      <c r="X1745">
        <f>IF($T1745="",N($X1744),IF(MATCH($T1745,$T$6:$T$10005,0)=ROW()-5,N($X1744)+1,N($X1744)))</f>
        <v>0</v>
      </c>
      <c r="Z1745" t="str">
        <f t="shared" si="279"/>
        <v/>
      </c>
      <c r="AA1745">
        <f>IF($V1745="",N($AA1744),IF(MATCH($V1745,$V$6:$V$10005,0)=ROW()-5,N($AA1744)+1,N($AA1744)))</f>
        <v>0</v>
      </c>
    </row>
    <row r="1746" spans="1:27" ht="21" customHeight="1" x14ac:dyDescent="0.95">
      <c r="A1746" s="56"/>
      <c r="B1746" s="57"/>
      <c r="C1746" s="57"/>
      <c r="D1746" s="57"/>
      <c r="E1746" s="56"/>
      <c r="F1746" s="57"/>
      <c r="G1746" s="57"/>
      <c r="H1746" s="56"/>
      <c r="I1746" s="56"/>
      <c r="J1746" s="58"/>
      <c r="K1746" s="58"/>
      <c r="L1746" s="13" t="str">
        <f t="shared" si="270"/>
        <v/>
      </c>
      <c r="M1746" s="13" t="str">
        <f t="shared" si="271"/>
        <v/>
      </c>
      <c r="Q1746" t="str">
        <f t="shared" si="272"/>
        <v/>
      </c>
      <c r="R1746" t="str">
        <f t="shared" si="273"/>
        <v/>
      </c>
      <c r="S1746" t="str">
        <f t="shared" si="274"/>
        <v/>
      </c>
      <c r="T1746" t="str">
        <f t="shared" si="275"/>
        <v/>
      </c>
      <c r="U1746" t="str">
        <f t="shared" si="276"/>
        <v/>
      </c>
      <c r="V1746" t="str">
        <f t="shared" si="277"/>
        <v/>
      </c>
      <c r="W1746" t="str">
        <f t="shared" si="278"/>
        <v/>
      </c>
      <c r="X1746">
        <f>IF($T1746="",N($X1745),IF(MATCH($T1746,$T$6:$T$10005,0)=ROW()-5,N($X1745)+1,N($X1745)))</f>
        <v>0</v>
      </c>
      <c r="Z1746" t="str">
        <f t="shared" si="279"/>
        <v/>
      </c>
      <c r="AA1746">
        <f>IF($V1746="",N($AA1745),IF(MATCH($V1746,$V$6:$V$10005,0)=ROW()-5,N($AA1745)+1,N($AA1745)))</f>
        <v>0</v>
      </c>
    </row>
    <row r="1747" spans="1:27" ht="21" customHeight="1" x14ac:dyDescent="0.95">
      <c r="A1747" s="56"/>
      <c r="B1747" s="57"/>
      <c r="C1747" s="57"/>
      <c r="D1747" s="57"/>
      <c r="E1747" s="56"/>
      <c r="F1747" s="57"/>
      <c r="G1747" s="57"/>
      <c r="H1747" s="56"/>
      <c r="I1747" s="56"/>
      <c r="J1747" s="58"/>
      <c r="K1747" s="58"/>
      <c r="L1747" s="13" t="str">
        <f t="shared" si="270"/>
        <v/>
      </c>
      <c r="M1747" s="13" t="str">
        <f t="shared" si="271"/>
        <v/>
      </c>
      <c r="Q1747" t="str">
        <f t="shared" si="272"/>
        <v/>
      </c>
      <c r="R1747" t="str">
        <f t="shared" si="273"/>
        <v/>
      </c>
      <c r="S1747" t="str">
        <f t="shared" si="274"/>
        <v/>
      </c>
      <c r="T1747" t="str">
        <f t="shared" si="275"/>
        <v/>
      </c>
      <c r="U1747" t="str">
        <f t="shared" si="276"/>
        <v/>
      </c>
      <c r="V1747" t="str">
        <f t="shared" si="277"/>
        <v/>
      </c>
      <c r="W1747" t="str">
        <f t="shared" si="278"/>
        <v/>
      </c>
      <c r="X1747">
        <f>IF($T1747="",N($X1746),IF(MATCH($T1747,$T$6:$T$10005,0)=ROW()-5,N($X1746)+1,N($X1746)))</f>
        <v>0</v>
      </c>
      <c r="Z1747" t="str">
        <f t="shared" si="279"/>
        <v/>
      </c>
      <c r="AA1747">
        <f>IF($V1747="",N($AA1746),IF(MATCH($V1747,$V$6:$V$10005,0)=ROW()-5,N($AA1746)+1,N($AA1746)))</f>
        <v>0</v>
      </c>
    </row>
    <row r="1748" spans="1:27" ht="21" customHeight="1" x14ac:dyDescent="0.95">
      <c r="A1748" s="56"/>
      <c r="B1748" s="57"/>
      <c r="C1748" s="57"/>
      <c r="D1748" s="57"/>
      <c r="E1748" s="56"/>
      <c r="F1748" s="57"/>
      <c r="G1748" s="57"/>
      <c r="H1748" s="56"/>
      <c r="I1748" s="56"/>
      <c r="J1748" s="58"/>
      <c r="K1748" s="58"/>
      <c r="L1748" s="13" t="str">
        <f t="shared" si="270"/>
        <v/>
      </c>
      <c r="M1748" s="13" t="str">
        <f t="shared" si="271"/>
        <v/>
      </c>
      <c r="Q1748" t="str">
        <f t="shared" si="272"/>
        <v/>
      </c>
      <c r="R1748" t="str">
        <f t="shared" si="273"/>
        <v/>
      </c>
      <c r="S1748" t="str">
        <f t="shared" si="274"/>
        <v/>
      </c>
      <c r="T1748" t="str">
        <f t="shared" si="275"/>
        <v/>
      </c>
      <c r="U1748" t="str">
        <f t="shared" si="276"/>
        <v/>
      </c>
      <c r="V1748" t="str">
        <f t="shared" si="277"/>
        <v/>
      </c>
      <c r="W1748" t="str">
        <f t="shared" si="278"/>
        <v/>
      </c>
      <c r="X1748">
        <f>IF($T1748="",N($X1747),IF(MATCH($T1748,$T$6:$T$10005,0)=ROW()-5,N($X1747)+1,N($X1747)))</f>
        <v>0</v>
      </c>
      <c r="Z1748" t="str">
        <f t="shared" si="279"/>
        <v/>
      </c>
      <c r="AA1748">
        <f>IF($V1748="",N($AA1747),IF(MATCH($V1748,$V$6:$V$10005,0)=ROW()-5,N($AA1747)+1,N($AA1747)))</f>
        <v>0</v>
      </c>
    </row>
    <row r="1749" spans="1:27" ht="21" customHeight="1" x14ac:dyDescent="0.95">
      <c r="A1749" s="56"/>
      <c r="B1749" s="57"/>
      <c r="C1749" s="57"/>
      <c r="D1749" s="57"/>
      <c r="E1749" s="56"/>
      <c r="F1749" s="57"/>
      <c r="G1749" s="57"/>
      <c r="H1749" s="56"/>
      <c r="I1749" s="56"/>
      <c r="J1749" s="58"/>
      <c r="K1749" s="58"/>
      <c r="L1749" s="13" t="str">
        <f t="shared" si="270"/>
        <v/>
      </c>
      <c r="M1749" s="13" t="str">
        <f t="shared" si="271"/>
        <v/>
      </c>
      <c r="Q1749" t="str">
        <f t="shared" si="272"/>
        <v/>
      </c>
      <c r="R1749" t="str">
        <f t="shared" si="273"/>
        <v/>
      </c>
      <c r="S1749" t="str">
        <f t="shared" si="274"/>
        <v/>
      </c>
      <c r="T1749" t="str">
        <f t="shared" si="275"/>
        <v/>
      </c>
      <c r="U1749" t="str">
        <f t="shared" si="276"/>
        <v/>
      </c>
      <c r="V1749" t="str">
        <f t="shared" si="277"/>
        <v/>
      </c>
      <c r="W1749" t="str">
        <f t="shared" si="278"/>
        <v/>
      </c>
      <c r="X1749">
        <f>IF($T1749="",N($X1748),IF(MATCH($T1749,$T$6:$T$10005,0)=ROW()-5,N($X1748)+1,N($X1748)))</f>
        <v>0</v>
      </c>
      <c r="Z1749" t="str">
        <f t="shared" si="279"/>
        <v/>
      </c>
      <c r="AA1749">
        <f>IF($V1749="",N($AA1748),IF(MATCH($V1749,$V$6:$V$10005,0)=ROW()-5,N($AA1748)+1,N($AA1748)))</f>
        <v>0</v>
      </c>
    </row>
    <row r="1750" spans="1:27" ht="21" customHeight="1" x14ac:dyDescent="0.95">
      <c r="A1750" s="56"/>
      <c r="B1750" s="57"/>
      <c r="C1750" s="57"/>
      <c r="D1750" s="57"/>
      <c r="E1750" s="56"/>
      <c r="F1750" s="57"/>
      <c r="G1750" s="57"/>
      <c r="H1750" s="56"/>
      <c r="I1750" s="56"/>
      <c r="J1750" s="58"/>
      <c r="K1750" s="58"/>
      <c r="L1750" s="13" t="str">
        <f t="shared" si="270"/>
        <v/>
      </c>
      <c r="M1750" s="13" t="str">
        <f t="shared" si="271"/>
        <v/>
      </c>
      <c r="Q1750" t="str">
        <f t="shared" si="272"/>
        <v/>
      </c>
      <c r="R1750" t="str">
        <f t="shared" si="273"/>
        <v/>
      </c>
      <c r="S1750" t="str">
        <f t="shared" si="274"/>
        <v/>
      </c>
      <c r="T1750" t="str">
        <f t="shared" si="275"/>
        <v/>
      </c>
      <c r="U1750" t="str">
        <f t="shared" si="276"/>
        <v/>
      </c>
      <c r="V1750" t="str">
        <f t="shared" si="277"/>
        <v/>
      </c>
      <c r="W1750" t="str">
        <f t="shared" si="278"/>
        <v/>
      </c>
      <c r="X1750">
        <f>IF($T1750="",N($X1749),IF(MATCH($T1750,$T$6:$T$10005,0)=ROW()-5,N($X1749)+1,N($X1749)))</f>
        <v>0</v>
      </c>
      <c r="Z1750" t="str">
        <f t="shared" si="279"/>
        <v/>
      </c>
      <c r="AA1750">
        <f>IF($V1750="",N($AA1749),IF(MATCH($V1750,$V$6:$V$10005,0)=ROW()-5,N($AA1749)+1,N($AA1749)))</f>
        <v>0</v>
      </c>
    </row>
    <row r="1751" spans="1:27" ht="21" customHeight="1" x14ac:dyDescent="0.95">
      <c r="A1751" s="56"/>
      <c r="B1751" s="57"/>
      <c r="C1751" s="57"/>
      <c r="D1751" s="57"/>
      <c r="E1751" s="56"/>
      <c r="F1751" s="57"/>
      <c r="G1751" s="57"/>
      <c r="H1751" s="56"/>
      <c r="I1751" s="56"/>
      <c r="J1751" s="58"/>
      <c r="K1751" s="58"/>
      <c r="L1751" s="13" t="str">
        <f t="shared" si="270"/>
        <v/>
      </c>
      <c r="M1751" s="13" t="str">
        <f t="shared" si="271"/>
        <v/>
      </c>
      <c r="Q1751" t="str">
        <f t="shared" si="272"/>
        <v/>
      </c>
      <c r="R1751" t="str">
        <f t="shared" si="273"/>
        <v/>
      </c>
      <c r="S1751" t="str">
        <f t="shared" si="274"/>
        <v/>
      </c>
      <c r="T1751" t="str">
        <f t="shared" si="275"/>
        <v/>
      </c>
      <c r="U1751" t="str">
        <f t="shared" si="276"/>
        <v/>
      </c>
      <c r="V1751" t="str">
        <f t="shared" si="277"/>
        <v/>
      </c>
      <c r="W1751" t="str">
        <f t="shared" si="278"/>
        <v/>
      </c>
      <c r="X1751">
        <f>IF($T1751="",N($X1750),IF(MATCH($T1751,$T$6:$T$10005,0)=ROW()-5,N($X1750)+1,N($X1750)))</f>
        <v>0</v>
      </c>
      <c r="Z1751" t="str">
        <f t="shared" si="279"/>
        <v/>
      </c>
      <c r="AA1751">
        <f>IF($V1751="",N($AA1750),IF(MATCH($V1751,$V$6:$V$10005,0)=ROW()-5,N($AA1750)+1,N($AA1750)))</f>
        <v>0</v>
      </c>
    </row>
    <row r="1752" spans="1:27" ht="21" customHeight="1" x14ac:dyDescent="0.95">
      <c r="A1752" s="56"/>
      <c r="B1752" s="57"/>
      <c r="C1752" s="57"/>
      <c r="D1752" s="57"/>
      <c r="E1752" s="56"/>
      <c r="F1752" s="57"/>
      <c r="G1752" s="57"/>
      <c r="H1752" s="56"/>
      <c r="I1752" s="56"/>
      <c r="J1752" s="58"/>
      <c r="K1752" s="58"/>
      <c r="L1752" s="13" t="str">
        <f t="shared" si="270"/>
        <v/>
      </c>
      <c r="M1752" s="13" t="str">
        <f t="shared" si="271"/>
        <v/>
      </c>
      <c r="Q1752" t="str">
        <f t="shared" si="272"/>
        <v/>
      </c>
      <c r="R1752" t="str">
        <f t="shared" si="273"/>
        <v/>
      </c>
      <c r="S1752" t="str">
        <f t="shared" si="274"/>
        <v/>
      </c>
      <c r="T1752" t="str">
        <f t="shared" si="275"/>
        <v/>
      </c>
      <c r="U1752" t="str">
        <f t="shared" si="276"/>
        <v/>
      </c>
      <c r="V1752" t="str">
        <f t="shared" si="277"/>
        <v/>
      </c>
      <c r="W1752" t="str">
        <f t="shared" si="278"/>
        <v/>
      </c>
      <c r="X1752">
        <f>IF($T1752="",N($X1751),IF(MATCH($T1752,$T$6:$T$10005,0)=ROW()-5,N($X1751)+1,N($X1751)))</f>
        <v>0</v>
      </c>
      <c r="Z1752" t="str">
        <f t="shared" si="279"/>
        <v/>
      </c>
      <c r="AA1752">
        <f>IF($V1752="",N($AA1751),IF(MATCH($V1752,$V$6:$V$10005,0)=ROW()-5,N($AA1751)+1,N($AA1751)))</f>
        <v>0</v>
      </c>
    </row>
    <row r="1753" spans="1:27" ht="21" customHeight="1" x14ac:dyDescent="0.95">
      <c r="A1753" s="56"/>
      <c r="B1753" s="57"/>
      <c r="C1753" s="57"/>
      <c r="D1753" s="57"/>
      <c r="E1753" s="56"/>
      <c r="F1753" s="57"/>
      <c r="G1753" s="57"/>
      <c r="H1753" s="56"/>
      <c r="I1753" s="56"/>
      <c r="J1753" s="58"/>
      <c r="K1753" s="58"/>
      <c r="L1753" s="13" t="str">
        <f t="shared" si="270"/>
        <v/>
      </c>
      <c r="M1753" s="13" t="str">
        <f t="shared" si="271"/>
        <v/>
      </c>
      <c r="Q1753" t="str">
        <f t="shared" si="272"/>
        <v/>
      </c>
      <c r="R1753" t="str">
        <f t="shared" si="273"/>
        <v/>
      </c>
      <c r="S1753" t="str">
        <f t="shared" si="274"/>
        <v/>
      </c>
      <c r="T1753" t="str">
        <f t="shared" si="275"/>
        <v/>
      </c>
      <c r="U1753" t="str">
        <f t="shared" si="276"/>
        <v/>
      </c>
      <c r="V1753" t="str">
        <f t="shared" si="277"/>
        <v/>
      </c>
      <c r="W1753" t="str">
        <f t="shared" si="278"/>
        <v/>
      </c>
      <c r="X1753">
        <f>IF($T1753="",N($X1752),IF(MATCH($T1753,$T$6:$T$10005,0)=ROW()-5,N($X1752)+1,N($X1752)))</f>
        <v>0</v>
      </c>
      <c r="Z1753" t="str">
        <f t="shared" si="279"/>
        <v/>
      </c>
      <c r="AA1753">
        <f>IF($V1753="",N($AA1752),IF(MATCH($V1753,$V$6:$V$10005,0)=ROW()-5,N($AA1752)+1,N($AA1752)))</f>
        <v>0</v>
      </c>
    </row>
    <row r="1754" spans="1:27" ht="21" customHeight="1" x14ac:dyDescent="0.95">
      <c r="A1754" s="56"/>
      <c r="B1754" s="57"/>
      <c r="C1754" s="57"/>
      <c r="D1754" s="57"/>
      <c r="E1754" s="56"/>
      <c r="F1754" s="57"/>
      <c r="G1754" s="57"/>
      <c r="H1754" s="56"/>
      <c r="I1754" s="56"/>
      <c r="J1754" s="58"/>
      <c r="K1754" s="58"/>
      <c r="L1754" s="13" t="str">
        <f t="shared" si="270"/>
        <v/>
      </c>
      <c r="M1754" s="13" t="str">
        <f t="shared" si="271"/>
        <v/>
      </c>
      <c r="Q1754" t="str">
        <f t="shared" si="272"/>
        <v/>
      </c>
      <c r="R1754" t="str">
        <f t="shared" si="273"/>
        <v/>
      </c>
      <c r="S1754" t="str">
        <f t="shared" si="274"/>
        <v/>
      </c>
      <c r="T1754" t="str">
        <f t="shared" si="275"/>
        <v/>
      </c>
      <c r="U1754" t="str">
        <f t="shared" si="276"/>
        <v/>
      </c>
      <c r="V1754" t="str">
        <f t="shared" si="277"/>
        <v/>
      </c>
      <c r="W1754" t="str">
        <f t="shared" si="278"/>
        <v/>
      </c>
      <c r="X1754">
        <f>IF($T1754="",N($X1753),IF(MATCH($T1754,$T$6:$T$10005,0)=ROW()-5,N($X1753)+1,N($X1753)))</f>
        <v>0</v>
      </c>
      <c r="Z1754" t="str">
        <f t="shared" si="279"/>
        <v/>
      </c>
      <c r="AA1754">
        <f>IF($V1754="",N($AA1753),IF(MATCH($V1754,$V$6:$V$10005,0)=ROW()-5,N($AA1753)+1,N($AA1753)))</f>
        <v>0</v>
      </c>
    </row>
    <row r="1755" spans="1:27" ht="21" customHeight="1" x14ac:dyDescent="0.95">
      <c r="A1755" s="56"/>
      <c r="B1755" s="57"/>
      <c r="C1755" s="57"/>
      <c r="D1755" s="57"/>
      <c r="E1755" s="56"/>
      <c r="F1755" s="57"/>
      <c r="G1755" s="57"/>
      <c r="H1755" s="56"/>
      <c r="I1755" s="56"/>
      <c r="J1755" s="58"/>
      <c r="K1755" s="58"/>
      <c r="L1755" s="13" t="str">
        <f t="shared" si="270"/>
        <v/>
      </c>
      <c r="M1755" s="13" t="str">
        <f t="shared" si="271"/>
        <v/>
      </c>
      <c r="Q1755" t="str">
        <f t="shared" si="272"/>
        <v/>
      </c>
      <c r="R1755" t="str">
        <f t="shared" si="273"/>
        <v/>
      </c>
      <c r="S1755" t="str">
        <f t="shared" si="274"/>
        <v/>
      </c>
      <c r="T1755" t="str">
        <f t="shared" si="275"/>
        <v/>
      </c>
      <c r="U1755" t="str">
        <f t="shared" si="276"/>
        <v/>
      </c>
      <c r="V1755" t="str">
        <f t="shared" si="277"/>
        <v/>
      </c>
      <c r="W1755" t="str">
        <f t="shared" si="278"/>
        <v/>
      </c>
      <c r="X1755">
        <f>IF($T1755="",N($X1754),IF(MATCH($T1755,$T$6:$T$10005,0)=ROW()-5,N($X1754)+1,N($X1754)))</f>
        <v>0</v>
      </c>
      <c r="Z1755" t="str">
        <f t="shared" si="279"/>
        <v/>
      </c>
      <c r="AA1755">
        <f>IF($V1755="",N($AA1754),IF(MATCH($V1755,$V$6:$V$10005,0)=ROW()-5,N($AA1754)+1,N($AA1754)))</f>
        <v>0</v>
      </c>
    </row>
    <row r="1756" spans="1:27" ht="21" customHeight="1" x14ac:dyDescent="0.95">
      <c r="A1756" s="56"/>
      <c r="B1756" s="57"/>
      <c r="C1756" s="57"/>
      <c r="D1756" s="57"/>
      <c r="E1756" s="56"/>
      <c r="F1756" s="57"/>
      <c r="G1756" s="57"/>
      <c r="H1756" s="56"/>
      <c r="I1756" s="56"/>
      <c r="J1756" s="58"/>
      <c r="K1756" s="58"/>
      <c r="L1756" s="13" t="str">
        <f t="shared" si="270"/>
        <v/>
      </c>
      <c r="M1756" s="13" t="str">
        <f t="shared" si="271"/>
        <v/>
      </c>
      <c r="Q1756" t="str">
        <f t="shared" si="272"/>
        <v/>
      </c>
      <c r="R1756" t="str">
        <f t="shared" si="273"/>
        <v/>
      </c>
      <c r="S1756" t="str">
        <f t="shared" si="274"/>
        <v/>
      </c>
      <c r="T1756" t="str">
        <f t="shared" si="275"/>
        <v/>
      </c>
      <c r="U1756" t="str">
        <f t="shared" si="276"/>
        <v/>
      </c>
      <c r="V1756" t="str">
        <f t="shared" si="277"/>
        <v/>
      </c>
      <c r="W1756" t="str">
        <f t="shared" si="278"/>
        <v/>
      </c>
      <c r="X1756">
        <f>IF($T1756="",N($X1755),IF(MATCH($T1756,$T$6:$T$10005,0)=ROW()-5,N($X1755)+1,N($X1755)))</f>
        <v>0</v>
      </c>
      <c r="Z1756" t="str">
        <f t="shared" si="279"/>
        <v/>
      </c>
      <c r="AA1756">
        <f>IF($V1756="",N($AA1755),IF(MATCH($V1756,$V$6:$V$10005,0)=ROW()-5,N($AA1755)+1,N($AA1755)))</f>
        <v>0</v>
      </c>
    </row>
    <row r="1757" spans="1:27" ht="21" customHeight="1" x14ac:dyDescent="0.95">
      <c r="A1757" s="56"/>
      <c r="B1757" s="57"/>
      <c r="C1757" s="57"/>
      <c r="D1757" s="57"/>
      <c r="E1757" s="56"/>
      <c r="F1757" s="57"/>
      <c r="G1757" s="57"/>
      <c r="H1757" s="56"/>
      <c r="I1757" s="56"/>
      <c r="J1757" s="58"/>
      <c r="K1757" s="58"/>
      <c r="L1757" s="13" t="str">
        <f t="shared" si="270"/>
        <v/>
      </c>
      <c r="M1757" s="13" t="str">
        <f t="shared" si="271"/>
        <v/>
      </c>
      <c r="Q1757" t="str">
        <f t="shared" si="272"/>
        <v/>
      </c>
      <c r="R1757" t="str">
        <f t="shared" si="273"/>
        <v/>
      </c>
      <c r="S1757" t="str">
        <f t="shared" si="274"/>
        <v/>
      </c>
      <c r="T1757" t="str">
        <f t="shared" si="275"/>
        <v/>
      </c>
      <c r="U1757" t="str">
        <f t="shared" si="276"/>
        <v/>
      </c>
      <c r="V1757" t="str">
        <f t="shared" si="277"/>
        <v/>
      </c>
      <c r="W1757" t="str">
        <f t="shared" si="278"/>
        <v/>
      </c>
      <c r="X1757">
        <f>IF($T1757="",N($X1756),IF(MATCH($T1757,$T$6:$T$10005,0)=ROW()-5,N($X1756)+1,N($X1756)))</f>
        <v>0</v>
      </c>
      <c r="Z1757" t="str">
        <f t="shared" si="279"/>
        <v/>
      </c>
      <c r="AA1757">
        <f>IF($V1757="",N($AA1756),IF(MATCH($V1757,$V$6:$V$10005,0)=ROW()-5,N($AA1756)+1,N($AA1756)))</f>
        <v>0</v>
      </c>
    </row>
    <row r="1758" spans="1:27" ht="21" customHeight="1" x14ac:dyDescent="0.95">
      <c r="A1758" s="56"/>
      <c r="B1758" s="57"/>
      <c r="C1758" s="57"/>
      <c r="D1758" s="57"/>
      <c r="E1758" s="56"/>
      <c r="F1758" s="57"/>
      <c r="G1758" s="57"/>
      <c r="H1758" s="56"/>
      <c r="I1758" s="56"/>
      <c r="J1758" s="58"/>
      <c r="K1758" s="58"/>
      <c r="L1758" s="13" t="str">
        <f t="shared" si="270"/>
        <v/>
      </c>
      <c r="M1758" s="13" t="str">
        <f t="shared" si="271"/>
        <v/>
      </c>
      <c r="Q1758" t="str">
        <f t="shared" si="272"/>
        <v/>
      </c>
      <c r="R1758" t="str">
        <f t="shared" si="273"/>
        <v/>
      </c>
      <c r="S1758" t="str">
        <f t="shared" si="274"/>
        <v/>
      </c>
      <c r="T1758" t="str">
        <f t="shared" si="275"/>
        <v/>
      </c>
      <c r="U1758" t="str">
        <f t="shared" si="276"/>
        <v/>
      </c>
      <c r="V1758" t="str">
        <f t="shared" si="277"/>
        <v/>
      </c>
      <c r="W1758" t="str">
        <f t="shared" si="278"/>
        <v/>
      </c>
      <c r="X1758">
        <f>IF($T1758="",N($X1757),IF(MATCH($T1758,$T$6:$T$10005,0)=ROW()-5,N($X1757)+1,N($X1757)))</f>
        <v>0</v>
      </c>
      <c r="Z1758" t="str">
        <f t="shared" si="279"/>
        <v/>
      </c>
      <c r="AA1758">
        <f>IF($V1758="",N($AA1757),IF(MATCH($V1758,$V$6:$V$10005,0)=ROW()-5,N($AA1757)+1,N($AA1757)))</f>
        <v>0</v>
      </c>
    </row>
    <row r="1759" spans="1:27" ht="21" customHeight="1" x14ac:dyDescent="0.95">
      <c r="A1759" s="56"/>
      <c r="B1759" s="57"/>
      <c r="C1759" s="57"/>
      <c r="D1759" s="57"/>
      <c r="E1759" s="56"/>
      <c r="F1759" s="57"/>
      <c r="G1759" s="57"/>
      <c r="H1759" s="56"/>
      <c r="I1759" s="56"/>
      <c r="J1759" s="58"/>
      <c r="K1759" s="58"/>
      <c r="L1759" s="13" t="str">
        <f t="shared" si="270"/>
        <v/>
      </c>
      <c r="M1759" s="13" t="str">
        <f t="shared" si="271"/>
        <v/>
      </c>
      <c r="Q1759" t="str">
        <f t="shared" si="272"/>
        <v/>
      </c>
      <c r="R1759" t="str">
        <f t="shared" si="273"/>
        <v/>
      </c>
      <c r="S1759" t="str">
        <f t="shared" si="274"/>
        <v/>
      </c>
      <c r="T1759" t="str">
        <f t="shared" si="275"/>
        <v/>
      </c>
      <c r="U1759" t="str">
        <f t="shared" si="276"/>
        <v/>
      </c>
      <c r="V1759" t="str">
        <f t="shared" si="277"/>
        <v/>
      </c>
      <c r="W1759" t="str">
        <f t="shared" si="278"/>
        <v/>
      </c>
      <c r="X1759">
        <f>IF($T1759="",N($X1758),IF(MATCH($T1759,$T$6:$T$10005,0)=ROW()-5,N($X1758)+1,N($X1758)))</f>
        <v>0</v>
      </c>
      <c r="Z1759" t="str">
        <f t="shared" si="279"/>
        <v/>
      </c>
      <c r="AA1759">
        <f>IF($V1759="",N($AA1758),IF(MATCH($V1759,$V$6:$V$10005,0)=ROW()-5,N($AA1758)+1,N($AA1758)))</f>
        <v>0</v>
      </c>
    </row>
    <row r="1760" spans="1:27" ht="21" customHeight="1" x14ac:dyDescent="0.95">
      <c r="A1760" s="56"/>
      <c r="B1760" s="57"/>
      <c r="C1760" s="57"/>
      <c r="D1760" s="57"/>
      <c r="E1760" s="56"/>
      <c r="F1760" s="57"/>
      <c r="G1760" s="57"/>
      <c r="H1760" s="56"/>
      <c r="I1760" s="56"/>
      <c r="J1760" s="58"/>
      <c r="K1760" s="58"/>
      <c r="L1760" s="13" t="str">
        <f t="shared" si="270"/>
        <v/>
      </c>
      <c r="M1760" s="13" t="str">
        <f t="shared" si="271"/>
        <v/>
      </c>
      <c r="Q1760" t="str">
        <f t="shared" si="272"/>
        <v/>
      </c>
      <c r="R1760" t="str">
        <f t="shared" si="273"/>
        <v/>
      </c>
      <c r="S1760" t="str">
        <f t="shared" si="274"/>
        <v/>
      </c>
      <c r="T1760" t="str">
        <f t="shared" si="275"/>
        <v/>
      </c>
      <c r="U1760" t="str">
        <f t="shared" si="276"/>
        <v/>
      </c>
      <c r="V1760" t="str">
        <f t="shared" si="277"/>
        <v/>
      </c>
      <c r="W1760" t="str">
        <f t="shared" si="278"/>
        <v/>
      </c>
      <c r="X1760">
        <f>IF($T1760="",N($X1759),IF(MATCH($T1760,$T$6:$T$10005,0)=ROW()-5,N($X1759)+1,N($X1759)))</f>
        <v>0</v>
      </c>
      <c r="Z1760" t="str">
        <f t="shared" si="279"/>
        <v/>
      </c>
      <c r="AA1760">
        <f>IF($V1760="",N($AA1759),IF(MATCH($V1760,$V$6:$V$10005,0)=ROW()-5,N($AA1759)+1,N($AA1759)))</f>
        <v>0</v>
      </c>
    </row>
    <row r="1761" spans="1:27" ht="21" customHeight="1" x14ac:dyDescent="0.95">
      <c r="A1761" s="56"/>
      <c r="B1761" s="57"/>
      <c r="C1761" s="57"/>
      <c r="D1761" s="57"/>
      <c r="E1761" s="56"/>
      <c r="F1761" s="57"/>
      <c r="G1761" s="57"/>
      <c r="H1761" s="56"/>
      <c r="I1761" s="56"/>
      <c r="J1761" s="58"/>
      <c r="K1761" s="58"/>
      <c r="L1761" s="13" t="str">
        <f t="shared" si="270"/>
        <v/>
      </c>
      <c r="M1761" s="13" t="str">
        <f t="shared" si="271"/>
        <v/>
      </c>
      <c r="Q1761" t="str">
        <f t="shared" si="272"/>
        <v/>
      </c>
      <c r="R1761" t="str">
        <f t="shared" si="273"/>
        <v/>
      </c>
      <c r="S1761" t="str">
        <f t="shared" si="274"/>
        <v/>
      </c>
      <c r="T1761" t="str">
        <f t="shared" si="275"/>
        <v/>
      </c>
      <c r="U1761" t="str">
        <f t="shared" si="276"/>
        <v/>
      </c>
      <c r="V1761" t="str">
        <f t="shared" si="277"/>
        <v/>
      </c>
      <c r="W1761" t="str">
        <f t="shared" si="278"/>
        <v/>
      </c>
      <c r="X1761">
        <f>IF($T1761="",N($X1760),IF(MATCH($T1761,$T$6:$T$10005,0)=ROW()-5,N($X1760)+1,N($X1760)))</f>
        <v>0</v>
      </c>
      <c r="Z1761" t="str">
        <f t="shared" si="279"/>
        <v/>
      </c>
      <c r="AA1761">
        <f>IF($V1761="",N($AA1760),IF(MATCH($V1761,$V$6:$V$10005,0)=ROW()-5,N($AA1760)+1,N($AA1760)))</f>
        <v>0</v>
      </c>
    </row>
    <row r="1762" spans="1:27" ht="21" customHeight="1" x14ac:dyDescent="0.95">
      <c r="A1762" s="56"/>
      <c r="B1762" s="57"/>
      <c r="C1762" s="57"/>
      <c r="D1762" s="57"/>
      <c r="E1762" s="56"/>
      <c r="F1762" s="57"/>
      <c r="G1762" s="57"/>
      <c r="H1762" s="56"/>
      <c r="I1762" s="56"/>
      <c r="J1762" s="58"/>
      <c r="K1762" s="58"/>
      <c r="L1762" s="13" t="str">
        <f t="shared" si="270"/>
        <v/>
      </c>
      <c r="M1762" s="13" t="str">
        <f t="shared" si="271"/>
        <v/>
      </c>
      <c r="Q1762" t="str">
        <f t="shared" si="272"/>
        <v/>
      </c>
      <c r="R1762" t="str">
        <f t="shared" si="273"/>
        <v/>
      </c>
      <c r="S1762" t="str">
        <f t="shared" si="274"/>
        <v/>
      </c>
      <c r="T1762" t="str">
        <f t="shared" si="275"/>
        <v/>
      </c>
      <c r="U1762" t="str">
        <f t="shared" si="276"/>
        <v/>
      </c>
      <c r="V1762" t="str">
        <f t="shared" si="277"/>
        <v/>
      </c>
      <c r="W1762" t="str">
        <f t="shared" si="278"/>
        <v/>
      </c>
      <c r="X1762">
        <f>IF($T1762="",N($X1761),IF(MATCH($T1762,$T$6:$T$10005,0)=ROW()-5,N($X1761)+1,N($X1761)))</f>
        <v>0</v>
      </c>
      <c r="Z1762" t="str">
        <f t="shared" si="279"/>
        <v/>
      </c>
      <c r="AA1762">
        <f>IF($V1762="",N($AA1761),IF(MATCH($V1762,$V$6:$V$10005,0)=ROW()-5,N($AA1761)+1,N($AA1761)))</f>
        <v>0</v>
      </c>
    </row>
    <row r="1763" spans="1:27" ht="21" customHeight="1" x14ac:dyDescent="0.95">
      <c r="A1763" s="56"/>
      <c r="B1763" s="57"/>
      <c r="C1763" s="57"/>
      <c r="D1763" s="57"/>
      <c r="E1763" s="56"/>
      <c r="F1763" s="57"/>
      <c r="G1763" s="57"/>
      <c r="H1763" s="56"/>
      <c r="I1763" s="56"/>
      <c r="J1763" s="58"/>
      <c r="K1763" s="58"/>
      <c r="L1763" s="13" t="str">
        <f t="shared" si="270"/>
        <v/>
      </c>
      <c r="M1763" s="13" t="str">
        <f t="shared" si="271"/>
        <v/>
      </c>
      <c r="Q1763" t="str">
        <f t="shared" si="272"/>
        <v/>
      </c>
      <c r="R1763" t="str">
        <f t="shared" si="273"/>
        <v/>
      </c>
      <c r="S1763" t="str">
        <f t="shared" si="274"/>
        <v/>
      </c>
      <c r="T1763" t="str">
        <f t="shared" si="275"/>
        <v/>
      </c>
      <c r="U1763" t="str">
        <f t="shared" si="276"/>
        <v/>
      </c>
      <c r="V1763" t="str">
        <f t="shared" si="277"/>
        <v/>
      </c>
      <c r="W1763" t="str">
        <f t="shared" si="278"/>
        <v/>
      </c>
      <c r="X1763">
        <f>IF($T1763="",N($X1762),IF(MATCH($T1763,$T$6:$T$10005,0)=ROW()-5,N($X1762)+1,N($X1762)))</f>
        <v>0</v>
      </c>
      <c r="Z1763" t="str">
        <f t="shared" si="279"/>
        <v/>
      </c>
      <c r="AA1763">
        <f>IF($V1763="",N($AA1762),IF(MATCH($V1763,$V$6:$V$10005,0)=ROW()-5,N($AA1762)+1,N($AA1762)))</f>
        <v>0</v>
      </c>
    </row>
    <row r="1764" spans="1:27" ht="21" customHeight="1" x14ac:dyDescent="0.95">
      <c r="A1764" s="56"/>
      <c r="B1764" s="57"/>
      <c r="C1764" s="57"/>
      <c r="D1764" s="57"/>
      <c r="E1764" s="56"/>
      <c r="F1764" s="57"/>
      <c r="G1764" s="57"/>
      <c r="H1764" s="56"/>
      <c r="I1764" s="56"/>
      <c r="J1764" s="58"/>
      <c r="K1764" s="58"/>
      <c r="L1764" s="13" t="str">
        <f t="shared" si="270"/>
        <v/>
      </c>
      <c r="M1764" s="13" t="str">
        <f t="shared" si="271"/>
        <v/>
      </c>
      <c r="Q1764" t="str">
        <f t="shared" si="272"/>
        <v/>
      </c>
      <c r="R1764" t="str">
        <f t="shared" si="273"/>
        <v/>
      </c>
      <c r="S1764" t="str">
        <f t="shared" si="274"/>
        <v/>
      </c>
      <c r="T1764" t="str">
        <f t="shared" si="275"/>
        <v/>
      </c>
      <c r="U1764" t="str">
        <f t="shared" si="276"/>
        <v/>
      </c>
      <c r="V1764" t="str">
        <f t="shared" si="277"/>
        <v/>
      </c>
      <c r="W1764" t="str">
        <f t="shared" si="278"/>
        <v/>
      </c>
      <c r="X1764">
        <f>IF($T1764="",N($X1763),IF(MATCH($T1764,$T$6:$T$10005,0)=ROW()-5,N($X1763)+1,N($X1763)))</f>
        <v>0</v>
      </c>
      <c r="Z1764" t="str">
        <f t="shared" si="279"/>
        <v/>
      </c>
      <c r="AA1764">
        <f>IF($V1764="",N($AA1763),IF(MATCH($V1764,$V$6:$V$10005,0)=ROW()-5,N($AA1763)+1,N($AA1763)))</f>
        <v>0</v>
      </c>
    </row>
    <row r="1765" spans="1:27" ht="21" customHeight="1" x14ac:dyDescent="0.95">
      <c r="A1765" s="56"/>
      <c r="B1765" s="57"/>
      <c r="C1765" s="57"/>
      <c r="D1765" s="57"/>
      <c r="E1765" s="56"/>
      <c r="F1765" s="57"/>
      <c r="G1765" s="57"/>
      <c r="H1765" s="56"/>
      <c r="I1765" s="56"/>
      <c r="J1765" s="58"/>
      <c r="K1765" s="58"/>
      <c r="L1765" s="13" t="str">
        <f t="shared" si="270"/>
        <v/>
      </c>
      <c r="M1765" s="13" t="str">
        <f t="shared" si="271"/>
        <v/>
      </c>
      <c r="Q1765" t="str">
        <f t="shared" si="272"/>
        <v/>
      </c>
      <c r="R1765" t="str">
        <f t="shared" si="273"/>
        <v/>
      </c>
      <c r="S1765" t="str">
        <f t="shared" si="274"/>
        <v/>
      </c>
      <c r="T1765" t="str">
        <f t="shared" si="275"/>
        <v/>
      </c>
      <c r="U1765" t="str">
        <f t="shared" si="276"/>
        <v/>
      </c>
      <c r="V1765" t="str">
        <f t="shared" si="277"/>
        <v/>
      </c>
      <c r="W1765" t="str">
        <f t="shared" si="278"/>
        <v/>
      </c>
      <c r="X1765">
        <f>IF($T1765="",N($X1764),IF(MATCH($T1765,$T$6:$T$10005,0)=ROW()-5,N($X1764)+1,N($X1764)))</f>
        <v>0</v>
      </c>
      <c r="Z1765" t="str">
        <f t="shared" si="279"/>
        <v/>
      </c>
      <c r="AA1765">
        <f>IF($V1765="",N($AA1764),IF(MATCH($V1765,$V$6:$V$10005,0)=ROW()-5,N($AA1764)+1,N($AA1764)))</f>
        <v>0</v>
      </c>
    </row>
    <row r="1766" spans="1:27" ht="21" customHeight="1" x14ac:dyDescent="0.95">
      <c r="A1766" s="56"/>
      <c r="B1766" s="57"/>
      <c r="C1766" s="57"/>
      <c r="D1766" s="57"/>
      <c r="E1766" s="56"/>
      <c r="F1766" s="57"/>
      <c r="G1766" s="57"/>
      <c r="H1766" s="56"/>
      <c r="I1766" s="56"/>
      <c r="J1766" s="58"/>
      <c r="K1766" s="58"/>
      <c r="L1766" s="13" t="str">
        <f t="shared" si="270"/>
        <v/>
      </c>
      <c r="M1766" s="13" t="str">
        <f t="shared" si="271"/>
        <v/>
      </c>
      <c r="Q1766" t="str">
        <f t="shared" si="272"/>
        <v/>
      </c>
      <c r="R1766" t="str">
        <f t="shared" si="273"/>
        <v/>
      </c>
      <c r="S1766" t="str">
        <f t="shared" si="274"/>
        <v/>
      </c>
      <c r="T1766" t="str">
        <f t="shared" si="275"/>
        <v/>
      </c>
      <c r="U1766" t="str">
        <f t="shared" si="276"/>
        <v/>
      </c>
      <c r="V1766" t="str">
        <f t="shared" si="277"/>
        <v/>
      </c>
      <c r="W1766" t="str">
        <f t="shared" si="278"/>
        <v/>
      </c>
      <c r="X1766">
        <f>IF($T1766="",N($X1765),IF(MATCH($T1766,$T$6:$T$10005,0)=ROW()-5,N($X1765)+1,N($X1765)))</f>
        <v>0</v>
      </c>
      <c r="Z1766" t="str">
        <f t="shared" si="279"/>
        <v/>
      </c>
      <c r="AA1766">
        <f>IF($V1766="",N($AA1765),IF(MATCH($V1766,$V$6:$V$10005,0)=ROW()-5,N($AA1765)+1,N($AA1765)))</f>
        <v>0</v>
      </c>
    </row>
    <row r="1767" spans="1:27" ht="21" customHeight="1" x14ac:dyDescent="0.95">
      <c r="A1767" s="56"/>
      <c r="B1767" s="57"/>
      <c r="C1767" s="57"/>
      <c r="D1767" s="57"/>
      <c r="E1767" s="56"/>
      <c r="F1767" s="57"/>
      <c r="G1767" s="57"/>
      <c r="H1767" s="56"/>
      <c r="I1767" s="56"/>
      <c r="J1767" s="58"/>
      <c r="K1767" s="58"/>
      <c r="L1767" s="13" t="str">
        <f t="shared" si="270"/>
        <v/>
      </c>
      <c r="M1767" s="13" t="str">
        <f t="shared" si="271"/>
        <v/>
      </c>
      <c r="Q1767" t="str">
        <f t="shared" si="272"/>
        <v/>
      </c>
      <c r="R1767" t="str">
        <f t="shared" si="273"/>
        <v/>
      </c>
      <c r="S1767" t="str">
        <f t="shared" si="274"/>
        <v/>
      </c>
      <c r="T1767" t="str">
        <f t="shared" si="275"/>
        <v/>
      </c>
      <c r="U1767" t="str">
        <f t="shared" si="276"/>
        <v/>
      </c>
      <c r="V1767" t="str">
        <f t="shared" si="277"/>
        <v/>
      </c>
      <c r="W1767" t="str">
        <f t="shared" si="278"/>
        <v/>
      </c>
      <c r="X1767">
        <f>IF($T1767="",N($X1766),IF(MATCH($T1767,$T$6:$T$10005,0)=ROW()-5,N($X1766)+1,N($X1766)))</f>
        <v>0</v>
      </c>
      <c r="Z1767" t="str">
        <f t="shared" si="279"/>
        <v/>
      </c>
      <c r="AA1767">
        <f>IF($V1767="",N($AA1766),IF(MATCH($V1767,$V$6:$V$10005,0)=ROW()-5,N($AA1766)+1,N($AA1766)))</f>
        <v>0</v>
      </c>
    </row>
    <row r="1768" spans="1:27" ht="21" customHeight="1" x14ac:dyDescent="0.95">
      <c r="A1768" s="56"/>
      <c r="B1768" s="57"/>
      <c r="C1768" s="57"/>
      <c r="D1768" s="57"/>
      <c r="E1768" s="56"/>
      <c r="F1768" s="57"/>
      <c r="G1768" s="57"/>
      <c r="H1768" s="56"/>
      <c r="I1768" s="56"/>
      <c r="J1768" s="58"/>
      <c r="K1768" s="58"/>
      <c r="L1768" s="13" t="str">
        <f t="shared" si="270"/>
        <v/>
      </c>
      <c r="M1768" s="13" t="str">
        <f t="shared" si="271"/>
        <v/>
      </c>
      <c r="Q1768" t="str">
        <f t="shared" si="272"/>
        <v/>
      </c>
      <c r="R1768" t="str">
        <f t="shared" si="273"/>
        <v/>
      </c>
      <c r="S1768" t="str">
        <f t="shared" si="274"/>
        <v/>
      </c>
      <c r="T1768" t="str">
        <f t="shared" si="275"/>
        <v/>
      </c>
      <c r="U1768" t="str">
        <f t="shared" si="276"/>
        <v/>
      </c>
      <c r="V1768" t="str">
        <f t="shared" si="277"/>
        <v/>
      </c>
      <c r="W1768" t="str">
        <f t="shared" si="278"/>
        <v/>
      </c>
      <c r="X1768">
        <f>IF($T1768="",N($X1767),IF(MATCH($T1768,$T$6:$T$10005,0)=ROW()-5,N($X1767)+1,N($X1767)))</f>
        <v>0</v>
      </c>
      <c r="Z1768" t="str">
        <f t="shared" si="279"/>
        <v/>
      </c>
      <c r="AA1768">
        <f>IF($V1768="",N($AA1767),IF(MATCH($V1768,$V$6:$V$10005,0)=ROW()-5,N($AA1767)+1,N($AA1767)))</f>
        <v>0</v>
      </c>
    </row>
    <row r="1769" spans="1:27" ht="21" customHeight="1" x14ac:dyDescent="0.95">
      <c r="A1769" s="56"/>
      <c r="B1769" s="57"/>
      <c r="C1769" s="57"/>
      <c r="D1769" s="57"/>
      <c r="E1769" s="56"/>
      <c r="F1769" s="57"/>
      <c r="G1769" s="57"/>
      <c r="H1769" s="56"/>
      <c r="I1769" s="56"/>
      <c r="J1769" s="58"/>
      <c r="K1769" s="58"/>
      <c r="L1769" s="13" t="str">
        <f t="shared" si="270"/>
        <v/>
      </c>
      <c r="M1769" s="13" t="str">
        <f t="shared" si="271"/>
        <v/>
      </c>
      <c r="Q1769" t="str">
        <f t="shared" si="272"/>
        <v/>
      </c>
      <c r="R1769" t="str">
        <f t="shared" si="273"/>
        <v/>
      </c>
      <c r="S1769" t="str">
        <f t="shared" si="274"/>
        <v/>
      </c>
      <c r="T1769" t="str">
        <f t="shared" si="275"/>
        <v/>
      </c>
      <c r="U1769" t="str">
        <f t="shared" si="276"/>
        <v/>
      </c>
      <c r="V1769" t="str">
        <f t="shared" si="277"/>
        <v/>
      </c>
      <c r="W1769" t="str">
        <f t="shared" si="278"/>
        <v/>
      </c>
      <c r="X1769">
        <f>IF($T1769="",N($X1768),IF(MATCH($T1769,$T$6:$T$10005,0)=ROW()-5,N($X1768)+1,N($X1768)))</f>
        <v>0</v>
      </c>
      <c r="Z1769" t="str">
        <f t="shared" si="279"/>
        <v/>
      </c>
      <c r="AA1769">
        <f>IF($V1769="",N($AA1768),IF(MATCH($V1769,$V$6:$V$10005,0)=ROW()-5,N($AA1768)+1,N($AA1768)))</f>
        <v>0</v>
      </c>
    </row>
    <row r="1770" spans="1:27" ht="21" customHeight="1" x14ac:dyDescent="0.95">
      <c r="A1770" s="56"/>
      <c r="B1770" s="57"/>
      <c r="C1770" s="57"/>
      <c r="D1770" s="57"/>
      <c r="E1770" s="56"/>
      <c r="F1770" s="57"/>
      <c r="G1770" s="57"/>
      <c r="H1770" s="56"/>
      <c r="I1770" s="56"/>
      <c r="J1770" s="58"/>
      <c r="K1770" s="58"/>
      <c r="L1770" s="13" t="str">
        <f t="shared" si="270"/>
        <v/>
      </c>
      <c r="M1770" s="13" t="str">
        <f t="shared" si="271"/>
        <v/>
      </c>
      <c r="Q1770" t="str">
        <f t="shared" si="272"/>
        <v/>
      </c>
      <c r="R1770" t="str">
        <f t="shared" si="273"/>
        <v/>
      </c>
      <c r="S1770" t="str">
        <f t="shared" si="274"/>
        <v/>
      </c>
      <c r="T1770" t="str">
        <f t="shared" si="275"/>
        <v/>
      </c>
      <c r="U1770" t="str">
        <f t="shared" si="276"/>
        <v/>
      </c>
      <c r="V1770" t="str">
        <f t="shared" si="277"/>
        <v/>
      </c>
      <c r="W1770" t="str">
        <f t="shared" si="278"/>
        <v/>
      </c>
      <c r="X1770">
        <f>IF($T1770="",N($X1769),IF(MATCH($T1770,$T$6:$T$10005,0)=ROW()-5,N($X1769)+1,N($X1769)))</f>
        <v>0</v>
      </c>
      <c r="Z1770" t="str">
        <f t="shared" si="279"/>
        <v/>
      </c>
      <c r="AA1770">
        <f>IF($V1770="",N($AA1769),IF(MATCH($V1770,$V$6:$V$10005,0)=ROW()-5,N($AA1769)+1,N($AA1769)))</f>
        <v>0</v>
      </c>
    </row>
    <row r="1771" spans="1:27" ht="21" customHeight="1" x14ac:dyDescent="0.95">
      <c r="A1771" s="56"/>
      <c r="B1771" s="57"/>
      <c r="C1771" s="57"/>
      <c r="D1771" s="57"/>
      <c r="E1771" s="56"/>
      <c r="F1771" s="57"/>
      <c r="G1771" s="57"/>
      <c r="H1771" s="56"/>
      <c r="I1771" s="56"/>
      <c r="J1771" s="58"/>
      <c r="K1771" s="58"/>
      <c r="L1771" s="13" t="str">
        <f t="shared" si="270"/>
        <v/>
      </c>
      <c r="M1771" s="13" t="str">
        <f t="shared" si="271"/>
        <v/>
      </c>
      <c r="Q1771" t="str">
        <f t="shared" si="272"/>
        <v/>
      </c>
      <c r="R1771" t="str">
        <f t="shared" si="273"/>
        <v/>
      </c>
      <c r="S1771" t="str">
        <f t="shared" si="274"/>
        <v/>
      </c>
      <c r="T1771" t="str">
        <f t="shared" si="275"/>
        <v/>
      </c>
      <c r="U1771" t="str">
        <f t="shared" si="276"/>
        <v/>
      </c>
      <c r="V1771" t="str">
        <f t="shared" si="277"/>
        <v/>
      </c>
      <c r="W1771" t="str">
        <f t="shared" si="278"/>
        <v/>
      </c>
      <c r="X1771">
        <f>IF($T1771="",N($X1770),IF(MATCH($T1771,$T$6:$T$10005,0)=ROW()-5,N($X1770)+1,N($X1770)))</f>
        <v>0</v>
      </c>
      <c r="Z1771" t="str">
        <f t="shared" si="279"/>
        <v/>
      </c>
      <c r="AA1771">
        <f>IF($V1771="",N($AA1770),IF(MATCH($V1771,$V$6:$V$10005,0)=ROW()-5,N($AA1770)+1,N($AA1770)))</f>
        <v>0</v>
      </c>
    </row>
    <row r="1772" spans="1:27" ht="21" customHeight="1" x14ac:dyDescent="0.95">
      <c r="A1772" s="56"/>
      <c r="B1772" s="57"/>
      <c r="C1772" s="57"/>
      <c r="D1772" s="57"/>
      <c r="E1772" s="56"/>
      <c r="F1772" s="57"/>
      <c r="G1772" s="57"/>
      <c r="H1772" s="56"/>
      <c r="I1772" s="56"/>
      <c r="J1772" s="58"/>
      <c r="K1772" s="58"/>
      <c r="L1772" s="13" t="str">
        <f t="shared" si="270"/>
        <v/>
      </c>
      <c r="M1772" s="13" t="str">
        <f t="shared" si="271"/>
        <v/>
      </c>
      <c r="Q1772" t="str">
        <f t="shared" si="272"/>
        <v/>
      </c>
      <c r="R1772" t="str">
        <f t="shared" si="273"/>
        <v/>
      </c>
      <c r="S1772" t="str">
        <f t="shared" si="274"/>
        <v/>
      </c>
      <c r="T1772" t="str">
        <f t="shared" si="275"/>
        <v/>
      </c>
      <c r="U1772" t="str">
        <f t="shared" si="276"/>
        <v/>
      </c>
      <c r="V1772" t="str">
        <f t="shared" si="277"/>
        <v/>
      </c>
      <c r="W1772" t="str">
        <f t="shared" si="278"/>
        <v/>
      </c>
      <c r="X1772">
        <f>IF($T1772="",N($X1771),IF(MATCH($T1772,$T$6:$T$10005,0)=ROW()-5,N($X1771)+1,N($X1771)))</f>
        <v>0</v>
      </c>
      <c r="Z1772" t="str">
        <f t="shared" si="279"/>
        <v/>
      </c>
      <c r="AA1772">
        <f>IF($V1772="",N($AA1771),IF(MATCH($V1772,$V$6:$V$10005,0)=ROW()-5,N($AA1771)+1,N($AA1771)))</f>
        <v>0</v>
      </c>
    </row>
    <row r="1773" spans="1:27" ht="21" customHeight="1" x14ac:dyDescent="0.95">
      <c r="A1773" s="56"/>
      <c r="B1773" s="57"/>
      <c r="C1773" s="57"/>
      <c r="D1773" s="57"/>
      <c r="E1773" s="56"/>
      <c r="F1773" s="57"/>
      <c r="G1773" s="57"/>
      <c r="H1773" s="56"/>
      <c r="I1773" s="56"/>
      <c r="J1773" s="58"/>
      <c r="K1773" s="58"/>
      <c r="L1773" s="13" t="str">
        <f t="shared" si="270"/>
        <v/>
      </c>
      <c r="M1773" s="13" t="str">
        <f t="shared" si="271"/>
        <v/>
      </c>
      <c r="Q1773" t="str">
        <f t="shared" si="272"/>
        <v/>
      </c>
      <c r="R1773" t="str">
        <f t="shared" si="273"/>
        <v/>
      </c>
      <c r="S1773" t="str">
        <f t="shared" si="274"/>
        <v/>
      </c>
      <c r="T1773" t="str">
        <f t="shared" si="275"/>
        <v/>
      </c>
      <c r="U1773" t="str">
        <f t="shared" si="276"/>
        <v/>
      </c>
      <c r="V1773" t="str">
        <f t="shared" si="277"/>
        <v/>
      </c>
      <c r="W1773" t="str">
        <f t="shared" si="278"/>
        <v/>
      </c>
      <c r="X1773">
        <f>IF($T1773="",N($X1772),IF(MATCH($T1773,$T$6:$T$10005,0)=ROW()-5,N($X1772)+1,N($X1772)))</f>
        <v>0</v>
      </c>
      <c r="Z1773" t="str">
        <f t="shared" si="279"/>
        <v/>
      </c>
      <c r="AA1773">
        <f>IF($V1773="",N($AA1772),IF(MATCH($V1773,$V$6:$V$10005,0)=ROW()-5,N($AA1772)+1,N($AA1772)))</f>
        <v>0</v>
      </c>
    </row>
    <row r="1774" spans="1:27" ht="21" customHeight="1" x14ac:dyDescent="0.95">
      <c r="A1774" s="56"/>
      <c r="B1774" s="57"/>
      <c r="C1774" s="57"/>
      <c r="D1774" s="57"/>
      <c r="E1774" s="56"/>
      <c r="F1774" s="57"/>
      <c r="G1774" s="57"/>
      <c r="H1774" s="56"/>
      <c r="I1774" s="56"/>
      <c r="J1774" s="58"/>
      <c r="K1774" s="58"/>
      <c r="L1774" s="13" t="str">
        <f t="shared" si="270"/>
        <v/>
      </c>
      <c r="M1774" s="13" t="str">
        <f t="shared" si="271"/>
        <v/>
      </c>
      <c r="Q1774" t="str">
        <f t="shared" si="272"/>
        <v/>
      </c>
      <c r="R1774" t="str">
        <f t="shared" si="273"/>
        <v/>
      </c>
      <c r="S1774" t="str">
        <f t="shared" si="274"/>
        <v/>
      </c>
      <c r="T1774" t="str">
        <f t="shared" si="275"/>
        <v/>
      </c>
      <c r="U1774" t="str">
        <f t="shared" si="276"/>
        <v/>
      </c>
      <c r="V1774" t="str">
        <f t="shared" si="277"/>
        <v/>
      </c>
      <c r="W1774" t="str">
        <f t="shared" si="278"/>
        <v/>
      </c>
      <c r="X1774">
        <f>IF($T1774="",N($X1773),IF(MATCH($T1774,$T$6:$T$10005,0)=ROW()-5,N($X1773)+1,N($X1773)))</f>
        <v>0</v>
      </c>
      <c r="Z1774" t="str">
        <f t="shared" si="279"/>
        <v/>
      </c>
      <c r="AA1774">
        <f>IF($V1774="",N($AA1773),IF(MATCH($V1774,$V$6:$V$10005,0)=ROW()-5,N($AA1773)+1,N($AA1773)))</f>
        <v>0</v>
      </c>
    </row>
    <row r="1775" spans="1:27" ht="21" customHeight="1" x14ac:dyDescent="0.95">
      <c r="A1775" s="56"/>
      <c r="B1775" s="57"/>
      <c r="C1775" s="57"/>
      <c r="D1775" s="57"/>
      <c r="E1775" s="56"/>
      <c r="F1775" s="57"/>
      <c r="G1775" s="57"/>
      <c r="H1775" s="56"/>
      <c r="I1775" s="56"/>
      <c r="J1775" s="58"/>
      <c r="K1775" s="58"/>
      <c r="L1775" s="13" t="str">
        <f t="shared" si="270"/>
        <v/>
      </c>
      <c r="M1775" s="13" t="str">
        <f t="shared" si="271"/>
        <v/>
      </c>
      <c r="Q1775" t="str">
        <f t="shared" si="272"/>
        <v/>
      </c>
      <c r="R1775" t="str">
        <f t="shared" si="273"/>
        <v/>
      </c>
      <c r="S1775" t="str">
        <f t="shared" si="274"/>
        <v/>
      </c>
      <c r="T1775" t="str">
        <f t="shared" si="275"/>
        <v/>
      </c>
      <c r="U1775" t="str">
        <f t="shared" si="276"/>
        <v/>
      </c>
      <c r="V1775" t="str">
        <f t="shared" si="277"/>
        <v/>
      </c>
      <c r="W1775" t="str">
        <f t="shared" si="278"/>
        <v/>
      </c>
      <c r="X1775">
        <f>IF($T1775="",N($X1774),IF(MATCH($T1775,$T$6:$T$10005,0)=ROW()-5,N($X1774)+1,N($X1774)))</f>
        <v>0</v>
      </c>
      <c r="Z1775" t="str">
        <f t="shared" si="279"/>
        <v/>
      </c>
      <c r="AA1775">
        <f>IF($V1775="",N($AA1774),IF(MATCH($V1775,$V$6:$V$10005,0)=ROW()-5,N($AA1774)+1,N($AA1774)))</f>
        <v>0</v>
      </c>
    </row>
    <row r="1776" spans="1:27" ht="21" customHeight="1" x14ac:dyDescent="0.95">
      <c r="A1776" s="56"/>
      <c r="B1776" s="57"/>
      <c r="C1776" s="57"/>
      <c r="D1776" s="57"/>
      <c r="E1776" s="56"/>
      <c r="F1776" s="57"/>
      <c r="G1776" s="57"/>
      <c r="H1776" s="56"/>
      <c r="I1776" s="56"/>
      <c r="J1776" s="58"/>
      <c r="K1776" s="58"/>
      <c r="L1776" s="13" t="str">
        <f t="shared" si="270"/>
        <v/>
      </c>
      <c r="M1776" s="13" t="str">
        <f t="shared" si="271"/>
        <v/>
      </c>
      <c r="Q1776" t="str">
        <f t="shared" si="272"/>
        <v/>
      </c>
      <c r="R1776" t="str">
        <f t="shared" si="273"/>
        <v/>
      </c>
      <c r="S1776" t="str">
        <f t="shared" si="274"/>
        <v/>
      </c>
      <c r="T1776" t="str">
        <f t="shared" si="275"/>
        <v/>
      </c>
      <c r="U1776" t="str">
        <f t="shared" si="276"/>
        <v/>
      </c>
      <c r="V1776" t="str">
        <f t="shared" si="277"/>
        <v/>
      </c>
      <c r="W1776" t="str">
        <f t="shared" si="278"/>
        <v/>
      </c>
      <c r="X1776">
        <f>IF($T1776="",N($X1775),IF(MATCH($T1776,$T$6:$T$10005,0)=ROW()-5,N($X1775)+1,N($X1775)))</f>
        <v>0</v>
      </c>
      <c r="Z1776" t="str">
        <f t="shared" si="279"/>
        <v/>
      </c>
      <c r="AA1776">
        <f>IF($V1776="",N($AA1775),IF(MATCH($V1776,$V$6:$V$10005,0)=ROW()-5,N($AA1775)+1,N($AA1775)))</f>
        <v>0</v>
      </c>
    </row>
    <row r="1777" spans="1:27" ht="21" customHeight="1" x14ac:dyDescent="0.95">
      <c r="A1777" s="56"/>
      <c r="B1777" s="57"/>
      <c r="C1777" s="57"/>
      <c r="D1777" s="57"/>
      <c r="E1777" s="56"/>
      <c r="F1777" s="57"/>
      <c r="G1777" s="57"/>
      <c r="H1777" s="56"/>
      <c r="I1777" s="56"/>
      <c r="J1777" s="58"/>
      <c r="K1777" s="58"/>
      <c r="L1777" s="13" t="str">
        <f t="shared" si="270"/>
        <v/>
      </c>
      <c r="M1777" s="13" t="str">
        <f t="shared" si="271"/>
        <v/>
      </c>
      <c r="Q1777" t="str">
        <f t="shared" si="272"/>
        <v/>
      </c>
      <c r="R1777" t="str">
        <f t="shared" si="273"/>
        <v/>
      </c>
      <c r="S1777" t="str">
        <f t="shared" si="274"/>
        <v/>
      </c>
      <c r="T1777" t="str">
        <f t="shared" si="275"/>
        <v/>
      </c>
      <c r="U1777" t="str">
        <f t="shared" si="276"/>
        <v/>
      </c>
      <c r="V1777" t="str">
        <f t="shared" si="277"/>
        <v/>
      </c>
      <c r="W1777" t="str">
        <f t="shared" si="278"/>
        <v/>
      </c>
      <c r="X1777">
        <f>IF($T1777="",N($X1776),IF(MATCH($T1777,$T$6:$T$10005,0)=ROW()-5,N($X1776)+1,N($X1776)))</f>
        <v>0</v>
      </c>
      <c r="Z1777" t="str">
        <f t="shared" si="279"/>
        <v/>
      </c>
      <c r="AA1777">
        <f>IF($V1777="",N($AA1776),IF(MATCH($V1777,$V$6:$V$10005,0)=ROW()-5,N($AA1776)+1,N($AA1776)))</f>
        <v>0</v>
      </c>
    </row>
    <row r="1778" spans="1:27" ht="21" customHeight="1" x14ac:dyDescent="0.95">
      <c r="A1778" s="56"/>
      <c r="B1778" s="57"/>
      <c r="C1778" s="57"/>
      <c r="D1778" s="57"/>
      <c r="E1778" s="56"/>
      <c r="F1778" s="57"/>
      <c r="G1778" s="57"/>
      <c r="H1778" s="56"/>
      <c r="I1778" s="56"/>
      <c r="J1778" s="58"/>
      <c r="K1778" s="58"/>
      <c r="L1778" s="13" t="str">
        <f t="shared" si="270"/>
        <v/>
      </c>
      <c r="M1778" s="13" t="str">
        <f t="shared" si="271"/>
        <v/>
      </c>
      <c r="Q1778" t="str">
        <f t="shared" si="272"/>
        <v/>
      </c>
      <c r="R1778" t="str">
        <f t="shared" si="273"/>
        <v/>
      </c>
      <c r="S1778" t="str">
        <f t="shared" si="274"/>
        <v/>
      </c>
      <c r="T1778" t="str">
        <f t="shared" si="275"/>
        <v/>
      </c>
      <c r="U1778" t="str">
        <f t="shared" si="276"/>
        <v/>
      </c>
      <c r="V1778" t="str">
        <f t="shared" si="277"/>
        <v/>
      </c>
      <c r="W1778" t="str">
        <f t="shared" si="278"/>
        <v/>
      </c>
      <c r="X1778">
        <f>IF($T1778="",N($X1777),IF(MATCH($T1778,$T$6:$T$10005,0)=ROW()-5,N($X1777)+1,N($X1777)))</f>
        <v>0</v>
      </c>
      <c r="Z1778" t="str">
        <f t="shared" si="279"/>
        <v/>
      </c>
      <c r="AA1778">
        <f>IF($V1778="",N($AA1777),IF(MATCH($V1778,$V$6:$V$10005,0)=ROW()-5,N($AA1777)+1,N($AA1777)))</f>
        <v>0</v>
      </c>
    </row>
    <row r="1779" spans="1:27" ht="21" customHeight="1" x14ac:dyDescent="0.95">
      <c r="A1779" s="56"/>
      <c r="B1779" s="57"/>
      <c r="C1779" s="57"/>
      <c r="D1779" s="57"/>
      <c r="E1779" s="56"/>
      <c r="F1779" s="57"/>
      <c r="G1779" s="57"/>
      <c r="H1779" s="56"/>
      <c r="I1779" s="56"/>
      <c r="J1779" s="58"/>
      <c r="K1779" s="58"/>
      <c r="L1779" s="13" t="str">
        <f t="shared" si="270"/>
        <v/>
      </c>
      <c r="M1779" s="13" t="str">
        <f t="shared" si="271"/>
        <v/>
      </c>
      <c r="Q1779" t="str">
        <f t="shared" si="272"/>
        <v/>
      </c>
      <c r="R1779" t="str">
        <f t="shared" si="273"/>
        <v/>
      </c>
      <c r="S1779" t="str">
        <f t="shared" si="274"/>
        <v/>
      </c>
      <c r="T1779" t="str">
        <f t="shared" si="275"/>
        <v/>
      </c>
      <c r="U1779" t="str">
        <f t="shared" si="276"/>
        <v/>
      </c>
      <c r="V1779" t="str">
        <f t="shared" si="277"/>
        <v/>
      </c>
      <c r="W1779" t="str">
        <f t="shared" si="278"/>
        <v/>
      </c>
      <c r="X1779">
        <f>IF($T1779="",N($X1778),IF(MATCH($T1779,$T$6:$T$10005,0)=ROW()-5,N($X1778)+1,N($X1778)))</f>
        <v>0</v>
      </c>
      <c r="Z1779" t="str">
        <f t="shared" si="279"/>
        <v/>
      </c>
      <c r="AA1779">
        <f>IF($V1779="",N($AA1778),IF(MATCH($V1779,$V$6:$V$10005,0)=ROW()-5,N($AA1778)+1,N($AA1778)))</f>
        <v>0</v>
      </c>
    </row>
    <row r="1780" spans="1:27" ht="21" customHeight="1" x14ac:dyDescent="0.95">
      <c r="A1780" s="56"/>
      <c r="B1780" s="57"/>
      <c r="C1780" s="57"/>
      <c r="D1780" s="57"/>
      <c r="E1780" s="56"/>
      <c r="F1780" s="57"/>
      <c r="G1780" s="57"/>
      <c r="H1780" s="56"/>
      <c r="I1780" s="56"/>
      <c r="J1780" s="58"/>
      <c r="K1780" s="58"/>
      <c r="L1780" s="13" t="str">
        <f t="shared" si="270"/>
        <v/>
      </c>
      <c r="M1780" s="13" t="str">
        <f t="shared" si="271"/>
        <v/>
      </c>
      <c r="Q1780" t="str">
        <f t="shared" si="272"/>
        <v/>
      </c>
      <c r="R1780" t="str">
        <f t="shared" si="273"/>
        <v/>
      </c>
      <c r="S1780" t="str">
        <f t="shared" si="274"/>
        <v/>
      </c>
      <c r="T1780" t="str">
        <f t="shared" si="275"/>
        <v/>
      </c>
      <c r="U1780" t="str">
        <f t="shared" si="276"/>
        <v/>
      </c>
      <c r="V1780" t="str">
        <f t="shared" si="277"/>
        <v/>
      </c>
      <c r="W1780" t="str">
        <f t="shared" si="278"/>
        <v/>
      </c>
      <c r="X1780">
        <f>IF($T1780="",N($X1779),IF(MATCH($T1780,$T$6:$T$10005,0)=ROW()-5,N($X1779)+1,N($X1779)))</f>
        <v>0</v>
      </c>
      <c r="Z1780" t="str">
        <f t="shared" si="279"/>
        <v/>
      </c>
      <c r="AA1780">
        <f>IF($V1780="",N($AA1779),IF(MATCH($V1780,$V$6:$V$10005,0)=ROW()-5,N($AA1779)+1,N($AA1779)))</f>
        <v>0</v>
      </c>
    </row>
    <row r="1781" spans="1:27" ht="21" customHeight="1" x14ac:dyDescent="0.95">
      <c r="A1781" s="56"/>
      <c r="B1781" s="57"/>
      <c r="C1781" s="57"/>
      <c r="D1781" s="57"/>
      <c r="E1781" s="56"/>
      <c r="F1781" s="57"/>
      <c r="G1781" s="57"/>
      <c r="H1781" s="56"/>
      <c r="I1781" s="56"/>
      <c r="J1781" s="58"/>
      <c r="K1781" s="58"/>
      <c r="L1781" s="13" t="str">
        <f t="shared" si="270"/>
        <v/>
      </c>
      <c r="M1781" s="13" t="str">
        <f t="shared" si="271"/>
        <v/>
      </c>
      <c r="Q1781" t="str">
        <f t="shared" si="272"/>
        <v/>
      </c>
      <c r="R1781" t="str">
        <f t="shared" si="273"/>
        <v/>
      </c>
      <c r="S1781" t="str">
        <f t="shared" si="274"/>
        <v/>
      </c>
      <c r="T1781" t="str">
        <f t="shared" si="275"/>
        <v/>
      </c>
      <c r="U1781" t="str">
        <f t="shared" si="276"/>
        <v/>
      </c>
      <c r="V1781" t="str">
        <f t="shared" si="277"/>
        <v/>
      </c>
      <c r="W1781" t="str">
        <f t="shared" si="278"/>
        <v/>
      </c>
      <c r="X1781">
        <f>IF($T1781="",N($X1780),IF(MATCH($T1781,$T$6:$T$10005,0)=ROW()-5,N($X1780)+1,N($X1780)))</f>
        <v>0</v>
      </c>
      <c r="Z1781" t="str">
        <f t="shared" si="279"/>
        <v/>
      </c>
      <c r="AA1781">
        <f>IF($V1781="",N($AA1780),IF(MATCH($V1781,$V$6:$V$10005,0)=ROW()-5,N($AA1780)+1,N($AA1780)))</f>
        <v>0</v>
      </c>
    </row>
    <row r="1782" spans="1:27" ht="21" customHeight="1" x14ac:dyDescent="0.95">
      <c r="A1782" s="56"/>
      <c r="B1782" s="57"/>
      <c r="C1782" s="57"/>
      <c r="D1782" s="57"/>
      <c r="E1782" s="56"/>
      <c r="F1782" s="57"/>
      <c r="G1782" s="57"/>
      <c r="H1782" s="56"/>
      <c r="I1782" s="56"/>
      <c r="J1782" s="58"/>
      <c r="K1782" s="58"/>
      <c r="L1782" s="13" t="str">
        <f t="shared" si="270"/>
        <v/>
      </c>
      <c r="M1782" s="13" t="str">
        <f t="shared" si="271"/>
        <v/>
      </c>
      <c r="Q1782" t="str">
        <f t="shared" si="272"/>
        <v/>
      </c>
      <c r="R1782" t="str">
        <f t="shared" si="273"/>
        <v/>
      </c>
      <c r="S1782" t="str">
        <f t="shared" si="274"/>
        <v/>
      </c>
      <c r="T1782" t="str">
        <f t="shared" si="275"/>
        <v/>
      </c>
      <c r="U1782" t="str">
        <f t="shared" si="276"/>
        <v/>
      </c>
      <c r="V1782" t="str">
        <f t="shared" si="277"/>
        <v/>
      </c>
      <c r="W1782" t="str">
        <f t="shared" si="278"/>
        <v/>
      </c>
      <c r="X1782">
        <f>IF($T1782="",N($X1781),IF(MATCH($T1782,$T$6:$T$10005,0)=ROW()-5,N($X1781)+1,N($X1781)))</f>
        <v>0</v>
      </c>
      <c r="Z1782" t="str">
        <f t="shared" si="279"/>
        <v/>
      </c>
      <c r="AA1782">
        <f>IF($V1782="",N($AA1781),IF(MATCH($V1782,$V$6:$V$10005,0)=ROW()-5,N($AA1781)+1,N($AA1781)))</f>
        <v>0</v>
      </c>
    </row>
    <row r="1783" spans="1:27" ht="21" customHeight="1" x14ac:dyDescent="0.95">
      <c r="A1783" s="56"/>
      <c r="B1783" s="57"/>
      <c r="C1783" s="57"/>
      <c r="D1783" s="57"/>
      <c r="E1783" s="56"/>
      <c r="F1783" s="57"/>
      <c r="G1783" s="57"/>
      <c r="H1783" s="56"/>
      <c r="I1783" s="56"/>
      <c r="J1783" s="58"/>
      <c r="K1783" s="58"/>
      <c r="L1783" s="13" t="str">
        <f t="shared" si="270"/>
        <v/>
      </c>
      <c r="M1783" s="13" t="str">
        <f t="shared" si="271"/>
        <v/>
      </c>
      <c r="Q1783" t="str">
        <f t="shared" si="272"/>
        <v/>
      </c>
      <c r="R1783" t="str">
        <f t="shared" si="273"/>
        <v/>
      </c>
      <c r="S1783" t="str">
        <f t="shared" si="274"/>
        <v/>
      </c>
      <c r="T1783" t="str">
        <f t="shared" si="275"/>
        <v/>
      </c>
      <c r="U1783" t="str">
        <f t="shared" si="276"/>
        <v/>
      </c>
      <c r="V1783" t="str">
        <f t="shared" si="277"/>
        <v/>
      </c>
      <c r="W1783" t="str">
        <f t="shared" si="278"/>
        <v/>
      </c>
      <c r="X1783">
        <f>IF($T1783="",N($X1782),IF(MATCH($T1783,$T$6:$T$10005,0)=ROW()-5,N($X1782)+1,N($X1782)))</f>
        <v>0</v>
      </c>
      <c r="Z1783" t="str">
        <f t="shared" si="279"/>
        <v/>
      </c>
      <c r="AA1783">
        <f>IF($V1783="",N($AA1782),IF(MATCH($V1783,$V$6:$V$10005,0)=ROW()-5,N($AA1782)+1,N($AA1782)))</f>
        <v>0</v>
      </c>
    </row>
    <row r="1784" spans="1:27" ht="21" customHeight="1" x14ac:dyDescent="0.95">
      <c r="A1784" s="56"/>
      <c r="B1784" s="57"/>
      <c r="C1784" s="57"/>
      <c r="D1784" s="57"/>
      <c r="E1784" s="56"/>
      <c r="F1784" s="57"/>
      <c r="G1784" s="57"/>
      <c r="H1784" s="56"/>
      <c r="I1784" s="56"/>
      <c r="J1784" s="58"/>
      <c r="K1784" s="58"/>
      <c r="L1784" s="13" t="str">
        <f t="shared" si="270"/>
        <v/>
      </c>
      <c r="M1784" s="13" t="str">
        <f t="shared" si="271"/>
        <v/>
      </c>
      <c r="Q1784" t="str">
        <f t="shared" si="272"/>
        <v/>
      </c>
      <c r="R1784" t="str">
        <f t="shared" si="273"/>
        <v/>
      </c>
      <c r="S1784" t="str">
        <f t="shared" si="274"/>
        <v/>
      </c>
      <c r="T1784" t="str">
        <f t="shared" si="275"/>
        <v/>
      </c>
      <c r="U1784" t="str">
        <f t="shared" si="276"/>
        <v/>
      </c>
      <c r="V1784" t="str">
        <f t="shared" si="277"/>
        <v/>
      </c>
      <c r="W1784" t="str">
        <f t="shared" si="278"/>
        <v/>
      </c>
      <c r="X1784">
        <f>IF($T1784="",N($X1783),IF(MATCH($T1784,$T$6:$T$10005,0)=ROW()-5,N($X1783)+1,N($X1783)))</f>
        <v>0</v>
      </c>
      <c r="Z1784" t="str">
        <f t="shared" si="279"/>
        <v/>
      </c>
      <c r="AA1784">
        <f>IF($V1784="",N($AA1783),IF(MATCH($V1784,$V$6:$V$10005,0)=ROW()-5,N($AA1783)+1,N($AA1783)))</f>
        <v>0</v>
      </c>
    </row>
    <row r="1785" spans="1:27" ht="21" customHeight="1" x14ac:dyDescent="0.95">
      <c r="A1785" s="56"/>
      <c r="B1785" s="57"/>
      <c r="C1785" s="57"/>
      <c r="D1785" s="57"/>
      <c r="E1785" s="56"/>
      <c r="F1785" s="57"/>
      <c r="G1785" s="57"/>
      <c r="H1785" s="56"/>
      <c r="I1785" s="56"/>
      <c r="J1785" s="58"/>
      <c r="K1785" s="58"/>
      <c r="L1785" s="13" t="str">
        <f t="shared" si="270"/>
        <v/>
      </c>
      <c r="M1785" s="13" t="str">
        <f t="shared" si="271"/>
        <v/>
      </c>
      <c r="Q1785" t="str">
        <f t="shared" si="272"/>
        <v/>
      </c>
      <c r="R1785" t="str">
        <f t="shared" si="273"/>
        <v/>
      </c>
      <c r="S1785" t="str">
        <f t="shared" si="274"/>
        <v/>
      </c>
      <c r="T1785" t="str">
        <f t="shared" si="275"/>
        <v/>
      </c>
      <c r="U1785" t="str">
        <f t="shared" si="276"/>
        <v/>
      </c>
      <c r="V1785" t="str">
        <f t="shared" si="277"/>
        <v/>
      </c>
      <c r="W1785" t="str">
        <f t="shared" si="278"/>
        <v/>
      </c>
      <c r="X1785">
        <f>IF($T1785="",N($X1784),IF(MATCH($T1785,$T$6:$T$10005,0)=ROW()-5,N($X1784)+1,N($X1784)))</f>
        <v>0</v>
      </c>
      <c r="Z1785" t="str">
        <f t="shared" si="279"/>
        <v/>
      </c>
      <c r="AA1785">
        <f>IF($V1785="",N($AA1784),IF(MATCH($V1785,$V$6:$V$10005,0)=ROW()-5,N($AA1784)+1,N($AA1784)))</f>
        <v>0</v>
      </c>
    </row>
    <row r="1786" spans="1:27" ht="21" customHeight="1" x14ac:dyDescent="0.95">
      <c r="A1786" s="56"/>
      <c r="B1786" s="57"/>
      <c r="C1786" s="57"/>
      <c r="D1786" s="57"/>
      <c r="E1786" s="56"/>
      <c r="F1786" s="57"/>
      <c r="G1786" s="57"/>
      <c r="H1786" s="56"/>
      <c r="I1786" s="56"/>
      <c r="J1786" s="58"/>
      <c r="K1786" s="58"/>
      <c r="L1786" s="13" t="str">
        <f t="shared" si="270"/>
        <v/>
      </c>
      <c r="M1786" s="13" t="str">
        <f t="shared" si="271"/>
        <v/>
      </c>
      <c r="Q1786" t="str">
        <f t="shared" si="272"/>
        <v/>
      </c>
      <c r="R1786" t="str">
        <f t="shared" si="273"/>
        <v/>
      </c>
      <c r="S1786" t="str">
        <f t="shared" si="274"/>
        <v/>
      </c>
      <c r="T1786" t="str">
        <f t="shared" si="275"/>
        <v/>
      </c>
      <c r="U1786" t="str">
        <f t="shared" si="276"/>
        <v/>
      </c>
      <c r="V1786" t="str">
        <f t="shared" si="277"/>
        <v/>
      </c>
      <c r="W1786" t="str">
        <f t="shared" si="278"/>
        <v/>
      </c>
      <c r="X1786">
        <f>IF($T1786="",N($X1785),IF(MATCH($T1786,$T$6:$T$10005,0)=ROW()-5,N($X1785)+1,N($X1785)))</f>
        <v>0</v>
      </c>
      <c r="Z1786" t="str">
        <f t="shared" si="279"/>
        <v/>
      </c>
      <c r="AA1786">
        <f>IF($V1786="",N($AA1785),IF(MATCH($V1786,$V$6:$V$10005,0)=ROW()-5,N($AA1785)+1,N($AA1785)))</f>
        <v>0</v>
      </c>
    </row>
    <row r="1787" spans="1:27" ht="21" customHeight="1" x14ac:dyDescent="0.95">
      <c r="A1787" s="56"/>
      <c r="B1787" s="57"/>
      <c r="C1787" s="57"/>
      <c r="D1787" s="57"/>
      <c r="E1787" s="56"/>
      <c r="F1787" s="57"/>
      <c r="G1787" s="57"/>
      <c r="H1787" s="56"/>
      <c r="I1787" s="56"/>
      <c r="J1787" s="58"/>
      <c r="K1787" s="58"/>
      <c r="L1787" s="13" t="str">
        <f t="shared" si="270"/>
        <v/>
      </c>
      <c r="M1787" s="13" t="str">
        <f t="shared" si="271"/>
        <v/>
      </c>
      <c r="Q1787" t="str">
        <f t="shared" si="272"/>
        <v/>
      </c>
      <c r="R1787" t="str">
        <f t="shared" si="273"/>
        <v/>
      </c>
      <c r="S1787" t="str">
        <f t="shared" si="274"/>
        <v/>
      </c>
      <c r="T1787" t="str">
        <f t="shared" si="275"/>
        <v/>
      </c>
      <c r="U1787" t="str">
        <f t="shared" si="276"/>
        <v/>
      </c>
      <c r="V1787" t="str">
        <f t="shared" si="277"/>
        <v/>
      </c>
      <c r="W1787" t="str">
        <f t="shared" si="278"/>
        <v/>
      </c>
      <c r="X1787">
        <f>IF($T1787="",N($X1786),IF(MATCH($T1787,$T$6:$T$10005,0)=ROW()-5,N($X1786)+1,N($X1786)))</f>
        <v>0</v>
      </c>
      <c r="Z1787" t="str">
        <f t="shared" si="279"/>
        <v/>
      </c>
      <c r="AA1787">
        <f>IF($V1787="",N($AA1786),IF(MATCH($V1787,$V$6:$V$10005,0)=ROW()-5,N($AA1786)+1,N($AA1786)))</f>
        <v>0</v>
      </c>
    </row>
    <row r="1788" spans="1:27" ht="21" customHeight="1" x14ac:dyDescent="0.95">
      <c r="A1788" s="56"/>
      <c r="B1788" s="57"/>
      <c r="C1788" s="57"/>
      <c r="D1788" s="57"/>
      <c r="E1788" s="56"/>
      <c r="F1788" s="57"/>
      <c r="G1788" s="57"/>
      <c r="H1788" s="56"/>
      <c r="I1788" s="56"/>
      <c r="J1788" s="58"/>
      <c r="K1788" s="58"/>
      <c r="L1788" s="13" t="str">
        <f t="shared" si="270"/>
        <v/>
      </c>
      <c r="M1788" s="13" t="str">
        <f t="shared" si="271"/>
        <v/>
      </c>
      <c r="Q1788" t="str">
        <f t="shared" si="272"/>
        <v/>
      </c>
      <c r="R1788" t="str">
        <f t="shared" si="273"/>
        <v/>
      </c>
      <c r="S1788" t="str">
        <f t="shared" si="274"/>
        <v/>
      </c>
      <c r="T1788" t="str">
        <f t="shared" si="275"/>
        <v/>
      </c>
      <c r="U1788" t="str">
        <f t="shared" si="276"/>
        <v/>
      </c>
      <c r="V1788" t="str">
        <f t="shared" si="277"/>
        <v/>
      </c>
      <c r="W1788" t="str">
        <f t="shared" si="278"/>
        <v/>
      </c>
      <c r="X1788">
        <f>IF($T1788="",N($X1787),IF(MATCH($T1788,$T$6:$T$10005,0)=ROW()-5,N($X1787)+1,N($X1787)))</f>
        <v>0</v>
      </c>
      <c r="Z1788" t="str">
        <f t="shared" si="279"/>
        <v/>
      </c>
      <c r="AA1788">
        <f>IF($V1788="",N($AA1787),IF(MATCH($V1788,$V$6:$V$10005,0)=ROW()-5,N($AA1787)+1,N($AA1787)))</f>
        <v>0</v>
      </c>
    </row>
    <row r="1789" spans="1:27" ht="21" customHeight="1" x14ac:dyDescent="0.95">
      <c r="A1789" s="56"/>
      <c r="B1789" s="57"/>
      <c r="C1789" s="57"/>
      <c r="D1789" s="57"/>
      <c r="E1789" s="56"/>
      <c r="F1789" s="57"/>
      <c r="G1789" s="57"/>
      <c r="H1789" s="56"/>
      <c r="I1789" s="56"/>
      <c r="J1789" s="58"/>
      <c r="K1789" s="58"/>
      <c r="L1789" s="13" t="str">
        <f t="shared" si="270"/>
        <v/>
      </c>
      <c r="M1789" s="13" t="str">
        <f t="shared" si="271"/>
        <v/>
      </c>
      <c r="Q1789" t="str">
        <f t="shared" si="272"/>
        <v/>
      </c>
      <c r="R1789" t="str">
        <f t="shared" si="273"/>
        <v/>
      </c>
      <c r="S1789" t="str">
        <f t="shared" si="274"/>
        <v/>
      </c>
      <c r="T1789" t="str">
        <f t="shared" si="275"/>
        <v/>
      </c>
      <c r="U1789" t="str">
        <f t="shared" si="276"/>
        <v/>
      </c>
      <c r="V1789" t="str">
        <f t="shared" si="277"/>
        <v/>
      </c>
      <c r="W1789" t="str">
        <f t="shared" si="278"/>
        <v/>
      </c>
      <c r="X1789">
        <f>IF($T1789="",N($X1788),IF(MATCH($T1789,$T$6:$T$10005,0)=ROW()-5,N($X1788)+1,N($X1788)))</f>
        <v>0</v>
      </c>
      <c r="Z1789" t="str">
        <f t="shared" si="279"/>
        <v/>
      </c>
      <c r="AA1789">
        <f>IF($V1789="",N($AA1788),IF(MATCH($V1789,$V$6:$V$10005,0)=ROW()-5,N($AA1788)+1,N($AA1788)))</f>
        <v>0</v>
      </c>
    </row>
    <row r="1790" spans="1:27" ht="21" customHeight="1" x14ac:dyDescent="0.95">
      <c r="A1790" s="56"/>
      <c r="B1790" s="57"/>
      <c r="C1790" s="57"/>
      <c r="D1790" s="57"/>
      <c r="E1790" s="56"/>
      <c r="F1790" s="57"/>
      <c r="G1790" s="57"/>
      <c r="H1790" s="56"/>
      <c r="I1790" s="56"/>
      <c r="J1790" s="58"/>
      <c r="K1790" s="58"/>
      <c r="L1790" s="13" t="str">
        <f t="shared" si="270"/>
        <v/>
      </c>
      <c r="M1790" s="13" t="str">
        <f t="shared" si="271"/>
        <v/>
      </c>
      <c r="Q1790" t="str">
        <f t="shared" si="272"/>
        <v/>
      </c>
      <c r="R1790" t="str">
        <f t="shared" si="273"/>
        <v/>
      </c>
      <c r="S1790" t="str">
        <f t="shared" si="274"/>
        <v/>
      </c>
      <c r="T1790" t="str">
        <f t="shared" si="275"/>
        <v/>
      </c>
      <c r="U1790" t="str">
        <f t="shared" si="276"/>
        <v/>
      </c>
      <c r="V1790" t="str">
        <f t="shared" si="277"/>
        <v/>
      </c>
      <c r="W1790" t="str">
        <f t="shared" si="278"/>
        <v/>
      </c>
      <c r="X1790">
        <f>IF($T1790="",N($X1789),IF(MATCH($T1790,$T$6:$T$10005,0)=ROW()-5,N($X1789)+1,N($X1789)))</f>
        <v>0</v>
      </c>
      <c r="Z1790" t="str">
        <f t="shared" si="279"/>
        <v/>
      </c>
      <c r="AA1790">
        <f>IF($V1790="",N($AA1789),IF(MATCH($V1790,$V$6:$V$10005,0)=ROW()-5,N($AA1789)+1,N($AA1789)))</f>
        <v>0</v>
      </c>
    </row>
    <row r="1791" spans="1:27" ht="21" customHeight="1" x14ac:dyDescent="0.95">
      <c r="A1791" s="56"/>
      <c r="B1791" s="57"/>
      <c r="C1791" s="57"/>
      <c r="D1791" s="57"/>
      <c r="E1791" s="56"/>
      <c r="F1791" s="57"/>
      <c r="G1791" s="57"/>
      <c r="H1791" s="56"/>
      <c r="I1791" s="56"/>
      <c r="J1791" s="58"/>
      <c r="K1791" s="58"/>
      <c r="L1791" s="13" t="str">
        <f t="shared" si="270"/>
        <v/>
      </c>
      <c r="M1791" s="13" t="str">
        <f t="shared" si="271"/>
        <v/>
      </c>
      <c r="Q1791" t="str">
        <f t="shared" si="272"/>
        <v/>
      </c>
      <c r="R1791" t="str">
        <f t="shared" si="273"/>
        <v/>
      </c>
      <c r="S1791" t="str">
        <f t="shared" si="274"/>
        <v/>
      </c>
      <c r="T1791" t="str">
        <f t="shared" si="275"/>
        <v/>
      </c>
      <c r="U1791" t="str">
        <f t="shared" si="276"/>
        <v/>
      </c>
      <c r="V1791" t="str">
        <f t="shared" si="277"/>
        <v/>
      </c>
      <c r="W1791" t="str">
        <f t="shared" si="278"/>
        <v/>
      </c>
      <c r="X1791">
        <f>IF($T1791="",N($X1790),IF(MATCH($T1791,$T$6:$T$10005,0)=ROW()-5,N($X1790)+1,N($X1790)))</f>
        <v>0</v>
      </c>
      <c r="Z1791" t="str">
        <f t="shared" si="279"/>
        <v/>
      </c>
      <c r="AA1791">
        <f>IF($V1791="",N($AA1790),IF(MATCH($V1791,$V$6:$V$10005,0)=ROW()-5,N($AA1790)+1,N($AA1790)))</f>
        <v>0</v>
      </c>
    </row>
    <row r="1792" spans="1:27" ht="21" customHeight="1" x14ac:dyDescent="0.95">
      <c r="A1792" s="56"/>
      <c r="B1792" s="57"/>
      <c r="C1792" s="57"/>
      <c r="D1792" s="57"/>
      <c r="E1792" s="56"/>
      <c r="F1792" s="57"/>
      <c r="G1792" s="57"/>
      <c r="H1792" s="56"/>
      <c r="I1792" s="56"/>
      <c r="J1792" s="58"/>
      <c r="K1792" s="58"/>
      <c r="L1792" s="13" t="str">
        <f t="shared" si="270"/>
        <v/>
      </c>
      <c r="M1792" s="13" t="str">
        <f t="shared" si="271"/>
        <v/>
      </c>
      <c r="Q1792" t="str">
        <f t="shared" si="272"/>
        <v/>
      </c>
      <c r="R1792" t="str">
        <f t="shared" si="273"/>
        <v/>
      </c>
      <c r="S1792" t="str">
        <f t="shared" si="274"/>
        <v/>
      </c>
      <c r="T1792" t="str">
        <f t="shared" si="275"/>
        <v/>
      </c>
      <c r="U1792" t="str">
        <f t="shared" si="276"/>
        <v/>
      </c>
      <c r="V1792" t="str">
        <f t="shared" si="277"/>
        <v/>
      </c>
      <c r="W1792" t="str">
        <f t="shared" si="278"/>
        <v/>
      </c>
      <c r="X1792">
        <f>IF($T1792="",N($X1791),IF(MATCH($T1792,$T$6:$T$10005,0)=ROW()-5,N($X1791)+1,N($X1791)))</f>
        <v>0</v>
      </c>
      <c r="Z1792" t="str">
        <f t="shared" si="279"/>
        <v/>
      </c>
      <c r="AA1792">
        <f>IF($V1792="",N($AA1791),IF(MATCH($V1792,$V$6:$V$10005,0)=ROW()-5,N($AA1791)+1,N($AA1791)))</f>
        <v>0</v>
      </c>
    </row>
    <row r="1793" spans="1:27" ht="21" customHeight="1" x14ac:dyDescent="0.95">
      <c r="A1793" s="56"/>
      <c r="B1793" s="57"/>
      <c r="C1793" s="57"/>
      <c r="D1793" s="57"/>
      <c r="E1793" s="56"/>
      <c r="F1793" s="57"/>
      <c r="G1793" s="57"/>
      <c r="H1793" s="56"/>
      <c r="I1793" s="56"/>
      <c r="J1793" s="58"/>
      <c r="K1793" s="58"/>
      <c r="L1793" s="13" t="str">
        <f t="shared" si="270"/>
        <v/>
      </c>
      <c r="M1793" s="13" t="str">
        <f t="shared" si="271"/>
        <v/>
      </c>
      <c r="Q1793" t="str">
        <f t="shared" si="272"/>
        <v/>
      </c>
      <c r="R1793" t="str">
        <f t="shared" si="273"/>
        <v/>
      </c>
      <c r="S1793" t="str">
        <f t="shared" si="274"/>
        <v/>
      </c>
      <c r="T1793" t="str">
        <f t="shared" si="275"/>
        <v/>
      </c>
      <c r="U1793" t="str">
        <f t="shared" si="276"/>
        <v/>
      </c>
      <c r="V1793" t="str">
        <f t="shared" si="277"/>
        <v/>
      </c>
      <c r="W1793" t="str">
        <f t="shared" si="278"/>
        <v/>
      </c>
      <c r="X1793">
        <f>IF($T1793="",N($X1792),IF(MATCH($T1793,$T$6:$T$10005,0)=ROW()-5,N($X1792)+1,N($X1792)))</f>
        <v>0</v>
      </c>
      <c r="Z1793" t="str">
        <f t="shared" si="279"/>
        <v/>
      </c>
      <c r="AA1793">
        <f>IF($V1793="",N($AA1792),IF(MATCH($V1793,$V$6:$V$10005,0)=ROW()-5,N($AA1792)+1,N($AA1792)))</f>
        <v>0</v>
      </c>
    </row>
    <row r="1794" spans="1:27" ht="21" customHeight="1" x14ac:dyDescent="0.95">
      <c r="A1794" s="56"/>
      <c r="B1794" s="57"/>
      <c r="C1794" s="57"/>
      <c r="D1794" s="57"/>
      <c r="E1794" s="56"/>
      <c r="F1794" s="57"/>
      <c r="G1794" s="57"/>
      <c r="H1794" s="56"/>
      <c r="I1794" s="56"/>
      <c r="J1794" s="58"/>
      <c r="K1794" s="58"/>
      <c r="L1794" s="13" t="str">
        <f t="shared" si="270"/>
        <v/>
      </c>
      <c r="M1794" s="13" t="str">
        <f t="shared" si="271"/>
        <v/>
      </c>
      <c r="Q1794" t="str">
        <f t="shared" si="272"/>
        <v/>
      </c>
      <c r="R1794" t="str">
        <f t="shared" si="273"/>
        <v/>
      </c>
      <c r="S1794" t="str">
        <f t="shared" si="274"/>
        <v/>
      </c>
      <c r="T1794" t="str">
        <f t="shared" si="275"/>
        <v/>
      </c>
      <c r="U1794" t="str">
        <f t="shared" si="276"/>
        <v/>
      </c>
      <c r="V1794" t="str">
        <f t="shared" si="277"/>
        <v/>
      </c>
      <c r="W1794" t="str">
        <f t="shared" si="278"/>
        <v/>
      </c>
      <c r="X1794">
        <f>IF($T1794="",N($X1793),IF(MATCH($T1794,$T$6:$T$10005,0)=ROW()-5,N($X1793)+1,N($X1793)))</f>
        <v>0</v>
      </c>
      <c r="Z1794" t="str">
        <f t="shared" si="279"/>
        <v/>
      </c>
      <c r="AA1794">
        <f>IF($V1794="",N($AA1793),IF(MATCH($V1794,$V$6:$V$10005,0)=ROW()-5,N($AA1793)+1,N($AA1793)))</f>
        <v>0</v>
      </c>
    </row>
    <row r="1795" spans="1:27" ht="21" customHeight="1" x14ac:dyDescent="0.95">
      <c r="A1795" s="56"/>
      <c r="B1795" s="57"/>
      <c r="C1795" s="57"/>
      <c r="D1795" s="57"/>
      <c r="E1795" s="56"/>
      <c r="F1795" s="57"/>
      <c r="G1795" s="57"/>
      <c r="H1795" s="56"/>
      <c r="I1795" s="56"/>
      <c r="J1795" s="58"/>
      <c r="K1795" s="58"/>
      <c r="L1795" s="13" t="str">
        <f t="shared" si="270"/>
        <v/>
      </c>
      <c r="M1795" s="13" t="str">
        <f t="shared" si="271"/>
        <v/>
      </c>
      <c r="Q1795" t="str">
        <f t="shared" si="272"/>
        <v/>
      </c>
      <c r="R1795" t="str">
        <f t="shared" si="273"/>
        <v/>
      </c>
      <c r="S1795" t="str">
        <f t="shared" si="274"/>
        <v/>
      </c>
      <c r="T1795" t="str">
        <f t="shared" si="275"/>
        <v/>
      </c>
      <c r="U1795" t="str">
        <f t="shared" si="276"/>
        <v/>
      </c>
      <c r="V1795" t="str">
        <f t="shared" si="277"/>
        <v/>
      </c>
      <c r="W1795" t="str">
        <f t="shared" si="278"/>
        <v/>
      </c>
      <c r="X1795">
        <f>IF($T1795="",N($X1794),IF(MATCH($T1795,$T$6:$T$10005,0)=ROW()-5,N($X1794)+1,N($X1794)))</f>
        <v>0</v>
      </c>
      <c r="Z1795" t="str">
        <f t="shared" si="279"/>
        <v/>
      </c>
      <c r="AA1795">
        <f>IF($V1795="",N($AA1794),IF(MATCH($V1795,$V$6:$V$10005,0)=ROW()-5,N($AA1794)+1,N($AA1794)))</f>
        <v>0</v>
      </c>
    </row>
    <row r="1796" spans="1:27" ht="21" customHeight="1" x14ac:dyDescent="0.95">
      <c r="A1796" s="56"/>
      <c r="B1796" s="57"/>
      <c r="C1796" s="57"/>
      <c r="D1796" s="57"/>
      <c r="E1796" s="56"/>
      <c r="F1796" s="57"/>
      <c r="G1796" s="57"/>
      <c r="H1796" s="56"/>
      <c r="I1796" s="56"/>
      <c r="J1796" s="58"/>
      <c r="K1796" s="58"/>
      <c r="L1796" s="13" t="str">
        <f t="shared" si="270"/>
        <v/>
      </c>
      <c r="M1796" s="13" t="str">
        <f t="shared" si="271"/>
        <v/>
      </c>
      <c r="Q1796" t="str">
        <f t="shared" si="272"/>
        <v/>
      </c>
      <c r="R1796" t="str">
        <f t="shared" si="273"/>
        <v/>
      </c>
      <c r="S1796" t="str">
        <f t="shared" si="274"/>
        <v/>
      </c>
      <c r="T1796" t="str">
        <f t="shared" si="275"/>
        <v/>
      </c>
      <c r="U1796" t="str">
        <f t="shared" si="276"/>
        <v/>
      </c>
      <c r="V1796" t="str">
        <f t="shared" si="277"/>
        <v/>
      </c>
      <c r="W1796" t="str">
        <f t="shared" si="278"/>
        <v/>
      </c>
      <c r="X1796">
        <f>IF($T1796="",N($X1795),IF(MATCH($T1796,$T$6:$T$10005,0)=ROW()-5,N($X1795)+1,N($X1795)))</f>
        <v>0</v>
      </c>
      <c r="Z1796" t="str">
        <f t="shared" si="279"/>
        <v/>
      </c>
      <c r="AA1796">
        <f>IF($V1796="",N($AA1795),IF(MATCH($V1796,$V$6:$V$10005,0)=ROW()-5,N($AA1795)+1,N($AA1795)))</f>
        <v>0</v>
      </c>
    </row>
    <row r="1797" spans="1:27" ht="21" customHeight="1" x14ac:dyDescent="0.95">
      <c r="A1797" s="56"/>
      <c r="B1797" s="57"/>
      <c r="C1797" s="57"/>
      <c r="D1797" s="57"/>
      <c r="E1797" s="56"/>
      <c r="F1797" s="57"/>
      <c r="G1797" s="57"/>
      <c r="H1797" s="56"/>
      <c r="I1797" s="56"/>
      <c r="J1797" s="58"/>
      <c r="K1797" s="58"/>
      <c r="L1797" s="13" t="str">
        <f t="shared" si="270"/>
        <v/>
      </c>
      <c r="M1797" s="13" t="str">
        <f t="shared" si="271"/>
        <v/>
      </c>
      <c r="Q1797" t="str">
        <f t="shared" si="272"/>
        <v/>
      </c>
      <c r="R1797" t="str">
        <f t="shared" si="273"/>
        <v/>
      </c>
      <c r="S1797" t="str">
        <f t="shared" si="274"/>
        <v/>
      </c>
      <c r="T1797" t="str">
        <f t="shared" si="275"/>
        <v/>
      </c>
      <c r="U1797" t="str">
        <f t="shared" si="276"/>
        <v/>
      </c>
      <c r="V1797" t="str">
        <f t="shared" si="277"/>
        <v/>
      </c>
      <c r="W1797" t="str">
        <f t="shared" si="278"/>
        <v/>
      </c>
      <c r="X1797">
        <f>IF($T1797="",N($X1796),IF(MATCH($T1797,$T$6:$T$10005,0)=ROW()-5,N($X1796)+1,N($X1796)))</f>
        <v>0</v>
      </c>
      <c r="Z1797" t="str">
        <f t="shared" si="279"/>
        <v/>
      </c>
      <c r="AA1797">
        <f>IF($V1797="",N($AA1796),IF(MATCH($V1797,$V$6:$V$10005,0)=ROW()-5,N($AA1796)+1,N($AA1796)))</f>
        <v>0</v>
      </c>
    </row>
    <row r="1798" spans="1:27" ht="21" customHeight="1" x14ac:dyDescent="0.95">
      <c r="A1798" s="56"/>
      <c r="B1798" s="57"/>
      <c r="C1798" s="57"/>
      <c r="D1798" s="57"/>
      <c r="E1798" s="56"/>
      <c r="F1798" s="57"/>
      <c r="G1798" s="57"/>
      <c r="H1798" s="56"/>
      <c r="I1798" s="56"/>
      <c r="J1798" s="58"/>
      <c r="K1798" s="58"/>
      <c r="L1798" s="13" t="str">
        <f t="shared" ref="L1798:L1861" si="280">IF(OR($A1798="",AND($J1798="",$K1798="")),"",ROUND(N($J1798)-N($K1798),2))</f>
        <v/>
      </c>
      <c r="M1798" s="13" t="str">
        <f t="shared" ref="M1798:M1861" si="281">IF(OR($A1798="",AND($J1798="",$K1798="")),"",MIN($J1798,$K1798))</f>
        <v/>
      </c>
      <c r="Q1798" t="str">
        <f t="shared" ref="Q1798:Q1861" si="282">IF($A1798="","",$D1798&amp;"("&amp;SUBSTITUTE($E1798," ","")&amp;")")</f>
        <v/>
      </c>
      <c r="R1798" t="str">
        <f t="shared" ref="R1798:R1861" si="283">IF($A1798="","",$B1798&amp;" - "&amp;$C1798)</f>
        <v/>
      </c>
      <c r="S1798" t="str">
        <f t="shared" ref="S1798:S1861" si="284">IF($A1798="","",$R1798&amp;"|"&amp;$Q1798)</f>
        <v/>
      </c>
      <c r="T1798" t="str">
        <f t="shared" ref="T1798:T1861" si="285">IF($A1798="","",$S1798&amp;"|"&amp;$F1798)</f>
        <v/>
      </c>
      <c r="U1798" t="str">
        <f t="shared" ref="U1798:U1861" si="286">IF($A1798="","",$R1798&amp;"("&amp;$E1798&amp;")")</f>
        <v/>
      </c>
      <c r="V1798" t="str">
        <f t="shared" ref="V1798:V1861" si="287">IF($A1798="","",$F1798&amp;"|"&amp;$U1798&amp;"|"&amp;$D1798)</f>
        <v/>
      </c>
      <c r="W1798" t="str">
        <f t="shared" ref="W1798:W1861" si="288">IF($T1798="","",IF($X1798&gt;N($X1797),$X1798,""))</f>
        <v/>
      </c>
      <c r="X1798">
        <f>IF($T1798="",N($X1797),IF(MATCH($T1798,$T$6:$T$10005,0)=ROW()-5,N($X1797)+1,N($X1797)))</f>
        <v>0</v>
      </c>
      <c r="Z1798" t="str">
        <f t="shared" ref="Z1798:Z1861" si="289">IF($V1798="","",IF($AA1798&gt;N($AA1797),$AA1798,""))</f>
        <v/>
      </c>
      <c r="AA1798">
        <f>IF($V1798="",N($AA1797),IF(MATCH($V1798,$V$6:$V$10005,0)=ROW()-5,N($AA1797)+1,N($AA1797)))</f>
        <v>0</v>
      </c>
    </row>
    <row r="1799" spans="1:27" ht="21" customHeight="1" x14ac:dyDescent="0.95">
      <c r="A1799" s="56"/>
      <c r="B1799" s="57"/>
      <c r="C1799" s="57"/>
      <c r="D1799" s="57"/>
      <c r="E1799" s="56"/>
      <c r="F1799" s="57"/>
      <c r="G1799" s="57"/>
      <c r="H1799" s="56"/>
      <c r="I1799" s="56"/>
      <c r="J1799" s="58"/>
      <c r="K1799" s="58"/>
      <c r="L1799" s="13" t="str">
        <f t="shared" si="280"/>
        <v/>
      </c>
      <c r="M1799" s="13" t="str">
        <f t="shared" si="281"/>
        <v/>
      </c>
      <c r="Q1799" t="str">
        <f t="shared" si="282"/>
        <v/>
      </c>
      <c r="R1799" t="str">
        <f t="shared" si="283"/>
        <v/>
      </c>
      <c r="S1799" t="str">
        <f t="shared" si="284"/>
        <v/>
      </c>
      <c r="T1799" t="str">
        <f t="shared" si="285"/>
        <v/>
      </c>
      <c r="U1799" t="str">
        <f t="shared" si="286"/>
        <v/>
      </c>
      <c r="V1799" t="str">
        <f t="shared" si="287"/>
        <v/>
      </c>
      <c r="W1799" t="str">
        <f t="shared" si="288"/>
        <v/>
      </c>
      <c r="X1799">
        <f>IF($T1799="",N($X1798),IF(MATCH($T1799,$T$6:$T$10005,0)=ROW()-5,N($X1798)+1,N($X1798)))</f>
        <v>0</v>
      </c>
      <c r="Z1799" t="str">
        <f t="shared" si="289"/>
        <v/>
      </c>
      <c r="AA1799">
        <f>IF($V1799="",N($AA1798),IF(MATCH($V1799,$V$6:$V$10005,0)=ROW()-5,N($AA1798)+1,N($AA1798)))</f>
        <v>0</v>
      </c>
    </row>
    <row r="1800" spans="1:27" ht="21" customHeight="1" x14ac:dyDescent="0.95">
      <c r="A1800" s="56"/>
      <c r="B1800" s="57"/>
      <c r="C1800" s="57"/>
      <c r="D1800" s="57"/>
      <c r="E1800" s="56"/>
      <c r="F1800" s="57"/>
      <c r="G1800" s="57"/>
      <c r="H1800" s="56"/>
      <c r="I1800" s="56"/>
      <c r="J1800" s="58"/>
      <c r="K1800" s="58"/>
      <c r="L1800" s="13" t="str">
        <f t="shared" si="280"/>
        <v/>
      </c>
      <c r="M1800" s="13" t="str">
        <f t="shared" si="281"/>
        <v/>
      </c>
      <c r="Q1800" t="str">
        <f t="shared" si="282"/>
        <v/>
      </c>
      <c r="R1800" t="str">
        <f t="shared" si="283"/>
        <v/>
      </c>
      <c r="S1800" t="str">
        <f t="shared" si="284"/>
        <v/>
      </c>
      <c r="T1800" t="str">
        <f t="shared" si="285"/>
        <v/>
      </c>
      <c r="U1800" t="str">
        <f t="shared" si="286"/>
        <v/>
      </c>
      <c r="V1800" t="str">
        <f t="shared" si="287"/>
        <v/>
      </c>
      <c r="W1800" t="str">
        <f t="shared" si="288"/>
        <v/>
      </c>
      <c r="X1800">
        <f>IF($T1800="",N($X1799),IF(MATCH($T1800,$T$6:$T$10005,0)=ROW()-5,N($X1799)+1,N($X1799)))</f>
        <v>0</v>
      </c>
      <c r="Z1800" t="str">
        <f t="shared" si="289"/>
        <v/>
      </c>
      <c r="AA1800">
        <f>IF($V1800="",N($AA1799),IF(MATCH($V1800,$V$6:$V$10005,0)=ROW()-5,N($AA1799)+1,N($AA1799)))</f>
        <v>0</v>
      </c>
    </row>
    <row r="1801" spans="1:27" ht="21" customHeight="1" x14ac:dyDescent="0.95">
      <c r="A1801" s="56"/>
      <c r="B1801" s="57"/>
      <c r="C1801" s="57"/>
      <c r="D1801" s="57"/>
      <c r="E1801" s="56"/>
      <c r="F1801" s="57"/>
      <c r="G1801" s="57"/>
      <c r="H1801" s="56"/>
      <c r="I1801" s="56"/>
      <c r="J1801" s="58"/>
      <c r="K1801" s="58"/>
      <c r="L1801" s="13" t="str">
        <f t="shared" si="280"/>
        <v/>
      </c>
      <c r="M1801" s="13" t="str">
        <f t="shared" si="281"/>
        <v/>
      </c>
      <c r="Q1801" t="str">
        <f t="shared" si="282"/>
        <v/>
      </c>
      <c r="R1801" t="str">
        <f t="shared" si="283"/>
        <v/>
      </c>
      <c r="S1801" t="str">
        <f t="shared" si="284"/>
        <v/>
      </c>
      <c r="T1801" t="str">
        <f t="shared" si="285"/>
        <v/>
      </c>
      <c r="U1801" t="str">
        <f t="shared" si="286"/>
        <v/>
      </c>
      <c r="V1801" t="str">
        <f t="shared" si="287"/>
        <v/>
      </c>
      <c r="W1801" t="str">
        <f t="shared" si="288"/>
        <v/>
      </c>
      <c r="X1801">
        <f>IF($T1801="",N($X1800),IF(MATCH($T1801,$T$6:$T$10005,0)=ROW()-5,N($X1800)+1,N($X1800)))</f>
        <v>0</v>
      </c>
      <c r="Z1801" t="str">
        <f t="shared" si="289"/>
        <v/>
      </c>
      <c r="AA1801">
        <f>IF($V1801="",N($AA1800),IF(MATCH($V1801,$V$6:$V$10005,0)=ROW()-5,N($AA1800)+1,N($AA1800)))</f>
        <v>0</v>
      </c>
    </row>
    <row r="1802" spans="1:27" ht="21" customHeight="1" x14ac:dyDescent="0.95">
      <c r="A1802" s="56"/>
      <c r="B1802" s="57"/>
      <c r="C1802" s="57"/>
      <c r="D1802" s="57"/>
      <c r="E1802" s="56"/>
      <c r="F1802" s="57"/>
      <c r="G1802" s="57"/>
      <c r="H1802" s="56"/>
      <c r="I1802" s="56"/>
      <c r="J1802" s="58"/>
      <c r="K1802" s="58"/>
      <c r="L1802" s="13" t="str">
        <f t="shared" si="280"/>
        <v/>
      </c>
      <c r="M1802" s="13" t="str">
        <f t="shared" si="281"/>
        <v/>
      </c>
      <c r="Q1802" t="str">
        <f t="shared" si="282"/>
        <v/>
      </c>
      <c r="R1802" t="str">
        <f t="shared" si="283"/>
        <v/>
      </c>
      <c r="S1802" t="str">
        <f t="shared" si="284"/>
        <v/>
      </c>
      <c r="T1802" t="str">
        <f t="shared" si="285"/>
        <v/>
      </c>
      <c r="U1802" t="str">
        <f t="shared" si="286"/>
        <v/>
      </c>
      <c r="V1802" t="str">
        <f t="shared" si="287"/>
        <v/>
      </c>
      <c r="W1802" t="str">
        <f t="shared" si="288"/>
        <v/>
      </c>
      <c r="X1802">
        <f>IF($T1802="",N($X1801),IF(MATCH($T1802,$T$6:$T$10005,0)=ROW()-5,N($X1801)+1,N($X1801)))</f>
        <v>0</v>
      </c>
      <c r="Z1802" t="str">
        <f t="shared" si="289"/>
        <v/>
      </c>
      <c r="AA1802">
        <f>IF($V1802="",N($AA1801),IF(MATCH($V1802,$V$6:$V$10005,0)=ROW()-5,N($AA1801)+1,N($AA1801)))</f>
        <v>0</v>
      </c>
    </row>
    <row r="1803" spans="1:27" ht="21" customHeight="1" x14ac:dyDescent="0.95">
      <c r="A1803" s="56"/>
      <c r="B1803" s="57"/>
      <c r="C1803" s="57"/>
      <c r="D1803" s="57"/>
      <c r="E1803" s="56"/>
      <c r="F1803" s="57"/>
      <c r="G1803" s="57"/>
      <c r="H1803" s="56"/>
      <c r="I1803" s="56"/>
      <c r="J1803" s="58"/>
      <c r="K1803" s="58"/>
      <c r="L1803" s="13" t="str">
        <f t="shared" si="280"/>
        <v/>
      </c>
      <c r="M1803" s="13" t="str">
        <f t="shared" si="281"/>
        <v/>
      </c>
      <c r="Q1803" t="str">
        <f t="shared" si="282"/>
        <v/>
      </c>
      <c r="R1803" t="str">
        <f t="shared" si="283"/>
        <v/>
      </c>
      <c r="S1803" t="str">
        <f t="shared" si="284"/>
        <v/>
      </c>
      <c r="T1803" t="str">
        <f t="shared" si="285"/>
        <v/>
      </c>
      <c r="U1803" t="str">
        <f t="shared" si="286"/>
        <v/>
      </c>
      <c r="V1803" t="str">
        <f t="shared" si="287"/>
        <v/>
      </c>
      <c r="W1803" t="str">
        <f t="shared" si="288"/>
        <v/>
      </c>
      <c r="X1803">
        <f>IF($T1803="",N($X1802),IF(MATCH($T1803,$T$6:$T$10005,0)=ROW()-5,N($X1802)+1,N($X1802)))</f>
        <v>0</v>
      </c>
      <c r="Z1803" t="str">
        <f t="shared" si="289"/>
        <v/>
      </c>
      <c r="AA1803">
        <f>IF($V1803="",N($AA1802),IF(MATCH($V1803,$V$6:$V$10005,0)=ROW()-5,N($AA1802)+1,N($AA1802)))</f>
        <v>0</v>
      </c>
    </row>
    <row r="1804" spans="1:27" ht="21" customHeight="1" x14ac:dyDescent="0.95">
      <c r="A1804" s="56"/>
      <c r="B1804" s="57"/>
      <c r="C1804" s="57"/>
      <c r="D1804" s="57"/>
      <c r="E1804" s="56"/>
      <c r="F1804" s="57"/>
      <c r="G1804" s="57"/>
      <c r="H1804" s="56"/>
      <c r="I1804" s="56"/>
      <c r="J1804" s="58"/>
      <c r="K1804" s="58"/>
      <c r="L1804" s="13" t="str">
        <f t="shared" si="280"/>
        <v/>
      </c>
      <c r="M1804" s="13" t="str">
        <f t="shared" si="281"/>
        <v/>
      </c>
      <c r="Q1804" t="str">
        <f t="shared" si="282"/>
        <v/>
      </c>
      <c r="R1804" t="str">
        <f t="shared" si="283"/>
        <v/>
      </c>
      <c r="S1804" t="str">
        <f t="shared" si="284"/>
        <v/>
      </c>
      <c r="T1804" t="str">
        <f t="shared" si="285"/>
        <v/>
      </c>
      <c r="U1804" t="str">
        <f t="shared" si="286"/>
        <v/>
      </c>
      <c r="V1804" t="str">
        <f t="shared" si="287"/>
        <v/>
      </c>
      <c r="W1804" t="str">
        <f t="shared" si="288"/>
        <v/>
      </c>
      <c r="X1804">
        <f>IF($T1804="",N($X1803),IF(MATCH($T1804,$T$6:$T$10005,0)=ROW()-5,N($X1803)+1,N($X1803)))</f>
        <v>0</v>
      </c>
      <c r="Z1804" t="str">
        <f t="shared" si="289"/>
        <v/>
      </c>
      <c r="AA1804">
        <f>IF($V1804="",N($AA1803),IF(MATCH($V1804,$V$6:$V$10005,0)=ROW()-5,N($AA1803)+1,N($AA1803)))</f>
        <v>0</v>
      </c>
    </row>
    <row r="1805" spans="1:27" ht="21" customHeight="1" x14ac:dyDescent="0.95">
      <c r="A1805" s="56"/>
      <c r="B1805" s="57"/>
      <c r="C1805" s="57"/>
      <c r="D1805" s="57"/>
      <c r="E1805" s="56"/>
      <c r="F1805" s="57"/>
      <c r="G1805" s="57"/>
      <c r="H1805" s="56"/>
      <c r="I1805" s="56"/>
      <c r="J1805" s="58"/>
      <c r="K1805" s="58"/>
      <c r="L1805" s="13" t="str">
        <f t="shared" si="280"/>
        <v/>
      </c>
      <c r="M1805" s="13" t="str">
        <f t="shared" si="281"/>
        <v/>
      </c>
      <c r="Q1805" t="str">
        <f t="shared" si="282"/>
        <v/>
      </c>
      <c r="R1805" t="str">
        <f t="shared" si="283"/>
        <v/>
      </c>
      <c r="S1805" t="str">
        <f t="shared" si="284"/>
        <v/>
      </c>
      <c r="T1805" t="str">
        <f t="shared" si="285"/>
        <v/>
      </c>
      <c r="U1805" t="str">
        <f t="shared" si="286"/>
        <v/>
      </c>
      <c r="V1805" t="str">
        <f t="shared" si="287"/>
        <v/>
      </c>
      <c r="W1805" t="str">
        <f t="shared" si="288"/>
        <v/>
      </c>
      <c r="X1805">
        <f>IF($T1805="",N($X1804),IF(MATCH($T1805,$T$6:$T$10005,0)=ROW()-5,N($X1804)+1,N($X1804)))</f>
        <v>0</v>
      </c>
      <c r="Z1805" t="str">
        <f t="shared" si="289"/>
        <v/>
      </c>
      <c r="AA1805">
        <f>IF($V1805="",N($AA1804),IF(MATCH($V1805,$V$6:$V$10005,0)=ROW()-5,N($AA1804)+1,N($AA1804)))</f>
        <v>0</v>
      </c>
    </row>
    <row r="1806" spans="1:27" ht="21" customHeight="1" x14ac:dyDescent="0.95">
      <c r="A1806" s="56"/>
      <c r="B1806" s="57"/>
      <c r="C1806" s="57"/>
      <c r="D1806" s="57"/>
      <c r="E1806" s="56"/>
      <c r="F1806" s="57"/>
      <c r="G1806" s="57"/>
      <c r="H1806" s="56"/>
      <c r="I1806" s="56"/>
      <c r="J1806" s="58"/>
      <c r="K1806" s="58"/>
      <c r="L1806" s="13" t="str">
        <f t="shared" si="280"/>
        <v/>
      </c>
      <c r="M1806" s="13" t="str">
        <f t="shared" si="281"/>
        <v/>
      </c>
      <c r="Q1806" t="str">
        <f t="shared" si="282"/>
        <v/>
      </c>
      <c r="R1806" t="str">
        <f t="shared" si="283"/>
        <v/>
      </c>
      <c r="S1806" t="str">
        <f t="shared" si="284"/>
        <v/>
      </c>
      <c r="T1806" t="str">
        <f t="shared" si="285"/>
        <v/>
      </c>
      <c r="U1806" t="str">
        <f t="shared" si="286"/>
        <v/>
      </c>
      <c r="V1806" t="str">
        <f t="shared" si="287"/>
        <v/>
      </c>
      <c r="W1806" t="str">
        <f t="shared" si="288"/>
        <v/>
      </c>
      <c r="X1806">
        <f>IF($T1806="",N($X1805),IF(MATCH($T1806,$T$6:$T$10005,0)=ROW()-5,N($X1805)+1,N($X1805)))</f>
        <v>0</v>
      </c>
      <c r="Z1806" t="str">
        <f t="shared" si="289"/>
        <v/>
      </c>
      <c r="AA1806">
        <f>IF($V1806="",N($AA1805),IF(MATCH($V1806,$V$6:$V$10005,0)=ROW()-5,N($AA1805)+1,N($AA1805)))</f>
        <v>0</v>
      </c>
    </row>
    <row r="1807" spans="1:27" ht="21" customHeight="1" x14ac:dyDescent="0.95">
      <c r="A1807" s="56"/>
      <c r="B1807" s="57"/>
      <c r="C1807" s="57"/>
      <c r="D1807" s="57"/>
      <c r="E1807" s="56"/>
      <c r="F1807" s="57"/>
      <c r="G1807" s="57"/>
      <c r="H1807" s="56"/>
      <c r="I1807" s="56"/>
      <c r="J1807" s="58"/>
      <c r="K1807" s="58"/>
      <c r="L1807" s="13" t="str">
        <f t="shared" si="280"/>
        <v/>
      </c>
      <c r="M1807" s="13" t="str">
        <f t="shared" si="281"/>
        <v/>
      </c>
      <c r="Q1807" t="str">
        <f t="shared" si="282"/>
        <v/>
      </c>
      <c r="R1807" t="str">
        <f t="shared" si="283"/>
        <v/>
      </c>
      <c r="S1807" t="str">
        <f t="shared" si="284"/>
        <v/>
      </c>
      <c r="T1807" t="str">
        <f t="shared" si="285"/>
        <v/>
      </c>
      <c r="U1807" t="str">
        <f t="shared" si="286"/>
        <v/>
      </c>
      <c r="V1807" t="str">
        <f t="shared" si="287"/>
        <v/>
      </c>
      <c r="W1807" t="str">
        <f t="shared" si="288"/>
        <v/>
      </c>
      <c r="X1807">
        <f>IF($T1807="",N($X1806),IF(MATCH($T1807,$T$6:$T$10005,0)=ROW()-5,N($X1806)+1,N($X1806)))</f>
        <v>0</v>
      </c>
      <c r="Z1807" t="str">
        <f t="shared" si="289"/>
        <v/>
      </c>
      <c r="AA1807">
        <f>IF($V1807="",N($AA1806),IF(MATCH($V1807,$V$6:$V$10005,0)=ROW()-5,N($AA1806)+1,N($AA1806)))</f>
        <v>0</v>
      </c>
    </row>
    <row r="1808" spans="1:27" ht="21" customHeight="1" x14ac:dyDescent="0.95">
      <c r="A1808" s="56"/>
      <c r="B1808" s="57"/>
      <c r="C1808" s="57"/>
      <c r="D1808" s="57"/>
      <c r="E1808" s="56"/>
      <c r="F1808" s="57"/>
      <c r="G1808" s="57"/>
      <c r="H1808" s="56"/>
      <c r="I1808" s="56"/>
      <c r="J1808" s="58"/>
      <c r="K1808" s="58"/>
      <c r="L1808" s="13" t="str">
        <f t="shared" si="280"/>
        <v/>
      </c>
      <c r="M1808" s="13" t="str">
        <f t="shared" si="281"/>
        <v/>
      </c>
      <c r="Q1808" t="str">
        <f t="shared" si="282"/>
        <v/>
      </c>
      <c r="R1808" t="str">
        <f t="shared" si="283"/>
        <v/>
      </c>
      <c r="S1808" t="str">
        <f t="shared" si="284"/>
        <v/>
      </c>
      <c r="T1808" t="str">
        <f t="shared" si="285"/>
        <v/>
      </c>
      <c r="U1808" t="str">
        <f t="shared" si="286"/>
        <v/>
      </c>
      <c r="V1808" t="str">
        <f t="shared" si="287"/>
        <v/>
      </c>
      <c r="W1808" t="str">
        <f t="shared" si="288"/>
        <v/>
      </c>
      <c r="X1808">
        <f>IF($T1808="",N($X1807),IF(MATCH($T1808,$T$6:$T$10005,0)=ROW()-5,N($X1807)+1,N($X1807)))</f>
        <v>0</v>
      </c>
      <c r="Z1808" t="str">
        <f t="shared" si="289"/>
        <v/>
      </c>
      <c r="AA1808">
        <f>IF($V1808="",N($AA1807),IF(MATCH($V1808,$V$6:$V$10005,0)=ROW()-5,N($AA1807)+1,N($AA1807)))</f>
        <v>0</v>
      </c>
    </row>
    <row r="1809" spans="1:27" ht="21" customHeight="1" x14ac:dyDescent="0.95">
      <c r="A1809" s="56"/>
      <c r="B1809" s="57"/>
      <c r="C1809" s="57"/>
      <c r="D1809" s="57"/>
      <c r="E1809" s="56"/>
      <c r="F1809" s="57"/>
      <c r="G1809" s="57"/>
      <c r="H1809" s="56"/>
      <c r="I1809" s="56"/>
      <c r="J1809" s="58"/>
      <c r="K1809" s="58"/>
      <c r="L1809" s="13" t="str">
        <f t="shared" si="280"/>
        <v/>
      </c>
      <c r="M1809" s="13" t="str">
        <f t="shared" si="281"/>
        <v/>
      </c>
      <c r="Q1809" t="str">
        <f t="shared" si="282"/>
        <v/>
      </c>
      <c r="R1809" t="str">
        <f t="shared" si="283"/>
        <v/>
      </c>
      <c r="S1809" t="str">
        <f t="shared" si="284"/>
        <v/>
      </c>
      <c r="T1809" t="str">
        <f t="shared" si="285"/>
        <v/>
      </c>
      <c r="U1809" t="str">
        <f t="shared" si="286"/>
        <v/>
      </c>
      <c r="V1809" t="str">
        <f t="shared" si="287"/>
        <v/>
      </c>
      <c r="W1809" t="str">
        <f t="shared" si="288"/>
        <v/>
      </c>
      <c r="X1809">
        <f>IF($T1809="",N($X1808),IF(MATCH($T1809,$T$6:$T$10005,0)=ROW()-5,N($X1808)+1,N($X1808)))</f>
        <v>0</v>
      </c>
      <c r="Z1809" t="str">
        <f t="shared" si="289"/>
        <v/>
      </c>
      <c r="AA1809">
        <f>IF($V1809="",N($AA1808),IF(MATCH($V1809,$V$6:$V$10005,0)=ROW()-5,N($AA1808)+1,N($AA1808)))</f>
        <v>0</v>
      </c>
    </row>
    <row r="1810" spans="1:27" ht="21" customHeight="1" x14ac:dyDescent="0.95">
      <c r="A1810" s="56"/>
      <c r="B1810" s="57"/>
      <c r="C1810" s="57"/>
      <c r="D1810" s="57"/>
      <c r="E1810" s="56"/>
      <c r="F1810" s="57"/>
      <c r="G1810" s="57"/>
      <c r="H1810" s="56"/>
      <c r="I1810" s="56"/>
      <c r="J1810" s="58"/>
      <c r="K1810" s="58"/>
      <c r="L1810" s="13" t="str">
        <f t="shared" si="280"/>
        <v/>
      </c>
      <c r="M1810" s="13" t="str">
        <f t="shared" si="281"/>
        <v/>
      </c>
      <c r="Q1810" t="str">
        <f t="shared" si="282"/>
        <v/>
      </c>
      <c r="R1810" t="str">
        <f t="shared" si="283"/>
        <v/>
      </c>
      <c r="S1810" t="str">
        <f t="shared" si="284"/>
        <v/>
      </c>
      <c r="T1810" t="str">
        <f t="shared" si="285"/>
        <v/>
      </c>
      <c r="U1810" t="str">
        <f t="shared" si="286"/>
        <v/>
      </c>
      <c r="V1810" t="str">
        <f t="shared" si="287"/>
        <v/>
      </c>
      <c r="W1810" t="str">
        <f t="shared" si="288"/>
        <v/>
      </c>
      <c r="X1810">
        <f>IF($T1810="",N($X1809),IF(MATCH($T1810,$T$6:$T$10005,0)=ROW()-5,N($X1809)+1,N($X1809)))</f>
        <v>0</v>
      </c>
      <c r="Z1810" t="str">
        <f t="shared" si="289"/>
        <v/>
      </c>
      <c r="AA1810">
        <f>IF($V1810="",N($AA1809),IF(MATCH($V1810,$V$6:$V$10005,0)=ROW()-5,N($AA1809)+1,N($AA1809)))</f>
        <v>0</v>
      </c>
    </row>
    <row r="1811" spans="1:27" ht="21" customHeight="1" x14ac:dyDescent="0.95">
      <c r="A1811" s="56"/>
      <c r="B1811" s="57"/>
      <c r="C1811" s="57"/>
      <c r="D1811" s="57"/>
      <c r="E1811" s="56"/>
      <c r="F1811" s="57"/>
      <c r="G1811" s="57"/>
      <c r="H1811" s="56"/>
      <c r="I1811" s="56"/>
      <c r="J1811" s="58"/>
      <c r="K1811" s="58"/>
      <c r="L1811" s="13" t="str">
        <f t="shared" si="280"/>
        <v/>
      </c>
      <c r="M1811" s="13" t="str">
        <f t="shared" si="281"/>
        <v/>
      </c>
      <c r="Q1811" t="str">
        <f t="shared" si="282"/>
        <v/>
      </c>
      <c r="R1811" t="str">
        <f t="shared" si="283"/>
        <v/>
      </c>
      <c r="S1811" t="str">
        <f t="shared" si="284"/>
        <v/>
      </c>
      <c r="T1811" t="str">
        <f t="shared" si="285"/>
        <v/>
      </c>
      <c r="U1811" t="str">
        <f t="shared" si="286"/>
        <v/>
      </c>
      <c r="V1811" t="str">
        <f t="shared" si="287"/>
        <v/>
      </c>
      <c r="W1811" t="str">
        <f t="shared" si="288"/>
        <v/>
      </c>
      <c r="X1811">
        <f>IF($T1811="",N($X1810),IF(MATCH($T1811,$T$6:$T$10005,0)=ROW()-5,N($X1810)+1,N($X1810)))</f>
        <v>0</v>
      </c>
      <c r="Z1811" t="str">
        <f t="shared" si="289"/>
        <v/>
      </c>
      <c r="AA1811">
        <f>IF($V1811="",N($AA1810),IF(MATCH($V1811,$V$6:$V$10005,0)=ROW()-5,N($AA1810)+1,N($AA1810)))</f>
        <v>0</v>
      </c>
    </row>
    <row r="1812" spans="1:27" ht="21" customHeight="1" x14ac:dyDescent="0.95">
      <c r="A1812" s="56"/>
      <c r="B1812" s="57"/>
      <c r="C1812" s="57"/>
      <c r="D1812" s="57"/>
      <c r="E1812" s="56"/>
      <c r="F1812" s="57"/>
      <c r="G1812" s="57"/>
      <c r="H1812" s="56"/>
      <c r="I1812" s="56"/>
      <c r="J1812" s="58"/>
      <c r="K1812" s="58"/>
      <c r="L1812" s="13" t="str">
        <f t="shared" si="280"/>
        <v/>
      </c>
      <c r="M1812" s="13" t="str">
        <f t="shared" si="281"/>
        <v/>
      </c>
      <c r="Q1812" t="str">
        <f t="shared" si="282"/>
        <v/>
      </c>
      <c r="R1812" t="str">
        <f t="shared" si="283"/>
        <v/>
      </c>
      <c r="S1812" t="str">
        <f t="shared" si="284"/>
        <v/>
      </c>
      <c r="T1812" t="str">
        <f t="shared" si="285"/>
        <v/>
      </c>
      <c r="U1812" t="str">
        <f t="shared" si="286"/>
        <v/>
      </c>
      <c r="V1812" t="str">
        <f t="shared" si="287"/>
        <v/>
      </c>
      <c r="W1812" t="str">
        <f t="shared" si="288"/>
        <v/>
      </c>
      <c r="X1812">
        <f>IF($T1812="",N($X1811),IF(MATCH($T1812,$T$6:$T$10005,0)=ROW()-5,N($X1811)+1,N($X1811)))</f>
        <v>0</v>
      </c>
      <c r="Z1812" t="str">
        <f t="shared" si="289"/>
        <v/>
      </c>
      <c r="AA1812">
        <f>IF($V1812="",N($AA1811),IF(MATCH($V1812,$V$6:$V$10005,0)=ROW()-5,N($AA1811)+1,N($AA1811)))</f>
        <v>0</v>
      </c>
    </row>
    <row r="1813" spans="1:27" ht="21" customHeight="1" x14ac:dyDescent="0.95">
      <c r="A1813" s="56"/>
      <c r="B1813" s="57"/>
      <c r="C1813" s="57"/>
      <c r="D1813" s="57"/>
      <c r="E1813" s="56"/>
      <c r="F1813" s="57"/>
      <c r="G1813" s="57"/>
      <c r="H1813" s="56"/>
      <c r="I1813" s="56"/>
      <c r="J1813" s="58"/>
      <c r="K1813" s="58"/>
      <c r="L1813" s="13" t="str">
        <f t="shared" si="280"/>
        <v/>
      </c>
      <c r="M1813" s="13" t="str">
        <f t="shared" si="281"/>
        <v/>
      </c>
      <c r="Q1813" t="str">
        <f t="shared" si="282"/>
        <v/>
      </c>
      <c r="R1813" t="str">
        <f t="shared" si="283"/>
        <v/>
      </c>
      <c r="S1813" t="str">
        <f t="shared" si="284"/>
        <v/>
      </c>
      <c r="T1813" t="str">
        <f t="shared" si="285"/>
        <v/>
      </c>
      <c r="U1813" t="str">
        <f t="shared" si="286"/>
        <v/>
      </c>
      <c r="V1813" t="str">
        <f t="shared" si="287"/>
        <v/>
      </c>
      <c r="W1813" t="str">
        <f t="shared" si="288"/>
        <v/>
      </c>
      <c r="X1813">
        <f>IF($T1813="",N($X1812),IF(MATCH($T1813,$T$6:$T$10005,0)=ROW()-5,N($X1812)+1,N($X1812)))</f>
        <v>0</v>
      </c>
      <c r="Z1813" t="str">
        <f t="shared" si="289"/>
        <v/>
      </c>
      <c r="AA1813">
        <f>IF($V1813="",N($AA1812),IF(MATCH($V1813,$V$6:$V$10005,0)=ROW()-5,N($AA1812)+1,N($AA1812)))</f>
        <v>0</v>
      </c>
    </row>
    <row r="1814" spans="1:27" ht="21" customHeight="1" x14ac:dyDescent="0.95">
      <c r="A1814" s="56"/>
      <c r="B1814" s="57"/>
      <c r="C1814" s="57"/>
      <c r="D1814" s="57"/>
      <c r="E1814" s="56"/>
      <c r="F1814" s="57"/>
      <c r="G1814" s="57"/>
      <c r="H1814" s="56"/>
      <c r="I1814" s="56"/>
      <c r="J1814" s="58"/>
      <c r="K1814" s="58"/>
      <c r="L1814" s="13" t="str">
        <f t="shared" si="280"/>
        <v/>
      </c>
      <c r="M1814" s="13" t="str">
        <f t="shared" si="281"/>
        <v/>
      </c>
      <c r="Q1814" t="str">
        <f t="shared" si="282"/>
        <v/>
      </c>
      <c r="R1814" t="str">
        <f t="shared" si="283"/>
        <v/>
      </c>
      <c r="S1814" t="str">
        <f t="shared" si="284"/>
        <v/>
      </c>
      <c r="T1814" t="str">
        <f t="shared" si="285"/>
        <v/>
      </c>
      <c r="U1814" t="str">
        <f t="shared" si="286"/>
        <v/>
      </c>
      <c r="V1814" t="str">
        <f t="shared" si="287"/>
        <v/>
      </c>
      <c r="W1814" t="str">
        <f t="shared" si="288"/>
        <v/>
      </c>
      <c r="X1814">
        <f>IF($T1814="",N($X1813),IF(MATCH($T1814,$T$6:$T$10005,0)=ROW()-5,N($X1813)+1,N($X1813)))</f>
        <v>0</v>
      </c>
      <c r="Z1814" t="str">
        <f t="shared" si="289"/>
        <v/>
      </c>
      <c r="AA1814">
        <f>IF($V1814="",N($AA1813),IF(MATCH($V1814,$V$6:$V$10005,0)=ROW()-5,N($AA1813)+1,N($AA1813)))</f>
        <v>0</v>
      </c>
    </row>
    <row r="1815" spans="1:27" ht="21" customHeight="1" x14ac:dyDescent="0.95">
      <c r="A1815" s="56"/>
      <c r="B1815" s="57"/>
      <c r="C1815" s="57"/>
      <c r="D1815" s="57"/>
      <c r="E1815" s="56"/>
      <c r="F1815" s="57"/>
      <c r="G1815" s="57"/>
      <c r="H1815" s="56"/>
      <c r="I1815" s="56"/>
      <c r="J1815" s="58"/>
      <c r="K1815" s="58"/>
      <c r="L1815" s="13" t="str">
        <f t="shared" si="280"/>
        <v/>
      </c>
      <c r="M1815" s="13" t="str">
        <f t="shared" si="281"/>
        <v/>
      </c>
      <c r="Q1815" t="str">
        <f t="shared" si="282"/>
        <v/>
      </c>
      <c r="R1815" t="str">
        <f t="shared" si="283"/>
        <v/>
      </c>
      <c r="S1815" t="str">
        <f t="shared" si="284"/>
        <v/>
      </c>
      <c r="T1815" t="str">
        <f t="shared" si="285"/>
        <v/>
      </c>
      <c r="U1815" t="str">
        <f t="shared" si="286"/>
        <v/>
      </c>
      <c r="V1815" t="str">
        <f t="shared" si="287"/>
        <v/>
      </c>
      <c r="W1815" t="str">
        <f t="shared" si="288"/>
        <v/>
      </c>
      <c r="X1815">
        <f>IF($T1815="",N($X1814),IF(MATCH($T1815,$T$6:$T$10005,0)=ROW()-5,N($X1814)+1,N($X1814)))</f>
        <v>0</v>
      </c>
      <c r="Z1815" t="str">
        <f t="shared" si="289"/>
        <v/>
      </c>
      <c r="AA1815">
        <f>IF($V1815="",N($AA1814),IF(MATCH($V1815,$V$6:$V$10005,0)=ROW()-5,N($AA1814)+1,N($AA1814)))</f>
        <v>0</v>
      </c>
    </row>
    <row r="1816" spans="1:27" ht="21" customHeight="1" x14ac:dyDescent="0.95">
      <c r="A1816" s="56"/>
      <c r="B1816" s="57"/>
      <c r="C1816" s="57"/>
      <c r="D1816" s="57"/>
      <c r="E1816" s="56"/>
      <c r="F1816" s="57"/>
      <c r="G1816" s="57"/>
      <c r="H1816" s="56"/>
      <c r="I1816" s="56"/>
      <c r="J1816" s="58"/>
      <c r="K1816" s="58"/>
      <c r="L1816" s="13" t="str">
        <f t="shared" si="280"/>
        <v/>
      </c>
      <c r="M1816" s="13" t="str">
        <f t="shared" si="281"/>
        <v/>
      </c>
      <c r="Q1816" t="str">
        <f t="shared" si="282"/>
        <v/>
      </c>
      <c r="R1816" t="str">
        <f t="shared" si="283"/>
        <v/>
      </c>
      <c r="S1816" t="str">
        <f t="shared" si="284"/>
        <v/>
      </c>
      <c r="T1816" t="str">
        <f t="shared" si="285"/>
        <v/>
      </c>
      <c r="U1816" t="str">
        <f t="shared" si="286"/>
        <v/>
      </c>
      <c r="V1816" t="str">
        <f t="shared" si="287"/>
        <v/>
      </c>
      <c r="W1816" t="str">
        <f t="shared" si="288"/>
        <v/>
      </c>
      <c r="X1816">
        <f>IF($T1816="",N($X1815),IF(MATCH($T1816,$T$6:$T$10005,0)=ROW()-5,N($X1815)+1,N($X1815)))</f>
        <v>0</v>
      </c>
      <c r="Z1816" t="str">
        <f t="shared" si="289"/>
        <v/>
      </c>
      <c r="AA1816">
        <f>IF($V1816="",N($AA1815),IF(MATCH($V1816,$V$6:$V$10005,0)=ROW()-5,N($AA1815)+1,N($AA1815)))</f>
        <v>0</v>
      </c>
    </row>
    <row r="1817" spans="1:27" ht="21" customHeight="1" x14ac:dyDescent="0.95">
      <c r="A1817" s="56"/>
      <c r="B1817" s="57"/>
      <c r="C1817" s="57"/>
      <c r="D1817" s="57"/>
      <c r="E1817" s="56"/>
      <c r="F1817" s="57"/>
      <c r="G1817" s="57"/>
      <c r="H1817" s="56"/>
      <c r="I1817" s="56"/>
      <c r="J1817" s="58"/>
      <c r="K1817" s="58"/>
      <c r="L1817" s="13" t="str">
        <f t="shared" si="280"/>
        <v/>
      </c>
      <c r="M1817" s="13" t="str">
        <f t="shared" si="281"/>
        <v/>
      </c>
      <c r="Q1817" t="str">
        <f t="shared" si="282"/>
        <v/>
      </c>
      <c r="R1817" t="str">
        <f t="shared" si="283"/>
        <v/>
      </c>
      <c r="S1817" t="str">
        <f t="shared" si="284"/>
        <v/>
      </c>
      <c r="T1817" t="str">
        <f t="shared" si="285"/>
        <v/>
      </c>
      <c r="U1817" t="str">
        <f t="shared" si="286"/>
        <v/>
      </c>
      <c r="V1817" t="str">
        <f t="shared" si="287"/>
        <v/>
      </c>
      <c r="W1817" t="str">
        <f t="shared" si="288"/>
        <v/>
      </c>
      <c r="X1817">
        <f>IF($T1817="",N($X1816),IF(MATCH($T1817,$T$6:$T$10005,0)=ROW()-5,N($X1816)+1,N($X1816)))</f>
        <v>0</v>
      </c>
      <c r="Z1817" t="str">
        <f t="shared" si="289"/>
        <v/>
      </c>
      <c r="AA1817">
        <f>IF($V1817="",N($AA1816),IF(MATCH($V1817,$V$6:$V$10005,0)=ROW()-5,N($AA1816)+1,N($AA1816)))</f>
        <v>0</v>
      </c>
    </row>
    <row r="1818" spans="1:27" ht="21" customHeight="1" x14ac:dyDescent="0.95">
      <c r="A1818" s="56"/>
      <c r="B1818" s="57"/>
      <c r="C1818" s="57"/>
      <c r="D1818" s="57"/>
      <c r="E1818" s="56"/>
      <c r="F1818" s="57"/>
      <c r="G1818" s="57"/>
      <c r="H1818" s="56"/>
      <c r="I1818" s="56"/>
      <c r="J1818" s="58"/>
      <c r="K1818" s="58"/>
      <c r="L1818" s="13" t="str">
        <f t="shared" si="280"/>
        <v/>
      </c>
      <c r="M1818" s="13" t="str">
        <f t="shared" si="281"/>
        <v/>
      </c>
      <c r="Q1818" t="str">
        <f t="shared" si="282"/>
        <v/>
      </c>
      <c r="R1818" t="str">
        <f t="shared" si="283"/>
        <v/>
      </c>
      <c r="S1818" t="str">
        <f t="shared" si="284"/>
        <v/>
      </c>
      <c r="T1818" t="str">
        <f t="shared" si="285"/>
        <v/>
      </c>
      <c r="U1818" t="str">
        <f t="shared" si="286"/>
        <v/>
      </c>
      <c r="V1818" t="str">
        <f t="shared" si="287"/>
        <v/>
      </c>
      <c r="W1818" t="str">
        <f t="shared" si="288"/>
        <v/>
      </c>
      <c r="X1818">
        <f>IF($T1818="",N($X1817),IF(MATCH($T1818,$T$6:$T$10005,0)=ROW()-5,N($X1817)+1,N($X1817)))</f>
        <v>0</v>
      </c>
      <c r="Z1818" t="str">
        <f t="shared" si="289"/>
        <v/>
      </c>
      <c r="AA1818">
        <f>IF($V1818="",N($AA1817),IF(MATCH($V1818,$V$6:$V$10005,0)=ROW()-5,N($AA1817)+1,N($AA1817)))</f>
        <v>0</v>
      </c>
    </row>
    <row r="1819" spans="1:27" ht="21" customHeight="1" x14ac:dyDescent="0.95">
      <c r="A1819" s="56"/>
      <c r="B1819" s="57"/>
      <c r="C1819" s="57"/>
      <c r="D1819" s="57"/>
      <c r="E1819" s="56"/>
      <c r="F1819" s="57"/>
      <c r="G1819" s="57"/>
      <c r="H1819" s="56"/>
      <c r="I1819" s="56"/>
      <c r="J1819" s="58"/>
      <c r="K1819" s="58"/>
      <c r="L1819" s="13" t="str">
        <f t="shared" si="280"/>
        <v/>
      </c>
      <c r="M1819" s="13" t="str">
        <f t="shared" si="281"/>
        <v/>
      </c>
      <c r="Q1819" t="str">
        <f t="shared" si="282"/>
        <v/>
      </c>
      <c r="R1819" t="str">
        <f t="shared" si="283"/>
        <v/>
      </c>
      <c r="S1819" t="str">
        <f t="shared" si="284"/>
        <v/>
      </c>
      <c r="T1819" t="str">
        <f t="shared" si="285"/>
        <v/>
      </c>
      <c r="U1819" t="str">
        <f t="shared" si="286"/>
        <v/>
      </c>
      <c r="V1819" t="str">
        <f t="shared" si="287"/>
        <v/>
      </c>
      <c r="W1819" t="str">
        <f t="shared" si="288"/>
        <v/>
      </c>
      <c r="X1819">
        <f>IF($T1819="",N($X1818),IF(MATCH($T1819,$T$6:$T$10005,0)=ROW()-5,N($X1818)+1,N($X1818)))</f>
        <v>0</v>
      </c>
      <c r="Z1819" t="str">
        <f t="shared" si="289"/>
        <v/>
      </c>
      <c r="AA1819">
        <f>IF($V1819="",N($AA1818),IF(MATCH($V1819,$V$6:$V$10005,0)=ROW()-5,N($AA1818)+1,N($AA1818)))</f>
        <v>0</v>
      </c>
    </row>
    <row r="1820" spans="1:27" ht="21" customHeight="1" x14ac:dyDescent="0.95">
      <c r="A1820" s="56"/>
      <c r="B1820" s="57"/>
      <c r="C1820" s="57"/>
      <c r="D1820" s="57"/>
      <c r="E1820" s="56"/>
      <c r="F1820" s="57"/>
      <c r="G1820" s="57"/>
      <c r="H1820" s="56"/>
      <c r="I1820" s="56"/>
      <c r="J1820" s="58"/>
      <c r="K1820" s="58"/>
      <c r="L1820" s="13" t="str">
        <f t="shared" si="280"/>
        <v/>
      </c>
      <c r="M1820" s="13" t="str">
        <f t="shared" si="281"/>
        <v/>
      </c>
      <c r="Q1820" t="str">
        <f t="shared" si="282"/>
        <v/>
      </c>
      <c r="R1820" t="str">
        <f t="shared" si="283"/>
        <v/>
      </c>
      <c r="S1820" t="str">
        <f t="shared" si="284"/>
        <v/>
      </c>
      <c r="T1820" t="str">
        <f t="shared" si="285"/>
        <v/>
      </c>
      <c r="U1820" t="str">
        <f t="shared" si="286"/>
        <v/>
      </c>
      <c r="V1820" t="str">
        <f t="shared" si="287"/>
        <v/>
      </c>
      <c r="W1820" t="str">
        <f t="shared" si="288"/>
        <v/>
      </c>
      <c r="X1820">
        <f>IF($T1820="",N($X1819),IF(MATCH($T1820,$T$6:$T$10005,0)=ROW()-5,N($X1819)+1,N($X1819)))</f>
        <v>0</v>
      </c>
      <c r="Z1820" t="str">
        <f t="shared" si="289"/>
        <v/>
      </c>
      <c r="AA1820">
        <f>IF($V1820="",N($AA1819),IF(MATCH($V1820,$V$6:$V$10005,0)=ROW()-5,N($AA1819)+1,N($AA1819)))</f>
        <v>0</v>
      </c>
    </row>
    <row r="1821" spans="1:27" ht="21" customHeight="1" x14ac:dyDescent="0.95">
      <c r="A1821" s="56"/>
      <c r="B1821" s="57"/>
      <c r="C1821" s="57"/>
      <c r="D1821" s="57"/>
      <c r="E1821" s="56"/>
      <c r="F1821" s="57"/>
      <c r="G1821" s="57"/>
      <c r="H1821" s="56"/>
      <c r="I1821" s="56"/>
      <c r="J1821" s="58"/>
      <c r="K1821" s="58"/>
      <c r="L1821" s="13" t="str">
        <f t="shared" si="280"/>
        <v/>
      </c>
      <c r="M1821" s="13" t="str">
        <f t="shared" si="281"/>
        <v/>
      </c>
      <c r="Q1821" t="str">
        <f t="shared" si="282"/>
        <v/>
      </c>
      <c r="R1821" t="str">
        <f t="shared" si="283"/>
        <v/>
      </c>
      <c r="S1821" t="str">
        <f t="shared" si="284"/>
        <v/>
      </c>
      <c r="T1821" t="str">
        <f t="shared" si="285"/>
        <v/>
      </c>
      <c r="U1821" t="str">
        <f t="shared" si="286"/>
        <v/>
      </c>
      <c r="V1821" t="str">
        <f t="shared" si="287"/>
        <v/>
      </c>
      <c r="W1821" t="str">
        <f t="shared" si="288"/>
        <v/>
      </c>
      <c r="X1821">
        <f>IF($T1821="",N($X1820),IF(MATCH($T1821,$T$6:$T$10005,0)=ROW()-5,N($X1820)+1,N($X1820)))</f>
        <v>0</v>
      </c>
      <c r="Z1821" t="str">
        <f t="shared" si="289"/>
        <v/>
      </c>
      <c r="AA1821">
        <f>IF($V1821="",N($AA1820),IF(MATCH($V1821,$V$6:$V$10005,0)=ROW()-5,N($AA1820)+1,N($AA1820)))</f>
        <v>0</v>
      </c>
    </row>
    <row r="1822" spans="1:27" ht="21" customHeight="1" x14ac:dyDescent="0.95">
      <c r="A1822" s="56"/>
      <c r="B1822" s="57"/>
      <c r="C1822" s="57"/>
      <c r="D1822" s="57"/>
      <c r="E1822" s="56"/>
      <c r="F1822" s="57"/>
      <c r="G1822" s="57"/>
      <c r="H1822" s="56"/>
      <c r="I1822" s="56"/>
      <c r="J1822" s="58"/>
      <c r="K1822" s="58"/>
      <c r="L1822" s="13" t="str">
        <f t="shared" si="280"/>
        <v/>
      </c>
      <c r="M1822" s="13" t="str">
        <f t="shared" si="281"/>
        <v/>
      </c>
      <c r="Q1822" t="str">
        <f t="shared" si="282"/>
        <v/>
      </c>
      <c r="R1822" t="str">
        <f t="shared" si="283"/>
        <v/>
      </c>
      <c r="S1822" t="str">
        <f t="shared" si="284"/>
        <v/>
      </c>
      <c r="T1822" t="str">
        <f t="shared" si="285"/>
        <v/>
      </c>
      <c r="U1822" t="str">
        <f t="shared" si="286"/>
        <v/>
      </c>
      <c r="V1822" t="str">
        <f t="shared" si="287"/>
        <v/>
      </c>
      <c r="W1822" t="str">
        <f t="shared" si="288"/>
        <v/>
      </c>
      <c r="X1822">
        <f>IF($T1822="",N($X1821),IF(MATCH($T1822,$T$6:$T$10005,0)=ROW()-5,N($X1821)+1,N($X1821)))</f>
        <v>0</v>
      </c>
      <c r="Z1822" t="str">
        <f t="shared" si="289"/>
        <v/>
      </c>
      <c r="AA1822">
        <f>IF($V1822="",N($AA1821),IF(MATCH($V1822,$V$6:$V$10005,0)=ROW()-5,N($AA1821)+1,N($AA1821)))</f>
        <v>0</v>
      </c>
    </row>
    <row r="1823" spans="1:27" ht="21" customHeight="1" x14ac:dyDescent="0.95">
      <c r="A1823" s="56"/>
      <c r="B1823" s="57"/>
      <c r="C1823" s="57"/>
      <c r="D1823" s="57"/>
      <c r="E1823" s="56"/>
      <c r="F1823" s="57"/>
      <c r="G1823" s="57"/>
      <c r="H1823" s="56"/>
      <c r="I1823" s="56"/>
      <c r="J1823" s="58"/>
      <c r="K1823" s="58"/>
      <c r="L1823" s="13" t="str">
        <f t="shared" si="280"/>
        <v/>
      </c>
      <c r="M1823" s="13" t="str">
        <f t="shared" si="281"/>
        <v/>
      </c>
      <c r="Q1823" t="str">
        <f t="shared" si="282"/>
        <v/>
      </c>
      <c r="R1823" t="str">
        <f t="shared" si="283"/>
        <v/>
      </c>
      <c r="S1823" t="str">
        <f t="shared" si="284"/>
        <v/>
      </c>
      <c r="T1823" t="str">
        <f t="shared" si="285"/>
        <v/>
      </c>
      <c r="U1823" t="str">
        <f t="shared" si="286"/>
        <v/>
      </c>
      <c r="V1823" t="str">
        <f t="shared" si="287"/>
        <v/>
      </c>
      <c r="W1823" t="str">
        <f t="shared" si="288"/>
        <v/>
      </c>
      <c r="X1823">
        <f>IF($T1823="",N($X1822),IF(MATCH($T1823,$T$6:$T$10005,0)=ROW()-5,N($X1822)+1,N($X1822)))</f>
        <v>0</v>
      </c>
      <c r="Z1823" t="str">
        <f t="shared" si="289"/>
        <v/>
      </c>
      <c r="AA1823">
        <f>IF($V1823="",N($AA1822),IF(MATCH($V1823,$V$6:$V$10005,0)=ROW()-5,N($AA1822)+1,N($AA1822)))</f>
        <v>0</v>
      </c>
    </row>
    <row r="1824" spans="1:27" ht="21" customHeight="1" x14ac:dyDescent="0.95">
      <c r="A1824" s="56"/>
      <c r="B1824" s="57"/>
      <c r="C1824" s="57"/>
      <c r="D1824" s="57"/>
      <c r="E1824" s="56"/>
      <c r="F1824" s="57"/>
      <c r="G1824" s="57"/>
      <c r="H1824" s="56"/>
      <c r="I1824" s="56"/>
      <c r="J1824" s="58"/>
      <c r="K1824" s="58"/>
      <c r="L1824" s="13" t="str">
        <f t="shared" si="280"/>
        <v/>
      </c>
      <c r="M1824" s="13" t="str">
        <f t="shared" si="281"/>
        <v/>
      </c>
      <c r="Q1824" t="str">
        <f t="shared" si="282"/>
        <v/>
      </c>
      <c r="R1824" t="str">
        <f t="shared" si="283"/>
        <v/>
      </c>
      <c r="S1824" t="str">
        <f t="shared" si="284"/>
        <v/>
      </c>
      <c r="T1824" t="str">
        <f t="shared" si="285"/>
        <v/>
      </c>
      <c r="U1824" t="str">
        <f t="shared" si="286"/>
        <v/>
      </c>
      <c r="V1824" t="str">
        <f t="shared" si="287"/>
        <v/>
      </c>
      <c r="W1824" t="str">
        <f t="shared" si="288"/>
        <v/>
      </c>
      <c r="X1824">
        <f>IF($T1824="",N($X1823),IF(MATCH($T1824,$T$6:$T$10005,0)=ROW()-5,N($X1823)+1,N($X1823)))</f>
        <v>0</v>
      </c>
      <c r="Z1824" t="str">
        <f t="shared" si="289"/>
        <v/>
      </c>
      <c r="AA1824">
        <f>IF($V1824="",N($AA1823),IF(MATCH($V1824,$V$6:$V$10005,0)=ROW()-5,N($AA1823)+1,N($AA1823)))</f>
        <v>0</v>
      </c>
    </row>
    <row r="1825" spans="1:27" ht="21" customHeight="1" x14ac:dyDescent="0.95">
      <c r="A1825" s="56"/>
      <c r="B1825" s="57"/>
      <c r="C1825" s="57"/>
      <c r="D1825" s="57"/>
      <c r="E1825" s="56"/>
      <c r="F1825" s="57"/>
      <c r="G1825" s="57"/>
      <c r="H1825" s="56"/>
      <c r="I1825" s="56"/>
      <c r="J1825" s="58"/>
      <c r="K1825" s="58"/>
      <c r="L1825" s="13" t="str">
        <f t="shared" si="280"/>
        <v/>
      </c>
      <c r="M1825" s="13" t="str">
        <f t="shared" si="281"/>
        <v/>
      </c>
      <c r="Q1825" t="str">
        <f t="shared" si="282"/>
        <v/>
      </c>
      <c r="R1825" t="str">
        <f t="shared" si="283"/>
        <v/>
      </c>
      <c r="S1825" t="str">
        <f t="shared" si="284"/>
        <v/>
      </c>
      <c r="T1825" t="str">
        <f t="shared" si="285"/>
        <v/>
      </c>
      <c r="U1825" t="str">
        <f t="shared" si="286"/>
        <v/>
      </c>
      <c r="V1825" t="str">
        <f t="shared" si="287"/>
        <v/>
      </c>
      <c r="W1825" t="str">
        <f t="shared" si="288"/>
        <v/>
      </c>
      <c r="X1825">
        <f>IF($T1825="",N($X1824),IF(MATCH($T1825,$T$6:$T$10005,0)=ROW()-5,N($X1824)+1,N($X1824)))</f>
        <v>0</v>
      </c>
      <c r="Z1825" t="str">
        <f t="shared" si="289"/>
        <v/>
      </c>
      <c r="AA1825">
        <f>IF($V1825="",N($AA1824),IF(MATCH($V1825,$V$6:$V$10005,0)=ROW()-5,N($AA1824)+1,N($AA1824)))</f>
        <v>0</v>
      </c>
    </row>
    <row r="1826" spans="1:27" ht="21" customHeight="1" x14ac:dyDescent="0.95">
      <c r="A1826" s="56"/>
      <c r="B1826" s="57"/>
      <c r="C1826" s="57"/>
      <c r="D1826" s="57"/>
      <c r="E1826" s="56"/>
      <c r="F1826" s="57"/>
      <c r="G1826" s="57"/>
      <c r="H1826" s="56"/>
      <c r="I1826" s="56"/>
      <c r="J1826" s="58"/>
      <c r="K1826" s="58"/>
      <c r="L1826" s="13" t="str">
        <f t="shared" si="280"/>
        <v/>
      </c>
      <c r="M1826" s="13" t="str">
        <f t="shared" si="281"/>
        <v/>
      </c>
      <c r="Q1826" t="str">
        <f t="shared" si="282"/>
        <v/>
      </c>
      <c r="R1826" t="str">
        <f t="shared" si="283"/>
        <v/>
      </c>
      <c r="S1826" t="str">
        <f t="shared" si="284"/>
        <v/>
      </c>
      <c r="T1826" t="str">
        <f t="shared" si="285"/>
        <v/>
      </c>
      <c r="U1826" t="str">
        <f t="shared" si="286"/>
        <v/>
      </c>
      <c r="V1826" t="str">
        <f t="shared" si="287"/>
        <v/>
      </c>
      <c r="W1826" t="str">
        <f t="shared" si="288"/>
        <v/>
      </c>
      <c r="X1826">
        <f>IF($T1826="",N($X1825),IF(MATCH($T1826,$T$6:$T$10005,0)=ROW()-5,N($X1825)+1,N($X1825)))</f>
        <v>0</v>
      </c>
      <c r="Z1826" t="str">
        <f t="shared" si="289"/>
        <v/>
      </c>
      <c r="AA1826">
        <f>IF($V1826="",N($AA1825),IF(MATCH($V1826,$V$6:$V$10005,0)=ROW()-5,N($AA1825)+1,N($AA1825)))</f>
        <v>0</v>
      </c>
    </row>
    <row r="1827" spans="1:27" ht="21" customHeight="1" x14ac:dyDescent="0.95">
      <c r="A1827" s="56"/>
      <c r="B1827" s="57"/>
      <c r="C1827" s="57"/>
      <c r="D1827" s="57"/>
      <c r="E1827" s="56"/>
      <c r="F1827" s="57"/>
      <c r="G1827" s="57"/>
      <c r="H1827" s="56"/>
      <c r="I1827" s="56"/>
      <c r="J1827" s="58"/>
      <c r="K1827" s="58"/>
      <c r="L1827" s="13" t="str">
        <f t="shared" si="280"/>
        <v/>
      </c>
      <c r="M1827" s="13" t="str">
        <f t="shared" si="281"/>
        <v/>
      </c>
      <c r="Q1827" t="str">
        <f t="shared" si="282"/>
        <v/>
      </c>
      <c r="R1827" t="str">
        <f t="shared" si="283"/>
        <v/>
      </c>
      <c r="S1827" t="str">
        <f t="shared" si="284"/>
        <v/>
      </c>
      <c r="T1827" t="str">
        <f t="shared" si="285"/>
        <v/>
      </c>
      <c r="U1827" t="str">
        <f t="shared" si="286"/>
        <v/>
      </c>
      <c r="V1827" t="str">
        <f t="shared" si="287"/>
        <v/>
      </c>
      <c r="W1827" t="str">
        <f t="shared" si="288"/>
        <v/>
      </c>
      <c r="X1827">
        <f>IF($T1827="",N($X1826),IF(MATCH($T1827,$T$6:$T$10005,0)=ROW()-5,N($X1826)+1,N($X1826)))</f>
        <v>0</v>
      </c>
      <c r="Z1827" t="str">
        <f t="shared" si="289"/>
        <v/>
      </c>
      <c r="AA1827">
        <f>IF($V1827="",N($AA1826),IF(MATCH($V1827,$V$6:$V$10005,0)=ROW()-5,N($AA1826)+1,N($AA1826)))</f>
        <v>0</v>
      </c>
    </row>
    <row r="1828" spans="1:27" ht="21" customHeight="1" x14ac:dyDescent="0.95">
      <c r="A1828" s="56"/>
      <c r="B1828" s="57"/>
      <c r="C1828" s="57"/>
      <c r="D1828" s="57"/>
      <c r="E1828" s="56"/>
      <c r="F1828" s="57"/>
      <c r="G1828" s="57"/>
      <c r="H1828" s="56"/>
      <c r="I1828" s="56"/>
      <c r="J1828" s="58"/>
      <c r="K1828" s="58"/>
      <c r="L1828" s="13" t="str">
        <f t="shared" si="280"/>
        <v/>
      </c>
      <c r="M1828" s="13" t="str">
        <f t="shared" si="281"/>
        <v/>
      </c>
      <c r="Q1828" t="str">
        <f t="shared" si="282"/>
        <v/>
      </c>
      <c r="R1828" t="str">
        <f t="shared" si="283"/>
        <v/>
      </c>
      <c r="S1828" t="str">
        <f t="shared" si="284"/>
        <v/>
      </c>
      <c r="T1828" t="str">
        <f t="shared" si="285"/>
        <v/>
      </c>
      <c r="U1828" t="str">
        <f t="shared" si="286"/>
        <v/>
      </c>
      <c r="V1828" t="str">
        <f t="shared" si="287"/>
        <v/>
      </c>
      <c r="W1828" t="str">
        <f t="shared" si="288"/>
        <v/>
      </c>
      <c r="X1828">
        <f>IF($T1828="",N($X1827),IF(MATCH($T1828,$T$6:$T$10005,0)=ROW()-5,N($X1827)+1,N($X1827)))</f>
        <v>0</v>
      </c>
      <c r="Z1828" t="str">
        <f t="shared" si="289"/>
        <v/>
      </c>
      <c r="AA1828">
        <f>IF($V1828="",N($AA1827),IF(MATCH($V1828,$V$6:$V$10005,0)=ROW()-5,N($AA1827)+1,N($AA1827)))</f>
        <v>0</v>
      </c>
    </row>
    <row r="1829" spans="1:27" ht="21" customHeight="1" x14ac:dyDescent="0.95">
      <c r="A1829" s="56"/>
      <c r="B1829" s="57"/>
      <c r="C1829" s="57"/>
      <c r="D1829" s="57"/>
      <c r="E1829" s="56"/>
      <c r="F1829" s="57"/>
      <c r="G1829" s="57"/>
      <c r="H1829" s="56"/>
      <c r="I1829" s="56"/>
      <c r="J1829" s="58"/>
      <c r="K1829" s="58"/>
      <c r="L1829" s="13" t="str">
        <f t="shared" si="280"/>
        <v/>
      </c>
      <c r="M1829" s="13" t="str">
        <f t="shared" si="281"/>
        <v/>
      </c>
      <c r="Q1829" t="str">
        <f t="shared" si="282"/>
        <v/>
      </c>
      <c r="R1829" t="str">
        <f t="shared" si="283"/>
        <v/>
      </c>
      <c r="S1829" t="str">
        <f t="shared" si="284"/>
        <v/>
      </c>
      <c r="T1829" t="str">
        <f t="shared" si="285"/>
        <v/>
      </c>
      <c r="U1829" t="str">
        <f t="shared" si="286"/>
        <v/>
      </c>
      <c r="V1829" t="str">
        <f t="shared" si="287"/>
        <v/>
      </c>
      <c r="W1829" t="str">
        <f t="shared" si="288"/>
        <v/>
      </c>
      <c r="X1829">
        <f>IF($T1829="",N($X1828),IF(MATCH($T1829,$T$6:$T$10005,0)=ROW()-5,N($X1828)+1,N($X1828)))</f>
        <v>0</v>
      </c>
      <c r="Z1829" t="str">
        <f t="shared" si="289"/>
        <v/>
      </c>
      <c r="AA1829">
        <f>IF($V1829="",N($AA1828),IF(MATCH($V1829,$V$6:$V$10005,0)=ROW()-5,N($AA1828)+1,N($AA1828)))</f>
        <v>0</v>
      </c>
    </row>
    <row r="1830" spans="1:27" ht="21" customHeight="1" x14ac:dyDescent="0.95">
      <c r="A1830" s="56"/>
      <c r="B1830" s="57"/>
      <c r="C1830" s="57"/>
      <c r="D1830" s="57"/>
      <c r="E1830" s="56"/>
      <c r="F1830" s="57"/>
      <c r="G1830" s="57"/>
      <c r="H1830" s="56"/>
      <c r="I1830" s="56"/>
      <c r="J1830" s="58"/>
      <c r="K1830" s="58"/>
      <c r="L1830" s="13" t="str">
        <f t="shared" si="280"/>
        <v/>
      </c>
      <c r="M1830" s="13" t="str">
        <f t="shared" si="281"/>
        <v/>
      </c>
      <c r="Q1830" t="str">
        <f t="shared" si="282"/>
        <v/>
      </c>
      <c r="R1830" t="str">
        <f t="shared" si="283"/>
        <v/>
      </c>
      <c r="S1830" t="str">
        <f t="shared" si="284"/>
        <v/>
      </c>
      <c r="T1830" t="str">
        <f t="shared" si="285"/>
        <v/>
      </c>
      <c r="U1830" t="str">
        <f t="shared" si="286"/>
        <v/>
      </c>
      <c r="V1830" t="str">
        <f t="shared" si="287"/>
        <v/>
      </c>
      <c r="W1830" t="str">
        <f t="shared" si="288"/>
        <v/>
      </c>
      <c r="X1830">
        <f>IF($T1830="",N($X1829),IF(MATCH($T1830,$T$6:$T$10005,0)=ROW()-5,N($X1829)+1,N($X1829)))</f>
        <v>0</v>
      </c>
      <c r="Z1830" t="str">
        <f t="shared" si="289"/>
        <v/>
      </c>
      <c r="AA1830">
        <f>IF($V1830="",N($AA1829),IF(MATCH($V1830,$V$6:$V$10005,0)=ROW()-5,N($AA1829)+1,N($AA1829)))</f>
        <v>0</v>
      </c>
    </row>
    <row r="1831" spans="1:27" ht="21" customHeight="1" x14ac:dyDescent="0.95">
      <c r="A1831" s="56"/>
      <c r="B1831" s="57"/>
      <c r="C1831" s="57"/>
      <c r="D1831" s="57"/>
      <c r="E1831" s="56"/>
      <c r="F1831" s="57"/>
      <c r="G1831" s="57"/>
      <c r="H1831" s="56"/>
      <c r="I1831" s="56"/>
      <c r="J1831" s="58"/>
      <c r="K1831" s="58"/>
      <c r="L1831" s="13" t="str">
        <f t="shared" si="280"/>
        <v/>
      </c>
      <c r="M1831" s="13" t="str">
        <f t="shared" si="281"/>
        <v/>
      </c>
      <c r="Q1831" t="str">
        <f t="shared" si="282"/>
        <v/>
      </c>
      <c r="R1831" t="str">
        <f t="shared" si="283"/>
        <v/>
      </c>
      <c r="S1831" t="str">
        <f t="shared" si="284"/>
        <v/>
      </c>
      <c r="T1831" t="str">
        <f t="shared" si="285"/>
        <v/>
      </c>
      <c r="U1831" t="str">
        <f t="shared" si="286"/>
        <v/>
      </c>
      <c r="V1831" t="str">
        <f t="shared" si="287"/>
        <v/>
      </c>
      <c r="W1831" t="str">
        <f t="shared" si="288"/>
        <v/>
      </c>
      <c r="X1831">
        <f>IF($T1831="",N($X1830),IF(MATCH($T1831,$T$6:$T$10005,0)=ROW()-5,N($X1830)+1,N($X1830)))</f>
        <v>0</v>
      </c>
      <c r="Z1831" t="str">
        <f t="shared" si="289"/>
        <v/>
      </c>
      <c r="AA1831">
        <f>IF($V1831="",N($AA1830),IF(MATCH($V1831,$V$6:$V$10005,0)=ROW()-5,N($AA1830)+1,N($AA1830)))</f>
        <v>0</v>
      </c>
    </row>
    <row r="1832" spans="1:27" ht="21" customHeight="1" x14ac:dyDescent="0.95">
      <c r="A1832" s="56"/>
      <c r="B1832" s="57"/>
      <c r="C1832" s="57"/>
      <c r="D1832" s="57"/>
      <c r="E1832" s="56"/>
      <c r="F1832" s="57"/>
      <c r="G1832" s="57"/>
      <c r="H1832" s="56"/>
      <c r="I1832" s="56"/>
      <c r="J1832" s="58"/>
      <c r="K1832" s="58"/>
      <c r="L1832" s="13" t="str">
        <f t="shared" si="280"/>
        <v/>
      </c>
      <c r="M1832" s="13" t="str">
        <f t="shared" si="281"/>
        <v/>
      </c>
      <c r="Q1832" t="str">
        <f t="shared" si="282"/>
        <v/>
      </c>
      <c r="R1832" t="str">
        <f t="shared" si="283"/>
        <v/>
      </c>
      <c r="S1832" t="str">
        <f t="shared" si="284"/>
        <v/>
      </c>
      <c r="T1832" t="str">
        <f t="shared" si="285"/>
        <v/>
      </c>
      <c r="U1832" t="str">
        <f t="shared" si="286"/>
        <v/>
      </c>
      <c r="V1832" t="str">
        <f t="shared" si="287"/>
        <v/>
      </c>
      <c r="W1832" t="str">
        <f t="shared" si="288"/>
        <v/>
      </c>
      <c r="X1832">
        <f>IF($T1832="",N($X1831),IF(MATCH($T1832,$T$6:$T$10005,0)=ROW()-5,N($X1831)+1,N($X1831)))</f>
        <v>0</v>
      </c>
      <c r="Z1832" t="str">
        <f t="shared" si="289"/>
        <v/>
      </c>
      <c r="AA1832">
        <f>IF($V1832="",N($AA1831),IF(MATCH($V1832,$V$6:$V$10005,0)=ROW()-5,N($AA1831)+1,N($AA1831)))</f>
        <v>0</v>
      </c>
    </row>
    <row r="1833" spans="1:27" ht="21" customHeight="1" x14ac:dyDescent="0.95">
      <c r="A1833" s="56"/>
      <c r="B1833" s="57"/>
      <c r="C1833" s="57"/>
      <c r="D1833" s="57"/>
      <c r="E1833" s="56"/>
      <c r="F1833" s="57"/>
      <c r="G1833" s="57"/>
      <c r="H1833" s="56"/>
      <c r="I1833" s="56"/>
      <c r="J1833" s="58"/>
      <c r="K1833" s="58"/>
      <c r="L1833" s="13" t="str">
        <f t="shared" si="280"/>
        <v/>
      </c>
      <c r="M1833" s="13" t="str">
        <f t="shared" si="281"/>
        <v/>
      </c>
      <c r="Q1833" t="str">
        <f t="shared" si="282"/>
        <v/>
      </c>
      <c r="R1833" t="str">
        <f t="shared" si="283"/>
        <v/>
      </c>
      <c r="S1833" t="str">
        <f t="shared" si="284"/>
        <v/>
      </c>
      <c r="T1833" t="str">
        <f t="shared" si="285"/>
        <v/>
      </c>
      <c r="U1833" t="str">
        <f t="shared" si="286"/>
        <v/>
      </c>
      <c r="V1833" t="str">
        <f t="shared" si="287"/>
        <v/>
      </c>
      <c r="W1833" t="str">
        <f t="shared" si="288"/>
        <v/>
      </c>
      <c r="X1833">
        <f>IF($T1833="",N($X1832),IF(MATCH($T1833,$T$6:$T$10005,0)=ROW()-5,N($X1832)+1,N($X1832)))</f>
        <v>0</v>
      </c>
      <c r="Z1833" t="str">
        <f t="shared" si="289"/>
        <v/>
      </c>
      <c r="AA1833">
        <f>IF($V1833="",N($AA1832),IF(MATCH($V1833,$V$6:$V$10005,0)=ROW()-5,N($AA1832)+1,N($AA1832)))</f>
        <v>0</v>
      </c>
    </row>
    <row r="1834" spans="1:27" ht="21" customHeight="1" x14ac:dyDescent="0.95">
      <c r="A1834" s="56"/>
      <c r="B1834" s="57"/>
      <c r="C1834" s="57"/>
      <c r="D1834" s="57"/>
      <c r="E1834" s="56"/>
      <c r="F1834" s="57"/>
      <c r="G1834" s="57"/>
      <c r="H1834" s="56"/>
      <c r="I1834" s="56"/>
      <c r="J1834" s="58"/>
      <c r="K1834" s="58"/>
      <c r="L1834" s="13" t="str">
        <f t="shared" si="280"/>
        <v/>
      </c>
      <c r="M1834" s="13" t="str">
        <f t="shared" si="281"/>
        <v/>
      </c>
      <c r="Q1834" t="str">
        <f t="shared" si="282"/>
        <v/>
      </c>
      <c r="R1834" t="str">
        <f t="shared" si="283"/>
        <v/>
      </c>
      <c r="S1834" t="str">
        <f t="shared" si="284"/>
        <v/>
      </c>
      <c r="T1834" t="str">
        <f t="shared" si="285"/>
        <v/>
      </c>
      <c r="U1834" t="str">
        <f t="shared" si="286"/>
        <v/>
      </c>
      <c r="V1834" t="str">
        <f t="shared" si="287"/>
        <v/>
      </c>
      <c r="W1834" t="str">
        <f t="shared" si="288"/>
        <v/>
      </c>
      <c r="X1834">
        <f>IF($T1834="",N($X1833),IF(MATCH($T1834,$T$6:$T$10005,0)=ROW()-5,N($X1833)+1,N($X1833)))</f>
        <v>0</v>
      </c>
      <c r="Z1834" t="str">
        <f t="shared" si="289"/>
        <v/>
      </c>
      <c r="AA1834">
        <f>IF($V1834="",N($AA1833),IF(MATCH($V1834,$V$6:$V$10005,0)=ROW()-5,N($AA1833)+1,N($AA1833)))</f>
        <v>0</v>
      </c>
    </row>
    <row r="1835" spans="1:27" ht="21" customHeight="1" x14ac:dyDescent="0.95">
      <c r="A1835" s="56"/>
      <c r="B1835" s="57"/>
      <c r="C1835" s="57"/>
      <c r="D1835" s="57"/>
      <c r="E1835" s="56"/>
      <c r="F1835" s="57"/>
      <c r="G1835" s="57"/>
      <c r="H1835" s="56"/>
      <c r="I1835" s="56"/>
      <c r="J1835" s="58"/>
      <c r="K1835" s="58"/>
      <c r="L1835" s="13" t="str">
        <f t="shared" si="280"/>
        <v/>
      </c>
      <c r="M1835" s="13" t="str">
        <f t="shared" si="281"/>
        <v/>
      </c>
      <c r="Q1835" t="str">
        <f t="shared" si="282"/>
        <v/>
      </c>
      <c r="R1835" t="str">
        <f t="shared" si="283"/>
        <v/>
      </c>
      <c r="S1835" t="str">
        <f t="shared" si="284"/>
        <v/>
      </c>
      <c r="T1835" t="str">
        <f t="shared" si="285"/>
        <v/>
      </c>
      <c r="U1835" t="str">
        <f t="shared" si="286"/>
        <v/>
      </c>
      <c r="V1835" t="str">
        <f t="shared" si="287"/>
        <v/>
      </c>
      <c r="W1835" t="str">
        <f t="shared" si="288"/>
        <v/>
      </c>
      <c r="X1835">
        <f>IF($T1835="",N($X1834),IF(MATCH($T1835,$T$6:$T$10005,0)=ROW()-5,N($X1834)+1,N($X1834)))</f>
        <v>0</v>
      </c>
      <c r="Z1835" t="str">
        <f t="shared" si="289"/>
        <v/>
      </c>
      <c r="AA1835">
        <f>IF($V1835="",N($AA1834),IF(MATCH($V1835,$V$6:$V$10005,0)=ROW()-5,N($AA1834)+1,N($AA1834)))</f>
        <v>0</v>
      </c>
    </row>
    <row r="1836" spans="1:27" ht="21" customHeight="1" x14ac:dyDescent="0.95">
      <c r="A1836" s="56"/>
      <c r="B1836" s="57"/>
      <c r="C1836" s="57"/>
      <c r="D1836" s="57"/>
      <c r="E1836" s="56"/>
      <c r="F1836" s="57"/>
      <c r="G1836" s="57"/>
      <c r="H1836" s="56"/>
      <c r="I1836" s="56"/>
      <c r="J1836" s="58"/>
      <c r="K1836" s="58"/>
      <c r="L1836" s="13" t="str">
        <f t="shared" si="280"/>
        <v/>
      </c>
      <c r="M1836" s="13" t="str">
        <f t="shared" si="281"/>
        <v/>
      </c>
      <c r="Q1836" t="str">
        <f t="shared" si="282"/>
        <v/>
      </c>
      <c r="R1836" t="str">
        <f t="shared" si="283"/>
        <v/>
      </c>
      <c r="S1836" t="str">
        <f t="shared" si="284"/>
        <v/>
      </c>
      <c r="T1836" t="str">
        <f t="shared" si="285"/>
        <v/>
      </c>
      <c r="U1836" t="str">
        <f t="shared" si="286"/>
        <v/>
      </c>
      <c r="V1836" t="str">
        <f t="shared" si="287"/>
        <v/>
      </c>
      <c r="W1836" t="str">
        <f t="shared" si="288"/>
        <v/>
      </c>
      <c r="X1836">
        <f>IF($T1836="",N($X1835),IF(MATCH($T1836,$T$6:$T$10005,0)=ROW()-5,N($X1835)+1,N($X1835)))</f>
        <v>0</v>
      </c>
      <c r="Z1836" t="str">
        <f t="shared" si="289"/>
        <v/>
      </c>
      <c r="AA1836">
        <f>IF($V1836="",N($AA1835),IF(MATCH($V1836,$V$6:$V$10005,0)=ROW()-5,N($AA1835)+1,N($AA1835)))</f>
        <v>0</v>
      </c>
    </row>
    <row r="1837" spans="1:27" ht="21" customHeight="1" x14ac:dyDescent="0.95">
      <c r="A1837" s="56"/>
      <c r="B1837" s="57"/>
      <c r="C1837" s="57"/>
      <c r="D1837" s="57"/>
      <c r="E1837" s="56"/>
      <c r="F1837" s="57"/>
      <c r="G1837" s="57"/>
      <c r="H1837" s="56"/>
      <c r="I1837" s="56"/>
      <c r="J1837" s="58"/>
      <c r="K1837" s="58"/>
      <c r="L1837" s="13" t="str">
        <f t="shared" si="280"/>
        <v/>
      </c>
      <c r="M1837" s="13" t="str">
        <f t="shared" si="281"/>
        <v/>
      </c>
      <c r="Q1837" t="str">
        <f t="shared" si="282"/>
        <v/>
      </c>
      <c r="R1837" t="str">
        <f t="shared" si="283"/>
        <v/>
      </c>
      <c r="S1837" t="str">
        <f t="shared" si="284"/>
        <v/>
      </c>
      <c r="T1837" t="str">
        <f t="shared" si="285"/>
        <v/>
      </c>
      <c r="U1837" t="str">
        <f t="shared" si="286"/>
        <v/>
      </c>
      <c r="V1837" t="str">
        <f t="shared" si="287"/>
        <v/>
      </c>
      <c r="W1837" t="str">
        <f t="shared" si="288"/>
        <v/>
      </c>
      <c r="X1837">
        <f>IF($T1837="",N($X1836),IF(MATCH($T1837,$T$6:$T$10005,0)=ROW()-5,N($X1836)+1,N($X1836)))</f>
        <v>0</v>
      </c>
      <c r="Z1837" t="str">
        <f t="shared" si="289"/>
        <v/>
      </c>
      <c r="AA1837">
        <f>IF($V1837="",N($AA1836),IF(MATCH($V1837,$V$6:$V$10005,0)=ROW()-5,N($AA1836)+1,N($AA1836)))</f>
        <v>0</v>
      </c>
    </row>
    <row r="1838" spans="1:27" ht="21" customHeight="1" x14ac:dyDescent="0.95">
      <c r="A1838" s="56"/>
      <c r="B1838" s="57"/>
      <c r="C1838" s="57"/>
      <c r="D1838" s="57"/>
      <c r="E1838" s="56"/>
      <c r="F1838" s="57"/>
      <c r="G1838" s="57"/>
      <c r="H1838" s="56"/>
      <c r="I1838" s="56"/>
      <c r="J1838" s="58"/>
      <c r="K1838" s="58"/>
      <c r="L1838" s="13" t="str">
        <f t="shared" si="280"/>
        <v/>
      </c>
      <c r="M1838" s="13" t="str">
        <f t="shared" si="281"/>
        <v/>
      </c>
      <c r="Q1838" t="str">
        <f t="shared" si="282"/>
        <v/>
      </c>
      <c r="R1838" t="str">
        <f t="shared" si="283"/>
        <v/>
      </c>
      <c r="S1838" t="str">
        <f t="shared" si="284"/>
        <v/>
      </c>
      <c r="T1838" t="str">
        <f t="shared" si="285"/>
        <v/>
      </c>
      <c r="U1838" t="str">
        <f t="shared" si="286"/>
        <v/>
      </c>
      <c r="V1838" t="str">
        <f t="shared" si="287"/>
        <v/>
      </c>
      <c r="W1838" t="str">
        <f t="shared" si="288"/>
        <v/>
      </c>
      <c r="X1838">
        <f>IF($T1838="",N($X1837),IF(MATCH($T1838,$T$6:$T$10005,0)=ROW()-5,N($X1837)+1,N($X1837)))</f>
        <v>0</v>
      </c>
      <c r="Z1838" t="str">
        <f t="shared" si="289"/>
        <v/>
      </c>
      <c r="AA1838">
        <f>IF($V1838="",N($AA1837),IF(MATCH($V1838,$V$6:$V$10005,0)=ROW()-5,N($AA1837)+1,N($AA1837)))</f>
        <v>0</v>
      </c>
    </row>
    <row r="1839" spans="1:27" ht="21" customHeight="1" x14ac:dyDescent="0.95">
      <c r="A1839" s="56"/>
      <c r="B1839" s="57"/>
      <c r="C1839" s="57"/>
      <c r="D1839" s="57"/>
      <c r="E1839" s="56"/>
      <c r="F1839" s="57"/>
      <c r="G1839" s="57"/>
      <c r="H1839" s="56"/>
      <c r="I1839" s="56"/>
      <c r="J1839" s="58"/>
      <c r="K1839" s="58"/>
      <c r="L1839" s="13" t="str">
        <f t="shared" si="280"/>
        <v/>
      </c>
      <c r="M1839" s="13" t="str">
        <f t="shared" si="281"/>
        <v/>
      </c>
      <c r="Q1839" t="str">
        <f t="shared" si="282"/>
        <v/>
      </c>
      <c r="R1839" t="str">
        <f t="shared" si="283"/>
        <v/>
      </c>
      <c r="S1839" t="str">
        <f t="shared" si="284"/>
        <v/>
      </c>
      <c r="T1839" t="str">
        <f t="shared" si="285"/>
        <v/>
      </c>
      <c r="U1839" t="str">
        <f t="shared" si="286"/>
        <v/>
      </c>
      <c r="V1839" t="str">
        <f t="shared" si="287"/>
        <v/>
      </c>
      <c r="W1839" t="str">
        <f t="shared" si="288"/>
        <v/>
      </c>
      <c r="X1839">
        <f>IF($T1839="",N($X1838),IF(MATCH($T1839,$T$6:$T$10005,0)=ROW()-5,N($X1838)+1,N($X1838)))</f>
        <v>0</v>
      </c>
      <c r="Z1839" t="str">
        <f t="shared" si="289"/>
        <v/>
      </c>
      <c r="AA1839">
        <f>IF($V1839="",N($AA1838),IF(MATCH($V1839,$V$6:$V$10005,0)=ROW()-5,N($AA1838)+1,N($AA1838)))</f>
        <v>0</v>
      </c>
    </row>
    <row r="1840" spans="1:27" ht="21" customHeight="1" x14ac:dyDescent="0.95">
      <c r="A1840" s="56"/>
      <c r="B1840" s="57"/>
      <c r="C1840" s="57"/>
      <c r="D1840" s="57"/>
      <c r="E1840" s="56"/>
      <c r="F1840" s="57"/>
      <c r="G1840" s="57"/>
      <c r="H1840" s="56"/>
      <c r="I1840" s="56"/>
      <c r="J1840" s="58"/>
      <c r="K1840" s="58"/>
      <c r="L1840" s="13" t="str">
        <f t="shared" si="280"/>
        <v/>
      </c>
      <c r="M1840" s="13" t="str">
        <f t="shared" si="281"/>
        <v/>
      </c>
      <c r="Q1840" t="str">
        <f t="shared" si="282"/>
        <v/>
      </c>
      <c r="R1840" t="str">
        <f t="shared" si="283"/>
        <v/>
      </c>
      <c r="S1840" t="str">
        <f t="shared" si="284"/>
        <v/>
      </c>
      <c r="T1840" t="str">
        <f t="shared" si="285"/>
        <v/>
      </c>
      <c r="U1840" t="str">
        <f t="shared" si="286"/>
        <v/>
      </c>
      <c r="V1840" t="str">
        <f t="shared" si="287"/>
        <v/>
      </c>
      <c r="W1840" t="str">
        <f t="shared" si="288"/>
        <v/>
      </c>
      <c r="X1840">
        <f>IF($T1840="",N($X1839),IF(MATCH($T1840,$T$6:$T$10005,0)=ROW()-5,N($X1839)+1,N($X1839)))</f>
        <v>0</v>
      </c>
      <c r="Z1840" t="str">
        <f t="shared" si="289"/>
        <v/>
      </c>
      <c r="AA1840">
        <f>IF($V1840="",N($AA1839),IF(MATCH($V1840,$V$6:$V$10005,0)=ROW()-5,N($AA1839)+1,N($AA1839)))</f>
        <v>0</v>
      </c>
    </row>
    <row r="1841" spans="1:27" ht="21" customHeight="1" x14ac:dyDescent="0.95">
      <c r="A1841" s="56"/>
      <c r="B1841" s="57"/>
      <c r="C1841" s="57"/>
      <c r="D1841" s="57"/>
      <c r="E1841" s="56"/>
      <c r="F1841" s="57"/>
      <c r="G1841" s="57"/>
      <c r="H1841" s="56"/>
      <c r="I1841" s="56"/>
      <c r="J1841" s="58"/>
      <c r="K1841" s="58"/>
      <c r="L1841" s="13" t="str">
        <f t="shared" si="280"/>
        <v/>
      </c>
      <c r="M1841" s="13" t="str">
        <f t="shared" si="281"/>
        <v/>
      </c>
      <c r="Q1841" t="str">
        <f t="shared" si="282"/>
        <v/>
      </c>
      <c r="R1841" t="str">
        <f t="shared" si="283"/>
        <v/>
      </c>
      <c r="S1841" t="str">
        <f t="shared" si="284"/>
        <v/>
      </c>
      <c r="T1841" t="str">
        <f t="shared" si="285"/>
        <v/>
      </c>
      <c r="U1841" t="str">
        <f t="shared" si="286"/>
        <v/>
      </c>
      <c r="V1841" t="str">
        <f t="shared" si="287"/>
        <v/>
      </c>
      <c r="W1841" t="str">
        <f t="shared" si="288"/>
        <v/>
      </c>
      <c r="X1841">
        <f>IF($T1841="",N($X1840),IF(MATCH($T1841,$T$6:$T$10005,0)=ROW()-5,N($X1840)+1,N($X1840)))</f>
        <v>0</v>
      </c>
      <c r="Z1841" t="str">
        <f t="shared" si="289"/>
        <v/>
      </c>
      <c r="AA1841">
        <f>IF($V1841="",N($AA1840),IF(MATCH($V1841,$V$6:$V$10005,0)=ROW()-5,N($AA1840)+1,N($AA1840)))</f>
        <v>0</v>
      </c>
    </row>
    <row r="1842" spans="1:27" ht="21" customHeight="1" x14ac:dyDescent="0.95">
      <c r="A1842" s="56"/>
      <c r="B1842" s="57"/>
      <c r="C1842" s="57"/>
      <c r="D1842" s="57"/>
      <c r="E1842" s="56"/>
      <c r="F1842" s="57"/>
      <c r="G1842" s="57"/>
      <c r="H1842" s="56"/>
      <c r="I1842" s="56"/>
      <c r="J1842" s="58"/>
      <c r="K1842" s="58"/>
      <c r="L1842" s="13" t="str">
        <f t="shared" si="280"/>
        <v/>
      </c>
      <c r="M1842" s="13" t="str">
        <f t="shared" si="281"/>
        <v/>
      </c>
      <c r="Q1842" t="str">
        <f t="shared" si="282"/>
        <v/>
      </c>
      <c r="R1842" t="str">
        <f t="shared" si="283"/>
        <v/>
      </c>
      <c r="S1842" t="str">
        <f t="shared" si="284"/>
        <v/>
      </c>
      <c r="T1842" t="str">
        <f t="shared" si="285"/>
        <v/>
      </c>
      <c r="U1842" t="str">
        <f t="shared" si="286"/>
        <v/>
      </c>
      <c r="V1842" t="str">
        <f t="shared" si="287"/>
        <v/>
      </c>
      <c r="W1842" t="str">
        <f t="shared" si="288"/>
        <v/>
      </c>
      <c r="X1842">
        <f>IF($T1842="",N($X1841),IF(MATCH($T1842,$T$6:$T$10005,0)=ROW()-5,N($X1841)+1,N($X1841)))</f>
        <v>0</v>
      </c>
      <c r="Z1842" t="str">
        <f t="shared" si="289"/>
        <v/>
      </c>
      <c r="AA1842">
        <f>IF($V1842="",N($AA1841),IF(MATCH($V1842,$V$6:$V$10005,0)=ROW()-5,N($AA1841)+1,N($AA1841)))</f>
        <v>0</v>
      </c>
    </row>
    <row r="1843" spans="1:27" ht="21" customHeight="1" x14ac:dyDescent="0.95">
      <c r="A1843" s="56"/>
      <c r="B1843" s="57"/>
      <c r="C1843" s="57"/>
      <c r="D1843" s="57"/>
      <c r="E1843" s="56"/>
      <c r="F1843" s="57"/>
      <c r="G1843" s="57"/>
      <c r="H1843" s="56"/>
      <c r="I1843" s="56"/>
      <c r="J1843" s="58"/>
      <c r="K1843" s="58"/>
      <c r="L1843" s="13" t="str">
        <f t="shared" si="280"/>
        <v/>
      </c>
      <c r="M1843" s="13" t="str">
        <f t="shared" si="281"/>
        <v/>
      </c>
      <c r="Q1843" t="str">
        <f t="shared" si="282"/>
        <v/>
      </c>
      <c r="R1843" t="str">
        <f t="shared" si="283"/>
        <v/>
      </c>
      <c r="S1843" t="str">
        <f t="shared" si="284"/>
        <v/>
      </c>
      <c r="T1843" t="str">
        <f t="shared" si="285"/>
        <v/>
      </c>
      <c r="U1843" t="str">
        <f t="shared" si="286"/>
        <v/>
      </c>
      <c r="V1843" t="str">
        <f t="shared" si="287"/>
        <v/>
      </c>
      <c r="W1843" t="str">
        <f t="shared" si="288"/>
        <v/>
      </c>
      <c r="X1843">
        <f>IF($T1843="",N($X1842),IF(MATCH($T1843,$T$6:$T$10005,0)=ROW()-5,N($X1842)+1,N($X1842)))</f>
        <v>0</v>
      </c>
      <c r="Z1843" t="str">
        <f t="shared" si="289"/>
        <v/>
      </c>
      <c r="AA1843">
        <f>IF($V1843="",N($AA1842),IF(MATCH($V1843,$V$6:$V$10005,0)=ROW()-5,N($AA1842)+1,N($AA1842)))</f>
        <v>0</v>
      </c>
    </row>
    <row r="1844" spans="1:27" ht="21" customHeight="1" x14ac:dyDescent="0.95">
      <c r="A1844" s="56"/>
      <c r="B1844" s="57"/>
      <c r="C1844" s="57"/>
      <c r="D1844" s="57"/>
      <c r="E1844" s="56"/>
      <c r="F1844" s="57"/>
      <c r="G1844" s="57"/>
      <c r="H1844" s="56"/>
      <c r="I1844" s="56"/>
      <c r="J1844" s="58"/>
      <c r="K1844" s="58"/>
      <c r="L1844" s="13" t="str">
        <f t="shared" si="280"/>
        <v/>
      </c>
      <c r="M1844" s="13" t="str">
        <f t="shared" si="281"/>
        <v/>
      </c>
      <c r="Q1844" t="str">
        <f t="shared" si="282"/>
        <v/>
      </c>
      <c r="R1844" t="str">
        <f t="shared" si="283"/>
        <v/>
      </c>
      <c r="S1844" t="str">
        <f t="shared" si="284"/>
        <v/>
      </c>
      <c r="T1844" t="str">
        <f t="shared" si="285"/>
        <v/>
      </c>
      <c r="U1844" t="str">
        <f t="shared" si="286"/>
        <v/>
      </c>
      <c r="V1844" t="str">
        <f t="shared" si="287"/>
        <v/>
      </c>
      <c r="W1844" t="str">
        <f t="shared" si="288"/>
        <v/>
      </c>
      <c r="X1844">
        <f>IF($T1844="",N($X1843),IF(MATCH($T1844,$T$6:$T$10005,0)=ROW()-5,N($X1843)+1,N($X1843)))</f>
        <v>0</v>
      </c>
      <c r="Z1844" t="str">
        <f t="shared" si="289"/>
        <v/>
      </c>
      <c r="AA1844">
        <f>IF($V1844="",N($AA1843),IF(MATCH($V1844,$V$6:$V$10005,0)=ROW()-5,N($AA1843)+1,N($AA1843)))</f>
        <v>0</v>
      </c>
    </row>
    <row r="1845" spans="1:27" ht="21" customHeight="1" x14ac:dyDescent="0.95">
      <c r="A1845" s="56"/>
      <c r="B1845" s="57"/>
      <c r="C1845" s="57"/>
      <c r="D1845" s="57"/>
      <c r="E1845" s="56"/>
      <c r="F1845" s="57"/>
      <c r="G1845" s="57"/>
      <c r="H1845" s="56"/>
      <c r="I1845" s="56"/>
      <c r="J1845" s="58"/>
      <c r="K1845" s="58"/>
      <c r="L1845" s="13" t="str">
        <f t="shared" si="280"/>
        <v/>
      </c>
      <c r="M1845" s="13" t="str">
        <f t="shared" si="281"/>
        <v/>
      </c>
      <c r="Q1845" t="str">
        <f t="shared" si="282"/>
        <v/>
      </c>
      <c r="R1845" t="str">
        <f t="shared" si="283"/>
        <v/>
      </c>
      <c r="S1845" t="str">
        <f t="shared" si="284"/>
        <v/>
      </c>
      <c r="T1845" t="str">
        <f t="shared" si="285"/>
        <v/>
      </c>
      <c r="U1845" t="str">
        <f t="shared" si="286"/>
        <v/>
      </c>
      <c r="V1845" t="str">
        <f t="shared" si="287"/>
        <v/>
      </c>
      <c r="W1845" t="str">
        <f t="shared" si="288"/>
        <v/>
      </c>
      <c r="X1845">
        <f>IF($T1845="",N($X1844),IF(MATCH($T1845,$T$6:$T$10005,0)=ROW()-5,N($X1844)+1,N($X1844)))</f>
        <v>0</v>
      </c>
      <c r="Z1845" t="str">
        <f t="shared" si="289"/>
        <v/>
      </c>
      <c r="AA1845">
        <f>IF($V1845="",N($AA1844),IF(MATCH($V1845,$V$6:$V$10005,0)=ROW()-5,N($AA1844)+1,N($AA1844)))</f>
        <v>0</v>
      </c>
    </row>
    <row r="1846" spans="1:27" ht="21" customHeight="1" x14ac:dyDescent="0.95">
      <c r="A1846" s="56"/>
      <c r="B1846" s="57"/>
      <c r="C1846" s="57"/>
      <c r="D1846" s="57"/>
      <c r="E1846" s="56"/>
      <c r="F1846" s="57"/>
      <c r="G1846" s="57"/>
      <c r="H1846" s="56"/>
      <c r="I1846" s="56"/>
      <c r="J1846" s="58"/>
      <c r="K1846" s="58"/>
      <c r="L1846" s="13" t="str">
        <f t="shared" si="280"/>
        <v/>
      </c>
      <c r="M1846" s="13" t="str">
        <f t="shared" si="281"/>
        <v/>
      </c>
      <c r="Q1846" t="str">
        <f t="shared" si="282"/>
        <v/>
      </c>
      <c r="R1846" t="str">
        <f t="shared" si="283"/>
        <v/>
      </c>
      <c r="S1846" t="str">
        <f t="shared" si="284"/>
        <v/>
      </c>
      <c r="T1846" t="str">
        <f t="shared" si="285"/>
        <v/>
      </c>
      <c r="U1846" t="str">
        <f t="shared" si="286"/>
        <v/>
      </c>
      <c r="V1846" t="str">
        <f t="shared" si="287"/>
        <v/>
      </c>
      <c r="W1846" t="str">
        <f t="shared" si="288"/>
        <v/>
      </c>
      <c r="X1846">
        <f>IF($T1846="",N($X1845),IF(MATCH($T1846,$T$6:$T$10005,0)=ROW()-5,N($X1845)+1,N($X1845)))</f>
        <v>0</v>
      </c>
      <c r="Z1846" t="str">
        <f t="shared" si="289"/>
        <v/>
      </c>
      <c r="AA1846">
        <f>IF($V1846="",N($AA1845),IF(MATCH($V1846,$V$6:$V$10005,0)=ROW()-5,N($AA1845)+1,N($AA1845)))</f>
        <v>0</v>
      </c>
    </row>
    <row r="1847" spans="1:27" ht="21" customHeight="1" x14ac:dyDescent="0.95">
      <c r="A1847" s="56"/>
      <c r="B1847" s="57"/>
      <c r="C1847" s="57"/>
      <c r="D1847" s="57"/>
      <c r="E1847" s="56"/>
      <c r="F1847" s="57"/>
      <c r="G1847" s="57"/>
      <c r="H1847" s="56"/>
      <c r="I1847" s="56"/>
      <c r="J1847" s="58"/>
      <c r="K1847" s="58"/>
      <c r="L1847" s="13" t="str">
        <f t="shared" si="280"/>
        <v/>
      </c>
      <c r="M1847" s="13" t="str">
        <f t="shared" si="281"/>
        <v/>
      </c>
      <c r="Q1847" t="str">
        <f t="shared" si="282"/>
        <v/>
      </c>
      <c r="R1847" t="str">
        <f t="shared" si="283"/>
        <v/>
      </c>
      <c r="S1847" t="str">
        <f t="shared" si="284"/>
        <v/>
      </c>
      <c r="T1847" t="str">
        <f t="shared" si="285"/>
        <v/>
      </c>
      <c r="U1847" t="str">
        <f t="shared" si="286"/>
        <v/>
      </c>
      <c r="V1847" t="str">
        <f t="shared" si="287"/>
        <v/>
      </c>
      <c r="W1847" t="str">
        <f t="shared" si="288"/>
        <v/>
      </c>
      <c r="X1847">
        <f>IF($T1847="",N($X1846),IF(MATCH($T1847,$T$6:$T$10005,0)=ROW()-5,N($X1846)+1,N($X1846)))</f>
        <v>0</v>
      </c>
      <c r="Z1847" t="str">
        <f t="shared" si="289"/>
        <v/>
      </c>
      <c r="AA1847">
        <f>IF($V1847="",N($AA1846),IF(MATCH($V1847,$V$6:$V$10005,0)=ROW()-5,N($AA1846)+1,N($AA1846)))</f>
        <v>0</v>
      </c>
    </row>
    <row r="1848" spans="1:27" ht="21" customHeight="1" x14ac:dyDescent="0.95">
      <c r="A1848" s="56"/>
      <c r="B1848" s="57"/>
      <c r="C1848" s="57"/>
      <c r="D1848" s="57"/>
      <c r="E1848" s="56"/>
      <c r="F1848" s="57"/>
      <c r="G1848" s="57"/>
      <c r="H1848" s="56"/>
      <c r="I1848" s="56"/>
      <c r="J1848" s="58"/>
      <c r="K1848" s="58"/>
      <c r="L1848" s="13" t="str">
        <f t="shared" si="280"/>
        <v/>
      </c>
      <c r="M1848" s="13" t="str">
        <f t="shared" si="281"/>
        <v/>
      </c>
      <c r="Q1848" t="str">
        <f t="shared" si="282"/>
        <v/>
      </c>
      <c r="R1848" t="str">
        <f t="shared" si="283"/>
        <v/>
      </c>
      <c r="S1848" t="str">
        <f t="shared" si="284"/>
        <v/>
      </c>
      <c r="T1848" t="str">
        <f t="shared" si="285"/>
        <v/>
      </c>
      <c r="U1848" t="str">
        <f t="shared" si="286"/>
        <v/>
      </c>
      <c r="V1848" t="str">
        <f t="shared" si="287"/>
        <v/>
      </c>
      <c r="W1848" t="str">
        <f t="shared" si="288"/>
        <v/>
      </c>
      <c r="X1848">
        <f>IF($T1848="",N($X1847),IF(MATCH($T1848,$T$6:$T$10005,0)=ROW()-5,N($X1847)+1,N($X1847)))</f>
        <v>0</v>
      </c>
      <c r="Z1848" t="str">
        <f t="shared" si="289"/>
        <v/>
      </c>
      <c r="AA1848">
        <f>IF($V1848="",N($AA1847),IF(MATCH($V1848,$V$6:$V$10005,0)=ROW()-5,N($AA1847)+1,N($AA1847)))</f>
        <v>0</v>
      </c>
    </row>
    <row r="1849" spans="1:27" ht="21" customHeight="1" x14ac:dyDescent="0.95">
      <c r="A1849" s="56"/>
      <c r="B1849" s="57"/>
      <c r="C1849" s="57"/>
      <c r="D1849" s="57"/>
      <c r="E1849" s="56"/>
      <c r="F1849" s="57"/>
      <c r="G1849" s="57"/>
      <c r="H1849" s="56"/>
      <c r="I1849" s="56"/>
      <c r="J1849" s="58"/>
      <c r="K1849" s="58"/>
      <c r="L1849" s="13" t="str">
        <f t="shared" si="280"/>
        <v/>
      </c>
      <c r="M1849" s="13" t="str">
        <f t="shared" si="281"/>
        <v/>
      </c>
      <c r="Q1849" t="str">
        <f t="shared" si="282"/>
        <v/>
      </c>
      <c r="R1849" t="str">
        <f t="shared" si="283"/>
        <v/>
      </c>
      <c r="S1849" t="str">
        <f t="shared" si="284"/>
        <v/>
      </c>
      <c r="T1849" t="str">
        <f t="shared" si="285"/>
        <v/>
      </c>
      <c r="U1849" t="str">
        <f t="shared" si="286"/>
        <v/>
      </c>
      <c r="V1849" t="str">
        <f t="shared" si="287"/>
        <v/>
      </c>
      <c r="W1849" t="str">
        <f t="shared" si="288"/>
        <v/>
      </c>
      <c r="X1849">
        <f>IF($T1849="",N($X1848),IF(MATCH($T1849,$T$6:$T$10005,0)=ROW()-5,N($X1848)+1,N($X1848)))</f>
        <v>0</v>
      </c>
      <c r="Z1849" t="str">
        <f t="shared" si="289"/>
        <v/>
      </c>
      <c r="AA1849">
        <f>IF($V1849="",N($AA1848),IF(MATCH($V1849,$V$6:$V$10005,0)=ROW()-5,N($AA1848)+1,N($AA1848)))</f>
        <v>0</v>
      </c>
    </row>
    <row r="1850" spans="1:27" ht="21" customHeight="1" x14ac:dyDescent="0.95">
      <c r="A1850" s="56"/>
      <c r="B1850" s="57"/>
      <c r="C1850" s="57"/>
      <c r="D1850" s="57"/>
      <c r="E1850" s="56"/>
      <c r="F1850" s="57"/>
      <c r="G1850" s="57"/>
      <c r="H1850" s="56"/>
      <c r="I1850" s="56"/>
      <c r="J1850" s="58"/>
      <c r="K1850" s="58"/>
      <c r="L1850" s="13" t="str">
        <f t="shared" si="280"/>
        <v/>
      </c>
      <c r="M1850" s="13" t="str">
        <f t="shared" si="281"/>
        <v/>
      </c>
      <c r="Q1850" t="str">
        <f t="shared" si="282"/>
        <v/>
      </c>
      <c r="R1850" t="str">
        <f t="shared" si="283"/>
        <v/>
      </c>
      <c r="S1850" t="str">
        <f t="shared" si="284"/>
        <v/>
      </c>
      <c r="T1850" t="str">
        <f t="shared" si="285"/>
        <v/>
      </c>
      <c r="U1850" t="str">
        <f t="shared" si="286"/>
        <v/>
      </c>
      <c r="V1850" t="str">
        <f t="shared" si="287"/>
        <v/>
      </c>
      <c r="W1850" t="str">
        <f t="shared" si="288"/>
        <v/>
      </c>
      <c r="X1850">
        <f>IF($T1850="",N($X1849),IF(MATCH($T1850,$T$6:$T$10005,0)=ROW()-5,N($X1849)+1,N($X1849)))</f>
        <v>0</v>
      </c>
      <c r="Z1850" t="str">
        <f t="shared" si="289"/>
        <v/>
      </c>
      <c r="AA1850">
        <f>IF($V1850="",N($AA1849),IF(MATCH($V1850,$V$6:$V$10005,0)=ROW()-5,N($AA1849)+1,N($AA1849)))</f>
        <v>0</v>
      </c>
    </row>
    <row r="1851" spans="1:27" ht="21" customHeight="1" x14ac:dyDescent="0.95">
      <c r="A1851" s="56"/>
      <c r="B1851" s="57"/>
      <c r="C1851" s="57"/>
      <c r="D1851" s="57"/>
      <c r="E1851" s="56"/>
      <c r="F1851" s="57"/>
      <c r="G1851" s="57"/>
      <c r="H1851" s="56"/>
      <c r="I1851" s="56"/>
      <c r="J1851" s="58"/>
      <c r="K1851" s="58"/>
      <c r="L1851" s="13" t="str">
        <f t="shared" si="280"/>
        <v/>
      </c>
      <c r="M1851" s="13" t="str">
        <f t="shared" si="281"/>
        <v/>
      </c>
      <c r="Q1851" t="str">
        <f t="shared" si="282"/>
        <v/>
      </c>
      <c r="R1851" t="str">
        <f t="shared" si="283"/>
        <v/>
      </c>
      <c r="S1851" t="str">
        <f t="shared" si="284"/>
        <v/>
      </c>
      <c r="T1851" t="str">
        <f t="shared" si="285"/>
        <v/>
      </c>
      <c r="U1851" t="str">
        <f t="shared" si="286"/>
        <v/>
      </c>
      <c r="V1851" t="str">
        <f t="shared" si="287"/>
        <v/>
      </c>
      <c r="W1851" t="str">
        <f t="shared" si="288"/>
        <v/>
      </c>
      <c r="X1851">
        <f>IF($T1851="",N($X1850),IF(MATCH($T1851,$T$6:$T$10005,0)=ROW()-5,N($X1850)+1,N($X1850)))</f>
        <v>0</v>
      </c>
      <c r="Z1851" t="str">
        <f t="shared" si="289"/>
        <v/>
      </c>
      <c r="AA1851">
        <f>IF($V1851="",N($AA1850),IF(MATCH($V1851,$V$6:$V$10005,0)=ROW()-5,N($AA1850)+1,N($AA1850)))</f>
        <v>0</v>
      </c>
    </row>
    <row r="1852" spans="1:27" ht="21" customHeight="1" x14ac:dyDescent="0.95">
      <c r="A1852" s="56"/>
      <c r="B1852" s="57"/>
      <c r="C1852" s="57"/>
      <c r="D1852" s="57"/>
      <c r="E1852" s="56"/>
      <c r="F1852" s="57"/>
      <c r="G1852" s="57"/>
      <c r="H1852" s="56"/>
      <c r="I1852" s="56"/>
      <c r="J1852" s="58"/>
      <c r="K1852" s="58"/>
      <c r="L1852" s="13" t="str">
        <f t="shared" si="280"/>
        <v/>
      </c>
      <c r="M1852" s="13" t="str">
        <f t="shared" si="281"/>
        <v/>
      </c>
      <c r="Q1852" t="str">
        <f t="shared" si="282"/>
        <v/>
      </c>
      <c r="R1852" t="str">
        <f t="shared" si="283"/>
        <v/>
      </c>
      <c r="S1852" t="str">
        <f t="shared" si="284"/>
        <v/>
      </c>
      <c r="T1852" t="str">
        <f t="shared" si="285"/>
        <v/>
      </c>
      <c r="U1852" t="str">
        <f t="shared" si="286"/>
        <v/>
      </c>
      <c r="V1852" t="str">
        <f t="shared" si="287"/>
        <v/>
      </c>
      <c r="W1852" t="str">
        <f t="shared" si="288"/>
        <v/>
      </c>
      <c r="X1852">
        <f>IF($T1852="",N($X1851),IF(MATCH($T1852,$T$6:$T$10005,0)=ROW()-5,N($X1851)+1,N($X1851)))</f>
        <v>0</v>
      </c>
      <c r="Z1852" t="str">
        <f t="shared" si="289"/>
        <v/>
      </c>
      <c r="AA1852">
        <f>IF($V1852="",N($AA1851),IF(MATCH($V1852,$V$6:$V$10005,0)=ROW()-5,N($AA1851)+1,N($AA1851)))</f>
        <v>0</v>
      </c>
    </row>
    <row r="1853" spans="1:27" ht="21" customHeight="1" x14ac:dyDescent="0.95">
      <c r="A1853" s="56"/>
      <c r="B1853" s="57"/>
      <c r="C1853" s="57"/>
      <c r="D1853" s="57"/>
      <c r="E1853" s="56"/>
      <c r="F1853" s="57"/>
      <c r="G1853" s="57"/>
      <c r="H1853" s="56"/>
      <c r="I1853" s="56"/>
      <c r="J1853" s="58"/>
      <c r="K1853" s="58"/>
      <c r="L1853" s="13" t="str">
        <f t="shared" si="280"/>
        <v/>
      </c>
      <c r="M1853" s="13" t="str">
        <f t="shared" si="281"/>
        <v/>
      </c>
      <c r="Q1853" t="str">
        <f t="shared" si="282"/>
        <v/>
      </c>
      <c r="R1853" t="str">
        <f t="shared" si="283"/>
        <v/>
      </c>
      <c r="S1853" t="str">
        <f t="shared" si="284"/>
        <v/>
      </c>
      <c r="T1853" t="str">
        <f t="shared" si="285"/>
        <v/>
      </c>
      <c r="U1853" t="str">
        <f t="shared" si="286"/>
        <v/>
      </c>
      <c r="V1853" t="str">
        <f t="shared" si="287"/>
        <v/>
      </c>
      <c r="W1853" t="str">
        <f t="shared" si="288"/>
        <v/>
      </c>
      <c r="X1853">
        <f>IF($T1853="",N($X1852),IF(MATCH($T1853,$T$6:$T$10005,0)=ROW()-5,N($X1852)+1,N($X1852)))</f>
        <v>0</v>
      </c>
      <c r="Z1853" t="str">
        <f t="shared" si="289"/>
        <v/>
      </c>
      <c r="AA1853">
        <f>IF($V1853="",N($AA1852),IF(MATCH($V1853,$V$6:$V$10005,0)=ROW()-5,N($AA1852)+1,N($AA1852)))</f>
        <v>0</v>
      </c>
    </row>
    <row r="1854" spans="1:27" ht="21" customHeight="1" x14ac:dyDescent="0.95">
      <c r="A1854" s="56"/>
      <c r="B1854" s="57"/>
      <c r="C1854" s="57"/>
      <c r="D1854" s="57"/>
      <c r="E1854" s="56"/>
      <c r="F1854" s="57"/>
      <c r="G1854" s="57"/>
      <c r="H1854" s="56"/>
      <c r="I1854" s="56"/>
      <c r="J1854" s="58"/>
      <c r="K1854" s="58"/>
      <c r="L1854" s="13" t="str">
        <f t="shared" si="280"/>
        <v/>
      </c>
      <c r="M1854" s="13" t="str">
        <f t="shared" si="281"/>
        <v/>
      </c>
      <c r="Q1854" t="str">
        <f t="shared" si="282"/>
        <v/>
      </c>
      <c r="R1854" t="str">
        <f t="shared" si="283"/>
        <v/>
      </c>
      <c r="S1854" t="str">
        <f t="shared" si="284"/>
        <v/>
      </c>
      <c r="T1854" t="str">
        <f t="shared" si="285"/>
        <v/>
      </c>
      <c r="U1854" t="str">
        <f t="shared" si="286"/>
        <v/>
      </c>
      <c r="V1854" t="str">
        <f t="shared" si="287"/>
        <v/>
      </c>
      <c r="W1854" t="str">
        <f t="shared" si="288"/>
        <v/>
      </c>
      <c r="X1854">
        <f>IF($T1854="",N($X1853),IF(MATCH($T1854,$T$6:$T$10005,0)=ROW()-5,N($X1853)+1,N($X1853)))</f>
        <v>0</v>
      </c>
      <c r="Z1854" t="str">
        <f t="shared" si="289"/>
        <v/>
      </c>
      <c r="AA1854">
        <f>IF($V1854="",N($AA1853),IF(MATCH($V1854,$V$6:$V$10005,0)=ROW()-5,N($AA1853)+1,N($AA1853)))</f>
        <v>0</v>
      </c>
    </row>
    <row r="1855" spans="1:27" ht="21" customHeight="1" x14ac:dyDescent="0.95">
      <c r="A1855" s="56"/>
      <c r="B1855" s="57"/>
      <c r="C1855" s="57"/>
      <c r="D1855" s="57"/>
      <c r="E1855" s="56"/>
      <c r="F1855" s="57"/>
      <c r="G1855" s="57"/>
      <c r="H1855" s="56"/>
      <c r="I1855" s="56"/>
      <c r="J1855" s="58"/>
      <c r="K1855" s="58"/>
      <c r="L1855" s="13" t="str">
        <f t="shared" si="280"/>
        <v/>
      </c>
      <c r="M1855" s="13" t="str">
        <f t="shared" si="281"/>
        <v/>
      </c>
      <c r="Q1855" t="str">
        <f t="shared" si="282"/>
        <v/>
      </c>
      <c r="R1855" t="str">
        <f t="shared" si="283"/>
        <v/>
      </c>
      <c r="S1855" t="str">
        <f t="shared" si="284"/>
        <v/>
      </c>
      <c r="T1855" t="str">
        <f t="shared" si="285"/>
        <v/>
      </c>
      <c r="U1855" t="str">
        <f t="shared" si="286"/>
        <v/>
      </c>
      <c r="V1855" t="str">
        <f t="shared" si="287"/>
        <v/>
      </c>
      <c r="W1855" t="str">
        <f t="shared" si="288"/>
        <v/>
      </c>
      <c r="X1855">
        <f>IF($T1855="",N($X1854),IF(MATCH($T1855,$T$6:$T$10005,0)=ROW()-5,N($X1854)+1,N($X1854)))</f>
        <v>0</v>
      </c>
      <c r="Z1855" t="str">
        <f t="shared" si="289"/>
        <v/>
      </c>
      <c r="AA1855">
        <f>IF($V1855="",N($AA1854),IF(MATCH($V1855,$V$6:$V$10005,0)=ROW()-5,N($AA1854)+1,N($AA1854)))</f>
        <v>0</v>
      </c>
    </row>
    <row r="1856" spans="1:27" ht="21" customHeight="1" x14ac:dyDescent="0.95">
      <c r="A1856" s="56"/>
      <c r="B1856" s="57"/>
      <c r="C1856" s="57"/>
      <c r="D1856" s="57"/>
      <c r="E1856" s="56"/>
      <c r="F1856" s="57"/>
      <c r="G1856" s="57"/>
      <c r="H1856" s="56"/>
      <c r="I1856" s="56"/>
      <c r="J1856" s="58"/>
      <c r="K1856" s="58"/>
      <c r="L1856" s="13" t="str">
        <f t="shared" si="280"/>
        <v/>
      </c>
      <c r="M1856" s="13" t="str">
        <f t="shared" si="281"/>
        <v/>
      </c>
      <c r="Q1856" t="str">
        <f t="shared" si="282"/>
        <v/>
      </c>
      <c r="R1856" t="str">
        <f t="shared" si="283"/>
        <v/>
      </c>
      <c r="S1856" t="str">
        <f t="shared" si="284"/>
        <v/>
      </c>
      <c r="T1856" t="str">
        <f t="shared" si="285"/>
        <v/>
      </c>
      <c r="U1856" t="str">
        <f t="shared" si="286"/>
        <v/>
      </c>
      <c r="V1856" t="str">
        <f t="shared" si="287"/>
        <v/>
      </c>
      <c r="W1856" t="str">
        <f t="shared" si="288"/>
        <v/>
      </c>
      <c r="X1856">
        <f>IF($T1856="",N($X1855),IF(MATCH($T1856,$T$6:$T$10005,0)=ROW()-5,N($X1855)+1,N($X1855)))</f>
        <v>0</v>
      </c>
      <c r="Z1856" t="str">
        <f t="shared" si="289"/>
        <v/>
      </c>
      <c r="AA1856">
        <f>IF($V1856="",N($AA1855),IF(MATCH($V1856,$V$6:$V$10005,0)=ROW()-5,N($AA1855)+1,N($AA1855)))</f>
        <v>0</v>
      </c>
    </row>
    <row r="1857" spans="1:27" ht="21" customHeight="1" x14ac:dyDescent="0.95">
      <c r="A1857" s="56"/>
      <c r="B1857" s="57"/>
      <c r="C1857" s="57"/>
      <c r="D1857" s="57"/>
      <c r="E1857" s="56"/>
      <c r="F1857" s="57"/>
      <c r="G1857" s="57"/>
      <c r="H1857" s="56"/>
      <c r="I1857" s="56"/>
      <c r="J1857" s="58"/>
      <c r="K1857" s="58"/>
      <c r="L1857" s="13" t="str">
        <f t="shared" si="280"/>
        <v/>
      </c>
      <c r="M1857" s="13" t="str">
        <f t="shared" si="281"/>
        <v/>
      </c>
      <c r="Q1857" t="str">
        <f t="shared" si="282"/>
        <v/>
      </c>
      <c r="R1857" t="str">
        <f t="shared" si="283"/>
        <v/>
      </c>
      <c r="S1857" t="str">
        <f t="shared" si="284"/>
        <v/>
      </c>
      <c r="T1857" t="str">
        <f t="shared" si="285"/>
        <v/>
      </c>
      <c r="U1857" t="str">
        <f t="shared" si="286"/>
        <v/>
      </c>
      <c r="V1857" t="str">
        <f t="shared" si="287"/>
        <v/>
      </c>
      <c r="W1857" t="str">
        <f t="shared" si="288"/>
        <v/>
      </c>
      <c r="X1857">
        <f>IF($T1857="",N($X1856),IF(MATCH($T1857,$T$6:$T$10005,0)=ROW()-5,N($X1856)+1,N($X1856)))</f>
        <v>0</v>
      </c>
      <c r="Z1857" t="str">
        <f t="shared" si="289"/>
        <v/>
      </c>
      <c r="AA1857">
        <f>IF($V1857="",N($AA1856),IF(MATCH($V1857,$V$6:$V$10005,0)=ROW()-5,N($AA1856)+1,N($AA1856)))</f>
        <v>0</v>
      </c>
    </row>
    <row r="1858" spans="1:27" ht="21" customHeight="1" x14ac:dyDescent="0.95">
      <c r="A1858" s="56"/>
      <c r="B1858" s="57"/>
      <c r="C1858" s="57"/>
      <c r="D1858" s="57"/>
      <c r="E1858" s="56"/>
      <c r="F1858" s="57"/>
      <c r="G1858" s="57"/>
      <c r="H1858" s="56"/>
      <c r="I1858" s="56"/>
      <c r="J1858" s="58"/>
      <c r="K1858" s="58"/>
      <c r="L1858" s="13" t="str">
        <f t="shared" si="280"/>
        <v/>
      </c>
      <c r="M1858" s="13" t="str">
        <f t="shared" si="281"/>
        <v/>
      </c>
      <c r="Q1858" t="str">
        <f t="shared" si="282"/>
        <v/>
      </c>
      <c r="R1858" t="str">
        <f t="shared" si="283"/>
        <v/>
      </c>
      <c r="S1858" t="str">
        <f t="shared" si="284"/>
        <v/>
      </c>
      <c r="T1858" t="str">
        <f t="shared" si="285"/>
        <v/>
      </c>
      <c r="U1858" t="str">
        <f t="shared" si="286"/>
        <v/>
      </c>
      <c r="V1858" t="str">
        <f t="shared" si="287"/>
        <v/>
      </c>
      <c r="W1858" t="str">
        <f t="shared" si="288"/>
        <v/>
      </c>
      <c r="X1858">
        <f>IF($T1858="",N($X1857),IF(MATCH($T1858,$T$6:$T$10005,0)=ROW()-5,N($X1857)+1,N($X1857)))</f>
        <v>0</v>
      </c>
      <c r="Z1858" t="str">
        <f t="shared" si="289"/>
        <v/>
      </c>
      <c r="AA1858">
        <f>IF($V1858="",N($AA1857),IF(MATCH($V1858,$V$6:$V$10005,0)=ROW()-5,N($AA1857)+1,N($AA1857)))</f>
        <v>0</v>
      </c>
    </row>
    <row r="1859" spans="1:27" ht="21" customHeight="1" x14ac:dyDescent="0.95">
      <c r="A1859" s="56"/>
      <c r="B1859" s="57"/>
      <c r="C1859" s="57"/>
      <c r="D1859" s="57"/>
      <c r="E1859" s="56"/>
      <c r="F1859" s="57"/>
      <c r="G1859" s="57"/>
      <c r="H1859" s="56"/>
      <c r="I1859" s="56"/>
      <c r="J1859" s="58"/>
      <c r="K1859" s="58"/>
      <c r="L1859" s="13" t="str">
        <f t="shared" si="280"/>
        <v/>
      </c>
      <c r="M1859" s="13" t="str">
        <f t="shared" si="281"/>
        <v/>
      </c>
      <c r="Q1859" t="str">
        <f t="shared" si="282"/>
        <v/>
      </c>
      <c r="R1859" t="str">
        <f t="shared" si="283"/>
        <v/>
      </c>
      <c r="S1859" t="str">
        <f t="shared" si="284"/>
        <v/>
      </c>
      <c r="T1859" t="str">
        <f t="shared" si="285"/>
        <v/>
      </c>
      <c r="U1859" t="str">
        <f t="shared" si="286"/>
        <v/>
      </c>
      <c r="V1859" t="str">
        <f t="shared" si="287"/>
        <v/>
      </c>
      <c r="W1859" t="str">
        <f t="shared" si="288"/>
        <v/>
      </c>
      <c r="X1859">
        <f>IF($T1859="",N($X1858),IF(MATCH($T1859,$T$6:$T$10005,0)=ROW()-5,N($X1858)+1,N($X1858)))</f>
        <v>0</v>
      </c>
      <c r="Z1859" t="str">
        <f t="shared" si="289"/>
        <v/>
      </c>
      <c r="AA1859">
        <f>IF($V1859="",N($AA1858),IF(MATCH($V1859,$V$6:$V$10005,0)=ROW()-5,N($AA1858)+1,N($AA1858)))</f>
        <v>0</v>
      </c>
    </row>
    <row r="1860" spans="1:27" ht="21" customHeight="1" x14ac:dyDescent="0.95">
      <c r="A1860" s="56"/>
      <c r="B1860" s="57"/>
      <c r="C1860" s="57"/>
      <c r="D1860" s="57"/>
      <c r="E1860" s="56"/>
      <c r="F1860" s="57"/>
      <c r="G1860" s="57"/>
      <c r="H1860" s="56"/>
      <c r="I1860" s="56"/>
      <c r="J1860" s="58"/>
      <c r="K1860" s="58"/>
      <c r="L1860" s="13" t="str">
        <f t="shared" si="280"/>
        <v/>
      </c>
      <c r="M1860" s="13" t="str">
        <f t="shared" si="281"/>
        <v/>
      </c>
      <c r="Q1860" t="str">
        <f t="shared" si="282"/>
        <v/>
      </c>
      <c r="R1860" t="str">
        <f t="shared" si="283"/>
        <v/>
      </c>
      <c r="S1860" t="str">
        <f t="shared" si="284"/>
        <v/>
      </c>
      <c r="T1860" t="str">
        <f t="shared" si="285"/>
        <v/>
      </c>
      <c r="U1860" t="str">
        <f t="shared" si="286"/>
        <v/>
      </c>
      <c r="V1860" t="str">
        <f t="shared" si="287"/>
        <v/>
      </c>
      <c r="W1860" t="str">
        <f t="shared" si="288"/>
        <v/>
      </c>
      <c r="X1860">
        <f>IF($T1860="",N($X1859),IF(MATCH($T1860,$T$6:$T$10005,0)=ROW()-5,N($X1859)+1,N($X1859)))</f>
        <v>0</v>
      </c>
      <c r="Z1860" t="str">
        <f t="shared" si="289"/>
        <v/>
      </c>
      <c r="AA1860">
        <f>IF($V1860="",N($AA1859),IF(MATCH($V1860,$V$6:$V$10005,0)=ROW()-5,N($AA1859)+1,N($AA1859)))</f>
        <v>0</v>
      </c>
    </row>
    <row r="1861" spans="1:27" ht="21" customHeight="1" x14ac:dyDescent="0.95">
      <c r="A1861" s="56"/>
      <c r="B1861" s="57"/>
      <c r="C1861" s="57"/>
      <c r="D1861" s="57"/>
      <c r="E1861" s="56"/>
      <c r="F1861" s="57"/>
      <c r="G1861" s="57"/>
      <c r="H1861" s="56"/>
      <c r="I1861" s="56"/>
      <c r="J1861" s="58"/>
      <c r="K1861" s="58"/>
      <c r="L1861" s="13" t="str">
        <f t="shared" si="280"/>
        <v/>
      </c>
      <c r="M1861" s="13" t="str">
        <f t="shared" si="281"/>
        <v/>
      </c>
      <c r="Q1861" t="str">
        <f t="shared" si="282"/>
        <v/>
      </c>
      <c r="R1861" t="str">
        <f t="shared" si="283"/>
        <v/>
      </c>
      <c r="S1861" t="str">
        <f t="shared" si="284"/>
        <v/>
      </c>
      <c r="T1861" t="str">
        <f t="shared" si="285"/>
        <v/>
      </c>
      <c r="U1861" t="str">
        <f t="shared" si="286"/>
        <v/>
      </c>
      <c r="V1861" t="str">
        <f t="shared" si="287"/>
        <v/>
      </c>
      <c r="W1861" t="str">
        <f t="shared" si="288"/>
        <v/>
      </c>
      <c r="X1861">
        <f>IF($T1861="",N($X1860),IF(MATCH($T1861,$T$6:$T$10005,0)=ROW()-5,N($X1860)+1,N($X1860)))</f>
        <v>0</v>
      </c>
      <c r="Z1861" t="str">
        <f t="shared" si="289"/>
        <v/>
      </c>
      <c r="AA1861">
        <f>IF($V1861="",N($AA1860),IF(MATCH($V1861,$V$6:$V$10005,0)=ROW()-5,N($AA1860)+1,N($AA1860)))</f>
        <v>0</v>
      </c>
    </row>
    <row r="1862" spans="1:27" ht="21" customHeight="1" x14ac:dyDescent="0.95">
      <c r="A1862" s="56"/>
      <c r="B1862" s="57"/>
      <c r="C1862" s="57"/>
      <c r="D1862" s="57"/>
      <c r="E1862" s="56"/>
      <c r="F1862" s="57"/>
      <c r="G1862" s="57"/>
      <c r="H1862" s="56"/>
      <c r="I1862" s="56"/>
      <c r="J1862" s="58"/>
      <c r="K1862" s="58"/>
      <c r="L1862" s="13" t="str">
        <f t="shared" ref="L1862:L1925" si="290">IF(OR($A1862="",AND($J1862="",$K1862="")),"",ROUND(N($J1862)-N($K1862),2))</f>
        <v/>
      </c>
      <c r="M1862" s="13" t="str">
        <f t="shared" ref="M1862:M1925" si="291">IF(OR($A1862="",AND($J1862="",$K1862="")),"",MIN($J1862,$K1862))</f>
        <v/>
      </c>
      <c r="Q1862" t="str">
        <f t="shared" ref="Q1862:Q1925" si="292">IF($A1862="","",$D1862&amp;"("&amp;SUBSTITUTE($E1862," ","")&amp;")")</f>
        <v/>
      </c>
      <c r="R1862" t="str">
        <f t="shared" ref="R1862:R1925" si="293">IF($A1862="","",$B1862&amp;" - "&amp;$C1862)</f>
        <v/>
      </c>
      <c r="S1862" t="str">
        <f t="shared" ref="S1862:S1925" si="294">IF($A1862="","",$R1862&amp;"|"&amp;$Q1862)</f>
        <v/>
      </c>
      <c r="T1862" t="str">
        <f t="shared" ref="T1862:T1925" si="295">IF($A1862="","",$S1862&amp;"|"&amp;$F1862)</f>
        <v/>
      </c>
      <c r="U1862" t="str">
        <f t="shared" ref="U1862:U1925" si="296">IF($A1862="","",$R1862&amp;"("&amp;$E1862&amp;")")</f>
        <v/>
      </c>
      <c r="V1862" t="str">
        <f t="shared" ref="V1862:V1925" si="297">IF($A1862="","",$F1862&amp;"|"&amp;$U1862&amp;"|"&amp;$D1862)</f>
        <v/>
      </c>
      <c r="W1862" t="str">
        <f t="shared" ref="W1862:W1925" si="298">IF($T1862="","",IF($X1862&gt;N($X1861),$X1862,""))</f>
        <v/>
      </c>
      <c r="X1862">
        <f>IF($T1862="",N($X1861),IF(MATCH($T1862,$T$6:$T$10005,0)=ROW()-5,N($X1861)+1,N($X1861)))</f>
        <v>0</v>
      </c>
      <c r="Z1862" t="str">
        <f t="shared" ref="Z1862:Z1925" si="299">IF($V1862="","",IF($AA1862&gt;N($AA1861),$AA1862,""))</f>
        <v/>
      </c>
      <c r="AA1862">
        <f>IF($V1862="",N($AA1861),IF(MATCH($V1862,$V$6:$V$10005,0)=ROW()-5,N($AA1861)+1,N($AA1861)))</f>
        <v>0</v>
      </c>
    </row>
    <row r="1863" spans="1:27" ht="21" customHeight="1" x14ac:dyDescent="0.95">
      <c r="A1863" s="56"/>
      <c r="B1863" s="57"/>
      <c r="C1863" s="57"/>
      <c r="D1863" s="57"/>
      <c r="E1863" s="56"/>
      <c r="F1863" s="57"/>
      <c r="G1863" s="57"/>
      <c r="H1863" s="56"/>
      <c r="I1863" s="56"/>
      <c r="J1863" s="58"/>
      <c r="K1863" s="58"/>
      <c r="L1863" s="13" t="str">
        <f t="shared" si="290"/>
        <v/>
      </c>
      <c r="M1863" s="13" t="str">
        <f t="shared" si="291"/>
        <v/>
      </c>
      <c r="Q1863" t="str">
        <f t="shared" si="292"/>
        <v/>
      </c>
      <c r="R1863" t="str">
        <f t="shared" si="293"/>
        <v/>
      </c>
      <c r="S1863" t="str">
        <f t="shared" si="294"/>
        <v/>
      </c>
      <c r="T1863" t="str">
        <f t="shared" si="295"/>
        <v/>
      </c>
      <c r="U1863" t="str">
        <f t="shared" si="296"/>
        <v/>
      </c>
      <c r="V1863" t="str">
        <f t="shared" si="297"/>
        <v/>
      </c>
      <c r="W1863" t="str">
        <f t="shared" si="298"/>
        <v/>
      </c>
      <c r="X1863">
        <f>IF($T1863="",N($X1862),IF(MATCH($T1863,$T$6:$T$10005,0)=ROW()-5,N($X1862)+1,N($X1862)))</f>
        <v>0</v>
      </c>
      <c r="Z1863" t="str">
        <f t="shared" si="299"/>
        <v/>
      </c>
      <c r="AA1863">
        <f>IF($V1863="",N($AA1862),IF(MATCH($V1863,$V$6:$V$10005,0)=ROW()-5,N($AA1862)+1,N($AA1862)))</f>
        <v>0</v>
      </c>
    </row>
    <row r="1864" spans="1:27" ht="21" customHeight="1" x14ac:dyDescent="0.95">
      <c r="A1864" s="56"/>
      <c r="B1864" s="57"/>
      <c r="C1864" s="57"/>
      <c r="D1864" s="57"/>
      <c r="E1864" s="56"/>
      <c r="F1864" s="57"/>
      <c r="G1864" s="57"/>
      <c r="H1864" s="56"/>
      <c r="I1864" s="56"/>
      <c r="J1864" s="58"/>
      <c r="K1864" s="58"/>
      <c r="L1864" s="13" t="str">
        <f t="shared" si="290"/>
        <v/>
      </c>
      <c r="M1864" s="13" t="str">
        <f t="shared" si="291"/>
        <v/>
      </c>
      <c r="Q1864" t="str">
        <f t="shared" si="292"/>
        <v/>
      </c>
      <c r="R1864" t="str">
        <f t="shared" si="293"/>
        <v/>
      </c>
      <c r="S1864" t="str">
        <f t="shared" si="294"/>
        <v/>
      </c>
      <c r="T1864" t="str">
        <f t="shared" si="295"/>
        <v/>
      </c>
      <c r="U1864" t="str">
        <f t="shared" si="296"/>
        <v/>
      </c>
      <c r="V1864" t="str">
        <f t="shared" si="297"/>
        <v/>
      </c>
      <c r="W1864" t="str">
        <f t="shared" si="298"/>
        <v/>
      </c>
      <c r="X1864">
        <f>IF($T1864="",N($X1863),IF(MATCH($T1864,$T$6:$T$10005,0)=ROW()-5,N($X1863)+1,N($X1863)))</f>
        <v>0</v>
      </c>
      <c r="Z1864" t="str">
        <f t="shared" si="299"/>
        <v/>
      </c>
      <c r="AA1864">
        <f>IF($V1864="",N($AA1863),IF(MATCH($V1864,$V$6:$V$10005,0)=ROW()-5,N($AA1863)+1,N($AA1863)))</f>
        <v>0</v>
      </c>
    </row>
    <row r="1865" spans="1:27" ht="21" customHeight="1" x14ac:dyDescent="0.95">
      <c r="A1865" s="56"/>
      <c r="B1865" s="57"/>
      <c r="C1865" s="57"/>
      <c r="D1865" s="57"/>
      <c r="E1865" s="56"/>
      <c r="F1865" s="57"/>
      <c r="G1865" s="57"/>
      <c r="H1865" s="56"/>
      <c r="I1865" s="56"/>
      <c r="J1865" s="58"/>
      <c r="K1865" s="58"/>
      <c r="L1865" s="13" t="str">
        <f t="shared" si="290"/>
        <v/>
      </c>
      <c r="M1865" s="13" t="str">
        <f t="shared" si="291"/>
        <v/>
      </c>
      <c r="Q1865" t="str">
        <f t="shared" si="292"/>
        <v/>
      </c>
      <c r="R1865" t="str">
        <f t="shared" si="293"/>
        <v/>
      </c>
      <c r="S1865" t="str">
        <f t="shared" si="294"/>
        <v/>
      </c>
      <c r="T1865" t="str">
        <f t="shared" si="295"/>
        <v/>
      </c>
      <c r="U1865" t="str">
        <f t="shared" si="296"/>
        <v/>
      </c>
      <c r="V1865" t="str">
        <f t="shared" si="297"/>
        <v/>
      </c>
      <c r="W1865" t="str">
        <f t="shared" si="298"/>
        <v/>
      </c>
      <c r="X1865">
        <f>IF($T1865="",N($X1864),IF(MATCH($T1865,$T$6:$T$10005,0)=ROW()-5,N($X1864)+1,N($X1864)))</f>
        <v>0</v>
      </c>
      <c r="Z1865" t="str">
        <f t="shared" si="299"/>
        <v/>
      </c>
      <c r="AA1865">
        <f>IF($V1865="",N($AA1864),IF(MATCH($V1865,$V$6:$V$10005,0)=ROW()-5,N($AA1864)+1,N($AA1864)))</f>
        <v>0</v>
      </c>
    </row>
    <row r="1866" spans="1:27" ht="21" customHeight="1" x14ac:dyDescent="0.95">
      <c r="A1866" s="56"/>
      <c r="B1866" s="57"/>
      <c r="C1866" s="57"/>
      <c r="D1866" s="57"/>
      <c r="E1866" s="56"/>
      <c r="F1866" s="57"/>
      <c r="G1866" s="57"/>
      <c r="H1866" s="56"/>
      <c r="I1866" s="56"/>
      <c r="J1866" s="58"/>
      <c r="K1866" s="58"/>
      <c r="L1866" s="13" t="str">
        <f t="shared" si="290"/>
        <v/>
      </c>
      <c r="M1866" s="13" t="str">
        <f t="shared" si="291"/>
        <v/>
      </c>
      <c r="Q1866" t="str">
        <f t="shared" si="292"/>
        <v/>
      </c>
      <c r="R1866" t="str">
        <f t="shared" si="293"/>
        <v/>
      </c>
      <c r="S1866" t="str">
        <f t="shared" si="294"/>
        <v/>
      </c>
      <c r="T1866" t="str">
        <f t="shared" si="295"/>
        <v/>
      </c>
      <c r="U1866" t="str">
        <f t="shared" si="296"/>
        <v/>
      </c>
      <c r="V1866" t="str">
        <f t="shared" si="297"/>
        <v/>
      </c>
      <c r="W1866" t="str">
        <f t="shared" si="298"/>
        <v/>
      </c>
      <c r="X1866">
        <f>IF($T1866="",N($X1865),IF(MATCH($T1866,$T$6:$T$10005,0)=ROW()-5,N($X1865)+1,N($X1865)))</f>
        <v>0</v>
      </c>
      <c r="Z1866" t="str">
        <f t="shared" si="299"/>
        <v/>
      </c>
      <c r="AA1866">
        <f>IF($V1866="",N($AA1865),IF(MATCH($V1866,$V$6:$V$10005,0)=ROW()-5,N($AA1865)+1,N($AA1865)))</f>
        <v>0</v>
      </c>
    </row>
    <row r="1867" spans="1:27" ht="21" customHeight="1" x14ac:dyDescent="0.95">
      <c r="A1867" s="56"/>
      <c r="B1867" s="57"/>
      <c r="C1867" s="57"/>
      <c r="D1867" s="57"/>
      <c r="E1867" s="56"/>
      <c r="F1867" s="57"/>
      <c r="G1867" s="57"/>
      <c r="H1867" s="56"/>
      <c r="I1867" s="56"/>
      <c r="J1867" s="58"/>
      <c r="K1867" s="58"/>
      <c r="L1867" s="13" t="str">
        <f t="shared" si="290"/>
        <v/>
      </c>
      <c r="M1867" s="13" t="str">
        <f t="shared" si="291"/>
        <v/>
      </c>
      <c r="Q1867" t="str">
        <f t="shared" si="292"/>
        <v/>
      </c>
      <c r="R1867" t="str">
        <f t="shared" si="293"/>
        <v/>
      </c>
      <c r="S1867" t="str">
        <f t="shared" si="294"/>
        <v/>
      </c>
      <c r="T1867" t="str">
        <f t="shared" si="295"/>
        <v/>
      </c>
      <c r="U1867" t="str">
        <f t="shared" si="296"/>
        <v/>
      </c>
      <c r="V1867" t="str">
        <f t="shared" si="297"/>
        <v/>
      </c>
      <c r="W1867" t="str">
        <f t="shared" si="298"/>
        <v/>
      </c>
      <c r="X1867">
        <f>IF($T1867="",N($X1866),IF(MATCH($T1867,$T$6:$T$10005,0)=ROW()-5,N($X1866)+1,N($X1866)))</f>
        <v>0</v>
      </c>
      <c r="Z1867" t="str">
        <f t="shared" si="299"/>
        <v/>
      </c>
      <c r="AA1867">
        <f>IF($V1867="",N($AA1866),IF(MATCH($V1867,$V$6:$V$10005,0)=ROW()-5,N($AA1866)+1,N($AA1866)))</f>
        <v>0</v>
      </c>
    </row>
    <row r="1868" spans="1:27" ht="21" customHeight="1" x14ac:dyDescent="0.95">
      <c r="A1868" s="56"/>
      <c r="B1868" s="57"/>
      <c r="C1868" s="57"/>
      <c r="D1868" s="57"/>
      <c r="E1868" s="56"/>
      <c r="F1868" s="57"/>
      <c r="G1868" s="57"/>
      <c r="H1868" s="56"/>
      <c r="I1868" s="56"/>
      <c r="J1868" s="58"/>
      <c r="K1868" s="58"/>
      <c r="L1868" s="13" t="str">
        <f t="shared" si="290"/>
        <v/>
      </c>
      <c r="M1868" s="13" t="str">
        <f t="shared" si="291"/>
        <v/>
      </c>
      <c r="Q1868" t="str">
        <f t="shared" si="292"/>
        <v/>
      </c>
      <c r="R1868" t="str">
        <f t="shared" si="293"/>
        <v/>
      </c>
      <c r="S1868" t="str">
        <f t="shared" si="294"/>
        <v/>
      </c>
      <c r="T1868" t="str">
        <f t="shared" si="295"/>
        <v/>
      </c>
      <c r="U1868" t="str">
        <f t="shared" si="296"/>
        <v/>
      </c>
      <c r="V1868" t="str">
        <f t="shared" si="297"/>
        <v/>
      </c>
      <c r="W1868" t="str">
        <f t="shared" si="298"/>
        <v/>
      </c>
      <c r="X1868">
        <f>IF($T1868="",N($X1867),IF(MATCH($T1868,$T$6:$T$10005,0)=ROW()-5,N($X1867)+1,N($X1867)))</f>
        <v>0</v>
      </c>
      <c r="Z1868" t="str">
        <f t="shared" si="299"/>
        <v/>
      </c>
      <c r="AA1868">
        <f>IF($V1868="",N($AA1867),IF(MATCH($V1868,$V$6:$V$10005,0)=ROW()-5,N($AA1867)+1,N($AA1867)))</f>
        <v>0</v>
      </c>
    </row>
    <row r="1869" spans="1:27" ht="21" customHeight="1" x14ac:dyDescent="0.95">
      <c r="A1869" s="56"/>
      <c r="B1869" s="57"/>
      <c r="C1869" s="57"/>
      <c r="D1869" s="57"/>
      <c r="E1869" s="56"/>
      <c r="F1869" s="57"/>
      <c r="G1869" s="57"/>
      <c r="H1869" s="56"/>
      <c r="I1869" s="56"/>
      <c r="J1869" s="58"/>
      <c r="K1869" s="58"/>
      <c r="L1869" s="13" t="str">
        <f t="shared" si="290"/>
        <v/>
      </c>
      <c r="M1869" s="13" t="str">
        <f t="shared" si="291"/>
        <v/>
      </c>
      <c r="Q1869" t="str">
        <f t="shared" si="292"/>
        <v/>
      </c>
      <c r="R1869" t="str">
        <f t="shared" si="293"/>
        <v/>
      </c>
      <c r="S1869" t="str">
        <f t="shared" si="294"/>
        <v/>
      </c>
      <c r="T1869" t="str">
        <f t="shared" si="295"/>
        <v/>
      </c>
      <c r="U1869" t="str">
        <f t="shared" si="296"/>
        <v/>
      </c>
      <c r="V1869" t="str">
        <f t="shared" si="297"/>
        <v/>
      </c>
      <c r="W1869" t="str">
        <f t="shared" si="298"/>
        <v/>
      </c>
      <c r="X1869">
        <f>IF($T1869="",N($X1868),IF(MATCH($T1869,$T$6:$T$10005,0)=ROW()-5,N($X1868)+1,N($X1868)))</f>
        <v>0</v>
      </c>
      <c r="Z1869" t="str">
        <f t="shared" si="299"/>
        <v/>
      </c>
      <c r="AA1869">
        <f>IF($V1869="",N($AA1868),IF(MATCH($V1869,$V$6:$V$10005,0)=ROW()-5,N($AA1868)+1,N($AA1868)))</f>
        <v>0</v>
      </c>
    </row>
    <row r="1870" spans="1:27" ht="21" customHeight="1" x14ac:dyDescent="0.95">
      <c r="A1870" s="56"/>
      <c r="B1870" s="57"/>
      <c r="C1870" s="57"/>
      <c r="D1870" s="57"/>
      <c r="E1870" s="56"/>
      <c r="F1870" s="57"/>
      <c r="G1870" s="57"/>
      <c r="H1870" s="56"/>
      <c r="I1870" s="56"/>
      <c r="J1870" s="58"/>
      <c r="K1870" s="58"/>
      <c r="L1870" s="13" t="str">
        <f t="shared" si="290"/>
        <v/>
      </c>
      <c r="M1870" s="13" t="str">
        <f t="shared" si="291"/>
        <v/>
      </c>
      <c r="Q1870" t="str">
        <f t="shared" si="292"/>
        <v/>
      </c>
      <c r="R1870" t="str">
        <f t="shared" si="293"/>
        <v/>
      </c>
      <c r="S1870" t="str">
        <f t="shared" si="294"/>
        <v/>
      </c>
      <c r="T1870" t="str">
        <f t="shared" si="295"/>
        <v/>
      </c>
      <c r="U1870" t="str">
        <f t="shared" si="296"/>
        <v/>
      </c>
      <c r="V1870" t="str">
        <f t="shared" si="297"/>
        <v/>
      </c>
      <c r="W1870" t="str">
        <f t="shared" si="298"/>
        <v/>
      </c>
      <c r="X1870">
        <f>IF($T1870="",N($X1869),IF(MATCH($T1870,$T$6:$T$10005,0)=ROW()-5,N($X1869)+1,N($X1869)))</f>
        <v>0</v>
      </c>
      <c r="Z1870" t="str">
        <f t="shared" si="299"/>
        <v/>
      </c>
      <c r="AA1870">
        <f>IF($V1870="",N($AA1869),IF(MATCH($V1870,$V$6:$V$10005,0)=ROW()-5,N($AA1869)+1,N($AA1869)))</f>
        <v>0</v>
      </c>
    </row>
    <row r="1871" spans="1:27" ht="21" customHeight="1" x14ac:dyDescent="0.95">
      <c r="A1871" s="56"/>
      <c r="B1871" s="57"/>
      <c r="C1871" s="57"/>
      <c r="D1871" s="57"/>
      <c r="E1871" s="56"/>
      <c r="F1871" s="57"/>
      <c r="G1871" s="57"/>
      <c r="H1871" s="56"/>
      <c r="I1871" s="56"/>
      <c r="J1871" s="58"/>
      <c r="K1871" s="58"/>
      <c r="L1871" s="13" t="str">
        <f t="shared" si="290"/>
        <v/>
      </c>
      <c r="M1871" s="13" t="str">
        <f t="shared" si="291"/>
        <v/>
      </c>
      <c r="Q1871" t="str">
        <f t="shared" si="292"/>
        <v/>
      </c>
      <c r="R1871" t="str">
        <f t="shared" si="293"/>
        <v/>
      </c>
      <c r="S1871" t="str">
        <f t="shared" si="294"/>
        <v/>
      </c>
      <c r="T1871" t="str">
        <f t="shared" si="295"/>
        <v/>
      </c>
      <c r="U1871" t="str">
        <f t="shared" si="296"/>
        <v/>
      </c>
      <c r="V1871" t="str">
        <f t="shared" si="297"/>
        <v/>
      </c>
      <c r="W1871" t="str">
        <f t="shared" si="298"/>
        <v/>
      </c>
      <c r="X1871">
        <f>IF($T1871="",N($X1870),IF(MATCH($T1871,$T$6:$T$10005,0)=ROW()-5,N($X1870)+1,N($X1870)))</f>
        <v>0</v>
      </c>
      <c r="Z1871" t="str">
        <f t="shared" si="299"/>
        <v/>
      </c>
      <c r="AA1871">
        <f>IF($V1871="",N($AA1870),IF(MATCH($V1871,$V$6:$V$10005,0)=ROW()-5,N($AA1870)+1,N($AA1870)))</f>
        <v>0</v>
      </c>
    </row>
    <row r="1872" spans="1:27" ht="21" customHeight="1" x14ac:dyDescent="0.95">
      <c r="A1872" s="56"/>
      <c r="B1872" s="57"/>
      <c r="C1872" s="57"/>
      <c r="D1872" s="57"/>
      <c r="E1872" s="56"/>
      <c r="F1872" s="57"/>
      <c r="G1872" s="57"/>
      <c r="H1872" s="56"/>
      <c r="I1872" s="56"/>
      <c r="J1872" s="58"/>
      <c r="K1872" s="58"/>
      <c r="L1872" s="13" t="str">
        <f t="shared" si="290"/>
        <v/>
      </c>
      <c r="M1872" s="13" t="str">
        <f t="shared" si="291"/>
        <v/>
      </c>
      <c r="Q1872" t="str">
        <f t="shared" si="292"/>
        <v/>
      </c>
      <c r="R1872" t="str">
        <f t="shared" si="293"/>
        <v/>
      </c>
      <c r="S1872" t="str">
        <f t="shared" si="294"/>
        <v/>
      </c>
      <c r="T1872" t="str">
        <f t="shared" si="295"/>
        <v/>
      </c>
      <c r="U1872" t="str">
        <f t="shared" si="296"/>
        <v/>
      </c>
      <c r="V1872" t="str">
        <f t="shared" si="297"/>
        <v/>
      </c>
      <c r="W1872" t="str">
        <f t="shared" si="298"/>
        <v/>
      </c>
      <c r="X1872">
        <f>IF($T1872="",N($X1871),IF(MATCH($T1872,$T$6:$T$10005,0)=ROW()-5,N($X1871)+1,N($X1871)))</f>
        <v>0</v>
      </c>
      <c r="Z1872" t="str">
        <f t="shared" si="299"/>
        <v/>
      </c>
      <c r="AA1872">
        <f>IF($V1872="",N($AA1871),IF(MATCH($V1872,$V$6:$V$10005,0)=ROW()-5,N($AA1871)+1,N($AA1871)))</f>
        <v>0</v>
      </c>
    </row>
    <row r="1873" spans="1:27" ht="21" customHeight="1" x14ac:dyDescent="0.95">
      <c r="A1873" s="56"/>
      <c r="B1873" s="57"/>
      <c r="C1873" s="57"/>
      <c r="D1873" s="57"/>
      <c r="E1873" s="56"/>
      <c r="F1873" s="57"/>
      <c r="G1873" s="57"/>
      <c r="H1873" s="56"/>
      <c r="I1873" s="56"/>
      <c r="J1873" s="58"/>
      <c r="K1873" s="58"/>
      <c r="L1873" s="13" t="str">
        <f t="shared" si="290"/>
        <v/>
      </c>
      <c r="M1873" s="13" t="str">
        <f t="shared" si="291"/>
        <v/>
      </c>
      <c r="Q1873" t="str">
        <f t="shared" si="292"/>
        <v/>
      </c>
      <c r="R1873" t="str">
        <f t="shared" si="293"/>
        <v/>
      </c>
      <c r="S1873" t="str">
        <f t="shared" si="294"/>
        <v/>
      </c>
      <c r="T1873" t="str">
        <f t="shared" si="295"/>
        <v/>
      </c>
      <c r="U1873" t="str">
        <f t="shared" si="296"/>
        <v/>
      </c>
      <c r="V1873" t="str">
        <f t="shared" si="297"/>
        <v/>
      </c>
      <c r="W1873" t="str">
        <f t="shared" si="298"/>
        <v/>
      </c>
      <c r="X1873">
        <f>IF($T1873="",N($X1872),IF(MATCH($T1873,$T$6:$T$10005,0)=ROW()-5,N($X1872)+1,N($X1872)))</f>
        <v>0</v>
      </c>
      <c r="Z1873" t="str">
        <f t="shared" si="299"/>
        <v/>
      </c>
      <c r="AA1873">
        <f>IF($V1873="",N($AA1872),IF(MATCH($V1873,$V$6:$V$10005,0)=ROW()-5,N($AA1872)+1,N($AA1872)))</f>
        <v>0</v>
      </c>
    </row>
    <row r="1874" spans="1:27" ht="21" customHeight="1" x14ac:dyDescent="0.95">
      <c r="A1874" s="56"/>
      <c r="B1874" s="57"/>
      <c r="C1874" s="57"/>
      <c r="D1874" s="57"/>
      <c r="E1874" s="56"/>
      <c r="F1874" s="57"/>
      <c r="G1874" s="57"/>
      <c r="H1874" s="56"/>
      <c r="I1874" s="56"/>
      <c r="J1874" s="58"/>
      <c r="K1874" s="58"/>
      <c r="L1874" s="13" t="str">
        <f t="shared" si="290"/>
        <v/>
      </c>
      <c r="M1874" s="13" t="str">
        <f t="shared" si="291"/>
        <v/>
      </c>
      <c r="Q1874" t="str">
        <f t="shared" si="292"/>
        <v/>
      </c>
      <c r="R1874" t="str">
        <f t="shared" si="293"/>
        <v/>
      </c>
      <c r="S1874" t="str">
        <f t="shared" si="294"/>
        <v/>
      </c>
      <c r="T1874" t="str">
        <f t="shared" si="295"/>
        <v/>
      </c>
      <c r="U1874" t="str">
        <f t="shared" si="296"/>
        <v/>
      </c>
      <c r="V1874" t="str">
        <f t="shared" si="297"/>
        <v/>
      </c>
      <c r="W1874" t="str">
        <f t="shared" si="298"/>
        <v/>
      </c>
      <c r="X1874">
        <f>IF($T1874="",N($X1873),IF(MATCH($T1874,$T$6:$T$10005,0)=ROW()-5,N($X1873)+1,N($X1873)))</f>
        <v>0</v>
      </c>
      <c r="Z1874" t="str">
        <f t="shared" si="299"/>
        <v/>
      </c>
      <c r="AA1874">
        <f>IF($V1874="",N($AA1873),IF(MATCH($V1874,$V$6:$V$10005,0)=ROW()-5,N($AA1873)+1,N($AA1873)))</f>
        <v>0</v>
      </c>
    </row>
    <row r="1875" spans="1:27" ht="21" customHeight="1" x14ac:dyDescent="0.95">
      <c r="A1875" s="56"/>
      <c r="B1875" s="57"/>
      <c r="C1875" s="57"/>
      <c r="D1875" s="57"/>
      <c r="E1875" s="56"/>
      <c r="F1875" s="57"/>
      <c r="G1875" s="57"/>
      <c r="H1875" s="56"/>
      <c r="I1875" s="56"/>
      <c r="J1875" s="58"/>
      <c r="K1875" s="58"/>
      <c r="L1875" s="13" t="str">
        <f t="shared" si="290"/>
        <v/>
      </c>
      <c r="M1875" s="13" t="str">
        <f t="shared" si="291"/>
        <v/>
      </c>
      <c r="Q1875" t="str">
        <f t="shared" si="292"/>
        <v/>
      </c>
      <c r="R1875" t="str">
        <f t="shared" si="293"/>
        <v/>
      </c>
      <c r="S1875" t="str">
        <f t="shared" si="294"/>
        <v/>
      </c>
      <c r="T1875" t="str">
        <f t="shared" si="295"/>
        <v/>
      </c>
      <c r="U1875" t="str">
        <f t="shared" si="296"/>
        <v/>
      </c>
      <c r="V1875" t="str">
        <f t="shared" si="297"/>
        <v/>
      </c>
      <c r="W1875" t="str">
        <f t="shared" si="298"/>
        <v/>
      </c>
      <c r="X1875">
        <f>IF($T1875="",N($X1874),IF(MATCH($T1875,$T$6:$T$10005,0)=ROW()-5,N($X1874)+1,N($X1874)))</f>
        <v>0</v>
      </c>
      <c r="Z1875" t="str">
        <f t="shared" si="299"/>
        <v/>
      </c>
      <c r="AA1875">
        <f>IF($V1875="",N($AA1874),IF(MATCH($V1875,$V$6:$V$10005,0)=ROW()-5,N($AA1874)+1,N($AA1874)))</f>
        <v>0</v>
      </c>
    </row>
    <row r="1876" spans="1:27" ht="21" customHeight="1" x14ac:dyDescent="0.95">
      <c r="A1876" s="56"/>
      <c r="B1876" s="57"/>
      <c r="C1876" s="57"/>
      <c r="D1876" s="57"/>
      <c r="E1876" s="56"/>
      <c r="F1876" s="57"/>
      <c r="G1876" s="57"/>
      <c r="H1876" s="56"/>
      <c r="I1876" s="56"/>
      <c r="J1876" s="58"/>
      <c r="K1876" s="58"/>
      <c r="L1876" s="13" t="str">
        <f t="shared" si="290"/>
        <v/>
      </c>
      <c r="M1876" s="13" t="str">
        <f t="shared" si="291"/>
        <v/>
      </c>
      <c r="Q1876" t="str">
        <f t="shared" si="292"/>
        <v/>
      </c>
      <c r="R1876" t="str">
        <f t="shared" si="293"/>
        <v/>
      </c>
      <c r="S1876" t="str">
        <f t="shared" si="294"/>
        <v/>
      </c>
      <c r="T1876" t="str">
        <f t="shared" si="295"/>
        <v/>
      </c>
      <c r="U1876" t="str">
        <f t="shared" si="296"/>
        <v/>
      </c>
      <c r="V1876" t="str">
        <f t="shared" si="297"/>
        <v/>
      </c>
      <c r="W1876" t="str">
        <f t="shared" si="298"/>
        <v/>
      </c>
      <c r="X1876">
        <f>IF($T1876="",N($X1875),IF(MATCH($T1876,$T$6:$T$10005,0)=ROW()-5,N($X1875)+1,N($X1875)))</f>
        <v>0</v>
      </c>
      <c r="Z1876" t="str">
        <f t="shared" si="299"/>
        <v/>
      </c>
      <c r="AA1876">
        <f>IF($V1876="",N($AA1875),IF(MATCH($V1876,$V$6:$V$10005,0)=ROW()-5,N($AA1875)+1,N($AA1875)))</f>
        <v>0</v>
      </c>
    </row>
    <row r="1877" spans="1:27" ht="21" customHeight="1" x14ac:dyDescent="0.95">
      <c r="A1877" s="56"/>
      <c r="B1877" s="57"/>
      <c r="C1877" s="57"/>
      <c r="D1877" s="57"/>
      <c r="E1877" s="56"/>
      <c r="F1877" s="57"/>
      <c r="G1877" s="57"/>
      <c r="H1877" s="56"/>
      <c r="I1877" s="56"/>
      <c r="J1877" s="58"/>
      <c r="K1877" s="58"/>
      <c r="L1877" s="13" t="str">
        <f t="shared" si="290"/>
        <v/>
      </c>
      <c r="M1877" s="13" t="str">
        <f t="shared" si="291"/>
        <v/>
      </c>
      <c r="Q1877" t="str">
        <f t="shared" si="292"/>
        <v/>
      </c>
      <c r="R1877" t="str">
        <f t="shared" si="293"/>
        <v/>
      </c>
      <c r="S1877" t="str">
        <f t="shared" si="294"/>
        <v/>
      </c>
      <c r="T1877" t="str">
        <f t="shared" si="295"/>
        <v/>
      </c>
      <c r="U1877" t="str">
        <f t="shared" si="296"/>
        <v/>
      </c>
      <c r="V1877" t="str">
        <f t="shared" si="297"/>
        <v/>
      </c>
      <c r="W1877" t="str">
        <f t="shared" si="298"/>
        <v/>
      </c>
      <c r="X1877">
        <f>IF($T1877="",N($X1876),IF(MATCH($T1877,$T$6:$T$10005,0)=ROW()-5,N($X1876)+1,N($X1876)))</f>
        <v>0</v>
      </c>
      <c r="Z1877" t="str">
        <f t="shared" si="299"/>
        <v/>
      </c>
      <c r="AA1877">
        <f>IF($V1877="",N($AA1876),IF(MATCH($V1877,$V$6:$V$10005,0)=ROW()-5,N($AA1876)+1,N($AA1876)))</f>
        <v>0</v>
      </c>
    </row>
    <row r="1878" spans="1:27" ht="21" customHeight="1" x14ac:dyDescent="0.95">
      <c r="A1878" s="56"/>
      <c r="B1878" s="57"/>
      <c r="C1878" s="57"/>
      <c r="D1878" s="57"/>
      <c r="E1878" s="56"/>
      <c r="F1878" s="57"/>
      <c r="G1878" s="57"/>
      <c r="H1878" s="56"/>
      <c r="I1878" s="56"/>
      <c r="J1878" s="58"/>
      <c r="K1878" s="58"/>
      <c r="L1878" s="13" t="str">
        <f t="shared" si="290"/>
        <v/>
      </c>
      <c r="M1878" s="13" t="str">
        <f t="shared" si="291"/>
        <v/>
      </c>
      <c r="Q1878" t="str">
        <f t="shared" si="292"/>
        <v/>
      </c>
      <c r="R1878" t="str">
        <f t="shared" si="293"/>
        <v/>
      </c>
      <c r="S1878" t="str">
        <f t="shared" si="294"/>
        <v/>
      </c>
      <c r="T1878" t="str">
        <f t="shared" si="295"/>
        <v/>
      </c>
      <c r="U1878" t="str">
        <f t="shared" si="296"/>
        <v/>
      </c>
      <c r="V1878" t="str">
        <f t="shared" si="297"/>
        <v/>
      </c>
      <c r="W1878" t="str">
        <f t="shared" si="298"/>
        <v/>
      </c>
      <c r="X1878">
        <f>IF($T1878="",N($X1877),IF(MATCH($T1878,$T$6:$T$10005,0)=ROW()-5,N($X1877)+1,N($X1877)))</f>
        <v>0</v>
      </c>
      <c r="Z1878" t="str">
        <f t="shared" si="299"/>
        <v/>
      </c>
      <c r="AA1878">
        <f>IF($V1878="",N($AA1877),IF(MATCH($V1878,$V$6:$V$10005,0)=ROW()-5,N($AA1877)+1,N($AA1877)))</f>
        <v>0</v>
      </c>
    </row>
    <row r="1879" spans="1:27" ht="21" customHeight="1" x14ac:dyDescent="0.95">
      <c r="A1879" s="56"/>
      <c r="B1879" s="57"/>
      <c r="C1879" s="57"/>
      <c r="D1879" s="57"/>
      <c r="E1879" s="56"/>
      <c r="F1879" s="57"/>
      <c r="G1879" s="57"/>
      <c r="H1879" s="56"/>
      <c r="I1879" s="56"/>
      <c r="J1879" s="58"/>
      <c r="K1879" s="58"/>
      <c r="L1879" s="13" t="str">
        <f t="shared" si="290"/>
        <v/>
      </c>
      <c r="M1879" s="13" t="str">
        <f t="shared" si="291"/>
        <v/>
      </c>
      <c r="Q1879" t="str">
        <f t="shared" si="292"/>
        <v/>
      </c>
      <c r="R1879" t="str">
        <f t="shared" si="293"/>
        <v/>
      </c>
      <c r="S1879" t="str">
        <f t="shared" si="294"/>
        <v/>
      </c>
      <c r="T1879" t="str">
        <f t="shared" si="295"/>
        <v/>
      </c>
      <c r="U1879" t="str">
        <f t="shared" si="296"/>
        <v/>
      </c>
      <c r="V1879" t="str">
        <f t="shared" si="297"/>
        <v/>
      </c>
      <c r="W1879" t="str">
        <f t="shared" si="298"/>
        <v/>
      </c>
      <c r="X1879">
        <f>IF($T1879="",N($X1878),IF(MATCH($T1879,$T$6:$T$10005,0)=ROW()-5,N($X1878)+1,N($X1878)))</f>
        <v>0</v>
      </c>
      <c r="Z1879" t="str">
        <f t="shared" si="299"/>
        <v/>
      </c>
      <c r="AA1879">
        <f>IF($V1879="",N($AA1878),IF(MATCH($V1879,$V$6:$V$10005,0)=ROW()-5,N($AA1878)+1,N($AA1878)))</f>
        <v>0</v>
      </c>
    </row>
    <row r="1880" spans="1:27" ht="21" customHeight="1" x14ac:dyDescent="0.95">
      <c r="A1880" s="56"/>
      <c r="B1880" s="57"/>
      <c r="C1880" s="57"/>
      <c r="D1880" s="57"/>
      <c r="E1880" s="56"/>
      <c r="F1880" s="57"/>
      <c r="G1880" s="57"/>
      <c r="H1880" s="56"/>
      <c r="I1880" s="56"/>
      <c r="J1880" s="58"/>
      <c r="K1880" s="58"/>
      <c r="L1880" s="13" t="str">
        <f t="shared" si="290"/>
        <v/>
      </c>
      <c r="M1880" s="13" t="str">
        <f t="shared" si="291"/>
        <v/>
      </c>
      <c r="Q1880" t="str">
        <f t="shared" si="292"/>
        <v/>
      </c>
      <c r="R1880" t="str">
        <f t="shared" si="293"/>
        <v/>
      </c>
      <c r="S1880" t="str">
        <f t="shared" si="294"/>
        <v/>
      </c>
      <c r="T1880" t="str">
        <f t="shared" si="295"/>
        <v/>
      </c>
      <c r="U1880" t="str">
        <f t="shared" si="296"/>
        <v/>
      </c>
      <c r="V1880" t="str">
        <f t="shared" si="297"/>
        <v/>
      </c>
      <c r="W1880" t="str">
        <f t="shared" si="298"/>
        <v/>
      </c>
      <c r="X1880">
        <f>IF($T1880="",N($X1879),IF(MATCH($T1880,$T$6:$T$10005,0)=ROW()-5,N($X1879)+1,N($X1879)))</f>
        <v>0</v>
      </c>
      <c r="Z1880" t="str">
        <f t="shared" si="299"/>
        <v/>
      </c>
      <c r="AA1880">
        <f>IF($V1880="",N($AA1879),IF(MATCH($V1880,$V$6:$V$10005,0)=ROW()-5,N($AA1879)+1,N($AA1879)))</f>
        <v>0</v>
      </c>
    </row>
    <row r="1881" spans="1:27" ht="21" customHeight="1" x14ac:dyDescent="0.95">
      <c r="A1881" s="56"/>
      <c r="B1881" s="57"/>
      <c r="C1881" s="57"/>
      <c r="D1881" s="57"/>
      <c r="E1881" s="56"/>
      <c r="F1881" s="57"/>
      <c r="G1881" s="57"/>
      <c r="H1881" s="56"/>
      <c r="I1881" s="56"/>
      <c r="J1881" s="58"/>
      <c r="K1881" s="58"/>
      <c r="L1881" s="13" t="str">
        <f t="shared" si="290"/>
        <v/>
      </c>
      <c r="M1881" s="13" t="str">
        <f t="shared" si="291"/>
        <v/>
      </c>
      <c r="Q1881" t="str">
        <f t="shared" si="292"/>
        <v/>
      </c>
      <c r="R1881" t="str">
        <f t="shared" si="293"/>
        <v/>
      </c>
      <c r="S1881" t="str">
        <f t="shared" si="294"/>
        <v/>
      </c>
      <c r="T1881" t="str">
        <f t="shared" si="295"/>
        <v/>
      </c>
      <c r="U1881" t="str">
        <f t="shared" si="296"/>
        <v/>
      </c>
      <c r="V1881" t="str">
        <f t="shared" si="297"/>
        <v/>
      </c>
      <c r="W1881" t="str">
        <f t="shared" si="298"/>
        <v/>
      </c>
      <c r="X1881">
        <f>IF($T1881="",N($X1880),IF(MATCH($T1881,$T$6:$T$10005,0)=ROW()-5,N($X1880)+1,N($X1880)))</f>
        <v>0</v>
      </c>
      <c r="Z1881" t="str">
        <f t="shared" si="299"/>
        <v/>
      </c>
      <c r="AA1881">
        <f>IF($V1881="",N($AA1880),IF(MATCH($V1881,$V$6:$V$10005,0)=ROW()-5,N($AA1880)+1,N($AA1880)))</f>
        <v>0</v>
      </c>
    </row>
    <row r="1882" spans="1:27" ht="21" customHeight="1" x14ac:dyDescent="0.95">
      <c r="A1882" s="56"/>
      <c r="B1882" s="57"/>
      <c r="C1882" s="57"/>
      <c r="D1882" s="57"/>
      <c r="E1882" s="56"/>
      <c r="F1882" s="57"/>
      <c r="G1882" s="57"/>
      <c r="H1882" s="56"/>
      <c r="I1882" s="56"/>
      <c r="J1882" s="58"/>
      <c r="K1882" s="58"/>
      <c r="L1882" s="13" t="str">
        <f t="shared" si="290"/>
        <v/>
      </c>
      <c r="M1882" s="13" t="str">
        <f t="shared" si="291"/>
        <v/>
      </c>
      <c r="Q1882" t="str">
        <f t="shared" si="292"/>
        <v/>
      </c>
      <c r="R1882" t="str">
        <f t="shared" si="293"/>
        <v/>
      </c>
      <c r="S1882" t="str">
        <f t="shared" si="294"/>
        <v/>
      </c>
      <c r="T1882" t="str">
        <f t="shared" si="295"/>
        <v/>
      </c>
      <c r="U1882" t="str">
        <f t="shared" si="296"/>
        <v/>
      </c>
      <c r="V1882" t="str">
        <f t="shared" si="297"/>
        <v/>
      </c>
      <c r="W1882" t="str">
        <f t="shared" si="298"/>
        <v/>
      </c>
      <c r="X1882">
        <f>IF($T1882="",N($X1881),IF(MATCH($T1882,$T$6:$T$10005,0)=ROW()-5,N($X1881)+1,N($X1881)))</f>
        <v>0</v>
      </c>
      <c r="Z1882" t="str">
        <f t="shared" si="299"/>
        <v/>
      </c>
      <c r="AA1882">
        <f>IF($V1882="",N($AA1881),IF(MATCH($V1882,$V$6:$V$10005,0)=ROW()-5,N($AA1881)+1,N($AA1881)))</f>
        <v>0</v>
      </c>
    </row>
    <row r="1883" spans="1:27" ht="21" customHeight="1" x14ac:dyDescent="0.95">
      <c r="A1883" s="56"/>
      <c r="B1883" s="57"/>
      <c r="C1883" s="57"/>
      <c r="D1883" s="57"/>
      <c r="E1883" s="56"/>
      <c r="F1883" s="57"/>
      <c r="G1883" s="57"/>
      <c r="H1883" s="56"/>
      <c r="I1883" s="56"/>
      <c r="J1883" s="58"/>
      <c r="K1883" s="58"/>
      <c r="L1883" s="13" t="str">
        <f t="shared" si="290"/>
        <v/>
      </c>
      <c r="M1883" s="13" t="str">
        <f t="shared" si="291"/>
        <v/>
      </c>
      <c r="Q1883" t="str">
        <f t="shared" si="292"/>
        <v/>
      </c>
      <c r="R1883" t="str">
        <f t="shared" si="293"/>
        <v/>
      </c>
      <c r="S1883" t="str">
        <f t="shared" si="294"/>
        <v/>
      </c>
      <c r="T1883" t="str">
        <f t="shared" si="295"/>
        <v/>
      </c>
      <c r="U1883" t="str">
        <f t="shared" si="296"/>
        <v/>
      </c>
      <c r="V1883" t="str">
        <f t="shared" si="297"/>
        <v/>
      </c>
      <c r="W1883" t="str">
        <f t="shared" si="298"/>
        <v/>
      </c>
      <c r="X1883">
        <f>IF($T1883="",N($X1882),IF(MATCH($T1883,$T$6:$T$10005,0)=ROW()-5,N($X1882)+1,N($X1882)))</f>
        <v>0</v>
      </c>
      <c r="Z1883" t="str">
        <f t="shared" si="299"/>
        <v/>
      </c>
      <c r="AA1883">
        <f>IF($V1883="",N($AA1882),IF(MATCH($V1883,$V$6:$V$10005,0)=ROW()-5,N($AA1882)+1,N($AA1882)))</f>
        <v>0</v>
      </c>
    </row>
    <row r="1884" spans="1:27" ht="21" customHeight="1" x14ac:dyDescent="0.95">
      <c r="A1884" s="56"/>
      <c r="B1884" s="57"/>
      <c r="C1884" s="57"/>
      <c r="D1884" s="57"/>
      <c r="E1884" s="56"/>
      <c r="F1884" s="57"/>
      <c r="G1884" s="57"/>
      <c r="H1884" s="56"/>
      <c r="I1884" s="56"/>
      <c r="J1884" s="58"/>
      <c r="K1884" s="58"/>
      <c r="L1884" s="13" t="str">
        <f t="shared" si="290"/>
        <v/>
      </c>
      <c r="M1884" s="13" t="str">
        <f t="shared" si="291"/>
        <v/>
      </c>
      <c r="Q1884" t="str">
        <f t="shared" si="292"/>
        <v/>
      </c>
      <c r="R1884" t="str">
        <f t="shared" si="293"/>
        <v/>
      </c>
      <c r="S1884" t="str">
        <f t="shared" si="294"/>
        <v/>
      </c>
      <c r="T1884" t="str">
        <f t="shared" si="295"/>
        <v/>
      </c>
      <c r="U1884" t="str">
        <f t="shared" si="296"/>
        <v/>
      </c>
      <c r="V1884" t="str">
        <f t="shared" si="297"/>
        <v/>
      </c>
      <c r="W1884" t="str">
        <f t="shared" si="298"/>
        <v/>
      </c>
      <c r="X1884">
        <f>IF($T1884="",N($X1883),IF(MATCH($T1884,$T$6:$T$10005,0)=ROW()-5,N($X1883)+1,N($X1883)))</f>
        <v>0</v>
      </c>
      <c r="Z1884" t="str">
        <f t="shared" si="299"/>
        <v/>
      </c>
      <c r="AA1884">
        <f>IF($V1884="",N($AA1883),IF(MATCH($V1884,$V$6:$V$10005,0)=ROW()-5,N($AA1883)+1,N($AA1883)))</f>
        <v>0</v>
      </c>
    </row>
    <row r="1885" spans="1:27" ht="21" customHeight="1" x14ac:dyDescent="0.95">
      <c r="A1885" s="56"/>
      <c r="B1885" s="57"/>
      <c r="C1885" s="57"/>
      <c r="D1885" s="57"/>
      <c r="E1885" s="56"/>
      <c r="F1885" s="57"/>
      <c r="G1885" s="57"/>
      <c r="H1885" s="56"/>
      <c r="I1885" s="56"/>
      <c r="J1885" s="58"/>
      <c r="K1885" s="58"/>
      <c r="L1885" s="13" t="str">
        <f t="shared" si="290"/>
        <v/>
      </c>
      <c r="M1885" s="13" t="str">
        <f t="shared" si="291"/>
        <v/>
      </c>
      <c r="Q1885" t="str">
        <f t="shared" si="292"/>
        <v/>
      </c>
      <c r="R1885" t="str">
        <f t="shared" si="293"/>
        <v/>
      </c>
      <c r="S1885" t="str">
        <f t="shared" si="294"/>
        <v/>
      </c>
      <c r="T1885" t="str">
        <f t="shared" si="295"/>
        <v/>
      </c>
      <c r="U1885" t="str">
        <f t="shared" si="296"/>
        <v/>
      </c>
      <c r="V1885" t="str">
        <f t="shared" si="297"/>
        <v/>
      </c>
      <c r="W1885" t="str">
        <f t="shared" si="298"/>
        <v/>
      </c>
      <c r="X1885">
        <f>IF($T1885="",N($X1884),IF(MATCH($T1885,$T$6:$T$10005,0)=ROW()-5,N($X1884)+1,N($X1884)))</f>
        <v>0</v>
      </c>
      <c r="Z1885" t="str">
        <f t="shared" si="299"/>
        <v/>
      </c>
      <c r="AA1885">
        <f>IF($V1885="",N($AA1884),IF(MATCH($V1885,$V$6:$V$10005,0)=ROW()-5,N($AA1884)+1,N($AA1884)))</f>
        <v>0</v>
      </c>
    </row>
    <row r="1886" spans="1:27" ht="21" customHeight="1" x14ac:dyDescent="0.95">
      <c r="A1886" s="56"/>
      <c r="B1886" s="57"/>
      <c r="C1886" s="57"/>
      <c r="D1886" s="57"/>
      <c r="E1886" s="56"/>
      <c r="F1886" s="57"/>
      <c r="G1886" s="57"/>
      <c r="H1886" s="56"/>
      <c r="I1886" s="56"/>
      <c r="J1886" s="58"/>
      <c r="K1886" s="58"/>
      <c r="L1886" s="13" t="str">
        <f t="shared" si="290"/>
        <v/>
      </c>
      <c r="M1886" s="13" t="str">
        <f t="shared" si="291"/>
        <v/>
      </c>
      <c r="Q1886" t="str">
        <f t="shared" si="292"/>
        <v/>
      </c>
      <c r="R1886" t="str">
        <f t="shared" si="293"/>
        <v/>
      </c>
      <c r="S1886" t="str">
        <f t="shared" si="294"/>
        <v/>
      </c>
      <c r="T1886" t="str">
        <f t="shared" si="295"/>
        <v/>
      </c>
      <c r="U1886" t="str">
        <f t="shared" si="296"/>
        <v/>
      </c>
      <c r="V1886" t="str">
        <f t="shared" si="297"/>
        <v/>
      </c>
      <c r="W1886" t="str">
        <f t="shared" si="298"/>
        <v/>
      </c>
      <c r="X1886">
        <f>IF($T1886="",N($X1885),IF(MATCH($T1886,$T$6:$T$10005,0)=ROW()-5,N($X1885)+1,N($X1885)))</f>
        <v>0</v>
      </c>
      <c r="Z1886" t="str">
        <f t="shared" si="299"/>
        <v/>
      </c>
      <c r="AA1886">
        <f>IF($V1886="",N($AA1885),IF(MATCH($V1886,$V$6:$V$10005,0)=ROW()-5,N($AA1885)+1,N($AA1885)))</f>
        <v>0</v>
      </c>
    </row>
    <row r="1887" spans="1:27" ht="21" customHeight="1" x14ac:dyDescent="0.95">
      <c r="A1887" s="56"/>
      <c r="B1887" s="57"/>
      <c r="C1887" s="57"/>
      <c r="D1887" s="57"/>
      <c r="E1887" s="56"/>
      <c r="F1887" s="57"/>
      <c r="G1887" s="57"/>
      <c r="H1887" s="56"/>
      <c r="I1887" s="56"/>
      <c r="J1887" s="58"/>
      <c r="K1887" s="58"/>
      <c r="L1887" s="13" t="str">
        <f t="shared" si="290"/>
        <v/>
      </c>
      <c r="M1887" s="13" t="str">
        <f t="shared" si="291"/>
        <v/>
      </c>
      <c r="Q1887" t="str">
        <f t="shared" si="292"/>
        <v/>
      </c>
      <c r="R1887" t="str">
        <f t="shared" si="293"/>
        <v/>
      </c>
      <c r="S1887" t="str">
        <f t="shared" si="294"/>
        <v/>
      </c>
      <c r="T1887" t="str">
        <f t="shared" si="295"/>
        <v/>
      </c>
      <c r="U1887" t="str">
        <f t="shared" si="296"/>
        <v/>
      </c>
      <c r="V1887" t="str">
        <f t="shared" si="297"/>
        <v/>
      </c>
      <c r="W1887" t="str">
        <f t="shared" si="298"/>
        <v/>
      </c>
      <c r="X1887">
        <f>IF($T1887="",N($X1886),IF(MATCH($T1887,$T$6:$T$10005,0)=ROW()-5,N($X1886)+1,N($X1886)))</f>
        <v>0</v>
      </c>
      <c r="Z1887" t="str">
        <f t="shared" si="299"/>
        <v/>
      </c>
      <c r="AA1887">
        <f>IF($V1887="",N($AA1886),IF(MATCH($V1887,$V$6:$V$10005,0)=ROW()-5,N($AA1886)+1,N($AA1886)))</f>
        <v>0</v>
      </c>
    </row>
    <row r="1888" spans="1:27" ht="21" customHeight="1" x14ac:dyDescent="0.95">
      <c r="A1888" s="56"/>
      <c r="B1888" s="57"/>
      <c r="C1888" s="57"/>
      <c r="D1888" s="57"/>
      <c r="E1888" s="56"/>
      <c r="F1888" s="57"/>
      <c r="G1888" s="57"/>
      <c r="H1888" s="56"/>
      <c r="I1888" s="56"/>
      <c r="J1888" s="58"/>
      <c r="K1888" s="58"/>
      <c r="L1888" s="13" t="str">
        <f t="shared" si="290"/>
        <v/>
      </c>
      <c r="M1888" s="13" t="str">
        <f t="shared" si="291"/>
        <v/>
      </c>
      <c r="Q1888" t="str">
        <f t="shared" si="292"/>
        <v/>
      </c>
      <c r="R1888" t="str">
        <f t="shared" si="293"/>
        <v/>
      </c>
      <c r="S1888" t="str">
        <f t="shared" si="294"/>
        <v/>
      </c>
      <c r="T1888" t="str">
        <f t="shared" si="295"/>
        <v/>
      </c>
      <c r="U1888" t="str">
        <f t="shared" si="296"/>
        <v/>
      </c>
      <c r="V1888" t="str">
        <f t="shared" si="297"/>
        <v/>
      </c>
      <c r="W1888" t="str">
        <f t="shared" si="298"/>
        <v/>
      </c>
      <c r="X1888">
        <f>IF($T1888="",N($X1887),IF(MATCH($T1888,$T$6:$T$10005,0)=ROW()-5,N($X1887)+1,N($X1887)))</f>
        <v>0</v>
      </c>
      <c r="Z1888" t="str">
        <f t="shared" si="299"/>
        <v/>
      </c>
      <c r="AA1888">
        <f>IF($V1888="",N($AA1887),IF(MATCH($V1888,$V$6:$V$10005,0)=ROW()-5,N($AA1887)+1,N($AA1887)))</f>
        <v>0</v>
      </c>
    </row>
    <row r="1889" spans="1:27" ht="21" customHeight="1" x14ac:dyDescent="0.95">
      <c r="A1889" s="56"/>
      <c r="B1889" s="57"/>
      <c r="C1889" s="57"/>
      <c r="D1889" s="57"/>
      <c r="E1889" s="56"/>
      <c r="F1889" s="57"/>
      <c r="G1889" s="57"/>
      <c r="H1889" s="56"/>
      <c r="I1889" s="56"/>
      <c r="J1889" s="58"/>
      <c r="K1889" s="58"/>
      <c r="L1889" s="13" t="str">
        <f t="shared" si="290"/>
        <v/>
      </c>
      <c r="M1889" s="13" t="str">
        <f t="shared" si="291"/>
        <v/>
      </c>
      <c r="Q1889" t="str">
        <f t="shared" si="292"/>
        <v/>
      </c>
      <c r="R1889" t="str">
        <f t="shared" si="293"/>
        <v/>
      </c>
      <c r="S1889" t="str">
        <f t="shared" si="294"/>
        <v/>
      </c>
      <c r="T1889" t="str">
        <f t="shared" si="295"/>
        <v/>
      </c>
      <c r="U1889" t="str">
        <f t="shared" si="296"/>
        <v/>
      </c>
      <c r="V1889" t="str">
        <f t="shared" si="297"/>
        <v/>
      </c>
      <c r="W1889" t="str">
        <f t="shared" si="298"/>
        <v/>
      </c>
      <c r="X1889">
        <f>IF($T1889="",N($X1888),IF(MATCH($T1889,$T$6:$T$10005,0)=ROW()-5,N($X1888)+1,N($X1888)))</f>
        <v>0</v>
      </c>
      <c r="Z1889" t="str">
        <f t="shared" si="299"/>
        <v/>
      </c>
      <c r="AA1889">
        <f>IF($V1889="",N($AA1888),IF(MATCH($V1889,$V$6:$V$10005,0)=ROW()-5,N($AA1888)+1,N($AA1888)))</f>
        <v>0</v>
      </c>
    </row>
    <row r="1890" spans="1:27" ht="21" customHeight="1" x14ac:dyDescent="0.95">
      <c r="A1890" s="56"/>
      <c r="B1890" s="57"/>
      <c r="C1890" s="57"/>
      <c r="D1890" s="57"/>
      <c r="E1890" s="56"/>
      <c r="F1890" s="57"/>
      <c r="G1890" s="57"/>
      <c r="H1890" s="56"/>
      <c r="I1890" s="56"/>
      <c r="J1890" s="58"/>
      <c r="K1890" s="58"/>
      <c r="L1890" s="13" t="str">
        <f t="shared" si="290"/>
        <v/>
      </c>
      <c r="M1890" s="13" t="str">
        <f t="shared" si="291"/>
        <v/>
      </c>
      <c r="Q1890" t="str">
        <f t="shared" si="292"/>
        <v/>
      </c>
      <c r="R1890" t="str">
        <f t="shared" si="293"/>
        <v/>
      </c>
      <c r="S1890" t="str">
        <f t="shared" si="294"/>
        <v/>
      </c>
      <c r="T1890" t="str">
        <f t="shared" si="295"/>
        <v/>
      </c>
      <c r="U1890" t="str">
        <f t="shared" si="296"/>
        <v/>
      </c>
      <c r="V1890" t="str">
        <f t="shared" si="297"/>
        <v/>
      </c>
      <c r="W1890" t="str">
        <f t="shared" si="298"/>
        <v/>
      </c>
      <c r="X1890">
        <f>IF($T1890="",N($X1889),IF(MATCH($T1890,$T$6:$T$10005,0)=ROW()-5,N($X1889)+1,N($X1889)))</f>
        <v>0</v>
      </c>
      <c r="Z1890" t="str">
        <f t="shared" si="299"/>
        <v/>
      </c>
      <c r="AA1890">
        <f>IF($V1890="",N($AA1889),IF(MATCH($V1890,$V$6:$V$10005,0)=ROW()-5,N($AA1889)+1,N($AA1889)))</f>
        <v>0</v>
      </c>
    </row>
    <row r="1891" spans="1:27" ht="21" customHeight="1" x14ac:dyDescent="0.95">
      <c r="A1891" s="56"/>
      <c r="B1891" s="57"/>
      <c r="C1891" s="57"/>
      <c r="D1891" s="57"/>
      <c r="E1891" s="56"/>
      <c r="F1891" s="57"/>
      <c r="G1891" s="57"/>
      <c r="H1891" s="56"/>
      <c r="I1891" s="56"/>
      <c r="J1891" s="58"/>
      <c r="K1891" s="58"/>
      <c r="L1891" s="13" t="str">
        <f t="shared" si="290"/>
        <v/>
      </c>
      <c r="M1891" s="13" t="str">
        <f t="shared" si="291"/>
        <v/>
      </c>
      <c r="Q1891" t="str">
        <f t="shared" si="292"/>
        <v/>
      </c>
      <c r="R1891" t="str">
        <f t="shared" si="293"/>
        <v/>
      </c>
      <c r="S1891" t="str">
        <f t="shared" si="294"/>
        <v/>
      </c>
      <c r="T1891" t="str">
        <f t="shared" si="295"/>
        <v/>
      </c>
      <c r="U1891" t="str">
        <f t="shared" si="296"/>
        <v/>
      </c>
      <c r="V1891" t="str">
        <f t="shared" si="297"/>
        <v/>
      </c>
      <c r="W1891" t="str">
        <f t="shared" si="298"/>
        <v/>
      </c>
      <c r="X1891">
        <f>IF($T1891="",N($X1890),IF(MATCH($T1891,$T$6:$T$10005,0)=ROW()-5,N($X1890)+1,N($X1890)))</f>
        <v>0</v>
      </c>
      <c r="Z1891" t="str">
        <f t="shared" si="299"/>
        <v/>
      </c>
      <c r="AA1891">
        <f>IF($V1891="",N($AA1890),IF(MATCH($V1891,$V$6:$V$10005,0)=ROW()-5,N($AA1890)+1,N($AA1890)))</f>
        <v>0</v>
      </c>
    </row>
    <row r="1892" spans="1:27" ht="21" customHeight="1" x14ac:dyDescent="0.95">
      <c r="A1892" s="56"/>
      <c r="B1892" s="57"/>
      <c r="C1892" s="57"/>
      <c r="D1892" s="57"/>
      <c r="E1892" s="56"/>
      <c r="F1892" s="57"/>
      <c r="G1892" s="57"/>
      <c r="H1892" s="56"/>
      <c r="I1892" s="56"/>
      <c r="J1892" s="58"/>
      <c r="K1892" s="58"/>
      <c r="L1892" s="13" t="str">
        <f t="shared" si="290"/>
        <v/>
      </c>
      <c r="M1892" s="13" t="str">
        <f t="shared" si="291"/>
        <v/>
      </c>
      <c r="Q1892" t="str">
        <f t="shared" si="292"/>
        <v/>
      </c>
      <c r="R1892" t="str">
        <f t="shared" si="293"/>
        <v/>
      </c>
      <c r="S1892" t="str">
        <f t="shared" si="294"/>
        <v/>
      </c>
      <c r="T1892" t="str">
        <f t="shared" si="295"/>
        <v/>
      </c>
      <c r="U1892" t="str">
        <f t="shared" si="296"/>
        <v/>
      </c>
      <c r="V1892" t="str">
        <f t="shared" si="297"/>
        <v/>
      </c>
      <c r="W1892" t="str">
        <f t="shared" si="298"/>
        <v/>
      </c>
      <c r="X1892">
        <f>IF($T1892="",N($X1891),IF(MATCH($T1892,$T$6:$T$10005,0)=ROW()-5,N($X1891)+1,N($X1891)))</f>
        <v>0</v>
      </c>
      <c r="Z1892" t="str">
        <f t="shared" si="299"/>
        <v/>
      </c>
      <c r="AA1892">
        <f>IF($V1892="",N($AA1891),IF(MATCH($V1892,$V$6:$V$10005,0)=ROW()-5,N($AA1891)+1,N($AA1891)))</f>
        <v>0</v>
      </c>
    </row>
    <row r="1893" spans="1:27" ht="21" customHeight="1" x14ac:dyDescent="0.95">
      <c r="A1893" s="56"/>
      <c r="B1893" s="57"/>
      <c r="C1893" s="57"/>
      <c r="D1893" s="57"/>
      <c r="E1893" s="56"/>
      <c r="F1893" s="57"/>
      <c r="G1893" s="57"/>
      <c r="H1893" s="56"/>
      <c r="I1893" s="56"/>
      <c r="J1893" s="58"/>
      <c r="K1893" s="58"/>
      <c r="L1893" s="13" t="str">
        <f t="shared" si="290"/>
        <v/>
      </c>
      <c r="M1893" s="13" t="str">
        <f t="shared" si="291"/>
        <v/>
      </c>
      <c r="Q1893" t="str">
        <f t="shared" si="292"/>
        <v/>
      </c>
      <c r="R1893" t="str">
        <f t="shared" si="293"/>
        <v/>
      </c>
      <c r="S1893" t="str">
        <f t="shared" si="294"/>
        <v/>
      </c>
      <c r="T1893" t="str">
        <f t="shared" si="295"/>
        <v/>
      </c>
      <c r="U1893" t="str">
        <f t="shared" si="296"/>
        <v/>
      </c>
      <c r="V1893" t="str">
        <f t="shared" si="297"/>
        <v/>
      </c>
      <c r="W1893" t="str">
        <f t="shared" si="298"/>
        <v/>
      </c>
      <c r="X1893">
        <f>IF($T1893="",N($X1892),IF(MATCH($T1893,$T$6:$T$10005,0)=ROW()-5,N($X1892)+1,N($X1892)))</f>
        <v>0</v>
      </c>
      <c r="Z1893" t="str">
        <f t="shared" si="299"/>
        <v/>
      </c>
      <c r="AA1893">
        <f>IF($V1893="",N($AA1892),IF(MATCH($V1893,$V$6:$V$10005,0)=ROW()-5,N($AA1892)+1,N($AA1892)))</f>
        <v>0</v>
      </c>
    </row>
    <row r="1894" spans="1:27" ht="21" customHeight="1" x14ac:dyDescent="0.95">
      <c r="A1894" s="56"/>
      <c r="B1894" s="57"/>
      <c r="C1894" s="57"/>
      <c r="D1894" s="57"/>
      <c r="E1894" s="56"/>
      <c r="F1894" s="57"/>
      <c r="G1894" s="57"/>
      <c r="H1894" s="56"/>
      <c r="I1894" s="56"/>
      <c r="J1894" s="58"/>
      <c r="K1894" s="58"/>
      <c r="L1894" s="13" t="str">
        <f t="shared" si="290"/>
        <v/>
      </c>
      <c r="M1894" s="13" t="str">
        <f t="shared" si="291"/>
        <v/>
      </c>
      <c r="Q1894" t="str">
        <f t="shared" si="292"/>
        <v/>
      </c>
      <c r="R1894" t="str">
        <f t="shared" si="293"/>
        <v/>
      </c>
      <c r="S1894" t="str">
        <f t="shared" si="294"/>
        <v/>
      </c>
      <c r="T1894" t="str">
        <f t="shared" si="295"/>
        <v/>
      </c>
      <c r="U1894" t="str">
        <f t="shared" si="296"/>
        <v/>
      </c>
      <c r="V1894" t="str">
        <f t="shared" si="297"/>
        <v/>
      </c>
      <c r="W1894" t="str">
        <f t="shared" si="298"/>
        <v/>
      </c>
      <c r="X1894">
        <f>IF($T1894="",N($X1893),IF(MATCH($T1894,$T$6:$T$10005,0)=ROW()-5,N($X1893)+1,N($X1893)))</f>
        <v>0</v>
      </c>
      <c r="Z1894" t="str">
        <f t="shared" si="299"/>
        <v/>
      </c>
      <c r="AA1894">
        <f>IF($V1894="",N($AA1893),IF(MATCH($V1894,$V$6:$V$10005,0)=ROW()-5,N($AA1893)+1,N($AA1893)))</f>
        <v>0</v>
      </c>
    </row>
    <row r="1895" spans="1:27" ht="21" customHeight="1" x14ac:dyDescent="0.95">
      <c r="A1895" s="56"/>
      <c r="B1895" s="57"/>
      <c r="C1895" s="57"/>
      <c r="D1895" s="57"/>
      <c r="E1895" s="56"/>
      <c r="F1895" s="57"/>
      <c r="G1895" s="57"/>
      <c r="H1895" s="56"/>
      <c r="I1895" s="56"/>
      <c r="J1895" s="58"/>
      <c r="K1895" s="58"/>
      <c r="L1895" s="13" t="str">
        <f t="shared" si="290"/>
        <v/>
      </c>
      <c r="M1895" s="13" t="str">
        <f t="shared" si="291"/>
        <v/>
      </c>
      <c r="Q1895" t="str">
        <f t="shared" si="292"/>
        <v/>
      </c>
      <c r="R1895" t="str">
        <f t="shared" si="293"/>
        <v/>
      </c>
      <c r="S1895" t="str">
        <f t="shared" si="294"/>
        <v/>
      </c>
      <c r="T1895" t="str">
        <f t="shared" si="295"/>
        <v/>
      </c>
      <c r="U1895" t="str">
        <f t="shared" si="296"/>
        <v/>
      </c>
      <c r="V1895" t="str">
        <f t="shared" si="297"/>
        <v/>
      </c>
      <c r="W1895" t="str">
        <f t="shared" si="298"/>
        <v/>
      </c>
      <c r="X1895">
        <f>IF($T1895="",N($X1894),IF(MATCH($T1895,$T$6:$T$10005,0)=ROW()-5,N($X1894)+1,N($X1894)))</f>
        <v>0</v>
      </c>
      <c r="Z1895" t="str">
        <f t="shared" si="299"/>
        <v/>
      </c>
      <c r="AA1895">
        <f>IF($V1895="",N($AA1894),IF(MATCH($V1895,$V$6:$V$10005,0)=ROW()-5,N($AA1894)+1,N($AA1894)))</f>
        <v>0</v>
      </c>
    </row>
    <row r="1896" spans="1:27" ht="21" customHeight="1" x14ac:dyDescent="0.95">
      <c r="A1896" s="56"/>
      <c r="B1896" s="57"/>
      <c r="C1896" s="57"/>
      <c r="D1896" s="57"/>
      <c r="E1896" s="56"/>
      <c r="F1896" s="57"/>
      <c r="G1896" s="57"/>
      <c r="H1896" s="56"/>
      <c r="I1896" s="56"/>
      <c r="J1896" s="58"/>
      <c r="K1896" s="58"/>
      <c r="L1896" s="13" t="str">
        <f t="shared" si="290"/>
        <v/>
      </c>
      <c r="M1896" s="13" t="str">
        <f t="shared" si="291"/>
        <v/>
      </c>
      <c r="Q1896" t="str">
        <f t="shared" si="292"/>
        <v/>
      </c>
      <c r="R1896" t="str">
        <f t="shared" si="293"/>
        <v/>
      </c>
      <c r="S1896" t="str">
        <f t="shared" si="294"/>
        <v/>
      </c>
      <c r="T1896" t="str">
        <f t="shared" si="295"/>
        <v/>
      </c>
      <c r="U1896" t="str">
        <f t="shared" si="296"/>
        <v/>
      </c>
      <c r="V1896" t="str">
        <f t="shared" si="297"/>
        <v/>
      </c>
      <c r="W1896" t="str">
        <f t="shared" si="298"/>
        <v/>
      </c>
      <c r="X1896">
        <f>IF($T1896="",N($X1895),IF(MATCH($T1896,$T$6:$T$10005,0)=ROW()-5,N($X1895)+1,N($X1895)))</f>
        <v>0</v>
      </c>
      <c r="Z1896" t="str">
        <f t="shared" si="299"/>
        <v/>
      </c>
      <c r="AA1896">
        <f>IF($V1896="",N($AA1895),IF(MATCH($V1896,$V$6:$V$10005,0)=ROW()-5,N($AA1895)+1,N($AA1895)))</f>
        <v>0</v>
      </c>
    </row>
    <row r="1897" spans="1:27" ht="21" customHeight="1" x14ac:dyDescent="0.95">
      <c r="A1897" s="56"/>
      <c r="B1897" s="57"/>
      <c r="C1897" s="57"/>
      <c r="D1897" s="57"/>
      <c r="E1897" s="56"/>
      <c r="F1897" s="57"/>
      <c r="G1897" s="57"/>
      <c r="H1897" s="56"/>
      <c r="I1897" s="56"/>
      <c r="J1897" s="58"/>
      <c r="K1897" s="58"/>
      <c r="L1897" s="13" t="str">
        <f t="shared" si="290"/>
        <v/>
      </c>
      <c r="M1897" s="13" t="str">
        <f t="shared" si="291"/>
        <v/>
      </c>
      <c r="Q1897" t="str">
        <f t="shared" si="292"/>
        <v/>
      </c>
      <c r="R1897" t="str">
        <f t="shared" si="293"/>
        <v/>
      </c>
      <c r="S1897" t="str">
        <f t="shared" si="294"/>
        <v/>
      </c>
      <c r="T1897" t="str">
        <f t="shared" si="295"/>
        <v/>
      </c>
      <c r="U1897" t="str">
        <f t="shared" si="296"/>
        <v/>
      </c>
      <c r="V1897" t="str">
        <f t="shared" si="297"/>
        <v/>
      </c>
      <c r="W1897" t="str">
        <f t="shared" si="298"/>
        <v/>
      </c>
      <c r="X1897">
        <f>IF($T1897="",N($X1896),IF(MATCH($T1897,$T$6:$T$10005,0)=ROW()-5,N($X1896)+1,N($X1896)))</f>
        <v>0</v>
      </c>
      <c r="Z1897" t="str">
        <f t="shared" si="299"/>
        <v/>
      </c>
      <c r="AA1897">
        <f>IF($V1897="",N($AA1896),IF(MATCH($V1897,$V$6:$V$10005,0)=ROW()-5,N($AA1896)+1,N($AA1896)))</f>
        <v>0</v>
      </c>
    </row>
    <row r="1898" spans="1:27" ht="21" customHeight="1" x14ac:dyDescent="0.95">
      <c r="A1898" s="56"/>
      <c r="B1898" s="57"/>
      <c r="C1898" s="57"/>
      <c r="D1898" s="57"/>
      <c r="E1898" s="56"/>
      <c r="F1898" s="57"/>
      <c r="G1898" s="57"/>
      <c r="H1898" s="56"/>
      <c r="I1898" s="56"/>
      <c r="J1898" s="58"/>
      <c r="K1898" s="58"/>
      <c r="L1898" s="13" t="str">
        <f t="shared" si="290"/>
        <v/>
      </c>
      <c r="M1898" s="13" t="str">
        <f t="shared" si="291"/>
        <v/>
      </c>
      <c r="Q1898" t="str">
        <f t="shared" si="292"/>
        <v/>
      </c>
      <c r="R1898" t="str">
        <f t="shared" si="293"/>
        <v/>
      </c>
      <c r="S1898" t="str">
        <f t="shared" si="294"/>
        <v/>
      </c>
      <c r="T1898" t="str">
        <f t="shared" si="295"/>
        <v/>
      </c>
      <c r="U1898" t="str">
        <f t="shared" si="296"/>
        <v/>
      </c>
      <c r="V1898" t="str">
        <f t="shared" si="297"/>
        <v/>
      </c>
      <c r="W1898" t="str">
        <f t="shared" si="298"/>
        <v/>
      </c>
      <c r="X1898">
        <f>IF($T1898="",N($X1897),IF(MATCH($T1898,$T$6:$T$10005,0)=ROW()-5,N($X1897)+1,N($X1897)))</f>
        <v>0</v>
      </c>
      <c r="Z1898" t="str">
        <f t="shared" si="299"/>
        <v/>
      </c>
      <c r="AA1898">
        <f>IF($V1898="",N($AA1897),IF(MATCH($V1898,$V$6:$V$10005,0)=ROW()-5,N($AA1897)+1,N($AA1897)))</f>
        <v>0</v>
      </c>
    </row>
    <row r="1899" spans="1:27" ht="21" customHeight="1" x14ac:dyDescent="0.95">
      <c r="A1899" s="56"/>
      <c r="B1899" s="57"/>
      <c r="C1899" s="57"/>
      <c r="D1899" s="57"/>
      <c r="E1899" s="56"/>
      <c r="F1899" s="57"/>
      <c r="G1899" s="57"/>
      <c r="H1899" s="56"/>
      <c r="I1899" s="56"/>
      <c r="J1899" s="58"/>
      <c r="K1899" s="58"/>
      <c r="L1899" s="13" t="str">
        <f t="shared" si="290"/>
        <v/>
      </c>
      <c r="M1899" s="13" t="str">
        <f t="shared" si="291"/>
        <v/>
      </c>
      <c r="Q1899" t="str">
        <f t="shared" si="292"/>
        <v/>
      </c>
      <c r="R1899" t="str">
        <f t="shared" si="293"/>
        <v/>
      </c>
      <c r="S1899" t="str">
        <f t="shared" si="294"/>
        <v/>
      </c>
      <c r="T1899" t="str">
        <f t="shared" si="295"/>
        <v/>
      </c>
      <c r="U1899" t="str">
        <f t="shared" si="296"/>
        <v/>
      </c>
      <c r="V1899" t="str">
        <f t="shared" si="297"/>
        <v/>
      </c>
      <c r="W1899" t="str">
        <f t="shared" si="298"/>
        <v/>
      </c>
      <c r="X1899">
        <f>IF($T1899="",N($X1898),IF(MATCH($T1899,$T$6:$T$10005,0)=ROW()-5,N($X1898)+1,N($X1898)))</f>
        <v>0</v>
      </c>
      <c r="Z1899" t="str">
        <f t="shared" si="299"/>
        <v/>
      </c>
      <c r="AA1899">
        <f>IF($V1899="",N($AA1898),IF(MATCH($V1899,$V$6:$V$10005,0)=ROW()-5,N($AA1898)+1,N($AA1898)))</f>
        <v>0</v>
      </c>
    </row>
    <row r="1900" spans="1:27" ht="21" customHeight="1" x14ac:dyDescent="0.95">
      <c r="A1900" s="56"/>
      <c r="B1900" s="57"/>
      <c r="C1900" s="57"/>
      <c r="D1900" s="57"/>
      <c r="E1900" s="56"/>
      <c r="F1900" s="57"/>
      <c r="G1900" s="57"/>
      <c r="H1900" s="56"/>
      <c r="I1900" s="56"/>
      <c r="J1900" s="58"/>
      <c r="K1900" s="58"/>
      <c r="L1900" s="13" t="str">
        <f t="shared" si="290"/>
        <v/>
      </c>
      <c r="M1900" s="13" t="str">
        <f t="shared" si="291"/>
        <v/>
      </c>
      <c r="Q1900" t="str">
        <f t="shared" si="292"/>
        <v/>
      </c>
      <c r="R1900" t="str">
        <f t="shared" si="293"/>
        <v/>
      </c>
      <c r="S1900" t="str">
        <f t="shared" si="294"/>
        <v/>
      </c>
      <c r="T1900" t="str">
        <f t="shared" si="295"/>
        <v/>
      </c>
      <c r="U1900" t="str">
        <f t="shared" si="296"/>
        <v/>
      </c>
      <c r="V1900" t="str">
        <f t="shared" si="297"/>
        <v/>
      </c>
      <c r="W1900" t="str">
        <f t="shared" si="298"/>
        <v/>
      </c>
      <c r="X1900">
        <f>IF($T1900="",N($X1899),IF(MATCH($T1900,$T$6:$T$10005,0)=ROW()-5,N($X1899)+1,N($X1899)))</f>
        <v>0</v>
      </c>
      <c r="Z1900" t="str">
        <f t="shared" si="299"/>
        <v/>
      </c>
      <c r="AA1900">
        <f>IF($V1900="",N($AA1899),IF(MATCH($V1900,$V$6:$V$10005,0)=ROW()-5,N($AA1899)+1,N($AA1899)))</f>
        <v>0</v>
      </c>
    </row>
    <row r="1901" spans="1:27" ht="21" customHeight="1" x14ac:dyDescent="0.95">
      <c r="A1901" s="56"/>
      <c r="B1901" s="57"/>
      <c r="C1901" s="57"/>
      <c r="D1901" s="57"/>
      <c r="E1901" s="56"/>
      <c r="F1901" s="57"/>
      <c r="G1901" s="57"/>
      <c r="H1901" s="56"/>
      <c r="I1901" s="56"/>
      <c r="J1901" s="58"/>
      <c r="K1901" s="58"/>
      <c r="L1901" s="13" t="str">
        <f t="shared" si="290"/>
        <v/>
      </c>
      <c r="M1901" s="13" t="str">
        <f t="shared" si="291"/>
        <v/>
      </c>
      <c r="Q1901" t="str">
        <f t="shared" si="292"/>
        <v/>
      </c>
      <c r="R1901" t="str">
        <f t="shared" si="293"/>
        <v/>
      </c>
      <c r="S1901" t="str">
        <f t="shared" si="294"/>
        <v/>
      </c>
      <c r="T1901" t="str">
        <f t="shared" si="295"/>
        <v/>
      </c>
      <c r="U1901" t="str">
        <f t="shared" si="296"/>
        <v/>
      </c>
      <c r="V1901" t="str">
        <f t="shared" si="297"/>
        <v/>
      </c>
      <c r="W1901" t="str">
        <f t="shared" si="298"/>
        <v/>
      </c>
      <c r="X1901">
        <f>IF($T1901="",N($X1900),IF(MATCH($T1901,$T$6:$T$10005,0)=ROW()-5,N($X1900)+1,N($X1900)))</f>
        <v>0</v>
      </c>
      <c r="Z1901" t="str">
        <f t="shared" si="299"/>
        <v/>
      </c>
      <c r="AA1901">
        <f>IF($V1901="",N($AA1900),IF(MATCH($V1901,$V$6:$V$10005,0)=ROW()-5,N($AA1900)+1,N($AA1900)))</f>
        <v>0</v>
      </c>
    </row>
    <row r="1902" spans="1:27" ht="21" customHeight="1" x14ac:dyDescent="0.95">
      <c r="A1902" s="56"/>
      <c r="B1902" s="57"/>
      <c r="C1902" s="57"/>
      <c r="D1902" s="57"/>
      <c r="E1902" s="56"/>
      <c r="F1902" s="57"/>
      <c r="G1902" s="57"/>
      <c r="H1902" s="56"/>
      <c r="I1902" s="56"/>
      <c r="J1902" s="58"/>
      <c r="K1902" s="58"/>
      <c r="L1902" s="13" t="str">
        <f t="shared" si="290"/>
        <v/>
      </c>
      <c r="M1902" s="13" t="str">
        <f t="shared" si="291"/>
        <v/>
      </c>
      <c r="Q1902" t="str">
        <f t="shared" si="292"/>
        <v/>
      </c>
      <c r="R1902" t="str">
        <f t="shared" si="293"/>
        <v/>
      </c>
      <c r="S1902" t="str">
        <f t="shared" si="294"/>
        <v/>
      </c>
      <c r="T1902" t="str">
        <f t="shared" si="295"/>
        <v/>
      </c>
      <c r="U1902" t="str">
        <f t="shared" si="296"/>
        <v/>
      </c>
      <c r="V1902" t="str">
        <f t="shared" si="297"/>
        <v/>
      </c>
      <c r="W1902" t="str">
        <f t="shared" si="298"/>
        <v/>
      </c>
      <c r="X1902">
        <f>IF($T1902="",N($X1901),IF(MATCH($T1902,$T$6:$T$10005,0)=ROW()-5,N($X1901)+1,N($X1901)))</f>
        <v>0</v>
      </c>
      <c r="Z1902" t="str">
        <f t="shared" si="299"/>
        <v/>
      </c>
      <c r="AA1902">
        <f>IF($V1902="",N($AA1901),IF(MATCH($V1902,$V$6:$V$10005,0)=ROW()-5,N($AA1901)+1,N($AA1901)))</f>
        <v>0</v>
      </c>
    </row>
    <row r="1903" spans="1:27" ht="21" customHeight="1" x14ac:dyDescent="0.95">
      <c r="A1903" s="56"/>
      <c r="B1903" s="57"/>
      <c r="C1903" s="57"/>
      <c r="D1903" s="57"/>
      <c r="E1903" s="56"/>
      <c r="F1903" s="57"/>
      <c r="G1903" s="57"/>
      <c r="H1903" s="56"/>
      <c r="I1903" s="56"/>
      <c r="J1903" s="58"/>
      <c r="K1903" s="58"/>
      <c r="L1903" s="13" t="str">
        <f t="shared" si="290"/>
        <v/>
      </c>
      <c r="M1903" s="13" t="str">
        <f t="shared" si="291"/>
        <v/>
      </c>
      <c r="Q1903" t="str">
        <f t="shared" si="292"/>
        <v/>
      </c>
      <c r="R1903" t="str">
        <f t="shared" si="293"/>
        <v/>
      </c>
      <c r="S1903" t="str">
        <f t="shared" si="294"/>
        <v/>
      </c>
      <c r="T1903" t="str">
        <f t="shared" si="295"/>
        <v/>
      </c>
      <c r="U1903" t="str">
        <f t="shared" si="296"/>
        <v/>
      </c>
      <c r="V1903" t="str">
        <f t="shared" si="297"/>
        <v/>
      </c>
      <c r="W1903" t="str">
        <f t="shared" si="298"/>
        <v/>
      </c>
      <c r="X1903">
        <f>IF($T1903="",N($X1902),IF(MATCH($T1903,$T$6:$T$10005,0)=ROW()-5,N($X1902)+1,N($X1902)))</f>
        <v>0</v>
      </c>
      <c r="Z1903" t="str">
        <f t="shared" si="299"/>
        <v/>
      </c>
      <c r="AA1903">
        <f>IF($V1903="",N($AA1902),IF(MATCH($V1903,$V$6:$V$10005,0)=ROW()-5,N($AA1902)+1,N($AA1902)))</f>
        <v>0</v>
      </c>
    </row>
    <row r="1904" spans="1:27" ht="21" customHeight="1" x14ac:dyDescent="0.95">
      <c r="A1904" s="56"/>
      <c r="B1904" s="57"/>
      <c r="C1904" s="57"/>
      <c r="D1904" s="57"/>
      <c r="E1904" s="56"/>
      <c r="F1904" s="57"/>
      <c r="G1904" s="57"/>
      <c r="H1904" s="56"/>
      <c r="I1904" s="56"/>
      <c r="J1904" s="58"/>
      <c r="K1904" s="58"/>
      <c r="L1904" s="13" t="str">
        <f t="shared" si="290"/>
        <v/>
      </c>
      <c r="M1904" s="13" t="str">
        <f t="shared" si="291"/>
        <v/>
      </c>
      <c r="Q1904" t="str">
        <f t="shared" si="292"/>
        <v/>
      </c>
      <c r="R1904" t="str">
        <f t="shared" si="293"/>
        <v/>
      </c>
      <c r="S1904" t="str">
        <f t="shared" si="294"/>
        <v/>
      </c>
      <c r="T1904" t="str">
        <f t="shared" si="295"/>
        <v/>
      </c>
      <c r="U1904" t="str">
        <f t="shared" si="296"/>
        <v/>
      </c>
      <c r="V1904" t="str">
        <f t="shared" si="297"/>
        <v/>
      </c>
      <c r="W1904" t="str">
        <f t="shared" si="298"/>
        <v/>
      </c>
      <c r="X1904">
        <f>IF($T1904="",N($X1903),IF(MATCH($T1904,$T$6:$T$10005,0)=ROW()-5,N($X1903)+1,N($X1903)))</f>
        <v>0</v>
      </c>
      <c r="Z1904" t="str">
        <f t="shared" si="299"/>
        <v/>
      </c>
      <c r="AA1904">
        <f>IF($V1904="",N($AA1903),IF(MATCH($V1904,$V$6:$V$10005,0)=ROW()-5,N($AA1903)+1,N($AA1903)))</f>
        <v>0</v>
      </c>
    </row>
    <row r="1905" spans="1:27" ht="21" customHeight="1" x14ac:dyDescent="0.95">
      <c r="A1905" s="56"/>
      <c r="B1905" s="57"/>
      <c r="C1905" s="57"/>
      <c r="D1905" s="57"/>
      <c r="E1905" s="56"/>
      <c r="F1905" s="57"/>
      <c r="G1905" s="57"/>
      <c r="H1905" s="56"/>
      <c r="I1905" s="56"/>
      <c r="J1905" s="58"/>
      <c r="K1905" s="58"/>
      <c r="L1905" s="13" t="str">
        <f t="shared" si="290"/>
        <v/>
      </c>
      <c r="M1905" s="13" t="str">
        <f t="shared" si="291"/>
        <v/>
      </c>
      <c r="Q1905" t="str">
        <f t="shared" si="292"/>
        <v/>
      </c>
      <c r="R1905" t="str">
        <f t="shared" si="293"/>
        <v/>
      </c>
      <c r="S1905" t="str">
        <f t="shared" si="294"/>
        <v/>
      </c>
      <c r="T1905" t="str">
        <f t="shared" si="295"/>
        <v/>
      </c>
      <c r="U1905" t="str">
        <f t="shared" si="296"/>
        <v/>
      </c>
      <c r="V1905" t="str">
        <f t="shared" si="297"/>
        <v/>
      </c>
      <c r="W1905" t="str">
        <f t="shared" si="298"/>
        <v/>
      </c>
      <c r="X1905">
        <f>IF($T1905="",N($X1904),IF(MATCH($T1905,$T$6:$T$10005,0)=ROW()-5,N($X1904)+1,N($X1904)))</f>
        <v>0</v>
      </c>
      <c r="Z1905" t="str">
        <f t="shared" si="299"/>
        <v/>
      </c>
      <c r="AA1905">
        <f>IF($V1905="",N($AA1904),IF(MATCH($V1905,$V$6:$V$10005,0)=ROW()-5,N($AA1904)+1,N($AA1904)))</f>
        <v>0</v>
      </c>
    </row>
    <row r="1906" spans="1:27" ht="21" customHeight="1" x14ac:dyDescent="0.95">
      <c r="A1906" s="56"/>
      <c r="B1906" s="57"/>
      <c r="C1906" s="57"/>
      <c r="D1906" s="57"/>
      <c r="E1906" s="56"/>
      <c r="F1906" s="57"/>
      <c r="G1906" s="57"/>
      <c r="H1906" s="56"/>
      <c r="I1906" s="56"/>
      <c r="J1906" s="58"/>
      <c r="K1906" s="58"/>
      <c r="L1906" s="13" t="str">
        <f t="shared" si="290"/>
        <v/>
      </c>
      <c r="M1906" s="13" t="str">
        <f t="shared" si="291"/>
        <v/>
      </c>
      <c r="Q1906" t="str">
        <f t="shared" si="292"/>
        <v/>
      </c>
      <c r="R1906" t="str">
        <f t="shared" si="293"/>
        <v/>
      </c>
      <c r="S1906" t="str">
        <f t="shared" si="294"/>
        <v/>
      </c>
      <c r="T1906" t="str">
        <f t="shared" si="295"/>
        <v/>
      </c>
      <c r="U1906" t="str">
        <f t="shared" si="296"/>
        <v/>
      </c>
      <c r="V1906" t="str">
        <f t="shared" si="297"/>
        <v/>
      </c>
      <c r="W1906" t="str">
        <f t="shared" si="298"/>
        <v/>
      </c>
      <c r="X1906">
        <f>IF($T1906="",N($X1905),IF(MATCH($T1906,$T$6:$T$10005,0)=ROW()-5,N($X1905)+1,N($X1905)))</f>
        <v>0</v>
      </c>
      <c r="Z1906" t="str">
        <f t="shared" si="299"/>
        <v/>
      </c>
      <c r="AA1906">
        <f>IF($V1906="",N($AA1905),IF(MATCH($V1906,$V$6:$V$10005,0)=ROW()-5,N($AA1905)+1,N($AA1905)))</f>
        <v>0</v>
      </c>
    </row>
    <row r="1907" spans="1:27" ht="21" customHeight="1" x14ac:dyDescent="0.95">
      <c r="A1907" s="56"/>
      <c r="B1907" s="57"/>
      <c r="C1907" s="57"/>
      <c r="D1907" s="57"/>
      <c r="E1907" s="56"/>
      <c r="F1907" s="57"/>
      <c r="G1907" s="57"/>
      <c r="H1907" s="56"/>
      <c r="I1907" s="56"/>
      <c r="J1907" s="58"/>
      <c r="K1907" s="58"/>
      <c r="L1907" s="13" t="str">
        <f t="shared" si="290"/>
        <v/>
      </c>
      <c r="M1907" s="13" t="str">
        <f t="shared" si="291"/>
        <v/>
      </c>
      <c r="Q1907" t="str">
        <f t="shared" si="292"/>
        <v/>
      </c>
      <c r="R1907" t="str">
        <f t="shared" si="293"/>
        <v/>
      </c>
      <c r="S1907" t="str">
        <f t="shared" si="294"/>
        <v/>
      </c>
      <c r="T1907" t="str">
        <f t="shared" si="295"/>
        <v/>
      </c>
      <c r="U1907" t="str">
        <f t="shared" si="296"/>
        <v/>
      </c>
      <c r="V1907" t="str">
        <f t="shared" si="297"/>
        <v/>
      </c>
      <c r="W1907" t="str">
        <f t="shared" si="298"/>
        <v/>
      </c>
      <c r="X1907">
        <f>IF($T1907="",N($X1906),IF(MATCH($T1907,$T$6:$T$10005,0)=ROW()-5,N($X1906)+1,N($X1906)))</f>
        <v>0</v>
      </c>
      <c r="Z1907" t="str">
        <f t="shared" si="299"/>
        <v/>
      </c>
      <c r="AA1907">
        <f>IF($V1907="",N($AA1906),IF(MATCH($V1907,$V$6:$V$10005,0)=ROW()-5,N($AA1906)+1,N($AA1906)))</f>
        <v>0</v>
      </c>
    </row>
    <row r="1908" spans="1:27" ht="21" customHeight="1" x14ac:dyDescent="0.95">
      <c r="A1908" s="56"/>
      <c r="B1908" s="57"/>
      <c r="C1908" s="57"/>
      <c r="D1908" s="57"/>
      <c r="E1908" s="56"/>
      <c r="F1908" s="57"/>
      <c r="G1908" s="57"/>
      <c r="H1908" s="56"/>
      <c r="I1908" s="56"/>
      <c r="J1908" s="58"/>
      <c r="K1908" s="58"/>
      <c r="L1908" s="13" t="str">
        <f t="shared" si="290"/>
        <v/>
      </c>
      <c r="M1908" s="13" t="str">
        <f t="shared" si="291"/>
        <v/>
      </c>
      <c r="Q1908" t="str">
        <f t="shared" si="292"/>
        <v/>
      </c>
      <c r="R1908" t="str">
        <f t="shared" si="293"/>
        <v/>
      </c>
      <c r="S1908" t="str">
        <f t="shared" si="294"/>
        <v/>
      </c>
      <c r="T1908" t="str">
        <f t="shared" si="295"/>
        <v/>
      </c>
      <c r="U1908" t="str">
        <f t="shared" si="296"/>
        <v/>
      </c>
      <c r="V1908" t="str">
        <f t="shared" si="297"/>
        <v/>
      </c>
      <c r="W1908" t="str">
        <f t="shared" si="298"/>
        <v/>
      </c>
      <c r="X1908">
        <f>IF($T1908="",N($X1907),IF(MATCH($T1908,$T$6:$T$10005,0)=ROW()-5,N($X1907)+1,N($X1907)))</f>
        <v>0</v>
      </c>
      <c r="Z1908" t="str">
        <f t="shared" si="299"/>
        <v/>
      </c>
      <c r="AA1908">
        <f>IF($V1908="",N($AA1907),IF(MATCH($V1908,$V$6:$V$10005,0)=ROW()-5,N($AA1907)+1,N($AA1907)))</f>
        <v>0</v>
      </c>
    </row>
    <row r="1909" spans="1:27" ht="21" customHeight="1" x14ac:dyDescent="0.95">
      <c r="A1909" s="56"/>
      <c r="B1909" s="57"/>
      <c r="C1909" s="57"/>
      <c r="D1909" s="57"/>
      <c r="E1909" s="56"/>
      <c r="F1909" s="57"/>
      <c r="G1909" s="57"/>
      <c r="H1909" s="56"/>
      <c r="I1909" s="56"/>
      <c r="J1909" s="58"/>
      <c r="K1909" s="58"/>
      <c r="L1909" s="13" t="str">
        <f t="shared" si="290"/>
        <v/>
      </c>
      <c r="M1909" s="13" t="str">
        <f t="shared" si="291"/>
        <v/>
      </c>
      <c r="Q1909" t="str">
        <f t="shared" si="292"/>
        <v/>
      </c>
      <c r="R1909" t="str">
        <f t="shared" si="293"/>
        <v/>
      </c>
      <c r="S1909" t="str">
        <f t="shared" si="294"/>
        <v/>
      </c>
      <c r="T1909" t="str">
        <f t="shared" si="295"/>
        <v/>
      </c>
      <c r="U1909" t="str">
        <f t="shared" si="296"/>
        <v/>
      </c>
      <c r="V1909" t="str">
        <f t="shared" si="297"/>
        <v/>
      </c>
      <c r="W1909" t="str">
        <f t="shared" si="298"/>
        <v/>
      </c>
      <c r="X1909">
        <f>IF($T1909="",N($X1908),IF(MATCH($T1909,$T$6:$T$10005,0)=ROW()-5,N($X1908)+1,N($X1908)))</f>
        <v>0</v>
      </c>
      <c r="Z1909" t="str">
        <f t="shared" si="299"/>
        <v/>
      </c>
      <c r="AA1909">
        <f>IF($V1909="",N($AA1908),IF(MATCH($V1909,$V$6:$V$10005,0)=ROW()-5,N($AA1908)+1,N($AA1908)))</f>
        <v>0</v>
      </c>
    </row>
    <row r="1910" spans="1:27" ht="21" customHeight="1" x14ac:dyDescent="0.95">
      <c r="A1910" s="56"/>
      <c r="B1910" s="57"/>
      <c r="C1910" s="57"/>
      <c r="D1910" s="57"/>
      <c r="E1910" s="56"/>
      <c r="F1910" s="57"/>
      <c r="G1910" s="57"/>
      <c r="H1910" s="56"/>
      <c r="I1910" s="56"/>
      <c r="J1910" s="58"/>
      <c r="K1910" s="58"/>
      <c r="L1910" s="13" t="str">
        <f t="shared" si="290"/>
        <v/>
      </c>
      <c r="M1910" s="13" t="str">
        <f t="shared" si="291"/>
        <v/>
      </c>
      <c r="Q1910" t="str">
        <f t="shared" si="292"/>
        <v/>
      </c>
      <c r="R1910" t="str">
        <f t="shared" si="293"/>
        <v/>
      </c>
      <c r="S1910" t="str">
        <f t="shared" si="294"/>
        <v/>
      </c>
      <c r="T1910" t="str">
        <f t="shared" si="295"/>
        <v/>
      </c>
      <c r="U1910" t="str">
        <f t="shared" si="296"/>
        <v/>
      </c>
      <c r="V1910" t="str">
        <f t="shared" si="297"/>
        <v/>
      </c>
      <c r="W1910" t="str">
        <f t="shared" si="298"/>
        <v/>
      </c>
      <c r="X1910">
        <f>IF($T1910="",N($X1909),IF(MATCH($T1910,$T$6:$T$10005,0)=ROW()-5,N($X1909)+1,N($X1909)))</f>
        <v>0</v>
      </c>
      <c r="Z1910" t="str">
        <f t="shared" si="299"/>
        <v/>
      </c>
      <c r="AA1910">
        <f>IF($V1910="",N($AA1909),IF(MATCH($V1910,$V$6:$V$10005,0)=ROW()-5,N($AA1909)+1,N($AA1909)))</f>
        <v>0</v>
      </c>
    </row>
    <row r="1911" spans="1:27" ht="21" customHeight="1" x14ac:dyDescent="0.95">
      <c r="A1911" s="56"/>
      <c r="B1911" s="57"/>
      <c r="C1911" s="57"/>
      <c r="D1911" s="57"/>
      <c r="E1911" s="56"/>
      <c r="F1911" s="57"/>
      <c r="G1911" s="57"/>
      <c r="H1911" s="56"/>
      <c r="I1911" s="56"/>
      <c r="J1911" s="58"/>
      <c r="K1911" s="58"/>
      <c r="L1911" s="13" t="str">
        <f t="shared" si="290"/>
        <v/>
      </c>
      <c r="M1911" s="13" t="str">
        <f t="shared" si="291"/>
        <v/>
      </c>
      <c r="Q1911" t="str">
        <f t="shared" si="292"/>
        <v/>
      </c>
      <c r="R1911" t="str">
        <f t="shared" si="293"/>
        <v/>
      </c>
      <c r="S1911" t="str">
        <f t="shared" si="294"/>
        <v/>
      </c>
      <c r="T1911" t="str">
        <f t="shared" si="295"/>
        <v/>
      </c>
      <c r="U1911" t="str">
        <f t="shared" si="296"/>
        <v/>
      </c>
      <c r="V1911" t="str">
        <f t="shared" si="297"/>
        <v/>
      </c>
      <c r="W1911" t="str">
        <f t="shared" si="298"/>
        <v/>
      </c>
      <c r="X1911">
        <f>IF($T1911="",N($X1910),IF(MATCH($T1911,$T$6:$T$10005,0)=ROW()-5,N($X1910)+1,N($X1910)))</f>
        <v>0</v>
      </c>
      <c r="Z1911" t="str">
        <f t="shared" si="299"/>
        <v/>
      </c>
      <c r="AA1911">
        <f>IF($V1911="",N($AA1910),IF(MATCH($V1911,$V$6:$V$10005,0)=ROW()-5,N($AA1910)+1,N($AA1910)))</f>
        <v>0</v>
      </c>
    </row>
    <row r="1912" spans="1:27" ht="21" customHeight="1" x14ac:dyDescent="0.95">
      <c r="A1912" s="56"/>
      <c r="B1912" s="57"/>
      <c r="C1912" s="57"/>
      <c r="D1912" s="57"/>
      <c r="E1912" s="56"/>
      <c r="F1912" s="57"/>
      <c r="G1912" s="57"/>
      <c r="H1912" s="56"/>
      <c r="I1912" s="56"/>
      <c r="J1912" s="58"/>
      <c r="K1912" s="58"/>
      <c r="L1912" s="13" t="str">
        <f t="shared" si="290"/>
        <v/>
      </c>
      <c r="M1912" s="13" t="str">
        <f t="shared" si="291"/>
        <v/>
      </c>
      <c r="Q1912" t="str">
        <f t="shared" si="292"/>
        <v/>
      </c>
      <c r="R1912" t="str">
        <f t="shared" si="293"/>
        <v/>
      </c>
      <c r="S1912" t="str">
        <f t="shared" si="294"/>
        <v/>
      </c>
      <c r="T1912" t="str">
        <f t="shared" si="295"/>
        <v/>
      </c>
      <c r="U1912" t="str">
        <f t="shared" si="296"/>
        <v/>
      </c>
      <c r="V1912" t="str">
        <f t="shared" si="297"/>
        <v/>
      </c>
      <c r="W1912" t="str">
        <f t="shared" si="298"/>
        <v/>
      </c>
      <c r="X1912">
        <f>IF($T1912="",N($X1911),IF(MATCH($T1912,$T$6:$T$10005,0)=ROW()-5,N($X1911)+1,N($X1911)))</f>
        <v>0</v>
      </c>
      <c r="Z1912" t="str">
        <f t="shared" si="299"/>
        <v/>
      </c>
      <c r="AA1912">
        <f>IF($V1912="",N($AA1911),IF(MATCH($V1912,$V$6:$V$10005,0)=ROW()-5,N($AA1911)+1,N($AA1911)))</f>
        <v>0</v>
      </c>
    </row>
    <row r="1913" spans="1:27" ht="21" customHeight="1" x14ac:dyDescent="0.95">
      <c r="A1913" s="56"/>
      <c r="B1913" s="57"/>
      <c r="C1913" s="57"/>
      <c r="D1913" s="57"/>
      <c r="E1913" s="56"/>
      <c r="F1913" s="57"/>
      <c r="G1913" s="57"/>
      <c r="H1913" s="56"/>
      <c r="I1913" s="56"/>
      <c r="J1913" s="58"/>
      <c r="K1913" s="58"/>
      <c r="L1913" s="13" t="str">
        <f t="shared" si="290"/>
        <v/>
      </c>
      <c r="M1913" s="13" t="str">
        <f t="shared" si="291"/>
        <v/>
      </c>
      <c r="Q1913" t="str">
        <f t="shared" si="292"/>
        <v/>
      </c>
      <c r="R1913" t="str">
        <f t="shared" si="293"/>
        <v/>
      </c>
      <c r="S1913" t="str">
        <f t="shared" si="294"/>
        <v/>
      </c>
      <c r="T1913" t="str">
        <f t="shared" si="295"/>
        <v/>
      </c>
      <c r="U1913" t="str">
        <f t="shared" si="296"/>
        <v/>
      </c>
      <c r="V1913" t="str">
        <f t="shared" si="297"/>
        <v/>
      </c>
      <c r="W1913" t="str">
        <f t="shared" si="298"/>
        <v/>
      </c>
      <c r="X1913">
        <f>IF($T1913="",N($X1912),IF(MATCH($T1913,$T$6:$T$10005,0)=ROW()-5,N($X1912)+1,N($X1912)))</f>
        <v>0</v>
      </c>
      <c r="Z1913" t="str">
        <f t="shared" si="299"/>
        <v/>
      </c>
      <c r="AA1913">
        <f>IF($V1913="",N($AA1912),IF(MATCH($V1913,$V$6:$V$10005,0)=ROW()-5,N($AA1912)+1,N($AA1912)))</f>
        <v>0</v>
      </c>
    </row>
    <row r="1914" spans="1:27" ht="21" customHeight="1" x14ac:dyDescent="0.95">
      <c r="A1914" s="56"/>
      <c r="B1914" s="57"/>
      <c r="C1914" s="57"/>
      <c r="D1914" s="57"/>
      <c r="E1914" s="56"/>
      <c r="F1914" s="57"/>
      <c r="G1914" s="57"/>
      <c r="H1914" s="56"/>
      <c r="I1914" s="56"/>
      <c r="J1914" s="58"/>
      <c r="K1914" s="58"/>
      <c r="L1914" s="13" t="str">
        <f t="shared" si="290"/>
        <v/>
      </c>
      <c r="M1914" s="13" t="str">
        <f t="shared" si="291"/>
        <v/>
      </c>
      <c r="Q1914" t="str">
        <f t="shared" si="292"/>
        <v/>
      </c>
      <c r="R1914" t="str">
        <f t="shared" si="293"/>
        <v/>
      </c>
      <c r="S1914" t="str">
        <f t="shared" si="294"/>
        <v/>
      </c>
      <c r="T1914" t="str">
        <f t="shared" si="295"/>
        <v/>
      </c>
      <c r="U1914" t="str">
        <f t="shared" si="296"/>
        <v/>
      </c>
      <c r="V1914" t="str">
        <f t="shared" si="297"/>
        <v/>
      </c>
      <c r="W1914" t="str">
        <f t="shared" si="298"/>
        <v/>
      </c>
      <c r="X1914">
        <f>IF($T1914="",N($X1913),IF(MATCH($T1914,$T$6:$T$10005,0)=ROW()-5,N($X1913)+1,N($X1913)))</f>
        <v>0</v>
      </c>
      <c r="Z1914" t="str">
        <f t="shared" si="299"/>
        <v/>
      </c>
      <c r="AA1914">
        <f>IF($V1914="",N($AA1913),IF(MATCH($V1914,$V$6:$V$10005,0)=ROW()-5,N($AA1913)+1,N($AA1913)))</f>
        <v>0</v>
      </c>
    </row>
    <row r="1915" spans="1:27" ht="21" customHeight="1" x14ac:dyDescent="0.95">
      <c r="A1915" s="56"/>
      <c r="B1915" s="57"/>
      <c r="C1915" s="57"/>
      <c r="D1915" s="57"/>
      <c r="E1915" s="56"/>
      <c r="F1915" s="57"/>
      <c r="G1915" s="57"/>
      <c r="H1915" s="56"/>
      <c r="I1915" s="56"/>
      <c r="J1915" s="58"/>
      <c r="K1915" s="58"/>
      <c r="L1915" s="13" t="str">
        <f t="shared" si="290"/>
        <v/>
      </c>
      <c r="M1915" s="13" t="str">
        <f t="shared" si="291"/>
        <v/>
      </c>
      <c r="Q1915" t="str">
        <f t="shared" si="292"/>
        <v/>
      </c>
      <c r="R1915" t="str">
        <f t="shared" si="293"/>
        <v/>
      </c>
      <c r="S1915" t="str">
        <f t="shared" si="294"/>
        <v/>
      </c>
      <c r="T1915" t="str">
        <f t="shared" si="295"/>
        <v/>
      </c>
      <c r="U1915" t="str">
        <f t="shared" si="296"/>
        <v/>
      </c>
      <c r="V1915" t="str">
        <f t="shared" si="297"/>
        <v/>
      </c>
      <c r="W1915" t="str">
        <f t="shared" si="298"/>
        <v/>
      </c>
      <c r="X1915">
        <f>IF($T1915="",N($X1914),IF(MATCH($T1915,$T$6:$T$10005,0)=ROW()-5,N($X1914)+1,N($X1914)))</f>
        <v>0</v>
      </c>
      <c r="Z1915" t="str">
        <f t="shared" si="299"/>
        <v/>
      </c>
      <c r="AA1915">
        <f>IF($V1915="",N($AA1914),IF(MATCH($V1915,$V$6:$V$10005,0)=ROW()-5,N($AA1914)+1,N($AA1914)))</f>
        <v>0</v>
      </c>
    </row>
    <row r="1916" spans="1:27" ht="21" customHeight="1" x14ac:dyDescent="0.95">
      <c r="A1916" s="56"/>
      <c r="B1916" s="57"/>
      <c r="C1916" s="57"/>
      <c r="D1916" s="57"/>
      <c r="E1916" s="56"/>
      <c r="F1916" s="57"/>
      <c r="G1916" s="57"/>
      <c r="H1916" s="56"/>
      <c r="I1916" s="56"/>
      <c r="J1916" s="58"/>
      <c r="K1916" s="58"/>
      <c r="L1916" s="13" t="str">
        <f t="shared" si="290"/>
        <v/>
      </c>
      <c r="M1916" s="13" t="str">
        <f t="shared" si="291"/>
        <v/>
      </c>
      <c r="Q1916" t="str">
        <f t="shared" si="292"/>
        <v/>
      </c>
      <c r="R1916" t="str">
        <f t="shared" si="293"/>
        <v/>
      </c>
      <c r="S1916" t="str">
        <f t="shared" si="294"/>
        <v/>
      </c>
      <c r="T1916" t="str">
        <f t="shared" si="295"/>
        <v/>
      </c>
      <c r="U1916" t="str">
        <f t="shared" si="296"/>
        <v/>
      </c>
      <c r="V1916" t="str">
        <f t="shared" si="297"/>
        <v/>
      </c>
      <c r="W1916" t="str">
        <f t="shared" si="298"/>
        <v/>
      </c>
      <c r="X1916">
        <f>IF($T1916="",N($X1915),IF(MATCH($T1916,$T$6:$T$10005,0)=ROW()-5,N($X1915)+1,N($X1915)))</f>
        <v>0</v>
      </c>
      <c r="Z1916" t="str">
        <f t="shared" si="299"/>
        <v/>
      </c>
      <c r="AA1916">
        <f>IF($V1916="",N($AA1915),IF(MATCH($V1916,$V$6:$V$10005,0)=ROW()-5,N($AA1915)+1,N($AA1915)))</f>
        <v>0</v>
      </c>
    </row>
    <row r="1917" spans="1:27" ht="21" customHeight="1" x14ac:dyDescent="0.95">
      <c r="A1917" s="56"/>
      <c r="B1917" s="57"/>
      <c r="C1917" s="57"/>
      <c r="D1917" s="57"/>
      <c r="E1917" s="56"/>
      <c r="F1917" s="57"/>
      <c r="G1917" s="57"/>
      <c r="H1917" s="56"/>
      <c r="I1917" s="56"/>
      <c r="J1917" s="58"/>
      <c r="K1917" s="58"/>
      <c r="L1917" s="13" t="str">
        <f t="shared" si="290"/>
        <v/>
      </c>
      <c r="M1917" s="13" t="str">
        <f t="shared" si="291"/>
        <v/>
      </c>
      <c r="Q1917" t="str">
        <f t="shared" si="292"/>
        <v/>
      </c>
      <c r="R1917" t="str">
        <f t="shared" si="293"/>
        <v/>
      </c>
      <c r="S1917" t="str">
        <f t="shared" si="294"/>
        <v/>
      </c>
      <c r="T1917" t="str">
        <f t="shared" si="295"/>
        <v/>
      </c>
      <c r="U1917" t="str">
        <f t="shared" si="296"/>
        <v/>
      </c>
      <c r="V1917" t="str">
        <f t="shared" si="297"/>
        <v/>
      </c>
      <c r="W1917" t="str">
        <f t="shared" si="298"/>
        <v/>
      </c>
      <c r="X1917">
        <f>IF($T1917="",N($X1916),IF(MATCH($T1917,$T$6:$T$10005,0)=ROW()-5,N($X1916)+1,N($X1916)))</f>
        <v>0</v>
      </c>
      <c r="Z1917" t="str">
        <f t="shared" si="299"/>
        <v/>
      </c>
      <c r="AA1917">
        <f>IF($V1917="",N($AA1916),IF(MATCH($V1917,$V$6:$V$10005,0)=ROW()-5,N($AA1916)+1,N($AA1916)))</f>
        <v>0</v>
      </c>
    </row>
    <row r="1918" spans="1:27" ht="21" customHeight="1" x14ac:dyDescent="0.95">
      <c r="A1918" s="56"/>
      <c r="B1918" s="57"/>
      <c r="C1918" s="57"/>
      <c r="D1918" s="57"/>
      <c r="E1918" s="56"/>
      <c r="F1918" s="57"/>
      <c r="G1918" s="57"/>
      <c r="H1918" s="56"/>
      <c r="I1918" s="56"/>
      <c r="J1918" s="58"/>
      <c r="K1918" s="58"/>
      <c r="L1918" s="13" t="str">
        <f t="shared" si="290"/>
        <v/>
      </c>
      <c r="M1918" s="13" t="str">
        <f t="shared" si="291"/>
        <v/>
      </c>
      <c r="Q1918" t="str">
        <f t="shared" si="292"/>
        <v/>
      </c>
      <c r="R1918" t="str">
        <f t="shared" si="293"/>
        <v/>
      </c>
      <c r="S1918" t="str">
        <f t="shared" si="294"/>
        <v/>
      </c>
      <c r="T1918" t="str">
        <f t="shared" si="295"/>
        <v/>
      </c>
      <c r="U1918" t="str">
        <f t="shared" si="296"/>
        <v/>
      </c>
      <c r="V1918" t="str">
        <f t="shared" si="297"/>
        <v/>
      </c>
      <c r="W1918" t="str">
        <f t="shared" si="298"/>
        <v/>
      </c>
      <c r="X1918">
        <f>IF($T1918="",N($X1917),IF(MATCH($T1918,$T$6:$T$10005,0)=ROW()-5,N($X1917)+1,N($X1917)))</f>
        <v>0</v>
      </c>
      <c r="Z1918" t="str">
        <f t="shared" si="299"/>
        <v/>
      </c>
      <c r="AA1918">
        <f>IF($V1918="",N($AA1917),IF(MATCH($V1918,$V$6:$V$10005,0)=ROW()-5,N($AA1917)+1,N($AA1917)))</f>
        <v>0</v>
      </c>
    </row>
    <row r="1919" spans="1:27" ht="21" customHeight="1" x14ac:dyDescent="0.95">
      <c r="A1919" s="56"/>
      <c r="B1919" s="57"/>
      <c r="C1919" s="57"/>
      <c r="D1919" s="57"/>
      <c r="E1919" s="56"/>
      <c r="F1919" s="57"/>
      <c r="G1919" s="57"/>
      <c r="H1919" s="56"/>
      <c r="I1919" s="56"/>
      <c r="J1919" s="58"/>
      <c r="K1919" s="58"/>
      <c r="L1919" s="13" t="str">
        <f t="shared" si="290"/>
        <v/>
      </c>
      <c r="M1919" s="13" t="str">
        <f t="shared" si="291"/>
        <v/>
      </c>
      <c r="Q1919" t="str">
        <f t="shared" si="292"/>
        <v/>
      </c>
      <c r="R1919" t="str">
        <f t="shared" si="293"/>
        <v/>
      </c>
      <c r="S1919" t="str">
        <f t="shared" si="294"/>
        <v/>
      </c>
      <c r="T1919" t="str">
        <f t="shared" si="295"/>
        <v/>
      </c>
      <c r="U1919" t="str">
        <f t="shared" si="296"/>
        <v/>
      </c>
      <c r="V1919" t="str">
        <f t="shared" si="297"/>
        <v/>
      </c>
      <c r="W1919" t="str">
        <f t="shared" si="298"/>
        <v/>
      </c>
      <c r="X1919">
        <f>IF($T1919="",N($X1918),IF(MATCH($T1919,$T$6:$T$10005,0)=ROW()-5,N($X1918)+1,N($X1918)))</f>
        <v>0</v>
      </c>
      <c r="Z1919" t="str">
        <f t="shared" si="299"/>
        <v/>
      </c>
      <c r="AA1919">
        <f>IF($V1919="",N($AA1918),IF(MATCH($V1919,$V$6:$V$10005,0)=ROW()-5,N($AA1918)+1,N($AA1918)))</f>
        <v>0</v>
      </c>
    </row>
    <row r="1920" spans="1:27" ht="21" customHeight="1" x14ac:dyDescent="0.95">
      <c r="A1920" s="56"/>
      <c r="B1920" s="57"/>
      <c r="C1920" s="57"/>
      <c r="D1920" s="57"/>
      <c r="E1920" s="56"/>
      <c r="F1920" s="57"/>
      <c r="G1920" s="57"/>
      <c r="H1920" s="56"/>
      <c r="I1920" s="56"/>
      <c r="J1920" s="58"/>
      <c r="K1920" s="58"/>
      <c r="L1920" s="13" t="str">
        <f t="shared" si="290"/>
        <v/>
      </c>
      <c r="M1920" s="13" t="str">
        <f t="shared" si="291"/>
        <v/>
      </c>
      <c r="Q1920" t="str">
        <f t="shared" si="292"/>
        <v/>
      </c>
      <c r="R1920" t="str">
        <f t="shared" si="293"/>
        <v/>
      </c>
      <c r="S1920" t="str">
        <f t="shared" si="294"/>
        <v/>
      </c>
      <c r="T1920" t="str">
        <f t="shared" si="295"/>
        <v/>
      </c>
      <c r="U1920" t="str">
        <f t="shared" si="296"/>
        <v/>
      </c>
      <c r="V1920" t="str">
        <f t="shared" si="297"/>
        <v/>
      </c>
      <c r="W1920" t="str">
        <f t="shared" si="298"/>
        <v/>
      </c>
      <c r="X1920">
        <f>IF($T1920="",N($X1919),IF(MATCH($T1920,$T$6:$T$10005,0)=ROW()-5,N($X1919)+1,N($X1919)))</f>
        <v>0</v>
      </c>
      <c r="Z1920" t="str">
        <f t="shared" si="299"/>
        <v/>
      </c>
      <c r="AA1920">
        <f>IF($V1920="",N($AA1919),IF(MATCH($V1920,$V$6:$V$10005,0)=ROW()-5,N($AA1919)+1,N($AA1919)))</f>
        <v>0</v>
      </c>
    </row>
    <row r="1921" spans="1:27" ht="21" customHeight="1" x14ac:dyDescent="0.95">
      <c r="A1921" s="56"/>
      <c r="B1921" s="57"/>
      <c r="C1921" s="57"/>
      <c r="D1921" s="57"/>
      <c r="E1921" s="56"/>
      <c r="F1921" s="57"/>
      <c r="G1921" s="57"/>
      <c r="H1921" s="56"/>
      <c r="I1921" s="56"/>
      <c r="J1921" s="58"/>
      <c r="K1921" s="58"/>
      <c r="L1921" s="13" t="str">
        <f t="shared" si="290"/>
        <v/>
      </c>
      <c r="M1921" s="13" t="str">
        <f t="shared" si="291"/>
        <v/>
      </c>
      <c r="Q1921" t="str">
        <f t="shared" si="292"/>
        <v/>
      </c>
      <c r="R1921" t="str">
        <f t="shared" si="293"/>
        <v/>
      </c>
      <c r="S1921" t="str">
        <f t="shared" si="294"/>
        <v/>
      </c>
      <c r="T1921" t="str">
        <f t="shared" si="295"/>
        <v/>
      </c>
      <c r="U1921" t="str">
        <f t="shared" si="296"/>
        <v/>
      </c>
      <c r="V1921" t="str">
        <f t="shared" si="297"/>
        <v/>
      </c>
      <c r="W1921" t="str">
        <f t="shared" si="298"/>
        <v/>
      </c>
      <c r="X1921">
        <f>IF($T1921="",N($X1920),IF(MATCH($T1921,$T$6:$T$10005,0)=ROW()-5,N($X1920)+1,N($X1920)))</f>
        <v>0</v>
      </c>
      <c r="Z1921" t="str">
        <f t="shared" si="299"/>
        <v/>
      </c>
      <c r="AA1921">
        <f>IF($V1921="",N($AA1920),IF(MATCH($V1921,$V$6:$V$10005,0)=ROW()-5,N($AA1920)+1,N($AA1920)))</f>
        <v>0</v>
      </c>
    </row>
    <row r="1922" spans="1:27" ht="21" customHeight="1" x14ac:dyDescent="0.95">
      <c r="A1922" s="56"/>
      <c r="B1922" s="57"/>
      <c r="C1922" s="57"/>
      <c r="D1922" s="57"/>
      <c r="E1922" s="56"/>
      <c r="F1922" s="57"/>
      <c r="G1922" s="57"/>
      <c r="H1922" s="56"/>
      <c r="I1922" s="56"/>
      <c r="J1922" s="58"/>
      <c r="K1922" s="58"/>
      <c r="L1922" s="13" t="str">
        <f t="shared" si="290"/>
        <v/>
      </c>
      <c r="M1922" s="13" t="str">
        <f t="shared" si="291"/>
        <v/>
      </c>
      <c r="Q1922" t="str">
        <f t="shared" si="292"/>
        <v/>
      </c>
      <c r="R1922" t="str">
        <f t="shared" si="293"/>
        <v/>
      </c>
      <c r="S1922" t="str">
        <f t="shared" si="294"/>
        <v/>
      </c>
      <c r="T1922" t="str">
        <f t="shared" si="295"/>
        <v/>
      </c>
      <c r="U1922" t="str">
        <f t="shared" si="296"/>
        <v/>
      </c>
      <c r="V1922" t="str">
        <f t="shared" si="297"/>
        <v/>
      </c>
      <c r="W1922" t="str">
        <f t="shared" si="298"/>
        <v/>
      </c>
      <c r="X1922">
        <f>IF($T1922="",N($X1921),IF(MATCH($T1922,$T$6:$T$10005,0)=ROW()-5,N($X1921)+1,N($X1921)))</f>
        <v>0</v>
      </c>
      <c r="Z1922" t="str">
        <f t="shared" si="299"/>
        <v/>
      </c>
      <c r="AA1922">
        <f>IF($V1922="",N($AA1921),IF(MATCH($V1922,$V$6:$V$10005,0)=ROW()-5,N($AA1921)+1,N($AA1921)))</f>
        <v>0</v>
      </c>
    </row>
    <row r="1923" spans="1:27" ht="21" customHeight="1" x14ac:dyDescent="0.95">
      <c r="A1923" s="56"/>
      <c r="B1923" s="57"/>
      <c r="C1923" s="57"/>
      <c r="D1923" s="57"/>
      <c r="E1923" s="56"/>
      <c r="F1923" s="57"/>
      <c r="G1923" s="57"/>
      <c r="H1923" s="56"/>
      <c r="I1923" s="56"/>
      <c r="J1923" s="58"/>
      <c r="K1923" s="58"/>
      <c r="L1923" s="13" t="str">
        <f t="shared" si="290"/>
        <v/>
      </c>
      <c r="M1923" s="13" t="str">
        <f t="shared" si="291"/>
        <v/>
      </c>
      <c r="Q1923" t="str">
        <f t="shared" si="292"/>
        <v/>
      </c>
      <c r="R1923" t="str">
        <f t="shared" si="293"/>
        <v/>
      </c>
      <c r="S1923" t="str">
        <f t="shared" si="294"/>
        <v/>
      </c>
      <c r="T1923" t="str">
        <f t="shared" si="295"/>
        <v/>
      </c>
      <c r="U1923" t="str">
        <f t="shared" si="296"/>
        <v/>
      </c>
      <c r="V1923" t="str">
        <f t="shared" si="297"/>
        <v/>
      </c>
      <c r="W1923" t="str">
        <f t="shared" si="298"/>
        <v/>
      </c>
      <c r="X1923">
        <f>IF($T1923="",N($X1922),IF(MATCH($T1923,$T$6:$T$10005,0)=ROW()-5,N($X1922)+1,N($X1922)))</f>
        <v>0</v>
      </c>
      <c r="Z1923" t="str">
        <f t="shared" si="299"/>
        <v/>
      </c>
      <c r="AA1923">
        <f>IF($V1923="",N($AA1922),IF(MATCH($V1923,$V$6:$V$10005,0)=ROW()-5,N($AA1922)+1,N($AA1922)))</f>
        <v>0</v>
      </c>
    </row>
    <row r="1924" spans="1:27" ht="21" customHeight="1" x14ac:dyDescent="0.95">
      <c r="A1924" s="56"/>
      <c r="B1924" s="57"/>
      <c r="C1924" s="57"/>
      <c r="D1924" s="57"/>
      <c r="E1924" s="56"/>
      <c r="F1924" s="57"/>
      <c r="G1924" s="57"/>
      <c r="H1924" s="56"/>
      <c r="I1924" s="56"/>
      <c r="J1924" s="58"/>
      <c r="K1924" s="58"/>
      <c r="L1924" s="13" t="str">
        <f t="shared" si="290"/>
        <v/>
      </c>
      <c r="M1924" s="13" t="str">
        <f t="shared" si="291"/>
        <v/>
      </c>
      <c r="Q1924" t="str">
        <f t="shared" si="292"/>
        <v/>
      </c>
      <c r="R1924" t="str">
        <f t="shared" si="293"/>
        <v/>
      </c>
      <c r="S1924" t="str">
        <f t="shared" si="294"/>
        <v/>
      </c>
      <c r="T1924" t="str">
        <f t="shared" si="295"/>
        <v/>
      </c>
      <c r="U1924" t="str">
        <f t="shared" si="296"/>
        <v/>
      </c>
      <c r="V1924" t="str">
        <f t="shared" si="297"/>
        <v/>
      </c>
      <c r="W1924" t="str">
        <f t="shared" si="298"/>
        <v/>
      </c>
      <c r="X1924">
        <f>IF($T1924="",N($X1923),IF(MATCH($T1924,$T$6:$T$10005,0)=ROW()-5,N($X1923)+1,N($X1923)))</f>
        <v>0</v>
      </c>
      <c r="Z1924" t="str">
        <f t="shared" si="299"/>
        <v/>
      </c>
      <c r="AA1924">
        <f>IF($V1924="",N($AA1923),IF(MATCH($V1924,$V$6:$V$10005,0)=ROW()-5,N($AA1923)+1,N($AA1923)))</f>
        <v>0</v>
      </c>
    </row>
    <row r="1925" spans="1:27" ht="21" customHeight="1" x14ac:dyDescent="0.95">
      <c r="A1925" s="56"/>
      <c r="B1925" s="57"/>
      <c r="C1925" s="57"/>
      <c r="D1925" s="57"/>
      <c r="E1925" s="56"/>
      <c r="F1925" s="57"/>
      <c r="G1925" s="57"/>
      <c r="H1925" s="56"/>
      <c r="I1925" s="56"/>
      <c r="J1925" s="58"/>
      <c r="K1925" s="58"/>
      <c r="L1925" s="13" t="str">
        <f t="shared" si="290"/>
        <v/>
      </c>
      <c r="M1925" s="13" t="str">
        <f t="shared" si="291"/>
        <v/>
      </c>
      <c r="Q1925" t="str">
        <f t="shared" si="292"/>
        <v/>
      </c>
      <c r="R1925" t="str">
        <f t="shared" si="293"/>
        <v/>
      </c>
      <c r="S1925" t="str">
        <f t="shared" si="294"/>
        <v/>
      </c>
      <c r="T1925" t="str">
        <f t="shared" si="295"/>
        <v/>
      </c>
      <c r="U1925" t="str">
        <f t="shared" si="296"/>
        <v/>
      </c>
      <c r="V1925" t="str">
        <f t="shared" si="297"/>
        <v/>
      </c>
      <c r="W1925" t="str">
        <f t="shared" si="298"/>
        <v/>
      </c>
      <c r="X1925">
        <f>IF($T1925="",N($X1924),IF(MATCH($T1925,$T$6:$T$10005,0)=ROW()-5,N($X1924)+1,N($X1924)))</f>
        <v>0</v>
      </c>
      <c r="Z1925" t="str">
        <f t="shared" si="299"/>
        <v/>
      </c>
      <c r="AA1925">
        <f>IF($V1925="",N($AA1924),IF(MATCH($V1925,$V$6:$V$10005,0)=ROW()-5,N($AA1924)+1,N($AA1924)))</f>
        <v>0</v>
      </c>
    </row>
    <row r="1926" spans="1:27" ht="21" customHeight="1" x14ac:dyDescent="0.95">
      <c r="A1926" s="56"/>
      <c r="B1926" s="57"/>
      <c r="C1926" s="57"/>
      <c r="D1926" s="57"/>
      <c r="E1926" s="56"/>
      <c r="F1926" s="57"/>
      <c r="G1926" s="57"/>
      <c r="H1926" s="56"/>
      <c r="I1926" s="56"/>
      <c r="J1926" s="58"/>
      <c r="K1926" s="58"/>
      <c r="L1926" s="13" t="str">
        <f t="shared" ref="L1926:L1989" si="300">IF(OR($A1926="",AND($J1926="",$K1926="")),"",ROUND(N($J1926)-N($K1926),2))</f>
        <v/>
      </c>
      <c r="M1926" s="13" t="str">
        <f t="shared" ref="M1926:M1989" si="301">IF(OR($A1926="",AND($J1926="",$K1926="")),"",MIN($J1926,$K1926))</f>
        <v/>
      </c>
      <c r="Q1926" t="str">
        <f t="shared" ref="Q1926:Q1989" si="302">IF($A1926="","",$D1926&amp;"("&amp;SUBSTITUTE($E1926," ","")&amp;")")</f>
        <v/>
      </c>
      <c r="R1926" t="str">
        <f t="shared" ref="R1926:R1989" si="303">IF($A1926="","",$B1926&amp;" - "&amp;$C1926)</f>
        <v/>
      </c>
      <c r="S1926" t="str">
        <f t="shared" ref="S1926:S1989" si="304">IF($A1926="","",$R1926&amp;"|"&amp;$Q1926)</f>
        <v/>
      </c>
      <c r="T1926" t="str">
        <f t="shared" ref="T1926:T1989" si="305">IF($A1926="","",$S1926&amp;"|"&amp;$F1926)</f>
        <v/>
      </c>
      <c r="U1926" t="str">
        <f t="shared" ref="U1926:U1989" si="306">IF($A1926="","",$R1926&amp;"("&amp;$E1926&amp;")")</f>
        <v/>
      </c>
      <c r="V1926" t="str">
        <f t="shared" ref="V1926:V1989" si="307">IF($A1926="","",$F1926&amp;"|"&amp;$U1926&amp;"|"&amp;$D1926)</f>
        <v/>
      </c>
      <c r="W1926" t="str">
        <f t="shared" ref="W1926:W1989" si="308">IF($T1926="","",IF($X1926&gt;N($X1925),$X1926,""))</f>
        <v/>
      </c>
      <c r="X1926">
        <f>IF($T1926="",N($X1925),IF(MATCH($T1926,$T$6:$T$10005,0)=ROW()-5,N($X1925)+1,N($X1925)))</f>
        <v>0</v>
      </c>
      <c r="Z1926" t="str">
        <f t="shared" ref="Z1926:Z1989" si="309">IF($V1926="","",IF($AA1926&gt;N($AA1925),$AA1926,""))</f>
        <v/>
      </c>
      <c r="AA1926">
        <f>IF($V1926="",N($AA1925),IF(MATCH($V1926,$V$6:$V$10005,0)=ROW()-5,N($AA1925)+1,N($AA1925)))</f>
        <v>0</v>
      </c>
    </row>
    <row r="1927" spans="1:27" ht="21" customHeight="1" x14ac:dyDescent="0.95">
      <c r="A1927" s="56"/>
      <c r="B1927" s="57"/>
      <c r="C1927" s="57"/>
      <c r="D1927" s="57"/>
      <c r="E1927" s="56"/>
      <c r="F1927" s="57"/>
      <c r="G1927" s="57"/>
      <c r="H1927" s="56"/>
      <c r="I1927" s="56"/>
      <c r="J1927" s="58"/>
      <c r="K1927" s="58"/>
      <c r="L1927" s="13" t="str">
        <f t="shared" si="300"/>
        <v/>
      </c>
      <c r="M1927" s="13" t="str">
        <f t="shared" si="301"/>
        <v/>
      </c>
      <c r="Q1927" t="str">
        <f t="shared" si="302"/>
        <v/>
      </c>
      <c r="R1927" t="str">
        <f t="shared" si="303"/>
        <v/>
      </c>
      <c r="S1927" t="str">
        <f t="shared" si="304"/>
        <v/>
      </c>
      <c r="T1927" t="str">
        <f t="shared" si="305"/>
        <v/>
      </c>
      <c r="U1927" t="str">
        <f t="shared" si="306"/>
        <v/>
      </c>
      <c r="V1927" t="str">
        <f t="shared" si="307"/>
        <v/>
      </c>
      <c r="W1927" t="str">
        <f t="shared" si="308"/>
        <v/>
      </c>
      <c r="X1927">
        <f>IF($T1927="",N($X1926),IF(MATCH($T1927,$T$6:$T$10005,0)=ROW()-5,N($X1926)+1,N($X1926)))</f>
        <v>0</v>
      </c>
      <c r="Z1927" t="str">
        <f t="shared" si="309"/>
        <v/>
      </c>
      <c r="AA1927">
        <f>IF($V1927="",N($AA1926),IF(MATCH($V1927,$V$6:$V$10005,0)=ROW()-5,N($AA1926)+1,N($AA1926)))</f>
        <v>0</v>
      </c>
    </row>
    <row r="1928" spans="1:27" ht="21" customHeight="1" x14ac:dyDescent="0.95">
      <c r="A1928" s="56"/>
      <c r="B1928" s="57"/>
      <c r="C1928" s="57"/>
      <c r="D1928" s="57"/>
      <c r="E1928" s="56"/>
      <c r="F1928" s="57"/>
      <c r="G1928" s="57"/>
      <c r="H1928" s="56"/>
      <c r="I1928" s="56"/>
      <c r="J1928" s="58"/>
      <c r="K1928" s="58"/>
      <c r="L1928" s="13" t="str">
        <f t="shared" si="300"/>
        <v/>
      </c>
      <c r="M1928" s="13" t="str">
        <f t="shared" si="301"/>
        <v/>
      </c>
      <c r="Q1928" t="str">
        <f t="shared" si="302"/>
        <v/>
      </c>
      <c r="R1928" t="str">
        <f t="shared" si="303"/>
        <v/>
      </c>
      <c r="S1928" t="str">
        <f t="shared" si="304"/>
        <v/>
      </c>
      <c r="T1928" t="str">
        <f t="shared" si="305"/>
        <v/>
      </c>
      <c r="U1928" t="str">
        <f t="shared" si="306"/>
        <v/>
      </c>
      <c r="V1928" t="str">
        <f t="shared" si="307"/>
        <v/>
      </c>
      <c r="W1928" t="str">
        <f t="shared" si="308"/>
        <v/>
      </c>
      <c r="X1928">
        <f>IF($T1928="",N($X1927),IF(MATCH($T1928,$T$6:$T$10005,0)=ROW()-5,N($X1927)+1,N($X1927)))</f>
        <v>0</v>
      </c>
      <c r="Z1928" t="str">
        <f t="shared" si="309"/>
        <v/>
      </c>
      <c r="AA1928">
        <f>IF($V1928="",N($AA1927),IF(MATCH($V1928,$V$6:$V$10005,0)=ROW()-5,N($AA1927)+1,N($AA1927)))</f>
        <v>0</v>
      </c>
    </row>
    <row r="1929" spans="1:27" ht="21" customHeight="1" x14ac:dyDescent="0.95">
      <c r="A1929" s="56"/>
      <c r="B1929" s="57"/>
      <c r="C1929" s="57"/>
      <c r="D1929" s="57"/>
      <c r="E1929" s="56"/>
      <c r="F1929" s="57"/>
      <c r="G1929" s="57"/>
      <c r="H1929" s="56"/>
      <c r="I1929" s="56"/>
      <c r="J1929" s="58"/>
      <c r="K1929" s="58"/>
      <c r="L1929" s="13" t="str">
        <f t="shared" si="300"/>
        <v/>
      </c>
      <c r="M1929" s="13" t="str">
        <f t="shared" si="301"/>
        <v/>
      </c>
      <c r="Q1929" t="str">
        <f t="shared" si="302"/>
        <v/>
      </c>
      <c r="R1929" t="str">
        <f t="shared" si="303"/>
        <v/>
      </c>
      <c r="S1929" t="str">
        <f t="shared" si="304"/>
        <v/>
      </c>
      <c r="T1929" t="str">
        <f t="shared" si="305"/>
        <v/>
      </c>
      <c r="U1929" t="str">
        <f t="shared" si="306"/>
        <v/>
      </c>
      <c r="V1929" t="str">
        <f t="shared" si="307"/>
        <v/>
      </c>
      <c r="W1929" t="str">
        <f t="shared" si="308"/>
        <v/>
      </c>
      <c r="X1929">
        <f>IF($T1929="",N($X1928),IF(MATCH($T1929,$T$6:$T$10005,0)=ROW()-5,N($X1928)+1,N($X1928)))</f>
        <v>0</v>
      </c>
      <c r="Z1929" t="str">
        <f t="shared" si="309"/>
        <v/>
      </c>
      <c r="AA1929">
        <f>IF($V1929="",N($AA1928),IF(MATCH($V1929,$V$6:$V$10005,0)=ROW()-5,N($AA1928)+1,N($AA1928)))</f>
        <v>0</v>
      </c>
    </row>
    <row r="1930" spans="1:27" ht="21" customHeight="1" x14ac:dyDescent="0.95">
      <c r="A1930" s="56"/>
      <c r="B1930" s="57"/>
      <c r="C1930" s="57"/>
      <c r="D1930" s="57"/>
      <c r="E1930" s="56"/>
      <c r="F1930" s="57"/>
      <c r="G1930" s="57"/>
      <c r="H1930" s="56"/>
      <c r="I1930" s="56"/>
      <c r="J1930" s="58"/>
      <c r="K1930" s="58"/>
      <c r="L1930" s="13" t="str">
        <f t="shared" si="300"/>
        <v/>
      </c>
      <c r="M1930" s="13" t="str">
        <f t="shared" si="301"/>
        <v/>
      </c>
      <c r="Q1930" t="str">
        <f t="shared" si="302"/>
        <v/>
      </c>
      <c r="R1930" t="str">
        <f t="shared" si="303"/>
        <v/>
      </c>
      <c r="S1930" t="str">
        <f t="shared" si="304"/>
        <v/>
      </c>
      <c r="T1930" t="str">
        <f t="shared" si="305"/>
        <v/>
      </c>
      <c r="U1930" t="str">
        <f t="shared" si="306"/>
        <v/>
      </c>
      <c r="V1930" t="str">
        <f t="shared" si="307"/>
        <v/>
      </c>
      <c r="W1930" t="str">
        <f t="shared" si="308"/>
        <v/>
      </c>
      <c r="X1930">
        <f>IF($T1930="",N($X1929),IF(MATCH($T1930,$T$6:$T$10005,0)=ROW()-5,N($X1929)+1,N($X1929)))</f>
        <v>0</v>
      </c>
      <c r="Z1930" t="str">
        <f t="shared" si="309"/>
        <v/>
      </c>
      <c r="AA1930">
        <f>IF($V1930="",N($AA1929),IF(MATCH($V1930,$V$6:$V$10005,0)=ROW()-5,N($AA1929)+1,N($AA1929)))</f>
        <v>0</v>
      </c>
    </row>
    <row r="1931" spans="1:27" ht="21" customHeight="1" x14ac:dyDescent="0.95">
      <c r="A1931" s="56"/>
      <c r="B1931" s="57"/>
      <c r="C1931" s="57"/>
      <c r="D1931" s="57"/>
      <c r="E1931" s="56"/>
      <c r="F1931" s="57"/>
      <c r="G1931" s="57"/>
      <c r="H1931" s="56"/>
      <c r="I1931" s="56"/>
      <c r="J1931" s="58"/>
      <c r="K1931" s="58"/>
      <c r="L1931" s="13" t="str">
        <f t="shared" si="300"/>
        <v/>
      </c>
      <c r="M1931" s="13" t="str">
        <f t="shared" si="301"/>
        <v/>
      </c>
      <c r="Q1931" t="str">
        <f t="shared" si="302"/>
        <v/>
      </c>
      <c r="R1931" t="str">
        <f t="shared" si="303"/>
        <v/>
      </c>
      <c r="S1931" t="str">
        <f t="shared" si="304"/>
        <v/>
      </c>
      <c r="T1931" t="str">
        <f t="shared" si="305"/>
        <v/>
      </c>
      <c r="U1931" t="str">
        <f t="shared" si="306"/>
        <v/>
      </c>
      <c r="V1931" t="str">
        <f t="shared" si="307"/>
        <v/>
      </c>
      <c r="W1931" t="str">
        <f t="shared" si="308"/>
        <v/>
      </c>
      <c r="X1931">
        <f>IF($T1931="",N($X1930),IF(MATCH($T1931,$T$6:$T$10005,0)=ROW()-5,N($X1930)+1,N($X1930)))</f>
        <v>0</v>
      </c>
      <c r="Z1931" t="str">
        <f t="shared" si="309"/>
        <v/>
      </c>
      <c r="AA1931">
        <f>IF($V1931="",N($AA1930),IF(MATCH($V1931,$V$6:$V$10005,0)=ROW()-5,N($AA1930)+1,N($AA1930)))</f>
        <v>0</v>
      </c>
    </row>
    <row r="1932" spans="1:27" ht="21" customHeight="1" x14ac:dyDescent="0.95">
      <c r="A1932" s="56"/>
      <c r="B1932" s="57"/>
      <c r="C1932" s="57"/>
      <c r="D1932" s="57"/>
      <c r="E1932" s="56"/>
      <c r="F1932" s="57"/>
      <c r="G1932" s="57"/>
      <c r="H1932" s="56"/>
      <c r="I1932" s="56"/>
      <c r="J1932" s="58"/>
      <c r="K1932" s="58"/>
      <c r="L1932" s="13" t="str">
        <f t="shared" si="300"/>
        <v/>
      </c>
      <c r="M1932" s="13" t="str">
        <f t="shared" si="301"/>
        <v/>
      </c>
      <c r="Q1932" t="str">
        <f t="shared" si="302"/>
        <v/>
      </c>
      <c r="R1932" t="str">
        <f t="shared" si="303"/>
        <v/>
      </c>
      <c r="S1932" t="str">
        <f t="shared" si="304"/>
        <v/>
      </c>
      <c r="T1932" t="str">
        <f t="shared" si="305"/>
        <v/>
      </c>
      <c r="U1932" t="str">
        <f t="shared" si="306"/>
        <v/>
      </c>
      <c r="V1932" t="str">
        <f t="shared" si="307"/>
        <v/>
      </c>
      <c r="W1932" t="str">
        <f t="shared" si="308"/>
        <v/>
      </c>
      <c r="X1932">
        <f>IF($T1932="",N($X1931),IF(MATCH($T1932,$T$6:$T$10005,0)=ROW()-5,N($X1931)+1,N($X1931)))</f>
        <v>0</v>
      </c>
      <c r="Z1932" t="str">
        <f t="shared" si="309"/>
        <v/>
      </c>
      <c r="AA1932">
        <f>IF($V1932="",N($AA1931),IF(MATCH($V1932,$V$6:$V$10005,0)=ROW()-5,N($AA1931)+1,N($AA1931)))</f>
        <v>0</v>
      </c>
    </row>
    <row r="1933" spans="1:27" ht="21" customHeight="1" x14ac:dyDescent="0.95">
      <c r="A1933" s="56"/>
      <c r="B1933" s="57"/>
      <c r="C1933" s="57"/>
      <c r="D1933" s="57"/>
      <c r="E1933" s="56"/>
      <c r="F1933" s="57"/>
      <c r="G1933" s="57"/>
      <c r="H1933" s="56"/>
      <c r="I1933" s="56"/>
      <c r="J1933" s="58"/>
      <c r="K1933" s="58"/>
      <c r="L1933" s="13" t="str">
        <f t="shared" si="300"/>
        <v/>
      </c>
      <c r="M1933" s="13" t="str">
        <f t="shared" si="301"/>
        <v/>
      </c>
      <c r="Q1933" t="str">
        <f t="shared" si="302"/>
        <v/>
      </c>
      <c r="R1933" t="str">
        <f t="shared" si="303"/>
        <v/>
      </c>
      <c r="S1933" t="str">
        <f t="shared" si="304"/>
        <v/>
      </c>
      <c r="T1933" t="str">
        <f t="shared" si="305"/>
        <v/>
      </c>
      <c r="U1933" t="str">
        <f t="shared" si="306"/>
        <v/>
      </c>
      <c r="V1933" t="str">
        <f t="shared" si="307"/>
        <v/>
      </c>
      <c r="W1933" t="str">
        <f t="shared" si="308"/>
        <v/>
      </c>
      <c r="X1933">
        <f>IF($T1933="",N($X1932),IF(MATCH($T1933,$T$6:$T$10005,0)=ROW()-5,N($X1932)+1,N($X1932)))</f>
        <v>0</v>
      </c>
      <c r="Z1933" t="str">
        <f t="shared" si="309"/>
        <v/>
      </c>
      <c r="AA1933">
        <f>IF($V1933="",N($AA1932),IF(MATCH($V1933,$V$6:$V$10005,0)=ROW()-5,N($AA1932)+1,N($AA1932)))</f>
        <v>0</v>
      </c>
    </row>
    <row r="1934" spans="1:27" ht="21" customHeight="1" x14ac:dyDescent="0.95">
      <c r="A1934" s="56"/>
      <c r="B1934" s="57"/>
      <c r="C1934" s="57"/>
      <c r="D1934" s="57"/>
      <c r="E1934" s="56"/>
      <c r="F1934" s="57"/>
      <c r="G1934" s="57"/>
      <c r="H1934" s="56"/>
      <c r="I1934" s="56"/>
      <c r="J1934" s="58"/>
      <c r="K1934" s="58"/>
      <c r="L1934" s="13" t="str">
        <f t="shared" si="300"/>
        <v/>
      </c>
      <c r="M1934" s="13" t="str">
        <f t="shared" si="301"/>
        <v/>
      </c>
      <c r="Q1934" t="str">
        <f t="shared" si="302"/>
        <v/>
      </c>
      <c r="R1934" t="str">
        <f t="shared" si="303"/>
        <v/>
      </c>
      <c r="S1934" t="str">
        <f t="shared" si="304"/>
        <v/>
      </c>
      <c r="T1934" t="str">
        <f t="shared" si="305"/>
        <v/>
      </c>
      <c r="U1934" t="str">
        <f t="shared" si="306"/>
        <v/>
      </c>
      <c r="V1934" t="str">
        <f t="shared" si="307"/>
        <v/>
      </c>
      <c r="W1934" t="str">
        <f t="shared" si="308"/>
        <v/>
      </c>
      <c r="X1934">
        <f>IF($T1934="",N($X1933),IF(MATCH($T1934,$T$6:$T$10005,0)=ROW()-5,N($X1933)+1,N($X1933)))</f>
        <v>0</v>
      </c>
      <c r="Z1934" t="str">
        <f t="shared" si="309"/>
        <v/>
      </c>
      <c r="AA1934">
        <f>IF($V1934="",N($AA1933),IF(MATCH($V1934,$V$6:$V$10005,0)=ROW()-5,N($AA1933)+1,N($AA1933)))</f>
        <v>0</v>
      </c>
    </row>
    <row r="1935" spans="1:27" ht="21" customHeight="1" x14ac:dyDescent="0.95">
      <c r="A1935" s="56"/>
      <c r="B1935" s="57"/>
      <c r="C1935" s="57"/>
      <c r="D1935" s="57"/>
      <c r="E1935" s="56"/>
      <c r="F1935" s="57"/>
      <c r="G1935" s="57"/>
      <c r="H1935" s="56"/>
      <c r="I1935" s="56"/>
      <c r="J1935" s="58"/>
      <c r="K1935" s="58"/>
      <c r="L1935" s="13" t="str">
        <f t="shared" si="300"/>
        <v/>
      </c>
      <c r="M1935" s="13" t="str">
        <f t="shared" si="301"/>
        <v/>
      </c>
      <c r="Q1935" t="str">
        <f t="shared" si="302"/>
        <v/>
      </c>
      <c r="R1935" t="str">
        <f t="shared" si="303"/>
        <v/>
      </c>
      <c r="S1935" t="str">
        <f t="shared" si="304"/>
        <v/>
      </c>
      <c r="T1935" t="str">
        <f t="shared" si="305"/>
        <v/>
      </c>
      <c r="U1935" t="str">
        <f t="shared" si="306"/>
        <v/>
      </c>
      <c r="V1935" t="str">
        <f t="shared" si="307"/>
        <v/>
      </c>
      <c r="W1935" t="str">
        <f t="shared" si="308"/>
        <v/>
      </c>
      <c r="X1935">
        <f>IF($T1935="",N($X1934),IF(MATCH($T1935,$T$6:$T$10005,0)=ROW()-5,N($X1934)+1,N($X1934)))</f>
        <v>0</v>
      </c>
      <c r="Z1935" t="str">
        <f t="shared" si="309"/>
        <v/>
      </c>
      <c r="AA1935">
        <f>IF($V1935="",N($AA1934),IF(MATCH($V1935,$V$6:$V$10005,0)=ROW()-5,N($AA1934)+1,N($AA1934)))</f>
        <v>0</v>
      </c>
    </row>
    <row r="1936" spans="1:27" ht="21" customHeight="1" x14ac:dyDescent="0.95">
      <c r="A1936" s="56"/>
      <c r="B1936" s="57"/>
      <c r="C1936" s="57"/>
      <c r="D1936" s="57"/>
      <c r="E1936" s="56"/>
      <c r="F1936" s="57"/>
      <c r="G1936" s="57"/>
      <c r="H1936" s="56"/>
      <c r="I1936" s="56"/>
      <c r="J1936" s="58"/>
      <c r="K1936" s="58"/>
      <c r="L1936" s="13" t="str">
        <f t="shared" si="300"/>
        <v/>
      </c>
      <c r="M1936" s="13" t="str">
        <f t="shared" si="301"/>
        <v/>
      </c>
      <c r="Q1936" t="str">
        <f t="shared" si="302"/>
        <v/>
      </c>
      <c r="R1936" t="str">
        <f t="shared" si="303"/>
        <v/>
      </c>
      <c r="S1936" t="str">
        <f t="shared" si="304"/>
        <v/>
      </c>
      <c r="T1936" t="str">
        <f t="shared" si="305"/>
        <v/>
      </c>
      <c r="U1936" t="str">
        <f t="shared" si="306"/>
        <v/>
      </c>
      <c r="V1936" t="str">
        <f t="shared" si="307"/>
        <v/>
      </c>
      <c r="W1936" t="str">
        <f t="shared" si="308"/>
        <v/>
      </c>
      <c r="X1936">
        <f>IF($T1936="",N($X1935),IF(MATCH($T1936,$T$6:$T$10005,0)=ROW()-5,N($X1935)+1,N($X1935)))</f>
        <v>0</v>
      </c>
      <c r="Z1936" t="str">
        <f t="shared" si="309"/>
        <v/>
      </c>
      <c r="AA1936">
        <f>IF($V1936="",N($AA1935),IF(MATCH($V1936,$V$6:$V$10005,0)=ROW()-5,N($AA1935)+1,N($AA1935)))</f>
        <v>0</v>
      </c>
    </row>
    <row r="1937" spans="1:27" ht="21" customHeight="1" x14ac:dyDescent="0.95">
      <c r="A1937" s="56"/>
      <c r="B1937" s="57"/>
      <c r="C1937" s="57"/>
      <c r="D1937" s="57"/>
      <c r="E1937" s="56"/>
      <c r="F1937" s="57"/>
      <c r="G1937" s="57"/>
      <c r="H1937" s="56"/>
      <c r="I1937" s="56"/>
      <c r="J1937" s="58"/>
      <c r="K1937" s="58"/>
      <c r="L1937" s="13" t="str">
        <f t="shared" si="300"/>
        <v/>
      </c>
      <c r="M1937" s="13" t="str">
        <f t="shared" si="301"/>
        <v/>
      </c>
      <c r="Q1937" t="str">
        <f t="shared" si="302"/>
        <v/>
      </c>
      <c r="R1937" t="str">
        <f t="shared" si="303"/>
        <v/>
      </c>
      <c r="S1937" t="str">
        <f t="shared" si="304"/>
        <v/>
      </c>
      <c r="T1937" t="str">
        <f t="shared" si="305"/>
        <v/>
      </c>
      <c r="U1937" t="str">
        <f t="shared" si="306"/>
        <v/>
      </c>
      <c r="V1937" t="str">
        <f t="shared" si="307"/>
        <v/>
      </c>
      <c r="W1937" t="str">
        <f t="shared" si="308"/>
        <v/>
      </c>
      <c r="X1937">
        <f>IF($T1937="",N($X1936),IF(MATCH($T1937,$T$6:$T$10005,0)=ROW()-5,N($X1936)+1,N($X1936)))</f>
        <v>0</v>
      </c>
      <c r="Z1937" t="str">
        <f t="shared" si="309"/>
        <v/>
      </c>
      <c r="AA1937">
        <f>IF($V1937="",N($AA1936),IF(MATCH($V1937,$V$6:$V$10005,0)=ROW()-5,N($AA1936)+1,N($AA1936)))</f>
        <v>0</v>
      </c>
    </row>
    <row r="1938" spans="1:27" ht="21" customHeight="1" x14ac:dyDescent="0.95">
      <c r="A1938" s="56"/>
      <c r="B1938" s="57"/>
      <c r="C1938" s="57"/>
      <c r="D1938" s="57"/>
      <c r="E1938" s="56"/>
      <c r="F1938" s="57"/>
      <c r="G1938" s="57"/>
      <c r="H1938" s="56"/>
      <c r="I1938" s="56"/>
      <c r="J1938" s="58"/>
      <c r="K1938" s="58"/>
      <c r="L1938" s="13" t="str">
        <f t="shared" si="300"/>
        <v/>
      </c>
      <c r="M1938" s="13" t="str">
        <f t="shared" si="301"/>
        <v/>
      </c>
      <c r="Q1938" t="str">
        <f t="shared" si="302"/>
        <v/>
      </c>
      <c r="R1938" t="str">
        <f t="shared" si="303"/>
        <v/>
      </c>
      <c r="S1938" t="str">
        <f t="shared" si="304"/>
        <v/>
      </c>
      <c r="T1938" t="str">
        <f t="shared" si="305"/>
        <v/>
      </c>
      <c r="U1938" t="str">
        <f t="shared" si="306"/>
        <v/>
      </c>
      <c r="V1938" t="str">
        <f t="shared" si="307"/>
        <v/>
      </c>
      <c r="W1938" t="str">
        <f t="shared" si="308"/>
        <v/>
      </c>
      <c r="X1938">
        <f>IF($T1938="",N($X1937),IF(MATCH($T1938,$T$6:$T$10005,0)=ROW()-5,N($X1937)+1,N($X1937)))</f>
        <v>0</v>
      </c>
      <c r="Z1938" t="str">
        <f t="shared" si="309"/>
        <v/>
      </c>
      <c r="AA1938">
        <f>IF($V1938="",N($AA1937),IF(MATCH($V1938,$V$6:$V$10005,0)=ROW()-5,N($AA1937)+1,N($AA1937)))</f>
        <v>0</v>
      </c>
    </row>
    <row r="1939" spans="1:27" ht="21" customHeight="1" x14ac:dyDescent="0.95">
      <c r="A1939" s="56"/>
      <c r="B1939" s="57"/>
      <c r="C1939" s="57"/>
      <c r="D1939" s="57"/>
      <c r="E1939" s="56"/>
      <c r="F1939" s="57"/>
      <c r="G1939" s="57"/>
      <c r="H1939" s="56"/>
      <c r="I1939" s="56"/>
      <c r="J1939" s="58"/>
      <c r="K1939" s="58"/>
      <c r="L1939" s="13" t="str">
        <f t="shared" si="300"/>
        <v/>
      </c>
      <c r="M1939" s="13" t="str">
        <f t="shared" si="301"/>
        <v/>
      </c>
      <c r="Q1939" t="str">
        <f t="shared" si="302"/>
        <v/>
      </c>
      <c r="R1939" t="str">
        <f t="shared" si="303"/>
        <v/>
      </c>
      <c r="S1939" t="str">
        <f t="shared" si="304"/>
        <v/>
      </c>
      <c r="T1939" t="str">
        <f t="shared" si="305"/>
        <v/>
      </c>
      <c r="U1939" t="str">
        <f t="shared" si="306"/>
        <v/>
      </c>
      <c r="V1939" t="str">
        <f t="shared" si="307"/>
        <v/>
      </c>
      <c r="W1939" t="str">
        <f t="shared" si="308"/>
        <v/>
      </c>
      <c r="X1939">
        <f>IF($T1939="",N($X1938),IF(MATCH($T1939,$T$6:$T$10005,0)=ROW()-5,N($X1938)+1,N($X1938)))</f>
        <v>0</v>
      </c>
      <c r="Z1939" t="str">
        <f t="shared" si="309"/>
        <v/>
      </c>
      <c r="AA1939">
        <f>IF($V1939="",N($AA1938),IF(MATCH($V1939,$V$6:$V$10005,0)=ROW()-5,N($AA1938)+1,N($AA1938)))</f>
        <v>0</v>
      </c>
    </row>
    <row r="1940" spans="1:27" ht="21" customHeight="1" x14ac:dyDescent="0.95">
      <c r="A1940" s="56"/>
      <c r="B1940" s="57"/>
      <c r="C1940" s="57"/>
      <c r="D1940" s="57"/>
      <c r="E1940" s="56"/>
      <c r="F1940" s="57"/>
      <c r="G1940" s="57"/>
      <c r="H1940" s="56"/>
      <c r="I1940" s="56"/>
      <c r="J1940" s="58"/>
      <c r="K1940" s="58"/>
      <c r="L1940" s="13" t="str">
        <f t="shared" si="300"/>
        <v/>
      </c>
      <c r="M1940" s="13" t="str">
        <f t="shared" si="301"/>
        <v/>
      </c>
      <c r="Q1940" t="str">
        <f t="shared" si="302"/>
        <v/>
      </c>
      <c r="R1940" t="str">
        <f t="shared" si="303"/>
        <v/>
      </c>
      <c r="S1940" t="str">
        <f t="shared" si="304"/>
        <v/>
      </c>
      <c r="T1940" t="str">
        <f t="shared" si="305"/>
        <v/>
      </c>
      <c r="U1940" t="str">
        <f t="shared" si="306"/>
        <v/>
      </c>
      <c r="V1940" t="str">
        <f t="shared" si="307"/>
        <v/>
      </c>
      <c r="W1940" t="str">
        <f t="shared" si="308"/>
        <v/>
      </c>
      <c r="X1940">
        <f>IF($T1940="",N($X1939),IF(MATCH($T1940,$T$6:$T$10005,0)=ROW()-5,N($X1939)+1,N($X1939)))</f>
        <v>0</v>
      </c>
      <c r="Z1940" t="str">
        <f t="shared" si="309"/>
        <v/>
      </c>
      <c r="AA1940">
        <f>IF($V1940="",N($AA1939),IF(MATCH($V1940,$V$6:$V$10005,0)=ROW()-5,N($AA1939)+1,N($AA1939)))</f>
        <v>0</v>
      </c>
    </row>
    <row r="1941" spans="1:27" ht="21" customHeight="1" x14ac:dyDescent="0.95">
      <c r="A1941" s="56"/>
      <c r="B1941" s="57"/>
      <c r="C1941" s="57"/>
      <c r="D1941" s="57"/>
      <c r="E1941" s="56"/>
      <c r="F1941" s="57"/>
      <c r="G1941" s="57"/>
      <c r="H1941" s="56"/>
      <c r="I1941" s="56"/>
      <c r="J1941" s="58"/>
      <c r="K1941" s="58"/>
      <c r="L1941" s="13" t="str">
        <f t="shared" si="300"/>
        <v/>
      </c>
      <c r="M1941" s="13" t="str">
        <f t="shared" si="301"/>
        <v/>
      </c>
      <c r="Q1941" t="str">
        <f t="shared" si="302"/>
        <v/>
      </c>
      <c r="R1941" t="str">
        <f t="shared" si="303"/>
        <v/>
      </c>
      <c r="S1941" t="str">
        <f t="shared" si="304"/>
        <v/>
      </c>
      <c r="T1941" t="str">
        <f t="shared" si="305"/>
        <v/>
      </c>
      <c r="U1941" t="str">
        <f t="shared" si="306"/>
        <v/>
      </c>
      <c r="V1941" t="str">
        <f t="shared" si="307"/>
        <v/>
      </c>
      <c r="W1941" t="str">
        <f t="shared" si="308"/>
        <v/>
      </c>
      <c r="X1941">
        <f>IF($T1941="",N($X1940),IF(MATCH($T1941,$T$6:$T$10005,0)=ROW()-5,N($X1940)+1,N($X1940)))</f>
        <v>0</v>
      </c>
      <c r="Z1941" t="str">
        <f t="shared" si="309"/>
        <v/>
      </c>
      <c r="AA1941">
        <f>IF($V1941="",N($AA1940),IF(MATCH($V1941,$V$6:$V$10005,0)=ROW()-5,N($AA1940)+1,N($AA1940)))</f>
        <v>0</v>
      </c>
    </row>
    <row r="1942" spans="1:27" ht="21" customHeight="1" x14ac:dyDescent="0.95">
      <c r="A1942" s="56"/>
      <c r="B1942" s="57"/>
      <c r="C1942" s="57"/>
      <c r="D1942" s="57"/>
      <c r="E1942" s="56"/>
      <c r="F1942" s="57"/>
      <c r="G1942" s="57"/>
      <c r="H1942" s="56"/>
      <c r="I1942" s="56"/>
      <c r="J1942" s="58"/>
      <c r="K1942" s="58"/>
      <c r="L1942" s="13" t="str">
        <f t="shared" si="300"/>
        <v/>
      </c>
      <c r="M1942" s="13" t="str">
        <f t="shared" si="301"/>
        <v/>
      </c>
      <c r="Q1942" t="str">
        <f t="shared" si="302"/>
        <v/>
      </c>
      <c r="R1942" t="str">
        <f t="shared" si="303"/>
        <v/>
      </c>
      <c r="S1942" t="str">
        <f t="shared" si="304"/>
        <v/>
      </c>
      <c r="T1942" t="str">
        <f t="shared" si="305"/>
        <v/>
      </c>
      <c r="U1942" t="str">
        <f t="shared" si="306"/>
        <v/>
      </c>
      <c r="V1942" t="str">
        <f t="shared" si="307"/>
        <v/>
      </c>
      <c r="W1942" t="str">
        <f t="shared" si="308"/>
        <v/>
      </c>
      <c r="X1942">
        <f>IF($T1942="",N($X1941),IF(MATCH($T1942,$T$6:$T$10005,0)=ROW()-5,N($X1941)+1,N($X1941)))</f>
        <v>0</v>
      </c>
      <c r="Z1942" t="str">
        <f t="shared" si="309"/>
        <v/>
      </c>
      <c r="AA1942">
        <f>IF($V1942="",N($AA1941),IF(MATCH($V1942,$V$6:$V$10005,0)=ROW()-5,N($AA1941)+1,N($AA1941)))</f>
        <v>0</v>
      </c>
    </row>
    <row r="1943" spans="1:27" ht="21" customHeight="1" x14ac:dyDescent="0.95">
      <c r="A1943" s="56"/>
      <c r="B1943" s="57"/>
      <c r="C1943" s="57"/>
      <c r="D1943" s="57"/>
      <c r="E1943" s="56"/>
      <c r="F1943" s="57"/>
      <c r="G1943" s="57"/>
      <c r="H1943" s="56"/>
      <c r="I1943" s="56"/>
      <c r="J1943" s="58"/>
      <c r="K1943" s="58"/>
      <c r="L1943" s="13" t="str">
        <f t="shared" si="300"/>
        <v/>
      </c>
      <c r="M1943" s="13" t="str">
        <f t="shared" si="301"/>
        <v/>
      </c>
      <c r="Q1943" t="str">
        <f t="shared" si="302"/>
        <v/>
      </c>
      <c r="R1943" t="str">
        <f t="shared" si="303"/>
        <v/>
      </c>
      <c r="S1943" t="str">
        <f t="shared" si="304"/>
        <v/>
      </c>
      <c r="T1943" t="str">
        <f t="shared" si="305"/>
        <v/>
      </c>
      <c r="U1943" t="str">
        <f t="shared" si="306"/>
        <v/>
      </c>
      <c r="V1943" t="str">
        <f t="shared" si="307"/>
        <v/>
      </c>
      <c r="W1943" t="str">
        <f t="shared" si="308"/>
        <v/>
      </c>
      <c r="X1943">
        <f>IF($T1943="",N($X1942),IF(MATCH($T1943,$T$6:$T$10005,0)=ROW()-5,N($X1942)+1,N($X1942)))</f>
        <v>0</v>
      </c>
      <c r="Z1943" t="str">
        <f t="shared" si="309"/>
        <v/>
      </c>
      <c r="AA1943">
        <f>IF($V1943="",N($AA1942),IF(MATCH($V1943,$V$6:$V$10005,0)=ROW()-5,N($AA1942)+1,N($AA1942)))</f>
        <v>0</v>
      </c>
    </row>
    <row r="1944" spans="1:27" ht="21" customHeight="1" x14ac:dyDescent="0.95">
      <c r="A1944" s="56"/>
      <c r="B1944" s="57"/>
      <c r="C1944" s="57"/>
      <c r="D1944" s="57"/>
      <c r="E1944" s="56"/>
      <c r="F1944" s="57"/>
      <c r="G1944" s="57"/>
      <c r="H1944" s="56"/>
      <c r="I1944" s="56"/>
      <c r="J1944" s="58"/>
      <c r="K1944" s="58"/>
      <c r="L1944" s="13" t="str">
        <f t="shared" si="300"/>
        <v/>
      </c>
      <c r="M1944" s="13" t="str">
        <f t="shared" si="301"/>
        <v/>
      </c>
      <c r="Q1944" t="str">
        <f t="shared" si="302"/>
        <v/>
      </c>
      <c r="R1944" t="str">
        <f t="shared" si="303"/>
        <v/>
      </c>
      <c r="S1944" t="str">
        <f t="shared" si="304"/>
        <v/>
      </c>
      <c r="T1944" t="str">
        <f t="shared" si="305"/>
        <v/>
      </c>
      <c r="U1944" t="str">
        <f t="shared" si="306"/>
        <v/>
      </c>
      <c r="V1944" t="str">
        <f t="shared" si="307"/>
        <v/>
      </c>
      <c r="W1944" t="str">
        <f t="shared" si="308"/>
        <v/>
      </c>
      <c r="X1944">
        <f>IF($T1944="",N($X1943),IF(MATCH($T1944,$T$6:$T$10005,0)=ROW()-5,N($X1943)+1,N($X1943)))</f>
        <v>0</v>
      </c>
      <c r="Z1944" t="str">
        <f t="shared" si="309"/>
        <v/>
      </c>
      <c r="AA1944">
        <f>IF($V1944="",N($AA1943),IF(MATCH($V1944,$V$6:$V$10005,0)=ROW()-5,N($AA1943)+1,N($AA1943)))</f>
        <v>0</v>
      </c>
    </row>
    <row r="1945" spans="1:27" ht="21" customHeight="1" x14ac:dyDescent="0.95">
      <c r="A1945" s="56"/>
      <c r="B1945" s="57"/>
      <c r="C1945" s="57"/>
      <c r="D1945" s="57"/>
      <c r="E1945" s="56"/>
      <c r="F1945" s="57"/>
      <c r="G1945" s="57"/>
      <c r="H1945" s="56"/>
      <c r="I1945" s="56"/>
      <c r="J1945" s="58"/>
      <c r="K1945" s="58"/>
      <c r="L1945" s="13" t="str">
        <f t="shared" si="300"/>
        <v/>
      </c>
      <c r="M1945" s="13" t="str">
        <f t="shared" si="301"/>
        <v/>
      </c>
      <c r="Q1945" t="str">
        <f t="shared" si="302"/>
        <v/>
      </c>
      <c r="R1945" t="str">
        <f t="shared" si="303"/>
        <v/>
      </c>
      <c r="S1945" t="str">
        <f t="shared" si="304"/>
        <v/>
      </c>
      <c r="T1945" t="str">
        <f t="shared" si="305"/>
        <v/>
      </c>
      <c r="U1945" t="str">
        <f t="shared" si="306"/>
        <v/>
      </c>
      <c r="V1945" t="str">
        <f t="shared" si="307"/>
        <v/>
      </c>
      <c r="W1945" t="str">
        <f t="shared" si="308"/>
        <v/>
      </c>
      <c r="X1945">
        <f>IF($T1945="",N($X1944),IF(MATCH($T1945,$T$6:$T$10005,0)=ROW()-5,N($X1944)+1,N($X1944)))</f>
        <v>0</v>
      </c>
      <c r="Z1945" t="str">
        <f t="shared" si="309"/>
        <v/>
      </c>
      <c r="AA1945">
        <f>IF($V1945="",N($AA1944),IF(MATCH($V1945,$V$6:$V$10005,0)=ROW()-5,N($AA1944)+1,N($AA1944)))</f>
        <v>0</v>
      </c>
    </row>
    <row r="1946" spans="1:27" ht="21" customHeight="1" x14ac:dyDescent="0.95">
      <c r="A1946" s="56"/>
      <c r="B1946" s="57"/>
      <c r="C1946" s="57"/>
      <c r="D1946" s="57"/>
      <c r="E1946" s="56"/>
      <c r="F1946" s="57"/>
      <c r="G1946" s="57"/>
      <c r="H1946" s="56"/>
      <c r="I1946" s="56"/>
      <c r="J1946" s="58"/>
      <c r="K1946" s="58"/>
      <c r="L1946" s="13" t="str">
        <f t="shared" si="300"/>
        <v/>
      </c>
      <c r="M1946" s="13" t="str">
        <f t="shared" si="301"/>
        <v/>
      </c>
      <c r="Q1946" t="str">
        <f t="shared" si="302"/>
        <v/>
      </c>
      <c r="R1946" t="str">
        <f t="shared" si="303"/>
        <v/>
      </c>
      <c r="S1946" t="str">
        <f t="shared" si="304"/>
        <v/>
      </c>
      <c r="T1946" t="str">
        <f t="shared" si="305"/>
        <v/>
      </c>
      <c r="U1946" t="str">
        <f t="shared" si="306"/>
        <v/>
      </c>
      <c r="V1946" t="str">
        <f t="shared" si="307"/>
        <v/>
      </c>
      <c r="W1946" t="str">
        <f t="shared" si="308"/>
        <v/>
      </c>
      <c r="X1946">
        <f>IF($T1946="",N($X1945),IF(MATCH($T1946,$T$6:$T$10005,0)=ROW()-5,N($X1945)+1,N($X1945)))</f>
        <v>0</v>
      </c>
      <c r="Z1946" t="str">
        <f t="shared" si="309"/>
        <v/>
      </c>
      <c r="AA1946">
        <f>IF($V1946="",N($AA1945),IF(MATCH($V1946,$V$6:$V$10005,0)=ROW()-5,N($AA1945)+1,N($AA1945)))</f>
        <v>0</v>
      </c>
    </row>
    <row r="1947" spans="1:27" ht="21" customHeight="1" x14ac:dyDescent="0.95">
      <c r="A1947" s="56"/>
      <c r="B1947" s="57"/>
      <c r="C1947" s="57"/>
      <c r="D1947" s="57"/>
      <c r="E1947" s="56"/>
      <c r="F1947" s="57"/>
      <c r="G1947" s="57"/>
      <c r="H1947" s="56"/>
      <c r="I1947" s="56"/>
      <c r="J1947" s="58"/>
      <c r="K1947" s="58"/>
      <c r="L1947" s="13" t="str">
        <f t="shared" si="300"/>
        <v/>
      </c>
      <c r="M1947" s="13" t="str">
        <f t="shared" si="301"/>
        <v/>
      </c>
      <c r="Q1947" t="str">
        <f t="shared" si="302"/>
        <v/>
      </c>
      <c r="R1947" t="str">
        <f t="shared" si="303"/>
        <v/>
      </c>
      <c r="S1947" t="str">
        <f t="shared" si="304"/>
        <v/>
      </c>
      <c r="T1947" t="str">
        <f t="shared" si="305"/>
        <v/>
      </c>
      <c r="U1947" t="str">
        <f t="shared" si="306"/>
        <v/>
      </c>
      <c r="V1947" t="str">
        <f t="shared" si="307"/>
        <v/>
      </c>
      <c r="W1947" t="str">
        <f t="shared" si="308"/>
        <v/>
      </c>
      <c r="X1947">
        <f>IF($T1947="",N($X1946),IF(MATCH($T1947,$T$6:$T$10005,0)=ROW()-5,N($X1946)+1,N($X1946)))</f>
        <v>0</v>
      </c>
      <c r="Z1947" t="str">
        <f t="shared" si="309"/>
        <v/>
      </c>
      <c r="AA1947">
        <f>IF($V1947="",N($AA1946),IF(MATCH($V1947,$V$6:$V$10005,0)=ROW()-5,N($AA1946)+1,N($AA1946)))</f>
        <v>0</v>
      </c>
    </row>
    <row r="1948" spans="1:27" ht="21" customHeight="1" x14ac:dyDescent="0.95">
      <c r="A1948" s="56"/>
      <c r="B1948" s="57"/>
      <c r="C1948" s="57"/>
      <c r="D1948" s="57"/>
      <c r="E1948" s="56"/>
      <c r="F1948" s="57"/>
      <c r="G1948" s="57"/>
      <c r="H1948" s="56"/>
      <c r="I1948" s="56"/>
      <c r="J1948" s="58"/>
      <c r="K1948" s="58"/>
      <c r="L1948" s="13" t="str">
        <f t="shared" si="300"/>
        <v/>
      </c>
      <c r="M1948" s="13" t="str">
        <f t="shared" si="301"/>
        <v/>
      </c>
      <c r="Q1948" t="str">
        <f t="shared" si="302"/>
        <v/>
      </c>
      <c r="R1948" t="str">
        <f t="shared" si="303"/>
        <v/>
      </c>
      <c r="S1948" t="str">
        <f t="shared" si="304"/>
        <v/>
      </c>
      <c r="T1948" t="str">
        <f t="shared" si="305"/>
        <v/>
      </c>
      <c r="U1948" t="str">
        <f t="shared" si="306"/>
        <v/>
      </c>
      <c r="V1948" t="str">
        <f t="shared" si="307"/>
        <v/>
      </c>
      <c r="W1948" t="str">
        <f t="shared" si="308"/>
        <v/>
      </c>
      <c r="X1948">
        <f>IF($T1948="",N($X1947),IF(MATCH($T1948,$T$6:$T$10005,0)=ROW()-5,N($X1947)+1,N($X1947)))</f>
        <v>0</v>
      </c>
      <c r="Z1948" t="str">
        <f t="shared" si="309"/>
        <v/>
      </c>
      <c r="AA1948">
        <f>IF($V1948="",N($AA1947),IF(MATCH($V1948,$V$6:$V$10005,0)=ROW()-5,N($AA1947)+1,N($AA1947)))</f>
        <v>0</v>
      </c>
    </row>
    <row r="1949" spans="1:27" ht="21" customHeight="1" x14ac:dyDescent="0.95">
      <c r="A1949" s="56"/>
      <c r="B1949" s="57"/>
      <c r="C1949" s="57"/>
      <c r="D1949" s="57"/>
      <c r="E1949" s="56"/>
      <c r="F1949" s="57"/>
      <c r="G1949" s="57"/>
      <c r="H1949" s="56"/>
      <c r="I1949" s="56"/>
      <c r="J1949" s="58"/>
      <c r="K1949" s="58"/>
      <c r="L1949" s="13" t="str">
        <f t="shared" si="300"/>
        <v/>
      </c>
      <c r="M1949" s="13" t="str">
        <f t="shared" si="301"/>
        <v/>
      </c>
      <c r="Q1949" t="str">
        <f t="shared" si="302"/>
        <v/>
      </c>
      <c r="R1949" t="str">
        <f t="shared" si="303"/>
        <v/>
      </c>
      <c r="S1949" t="str">
        <f t="shared" si="304"/>
        <v/>
      </c>
      <c r="T1949" t="str">
        <f t="shared" si="305"/>
        <v/>
      </c>
      <c r="U1949" t="str">
        <f t="shared" si="306"/>
        <v/>
      </c>
      <c r="V1949" t="str">
        <f t="shared" si="307"/>
        <v/>
      </c>
      <c r="W1949" t="str">
        <f t="shared" si="308"/>
        <v/>
      </c>
      <c r="X1949">
        <f>IF($T1949="",N($X1948),IF(MATCH($T1949,$T$6:$T$10005,0)=ROW()-5,N($X1948)+1,N($X1948)))</f>
        <v>0</v>
      </c>
      <c r="Z1949" t="str">
        <f t="shared" si="309"/>
        <v/>
      </c>
      <c r="AA1949">
        <f>IF($V1949="",N($AA1948),IF(MATCH($V1949,$V$6:$V$10005,0)=ROW()-5,N($AA1948)+1,N($AA1948)))</f>
        <v>0</v>
      </c>
    </row>
    <row r="1950" spans="1:27" ht="21" customHeight="1" x14ac:dyDescent="0.95">
      <c r="A1950" s="56"/>
      <c r="B1950" s="57"/>
      <c r="C1950" s="57"/>
      <c r="D1950" s="57"/>
      <c r="E1950" s="56"/>
      <c r="F1950" s="57"/>
      <c r="G1950" s="57"/>
      <c r="H1950" s="56"/>
      <c r="I1950" s="56"/>
      <c r="J1950" s="58"/>
      <c r="K1950" s="58"/>
      <c r="L1950" s="13" t="str">
        <f t="shared" si="300"/>
        <v/>
      </c>
      <c r="M1950" s="13" t="str">
        <f t="shared" si="301"/>
        <v/>
      </c>
      <c r="Q1950" t="str">
        <f t="shared" si="302"/>
        <v/>
      </c>
      <c r="R1950" t="str">
        <f t="shared" si="303"/>
        <v/>
      </c>
      <c r="S1950" t="str">
        <f t="shared" si="304"/>
        <v/>
      </c>
      <c r="T1950" t="str">
        <f t="shared" si="305"/>
        <v/>
      </c>
      <c r="U1950" t="str">
        <f t="shared" si="306"/>
        <v/>
      </c>
      <c r="V1950" t="str">
        <f t="shared" si="307"/>
        <v/>
      </c>
      <c r="W1950" t="str">
        <f t="shared" si="308"/>
        <v/>
      </c>
      <c r="X1950">
        <f>IF($T1950="",N($X1949),IF(MATCH($T1950,$T$6:$T$10005,0)=ROW()-5,N($X1949)+1,N($X1949)))</f>
        <v>0</v>
      </c>
      <c r="Z1950" t="str">
        <f t="shared" si="309"/>
        <v/>
      </c>
      <c r="AA1950">
        <f>IF($V1950="",N($AA1949),IF(MATCH($V1950,$V$6:$V$10005,0)=ROW()-5,N($AA1949)+1,N($AA1949)))</f>
        <v>0</v>
      </c>
    </row>
    <row r="1951" spans="1:27" ht="21" customHeight="1" x14ac:dyDescent="0.95">
      <c r="A1951" s="56"/>
      <c r="B1951" s="57"/>
      <c r="C1951" s="57"/>
      <c r="D1951" s="57"/>
      <c r="E1951" s="56"/>
      <c r="F1951" s="57"/>
      <c r="G1951" s="57"/>
      <c r="H1951" s="56"/>
      <c r="I1951" s="56"/>
      <c r="J1951" s="58"/>
      <c r="K1951" s="58"/>
      <c r="L1951" s="13" t="str">
        <f t="shared" si="300"/>
        <v/>
      </c>
      <c r="M1951" s="13" t="str">
        <f t="shared" si="301"/>
        <v/>
      </c>
      <c r="Q1951" t="str">
        <f t="shared" si="302"/>
        <v/>
      </c>
      <c r="R1951" t="str">
        <f t="shared" si="303"/>
        <v/>
      </c>
      <c r="S1951" t="str">
        <f t="shared" si="304"/>
        <v/>
      </c>
      <c r="T1951" t="str">
        <f t="shared" si="305"/>
        <v/>
      </c>
      <c r="U1951" t="str">
        <f t="shared" si="306"/>
        <v/>
      </c>
      <c r="V1951" t="str">
        <f t="shared" si="307"/>
        <v/>
      </c>
      <c r="W1951" t="str">
        <f t="shared" si="308"/>
        <v/>
      </c>
      <c r="X1951">
        <f>IF($T1951="",N($X1950),IF(MATCH($T1951,$T$6:$T$10005,0)=ROW()-5,N($X1950)+1,N($X1950)))</f>
        <v>0</v>
      </c>
      <c r="Z1951" t="str">
        <f t="shared" si="309"/>
        <v/>
      </c>
      <c r="AA1951">
        <f>IF($V1951="",N($AA1950),IF(MATCH($V1951,$V$6:$V$10005,0)=ROW()-5,N($AA1950)+1,N($AA1950)))</f>
        <v>0</v>
      </c>
    </row>
    <row r="1952" spans="1:27" ht="21" customHeight="1" x14ac:dyDescent="0.95">
      <c r="A1952" s="56"/>
      <c r="B1952" s="57"/>
      <c r="C1952" s="57"/>
      <c r="D1952" s="57"/>
      <c r="E1952" s="56"/>
      <c r="F1952" s="57"/>
      <c r="G1952" s="57"/>
      <c r="H1952" s="56"/>
      <c r="I1952" s="56"/>
      <c r="J1952" s="58"/>
      <c r="K1952" s="58"/>
      <c r="L1952" s="13" t="str">
        <f t="shared" si="300"/>
        <v/>
      </c>
      <c r="M1952" s="13" t="str">
        <f t="shared" si="301"/>
        <v/>
      </c>
      <c r="Q1952" t="str">
        <f t="shared" si="302"/>
        <v/>
      </c>
      <c r="R1952" t="str">
        <f t="shared" si="303"/>
        <v/>
      </c>
      <c r="S1952" t="str">
        <f t="shared" si="304"/>
        <v/>
      </c>
      <c r="T1952" t="str">
        <f t="shared" si="305"/>
        <v/>
      </c>
      <c r="U1952" t="str">
        <f t="shared" si="306"/>
        <v/>
      </c>
      <c r="V1952" t="str">
        <f t="shared" si="307"/>
        <v/>
      </c>
      <c r="W1952" t="str">
        <f t="shared" si="308"/>
        <v/>
      </c>
      <c r="X1952">
        <f>IF($T1952="",N($X1951),IF(MATCH($T1952,$T$6:$T$10005,0)=ROW()-5,N($X1951)+1,N($X1951)))</f>
        <v>0</v>
      </c>
      <c r="Z1952" t="str">
        <f t="shared" si="309"/>
        <v/>
      </c>
      <c r="AA1952">
        <f>IF($V1952="",N($AA1951),IF(MATCH($V1952,$V$6:$V$10005,0)=ROW()-5,N($AA1951)+1,N($AA1951)))</f>
        <v>0</v>
      </c>
    </row>
    <row r="1953" spans="1:27" ht="21" customHeight="1" x14ac:dyDescent="0.95">
      <c r="A1953" s="56"/>
      <c r="B1953" s="57"/>
      <c r="C1953" s="57"/>
      <c r="D1953" s="57"/>
      <c r="E1953" s="56"/>
      <c r="F1953" s="57"/>
      <c r="G1953" s="57"/>
      <c r="H1953" s="56"/>
      <c r="I1953" s="56"/>
      <c r="J1953" s="58"/>
      <c r="K1953" s="58"/>
      <c r="L1953" s="13" t="str">
        <f t="shared" si="300"/>
        <v/>
      </c>
      <c r="M1953" s="13" t="str">
        <f t="shared" si="301"/>
        <v/>
      </c>
      <c r="Q1953" t="str">
        <f t="shared" si="302"/>
        <v/>
      </c>
      <c r="R1953" t="str">
        <f t="shared" si="303"/>
        <v/>
      </c>
      <c r="S1953" t="str">
        <f t="shared" si="304"/>
        <v/>
      </c>
      <c r="T1953" t="str">
        <f t="shared" si="305"/>
        <v/>
      </c>
      <c r="U1953" t="str">
        <f t="shared" si="306"/>
        <v/>
      </c>
      <c r="V1953" t="str">
        <f t="shared" si="307"/>
        <v/>
      </c>
      <c r="W1953" t="str">
        <f t="shared" si="308"/>
        <v/>
      </c>
      <c r="X1953">
        <f>IF($T1953="",N($X1952),IF(MATCH($T1953,$T$6:$T$10005,0)=ROW()-5,N($X1952)+1,N($X1952)))</f>
        <v>0</v>
      </c>
      <c r="Z1953" t="str">
        <f t="shared" si="309"/>
        <v/>
      </c>
      <c r="AA1953">
        <f>IF($V1953="",N($AA1952),IF(MATCH($V1953,$V$6:$V$10005,0)=ROW()-5,N($AA1952)+1,N($AA1952)))</f>
        <v>0</v>
      </c>
    </row>
    <row r="1954" spans="1:27" ht="21" customHeight="1" x14ac:dyDescent="0.95">
      <c r="A1954" s="56"/>
      <c r="B1954" s="57"/>
      <c r="C1954" s="57"/>
      <c r="D1954" s="57"/>
      <c r="E1954" s="56"/>
      <c r="F1954" s="57"/>
      <c r="G1954" s="57"/>
      <c r="H1954" s="56"/>
      <c r="I1954" s="56"/>
      <c r="J1954" s="58"/>
      <c r="K1954" s="58"/>
      <c r="L1954" s="13" t="str">
        <f t="shared" si="300"/>
        <v/>
      </c>
      <c r="M1954" s="13" t="str">
        <f t="shared" si="301"/>
        <v/>
      </c>
      <c r="Q1954" t="str">
        <f t="shared" si="302"/>
        <v/>
      </c>
      <c r="R1954" t="str">
        <f t="shared" si="303"/>
        <v/>
      </c>
      <c r="S1954" t="str">
        <f t="shared" si="304"/>
        <v/>
      </c>
      <c r="T1954" t="str">
        <f t="shared" si="305"/>
        <v/>
      </c>
      <c r="U1954" t="str">
        <f t="shared" si="306"/>
        <v/>
      </c>
      <c r="V1954" t="str">
        <f t="shared" si="307"/>
        <v/>
      </c>
      <c r="W1954" t="str">
        <f t="shared" si="308"/>
        <v/>
      </c>
      <c r="X1954">
        <f>IF($T1954="",N($X1953),IF(MATCH($T1954,$T$6:$T$10005,0)=ROW()-5,N($X1953)+1,N($X1953)))</f>
        <v>0</v>
      </c>
      <c r="Z1954" t="str">
        <f t="shared" si="309"/>
        <v/>
      </c>
      <c r="AA1954">
        <f>IF($V1954="",N($AA1953),IF(MATCH($V1954,$V$6:$V$10005,0)=ROW()-5,N($AA1953)+1,N($AA1953)))</f>
        <v>0</v>
      </c>
    </row>
    <row r="1955" spans="1:27" ht="21" customHeight="1" x14ac:dyDescent="0.95">
      <c r="A1955" s="56"/>
      <c r="B1955" s="57"/>
      <c r="C1955" s="57"/>
      <c r="D1955" s="57"/>
      <c r="E1955" s="56"/>
      <c r="F1955" s="57"/>
      <c r="G1955" s="57"/>
      <c r="H1955" s="56"/>
      <c r="I1955" s="56"/>
      <c r="J1955" s="58"/>
      <c r="K1955" s="58"/>
      <c r="L1955" s="13" t="str">
        <f t="shared" si="300"/>
        <v/>
      </c>
      <c r="M1955" s="13" t="str">
        <f t="shared" si="301"/>
        <v/>
      </c>
      <c r="Q1955" t="str">
        <f t="shared" si="302"/>
        <v/>
      </c>
      <c r="R1955" t="str">
        <f t="shared" si="303"/>
        <v/>
      </c>
      <c r="S1955" t="str">
        <f t="shared" si="304"/>
        <v/>
      </c>
      <c r="T1955" t="str">
        <f t="shared" si="305"/>
        <v/>
      </c>
      <c r="U1955" t="str">
        <f t="shared" si="306"/>
        <v/>
      </c>
      <c r="V1955" t="str">
        <f t="shared" si="307"/>
        <v/>
      </c>
      <c r="W1955" t="str">
        <f t="shared" si="308"/>
        <v/>
      </c>
      <c r="X1955">
        <f>IF($T1955="",N($X1954),IF(MATCH($T1955,$T$6:$T$10005,0)=ROW()-5,N($X1954)+1,N($X1954)))</f>
        <v>0</v>
      </c>
      <c r="Z1955" t="str">
        <f t="shared" si="309"/>
        <v/>
      </c>
      <c r="AA1955">
        <f>IF($V1955="",N($AA1954),IF(MATCH($V1955,$V$6:$V$10005,0)=ROW()-5,N($AA1954)+1,N($AA1954)))</f>
        <v>0</v>
      </c>
    </row>
    <row r="1956" spans="1:27" ht="21" customHeight="1" x14ac:dyDescent="0.95">
      <c r="A1956" s="56"/>
      <c r="B1956" s="57"/>
      <c r="C1956" s="57"/>
      <c r="D1956" s="57"/>
      <c r="E1956" s="56"/>
      <c r="F1956" s="57"/>
      <c r="G1956" s="57"/>
      <c r="H1956" s="56"/>
      <c r="I1956" s="56"/>
      <c r="J1956" s="58"/>
      <c r="K1956" s="58"/>
      <c r="L1956" s="13" t="str">
        <f t="shared" si="300"/>
        <v/>
      </c>
      <c r="M1956" s="13" t="str">
        <f t="shared" si="301"/>
        <v/>
      </c>
      <c r="Q1956" t="str">
        <f t="shared" si="302"/>
        <v/>
      </c>
      <c r="R1956" t="str">
        <f t="shared" si="303"/>
        <v/>
      </c>
      <c r="S1956" t="str">
        <f t="shared" si="304"/>
        <v/>
      </c>
      <c r="T1956" t="str">
        <f t="shared" si="305"/>
        <v/>
      </c>
      <c r="U1956" t="str">
        <f t="shared" si="306"/>
        <v/>
      </c>
      <c r="V1956" t="str">
        <f t="shared" si="307"/>
        <v/>
      </c>
      <c r="W1956" t="str">
        <f t="shared" si="308"/>
        <v/>
      </c>
      <c r="X1956">
        <f>IF($T1956="",N($X1955),IF(MATCH($T1956,$T$6:$T$10005,0)=ROW()-5,N($X1955)+1,N($X1955)))</f>
        <v>0</v>
      </c>
      <c r="Z1956" t="str">
        <f t="shared" si="309"/>
        <v/>
      </c>
      <c r="AA1956">
        <f>IF($V1956="",N($AA1955),IF(MATCH($V1956,$V$6:$V$10005,0)=ROW()-5,N($AA1955)+1,N($AA1955)))</f>
        <v>0</v>
      </c>
    </row>
    <row r="1957" spans="1:27" ht="21" customHeight="1" x14ac:dyDescent="0.95">
      <c r="A1957" s="56"/>
      <c r="B1957" s="57"/>
      <c r="C1957" s="57"/>
      <c r="D1957" s="57"/>
      <c r="E1957" s="56"/>
      <c r="F1957" s="57"/>
      <c r="G1957" s="57"/>
      <c r="H1957" s="56"/>
      <c r="I1957" s="56"/>
      <c r="J1957" s="58"/>
      <c r="K1957" s="58"/>
      <c r="L1957" s="13" t="str">
        <f t="shared" si="300"/>
        <v/>
      </c>
      <c r="M1957" s="13" t="str">
        <f t="shared" si="301"/>
        <v/>
      </c>
      <c r="Q1957" t="str">
        <f t="shared" si="302"/>
        <v/>
      </c>
      <c r="R1957" t="str">
        <f t="shared" si="303"/>
        <v/>
      </c>
      <c r="S1957" t="str">
        <f t="shared" si="304"/>
        <v/>
      </c>
      <c r="T1957" t="str">
        <f t="shared" si="305"/>
        <v/>
      </c>
      <c r="U1957" t="str">
        <f t="shared" si="306"/>
        <v/>
      </c>
      <c r="V1957" t="str">
        <f t="shared" si="307"/>
        <v/>
      </c>
      <c r="W1957" t="str">
        <f t="shared" si="308"/>
        <v/>
      </c>
      <c r="X1957">
        <f>IF($T1957="",N($X1956),IF(MATCH($T1957,$T$6:$T$10005,0)=ROW()-5,N($X1956)+1,N($X1956)))</f>
        <v>0</v>
      </c>
      <c r="Z1957" t="str">
        <f t="shared" si="309"/>
        <v/>
      </c>
      <c r="AA1957">
        <f>IF($V1957="",N($AA1956),IF(MATCH($V1957,$V$6:$V$10005,0)=ROW()-5,N($AA1956)+1,N($AA1956)))</f>
        <v>0</v>
      </c>
    </row>
    <row r="1958" spans="1:27" ht="21" customHeight="1" x14ac:dyDescent="0.95">
      <c r="A1958" s="56"/>
      <c r="B1958" s="57"/>
      <c r="C1958" s="57"/>
      <c r="D1958" s="57"/>
      <c r="E1958" s="56"/>
      <c r="F1958" s="57"/>
      <c r="G1958" s="57"/>
      <c r="H1958" s="56"/>
      <c r="I1958" s="56"/>
      <c r="J1958" s="58"/>
      <c r="K1958" s="58"/>
      <c r="L1958" s="13" t="str">
        <f t="shared" si="300"/>
        <v/>
      </c>
      <c r="M1958" s="13" t="str">
        <f t="shared" si="301"/>
        <v/>
      </c>
      <c r="Q1958" t="str">
        <f t="shared" si="302"/>
        <v/>
      </c>
      <c r="R1958" t="str">
        <f t="shared" si="303"/>
        <v/>
      </c>
      <c r="S1958" t="str">
        <f t="shared" si="304"/>
        <v/>
      </c>
      <c r="T1958" t="str">
        <f t="shared" si="305"/>
        <v/>
      </c>
      <c r="U1958" t="str">
        <f t="shared" si="306"/>
        <v/>
      </c>
      <c r="V1958" t="str">
        <f t="shared" si="307"/>
        <v/>
      </c>
      <c r="W1958" t="str">
        <f t="shared" si="308"/>
        <v/>
      </c>
      <c r="X1958">
        <f>IF($T1958="",N($X1957),IF(MATCH($T1958,$T$6:$T$10005,0)=ROW()-5,N($X1957)+1,N($X1957)))</f>
        <v>0</v>
      </c>
      <c r="Z1958" t="str">
        <f t="shared" si="309"/>
        <v/>
      </c>
      <c r="AA1958">
        <f>IF($V1958="",N($AA1957),IF(MATCH($V1958,$V$6:$V$10005,0)=ROW()-5,N($AA1957)+1,N($AA1957)))</f>
        <v>0</v>
      </c>
    </row>
    <row r="1959" spans="1:27" ht="21" customHeight="1" x14ac:dyDescent="0.95">
      <c r="A1959" s="56"/>
      <c r="B1959" s="57"/>
      <c r="C1959" s="57"/>
      <c r="D1959" s="57"/>
      <c r="E1959" s="56"/>
      <c r="F1959" s="57"/>
      <c r="G1959" s="57"/>
      <c r="H1959" s="56"/>
      <c r="I1959" s="56"/>
      <c r="J1959" s="58"/>
      <c r="K1959" s="58"/>
      <c r="L1959" s="13" t="str">
        <f t="shared" si="300"/>
        <v/>
      </c>
      <c r="M1959" s="13" t="str">
        <f t="shared" si="301"/>
        <v/>
      </c>
      <c r="Q1959" t="str">
        <f t="shared" si="302"/>
        <v/>
      </c>
      <c r="R1959" t="str">
        <f t="shared" si="303"/>
        <v/>
      </c>
      <c r="S1959" t="str">
        <f t="shared" si="304"/>
        <v/>
      </c>
      <c r="T1959" t="str">
        <f t="shared" si="305"/>
        <v/>
      </c>
      <c r="U1959" t="str">
        <f t="shared" si="306"/>
        <v/>
      </c>
      <c r="V1959" t="str">
        <f t="shared" si="307"/>
        <v/>
      </c>
      <c r="W1959" t="str">
        <f t="shared" si="308"/>
        <v/>
      </c>
      <c r="X1959">
        <f>IF($T1959="",N($X1958),IF(MATCH($T1959,$T$6:$T$10005,0)=ROW()-5,N($X1958)+1,N($X1958)))</f>
        <v>0</v>
      </c>
      <c r="Z1959" t="str">
        <f t="shared" si="309"/>
        <v/>
      </c>
      <c r="AA1959">
        <f>IF($V1959="",N($AA1958),IF(MATCH($V1959,$V$6:$V$10005,0)=ROW()-5,N($AA1958)+1,N($AA1958)))</f>
        <v>0</v>
      </c>
    </row>
    <row r="1960" spans="1:27" ht="21" customHeight="1" x14ac:dyDescent="0.95">
      <c r="A1960" s="56"/>
      <c r="B1960" s="57"/>
      <c r="C1960" s="57"/>
      <c r="D1960" s="57"/>
      <c r="E1960" s="56"/>
      <c r="F1960" s="57"/>
      <c r="G1960" s="57"/>
      <c r="H1960" s="56"/>
      <c r="I1960" s="56"/>
      <c r="J1960" s="58"/>
      <c r="K1960" s="58"/>
      <c r="L1960" s="13" t="str">
        <f t="shared" si="300"/>
        <v/>
      </c>
      <c r="M1960" s="13" t="str">
        <f t="shared" si="301"/>
        <v/>
      </c>
      <c r="Q1960" t="str">
        <f t="shared" si="302"/>
        <v/>
      </c>
      <c r="R1960" t="str">
        <f t="shared" si="303"/>
        <v/>
      </c>
      <c r="S1960" t="str">
        <f t="shared" si="304"/>
        <v/>
      </c>
      <c r="T1960" t="str">
        <f t="shared" si="305"/>
        <v/>
      </c>
      <c r="U1960" t="str">
        <f t="shared" si="306"/>
        <v/>
      </c>
      <c r="V1960" t="str">
        <f t="shared" si="307"/>
        <v/>
      </c>
      <c r="W1960" t="str">
        <f t="shared" si="308"/>
        <v/>
      </c>
      <c r="X1960">
        <f>IF($T1960="",N($X1959),IF(MATCH($T1960,$T$6:$T$10005,0)=ROW()-5,N($X1959)+1,N($X1959)))</f>
        <v>0</v>
      </c>
      <c r="Z1960" t="str">
        <f t="shared" si="309"/>
        <v/>
      </c>
      <c r="AA1960">
        <f>IF($V1960="",N($AA1959),IF(MATCH($V1960,$V$6:$V$10005,0)=ROW()-5,N($AA1959)+1,N($AA1959)))</f>
        <v>0</v>
      </c>
    </row>
    <row r="1961" spans="1:27" ht="21" customHeight="1" x14ac:dyDescent="0.95">
      <c r="A1961" s="56"/>
      <c r="B1961" s="57"/>
      <c r="C1961" s="57"/>
      <c r="D1961" s="57"/>
      <c r="E1961" s="56"/>
      <c r="F1961" s="57"/>
      <c r="G1961" s="57"/>
      <c r="H1961" s="56"/>
      <c r="I1961" s="56"/>
      <c r="J1961" s="58"/>
      <c r="K1961" s="58"/>
      <c r="L1961" s="13" t="str">
        <f t="shared" si="300"/>
        <v/>
      </c>
      <c r="M1961" s="13" t="str">
        <f t="shared" si="301"/>
        <v/>
      </c>
      <c r="Q1961" t="str">
        <f t="shared" si="302"/>
        <v/>
      </c>
      <c r="R1961" t="str">
        <f t="shared" si="303"/>
        <v/>
      </c>
      <c r="S1961" t="str">
        <f t="shared" si="304"/>
        <v/>
      </c>
      <c r="T1961" t="str">
        <f t="shared" si="305"/>
        <v/>
      </c>
      <c r="U1961" t="str">
        <f t="shared" si="306"/>
        <v/>
      </c>
      <c r="V1961" t="str">
        <f t="shared" si="307"/>
        <v/>
      </c>
      <c r="W1961" t="str">
        <f t="shared" si="308"/>
        <v/>
      </c>
      <c r="X1961">
        <f>IF($T1961="",N($X1960),IF(MATCH($T1961,$T$6:$T$10005,0)=ROW()-5,N($X1960)+1,N($X1960)))</f>
        <v>0</v>
      </c>
      <c r="Z1961" t="str">
        <f t="shared" si="309"/>
        <v/>
      </c>
      <c r="AA1961">
        <f>IF($V1961="",N($AA1960),IF(MATCH($V1961,$V$6:$V$10005,0)=ROW()-5,N($AA1960)+1,N($AA1960)))</f>
        <v>0</v>
      </c>
    </row>
    <row r="1962" spans="1:27" ht="21" customHeight="1" x14ac:dyDescent="0.95">
      <c r="A1962" s="56"/>
      <c r="B1962" s="57"/>
      <c r="C1962" s="57"/>
      <c r="D1962" s="57"/>
      <c r="E1962" s="56"/>
      <c r="F1962" s="57"/>
      <c r="G1962" s="57"/>
      <c r="H1962" s="56"/>
      <c r="I1962" s="56"/>
      <c r="J1962" s="58"/>
      <c r="K1962" s="58"/>
      <c r="L1962" s="13" t="str">
        <f t="shared" si="300"/>
        <v/>
      </c>
      <c r="M1962" s="13" t="str">
        <f t="shared" si="301"/>
        <v/>
      </c>
      <c r="Q1962" t="str">
        <f t="shared" si="302"/>
        <v/>
      </c>
      <c r="R1962" t="str">
        <f t="shared" si="303"/>
        <v/>
      </c>
      <c r="S1962" t="str">
        <f t="shared" si="304"/>
        <v/>
      </c>
      <c r="T1962" t="str">
        <f t="shared" si="305"/>
        <v/>
      </c>
      <c r="U1962" t="str">
        <f t="shared" si="306"/>
        <v/>
      </c>
      <c r="V1962" t="str">
        <f t="shared" si="307"/>
        <v/>
      </c>
      <c r="W1962" t="str">
        <f t="shared" si="308"/>
        <v/>
      </c>
      <c r="X1962">
        <f>IF($T1962="",N($X1961),IF(MATCH($T1962,$T$6:$T$10005,0)=ROW()-5,N($X1961)+1,N($X1961)))</f>
        <v>0</v>
      </c>
      <c r="Z1962" t="str">
        <f t="shared" si="309"/>
        <v/>
      </c>
      <c r="AA1962">
        <f>IF($V1962="",N($AA1961),IF(MATCH($V1962,$V$6:$V$10005,0)=ROW()-5,N($AA1961)+1,N($AA1961)))</f>
        <v>0</v>
      </c>
    </row>
    <row r="1963" spans="1:27" ht="21" customHeight="1" x14ac:dyDescent="0.95">
      <c r="A1963" s="56"/>
      <c r="B1963" s="57"/>
      <c r="C1963" s="57"/>
      <c r="D1963" s="57"/>
      <c r="E1963" s="56"/>
      <c r="F1963" s="57"/>
      <c r="G1963" s="57"/>
      <c r="H1963" s="56"/>
      <c r="I1963" s="56"/>
      <c r="J1963" s="58"/>
      <c r="K1963" s="58"/>
      <c r="L1963" s="13" t="str">
        <f t="shared" si="300"/>
        <v/>
      </c>
      <c r="M1963" s="13" t="str">
        <f t="shared" si="301"/>
        <v/>
      </c>
      <c r="Q1963" t="str">
        <f t="shared" si="302"/>
        <v/>
      </c>
      <c r="R1963" t="str">
        <f t="shared" si="303"/>
        <v/>
      </c>
      <c r="S1963" t="str">
        <f t="shared" si="304"/>
        <v/>
      </c>
      <c r="T1963" t="str">
        <f t="shared" si="305"/>
        <v/>
      </c>
      <c r="U1963" t="str">
        <f t="shared" si="306"/>
        <v/>
      </c>
      <c r="V1963" t="str">
        <f t="shared" si="307"/>
        <v/>
      </c>
      <c r="W1963" t="str">
        <f t="shared" si="308"/>
        <v/>
      </c>
      <c r="X1963">
        <f>IF($T1963="",N($X1962),IF(MATCH($T1963,$T$6:$T$10005,0)=ROW()-5,N($X1962)+1,N($X1962)))</f>
        <v>0</v>
      </c>
      <c r="Z1963" t="str">
        <f t="shared" si="309"/>
        <v/>
      </c>
      <c r="AA1963">
        <f>IF($V1963="",N($AA1962),IF(MATCH($V1963,$V$6:$V$10005,0)=ROW()-5,N($AA1962)+1,N($AA1962)))</f>
        <v>0</v>
      </c>
    </row>
    <row r="1964" spans="1:27" ht="21" customHeight="1" x14ac:dyDescent="0.95">
      <c r="A1964" s="56"/>
      <c r="B1964" s="57"/>
      <c r="C1964" s="57"/>
      <c r="D1964" s="57"/>
      <c r="E1964" s="56"/>
      <c r="F1964" s="57"/>
      <c r="G1964" s="57"/>
      <c r="H1964" s="56"/>
      <c r="I1964" s="56"/>
      <c r="J1964" s="58"/>
      <c r="K1964" s="58"/>
      <c r="L1964" s="13" t="str">
        <f t="shared" si="300"/>
        <v/>
      </c>
      <c r="M1964" s="13" t="str">
        <f t="shared" si="301"/>
        <v/>
      </c>
      <c r="Q1964" t="str">
        <f t="shared" si="302"/>
        <v/>
      </c>
      <c r="R1964" t="str">
        <f t="shared" si="303"/>
        <v/>
      </c>
      <c r="S1964" t="str">
        <f t="shared" si="304"/>
        <v/>
      </c>
      <c r="T1964" t="str">
        <f t="shared" si="305"/>
        <v/>
      </c>
      <c r="U1964" t="str">
        <f t="shared" si="306"/>
        <v/>
      </c>
      <c r="V1964" t="str">
        <f t="shared" si="307"/>
        <v/>
      </c>
      <c r="W1964" t="str">
        <f t="shared" si="308"/>
        <v/>
      </c>
      <c r="X1964">
        <f>IF($T1964="",N($X1963),IF(MATCH($T1964,$T$6:$T$10005,0)=ROW()-5,N($X1963)+1,N($X1963)))</f>
        <v>0</v>
      </c>
      <c r="Z1964" t="str">
        <f t="shared" si="309"/>
        <v/>
      </c>
      <c r="AA1964">
        <f>IF($V1964="",N($AA1963),IF(MATCH($V1964,$V$6:$V$10005,0)=ROW()-5,N($AA1963)+1,N($AA1963)))</f>
        <v>0</v>
      </c>
    </row>
    <row r="1965" spans="1:27" ht="21" customHeight="1" x14ac:dyDescent="0.95">
      <c r="A1965" s="56"/>
      <c r="B1965" s="57"/>
      <c r="C1965" s="57"/>
      <c r="D1965" s="57"/>
      <c r="E1965" s="56"/>
      <c r="F1965" s="57"/>
      <c r="G1965" s="57"/>
      <c r="H1965" s="56"/>
      <c r="I1965" s="56"/>
      <c r="J1965" s="58"/>
      <c r="K1965" s="58"/>
      <c r="L1965" s="13" t="str">
        <f t="shared" si="300"/>
        <v/>
      </c>
      <c r="M1965" s="13" t="str">
        <f t="shared" si="301"/>
        <v/>
      </c>
      <c r="Q1965" t="str">
        <f t="shared" si="302"/>
        <v/>
      </c>
      <c r="R1965" t="str">
        <f t="shared" si="303"/>
        <v/>
      </c>
      <c r="S1965" t="str">
        <f t="shared" si="304"/>
        <v/>
      </c>
      <c r="T1965" t="str">
        <f t="shared" si="305"/>
        <v/>
      </c>
      <c r="U1965" t="str">
        <f t="shared" si="306"/>
        <v/>
      </c>
      <c r="V1965" t="str">
        <f t="shared" si="307"/>
        <v/>
      </c>
      <c r="W1965" t="str">
        <f t="shared" si="308"/>
        <v/>
      </c>
      <c r="X1965">
        <f>IF($T1965="",N($X1964),IF(MATCH($T1965,$T$6:$T$10005,0)=ROW()-5,N($X1964)+1,N($X1964)))</f>
        <v>0</v>
      </c>
      <c r="Z1965" t="str">
        <f t="shared" si="309"/>
        <v/>
      </c>
      <c r="AA1965">
        <f>IF($V1965="",N($AA1964),IF(MATCH($V1965,$V$6:$V$10005,0)=ROW()-5,N($AA1964)+1,N($AA1964)))</f>
        <v>0</v>
      </c>
    </row>
    <row r="1966" spans="1:27" ht="21" customHeight="1" x14ac:dyDescent="0.95">
      <c r="A1966" s="56"/>
      <c r="B1966" s="57"/>
      <c r="C1966" s="57"/>
      <c r="D1966" s="57"/>
      <c r="E1966" s="56"/>
      <c r="F1966" s="57"/>
      <c r="G1966" s="57"/>
      <c r="H1966" s="56"/>
      <c r="I1966" s="56"/>
      <c r="J1966" s="58"/>
      <c r="K1966" s="58"/>
      <c r="L1966" s="13" t="str">
        <f t="shared" si="300"/>
        <v/>
      </c>
      <c r="M1966" s="13" t="str">
        <f t="shared" si="301"/>
        <v/>
      </c>
      <c r="Q1966" t="str">
        <f t="shared" si="302"/>
        <v/>
      </c>
      <c r="R1966" t="str">
        <f t="shared" si="303"/>
        <v/>
      </c>
      <c r="S1966" t="str">
        <f t="shared" si="304"/>
        <v/>
      </c>
      <c r="T1966" t="str">
        <f t="shared" si="305"/>
        <v/>
      </c>
      <c r="U1966" t="str">
        <f t="shared" si="306"/>
        <v/>
      </c>
      <c r="V1966" t="str">
        <f t="shared" si="307"/>
        <v/>
      </c>
      <c r="W1966" t="str">
        <f t="shared" si="308"/>
        <v/>
      </c>
      <c r="X1966">
        <f>IF($T1966="",N($X1965),IF(MATCH($T1966,$T$6:$T$10005,0)=ROW()-5,N($X1965)+1,N($X1965)))</f>
        <v>0</v>
      </c>
      <c r="Z1966" t="str">
        <f t="shared" si="309"/>
        <v/>
      </c>
      <c r="AA1966">
        <f>IF($V1966="",N($AA1965),IF(MATCH($V1966,$V$6:$V$10005,0)=ROW()-5,N($AA1965)+1,N($AA1965)))</f>
        <v>0</v>
      </c>
    </row>
    <row r="1967" spans="1:27" ht="21" customHeight="1" x14ac:dyDescent="0.95">
      <c r="A1967" s="56"/>
      <c r="B1967" s="57"/>
      <c r="C1967" s="57"/>
      <c r="D1967" s="57"/>
      <c r="E1967" s="56"/>
      <c r="F1967" s="57"/>
      <c r="G1967" s="57"/>
      <c r="H1967" s="56"/>
      <c r="I1967" s="56"/>
      <c r="J1967" s="58"/>
      <c r="K1967" s="58"/>
      <c r="L1967" s="13" t="str">
        <f t="shared" si="300"/>
        <v/>
      </c>
      <c r="M1967" s="13" t="str">
        <f t="shared" si="301"/>
        <v/>
      </c>
      <c r="Q1967" t="str">
        <f t="shared" si="302"/>
        <v/>
      </c>
      <c r="R1967" t="str">
        <f t="shared" si="303"/>
        <v/>
      </c>
      <c r="S1967" t="str">
        <f t="shared" si="304"/>
        <v/>
      </c>
      <c r="T1967" t="str">
        <f t="shared" si="305"/>
        <v/>
      </c>
      <c r="U1967" t="str">
        <f t="shared" si="306"/>
        <v/>
      </c>
      <c r="V1967" t="str">
        <f t="shared" si="307"/>
        <v/>
      </c>
      <c r="W1967" t="str">
        <f t="shared" si="308"/>
        <v/>
      </c>
      <c r="X1967">
        <f>IF($T1967="",N($X1966),IF(MATCH($T1967,$T$6:$T$10005,0)=ROW()-5,N($X1966)+1,N($X1966)))</f>
        <v>0</v>
      </c>
      <c r="Z1967" t="str">
        <f t="shared" si="309"/>
        <v/>
      </c>
      <c r="AA1967">
        <f>IF($V1967="",N($AA1966),IF(MATCH($V1967,$V$6:$V$10005,0)=ROW()-5,N($AA1966)+1,N($AA1966)))</f>
        <v>0</v>
      </c>
    </row>
    <row r="1968" spans="1:27" ht="21" customHeight="1" x14ac:dyDescent="0.95">
      <c r="A1968" s="56"/>
      <c r="B1968" s="57"/>
      <c r="C1968" s="57"/>
      <c r="D1968" s="57"/>
      <c r="E1968" s="56"/>
      <c r="F1968" s="57"/>
      <c r="G1968" s="57"/>
      <c r="H1968" s="56"/>
      <c r="I1968" s="56"/>
      <c r="J1968" s="58"/>
      <c r="K1968" s="58"/>
      <c r="L1968" s="13" t="str">
        <f t="shared" si="300"/>
        <v/>
      </c>
      <c r="M1968" s="13" t="str">
        <f t="shared" si="301"/>
        <v/>
      </c>
      <c r="Q1968" t="str">
        <f t="shared" si="302"/>
        <v/>
      </c>
      <c r="R1968" t="str">
        <f t="shared" si="303"/>
        <v/>
      </c>
      <c r="S1968" t="str">
        <f t="shared" si="304"/>
        <v/>
      </c>
      <c r="T1968" t="str">
        <f t="shared" si="305"/>
        <v/>
      </c>
      <c r="U1968" t="str">
        <f t="shared" si="306"/>
        <v/>
      </c>
      <c r="V1968" t="str">
        <f t="shared" si="307"/>
        <v/>
      </c>
      <c r="W1968" t="str">
        <f t="shared" si="308"/>
        <v/>
      </c>
      <c r="X1968">
        <f>IF($T1968="",N($X1967),IF(MATCH($T1968,$T$6:$T$10005,0)=ROW()-5,N($X1967)+1,N($X1967)))</f>
        <v>0</v>
      </c>
      <c r="Z1968" t="str">
        <f t="shared" si="309"/>
        <v/>
      </c>
      <c r="AA1968">
        <f>IF($V1968="",N($AA1967),IF(MATCH($V1968,$V$6:$V$10005,0)=ROW()-5,N($AA1967)+1,N($AA1967)))</f>
        <v>0</v>
      </c>
    </row>
    <row r="1969" spans="1:27" ht="21" customHeight="1" x14ac:dyDescent="0.95">
      <c r="A1969" s="56"/>
      <c r="B1969" s="57"/>
      <c r="C1969" s="57"/>
      <c r="D1969" s="57"/>
      <c r="E1969" s="56"/>
      <c r="F1969" s="57"/>
      <c r="G1969" s="57"/>
      <c r="H1969" s="56"/>
      <c r="I1969" s="56"/>
      <c r="J1969" s="58"/>
      <c r="K1969" s="58"/>
      <c r="L1969" s="13" t="str">
        <f t="shared" si="300"/>
        <v/>
      </c>
      <c r="M1969" s="13" t="str">
        <f t="shared" si="301"/>
        <v/>
      </c>
      <c r="Q1969" t="str">
        <f t="shared" si="302"/>
        <v/>
      </c>
      <c r="R1969" t="str">
        <f t="shared" si="303"/>
        <v/>
      </c>
      <c r="S1969" t="str">
        <f t="shared" si="304"/>
        <v/>
      </c>
      <c r="T1969" t="str">
        <f t="shared" si="305"/>
        <v/>
      </c>
      <c r="U1969" t="str">
        <f t="shared" si="306"/>
        <v/>
      </c>
      <c r="V1969" t="str">
        <f t="shared" si="307"/>
        <v/>
      </c>
      <c r="W1969" t="str">
        <f t="shared" si="308"/>
        <v/>
      </c>
      <c r="X1969">
        <f>IF($T1969="",N($X1968),IF(MATCH($T1969,$T$6:$T$10005,0)=ROW()-5,N($X1968)+1,N($X1968)))</f>
        <v>0</v>
      </c>
      <c r="Z1969" t="str">
        <f t="shared" si="309"/>
        <v/>
      </c>
      <c r="AA1969">
        <f>IF($V1969="",N($AA1968),IF(MATCH($V1969,$V$6:$V$10005,0)=ROW()-5,N($AA1968)+1,N($AA1968)))</f>
        <v>0</v>
      </c>
    </row>
    <row r="1970" spans="1:27" ht="21" customHeight="1" x14ac:dyDescent="0.95">
      <c r="A1970" s="56"/>
      <c r="B1970" s="57"/>
      <c r="C1970" s="57"/>
      <c r="D1970" s="57"/>
      <c r="E1970" s="56"/>
      <c r="F1970" s="57"/>
      <c r="G1970" s="57"/>
      <c r="H1970" s="56"/>
      <c r="I1970" s="56"/>
      <c r="J1970" s="58"/>
      <c r="K1970" s="58"/>
      <c r="L1970" s="13" t="str">
        <f t="shared" si="300"/>
        <v/>
      </c>
      <c r="M1970" s="13" t="str">
        <f t="shared" si="301"/>
        <v/>
      </c>
      <c r="Q1970" t="str">
        <f t="shared" si="302"/>
        <v/>
      </c>
      <c r="R1970" t="str">
        <f t="shared" si="303"/>
        <v/>
      </c>
      <c r="S1970" t="str">
        <f t="shared" si="304"/>
        <v/>
      </c>
      <c r="T1970" t="str">
        <f t="shared" si="305"/>
        <v/>
      </c>
      <c r="U1970" t="str">
        <f t="shared" si="306"/>
        <v/>
      </c>
      <c r="V1970" t="str">
        <f t="shared" si="307"/>
        <v/>
      </c>
      <c r="W1970" t="str">
        <f t="shared" si="308"/>
        <v/>
      </c>
      <c r="X1970">
        <f>IF($T1970="",N($X1969),IF(MATCH($T1970,$T$6:$T$10005,0)=ROW()-5,N($X1969)+1,N($X1969)))</f>
        <v>0</v>
      </c>
      <c r="Z1970" t="str">
        <f t="shared" si="309"/>
        <v/>
      </c>
      <c r="AA1970">
        <f>IF($V1970="",N($AA1969),IF(MATCH($V1970,$V$6:$V$10005,0)=ROW()-5,N($AA1969)+1,N($AA1969)))</f>
        <v>0</v>
      </c>
    </row>
    <row r="1971" spans="1:27" ht="21" customHeight="1" x14ac:dyDescent="0.95">
      <c r="A1971" s="56"/>
      <c r="B1971" s="57"/>
      <c r="C1971" s="57"/>
      <c r="D1971" s="57"/>
      <c r="E1971" s="56"/>
      <c r="F1971" s="57"/>
      <c r="G1971" s="57"/>
      <c r="H1971" s="56"/>
      <c r="I1971" s="56"/>
      <c r="J1971" s="58"/>
      <c r="K1971" s="58"/>
      <c r="L1971" s="13" t="str">
        <f t="shared" si="300"/>
        <v/>
      </c>
      <c r="M1971" s="13" t="str">
        <f t="shared" si="301"/>
        <v/>
      </c>
      <c r="Q1971" t="str">
        <f t="shared" si="302"/>
        <v/>
      </c>
      <c r="R1971" t="str">
        <f t="shared" si="303"/>
        <v/>
      </c>
      <c r="S1971" t="str">
        <f t="shared" si="304"/>
        <v/>
      </c>
      <c r="T1971" t="str">
        <f t="shared" si="305"/>
        <v/>
      </c>
      <c r="U1971" t="str">
        <f t="shared" si="306"/>
        <v/>
      </c>
      <c r="V1971" t="str">
        <f t="shared" si="307"/>
        <v/>
      </c>
      <c r="W1971" t="str">
        <f t="shared" si="308"/>
        <v/>
      </c>
      <c r="X1971">
        <f>IF($T1971="",N($X1970),IF(MATCH($T1971,$T$6:$T$10005,0)=ROW()-5,N($X1970)+1,N($X1970)))</f>
        <v>0</v>
      </c>
      <c r="Z1971" t="str">
        <f t="shared" si="309"/>
        <v/>
      </c>
      <c r="AA1971">
        <f>IF($V1971="",N($AA1970),IF(MATCH($V1971,$V$6:$V$10005,0)=ROW()-5,N($AA1970)+1,N($AA1970)))</f>
        <v>0</v>
      </c>
    </row>
    <row r="1972" spans="1:27" ht="21" customHeight="1" x14ac:dyDescent="0.95">
      <c r="A1972" s="56"/>
      <c r="B1972" s="57"/>
      <c r="C1972" s="57"/>
      <c r="D1972" s="57"/>
      <c r="E1972" s="56"/>
      <c r="F1972" s="57"/>
      <c r="G1972" s="57"/>
      <c r="H1972" s="56"/>
      <c r="I1972" s="56"/>
      <c r="J1972" s="58"/>
      <c r="K1972" s="58"/>
      <c r="L1972" s="13" t="str">
        <f t="shared" si="300"/>
        <v/>
      </c>
      <c r="M1972" s="13" t="str">
        <f t="shared" si="301"/>
        <v/>
      </c>
      <c r="Q1972" t="str">
        <f t="shared" si="302"/>
        <v/>
      </c>
      <c r="R1972" t="str">
        <f t="shared" si="303"/>
        <v/>
      </c>
      <c r="S1972" t="str">
        <f t="shared" si="304"/>
        <v/>
      </c>
      <c r="T1972" t="str">
        <f t="shared" si="305"/>
        <v/>
      </c>
      <c r="U1972" t="str">
        <f t="shared" si="306"/>
        <v/>
      </c>
      <c r="V1972" t="str">
        <f t="shared" si="307"/>
        <v/>
      </c>
      <c r="W1972" t="str">
        <f t="shared" si="308"/>
        <v/>
      </c>
      <c r="X1972">
        <f>IF($T1972="",N($X1971),IF(MATCH($T1972,$T$6:$T$10005,0)=ROW()-5,N($X1971)+1,N($X1971)))</f>
        <v>0</v>
      </c>
      <c r="Z1972" t="str">
        <f t="shared" si="309"/>
        <v/>
      </c>
      <c r="AA1972">
        <f>IF($V1972="",N($AA1971),IF(MATCH($V1972,$V$6:$V$10005,0)=ROW()-5,N($AA1971)+1,N($AA1971)))</f>
        <v>0</v>
      </c>
    </row>
    <row r="1973" spans="1:27" ht="21" customHeight="1" x14ac:dyDescent="0.95">
      <c r="A1973" s="56"/>
      <c r="B1973" s="57"/>
      <c r="C1973" s="57"/>
      <c r="D1973" s="57"/>
      <c r="E1973" s="56"/>
      <c r="F1973" s="57"/>
      <c r="G1973" s="57"/>
      <c r="H1973" s="56"/>
      <c r="I1973" s="56"/>
      <c r="J1973" s="58"/>
      <c r="K1973" s="58"/>
      <c r="L1973" s="13" t="str">
        <f t="shared" si="300"/>
        <v/>
      </c>
      <c r="M1973" s="13" t="str">
        <f t="shared" si="301"/>
        <v/>
      </c>
      <c r="Q1973" t="str">
        <f t="shared" si="302"/>
        <v/>
      </c>
      <c r="R1973" t="str">
        <f t="shared" si="303"/>
        <v/>
      </c>
      <c r="S1973" t="str">
        <f t="shared" si="304"/>
        <v/>
      </c>
      <c r="T1973" t="str">
        <f t="shared" si="305"/>
        <v/>
      </c>
      <c r="U1973" t="str">
        <f t="shared" si="306"/>
        <v/>
      </c>
      <c r="V1973" t="str">
        <f t="shared" si="307"/>
        <v/>
      </c>
      <c r="W1973" t="str">
        <f t="shared" si="308"/>
        <v/>
      </c>
      <c r="X1973">
        <f>IF($T1973="",N($X1972),IF(MATCH($T1973,$T$6:$T$10005,0)=ROW()-5,N($X1972)+1,N($X1972)))</f>
        <v>0</v>
      </c>
      <c r="Z1973" t="str">
        <f t="shared" si="309"/>
        <v/>
      </c>
      <c r="AA1973">
        <f>IF($V1973="",N($AA1972),IF(MATCH($V1973,$V$6:$V$10005,0)=ROW()-5,N($AA1972)+1,N($AA1972)))</f>
        <v>0</v>
      </c>
    </row>
    <row r="1974" spans="1:27" ht="21" customHeight="1" x14ac:dyDescent="0.95">
      <c r="A1974" s="56"/>
      <c r="B1974" s="57"/>
      <c r="C1974" s="57"/>
      <c r="D1974" s="57"/>
      <c r="E1974" s="56"/>
      <c r="F1974" s="57"/>
      <c r="G1974" s="57"/>
      <c r="H1974" s="56"/>
      <c r="I1974" s="56"/>
      <c r="J1974" s="58"/>
      <c r="K1974" s="58"/>
      <c r="L1974" s="13" t="str">
        <f t="shared" si="300"/>
        <v/>
      </c>
      <c r="M1974" s="13" t="str">
        <f t="shared" si="301"/>
        <v/>
      </c>
      <c r="Q1974" t="str">
        <f t="shared" si="302"/>
        <v/>
      </c>
      <c r="R1974" t="str">
        <f t="shared" si="303"/>
        <v/>
      </c>
      <c r="S1974" t="str">
        <f t="shared" si="304"/>
        <v/>
      </c>
      <c r="T1974" t="str">
        <f t="shared" si="305"/>
        <v/>
      </c>
      <c r="U1974" t="str">
        <f t="shared" si="306"/>
        <v/>
      </c>
      <c r="V1974" t="str">
        <f t="shared" si="307"/>
        <v/>
      </c>
      <c r="W1974" t="str">
        <f t="shared" si="308"/>
        <v/>
      </c>
      <c r="X1974">
        <f>IF($T1974="",N($X1973),IF(MATCH($T1974,$T$6:$T$10005,0)=ROW()-5,N($X1973)+1,N($X1973)))</f>
        <v>0</v>
      </c>
      <c r="Z1974" t="str">
        <f t="shared" si="309"/>
        <v/>
      </c>
      <c r="AA1974">
        <f>IF($V1974="",N($AA1973),IF(MATCH($V1974,$V$6:$V$10005,0)=ROW()-5,N($AA1973)+1,N($AA1973)))</f>
        <v>0</v>
      </c>
    </row>
    <row r="1975" spans="1:27" ht="21" customHeight="1" x14ac:dyDescent="0.95">
      <c r="A1975" s="56"/>
      <c r="B1975" s="57"/>
      <c r="C1975" s="57"/>
      <c r="D1975" s="57"/>
      <c r="E1975" s="56"/>
      <c r="F1975" s="57"/>
      <c r="G1975" s="57"/>
      <c r="H1975" s="56"/>
      <c r="I1975" s="56"/>
      <c r="J1975" s="58"/>
      <c r="K1975" s="58"/>
      <c r="L1975" s="13" t="str">
        <f t="shared" si="300"/>
        <v/>
      </c>
      <c r="M1975" s="13" t="str">
        <f t="shared" si="301"/>
        <v/>
      </c>
      <c r="Q1975" t="str">
        <f t="shared" si="302"/>
        <v/>
      </c>
      <c r="R1975" t="str">
        <f t="shared" si="303"/>
        <v/>
      </c>
      <c r="S1975" t="str">
        <f t="shared" si="304"/>
        <v/>
      </c>
      <c r="T1975" t="str">
        <f t="shared" si="305"/>
        <v/>
      </c>
      <c r="U1975" t="str">
        <f t="shared" si="306"/>
        <v/>
      </c>
      <c r="V1975" t="str">
        <f t="shared" si="307"/>
        <v/>
      </c>
      <c r="W1975" t="str">
        <f t="shared" si="308"/>
        <v/>
      </c>
      <c r="X1975">
        <f>IF($T1975="",N($X1974),IF(MATCH($T1975,$T$6:$T$10005,0)=ROW()-5,N($X1974)+1,N($X1974)))</f>
        <v>0</v>
      </c>
      <c r="Z1975" t="str">
        <f t="shared" si="309"/>
        <v/>
      </c>
      <c r="AA1975">
        <f>IF($V1975="",N($AA1974),IF(MATCH($V1975,$V$6:$V$10005,0)=ROW()-5,N($AA1974)+1,N($AA1974)))</f>
        <v>0</v>
      </c>
    </row>
    <row r="1976" spans="1:27" ht="21" customHeight="1" x14ac:dyDescent="0.95">
      <c r="A1976" s="56"/>
      <c r="B1976" s="57"/>
      <c r="C1976" s="57"/>
      <c r="D1976" s="57"/>
      <c r="E1976" s="56"/>
      <c r="F1976" s="57"/>
      <c r="G1976" s="57"/>
      <c r="H1976" s="56"/>
      <c r="I1976" s="56"/>
      <c r="J1976" s="58"/>
      <c r="K1976" s="58"/>
      <c r="L1976" s="13" t="str">
        <f t="shared" si="300"/>
        <v/>
      </c>
      <c r="M1976" s="13" t="str">
        <f t="shared" si="301"/>
        <v/>
      </c>
      <c r="Q1976" t="str">
        <f t="shared" si="302"/>
        <v/>
      </c>
      <c r="R1976" t="str">
        <f t="shared" si="303"/>
        <v/>
      </c>
      <c r="S1976" t="str">
        <f t="shared" si="304"/>
        <v/>
      </c>
      <c r="T1976" t="str">
        <f t="shared" si="305"/>
        <v/>
      </c>
      <c r="U1976" t="str">
        <f t="shared" si="306"/>
        <v/>
      </c>
      <c r="V1976" t="str">
        <f t="shared" si="307"/>
        <v/>
      </c>
      <c r="W1976" t="str">
        <f t="shared" si="308"/>
        <v/>
      </c>
      <c r="X1976">
        <f>IF($T1976="",N($X1975),IF(MATCH($T1976,$T$6:$T$10005,0)=ROW()-5,N($X1975)+1,N($X1975)))</f>
        <v>0</v>
      </c>
      <c r="Z1976" t="str">
        <f t="shared" si="309"/>
        <v/>
      </c>
      <c r="AA1976">
        <f>IF($V1976="",N($AA1975),IF(MATCH($V1976,$V$6:$V$10005,0)=ROW()-5,N($AA1975)+1,N($AA1975)))</f>
        <v>0</v>
      </c>
    </row>
    <row r="1977" spans="1:27" ht="21" customHeight="1" x14ac:dyDescent="0.95">
      <c r="A1977" s="56"/>
      <c r="B1977" s="57"/>
      <c r="C1977" s="57"/>
      <c r="D1977" s="57"/>
      <c r="E1977" s="56"/>
      <c r="F1977" s="57"/>
      <c r="G1977" s="57"/>
      <c r="H1977" s="56"/>
      <c r="I1977" s="56"/>
      <c r="J1977" s="58"/>
      <c r="K1977" s="58"/>
      <c r="L1977" s="13" t="str">
        <f t="shared" si="300"/>
        <v/>
      </c>
      <c r="M1977" s="13" t="str">
        <f t="shared" si="301"/>
        <v/>
      </c>
      <c r="Q1977" t="str">
        <f t="shared" si="302"/>
        <v/>
      </c>
      <c r="R1977" t="str">
        <f t="shared" si="303"/>
        <v/>
      </c>
      <c r="S1977" t="str">
        <f t="shared" si="304"/>
        <v/>
      </c>
      <c r="T1977" t="str">
        <f t="shared" si="305"/>
        <v/>
      </c>
      <c r="U1977" t="str">
        <f t="shared" si="306"/>
        <v/>
      </c>
      <c r="V1977" t="str">
        <f t="shared" si="307"/>
        <v/>
      </c>
      <c r="W1977" t="str">
        <f t="shared" si="308"/>
        <v/>
      </c>
      <c r="X1977">
        <f>IF($T1977="",N($X1976),IF(MATCH($T1977,$T$6:$T$10005,0)=ROW()-5,N($X1976)+1,N($X1976)))</f>
        <v>0</v>
      </c>
      <c r="Z1977" t="str">
        <f t="shared" si="309"/>
        <v/>
      </c>
      <c r="AA1977">
        <f>IF($V1977="",N($AA1976),IF(MATCH($V1977,$V$6:$V$10005,0)=ROW()-5,N($AA1976)+1,N($AA1976)))</f>
        <v>0</v>
      </c>
    </row>
    <row r="1978" spans="1:27" ht="21" customHeight="1" x14ac:dyDescent="0.95">
      <c r="A1978" s="56"/>
      <c r="B1978" s="57"/>
      <c r="C1978" s="57"/>
      <c r="D1978" s="57"/>
      <c r="E1978" s="56"/>
      <c r="F1978" s="57"/>
      <c r="G1978" s="57"/>
      <c r="H1978" s="56"/>
      <c r="I1978" s="56"/>
      <c r="J1978" s="58"/>
      <c r="K1978" s="58"/>
      <c r="L1978" s="13" t="str">
        <f t="shared" si="300"/>
        <v/>
      </c>
      <c r="M1978" s="13" t="str">
        <f t="shared" si="301"/>
        <v/>
      </c>
      <c r="Q1978" t="str">
        <f t="shared" si="302"/>
        <v/>
      </c>
      <c r="R1978" t="str">
        <f t="shared" si="303"/>
        <v/>
      </c>
      <c r="S1978" t="str">
        <f t="shared" si="304"/>
        <v/>
      </c>
      <c r="T1978" t="str">
        <f t="shared" si="305"/>
        <v/>
      </c>
      <c r="U1978" t="str">
        <f t="shared" si="306"/>
        <v/>
      </c>
      <c r="V1978" t="str">
        <f t="shared" si="307"/>
        <v/>
      </c>
      <c r="W1978" t="str">
        <f t="shared" si="308"/>
        <v/>
      </c>
      <c r="X1978">
        <f>IF($T1978="",N($X1977),IF(MATCH($T1978,$T$6:$T$10005,0)=ROW()-5,N($X1977)+1,N($X1977)))</f>
        <v>0</v>
      </c>
      <c r="Z1978" t="str">
        <f t="shared" si="309"/>
        <v/>
      </c>
      <c r="AA1978">
        <f>IF($V1978="",N($AA1977),IF(MATCH($V1978,$V$6:$V$10005,0)=ROW()-5,N($AA1977)+1,N($AA1977)))</f>
        <v>0</v>
      </c>
    </row>
    <row r="1979" spans="1:27" ht="21" customHeight="1" x14ac:dyDescent="0.95">
      <c r="A1979" s="56"/>
      <c r="B1979" s="57"/>
      <c r="C1979" s="57"/>
      <c r="D1979" s="57"/>
      <c r="E1979" s="56"/>
      <c r="F1979" s="57"/>
      <c r="G1979" s="57"/>
      <c r="H1979" s="56"/>
      <c r="I1979" s="56"/>
      <c r="J1979" s="58"/>
      <c r="K1979" s="58"/>
      <c r="L1979" s="13" t="str">
        <f t="shared" si="300"/>
        <v/>
      </c>
      <c r="M1979" s="13" t="str">
        <f t="shared" si="301"/>
        <v/>
      </c>
      <c r="Q1979" t="str">
        <f t="shared" si="302"/>
        <v/>
      </c>
      <c r="R1979" t="str">
        <f t="shared" si="303"/>
        <v/>
      </c>
      <c r="S1979" t="str">
        <f t="shared" si="304"/>
        <v/>
      </c>
      <c r="T1979" t="str">
        <f t="shared" si="305"/>
        <v/>
      </c>
      <c r="U1979" t="str">
        <f t="shared" si="306"/>
        <v/>
      </c>
      <c r="V1979" t="str">
        <f t="shared" si="307"/>
        <v/>
      </c>
      <c r="W1979" t="str">
        <f t="shared" si="308"/>
        <v/>
      </c>
      <c r="X1979">
        <f>IF($T1979="",N($X1978),IF(MATCH($T1979,$T$6:$T$10005,0)=ROW()-5,N($X1978)+1,N($X1978)))</f>
        <v>0</v>
      </c>
      <c r="Z1979" t="str">
        <f t="shared" si="309"/>
        <v/>
      </c>
      <c r="AA1979">
        <f>IF($V1979="",N($AA1978),IF(MATCH($V1979,$V$6:$V$10005,0)=ROW()-5,N($AA1978)+1,N($AA1978)))</f>
        <v>0</v>
      </c>
    </row>
    <row r="1980" spans="1:27" ht="21" customHeight="1" x14ac:dyDescent="0.95">
      <c r="A1980" s="56"/>
      <c r="B1980" s="57"/>
      <c r="C1980" s="57"/>
      <c r="D1980" s="57"/>
      <c r="E1980" s="56"/>
      <c r="F1980" s="57"/>
      <c r="G1980" s="57"/>
      <c r="H1980" s="56"/>
      <c r="I1980" s="56"/>
      <c r="J1980" s="58"/>
      <c r="K1980" s="58"/>
      <c r="L1980" s="13" t="str">
        <f t="shared" si="300"/>
        <v/>
      </c>
      <c r="M1980" s="13" t="str">
        <f t="shared" si="301"/>
        <v/>
      </c>
      <c r="Q1980" t="str">
        <f t="shared" si="302"/>
        <v/>
      </c>
      <c r="R1980" t="str">
        <f t="shared" si="303"/>
        <v/>
      </c>
      <c r="S1980" t="str">
        <f t="shared" si="304"/>
        <v/>
      </c>
      <c r="T1980" t="str">
        <f t="shared" si="305"/>
        <v/>
      </c>
      <c r="U1980" t="str">
        <f t="shared" si="306"/>
        <v/>
      </c>
      <c r="V1980" t="str">
        <f t="shared" si="307"/>
        <v/>
      </c>
      <c r="W1980" t="str">
        <f t="shared" si="308"/>
        <v/>
      </c>
      <c r="X1980">
        <f>IF($T1980="",N($X1979),IF(MATCH($T1980,$T$6:$T$10005,0)=ROW()-5,N($X1979)+1,N($X1979)))</f>
        <v>0</v>
      </c>
      <c r="Z1980" t="str">
        <f t="shared" si="309"/>
        <v/>
      </c>
      <c r="AA1980">
        <f>IF($V1980="",N($AA1979),IF(MATCH($V1980,$V$6:$V$10005,0)=ROW()-5,N($AA1979)+1,N($AA1979)))</f>
        <v>0</v>
      </c>
    </row>
    <row r="1981" spans="1:27" ht="21" customHeight="1" x14ac:dyDescent="0.95">
      <c r="A1981" s="56"/>
      <c r="B1981" s="57"/>
      <c r="C1981" s="57"/>
      <c r="D1981" s="57"/>
      <c r="E1981" s="56"/>
      <c r="F1981" s="57"/>
      <c r="G1981" s="57"/>
      <c r="H1981" s="56"/>
      <c r="I1981" s="56"/>
      <c r="J1981" s="58"/>
      <c r="K1981" s="58"/>
      <c r="L1981" s="13" t="str">
        <f t="shared" si="300"/>
        <v/>
      </c>
      <c r="M1981" s="13" t="str">
        <f t="shared" si="301"/>
        <v/>
      </c>
      <c r="Q1981" t="str">
        <f t="shared" si="302"/>
        <v/>
      </c>
      <c r="R1981" t="str">
        <f t="shared" si="303"/>
        <v/>
      </c>
      <c r="S1981" t="str">
        <f t="shared" si="304"/>
        <v/>
      </c>
      <c r="T1981" t="str">
        <f t="shared" si="305"/>
        <v/>
      </c>
      <c r="U1981" t="str">
        <f t="shared" si="306"/>
        <v/>
      </c>
      <c r="V1981" t="str">
        <f t="shared" si="307"/>
        <v/>
      </c>
      <c r="W1981" t="str">
        <f t="shared" si="308"/>
        <v/>
      </c>
      <c r="X1981">
        <f>IF($T1981="",N($X1980),IF(MATCH($T1981,$T$6:$T$10005,0)=ROW()-5,N($X1980)+1,N($X1980)))</f>
        <v>0</v>
      </c>
      <c r="Z1981" t="str">
        <f t="shared" si="309"/>
        <v/>
      </c>
      <c r="AA1981">
        <f>IF($V1981="",N($AA1980),IF(MATCH($V1981,$V$6:$V$10005,0)=ROW()-5,N($AA1980)+1,N($AA1980)))</f>
        <v>0</v>
      </c>
    </row>
    <row r="1982" spans="1:27" ht="21" customHeight="1" x14ac:dyDescent="0.95">
      <c r="A1982" s="56"/>
      <c r="B1982" s="57"/>
      <c r="C1982" s="57"/>
      <c r="D1982" s="57"/>
      <c r="E1982" s="56"/>
      <c r="F1982" s="57"/>
      <c r="G1982" s="57"/>
      <c r="H1982" s="56"/>
      <c r="I1982" s="56"/>
      <c r="J1982" s="58"/>
      <c r="K1982" s="58"/>
      <c r="L1982" s="13" t="str">
        <f t="shared" si="300"/>
        <v/>
      </c>
      <c r="M1982" s="13" t="str">
        <f t="shared" si="301"/>
        <v/>
      </c>
      <c r="Q1982" t="str">
        <f t="shared" si="302"/>
        <v/>
      </c>
      <c r="R1982" t="str">
        <f t="shared" si="303"/>
        <v/>
      </c>
      <c r="S1982" t="str">
        <f t="shared" si="304"/>
        <v/>
      </c>
      <c r="T1982" t="str">
        <f t="shared" si="305"/>
        <v/>
      </c>
      <c r="U1982" t="str">
        <f t="shared" si="306"/>
        <v/>
      </c>
      <c r="V1982" t="str">
        <f t="shared" si="307"/>
        <v/>
      </c>
      <c r="W1982" t="str">
        <f t="shared" si="308"/>
        <v/>
      </c>
      <c r="X1982">
        <f>IF($T1982="",N($X1981),IF(MATCH($T1982,$T$6:$T$10005,0)=ROW()-5,N($X1981)+1,N($X1981)))</f>
        <v>0</v>
      </c>
      <c r="Z1982" t="str">
        <f t="shared" si="309"/>
        <v/>
      </c>
      <c r="AA1982">
        <f>IF($V1982="",N($AA1981),IF(MATCH($V1982,$V$6:$V$10005,0)=ROW()-5,N($AA1981)+1,N($AA1981)))</f>
        <v>0</v>
      </c>
    </row>
    <row r="1983" spans="1:27" ht="21" customHeight="1" x14ac:dyDescent="0.95">
      <c r="A1983" s="56"/>
      <c r="B1983" s="57"/>
      <c r="C1983" s="57"/>
      <c r="D1983" s="57"/>
      <c r="E1983" s="56"/>
      <c r="F1983" s="57"/>
      <c r="G1983" s="57"/>
      <c r="H1983" s="56"/>
      <c r="I1983" s="56"/>
      <c r="J1983" s="58"/>
      <c r="K1983" s="58"/>
      <c r="L1983" s="13" t="str">
        <f t="shared" si="300"/>
        <v/>
      </c>
      <c r="M1983" s="13" t="str">
        <f t="shared" si="301"/>
        <v/>
      </c>
      <c r="Q1983" t="str">
        <f t="shared" si="302"/>
        <v/>
      </c>
      <c r="R1983" t="str">
        <f t="shared" si="303"/>
        <v/>
      </c>
      <c r="S1983" t="str">
        <f t="shared" si="304"/>
        <v/>
      </c>
      <c r="T1983" t="str">
        <f t="shared" si="305"/>
        <v/>
      </c>
      <c r="U1983" t="str">
        <f t="shared" si="306"/>
        <v/>
      </c>
      <c r="V1983" t="str">
        <f t="shared" si="307"/>
        <v/>
      </c>
      <c r="W1983" t="str">
        <f t="shared" si="308"/>
        <v/>
      </c>
      <c r="X1983">
        <f>IF($T1983="",N($X1982),IF(MATCH($T1983,$T$6:$T$10005,0)=ROW()-5,N($X1982)+1,N($X1982)))</f>
        <v>0</v>
      </c>
      <c r="Z1983" t="str">
        <f t="shared" si="309"/>
        <v/>
      </c>
      <c r="AA1983">
        <f>IF($V1983="",N($AA1982),IF(MATCH($V1983,$V$6:$V$10005,0)=ROW()-5,N($AA1982)+1,N($AA1982)))</f>
        <v>0</v>
      </c>
    </row>
    <row r="1984" spans="1:27" ht="21" customHeight="1" x14ac:dyDescent="0.95">
      <c r="A1984" s="56"/>
      <c r="B1984" s="57"/>
      <c r="C1984" s="57"/>
      <c r="D1984" s="57"/>
      <c r="E1984" s="56"/>
      <c r="F1984" s="57"/>
      <c r="G1984" s="57"/>
      <c r="H1984" s="56"/>
      <c r="I1984" s="56"/>
      <c r="J1984" s="58"/>
      <c r="K1984" s="58"/>
      <c r="L1984" s="13" t="str">
        <f t="shared" si="300"/>
        <v/>
      </c>
      <c r="M1984" s="13" t="str">
        <f t="shared" si="301"/>
        <v/>
      </c>
      <c r="Q1984" t="str">
        <f t="shared" si="302"/>
        <v/>
      </c>
      <c r="R1984" t="str">
        <f t="shared" si="303"/>
        <v/>
      </c>
      <c r="S1984" t="str">
        <f t="shared" si="304"/>
        <v/>
      </c>
      <c r="T1984" t="str">
        <f t="shared" si="305"/>
        <v/>
      </c>
      <c r="U1984" t="str">
        <f t="shared" si="306"/>
        <v/>
      </c>
      <c r="V1984" t="str">
        <f t="shared" si="307"/>
        <v/>
      </c>
      <c r="W1984" t="str">
        <f t="shared" si="308"/>
        <v/>
      </c>
      <c r="X1984">
        <f>IF($T1984="",N($X1983),IF(MATCH($T1984,$T$6:$T$10005,0)=ROW()-5,N($X1983)+1,N($X1983)))</f>
        <v>0</v>
      </c>
      <c r="Z1984" t="str">
        <f t="shared" si="309"/>
        <v/>
      </c>
      <c r="AA1984">
        <f>IF($V1984="",N($AA1983),IF(MATCH($V1984,$V$6:$V$10005,0)=ROW()-5,N($AA1983)+1,N($AA1983)))</f>
        <v>0</v>
      </c>
    </row>
    <row r="1985" spans="1:27" ht="21" customHeight="1" x14ac:dyDescent="0.95">
      <c r="A1985" s="56"/>
      <c r="B1985" s="57"/>
      <c r="C1985" s="57"/>
      <c r="D1985" s="57"/>
      <c r="E1985" s="56"/>
      <c r="F1985" s="57"/>
      <c r="G1985" s="57"/>
      <c r="H1985" s="56"/>
      <c r="I1985" s="56"/>
      <c r="J1985" s="58"/>
      <c r="K1985" s="58"/>
      <c r="L1985" s="13" t="str">
        <f t="shared" si="300"/>
        <v/>
      </c>
      <c r="M1985" s="13" t="str">
        <f t="shared" si="301"/>
        <v/>
      </c>
      <c r="Q1985" t="str">
        <f t="shared" si="302"/>
        <v/>
      </c>
      <c r="R1985" t="str">
        <f t="shared" si="303"/>
        <v/>
      </c>
      <c r="S1985" t="str">
        <f t="shared" si="304"/>
        <v/>
      </c>
      <c r="T1985" t="str">
        <f t="shared" si="305"/>
        <v/>
      </c>
      <c r="U1985" t="str">
        <f t="shared" si="306"/>
        <v/>
      </c>
      <c r="V1985" t="str">
        <f t="shared" si="307"/>
        <v/>
      </c>
      <c r="W1985" t="str">
        <f t="shared" si="308"/>
        <v/>
      </c>
      <c r="X1985">
        <f>IF($T1985="",N($X1984),IF(MATCH($T1985,$T$6:$T$10005,0)=ROW()-5,N($X1984)+1,N($X1984)))</f>
        <v>0</v>
      </c>
      <c r="Z1985" t="str">
        <f t="shared" si="309"/>
        <v/>
      </c>
      <c r="AA1985">
        <f>IF($V1985="",N($AA1984),IF(MATCH($V1985,$V$6:$V$10005,0)=ROW()-5,N($AA1984)+1,N($AA1984)))</f>
        <v>0</v>
      </c>
    </row>
    <row r="1986" spans="1:27" ht="21" customHeight="1" x14ac:dyDescent="0.95">
      <c r="A1986" s="56"/>
      <c r="B1986" s="57"/>
      <c r="C1986" s="57"/>
      <c r="D1986" s="57"/>
      <c r="E1986" s="56"/>
      <c r="F1986" s="57"/>
      <c r="G1986" s="57"/>
      <c r="H1986" s="56"/>
      <c r="I1986" s="56"/>
      <c r="J1986" s="58"/>
      <c r="K1986" s="58"/>
      <c r="L1986" s="13" t="str">
        <f t="shared" si="300"/>
        <v/>
      </c>
      <c r="M1986" s="13" t="str">
        <f t="shared" si="301"/>
        <v/>
      </c>
      <c r="Q1986" t="str">
        <f t="shared" si="302"/>
        <v/>
      </c>
      <c r="R1986" t="str">
        <f t="shared" si="303"/>
        <v/>
      </c>
      <c r="S1986" t="str">
        <f t="shared" si="304"/>
        <v/>
      </c>
      <c r="T1986" t="str">
        <f t="shared" si="305"/>
        <v/>
      </c>
      <c r="U1986" t="str">
        <f t="shared" si="306"/>
        <v/>
      </c>
      <c r="V1986" t="str">
        <f t="shared" si="307"/>
        <v/>
      </c>
      <c r="W1986" t="str">
        <f t="shared" si="308"/>
        <v/>
      </c>
      <c r="X1986">
        <f>IF($T1986="",N($X1985),IF(MATCH($T1986,$T$6:$T$10005,0)=ROW()-5,N($X1985)+1,N($X1985)))</f>
        <v>0</v>
      </c>
      <c r="Z1986" t="str">
        <f t="shared" si="309"/>
        <v/>
      </c>
      <c r="AA1986">
        <f>IF($V1986="",N($AA1985),IF(MATCH($V1986,$V$6:$V$10005,0)=ROW()-5,N($AA1985)+1,N($AA1985)))</f>
        <v>0</v>
      </c>
    </row>
    <row r="1987" spans="1:27" ht="21" customHeight="1" x14ac:dyDescent="0.95">
      <c r="A1987" s="56"/>
      <c r="B1987" s="57"/>
      <c r="C1987" s="57"/>
      <c r="D1987" s="57"/>
      <c r="E1987" s="56"/>
      <c r="F1987" s="57"/>
      <c r="G1987" s="57"/>
      <c r="H1987" s="56"/>
      <c r="I1987" s="56"/>
      <c r="J1987" s="58"/>
      <c r="K1987" s="58"/>
      <c r="L1987" s="13" t="str">
        <f t="shared" si="300"/>
        <v/>
      </c>
      <c r="M1987" s="13" t="str">
        <f t="shared" si="301"/>
        <v/>
      </c>
      <c r="Q1987" t="str">
        <f t="shared" si="302"/>
        <v/>
      </c>
      <c r="R1987" t="str">
        <f t="shared" si="303"/>
        <v/>
      </c>
      <c r="S1987" t="str">
        <f t="shared" si="304"/>
        <v/>
      </c>
      <c r="T1987" t="str">
        <f t="shared" si="305"/>
        <v/>
      </c>
      <c r="U1987" t="str">
        <f t="shared" si="306"/>
        <v/>
      </c>
      <c r="V1987" t="str">
        <f t="shared" si="307"/>
        <v/>
      </c>
      <c r="W1987" t="str">
        <f t="shared" si="308"/>
        <v/>
      </c>
      <c r="X1987">
        <f>IF($T1987="",N($X1986),IF(MATCH($T1987,$T$6:$T$10005,0)=ROW()-5,N($X1986)+1,N($X1986)))</f>
        <v>0</v>
      </c>
      <c r="Z1987" t="str">
        <f t="shared" si="309"/>
        <v/>
      </c>
      <c r="AA1987">
        <f>IF($V1987="",N($AA1986),IF(MATCH($V1987,$V$6:$V$10005,0)=ROW()-5,N($AA1986)+1,N($AA1986)))</f>
        <v>0</v>
      </c>
    </row>
    <row r="1988" spans="1:27" ht="21" customHeight="1" x14ac:dyDescent="0.95">
      <c r="A1988" s="56"/>
      <c r="B1988" s="57"/>
      <c r="C1988" s="57"/>
      <c r="D1988" s="57"/>
      <c r="E1988" s="56"/>
      <c r="F1988" s="57"/>
      <c r="G1988" s="57"/>
      <c r="H1988" s="56"/>
      <c r="I1988" s="56"/>
      <c r="J1988" s="58"/>
      <c r="K1988" s="58"/>
      <c r="L1988" s="13" t="str">
        <f t="shared" si="300"/>
        <v/>
      </c>
      <c r="M1988" s="13" t="str">
        <f t="shared" si="301"/>
        <v/>
      </c>
      <c r="Q1988" t="str">
        <f t="shared" si="302"/>
        <v/>
      </c>
      <c r="R1988" t="str">
        <f t="shared" si="303"/>
        <v/>
      </c>
      <c r="S1988" t="str">
        <f t="shared" si="304"/>
        <v/>
      </c>
      <c r="T1988" t="str">
        <f t="shared" si="305"/>
        <v/>
      </c>
      <c r="U1988" t="str">
        <f t="shared" si="306"/>
        <v/>
      </c>
      <c r="V1988" t="str">
        <f t="shared" si="307"/>
        <v/>
      </c>
      <c r="W1988" t="str">
        <f t="shared" si="308"/>
        <v/>
      </c>
      <c r="X1988">
        <f>IF($T1988="",N($X1987),IF(MATCH($T1988,$T$6:$T$10005,0)=ROW()-5,N($X1987)+1,N($X1987)))</f>
        <v>0</v>
      </c>
      <c r="Z1988" t="str">
        <f t="shared" si="309"/>
        <v/>
      </c>
      <c r="AA1988">
        <f>IF($V1988="",N($AA1987),IF(MATCH($V1988,$V$6:$V$10005,0)=ROW()-5,N($AA1987)+1,N($AA1987)))</f>
        <v>0</v>
      </c>
    </row>
    <row r="1989" spans="1:27" ht="21" customHeight="1" x14ac:dyDescent="0.95">
      <c r="A1989" s="56"/>
      <c r="B1989" s="57"/>
      <c r="C1989" s="57"/>
      <c r="D1989" s="57"/>
      <c r="E1989" s="56"/>
      <c r="F1989" s="57"/>
      <c r="G1989" s="57"/>
      <c r="H1989" s="56"/>
      <c r="I1989" s="56"/>
      <c r="J1989" s="58"/>
      <c r="K1989" s="58"/>
      <c r="L1989" s="13" t="str">
        <f t="shared" si="300"/>
        <v/>
      </c>
      <c r="M1989" s="13" t="str">
        <f t="shared" si="301"/>
        <v/>
      </c>
      <c r="Q1989" t="str">
        <f t="shared" si="302"/>
        <v/>
      </c>
      <c r="R1989" t="str">
        <f t="shared" si="303"/>
        <v/>
      </c>
      <c r="S1989" t="str">
        <f t="shared" si="304"/>
        <v/>
      </c>
      <c r="T1989" t="str">
        <f t="shared" si="305"/>
        <v/>
      </c>
      <c r="U1989" t="str">
        <f t="shared" si="306"/>
        <v/>
      </c>
      <c r="V1989" t="str">
        <f t="shared" si="307"/>
        <v/>
      </c>
      <c r="W1989" t="str">
        <f t="shared" si="308"/>
        <v/>
      </c>
      <c r="X1989">
        <f>IF($T1989="",N($X1988),IF(MATCH($T1989,$T$6:$T$10005,0)=ROW()-5,N($X1988)+1,N($X1988)))</f>
        <v>0</v>
      </c>
      <c r="Z1989" t="str">
        <f t="shared" si="309"/>
        <v/>
      </c>
      <c r="AA1989">
        <f>IF($V1989="",N($AA1988),IF(MATCH($V1989,$V$6:$V$10005,0)=ROW()-5,N($AA1988)+1,N($AA1988)))</f>
        <v>0</v>
      </c>
    </row>
    <row r="1990" spans="1:27" ht="21" customHeight="1" x14ac:dyDescent="0.95">
      <c r="A1990" s="56"/>
      <c r="B1990" s="57"/>
      <c r="C1990" s="57"/>
      <c r="D1990" s="57"/>
      <c r="E1990" s="56"/>
      <c r="F1990" s="57"/>
      <c r="G1990" s="57"/>
      <c r="H1990" s="56"/>
      <c r="I1990" s="56"/>
      <c r="J1990" s="58"/>
      <c r="K1990" s="58"/>
      <c r="L1990" s="13" t="str">
        <f t="shared" ref="L1990:L2053" si="310">IF(OR($A1990="",AND($J1990="",$K1990="")),"",ROUND(N($J1990)-N($K1990),2))</f>
        <v/>
      </c>
      <c r="M1990" s="13" t="str">
        <f t="shared" ref="M1990:M2053" si="311">IF(OR($A1990="",AND($J1990="",$K1990="")),"",MIN($J1990,$K1990))</f>
        <v/>
      </c>
      <c r="Q1990" t="str">
        <f t="shared" ref="Q1990:Q2053" si="312">IF($A1990="","",$D1990&amp;"("&amp;SUBSTITUTE($E1990," ","")&amp;")")</f>
        <v/>
      </c>
      <c r="R1990" t="str">
        <f t="shared" ref="R1990:R2053" si="313">IF($A1990="","",$B1990&amp;" - "&amp;$C1990)</f>
        <v/>
      </c>
      <c r="S1990" t="str">
        <f t="shared" ref="S1990:S2053" si="314">IF($A1990="","",$R1990&amp;"|"&amp;$Q1990)</f>
        <v/>
      </c>
      <c r="T1990" t="str">
        <f t="shared" ref="T1990:T2053" si="315">IF($A1990="","",$S1990&amp;"|"&amp;$F1990)</f>
        <v/>
      </c>
      <c r="U1990" t="str">
        <f t="shared" ref="U1990:U2053" si="316">IF($A1990="","",$R1990&amp;"("&amp;$E1990&amp;")")</f>
        <v/>
      </c>
      <c r="V1990" t="str">
        <f t="shared" ref="V1990:V2053" si="317">IF($A1990="","",$F1990&amp;"|"&amp;$U1990&amp;"|"&amp;$D1990)</f>
        <v/>
      </c>
      <c r="W1990" t="str">
        <f t="shared" ref="W1990:W2053" si="318">IF($T1990="","",IF($X1990&gt;N($X1989),$X1990,""))</f>
        <v/>
      </c>
      <c r="X1990">
        <f>IF($T1990="",N($X1989),IF(MATCH($T1990,$T$6:$T$10005,0)=ROW()-5,N($X1989)+1,N($X1989)))</f>
        <v>0</v>
      </c>
      <c r="Z1990" t="str">
        <f t="shared" ref="Z1990:Z2053" si="319">IF($V1990="","",IF($AA1990&gt;N($AA1989),$AA1990,""))</f>
        <v/>
      </c>
      <c r="AA1990">
        <f>IF($V1990="",N($AA1989),IF(MATCH($V1990,$V$6:$V$10005,0)=ROW()-5,N($AA1989)+1,N($AA1989)))</f>
        <v>0</v>
      </c>
    </row>
    <row r="1991" spans="1:27" ht="21" customHeight="1" x14ac:dyDescent="0.95">
      <c r="A1991" s="56"/>
      <c r="B1991" s="57"/>
      <c r="C1991" s="57"/>
      <c r="D1991" s="57"/>
      <c r="E1991" s="56"/>
      <c r="F1991" s="57"/>
      <c r="G1991" s="57"/>
      <c r="H1991" s="56"/>
      <c r="I1991" s="56"/>
      <c r="J1991" s="58"/>
      <c r="K1991" s="58"/>
      <c r="L1991" s="13" t="str">
        <f t="shared" si="310"/>
        <v/>
      </c>
      <c r="M1991" s="13" t="str">
        <f t="shared" si="311"/>
        <v/>
      </c>
      <c r="Q1991" t="str">
        <f t="shared" si="312"/>
        <v/>
      </c>
      <c r="R1991" t="str">
        <f t="shared" si="313"/>
        <v/>
      </c>
      <c r="S1991" t="str">
        <f t="shared" si="314"/>
        <v/>
      </c>
      <c r="T1991" t="str">
        <f t="shared" si="315"/>
        <v/>
      </c>
      <c r="U1991" t="str">
        <f t="shared" si="316"/>
        <v/>
      </c>
      <c r="V1991" t="str">
        <f t="shared" si="317"/>
        <v/>
      </c>
      <c r="W1991" t="str">
        <f t="shared" si="318"/>
        <v/>
      </c>
      <c r="X1991">
        <f>IF($T1991="",N($X1990),IF(MATCH($T1991,$T$6:$T$10005,0)=ROW()-5,N($X1990)+1,N($X1990)))</f>
        <v>0</v>
      </c>
      <c r="Z1991" t="str">
        <f t="shared" si="319"/>
        <v/>
      </c>
      <c r="AA1991">
        <f>IF($V1991="",N($AA1990),IF(MATCH($V1991,$V$6:$V$10005,0)=ROW()-5,N($AA1990)+1,N($AA1990)))</f>
        <v>0</v>
      </c>
    </row>
    <row r="1992" spans="1:27" ht="21" customHeight="1" x14ac:dyDescent="0.95">
      <c r="A1992" s="56"/>
      <c r="B1992" s="57"/>
      <c r="C1992" s="57"/>
      <c r="D1992" s="57"/>
      <c r="E1992" s="56"/>
      <c r="F1992" s="57"/>
      <c r="G1992" s="57"/>
      <c r="H1992" s="56"/>
      <c r="I1992" s="56"/>
      <c r="J1992" s="58"/>
      <c r="K1992" s="58"/>
      <c r="L1992" s="13" t="str">
        <f t="shared" si="310"/>
        <v/>
      </c>
      <c r="M1992" s="13" t="str">
        <f t="shared" si="311"/>
        <v/>
      </c>
      <c r="Q1992" t="str">
        <f t="shared" si="312"/>
        <v/>
      </c>
      <c r="R1992" t="str">
        <f t="shared" si="313"/>
        <v/>
      </c>
      <c r="S1992" t="str">
        <f t="shared" si="314"/>
        <v/>
      </c>
      <c r="T1992" t="str">
        <f t="shared" si="315"/>
        <v/>
      </c>
      <c r="U1992" t="str">
        <f t="shared" si="316"/>
        <v/>
      </c>
      <c r="V1992" t="str">
        <f t="shared" si="317"/>
        <v/>
      </c>
      <c r="W1992" t="str">
        <f t="shared" si="318"/>
        <v/>
      </c>
      <c r="X1992">
        <f>IF($T1992="",N($X1991),IF(MATCH($T1992,$T$6:$T$10005,0)=ROW()-5,N($X1991)+1,N($X1991)))</f>
        <v>0</v>
      </c>
      <c r="Z1992" t="str">
        <f t="shared" si="319"/>
        <v/>
      </c>
      <c r="AA1992">
        <f>IF($V1992="",N($AA1991),IF(MATCH($V1992,$V$6:$V$10005,0)=ROW()-5,N($AA1991)+1,N($AA1991)))</f>
        <v>0</v>
      </c>
    </row>
    <row r="1993" spans="1:27" ht="21" customHeight="1" x14ac:dyDescent="0.95">
      <c r="A1993" s="56"/>
      <c r="B1993" s="57"/>
      <c r="C1993" s="57"/>
      <c r="D1993" s="57"/>
      <c r="E1993" s="56"/>
      <c r="F1993" s="57"/>
      <c r="G1993" s="57"/>
      <c r="H1993" s="56"/>
      <c r="I1993" s="56"/>
      <c r="J1993" s="58"/>
      <c r="K1993" s="58"/>
      <c r="L1993" s="13" t="str">
        <f t="shared" si="310"/>
        <v/>
      </c>
      <c r="M1993" s="13" t="str">
        <f t="shared" si="311"/>
        <v/>
      </c>
      <c r="Q1993" t="str">
        <f t="shared" si="312"/>
        <v/>
      </c>
      <c r="R1993" t="str">
        <f t="shared" si="313"/>
        <v/>
      </c>
      <c r="S1993" t="str">
        <f t="shared" si="314"/>
        <v/>
      </c>
      <c r="T1993" t="str">
        <f t="shared" si="315"/>
        <v/>
      </c>
      <c r="U1993" t="str">
        <f t="shared" si="316"/>
        <v/>
      </c>
      <c r="V1993" t="str">
        <f t="shared" si="317"/>
        <v/>
      </c>
      <c r="W1993" t="str">
        <f t="shared" si="318"/>
        <v/>
      </c>
      <c r="X1993">
        <f>IF($T1993="",N($X1992),IF(MATCH($T1993,$T$6:$T$10005,0)=ROW()-5,N($X1992)+1,N($X1992)))</f>
        <v>0</v>
      </c>
      <c r="Z1993" t="str">
        <f t="shared" si="319"/>
        <v/>
      </c>
      <c r="AA1993">
        <f>IF($V1993="",N($AA1992),IF(MATCH($V1993,$V$6:$V$10005,0)=ROW()-5,N($AA1992)+1,N($AA1992)))</f>
        <v>0</v>
      </c>
    </row>
    <row r="1994" spans="1:27" ht="21" customHeight="1" x14ac:dyDescent="0.95">
      <c r="A1994" s="56"/>
      <c r="B1994" s="57"/>
      <c r="C1994" s="57"/>
      <c r="D1994" s="57"/>
      <c r="E1994" s="56"/>
      <c r="F1994" s="57"/>
      <c r="G1994" s="57"/>
      <c r="H1994" s="56"/>
      <c r="I1994" s="56"/>
      <c r="J1994" s="58"/>
      <c r="K1994" s="58"/>
      <c r="L1994" s="13" t="str">
        <f t="shared" si="310"/>
        <v/>
      </c>
      <c r="M1994" s="13" t="str">
        <f t="shared" si="311"/>
        <v/>
      </c>
      <c r="Q1994" t="str">
        <f t="shared" si="312"/>
        <v/>
      </c>
      <c r="R1994" t="str">
        <f t="shared" si="313"/>
        <v/>
      </c>
      <c r="S1994" t="str">
        <f t="shared" si="314"/>
        <v/>
      </c>
      <c r="T1994" t="str">
        <f t="shared" si="315"/>
        <v/>
      </c>
      <c r="U1994" t="str">
        <f t="shared" si="316"/>
        <v/>
      </c>
      <c r="V1994" t="str">
        <f t="shared" si="317"/>
        <v/>
      </c>
      <c r="W1994" t="str">
        <f t="shared" si="318"/>
        <v/>
      </c>
      <c r="X1994">
        <f>IF($T1994="",N($X1993),IF(MATCH($T1994,$T$6:$T$10005,0)=ROW()-5,N($X1993)+1,N($X1993)))</f>
        <v>0</v>
      </c>
      <c r="Z1994" t="str">
        <f t="shared" si="319"/>
        <v/>
      </c>
      <c r="AA1994">
        <f>IF($V1994="",N($AA1993),IF(MATCH($V1994,$V$6:$V$10005,0)=ROW()-5,N($AA1993)+1,N($AA1993)))</f>
        <v>0</v>
      </c>
    </row>
    <row r="1995" spans="1:27" ht="21" customHeight="1" x14ac:dyDescent="0.95">
      <c r="A1995" s="56"/>
      <c r="B1995" s="57"/>
      <c r="C1995" s="57"/>
      <c r="D1995" s="57"/>
      <c r="E1995" s="56"/>
      <c r="F1995" s="57"/>
      <c r="G1995" s="57"/>
      <c r="H1995" s="56"/>
      <c r="I1995" s="56"/>
      <c r="J1995" s="58"/>
      <c r="K1995" s="58"/>
      <c r="L1995" s="13" t="str">
        <f t="shared" si="310"/>
        <v/>
      </c>
      <c r="M1995" s="13" t="str">
        <f t="shared" si="311"/>
        <v/>
      </c>
      <c r="Q1995" t="str">
        <f t="shared" si="312"/>
        <v/>
      </c>
      <c r="R1995" t="str">
        <f t="shared" si="313"/>
        <v/>
      </c>
      <c r="S1995" t="str">
        <f t="shared" si="314"/>
        <v/>
      </c>
      <c r="T1995" t="str">
        <f t="shared" si="315"/>
        <v/>
      </c>
      <c r="U1995" t="str">
        <f t="shared" si="316"/>
        <v/>
      </c>
      <c r="V1995" t="str">
        <f t="shared" si="317"/>
        <v/>
      </c>
      <c r="W1995" t="str">
        <f t="shared" si="318"/>
        <v/>
      </c>
      <c r="X1995">
        <f>IF($T1995="",N($X1994),IF(MATCH($T1995,$T$6:$T$10005,0)=ROW()-5,N($X1994)+1,N($X1994)))</f>
        <v>0</v>
      </c>
      <c r="Z1995" t="str">
        <f t="shared" si="319"/>
        <v/>
      </c>
      <c r="AA1995">
        <f>IF($V1995="",N($AA1994),IF(MATCH($V1995,$V$6:$V$10005,0)=ROW()-5,N($AA1994)+1,N($AA1994)))</f>
        <v>0</v>
      </c>
    </row>
    <row r="1996" spans="1:27" ht="21" customHeight="1" x14ac:dyDescent="0.95">
      <c r="A1996" s="56"/>
      <c r="B1996" s="57"/>
      <c r="C1996" s="57"/>
      <c r="D1996" s="57"/>
      <c r="E1996" s="56"/>
      <c r="F1996" s="57"/>
      <c r="G1996" s="57"/>
      <c r="H1996" s="56"/>
      <c r="I1996" s="56"/>
      <c r="J1996" s="58"/>
      <c r="K1996" s="58"/>
      <c r="L1996" s="13" t="str">
        <f t="shared" si="310"/>
        <v/>
      </c>
      <c r="M1996" s="13" t="str">
        <f t="shared" si="311"/>
        <v/>
      </c>
      <c r="Q1996" t="str">
        <f t="shared" si="312"/>
        <v/>
      </c>
      <c r="R1996" t="str">
        <f t="shared" si="313"/>
        <v/>
      </c>
      <c r="S1996" t="str">
        <f t="shared" si="314"/>
        <v/>
      </c>
      <c r="T1996" t="str">
        <f t="shared" si="315"/>
        <v/>
      </c>
      <c r="U1996" t="str">
        <f t="shared" si="316"/>
        <v/>
      </c>
      <c r="V1996" t="str">
        <f t="shared" si="317"/>
        <v/>
      </c>
      <c r="W1996" t="str">
        <f t="shared" si="318"/>
        <v/>
      </c>
      <c r="X1996">
        <f>IF($T1996="",N($X1995),IF(MATCH($T1996,$T$6:$T$10005,0)=ROW()-5,N($X1995)+1,N($X1995)))</f>
        <v>0</v>
      </c>
      <c r="Z1996" t="str">
        <f t="shared" si="319"/>
        <v/>
      </c>
      <c r="AA1996">
        <f>IF($V1996="",N($AA1995),IF(MATCH($V1996,$V$6:$V$10005,0)=ROW()-5,N($AA1995)+1,N($AA1995)))</f>
        <v>0</v>
      </c>
    </row>
    <row r="1997" spans="1:27" ht="21" customHeight="1" x14ac:dyDescent="0.95">
      <c r="A1997" s="56"/>
      <c r="B1997" s="57"/>
      <c r="C1997" s="57"/>
      <c r="D1997" s="57"/>
      <c r="E1997" s="56"/>
      <c r="F1997" s="57"/>
      <c r="G1997" s="57"/>
      <c r="H1997" s="56"/>
      <c r="I1997" s="56"/>
      <c r="J1997" s="58"/>
      <c r="K1997" s="58"/>
      <c r="L1997" s="13" t="str">
        <f t="shared" si="310"/>
        <v/>
      </c>
      <c r="M1997" s="13" t="str">
        <f t="shared" si="311"/>
        <v/>
      </c>
      <c r="Q1997" t="str">
        <f t="shared" si="312"/>
        <v/>
      </c>
      <c r="R1997" t="str">
        <f t="shared" si="313"/>
        <v/>
      </c>
      <c r="S1997" t="str">
        <f t="shared" si="314"/>
        <v/>
      </c>
      <c r="T1997" t="str">
        <f t="shared" si="315"/>
        <v/>
      </c>
      <c r="U1997" t="str">
        <f t="shared" si="316"/>
        <v/>
      </c>
      <c r="V1997" t="str">
        <f t="shared" si="317"/>
        <v/>
      </c>
      <c r="W1997" t="str">
        <f t="shared" si="318"/>
        <v/>
      </c>
      <c r="X1997">
        <f>IF($T1997="",N($X1996),IF(MATCH($T1997,$T$6:$T$10005,0)=ROW()-5,N($X1996)+1,N($X1996)))</f>
        <v>0</v>
      </c>
      <c r="Z1997" t="str">
        <f t="shared" si="319"/>
        <v/>
      </c>
      <c r="AA1997">
        <f>IF($V1997="",N($AA1996),IF(MATCH($V1997,$V$6:$V$10005,0)=ROW()-5,N($AA1996)+1,N($AA1996)))</f>
        <v>0</v>
      </c>
    </row>
    <row r="1998" spans="1:27" ht="21" customHeight="1" x14ac:dyDescent="0.95">
      <c r="A1998" s="56"/>
      <c r="B1998" s="57"/>
      <c r="C1998" s="57"/>
      <c r="D1998" s="57"/>
      <c r="E1998" s="56"/>
      <c r="F1998" s="57"/>
      <c r="G1998" s="57"/>
      <c r="H1998" s="56"/>
      <c r="I1998" s="56"/>
      <c r="J1998" s="58"/>
      <c r="K1998" s="58"/>
      <c r="L1998" s="13" t="str">
        <f t="shared" si="310"/>
        <v/>
      </c>
      <c r="M1998" s="13" t="str">
        <f t="shared" si="311"/>
        <v/>
      </c>
      <c r="Q1998" t="str">
        <f t="shared" si="312"/>
        <v/>
      </c>
      <c r="R1998" t="str">
        <f t="shared" si="313"/>
        <v/>
      </c>
      <c r="S1998" t="str">
        <f t="shared" si="314"/>
        <v/>
      </c>
      <c r="T1998" t="str">
        <f t="shared" si="315"/>
        <v/>
      </c>
      <c r="U1998" t="str">
        <f t="shared" si="316"/>
        <v/>
      </c>
      <c r="V1998" t="str">
        <f t="shared" si="317"/>
        <v/>
      </c>
      <c r="W1998" t="str">
        <f t="shared" si="318"/>
        <v/>
      </c>
      <c r="X1998">
        <f>IF($T1998="",N($X1997),IF(MATCH($T1998,$T$6:$T$10005,0)=ROW()-5,N($X1997)+1,N($X1997)))</f>
        <v>0</v>
      </c>
      <c r="Z1998" t="str">
        <f t="shared" si="319"/>
        <v/>
      </c>
      <c r="AA1998">
        <f>IF($V1998="",N($AA1997),IF(MATCH($V1998,$V$6:$V$10005,0)=ROW()-5,N($AA1997)+1,N($AA1997)))</f>
        <v>0</v>
      </c>
    </row>
    <row r="1999" spans="1:27" ht="21" customHeight="1" x14ac:dyDescent="0.95">
      <c r="A1999" s="56"/>
      <c r="B1999" s="57"/>
      <c r="C1999" s="57"/>
      <c r="D1999" s="57"/>
      <c r="E1999" s="56"/>
      <c r="F1999" s="57"/>
      <c r="G1999" s="57"/>
      <c r="H1999" s="56"/>
      <c r="I1999" s="56"/>
      <c r="J1999" s="58"/>
      <c r="K1999" s="58"/>
      <c r="L1999" s="13" t="str">
        <f t="shared" si="310"/>
        <v/>
      </c>
      <c r="M1999" s="13" t="str">
        <f t="shared" si="311"/>
        <v/>
      </c>
      <c r="Q1999" t="str">
        <f t="shared" si="312"/>
        <v/>
      </c>
      <c r="R1999" t="str">
        <f t="shared" si="313"/>
        <v/>
      </c>
      <c r="S1999" t="str">
        <f t="shared" si="314"/>
        <v/>
      </c>
      <c r="T1999" t="str">
        <f t="shared" si="315"/>
        <v/>
      </c>
      <c r="U1999" t="str">
        <f t="shared" si="316"/>
        <v/>
      </c>
      <c r="V1999" t="str">
        <f t="shared" si="317"/>
        <v/>
      </c>
      <c r="W1999" t="str">
        <f t="shared" si="318"/>
        <v/>
      </c>
      <c r="X1999">
        <f>IF($T1999="",N($X1998),IF(MATCH($T1999,$T$6:$T$10005,0)=ROW()-5,N($X1998)+1,N($X1998)))</f>
        <v>0</v>
      </c>
      <c r="Z1999" t="str">
        <f t="shared" si="319"/>
        <v/>
      </c>
      <c r="AA1999">
        <f>IF($V1999="",N($AA1998),IF(MATCH($V1999,$V$6:$V$10005,0)=ROW()-5,N($AA1998)+1,N($AA1998)))</f>
        <v>0</v>
      </c>
    </row>
    <row r="2000" spans="1:27" ht="21" customHeight="1" x14ac:dyDescent="0.95">
      <c r="A2000" s="56"/>
      <c r="B2000" s="57"/>
      <c r="C2000" s="57"/>
      <c r="D2000" s="57"/>
      <c r="E2000" s="56"/>
      <c r="F2000" s="57"/>
      <c r="G2000" s="57"/>
      <c r="H2000" s="56"/>
      <c r="I2000" s="56"/>
      <c r="J2000" s="58"/>
      <c r="K2000" s="58"/>
      <c r="L2000" s="13" t="str">
        <f t="shared" si="310"/>
        <v/>
      </c>
      <c r="M2000" s="13" t="str">
        <f t="shared" si="311"/>
        <v/>
      </c>
      <c r="Q2000" t="str">
        <f t="shared" si="312"/>
        <v/>
      </c>
      <c r="R2000" t="str">
        <f t="shared" si="313"/>
        <v/>
      </c>
      <c r="S2000" t="str">
        <f t="shared" si="314"/>
        <v/>
      </c>
      <c r="T2000" t="str">
        <f t="shared" si="315"/>
        <v/>
      </c>
      <c r="U2000" t="str">
        <f t="shared" si="316"/>
        <v/>
      </c>
      <c r="V2000" t="str">
        <f t="shared" si="317"/>
        <v/>
      </c>
      <c r="W2000" t="str">
        <f t="shared" si="318"/>
        <v/>
      </c>
      <c r="X2000">
        <f>IF($T2000="",N($X1999),IF(MATCH($T2000,$T$6:$T$10005,0)=ROW()-5,N($X1999)+1,N($X1999)))</f>
        <v>0</v>
      </c>
      <c r="Z2000" t="str">
        <f t="shared" si="319"/>
        <v/>
      </c>
      <c r="AA2000">
        <f>IF($V2000="",N($AA1999),IF(MATCH($V2000,$V$6:$V$10005,0)=ROW()-5,N($AA1999)+1,N($AA1999)))</f>
        <v>0</v>
      </c>
    </row>
    <row r="2001" spans="1:27" ht="21" customHeight="1" x14ac:dyDescent="0.95">
      <c r="A2001" s="56"/>
      <c r="B2001" s="57"/>
      <c r="C2001" s="57"/>
      <c r="D2001" s="57"/>
      <c r="E2001" s="56"/>
      <c r="F2001" s="57"/>
      <c r="G2001" s="57"/>
      <c r="H2001" s="56"/>
      <c r="I2001" s="56"/>
      <c r="J2001" s="58"/>
      <c r="K2001" s="58"/>
      <c r="L2001" s="13" t="str">
        <f t="shared" si="310"/>
        <v/>
      </c>
      <c r="M2001" s="13" t="str">
        <f t="shared" si="311"/>
        <v/>
      </c>
      <c r="Q2001" t="str">
        <f t="shared" si="312"/>
        <v/>
      </c>
      <c r="R2001" t="str">
        <f t="shared" si="313"/>
        <v/>
      </c>
      <c r="S2001" t="str">
        <f t="shared" si="314"/>
        <v/>
      </c>
      <c r="T2001" t="str">
        <f t="shared" si="315"/>
        <v/>
      </c>
      <c r="U2001" t="str">
        <f t="shared" si="316"/>
        <v/>
      </c>
      <c r="V2001" t="str">
        <f t="shared" si="317"/>
        <v/>
      </c>
      <c r="W2001" t="str">
        <f t="shared" si="318"/>
        <v/>
      </c>
      <c r="X2001">
        <f>IF($T2001="",N($X2000),IF(MATCH($T2001,$T$6:$T$10005,0)=ROW()-5,N($X2000)+1,N($X2000)))</f>
        <v>0</v>
      </c>
      <c r="Z2001" t="str">
        <f t="shared" si="319"/>
        <v/>
      </c>
      <c r="AA2001">
        <f>IF($V2001="",N($AA2000),IF(MATCH($V2001,$V$6:$V$10005,0)=ROW()-5,N($AA2000)+1,N($AA2000)))</f>
        <v>0</v>
      </c>
    </row>
    <row r="2002" spans="1:27" ht="21" customHeight="1" x14ac:dyDescent="0.95">
      <c r="A2002" s="56"/>
      <c r="B2002" s="57"/>
      <c r="C2002" s="57"/>
      <c r="D2002" s="57"/>
      <c r="E2002" s="56"/>
      <c r="F2002" s="57"/>
      <c r="G2002" s="57"/>
      <c r="H2002" s="56"/>
      <c r="I2002" s="56"/>
      <c r="J2002" s="58"/>
      <c r="K2002" s="58"/>
      <c r="L2002" s="13" t="str">
        <f t="shared" si="310"/>
        <v/>
      </c>
      <c r="M2002" s="13" t="str">
        <f t="shared" si="311"/>
        <v/>
      </c>
      <c r="Q2002" t="str">
        <f t="shared" si="312"/>
        <v/>
      </c>
      <c r="R2002" t="str">
        <f t="shared" si="313"/>
        <v/>
      </c>
      <c r="S2002" t="str">
        <f t="shared" si="314"/>
        <v/>
      </c>
      <c r="T2002" t="str">
        <f t="shared" si="315"/>
        <v/>
      </c>
      <c r="U2002" t="str">
        <f t="shared" si="316"/>
        <v/>
      </c>
      <c r="V2002" t="str">
        <f t="shared" si="317"/>
        <v/>
      </c>
      <c r="W2002" t="str">
        <f t="shared" si="318"/>
        <v/>
      </c>
      <c r="X2002">
        <f>IF($T2002="",N($X2001),IF(MATCH($T2002,$T$6:$T$10005,0)=ROW()-5,N($X2001)+1,N($X2001)))</f>
        <v>0</v>
      </c>
      <c r="Z2002" t="str">
        <f t="shared" si="319"/>
        <v/>
      </c>
      <c r="AA2002">
        <f>IF($V2002="",N($AA2001),IF(MATCH($V2002,$V$6:$V$10005,0)=ROW()-5,N($AA2001)+1,N($AA2001)))</f>
        <v>0</v>
      </c>
    </row>
    <row r="2003" spans="1:27" ht="21" customHeight="1" x14ac:dyDescent="0.95">
      <c r="A2003" s="56"/>
      <c r="B2003" s="57"/>
      <c r="C2003" s="57"/>
      <c r="D2003" s="57"/>
      <c r="E2003" s="56"/>
      <c r="F2003" s="57"/>
      <c r="G2003" s="57"/>
      <c r="H2003" s="56"/>
      <c r="I2003" s="56"/>
      <c r="J2003" s="58"/>
      <c r="K2003" s="58"/>
      <c r="L2003" s="13" t="str">
        <f t="shared" si="310"/>
        <v/>
      </c>
      <c r="M2003" s="13" t="str">
        <f t="shared" si="311"/>
        <v/>
      </c>
      <c r="Q2003" t="str">
        <f t="shared" si="312"/>
        <v/>
      </c>
      <c r="R2003" t="str">
        <f t="shared" si="313"/>
        <v/>
      </c>
      <c r="S2003" t="str">
        <f t="shared" si="314"/>
        <v/>
      </c>
      <c r="T2003" t="str">
        <f t="shared" si="315"/>
        <v/>
      </c>
      <c r="U2003" t="str">
        <f t="shared" si="316"/>
        <v/>
      </c>
      <c r="V2003" t="str">
        <f t="shared" si="317"/>
        <v/>
      </c>
      <c r="W2003" t="str">
        <f t="shared" si="318"/>
        <v/>
      </c>
      <c r="X2003">
        <f>IF($T2003="",N($X2002),IF(MATCH($T2003,$T$6:$T$10005,0)=ROW()-5,N($X2002)+1,N($X2002)))</f>
        <v>0</v>
      </c>
      <c r="Z2003" t="str">
        <f t="shared" si="319"/>
        <v/>
      </c>
      <c r="AA2003">
        <f>IF($V2003="",N($AA2002),IF(MATCH($V2003,$V$6:$V$10005,0)=ROW()-5,N($AA2002)+1,N($AA2002)))</f>
        <v>0</v>
      </c>
    </row>
    <row r="2004" spans="1:27" ht="21" customHeight="1" x14ac:dyDescent="0.95">
      <c r="A2004" s="56"/>
      <c r="B2004" s="57"/>
      <c r="C2004" s="57"/>
      <c r="D2004" s="57"/>
      <c r="E2004" s="56"/>
      <c r="F2004" s="57"/>
      <c r="G2004" s="57"/>
      <c r="H2004" s="56"/>
      <c r="I2004" s="56"/>
      <c r="J2004" s="58"/>
      <c r="K2004" s="58"/>
      <c r="L2004" s="13" t="str">
        <f t="shared" si="310"/>
        <v/>
      </c>
      <c r="M2004" s="13" t="str">
        <f t="shared" si="311"/>
        <v/>
      </c>
      <c r="Q2004" t="str">
        <f t="shared" si="312"/>
        <v/>
      </c>
      <c r="R2004" t="str">
        <f t="shared" si="313"/>
        <v/>
      </c>
      <c r="S2004" t="str">
        <f t="shared" si="314"/>
        <v/>
      </c>
      <c r="T2004" t="str">
        <f t="shared" si="315"/>
        <v/>
      </c>
      <c r="U2004" t="str">
        <f t="shared" si="316"/>
        <v/>
      </c>
      <c r="V2004" t="str">
        <f t="shared" si="317"/>
        <v/>
      </c>
      <c r="W2004" t="str">
        <f t="shared" si="318"/>
        <v/>
      </c>
      <c r="X2004">
        <f>IF($T2004="",N($X2003),IF(MATCH($T2004,$T$6:$T$10005,0)=ROW()-5,N($X2003)+1,N($X2003)))</f>
        <v>0</v>
      </c>
      <c r="Z2004" t="str">
        <f t="shared" si="319"/>
        <v/>
      </c>
      <c r="AA2004">
        <f>IF($V2004="",N($AA2003),IF(MATCH($V2004,$V$6:$V$10005,0)=ROW()-5,N($AA2003)+1,N($AA2003)))</f>
        <v>0</v>
      </c>
    </row>
    <row r="2005" spans="1:27" ht="21" customHeight="1" x14ac:dyDescent="0.95">
      <c r="A2005" s="56"/>
      <c r="B2005" s="57"/>
      <c r="C2005" s="57"/>
      <c r="D2005" s="57"/>
      <c r="E2005" s="56"/>
      <c r="F2005" s="57"/>
      <c r="G2005" s="57"/>
      <c r="H2005" s="56"/>
      <c r="I2005" s="56"/>
      <c r="J2005" s="58"/>
      <c r="K2005" s="58"/>
      <c r="L2005" s="13" t="str">
        <f t="shared" si="310"/>
        <v/>
      </c>
      <c r="M2005" s="13" t="str">
        <f t="shared" si="311"/>
        <v/>
      </c>
      <c r="Q2005" t="str">
        <f t="shared" si="312"/>
        <v/>
      </c>
      <c r="R2005" t="str">
        <f t="shared" si="313"/>
        <v/>
      </c>
      <c r="S2005" t="str">
        <f t="shared" si="314"/>
        <v/>
      </c>
      <c r="T2005" t="str">
        <f t="shared" si="315"/>
        <v/>
      </c>
      <c r="U2005" t="str">
        <f t="shared" si="316"/>
        <v/>
      </c>
      <c r="V2005" t="str">
        <f t="shared" si="317"/>
        <v/>
      </c>
      <c r="W2005" t="str">
        <f t="shared" si="318"/>
        <v/>
      </c>
      <c r="X2005">
        <f>IF($T2005="",N($X2004),IF(MATCH($T2005,$T$6:$T$10005,0)=ROW()-5,N($X2004)+1,N($X2004)))</f>
        <v>0</v>
      </c>
      <c r="Z2005" t="str">
        <f t="shared" si="319"/>
        <v/>
      </c>
      <c r="AA2005">
        <f>IF($V2005="",N($AA2004),IF(MATCH($V2005,$V$6:$V$10005,0)=ROW()-5,N($AA2004)+1,N($AA2004)))</f>
        <v>0</v>
      </c>
    </row>
    <row r="2006" spans="1:27" ht="21" customHeight="1" x14ac:dyDescent="0.95">
      <c r="A2006" s="56"/>
      <c r="B2006" s="57"/>
      <c r="C2006" s="57"/>
      <c r="D2006" s="57"/>
      <c r="E2006" s="56"/>
      <c r="F2006" s="57"/>
      <c r="G2006" s="57"/>
      <c r="H2006" s="56"/>
      <c r="I2006" s="56"/>
      <c r="J2006" s="58"/>
      <c r="K2006" s="58"/>
      <c r="L2006" s="13" t="str">
        <f t="shared" si="310"/>
        <v/>
      </c>
      <c r="M2006" s="13" t="str">
        <f t="shared" si="311"/>
        <v/>
      </c>
      <c r="Q2006" t="str">
        <f t="shared" si="312"/>
        <v/>
      </c>
      <c r="R2006" t="str">
        <f t="shared" si="313"/>
        <v/>
      </c>
      <c r="S2006" t="str">
        <f t="shared" si="314"/>
        <v/>
      </c>
      <c r="T2006" t="str">
        <f t="shared" si="315"/>
        <v/>
      </c>
      <c r="U2006" t="str">
        <f t="shared" si="316"/>
        <v/>
      </c>
      <c r="V2006" t="str">
        <f t="shared" si="317"/>
        <v/>
      </c>
      <c r="W2006" t="str">
        <f t="shared" si="318"/>
        <v/>
      </c>
      <c r="X2006">
        <f>IF($T2006="",N($X2005),IF(MATCH($T2006,$T$6:$T$10005,0)=ROW()-5,N($X2005)+1,N($X2005)))</f>
        <v>0</v>
      </c>
      <c r="Z2006" t="str">
        <f t="shared" si="319"/>
        <v/>
      </c>
      <c r="AA2006">
        <f>IF($V2006="",N($AA2005),IF(MATCH($V2006,$V$6:$V$10005,0)=ROW()-5,N($AA2005)+1,N($AA2005)))</f>
        <v>0</v>
      </c>
    </row>
    <row r="2007" spans="1:27" ht="21" customHeight="1" x14ac:dyDescent="0.95">
      <c r="A2007" s="56"/>
      <c r="B2007" s="57"/>
      <c r="C2007" s="57"/>
      <c r="D2007" s="57"/>
      <c r="E2007" s="56"/>
      <c r="F2007" s="57"/>
      <c r="G2007" s="57"/>
      <c r="H2007" s="56"/>
      <c r="I2007" s="56"/>
      <c r="J2007" s="58"/>
      <c r="K2007" s="58"/>
      <c r="L2007" s="13" t="str">
        <f t="shared" si="310"/>
        <v/>
      </c>
      <c r="M2007" s="13" t="str">
        <f t="shared" si="311"/>
        <v/>
      </c>
      <c r="Q2007" t="str">
        <f t="shared" si="312"/>
        <v/>
      </c>
      <c r="R2007" t="str">
        <f t="shared" si="313"/>
        <v/>
      </c>
      <c r="S2007" t="str">
        <f t="shared" si="314"/>
        <v/>
      </c>
      <c r="T2007" t="str">
        <f t="shared" si="315"/>
        <v/>
      </c>
      <c r="U2007" t="str">
        <f t="shared" si="316"/>
        <v/>
      </c>
      <c r="V2007" t="str">
        <f t="shared" si="317"/>
        <v/>
      </c>
      <c r="W2007" t="str">
        <f t="shared" si="318"/>
        <v/>
      </c>
      <c r="X2007">
        <f>IF($T2007="",N($X2006),IF(MATCH($T2007,$T$6:$T$10005,0)=ROW()-5,N($X2006)+1,N($X2006)))</f>
        <v>0</v>
      </c>
      <c r="Z2007" t="str">
        <f t="shared" si="319"/>
        <v/>
      </c>
      <c r="AA2007">
        <f>IF($V2007="",N($AA2006),IF(MATCH($V2007,$V$6:$V$10005,0)=ROW()-5,N($AA2006)+1,N($AA2006)))</f>
        <v>0</v>
      </c>
    </row>
    <row r="2008" spans="1:27" ht="21" customHeight="1" x14ac:dyDescent="0.95">
      <c r="A2008" s="56"/>
      <c r="B2008" s="57"/>
      <c r="C2008" s="57"/>
      <c r="D2008" s="57"/>
      <c r="E2008" s="56"/>
      <c r="F2008" s="57"/>
      <c r="G2008" s="57"/>
      <c r="H2008" s="56"/>
      <c r="I2008" s="56"/>
      <c r="J2008" s="58"/>
      <c r="K2008" s="58"/>
      <c r="L2008" s="13" t="str">
        <f t="shared" si="310"/>
        <v/>
      </c>
      <c r="M2008" s="13" t="str">
        <f t="shared" si="311"/>
        <v/>
      </c>
      <c r="Q2008" t="str">
        <f t="shared" si="312"/>
        <v/>
      </c>
      <c r="R2008" t="str">
        <f t="shared" si="313"/>
        <v/>
      </c>
      <c r="S2008" t="str">
        <f t="shared" si="314"/>
        <v/>
      </c>
      <c r="T2008" t="str">
        <f t="shared" si="315"/>
        <v/>
      </c>
      <c r="U2008" t="str">
        <f t="shared" si="316"/>
        <v/>
      </c>
      <c r="V2008" t="str">
        <f t="shared" si="317"/>
        <v/>
      </c>
      <c r="W2008" t="str">
        <f t="shared" si="318"/>
        <v/>
      </c>
      <c r="X2008">
        <f>IF($T2008="",N($X2007),IF(MATCH($T2008,$T$6:$T$10005,0)=ROW()-5,N($X2007)+1,N($X2007)))</f>
        <v>0</v>
      </c>
      <c r="Z2008" t="str">
        <f t="shared" si="319"/>
        <v/>
      </c>
      <c r="AA2008">
        <f>IF($V2008="",N($AA2007),IF(MATCH($V2008,$V$6:$V$10005,0)=ROW()-5,N($AA2007)+1,N($AA2007)))</f>
        <v>0</v>
      </c>
    </row>
    <row r="2009" spans="1:27" ht="21" customHeight="1" x14ac:dyDescent="0.95">
      <c r="A2009" s="56"/>
      <c r="B2009" s="57"/>
      <c r="C2009" s="57"/>
      <c r="D2009" s="57"/>
      <c r="E2009" s="56"/>
      <c r="F2009" s="57"/>
      <c r="G2009" s="57"/>
      <c r="H2009" s="56"/>
      <c r="I2009" s="56"/>
      <c r="J2009" s="58"/>
      <c r="K2009" s="58"/>
      <c r="L2009" s="13" t="str">
        <f t="shared" si="310"/>
        <v/>
      </c>
      <c r="M2009" s="13" t="str">
        <f t="shared" si="311"/>
        <v/>
      </c>
      <c r="Q2009" t="str">
        <f t="shared" si="312"/>
        <v/>
      </c>
      <c r="R2009" t="str">
        <f t="shared" si="313"/>
        <v/>
      </c>
      <c r="S2009" t="str">
        <f t="shared" si="314"/>
        <v/>
      </c>
      <c r="T2009" t="str">
        <f t="shared" si="315"/>
        <v/>
      </c>
      <c r="U2009" t="str">
        <f t="shared" si="316"/>
        <v/>
      </c>
      <c r="V2009" t="str">
        <f t="shared" si="317"/>
        <v/>
      </c>
      <c r="W2009" t="str">
        <f t="shared" si="318"/>
        <v/>
      </c>
      <c r="X2009">
        <f>IF($T2009="",N($X2008),IF(MATCH($T2009,$T$6:$T$10005,0)=ROW()-5,N($X2008)+1,N($X2008)))</f>
        <v>0</v>
      </c>
      <c r="Z2009" t="str">
        <f t="shared" si="319"/>
        <v/>
      </c>
      <c r="AA2009">
        <f>IF($V2009="",N($AA2008),IF(MATCH($V2009,$V$6:$V$10005,0)=ROW()-5,N($AA2008)+1,N($AA2008)))</f>
        <v>0</v>
      </c>
    </row>
    <row r="2010" spans="1:27" ht="21" customHeight="1" x14ac:dyDescent="0.95">
      <c r="A2010" s="56"/>
      <c r="B2010" s="57"/>
      <c r="C2010" s="57"/>
      <c r="D2010" s="57"/>
      <c r="E2010" s="56"/>
      <c r="F2010" s="57"/>
      <c r="G2010" s="57"/>
      <c r="H2010" s="56"/>
      <c r="I2010" s="56"/>
      <c r="J2010" s="58"/>
      <c r="K2010" s="58"/>
      <c r="L2010" s="13" t="str">
        <f t="shared" si="310"/>
        <v/>
      </c>
      <c r="M2010" s="13" t="str">
        <f t="shared" si="311"/>
        <v/>
      </c>
      <c r="Q2010" t="str">
        <f t="shared" si="312"/>
        <v/>
      </c>
      <c r="R2010" t="str">
        <f t="shared" si="313"/>
        <v/>
      </c>
      <c r="S2010" t="str">
        <f t="shared" si="314"/>
        <v/>
      </c>
      <c r="T2010" t="str">
        <f t="shared" si="315"/>
        <v/>
      </c>
      <c r="U2010" t="str">
        <f t="shared" si="316"/>
        <v/>
      </c>
      <c r="V2010" t="str">
        <f t="shared" si="317"/>
        <v/>
      </c>
      <c r="W2010" t="str">
        <f t="shared" si="318"/>
        <v/>
      </c>
      <c r="X2010">
        <f>IF($T2010="",N($X2009),IF(MATCH($T2010,$T$6:$T$10005,0)=ROW()-5,N($X2009)+1,N($X2009)))</f>
        <v>0</v>
      </c>
      <c r="Z2010" t="str">
        <f t="shared" si="319"/>
        <v/>
      </c>
      <c r="AA2010">
        <f>IF($V2010="",N($AA2009),IF(MATCH($V2010,$V$6:$V$10005,0)=ROW()-5,N($AA2009)+1,N($AA2009)))</f>
        <v>0</v>
      </c>
    </row>
    <row r="2011" spans="1:27" ht="21" customHeight="1" x14ac:dyDescent="0.95">
      <c r="A2011" s="56"/>
      <c r="B2011" s="57"/>
      <c r="C2011" s="57"/>
      <c r="D2011" s="57"/>
      <c r="E2011" s="56"/>
      <c r="F2011" s="57"/>
      <c r="G2011" s="57"/>
      <c r="H2011" s="56"/>
      <c r="I2011" s="56"/>
      <c r="J2011" s="58"/>
      <c r="K2011" s="58"/>
      <c r="L2011" s="13" t="str">
        <f t="shared" si="310"/>
        <v/>
      </c>
      <c r="M2011" s="13" t="str">
        <f t="shared" si="311"/>
        <v/>
      </c>
      <c r="Q2011" t="str">
        <f t="shared" si="312"/>
        <v/>
      </c>
      <c r="R2011" t="str">
        <f t="shared" si="313"/>
        <v/>
      </c>
      <c r="S2011" t="str">
        <f t="shared" si="314"/>
        <v/>
      </c>
      <c r="T2011" t="str">
        <f t="shared" si="315"/>
        <v/>
      </c>
      <c r="U2011" t="str">
        <f t="shared" si="316"/>
        <v/>
      </c>
      <c r="V2011" t="str">
        <f t="shared" si="317"/>
        <v/>
      </c>
      <c r="W2011" t="str">
        <f t="shared" si="318"/>
        <v/>
      </c>
      <c r="X2011">
        <f>IF($T2011="",N($X2010),IF(MATCH($T2011,$T$6:$T$10005,0)=ROW()-5,N($X2010)+1,N($X2010)))</f>
        <v>0</v>
      </c>
      <c r="Z2011" t="str">
        <f t="shared" si="319"/>
        <v/>
      </c>
      <c r="AA2011">
        <f>IF($V2011="",N($AA2010),IF(MATCH($V2011,$V$6:$V$10005,0)=ROW()-5,N($AA2010)+1,N($AA2010)))</f>
        <v>0</v>
      </c>
    </row>
    <row r="2012" spans="1:27" ht="21" customHeight="1" x14ac:dyDescent="0.95">
      <c r="A2012" s="56"/>
      <c r="B2012" s="57"/>
      <c r="C2012" s="57"/>
      <c r="D2012" s="57"/>
      <c r="E2012" s="56"/>
      <c r="F2012" s="57"/>
      <c r="G2012" s="57"/>
      <c r="H2012" s="56"/>
      <c r="I2012" s="56"/>
      <c r="J2012" s="58"/>
      <c r="K2012" s="58"/>
      <c r="L2012" s="13" t="str">
        <f t="shared" si="310"/>
        <v/>
      </c>
      <c r="M2012" s="13" t="str">
        <f t="shared" si="311"/>
        <v/>
      </c>
      <c r="Q2012" t="str">
        <f t="shared" si="312"/>
        <v/>
      </c>
      <c r="R2012" t="str">
        <f t="shared" si="313"/>
        <v/>
      </c>
      <c r="S2012" t="str">
        <f t="shared" si="314"/>
        <v/>
      </c>
      <c r="T2012" t="str">
        <f t="shared" si="315"/>
        <v/>
      </c>
      <c r="U2012" t="str">
        <f t="shared" si="316"/>
        <v/>
      </c>
      <c r="V2012" t="str">
        <f t="shared" si="317"/>
        <v/>
      </c>
      <c r="W2012" t="str">
        <f t="shared" si="318"/>
        <v/>
      </c>
      <c r="X2012">
        <f>IF($T2012="",N($X2011),IF(MATCH($T2012,$T$6:$T$10005,0)=ROW()-5,N($X2011)+1,N($X2011)))</f>
        <v>0</v>
      </c>
      <c r="Z2012" t="str">
        <f t="shared" si="319"/>
        <v/>
      </c>
      <c r="AA2012">
        <f>IF($V2012="",N($AA2011),IF(MATCH($V2012,$V$6:$V$10005,0)=ROW()-5,N($AA2011)+1,N($AA2011)))</f>
        <v>0</v>
      </c>
    </row>
    <row r="2013" spans="1:27" ht="21" customHeight="1" x14ac:dyDescent="0.95">
      <c r="A2013" s="56"/>
      <c r="B2013" s="57"/>
      <c r="C2013" s="57"/>
      <c r="D2013" s="57"/>
      <c r="E2013" s="56"/>
      <c r="F2013" s="57"/>
      <c r="G2013" s="57"/>
      <c r="H2013" s="56"/>
      <c r="I2013" s="56"/>
      <c r="J2013" s="58"/>
      <c r="K2013" s="58"/>
      <c r="L2013" s="13" t="str">
        <f t="shared" si="310"/>
        <v/>
      </c>
      <c r="M2013" s="13" t="str">
        <f t="shared" si="311"/>
        <v/>
      </c>
      <c r="Q2013" t="str">
        <f t="shared" si="312"/>
        <v/>
      </c>
      <c r="R2013" t="str">
        <f t="shared" si="313"/>
        <v/>
      </c>
      <c r="S2013" t="str">
        <f t="shared" si="314"/>
        <v/>
      </c>
      <c r="T2013" t="str">
        <f t="shared" si="315"/>
        <v/>
      </c>
      <c r="U2013" t="str">
        <f t="shared" si="316"/>
        <v/>
      </c>
      <c r="V2013" t="str">
        <f t="shared" si="317"/>
        <v/>
      </c>
      <c r="W2013" t="str">
        <f t="shared" si="318"/>
        <v/>
      </c>
      <c r="X2013">
        <f>IF($T2013="",N($X2012),IF(MATCH($T2013,$T$6:$T$10005,0)=ROW()-5,N($X2012)+1,N($X2012)))</f>
        <v>0</v>
      </c>
      <c r="Z2013" t="str">
        <f t="shared" si="319"/>
        <v/>
      </c>
      <c r="AA2013">
        <f>IF($V2013="",N($AA2012),IF(MATCH($V2013,$V$6:$V$10005,0)=ROW()-5,N($AA2012)+1,N($AA2012)))</f>
        <v>0</v>
      </c>
    </row>
    <row r="2014" spans="1:27" ht="21" customHeight="1" x14ac:dyDescent="0.95">
      <c r="A2014" s="56"/>
      <c r="B2014" s="57"/>
      <c r="C2014" s="57"/>
      <c r="D2014" s="57"/>
      <c r="E2014" s="56"/>
      <c r="F2014" s="57"/>
      <c r="G2014" s="57"/>
      <c r="H2014" s="56"/>
      <c r="I2014" s="56"/>
      <c r="J2014" s="58"/>
      <c r="K2014" s="58"/>
      <c r="L2014" s="13" t="str">
        <f t="shared" si="310"/>
        <v/>
      </c>
      <c r="M2014" s="13" t="str">
        <f t="shared" si="311"/>
        <v/>
      </c>
      <c r="Q2014" t="str">
        <f t="shared" si="312"/>
        <v/>
      </c>
      <c r="R2014" t="str">
        <f t="shared" si="313"/>
        <v/>
      </c>
      <c r="S2014" t="str">
        <f t="shared" si="314"/>
        <v/>
      </c>
      <c r="T2014" t="str">
        <f t="shared" si="315"/>
        <v/>
      </c>
      <c r="U2014" t="str">
        <f t="shared" si="316"/>
        <v/>
      </c>
      <c r="V2014" t="str">
        <f t="shared" si="317"/>
        <v/>
      </c>
      <c r="W2014" t="str">
        <f t="shared" si="318"/>
        <v/>
      </c>
      <c r="X2014">
        <f>IF($T2014="",N($X2013),IF(MATCH($T2014,$T$6:$T$10005,0)=ROW()-5,N($X2013)+1,N($X2013)))</f>
        <v>0</v>
      </c>
      <c r="Z2014" t="str">
        <f t="shared" si="319"/>
        <v/>
      </c>
      <c r="AA2014">
        <f>IF($V2014="",N($AA2013),IF(MATCH($V2014,$V$6:$V$10005,0)=ROW()-5,N($AA2013)+1,N($AA2013)))</f>
        <v>0</v>
      </c>
    </row>
    <row r="2015" spans="1:27" ht="21" customHeight="1" x14ac:dyDescent="0.95">
      <c r="A2015" s="56"/>
      <c r="B2015" s="57"/>
      <c r="C2015" s="57"/>
      <c r="D2015" s="57"/>
      <c r="E2015" s="56"/>
      <c r="F2015" s="57"/>
      <c r="G2015" s="57"/>
      <c r="H2015" s="56"/>
      <c r="I2015" s="56"/>
      <c r="J2015" s="58"/>
      <c r="K2015" s="58"/>
      <c r="L2015" s="13" t="str">
        <f t="shared" si="310"/>
        <v/>
      </c>
      <c r="M2015" s="13" t="str">
        <f t="shared" si="311"/>
        <v/>
      </c>
      <c r="Q2015" t="str">
        <f t="shared" si="312"/>
        <v/>
      </c>
      <c r="R2015" t="str">
        <f t="shared" si="313"/>
        <v/>
      </c>
      <c r="S2015" t="str">
        <f t="shared" si="314"/>
        <v/>
      </c>
      <c r="T2015" t="str">
        <f t="shared" si="315"/>
        <v/>
      </c>
      <c r="U2015" t="str">
        <f t="shared" si="316"/>
        <v/>
      </c>
      <c r="V2015" t="str">
        <f t="shared" si="317"/>
        <v/>
      </c>
      <c r="W2015" t="str">
        <f t="shared" si="318"/>
        <v/>
      </c>
      <c r="X2015">
        <f>IF($T2015="",N($X2014),IF(MATCH($T2015,$T$6:$T$10005,0)=ROW()-5,N($X2014)+1,N($X2014)))</f>
        <v>0</v>
      </c>
      <c r="Z2015" t="str">
        <f t="shared" si="319"/>
        <v/>
      </c>
      <c r="AA2015">
        <f>IF($V2015="",N($AA2014),IF(MATCH($V2015,$V$6:$V$10005,0)=ROW()-5,N($AA2014)+1,N($AA2014)))</f>
        <v>0</v>
      </c>
    </row>
    <row r="2016" spans="1:27" ht="21" customHeight="1" x14ac:dyDescent="0.95">
      <c r="A2016" s="56"/>
      <c r="B2016" s="57"/>
      <c r="C2016" s="57"/>
      <c r="D2016" s="57"/>
      <c r="E2016" s="56"/>
      <c r="F2016" s="57"/>
      <c r="G2016" s="57"/>
      <c r="H2016" s="56"/>
      <c r="I2016" s="56"/>
      <c r="J2016" s="58"/>
      <c r="K2016" s="58"/>
      <c r="L2016" s="13" t="str">
        <f t="shared" si="310"/>
        <v/>
      </c>
      <c r="M2016" s="13" t="str">
        <f t="shared" si="311"/>
        <v/>
      </c>
      <c r="Q2016" t="str">
        <f t="shared" si="312"/>
        <v/>
      </c>
      <c r="R2016" t="str">
        <f t="shared" si="313"/>
        <v/>
      </c>
      <c r="S2016" t="str">
        <f t="shared" si="314"/>
        <v/>
      </c>
      <c r="T2016" t="str">
        <f t="shared" si="315"/>
        <v/>
      </c>
      <c r="U2016" t="str">
        <f t="shared" si="316"/>
        <v/>
      </c>
      <c r="V2016" t="str">
        <f t="shared" si="317"/>
        <v/>
      </c>
      <c r="W2016" t="str">
        <f t="shared" si="318"/>
        <v/>
      </c>
      <c r="X2016">
        <f>IF($T2016="",N($X2015),IF(MATCH($T2016,$T$6:$T$10005,0)=ROW()-5,N($X2015)+1,N($X2015)))</f>
        <v>0</v>
      </c>
      <c r="Z2016" t="str">
        <f t="shared" si="319"/>
        <v/>
      </c>
      <c r="AA2016">
        <f>IF($V2016="",N($AA2015),IF(MATCH($V2016,$V$6:$V$10005,0)=ROW()-5,N($AA2015)+1,N($AA2015)))</f>
        <v>0</v>
      </c>
    </row>
    <row r="2017" spans="1:27" ht="21" customHeight="1" x14ac:dyDescent="0.95">
      <c r="A2017" s="56"/>
      <c r="B2017" s="57"/>
      <c r="C2017" s="57"/>
      <c r="D2017" s="57"/>
      <c r="E2017" s="56"/>
      <c r="F2017" s="57"/>
      <c r="G2017" s="57"/>
      <c r="H2017" s="56"/>
      <c r="I2017" s="56"/>
      <c r="J2017" s="58"/>
      <c r="K2017" s="58"/>
      <c r="L2017" s="13" t="str">
        <f t="shared" si="310"/>
        <v/>
      </c>
      <c r="M2017" s="13" t="str">
        <f t="shared" si="311"/>
        <v/>
      </c>
      <c r="Q2017" t="str">
        <f t="shared" si="312"/>
        <v/>
      </c>
      <c r="R2017" t="str">
        <f t="shared" si="313"/>
        <v/>
      </c>
      <c r="S2017" t="str">
        <f t="shared" si="314"/>
        <v/>
      </c>
      <c r="T2017" t="str">
        <f t="shared" si="315"/>
        <v/>
      </c>
      <c r="U2017" t="str">
        <f t="shared" si="316"/>
        <v/>
      </c>
      <c r="V2017" t="str">
        <f t="shared" si="317"/>
        <v/>
      </c>
      <c r="W2017" t="str">
        <f t="shared" si="318"/>
        <v/>
      </c>
      <c r="X2017">
        <f>IF($T2017="",N($X2016),IF(MATCH($T2017,$T$6:$T$10005,0)=ROW()-5,N($X2016)+1,N($X2016)))</f>
        <v>0</v>
      </c>
      <c r="Z2017" t="str">
        <f t="shared" si="319"/>
        <v/>
      </c>
      <c r="AA2017">
        <f>IF($V2017="",N($AA2016),IF(MATCH($V2017,$V$6:$V$10005,0)=ROW()-5,N($AA2016)+1,N($AA2016)))</f>
        <v>0</v>
      </c>
    </row>
    <row r="2018" spans="1:27" ht="21" customHeight="1" x14ac:dyDescent="0.95">
      <c r="A2018" s="56"/>
      <c r="B2018" s="57"/>
      <c r="C2018" s="57"/>
      <c r="D2018" s="57"/>
      <c r="E2018" s="56"/>
      <c r="F2018" s="57"/>
      <c r="G2018" s="57"/>
      <c r="H2018" s="56"/>
      <c r="I2018" s="56"/>
      <c r="J2018" s="58"/>
      <c r="K2018" s="58"/>
      <c r="L2018" s="13" t="str">
        <f t="shared" si="310"/>
        <v/>
      </c>
      <c r="M2018" s="13" t="str">
        <f t="shared" si="311"/>
        <v/>
      </c>
      <c r="Q2018" t="str">
        <f t="shared" si="312"/>
        <v/>
      </c>
      <c r="R2018" t="str">
        <f t="shared" si="313"/>
        <v/>
      </c>
      <c r="S2018" t="str">
        <f t="shared" si="314"/>
        <v/>
      </c>
      <c r="T2018" t="str">
        <f t="shared" si="315"/>
        <v/>
      </c>
      <c r="U2018" t="str">
        <f t="shared" si="316"/>
        <v/>
      </c>
      <c r="V2018" t="str">
        <f t="shared" si="317"/>
        <v/>
      </c>
      <c r="W2018" t="str">
        <f t="shared" si="318"/>
        <v/>
      </c>
      <c r="X2018">
        <f>IF($T2018="",N($X2017),IF(MATCH($T2018,$T$6:$T$10005,0)=ROW()-5,N($X2017)+1,N($X2017)))</f>
        <v>0</v>
      </c>
      <c r="Z2018" t="str">
        <f t="shared" si="319"/>
        <v/>
      </c>
      <c r="AA2018">
        <f>IF($V2018="",N($AA2017),IF(MATCH($V2018,$V$6:$V$10005,0)=ROW()-5,N($AA2017)+1,N($AA2017)))</f>
        <v>0</v>
      </c>
    </row>
    <row r="2019" spans="1:27" ht="21" customHeight="1" x14ac:dyDescent="0.95">
      <c r="A2019" s="56"/>
      <c r="B2019" s="57"/>
      <c r="C2019" s="57"/>
      <c r="D2019" s="57"/>
      <c r="E2019" s="56"/>
      <c r="F2019" s="57"/>
      <c r="G2019" s="57"/>
      <c r="H2019" s="56"/>
      <c r="I2019" s="56"/>
      <c r="J2019" s="58"/>
      <c r="K2019" s="58"/>
      <c r="L2019" s="13" t="str">
        <f t="shared" si="310"/>
        <v/>
      </c>
      <c r="M2019" s="13" t="str">
        <f t="shared" si="311"/>
        <v/>
      </c>
      <c r="Q2019" t="str">
        <f t="shared" si="312"/>
        <v/>
      </c>
      <c r="R2019" t="str">
        <f t="shared" si="313"/>
        <v/>
      </c>
      <c r="S2019" t="str">
        <f t="shared" si="314"/>
        <v/>
      </c>
      <c r="T2019" t="str">
        <f t="shared" si="315"/>
        <v/>
      </c>
      <c r="U2019" t="str">
        <f t="shared" si="316"/>
        <v/>
      </c>
      <c r="V2019" t="str">
        <f t="shared" si="317"/>
        <v/>
      </c>
      <c r="W2019" t="str">
        <f t="shared" si="318"/>
        <v/>
      </c>
      <c r="X2019">
        <f>IF($T2019="",N($X2018),IF(MATCH($T2019,$T$6:$T$10005,0)=ROW()-5,N($X2018)+1,N($X2018)))</f>
        <v>0</v>
      </c>
      <c r="Z2019" t="str">
        <f t="shared" si="319"/>
        <v/>
      </c>
      <c r="AA2019">
        <f>IF($V2019="",N($AA2018),IF(MATCH($V2019,$V$6:$V$10005,0)=ROW()-5,N($AA2018)+1,N($AA2018)))</f>
        <v>0</v>
      </c>
    </row>
    <row r="2020" spans="1:27" ht="21" customHeight="1" x14ac:dyDescent="0.95">
      <c r="A2020" s="56"/>
      <c r="B2020" s="57"/>
      <c r="C2020" s="57"/>
      <c r="D2020" s="57"/>
      <c r="E2020" s="56"/>
      <c r="F2020" s="57"/>
      <c r="G2020" s="57"/>
      <c r="H2020" s="56"/>
      <c r="I2020" s="56"/>
      <c r="J2020" s="58"/>
      <c r="K2020" s="58"/>
      <c r="L2020" s="13" t="str">
        <f t="shared" si="310"/>
        <v/>
      </c>
      <c r="M2020" s="13" t="str">
        <f t="shared" si="311"/>
        <v/>
      </c>
      <c r="Q2020" t="str">
        <f t="shared" si="312"/>
        <v/>
      </c>
      <c r="R2020" t="str">
        <f t="shared" si="313"/>
        <v/>
      </c>
      <c r="S2020" t="str">
        <f t="shared" si="314"/>
        <v/>
      </c>
      <c r="T2020" t="str">
        <f t="shared" si="315"/>
        <v/>
      </c>
      <c r="U2020" t="str">
        <f t="shared" si="316"/>
        <v/>
      </c>
      <c r="V2020" t="str">
        <f t="shared" si="317"/>
        <v/>
      </c>
      <c r="W2020" t="str">
        <f t="shared" si="318"/>
        <v/>
      </c>
      <c r="X2020">
        <f>IF($T2020="",N($X2019),IF(MATCH($T2020,$T$6:$T$10005,0)=ROW()-5,N($X2019)+1,N($X2019)))</f>
        <v>0</v>
      </c>
      <c r="Z2020" t="str">
        <f t="shared" si="319"/>
        <v/>
      </c>
      <c r="AA2020">
        <f>IF($V2020="",N($AA2019),IF(MATCH($V2020,$V$6:$V$10005,0)=ROW()-5,N($AA2019)+1,N($AA2019)))</f>
        <v>0</v>
      </c>
    </row>
    <row r="2021" spans="1:27" ht="21" customHeight="1" x14ac:dyDescent="0.95">
      <c r="A2021" s="56"/>
      <c r="B2021" s="57"/>
      <c r="C2021" s="57"/>
      <c r="D2021" s="57"/>
      <c r="E2021" s="56"/>
      <c r="F2021" s="57"/>
      <c r="G2021" s="57"/>
      <c r="H2021" s="56"/>
      <c r="I2021" s="56"/>
      <c r="J2021" s="58"/>
      <c r="K2021" s="58"/>
      <c r="L2021" s="13" t="str">
        <f t="shared" si="310"/>
        <v/>
      </c>
      <c r="M2021" s="13" t="str">
        <f t="shared" si="311"/>
        <v/>
      </c>
      <c r="Q2021" t="str">
        <f t="shared" si="312"/>
        <v/>
      </c>
      <c r="R2021" t="str">
        <f t="shared" si="313"/>
        <v/>
      </c>
      <c r="S2021" t="str">
        <f t="shared" si="314"/>
        <v/>
      </c>
      <c r="T2021" t="str">
        <f t="shared" si="315"/>
        <v/>
      </c>
      <c r="U2021" t="str">
        <f t="shared" si="316"/>
        <v/>
      </c>
      <c r="V2021" t="str">
        <f t="shared" si="317"/>
        <v/>
      </c>
      <c r="W2021" t="str">
        <f t="shared" si="318"/>
        <v/>
      </c>
      <c r="X2021">
        <f>IF($T2021="",N($X2020),IF(MATCH($T2021,$T$6:$T$10005,0)=ROW()-5,N($X2020)+1,N($X2020)))</f>
        <v>0</v>
      </c>
      <c r="Z2021" t="str">
        <f t="shared" si="319"/>
        <v/>
      </c>
      <c r="AA2021">
        <f>IF($V2021="",N($AA2020),IF(MATCH($V2021,$V$6:$V$10005,0)=ROW()-5,N($AA2020)+1,N($AA2020)))</f>
        <v>0</v>
      </c>
    </row>
    <row r="2022" spans="1:27" ht="21" customHeight="1" x14ac:dyDescent="0.95">
      <c r="A2022" s="56"/>
      <c r="B2022" s="57"/>
      <c r="C2022" s="57"/>
      <c r="D2022" s="57"/>
      <c r="E2022" s="56"/>
      <c r="F2022" s="57"/>
      <c r="G2022" s="57"/>
      <c r="H2022" s="56"/>
      <c r="I2022" s="56"/>
      <c r="J2022" s="58"/>
      <c r="K2022" s="58"/>
      <c r="L2022" s="13" t="str">
        <f t="shared" si="310"/>
        <v/>
      </c>
      <c r="M2022" s="13" t="str">
        <f t="shared" si="311"/>
        <v/>
      </c>
      <c r="Q2022" t="str">
        <f t="shared" si="312"/>
        <v/>
      </c>
      <c r="R2022" t="str">
        <f t="shared" si="313"/>
        <v/>
      </c>
      <c r="S2022" t="str">
        <f t="shared" si="314"/>
        <v/>
      </c>
      <c r="T2022" t="str">
        <f t="shared" si="315"/>
        <v/>
      </c>
      <c r="U2022" t="str">
        <f t="shared" si="316"/>
        <v/>
      </c>
      <c r="V2022" t="str">
        <f t="shared" si="317"/>
        <v/>
      </c>
      <c r="W2022" t="str">
        <f t="shared" si="318"/>
        <v/>
      </c>
      <c r="X2022">
        <f>IF($T2022="",N($X2021),IF(MATCH($T2022,$T$6:$T$10005,0)=ROW()-5,N($X2021)+1,N($X2021)))</f>
        <v>0</v>
      </c>
      <c r="Z2022" t="str">
        <f t="shared" si="319"/>
        <v/>
      </c>
      <c r="AA2022">
        <f>IF($V2022="",N($AA2021),IF(MATCH($V2022,$V$6:$V$10005,0)=ROW()-5,N($AA2021)+1,N($AA2021)))</f>
        <v>0</v>
      </c>
    </row>
    <row r="2023" spans="1:27" ht="21" customHeight="1" x14ac:dyDescent="0.95">
      <c r="A2023" s="56"/>
      <c r="B2023" s="57"/>
      <c r="C2023" s="57"/>
      <c r="D2023" s="57"/>
      <c r="E2023" s="56"/>
      <c r="F2023" s="57"/>
      <c r="G2023" s="57"/>
      <c r="H2023" s="56"/>
      <c r="I2023" s="56"/>
      <c r="J2023" s="58"/>
      <c r="K2023" s="58"/>
      <c r="L2023" s="13" t="str">
        <f t="shared" si="310"/>
        <v/>
      </c>
      <c r="M2023" s="13" t="str">
        <f t="shared" si="311"/>
        <v/>
      </c>
      <c r="Q2023" t="str">
        <f t="shared" si="312"/>
        <v/>
      </c>
      <c r="R2023" t="str">
        <f t="shared" si="313"/>
        <v/>
      </c>
      <c r="S2023" t="str">
        <f t="shared" si="314"/>
        <v/>
      </c>
      <c r="T2023" t="str">
        <f t="shared" si="315"/>
        <v/>
      </c>
      <c r="U2023" t="str">
        <f t="shared" si="316"/>
        <v/>
      </c>
      <c r="V2023" t="str">
        <f t="shared" si="317"/>
        <v/>
      </c>
      <c r="W2023" t="str">
        <f t="shared" si="318"/>
        <v/>
      </c>
      <c r="X2023">
        <f>IF($T2023="",N($X2022),IF(MATCH($T2023,$T$6:$T$10005,0)=ROW()-5,N($X2022)+1,N($X2022)))</f>
        <v>0</v>
      </c>
      <c r="Z2023" t="str">
        <f t="shared" si="319"/>
        <v/>
      </c>
      <c r="AA2023">
        <f>IF($V2023="",N($AA2022),IF(MATCH($V2023,$V$6:$V$10005,0)=ROW()-5,N($AA2022)+1,N($AA2022)))</f>
        <v>0</v>
      </c>
    </row>
    <row r="2024" spans="1:27" ht="21" customHeight="1" x14ac:dyDescent="0.95">
      <c r="A2024" s="56"/>
      <c r="B2024" s="57"/>
      <c r="C2024" s="57"/>
      <c r="D2024" s="57"/>
      <c r="E2024" s="56"/>
      <c r="F2024" s="57"/>
      <c r="G2024" s="57"/>
      <c r="H2024" s="56"/>
      <c r="I2024" s="56"/>
      <c r="J2024" s="58"/>
      <c r="K2024" s="58"/>
      <c r="L2024" s="13" t="str">
        <f t="shared" si="310"/>
        <v/>
      </c>
      <c r="M2024" s="13" t="str">
        <f t="shared" si="311"/>
        <v/>
      </c>
      <c r="Q2024" t="str">
        <f t="shared" si="312"/>
        <v/>
      </c>
      <c r="R2024" t="str">
        <f t="shared" si="313"/>
        <v/>
      </c>
      <c r="S2024" t="str">
        <f t="shared" si="314"/>
        <v/>
      </c>
      <c r="T2024" t="str">
        <f t="shared" si="315"/>
        <v/>
      </c>
      <c r="U2024" t="str">
        <f t="shared" si="316"/>
        <v/>
      </c>
      <c r="V2024" t="str">
        <f t="shared" si="317"/>
        <v/>
      </c>
      <c r="W2024" t="str">
        <f t="shared" si="318"/>
        <v/>
      </c>
      <c r="X2024">
        <f>IF($T2024="",N($X2023),IF(MATCH($T2024,$T$6:$T$10005,0)=ROW()-5,N($X2023)+1,N($X2023)))</f>
        <v>0</v>
      </c>
      <c r="Z2024" t="str">
        <f t="shared" si="319"/>
        <v/>
      </c>
      <c r="AA2024">
        <f>IF($V2024="",N($AA2023),IF(MATCH($V2024,$V$6:$V$10005,0)=ROW()-5,N($AA2023)+1,N($AA2023)))</f>
        <v>0</v>
      </c>
    </row>
    <row r="2025" spans="1:27" ht="21" customHeight="1" x14ac:dyDescent="0.95">
      <c r="A2025" s="56"/>
      <c r="B2025" s="57"/>
      <c r="C2025" s="57"/>
      <c r="D2025" s="57"/>
      <c r="E2025" s="56"/>
      <c r="F2025" s="57"/>
      <c r="G2025" s="57"/>
      <c r="H2025" s="56"/>
      <c r="I2025" s="56"/>
      <c r="J2025" s="58"/>
      <c r="K2025" s="58"/>
      <c r="L2025" s="13" t="str">
        <f t="shared" si="310"/>
        <v/>
      </c>
      <c r="M2025" s="13" t="str">
        <f t="shared" si="311"/>
        <v/>
      </c>
      <c r="Q2025" t="str">
        <f t="shared" si="312"/>
        <v/>
      </c>
      <c r="R2025" t="str">
        <f t="shared" si="313"/>
        <v/>
      </c>
      <c r="S2025" t="str">
        <f t="shared" si="314"/>
        <v/>
      </c>
      <c r="T2025" t="str">
        <f t="shared" si="315"/>
        <v/>
      </c>
      <c r="U2025" t="str">
        <f t="shared" si="316"/>
        <v/>
      </c>
      <c r="V2025" t="str">
        <f t="shared" si="317"/>
        <v/>
      </c>
      <c r="W2025" t="str">
        <f t="shared" si="318"/>
        <v/>
      </c>
      <c r="X2025">
        <f>IF($T2025="",N($X2024),IF(MATCH($T2025,$T$6:$T$10005,0)=ROW()-5,N($X2024)+1,N($X2024)))</f>
        <v>0</v>
      </c>
      <c r="Z2025" t="str">
        <f t="shared" si="319"/>
        <v/>
      </c>
      <c r="AA2025">
        <f>IF($V2025="",N($AA2024),IF(MATCH($V2025,$V$6:$V$10005,0)=ROW()-5,N($AA2024)+1,N($AA2024)))</f>
        <v>0</v>
      </c>
    </row>
    <row r="2026" spans="1:27" ht="21" customHeight="1" x14ac:dyDescent="0.95">
      <c r="A2026" s="56"/>
      <c r="B2026" s="57"/>
      <c r="C2026" s="57"/>
      <c r="D2026" s="57"/>
      <c r="E2026" s="56"/>
      <c r="F2026" s="57"/>
      <c r="G2026" s="57"/>
      <c r="H2026" s="56"/>
      <c r="I2026" s="56"/>
      <c r="J2026" s="58"/>
      <c r="K2026" s="58"/>
      <c r="L2026" s="13" t="str">
        <f t="shared" si="310"/>
        <v/>
      </c>
      <c r="M2026" s="13" t="str">
        <f t="shared" si="311"/>
        <v/>
      </c>
      <c r="Q2026" t="str">
        <f t="shared" si="312"/>
        <v/>
      </c>
      <c r="R2026" t="str">
        <f t="shared" si="313"/>
        <v/>
      </c>
      <c r="S2026" t="str">
        <f t="shared" si="314"/>
        <v/>
      </c>
      <c r="T2026" t="str">
        <f t="shared" si="315"/>
        <v/>
      </c>
      <c r="U2026" t="str">
        <f t="shared" si="316"/>
        <v/>
      </c>
      <c r="V2026" t="str">
        <f t="shared" si="317"/>
        <v/>
      </c>
      <c r="W2026" t="str">
        <f t="shared" si="318"/>
        <v/>
      </c>
      <c r="X2026">
        <f>IF($T2026="",N($X2025),IF(MATCH($T2026,$T$6:$T$10005,0)=ROW()-5,N($X2025)+1,N($X2025)))</f>
        <v>0</v>
      </c>
      <c r="Z2026" t="str">
        <f t="shared" si="319"/>
        <v/>
      </c>
      <c r="AA2026">
        <f>IF($V2026="",N($AA2025),IF(MATCH($V2026,$V$6:$V$10005,0)=ROW()-5,N($AA2025)+1,N($AA2025)))</f>
        <v>0</v>
      </c>
    </row>
    <row r="2027" spans="1:27" ht="21" customHeight="1" x14ac:dyDescent="0.95">
      <c r="A2027" s="56"/>
      <c r="B2027" s="57"/>
      <c r="C2027" s="57"/>
      <c r="D2027" s="57"/>
      <c r="E2027" s="56"/>
      <c r="F2027" s="57"/>
      <c r="G2027" s="57"/>
      <c r="H2027" s="56"/>
      <c r="I2027" s="56"/>
      <c r="J2027" s="58"/>
      <c r="K2027" s="58"/>
      <c r="L2027" s="13" t="str">
        <f t="shared" si="310"/>
        <v/>
      </c>
      <c r="M2027" s="13" t="str">
        <f t="shared" si="311"/>
        <v/>
      </c>
      <c r="Q2027" t="str">
        <f t="shared" si="312"/>
        <v/>
      </c>
      <c r="R2027" t="str">
        <f t="shared" si="313"/>
        <v/>
      </c>
      <c r="S2027" t="str">
        <f t="shared" si="314"/>
        <v/>
      </c>
      <c r="T2027" t="str">
        <f t="shared" si="315"/>
        <v/>
      </c>
      <c r="U2027" t="str">
        <f t="shared" si="316"/>
        <v/>
      </c>
      <c r="V2027" t="str">
        <f t="shared" si="317"/>
        <v/>
      </c>
      <c r="W2027" t="str">
        <f t="shared" si="318"/>
        <v/>
      </c>
      <c r="X2027">
        <f>IF($T2027="",N($X2026),IF(MATCH($T2027,$T$6:$T$10005,0)=ROW()-5,N($X2026)+1,N($X2026)))</f>
        <v>0</v>
      </c>
      <c r="Z2027" t="str">
        <f t="shared" si="319"/>
        <v/>
      </c>
      <c r="AA2027">
        <f>IF($V2027="",N($AA2026),IF(MATCH($V2027,$V$6:$V$10005,0)=ROW()-5,N($AA2026)+1,N($AA2026)))</f>
        <v>0</v>
      </c>
    </row>
    <row r="2028" spans="1:27" ht="21" customHeight="1" x14ac:dyDescent="0.95">
      <c r="A2028" s="56"/>
      <c r="B2028" s="57"/>
      <c r="C2028" s="57"/>
      <c r="D2028" s="57"/>
      <c r="E2028" s="56"/>
      <c r="F2028" s="57"/>
      <c r="G2028" s="57"/>
      <c r="H2028" s="56"/>
      <c r="I2028" s="56"/>
      <c r="J2028" s="58"/>
      <c r="K2028" s="58"/>
      <c r="L2028" s="13" t="str">
        <f t="shared" si="310"/>
        <v/>
      </c>
      <c r="M2028" s="13" t="str">
        <f t="shared" si="311"/>
        <v/>
      </c>
      <c r="Q2028" t="str">
        <f t="shared" si="312"/>
        <v/>
      </c>
      <c r="R2028" t="str">
        <f t="shared" si="313"/>
        <v/>
      </c>
      <c r="S2028" t="str">
        <f t="shared" si="314"/>
        <v/>
      </c>
      <c r="T2028" t="str">
        <f t="shared" si="315"/>
        <v/>
      </c>
      <c r="U2028" t="str">
        <f t="shared" si="316"/>
        <v/>
      </c>
      <c r="V2028" t="str">
        <f t="shared" si="317"/>
        <v/>
      </c>
      <c r="W2028" t="str">
        <f t="shared" si="318"/>
        <v/>
      </c>
      <c r="X2028">
        <f>IF($T2028="",N($X2027),IF(MATCH($T2028,$T$6:$T$10005,0)=ROW()-5,N($X2027)+1,N($X2027)))</f>
        <v>0</v>
      </c>
      <c r="Z2028" t="str">
        <f t="shared" si="319"/>
        <v/>
      </c>
      <c r="AA2028">
        <f>IF($V2028="",N($AA2027),IF(MATCH($V2028,$V$6:$V$10005,0)=ROW()-5,N($AA2027)+1,N($AA2027)))</f>
        <v>0</v>
      </c>
    </row>
    <row r="2029" spans="1:27" ht="21" customHeight="1" x14ac:dyDescent="0.95">
      <c r="A2029" s="56"/>
      <c r="B2029" s="57"/>
      <c r="C2029" s="57"/>
      <c r="D2029" s="57"/>
      <c r="E2029" s="56"/>
      <c r="F2029" s="57"/>
      <c r="G2029" s="57"/>
      <c r="H2029" s="56"/>
      <c r="I2029" s="56"/>
      <c r="J2029" s="58"/>
      <c r="K2029" s="58"/>
      <c r="L2029" s="13" t="str">
        <f t="shared" si="310"/>
        <v/>
      </c>
      <c r="M2029" s="13" t="str">
        <f t="shared" si="311"/>
        <v/>
      </c>
      <c r="Q2029" t="str">
        <f t="shared" si="312"/>
        <v/>
      </c>
      <c r="R2029" t="str">
        <f t="shared" si="313"/>
        <v/>
      </c>
      <c r="S2029" t="str">
        <f t="shared" si="314"/>
        <v/>
      </c>
      <c r="T2029" t="str">
        <f t="shared" si="315"/>
        <v/>
      </c>
      <c r="U2029" t="str">
        <f t="shared" si="316"/>
        <v/>
      </c>
      <c r="V2029" t="str">
        <f t="shared" si="317"/>
        <v/>
      </c>
      <c r="W2029" t="str">
        <f t="shared" si="318"/>
        <v/>
      </c>
      <c r="X2029">
        <f>IF($T2029="",N($X2028),IF(MATCH($T2029,$T$6:$T$10005,0)=ROW()-5,N($X2028)+1,N($X2028)))</f>
        <v>0</v>
      </c>
      <c r="Z2029" t="str">
        <f t="shared" si="319"/>
        <v/>
      </c>
      <c r="AA2029">
        <f>IF($V2029="",N($AA2028),IF(MATCH($V2029,$V$6:$V$10005,0)=ROW()-5,N($AA2028)+1,N($AA2028)))</f>
        <v>0</v>
      </c>
    </row>
    <row r="2030" spans="1:27" ht="21" customHeight="1" x14ac:dyDescent="0.95">
      <c r="A2030" s="56"/>
      <c r="B2030" s="57"/>
      <c r="C2030" s="57"/>
      <c r="D2030" s="57"/>
      <c r="E2030" s="56"/>
      <c r="F2030" s="57"/>
      <c r="G2030" s="57"/>
      <c r="H2030" s="56"/>
      <c r="I2030" s="56"/>
      <c r="J2030" s="58"/>
      <c r="K2030" s="58"/>
      <c r="L2030" s="13" t="str">
        <f t="shared" si="310"/>
        <v/>
      </c>
      <c r="M2030" s="13" t="str">
        <f t="shared" si="311"/>
        <v/>
      </c>
      <c r="Q2030" t="str">
        <f t="shared" si="312"/>
        <v/>
      </c>
      <c r="R2030" t="str">
        <f t="shared" si="313"/>
        <v/>
      </c>
      <c r="S2030" t="str">
        <f t="shared" si="314"/>
        <v/>
      </c>
      <c r="T2030" t="str">
        <f t="shared" si="315"/>
        <v/>
      </c>
      <c r="U2030" t="str">
        <f t="shared" si="316"/>
        <v/>
      </c>
      <c r="V2030" t="str">
        <f t="shared" si="317"/>
        <v/>
      </c>
      <c r="W2030" t="str">
        <f t="shared" si="318"/>
        <v/>
      </c>
      <c r="X2030">
        <f>IF($T2030="",N($X2029),IF(MATCH($T2030,$T$6:$T$10005,0)=ROW()-5,N($X2029)+1,N($X2029)))</f>
        <v>0</v>
      </c>
      <c r="Z2030" t="str">
        <f t="shared" si="319"/>
        <v/>
      </c>
      <c r="AA2030">
        <f>IF($V2030="",N($AA2029),IF(MATCH($V2030,$V$6:$V$10005,0)=ROW()-5,N($AA2029)+1,N($AA2029)))</f>
        <v>0</v>
      </c>
    </row>
    <row r="2031" spans="1:27" ht="21" customHeight="1" x14ac:dyDescent="0.95">
      <c r="A2031" s="56"/>
      <c r="B2031" s="57"/>
      <c r="C2031" s="57"/>
      <c r="D2031" s="57"/>
      <c r="E2031" s="56"/>
      <c r="F2031" s="57"/>
      <c r="G2031" s="57"/>
      <c r="H2031" s="56"/>
      <c r="I2031" s="56"/>
      <c r="J2031" s="58"/>
      <c r="K2031" s="58"/>
      <c r="L2031" s="13" t="str">
        <f t="shared" si="310"/>
        <v/>
      </c>
      <c r="M2031" s="13" t="str">
        <f t="shared" si="311"/>
        <v/>
      </c>
      <c r="Q2031" t="str">
        <f t="shared" si="312"/>
        <v/>
      </c>
      <c r="R2031" t="str">
        <f t="shared" si="313"/>
        <v/>
      </c>
      <c r="S2031" t="str">
        <f t="shared" si="314"/>
        <v/>
      </c>
      <c r="T2031" t="str">
        <f t="shared" si="315"/>
        <v/>
      </c>
      <c r="U2031" t="str">
        <f t="shared" si="316"/>
        <v/>
      </c>
      <c r="V2031" t="str">
        <f t="shared" si="317"/>
        <v/>
      </c>
      <c r="W2031" t="str">
        <f t="shared" si="318"/>
        <v/>
      </c>
      <c r="X2031">
        <f>IF($T2031="",N($X2030),IF(MATCH($T2031,$T$6:$T$10005,0)=ROW()-5,N($X2030)+1,N($X2030)))</f>
        <v>0</v>
      </c>
      <c r="Z2031" t="str">
        <f t="shared" si="319"/>
        <v/>
      </c>
      <c r="AA2031">
        <f>IF($V2031="",N($AA2030),IF(MATCH($V2031,$V$6:$V$10005,0)=ROW()-5,N($AA2030)+1,N($AA2030)))</f>
        <v>0</v>
      </c>
    </row>
    <row r="2032" spans="1:27" ht="21" customHeight="1" x14ac:dyDescent="0.95">
      <c r="A2032" s="56"/>
      <c r="B2032" s="57"/>
      <c r="C2032" s="57"/>
      <c r="D2032" s="57"/>
      <c r="E2032" s="56"/>
      <c r="F2032" s="57"/>
      <c r="G2032" s="57"/>
      <c r="H2032" s="56"/>
      <c r="I2032" s="56"/>
      <c r="J2032" s="58"/>
      <c r="K2032" s="58"/>
      <c r="L2032" s="13" t="str">
        <f t="shared" si="310"/>
        <v/>
      </c>
      <c r="M2032" s="13" t="str">
        <f t="shared" si="311"/>
        <v/>
      </c>
      <c r="Q2032" t="str">
        <f t="shared" si="312"/>
        <v/>
      </c>
      <c r="R2032" t="str">
        <f t="shared" si="313"/>
        <v/>
      </c>
      <c r="S2032" t="str">
        <f t="shared" si="314"/>
        <v/>
      </c>
      <c r="T2032" t="str">
        <f t="shared" si="315"/>
        <v/>
      </c>
      <c r="U2032" t="str">
        <f t="shared" si="316"/>
        <v/>
      </c>
      <c r="V2032" t="str">
        <f t="shared" si="317"/>
        <v/>
      </c>
      <c r="W2032" t="str">
        <f t="shared" si="318"/>
        <v/>
      </c>
      <c r="X2032">
        <f>IF($T2032="",N($X2031),IF(MATCH($T2032,$T$6:$T$10005,0)=ROW()-5,N($X2031)+1,N($X2031)))</f>
        <v>0</v>
      </c>
      <c r="Z2032" t="str">
        <f t="shared" si="319"/>
        <v/>
      </c>
      <c r="AA2032">
        <f>IF($V2032="",N($AA2031),IF(MATCH($V2032,$V$6:$V$10005,0)=ROW()-5,N($AA2031)+1,N($AA2031)))</f>
        <v>0</v>
      </c>
    </row>
    <row r="2033" spans="1:27" ht="21" customHeight="1" x14ac:dyDescent="0.95">
      <c r="A2033" s="56"/>
      <c r="B2033" s="57"/>
      <c r="C2033" s="57"/>
      <c r="D2033" s="57"/>
      <c r="E2033" s="56"/>
      <c r="F2033" s="57"/>
      <c r="G2033" s="57"/>
      <c r="H2033" s="56"/>
      <c r="I2033" s="56"/>
      <c r="J2033" s="58"/>
      <c r="K2033" s="58"/>
      <c r="L2033" s="13" t="str">
        <f t="shared" si="310"/>
        <v/>
      </c>
      <c r="M2033" s="13" t="str">
        <f t="shared" si="311"/>
        <v/>
      </c>
      <c r="Q2033" t="str">
        <f t="shared" si="312"/>
        <v/>
      </c>
      <c r="R2033" t="str">
        <f t="shared" si="313"/>
        <v/>
      </c>
      <c r="S2033" t="str">
        <f t="shared" si="314"/>
        <v/>
      </c>
      <c r="T2033" t="str">
        <f t="shared" si="315"/>
        <v/>
      </c>
      <c r="U2033" t="str">
        <f t="shared" si="316"/>
        <v/>
      </c>
      <c r="V2033" t="str">
        <f t="shared" si="317"/>
        <v/>
      </c>
      <c r="W2033" t="str">
        <f t="shared" si="318"/>
        <v/>
      </c>
      <c r="X2033">
        <f>IF($T2033="",N($X2032),IF(MATCH($T2033,$T$6:$T$10005,0)=ROW()-5,N($X2032)+1,N($X2032)))</f>
        <v>0</v>
      </c>
      <c r="Z2033" t="str">
        <f t="shared" si="319"/>
        <v/>
      </c>
      <c r="AA2033">
        <f>IF($V2033="",N($AA2032),IF(MATCH($V2033,$V$6:$V$10005,0)=ROW()-5,N($AA2032)+1,N($AA2032)))</f>
        <v>0</v>
      </c>
    </row>
    <row r="2034" spans="1:27" ht="21" customHeight="1" x14ac:dyDescent="0.95">
      <c r="A2034" s="56"/>
      <c r="B2034" s="57"/>
      <c r="C2034" s="57"/>
      <c r="D2034" s="57"/>
      <c r="E2034" s="56"/>
      <c r="F2034" s="57"/>
      <c r="G2034" s="57"/>
      <c r="H2034" s="56"/>
      <c r="I2034" s="56"/>
      <c r="J2034" s="58"/>
      <c r="K2034" s="58"/>
      <c r="L2034" s="13" t="str">
        <f t="shared" si="310"/>
        <v/>
      </c>
      <c r="M2034" s="13" t="str">
        <f t="shared" si="311"/>
        <v/>
      </c>
      <c r="Q2034" t="str">
        <f t="shared" si="312"/>
        <v/>
      </c>
      <c r="R2034" t="str">
        <f t="shared" si="313"/>
        <v/>
      </c>
      <c r="S2034" t="str">
        <f t="shared" si="314"/>
        <v/>
      </c>
      <c r="T2034" t="str">
        <f t="shared" si="315"/>
        <v/>
      </c>
      <c r="U2034" t="str">
        <f t="shared" si="316"/>
        <v/>
      </c>
      <c r="V2034" t="str">
        <f t="shared" si="317"/>
        <v/>
      </c>
      <c r="W2034" t="str">
        <f t="shared" si="318"/>
        <v/>
      </c>
      <c r="X2034">
        <f>IF($T2034="",N($X2033),IF(MATCH($T2034,$T$6:$T$10005,0)=ROW()-5,N($X2033)+1,N($X2033)))</f>
        <v>0</v>
      </c>
      <c r="Z2034" t="str">
        <f t="shared" si="319"/>
        <v/>
      </c>
      <c r="AA2034">
        <f>IF($V2034="",N($AA2033),IF(MATCH($V2034,$V$6:$V$10005,0)=ROW()-5,N($AA2033)+1,N($AA2033)))</f>
        <v>0</v>
      </c>
    </row>
    <row r="2035" spans="1:27" ht="21" customHeight="1" x14ac:dyDescent="0.95">
      <c r="A2035" s="56"/>
      <c r="B2035" s="57"/>
      <c r="C2035" s="57"/>
      <c r="D2035" s="57"/>
      <c r="E2035" s="56"/>
      <c r="F2035" s="57"/>
      <c r="G2035" s="57"/>
      <c r="H2035" s="56"/>
      <c r="I2035" s="56"/>
      <c r="J2035" s="58"/>
      <c r="K2035" s="58"/>
      <c r="L2035" s="13" t="str">
        <f t="shared" si="310"/>
        <v/>
      </c>
      <c r="M2035" s="13" t="str">
        <f t="shared" si="311"/>
        <v/>
      </c>
      <c r="Q2035" t="str">
        <f t="shared" si="312"/>
        <v/>
      </c>
      <c r="R2035" t="str">
        <f t="shared" si="313"/>
        <v/>
      </c>
      <c r="S2035" t="str">
        <f t="shared" si="314"/>
        <v/>
      </c>
      <c r="T2035" t="str">
        <f t="shared" si="315"/>
        <v/>
      </c>
      <c r="U2035" t="str">
        <f t="shared" si="316"/>
        <v/>
      </c>
      <c r="V2035" t="str">
        <f t="shared" si="317"/>
        <v/>
      </c>
      <c r="W2035" t="str">
        <f t="shared" si="318"/>
        <v/>
      </c>
      <c r="X2035">
        <f>IF($T2035="",N($X2034),IF(MATCH($T2035,$T$6:$T$10005,0)=ROW()-5,N($X2034)+1,N($X2034)))</f>
        <v>0</v>
      </c>
      <c r="Z2035" t="str">
        <f t="shared" si="319"/>
        <v/>
      </c>
      <c r="AA2035">
        <f>IF($V2035="",N($AA2034),IF(MATCH($V2035,$V$6:$V$10005,0)=ROW()-5,N($AA2034)+1,N($AA2034)))</f>
        <v>0</v>
      </c>
    </row>
    <row r="2036" spans="1:27" ht="21" customHeight="1" x14ac:dyDescent="0.95">
      <c r="A2036" s="56"/>
      <c r="B2036" s="57"/>
      <c r="C2036" s="57"/>
      <c r="D2036" s="57"/>
      <c r="E2036" s="56"/>
      <c r="F2036" s="57"/>
      <c r="G2036" s="57"/>
      <c r="H2036" s="56"/>
      <c r="I2036" s="56"/>
      <c r="J2036" s="58"/>
      <c r="K2036" s="58"/>
      <c r="L2036" s="13" t="str">
        <f t="shared" si="310"/>
        <v/>
      </c>
      <c r="M2036" s="13" t="str">
        <f t="shared" si="311"/>
        <v/>
      </c>
      <c r="Q2036" t="str">
        <f t="shared" si="312"/>
        <v/>
      </c>
      <c r="R2036" t="str">
        <f t="shared" si="313"/>
        <v/>
      </c>
      <c r="S2036" t="str">
        <f t="shared" si="314"/>
        <v/>
      </c>
      <c r="T2036" t="str">
        <f t="shared" si="315"/>
        <v/>
      </c>
      <c r="U2036" t="str">
        <f t="shared" si="316"/>
        <v/>
      </c>
      <c r="V2036" t="str">
        <f t="shared" si="317"/>
        <v/>
      </c>
      <c r="W2036" t="str">
        <f t="shared" si="318"/>
        <v/>
      </c>
      <c r="X2036">
        <f>IF($T2036="",N($X2035),IF(MATCH($T2036,$T$6:$T$10005,0)=ROW()-5,N($X2035)+1,N($X2035)))</f>
        <v>0</v>
      </c>
      <c r="Z2036" t="str">
        <f t="shared" si="319"/>
        <v/>
      </c>
      <c r="AA2036">
        <f>IF($V2036="",N($AA2035),IF(MATCH($V2036,$V$6:$V$10005,0)=ROW()-5,N($AA2035)+1,N($AA2035)))</f>
        <v>0</v>
      </c>
    </row>
    <row r="2037" spans="1:27" ht="21" customHeight="1" x14ac:dyDescent="0.95">
      <c r="A2037" s="56"/>
      <c r="B2037" s="57"/>
      <c r="C2037" s="57"/>
      <c r="D2037" s="57"/>
      <c r="E2037" s="56"/>
      <c r="F2037" s="57"/>
      <c r="G2037" s="57"/>
      <c r="H2037" s="56"/>
      <c r="I2037" s="56"/>
      <c r="J2037" s="58"/>
      <c r="K2037" s="58"/>
      <c r="L2037" s="13" t="str">
        <f t="shared" si="310"/>
        <v/>
      </c>
      <c r="M2037" s="13" t="str">
        <f t="shared" si="311"/>
        <v/>
      </c>
      <c r="Q2037" t="str">
        <f t="shared" si="312"/>
        <v/>
      </c>
      <c r="R2037" t="str">
        <f t="shared" si="313"/>
        <v/>
      </c>
      <c r="S2037" t="str">
        <f t="shared" si="314"/>
        <v/>
      </c>
      <c r="T2037" t="str">
        <f t="shared" si="315"/>
        <v/>
      </c>
      <c r="U2037" t="str">
        <f t="shared" si="316"/>
        <v/>
      </c>
      <c r="V2037" t="str">
        <f t="shared" si="317"/>
        <v/>
      </c>
      <c r="W2037" t="str">
        <f t="shared" si="318"/>
        <v/>
      </c>
      <c r="X2037">
        <f>IF($T2037="",N($X2036),IF(MATCH($T2037,$T$6:$T$10005,0)=ROW()-5,N($X2036)+1,N($X2036)))</f>
        <v>0</v>
      </c>
      <c r="Z2037" t="str">
        <f t="shared" si="319"/>
        <v/>
      </c>
      <c r="AA2037">
        <f>IF($V2037="",N($AA2036),IF(MATCH($V2037,$V$6:$V$10005,0)=ROW()-5,N($AA2036)+1,N($AA2036)))</f>
        <v>0</v>
      </c>
    </row>
    <row r="2038" spans="1:27" ht="21" customHeight="1" x14ac:dyDescent="0.95">
      <c r="A2038" s="56"/>
      <c r="B2038" s="57"/>
      <c r="C2038" s="57"/>
      <c r="D2038" s="57"/>
      <c r="E2038" s="56"/>
      <c r="F2038" s="57"/>
      <c r="G2038" s="57"/>
      <c r="H2038" s="56"/>
      <c r="I2038" s="56"/>
      <c r="J2038" s="58"/>
      <c r="K2038" s="58"/>
      <c r="L2038" s="13" t="str">
        <f t="shared" si="310"/>
        <v/>
      </c>
      <c r="M2038" s="13" t="str">
        <f t="shared" si="311"/>
        <v/>
      </c>
      <c r="Q2038" t="str">
        <f t="shared" si="312"/>
        <v/>
      </c>
      <c r="R2038" t="str">
        <f t="shared" si="313"/>
        <v/>
      </c>
      <c r="S2038" t="str">
        <f t="shared" si="314"/>
        <v/>
      </c>
      <c r="T2038" t="str">
        <f t="shared" si="315"/>
        <v/>
      </c>
      <c r="U2038" t="str">
        <f t="shared" si="316"/>
        <v/>
      </c>
      <c r="V2038" t="str">
        <f t="shared" si="317"/>
        <v/>
      </c>
      <c r="W2038" t="str">
        <f t="shared" si="318"/>
        <v/>
      </c>
      <c r="X2038">
        <f>IF($T2038="",N($X2037),IF(MATCH($T2038,$T$6:$T$10005,0)=ROW()-5,N($X2037)+1,N($X2037)))</f>
        <v>0</v>
      </c>
      <c r="Z2038" t="str">
        <f t="shared" si="319"/>
        <v/>
      </c>
      <c r="AA2038">
        <f>IF($V2038="",N($AA2037),IF(MATCH($V2038,$V$6:$V$10005,0)=ROW()-5,N($AA2037)+1,N($AA2037)))</f>
        <v>0</v>
      </c>
    </row>
    <row r="2039" spans="1:27" ht="21" customHeight="1" x14ac:dyDescent="0.95">
      <c r="A2039" s="56"/>
      <c r="B2039" s="57"/>
      <c r="C2039" s="57"/>
      <c r="D2039" s="57"/>
      <c r="E2039" s="56"/>
      <c r="F2039" s="57"/>
      <c r="G2039" s="57"/>
      <c r="H2039" s="56"/>
      <c r="I2039" s="56"/>
      <c r="J2039" s="58"/>
      <c r="K2039" s="58"/>
      <c r="L2039" s="13" t="str">
        <f t="shared" si="310"/>
        <v/>
      </c>
      <c r="M2039" s="13" t="str">
        <f t="shared" si="311"/>
        <v/>
      </c>
      <c r="Q2039" t="str">
        <f t="shared" si="312"/>
        <v/>
      </c>
      <c r="R2039" t="str">
        <f t="shared" si="313"/>
        <v/>
      </c>
      <c r="S2039" t="str">
        <f t="shared" si="314"/>
        <v/>
      </c>
      <c r="T2039" t="str">
        <f t="shared" si="315"/>
        <v/>
      </c>
      <c r="U2039" t="str">
        <f t="shared" si="316"/>
        <v/>
      </c>
      <c r="V2039" t="str">
        <f t="shared" si="317"/>
        <v/>
      </c>
      <c r="W2039" t="str">
        <f t="shared" si="318"/>
        <v/>
      </c>
      <c r="X2039">
        <f>IF($T2039="",N($X2038),IF(MATCH($T2039,$T$6:$T$10005,0)=ROW()-5,N($X2038)+1,N($X2038)))</f>
        <v>0</v>
      </c>
      <c r="Z2039" t="str">
        <f t="shared" si="319"/>
        <v/>
      </c>
      <c r="AA2039">
        <f>IF($V2039="",N($AA2038),IF(MATCH($V2039,$V$6:$V$10005,0)=ROW()-5,N($AA2038)+1,N($AA2038)))</f>
        <v>0</v>
      </c>
    </row>
    <row r="2040" spans="1:27" ht="21" customHeight="1" x14ac:dyDescent="0.95">
      <c r="A2040" s="56"/>
      <c r="B2040" s="57"/>
      <c r="C2040" s="57"/>
      <c r="D2040" s="57"/>
      <c r="E2040" s="56"/>
      <c r="F2040" s="57"/>
      <c r="G2040" s="57"/>
      <c r="H2040" s="56"/>
      <c r="I2040" s="56"/>
      <c r="J2040" s="58"/>
      <c r="K2040" s="58"/>
      <c r="L2040" s="13" t="str">
        <f t="shared" si="310"/>
        <v/>
      </c>
      <c r="M2040" s="13" t="str">
        <f t="shared" si="311"/>
        <v/>
      </c>
      <c r="Q2040" t="str">
        <f t="shared" si="312"/>
        <v/>
      </c>
      <c r="R2040" t="str">
        <f t="shared" si="313"/>
        <v/>
      </c>
      <c r="S2040" t="str">
        <f t="shared" si="314"/>
        <v/>
      </c>
      <c r="T2040" t="str">
        <f t="shared" si="315"/>
        <v/>
      </c>
      <c r="U2040" t="str">
        <f t="shared" si="316"/>
        <v/>
      </c>
      <c r="V2040" t="str">
        <f t="shared" si="317"/>
        <v/>
      </c>
      <c r="W2040" t="str">
        <f t="shared" si="318"/>
        <v/>
      </c>
      <c r="X2040">
        <f>IF($T2040="",N($X2039),IF(MATCH($T2040,$T$6:$T$10005,0)=ROW()-5,N($X2039)+1,N($X2039)))</f>
        <v>0</v>
      </c>
      <c r="Z2040" t="str">
        <f t="shared" si="319"/>
        <v/>
      </c>
      <c r="AA2040">
        <f>IF($V2040="",N($AA2039),IF(MATCH($V2040,$V$6:$V$10005,0)=ROW()-5,N($AA2039)+1,N($AA2039)))</f>
        <v>0</v>
      </c>
    </row>
    <row r="2041" spans="1:27" ht="21" customHeight="1" x14ac:dyDescent="0.95">
      <c r="A2041" s="56"/>
      <c r="B2041" s="57"/>
      <c r="C2041" s="57"/>
      <c r="D2041" s="57"/>
      <c r="E2041" s="56"/>
      <c r="F2041" s="57"/>
      <c r="G2041" s="57"/>
      <c r="H2041" s="56"/>
      <c r="I2041" s="56"/>
      <c r="J2041" s="58"/>
      <c r="K2041" s="58"/>
      <c r="L2041" s="13" t="str">
        <f t="shared" si="310"/>
        <v/>
      </c>
      <c r="M2041" s="13" t="str">
        <f t="shared" si="311"/>
        <v/>
      </c>
      <c r="Q2041" t="str">
        <f t="shared" si="312"/>
        <v/>
      </c>
      <c r="R2041" t="str">
        <f t="shared" si="313"/>
        <v/>
      </c>
      <c r="S2041" t="str">
        <f t="shared" si="314"/>
        <v/>
      </c>
      <c r="T2041" t="str">
        <f t="shared" si="315"/>
        <v/>
      </c>
      <c r="U2041" t="str">
        <f t="shared" si="316"/>
        <v/>
      </c>
      <c r="V2041" t="str">
        <f t="shared" si="317"/>
        <v/>
      </c>
      <c r="W2041" t="str">
        <f t="shared" si="318"/>
        <v/>
      </c>
      <c r="X2041">
        <f>IF($T2041="",N($X2040),IF(MATCH($T2041,$T$6:$T$10005,0)=ROW()-5,N($X2040)+1,N($X2040)))</f>
        <v>0</v>
      </c>
      <c r="Z2041" t="str">
        <f t="shared" si="319"/>
        <v/>
      </c>
      <c r="AA2041">
        <f>IF($V2041="",N($AA2040),IF(MATCH($V2041,$V$6:$V$10005,0)=ROW()-5,N($AA2040)+1,N($AA2040)))</f>
        <v>0</v>
      </c>
    </row>
    <row r="2042" spans="1:27" ht="21" customHeight="1" x14ac:dyDescent="0.95">
      <c r="A2042" s="56"/>
      <c r="B2042" s="57"/>
      <c r="C2042" s="57"/>
      <c r="D2042" s="57"/>
      <c r="E2042" s="56"/>
      <c r="F2042" s="57"/>
      <c r="G2042" s="57"/>
      <c r="H2042" s="56"/>
      <c r="I2042" s="56"/>
      <c r="J2042" s="58"/>
      <c r="K2042" s="58"/>
      <c r="L2042" s="13" t="str">
        <f t="shared" si="310"/>
        <v/>
      </c>
      <c r="M2042" s="13" t="str">
        <f t="shared" si="311"/>
        <v/>
      </c>
      <c r="Q2042" t="str">
        <f t="shared" si="312"/>
        <v/>
      </c>
      <c r="R2042" t="str">
        <f t="shared" si="313"/>
        <v/>
      </c>
      <c r="S2042" t="str">
        <f t="shared" si="314"/>
        <v/>
      </c>
      <c r="T2042" t="str">
        <f t="shared" si="315"/>
        <v/>
      </c>
      <c r="U2042" t="str">
        <f t="shared" si="316"/>
        <v/>
      </c>
      <c r="V2042" t="str">
        <f t="shared" si="317"/>
        <v/>
      </c>
      <c r="W2042" t="str">
        <f t="shared" si="318"/>
        <v/>
      </c>
      <c r="X2042">
        <f>IF($T2042="",N($X2041),IF(MATCH($T2042,$T$6:$T$10005,0)=ROW()-5,N($X2041)+1,N($X2041)))</f>
        <v>0</v>
      </c>
      <c r="Z2042" t="str">
        <f t="shared" si="319"/>
        <v/>
      </c>
      <c r="AA2042">
        <f>IF($V2042="",N($AA2041),IF(MATCH($V2042,$V$6:$V$10005,0)=ROW()-5,N($AA2041)+1,N($AA2041)))</f>
        <v>0</v>
      </c>
    </row>
    <row r="2043" spans="1:27" ht="21" customHeight="1" x14ac:dyDescent="0.95">
      <c r="A2043" s="56"/>
      <c r="B2043" s="57"/>
      <c r="C2043" s="57"/>
      <c r="D2043" s="57"/>
      <c r="E2043" s="56"/>
      <c r="F2043" s="57"/>
      <c r="G2043" s="57"/>
      <c r="H2043" s="56"/>
      <c r="I2043" s="56"/>
      <c r="J2043" s="58"/>
      <c r="K2043" s="58"/>
      <c r="L2043" s="13" t="str">
        <f t="shared" si="310"/>
        <v/>
      </c>
      <c r="M2043" s="13" t="str">
        <f t="shared" si="311"/>
        <v/>
      </c>
      <c r="Q2043" t="str">
        <f t="shared" si="312"/>
        <v/>
      </c>
      <c r="R2043" t="str">
        <f t="shared" si="313"/>
        <v/>
      </c>
      <c r="S2043" t="str">
        <f t="shared" si="314"/>
        <v/>
      </c>
      <c r="T2043" t="str">
        <f t="shared" si="315"/>
        <v/>
      </c>
      <c r="U2043" t="str">
        <f t="shared" si="316"/>
        <v/>
      </c>
      <c r="V2043" t="str">
        <f t="shared" si="317"/>
        <v/>
      </c>
      <c r="W2043" t="str">
        <f t="shared" si="318"/>
        <v/>
      </c>
      <c r="X2043">
        <f>IF($T2043="",N($X2042),IF(MATCH($T2043,$T$6:$T$10005,0)=ROW()-5,N($X2042)+1,N($X2042)))</f>
        <v>0</v>
      </c>
      <c r="Z2043" t="str">
        <f t="shared" si="319"/>
        <v/>
      </c>
      <c r="AA2043">
        <f>IF($V2043="",N($AA2042),IF(MATCH($V2043,$V$6:$V$10005,0)=ROW()-5,N($AA2042)+1,N($AA2042)))</f>
        <v>0</v>
      </c>
    </row>
    <row r="2044" spans="1:27" ht="21" customHeight="1" x14ac:dyDescent="0.95">
      <c r="A2044" s="56"/>
      <c r="B2044" s="57"/>
      <c r="C2044" s="57"/>
      <c r="D2044" s="57"/>
      <c r="E2044" s="56"/>
      <c r="F2044" s="57"/>
      <c r="G2044" s="57"/>
      <c r="H2044" s="56"/>
      <c r="I2044" s="56"/>
      <c r="J2044" s="58"/>
      <c r="K2044" s="58"/>
      <c r="L2044" s="13" t="str">
        <f t="shared" si="310"/>
        <v/>
      </c>
      <c r="M2044" s="13" t="str">
        <f t="shared" si="311"/>
        <v/>
      </c>
      <c r="Q2044" t="str">
        <f t="shared" si="312"/>
        <v/>
      </c>
      <c r="R2044" t="str">
        <f t="shared" si="313"/>
        <v/>
      </c>
      <c r="S2044" t="str">
        <f t="shared" si="314"/>
        <v/>
      </c>
      <c r="T2044" t="str">
        <f t="shared" si="315"/>
        <v/>
      </c>
      <c r="U2044" t="str">
        <f t="shared" si="316"/>
        <v/>
      </c>
      <c r="V2044" t="str">
        <f t="shared" si="317"/>
        <v/>
      </c>
      <c r="W2044" t="str">
        <f t="shared" si="318"/>
        <v/>
      </c>
      <c r="X2044">
        <f>IF($T2044="",N($X2043),IF(MATCH($T2044,$T$6:$T$10005,0)=ROW()-5,N($X2043)+1,N($X2043)))</f>
        <v>0</v>
      </c>
      <c r="Z2044" t="str">
        <f t="shared" si="319"/>
        <v/>
      </c>
      <c r="AA2044">
        <f>IF($V2044="",N($AA2043),IF(MATCH($V2044,$V$6:$V$10005,0)=ROW()-5,N($AA2043)+1,N($AA2043)))</f>
        <v>0</v>
      </c>
    </row>
    <row r="2045" spans="1:27" ht="21" customHeight="1" x14ac:dyDescent="0.95">
      <c r="A2045" s="56"/>
      <c r="B2045" s="57"/>
      <c r="C2045" s="57"/>
      <c r="D2045" s="57"/>
      <c r="E2045" s="56"/>
      <c r="F2045" s="57"/>
      <c r="G2045" s="57"/>
      <c r="H2045" s="56"/>
      <c r="I2045" s="56"/>
      <c r="J2045" s="58"/>
      <c r="K2045" s="58"/>
      <c r="L2045" s="13" t="str">
        <f t="shared" si="310"/>
        <v/>
      </c>
      <c r="M2045" s="13" t="str">
        <f t="shared" si="311"/>
        <v/>
      </c>
      <c r="Q2045" t="str">
        <f t="shared" si="312"/>
        <v/>
      </c>
      <c r="R2045" t="str">
        <f t="shared" si="313"/>
        <v/>
      </c>
      <c r="S2045" t="str">
        <f t="shared" si="314"/>
        <v/>
      </c>
      <c r="T2045" t="str">
        <f t="shared" si="315"/>
        <v/>
      </c>
      <c r="U2045" t="str">
        <f t="shared" si="316"/>
        <v/>
      </c>
      <c r="V2045" t="str">
        <f t="shared" si="317"/>
        <v/>
      </c>
      <c r="W2045" t="str">
        <f t="shared" si="318"/>
        <v/>
      </c>
      <c r="X2045">
        <f>IF($T2045="",N($X2044),IF(MATCH($T2045,$T$6:$T$10005,0)=ROW()-5,N($X2044)+1,N($X2044)))</f>
        <v>0</v>
      </c>
      <c r="Z2045" t="str">
        <f t="shared" si="319"/>
        <v/>
      </c>
      <c r="AA2045">
        <f>IF($V2045="",N($AA2044),IF(MATCH($V2045,$V$6:$V$10005,0)=ROW()-5,N($AA2044)+1,N($AA2044)))</f>
        <v>0</v>
      </c>
    </row>
    <row r="2046" spans="1:27" ht="21" customHeight="1" x14ac:dyDescent="0.95">
      <c r="A2046" s="56"/>
      <c r="B2046" s="57"/>
      <c r="C2046" s="57"/>
      <c r="D2046" s="57"/>
      <c r="E2046" s="56"/>
      <c r="F2046" s="57"/>
      <c r="G2046" s="57"/>
      <c r="H2046" s="56"/>
      <c r="I2046" s="56"/>
      <c r="J2046" s="58"/>
      <c r="K2046" s="58"/>
      <c r="L2046" s="13" t="str">
        <f t="shared" si="310"/>
        <v/>
      </c>
      <c r="M2046" s="13" t="str">
        <f t="shared" si="311"/>
        <v/>
      </c>
      <c r="Q2046" t="str">
        <f t="shared" si="312"/>
        <v/>
      </c>
      <c r="R2046" t="str">
        <f t="shared" si="313"/>
        <v/>
      </c>
      <c r="S2046" t="str">
        <f t="shared" si="314"/>
        <v/>
      </c>
      <c r="T2046" t="str">
        <f t="shared" si="315"/>
        <v/>
      </c>
      <c r="U2046" t="str">
        <f t="shared" si="316"/>
        <v/>
      </c>
      <c r="V2046" t="str">
        <f t="shared" si="317"/>
        <v/>
      </c>
      <c r="W2046" t="str">
        <f t="shared" si="318"/>
        <v/>
      </c>
      <c r="X2046">
        <f>IF($T2046="",N($X2045),IF(MATCH($T2046,$T$6:$T$10005,0)=ROW()-5,N($X2045)+1,N($X2045)))</f>
        <v>0</v>
      </c>
      <c r="Z2046" t="str">
        <f t="shared" si="319"/>
        <v/>
      </c>
      <c r="AA2046">
        <f>IF($V2046="",N($AA2045),IF(MATCH($V2046,$V$6:$V$10005,0)=ROW()-5,N($AA2045)+1,N($AA2045)))</f>
        <v>0</v>
      </c>
    </row>
    <row r="2047" spans="1:27" ht="21" customHeight="1" x14ac:dyDescent="0.95">
      <c r="A2047" s="56"/>
      <c r="B2047" s="57"/>
      <c r="C2047" s="57"/>
      <c r="D2047" s="57"/>
      <c r="E2047" s="56"/>
      <c r="F2047" s="57"/>
      <c r="G2047" s="57"/>
      <c r="H2047" s="56"/>
      <c r="I2047" s="56"/>
      <c r="J2047" s="58"/>
      <c r="K2047" s="58"/>
      <c r="L2047" s="13" t="str">
        <f t="shared" si="310"/>
        <v/>
      </c>
      <c r="M2047" s="13" t="str">
        <f t="shared" si="311"/>
        <v/>
      </c>
      <c r="Q2047" t="str">
        <f t="shared" si="312"/>
        <v/>
      </c>
      <c r="R2047" t="str">
        <f t="shared" si="313"/>
        <v/>
      </c>
      <c r="S2047" t="str">
        <f t="shared" si="314"/>
        <v/>
      </c>
      <c r="T2047" t="str">
        <f t="shared" si="315"/>
        <v/>
      </c>
      <c r="U2047" t="str">
        <f t="shared" si="316"/>
        <v/>
      </c>
      <c r="V2047" t="str">
        <f t="shared" si="317"/>
        <v/>
      </c>
      <c r="W2047" t="str">
        <f t="shared" si="318"/>
        <v/>
      </c>
      <c r="X2047">
        <f>IF($T2047="",N($X2046),IF(MATCH($T2047,$T$6:$T$10005,0)=ROW()-5,N($X2046)+1,N($X2046)))</f>
        <v>0</v>
      </c>
      <c r="Z2047" t="str">
        <f t="shared" si="319"/>
        <v/>
      </c>
      <c r="AA2047">
        <f>IF($V2047="",N($AA2046),IF(MATCH($V2047,$V$6:$V$10005,0)=ROW()-5,N($AA2046)+1,N($AA2046)))</f>
        <v>0</v>
      </c>
    </row>
    <row r="2048" spans="1:27" ht="21" customHeight="1" x14ac:dyDescent="0.95">
      <c r="A2048" s="56"/>
      <c r="B2048" s="57"/>
      <c r="C2048" s="57"/>
      <c r="D2048" s="57"/>
      <c r="E2048" s="56"/>
      <c r="F2048" s="57"/>
      <c r="G2048" s="57"/>
      <c r="H2048" s="56"/>
      <c r="I2048" s="56"/>
      <c r="J2048" s="58"/>
      <c r="K2048" s="58"/>
      <c r="L2048" s="13" t="str">
        <f t="shared" si="310"/>
        <v/>
      </c>
      <c r="M2048" s="13" t="str">
        <f t="shared" si="311"/>
        <v/>
      </c>
      <c r="Q2048" t="str">
        <f t="shared" si="312"/>
        <v/>
      </c>
      <c r="R2048" t="str">
        <f t="shared" si="313"/>
        <v/>
      </c>
      <c r="S2048" t="str">
        <f t="shared" si="314"/>
        <v/>
      </c>
      <c r="T2048" t="str">
        <f t="shared" si="315"/>
        <v/>
      </c>
      <c r="U2048" t="str">
        <f t="shared" si="316"/>
        <v/>
      </c>
      <c r="V2048" t="str">
        <f t="shared" si="317"/>
        <v/>
      </c>
      <c r="W2048" t="str">
        <f t="shared" si="318"/>
        <v/>
      </c>
      <c r="X2048">
        <f>IF($T2048="",N($X2047),IF(MATCH($T2048,$T$6:$T$10005,0)=ROW()-5,N($X2047)+1,N($X2047)))</f>
        <v>0</v>
      </c>
      <c r="Z2048" t="str">
        <f t="shared" si="319"/>
        <v/>
      </c>
      <c r="AA2048">
        <f>IF($V2048="",N($AA2047),IF(MATCH($V2048,$V$6:$V$10005,0)=ROW()-5,N($AA2047)+1,N($AA2047)))</f>
        <v>0</v>
      </c>
    </row>
    <row r="2049" spans="1:27" ht="21" customHeight="1" x14ac:dyDescent="0.95">
      <c r="A2049" s="56"/>
      <c r="B2049" s="57"/>
      <c r="C2049" s="57"/>
      <c r="D2049" s="57"/>
      <c r="E2049" s="56"/>
      <c r="F2049" s="57"/>
      <c r="G2049" s="57"/>
      <c r="H2049" s="56"/>
      <c r="I2049" s="56"/>
      <c r="J2049" s="58"/>
      <c r="K2049" s="58"/>
      <c r="L2049" s="13" t="str">
        <f t="shared" si="310"/>
        <v/>
      </c>
      <c r="M2049" s="13" t="str">
        <f t="shared" si="311"/>
        <v/>
      </c>
      <c r="Q2049" t="str">
        <f t="shared" si="312"/>
        <v/>
      </c>
      <c r="R2049" t="str">
        <f t="shared" si="313"/>
        <v/>
      </c>
      <c r="S2049" t="str">
        <f t="shared" si="314"/>
        <v/>
      </c>
      <c r="T2049" t="str">
        <f t="shared" si="315"/>
        <v/>
      </c>
      <c r="U2049" t="str">
        <f t="shared" si="316"/>
        <v/>
      </c>
      <c r="V2049" t="str">
        <f t="shared" si="317"/>
        <v/>
      </c>
      <c r="W2049" t="str">
        <f t="shared" si="318"/>
        <v/>
      </c>
      <c r="X2049">
        <f>IF($T2049="",N($X2048),IF(MATCH($T2049,$T$6:$T$10005,0)=ROW()-5,N($X2048)+1,N($X2048)))</f>
        <v>0</v>
      </c>
      <c r="Z2049" t="str">
        <f t="shared" si="319"/>
        <v/>
      </c>
      <c r="AA2049">
        <f>IF($V2049="",N($AA2048),IF(MATCH($V2049,$V$6:$V$10005,0)=ROW()-5,N($AA2048)+1,N($AA2048)))</f>
        <v>0</v>
      </c>
    </row>
    <row r="2050" spans="1:27" ht="21" customHeight="1" x14ac:dyDescent="0.95">
      <c r="A2050" s="56"/>
      <c r="B2050" s="57"/>
      <c r="C2050" s="57"/>
      <c r="D2050" s="57"/>
      <c r="E2050" s="56"/>
      <c r="F2050" s="57"/>
      <c r="G2050" s="57"/>
      <c r="H2050" s="56"/>
      <c r="I2050" s="56"/>
      <c r="J2050" s="58"/>
      <c r="K2050" s="58"/>
      <c r="L2050" s="13" t="str">
        <f t="shared" si="310"/>
        <v/>
      </c>
      <c r="M2050" s="13" t="str">
        <f t="shared" si="311"/>
        <v/>
      </c>
      <c r="Q2050" t="str">
        <f t="shared" si="312"/>
        <v/>
      </c>
      <c r="R2050" t="str">
        <f t="shared" si="313"/>
        <v/>
      </c>
      <c r="S2050" t="str">
        <f t="shared" si="314"/>
        <v/>
      </c>
      <c r="T2050" t="str">
        <f t="shared" si="315"/>
        <v/>
      </c>
      <c r="U2050" t="str">
        <f t="shared" si="316"/>
        <v/>
      </c>
      <c r="V2050" t="str">
        <f t="shared" si="317"/>
        <v/>
      </c>
      <c r="W2050" t="str">
        <f t="shared" si="318"/>
        <v/>
      </c>
      <c r="X2050">
        <f>IF($T2050="",N($X2049),IF(MATCH($T2050,$T$6:$T$10005,0)=ROW()-5,N($X2049)+1,N($X2049)))</f>
        <v>0</v>
      </c>
      <c r="Z2050" t="str">
        <f t="shared" si="319"/>
        <v/>
      </c>
      <c r="AA2050">
        <f>IF($V2050="",N($AA2049),IF(MATCH($V2050,$V$6:$V$10005,0)=ROW()-5,N($AA2049)+1,N($AA2049)))</f>
        <v>0</v>
      </c>
    </row>
    <row r="2051" spans="1:27" ht="21" customHeight="1" x14ac:dyDescent="0.95">
      <c r="A2051" s="56"/>
      <c r="B2051" s="57"/>
      <c r="C2051" s="57"/>
      <c r="D2051" s="57"/>
      <c r="E2051" s="56"/>
      <c r="F2051" s="57"/>
      <c r="G2051" s="57"/>
      <c r="H2051" s="56"/>
      <c r="I2051" s="56"/>
      <c r="J2051" s="58"/>
      <c r="K2051" s="58"/>
      <c r="L2051" s="13" t="str">
        <f t="shared" si="310"/>
        <v/>
      </c>
      <c r="M2051" s="13" t="str">
        <f t="shared" si="311"/>
        <v/>
      </c>
      <c r="Q2051" t="str">
        <f t="shared" si="312"/>
        <v/>
      </c>
      <c r="R2051" t="str">
        <f t="shared" si="313"/>
        <v/>
      </c>
      <c r="S2051" t="str">
        <f t="shared" si="314"/>
        <v/>
      </c>
      <c r="T2051" t="str">
        <f t="shared" si="315"/>
        <v/>
      </c>
      <c r="U2051" t="str">
        <f t="shared" si="316"/>
        <v/>
      </c>
      <c r="V2051" t="str">
        <f t="shared" si="317"/>
        <v/>
      </c>
      <c r="W2051" t="str">
        <f t="shared" si="318"/>
        <v/>
      </c>
      <c r="X2051">
        <f>IF($T2051="",N($X2050),IF(MATCH($T2051,$T$6:$T$10005,0)=ROW()-5,N($X2050)+1,N($X2050)))</f>
        <v>0</v>
      </c>
      <c r="Z2051" t="str">
        <f t="shared" si="319"/>
        <v/>
      </c>
      <c r="AA2051">
        <f>IF($V2051="",N($AA2050),IF(MATCH($V2051,$V$6:$V$10005,0)=ROW()-5,N($AA2050)+1,N($AA2050)))</f>
        <v>0</v>
      </c>
    </row>
    <row r="2052" spans="1:27" ht="21" customHeight="1" x14ac:dyDescent="0.95">
      <c r="A2052" s="56"/>
      <c r="B2052" s="57"/>
      <c r="C2052" s="57"/>
      <c r="D2052" s="57"/>
      <c r="E2052" s="56"/>
      <c r="F2052" s="57"/>
      <c r="G2052" s="57"/>
      <c r="H2052" s="56"/>
      <c r="I2052" s="56"/>
      <c r="J2052" s="58"/>
      <c r="K2052" s="58"/>
      <c r="L2052" s="13" t="str">
        <f t="shared" si="310"/>
        <v/>
      </c>
      <c r="M2052" s="13" t="str">
        <f t="shared" si="311"/>
        <v/>
      </c>
      <c r="Q2052" t="str">
        <f t="shared" si="312"/>
        <v/>
      </c>
      <c r="R2052" t="str">
        <f t="shared" si="313"/>
        <v/>
      </c>
      <c r="S2052" t="str">
        <f t="shared" si="314"/>
        <v/>
      </c>
      <c r="T2052" t="str">
        <f t="shared" si="315"/>
        <v/>
      </c>
      <c r="U2052" t="str">
        <f t="shared" si="316"/>
        <v/>
      </c>
      <c r="V2052" t="str">
        <f t="shared" si="317"/>
        <v/>
      </c>
      <c r="W2052" t="str">
        <f t="shared" si="318"/>
        <v/>
      </c>
      <c r="X2052">
        <f>IF($T2052="",N($X2051),IF(MATCH($T2052,$T$6:$T$10005,0)=ROW()-5,N($X2051)+1,N($X2051)))</f>
        <v>0</v>
      </c>
      <c r="Z2052" t="str">
        <f t="shared" si="319"/>
        <v/>
      </c>
      <c r="AA2052">
        <f>IF($V2052="",N($AA2051),IF(MATCH($V2052,$V$6:$V$10005,0)=ROW()-5,N($AA2051)+1,N($AA2051)))</f>
        <v>0</v>
      </c>
    </row>
    <row r="2053" spans="1:27" ht="21" customHeight="1" x14ac:dyDescent="0.95">
      <c r="A2053" s="56"/>
      <c r="B2053" s="57"/>
      <c r="C2053" s="57"/>
      <c r="D2053" s="57"/>
      <c r="E2053" s="56"/>
      <c r="F2053" s="57"/>
      <c r="G2053" s="57"/>
      <c r="H2053" s="56"/>
      <c r="I2053" s="56"/>
      <c r="J2053" s="58"/>
      <c r="K2053" s="58"/>
      <c r="L2053" s="13" t="str">
        <f t="shared" si="310"/>
        <v/>
      </c>
      <c r="M2053" s="13" t="str">
        <f t="shared" si="311"/>
        <v/>
      </c>
      <c r="Q2053" t="str">
        <f t="shared" si="312"/>
        <v/>
      </c>
      <c r="R2053" t="str">
        <f t="shared" si="313"/>
        <v/>
      </c>
      <c r="S2053" t="str">
        <f t="shared" si="314"/>
        <v/>
      </c>
      <c r="T2053" t="str">
        <f t="shared" si="315"/>
        <v/>
      </c>
      <c r="U2053" t="str">
        <f t="shared" si="316"/>
        <v/>
      </c>
      <c r="V2053" t="str">
        <f t="shared" si="317"/>
        <v/>
      </c>
      <c r="W2053" t="str">
        <f t="shared" si="318"/>
        <v/>
      </c>
      <c r="X2053">
        <f>IF($T2053="",N($X2052),IF(MATCH($T2053,$T$6:$T$10005,0)=ROW()-5,N($X2052)+1,N($X2052)))</f>
        <v>0</v>
      </c>
      <c r="Z2053" t="str">
        <f t="shared" si="319"/>
        <v/>
      </c>
      <c r="AA2053">
        <f>IF($V2053="",N($AA2052),IF(MATCH($V2053,$V$6:$V$10005,0)=ROW()-5,N($AA2052)+1,N($AA2052)))</f>
        <v>0</v>
      </c>
    </row>
    <row r="2054" spans="1:27" ht="21" customHeight="1" x14ac:dyDescent="0.95">
      <c r="A2054" s="56"/>
      <c r="B2054" s="57"/>
      <c r="C2054" s="57"/>
      <c r="D2054" s="57"/>
      <c r="E2054" s="56"/>
      <c r="F2054" s="57"/>
      <c r="G2054" s="57"/>
      <c r="H2054" s="56"/>
      <c r="I2054" s="56"/>
      <c r="J2054" s="58"/>
      <c r="K2054" s="58"/>
      <c r="L2054" s="13" t="str">
        <f t="shared" ref="L2054:L2117" si="320">IF(OR($A2054="",AND($J2054="",$K2054="")),"",ROUND(N($J2054)-N($K2054),2))</f>
        <v/>
      </c>
      <c r="M2054" s="13" t="str">
        <f t="shared" ref="M2054:M2117" si="321">IF(OR($A2054="",AND($J2054="",$K2054="")),"",MIN($J2054,$K2054))</f>
        <v/>
      </c>
      <c r="Q2054" t="str">
        <f t="shared" ref="Q2054:Q2117" si="322">IF($A2054="","",$D2054&amp;"("&amp;SUBSTITUTE($E2054," ","")&amp;")")</f>
        <v/>
      </c>
      <c r="R2054" t="str">
        <f t="shared" ref="R2054:R2117" si="323">IF($A2054="","",$B2054&amp;" - "&amp;$C2054)</f>
        <v/>
      </c>
      <c r="S2054" t="str">
        <f t="shared" ref="S2054:S2117" si="324">IF($A2054="","",$R2054&amp;"|"&amp;$Q2054)</f>
        <v/>
      </c>
      <c r="T2054" t="str">
        <f t="shared" ref="T2054:T2117" si="325">IF($A2054="","",$S2054&amp;"|"&amp;$F2054)</f>
        <v/>
      </c>
      <c r="U2054" t="str">
        <f t="shared" ref="U2054:U2117" si="326">IF($A2054="","",$R2054&amp;"("&amp;$E2054&amp;")")</f>
        <v/>
      </c>
      <c r="V2054" t="str">
        <f t="shared" ref="V2054:V2117" si="327">IF($A2054="","",$F2054&amp;"|"&amp;$U2054&amp;"|"&amp;$D2054)</f>
        <v/>
      </c>
      <c r="W2054" t="str">
        <f t="shared" ref="W2054:W2117" si="328">IF($T2054="","",IF($X2054&gt;N($X2053),$X2054,""))</f>
        <v/>
      </c>
      <c r="X2054">
        <f>IF($T2054="",N($X2053),IF(MATCH($T2054,$T$6:$T$10005,0)=ROW()-5,N($X2053)+1,N($X2053)))</f>
        <v>0</v>
      </c>
      <c r="Z2054" t="str">
        <f t="shared" ref="Z2054:Z2117" si="329">IF($V2054="","",IF($AA2054&gt;N($AA2053),$AA2054,""))</f>
        <v/>
      </c>
      <c r="AA2054">
        <f>IF($V2054="",N($AA2053),IF(MATCH($V2054,$V$6:$V$10005,0)=ROW()-5,N($AA2053)+1,N($AA2053)))</f>
        <v>0</v>
      </c>
    </row>
    <row r="2055" spans="1:27" ht="21" customHeight="1" x14ac:dyDescent="0.95">
      <c r="A2055" s="56"/>
      <c r="B2055" s="57"/>
      <c r="C2055" s="57"/>
      <c r="D2055" s="57"/>
      <c r="E2055" s="56"/>
      <c r="F2055" s="57"/>
      <c r="G2055" s="57"/>
      <c r="H2055" s="56"/>
      <c r="I2055" s="56"/>
      <c r="J2055" s="58"/>
      <c r="K2055" s="58"/>
      <c r="L2055" s="13" t="str">
        <f t="shared" si="320"/>
        <v/>
      </c>
      <c r="M2055" s="13" t="str">
        <f t="shared" si="321"/>
        <v/>
      </c>
      <c r="Q2055" t="str">
        <f t="shared" si="322"/>
        <v/>
      </c>
      <c r="R2055" t="str">
        <f t="shared" si="323"/>
        <v/>
      </c>
      <c r="S2055" t="str">
        <f t="shared" si="324"/>
        <v/>
      </c>
      <c r="T2055" t="str">
        <f t="shared" si="325"/>
        <v/>
      </c>
      <c r="U2055" t="str">
        <f t="shared" si="326"/>
        <v/>
      </c>
      <c r="V2055" t="str">
        <f t="shared" si="327"/>
        <v/>
      </c>
      <c r="W2055" t="str">
        <f t="shared" si="328"/>
        <v/>
      </c>
      <c r="X2055">
        <f>IF($T2055="",N($X2054),IF(MATCH($T2055,$T$6:$T$10005,0)=ROW()-5,N($X2054)+1,N($X2054)))</f>
        <v>0</v>
      </c>
      <c r="Z2055" t="str">
        <f t="shared" si="329"/>
        <v/>
      </c>
      <c r="AA2055">
        <f>IF($V2055="",N($AA2054),IF(MATCH($V2055,$V$6:$V$10005,0)=ROW()-5,N($AA2054)+1,N($AA2054)))</f>
        <v>0</v>
      </c>
    </row>
    <row r="2056" spans="1:27" ht="21" customHeight="1" x14ac:dyDescent="0.95">
      <c r="A2056" s="56"/>
      <c r="B2056" s="57"/>
      <c r="C2056" s="57"/>
      <c r="D2056" s="57"/>
      <c r="E2056" s="56"/>
      <c r="F2056" s="57"/>
      <c r="G2056" s="57"/>
      <c r="H2056" s="56"/>
      <c r="I2056" s="56"/>
      <c r="J2056" s="58"/>
      <c r="K2056" s="58"/>
      <c r="L2056" s="13" t="str">
        <f t="shared" si="320"/>
        <v/>
      </c>
      <c r="M2056" s="13" t="str">
        <f t="shared" si="321"/>
        <v/>
      </c>
      <c r="Q2056" t="str">
        <f t="shared" si="322"/>
        <v/>
      </c>
      <c r="R2056" t="str">
        <f t="shared" si="323"/>
        <v/>
      </c>
      <c r="S2056" t="str">
        <f t="shared" si="324"/>
        <v/>
      </c>
      <c r="T2056" t="str">
        <f t="shared" si="325"/>
        <v/>
      </c>
      <c r="U2056" t="str">
        <f t="shared" si="326"/>
        <v/>
      </c>
      <c r="V2056" t="str">
        <f t="shared" si="327"/>
        <v/>
      </c>
      <c r="W2056" t="str">
        <f t="shared" si="328"/>
        <v/>
      </c>
      <c r="X2056">
        <f>IF($T2056="",N($X2055),IF(MATCH($T2056,$T$6:$T$10005,0)=ROW()-5,N($X2055)+1,N($X2055)))</f>
        <v>0</v>
      </c>
      <c r="Z2056" t="str">
        <f t="shared" si="329"/>
        <v/>
      </c>
      <c r="AA2056">
        <f>IF($V2056="",N($AA2055),IF(MATCH($V2056,$V$6:$V$10005,0)=ROW()-5,N($AA2055)+1,N($AA2055)))</f>
        <v>0</v>
      </c>
    </row>
    <row r="2057" spans="1:27" ht="21" customHeight="1" x14ac:dyDescent="0.95">
      <c r="A2057" s="56"/>
      <c r="B2057" s="57"/>
      <c r="C2057" s="57"/>
      <c r="D2057" s="57"/>
      <c r="E2057" s="56"/>
      <c r="F2057" s="57"/>
      <c r="G2057" s="57"/>
      <c r="H2057" s="56"/>
      <c r="I2057" s="56"/>
      <c r="J2057" s="58"/>
      <c r="K2057" s="58"/>
      <c r="L2057" s="13" t="str">
        <f t="shared" si="320"/>
        <v/>
      </c>
      <c r="M2057" s="13" t="str">
        <f t="shared" si="321"/>
        <v/>
      </c>
      <c r="Q2057" t="str">
        <f t="shared" si="322"/>
        <v/>
      </c>
      <c r="R2057" t="str">
        <f t="shared" si="323"/>
        <v/>
      </c>
      <c r="S2057" t="str">
        <f t="shared" si="324"/>
        <v/>
      </c>
      <c r="T2057" t="str">
        <f t="shared" si="325"/>
        <v/>
      </c>
      <c r="U2057" t="str">
        <f t="shared" si="326"/>
        <v/>
      </c>
      <c r="V2057" t="str">
        <f t="shared" si="327"/>
        <v/>
      </c>
      <c r="W2057" t="str">
        <f t="shared" si="328"/>
        <v/>
      </c>
      <c r="X2057">
        <f>IF($T2057="",N($X2056),IF(MATCH($T2057,$T$6:$T$10005,0)=ROW()-5,N($X2056)+1,N($X2056)))</f>
        <v>0</v>
      </c>
      <c r="Z2057" t="str">
        <f t="shared" si="329"/>
        <v/>
      </c>
      <c r="AA2057">
        <f>IF($V2057="",N($AA2056),IF(MATCH($V2057,$V$6:$V$10005,0)=ROW()-5,N($AA2056)+1,N($AA2056)))</f>
        <v>0</v>
      </c>
    </row>
    <row r="2058" spans="1:27" ht="21" customHeight="1" x14ac:dyDescent="0.95">
      <c r="A2058" s="56"/>
      <c r="B2058" s="57"/>
      <c r="C2058" s="57"/>
      <c r="D2058" s="57"/>
      <c r="E2058" s="56"/>
      <c r="F2058" s="57"/>
      <c r="G2058" s="57"/>
      <c r="H2058" s="56"/>
      <c r="I2058" s="56"/>
      <c r="J2058" s="58"/>
      <c r="K2058" s="58"/>
      <c r="L2058" s="13" t="str">
        <f t="shared" si="320"/>
        <v/>
      </c>
      <c r="M2058" s="13" t="str">
        <f t="shared" si="321"/>
        <v/>
      </c>
      <c r="Q2058" t="str">
        <f t="shared" si="322"/>
        <v/>
      </c>
      <c r="R2058" t="str">
        <f t="shared" si="323"/>
        <v/>
      </c>
      <c r="S2058" t="str">
        <f t="shared" si="324"/>
        <v/>
      </c>
      <c r="T2058" t="str">
        <f t="shared" si="325"/>
        <v/>
      </c>
      <c r="U2058" t="str">
        <f t="shared" si="326"/>
        <v/>
      </c>
      <c r="V2058" t="str">
        <f t="shared" si="327"/>
        <v/>
      </c>
      <c r="W2058" t="str">
        <f t="shared" si="328"/>
        <v/>
      </c>
      <c r="X2058">
        <f>IF($T2058="",N($X2057),IF(MATCH($T2058,$T$6:$T$10005,0)=ROW()-5,N($X2057)+1,N($X2057)))</f>
        <v>0</v>
      </c>
      <c r="Z2058" t="str">
        <f t="shared" si="329"/>
        <v/>
      </c>
      <c r="AA2058">
        <f>IF($V2058="",N($AA2057),IF(MATCH($V2058,$V$6:$V$10005,0)=ROW()-5,N($AA2057)+1,N($AA2057)))</f>
        <v>0</v>
      </c>
    </row>
    <row r="2059" spans="1:27" ht="21" customHeight="1" x14ac:dyDescent="0.95">
      <c r="A2059" s="56"/>
      <c r="B2059" s="57"/>
      <c r="C2059" s="57"/>
      <c r="D2059" s="57"/>
      <c r="E2059" s="56"/>
      <c r="F2059" s="57"/>
      <c r="G2059" s="57"/>
      <c r="H2059" s="56"/>
      <c r="I2059" s="56"/>
      <c r="J2059" s="58"/>
      <c r="K2059" s="58"/>
      <c r="L2059" s="13" t="str">
        <f t="shared" si="320"/>
        <v/>
      </c>
      <c r="M2059" s="13" t="str">
        <f t="shared" si="321"/>
        <v/>
      </c>
      <c r="Q2059" t="str">
        <f t="shared" si="322"/>
        <v/>
      </c>
      <c r="R2059" t="str">
        <f t="shared" si="323"/>
        <v/>
      </c>
      <c r="S2059" t="str">
        <f t="shared" si="324"/>
        <v/>
      </c>
      <c r="T2059" t="str">
        <f t="shared" si="325"/>
        <v/>
      </c>
      <c r="U2059" t="str">
        <f t="shared" si="326"/>
        <v/>
      </c>
      <c r="V2059" t="str">
        <f t="shared" si="327"/>
        <v/>
      </c>
      <c r="W2059" t="str">
        <f t="shared" si="328"/>
        <v/>
      </c>
      <c r="X2059">
        <f>IF($T2059="",N($X2058),IF(MATCH($T2059,$T$6:$T$10005,0)=ROW()-5,N($X2058)+1,N($X2058)))</f>
        <v>0</v>
      </c>
      <c r="Z2059" t="str">
        <f t="shared" si="329"/>
        <v/>
      </c>
      <c r="AA2059">
        <f>IF($V2059="",N($AA2058),IF(MATCH($V2059,$V$6:$V$10005,0)=ROW()-5,N($AA2058)+1,N($AA2058)))</f>
        <v>0</v>
      </c>
    </row>
    <row r="2060" spans="1:27" ht="21" customHeight="1" x14ac:dyDescent="0.95">
      <c r="A2060" s="56"/>
      <c r="B2060" s="57"/>
      <c r="C2060" s="57"/>
      <c r="D2060" s="57"/>
      <c r="E2060" s="56"/>
      <c r="F2060" s="57"/>
      <c r="G2060" s="57"/>
      <c r="H2060" s="56"/>
      <c r="I2060" s="56"/>
      <c r="J2060" s="58"/>
      <c r="K2060" s="58"/>
      <c r="L2060" s="13" t="str">
        <f t="shared" si="320"/>
        <v/>
      </c>
      <c r="M2060" s="13" t="str">
        <f t="shared" si="321"/>
        <v/>
      </c>
      <c r="Q2060" t="str">
        <f t="shared" si="322"/>
        <v/>
      </c>
      <c r="R2060" t="str">
        <f t="shared" si="323"/>
        <v/>
      </c>
      <c r="S2060" t="str">
        <f t="shared" si="324"/>
        <v/>
      </c>
      <c r="T2060" t="str">
        <f t="shared" si="325"/>
        <v/>
      </c>
      <c r="U2060" t="str">
        <f t="shared" si="326"/>
        <v/>
      </c>
      <c r="V2060" t="str">
        <f t="shared" si="327"/>
        <v/>
      </c>
      <c r="W2060" t="str">
        <f t="shared" si="328"/>
        <v/>
      </c>
      <c r="X2060">
        <f>IF($T2060="",N($X2059),IF(MATCH($T2060,$T$6:$T$10005,0)=ROW()-5,N($X2059)+1,N($X2059)))</f>
        <v>0</v>
      </c>
      <c r="Z2060" t="str">
        <f t="shared" si="329"/>
        <v/>
      </c>
      <c r="AA2060">
        <f>IF($V2060="",N($AA2059),IF(MATCH($V2060,$V$6:$V$10005,0)=ROW()-5,N($AA2059)+1,N($AA2059)))</f>
        <v>0</v>
      </c>
    </row>
    <row r="2061" spans="1:27" ht="21" customHeight="1" x14ac:dyDescent="0.95">
      <c r="A2061" s="56"/>
      <c r="B2061" s="57"/>
      <c r="C2061" s="57"/>
      <c r="D2061" s="57"/>
      <c r="E2061" s="56"/>
      <c r="F2061" s="57"/>
      <c r="G2061" s="57"/>
      <c r="H2061" s="56"/>
      <c r="I2061" s="56"/>
      <c r="J2061" s="58"/>
      <c r="K2061" s="58"/>
      <c r="L2061" s="13" t="str">
        <f t="shared" si="320"/>
        <v/>
      </c>
      <c r="M2061" s="13" t="str">
        <f t="shared" si="321"/>
        <v/>
      </c>
      <c r="Q2061" t="str">
        <f t="shared" si="322"/>
        <v/>
      </c>
      <c r="R2061" t="str">
        <f t="shared" si="323"/>
        <v/>
      </c>
      <c r="S2061" t="str">
        <f t="shared" si="324"/>
        <v/>
      </c>
      <c r="T2061" t="str">
        <f t="shared" si="325"/>
        <v/>
      </c>
      <c r="U2061" t="str">
        <f t="shared" si="326"/>
        <v/>
      </c>
      <c r="V2061" t="str">
        <f t="shared" si="327"/>
        <v/>
      </c>
      <c r="W2061" t="str">
        <f t="shared" si="328"/>
        <v/>
      </c>
      <c r="X2061">
        <f>IF($T2061="",N($X2060),IF(MATCH($T2061,$T$6:$T$10005,0)=ROW()-5,N($X2060)+1,N($X2060)))</f>
        <v>0</v>
      </c>
      <c r="Z2061" t="str">
        <f t="shared" si="329"/>
        <v/>
      </c>
      <c r="AA2061">
        <f>IF($V2061="",N($AA2060),IF(MATCH($V2061,$V$6:$V$10005,0)=ROW()-5,N($AA2060)+1,N($AA2060)))</f>
        <v>0</v>
      </c>
    </row>
    <row r="2062" spans="1:27" ht="21" customHeight="1" x14ac:dyDescent="0.95">
      <c r="A2062" s="56"/>
      <c r="B2062" s="57"/>
      <c r="C2062" s="57"/>
      <c r="D2062" s="57"/>
      <c r="E2062" s="56"/>
      <c r="F2062" s="57"/>
      <c r="G2062" s="57"/>
      <c r="H2062" s="56"/>
      <c r="I2062" s="56"/>
      <c r="J2062" s="58"/>
      <c r="K2062" s="58"/>
      <c r="L2062" s="13" t="str">
        <f t="shared" si="320"/>
        <v/>
      </c>
      <c r="M2062" s="13" t="str">
        <f t="shared" si="321"/>
        <v/>
      </c>
      <c r="Q2062" t="str">
        <f t="shared" si="322"/>
        <v/>
      </c>
      <c r="R2062" t="str">
        <f t="shared" si="323"/>
        <v/>
      </c>
      <c r="S2062" t="str">
        <f t="shared" si="324"/>
        <v/>
      </c>
      <c r="T2062" t="str">
        <f t="shared" si="325"/>
        <v/>
      </c>
      <c r="U2062" t="str">
        <f t="shared" si="326"/>
        <v/>
      </c>
      <c r="V2062" t="str">
        <f t="shared" si="327"/>
        <v/>
      </c>
      <c r="W2062" t="str">
        <f t="shared" si="328"/>
        <v/>
      </c>
      <c r="X2062">
        <f>IF($T2062="",N($X2061),IF(MATCH($T2062,$T$6:$T$10005,0)=ROW()-5,N($X2061)+1,N($X2061)))</f>
        <v>0</v>
      </c>
      <c r="Z2062" t="str">
        <f t="shared" si="329"/>
        <v/>
      </c>
      <c r="AA2062">
        <f>IF($V2062="",N($AA2061),IF(MATCH($V2062,$V$6:$V$10005,0)=ROW()-5,N($AA2061)+1,N($AA2061)))</f>
        <v>0</v>
      </c>
    </row>
    <row r="2063" spans="1:27" ht="21" customHeight="1" x14ac:dyDescent="0.95">
      <c r="A2063" s="56"/>
      <c r="B2063" s="57"/>
      <c r="C2063" s="57"/>
      <c r="D2063" s="57"/>
      <c r="E2063" s="56"/>
      <c r="F2063" s="57"/>
      <c r="G2063" s="57"/>
      <c r="H2063" s="56"/>
      <c r="I2063" s="56"/>
      <c r="J2063" s="58"/>
      <c r="K2063" s="58"/>
      <c r="L2063" s="13" t="str">
        <f t="shared" si="320"/>
        <v/>
      </c>
      <c r="M2063" s="13" t="str">
        <f t="shared" si="321"/>
        <v/>
      </c>
      <c r="Q2063" t="str">
        <f t="shared" si="322"/>
        <v/>
      </c>
      <c r="R2063" t="str">
        <f t="shared" si="323"/>
        <v/>
      </c>
      <c r="S2063" t="str">
        <f t="shared" si="324"/>
        <v/>
      </c>
      <c r="T2063" t="str">
        <f t="shared" si="325"/>
        <v/>
      </c>
      <c r="U2063" t="str">
        <f t="shared" si="326"/>
        <v/>
      </c>
      <c r="V2063" t="str">
        <f t="shared" si="327"/>
        <v/>
      </c>
      <c r="W2063" t="str">
        <f t="shared" si="328"/>
        <v/>
      </c>
      <c r="X2063">
        <f>IF($T2063="",N($X2062),IF(MATCH($T2063,$T$6:$T$10005,0)=ROW()-5,N($X2062)+1,N($X2062)))</f>
        <v>0</v>
      </c>
      <c r="Z2063" t="str">
        <f t="shared" si="329"/>
        <v/>
      </c>
      <c r="AA2063">
        <f>IF($V2063="",N($AA2062),IF(MATCH($V2063,$V$6:$V$10005,0)=ROW()-5,N($AA2062)+1,N($AA2062)))</f>
        <v>0</v>
      </c>
    </row>
    <row r="2064" spans="1:27" ht="21" customHeight="1" x14ac:dyDescent="0.95">
      <c r="A2064" s="56"/>
      <c r="B2064" s="57"/>
      <c r="C2064" s="57"/>
      <c r="D2064" s="57"/>
      <c r="E2064" s="56"/>
      <c r="F2064" s="57"/>
      <c r="G2064" s="57"/>
      <c r="H2064" s="56"/>
      <c r="I2064" s="56"/>
      <c r="J2064" s="58"/>
      <c r="K2064" s="58"/>
      <c r="L2064" s="13" t="str">
        <f t="shared" si="320"/>
        <v/>
      </c>
      <c r="M2064" s="13" t="str">
        <f t="shared" si="321"/>
        <v/>
      </c>
      <c r="Q2064" t="str">
        <f t="shared" si="322"/>
        <v/>
      </c>
      <c r="R2064" t="str">
        <f t="shared" si="323"/>
        <v/>
      </c>
      <c r="S2064" t="str">
        <f t="shared" si="324"/>
        <v/>
      </c>
      <c r="T2064" t="str">
        <f t="shared" si="325"/>
        <v/>
      </c>
      <c r="U2064" t="str">
        <f t="shared" si="326"/>
        <v/>
      </c>
      <c r="V2064" t="str">
        <f t="shared" si="327"/>
        <v/>
      </c>
      <c r="W2064" t="str">
        <f t="shared" si="328"/>
        <v/>
      </c>
      <c r="X2064">
        <f>IF($T2064="",N($X2063),IF(MATCH($T2064,$T$6:$T$10005,0)=ROW()-5,N($X2063)+1,N($X2063)))</f>
        <v>0</v>
      </c>
      <c r="Z2064" t="str">
        <f t="shared" si="329"/>
        <v/>
      </c>
      <c r="AA2064">
        <f>IF($V2064="",N($AA2063),IF(MATCH($V2064,$V$6:$V$10005,0)=ROW()-5,N($AA2063)+1,N($AA2063)))</f>
        <v>0</v>
      </c>
    </row>
    <row r="2065" spans="1:27" ht="21" customHeight="1" x14ac:dyDescent="0.95">
      <c r="A2065" s="56"/>
      <c r="B2065" s="57"/>
      <c r="C2065" s="57"/>
      <c r="D2065" s="57"/>
      <c r="E2065" s="56"/>
      <c r="F2065" s="57"/>
      <c r="G2065" s="57"/>
      <c r="H2065" s="56"/>
      <c r="I2065" s="56"/>
      <c r="J2065" s="58"/>
      <c r="K2065" s="58"/>
      <c r="L2065" s="13" t="str">
        <f t="shared" si="320"/>
        <v/>
      </c>
      <c r="M2065" s="13" t="str">
        <f t="shared" si="321"/>
        <v/>
      </c>
      <c r="Q2065" t="str">
        <f t="shared" si="322"/>
        <v/>
      </c>
      <c r="R2065" t="str">
        <f t="shared" si="323"/>
        <v/>
      </c>
      <c r="S2065" t="str">
        <f t="shared" si="324"/>
        <v/>
      </c>
      <c r="T2065" t="str">
        <f t="shared" si="325"/>
        <v/>
      </c>
      <c r="U2065" t="str">
        <f t="shared" si="326"/>
        <v/>
      </c>
      <c r="V2065" t="str">
        <f t="shared" si="327"/>
        <v/>
      </c>
      <c r="W2065" t="str">
        <f t="shared" si="328"/>
        <v/>
      </c>
      <c r="X2065">
        <f>IF($T2065="",N($X2064),IF(MATCH($T2065,$T$6:$T$10005,0)=ROW()-5,N($X2064)+1,N($X2064)))</f>
        <v>0</v>
      </c>
      <c r="Z2065" t="str">
        <f t="shared" si="329"/>
        <v/>
      </c>
      <c r="AA2065">
        <f>IF($V2065="",N($AA2064),IF(MATCH($V2065,$V$6:$V$10005,0)=ROW()-5,N($AA2064)+1,N($AA2064)))</f>
        <v>0</v>
      </c>
    </row>
    <row r="2066" spans="1:27" ht="21" customHeight="1" x14ac:dyDescent="0.95">
      <c r="A2066" s="56"/>
      <c r="B2066" s="57"/>
      <c r="C2066" s="57"/>
      <c r="D2066" s="57"/>
      <c r="E2066" s="56"/>
      <c r="F2066" s="57"/>
      <c r="G2066" s="57"/>
      <c r="H2066" s="56"/>
      <c r="I2066" s="56"/>
      <c r="J2066" s="58"/>
      <c r="K2066" s="58"/>
      <c r="L2066" s="13" t="str">
        <f t="shared" si="320"/>
        <v/>
      </c>
      <c r="M2066" s="13" t="str">
        <f t="shared" si="321"/>
        <v/>
      </c>
      <c r="Q2066" t="str">
        <f t="shared" si="322"/>
        <v/>
      </c>
      <c r="R2066" t="str">
        <f t="shared" si="323"/>
        <v/>
      </c>
      <c r="S2066" t="str">
        <f t="shared" si="324"/>
        <v/>
      </c>
      <c r="T2066" t="str">
        <f t="shared" si="325"/>
        <v/>
      </c>
      <c r="U2066" t="str">
        <f t="shared" si="326"/>
        <v/>
      </c>
      <c r="V2066" t="str">
        <f t="shared" si="327"/>
        <v/>
      </c>
      <c r="W2066" t="str">
        <f t="shared" si="328"/>
        <v/>
      </c>
      <c r="X2066">
        <f>IF($T2066="",N($X2065),IF(MATCH($T2066,$T$6:$T$10005,0)=ROW()-5,N($X2065)+1,N($X2065)))</f>
        <v>0</v>
      </c>
      <c r="Z2066" t="str">
        <f t="shared" si="329"/>
        <v/>
      </c>
      <c r="AA2066">
        <f>IF($V2066="",N($AA2065),IF(MATCH($V2066,$V$6:$V$10005,0)=ROW()-5,N($AA2065)+1,N($AA2065)))</f>
        <v>0</v>
      </c>
    </row>
    <row r="2067" spans="1:27" ht="21" customHeight="1" x14ac:dyDescent="0.95">
      <c r="A2067" s="56"/>
      <c r="B2067" s="57"/>
      <c r="C2067" s="57"/>
      <c r="D2067" s="57"/>
      <c r="E2067" s="56"/>
      <c r="F2067" s="57"/>
      <c r="G2067" s="57"/>
      <c r="H2067" s="56"/>
      <c r="I2067" s="56"/>
      <c r="J2067" s="58"/>
      <c r="K2067" s="58"/>
      <c r="L2067" s="13" t="str">
        <f t="shared" si="320"/>
        <v/>
      </c>
      <c r="M2067" s="13" t="str">
        <f t="shared" si="321"/>
        <v/>
      </c>
      <c r="Q2067" t="str">
        <f t="shared" si="322"/>
        <v/>
      </c>
      <c r="R2067" t="str">
        <f t="shared" si="323"/>
        <v/>
      </c>
      <c r="S2067" t="str">
        <f t="shared" si="324"/>
        <v/>
      </c>
      <c r="T2067" t="str">
        <f t="shared" si="325"/>
        <v/>
      </c>
      <c r="U2067" t="str">
        <f t="shared" si="326"/>
        <v/>
      </c>
      <c r="V2067" t="str">
        <f t="shared" si="327"/>
        <v/>
      </c>
      <c r="W2067" t="str">
        <f t="shared" si="328"/>
        <v/>
      </c>
      <c r="X2067">
        <f>IF($T2067="",N($X2066),IF(MATCH($T2067,$T$6:$T$10005,0)=ROW()-5,N($X2066)+1,N($X2066)))</f>
        <v>0</v>
      </c>
      <c r="Z2067" t="str">
        <f t="shared" si="329"/>
        <v/>
      </c>
      <c r="AA2067">
        <f>IF($V2067="",N($AA2066),IF(MATCH($V2067,$V$6:$V$10005,0)=ROW()-5,N($AA2066)+1,N($AA2066)))</f>
        <v>0</v>
      </c>
    </row>
    <row r="2068" spans="1:27" ht="21" customHeight="1" x14ac:dyDescent="0.95">
      <c r="A2068" s="56"/>
      <c r="B2068" s="57"/>
      <c r="C2068" s="57"/>
      <c r="D2068" s="57"/>
      <c r="E2068" s="56"/>
      <c r="F2068" s="57"/>
      <c r="G2068" s="57"/>
      <c r="H2068" s="56"/>
      <c r="I2068" s="56"/>
      <c r="J2068" s="58"/>
      <c r="K2068" s="58"/>
      <c r="L2068" s="13" t="str">
        <f t="shared" si="320"/>
        <v/>
      </c>
      <c r="M2068" s="13" t="str">
        <f t="shared" si="321"/>
        <v/>
      </c>
      <c r="Q2068" t="str">
        <f t="shared" si="322"/>
        <v/>
      </c>
      <c r="R2068" t="str">
        <f t="shared" si="323"/>
        <v/>
      </c>
      <c r="S2068" t="str">
        <f t="shared" si="324"/>
        <v/>
      </c>
      <c r="T2068" t="str">
        <f t="shared" si="325"/>
        <v/>
      </c>
      <c r="U2068" t="str">
        <f t="shared" si="326"/>
        <v/>
      </c>
      <c r="V2068" t="str">
        <f t="shared" si="327"/>
        <v/>
      </c>
      <c r="W2068" t="str">
        <f t="shared" si="328"/>
        <v/>
      </c>
      <c r="X2068">
        <f>IF($T2068="",N($X2067),IF(MATCH($T2068,$T$6:$T$10005,0)=ROW()-5,N($X2067)+1,N($X2067)))</f>
        <v>0</v>
      </c>
      <c r="Z2068" t="str">
        <f t="shared" si="329"/>
        <v/>
      </c>
      <c r="AA2068">
        <f>IF($V2068="",N($AA2067),IF(MATCH($V2068,$V$6:$V$10005,0)=ROW()-5,N($AA2067)+1,N($AA2067)))</f>
        <v>0</v>
      </c>
    </row>
    <row r="2069" spans="1:27" ht="21" customHeight="1" x14ac:dyDescent="0.95">
      <c r="A2069" s="56"/>
      <c r="B2069" s="57"/>
      <c r="C2069" s="57"/>
      <c r="D2069" s="57"/>
      <c r="E2069" s="56"/>
      <c r="F2069" s="57"/>
      <c r="G2069" s="57"/>
      <c r="H2069" s="56"/>
      <c r="I2069" s="56"/>
      <c r="J2069" s="58"/>
      <c r="K2069" s="58"/>
      <c r="L2069" s="13" t="str">
        <f t="shared" si="320"/>
        <v/>
      </c>
      <c r="M2069" s="13" t="str">
        <f t="shared" si="321"/>
        <v/>
      </c>
      <c r="Q2069" t="str">
        <f t="shared" si="322"/>
        <v/>
      </c>
      <c r="R2069" t="str">
        <f t="shared" si="323"/>
        <v/>
      </c>
      <c r="S2069" t="str">
        <f t="shared" si="324"/>
        <v/>
      </c>
      <c r="T2069" t="str">
        <f t="shared" si="325"/>
        <v/>
      </c>
      <c r="U2069" t="str">
        <f t="shared" si="326"/>
        <v/>
      </c>
      <c r="V2069" t="str">
        <f t="shared" si="327"/>
        <v/>
      </c>
      <c r="W2069" t="str">
        <f t="shared" si="328"/>
        <v/>
      </c>
      <c r="X2069">
        <f>IF($T2069="",N($X2068),IF(MATCH($T2069,$T$6:$T$10005,0)=ROW()-5,N($X2068)+1,N($X2068)))</f>
        <v>0</v>
      </c>
      <c r="Z2069" t="str">
        <f t="shared" si="329"/>
        <v/>
      </c>
      <c r="AA2069">
        <f>IF($V2069="",N($AA2068),IF(MATCH($V2069,$V$6:$V$10005,0)=ROW()-5,N($AA2068)+1,N($AA2068)))</f>
        <v>0</v>
      </c>
    </row>
    <row r="2070" spans="1:27" ht="21" customHeight="1" x14ac:dyDescent="0.95">
      <c r="A2070" s="56"/>
      <c r="B2070" s="57"/>
      <c r="C2070" s="57"/>
      <c r="D2070" s="57"/>
      <c r="E2070" s="56"/>
      <c r="F2070" s="57"/>
      <c r="G2070" s="57"/>
      <c r="H2070" s="56"/>
      <c r="I2070" s="56"/>
      <c r="J2070" s="58"/>
      <c r="K2070" s="58"/>
      <c r="L2070" s="13" t="str">
        <f t="shared" si="320"/>
        <v/>
      </c>
      <c r="M2070" s="13" t="str">
        <f t="shared" si="321"/>
        <v/>
      </c>
      <c r="Q2070" t="str">
        <f t="shared" si="322"/>
        <v/>
      </c>
      <c r="R2070" t="str">
        <f t="shared" si="323"/>
        <v/>
      </c>
      <c r="S2070" t="str">
        <f t="shared" si="324"/>
        <v/>
      </c>
      <c r="T2070" t="str">
        <f t="shared" si="325"/>
        <v/>
      </c>
      <c r="U2070" t="str">
        <f t="shared" si="326"/>
        <v/>
      </c>
      <c r="V2070" t="str">
        <f t="shared" si="327"/>
        <v/>
      </c>
      <c r="W2070" t="str">
        <f t="shared" si="328"/>
        <v/>
      </c>
      <c r="X2070">
        <f>IF($T2070="",N($X2069),IF(MATCH($T2070,$T$6:$T$10005,0)=ROW()-5,N($X2069)+1,N($X2069)))</f>
        <v>0</v>
      </c>
      <c r="Z2070" t="str">
        <f t="shared" si="329"/>
        <v/>
      </c>
      <c r="AA2070">
        <f>IF($V2070="",N($AA2069),IF(MATCH($V2070,$V$6:$V$10005,0)=ROW()-5,N($AA2069)+1,N($AA2069)))</f>
        <v>0</v>
      </c>
    </row>
    <row r="2071" spans="1:27" ht="21" customHeight="1" x14ac:dyDescent="0.95">
      <c r="A2071" s="56"/>
      <c r="B2071" s="57"/>
      <c r="C2071" s="57"/>
      <c r="D2071" s="57"/>
      <c r="E2071" s="56"/>
      <c r="F2071" s="57"/>
      <c r="G2071" s="57"/>
      <c r="H2071" s="56"/>
      <c r="I2071" s="56"/>
      <c r="J2071" s="58"/>
      <c r="K2071" s="58"/>
      <c r="L2071" s="13" t="str">
        <f t="shared" si="320"/>
        <v/>
      </c>
      <c r="M2071" s="13" t="str">
        <f t="shared" si="321"/>
        <v/>
      </c>
      <c r="Q2071" t="str">
        <f t="shared" si="322"/>
        <v/>
      </c>
      <c r="R2071" t="str">
        <f t="shared" si="323"/>
        <v/>
      </c>
      <c r="S2071" t="str">
        <f t="shared" si="324"/>
        <v/>
      </c>
      <c r="T2071" t="str">
        <f t="shared" si="325"/>
        <v/>
      </c>
      <c r="U2071" t="str">
        <f t="shared" si="326"/>
        <v/>
      </c>
      <c r="V2071" t="str">
        <f t="shared" si="327"/>
        <v/>
      </c>
      <c r="W2071" t="str">
        <f t="shared" si="328"/>
        <v/>
      </c>
      <c r="X2071">
        <f>IF($T2071="",N($X2070),IF(MATCH($T2071,$T$6:$T$10005,0)=ROW()-5,N($X2070)+1,N($X2070)))</f>
        <v>0</v>
      </c>
      <c r="Z2071" t="str">
        <f t="shared" si="329"/>
        <v/>
      </c>
      <c r="AA2071">
        <f>IF($V2071="",N($AA2070),IF(MATCH($V2071,$V$6:$V$10005,0)=ROW()-5,N($AA2070)+1,N($AA2070)))</f>
        <v>0</v>
      </c>
    </row>
    <row r="2072" spans="1:27" ht="21" customHeight="1" x14ac:dyDescent="0.95">
      <c r="A2072" s="56"/>
      <c r="B2072" s="57"/>
      <c r="C2072" s="57"/>
      <c r="D2072" s="57"/>
      <c r="E2072" s="56"/>
      <c r="F2072" s="57"/>
      <c r="G2072" s="57"/>
      <c r="H2072" s="56"/>
      <c r="I2072" s="56"/>
      <c r="J2072" s="58"/>
      <c r="K2072" s="58"/>
      <c r="L2072" s="13" t="str">
        <f t="shared" si="320"/>
        <v/>
      </c>
      <c r="M2072" s="13" t="str">
        <f t="shared" si="321"/>
        <v/>
      </c>
      <c r="Q2072" t="str">
        <f t="shared" si="322"/>
        <v/>
      </c>
      <c r="R2072" t="str">
        <f t="shared" si="323"/>
        <v/>
      </c>
      <c r="S2072" t="str">
        <f t="shared" si="324"/>
        <v/>
      </c>
      <c r="T2072" t="str">
        <f t="shared" si="325"/>
        <v/>
      </c>
      <c r="U2072" t="str">
        <f t="shared" si="326"/>
        <v/>
      </c>
      <c r="V2072" t="str">
        <f t="shared" si="327"/>
        <v/>
      </c>
      <c r="W2072" t="str">
        <f t="shared" si="328"/>
        <v/>
      </c>
      <c r="X2072">
        <f>IF($T2072="",N($X2071),IF(MATCH($T2072,$T$6:$T$10005,0)=ROW()-5,N($X2071)+1,N($X2071)))</f>
        <v>0</v>
      </c>
      <c r="Z2072" t="str">
        <f t="shared" si="329"/>
        <v/>
      </c>
      <c r="AA2072">
        <f>IF($V2072="",N($AA2071),IF(MATCH($V2072,$V$6:$V$10005,0)=ROW()-5,N($AA2071)+1,N($AA2071)))</f>
        <v>0</v>
      </c>
    </row>
    <row r="2073" spans="1:27" ht="21" customHeight="1" x14ac:dyDescent="0.95">
      <c r="A2073" s="56"/>
      <c r="B2073" s="57"/>
      <c r="C2073" s="57"/>
      <c r="D2073" s="57"/>
      <c r="E2073" s="56"/>
      <c r="F2073" s="57"/>
      <c r="G2073" s="57"/>
      <c r="H2073" s="56"/>
      <c r="I2073" s="56"/>
      <c r="J2073" s="58"/>
      <c r="K2073" s="58"/>
      <c r="L2073" s="13" t="str">
        <f t="shared" si="320"/>
        <v/>
      </c>
      <c r="M2073" s="13" t="str">
        <f t="shared" si="321"/>
        <v/>
      </c>
      <c r="Q2073" t="str">
        <f t="shared" si="322"/>
        <v/>
      </c>
      <c r="R2073" t="str">
        <f t="shared" si="323"/>
        <v/>
      </c>
      <c r="S2073" t="str">
        <f t="shared" si="324"/>
        <v/>
      </c>
      <c r="T2073" t="str">
        <f t="shared" si="325"/>
        <v/>
      </c>
      <c r="U2073" t="str">
        <f t="shared" si="326"/>
        <v/>
      </c>
      <c r="V2073" t="str">
        <f t="shared" si="327"/>
        <v/>
      </c>
      <c r="W2073" t="str">
        <f t="shared" si="328"/>
        <v/>
      </c>
      <c r="X2073">
        <f>IF($T2073="",N($X2072),IF(MATCH($T2073,$T$6:$T$10005,0)=ROW()-5,N($X2072)+1,N($X2072)))</f>
        <v>0</v>
      </c>
      <c r="Z2073" t="str">
        <f t="shared" si="329"/>
        <v/>
      </c>
      <c r="AA2073">
        <f>IF($V2073="",N($AA2072),IF(MATCH($V2073,$V$6:$V$10005,0)=ROW()-5,N($AA2072)+1,N($AA2072)))</f>
        <v>0</v>
      </c>
    </row>
    <row r="2074" spans="1:27" ht="21" customHeight="1" x14ac:dyDescent="0.95">
      <c r="A2074" s="56"/>
      <c r="B2074" s="57"/>
      <c r="C2074" s="57"/>
      <c r="D2074" s="57"/>
      <c r="E2074" s="56"/>
      <c r="F2074" s="57"/>
      <c r="G2074" s="57"/>
      <c r="H2074" s="56"/>
      <c r="I2074" s="56"/>
      <c r="J2074" s="58"/>
      <c r="K2074" s="58"/>
      <c r="L2074" s="13" t="str">
        <f t="shared" si="320"/>
        <v/>
      </c>
      <c r="M2074" s="13" t="str">
        <f t="shared" si="321"/>
        <v/>
      </c>
      <c r="Q2074" t="str">
        <f t="shared" si="322"/>
        <v/>
      </c>
      <c r="R2074" t="str">
        <f t="shared" si="323"/>
        <v/>
      </c>
      <c r="S2074" t="str">
        <f t="shared" si="324"/>
        <v/>
      </c>
      <c r="T2074" t="str">
        <f t="shared" si="325"/>
        <v/>
      </c>
      <c r="U2074" t="str">
        <f t="shared" si="326"/>
        <v/>
      </c>
      <c r="V2074" t="str">
        <f t="shared" si="327"/>
        <v/>
      </c>
      <c r="W2074" t="str">
        <f t="shared" si="328"/>
        <v/>
      </c>
      <c r="X2074">
        <f>IF($T2074="",N($X2073),IF(MATCH($T2074,$T$6:$T$10005,0)=ROW()-5,N($X2073)+1,N($X2073)))</f>
        <v>0</v>
      </c>
      <c r="Z2074" t="str">
        <f t="shared" si="329"/>
        <v/>
      </c>
      <c r="AA2074">
        <f>IF($V2074="",N($AA2073),IF(MATCH($V2074,$V$6:$V$10005,0)=ROW()-5,N($AA2073)+1,N($AA2073)))</f>
        <v>0</v>
      </c>
    </row>
    <row r="2075" spans="1:27" ht="21" customHeight="1" x14ac:dyDescent="0.95">
      <c r="A2075" s="56"/>
      <c r="B2075" s="57"/>
      <c r="C2075" s="57"/>
      <c r="D2075" s="57"/>
      <c r="E2075" s="56"/>
      <c r="F2075" s="57"/>
      <c r="G2075" s="57"/>
      <c r="H2075" s="56"/>
      <c r="I2075" s="56"/>
      <c r="J2075" s="58"/>
      <c r="K2075" s="58"/>
      <c r="L2075" s="13" t="str">
        <f t="shared" si="320"/>
        <v/>
      </c>
      <c r="M2075" s="13" t="str">
        <f t="shared" si="321"/>
        <v/>
      </c>
      <c r="Q2075" t="str">
        <f t="shared" si="322"/>
        <v/>
      </c>
      <c r="R2075" t="str">
        <f t="shared" si="323"/>
        <v/>
      </c>
      <c r="S2075" t="str">
        <f t="shared" si="324"/>
        <v/>
      </c>
      <c r="T2075" t="str">
        <f t="shared" si="325"/>
        <v/>
      </c>
      <c r="U2075" t="str">
        <f t="shared" si="326"/>
        <v/>
      </c>
      <c r="V2075" t="str">
        <f t="shared" si="327"/>
        <v/>
      </c>
      <c r="W2075" t="str">
        <f t="shared" si="328"/>
        <v/>
      </c>
      <c r="X2075">
        <f>IF($T2075="",N($X2074),IF(MATCH($T2075,$T$6:$T$10005,0)=ROW()-5,N($X2074)+1,N($X2074)))</f>
        <v>0</v>
      </c>
      <c r="Z2075" t="str">
        <f t="shared" si="329"/>
        <v/>
      </c>
      <c r="AA2075">
        <f>IF($V2075="",N($AA2074),IF(MATCH($V2075,$V$6:$V$10005,0)=ROW()-5,N($AA2074)+1,N($AA2074)))</f>
        <v>0</v>
      </c>
    </row>
    <row r="2076" spans="1:27" ht="21" customHeight="1" x14ac:dyDescent="0.95">
      <c r="A2076" s="56"/>
      <c r="B2076" s="57"/>
      <c r="C2076" s="57"/>
      <c r="D2076" s="57"/>
      <c r="E2076" s="56"/>
      <c r="F2076" s="57"/>
      <c r="G2076" s="57"/>
      <c r="H2076" s="56"/>
      <c r="I2076" s="56"/>
      <c r="J2076" s="58"/>
      <c r="K2076" s="58"/>
      <c r="L2076" s="13" t="str">
        <f t="shared" si="320"/>
        <v/>
      </c>
      <c r="M2076" s="13" t="str">
        <f t="shared" si="321"/>
        <v/>
      </c>
      <c r="Q2076" t="str">
        <f t="shared" si="322"/>
        <v/>
      </c>
      <c r="R2076" t="str">
        <f t="shared" si="323"/>
        <v/>
      </c>
      <c r="S2076" t="str">
        <f t="shared" si="324"/>
        <v/>
      </c>
      <c r="T2076" t="str">
        <f t="shared" si="325"/>
        <v/>
      </c>
      <c r="U2076" t="str">
        <f t="shared" si="326"/>
        <v/>
      </c>
      <c r="V2076" t="str">
        <f t="shared" si="327"/>
        <v/>
      </c>
      <c r="W2076" t="str">
        <f t="shared" si="328"/>
        <v/>
      </c>
      <c r="X2076">
        <f>IF($T2076="",N($X2075),IF(MATCH($T2076,$T$6:$T$10005,0)=ROW()-5,N($X2075)+1,N($X2075)))</f>
        <v>0</v>
      </c>
      <c r="Z2076" t="str">
        <f t="shared" si="329"/>
        <v/>
      </c>
      <c r="AA2076">
        <f>IF($V2076="",N($AA2075),IF(MATCH($V2076,$V$6:$V$10005,0)=ROW()-5,N($AA2075)+1,N($AA2075)))</f>
        <v>0</v>
      </c>
    </row>
    <row r="2077" spans="1:27" ht="21" customHeight="1" x14ac:dyDescent="0.95">
      <c r="A2077" s="56"/>
      <c r="B2077" s="57"/>
      <c r="C2077" s="57"/>
      <c r="D2077" s="57"/>
      <c r="E2077" s="56"/>
      <c r="F2077" s="57"/>
      <c r="G2077" s="57"/>
      <c r="H2077" s="56"/>
      <c r="I2077" s="56"/>
      <c r="J2077" s="58"/>
      <c r="K2077" s="58"/>
      <c r="L2077" s="13" t="str">
        <f t="shared" si="320"/>
        <v/>
      </c>
      <c r="M2077" s="13" t="str">
        <f t="shared" si="321"/>
        <v/>
      </c>
      <c r="Q2077" t="str">
        <f t="shared" si="322"/>
        <v/>
      </c>
      <c r="R2077" t="str">
        <f t="shared" si="323"/>
        <v/>
      </c>
      <c r="S2077" t="str">
        <f t="shared" si="324"/>
        <v/>
      </c>
      <c r="T2077" t="str">
        <f t="shared" si="325"/>
        <v/>
      </c>
      <c r="U2077" t="str">
        <f t="shared" si="326"/>
        <v/>
      </c>
      <c r="V2077" t="str">
        <f t="shared" si="327"/>
        <v/>
      </c>
      <c r="W2077" t="str">
        <f t="shared" si="328"/>
        <v/>
      </c>
      <c r="X2077">
        <f>IF($T2077="",N($X2076),IF(MATCH($T2077,$T$6:$T$10005,0)=ROW()-5,N($X2076)+1,N($X2076)))</f>
        <v>0</v>
      </c>
      <c r="Z2077" t="str">
        <f t="shared" si="329"/>
        <v/>
      </c>
      <c r="AA2077">
        <f>IF($V2077="",N($AA2076),IF(MATCH($V2077,$V$6:$V$10005,0)=ROW()-5,N($AA2076)+1,N($AA2076)))</f>
        <v>0</v>
      </c>
    </row>
    <row r="2078" spans="1:27" ht="21" customHeight="1" x14ac:dyDescent="0.95">
      <c r="A2078" s="56"/>
      <c r="B2078" s="57"/>
      <c r="C2078" s="57"/>
      <c r="D2078" s="57"/>
      <c r="E2078" s="56"/>
      <c r="F2078" s="57"/>
      <c r="G2078" s="57"/>
      <c r="H2078" s="56"/>
      <c r="I2078" s="56"/>
      <c r="J2078" s="58"/>
      <c r="K2078" s="58"/>
      <c r="L2078" s="13" t="str">
        <f t="shared" si="320"/>
        <v/>
      </c>
      <c r="M2078" s="13" t="str">
        <f t="shared" si="321"/>
        <v/>
      </c>
      <c r="Q2078" t="str">
        <f t="shared" si="322"/>
        <v/>
      </c>
      <c r="R2078" t="str">
        <f t="shared" si="323"/>
        <v/>
      </c>
      <c r="S2078" t="str">
        <f t="shared" si="324"/>
        <v/>
      </c>
      <c r="T2078" t="str">
        <f t="shared" si="325"/>
        <v/>
      </c>
      <c r="U2078" t="str">
        <f t="shared" si="326"/>
        <v/>
      </c>
      <c r="V2078" t="str">
        <f t="shared" si="327"/>
        <v/>
      </c>
      <c r="W2078" t="str">
        <f t="shared" si="328"/>
        <v/>
      </c>
      <c r="X2078">
        <f>IF($T2078="",N($X2077),IF(MATCH($T2078,$T$6:$T$10005,0)=ROW()-5,N($X2077)+1,N($X2077)))</f>
        <v>0</v>
      </c>
      <c r="Z2078" t="str">
        <f t="shared" si="329"/>
        <v/>
      </c>
      <c r="AA2078">
        <f>IF($V2078="",N($AA2077),IF(MATCH($V2078,$V$6:$V$10005,0)=ROW()-5,N($AA2077)+1,N($AA2077)))</f>
        <v>0</v>
      </c>
    </row>
    <row r="2079" spans="1:27" ht="21" customHeight="1" x14ac:dyDescent="0.95">
      <c r="A2079" s="56"/>
      <c r="B2079" s="57"/>
      <c r="C2079" s="57"/>
      <c r="D2079" s="57"/>
      <c r="E2079" s="56"/>
      <c r="F2079" s="57"/>
      <c r="G2079" s="57"/>
      <c r="H2079" s="56"/>
      <c r="I2079" s="56"/>
      <c r="J2079" s="58"/>
      <c r="K2079" s="58"/>
      <c r="L2079" s="13" t="str">
        <f t="shared" si="320"/>
        <v/>
      </c>
      <c r="M2079" s="13" t="str">
        <f t="shared" si="321"/>
        <v/>
      </c>
      <c r="Q2079" t="str">
        <f t="shared" si="322"/>
        <v/>
      </c>
      <c r="R2079" t="str">
        <f t="shared" si="323"/>
        <v/>
      </c>
      <c r="S2079" t="str">
        <f t="shared" si="324"/>
        <v/>
      </c>
      <c r="T2079" t="str">
        <f t="shared" si="325"/>
        <v/>
      </c>
      <c r="U2079" t="str">
        <f t="shared" si="326"/>
        <v/>
      </c>
      <c r="V2079" t="str">
        <f t="shared" si="327"/>
        <v/>
      </c>
      <c r="W2079" t="str">
        <f t="shared" si="328"/>
        <v/>
      </c>
      <c r="X2079">
        <f>IF($T2079="",N($X2078),IF(MATCH($T2079,$T$6:$T$10005,0)=ROW()-5,N($X2078)+1,N($X2078)))</f>
        <v>0</v>
      </c>
      <c r="Z2079" t="str">
        <f t="shared" si="329"/>
        <v/>
      </c>
      <c r="AA2079">
        <f>IF($V2079="",N($AA2078),IF(MATCH($V2079,$V$6:$V$10005,0)=ROW()-5,N($AA2078)+1,N($AA2078)))</f>
        <v>0</v>
      </c>
    </row>
    <row r="2080" spans="1:27" ht="21" customHeight="1" x14ac:dyDescent="0.95">
      <c r="A2080" s="56"/>
      <c r="B2080" s="57"/>
      <c r="C2080" s="57"/>
      <c r="D2080" s="57"/>
      <c r="E2080" s="56"/>
      <c r="F2080" s="57"/>
      <c r="G2080" s="57"/>
      <c r="H2080" s="56"/>
      <c r="I2080" s="56"/>
      <c r="J2080" s="58"/>
      <c r="K2080" s="58"/>
      <c r="L2080" s="13" t="str">
        <f t="shared" si="320"/>
        <v/>
      </c>
      <c r="M2080" s="13" t="str">
        <f t="shared" si="321"/>
        <v/>
      </c>
      <c r="Q2080" t="str">
        <f t="shared" si="322"/>
        <v/>
      </c>
      <c r="R2080" t="str">
        <f t="shared" si="323"/>
        <v/>
      </c>
      <c r="S2080" t="str">
        <f t="shared" si="324"/>
        <v/>
      </c>
      <c r="T2080" t="str">
        <f t="shared" si="325"/>
        <v/>
      </c>
      <c r="U2080" t="str">
        <f t="shared" si="326"/>
        <v/>
      </c>
      <c r="V2080" t="str">
        <f t="shared" si="327"/>
        <v/>
      </c>
      <c r="W2080" t="str">
        <f t="shared" si="328"/>
        <v/>
      </c>
      <c r="X2080">
        <f>IF($T2080="",N($X2079),IF(MATCH($T2080,$T$6:$T$10005,0)=ROW()-5,N($X2079)+1,N($X2079)))</f>
        <v>0</v>
      </c>
      <c r="Z2080" t="str">
        <f t="shared" si="329"/>
        <v/>
      </c>
      <c r="AA2080">
        <f>IF($V2080="",N($AA2079),IF(MATCH($V2080,$V$6:$V$10005,0)=ROW()-5,N($AA2079)+1,N($AA2079)))</f>
        <v>0</v>
      </c>
    </row>
    <row r="2081" spans="1:27" ht="21" customHeight="1" x14ac:dyDescent="0.95">
      <c r="A2081" s="56"/>
      <c r="B2081" s="57"/>
      <c r="C2081" s="57"/>
      <c r="D2081" s="57"/>
      <c r="E2081" s="56"/>
      <c r="F2081" s="57"/>
      <c r="G2081" s="57"/>
      <c r="H2081" s="56"/>
      <c r="I2081" s="56"/>
      <c r="J2081" s="58"/>
      <c r="K2081" s="58"/>
      <c r="L2081" s="13" t="str">
        <f t="shared" si="320"/>
        <v/>
      </c>
      <c r="M2081" s="13" t="str">
        <f t="shared" si="321"/>
        <v/>
      </c>
      <c r="Q2081" t="str">
        <f t="shared" si="322"/>
        <v/>
      </c>
      <c r="R2081" t="str">
        <f t="shared" si="323"/>
        <v/>
      </c>
      <c r="S2081" t="str">
        <f t="shared" si="324"/>
        <v/>
      </c>
      <c r="T2081" t="str">
        <f t="shared" si="325"/>
        <v/>
      </c>
      <c r="U2081" t="str">
        <f t="shared" si="326"/>
        <v/>
      </c>
      <c r="V2081" t="str">
        <f t="shared" si="327"/>
        <v/>
      </c>
      <c r="W2081" t="str">
        <f t="shared" si="328"/>
        <v/>
      </c>
      <c r="X2081">
        <f>IF($T2081="",N($X2080),IF(MATCH($T2081,$T$6:$T$10005,0)=ROW()-5,N($X2080)+1,N($X2080)))</f>
        <v>0</v>
      </c>
      <c r="Z2081" t="str">
        <f t="shared" si="329"/>
        <v/>
      </c>
      <c r="AA2081">
        <f>IF($V2081="",N($AA2080),IF(MATCH($V2081,$V$6:$V$10005,0)=ROW()-5,N($AA2080)+1,N($AA2080)))</f>
        <v>0</v>
      </c>
    </row>
    <row r="2082" spans="1:27" ht="21" customHeight="1" x14ac:dyDescent="0.95">
      <c r="A2082" s="56"/>
      <c r="B2082" s="57"/>
      <c r="C2082" s="57"/>
      <c r="D2082" s="57"/>
      <c r="E2082" s="56"/>
      <c r="F2082" s="57"/>
      <c r="G2082" s="57"/>
      <c r="H2082" s="56"/>
      <c r="I2082" s="56"/>
      <c r="J2082" s="58"/>
      <c r="K2082" s="58"/>
      <c r="L2082" s="13" t="str">
        <f t="shared" si="320"/>
        <v/>
      </c>
      <c r="M2082" s="13" t="str">
        <f t="shared" si="321"/>
        <v/>
      </c>
      <c r="Q2082" t="str">
        <f t="shared" si="322"/>
        <v/>
      </c>
      <c r="R2082" t="str">
        <f t="shared" si="323"/>
        <v/>
      </c>
      <c r="S2082" t="str">
        <f t="shared" si="324"/>
        <v/>
      </c>
      <c r="T2082" t="str">
        <f t="shared" si="325"/>
        <v/>
      </c>
      <c r="U2082" t="str">
        <f t="shared" si="326"/>
        <v/>
      </c>
      <c r="V2082" t="str">
        <f t="shared" si="327"/>
        <v/>
      </c>
      <c r="W2082" t="str">
        <f t="shared" si="328"/>
        <v/>
      </c>
      <c r="X2082">
        <f>IF($T2082="",N($X2081),IF(MATCH($T2082,$T$6:$T$10005,0)=ROW()-5,N($X2081)+1,N($X2081)))</f>
        <v>0</v>
      </c>
      <c r="Z2082" t="str">
        <f t="shared" si="329"/>
        <v/>
      </c>
      <c r="AA2082">
        <f>IF($V2082="",N($AA2081),IF(MATCH($V2082,$V$6:$V$10005,0)=ROW()-5,N($AA2081)+1,N($AA2081)))</f>
        <v>0</v>
      </c>
    </row>
    <row r="2083" spans="1:27" ht="21" customHeight="1" x14ac:dyDescent="0.95">
      <c r="A2083" s="56"/>
      <c r="B2083" s="57"/>
      <c r="C2083" s="57"/>
      <c r="D2083" s="57"/>
      <c r="E2083" s="56"/>
      <c r="F2083" s="57"/>
      <c r="G2083" s="57"/>
      <c r="H2083" s="56"/>
      <c r="I2083" s="56"/>
      <c r="J2083" s="58"/>
      <c r="K2083" s="58"/>
      <c r="L2083" s="13" t="str">
        <f t="shared" si="320"/>
        <v/>
      </c>
      <c r="M2083" s="13" t="str">
        <f t="shared" si="321"/>
        <v/>
      </c>
      <c r="Q2083" t="str">
        <f t="shared" si="322"/>
        <v/>
      </c>
      <c r="R2083" t="str">
        <f t="shared" si="323"/>
        <v/>
      </c>
      <c r="S2083" t="str">
        <f t="shared" si="324"/>
        <v/>
      </c>
      <c r="T2083" t="str">
        <f t="shared" si="325"/>
        <v/>
      </c>
      <c r="U2083" t="str">
        <f t="shared" si="326"/>
        <v/>
      </c>
      <c r="V2083" t="str">
        <f t="shared" si="327"/>
        <v/>
      </c>
      <c r="W2083" t="str">
        <f t="shared" si="328"/>
        <v/>
      </c>
      <c r="X2083">
        <f>IF($T2083="",N($X2082),IF(MATCH($T2083,$T$6:$T$10005,0)=ROW()-5,N($X2082)+1,N($X2082)))</f>
        <v>0</v>
      </c>
      <c r="Z2083" t="str">
        <f t="shared" si="329"/>
        <v/>
      </c>
      <c r="AA2083">
        <f>IF($V2083="",N($AA2082),IF(MATCH($V2083,$V$6:$V$10005,0)=ROW()-5,N($AA2082)+1,N($AA2082)))</f>
        <v>0</v>
      </c>
    </row>
    <row r="2084" spans="1:27" ht="21" customHeight="1" x14ac:dyDescent="0.95">
      <c r="A2084" s="56"/>
      <c r="B2084" s="57"/>
      <c r="C2084" s="57"/>
      <c r="D2084" s="57"/>
      <c r="E2084" s="56"/>
      <c r="F2084" s="57"/>
      <c r="G2084" s="57"/>
      <c r="H2084" s="56"/>
      <c r="I2084" s="56"/>
      <c r="J2084" s="58"/>
      <c r="K2084" s="58"/>
      <c r="L2084" s="13" t="str">
        <f t="shared" si="320"/>
        <v/>
      </c>
      <c r="M2084" s="13" t="str">
        <f t="shared" si="321"/>
        <v/>
      </c>
      <c r="Q2084" t="str">
        <f t="shared" si="322"/>
        <v/>
      </c>
      <c r="R2084" t="str">
        <f t="shared" si="323"/>
        <v/>
      </c>
      <c r="S2084" t="str">
        <f t="shared" si="324"/>
        <v/>
      </c>
      <c r="T2084" t="str">
        <f t="shared" si="325"/>
        <v/>
      </c>
      <c r="U2084" t="str">
        <f t="shared" si="326"/>
        <v/>
      </c>
      <c r="V2084" t="str">
        <f t="shared" si="327"/>
        <v/>
      </c>
      <c r="W2084" t="str">
        <f t="shared" si="328"/>
        <v/>
      </c>
      <c r="X2084">
        <f>IF($T2084="",N($X2083),IF(MATCH($T2084,$T$6:$T$10005,0)=ROW()-5,N($X2083)+1,N($X2083)))</f>
        <v>0</v>
      </c>
      <c r="Z2084" t="str">
        <f t="shared" si="329"/>
        <v/>
      </c>
      <c r="AA2084">
        <f>IF($V2084="",N($AA2083),IF(MATCH($V2084,$V$6:$V$10005,0)=ROW()-5,N($AA2083)+1,N($AA2083)))</f>
        <v>0</v>
      </c>
    </row>
    <row r="2085" spans="1:27" ht="21" customHeight="1" x14ac:dyDescent="0.95">
      <c r="A2085" s="56"/>
      <c r="B2085" s="57"/>
      <c r="C2085" s="57"/>
      <c r="D2085" s="57"/>
      <c r="E2085" s="56"/>
      <c r="F2085" s="57"/>
      <c r="G2085" s="57"/>
      <c r="H2085" s="56"/>
      <c r="I2085" s="56"/>
      <c r="J2085" s="58"/>
      <c r="K2085" s="58"/>
      <c r="L2085" s="13" t="str">
        <f t="shared" si="320"/>
        <v/>
      </c>
      <c r="M2085" s="13" t="str">
        <f t="shared" si="321"/>
        <v/>
      </c>
      <c r="Q2085" t="str">
        <f t="shared" si="322"/>
        <v/>
      </c>
      <c r="R2085" t="str">
        <f t="shared" si="323"/>
        <v/>
      </c>
      <c r="S2085" t="str">
        <f t="shared" si="324"/>
        <v/>
      </c>
      <c r="T2085" t="str">
        <f t="shared" si="325"/>
        <v/>
      </c>
      <c r="U2085" t="str">
        <f t="shared" si="326"/>
        <v/>
      </c>
      <c r="V2085" t="str">
        <f t="shared" si="327"/>
        <v/>
      </c>
      <c r="W2085" t="str">
        <f t="shared" si="328"/>
        <v/>
      </c>
      <c r="X2085">
        <f>IF($T2085="",N($X2084),IF(MATCH($T2085,$T$6:$T$10005,0)=ROW()-5,N($X2084)+1,N($X2084)))</f>
        <v>0</v>
      </c>
      <c r="Z2085" t="str">
        <f t="shared" si="329"/>
        <v/>
      </c>
      <c r="AA2085">
        <f>IF($V2085="",N($AA2084),IF(MATCH($V2085,$V$6:$V$10005,0)=ROW()-5,N($AA2084)+1,N($AA2084)))</f>
        <v>0</v>
      </c>
    </row>
    <row r="2086" spans="1:27" ht="21" customHeight="1" x14ac:dyDescent="0.95">
      <c r="A2086" s="56"/>
      <c r="B2086" s="57"/>
      <c r="C2086" s="57"/>
      <c r="D2086" s="57"/>
      <c r="E2086" s="56"/>
      <c r="F2086" s="57"/>
      <c r="G2086" s="57"/>
      <c r="H2086" s="56"/>
      <c r="I2086" s="56"/>
      <c r="J2086" s="58"/>
      <c r="K2086" s="58"/>
      <c r="L2086" s="13" t="str">
        <f t="shared" si="320"/>
        <v/>
      </c>
      <c r="M2086" s="13" t="str">
        <f t="shared" si="321"/>
        <v/>
      </c>
      <c r="Q2086" t="str">
        <f t="shared" si="322"/>
        <v/>
      </c>
      <c r="R2086" t="str">
        <f t="shared" si="323"/>
        <v/>
      </c>
      <c r="S2086" t="str">
        <f t="shared" si="324"/>
        <v/>
      </c>
      <c r="T2086" t="str">
        <f t="shared" si="325"/>
        <v/>
      </c>
      <c r="U2086" t="str">
        <f t="shared" si="326"/>
        <v/>
      </c>
      <c r="V2086" t="str">
        <f t="shared" si="327"/>
        <v/>
      </c>
      <c r="W2086" t="str">
        <f t="shared" si="328"/>
        <v/>
      </c>
      <c r="X2086">
        <f>IF($T2086="",N($X2085),IF(MATCH($T2086,$T$6:$T$10005,0)=ROW()-5,N($X2085)+1,N($X2085)))</f>
        <v>0</v>
      </c>
      <c r="Z2086" t="str">
        <f t="shared" si="329"/>
        <v/>
      </c>
      <c r="AA2086">
        <f>IF($V2086="",N($AA2085),IF(MATCH($V2086,$V$6:$V$10005,0)=ROW()-5,N($AA2085)+1,N($AA2085)))</f>
        <v>0</v>
      </c>
    </row>
    <row r="2087" spans="1:27" ht="21" customHeight="1" x14ac:dyDescent="0.95">
      <c r="A2087" s="56"/>
      <c r="B2087" s="57"/>
      <c r="C2087" s="57"/>
      <c r="D2087" s="57"/>
      <c r="E2087" s="56"/>
      <c r="F2087" s="57"/>
      <c r="G2087" s="57"/>
      <c r="H2087" s="56"/>
      <c r="I2087" s="56"/>
      <c r="J2087" s="58"/>
      <c r="K2087" s="58"/>
      <c r="L2087" s="13" t="str">
        <f t="shared" si="320"/>
        <v/>
      </c>
      <c r="M2087" s="13" t="str">
        <f t="shared" si="321"/>
        <v/>
      </c>
      <c r="Q2087" t="str">
        <f t="shared" si="322"/>
        <v/>
      </c>
      <c r="R2087" t="str">
        <f t="shared" si="323"/>
        <v/>
      </c>
      <c r="S2087" t="str">
        <f t="shared" si="324"/>
        <v/>
      </c>
      <c r="T2087" t="str">
        <f t="shared" si="325"/>
        <v/>
      </c>
      <c r="U2087" t="str">
        <f t="shared" si="326"/>
        <v/>
      </c>
      <c r="V2087" t="str">
        <f t="shared" si="327"/>
        <v/>
      </c>
      <c r="W2087" t="str">
        <f t="shared" si="328"/>
        <v/>
      </c>
      <c r="X2087">
        <f>IF($T2087="",N($X2086),IF(MATCH($T2087,$T$6:$T$10005,0)=ROW()-5,N($X2086)+1,N($X2086)))</f>
        <v>0</v>
      </c>
      <c r="Z2087" t="str">
        <f t="shared" si="329"/>
        <v/>
      </c>
      <c r="AA2087">
        <f>IF($V2087="",N($AA2086),IF(MATCH($V2087,$V$6:$V$10005,0)=ROW()-5,N($AA2086)+1,N($AA2086)))</f>
        <v>0</v>
      </c>
    </row>
    <row r="2088" spans="1:27" ht="21" customHeight="1" x14ac:dyDescent="0.95">
      <c r="A2088" s="56"/>
      <c r="B2088" s="57"/>
      <c r="C2088" s="57"/>
      <c r="D2088" s="57"/>
      <c r="E2088" s="56"/>
      <c r="F2088" s="57"/>
      <c r="G2088" s="57"/>
      <c r="H2088" s="56"/>
      <c r="I2088" s="56"/>
      <c r="J2088" s="58"/>
      <c r="K2088" s="58"/>
      <c r="L2088" s="13" t="str">
        <f t="shared" si="320"/>
        <v/>
      </c>
      <c r="M2088" s="13" t="str">
        <f t="shared" si="321"/>
        <v/>
      </c>
      <c r="Q2088" t="str">
        <f t="shared" si="322"/>
        <v/>
      </c>
      <c r="R2088" t="str">
        <f t="shared" si="323"/>
        <v/>
      </c>
      <c r="S2088" t="str">
        <f t="shared" si="324"/>
        <v/>
      </c>
      <c r="T2088" t="str">
        <f t="shared" si="325"/>
        <v/>
      </c>
      <c r="U2088" t="str">
        <f t="shared" si="326"/>
        <v/>
      </c>
      <c r="V2088" t="str">
        <f t="shared" si="327"/>
        <v/>
      </c>
      <c r="W2088" t="str">
        <f t="shared" si="328"/>
        <v/>
      </c>
      <c r="X2088">
        <f>IF($T2088="",N($X2087),IF(MATCH($T2088,$T$6:$T$10005,0)=ROW()-5,N($X2087)+1,N($X2087)))</f>
        <v>0</v>
      </c>
      <c r="Z2088" t="str">
        <f t="shared" si="329"/>
        <v/>
      </c>
      <c r="AA2088">
        <f>IF($V2088="",N($AA2087),IF(MATCH($V2088,$V$6:$V$10005,0)=ROW()-5,N($AA2087)+1,N($AA2087)))</f>
        <v>0</v>
      </c>
    </row>
    <row r="2089" spans="1:27" ht="21" customHeight="1" x14ac:dyDescent="0.95">
      <c r="A2089" s="56"/>
      <c r="B2089" s="57"/>
      <c r="C2089" s="57"/>
      <c r="D2089" s="57"/>
      <c r="E2089" s="56"/>
      <c r="F2089" s="57"/>
      <c r="G2089" s="57"/>
      <c r="H2089" s="56"/>
      <c r="I2089" s="56"/>
      <c r="J2089" s="58"/>
      <c r="K2089" s="58"/>
      <c r="L2089" s="13" t="str">
        <f t="shared" si="320"/>
        <v/>
      </c>
      <c r="M2089" s="13" t="str">
        <f t="shared" si="321"/>
        <v/>
      </c>
      <c r="Q2089" t="str">
        <f t="shared" si="322"/>
        <v/>
      </c>
      <c r="R2089" t="str">
        <f t="shared" si="323"/>
        <v/>
      </c>
      <c r="S2089" t="str">
        <f t="shared" si="324"/>
        <v/>
      </c>
      <c r="T2089" t="str">
        <f t="shared" si="325"/>
        <v/>
      </c>
      <c r="U2089" t="str">
        <f t="shared" si="326"/>
        <v/>
      </c>
      <c r="V2089" t="str">
        <f t="shared" si="327"/>
        <v/>
      </c>
      <c r="W2089" t="str">
        <f t="shared" si="328"/>
        <v/>
      </c>
      <c r="X2089">
        <f>IF($T2089="",N($X2088),IF(MATCH($T2089,$T$6:$T$10005,0)=ROW()-5,N($X2088)+1,N($X2088)))</f>
        <v>0</v>
      </c>
      <c r="Z2089" t="str">
        <f t="shared" si="329"/>
        <v/>
      </c>
      <c r="AA2089">
        <f>IF($V2089="",N($AA2088),IF(MATCH($V2089,$V$6:$V$10005,0)=ROW()-5,N($AA2088)+1,N($AA2088)))</f>
        <v>0</v>
      </c>
    </row>
    <row r="2090" spans="1:27" ht="21" customHeight="1" x14ac:dyDescent="0.95">
      <c r="A2090" s="56"/>
      <c r="B2090" s="57"/>
      <c r="C2090" s="57"/>
      <c r="D2090" s="57"/>
      <c r="E2090" s="56"/>
      <c r="F2090" s="57"/>
      <c r="G2090" s="57"/>
      <c r="H2090" s="56"/>
      <c r="I2090" s="56"/>
      <c r="J2090" s="58"/>
      <c r="K2090" s="58"/>
      <c r="L2090" s="13" t="str">
        <f t="shared" si="320"/>
        <v/>
      </c>
      <c r="M2090" s="13" t="str">
        <f t="shared" si="321"/>
        <v/>
      </c>
      <c r="Q2090" t="str">
        <f t="shared" si="322"/>
        <v/>
      </c>
      <c r="R2090" t="str">
        <f t="shared" si="323"/>
        <v/>
      </c>
      <c r="S2090" t="str">
        <f t="shared" si="324"/>
        <v/>
      </c>
      <c r="T2090" t="str">
        <f t="shared" si="325"/>
        <v/>
      </c>
      <c r="U2090" t="str">
        <f t="shared" si="326"/>
        <v/>
      </c>
      <c r="V2090" t="str">
        <f t="shared" si="327"/>
        <v/>
      </c>
      <c r="W2090" t="str">
        <f t="shared" si="328"/>
        <v/>
      </c>
      <c r="X2090">
        <f>IF($T2090="",N($X2089),IF(MATCH($T2090,$T$6:$T$10005,0)=ROW()-5,N($X2089)+1,N($X2089)))</f>
        <v>0</v>
      </c>
      <c r="Z2090" t="str">
        <f t="shared" si="329"/>
        <v/>
      </c>
      <c r="AA2090">
        <f>IF($V2090="",N($AA2089),IF(MATCH($V2090,$V$6:$V$10005,0)=ROW()-5,N($AA2089)+1,N($AA2089)))</f>
        <v>0</v>
      </c>
    </row>
    <row r="2091" spans="1:27" ht="21" customHeight="1" x14ac:dyDescent="0.95">
      <c r="A2091" s="56"/>
      <c r="B2091" s="57"/>
      <c r="C2091" s="57"/>
      <c r="D2091" s="57"/>
      <c r="E2091" s="56"/>
      <c r="F2091" s="57"/>
      <c r="G2091" s="57"/>
      <c r="H2091" s="56"/>
      <c r="I2091" s="56"/>
      <c r="J2091" s="58"/>
      <c r="K2091" s="58"/>
      <c r="L2091" s="13" t="str">
        <f t="shared" si="320"/>
        <v/>
      </c>
      <c r="M2091" s="13" t="str">
        <f t="shared" si="321"/>
        <v/>
      </c>
      <c r="Q2091" t="str">
        <f t="shared" si="322"/>
        <v/>
      </c>
      <c r="R2091" t="str">
        <f t="shared" si="323"/>
        <v/>
      </c>
      <c r="S2091" t="str">
        <f t="shared" si="324"/>
        <v/>
      </c>
      <c r="T2091" t="str">
        <f t="shared" si="325"/>
        <v/>
      </c>
      <c r="U2091" t="str">
        <f t="shared" si="326"/>
        <v/>
      </c>
      <c r="V2091" t="str">
        <f t="shared" si="327"/>
        <v/>
      </c>
      <c r="W2091" t="str">
        <f t="shared" si="328"/>
        <v/>
      </c>
      <c r="X2091">
        <f>IF($T2091="",N($X2090),IF(MATCH($T2091,$T$6:$T$10005,0)=ROW()-5,N($X2090)+1,N($X2090)))</f>
        <v>0</v>
      </c>
      <c r="Z2091" t="str">
        <f t="shared" si="329"/>
        <v/>
      </c>
      <c r="AA2091">
        <f>IF($V2091="",N($AA2090),IF(MATCH($V2091,$V$6:$V$10005,0)=ROW()-5,N($AA2090)+1,N($AA2090)))</f>
        <v>0</v>
      </c>
    </row>
    <row r="2092" spans="1:27" ht="21" customHeight="1" x14ac:dyDescent="0.95">
      <c r="A2092" s="56"/>
      <c r="B2092" s="57"/>
      <c r="C2092" s="57"/>
      <c r="D2092" s="57"/>
      <c r="E2092" s="56"/>
      <c r="F2092" s="57"/>
      <c r="G2092" s="57"/>
      <c r="H2092" s="56"/>
      <c r="I2092" s="56"/>
      <c r="J2092" s="58"/>
      <c r="K2092" s="58"/>
      <c r="L2092" s="13" t="str">
        <f t="shared" si="320"/>
        <v/>
      </c>
      <c r="M2092" s="13" t="str">
        <f t="shared" si="321"/>
        <v/>
      </c>
      <c r="Q2092" t="str">
        <f t="shared" si="322"/>
        <v/>
      </c>
      <c r="R2092" t="str">
        <f t="shared" si="323"/>
        <v/>
      </c>
      <c r="S2092" t="str">
        <f t="shared" si="324"/>
        <v/>
      </c>
      <c r="T2092" t="str">
        <f t="shared" si="325"/>
        <v/>
      </c>
      <c r="U2092" t="str">
        <f t="shared" si="326"/>
        <v/>
      </c>
      <c r="V2092" t="str">
        <f t="shared" si="327"/>
        <v/>
      </c>
      <c r="W2092" t="str">
        <f t="shared" si="328"/>
        <v/>
      </c>
      <c r="X2092">
        <f>IF($T2092="",N($X2091),IF(MATCH($T2092,$T$6:$T$10005,0)=ROW()-5,N($X2091)+1,N($X2091)))</f>
        <v>0</v>
      </c>
      <c r="Z2092" t="str">
        <f t="shared" si="329"/>
        <v/>
      </c>
      <c r="AA2092">
        <f>IF($V2092="",N($AA2091),IF(MATCH($V2092,$V$6:$V$10005,0)=ROW()-5,N($AA2091)+1,N($AA2091)))</f>
        <v>0</v>
      </c>
    </row>
    <row r="2093" spans="1:27" ht="21" customHeight="1" x14ac:dyDescent="0.95">
      <c r="A2093" s="56"/>
      <c r="B2093" s="57"/>
      <c r="C2093" s="57"/>
      <c r="D2093" s="57"/>
      <c r="E2093" s="56"/>
      <c r="F2093" s="57"/>
      <c r="G2093" s="57"/>
      <c r="H2093" s="56"/>
      <c r="I2093" s="56"/>
      <c r="J2093" s="58"/>
      <c r="K2093" s="58"/>
      <c r="L2093" s="13" t="str">
        <f t="shared" si="320"/>
        <v/>
      </c>
      <c r="M2093" s="13" t="str">
        <f t="shared" si="321"/>
        <v/>
      </c>
      <c r="Q2093" t="str">
        <f t="shared" si="322"/>
        <v/>
      </c>
      <c r="R2093" t="str">
        <f t="shared" si="323"/>
        <v/>
      </c>
      <c r="S2093" t="str">
        <f t="shared" si="324"/>
        <v/>
      </c>
      <c r="T2093" t="str">
        <f t="shared" si="325"/>
        <v/>
      </c>
      <c r="U2093" t="str">
        <f t="shared" si="326"/>
        <v/>
      </c>
      <c r="V2093" t="str">
        <f t="shared" si="327"/>
        <v/>
      </c>
      <c r="W2093" t="str">
        <f t="shared" si="328"/>
        <v/>
      </c>
      <c r="X2093">
        <f>IF($T2093="",N($X2092),IF(MATCH($T2093,$T$6:$T$10005,0)=ROW()-5,N($X2092)+1,N($X2092)))</f>
        <v>0</v>
      </c>
      <c r="Z2093" t="str">
        <f t="shared" si="329"/>
        <v/>
      </c>
      <c r="AA2093">
        <f>IF($V2093="",N($AA2092),IF(MATCH($V2093,$V$6:$V$10005,0)=ROW()-5,N($AA2092)+1,N($AA2092)))</f>
        <v>0</v>
      </c>
    </row>
    <row r="2094" spans="1:27" ht="21" customHeight="1" x14ac:dyDescent="0.95">
      <c r="A2094" s="56"/>
      <c r="B2094" s="57"/>
      <c r="C2094" s="57"/>
      <c r="D2094" s="57"/>
      <c r="E2094" s="56"/>
      <c r="F2094" s="57"/>
      <c r="G2094" s="57"/>
      <c r="H2094" s="56"/>
      <c r="I2094" s="56"/>
      <c r="J2094" s="58"/>
      <c r="K2094" s="58"/>
      <c r="L2094" s="13" t="str">
        <f t="shared" si="320"/>
        <v/>
      </c>
      <c r="M2094" s="13" t="str">
        <f t="shared" si="321"/>
        <v/>
      </c>
      <c r="Q2094" t="str">
        <f t="shared" si="322"/>
        <v/>
      </c>
      <c r="R2094" t="str">
        <f t="shared" si="323"/>
        <v/>
      </c>
      <c r="S2094" t="str">
        <f t="shared" si="324"/>
        <v/>
      </c>
      <c r="T2094" t="str">
        <f t="shared" si="325"/>
        <v/>
      </c>
      <c r="U2094" t="str">
        <f t="shared" si="326"/>
        <v/>
      </c>
      <c r="V2094" t="str">
        <f t="shared" si="327"/>
        <v/>
      </c>
      <c r="W2094" t="str">
        <f t="shared" si="328"/>
        <v/>
      </c>
      <c r="X2094">
        <f>IF($T2094="",N($X2093),IF(MATCH($T2094,$T$6:$T$10005,0)=ROW()-5,N($X2093)+1,N($X2093)))</f>
        <v>0</v>
      </c>
      <c r="Z2094" t="str">
        <f t="shared" si="329"/>
        <v/>
      </c>
      <c r="AA2094">
        <f>IF($V2094="",N($AA2093),IF(MATCH($V2094,$V$6:$V$10005,0)=ROW()-5,N($AA2093)+1,N($AA2093)))</f>
        <v>0</v>
      </c>
    </row>
    <row r="2095" spans="1:27" ht="21" customHeight="1" x14ac:dyDescent="0.95">
      <c r="A2095" s="56"/>
      <c r="B2095" s="57"/>
      <c r="C2095" s="57"/>
      <c r="D2095" s="57"/>
      <c r="E2095" s="56"/>
      <c r="F2095" s="57"/>
      <c r="G2095" s="57"/>
      <c r="H2095" s="56"/>
      <c r="I2095" s="56"/>
      <c r="J2095" s="58"/>
      <c r="K2095" s="58"/>
      <c r="L2095" s="13" t="str">
        <f t="shared" si="320"/>
        <v/>
      </c>
      <c r="M2095" s="13" t="str">
        <f t="shared" si="321"/>
        <v/>
      </c>
      <c r="Q2095" t="str">
        <f t="shared" si="322"/>
        <v/>
      </c>
      <c r="R2095" t="str">
        <f t="shared" si="323"/>
        <v/>
      </c>
      <c r="S2095" t="str">
        <f t="shared" si="324"/>
        <v/>
      </c>
      <c r="T2095" t="str">
        <f t="shared" si="325"/>
        <v/>
      </c>
      <c r="U2095" t="str">
        <f t="shared" si="326"/>
        <v/>
      </c>
      <c r="V2095" t="str">
        <f t="shared" si="327"/>
        <v/>
      </c>
      <c r="W2095" t="str">
        <f t="shared" si="328"/>
        <v/>
      </c>
      <c r="X2095">
        <f>IF($T2095="",N($X2094),IF(MATCH($T2095,$T$6:$T$10005,0)=ROW()-5,N($X2094)+1,N($X2094)))</f>
        <v>0</v>
      </c>
      <c r="Z2095" t="str">
        <f t="shared" si="329"/>
        <v/>
      </c>
      <c r="AA2095">
        <f>IF($V2095="",N($AA2094),IF(MATCH($V2095,$V$6:$V$10005,0)=ROW()-5,N($AA2094)+1,N($AA2094)))</f>
        <v>0</v>
      </c>
    </row>
    <row r="2096" spans="1:27" ht="21" customHeight="1" x14ac:dyDescent="0.95">
      <c r="A2096" s="56"/>
      <c r="B2096" s="57"/>
      <c r="C2096" s="57"/>
      <c r="D2096" s="57"/>
      <c r="E2096" s="56"/>
      <c r="F2096" s="57"/>
      <c r="G2096" s="57"/>
      <c r="H2096" s="56"/>
      <c r="I2096" s="56"/>
      <c r="J2096" s="58"/>
      <c r="K2096" s="58"/>
      <c r="L2096" s="13" t="str">
        <f t="shared" si="320"/>
        <v/>
      </c>
      <c r="M2096" s="13" t="str">
        <f t="shared" si="321"/>
        <v/>
      </c>
      <c r="Q2096" t="str">
        <f t="shared" si="322"/>
        <v/>
      </c>
      <c r="R2096" t="str">
        <f t="shared" si="323"/>
        <v/>
      </c>
      <c r="S2096" t="str">
        <f t="shared" si="324"/>
        <v/>
      </c>
      <c r="T2096" t="str">
        <f t="shared" si="325"/>
        <v/>
      </c>
      <c r="U2096" t="str">
        <f t="shared" si="326"/>
        <v/>
      </c>
      <c r="V2096" t="str">
        <f t="shared" si="327"/>
        <v/>
      </c>
      <c r="W2096" t="str">
        <f t="shared" si="328"/>
        <v/>
      </c>
      <c r="X2096">
        <f>IF($T2096="",N($X2095),IF(MATCH($T2096,$T$6:$T$10005,0)=ROW()-5,N($X2095)+1,N($X2095)))</f>
        <v>0</v>
      </c>
      <c r="Z2096" t="str">
        <f t="shared" si="329"/>
        <v/>
      </c>
      <c r="AA2096">
        <f>IF($V2096="",N($AA2095),IF(MATCH($V2096,$V$6:$V$10005,0)=ROW()-5,N($AA2095)+1,N($AA2095)))</f>
        <v>0</v>
      </c>
    </row>
    <row r="2097" spans="1:27" ht="21" customHeight="1" x14ac:dyDescent="0.95">
      <c r="A2097" s="56"/>
      <c r="B2097" s="57"/>
      <c r="C2097" s="57"/>
      <c r="D2097" s="57"/>
      <c r="E2097" s="56"/>
      <c r="F2097" s="57"/>
      <c r="G2097" s="57"/>
      <c r="H2097" s="56"/>
      <c r="I2097" s="56"/>
      <c r="J2097" s="58"/>
      <c r="K2097" s="58"/>
      <c r="L2097" s="13" t="str">
        <f t="shared" si="320"/>
        <v/>
      </c>
      <c r="M2097" s="13" t="str">
        <f t="shared" si="321"/>
        <v/>
      </c>
      <c r="Q2097" t="str">
        <f t="shared" si="322"/>
        <v/>
      </c>
      <c r="R2097" t="str">
        <f t="shared" si="323"/>
        <v/>
      </c>
      <c r="S2097" t="str">
        <f t="shared" si="324"/>
        <v/>
      </c>
      <c r="T2097" t="str">
        <f t="shared" si="325"/>
        <v/>
      </c>
      <c r="U2097" t="str">
        <f t="shared" si="326"/>
        <v/>
      </c>
      <c r="V2097" t="str">
        <f t="shared" si="327"/>
        <v/>
      </c>
      <c r="W2097" t="str">
        <f t="shared" si="328"/>
        <v/>
      </c>
      <c r="X2097">
        <f>IF($T2097="",N($X2096),IF(MATCH($T2097,$T$6:$T$10005,0)=ROW()-5,N($X2096)+1,N($X2096)))</f>
        <v>0</v>
      </c>
      <c r="Z2097" t="str">
        <f t="shared" si="329"/>
        <v/>
      </c>
      <c r="AA2097">
        <f>IF($V2097="",N($AA2096),IF(MATCH($V2097,$V$6:$V$10005,0)=ROW()-5,N($AA2096)+1,N($AA2096)))</f>
        <v>0</v>
      </c>
    </row>
    <row r="2098" spans="1:27" ht="21" customHeight="1" x14ac:dyDescent="0.95">
      <c r="A2098" s="56"/>
      <c r="B2098" s="57"/>
      <c r="C2098" s="57"/>
      <c r="D2098" s="57"/>
      <c r="E2098" s="56"/>
      <c r="F2098" s="57"/>
      <c r="G2098" s="57"/>
      <c r="H2098" s="56"/>
      <c r="I2098" s="56"/>
      <c r="J2098" s="58"/>
      <c r="K2098" s="58"/>
      <c r="L2098" s="13" t="str">
        <f t="shared" si="320"/>
        <v/>
      </c>
      <c r="M2098" s="13" t="str">
        <f t="shared" si="321"/>
        <v/>
      </c>
      <c r="Q2098" t="str">
        <f t="shared" si="322"/>
        <v/>
      </c>
      <c r="R2098" t="str">
        <f t="shared" si="323"/>
        <v/>
      </c>
      <c r="S2098" t="str">
        <f t="shared" si="324"/>
        <v/>
      </c>
      <c r="T2098" t="str">
        <f t="shared" si="325"/>
        <v/>
      </c>
      <c r="U2098" t="str">
        <f t="shared" si="326"/>
        <v/>
      </c>
      <c r="V2098" t="str">
        <f t="shared" si="327"/>
        <v/>
      </c>
      <c r="W2098" t="str">
        <f t="shared" si="328"/>
        <v/>
      </c>
      <c r="X2098">
        <f>IF($T2098="",N($X2097),IF(MATCH($T2098,$T$6:$T$10005,0)=ROW()-5,N($X2097)+1,N($X2097)))</f>
        <v>0</v>
      </c>
      <c r="Z2098" t="str">
        <f t="shared" si="329"/>
        <v/>
      </c>
      <c r="AA2098">
        <f>IF($V2098="",N($AA2097),IF(MATCH($V2098,$V$6:$V$10005,0)=ROW()-5,N($AA2097)+1,N($AA2097)))</f>
        <v>0</v>
      </c>
    </row>
    <row r="2099" spans="1:27" ht="21" customHeight="1" x14ac:dyDescent="0.95">
      <c r="A2099" s="56"/>
      <c r="B2099" s="57"/>
      <c r="C2099" s="57"/>
      <c r="D2099" s="57"/>
      <c r="E2099" s="56"/>
      <c r="F2099" s="57"/>
      <c r="G2099" s="57"/>
      <c r="H2099" s="56"/>
      <c r="I2099" s="56"/>
      <c r="J2099" s="58"/>
      <c r="K2099" s="58"/>
      <c r="L2099" s="13" t="str">
        <f t="shared" si="320"/>
        <v/>
      </c>
      <c r="M2099" s="13" t="str">
        <f t="shared" si="321"/>
        <v/>
      </c>
      <c r="Q2099" t="str">
        <f t="shared" si="322"/>
        <v/>
      </c>
      <c r="R2099" t="str">
        <f t="shared" si="323"/>
        <v/>
      </c>
      <c r="S2099" t="str">
        <f t="shared" si="324"/>
        <v/>
      </c>
      <c r="T2099" t="str">
        <f t="shared" si="325"/>
        <v/>
      </c>
      <c r="U2099" t="str">
        <f t="shared" si="326"/>
        <v/>
      </c>
      <c r="V2099" t="str">
        <f t="shared" si="327"/>
        <v/>
      </c>
      <c r="W2099" t="str">
        <f t="shared" si="328"/>
        <v/>
      </c>
      <c r="X2099">
        <f>IF($T2099="",N($X2098),IF(MATCH($T2099,$T$6:$T$10005,0)=ROW()-5,N($X2098)+1,N($X2098)))</f>
        <v>0</v>
      </c>
      <c r="Z2099" t="str">
        <f t="shared" si="329"/>
        <v/>
      </c>
      <c r="AA2099">
        <f>IF($V2099="",N($AA2098),IF(MATCH($V2099,$V$6:$V$10005,0)=ROW()-5,N($AA2098)+1,N($AA2098)))</f>
        <v>0</v>
      </c>
    </row>
    <row r="2100" spans="1:27" ht="21" customHeight="1" x14ac:dyDescent="0.95">
      <c r="A2100" s="56"/>
      <c r="B2100" s="57"/>
      <c r="C2100" s="57"/>
      <c r="D2100" s="57"/>
      <c r="E2100" s="56"/>
      <c r="F2100" s="57"/>
      <c r="G2100" s="57"/>
      <c r="H2100" s="56"/>
      <c r="I2100" s="56"/>
      <c r="J2100" s="58"/>
      <c r="K2100" s="58"/>
      <c r="L2100" s="13" t="str">
        <f t="shared" si="320"/>
        <v/>
      </c>
      <c r="M2100" s="13" t="str">
        <f t="shared" si="321"/>
        <v/>
      </c>
      <c r="Q2100" t="str">
        <f t="shared" si="322"/>
        <v/>
      </c>
      <c r="R2100" t="str">
        <f t="shared" si="323"/>
        <v/>
      </c>
      <c r="S2100" t="str">
        <f t="shared" si="324"/>
        <v/>
      </c>
      <c r="T2100" t="str">
        <f t="shared" si="325"/>
        <v/>
      </c>
      <c r="U2100" t="str">
        <f t="shared" si="326"/>
        <v/>
      </c>
      <c r="V2100" t="str">
        <f t="shared" si="327"/>
        <v/>
      </c>
      <c r="W2100" t="str">
        <f t="shared" si="328"/>
        <v/>
      </c>
      <c r="X2100">
        <f>IF($T2100="",N($X2099),IF(MATCH($T2100,$T$6:$T$10005,0)=ROW()-5,N($X2099)+1,N($X2099)))</f>
        <v>0</v>
      </c>
      <c r="Z2100" t="str">
        <f t="shared" si="329"/>
        <v/>
      </c>
      <c r="AA2100">
        <f>IF($V2100="",N($AA2099),IF(MATCH($V2100,$V$6:$V$10005,0)=ROW()-5,N($AA2099)+1,N($AA2099)))</f>
        <v>0</v>
      </c>
    </row>
    <row r="2101" spans="1:27" ht="21" customHeight="1" x14ac:dyDescent="0.95">
      <c r="A2101" s="56"/>
      <c r="B2101" s="57"/>
      <c r="C2101" s="57"/>
      <c r="D2101" s="57"/>
      <c r="E2101" s="56"/>
      <c r="F2101" s="57"/>
      <c r="G2101" s="57"/>
      <c r="H2101" s="56"/>
      <c r="I2101" s="56"/>
      <c r="J2101" s="58"/>
      <c r="K2101" s="58"/>
      <c r="L2101" s="13" t="str">
        <f t="shared" si="320"/>
        <v/>
      </c>
      <c r="M2101" s="13" t="str">
        <f t="shared" si="321"/>
        <v/>
      </c>
      <c r="Q2101" t="str">
        <f t="shared" si="322"/>
        <v/>
      </c>
      <c r="R2101" t="str">
        <f t="shared" si="323"/>
        <v/>
      </c>
      <c r="S2101" t="str">
        <f t="shared" si="324"/>
        <v/>
      </c>
      <c r="T2101" t="str">
        <f t="shared" si="325"/>
        <v/>
      </c>
      <c r="U2101" t="str">
        <f t="shared" si="326"/>
        <v/>
      </c>
      <c r="V2101" t="str">
        <f t="shared" si="327"/>
        <v/>
      </c>
      <c r="W2101" t="str">
        <f t="shared" si="328"/>
        <v/>
      </c>
      <c r="X2101">
        <f>IF($T2101="",N($X2100),IF(MATCH($T2101,$T$6:$T$10005,0)=ROW()-5,N($X2100)+1,N($X2100)))</f>
        <v>0</v>
      </c>
      <c r="Z2101" t="str">
        <f t="shared" si="329"/>
        <v/>
      </c>
      <c r="AA2101">
        <f>IF($V2101="",N($AA2100),IF(MATCH($V2101,$V$6:$V$10005,0)=ROW()-5,N($AA2100)+1,N($AA2100)))</f>
        <v>0</v>
      </c>
    </row>
    <row r="2102" spans="1:27" ht="21" customHeight="1" x14ac:dyDescent="0.95">
      <c r="A2102" s="56"/>
      <c r="B2102" s="57"/>
      <c r="C2102" s="57"/>
      <c r="D2102" s="57"/>
      <c r="E2102" s="56"/>
      <c r="F2102" s="57"/>
      <c r="G2102" s="57"/>
      <c r="H2102" s="56"/>
      <c r="I2102" s="56"/>
      <c r="J2102" s="58"/>
      <c r="K2102" s="58"/>
      <c r="L2102" s="13" t="str">
        <f t="shared" si="320"/>
        <v/>
      </c>
      <c r="M2102" s="13" t="str">
        <f t="shared" si="321"/>
        <v/>
      </c>
      <c r="Q2102" t="str">
        <f t="shared" si="322"/>
        <v/>
      </c>
      <c r="R2102" t="str">
        <f t="shared" si="323"/>
        <v/>
      </c>
      <c r="S2102" t="str">
        <f t="shared" si="324"/>
        <v/>
      </c>
      <c r="T2102" t="str">
        <f t="shared" si="325"/>
        <v/>
      </c>
      <c r="U2102" t="str">
        <f t="shared" si="326"/>
        <v/>
      </c>
      <c r="V2102" t="str">
        <f t="shared" si="327"/>
        <v/>
      </c>
      <c r="W2102" t="str">
        <f t="shared" si="328"/>
        <v/>
      </c>
      <c r="X2102">
        <f>IF($T2102="",N($X2101),IF(MATCH($T2102,$T$6:$T$10005,0)=ROW()-5,N($X2101)+1,N($X2101)))</f>
        <v>0</v>
      </c>
      <c r="Z2102" t="str">
        <f t="shared" si="329"/>
        <v/>
      </c>
      <c r="AA2102">
        <f>IF($V2102="",N($AA2101),IF(MATCH($V2102,$V$6:$V$10005,0)=ROW()-5,N($AA2101)+1,N($AA2101)))</f>
        <v>0</v>
      </c>
    </row>
    <row r="2103" spans="1:27" ht="21" customHeight="1" x14ac:dyDescent="0.95">
      <c r="A2103" s="56"/>
      <c r="B2103" s="57"/>
      <c r="C2103" s="57"/>
      <c r="D2103" s="57"/>
      <c r="E2103" s="56"/>
      <c r="F2103" s="57"/>
      <c r="G2103" s="57"/>
      <c r="H2103" s="56"/>
      <c r="I2103" s="56"/>
      <c r="J2103" s="58"/>
      <c r="K2103" s="58"/>
      <c r="L2103" s="13" t="str">
        <f t="shared" si="320"/>
        <v/>
      </c>
      <c r="M2103" s="13" t="str">
        <f t="shared" si="321"/>
        <v/>
      </c>
      <c r="Q2103" t="str">
        <f t="shared" si="322"/>
        <v/>
      </c>
      <c r="R2103" t="str">
        <f t="shared" si="323"/>
        <v/>
      </c>
      <c r="S2103" t="str">
        <f t="shared" si="324"/>
        <v/>
      </c>
      <c r="T2103" t="str">
        <f t="shared" si="325"/>
        <v/>
      </c>
      <c r="U2103" t="str">
        <f t="shared" si="326"/>
        <v/>
      </c>
      <c r="V2103" t="str">
        <f t="shared" si="327"/>
        <v/>
      </c>
      <c r="W2103" t="str">
        <f t="shared" si="328"/>
        <v/>
      </c>
      <c r="X2103">
        <f>IF($T2103="",N($X2102),IF(MATCH($T2103,$T$6:$T$10005,0)=ROW()-5,N($X2102)+1,N($X2102)))</f>
        <v>0</v>
      </c>
      <c r="Z2103" t="str">
        <f t="shared" si="329"/>
        <v/>
      </c>
      <c r="AA2103">
        <f>IF($V2103="",N($AA2102),IF(MATCH($V2103,$V$6:$V$10005,0)=ROW()-5,N($AA2102)+1,N($AA2102)))</f>
        <v>0</v>
      </c>
    </row>
    <row r="2104" spans="1:27" ht="21" customHeight="1" x14ac:dyDescent="0.95">
      <c r="A2104" s="56"/>
      <c r="B2104" s="57"/>
      <c r="C2104" s="57"/>
      <c r="D2104" s="57"/>
      <c r="E2104" s="56"/>
      <c r="F2104" s="57"/>
      <c r="G2104" s="57"/>
      <c r="H2104" s="56"/>
      <c r="I2104" s="56"/>
      <c r="J2104" s="58"/>
      <c r="K2104" s="58"/>
      <c r="L2104" s="13" t="str">
        <f t="shared" si="320"/>
        <v/>
      </c>
      <c r="M2104" s="13" t="str">
        <f t="shared" si="321"/>
        <v/>
      </c>
      <c r="Q2104" t="str">
        <f t="shared" si="322"/>
        <v/>
      </c>
      <c r="R2104" t="str">
        <f t="shared" si="323"/>
        <v/>
      </c>
      <c r="S2104" t="str">
        <f t="shared" si="324"/>
        <v/>
      </c>
      <c r="T2104" t="str">
        <f t="shared" si="325"/>
        <v/>
      </c>
      <c r="U2104" t="str">
        <f t="shared" si="326"/>
        <v/>
      </c>
      <c r="V2104" t="str">
        <f t="shared" si="327"/>
        <v/>
      </c>
      <c r="W2104" t="str">
        <f t="shared" si="328"/>
        <v/>
      </c>
      <c r="X2104">
        <f>IF($T2104="",N($X2103),IF(MATCH($T2104,$T$6:$T$10005,0)=ROW()-5,N($X2103)+1,N($X2103)))</f>
        <v>0</v>
      </c>
      <c r="Z2104" t="str">
        <f t="shared" si="329"/>
        <v/>
      </c>
      <c r="AA2104">
        <f>IF($V2104="",N($AA2103),IF(MATCH($V2104,$V$6:$V$10005,0)=ROW()-5,N($AA2103)+1,N($AA2103)))</f>
        <v>0</v>
      </c>
    </row>
    <row r="2105" spans="1:27" ht="21" customHeight="1" x14ac:dyDescent="0.95">
      <c r="A2105" s="56"/>
      <c r="B2105" s="57"/>
      <c r="C2105" s="57"/>
      <c r="D2105" s="57"/>
      <c r="E2105" s="56"/>
      <c r="F2105" s="57"/>
      <c r="G2105" s="57"/>
      <c r="H2105" s="56"/>
      <c r="I2105" s="56"/>
      <c r="J2105" s="58"/>
      <c r="K2105" s="58"/>
      <c r="L2105" s="13" t="str">
        <f t="shared" si="320"/>
        <v/>
      </c>
      <c r="M2105" s="13" t="str">
        <f t="shared" si="321"/>
        <v/>
      </c>
      <c r="Q2105" t="str">
        <f t="shared" si="322"/>
        <v/>
      </c>
      <c r="R2105" t="str">
        <f t="shared" si="323"/>
        <v/>
      </c>
      <c r="S2105" t="str">
        <f t="shared" si="324"/>
        <v/>
      </c>
      <c r="T2105" t="str">
        <f t="shared" si="325"/>
        <v/>
      </c>
      <c r="U2105" t="str">
        <f t="shared" si="326"/>
        <v/>
      </c>
      <c r="V2105" t="str">
        <f t="shared" si="327"/>
        <v/>
      </c>
      <c r="W2105" t="str">
        <f t="shared" si="328"/>
        <v/>
      </c>
      <c r="X2105">
        <f>IF($T2105="",N($X2104),IF(MATCH($T2105,$T$6:$T$10005,0)=ROW()-5,N($X2104)+1,N($X2104)))</f>
        <v>0</v>
      </c>
      <c r="Z2105" t="str">
        <f t="shared" si="329"/>
        <v/>
      </c>
      <c r="AA2105">
        <f>IF($V2105="",N($AA2104),IF(MATCH($V2105,$V$6:$V$10005,0)=ROW()-5,N($AA2104)+1,N($AA2104)))</f>
        <v>0</v>
      </c>
    </row>
    <row r="2106" spans="1:27" ht="21" customHeight="1" x14ac:dyDescent="0.95">
      <c r="A2106" s="56"/>
      <c r="B2106" s="57"/>
      <c r="C2106" s="57"/>
      <c r="D2106" s="57"/>
      <c r="E2106" s="56"/>
      <c r="F2106" s="57"/>
      <c r="G2106" s="57"/>
      <c r="H2106" s="56"/>
      <c r="I2106" s="56"/>
      <c r="J2106" s="58"/>
      <c r="K2106" s="58"/>
      <c r="L2106" s="13" t="str">
        <f t="shared" si="320"/>
        <v/>
      </c>
      <c r="M2106" s="13" t="str">
        <f t="shared" si="321"/>
        <v/>
      </c>
      <c r="Q2106" t="str">
        <f t="shared" si="322"/>
        <v/>
      </c>
      <c r="R2106" t="str">
        <f t="shared" si="323"/>
        <v/>
      </c>
      <c r="S2106" t="str">
        <f t="shared" si="324"/>
        <v/>
      </c>
      <c r="T2106" t="str">
        <f t="shared" si="325"/>
        <v/>
      </c>
      <c r="U2106" t="str">
        <f t="shared" si="326"/>
        <v/>
      </c>
      <c r="V2106" t="str">
        <f t="shared" si="327"/>
        <v/>
      </c>
      <c r="W2106" t="str">
        <f t="shared" si="328"/>
        <v/>
      </c>
      <c r="X2106">
        <f>IF($T2106="",N($X2105),IF(MATCH($T2106,$T$6:$T$10005,0)=ROW()-5,N($X2105)+1,N($X2105)))</f>
        <v>0</v>
      </c>
      <c r="Z2106" t="str">
        <f t="shared" si="329"/>
        <v/>
      </c>
      <c r="AA2106">
        <f>IF($V2106="",N($AA2105),IF(MATCH($V2106,$V$6:$V$10005,0)=ROW()-5,N($AA2105)+1,N($AA2105)))</f>
        <v>0</v>
      </c>
    </row>
    <row r="2107" spans="1:27" ht="21" customHeight="1" x14ac:dyDescent="0.95">
      <c r="A2107" s="56"/>
      <c r="B2107" s="57"/>
      <c r="C2107" s="57"/>
      <c r="D2107" s="57"/>
      <c r="E2107" s="56"/>
      <c r="F2107" s="57"/>
      <c r="G2107" s="57"/>
      <c r="H2107" s="56"/>
      <c r="I2107" s="56"/>
      <c r="J2107" s="58"/>
      <c r="K2107" s="58"/>
      <c r="L2107" s="13" t="str">
        <f t="shared" si="320"/>
        <v/>
      </c>
      <c r="M2107" s="13" t="str">
        <f t="shared" si="321"/>
        <v/>
      </c>
      <c r="Q2107" t="str">
        <f t="shared" si="322"/>
        <v/>
      </c>
      <c r="R2107" t="str">
        <f t="shared" si="323"/>
        <v/>
      </c>
      <c r="S2107" t="str">
        <f t="shared" si="324"/>
        <v/>
      </c>
      <c r="T2107" t="str">
        <f t="shared" si="325"/>
        <v/>
      </c>
      <c r="U2107" t="str">
        <f t="shared" si="326"/>
        <v/>
      </c>
      <c r="V2107" t="str">
        <f t="shared" si="327"/>
        <v/>
      </c>
      <c r="W2107" t="str">
        <f t="shared" si="328"/>
        <v/>
      </c>
      <c r="X2107">
        <f>IF($T2107="",N($X2106),IF(MATCH($T2107,$T$6:$T$10005,0)=ROW()-5,N($X2106)+1,N($X2106)))</f>
        <v>0</v>
      </c>
      <c r="Z2107" t="str">
        <f t="shared" si="329"/>
        <v/>
      </c>
      <c r="AA2107">
        <f>IF($V2107="",N($AA2106),IF(MATCH($V2107,$V$6:$V$10005,0)=ROW()-5,N($AA2106)+1,N($AA2106)))</f>
        <v>0</v>
      </c>
    </row>
    <row r="2108" spans="1:27" ht="21" customHeight="1" x14ac:dyDescent="0.95">
      <c r="A2108" s="56"/>
      <c r="B2108" s="57"/>
      <c r="C2108" s="57"/>
      <c r="D2108" s="57"/>
      <c r="E2108" s="56"/>
      <c r="F2108" s="57"/>
      <c r="G2108" s="57"/>
      <c r="H2108" s="56"/>
      <c r="I2108" s="56"/>
      <c r="J2108" s="58"/>
      <c r="K2108" s="58"/>
      <c r="L2108" s="13" t="str">
        <f t="shared" si="320"/>
        <v/>
      </c>
      <c r="M2108" s="13" t="str">
        <f t="shared" si="321"/>
        <v/>
      </c>
      <c r="Q2108" t="str">
        <f t="shared" si="322"/>
        <v/>
      </c>
      <c r="R2108" t="str">
        <f t="shared" si="323"/>
        <v/>
      </c>
      <c r="S2108" t="str">
        <f t="shared" si="324"/>
        <v/>
      </c>
      <c r="T2108" t="str">
        <f t="shared" si="325"/>
        <v/>
      </c>
      <c r="U2108" t="str">
        <f t="shared" si="326"/>
        <v/>
      </c>
      <c r="V2108" t="str">
        <f t="shared" si="327"/>
        <v/>
      </c>
      <c r="W2108" t="str">
        <f t="shared" si="328"/>
        <v/>
      </c>
      <c r="X2108">
        <f>IF($T2108="",N($X2107),IF(MATCH($T2108,$T$6:$T$10005,0)=ROW()-5,N($X2107)+1,N($X2107)))</f>
        <v>0</v>
      </c>
      <c r="Z2108" t="str">
        <f t="shared" si="329"/>
        <v/>
      </c>
      <c r="AA2108">
        <f>IF($V2108="",N($AA2107),IF(MATCH($V2108,$V$6:$V$10005,0)=ROW()-5,N($AA2107)+1,N($AA2107)))</f>
        <v>0</v>
      </c>
    </row>
    <row r="2109" spans="1:27" ht="21" customHeight="1" x14ac:dyDescent="0.95">
      <c r="A2109" s="56"/>
      <c r="B2109" s="57"/>
      <c r="C2109" s="57"/>
      <c r="D2109" s="57"/>
      <c r="E2109" s="56"/>
      <c r="F2109" s="57"/>
      <c r="G2109" s="57"/>
      <c r="H2109" s="56"/>
      <c r="I2109" s="56"/>
      <c r="J2109" s="58"/>
      <c r="K2109" s="58"/>
      <c r="L2109" s="13" t="str">
        <f t="shared" si="320"/>
        <v/>
      </c>
      <c r="M2109" s="13" t="str">
        <f t="shared" si="321"/>
        <v/>
      </c>
      <c r="Q2109" t="str">
        <f t="shared" si="322"/>
        <v/>
      </c>
      <c r="R2109" t="str">
        <f t="shared" si="323"/>
        <v/>
      </c>
      <c r="S2109" t="str">
        <f t="shared" si="324"/>
        <v/>
      </c>
      <c r="T2109" t="str">
        <f t="shared" si="325"/>
        <v/>
      </c>
      <c r="U2109" t="str">
        <f t="shared" si="326"/>
        <v/>
      </c>
      <c r="V2109" t="str">
        <f t="shared" si="327"/>
        <v/>
      </c>
      <c r="W2109" t="str">
        <f t="shared" si="328"/>
        <v/>
      </c>
      <c r="X2109">
        <f>IF($T2109="",N($X2108),IF(MATCH($T2109,$T$6:$T$10005,0)=ROW()-5,N($X2108)+1,N($X2108)))</f>
        <v>0</v>
      </c>
      <c r="Z2109" t="str">
        <f t="shared" si="329"/>
        <v/>
      </c>
      <c r="AA2109">
        <f>IF($V2109="",N($AA2108),IF(MATCH($V2109,$V$6:$V$10005,0)=ROW()-5,N($AA2108)+1,N($AA2108)))</f>
        <v>0</v>
      </c>
    </row>
    <row r="2110" spans="1:27" ht="21" customHeight="1" x14ac:dyDescent="0.95">
      <c r="A2110" s="56"/>
      <c r="B2110" s="57"/>
      <c r="C2110" s="57"/>
      <c r="D2110" s="57"/>
      <c r="E2110" s="56"/>
      <c r="F2110" s="57"/>
      <c r="G2110" s="57"/>
      <c r="H2110" s="56"/>
      <c r="I2110" s="56"/>
      <c r="J2110" s="58"/>
      <c r="K2110" s="58"/>
      <c r="L2110" s="13" t="str">
        <f t="shared" si="320"/>
        <v/>
      </c>
      <c r="M2110" s="13" t="str">
        <f t="shared" si="321"/>
        <v/>
      </c>
      <c r="Q2110" t="str">
        <f t="shared" si="322"/>
        <v/>
      </c>
      <c r="R2110" t="str">
        <f t="shared" si="323"/>
        <v/>
      </c>
      <c r="S2110" t="str">
        <f t="shared" si="324"/>
        <v/>
      </c>
      <c r="T2110" t="str">
        <f t="shared" si="325"/>
        <v/>
      </c>
      <c r="U2110" t="str">
        <f t="shared" si="326"/>
        <v/>
      </c>
      <c r="V2110" t="str">
        <f t="shared" si="327"/>
        <v/>
      </c>
      <c r="W2110" t="str">
        <f t="shared" si="328"/>
        <v/>
      </c>
      <c r="X2110">
        <f>IF($T2110="",N($X2109),IF(MATCH($T2110,$T$6:$T$10005,0)=ROW()-5,N($X2109)+1,N($X2109)))</f>
        <v>0</v>
      </c>
      <c r="Z2110" t="str">
        <f t="shared" si="329"/>
        <v/>
      </c>
      <c r="AA2110">
        <f>IF($V2110="",N($AA2109),IF(MATCH($V2110,$V$6:$V$10005,0)=ROW()-5,N($AA2109)+1,N($AA2109)))</f>
        <v>0</v>
      </c>
    </row>
    <row r="2111" spans="1:27" ht="21" customHeight="1" x14ac:dyDescent="0.95">
      <c r="A2111" s="56"/>
      <c r="B2111" s="57"/>
      <c r="C2111" s="57"/>
      <c r="D2111" s="57"/>
      <c r="E2111" s="56"/>
      <c r="F2111" s="57"/>
      <c r="G2111" s="57"/>
      <c r="H2111" s="56"/>
      <c r="I2111" s="56"/>
      <c r="J2111" s="58"/>
      <c r="K2111" s="58"/>
      <c r="L2111" s="13" t="str">
        <f t="shared" si="320"/>
        <v/>
      </c>
      <c r="M2111" s="13" t="str">
        <f t="shared" si="321"/>
        <v/>
      </c>
      <c r="Q2111" t="str">
        <f t="shared" si="322"/>
        <v/>
      </c>
      <c r="R2111" t="str">
        <f t="shared" si="323"/>
        <v/>
      </c>
      <c r="S2111" t="str">
        <f t="shared" si="324"/>
        <v/>
      </c>
      <c r="T2111" t="str">
        <f t="shared" si="325"/>
        <v/>
      </c>
      <c r="U2111" t="str">
        <f t="shared" si="326"/>
        <v/>
      </c>
      <c r="V2111" t="str">
        <f t="shared" si="327"/>
        <v/>
      </c>
      <c r="W2111" t="str">
        <f t="shared" si="328"/>
        <v/>
      </c>
      <c r="X2111">
        <f>IF($T2111="",N($X2110),IF(MATCH($T2111,$T$6:$T$10005,0)=ROW()-5,N($X2110)+1,N($X2110)))</f>
        <v>0</v>
      </c>
      <c r="Z2111" t="str">
        <f t="shared" si="329"/>
        <v/>
      </c>
      <c r="AA2111">
        <f>IF($V2111="",N($AA2110),IF(MATCH($V2111,$V$6:$V$10005,0)=ROW()-5,N($AA2110)+1,N($AA2110)))</f>
        <v>0</v>
      </c>
    </row>
    <row r="2112" spans="1:27" ht="21" customHeight="1" x14ac:dyDescent="0.95">
      <c r="A2112" s="56"/>
      <c r="B2112" s="57"/>
      <c r="C2112" s="57"/>
      <c r="D2112" s="57"/>
      <c r="E2112" s="56"/>
      <c r="F2112" s="57"/>
      <c r="G2112" s="57"/>
      <c r="H2112" s="56"/>
      <c r="I2112" s="56"/>
      <c r="J2112" s="58"/>
      <c r="K2112" s="58"/>
      <c r="L2112" s="13" t="str">
        <f t="shared" si="320"/>
        <v/>
      </c>
      <c r="M2112" s="13" t="str">
        <f t="shared" si="321"/>
        <v/>
      </c>
      <c r="Q2112" t="str">
        <f t="shared" si="322"/>
        <v/>
      </c>
      <c r="R2112" t="str">
        <f t="shared" si="323"/>
        <v/>
      </c>
      <c r="S2112" t="str">
        <f t="shared" si="324"/>
        <v/>
      </c>
      <c r="T2112" t="str">
        <f t="shared" si="325"/>
        <v/>
      </c>
      <c r="U2112" t="str">
        <f t="shared" si="326"/>
        <v/>
      </c>
      <c r="V2112" t="str">
        <f t="shared" si="327"/>
        <v/>
      </c>
      <c r="W2112" t="str">
        <f t="shared" si="328"/>
        <v/>
      </c>
      <c r="X2112">
        <f>IF($T2112="",N($X2111),IF(MATCH($T2112,$T$6:$T$10005,0)=ROW()-5,N($X2111)+1,N($X2111)))</f>
        <v>0</v>
      </c>
      <c r="Z2112" t="str">
        <f t="shared" si="329"/>
        <v/>
      </c>
      <c r="AA2112">
        <f>IF($V2112="",N($AA2111),IF(MATCH($V2112,$V$6:$V$10005,0)=ROW()-5,N($AA2111)+1,N($AA2111)))</f>
        <v>0</v>
      </c>
    </row>
    <row r="2113" spans="1:27" ht="21" customHeight="1" x14ac:dyDescent="0.95">
      <c r="A2113" s="56"/>
      <c r="B2113" s="57"/>
      <c r="C2113" s="57"/>
      <c r="D2113" s="57"/>
      <c r="E2113" s="56"/>
      <c r="F2113" s="57"/>
      <c r="G2113" s="57"/>
      <c r="H2113" s="56"/>
      <c r="I2113" s="56"/>
      <c r="J2113" s="58"/>
      <c r="K2113" s="58"/>
      <c r="L2113" s="13" t="str">
        <f t="shared" si="320"/>
        <v/>
      </c>
      <c r="M2113" s="13" t="str">
        <f t="shared" si="321"/>
        <v/>
      </c>
      <c r="Q2113" t="str">
        <f t="shared" si="322"/>
        <v/>
      </c>
      <c r="R2113" t="str">
        <f t="shared" si="323"/>
        <v/>
      </c>
      <c r="S2113" t="str">
        <f t="shared" si="324"/>
        <v/>
      </c>
      <c r="T2113" t="str">
        <f t="shared" si="325"/>
        <v/>
      </c>
      <c r="U2113" t="str">
        <f t="shared" si="326"/>
        <v/>
      </c>
      <c r="V2113" t="str">
        <f t="shared" si="327"/>
        <v/>
      </c>
      <c r="W2113" t="str">
        <f t="shared" si="328"/>
        <v/>
      </c>
      <c r="X2113">
        <f>IF($T2113="",N($X2112),IF(MATCH($T2113,$T$6:$T$10005,0)=ROW()-5,N($X2112)+1,N($X2112)))</f>
        <v>0</v>
      </c>
      <c r="Z2113" t="str">
        <f t="shared" si="329"/>
        <v/>
      </c>
      <c r="AA2113">
        <f>IF($V2113="",N($AA2112),IF(MATCH($V2113,$V$6:$V$10005,0)=ROW()-5,N($AA2112)+1,N($AA2112)))</f>
        <v>0</v>
      </c>
    </row>
    <row r="2114" spans="1:27" ht="21" customHeight="1" x14ac:dyDescent="0.95">
      <c r="A2114" s="56"/>
      <c r="B2114" s="57"/>
      <c r="C2114" s="57"/>
      <c r="D2114" s="57"/>
      <c r="E2114" s="56"/>
      <c r="F2114" s="57"/>
      <c r="G2114" s="57"/>
      <c r="H2114" s="56"/>
      <c r="I2114" s="56"/>
      <c r="J2114" s="58"/>
      <c r="K2114" s="58"/>
      <c r="L2114" s="13" t="str">
        <f t="shared" si="320"/>
        <v/>
      </c>
      <c r="M2114" s="13" t="str">
        <f t="shared" si="321"/>
        <v/>
      </c>
      <c r="Q2114" t="str">
        <f t="shared" si="322"/>
        <v/>
      </c>
      <c r="R2114" t="str">
        <f t="shared" si="323"/>
        <v/>
      </c>
      <c r="S2114" t="str">
        <f t="shared" si="324"/>
        <v/>
      </c>
      <c r="T2114" t="str">
        <f t="shared" si="325"/>
        <v/>
      </c>
      <c r="U2114" t="str">
        <f t="shared" si="326"/>
        <v/>
      </c>
      <c r="V2114" t="str">
        <f t="shared" si="327"/>
        <v/>
      </c>
      <c r="W2114" t="str">
        <f t="shared" si="328"/>
        <v/>
      </c>
      <c r="X2114">
        <f>IF($T2114="",N($X2113),IF(MATCH($T2114,$T$6:$T$10005,0)=ROW()-5,N($X2113)+1,N($X2113)))</f>
        <v>0</v>
      </c>
      <c r="Z2114" t="str">
        <f t="shared" si="329"/>
        <v/>
      </c>
      <c r="AA2114">
        <f>IF($V2114="",N($AA2113),IF(MATCH($V2114,$V$6:$V$10005,0)=ROW()-5,N($AA2113)+1,N($AA2113)))</f>
        <v>0</v>
      </c>
    </row>
    <row r="2115" spans="1:27" ht="21" customHeight="1" x14ac:dyDescent="0.95">
      <c r="A2115" s="56"/>
      <c r="B2115" s="57"/>
      <c r="C2115" s="57"/>
      <c r="D2115" s="57"/>
      <c r="E2115" s="56"/>
      <c r="F2115" s="57"/>
      <c r="G2115" s="57"/>
      <c r="H2115" s="56"/>
      <c r="I2115" s="56"/>
      <c r="J2115" s="58"/>
      <c r="K2115" s="58"/>
      <c r="L2115" s="13" t="str">
        <f t="shared" si="320"/>
        <v/>
      </c>
      <c r="M2115" s="13" t="str">
        <f t="shared" si="321"/>
        <v/>
      </c>
      <c r="Q2115" t="str">
        <f t="shared" si="322"/>
        <v/>
      </c>
      <c r="R2115" t="str">
        <f t="shared" si="323"/>
        <v/>
      </c>
      <c r="S2115" t="str">
        <f t="shared" si="324"/>
        <v/>
      </c>
      <c r="T2115" t="str">
        <f t="shared" si="325"/>
        <v/>
      </c>
      <c r="U2115" t="str">
        <f t="shared" si="326"/>
        <v/>
      </c>
      <c r="V2115" t="str">
        <f t="shared" si="327"/>
        <v/>
      </c>
      <c r="W2115" t="str">
        <f t="shared" si="328"/>
        <v/>
      </c>
      <c r="X2115">
        <f>IF($T2115="",N($X2114),IF(MATCH($T2115,$T$6:$T$10005,0)=ROW()-5,N($X2114)+1,N($X2114)))</f>
        <v>0</v>
      </c>
      <c r="Z2115" t="str">
        <f t="shared" si="329"/>
        <v/>
      </c>
      <c r="AA2115">
        <f>IF($V2115="",N($AA2114),IF(MATCH($V2115,$V$6:$V$10005,0)=ROW()-5,N($AA2114)+1,N($AA2114)))</f>
        <v>0</v>
      </c>
    </row>
    <row r="2116" spans="1:27" ht="21" customHeight="1" x14ac:dyDescent="0.95">
      <c r="A2116" s="56"/>
      <c r="B2116" s="57"/>
      <c r="C2116" s="57"/>
      <c r="D2116" s="57"/>
      <c r="E2116" s="56"/>
      <c r="F2116" s="57"/>
      <c r="G2116" s="57"/>
      <c r="H2116" s="56"/>
      <c r="I2116" s="56"/>
      <c r="J2116" s="58"/>
      <c r="K2116" s="58"/>
      <c r="L2116" s="13" t="str">
        <f t="shared" si="320"/>
        <v/>
      </c>
      <c r="M2116" s="13" t="str">
        <f t="shared" si="321"/>
        <v/>
      </c>
      <c r="Q2116" t="str">
        <f t="shared" si="322"/>
        <v/>
      </c>
      <c r="R2116" t="str">
        <f t="shared" si="323"/>
        <v/>
      </c>
      <c r="S2116" t="str">
        <f t="shared" si="324"/>
        <v/>
      </c>
      <c r="T2116" t="str">
        <f t="shared" si="325"/>
        <v/>
      </c>
      <c r="U2116" t="str">
        <f t="shared" si="326"/>
        <v/>
      </c>
      <c r="V2116" t="str">
        <f t="shared" si="327"/>
        <v/>
      </c>
      <c r="W2116" t="str">
        <f t="shared" si="328"/>
        <v/>
      </c>
      <c r="X2116">
        <f>IF($T2116="",N($X2115),IF(MATCH($T2116,$T$6:$T$10005,0)=ROW()-5,N($X2115)+1,N($X2115)))</f>
        <v>0</v>
      </c>
      <c r="Z2116" t="str">
        <f t="shared" si="329"/>
        <v/>
      </c>
      <c r="AA2116">
        <f>IF($V2116="",N($AA2115),IF(MATCH($V2116,$V$6:$V$10005,0)=ROW()-5,N($AA2115)+1,N($AA2115)))</f>
        <v>0</v>
      </c>
    </row>
    <row r="2117" spans="1:27" ht="21" customHeight="1" x14ac:dyDescent="0.95">
      <c r="A2117" s="56"/>
      <c r="B2117" s="57"/>
      <c r="C2117" s="57"/>
      <c r="D2117" s="57"/>
      <c r="E2117" s="56"/>
      <c r="F2117" s="57"/>
      <c r="G2117" s="57"/>
      <c r="H2117" s="56"/>
      <c r="I2117" s="56"/>
      <c r="J2117" s="58"/>
      <c r="K2117" s="58"/>
      <c r="L2117" s="13" t="str">
        <f t="shared" si="320"/>
        <v/>
      </c>
      <c r="M2117" s="13" t="str">
        <f t="shared" si="321"/>
        <v/>
      </c>
      <c r="Q2117" t="str">
        <f t="shared" si="322"/>
        <v/>
      </c>
      <c r="R2117" t="str">
        <f t="shared" si="323"/>
        <v/>
      </c>
      <c r="S2117" t="str">
        <f t="shared" si="324"/>
        <v/>
      </c>
      <c r="T2117" t="str">
        <f t="shared" si="325"/>
        <v/>
      </c>
      <c r="U2117" t="str">
        <f t="shared" si="326"/>
        <v/>
      </c>
      <c r="V2117" t="str">
        <f t="shared" si="327"/>
        <v/>
      </c>
      <c r="W2117" t="str">
        <f t="shared" si="328"/>
        <v/>
      </c>
      <c r="X2117">
        <f>IF($T2117="",N($X2116),IF(MATCH($T2117,$T$6:$T$10005,0)=ROW()-5,N($X2116)+1,N($X2116)))</f>
        <v>0</v>
      </c>
      <c r="Z2117" t="str">
        <f t="shared" si="329"/>
        <v/>
      </c>
      <c r="AA2117">
        <f>IF($V2117="",N($AA2116),IF(MATCH($V2117,$V$6:$V$10005,0)=ROW()-5,N($AA2116)+1,N($AA2116)))</f>
        <v>0</v>
      </c>
    </row>
    <row r="2118" spans="1:27" ht="21" customHeight="1" x14ac:dyDescent="0.95">
      <c r="A2118" s="56"/>
      <c r="B2118" s="57"/>
      <c r="C2118" s="57"/>
      <c r="D2118" s="57"/>
      <c r="E2118" s="56"/>
      <c r="F2118" s="57"/>
      <c r="G2118" s="57"/>
      <c r="H2118" s="56"/>
      <c r="I2118" s="56"/>
      <c r="J2118" s="58"/>
      <c r="K2118" s="58"/>
      <c r="L2118" s="13" t="str">
        <f t="shared" ref="L2118:L2181" si="330">IF(OR($A2118="",AND($J2118="",$K2118="")),"",ROUND(N($J2118)-N($K2118),2))</f>
        <v/>
      </c>
      <c r="M2118" s="13" t="str">
        <f t="shared" ref="M2118:M2181" si="331">IF(OR($A2118="",AND($J2118="",$K2118="")),"",MIN($J2118,$K2118))</f>
        <v/>
      </c>
      <c r="Q2118" t="str">
        <f t="shared" ref="Q2118:Q2181" si="332">IF($A2118="","",$D2118&amp;"("&amp;SUBSTITUTE($E2118," ","")&amp;")")</f>
        <v/>
      </c>
      <c r="R2118" t="str">
        <f t="shared" ref="R2118:R2181" si="333">IF($A2118="","",$B2118&amp;" - "&amp;$C2118)</f>
        <v/>
      </c>
      <c r="S2118" t="str">
        <f t="shared" ref="S2118:S2181" si="334">IF($A2118="","",$R2118&amp;"|"&amp;$Q2118)</f>
        <v/>
      </c>
      <c r="T2118" t="str">
        <f t="shared" ref="T2118:T2181" si="335">IF($A2118="","",$S2118&amp;"|"&amp;$F2118)</f>
        <v/>
      </c>
      <c r="U2118" t="str">
        <f t="shared" ref="U2118:U2181" si="336">IF($A2118="","",$R2118&amp;"("&amp;$E2118&amp;")")</f>
        <v/>
      </c>
      <c r="V2118" t="str">
        <f t="shared" ref="V2118:V2181" si="337">IF($A2118="","",$F2118&amp;"|"&amp;$U2118&amp;"|"&amp;$D2118)</f>
        <v/>
      </c>
      <c r="W2118" t="str">
        <f t="shared" ref="W2118:W2181" si="338">IF($T2118="","",IF($X2118&gt;N($X2117),$X2118,""))</f>
        <v/>
      </c>
      <c r="X2118">
        <f>IF($T2118="",N($X2117),IF(MATCH($T2118,$T$6:$T$10005,0)=ROW()-5,N($X2117)+1,N($X2117)))</f>
        <v>0</v>
      </c>
      <c r="Z2118" t="str">
        <f t="shared" ref="Z2118:Z2181" si="339">IF($V2118="","",IF($AA2118&gt;N($AA2117),$AA2118,""))</f>
        <v/>
      </c>
      <c r="AA2118">
        <f>IF($V2118="",N($AA2117),IF(MATCH($V2118,$V$6:$V$10005,0)=ROW()-5,N($AA2117)+1,N($AA2117)))</f>
        <v>0</v>
      </c>
    </row>
    <row r="2119" spans="1:27" ht="21" customHeight="1" x14ac:dyDescent="0.95">
      <c r="A2119" s="56"/>
      <c r="B2119" s="57"/>
      <c r="C2119" s="57"/>
      <c r="D2119" s="57"/>
      <c r="E2119" s="56"/>
      <c r="F2119" s="57"/>
      <c r="G2119" s="57"/>
      <c r="H2119" s="56"/>
      <c r="I2119" s="56"/>
      <c r="J2119" s="58"/>
      <c r="K2119" s="58"/>
      <c r="L2119" s="13" t="str">
        <f t="shared" si="330"/>
        <v/>
      </c>
      <c r="M2119" s="13" t="str">
        <f t="shared" si="331"/>
        <v/>
      </c>
      <c r="Q2119" t="str">
        <f t="shared" si="332"/>
        <v/>
      </c>
      <c r="R2119" t="str">
        <f t="shared" si="333"/>
        <v/>
      </c>
      <c r="S2119" t="str">
        <f t="shared" si="334"/>
        <v/>
      </c>
      <c r="T2119" t="str">
        <f t="shared" si="335"/>
        <v/>
      </c>
      <c r="U2119" t="str">
        <f t="shared" si="336"/>
        <v/>
      </c>
      <c r="V2119" t="str">
        <f t="shared" si="337"/>
        <v/>
      </c>
      <c r="W2119" t="str">
        <f t="shared" si="338"/>
        <v/>
      </c>
      <c r="X2119">
        <f>IF($T2119="",N($X2118),IF(MATCH($T2119,$T$6:$T$10005,0)=ROW()-5,N($X2118)+1,N($X2118)))</f>
        <v>0</v>
      </c>
      <c r="Z2119" t="str">
        <f t="shared" si="339"/>
        <v/>
      </c>
      <c r="AA2119">
        <f>IF($V2119="",N($AA2118),IF(MATCH($V2119,$V$6:$V$10005,0)=ROW()-5,N($AA2118)+1,N($AA2118)))</f>
        <v>0</v>
      </c>
    </row>
    <row r="2120" spans="1:27" ht="21" customHeight="1" x14ac:dyDescent="0.95">
      <c r="A2120" s="56"/>
      <c r="B2120" s="57"/>
      <c r="C2120" s="57"/>
      <c r="D2120" s="57"/>
      <c r="E2120" s="56"/>
      <c r="F2120" s="57"/>
      <c r="G2120" s="57"/>
      <c r="H2120" s="56"/>
      <c r="I2120" s="56"/>
      <c r="J2120" s="58"/>
      <c r="K2120" s="58"/>
      <c r="L2120" s="13" t="str">
        <f t="shared" si="330"/>
        <v/>
      </c>
      <c r="M2120" s="13" t="str">
        <f t="shared" si="331"/>
        <v/>
      </c>
      <c r="Q2120" t="str">
        <f t="shared" si="332"/>
        <v/>
      </c>
      <c r="R2120" t="str">
        <f t="shared" si="333"/>
        <v/>
      </c>
      <c r="S2120" t="str">
        <f t="shared" si="334"/>
        <v/>
      </c>
      <c r="T2120" t="str">
        <f t="shared" si="335"/>
        <v/>
      </c>
      <c r="U2120" t="str">
        <f t="shared" si="336"/>
        <v/>
      </c>
      <c r="V2120" t="str">
        <f t="shared" si="337"/>
        <v/>
      </c>
      <c r="W2120" t="str">
        <f t="shared" si="338"/>
        <v/>
      </c>
      <c r="X2120">
        <f>IF($T2120="",N($X2119),IF(MATCH($T2120,$T$6:$T$10005,0)=ROW()-5,N($X2119)+1,N($X2119)))</f>
        <v>0</v>
      </c>
      <c r="Z2120" t="str">
        <f t="shared" si="339"/>
        <v/>
      </c>
      <c r="AA2120">
        <f>IF($V2120="",N($AA2119),IF(MATCH($V2120,$V$6:$V$10005,0)=ROW()-5,N($AA2119)+1,N($AA2119)))</f>
        <v>0</v>
      </c>
    </row>
    <row r="2121" spans="1:27" ht="21" customHeight="1" x14ac:dyDescent="0.95">
      <c r="A2121" s="56"/>
      <c r="B2121" s="57"/>
      <c r="C2121" s="57"/>
      <c r="D2121" s="57"/>
      <c r="E2121" s="56"/>
      <c r="F2121" s="57"/>
      <c r="G2121" s="57"/>
      <c r="H2121" s="56"/>
      <c r="I2121" s="56"/>
      <c r="J2121" s="58"/>
      <c r="K2121" s="58"/>
      <c r="L2121" s="13" t="str">
        <f t="shared" si="330"/>
        <v/>
      </c>
      <c r="M2121" s="13" t="str">
        <f t="shared" si="331"/>
        <v/>
      </c>
      <c r="Q2121" t="str">
        <f t="shared" si="332"/>
        <v/>
      </c>
      <c r="R2121" t="str">
        <f t="shared" si="333"/>
        <v/>
      </c>
      <c r="S2121" t="str">
        <f t="shared" si="334"/>
        <v/>
      </c>
      <c r="T2121" t="str">
        <f t="shared" si="335"/>
        <v/>
      </c>
      <c r="U2121" t="str">
        <f t="shared" si="336"/>
        <v/>
      </c>
      <c r="V2121" t="str">
        <f t="shared" si="337"/>
        <v/>
      </c>
      <c r="W2121" t="str">
        <f t="shared" si="338"/>
        <v/>
      </c>
      <c r="X2121">
        <f>IF($T2121="",N($X2120),IF(MATCH($T2121,$T$6:$T$10005,0)=ROW()-5,N($X2120)+1,N($X2120)))</f>
        <v>0</v>
      </c>
      <c r="Z2121" t="str">
        <f t="shared" si="339"/>
        <v/>
      </c>
      <c r="AA2121">
        <f>IF($V2121="",N($AA2120),IF(MATCH($V2121,$V$6:$V$10005,0)=ROW()-5,N($AA2120)+1,N($AA2120)))</f>
        <v>0</v>
      </c>
    </row>
    <row r="2122" spans="1:27" ht="21" customHeight="1" x14ac:dyDescent="0.95">
      <c r="A2122" s="56"/>
      <c r="B2122" s="57"/>
      <c r="C2122" s="57"/>
      <c r="D2122" s="57"/>
      <c r="E2122" s="56"/>
      <c r="F2122" s="57"/>
      <c r="G2122" s="57"/>
      <c r="H2122" s="56"/>
      <c r="I2122" s="56"/>
      <c r="J2122" s="58"/>
      <c r="K2122" s="58"/>
      <c r="L2122" s="13" t="str">
        <f t="shared" si="330"/>
        <v/>
      </c>
      <c r="M2122" s="13" t="str">
        <f t="shared" si="331"/>
        <v/>
      </c>
      <c r="Q2122" t="str">
        <f t="shared" si="332"/>
        <v/>
      </c>
      <c r="R2122" t="str">
        <f t="shared" si="333"/>
        <v/>
      </c>
      <c r="S2122" t="str">
        <f t="shared" si="334"/>
        <v/>
      </c>
      <c r="T2122" t="str">
        <f t="shared" si="335"/>
        <v/>
      </c>
      <c r="U2122" t="str">
        <f t="shared" si="336"/>
        <v/>
      </c>
      <c r="V2122" t="str">
        <f t="shared" si="337"/>
        <v/>
      </c>
      <c r="W2122" t="str">
        <f t="shared" si="338"/>
        <v/>
      </c>
      <c r="X2122">
        <f>IF($T2122="",N($X2121),IF(MATCH($T2122,$T$6:$T$10005,0)=ROW()-5,N($X2121)+1,N($X2121)))</f>
        <v>0</v>
      </c>
      <c r="Z2122" t="str">
        <f t="shared" si="339"/>
        <v/>
      </c>
      <c r="AA2122">
        <f>IF($V2122="",N($AA2121),IF(MATCH($V2122,$V$6:$V$10005,0)=ROW()-5,N($AA2121)+1,N($AA2121)))</f>
        <v>0</v>
      </c>
    </row>
    <row r="2123" spans="1:27" ht="21" customHeight="1" x14ac:dyDescent="0.95">
      <c r="A2123" s="56"/>
      <c r="B2123" s="57"/>
      <c r="C2123" s="57"/>
      <c r="D2123" s="57"/>
      <c r="E2123" s="56"/>
      <c r="F2123" s="57"/>
      <c r="G2123" s="57"/>
      <c r="H2123" s="56"/>
      <c r="I2123" s="56"/>
      <c r="J2123" s="58"/>
      <c r="K2123" s="58"/>
      <c r="L2123" s="13" t="str">
        <f t="shared" si="330"/>
        <v/>
      </c>
      <c r="M2123" s="13" t="str">
        <f t="shared" si="331"/>
        <v/>
      </c>
      <c r="Q2123" t="str">
        <f t="shared" si="332"/>
        <v/>
      </c>
      <c r="R2123" t="str">
        <f t="shared" si="333"/>
        <v/>
      </c>
      <c r="S2123" t="str">
        <f t="shared" si="334"/>
        <v/>
      </c>
      <c r="T2123" t="str">
        <f t="shared" si="335"/>
        <v/>
      </c>
      <c r="U2123" t="str">
        <f t="shared" si="336"/>
        <v/>
      </c>
      <c r="V2123" t="str">
        <f t="shared" si="337"/>
        <v/>
      </c>
      <c r="W2123" t="str">
        <f t="shared" si="338"/>
        <v/>
      </c>
      <c r="X2123">
        <f>IF($T2123="",N($X2122),IF(MATCH($T2123,$T$6:$T$10005,0)=ROW()-5,N($X2122)+1,N($X2122)))</f>
        <v>0</v>
      </c>
      <c r="Z2123" t="str">
        <f t="shared" si="339"/>
        <v/>
      </c>
      <c r="AA2123">
        <f>IF($V2123="",N($AA2122),IF(MATCH($V2123,$V$6:$V$10005,0)=ROW()-5,N($AA2122)+1,N($AA2122)))</f>
        <v>0</v>
      </c>
    </row>
    <row r="2124" spans="1:27" ht="21" customHeight="1" x14ac:dyDescent="0.95">
      <c r="A2124" s="56"/>
      <c r="B2124" s="57"/>
      <c r="C2124" s="57"/>
      <c r="D2124" s="57"/>
      <c r="E2124" s="56"/>
      <c r="F2124" s="57"/>
      <c r="G2124" s="57"/>
      <c r="H2124" s="56"/>
      <c r="I2124" s="56"/>
      <c r="J2124" s="58"/>
      <c r="K2124" s="58"/>
      <c r="L2124" s="13" t="str">
        <f t="shared" si="330"/>
        <v/>
      </c>
      <c r="M2124" s="13" t="str">
        <f t="shared" si="331"/>
        <v/>
      </c>
      <c r="Q2124" t="str">
        <f t="shared" si="332"/>
        <v/>
      </c>
      <c r="R2124" t="str">
        <f t="shared" si="333"/>
        <v/>
      </c>
      <c r="S2124" t="str">
        <f t="shared" si="334"/>
        <v/>
      </c>
      <c r="T2124" t="str">
        <f t="shared" si="335"/>
        <v/>
      </c>
      <c r="U2124" t="str">
        <f t="shared" si="336"/>
        <v/>
      </c>
      <c r="V2124" t="str">
        <f t="shared" si="337"/>
        <v/>
      </c>
      <c r="W2124" t="str">
        <f t="shared" si="338"/>
        <v/>
      </c>
      <c r="X2124">
        <f>IF($T2124="",N($X2123),IF(MATCH($T2124,$T$6:$T$10005,0)=ROW()-5,N($X2123)+1,N($X2123)))</f>
        <v>0</v>
      </c>
      <c r="Z2124" t="str">
        <f t="shared" si="339"/>
        <v/>
      </c>
      <c r="AA2124">
        <f>IF($V2124="",N($AA2123),IF(MATCH($V2124,$V$6:$V$10005,0)=ROW()-5,N($AA2123)+1,N($AA2123)))</f>
        <v>0</v>
      </c>
    </row>
    <row r="2125" spans="1:27" ht="21" customHeight="1" x14ac:dyDescent="0.95">
      <c r="A2125" s="56"/>
      <c r="B2125" s="57"/>
      <c r="C2125" s="57"/>
      <c r="D2125" s="57"/>
      <c r="E2125" s="56"/>
      <c r="F2125" s="57"/>
      <c r="G2125" s="57"/>
      <c r="H2125" s="56"/>
      <c r="I2125" s="56"/>
      <c r="J2125" s="58"/>
      <c r="K2125" s="58"/>
      <c r="L2125" s="13" t="str">
        <f t="shared" si="330"/>
        <v/>
      </c>
      <c r="M2125" s="13" t="str">
        <f t="shared" si="331"/>
        <v/>
      </c>
      <c r="Q2125" t="str">
        <f t="shared" si="332"/>
        <v/>
      </c>
      <c r="R2125" t="str">
        <f t="shared" si="333"/>
        <v/>
      </c>
      <c r="S2125" t="str">
        <f t="shared" si="334"/>
        <v/>
      </c>
      <c r="T2125" t="str">
        <f t="shared" si="335"/>
        <v/>
      </c>
      <c r="U2125" t="str">
        <f t="shared" si="336"/>
        <v/>
      </c>
      <c r="V2125" t="str">
        <f t="shared" si="337"/>
        <v/>
      </c>
      <c r="W2125" t="str">
        <f t="shared" si="338"/>
        <v/>
      </c>
      <c r="X2125">
        <f>IF($T2125="",N($X2124),IF(MATCH($T2125,$T$6:$T$10005,0)=ROW()-5,N($X2124)+1,N($X2124)))</f>
        <v>0</v>
      </c>
      <c r="Z2125" t="str">
        <f t="shared" si="339"/>
        <v/>
      </c>
      <c r="AA2125">
        <f>IF($V2125="",N($AA2124),IF(MATCH($V2125,$V$6:$V$10005,0)=ROW()-5,N($AA2124)+1,N($AA2124)))</f>
        <v>0</v>
      </c>
    </row>
    <row r="2126" spans="1:27" ht="21" customHeight="1" x14ac:dyDescent="0.95">
      <c r="A2126" s="56"/>
      <c r="B2126" s="57"/>
      <c r="C2126" s="57"/>
      <c r="D2126" s="57"/>
      <c r="E2126" s="56"/>
      <c r="F2126" s="57"/>
      <c r="G2126" s="57"/>
      <c r="H2126" s="56"/>
      <c r="I2126" s="56"/>
      <c r="J2126" s="58"/>
      <c r="K2126" s="58"/>
      <c r="L2126" s="13" t="str">
        <f t="shared" si="330"/>
        <v/>
      </c>
      <c r="M2126" s="13" t="str">
        <f t="shared" si="331"/>
        <v/>
      </c>
      <c r="Q2126" t="str">
        <f t="shared" si="332"/>
        <v/>
      </c>
      <c r="R2126" t="str">
        <f t="shared" si="333"/>
        <v/>
      </c>
      <c r="S2126" t="str">
        <f t="shared" si="334"/>
        <v/>
      </c>
      <c r="T2126" t="str">
        <f t="shared" si="335"/>
        <v/>
      </c>
      <c r="U2126" t="str">
        <f t="shared" si="336"/>
        <v/>
      </c>
      <c r="V2126" t="str">
        <f t="shared" si="337"/>
        <v/>
      </c>
      <c r="W2126" t="str">
        <f t="shared" si="338"/>
        <v/>
      </c>
      <c r="X2126">
        <f>IF($T2126="",N($X2125),IF(MATCH($T2126,$T$6:$T$10005,0)=ROW()-5,N($X2125)+1,N($X2125)))</f>
        <v>0</v>
      </c>
      <c r="Z2126" t="str">
        <f t="shared" si="339"/>
        <v/>
      </c>
      <c r="AA2126">
        <f>IF($V2126="",N($AA2125),IF(MATCH($V2126,$V$6:$V$10005,0)=ROW()-5,N($AA2125)+1,N($AA2125)))</f>
        <v>0</v>
      </c>
    </row>
    <row r="2127" spans="1:27" ht="21" customHeight="1" x14ac:dyDescent="0.95">
      <c r="A2127" s="56"/>
      <c r="B2127" s="57"/>
      <c r="C2127" s="57"/>
      <c r="D2127" s="57"/>
      <c r="E2127" s="56"/>
      <c r="F2127" s="57"/>
      <c r="G2127" s="57"/>
      <c r="H2127" s="56"/>
      <c r="I2127" s="56"/>
      <c r="J2127" s="58"/>
      <c r="K2127" s="58"/>
      <c r="L2127" s="13" t="str">
        <f t="shared" si="330"/>
        <v/>
      </c>
      <c r="M2127" s="13" t="str">
        <f t="shared" si="331"/>
        <v/>
      </c>
      <c r="Q2127" t="str">
        <f t="shared" si="332"/>
        <v/>
      </c>
      <c r="R2127" t="str">
        <f t="shared" si="333"/>
        <v/>
      </c>
      <c r="S2127" t="str">
        <f t="shared" si="334"/>
        <v/>
      </c>
      <c r="T2127" t="str">
        <f t="shared" si="335"/>
        <v/>
      </c>
      <c r="U2127" t="str">
        <f t="shared" si="336"/>
        <v/>
      </c>
      <c r="V2127" t="str">
        <f t="shared" si="337"/>
        <v/>
      </c>
      <c r="W2127" t="str">
        <f t="shared" si="338"/>
        <v/>
      </c>
      <c r="X2127">
        <f>IF($T2127="",N($X2126),IF(MATCH($T2127,$T$6:$T$10005,0)=ROW()-5,N($X2126)+1,N($X2126)))</f>
        <v>0</v>
      </c>
      <c r="Z2127" t="str">
        <f t="shared" si="339"/>
        <v/>
      </c>
      <c r="AA2127">
        <f>IF($V2127="",N($AA2126),IF(MATCH($V2127,$V$6:$V$10005,0)=ROW()-5,N($AA2126)+1,N($AA2126)))</f>
        <v>0</v>
      </c>
    </row>
    <row r="2128" spans="1:27" ht="21" customHeight="1" x14ac:dyDescent="0.95">
      <c r="A2128" s="56"/>
      <c r="B2128" s="57"/>
      <c r="C2128" s="57"/>
      <c r="D2128" s="57"/>
      <c r="E2128" s="56"/>
      <c r="F2128" s="57"/>
      <c r="G2128" s="57"/>
      <c r="H2128" s="56"/>
      <c r="I2128" s="56"/>
      <c r="J2128" s="58"/>
      <c r="K2128" s="58"/>
      <c r="L2128" s="13" t="str">
        <f t="shared" si="330"/>
        <v/>
      </c>
      <c r="M2128" s="13" t="str">
        <f t="shared" si="331"/>
        <v/>
      </c>
      <c r="Q2128" t="str">
        <f t="shared" si="332"/>
        <v/>
      </c>
      <c r="R2128" t="str">
        <f t="shared" si="333"/>
        <v/>
      </c>
      <c r="S2128" t="str">
        <f t="shared" si="334"/>
        <v/>
      </c>
      <c r="T2128" t="str">
        <f t="shared" si="335"/>
        <v/>
      </c>
      <c r="U2128" t="str">
        <f t="shared" si="336"/>
        <v/>
      </c>
      <c r="V2128" t="str">
        <f t="shared" si="337"/>
        <v/>
      </c>
      <c r="W2128" t="str">
        <f t="shared" si="338"/>
        <v/>
      </c>
      <c r="X2128">
        <f>IF($T2128="",N($X2127),IF(MATCH($T2128,$T$6:$T$10005,0)=ROW()-5,N($X2127)+1,N($X2127)))</f>
        <v>0</v>
      </c>
      <c r="Z2128" t="str">
        <f t="shared" si="339"/>
        <v/>
      </c>
      <c r="AA2128">
        <f>IF($V2128="",N($AA2127),IF(MATCH($V2128,$V$6:$V$10005,0)=ROW()-5,N($AA2127)+1,N($AA2127)))</f>
        <v>0</v>
      </c>
    </row>
    <row r="2129" spans="1:27" ht="21" customHeight="1" x14ac:dyDescent="0.95">
      <c r="A2129" s="56"/>
      <c r="B2129" s="57"/>
      <c r="C2129" s="57"/>
      <c r="D2129" s="57"/>
      <c r="E2129" s="56"/>
      <c r="F2129" s="57"/>
      <c r="G2129" s="57"/>
      <c r="H2129" s="56"/>
      <c r="I2129" s="56"/>
      <c r="J2129" s="58"/>
      <c r="K2129" s="58"/>
      <c r="L2129" s="13" t="str">
        <f t="shared" si="330"/>
        <v/>
      </c>
      <c r="M2129" s="13" t="str">
        <f t="shared" si="331"/>
        <v/>
      </c>
      <c r="Q2129" t="str">
        <f t="shared" si="332"/>
        <v/>
      </c>
      <c r="R2129" t="str">
        <f t="shared" si="333"/>
        <v/>
      </c>
      <c r="S2129" t="str">
        <f t="shared" si="334"/>
        <v/>
      </c>
      <c r="T2129" t="str">
        <f t="shared" si="335"/>
        <v/>
      </c>
      <c r="U2129" t="str">
        <f t="shared" si="336"/>
        <v/>
      </c>
      <c r="V2129" t="str">
        <f t="shared" si="337"/>
        <v/>
      </c>
      <c r="W2129" t="str">
        <f t="shared" si="338"/>
        <v/>
      </c>
      <c r="X2129">
        <f>IF($T2129="",N($X2128),IF(MATCH($T2129,$T$6:$T$10005,0)=ROW()-5,N($X2128)+1,N($X2128)))</f>
        <v>0</v>
      </c>
      <c r="Z2129" t="str">
        <f t="shared" si="339"/>
        <v/>
      </c>
      <c r="AA2129">
        <f>IF($V2129="",N($AA2128),IF(MATCH($V2129,$V$6:$V$10005,0)=ROW()-5,N($AA2128)+1,N($AA2128)))</f>
        <v>0</v>
      </c>
    </row>
    <row r="2130" spans="1:27" ht="21" customHeight="1" x14ac:dyDescent="0.95">
      <c r="A2130" s="56"/>
      <c r="B2130" s="57"/>
      <c r="C2130" s="57"/>
      <c r="D2130" s="57"/>
      <c r="E2130" s="56"/>
      <c r="F2130" s="57"/>
      <c r="G2130" s="57"/>
      <c r="H2130" s="56"/>
      <c r="I2130" s="56"/>
      <c r="J2130" s="58"/>
      <c r="K2130" s="58"/>
      <c r="L2130" s="13" t="str">
        <f t="shared" si="330"/>
        <v/>
      </c>
      <c r="M2130" s="13" t="str">
        <f t="shared" si="331"/>
        <v/>
      </c>
      <c r="Q2130" t="str">
        <f t="shared" si="332"/>
        <v/>
      </c>
      <c r="R2130" t="str">
        <f t="shared" si="333"/>
        <v/>
      </c>
      <c r="S2130" t="str">
        <f t="shared" si="334"/>
        <v/>
      </c>
      <c r="T2130" t="str">
        <f t="shared" si="335"/>
        <v/>
      </c>
      <c r="U2130" t="str">
        <f t="shared" si="336"/>
        <v/>
      </c>
      <c r="V2130" t="str">
        <f t="shared" si="337"/>
        <v/>
      </c>
      <c r="W2130" t="str">
        <f t="shared" si="338"/>
        <v/>
      </c>
      <c r="X2130">
        <f>IF($T2130="",N($X2129),IF(MATCH($T2130,$T$6:$T$10005,0)=ROW()-5,N($X2129)+1,N($X2129)))</f>
        <v>0</v>
      </c>
      <c r="Z2130" t="str">
        <f t="shared" si="339"/>
        <v/>
      </c>
      <c r="AA2130">
        <f>IF($V2130="",N($AA2129),IF(MATCH($V2130,$V$6:$V$10005,0)=ROW()-5,N($AA2129)+1,N($AA2129)))</f>
        <v>0</v>
      </c>
    </row>
    <row r="2131" spans="1:27" ht="21" customHeight="1" x14ac:dyDescent="0.95">
      <c r="A2131" s="56"/>
      <c r="B2131" s="57"/>
      <c r="C2131" s="57"/>
      <c r="D2131" s="57"/>
      <c r="E2131" s="56"/>
      <c r="F2131" s="57"/>
      <c r="G2131" s="57"/>
      <c r="H2131" s="56"/>
      <c r="I2131" s="56"/>
      <c r="J2131" s="58"/>
      <c r="K2131" s="58"/>
      <c r="L2131" s="13" t="str">
        <f t="shared" si="330"/>
        <v/>
      </c>
      <c r="M2131" s="13" t="str">
        <f t="shared" si="331"/>
        <v/>
      </c>
      <c r="Q2131" t="str">
        <f t="shared" si="332"/>
        <v/>
      </c>
      <c r="R2131" t="str">
        <f t="shared" si="333"/>
        <v/>
      </c>
      <c r="S2131" t="str">
        <f t="shared" si="334"/>
        <v/>
      </c>
      <c r="T2131" t="str">
        <f t="shared" si="335"/>
        <v/>
      </c>
      <c r="U2131" t="str">
        <f t="shared" si="336"/>
        <v/>
      </c>
      <c r="V2131" t="str">
        <f t="shared" si="337"/>
        <v/>
      </c>
      <c r="W2131" t="str">
        <f t="shared" si="338"/>
        <v/>
      </c>
      <c r="X2131">
        <f>IF($T2131="",N($X2130),IF(MATCH($T2131,$T$6:$T$10005,0)=ROW()-5,N($X2130)+1,N($X2130)))</f>
        <v>0</v>
      </c>
      <c r="Z2131" t="str">
        <f t="shared" si="339"/>
        <v/>
      </c>
      <c r="AA2131">
        <f>IF($V2131="",N($AA2130),IF(MATCH($V2131,$V$6:$V$10005,0)=ROW()-5,N($AA2130)+1,N($AA2130)))</f>
        <v>0</v>
      </c>
    </row>
    <row r="2132" spans="1:27" ht="21" customHeight="1" x14ac:dyDescent="0.95">
      <c r="A2132" s="56"/>
      <c r="B2132" s="57"/>
      <c r="C2132" s="57"/>
      <c r="D2132" s="57"/>
      <c r="E2132" s="56"/>
      <c r="F2132" s="57"/>
      <c r="G2132" s="57"/>
      <c r="H2132" s="56"/>
      <c r="I2132" s="56"/>
      <c r="J2132" s="58"/>
      <c r="K2132" s="58"/>
      <c r="L2132" s="13" t="str">
        <f t="shared" si="330"/>
        <v/>
      </c>
      <c r="M2132" s="13" t="str">
        <f t="shared" si="331"/>
        <v/>
      </c>
      <c r="Q2132" t="str">
        <f t="shared" si="332"/>
        <v/>
      </c>
      <c r="R2132" t="str">
        <f t="shared" si="333"/>
        <v/>
      </c>
      <c r="S2132" t="str">
        <f t="shared" si="334"/>
        <v/>
      </c>
      <c r="T2132" t="str">
        <f t="shared" si="335"/>
        <v/>
      </c>
      <c r="U2132" t="str">
        <f t="shared" si="336"/>
        <v/>
      </c>
      <c r="V2132" t="str">
        <f t="shared" si="337"/>
        <v/>
      </c>
      <c r="W2132" t="str">
        <f t="shared" si="338"/>
        <v/>
      </c>
      <c r="X2132">
        <f>IF($T2132="",N($X2131),IF(MATCH($T2132,$T$6:$T$10005,0)=ROW()-5,N($X2131)+1,N($X2131)))</f>
        <v>0</v>
      </c>
      <c r="Z2132" t="str">
        <f t="shared" si="339"/>
        <v/>
      </c>
      <c r="AA2132">
        <f>IF($V2132="",N($AA2131),IF(MATCH($V2132,$V$6:$V$10005,0)=ROW()-5,N($AA2131)+1,N($AA2131)))</f>
        <v>0</v>
      </c>
    </row>
    <row r="2133" spans="1:27" ht="21" customHeight="1" x14ac:dyDescent="0.95">
      <c r="A2133" s="56"/>
      <c r="B2133" s="57"/>
      <c r="C2133" s="57"/>
      <c r="D2133" s="57"/>
      <c r="E2133" s="56"/>
      <c r="F2133" s="57"/>
      <c r="G2133" s="57"/>
      <c r="H2133" s="56"/>
      <c r="I2133" s="56"/>
      <c r="J2133" s="58"/>
      <c r="K2133" s="58"/>
      <c r="L2133" s="13" t="str">
        <f t="shared" si="330"/>
        <v/>
      </c>
      <c r="M2133" s="13" t="str">
        <f t="shared" si="331"/>
        <v/>
      </c>
      <c r="Q2133" t="str">
        <f t="shared" si="332"/>
        <v/>
      </c>
      <c r="R2133" t="str">
        <f t="shared" si="333"/>
        <v/>
      </c>
      <c r="S2133" t="str">
        <f t="shared" si="334"/>
        <v/>
      </c>
      <c r="T2133" t="str">
        <f t="shared" si="335"/>
        <v/>
      </c>
      <c r="U2133" t="str">
        <f t="shared" si="336"/>
        <v/>
      </c>
      <c r="V2133" t="str">
        <f t="shared" si="337"/>
        <v/>
      </c>
      <c r="W2133" t="str">
        <f t="shared" si="338"/>
        <v/>
      </c>
      <c r="X2133">
        <f>IF($T2133="",N($X2132),IF(MATCH($T2133,$T$6:$T$10005,0)=ROW()-5,N($X2132)+1,N($X2132)))</f>
        <v>0</v>
      </c>
      <c r="Z2133" t="str">
        <f t="shared" si="339"/>
        <v/>
      </c>
      <c r="AA2133">
        <f>IF($V2133="",N($AA2132),IF(MATCH($V2133,$V$6:$V$10005,0)=ROW()-5,N($AA2132)+1,N($AA2132)))</f>
        <v>0</v>
      </c>
    </row>
    <row r="2134" spans="1:27" ht="21" customHeight="1" x14ac:dyDescent="0.95">
      <c r="A2134" s="56"/>
      <c r="B2134" s="57"/>
      <c r="C2134" s="57"/>
      <c r="D2134" s="57"/>
      <c r="E2134" s="56"/>
      <c r="F2134" s="57"/>
      <c r="G2134" s="57"/>
      <c r="H2134" s="56"/>
      <c r="I2134" s="56"/>
      <c r="J2134" s="58"/>
      <c r="K2134" s="58"/>
      <c r="L2134" s="13" t="str">
        <f t="shared" si="330"/>
        <v/>
      </c>
      <c r="M2134" s="13" t="str">
        <f t="shared" si="331"/>
        <v/>
      </c>
      <c r="Q2134" t="str">
        <f t="shared" si="332"/>
        <v/>
      </c>
      <c r="R2134" t="str">
        <f t="shared" si="333"/>
        <v/>
      </c>
      <c r="S2134" t="str">
        <f t="shared" si="334"/>
        <v/>
      </c>
      <c r="T2134" t="str">
        <f t="shared" si="335"/>
        <v/>
      </c>
      <c r="U2134" t="str">
        <f t="shared" si="336"/>
        <v/>
      </c>
      <c r="V2134" t="str">
        <f t="shared" si="337"/>
        <v/>
      </c>
      <c r="W2134" t="str">
        <f t="shared" si="338"/>
        <v/>
      </c>
      <c r="X2134">
        <f>IF($T2134="",N($X2133),IF(MATCH($T2134,$T$6:$T$10005,0)=ROW()-5,N($X2133)+1,N($X2133)))</f>
        <v>0</v>
      </c>
      <c r="Z2134" t="str">
        <f t="shared" si="339"/>
        <v/>
      </c>
      <c r="AA2134">
        <f>IF($V2134="",N($AA2133),IF(MATCH($V2134,$V$6:$V$10005,0)=ROW()-5,N($AA2133)+1,N($AA2133)))</f>
        <v>0</v>
      </c>
    </row>
    <row r="2135" spans="1:27" ht="21" customHeight="1" x14ac:dyDescent="0.95">
      <c r="A2135" s="56"/>
      <c r="B2135" s="57"/>
      <c r="C2135" s="57"/>
      <c r="D2135" s="57"/>
      <c r="E2135" s="56"/>
      <c r="F2135" s="57"/>
      <c r="G2135" s="57"/>
      <c r="H2135" s="56"/>
      <c r="I2135" s="56"/>
      <c r="J2135" s="58"/>
      <c r="K2135" s="58"/>
      <c r="L2135" s="13" t="str">
        <f t="shared" si="330"/>
        <v/>
      </c>
      <c r="M2135" s="13" t="str">
        <f t="shared" si="331"/>
        <v/>
      </c>
      <c r="Q2135" t="str">
        <f t="shared" si="332"/>
        <v/>
      </c>
      <c r="R2135" t="str">
        <f t="shared" si="333"/>
        <v/>
      </c>
      <c r="S2135" t="str">
        <f t="shared" si="334"/>
        <v/>
      </c>
      <c r="T2135" t="str">
        <f t="shared" si="335"/>
        <v/>
      </c>
      <c r="U2135" t="str">
        <f t="shared" si="336"/>
        <v/>
      </c>
      <c r="V2135" t="str">
        <f t="shared" si="337"/>
        <v/>
      </c>
      <c r="W2135" t="str">
        <f t="shared" si="338"/>
        <v/>
      </c>
      <c r="X2135">
        <f>IF($T2135="",N($X2134),IF(MATCH($T2135,$T$6:$T$10005,0)=ROW()-5,N($X2134)+1,N($X2134)))</f>
        <v>0</v>
      </c>
      <c r="Z2135" t="str">
        <f t="shared" si="339"/>
        <v/>
      </c>
      <c r="AA2135">
        <f>IF($V2135="",N($AA2134),IF(MATCH($V2135,$V$6:$V$10005,0)=ROW()-5,N($AA2134)+1,N($AA2134)))</f>
        <v>0</v>
      </c>
    </row>
    <row r="2136" spans="1:27" ht="21" customHeight="1" x14ac:dyDescent="0.95">
      <c r="A2136" s="56"/>
      <c r="B2136" s="57"/>
      <c r="C2136" s="57"/>
      <c r="D2136" s="57"/>
      <c r="E2136" s="56"/>
      <c r="F2136" s="57"/>
      <c r="G2136" s="57"/>
      <c r="H2136" s="56"/>
      <c r="I2136" s="56"/>
      <c r="J2136" s="58"/>
      <c r="K2136" s="58"/>
      <c r="L2136" s="13" t="str">
        <f t="shared" si="330"/>
        <v/>
      </c>
      <c r="M2136" s="13" t="str">
        <f t="shared" si="331"/>
        <v/>
      </c>
      <c r="Q2136" t="str">
        <f t="shared" si="332"/>
        <v/>
      </c>
      <c r="R2136" t="str">
        <f t="shared" si="333"/>
        <v/>
      </c>
      <c r="S2136" t="str">
        <f t="shared" si="334"/>
        <v/>
      </c>
      <c r="T2136" t="str">
        <f t="shared" si="335"/>
        <v/>
      </c>
      <c r="U2136" t="str">
        <f t="shared" si="336"/>
        <v/>
      </c>
      <c r="V2136" t="str">
        <f t="shared" si="337"/>
        <v/>
      </c>
      <c r="W2136" t="str">
        <f t="shared" si="338"/>
        <v/>
      </c>
      <c r="X2136">
        <f>IF($T2136="",N($X2135),IF(MATCH($T2136,$T$6:$T$10005,0)=ROW()-5,N($X2135)+1,N($X2135)))</f>
        <v>0</v>
      </c>
      <c r="Z2136" t="str">
        <f t="shared" si="339"/>
        <v/>
      </c>
      <c r="AA2136">
        <f>IF($V2136="",N($AA2135),IF(MATCH($V2136,$V$6:$V$10005,0)=ROW()-5,N($AA2135)+1,N($AA2135)))</f>
        <v>0</v>
      </c>
    </row>
    <row r="2137" spans="1:27" ht="21" customHeight="1" x14ac:dyDescent="0.95">
      <c r="A2137" s="56"/>
      <c r="B2137" s="57"/>
      <c r="C2137" s="57"/>
      <c r="D2137" s="57"/>
      <c r="E2137" s="56"/>
      <c r="F2137" s="57"/>
      <c r="G2137" s="57"/>
      <c r="H2137" s="56"/>
      <c r="I2137" s="56"/>
      <c r="J2137" s="58"/>
      <c r="K2137" s="58"/>
      <c r="L2137" s="13" t="str">
        <f t="shared" si="330"/>
        <v/>
      </c>
      <c r="M2137" s="13" t="str">
        <f t="shared" si="331"/>
        <v/>
      </c>
      <c r="Q2137" t="str">
        <f t="shared" si="332"/>
        <v/>
      </c>
      <c r="R2137" t="str">
        <f t="shared" si="333"/>
        <v/>
      </c>
      <c r="S2137" t="str">
        <f t="shared" si="334"/>
        <v/>
      </c>
      <c r="T2137" t="str">
        <f t="shared" si="335"/>
        <v/>
      </c>
      <c r="U2137" t="str">
        <f t="shared" si="336"/>
        <v/>
      </c>
      <c r="V2137" t="str">
        <f t="shared" si="337"/>
        <v/>
      </c>
      <c r="W2137" t="str">
        <f t="shared" si="338"/>
        <v/>
      </c>
      <c r="X2137">
        <f>IF($T2137="",N($X2136),IF(MATCH($T2137,$T$6:$T$10005,0)=ROW()-5,N($X2136)+1,N($X2136)))</f>
        <v>0</v>
      </c>
      <c r="Z2137" t="str">
        <f t="shared" si="339"/>
        <v/>
      </c>
      <c r="AA2137">
        <f>IF($V2137="",N($AA2136),IF(MATCH($V2137,$V$6:$V$10005,0)=ROW()-5,N($AA2136)+1,N($AA2136)))</f>
        <v>0</v>
      </c>
    </row>
    <row r="2138" spans="1:27" ht="21" customHeight="1" x14ac:dyDescent="0.95">
      <c r="A2138" s="56"/>
      <c r="B2138" s="57"/>
      <c r="C2138" s="57"/>
      <c r="D2138" s="57"/>
      <c r="E2138" s="56"/>
      <c r="F2138" s="57"/>
      <c r="G2138" s="57"/>
      <c r="H2138" s="56"/>
      <c r="I2138" s="56"/>
      <c r="J2138" s="58"/>
      <c r="K2138" s="58"/>
      <c r="L2138" s="13" t="str">
        <f t="shared" si="330"/>
        <v/>
      </c>
      <c r="M2138" s="13" t="str">
        <f t="shared" si="331"/>
        <v/>
      </c>
      <c r="Q2138" t="str">
        <f t="shared" si="332"/>
        <v/>
      </c>
      <c r="R2138" t="str">
        <f t="shared" si="333"/>
        <v/>
      </c>
      <c r="S2138" t="str">
        <f t="shared" si="334"/>
        <v/>
      </c>
      <c r="T2138" t="str">
        <f t="shared" si="335"/>
        <v/>
      </c>
      <c r="U2138" t="str">
        <f t="shared" si="336"/>
        <v/>
      </c>
      <c r="V2138" t="str">
        <f t="shared" si="337"/>
        <v/>
      </c>
      <c r="W2138" t="str">
        <f t="shared" si="338"/>
        <v/>
      </c>
      <c r="X2138">
        <f>IF($T2138="",N($X2137),IF(MATCH($T2138,$T$6:$T$10005,0)=ROW()-5,N($X2137)+1,N($X2137)))</f>
        <v>0</v>
      </c>
      <c r="Z2138" t="str">
        <f t="shared" si="339"/>
        <v/>
      </c>
      <c r="AA2138">
        <f>IF($V2138="",N($AA2137),IF(MATCH($V2138,$V$6:$V$10005,0)=ROW()-5,N($AA2137)+1,N($AA2137)))</f>
        <v>0</v>
      </c>
    </row>
    <row r="2139" spans="1:27" ht="21" customHeight="1" x14ac:dyDescent="0.95">
      <c r="A2139" s="56"/>
      <c r="B2139" s="57"/>
      <c r="C2139" s="57"/>
      <c r="D2139" s="57"/>
      <c r="E2139" s="56"/>
      <c r="F2139" s="57"/>
      <c r="G2139" s="57"/>
      <c r="H2139" s="56"/>
      <c r="I2139" s="56"/>
      <c r="J2139" s="58"/>
      <c r="K2139" s="58"/>
      <c r="L2139" s="13" t="str">
        <f t="shared" si="330"/>
        <v/>
      </c>
      <c r="M2139" s="13" t="str">
        <f t="shared" si="331"/>
        <v/>
      </c>
      <c r="Q2139" t="str">
        <f t="shared" si="332"/>
        <v/>
      </c>
      <c r="R2139" t="str">
        <f t="shared" si="333"/>
        <v/>
      </c>
      <c r="S2139" t="str">
        <f t="shared" si="334"/>
        <v/>
      </c>
      <c r="T2139" t="str">
        <f t="shared" si="335"/>
        <v/>
      </c>
      <c r="U2139" t="str">
        <f t="shared" si="336"/>
        <v/>
      </c>
      <c r="V2139" t="str">
        <f t="shared" si="337"/>
        <v/>
      </c>
      <c r="W2139" t="str">
        <f t="shared" si="338"/>
        <v/>
      </c>
      <c r="X2139">
        <f>IF($T2139="",N($X2138),IF(MATCH($T2139,$T$6:$T$10005,0)=ROW()-5,N($X2138)+1,N($X2138)))</f>
        <v>0</v>
      </c>
      <c r="Z2139" t="str">
        <f t="shared" si="339"/>
        <v/>
      </c>
      <c r="AA2139">
        <f>IF($V2139="",N($AA2138),IF(MATCH($V2139,$V$6:$V$10005,0)=ROW()-5,N($AA2138)+1,N($AA2138)))</f>
        <v>0</v>
      </c>
    </row>
    <row r="2140" spans="1:27" ht="21" customHeight="1" x14ac:dyDescent="0.95">
      <c r="A2140" s="56"/>
      <c r="B2140" s="57"/>
      <c r="C2140" s="57"/>
      <c r="D2140" s="57"/>
      <c r="E2140" s="56"/>
      <c r="F2140" s="57"/>
      <c r="G2140" s="57"/>
      <c r="H2140" s="56"/>
      <c r="I2140" s="56"/>
      <c r="J2140" s="58"/>
      <c r="K2140" s="58"/>
      <c r="L2140" s="13" t="str">
        <f t="shared" si="330"/>
        <v/>
      </c>
      <c r="M2140" s="13" t="str">
        <f t="shared" si="331"/>
        <v/>
      </c>
      <c r="Q2140" t="str">
        <f t="shared" si="332"/>
        <v/>
      </c>
      <c r="R2140" t="str">
        <f t="shared" si="333"/>
        <v/>
      </c>
      <c r="S2140" t="str">
        <f t="shared" si="334"/>
        <v/>
      </c>
      <c r="T2140" t="str">
        <f t="shared" si="335"/>
        <v/>
      </c>
      <c r="U2140" t="str">
        <f t="shared" si="336"/>
        <v/>
      </c>
      <c r="V2140" t="str">
        <f t="shared" si="337"/>
        <v/>
      </c>
      <c r="W2140" t="str">
        <f t="shared" si="338"/>
        <v/>
      </c>
      <c r="X2140">
        <f>IF($T2140="",N($X2139),IF(MATCH($T2140,$T$6:$T$10005,0)=ROW()-5,N($X2139)+1,N($X2139)))</f>
        <v>0</v>
      </c>
      <c r="Z2140" t="str">
        <f t="shared" si="339"/>
        <v/>
      </c>
      <c r="AA2140">
        <f>IF($V2140="",N($AA2139),IF(MATCH($V2140,$V$6:$V$10005,0)=ROW()-5,N($AA2139)+1,N($AA2139)))</f>
        <v>0</v>
      </c>
    </row>
    <row r="2141" spans="1:27" ht="21" customHeight="1" x14ac:dyDescent="0.95">
      <c r="A2141" s="56"/>
      <c r="B2141" s="57"/>
      <c r="C2141" s="57"/>
      <c r="D2141" s="57"/>
      <c r="E2141" s="56"/>
      <c r="F2141" s="57"/>
      <c r="G2141" s="57"/>
      <c r="H2141" s="56"/>
      <c r="I2141" s="56"/>
      <c r="J2141" s="58"/>
      <c r="K2141" s="58"/>
      <c r="L2141" s="13" t="str">
        <f t="shared" si="330"/>
        <v/>
      </c>
      <c r="M2141" s="13" t="str">
        <f t="shared" si="331"/>
        <v/>
      </c>
      <c r="Q2141" t="str">
        <f t="shared" si="332"/>
        <v/>
      </c>
      <c r="R2141" t="str">
        <f t="shared" si="333"/>
        <v/>
      </c>
      <c r="S2141" t="str">
        <f t="shared" si="334"/>
        <v/>
      </c>
      <c r="T2141" t="str">
        <f t="shared" si="335"/>
        <v/>
      </c>
      <c r="U2141" t="str">
        <f t="shared" si="336"/>
        <v/>
      </c>
      <c r="V2141" t="str">
        <f t="shared" si="337"/>
        <v/>
      </c>
      <c r="W2141" t="str">
        <f t="shared" si="338"/>
        <v/>
      </c>
      <c r="X2141">
        <f>IF($T2141="",N($X2140),IF(MATCH($T2141,$T$6:$T$10005,0)=ROW()-5,N($X2140)+1,N($X2140)))</f>
        <v>0</v>
      </c>
      <c r="Z2141" t="str">
        <f t="shared" si="339"/>
        <v/>
      </c>
      <c r="AA2141">
        <f>IF($V2141="",N($AA2140),IF(MATCH($V2141,$V$6:$V$10005,0)=ROW()-5,N($AA2140)+1,N($AA2140)))</f>
        <v>0</v>
      </c>
    </row>
    <row r="2142" spans="1:27" ht="21" customHeight="1" x14ac:dyDescent="0.95">
      <c r="A2142" s="56"/>
      <c r="B2142" s="57"/>
      <c r="C2142" s="57"/>
      <c r="D2142" s="57"/>
      <c r="E2142" s="56"/>
      <c r="F2142" s="57"/>
      <c r="G2142" s="57"/>
      <c r="H2142" s="56"/>
      <c r="I2142" s="56"/>
      <c r="J2142" s="58"/>
      <c r="K2142" s="58"/>
      <c r="L2142" s="13" t="str">
        <f t="shared" si="330"/>
        <v/>
      </c>
      <c r="M2142" s="13" t="str">
        <f t="shared" si="331"/>
        <v/>
      </c>
      <c r="Q2142" t="str">
        <f t="shared" si="332"/>
        <v/>
      </c>
      <c r="R2142" t="str">
        <f t="shared" si="333"/>
        <v/>
      </c>
      <c r="S2142" t="str">
        <f t="shared" si="334"/>
        <v/>
      </c>
      <c r="T2142" t="str">
        <f t="shared" si="335"/>
        <v/>
      </c>
      <c r="U2142" t="str">
        <f t="shared" si="336"/>
        <v/>
      </c>
      <c r="V2142" t="str">
        <f t="shared" si="337"/>
        <v/>
      </c>
      <c r="W2142" t="str">
        <f t="shared" si="338"/>
        <v/>
      </c>
      <c r="X2142">
        <f>IF($T2142="",N($X2141),IF(MATCH($T2142,$T$6:$T$10005,0)=ROW()-5,N($X2141)+1,N($X2141)))</f>
        <v>0</v>
      </c>
      <c r="Z2142" t="str">
        <f t="shared" si="339"/>
        <v/>
      </c>
      <c r="AA2142">
        <f>IF($V2142="",N($AA2141),IF(MATCH($V2142,$V$6:$V$10005,0)=ROW()-5,N($AA2141)+1,N($AA2141)))</f>
        <v>0</v>
      </c>
    </row>
    <row r="2143" spans="1:27" ht="21" customHeight="1" x14ac:dyDescent="0.95">
      <c r="A2143" s="56"/>
      <c r="B2143" s="57"/>
      <c r="C2143" s="57"/>
      <c r="D2143" s="57"/>
      <c r="E2143" s="56"/>
      <c r="F2143" s="57"/>
      <c r="G2143" s="57"/>
      <c r="H2143" s="56"/>
      <c r="I2143" s="56"/>
      <c r="J2143" s="58"/>
      <c r="K2143" s="58"/>
      <c r="L2143" s="13" t="str">
        <f t="shared" si="330"/>
        <v/>
      </c>
      <c r="M2143" s="13" t="str">
        <f t="shared" si="331"/>
        <v/>
      </c>
      <c r="Q2143" t="str">
        <f t="shared" si="332"/>
        <v/>
      </c>
      <c r="R2143" t="str">
        <f t="shared" si="333"/>
        <v/>
      </c>
      <c r="S2143" t="str">
        <f t="shared" si="334"/>
        <v/>
      </c>
      <c r="T2143" t="str">
        <f t="shared" si="335"/>
        <v/>
      </c>
      <c r="U2143" t="str">
        <f t="shared" si="336"/>
        <v/>
      </c>
      <c r="V2143" t="str">
        <f t="shared" si="337"/>
        <v/>
      </c>
      <c r="W2143" t="str">
        <f t="shared" si="338"/>
        <v/>
      </c>
      <c r="X2143">
        <f>IF($T2143="",N($X2142),IF(MATCH($T2143,$T$6:$T$10005,0)=ROW()-5,N($X2142)+1,N($X2142)))</f>
        <v>0</v>
      </c>
      <c r="Z2143" t="str">
        <f t="shared" si="339"/>
        <v/>
      </c>
      <c r="AA2143">
        <f>IF($V2143="",N($AA2142),IF(MATCH($V2143,$V$6:$V$10005,0)=ROW()-5,N($AA2142)+1,N($AA2142)))</f>
        <v>0</v>
      </c>
    </row>
    <row r="2144" spans="1:27" ht="21" customHeight="1" x14ac:dyDescent="0.95">
      <c r="A2144" s="56"/>
      <c r="B2144" s="57"/>
      <c r="C2144" s="57"/>
      <c r="D2144" s="57"/>
      <c r="E2144" s="56"/>
      <c r="F2144" s="57"/>
      <c r="G2144" s="57"/>
      <c r="H2144" s="56"/>
      <c r="I2144" s="56"/>
      <c r="J2144" s="58"/>
      <c r="K2144" s="58"/>
      <c r="L2144" s="13" t="str">
        <f t="shared" si="330"/>
        <v/>
      </c>
      <c r="M2144" s="13" t="str">
        <f t="shared" si="331"/>
        <v/>
      </c>
      <c r="Q2144" t="str">
        <f t="shared" si="332"/>
        <v/>
      </c>
      <c r="R2144" t="str">
        <f t="shared" si="333"/>
        <v/>
      </c>
      <c r="S2144" t="str">
        <f t="shared" si="334"/>
        <v/>
      </c>
      <c r="T2144" t="str">
        <f t="shared" si="335"/>
        <v/>
      </c>
      <c r="U2144" t="str">
        <f t="shared" si="336"/>
        <v/>
      </c>
      <c r="V2144" t="str">
        <f t="shared" si="337"/>
        <v/>
      </c>
      <c r="W2144" t="str">
        <f t="shared" si="338"/>
        <v/>
      </c>
      <c r="X2144">
        <f>IF($T2144="",N($X2143),IF(MATCH($T2144,$T$6:$T$10005,0)=ROW()-5,N($X2143)+1,N($X2143)))</f>
        <v>0</v>
      </c>
      <c r="Z2144" t="str">
        <f t="shared" si="339"/>
        <v/>
      </c>
      <c r="AA2144">
        <f>IF($V2144="",N($AA2143),IF(MATCH($V2144,$V$6:$V$10005,0)=ROW()-5,N($AA2143)+1,N($AA2143)))</f>
        <v>0</v>
      </c>
    </row>
    <row r="2145" spans="1:27" ht="21" customHeight="1" x14ac:dyDescent="0.95">
      <c r="A2145" s="56"/>
      <c r="B2145" s="57"/>
      <c r="C2145" s="57"/>
      <c r="D2145" s="57"/>
      <c r="E2145" s="56"/>
      <c r="F2145" s="57"/>
      <c r="G2145" s="57"/>
      <c r="H2145" s="56"/>
      <c r="I2145" s="56"/>
      <c r="J2145" s="58"/>
      <c r="K2145" s="58"/>
      <c r="L2145" s="13" t="str">
        <f t="shared" si="330"/>
        <v/>
      </c>
      <c r="M2145" s="13" t="str">
        <f t="shared" si="331"/>
        <v/>
      </c>
      <c r="Q2145" t="str">
        <f t="shared" si="332"/>
        <v/>
      </c>
      <c r="R2145" t="str">
        <f t="shared" si="333"/>
        <v/>
      </c>
      <c r="S2145" t="str">
        <f t="shared" si="334"/>
        <v/>
      </c>
      <c r="T2145" t="str">
        <f t="shared" si="335"/>
        <v/>
      </c>
      <c r="U2145" t="str">
        <f t="shared" si="336"/>
        <v/>
      </c>
      <c r="V2145" t="str">
        <f t="shared" si="337"/>
        <v/>
      </c>
      <c r="W2145" t="str">
        <f t="shared" si="338"/>
        <v/>
      </c>
      <c r="X2145">
        <f>IF($T2145="",N($X2144),IF(MATCH($T2145,$T$6:$T$10005,0)=ROW()-5,N($X2144)+1,N($X2144)))</f>
        <v>0</v>
      </c>
      <c r="Z2145" t="str">
        <f t="shared" si="339"/>
        <v/>
      </c>
      <c r="AA2145">
        <f>IF($V2145="",N($AA2144),IF(MATCH($V2145,$V$6:$V$10005,0)=ROW()-5,N($AA2144)+1,N($AA2144)))</f>
        <v>0</v>
      </c>
    </row>
    <row r="2146" spans="1:27" ht="21" customHeight="1" x14ac:dyDescent="0.95">
      <c r="A2146" s="56"/>
      <c r="B2146" s="57"/>
      <c r="C2146" s="57"/>
      <c r="D2146" s="57"/>
      <c r="E2146" s="56"/>
      <c r="F2146" s="57"/>
      <c r="G2146" s="57"/>
      <c r="H2146" s="56"/>
      <c r="I2146" s="56"/>
      <c r="J2146" s="58"/>
      <c r="K2146" s="58"/>
      <c r="L2146" s="13" t="str">
        <f t="shared" si="330"/>
        <v/>
      </c>
      <c r="M2146" s="13" t="str">
        <f t="shared" si="331"/>
        <v/>
      </c>
      <c r="Q2146" t="str">
        <f t="shared" si="332"/>
        <v/>
      </c>
      <c r="R2146" t="str">
        <f t="shared" si="333"/>
        <v/>
      </c>
      <c r="S2146" t="str">
        <f t="shared" si="334"/>
        <v/>
      </c>
      <c r="T2146" t="str">
        <f t="shared" si="335"/>
        <v/>
      </c>
      <c r="U2146" t="str">
        <f t="shared" si="336"/>
        <v/>
      </c>
      <c r="V2146" t="str">
        <f t="shared" si="337"/>
        <v/>
      </c>
      <c r="W2146" t="str">
        <f t="shared" si="338"/>
        <v/>
      </c>
      <c r="X2146">
        <f>IF($T2146="",N($X2145),IF(MATCH($T2146,$T$6:$T$10005,0)=ROW()-5,N($X2145)+1,N($X2145)))</f>
        <v>0</v>
      </c>
      <c r="Z2146" t="str">
        <f t="shared" si="339"/>
        <v/>
      </c>
      <c r="AA2146">
        <f>IF($V2146="",N($AA2145),IF(MATCH($V2146,$V$6:$V$10005,0)=ROW()-5,N($AA2145)+1,N($AA2145)))</f>
        <v>0</v>
      </c>
    </row>
    <row r="2147" spans="1:27" ht="21" customHeight="1" x14ac:dyDescent="0.95">
      <c r="A2147" s="56"/>
      <c r="B2147" s="57"/>
      <c r="C2147" s="57"/>
      <c r="D2147" s="57"/>
      <c r="E2147" s="56"/>
      <c r="F2147" s="57"/>
      <c r="G2147" s="57"/>
      <c r="H2147" s="56"/>
      <c r="I2147" s="56"/>
      <c r="J2147" s="58"/>
      <c r="K2147" s="58"/>
      <c r="L2147" s="13" t="str">
        <f t="shared" si="330"/>
        <v/>
      </c>
      <c r="M2147" s="13" t="str">
        <f t="shared" si="331"/>
        <v/>
      </c>
      <c r="Q2147" t="str">
        <f t="shared" si="332"/>
        <v/>
      </c>
      <c r="R2147" t="str">
        <f t="shared" si="333"/>
        <v/>
      </c>
      <c r="S2147" t="str">
        <f t="shared" si="334"/>
        <v/>
      </c>
      <c r="T2147" t="str">
        <f t="shared" si="335"/>
        <v/>
      </c>
      <c r="U2147" t="str">
        <f t="shared" si="336"/>
        <v/>
      </c>
      <c r="V2147" t="str">
        <f t="shared" si="337"/>
        <v/>
      </c>
      <c r="W2147" t="str">
        <f t="shared" si="338"/>
        <v/>
      </c>
      <c r="X2147">
        <f>IF($T2147="",N($X2146),IF(MATCH($T2147,$T$6:$T$10005,0)=ROW()-5,N($X2146)+1,N($X2146)))</f>
        <v>0</v>
      </c>
      <c r="Z2147" t="str">
        <f t="shared" si="339"/>
        <v/>
      </c>
      <c r="AA2147">
        <f>IF($V2147="",N($AA2146),IF(MATCH($V2147,$V$6:$V$10005,0)=ROW()-5,N($AA2146)+1,N($AA2146)))</f>
        <v>0</v>
      </c>
    </row>
    <row r="2148" spans="1:27" ht="21" customHeight="1" x14ac:dyDescent="0.95">
      <c r="A2148" s="56"/>
      <c r="B2148" s="57"/>
      <c r="C2148" s="57"/>
      <c r="D2148" s="57"/>
      <c r="E2148" s="56"/>
      <c r="F2148" s="57"/>
      <c r="G2148" s="57"/>
      <c r="H2148" s="56"/>
      <c r="I2148" s="56"/>
      <c r="J2148" s="58"/>
      <c r="K2148" s="58"/>
      <c r="L2148" s="13" t="str">
        <f t="shared" si="330"/>
        <v/>
      </c>
      <c r="M2148" s="13" t="str">
        <f t="shared" si="331"/>
        <v/>
      </c>
      <c r="Q2148" t="str">
        <f t="shared" si="332"/>
        <v/>
      </c>
      <c r="R2148" t="str">
        <f t="shared" si="333"/>
        <v/>
      </c>
      <c r="S2148" t="str">
        <f t="shared" si="334"/>
        <v/>
      </c>
      <c r="T2148" t="str">
        <f t="shared" si="335"/>
        <v/>
      </c>
      <c r="U2148" t="str">
        <f t="shared" si="336"/>
        <v/>
      </c>
      <c r="V2148" t="str">
        <f t="shared" si="337"/>
        <v/>
      </c>
      <c r="W2148" t="str">
        <f t="shared" si="338"/>
        <v/>
      </c>
      <c r="X2148">
        <f>IF($T2148="",N($X2147),IF(MATCH($T2148,$T$6:$T$10005,0)=ROW()-5,N($X2147)+1,N($X2147)))</f>
        <v>0</v>
      </c>
      <c r="Z2148" t="str">
        <f t="shared" si="339"/>
        <v/>
      </c>
      <c r="AA2148">
        <f>IF($V2148="",N($AA2147),IF(MATCH($V2148,$V$6:$V$10005,0)=ROW()-5,N($AA2147)+1,N($AA2147)))</f>
        <v>0</v>
      </c>
    </row>
    <row r="2149" spans="1:27" ht="21" customHeight="1" x14ac:dyDescent="0.95">
      <c r="A2149" s="56"/>
      <c r="B2149" s="57"/>
      <c r="C2149" s="57"/>
      <c r="D2149" s="57"/>
      <c r="E2149" s="56"/>
      <c r="F2149" s="57"/>
      <c r="G2149" s="57"/>
      <c r="H2149" s="56"/>
      <c r="I2149" s="56"/>
      <c r="J2149" s="58"/>
      <c r="K2149" s="58"/>
      <c r="L2149" s="13" t="str">
        <f t="shared" si="330"/>
        <v/>
      </c>
      <c r="M2149" s="13" t="str">
        <f t="shared" si="331"/>
        <v/>
      </c>
      <c r="Q2149" t="str">
        <f t="shared" si="332"/>
        <v/>
      </c>
      <c r="R2149" t="str">
        <f t="shared" si="333"/>
        <v/>
      </c>
      <c r="S2149" t="str">
        <f t="shared" si="334"/>
        <v/>
      </c>
      <c r="T2149" t="str">
        <f t="shared" si="335"/>
        <v/>
      </c>
      <c r="U2149" t="str">
        <f t="shared" si="336"/>
        <v/>
      </c>
      <c r="V2149" t="str">
        <f t="shared" si="337"/>
        <v/>
      </c>
      <c r="W2149" t="str">
        <f t="shared" si="338"/>
        <v/>
      </c>
      <c r="X2149">
        <f>IF($T2149="",N($X2148),IF(MATCH($T2149,$T$6:$T$10005,0)=ROW()-5,N($X2148)+1,N($X2148)))</f>
        <v>0</v>
      </c>
      <c r="Z2149" t="str">
        <f t="shared" si="339"/>
        <v/>
      </c>
      <c r="AA2149">
        <f>IF($V2149="",N($AA2148),IF(MATCH($V2149,$V$6:$V$10005,0)=ROW()-5,N($AA2148)+1,N($AA2148)))</f>
        <v>0</v>
      </c>
    </row>
    <row r="2150" spans="1:27" ht="21" customHeight="1" x14ac:dyDescent="0.95">
      <c r="A2150" s="56"/>
      <c r="B2150" s="57"/>
      <c r="C2150" s="57"/>
      <c r="D2150" s="57"/>
      <c r="E2150" s="56"/>
      <c r="F2150" s="57"/>
      <c r="G2150" s="57"/>
      <c r="H2150" s="56"/>
      <c r="I2150" s="56"/>
      <c r="J2150" s="58"/>
      <c r="K2150" s="58"/>
      <c r="L2150" s="13" t="str">
        <f t="shared" si="330"/>
        <v/>
      </c>
      <c r="M2150" s="13" t="str">
        <f t="shared" si="331"/>
        <v/>
      </c>
      <c r="Q2150" t="str">
        <f t="shared" si="332"/>
        <v/>
      </c>
      <c r="R2150" t="str">
        <f t="shared" si="333"/>
        <v/>
      </c>
      <c r="S2150" t="str">
        <f t="shared" si="334"/>
        <v/>
      </c>
      <c r="T2150" t="str">
        <f t="shared" si="335"/>
        <v/>
      </c>
      <c r="U2150" t="str">
        <f t="shared" si="336"/>
        <v/>
      </c>
      <c r="V2150" t="str">
        <f t="shared" si="337"/>
        <v/>
      </c>
      <c r="W2150" t="str">
        <f t="shared" si="338"/>
        <v/>
      </c>
      <c r="X2150">
        <f>IF($T2150="",N($X2149),IF(MATCH($T2150,$T$6:$T$10005,0)=ROW()-5,N($X2149)+1,N($X2149)))</f>
        <v>0</v>
      </c>
      <c r="Z2150" t="str">
        <f t="shared" si="339"/>
        <v/>
      </c>
      <c r="AA2150">
        <f>IF($V2150="",N($AA2149),IF(MATCH($V2150,$V$6:$V$10005,0)=ROW()-5,N($AA2149)+1,N($AA2149)))</f>
        <v>0</v>
      </c>
    </row>
    <row r="2151" spans="1:27" ht="21" customHeight="1" x14ac:dyDescent="0.95">
      <c r="A2151" s="56"/>
      <c r="B2151" s="57"/>
      <c r="C2151" s="57"/>
      <c r="D2151" s="57"/>
      <c r="E2151" s="56"/>
      <c r="F2151" s="57"/>
      <c r="G2151" s="57"/>
      <c r="H2151" s="56"/>
      <c r="I2151" s="56"/>
      <c r="J2151" s="58"/>
      <c r="K2151" s="58"/>
      <c r="L2151" s="13" t="str">
        <f t="shared" si="330"/>
        <v/>
      </c>
      <c r="M2151" s="13" t="str">
        <f t="shared" si="331"/>
        <v/>
      </c>
      <c r="Q2151" t="str">
        <f t="shared" si="332"/>
        <v/>
      </c>
      <c r="R2151" t="str">
        <f t="shared" si="333"/>
        <v/>
      </c>
      <c r="S2151" t="str">
        <f t="shared" si="334"/>
        <v/>
      </c>
      <c r="T2151" t="str">
        <f t="shared" si="335"/>
        <v/>
      </c>
      <c r="U2151" t="str">
        <f t="shared" si="336"/>
        <v/>
      </c>
      <c r="V2151" t="str">
        <f t="shared" si="337"/>
        <v/>
      </c>
      <c r="W2151" t="str">
        <f t="shared" si="338"/>
        <v/>
      </c>
      <c r="X2151">
        <f>IF($T2151="",N($X2150),IF(MATCH($T2151,$T$6:$T$10005,0)=ROW()-5,N($X2150)+1,N($X2150)))</f>
        <v>0</v>
      </c>
      <c r="Z2151" t="str">
        <f t="shared" si="339"/>
        <v/>
      </c>
      <c r="AA2151">
        <f>IF($V2151="",N($AA2150),IF(MATCH($V2151,$V$6:$V$10005,0)=ROW()-5,N($AA2150)+1,N($AA2150)))</f>
        <v>0</v>
      </c>
    </row>
    <row r="2152" spans="1:27" ht="21" customHeight="1" x14ac:dyDescent="0.95">
      <c r="A2152" s="56"/>
      <c r="B2152" s="57"/>
      <c r="C2152" s="57"/>
      <c r="D2152" s="57"/>
      <c r="E2152" s="56"/>
      <c r="F2152" s="57"/>
      <c r="G2152" s="57"/>
      <c r="H2152" s="56"/>
      <c r="I2152" s="56"/>
      <c r="J2152" s="58"/>
      <c r="K2152" s="58"/>
      <c r="L2152" s="13" t="str">
        <f t="shared" si="330"/>
        <v/>
      </c>
      <c r="M2152" s="13" t="str">
        <f t="shared" si="331"/>
        <v/>
      </c>
      <c r="Q2152" t="str">
        <f t="shared" si="332"/>
        <v/>
      </c>
      <c r="R2152" t="str">
        <f t="shared" si="333"/>
        <v/>
      </c>
      <c r="S2152" t="str">
        <f t="shared" si="334"/>
        <v/>
      </c>
      <c r="T2152" t="str">
        <f t="shared" si="335"/>
        <v/>
      </c>
      <c r="U2152" t="str">
        <f t="shared" si="336"/>
        <v/>
      </c>
      <c r="V2152" t="str">
        <f t="shared" si="337"/>
        <v/>
      </c>
      <c r="W2152" t="str">
        <f t="shared" si="338"/>
        <v/>
      </c>
      <c r="X2152">
        <f>IF($T2152="",N($X2151),IF(MATCH($T2152,$T$6:$T$10005,0)=ROW()-5,N($X2151)+1,N($X2151)))</f>
        <v>0</v>
      </c>
      <c r="Z2152" t="str">
        <f t="shared" si="339"/>
        <v/>
      </c>
      <c r="AA2152">
        <f>IF($V2152="",N($AA2151),IF(MATCH($V2152,$V$6:$V$10005,0)=ROW()-5,N($AA2151)+1,N($AA2151)))</f>
        <v>0</v>
      </c>
    </row>
    <row r="2153" spans="1:27" ht="21" customHeight="1" x14ac:dyDescent="0.95">
      <c r="A2153" s="56"/>
      <c r="B2153" s="57"/>
      <c r="C2153" s="57"/>
      <c r="D2153" s="57"/>
      <c r="E2153" s="56"/>
      <c r="F2153" s="57"/>
      <c r="G2153" s="57"/>
      <c r="H2153" s="56"/>
      <c r="I2153" s="56"/>
      <c r="J2153" s="58"/>
      <c r="K2153" s="58"/>
      <c r="L2153" s="13" t="str">
        <f t="shared" si="330"/>
        <v/>
      </c>
      <c r="M2153" s="13" t="str">
        <f t="shared" si="331"/>
        <v/>
      </c>
      <c r="Q2153" t="str">
        <f t="shared" si="332"/>
        <v/>
      </c>
      <c r="R2153" t="str">
        <f t="shared" si="333"/>
        <v/>
      </c>
      <c r="S2153" t="str">
        <f t="shared" si="334"/>
        <v/>
      </c>
      <c r="T2153" t="str">
        <f t="shared" si="335"/>
        <v/>
      </c>
      <c r="U2153" t="str">
        <f t="shared" si="336"/>
        <v/>
      </c>
      <c r="V2153" t="str">
        <f t="shared" si="337"/>
        <v/>
      </c>
      <c r="W2153" t="str">
        <f t="shared" si="338"/>
        <v/>
      </c>
      <c r="X2153">
        <f>IF($T2153="",N($X2152),IF(MATCH($T2153,$T$6:$T$10005,0)=ROW()-5,N($X2152)+1,N($X2152)))</f>
        <v>0</v>
      </c>
      <c r="Z2153" t="str">
        <f t="shared" si="339"/>
        <v/>
      </c>
      <c r="AA2153">
        <f>IF($V2153="",N($AA2152),IF(MATCH($V2153,$V$6:$V$10005,0)=ROW()-5,N($AA2152)+1,N($AA2152)))</f>
        <v>0</v>
      </c>
    </row>
    <row r="2154" spans="1:27" ht="21" customHeight="1" x14ac:dyDescent="0.95">
      <c r="A2154" s="56"/>
      <c r="B2154" s="57"/>
      <c r="C2154" s="57"/>
      <c r="D2154" s="57"/>
      <c r="E2154" s="56"/>
      <c r="F2154" s="57"/>
      <c r="G2154" s="57"/>
      <c r="H2154" s="56"/>
      <c r="I2154" s="56"/>
      <c r="J2154" s="58"/>
      <c r="K2154" s="58"/>
      <c r="L2154" s="13" t="str">
        <f t="shared" si="330"/>
        <v/>
      </c>
      <c r="M2154" s="13" t="str">
        <f t="shared" si="331"/>
        <v/>
      </c>
      <c r="Q2154" t="str">
        <f t="shared" si="332"/>
        <v/>
      </c>
      <c r="R2154" t="str">
        <f t="shared" si="333"/>
        <v/>
      </c>
      <c r="S2154" t="str">
        <f t="shared" si="334"/>
        <v/>
      </c>
      <c r="T2154" t="str">
        <f t="shared" si="335"/>
        <v/>
      </c>
      <c r="U2154" t="str">
        <f t="shared" si="336"/>
        <v/>
      </c>
      <c r="V2154" t="str">
        <f t="shared" si="337"/>
        <v/>
      </c>
      <c r="W2154" t="str">
        <f t="shared" si="338"/>
        <v/>
      </c>
      <c r="X2154">
        <f>IF($T2154="",N($X2153),IF(MATCH($T2154,$T$6:$T$10005,0)=ROW()-5,N($X2153)+1,N($X2153)))</f>
        <v>0</v>
      </c>
      <c r="Z2154" t="str">
        <f t="shared" si="339"/>
        <v/>
      </c>
      <c r="AA2154">
        <f>IF($V2154="",N($AA2153),IF(MATCH($V2154,$V$6:$V$10005,0)=ROW()-5,N($AA2153)+1,N($AA2153)))</f>
        <v>0</v>
      </c>
    </row>
    <row r="2155" spans="1:27" ht="21" customHeight="1" x14ac:dyDescent="0.95">
      <c r="A2155" s="56"/>
      <c r="B2155" s="57"/>
      <c r="C2155" s="57"/>
      <c r="D2155" s="57"/>
      <c r="E2155" s="56"/>
      <c r="F2155" s="57"/>
      <c r="G2155" s="57"/>
      <c r="H2155" s="56"/>
      <c r="I2155" s="56"/>
      <c r="J2155" s="58"/>
      <c r="K2155" s="58"/>
      <c r="L2155" s="13" t="str">
        <f t="shared" si="330"/>
        <v/>
      </c>
      <c r="M2155" s="13" t="str">
        <f t="shared" si="331"/>
        <v/>
      </c>
      <c r="Q2155" t="str">
        <f t="shared" si="332"/>
        <v/>
      </c>
      <c r="R2155" t="str">
        <f t="shared" si="333"/>
        <v/>
      </c>
      <c r="S2155" t="str">
        <f t="shared" si="334"/>
        <v/>
      </c>
      <c r="T2155" t="str">
        <f t="shared" si="335"/>
        <v/>
      </c>
      <c r="U2155" t="str">
        <f t="shared" si="336"/>
        <v/>
      </c>
      <c r="V2155" t="str">
        <f t="shared" si="337"/>
        <v/>
      </c>
      <c r="W2155" t="str">
        <f t="shared" si="338"/>
        <v/>
      </c>
      <c r="X2155">
        <f>IF($T2155="",N($X2154),IF(MATCH($T2155,$T$6:$T$10005,0)=ROW()-5,N($X2154)+1,N($X2154)))</f>
        <v>0</v>
      </c>
      <c r="Z2155" t="str">
        <f t="shared" si="339"/>
        <v/>
      </c>
      <c r="AA2155">
        <f>IF($V2155="",N($AA2154),IF(MATCH($V2155,$V$6:$V$10005,0)=ROW()-5,N($AA2154)+1,N($AA2154)))</f>
        <v>0</v>
      </c>
    </row>
    <row r="2156" spans="1:27" ht="21" customHeight="1" x14ac:dyDescent="0.95">
      <c r="A2156" s="56"/>
      <c r="B2156" s="57"/>
      <c r="C2156" s="57"/>
      <c r="D2156" s="57"/>
      <c r="E2156" s="56"/>
      <c r="F2156" s="57"/>
      <c r="G2156" s="57"/>
      <c r="H2156" s="56"/>
      <c r="I2156" s="56"/>
      <c r="J2156" s="58"/>
      <c r="K2156" s="58"/>
      <c r="L2156" s="13" t="str">
        <f t="shared" si="330"/>
        <v/>
      </c>
      <c r="M2156" s="13" t="str">
        <f t="shared" si="331"/>
        <v/>
      </c>
      <c r="Q2156" t="str">
        <f t="shared" si="332"/>
        <v/>
      </c>
      <c r="R2156" t="str">
        <f t="shared" si="333"/>
        <v/>
      </c>
      <c r="S2156" t="str">
        <f t="shared" si="334"/>
        <v/>
      </c>
      <c r="T2156" t="str">
        <f t="shared" si="335"/>
        <v/>
      </c>
      <c r="U2156" t="str">
        <f t="shared" si="336"/>
        <v/>
      </c>
      <c r="V2156" t="str">
        <f t="shared" si="337"/>
        <v/>
      </c>
      <c r="W2156" t="str">
        <f t="shared" si="338"/>
        <v/>
      </c>
      <c r="X2156">
        <f>IF($T2156="",N($X2155),IF(MATCH($T2156,$T$6:$T$10005,0)=ROW()-5,N($X2155)+1,N($X2155)))</f>
        <v>0</v>
      </c>
      <c r="Z2156" t="str">
        <f t="shared" si="339"/>
        <v/>
      </c>
      <c r="AA2156">
        <f>IF($V2156="",N($AA2155),IF(MATCH($V2156,$V$6:$V$10005,0)=ROW()-5,N($AA2155)+1,N($AA2155)))</f>
        <v>0</v>
      </c>
    </row>
    <row r="2157" spans="1:27" ht="21" customHeight="1" x14ac:dyDescent="0.95">
      <c r="A2157" s="56"/>
      <c r="B2157" s="57"/>
      <c r="C2157" s="57"/>
      <c r="D2157" s="57"/>
      <c r="E2157" s="56"/>
      <c r="F2157" s="57"/>
      <c r="G2157" s="57"/>
      <c r="H2157" s="56"/>
      <c r="I2157" s="56"/>
      <c r="J2157" s="58"/>
      <c r="K2157" s="58"/>
      <c r="L2157" s="13" t="str">
        <f t="shared" si="330"/>
        <v/>
      </c>
      <c r="M2157" s="13" t="str">
        <f t="shared" si="331"/>
        <v/>
      </c>
      <c r="Q2157" t="str">
        <f t="shared" si="332"/>
        <v/>
      </c>
      <c r="R2157" t="str">
        <f t="shared" si="333"/>
        <v/>
      </c>
      <c r="S2157" t="str">
        <f t="shared" si="334"/>
        <v/>
      </c>
      <c r="T2157" t="str">
        <f t="shared" si="335"/>
        <v/>
      </c>
      <c r="U2157" t="str">
        <f t="shared" si="336"/>
        <v/>
      </c>
      <c r="V2157" t="str">
        <f t="shared" si="337"/>
        <v/>
      </c>
      <c r="W2157" t="str">
        <f t="shared" si="338"/>
        <v/>
      </c>
      <c r="X2157">
        <f>IF($T2157="",N($X2156),IF(MATCH($T2157,$T$6:$T$10005,0)=ROW()-5,N($X2156)+1,N($X2156)))</f>
        <v>0</v>
      </c>
      <c r="Z2157" t="str">
        <f t="shared" si="339"/>
        <v/>
      </c>
      <c r="AA2157">
        <f>IF($V2157="",N($AA2156),IF(MATCH($V2157,$V$6:$V$10005,0)=ROW()-5,N($AA2156)+1,N($AA2156)))</f>
        <v>0</v>
      </c>
    </row>
    <row r="2158" spans="1:27" ht="21" customHeight="1" x14ac:dyDescent="0.95">
      <c r="A2158" s="56"/>
      <c r="B2158" s="57"/>
      <c r="C2158" s="57"/>
      <c r="D2158" s="57"/>
      <c r="E2158" s="56"/>
      <c r="F2158" s="57"/>
      <c r="G2158" s="57"/>
      <c r="H2158" s="56"/>
      <c r="I2158" s="56"/>
      <c r="J2158" s="58"/>
      <c r="K2158" s="58"/>
      <c r="L2158" s="13" t="str">
        <f t="shared" si="330"/>
        <v/>
      </c>
      <c r="M2158" s="13" t="str">
        <f t="shared" si="331"/>
        <v/>
      </c>
      <c r="Q2158" t="str">
        <f t="shared" si="332"/>
        <v/>
      </c>
      <c r="R2158" t="str">
        <f t="shared" si="333"/>
        <v/>
      </c>
      <c r="S2158" t="str">
        <f t="shared" si="334"/>
        <v/>
      </c>
      <c r="T2158" t="str">
        <f t="shared" si="335"/>
        <v/>
      </c>
      <c r="U2158" t="str">
        <f t="shared" si="336"/>
        <v/>
      </c>
      <c r="V2158" t="str">
        <f t="shared" si="337"/>
        <v/>
      </c>
      <c r="W2158" t="str">
        <f t="shared" si="338"/>
        <v/>
      </c>
      <c r="X2158">
        <f>IF($T2158="",N($X2157),IF(MATCH($T2158,$T$6:$T$10005,0)=ROW()-5,N($X2157)+1,N($X2157)))</f>
        <v>0</v>
      </c>
      <c r="Z2158" t="str">
        <f t="shared" si="339"/>
        <v/>
      </c>
      <c r="AA2158">
        <f>IF($V2158="",N($AA2157),IF(MATCH($V2158,$V$6:$V$10005,0)=ROW()-5,N($AA2157)+1,N($AA2157)))</f>
        <v>0</v>
      </c>
    </row>
    <row r="2159" spans="1:27" ht="21" customHeight="1" x14ac:dyDescent="0.95">
      <c r="A2159" s="56"/>
      <c r="B2159" s="57"/>
      <c r="C2159" s="57"/>
      <c r="D2159" s="57"/>
      <c r="E2159" s="56"/>
      <c r="F2159" s="57"/>
      <c r="G2159" s="57"/>
      <c r="H2159" s="56"/>
      <c r="I2159" s="56"/>
      <c r="J2159" s="58"/>
      <c r="K2159" s="58"/>
      <c r="L2159" s="13" t="str">
        <f t="shared" si="330"/>
        <v/>
      </c>
      <c r="M2159" s="13" t="str">
        <f t="shared" si="331"/>
        <v/>
      </c>
      <c r="Q2159" t="str">
        <f t="shared" si="332"/>
        <v/>
      </c>
      <c r="R2159" t="str">
        <f t="shared" si="333"/>
        <v/>
      </c>
      <c r="S2159" t="str">
        <f t="shared" si="334"/>
        <v/>
      </c>
      <c r="T2159" t="str">
        <f t="shared" si="335"/>
        <v/>
      </c>
      <c r="U2159" t="str">
        <f t="shared" si="336"/>
        <v/>
      </c>
      <c r="V2159" t="str">
        <f t="shared" si="337"/>
        <v/>
      </c>
      <c r="W2159" t="str">
        <f t="shared" si="338"/>
        <v/>
      </c>
      <c r="X2159">
        <f>IF($T2159="",N($X2158),IF(MATCH($T2159,$T$6:$T$10005,0)=ROW()-5,N($X2158)+1,N($X2158)))</f>
        <v>0</v>
      </c>
      <c r="Z2159" t="str">
        <f t="shared" si="339"/>
        <v/>
      </c>
      <c r="AA2159">
        <f>IF($V2159="",N($AA2158),IF(MATCH($V2159,$V$6:$V$10005,0)=ROW()-5,N($AA2158)+1,N($AA2158)))</f>
        <v>0</v>
      </c>
    </row>
    <row r="2160" spans="1:27" ht="21" customHeight="1" x14ac:dyDescent="0.95">
      <c r="A2160" s="56"/>
      <c r="B2160" s="57"/>
      <c r="C2160" s="57"/>
      <c r="D2160" s="57"/>
      <c r="E2160" s="56"/>
      <c r="F2160" s="57"/>
      <c r="G2160" s="57"/>
      <c r="H2160" s="56"/>
      <c r="I2160" s="56"/>
      <c r="J2160" s="58"/>
      <c r="K2160" s="58"/>
      <c r="L2160" s="13" t="str">
        <f t="shared" si="330"/>
        <v/>
      </c>
      <c r="M2160" s="13" t="str">
        <f t="shared" si="331"/>
        <v/>
      </c>
      <c r="Q2160" t="str">
        <f t="shared" si="332"/>
        <v/>
      </c>
      <c r="R2160" t="str">
        <f t="shared" si="333"/>
        <v/>
      </c>
      <c r="S2160" t="str">
        <f t="shared" si="334"/>
        <v/>
      </c>
      <c r="T2160" t="str">
        <f t="shared" si="335"/>
        <v/>
      </c>
      <c r="U2160" t="str">
        <f t="shared" si="336"/>
        <v/>
      </c>
      <c r="V2160" t="str">
        <f t="shared" si="337"/>
        <v/>
      </c>
      <c r="W2160" t="str">
        <f t="shared" si="338"/>
        <v/>
      </c>
      <c r="X2160">
        <f>IF($T2160="",N($X2159),IF(MATCH($T2160,$T$6:$T$10005,0)=ROW()-5,N($X2159)+1,N($X2159)))</f>
        <v>0</v>
      </c>
      <c r="Z2160" t="str">
        <f t="shared" si="339"/>
        <v/>
      </c>
      <c r="AA2160">
        <f>IF($V2160="",N($AA2159),IF(MATCH($V2160,$V$6:$V$10005,0)=ROW()-5,N($AA2159)+1,N($AA2159)))</f>
        <v>0</v>
      </c>
    </row>
    <row r="2161" spans="1:27" ht="21" customHeight="1" x14ac:dyDescent="0.95">
      <c r="A2161" s="56"/>
      <c r="B2161" s="57"/>
      <c r="C2161" s="57"/>
      <c r="D2161" s="57"/>
      <c r="E2161" s="56"/>
      <c r="F2161" s="57"/>
      <c r="G2161" s="57"/>
      <c r="H2161" s="56"/>
      <c r="I2161" s="56"/>
      <c r="J2161" s="58"/>
      <c r="K2161" s="58"/>
      <c r="L2161" s="13" t="str">
        <f t="shared" si="330"/>
        <v/>
      </c>
      <c r="M2161" s="13" t="str">
        <f t="shared" si="331"/>
        <v/>
      </c>
      <c r="Q2161" t="str">
        <f t="shared" si="332"/>
        <v/>
      </c>
      <c r="R2161" t="str">
        <f t="shared" si="333"/>
        <v/>
      </c>
      <c r="S2161" t="str">
        <f t="shared" si="334"/>
        <v/>
      </c>
      <c r="T2161" t="str">
        <f t="shared" si="335"/>
        <v/>
      </c>
      <c r="U2161" t="str">
        <f t="shared" si="336"/>
        <v/>
      </c>
      <c r="V2161" t="str">
        <f t="shared" si="337"/>
        <v/>
      </c>
      <c r="W2161" t="str">
        <f t="shared" si="338"/>
        <v/>
      </c>
      <c r="X2161">
        <f>IF($T2161="",N($X2160),IF(MATCH($T2161,$T$6:$T$10005,0)=ROW()-5,N($X2160)+1,N($X2160)))</f>
        <v>0</v>
      </c>
      <c r="Z2161" t="str">
        <f t="shared" si="339"/>
        <v/>
      </c>
      <c r="AA2161">
        <f>IF($V2161="",N($AA2160),IF(MATCH($V2161,$V$6:$V$10005,0)=ROW()-5,N($AA2160)+1,N($AA2160)))</f>
        <v>0</v>
      </c>
    </row>
    <row r="2162" spans="1:27" ht="21" customHeight="1" x14ac:dyDescent="0.95">
      <c r="A2162" s="56"/>
      <c r="B2162" s="57"/>
      <c r="C2162" s="57"/>
      <c r="D2162" s="57"/>
      <c r="E2162" s="56"/>
      <c r="F2162" s="57"/>
      <c r="G2162" s="57"/>
      <c r="H2162" s="56"/>
      <c r="I2162" s="56"/>
      <c r="J2162" s="58"/>
      <c r="K2162" s="58"/>
      <c r="L2162" s="13" t="str">
        <f t="shared" si="330"/>
        <v/>
      </c>
      <c r="M2162" s="13" t="str">
        <f t="shared" si="331"/>
        <v/>
      </c>
      <c r="Q2162" t="str">
        <f t="shared" si="332"/>
        <v/>
      </c>
      <c r="R2162" t="str">
        <f t="shared" si="333"/>
        <v/>
      </c>
      <c r="S2162" t="str">
        <f t="shared" si="334"/>
        <v/>
      </c>
      <c r="T2162" t="str">
        <f t="shared" si="335"/>
        <v/>
      </c>
      <c r="U2162" t="str">
        <f t="shared" si="336"/>
        <v/>
      </c>
      <c r="V2162" t="str">
        <f t="shared" si="337"/>
        <v/>
      </c>
      <c r="W2162" t="str">
        <f t="shared" si="338"/>
        <v/>
      </c>
      <c r="X2162">
        <f>IF($T2162="",N($X2161),IF(MATCH($T2162,$T$6:$T$10005,0)=ROW()-5,N($X2161)+1,N($X2161)))</f>
        <v>0</v>
      </c>
      <c r="Z2162" t="str">
        <f t="shared" si="339"/>
        <v/>
      </c>
      <c r="AA2162">
        <f>IF($V2162="",N($AA2161),IF(MATCH($V2162,$V$6:$V$10005,0)=ROW()-5,N($AA2161)+1,N($AA2161)))</f>
        <v>0</v>
      </c>
    </row>
    <row r="2163" spans="1:27" ht="21" customHeight="1" x14ac:dyDescent="0.95">
      <c r="A2163" s="56"/>
      <c r="B2163" s="57"/>
      <c r="C2163" s="57"/>
      <c r="D2163" s="57"/>
      <c r="E2163" s="56"/>
      <c r="F2163" s="57"/>
      <c r="G2163" s="57"/>
      <c r="H2163" s="56"/>
      <c r="I2163" s="56"/>
      <c r="J2163" s="58"/>
      <c r="K2163" s="58"/>
      <c r="L2163" s="13" t="str">
        <f t="shared" si="330"/>
        <v/>
      </c>
      <c r="M2163" s="13" t="str">
        <f t="shared" si="331"/>
        <v/>
      </c>
      <c r="Q2163" t="str">
        <f t="shared" si="332"/>
        <v/>
      </c>
      <c r="R2163" t="str">
        <f t="shared" si="333"/>
        <v/>
      </c>
      <c r="S2163" t="str">
        <f t="shared" si="334"/>
        <v/>
      </c>
      <c r="T2163" t="str">
        <f t="shared" si="335"/>
        <v/>
      </c>
      <c r="U2163" t="str">
        <f t="shared" si="336"/>
        <v/>
      </c>
      <c r="V2163" t="str">
        <f t="shared" si="337"/>
        <v/>
      </c>
      <c r="W2163" t="str">
        <f t="shared" si="338"/>
        <v/>
      </c>
      <c r="X2163">
        <f>IF($T2163="",N($X2162),IF(MATCH($T2163,$T$6:$T$10005,0)=ROW()-5,N($X2162)+1,N($X2162)))</f>
        <v>0</v>
      </c>
      <c r="Z2163" t="str">
        <f t="shared" si="339"/>
        <v/>
      </c>
      <c r="AA2163">
        <f>IF($V2163="",N($AA2162),IF(MATCH($V2163,$V$6:$V$10005,0)=ROW()-5,N($AA2162)+1,N($AA2162)))</f>
        <v>0</v>
      </c>
    </row>
    <row r="2164" spans="1:27" ht="21" customHeight="1" x14ac:dyDescent="0.95">
      <c r="A2164" s="56"/>
      <c r="B2164" s="57"/>
      <c r="C2164" s="57"/>
      <c r="D2164" s="57"/>
      <c r="E2164" s="56"/>
      <c r="F2164" s="57"/>
      <c r="G2164" s="57"/>
      <c r="H2164" s="56"/>
      <c r="I2164" s="56"/>
      <c r="J2164" s="58"/>
      <c r="K2164" s="58"/>
      <c r="L2164" s="13" t="str">
        <f t="shared" si="330"/>
        <v/>
      </c>
      <c r="M2164" s="13" t="str">
        <f t="shared" si="331"/>
        <v/>
      </c>
      <c r="Q2164" t="str">
        <f t="shared" si="332"/>
        <v/>
      </c>
      <c r="R2164" t="str">
        <f t="shared" si="333"/>
        <v/>
      </c>
      <c r="S2164" t="str">
        <f t="shared" si="334"/>
        <v/>
      </c>
      <c r="T2164" t="str">
        <f t="shared" si="335"/>
        <v/>
      </c>
      <c r="U2164" t="str">
        <f t="shared" si="336"/>
        <v/>
      </c>
      <c r="V2164" t="str">
        <f t="shared" si="337"/>
        <v/>
      </c>
      <c r="W2164" t="str">
        <f t="shared" si="338"/>
        <v/>
      </c>
      <c r="X2164">
        <f>IF($T2164="",N($X2163),IF(MATCH($T2164,$T$6:$T$10005,0)=ROW()-5,N($X2163)+1,N($X2163)))</f>
        <v>0</v>
      </c>
      <c r="Z2164" t="str">
        <f t="shared" si="339"/>
        <v/>
      </c>
      <c r="AA2164">
        <f>IF($V2164="",N($AA2163),IF(MATCH($V2164,$V$6:$V$10005,0)=ROW()-5,N($AA2163)+1,N($AA2163)))</f>
        <v>0</v>
      </c>
    </row>
    <row r="2165" spans="1:27" ht="21" customHeight="1" x14ac:dyDescent="0.95">
      <c r="A2165" s="56"/>
      <c r="B2165" s="57"/>
      <c r="C2165" s="57"/>
      <c r="D2165" s="57"/>
      <c r="E2165" s="56"/>
      <c r="F2165" s="57"/>
      <c r="G2165" s="57"/>
      <c r="H2165" s="56"/>
      <c r="I2165" s="56"/>
      <c r="J2165" s="58"/>
      <c r="K2165" s="58"/>
      <c r="L2165" s="13" t="str">
        <f t="shared" si="330"/>
        <v/>
      </c>
      <c r="M2165" s="13" t="str">
        <f t="shared" si="331"/>
        <v/>
      </c>
      <c r="Q2165" t="str">
        <f t="shared" si="332"/>
        <v/>
      </c>
      <c r="R2165" t="str">
        <f t="shared" si="333"/>
        <v/>
      </c>
      <c r="S2165" t="str">
        <f t="shared" si="334"/>
        <v/>
      </c>
      <c r="T2165" t="str">
        <f t="shared" si="335"/>
        <v/>
      </c>
      <c r="U2165" t="str">
        <f t="shared" si="336"/>
        <v/>
      </c>
      <c r="V2165" t="str">
        <f t="shared" si="337"/>
        <v/>
      </c>
      <c r="W2165" t="str">
        <f t="shared" si="338"/>
        <v/>
      </c>
      <c r="X2165">
        <f>IF($T2165="",N($X2164),IF(MATCH($T2165,$T$6:$T$10005,0)=ROW()-5,N($X2164)+1,N($X2164)))</f>
        <v>0</v>
      </c>
      <c r="Z2165" t="str">
        <f t="shared" si="339"/>
        <v/>
      </c>
      <c r="AA2165">
        <f>IF($V2165="",N($AA2164),IF(MATCH($V2165,$V$6:$V$10005,0)=ROW()-5,N($AA2164)+1,N($AA2164)))</f>
        <v>0</v>
      </c>
    </row>
    <row r="2166" spans="1:27" ht="21" customHeight="1" x14ac:dyDescent="0.95">
      <c r="A2166" s="56"/>
      <c r="B2166" s="57"/>
      <c r="C2166" s="57"/>
      <c r="D2166" s="57"/>
      <c r="E2166" s="56"/>
      <c r="F2166" s="57"/>
      <c r="G2166" s="57"/>
      <c r="H2166" s="56"/>
      <c r="I2166" s="56"/>
      <c r="J2166" s="58"/>
      <c r="K2166" s="58"/>
      <c r="L2166" s="13" t="str">
        <f t="shared" si="330"/>
        <v/>
      </c>
      <c r="M2166" s="13" t="str">
        <f t="shared" si="331"/>
        <v/>
      </c>
      <c r="Q2166" t="str">
        <f t="shared" si="332"/>
        <v/>
      </c>
      <c r="R2166" t="str">
        <f t="shared" si="333"/>
        <v/>
      </c>
      <c r="S2166" t="str">
        <f t="shared" si="334"/>
        <v/>
      </c>
      <c r="T2166" t="str">
        <f t="shared" si="335"/>
        <v/>
      </c>
      <c r="U2166" t="str">
        <f t="shared" si="336"/>
        <v/>
      </c>
      <c r="V2166" t="str">
        <f t="shared" si="337"/>
        <v/>
      </c>
      <c r="W2166" t="str">
        <f t="shared" si="338"/>
        <v/>
      </c>
      <c r="X2166">
        <f>IF($T2166="",N($X2165),IF(MATCH($T2166,$T$6:$T$10005,0)=ROW()-5,N($X2165)+1,N($X2165)))</f>
        <v>0</v>
      </c>
      <c r="Z2166" t="str">
        <f t="shared" si="339"/>
        <v/>
      </c>
      <c r="AA2166">
        <f>IF($V2166="",N($AA2165),IF(MATCH($V2166,$V$6:$V$10005,0)=ROW()-5,N($AA2165)+1,N($AA2165)))</f>
        <v>0</v>
      </c>
    </row>
    <row r="2167" spans="1:27" ht="21" customHeight="1" x14ac:dyDescent="0.95">
      <c r="A2167" s="56"/>
      <c r="B2167" s="57"/>
      <c r="C2167" s="57"/>
      <c r="D2167" s="57"/>
      <c r="E2167" s="56"/>
      <c r="F2167" s="57"/>
      <c r="G2167" s="57"/>
      <c r="H2167" s="56"/>
      <c r="I2167" s="56"/>
      <c r="J2167" s="58"/>
      <c r="K2167" s="58"/>
      <c r="L2167" s="13" t="str">
        <f t="shared" si="330"/>
        <v/>
      </c>
      <c r="M2167" s="13" t="str">
        <f t="shared" si="331"/>
        <v/>
      </c>
      <c r="Q2167" t="str">
        <f t="shared" si="332"/>
        <v/>
      </c>
      <c r="R2167" t="str">
        <f t="shared" si="333"/>
        <v/>
      </c>
      <c r="S2167" t="str">
        <f t="shared" si="334"/>
        <v/>
      </c>
      <c r="T2167" t="str">
        <f t="shared" si="335"/>
        <v/>
      </c>
      <c r="U2167" t="str">
        <f t="shared" si="336"/>
        <v/>
      </c>
      <c r="V2167" t="str">
        <f t="shared" si="337"/>
        <v/>
      </c>
      <c r="W2167" t="str">
        <f t="shared" si="338"/>
        <v/>
      </c>
      <c r="X2167">
        <f>IF($T2167="",N($X2166),IF(MATCH($T2167,$T$6:$T$10005,0)=ROW()-5,N($X2166)+1,N($X2166)))</f>
        <v>0</v>
      </c>
      <c r="Z2167" t="str">
        <f t="shared" si="339"/>
        <v/>
      </c>
      <c r="AA2167">
        <f>IF($V2167="",N($AA2166),IF(MATCH($V2167,$V$6:$V$10005,0)=ROW()-5,N($AA2166)+1,N($AA2166)))</f>
        <v>0</v>
      </c>
    </row>
    <row r="2168" spans="1:27" ht="21" customHeight="1" x14ac:dyDescent="0.95">
      <c r="A2168" s="56"/>
      <c r="B2168" s="57"/>
      <c r="C2168" s="57"/>
      <c r="D2168" s="57"/>
      <c r="E2168" s="56"/>
      <c r="F2168" s="57"/>
      <c r="G2168" s="57"/>
      <c r="H2168" s="56"/>
      <c r="I2168" s="56"/>
      <c r="J2168" s="58"/>
      <c r="K2168" s="58"/>
      <c r="L2168" s="13" t="str">
        <f t="shared" si="330"/>
        <v/>
      </c>
      <c r="M2168" s="13" t="str">
        <f t="shared" si="331"/>
        <v/>
      </c>
      <c r="Q2168" t="str">
        <f t="shared" si="332"/>
        <v/>
      </c>
      <c r="R2168" t="str">
        <f t="shared" si="333"/>
        <v/>
      </c>
      <c r="S2168" t="str">
        <f t="shared" si="334"/>
        <v/>
      </c>
      <c r="T2168" t="str">
        <f t="shared" si="335"/>
        <v/>
      </c>
      <c r="U2168" t="str">
        <f t="shared" si="336"/>
        <v/>
      </c>
      <c r="V2168" t="str">
        <f t="shared" si="337"/>
        <v/>
      </c>
      <c r="W2168" t="str">
        <f t="shared" si="338"/>
        <v/>
      </c>
      <c r="X2168">
        <f>IF($T2168="",N($X2167),IF(MATCH($T2168,$T$6:$T$10005,0)=ROW()-5,N($X2167)+1,N($X2167)))</f>
        <v>0</v>
      </c>
      <c r="Z2168" t="str">
        <f t="shared" si="339"/>
        <v/>
      </c>
      <c r="AA2168">
        <f>IF($V2168="",N($AA2167),IF(MATCH($V2168,$V$6:$V$10005,0)=ROW()-5,N($AA2167)+1,N($AA2167)))</f>
        <v>0</v>
      </c>
    </row>
    <row r="2169" spans="1:27" ht="21" customHeight="1" x14ac:dyDescent="0.95">
      <c r="A2169" s="56"/>
      <c r="B2169" s="57"/>
      <c r="C2169" s="57"/>
      <c r="D2169" s="57"/>
      <c r="E2169" s="56"/>
      <c r="F2169" s="57"/>
      <c r="G2169" s="57"/>
      <c r="H2169" s="56"/>
      <c r="I2169" s="56"/>
      <c r="J2169" s="58"/>
      <c r="K2169" s="58"/>
      <c r="L2169" s="13" t="str">
        <f t="shared" si="330"/>
        <v/>
      </c>
      <c r="M2169" s="13" t="str">
        <f t="shared" si="331"/>
        <v/>
      </c>
      <c r="Q2169" t="str">
        <f t="shared" si="332"/>
        <v/>
      </c>
      <c r="R2169" t="str">
        <f t="shared" si="333"/>
        <v/>
      </c>
      <c r="S2169" t="str">
        <f t="shared" si="334"/>
        <v/>
      </c>
      <c r="T2169" t="str">
        <f t="shared" si="335"/>
        <v/>
      </c>
      <c r="U2169" t="str">
        <f t="shared" si="336"/>
        <v/>
      </c>
      <c r="V2169" t="str">
        <f t="shared" si="337"/>
        <v/>
      </c>
      <c r="W2169" t="str">
        <f t="shared" si="338"/>
        <v/>
      </c>
      <c r="X2169">
        <f>IF($T2169="",N($X2168),IF(MATCH($T2169,$T$6:$T$10005,0)=ROW()-5,N($X2168)+1,N($X2168)))</f>
        <v>0</v>
      </c>
      <c r="Z2169" t="str">
        <f t="shared" si="339"/>
        <v/>
      </c>
      <c r="AA2169">
        <f>IF($V2169="",N($AA2168),IF(MATCH($V2169,$V$6:$V$10005,0)=ROW()-5,N($AA2168)+1,N($AA2168)))</f>
        <v>0</v>
      </c>
    </row>
    <row r="2170" spans="1:27" ht="21" customHeight="1" x14ac:dyDescent="0.95">
      <c r="A2170" s="56"/>
      <c r="B2170" s="57"/>
      <c r="C2170" s="57"/>
      <c r="D2170" s="57"/>
      <c r="E2170" s="56"/>
      <c r="F2170" s="57"/>
      <c r="G2170" s="57"/>
      <c r="H2170" s="56"/>
      <c r="I2170" s="56"/>
      <c r="J2170" s="58"/>
      <c r="K2170" s="58"/>
      <c r="L2170" s="13" t="str">
        <f t="shared" si="330"/>
        <v/>
      </c>
      <c r="M2170" s="13" t="str">
        <f t="shared" si="331"/>
        <v/>
      </c>
      <c r="Q2170" t="str">
        <f t="shared" si="332"/>
        <v/>
      </c>
      <c r="R2170" t="str">
        <f t="shared" si="333"/>
        <v/>
      </c>
      <c r="S2170" t="str">
        <f t="shared" si="334"/>
        <v/>
      </c>
      <c r="T2170" t="str">
        <f t="shared" si="335"/>
        <v/>
      </c>
      <c r="U2170" t="str">
        <f t="shared" si="336"/>
        <v/>
      </c>
      <c r="V2170" t="str">
        <f t="shared" si="337"/>
        <v/>
      </c>
      <c r="W2170" t="str">
        <f t="shared" si="338"/>
        <v/>
      </c>
      <c r="X2170">
        <f>IF($T2170="",N($X2169),IF(MATCH($T2170,$T$6:$T$10005,0)=ROW()-5,N($X2169)+1,N($X2169)))</f>
        <v>0</v>
      </c>
      <c r="Z2170" t="str">
        <f t="shared" si="339"/>
        <v/>
      </c>
      <c r="AA2170">
        <f>IF($V2170="",N($AA2169),IF(MATCH($V2170,$V$6:$V$10005,0)=ROW()-5,N($AA2169)+1,N($AA2169)))</f>
        <v>0</v>
      </c>
    </row>
    <row r="2171" spans="1:27" ht="21" customHeight="1" x14ac:dyDescent="0.95">
      <c r="A2171" s="56"/>
      <c r="B2171" s="57"/>
      <c r="C2171" s="57"/>
      <c r="D2171" s="57"/>
      <c r="E2171" s="56"/>
      <c r="F2171" s="57"/>
      <c r="G2171" s="57"/>
      <c r="H2171" s="56"/>
      <c r="I2171" s="56"/>
      <c r="J2171" s="58"/>
      <c r="K2171" s="58"/>
      <c r="L2171" s="13" t="str">
        <f t="shared" si="330"/>
        <v/>
      </c>
      <c r="M2171" s="13" t="str">
        <f t="shared" si="331"/>
        <v/>
      </c>
      <c r="Q2171" t="str">
        <f t="shared" si="332"/>
        <v/>
      </c>
      <c r="R2171" t="str">
        <f t="shared" si="333"/>
        <v/>
      </c>
      <c r="S2171" t="str">
        <f t="shared" si="334"/>
        <v/>
      </c>
      <c r="T2171" t="str">
        <f t="shared" si="335"/>
        <v/>
      </c>
      <c r="U2171" t="str">
        <f t="shared" si="336"/>
        <v/>
      </c>
      <c r="V2171" t="str">
        <f t="shared" si="337"/>
        <v/>
      </c>
      <c r="W2171" t="str">
        <f t="shared" si="338"/>
        <v/>
      </c>
      <c r="X2171">
        <f>IF($T2171="",N($X2170),IF(MATCH($T2171,$T$6:$T$10005,0)=ROW()-5,N($X2170)+1,N($X2170)))</f>
        <v>0</v>
      </c>
      <c r="Z2171" t="str">
        <f t="shared" si="339"/>
        <v/>
      </c>
      <c r="AA2171">
        <f>IF($V2171="",N($AA2170),IF(MATCH($V2171,$V$6:$V$10005,0)=ROW()-5,N($AA2170)+1,N($AA2170)))</f>
        <v>0</v>
      </c>
    </row>
    <row r="2172" spans="1:27" ht="21" customHeight="1" x14ac:dyDescent="0.95">
      <c r="A2172" s="56"/>
      <c r="B2172" s="57"/>
      <c r="C2172" s="57"/>
      <c r="D2172" s="57"/>
      <c r="E2172" s="56"/>
      <c r="F2172" s="57"/>
      <c r="G2172" s="57"/>
      <c r="H2172" s="56"/>
      <c r="I2172" s="56"/>
      <c r="J2172" s="58"/>
      <c r="K2172" s="58"/>
      <c r="L2172" s="13" t="str">
        <f t="shared" si="330"/>
        <v/>
      </c>
      <c r="M2172" s="13" t="str">
        <f t="shared" si="331"/>
        <v/>
      </c>
      <c r="Q2172" t="str">
        <f t="shared" si="332"/>
        <v/>
      </c>
      <c r="R2172" t="str">
        <f t="shared" si="333"/>
        <v/>
      </c>
      <c r="S2172" t="str">
        <f t="shared" si="334"/>
        <v/>
      </c>
      <c r="T2172" t="str">
        <f t="shared" si="335"/>
        <v/>
      </c>
      <c r="U2172" t="str">
        <f t="shared" si="336"/>
        <v/>
      </c>
      <c r="V2172" t="str">
        <f t="shared" si="337"/>
        <v/>
      </c>
      <c r="W2172" t="str">
        <f t="shared" si="338"/>
        <v/>
      </c>
      <c r="X2172">
        <f>IF($T2172="",N($X2171),IF(MATCH($T2172,$T$6:$T$10005,0)=ROW()-5,N($X2171)+1,N($X2171)))</f>
        <v>0</v>
      </c>
      <c r="Z2172" t="str">
        <f t="shared" si="339"/>
        <v/>
      </c>
      <c r="AA2172">
        <f>IF($V2172="",N($AA2171),IF(MATCH($V2172,$V$6:$V$10005,0)=ROW()-5,N($AA2171)+1,N($AA2171)))</f>
        <v>0</v>
      </c>
    </row>
    <row r="2173" spans="1:27" ht="21" customHeight="1" x14ac:dyDescent="0.95">
      <c r="A2173" s="56"/>
      <c r="B2173" s="57"/>
      <c r="C2173" s="57"/>
      <c r="D2173" s="57"/>
      <c r="E2173" s="56"/>
      <c r="F2173" s="57"/>
      <c r="G2173" s="57"/>
      <c r="H2173" s="56"/>
      <c r="I2173" s="56"/>
      <c r="J2173" s="58"/>
      <c r="K2173" s="58"/>
      <c r="L2173" s="13" t="str">
        <f t="shared" si="330"/>
        <v/>
      </c>
      <c r="M2173" s="13" t="str">
        <f t="shared" si="331"/>
        <v/>
      </c>
      <c r="Q2173" t="str">
        <f t="shared" si="332"/>
        <v/>
      </c>
      <c r="R2173" t="str">
        <f t="shared" si="333"/>
        <v/>
      </c>
      <c r="S2173" t="str">
        <f t="shared" si="334"/>
        <v/>
      </c>
      <c r="T2173" t="str">
        <f t="shared" si="335"/>
        <v/>
      </c>
      <c r="U2173" t="str">
        <f t="shared" si="336"/>
        <v/>
      </c>
      <c r="V2173" t="str">
        <f t="shared" si="337"/>
        <v/>
      </c>
      <c r="W2173" t="str">
        <f t="shared" si="338"/>
        <v/>
      </c>
      <c r="X2173">
        <f>IF($T2173="",N($X2172),IF(MATCH($T2173,$T$6:$T$10005,0)=ROW()-5,N($X2172)+1,N($X2172)))</f>
        <v>0</v>
      </c>
      <c r="Z2173" t="str">
        <f t="shared" si="339"/>
        <v/>
      </c>
      <c r="AA2173">
        <f>IF($V2173="",N($AA2172),IF(MATCH($V2173,$V$6:$V$10005,0)=ROW()-5,N($AA2172)+1,N($AA2172)))</f>
        <v>0</v>
      </c>
    </row>
    <row r="2174" spans="1:27" ht="21" customHeight="1" x14ac:dyDescent="0.95">
      <c r="A2174" s="56"/>
      <c r="B2174" s="57"/>
      <c r="C2174" s="57"/>
      <c r="D2174" s="57"/>
      <c r="E2174" s="56"/>
      <c r="F2174" s="57"/>
      <c r="G2174" s="57"/>
      <c r="H2174" s="56"/>
      <c r="I2174" s="56"/>
      <c r="J2174" s="58"/>
      <c r="K2174" s="58"/>
      <c r="L2174" s="13" t="str">
        <f t="shared" si="330"/>
        <v/>
      </c>
      <c r="M2174" s="13" t="str">
        <f t="shared" si="331"/>
        <v/>
      </c>
      <c r="Q2174" t="str">
        <f t="shared" si="332"/>
        <v/>
      </c>
      <c r="R2174" t="str">
        <f t="shared" si="333"/>
        <v/>
      </c>
      <c r="S2174" t="str">
        <f t="shared" si="334"/>
        <v/>
      </c>
      <c r="T2174" t="str">
        <f t="shared" si="335"/>
        <v/>
      </c>
      <c r="U2174" t="str">
        <f t="shared" si="336"/>
        <v/>
      </c>
      <c r="V2174" t="str">
        <f t="shared" si="337"/>
        <v/>
      </c>
      <c r="W2174" t="str">
        <f t="shared" si="338"/>
        <v/>
      </c>
      <c r="X2174">
        <f>IF($T2174="",N($X2173),IF(MATCH($T2174,$T$6:$T$10005,0)=ROW()-5,N($X2173)+1,N($X2173)))</f>
        <v>0</v>
      </c>
      <c r="Z2174" t="str">
        <f t="shared" si="339"/>
        <v/>
      </c>
      <c r="AA2174">
        <f>IF($V2174="",N($AA2173),IF(MATCH($V2174,$V$6:$V$10005,0)=ROW()-5,N($AA2173)+1,N($AA2173)))</f>
        <v>0</v>
      </c>
    </row>
    <row r="2175" spans="1:27" ht="21" customHeight="1" x14ac:dyDescent="0.95">
      <c r="A2175" s="56"/>
      <c r="B2175" s="57"/>
      <c r="C2175" s="57"/>
      <c r="D2175" s="57"/>
      <c r="E2175" s="56"/>
      <c r="F2175" s="57"/>
      <c r="G2175" s="57"/>
      <c r="H2175" s="56"/>
      <c r="I2175" s="56"/>
      <c r="J2175" s="58"/>
      <c r="K2175" s="58"/>
      <c r="L2175" s="13" t="str">
        <f t="shared" si="330"/>
        <v/>
      </c>
      <c r="M2175" s="13" t="str">
        <f t="shared" si="331"/>
        <v/>
      </c>
      <c r="Q2175" t="str">
        <f t="shared" si="332"/>
        <v/>
      </c>
      <c r="R2175" t="str">
        <f t="shared" si="333"/>
        <v/>
      </c>
      <c r="S2175" t="str">
        <f t="shared" si="334"/>
        <v/>
      </c>
      <c r="T2175" t="str">
        <f t="shared" si="335"/>
        <v/>
      </c>
      <c r="U2175" t="str">
        <f t="shared" si="336"/>
        <v/>
      </c>
      <c r="V2175" t="str">
        <f t="shared" si="337"/>
        <v/>
      </c>
      <c r="W2175" t="str">
        <f t="shared" si="338"/>
        <v/>
      </c>
      <c r="X2175">
        <f>IF($T2175="",N($X2174),IF(MATCH($T2175,$T$6:$T$10005,0)=ROW()-5,N($X2174)+1,N($X2174)))</f>
        <v>0</v>
      </c>
      <c r="Z2175" t="str">
        <f t="shared" si="339"/>
        <v/>
      </c>
      <c r="AA2175">
        <f>IF($V2175="",N($AA2174),IF(MATCH($V2175,$V$6:$V$10005,0)=ROW()-5,N($AA2174)+1,N($AA2174)))</f>
        <v>0</v>
      </c>
    </row>
    <row r="2176" spans="1:27" ht="21" customHeight="1" x14ac:dyDescent="0.95">
      <c r="A2176" s="56"/>
      <c r="B2176" s="57"/>
      <c r="C2176" s="57"/>
      <c r="D2176" s="57"/>
      <c r="E2176" s="56"/>
      <c r="F2176" s="57"/>
      <c r="G2176" s="57"/>
      <c r="H2176" s="56"/>
      <c r="I2176" s="56"/>
      <c r="J2176" s="58"/>
      <c r="K2176" s="58"/>
      <c r="L2176" s="13" t="str">
        <f t="shared" si="330"/>
        <v/>
      </c>
      <c r="M2176" s="13" t="str">
        <f t="shared" si="331"/>
        <v/>
      </c>
      <c r="Q2176" t="str">
        <f t="shared" si="332"/>
        <v/>
      </c>
      <c r="R2176" t="str">
        <f t="shared" si="333"/>
        <v/>
      </c>
      <c r="S2176" t="str">
        <f t="shared" si="334"/>
        <v/>
      </c>
      <c r="T2176" t="str">
        <f t="shared" si="335"/>
        <v/>
      </c>
      <c r="U2176" t="str">
        <f t="shared" si="336"/>
        <v/>
      </c>
      <c r="V2176" t="str">
        <f t="shared" si="337"/>
        <v/>
      </c>
      <c r="W2176" t="str">
        <f t="shared" si="338"/>
        <v/>
      </c>
      <c r="X2176">
        <f>IF($T2176="",N($X2175),IF(MATCH($T2176,$T$6:$T$10005,0)=ROW()-5,N($X2175)+1,N($X2175)))</f>
        <v>0</v>
      </c>
      <c r="Z2176" t="str">
        <f t="shared" si="339"/>
        <v/>
      </c>
      <c r="AA2176">
        <f>IF($V2176="",N($AA2175),IF(MATCH($V2176,$V$6:$V$10005,0)=ROW()-5,N($AA2175)+1,N($AA2175)))</f>
        <v>0</v>
      </c>
    </row>
    <row r="2177" spans="1:27" ht="21" customHeight="1" x14ac:dyDescent="0.95">
      <c r="A2177" s="56"/>
      <c r="B2177" s="57"/>
      <c r="C2177" s="57"/>
      <c r="D2177" s="57"/>
      <c r="E2177" s="56"/>
      <c r="F2177" s="57"/>
      <c r="G2177" s="57"/>
      <c r="H2177" s="56"/>
      <c r="I2177" s="56"/>
      <c r="J2177" s="58"/>
      <c r="K2177" s="58"/>
      <c r="L2177" s="13" t="str">
        <f t="shared" si="330"/>
        <v/>
      </c>
      <c r="M2177" s="13" t="str">
        <f t="shared" si="331"/>
        <v/>
      </c>
      <c r="Q2177" t="str">
        <f t="shared" si="332"/>
        <v/>
      </c>
      <c r="R2177" t="str">
        <f t="shared" si="333"/>
        <v/>
      </c>
      <c r="S2177" t="str">
        <f t="shared" si="334"/>
        <v/>
      </c>
      <c r="T2177" t="str">
        <f t="shared" si="335"/>
        <v/>
      </c>
      <c r="U2177" t="str">
        <f t="shared" si="336"/>
        <v/>
      </c>
      <c r="V2177" t="str">
        <f t="shared" si="337"/>
        <v/>
      </c>
      <c r="W2177" t="str">
        <f t="shared" si="338"/>
        <v/>
      </c>
      <c r="X2177">
        <f>IF($T2177="",N($X2176),IF(MATCH($T2177,$T$6:$T$10005,0)=ROW()-5,N($X2176)+1,N($X2176)))</f>
        <v>0</v>
      </c>
      <c r="Z2177" t="str">
        <f t="shared" si="339"/>
        <v/>
      </c>
      <c r="AA2177">
        <f>IF($V2177="",N($AA2176),IF(MATCH($V2177,$V$6:$V$10005,0)=ROW()-5,N($AA2176)+1,N($AA2176)))</f>
        <v>0</v>
      </c>
    </row>
    <row r="2178" spans="1:27" ht="21" customHeight="1" x14ac:dyDescent="0.95">
      <c r="A2178" s="56"/>
      <c r="B2178" s="57"/>
      <c r="C2178" s="57"/>
      <c r="D2178" s="57"/>
      <c r="E2178" s="56"/>
      <c r="F2178" s="57"/>
      <c r="G2178" s="57"/>
      <c r="H2178" s="56"/>
      <c r="I2178" s="56"/>
      <c r="J2178" s="58"/>
      <c r="K2178" s="58"/>
      <c r="L2178" s="13" t="str">
        <f t="shared" si="330"/>
        <v/>
      </c>
      <c r="M2178" s="13" t="str">
        <f t="shared" si="331"/>
        <v/>
      </c>
      <c r="Q2178" t="str">
        <f t="shared" si="332"/>
        <v/>
      </c>
      <c r="R2178" t="str">
        <f t="shared" si="333"/>
        <v/>
      </c>
      <c r="S2178" t="str">
        <f t="shared" si="334"/>
        <v/>
      </c>
      <c r="T2178" t="str">
        <f t="shared" si="335"/>
        <v/>
      </c>
      <c r="U2178" t="str">
        <f t="shared" si="336"/>
        <v/>
      </c>
      <c r="V2178" t="str">
        <f t="shared" si="337"/>
        <v/>
      </c>
      <c r="W2178" t="str">
        <f t="shared" si="338"/>
        <v/>
      </c>
      <c r="X2178">
        <f>IF($T2178="",N($X2177),IF(MATCH($T2178,$T$6:$T$10005,0)=ROW()-5,N($X2177)+1,N($X2177)))</f>
        <v>0</v>
      </c>
      <c r="Z2178" t="str">
        <f t="shared" si="339"/>
        <v/>
      </c>
      <c r="AA2178">
        <f>IF($V2178="",N($AA2177),IF(MATCH($V2178,$V$6:$V$10005,0)=ROW()-5,N($AA2177)+1,N($AA2177)))</f>
        <v>0</v>
      </c>
    </row>
    <row r="2179" spans="1:27" ht="21" customHeight="1" x14ac:dyDescent="0.95">
      <c r="A2179" s="56"/>
      <c r="B2179" s="57"/>
      <c r="C2179" s="57"/>
      <c r="D2179" s="57"/>
      <c r="E2179" s="56"/>
      <c r="F2179" s="57"/>
      <c r="G2179" s="57"/>
      <c r="H2179" s="56"/>
      <c r="I2179" s="56"/>
      <c r="J2179" s="58"/>
      <c r="K2179" s="58"/>
      <c r="L2179" s="13" t="str">
        <f t="shared" si="330"/>
        <v/>
      </c>
      <c r="M2179" s="13" t="str">
        <f t="shared" si="331"/>
        <v/>
      </c>
      <c r="Q2179" t="str">
        <f t="shared" si="332"/>
        <v/>
      </c>
      <c r="R2179" t="str">
        <f t="shared" si="333"/>
        <v/>
      </c>
      <c r="S2179" t="str">
        <f t="shared" si="334"/>
        <v/>
      </c>
      <c r="T2179" t="str">
        <f t="shared" si="335"/>
        <v/>
      </c>
      <c r="U2179" t="str">
        <f t="shared" si="336"/>
        <v/>
      </c>
      <c r="V2179" t="str">
        <f t="shared" si="337"/>
        <v/>
      </c>
      <c r="W2179" t="str">
        <f t="shared" si="338"/>
        <v/>
      </c>
      <c r="X2179">
        <f>IF($T2179="",N($X2178),IF(MATCH($T2179,$T$6:$T$10005,0)=ROW()-5,N($X2178)+1,N($X2178)))</f>
        <v>0</v>
      </c>
      <c r="Z2179" t="str">
        <f t="shared" si="339"/>
        <v/>
      </c>
      <c r="AA2179">
        <f>IF($V2179="",N($AA2178),IF(MATCH($V2179,$V$6:$V$10005,0)=ROW()-5,N($AA2178)+1,N($AA2178)))</f>
        <v>0</v>
      </c>
    </row>
    <row r="2180" spans="1:27" ht="21" customHeight="1" x14ac:dyDescent="0.95">
      <c r="A2180" s="56"/>
      <c r="B2180" s="57"/>
      <c r="C2180" s="57"/>
      <c r="D2180" s="57"/>
      <c r="E2180" s="56"/>
      <c r="F2180" s="57"/>
      <c r="G2180" s="57"/>
      <c r="H2180" s="56"/>
      <c r="I2180" s="56"/>
      <c r="J2180" s="58"/>
      <c r="K2180" s="58"/>
      <c r="L2180" s="13" t="str">
        <f t="shared" si="330"/>
        <v/>
      </c>
      <c r="M2180" s="13" t="str">
        <f t="shared" si="331"/>
        <v/>
      </c>
      <c r="Q2180" t="str">
        <f t="shared" si="332"/>
        <v/>
      </c>
      <c r="R2180" t="str">
        <f t="shared" si="333"/>
        <v/>
      </c>
      <c r="S2180" t="str">
        <f t="shared" si="334"/>
        <v/>
      </c>
      <c r="T2180" t="str">
        <f t="shared" si="335"/>
        <v/>
      </c>
      <c r="U2180" t="str">
        <f t="shared" si="336"/>
        <v/>
      </c>
      <c r="V2180" t="str">
        <f t="shared" si="337"/>
        <v/>
      </c>
      <c r="W2180" t="str">
        <f t="shared" si="338"/>
        <v/>
      </c>
      <c r="X2180">
        <f>IF($T2180="",N($X2179),IF(MATCH($T2180,$T$6:$T$10005,0)=ROW()-5,N($X2179)+1,N($X2179)))</f>
        <v>0</v>
      </c>
      <c r="Z2180" t="str">
        <f t="shared" si="339"/>
        <v/>
      </c>
      <c r="AA2180">
        <f>IF($V2180="",N($AA2179),IF(MATCH($V2180,$V$6:$V$10005,0)=ROW()-5,N($AA2179)+1,N($AA2179)))</f>
        <v>0</v>
      </c>
    </row>
    <row r="2181" spans="1:27" ht="21" customHeight="1" x14ac:dyDescent="0.95">
      <c r="A2181" s="56"/>
      <c r="B2181" s="57"/>
      <c r="C2181" s="57"/>
      <c r="D2181" s="57"/>
      <c r="E2181" s="56"/>
      <c r="F2181" s="57"/>
      <c r="G2181" s="57"/>
      <c r="H2181" s="56"/>
      <c r="I2181" s="56"/>
      <c r="J2181" s="58"/>
      <c r="K2181" s="58"/>
      <c r="L2181" s="13" t="str">
        <f t="shared" si="330"/>
        <v/>
      </c>
      <c r="M2181" s="13" t="str">
        <f t="shared" si="331"/>
        <v/>
      </c>
      <c r="Q2181" t="str">
        <f t="shared" si="332"/>
        <v/>
      </c>
      <c r="R2181" t="str">
        <f t="shared" si="333"/>
        <v/>
      </c>
      <c r="S2181" t="str">
        <f t="shared" si="334"/>
        <v/>
      </c>
      <c r="T2181" t="str">
        <f t="shared" si="335"/>
        <v/>
      </c>
      <c r="U2181" t="str">
        <f t="shared" si="336"/>
        <v/>
      </c>
      <c r="V2181" t="str">
        <f t="shared" si="337"/>
        <v/>
      </c>
      <c r="W2181" t="str">
        <f t="shared" si="338"/>
        <v/>
      </c>
      <c r="X2181">
        <f>IF($T2181="",N($X2180),IF(MATCH($T2181,$T$6:$T$10005,0)=ROW()-5,N($X2180)+1,N($X2180)))</f>
        <v>0</v>
      </c>
      <c r="Z2181" t="str">
        <f t="shared" si="339"/>
        <v/>
      </c>
      <c r="AA2181">
        <f>IF($V2181="",N($AA2180),IF(MATCH($V2181,$V$6:$V$10005,0)=ROW()-5,N($AA2180)+1,N($AA2180)))</f>
        <v>0</v>
      </c>
    </row>
    <row r="2182" spans="1:27" ht="21" customHeight="1" x14ac:dyDescent="0.95">
      <c r="A2182" s="56"/>
      <c r="B2182" s="57"/>
      <c r="C2182" s="57"/>
      <c r="D2182" s="57"/>
      <c r="E2182" s="56"/>
      <c r="F2182" s="57"/>
      <c r="G2182" s="57"/>
      <c r="H2182" s="56"/>
      <c r="I2182" s="56"/>
      <c r="J2182" s="58"/>
      <c r="K2182" s="58"/>
      <c r="L2182" s="13" t="str">
        <f t="shared" ref="L2182:L2245" si="340">IF(OR($A2182="",AND($J2182="",$K2182="")),"",ROUND(N($J2182)-N($K2182),2))</f>
        <v/>
      </c>
      <c r="M2182" s="13" t="str">
        <f t="shared" ref="M2182:M2245" si="341">IF(OR($A2182="",AND($J2182="",$K2182="")),"",MIN($J2182,$K2182))</f>
        <v/>
      </c>
      <c r="Q2182" t="str">
        <f t="shared" ref="Q2182:Q2245" si="342">IF($A2182="","",$D2182&amp;"("&amp;SUBSTITUTE($E2182," ","")&amp;")")</f>
        <v/>
      </c>
      <c r="R2182" t="str">
        <f t="shared" ref="R2182:R2245" si="343">IF($A2182="","",$B2182&amp;" - "&amp;$C2182)</f>
        <v/>
      </c>
      <c r="S2182" t="str">
        <f t="shared" ref="S2182:S2245" si="344">IF($A2182="","",$R2182&amp;"|"&amp;$Q2182)</f>
        <v/>
      </c>
      <c r="T2182" t="str">
        <f t="shared" ref="T2182:T2245" si="345">IF($A2182="","",$S2182&amp;"|"&amp;$F2182)</f>
        <v/>
      </c>
      <c r="U2182" t="str">
        <f t="shared" ref="U2182:U2245" si="346">IF($A2182="","",$R2182&amp;"("&amp;$E2182&amp;")")</f>
        <v/>
      </c>
      <c r="V2182" t="str">
        <f t="shared" ref="V2182:V2245" si="347">IF($A2182="","",$F2182&amp;"|"&amp;$U2182&amp;"|"&amp;$D2182)</f>
        <v/>
      </c>
      <c r="W2182" t="str">
        <f t="shared" ref="W2182:W2245" si="348">IF($T2182="","",IF($X2182&gt;N($X2181),$X2182,""))</f>
        <v/>
      </c>
      <c r="X2182">
        <f>IF($T2182="",N($X2181),IF(MATCH($T2182,$T$6:$T$10005,0)=ROW()-5,N($X2181)+1,N($X2181)))</f>
        <v>0</v>
      </c>
      <c r="Z2182" t="str">
        <f t="shared" ref="Z2182:Z2245" si="349">IF($V2182="","",IF($AA2182&gt;N($AA2181),$AA2182,""))</f>
        <v/>
      </c>
      <c r="AA2182">
        <f>IF($V2182="",N($AA2181),IF(MATCH($V2182,$V$6:$V$10005,0)=ROW()-5,N($AA2181)+1,N($AA2181)))</f>
        <v>0</v>
      </c>
    </row>
    <row r="2183" spans="1:27" ht="21" customHeight="1" x14ac:dyDescent="0.95">
      <c r="A2183" s="56"/>
      <c r="B2183" s="57"/>
      <c r="C2183" s="57"/>
      <c r="D2183" s="57"/>
      <c r="E2183" s="56"/>
      <c r="F2183" s="57"/>
      <c r="G2183" s="57"/>
      <c r="H2183" s="56"/>
      <c r="I2183" s="56"/>
      <c r="J2183" s="58"/>
      <c r="K2183" s="58"/>
      <c r="L2183" s="13" t="str">
        <f t="shared" si="340"/>
        <v/>
      </c>
      <c r="M2183" s="13" t="str">
        <f t="shared" si="341"/>
        <v/>
      </c>
      <c r="Q2183" t="str">
        <f t="shared" si="342"/>
        <v/>
      </c>
      <c r="R2183" t="str">
        <f t="shared" si="343"/>
        <v/>
      </c>
      <c r="S2183" t="str">
        <f t="shared" si="344"/>
        <v/>
      </c>
      <c r="T2183" t="str">
        <f t="shared" si="345"/>
        <v/>
      </c>
      <c r="U2183" t="str">
        <f t="shared" si="346"/>
        <v/>
      </c>
      <c r="V2183" t="str">
        <f t="shared" si="347"/>
        <v/>
      </c>
      <c r="W2183" t="str">
        <f t="shared" si="348"/>
        <v/>
      </c>
      <c r="X2183">
        <f>IF($T2183="",N($X2182),IF(MATCH($T2183,$T$6:$T$10005,0)=ROW()-5,N($X2182)+1,N($X2182)))</f>
        <v>0</v>
      </c>
      <c r="Z2183" t="str">
        <f t="shared" si="349"/>
        <v/>
      </c>
      <c r="AA2183">
        <f>IF($V2183="",N($AA2182),IF(MATCH($V2183,$V$6:$V$10005,0)=ROW()-5,N($AA2182)+1,N($AA2182)))</f>
        <v>0</v>
      </c>
    </row>
    <row r="2184" spans="1:27" ht="21" customHeight="1" x14ac:dyDescent="0.95">
      <c r="A2184" s="56"/>
      <c r="B2184" s="57"/>
      <c r="C2184" s="57"/>
      <c r="D2184" s="57"/>
      <c r="E2184" s="56"/>
      <c r="F2184" s="57"/>
      <c r="G2184" s="57"/>
      <c r="H2184" s="56"/>
      <c r="I2184" s="56"/>
      <c r="J2184" s="58"/>
      <c r="K2184" s="58"/>
      <c r="L2184" s="13" t="str">
        <f t="shared" si="340"/>
        <v/>
      </c>
      <c r="M2184" s="13" t="str">
        <f t="shared" si="341"/>
        <v/>
      </c>
      <c r="Q2184" t="str">
        <f t="shared" si="342"/>
        <v/>
      </c>
      <c r="R2184" t="str">
        <f t="shared" si="343"/>
        <v/>
      </c>
      <c r="S2184" t="str">
        <f t="shared" si="344"/>
        <v/>
      </c>
      <c r="T2184" t="str">
        <f t="shared" si="345"/>
        <v/>
      </c>
      <c r="U2184" t="str">
        <f t="shared" si="346"/>
        <v/>
      </c>
      <c r="V2184" t="str">
        <f t="shared" si="347"/>
        <v/>
      </c>
      <c r="W2184" t="str">
        <f t="shared" si="348"/>
        <v/>
      </c>
      <c r="X2184">
        <f>IF($T2184="",N($X2183),IF(MATCH($T2184,$T$6:$T$10005,0)=ROW()-5,N($X2183)+1,N($X2183)))</f>
        <v>0</v>
      </c>
      <c r="Z2184" t="str">
        <f t="shared" si="349"/>
        <v/>
      </c>
      <c r="AA2184">
        <f>IF($V2184="",N($AA2183),IF(MATCH($V2184,$V$6:$V$10005,0)=ROW()-5,N($AA2183)+1,N($AA2183)))</f>
        <v>0</v>
      </c>
    </row>
    <row r="2185" spans="1:27" ht="21" customHeight="1" x14ac:dyDescent="0.95">
      <c r="A2185" s="56"/>
      <c r="B2185" s="57"/>
      <c r="C2185" s="57"/>
      <c r="D2185" s="57"/>
      <c r="E2185" s="56"/>
      <c r="F2185" s="57"/>
      <c r="G2185" s="57"/>
      <c r="H2185" s="56"/>
      <c r="I2185" s="56"/>
      <c r="J2185" s="58"/>
      <c r="K2185" s="58"/>
      <c r="L2185" s="13" t="str">
        <f t="shared" si="340"/>
        <v/>
      </c>
      <c r="M2185" s="13" t="str">
        <f t="shared" si="341"/>
        <v/>
      </c>
      <c r="Q2185" t="str">
        <f t="shared" si="342"/>
        <v/>
      </c>
      <c r="R2185" t="str">
        <f t="shared" si="343"/>
        <v/>
      </c>
      <c r="S2185" t="str">
        <f t="shared" si="344"/>
        <v/>
      </c>
      <c r="T2185" t="str">
        <f t="shared" si="345"/>
        <v/>
      </c>
      <c r="U2185" t="str">
        <f t="shared" si="346"/>
        <v/>
      </c>
      <c r="V2185" t="str">
        <f t="shared" si="347"/>
        <v/>
      </c>
      <c r="W2185" t="str">
        <f t="shared" si="348"/>
        <v/>
      </c>
      <c r="X2185">
        <f>IF($T2185="",N($X2184),IF(MATCH($T2185,$T$6:$T$10005,0)=ROW()-5,N($X2184)+1,N($X2184)))</f>
        <v>0</v>
      </c>
      <c r="Z2185" t="str">
        <f t="shared" si="349"/>
        <v/>
      </c>
      <c r="AA2185">
        <f>IF($V2185="",N($AA2184),IF(MATCH($V2185,$V$6:$V$10005,0)=ROW()-5,N($AA2184)+1,N($AA2184)))</f>
        <v>0</v>
      </c>
    </row>
    <row r="2186" spans="1:27" ht="21" customHeight="1" x14ac:dyDescent="0.95">
      <c r="A2186" s="56"/>
      <c r="B2186" s="57"/>
      <c r="C2186" s="57"/>
      <c r="D2186" s="57"/>
      <c r="E2186" s="56"/>
      <c r="F2186" s="57"/>
      <c r="G2186" s="57"/>
      <c r="H2186" s="56"/>
      <c r="I2186" s="56"/>
      <c r="J2186" s="58"/>
      <c r="K2186" s="58"/>
      <c r="L2186" s="13" t="str">
        <f t="shared" si="340"/>
        <v/>
      </c>
      <c r="M2186" s="13" t="str">
        <f t="shared" si="341"/>
        <v/>
      </c>
      <c r="Q2186" t="str">
        <f t="shared" si="342"/>
        <v/>
      </c>
      <c r="R2186" t="str">
        <f t="shared" si="343"/>
        <v/>
      </c>
      <c r="S2186" t="str">
        <f t="shared" si="344"/>
        <v/>
      </c>
      <c r="T2186" t="str">
        <f t="shared" si="345"/>
        <v/>
      </c>
      <c r="U2186" t="str">
        <f t="shared" si="346"/>
        <v/>
      </c>
      <c r="V2186" t="str">
        <f t="shared" si="347"/>
        <v/>
      </c>
      <c r="W2186" t="str">
        <f t="shared" si="348"/>
        <v/>
      </c>
      <c r="X2186">
        <f>IF($T2186="",N($X2185),IF(MATCH($T2186,$T$6:$T$10005,0)=ROW()-5,N($X2185)+1,N($X2185)))</f>
        <v>0</v>
      </c>
      <c r="Z2186" t="str">
        <f t="shared" si="349"/>
        <v/>
      </c>
      <c r="AA2186">
        <f>IF($V2186="",N($AA2185),IF(MATCH($V2186,$V$6:$V$10005,0)=ROW()-5,N($AA2185)+1,N($AA2185)))</f>
        <v>0</v>
      </c>
    </row>
    <row r="2187" spans="1:27" ht="21" customHeight="1" x14ac:dyDescent="0.95">
      <c r="A2187" s="56"/>
      <c r="B2187" s="57"/>
      <c r="C2187" s="57"/>
      <c r="D2187" s="57"/>
      <c r="E2187" s="56"/>
      <c r="F2187" s="57"/>
      <c r="G2187" s="57"/>
      <c r="H2187" s="56"/>
      <c r="I2187" s="56"/>
      <c r="J2187" s="58"/>
      <c r="K2187" s="58"/>
      <c r="L2187" s="13" t="str">
        <f t="shared" si="340"/>
        <v/>
      </c>
      <c r="M2187" s="13" t="str">
        <f t="shared" si="341"/>
        <v/>
      </c>
      <c r="Q2187" t="str">
        <f t="shared" si="342"/>
        <v/>
      </c>
      <c r="R2187" t="str">
        <f t="shared" si="343"/>
        <v/>
      </c>
      <c r="S2187" t="str">
        <f t="shared" si="344"/>
        <v/>
      </c>
      <c r="T2187" t="str">
        <f t="shared" si="345"/>
        <v/>
      </c>
      <c r="U2187" t="str">
        <f t="shared" si="346"/>
        <v/>
      </c>
      <c r="V2187" t="str">
        <f t="shared" si="347"/>
        <v/>
      </c>
      <c r="W2187" t="str">
        <f t="shared" si="348"/>
        <v/>
      </c>
      <c r="X2187">
        <f>IF($T2187="",N($X2186),IF(MATCH($T2187,$T$6:$T$10005,0)=ROW()-5,N($X2186)+1,N($X2186)))</f>
        <v>0</v>
      </c>
      <c r="Z2187" t="str">
        <f t="shared" si="349"/>
        <v/>
      </c>
      <c r="AA2187">
        <f>IF($V2187="",N($AA2186),IF(MATCH($V2187,$V$6:$V$10005,0)=ROW()-5,N($AA2186)+1,N($AA2186)))</f>
        <v>0</v>
      </c>
    </row>
    <row r="2188" spans="1:27" ht="21" customHeight="1" x14ac:dyDescent="0.95">
      <c r="A2188" s="56"/>
      <c r="B2188" s="57"/>
      <c r="C2188" s="57"/>
      <c r="D2188" s="57"/>
      <c r="E2188" s="56"/>
      <c r="F2188" s="57"/>
      <c r="G2188" s="57"/>
      <c r="H2188" s="56"/>
      <c r="I2188" s="56"/>
      <c r="J2188" s="58"/>
      <c r="K2188" s="58"/>
      <c r="L2188" s="13" t="str">
        <f t="shared" si="340"/>
        <v/>
      </c>
      <c r="M2188" s="13" t="str">
        <f t="shared" si="341"/>
        <v/>
      </c>
      <c r="Q2188" t="str">
        <f t="shared" si="342"/>
        <v/>
      </c>
      <c r="R2188" t="str">
        <f t="shared" si="343"/>
        <v/>
      </c>
      <c r="S2188" t="str">
        <f t="shared" si="344"/>
        <v/>
      </c>
      <c r="T2188" t="str">
        <f t="shared" si="345"/>
        <v/>
      </c>
      <c r="U2188" t="str">
        <f t="shared" si="346"/>
        <v/>
      </c>
      <c r="V2188" t="str">
        <f t="shared" si="347"/>
        <v/>
      </c>
      <c r="W2188" t="str">
        <f t="shared" si="348"/>
        <v/>
      </c>
      <c r="X2188">
        <f>IF($T2188="",N($X2187),IF(MATCH($T2188,$T$6:$T$10005,0)=ROW()-5,N($X2187)+1,N($X2187)))</f>
        <v>0</v>
      </c>
      <c r="Z2188" t="str">
        <f t="shared" si="349"/>
        <v/>
      </c>
      <c r="AA2188">
        <f>IF($V2188="",N($AA2187),IF(MATCH($V2188,$V$6:$V$10005,0)=ROW()-5,N($AA2187)+1,N($AA2187)))</f>
        <v>0</v>
      </c>
    </row>
    <row r="2189" spans="1:27" ht="21" customHeight="1" x14ac:dyDescent="0.95">
      <c r="A2189" s="56"/>
      <c r="B2189" s="57"/>
      <c r="C2189" s="57"/>
      <c r="D2189" s="57"/>
      <c r="E2189" s="56"/>
      <c r="F2189" s="57"/>
      <c r="G2189" s="57"/>
      <c r="H2189" s="56"/>
      <c r="I2189" s="56"/>
      <c r="J2189" s="58"/>
      <c r="K2189" s="58"/>
      <c r="L2189" s="13" t="str">
        <f t="shared" si="340"/>
        <v/>
      </c>
      <c r="M2189" s="13" t="str">
        <f t="shared" si="341"/>
        <v/>
      </c>
      <c r="Q2189" t="str">
        <f t="shared" si="342"/>
        <v/>
      </c>
      <c r="R2189" t="str">
        <f t="shared" si="343"/>
        <v/>
      </c>
      <c r="S2189" t="str">
        <f t="shared" si="344"/>
        <v/>
      </c>
      <c r="T2189" t="str">
        <f t="shared" si="345"/>
        <v/>
      </c>
      <c r="U2189" t="str">
        <f t="shared" si="346"/>
        <v/>
      </c>
      <c r="V2189" t="str">
        <f t="shared" si="347"/>
        <v/>
      </c>
      <c r="W2189" t="str">
        <f t="shared" si="348"/>
        <v/>
      </c>
      <c r="X2189">
        <f>IF($T2189="",N($X2188),IF(MATCH($T2189,$T$6:$T$10005,0)=ROW()-5,N($X2188)+1,N($X2188)))</f>
        <v>0</v>
      </c>
      <c r="Z2189" t="str">
        <f t="shared" si="349"/>
        <v/>
      </c>
      <c r="AA2189">
        <f>IF($V2189="",N($AA2188),IF(MATCH($V2189,$V$6:$V$10005,0)=ROW()-5,N($AA2188)+1,N($AA2188)))</f>
        <v>0</v>
      </c>
    </row>
    <row r="2190" spans="1:27" ht="21" customHeight="1" x14ac:dyDescent="0.95">
      <c r="A2190" s="56"/>
      <c r="B2190" s="57"/>
      <c r="C2190" s="57"/>
      <c r="D2190" s="57"/>
      <c r="E2190" s="56"/>
      <c r="F2190" s="57"/>
      <c r="G2190" s="57"/>
      <c r="H2190" s="56"/>
      <c r="I2190" s="56"/>
      <c r="J2190" s="58"/>
      <c r="K2190" s="58"/>
      <c r="L2190" s="13" t="str">
        <f t="shared" si="340"/>
        <v/>
      </c>
      <c r="M2190" s="13" t="str">
        <f t="shared" si="341"/>
        <v/>
      </c>
      <c r="Q2190" t="str">
        <f t="shared" si="342"/>
        <v/>
      </c>
      <c r="R2190" t="str">
        <f t="shared" si="343"/>
        <v/>
      </c>
      <c r="S2190" t="str">
        <f t="shared" si="344"/>
        <v/>
      </c>
      <c r="T2190" t="str">
        <f t="shared" si="345"/>
        <v/>
      </c>
      <c r="U2190" t="str">
        <f t="shared" si="346"/>
        <v/>
      </c>
      <c r="V2190" t="str">
        <f t="shared" si="347"/>
        <v/>
      </c>
      <c r="W2190" t="str">
        <f t="shared" si="348"/>
        <v/>
      </c>
      <c r="X2190">
        <f>IF($T2190="",N($X2189),IF(MATCH($T2190,$T$6:$T$10005,0)=ROW()-5,N($X2189)+1,N($X2189)))</f>
        <v>0</v>
      </c>
      <c r="Z2190" t="str">
        <f t="shared" si="349"/>
        <v/>
      </c>
      <c r="AA2190">
        <f>IF($V2190="",N($AA2189),IF(MATCH($V2190,$V$6:$V$10005,0)=ROW()-5,N($AA2189)+1,N($AA2189)))</f>
        <v>0</v>
      </c>
    </row>
    <row r="2191" spans="1:27" ht="21" customHeight="1" x14ac:dyDescent="0.95">
      <c r="A2191" s="56"/>
      <c r="B2191" s="57"/>
      <c r="C2191" s="57"/>
      <c r="D2191" s="57"/>
      <c r="E2191" s="56"/>
      <c r="F2191" s="57"/>
      <c r="G2191" s="57"/>
      <c r="H2191" s="56"/>
      <c r="I2191" s="56"/>
      <c r="J2191" s="58"/>
      <c r="K2191" s="58"/>
      <c r="L2191" s="13" t="str">
        <f t="shared" si="340"/>
        <v/>
      </c>
      <c r="M2191" s="13" t="str">
        <f t="shared" si="341"/>
        <v/>
      </c>
      <c r="Q2191" t="str">
        <f t="shared" si="342"/>
        <v/>
      </c>
      <c r="R2191" t="str">
        <f t="shared" si="343"/>
        <v/>
      </c>
      <c r="S2191" t="str">
        <f t="shared" si="344"/>
        <v/>
      </c>
      <c r="T2191" t="str">
        <f t="shared" si="345"/>
        <v/>
      </c>
      <c r="U2191" t="str">
        <f t="shared" si="346"/>
        <v/>
      </c>
      <c r="V2191" t="str">
        <f t="shared" si="347"/>
        <v/>
      </c>
      <c r="W2191" t="str">
        <f t="shared" si="348"/>
        <v/>
      </c>
      <c r="X2191">
        <f>IF($T2191="",N($X2190),IF(MATCH($T2191,$T$6:$T$10005,0)=ROW()-5,N($X2190)+1,N($X2190)))</f>
        <v>0</v>
      </c>
      <c r="Z2191" t="str">
        <f t="shared" si="349"/>
        <v/>
      </c>
      <c r="AA2191">
        <f>IF($V2191="",N($AA2190),IF(MATCH($V2191,$V$6:$V$10005,0)=ROW()-5,N($AA2190)+1,N($AA2190)))</f>
        <v>0</v>
      </c>
    </row>
    <row r="2192" spans="1:27" ht="21" customHeight="1" x14ac:dyDescent="0.95">
      <c r="A2192" s="56"/>
      <c r="B2192" s="57"/>
      <c r="C2192" s="57"/>
      <c r="D2192" s="57"/>
      <c r="E2192" s="56"/>
      <c r="F2192" s="57"/>
      <c r="G2192" s="57"/>
      <c r="H2192" s="56"/>
      <c r="I2192" s="56"/>
      <c r="J2192" s="58"/>
      <c r="K2192" s="58"/>
      <c r="L2192" s="13" t="str">
        <f t="shared" si="340"/>
        <v/>
      </c>
      <c r="M2192" s="13" t="str">
        <f t="shared" si="341"/>
        <v/>
      </c>
      <c r="Q2192" t="str">
        <f t="shared" si="342"/>
        <v/>
      </c>
      <c r="R2192" t="str">
        <f t="shared" si="343"/>
        <v/>
      </c>
      <c r="S2192" t="str">
        <f t="shared" si="344"/>
        <v/>
      </c>
      <c r="T2192" t="str">
        <f t="shared" si="345"/>
        <v/>
      </c>
      <c r="U2192" t="str">
        <f t="shared" si="346"/>
        <v/>
      </c>
      <c r="V2192" t="str">
        <f t="shared" si="347"/>
        <v/>
      </c>
      <c r="W2192" t="str">
        <f t="shared" si="348"/>
        <v/>
      </c>
      <c r="X2192">
        <f>IF($T2192="",N($X2191),IF(MATCH($T2192,$T$6:$T$10005,0)=ROW()-5,N($X2191)+1,N($X2191)))</f>
        <v>0</v>
      </c>
      <c r="Z2192" t="str">
        <f t="shared" si="349"/>
        <v/>
      </c>
      <c r="AA2192">
        <f>IF($V2192="",N($AA2191),IF(MATCH($V2192,$V$6:$V$10005,0)=ROW()-5,N($AA2191)+1,N($AA2191)))</f>
        <v>0</v>
      </c>
    </row>
    <row r="2193" spans="1:27" ht="21" customHeight="1" x14ac:dyDescent="0.95">
      <c r="A2193" s="56"/>
      <c r="B2193" s="57"/>
      <c r="C2193" s="57"/>
      <c r="D2193" s="57"/>
      <c r="E2193" s="56"/>
      <c r="F2193" s="57"/>
      <c r="G2193" s="57"/>
      <c r="H2193" s="56"/>
      <c r="I2193" s="56"/>
      <c r="J2193" s="58"/>
      <c r="K2193" s="58"/>
      <c r="L2193" s="13" t="str">
        <f t="shared" si="340"/>
        <v/>
      </c>
      <c r="M2193" s="13" t="str">
        <f t="shared" si="341"/>
        <v/>
      </c>
      <c r="Q2193" t="str">
        <f t="shared" si="342"/>
        <v/>
      </c>
      <c r="R2193" t="str">
        <f t="shared" si="343"/>
        <v/>
      </c>
      <c r="S2193" t="str">
        <f t="shared" si="344"/>
        <v/>
      </c>
      <c r="T2193" t="str">
        <f t="shared" si="345"/>
        <v/>
      </c>
      <c r="U2193" t="str">
        <f t="shared" si="346"/>
        <v/>
      </c>
      <c r="V2193" t="str">
        <f t="shared" si="347"/>
        <v/>
      </c>
      <c r="W2193" t="str">
        <f t="shared" si="348"/>
        <v/>
      </c>
      <c r="X2193">
        <f>IF($T2193="",N($X2192),IF(MATCH($T2193,$T$6:$T$10005,0)=ROW()-5,N($X2192)+1,N($X2192)))</f>
        <v>0</v>
      </c>
      <c r="Z2193" t="str">
        <f t="shared" si="349"/>
        <v/>
      </c>
      <c r="AA2193">
        <f>IF($V2193="",N($AA2192),IF(MATCH($V2193,$V$6:$V$10005,0)=ROW()-5,N($AA2192)+1,N($AA2192)))</f>
        <v>0</v>
      </c>
    </row>
    <row r="2194" spans="1:27" ht="21" customHeight="1" x14ac:dyDescent="0.95">
      <c r="A2194" s="56"/>
      <c r="B2194" s="57"/>
      <c r="C2194" s="57"/>
      <c r="D2194" s="57"/>
      <c r="E2194" s="56"/>
      <c r="F2194" s="57"/>
      <c r="G2194" s="57"/>
      <c r="H2194" s="56"/>
      <c r="I2194" s="56"/>
      <c r="J2194" s="58"/>
      <c r="K2194" s="58"/>
      <c r="L2194" s="13" t="str">
        <f t="shared" si="340"/>
        <v/>
      </c>
      <c r="M2194" s="13" t="str">
        <f t="shared" si="341"/>
        <v/>
      </c>
      <c r="Q2194" t="str">
        <f t="shared" si="342"/>
        <v/>
      </c>
      <c r="R2194" t="str">
        <f t="shared" si="343"/>
        <v/>
      </c>
      <c r="S2194" t="str">
        <f t="shared" si="344"/>
        <v/>
      </c>
      <c r="T2194" t="str">
        <f t="shared" si="345"/>
        <v/>
      </c>
      <c r="U2194" t="str">
        <f t="shared" si="346"/>
        <v/>
      </c>
      <c r="V2194" t="str">
        <f t="shared" si="347"/>
        <v/>
      </c>
      <c r="W2194" t="str">
        <f t="shared" si="348"/>
        <v/>
      </c>
      <c r="X2194">
        <f>IF($T2194="",N($X2193),IF(MATCH($T2194,$T$6:$T$10005,0)=ROW()-5,N($X2193)+1,N($X2193)))</f>
        <v>0</v>
      </c>
      <c r="Z2194" t="str">
        <f t="shared" si="349"/>
        <v/>
      </c>
      <c r="AA2194">
        <f>IF($V2194="",N($AA2193),IF(MATCH($V2194,$V$6:$V$10005,0)=ROW()-5,N($AA2193)+1,N($AA2193)))</f>
        <v>0</v>
      </c>
    </row>
    <row r="2195" spans="1:27" ht="21" customHeight="1" x14ac:dyDescent="0.95">
      <c r="A2195" s="56"/>
      <c r="B2195" s="57"/>
      <c r="C2195" s="57"/>
      <c r="D2195" s="57"/>
      <c r="E2195" s="56"/>
      <c r="F2195" s="57"/>
      <c r="G2195" s="57"/>
      <c r="H2195" s="56"/>
      <c r="I2195" s="56"/>
      <c r="J2195" s="58"/>
      <c r="K2195" s="58"/>
      <c r="L2195" s="13" t="str">
        <f t="shared" si="340"/>
        <v/>
      </c>
      <c r="M2195" s="13" t="str">
        <f t="shared" si="341"/>
        <v/>
      </c>
      <c r="Q2195" t="str">
        <f t="shared" si="342"/>
        <v/>
      </c>
      <c r="R2195" t="str">
        <f t="shared" si="343"/>
        <v/>
      </c>
      <c r="S2195" t="str">
        <f t="shared" si="344"/>
        <v/>
      </c>
      <c r="T2195" t="str">
        <f t="shared" si="345"/>
        <v/>
      </c>
      <c r="U2195" t="str">
        <f t="shared" si="346"/>
        <v/>
      </c>
      <c r="V2195" t="str">
        <f t="shared" si="347"/>
        <v/>
      </c>
      <c r="W2195" t="str">
        <f t="shared" si="348"/>
        <v/>
      </c>
      <c r="X2195">
        <f>IF($T2195="",N($X2194),IF(MATCH($T2195,$T$6:$T$10005,0)=ROW()-5,N($X2194)+1,N($X2194)))</f>
        <v>0</v>
      </c>
      <c r="Z2195" t="str">
        <f t="shared" si="349"/>
        <v/>
      </c>
      <c r="AA2195">
        <f>IF($V2195="",N($AA2194),IF(MATCH($V2195,$V$6:$V$10005,0)=ROW()-5,N($AA2194)+1,N($AA2194)))</f>
        <v>0</v>
      </c>
    </row>
    <row r="2196" spans="1:27" ht="21" customHeight="1" x14ac:dyDescent="0.95">
      <c r="A2196" s="56"/>
      <c r="B2196" s="57"/>
      <c r="C2196" s="57"/>
      <c r="D2196" s="57"/>
      <c r="E2196" s="56"/>
      <c r="F2196" s="57"/>
      <c r="G2196" s="57"/>
      <c r="H2196" s="56"/>
      <c r="I2196" s="56"/>
      <c r="J2196" s="58"/>
      <c r="K2196" s="58"/>
      <c r="L2196" s="13" t="str">
        <f t="shared" si="340"/>
        <v/>
      </c>
      <c r="M2196" s="13" t="str">
        <f t="shared" si="341"/>
        <v/>
      </c>
      <c r="Q2196" t="str">
        <f t="shared" si="342"/>
        <v/>
      </c>
      <c r="R2196" t="str">
        <f t="shared" si="343"/>
        <v/>
      </c>
      <c r="S2196" t="str">
        <f t="shared" si="344"/>
        <v/>
      </c>
      <c r="T2196" t="str">
        <f t="shared" si="345"/>
        <v/>
      </c>
      <c r="U2196" t="str">
        <f t="shared" si="346"/>
        <v/>
      </c>
      <c r="V2196" t="str">
        <f t="shared" si="347"/>
        <v/>
      </c>
      <c r="W2196" t="str">
        <f t="shared" si="348"/>
        <v/>
      </c>
      <c r="X2196">
        <f>IF($T2196="",N($X2195),IF(MATCH($T2196,$T$6:$T$10005,0)=ROW()-5,N($X2195)+1,N($X2195)))</f>
        <v>0</v>
      </c>
      <c r="Z2196" t="str">
        <f t="shared" si="349"/>
        <v/>
      </c>
      <c r="AA2196">
        <f>IF($V2196="",N($AA2195),IF(MATCH($V2196,$V$6:$V$10005,0)=ROW()-5,N($AA2195)+1,N($AA2195)))</f>
        <v>0</v>
      </c>
    </row>
    <row r="2197" spans="1:27" ht="21" customHeight="1" x14ac:dyDescent="0.95">
      <c r="A2197" s="56"/>
      <c r="B2197" s="57"/>
      <c r="C2197" s="57"/>
      <c r="D2197" s="57"/>
      <c r="E2197" s="56"/>
      <c r="F2197" s="57"/>
      <c r="G2197" s="57"/>
      <c r="H2197" s="56"/>
      <c r="I2197" s="56"/>
      <c r="J2197" s="58"/>
      <c r="K2197" s="58"/>
      <c r="L2197" s="13" t="str">
        <f t="shared" si="340"/>
        <v/>
      </c>
      <c r="M2197" s="13" t="str">
        <f t="shared" si="341"/>
        <v/>
      </c>
      <c r="Q2197" t="str">
        <f t="shared" si="342"/>
        <v/>
      </c>
      <c r="R2197" t="str">
        <f t="shared" si="343"/>
        <v/>
      </c>
      <c r="S2197" t="str">
        <f t="shared" si="344"/>
        <v/>
      </c>
      <c r="T2197" t="str">
        <f t="shared" si="345"/>
        <v/>
      </c>
      <c r="U2197" t="str">
        <f t="shared" si="346"/>
        <v/>
      </c>
      <c r="V2197" t="str">
        <f t="shared" si="347"/>
        <v/>
      </c>
      <c r="W2197" t="str">
        <f t="shared" si="348"/>
        <v/>
      </c>
      <c r="X2197">
        <f>IF($T2197="",N($X2196),IF(MATCH($T2197,$T$6:$T$10005,0)=ROW()-5,N($X2196)+1,N($X2196)))</f>
        <v>0</v>
      </c>
      <c r="Z2197" t="str">
        <f t="shared" si="349"/>
        <v/>
      </c>
      <c r="AA2197">
        <f>IF($V2197="",N($AA2196),IF(MATCH($V2197,$V$6:$V$10005,0)=ROW()-5,N($AA2196)+1,N($AA2196)))</f>
        <v>0</v>
      </c>
    </row>
    <row r="2198" spans="1:27" ht="21" customHeight="1" x14ac:dyDescent="0.95">
      <c r="A2198" s="56"/>
      <c r="B2198" s="57"/>
      <c r="C2198" s="57"/>
      <c r="D2198" s="57"/>
      <c r="E2198" s="56"/>
      <c r="F2198" s="57"/>
      <c r="G2198" s="57"/>
      <c r="H2198" s="56"/>
      <c r="I2198" s="56"/>
      <c r="J2198" s="58"/>
      <c r="K2198" s="58"/>
      <c r="L2198" s="13" t="str">
        <f t="shared" si="340"/>
        <v/>
      </c>
      <c r="M2198" s="13" t="str">
        <f t="shared" si="341"/>
        <v/>
      </c>
      <c r="Q2198" t="str">
        <f t="shared" si="342"/>
        <v/>
      </c>
      <c r="R2198" t="str">
        <f t="shared" si="343"/>
        <v/>
      </c>
      <c r="S2198" t="str">
        <f t="shared" si="344"/>
        <v/>
      </c>
      <c r="T2198" t="str">
        <f t="shared" si="345"/>
        <v/>
      </c>
      <c r="U2198" t="str">
        <f t="shared" si="346"/>
        <v/>
      </c>
      <c r="V2198" t="str">
        <f t="shared" si="347"/>
        <v/>
      </c>
      <c r="W2198" t="str">
        <f t="shared" si="348"/>
        <v/>
      </c>
      <c r="X2198">
        <f>IF($T2198="",N($X2197),IF(MATCH($T2198,$T$6:$T$10005,0)=ROW()-5,N($X2197)+1,N($X2197)))</f>
        <v>0</v>
      </c>
      <c r="Z2198" t="str">
        <f t="shared" si="349"/>
        <v/>
      </c>
      <c r="AA2198">
        <f>IF($V2198="",N($AA2197),IF(MATCH($V2198,$V$6:$V$10005,0)=ROW()-5,N($AA2197)+1,N($AA2197)))</f>
        <v>0</v>
      </c>
    </row>
    <row r="2199" spans="1:27" ht="21" customHeight="1" x14ac:dyDescent="0.95">
      <c r="A2199" s="56"/>
      <c r="B2199" s="57"/>
      <c r="C2199" s="57"/>
      <c r="D2199" s="57"/>
      <c r="E2199" s="56"/>
      <c r="F2199" s="57"/>
      <c r="G2199" s="57"/>
      <c r="H2199" s="56"/>
      <c r="I2199" s="56"/>
      <c r="J2199" s="58"/>
      <c r="K2199" s="58"/>
      <c r="L2199" s="13" t="str">
        <f t="shared" si="340"/>
        <v/>
      </c>
      <c r="M2199" s="13" t="str">
        <f t="shared" si="341"/>
        <v/>
      </c>
      <c r="Q2199" t="str">
        <f t="shared" si="342"/>
        <v/>
      </c>
      <c r="R2199" t="str">
        <f t="shared" si="343"/>
        <v/>
      </c>
      <c r="S2199" t="str">
        <f t="shared" si="344"/>
        <v/>
      </c>
      <c r="T2199" t="str">
        <f t="shared" si="345"/>
        <v/>
      </c>
      <c r="U2199" t="str">
        <f t="shared" si="346"/>
        <v/>
      </c>
      <c r="V2199" t="str">
        <f t="shared" si="347"/>
        <v/>
      </c>
      <c r="W2199" t="str">
        <f t="shared" si="348"/>
        <v/>
      </c>
      <c r="X2199">
        <f>IF($T2199="",N($X2198),IF(MATCH($T2199,$T$6:$T$10005,0)=ROW()-5,N($X2198)+1,N($X2198)))</f>
        <v>0</v>
      </c>
      <c r="Z2199" t="str">
        <f t="shared" si="349"/>
        <v/>
      </c>
      <c r="AA2199">
        <f>IF($V2199="",N($AA2198),IF(MATCH($V2199,$V$6:$V$10005,0)=ROW()-5,N($AA2198)+1,N($AA2198)))</f>
        <v>0</v>
      </c>
    </row>
    <row r="2200" spans="1:27" ht="21" customHeight="1" x14ac:dyDescent="0.95">
      <c r="A2200" s="56"/>
      <c r="B2200" s="57"/>
      <c r="C2200" s="57"/>
      <c r="D2200" s="57"/>
      <c r="E2200" s="56"/>
      <c r="F2200" s="57"/>
      <c r="G2200" s="57"/>
      <c r="H2200" s="56"/>
      <c r="I2200" s="56"/>
      <c r="J2200" s="58"/>
      <c r="K2200" s="58"/>
      <c r="L2200" s="13" t="str">
        <f t="shared" si="340"/>
        <v/>
      </c>
      <c r="M2200" s="13" t="str">
        <f t="shared" si="341"/>
        <v/>
      </c>
      <c r="Q2200" t="str">
        <f t="shared" si="342"/>
        <v/>
      </c>
      <c r="R2200" t="str">
        <f t="shared" si="343"/>
        <v/>
      </c>
      <c r="S2200" t="str">
        <f t="shared" si="344"/>
        <v/>
      </c>
      <c r="T2200" t="str">
        <f t="shared" si="345"/>
        <v/>
      </c>
      <c r="U2200" t="str">
        <f t="shared" si="346"/>
        <v/>
      </c>
      <c r="V2200" t="str">
        <f t="shared" si="347"/>
        <v/>
      </c>
      <c r="W2200" t="str">
        <f t="shared" si="348"/>
        <v/>
      </c>
      <c r="X2200">
        <f>IF($T2200="",N($X2199),IF(MATCH($T2200,$T$6:$T$10005,0)=ROW()-5,N($X2199)+1,N($X2199)))</f>
        <v>0</v>
      </c>
      <c r="Z2200" t="str">
        <f t="shared" si="349"/>
        <v/>
      </c>
      <c r="AA2200">
        <f>IF($V2200="",N($AA2199),IF(MATCH($V2200,$V$6:$V$10005,0)=ROW()-5,N($AA2199)+1,N($AA2199)))</f>
        <v>0</v>
      </c>
    </row>
    <row r="2201" spans="1:27" ht="21" customHeight="1" x14ac:dyDescent="0.95">
      <c r="A2201" s="56"/>
      <c r="B2201" s="57"/>
      <c r="C2201" s="57"/>
      <c r="D2201" s="57"/>
      <c r="E2201" s="56"/>
      <c r="F2201" s="57"/>
      <c r="G2201" s="57"/>
      <c r="H2201" s="56"/>
      <c r="I2201" s="56"/>
      <c r="J2201" s="58"/>
      <c r="K2201" s="58"/>
      <c r="L2201" s="13" t="str">
        <f t="shared" si="340"/>
        <v/>
      </c>
      <c r="M2201" s="13" t="str">
        <f t="shared" si="341"/>
        <v/>
      </c>
      <c r="Q2201" t="str">
        <f t="shared" si="342"/>
        <v/>
      </c>
      <c r="R2201" t="str">
        <f t="shared" si="343"/>
        <v/>
      </c>
      <c r="S2201" t="str">
        <f t="shared" si="344"/>
        <v/>
      </c>
      <c r="T2201" t="str">
        <f t="shared" si="345"/>
        <v/>
      </c>
      <c r="U2201" t="str">
        <f t="shared" si="346"/>
        <v/>
      </c>
      <c r="V2201" t="str">
        <f t="shared" si="347"/>
        <v/>
      </c>
      <c r="W2201" t="str">
        <f t="shared" si="348"/>
        <v/>
      </c>
      <c r="X2201">
        <f>IF($T2201="",N($X2200),IF(MATCH($T2201,$T$6:$T$10005,0)=ROW()-5,N($X2200)+1,N($X2200)))</f>
        <v>0</v>
      </c>
      <c r="Z2201" t="str">
        <f t="shared" si="349"/>
        <v/>
      </c>
      <c r="AA2201">
        <f>IF($V2201="",N($AA2200),IF(MATCH($V2201,$V$6:$V$10005,0)=ROW()-5,N($AA2200)+1,N($AA2200)))</f>
        <v>0</v>
      </c>
    </row>
    <row r="2202" spans="1:27" ht="21" customHeight="1" x14ac:dyDescent="0.95">
      <c r="A2202" s="56"/>
      <c r="B2202" s="57"/>
      <c r="C2202" s="57"/>
      <c r="D2202" s="57"/>
      <c r="E2202" s="56"/>
      <c r="F2202" s="57"/>
      <c r="G2202" s="57"/>
      <c r="H2202" s="56"/>
      <c r="I2202" s="56"/>
      <c r="J2202" s="58"/>
      <c r="K2202" s="58"/>
      <c r="L2202" s="13" t="str">
        <f t="shared" si="340"/>
        <v/>
      </c>
      <c r="M2202" s="13" t="str">
        <f t="shared" si="341"/>
        <v/>
      </c>
      <c r="Q2202" t="str">
        <f t="shared" si="342"/>
        <v/>
      </c>
      <c r="R2202" t="str">
        <f t="shared" si="343"/>
        <v/>
      </c>
      <c r="S2202" t="str">
        <f t="shared" si="344"/>
        <v/>
      </c>
      <c r="T2202" t="str">
        <f t="shared" si="345"/>
        <v/>
      </c>
      <c r="U2202" t="str">
        <f t="shared" si="346"/>
        <v/>
      </c>
      <c r="V2202" t="str">
        <f t="shared" si="347"/>
        <v/>
      </c>
      <c r="W2202" t="str">
        <f t="shared" si="348"/>
        <v/>
      </c>
      <c r="X2202">
        <f>IF($T2202="",N($X2201),IF(MATCH($T2202,$T$6:$T$10005,0)=ROW()-5,N($X2201)+1,N($X2201)))</f>
        <v>0</v>
      </c>
      <c r="Z2202" t="str">
        <f t="shared" si="349"/>
        <v/>
      </c>
      <c r="AA2202">
        <f>IF($V2202="",N($AA2201),IF(MATCH($V2202,$V$6:$V$10005,0)=ROW()-5,N($AA2201)+1,N($AA2201)))</f>
        <v>0</v>
      </c>
    </row>
    <row r="2203" spans="1:27" ht="21" customHeight="1" x14ac:dyDescent="0.95">
      <c r="A2203" s="56"/>
      <c r="B2203" s="57"/>
      <c r="C2203" s="57"/>
      <c r="D2203" s="57"/>
      <c r="E2203" s="56"/>
      <c r="F2203" s="57"/>
      <c r="G2203" s="57"/>
      <c r="H2203" s="56"/>
      <c r="I2203" s="56"/>
      <c r="J2203" s="58"/>
      <c r="K2203" s="58"/>
      <c r="L2203" s="13" t="str">
        <f t="shared" si="340"/>
        <v/>
      </c>
      <c r="M2203" s="13" t="str">
        <f t="shared" si="341"/>
        <v/>
      </c>
      <c r="Q2203" t="str">
        <f t="shared" si="342"/>
        <v/>
      </c>
      <c r="R2203" t="str">
        <f t="shared" si="343"/>
        <v/>
      </c>
      <c r="S2203" t="str">
        <f t="shared" si="344"/>
        <v/>
      </c>
      <c r="T2203" t="str">
        <f t="shared" si="345"/>
        <v/>
      </c>
      <c r="U2203" t="str">
        <f t="shared" si="346"/>
        <v/>
      </c>
      <c r="V2203" t="str">
        <f t="shared" si="347"/>
        <v/>
      </c>
      <c r="W2203" t="str">
        <f t="shared" si="348"/>
        <v/>
      </c>
      <c r="X2203">
        <f>IF($T2203="",N($X2202),IF(MATCH($T2203,$T$6:$T$10005,0)=ROW()-5,N($X2202)+1,N($X2202)))</f>
        <v>0</v>
      </c>
      <c r="Z2203" t="str">
        <f t="shared" si="349"/>
        <v/>
      </c>
      <c r="AA2203">
        <f>IF($V2203="",N($AA2202),IF(MATCH($V2203,$V$6:$V$10005,0)=ROW()-5,N($AA2202)+1,N($AA2202)))</f>
        <v>0</v>
      </c>
    </row>
    <row r="2204" spans="1:27" ht="21" customHeight="1" x14ac:dyDescent="0.95">
      <c r="A2204" s="56"/>
      <c r="B2204" s="57"/>
      <c r="C2204" s="57"/>
      <c r="D2204" s="57"/>
      <c r="E2204" s="56"/>
      <c r="F2204" s="57"/>
      <c r="G2204" s="57"/>
      <c r="H2204" s="56"/>
      <c r="I2204" s="56"/>
      <c r="J2204" s="58"/>
      <c r="K2204" s="58"/>
      <c r="L2204" s="13" t="str">
        <f t="shared" si="340"/>
        <v/>
      </c>
      <c r="M2204" s="13" t="str">
        <f t="shared" si="341"/>
        <v/>
      </c>
      <c r="Q2204" t="str">
        <f t="shared" si="342"/>
        <v/>
      </c>
      <c r="R2204" t="str">
        <f t="shared" si="343"/>
        <v/>
      </c>
      <c r="S2204" t="str">
        <f t="shared" si="344"/>
        <v/>
      </c>
      <c r="T2204" t="str">
        <f t="shared" si="345"/>
        <v/>
      </c>
      <c r="U2204" t="str">
        <f t="shared" si="346"/>
        <v/>
      </c>
      <c r="V2204" t="str">
        <f t="shared" si="347"/>
        <v/>
      </c>
      <c r="W2204" t="str">
        <f t="shared" si="348"/>
        <v/>
      </c>
      <c r="X2204">
        <f>IF($T2204="",N($X2203),IF(MATCH($T2204,$T$6:$T$10005,0)=ROW()-5,N($X2203)+1,N($X2203)))</f>
        <v>0</v>
      </c>
      <c r="Z2204" t="str">
        <f t="shared" si="349"/>
        <v/>
      </c>
      <c r="AA2204">
        <f>IF($V2204="",N($AA2203),IF(MATCH($V2204,$V$6:$V$10005,0)=ROW()-5,N($AA2203)+1,N($AA2203)))</f>
        <v>0</v>
      </c>
    </row>
    <row r="2205" spans="1:27" ht="21" customHeight="1" x14ac:dyDescent="0.95">
      <c r="A2205" s="56"/>
      <c r="B2205" s="57"/>
      <c r="C2205" s="57"/>
      <c r="D2205" s="57"/>
      <c r="E2205" s="56"/>
      <c r="F2205" s="57"/>
      <c r="G2205" s="57"/>
      <c r="H2205" s="56"/>
      <c r="I2205" s="56"/>
      <c r="J2205" s="58"/>
      <c r="K2205" s="58"/>
      <c r="L2205" s="13" t="str">
        <f t="shared" si="340"/>
        <v/>
      </c>
      <c r="M2205" s="13" t="str">
        <f t="shared" si="341"/>
        <v/>
      </c>
      <c r="Q2205" t="str">
        <f t="shared" si="342"/>
        <v/>
      </c>
      <c r="R2205" t="str">
        <f t="shared" si="343"/>
        <v/>
      </c>
      <c r="S2205" t="str">
        <f t="shared" si="344"/>
        <v/>
      </c>
      <c r="T2205" t="str">
        <f t="shared" si="345"/>
        <v/>
      </c>
      <c r="U2205" t="str">
        <f t="shared" si="346"/>
        <v/>
      </c>
      <c r="V2205" t="str">
        <f t="shared" si="347"/>
        <v/>
      </c>
      <c r="W2205" t="str">
        <f t="shared" si="348"/>
        <v/>
      </c>
      <c r="X2205">
        <f>IF($T2205="",N($X2204),IF(MATCH($T2205,$T$6:$T$10005,0)=ROW()-5,N($X2204)+1,N($X2204)))</f>
        <v>0</v>
      </c>
      <c r="Z2205" t="str">
        <f t="shared" si="349"/>
        <v/>
      </c>
      <c r="AA2205">
        <f>IF($V2205="",N($AA2204),IF(MATCH($V2205,$V$6:$V$10005,0)=ROW()-5,N($AA2204)+1,N($AA2204)))</f>
        <v>0</v>
      </c>
    </row>
    <row r="2206" spans="1:27" ht="21" customHeight="1" x14ac:dyDescent="0.95">
      <c r="A2206" s="56"/>
      <c r="B2206" s="57"/>
      <c r="C2206" s="57"/>
      <c r="D2206" s="57"/>
      <c r="E2206" s="56"/>
      <c r="F2206" s="57"/>
      <c r="G2206" s="57"/>
      <c r="H2206" s="56"/>
      <c r="I2206" s="56"/>
      <c r="J2206" s="58"/>
      <c r="K2206" s="58"/>
      <c r="L2206" s="13" t="str">
        <f t="shared" si="340"/>
        <v/>
      </c>
      <c r="M2206" s="13" t="str">
        <f t="shared" si="341"/>
        <v/>
      </c>
      <c r="Q2206" t="str">
        <f t="shared" si="342"/>
        <v/>
      </c>
      <c r="R2206" t="str">
        <f t="shared" si="343"/>
        <v/>
      </c>
      <c r="S2206" t="str">
        <f t="shared" si="344"/>
        <v/>
      </c>
      <c r="T2206" t="str">
        <f t="shared" si="345"/>
        <v/>
      </c>
      <c r="U2206" t="str">
        <f t="shared" si="346"/>
        <v/>
      </c>
      <c r="V2206" t="str">
        <f t="shared" si="347"/>
        <v/>
      </c>
      <c r="W2206" t="str">
        <f t="shared" si="348"/>
        <v/>
      </c>
      <c r="X2206">
        <f>IF($T2206="",N($X2205),IF(MATCH($T2206,$T$6:$T$10005,0)=ROW()-5,N($X2205)+1,N($X2205)))</f>
        <v>0</v>
      </c>
      <c r="Z2206" t="str">
        <f t="shared" si="349"/>
        <v/>
      </c>
      <c r="AA2206">
        <f>IF($V2206="",N($AA2205),IF(MATCH($V2206,$V$6:$V$10005,0)=ROW()-5,N($AA2205)+1,N($AA2205)))</f>
        <v>0</v>
      </c>
    </row>
    <row r="2207" spans="1:27" ht="21" customHeight="1" x14ac:dyDescent="0.95">
      <c r="A2207" s="56"/>
      <c r="B2207" s="57"/>
      <c r="C2207" s="57"/>
      <c r="D2207" s="57"/>
      <c r="E2207" s="56"/>
      <c r="F2207" s="57"/>
      <c r="G2207" s="57"/>
      <c r="H2207" s="56"/>
      <c r="I2207" s="56"/>
      <c r="J2207" s="58"/>
      <c r="K2207" s="58"/>
      <c r="L2207" s="13" t="str">
        <f t="shared" si="340"/>
        <v/>
      </c>
      <c r="M2207" s="13" t="str">
        <f t="shared" si="341"/>
        <v/>
      </c>
      <c r="Q2207" t="str">
        <f t="shared" si="342"/>
        <v/>
      </c>
      <c r="R2207" t="str">
        <f t="shared" si="343"/>
        <v/>
      </c>
      <c r="S2207" t="str">
        <f t="shared" si="344"/>
        <v/>
      </c>
      <c r="T2207" t="str">
        <f t="shared" si="345"/>
        <v/>
      </c>
      <c r="U2207" t="str">
        <f t="shared" si="346"/>
        <v/>
      </c>
      <c r="V2207" t="str">
        <f t="shared" si="347"/>
        <v/>
      </c>
      <c r="W2207" t="str">
        <f t="shared" si="348"/>
        <v/>
      </c>
      <c r="X2207">
        <f>IF($T2207="",N($X2206),IF(MATCH($T2207,$T$6:$T$10005,0)=ROW()-5,N($X2206)+1,N($X2206)))</f>
        <v>0</v>
      </c>
      <c r="Z2207" t="str">
        <f t="shared" si="349"/>
        <v/>
      </c>
      <c r="AA2207">
        <f>IF($V2207="",N($AA2206),IF(MATCH($V2207,$V$6:$V$10005,0)=ROW()-5,N($AA2206)+1,N($AA2206)))</f>
        <v>0</v>
      </c>
    </row>
    <row r="2208" spans="1:27" ht="21" customHeight="1" x14ac:dyDescent="0.95">
      <c r="A2208" s="56"/>
      <c r="B2208" s="57"/>
      <c r="C2208" s="57"/>
      <c r="D2208" s="57"/>
      <c r="E2208" s="56"/>
      <c r="F2208" s="57"/>
      <c r="G2208" s="57"/>
      <c r="H2208" s="56"/>
      <c r="I2208" s="56"/>
      <c r="J2208" s="58"/>
      <c r="K2208" s="58"/>
      <c r="L2208" s="13" t="str">
        <f t="shared" si="340"/>
        <v/>
      </c>
      <c r="M2208" s="13" t="str">
        <f t="shared" si="341"/>
        <v/>
      </c>
      <c r="Q2208" t="str">
        <f t="shared" si="342"/>
        <v/>
      </c>
      <c r="R2208" t="str">
        <f t="shared" si="343"/>
        <v/>
      </c>
      <c r="S2208" t="str">
        <f t="shared" si="344"/>
        <v/>
      </c>
      <c r="T2208" t="str">
        <f t="shared" si="345"/>
        <v/>
      </c>
      <c r="U2208" t="str">
        <f t="shared" si="346"/>
        <v/>
      </c>
      <c r="V2208" t="str">
        <f t="shared" si="347"/>
        <v/>
      </c>
      <c r="W2208" t="str">
        <f t="shared" si="348"/>
        <v/>
      </c>
      <c r="X2208">
        <f>IF($T2208="",N($X2207),IF(MATCH($T2208,$T$6:$T$10005,0)=ROW()-5,N($X2207)+1,N($X2207)))</f>
        <v>0</v>
      </c>
      <c r="Z2208" t="str">
        <f t="shared" si="349"/>
        <v/>
      </c>
      <c r="AA2208">
        <f>IF($V2208="",N($AA2207),IF(MATCH($V2208,$V$6:$V$10005,0)=ROW()-5,N($AA2207)+1,N($AA2207)))</f>
        <v>0</v>
      </c>
    </row>
    <row r="2209" spans="1:27" ht="21" customHeight="1" x14ac:dyDescent="0.95">
      <c r="A2209" s="56"/>
      <c r="B2209" s="57"/>
      <c r="C2209" s="57"/>
      <c r="D2209" s="57"/>
      <c r="E2209" s="56"/>
      <c r="F2209" s="57"/>
      <c r="G2209" s="57"/>
      <c r="H2209" s="56"/>
      <c r="I2209" s="56"/>
      <c r="J2209" s="58"/>
      <c r="K2209" s="58"/>
      <c r="L2209" s="13" t="str">
        <f t="shared" si="340"/>
        <v/>
      </c>
      <c r="M2209" s="13" t="str">
        <f t="shared" si="341"/>
        <v/>
      </c>
      <c r="Q2209" t="str">
        <f t="shared" si="342"/>
        <v/>
      </c>
      <c r="R2209" t="str">
        <f t="shared" si="343"/>
        <v/>
      </c>
      <c r="S2209" t="str">
        <f t="shared" si="344"/>
        <v/>
      </c>
      <c r="T2209" t="str">
        <f t="shared" si="345"/>
        <v/>
      </c>
      <c r="U2209" t="str">
        <f t="shared" si="346"/>
        <v/>
      </c>
      <c r="V2209" t="str">
        <f t="shared" si="347"/>
        <v/>
      </c>
      <c r="W2209" t="str">
        <f t="shared" si="348"/>
        <v/>
      </c>
      <c r="X2209">
        <f>IF($T2209="",N($X2208),IF(MATCH($T2209,$T$6:$T$10005,0)=ROW()-5,N($X2208)+1,N($X2208)))</f>
        <v>0</v>
      </c>
      <c r="Z2209" t="str">
        <f t="shared" si="349"/>
        <v/>
      </c>
      <c r="AA2209">
        <f>IF($V2209="",N($AA2208),IF(MATCH($V2209,$V$6:$V$10005,0)=ROW()-5,N($AA2208)+1,N($AA2208)))</f>
        <v>0</v>
      </c>
    </row>
    <row r="2210" spans="1:27" ht="21" customHeight="1" x14ac:dyDescent="0.95">
      <c r="A2210" s="56"/>
      <c r="B2210" s="57"/>
      <c r="C2210" s="57"/>
      <c r="D2210" s="57"/>
      <c r="E2210" s="56"/>
      <c r="F2210" s="57"/>
      <c r="G2210" s="57"/>
      <c r="H2210" s="56"/>
      <c r="I2210" s="56"/>
      <c r="J2210" s="58"/>
      <c r="K2210" s="58"/>
      <c r="L2210" s="13" t="str">
        <f t="shared" si="340"/>
        <v/>
      </c>
      <c r="M2210" s="13" t="str">
        <f t="shared" si="341"/>
        <v/>
      </c>
      <c r="Q2210" t="str">
        <f t="shared" si="342"/>
        <v/>
      </c>
      <c r="R2210" t="str">
        <f t="shared" si="343"/>
        <v/>
      </c>
      <c r="S2210" t="str">
        <f t="shared" si="344"/>
        <v/>
      </c>
      <c r="T2210" t="str">
        <f t="shared" si="345"/>
        <v/>
      </c>
      <c r="U2210" t="str">
        <f t="shared" si="346"/>
        <v/>
      </c>
      <c r="V2210" t="str">
        <f t="shared" si="347"/>
        <v/>
      </c>
      <c r="W2210" t="str">
        <f t="shared" si="348"/>
        <v/>
      </c>
      <c r="X2210">
        <f>IF($T2210="",N($X2209),IF(MATCH($T2210,$T$6:$T$10005,0)=ROW()-5,N($X2209)+1,N($X2209)))</f>
        <v>0</v>
      </c>
      <c r="Z2210" t="str">
        <f t="shared" si="349"/>
        <v/>
      </c>
      <c r="AA2210">
        <f>IF($V2210="",N($AA2209),IF(MATCH($V2210,$V$6:$V$10005,0)=ROW()-5,N($AA2209)+1,N($AA2209)))</f>
        <v>0</v>
      </c>
    </row>
    <row r="2211" spans="1:27" ht="21" customHeight="1" x14ac:dyDescent="0.95">
      <c r="A2211" s="56"/>
      <c r="B2211" s="57"/>
      <c r="C2211" s="57"/>
      <c r="D2211" s="57"/>
      <c r="E2211" s="56"/>
      <c r="F2211" s="57"/>
      <c r="G2211" s="57"/>
      <c r="H2211" s="56"/>
      <c r="I2211" s="56"/>
      <c r="J2211" s="58"/>
      <c r="K2211" s="58"/>
      <c r="L2211" s="13" t="str">
        <f t="shared" si="340"/>
        <v/>
      </c>
      <c r="M2211" s="13" t="str">
        <f t="shared" si="341"/>
        <v/>
      </c>
      <c r="Q2211" t="str">
        <f t="shared" si="342"/>
        <v/>
      </c>
      <c r="R2211" t="str">
        <f t="shared" si="343"/>
        <v/>
      </c>
      <c r="S2211" t="str">
        <f t="shared" si="344"/>
        <v/>
      </c>
      <c r="T2211" t="str">
        <f t="shared" si="345"/>
        <v/>
      </c>
      <c r="U2211" t="str">
        <f t="shared" si="346"/>
        <v/>
      </c>
      <c r="V2211" t="str">
        <f t="shared" si="347"/>
        <v/>
      </c>
      <c r="W2211" t="str">
        <f t="shared" si="348"/>
        <v/>
      </c>
      <c r="X2211">
        <f>IF($T2211="",N($X2210),IF(MATCH($T2211,$T$6:$T$10005,0)=ROW()-5,N($X2210)+1,N($X2210)))</f>
        <v>0</v>
      </c>
      <c r="Z2211" t="str">
        <f t="shared" si="349"/>
        <v/>
      </c>
      <c r="AA2211">
        <f>IF($V2211="",N($AA2210),IF(MATCH($V2211,$V$6:$V$10005,0)=ROW()-5,N($AA2210)+1,N($AA2210)))</f>
        <v>0</v>
      </c>
    </row>
    <row r="2212" spans="1:27" ht="21" customHeight="1" x14ac:dyDescent="0.95">
      <c r="A2212" s="56"/>
      <c r="B2212" s="57"/>
      <c r="C2212" s="57"/>
      <c r="D2212" s="57"/>
      <c r="E2212" s="56"/>
      <c r="F2212" s="57"/>
      <c r="G2212" s="57"/>
      <c r="H2212" s="56"/>
      <c r="I2212" s="56"/>
      <c r="J2212" s="58"/>
      <c r="K2212" s="58"/>
      <c r="L2212" s="13" t="str">
        <f t="shared" si="340"/>
        <v/>
      </c>
      <c r="M2212" s="13" t="str">
        <f t="shared" si="341"/>
        <v/>
      </c>
      <c r="Q2212" t="str">
        <f t="shared" si="342"/>
        <v/>
      </c>
      <c r="R2212" t="str">
        <f t="shared" si="343"/>
        <v/>
      </c>
      <c r="S2212" t="str">
        <f t="shared" si="344"/>
        <v/>
      </c>
      <c r="T2212" t="str">
        <f t="shared" si="345"/>
        <v/>
      </c>
      <c r="U2212" t="str">
        <f t="shared" si="346"/>
        <v/>
      </c>
      <c r="V2212" t="str">
        <f t="shared" si="347"/>
        <v/>
      </c>
      <c r="W2212" t="str">
        <f t="shared" si="348"/>
        <v/>
      </c>
      <c r="X2212">
        <f>IF($T2212="",N($X2211),IF(MATCH($T2212,$T$6:$T$10005,0)=ROW()-5,N($X2211)+1,N($X2211)))</f>
        <v>0</v>
      </c>
      <c r="Z2212" t="str">
        <f t="shared" si="349"/>
        <v/>
      </c>
      <c r="AA2212">
        <f>IF($V2212="",N($AA2211),IF(MATCH($V2212,$V$6:$V$10005,0)=ROW()-5,N($AA2211)+1,N($AA2211)))</f>
        <v>0</v>
      </c>
    </row>
    <row r="2213" spans="1:27" ht="21" customHeight="1" x14ac:dyDescent="0.95">
      <c r="A2213" s="56"/>
      <c r="B2213" s="57"/>
      <c r="C2213" s="57"/>
      <c r="D2213" s="57"/>
      <c r="E2213" s="56"/>
      <c r="F2213" s="57"/>
      <c r="G2213" s="57"/>
      <c r="H2213" s="56"/>
      <c r="I2213" s="56"/>
      <c r="J2213" s="58"/>
      <c r="K2213" s="58"/>
      <c r="L2213" s="13" t="str">
        <f t="shared" si="340"/>
        <v/>
      </c>
      <c r="M2213" s="13" t="str">
        <f t="shared" si="341"/>
        <v/>
      </c>
      <c r="Q2213" t="str">
        <f t="shared" si="342"/>
        <v/>
      </c>
      <c r="R2213" t="str">
        <f t="shared" si="343"/>
        <v/>
      </c>
      <c r="S2213" t="str">
        <f t="shared" si="344"/>
        <v/>
      </c>
      <c r="T2213" t="str">
        <f t="shared" si="345"/>
        <v/>
      </c>
      <c r="U2213" t="str">
        <f t="shared" si="346"/>
        <v/>
      </c>
      <c r="V2213" t="str">
        <f t="shared" si="347"/>
        <v/>
      </c>
      <c r="W2213" t="str">
        <f t="shared" si="348"/>
        <v/>
      </c>
      <c r="X2213">
        <f>IF($T2213="",N($X2212),IF(MATCH($T2213,$T$6:$T$10005,0)=ROW()-5,N($X2212)+1,N($X2212)))</f>
        <v>0</v>
      </c>
      <c r="Z2213" t="str">
        <f t="shared" si="349"/>
        <v/>
      </c>
      <c r="AA2213">
        <f>IF($V2213="",N($AA2212),IF(MATCH($V2213,$V$6:$V$10005,0)=ROW()-5,N($AA2212)+1,N($AA2212)))</f>
        <v>0</v>
      </c>
    </row>
    <row r="2214" spans="1:27" ht="21" customHeight="1" x14ac:dyDescent="0.95">
      <c r="A2214" s="56"/>
      <c r="B2214" s="57"/>
      <c r="C2214" s="57"/>
      <c r="D2214" s="57"/>
      <c r="E2214" s="56"/>
      <c r="F2214" s="57"/>
      <c r="G2214" s="57"/>
      <c r="H2214" s="56"/>
      <c r="I2214" s="56"/>
      <c r="J2214" s="58"/>
      <c r="K2214" s="58"/>
      <c r="L2214" s="13" t="str">
        <f t="shared" si="340"/>
        <v/>
      </c>
      <c r="M2214" s="13" t="str">
        <f t="shared" si="341"/>
        <v/>
      </c>
      <c r="Q2214" t="str">
        <f t="shared" si="342"/>
        <v/>
      </c>
      <c r="R2214" t="str">
        <f t="shared" si="343"/>
        <v/>
      </c>
      <c r="S2214" t="str">
        <f t="shared" si="344"/>
        <v/>
      </c>
      <c r="T2214" t="str">
        <f t="shared" si="345"/>
        <v/>
      </c>
      <c r="U2214" t="str">
        <f t="shared" si="346"/>
        <v/>
      </c>
      <c r="V2214" t="str">
        <f t="shared" si="347"/>
        <v/>
      </c>
      <c r="W2214" t="str">
        <f t="shared" si="348"/>
        <v/>
      </c>
      <c r="X2214">
        <f>IF($T2214="",N($X2213),IF(MATCH($T2214,$T$6:$T$10005,0)=ROW()-5,N($X2213)+1,N($X2213)))</f>
        <v>0</v>
      </c>
      <c r="Z2214" t="str">
        <f t="shared" si="349"/>
        <v/>
      </c>
      <c r="AA2214">
        <f>IF($V2214="",N($AA2213),IF(MATCH($V2214,$V$6:$V$10005,0)=ROW()-5,N($AA2213)+1,N($AA2213)))</f>
        <v>0</v>
      </c>
    </row>
    <row r="2215" spans="1:27" ht="21" customHeight="1" x14ac:dyDescent="0.95">
      <c r="A2215" s="56"/>
      <c r="B2215" s="57"/>
      <c r="C2215" s="57"/>
      <c r="D2215" s="57"/>
      <c r="E2215" s="56"/>
      <c r="F2215" s="57"/>
      <c r="G2215" s="57"/>
      <c r="H2215" s="56"/>
      <c r="I2215" s="56"/>
      <c r="J2215" s="58"/>
      <c r="K2215" s="58"/>
      <c r="L2215" s="13" t="str">
        <f t="shared" si="340"/>
        <v/>
      </c>
      <c r="M2215" s="13" t="str">
        <f t="shared" si="341"/>
        <v/>
      </c>
      <c r="Q2215" t="str">
        <f t="shared" si="342"/>
        <v/>
      </c>
      <c r="R2215" t="str">
        <f t="shared" si="343"/>
        <v/>
      </c>
      <c r="S2215" t="str">
        <f t="shared" si="344"/>
        <v/>
      </c>
      <c r="T2215" t="str">
        <f t="shared" si="345"/>
        <v/>
      </c>
      <c r="U2215" t="str">
        <f t="shared" si="346"/>
        <v/>
      </c>
      <c r="V2215" t="str">
        <f t="shared" si="347"/>
        <v/>
      </c>
      <c r="W2215" t="str">
        <f t="shared" si="348"/>
        <v/>
      </c>
      <c r="X2215">
        <f>IF($T2215="",N($X2214),IF(MATCH($T2215,$T$6:$T$10005,0)=ROW()-5,N($X2214)+1,N($X2214)))</f>
        <v>0</v>
      </c>
      <c r="Z2215" t="str">
        <f t="shared" si="349"/>
        <v/>
      </c>
      <c r="AA2215">
        <f>IF($V2215="",N($AA2214),IF(MATCH($V2215,$V$6:$V$10005,0)=ROW()-5,N($AA2214)+1,N($AA2214)))</f>
        <v>0</v>
      </c>
    </row>
    <row r="2216" spans="1:27" ht="21" customHeight="1" x14ac:dyDescent="0.95">
      <c r="A2216" s="56"/>
      <c r="B2216" s="57"/>
      <c r="C2216" s="57"/>
      <c r="D2216" s="57"/>
      <c r="E2216" s="56"/>
      <c r="F2216" s="57"/>
      <c r="G2216" s="57"/>
      <c r="H2216" s="56"/>
      <c r="I2216" s="56"/>
      <c r="J2216" s="58"/>
      <c r="K2216" s="58"/>
      <c r="L2216" s="13" t="str">
        <f t="shared" si="340"/>
        <v/>
      </c>
      <c r="M2216" s="13" t="str">
        <f t="shared" si="341"/>
        <v/>
      </c>
      <c r="Q2216" t="str">
        <f t="shared" si="342"/>
        <v/>
      </c>
      <c r="R2216" t="str">
        <f t="shared" si="343"/>
        <v/>
      </c>
      <c r="S2216" t="str">
        <f t="shared" si="344"/>
        <v/>
      </c>
      <c r="T2216" t="str">
        <f t="shared" si="345"/>
        <v/>
      </c>
      <c r="U2216" t="str">
        <f t="shared" si="346"/>
        <v/>
      </c>
      <c r="V2216" t="str">
        <f t="shared" si="347"/>
        <v/>
      </c>
      <c r="W2216" t="str">
        <f t="shared" si="348"/>
        <v/>
      </c>
      <c r="X2216">
        <f>IF($T2216="",N($X2215),IF(MATCH($T2216,$T$6:$T$10005,0)=ROW()-5,N($X2215)+1,N($X2215)))</f>
        <v>0</v>
      </c>
      <c r="Z2216" t="str">
        <f t="shared" si="349"/>
        <v/>
      </c>
      <c r="AA2216">
        <f>IF($V2216="",N($AA2215),IF(MATCH($V2216,$V$6:$V$10005,0)=ROW()-5,N($AA2215)+1,N($AA2215)))</f>
        <v>0</v>
      </c>
    </row>
    <row r="2217" spans="1:27" ht="21" customHeight="1" x14ac:dyDescent="0.95">
      <c r="A2217" s="56"/>
      <c r="B2217" s="57"/>
      <c r="C2217" s="57"/>
      <c r="D2217" s="57"/>
      <c r="E2217" s="56"/>
      <c r="F2217" s="57"/>
      <c r="G2217" s="57"/>
      <c r="H2217" s="56"/>
      <c r="I2217" s="56"/>
      <c r="J2217" s="58"/>
      <c r="K2217" s="58"/>
      <c r="L2217" s="13" t="str">
        <f t="shared" si="340"/>
        <v/>
      </c>
      <c r="M2217" s="13" t="str">
        <f t="shared" si="341"/>
        <v/>
      </c>
      <c r="Q2217" t="str">
        <f t="shared" si="342"/>
        <v/>
      </c>
      <c r="R2217" t="str">
        <f t="shared" si="343"/>
        <v/>
      </c>
      <c r="S2217" t="str">
        <f t="shared" si="344"/>
        <v/>
      </c>
      <c r="T2217" t="str">
        <f t="shared" si="345"/>
        <v/>
      </c>
      <c r="U2217" t="str">
        <f t="shared" si="346"/>
        <v/>
      </c>
      <c r="V2217" t="str">
        <f t="shared" si="347"/>
        <v/>
      </c>
      <c r="W2217" t="str">
        <f t="shared" si="348"/>
        <v/>
      </c>
      <c r="X2217">
        <f>IF($T2217="",N($X2216),IF(MATCH($T2217,$T$6:$T$10005,0)=ROW()-5,N($X2216)+1,N($X2216)))</f>
        <v>0</v>
      </c>
      <c r="Z2217" t="str">
        <f t="shared" si="349"/>
        <v/>
      </c>
      <c r="AA2217">
        <f>IF($V2217="",N($AA2216),IF(MATCH($V2217,$V$6:$V$10005,0)=ROW()-5,N($AA2216)+1,N($AA2216)))</f>
        <v>0</v>
      </c>
    </row>
    <row r="2218" spans="1:27" ht="21" customHeight="1" x14ac:dyDescent="0.95">
      <c r="A2218" s="56"/>
      <c r="B2218" s="57"/>
      <c r="C2218" s="57"/>
      <c r="D2218" s="57"/>
      <c r="E2218" s="56"/>
      <c r="F2218" s="57"/>
      <c r="G2218" s="57"/>
      <c r="H2218" s="56"/>
      <c r="I2218" s="56"/>
      <c r="J2218" s="58"/>
      <c r="K2218" s="58"/>
      <c r="L2218" s="13" t="str">
        <f t="shared" si="340"/>
        <v/>
      </c>
      <c r="M2218" s="13" t="str">
        <f t="shared" si="341"/>
        <v/>
      </c>
      <c r="Q2218" t="str">
        <f t="shared" si="342"/>
        <v/>
      </c>
      <c r="R2218" t="str">
        <f t="shared" si="343"/>
        <v/>
      </c>
      <c r="S2218" t="str">
        <f t="shared" si="344"/>
        <v/>
      </c>
      <c r="T2218" t="str">
        <f t="shared" si="345"/>
        <v/>
      </c>
      <c r="U2218" t="str">
        <f t="shared" si="346"/>
        <v/>
      </c>
      <c r="V2218" t="str">
        <f t="shared" si="347"/>
        <v/>
      </c>
      <c r="W2218" t="str">
        <f t="shared" si="348"/>
        <v/>
      </c>
      <c r="X2218">
        <f>IF($T2218="",N($X2217),IF(MATCH($T2218,$T$6:$T$10005,0)=ROW()-5,N($X2217)+1,N($X2217)))</f>
        <v>0</v>
      </c>
      <c r="Z2218" t="str">
        <f t="shared" si="349"/>
        <v/>
      </c>
      <c r="AA2218">
        <f>IF($V2218="",N($AA2217),IF(MATCH($V2218,$V$6:$V$10005,0)=ROW()-5,N($AA2217)+1,N($AA2217)))</f>
        <v>0</v>
      </c>
    </row>
    <row r="2219" spans="1:27" ht="21" customHeight="1" x14ac:dyDescent="0.95">
      <c r="A2219" s="56"/>
      <c r="B2219" s="57"/>
      <c r="C2219" s="57"/>
      <c r="D2219" s="57"/>
      <c r="E2219" s="56"/>
      <c r="F2219" s="57"/>
      <c r="G2219" s="57"/>
      <c r="H2219" s="56"/>
      <c r="I2219" s="56"/>
      <c r="J2219" s="58"/>
      <c r="K2219" s="58"/>
      <c r="L2219" s="13" t="str">
        <f t="shared" si="340"/>
        <v/>
      </c>
      <c r="M2219" s="13" t="str">
        <f t="shared" si="341"/>
        <v/>
      </c>
      <c r="Q2219" t="str">
        <f t="shared" si="342"/>
        <v/>
      </c>
      <c r="R2219" t="str">
        <f t="shared" si="343"/>
        <v/>
      </c>
      <c r="S2219" t="str">
        <f t="shared" si="344"/>
        <v/>
      </c>
      <c r="T2219" t="str">
        <f t="shared" si="345"/>
        <v/>
      </c>
      <c r="U2219" t="str">
        <f t="shared" si="346"/>
        <v/>
      </c>
      <c r="V2219" t="str">
        <f t="shared" si="347"/>
        <v/>
      </c>
      <c r="W2219" t="str">
        <f t="shared" si="348"/>
        <v/>
      </c>
      <c r="X2219">
        <f>IF($T2219="",N($X2218),IF(MATCH($T2219,$T$6:$T$10005,0)=ROW()-5,N($X2218)+1,N($X2218)))</f>
        <v>0</v>
      </c>
      <c r="Z2219" t="str">
        <f t="shared" si="349"/>
        <v/>
      </c>
      <c r="AA2219">
        <f>IF($V2219="",N($AA2218),IF(MATCH($V2219,$V$6:$V$10005,0)=ROW()-5,N($AA2218)+1,N($AA2218)))</f>
        <v>0</v>
      </c>
    </row>
    <row r="2220" spans="1:27" ht="21" customHeight="1" x14ac:dyDescent="0.95">
      <c r="A2220" s="56"/>
      <c r="B2220" s="57"/>
      <c r="C2220" s="57"/>
      <c r="D2220" s="57"/>
      <c r="E2220" s="56"/>
      <c r="F2220" s="57"/>
      <c r="G2220" s="57"/>
      <c r="H2220" s="56"/>
      <c r="I2220" s="56"/>
      <c r="J2220" s="58"/>
      <c r="K2220" s="58"/>
      <c r="L2220" s="13" t="str">
        <f t="shared" si="340"/>
        <v/>
      </c>
      <c r="M2220" s="13" t="str">
        <f t="shared" si="341"/>
        <v/>
      </c>
      <c r="Q2220" t="str">
        <f t="shared" si="342"/>
        <v/>
      </c>
      <c r="R2220" t="str">
        <f t="shared" si="343"/>
        <v/>
      </c>
      <c r="S2220" t="str">
        <f t="shared" si="344"/>
        <v/>
      </c>
      <c r="T2220" t="str">
        <f t="shared" si="345"/>
        <v/>
      </c>
      <c r="U2220" t="str">
        <f t="shared" si="346"/>
        <v/>
      </c>
      <c r="V2220" t="str">
        <f t="shared" si="347"/>
        <v/>
      </c>
      <c r="W2220" t="str">
        <f t="shared" si="348"/>
        <v/>
      </c>
      <c r="X2220">
        <f>IF($T2220="",N($X2219),IF(MATCH($T2220,$T$6:$T$10005,0)=ROW()-5,N($X2219)+1,N($X2219)))</f>
        <v>0</v>
      </c>
      <c r="Z2220" t="str">
        <f t="shared" si="349"/>
        <v/>
      </c>
      <c r="AA2220">
        <f>IF($V2220="",N($AA2219),IF(MATCH($V2220,$V$6:$V$10005,0)=ROW()-5,N($AA2219)+1,N($AA2219)))</f>
        <v>0</v>
      </c>
    </row>
    <row r="2221" spans="1:27" ht="21" customHeight="1" x14ac:dyDescent="0.95">
      <c r="A2221" s="56"/>
      <c r="B2221" s="57"/>
      <c r="C2221" s="57"/>
      <c r="D2221" s="57"/>
      <c r="E2221" s="56"/>
      <c r="F2221" s="57"/>
      <c r="G2221" s="57"/>
      <c r="H2221" s="56"/>
      <c r="I2221" s="56"/>
      <c r="J2221" s="58"/>
      <c r="K2221" s="58"/>
      <c r="L2221" s="13" t="str">
        <f t="shared" si="340"/>
        <v/>
      </c>
      <c r="M2221" s="13" t="str">
        <f t="shared" si="341"/>
        <v/>
      </c>
      <c r="Q2221" t="str">
        <f t="shared" si="342"/>
        <v/>
      </c>
      <c r="R2221" t="str">
        <f t="shared" si="343"/>
        <v/>
      </c>
      <c r="S2221" t="str">
        <f t="shared" si="344"/>
        <v/>
      </c>
      <c r="T2221" t="str">
        <f t="shared" si="345"/>
        <v/>
      </c>
      <c r="U2221" t="str">
        <f t="shared" si="346"/>
        <v/>
      </c>
      <c r="V2221" t="str">
        <f t="shared" si="347"/>
        <v/>
      </c>
      <c r="W2221" t="str">
        <f t="shared" si="348"/>
        <v/>
      </c>
      <c r="X2221">
        <f>IF($T2221="",N($X2220),IF(MATCH($T2221,$T$6:$T$10005,0)=ROW()-5,N($X2220)+1,N($X2220)))</f>
        <v>0</v>
      </c>
      <c r="Z2221" t="str">
        <f t="shared" si="349"/>
        <v/>
      </c>
      <c r="AA2221">
        <f>IF($V2221="",N($AA2220),IF(MATCH($V2221,$V$6:$V$10005,0)=ROW()-5,N($AA2220)+1,N($AA2220)))</f>
        <v>0</v>
      </c>
    </row>
    <row r="2222" spans="1:27" ht="21" customHeight="1" x14ac:dyDescent="0.95">
      <c r="A2222" s="56"/>
      <c r="B2222" s="57"/>
      <c r="C2222" s="57"/>
      <c r="D2222" s="57"/>
      <c r="E2222" s="56"/>
      <c r="F2222" s="57"/>
      <c r="G2222" s="57"/>
      <c r="H2222" s="56"/>
      <c r="I2222" s="56"/>
      <c r="J2222" s="58"/>
      <c r="K2222" s="58"/>
      <c r="L2222" s="13" t="str">
        <f t="shared" si="340"/>
        <v/>
      </c>
      <c r="M2222" s="13" t="str">
        <f t="shared" si="341"/>
        <v/>
      </c>
      <c r="Q2222" t="str">
        <f t="shared" si="342"/>
        <v/>
      </c>
      <c r="R2222" t="str">
        <f t="shared" si="343"/>
        <v/>
      </c>
      <c r="S2222" t="str">
        <f t="shared" si="344"/>
        <v/>
      </c>
      <c r="T2222" t="str">
        <f t="shared" si="345"/>
        <v/>
      </c>
      <c r="U2222" t="str">
        <f t="shared" si="346"/>
        <v/>
      </c>
      <c r="V2222" t="str">
        <f t="shared" si="347"/>
        <v/>
      </c>
      <c r="W2222" t="str">
        <f t="shared" si="348"/>
        <v/>
      </c>
      <c r="X2222">
        <f>IF($T2222="",N($X2221),IF(MATCH($T2222,$T$6:$T$10005,0)=ROW()-5,N($X2221)+1,N($X2221)))</f>
        <v>0</v>
      </c>
      <c r="Z2222" t="str">
        <f t="shared" si="349"/>
        <v/>
      </c>
      <c r="AA2222">
        <f>IF($V2222="",N($AA2221),IF(MATCH($V2222,$V$6:$V$10005,0)=ROW()-5,N($AA2221)+1,N($AA2221)))</f>
        <v>0</v>
      </c>
    </row>
    <row r="2223" spans="1:27" ht="21" customHeight="1" x14ac:dyDescent="0.95">
      <c r="A2223" s="56"/>
      <c r="B2223" s="57"/>
      <c r="C2223" s="57"/>
      <c r="D2223" s="57"/>
      <c r="E2223" s="56"/>
      <c r="F2223" s="57"/>
      <c r="G2223" s="57"/>
      <c r="H2223" s="56"/>
      <c r="I2223" s="56"/>
      <c r="J2223" s="58"/>
      <c r="K2223" s="58"/>
      <c r="L2223" s="13" t="str">
        <f t="shared" si="340"/>
        <v/>
      </c>
      <c r="M2223" s="13" t="str">
        <f t="shared" si="341"/>
        <v/>
      </c>
      <c r="Q2223" t="str">
        <f t="shared" si="342"/>
        <v/>
      </c>
      <c r="R2223" t="str">
        <f t="shared" si="343"/>
        <v/>
      </c>
      <c r="S2223" t="str">
        <f t="shared" si="344"/>
        <v/>
      </c>
      <c r="T2223" t="str">
        <f t="shared" si="345"/>
        <v/>
      </c>
      <c r="U2223" t="str">
        <f t="shared" si="346"/>
        <v/>
      </c>
      <c r="V2223" t="str">
        <f t="shared" si="347"/>
        <v/>
      </c>
      <c r="W2223" t="str">
        <f t="shared" si="348"/>
        <v/>
      </c>
      <c r="X2223">
        <f>IF($T2223="",N($X2222),IF(MATCH($T2223,$T$6:$T$10005,0)=ROW()-5,N($X2222)+1,N($X2222)))</f>
        <v>0</v>
      </c>
      <c r="Z2223" t="str">
        <f t="shared" si="349"/>
        <v/>
      </c>
      <c r="AA2223">
        <f>IF($V2223="",N($AA2222),IF(MATCH($V2223,$V$6:$V$10005,0)=ROW()-5,N($AA2222)+1,N($AA2222)))</f>
        <v>0</v>
      </c>
    </row>
    <row r="2224" spans="1:27" ht="21" customHeight="1" x14ac:dyDescent="0.95">
      <c r="A2224" s="56"/>
      <c r="B2224" s="57"/>
      <c r="C2224" s="57"/>
      <c r="D2224" s="57"/>
      <c r="E2224" s="56"/>
      <c r="F2224" s="57"/>
      <c r="G2224" s="57"/>
      <c r="H2224" s="56"/>
      <c r="I2224" s="56"/>
      <c r="J2224" s="58"/>
      <c r="K2224" s="58"/>
      <c r="L2224" s="13" t="str">
        <f t="shared" si="340"/>
        <v/>
      </c>
      <c r="M2224" s="13" t="str">
        <f t="shared" si="341"/>
        <v/>
      </c>
      <c r="Q2224" t="str">
        <f t="shared" si="342"/>
        <v/>
      </c>
      <c r="R2224" t="str">
        <f t="shared" si="343"/>
        <v/>
      </c>
      <c r="S2224" t="str">
        <f t="shared" si="344"/>
        <v/>
      </c>
      <c r="T2224" t="str">
        <f t="shared" si="345"/>
        <v/>
      </c>
      <c r="U2224" t="str">
        <f t="shared" si="346"/>
        <v/>
      </c>
      <c r="V2224" t="str">
        <f t="shared" si="347"/>
        <v/>
      </c>
      <c r="W2224" t="str">
        <f t="shared" si="348"/>
        <v/>
      </c>
      <c r="X2224">
        <f>IF($T2224="",N($X2223),IF(MATCH($T2224,$T$6:$T$10005,0)=ROW()-5,N($X2223)+1,N($X2223)))</f>
        <v>0</v>
      </c>
      <c r="Z2224" t="str">
        <f t="shared" si="349"/>
        <v/>
      </c>
      <c r="AA2224">
        <f>IF($V2224="",N($AA2223),IF(MATCH($V2224,$V$6:$V$10005,0)=ROW()-5,N($AA2223)+1,N($AA2223)))</f>
        <v>0</v>
      </c>
    </row>
    <row r="2225" spans="1:27" ht="21" customHeight="1" x14ac:dyDescent="0.95">
      <c r="A2225" s="56"/>
      <c r="B2225" s="57"/>
      <c r="C2225" s="57"/>
      <c r="D2225" s="57"/>
      <c r="E2225" s="56"/>
      <c r="F2225" s="57"/>
      <c r="G2225" s="57"/>
      <c r="H2225" s="56"/>
      <c r="I2225" s="56"/>
      <c r="J2225" s="58"/>
      <c r="K2225" s="58"/>
      <c r="L2225" s="13" t="str">
        <f t="shared" si="340"/>
        <v/>
      </c>
      <c r="M2225" s="13" t="str">
        <f t="shared" si="341"/>
        <v/>
      </c>
      <c r="Q2225" t="str">
        <f t="shared" si="342"/>
        <v/>
      </c>
      <c r="R2225" t="str">
        <f t="shared" si="343"/>
        <v/>
      </c>
      <c r="S2225" t="str">
        <f t="shared" si="344"/>
        <v/>
      </c>
      <c r="T2225" t="str">
        <f t="shared" si="345"/>
        <v/>
      </c>
      <c r="U2225" t="str">
        <f t="shared" si="346"/>
        <v/>
      </c>
      <c r="V2225" t="str">
        <f t="shared" si="347"/>
        <v/>
      </c>
      <c r="W2225" t="str">
        <f t="shared" si="348"/>
        <v/>
      </c>
      <c r="X2225">
        <f>IF($T2225="",N($X2224),IF(MATCH($T2225,$T$6:$T$10005,0)=ROW()-5,N($X2224)+1,N($X2224)))</f>
        <v>0</v>
      </c>
      <c r="Z2225" t="str">
        <f t="shared" si="349"/>
        <v/>
      </c>
      <c r="AA2225">
        <f>IF($V2225="",N($AA2224),IF(MATCH($V2225,$V$6:$V$10005,0)=ROW()-5,N($AA2224)+1,N($AA2224)))</f>
        <v>0</v>
      </c>
    </row>
    <row r="2226" spans="1:27" ht="21" customHeight="1" x14ac:dyDescent="0.95">
      <c r="A2226" s="56"/>
      <c r="B2226" s="57"/>
      <c r="C2226" s="57"/>
      <c r="D2226" s="57"/>
      <c r="E2226" s="56"/>
      <c r="F2226" s="57"/>
      <c r="G2226" s="57"/>
      <c r="H2226" s="56"/>
      <c r="I2226" s="56"/>
      <c r="J2226" s="58"/>
      <c r="K2226" s="58"/>
      <c r="L2226" s="13" t="str">
        <f t="shared" si="340"/>
        <v/>
      </c>
      <c r="M2226" s="13" t="str">
        <f t="shared" si="341"/>
        <v/>
      </c>
      <c r="Q2226" t="str">
        <f t="shared" si="342"/>
        <v/>
      </c>
      <c r="R2226" t="str">
        <f t="shared" si="343"/>
        <v/>
      </c>
      <c r="S2226" t="str">
        <f t="shared" si="344"/>
        <v/>
      </c>
      <c r="T2226" t="str">
        <f t="shared" si="345"/>
        <v/>
      </c>
      <c r="U2226" t="str">
        <f t="shared" si="346"/>
        <v/>
      </c>
      <c r="V2226" t="str">
        <f t="shared" si="347"/>
        <v/>
      </c>
      <c r="W2226" t="str">
        <f t="shared" si="348"/>
        <v/>
      </c>
      <c r="X2226">
        <f>IF($T2226="",N($X2225),IF(MATCH($T2226,$T$6:$T$10005,0)=ROW()-5,N($X2225)+1,N($X2225)))</f>
        <v>0</v>
      </c>
      <c r="Z2226" t="str">
        <f t="shared" si="349"/>
        <v/>
      </c>
      <c r="AA2226">
        <f>IF($V2226="",N($AA2225),IF(MATCH($V2226,$V$6:$V$10005,0)=ROW()-5,N($AA2225)+1,N($AA2225)))</f>
        <v>0</v>
      </c>
    </row>
    <row r="2227" spans="1:27" ht="21" customHeight="1" x14ac:dyDescent="0.95">
      <c r="A2227" s="56"/>
      <c r="B2227" s="57"/>
      <c r="C2227" s="57"/>
      <c r="D2227" s="57"/>
      <c r="E2227" s="56"/>
      <c r="F2227" s="57"/>
      <c r="G2227" s="57"/>
      <c r="H2227" s="56"/>
      <c r="I2227" s="56"/>
      <c r="J2227" s="58"/>
      <c r="K2227" s="58"/>
      <c r="L2227" s="13" t="str">
        <f t="shared" si="340"/>
        <v/>
      </c>
      <c r="M2227" s="13" t="str">
        <f t="shared" si="341"/>
        <v/>
      </c>
      <c r="Q2227" t="str">
        <f t="shared" si="342"/>
        <v/>
      </c>
      <c r="R2227" t="str">
        <f t="shared" si="343"/>
        <v/>
      </c>
      <c r="S2227" t="str">
        <f t="shared" si="344"/>
        <v/>
      </c>
      <c r="T2227" t="str">
        <f t="shared" si="345"/>
        <v/>
      </c>
      <c r="U2227" t="str">
        <f t="shared" si="346"/>
        <v/>
      </c>
      <c r="V2227" t="str">
        <f t="shared" si="347"/>
        <v/>
      </c>
      <c r="W2227" t="str">
        <f t="shared" si="348"/>
        <v/>
      </c>
      <c r="X2227">
        <f>IF($T2227="",N($X2226),IF(MATCH($T2227,$T$6:$T$10005,0)=ROW()-5,N($X2226)+1,N($X2226)))</f>
        <v>0</v>
      </c>
      <c r="Z2227" t="str">
        <f t="shared" si="349"/>
        <v/>
      </c>
      <c r="AA2227">
        <f>IF($V2227="",N($AA2226),IF(MATCH($V2227,$V$6:$V$10005,0)=ROW()-5,N($AA2226)+1,N($AA2226)))</f>
        <v>0</v>
      </c>
    </row>
    <row r="2228" spans="1:27" ht="21" customHeight="1" x14ac:dyDescent="0.95">
      <c r="A2228" s="56"/>
      <c r="B2228" s="57"/>
      <c r="C2228" s="57"/>
      <c r="D2228" s="57"/>
      <c r="E2228" s="56"/>
      <c r="F2228" s="57"/>
      <c r="G2228" s="57"/>
      <c r="H2228" s="56"/>
      <c r="I2228" s="56"/>
      <c r="J2228" s="58"/>
      <c r="K2228" s="58"/>
      <c r="L2228" s="13" t="str">
        <f t="shared" si="340"/>
        <v/>
      </c>
      <c r="M2228" s="13" t="str">
        <f t="shared" si="341"/>
        <v/>
      </c>
      <c r="Q2228" t="str">
        <f t="shared" si="342"/>
        <v/>
      </c>
      <c r="R2228" t="str">
        <f t="shared" si="343"/>
        <v/>
      </c>
      <c r="S2228" t="str">
        <f t="shared" si="344"/>
        <v/>
      </c>
      <c r="T2228" t="str">
        <f t="shared" si="345"/>
        <v/>
      </c>
      <c r="U2228" t="str">
        <f t="shared" si="346"/>
        <v/>
      </c>
      <c r="V2228" t="str">
        <f t="shared" si="347"/>
        <v/>
      </c>
      <c r="W2228" t="str">
        <f t="shared" si="348"/>
        <v/>
      </c>
      <c r="X2228">
        <f>IF($T2228="",N($X2227),IF(MATCH($T2228,$T$6:$T$10005,0)=ROW()-5,N($X2227)+1,N($X2227)))</f>
        <v>0</v>
      </c>
      <c r="Z2228" t="str">
        <f t="shared" si="349"/>
        <v/>
      </c>
      <c r="AA2228">
        <f>IF($V2228="",N($AA2227),IF(MATCH($V2228,$V$6:$V$10005,0)=ROW()-5,N($AA2227)+1,N($AA2227)))</f>
        <v>0</v>
      </c>
    </row>
    <row r="2229" spans="1:27" ht="21" customHeight="1" x14ac:dyDescent="0.95">
      <c r="A2229" s="56"/>
      <c r="B2229" s="57"/>
      <c r="C2229" s="57"/>
      <c r="D2229" s="57"/>
      <c r="E2229" s="56"/>
      <c r="F2229" s="57"/>
      <c r="G2229" s="57"/>
      <c r="H2229" s="56"/>
      <c r="I2229" s="56"/>
      <c r="J2229" s="58"/>
      <c r="K2229" s="58"/>
      <c r="L2229" s="13" t="str">
        <f t="shared" si="340"/>
        <v/>
      </c>
      <c r="M2229" s="13" t="str">
        <f t="shared" si="341"/>
        <v/>
      </c>
      <c r="Q2229" t="str">
        <f t="shared" si="342"/>
        <v/>
      </c>
      <c r="R2229" t="str">
        <f t="shared" si="343"/>
        <v/>
      </c>
      <c r="S2229" t="str">
        <f t="shared" si="344"/>
        <v/>
      </c>
      <c r="T2229" t="str">
        <f t="shared" si="345"/>
        <v/>
      </c>
      <c r="U2229" t="str">
        <f t="shared" si="346"/>
        <v/>
      </c>
      <c r="V2229" t="str">
        <f t="shared" si="347"/>
        <v/>
      </c>
      <c r="W2229" t="str">
        <f t="shared" si="348"/>
        <v/>
      </c>
      <c r="X2229">
        <f>IF($T2229="",N($X2228),IF(MATCH($T2229,$T$6:$T$10005,0)=ROW()-5,N($X2228)+1,N($X2228)))</f>
        <v>0</v>
      </c>
      <c r="Z2229" t="str">
        <f t="shared" si="349"/>
        <v/>
      </c>
      <c r="AA2229">
        <f>IF($V2229="",N($AA2228),IF(MATCH($V2229,$V$6:$V$10005,0)=ROW()-5,N($AA2228)+1,N($AA2228)))</f>
        <v>0</v>
      </c>
    </row>
    <row r="2230" spans="1:27" ht="21" customHeight="1" x14ac:dyDescent="0.95">
      <c r="A2230" s="56"/>
      <c r="B2230" s="57"/>
      <c r="C2230" s="57"/>
      <c r="D2230" s="57"/>
      <c r="E2230" s="56"/>
      <c r="F2230" s="57"/>
      <c r="G2230" s="57"/>
      <c r="H2230" s="56"/>
      <c r="I2230" s="56"/>
      <c r="J2230" s="58"/>
      <c r="K2230" s="58"/>
      <c r="L2230" s="13" t="str">
        <f t="shared" si="340"/>
        <v/>
      </c>
      <c r="M2230" s="13" t="str">
        <f t="shared" si="341"/>
        <v/>
      </c>
      <c r="Q2230" t="str">
        <f t="shared" si="342"/>
        <v/>
      </c>
      <c r="R2230" t="str">
        <f t="shared" si="343"/>
        <v/>
      </c>
      <c r="S2230" t="str">
        <f t="shared" si="344"/>
        <v/>
      </c>
      <c r="T2230" t="str">
        <f t="shared" si="345"/>
        <v/>
      </c>
      <c r="U2230" t="str">
        <f t="shared" si="346"/>
        <v/>
      </c>
      <c r="V2230" t="str">
        <f t="shared" si="347"/>
        <v/>
      </c>
      <c r="W2230" t="str">
        <f t="shared" si="348"/>
        <v/>
      </c>
      <c r="X2230">
        <f>IF($T2230="",N($X2229),IF(MATCH($T2230,$T$6:$T$10005,0)=ROW()-5,N($X2229)+1,N($X2229)))</f>
        <v>0</v>
      </c>
      <c r="Z2230" t="str">
        <f t="shared" si="349"/>
        <v/>
      </c>
      <c r="AA2230">
        <f>IF($V2230="",N($AA2229),IF(MATCH($V2230,$V$6:$V$10005,0)=ROW()-5,N($AA2229)+1,N($AA2229)))</f>
        <v>0</v>
      </c>
    </row>
    <row r="2231" spans="1:27" ht="21" customHeight="1" x14ac:dyDescent="0.95">
      <c r="A2231" s="56"/>
      <c r="B2231" s="57"/>
      <c r="C2231" s="57"/>
      <c r="D2231" s="57"/>
      <c r="E2231" s="56"/>
      <c r="F2231" s="57"/>
      <c r="G2231" s="57"/>
      <c r="H2231" s="56"/>
      <c r="I2231" s="56"/>
      <c r="J2231" s="58"/>
      <c r="K2231" s="58"/>
      <c r="L2231" s="13" t="str">
        <f t="shared" si="340"/>
        <v/>
      </c>
      <c r="M2231" s="13" t="str">
        <f t="shared" si="341"/>
        <v/>
      </c>
      <c r="Q2231" t="str">
        <f t="shared" si="342"/>
        <v/>
      </c>
      <c r="R2231" t="str">
        <f t="shared" si="343"/>
        <v/>
      </c>
      <c r="S2231" t="str">
        <f t="shared" si="344"/>
        <v/>
      </c>
      <c r="T2231" t="str">
        <f t="shared" si="345"/>
        <v/>
      </c>
      <c r="U2231" t="str">
        <f t="shared" si="346"/>
        <v/>
      </c>
      <c r="V2231" t="str">
        <f t="shared" si="347"/>
        <v/>
      </c>
      <c r="W2231" t="str">
        <f t="shared" si="348"/>
        <v/>
      </c>
      <c r="X2231">
        <f>IF($T2231="",N($X2230),IF(MATCH($T2231,$T$6:$T$10005,0)=ROW()-5,N($X2230)+1,N($X2230)))</f>
        <v>0</v>
      </c>
      <c r="Z2231" t="str">
        <f t="shared" si="349"/>
        <v/>
      </c>
      <c r="AA2231">
        <f>IF($V2231="",N($AA2230),IF(MATCH($V2231,$V$6:$V$10005,0)=ROW()-5,N($AA2230)+1,N($AA2230)))</f>
        <v>0</v>
      </c>
    </row>
    <row r="2232" spans="1:27" ht="21" customHeight="1" x14ac:dyDescent="0.95">
      <c r="A2232" s="56"/>
      <c r="B2232" s="57"/>
      <c r="C2232" s="57"/>
      <c r="D2232" s="57"/>
      <c r="E2232" s="56"/>
      <c r="F2232" s="57"/>
      <c r="G2232" s="57"/>
      <c r="H2232" s="56"/>
      <c r="I2232" s="56"/>
      <c r="J2232" s="58"/>
      <c r="K2232" s="58"/>
      <c r="L2232" s="13" t="str">
        <f t="shared" si="340"/>
        <v/>
      </c>
      <c r="M2232" s="13" t="str">
        <f t="shared" si="341"/>
        <v/>
      </c>
      <c r="Q2232" t="str">
        <f t="shared" si="342"/>
        <v/>
      </c>
      <c r="R2232" t="str">
        <f t="shared" si="343"/>
        <v/>
      </c>
      <c r="S2232" t="str">
        <f t="shared" si="344"/>
        <v/>
      </c>
      <c r="T2232" t="str">
        <f t="shared" si="345"/>
        <v/>
      </c>
      <c r="U2232" t="str">
        <f t="shared" si="346"/>
        <v/>
      </c>
      <c r="V2232" t="str">
        <f t="shared" si="347"/>
        <v/>
      </c>
      <c r="W2232" t="str">
        <f t="shared" si="348"/>
        <v/>
      </c>
      <c r="X2232">
        <f>IF($T2232="",N($X2231),IF(MATCH($T2232,$T$6:$T$10005,0)=ROW()-5,N($X2231)+1,N($X2231)))</f>
        <v>0</v>
      </c>
      <c r="Z2232" t="str">
        <f t="shared" si="349"/>
        <v/>
      </c>
      <c r="AA2232">
        <f>IF($V2232="",N($AA2231),IF(MATCH($V2232,$V$6:$V$10005,0)=ROW()-5,N($AA2231)+1,N($AA2231)))</f>
        <v>0</v>
      </c>
    </row>
    <row r="2233" spans="1:27" ht="21" customHeight="1" x14ac:dyDescent="0.95">
      <c r="A2233" s="56"/>
      <c r="B2233" s="57"/>
      <c r="C2233" s="57"/>
      <c r="D2233" s="57"/>
      <c r="E2233" s="56"/>
      <c r="F2233" s="57"/>
      <c r="G2233" s="57"/>
      <c r="H2233" s="56"/>
      <c r="I2233" s="56"/>
      <c r="J2233" s="58"/>
      <c r="K2233" s="58"/>
      <c r="L2233" s="13" t="str">
        <f t="shared" si="340"/>
        <v/>
      </c>
      <c r="M2233" s="13" t="str">
        <f t="shared" si="341"/>
        <v/>
      </c>
      <c r="Q2233" t="str">
        <f t="shared" si="342"/>
        <v/>
      </c>
      <c r="R2233" t="str">
        <f t="shared" si="343"/>
        <v/>
      </c>
      <c r="S2233" t="str">
        <f t="shared" si="344"/>
        <v/>
      </c>
      <c r="T2233" t="str">
        <f t="shared" si="345"/>
        <v/>
      </c>
      <c r="U2233" t="str">
        <f t="shared" si="346"/>
        <v/>
      </c>
      <c r="V2233" t="str">
        <f t="shared" si="347"/>
        <v/>
      </c>
      <c r="W2233" t="str">
        <f t="shared" si="348"/>
        <v/>
      </c>
      <c r="X2233">
        <f>IF($T2233="",N($X2232),IF(MATCH($T2233,$T$6:$T$10005,0)=ROW()-5,N($X2232)+1,N($X2232)))</f>
        <v>0</v>
      </c>
      <c r="Z2233" t="str">
        <f t="shared" si="349"/>
        <v/>
      </c>
      <c r="AA2233">
        <f>IF($V2233="",N($AA2232),IF(MATCH($V2233,$V$6:$V$10005,0)=ROW()-5,N($AA2232)+1,N($AA2232)))</f>
        <v>0</v>
      </c>
    </row>
    <row r="2234" spans="1:27" ht="21" customHeight="1" x14ac:dyDescent="0.95">
      <c r="A2234" s="56"/>
      <c r="B2234" s="57"/>
      <c r="C2234" s="57"/>
      <c r="D2234" s="57"/>
      <c r="E2234" s="56"/>
      <c r="F2234" s="57"/>
      <c r="G2234" s="57"/>
      <c r="H2234" s="56"/>
      <c r="I2234" s="56"/>
      <c r="J2234" s="58"/>
      <c r="K2234" s="58"/>
      <c r="L2234" s="13" t="str">
        <f t="shared" si="340"/>
        <v/>
      </c>
      <c r="M2234" s="13" t="str">
        <f t="shared" si="341"/>
        <v/>
      </c>
      <c r="Q2234" t="str">
        <f t="shared" si="342"/>
        <v/>
      </c>
      <c r="R2234" t="str">
        <f t="shared" si="343"/>
        <v/>
      </c>
      <c r="S2234" t="str">
        <f t="shared" si="344"/>
        <v/>
      </c>
      <c r="T2234" t="str">
        <f t="shared" si="345"/>
        <v/>
      </c>
      <c r="U2234" t="str">
        <f t="shared" si="346"/>
        <v/>
      </c>
      <c r="V2234" t="str">
        <f t="shared" si="347"/>
        <v/>
      </c>
      <c r="W2234" t="str">
        <f t="shared" si="348"/>
        <v/>
      </c>
      <c r="X2234">
        <f>IF($T2234="",N($X2233),IF(MATCH($T2234,$T$6:$T$10005,0)=ROW()-5,N($X2233)+1,N($X2233)))</f>
        <v>0</v>
      </c>
      <c r="Z2234" t="str">
        <f t="shared" si="349"/>
        <v/>
      </c>
      <c r="AA2234">
        <f>IF($V2234="",N($AA2233),IF(MATCH($V2234,$V$6:$V$10005,0)=ROW()-5,N($AA2233)+1,N($AA2233)))</f>
        <v>0</v>
      </c>
    </row>
    <row r="2235" spans="1:27" ht="21" customHeight="1" x14ac:dyDescent="0.95">
      <c r="A2235" s="56"/>
      <c r="B2235" s="57"/>
      <c r="C2235" s="57"/>
      <c r="D2235" s="57"/>
      <c r="E2235" s="56"/>
      <c r="F2235" s="57"/>
      <c r="G2235" s="57"/>
      <c r="H2235" s="56"/>
      <c r="I2235" s="56"/>
      <c r="J2235" s="58"/>
      <c r="K2235" s="58"/>
      <c r="L2235" s="13" t="str">
        <f t="shared" si="340"/>
        <v/>
      </c>
      <c r="M2235" s="13" t="str">
        <f t="shared" si="341"/>
        <v/>
      </c>
      <c r="Q2235" t="str">
        <f t="shared" si="342"/>
        <v/>
      </c>
      <c r="R2235" t="str">
        <f t="shared" si="343"/>
        <v/>
      </c>
      <c r="S2235" t="str">
        <f t="shared" si="344"/>
        <v/>
      </c>
      <c r="T2235" t="str">
        <f t="shared" si="345"/>
        <v/>
      </c>
      <c r="U2235" t="str">
        <f t="shared" si="346"/>
        <v/>
      </c>
      <c r="V2235" t="str">
        <f t="shared" si="347"/>
        <v/>
      </c>
      <c r="W2235" t="str">
        <f t="shared" si="348"/>
        <v/>
      </c>
      <c r="X2235">
        <f>IF($T2235="",N($X2234),IF(MATCH($T2235,$T$6:$T$10005,0)=ROW()-5,N($X2234)+1,N($X2234)))</f>
        <v>0</v>
      </c>
      <c r="Z2235" t="str">
        <f t="shared" si="349"/>
        <v/>
      </c>
      <c r="AA2235">
        <f>IF($V2235="",N($AA2234),IF(MATCH($V2235,$V$6:$V$10005,0)=ROW()-5,N($AA2234)+1,N($AA2234)))</f>
        <v>0</v>
      </c>
    </row>
    <row r="2236" spans="1:27" ht="21" customHeight="1" x14ac:dyDescent="0.95">
      <c r="A2236" s="56"/>
      <c r="B2236" s="57"/>
      <c r="C2236" s="57"/>
      <c r="D2236" s="57"/>
      <c r="E2236" s="56"/>
      <c r="F2236" s="57"/>
      <c r="G2236" s="57"/>
      <c r="H2236" s="56"/>
      <c r="I2236" s="56"/>
      <c r="J2236" s="58"/>
      <c r="K2236" s="58"/>
      <c r="L2236" s="13" t="str">
        <f t="shared" si="340"/>
        <v/>
      </c>
      <c r="M2236" s="13" t="str">
        <f t="shared" si="341"/>
        <v/>
      </c>
      <c r="Q2236" t="str">
        <f t="shared" si="342"/>
        <v/>
      </c>
      <c r="R2236" t="str">
        <f t="shared" si="343"/>
        <v/>
      </c>
      <c r="S2236" t="str">
        <f t="shared" si="344"/>
        <v/>
      </c>
      <c r="T2236" t="str">
        <f t="shared" si="345"/>
        <v/>
      </c>
      <c r="U2236" t="str">
        <f t="shared" si="346"/>
        <v/>
      </c>
      <c r="V2236" t="str">
        <f t="shared" si="347"/>
        <v/>
      </c>
      <c r="W2236" t="str">
        <f t="shared" si="348"/>
        <v/>
      </c>
      <c r="X2236">
        <f>IF($T2236="",N($X2235),IF(MATCH($T2236,$T$6:$T$10005,0)=ROW()-5,N($X2235)+1,N($X2235)))</f>
        <v>0</v>
      </c>
      <c r="Z2236" t="str">
        <f t="shared" si="349"/>
        <v/>
      </c>
      <c r="AA2236">
        <f>IF($V2236="",N($AA2235),IF(MATCH($V2236,$V$6:$V$10005,0)=ROW()-5,N($AA2235)+1,N($AA2235)))</f>
        <v>0</v>
      </c>
    </row>
    <row r="2237" spans="1:27" ht="21" customHeight="1" x14ac:dyDescent="0.95">
      <c r="A2237" s="56"/>
      <c r="B2237" s="57"/>
      <c r="C2237" s="57"/>
      <c r="D2237" s="57"/>
      <c r="E2237" s="56"/>
      <c r="F2237" s="57"/>
      <c r="G2237" s="57"/>
      <c r="H2237" s="56"/>
      <c r="I2237" s="56"/>
      <c r="J2237" s="58"/>
      <c r="K2237" s="58"/>
      <c r="L2237" s="13" t="str">
        <f t="shared" si="340"/>
        <v/>
      </c>
      <c r="M2237" s="13" t="str">
        <f t="shared" si="341"/>
        <v/>
      </c>
      <c r="Q2237" t="str">
        <f t="shared" si="342"/>
        <v/>
      </c>
      <c r="R2237" t="str">
        <f t="shared" si="343"/>
        <v/>
      </c>
      <c r="S2237" t="str">
        <f t="shared" si="344"/>
        <v/>
      </c>
      <c r="T2237" t="str">
        <f t="shared" si="345"/>
        <v/>
      </c>
      <c r="U2237" t="str">
        <f t="shared" si="346"/>
        <v/>
      </c>
      <c r="V2237" t="str">
        <f t="shared" si="347"/>
        <v/>
      </c>
      <c r="W2237" t="str">
        <f t="shared" si="348"/>
        <v/>
      </c>
      <c r="X2237">
        <f>IF($T2237="",N($X2236),IF(MATCH($T2237,$T$6:$T$10005,0)=ROW()-5,N($X2236)+1,N($X2236)))</f>
        <v>0</v>
      </c>
      <c r="Z2237" t="str">
        <f t="shared" si="349"/>
        <v/>
      </c>
      <c r="AA2237">
        <f>IF($V2237="",N($AA2236),IF(MATCH($V2237,$V$6:$V$10005,0)=ROW()-5,N($AA2236)+1,N($AA2236)))</f>
        <v>0</v>
      </c>
    </row>
    <row r="2238" spans="1:27" ht="21" customHeight="1" x14ac:dyDescent="0.95">
      <c r="A2238" s="56"/>
      <c r="B2238" s="57"/>
      <c r="C2238" s="57"/>
      <c r="D2238" s="57"/>
      <c r="E2238" s="56"/>
      <c r="F2238" s="57"/>
      <c r="G2238" s="57"/>
      <c r="H2238" s="56"/>
      <c r="I2238" s="56"/>
      <c r="J2238" s="58"/>
      <c r="K2238" s="58"/>
      <c r="L2238" s="13" t="str">
        <f t="shared" si="340"/>
        <v/>
      </c>
      <c r="M2238" s="13" t="str">
        <f t="shared" si="341"/>
        <v/>
      </c>
      <c r="Q2238" t="str">
        <f t="shared" si="342"/>
        <v/>
      </c>
      <c r="R2238" t="str">
        <f t="shared" si="343"/>
        <v/>
      </c>
      <c r="S2238" t="str">
        <f t="shared" si="344"/>
        <v/>
      </c>
      <c r="T2238" t="str">
        <f t="shared" si="345"/>
        <v/>
      </c>
      <c r="U2238" t="str">
        <f t="shared" si="346"/>
        <v/>
      </c>
      <c r="V2238" t="str">
        <f t="shared" si="347"/>
        <v/>
      </c>
      <c r="W2238" t="str">
        <f t="shared" si="348"/>
        <v/>
      </c>
      <c r="X2238">
        <f>IF($T2238="",N($X2237),IF(MATCH($T2238,$T$6:$T$10005,0)=ROW()-5,N($X2237)+1,N($X2237)))</f>
        <v>0</v>
      </c>
      <c r="Z2238" t="str">
        <f t="shared" si="349"/>
        <v/>
      </c>
      <c r="AA2238">
        <f>IF($V2238="",N($AA2237),IF(MATCH($V2238,$V$6:$V$10005,0)=ROW()-5,N($AA2237)+1,N($AA2237)))</f>
        <v>0</v>
      </c>
    </row>
    <row r="2239" spans="1:27" ht="21" customHeight="1" x14ac:dyDescent="0.95">
      <c r="A2239" s="56"/>
      <c r="B2239" s="57"/>
      <c r="C2239" s="57"/>
      <c r="D2239" s="57"/>
      <c r="E2239" s="56"/>
      <c r="F2239" s="57"/>
      <c r="G2239" s="57"/>
      <c r="H2239" s="56"/>
      <c r="I2239" s="56"/>
      <c r="J2239" s="58"/>
      <c r="K2239" s="58"/>
      <c r="L2239" s="13" t="str">
        <f t="shared" si="340"/>
        <v/>
      </c>
      <c r="M2239" s="13" t="str">
        <f t="shared" si="341"/>
        <v/>
      </c>
      <c r="Q2239" t="str">
        <f t="shared" si="342"/>
        <v/>
      </c>
      <c r="R2239" t="str">
        <f t="shared" si="343"/>
        <v/>
      </c>
      <c r="S2239" t="str">
        <f t="shared" si="344"/>
        <v/>
      </c>
      <c r="T2239" t="str">
        <f t="shared" si="345"/>
        <v/>
      </c>
      <c r="U2239" t="str">
        <f t="shared" si="346"/>
        <v/>
      </c>
      <c r="V2239" t="str">
        <f t="shared" si="347"/>
        <v/>
      </c>
      <c r="W2239" t="str">
        <f t="shared" si="348"/>
        <v/>
      </c>
      <c r="X2239">
        <f>IF($T2239="",N($X2238),IF(MATCH($T2239,$T$6:$T$10005,0)=ROW()-5,N($X2238)+1,N($X2238)))</f>
        <v>0</v>
      </c>
      <c r="Z2239" t="str">
        <f t="shared" si="349"/>
        <v/>
      </c>
      <c r="AA2239">
        <f>IF($V2239="",N($AA2238),IF(MATCH($V2239,$V$6:$V$10005,0)=ROW()-5,N($AA2238)+1,N($AA2238)))</f>
        <v>0</v>
      </c>
    </row>
    <row r="2240" spans="1:27" ht="21" customHeight="1" x14ac:dyDescent="0.95">
      <c r="A2240" s="56"/>
      <c r="B2240" s="57"/>
      <c r="C2240" s="57"/>
      <c r="D2240" s="57"/>
      <c r="E2240" s="56"/>
      <c r="F2240" s="57"/>
      <c r="G2240" s="57"/>
      <c r="H2240" s="56"/>
      <c r="I2240" s="56"/>
      <c r="J2240" s="58"/>
      <c r="K2240" s="58"/>
      <c r="L2240" s="13" t="str">
        <f t="shared" si="340"/>
        <v/>
      </c>
      <c r="M2240" s="13" t="str">
        <f t="shared" si="341"/>
        <v/>
      </c>
      <c r="Q2240" t="str">
        <f t="shared" si="342"/>
        <v/>
      </c>
      <c r="R2240" t="str">
        <f t="shared" si="343"/>
        <v/>
      </c>
      <c r="S2240" t="str">
        <f t="shared" si="344"/>
        <v/>
      </c>
      <c r="T2240" t="str">
        <f t="shared" si="345"/>
        <v/>
      </c>
      <c r="U2240" t="str">
        <f t="shared" si="346"/>
        <v/>
      </c>
      <c r="V2240" t="str">
        <f t="shared" si="347"/>
        <v/>
      </c>
      <c r="W2240" t="str">
        <f t="shared" si="348"/>
        <v/>
      </c>
      <c r="X2240">
        <f>IF($T2240="",N($X2239),IF(MATCH($T2240,$T$6:$T$10005,0)=ROW()-5,N($X2239)+1,N($X2239)))</f>
        <v>0</v>
      </c>
      <c r="Z2240" t="str">
        <f t="shared" si="349"/>
        <v/>
      </c>
      <c r="AA2240">
        <f>IF($V2240="",N($AA2239),IF(MATCH($V2240,$V$6:$V$10005,0)=ROW()-5,N($AA2239)+1,N($AA2239)))</f>
        <v>0</v>
      </c>
    </row>
    <row r="2241" spans="1:27" ht="21" customHeight="1" x14ac:dyDescent="0.95">
      <c r="A2241" s="56"/>
      <c r="B2241" s="57"/>
      <c r="C2241" s="57"/>
      <c r="D2241" s="57"/>
      <c r="E2241" s="56"/>
      <c r="F2241" s="57"/>
      <c r="G2241" s="57"/>
      <c r="H2241" s="56"/>
      <c r="I2241" s="56"/>
      <c r="J2241" s="58"/>
      <c r="K2241" s="58"/>
      <c r="L2241" s="13" t="str">
        <f t="shared" si="340"/>
        <v/>
      </c>
      <c r="M2241" s="13" t="str">
        <f t="shared" si="341"/>
        <v/>
      </c>
      <c r="Q2241" t="str">
        <f t="shared" si="342"/>
        <v/>
      </c>
      <c r="R2241" t="str">
        <f t="shared" si="343"/>
        <v/>
      </c>
      <c r="S2241" t="str">
        <f t="shared" si="344"/>
        <v/>
      </c>
      <c r="T2241" t="str">
        <f t="shared" si="345"/>
        <v/>
      </c>
      <c r="U2241" t="str">
        <f t="shared" si="346"/>
        <v/>
      </c>
      <c r="V2241" t="str">
        <f t="shared" si="347"/>
        <v/>
      </c>
      <c r="W2241" t="str">
        <f t="shared" si="348"/>
        <v/>
      </c>
      <c r="X2241">
        <f>IF($T2241="",N($X2240),IF(MATCH($T2241,$T$6:$T$10005,0)=ROW()-5,N($X2240)+1,N($X2240)))</f>
        <v>0</v>
      </c>
      <c r="Z2241" t="str">
        <f t="shared" si="349"/>
        <v/>
      </c>
      <c r="AA2241">
        <f>IF($V2241="",N($AA2240),IF(MATCH($V2241,$V$6:$V$10005,0)=ROW()-5,N($AA2240)+1,N($AA2240)))</f>
        <v>0</v>
      </c>
    </row>
    <row r="2242" spans="1:27" ht="21" customHeight="1" x14ac:dyDescent="0.95">
      <c r="A2242" s="56"/>
      <c r="B2242" s="57"/>
      <c r="C2242" s="57"/>
      <c r="D2242" s="57"/>
      <c r="E2242" s="56"/>
      <c r="F2242" s="57"/>
      <c r="G2242" s="57"/>
      <c r="H2242" s="56"/>
      <c r="I2242" s="56"/>
      <c r="J2242" s="58"/>
      <c r="K2242" s="58"/>
      <c r="L2242" s="13" t="str">
        <f t="shared" si="340"/>
        <v/>
      </c>
      <c r="M2242" s="13" t="str">
        <f t="shared" si="341"/>
        <v/>
      </c>
      <c r="Q2242" t="str">
        <f t="shared" si="342"/>
        <v/>
      </c>
      <c r="R2242" t="str">
        <f t="shared" si="343"/>
        <v/>
      </c>
      <c r="S2242" t="str">
        <f t="shared" si="344"/>
        <v/>
      </c>
      <c r="T2242" t="str">
        <f t="shared" si="345"/>
        <v/>
      </c>
      <c r="U2242" t="str">
        <f t="shared" si="346"/>
        <v/>
      </c>
      <c r="V2242" t="str">
        <f t="shared" si="347"/>
        <v/>
      </c>
      <c r="W2242" t="str">
        <f t="shared" si="348"/>
        <v/>
      </c>
      <c r="X2242">
        <f>IF($T2242="",N($X2241),IF(MATCH($T2242,$T$6:$T$10005,0)=ROW()-5,N($X2241)+1,N($X2241)))</f>
        <v>0</v>
      </c>
      <c r="Z2242" t="str">
        <f t="shared" si="349"/>
        <v/>
      </c>
      <c r="AA2242">
        <f>IF($V2242="",N($AA2241),IF(MATCH($V2242,$V$6:$V$10005,0)=ROW()-5,N($AA2241)+1,N($AA2241)))</f>
        <v>0</v>
      </c>
    </row>
    <row r="2243" spans="1:27" ht="21" customHeight="1" x14ac:dyDescent="0.95">
      <c r="A2243" s="56"/>
      <c r="B2243" s="57"/>
      <c r="C2243" s="57"/>
      <c r="D2243" s="57"/>
      <c r="E2243" s="56"/>
      <c r="F2243" s="57"/>
      <c r="G2243" s="57"/>
      <c r="H2243" s="56"/>
      <c r="I2243" s="56"/>
      <c r="J2243" s="58"/>
      <c r="K2243" s="58"/>
      <c r="L2243" s="13" t="str">
        <f t="shared" si="340"/>
        <v/>
      </c>
      <c r="M2243" s="13" t="str">
        <f t="shared" si="341"/>
        <v/>
      </c>
      <c r="Q2243" t="str">
        <f t="shared" si="342"/>
        <v/>
      </c>
      <c r="R2243" t="str">
        <f t="shared" si="343"/>
        <v/>
      </c>
      <c r="S2243" t="str">
        <f t="shared" si="344"/>
        <v/>
      </c>
      <c r="T2243" t="str">
        <f t="shared" si="345"/>
        <v/>
      </c>
      <c r="U2243" t="str">
        <f t="shared" si="346"/>
        <v/>
      </c>
      <c r="V2243" t="str">
        <f t="shared" si="347"/>
        <v/>
      </c>
      <c r="W2243" t="str">
        <f t="shared" si="348"/>
        <v/>
      </c>
      <c r="X2243">
        <f>IF($T2243="",N($X2242),IF(MATCH($T2243,$T$6:$T$10005,0)=ROW()-5,N($X2242)+1,N($X2242)))</f>
        <v>0</v>
      </c>
      <c r="Z2243" t="str">
        <f t="shared" si="349"/>
        <v/>
      </c>
      <c r="AA2243">
        <f>IF($V2243="",N($AA2242),IF(MATCH($V2243,$V$6:$V$10005,0)=ROW()-5,N($AA2242)+1,N($AA2242)))</f>
        <v>0</v>
      </c>
    </row>
    <row r="2244" spans="1:27" ht="21" customHeight="1" x14ac:dyDescent="0.95">
      <c r="A2244" s="56"/>
      <c r="B2244" s="57"/>
      <c r="C2244" s="57"/>
      <c r="D2244" s="57"/>
      <c r="E2244" s="56"/>
      <c r="F2244" s="57"/>
      <c r="G2244" s="57"/>
      <c r="H2244" s="56"/>
      <c r="I2244" s="56"/>
      <c r="J2244" s="58"/>
      <c r="K2244" s="58"/>
      <c r="L2244" s="13" t="str">
        <f t="shared" si="340"/>
        <v/>
      </c>
      <c r="M2244" s="13" t="str">
        <f t="shared" si="341"/>
        <v/>
      </c>
      <c r="Q2244" t="str">
        <f t="shared" si="342"/>
        <v/>
      </c>
      <c r="R2244" t="str">
        <f t="shared" si="343"/>
        <v/>
      </c>
      <c r="S2244" t="str">
        <f t="shared" si="344"/>
        <v/>
      </c>
      <c r="T2244" t="str">
        <f t="shared" si="345"/>
        <v/>
      </c>
      <c r="U2244" t="str">
        <f t="shared" si="346"/>
        <v/>
      </c>
      <c r="V2244" t="str">
        <f t="shared" si="347"/>
        <v/>
      </c>
      <c r="W2244" t="str">
        <f t="shared" si="348"/>
        <v/>
      </c>
      <c r="X2244">
        <f>IF($T2244="",N($X2243),IF(MATCH($T2244,$T$6:$T$10005,0)=ROW()-5,N($X2243)+1,N($X2243)))</f>
        <v>0</v>
      </c>
      <c r="Z2244" t="str">
        <f t="shared" si="349"/>
        <v/>
      </c>
      <c r="AA2244">
        <f>IF($V2244="",N($AA2243),IF(MATCH($V2244,$V$6:$V$10005,0)=ROW()-5,N($AA2243)+1,N($AA2243)))</f>
        <v>0</v>
      </c>
    </row>
    <row r="2245" spans="1:27" ht="21" customHeight="1" x14ac:dyDescent="0.95">
      <c r="A2245" s="56"/>
      <c r="B2245" s="57"/>
      <c r="C2245" s="57"/>
      <c r="D2245" s="57"/>
      <c r="E2245" s="56"/>
      <c r="F2245" s="57"/>
      <c r="G2245" s="57"/>
      <c r="H2245" s="56"/>
      <c r="I2245" s="56"/>
      <c r="J2245" s="58"/>
      <c r="K2245" s="58"/>
      <c r="L2245" s="13" t="str">
        <f t="shared" si="340"/>
        <v/>
      </c>
      <c r="M2245" s="13" t="str">
        <f t="shared" si="341"/>
        <v/>
      </c>
      <c r="Q2245" t="str">
        <f t="shared" si="342"/>
        <v/>
      </c>
      <c r="R2245" t="str">
        <f t="shared" si="343"/>
        <v/>
      </c>
      <c r="S2245" t="str">
        <f t="shared" si="344"/>
        <v/>
      </c>
      <c r="T2245" t="str">
        <f t="shared" si="345"/>
        <v/>
      </c>
      <c r="U2245" t="str">
        <f t="shared" si="346"/>
        <v/>
      </c>
      <c r="V2245" t="str">
        <f t="shared" si="347"/>
        <v/>
      </c>
      <c r="W2245" t="str">
        <f t="shared" si="348"/>
        <v/>
      </c>
      <c r="X2245">
        <f>IF($T2245="",N($X2244),IF(MATCH($T2245,$T$6:$T$10005,0)=ROW()-5,N($X2244)+1,N($X2244)))</f>
        <v>0</v>
      </c>
      <c r="Z2245" t="str">
        <f t="shared" si="349"/>
        <v/>
      </c>
      <c r="AA2245">
        <f>IF($V2245="",N($AA2244),IF(MATCH($V2245,$V$6:$V$10005,0)=ROW()-5,N($AA2244)+1,N($AA2244)))</f>
        <v>0</v>
      </c>
    </row>
    <row r="2246" spans="1:27" ht="21" customHeight="1" x14ac:dyDescent="0.95">
      <c r="A2246" s="56"/>
      <c r="B2246" s="57"/>
      <c r="C2246" s="57"/>
      <c r="D2246" s="57"/>
      <c r="E2246" s="56"/>
      <c r="F2246" s="57"/>
      <c r="G2246" s="57"/>
      <c r="H2246" s="56"/>
      <c r="I2246" s="56"/>
      <c r="J2246" s="58"/>
      <c r="K2246" s="58"/>
      <c r="L2246" s="13" t="str">
        <f t="shared" ref="L2246:L2309" si="350">IF(OR($A2246="",AND($J2246="",$K2246="")),"",ROUND(N($J2246)-N($K2246),2))</f>
        <v/>
      </c>
      <c r="M2246" s="13" t="str">
        <f t="shared" ref="M2246:M2309" si="351">IF(OR($A2246="",AND($J2246="",$K2246="")),"",MIN($J2246,$K2246))</f>
        <v/>
      </c>
      <c r="Q2246" t="str">
        <f t="shared" ref="Q2246:Q2309" si="352">IF($A2246="","",$D2246&amp;"("&amp;SUBSTITUTE($E2246," ","")&amp;")")</f>
        <v/>
      </c>
      <c r="R2246" t="str">
        <f t="shared" ref="R2246:R2309" si="353">IF($A2246="","",$B2246&amp;" - "&amp;$C2246)</f>
        <v/>
      </c>
      <c r="S2246" t="str">
        <f t="shared" ref="S2246:S2309" si="354">IF($A2246="","",$R2246&amp;"|"&amp;$Q2246)</f>
        <v/>
      </c>
      <c r="T2246" t="str">
        <f t="shared" ref="T2246:T2309" si="355">IF($A2246="","",$S2246&amp;"|"&amp;$F2246)</f>
        <v/>
      </c>
      <c r="U2246" t="str">
        <f t="shared" ref="U2246:U2309" si="356">IF($A2246="","",$R2246&amp;"("&amp;$E2246&amp;")")</f>
        <v/>
      </c>
      <c r="V2246" t="str">
        <f t="shared" ref="V2246:V2309" si="357">IF($A2246="","",$F2246&amp;"|"&amp;$U2246&amp;"|"&amp;$D2246)</f>
        <v/>
      </c>
      <c r="W2246" t="str">
        <f t="shared" ref="W2246:W2309" si="358">IF($T2246="","",IF($X2246&gt;N($X2245),$X2246,""))</f>
        <v/>
      </c>
      <c r="X2246">
        <f>IF($T2246="",N($X2245),IF(MATCH($T2246,$T$6:$T$10005,0)=ROW()-5,N($X2245)+1,N($X2245)))</f>
        <v>0</v>
      </c>
      <c r="Z2246" t="str">
        <f t="shared" ref="Z2246:Z2309" si="359">IF($V2246="","",IF($AA2246&gt;N($AA2245),$AA2246,""))</f>
        <v/>
      </c>
      <c r="AA2246">
        <f>IF($V2246="",N($AA2245),IF(MATCH($V2246,$V$6:$V$10005,0)=ROW()-5,N($AA2245)+1,N($AA2245)))</f>
        <v>0</v>
      </c>
    </row>
    <row r="2247" spans="1:27" ht="21" customHeight="1" x14ac:dyDescent="0.95">
      <c r="A2247" s="56"/>
      <c r="B2247" s="57"/>
      <c r="C2247" s="57"/>
      <c r="D2247" s="57"/>
      <c r="E2247" s="56"/>
      <c r="F2247" s="57"/>
      <c r="G2247" s="57"/>
      <c r="H2247" s="56"/>
      <c r="I2247" s="56"/>
      <c r="J2247" s="58"/>
      <c r="K2247" s="58"/>
      <c r="L2247" s="13" t="str">
        <f t="shared" si="350"/>
        <v/>
      </c>
      <c r="M2247" s="13" t="str">
        <f t="shared" si="351"/>
        <v/>
      </c>
      <c r="Q2247" t="str">
        <f t="shared" si="352"/>
        <v/>
      </c>
      <c r="R2247" t="str">
        <f t="shared" si="353"/>
        <v/>
      </c>
      <c r="S2247" t="str">
        <f t="shared" si="354"/>
        <v/>
      </c>
      <c r="T2247" t="str">
        <f t="shared" si="355"/>
        <v/>
      </c>
      <c r="U2247" t="str">
        <f t="shared" si="356"/>
        <v/>
      </c>
      <c r="V2247" t="str">
        <f t="shared" si="357"/>
        <v/>
      </c>
      <c r="W2247" t="str">
        <f t="shared" si="358"/>
        <v/>
      </c>
      <c r="X2247">
        <f>IF($T2247="",N($X2246),IF(MATCH($T2247,$T$6:$T$10005,0)=ROW()-5,N($X2246)+1,N($X2246)))</f>
        <v>0</v>
      </c>
      <c r="Z2247" t="str">
        <f t="shared" si="359"/>
        <v/>
      </c>
      <c r="AA2247">
        <f>IF($V2247="",N($AA2246),IF(MATCH($V2247,$V$6:$V$10005,0)=ROW()-5,N($AA2246)+1,N($AA2246)))</f>
        <v>0</v>
      </c>
    </row>
    <row r="2248" spans="1:27" ht="21" customHeight="1" x14ac:dyDescent="0.95">
      <c r="A2248" s="56"/>
      <c r="B2248" s="57"/>
      <c r="C2248" s="57"/>
      <c r="D2248" s="57"/>
      <c r="E2248" s="56"/>
      <c r="F2248" s="57"/>
      <c r="G2248" s="57"/>
      <c r="H2248" s="56"/>
      <c r="I2248" s="56"/>
      <c r="J2248" s="58"/>
      <c r="K2248" s="58"/>
      <c r="L2248" s="13" t="str">
        <f t="shared" si="350"/>
        <v/>
      </c>
      <c r="M2248" s="13" t="str">
        <f t="shared" si="351"/>
        <v/>
      </c>
      <c r="Q2248" t="str">
        <f t="shared" si="352"/>
        <v/>
      </c>
      <c r="R2248" t="str">
        <f t="shared" si="353"/>
        <v/>
      </c>
      <c r="S2248" t="str">
        <f t="shared" si="354"/>
        <v/>
      </c>
      <c r="T2248" t="str">
        <f t="shared" si="355"/>
        <v/>
      </c>
      <c r="U2248" t="str">
        <f t="shared" si="356"/>
        <v/>
      </c>
      <c r="V2248" t="str">
        <f t="shared" si="357"/>
        <v/>
      </c>
      <c r="W2248" t="str">
        <f t="shared" si="358"/>
        <v/>
      </c>
      <c r="X2248">
        <f>IF($T2248="",N($X2247),IF(MATCH($T2248,$T$6:$T$10005,0)=ROW()-5,N($X2247)+1,N($X2247)))</f>
        <v>0</v>
      </c>
      <c r="Z2248" t="str">
        <f t="shared" si="359"/>
        <v/>
      </c>
      <c r="AA2248">
        <f>IF($V2248="",N($AA2247),IF(MATCH($V2248,$V$6:$V$10005,0)=ROW()-5,N($AA2247)+1,N($AA2247)))</f>
        <v>0</v>
      </c>
    </row>
    <row r="2249" spans="1:27" ht="21" customHeight="1" x14ac:dyDescent="0.95">
      <c r="A2249" s="56"/>
      <c r="B2249" s="57"/>
      <c r="C2249" s="57"/>
      <c r="D2249" s="57"/>
      <c r="E2249" s="56"/>
      <c r="F2249" s="57"/>
      <c r="G2249" s="57"/>
      <c r="H2249" s="56"/>
      <c r="I2249" s="56"/>
      <c r="J2249" s="58"/>
      <c r="K2249" s="58"/>
      <c r="L2249" s="13" t="str">
        <f t="shared" si="350"/>
        <v/>
      </c>
      <c r="M2249" s="13" t="str">
        <f t="shared" si="351"/>
        <v/>
      </c>
      <c r="Q2249" t="str">
        <f t="shared" si="352"/>
        <v/>
      </c>
      <c r="R2249" t="str">
        <f t="shared" si="353"/>
        <v/>
      </c>
      <c r="S2249" t="str">
        <f t="shared" si="354"/>
        <v/>
      </c>
      <c r="T2249" t="str">
        <f t="shared" si="355"/>
        <v/>
      </c>
      <c r="U2249" t="str">
        <f t="shared" si="356"/>
        <v/>
      </c>
      <c r="V2249" t="str">
        <f t="shared" si="357"/>
        <v/>
      </c>
      <c r="W2249" t="str">
        <f t="shared" si="358"/>
        <v/>
      </c>
      <c r="X2249">
        <f>IF($T2249="",N($X2248),IF(MATCH($T2249,$T$6:$T$10005,0)=ROW()-5,N($X2248)+1,N($X2248)))</f>
        <v>0</v>
      </c>
      <c r="Z2249" t="str">
        <f t="shared" si="359"/>
        <v/>
      </c>
      <c r="AA2249">
        <f>IF($V2249="",N($AA2248),IF(MATCH($V2249,$V$6:$V$10005,0)=ROW()-5,N($AA2248)+1,N($AA2248)))</f>
        <v>0</v>
      </c>
    </row>
    <row r="2250" spans="1:27" ht="21" customHeight="1" x14ac:dyDescent="0.95">
      <c r="A2250" s="56"/>
      <c r="B2250" s="57"/>
      <c r="C2250" s="57"/>
      <c r="D2250" s="57"/>
      <c r="E2250" s="56"/>
      <c r="F2250" s="57"/>
      <c r="G2250" s="57"/>
      <c r="H2250" s="56"/>
      <c r="I2250" s="56"/>
      <c r="J2250" s="58"/>
      <c r="K2250" s="58"/>
      <c r="L2250" s="13" t="str">
        <f t="shared" si="350"/>
        <v/>
      </c>
      <c r="M2250" s="13" t="str">
        <f t="shared" si="351"/>
        <v/>
      </c>
      <c r="Q2250" t="str">
        <f t="shared" si="352"/>
        <v/>
      </c>
      <c r="R2250" t="str">
        <f t="shared" si="353"/>
        <v/>
      </c>
      <c r="S2250" t="str">
        <f t="shared" si="354"/>
        <v/>
      </c>
      <c r="T2250" t="str">
        <f t="shared" si="355"/>
        <v/>
      </c>
      <c r="U2250" t="str">
        <f t="shared" si="356"/>
        <v/>
      </c>
      <c r="V2250" t="str">
        <f t="shared" si="357"/>
        <v/>
      </c>
      <c r="W2250" t="str">
        <f t="shared" si="358"/>
        <v/>
      </c>
      <c r="X2250">
        <f>IF($T2250="",N($X2249),IF(MATCH($T2250,$T$6:$T$10005,0)=ROW()-5,N($X2249)+1,N($X2249)))</f>
        <v>0</v>
      </c>
      <c r="Z2250" t="str">
        <f t="shared" si="359"/>
        <v/>
      </c>
      <c r="AA2250">
        <f>IF($V2250="",N($AA2249),IF(MATCH($V2250,$V$6:$V$10005,0)=ROW()-5,N($AA2249)+1,N($AA2249)))</f>
        <v>0</v>
      </c>
    </row>
    <row r="2251" spans="1:27" ht="21" customHeight="1" x14ac:dyDescent="0.95">
      <c r="A2251" s="56"/>
      <c r="B2251" s="57"/>
      <c r="C2251" s="57"/>
      <c r="D2251" s="57"/>
      <c r="E2251" s="56"/>
      <c r="F2251" s="57"/>
      <c r="G2251" s="57"/>
      <c r="H2251" s="56"/>
      <c r="I2251" s="56"/>
      <c r="J2251" s="58"/>
      <c r="K2251" s="58"/>
      <c r="L2251" s="13" t="str">
        <f t="shared" si="350"/>
        <v/>
      </c>
      <c r="M2251" s="13" t="str">
        <f t="shared" si="351"/>
        <v/>
      </c>
      <c r="Q2251" t="str">
        <f t="shared" si="352"/>
        <v/>
      </c>
      <c r="R2251" t="str">
        <f t="shared" si="353"/>
        <v/>
      </c>
      <c r="S2251" t="str">
        <f t="shared" si="354"/>
        <v/>
      </c>
      <c r="T2251" t="str">
        <f t="shared" si="355"/>
        <v/>
      </c>
      <c r="U2251" t="str">
        <f t="shared" si="356"/>
        <v/>
      </c>
      <c r="V2251" t="str">
        <f t="shared" si="357"/>
        <v/>
      </c>
      <c r="W2251" t="str">
        <f t="shared" si="358"/>
        <v/>
      </c>
      <c r="X2251">
        <f>IF($T2251="",N($X2250),IF(MATCH($T2251,$T$6:$T$10005,0)=ROW()-5,N($X2250)+1,N($X2250)))</f>
        <v>0</v>
      </c>
      <c r="Z2251" t="str">
        <f t="shared" si="359"/>
        <v/>
      </c>
      <c r="AA2251">
        <f>IF($V2251="",N($AA2250),IF(MATCH($V2251,$V$6:$V$10005,0)=ROW()-5,N($AA2250)+1,N($AA2250)))</f>
        <v>0</v>
      </c>
    </row>
    <row r="2252" spans="1:27" ht="21" customHeight="1" x14ac:dyDescent="0.95">
      <c r="A2252" s="56"/>
      <c r="B2252" s="57"/>
      <c r="C2252" s="57"/>
      <c r="D2252" s="57"/>
      <c r="E2252" s="56"/>
      <c r="F2252" s="57"/>
      <c r="G2252" s="57"/>
      <c r="H2252" s="56"/>
      <c r="I2252" s="56"/>
      <c r="J2252" s="58"/>
      <c r="K2252" s="58"/>
      <c r="L2252" s="13" t="str">
        <f t="shared" si="350"/>
        <v/>
      </c>
      <c r="M2252" s="13" t="str">
        <f t="shared" si="351"/>
        <v/>
      </c>
      <c r="Q2252" t="str">
        <f t="shared" si="352"/>
        <v/>
      </c>
      <c r="R2252" t="str">
        <f t="shared" si="353"/>
        <v/>
      </c>
      <c r="S2252" t="str">
        <f t="shared" si="354"/>
        <v/>
      </c>
      <c r="T2252" t="str">
        <f t="shared" si="355"/>
        <v/>
      </c>
      <c r="U2252" t="str">
        <f t="shared" si="356"/>
        <v/>
      </c>
      <c r="V2252" t="str">
        <f t="shared" si="357"/>
        <v/>
      </c>
      <c r="W2252" t="str">
        <f t="shared" si="358"/>
        <v/>
      </c>
      <c r="X2252">
        <f>IF($T2252="",N($X2251),IF(MATCH($T2252,$T$6:$T$10005,0)=ROW()-5,N($X2251)+1,N($X2251)))</f>
        <v>0</v>
      </c>
      <c r="Z2252" t="str">
        <f t="shared" si="359"/>
        <v/>
      </c>
      <c r="AA2252">
        <f>IF($V2252="",N($AA2251),IF(MATCH($V2252,$V$6:$V$10005,0)=ROW()-5,N($AA2251)+1,N($AA2251)))</f>
        <v>0</v>
      </c>
    </row>
    <row r="2253" spans="1:27" ht="21" customHeight="1" x14ac:dyDescent="0.95">
      <c r="A2253" s="56"/>
      <c r="B2253" s="57"/>
      <c r="C2253" s="57"/>
      <c r="D2253" s="57"/>
      <c r="E2253" s="56"/>
      <c r="F2253" s="57"/>
      <c r="G2253" s="57"/>
      <c r="H2253" s="56"/>
      <c r="I2253" s="56"/>
      <c r="J2253" s="58"/>
      <c r="K2253" s="58"/>
      <c r="L2253" s="13" t="str">
        <f t="shared" si="350"/>
        <v/>
      </c>
      <c r="M2253" s="13" t="str">
        <f t="shared" si="351"/>
        <v/>
      </c>
      <c r="Q2253" t="str">
        <f t="shared" si="352"/>
        <v/>
      </c>
      <c r="R2253" t="str">
        <f t="shared" si="353"/>
        <v/>
      </c>
      <c r="S2253" t="str">
        <f t="shared" si="354"/>
        <v/>
      </c>
      <c r="T2253" t="str">
        <f t="shared" si="355"/>
        <v/>
      </c>
      <c r="U2253" t="str">
        <f t="shared" si="356"/>
        <v/>
      </c>
      <c r="V2253" t="str">
        <f t="shared" si="357"/>
        <v/>
      </c>
      <c r="W2253" t="str">
        <f t="shared" si="358"/>
        <v/>
      </c>
      <c r="X2253">
        <f>IF($T2253="",N($X2252),IF(MATCH($T2253,$T$6:$T$10005,0)=ROW()-5,N($X2252)+1,N($X2252)))</f>
        <v>0</v>
      </c>
      <c r="Z2253" t="str">
        <f t="shared" si="359"/>
        <v/>
      </c>
      <c r="AA2253">
        <f>IF($V2253="",N($AA2252),IF(MATCH($V2253,$V$6:$V$10005,0)=ROW()-5,N($AA2252)+1,N($AA2252)))</f>
        <v>0</v>
      </c>
    </row>
    <row r="2254" spans="1:27" ht="21" customHeight="1" x14ac:dyDescent="0.95">
      <c r="A2254" s="56"/>
      <c r="B2254" s="57"/>
      <c r="C2254" s="57"/>
      <c r="D2254" s="57"/>
      <c r="E2254" s="56"/>
      <c r="F2254" s="57"/>
      <c r="G2254" s="57"/>
      <c r="H2254" s="56"/>
      <c r="I2254" s="56"/>
      <c r="J2254" s="58"/>
      <c r="K2254" s="58"/>
      <c r="L2254" s="13" t="str">
        <f t="shared" si="350"/>
        <v/>
      </c>
      <c r="M2254" s="13" t="str">
        <f t="shared" si="351"/>
        <v/>
      </c>
      <c r="Q2254" t="str">
        <f t="shared" si="352"/>
        <v/>
      </c>
      <c r="R2254" t="str">
        <f t="shared" si="353"/>
        <v/>
      </c>
      <c r="S2254" t="str">
        <f t="shared" si="354"/>
        <v/>
      </c>
      <c r="T2254" t="str">
        <f t="shared" si="355"/>
        <v/>
      </c>
      <c r="U2254" t="str">
        <f t="shared" si="356"/>
        <v/>
      </c>
      <c r="V2254" t="str">
        <f t="shared" si="357"/>
        <v/>
      </c>
      <c r="W2254" t="str">
        <f t="shared" si="358"/>
        <v/>
      </c>
      <c r="X2254">
        <f>IF($T2254="",N($X2253),IF(MATCH($T2254,$T$6:$T$10005,0)=ROW()-5,N($X2253)+1,N($X2253)))</f>
        <v>0</v>
      </c>
      <c r="Z2254" t="str">
        <f t="shared" si="359"/>
        <v/>
      </c>
      <c r="AA2254">
        <f>IF($V2254="",N($AA2253),IF(MATCH($V2254,$V$6:$V$10005,0)=ROW()-5,N($AA2253)+1,N($AA2253)))</f>
        <v>0</v>
      </c>
    </row>
    <row r="2255" spans="1:27" ht="21" customHeight="1" x14ac:dyDescent="0.95">
      <c r="A2255" s="56"/>
      <c r="B2255" s="57"/>
      <c r="C2255" s="57"/>
      <c r="D2255" s="57"/>
      <c r="E2255" s="56"/>
      <c r="F2255" s="57"/>
      <c r="G2255" s="57"/>
      <c r="H2255" s="56"/>
      <c r="I2255" s="56"/>
      <c r="J2255" s="58"/>
      <c r="K2255" s="58"/>
      <c r="L2255" s="13" t="str">
        <f t="shared" si="350"/>
        <v/>
      </c>
      <c r="M2255" s="13" t="str">
        <f t="shared" si="351"/>
        <v/>
      </c>
      <c r="Q2255" t="str">
        <f t="shared" si="352"/>
        <v/>
      </c>
      <c r="R2255" t="str">
        <f t="shared" si="353"/>
        <v/>
      </c>
      <c r="S2255" t="str">
        <f t="shared" si="354"/>
        <v/>
      </c>
      <c r="T2255" t="str">
        <f t="shared" si="355"/>
        <v/>
      </c>
      <c r="U2255" t="str">
        <f t="shared" si="356"/>
        <v/>
      </c>
      <c r="V2255" t="str">
        <f t="shared" si="357"/>
        <v/>
      </c>
      <c r="W2255" t="str">
        <f t="shared" si="358"/>
        <v/>
      </c>
      <c r="X2255">
        <f>IF($T2255="",N($X2254),IF(MATCH($T2255,$T$6:$T$10005,0)=ROW()-5,N($X2254)+1,N($X2254)))</f>
        <v>0</v>
      </c>
      <c r="Z2255" t="str">
        <f t="shared" si="359"/>
        <v/>
      </c>
      <c r="AA2255">
        <f>IF($V2255="",N($AA2254),IF(MATCH($V2255,$V$6:$V$10005,0)=ROW()-5,N($AA2254)+1,N($AA2254)))</f>
        <v>0</v>
      </c>
    </row>
    <row r="2256" spans="1:27" ht="21" customHeight="1" x14ac:dyDescent="0.95">
      <c r="A2256" s="56"/>
      <c r="B2256" s="57"/>
      <c r="C2256" s="57"/>
      <c r="D2256" s="57"/>
      <c r="E2256" s="56"/>
      <c r="F2256" s="57"/>
      <c r="G2256" s="57"/>
      <c r="H2256" s="56"/>
      <c r="I2256" s="56"/>
      <c r="J2256" s="58"/>
      <c r="K2256" s="58"/>
      <c r="L2256" s="13" t="str">
        <f t="shared" si="350"/>
        <v/>
      </c>
      <c r="M2256" s="13" t="str">
        <f t="shared" si="351"/>
        <v/>
      </c>
      <c r="Q2256" t="str">
        <f t="shared" si="352"/>
        <v/>
      </c>
      <c r="R2256" t="str">
        <f t="shared" si="353"/>
        <v/>
      </c>
      <c r="S2256" t="str">
        <f t="shared" si="354"/>
        <v/>
      </c>
      <c r="T2256" t="str">
        <f t="shared" si="355"/>
        <v/>
      </c>
      <c r="U2256" t="str">
        <f t="shared" si="356"/>
        <v/>
      </c>
      <c r="V2256" t="str">
        <f t="shared" si="357"/>
        <v/>
      </c>
      <c r="W2256" t="str">
        <f t="shared" si="358"/>
        <v/>
      </c>
      <c r="X2256">
        <f>IF($T2256="",N($X2255),IF(MATCH($T2256,$T$6:$T$10005,0)=ROW()-5,N($X2255)+1,N($X2255)))</f>
        <v>0</v>
      </c>
      <c r="Z2256" t="str">
        <f t="shared" si="359"/>
        <v/>
      </c>
      <c r="AA2256">
        <f>IF($V2256="",N($AA2255),IF(MATCH($V2256,$V$6:$V$10005,0)=ROW()-5,N($AA2255)+1,N($AA2255)))</f>
        <v>0</v>
      </c>
    </row>
    <row r="2257" spans="1:27" ht="21" customHeight="1" x14ac:dyDescent="0.95">
      <c r="A2257" s="56"/>
      <c r="B2257" s="57"/>
      <c r="C2257" s="57"/>
      <c r="D2257" s="57"/>
      <c r="E2257" s="56"/>
      <c r="F2257" s="57"/>
      <c r="G2257" s="57"/>
      <c r="H2257" s="56"/>
      <c r="I2257" s="56"/>
      <c r="J2257" s="58"/>
      <c r="K2257" s="58"/>
      <c r="L2257" s="13" t="str">
        <f t="shared" si="350"/>
        <v/>
      </c>
      <c r="M2257" s="13" t="str">
        <f t="shared" si="351"/>
        <v/>
      </c>
      <c r="Q2257" t="str">
        <f t="shared" si="352"/>
        <v/>
      </c>
      <c r="R2257" t="str">
        <f t="shared" si="353"/>
        <v/>
      </c>
      <c r="S2257" t="str">
        <f t="shared" si="354"/>
        <v/>
      </c>
      <c r="T2257" t="str">
        <f t="shared" si="355"/>
        <v/>
      </c>
      <c r="U2257" t="str">
        <f t="shared" si="356"/>
        <v/>
      </c>
      <c r="V2257" t="str">
        <f t="shared" si="357"/>
        <v/>
      </c>
      <c r="W2257" t="str">
        <f t="shared" si="358"/>
        <v/>
      </c>
      <c r="X2257">
        <f>IF($T2257="",N($X2256),IF(MATCH($T2257,$T$6:$T$10005,0)=ROW()-5,N($X2256)+1,N($X2256)))</f>
        <v>0</v>
      </c>
      <c r="Z2257" t="str">
        <f t="shared" si="359"/>
        <v/>
      </c>
      <c r="AA2257">
        <f>IF($V2257="",N($AA2256),IF(MATCH($V2257,$V$6:$V$10005,0)=ROW()-5,N($AA2256)+1,N($AA2256)))</f>
        <v>0</v>
      </c>
    </row>
    <row r="2258" spans="1:27" ht="21" customHeight="1" x14ac:dyDescent="0.95">
      <c r="A2258" s="56"/>
      <c r="B2258" s="57"/>
      <c r="C2258" s="57"/>
      <c r="D2258" s="57"/>
      <c r="E2258" s="56"/>
      <c r="F2258" s="57"/>
      <c r="G2258" s="57"/>
      <c r="H2258" s="56"/>
      <c r="I2258" s="56"/>
      <c r="J2258" s="58"/>
      <c r="K2258" s="58"/>
      <c r="L2258" s="13" t="str">
        <f t="shared" si="350"/>
        <v/>
      </c>
      <c r="M2258" s="13" t="str">
        <f t="shared" si="351"/>
        <v/>
      </c>
      <c r="Q2258" t="str">
        <f t="shared" si="352"/>
        <v/>
      </c>
      <c r="R2258" t="str">
        <f t="shared" si="353"/>
        <v/>
      </c>
      <c r="S2258" t="str">
        <f t="shared" si="354"/>
        <v/>
      </c>
      <c r="T2258" t="str">
        <f t="shared" si="355"/>
        <v/>
      </c>
      <c r="U2258" t="str">
        <f t="shared" si="356"/>
        <v/>
      </c>
      <c r="V2258" t="str">
        <f t="shared" si="357"/>
        <v/>
      </c>
      <c r="W2258" t="str">
        <f t="shared" si="358"/>
        <v/>
      </c>
      <c r="X2258">
        <f>IF($T2258="",N($X2257),IF(MATCH($T2258,$T$6:$T$10005,0)=ROW()-5,N($X2257)+1,N($X2257)))</f>
        <v>0</v>
      </c>
      <c r="Z2258" t="str">
        <f t="shared" si="359"/>
        <v/>
      </c>
      <c r="AA2258">
        <f>IF($V2258="",N($AA2257),IF(MATCH($V2258,$V$6:$V$10005,0)=ROW()-5,N($AA2257)+1,N($AA2257)))</f>
        <v>0</v>
      </c>
    </row>
    <row r="2259" spans="1:27" ht="21" customHeight="1" x14ac:dyDescent="0.95">
      <c r="A2259" s="56"/>
      <c r="B2259" s="57"/>
      <c r="C2259" s="57"/>
      <c r="D2259" s="57"/>
      <c r="E2259" s="56"/>
      <c r="F2259" s="57"/>
      <c r="G2259" s="57"/>
      <c r="H2259" s="56"/>
      <c r="I2259" s="56"/>
      <c r="J2259" s="58"/>
      <c r="K2259" s="58"/>
      <c r="L2259" s="13" t="str">
        <f t="shared" si="350"/>
        <v/>
      </c>
      <c r="M2259" s="13" t="str">
        <f t="shared" si="351"/>
        <v/>
      </c>
      <c r="Q2259" t="str">
        <f t="shared" si="352"/>
        <v/>
      </c>
      <c r="R2259" t="str">
        <f t="shared" si="353"/>
        <v/>
      </c>
      <c r="S2259" t="str">
        <f t="shared" si="354"/>
        <v/>
      </c>
      <c r="T2259" t="str">
        <f t="shared" si="355"/>
        <v/>
      </c>
      <c r="U2259" t="str">
        <f t="shared" si="356"/>
        <v/>
      </c>
      <c r="V2259" t="str">
        <f t="shared" si="357"/>
        <v/>
      </c>
      <c r="W2259" t="str">
        <f t="shared" si="358"/>
        <v/>
      </c>
      <c r="X2259">
        <f>IF($T2259="",N($X2258),IF(MATCH($T2259,$T$6:$T$10005,0)=ROW()-5,N($X2258)+1,N($X2258)))</f>
        <v>0</v>
      </c>
      <c r="Z2259" t="str">
        <f t="shared" si="359"/>
        <v/>
      </c>
      <c r="AA2259">
        <f>IF($V2259="",N($AA2258),IF(MATCH($V2259,$V$6:$V$10005,0)=ROW()-5,N($AA2258)+1,N($AA2258)))</f>
        <v>0</v>
      </c>
    </row>
    <row r="2260" spans="1:27" ht="21" customHeight="1" x14ac:dyDescent="0.95">
      <c r="A2260" s="56"/>
      <c r="B2260" s="57"/>
      <c r="C2260" s="57"/>
      <c r="D2260" s="57"/>
      <c r="E2260" s="56"/>
      <c r="F2260" s="57"/>
      <c r="G2260" s="57"/>
      <c r="H2260" s="56"/>
      <c r="I2260" s="56"/>
      <c r="J2260" s="58"/>
      <c r="K2260" s="58"/>
      <c r="L2260" s="13" t="str">
        <f t="shared" si="350"/>
        <v/>
      </c>
      <c r="M2260" s="13" t="str">
        <f t="shared" si="351"/>
        <v/>
      </c>
      <c r="Q2260" t="str">
        <f t="shared" si="352"/>
        <v/>
      </c>
      <c r="R2260" t="str">
        <f t="shared" si="353"/>
        <v/>
      </c>
      <c r="S2260" t="str">
        <f t="shared" si="354"/>
        <v/>
      </c>
      <c r="T2260" t="str">
        <f t="shared" si="355"/>
        <v/>
      </c>
      <c r="U2260" t="str">
        <f t="shared" si="356"/>
        <v/>
      </c>
      <c r="V2260" t="str">
        <f t="shared" si="357"/>
        <v/>
      </c>
      <c r="W2260" t="str">
        <f t="shared" si="358"/>
        <v/>
      </c>
      <c r="X2260">
        <f>IF($T2260="",N($X2259),IF(MATCH($T2260,$T$6:$T$10005,0)=ROW()-5,N($X2259)+1,N($X2259)))</f>
        <v>0</v>
      </c>
      <c r="Z2260" t="str">
        <f t="shared" si="359"/>
        <v/>
      </c>
      <c r="AA2260">
        <f>IF($V2260="",N($AA2259),IF(MATCH($V2260,$V$6:$V$10005,0)=ROW()-5,N($AA2259)+1,N($AA2259)))</f>
        <v>0</v>
      </c>
    </row>
    <row r="2261" spans="1:27" ht="21" customHeight="1" x14ac:dyDescent="0.95">
      <c r="A2261" s="56"/>
      <c r="B2261" s="57"/>
      <c r="C2261" s="57"/>
      <c r="D2261" s="57"/>
      <c r="E2261" s="56"/>
      <c r="F2261" s="57"/>
      <c r="G2261" s="57"/>
      <c r="H2261" s="56"/>
      <c r="I2261" s="56"/>
      <c r="J2261" s="58"/>
      <c r="K2261" s="58"/>
      <c r="L2261" s="13" t="str">
        <f t="shared" si="350"/>
        <v/>
      </c>
      <c r="M2261" s="13" t="str">
        <f t="shared" si="351"/>
        <v/>
      </c>
      <c r="Q2261" t="str">
        <f t="shared" si="352"/>
        <v/>
      </c>
      <c r="R2261" t="str">
        <f t="shared" si="353"/>
        <v/>
      </c>
      <c r="S2261" t="str">
        <f t="shared" si="354"/>
        <v/>
      </c>
      <c r="T2261" t="str">
        <f t="shared" si="355"/>
        <v/>
      </c>
      <c r="U2261" t="str">
        <f t="shared" si="356"/>
        <v/>
      </c>
      <c r="V2261" t="str">
        <f t="shared" si="357"/>
        <v/>
      </c>
      <c r="W2261" t="str">
        <f t="shared" si="358"/>
        <v/>
      </c>
      <c r="X2261">
        <f>IF($T2261="",N($X2260),IF(MATCH($T2261,$T$6:$T$10005,0)=ROW()-5,N($X2260)+1,N($X2260)))</f>
        <v>0</v>
      </c>
      <c r="Z2261" t="str">
        <f t="shared" si="359"/>
        <v/>
      </c>
      <c r="AA2261">
        <f>IF($V2261="",N($AA2260),IF(MATCH($V2261,$V$6:$V$10005,0)=ROW()-5,N($AA2260)+1,N($AA2260)))</f>
        <v>0</v>
      </c>
    </row>
    <row r="2262" spans="1:27" ht="21" customHeight="1" x14ac:dyDescent="0.95">
      <c r="A2262" s="56"/>
      <c r="B2262" s="57"/>
      <c r="C2262" s="57"/>
      <c r="D2262" s="57"/>
      <c r="E2262" s="56"/>
      <c r="F2262" s="57"/>
      <c r="G2262" s="57"/>
      <c r="H2262" s="56"/>
      <c r="I2262" s="56"/>
      <c r="J2262" s="58"/>
      <c r="K2262" s="58"/>
      <c r="L2262" s="13" t="str">
        <f t="shared" si="350"/>
        <v/>
      </c>
      <c r="M2262" s="13" t="str">
        <f t="shared" si="351"/>
        <v/>
      </c>
      <c r="Q2262" t="str">
        <f t="shared" si="352"/>
        <v/>
      </c>
      <c r="R2262" t="str">
        <f t="shared" si="353"/>
        <v/>
      </c>
      <c r="S2262" t="str">
        <f t="shared" si="354"/>
        <v/>
      </c>
      <c r="T2262" t="str">
        <f t="shared" si="355"/>
        <v/>
      </c>
      <c r="U2262" t="str">
        <f t="shared" si="356"/>
        <v/>
      </c>
      <c r="V2262" t="str">
        <f t="shared" si="357"/>
        <v/>
      </c>
      <c r="W2262" t="str">
        <f t="shared" si="358"/>
        <v/>
      </c>
      <c r="X2262">
        <f>IF($T2262="",N($X2261),IF(MATCH($T2262,$T$6:$T$10005,0)=ROW()-5,N($X2261)+1,N($X2261)))</f>
        <v>0</v>
      </c>
      <c r="Z2262" t="str">
        <f t="shared" si="359"/>
        <v/>
      </c>
      <c r="AA2262">
        <f>IF($V2262="",N($AA2261),IF(MATCH($V2262,$V$6:$V$10005,0)=ROW()-5,N($AA2261)+1,N($AA2261)))</f>
        <v>0</v>
      </c>
    </row>
    <row r="2263" spans="1:27" ht="21" customHeight="1" x14ac:dyDescent="0.95">
      <c r="A2263" s="56"/>
      <c r="B2263" s="57"/>
      <c r="C2263" s="57"/>
      <c r="D2263" s="57"/>
      <c r="E2263" s="56"/>
      <c r="F2263" s="57"/>
      <c r="G2263" s="57"/>
      <c r="H2263" s="56"/>
      <c r="I2263" s="56"/>
      <c r="J2263" s="58"/>
      <c r="K2263" s="58"/>
      <c r="L2263" s="13" t="str">
        <f t="shared" si="350"/>
        <v/>
      </c>
      <c r="M2263" s="13" t="str">
        <f t="shared" si="351"/>
        <v/>
      </c>
      <c r="Q2263" t="str">
        <f t="shared" si="352"/>
        <v/>
      </c>
      <c r="R2263" t="str">
        <f t="shared" si="353"/>
        <v/>
      </c>
      <c r="S2263" t="str">
        <f t="shared" si="354"/>
        <v/>
      </c>
      <c r="T2263" t="str">
        <f t="shared" si="355"/>
        <v/>
      </c>
      <c r="U2263" t="str">
        <f t="shared" si="356"/>
        <v/>
      </c>
      <c r="V2263" t="str">
        <f t="shared" si="357"/>
        <v/>
      </c>
      <c r="W2263" t="str">
        <f t="shared" si="358"/>
        <v/>
      </c>
      <c r="X2263">
        <f>IF($T2263="",N($X2262),IF(MATCH($T2263,$T$6:$T$10005,0)=ROW()-5,N($X2262)+1,N($X2262)))</f>
        <v>0</v>
      </c>
      <c r="Z2263" t="str">
        <f t="shared" si="359"/>
        <v/>
      </c>
      <c r="AA2263">
        <f>IF($V2263="",N($AA2262),IF(MATCH($V2263,$V$6:$V$10005,0)=ROW()-5,N($AA2262)+1,N($AA2262)))</f>
        <v>0</v>
      </c>
    </row>
    <row r="2264" spans="1:27" ht="21" customHeight="1" x14ac:dyDescent="0.95">
      <c r="A2264" s="56"/>
      <c r="B2264" s="57"/>
      <c r="C2264" s="57"/>
      <c r="D2264" s="57"/>
      <c r="E2264" s="56"/>
      <c r="F2264" s="57"/>
      <c r="G2264" s="57"/>
      <c r="H2264" s="56"/>
      <c r="I2264" s="56"/>
      <c r="J2264" s="58"/>
      <c r="K2264" s="58"/>
      <c r="L2264" s="13" t="str">
        <f t="shared" si="350"/>
        <v/>
      </c>
      <c r="M2264" s="13" t="str">
        <f t="shared" si="351"/>
        <v/>
      </c>
      <c r="Q2264" t="str">
        <f t="shared" si="352"/>
        <v/>
      </c>
      <c r="R2264" t="str">
        <f t="shared" si="353"/>
        <v/>
      </c>
      <c r="S2264" t="str">
        <f t="shared" si="354"/>
        <v/>
      </c>
      <c r="T2264" t="str">
        <f t="shared" si="355"/>
        <v/>
      </c>
      <c r="U2264" t="str">
        <f t="shared" si="356"/>
        <v/>
      </c>
      <c r="V2264" t="str">
        <f t="shared" si="357"/>
        <v/>
      </c>
      <c r="W2264" t="str">
        <f t="shared" si="358"/>
        <v/>
      </c>
      <c r="X2264">
        <f>IF($T2264="",N($X2263),IF(MATCH($T2264,$T$6:$T$10005,0)=ROW()-5,N($X2263)+1,N($X2263)))</f>
        <v>0</v>
      </c>
      <c r="Z2264" t="str">
        <f t="shared" si="359"/>
        <v/>
      </c>
      <c r="AA2264">
        <f>IF($V2264="",N($AA2263),IF(MATCH($V2264,$V$6:$V$10005,0)=ROW()-5,N($AA2263)+1,N($AA2263)))</f>
        <v>0</v>
      </c>
    </row>
    <row r="2265" spans="1:27" ht="21" customHeight="1" x14ac:dyDescent="0.95">
      <c r="A2265" s="56"/>
      <c r="B2265" s="57"/>
      <c r="C2265" s="57"/>
      <c r="D2265" s="57"/>
      <c r="E2265" s="56"/>
      <c r="F2265" s="57"/>
      <c r="G2265" s="57"/>
      <c r="H2265" s="56"/>
      <c r="I2265" s="56"/>
      <c r="J2265" s="58"/>
      <c r="K2265" s="58"/>
      <c r="L2265" s="13" t="str">
        <f t="shared" si="350"/>
        <v/>
      </c>
      <c r="M2265" s="13" t="str">
        <f t="shared" si="351"/>
        <v/>
      </c>
      <c r="Q2265" t="str">
        <f t="shared" si="352"/>
        <v/>
      </c>
      <c r="R2265" t="str">
        <f t="shared" si="353"/>
        <v/>
      </c>
      <c r="S2265" t="str">
        <f t="shared" si="354"/>
        <v/>
      </c>
      <c r="T2265" t="str">
        <f t="shared" si="355"/>
        <v/>
      </c>
      <c r="U2265" t="str">
        <f t="shared" si="356"/>
        <v/>
      </c>
      <c r="V2265" t="str">
        <f t="shared" si="357"/>
        <v/>
      </c>
      <c r="W2265" t="str">
        <f t="shared" si="358"/>
        <v/>
      </c>
      <c r="X2265">
        <f>IF($T2265="",N($X2264),IF(MATCH($T2265,$T$6:$T$10005,0)=ROW()-5,N($X2264)+1,N($X2264)))</f>
        <v>0</v>
      </c>
      <c r="Z2265" t="str">
        <f t="shared" si="359"/>
        <v/>
      </c>
      <c r="AA2265">
        <f>IF($V2265="",N($AA2264),IF(MATCH($V2265,$V$6:$V$10005,0)=ROW()-5,N($AA2264)+1,N($AA2264)))</f>
        <v>0</v>
      </c>
    </row>
    <row r="2266" spans="1:27" ht="21" customHeight="1" x14ac:dyDescent="0.95">
      <c r="A2266" s="56"/>
      <c r="B2266" s="57"/>
      <c r="C2266" s="57"/>
      <c r="D2266" s="57"/>
      <c r="E2266" s="56"/>
      <c r="F2266" s="57"/>
      <c r="G2266" s="57"/>
      <c r="H2266" s="56"/>
      <c r="I2266" s="56"/>
      <c r="J2266" s="58"/>
      <c r="K2266" s="58"/>
      <c r="L2266" s="13" t="str">
        <f t="shared" si="350"/>
        <v/>
      </c>
      <c r="M2266" s="13" t="str">
        <f t="shared" si="351"/>
        <v/>
      </c>
      <c r="Q2266" t="str">
        <f t="shared" si="352"/>
        <v/>
      </c>
      <c r="R2266" t="str">
        <f t="shared" si="353"/>
        <v/>
      </c>
      <c r="S2266" t="str">
        <f t="shared" si="354"/>
        <v/>
      </c>
      <c r="T2266" t="str">
        <f t="shared" si="355"/>
        <v/>
      </c>
      <c r="U2266" t="str">
        <f t="shared" si="356"/>
        <v/>
      </c>
      <c r="V2266" t="str">
        <f t="shared" si="357"/>
        <v/>
      </c>
      <c r="W2266" t="str">
        <f t="shared" si="358"/>
        <v/>
      </c>
      <c r="X2266">
        <f>IF($T2266="",N($X2265),IF(MATCH($T2266,$T$6:$T$10005,0)=ROW()-5,N($X2265)+1,N($X2265)))</f>
        <v>0</v>
      </c>
      <c r="Z2266" t="str">
        <f t="shared" si="359"/>
        <v/>
      </c>
      <c r="AA2266">
        <f>IF($V2266="",N($AA2265),IF(MATCH($V2266,$V$6:$V$10005,0)=ROW()-5,N($AA2265)+1,N($AA2265)))</f>
        <v>0</v>
      </c>
    </row>
    <row r="2267" spans="1:27" ht="21" customHeight="1" x14ac:dyDescent="0.95">
      <c r="A2267" s="56"/>
      <c r="B2267" s="57"/>
      <c r="C2267" s="57"/>
      <c r="D2267" s="57"/>
      <c r="E2267" s="56"/>
      <c r="F2267" s="57"/>
      <c r="G2267" s="57"/>
      <c r="H2267" s="56"/>
      <c r="I2267" s="56"/>
      <c r="J2267" s="58"/>
      <c r="K2267" s="58"/>
      <c r="L2267" s="13" t="str">
        <f t="shared" si="350"/>
        <v/>
      </c>
      <c r="M2267" s="13" t="str">
        <f t="shared" si="351"/>
        <v/>
      </c>
      <c r="Q2267" t="str">
        <f t="shared" si="352"/>
        <v/>
      </c>
      <c r="R2267" t="str">
        <f t="shared" si="353"/>
        <v/>
      </c>
      <c r="S2267" t="str">
        <f t="shared" si="354"/>
        <v/>
      </c>
      <c r="T2267" t="str">
        <f t="shared" si="355"/>
        <v/>
      </c>
      <c r="U2267" t="str">
        <f t="shared" si="356"/>
        <v/>
      </c>
      <c r="V2267" t="str">
        <f t="shared" si="357"/>
        <v/>
      </c>
      <c r="W2267" t="str">
        <f t="shared" si="358"/>
        <v/>
      </c>
      <c r="X2267">
        <f>IF($T2267="",N($X2266),IF(MATCH($T2267,$T$6:$T$10005,0)=ROW()-5,N($X2266)+1,N($X2266)))</f>
        <v>0</v>
      </c>
      <c r="Z2267" t="str">
        <f t="shared" si="359"/>
        <v/>
      </c>
      <c r="AA2267">
        <f>IF($V2267="",N($AA2266),IF(MATCH($V2267,$V$6:$V$10005,0)=ROW()-5,N($AA2266)+1,N($AA2266)))</f>
        <v>0</v>
      </c>
    </row>
    <row r="2268" spans="1:27" ht="21" customHeight="1" x14ac:dyDescent="0.95">
      <c r="A2268" s="56"/>
      <c r="B2268" s="57"/>
      <c r="C2268" s="57"/>
      <c r="D2268" s="57"/>
      <c r="E2268" s="56"/>
      <c r="F2268" s="57"/>
      <c r="G2268" s="57"/>
      <c r="H2268" s="56"/>
      <c r="I2268" s="56"/>
      <c r="J2268" s="58"/>
      <c r="K2268" s="58"/>
      <c r="L2268" s="13" t="str">
        <f t="shared" si="350"/>
        <v/>
      </c>
      <c r="M2268" s="13" t="str">
        <f t="shared" si="351"/>
        <v/>
      </c>
      <c r="Q2268" t="str">
        <f t="shared" si="352"/>
        <v/>
      </c>
      <c r="R2268" t="str">
        <f t="shared" si="353"/>
        <v/>
      </c>
      <c r="S2268" t="str">
        <f t="shared" si="354"/>
        <v/>
      </c>
      <c r="T2268" t="str">
        <f t="shared" si="355"/>
        <v/>
      </c>
      <c r="U2268" t="str">
        <f t="shared" si="356"/>
        <v/>
      </c>
      <c r="V2268" t="str">
        <f t="shared" si="357"/>
        <v/>
      </c>
      <c r="W2268" t="str">
        <f t="shared" si="358"/>
        <v/>
      </c>
      <c r="X2268">
        <f>IF($T2268="",N($X2267),IF(MATCH($T2268,$T$6:$T$10005,0)=ROW()-5,N($X2267)+1,N($X2267)))</f>
        <v>0</v>
      </c>
      <c r="Z2268" t="str">
        <f t="shared" si="359"/>
        <v/>
      </c>
      <c r="AA2268">
        <f>IF($V2268="",N($AA2267),IF(MATCH($V2268,$V$6:$V$10005,0)=ROW()-5,N($AA2267)+1,N($AA2267)))</f>
        <v>0</v>
      </c>
    </row>
    <row r="2269" spans="1:27" ht="21" customHeight="1" x14ac:dyDescent="0.95">
      <c r="A2269" s="56"/>
      <c r="B2269" s="57"/>
      <c r="C2269" s="57"/>
      <c r="D2269" s="57"/>
      <c r="E2269" s="56"/>
      <c r="F2269" s="57"/>
      <c r="G2269" s="57"/>
      <c r="H2269" s="56"/>
      <c r="I2269" s="56"/>
      <c r="J2269" s="58"/>
      <c r="K2269" s="58"/>
      <c r="L2269" s="13" t="str">
        <f t="shared" si="350"/>
        <v/>
      </c>
      <c r="M2269" s="13" t="str">
        <f t="shared" si="351"/>
        <v/>
      </c>
      <c r="Q2269" t="str">
        <f t="shared" si="352"/>
        <v/>
      </c>
      <c r="R2269" t="str">
        <f t="shared" si="353"/>
        <v/>
      </c>
      <c r="S2269" t="str">
        <f t="shared" si="354"/>
        <v/>
      </c>
      <c r="T2269" t="str">
        <f t="shared" si="355"/>
        <v/>
      </c>
      <c r="U2269" t="str">
        <f t="shared" si="356"/>
        <v/>
      </c>
      <c r="V2269" t="str">
        <f t="shared" si="357"/>
        <v/>
      </c>
      <c r="W2269" t="str">
        <f t="shared" si="358"/>
        <v/>
      </c>
      <c r="X2269">
        <f>IF($T2269="",N($X2268),IF(MATCH($T2269,$T$6:$T$10005,0)=ROW()-5,N($X2268)+1,N($X2268)))</f>
        <v>0</v>
      </c>
      <c r="Z2269" t="str">
        <f t="shared" si="359"/>
        <v/>
      </c>
      <c r="AA2269">
        <f>IF($V2269="",N($AA2268),IF(MATCH($V2269,$V$6:$V$10005,0)=ROW()-5,N($AA2268)+1,N($AA2268)))</f>
        <v>0</v>
      </c>
    </row>
    <row r="2270" spans="1:27" ht="21" customHeight="1" x14ac:dyDescent="0.95">
      <c r="A2270" s="56"/>
      <c r="B2270" s="57"/>
      <c r="C2270" s="57"/>
      <c r="D2270" s="57"/>
      <c r="E2270" s="56"/>
      <c r="F2270" s="57"/>
      <c r="G2270" s="57"/>
      <c r="H2270" s="56"/>
      <c r="I2270" s="56"/>
      <c r="J2270" s="58"/>
      <c r="K2270" s="58"/>
      <c r="L2270" s="13" t="str">
        <f t="shared" si="350"/>
        <v/>
      </c>
      <c r="M2270" s="13" t="str">
        <f t="shared" si="351"/>
        <v/>
      </c>
      <c r="Q2270" t="str">
        <f t="shared" si="352"/>
        <v/>
      </c>
      <c r="R2270" t="str">
        <f t="shared" si="353"/>
        <v/>
      </c>
      <c r="S2270" t="str">
        <f t="shared" si="354"/>
        <v/>
      </c>
      <c r="T2270" t="str">
        <f t="shared" si="355"/>
        <v/>
      </c>
      <c r="U2270" t="str">
        <f t="shared" si="356"/>
        <v/>
      </c>
      <c r="V2270" t="str">
        <f t="shared" si="357"/>
        <v/>
      </c>
      <c r="W2270" t="str">
        <f t="shared" si="358"/>
        <v/>
      </c>
      <c r="X2270">
        <f>IF($T2270="",N($X2269),IF(MATCH($T2270,$T$6:$T$10005,0)=ROW()-5,N($X2269)+1,N($X2269)))</f>
        <v>0</v>
      </c>
      <c r="Z2270" t="str">
        <f t="shared" si="359"/>
        <v/>
      </c>
      <c r="AA2270">
        <f>IF($V2270="",N($AA2269),IF(MATCH($V2270,$V$6:$V$10005,0)=ROW()-5,N($AA2269)+1,N($AA2269)))</f>
        <v>0</v>
      </c>
    </row>
    <row r="2271" spans="1:27" ht="21" customHeight="1" x14ac:dyDescent="0.95">
      <c r="A2271" s="56"/>
      <c r="B2271" s="57"/>
      <c r="C2271" s="57"/>
      <c r="D2271" s="57"/>
      <c r="E2271" s="56"/>
      <c r="F2271" s="57"/>
      <c r="G2271" s="57"/>
      <c r="H2271" s="56"/>
      <c r="I2271" s="56"/>
      <c r="J2271" s="58"/>
      <c r="K2271" s="58"/>
      <c r="L2271" s="13" t="str">
        <f t="shared" si="350"/>
        <v/>
      </c>
      <c r="M2271" s="13" t="str">
        <f t="shared" si="351"/>
        <v/>
      </c>
      <c r="Q2271" t="str">
        <f t="shared" si="352"/>
        <v/>
      </c>
      <c r="R2271" t="str">
        <f t="shared" si="353"/>
        <v/>
      </c>
      <c r="S2271" t="str">
        <f t="shared" si="354"/>
        <v/>
      </c>
      <c r="T2271" t="str">
        <f t="shared" si="355"/>
        <v/>
      </c>
      <c r="U2271" t="str">
        <f t="shared" si="356"/>
        <v/>
      </c>
      <c r="V2271" t="str">
        <f t="shared" si="357"/>
        <v/>
      </c>
      <c r="W2271" t="str">
        <f t="shared" si="358"/>
        <v/>
      </c>
      <c r="X2271">
        <f>IF($T2271="",N($X2270),IF(MATCH($T2271,$T$6:$T$10005,0)=ROW()-5,N($X2270)+1,N($X2270)))</f>
        <v>0</v>
      </c>
      <c r="Z2271" t="str">
        <f t="shared" si="359"/>
        <v/>
      </c>
      <c r="AA2271">
        <f>IF($V2271="",N($AA2270),IF(MATCH($V2271,$V$6:$V$10005,0)=ROW()-5,N($AA2270)+1,N($AA2270)))</f>
        <v>0</v>
      </c>
    </row>
    <row r="2272" spans="1:27" ht="21" customHeight="1" x14ac:dyDescent="0.95">
      <c r="A2272" s="56"/>
      <c r="B2272" s="57"/>
      <c r="C2272" s="57"/>
      <c r="D2272" s="57"/>
      <c r="E2272" s="56"/>
      <c r="F2272" s="57"/>
      <c r="G2272" s="57"/>
      <c r="H2272" s="56"/>
      <c r="I2272" s="56"/>
      <c r="J2272" s="58"/>
      <c r="K2272" s="58"/>
      <c r="L2272" s="13" t="str">
        <f t="shared" si="350"/>
        <v/>
      </c>
      <c r="M2272" s="13" t="str">
        <f t="shared" si="351"/>
        <v/>
      </c>
      <c r="Q2272" t="str">
        <f t="shared" si="352"/>
        <v/>
      </c>
      <c r="R2272" t="str">
        <f t="shared" si="353"/>
        <v/>
      </c>
      <c r="S2272" t="str">
        <f t="shared" si="354"/>
        <v/>
      </c>
      <c r="T2272" t="str">
        <f t="shared" si="355"/>
        <v/>
      </c>
      <c r="U2272" t="str">
        <f t="shared" si="356"/>
        <v/>
      </c>
      <c r="V2272" t="str">
        <f t="shared" si="357"/>
        <v/>
      </c>
      <c r="W2272" t="str">
        <f t="shared" si="358"/>
        <v/>
      </c>
      <c r="X2272">
        <f>IF($T2272="",N($X2271),IF(MATCH($T2272,$T$6:$T$10005,0)=ROW()-5,N($X2271)+1,N($X2271)))</f>
        <v>0</v>
      </c>
      <c r="Z2272" t="str">
        <f t="shared" si="359"/>
        <v/>
      </c>
      <c r="AA2272">
        <f>IF($V2272="",N($AA2271),IF(MATCH($V2272,$V$6:$V$10005,0)=ROW()-5,N($AA2271)+1,N($AA2271)))</f>
        <v>0</v>
      </c>
    </row>
    <row r="2273" spans="1:27" ht="21" customHeight="1" x14ac:dyDescent="0.95">
      <c r="A2273" s="56"/>
      <c r="B2273" s="57"/>
      <c r="C2273" s="57"/>
      <c r="D2273" s="57"/>
      <c r="E2273" s="56"/>
      <c r="F2273" s="57"/>
      <c r="G2273" s="57"/>
      <c r="H2273" s="56"/>
      <c r="I2273" s="56"/>
      <c r="J2273" s="58"/>
      <c r="K2273" s="58"/>
      <c r="L2273" s="13" t="str">
        <f t="shared" si="350"/>
        <v/>
      </c>
      <c r="M2273" s="13" t="str">
        <f t="shared" si="351"/>
        <v/>
      </c>
      <c r="Q2273" t="str">
        <f t="shared" si="352"/>
        <v/>
      </c>
      <c r="R2273" t="str">
        <f t="shared" si="353"/>
        <v/>
      </c>
      <c r="S2273" t="str">
        <f t="shared" si="354"/>
        <v/>
      </c>
      <c r="T2273" t="str">
        <f t="shared" si="355"/>
        <v/>
      </c>
      <c r="U2273" t="str">
        <f t="shared" si="356"/>
        <v/>
      </c>
      <c r="V2273" t="str">
        <f t="shared" si="357"/>
        <v/>
      </c>
      <c r="W2273" t="str">
        <f t="shared" si="358"/>
        <v/>
      </c>
      <c r="X2273">
        <f>IF($T2273="",N($X2272),IF(MATCH($T2273,$T$6:$T$10005,0)=ROW()-5,N($X2272)+1,N($X2272)))</f>
        <v>0</v>
      </c>
      <c r="Z2273" t="str">
        <f t="shared" si="359"/>
        <v/>
      </c>
      <c r="AA2273">
        <f>IF($V2273="",N($AA2272),IF(MATCH($V2273,$V$6:$V$10005,0)=ROW()-5,N($AA2272)+1,N($AA2272)))</f>
        <v>0</v>
      </c>
    </row>
    <row r="2274" spans="1:27" ht="21" customHeight="1" x14ac:dyDescent="0.95">
      <c r="A2274" s="56"/>
      <c r="B2274" s="57"/>
      <c r="C2274" s="57"/>
      <c r="D2274" s="57"/>
      <c r="E2274" s="56"/>
      <c r="F2274" s="57"/>
      <c r="G2274" s="57"/>
      <c r="H2274" s="56"/>
      <c r="I2274" s="56"/>
      <c r="J2274" s="58"/>
      <c r="K2274" s="58"/>
      <c r="L2274" s="13" t="str">
        <f t="shared" si="350"/>
        <v/>
      </c>
      <c r="M2274" s="13" t="str">
        <f t="shared" si="351"/>
        <v/>
      </c>
      <c r="Q2274" t="str">
        <f t="shared" si="352"/>
        <v/>
      </c>
      <c r="R2274" t="str">
        <f t="shared" si="353"/>
        <v/>
      </c>
      <c r="S2274" t="str">
        <f t="shared" si="354"/>
        <v/>
      </c>
      <c r="T2274" t="str">
        <f t="shared" si="355"/>
        <v/>
      </c>
      <c r="U2274" t="str">
        <f t="shared" si="356"/>
        <v/>
      </c>
      <c r="V2274" t="str">
        <f t="shared" si="357"/>
        <v/>
      </c>
      <c r="W2274" t="str">
        <f t="shared" si="358"/>
        <v/>
      </c>
      <c r="X2274">
        <f>IF($T2274="",N($X2273),IF(MATCH($T2274,$T$6:$T$10005,0)=ROW()-5,N($X2273)+1,N($X2273)))</f>
        <v>0</v>
      </c>
      <c r="Z2274" t="str">
        <f t="shared" si="359"/>
        <v/>
      </c>
      <c r="AA2274">
        <f>IF($V2274="",N($AA2273),IF(MATCH($V2274,$V$6:$V$10005,0)=ROW()-5,N($AA2273)+1,N($AA2273)))</f>
        <v>0</v>
      </c>
    </row>
    <row r="2275" spans="1:27" ht="21" customHeight="1" x14ac:dyDescent="0.95">
      <c r="A2275" s="56"/>
      <c r="B2275" s="57"/>
      <c r="C2275" s="57"/>
      <c r="D2275" s="57"/>
      <c r="E2275" s="56"/>
      <c r="F2275" s="57"/>
      <c r="G2275" s="57"/>
      <c r="H2275" s="56"/>
      <c r="I2275" s="56"/>
      <c r="J2275" s="58"/>
      <c r="K2275" s="58"/>
      <c r="L2275" s="13" t="str">
        <f t="shared" si="350"/>
        <v/>
      </c>
      <c r="M2275" s="13" t="str">
        <f t="shared" si="351"/>
        <v/>
      </c>
      <c r="Q2275" t="str">
        <f t="shared" si="352"/>
        <v/>
      </c>
      <c r="R2275" t="str">
        <f t="shared" si="353"/>
        <v/>
      </c>
      <c r="S2275" t="str">
        <f t="shared" si="354"/>
        <v/>
      </c>
      <c r="T2275" t="str">
        <f t="shared" si="355"/>
        <v/>
      </c>
      <c r="U2275" t="str">
        <f t="shared" si="356"/>
        <v/>
      </c>
      <c r="V2275" t="str">
        <f t="shared" si="357"/>
        <v/>
      </c>
      <c r="W2275" t="str">
        <f t="shared" si="358"/>
        <v/>
      </c>
      <c r="X2275">
        <f>IF($T2275="",N($X2274),IF(MATCH($T2275,$T$6:$T$10005,0)=ROW()-5,N($X2274)+1,N($X2274)))</f>
        <v>0</v>
      </c>
      <c r="Z2275" t="str">
        <f t="shared" si="359"/>
        <v/>
      </c>
      <c r="AA2275">
        <f>IF($V2275="",N($AA2274),IF(MATCH($V2275,$V$6:$V$10005,0)=ROW()-5,N($AA2274)+1,N($AA2274)))</f>
        <v>0</v>
      </c>
    </row>
    <row r="2276" spans="1:27" ht="21" customHeight="1" x14ac:dyDescent="0.95">
      <c r="A2276" s="56"/>
      <c r="B2276" s="57"/>
      <c r="C2276" s="57"/>
      <c r="D2276" s="57"/>
      <c r="E2276" s="56"/>
      <c r="F2276" s="57"/>
      <c r="G2276" s="57"/>
      <c r="H2276" s="56"/>
      <c r="I2276" s="56"/>
      <c r="J2276" s="58"/>
      <c r="K2276" s="58"/>
      <c r="L2276" s="13" t="str">
        <f t="shared" si="350"/>
        <v/>
      </c>
      <c r="M2276" s="13" t="str">
        <f t="shared" si="351"/>
        <v/>
      </c>
      <c r="Q2276" t="str">
        <f t="shared" si="352"/>
        <v/>
      </c>
      <c r="R2276" t="str">
        <f t="shared" si="353"/>
        <v/>
      </c>
      <c r="S2276" t="str">
        <f t="shared" si="354"/>
        <v/>
      </c>
      <c r="T2276" t="str">
        <f t="shared" si="355"/>
        <v/>
      </c>
      <c r="U2276" t="str">
        <f t="shared" si="356"/>
        <v/>
      </c>
      <c r="V2276" t="str">
        <f t="shared" si="357"/>
        <v/>
      </c>
      <c r="W2276" t="str">
        <f t="shared" si="358"/>
        <v/>
      </c>
      <c r="X2276">
        <f>IF($T2276="",N($X2275),IF(MATCH($T2276,$T$6:$T$10005,0)=ROW()-5,N($X2275)+1,N($X2275)))</f>
        <v>0</v>
      </c>
      <c r="Z2276" t="str">
        <f t="shared" si="359"/>
        <v/>
      </c>
      <c r="AA2276">
        <f>IF($V2276="",N($AA2275),IF(MATCH($V2276,$V$6:$V$10005,0)=ROW()-5,N($AA2275)+1,N($AA2275)))</f>
        <v>0</v>
      </c>
    </row>
    <row r="2277" spans="1:27" ht="21" customHeight="1" x14ac:dyDescent="0.95">
      <c r="A2277" s="56"/>
      <c r="B2277" s="57"/>
      <c r="C2277" s="57"/>
      <c r="D2277" s="57"/>
      <c r="E2277" s="56"/>
      <c r="F2277" s="57"/>
      <c r="G2277" s="57"/>
      <c r="H2277" s="56"/>
      <c r="I2277" s="56"/>
      <c r="J2277" s="58"/>
      <c r="K2277" s="58"/>
      <c r="L2277" s="13" t="str">
        <f t="shared" si="350"/>
        <v/>
      </c>
      <c r="M2277" s="13" t="str">
        <f t="shared" si="351"/>
        <v/>
      </c>
      <c r="Q2277" t="str">
        <f t="shared" si="352"/>
        <v/>
      </c>
      <c r="R2277" t="str">
        <f t="shared" si="353"/>
        <v/>
      </c>
      <c r="S2277" t="str">
        <f t="shared" si="354"/>
        <v/>
      </c>
      <c r="T2277" t="str">
        <f t="shared" si="355"/>
        <v/>
      </c>
      <c r="U2277" t="str">
        <f t="shared" si="356"/>
        <v/>
      </c>
      <c r="V2277" t="str">
        <f t="shared" si="357"/>
        <v/>
      </c>
      <c r="W2277" t="str">
        <f t="shared" si="358"/>
        <v/>
      </c>
      <c r="X2277">
        <f>IF($T2277="",N($X2276),IF(MATCH($T2277,$T$6:$T$10005,0)=ROW()-5,N($X2276)+1,N($X2276)))</f>
        <v>0</v>
      </c>
      <c r="Z2277" t="str">
        <f t="shared" si="359"/>
        <v/>
      </c>
      <c r="AA2277">
        <f>IF($V2277="",N($AA2276),IF(MATCH($V2277,$V$6:$V$10005,0)=ROW()-5,N($AA2276)+1,N($AA2276)))</f>
        <v>0</v>
      </c>
    </row>
    <row r="2278" spans="1:27" ht="21" customHeight="1" x14ac:dyDescent="0.95">
      <c r="A2278" s="56"/>
      <c r="B2278" s="57"/>
      <c r="C2278" s="57"/>
      <c r="D2278" s="57"/>
      <c r="E2278" s="56"/>
      <c r="F2278" s="57"/>
      <c r="G2278" s="57"/>
      <c r="H2278" s="56"/>
      <c r="I2278" s="56"/>
      <c r="J2278" s="58"/>
      <c r="K2278" s="58"/>
      <c r="L2278" s="13" t="str">
        <f t="shared" si="350"/>
        <v/>
      </c>
      <c r="M2278" s="13" t="str">
        <f t="shared" si="351"/>
        <v/>
      </c>
      <c r="Q2278" t="str">
        <f t="shared" si="352"/>
        <v/>
      </c>
      <c r="R2278" t="str">
        <f t="shared" si="353"/>
        <v/>
      </c>
      <c r="S2278" t="str">
        <f t="shared" si="354"/>
        <v/>
      </c>
      <c r="T2278" t="str">
        <f t="shared" si="355"/>
        <v/>
      </c>
      <c r="U2278" t="str">
        <f t="shared" si="356"/>
        <v/>
      </c>
      <c r="V2278" t="str">
        <f t="shared" si="357"/>
        <v/>
      </c>
      <c r="W2278" t="str">
        <f t="shared" si="358"/>
        <v/>
      </c>
      <c r="X2278">
        <f>IF($T2278="",N($X2277),IF(MATCH($T2278,$T$6:$T$10005,0)=ROW()-5,N($X2277)+1,N($X2277)))</f>
        <v>0</v>
      </c>
      <c r="Z2278" t="str">
        <f t="shared" si="359"/>
        <v/>
      </c>
      <c r="AA2278">
        <f>IF($V2278="",N($AA2277),IF(MATCH($V2278,$V$6:$V$10005,0)=ROW()-5,N($AA2277)+1,N($AA2277)))</f>
        <v>0</v>
      </c>
    </row>
    <row r="2279" spans="1:27" ht="21" customHeight="1" x14ac:dyDescent="0.95">
      <c r="A2279" s="56"/>
      <c r="B2279" s="57"/>
      <c r="C2279" s="57"/>
      <c r="D2279" s="57"/>
      <c r="E2279" s="56"/>
      <c r="F2279" s="57"/>
      <c r="G2279" s="57"/>
      <c r="H2279" s="56"/>
      <c r="I2279" s="56"/>
      <c r="J2279" s="58"/>
      <c r="K2279" s="58"/>
      <c r="L2279" s="13" t="str">
        <f t="shared" si="350"/>
        <v/>
      </c>
      <c r="M2279" s="13" t="str">
        <f t="shared" si="351"/>
        <v/>
      </c>
      <c r="Q2279" t="str">
        <f t="shared" si="352"/>
        <v/>
      </c>
      <c r="R2279" t="str">
        <f t="shared" si="353"/>
        <v/>
      </c>
      <c r="S2279" t="str">
        <f t="shared" si="354"/>
        <v/>
      </c>
      <c r="T2279" t="str">
        <f t="shared" si="355"/>
        <v/>
      </c>
      <c r="U2279" t="str">
        <f t="shared" si="356"/>
        <v/>
      </c>
      <c r="V2279" t="str">
        <f t="shared" si="357"/>
        <v/>
      </c>
      <c r="W2279" t="str">
        <f t="shared" si="358"/>
        <v/>
      </c>
      <c r="X2279">
        <f>IF($T2279="",N($X2278),IF(MATCH($T2279,$T$6:$T$10005,0)=ROW()-5,N($X2278)+1,N($X2278)))</f>
        <v>0</v>
      </c>
      <c r="Z2279" t="str">
        <f t="shared" si="359"/>
        <v/>
      </c>
      <c r="AA2279">
        <f>IF($V2279="",N($AA2278),IF(MATCH($V2279,$V$6:$V$10005,0)=ROW()-5,N($AA2278)+1,N($AA2278)))</f>
        <v>0</v>
      </c>
    </row>
    <row r="2280" spans="1:27" ht="21" customHeight="1" x14ac:dyDescent="0.95">
      <c r="A2280" s="56"/>
      <c r="B2280" s="57"/>
      <c r="C2280" s="57"/>
      <c r="D2280" s="57"/>
      <c r="E2280" s="56"/>
      <c r="F2280" s="57"/>
      <c r="G2280" s="57"/>
      <c r="H2280" s="56"/>
      <c r="I2280" s="56"/>
      <c r="J2280" s="58"/>
      <c r="K2280" s="58"/>
      <c r="L2280" s="13" t="str">
        <f t="shared" si="350"/>
        <v/>
      </c>
      <c r="M2280" s="13" t="str">
        <f t="shared" si="351"/>
        <v/>
      </c>
      <c r="Q2280" t="str">
        <f t="shared" si="352"/>
        <v/>
      </c>
      <c r="R2280" t="str">
        <f t="shared" si="353"/>
        <v/>
      </c>
      <c r="S2280" t="str">
        <f t="shared" si="354"/>
        <v/>
      </c>
      <c r="T2280" t="str">
        <f t="shared" si="355"/>
        <v/>
      </c>
      <c r="U2280" t="str">
        <f t="shared" si="356"/>
        <v/>
      </c>
      <c r="V2280" t="str">
        <f t="shared" si="357"/>
        <v/>
      </c>
      <c r="W2280" t="str">
        <f t="shared" si="358"/>
        <v/>
      </c>
      <c r="X2280">
        <f>IF($T2280="",N($X2279),IF(MATCH($T2280,$T$6:$T$10005,0)=ROW()-5,N($X2279)+1,N($X2279)))</f>
        <v>0</v>
      </c>
      <c r="Z2280" t="str">
        <f t="shared" si="359"/>
        <v/>
      </c>
      <c r="AA2280">
        <f>IF($V2280="",N($AA2279),IF(MATCH($V2280,$V$6:$V$10005,0)=ROW()-5,N($AA2279)+1,N($AA2279)))</f>
        <v>0</v>
      </c>
    </row>
    <row r="2281" spans="1:27" ht="21" customHeight="1" x14ac:dyDescent="0.95">
      <c r="A2281" s="56"/>
      <c r="B2281" s="57"/>
      <c r="C2281" s="57"/>
      <c r="D2281" s="57"/>
      <c r="E2281" s="56"/>
      <c r="F2281" s="57"/>
      <c r="G2281" s="57"/>
      <c r="H2281" s="56"/>
      <c r="I2281" s="56"/>
      <c r="J2281" s="58"/>
      <c r="K2281" s="58"/>
      <c r="L2281" s="13" t="str">
        <f t="shared" si="350"/>
        <v/>
      </c>
      <c r="M2281" s="13" t="str">
        <f t="shared" si="351"/>
        <v/>
      </c>
      <c r="Q2281" t="str">
        <f t="shared" si="352"/>
        <v/>
      </c>
      <c r="R2281" t="str">
        <f t="shared" si="353"/>
        <v/>
      </c>
      <c r="S2281" t="str">
        <f t="shared" si="354"/>
        <v/>
      </c>
      <c r="T2281" t="str">
        <f t="shared" si="355"/>
        <v/>
      </c>
      <c r="U2281" t="str">
        <f t="shared" si="356"/>
        <v/>
      </c>
      <c r="V2281" t="str">
        <f t="shared" si="357"/>
        <v/>
      </c>
      <c r="W2281" t="str">
        <f t="shared" si="358"/>
        <v/>
      </c>
      <c r="X2281">
        <f>IF($T2281="",N($X2280),IF(MATCH($T2281,$T$6:$T$10005,0)=ROW()-5,N($X2280)+1,N($X2280)))</f>
        <v>0</v>
      </c>
      <c r="Z2281" t="str">
        <f t="shared" si="359"/>
        <v/>
      </c>
      <c r="AA2281">
        <f>IF($V2281="",N($AA2280),IF(MATCH($V2281,$V$6:$V$10005,0)=ROW()-5,N($AA2280)+1,N($AA2280)))</f>
        <v>0</v>
      </c>
    </row>
    <row r="2282" spans="1:27" ht="21" customHeight="1" x14ac:dyDescent="0.95">
      <c r="A2282" s="56"/>
      <c r="B2282" s="57"/>
      <c r="C2282" s="57"/>
      <c r="D2282" s="57"/>
      <c r="E2282" s="56"/>
      <c r="F2282" s="57"/>
      <c r="G2282" s="57"/>
      <c r="H2282" s="56"/>
      <c r="I2282" s="56"/>
      <c r="J2282" s="58"/>
      <c r="K2282" s="58"/>
      <c r="L2282" s="13" t="str">
        <f t="shared" si="350"/>
        <v/>
      </c>
      <c r="M2282" s="13" t="str">
        <f t="shared" si="351"/>
        <v/>
      </c>
      <c r="Q2282" t="str">
        <f t="shared" si="352"/>
        <v/>
      </c>
      <c r="R2282" t="str">
        <f t="shared" si="353"/>
        <v/>
      </c>
      <c r="S2282" t="str">
        <f t="shared" si="354"/>
        <v/>
      </c>
      <c r="T2282" t="str">
        <f t="shared" si="355"/>
        <v/>
      </c>
      <c r="U2282" t="str">
        <f t="shared" si="356"/>
        <v/>
      </c>
      <c r="V2282" t="str">
        <f t="shared" si="357"/>
        <v/>
      </c>
      <c r="W2282" t="str">
        <f t="shared" si="358"/>
        <v/>
      </c>
      <c r="X2282">
        <f>IF($T2282="",N($X2281),IF(MATCH($T2282,$T$6:$T$10005,0)=ROW()-5,N($X2281)+1,N($X2281)))</f>
        <v>0</v>
      </c>
      <c r="Z2282" t="str">
        <f t="shared" si="359"/>
        <v/>
      </c>
      <c r="AA2282">
        <f>IF($V2282="",N($AA2281),IF(MATCH($V2282,$V$6:$V$10005,0)=ROW()-5,N($AA2281)+1,N($AA2281)))</f>
        <v>0</v>
      </c>
    </row>
    <row r="2283" spans="1:27" ht="21" customHeight="1" x14ac:dyDescent="0.95">
      <c r="A2283" s="56"/>
      <c r="B2283" s="57"/>
      <c r="C2283" s="57"/>
      <c r="D2283" s="57"/>
      <c r="E2283" s="56"/>
      <c r="F2283" s="57"/>
      <c r="G2283" s="57"/>
      <c r="H2283" s="56"/>
      <c r="I2283" s="56"/>
      <c r="J2283" s="58"/>
      <c r="K2283" s="58"/>
      <c r="L2283" s="13" t="str">
        <f t="shared" si="350"/>
        <v/>
      </c>
      <c r="M2283" s="13" t="str">
        <f t="shared" si="351"/>
        <v/>
      </c>
      <c r="Q2283" t="str">
        <f t="shared" si="352"/>
        <v/>
      </c>
      <c r="R2283" t="str">
        <f t="shared" si="353"/>
        <v/>
      </c>
      <c r="S2283" t="str">
        <f t="shared" si="354"/>
        <v/>
      </c>
      <c r="T2283" t="str">
        <f t="shared" si="355"/>
        <v/>
      </c>
      <c r="U2283" t="str">
        <f t="shared" si="356"/>
        <v/>
      </c>
      <c r="V2283" t="str">
        <f t="shared" si="357"/>
        <v/>
      </c>
      <c r="W2283" t="str">
        <f t="shared" si="358"/>
        <v/>
      </c>
      <c r="X2283">
        <f>IF($T2283="",N($X2282),IF(MATCH($T2283,$T$6:$T$10005,0)=ROW()-5,N($X2282)+1,N($X2282)))</f>
        <v>0</v>
      </c>
      <c r="Z2283" t="str">
        <f t="shared" si="359"/>
        <v/>
      </c>
      <c r="AA2283">
        <f>IF($V2283="",N($AA2282),IF(MATCH($V2283,$V$6:$V$10005,0)=ROW()-5,N($AA2282)+1,N($AA2282)))</f>
        <v>0</v>
      </c>
    </row>
    <row r="2284" spans="1:27" ht="21" customHeight="1" x14ac:dyDescent="0.95">
      <c r="A2284" s="56"/>
      <c r="B2284" s="57"/>
      <c r="C2284" s="57"/>
      <c r="D2284" s="57"/>
      <c r="E2284" s="56"/>
      <c r="F2284" s="57"/>
      <c r="G2284" s="57"/>
      <c r="H2284" s="56"/>
      <c r="I2284" s="56"/>
      <c r="J2284" s="58"/>
      <c r="K2284" s="58"/>
      <c r="L2284" s="13" t="str">
        <f t="shared" si="350"/>
        <v/>
      </c>
      <c r="M2284" s="13" t="str">
        <f t="shared" si="351"/>
        <v/>
      </c>
      <c r="Q2284" t="str">
        <f t="shared" si="352"/>
        <v/>
      </c>
      <c r="R2284" t="str">
        <f t="shared" si="353"/>
        <v/>
      </c>
      <c r="S2284" t="str">
        <f t="shared" si="354"/>
        <v/>
      </c>
      <c r="T2284" t="str">
        <f t="shared" si="355"/>
        <v/>
      </c>
      <c r="U2284" t="str">
        <f t="shared" si="356"/>
        <v/>
      </c>
      <c r="V2284" t="str">
        <f t="shared" si="357"/>
        <v/>
      </c>
      <c r="W2284" t="str">
        <f t="shared" si="358"/>
        <v/>
      </c>
      <c r="X2284">
        <f>IF($T2284="",N($X2283),IF(MATCH($T2284,$T$6:$T$10005,0)=ROW()-5,N($X2283)+1,N($X2283)))</f>
        <v>0</v>
      </c>
      <c r="Z2284" t="str">
        <f t="shared" si="359"/>
        <v/>
      </c>
      <c r="AA2284">
        <f>IF($V2284="",N($AA2283),IF(MATCH($V2284,$V$6:$V$10005,0)=ROW()-5,N($AA2283)+1,N($AA2283)))</f>
        <v>0</v>
      </c>
    </row>
    <row r="2285" spans="1:27" ht="21" customHeight="1" x14ac:dyDescent="0.95">
      <c r="A2285" s="56"/>
      <c r="B2285" s="57"/>
      <c r="C2285" s="57"/>
      <c r="D2285" s="57"/>
      <c r="E2285" s="56"/>
      <c r="F2285" s="57"/>
      <c r="G2285" s="57"/>
      <c r="H2285" s="56"/>
      <c r="I2285" s="56"/>
      <c r="J2285" s="58"/>
      <c r="K2285" s="58"/>
      <c r="L2285" s="13" t="str">
        <f t="shared" si="350"/>
        <v/>
      </c>
      <c r="M2285" s="13" t="str">
        <f t="shared" si="351"/>
        <v/>
      </c>
      <c r="Q2285" t="str">
        <f t="shared" si="352"/>
        <v/>
      </c>
      <c r="R2285" t="str">
        <f t="shared" si="353"/>
        <v/>
      </c>
      <c r="S2285" t="str">
        <f t="shared" si="354"/>
        <v/>
      </c>
      <c r="T2285" t="str">
        <f t="shared" si="355"/>
        <v/>
      </c>
      <c r="U2285" t="str">
        <f t="shared" si="356"/>
        <v/>
      </c>
      <c r="V2285" t="str">
        <f t="shared" si="357"/>
        <v/>
      </c>
      <c r="W2285" t="str">
        <f t="shared" si="358"/>
        <v/>
      </c>
      <c r="X2285">
        <f>IF($T2285="",N($X2284),IF(MATCH($T2285,$T$6:$T$10005,0)=ROW()-5,N($X2284)+1,N($X2284)))</f>
        <v>0</v>
      </c>
      <c r="Z2285" t="str">
        <f t="shared" si="359"/>
        <v/>
      </c>
      <c r="AA2285">
        <f>IF($V2285="",N($AA2284),IF(MATCH($V2285,$V$6:$V$10005,0)=ROW()-5,N($AA2284)+1,N($AA2284)))</f>
        <v>0</v>
      </c>
    </row>
    <row r="2286" spans="1:27" ht="21" customHeight="1" x14ac:dyDescent="0.95">
      <c r="A2286" s="56"/>
      <c r="B2286" s="57"/>
      <c r="C2286" s="57"/>
      <c r="D2286" s="57"/>
      <c r="E2286" s="56"/>
      <c r="F2286" s="57"/>
      <c r="G2286" s="57"/>
      <c r="H2286" s="56"/>
      <c r="I2286" s="56"/>
      <c r="J2286" s="58"/>
      <c r="K2286" s="58"/>
      <c r="L2286" s="13" t="str">
        <f t="shared" si="350"/>
        <v/>
      </c>
      <c r="M2286" s="13" t="str">
        <f t="shared" si="351"/>
        <v/>
      </c>
      <c r="Q2286" t="str">
        <f t="shared" si="352"/>
        <v/>
      </c>
      <c r="R2286" t="str">
        <f t="shared" si="353"/>
        <v/>
      </c>
      <c r="S2286" t="str">
        <f t="shared" si="354"/>
        <v/>
      </c>
      <c r="T2286" t="str">
        <f t="shared" si="355"/>
        <v/>
      </c>
      <c r="U2286" t="str">
        <f t="shared" si="356"/>
        <v/>
      </c>
      <c r="V2286" t="str">
        <f t="shared" si="357"/>
        <v/>
      </c>
      <c r="W2286" t="str">
        <f t="shared" si="358"/>
        <v/>
      </c>
      <c r="X2286">
        <f>IF($T2286="",N($X2285),IF(MATCH($T2286,$T$6:$T$10005,0)=ROW()-5,N($X2285)+1,N($X2285)))</f>
        <v>0</v>
      </c>
      <c r="Z2286" t="str">
        <f t="shared" si="359"/>
        <v/>
      </c>
      <c r="AA2286">
        <f>IF($V2286="",N($AA2285),IF(MATCH($V2286,$V$6:$V$10005,0)=ROW()-5,N($AA2285)+1,N($AA2285)))</f>
        <v>0</v>
      </c>
    </row>
    <row r="2287" spans="1:27" ht="21" customHeight="1" x14ac:dyDescent="0.95">
      <c r="A2287" s="56"/>
      <c r="B2287" s="57"/>
      <c r="C2287" s="57"/>
      <c r="D2287" s="57"/>
      <c r="E2287" s="56"/>
      <c r="F2287" s="57"/>
      <c r="G2287" s="57"/>
      <c r="H2287" s="56"/>
      <c r="I2287" s="56"/>
      <c r="J2287" s="58"/>
      <c r="K2287" s="58"/>
      <c r="L2287" s="13" t="str">
        <f t="shared" si="350"/>
        <v/>
      </c>
      <c r="M2287" s="13" t="str">
        <f t="shared" si="351"/>
        <v/>
      </c>
      <c r="Q2287" t="str">
        <f t="shared" si="352"/>
        <v/>
      </c>
      <c r="R2287" t="str">
        <f t="shared" si="353"/>
        <v/>
      </c>
      <c r="S2287" t="str">
        <f t="shared" si="354"/>
        <v/>
      </c>
      <c r="T2287" t="str">
        <f t="shared" si="355"/>
        <v/>
      </c>
      <c r="U2287" t="str">
        <f t="shared" si="356"/>
        <v/>
      </c>
      <c r="V2287" t="str">
        <f t="shared" si="357"/>
        <v/>
      </c>
      <c r="W2287" t="str">
        <f t="shared" si="358"/>
        <v/>
      </c>
      <c r="X2287">
        <f>IF($T2287="",N($X2286),IF(MATCH($T2287,$T$6:$T$10005,0)=ROW()-5,N($X2286)+1,N($X2286)))</f>
        <v>0</v>
      </c>
      <c r="Z2287" t="str">
        <f t="shared" si="359"/>
        <v/>
      </c>
      <c r="AA2287">
        <f>IF($V2287="",N($AA2286),IF(MATCH($V2287,$V$6:$V$10005,0)=ROW()-5,N($AA2286)+1,N($AA2286)))</f>
        <v>0</v>
      </c>
    </row>
    <row r="2288" spans="1:27" ht="21" customHeight="1" x14ac:dyDescent="0.95">
      <c r="A2288" s="56"/>
      <c r="B2288" s="57"/>
      <c r="C2288" s="57"/>
      <c r="D2288" s="57"/>
      <c r="E2288" s="56"/>
      <c r="F2288" s="57"/>
      <c r="G2288" s="57"/>
      <c r="H2288" s="56"/>
      <c r="I2288" s="56"/>
      <c r="J2288" s="58"/>
      <c r="K2288" s="58"/>
      <c r="L2288" s="13" t="str">
        <f t="shared" si="350"/>
        <v/>
      </c>
      <c r="M2288" s="13" t="str">
        <f t="shared" si="351"/>
        <v/>
      </c>
      <c r="Q2288" t="str">
        <f t="shared" si="352"/>
        <v/>
      </c>
      <c r="R2288" t="str">
        <f t="shared" si="353"/>
        <v/>
      </c>
      <c r="S2288" t="str">
        <f t="shared" si="354"/>
        <v/>
      </c>
      <c r="T2288" t="str">
        <f t="shared" si="355"/>
        <v/>
      </c>
      <c r="U2288" t="str">
        <f t="shared" si="356"/>
        <v/>
      </c>
      <c r="V2288" t="str">
        <f t="shared" si="357"/>
        <v/>
      </c>
      <c r="W2288" t="str">
        <f t="shared" si="358"/>
        <v/>
      </c>
      <c r="X2288">
        <f>IF($T2288="",N($X2287),IF(MATCH($T2288,$T$6:$T$10005,0)=ROW()-5,N($X2287)+1,N($X2287)))</f>
        <v>0</v>
      </c>
      <c r="Z2288" t="str">
        <f t="shared" si="359"/>
        <v/>
      </c>
      <c r="AA2288">
        <f>IF($V2288="",N($AA2287),IF(MATCH($V2288,$V$6:$V$10005,0)=ROW()-5,N($AA2287)+1,N($AA2287)))</f>
        <v>0</v>
      </c>
    </row>
    <row r="2289" spans="1:27" ht="21" customHeight="1" x14ac:dyDescent="0.95">
      <c r="A2289" s="56"/>
      <c r="B2289" s="57"/>
      <c r="C2289" s="57"/>
      <c r="D2289" s="57"/>
      <c r="E2289" s="56"/>
      <c r="F2289" s="57"/>
      <c r="G2289" s="57"/>
      <c r="H2289" s="56"/>
      <c r="I2289" s="56"/>
      <c r="J2289" s="58"/>
      <c r="K2289" s="58"/>
      <c r="L2289" s="13" t="str">
        <f t="shared" si="350"/>
        <v/>
      </c>
      <c r="M2289" s="13" t="str">
        <f t="shared" si="351"/>
        <v/>
      </c>
      <c r="Q2289" t="str">
        <f t="shared" si="352"/>
        <v/>
      </c>
      <c r="R2289" t="str">
        <f t="shared" si="353"/>
        <v/>
      </c>
      <c r="S2289" t="str">
        <f t="shared" si="354"/>
        <v/>
      </c>
      <c r="T2289" t="str">
        <f t="shared" si="355"/>
        <v/>
      </c>
      <c r="U2289" t="str">
        <f t="shared" si="356"/>
        <v/>
      </c>
      <c r="V2289" t="str">
        <f t="shared" si="357"/>
        <v/>
      </c>
      <c r="W2289" t="str">
        <f t="shared" si="358"/>
        <v/>
      </c>
      <c r="X2289">
        <f>IF($T2289="",N($X2288),IF(MATCH($T2289,$T$6:$T$10005,0)=ROW()-5,N($X2288)+1,N($X2288)))</f>
        <v>0</v>
      </c>
      <c r="Z2289" t="str">
        <f t="shared" si="359"/>
        <v/>
      </c>
      <c r="AA2289">
        <f>IF($V2289="",N($AA2288),IF(MATCH($V2289,$V$6:$V$10005,0)=ROW()-5,N($AA2288)+1,N($AA2288)))</f>
        <v>0</v>
      </c>
    </row>
    <row r="2290" spans="1:27" ht="21" customHeight="1" x14ac:dyDescent="0.95">
      <c r="A2290" s="56"/>
      <c r="B2290" s="57"/>
      <c r="C2290" s="57"/>
      <c r="D2290" s="57"/>
      <c r="E2290" s="56"/>
      <c r="F2290" s="57"/>
      <c r="G2290" s="57"/>
      <c r="H2290" s="56"/>
      <c r="I2290" s="56"/>
      <c r="J2290" s="58"/>
      <c r="K2290" s="58"/>
      <c r="L2290" s="13" t="str">
        <f t="shared" si="350"/>
        <v/>
      </c>
      <c r="M2290" s="13" t="str">
        <f t="shared" si="351"/>
        <v/>
      </c>
      <c r="Q2290" t="str">
        <f t="shared" si="352"/>
        <v/>
      </c>
      <c r="R2290" t="str">
        <f t="shared" si="353"/>
        <v/>
      </c>
      <c r="S2290" t="str">
        <f t="shared" si="354"/>
        <v/>
      </c>
      <c r="T2290" t="str">
        <f t="shared" si="355"/>
        <v/>
      </c>
      <c r="U2290" t="str">
        <f t="shared" si="356"/>
        <v/>
      </c>
      <c r="V2290" t="str">
        <f t="shared" si="357"/>
        <v/>
      </c>
      <c r="W2290" t="str">
        <f t="shared" si="358"/>
        <v/>
      </c>
      <c r="X2290">
        <f>IF($T2290="",N($X2289),IF(MATCH($T2290,$T$6:$T$10005,0)=ROW()-5,N($X2289)+1,N($X2289)))</f>
        <v>0</v>
      </c>
      <c r="Z2290" t="str">
        <f t="shared" si="359"/>
        <v/>
      </c>
      <c r="AA2290">
        <f>IF($V2290="",N($AA2289),IF(MATCH($V2290,$V$6:$V$10005,0)=ROW()-5,N($AA2289)+1,N($AA2289)))</f>
        <v>0</v>
      </c>
    </row>
    <row r="2291" spans="1:27" ht="21" customHeight="1" x14ac:dyDescent="0.95">
      <c r="A2291" s="56"/>
      <c r="B2291" s="57"/>
      <c r="C2291" s="57"/>
      <c r="D2291" s="57"/>
      <c r="E2291" s="56"/>
      <c r="F2291" s="57"/>
      <c r="G2291" s="57"/>
      <c r="H2291" s="56"/>
      <c r="I2291" s="56"/>
      <c r="J2291" s="58"/>
      <c r="K2291" s="58"/>
      <c r="L2291" s="13" t="str">
        <f t="shared" si="350"/>
        <v/>
      </c>
      <c r="M2291" s="13" t="str">
        <f t="shared" si="351"/>
        <v/>
      </c>
      <c r="Q2291" t="str">
        <f t="shared" si="352"/>
        <v/>
      </c>
      <c r="R2291" t="str">
        <f t="shared" si="353"/>
        <v/>
      </c>
      <c r="S2291" t="str">
        <f t="shared" si="354"/>
        <v/>
      </c>
      <c r="T2291" t="str">
        <f t="shared" si="355"/>
        <v/>
      </c>
      <c r="U2291" t="str">
        <f t="shared" si="356"/>
        <v/>
      </c>
      <c r="V2291" t="str">
        <f t="shared" si="357"/>
        <v/>
      </c>
      <c r="W2291" t="str">
        <f t="shared" si="358"/>
        <v/>
      </c>
      <c r="X2291">
        <f>IF($T2291="",N($X2290),IF(MATCH($T2291,$T$6:$T$10005,0)=ROW()-5,N($X2290)+1,N($X2290)))</f>
        <v>0</v>
      </c>
      <c r="Z2291" t="str">
        <f t="shared" si="359"/>
        <v/>
      </c>
      <c r="AA2291">
        <f>IF($V2291="",N($AA2290),IF(MATCH($V2291,$V$6:$V$10005,0)=ROW()-5,N($AA2290)+1,N($AA2290)))</f>
        <v>0</v>
      </c>
    </row>
    <row r="2292" spans="1:27" ht="21" customHeight="1" x14ac:dyDescent="0.95">
      <c r="A2292" s="56"/>
      <c r="B2292" s="57"/>
      <c r="C2292" s="57"/>
      <c r="D2292" s="57"/>
      <c r="E2292" s="56"/>
      <c r="F2292" s="57"/>
      <c r="G2292" s="57"/>
      <c r="H2292" s="56"/>
      <c r="I2292" s="56"/>
      <c r="J2292" s="58"/>
      <c r="K2292" s="58"/>
      <c r="L2292" s="13" t="str">
        <f t="shared" si="350"/>
        <v/>
      </c>
      <c r="M2292" s="13" t="str">
        <f t="shared" si="351"/>
        <v/>
      </c>
      <c r="Q2292" t="str">
        <f t="shared" si="352"/>
        <v/>
      </c>
      <c r="R2292" t="str">
        <f t="shared" si="353"/>
        <v/>
      </c>
      <c r="S2292" t="str">
        <f t="shared" si="354"/>
        <v/>
      </c>
      <c r="T2292" t="str">
        <f t="shared" si="355"/>
        <v/>
      </c>
      <c r="U2292" t="str">
        <f t="shared" si="356"/>
        <v/>
      </c>
      <c r="V2292" t="str">
        <f t="shared" si="357"/>
        <v/>
      </c>
      <c r="W2292" t="str">
        <f t="shared" si="358"/>
        <v/>
      </c>
      <c r="X2292">
        <f>IF($T2292="",N($X2291),IF(MATCH($T2292,$T$6:$T$10005,0)=ROW()-5,N($X2291)+1,N($X2291)))</f>
        <v>0</v>
      </c>
      <c r="Z2292" t="str">
        <f t="shared" si="359"/>
        <v/>
      </c>
      <c r="AA2292">
        <f>IF($V2292="",N($AA2291),IF(MATCH($V2292,$V$6:$V$10005,0)=ROW()-5,N($AA2291)+1,N($AA2291)))</f>
        <v>0</v>
      </c>
    </row>
    <row r="2293" spans="1:27" ht="21" customHeight="1" x14ac:dyDescent="0.95">
      <c r="A2293" s="56"/>
      <c r="B2293" s="57"/>
      <c r="C2293" s="57"/>
      <c r="D2293" s="57"/>
      <c r="E2293" s="56"/>
      <c r="F2293" s="57"/>
      <c r="G2293" s="57"/>
      <c r="H2293" s="56"/>
      <c r="I2293" s="56"/>
      <c r="J2293" s="58"/>
      <c r="K2293" s="58"/>
      <c r="L2293" s="13" t="str">
        <f t="shared" si="350"/>
        <v/>
      </c>
      <c r="M2293" s="13" t="str">
        <f t="shared" si="351"/>
        <v/>
      </c>
      <c r="Q2293" t="str">
        <f t="shared" si="352"/>
        <v/>
      </c>
      <c r="R2293" t="str">
        <f t="shared" si="353"/>
        <v/>
      </c>
      <c r="S2293" t="str">
        <f t="shared" si="354"/>
        <v/>
      </c>
      <c r="T2293" t="str">
        <f t="shared" si="355"/>
        <v/>
      </c>
      <c r="U2293" t="str">
        <f t="shared" si="356"/>
        <v/>
      </c>
      <c r="V2293" t="str">
        <f t="shared" si="357"/>
        <v/>
      </c>
      <c r="W2293" t="str">
        <f t="shared" si="358"/>
        <v/>
      </c>
      <c r="X2293">
        <f>IF($T2293="",N($X2292),IF(MATCH($T2293,$T$6:$T$10005,0)=ROW()-5,N($X2292)+1,N($X2292)))</f>
        <v>0</v>
      </c>
      <c r="Z2293" t="str">
        <f t="shared" si="359"/>
        <v/>
      </c>
      <c r="AA2293">
        <f>IF($V2293="",N($AA2292),IF(MATCH($V2293,$V$6:$V$10005,0)=ROW()-5,N($AA2292)+1,N($AA2292)))</f>
        <v>0</v>
      </c>
    </row>
    <row r="2294" spans="1:27" ht="21" customHeight="1" x14ac:dyDescent="0.95">
      <c r="A2294" s="56"/>
      <c r="B2294" s="57"/>
      <c r="C2294" s="57"/>
      <c r="D2294" s="57"/>
      <c r="E2294" s="56"/>
      <c r="F2294" s="57"/>
      <c r="G2294" s="57"/>
      <c r="H2294" s="56"/>
      <c r="I2294" s="56"/>
      <c r="J2294" s="58"/>
      <c r="K2294" s="58"/>
      <c r="L2294" s="13" t="str">
        <f t="shared" si="350"/>
        <v/>
      </c>
      <c r="M2294" s="13" t="str">
        <f t="shared" si="351"/>
        <v/>
      </c>
      <c r="Q2294" t="str">
        <f t="shared" si="352"/>
        <v/>
      </c>
      <c r="R2294" t="str">
        <f t="shared" si="353"/>
        <v/>
      </c>
      <c r="S2294" t="str">
        <f t="shared" si="354"/>
        <v/>
      </c>
      <c r="T2294" t="str">
        <f t="shared" si="355"/>
        <v/>
      </c>
      <c r="U2294" t="str">
        <f t="shared" si="356"/>
        <v/>
      </c>
      <c r="V2294" t="str">
        <f t="shared" si="357"/>
        <v/>
      </c>
      <c r="W2294" t="str">
        <f t="shared" si="358"/>
        <v/>
      </c>
      <c r="X2294">
        <f>IF($T2294="",N($X2293),IF(MATCH($T2294,$T$6:$T$10005,0)=ROW()-5,N($X2293)+1,N($X2293)))</f>
        <v>0</v>
      </c>
      <c r="Z2294" t="str">
        <f t="shared" si="359"/>
        <v/>
      </c>
      <c r="AA2294">
        <f>IF($V2294="",N($AA2293),IF(MATCH($V2294,$V$6:$V$10005,0)=ROW()-5,N($AA2293)+1,N($AA2293)))</f>
        <v>0</v>
      </c>
    </row>
    <row r="2295" spans="1:27" ht="21" customHeight="1" x14ac:dyDescent="0.95">
      <c r="A2295" s="56"/>
      <c r="B2295" s="57"/>
      <c r="C2295" s="57"/>
      <c r="D2295" s="57"/>
      <c r="E2295" s="56"/>
      <c r="F2295" s="57"/>
      <c r="G2295" s="57"/>
      <c r="H2295" s="56"/>
      <c r="I2295" s="56"/>
      <c r="J2295" s="58"/>
      <c r="K2295" s="58"/>
      <c r="L2295" s="13" t="str">
        <f t="shared" si="350"/>
        <v/>
      </c>
      <c r="M2295" s="13" t="str">
        <f t="shared" si="351"/>
        <v/>
      </c>
      <c r="Q2295" t="str">
        <f t="shared" si="352"/>
        <v/>
      </c>
      <c r="R2295" t="str">
        <f t="shared" si="353"/>
        <v/>
      </c>
      <c r="S2295" t="str">
        <f t="shared" si="354"/>
        <v/>
      </c>
      <c r="T2295" t="str">
        <f t="shared" si="355"/>
        <v/>
      </c>
      <c r="U2295" t="str">
        <f t="shared" si="356"/>
        <v/>
      </c>
      <c r="V2295" t="str">
        <f t="shared" si="357"/>
        <v/>
      </c>
      <c r="W2295" t="str">
        <f t="shared" si="358"/>
        <v/>
      </c>
      <c r="X2295">
        <f>IF($T2295="",N($X2294),IF(MATCH($T2295,$T$6:$T$10005,0)=ROW()-5,N($X2294)+1,N($X2294)))</f>
        <v>0</v>
      </c>
      <c r="Z2295" t="str">
        <f t="shared" si="359"/>
        <v/>
      </c>
      <c r="AA2295">
        <f>IF($V2295="",N($AA2294),IF(MATCH($V2295,$V$6:$V$10005,0)=ROW()-5,N($AA2294)+1,N($AA2294)))</f>
        <v>0</v>
      </c>
    </row>
    <row r="2296" spans="1:27" ht="21" customHeight="1" x14ac:dyDescent="0.95">
      <c r="A2296" s="56"/>
      <c r="B2296" s="57"/>
      <c r="C2296" s="57"/>
      <c r="D2296" s="57"/>
      <c r="E2296" s="56"/>
      <c r="F2296" s="57"/>
      <c r="G2296" s="57"/>
      <c r="H2296" s="56"/>
      <c r="I2296" s="56"/>
      <c r="J2296" s="58"/>
      <c r="K2296" s="58"/>
      <c r="L2296" s="13" t="str">
        <f t="shared" si="350"/>
        <v/>
      </c>
      <c r="M2296" s="13" t="str">
        <f t="shared" si="351"/>
        <v/>
      </c>
      <c r="Q2296" t="str">
        <f t="shared" si="352"/>
        <v/>
      </c>
      <c r="R2296" t="str">
        <f t="shared" si="353"/>
        <v/>
      </c>
      <c r="S2296" t="str">
        <f t="shared" si="354"/>
        <v/>
      </c>
      <c r="T2296" t="str">
        <f t="shared" si="355"/>
        <v/>
      </c>
      <c r="U2296" t="str">
        <f t="shared" si="356"/>
        <v/>
      </c>
      <c r="V2296" t="str">
        <f t="shared" si="357"/>
        <v/>
      </c>
      <c r="W2296" t="str">
        <f t="shared" si="358"/>
        <v/>
      </c>
      <c r="X2296">
        <f>IF($T2296="",N($X2295),IF(MATCH($T2296,$T$6:$T$10005,0)=ROW()-5,N($X2295)+1,N($X2295)))</f>
        <v>0</v>
      </c>
      <c r="Z2296" t="str">
        <f t="shared" si="359"/>
        <v/>
      </c>
      <c r="AA2296">
        <f>IF($V2296="",N($AA2295),IF(MATCH($V2296,$V$6:$V$10005,0)=ROW()-5,N($AA2295)+1,N($AA2295)))</f>
        <v>0</v>
      </c>
    </row>
    <row r="2297" spans="1:27" ht="21" customHeight="1" x14ac:dyDescent="0.95">
      <c r="A2297" s="56"/>
      <c r="B2297" s="57"/>
      <c r="C2297" s="57"/>
      <c r="D2297" s="57"/>
      <c r="E2297" s="56"/>
      <c r="F2297" s="57"/>
      <c r="G2297" s="57"/>
      <c r="H2297" s="56"/>
      <c r="I2297" s="56"/>
      <c r="J2297" s="58"/>
      <c r="K2297" s="58"/>
      <c r="L2297" s="13" t="str">
        <f t="shared" si="350"/>
        <v/>
      </c>
      <c r="M2297" s="13" t="str">
        <f t="shared" si="351"/>
        <v/>
      </c>
      <c r="Q2297" t="str">
        <f t="shared" si="352"/>
        <v/>
      </c>
      <c r="R2297" t="str">
        <f t="shared" si="353"/>
        <v/>
      </c>
      <c r="S2297" t="str">
        <f t="shared" si="354"/>
        <v/>
      </c>
      <c r="T2297" t="str">
        <f t="shared" si="355"/>
        <v/>
      </c>
      <c r="U2297" t="str">
        <f t="shared" si="356"/>
        <v/>
      </c>
      <c r="V2297" t="str">
        <f t="shared" si="357"/>
        <v/>
      </c>
      <c r="W2297" t="str">
        <f t="shared" si="358"/>
        <v/>
      </c>
      <c r="X2297">
        <f>IF($T2297="",N($X2296),IF(MATCH($T2297,$T$6:$T$10005,0)=ROW()-5,N($X2296)+1,N($X2296)))</f>
        <v>0</v>
      </c>
      <c r="Z2297" t="str">
        <f t="shared" si="359"/>
        <v/>
      </c>
      <c r="AA2297">
        <f>IF($V2297="",N($AA2296),IF(MATCH($V2297,$V$6:$V$10005,0)=ROW()-5,N($AA2296)+1,N($AA2296)))</f>
        <v>0</v>
      </c>
    </row>
    <row r="2298" spans="1:27" ht="21" customHeight="1" x14ac:dyDescent="0.95">
      <c r="A2298" s="56"/>
      <c r="B2298" s="57"/>
      <c r="C2298" s="57"/>
      <c r="D2298" s="57"/>
      <c r="E2298" s="56"/>
      <c r="F2298" s="57"/>
      <c r="G2298" s="57"/>
      <c r="H2298" s="56"/>
      <c r="I2298" s="56"/>
      <c r="J2298" s="58"/>
      <c r="K2298" s="58"/>
      <c r="L2298" s="13" t="str">
        <f t="shared" si="350"/>
        <v/>
      </c>
      <c r="M2298" s="13" t="str">
        <f t="shared" si="351"/>
        <v/>
      </c>
      <c r="Q2298" t="str">
        <f t="shared" si="352"/>
        <v/>
      </c>
      <c r="R2298" t="str">
        <f t="shared" si="353"/>
        <v/>
      </c>
      <c r="S2298" t="str">
        <f t="shared" si="354"/>
        <v/>
      </c>
      <c r="T2298" t="str">
        <f t="shared" si="355"/>
        <v/>
      </c>
      <c r="U2298" t="str">
        <f t="shared" si="356"/>
        <v/>
      </c>
      <c r="V2298" t="str">
        <f t="shared" si="357"/>
        <v/>
      </c>
      <c r="W2298" t="str">
        <f t="shared" si="358"/>
        <v/>
      </c>
      <c r="X2298">
        <f>IF($T2298="",N($X2297),IF(MATCH($T2298,$T$6:$T$10005,0)=ROW()-5,N($X2297)+1,N($X2297)))</f>
        <v>0</v>
      </c>
      <c r="Z2298" t="str">
        <f t="shared" si="359"/>
        <v/>
      </c>
      <c r="AA2298">
        <f>IF($V2298="",N($AA2297),IF(MATCH($V2298,$V$6:$V$10005,0)=ROW()-5,N($AA2297)+1,N($AA2297)))</f>
        <v>0</v>
      </c>
    </row>
    <row r="2299" spans="1:27" ht="21" customHeight="1" x14ac:dyDescent="0.95">
      <c r="A2299" s="56"/>
      <c r="B2299" s="57"/>
      <c r="C2299" s="57"/>
      <c r="D2299" s="57"/>
      <c r="E2299" s="56"/>
      <c r="F2299" s="57"/>
      <c r="G2299" s="57"/>
      <c r="H2299" s="56"/>
      <c r="I2299" s="56"/>
      <c r="J2299" s="58"/>
      <c r="K2299" s="58"/>
      <c r="L2299" s="13" t="str">
        <f t="shared" si="350"/>
        <v/>
      </c>
      <c r="M2299" s="13" t="str">
        <f t="shared" si="351"/>
        <v/>
      </c>
      <c r="Q2299" t="str">
        <f t="shared" si="352"/>
        <v/>
      </c>
      <c r="R2299" t="str">
        <f t="shared" si="353"/>
        <v/>
      </c>
      <c r="S2299" t="str">
        <f t="shared" si="354"/>
        <v/>
      </c>
      <c r="T2299" t="str">
        <f t="shared" si="355"/>
        <v/>
      </c>
      <c r="U2299" t="str">
        <f t="shared" si="356"/>
        <v/>
      </c>
      <c r="V2299" t="str">
        <f t="shared" si="357"/>
        <v/>
      </c>
      <c r="W2299" t="str">
        <f t="shared" si="358"/>
        <v/>
      </c>
      <c r="X2299">
        <f>IF($T2299="",N($X2298),IF(MATCH($T2299,$T$6:$T$10005,0)=ROW()-5,N($X2298)+1,N($X2298)))</f>
        <v>0</v>
      </c>
      <c r="Z2299" t="str">
        <f t="shared" si="359"/>
        <v/>
      </c>
      <c r="AA2299">
        <f>IF($V2299="",N($AA2298),IF(MATCH($V2299,$V$6:$V$10005,0)=ROW()-5,N($AA2298)+1,N($AA2298)))</f>
        <v>0</v>
      </c>
    </row>
    <row r="2300" spans="1:27" ht="21" customHeight="1" x14ac:dyDescent="0.95">
      <c r="A2300" s="56"/>
      <c r="B2300" s="57"/>
      <c r="C2300" s="57"/>
      <c r="D2300" s="57"/>
      <c r="E2300" s="56"/>
      <c r="F2300" s="57"/>
      <c r="G2300" s="57"/>
      <c r="H2300" s="56"/>
      <c r="I2300" s="56"/>
      <c r="J2300" s="58"/>
      <c r="K2300" s="58"/>
      <c r="L2300" s="13" t="str">
        <f t="shared" si="350"/>
        <v/>
      </c>
      <c r="M2300" s="13" t="str">
        <f t="shared" si="351"/>
        <v/>
      </c>
      <c r="Q2300" t="str">
        <f t="shared" si="352"/>
        <v/>
      </c>
      <c r="R2300" t="str">
        <f t="shared" si="353"/>
        <v/>
      </c>
      <c r="S2300" t="str">
        <f t="shared" si="354"/>
        <v/>
      </c>
      <c r="T2300" t="str">
        <f t="shared" si="355"/>
        <v/>
      </c>
      <c r="U2300" t="str">
        <f t="shared" si="356"/>
        <v/>
      </c>
      <c r="V2300" t="str">
        <f t="shared" si="357"/>
        <v/>
      </c>
      <c r="W2300" t="str">
        <f t="shared" si="358"/>
        <v/>
      </c>
      <c r="X2300">
        <f>IF($T2300="",N($X2299),IF(MATCH($T2300,$T$6:$T$10005,0)=ROW()-5,N($X2299)+1,N($X2299)))</f>
        <v>0</v>
      </c>
      <c r="Z2300" t="str">
        <f t="shared" si="359"/>
        <v/>
      </c>
      <c r="AA2300">
        <f>IF($V2300="",N($AA2299),IF(MATCH($V2300,$V$6:$V$10005,0)=ROW()-5,N($AA2299)+1,N($AA2299)))</f>
        <v>0</v>
      </c>
    </row>
    <row r="2301" spans="1:27" ht="21" customHeight="1" x14ac:dyDescent="0.95">
      <c r="A2301" s="56"/>
      <c r="B2301" s="57"/>
      <c r="C2301" s="57"/>
      <c r="D2301" s="57"/>
      <c r="E2301" s="56"/>
      <c r="F2301" s="57"/>
      <c r="G2301" s="57"/>
      <c r="H2301" s="56"/>
      <c r="I2301" s="56"/>
      <c r="J2301" s="58"/>
      <c r="K2301" s="58"/>
      <c r="L2301" s="13" t="str">
        <f t="shared" si="350"/>
        <v/>
      </c>
      <c r="M2301" s="13" t="str">
        <f t="shared" si="351"/>
        <v/>
      </c>
      <c r="Q2301" t="str">
        <f t="shared" si="352"/>
        <v/>
      </c>
      <c r="R2301" t="str">
        <f t="shared" si="353"/>
        <v/>
      </c>
      <c r="S2301" t="str">
        <f t="shared" si="354"/>
        <v/>
      </c>
      <c r="T2301" t="str">
        <f t="shared" si="355"/>
        <v/>
      </c>
      <c r="U2301" t="str">
        <f t="shared" si="356"/>
        <v/>
      </c>
      <c r="V2301" t="str">
        <f t="shared" si="357"/>
        <v/>
      </c>
      <c r="W2301" t="str">
        <f t="shared" si="358"/>
        <v/>
      </c>
      <c r="X2301">
        <f>IF($T2301="",N($X2300),IF(MATCH($T2301,$T$6:$T$10005,0)=ROW()-5,N($X2300)+1,N($X2300)))</f>
        <v>0</v>
      </c>
      <c r="Z2301" t="str">
        <f t="shared" si="359"/>
        <v/>
      </c>
      <c r="AA2301">
        <f>IF($V2301="",N($AA2300),IF(MATCH($V2301,$V$6:$V$10005,0)=ROW()-5,N($AA2300)+1,N($AA2300)))</f>
        <v>0</v>
      </c>
    </row>
    <row r="2302" spans="1:27" ht="21" customHeight="1" x14ac:dyDescent="0.95">
      <c r="A2302" s="56"/>
      <c r="B2302" s="57"/>
      <c r="C2302" s="57"/>
      <c r="D2302" s="57"/>
      <c r="E2302" s="56"/>
      <c r="F2302" s="57"/>
      <c r="G2302" s="57"/>
      <c r="H2302" s="56"/>
      <c r="I2302" s="56"/>
      <c r="J2302" s="58"/>
      <c r="K2302" s="58"/>
      <c r="L2302" s="13" t="str">
        <f t="shared" si="350"/>
        <v/>
      </c>
      <c r="M2302" s="13" t="str">
        <f t="shared" si="351"/>
        <v/>
      </c>
      <c r="Q2302" t="str">
        <f t="shared" si="352"/>
        <v/>
      </c>
      <c r="R2302" t="str">
        <f t="shared" si="353"/>
        <v/>
      </c>
      <c r="S2302" t="str">
        <f t="shared" si="354"/>
        <v/>
      </c>
      <c r="T2302" t="str">
        <f t="shared" si="355"/>
        <v/>
      </c>
      <c r="U2302" t="str">
        <f t="shared" si="356"/>
        <v/>
      </c>
      <c r="V2302" t="str">
        <f t="shared" si="357"/>
        <v/>
      </c>
      <c r="W2302" t="str">
        <f t="shared" si="358"/>
        <v/>
      </c>
      <c r="X2302">
        <f>IF($T2302="",N($X2301),IF(MATCH($T2302,$T$6:$T$10005,0)=ROW()-5,N($X2301)+1,N($X2301)))</f>
        <v>0</v>
      </c>
      <c r="Z2302" t="str">
        <f t="shared" si="359"/>
        <v/>
      </c>
      <c r="AA2302">
        <f>IF($V2302="",N($AA2301),IF(MATCH($V2302,$V$6:$V$10005,0)=ROW()-5,N($AA2301)+1,N($AA2301)))</f>
        <v>0</v>
      </c>
    </row>
    <row r="2303" spans="1:27" ht="21" customHeight="1" x14ac:dyDescent="0.95">
      <c r="A2303" s="56"/>
      <c r="B2303" s="57"/>
      <c r="C2303" s="57"/>
      <c r="D2303" s="57"/>
      <c r="E2303" s="56"/>
      <c r="F2303" s="57"/>
      <c r="G2303" s="57"/>
      <c r="H2303" s="56"/>
      <c r="I2303" s="56"/>
      <c r="J2303" s="58"/>
      <c r="K2303" s="58"/>
      <c r="L2303" s="13" t="str">
        <f t="shared" si="350"/>
        <v/>
      </c>
      <c r="M2303" s="13" t="str">
        <f t="shared" si="351"/>
        <v/>
      </c>
      <c r="Q2303" t="str">
        <f t="shared" si="352"/>
        <v/>
      </c>
      <c r="R2303" t="str">
        <f t="shared" si="353"/>
        <v/>
      </c>
      <c r="S2303" t="str">
        <f t="shared" si="354"/>
        <v/>
      </c>
      <c r="T2303" t="str">
        <f t="shared" si="355"/>
        <v/>
      </c>
      <c r="U2303" t="str">
        <f t="shared" si="356"/>
        <v/>
      </c>
      <c r="V2303" t="str">
        <f t="shared" si="357"/>
        <v/>
      </c>
      <c r="W2303" t="str">
        <f t="shared" si="358"/>
        <v/>
      </c>
      <c r="X2303">
        <f>IF($T2303="",N($X2302),IF(MATCH($T2303,$T$6:$T$10005,0)=ROW()-5,N($X2302)+1,N($X2302)))</f>
        <v>0</v>
      </c>
      <c r="Z2303" t="str">
        <f t="shared" si="359"/>
        <v/>
      </c>
      <c r="AA2303">
        <f>IF($V2303="",N($AA2302),IF(MATCH($V2303,$V$6:$V$10005,0)=ROW()-5,N($AA2302)+1,N($AA2302)))</f>
        <v>0</v>
      </c>
    </row>
    <row r="2304" spans="1:27" ht="21" customHeight="1" x14ac:dyDescent="0.95">
      <c r="A2304" s="56"/>
      <c r="B2304" s="57"/>
      <c r="C2304" s="57"/>
      <c r="D2304" s="57"/>
      <c r="E2304" s="56"/>
      <c r="F2304" s="57"/>
      <c r="G2304" s="57"/>
      <c r="H2304" s="56"/>
      <c r="I2304" s="56"/>
      <c r="J2304" s="58"/>
      <c r="K2304" s="58"/>
      <c r="L2304" s="13" t="str">
        <f t="shared" si="350"/>
        <v/>
      </c>
      <c r="M2304" s="13" t="str">
        <f t="shared" si="351"/>
        <v/>
      </c>
      <c r="Q2304" t="str">
        <f t="shared" si="352"/>
        <v/>
      </c>
      <c r="R2304" t="str">
        <f t="shared" si="353"/>
        <v/>
      </c>
      <c r="S2304" t="str">
        <f t="shared" si="354"/>
        <v/>
      </c>
      <c r="T2304" t="str">
        <f t="shared" si="355"/>
        <v/>
      </c>
      <c r="U2304" t="str">
        <f t="shared" si="356"/>
        <v/>
      </c>
      <c r="V2304" t="str">
        <f t="shared" si="357"/>
        <v/>
      </c>
      <c r="W2304" t="str">
        <f t="shared" si="358"/>
        <v/>
      </c>
      <c r="X2304">
        <f>IF($T2304="",N($X2303),IF(MATCH($T2304,$T$6:$T$10005,0)=ROW()-5,N($X2303)+1,N($X2303)))</f>
        <v>0</v>
      </c>
      <c r="Z2304" t="str">
        <f t="shared" si="359"/>
        <v/>
      </c>
      <c r="AA2304">
        <f>IF($V2304="",N($AA2303),IF(MATCH($V2304,$V$6:$V$10005,0)=ROW()-5,N($AA2303)+1,N($AA2303)))</f>
        <v>0</v>
      </c>
    </row>
    <row r="2305" spans="1:27" ht="21" customHeight="1" x14ac:dyDescent="0.95">
      <c r="A2305" s="56"/>
      <c r="B2305" s="57"/>
      <c r="C2305" s="57"/>
      <c r="D2305" s="57"/>
      <c r="E2305" s="56"/>
      <c r="F2305" s="57"/>
      <c r="G2305" s="57"/>
      <c r="H2305" s="56"/>
      <c r="I2305" s="56"/>
      <c r="J2305" s="58"/>
      <c r="K2305" s="58"/>
      <c r="L2305" s="13" t="str">
        <f t="shared" si="350"/>
        <v/>
      </c>
      <c r="M2305" s="13" t="str">
        <f t="shared" si="351"/>
        <v/>
      </c>
      <c r="Q2305" t="str">
        <f t="shared" si="352"/>
        <v/>
      </c>
      <c r="R2305" t="str">
        <f t="shared" si="353"/>
        <v/>
      </c>
      <c r="S2305" t="str">
        <f t="shared" si="354"/>
        <v/>
      </c>
      <c r="T2305" t="str">
        <f t="shared" si="355"/>
        <v/>
      </c>
      <c r="U2305" t="str">
        <f t="shared" si="356"/>
        <v/>
      </c>
      <c r="V2305" t="str">
        <f t="shared" si="357"/>
        <v/>
      </c>
      <c r="W2305" t="str">
        <f t="shared" si="358"/>
        <v/>
      </c>
      <c r="X2305">
        <f>IF($T2305="",N($X2304),IF(MATCH($T2305,$T$6:$T$10005,0)=ROW()-5,N($X2304)+1,N($X2304)))</f>
        <v>0</v>
      </c>
      <c r="Z2305" t="str">
        <f t="shared" si="359"/>
        <v/>
      </c>
      <c r="AA2305">
        <f>IF($V2305="",N($AA2304),IF(MATCH($V2305,$V$6:$V$10005,0)=ROW()-5,N($AA2304)+1,N($AA2304)))</f>
        <v>0</v>
      </c>
    </row>
    <row r="2306" spans="1:27" ht="21" customHeight="1" x14ac:dyDescent="0.95">
      <c r="A2306" s="56"/>
      <c r="B2306" s="57"/>
      <c r="C2306" s="57"/>
      <c r="D2306" s="57"/>
      <c r="E2306" s="56"/>
      <c r="F2306" s="57"/>
      <c r="G2306" s="57"/>
      <c r="H2306" s="56"/>
      <c r="I2306" s="56"/>
      <c r="J2306" s="58"/>
      <c r="K2306" s="58"/>
      <c r="L2306" s="13" t="str">
        <f t="shared" si="350"/>
        <v/>
      </c>
      <c r="M2306" s="13" t="str">
        <f t="shared" si="351"/>
        <v/>
      </c>
      <c r="Q2306" t="str">
        <f t="shared" si="352"/>
        <v/>
      </c>
      <c r="R2306" t="str">
        <f t="shared" si="353"/>
        <v/>
      </c>
      <c r="S2306" t="str">
        <f t="shared" si="354"/>
        <v/>
      </c>
      <c r="T2306" t="str">
        <f t="shared" si="355"/>
        <v/>
      </c>
      <c r="U2306" t="str">
        <f t="shared" si="356"/>
        <v/>
      </c>
      <c r="V2306" t="str">
        <f t="shared" si="357"/>
        <v/>
      </c>
      <c r="W2306" t="str">
        <f t="shared" si="358"/>
        <v/>
      </c>
      <c r="X2306">
        <f>IF($T2306="",N($X2305),IF(MATCH($T2306,$T$6:$T$10005,0)=ROW()-5,N($X2305)+1,N($X2305)))</f>
        <v>0</v>
      </c>
      <c r="Z2306" t="str">
        <f t="shared" si="359"/>
        <v/>
      </c>
      <c r="AA2306">
        <f>IF($V2306="",N($AA2305),IF(MATCH($V2306,$V$6:$V$10005,0)=ROW()-5,N($AA2305)+1,N($AA2305)))</f>
        <v>0</v>
      </c>
    </row>
    <row r="2307" spans="1:27" ht="21" customHeight="1" x14ac:dyDescent="0.95">
      <c r="A2307" s="56"/>
      <c r="B2307" s="57"/>
      <c r="C2307" s="57"/>
      <c r="D2307" s="57"/>
      <c r="E2307" s="56"/>
      <c r="F2307" s="57"/>
      <c r="G2307" s="57"/>
      <c r="H2307" s="56"/>
      <c r="I2307" s="56"/>
      <c r="J2307" s="58"/>
      <c r="K2307" s="58"/>
      <c r="L2307" s="13" t="str">
        <f t="shared" si="350"/>
        <v/>
      </c>
      <c r="M2307" s="13" t="str">
        <f t="shared" si="351"/>
        <v/>
      </c>
      <c r="Q2307" t="str">
        <f t="shared" si="352"/>
        <v/>
      </c>
      <c r="R2307" t="str">
        <f t="shared" si="353"/>
        <v/>
      </c>
      <c r="S2307" t="str">
        <f t="shared" si="354"/>
        <v/>
      </c>
      <c r="T2307" t="str">
        <f t="shared" si="355"/>
        <v/>
      </c>
      <c r="U2307" t="str">
        <f t="shared" si="356"/>
        <v/>
      </c>
      <c r="V2307" t="str">
        <f t="shared" si="357"/>
        <v/>
      </c>
      <c r="W2307" t="str">
        <f t="shared" si="358"/>
        <v/>
      </c>
      <c r="X2307">
        <f>IF($T2307="",N($X2306),IF(MATCH($T2307,$T$6:$T$10005,0)=ROW()-5,N($X2306)+1,N($X2306)))</f>
        <v>0</v>
      </c>
      <c r="Z2307" t="str">
        <f t="shared" si="359"/>
        <v/>
      </c>
      <c r="AA2307">
        <f>IF($V2307="",N($AA2306),IF(MATCH($V2307,$V$6:$V$10005,0)=ROW()-5,N($AA2306)+1,N($AA2306)))</f>
        <v>0</v>
      </c>
    </row>
    <row r="2308" spans="1:27" ht="21" customHeight="1" x14ac:dyDescent="0.95">
      <c r="A2308" s="56"/>
      <c r="B2308" s="57"/>
      <c r="C2308" s="57"/>
      <c r="D2308" s="57"/>
      <c r="E2308" s="56"/>
      <c r="F2308" s="57"/>
      <c r="G2308" s="57"/>
      <c r="H2308" s="56"/>
      <c r="I2308" s="56"/>
      <c r="J2308" s="58"/>
      <c r="K2308" s="58"/>
      <c r="L2308" s="13" t="str">
        <f t="shared" si="350"/>
        <v/>
      </c>
      <c r="M2308" s="13" t="str">
        <f t="shared" si="351"/>
        <v/>
      </c>
      <c r="Q2308" t="str">
        <f t="shared" si="352"/>
        <v/>
      </c>
      <c r="R2308" t="str">
        <f t="shared" si="353"/>
        <v/>
      </c>
      <c r="S2308" t="str">
        <f t="shared" si="354"/>
        <v/>
      </c>
      <c r="T2308" t="str">
        <f t="shared" si="355"/>
        <v/>
      </c>
      <c r="U2308" t="str">
        <f t="shared" si="356"/>
        <v/>
      </c>
      <c r="V2308" t="str">
        <f t="shared" si="357"/>
        <v/>
      </c>
      <c r="W2308" t="str">
        <f t="shared" si="358"/>
        <v/>
      </c>
      <c r="X2308">
        <f>IF($T2308="",N($X2307),IF(MATCH($T2308,$T$6:$T$10005,0)=ROW()-5,N($X2307)+1,N($X2307)))</f>
        <v>0</v>
      </c>
      <c r="Z2308" t="str">
        <f t="shared" si="359"/>
        <v/>
      </c>
      <c r="AA2308">
        <f>IF($V2308="",N($AA2307),IF(MATCH($V2308,$V$6:$V$10005,0)=ROW()-5,N($AA2307)+1,N($AA2307)))</f>
        <v>0</v>
      </c>
    </row>
    <row r="2309" spans="1:27" ht="21" customHeight="1" x14ac:dyDescent="0.95">
      <c r="A2309" s="56"/>
      <c r="B2309" s="57"/>
      <c r="C2309" s="57"/>
      <c r="D2309" s="57"/>
      <c r="E2309" s="56"/>
      <c r="F2309" s="57"/>
      <c r="G2309" s="57"/>
      <c r="H2309" s="56"/>
      <c r="I2309" s="56"/>
      <c r="J2309" s="58"/>
      <c r="K2309" s="58"/>
      <c r="L2309" s="13" t="str">
        <f t="shared" si="350"/>
        <v/>
      </c>
      <c r="M2309" s="13" t="str">
        <f t="shared" si="351"/>
        <v/>
      </c>
      <c r="Q2309" t="str">
        <f t="shared" si="352"/>
        <v/>
      </c>
      <c r="R2309" t="str">
        <f t="shared" si="353"/>
        <v/>
      </c>
      <c r="S2309" t="str">
        <f t="shared" si="354"/>
        <v/>
      </c>
      <c r="T2309" t="str">
        <f t="shared" si="355"/>
        <v/>
      </c>
      <c r="U2309" t="str">
        <f t="shared" si="356"/>
        <v/>
      </c>
      <c r="V2309" t="str">
        <f t="shared" si="357"/>
        <v/>
      </c>
      <c r="W2309" t="str">
        <f t="shared" si="358"/>
        <v/>
      </c>
      <c r="X2309">
        <f>IF($T2309="",N($X2308),IF(MATCH($T2309,$T$6:$T$10005,0)=ROW()-5,N($X2308)+1,N($X2308)))</f>
        <v>0</v>
      </c>
      <c r="Z2309" t="str">
        <f t="shared" si="359"/>
        <v/>
      </c>
      <c r="AA2309">
        <f>IF($V2309="",N($AA2308),IF(MATCH($V2309,$V$6:$V$10005,0)=ROW()-5,N($AA2308)+1,N($AA2308)))</f>
        <v>0</v>
      </c>
    </row>
    <row r="2310" spans="1:27" ht="21" customHeight="1" x14ac:dyDescent="0.95">
      <c r="A2310" s="56"/>
      <c r="B2310" s="57"/>
      <c r="C2310" s="57"/>
      <c r="D2310" s="57"/>
      <c r="E2310" s="56"/>
      <c r="F2310" s="57"/>
      <c r="G2310" s="57"/>
      <c r="H2310" s="56"/>
      <c r="I2310" s="56"/>
      <c r="J2310" s="58"/>
      <c r="K2310" s="58"/>
      <c r="L2310" s="13" t="str">
        <f t="shared" ref="L2310:L2373" si="360">IF(OR($A2310="",AND($J2310="",$K2310="")),"",ROUND(N($J2310)-N($K2310),2))</f>
        <v/>
      </c>
      <c r="M2310" s="13" t="str">
        <f t="shared" ref="M2310:M2373" si="361">IF(OR($A2310="",AND($J2310="",$K2310="")),"",MIN($J2310,$K2310))</f>
        <v/>
      </c>
      <c r="Q2310" t="str">
        <f t="shared" ref="Q2310:Q2373" si="362">IF($A2310="","",$D2310&amp;"("&amp;SUBSTITUTE($E2310," ","")&amp;")")</f>
        <v/>
      </c>
      <c r="R2310" t="str">
        <f t="shared" ref="R2310:R2373" si="363">IF($A2310="","",$B2310&amp;" - "&amp;$C2310)</f>
        <v/>
      </c>
      <c r="S2310" t="str">
        <f t="shared" ref="S2310:S2373" si="364">IF($A2310="","",$R2310&amp;"|"&amp;$Q2310)</f>
        <v/>
      </c>
      <c r="T2310" t="str">
        <f t="shared" ref="T2310:T2373" si="365">IF($A2310="","",$S2310&amp;"|"&amp;$F2310)</f>
        <v/>
      </c>
      <c r="U2310" t="str">
        <f t="shared" ref="U2310:U2373" si="366">IF($A2310="","",$R2310&amp;"("&amp;$E2310&amp;")")</f>
        <v/>
      </c>
      <c r="V2310" t="str">
        <f t="shared" ref="V2310:V2373" si="367">IF($A2310="","",$F2310&amp;"|"&amp;$U2310&amp;"|"&amp;$D2310)</f>
        <v/>
      </c>
      <c r="W2310" t="str">
        <f t="shared" ref="W2310:W2373" si="368">IF($T2310="","",IF($X2310&gt;N($X2309),$X2310,""))</f>
        <v/>
      </c>
      <c r="X2310">
        <f>IF($T2310="",N($X2309),IF(MATCH($T2310,$T$6:$T$10005,0)=ROW()-5,N($X2309)+1,N($X2309)))</f>
        <v>0</v>
      </c>
      <c r="Z2310" t="str">
        <f t="shared" ref="Z2310:Z2373" si="369">IF($V2310="","",IF($AA2310&gt;N($AA2309),$AA2310,""))</f>
        <v/>
      </c>
      <c r="AA2310">
        <f>IF($V2310="",N($AA2309),IF(MATCH($V2310,$V$6:$V$10005,0)=ROW()-5,N($AA2309)+1,N($AA2309)))</f>
        <v>0</v>
      </c>
    </row>
    <row r="2311" spans="1:27" ht="21" customHeight="1" x14ac:dyDescent="0.95">
      <c r="A2311" s="56"/>
      <c r="B2311" s="57"/>
      <c r="C2311" s="57"/>
      <c r="D2311" s="57"/>
      <c r="E2311" s="56"/>
      <c r="F2311" s="57"/>
      <c r="G2311" s="57"/>
      <c r="H2311" s="56"/>
      <c r="I2311" s="56"/>
      <c r="J2311" s="58"/>
      <c r="K2311" s="58"/>
      <c r="L2311" s="13" t="str">
        <f t="shared" si="360"/>
        <v/>
      </c>
      <c r="M2311" s="13" t="str">
        <f t="shared" si="361"/>
        <v/>
      </c>
      <c r="Q2311" t="str">
        <f t="shared" si="362"/>
        <v/>
      </c>
      <c r="R2311" t="str">
        <f t="shared" si="363"/>
        <v/>
      </c>
      <c r="S2311" t="str">
        <f t="shared" si="364"/>
        <v/>
      </c>
      <c r="T2311" t="str">
        <f t="shared" si="365"/>
        <v/>
      </c>
      <c r="U2311" t="str">
        <f t="shared" si="366"/>
        <v/>
      </c>
      <c r="V2311" t="str">
        <f t="shared" si="367"/>
        <v/>
      </c>
      <c r="W2311" t="str">
        <f t="shared" si="368"/>
        <v/>
      </c>
      <c r="X2311">
        <f>IF($T2311="",N($X2310),IF(MATCH($T2311,$T$6:$T$10005,0)=ROW()-5,N($X2310)+1,N($X2310)))</f>
        <v>0</v>
      </c>
      <c r="Z2311" t="str">
        <f t="shared" si="369"/>
        <v/>
      </c>
      <c r="AA2311">
        <f>IF($V2311="",N($AA2310),IF(MATCH($V2311,$V$6:$V$10005,0)=ROW()-5,N($AA2310)+1,N($AA2310)))</f>
        <v>0</v>
      </c>
    </row>
    <row r="2312" spans="1:27" ht="21" customHeight="1" x14ac:dyDescent="0.95">
      <c r="A2312" s="56"/>
      <c r="B2312" s="57"/>
      <c r="C2312" s="57"/>
      <c r="D2312" s="57"/>
      <c r="E2312" s="56"/>
      <c r="F2312" s="57"/>
      <c r="G2312" s="57"/>
      <c r="H2312" s="56"/>
      <c r="I2312" s="56"/>
      <c r="J2312" s="58"/>
      <c r="K2312" s="58"/>
      <c r="L2312" s="13" t="str">
        <f t="shared" si="360"/>
        <v/>
      </c>
      <c r="M2312" s="13" t="str">
        <f t="shared" si="361"/>
        <v/>
      </c>
      <c r="Q2312" t="str">
        <f t="shared" si="362"/>
        <v/>
      </c>
      <c r="R2312" t="str">
        <f t="shared" si="363"/>
        <v/>
      </c>
      <c r="S2312" t="str">
        <f t="shared" si="364"/>
        <v/>
      </c>
      <c r="T2312" t="str">
        <f t="shared" si="365"/>
        <v/>
      </c>
      <c r="U2312" t="str">
        <f t="shared" si="366"/>
        <v/>
      </c>
      <c r="V2312" t="str">
        <f t="shared" si="367"/>
        <v/>
      </c>
      <c r="W2312" t="str">
        <f t="shared" si="368"/>
        <v/>
      </c>
      <c r="X2312">
        <f>IF($T2312="",N($X2311),IF(MATCH($T2312,$T$6:$T$10005,0)=ROW()-5,N($X2311)+1,N($X2311)))</f>
        <v>0</v>
      </c>
      <c r="Z2312" t="str">
        <f t="shared" si="369"/>
        <v/>
      </c>
      <c r="AA2312">
        <f>IF($V2312="",N($AA2311),IF(MATCH($V2312,$V$6:$V$10005,0)=ROW()-5,N($AA2311)+1,N($AA2311)))</f>
        <v>0</v>
      </c>
    </row>
    <row r="2313" spans="1:27" ht="21" customHeight="1" x14ac:dyDescent="0.95">
      <c r="A2313" s="56"/>
      <c r="B2313" s="57"/>
      <c r="C2313" s="57"/>
      <c r="D2313" s="57"/>
      <c r="E2313" s="56"/>
      <c r="F2313" s="57"/>
      <c r="G2313" s="57"/>
      <c r="H2313" s="56"/>
      <c r="I2313" s="56"/>
      <c r="J2313" s="58"/>
      <c r="K2313" s="58"/>
      <c r="L2313" s="13" t="str">
        <f t="shared" si="360"/>
        <v/>
      </c>
      <c r="M2313" s="13" t="str">
        <f t="shared" si="361"/>
        <v/>
      </c>
      <c r="Q2313" t="str">
        <f t="shared" si="362"/>
        <v/>
      </c>
      <c r="R2313" t="str">
        <f t="shared" si="363"/>
        <v/>
      </c>
      <c r="S2313" t="str">
        <f t="shared" si="364"/>
        <v/>
      </c>
      <c r="T2313" t="str">
        <f t="shared" si="365"/>
        <v/>
      </c>
      <c r="U2313" t="str">
        <f t="shared" si="366"/>
        <v/>
      </c>
      <c r="V2313" t="str">
        <f t="shared" si="367"/>
        <v/>
      </c>
      <c r="W2313" t="str">
        <f t="shared" si="368"/>
        <v/>
      </c>
      <c r="X2313">
        <f>IF($T2313="",N($X2312),IF(MATCH($T2313,$T$6:$T$10005,0)=ROW()-5,N($X2312)+1,N($X2312)))</f>
        <v>0</v>
      </c>
      <c r="Z2313" t="str">
        <f t="shared" si="369"/>
        <v/>
      </c>
      <c r="AA2313">
        <f>IF($V2313="",N($AA2312),IF(MATCH($V2313,$V$6:$V$10005,0)=ROW()-5,N($AA2312)+1,N($AA2312)))</f>
        <v>0</v>
      </c>
    </row>
    <row r="2314" spans="1:27" ht="21" customHeight="1" x14ac:dyDescent="0.95">
      <c r="A2314" s="56"/>
      <c r="B2314" s="57"/>
      <c r="C2314" s="57"/>
      <c r="D2314" s="57"/>
      <c r="E2314" s="56"/>
      <c r="F2314" s="57"/>
      <c r="G2314" s="57"/>
      <c r="H2314" s="56"/>
      <c r="I2314" s="56"/>
      <c r="J2314" s="58"/>
      <c r="K2314" s="58"/>
      <c r="L2314" s="13" t="str">
        <f t="shared" si="360"/>
        <v/>
      </c>
      <c r="M2314" s="13" t="str">
        <f t="shared" si="361"/>
        <v/>
      </c>
      <c r="Q2314" t="str">
        <f t="shared" si="362"/>
        <v/>
      </c>
      <c r="R2314" t="str">
        <f t="shared" si="363"/>
        <v/>
      </c>
      <c r="S2314" t="str">
        <f t="shared" si="364"/>
        <v/>
      </c>
      <c r="T2314" t="str">
        <f t="shared" si="365"/>
        <v/>
      </c>
      <c r="U2314" t="str">
        <f t="shared" si="366"/>
        <v/>
      </c>
      <c r="V2314" t="str">
        <f t="shared" si="367"/>
        <v/>
      </c>
      <c r="W2314" t="str">
        <f t="shared" si="368"/>
        <v/>
      </c>
      <c r="X2314">
        <f>IF($T2314="",N($X2313),IF(MATCH($T2314,$T$6:$T$10005,0)=ROW()-5,N($X2313)+1,N($X2313)))</f>
        <v>0</v>
      </c>
      <c r="Z2314" t="str">
        <f t="shared" si="369"/>
        <v/>
      </c>
      <c r="AA2314">
        <f>IF($V2314="",N($AA2313),IF(MATCH($V2314,$V$6:$V$10005,0)=ROW()-5,N($AA2313)+1,N($AA2313)))</f>
        <v>0</v>
      </c>
    </row>
    <row r="2315" spans="1:27" ht="21" customHeight="1" x14ac:dyDescent="0.95">
      <c r="A2315" s="56"/>
      <c r="B2315" s="57"/>
      <c r="C2315" s="57"/>
      <c r="D2315" s="57"/>
      <c r="E2315" s="56"/>
      <c r="F2315" s="57"/>
      <c r="G2315" s="57"/>
      <c r="H2315" s="56"/>
      <c r="I2315" s="56"/>
      <c r="J2315" s="58"/>
      <c r="K2315" s="58"/>
      <c r="L2315" s="13" t="str">
        <f t="shared" si="360"/>
        <v/>
      </c>
      <c r="M2315" s="13" t="str">
        <f t="shared" si="361"/>
        <v/>
      </c>
      <c r="Q2315" t="str">
        <f t="shared" si="362"/>
        <v/>
      </c>
      <c r="R2315" t="str">
        <f t="shared" si="363"/>
        <v/>
      </c>
      <c r="S2315" t="str">
        <f t="shared" si="364"/>
        <v/>
      </c>
      <c r="T2315" t="str">
        <f t="shared" si="365"/>
        <v/>
      </c>
      <c r="U2315" t="str">
        <f t="shared" si="366"/>
        <v/>
      </c>
      <c r="V2315" t="str">
        <f t="shared" si="367"/>
        <v/>
      </c>
      <c r="W2315" t="str">
        <f t="shared" si="368"/>
        <v/>
      </c>
      <c r="X2315">
        <f>IF($T2315="",N($X2314),IF(MATCH($T2315,$T$6:$T$10005,0)=ROW()-5,N($X2314)+1,N($X2314)))</f>
        <v>0</v>
      </c>
      <c r="Z2315" t="str">
        <f t="shared" si="369"/>
        <v/>
      </c>
      <c r="AA2315">
        <f>IF($V2315="",N($AA2314),IF(MATCH($V2315,$V$6:$V$10005,0)=ROW()-5,N($AA2314)+1,N($AA2314)))</f>
        <v>0</v>
      </c>
    </row>
    <row r="2316" spans="1:27" ht="21" customHeight="1" x14ac:dyDescent="0.95">
      <c r="A2316" s="56"/>
      <c r="B2316" s="57"/>
      <c r="C2316" s="57"/>
      <c r="D2316" s="57"/>
      <c r="E2316" s="56"/>
      <c r="F2316" s="57"/>
      <c r="G2316" s="57"/>
      <c r="H2316" s="56"/>
      <c r="I2316" s="56"/>
      <c r="J2316" s="58"/>
      <c r="K2316" s="58"/>
      <c r="L2316" s="13" t="str">
        <f t="shared" si="360"/>
        <v/>
      </c>
      <c r="M2316" s="13" t="str">
        <f t="shared" si="361"/>
        <v/>
      </c>
      <c r="Q2316" t="str">
        <f t="shared" si="362"/>
        <v/>
      </c>
      <c r="R2316" t="str">
        <f t="shared" si="363"/>
        <v/>
      </c>
      <c r="S2316" t="str">
        <f t="shared" si="364"/>
        <v/>
      </c>
      <c r="T2316" t="str">
        <f t="shared" si="365"/>
        <v/>
      </c>
      <c r="U2316" t="str">
        <f t="shared" si="366"/>
        <v/>
      </c>
      <c r="V2316" t="str">
        <f t="shared" si="367"/>
        <v/>
      </c>
      <c r="W2316" t="str">
        <f t="shared" si="368"/>
        <v/>
      </c>
      <c r="X2316">
        <f>IF($T2316="",N($X2315),IF(MATCH($T2316,$T$6:$T$10005,0)=ROW()-5,N($X2315)+1,N($X2315)))</f>
        <v>0</v>
      </c>
      <c r="Z2316" t="str">
        <f t="shared" si="369"/>
        <v/>
      </c>
      <c r="AA2316">
        <f>IF($V2316="",N($AA2315),IF(MATCH($V2316,$V$6:$V$10005,0)=ROW()-5,N($AA2315)+1,N($AA2315)))</f>
        <v>0</v>
      </c>
    </row>
    <row r="2317" spans="1:27" ht="21" customHeight="1" x14ac:dyDescent="0.95">
      <c r="A2317" s="56"/>
      <c r="B2317" s="57"/>
      <c r="C2317" s="57"/>
      <c r="D2317" s="57"/>
      <c r="E2317" s="56"/>
      <c r="F2317" s="57"/>
      <c r="G2317" s="57"/>
      <c r="H2317" s="56"/>
      <c r="I2317" s="56"/>
      <c r="J2317" s="58"/>
      <c r="K2317" s="58"/>
      <c r="L2317" s="13" t="str">
        <f t="shared" si="360"/>
        <v/>
      </c>
      <c r="M2317" s="13" t="str">
        <f t="shared" si="361"/>
        <v/>
      </c>
      <c r="Q2317" t="str">
        <f t="shared" si="362"/>
        <v/>
      </c>
      <c r="R2317" t="str">
        <f t="shared" si="363"/>
        <v/>
      </c>
      <c r="S2317" t="str">
        <f t="shared" si="364"/>
        <v/>
      </c>
      <c r="T2317" t="str">
        <f t="shared" si="365"/>
        <v/>
      </c>
      <c r="U2317" t="str">
        <f t="shared" si="366"/>
        <v/>
      </c>
      <c r="V2317" t="str">
        <f t="shared" si="367"/>
        <v/>
      </c>
      <c r="W2317" t="str">
        <f t="shared" si="368"/>
        <v/>
      </c>
      <c r="X2317">
        <f>IF($T2317="",N($X2316),IF(MATCH($T2317,$T$6:$T$10005,0)=ROW()-5,N($X2316)+1,N($X2316)))</f>
        <v>0</v>
      </c>
      <c r="Z2317" t="str">
        <f t="shared" si="369"/>
        <v/>
      </c>
      <c r="AA2317">
        <f>IF($V2317="",N($AA2316),IF(MATCH($V2317,$V$6:$V$10005,0)=ROW()-5,N($AA2316)+1,N($AA2316)))</f>
        <v>0</v>
      </c>
    </row>
    <row r="2318" spans="1:27" ht="21" customHeight="1" x14ac:dyDescent="0.95">
      <c r="A2318" s="56"/>
      <c r="B2318" s="57"/>
      <c r="C2318" s="57"/>
      <c r="D2318" s="57"/>
      <c r="E2318" s="56"/>
      <c r="F2318" s="57"/>
      <c r="G2318" s="57"/>
      <c r="H2318" s="56"/>
      <c r="I2318" s="56"/>
      <c r="J2318" s="58"/>
      <c r="K2318" s="58"/>
      <c r="L2318" s="13" t="str">
        <f t="shared" si="360"/>
        <v/>
      </c>
      <c r="M2318" s="13" t="str">
        <f t="shared" si="361"/>
        <v/>
      </c>
      <c r="Q2318" t="str">
        <f t="shared" si="362"/>
        <v/>
      </c>
      <c r="R2318" t="str">
        <f t="shared" si="363"/>
        <v/>
      </c>
      <c r="S2318" t="str">
        <f t="shared" si="364"/>
        <v/>
      </c>
      <c r="T2318" t="str">
        <f t="shared" si="365"/>
        <v/>
      </c>
      <c r="U2318" t="str">
        <f t="shared" si="366"/>
        <v/>
      </c>
      <c r="V2318" t="str">
        <f t="shared" si="367"/>
        <v/>
      </c>
      <c r="W2318" t="str">
        <f t="shared" si="368"/>
        <v/>
      </c>
      <c r="X2318">
        <f>IF($T2318="",N($X2317),IF(MATCH($T2318,$T$6:$T$10005,0)=ROW()-5,N($X2317)+1,N($X2317)))</f>
        <v>0</v>
      </c>
      <c r="Z2318" t="str">
        <f t="shared" si="369"/>
        <v/>
      </c>
      <c r="AA2318">
        <f>IF($V2318="",N($AA2317),IF(MATCH($V2318,$V$6:$V$10005,0)=ROW()-5,N($AA2317)+1,N($AA2317)))</f>
        <v>0</v>
      </c>
    </row>
    <row r="2319" spans="1:27" ht="21" customHeight="1" x14ac:dyDescent="0.95">
      <c r="A2319" s="56"/>
      <c r="B2319" s="57"/>
      <c r="C2319" s="57"/>
      <c r="D2319" s="57"/>
      <c r="E2319" s="56"/>
      <c r="F2319" s="57"/>
      <c r="G2319" s="57"/>
      <c r="H2319" s="56"/>
      <c r="I2319" s="56"/>
      <c r="J2319" s="58"/>
      <c r="K2319" s="58"/>
      <c r="L2319" s="13" t="str">
        <f t="shared" si="360"/>
        <v/>
      </c>
      <c r="M2319" s="13" t="str">
        <f t="shared" si="361"/>
        <v/>
      </c>
      <c r="Q2319" t="str">
        <f t="shared" si="362"/>
        <v/>
      </c>
      <c r="R2319" t="str">
        <f t="shared" si="363"/>
        <v/>
      </c>
      <c r="S2319" t="str">
        <f t="shared" si="364"/>
        <v/>
      </c>
      <c r="T2319" t="str">
        <f t="shared" si="365"/>
        <v/>
      </c>
      <c r="U2319" t="str">
        <f t="shared" si="366"/>
        <v/>
      </c>
      <c r="V2319" t="str">
        <f t="shared" si="367"/>
        <v/>
      </c>
      <c r="W2319" t="str">
        <f t="shared" si="368"/>
        <v/>
      </c>
      <c r="X2319">
        <f>IF($T2319="",N($X2318),IF(MATCH($T2319,$T$6:$T$10005,0)=ROW()-5,N($X2318)+1,N($X2318)))</f>
        <v>0</v>
      </c>
      <c r="Z2319" t="str">
        <f t="shared" si="369"/>
        <v/>
      </c>
      <c r="AA2319">
        <f>IF($V2319="",N($AA2318),IF(MATCH($V2319,$V$6:$V$10005,0)=ROW()-5,N($AA2318)+1,N($AA2318)))</f>
        <v>0</v>
      </c>
    </row>
    <row r="2320" spans="1:27" ht="21" customHeight="1" x14ac:dyDescent="0.95">
      <c r="A2320" s="56"/>
      <c r="B2320" s="57"/>
      <c r="C2320" s="57"/>
      <c r="D2320" s="57"/>
      <c r="E2320" s="56"/>
      <c r="F2320" s="57"/>
      <c r="G2320" s="57"/>
      <c r="H2320" s="56"/>
      <c r="I2320" s="56"/>
      <c r="J2320" s="58"/>
      <c r="K2320" s="58"/>
      <c r="L2320" s="13" t="str">
        <f t="shared" si="360"/>
        <v/>
      </c>
      <c r="M2320" s="13" t="str">
        <f t="shared" si="361"/>
        <v/>
      </c>
      <c r="Q2320" t="str">
        <f t="shared" si="362"/>
        <v/>
      </c>
      <c r="R2320" t="str">
        <f t="shared" si="363"/>
        <v/>
      </c>
      <c r="S2320" t="str">
        <f t="shared" si="364"/>
        <v/>
      </c>
      <c r="T2320" t="str">
        <f t="shared" si="365"/>
        <v/>
      </c>
      <c r="U2320" t="str">
        <f t="shared" si="366"/>
        <v/>
      </c>
      <c r="V2320" t="str">
        <f t="shared" si="367"/>
        <v/>
      </c>
      <c r="W2320" t="str">
        <f t="shared" si="368"/>
        <v/>
      </c>
      <c r="X2320">
        <f>IF($T2320="",N($X2319),IF(MATCH($T2320,$T$6:$T$10005,0)=ROW()-5,N($X2319)+1,N($X2319)))</f>
        <v>0</v>
      </c>
      <c r="Z2320" t="str">
        <f t="shared" si="369"/>
        <v/>
      </c>
      <c r="AA2320">
        <f>IF($V2320="",N($AA2319),IF(MATCH($V2320,$V$6:$V$10005,0)=ROW()-5,N($AA2319)+1,N($AA2319)))</f>
        <v>0</v>
      </c>
    </row>
    <row r="2321" spans="1:27" ht="21" customHeight="1" x14ac:dyDescent="0.95">
      <c r="A2321" s="56"/>
      <c r="B2321" s="57"/>
      <c r="C2321" s="57"/>
      <c r="D2321" s="57"/>
      <c r="E2321" s="56"/>
      <c r="F2321" s="57"/>
      <c r="G2321" s="57"/>
      <c r="H2321" s="56"/>
      <c r="I2321" s="56"/>
      <c r="J2321" s="58"/>
      <c r="K2321" s="58"/>
      <c r="L2321" s="13" t="str">
        <f t="shared" si="360"/>
        <v/>
      </c>
      <c r="M2321" s="13" t="str">
        <f t="shared" si="361"/>
        <v/>
      </c>
      <c r="Q2321" t="str">
        <f t="shared" si="362"/>
        <v/>
      </c>
      <c r="R2321" t="str">
        <f t="shared" si="363"/>
        <v/>
      </c>
      <c r="S2321" t="str">
        <f t="shared" si="364"/>
        <v/>
      </c>
      <c r="T2321" t="str">
        <f t="shared" si="365"/>
        <v/>
      </c>
      <c r="U2321" t="str">
        <f t="shared" si="366"/>
        <v/>
      </c>
      <c r="V2321" t="str">
        <f t="shared" si="367"/>
        <v/>
      </c>
      <c r="W2321" t="str">
        <f t="shared" si="368"/>
        <v/>
      </c>
      <c r="X2321">
        <f>IF($T2321="",N($X2320),IF(MATCH($T2321,$T$6:$T$10005,0)=ROW()-5,N($X2320)+1,N($X2320)))</f>
        <v>0</v>
      </c>
      <c r="Z2321" t="str">
        <f t="shared" si="369"/>
        <v/>
      </c>
      <c r="AA2321">
        <f>IF($V2321="",N($AA2320),IF(MATCH($V2321,$V$6:$V$10005,0)=ROW()-5,N($AA2320)+1,N($AA2320)))</f>
        <v>0</v>
      </c>
    </row>
    <row r="2322" spans="1:27" ht="21" customHeight="1" x14ac:dyDescent="0.95">
      <c r="A2322" s="56"/>
      <c r="B2322" s="57"/>
      <c r="C2322" s="57"/>
      <c r="D2322" s="57"/>
      <c r="E2322" s="56"/>
      <c r="F2322" s="57"/>
      <c r="G2322" s="57"/>
      <c r="H2322" s="56"/>
      <c r="I2322" s="56"/>
      <c r="J2322" s="58"/>
      <c r="K2322" s="58"/>
      <c r="L2322" s="13" t="str">
        <f t="shared" si="360"/>
        <v/>
      </c>
      <c r="M2322" s="13" t="str">
        <f t="shared" si="361"/>
        <v/>
      </c>
      <c r="Q2322" t="str">
        <f t="shared" si="362"/>
        <v/>
      </c>
      <c r="R2322" t="str">
        <f t="shared" si="363"/>
        <v/>
      </c>
      <c r="S2322" t="str">
        <f t="shared" si="364"/>
        <v/>
      </c>
      <c r="T2322" t="str">
        <f t="shared" si="365"/>
        <v/>
      </c>
      <c r="U2322" t="str">
        <f t="shared" si="366"/>
        <v/>
      </c>
      <c r="V2322" t="str">
        <f t="shared" si="367"/>
        <v/>
      </c>
      <c r="W2322" t="str">
        <f t="shared" si="368"/>
        <v/>
      </c>
      <c r="X2322">
        <f>IF($T2322="",N($X2321),IF(MATCH($T2322,$T$6:$T$10005,0)=ROW()-5,N($X2321)+1,N($X2321)))</f>
        <v>0</v>
      </c>
      <c r="Z2322" t="str">
        <f t="shared" si="369"/>
        <v/>
      </c>
      <c r="AA2322">
        <f>IF($V2322="",N($AA2321),IF(MATCH($V2322,$V$6:$V$10005,0)=ROW()-5,N($AA2321)+1,N($AA2321)))</f>
        <v>0</v>
      </c>
    </row>
    <row r="2323" spans="1:27" ht="21" customHeight="1" x14ac:dyDescent="0.95">
      <c r="A2323" s="56"/>
      <c r="B2323" s="57"/>
      <c r="C2323" s="57"/>
      <c r="D2323" s="57"/>
      <c r="E2323" s="56"/>
      <c r="F2323" s="57"/>
      <c r="G2323" s="57"/>
      <c r="H2323" s="56"/>
      <c r="I2323" s="56"/>
      <c r="J2323" s="58"/>
      <c r="K2323" s="58"/>
      <c r="L2323" s="13" t="str">
        <f t="shared" si="360"/>
        <v/>
      </c>
      <c r="M2323" s="13" t="str">
        <f t="shared" si="361"/>
        <v/>
      </c>
      <c r="Q2323" t="str">
        <f t="shared" si="362"/>
        <v/>
      </c>
      <c r="R2323" t="str">
        <f t="shared" si="363"/>
        <v/>
      </c>
      <c r="S2323" t="str">
        <f t="shared" si="364"/>
        <v/>
      </c>
      <c r="T2323" t="str">
        <f t="shared" si="365"/>
        <v/>
      </c>
      <c r="U2323" t="str">
        <f t="shared" si="366"/>
        <v/>
      </c>
      <c r="V2323" t="str">
        <f t="shared" si="367"/>
        <v/>
      </c>
      <c r="W2323" t="str">
        <f t="shared" si="368"/>
        <v/>
      </c>
      <c r="X2323">
        <f>IF($T2323="",N($X2322),IF(MATCH($T2323,$T$6:$T$10005,0)=ROW()-5,N($X2322)+1,N($X2322)))</f>
        <v>0</v>
      </c>
      <c r="Z2323" t="str">
        <f t="shared" si="369"/>
        <v/>
      </c>
      <c r="AA2323">
        <f>IF($V2323="",N($AA2322),IF(MATCH($V2323,$V$6:$V$10005,0)=ROW()-5,N($AA2322)+1,N($AA2322)))</f>
        <v>0</v>
      </c>
    </row>
    <row r="2324" spans="1:27" ht="21" customHeight="1" x14ac:dyDescent="0.95">
      <c r="A2324" s="56"/>
      <c r="B2324" s="57"/>
      <c r="C2324" s="57"/>
      <c r="D2324" s="57"/>
      <c r="E2324" s="56"/>
      <c r="F2324" s="57"/>
      <c r="G2324" s="57"/>
      <c r="H2324" s="56"/>
      <c r="I2324" s="56"/>
      <c r="J2324" s="58"/>
      <c r="K2324" s="58"/>
      <c r="L2324" s="13" t="str">
        <f t="shared" si="360"/>
        <v/>
      </c>
      <c r="M2324" s="13" t="str">
        <f t="shared" si="361"/>
        <v/>
      </c>
      <c r="Q2324" t="str">
        <f t="shared" si="362"/>
        <v/>
      </c>
      <c r="R2324" t="str">
        <f t="shared" si="363"/>
        <v/>
      </c>
      <c r="S2324" t="str">
        <f t="shared" si="364"/>
        <v/>
      </c>
      <c r="T2324" t="str">
        <f t="shared" si="365"/>
        <v/>
      </c>
      <c r="U2324" t="str">
        <f t="shared" si="366"/>
        <v/>
      </c>
      <c r="V2324" t="str">
        <f t="shared" si="367"/>
        <v/>
      </c>
      <c r="W2324" t="str">
        <f t="shared" si="368"/>
        <v/>
      </c>
      <c r="X2324">
        <f>IF($T2324="",N($X2323),IF(MATCH($T2324,$T$6:$T$10005,0)=ROW()-5,N($X2323)+1,N($X2323)))</f>
        <v>0</v>
      </c>
      <c r="Z2324" t="str">
        <f t="shared" si="369"/>
        <v/>
      </c>
      <c r="AA2324">
        <f>IF($V2324="",N($AA2323),IF(MATCH($V2324,$V$6:$V$10005,0)=ROW()-5,N($AA2323)+1,N($AA2323)))</f>
        <v>0</v>
      </c>
    </row>
    <row r="2325" spans="1:27" ht="21" customHeight="1" x14ac:dyDescent="0.95">
      <c r="A2325" s="56"/>
      <c r="B2325" s="57"/>
      <c r="C2325" s="57"/>
      <c r="D2325" s="57"/>
      <c r="E2325" s="56"/>
      <c r="F2325" s="57"/>
      <c r="G2325" s="57"/>
      <c r="H2325" s="56"/>
      <c r="I2325" s="56"/>
      <c r="J2325" s="58"/>
      <c r="K2325" s="58"/>
      <c r="L2325" s="13" t="str">
        <f t="shared" si="360"/>
        <v/>
      </c>
      <c r="M2325" s="13" t="str">
        <f t="shared" si="361"/>
        <v/>
      </c>
      <c r="Q2325" t="str">
        <f t="shared" si="362"/>
        <v/>
      </c>
      <c r="R2325" t="str">
        <f t="shared" si="363"/>
        <v/>
      </c>
      <c r="S2325" t="str">
        <f t="shared" si="364"/>
        <v/>
      </c>
      <c r="T2325" t="str">
        <f t="shared" si="365"/>
        <v/>
      </c>
      <c r="U2325" t="str">
        <f t="shared" si="366"/>
        <v/>
      </c>
      <c r="V2325" t="str">
        <f t="shared" si="367"/>
        <v/>
      </c>
      <c r="W2325" t="str">
        <f t="shared" si="368"/>
        <v/>
      </c>
      <c r="X2325">
        <f>IF($T2325="",N($X2324),IF(MATCH($T2325,$T$6:$T$10005,0)=ROW()-5,N($X2324)+1,N($X2324)))</f>
        <v>0</v>
      </c>
      <c r="Z2325" t="str">
        <f t="shared" si="369"/>
        <v/>
      </c>
      <c r="AA2325">
        <f>IF($V2325="",N($AA2324),IF(MATCH($V2325,$V$6:$V$10005,0)=ROW()-5,N($AA2324)+1,N($AA2324)))</f>
        <v>0</v>
      </c>
    </row>
    <row r="2326" spans="1:27" ht="21" customHeight="1" x14ac:dyDescent="0.95">
      <c r="A2326" s="56"/>
      <c r="B2326" s="57"/>
      <c r="C2326" s="57"/>
      <c r="D2326" s="57"/>
      <c r="E2326" s="56"/>
      <c r="F2326" s="57"/>
      <c r="G2326" s="57"/>
      <c r="H2326" s="56"/>
      <c r="I2326" s="56"/>
      <c r="J2326" s="58"/>
      <c r="K2326" s="58"/>
      <c r="L2326" s="13" t="str">
        <f t="shared" si="360"/>
        <v/>
      </c>
      <c r="M2326" s="13" t="str">
        <f t="shared" si="361"/>
        <v/>
      </c>
      <c r="Q2326" t="str">
        <f t="shared" si="362"/>
        <v/>
      </c>
      <c r="R2326" t="str">
        <f t="shared" si="363"/>
        <v/>
      </c>
      <c r="S2326" t="str">
        <f t="shared" si="364"/>
        <v/>
      </c>
      <c r="T2326" t="str">
        <f t="shared" si="365"/>
        <v/>
      </c>
      <c r="U2326" t="str">
        <f t="shared" si="366"/>
        <v/>
      </c>
      <c r="V2326" t="str">
        <f t="shared" si="367"/>
        <v/>
      </c>
      <c r="W2326" t="str">
        <f t="shared" si="368"/>
        <v/>
      </c>
      <c r="X2326">
        <f>IF($T2326="",N($X2325),IF(MATCH($T2326,$T$6:$T$10005,0)=ROW()-5,N($X2325)+1,N($X2325)))</f>
        <v>0</v>
      </c>
      <c r="Z2326" t="str">
        <f t="shared" si="369"/>
        <v/>
      </c>
      <c r="AA2326">
        <f>IF($V2326="",N($AA2325),IF(MATCH($V2326,$V$6:$V$10005,0)=ROW()-5,N($AA2325)+1,N($AA2325)))</f>
        <v>0</v>
      </c>
    </row>
    <row r="2327" spans="1:27" ht="21" customHeight="1" x14ac:dyDescent="0.95">
      <c r="A2327" s="56"/>
      <c r="B2327" s="57"/>
      <c r="C2327" s="57"/>
      <c r="D2327" s="57"/>
      <c r="E2327" s="56"/>
      <c r="F2327" s="57"/>
      <c r="G2327" s="57"/>
      <c r="H2327" s="56"/>
      <c r="I2327" s="56"/>
      <c r="J2327" s="58"/>
      <c r="K2327" s="58"/>
      <c r="L2327" s="13" t="str">
        <f t="shared" si="360"/>
        <v/>
      </c>
      <c r="M2327" s="13" t="str">
        <f t="shared" si="361"/>
        <v/>
      </c>
      <c r="Q2327" t="str">
        <f t="shared" si="362"/>
        <v/>
      </c>
      <c r="R2327" t="str">
        <f t="shared" si="363"/>
        <v/>
      </c>
      <c r="S2327" t="str">
        <f t="shared" si="364"/>
        <v/>
      </c>
      <c r="T2327" t="str">
        <f t="shared" si="365"/>
        <v/>
      </c>
      <c r="U2327" t="str">
        <f t="shared" si="366"/>
        <v/>
      </c>
      <c r="V2327" t="str">
        <f t="shared" si="367"/>
        <v/>
      </c>
      <c r="W2327" t="str">
        <f t="shared" si="368"/>
        <v/>
      </c>
      <c r="X2327">
        <f>IF($T2327="",N($X2326),IF(MATCH($T2327,$T$6:$T$10005,0)=ROW()-5,N($X2326)+1,N($X2326)))</f>
        <v>0</v>
      </c>
      <c r="Z2327" t="str">
        <f t="shared" si="369"/>
        <v/>
      </c>
      <c r="AA2327">
        <f>IF($V2327="",N($AA2326),IF(MATCH($V2327,$V$6:$V$10005,0)=ROW()-5,N($AA2326)+1,N($AA2326)))</f>
        <v>0</v>
      </c>
    </row>
    <row r="2328" spans="1:27" ht="21" customHeight="1" x14ac:dyDescent="0.95">
      <c r="A2328" s="56"/>
      <c r="B2328" s="57"/>
      <c r="C2328" s="57"/>
      <c r="D2328" s="57"/>
      <c r="E2328" s="56"/>
      <c r="F2328" s="57"/>
      <c r="G2328" s="57"/>
      <c r="H2328" s="56"/>
      <c r="I2328" s="56"/>
      <c r="J2328" s="58"/>
      <c r="K2328" s="58"/>
      <c r="L2328" s="13" t="str">
        <f t="shared" si="360"/>
        <v/>
      </c>
      <c r="M2328" s="13" t="str">
        <f t="shared" si="361"/>
        <v/>
      </c>
      <c r="Q2328" t="str">
        <f t="shared" si="362"/>
        <v/>
      </c>
      <c r="R2328" t="str">
        <f t="shared" si="363"/>
        <v/>
      </c>
      <c r="S2328" t="str">
        <f t="shared" si="364"/>
        <v/>
      </c>
      <c r="T2328" t="str">
        <f t="shared" si="365"/>
        <v/>
      </c>
      <c r="U2328" t="str">
        <f t="shared" si="366"/>
        <v/>
      </c>
      <c r="V2328" t="str">
        <f t="shared" si="367"/>
        <v/>
      </c>
      <c r="W2328" t="str">
        <f t="shared" si="368"/>
        <v/>
      </c>
      <c r="X2328">
        <f>IF($T2328="",N($X2327),IF(MATCH($T2328,$T$6:$T$10005,0)=ROW()-5,N($X2327)+1,N($X2327)))</f>
        <v>0</v>
      </c>
      <c r="Z2328" t="str">
        <f t="shared" si="369"/>
        <v/>
      </c>
      <c r="AA2328">
        <f>IF($V2328="",N($AA2327),IF(MATCH($V2328,$V$6:$V$10005,0)=ROW()-5,N($AA2327)+1,N($AA2327)))</f>
        <v>0</v>
      </c>
    </row>
    <row r="2329" spans="1:27" ht="21" customHeight="1" x14ac:dyDescent="0.95">
      <c r="A2329" s="56"/>
      <c r="B2329" s="57"/>
      <c r="C2329" s="57"/>
      <c r="D2329" s="57"/>
      <c r="E2329" s="56"/>
      <c r="F2329" s="57"/>
      <c r="G2329" s="57"/>
      <c r="H2329" s="56"/>
      <c r="I2329" s="56"/>
      <c r="J2329" s="58"/>
      <c r="K2329" s="58"/>
      <c r="L2329" s="13" t="str">
        <f t="shared" si="360"/>
        <v/>
      </c>
      <c r="M2329" s="13" t="str">
        <f t="shared" si="361"/>
        <v/>
      </c>
      <c r="Q2329" t="str">
        <f t="shared" si="362"/>
        <v/>
      </c>
      <c r="R2329" t="str">
        <f t="shared" si="363"/>
        <v/>
      </c>
      <c r="S2329" t="str">
        <f t="shared" si="364"/>
        <v/>
      </c>
      <c r="T2329" t="str">
        <f t="shared" si="365"/>
        <v/>
      </c>
      <c r="U2329" t="str">
        <f t="shared" si="366"/>
        <v/>
      </c>
      <c r="V2329" t="str">
        <f t="shared" si="367"/>
        <v/>
      </c>
      <c r="W2329" t="str">
        <f t="shared" si="368"/>
        <v/>
      </c>
      <c r="X2329">
        <f>IF($T2329="",N($X2328),IF(MATCH($T2329,$T$6:$T$10005,0)=ROW()-5,N($X2328)+1,N($X2328)))</f>
        <v>0</v>
      </c>
      <c r="Z2329" t="str">
        <f t="shared" si="369"/>
        <v/>
      </c>
      <c r="AA2329">
        <f>IF($V2329="",N($AA2328),IF(MATCH($V2329,$V$6:$V$10005,0)=ROW()-5,N($AA2328)+1,N($AA2328)))</f>
        <v>0</v>
      </c>
    </row>
    <row r="2330" spans="1:27" ht="21" customHeight="1" x14ac:dyDescent="0.95">
      <c r="A2330" s="56"/>
      <c r="B2330" s="57"/>
      <c r="C2330" s="57"/>
      <c r="D2330" s="57"/>
      <c r="E2330" s="56"/>
      <c r="F2330" s="57"/>
      <c r="G2330" s="57"/>
      <c r="H2330" s="56"/>
      <c r="I2330" s="56"/>
      <c r="J2330" s="58"/>
      <c r="K2330" s="58"/>
      <c r="L2330" s="13" t="str">
        <f t="shared" si="360"/>
        <v/>
      </c>
      <c r="M2330" s="13" t="str">
        <f t="shared" si="361"/>
        <v/>
      </c>
      <c r="Q2330" t="str">
        <f t="shared" si="362"/>
        <v/>
      </c>
      <c r="R2330" t="str">
        <f t="shared" si="363"/>
        <v/>
      </c>
      <c r="S2330" t="str">
        <f t="shared" si="364"/>
        <v/>
      </c>
      <c r="T2330" t="str">
        <f t="shared" si="365"/>
        <v/>
      </c>
      <c r="U2330" t="str">
        <f t="shared" si="366"/>
        <v/>
      </c>
      <c r="V2330" t="str">
        <f t="shared" si="367"/>
        <v/>
      </c>
      <c r="W2330" t="str">
        <f t="shared" si="368"/>
        <v/>
      </c>
      <c r="X2330">
        <f>IF($T2330="",N($X2329),IF(MATCH($T2330,$T$6:$T$10005,0)=ROW()-5,N($X2329)+1,N($X2329)))</f>
        <v>0</v>
      </c>
      <c r="Z2330" t="str">
        <f t="shared" si="369"/>
        <v/>
      </c>
      <c r="AA2330">
        <f>IF($V2330="",N($AA2329),IF(MATCH($V2330,$V$6:$V$10005,0)=ROW()-5,N($AA2329)+1,N($AA2329)))</f>
        <v>0</v>
      </c>
    </row>
    <row r="2331" spans="1:27" ht="21" customHeight="1" x14ac:dyDescent="0.95">
      <c r="A2331" s="56"/>
      <c r="B2331" s="57"/>
      <c r="C2331" s="57"/>
      <c r="D2331" s="57"/>
      <c r="E2331" s="56"/>
      <c r="F2331" s="57"/>
      <c r="G2331" s="57"/>
      <c r="H2331" s="56"/>
      <c r="I2331" s="56"/>
      <c r="J2331" s="58"/>
      <c r="K2331" s="58"/>
      <c r="L2331" s="13" t="str">
        <f t="shared" si="360"/>
        <v/>
      </c>
      <c r="M2331" s="13" t="str">
        <f t="shared" si="361"/>
        <v/>
      </c>
      <c r="Q2331" t="str">
        <f t="shared" si="362"/>
        <v/>
      </c>
      <c r="R2331" t="str">
        <f t="shared" si="363"/>
        <v/>
      </c>
      <c r="S2331" t="str">
        <f t="shared" si="364"/>
        <v/>
      </c>
      <c r="T2331" t="str">
        <f t="shared" si="365"/>
        <v/>
      </c>
      <c r="U2331" t="str">
        <f t="shared" si="366"/>
        <v/>
      </c>
      <c r="V2331" t="str">
        <f t="shared" si="367"/>
        <v/>
      </c>
      <c r="W2331" t="str">
        <f t="shared" si="368"/>
        <v/>
      </c>
      <c r="X2331">
        <f>IF($T2331="",N($X2330),IF(MATCH($T2331,$T$6:$T$10005,0)=ROW()-5,N($X2330)+1,N($X2330)))</f>
        <v>0</v>
      </c>
      <c r="Z2331" t="str">
        <f t="shared" si="369"/>
        <v/>
      </c>
      <c r="AA2331">
        <f>IF($V2331="",N($AA2330),IF(MATCH($V2331,$V$6:$V$10005,0)=ROW()-5,N($AA2330)+1,N($AA2330)))</f>
        <v>0</v>
      </c>
    </row>
    <row r="2332" spans="1:27" ht="21" customHeight="1" x14ac:dyDescent="0.95">
      <c r="A2332" s="56"/>
      <c r="B2332" s="57"/>
      <c r="C2332" s="57"/>
      <c r="D2332" s="57"/>
      <c r="E2332" s="56"/>
      <c r="F2332" s="57"/>
      <c r="G2332" s="57"/>
      <c r="H2332" s="56"/>
      <c r="I2332" s="56"/>
      <c r="J2332" s="58"/>
      <c r="K2332" s="58"/>
      <c r="L2332" s="13" t="str">
        <f t="shared" si="360"/>
        <v/>
      </c>
      <c r="M2332" s="13" t="str">
        <f t="shared" si="361"/>
        <v/>
      </c>
      <c r="Q2332" t="str">
        <f t="shared" si="362"/>
        <v/>
      </c>
      <c r="R2332" t="str">
        <f t="shared" si="363"/>
        <v/>
      </c>
      <c r="S2332" t="str">
        <f t="shared" si="364"/>
        <v/>
      </c>
      <c r="T2332" t="str">
        <f t="shared" si="365"/>
        <v/>
      </c>
      <c r="U2332" t="str">
        <f t="shared" si="366"/>
        <v/>
      </c>
      <c r="V2332" t="str">
        <f t="shared" si="367"/>
        <v/>
      </c>
      <c r="W2332" t="str">
        <f t="shared" si="368"/>
        <v/>
      </c>
      <c r="X2332">
        <f>IF($T2332="",N($X2331),IF(MATCH($T2332,$T$6:$T$10005,0)=ROW()-5,N($X2331)+1,N($X2331)))</f>
        <v>0</v>
      </c>
      <c r="Z2332" t="str">
        <f t="shared" si="369"/>
        <v/>
      </c>
      <c r="AA2332">
        <f>IF($V2332="",N($AA2331),IF(MATCH($V2332,$V$6:$V$10005,0)=ROW()-5,N($AA2331)+1,N($AA2331)))</f>
        <v>0</v>
      </c>
    </row>
    <row r="2333" spans="1:27" ht="21" customHeight="1" x14ac:dyDescent="0.95">
      <c r="A2333" s="56"/>
      <c r="B2333" s="57"/>
      <c r="C2333" s="57"/>
      <c r="D2333" s="57"/>
      <c r="E2333" s="56"/>
      <c r="F2333" s="57"/>
      <c r="G2333" s="57"/>
      <c r="H2333" s="56"/>
      <c r="I2333" s="56"/>
      <c r="J2333" s="58"/>
      <c r="K2333" s="58"/>
      <c r="L2333" s="13" t="str">
        <f t="shared" si="360"/>
        <v/>
      </c>
      <c r="M2333" s="13" t="str">
        <f t="shared" si="361"/>
        <v/>
      </c>
      <c r="Q2333" t="str">
        <f t="shared" si="362"/>
        <v/>
      </c>
      <c r="R2333" t="str">
        <f t="shared" si="363"/>
        <v/>
      </c>
      <c r="S2333" t="str">
        <f t="shared" si="364"/>
        <v/>
      </c>
      <c r="T2333" t="str">
        <f t="shared" si="365"/>
        <v/>
      </c>
      <c r="U2333" t="str">
        <f t="shared" si="366"/>
        <v/>
      </c>
      <c r="V2333" t="str">
        <f t="shared" si="367"/>
        <v/>
      </c>
      <c r="W2333" t="str">
        <f t="shared" si="368"/>
        <v/>
      </c>
      <c r="X2333">
        <f>IF($T2333="",N($X2332),IF(MATCH($T2333,$T$6:$T$10005,0)=ROW()-5,N($X2332)+1,N($X2332)))</f>
        <v>0</v>
      </c>
      <c r="Z2333" t="str">
        <f t="shared" si="369"/>
        <v/>
      </c>
      <c r="AA2333">
        <f>IF($V2333="",N($AA2332),IF(MATCH($V2333,$V$6:$V$10005,0)=ROW()-5,N($AA2332)+1,N($AA2332)))</f>
        <v>0</v>
      </c>
    </row>
    <row r="2334" spans="1:27" ht="21" customHeight="1" x14ac:dyDescent="0.95">
      <c r="A2334" s="56"/>
      <c r="B2334" s="57"/>
      <c r="C2334" s="57"/>
      <c r="D2334" s="57"/>
      <c r="E2334" s="56"/>
      <c r="F2334" s="57"/>
      <c r="G2334" s="57"/>
      <c r="H2334" s="56"/>
      <c r="I2334" s="56"/>
      <c r="J2334" s="58"/>
      <c r="K2334" s="58"/>
      <c r="L2334" s="13" t="str">
        <f t="shared" si="360"/>
        <v/>
      </c>
      <c r="M2334" s="13" t="str">
        <f t="shared" si="361"/>
        <v/>
      </c>
      <c r="Q2334" t="str">
        <f t="shared" si="362"/>
        <v/>
      </c>
      <c r="R2334" t="str">
        <f t="shared" si="363"/>
        <v/>
      </c>
      <c r="S2334" t="str">
        <f t="shared" si="364"/>
        <v/>
      </c>
      <c r="T2334" t="str">
        <f t="shared" si="365"/>
        <v/>
      </c>
      <c r="U2334" t="str">
        <f t="shared" si="366"/>
        <v/>
      </c>
      <c r="V2334" t="str">
        <f t="shared" si="367"/>
        <v/>
      </c>
      <c r="W2334" t="str">
        <f t="shared" si="368"/>
        <v/>
      </c>
      <c r="X2334">
        <f>IF($T2334="",N($X2333),IF(MATCH($T2334,$T$6:$T$10005,0)=ROW()-5,N($X2333)+1,N($X2333)))</f>
        <v>0</v>
      </c>
      <c r="Z2334" t="str">
        <f t="shared" si="369"/>
        <v/>
      </c>
      <c r="AA2334">
        <f>IF($V2334="",N($AA2333),IF(MATCH($V2334,$V$6:$V$10005,0)=ROW()-5,N($AA2333)+1,N($AA2333)))</f>
        <v>0</v>
      </c>
    </row>
    <row r="2335" spans="1:27" ht="21" customHeight="1" x14ac:dyDescent="0.95">
      <c r="A2335" s="56"/>
      <c r="B2335" s="57"/>
      <c r="C2335" s="57"/>
      <c r="D2335" s="57"/>
      <c r="E2335" s="56"/>
      <c r="F2335" s="57"/>
      <c r="G2335" s="57"/>
      <c r="H2335" s="56"/>
      <c r="I2335" s="56"/>
      <c r="J2335" s="58"/>
      <c r="K2335" s="58"/>
      <c r="L2335" s="13" t="str">
        <f t="shared" si="360"/>
        <v/>
      </c>
      <c r="M2335" s="13" t="str">
        <f t="shared" si="361"/>
        <v/>
      </c>
      <c r="Q2335" t="str">
        <f t="shared" si="362"/>
        <v/>
      </c>
      <c r="R2335" t="str">
        <f t="shared" si="363"/>
        <v/>
      </c>
      <c r="S2335" t="str">
        <f t="shared" si="364"/>
        <v/>
      </c>
      <c r="T2335" t="str">
        <f t="shared" si="365"/>
        <v/>
      </c>
      <c r="U2335" t="str">
        <f t="shared" si="366"/>
        <v/>
      </c>
      <c r="V2335" t="str">
        <f t="shared" si="367"/>
        <v/>
      </c>
      <c r="W2335" t="str">
        <f t="shared" si="368"/>
        <v/>
      </c>
      <c r="X2335">
        <f>IF($T2335="",N($X2334),IF(MATCH($T2335,$T$6:$T$10005,0)=ROW()-5,N($X2334)+1,N($X2334)))</f>
        <v>0</v>
      </c>
      <c r="Z2335" t="str">
        <f t="shared" si="369"/>
        <v/>
      </c>
      <c r="AA2335">
        <f>IF($V2335="",N($AA2334),IF(MATCH($V2335,$V$6:$V$10005,0)=ROW()-5,N($AA2334)+1,N($AA2334)))</f>
        <v>0</v>
      </c>
    </row>
    <row r="2336" spans="1:27" ht="21" customHeight="1" x14ac:dyDescent="0.95">
      <c r="A2336" s="56"/>
      <c r="B2336" s="57"/>
      <c r="C2336" s="57"/>
      <c r="D2336" s="57"/>
      <c r="E2336" s="56"/>
      <c r="F2336" s="57"/>
      <c r="G2336" s="57"/>
      <c r="H2336" s="56"/>
      <c r="I2336" s="56"/>
      <c r="J2336" s="58"/>
      <c r="K2336" s="58"/>
      <c r="L2336" s="13" t="str">
        <f t="shared" si="360"/>
        <v/>
      </c>
      <c r="M2336" s="13" t="str">
        <f t="shared" si="361"/>
        <v/>
      </c>
      <c r="Q2336" t="str">
        <f t="shared" si="362"/>
        <v/>
      </c>
      <c r="R2336" t="str">
        <f t="shared" si="363"/>
        <v/>
      </c>
      <c r="S2336" t="str">
        <f t="shared" si="364"/>
        <v/>
      </c>
      <c r="T2336" t="str">
        <f t="shared" si="365"/>
        <v/>
      </c>
      <c r="U2336" t="str">
        <f t="shared" si="366"/>
        <v/>
      </c>
      <c r="V2336" t="str">
        <f t="shared" si="367"/>
        <v/>
      </c>
      <c r="W2336" t="str">
        <f t="shared" si="368"/>
        <v/>
      </c>
      <c r="X2336">
        <f>IF($T2336="",N($X2335),IF(MATCH($T2336,$T$6:$T$10005,0)=ROW()-5,N($X2335)+1,N($X2335)))</f>
        <v>0</v>
      </c>
      <c r="Z2336" t="str">
        <f t="shared" si="369"/>
        <v/>
      </c>
      <c r="AA2336">
        <f>IF($V2336="",N($AA2335),IF(MATCH($V2336,$V$6:$V$10005,0)=ROW()-5,N($AA2335)+1,N($AA2335)))</f>
        <v>0</v>
      </c>
    </row>
    <row r="2337" spans="1:27" ht="21" customHeight="1" x14ac:dyDescent="0.95">
      <c r="A2337" s="56"/>
      <c r="B2337" s="57"/>
      <c r="C2337" s="57"/>
      <c r="D2337" s="57"/>
      <c r="E2337" s="56"/>
      <c r="F2337" s="57"/>
      <c r="G2337" s="57"/>
      <c r="H2337" s="56"/>
      <c r="I2337" s="56"/>
      <c r="J2337" s="58"/>
      <c r="K2337" s="58"/>
      <c r="L2337" s="13" t="str">
        <f t="shared" si="360"/>
        <v/>
      </c>
      <c r="M2337" s="13" t="str">
        <f t="shared" si="361"/>
        <v/>
      </c>
      <c r="Q2337" t="str">
        <f t="shared" si="362"/>
        <v/>
      </c>
      <c r="R2337" t="str">
        <f t="shared" si="363"/>
        <v/>
      </c>
      <c r="S2337" t="str">
        <f t="shared" si="364"/>
        <v/>
      </c>
      <c r="T2337" t="str">
        <f t="shared" si="365"/>
        <v/>
      </c>
      <c r="U2337" t="str">
        <f t="shared" si="366"/>
        <v/>
      </c>
      <c r="V2337" t="str">
        <f t="shared" si="367"/>
        <v/>
      </c>
      <c r="W2337" t="str">
        <f t="shared" si="368"/>
        <v/>
      </c>
      <c r="X2337">
        <f>IF($T2337="",N($X2336),IF(MATCH($T2337,$T$6:$T$10005,0)=ROW()-5,N($X2336)+1,N($X2336)))</f>
        <v>0</v>
      </c>
      <c r="Z2337" t="str">
        <f t="shared" si="369"/>
        <v/>
      </c>
      <c r="AA2337">
        <f>IF($V2337="",N($AA2336),IF(MATCH($V2337,$V$6:$V$10005,0)=ROW()-5,N($AA2336)+1,N($AA2336)))</f>
        <v>0</v>
      </c>
    </row>
    <row r="2338" spans="1:27" ht="21" customHeight="1" x14ac:dyDescent="0.95">
      <c r="A2338" s="56"/>
      <c r="B2338" s="57"/>
      <c r="C2338" s="57"/>
      <c r="D2338" s="57"/>
      <c r="E2338" s="56"/>
      <c r="F2338" s="57"/>
      <c r="G2338" s="57"/>
      <c r="H2338" s="56"/>
      <c r="I2338" s="56"/>
      <c r="J2338" s="58"/>
      <c r="K2338" s="58"/>
      <c r="L2338" s="13" t="str">
        <f t="shared" si="360"/>
        <v/>
      </c>
      <c r="M2338" s="13" t="str">
        <f t="shared" si="361"/>
        <v/>
      </c>
      <c r="Q2338" t="str">
        <f t="shared" si="362"/>
        <v/>
      </c>
      <c r="R2338" t="str">
        <f t="shared" si="363"/>
        <v/>
      </c>
      <c r="S2338" t="str">
        <f t="shared" si="364"/>
        <v/>
      </c>
      <c r="T2338" t="str">
        <f t="shared" si="365"/>
        <v/>
      </c>
      <c r="U2338" t="str">
        <f t="shared" si="366"/>
        <v/>
      </c>
      <c r="V2338" t="str">
        <f t="shared" si="367"/>
        <v/>
      </c>
      <c r="W2338" t="str">
        <f t="shared" si="368"/>
        <v/>
      </c>
      <c r="X2338">
        <f>IF($T2338="",N($X2337),IF(MATCH($T2338,$T$6:$T$10005,0)=ROW()-5,N($X2337)+1,N($X2337)))</f>
        <v>0</v>
      </c>
      <c r="Z2338" t="str">
        <f t="shared" si="369"/>
        <v/>
      </c>
      <c r="AA2338">
        <f>IF($V2338="",N($AA2337),IF(MATCH($V2338,$V$6:$V$10005,0)=ROW()-5,N($AA2337)+1,N($AA2337)))</f>
        <v>0</v>
      </c>
    </row>
    <row r="2339" spans="1:27" ht="21" customHeight="1" x14ac:dyDescent="0.95">
      <c r="A2339" s="56"/>
      <c r="B2339" s="57"/>
      <c r="C2339" s="57"/>
      <c r="D2339" s="57"/>
      <c r="E2339" s="56"/>
      <c r="F2339" s="57"/>
      <c r="G2339" s="57"/>
      <c r="H2339" s="56"/>
      <c r="I2339" s="56"/>
      <c r="J2339" s="58"/>
      <c r="K2339" s="58"/>
      <c r="L2339" s="13" t="str">
        <f t="shared" si="360"/>
        <v/>
      </c>
      <c r="M2339" s="13" t="str">
        <f t="shared" si="361"/>
        <v/>
      </c>
      <c r="Q2339" t="str">
        <f t="shared" si="362"/>
        <v/>
      </c>
      <c r="R2339" t="str">
        <f t="shared" si="363"/>
        <v/>
      </c>
      <c r="S2339" t="str">
        <f t="shared" si="364"/>
        <v/>
      </c>
      <c r="T2339" t="str">
        <f t="shared" si="365"/>
        <v/>
      </c>
      <c r="U2339" t="str">
        <f t="shared" si="366"/>
        <v/>
      </c>
      <c r="V2339" t="str">
        <f t="shared" si="367"/>
        <v/>
      </c>
      <c r="W2339" t="str">
        <f t="shared" si="368"/>
        <v/>
      </c>
      <c r="X2339">
        <f>IF($T2339="",N($X2338),IF(MATCH($T2339,$T$6:$T$10005,0)=ROW()-5,N($X2338)+1,N($X2338)))</f>
        <v>0</v>
      </c>
      <c r="Z2339" t="str">
        <f t="shared" si="369"/>
        <v/>
      </c>
      <c r="AA2339">
        <f>IF($V2339="",N($AA2338),IF(MATCH($V2339,$V$6:$V$10005,0)=ROW()-5,N($AA2338)+1,N($AA2338)))</f>
        <v>0</v>
      </c>
    </row>
    <row r="2340" spans="1:27" ht="21" customHeight="1" x14ac:dyDescent="0.95">
      <c r="A2340" s="56"/>
      <c r="B2340" s="57"/>
      <c r="C2340" s="57"/>
      <c r="D2340" s="57"/>
      <c r="E2340" s="56"/>
      <c r="F2340" s="57"/>
      <c r="G2340" s="57"/>
      <c r="H2340" s="56"/>
      <c r="I2340" s="56"/>
      <c r="J2340" s="58"/>
      <c r="K2340" s="58"/>
      <c r="L2340" s="13" t="str">
        <f t="shared" si="360"/>
        <v/>
      </c>
      <c r="M2340" s="13" t="str">
        <f t="shared" si="361"/>
        <v/>
      </c>
      <c r="Q2340" t="str">
        <f t="shared" si="362"/>
        <v/>
      </c>
      <c r="R2340" t="str">
        <f t="shared" si="363"/>
        <v/>
      </c>
      <c r="S2340" t="str">
        <f t="shared" si="364"/>
        <v/>
      </c>
      <c r="T2340" t="str">
        <f t="shared" si="365"/>
        <v/>
      </c>
      <c r="U2340" t="str">
        <f t="shared" si="366"/>
        <v/>
      </c>
      <c r="V2340" t="str">
        <f t="shared" si="367"/>
        <v/>
      </c>
      <c r="W2340" t="str">
        <f t="shared" si="368"/>
        <v/>
      </c>
      <c r="X2340">
        <f>IF($T2340="",N($X2339),IF(MATCH($T2340,$T$6:$T$10005,0)=ROW()-5,N($X2339)+1,N($X2339)))</f>
        <v>0</v>
      </c>
      <c r="Z2340" t="str">
        <f t="shared" si="369"/>
        <v/>
      </c>
      <c r="AA2340">
        <f>IF($V2340="",N($AA2339),IF(MATCH($V2340,$V$6:$V$10005,0)=ROW()-5,N($AA2339)+1,N($AA2339)))</f>
        <v>0</v>
      </c>
    </row>
    <row r="2341" spans="1:27" ht="21" customHeight="1" x14ac:dyDescent="0.95">
      <c r="A2341" s="56"/>
      <c r="B2341" s="57"/>
      <c r="C2341" s="57"/>
      <c r="D2341" s="57"/>
      <c r="E2341" s="56"/>
      <c r="F2341" s="57"/>
      <c r="G2341" s="57"/>
      <c r="H2341" s="56"/>
      <c r="I2341" s="56"/>
      <c r="J2341" s="58"/>
      <c r="K2341" s="58"/>
      <c r="L2341" s="13" t="str">
        <f t="shared" si="360"/>
        <v/>
      </c>
      <c r="M2341" s="13" t="str">
        <f t="shared" si="361"/>
        <v/>
      </c>
      <c r="Q2341" t="str">
        <f t="shared" si="362"/>
        <v/>
      </c>
      <c r="R2341" t="str">
        <f t="shared" si="363"/>
        <v/>
      </c>
      <c r="S2341" t="str">
        <f t="shared" si="364"/>
        <v/>
      </c>
      <c r="T2341" t="str">
        <f t="shared" si="365"/>
        <v/>
      </c>
      <c r="U2341" t="str">
        <f t="shared" si="366"/>
        <v/>
      </c>
      <c r="V2341" t="str">
        <f t="shared" si="367"/>
        <v/>
      </c>
      <c r="W2341" t="str">
        <f t="shared" si="368"/>
        <v/>
      </c>
      <c r="X2341">
        <f>IF($T2341="",N($X2340),IF(MATCH($T2341,$T$6:$T$10005,0)=ROW()-5,N($X2340)+1,N($X2340)))</f>
        <v>0</v>
      </c>
      <c r="Z2341" t="str">
        <f t="shared" si="369"/>
        <v/>
      </c>
      <c r="AA2341">
        <f>IF($V2341="",N($AA2340),IF(MATCH($V2341,$V$6:$V$10005,0)=ROW()-5,N($AA2340)+1,N($AA2340)))</f>
        <v>0</v>
      </c>
    </row>
    <row r="2342" spans="1:27" ht="21" customHeight="1" x14ac:dyDescent="0.95">
      <c r="A2342" s="56"/>
      <c r="B2342" s="57"/>
      <c r="C2342" s="57"/>
      <c r="D2342" s="57"/>
      <c r="E2342" s="56"/>
      <c r="F2342" s="57"/>
      <c r="G2342" s="57"/>
      <c r="H2342" s="56"/>
      <c r="I2342" s="56"/>
      <c r="J2342" s="58"/>
      <c r="K2342" s="58"/>
      <c r="L2342" s="13" t="str">
        <f t="shared" si="360"/>
        <v/>
      </c>
      <c r="M2342" s="13" t="str">
        <f t="shared" si="361"/>
        <v/>
      </c>
      <c r="Q2342" t="str">
        <f t="shared" si="362"/>
        <v/>
      </c>
      <c r="R2342" t="str">
        <f t="shared" si="363"/>
        <v/>
      </c>
      <c r="S2342" t="str">
        <f t="shared" si="364"/>
        <v/>
      </c>
      <c r="T2342" t="str">
        <f t="shared" si="365"/>
        <v/>
      </c>
      <c r="U2342" t="str">
        <f t="shared" si="366"/>
        <v/>
      </c>
      <c r="V2342" t="str">
        <f t="shared" si="367"/>
        <v/>
      </c>
      <c r="W2342" t="str">
        <f t="shared" si="368"/>
        <v/>
      </c>
      <c r="X2342">
        <f>IF($T2342="",N($X2341),IF(MATCH($T2342,$T$6:$T$10005,0)=ROW()-5,N($X2341)+1,N($X2341)))</f>
        <v>0</v>
      </c>
      <c r="Z2342" t="str">
        <f t="shared" si="369"/>
        <v/>
      </c>
      <c r="AA2342">
        <f>IF($V2342="",N($AA2341),IF(MATCH($V2342,$V$6:$V$10005,0)=ROW()-5,N($AA2341)+1,N($AA2341)))</f>
        <v>0</v>
      </c>
    </row>
    <row r="2343" spans="1:27" ht="21" customHeight="1" x14ac:dyDescent="0.95">
      <c r="A2343" s="56"/>
      <c r="B2343" s="57"/>
      <c r="C2343" s="57"/>
      <c r="D2343" s="57"/>
      <c r="E2343" s="56"/>
      <c r="F2343" s="57"/>
      <c r="G2343" s="57"/>
      <c r="H2343" s="56"/>
      <c r="I2343" s="56"/>
      <c r="J2343" s="58"/>
      <c r="K2343" s="58"/>
      <c r="L2343" s="13" t="str">
        <f t="shared" si="360"/>
        <v/>
      </c>
      <c r="M2343" s="13" t="str">
        <f t="shared" si="361"/>
        <v/>
      </c>
      <c r="Q2343" t="str">
        <f t="shared" si="362"/>
        <v/>
      </c>
      <c r="R2343" t="str">
        <f t="shared" si="363"/>
        <v/>
      </c>
      <c r="S2343" t="str">
        <f t="shared" si="364"/>
        <v/>
      </c>
      <c r="T2343" t="str">
        <f t="shared" si="365"/>
        <v/>
      </c>
      <c r="U2343" t="str">
        <f t="shared" si="366"/>
        <v/>
      </c>
      <c r="V2343" t="str">
        <f t="shared" si="367"/>
        <v/>
      </c>
      <c r="W2343" t="str">
        <f t="shared" si="368"/>
        <v/>
      </c>
      <c r="X2343">
        <f>IF($T2343="",N($X2342),IF(MATCH($T2343,$T$6:$T$10005,0)=ROW()-5,N($X2342)+1,N($X2342)))</f>
        <v>0</v>
      </c>
      <c r="Z2343" t="str">
        <f t="shared" si="369"/>
        <v/>
      </c>
      <c r="AA2343">
        <f>IF($V2343="",N($AA2342),IF(MATCH($V2343,$V$6:$V$10005,0)=ROW()-5,N($AA2342)+1,N($AA2342)))</f>
        <v>0</v>
      </c>
    </row>
    <row r="2344" spans="1:27" ht="21" customHeight="1" x14ac:dyDescent="0.95">
      <c r="A2344" s="56"/>
      <c r="B2344" s="57"/>
      <c r="C2344" s="57"/>
      <c r="D2344" s="57"/>
      <c r="E2344" s="56"/>
      <c r="F2344" s="57"/>
      <c r="G2344" s="57"/>
      <c r="H2344" s="56"/>
      <c r="I2344" s="56"/>
      <c r="J2344" s="58"/>
      <c r="K2344" s="58"/>
      <c r="L2344" s="13" t="str">
        <f t="shared" si="360"/>
        <v/>
      </c>
      <c r="M2344" s="13" t="str">
        <f t="shared" si="361"/>
        <v/>
      </c>
      <c r="Q2344" t="str">
        <f t="shared" si="362"/>
        <v/>
      </c>
      <c r="R2344" t="str">
        <f t="shared" si="363"/>
        <v/>
      </c>
      <c r="S2344" t="str">
        <f t="shared" si="364"/>
        <v/>
      </c>
      <c r="T2344" t="str">
        <f t="shared" si="365"/>
        <v/>
      </c>
      <c r="U2344" t="str">
        <f t="shared" si="366"/>
        <v/>
      </c>
      <c r="V2344" t="str">
        <f t="shared" si="367"/>
        <v/>
      </c>
      <c r="W2344" t="str">
        <f t="shared" si="368"/>
        <v/>
      </c>
      <c r="X2344">
        <f>IF($T2344="",N($X2343),IF(MATCH($T2344,$T$6:$T$10005,0)=ROW()-5,N($X2343)+1,N($X2343)))</f>
        <v>0</v>
      </c>
      <c r="Z2344" t="str">
        <f t="shared" si="369"/>
        <v/>
      </c>
      <c r="AA2344">
        <f>IF($V2344="",N($AA2343),IF(MATCH($V2344,$V$6:$V$10005,0)=ROW()-5,N($AA2343)+1,N($AA2343)))</f>
        <v>0</v>
      </c>
    </row>
    <row r="2345" spans="1:27" ht="21" customHeight="1" x14ac:dyDescent="0.95">
      <c r="A2345" s="56"/>
      <c r="B2345" s="57"/>
      <c r="C2345" s="57"/>
      <c r="D2345" s="57"/>
      <c r="E2345" s="56"/>
      <c r="F2345" s="57"/>
      <c r="G2345" s="57"/>
      <c r="H2345" s="56"/>
      <c r="I2345" s="56"/>
      <c r="J2345" s="58"/>
      <c r="K2345" s="58"/>
      <c r="L2345" s="13" t="str">
        <f t="shared" si="360"/>
        <v/>
      </c>
      <c r="M2345" s="13" t="str">
        <f t="shared" si="361"/>
        <v/>
      </c>
      <c r="Q2345" t="str">
        <f t="shared" si="362"/>
        <v/>
      </c>
      <c r="R2345" t="str">
        <f t="shared" si="363"/>
        <v/>
      </c>
      <c r="S2345" t="str">
        <f t="shared" si="364"/>
        <v/>
      </c>
      <c r="T2345" t="str">
        <f t="shared" si="365"/>
        <v/>
      </c>
      <c r="U2345" t="str">
        <f t="shared" si="366"/>
        <v/>
      </c>
      <c r="V2345" t="str">
        <f t="shared" si="367"/>
        <v/>
      </c>
      <c r="W2345" t="str">
        <f t="shared" si="368"/>
        <v/>
      </c>
      <c r="X2345">
        <f>IF($T2345="",N($X2344),IF(MATCH($T2345,$T$6:$T$10005,0)=ROW()-5,N($X2344)+1,N($X2344)))</f>
        <v>0</v>
      </c>
      <c r="Z2345" t="str">
        <f t="shared" si="369"/>
        <v/>
      </c>
      <c r="AA2345">
        <f>IF($V2345="",N($AA2344),IF(MATCH($V2345,$V$6:$V$10005,0)=ROW()-5,N($AA2344)+1,N($AA2344)))</f>
        <v>0</v>
      </c>
    </row>
    <row r="2346" spans="1:27" ht="21" customHeight="1" x14ac:dyDescent="0.95">
      <c r="A2346" s="56"/>
      <c r="B2346" s="57"/>
      <c r="C2346" s="57"/>
      <c r="D2346" s="57"/>
      <c r="E2346" s="56"/>
      <c r="F2346" s="57"/>
      <c r="G2346" s="57"/>
      <c r="H2346" s="56"/>
      <c r="I2346" s="56"/>
      <c r="J2346" s="58"/>
      <c r="K2346" s="58"/>
      <c r="L2346" s="13" t="str">
        <f t="shared" si="360"/>
        <v/>
      </c>
      <c r="M2346" s="13" t="str">
        <f t="shared" si="361"/>
        <v/>
      </c>
      <c r="Q2346" t="str">
        <f t="shared" si="362"/>
        <v/>
      </c>
      <c r="R2346" t="str">
        <f t="shared" si="363"/>
        <v/>
      </c>
      <c r="S2346" t="str">
        <f t="shared" si="364"/>
        <v/>
      </c>
      <c r="T2346" t="str">
        <f t="shared" si="365"/>
        <v/>
      </c>
      <c r="U2346" t="str">
        <f t="shared" si="366"/>
        <v/>
      </c>
      <c r="V2346" t="str">
        <f t="shared" si="367"/>
        <v/>
      </c>
      <c r="W2346" t="str">
        <f t="shared" si="368"/>
        <v/>
      </c>
      <c r="X2346">
        <f>IF($T2346="",N($X2345),IF(MATCH($T2346,$T$6:$T$10005,0)=ROW()-5,N($X2345)+1,N($X2345)))</f>
        <v>0</v>
      </c>
      <c r="Z2346" t="str">
        <f t="shared" si="369"/>
        <v/>
      </c>
      <c r="AA2346">
        <f>IF($V2346="",N($AA2345),IF(MATCH($V2346,$V$6:$V$10005,0)=ROW()-5,N($AA2345)+1,N($AA2345)))</f>
        <v>0</v>
      </c>
    </row>
    <row r="2347" spans="1:27" ht="21" customHeight="1" x14ac:dyDescent="0.95">
      <c r="A2347" s="56"/>
      <c r="B2347" s="57"/>
      <c r="C2347" s="57"/>
      <c r="D2347" s="57"/>
      <c r="E2347" s="56"/>
      <c r="F2347" s="57"/>
      <c r="G2347" s="57"/>
      <c r="H2347" s="56"/>
      <c r="I2347" s="56"/>
      <c r="J2347" s="58"/>
      <c r="K2347" s="58"/>
      <c r="L2347" s="13" t="str">
        <f t="shared" si="360"/>
        <v/>
      </c>
      <c r="M2347" s="13" t="str">
        <f t="shared" si="361"/>
        <v/>
      </c>
      <c r="Q2347" t="str">
        <f t="shared" si="362"/>
        <v/>
      </c>
      <c r="R2347" t="str">
        <f t="shared" si="363"/>
        <v/>
      </c>
      <c r="S2347" t="str">
        <f t="shared" si="364"/>
        <v/>
      </c>
      <c r="T2347" t="str">
        <f t="shared" si="365"/>
        <v/>
      </c>
      <c r="U2347" t="str">
        <f t="shared" si="366"/>
        <v/>
      </c>
      <c r="V2347" t="str">
        <f t="shared" si="367"/>
        <v/>
      </c>
      <c r="W2347" t="str">
        <f t="shared" si="368"/>
        <v/>
      </c>
      <c r="X2347">
        <f>IF($T2347="",N($X2346),IF(MATCH($T2347,$T$6:$T$10005,0)=ROW()-5,N($X2346)+1,N($X2346)))</f>
        <v>0</v>
      </c>
      <c r="Z2347" t="str">
        <f t="shared" si="369"/>
        <v/>
      </c>
      <c r="AA2347">
        <f>IF($V2347="",N($AA2346),IF(MATCH($V2347,$V$6:$V$10005,0)=ROW()-5,N($AA2346)+1,N($AA2346)))</f>
        <v>0</v>
      </c>
    </row>
    <row r="2348" spans="1:27" ht="21" customHeight="1" x14ac:dyDescent="0.95">
      <c r="A2348" s="56"/>
      <c r="B2348" s="57"/>
      <c r="C2348" s="57"/>
      <c r="D2348" s="57"/>
      <c r="E2348" s="56"/>
      <c r="F2348" s="57"/>
      <c r="G2348" s="57"/>
      <c r="H2348" s="56"/>
      <c r="I2348" s="56"/>
      <c r="J2348" s="58"/>
      <c r="K2348" s="58"/>
      <c r="L2348" s="13" t="str">
        <f t="shared" si="360"/>
        <v/>
      </c>
      <c r="M2348" s="13" t="str">
        <f t="shared" si="361"/>
        <v/>
      </c>
      <c r="Q2348" t="str">
        <f t="shared" si="362"/>
        <v/>
      </c>
      <c r="R2348" t="str">
        <f t="shared" si="363"/>
        <v/>
      </c>
      <c r="S2348" t="str">
        <f t="shared" si="364"/>
        <v/>
      </c>
      <c r="T2348" t="str">
        <f t="shared" si="365"/>
        <v/>
      </c>
      <c r="U2348" t="str">
        <f t="shared" si="366"/>
        <v/>
      </c>
      <c r="V2348" t="str">
        <f t="shared" si="367"/>
        <v/>
      </c>
      <c r="W2348" t="str">
        <f t="shared" si="368"/>
        <v/>
      </c>
      <c r="X2348">
        <f>IF($T2348="",N($X2347),IF(MATCH($T2348,$T$6:$T$10005,0)=ROW()-5,N($X2347)+1,N($X2347)))</f>
        <v>0</v>
      </c>
      <c r="Z2348" t="str">
        <f t="shared" si="369"/>
        <v/>
      </c>
      <c r="AA2348">
        <f>IF($V2348="",N($AA2347),IF(MATCH($V2348,$V$6:$V$10005,0)=ROW()-5,N($AA2347)+1,N($AA2347)))</f>
        <v>0</v>
      </c>
    </row>
    <row r="2349" spans="1:27" ht="21" customHeight="1" x14ac:dyDescent="0.95">
      <c r="A2349" s="56"/>
      <c r="B2349" s="57"/>
      <c r="C2349" s="57"/>
      <c r="D2349" s="57"/>
      <c r="E2349" s="56"/>
      <c r="F2349" s="57"/>
      <c r="G2349" s="57"/>
      <c r="H2349" s="56"/>
      <c r="I2349" s="56"/>
      <c r="J2349" s="58"/>
      <c r="K2349" s="58"/>
      <c r="L2349" s="13" t="str">
        <f t="shared" si="360"/>
        <v/>
      </c>
      <c r="M2349" s="13" t="str">
        <f t="shared" si="361"/>
        <v/>
      </c>
      <c r="Q2349" t="str">
        <f t="shared" si="362"/>
        <v/>
      </c>
      <c r="R2349" t="str">
        <f t="shared" si="363"/>
        <v/>
      </c>
      <c r="S2349" t="str">
        <f t="shared" si="364"/>
        <v/>
      </c>
      <c r="T2349" t="str">
        <f t="shared" si="365"/>
        <v/>
      </c>
      <c r="U2349" t="str">
        <f t="shared" si="366"/>
        <v/>
      </c>
      <c r="V2349" t="str">
        <f t="shared" si="367"/>
        <v/>
      </c>
      <c r="W2349" t="str">
        <f t="shared" si="368"/>
        <v/>
      </c>
      <c r="X2349">
        <f>IF($T2349="",N($X2348),IF(MATCH($T2349,$T$6:$T$10005,0)=ROW()-5,N($X2348)+1,N($X2348)))</f>
        <v>0</v>
      </c>
      <c r="Z2349" t="str">
        <f t="shared" si="369"/>
        <v/>
      </c>
      <c r="AA2349">
        <f>IF($V2349="",N($AA2348),IF(MATCH($V2349,$V$6:$V$10005,0)=ROW()-5,N($AA2348)+1,N($AA2348)))</f>
        <v>0</v>
      </c>
    </row>
    <row r="2350" spans="1:27" ht="21" customHeight="1" x14ac:dyDescent="0.95">
      <c r="A2350" s="56"/>
      <c r="B2350" s="57"/>
      <c r="C2350" s="57"/>
      <c r="D2350" s="57"/>
      <c r="E2350" s="56"/>
      <c r="F2350" s="57"/>
      <c r="G2350" s="57"/>
      <c r="H2350" s="56"/>
      <c r="I2350" s="56"/>
      <c r="J2350" s="58"/>
      <c r="K2350" s="58"/>
      <c r="L2350" s="13" t="str">
        <f t="shared" si="360"/>
        <v/>
      </c>
      <c r="M2350" s="13" t="str">
        <f t="shared" si="361"/>
        <v/>
      </c>
      <c r="Q2350" t="str">
        <f t="shared" si="362"/>
        <v/>
      </c>
      <c r="R2350" t="str">
        <f t="shared" si="363"/>
        <v/>
      </c>
      <c r="S2350" t="str">
        <f t="shared" si="364"/>
        <v/>
      </c>
      <c r="T2350" t="str">
        <f t="shared" si="365"/>
        <v/>
      </c>
      <c r="U2350" t="str">
        <f t="shared" si="366"/>
        <v/>
      </c>
      <c r="V2350" t="str">
        <f t="shared" si="367"/>
        <v/>
      </c>
      <c r="W2350" t="str">
        <f t="shared" si="368"/>
        <v/>
      </c>
      <c r="X2350">
        <f>IF($T2350="",N($X2349),IF(MATCH($T2350,$T$6:$T$10005,0)=ROW()-5,N($X2349)+1,N($X2349)))</f>
        <v>0</v>
      </c>
      <c r="Z2350" t="str">
        <f t="shared" si="369"/>
        <v/>
      </c>
      <c r="AA2350">
        <f>IF($V2350="",N($AA2349),IF(MATCH($V2350,$V$6:$V$10005,0)=ROW()-5,N($AA2349)+1,N($AA2349)))</f>
        <v>0</v>
      </c>
    </row>
    <row r="2351" spans="1:27" ht="21" customHeight="1" x14ac:dyDescent="0.95">
      <c r="A2351" s="56"/>
      <c r="B2351" s="57"/>
      <c r="C2351" s="57"/>
      <c r="D2351" s="57"/>
      <c r="E2351" s="56"/>
      <c r="F2351" s="57"/>
      <c r="G2351" s="57"/>
      <c r="H2351" s="56"/>
      <c r="I2351" s="56"/>
      <c r="J2351" s="58"/>
      <c r="K2351" s="58"/>
      <c r="L2351" s="13" t="str">
        <f t="shared" si="360"/>
        <v/>
      </c>
      <c r="M2351" s="13" t="str">
        <f t="shared" si="361"/>
        <v/>
      </c>
      <c r="Q2351" t="str">
        <f t="shared" si="362"/>
        <v/>
      </c>
      <c r="R2351" t="str">
        <f t="shared" si="363"/>
        <v/>
      </c>
      <c r="S2351" t="str">
        <f t="shared" si="364"/>
        <v/>
      </c>
      <c r="T2351" t="str">
        <f t="shared" si="365"/>
        <v/>
      </c>
      <c r="U2351" t="str">
        <f t="shared" si="366"/>
        <v/>
      </c>
      <c r="V2351" t="str">
        <f t="shared" si="367"/>
        <v/>
      </c>
      <c r="W2351" t="str">
        <f t="shared" si="368"/>
        <v/>
      </c>
      <c r="X2351">
        <f>IF($T2351="",N($X2350),IF(MATCH($T2351,$T$6:$T$10005,0)=ROW()-5,N($X2350)+1,N($X2350)))</f>
        <v>0</v>
      </c>
      <c r="Z2351" t="str">
        <f t="shared" si="369"/>
        <v/>
      </c>
      <c r="AA2351">
        <f>IF($V2351="",N($AA2350),IF(MATCH($V2351,$V$6:$V$10005,0)=ROW()-5,N($AA2350)+1,N($AA2350)))</f>
        <v>0</v>
      </c>
    </row>
    <row r="2352" spans="1:27" ht="21" customHeight="1" x14ac:dyDescent="0.95">
      <c r="A2352" s="56"/>
      <c r="B2352" s="57"/>
      <c r="C2352" s="57"/>
      <c r="D2352" s="57"/>
      <c r="E2352" s="56"/>
      <c r="F2352" s="57"/>
      <c r="G2352" s="57"/>
      <c r="H2352" s="56"/>
      <c r="I2352" s="56"/>
      <c r="J2352" s="58"/>
      <c r="K2352" s="58"/>
      <c r="L2352" s="13" t="str">
        <f t="shared" si="360"/>
        <v/>
      </c>
      <c r="M2352" s="13" t="str">
        <f t="shared" si="361"/>
        <v/>
      </c>
      <c r="Q2352" t="str">
        <f t="shared" si="362"/>
        <v/>
      </c>
      <c r="R2352" t="str">
        <f t="shared" si="363"/>
        <v/>
      </c>
      <c r="S2352" t="str">
        <f t="shared" si="364"/>
        <v/>
      </c>
      <c r="T2352" t="str">
        <f t="shared" si="365"/>
        <v/>
      </c>
      <c r="U2352" t="str">
        <f t="shared" si="366"/>
        <v/>
      </c>
      <c r="V2352" t="str">
        <f t="shared" si="367"/>
        <v/>
      </c>
      <c r="W2352" t="str">
        <f t="shared" si="368"/>
        <v/>
      </c>
      <c r="X2352">
        <f>IF($T2352="",N($X2351),IF(MATCH($T2352,$T$6:$T$10005,0)=ROW()-5,N($X2351)+1,N($X2351)))</f>
        <v>0</v>
      </c>
      <c r="Z2352" t="str">
        <f t="shared" si="369"/>
        <v/>
      </c>
      <c r="AA2352">
        <f>IF($V2352="",N($AA2351),IF(MATCH($V2352,$V$6:$V$10005,0)=ROW()-5,N($AA2351)+1,N($AA2351)))</f>
        <v>0</v>
      </c>
    </row>
    <row r="2353" spans="1:27" ht="21" customHeight="1" x14ac:dyDescent="0.95">
      <c r="A2353" s="56"/>
      <c r="B2353" s="57"/>
      <c r="C2353" s="57"/>
      <c r="D2353" s="57"/>
      <c r="E2353" s="56"/>
      <c r="F2353" s="57"/>
      <c r="G2353" s="57"/>
      <c r="H2353" s="56"/>
      <c r="I2353" s="56"/>
      <c r="J2353" s="58"/>
      <c r="K2353" s="58"/>
      <c r="L2353" s="13" t="str">
        <f t="shared" si="360"/>
        <v/>
      </c>
      <c r="M2353" s="13" t="str">
        <f t="shared" si="361"/>
        <v/>
      </c>
      <c r="Q2353" t="str">
        <f t="shared" si="362"/>
        <v/>
      </c>
      <c r="R2353" t="str">
        <f t="shared" si="363"/>
        <v/>
      </c>
      <c r="S2353" t="str">
        <f t="shared" si="364"/>
        <v/>
      </c>
      <c r="T2353" t="str">
        <f t="shared" si="365"/>
        <v/>
      </c>
      <c r="U2353" t="str">
        <f t="shared" si="366"/>
        <v/>
      </c>
      <c r="V2353" t="str">
        <f t="shared" si="367"/>
        <v/>
      </c>
      <c r="W2353" t="str">
        <f t="shared" si="368"/>
        <v/>
      </c>
      <c r="X2353">
        <f>IF($T2353="",N($X2352),IF(MATCH($T2353,$T$6:$T$10005,0)=ROW()-5,N($X2352)+1,N($X2352)))</f>
        <v>0</v>
      </c>
      <c r="Z2353" t="str">
        <f t="shared" si="369"/>
        <v/>
      </c>
      <c r="AA2353">
        <f>IF($V2353="",N($AA2352),IF(MATCH($V2353,$V$6:$V$10005,0)=ROW()-5,N($AA2352)+1,N($AA2352)))</f>
        <v>0</v>
      </c>
    </row>
    <row r="2354" spans="1:27" ht="21" customHeight="1" x14ac:dyDescent="0.95">
      <c r="A2354" s="56"/>
      <c r="B2354" s="57"/>
      <c r="C2354" s="57"/>
      <c r="D2354" s="57"/>
      <c r="E2354" s="56"/>
      <c r="F2354" s="57"/>
      <c r="G2354" s="57"/>
      <c r="H2354" s="56"/>
      <c r="I2354" s="56"/>
      <c r="J2354" s="58"/>
      <c r="K2354" s="58"/>
      <c r="L2354" s="13" t="str">
        <f t="shared" si="360"/>
        <v/>
      </c>
      <c r="M2354" s="13" t="str">
        <f t="shared" si="361"/>
        <v/>
      </c>
      <c r="Q2354" t="str">
        <f t="shared" si="362"/>
        <v/>
      </c>
      <c r="R2354" t="str">
        <f t="shared" si="363"/>
        <v/>
      </c>
      <c r="S2354" t="str">
        <f t="shared" si="364"/>
        <v/>
      </c>
      <c r="T2354" t="str">
        <f t="shared" si="365"/>
        <v/>
      </c>
      <c r="U2354" t="str">
        <f t="shared" si="366"/>
        <v/>
      </c>
      <c r="V2354" t="str">
        <f t="shared" si="367"/>
        <v/>
      </c>
      <c r="W2354" t="str">
        <f t="shared" si="368"/>
        <v/>
      </c>
      <c r="X2354">
        <f>IF($T2354="",N($X2353),IF(MATCH($T2354,$T$6:$T$10005,0)=ROW()-5,N($X2353)+1,N($X2353)))</f>
        <v>0</v>
      </c>
      <c r="Z2354" t="str">
        <f t="shared" si="369"/>
        <v/>
      </c>
      <c r="AA2354">
        <f>IF($V2354="",N($AA2353),IF(MATCH($V2354,$V$6:$V$10005,0)=ROW()-5,N($AA2353)+1,N($AA2353)))</f>
        <v>0</v>
      </c>
    </row>
    <row r="2355" spans="1:27" ht="21" customHeight="1" x14ac:dyDescent="0.95">
      <c r="A2355" s="56"/>
      <c r="B2355" s="57"/>
      <c r="C2355" s="57"/>
      <c r="D2355" s="57"/>
      <c r="E2355" s="56"/>
      <c r="F2355" s="57"/>
      <c r="G2355" s="57"/>
      <c r="H2355" s="56"/>
      <c r="I2355" s="56"/>
      <c r="J2355" s="58"/>
      <c r="K2355" s="58"/>
      <c r="L2355" s="13" t="str">
        <f t="shared" si="360"/>
        <v/>
      </c>
      <c r="M2355" s="13" t="str">
        <f t="shared" si="361"/>
        <v/>
      </c>
      <c r="Q2355" t="str">
        <f t="shared" si="362"/>
        <v/>
      </c>
      <c r="R2355" t="str">
        <f t="shared" si="363"/>
        <v/>
      </c>
      <c r="S2355" t="str">
        <f t="shared" si="364"/>
        <v/>
      </c>
      <c r="T2355" t="str">
        <f t="shared" si="365"/>
        <v/>
      </c>
      <c r="U2355" t="str">
        <f t="shared" si="366"/>
        <v/>
      </c>
      <c r="V2355" t="str">
        <f t="shared" si="367"/>
        <v/>
      </c>
      <c r="W2355" t="str">
        <f t="shared" si="368"/>
        <v/>
      </c>
      <c r="X2355">
        <f>IF($T2355="",N($X2354),IF(MATCH($T2355,$T$6:$T$10005,0)=ROW()-5,N($X2354)+1,N($X2354)))</f>
        <v>0</v>
      </c>
      <c r="Z2355" t="str">
        <f t="shared" si="369"/>
        <v/>
      </c>
      <c r="AA2355">
        <f>IF($V2355="",N($AA2354),IF(MATCH($V2355,$V$6:$V$10005,0)=ROW()-5,N($AA2354)+1,N($AA2354)))</f>
        <v>0</v>
      </c>
    </row>
    <row r="2356" spans="1:27" ht="21" customHeight="1" x14ac:dyDescent="0.95">
      <c r="A2356" s="56"/>
      <c r="B2356" s="57"/>
      <c r="C2356" s="57"/>
      <c r="D2356" s="57"/>
      <c r="E2356" s="56"/>
      <c r="F2356" s="57"/>
      <c r="G2356" s="57"/>
      <c r="H2356" s="56"/>
      <c r="I2356" s="56"/>
      <c r="J2356" s="58"/>
      <c r="K2356" s="58"/>
      <c r="L2356" s="13" t="str">
        <f t="shared" si="360"/>
        <v/>
      </c>
      <c r="M2356" s="13" t="str">
        <f t="shared" si="361"/>
        <v/>
      </c>
      <c r="Q2356" t="str">
        <f t="shared" si="362"/>
        <v/>
      </c>
      <c r="R2356" t="str">
        <f t="shared" si="363"/>
        <v/>
      </c>
      <c r="S2356" t="str">
        <f t="shared" si="364"/>
        <v/>
      </c>
      <c r="T2356" t="str">
        <f t="shared" si="365"/>
        <v/>
      </c>
      <c r="U2356" t="str">
        <f t="shared" si="366"/>
        <v/>
      </c>
      <c r="V2356" t="str">
        <f t="shared" si="367"/>
        <v/>
      </c>
      <c r="W2356" t="str">
        <f t="shared" si="368"/>
        <v/>
      </c>
      <c r="X2356">
        <f>IF($T2356="",N($X2355),IF(MATCH($T2356,$T$6:$T$10005,0)=ROW()-5,N($X2355)+1,N($X2355)))</f>
        <v>0</v>
      </c>
      <c r="Z2356" t="str">
        <f t="shared" si="369"/>
        <v/>
      </c>
      <c r="AA2356">
        <f>IF($V2356="",N($AA2355),IF(MATCH($V2356,$V$6:$V$10005,0)=ROW()-5,N($AA2355)+1,N($AA2355)))</f>
        <v>0</v>
      </c>
    </row>
    <row r="2357" spans="1:27" ht="21" customHeight="1" x14ac:dyDescent="0.95">
      <c r="A2357" s="56"/>
      <c r="B2357" s="57"/>
      <c r="C2357" s="57"/>
      <c r="D2357" s="57"/>
      <c r="E2357" s="56"/>
      <c r="F2357" s="57"/>
      <c r="G2357" s="57"/>
      <c r="H2357" s="56"/>
      <c r="I2357" s="56"/>
      <c r="J2357" s="58"/>
      <c r="K2357" s="58"/>
      <c r="L2357" s="13" t="str">
        <f t="shared" si="360"/>
        <v/>
      </c>
      <c r="M2357" s="13" t="str">
        <f t="shared" si="361"/>
        <v/>
      </c>
      <c r="Q2357" t="str">
        <f t="shared" si="362"/>
        <v/>
      </c>
      <c r="R2357" t="str">
        <f t="shared" si="363"/>
        <v/>
      </c>
      <c r="S2357" t="str">
        <f t="shared" si="364"/>
        <v/>
      </c>
      <c r="T2357" t="str">
        <f t="shared" si="365"/>
        <v/>
      </c>
      <c r="U2357" t="str">
        <f t="shared" si="366"/>
        <v/>
      </c>
      <c r="V2357" t="str">
        <f t="shared" si="367"/>
        <v/>
      </c>
      <c r="W2357" t="str">
        <f t="shared" si="368"/>
        <v/>
      </c>
      <c r="X2357">
        <f>IF($T2357="",N($X2356),IF(MATCH($T2357,$T$6:$T$10005,0)=ROW()-5,N($X2356)+1,N($X2356)))</f>
        <v>0</v>
      </c>
      <c r="Z2357" t="str">
        <f t="shared" si="369"/>
        <v/>
      </c>
      <c r="AA2357">
        <f>IF($V2357="",N($AA2356),IF(MATCH($V2357,$V$6:$V$10005,0)=ROW()-5,N($AA2356)+1,N($AA2356)))</f>
        <v>0</v>
      </c>
    </row>
    <row r="2358" spans="1:27" ht="21" customHeight="1" x14ac:dyDescent="0.95">
      <c r="A2358" s="56"/>
      <c r="B2358" s="57"/>
      <c r="C2358" s="57"/>
      <c r="D2358" s="57"/>
      <c r="E2358" s="56"/>
      <c r="F2358" s="57"/>
      <c r="G2358" s="57"/>
      <c r="H2358" s="56"/>
      <c r="I2358" s="56"/>
      <c r="J2358" s="58"/>
      <c r="K2358" s="58"/>
      <c r="L2358" s="13" t="str">
        <f t="shared" si="360"/>
        <v/>
      </c>
      <c r="M2358" s="13" t="str">
        <f t="shared" si="361"/>
        <v/>
      </c>
      <c r="Q2358" t="str">
        <f t="shared" si="362"/>
        <v/>
      </c>
      <c r="R2358" t="str">
        <f t="shared" si="363"/>
        <v/>
      </c>
      <c r="S2358" t="str">
        <f t="shared" si="364"/>
        <v/>
      </c>
      <c r="T2358" t="str">
        <f t="shared" si="365"/>
        <v/>
      </c>
      <c r="U2358" t="str">
        <f t="shared" si="366"/>
        <v/>
      </c>
      <c r="V2358" t="str">
        <f t="shared" si="367"/>
        <v/>
      </c>
      <c r="W2358" t="str">
        <f t="shared" si="368"/>
        <v/>
      </c>
      <c r="X2358">
        <f>IF($T2358="",N($X2357),IF(MATCH($T2358,$T$6:$T$10005,0)=ROW()-5,N($X2357)+1,N($X2357)))</f>
        <v>0</v>
      </c>
      <c r="Z2358" t="str">
        <f t="shared" si="369"/>
        <v/>
      </c>
      <c r="AA2358">
        <f>IF($V2358="",N($AA2357),IF(MATCH($V2358,$V$6:$V$10005,0)=ROW()-5,N($AA2357)+1,N($AA2357)))</f>
        <v>0</v>
      </c>
    </row>
    <row r="2359" spans="1:27" ht="21" customHeight="1" x14ac:dyDescent="0.95">
      <c r="A2359" s="56"/>
      <c r="B2359" s="57"/>
      <c r="C2359" s="57"/>
      <c r="D2359" s="57"/>
      <c r="E2359" s="56"/>
      <c r="F2359" s="57"/>
      <c r="G2359" s="57"/>
      <c r="H2359" s="56"/>
      <c r="I2359" s="56"/>
      <c r="J2359" s="58"/>
      <c r="K2359" s="58"/>
      <c r="L2359" s="13" t="str">
        <f t="shared" si="360"/>
        <v/>
      </c>
      <c r="M2359" s="13" t="str">
        <f t="shared" si="361"/>
        <v/>
      </c>
      <c r="Q2359" t="str">
        <f t="shared" si="362"/>
        <v/>
      </c>
      <c r="R2359" t="str">
        <f t="shared" si="363"/>
        <v/>
      </c>
      <c r="S2359" t="str">
        <f t="shared" si="364"/>
        <v/>
      </c>
      <c r="T2359" t="str">
        <f t="shared" si="365"/>
        <v/>
      </c>
      <c r="U2359" t="str">
        <f t="shared" si="366"/>
        <v/>
      </c>
      <c r="V2359" t="str">
        <f t="shared" si="367"/>
        <v/>
      </c>
      <c r="W2359" t="str">
        <f t="shared" si="368"/>
        <v/>
      </c>
      <c r="X2359">
        <f>IF($T2359="",N($X2358),IF(MATCH($T2359,$T$6:$T$10005,0)=ROW()-5,N($X2358)+1,N($X2358)))</f>
        <v>0</v>
      </c>
      <c r="Z2359" t="str">
        <f t="shared" si="369"/>
        <v/>
      </c>
      <c r="AA2359">
        <f>IF($V2359="",N($AA2358),IF(MATCH($V2359,$V$6:$V$10005,0)=ROW()-5,N($AA2358)+1,N($AA2358)))</f>
        <v>0</v>
      </c>
    </row>
    <row r="2360" spans="1:27" ht="21" customHeight="1" x14ac:dyDescent="0.95">
      <c r="A2360" s="56"/>
      <c r="B2360" s="57"/>
      <c r="C2360" s="57"/>
      <c r="D2360" s="57"/>
      <c r="E2360" s="56"/>
      <c r="F2360" s="57"/>
      <c r="G2360" s="57"/>
      <c r="H2360" s="56"/>
      <c r="I2360" s="56"/>
      <c r="J2360" s="58"/>
      <c r="K2360" s="58"/>
      <c r="L2360" s="13" t="str">
        <f t="shared" si="360"/>
        <v/>
      </c>
      <c r="M2360" s="13" t="str">
        <f t="shared" si="361"/>
        <v/>
      </c>
      <c r="Q2360" t="str">
        <f t="shared" si="362"/>
        <v/>
      </c>
      <c r="R2360" t="str">
        <f t="shared" si="363"/>
        <v/>
      </c>
      <c r="S2360" t="str">
        <f t="shared" si="364"/>
        <v/>
      </c>
      <c r="T2360" t="str">
        <f t="shared" si="365"/>
        <v/>
      </c>
      <c r="U2360" t="str">
        <f t="shared" si="366"/>
        <v/>
      </c>
      <c r="V2360" t="str">
        <f t="shared" si="367"/>
        <v/>
      </c>
      <c r="W2360" t="str">
        <f t="shared" si="368"/>
        <v/>
      </c>
      <c r="X2360">
        <f>IF($T2360="",N($X2359),IF(MATCH($T2360,$T$6:$T$10005,0)=ROW()-5,N($X2359)+1,N($X2359)))</f>
        <v>0</v>
      </c>
      <c r="Z2360" t="str">
        <f t="shared" si="369"/>
        <v/>
      </c>
      <c r="AA2360">
        <f>IF($V2360="",N($AA2359),IF(MATCH($V2360,$V$6:$V$10005,0)=ROW()-5,N($AA2359)+1,N($AA2359)))</f>
        <v>0</v>
      </c>
    </row>
    <row r="2361" spans="1:27" ht="21" customHeight="1" x14ac:dyDescent="0.95">
      <c r="A2361" s="56"/>
      <c r="B2361" s="57"/>
      <c r="C2361" s="57"/>
      <c r="D2361" s="57"/>
      <c r="E2361" s="56"/>
      <c r="F2361" s="57"/>
      <c r="G2361" s="57"/>
      <c r="H2361" s="56"/>
      <c r="I2361" s="56"/>
      <c r="J2361" s="58"/>
      <c r="K2361" s="58"/>
      <c r="L2361" s="13" t="str">
        <f t="shared" si="360"/>
        <v/>
      </c>
      <c r="M2361" s="13" t="str">
        <f t="shared" si="361"/>
        <v/>
      </c>
      <c r="Q2361" t="str">
        <f t="shared" si="362"/>
        <v/>
      </c>
      <c r="R2361" t="str">
        <f t="shared" si="363"/>
        <v/>
      </c>
      <c r="S2361" t="str">
        <f t="shared" si="364"/>
        <v/>
      </c>
      <c r="T2361" t="str">
        <f t="shared" si="365"/>
        <v/>
      </c>
      <c r="U2361" t="str">
        <f t="shared" si="366"/>
        <v/>
      </c>
      <c r="V2361" t="str">
        <f t="shared" si="367"/>
        <v/>
      </c>
      <c r="W2361" t="str">
        <f t="shared" si="368"/>
        <v/>
      </c>
      <c r="X2361">
        <f>IF($T2361="",N($X2360),IF(MATCH($T2361,$T$6:$T$10005,0)=ROW()-5,N($X2360)+1,N($X2360)))</f>
        <v>0</v>
      </c>
      <c r="Z2361" t="str">
        <f t="shared" si="369"/>
        <v/>
      </c>
      <c r="AA2361">
        <f>IF($V2361="",N($AA2360),IF(MATCH($V2361,$V$6:$V$10005,0)=ROW()-5,N($AA2360)+1,N($AA2360)))</f>
        <v>0</v>
      </c>
    </row>
    <row r="2362" spans="1:27" ht="21" customHeight="1" x14ac:dyDescent="0.95">
      <c r="A2362" s="56"/>
      <c r="B2362" s="57"/>
      <c r="C2362" s="57"/>
      <c r="D2362" s="57"/>
      <c r="E2362" s="56"/>
      <c r="F2362" s="57"/>
      <c r="G2362" s="57"/>
      <c r="H2362" s="56"/>
      <c r="I2362" s="56"/>
      <c r="J2362" s="58"/>
      <c r="K2362" s="58"/>
      <c r="L2362" s="13" t="str">
        <f t="shared" si="360"/>
        <v/>
      </c>
      <c r="M2362" s="13" t="str">
        <f t="shared" si="361"/>
        <v/>
      </c>
      <c r="Q2362" t="str">
        <f t="shared" si="362"/>
        <v/>
      </c>
      <c r="R2362" t="str">
        <f t="shared" si="363"/>
        <v/>
      </c>
      <c r="S2362" t="str">
        <f t="shared" si="364"/>
        <v/>
      </c>
      <c r="T2362" t="str">
        <f t="shared" si="365"/>
        <v/>
      </c>
      <c r="U2362" t="str">
        <f t="shared" si="366"/>
        <v/>
      </c>
      <c r="V2362" t="str">
        <f t="shared" si="367"/>
        <v/>
      </c>
      <c r="W2362" t="str">
        <f t="shared" si="368"/>
        <v/>
      </c>
      <c r="X2362">
        <f>IF($T2362="",N($X2361),IF(MATCH($T2362,$T$6:$T$10005,0)=ROW()-5,N($X2361)+1,N($X2361)))</f>
        <v>0</v>
      </c>
      <c r="Z2362" t="str">
        <f t="shared" si="369"/>
        <v/>
      </c>
      <c r="AA2362">
        <f>IF($V2362="",N($AA2361),IF(MATCH($V2362,$V$6:$V$10005,0)=ROW()-5,N($AA2361)+1,N($AA2361)))</f>
        <v>0</v>
      </c>
    </row>
    <row r="2363" spans="1:27" ht="21" customHeight="1" x14ac:dyDescent="0.95">
      <c r="A2363" s="56"/>
      <c r="B2363" s="57"/>
      <c r="C2363" s="57"/>
      <c r="D2363" s="57"/>
      <c r="E2363" s="56"/>
      <c r="F2363" s="57"/>
      <c r="G2363" s="57"/>
      <c r="H2363" s="56"/>
      <c r="I2363" s="56"/>
      <c r="J2363" s="58"/>
      <c r="K2363" s="58"/>
      <c r="L2363" s="13" t="str">
        <f t="shared" si="360"/>
        <v/>
      </c>
      <c r="M2363" s="13" t="str">
        <f t="shared" si="361"/>
        <v/>
      </c>
      <c r="Q2363" t="str">
        <f t="shared" si="362"/>
        <v/>
      </c>
      <c r="R2363" t="str">
        <f t="shared" si="363"/>
        <v/>
      </c>
      <c r="S2363" t="str">
        <f t="shared" si="364"/>
        <v/>
      </c>
      <c r="T2363" t="str">
        <f t="shared" si="365"/>
        <v/>
      </c>
      <c r="U2363" t="str">
        <f t="shared" si="366"/>
        <v/>
      </c>
      <c r="V2363" t="str">
        <f t="shared" si="367"/>
        <v/>
      </c>
      <c r="W2363" t="str">
        <f t="shared" si="368"/>
        <v/>
      </c>
      <c r="X2363">
        <f>IF($T2363="",N($X2362),IF(MATCH($T2363,$T$6:$T$10005,0)=ROW()-5,N($X2362)+1,N($X2362)))</f>
        <v>0</v>
      </c>
      <c r="Z2363" t="str">
        <f t="shared" si="369"/>
        <v/>
      </c>
      <c r="AA2363">
        <f>IF($V2363="",N($AA2362),IF(MATCH($V2363,$V$6:$V$10005,0)=ROW()-5,N($AA2362)+1,N($AA2362)))</f>
        <v>0</v>
      </c>
    </row>
    <row r="2364" spans="1:27" ht="21" customHeight="1" x14ac:dyDescent="0.95">
      <c r="A2364" s="56"/>
      <c r="B2364" s="57"/>
      <c r="C2364" s="57"/>
      <c r="D2364" s="57"/>
      <c r="E2364" s="56"/>
      <c r="F2364" s="57"/>
      <c r="G2364" s="57"/>
      <c r="H2364" s="56"/>
      <c r="I2364" s="56"/>
      <c r="J2364" s="58"/>
      <c r="K2364" s="58"/>
      <c r="L2364" s="13" t="str">
        <f t="shared" si="360"/>
        <v/>
      </c>
      <c r="M2364" s="13" t="str">
        <f t="shared" si="361"/>
        <v/>
      </c>
      <c r="Q2364" t="str">
        <f t="shared" si="362"/>
        <v/>
      </c>
      <c r="R2364" t="str">
        <f t="shared" si="363"/>
        <v/>
      </c>
      <c r="S2364" t="str">
        <f t="shared" si="364"/>
        <v/>
      </c>
      <c r="T2364" t="str">
        <f t="shared" si="365"/>
        <v/>
      </c>
      <c r="U2364" t="str">
        <f t="shared" si="366"/>
        <v/>
      </c>
      <c r="V2364" t="str">
        <f t="shared" si="367"/>
        <v/>
      </c>
      <c r="W2364" t="str">
        <f t="shared" si="368"/>
        <v/>
      </c>
      <c r="X2364">
        <f>IF($T2364="",N($X2363),IF(MATCH($T2364,$T$6:$T$10005,0)=ROW()-5,N($X2363)+1,N($X2363)))</f>
        <v>0</v>
      </c>
      <c r="Z2364" t="str">
        <f t="shared" si="369"/>
        <v/>
      </c>
      <c r="AA2364">
        <f>IF($V2364="",N($AA2363),IF(MATCH($V2364,$V$6:$V$10005,0)=ROW()-5,N($AA2363)+1,N($AA2363)))</f>
        <v>0</v>
      </c>
    </row>
    <row r="2365" spans="1:27" ht="21" customHeight="1" x14ac:dyDescent="0.95">
      <c r="A2365" s="56"/>
      <c r="B2365" s="57"/>
      <c r="C2365" s="57"/>
      <c r="D2365" s="57"/>
      <c r="E2365" s="56"/>
      <c r="F2365" s="57"/>
      <c r="G2365" s="57"/>
      <c r="H2365" s="56"/>
      <c r="I2365" s="56"/>
      <c r="J2365" s="58"/>
      <c r="K2365" s="58"/>
      <c r="L2365" s="13" t="str">
        <f t="shared" si="360"/>
        <v/>
      </c>
      <c r="M2365" s="13" t="str">
        <f t="shared" si="361"/>
        <v/>
      </c>
      <c r="Q2365" t="str">
        <f t="shared" si="362"/>
        <v/>
      </c>
      <c r="R2365" t="str">
        <f t="shared" si="363"/>
        <v/>
      </c>
      <c r="S2365" t="str">
        <f t="shared" si="364"/>
        <v/>
      </c>
      <c r="T2365" t="str">
        <f t="shared" si="365"/>
        <v/>
      </c>
      <c r="U2365" t="str">
        <f t="shared" si="366"/>
        <v/>
      </c>
      <c r="V2365" t="str">
        <f t="shared" si="367"/>
        <v/>
      </c>
      <c r="W2365" t="str">
        <f t="shared" si="368"/>
        <v/>
      </c>
      <c r="X2365">
        <f>IF($T2365="",N($X2364),IF(MATCH($T2365,$T$6:$T$10005,0)=ROW()-5,N($X2364)+1,N($X2364)))</f>
        <v>0</v>
      </c>
      <c r="Z2365" t="str">
        <f t="shared" si="369"/>
        <v/>
      </c>
      <c r="AA2365">
        <f>IF($V2365="",N($AA2364),IF(MATCH($V2365,$V$6:$V$10005,0)=ROW()-5,N($AA2364)+1,N($AA2364)))</f>
        <v>0</v>
      </c>
    </row>
    <row r="2366" spans="1:27" ht="21" customHeight="1" x14ac:dyDescent="0.95">
      <c r="A2366" s="56"/>
      <c r="B2366" s="57"/>
      <c r="C2366" s="57"/>
      <c r="D2366" s="57"/>
      <c r="E2366" s="56"/>
      <c r="F2366" s="57"/>
      <c r="G2366" s="57"/>
      <c r="H2366" s="56"/>
      <c r="I2366" s="56"/>
      <c r="J2366" s="58"/>
      <c r="K2366" s="58"/>
      <c r="L2366" s="13" t="str">
        <f t="shared" si="360"/>
        <v/>
      </c>
      <c r="M2366" s="13" t="str">
        <f t="shared" si="361"/>
        <v/>
      </c>
      <c r="Q2366" t="str">
        <f t="shared" si="362"/>
        <v/>
      </c>
      <c r="R2366" t="str">
        <f t="shared" si="363"/>
        <v/>
      </c>
      <c r="S2366" t="str">
        <f t="shared" si="364"/>
        <v/>
      </c>
      <c r="T2366" t="str">
        <f t="shared" si="365"/>
        <v/>
      </c>
      <c r="U2366" t="str">
        <f t="shared" si="366"/>
        <v/>
      </c>
      <c r="V2366" t="str">
        <f t="shared" si="367"/>
        <v/>
      </c>
      <c r="W2366" t="str">
        <f t="shared" si="368"/>
        <v/>
      </c>
      <c r="X2366">
        <f>IF($T2366="",N($X2365),IF(MATCH($T2366,$T$6:$T$10005,0)=ROW()-5,N($X2365)+1,N($X2365)))</f>
        <v>0</v>
      </c>
      <c r="Z2366" t="str">
        <f t="shared" si="369"/>
        <v/>
      </c>
      <c r="AA2366">
        <f>IF($V2366="",N($AA2365),IF(MATCH($V2366,$V$6:$V$10005,0)=ROW()-5,N($AA2365)+1,N($AA2365)))</f>
        <v>0</v>
      </c>
    </row>
    <row r="2367" spans="1:27" ht="21" customHeight="1" x14ac:dyDescent="0.95">
      <c r="A2367" s="56"/>
      <c r="B2367" s="57"/>
      <c r="C2367" s="57"/>
      <c r="D2367" s="57"/>
      <c r="E2367" s="56"/>
      <c r="F2367" s="57"/>
      <c r="G2367" s="57"/>
      <c r="H2367" s="56"/>
      <c r="I2367" s="56"/>
      <c r="J2367" s="58"/>
      <c r="K2367" s="58"/>
      <c r="L2367" s="13" t="str">
        <f t="shared" si="360"/>
        <v/>
      </c>
      <c r="M2367" s="13" t="str">
        <f t="shared" si="361"/>
        <v/>
      </c>
      <c r="Q2367" t="str">
        <f t="shared" si="362"/>
        <v/>
      </c>
      <c r="R2367" t="str">
        <f t="shared" si="363"/>
        <v/>
      </c>
      <c r="S2367" t="str">
        <f t="shared" si="364"/>
        <v/>
      </c>
      <c r="T2367" t="str">
        <f t="shared" si="365"/>
        <v/>
      </c>
      <c r="U2367" t="str">
        <f t="shared" si="366"/>
        <v/>
      </c>
      <c r="V2367" t="str">
        <f t="shared" si="367"/>
        <v/>
      </c>
      <c r="W2367" t="str">
        <f t="shared" si="368"/>
        <v/>
      </c>
      <c r="X2367">
        <f>IF($T2367="",N($X2366),IF(MATCH($T2367,$T$6:$T$10005,0)=ROW()-5,N($X2366)+1,N($X2366)))</f>
        <v>0</v>
      </c>
      <c r="Z2367" t="str">
        <f t="shared" si="369"/>
        <v/>
      </c>
      <c r="AA2367">
        <f>IF($V2367="",N($AA2366),IF(MATCH($V2367,$V$6:$V$10005,0)=ROW()-5,N($AA2366)+1,N($AA2366)))</f>
        <v>0</v>
      </c>
    </row>
    <row r="2368" spans="1:27" ht="21" customHeight="1" x14ac:dyDescent="0.95">
      <c r="A2368" s="56"/>
      <c r="B2368" s="57"/>
      <c r="C2368" s="57"/>
      <c r="D2368" s="57"/>
      <c r="E2368" s="56"/>
      <c r="F2368" s="57"/>
      <c r="G2368" s="57"/>
      <c r="H2368" s="56"/>
      <c r="I2368" s="56"/>
      <c r="J2368" s="58"/>
      <c r="K2368" s="58"/>
      <c r="L2368" s="13" t="str">
        <f t="shared" si="360"/>
        <v/>
      </c>
      <c r="M2368" s="13" t="str">
        <f t="shared" si="361"/>
        <v/>
      </c>
      <c r="Q2368" t="str">
        <f t="shared" si="362"/>
        <v/>
      </c>
      <c r="R2368" t="str">
        <f t="shared" si="363"/>
        <v/>
      </c>
      <c r="S2368" t="str">
        <f t="shared" si="364"/>
        <v/>
      </c>
      <c r="T2368" t="str">
        <f t="shared" si="365"/>
        <v/>
      </c>
      <c r="U2368" t="str">
        <f t="shared" si="366"/>
        <v/>
      </c>
      <c r="V2368" t="str">
        <f t="shared" si="367"/>
        <v/>
      </c>
      <c r="W2368" t="str">
        <f t="shared" si="368"/>
        <v/>
      </c>
      <c r="X2368">
        <f>IF($T2368="",N($X2367),IF(MATCH($T2368,$T$6:$T$10005,0)=ROW()-5,N($X2367)+1,N($X2367)))</f>
        <v>0</v>
      </c>
      <c r="Z2368" t="str">
        <f t="shared" si="369"/>
        <v/>
      </c>
      <c r="AA2368">
        <f>IF($V2368="",N($AA2367),IF(MATCH($V2368,$V$6:$V$10005,0)=ROW()-5,N($AA2367)+1,N($AA2367)))</f>
        <v>0</v>
      </c>
    </row>
    <row r="2369" spans="1:27" ht="21" customHeight="1" x14ac:dyDescent="0.95">
      <c r="A2369" s="56"/>
      <c r="B2369" s="57"/>
      <c r="C2369" s="57"/>
      <c r="D2369" s="57"/>
      <c r="E2369" s="56"/>
      <c r="F2369" s="57"/>
      <c r="G2369" s="57"/>
      <c r="H2369" s="56"/>
      <c r="I2369" s="56"/>
      <c r="J2369" s="58"/>
      <c r="K2369" s="58"/>
      <c r="L2369" s="13" t="str">
        <f t="shared" si="360"/>
        <v/>
      </c>
      <c r="M2369" s="13" t="str">
        <f t="shared" si="361"/>
        <v/>
      </c>
      <c r="Q2369" t="str">
        <f t="shared" si="362"/>
        <v/>
      </c>
      <c r="R2369" t="str">
        <f t="shared" si="363"/>
        <v/>
      </c>
      <c r="S2369" t="str">
        <f t="shared" si="364"/>
        <v/>
      </c>
      <c r="T2369" t="str">
        <f t="shared" si="365"/>
        <v/>
      </c>
      <c r="U2369" t="str">
        <f t="shared" si="366"/>
        <v/>
      </c>
      <c r="V2369" t="str">
        <f t="shared" si="367"/>
        <v/>
      </c>
      <c r="W2369" t="str">
        <f t="shared" si="368"/>
        <v/>
      </c>
      <c r="X2369">
        <f>IF($T2369="",N($X2368),IF(MATCH($T2369,$T$6:$T$10005,0)=ROW()-5,N($X2368)+1,N($X2368)))</f>
        <v>0</v>
      </c>
      <c r="Z2369" t="str">
        <f t="shared" si="369"/>
        <v/>
      </c>
      <c r="AA2369">
        <f>IF($V2369="",N($AA2368),IF(MATCH($V2369,$V$6:$V$10005,0)=ROW()-5,N($AA2368)+1,N($AA2368)))</f>
        <v>0</v>
      </c>
    </row>
    <row r="2370" spans="1:27" ht="21" customHeight="1" x14ac:dyDescent="0.95">
      <c r="A2370" s="56"/>
      <c r="B2370" s="57"/>
      <c r="C2370" s="57"/>
      <c r="D2370" s="57"/>
      <c r="E2370" s="56"/>
      <c r="F2370" s="57"/>
      <c r="G2370" s="57"/>
      <c r="H2370" s="56"/>
      <c r="I2370" s="56"/>
      <c r="J2370" s="58"/>
      <c r="K2370" s="58"/>
      <c r="L2370" s="13" t="str">
        <f t="shared" si="360"/>
        <v/>
      </c>
      <c r="M2370" s="13" t="str">
        <f t="shared" si="361"/>
        <v/>
      </c>
      <c r="Q2370" t="str">
        <f t="shared" si="362"/>
        <v/>
      </c>
      <c r="R2370" t="str">
        <f t="shared" si="363"/>
        <v/>
      </c>
      <c r="S2370" t="str">
        <f t="shared" si="364"/>
        <v/>
      </c>
      <c r="T2370" t="str">
        <f t="shared" si="365"/>
        <v/>
      </c>
      <c r="U2370" t="str">
        <f t="shared" si="366"/>
        <v/>
      </c>
      <c r="V2370" t="str">
        <f t="shared" si="367"/>
        <v/>
      </c>
      <c r="W2370" t="str">
        <f t="shared" si="368"/>
        <v/>
      </c>
      <c r="X2370">
        <f>IF($T2370="",N($X2369),IF(MATCH($T2370,$T$6:$T$10005,0)=ROW()-5,N($X2369)+1,N($X2369)))</f>
        <v>0</v>
      </c>
      <c r="Z2370" t="str">
        <f t="shared" si="369"/>
        <v/>
      </c>
      <c r="AA2370">
        <f>IF($V2370="",N($AA2369),IF(MATCH($V2370,$V$6:$V$10005,0)=ROW()-5,N($AA2369)+1,N($AA2369)))</f>
        <v>0</v>
      </c>
    </row>
    <row r="2371" spans="1:27" ht="21" customHeight="1" x14ac:dyDescent="0.95">
      <c r="A2371" s="56"/>
      <c r="B2371" s="57"/>
      <c r="C2371" s="57"/>
      <c r="D2371" s="57"/>
      <c r="E2371" s="56"/>
      <c r="F2371" s="57"/>
      <c r="G2371" s="57"/>
      <c r="H2371" s="56"/>
      <c r="I2371" s="56"/>
      <c r="J2371" s="58"/>
      <c r="K2371" s="58"/>
      <c r="L2371" s="13" t="str">
        <f t="shared" si="360"/>
        <v/>
      </c>
      <c r="M2371" s="13" t="str">
        <f t="shared" si="361"/>
        <v/>
      </c>
      <c r="Q2371" t="str">
        <f t="shared" si="362"/>
        <v/>
      </c>
      <c r="R2371" t="str">
        <f t="shared" si="363"/>
        <v/>
      </c>
      <c r="S2371" t="str">
        <f t="shared" si="364"/>
        <v/>
      </c>
      <c r="T2371" t="str">
        <f t="shared" si="365"/>
        <v/>
      </c>
      <c r="U2371" t="str">
        <f t="shared" si="366"/>
        <v/>
      </c>
      <c r="V2371" t="str">
        <f t="shared" si="367"/>
        <v/>
      </c>
      <c r="W2371" t="str">
        <f t="shared" si="368"/>
        <v/>
      </c>
      <c r="X2371">
        <f>IF($T2371="",N($X2370),IF(MATCH($T2371,$T$6:$T$10005,0)=ROW()-5,N($X2370)+1,N($X2370)))</f>
        <v>0</v>
      </c>
      <c r="Z2371" t="str">
        <f t="shared" si="369"/>
        <v/>
      </c>
      <c r="AA2371">
        <f>IF($V2371="",N($AA2370),IF(MATCH($V2371,$V$6:$V$10005,0)=ROW()-5,N($AA2370)+1,N($AA2370)))</f>
        <v>0</v>
      </c>
    </row>
    <row r="2372" spans="1:27" ht="21" customHeight="1" x14ac:dyDescent="0.95">
      <c r="A2372" s="56"/>
      <c r="B2372" s="57"/>
      <c r="C2372" s="57"/>
      <c r="D2372" s="57"/>
      <c r="E2372" s="56"/>
      <c r="F2372" s="57"/>
      <c r="G2372" s="57"/>
      <c r="H2372" s="56"/>
      <c r="I2372" s="56"/>
      <c r="J2372" s="58"/>
      <c r="K2372" s="58"/>
      <c r="L2372" s="13" t="str">
        <f t="shared" si="360"/>
        <v/>
      </c>
      <c r="M2372" s="13" t="str">
        <f t="shared" si="361"/>
        <v/>
      </c>
      <c r="Q2372" t="str">
        <f t="shared" si="362"/>
        <v/>
      </c>
      <c r="R2372" t="str">
        <f t="shared" si="363"/>
        <v/>
      </c>
      <c r="S2372" t="str">
        <f t="shared" si="364"/>
        <v/>
      </c>
      <c r="T2372" t="str">
        <f t="shared" si="365"/>
        <v/>
      </c>
      <c r="U2372" t="str">
        <f t="shared" si="366"/>
        <v/>
      </c>
      <c r="V2372" t="str">
        <f t="shared" si="367"/>
        <v/>
      </c>
      <c r="W2372" t="str">
        <f t="shared" si="368"/>
        <v/>
      </c>
      <c r="X2372">
        <f>IF($T2372="",N($X2371),IF(MATCH($T2372,$T$6:$T$10005,0)=ROW()-5,N($X2371)+1,N($X2371)))</f>
        <v>0</v>
      </c>
      <c r="Z2372" t="str">
        <f t="shared" si="369"/>
        <v/>
      </c>
      <c r="AA2372">
        <f>IF($V2372="",N($AA2371),IF(MATCH($V2372,$V$6:$V$10005,0)=ROW()-5,N($AA2371)+1,N($AA2371)))</f>
        <v>0</v>
      </c>
    </row>
    <row r="2373" spans="1:27" ht="21" customHeight="1" x14ac:dyDescent="0.95">
      <c r="A2373" s="56"/>
      <c r="B2373" s="57"/>
      <c r="C2373" s="57"/>
      <c r="D2373" s="57"/>
      <c r="E2373" s="56"/>
      <c r="F2373" s="57"/>
      <c r="G2373" s="57"/>
      <c r="H2373" s="56"/>
      <c r="I2373" s="56"/>
      <c r="J2373" s="58"/>
      <c r="K2373" s="58"/>
      <c r="L2373" s="13" t="str">
        <f t="shared" si="360"/>
        <v/>
      </c>
      <c r="M2373" s="13" t="str">
        <f t="shared" si="361"/>
        <v/>
      </c>
      <c r="Q2373" t="str">
        <f t="shared" si="362"/>
        <v/>
      </c>
      <c r="R2373" t="str">
        <f t="shared" si="363"/>
        <v/>
      </c>
      <c r="S2373" t="str">
        <f t="shared" si="364"/>
        <v/>
      </c>
      <c r="T2373" t="str">
        <f t="shared" si="365"/>
        <v/>
      </c>
      <c r="U2373" t="str">
        <f t="shared" si="366"/>
        <v/>
      </c>
      <c r="V2373" t="str">
        <f t="shared" si="367"/>
        <v/>
      </c>
      <c r="W2373" t="str">
        <f t="shared" si="368"/>
        <v/>
      </c>
      <c r="X2373">
        <f>IF($T2373="",N($X2372),IF(MATCH($T2373,$T$6:$T$10005,0)=ROW()-5,N($X2372)+1,N($X2372)))</f>
        <v>0</v>
      </c>
      <c r="Z2373" t="str">
        <f t="shared" si="369"/>
        <v/>
      </c>
      <c r="AA2373">
        <f>IF($V2373="",N($AA2372),IF(MATCH($V2373,$V$6:$V$10005,0)=ROW()-5,N($AA2372)+1,N($AA2372)))</f>
        <v>0</v>
      </c>
    </row>
    <row r="2374" spans="1:27" ht="21" customHeight="1" x14ac:dyDescent="0.95">
      <c r="A2374" s="56"/>
      <c r="B2374" s="57"/>
      <c r="C2374" s="57"/>
      <c r="D2374" s="57"/>
      <c r="E2374" s="56"/>
      <c r="F2374" s="57"/>
      <c r="G2374" s="57"/>
      <c r="H2374" s="56"/>
      <c r="I2374" s="56"/>
      <c r="J2374" s="58"/>
      <c r="K2374" s="58"/>
      <c r="L2374" s="13" t="str">
        <f t="shared" ref="L2374:L2437" si="370">IF(OR($A2374="",AND($J2374="",$K2374="")),"",ROUND(N($J2374)-N($K2374),2))</f>
        <v/>
      </c>
      <c r="M2374" s="13" t="str">
        <f t="shared" ref="M2374:M2437" si="371">IF(OR($A2374="",AND($J2374="",$K2374="")),"",MIN($J2374,$K2374))</f>
        <v/>
      </c>
      <c r="Q2374" t="str">
        <f t="shared" ref="Q2374:Q2437" si="372">IF($A2374="","",$D2374&amp;"("&amp;SUBSTITUTE($E2374," ","")&amp;")")</f>
        <v/>
      </c>
      <c r="R2374" t="str">
        <f t="shared" ref="R2374:R2437" si="373">IF($A2374="","",$B2374&amp;" - "&amp;$C2374)</f>
        <v/>
      </c>
      <c r="S2374" t="str">
        <f t="shared" ref="S2374:S2437" si="374">IF($A2374="","",$R2374&amp;"|"&amp;$Q2374)</f>
        <v/>
      </c>
      <c r="T2374" t="str">
        <f t="shared" ref="T2374:T2437" si="375">IF($A2374="","",$S2374&amp;"|"&amp;$F2374)</f>
        <v/>
      </c>
      <c r="U2374" t="str">
        <f t="shared" ref="U2374:U2437" si="376">IF($A2374="","",$R2374&amp;"("&amp;$E2374&amp;")")</f>
        <v/>
      </c>
      <c r="V2374" t="str">
        <f t="shared" ref="V2374:V2437" si="377">IF($A2374="","",$F2374&amp;"|"&amp;$U2374&amp;"|"&amp;$D2374)</f>
        <v/>
      </c>
      <c r="W2374" t="str">
        <f t="shared" ref="W2374:W2437" si="378">IF($T2374="","",IF($X2374&gt;N($X2373),$X2374,""))</f>
        <v/>
      </c>
      <c r="X2374">
        <f>IF($T2374="",N($X2373),IF(MATCH($T2374,$T$6:$T$10005,0)=ROW()-5,N($X2373)+1,N($X2373)))</f>
        <v>0</v>
      </c>
      <c r="Z2374" t="str">
        <f t="shared" ref="Z2374:Z2437" si="379">IF($V2374="","",IF($AA2374&gt;N($AA2373),$AA2374,""))</f>
        <v/>
      </c>
      <c r="AA2374">
        <f>IF($V2374="",N($AA2373),IF(MATCH($V2374,$V$6:$V$10005,0)=ROW()-5,N($AA2373)+1,N($AA2373)))</f>
        <v>0</v>
      </c>
    </row>
    <row r="2375" spans="1:27" ht="21" customHeight="1" x14ac:dyDescent="0.95">
      <c r="A2375" s="56"/>
      <c r="B2375" s="57"/>
      <c r="C2375" s="57"/>
      <c r="D2375" s="57"/>
      <c r="E2375" s="56"/>
      <c r="F2375" s="57"/>
      <c r="G2375" s="57"/>
      <c r="H2375" s="56"/>
      <c r="I2375" s="56"/>
      <c r="J2375" s="58"/>
      <c r="K2375" s="58"/>
      <c r="L2375" s="13" t="str">
        <f t="shared" si="370"/>
        <v/>
      </c>
      <c r="M2375" s="13" t="str">
        <f t="shared" si="371"/>
        <v/>
      </c>
      <c r="Q2375" t="str">
        <f t="shared" si="372"/>
        <v/>
      </c>
      <c r="R2375" t="str">
        <f t="shared" si="373"/>
        <v/>
      </c>
      <c r="S2375" t="str">
        <f t="shared" si="374"/>
        <v/>
      </c>
      <c r="T2375" t="str">
        <f t="shared" si="375"/>
        <v/>
      </c>
      <c r="U2375" t="str">
        <f t="shared" si="376"/>
        <v/>
      </c>
      <c r="V2375" t="str">
        <f t="shared" si="377"/>
        <v/>
      </c>
      <c r="W2375" t="str">
        <f t="shared" si="378"/>
        <v/>
      </c>
      <c r="X2375">
        <f>IF($T2375="",N($X2374),IF(MATCH($T2375,$T$6:$T$10005,0)=ROW()-5,N($X2374)+1,N($X2374)))</f>
        <v>0</v>
      </c>
      <c r="Z2375" t="str">
        <f t="shared" si="379"/>
        <v/>
      </c>
      <c r="AA2375">
        <f>IF($V2375="",N($AA2374),IF(MATCH($V2375,$V$6:$V$10005,0)=ROW()-5,N($AA2374)+1,N($AA2374)))</f>
        <v>0</v>
      </c>
    </row>
    <row r="2376" spans="1:27" ht="21" customHeight="1" x14ac:dyDescent="0.95">
      <c r="A2376" s="56"/>
      <c r="B2376" s="57"/>
      <c r="C2376" s="57"/>
      <c r="D2376" s="57"/>
      <c r="E2376" s="56"/>
      <c r="F2376" s="57"/>
      <c r="G2376" s="57"/>
      <c r="H2376" s="56"/>
      <c r="I2376" s="56"/>
      <c r="J2376" s="58"/>
      <c r="K2376" s="58"/>
      <c r="L2376" s="13" t="str">
        <f t="shared" si="370"/>
        <v/>
      </c>
      <c r="M2376" s="13" t="str">
        <f t="shared" si="371"/>
        <v/>
      </c>
      <c r="Q2376" t="str">
        <f t="shared" si="372"/>
        <v/>
      </c>
      <c r="R2376" t="str">
        <f t="shared" si="373"/>
        <v/>
      </c>
      <c r="S2376" t="str">
        <f t="shared" si="374"/>
        <v/>
      </c>
      <c r="T2376" t="str">
        <f t="shared" si="375"/>
        <v/>
      </c>
      <c r="U2376" t="str">
        <f t="shared" si="376"/>
        <v/>
      </c>
      <c r="V2376" t="str">
        <f t="shared" si="377"/>
        <v/>
      </c>
      <c r="W2376" t="str">
        <f t="shared" si="378"/>
        <v/>
      </c>
      <c r="X2376">
        <f>IF($T2376="",N($X2375),IF(MATCH($T2376,$T$6:$T$10005,0)=ROW()-5,N($X2375)+1,N($X2375)))</f>
        <v>0</v>
      </c>
      <c r="Z2376" t="str">
        <f t="shared" si="379"/>
        <v/>
      </c>
      <c r="AA2376">
        <f>IF($V2376="",N($AA2375),IF(MATCH($V2376,$V$6:$V$10005,0)=ROW()-5,N($AA2375)+1,N($AA2375)))</f>
        <v>0</v>
      </c>
    </row>
    <row r="2377" spans="1:27" ht="21" customHeight="1" x14ac:dyDescent="0.95">
      <c r="A2377" s="56"/>
      <c r="B2377" s="57"/>
      <c r="C2377" s="57"/>
      <c r="D2377" s="57"/>
      <c r="E2377" s="56"/>
      <c r="F2377" s="57"/>
      <c r="G2377" s="57"/>
      <c r="H2377" s="56"/>
      <c r="I2377" s="56"/>
      <c r="J2377" s="58"/>
      <c r="K2377" s="58"/>
      <c r="L2377" s="13" t="str">
        <f t="shared" si="370"/>
        <v/>
      </c>
      <c r="M2377" s="13" t="str">
        <f t="shared" si="371"/>
        <v/>
      </c>
      <c r="Q2377" t="str">
        <f t="shared" si="372"/>
        <v/>
      </c>
      <c r="R2377" t="str">
        <f t="shared" si="373"/>
        <v/>
      </c>
      <c r="S2377" t="str">
        <f t="shared" si="374"/>
        <v/>
      </c>
      <c r="T2377" t="str">
        <f t="shared" si="375"/>
        <v/>
      </c>
      <c r="U2377" t="str">
        <f t="shared" si="376"/>
        <v/>
      </c>
      <c r="V2377" t="str">
        <f t="shared" si="377"/>
        <v/>
      </c>
      <c r="W2377" t="str">
        <f t="shared" si="378"/>
        <v/>
      </c>
      <c r="X2377">
        <f>IF($T2377="",N($X2376),IF(MATCH($T2377,$T$6:$T$10005,0)=ROW()-5,N($X2376)+1,N($X2376)))</f>
        <v>0</v>
      </c>
      <c r="Z2377" t="str">
        <f t="shared" si="379"/>
        <v/>
      </c>
      <c r="AA2377">
        <f>IF($V2377="",N($AA2376),IF(MATCH($V2377,$V$6:$V$10005,0)=ROW()-5,N($AA2376)+1,N($AA2376)))</f>
        <v>0</v>
      </c>
    </row>
    <row r="2378" spans="1:27" ht="21" customHeight="1" x14ac:dyDescent="0.95">
      <c r="A2378" s="56"/>
      <c r="B2378" s="57"/>
      <c r="C2378" s="57"/>
      <c r="D2378" s="57"/>
      <c r="E2378" s="56"/>
      <c r="F2378" s="57"/>
      <c r="G2378" s="57"/>
      <c r="H2378" s="56"/>
      <c r="I2378" s="56"/>
      <c r="J2378" s="58"/>
      <c r="K2378" s="58"/>
      <c r="L2378" s="13" t="str">
        <f t="shared" si="370"/>
        <v/>
      </c>
      <c r="M2378" s="13" t="str">
        <f t="shared" si="371"/>
        <v/>
      </c>
      <c r="Q2378" t="str">
        <f t="shared" si="372"/>
        <v/>
      </c>
      <c r="R2378" t="str">
        <f t="shared" si="373"/>
        <v/>
      </c>
      <c r="S2378" t="str">
        <f t="shared" si="374"/>
        <v/>
      </c>
      <c r="T2378" t="str">
        <f t="shared" si="375"/>
        <v/>
      </c>
      <c r="U2378" t="str">
        <f t="shared" si="376"/>
        <v/>
      </c>
      <c r="V2378" t="str">
        <f t="shared" si="377"/>
        <v/>
      </c>
      <c r="W2378" t="str">
        <f t="shared" si="378"/>
        <v/>
      </c>
      <c r="X2378">
        <f>IF($T2378="",N($X2377),IF(MATCH($T2378,$T$6:$T$10005,0)=ROW()-5,N($X2377)+1,N($X2377)))</f>
        <v>0</v>
      </c>
      <c r="Z2378" t="str">
        <f t="shared" si="379"/>
        <v/>
      </c>
      <c r="AA2378">
        <f>IF($V2378="",N($AA2377),IF(MATCH($V2378,$V$6:$V$10005,0)=ROW()-5,N($AA2377)+1,N($AA2377)))</f>
        <v>0</v>
      </c>
    </row>
    <row r="2379" spans="1:27" ht="21" customHeight="1" x14ac:dyDescent="0.95">
      <c r="A2379" s="56"/>
      <c r="B2379" s="57"/>
      <c r="C2379" s="57"/>
      <c r="D2379" s="57"/>
      <c r="E2379" s="56"/>
      <c r="F2379" s="57"/>
      <c r="G2379" s="57"/>
      <c r="H2379" s="56"/>
      <c r="I2379" s="56"/>
      <c r="J2379" s="58"/>
      <c r="K2379" s="58"/>
      <c r="L2379" s="13" t="str">
        <f t="shared" si="370"/>
        <v/>
      </c>
      <c r="M2379" s="13" t="str">
        <f t="shared" si="371"/>
        <v/>
      </c>
      <c r="Q2379" t="str">
        <f t="shared" si="372"/>
        <v/>
      </c>
      <c r="R2379" t="str">
        <f t="shared" si="373"/>
        <v/>
      </c>
      <c r="S2379" t="str">
        <f t="shared" si="374"/>
        <v/>
      </c>
      <c r="T2379" t="str">
        <f t="shared" si="375"/>
        <v/>
      </c>
      <c r="U2379" t="str">
        <f t="shared" si="376"/>
        <v/>
      </c>
      <c r="V2379" t="str">
        <f t="shared" si="377"/>
        <v/>
      </c>
      <c r="W2379" t="str">
        <f t="shared" si="378"/>
        <v/>
      </c>
      <c r="X2379">
        <f>IF($T2379="",N($X2378),IF(MATCH($T2379,$T$6:$T$10005,0)=ROW()-5,N($X2378)+1,N($X2378)))</f>
        <v>0</v>
      </c>
      <c r="Z2379" t="str">
        <f t="shared" si="379"/>
        <v/>
      </c>
      <c r="AA2379">
        <f>IF($V2379="",N($AA2378),IF(MATCH($V2379,$V$6:$V$10005,0)=ROW()-5,N($AA2378)+1,N($AA2378)))</f>
        <v>0</v>
      </c>
    </row>
    <row r="2380" spans="1:27" ht="21" customHeight="1" x14ac:dyDescent="0.95">
      <c r="A2380" s="56"/>
      <c r="B2380" s="57"/>
      <c r="C2380" s="57"/>
      <c r="D2380" s="57"/>
      <c r="E2380" s="56"/>
      <c r="F2380" s="57"/>
      <c r="G2380" s="57"/>
      <c r="H2380" s="56"/>
      <c r="I2380" s="56"/>
      <c r="J2380" s="58"/>
      <c r="K2380" s="58"/>
      <c r="L2380" s="13" t="str">
        <f t="shared" si="370"/>
        <v/>
      </c>
      <c r="M2380" s="13" t="str">
        <f t="shared" si="371"/>
        <v/>
      </c>
      <c r="Q2380" t="str">
        <f t="shared" si="372"/>
        <v/>
      </c>
      <c r="R2380" t="str">
        <f t="shared" si="373"/>
        <v/>
      </c>
      <c r="S2380" t="str">
        <f t="shared" si="374"/>
        <v/>
      </c>
      <c r="T2380" t="str">
        <f t="shared" si="375"/>
        <v/>
      </c>
      <c r="U2380" t="str">
        <f t="shared" si="376"/>
        <v/>
      </c>
      <c r="V2380" t="str">
        <f t="shared" si="377"/>
        <v/>
      </c>
      <c r="W2380" t="str">
        <f t="shared" si="378"/>
        <v/>
      </c>
      <c r="X2380">
        <f>IF($T2380="",N($X2379),IF(MATCH($T2380,$T$6:$T$10005,0)=ROW()-5,N($X2379)+1,N($X2379)))</f>
        <v>0</v>
      </c>
      <c r="Z2380" t="str">
        <f t="shared" si="379"/>
        <v/>
      </c>
      <c r="AA2380">
        <f>IF($V2380="",N($AA2379),IF(MATCH($V2380,$V$6:$V$10005,0)=ROW()-5,N($AA2379)+1,N($AA2379)))</f>
        <v>0</v>
      </c>
    </row>
    <row r="2381" spans="1:27" ht="21" customHeight="1" x14ac:dyDescent="0.95">
      <c r="A2381" s="56"/>
      <c r="B2381" s="57"/>
      <c r="C2381" s="57"/>
      <c r="D2381" s="57"/>
      <c r="E2381" s="56"/>
      <c r="F2381" s="57"/>
      <c r="G2381" s="57"/>
      <c r="H2381" s="56"/>
      <c r="I2381" s="56"/>
      <c r="J2381" s="58"/>
      <c r="K2381" s="58"/>
      <c r="L2381" s="13" t="str">
        <f t="shared" si="370"/>
        <v/>
      </c>
      <c r="M2381" s="13" t="str">
        <f t="shared" si="371"/>
        <v/>
      </c>
      <c r="Q2381" t="str">
        <f t="shared" si="372"/>
        <v/>
      </c>
      <c r="R2381" t="str">
        <f t="shared" si="373"/>
        <v/>
      </c>
      <c r="S2381" t="str">
        <f t="shared" si="374"/>
        <v/>
      </c>
      <c r="T2381" t="str">
        <f t="shared" si="375"/>
        <v/>
      </c>
      <c r="U2381" t="str">
        <f t="shared" si="376"/>
        <v/>
      </c>
      <c r="V2381" t="str">
        <f t="shared" si="377"/>
        <v/>
      </c>
      <c r="W2381" t="str">
        <f t="shared" si="378"/>
        <v/>
      </c>
      <c r="X2381">
        <f>IF($T2381="",N($X2380),IF(MATCH($T2381,$T$6:$T$10005,0)=ROW()-5,N($X2380)+1,N($X2380)))</f>
        <v>0</v>
      </c>
      <c r="Z2381" t="str">
        <f t="shared" si="379"/>
        <v/>
      </c>
      <c r="AA2381">
        <f>IF($V2381="",N($AA2380),IF(MATCH($V2381,$V$6:$V$10005,0)=ROW()-5,N($AA2380)+1,N($AA2380)))</f>
        <v>0</v>
      </c>
    </row>
    <row r="2382" spans="1:27" ht="21" customHeight="1" x14ac:dyDescent="0.95">
      <c r="A2382" s="56"/>
      <c r="B2382" s="57"/>
      <c r="C2382" s="57"/>
      <c r="D2382" s="57"/>
      <c r="E2382" s="56"/>
      <c r="F2382" s="57"/>
      <c r="G2382" s="57"/>
      <c r="H2382" s="56"/>
      <c r="I2382" s="56"/>
      <c r="J2382" s="58"/>
      <c r="K2382" s="58"/>
      <c r="L2382" s="13" t="str">
        <f t="shared" si="370"/>
        <v/>
      </c>
      <c r="M2382" s="13" t="str">
        <f t="shared" si="371"/>
        <v/>
      </c>
      <c r="Q2382" t="str">
        <f t="shared" si="372"/>
        <v/>
      </c>
      <c r="R2382" t="str">
        <f t="shared" si="373"/>
        <v/>
      </c>
      <c r="S2382" t="str">
        <f t="shared" si="374"/>
        <v/>
      </c>
      <c r="T2382" t="str">
        <f t="shared" si="375"/>
        <v/>
      </c>
      <c r="U2382" t="str">
        <f t="shared" si="376"/>
        <v/>
      </c>
      <c r="V2382" t="str">
        <f t="shared" si="377"/>
        <v/>
      </c>
      <c r="W2382" t="str">
        <f t="shared" si="378"/>
        <v/>
      </c>
      <c r="X2382">
        <f>IF($T2382="",N($X2381),IF(MATCH($T2382,$T$6:$T$10005,0)=ROW()-5,N($X2381)+1,N($X2381)))</f>
        <v>0</v>
      </c>
      <c r="Z2382" t="str">
        <f t="shared" si="379"/>
        <v/>
      </c>
      <c r="AA2382">
        <f>IF($V2382="",N($AA2381),IF(MATCH($V2382,$V$6:$V$10005,0)=ROW()-5,N($AA2381)+1,N($AA2381)))</f>
        <v>0</v>
      </c>
    </row>
    <row r="2383" spans="1:27" ht="21" customHeight="1" x14ac:dyDescent="0.95">
      <c r="A2383" s="56"/>
      <c r="B2383" s="57"/>
      <c r="C2383" s="57"/>
      <c r="D2383" s="57"/>
      <c r="E2383" s="56"/>
      <c r="F2383" s="57"/>
      <c r="G2383" s="57"/>
      <c r="H2383" s="56"/>
      <c r="I2383" s="56"/>
      <c r="J2383" s="58"/>
      <c r="K2383" s="58"/>
      <c r="L2383" s="13" t="str">
        <f t="shared" si="370"/>
        <v/>
      </c>
      <c r="M2383" s="13" t="str">
        <f t="shared" si="371"/>
        <v/>
      </c>
      <c r="Q2383" t="str">
        <f t="shared" si="372"/>
        <v/>
      </c>
      <c r="R2383" t="str">
        <f t="shared" si="373"/>
        <v/>
      </c>
      <c r="S2383" t="str">
        <f t="shared" si="374"/>
        <v/>
      </c>
      <c r="T2383" t="str">
        <f t="shared" si="375"/>
        <v/>
      </c>
      <c r="U2383" t="str">
        <f t="shared" si="376"/>
        <v/>
      </c>
      <c r="V2383" t="str">
        <f t="shared" si="377"/>
        <v/>
      </c>
      <c r="W2383" t="str">
        <f t="shared" si="378"/>
        <v/>
      </c>
      <c r="X2383">
        <f>IF($T2383="",N($X2382),IF(MATCH($T2383,$T$6:$T$10005,0)=ROW()-5,N($X2382)+1,N($X2382)))</f>
        <v>0</v>
      </c>
      <c r="Z2383" t="str">
        <f t="shared" si="379"/>
        <v/>
      </c>
      <c r="AA2383">
        <f>IF($V2383="",N($AA2382),IF(MATCH($V2383,$V$6:$V$10005,0)=ROW()-5,N($AA2382)+1,N($AA2382)))</f>
        <v>0</v>
      </c>
    </row>
    <row r="2384" spans="1:27" ht="21" customHeight="1" x14ac:dyDescent="0.95">
      <c r="A2384" s="56"/>
      <c r="B2384" s="57"/>
      <c r="C2384" s="57"/>
      <c r="D2384" s="57"/>
      <c r="E2384" s="56"/>
      <c r="F2384" s="57"/>
      <c r="G2384" s="57"/>
      <c r="H2384" s="56"/>
      <c r="I2384" s="56"/>
      <c r="J2384" s="58"/>
      <c r="K2384" s="58"/>
      <c r="L2384" s="13" t="str">
        <f t="shared" si="370"/>
        <v/>
      </c>
      <c r="M2384" s="13" t="str">
        <f t="shared" si="371"/>
        <v/>
      </c>
      <c r="Q2384" t="str">
        <f t="shared" si="372"/>
        <v/>
      </c>
      <c r="R2384" t="str">
        <f t="shared" si="373"/>
        <v/>
      </c>
      <c r="S2384" t="str">
        <f t="shared" si="374"/>
        <v/>
      </c>
      <c r="T2384" t="str">
        <f t="shared" si="375"/>
        <v/>
      </c>
      <c r="U2384" t="str">
        <f t="shared" si="376"/>
        <v/>
      </c>
      <c r="V2384" t="str">
        <f t="shared" si="377"/>
        <v/>
      </c>
      <c r="W2384" t="str">
        <f t="shared" si="378"/>
        <v/>
      </c>
      <c r="X2384">
        <f>IF($T2384="",N($X2383),IF(MATCH($T2384,$T$6:$T$10005,0)=ROW()-5,N($X2383)+1,N($X2383)))</f>
        <v>0</v>
      </c>
      <c r="Z2384" t="str">
        <f t="shared" si="379"/>
        <v/>
      </c>
      <c r="AA2384">
        <f>IF($V2384="",N($AA2383),IF(MATCH($V2384,$V$6:$V$10005,0)=ROW()-5,N($AA2383)+1,N($AA2383)))</f>
        <v>0</v>
      </c>
    </row>
    <row r="2385" spans="1:27" ht="21" customHeight="1" x14ac:dyDescent="0.95">
      <c r="A2385" s="56"/>
      <c r="B2385" s="57"/>
      <c r="C2385" s="57"/>
      <c r="D2385" s="57"/>
      <c r="E2385" s="56"/>
      <c r="F2385" s="57"/>
      <c r="G2385" s="57"/>
      <c r="H2385" s="56"/>
      <c r="I2385" s="56"/>
      <c r="J2385" s="58"/>
      <c r="K2385" s="58"/>
      <c r="L2385" s="13" t="str">
        <f t="shared" si="370"/>
        <v/>
      </c>
      <c r="M2385" s="13" t="str">
        <f t="shared" si="371"/>
        <v/>
      </c>
      <c r="Q2385" t="str">
        <f t="shared" si="372"/>
        <v/>
      </c>
      <c r="R2385" t="str">
        <f t="shared" si="373"/>
        <v/>
      </c>
      <c r="S2385" t="str">
        <f t="shared" si="374"/>
        <v/>
      </c>
      <c r="T2385" t="str">
        <f t="shared" si="375"/>
        <v/>
      </c>
      <c r="U2385" t="str">
        <f t="shared" si="376"/>
        <v/>
      </c>
      <c r="V2385" t="str">
        <f t="shared" si="377"/>
        <v/>
      </c>
      <c r="W2385" t="str">
        <f t="shared" si="378"/>
        <v/>
      </c>
      <c r="X2385">
        <f>IF($T2385="",N($X2384),IF(MATCH($T2385,$T$6:$T$10005,0)=ROW()-5,N($X2384)+1,N($X2384)))</f>
        <v>0</v>
      </c>
      <c r="Z2385" t="str">
        <f t="shared" si="379"/>
        <v/>
      </c>
      <c r="AA2385">
        <f>IF($V2385="",N($AA2384),IF(MATCH($V2385,$V$6:$V$10005,0)=ROW()-5,N($AA2384)+1,N($AA2384)))</f>
        <v>0</v>
      </c>
    </row>
    <row r="2386" spans="1:27" ht="21" customHeight="1" x14ac:dyDescent="0.95">
      <c r="A2386" s="56"/>
      <c r="B2386" s="57"/>
      <c r="C2386" s="57"/>
      <c r="D2386" s="57"/>
      <c r="E2386" s="56"/>
      <c r="F2386" s="57"/>
      <c r="G2386" s="57"/>
      <c r="H2386" s="56"/>
      <c r="I2386" s="56"/>
      <c r="J2386" s="58"/>
      <c r="K2386" s="58"/>
      <c r="L2386" s="13" t="str">
        <f t="shared" si="370"/>
        <v/>
      </c>
      <c r="M2386" s="13" t="str">
        <f t="shared" si="371"/>
        <v/>
      </c>
      <c r="Q2386" t="str">
        <f t="shared" si="372"/>
        <v/>
      </c>
      <c r="R2386" t="str">
        <f t="shared" si="373"/>
        <v/>
      </c>
      <c r="S2386" t="str">
        <f t="shared" si="374"/>
        <v/>
      </c>
      <c r="T2386" t="str">
        <f t="shared" si="375"/>
        <v/>
      </c>
      <c r="U2386" t="str">
        <f t="shared" si="376"/>
        <v/>
      </c>
      <c r="V2386" t="str">
        <f t="shared" si="377"/>
        <v/>
      </c>
      <c r="W2386" t="str">
        <f t="shared" si="378"/>
        <v/>
      </c>
      <c r="X2386">
        <f>IF($T2386="",N($X2385),IF(MATCH($T2386,$T$6:$T$10005,0)=ROW()-5,N($X2385)+1,N($X2385)))</f>
        <v>0</v>
      </c>
      <c r="Z2386" t="str">
        <f t="shared" si="379"/>
        <v/>
      </c>
      <c r="AA2386">
        <f>IF($V2386="",N($AA2385),IF(MATCH($V2386,$V$6:$V$10005,0)=ROW()-5,N($AA2385)+1,N($AA2385)))</f>
        <v>0</v>
      </c>
    </row>
    <row r="2387" spans="1:27" ht="21" customHeight="1" x14ac:dyDescent="0.95">
      <c r="A2387" s="56"/>
      <c r="B2387" s="57"/>
      <c r="C2387" s="57"/>
      <c r="D2387" s="57"/>
      <c r="E2387" s="56"/>
      <c r="F2387" s="57"/>
      <c r="G2387" s="57"/>
      <c r="H2387" s="56"/>
      <c r="I2387" s="56"/>
      <c r="J2387" s="58"/>
      <c r="K2387" s="58"/>
      <c r="L2387" s="13" t="str">
        <f t="shared" si="370"/>
        <v/>
      </c>
      <c r="M2387" s="13" t="str">
        <f t="shared" si="371"/>
        <v/>
      </c>
      <c r="Q2387" t="str">
        <f t="shared" si="372"/>
        <v/>
      </c>
      <c r="R2387" t="str">
        <f t="shared" si="373"/>
        <v/>
      </c>
      <c r="S2387" t="str">
        <f t="shared" si="374"/>
        <v/>
      </c>
      <c r="T2387" t="str">
        <f t="shared" si="375"/>
        <v/>
      </c>
      <c r="U2387" t="str">
        <f t="shared" si="376"/>
        <v/>
      </c>
      <c r="V2387" t="str">
        <f t="shared" si="377"/>
        <v/>
      </c>
      <c r="W2387" t="str">
        <f t="shared" si="378"/>
        <v/>
      </c>
      <c r="X2387">
        <f>IF($T2387="",N($X2386),IF(MATCH($T2387,$T$6:$T$10005,0)=ROW()-5,N($X2386)+1,N($X2386)))</f>
        <v>0</v>
      </c>
      <c r="Z2387" t="str">
        <f t="shared" si="379"/>
        <v/>
      </c>
      <c r="AA2387">
        <f>IF($V2387="",N($AA2386),IF(MATCH($V2387,$V$6:$V$10005,0)=ROW()-5,N($AA2386)+1,N($AA2386)))</f>
        <v>0</v>
      </c>
    </row>
    <row r="2388" spans="1:27" ht="21" customHeight="1" x14ac:dyDescent="0.95">
      <c r="A2388" s="56"/>
      <c r="B2388" s="57"/>
      <c r="C2388" s="57"/>
      <c r="D2388" s="57"/>
      <c r="E2388" s="56"/>
      <c r="F2388" s="57"/>
      <c r="G2388" s="57"/>
      <c r="H2388" s="56"/>
      <c r="I2388" s="56"/>
      <c r="J2388" s="58"/>
      <c r="K2388" s="58"/>
      <c r="L2388" s="13" t="str">
        <f t="shared" si="370"/>
        <v/>
      </c>
      <c r="M2388" s="13" t="str">
        <f t="shared" si="371"/>
        <v/>
      </c>
      <c r="Q2388" t="str">
        <f t="shared" si="372"/>
        <v/>
      </c>
      <c r="R2388" t="str">
        <f t="shared" si="373"/>
        <v/>
      </c>
      <c r="S2388" t="str">
        <f t="shared" si="374"/>
        <v/>
      </c>
      <c r="T2388" t="str">
        <f t="shared" si="375"/>
        <v/>
      </c>
      <c r="U2388" t="str">
        <f t="shared" si="376"/>
        <v/>
      </c>
      <c r="V2388" t="str">
        <f t="shared" si="377"/>
        <v/>
      </c>
      <c r="W2388" t="str">
        <f t="shared" si="378"/>
        <v/>
      </c>
      <c r="X2388">
        <f>IF($T2388="",N($X2387),IF(MATCH($T2388,$T$6:$T$10005,0)=ROW()-5,N($X2387)+1,N($X2387)))</f>
        <v>0</v>
      </c>
      <c r="Z2388" t="str">
        <f t="shared" si="379"/>
        <v/>
      </c>
      <c r="AA2388">
        <f>IF($V2388="",N($AA2387),IF(MATCH($V2388,$V$6:$V$10005,0)=ROW()-5,N($AA2387)+1,N($AA2387)))</f>
        <v>0</v>
      </c>
    </row>
    <row r="2389" spans="1:27" ht="21" customHeight="1" x14ac:dyDescent="0.95">
      <c r="A2389" s="56"/>
      <c r="B2389" s="57"/>
      <c r="C2389" s="57"/>
      <c r="D2389" s="57"/>
      <c r="E2389" s="56"/>
      <c r="F2389" s="57"/>
      <c r="G2389" s="57"/>
      <c r="H2389" s="56"/>
      <c r="I2389" s="56"/>
      <c r="J2389" s="58"/>
      <c r="K2389" s="58"/>
      <c r="L2389" s="13" t="str">
        <f t="shared" si="370"/>
        <v/>
      </c>
      <c r="M2389" s="13" t="str">
        <f t="shared" si="371"/>
        <v/>
      </c>
      <c r="Q2389" t="str">
        <f t="shared" si="372"/>
        <v/>
      </c>
      <c r="R2389" t="str">
        <f t="shared" si="373"/>
        <v/>
      </c>
      <c r="S2389" t="str">
        <f t="shared" si="374"/>
        <v/>
      </c>
      <c r="T2389" t="str">
        <f t="shared" si="375"/>
        <v/>
      </c>
      <c r="U2389" t="str">
        <f t="shared" si="376"/>
        <v/>
      </c>
      <c r="V2389" t="str">
        <f t="shared" si="377"/>
        <v/>
      </c>
      <c r="W2389" t="str">
        <f t="shared" si="378"/>
        <v/>
      </c>
      <c r="X2389">
        <f>IF($T2389="",N($X2388),IF(MATCH($T2389,$T$6:$T$10005,0)=ROW()-5,N($X2388)+1,N($X2388)))</f>
        <v>0</v>
      </c>
      <c r="Z2389" t="str">
        <f t="shared" si="379"/>
        <v/>
      </c>
      <c r="AA2389">
        <f>IF($V2389="",N($AA2388),IF(MATCH($V2389,$V$6:$V$10005,0)=ROW()-5,N($AA2388)+1,N($AA2388)))</f>
        <v>0</v>
      </c>
    </row>
    <row r="2390" spans="1:27" ht="21" customHeight="1" x14ac:dyDescent="0.95">
      <c r="A2390" s="56"/>
      <c r="B2390" s="57"/>
      <c r="C2390" s="57"/>
      <c r="D2390" s="57"/>
      <c r="E2390" s="56"/>
      <c r="F2390" s="57"/>
      <c r="G2390" s="57"/>
      <c r="H2390" s="56"/>
      <c r="I2390" s="56"/>
      <c r="J2390" s="58"/>
      <c r="K2390" s="58"/>
      <c r="L2390" s="13" t="str">
        <f t="shared" si="370"/>
        <v/>
      </c>
      <c r="M2390" s="13" t="str">
        <f t="shared" si="371"/>
        <v/>
      </c>
      <c r="Q2390" t="str">
        <f t="shared" si="372"/>
        <v/>
      </c>
      <c r="R2390" t="str">
        <f t="shared" si="373"/>
        <v/>
      </c>
      <c r="S2390" t="str">
        <f t="shared" si="374"/>
        <v/>
      </c>
      <c r="T2390" t="str">
        <f t="shared" si="375"/>
        <v/>
      </c>
      <c r="U2390" t="str">
        <f t="shared" si="376"/>
        <v/>
      </c>
      <c r="V2390" t="str">
        <f t="shared" si="377"/>
        <v/>
      </c>
      <c r="W2390" t="str">
        <f t="shared" si="378"/>
        <v/>
      </c>
      <c r="X2390">
        <f>IF($T2390="",N($X2389),IF(MATCH($T2390,$T$6:$T$10005,0)=ROW()-5,N($X2389)+1,N($X2389)))</f>
        <v>0</v>
      </c>
      <c r="Z2390" t="str">
        <f t="shared" si="379"/>
        <v/>
      </c>
      <c r="AA2390">
        <f>IF($V2390="",N($AA2389),IF(MATCH($V2390,$V$6:$V$10005,0)=ROW()-5,N($AA2389)+1,N($AA2389)))</f>
        <v>0</v>
      </c>
    </row>
    <row r="2391" spans="1:27" ht="21" customHeight="1" x14ac:dyDescent="0.95">
      <c r="A2391" s="56"/>
      <c r="B2391" s="57"/>
      <c r="C2391" s="57"/>
      <c r="D2391" s="57"/>
      <c r="E2391" s="56"/>
      <c r="F2391" s="57"/>
      <c r="G2391" s="57"/>
      <c r="H2391" s="56"/>
      <c r="I2391" s="56"/>
      <c r="J2391" s="58"/>
      <c r="K2391" s="58"/>
      <c r="L2391" s="13" t="str">
        <f t="shared" si="370"/>
        <v/>
      </c>
      <c r="M2391" s="13" t="str">
        <f t="shared" si="371"/>
        <v/>
      </c>
      <c r="Q2391" t="str">
        <f t="shared" si="372"/>
        <v/>
      </c>
      <c r="R2391" t="str">
        <f t="shared" si="373"/>
        <v/>
      </c>
      <c r="S2391" t="str">
        <f t="shared" si="374"/>
        <v/>
      </c>
      <c r="T2391" t="str">
        <f t="shared" si="375"/>
        <v/>
      </c>
      <c r="U2391" t="str">
        <f t="shared" si="376"/>
        <v/>
      </c>
      <c r="V2391" t="str">
        <f t="shared" si="377"/>
        <v/>
      </c>
      <c r="W2391" t="str">
        <f t="shared" si="378"/>
        <v/>
      </c>
      <c r="X2391">
        <f>IF($T2391="",N($X2390),IF(MATCH($T2391,$T$6:$T$10005,0)=ROW()-5,N($X2390)+1,N($X2390)))</f>
        <v>0</v>
      </c>
      <c r="Z2391" t="str">
        <f t="shared" si="379"/>
        <v/>
      </c>
      <c r="AA2391">
        <f>IF($V2391="",N($AA2390),IF(MATCH($V2391,$V$6:$V$10005,0)=ROW()-5,N($AA2390)+1,N($AA2390)))</f>
        <v>0</v>
      </c>
    </row>
    <row r="2392" spans="1:27" ht="21" customHeight="1" x14ac:dyDescent="0.95">
      <c r="A2392" s="56"/>
      <c r="B2392" s="57"/>
      <c r="C2392" s="57"/>
      <c r="D2392" s="57"/>
      <c r="E2392" s="56"/>
      <c r="F2392" s="57"/>
      <c r="G2392" s="57"/>
      <c r="H2392" s="56"/>
      <c r="I2392" s="56"/>
      <c r="J2392" s="58"/>
      <c r="K2392" s="58"/>
      <c r="L2392" s="13" t="str">
        <f t="shared" si="370"/>
        <v/>
      </c>
      <c r="M2392" s="13" t="str">
        <f t="shared" si="371"/>
        <v/>
      </c>
      <c r="Q2392" t="str">
        <f t="shared" si="372"/>
        <v/>
      </c>
      <c r="R2392" t="str">
        <f t="shared" si="373"/>
        <v/>
      </c>
      <c r="S2392" t="str">
        <f t="shared" si="374"/>
        <v/>
      </c>
      <c r="T2392" t="str">
        <f t="shared" si="375"/>
        <v/>
      </c>
      <c r="U2392" t="str">
        <f t="shared" si="376"/>
        <v/>
      </c>
      <c r="V2392" t="str">
        <f t="shared" si="377"/>
        <v/>
      </c>
      <c r="W2392" t="str">
        <f t="shared" si="378"/>
        <v/>
      </c>
      <c r="X2392">
        <f>IF($T2392="",N($X2391),IF(MATCH($T2392,$T$6:$T$10005,0)=ROW()-5,N($X2391)+1,N($X2391)))</f>
        <v>0</v>
      </c>
      <c r="Z2392" t="str">
        <f t="shared" si="379"/>
        <v/>
      </c>
      <c r="AA2392">
        <f>IF($V2392="",N($AA2391),IF(MATCH($V2392,$V$6:$V$10005,0)=ROW()-5,N($AA2391)+1,N($AA2391)))</f>
        <v>0</v>
      </c>
    </row>
    <row r="2393" spans="1:27" ht="21" customHeight="1" x14ac:dyDescent="0.95">
      <c r="A2393" s="56"/>
      <c r="B2393" s="57"/>
      <c r="C2393" s="57"/>
      <c r="D2393" s="57"/>
      <c r="E2393" s="56"/>
      <c r="F2393" s="57"/>
      <c r="G2393" s="57"/>
      <c r="H2393" s="56"/>
      <c r="I2393" s="56"/>
      <c r="J2393" s="58"/>
      <c r="K2393" s="58"/>
      <c r="L2393" s="13" t="str">
        <f t="shared" si="370"/>
        <v/>
      </c>
      <c r="M2393" s="13" t="str">
        <f t="shared" si="371"/>
        <v/>
      </c>
      <c r="Q2393" t="str">
        <f t="shared" si="372"/>
        <v/>
      </c>
      <c r="R2393" t="str">
        <f t="shared" si="373"/>
        <v/>
      </c>
      <c r="S2393" t="str">
        <f t="shared" si="374"/>
        <v/>
      </c>
      <c r="T2393" t="str">
        <f t="shared" si="375"/>
        <v/>
      </c>
      <c r="U2393" t="str">
        <f t="shared" si="376"/>
        <v/>
      </c>
      <c r="V2393" t="str">
        <f t="shared" si="377"/>
        <v/>
      </c>
      <c r="W2393" t="str">
        <f t="shared" si="378"/>
        <v/>
      </c>
      <c r="X2393">
        <f>IF($T2393="",N($X2392),IF(MATCH($T2393,$T$6:$T$10005,0)=ROW()-5,N($X2392)+1,N($X2392)))</f>
        <v>0</v>
      </c>
      <c r="Z2393" t="str">
        <f t="shared" si="379"/>
        <v/>
      </c>
      <c r="AA2393">
        <f>IF($V2393="",N($AA2392),IF(MATCH($V2393,$V$6:$V$10005,0)=ROW()-5,N($AA2392)+1,N($AA2392)))</f>
        <v>0</v>
      </c>
    </row>
    <row r="2394" spans="1:27" ht="21" customHeight="1" x14ac:dyDescent="0.95">
      <c r="A2394" s="56"/>
      <c r="B2394" s="57"/>
      <c r="C2394" s="57"/>
      <c r="D2394" s="57"/>
      <c r="E2394" s="56"/>
      <c r="F2394" s="57"/>
      <c r="G2394" s="57"/>
      <c r="H2394" s="56"/>
      <c r="I2394" s="56"/>
      <c r="J2394" s="58"/>
      <c r="K2394" s="58"/>
      <c r="L2394" s="13" t="str">
        <f t="shared" si="370"/>
        <v/>
      </c>
      <c r="M2394" s="13" t="str">
        <f t="shared" si="371"/>
        <v/>
      </c>
      <c r="Q2394" t="str">
        <f t="shared" si="372"/>
        <v/>
      </c>
      <c r="R2394" t="str">
        <f t="shared" si="373"/>
        <v/>
      </c>
      <c r="S2394" t="str">
        <f t="shared" si="374"/>
        <v/>
      </c>
      <c r="T2394" t="str">
        <f t="shared" si="375"/>
        <v/>
      </c>
      <c r="U2394" t="str">
        <f t="shared" si="376"/>
        <v/>
      </c>
      <c r="V2394" t="str">
        <f t="shared" si="377"/>
        <v/>
      </c>
      <c r="W2394" t="str">
        <f t="shared" si="378"/>
        <v/>
      </c>
      <c r="X2394">
        <f>IF($T2394="",N($X2393),IF(MATCH($T2394,$T$6:$T$10005,0)=ROW()-5,N($X2393)+1,N($X2393)))</f>
        <v>0</v>
      </c>
      <c r="Z2394" t="str">
        <f t="shared" si="379"/>
        <v/>
      </c>
      <c r="AA2394">
        <f>IF($V2394="",N($AA2393),IF(MATCH($V2394,$V$6:$V$10005,0)=ROW()-5,N($AA2393)+1,N($AA2393)))</f>
        <v>0</v>
      </c>
    </row>
    <row r="2395" spans="1:27" ht="21" customHeight="1" x14ac:dyDescent="0.95">
      <c r="A2395" s="56"/>
      <c r="B2395" s="57"/>
      <c r="C2395" s="57"/>
      <c r="D2395" s="57"/>
      <c r="E2395" s="56"/>
      <c r="F2395" s="57"/>
      <c r="G2395" s="57"/>
      <c r="H2395" s="56"/>
      <c r="I2395" s="56"/>
      <c r="J2395" s="58"/>
      <c r="K2395" s="58"/>
      <c r="L2395" s="13" t="str">
        <f t="shared" si="370"/>
        <v/>
      </c>
      <c r="M2395" s="13" t="str">
        <f t="shared" si="371"/>
        <v/>
      </c>
      <c r="Q2395" t="str">
        <f t="shared" si="372"/>
        <v/>
      </c>
      <c r="R2395" t="str">
        <f t="shared" si="373"/>
        <v/>
      </c>
      <c r="S2395" t="str">
        <f t="shared" si="374"/>
        <v/>
      </c>
      <c r="T2395" t="str">
        <f t="shared" si="375"/>
        <v/>
      </c>
      <c r="U2395" t="str">
        <f t="shared" si="376"/>
        <v/>
      </c>
      <c r="V2395" t="str">
        <f t="shared" si="377"/>
        <v/>
      </c>
      <c r="W2395" t="str">
        <f t="shared" si="378"/>
        <v/>
      </c>
      <c r="X2395">
        <f>IF($T2395="",N($X2394),IF(MATCH($T2395,$T$6:$T$10005,0)=ROW()-5,N($X2394)+1,N($X2394)))</f>
        <v>0</v>
      </c>
      <c r="Z2395" t="str">
        <f t="shared" si="379"/>
        <v/>
      </c>
      <c r="AA2395">
        <f>IF($V2395="",N($AA2394),IF(MATCH($V2395,$V$6:$V$10005,0)=ROW()-5,N($AA2394)+1,N($AA2394)))</f>
        <v>0</v>
      </c>
    </row>
    <row r="2396" spans="1:27" ht="21" customHeight="1" x14ac:dyDescent="0.95">
      <c r="A2396" s="56"/>
      <c r="B2396" s="57"/>
      <c r="C2396" s="57"/>
      <c r="D2396" s="57"/>
      <c r="E2396" s="56"/>
      <c r="F2396" s="57"/>
      <c r="G2396" s="57"/>
      <c r="H2396" s="56"/>
      <c r="I2396" s="56"/>
      <c r="J2396" s="58"/>
      <c r="K2396" s="58"/>
      <c r="L2396" s="13" t="str">
        <f t="shared" si="370"/>
        <v/>
      </c>
      <c r="M2396" s="13" t="str">
        <f t="shared" si="371"/>
        <v/>
      </c>
      <c r="Q2396" t="str">
        <f t="shared" si="372"/>
        <v/>
      </c>
      <c r="R2396" t="str">
        <f t="shared" si="373"/>
        <v/>
      </c>
      <c r="S2396" t="str">
        <f t="shared" si="374"/>
        <v/>
      </c>
      <c r="T2396" t="str">
        <f t="shared" si="375"/>
        <v/>
      </c>
      <c r="U2396" t="str">
        <f t="shared" si="376"/>
        <v/>
      </c>
      <c r="V2396" t="str">
        <f t="shared" si="377"/>
        <v/>
      </c>
      <c r="W2396" t="str">
        <f t="shared" si="378"/>
        <v/>
      </c>
      <c r="X2396">
        <f>IF($T2396="",N($X2395),IF(MATCH($T2396,$T$6:$T$10005,0)=ROW()-5,N($X2395)+1,N($X2395)))</f>
        <v>0</v>
      </c>
      <c r="Z2396" t="str">
        <f t="shared" si="379"/>
        <v/>
      </c>
      <c r="AA2396">
        <f>IF($V2396="",N($AA2395),IF(MATCH($V2396,$V$6:$V$10005,0)=ROW()-5,N($AA2395)+1,N($AA2395)))</f>
        <v>0</v>
      </c>
    </row>
    <row r="2397" spans="1:27" ht="21" customHeight="1" x14ac:dyDescent="0.95">
      <c r="A2397" s="56"/>
      <c r="B2397" s="57"/>
      <c r="C2397" s="57"/>
      <c r="D2397" s="57"/>
      <c r="E2397" s="56"/>
      <c r="F2397" s="57"/>
      <c r="G2397" s="57"/>
      <c r="H2397" s="56"/>
      <c r="I2397" s="56"/>
      <c r="J2397" s="58"/>
      <c r="K2397" s="58"/>
      <c r="L2397" s="13" t="str">
        <f t="shared" si="370"/>
        <v/>
      </c>
      <c r="M2397" s="13" t="str">
        <f t="shared" si="371"/>
        <v/>
      </c>
      <c r="Q2397" t="str">
        <f t="shared" si="372"/>
        <v/>
      </c>
      <c r="R2397" t="str">
        <f t="shared" si="373"/>
        <v/>
      </c>
      <c r="S2397" t="str">
        <f t="shared" si="374"/>
        <v/>
      </c>
      <c r="T2397" t="str">
        <f t="shared" si="375"/>
        <v/>
      </c>
      <c r="U2397" t="str">
        <f t="shared" si="376"/>
        <v/>
      </c>
      <c r="V2397" t="str">
        <f t="shared" si="377"/>
        <v/>
      </c>
      <c r="W2397" t="str">
        <f t="shared" si="378"/>
        <v/>
      </c>
      <c r="X2397">
        <f>IF($T2397="",N($X2396),IF(MATCH($T2397,$T$6:$T$10005,0)=ROW()-5,N($X2396)+1,N($X2396)))</f>
        <v>0</v>
      </c>
      <c r="Z2397" t="str">
        <f t="shared" si="379"/>
        <v/>
      </c>
      <c r="AA2397">
        <f>IF($V2397="",N($AA2396),IF(MATCH($V2397,$V$6:$V$10005,0)=ROW()-5,N($AA2396)+1,N($AA2396)))</f>
        <v>0</v>
      </c>
    </row>
    <row r="2398" spans="1:27" ht="21" customHeight="1" x14ac:dyDescent="0.95">
      <c r="A2398" s="56"/>
      <c r="B2398" s="57"/>
      <c r="C2398" s="57"/>
      <c r="D2398" s="57"/>
      <c r="E2398" s="56"/>
      <c r="F2398" s="57"/>
      <c r="G2398" s="57"/>
      <c r="H2398" s="56"/>
      <c r="I2398" s="56"/>
      <c r="J2398" s="58"/>
      <c r="K2398" s="58"/>
      <c r="L2398" s="13" t="str">
        <f t="shared" si="370"/>
        <v/>
      </c>
      <c r="M2398" s="13" t="str">
        <f t="shared" si="371"/>
        <v/>
      </c>
      <c r="Q2398" t="str">
        <f t="shared" si="372"/>
        <v/>
      </c>
      <c r="R2398" t="str">
        <f t="shared" si="373"/>
        <v/>
      </c>
      <c r="S2398" t="str">
        <f t="shared" si="374"/>
        <v/>
      </c>
      <c r="T2398" t="str">
        <f t="shared" si="375"/>
        <v/>
      </c>
      <c r="U2398" t="str">
        <f t="shared" si="376"/>
        <v/>
      </c>
      <c r="V2398" t="str">
        <f t="shared" si="377"/>
        <v/>
      </c>
      <c r="W2398" t="str">
        <f t="shared" si="378"/>
        <v/>
      </c>
      <c r="X2398">
        <f>IF($T2398="",N($X2397),IF(MATCH($T2398,$T$6:$T$10005,0)=ROW()-5,N($X2397)+1,N($X2397)))</f>
        <v>0</v>
      </c>
      <c r="Z2398" t="str">
        <f t="shared" si="379"/>
        <v/>
      </c>
      <c r="AA2398">
        <f>IF($V2398="",N($AA2397),IF(MATCH($V2398,$V$6:$V$10005,0)=ROW()-5,N($AA2397)+1,N($AA2397)))</f>
        <v>0</v>
      </c>
    </row>
    <row r="2399" spans="1:27" ht="21" customHeight="1" x14ac:dyDescent="0.95">
      <c r="A2399" s="56"/>
      <c r="B2399" s="57"/>
      <c r="C2399" s="57"/>
      <c r="D2399" s="57"/>
      <c r="E2399" s="56"/>
      <c r="F2399" s="57"/>
      <c r="G2399" s="57"/>
      <c r="H2399" s="56"/>
      <c r="I2399" s="56"/>
      <c r="J2399" s="58"/>
      <c r="K2399" s="58"/>
      <c r="L2399" s="13" t="str">
        <f t="shared" si="370"/>
        <v/>
      </c>
      <c r="M2399" s="13" t="str">
        <f t="shared" si="371"/>
        <v/>
      </c>
      <c r="Q2399" t="str">
        <f t="shared" si="372"/>
        <v/>
      </c>
      <c r="R2399" t="str">
        <f t="shared" si="373"/>
        <v/>
      </c>
      <c r="S2399" t="str">
        <f t="shared" si="374"/>
        <v/>
      </c>
      <c r="T2399" t="str">
        <f t="shared" si="375"/>
        <v/>
      </c>
      <c r="U2399" t="str">
        <f t="shared" si="376"/>
        <v/>
      </c>
      <c r="V2399" t="str">
        <f t="shared" si="377"/>
        <v/>
      </c>
      <c r="W2399" t="str">
        <f t="shared" si="378"/>
        <v/>
      </c>
      <c r="X2399">
        <f>IF($T2399="",N($X2398),IF(MATCH($T2399,$T$6:$T$10005,0)=ROW()-5,N($X2398)+1,N($X2398)))</f>
        <v>0</v>
      </c>
      <c r="Z2399" t="str">
        <f t="shared" si="379"/>
        <v/>
      </c>
      <c r="AA2399">
        <f>IF($V2399="",N($AA2398),IF(MATCH($V2399,$V$6:$V$10005,0)=ROW()-5,N($AA2398)+1,N($AA2398)))</f>
        <v>0</v>
      </c>
    </row>
    <row r="2400" spans="1:27" ht="21" customHeight="1" x14ac:dyDescent="0.95">
      <c r="A2400" s="56"/>
      <c r="B2400" s="57"/>
      <c r="C2400" s="57"/>
      <c r="D2400" s="57"/>
      <c r="E2400" s="56"/>
      <c r="F2400" s="57"/>
      <c r="G2400" s="57"/>
      <c r="H2400" s="56"/>
      <c r="I2400" s="56"/>
      <c r="J2400" s="58"/>
      <c r="K2400" s="58"/>
      <c r="L2400" s="13" t="str">
        <f t="shared" si="370"/>
        <v/>
      </c>
      <c r="M2400" s="13" t="str">
        <f t="shared" si="371"/>
        <v/>
      </c>
      <c r="Q2400" t="str">
        <f t="shared" si="372"/>
        <v/>
      </c>
      <c r="R2400" t="str">
        <f t="shared" si="373"/>
        <v/>
      </c>
      <c r="S2400" t="str">
        <f t="shared" si="374"/>
        <v/>
      </c>
      <c r="T2400" t="str">
        <f t="shared" si="375"/>
        <v/>
      </c>
      <c r="U2400" t="str">
        <f t="shared" si="376"/>
        <v/>
      </c>
      <c r="V2400" t="str">
        <f t="shared" si="377"/>
        <v/>
      </c>
      <c r="W2400" t="str">
        <f t="shared" si="378"/>
        <v/>
      </c>
      <c r="X2400">
        <f>IF($T2400="",N($X2399),IF(MATCH($T2400,$T$6:$T$10005,0)=ROW()-5,N($X2399)+1,N($X2399)))</f>
        <v>0</v>
      </c>
      <c r="Z2400" t="str">
        <f t="shared" si="379"/>
        <v/>
      </c>
      <c r="AA2400">
        <f>IF($V2400="",N($AA2399),IF(MATCH($V2400,$V$6:$V$10005,0)=ROW()-5,N($AA2399)+1,N($AA2399)))</f>
        <v>0</v>
      </c>
    </row>
    <row r="2401" spans="1:27" ht="21" customHeight="1" x14ac:dyDescent="0.95">
      <c r="A2401" s="56"/>
      <c r="B2401" s="57"/>
      <c r="C2401" s="57"/>
      <c r="D2401" s="57"/>
      <c r="E2401" s="56"/>
      <c r="F2401" s="57"/>
      <c r="G2401" s="57"/>
      <c r="H2401" s="56"/>
      <c r="I2401" s="56"/>
      <c r="J2401" s="58"/>
      <c r="K2401" s="58"/>
      <c r="L2401" s="13" t="str">
        <f t="shared" si="370"/>
        <v/>
      </c>
      <c r="M2401" s="13" t="str">
        <f t="shared" si="371"/>
        <v/>
      </c>
      <c r="Q2401" t="str">
        <f t="shared" si="372"/>
        <v/>
      </c>
      <c r="R2401" t="str">
        <f t="shared" si="373"/>
        <v/>
      </c>
      <c r="S2401" t="str">
        <f t="shared" si="374"/>
        <v/>
      </c>
      <c r="T2401" t="str">
        <f t="shared" si="375"/>
        <v/>
      </c>
      <c r="U2401" t="str">
        <f t="shared" si="376"/>
        <v/>
      </c>
      <c r="V2401" t="str">
        <f t="shared" si="377"/>
        <v/>
      </c>
      <c r="W2401" t="str">
        <f t="shared" si="378"/>
        <v/>
      </c>
      <c r="X2401">
        <f>IF($T2401="",N($X2400),IF(MATCH($T2401,$T$6:$T$10005,0)=ROW()-5,N($X2400)+1,N($X2400)))</f>
        <v>0</v>
      </c>
      <c r="Z2401" t="str">
        <f t="shared" si="379"/>
        <v/>
      </c>
      <c r="AA2401">
        <f>IF($V2401="",N($AA2400),IF(MATCH($V2401,$V$6:$V$10005,0)=ROW()-5,N($AA2400)+1,N($AA2400)))</f>
        <v>0</v>
      </c>
    </row>
    <row r="2402" spans="1:27" ht="21" customHeight="1" x14ac:dyDescent="0.95">
      <c r="A2402" s="56"/>
      <c r="B2402" s="57"/>
      <c r="C2402" s="57"/>
      <c r="D2402" s="57"/>
      <c r="E2402" s="56"/>
      <c r="F2402" s="57"/>
      <c r="G2402" s="57"/>
      <c r="H2402" s="56"/>
      <c r="I2402" s="56"/>
      <c r="J2402" s="58"/>
      <c r="K2402" s="58"/>
      <c r="L2402" s="13" t="str">
        <f t="shared" si="370"/>
        <v/>
      </c>
      <c r="M2402" s="13" t="str">
        <f t="shared" si="371"/>
        <v/>
      </c>
      <c r="Q2402" t="str">
        <f t="shared" si="372"/>
        <v/>
      </c>
      <c r="R2402" t="str">
        <f t="shared" si="373"/>
        <v/>
      </c>
      <c r="S2402" t="str">
        <f t="shared" si="374"/>
        <v/>
      </c>
      <c r="T2402" t="str">
        <f t="shared" si="375"/>
        <v/>
      </c>
      <c r="U2402" t="str">
        <f t="shared" si="376"/>
        <v/>
      </c>
      <c r="V2402" t="str">
        <f t="shared" si="377"/>
        <v/>
      </c>
      <c r="W2402" t="str">
        <f t="shared" si="378"/>
        <v/>
      </c>
      <c r="X2402">
        <f>IF($T2402="",N($X2401),IF(MATCH($T2402,$T$6:$T$10005,0)=ROW()-5,N($X2401)+1,N($X2401)))</f>
        <v>0</v>
      </c>
      <c r="Z2402" t="str">
        <f t="shared" si="379"/>
        <v/>
      </c>
      <c r="AA2402">
        <f>IF($V2402="",N($AA2401),IF(MATCH($V2402,$V$6:$V$10005,0)=ROW()-5,N($AA2401)+1,N($AA2401)))</f>
        <v>0</v>
      </c>
    </row>
    <row r="2403" spans="1:27" ht="21" customHeight="1" x14ac:dyDescent="0.95">
      <c r="A2403" s="56"/>
      <c r="B2403" s="57"/>
      <c r="C2403" s="57"/>
      <c r="D2403" s="57"/>
      <c r="E2403" s="56"/>
      <c r="F2403" s="57"/>
      <c r="G2403" s="57"/>
      <c r="H2403" s="56"/>
      <c r="I2403" s="56"/>
      <c r="J2403" s="58"/>
      <c r="K2403" s="58"/>
      <c r="L2403" s="13" t="str">
        <f t="shared" si="370"/>
        <v/>
      </c>
      <c r="M2403" s="13" t="str">
        <f t="shared" si="371"/>
        <v/>
      </c>
      <c r="Q2403" t="str">
        <f t="shared" si="372"/>
        <v/>
      </c>
      <c r="R2403" t="str">
        <f t="shared" si="373"/>
        <v/>
      </c>
      <c r="S2403" t="str">
        <f t="shared" si="374"/>
        <v/>
      </c>
      <c r="T2403" t="str">
        <f t="shared" si="375"/>
        <v/>
      </c>
      <c r="U2403" t="str">
        <f t="shared" si="376"/>
        <v/>
      </c>
      <c r="V2403" t="str">
        <f t="shared" si="377"/>
        <v/>
      </c>
      <c r="W2403" t="str">
        <f t="shared" si="378"/>
        <v/>
      </c>
      <c r="X2403">
        <f>IF($T2403="",N($X2402),IF(MATCH($T2403,$T$6:$T$10005,0)=ROW()-5,N($X2402)+1,N($X2402)))</f>
        <v>0</v>
      </c>
      <c r="Z2403" t="str">
        <f t="shared" si="379"/>
        <v/>
      </c>
      <c r="AA2403">
        <f>IF($V2403="",N($AA2402),IF(MATCH($V2403,$V$6:$V$10005,0)=ROW()-5,N($AA2402)+1,N($AA2402)))</f>
        <v>0</v>
      </c>
    </row>
    <row r="2404" spans="1:27" ht="21" customHeight="1" x14ac:dyDescent="0.95">
      <c r="A2404" s="56"/>
      <c r="B2404" s="57"/>
      <c r="C2404" s="57"/>
      <c r="D2404" s="57"/>
      <c r="E2404" s="56"/>
      <c r="F2404" s="57"/>
      <c r="G2404" s="57"/>
      <c r="H2404" s="56"/>
      <c r="I2404" s="56"/>
      <c r="J2404" s="58"/>
      <c r="K2404" s="58"/>
      <c r="L2404" s="13" t="str">
        <f t="shared" si="370"/>
        <v/>
      </c>
      <c r="M2404" s="13" t="str">
        <f t="shared" si="371"/>
        <v/>
      </c>
      <c r="Q2404" t="str">
        <f t="shared" si="372"/>
        <v/>
      </c>
      <c r="R2404" t="str">
        <f t="shared" si="373"/>
        <v/>
      </c>
      <c r="S2404" t="str">
        <f t="shared" si="374"/>
        <v/>
      </c>
      <c r="T2404" t="str">
        <f t="shared" si="375"/>
        <v/>
      </c>
      <c r="U2404" t="str">
        <f t="shared" si="376"/>
        <v/>
      </c>
      <c r="V2404" t="str">
        <f t="shared" si="377"/>
        <v/>
      </c>
      <c r="W2404" t="str">
        <f t="shared" si="378"/>
        <v/>
      </c>
      <c r="X2404">
        <f>IF($T2404="",N($X2403),IF(MATCH($T2404,$T$6:$T$10005,0)=ROW()-5,N($X2403)+1,N($X2403)))</f>
        <v>0</v>
      </c>
      <c r="Z2404" t="str">
        <f t="shared" si="379"/>
        <v/>
      </c>
      <c r="AA2404">
        <f>IF($V2404="",N($AA2403),IF(MATCH($V2404,$V$6:$V$10005,0)=ROW()-5,N($AA2403)+1,N($AA2403)))</f>
        <v>0</v>
      </c>
    </row>
    <row r="2405" spans="1:27" ht="21" customHeight="1" x14ac:dyDescent="0.95">
      <c r="A2405" s="56"/>
      <c r="B2405" s="57"/>
      <c r="C2405" s="57"/>
      <c r="D2405" s="57"/>
      <c r="E2405" s="56"/>
      <c r="F2405" s="57"/>
      <c r="G2405" s="57"/>
      <c r="H2405" s="56"/>
      <c r="I2405" s="56"/>
      <c r="J2405" s="58"/>
      <c r="K2405" s="58"/>
      <c r="L2405" s="13" t="str">
        <f t="shared" si="370"/>
        <v/>
      </c>
      <c r="M2405" s="13" t="str">
        <f t="shared" si="371"/>
        <v/>
      </c>
      <c r="Q2405" t="str">
        <f t="shared" si="372"/>
        <v/>
      </c>
      <c r="R2405" t="str">
        <f t="shared" si="373"/>
        <v/>
      </c>
      <c r="S2405" t="str">
        <f t="shared" si="374"/>
        <v/>
      </c>
      <c r="T2405" t="str">
        <f t="shared" si="375"/>
        <v/>
      </c>
      <c r="U2405" t="str">
        <f t="shared" si="376"/>
        <v/>
      </c>
      <c r="V2405" t="str">
        <f t="shared" si="377"/>
        <v/>
      </c>
      <c r="W2405" t="str">
        <f t="shared" si="378"/>
        <v/>
      </c>
      <c r="X2405">
        <f>IF($T2405="",N($X2404),IF(MATCH($T2405,$T$6:$T$10005,0)=ROW()-5,N($X2404)+1,N($X2404)))</f>
        <v>0</v>
      </c>
      <c r="Z2405" t="str">
        <f t="shared" si="379"/>
        <v/>
      </c>
      <c r="AA2405">
        <f>IF($V2405="",N($AA2404),IF(MATCH($V2405,$V$6:$V$10005,0)=ROW()-5,N($AA2404)+1,N($AA2404)))</f>
        <v>0</v>
      </c>
    </row>
    <row r="2406" spans="1:27" ht="21" customHeight="1" x14ac:dyDescent="0.95">
      <c r="A2406" s="56"/>
      <c r="B2406" s="57"/>
      <c r="C2406" s="57"/>
      <c r="D2406" s="57"/>
      <c r="E2406" s="56"/>
      <c r="F2406" s="57"/>
      <c r="G2406" s="57"/>
      <c r="H2406" s="56"/>
      <c r="I2406" s="56"/>
      <c r="J2406" s="58"/>
      <c r="K2406" s="58"/>
      <c r="L2406" s="13" t="str">
        <f t="shared" si="370"/>
        <v/>
      </c>
      <c r="M2406" s="13" t="str">
        <f t="shared" si="371"/>
        <v/>
      </c>
      <c r="Q2406" t="str">
        <f t="shared" si="372"/>
        <v/>
      </c>
      <c r="R2406" t="str">
        <f t="shared" si="373"/>
        <v/>
      </c>
      <c r="S2406" t="str">
        <f t="shared" si="374"/>
        <v/>
      </c>
      <c r="T2406" t="str">
        <f t="shared" si="375"/>
        <v/>
      </c>
      <c r="U2406" t="str">
        <f t="shared" si="376"/>
        <v/>
      </c>
      <c r="V2406" t="str">
        <f t="shared" si="377"/>
        <v/>
      </c>
      <c r="W2406" t="str">
        <f t="shared" si="378"/>
        <v/>
      </c>
      <c r="X2406">
        <f>IF($T2406="",N($X2405),IF(MATCH($T2406,$T$6:$T$10005,0)=ROW()-5,N($X2405)+1,N($X2405)))</f>
        <v>0</v>
      </c>
      <c r="Z2406" t="str">
        <f t="shared" si="379"/>
        <v/>
      </c>
      <c r="AA2406">
        <f>IF($V2406="",N($AA2405),IF(MATCH($V2406,$V$6:$V$10005,0)=ROW()-5,N($AA2405)+1,N($AA2405)))</f>
        <v>0</v>
      </c>
    </row>
    <row r="2407" spans="1:27" ht="21" customHeight="1" x14ac:dyDescent="0.95">
      <c r="A2407" s="56"/>
      <c r="B2407" s="57"/>
      <c r="C2407" s="57"/>
      <c r="D2407" s="57"/>
      <c r="E2407" s="56"/>
      <c r="F2407" s="57"/>
      <c r="G2407" s="57"/>
      <c r="H2407" s="56"/>
      <c r="I2407" s="56"/>
      <c r="J2407" s="58"/>
      <c r="K2407" s="58"/>
      <c r="L2407" s="13" t="str">
        <f t="shared" si="370"/>
        <v/>
      </c>
      <c r="M2407" s="13" t="str">
        <f t="shared" si="371"/>
        <v/>
      </c>
      <c r="Q2407" t="str">
        <f t="shared" si="372"/>
        <v/>
      </c>
      <c r="R2407" t="str">
        <f t="shared" si="373"/>
        <v/>
      </c>
      <c r="S2407" t="str">
        <f t="shared" si="374"/>
        <v/>
      </c>
      <c r="T2407" t="str">
        <f t="shared" si="375"/>
        <v/>
      </c>
      <c r="U2407" t="str">
        <f t="shared" si="376"/>
        <v/>
      </c>
      <c r="V2407" t="str">
        <f t="shared" si="377"/>
        <v/>
      </c>
      <c r="W2407" t="str">
        <f t="shared" si="378"/>
        <v/>
      </c>
      <c r="X2407">
        <f>IF($T2407="",N($X2406),IF(MATCH($T2407,$T$6:$T$10005,0)=ROW()-5,N($X2406)+1,N($X2406)))</f>
        <v>0</v>
      </c>
      <c r="Z2407" t="str">
        <f t="shared" si="379"/>
        <v/>
      </c>
      <c r="AA2407">
        <f>IF($V2407="",N($AA2406),IF(MATCH($V2407,$V$6:$V$10005,0)=ROW()-5,N($AA2406)+1,N($AA2406)))</f>
        <v>0</v>
      </c>
    </row>
    <row r="2408" spans="1:27" ht="21" customHeight="1" x14ac:dyDescent="0.95">
      <c r="A2408" s="56"/>
      <c r="B2408" s="57"/>
      <c r="C2408" s="57"/>
      <c r="D2408" s="57"/>
      <c r="E2408" s="56"/>
      <c r="F2408" s="57"/>
      <c r="G2408" s="57"/>
      <c r="H2408" s="56"/>
      <c r="I2408" s="56"/>
      <c r="J2408" s="58"/>
      <c r="K2408" s="58"/>
      <c r="L2408" s="13" t="str">
        <f t="shared" si="370"/>
        <v/>
      </c>
      <c r="M2408" s="13" t="str">
        <f t="shared" si="371"/>
        <v/>
      </c>
      <c r="Q2408" t="str">
        <f t="shared" si="372"/>
        <v/>
      </c>
      <c r="R2408" t="str">
        <f t="shared" si="373"/>
        <v/>
      </c>
      <c r="S2408" t="str">
        <f t="shared" si="374"/>
        <v/>
      </c>
      <c r="T2408" t="str">
        <f t="shared" si="375"/>
        <v/>
      </c>
      <c r="U2408" t="str">
        <f t="shared" si="376"/>
        <v/>
      </c>
      <c r="V2408" t="str">
        <f t="shared" si="377"/>
        <v/>
      </c>
      <c r="W2408" t="str">
        <f t="shared" si="378"/>
        <v/>
      </c>
      <c r="X2408">
        <f>IF($T2408="",N($X2407),IF(MATCH($T2408,$T$6:$T$10005,0)=ROW()-5,N($X2407)+1,N($X2407)))</f>
        <v>0</v>
      </c>
      <c r="Z2408" t="str">
        <f t="shared" si="379"/>
        <v/>
      </c>
      <c r="AA2408">
        <f>IF($V2408="",N($AA2407),IF(MATCH($V2408,$V$6:$V$10005,0)=ROW()-5,N($AA2407)+1,N($AA2407)))</f>
        <v>0</v>
      </c>
    </row>
    <row r="2409" spans="1:27" ht="21" customHeight="1" x14ac:dyDescent="0.95">
      <c r="A2409" s="56"/>
      <c r="B2409" s="57"/>
      <c r="C2409" s="57"/>
      <c r="D2409" s="57"/>
      <c r="E2409" s="56"/>
      <c r="F2409" s="57"/>
      <c r="G2409" s="57"/>
      <c r="H2409" s="56"/>
      <c r="I2409" s="56"/>
      <c r="J2409" s="58"/>
      <c r="K2409" s="58"/>
      <c r="L2409" s="13" t="str">
        <f t="shared" si="370"/>
        <v/>
      </c>
      <c r="M2409" s="13" t="str">
        <f t="shared" si="371"/>
        <v/>
      </c>
      <c r="Q2409" t="str">
        <f t="shared" si="372"/>
        <v/>
      </c>
      <c r="R2409" t="str">
        <f t="shared" si="373"/>
        <v/>
      </c>
      <c r="S2409" t="str">
        <f t="shared" si="374"/>
        <v/>
      </c>
      <c r="T2409" t="str">
        <f t="shared" si="375"/>
        <v/>
      </c>
      <c r="U2409" t="str">
        <f t="shared" si="376"/>
        <v/>
      </c>
      <c r="V2409" t="str">
        <f t="shared" si="377"/>
        <v/>
      </c>
      <c r="W2409" t="str">
        <f t="shared" si="378"/>
        <v/>
      </c>
      <c r="X2409">
        <f>IF($T2409="",N($X2408),IF(MATCH($T2409,$T$6:$T$10005,0)=ROW()-5,N($X2408)+1,N($X2408)))</f>
        <v>0</v>
      </c>
      <c r="Z2409" t="str">
        <f t="shared" si="379"/>
        <v/>
      </c>
      <c r="AA2409">
        <f>IF($V2409="",N($AA2408),IF(MATCH($V2409,$V$6:$V$10005,0)=ROW()-5,N($AA2408)+1,N($AA2408)))</f>
        <v>0</v>
      </c>
    </row>
    <row r="2410" spans="1:27" ht="21" customHeight="1" x14ac:dyDescent="0.95">
      <c r="A2410" s="56"/>
      <c r="B2410" s="57"/>
      <c r="C2410" s="57"/>
      <c r="D2410" s="57"/>
      <c r="E2410" s="56"/>
      <c r="F2410" s="57"/>
      <c r="G2410" s="57"/>
      <c r="H2410" s="56"/>
      <c r="I2410" s="56"/>
      <c r="J2410" s="58"/>
      <c r="K2410" s="58"/>
      <c r="L2410" s="13" t="str">
        <f t="shared" si="370"/>
        <v/>
      </c>
      <c r="M2410" s="13" t="str">
        <f t="shared" si="371"/>
        <v/>
      </c>
      <c r="Q2410" t="str">
        <f t="shared" si="372"/>
        <v/>
      </c>
      <c r="R2410" t="str">
        <f t="shared" si="373"/>
        <v/>
      </c>
      <c r="S2410" t="str">
        <f t="shared" si="374"/>
        <v/>
      </c>
      <c r="T2410" t="str">
        <f t="shared" si="375"/>
        <v/>
      </c>
      <c r="U2410" t="str">
        <f t="shared" si="376"/>
        <v/>
      </c>
      <c r="V2410" t="str">
        <f t="shared" si="377"/>
        <v/>
      </c>
      <c r="W2410" t="str">
        <f t="shared" si="378"/>
        <v/>
      </c>
      <c r="X2410">
        <f>IF($T2410="",N($X2409),IF(MATCH($T2410,$T$6:$T$10005,0)=ROW()-5,N($X2409)+1,N($X2409)))</f>
        <v>0</v>
      </c>
      <c r="Z2410" t="str">
        <f t="shared" si="379"/>
        <v/>
      </c>
      <c r="AA2410">
        <f>IF($V2410="",N($AA2409),IF(MATCH($V2410,$V$6:$V$10005,0)=ROW()-5,N($AA2409)+1,N($AA2409)))</f>
        <v>0</v>
      </c>
    </row>
    <row r="2411" spans="1:27" ht="21" customHeight="1" x14ac:dyDescent="0.95">
      <c r="A2411" s="56"/>
      <c r="B2411" s="57"/>
      <c r="C2411" s="57"/>
      <c r="D2411" s="57"/>
      <c r="E2411" s="56"/>
      <c r="F2411" s="57"/>
      <c r="G2411" s="57"/>
      <c r="H2411" s="56"/>
      <c r="I2411" s="56"/>
      <c r="J2411" s="58"/>
      <c r="K2411" s="58"/>
      <c r="L2411" s="13" t="str">
        <f t="shared" si="370"/>
        <v/>
      </c>
      <c r="M2411" s="13" t="str">
        <f t="shared" si="371"/>
        <v/>
      </c>
      <c r="Q2411" t="str">
        <f t="shared" si="372"/>
        <v/>
      </c>
      <c r="R2411" t="str">
        <f t="shared" si="373"/>
        <v/>
      </c>
      <c r="S2411" t="str">
        <f t="shared" si="374"/>
        <v/>
      </c>
      <c r="T2411" t="str">
        <f t="shared" si="375"/>
        <v/>
      </c>
      <c r="U2411" t="str">
        <f t="shared" si="376"/>
        <v/>
      </c>
      <c r="V2411" t="str">
        <f t="shared" si="377"/>
        <v/>
      </c>
      <c r="W2411" t="str">
        <f t="shared" si="378"/>
        <v/>
      </c>
      <c r="X2411">
        <f>IF($T2411="",N($X2410),IF(MATCH($T2411,$T$6:$T$10005,0)=ROW()-5,N($X2410)+1,N($X2410)))</f>
        <v>0</v>
      </c>
      <c r="Z2411" t="str">
        <f t="shared" si="379"/>
        <v/>
      </c>
      <c r="AA2411">
        <f>IF($V2411="",N($AA2410),IF(MATCH($V2411,$V$6:$V$10005,0)=ROW()-5,N($AA2410)+1,N($AA2410)))</f>
        <v>0</v>
      </c>
    </row>
    <row r="2412" spans="1:27" ht="21" customHeight="1" x14ac:dyDescent="0.95">
      <c r="A2412" s="56"/>
      <c r="B2412" s="57"/>
      <c r="C2412" s="57"/>
      <c r="D2412" s="57"/>
      <c r="E2412" s="56"/>
      <c r="F2412" s="57"/>
      <c r="G2412" s="57"/>
      <c r="H2412" s="56"/>
      <c r="I2412" s="56"/>
      <c r="J2412" s="58"/>
      <c r="K2412" s="58"/>
      <c r="L2412" s="13" t="str">
        <f t="shared" si="370"/>
        <v/>
      </c>
      <c r="M2412" s="13" t="str">
        <f t="shared" si="371"/>
        <v/>
      </c>
      <c r="Q2412" t="str">
        <f t="shared" si="372"/>
        <v/>
      </c>
      <c r="R2412" t="str">
        <f t="shared" si="373"/>
        <v/>
      </c>
      <c r="S2412" t="str">
        <f t="shared" si="374"/>
        <v/>
      </c>
      <c r="T2412" t="str">
        <f t="shared" si="375"/>
        <v/>
      </c>
      <c r="U2412" t="str">
        <f t="shared" si="376"/>
        <v/>
      </c>
      <c r="V2412" t="str">
        <f t="shared" si="377"/>
        <v/>
      </c>
      <c r="W2412" t="str">
        <f t="shared" si="378"/>
        <v/>
      </c>
      <c r="X2412">
        <f>IF($T2412="",N($X2411),IF(MATCH($T2412,$T$6:$T$10005,0)=ROW()-5,N($X2411)+1,N($X2411)))</f>
        <v>0</v>
      </c>
      <c r="Z2412" t="str">
        <f t="shared" si="379"/>
        <v/>
      </c>
      <c r="AA2412">
        <f>IF($V2412="",N($AA2411),IF(MATCH($V2412,$V$6:$V$10005,0)=ROW()-5,N($AA2411)+1,N($AA2411)))</f>
        <v>0</v>
      </c>
    </row>
    <row r="2413" spans="1:27" ht="21" customHeight="1" x14ac:dyDescent="0.95">
      <c r="A2413" s="56"/>
      <c r="B2413" s="57"/>
      <c r="C2413" s="57"/>
      <c r="D2413" s="57"/>
      <c r="E2413" s="56"/>
      <c r="F2413" s="57"/>
      <c r="G2413" s="57"/>
      <c r="H2413" s="56"/>
      <c r="I2413" s="56"/>
      <c r="J2413" s="58"/>
      <c r="K2413" s="58"/>
      <c r="L2413" s="13" t="str">
        <f t="shared" si="370"/>
        <v/>
      </c>
      <c r="M2413" s="13" t="str">
        <f t="shared" si="371"/>
        <v/>
      </c>
      <c r="Q2413" t="str">
        <f t="shared" si="372"/>
        <v/>
      </c>
      <c r="R2413" t="str">
        <f t="shared" si="373"/>
        <v/>
      </c>
      <c r="S2413" t="str">
        <f t="shared" si="374"/>
        <v/>
      </c>
      <c r="T2413" t="str">
        <f t="shared" si="375"/>
        <v/>
      </c>
      <c r="U2413" t="str">
        <f t="shared" si="376"/>
        <v/>
      </c>
      <c r="V2413" t="str">
        <f t="shared" si="377"/>
        <v/>
      </c>
      <c r="W2413" t="str">
        <f t="shared" si="378"/>
        <v/>
      </c>
      <c r="X2413">
        <f>IF($T2413="",N($X2412),IF(MATCH($T2413,$T$6:$T$10005,0)=ROW()-5,N($X2412)+1,N($X2412)))</f>
        <v>0</v>
      </c>
      <c r="Z2413" t="str">
        <f t="shared" si="379"/>
        <v/>
      </c>
      <c r="AA2413">
        <f>IF($V2413="",N($AA2412),IF(MATCH($V2413,$V$6:$V$10005,0)=ROW()-5,N($AA2412)+1,N($AA2412)))</f>
        <v>0</v>
      </c>
    </row>
    <row r="2414" spans="1:27" ht="21" customHeight="1" x14ac:dyDescent="0.95">
      <c r="A2414" s="56"/>
      <c r="B2414" s="57"/>
      <c r="C2414" s="57"/>
      <c r="D2414" s="57"/>
      <c r="E2414" s="56"/>
      <c r="F2414" s="57"/>
      <c r="G2414" s="57"/>
      <c r="H2414" s="56"/>
      <c r="I2414" s="56"/>
      <c r="J2414" s="58"/>
      <c r="K2414" s="58"/>
      <c r="L2414" s="13" t="str">
        <f t="shared" si="370"/>
        <v/>
      </c>
      <c r="M2414" s="13" t="str">
        <f t="shared" si="371"/>
        <v/>
      </c>
      <c r="Q2414" t="str">
        <f t="shared" si="372"/>
        <v/>
      </c>
      <c r="R2414" t="str">
        <f t="shared" si="373"/>
        <v/>
      </c>
      <c r="S2414" t="str">
        <f t="shared" si="374"/>
        <v/>
      </c>
      <c r="T2414" t="str">
        <f t="shared" si="375"/>
        <v/>
      </c>
      <c r="U2414" t="str">
        <f t="shared" si="376"/>
        <v/>
      </c>
      <c r="V2414" t="str">
        <f t="shared" si="377"/>
        <v/>
      </c>
      <c r="W2414" t="str">
        <f t="shared" si="378"/>
        <v/>
      </c>
      <c r="X2414">
        <f>IF($T2414="",N($X2413),IF(MATCH($T2414,$T$6:$T$10005,0)=ROW()-5,N($X2413)+1,N($X2413)))</f>
        <v>0</v>
      </c>
      <c r="Z2414" t="str">
        <f t="shared" si="379"/>
        <v/>
      </c>
      <c r="AA2414">
        <f>IF($V2414="",N($AA2413),IF(MATCH($V2414,$V$6:$V$10005,0)=ROW()-5,N($AA2413)+1,N($AA2413)))</f>
        <v>0</v>
      </c>
    </row>
    <row r="2415" spans="1:27" ht="21" customHeight="1" x14ac:dyDescent="0.95">
      <c r="A2415" s="56"/>
      <c r="B2415" s="57"/>
      <c r="C2415" s="57"/>
      <c r="D2415" s="57"/>
      <c r="E2415" s="56"/>
      <c r="F2415" s="57"/>
      <c r="G2415" s="57"/>
      <c r="H2415" s="56"/>
      <c r="I2415" s="56"/>
      <c r="J2415" s="58"/>
      <c r="K2415" s="58"/>
      <c r="L2415" s="13" t="str">
        <f t="shared" si="370"/>
        <v/>
      </c>
      <c r="M2415" s="13" t="str">
        <f t="shared" si="371"/>
        <v/>
      </c>
      <c r="Q2415" t="str">
        <f t="shared" si="372"/>
        <v/>
      </c>
      <c r="R2415" t="str">
        <f t="shared" si="373"/>
        <v/>
      </c>
      <c r="S2415" t="str">
        <f t="shared" si="374"/>
        <v/>
      </c>
      <c r="T2415" t="str">
        <f t="shared" si="375"/>
        <v/>
      </c>
      <c r="U2415" t="str">
        <f t="shared" si="376"/>
        <v/>
      </c>
      <c r="V2415" t="str">
        <f t="shared" si="377"/>
        <v/>
      </c>
      <c r="W2415" t="str">
        <f t="shared" si="378"/>
        <v/>
      </c>
      <c r="X2415">
        <f>IF($T2415="",N($X2414),IF(MATCH($T2415,$T$6:$T$10005,0)=ROW()-5,N($X2414)+1,N($X2414)))</f>
        <v>0</v>
      </c>
      <c r="Z2415" t="str">
        <f t="shared" si="379"/>
        <v/>
      </c>
      <c r="AA2415">
        <f>IF($V2415="",N($AA2414),IF(MATCH($V2415,$V$6:$V$10005,0)=ROW()-5,N($AA2414)+1,N($AA2414)))</f>
        <v>0</v>
      </c>
    </row>
    <row r="2416" spans="1:27" ht="21" customHeight="1" x14ac:dyDescent="0.95">
      <c r="A2416" s="56"/>
      <c r="B2416" s="57"/>
      <c r="C2416" s="57"/>
      <c r="D2416" s="57"/>
      <c r="E2416" s="56"/>
      <c r="F2416" s="57"/>
      <c r="G2416" s="57"/>
      <c r="H2416" s="56"/>
      <c r="I2416" s="56"/>
      <c r="J2416" s="58"/>
      <c r="K2416" s="58"/>
      <c r="L2416" s="13" t="str">
        <f t="shared" si="370"/>
        <v/>
      </c>
      <c r="M2416" s="13" t="str">
        <f t="shared" si="371"/>
        <v/>
      </c>
      <c r="Q2416" t="str">
        <f t="shared" si="372"/>
        <v/>
      </c>
      <c r="R2416" t="str">
        <f t="shared" si="373"/>
        <v/>
      </c>
      <c r="S2416" t="str">
        <f t="shared" si="374"/>
        <v/>
      </c>
      <c r="T2416" t="str">
        <f t="shared" si="375"/>
        <v/>
      </c>
      <c r="U2416" t="str">
        <f t="shared" si="376"/>
        <v/>
      </c>
      <c r="V2416" t="str">
        <f t="shared" si="377"/>
        <v/>
      </c>
      <c r="W2416" t="str">
        <f t="shared" si="378"/>
        <v/>
      </c>
      <c r="X2416">
        <f>IF($T2416="",N($X2415),IF(MATCH($T2416,$T$6:$T$10005,0)=ROW()-5,N($X2415)+1,N($X2415)))</f>
        <v>0</v>
      </c>
      <c r="Z2416" t="str">
        <f t="shared" si="379"/>
        <v/>
      </c>
      <c r="AA2416">
        <f>IF($V2416="",N($AA2415),IF(MATCH($V2416,$V$6:$V$10005,0)=ROW()-5,N($AA2415)+1,N($AA2415)))</f>
        <v>0</v>
      </c>
    </row>
    <row r="2417" spans="1:27" ht="21" customHeight="1" x14ac:dyDescent="0.95">
      <c r="A2417" s="56"/>
      <c r="B2417" s="57"/>
      <c r="C2417" s="57"/>
      <c r="D2417" s="57"/>
      <c r="E2417" s="56"/>
      <c r="F2417" s="57"/>
      <c r="G2417" s="57"/>
      <c r="H2417" s="56"/>
      <c r="I2417" s="56"/>
      <c r="J2417" s="58"/>
      <c r="K2417" s="58"/>
      <c r="L2417" s="13" t="str">
        <f t="shared" si="370"/>
        <v/>
      </c>
      <c r="M2417" s="13" t="str">
        <f t="shared" si="371"/>
        <v/>
      </c>
      <c r="Q2417" t="str">
        <f t="shared" si="372"/>
        <v/>
      </c>
      <c r="R2417" t="str">
        <f t="shared" si="373"/>
        <v/>
      </c>
      <c r="S2417" t="str">
        <f t="shared" si="374"/>
        <v/>
      </c>
      <c r="T2417" t="str">
        <f t="shared" si="375"/>
        <v/>
      </c>
      <c r="U2417" t="str">
        <f t="shared" si="376"/>
        <v/>
      </c>
      <c r="V2417" t="str">
        <f t="shared" si="377"/>
        <v/>
      </c>
      <c r="W2417" t="str">
        <f t="shared" si="378"/>
        <v/>
      </c>
      <c r="X2417">
        <f>IF($T2417="",N($X2416),IF(MATCH($T2417,$T$6:$T$10005,0)=ROW()-5,N($X2416)+1,N($X2416)))</f>
        <v>0</v>
      </c>
      <c r="Z2417" t="str">
        <f t="shared" si="379"/>
        <v/>
      </c>
      <c r="AA2417">
        <f>IF($V2417="",N($AA2416),IF(MATCH($V2417,$V$6:$V$10005,0)=ROW()-5,N($AA2416)+1,N($AA2416)))</f>
        <v>0</v>
      </c>
    </row>
    <row r="2418" spans="1:27" ht="21" customHeight="1" x14ac:dyDescent="0.95">
      <c r="A2418" s="56"/>
      <c r="B2418" s="57"/>
      <c r="C2418" s="57"/>
      <c r="D2418" s="57"/>
      <c r="E2418" s="56"/>
      <c r="F2418" s="57"/>
      <c r="G2418" s="57"/>
      <c r="H2418" s="56"/>
      <c r="I2418" s="56"/>
      <c r="J2418" s="58"/>
      <c r="K2418" s="58"/>
      <c r="L2418" s="13" t="str">
        <f t="shared" si="370"/>
        <v/>
      </c>
      <c r="M2418" s="13" t="str">
        <f t="shared" si="371"/>
        <v/>
      </c>
      <c r="Q2418" t="str">
        <f t="shared" si="372"/>
        <v/>
      </c>
      <c r="R2418" t="str">
        <f t="shared" si="373"/>
        <v/>
      </c>
      <c r="S2418" t="str">
        <f t="shared" si="374"/>
        <v/>
      </c>
      <c r="T2418" t="str">
        <f t="shared" si="375"/>
        <v/>
      </c>
      <c r="U2418" t="str">
        <f t="shared" si="376"/>
        <v/>
      </c>
      <c r="V2418" t="str">
        <f t="shared" si="377"/>
        <v/>
      </c>
      <c r="W2418" t="str">
        <f t="shared" si="378"/>
        <v/>
      </c>
      <c r="X2418">
        <f>IF($T2418="",N($X2417),IF(MATCH($T2418,$T$6:$T$10005,0)=ROW()-5,N($X2417)+1,N($X2417)))</f>
        <v>0</v>
      </c>
      <c r="Z2418" t="str">
        <f t="shared" si="379"/>
        <v/>
      </c>
      <c r="AA2418">
        <f>IF($V2418="",N($AA2417),IF(MATCH($V2418,$V$6:$V$10005,0)=ROW()-5,N($AA2417)+1,N($AA2417)))</f>
        <v>0</v>
      </c>
    </row>
    <row r="2419" spans="1:27" ht="21" customHeight="1" x14ac:dyDescent="0.95">
      <c r="A2419" s="56"/>
      <c r="B2419" s="57"/>
      <c r="C2419" s="57"/>
      <c r="D2419" s="57"/>
      <c r="E2419" s="56"/>
      <c r="F2419" s="57"/>
      <c r="G2419" s="57"/>
      <c r="H2419" s="56"/>
      <c r="I2419" s="56"/>
      <c r="J2419" s="58"/>
      <c r="K2419" s="58"/>
      <c r="L2419" s="13" t="str">
        <f t="shared" si="370"/>
        <v/>
      </c>
      <c r="M2419" s="13" t="str">
        <f t="shared" si="371"/>
        <v/>
      </c>
      <c r="Q2419" t="str">
        <f t="shared" si="372"/>
        <v/>
      </c>
      <c r="R2419" t="str">
        <f t="shared" si="373"/>
        <v/>
      </c>
      <c r="S2419" t="str">
        <f t="shared" si="374"/>
        <v/>
      </c>
      <c r="T2419" t="str">
        <f t="shared" si="375"/>
        <v/>
      </c>
      <c r="U2419" t="str">
        <f t="shared" si="376"/>
        <v/>
      </c>
      <c r="V2419" t="str">
        <f t="shared" si="377"/>
        <v/>
      </c>
      <c r="W2419" t="str">
        <f t="shared" si="378"/>
        <v/>
      </c>
      <c r="X2419">
        <f>IF($T2419="",N($X2418),IF(MATCH($T2419,$T$6:$T$10005,0)=ROW()-5,N($X2418)+1,N($X2418)))</f>
        <v>0</v>
      </c>
      <c r="Z2419" t="str">
        <f t="shared" si="379"/>
        <v/>
      </c>
      <c r="AA2419">
        <f>IF($V2419="",N($AA2418),IF(MATCH($V2419,$V$6:$V$10005,0)=ROW()-5,N($AA2418)+1,N($AA2418)))</f>
        <v>0</v>
      </c>
    </row>
    <row r="2420" spans="1:27" ht="21" customHeight="1" x14ac:dyDescent="0.95">
      <c r="A2420" s="56"/>
      <c r="B2420" s="57"/>
      <c r="C2420" s="57"/>
      <c r="D2420" s="57"/>
      <c r="E2420" s="56"/>
      <c r="F2420" s="57"/>
      <c r="G2420" s="57"/>
      <c r="H2420" s="56"/>
      <c r="I2420" s="56"/>
      <c r="J2420" s="58"/>
      <c r="K2420" s="58"/>
      <c r="L2420" s="13" t="str">
        <f t="shared" si="370"/>
        <v/>
      </c>
      <c r="M2420" s="13" t="str">
        <f t="shared" si="371"/>
        <v/>
      </c>
      <c r="Q2420" t="str">
        <f t="shared" si="372"/>
        <v/>
      </c>
      <c r="R2420" t="str">
        <f t="shared" si="373"/>
        <v/>
      </c>
      <c r="S2420" t="str">
        <f t="shared" si="374"/>
        <v/>
      </c>
      <c r="T2420" t="str">
        <f t="shared" si="375"/>
        <v/>
      </c>
      <c r="U2420" t="str">
        <f t="shared" si="376"/>
        <v/>
      </c>
      <c r="V2420" t="str">
        <f t="shared" si="377"/>
        <v/>
      </c>
      <c r="W2420" t="str">
        <f t="shared" si="378"/>
        <v/>
      </c>
      <c r="X2420">
        <f>IF($T2420="",N($X2419),IF(MATCH($T2420,$T$6:$T$10005,0)=ROW()-5,N($X2419)+1,N($X2419)))</f>
        <v>0</v>
      </c>
      <c r="Z2420" t="str">
        <f t="shared" si="379"/>
        <v/>
      </c>
      <c r="AA2420">
        <f>IF($V2420="",N($AA2419),IF(MATCH($V2420,$V$6:$V$10005,0)=ROW()-5,N($AA2419)+1,N($AA2419)))</f>
        <v>0</v>
      </c>
    </row>
    <row r="2421" spans="1:27" ht="21" customHeight="1" x14ac:dyDescent="0.95">
      <c r="A2421" s="56"/>
      <c r="B2421" s="57"/>
      <c r="C2421" s="57"/>
      <c r="D2421" s="57"/>
      <c r="E2421" s="56"/>
      <c r="F2421" s="57"/>
      <c r="G2421" s="57"/>
      <c r="H2421" s="56"/>
      <c r="I2421" s="56"/>
      <c r="J2421" s="58"/>
      <c r="K2421" s="58"/>
      <c r="L2421" s="13" t="str">
        <f t="shared" si="370"/>
        <v/>
      </c>
      <c r="M2421" s="13" t="str">
        <f t="shared" si="371"/>
        <v/>
      </c>
      <c r="Q2421" t="str">
        <f t="shared" si="372"/>
        <v/>
      </c>
      <c r="R2421" t="str">
        <f t="shared" si="373"/>
        <v/>
      </c>
      <c r="S2421" t="str">
        <f t="shared" si="374"/>
        <v/>
      </c>
      <c r="T2421" t="str">
        <f t="shared" si="375"/>
        <v/>
      </c>
      <c r="U2421" t="str">
        <f t="shared" si="376"/>
        <v/>
      </c>
      <c r="V2421" t="str">
        <f t="shared" si="377"/>
        <v/>
      </c>
      <c r="W2421" t="str">
        <f t="shared" si="378"/>
        <v/>
      </c>
      <c r="X2421">
        <f>IF($T2421="",N($X2420),IF(MATCH($T2421,$T$6:$T$10005,0)=ROW()-5,N($X2420)+1,N($X2420)))</f>
        <v>0</v>
      </c>
      <c r="Z2421" t="str">
        <f t="shared" si="379"/>
        <v/>
      </c>
      <c r="AA2421">
        <f>IF($V2421="",N($AA2420),IF(MATCH($V2421,$V$6:$V$10005,0)=ROW()-5,N($AA2420)+1,N($AA2420)))</f>
        <v>0</v>
      </c>
    </row>
    <row r="2422" spans="1:27" ht="21" customHeight="1" x14ac:dyDescent="0.95">
      <c r="A2422" s="56"/>
      <c r="B2422" s="57"/>
      <c r="C2422" s="57"/>
      <c r="D2422" s="57"/>
      <c r="E2422" s="56"/>
      <c r="F2422" s="57"/>
      <c r="G2422" s="57"/>
      <c r="H2422" s="56"/>
      <c r="I2422" s="56"/>
      <c r="J2422" s="58"/>
      <c r="K2422" s="58"/>
      <c r="L2422" s="13" t="str">
        <f t="shared" si="370"/>
        <v/>
      </c>
      <c r="M2422" s="13" t="str">
        <f t="shared" si="371"/>
        <v/>
      </c>
      <c r="Q2422" t="str">
        <f t="shared" si="372"/>
        <v/>
      </c>
      <c r="R2422" t="str">
        <f t="shared" si="373"/>
        <v/>
      </c>
      <c r="S2422" t="str">
        <f t="shared" si="374"/>
        <v/>
      </c>
      <c r="T2422" t="str">
        <f t="shared" si="375"/>
        <v/>
      </c>
      <c r="U2422" t="str">
        <f t="shared" si="376"/>
        <v/>
      </c>
      <c r="V2422" t="str">
        <f t="shared" si="377"/>
        <v/>
      </c>
      <c r="W2422" t="str">
        <f t="shared" si="378"/>
        <v/>
      </c>
      <c r="X2422">
        <f>IF($T2422="",N($X2421),IF(MATCH($T2422,$T$6:$T$10005,0)=ROW()-5,N($X2421)+1,N($X2421)))</f>
        <v>0</v>
      </c>
      <c r="Z2422" t="str">
        <f t="shared" si="379"/>
        <v/>
      </c>
      <c r="AA2422">
        <f>IF($V2422="",N($AA2421),IF(MATCH($V2422,$V$6:$V$10005,0)=ROW()-5,N($AA2421)+1,N($AA2421)))</f>
        <v>0</v>
      </c>
    </row>
    <row r="2423" spans="1:27" ht="21" customHeight="1" x14ac:dyDescent="0.95">
      <c r="A2423" s="56"/>
      <c r="B2423" s="57"/>
      <c r="C2423" s="57"/>
      <c r="D2423" s="57"/>
      <c r="E2423" s="56"/>
      <c r="F2423" s="57"/>
      <c r="G2423" s="57"/>
      <c r="H2423" s="56"/>
      <c r="I2423" s="56"/>
      <c r="J2423" s="58"/>
      <c r="K2423" s="58"/>
      <c r="L2423" s="13" t="str">
        <f t="shared" si="370"/>
        <v/>
      </c>
      <c r="M2423" s="13" t="str">
        <f t="shared" si="371"/>
        <v/>
      </c>
      <c r="Q2423" t="str">
        <f t="shared" si="372"/>
        <v/>
      </c>
      <c r="R2423" t="str">
        <f t="shared" si="373"/>
        <v/>
      </c>
      <c r="S2423" t="str">
        <f t="shared" si="374"/>
        <v/>
      </c>
      <c r="T2423" t="str">
        <f t="shared" si="375"/>
        <v/>
      </c>
      <c r="U2423" t="str">
        <f t="shared" si="376"/>
        <v/>
      </c>
      <c r="V2423" t="str">
        <f t="shared" si="377"/>
        <v/>
      </c>
      <c r="W2423" t="str">
        <f t="shared" si="378"/>
        <v/>
      </c>
      <c r="X2423">
        <f>IF($T2423="",N($X2422),IF(MATCH($T2423,$T$6:$T$10005,0)=ROW()-5,N($X2422)+1,N($X2422)))</f>
        <v>0</v>
      </c>
      <c r="Z2423" t="str">
        <f t="shared" si="379"/>
        <v/>
      </c>
      <c r="AA2423">
        <f>IF($V2423="",N($AA2422),IF(MATCH($V2423,$V$6:$V$10005,0)=ROW()-5,N($AA2422)+1,N($AA2422)))</f>
        <v>0</v>
      </c>
    </row>
    <row r="2424" spans="1:27" ht="21" customHeight="1" x14ac:dyDescent="0.95">
      <c r="A2424" s="56"/>
      <c r="B2424" s="57"/>
      <c r="C2424" s="57"/>
      <c r="D2424" s="57"/>
      <c r="E2424" s="56"/>
      <c r="F2424" s="57"/>
      <c r="G2424" s="57"/>
      <c r="H2424" s="56"/>
      <c r="I2424" s="56"/>
      <c r="J2424" s="58"/>
      <c r="K2424" s="58"/>
      <c r="L2424" s="13" t="str">
        <f t="shared" si="370"/>
        <v/>
      </c>
      <c r="M2424" s="13" t="str">
        <f t="shared" si="371"/>
        <v/>
      </c>
      <c r="Q2424" t="str">
        <f t="shared" si="372"/>
        <v/>
      </c>
      <c r="R2424" t="str">
        <f t="shared" si="373"/>
        <v/>
      </c>
      <c r="S2424" t="str">
        <f t="shared" si="374"/>
        <v/>
      </c>
      <c r="T2424" t="str">
        <f t="shared" si="375"/>
        <v/>
      </c>
      <c r="U2424" t="str">
        <f t="shared" si="376"/>
        <v/>
      </c>
      <c r="V2424" t="str">
        <f t="shared" si="377"/>
        <v/>
      </c>
      <c r="W2424" t="str">
        <f t="shared" si="378"/>
        <v/>
      </c>
      <c r="X2424">
        <f>IF($T2424="",N($X2423),IF(MATCH($T2424,$T$6:$T$10005,0)=ROW()-5,N($X2423)+1,N($X2423)))</f>
        <v>0</v>
      </c>
      <c r="Z2424" t="str">
        <f t="shared" si="379"/>
        <v/>
      </c>
      <c r="AA2424">
        <f>IF($V2424="",N($AA2423),IF(MATCH($V2424,$V$6:$V$10005,0)=ROW()-5,N($AA2423)+1,N($AA2423)))</f>
        <v>0</v>
      </c>
    </row>
    <row r="2425" spans="1:27" ht="21" customHeight="1" x14ac:dyDescent="0.95">
      <c r="A2425" s="56"/>
      <c r="B2425" s="57"/>
      <c r="C2425" s="57"/>
      <c r="D2425" s="57"/>
      <c r="E2425" s="56"/>
      <c r="F2425" s="57"/>
      <c r="G2425" s="57"/>
      <c r="H2425" s="56"/>
      <c r="I2425" s="56"/>
      <c r="J2425" s="58"/>
      <c r="K2425" s="58"/>
      <c r="L2425" s="13" t="str">
        <f t="shared" si="370"/>
        <v/>
      </c>
      <c r="M2425" s="13" t="str">
        <f t="shared" si="371"/>
        <v/>
      </c>
      <c r="Q2425" t="str">
        <f t="shared" si="372"/>
        <v/>
      </c>
      <c r="R2425" t="str">
        <f t="shared" si="373"/>
        <v/>
      </c>
      <c r="S2425" t="str">
        <f t="shared" si="374"/>
        <v/>
      </c>
      <c r="T2425" t="str">
        <f t="shared" si="375"/>
        <v/>
      </c>
      <c r="U2425" t="str">
        <f t="shared" si="376"/>
        <v/>
      </c>
      <c r="V2425" t="str">
        <f t="shared" si="377"/>
        <v/>
      </c>
      <c r="W2425" t="str">
        <f t="shared" si="378"/>
        <v/>
      </c>
      <c r="X2425">
        <f>IF($T2425="",N($X2424),IF(MATCH($T2425,$T$6:$T$10005,0)=ROW()-5,N($X2424)+1,N($X2424)))</f>
        <v>0</v>
      </c>
      <c r="Z2425" t="str">
        <f t="shared" si="379"/>
        <v/>
      </c>
      <c r="AA2425">
        <f>IF($V2425="",N($AA2424),IF(MATCH($V2425,$V$6:$V$10005,0)=ROW()-5,N($AA2424)+1,N($AA2424)))</f>
        <v>0</v>
      </c>
    </row>
    <row r="2426" spans="1:27" ht="21" customHeight="1" x14ac:dyDescent="0.95">
      <c r="A2426" s="56"/>
      <c r="B2426" s="57"/>
      <c r="C2426" s="57"/>
      <c r="D2426" s="57"/>
      <c r="E2426" s="56"/>
      <c r="F2426" s="57"/>
      <c r="G2426" s="57"/>
      <c r="H2426" s="56"/>
      <c r="I2426" s="56"/>
      <c r="J2426" s="58"/>
      <c r="K2426" s="58"/>
      <c r="L2426" s="13" t="str">
        <f t="shared" si="370"/>
        <v/>
      </c>
      <c r="M2426" s="13" t="str">
        <f t="shared" si="371"/>
        <v/>
      </c>
      <c r="Q2426" t="str">
        <f t="shared" si="372"/>
        <v/>
      </c>
      <c r="R2426" t="str">
        <f t="shared" si="373"/>
        <v/>
      </c>
      <c r="S2426" t="str">
        <f t="shared" si="374"/>
        <v/>
      </c>
      <c r="T2426" t="str">
        <f t="shared" si="375"/>
        <v/>
      </c>
      <c r="U2426" t="str">
        <f t="shared" si="376"/>
        <v/>
      </c>
      <c r="V2426" t="str">
        <f t="shared" si="377"/>
        <v/>
      </c>
      <c r="W2426" t="str">
        <f t="shared" si="378"/>
        <v/>
      </c>
      <c r="X2426">
        <f>IF($T2426="",N($X2425),IF(MATCH($T2426,$T$6:$T$10005,0)=ROW()-5,N($X2425)+1,N($X2425)))</f>
        <v>0</v>
      </c>
      <c r="Z2426" t="str">
        <f t="shared" si="379"/>
        <v/>
      </c>
      <c r="AA2426">
        <f>IF($V2426="",N($AA2425),IF(MATCH($V2426,$V$6:$V$10005,0)=ROW()-5,N($AA2425)+1,N($AA2425)))</f>
        <v>0</v>
      </c>
    </row>
    <row r="2427" spans="1:27" ht="21" customHeight="1" x14ac:dyDescent="0.95">
      <c r="A2427" s="56"/>
      <c r="B2427" s="57"/>
      <c r="C2427" s="57"/>
      <c r="D2427" s="57"/>
      <c r="E2427" s="56"/>
      <c r="F2427" s="57"/>
      <c r="G2427" s="57"/>
      <c r="H2427" s="56"/>
      <c r="I2427" s="56"/>
      <c r="J2427" s="58"/>
      <c r="K2427" s="58"/>
      <c r="L2427" s="13" t="str">
        <f t="shared" si="370"/>
        <v/>
      </c>
      <c r="M2427" s="13" t="str">
        <f t="shared" si="371"/>
        <v/>
      </c>
      <c r="Q2427" t="str">
        <f t="shared" si="372"/>
        <v/>
      </c>
      <c r="R2427" t="str">
        <f t="shared" si="373"/>
        <v/>
      </c>
      <c r="S2427" t="str">
        <f t="shared" si="374"/>
        <v/>
      </c>
      <c r="T2427" t="str">
        <f t="shared" si="375"/>
        <v/>
      </c>
      <c r="U2427" t="str">
        <f t="shared" si="376"/>
        <v/>
      </c>
      <c r="V2427" t="str">
        <f t="shared" si="377"/>
        <v/>
      </c>
      <c r="W2427" t="str">
        <f t="shared" si="378"/>
        <v/>
      </c>
      <c r="X2427">
        <f>IF($T2427="",N($X2426),IF(MATCH($T2427,$T$6:$T$10005,0)=ROW()-5,N($X2426)+1,N($X2426)))</f>
        <v>0</v>
      </c>
      <c r="Z2427" t="str">
        <f t="shared" si="379"/>
        <v/>
      </c>
      <c r="AA2427">
        <f>IF($V2427="",N($AA2426),IF(MATCH($V2427,$V$6:$V$10005,0)=ROW()-5,N($AA2426)+1,N($AA2426)))</f>
        <v>0</v>
      </c>
    </row>
    <row r="2428" spans="1:27" ht="21" customHeight="1" x14ac:dyDescent="0.95">
      <c r="A2428" s="56"/>
      <c r="B2428" s="57"/>
      <c r="C2428" s="57"/>
      <c r="D2428" s="57"/>
      <c r="E2428" s="56"/>
      <c r="F2428" s="57"/>
      <c r="G2428" s="57"/>
      <c r="H2428" s="56"/>
      <c r="I2428" s="56"/>
      <c r="J2428" s="58"/>
      <c r="K2428" s="58"/>
      <c r="L2428" s="13" t="str">
        <f t="shared" si="370"/>
        <v/>
      </c>
      <c r="M2428" s="13" t="str">
        <f t="shared" si="371"/>
        <v/>
      </c>
      <c r="Q2428" t="str">
        <f t="shared" si="372"/>
        <v/>
      </c>
      <c r="R2428" t="str">
        <f t="shared" si="373"/>
        <v/>
      </c>
      <c r="S2428" t="str">
        <f t="shared" si="374"/>
        <v/>
      </c>
      <c r="T2428" t="str">
        <f t="shared" si="375"/>
        <v/>
      </c>
      <c r="U2428" t="str">
        <f t="shared" si="376"/>
        <v/>
      </c>
      <c r="V2428" t="str">
        <f t="shared" si="377"/>
        <v/>
      </c>
      <c r="W2428" t="str">
        <f t="shared" si="378"/>
        <v/>
      </c>
      <c r="X2428">
        <f>IF($T2428="",N($X2427),IF(MATCH($T2428,$T$6:$T$10005,0)=ROW()-5,N($X2427)+1,N($X2427)))</f>
        <v>0</v>
      </c>
      <c r="Z2428" t="str">
        <f t="shared" si="379"/>
        <v/>
      </c>
      <c r="AA2428">
        <f>IF($V2428="",N($AA2427),IF(MATCH($V2428,$V$6:$V$10005,0)=ROW()-5,N($AA2427)+1,N($AA2427)))</f>
        <v>0</v>
      </c>
    </row>
    <row r="2429" spans="1:27" ht="21" customHeight="1" x14ac:dyDescent="0.95">
      <c r="A2429" s="56"/>
      <c r="B2429" s="57"/>
      <c r="C2429" s="57"/>
      <c r="D2429" s="57"/>
      <c r="E2429" s="56"/>
      <c r="F2429" s="57"/>
      <c r="G2429" s="57"/>
      <c r="H2429" s="56"/>
      <c r="I2429" s="56"/>
      <c r="J2429" s="58"/>
      <c r="K2429" s="58"/>
      <c r="L2429" s="13" t="str">
        <f t="shared" si="370"/>
        <v/>
      </c>
      <c r="M2429" s="13" t="str">
        <f t="shared" si="371"/>
        <v/>
      </c>
      <c r="Q2429" t="str">
        <f t="shared" si="372"/>
        <v/>
      </c>
      <c r="R2429" t="str">
        <f t="shared" si="373"/>
        <v/>
      </c>
      <c r="S2429" t="str">
        <f t="shared" si="374"/>
        <v/>
      </c>
      <c r="T2429" t="str">
        <f t="shared" si="375"/>
        <v/>
      </c>
      <c r="U2429" t="str">
        <f t="shared" si="376"/>
        <v/>
      </c>
      <c r="V2429" t="str">
        <f t="shared" si="377"/>
        <v/>
      </c>
      <c r="W2429" t="str">
        <f t="shared" si="378"/>
        <v/>
      </c>
      <c r="X2429">
        <f>IF($T2429="",N($X2428),IF(MATCH($T2429,$T$6:$T$10005,0)=ROW()-5,N($X2428)+1,N($X2428)))</f>
        <v>0</v>
      </c>
      <c r="Z2429" t="str">
        <f t="shared" si="379"/>
        <v/>
      </c>
      <c r="AA2429">
        <f>IF($V2429="",N($AA2428),IF(MATCH($V2429,$V$6:$V$10005,0)=ROW()-5,N($AA2428)+1,N($AA2428)))</f>
        <v>0</v>
      </c>
    </row>
    <row r="2430" spans="1:27" ht="21" customHeight="1" x14ac:dyDescent="0.95">
      <c r="A2430" s="56"/>
      <c r="B2430" s="57"/>
      <c r="C2430" s="57"/>
      <c r="D2430" s="57"/>
      <c r="E2430" s="56"/>
      <c r="F2430" s="57"/>
      <c r="G2430" s="57"/>
      <c r="H2430" s="56"/>
      <c r="I2430" s="56"/>
      <c r="J2430" s="58"/>
      <c r="K2430" s="58"/>
      <c r="L2430" s="13" t="str">
        <f t="shared" si="370"/>
        <v/>
      </c>
      <c r="M2430" s="13" t="str">
        <f t="shared" si="371"/>
        <v/>
      </c>
      <c r="Q2430" t="str">
        <f t="shared" si="372"/>
        <v/>
      </c>
      <c r="R2430" t="str">
        <f t="shared" si="373"/>
        <v/>
      </c>
      <c r="S2430" t="str">
        <f t="shared" si="374"/>
        <v/>
      </c>
      <c r="T2430" t="str">
        <f t="shared" si="375"/>
        <v/>
      </c>
      <c r="U2430" t="str">
        <f t="shared" si="376"/>
        <v/>
      </c>
      <c r="V2430" t="str">
        <f t="shared" si="377"/>
        <v/>
      </c>
      <c r="W2430" t="str">
        <f t="shared" si="378"/>
        <v/>
      </c>
      <c r="X2430">
        <f>IF($T2430="",N($X2429),IF(MATCH($T2430,$T$6:$T$10005,0)=ROW()-5,N($X2429)+1,N($X2429)))</f>
        <v>0</v>
      </c>
      <c r="Z2430" t="str">
        <f t="shared" si="379"/>
        <v/>
      </c>
      <c r="AA2430">
        <f>IF($V2430="",N($AA2429),IF(MATCH($V2430,$V$6:$V$10005,0)=ROW()-5,N($AA2429)+1,N($AA2429)))</f>
        <v>0</v>
      </c>
    </row>
    <row r="2431" spans="1:27" ht="21" customHeight="1" x14ac:dyDescent="0.95">
      <c r="A2431" s="56"/>
      <c r="B2431" s="57"/>
      <c r="C2431" s="57"/>
      <c r="D2431" s="57"/>
      <c r="E2431" s="56"/>
      <c r="F2431" s="57"/>
      <c r="G2431" s="57"/>
      <c r="H2431" s="56"/>
      <c r="I2431" s="56"/>
      <c r="J2431" s="58"/>
      <c r="K2431" s="58"/>
      <c r="L2431" s="13" t="str">
        <f t="shared" si="370"/>
        <v/>
      </c>
      <c r="M2431" s="13" t="str">
        <f t="shared" si="371"/>
        <v/>
      </c>
      <c r="Q2431" t="str">
        <f t="shared" si="372"/>
        <v/>
      </c>
      <c r="R2431" t="str">
        <f t="shared" si="373"/>
        <v/>
      </c>
      <c r="S2431" t="str">
        <f t="shared" si="374"/>
        <v/>
      </c>
      <c r="T2431" t="str">
        <f t="shared" si="375"/>
        <v/>
      </c>
      <c r="U2431" t="str">
        <f t="shared" si="376"/>
        <v/>
      </c>
      <c r="V2431" t="str">
        <f t="shared" si="377"/>
        <v/>
      </c>
      <c r="W2431" t="str">
        <f t="shared" si="378"/>
        <v/>
      </c>
      <c r="X2431">
        <f>IF($T2431="",N($X2430),IF(MATCH($T2431,$T$6:$T$10005,0)=ROW()-5,N($X2430)+1,N($X2430)))</f>
        <v>0</v>
      </c>
      <c r="Z2431" t="str">
        <f t="shared" si="379"/>
        <v/>
      </c>
      <c r="AA2431">
        <f>IF($V2431="",N($AA2430),IF(MATCH($V2431,$V$6:$V$10005,0)=ROW()-5,N($AA2430)+1,N($AA2430)))</f>
        <v>0</v>
      </c>
    </row>
    <row r="2432" spans="1:27" ht="21" customHeight="1" x14ac:dyDescent="0.95">
      <c r="A2432" s="56"/>
      <c r="B2432" s="57"/>
      <c r="C2432" s="57"/>
      <c r="D2432" s="57"/>
      <c r="E2432" s="56"/>
      <c r="F2432" s="57"/>
      <c r="G2432" s="57"/>
      <c r="H2432" s="56"/>
      <c r="I2432" s="56"/>
      <c r="J2432" s="58"/>
      <c r="K2432" s="58"/>
      <c r="L2432" s="13" t="str">
        <f t="shared" si="370"/>
        <v/>
      </c>
      <c r="M2432" s="13" t="str">
        <f t="shared" si="371"/>
        <v/>
      </c>
      <c r="Q2432" t="str">
        <f t="shared" si="372"/>
        <v/>
      </c>
      <c r="R2432" t="str">
        <f t="shared" si="373"/>
        <v/>
      </c>
      <c r="S2432" t="str">
        <f t="shared" si="374"/>
        <v/>
      </c>
      <c r="T2432" t="str">
        <f t="shared" si="375"/>
        <v/>
      </c>
      <c r="U2432" t="str">
        <f t="shared" si="376"/>
        <v/>
      </c>
      <c r="V2432" t="str">
        <f t="shared" si="377"/>
        <v/>
      </c>
      <c r="W2432" t="str">
        <f t="shared" si="378"/>
        <v/>
      </c>
      <c r="X2432">
        <f>IF($T2432="",N($X2431),IF(MATCH($T2432,$T$6:$T$10005,0)=ROW()-5,N($X2431)+1,N($X2431)))</f>
        <v>0</v>
      </c>
      <c r="Z2432" t="str">
        <f t="shared" si="379"/>
        <v/>
      </c>
      <c r="AA2432">
        <f>IF($V2432="",N($AA2431),IF(MATCH($V2432,$V$6:$V$10005,0)=ROW()-5,N($AA2431)+1,N($AA2431)))</f>
        <v>0</v>
      </c>
    </row>
    <row r="2433" spans="1:27" ht="21" customHeight="1" x14ac:dyDescent="0.95">
      <c r="A2433" s="56"/>
      <c r="B2433" s="57"/>
      <c r="C2433" s="57"/>
      <c r="D2433" s="57"/>
      <c r="E2433" s="56"/>
      <c r="F2433" s="57"/>
      <c r="G2433" s="57"/>
      <c r="H2433" s="56"/>
      <c r="I2433" s="56"/>
      <c r="J2433" s="58"/>
      <c r="K2433" s="58"/>
      <c r="L2433" s="13" t="str">
        <f t="shared" si="370"/>
        <v/>
      </c>
      <c r="M2433" s="13" t="str">
        <f t="shared" si="371"/>
        <v/>
      </c>
      <c r="Q2433" t="str">
        <f t="shared" si="372"/>
        <v/>
      </c>
      <c r="R2433" t="str">
        <f t="shared" si="373"/>
        <v/>
      </c>
      <c r="S2433" t="str">
        <f t="shared" si="374"/>
        <v/>
      </c>
      <c r="T2433" t="str">
        <f t="shared" si="375"/>
        <v/>
      </c>
      <c r="U2433" t="str">
        <f t="shared" si="376"/>
        <v/>
      </c>
      <c r="V2433" t="str">
        <f t="shared" si="377"/>
        <v/>
      </c>
      <c r="W2433" t="str">
        <f t="shared" si="378"/>
        <v/>
      </c>
      <c r="X2433">
        <f>IF($T2433="",N($X2432),IF(MATCH($T2433,$T$6:$T$10005,0)=ROW()-5,N($X2432)+1,N($X2432)))</f>
        <v>0</v>
      </c>
      <c r="Z2433" t="str">
        <f t="shared" si="379"/>
        <v/>
      </c>
      <c r="AA2433">
        <f>IF($V2433="",N($AA2432),IF(MATCH($V2433,$V$6:$V$10005,0)=ROW()-5,N($AA2432)+1,N($AA2432)))</f>
        <v>0</v>
      </c>
    </row>
    <row r="2434" spans="1:27" ht="21" customHeight="1" x14ac:dyDescent="0.95">
      <c r="A2434" s="56"/>
      <c r="B2434" s="57"/>
      <c r="C2434" s="57"/>
      <c r="D2434" s="57"/>
      <c r="E2434" s="56"/>
      <c r="F2434" s="57"/>
      <c r="G2434" s="57"/>
      <c r="H2434" s="56"/>
      <c r="I2434" s="56"/>
      <c r="J2434" s="58"/>
      <c r="K2434" s="58"/>
      <c r="L2434" s="13" t="str">
        <f t="shared" si="370"/>
        <v/>
      </c>
      <c r="M2434" s="13" t="str">
        <f t="shared" si="371"/>
        <v/>
      </c>
      <c r="Q2434" t="str">
        <f t="shared" si="372"/>
        <v/>
      </c>
      <c r="R2434" t="str">
        <f t="shared" si="373"/>
        <v/>
      </c>
      <c r="S2434" t="str">
        <f t="shared" si="374"/>
        <v/>
      </c>
      <c r="T2434" t="str">
        <f t="shared" si="375"/>
        <v/>
      </c>
      <c r="U2434" t="str">
        <f t="shared" si="376"/>
        <v/>
      </c>
      <c r="V2434" t="str">
        <f t="shared" si="377"/>
        <v/>
      </c>
      <c r="W2434" t="str">
        <f t="shared" si="378"/>
        <v/>
      </c>
      <c r="X2434">
        <f>IF($T2434="",N($X2433),IF(MATCH($T2434,$T$6:$T$10005,0)=ROW()-5,N($X2433)+1,N($X2433)))</f>
        <v>0</v>
      </c>
      <c r="Z2434" t="str">
        <f t="shared" si="379"/>
        <v/>
      </c>
      <c r="AA2434">
        <f>IF($V2434="",N($AA2433),IF(MATCH($V2434,$V$6:$V$10005,0)=ROW()-5,N($AA2433)+1,N($AA2433)))</f>
        <v>0</v>
      </c>
    </row>
    <row r="2435" spans="1:27" ht="21" customHeight="1" x14ac:dyDescent="0.95">
      <c r="A2435" s="56"/>
      <c r="B2435" s="57"/>
      <c r="C2435" s="57"/>
      <c r="D2435" s="57"/>
      <c r="E2435" s="56"/>
      <c r="F2435" s="57"/>
      <c r="G2435" s="57"/>
      <c r="H2435" s="56"/>
      <c r="I2435" s="56"/>
      <c r="J2435" s="58"/>
      <c r="K2435" s="58"/>
      <c r="L2435" s="13" t="str">
        <f t="shared" si="370"/>
        <v/>
      </c>
      <c r="M2435" s="13" t="str">
        <f t="shared" si="371"/>
        <v/>
      </c>
      <c r="Q2435" t="str">
        <f t="shared" si="372"/>
        <v/>
      </c>
      <c r="R2435" t="str">
        <f t="shared" si="373"/>
        <v/>
      </c>
      <c r="S2435" t="str">
        <f t="shared" si="374"/>
        <v/>
      </c>
      <c r="T2435" t="str">
        <f t="shared" si="375"/>
        <v/>
      </c>
      <c r="U2435" t="str">
        <f t="shared" si="376"/>
        <v/>
      </c>
      <c r="V2435" t="str">
        <f t="shared" si="377"/>
        <v/>
      </c>
      <c r="W2435" t="str">
        <f t="shared" si="378"/>
        <v/>
      </c>
      <c r="X2435">
        <f>IF($T2435="",N($X2434),IF(MATCH($T2435,$T$6:$T$10005,0)=ROW()-5,N($X2434)+1,N($X2434)))</f>
        <v>0</v>
      </c>
      <c r="Z2435" t="str">
        <f t="shared" si="379"/>
        <v/>
      </c>
      <c r="AA2435">
        <f>IF($V2435="",N($AA2434),IF(MATCH($V2435,$V$6:$V$10005,0)=ROW()-5,N($AA2434)+1,N($AA2434)))</f>
        <v>0</v>
      </c>
    </row>
    <row r="2436" spans="1:27" ht="21" customHeight="1" x14ac:dyDescent="0.95">
      <c r="A2436" s="56"/>
      <c r="B2436" s="57"/>
      <c r="C2436" s="57"/>
      <c r="D2436" s="57"/>
      <c r="E2436" s="56"/>
      <c r="F2436" s="57"/>
      <c r="G2436" s="57"/>
      <c r="H2436" s="56"/>
      <c r="I2436" s="56"/>
      <c r="J2436" s="58"/>
      <c r="K2436" s="58"/>
      <c r="L2436" s="13" t="str">
        <f t="shared" si="370"/>
        <v/>
      </c>
      <c r="M2436" s="13" t="str">
        <f t="shared" si="371"/>
        <v/>
      </c>
      <c r="Q2436" t="str">
        <f t="shared" si="372"/>
        <v/>
      </c>
      <c r="R2436" t="str">
        <f t="shared" si="373"/>
        <v/>
      </c>
      <c r="S2436" t="str">
        <f t="shared" si="374"/>
        <v/>
      </c>
      <c r="T2436" t="str">
        <f t="shared" si="375"/>
        <v/>
      </c>
      <c r="U2436" t="str">
        <f t="shared" si="376"/>
        <v/>
      </c>
      <c r="V2436" t="str">
        <f t="shared" si="377"/>
        <v/>
      </c>
      <c r="W2436" t="str">
        <f t="shared" si="378"/>
        <v/>
      </c>
      <c r="X2436">
        <f>IF($T2436="",N($X2435),IF(MATCH($T2436,$T$6:$T$10005,0)=ROW()-5,N($X2435)+1,N($X2435)))</f>
        <v>0</v>
      </c>
      <c r="Z2436" t="str">
        <f t="shared" si="379"/>
        <v/>
      </c>
      <c r="AA2436">
        <f>IF($V2436="",N($AA2435),IF(MATCH($V2436,$V$6:$V$10005,0)=ROW()-5,N($AA2435)+1,N($AA2435)))</f>
        <v>0</v>
      </c>
    </row>
    <row r="2437" spans="1:27" ht="21" customHeight="1" x14ac:dyDescent="0.95">
      <c r="A2437" s="56"/>
      <c r="B2437" s="57"/>
      <c r="C2437" s="57"/>
      <c r="D2437" s="57"/>
      <c r="E2437" s="56"/>
      <c r="F2437" s="57"/>
      <c r="G2437" s="57"/>
      <c r="H2437" s="56"/>
      <c r="I2437" s="56"/>
      <c r="J2437" s="58"/>
      <c r="K2437" s="58"/>
      <c r="L2437" s="13" t="str">
        <f t="shared" si="370"/>
        <v/>
      </c>
      <c r="M2437" s="13" t="str">
        <f t="shared" si="371"/>
        <v/>
      </c>
      <c r="Q2437" t="str">
        <f t="shared" si="372"/>
        <v/>
      </c>
      <c r="R2437" t="str">
        <f t="shared" si="373"/>
        <v/>
      </c>
      <c r="S2437" t="str">
        <f t="shared" si="374"/>
        <v/>
      </c>
      <c r="T2437" t="str">
        <f t="shared" si="375"/>
        <v/>
      </c>
      <c r="U2437" t="str">
        <f t="shared" si="376"/>
        <v/>
      </c>
      <c r="V2437" t="str">
        <f t="shared" si="377"/>
        <v/>
      </c>
      <c r="W2437" t="str">
        <f t="shared" si="378"/>
        <v/>
      </c>
      <c r="X2437">
        <f>IF($T2437="",N($X2436),IF(MATCH($T2437,$T$6:$T$10005,0)=ROW()-5,N($X2436)+1,N($X2436)))</f>
        <v>0</v>
      </c>
      <c r="Z2437" t="str">
        <f t="shared" si="379"/>
        <v/>
      </c>
      <c r="AA2437">
        <f>IF($V2437="",N($AA2436),IF(MATCH($V2437,$V$6:$V$10005,0)=ROW()-5,N($AA2436)+1,N($AA2436)))</f>
        <v>0</v>
      </c>
    </row>
    <row r="2438" spans="1:27" ht="21" customHeight="1" x14ac:dyDescent="0.95">
      <c r="A2438" s="56"/>
      <c r="B2438" s="57"/>
      <c r="C2438" s="57"/>
      <c r="D2438" s="57"/>
      <c r="E2438" s="56"/>
      <c r="F2438" s="57"/>
      <c r="G2438" s="57"/>
      <c r="H2438" s="56"/>
      <c r="I2438" s="56"/>
      <c r="J2438" s="58"/>
      <c r="K2438" s="58"/>
      <c r="L2438" s="13" t="str">
        <f t="shared" ref="L2438:L2501" si="380">IF(OR($A2438="",AND($J2438="",$K2438="")),"",ROUND(N($J2438)-N($K2438),2))</f>
        <v/>
      </c>
      <c r="M2438" s="13" t="str">
        <f t="shared" ref="M2438:M2501" si="381">IF(OR($A2438="",AND($J2438="",$K2438="")),"",MIN($J2438,$K2438))</f>
        <v/>
      </c>
      <c r="Q2438" t="str">
        <f t="shared" ref="Q2438:Q2501" si="382">IF($A2438="","",$D2438&amp;"("&amp;SUBSTITUTE($E2438," ","")&amp;")")</f>
        <v/>
      </c>
      <c r="R2438" t="str">
        <f t="shared" ref="R2438:R2501" si="383">IF($A2438="","",$B2438&amp;" - "&amp;$C2438)</f>
        <v/>
      </c>
      <c r="S2438" t="str">
        <f t="shared" ref="S2438:S2501" si="384">IF($A2438="","",$R2438&amp;"|"&amp;$Q2438)</f>
        <v/>
      </c>
      <c r="T2438" t="str">
        <f t="shared" ref="T2438:T2501" si="385">IF($A2438="","",$S2438&amp;"|"&amp;$F2438)</f>
        <v/>
      </c>
      <c r="U2438" t="str">
        <f t="shared" ref="U2438:U2501" si="386">IF($A2438="","",$R2438&amp;"("&amp;$E2438&amp;")")</f>
        <v/>
      </c>
      <c r="V2438" t="str">
        <f t="shared" ref="V2438:V2501" si="387">IF($A2438="","",$F2438&amp;"|"&amp;$U2438&amp;"|"&amp;$D2438)</f>
        <v/>
      </c>
      <c r="W2438" t="str">
        <f t="shared" ref="W2438:W2501" si="388">IF($T2438="","",IF($X2438&gt;N($X2437),$X2438,""))</f>
        <v/>
      </c>
      <c r="X2438">
        <f>IF($T2438="",N($X2437),IF(MATCH($T2438,$T$6:$T$10005,0)=ROW()-5,N($X2437)+1,N($X2437)))</f>
        <v>0</v>
      </c>
      <c r="Z2438" t="str">
        <f t="shared" ref="Z2438:Z2501" si="389">IF($V2438="","",IF($AA2438&gt;N($AA2437),$AA2438,""))</f>
        <v/>
      </c>
      <c r="AA2438">
        <f>IF($V2438="",N($AA2437),IF(MATCH($V2438,$V$6:$V$10005,0)=ROW()-5,N($AA2437)+1,N($AA2437)))</f>
        <v>0</v>
      </c>
    </row>
    <row r="2439" spans="1:27" ht="21" customHeight="1" x14ac:dyDescent="0.95">
      <c r="A2439" s="56"/>
      <c r="B2439" s="57"/>
      <c r="C2439" s="57"/>
      <c r="D2439" s="57"/>
      <c r="E2439" s="56"/>
      <c r="F2439" s="57"/>
      <c r="G2439" s="57"/>
      <c r="H2439" s="56"/>
      <c r="I2439" s="56"/>
      <c r="J2439" s="58"/>
      <c r="K2439" s="58"/>
      <c r="L2439" s="13" t="str">
        <f t="shared" si="380"/>
        <v/>
      </c>
      <c r="M2439" s="13" t="str">
        <f t="shared" si="381"/>
        <v/>
      </c>
      <c r="Q2439" t="str">
        <f t="shared" si="382"/>
        <v/>
      </c>
      <c r="R2439" t="str">
        <f t="shared" si="383"/>
        <v/>
      </c>
      <c r="S2439" t="str">
        <f t="shared" si="384"/>
        <v/>
      </c>
      <c r="T2439" t="str">
        <f t="shared" si="385"/>
        <v/>
      </c>
      <c r="U2439" t="str">
        <f t="shared" si="386"/>
        <v/>
      </c>
      <c r="V2439" t="str">
        <f t="shared" si="387"/>
        <v/>
      </c>
      <c r="W2439" t="str">
        <f t="shared" si="388"/>
        <v/>
      </c>
      <c r="X2439">
        <f>IF($T2439="",N($X2438),IF(MATCH($T2439,$T$6:$T$10005,0)=ROW()-5,N($X2438)+1,N($X2438)))</f>
        <v>0</v>
      </c>
      <c r="Z2439" t="str">
        <f t="shared" si="389"/>
        <v/>
      </c>
      <c r="AA2439">
        <f>IF($V2439="",N($AA2438),IF(MATCH($V2439,$V$6:$V$10005,0)=ROW()-5,N($AA2438)+1,N($AA2438)))</f>
        <v>0</v>
      </c>
    </row>
    <row r="2440" spans="1:27" ht="21" customHeight="1" x14ac:dyDescent="0.95">
      <c r="A2440" s="56"/>
      <c r="B2440" s="57"/>
      <c r="C2440" s="57"/>
      <c r="D2440" s="57"/>
      <c r="E2440" s="56"/>
      <c r="F2440" s="57"/>
      <c r="G2440" s="57"/>
      <c r="H2440" s="56"/>
      <c r="I2440" s="56"/>
      <c r="J2440" s="58"/>
      <c r="K2440" s="58"/>
      <c r="L2440" s="13" t="str">
        <f t="shared" si="380"/>
        <v/>
      </c>
      <c r="M2440" s="13" t="str">
        <f t="shared" si="381"/>
        <v/>
      </c>
      <c r="Q2440" t="str">
        <f t="shared" si="382"/>
        <v/>
      </c>
      <c r="R2440" t="str">
        <f t="shared" si="383"/>
        <v/>
      </c>
      <c r="S2440" t="str">
        <f t="shared" si="384"/>
        <v/>
      </c>
      <c r="T2440" t="str">
        <f t="shared" si="385"/>
        <v/>
      </c>
      <c r="U2440" t="str">
        <f t="shared" si="386"/>
        <v/>
      </c>
      <c r="V2440" t="str">
        <f t="shared" si="387"/>
        <v/>
      </c>
      <c r="W2440" t="str">
        <f t="shared" si="388"/>
        <v/>
      </c>
      <c r="X2440">
        <f>IF($T2440="",N($X2439),IF(MATCH($T2440,$T$6:$T$10005,0)=ROW()-5,N($X2439)+1,N($X2439)))</f>
        <v>0</v>
      </c>
      <c r="Z2440" t="str">
        <f t="shared" si="389"/>
        <v/>
      </c>
      <c r="AA2440">
        <f>IF($V2440="",N($AA2439),IF(MATCH($V2440,$V$6:$V$10005,0)=ROW()-5,N($AA2439)+1,N($AA2439)))</f>
        <v>0</v>
      </c>
    </row>
    <row r="2441" spans="1:27" ht="21" customHeight="1" x14ac:dyDescent="0.95">
      <c r="A2441" s="56"/>
      <c r="B2441" s="57"/>
      <c r="C2441" s="57"/>
      <c r="D2441" s="57"/>
      <c r="E2441" s="56"/>
      <c r="F2441" s="57"/>
      <c r="G2441" s="57"/>
      <c r="H2441" s="56"/>
      <c r="I2441" s="56"/>
      <c r="J2441" s="58"/>
      <c r="K2441" s="58"/>
      <c r="L2441" s="13" t="str">
        <f t="shared" si="380"/>
        <v/>
      </c>
      <c r="M2441" s="13" t="str">
        <f t="shared" si="381"/>
        <v/>
      </c>
      <c r="Q2441" t="str">
        <f t="shared" si="382"/>
        <v/>
      </c>
      <c r="R2441" t="str">
        <f t="shared" si="383"/>
        <v/>
      </c>
      <c r="S2441" t="str">
        <f t="shared" si="384"/>
        <v/>
      </c>
      <c r="T2441" t="str">
        <f t="shared" si="385"/>
        <v/>
      </c>
      <c r="U2441" t="str">
        <f t="shared" si="386"/>
        <v/>
      </c>
      <c r="V2441" t="str">
        <f t="shared" si="387"/>
        <v/>
      </c>
      <c r="W2441" t="str">
        <f t="shared" si="388"/>
        <v/>
      </c>
      <c r="X2441">
        <f>IF($T2441="",N($X2440),IF(MATCH($T2441,$T$6:$T$10005,0)=ROW()-5,N($X2440)+1,N($X2440)))</f>
        <v>0</v>
      </c>
      <c r="Z2441" t="str">
        <f t="shared" si="389"/>
        <v/>
      </c>
      <c r="AA2441">
        <f>IF($V2441="",N($AA2440),IF(MATCH($V2441,$V$6:$V$10005,0)=ROW()-5,N($AA2440)+1,N($AA2440)))</f>
        <v>0</v>
      </c>
    </row>
    <row r="2442" spans="1:27" ht="21" customHeight="1" x14ac:dyDescent="0.95">
      <c r="A2442" s="56"/>
      <c r="B2442" s="57"/>
      <c r="C2442" s="57"/>
      <c r="D2442" s="57"/>
      <c r="E2442" s="56"/>
      <c r="F2442" s="57"/>
      <c r="G2442" s="57"/>
      <c r="H2442" s="56"/>
      <c r="I2442" s="56"/>
      <c r="J2442" s="58"/>
      <c r="K2442" s="58"/>
      <c r="L2442" s="13" t="str">
        <f t="shared" si="380"/>
        <v/>
      </c>
      <c r="M2442" s="13" t="str">
        <f t="shared" si="381"/>
        <v/>
      </c>
      <c r="Q2442" t="str">
        <f t="shared" si="382"/>
        <v/>
      </c>
      <c r="R2442" t="str">
        <f t="shared" si="383"/>
        <v/>
      </c>
      <c r="S2442" t="str">
        <f t="shared" si="384"/>
        <v/>
      </c>
      <c r="T2442" t="str">
        <f t="shared" si="385"/>
        <v/>
      </c>
      <c r="U2442" t="str">
        <f t="shared" si="386"/>
        <v/>
      </c>
      <c r="V2442" t="str">
        <f t="shared" si="387"/>
        <v/>
      </c>
      <c r="W2442" t="str">
        <f t="shared" si="388"/>
        <v/>
      </c>
      <c r="X2442">
        <f>IF($T2442="",N($X2441),IF(MATCH($T2442,$T$6:$T$10005,0)=ROW()-5,N($X2441)+1,N($X2441)))</f>
        <v>0</v>
      </c>
      <c r="Z2442" t="str">
        <f t="shared" si="389"/>
        <v/>
      </c>
      <c r="AA2442">
        <f>IF($V2442="",N($AA2441),IF(MATCH($V2442,$V$6:$V$10005,0)=ROW()-5,N($AA2441)+1,N($AA2441)))</f>
        <v>0</v>
      </c>
    </row>
    <row r="2443" spans="1:27" ht="21" customHeight="1" x14ac:dyDescent="0.95">
      <c r="A2443" s="56"/>
      <c r="B2443" s="57"/>
      <c r="C2443" s="57"/>
      <c r="D2443" s="57"/>
      <c r="E2443" s="56"/>
      <c r="F2443" s="57"/>
      <c r="G2443" s="57"/>
      <c r="H2443" s="56"/>
      <c r="I2443" s="56"/>
      <c r="J2443" s="58"/>
      <c r="K2443" s="58"/>
      <c r="L2443" s="13" t="str">
        <f t="shared" si="380"/>
        <v/>
      </c>
      <c r="M2443" s="13" t="str">
        <f t="shared" si="381"/>
        <v/>
      </c>
      <c r="Q2443" t="str">
        <f t="shared" si="382"/>
        <v/>
      </c>
      <c r="R2443" t="str">
        <f t="shared" si="383"/>
        <v/>
      </c>
      <c r="S2443" t="str">
        <f t="shared" si="384"/>
        <v/>
      </c>
      <c r="T2443" t="str">
        <f t="shared" si="385"/>
        <v/>
      </c>
      <c r="U2443" t="str">
        <f t="shared" si="386"/>
        <v/>
      </c>
      <c r="V2443" t="str">
        <f t="shared" si="387"/>
        <v/>
      </c>
      <c r="W2443" t="str">
        <f t="shared" si="388"/>
        <v/>
      </c>
      <c r="X2443">
        <f>IF($T2443="",N($X2442),IF(MATCH($T2443,$T$6:$T$10005,0)=ROW()-5,N($X2442)+1,N($X2442)))</f>
        <v>0</v>
      </c>
      <c r="Z2443" t="str">
        <f t="shared" si="389"/>
        <v/>
      </c>
      <c r="AA2443">
        <f>IF($V2443="",N($AA2442),IF(MATCH($V2443,$V$6:$V$10005,0)=ROW()-5,N($AA2442)+1,N($AA2442)))</f>
        <v>0</v>
      </c>
    </row>
    <row r="2444" spans="1:27" ht="21" customHeight="1" x14ac:dyDescent="0.95">
      <c r="A2444" s="56"/>
      <c r="B2444" s="57"/>
      <c r="C2444" s="57"/>
      <c r="D2444" s="57"/>
      <c r="E2444" s="56"/>
      <c r="F2444" s="57"/>
      <c r="G2444" s="57"/>
      <c r="H2444" s="56"/>
      <c r="I2444" s="56"/>
      <c r="J2444" s="58"/>
      <c r="K2444" s="58"/>
      <c r="L2444" s="13" t="str">
        <f t="shared" si="380"/>
        <v/>
      </c>
      <c r="M2444" s="13" t="str">
        <f t="shared" si="381"/>
        <v/>
      </c>
      <c r="Q2444" t="str">
        <f t="shared" si="382"/>
        <v/>
      </c>
      <c r="R2444" t="str">
        <f t="shared" si="383"/>
        <v/>
      </c>
      <c r="S2444" t="str">
        <f t="shared" si="384"/>
        <v/>
      </c>
      <c r="T2444" t="str">
        <f t="shared" si="385"/>
        <v/>
      </c>
      <c r="U2444" t="str">
        <f t="shared" si="386"/>
        <v/>
      </c>
      <c r="V2444" t="str">
        <f t="shared" si="387"/>
        <v/>
      </c>
      <c r="W2444" t="str">
        <f t="shared" si="388"/>
        <v/>
      </c>
      <c r="X2444">
        <f>IF($T2444="",N($X2443),IF(MATCH($T2444,$T$6:$T$10005,0)=ROW()-5,N($X2443)+1,N($X2443)))</f>
        <v>0</v>
      </c>
      <c r="Z2444" t="str">
        <f t="shared" si="389"/>
        <v/>
      </c>
      <c r="AA2444">
        <f>IF($V2444="",N($AA2443),IF(MATCH($V2444,$V$6:$V$10005,0)=ROW()-5,N($AA2443)+1,N($AA2443)))</f>
        <v>0</v>
      </c>
    </row>
    <row r="2445" spans="1:27" ht="21" customHeight="1" x14ac:dyDescent="0.95">
      <c r="A2445" s="56"/>
      <c r="B2445" s="57"/>
      <c r="C2445" s="57"/>
      <c r="D2445" s="57"/>
      <c r="E2445" s="56"/>
      <c r="F2445" s="57"/>
      <c r="G2445" s="57"/>
      <c r="H2445" s="56"/>
      <c r="I2445" s="56"/>
      <c r="J2445" s="58"/>
      <c r="K2445" s="58"/>
      <c r="L2445" s="13" t="str">
        <f t="shared" si="380"/>
        <v/>
      </c>
      <c r="M2445" s="13" t="str">
        <f t="shared" si="381"/>
        <v/>
      </c>
      <c r="Q2445" t="str">
        <f t="shared" si="382"/>
        <v/>
      </c>
      <c r="R2445" t="str">
        <f t="shared" si="383"/>
        <v/>
      </c>
      <c r="S2445" t="str">
        <f t="shared" si="384"/>
        <v/>
      </c>
      <c r="T2445" t="str">
        <f t="shared" si="385"/>
        <v/>
      </c>
      <c r="U2445" t="str">
        <f t="shared" si="386"/>
        <v/>
      </c>
      <c r="V2445" t="str">
        <f t="shared" si="387"/>
        <v/>
      </c>
      <c r="W2445" t="str">
        <f t="shared" si="388"/>
        <v/>
      </c>
      <c r="X2445">
        <f>IF($T2445="",N($X2444),IF(MATCH($T2445,$T$6:$T$10005,0)=ROW()-5,N($X2444)+1,N($X2444)))</f>
        <v>0</v>
      </c>
      <c r="Z2445" t="str">
        <f t="shared" si="389"/>
        <v/>
      </c>
      <c r="AA2445">
        <f>IF($V2445="",N($AA2444),IF(MATCH($V2445,$V$6:$V$10005,0)=ROW()-5,N($AA2444)+1,N($AA2444)))</f>
        <v>0</v>
      </c>
    </row>
    <row r="2446" spans="1:27" ht="21" customHeight="1" x14ac:dyDescent="0.95">
      <c r="A2446" s="56"/>
      <c r="B2446" s="57"/>
      <c r="C2446" s="57"/>
      <c r="D2446" s="57"/>
      <c r="E2446" s="56"/>
      <c r="F2446" s="57"/>
      <c r="G2446" s="57"/>
      <c r="H2446" s="56"/>
      <c r="I2446" s="56"/>
      <c r="J2446" s="58"/>
      <c r="K2446" s="58"/>
      <c r="L2446" s="13" t="str">
        <f t="shared" si="380"/>
        <v/>
      </c>
      <c r="M2446" s="13" t="str">
        <f t="shared" si="381"/>
        <v/>
      </c>
      <c r="Q2446" t="str">
        <f t="shared" si="382"/>
        <v/>
      </c>
      <c r="R2446" t="str">
        <f t="shared" si="383"/>
        <v/>
      </c>
      <c r="S2446" t="str">
        <f t="shared" si="384"/>
        <v/>
      </c>
      <c r="T2446" t="str">
        <f t="shared" si="385"/>
        <v/>
      </c>
      <c r="U2446" t="str">
        <f t="shared" si="386"/>
        <v/>
      </c>
      <c r="V2446" t="str">
        <f t="shared" si="387"/>
        <v/>
      </c>
      <c r="W2446" t="str">
        <f t="shared" si="388"/>
        <v/>
      </c>
      <c r="X2446">
        <f>IF($T2446="",N($X2445),IF(MATCH($T2446,$T$6:$T$10005,0)=ROW()-5,N($X2445)+1,N($X2445)))</f>
        <v>0</v>
      </c>
      <c r="Z2446" t="str">
        <f t="shared" si="389"/>
        <v/>
      </c>
      <c r="AA2446">
        <f>IF($V2446="",N($AA2445),IF(MATCH($V2446,$V$6:$V$10005,0)=ROW()-5,N($AA2445)+1,N($AA2445)))</f>
        <v>0</v>
      </c>
    </row>
    <row r="2447" spans="1:27" ht="21" customHeight="1" x14ac:dyDescent="0.95">
      <c r="A2447" s="56"/>
      <c r="B2447" s="57"/>
      <c r="C2447" s="57"/>
      <c r="D2447" s="57"/>
      <c r="E2447" s="56"/>
      <c r="F2447" s="57"/>
      <c r="G2447" s="57"/>
      <c r="H2447" s="56"/>
      <c r="I2447" s="56"/>
      <c r="J2447" s="58"/>
      <c r="K2447" s="58"/>
      <c r="L2447" s="13" t="str">
        <f t="shared" si="380"/>
        <v/>
      </c>
      <c r="M2447" s="13" t="str">
        <f t="shared" si="381"/>
        <v/>
      </c>
      <c r="Q2447" t="str">
        <f t="shared" si="382"/>
        <v/>
      </c>
      <c r="R2447" t="str">
        <f t="shared" si="383"/>
        <v/>
      </c>
      <c r="S2447" t="str">
        <f t="shared" si="384"/>
        <v/>
      </c>
      <c r="T2447" t="str">
        <f t="shared" si="385"/>
        <v/>
      </c>
      <c r="U2447" t="str">
        <f t="shared" si="386"/>
        <v/>
      </c>
      <c r="V2447" t="str">
        <f t="shared" si="387"/>
        <v/>
      </c>
      <c r="W2447" t="str">
        <f t="shared" si="388"/>
        <v/>
      </c>
      <c r="X2447">
        <f>IF($T2447="",N($X2446),IF(MATCH($T2447,$T$6:$T$10005,0)=ROW()-5,N($X2446)+1,N($X2446)))</f>
        <v>0</v>
      </c>
      <c r="Z2447" t="str">
        <f t="shared" si="389"/>
        <v/>
      </c>
      <c r="AA2447">
        <f>IF($V2447="",N($AA2446),IF(MATCH($V2447,$V$6:$V$10005,0)=ROW()-5,N($AA2446)+1,N($AA2446)))</f>
        <v>0</v>
      </c>
    </row>
    <row r="2448" spans="1:27" ht="21" customHeight="1" x14ac:dyDescent="0.95">
      <c r="A2448" s="56"/>
      <c r="B2448" s="57"/>
      <c r="C2448" s="57"/>
      <c r="D2448" s="57"/>
      <c r="E2448" s="56"/>
      <c r="F2448" s="57"/>
      <c r="G2448" s="57"/>
      <c r="H2448" s="56"/>
      <c r="I2448" s="56"/>
      <c r="J2448" s="58"/>
      <c r="K2448" s="58"/>
      <c r="L2448" s="13" t="str">
        <f t="shared" si="380"/>
        <v/>
      </c>
      <c r="M2448" s="13" t="str">
        <f t="shared" si="381"/>
        <v/>
      </c>
      <c r="Q2448" t="str">
        <f t="shared" si="382"/>
        <v/>
      </c>
      <c r="R2448" t="str">
        <f t="shared" si="383"/>
        <v/>
      </c>
      <c r="S2448" t="str">
        <f t="shared" si="384"/>
        <v/>
      </c>
      <c r="T2448" t="str">
        <f t="shared" si="385"/>
        <v/>
      </c>
      <c r="U2448" t="str">
        <f t="shared" si="386"/>
        <v/>
      </c>
      <c r="V2448" t="str">
        <f t="shared" si="387"/>
        <v/>
      </c>
      <c r="W2448" t="str">
        <f t="shared" si="388"/>
        <v/>
      </c>
      <c r="X2448">
        <f>IF($T2448="",N($X2447),IF(MATCH($T2448,$T$6:$T$10005,0)=ROW()-5,N($X2447)+1,N($X2447)))</f>
        <v>0</v>
      </c>
      <c r="Z2448" t="str">
        <f t="shared" si="389"/>
        <v/>
      </c>
      <c r="AA2448">
        <f>IF($V2448="",N($AA2447),IF(MATCH($V2448,$V$6:$V$10005,0)=ROW()-5,N($AA2447)+1,N($AA2447)))</f>
        <v>0</v>
      </c>
    </row>
    <row r="2449" spans="1:27" ht="21" customHeight="1" x14ac:dyDescent="0.95">
      <c r="A2449" s="56"/>
      <c r="B2449" s="57"/>
      <c r="C2449" s="57"/>
      <c r="D2449" s="57"/>
      <c r="E2449" s="56"/>
      <c r="F2449" s="57"/>
      <c r="G2449" s="57"/>
      <c r="H2449" s="56"/>
      <c r="I2449" s="56"/>
      <c r="J2449" s="58"/>
      <c r="K2449" s="58"/>
      <c r="L2449" s="13" t="str">
        <f t="shared" si="380"/>
        <v/>
      </c>
      <c r="M2449" s="13" t="str">
        <f t="shared" si="381"/>
        <v/>
      </c>
      <c r="Q2449" t="str">
        <f t="shared" si="382"/>
        <v/>
      </c>
      <c r="R2449" t="str">
        <f t="shared" si="383"/>
        <v/>
      </c>
      <c r="S2449" t="str">
        <f t="shared" si="384"/>
        <v/>
      </c>
      <c r="T2449" t="str">
        <f t="shared" si="385"/>
        <v/>
      </c>
      <c r="U2449" t="str">
        <f t="shared" si="386"/>
        <v/>
      </c>
      <c r="V2449" t="str">
        <f t="shared" si="387"/>
        <v/>
      </c>
      <c r="W2449" t="str">
        <f t="shared" si="388"/>
        <v/>
      </c>
      <c r="X2449">
        <f>IF($T2449="",N($X2448),IF(MATCH($T2449,$T$6:$T$10005,0)=ROW()-5,N($X2448)+1,N($X2448)))</f>
        <v>0</v>
      </c>
      <c r="Z2449" t="str">
        <f t="shared" si="389"/>
        <v/>
      </c>
      <c r="AA2449">
        <f>IF($V2449="",N($AA2448),IF(MATCH($V2449,$V$6:$V$10005,0)=ROW()-5,N($AA2448)+1,N($AA2448)))</f>
        <v>0</v>
      </c>
    </row>
    <row r="2450" spans="1:27" ht="21" customHeight="1" x14ac:dyDescent="0.95">
      <c r="A2450" s="56"/>
      <c r="B2450" s="57"/>
      <c r="C2450" s="57"/>
      <c r="D2450" s="57"/>
      <c r="E2450" s="56"/>
      <c r="F2450" s="57"/>
      <c r="G2450" s="57"/>
      <c r="H2450" s="56"/>
      <c r="I2450" s="56"/>
      <c r="J2450" s="58"/>
      <c r="K2450" s="58"/>
      <c r="L2450" s="13" t="str">
        <f t="shared" si="380"/>
        <v/>
      </c>
      <c r="M2450" s="13" t="str">
        <f t="shared" si="381"/>
        <v/>
      </c>
      <c r="Q2450" t="str">
        <f t="shared" si="382"/>
        <v/>
      </c>
      <c r="R2450" t="str">
        <f t="shared" si="383"/>
        <v/>
      </c>
      <c r="S2450" t="str">
        <f t="shared" si="384"/>
        <v/>
      </c>
      <c r="T2450" t="str">
        <f t="shared" si="385"/>
        <v/>
      </c>
      <c r="U2450" t="str">
        <f t="shared" si="386"/>
        <v/>
      </c>
      <c r="V2450" t="str">
        <f t="shared" si="387"/>
        <v/>
      </c>
      <c r="W2450" t="str">
        <f t="shared" si="388"/>
        <v/>
      </c>
      <c r="X2450">
        <f>IF($T2450="",N($X2449),IF(MATCH($T2450,$T$6:$T$10005,0)=ROW()-5,N($X2449)+1,N($X2449)))</f>
        <v>0</v>
      </c>
      <c r="Z2450" t="str">
        <f t="shared" si="389"/>
        <v/>
      </c>
      <c r="AA2450">
        <f>IF($V2450="",N($AA2449),IF(MATCH($V2450,$V$6:$V$10005,0)=ROW()-5,N($AA2449)+1,N($AA2449)))</f>
        <v>0</v>
      </c>
    </row>
    <row r="2451" spans="1:27" ht="21" customHeight="1" x14ac:dyDescent="0.95">
      <c r="A2451" s="56"/>
      <c r="B2451" s="57"/>
      <c r="C2451" s="57"/>
      <c r="D2451" s="57"/>
      <c r="E2451" s="56"/>
      <c r="F2451" s="57"/>
      <c r="G2451" s="57"/>
      <c r="H2451" s="56"/>
      <c r="I2451" s="56"/>
      <c r="J2451" s="58"/>
      <c r="K2451" s="58"/>
      <c r="L2451" s="13" t="str">
        <f t="shared" si="380"/>
        <v/>
      </c>
      <c r="M2451" s="13" t="str">
        <f t="shared" si="381"/>
        <v/>
      </c>
      <c r="Q2451" t="str">
        <f t="shared" si="382"/>
        <v/>
      </c>
      <c r="R2451" t="str">
        <f t="shared" si="383"/>
        <v/>
      </c>
      <c r="S2451" t="str">
        <f t="shared" si="384"/>
        <v/>
      </c>
      <c r="T2451" t="str">
        <f t="shared" si="385"/>
        <v/>
      </c>
      <c r="U2451" t="str">
        <f t="shared" si="386"/>
        <v/>
      </c>
      <c r="V2451" t="str">
        <f t="shared" si="387"/>
        <v/>
      </c>
      <c r="W2451" t="str">
        <f t="shared" si="388"/>
        <v/>
      </c>
      <c r="X2451">
        <f>IF($T2451="",N($X2450),IF(MATCH($T2451,$T$6:$T$10005,0)=ROW()-5,N($X2450)+1,N($X2450)))</f>
        <v>0</v>
      </c>
      <c r="Z2451" t="str">
        <f t="shared" si="389"/>
        <v/>
      </c>
      <c r="AA2451">
        <f>IF($V2451="",N($AA2450),IF(MATCH($V2451,$V$6:$V$10005,0)=ROW()-5,N($AA2450)+1,N($AA2450)))</f>
        <v>0</v>
      </c>
    </row>
    <row r="2452" spans="1:27" ht="21" customHeight="1" x14ac:dyDescent="0.95">
      <c r="A2452" s="56"/>
      <c r="B2452" s="57"/>
      <c r="C2452" s="57"/>
      <c r="D2452" s="57"/>
      <c r="E2452" s="56"/>
      <c r="F2452" s="57"/>
      <c r="G2452" s="57"/>
      <c r="H2452" s="56"/>
      <c r="I2452" s="56"/>
      <c r="J2452" s="58"/>
      <c r="K2452" s="58"/>
      <c r="L2452" s="13" t="str">
        <f t="shared" si="380"/>
        <v/>
      </c>
      <c r="M2452" s="13" t="str">
        <f t="shared" si="381"/>
        <v/>
      </c>
      <c r="Q2452" t="str">
        <f t="shared" si="382"/>
        <v/>
      </c>
      <c r="R2452" t="str">
        <f t="shared" si="383"/>
        <v/>
      </c>
      <c r="S2452" t="str">
        <f t="shared" si="384"/>
        <v/>
      </c>
      <c r="T2452" t="str">
        <f t="shared" si="385"/>
        <v/>
      </c>
      <c r="U2452" t="str">
        <f t="shared" si="386"/>
        <v/>
      </c>
      <c r="V2452" t="str">
        <f t="shared" si="387"/>
        <v/>
      </c>
      <c r="W2452" t="str">
        <f t="shared" si="388"/>
        <v/>
      </c>
      <c r="X2452">
        <f>IF($T2452="",N($X2451),IF(MATCH($T2452,$T$6:$T$10005,0)=ROW()-5,N($X2451)+1,N($X2451)))</f>
        <v>0</v>
      </c>
      <c r="Z2452" t="str">
        <f t="shared" si="389"/>
        <v/>
      </c>
      <c r="AA2452">
        <f>IF($V2452="",N($AA2451),IF(MATCH($V2452,$V$6:$V$10005,0)=ROW()-5,N($AA2451)+1,N($AA2451)))</f>
        <v>0</v>
      </c>
    </row>
    <row r="2453" spans="1:27" ht="21" customHeight="1" x14ac:dyDescent="0.95">
      <c r="A2453" s="56"/>
      <c r="B2453" s="57"/>
      <c r="C2453" s="57"/>
      <c r="D2453" s="57"/>
      <c r="E2453" s="56"/>
      <c r="F2453" s="57"/>
      <c r="G2453" s="57"/>
      <c r="H2453" s="56"/>
      <c r="I2453" s="56"/>
      <c r="J2453" s="58"/>
      <c r="K2453" s="58"/>
      <c r="L2453" s="13" t="str">
        <f t="shared" si="380"/>
        <v/>
      </c>
      <c r="M2453" s="13" t="str">
        <f t="shared" si="381"/>
        <v/>
      </c>
      <c r="Q2453" t="str">
        <f t="shared" si="382"/>
        <v/>
      </c>
      <c r="R2453" t="str">
        <f t="shared" si="383"/>
        <v/>
      </c>
      <c r="S2453" t="str">
        <f t="shared" si="384"/>
        <v/>
      </c>
      <c r="T2453" t="str">
        <f t="shared" si="385"/>
        <v/>
      </c>
      <c r="U2453" t="str">
        <f t="shared" si="386"/>
        <v/>
      </c>
      <c r="V2453" t="str">
        <f t="shared" si="387"/>
        <v/>
      </c>
      <c r="W2453" t="str">
        <f t="shared" si="388"/>
        <v/>
      </c>
      <c r="X2453">
        <f>IF($T2453="",N($X2452),IF(MATCH($T2453,$T$6:$T$10005,0)=ROW()-5,N($X2452)+1,N($X2452)))</f>
        <v>0</v>
      </c>
      <c r="Z2453" t="str">
        <f t="shared" si="389"/>
        <v/>
      </c>
      <c r="AA2453">
        <f>IF($V2453="",N($AA2452),IF(MATCH($V2453,$V$6:$V$10005,0)=ROW()-5,N($AA2452)+1,N($AA2452)))</f>
        <v>0</v>
      </c>
    </row>
    <row r="2454" spans="1:27" ht="21" customHeight="1" x14ac:dyDescent="0.95">
      <c r="A2454" s="56"/>
      <c r="B2454" s="57"/>
      <c r="C2454" s="57"/>
      <c r="D2454" s="57"/>
      <c r="E2454" s="56"/>
      <c r="F2454" s="57"/>
      <c r="G2454" s="57"/>
      <c r="H2454" s="56"/>
      <c r="I2454" s="56"/>
      <c r="J2454" s="58"/>
      <c r="K2454" s="58"/>
      <c r="L2454" s="13" t="str">
        <f t="shared" si="380"/>
        <v/>
      </c>
      <c r="M2454" s="13" t="str">
        <f t="shared" si="381"/>
        <v/>
      </c>
      <c r="Q2454" t="str">
        <f t="shared" si="382"/>
        <v/>
      </c>
      <c r="R2454" t="str">
        <f t="shared" si="383"/>
        <v/>
      </c>
      <c r="S2454" t="str">
        <f t="shared" si="384"/>
        <v/>
      </c>
      <c r="T2454" t="str">
        <f t="shared" si="385"/>
        <v/>
      </c>
      <c r="U2454" t="str">
        <f t="shared" si="386"/>
        <v/>
      </c>
      <c r="V2454" t="str">
        <f t="shared" si="387"/>
        <v/>
      </c>
      <c r="W2454" t="str">
        <f t="shared" si="388"/>
        <v/>
      </c>
      <c r="X2454">
        <f>IF($T2454="",N($X2453),IF(MATCH($T2454,$T$6:$T$10005,0)=ROW()-5,N($X2453)+1,N($X2453)))</f>
        <v>0</v>
      </c>
      <c r="Z2454" t="str">
        <f t="shared" si="389"/>
        <v/>
      </c>
      <c r="AA2454">
        <f>IF($V2454="",N($AA2453),IF(MATCH($V2454,$V$6:$V$10005,0)=ROW()-5,N($AA2453)+1,N($AA2453)))</f>
        <v>0</v>
      </c>
    </row>
    <row r="2455" spans="1:27" ht="21" customHeight="1" x14ac:dyDescent="0.95">
      <c r="A2455" s="56"/>
      <c r="B2455" s="57"/>
      <c r="C2455" s="57"/>
      <c r="D2455" s="57"/>
      <c r="E2455" s="56"/>
      <c r="F2455" s="57"/>
      <c r="G2455" s="57"/>
      <c r="H2455" s="56"/>
      <c r="I2455" s="56"/>
      <c r="J2455" s="58"/>
      <c r="K2455" s="58"/>
      <c r="L2455" s="13" t="str">
        <f t="shared" si="380"/>
        <v/>
      </c>
      <c r="M2455" s="13" t="str">
        <f t="shared" si="381"/>
        <v/>
      </c>
      <c r="Q2455" t="str">
        <f t="shared" si="382"/>
        <v/>
      </c>
      <c r="R2455" t="str">
        <f t="shared" si="383"/>
        <v/>
      </c>
      <c r="S2455" t="str">
        <f t="shared" si="384"/>
        <v/>
      </c>
      <c r="T2455" t="str">
        <f t="shared" si="385"/>
        <v/>
      </c>
      <c r="U2455" t="str">
        <f t="shared" si="386"/>
        <v/>
      </c>
      <c r="V2455" t="str">
        <f t="shared" si="387"/>
        <v/>
      </c>
      <c r="W2455" t="str">
        <f t="shared" si="388"/>
        <v/>
      </c>
      <c r="X2455">
        <f>IF($T2455="",N($X2454),IF(MATCH($T2455,$T$6:$T$10005,0)=ROW()-5,N($X2454)+1,N($X2454)))</f>
        <v>0</v>
      </c>
      <c r="Z2455" t="str">
        <f t="shared" si="389"/>
        <v/>
      </c>
      <c r="AA2455">
        <f>IF($V2455="",N($AA2454),IF(MATCH($V2455,$V$6:$V$10005,0)=ROW()-5,N($AA2454)+1,N($AA2454)))</f>
        <v>0</v>
      </c>
    </row>
    <row r="2456" spans="1:27" ht="21" customHeight="1" x14ac:dyDescent="0.95">
      <c r="A2456" s="56"/>
      <c r="B2456" s="57"/>
      <c r="C2456" s="57"/>
      <c r="D2456" s="57"/>
      <c r="E2456" s="56"/>
      <c r="F2456" s="57"/>
      <c r="G2456" s="57"/>
      <c r="H2456" s="56"/>
      <c r="I2456" s="56"/>
      <c r="J2456" s="58"/>
      <c r="K2456" s="58"/>
      <c r="L2456" s="13" t="str">
        <f t="shared" si="380"/>
        <v/>
      </c>
      <c r="M2456" s="13" t="str">
        <f t="shared" si="381"/>
        <v/>
      </c>
      <c r="Q2456" t="str">
        <f t="shared" si="382"/>
        <v/>
      </c>
      <c r="R2456" t="str">
        <f t="shared" si="383"/>
        <v/>
      </c>
      <c r="S2456" t="str">
        <f t="shared" si="384"/>
        <v/>
      </c>
      <c r="T2456" t="str">
        <f t="shared" si="385"/>
        <v/>
      </c>
      <c r="U2456" t="str">
        <f t="shared" si="386"/>
        <v/>
      </c>
      <c r="V2456" t="str">
        <f t="shared" si="387"/>
        <v/>
      </c>
      <c r="W2456" t="str">
        <f t="shared" si="388"/>
        <v/>
      </c>
      <c r="X2456">
        <f>IF($T2456="",N($X2455),IF(MATCH($T2456,$T$6:$T$10005,0)=ROW()-5,N($X2455)+1,N($X2455)))</f>
        <v>0</v>
      </c>
      <c r="Z2456" t="str">
        <f t="shared" si="389"/>
        <v/>
      </c>
      <c r="AA2456">
        <f>IF($V2456="",N($AA2455),IF(MATCH($V2456,$V$6:$V$10005,0)=ROW()-5,N($AA2455)+1,N($AA2455)))</f>
        <v>0</v>
      </c>
    </row>
    <row r="2457" spans="1:27" ht="21" customHeight="1" x14ac:dyDescent="0.95">
      <c r="A2457" s="56"/>
      <c r="B2457" s="57"/>
      <c r="C2457" s="57"/>
      <c r="D2457" s="57"/>
      <c r="E2457" s="56"/>
      <c r="F2457" s="57"/>
      <c r="G2457" s="57"/>
      <c r="H2457" s="56"/>
      <c r="I2457" s="56"/>
      <c r="J2457" s="58"/>
      <c r="K2457" s="58"/>
      <c r="L2457" s="13" t="str">
        <f t="shared" si="380"/>
        <v/>
      </c>
      <c r="M2457" s="13" t="str">
        <f t="shared" si="381"/>
        <v/>
      </c>
      <c r="Q2457" t="str">
        <f t="shared" si="382"/>
        <v/>
      </c>
      <c r="R2457" t="str">
        <f t="shared" si="383"/>
        <v/>
      </c>
      <c r="S2457" t="str">
        <f t="shared" si="384"/>
        <v/>
      </c>
      <c r="T2457" t="str">
        <f t="shared" si="385"/>
        <v/>
      </c>
      <c r="U2457" t="str">
        <f t="shared" si="386"/>
        <v/>
      </c>
      <c r="V2457" t="str">
        <f t="shared" si="387"/>
        <v/>
      </c>
      <c r="W2457" t="str">
        <f t="shared" si="388"/>
        <v/>
      </c>
      <c r="X2457">
        <f>IF($T2457="",N($X2456),IF(MATCH($T2457,$T$6:$T$10005,0)=ROW()-5,N($X2456)+1,N($X2456)))</f>
        <v>0</v>
      </c>
      <c r="Z2457" t="str">
        <f t="shared" si="389"/>
        <v/>
      </c>
      <c r="AA2457">
        <f>IF($V2457="",N($AA2456),IF(MATCH($V2457,$V$6:$V$10005,0)=ROW()-5,N($AA2456)+1,N($AA2456)))</f>
        <v>0</v>
      </c>
    </row>
    <row r="2458" spans="1:27" ht="21" customHeight="1" x14ac:dyDescent="0.95">
      <c r="A2458" s="56"/>
      <c r="B2458" s="57"/>
      <c r="C2458" s="57"/>
      <c r="D2458" s="57"/>
      <c r="E2458" s="56"/>
      <c r="F2458" s="57"/>
      <c r="G2458" s="57"/>
      <c r="H2458" s="56"/>
      <c r="I2458" s="56"/>
      <c r="J2458" s="58"/>
      <c r="K2458" s="58"/>
      <c r="L2458" s="13" t="str">
        <f t="shared" si="380"/>
        <v/>
      </c>
      <c r="M2458" s="13" t="str">
        <f t="shared" si="381"/>
        <v/>
      </c>
      <c r="Q2458" t="str">
        <f t="shared" si="382"/>
        <v/>
      </c>
      <c r="R2458" t="str">
        <f t="shared" si="383"/>
        <v/>
      </c>
      <c r="S2458" t="str">
        <f t="shared" si="384"/>
        <v/>
      </c>
      <c r="T2458" t="str">
        <f t="shared" si="385"/>
        <v/>
      </c>
      <c r="U2458" t="str">
        <f t="shared" si="386"/>
        <v/>
      </c>
      <c r="V2458" t="str">
        <f t="shared" si="387"/>
        <v/>
      </c>
      <c r="W2458" t="str">
        <f t="shared" si="388"/>
        <v/>
      </c>
      <c r="X2458">
        <f>IF($T2458="",N($X2457),IF(MATCH($T2458,$T$6:$T$10005,0)=ROW()-5,N($X2457)+1,N($X2457)))</f>
        <v>0</v>
      </c>
      <c r="Z2458" t="str">
        <f t="shared" si="389"/>
        <v/>
      </c>
      <c r="AA2458">
        <f>IF($V2458="",N($AA2457),IF(MATCH($V2458,$V$6:$V$10005,0)=ROW()-5,N($AA2457)+1,N($AA2457)))</f>
        <v>0</v>
      </c>
    </row>
    <row r="2459" spans="1:27" ht="21" customHeight="1" x14ac:dyDescent="0.95">
      <c r="A2459" s="56"/>
      <c r="B2459" s="57"/>
      <c r="C2459" s="57"/>
      <c r="D2459" s="57"/>
      <c r="E2459" s="56"/>
      <c r="F2459" s="57"/>
      <c r="G2459" s="57"/>
      <c r="H2459" s="56"/>
      <c r="I2459" s="56"/>
      <c r="J2459" s="58"/>
      <c r="K2459" s="58"/>
      <c r="L2459" s="13" t="str">
        <f t="shared" si="380"/>
        <v/>
      </c>
      <c r="M2459" s="13" t="str">
        <f t="shared" si="381"/>
        <v/>
      </c>
      <c r="Q2459" t="str">
        <f t="shared" si="382"/>
        <v/>
      </c>
      <c r="R2459" t="str">
        <f t="shared" si="383"/>
        <v/>
      </c>
      <c r="S2459" t="str">
        <f t="shared" si="384"/>
        <v/>
      </c>
      <c r="T2459" t="str">
        <f t="shared" si="385"/>
        <v/>
      </c>
      <c r="U2459" t="str">
        <f t="shared" si="386"/>
        <v/>
      </c>
      <c r="V2459" t="str">
        <f t="shared" si="387"/>
        <v/>
      </c>
      <c r="W2459" t="str">
        <f t="shared" si="388"/>
        <v/>
      </c>
      <c r="X2459">
        <f>IF($T2459="",N($X2458),IF(MATCH($T2459,$T$6:$T$10005,0)=ROW()-5,N($X2458)+1,N($X2458)))</f>
        <v>0</v>
      </c>
      <c r="Z2459" t="str">
        <f t="shared" si="389"/>
        <v/>
      </c>
      <c r="AA2459">
        <f>IF($V2459="",N($AA2458),IF(MATCH($V2459,$V$6:$V$10005,0)=ROW()-5,N($AA2458)+1,N($AA2458)))</f>
        <v>0</v>
      </c>
    </row>
    <row r="2460" spans="1:27" ht="21" customHeight="1" x14ac:dyDescent="0.95">
      <c r="A2460" s="56"/>
      <c r="B2460" s="57"/>
      <c r="C2460" s="57"/>
      <c r="D2460" s="57"/>
      <c r="E2460" s="56"/>
      <c r="F2460" s="57"/>
      <c r="G2460" s="57"/>
      <c r="H2460" s="56"/>
      <c r="I2460" s="56"/>
      <c r="J2460" s="58"/>
      <c r="K2460" s="58"/>
      <c r="L2460" s="13" t="str">
        <f t="shared" si="380"/>
        <v/>
      </c>
      <c r="M2460" s="13" t="str">
        <f t="shared" si="381"/>
        <v/>
      </c>
      <c r="Q2460" t="str">
        <f t="shared" si="382"/>
        <v/>
      </c>
      <c r="R2460" t="str">
        <f t="shared" si="383"/>
        <v/>
      </c>
      <c r="S2460" t="str">
        <f t="shared" si="384"/>
        <v/>
      </c>
      <c r="T2460" t="str">
        <f t="shared" si="385"/>
        <v/>
      </c>
      <c r="U2460" t="str">
        <f t="shared" si="386"/>
        <v/>
      </c>
      <c r="V2460" t="str">
        <f t="shared" si="387"/>
        <v/>
      </c>
      <c r="W2460" t="str">
        <f t="shared" si="388"/>
        <v/>
      </c>
      <c r="X2460">
        <f>IF($T2460="",N($X2459),IF(MATCH($T2460,$T$6:$T$10005,0)=ROW()-5,N($X2459)+1,N($X2459)))</f>
        <v>0</v>
      </c>
      <c r="Z2460" t="str">
        <f t="shared" si="389"/>
        <v/>
      </c>
      <c r="AA2460">
        <f>IF($V2460="",N($AA2459),IF(MATCH($V2460,$V$6:$V$10005,0)=ROW()-5,N($AA2459)+1,N($AA2459)))</f>
        <v>0</v>
      </c>
    </row>
    <row r="2461" spans="1:27" ht="21" customHeight="1" x14ac:dyDescent="0.95">
      <c r="A2461" s="56"/>
      <c r="B2461" s="57"/>
      <c r="C2461" s="57"/>
      <c r="D2461" s="57"/>
      <c r="E2461" s="56"/>
      <c r="F2461" s="57"/>
      <c r="G2461" s="57"/>
      <c r="H2461" s="56"/>
      <c r="I2461" s="56"/>
      <c r="J2461" s="58"/>
      <c r="K2461" s="58"/>
      <c r="L2461" s="13" t="str">
        <f t="shared" si="380"/>
        <v/>
      </c>
      <c r="M2461" s="13" t="str">
        <f t="shared" si="381"/>
        <v/>
      </c>
      <c r="Q2461" t="str">
        <f t="shared" si="382"/>
        <v/>
      </c>
      <c r="R2461" t="str">
        <f t="shared" si="383"/>
        <v/>
      </c>
      <c r="S2461" t="str">
        <f t="shared" si="384"/>
        <v/>
      </c>
      <c r="T2461" t="str">
        <f t="shared" si="385"/>
        <v/>
      </c>
      <c r="U2461" t="str">
        <f t="shared" si="386"/>
        <v/>
      </c>
      <c r="V2461" t="str">
        <f t="shared" si="387"/>
        <v/>
      </c>
      <c r="W2461" t="str">
        <f t="shared" si="388"/>
        <v/>
      </c>
      <c r="X2461">
        <f>IF($T2461="",N($X2460),IF(MATCH($T2461,$T$6:$T$10005,0)=ROW()-5,N($X2460)+1,N($X2460)))</f>
        <v>0</v>
      </c>
      <c r="Z2461" t="str">
        <f t="shared" si="389"/>
        <v/>
      </c>
      <c r="AA2461">
        <f>IF($V2461="",N($AA2460),IF(MATCH($V2461,$V$6:$V$10005,0)=ROW()-5,N($AA2460)+1,N($AA2460)))</f>
        <v>0</v>
      </c>
    </row>
    <row r="2462" spans="1:27" ht="21" customHeight="1" x14ac:dyDescent="0.95">
      <c r="A2462" s="56"/>
      <c r="B2462" s="57"/>
      <c r="C2462" s="57"/>
      <c r="D2462" s="57"/>
      <c r="E2462" s="56"/>
      <c r="F2462" s="57"/>
      <c r="G2462" s="57"/>
      <c r="H2462" s="56"/>
      <c r="I2462" s="56"/>
      <c r="J2462" s="58"/>
      <c r="K2462" s="58"/>
      <c r="L2462" s="13" t="str">
        <f t="shared" si="380"/>
        <v/>
      </c>
      <c r="M2462" s="13" t="str">
        <f t="shared" si="381"/>
        <v/>
      </c>
      <c r="Q2462" t="str">
        <f t="shared" si="382"/>
        <v/>
      </c>
      <c r="R2462" t="str">
        <f t="shared" si="383"/>
        <v/>
      </c>
      <c r="S2462" t="str">
        <f t="shared" si="384"/>
        <v/>
      </c>
      <c r="T2462" t="str">
        <f t="shared" si="385"/>
        <v/>
      </c>
      <c r="U2462" t="str">
        <f t="shared" si="386"/>
        <v/>
      </c>
      <c r="V2462" t="str">
        <f t="shared" si="387"/>
        <v/>
      </c>
      <c r="W2462" t="str">
        <f t="shared" si="388"/>
        <v/>
      </c>
      <c r="X2462">
        <f>IF($T2462="",N($X2461),IF(MATCH($T2462,$T$6:$T$10005,0)=ROW()-5,N($X2461)+1,N($X2461)))</f>
        <v>0</v>
      </c>
      <c r="Z2462" t="str">
        <f t="shared" si="389"/>
        <v/>
      </c>
      <c r="AA2462">
        <f>IF($V2462="",N($AA2461),IF(MATCH($V2462,$V$6:$V$10005,0)=ROW()-5,N($AA2461)+1,N($AA2461)))</f>
        <v>0</v>
      </c>
    </row>
    <row r="2463" spans="1:27" ht="21" customHeight="1" x14ac:dyDescent="0.95">
      <c r="A2463" s="56"/>
      <c r="B2463" s="57"/>
      <c r="C2463" s="57"/>
      <c r="D2463" s="57"/>
      <c r="E2463" s="56"/>
      <c r="F2463" s="57"/>
      <c r="G2463" s="57"/>
      <c r="H2463" s="56"/>
      <c r="I2463" s="56"/>
      <c r="J2463" s="58"/>
      <c r="K2463" s="58"/>
      <c r="L2463" s="13" t="str">
        <f t="shared" si="380"/>
        <v/>
      </c>
      <c r="M2463" s="13" t="str">
        <f t="shared" si="381"/>
        <v/>
      </c>
      <c r="Q2463" t="str">
        <f t="shared" si="382"/>
        <v/>
      </c>
      <c r="R2463" t="str">
        <f t="shared" si="383"/>
        <v/>
      </c>
      <c r="S2463" t="str">
        <f t="shared" si="384"/>
        <v/>
      </c>
      <c r="T2463" t="str">
        <f t="shared" si="385"/>
        <v/>
      </c>
      <c r="U2463" t="str">
        <f t="shared" si="386"/>
        <v/>
      </c>
      <c r="V2463" t="str">
        <f t="shared" si="387"/>
        <v/>
      </c>
      <c r="W2463" t="str">
        <f t="shared" si="388"/>
        <v/>
      </c>
      <c r="X2463">
        <f>IF($T2463="",N($X2462),IF(MATCH($T2463,$T$6:$T$10005,0)=ROW()-5,N($X2462)+1,N($X2462)))</f>
        <v>0</v>
      </c>
      <c r="Z2463" t="str">
        <f t="shared" si="389"/>
        <v/>
      </c>
      <c r="AA2463">
        <f>IF($V2463="",N($AA2462),IF(MATCH($V2463,$V$6:$V$10005,0)=ROW()-5,N($AA2462)+1,N($AA2462)))</f>
        <v>0</v>
      </c>
    </row>
    <row r="2464" spans="1:27" ht="21" customHeight="1" x14ac:dyDescent="0.95">
      <c r="A2464" s="56"/>
      <c r="B2464" s="57"/>
      <c r="C2464" s="57"/>
      <c r="D2464" s="57"/>
      <c r="E2464" s="56"/>
      <c r="F2464" s="57"/>
      <c r="G2464" s="57"/>
      <c r="H2464" s="56"/>
      <c r="I2464" s="56"/>
      <c r="J2464" s="58"/>
      <c r="K2464" s="58"/>
      <c r="L2464" s="13" t="str">
        <f t="shared" si="380"/>
        <v/>
      </c>
      <c r="M2464" s="13" t="str">
        <f t="shared" si="381"/>
        <v/>
      </c>
      <c r="Q2464" t="str">
        <f t="shared" si="382"/>
        <v/>
      </c>
      <c r="R2464" t="str">
        <f t="shared" si="383"/>
        <v/>
      </c>
      <c r="S2464" t="str">
        <f t="shared" si="384"/>
        <v/>
      </c>
      <c r="T2464" t="str">
        <f t="shared" si="385"/>
        <v/>
      </c>
      <c r="U2464" t="str">
        <f t="shared" si="386"/>
        <v/>
      </c>
      <c r="V2464" t="str">
        <f t="shared" si="387"/>
        <v/>
      </c>
      <c r="W2464" t="str">
        <f t="shared" si="388"/>
        <v/>
      </c>
      <c r="X2464">
        <f>IF($T2464="",N($X2463),IF(MATCH($T2464,$T$6:$T$10005,0)=ROW()-5,N($X2463)+1,N($X2463)))</f>
        <v>0</v>
      </c>
      <c r="Z2464" t="str">
        <f t="shared" si="389"/>
        <v/>
      </c>
      <c r="AA2464">
        <f>IF($V2464="",N($AA2463),IF(MATCH($V2464,$V$6:$V$10005,0)=ROW()-5,N($AA2463)+1,N($AA2463)))</f>
        <v>0</v>
      </c>
    </row>
    <row r="2465" spans="1:27" ht="21" customHeight="1" x14ac:dyDescent="0.95">
      <c r="A2465" s="56"/>
      <c r="B2465" s="57"/>
      <c r="C2465" s="57"/>
      <c r="D2465" s="57"/>
      <c r="E2465" s="56"/>
      <c r="F2465" s="57"/>
      <c r="G2465" s="57"/>
      <c r="H2465" s="56"/>
      <c r="I2465" s="56"/>
      <c r="J2465" s="58"/>
      <c r="K2465" s="58"/>
      <c r="L2465" s="13" t="str">
        <f t="shared" si="380"/>
        <v/>
      </c>
      <c r="M2465" s="13" t="str">
        <f t="shared" si="381"/>
        <v/>
      </c>
      <c r="Q2465" t="str">
        <f t="shared" si="382"/>
        <v/>
      </c>
      <c r="R2465" t="str">
        <f t="shared" si="383"/>
        <v/>
      </c>
      <c r="S2465" t="str">
        <f t="shared" si="384"/>
        <v/>
      </c>
      <c r="T2465" t="str">
        <f t="shared" si="385"/>
        <v/>
      </c>
      <c r="U2465" t="str">
        <f t="shared" si="386"/>
        <v/>
      </c>
      <c r="V2465" t="str">
        <f t="shared" si="387"/>
        <v/>
      </c>
      <c r="W2465" t="str">
        <f t="shared" si="388"/>
        <v/>
      </c>
      <c r="X2465">
        <f>IF($T2465="",N($X2464),IF(MATCH($T2465,$T$6:$T$10005,0)=ROW()-5,N($X2464)+1,N($X2464)))</f>
        <v>0</v>
      </c>
      <c r="Z2465" t="str">
        <f t="shared" si="389"/>
        <v/>
      </c>
      <c r="AA2465">
        <f>IF($V2465="",N($AA2464),IF(MATCH($V2465,$V$6:$V$10005,0)=ROW()-5,N($AA2464)+1,N($AA2464)))</f>
        <v>0</v>
      </c>
    </row>
    <row r="2466" spans="1:27" ht="21" customHeight="1" x14ac:dyDescent="0.95">
      <c r="A2466" s="56"/>
      <c r="B2466" s="57"/>
      <c r="C2466" s="57"/>
      <c r="D2466" s="57"/>
      <c r="E2466" s="56"/>
      <c r="F2466" s="57"/>
      <c r="G2466" s="57"/>
      <c r="H2466" s="56"/>
      <c r="I2466" s="56"/>
      <c r="J2466" s="58"/>
      <c r="K2466" s="58"/>
      <c r="L2466" s="13" t="str">
        <f t="shared" si="380"/>
        <v/>
      </c>
      <c r="M2466" s="13" t="str">
        <f t="shared" si="381"/>
        <v/>
      </c>
      <c r="Q2466" t="str">
        <f t="shared" si="382"/>
        <v/>
      </c>
      <c r="R2466" t="str">
        <f t="shared" si="383"/>
        <v/>
      </c>
      <c r="S2466" t="str">
        <f t="shared" si="384"/>
        <v/>
      </c>
      <c r="T2466" t="str">
        <f t="shared" si="385"/>
        <v/>
      </c>
      <c r="U2466" t="str">
        <f t="shared" si="386"/>
        <v/>
      </c>
      <c r="V2466" t="str">
        <f t="shared" si="387"/>
        <v/>
      </c>
      <c r="W2466" t="str">
        <f t="shared" si="388"/>
        <v/>
      </c>
      <c r="X2466">
        <f>IF($T2466="",N($X2465),IF(MATCH($T2466,$T$6:$T$10005,0)=ROW()-5,N($X2465)+1,N($X2465)))</f>
        <v>0</v>
      </c>
      <c r="Z2466" t="str">
        <f t="shared" si="389"/>
        <v/>
      </c>
      <c r="AA2466">
        <f>IF($V2466="",N($AA2465),IF(MATCH($V2466,$V$6:$V$10005,0)=ROW()-5,N($AA2465)+1,N($AA2465)))</f>
        <v>0</v>
      </c>
    </row>
    <row r="2467" spans="1:27" ht="21" customHeight="1" x14ac:dyDescent="0.95">
      <c r="A2467" s="56"/>
      <c r="B2467" s="57"/>
      <c r="C2467" s="57"/>
      <c r="D2467" s="57"/>
      <c r="E2467" s="56"/>
      <c r="F2467" s="57"/>
      <c r="G2467" s="57"/>
      <c r="H2467" s="56"/>
      <c r="I2467" s="56"/>
      <c r="J2467" s="58"/>
      <c r="K2467" s="58"/>
      <c r="L2467" s="13" t="str">
        <f t="shared" si="380"/>
        <v/>
      </c>
      <c r="M2467" s="13" t="str">
        <f t="shared" si="381"/>
        <v/>
      </c>
      <c r="Q2467" t="str">
        <f t="shared" si="382"/>
        <v/>
      </c>
      <c r="R2467" t="str">
        <f t="shared" si="383"/>
        <v/>
      </c>
      <c r="S2467" t="str">
        <f t="shared" si="384"/>
        <v/>
      </c>
      <c r="T2467" t="str">
        <f t="shared" si="385"/>
        <v/>
      </c>
      <c r="U2467" t="str">
        <f t="shared" si="386"/>
        <v/>
      </c>
      <c r="V2467" t="str">
        <f t="shared" si="387"/>
        <v/>
      </c>
      <c r="W2467" t="str">
        <f t="shared" si="388"/>
        <v/>
      </c>
      <c r="X2467">
        <f>IF($T2467="",N($X2466),IF(MATCH($T2467,$T$6:$T$10005,0)=ROW()-5,N($X2466)+1,N($X2466)))</f>
        <v>0</v>
      </c>
      <c r="Z2467" t="str">
        <f t="shared" si="389"/>
        <v/>
      </c>
      <c r="AA2467">
        <f>IF($V2467="",N($AA2466),IF(MATCH($V2467,$V$6:$V$10005,0)=ROW()-5,N($AA2466)+1,N($AA2466)))</f>
        <v>0</v>
      </c>
    </row>
    <row r="2468" spans="1:27" ht="21" customHeight="1" x14ac:dyDescent="0.95">
      <c r="A2468" s="56"/>
      <c r="B2468" s="57"/>
      <c r="C2468" s="57"/>
      <c r="D2468" s="57"/>
      <c r="E2468" s="56"/>
      <c r="F2468" s="57"/>
      <c r="G2468" s="57"/>
      <c r="H2468" s="56"/>
      <c r="I2468" s="56"/>
      <c r="J2468" s="58"/>
      <c r="K2468" s="58"/>
      <c r="L2468" s="13" t="str">
        <f t="shared" si="380"/>
        <v/>
      </c>
      <c r="M2468" s="13" t="str">
        <f t="shared" si="381"/>
        <v/>
      </c>
      <c r="Q2468" t="str">
        <f t="shared" si="382"/>
        <v/>
      </c>
      <c r="R2468" t="str">
        <f t="shared" si="383"/>
        <v/>
      </c>
      <c r="S2468" t="str">
        <f t="shared" si="384"/>
        <v/>
      </c>
      <c r="T2468" t="str">
        <f t="shared" si="385"/>
        <v/>
      </c>
      <c r="U2468" t="str">
        <f t="shared" si="386"/>
        <v/>
      </c>
      <c r="V2468" t="str">
        <f t="shared" si="387"/>
        <v/>
      </c>
      <c r="W2468" t="str">
        <f t="shared" si="388"/>
        <v/>
      </c>
      <c r="X2468">
        <f>IF($T2468="",N($X2467),IF(MATCH($T2468,$T$6:$T$10005,0)=ROW()-5,N($X2467)+1,N($X2467)))</f>
        <v>0</v>
      </c>
      <c r="Z2468" t="str">
        <f t="shared" si="389"/>
        <v/>
      </c>
      <c r="AA2468">
        <f>IF($V2468="",N($AA2467),IF(MATCH($V2468,$V$6:$V$10005,0)=ROW()-5,N($AA2467)+1,N($AA2467)))</f>
        <v>0</v>
      </c>
    </row>
    <row r="2469" spans="1:27" ht="21" customHeight="1" x14ac:dyDescent="0.95">
      <c r="A2469" s="56"/>
      <c r="B2469" s="57"/>
      <c r="C2469" s="57"/>
      <c r="D2469" s="57"/>
      <c r="E2469" s="56"/>
      <c r="F2469" s="57"/>
      <c r="G2469" s="57"/>
      <c r="H2469" s="56"/>
      <c r="I2469" s="56"/>
      <c r="J2469" s="58"/>
      <c r="K2469" s="58"/>
      <c r="L2469" s="13" t="str">
        <f t="shared" si="380"/>
        <v/>
      </c>
      <c r="M2469" s="13" t="str">
        <f t="shared" si="381"/>
        <v/>
      </c>
      <c r="Q2469" t="str">
        <f t="shared" si="382"/>
        <v/>
      </c>
      <c r="R2469" t="str">
        <f t="shared" si="383"/>
        <v/>
      </c>
      <c r="S2469" t="str">
        <f t="shared" si="384"/>
        <v/>
      </c>
      <c r="T2469" t="str">
        <f t="shared" si="385"/>
        <v/>
      </c>
      <c r="U2469" t="str">
        <f t="shared" si="386"/>
        <v/>
      </c>
      <c r="V2469" t="str">
        <f t="shared" si="387"/>
        <v/>
      </c>
      <c r="W2469" t="str">
        <f t="shared" si="388"/>
        <v/>
      </c>
      <c r="X2469">
        <f>IF($T2469="",N($X2468),IF(MATCH($T2469,$T$6:$T$10005,0)=ROW()-5,N($X2468)+1,N($X2468)))</f>
        <v>0</v>
      </c>
      <c r="Z2469" t="str">
        <f t="shared" si="389"/>
        <v/>
      </c>
      <c r="AA2469">
        <f>IF($V2469="",N($AA2468),IF(MATCH($V2469,$V$6:$V$10005,0)=ROW()-5,N($AA2468)+1,N($AA2468)))</f>
        <v>0</v>
      </c>
    </row>
    <row r="2470" spans="1:27" ht="21" customHeight="1" x14ac:dyDescent="0.95">
      <c r="A2470" s="56"/>
      <c r="B2470" s="57"/>
      <c r="C2470" s="57"/>
      <c r="D2470" s="57"/>
      <c r="E2470" s="56"/>
      <c r="F2470" s="57"/>
      <c r="G2470" s="57"/>
      <c r="H2470" s="56"/>
      <c r="I2470" s="56"/>
      <c r="J2470" s="58"/>
      <c r="K2470" s="58"/>
      <c r="L2470" s="13" t="str">
        <f t="shared" si="380"/>
        <v/>
      </c>
      <c r="M2470" s="13" t="str">
        <f t="shared" si="381"/>
        <v/>
      </c>
      <c r="Q2470" t="str">
        <f t="shared" si="382"/>
        <v/>
      </c>
      <c r="R2470" t="str">
        <f t="shared" si="383"/>
        <v/>
      </c>
      <c r="S2470" t="str">
        <f t="shared" si="384"/>
        <v/>
      </c>
      <c r="T2470" t="str">
        <f t="shared" si="385"/>
        <v/>
      </c>
      <c r="U2470" t="str">
        <f t="shared" si="386"/>
        <v/>
      </c>
      <c r="V2470" t="str">
        <f t="shared" si="387"/>
        <v/>
      </c>
      <c r="W2470" t="str">
        <f t="shared" si="388"/>
        <v/>
      </c>
      <c r="X2470">
        <f>IF($T2470="",N($X2469),IF(MATCH($T2470,$T$6:$T$10005,0)=ROW()-5,N($X2469)+1,N($X2469)))</f>
        <v>0</v>
      </c>
      <c r="Z2470" t="str">
        <f t="shared" si="389"/>
        <v/>
      </c>
      <c r="AA2470">
        <f>IF($V2470="",N($AA2469),IF(MATCH($V2470,$V$6:$V$10005,0)=ROW()-5,N($AA2469)+1,N($AA2469)))</f>
        <v>0</v>
      </c>
    </row>
    <row r="2471" spans="1:27" ht="21" customHeight="1" x14ac:dyDescent="0.95">
      <c r="A2471" s="56"/>
      <c r="B2471" s="57"/>
      <c r="C2471" s="57"/>
      <c r="D2471" s="57"/>
      <c r="E2471" s="56"/>
      <c r="F2471" s="57"/>
      <c r="G2471" s="57"/>
      <c r="H2471" s="56"/>
      <c r="I2471" s="56"/>
      <c r="J2471" s="58"/>
      <c r="K2471" s="58"/>
      <c r="L2471" s="13" t="str">
        <f t="shared" si="380"/>
        <v/>
      </c>
      <c r="M2471" s="13" t="str">
        <f t="shared" si="381"/>
        <v/>
      </c>
      <c r="Q2471" t="str">
        <f t="shared" si="382"/>
        <v/>
      </c>
      <c r="R2471" t="str">
        <f t="shared" si="383"/>
        <v/>
      </c>
      <c r="S2471" t="str">
        <f t="shared" si="384"/>
        <v/>
      </c>
      <c r="T2471" t="str">
        <f t="shared" si="385"/>
        <v/>
      </c>
      <c r="U2471" t="str">
        <f t="shared" si="386"/>
        <v/>
      </c>
      <c r="V2471" t="str">
        <f t="shared" si="387"/>
        <v/>
      </c>
      <c r="W2471" t="str">
        <f t="shared" si="388"/>
        <v/>
      </c>
      <c r="X2471">
        <f>IF($T2471="",N($X2470),IF(MATCH($T2471,$T$6:$T$10005,0)=ROW()-5,N($X2470)+1,N($X2470)))</f>
        <v>0</v>
      </c>
      <c r="Z2471" t="str">
        <f t="shared" si="389"/>
        <v/>
      </c>
      <c r="AA2471">
        <f>IF($V2471="",N($AA2470),IF(MATCH($V2471,$V$6:$V$10005,0)=ROW()-5,N($AA2470)+1,N($AA2470)))</f>
        <v>0</v>
      </c>
    </row>
    <row r="2472" spans="1:27" ht="21" customHeight="1" x14ac:dyDescent="0.95">
      <c r="A2472" s="56"/>
      <c r="B2472" s="57"/>
      <c r="C2472" s="57"/>
      <c r="D2472" s="57"/>
      <c r="E2472" s="56"/>
      <c r="F2472" s="57"/>
      <c r="G2472" s="57"/>
      <c r="H2472" s="56"/>
      <c r="I2472" s="56"/>
      <c r="J2472" s="58"/>
      <c r="K2472" s="58"/>
      <c r="L2472" s="13" t="str">
        <f t="shared" si="380"/>
        <v/>
      </c>
      <c r="M2472" s="13" t="str">
        <f t="shared" si="381"/>
        <v/>
      </c>
      <c r="Q2472" t="str">
        <f t="shared" si="382"/>
        <v/>
      </c>
      <c r="R2472" t="str">
        <f t="shared" si="383"/>
        <v/>
      </c>
      <c r="S2472" t="str">
        <f t="shared" si="384"/>
        <v/>
      </c>
      <c r="T2472" t="str">
        <f t="shared" si="385"/>
        <v/>
      </c>
      <c r="U2472" t="str">
        <f t="shared" si="386"/>
        <v/>
      </c>
      <c r="V2472" t="str">
        <f t="shared" si="387"/>
        <v/>
      </c>
      <c r="W2472" t="str">
        <f t="shared" si="388"/>
        <v/>
      </c>
      <c r="X2472">
        <f>IF($T2472="",N($X2471),IF(MATCH($T2472,$T$6:$T$10005,0)=ROW()-5,N($X2471)+1,N($X2471)))</f>
        <v>0</v>
      </c>
      <c r="Z2472" t="str">
        <f t="shared" si="389"/>
        <v/>
      </c>
      <c r="AA2472">
        <f>IF($V2472="",N($AA2471),IF(MATCH($V2472,$V$6:$V$10005,0)=ROW()-5,N($AA2471)+1,N($AA2471)))</f>
        <v>0</v>
      </c>
    </row>
    <row r="2473" spans="1:27" ht="21" customHeight="1" x14ac:dyDescent="0.95">
      <c r="A2473" s="56"/>
      <c r="B2473" s="57"/>
      <c r="C2473" s="57"/>
      <c r="D2473" s="57"/>
      <c r="E2473" s="56"/>
      <c r="F2473" s="57"/>
      <c r="G2473" s="57"/>
      <c r="H2473" s="56"/>
      <c r="I2473" s="56"/>
      <c r="J2473" s="58"/>
      <c r="K2473" s="58"/>
      <c r="L2473" s="13" t="str">
        <f t="shared" si="380"/>
        <v/>
      </c>
      <c r="M2473" s="13" t="str">
        <f t="shared" si="381"/>
        <v/>
      </c>
      <c r="Q2473" t="str">
        <f t="shared" si="382"/>
        <v/>
      </c>
      <c r="R2473" t="str">
        <f t="shared" si="383"/>
        <v/>
      </c>
      <c r="S2473" t="str">
        <f t="shared" si="384"/>
        <v/>
      </c>
      <c r="T2473" t="str">
        <f t="shared" si="385"/>
        <v/>
      </c>
      <c r="U2473" t="str">
        <f t="shared" si="386"/>
        <v/>
      </c>
      <c r="V2473" t="str">
        <f t="shared" si="387"/>
        <v/>
      </c>
      <c r="W2473" t="str">
        <f t="shared" si="388"/>
        <v/>
      </c>
      <c r="X2473">
        <f>IF($T2473="",N($X2472),IF(MATCH($T2473,$T$6:$T$10005,0)=ROW()-5,N($X2472)+1,N($X2472)))</f>
        <v>0</v>
      </c>
      <c r="Z2473" t="str">
        <f t="shared" si="389"/>
        <v/>
      </c>
      <c r="AA2473">
        <f>IF($V2473="",N($AA2472),IF(MATCH($V2473,$V$6:$V$10005,0)=ROW()-5,N($AA2472)+1,N($AA2472)))</f>
        <v>0</v>
      </c>
    </row>
    <row r="2474" spans="1:27" ht="21" customHeight="1" x14ac:dyDescent="0.95">
      <c r="A2474" s="56"/>
      <c r="B2474" s="57"/>
      <c r="C2474" s="57"/>
      <c r="D2474" s="57"/>
      <c r="E2474" s="56"/>
      <c r="F2474" s="57"/>
      <c r="G2474" s="57"/>
      <c r="H2474" s="56"/>
      <c r="I2474" s="56"/>
      <c r="J2474" s="58"/>
      <c r="K2474" s="58"/>
      <c r="L2474" s="13" t="str">
        <f t="shared" si="380"/>
        <v/>
      </c>
      <c r="M2474" s="13" t="str">
        <f t="shared" si="381"/>
        <v/>
      </c>
      <c r="Q2474" t="str">
        <f t="shared" si="382"/>
        <v/>
      </c>
      <c r="R2474" t="str">
        <f t="shared" si="383"/>
        <v/>
      </c>
      <c r="S2474" t="str">
        <f t="shared" si="384"/>
        <v/>
      </c>
      <c r="T2474" t="str">
        <f t="shared" si="385"/>
        <v/>
      </c>
      <c r="U2474" t="str">
        <f t="shared" si="386"/>
        <v/>
      </c>
      <c r="V2474" t="str">
        <f t="shared" si="387"/>
        <v/>
      </c>
      <c r="W2474" t="str">
        <f t="shared" si="388"/>
        <v/>
      </c>
      <c r="X2474">
        <f>IF($T2474="",N($X2473),IF(MATCH($T2474,$T$6:$T$10005,0)=ROW()-5,N($X2473)+1,N($X2473)))</f>
        <v>0</v>
      </c>
      <c r="Z2474" t="str">
        <f t="shared" si="389"/>
        <v/>
      </c>
      <c r="AA2474">
        <f>IF($V2474="",N($AA2473),IF(MATCH($V2474,$V$6:$V$10005,0)=ROW()-5,N($AA2473)+1,N($AA2473)))</f>
        <v>0</v>
      </c>
    </row>
    <row r="2475" spans="1:27" ht="21" customHeight="1" x14ac:dyDescent="0.95">
      <c r="A2475" s="56"/>
      <c r="B2475" s="57"/>
      <c r="C2475" s="57"/>
      <c r="D2475" s="57"/>
      <c r="E2475" s="56"/>
      <c r="F2475" s="57"/>
      <c r="G2475" s="57"/>
      <c r="H2475" s="56"/>
      <c r="I2475" s="56"/>
      <c r="J2475" s="58"/>
      <c r="K2475" s="58"/>
      <c r="L2475" s="13" t="str">
        <f t="shared" si="380"/>
        <v/>
      </c>
      <c r="M2475" s="13" t="str">
        <f t="shared" si="381"/>
        <v/>
      </c>
      <c r="Q2475" t="str">
        <f t="shared" si="382"/>
        <v/>
      </c>
      <c r="R2475" t="str">
        <f t="shared" si="383"/>
        <v/>
      </c>
      <c r="S2475" t="str">
        <f t="shared" si="384"/>
        <v/>
      </c>
      <c r="T2475" t="str">
        <f t="shared" si="385"/>
        <v/>
      </c>
      <c r="U2475" t="str">
        <f t="shared" si="386"/>
        <v/>
      </c>
      <c r="V2475" t="str">
        <f t="shared" si="387"/>
        <v/>
      </c>
      <c r="W2475" t="str">
        <f t="shared" si="388"/>
        <v/>
      </c>
      <c r="X2475">
        <f>IF($T2475="",N($X2474),IF(MATCH($T2475,$T$6:$T$10005,0)=ROW()-5,N($X2474)+1,N($X2474)))</f>
        <v>0</v>
      </c>
      <c r="Z2475" t="str">
        <f t="shared" si="389"/>
        <v/>
      </c>
      <c r="AA2475">
        <f>IF($V2475="",N($AA2474),IF(MATCH($V2475,$V$6:$V$10005,0)=ROW()-5,N($AA2474)+1,N($AA2474)))</f>
        <v>0</v>
      </c>
    </row>
    <row r="2476" spans="1:27" ht="21" customHeight="1" x14ac:dyDescent="0.95">
      <c r="A2476" s="56"/>
      <c r="B2476" s="57"/>
      <c r="C2476" s="57"/>
      <c r="D2476" s="57"/>
      <c r="E2476" s="56"/>
      <c r="F2476" s="57"/>
      <c r="G2476" s="57"/>
      <c r="H2476" s="56"/>
      <c r="I2476" s="56"/>
      <c r="J2476" s="58"/>
      <c r="K2476" s="58"/>
      <c r="L2476" s="13" t="str">
        <f t="shared" si="380"/>
        <v/>
      </c>
      <c r="M2476" s="13" t="str">
        <f t="shared" si="381"/>
        <v/>
      </c>
      <c r="Q2476" t="str">
        <f t="shared" si="382"/>
        <v/>
      </c>
      <c r="R2476" t="str">
        <f t="shared" si="383"/>
        <v/>
      </c>
      <c r="S2476" t="str">
        <f t="shared" si="384"/>
        <v/>
      </c>
      <c r="T2476" t="str">
        <f t="shared" si="385"/>
        <v/>
      </c>
      <c r="U2476" t="str">
        <f t="shared" si="386"/>
        <v/>
      </c>
      <c r="V2476" t="str">
        <f t="shared" si="387"/>
        <v/>
      </c>
      <c r="W2476" t="str">
        <f t="shared" si="388"/>
        <v/>
      </c>
      <c r="X2476">
        <f>IF($T2476="",N($X2475),IF(MATCH($T2476,$T$6:$T$10005,0)=ROW()-5,N($X2475)+1,N($X2475)))</f>
        <v>0</v>
      </c>
      <c r="Z2476" t="str">
        <f t="shared" si="389"/>
        <v/>
      </c>
      <c r="AA2476">
        <f>IF($V2476="",N($AA2475),IF(MATCH($V2476,$V$6:$V$10005,0)=ROW()-5,N($AA2475)+1,N($AA2475)))</f>
        <v>0</v>
      </c>
    </row>
    <row r="2477" spans="1:27" ht="21" customHeight="1" x14ac:dyDescent="0.95">
      <c r="A2477" s="56"/>
      <c r="B2477" s="57"/>
      <c r="C2477" s="57"/>
      <c r="D2477" s="57"/>
      <c r="E2477" s="56"/>
      <c r="F2477" s="57"/>
      <c r="G2477" s="57"/>
      <c r="H2477" s="56"/>
      <c r="I2477" s="56"/>
      <c r="J2477" s="58"/>
      <c r="K2477" s="58"/>
      <c r="L2477" s="13" t="str">
        <f t="shared" si="380"/>
        <v/>
      </c>
      <c r="M2477" s="13" t="str">
        <f t="shared" si="381"/>
        <v/>
      </c>
      <c r="Q2477" t="str">
        <f t="shared" si="382"/>
        <v/>
      </c>
      <c r="R2477" t="str">
        <f t="shared" si="383"/>
        <v/>
      </c>
      <c r="S2477" t="str">
        <f t="shared" si="384"/>
        <v/>
      </c>
      <c r="T2477" t="str">
        <f t="shared" si="385"/>
        <v/>
      </c>
      <c r="U2477" t="str">
        <f t="shared" si="386"/>
        <v/>
      </c>
      <c r="V2477" t="str">
        <f t="shared" si="387"/>
        <v/>
      </c>
      <c r="W2477" t="str">
        <f t="shared" si="388"/>
        <v/>
      </c>
      <c r="X2477">
        <f>IF($T2477="",N($X2476),IF(MATCH($T2477,$T$6:$T$10005,0)=ROW()-5,N($X2476)+1,N($X2476)))</f>
        <v>0</v>
      </c>
      <c r="Z2477" t="str">
        <f t="shared" si="389"/>
        <v/>
      </c>
      <c r="AA2477">
        <f>IF($V2477="",N($AA2476),IF(MATCH($V2477,$V$6:$V$10005,0)=ROW()-5,N($AA2476)+1,N($AA2476)))</f>
        <v>0</v>
      </c>
    </row>
    <row r="2478" spans="1:27" ht="21" customHeight="1" x14ac:dyDescent="0.95">
      <c r="A2478" s="56"/>
      <c r="B2478" s="57"/>
      <c r="C2478" s="57"/>
      <c r="D2478" s="57"/>
      <c r="E2478" s="56"/>
      <c r="F2478" s="57"/>
      <c r="G2478" s="57"/>
      <c r="H2478" s="56"/>
      <c r="I2478" s="56"/>
      <c r="J2478" s="58"/>
      <c r="K2478" s="58"/>
      <c r="L2478" s="13" t="str">
        <f t="shared" si="380"/>
        <v/>
      </c>
      <c r="M2478" s="13" t="str">
        <f t="shared" si="381"/>
        <v/>
      </c>
      <c r="Q2478" t="str">
        <f t="shared" si="382"/>
        <v/>
      </c>
      <c r="R2478" t="str">
        <f t="shared" si="383"/>
        <v/>
      </c>
      <c r="S2478" t="str">
        <f t="shared" si="384"/>
        <v/>
      </c>
      <c r="T2478" t="str">
        <f t="shared" si="385"/>
        <v/>
      </c>
      <c r="U2478" t="str">
        <f t="shared" si="386"/>
        <v/>
      </c>
      <c r="V2478" t="str">
        <f t="shared" si="387"/>
        <v/>
      </c>
      <c r="W2478" t="str">
        <f t="shared" si="388"/>
        <v/>
      </c>
      <c r="X2478">
        <f>IF($T2478="",N($X2477),IF(MATCH($T2478,$T$6:$T$10005,0)=ROW()-5,N($X2477)+1,N($X2477)))</f>
        <v>0</v>
      </c>
      <c r="Z2478" t="str">
        <f t="shared" si="389"/>
        <v/>
      </c>
      <c r="AA2478">
        <f>IF($V2478="",N($AA2477),IF(MATCH($V2478,$V$6:$V$10005,0)=ROW()-5,N($AA2477)+1,N($AA2477)))</f>
        <v>0</v>
      </c>
    </row>
    <row r="2479" spans="1:27" ht="21" customHeight="1" x14ac:dyDescent="0.95">
      <c r="A2479" s="56"/>
      <c r="B2479" s="57"/>
      <c r="C2479" s="57"/>
      <c r="D2479" s="57"/>
      <c r="E2479" s="56"/>
      <c r="F2479" s="57"/>
      <c r="G2479" s="57"/>
      <c r="H2479" s="56"/>
      <c r="I2479" s="56"/>
      <c r="J2479" s="58"/>
      <c r="K2479" s="58"/>
      <c r="L2479" s="13" t="str">
        <f t="shared" si="380"/>
        <v/>
      </c>
      <c r="M2479" s="13" t="str">
        <f t="shared" si="381"/>
        <v/>
      </c>
      <c r="Q2479" t="str">
        <f t="shared" si="382"/>
        <v/>
      </c>
      <c r="R2479" t="str">
        <f t="shared" si="383"/>
        <v/>
      </c>
      <c r="S2479" t="str">
        <f t="shared" si="384"/>
        <v/>
      </c>
      <c r="T2479" t="str">
        <f t="shared" si="385"/>
        <v/>
      </c>
      <c r="U2479" t="str">
        <f t="shared" si="386"/>
        <v/>
      </c>
      <c r="V2479" t="str">
        <f t="shared" si="387"/>
        <v/>
      </c>
      <c r="W2479" t="str">
        <f t="shared" si="388"/>
        <v/>
      </c>
      <c r="X2479">
        <f>IF($T2479="",N($X2478),IF(MATCH($T2479,$T$6:$T$10005,0)=ROW()-5,N($X2478)+1,N($X2478)))</f>
        <v>0</v>
      </c>
      <c r="Z2479" t="str">
        <f t="shared" si="389"/>
        <v/>
      </c>
      <c r="AA2479">
        <f>IF($V2479="",N($AA2478),IF(MATCH($V2479,$V$6:$V$10005,0)=ROW()-5,N($AA2478)+1,N($AA2478)))</f>
        <v>0</v>
      </c>
    </row>
    <row r="2480" spans="1:27" ht="21" customHeight="1" x14ac:dyDescent="0.95">
      <c r="A2480" s="56"/>
      <c r="B2480" s="57"/>
      <c r="C2480" s="57"/>
      <c r="D2480" s="57"/>
      <c r="E2480" s="56"/>
      <c r="F2480" s="57"/>
      <c r="G2480" s="57"/>
      <c r="H2480" s="56"/>
      <c r="I2480" s="56"/>
      <c r="J2480" s="58"/>
      <c r="K2480" s="58"/>
      <c r="L2480" s="13" t="str">
        <f t="shared" si="380"/>
        <v/>
      </c>
      <c r="M2480" s="13" t="str">
        <f t="shared" si="381"/>
        <v/>
      </c>
      <c r="Q2480" t="str">
        <f t="shared" si="382"/>
        <v/>
      </c>
      <c r="R2480" t="str">
        <f t="shared" si="383"/>
        <v/>
      </c>
      <c r="S2480" t="str">
        <f t="shared" si="384"/>
        <v/>
      </c>
      <c r="T2480" t="str">
        <f t="shared" si="385"/>
        <v/>
      </c>
      <c r="U2480" t="str">
        <f t="shared" si="386"/>
        <v/>
      </c>
      <c r="V2480" t="str">
        <f t="shared" si="387"/>
        <v/>
      </c>
      <c r="W2480" t="str">
        <f t="shared" si="388"/>
        <v/>
      </c>
      <c r="X2480">
        <f>IF($T2480="",N($X2479),IF(MATCH($T2480,$T$6:$T$10005,0)=ROW()-5,N($X2479)+1,N($X2479)))</f>
        <v>0</v>
      </c>
      <c r="Z2480" t="str">
        <f t="shared" si="389"/>
        <v/>
      </c>
      <c r="AA2480">
        <f>IF($V2480="",N($AA2479),IF(MATCH($V2480,$V$6:$V$10005,0)=ROW()-5,N($AA2479)+1,N($AA2479)))</f>
        <v>0</v>
      </c>
    </row>
    <row r="2481" spans="1:27" ht="21" customHeight="1" x14ac:dyDescent="0.95">
      <c r="A2481" s="56"/>
      <c r="B2481" s="57"/>
      <c r="C2481" s="57"/>
      <c r="D2481" s="57"/>
      <c r="E2481" s="56"/>
      <c r="F2481" s="57"/>
      <c r="G2481" s="57"/>
      <c r="H2481" s="56"/>
      <c r="I2481" s="56"/>
      <c r="J2481" s="58"/>
      <c r="K2481" s="58"/>
      <c r="L2481" s="13" t="str">
        <f t="shared" si="380"/>
        <v/>
      </c>
      <c r="M2481" s="13" t="str">
        <f t="shared" si="381"/>
        <v/>
      </c>
      <c r="Q2481" t="str">
        <f t="shared" si="382"/>
        <v/>
      </c>
      <c r="R2481" t="str">
        <f t="shared" si="383"/>
        <v/>
      </c>
      <c r="S2481" t="str">
        <f t="shared" si="384"/>
        <v/>
      </c>
      <c r="T2481" t="str">
        <f t="shared" si="385"/>
        <v/>
      </c>
      <c r="U2481" t="str">
        <f t="shared" si="386"/>
        <v/>
      </c>
      <c r="V2481" t="str">
        <f t="shared" si="387"/>
        <v/>
      </c>
      <c r="W2481" t="str">
        <f t="shared" si="388"/>
        <v/>
      </c>
      <c r="X2481">
        <f>IF($T2481="",N($X2480),IF(MATCH($T2481,$T$6:$T$10005,0)=ROW()-5,N($X2480)+1,N($X2480)))</f>
        <v>0</v>
      </c>
      <c r="Z2481" t="str">
        <f t="shared" si="389"/>
        <v/>
      </c>
      <c r="AA2481">
        <f>IF($V2481="",N($AA2480),IF(MATCH($V2481,$V$6:$V$10005,0)=ROW()-5,N($AA2480)+1,N($AA2480)))</f>
        <v>0</v>
      </c>
    </row>
    <row r="2482" spans="1:27" ht="21" customHeight="1" x14ac:dyDescent="0.95">
      <c r="A2482" s="56"/>
      <c r="B2482" s="57"/>
      <c r="C2482" s="57"/>
      <c r="D2482" s="57"/>
      <c r="E2482" s="56"/>
      <c r="F2482" s="57"/>
      <c r="G2482" s="57"/>
      <c r="H2482" s="56"/>
      <c r="I2482" s="56"/>
      <c r="J2482" s="58"/>
      <c r="K2482" s="58"/>
      <c r="L2482" s="13" t="str">
        <f t="shared" si="380"/>
        <v/>
      </c>
      <c r="M2482" s="13" t="str">
        <f t="shared" si="381"/>
        <v/>
      </c>
      <c r="Q2482" t="str">
        <f t="shared" si="382"/>
        <v/>
      </c>
      <c r="R2482" t="str">
        <f t="shared" si="383"/>
        <v/>
      </c>
      <c r="S2482" t="str">
        <f t="shared" si="384"/>
        <v/>
      </c>
      <c r="T2482" t="str">
        <f t="shared" si="385"/>
        <v/>
      </c>
      <c r="U2482" t="str">
        <f t="shared" si="386"/>
        <v/>
      </c>
      <c r="V2482" t="str">
        <f t="shared" si="387"/>
        <v/>
      </c>
      <c r="W2482" t="str">
        <f t="shared" si="388"/>
        <v/>
      </c>
      <c r="X2482">
        <f>IF($T2482="",N($X2481),IF(MATCH($T2482,$T$6:$T$10005,0)=ROW()-5,N($X2481)+1,N($X2481)))</f>
        <v>0</v>
      </c>
      <c r="Z2482" t="str">
        <f t="shared" si="389"/>
        <v/>
      </c>
      <c r="AA2482">
        <f>IF($V2482="",N($AA2481),IF(MATCH($V2482,$V$6:$V$10005,0)=ROW()-5,N($AA2481)+1,N($AA2481)))</f>
        <v>0</v>
      </c>
    </row>
    <row r="2483" spans="1:27" ht="21" customHeight="1" x14ac:dyDescent="0.95">
      <c r="A2483" s="56"/>
      <c r="B2483" s="57"/>
      <c r="C2483" s="57"/>
      <c r="D2483" s="57"/>
      <c r="E2483" s="56"/>
      <c r="F2483" s="57"/>
      <c r="G2483" s="57"/>
      <c r="H2483" s="56"/>
      <c r="I2483" s="56"/>
      <c r="J2483" s="58"/>
      <c r="K2483" s="58"/>
      <c r="L2483" s="13" t="str">
        <f t="shared" si="380"/>
        <v/>
      </c>
      <c r="M2483" s="13" t="str">
        <f t="shared" si="381"/>
        <v/>
      </c>
      <c r="Q2483" t="str">
        <f t="shared" si="382"/>
        <v/>
      </c>
      <c r="R2483" t="str">
        <f t="shared" si="383"/>
        <v/>
      </c>
      <c r="S2483" t="str">
        <f t="shared" si="384"/>
        <v/>
      </c>
      <c r="T2483" t="str">
        <f t="shared" si="385"/>
        <v/>
      </c>
      <c r="U2483" t="str">
        <f t="shared" si="386"/>
        <v/>
      </c>
      <c r="V2483" t="str">
        <f t="shared" si="387"/>
        <v/>
      </c>
      <c r="W2483" t="str">
        <f t="shared" si="388"/>
        <v/>
      </c>
      <c r="X2483">
        <f>IF($T2483="",N($X2482),IF(MATCH($T2483,$T$6:$T$10005,0)=ROW()-5,N($X2482)+1,N($X2482)))</f>
        <v>0</v>
      </c>
      <c r="Z2483" t="str">
        <f t="shared" si="389"/>
        <v/>
      </c>
      <c r="AA2483">
        <f>IF($V2483="",N($AA2482),IF(MATCH($V2483,$V$6:$V$10005,0)=ROW()-5,N($AA2482)+1,N($AA2482)))</f>
        <v>0</v>
      </c>
    </row>
    <row r="2484" spans="1:27" ht="21" customHeight="1" x14ac:dyDescent="0.95">
      <c r="A2484" s="56"/>
      <c r="B2484" s="57"/>
      <c r="C2484" s="57"/>
      <c r="D2484" s="57"/>
      <c r="E2484" s="56"/>
      <c r="F2484" s="57"/>
      <c r="G2484" s="57"/>
      <c r="H2484" s="56"/>
      <c r="I2484" s="56"/>
      <c r="J2484" s="58"/>
      <c r="K2484" s="58"/>
      <c r="L2484" s="13" t="str">
        <f t="shared" si="380"/>
        <v/>
      </c>
      <c r="M2484" s="13" t="str">
        <f t="shared" si="381"/>
        <v/>
      </c>
      <c r="Q2484" t="str">
        <f t="shared" si="382"/>
        <v/>
      </c>
      <c r="R2484" t="str">
        <f t="shared" si="383"/>
        <v/>
      </c>
      <c r="S2484" t="str">
        <f t="shared" si="384"/>
        <v/>
      </c>
      <c r="T2484" t="str">
        <f t="shared" si="385"/>
        <v/>
      </c>
      <c r="U2484" t="str">
        <f t="shared" si="386"/>
        <v/>
      </c>
      <c r="V2484" t="str">
        <f t="shared" si="387"/>
        <v/>
      </c>
      <c r="W2484" t="str">
        <f t="shared" si="388"/>
        <v/>
      </c>
      <c r="X2484">
        <f>IF($T2484="",N($X2483),IF(MATCH($T2484,$T$6:$T$10005,0)=ROW()-5,N($X2483)+1,N($X2483)))</f>
        <v>0</v>
      </c>
      <c r="Z2484" t="str">
        <f t="shared" si="389"/>
        <v/>
      </c>
      <c r="AA2484">
        <f>IF($V2484="",N($AA2483),IF(MATCH($V2484,$V$6:$V$10005,0)=ROW()-5,N($AA2483)+1,N($AA2483)))</f>
        <v>0</v>
      </c>
    </row>
    <row r="2485" spans="1:27" ht="21" customHeight="1" x14ac:dyDescent="0.95">
      <c r="A2485" s="56"/>
      <c r="B2485" s="57"/>
      <c r="C2485" s="57"/>
      <c r="D2485" s="57"/>
      <c r="E2485" s="56"/>
      <c r="F2485" s="57"/>
      <c r="G2485" s="57"/>
      <c r="H2485" s="56"/>
      <c r="I2485" s="56"/>
      <c r="J2485" s="58"/>
      <c r="K2485" s="58"/>
      <c r="L2485" s="13" t="str">
        <f t="shared" si="380"/>
        <v/>
      </c>
      <c r="M2485" s="13" t="str">
        <f t="shared" si="381"/>
        <v/>
      </c>
      <c r="Q2485" t="str">
        <f t="shared" si="382"/>
        <v/>
      </c>
      <c r="R2485" t="str">
        <f t="shared" si="383"/>
        <v/>
      </c>
      <c r="S2485" t="str">
        <f t="shared" si="384"/>
        <v/>
      </c>
      <c r="T2485" t="str">
        <f t="shared" si="385"/>
        <v/>
      </c>
      <c r="U2485" t="str">
        <f t="shared" si="386"/>
        <v/>
      </c>
      <c r="V2485" t="str">
        <f t="shared" si="387"/>
        <v/>
      </c>
      <c r="W2485" t="str">
        <f t="shared" si="388"/>
        <v/>
      </c>
      <c r="X2485">
        <f>IF($T2485="",N($X2484),IF(MATCH($T2485,$T$6:$T$10005,0)=ROW()-5,N($X2484)+1,N($X2484)))</f>
        <v>0</v>
      </c>
      <c r="Z2485" t="str">
        <f t="shared" si="389"/>
        <v/>
      </c>
      <c r="AA2485">
        <f>IF($V2485="",N($AA2484),IF(MATCH($V2485,$V$6:$V$10005,0)=ROW()-5,N($AA2484)+1,N($AA2484)))</f>
        <v>0</v>
      </c>
    </row>
    <row r="2486" spans="1:27" ht="21" customHeight="1" x14ac:dyDescent="0.95">
      <c r="A2486" s="56"/>
      <c r="B2486" s="57"/>
      <c r="C2486" s="57"/>
      <c r="D2486" s="57"/>
      <c r="E2486" s="56"/>
      <c r="F2486" s="57"/>
      <c r="G2486" s="57"/>
      <c r="H2486" s="56"/>
      <c r="I2486" s="56"/>
      <c r="J2486" s="58"/>
      <c r="K2486" s="58"/>
      <c r="L2486" s="13" t="str">
        <f t="shared" si="380"/>
        <v/>
      </c>
      <c r="M2486" s="13" t="str">
        <f t="shared" si="381"/>
        <v/>
      </c>
      <c r="Q2486" t="str">
        <f t="shared" si="382"/>
        <v/>
      </c>
      <c r="R2486" t="str">
        <f t="shared" si="383"/>
        <v/>
      </c>
      <c r="S2486" t="str">
        <f t="shared" si="384"/>
        <v/>
      </c>
      <c r="T2486" t="str">
        <f t="shared" si="385"/>
        <v/>
      </c>
      <c r="U2486" t="str">
        <f t="shared" si="386"/>
        <v/>
      </c>
      <c r="V2486" t="str">
        <f t="shared" si="387"/>
        <v/>
      </c>
      <c r="W2486" t="str">
        <f t="shared" si="388"/>
        <v/>
      </c>
      <c r="X2486">
        <f>IF($T2486="",N($X2485),IF(MATCH($T2486,$T$6:$T$10005,0)=ROW()-5,N($X2485)+1,N($X2485)))</f>
        <v>0</v>
      </c>
      <c r="Z2486" t="str">
        <f t="shared" si="389"/>
        <v/>
      </c>
      <c r="AA2486">
        <f>IF($V2486="",N($AA2485),IF(MATCH($V2486,$V$6:$V$10005,0)=ROW()-5,N($AA2485)+1,N($AA2485)))</f>
        <v>0</v>
      </c>
    </row>
    <row r="2487" spans="1:27" ht="21" customHeight="1" x14ac:dyDescent="0.95">
      <c r="A2487" s="56"/>
      <c r="B2487" s="57"/>
      <c r="C2487" s="57"/>
      <c r="D2487" s="57"/>
      <c r="E2487" s="56"/>
      <c r="F2487" s="57"/>
      <c r="G2487" s="57"/>
      <c r="H2487" s="56"/>
      <c r="I2487" s="56"/>
      <c r="J2487" s="58"/>
      <c r="K2487" s="58"/>
      <c r="L2487" s="13" t="str">
        <f t="shared" si="380"/>
        <v/>
      </c>
      <c r="M2487" s="13" t="str">
        <f t="shared" si="381"/>
        <v/>
      </c>
      <c r="Q2487" t="str">
        <f t="shared" si="382"/>
        <v/>
      </c>
      <c r="R2487" t="str">
        <f t="shared" si="383"/>
        <v/>
      </c>
      <c r="S2487" t="str">
        <f t="shared" si="384"/>
        <v/>
      </c>
      <c r="T2487" t="str">
        <f t="shared" si="385"/>
        <v/>
      </c>
      <c r="U2487" t="str">
        <f t="shared" si="386"/>
        <v/>
      </c>
      <c r="V2487" t="str">
        <f t="shared" si="387"/>
        <v/>
      </c>
      <c r="W2487" t="str">
        <f t="shared" si="388"/>
        <v/>
      </c>
      <c r="X2487">
        <f>IF($T2487="",N($X2486),IF(MATCH($T2487,$T$6:$T$10005,0)=ROW()-5,N($X2486)+1,N($X2486)))</f>
        <v>0</v>
      </c>
      <c r="Z2487" t="str">
        <f t="shared" si="389"/>
        <v/>
      </c>
      <c r="AA2487">
        <f>IF($V2487="",N($AA2486),IF(MATCH($V2487,$V$6:$V$10005,0)=ROW()-5,N($AA2486)+1,N($AA2486)))</f>
        <v>0</v>
      </c>
    </row>
    <row r="2488" spans="1:27" ht="21" customHeight="1" x14ac:dyDescent="0.95">
      <c r="A2488" s="56"/>
      <c r="B2488" s="57"/>
      <c r="C2488" s="57"/>
      <c r="D2488" s="57"/>
      <c r="E2488" s="56"/>
      <c r="F2488" s="57"/>
      <c r="G2488" s="57"/>
      <c r="H2488" s="56"/>
      <c r="I2488" s="56"/>
      <c r="J2488" s="58"/>
      <c r="K2488" s="58"/>
      <c r="L2488" s="13" t="str">
        <f t="shared" si="380"/>
        <v/>
      </c>
      <c r="M2488" s="13" t="str">
        <f t="shared" si="381"/>
        <v/>
      </c>
      <c r="Q2488" t="str">
        <f t="shared" si="382"/>
        <v/>
      </c>
      <c r="R2488" t="str">
        <f t="shared" si="383"/>
        <v/>
      </c>
      <c r="S2488" t="str">
        <f t="shared" si="384"/>
        <v/>
      </c>
      <c r="T2488" t="str">
        <f t="shared" si="385"/>
        <v/>
      </c>
      <c r="U2488" t="str">
        <f t="shared" si="386"/>
        <v/>
      </c>
      <c r="V2488" t="str">
        <f t="shared" si="387"/>
        <v/>
      </c>
      <c r="W2488" t="str">
        <f t="shared" si="388"/>
        <v/>
      </c>
      <c r="X2488">
        <f>IF($T2488="",N($X2487),IF(MATCH($T2488,$T$6:$T$10005,0)=ROW()-5,N($X2487)+1,N($X2487)))</f>
        <v>0</v>
      </c>
      <c r="Z2488" t="str">
        <f t="shared" si="389"/>
        <v/>
      </c>
      <c r="AA2488">
        <f>IF($V2488="",N($AA2487),IF(MATCH($V2488,$V$6:$V$10005,0)=ROW()-5,N($AA2487)+1,N($AA2487)))</f>
        <v>0</v>
      </c>
    </row>
    <row r="2489" spans="1:27" ht="21" customHeight="1" x14ac:dyDescent="0.95">
      <c r="A2489" s="56"/>
      <c r="B2489" s="57"/>
      <c r="C2489" s="57"/>
      <c r="D2489" s="57"/>
      <c r="E2489" s="56"/>
      <c r="F2489" s="57"/>
      <c r="G2489" s="57"/>
      <c r="H2489" s="56"/>
      <c r="I2489" s="56"/>
      <c r="J2489" s="58"/>
      <c r="K2489" s="58"/>
      <c r="L2489" s="13" t="str">
        <f t="shared" si="380"/>
        <v/>
      </c>
      <c r="M2489" s="13" t="str">
        <f t="shared" si="381"/>
        <v/>
      </c>
      <c r="Q2489" t="str">
        <f t="shared" si="382"/>
        <v/>
      </c>
      <c r="R2489" t="str">
        <f t="shared" si="383"/>
        <v/>
      </c>
      <c r="S2489" t="str">
        <f t="shared" si="384"/>
        <v/>
      </c>
      <c r="T2489" t="str">
        <f t="shared" si="385"/>
        <v/>
      </c>
      <c r="U2489" t="str">
        <f t="shared" si="386"/>
        <v/>
      </c>
      <c r="V2489" t="str">
        <f t="shared" si="387"/>
        <v/>
      </c>
      <c r="W2489" t="str">
        <f t="shared" si="388"/>
        <v/>
      </c>
      <c r="X2489">
        <f>IF($T2489="",N($X2488),IF(MATCH($T2489,$T$6:$T$10005,0)=ROW()-5,N($X2488)+1,N($X2488)))</f>
        <v>0</v>
      </c>
      <c r="Z2489" t="str">
        <f t="shared" si="389"/>
        <v/>
      </c>
      <c r="AA2489">
        <f>IF($V2489="",N($AA2488),IF(MATCH($V2489,$V$6:$V$10005,0)=ROW()-5,N($AA2488)+1,N($AA2488)))</f>
        <v>0</v>
      </c>
    </row>
    <row r="2490" spans="1:27" ht="21" customHeight="1" x14ac:dyDescent="0.95">
      <c r="A2490" s="56"/>
      <c r="B2490" s="57"/>
      <c r="C2490" s="57"/>
      <c r="D2490" s="57"/>
      <c r="E2490" s="56"/>
      <c r="F2490" s="57"/>
      <c r="G2490" s="57"/>
      <c r="H2490" s="56"/>
      <c r="I2490" s="56"/>
      <c r="J2490" s="58"/>
      <c r="K2490" s="58"/>
      <c r="L2490" s="13" t="str">
        <f t="shared" si="380"/>
        <v/>
      </c>
      <c r="M2490" s="13" t="str">
        <f t="shared" si="381"/>
        <v/>
      </c>
      <c r="Q2490" t="str">
        <f t="shared" si="382"/>
        <v/>
      </c>
      <c r="R2490" t="str">
        <f t="shared" si="383"/>
        <v/>
      </c>
      <c r="S2490" t="str">
        <f t="shared" si="384"/>
        <v/>
      </c>
      <c r="T2490" t="str">
        <f t="shared" si="385"/>
        <v/>
      </c>
      <c r="U2490" t="str">
        <f t="shared" si="386"/>
        <v/>
      </c>
      <c r="V2490" t="str">
        <f t="shared" si="387"/>
        <v/>
      </c>
      <c r="W2490" t="str">
        <f t="shared" si="388"/>
        <v/>
      </c>
      <c r="X2490">
        <f>IF($T2490="",N($X2489),IF(MATCH($T2490,$T$6:$T$10005,0)=ROW()-5,N($X2489)+1,N($X2489)))</f>
        <v>0</v>
      </c>
      <c r="Z2490" t="str">
        <f t="shared" si="389"/>
        <v/>
      </c>
      <c r="AA2490">
        <f>IF($V2490="",N($AA2489),IF(MATCH($V2490,$V$6:$V$10005,0)=ROW()-5,N($AA2489)+1,N($AA2489)))</f>
        <v>0</v>
      </c>
    </row>
    <row r="2491" spans="1:27" ht="21" customHeight="1" x14ac:dyDescent="0.95">
      <c r="A2491" s="56"/>
      <c r="B2491" s="57"/>
      <c r="C2491" s="57"/>
      <c r="D2491" s="57"/>
      <c r="E2491" s="56"/>
      <c r="F2491" s="57"/>
      <c r="G2491" s="57"/>
      <c r="H2491" s="56"/>
      <c r="I2491" s="56"/>
      <c r="J2491" s="58"/>
      <c r="K2491" s="58"/>
      <c r="L2491" s="13" t="str">
        <f t="shared" si="380"/>
        <v/>
      </c>
      <c r="M2491" s="13" t="str">
        <f t="shared" si="381"/>
        <v/>
      </c>
      <c r="Q2491" t="str">
        <f t="shared" si="382"/>
        <v/>
      </c>
      <c r="R2491" t="str">
        <f t="shared" si="383"/>
        <v/>
      </c>
      <c r="S2491" t="str">
        <f t="shared" si="384"/>
        <v/>
      </c>
      <c r="T2491" t="str">
        <f t="shared" si="385"/>
        <v/>
      </c>
      <c r="U2491" t="str">
        <f t="shared" si="386"/>
        <v/>
      </c>
      <c r="V2491" t="str">
        <f t="shared" si="387"/>
        <v/>
      </c>
      <c r="W2491" t="str">
        <f t="shared" si="388"/>
        <v/>
      </c>
      <c r="X2491">
        <f>IF($T2491="",N($X2490),IF(MATCH($T2491,$T$6:$T$10005,0)=ROW()-5,N($X2490)+1,N($X2490)))</f>
        <v>0</v>
      </c>
      <c r="Z2491" t="str">
        <f t="shared" si="389"/>
        <v/>
      </c>
      <c r="AA2491">
        <f>IF($V2491="",N($AA2490),IF(MATCH($V2491,$V$6:$V$10005,0)=ROW()-5,N($AA2490)+1,N($AA2490)))</f>
        <v>0</v>
      </c>
    </row>
    <row r="2492" spans="1:27" ht="21" customHeight="1" x14ac:dyDescent="0.95">
      <c r="A2492" s="56"/>
      <c r="B2492" s="57"/>
      <c r="C2492" s="57"/>
      <c r="D2492" s="57"/>
      <c r="E2492" s="56"/>
      <c r="F2492" s="57"/>
      <c r="G2492" s="57"/>
      <c r="H2492" s="56"/>
      <c r="I2492" s="56"/>
      <c r="J2492" s="58"/>
      <c r="K2492" s="58"/>
      <c r="L2492" s="13" t="str">
        <f t="shared" si="380"/>
        <v/>
      </c>
      <c r="M2492" s="13" t="str">
        <f t="shared" si="381"/>
        <v/>
      </c>
      <c r="Q2492" t="str">
        <f t="shared" si="382"/>
        <v/>
      </c>
      <c r="R2492" t="str">
        <f t="shared" si="383"/>
        <v/>
      </c>
      <c r="S2492" t="str">
        <f t="shared" si="384"/>
        <v/>
      </c>
      <c r="T2492" t="str">
        <f t="shared" si="385"/>
        <v/>
      </c>
      <c r="U2492" t="str">
        <f t="shared" si="386"/>
        <v/>
      </c>
      <c r="V2492" t="str">
        <f t="shared" si="387"/>
        <v/>
      </c>
      <c r="W2492" t="str">
        <f t="shared" si="388"/>
        <v/>
      </c>
      <c r="X2492">
        <f>IF($T2492="",N($X2491),IF(MATCH($T2492,$T$6:$T$10005,0)=ROW()-5,N($X2491)+1,N($X2491)))</f>
        <v>0</v>
      </c>
      <c r="Z2492" t="str">
        <f t="shared" si="389"/>
        <v/>
      </c>
      <c r="AA2492">
        <f>IF($V2492="",N($AA2491),IF(MATCH($V2492,$V$6:$V$10005,0)=ROW()-5,N($AA2491)+1,N($AA2491)))</f>
        <v>0</v>
      </c>
    </row>
    <row r="2493" spans="1:27" ht="21" customHeight="1" x14ac:dyDescent="0.95">
      <c r="A2493" s="56"/>
      <c r="B2493" s="57"/>
      <c r="C2493" s="57"/>
      <c r="D2493" s="57"/>
      <c r="E2493" s="56"/>
      <c r="F2493" s="57"/>
      <c r="G2493" s="57"/>
      <c r="H2493" s="56"/>
      <c r="I2493" s="56"/>
      <c r="J2493" s="58"/>
      <c r="K2493" s="58"/>
      <c r="L2493" s="13" t="str">
        <f t="shared" si="380"/>
        <v/>
      </c>
      <c r="M2493" s="13" t="str">
        <f t="shared" si="381"/>
        <v/>
      </c>
      <c r="Q2493" t="str">
        <f t="shared" si="382"/>
        <v/>
      </c>
      <c r="R2493" t="str">
        <f t="shared" si="383"/>
        <v/>
      </c>
      <c r="S2493" t="str">
        <f t="shared" si="384"/>
        <v/>
      </c>
      <c r="T2493" t="str">
        <f t="shared" si="385"/>
        <v/>
      </c>
      <c r="U2493" t="str">
        <f t="shared" si="386"/>
        <v/>
      </c>
      <c r="V2493" t="str">
        <f t="shared" si="387"/>
        <v/>
      </c>
      <c r="W2493" t="str">
        <f t="shared" si="388"/>
        <v/>
      </c>
      <c r="X2493">
        <f>IF($T2493="",N($X2492),IF(MATCH($T2493,$T$6:$T$10005,0)=ROW()-5,N($X2492)+1,N($X2492)))</f>
        <v>0</v>
      </c>
      <c r="Z2493" t="str">
        <f t="shared" si="389"/>
        <v/>
      </c>
      <c r="AA2493">
        <f>IF($V2493="",N($AA2492),IF(MATCH($V2493,$V$6:$V$10005,0)=ROW()-5,N($AA2492)+1,N($AA2492)))</f>
        <v>0</v>
      </c>
    </row>
    <row r="2494" spans="1:27" ht="21" customHeight="1" x14ac:dyDescent="0.95">
      <c r="A2494" s="56"/>
      <c r="B2494" s="57"/>
      <c r="C2494" s="57"/>
      <c r="D2494" s="57"/>
      <c r="E2494" s="56"/>
      <c r="F2494" s="57"/>
      <c r="G2494" s="57"/>
      <c r="H2494" s="56"/>
      <c r="I2494" s="56"/>
      <c r="J2494" s="58"/>
      <c r="K2494" s="58"/>
      <c r="L2494" s="13" t="str">
        <f t="shared" si="380"/>
        <v/>
      </c>
      <c r="M2494" s="13" t="str">
        <f t="shared" si="381"/>
        <v/>
      </c>
      <c r="Q2494" t="str">
        <f t="shared" si="382"/>
        <v/>
      </c>
      <c r="R2494" t="str">
        <f t="shared" si="383"/>
        <v/>
      </c>
      <c r="S2494" t="str">
        <f t="shared" si="384"/>
        <v/>
      </c>
      <c r="T2494" t="str">
        <f t="shared" si="385"/>
        <v/>
      </c>
      <c r="U2494" t="str">
        <f t="shared" si="386"/>
        <v/>
      </c>
      <c r="V2494" t="str">
        <f t="shared" si="387"/>
        <v/>
      </c>
      <c r="W2494" t="str">
        <f t="shared" si="388"/>
        <v/>
      </c>
      <c r="X2494">
        <f>IF($T2494="",N($X2493),IF(MATCH($T2494,$T$6:$T$10005,0)=ROW()-5,N($X2493)+1,N($X2493)))</f>
        <v>0</v>
      </c>
      <c r="Z2494" t="str">
        <f t="shared" si="389"/>
        <v/>
      </c>
      <c r="AA2494">
        <f>IF($V2494="",N($AA2493),IF(MATCH($V2494,$V$6:$V$10005,0)=ROW()-5,N($AA2493)+1,N($AA2493)))</f>
        <v>0</v>
      </c>
    </row>
    <row r="2495" spans="1:27" ht="21" customHeight="1" x14ac:dyDescent="0.95">
      <c r="A2495" s="56"/>
      <c r="B2495" s="57"/>
      <c r="C2495" s="57"/>
      <c r="D2495" s="57"/>
      <c r="E2495" s="56"/>
      <c r="F2495" s="57"/>
      <c r="G2495" s="57"/>
      <c r="H2495" s="56"/>
      <c r="I2495" s="56"/>
      <c r="J2495" s="58"/>
      <c r="K2495" s="58"/>
      <c r="L2495" s="13" t="str">
        <f t="shared" si="380"/>
        <v/>
      </c>
      <c r="M2495" s="13" t="str">
        <f t="shared" si="381"/>
        <v/>
      </c>
      <c r="Q2495" t="str">
        <f t="shared" si="382"/>
        <v/>
      </c>
      <c r="R2495" t="str">
        <f t="shared" si="383"/>
        <v/>
      </c>
      <c r="S2495" t="str">
        <f t="shared" si="384"/>
        <v/>
      </c>
      <c r="T2495" t="str">
        <f t="shared" si="385"/>
        <v/>
      </c>
      <c r="U2495" t="str">
        <f t="shared" si="386"/>
        <v/>
      </c>
      <c r="V2495" t="str">
        <f t="shared" si="387"/>
        <v/>
      </c>
      <c r="W2495" t="str">
        <f t="shared" si="388"/>
        <v/>
      </c>
      <c r="X2495">
        <f>IF($T2495="",N($X2494),IF(MATCH($T2495,$T$6:$T$10005,0)=ROW()-5,N($X2494)+1,N($X2494)))</f>
        <v>0</v>
      </c>
      <c r="Z2495" t="str">
        <f t="shared" si="389"/>
        <v/>
      </c>
      <c r="AA2495">
        <f>IF($V2495="",N($AA2494),IF(MATCH($V2495,$V$6:$V$10005,0)=ROW()-5,N($AA2494)+1,N($AA2494)))</f>
        <v>0</v>
      </c>
    </row>
    <row r="2496" spans="1:27" ht="21" customHeight="1" x14ac:dyDescent="0.95">
      <c r="A2496" s="56"/>
      <c r="B2496" s="57"/>
      <c r="C2496" s="57"/>
      <c r="D2496" s="57"/>
      <c r="E2496" s="56"/>
      <c r="F2496" s="57"/>
      <c r="G2496" s="57"/>
      <c r="H2496" s="56"/>
      <c r="I2496" s="56"/>
      <c r="J2496" s="58"/>
      <c r="K2496" s="58"/>
      <c r="L2496" s="13" t="str">
        <f t="shared" si="380"/>
        <v/>
      </c>
      <c r="M2496" s="13" t="str">
        <f t="shared" si="381"/>
        <v/>
      </c>
      <c r="Q2496" t="str">
        <f t="shared" si="382"/>
        <v/>
      </c>
      <c r="R2496" t="str">
        <f t="shared" si="383"/>
        <v/>
      </c>
      <c r="S2496" t="str">
        <f t="shared" si="384"/>
        <v/>
      </c>
      <c r="T2496" t="str">
        <f t="shared" si="385"/>
        <v/>
      </c>
      <c r="U2496" t="str">
        <f t="shared" si="386"/>
        <v/>
      </c>
      <c r="V2496" t="str">
        <f t="shared" si="387"/>
        <v/>
      </c>
      <c r="W2496" t="str">
        <f t="shared" si="388"/>
        <v/>
      </c>
      <c r="X2496">
        <f>IF($T2496="",N($X2495),IF(MATCH($T2496,$T$6:$T$10005,0)=ROW()-5,N($X2495)+1,N($X2495)))</f>
        <v>0</v>
      </c>
      <c r="Z2496" t="str">
        <f t="shared" si="389"/>
        <v/>
      </c>
      <c r="AA2496">
        <f>IF($V2496="",N($AA2495),IF(MATCH($V2496,$V$6:$V$10005,0)=ROW()-5,N($AA2495)+1,N($AA2495)))</f>
        <v>0</v>
      </c>
    </row>
    <row r="2497" spans="1:27" ht="21" customHeight="1" x14ac:dyDescent="0.95">
      <c r="A2497" s="56"/>
      <c r="B2497" s="57"/>
      <c r="C2497" s="57"/>
      <c r="D2497" s="57"/>
      <c r="E2497" s="56"/>
      <c r="F2497" s="57"/>
      <c r="G2497" s="57"/>
      <c r="H2497" s="56"/>
      <c r="I2497" s="56"/>
      <c r="J2497" s="58"/>
      <c r="K2497" s="58"/>
      <c r="L2497" s="13" t="str">
        <f t="shared" si="380"/>
        <v/>
      </c>
      <c r="M2497" s="13" t="str">
        <f t="shared" si="381"/>
        <v/>
      </c>
      <c r="Q2497" t="str">
        <f t="shared" si="382"/>
        <v/>
      </c>
      <c r="R2497" t="str">
        <f t="shared" si="383"/>
        <v/>
      </c>
      <c r="S2497" t="str">
        <f t="shared" si="384"/>
        <v/>
      </c>
      <c r="T2497" t="str">
        <f t="shared" si="385"/>
        <v/>
      </c>
      <c r="U2497" t="str">
        <f t="shared" si="386"/>
        <v/>
      </c>
      <c r="V2497" t="str">
        <f t="shared" si="387"/>
        <v/>
      </c>
      <c r="W2497" t="str">
        <f t="shared" si="388"/>
        <v/>
      </c>
      <c r="X2497">
        <f>IF($T2497="",N($X2496),IF(MATCH($T2497,$T$6:$T$10005,0)=ROW()-5,N($X2496)+1,N($X2496)))</f>
        <v>0</v>
      </c>
      <c r="Z2497" t="str">
        <f t="shared" si="389"/>
        <v/>
      </c>
      <c r="AA2497">
        <f>IF($V2497="",N($AA2496),IF(MATCH($V2497,$V$6:$V$10005,0)=ROW()-5,N($AA2496)+1,N($AA2496)))</f>
        <v>0</v>
      </c>
    </row>
    <row r="2498" spans="1:27" ht="21" customHeight="1" x14ac:dyDescent="0.95">
      <c r="A2498" s="56"/>
      <c r="B2498" s="57"/>
      <c r="C2498" s="57"/>
      <c r="D2498" s="57"/>
      <c r="E2498" s="56"/>
      <c r="F2498" s="57"/>
      <c r="G2498" s="57"/>
      <c r="H2498" s="56"/>
      <c r="I2498" s="56"/>
      <c r="J2498" s="58"/>
      <c r="K2498" s="58"/>
      <c r="L2498" s="13" t="str">
        <f t="shared" si="380"/>
        <v/>
      </c>
      <c r="M2498" s="13" t="str">
        <f t="shared" si="381"/>
        <v/>
      </c>
      <c r="Q2498" t="str">
        <f t="shared" si="382"/>
        <v/>
      </c>
      <c r="R2498" t="str">
        <f t="shared" si="383"/>
        <v/>
      </c>
      <c r="S2498" t="str">
        <f t="shared" si="384"/>
        <v/>
      </c>
      <c r="T2498" t="str">
        <f t="shared" si="385"/>
        <v/>
      </c>
      <c r="U2498" t="str">
        <f t="shared" si="386"/>
        <v/>
      </c>
      <c r="V2498" t="str">
        <f t="shared" si="387"/>
        <v/>
      </c>
      <c r="W2498" t="str">
        <f t="shared" si="388"/>
        <v/>
      </c>
      <c r="X2498">
        <f>IF($T2498="",N($X2497),IF(MATCH($T2498,$T$6:$T$10005,0)=ROW()-5,N($X2497)+1,N($X2497)))</f>
        <v>0</v>
      </c>
      <c r="Z2498" t="str">
        <f t="shared" si="389"/>
        <v/>
      </c>
      <c r="AA2498">
        <f>IF($V2498="",N($AA2497),IF(MATCH($V2498,$V$6:$V$10005,0)=ROW()-5,N($AA2497)+1,N($AA2497)))</f>
        <v>0</v>
      </c>
    </row>
    <row r="2499" spans="1:27" ht="21" customHeight="1" x14ac:dyDescent="0.95">
      <c r="A2499" s="56"/>
      <c r="B2499" s="57"/>
      <c r="C2499" s="57"/>
      <c r="D2499" s="57"/>
      <c r="E2499" s="56"/>
      <c r="F2499" s="57"/>
      <c r="G2499" s="57"/>
      <c r="H2499" s="56"/>
      <c r="I2499" s="56"/>
      <c r="J2499" s="58"/>
      <c r="K2499" s="58"/>
      <c r="L2499" s="13" t="str">
        <f t="shared" si="380"/>
        <v/>
      </c>
      <c r="M2499" s="13" t="str">
        <f t="shared" si="381"/>
        <v/>
      </c>
      <c r="Q2499" t="str">
        <f t="shared" si="382"/>
        <v/>
      </c>
      <c r="R2499" t="str">
        <f t="shared" si="383"/>
        <v/>
      </c>
      <c r="S2499" t="str">
        <f t="shared" si="384"/>
        <v/>
      </c>
      <c r="T2499" t="str">
        <f t="shared" si="385"/>
        <v/>
      </c>
      <c r="U2499" t="str">
        <f t="shared" si="386"/>
        <v/>
      </c>
      <c r="V2499" t="str">
        <f t="shared" si="387"/>
        <v/>
      </c>
      <c r="W2499" t="str">
        <f t="shared" si="388"/>
        <v/>
      </c>
      <c r="X2499">
        <f>IF($T2499="",N($X2498),IF(MATCH($T2499,$T$6:$T$10005,0)=ROW()-5,N($X2498)+1,N($X2498)))</f>
        <v>0</v>
      </c>
      <c r="Z2499" t="str">
        <f t="shared" si="389"/>
        <v/>
      </c>
      <c r="AA2499">
        <f>IF($V2499="",N($AA2498),IF(MATCH($V2499,$V$6:$V$10005,0)=ROW()-5,N($AA2498)+1,N($AA2498)))</f>
        <v>0</v>
      </c>
    </row>
    <row r="2500" spans="1:27" ht="21" customHeight="1" x14ac:dyDescent="0.95">
      <c r="A2500" s="56"/>
      <c r="B2500" s="57"/>
      <c r="C2500" s="57"/>
      <c r="D2500" s="57"/>
      <c r="E2500" s="56"/>
      <c r="F2500" s="57"/>
      <c r="G2500" s="57"/>
      <c r="H2500" s="56"/>
      <c r="I2500" s="56"/>
      <c r="J2500" s="58"/>
      <c r="K2500" s="58"/>
      <c r="L2500" s="13" t="str">
        <f t="shared" si="380"/>
        <v/>
      </c>
      <c r="M2500" s="13" t="str">
        <f t="shared" si="381"/>
        <v/>
      </c>
      <c r="Q2500" t="str">
        <f t="shared" si="382"/>
        <v/>
      </c>
      <c r="R2500" t="str">
        <f t="shared" si="383"/>
        <v/>
      </c>
      <c r="S2500" t="str">
        <f t="shared" si="384"/>
        <v/>
      </c>
      <c r="T2500" t="str">
        <f t="shared" si="385"/>
        <v/>
      </c>
      <c r="U2500" t="str">
        <f t="shared" si="386"/>
        <v/>
      </c>
      <c r="V2500" t="str">
        <f t="shared" si="387"/>
        <v/>
      </c>
      <c r="W2500" t="str">
        <f t="shared" si="388"/>
        <v/>
      </c>
      <c r="X2500">
        <f>IF($T2500="",N($X2499),IF(MATCH($T2500,$T$6:$T$10005,0)=ROW()-5,N($X2499)+1,N($X2499)))</f>
        <v>0</v>
      </c>
      <c r="Z2500" t="str">
        <f t="shared" si="389"/>
        <v/>
      </c>
      <c r="AA2500">
        <f>IF($V2500="",N($AA2499),IF(MATCH($V2500,$V$6:$V$10005,0)=ROW()-5,N($AA2499)+1,N($AA2499)))</f>
        <v>0</v>
      </c>
    </row>
    <row r="2501" spans="1:27" ht="21" customHeight="1" x14ac:dyDescent="0.95">
      <c r="A2501" s="56"/>
      <c r="B2501" s="57"/>
      <c r="C2501" s="57"/>
      <c r="D2501" s="57"/>
      <c r="E2501" s="56"/>
      <c r="F2501" s="57"/>
      <c r="G2501" s="57"/>
      <c r="H2501" s="56"/>
      <c r="I2501" s="56"/>
      <c r="J2501" s="58"/>
      <c r="K2501" s="58"/>
      <c r="L2501" s="13" t="str">
        <f t="shared" si="380"/>
        <v/>
      </c>
      <c r="M2501" s="13" t="str">
        <f t="shared" si="381"/>
        <v/>
      </c>
      <c r="Q2501" t="str">
        <f t="shared" si="382"/>
        <v/>
      </c>
      <c r="R2501" t="str">
        <f t="shared" si="383"/>
        <v/>
      </c>
      <c r="S2501" t="str">
        <f t="shared" si="384"/>
        <v/>
      </c>
      <c r="T2501" t="str">
        <f t="shared" si="385"/>
        <v/>
      </c>
      <c r="U2501" t="str">
        <f t="shared" si="386"/>
        <v/>
      </c>
      <c r="V2501" t="str">
        <f t="shared" si="387"/>
        <v/>
      </c>
      <c r="W2501" t="str">
        <f t="shared" si="388"/>
        <v/>
      </c>
      <c r="X2501">
        <f>IF($T2501="",N($X2500),IF(MATCH($T2501,$T$6:$T$10005,0)=ROW()-5,N($X2500)+1,N($X2500)))</f>
        <v>0</v>
      </c>
      <c r="Z2501" t="str">
        <f t="shared" si="389"/>
        <v/>
      </c>
      <c r="AA2501">
        <f>IF($V2501="",N($AA2500),IF(MATCH($V2501,$V$6:$V$10005,0)=ROW()-5,N($AA2500)+1,N($AA2500)))</f>
        <v>0</v>
      </c>
    </row>
    <row r="2502" spans="1:27" ht="21" customHeight="1" x14ac:dyDescent="0.95">
      <c r="A2502" s="56"/>
      <c r="B2502" s="57"/>
      <c r="C2502" s="57"/>
      <c r="D2502" s="57"/>
      <c r="E2502" s="56"/>
      <c r="F2502" s="57"/>
      <c r="G2502" s="57"/>
      <c r="H2502" s="56"/>
      <c r="I2502" s="56"/>
      <c r="J2502" s="58"/>
      <c r="K2502" s="58"/>
      <c r="L2502" s="13" t="str">
        <f t="shared" ref="L2502:L2565" si="390">IF(OR($A2502="",AND($J2502="",$K2502="")),"",ROUND(N($J2502)-N($K2502),2))</f>
        <v/>
      </c>
      <c r="M2502" s="13" t="str">
        <f t="shared" ref="M2502:M2565" si="391">IF(OR($A2502="",AND($J2502="",$K2502="")),"",MIN($J2502,$K2502))</f>
        <v/>
      </c>
      <c r="Q2502" t="str">
        <f t="shared" ref="Q2502:Q2565" si="392">IF($A2502="","",$D2502&amp;"("&amp;SUBSTITUTE($E2502," ","")&amp;")")</f>
        <v/>
      </c>
      <c r="R2502" t="str">
        <f t="shared" ref="R2502:R2565" si="393">IF($A2502="","",$B2502&amp;" - "&amp;$C2502)</f>
        <v/>
      </c>
      <c r="S2502" t="str">
        <f t="shared" ref="S2502:S2565" si="394">IF($A2502="","",$R2502&amp;"|"&amp;$Q2502)</f>
        <v/>
      </c>
      <c r="T2502" t="str">
        <f t="shared" ref="T2502:T2565" si="395">IF($A2502="","",$S2502&amp;"|"&amp;$F2502)</f>
        <v/>
      </c>
      <c r="U2502" t="str">
        <f t="shared" ref="U2502:U2565" si="396">IF($A2502="","",$R2502&amp;"("&amp;$E2502&amp;")")</f>
        <v/>
      </c>
      <c r="V2502" t="str">
        <f t="shared" ref="V2502:V2565" si="397">IF($A2502="","",$F2502&amp;"|"&amp;$U2502&amp;"|"&amp;$D2502)</f>
        <v/>
      </c>
      <c r="W2502" t="str">
        <f t="shared" ref="W2502:W2565" si="398">IF($T2502="","",IF($X2502&gt;N($X2501),$X2502,""))</f>
        <v/>
      </c>
      <c r="X2502">
        <f>IF($T2502="",N($X2501),IF(MATCH($T2502,$T$6:$T$10005,0)=ROW()-5,N($X2501)+1,N($X2501)))</f>
        <v>0</v>
      </c>
      <c r="Z2502" t="str">
        <f t="shared" ref="Z2502:Z2565" si="399">IF($V2502="","",IF($AA2502&gt;N($AA2501),$AA2502,""))</f>
        <v/>
      </c>
      <c r="AA2502">
        <f>IF($V2502="",N($AA2501),IF(MATCH($V2502,$V$6:$V$10005,0)=ROW()-5,N($AA2501)+1,N($AA2501)))</f>
        <v>0</v>
      </c>
    </row>
    <row r="2503" spans="1:27" ht="21" customHeight="1" x14ac:dyDescent="0.95">
      <c r="A2503" s="56"/>
      <c r="B2503" s="57"/>
      <c r="C2503" s="57"/>
      <c r="D2503" s="57"/>
      <c r="E2503" s="56"/>
      <c r="F2503" s="57"/>
      <c r="G2503" s="57"/>
      <c r="H2503" s="56"/>
      <c r="I2503" s="56"/>
      <c r="J2503" s="58"/>
      <c r="K2503" s="58"/>
      <c r="L2503" s="13" t="str">
        <f t="shared" si="390"/>
        <v/>
      </c>
      <c r="M2503" s="13" t="str">
        <f t="shared" si="391"/>
        <v/>
      </c>
      <c r="Q2503" t="str">
        <f t="shared" si="392"/>
        <v/>
      </c>
      <c r="R2503" t="str">
        <f t="shared" si="393"/>
        <v/>
      </c>
      <c r="S2503" t="str">
        <f t="shared" si="394"/>
        <v/>
      </c>
      <c r="T2503" t="str">
        <f t="shared" si="395"/>
        <v/>
      </c>
      <c r="U2503" t="str">
        <f t="shared" si="396"/>
        <v/>
      </c>
      <c r="V2503" t="str">
        <f t="shared" si="397"/>
        <v/>
      </c>
      <c r="W2503" t="str">
        <f t="shared" si="398"/>
        <v/>
      </c>
      <c r="X2503">
        <f>IF($T2503="",N($X2502),IF(MATCH($T2503,$T$6:$T$10005,0)=ROW()-5,N($X2502)+1,N($X2502)))</f>
        <v>0</v>
      </c>
      <c r="Z2503" t="str">
        <f t="shared" si="399"/>
        <v/>
      </c>
      <c r="AA2503">
        <f>IF($V2503="",N($AA2502),IF(MATCH($V2503,$V$6:$V$10005,0)=ROW()-5,N($AA2502)+1,N($AA2502)))</f>
        <v>0</v>
      </c>
    </row>
    <row r="2504" spans="1:27" ht="21" customHeight="1" x14ac:dyDescent="0.95">
      <c r="A2504" s="56"/>
      <c r="B2504" s="57"/>
      <c r="C2504" s="57"/>
      <c r="D2504" s="57"/>
      <c r="E2504" s="56"/>
      <c r="F2504" s="57"/>
      <c r="G2504" s="57"/>
      <c r="H2504" s="56"/>
      <c r="I2504" s="56"/>
      <c r="J2504" s="58"/>
      <c r="K2504" s="58"/>
      <c r="L2504" s="13" t="str">
        <f t="shared" si="390"/>
        <v/>
      </c>
      <c r="M2504" s="13" t="str">
        <f t="shared" si="391"/>
        <v/>
      </c>
      <c r="Q2504" t="str">
        <f t="shared" si="392"/>
        <v/>
      </c>
      <c r="R2504" t="str">
        <f t="shared" si="393"/>
        <v/>
      </c>
      <c r="S2504" t="str">
        <f t="shared" si="394"/>
        <v/>
      </c>
      <c r="T2504" t="str">
        <f t="shared" si="395"/>
        <v/>
      </c>
      <c r="U2504" t="str">
        <f t="shared" si="396"/>
        <v/>
      </c>
      <c r="V2504" t="str">
        <f t="shared" si="397"/>
        <v/>
      </c>
      <c r="W2504" t="str">
        <f t="shared" si="398"/>
        <v/>
      </c>
      <c r="X2504">
        <f>IF($T2504="",N($X2503),IF(MATCH($T2504,$T$6:$T$10005,0)=ROW()-5,N($X2503)+1,N($X2503)))</f>
        <v>0</v>
      </c>
      <c r="Z2504" t="str">
        <f t="shared" si="399"/>
        <v/>
      </c>
      <c r="AA2504">
        <f>IF($V2504="",N($AA2503),IF(MATCH($V2504,$V$6:$V$10005,0)=ROW()-5,N($AA2503)+1,N($AA2503)))</f>
        <v>0</v>
      </c>
    </row>
    <row r="2505" spans="1:27" ht="21" customHeight="1" x14ac:dyDescent="0.95">
      <c r="A2505" s="56"/>
      <c r="B2505" s="57"/>
      <c r="C2505" s="57"/>
      <c r="D2505" s="57"/>
      <c r="E2505" s="56"/>
      <c r="F2505" s="57"/>
      <c r="G2505" s="57"/>
      <c r="H2505" s="56"/>
      <c r="I2505" s="56"/>
      <c r="J2505" s="58"/>
      <c r="K2505" s="58"/>
      <c r="L2505" s="13" t="str">
        <f t="shared" si="390"/>
        <v/>
      </c>
      <c r="M2505" s="13" t="str">
        <f t="shared" si="391"/>
        <v/>
      </c>
      <c r="Q2505" t="str">
        <f t="shared" si="392"/>
        <v/>
      </c>
      <c r="R2505" t="str">
        <f t="shared" si="393"/>
        <v/>
      </c>
      <c r="S2505" t="str">
        <f t="shared" si="394"/>
        <v/>
      </c>
      <c r="T2505" t="str">
        <f t="shared" si="395"/>
        <v/>
      </c>
      <c r="U2505" t="str">
        <f t="shared" si="396"/>
        <v/>
      </c>
      <c r="V2505" t="str">
        <f t="shared" si="397"/>
        <v/>
      </c>
      <c r="W2505" t="str">
        <f t="shared" si="398"/>
        <v/>
      </c>
      <c r="X2505">
        <f>IF($T2505="",N($X2504),IF(MATCH($T2505,$T$6:$T$10005,0)=ROW()-5,N($X2504)+1,N($X2504)))</f>
        <v>0</v>
      </c>
      <c r="Z2505" t="str">
        <f t="shared" si="399"/>
        <v/>
      </c>
      <c r="AA2505">
        <f>IF($V2505="",N($AA2504),IF(MATCH($V2505,$V$6:$V$10005,0)=ROW()-5,N($AA2504)+1,N($AA2504)))</f>
        <v>0</v>
      </c>
    </row>
    <row r="2506" spans="1:27" ht="21" customHeight="1" x14ac:dyDescent="0.95">
      <c r="A2506" s="56"/>
      <c r="B2506" s="57"/>
      <c r="C2506" s="57"/>
      <c r="D2506" s="57"/>
      <c r="E2506" s="56"/>
      <c r="F2506" s="57"/>
      <c r="G2506" s="57"/>
      <c r="H2506" s="56"/>
      <c r="I2506" s="56"/>
      <c r="J2506" s="58"/>
      <c r="K2506" s="58"/>
      <c r="L2506" s="13" t="str">
        <f t="shared" si="390"/>
        <v/>
      </c>
      <c r="M2506" s="13" t="str">
        <f t="shared" si="391"/>
        <v/>
      </c>
      <c r="Q2506" t="str">
        <f t="shared" si="392"/>
        <v/>
      </c>
      <c r="R2506" t="str">
        <f t="shared" si="393"/>
        <v/>
      </c>
      <c r="S2506" t="str">
        <f t="shared" si="394"/>
        <v/>
      </c>
      <c r="T2506" t="str">
        <f t="shared" si="395"/>
        <v/>
      </c>
      <c r="U2506" t="str">
        <f t="shared" si="396"/>
        <v/>
      </c>
      <c r="V2506" t="str">
        <f t="shared" si="397"/>
        <v/>
      </c>
      <c r="W2506" t="str">
        <f t="shared" si="398"/>
        <v/>
      </c>
      <c r="X2506">
        <f>IF($T2506="",N($X2505),IF(MATCH($T2506,$T$6:$T$10005,0)=ROW()-5,N($X2505)+1,N($X2505)))</f>
        <v>0</v>
      </c>
      <c r="Z2506" t="str">
        <f t="shared" si="399"/>
        <v/>
      </c>
      <c r="AA2506">
        <f>IF($V2506="",N($AA2505),IF(MATCH($V2506,$V$6:$V$10005,0)=ROW()-5,N($AA2505)+1,N($AA2505)))</f>
        <v>0</v>
      </c>
    </row>
    <row r="2507" spans="1:27" ht="21" customHeight="1" x14ac:dyDescent="0.95">
      <c r="A2507" s="56"/>
      <c r="B2507" s="57"/>
      <c r="C2507" s="57"/>
      <c r="D2507" s="57"/>
      <c r="E2507" s="56"/>
      <c r="F2507" s="57"/>
      <c r="G2507" s="57"/>
      <c r="H2507" s="56"/>
      <c r="I2507" s="56"/>
      <c r="J2507" s="58"/>
      <c r="K2507" s="58"/>
      <c r="L2507" s="13" t="str">
        <f t="shared" si="390"/>
        <v/>
      </c>
      <c r="M2507" s="13" t="str">
        <f t="shared" si="391"/>
        <v/>
      </c>
      <c r="Q2507" t="str">
        <f t="shared" si="392"/>
        <v/>
      </c>
      <c r="R2507" t="str">
        <f t="shared" si="393"/>
        <v/>
      </c>
      <c r="S2507" t="str">
        <f t="shared" si="394"/>
        <v/>
      </c>
      <c r="T2507" t="str">
        <f t="shared" si="395"/>
        <v/>
      </c>
      <c r="U2507" t="str">
        <f t="shared" si="396"/>
        <v/>
      </c>
      <c r="V2507" t="str">
        <f t="shared" si="397"/>
        <v/>
      </c>
      <c r="W2507" t="str">
        <f t="shared" si="398"/>
        <v/>
      </c>
      <c r="X2507">
        <f>IF($T2507="",N($X2506),IF(MATCH($T2507,$T$6:$T$10005,0)=ROW()-5,N($X2506)+1,N($X2506)))</f>
        <v>0</v>
      </c>
      <c r="Z2507" t="str">
        <f t="shared" si="399"/>
        <v/>
      </c>
      <c r="AA2507">
        <f>IF($V2507="",N($AA2506),IF(MATCH($V2507,$V$6:$V$10005,0)=ROW()-5,N($AA2506)+1,N($AA2506)))</f>
        <v>0</v>
      </c>
    </row>
    <row r="2508" spans="1:27" ht="21" customHeight="1" x14ac:dyDescent="0.95">
      <c r="A2508" s="56"/>
      <c r="B2508" s="57"/>
      <c r="C2508" s="57"/>
      <c r="D2508" s="57"/>
      <c r="E2508" s="56"/>
      <c r="F2508" s="57"/>
      <c r="G2508" s="57"/>
      <c r="H2508" s="56"/>
      <c r="I2508" s="56"/>
      <c r="J2508" s="58"/>
      <c r="K2508" s="58"/>
      <c r="L2508" s="13" t="str">
        <f t="shared" si="390"/>
        <v/>
      </c>
      <c r="M2508" s="13" t="str">
        <f t="shared" si="391"/>
        <v/>
      </c>
      <c r="Q2508" t="str">
        <f t="shared" si="392"/>
        <v/>
      </c>
      <c r="R2508" t="str">
        <f t="shared" si="393"/>
        <v/>
      </c>
      <c r="S2508" t="str">
        <f t="shared" si="394"/>
        <v/>
      </c>
      <c r="T2508" t="str">
        <f t="shared" si="395"/>
        <v/>
      </c>
      <c r="U2508" t="str">
        <f t="shared" si="396"/>
        <v/>
      </c>
      <c r="V2508" t="str">
        <f t="shared" si="397"/>
        <v/>
      </c>
      <c r="W2508" t="str">
        <f t="shared" si="398"/>
        <v/>
      </c>
      <c r="X2508">
        <f>IF($T2508="",N($X2507),IF(MATCH($T2508,$T$6:$T$10005,0)=ROW()-5,N($X2507)+1,N($X2507)))</f>
        <v>0</v>
      </c>
      <c r="Z2508" t="str">
        <f t="shared" si="399"/>
        <v/>
      </c>
      <c r="AA2508">
        <f>IF($V2508="",N($AA2507),IF(MATCH($V2508,$V$6:$V$10005,0)=ROW()-5,N($AA2507)+1,N($AA2507)))</f>
        <v>0</v>
      </c>
    </row>
    <row r="2509" spans="1:27" ht="21" customHeight="1" x14ac:dyDescent="0.95">
      <c r="A2509" s="56"/>
      <c r="B2509" s="57"/>
      <c r="C2509" s="57"/>
      <c r="D2509" s="57"/>
      <c r="E2509" s="56"/>
      <c r="F2509" s="57"/>
      <c r="G2509" s="57"/>
      <c r="H2509" s="56"/>
      <c r="I2509" s="56"/>
      <c r="J2509" s="58"/>
      <c r="K2509" s="58"/>
      <c r="L2509" s="13" t="str">
        <f t="shared" si="390"/>
        <v/>
      </c>
      <c r="M2509" s="13" t="str">
        <f t="shared" si="391"/>
        <v/>
      </c>
      <c r="Q2509" t="str">
        <f t="shared" si="392"/>
        <v/>
      </c>
      <c r="R2509" t="str">
        <f t="shared" si="393"/>
        <v/>
      </c>
      <c r="S2509" t="str">
        <f t="shared" si="394"/>
        <v/>
      </c>
      <c r="T2509" t="str">
        <f t="shared" si="395"/>
        <v/>
      </c>
      <c r="U2509" t="str">
        <f t="shared" si="396"/>
        <v/>
      </c>
      <c r="V2509" t="str">
        <f t="shared" si="397"/>
        <v/>
      </c>
      <c r="W2509" t="str">
        <f t="shared" si="398"/>
        <v/>
      </c>
      <c r="X2509">
        <f>IF($T2509="",N($X2508),IF(MATCH($T2509,$T$6:$T$10005,0)=ROW()-5,N($X2508)+1,N($X2508)))</f>
        <v>0</v>
      </c>
      <c r="Z2509" t="str">
        <f t="shared" si="399"/>
        <v/>
      </c>
      <c r="AA2509">
        <f>IF($V2509="",N($AA2508),IF(MATCH($V2509,$V$6:$V$10005,0)=ROW()-5,N($AA2508)+1,N($AA2508)))</f>
        <v>0</v>
      </c>
    </row>
    <row r="2510" spans="1:27" ht="21" customHeight="1" x14ac:dyDescent="0.95">
      <c r="A2510" s="56"/>
      <c r="B2510" s="57"/>
      <c r="C2510" s="57"/>
      <c r="D2510" s="57"/>
      <c r="E2510" s="56"/>
      <c r="F2510" s="57"/>
      <c r="G2510" s="57"/>
      <c r="H2510" s="56"/>
      <c r="I2510" s="56"/>
      <c r="J2510" s="58"/>
      <c r="K2510" s="58"/>
      <c r="L2510" s="13" t="str">
        <f t="shared" si="390"/>
        <v/>
      </c>
      <c r="M2510" s="13" t="str">
        <f t="shared" si="391"/>
        <v/>
      </c>
      <c r="Q2510" t="str">
        <f t="shared" si="392"/>
        <v/>
      </c>
      <c r="R2510" t="str">
        <f t="shared" si="393"/>
        <v/>
      </c>
      <c r="S2510" t="str">
        <f t="shared" si="394"/>
        <v/>
      </c>
      <c r="T2510" t="str">
        <f t="shared" si="395"/>
        <v/>
      </c>
      <c r="U2510" t="str">
        <f t="shared" si="396"/>
        <v/>
      </c>
      <c r="V2510" t="str">
        <f t="shared" si="397"/>
        <v/>
      </c>
      <c r="W2510" t="str">
        <f t="shared" si="398"/>
        <v/>
      </c>
      <c r="X2510">
        <f>IF($T2510="",N($X2509),IF(MATCH($T2510,$T$6:$T$10005,0)=ROW()-5,N($X2509)+1,N($X2509)))</f>
        <v>0</v>
      </c>
      <c r="Z2510" t="str">
        <f t="shared" si="399"/>
        <v/>
      </c>
      <c r="AA2510">
        <f>IF($V2510="",N($AA2509),IF(MATCH($V2510,$V$6:$V$10005,0)=ROW()-5,N($AA2509)+1,N($AA2509)))</f>
        <v>0</v>
      </c>
    </row>
    <row r="2511" spans="1:27" ht="21" customHeight="1" x14ac:dyDescent="0.95">
      <c r="A2511" s="56"/>
      <c r="B2511" s="57"/>
      <c r="C2511" s="57"/>
      <c r="D2511" s="57"/>
      <c r="E2511" s="56"/>
      <c r="F2511" s="57"/>
      <c r="G2511" s="57"/>
      <c r="H2511" s="56"/>
      <c r="I2511" s="56"/>
      <c r="J2511" s="58"/>
      <c r="K2511" s="58"/>
      <c r="L2511" s="13" t="str">
        <f t="shared" si="390"/>
        <v/>
      </c>
      <c r="M2511" s="13" t="str">
        <f t="shared" si="391"/>
        <v/>
      </c>
      <c r="Q2511" t="str">
        <f t="shared" si="392"/>
        <v/>
      </c>
      <c r="R2511" t="str">
        <f t="shared" si="393"/>
        <v/>
      </c>
      <c r="S2511" t="str">
        <f t="shared" si="394"/>
        <v/>
      </c>
      <c r="T2511" t="str">
        <f t="shared" si="395"/>
        <v/>
      </c>
      <c r="U2511" t="str">
        <f t="shared" si="396"/>
        <v/>
      </c>
      <c r="V2511" t="str">
        <f t="shared" si="397"/>
        <v/>
      </c>
      <c r="W2511" t="str">
        <f t="shared" si="398"/>
        <v/>
      </c>
      <c r="X2511">
        <f>IF($T2511="",N($X2510),IF(MATCH($T2511,$T$6:$T$10005,0)=ROW()-5,N($X2510)+1,N($X2510)))</f>
        <v>0</v>
      </c>
      <c r="Z2511" t="str">
        <f t="shared" si="399"/>
        <v/>
      </c>
      <c r="AA2511">
        <f>IF($V2511="",N($AA2510),IF(MATCH($V2511,$V$6:$V$10005,0)=ROW()-5,N($AA2510)+1,N($AA2510)))</f>
        <v>0</v>
      </c>
    </row>
    <row r="2512" spans="1:27" ht="21" customHeight="1" x14ac:dyDescent="0.95">
      <c r="A2512" s="56"/>
      <c r="B2512" s="57"/>
      <c r="C2512" s="57"/>
      <c r="D2512" s="57"/>
      <c r="E2512" s="56"/>
      <c r="F2512" s="57"/>
      <c r="G2512" s="57"/>
      <c r="H2512" s="56"/>
      <c r="I2512" s="56"/>
      <c r="J2512" s="58"/>
      <c r="K2512" s="58"/>
      <c r="L2512" s="13" t="str">
        <f t="shared" si="390"/>
        <v/>
      </c>
      <c r="M2512" s="13" t="str">
        <f t="shared" si="391"/>
        <v/>
      </c>
      <c r="Q2512" t="str">
        <f t="shared" si="392"/>
        <v/>
      </c>
      <c r="R2512" t="str">
        <f t="shared" si="393"/>
        <v/>
      </c>
      <c r="S2512" t="str">
        <f t="shared" si="394"/>
        <v/>
      </c>
      <c r="T2512" t="str">
        <f t="shared" si="395"/>
        <v/>
      </c>
      <c r="U2512" t="str">
        <f t="shared" si="396"/>
        <v/>
      </c>
      <c r="V2512" t="str">
        <f t="shared" si="397"/>
        <v/>
      </c>
      <c r="W2512" t="str">
        <f t="shared" si="398"/>
        <v/>
      </c>
      <c r="X2512">
        <f>IF($T2512="",N($X2511),IF(MATCH($T2512,$T$6:$T$10005,0)=ROW()-5,N($X2511)+1,N($X2511)))</f>
        <v>0</v>
      </c>
      <c r="Z2512" t="str">
        <f t="shared" si="399"/>
        <v/>
      </c>
      <c r="AA2512">
        <f>IF($V2512="",N($AA2511),IF(MATCH($V2512,$V$6:$V$10005,0)=ROW()-5,N($AA2511)+1,N($AA2511)))</f>
        <v>0</v>
      </c>
    </row>
    <row r="2513" spans="1:27" ht="21" customHeight="1" x14ac:dyDescent="0.95">
      <c r="A2513" s="56"/>
      <c r="B2513" s="57"/>
      <c r="C2513" s="57"/>
      <c r="D2513" s="57"/>
      <c r="E2513" s="56"/>
      <c r="F2513" s="57"/>
      <c r="G2513" s="57"/>
      <c r="H2513" s="56"/>
      <c r="I2513" s="56"/>
      <c r="J2513" s="58"/>
      <c r="K2513" s="58"/>
      <c r="L2513" s="13" t="str">
        <f t="shared" si="390"/>
        <v/>
      </c>
      <c r="M2513" s="13" t="str">
        <f t="shared" si="391"/>
        <v/>
      </c>
      <c r="Q2513" t="str">
        <f t="shared" si="392"/>
        <v/>
      </c>
      <c r="R2513" t="str">
        <f t="shared" si="393"/>
        <v/>
      </c>
      <c r="S2513" t="str">
        <f t="shared" si="394"/>
        <v/>
      </c>
      <c r="T2513" t="str">
        <f t="shared" si="395"/>
        <v/>
      </c>
      <c r="U2513" t="str">
        <f t="shared" si="396"/>
        <v/>
      </c>
      <c r="V2513" t="str">
        <f t="shared" si="397"/>
        <v/>
      </c>
      <c r="W2513" t="str">
        <f t="shared" si="398"/>
        <v/>
      </c>
      <c r="X2513">
        <f>IF($T2513="",N($X2512),IF(MATCH($T2513,$T$6:$T$10005,0)=ROW()-5,N($X2512)+1,N($X2512)))</f>
        <v>0</v>
      </c>
      <c r="Z2513" t="str">
        <f t="shared" si="399"/>
        <v/>
      </c>
      <c r="AA2513">
        <f>IF($V2513="",N($AA2512),IF(MATCH($V2513,$V$6:$V$10005,0)=ROW()-5,N($AA2512)+1,N($AA2512)))</f>
        <v>0</v>
      </c>
    </row>
    <row r="2514" spans="1:27" ht="21" customHeight="1" x14ac:dyDescent="0.95">
      <c r="A2514" s="56"/>
      <c r="B2514" s="57"/>
      <c r="C2514" s="57"/>
      <c r="D2514" s="57"/>
      <c r="E2514" s="56"/>
      <c r="F2514" s="57"/>
      <c r="G2514" s="57"/>
      <c r="H2514" s="56"/>
      <c r="I2514" s="56"/>
      <c r="J2514" s="58"/>
      <c r="K2514" s="58"/>
      <c r="L2514" s="13" t="str">
        <f t="shared" si="390"/>
        <v/>
      </c>
      <c r="M2514" s="13" t="str">
        <f t="shared" si="391"/>
        <v/>
      </c>
      <c r="Q2514" t="str">
        <f t="shared" si="392"/>
        <v/>
      </c>
      <c r="R2514" t="str">
        <f t="shared" si="393"/>
        <v/>
      </c>
      <c r="S2514" t="str">
        <f t="shared" si="394"/>
        <v/>
      </c>
      <c r="T2514" t="str">
        <f t="shared" si="395"/>
        <v/>
      </c>
      <c r="U2514" t="str">
        <f t="shared" si="396"/>
        <v/>
      </c>
      <c r="V2514" t="str">
        <f t="shared" si="397"/>
        <v/>
      </c>
      <c r="W2514" t="str">
        <f t="shared" si="398"/>
        <v/>
      </c>
      <c r="X2514">
        <f>IF($T2514="",N($X2513),IF(MATCH($T2514,$T$6:$T$10005,0)=ROW()-5,N($X2513)+1,N($X2513)))</f>
        <v>0</v>
      </c>
      <c r="Z2514" t="str">
        <f t="shared" si="399"/>
        <v/>
      </c>
      <c r="AA2514">
        <f>IF($V2514="",N($AA2513),IF(MATCH($V2514,$V$6:$V$10005,0)=ROW()-5,N($AA2513)+1,N($AA2513)))</f>
        <v>0</v>
      </c>
    </row>
    <row r="2515" spans="1:27" ht="21" customHeight="1" x14ac:dyDescent="0.95">
      <c r="A2515" s="56"/>
      <c r="B2515" s="57"/>
      <c r="C2515" s="57"/>
      <c r="D2515" s="57"/>
      <c r="E2515" s="56"/>
      <c r="F2515" s="57"/>
      <c r="G2515" s="57"/>
      <c r="H2515" s="56"/>
      <c r="I2515" s="56"/>
      <c r="J2515" s="58"/>
      <c r="K2515" s="58"/>
      <c r="L2515" s="13" t="str">
        <f t="shared" si="390"/>
        <v/>
      </c>
      <c r="M2515" s="13" t="str">
        <f t="shared" si="391"/>
        <v/>
      </c>
      <c r="Q2515" t="str">
        <f t="shared" si="392"/>
        <v/>
      </c>
      <c r="R2515" t="str">
        <f t="shared" si="393"/>
        <v/>
      </c>
      <c r="S2515" t="str">
        <f t="shared" si="394"/>
        <v/>
      </c>
      <c r="T2515" t="str">
        <f t="shared" si="395"/>
        <v/>
      </c>
      <c r="U2515" t="str">
        <f t="shared" si="396"/>
        <v/>
      </c>
      <c r="V2515" t="str">
        <f t="shared" si="397"/>
        <v/>
      </c>
      <c r="W2515" t="str">
        <f t="shared" si="398"/>
        <v/>
      </c>
      <c r="X2515">
        <f>IF($T2515="",N($X2514),IF(MATCH($T2515,$T$6:$T$10005,0)=ROW()-5,N($X2514)+1,N($X2514)))</f>
        <v>0</v>
      </c>
      <c r="Z2515" t="str">
        <f t="shared" si="399"/>
        <v/>
      </c>
      <c r="AA2515">
        <f>IF($V2515="",N($AA2514),IF(MATCH($V2515,$V$6:$V$10005,0)=ROW()-5,N($AA2514)+1,N($AA2514)))</f>
        <v>0</v>
      </c>
    </row>
    <row r="2516" spans="1:27" ht="21" customHeight="1" x14ac:dyDescent="0.95">
      <c r="A2516" s="56"/>
      <c r="B2516" s="57"/>
      <c r="C2516" s="57"/>
      <c r="D2516" s="57"/>
      <c r="E2516" s="56"/>
      <c r="F2516" s="57"/>
      <c r="G2516" s="57"/>
      <c r="H2516" s="56"/>
      <c r="I2516" s="56"/>
      <c r="J2516" s="58"/>
      <c r="K2516" s="58"/>
      <c r="L2516" s="13" t="str">
        <f t="shared" si="390"/>
        <v/>
      </c>
      <c r="M2516" s="13" t="str">
        <f t="shared" si="391"/>
        <v/>
      </c>
      <c r="Q2516" t="str">
        <f t="shared" si="392"/>
        <v/>
      </c>
      <c r="R2516" t="str">
        <f t="shared" si="393"/>
        <v/>
      </c>
      <c r="S2516" t="str">
        <f t="shared" si="394"/>
        <v/>
      </c>
      <c r="T2516" t="str">
        <f t="shared" si="395"/>
        <v/>
      </c>
      <c r="U2516" t="str">
        <f t="shared" si="396"/>
        <v/>
      </c>
      <c r="V2516" t="str">
        <f t="shared" si="397"/>
        <v/>
      </c>
      <c r="W2516" t="str">
        <f t="shared" si="398"/>
        <v/>
      </c>
      <c r="X2516">
        <f>IF($T2516="",N($X2515),IF(MATCH($T2516,$T$6:$T$10005,0)=ROW()-5,N($X2515)+1,N($X2515)))</f>
        <v>0</v>
      </c>
      <c r="Z2516" t="str">
        <f t="shared" si="399"/>
        <v/>
      </c>
      <c r="AA2516">
        <f>IF($V2516="",N($AA2515),IF(MATCH($V2516,$V$6:$V$10005,0)=ROW()-5,N($AA2515)+1,N($AA2515)))</f>
        <v>0</v>
      </c>
    </row>
    <row r="2517" spans="1:27" ht="21" customHeight="1" x14ac:dyDescent="0.95">
      <c r="A2517" s="56"/>
      <c r="B2517" s="57"/>
      <c r="C2517" s="57"/>
      <c r="D2517" s="57"/>
      <c r="E2517" s="56"/>
      <c r="F2517" s="57"/>
      <c r="G2517" s="57"/>
      <c r="H2517" s="56"/>
      <c r="I2517" s="56"/>
      <c r="J2517" s="58"/>
      <c r="K2517" s="58"/>
      <c r="L2517" s="13" t="str">
        <f t="shared" si="390"/>
        <v/>
      </c>
      <c r="M2517" s="13" t="str">
        <f t="shared" si="391"/>
        <v/>
      </c>
      <c r="Q2517" t="str">
        <f t="shared" si="392"/>
        <v/>
      </c>
      <c r="R2517" t="str">
        <f t="shared" si="393"/>
        <v/>
      </c>
      <c r="S2517" t="str">
        <f t="shared" si="394"/>
        <v/>
      </c>
      <c r="T2517" t="str">
        <f t="shared" si="395"/>
        <v/>
      </c>
      <c r="U2517" t="str">
        <f t="shared" si="396"/>
        <v/>
      </c>
      <c r="V2517" t="str">
        <f t="shared" si="397"/>
        <v/>
      </c>
      <c r="W2517" t="str">
        <f t="shared" si="398"/>
        <v/>
      </c>
      <c r="X2517">
        <f>IF($T2517="",N($X2516),IF(MATCH($T2517,$T$6:$T$10005,0)=ROW()-5,N($X2516)+1,N($X2516)))</f>
        <v>0</v>
      </c>
      <c r="Z2517" t="str">
        <f t="shared" si="399"/>
        <v/>
      </c>
      <c r="AA2517">
        <f>IF($V2517="",N($AA2516),IF(MATCH($V2517,$V$6:$V$10005,0)=ROW()-5,N($AA2516)+1,N($AA2516)))</f>
        <v>0</v>
      </c>
    </row>
    <row r="2518" spans="1:27" ht="21" customHeight="1" x14ac:dyDescent="0.95">
      <c r="A2518" s="56"/>
      <c r="B2518" s="57"/>
      <c r="C2518" s="57"/>
      <c r="D2518" s="57"/>
      <c r="E2518" s="56"/>
      <c r="F2518" s="57"/>
      <c r="G2518" s="57"/>
      <c r="H2518" s="56"/>
      <c r="I2518" s="56"/>
      <c r="J2518" s="58"/>
      <c r="K2518" s="58"/>
      <c r="L2518" s="13" t="str">
        <f t="shared" si="390"/>
        <v/>
      </c>
      <c r="M2518" s="13" t="str">
        <f t="shared" si="391"/>
        <v/>
      </c>
      <c r="Q2518" t="str">
        <f t="shared" si="392"/>
        <v/>
      </c>
      <c r="R2518" t="str">
        <f t="shared" si="393"/>
        <v/>
      </c>
      <c r="S2518" t="str">
        <f t="shared" si="394"/>
        <v/>
      </c>
      <c r="T2518" t="str">
        <f t="shared" si="395"/>
        <v/>
      </c>
      <c r="U2518" t="str">
        <f t="shared" si="396"/>
        <v/>
      </c>
      <c r="V2518" t="str">
        <f t="shared" si="397"/>
        <v/>
      </c>
      <c r="W2518" t="str">
        <f t="shared" si="398"/>
        <v/>
      </c>
      <c r="X2518">
        <f>IF($T2518="",N($X2517),IF(MATCH($T2518,$T$6:$T$10005,0)=ROW()-5,N($X2517)+1,N($X2517)))</f>
        <v>0</v>
      </c>
      <c r="Z2518" t="str">
        <f t="shared" si="399"/>
        <v/>
      </c>
      <c r="AA2518">
        <f>IF($V2518="",N($AA2517),IF(MATCH($V2518,$V$6:$V$10005,0)=ROW()-5,N($AA2517)+1,N($AA2517)))</f>
        <v>0</v>
      </c>
    </row>
    <row r="2519" spans="1:27" ht="21" customHeight="1" x14ac:dyDescent="0.95">
      <c r="A2519" s="56"/>
      <c r="B2519" s="57"/>
      <c r="C2519" s="57"/>
      <c r="D2519" s="57"/>
      <c r="E2519" s="56"/>
      <c r="F2519" s="57"/>
      <c r="G2519" s="57"/>
      <c r="H2519" s="56"/>
      <c r="I2519" s="56"/>
      <c r="J2519" s="58"/>
      <c r="K2519" s="58"/>
      <c r="L2519" s="13" t="str">
        <f t="shared" si="390"/>
        <v/>
      </c>
      <c r="M2519" s="13" t="str">
        <f t="shared" si="391"/>
        <v/>
      </c>
      <c r="Q2519" t="str">
        <f t="shared" si="392"/>
        <v/>
      </c>
      <c r="R2519" t="str">
        <f t="shared" si="393"/>
        <v/>
      </c>
      <c r="S2519" t="str">
        <f t="shared" si="394"/>
        <v/>
      </c>
      <c r="T2519" t="str">
        <f t="shared" si="395"/>
        <v/>
      </c>
      <c r="U2519" t="str">
        <f t="shared" si="396"/>
        <v/>
      </c>
      <c r="V2519" t="str">
        <f t="shared" si="397"/>
        <v/>
      </c>
      <c r="W2519" t="str">
        <f t="shared" si="398"/>
        <v/>
      </c>
      <c r="X2519">
        <f>IF($T2519="",N($X2518),IF(MATCH($T2519,$T$6:$T$10005,0)=ROW()-5,N($X2518)+1,N($X2518)))</f>
        <v>0</v>
      </c>
      <c r="Z2519" t="str">
        <f t="shared" si="399"/>
        <v/>
      </c>
      <c r="AA2519">
        <f>IF($V2519="",N($AA2518),IF(MATCH($V2519,$V$6:$V$10005,0)=ROW()-5,N($AA2518)+1,N($AA2518)))</f>
        <v>0</v>
      </c>
    </row>
    <row r="2520" spans="1:27" ht="21" customHeight="1" x14ac:dyDescent="0.95">
      <c r="A2520" s="56"/>
      <c r="B2520" s="57"/>
      <c r="C2520" s="57"/>
      <c r="D2520" s="57"/>
      <c r="E2520" s="56"/>
      <c r="F2520" s="57"/>
      <c r="G2520" s="57"/>
      <c r="H2520" s="56"/>
      <c r="I2520" s="56"/>
      <c r="J2520" s="58"/>
      <c r="K2520" s="58"/>
      <c r="L2520" s="13" t="str">
        <f t="shared" si="390"/>
        <v/>
      </c>
      <c r="M2520" s="13" t="str">
        <f t="shared" si="391"/>
        <v/>
      </c>
      <c r="Q2520" t="str">
        <f t="shared" si="392"/>
        <v/>
      </c>
      <c r="R2520" t="str">
        <f t="shared" si="393"/>
        <v/>
      </c>
      <c r="S2520" t="str">
        <f t="shared" si="394"/>
        <v/>
      </c>
      <c r="T2520" t="str">
        <f t="shared" si="395"/>
        <v/>
      </c>
      <c r="U2520" t="str">
        <f t="shared" si="396"/>
        <v/>
      </c>
      <c r="V2520" t="str">
        <f t="shared" si="397"/>
        <v/>
      </c>
      <c r="W2520" t="str">
        <f t="shared" si="398"/>
        <v/>
      </c>
      <c r="X2520">
        <f>IF($T2520="",N($X2519),IF(MATCH($T2520,$T$6:$T$10005,0)=ROW()-5,N($X2519)+1,N($X2519)))</f>
        <v>0</v>
      </c>
      <c r="Z2520" t="str">
        <f t="shared" si="399"/>
        <v/>
      </c>
      <c r="AA2520">
        <f>IF($V2520="",N($AA2519),IF(MATCH($V2520,$V$6:$V$10005,0)=ROW()-5,N($AA2519)+1,N($AA2519)))</f>
        <v>0</v>
      </c>
    </row>
    <row r="2521" spans="1:27" ht="21" customHeight="1" x14ac:dyDescent="0.95">
      <c r="A2521" s="56"/>
      <c r="B2521" s="57"/>
      <c r="C2521" s="57"/>
      <c r="D2521" s="57"/>
      <c r="E2521" s="56"/>
      <c r="F2521" s="57"/>
      <c r="G2521" s="57"/>
      <c r="H2521" s="56"/>
      <c r="I2521" s="56"/>
      <c r="J2521" s="58"/>
      <c r="K2521" s="58"/>
      <c r="L2521" s="13" t="str">
        <f t="shared" si="390"/>
        <v/>
      </c>
      <c r="M2521" s="13" t="str">
        <f t="shared" si="391"/>
        <v/>
      </c>
      <c r="Q2521" t="str">
        <f t="shared" si="392"/>
        <v/>
      </c>
      <c r="R2521" t="str">
        <f t="shared" si="393"/>
        <v/>
      </c>
      <c r="S2521" t="str">
        <f t="shared" si="394"/>
        <v/>
      </c>
      <c r="T2521" t="str">
        <f t="shared" si="395"/>
        <v/>
      </c>
      <c r="U2521" t="str">
        <f t="shared" si="396"/>
        <v/>
      </c>
      <c r="V2521" t="str">
        <f t="shared" si="397"/>
        <v/>
      </c>
      <c r="W2521" t="str">
        <f t="shared" si="398"/>
        <v/>
      </c>
      <c r="X2521">
        <f>IF($T2521="",N($X2520),IF(MATCH($T2521,$T$6:$T$10005,0)=ROW()-5,N($X2520)+1,N($X2520)))</f>
        <v>0</v>
      </c>
      <c r="Z2521" t="str">
        <f t="shared" si="399"/>
        <v/>
      </c>
      <c r="AA2521">
        <f>IF($V2521="",N($AA2520),IF(MATCH($V2521,$V$6:$V$10005,0)=ROW()-5,N($AA2520)+1,N($AA2520)))</f>
        <v>0</v>
      </c>
    </row>
    <row r="2522" spans="1:27" ht="21" customHeight="1" x14ac:dyDescent="0.95">
      <c r="A2522" s="56"/>
      <c r="B2522" s="57"/>
      <c r="C2522" s="57"/>
      <c r="D2522" s="57"/>
      <c r="E2522" s="56"/>
      <c r="F2522" s="57"/>
      <c r="G2522" s="57"/>
      <c r="H2522" s="56"/>
      <c r="I2522" s="56"/>
      <c r="J2522" s="58"/>
      <c r="K2522" s="58"/>
      <c r="L2522" s="13" t="str">
        <f t="shared" si="390"/>
        <v/>
      </c>
      <c r="M2522" s="13" t="str">
        <f t="shared" si="391"/>
        <v/>
      </c>
      <c r="Q2522" t="str">
        <f t="shared" si="392"/>
        <v/>
      </c>
      <c r="R2522" t="str">
        <f t="shared" si="393"/>
        <v/>
      </c>
      <c r="S2522" t="str">
        <f t="shared" si="394"/>
        <v/>
      </c>
      <c r="T2522" t="str">
        <f t="shared" si="395"/>
        <v/>
      </c>
      <c r="U2522" t="str">
        <f t="shared" si="396"/>
        <v/>
      </c>
      <c r="V2522" t="str">
        <f t="shared" si="397"/>
        <v/>
      </c>
      <c r="W2522" t="str">
        <f t="shared" si="398"/>
        <v/>
      </c>
      <c r="X2522">
        <f>IF($T2522="",N($X2521),IF(MATCH($T2522,$T$6:$T$10005,0)=ROW()-5,N($X2521)+1,N($X2521)))</f>
        <v>0</v>
      </c>
      <c r="Z2522" t="str">
        <f t="shared" si="399"/>
        <v/>
      </c>
      <c r="AA2522">
        <f>IF($V2522="",N($AA2521),IF(MATCH($V2522,$V$6:$V$10005,0)=ROW()-5,N($AA2521)+1,N($AA2521)))</f>
        <v>0</v>
      </c>
    </row>
    <row r="2523" spans="1:27" ht="21" customHeight="1" x14ac:dyDescent="0.95">
      <c r="A2523" s="56"/>
      <c r="B2523" s="57"/>
      <c r="C2523" s="57"/>
      <c r="D2523" s="57"/>
      <c r="E2523" s="56"/>
      <c r="F2523" s="57"/>
      <c r="G2523" s="57"/>
      <c r="H2523" s="56"/>
      <c r="I2523" s="56"/>
      <c r="J2523" s="58"/>
      <c r="K2523" s="58"/>
      <c r="L2523" s="13" t="str">
        <f t="shared" si="390"/>
        <v/>
      </c>
      <c r="M2523" s="13" t="str">
        <f t="shared" si="391"/>
        <v/>
      </c>
      <c r="Q2523" t="str">
        <f t="shared" si="392"/>
        <v/>
      </c>
      <c r="R2523" t="str">
        <f t="shared" si="393"/>
        <v/>
      </c>
      <c r="S2523" t="str">
        <f t="shared" si="394"/>
        <v/>
      </c>
      <c r="T2523" t="str">
        <f t="shared" si="395"/>
        <v/>
      </c>
      <c r="U2523" t="str">
        <f t="shared" si="396"/>
        <v/>
      </c>
      <c r="V2523" t="str">
        <f t="shared" si="397"/>
        <v/>
      </c>
      <c r="W2523" t="str">
        <f t="shared" si="398"/>
        <v/>
      </c>
      <c r="X2523">
        <f>IF($T2523="",N($X2522),IF(MATCH($T2523,$T$6:$T$10005,0)=ROW()-5,N($X2522)+1,N($X2522)))</f>
        <v>0</v>
      </c>
      <c r="Z2523" t="str">
        <f t="shared" si="399"/>
        <v/>
      </c>
      <c r="AA2523">
        <f>IF($V2523="",N($AA2522),IF(MATCH($V2523,$V$6:$V$10005,0)=ROW()-5,N($AA2522)+1,N($AA2522)))</f>
        <v>0</v>
      </c>
    </row>
    <row r="2524" spans="1:27" ht="21" customHeight="1" x14ac:dyDescent="0.95">
      <c r="A2524" s="56"/>
      <c r="B2524" s="57"/>
      <c r="C2524" s="57"/>
      <c r="D2524" s="57"/>
      <c r="E2524" s="56"/>
      <c r="F2524" s="57"/>
      <c r="G2524" s="57"/>
      <c r="H2524" s="56"/>
      <c r="I2524" s="56"/>
      <c r="J2524" s="58"/>
      <c r="K2524" s="58"/>
      <c r="L2524" s="13" t="str">
        <f t="shared" si="390"/>
        <v/>
      </c>
      <c r="M2524" s="13" t="str">
        <f t="shared" si="391"/>
        <v/>
      </c>
      <c r="Q2524" t="str">
        <f t="shared" si="392"/>
        <v/>
      </c>
      <c r="R2524" t="str">
        <f t="shared" si="393"/>
        <v/>
      </c>
      <c r="S2524" t="str">
        <f t="shared" si="394"/>
        <v/>
      </c>
      <c r="T2524" t="str">
        <f t="shared" si="395"/>
        <v/>
      </c>
      <c r="U2524" t="str">
        <f t="shared" si="396"/>
        <v/>
      </c>
      <c r="V2524" t="str">
        <f t="shared" si="397"/>
        <v/>
      </c>
      <c r="W2524" t="str">
        <f t="shared" si="398"/>
        <v/>
      </c>
      <c r="X2524">
        <f>IF($T2524="",N($X2523),IF(MATCH($T2524,$T$6:$T$10005,0)=ROW()-5,N($X2523)+1,N($X2523)))</f>
        <v>0</v>
      </c>
      <c r="Z2524" t="str">
        <f t="shared" si="399"/>
        <v/>
      </c>
      <c r="AA2524">
        <f>IF($V2524="",N($AA2523),IF(MATCH($V2524,$V$6:$V$10005,0)=ROW()-5,N($AA2523)+1,N($AA2523)))</f>
        <v>0</v>
      </c>
    </row>
    <row r="2525" spans="1:27" ht="21" customHeight="1" x14ac:dyDescent="0.95">
      <c r="A2525" s="56"/>
      <c r="B2525" s="57"/>
      <c r="C2525" s="57"/>
      <c r="D2525" s="57"/>
      <c r="E2525" s="56"/>
      <c r="F2525" s="57"/>
      <c r="G2525" s="57"/>
      <c r="H2525" s="56"/>
      <c r="I2525" s="56"/>
      <c r="J2525" s="58"/>
      <c r="K2525" s="58"/>
      <c r="L2525" s="13" t="str">
        <f t="shared" si="390"/>
        <v/>
      </c>
      <c r="M2525" s="13" t="str">
        <f t="shared" si="391"/>
        <v/>
      </c>
      <c r="Q2525" t="str">
        <f t="shared" si="392"/>
        <v/>
      </c>
      <c r="R2525" t="str">
        <f t="shared" si="393"/>
        <v/>
      </c>
      <c r="S2525" t="str">
        <f t="shared" si="394"/>
        <v/>
      </c>
      <c r="T2525" t="str">
        <f t="shared" si="395"/>
        <v/>
      </c>
      <c r="U2525" t="str">
        <f t="shared" si="396"/>
        <v/>
      </c>
      <c r="V2525" t="str">
        <f t="shared" si="397"/>
        <v/>
      </c>
      <c r="W2525" t="str">
        <f t="shared" si="398"/>
        <v/>
      </c>
      <c r="X2525">
        <f>IF($T2525="",N($X2524),IF(MATCH($T2525,$T$6:$T$10005,0)=ROW()-5,N($X2524)+1,N($X2524)))</f>
        <v>0</v>
      </c>
      <c r="Z2525" t="str">
        <f t="shared" si="399"/>
        <v/>
      </c>
      <c r="AA2525">
        <f>IF($V2525="",N($AA2524),IF(MATCH($V2525,$V$6:$V$10005,0)=ROW()-5,N($AA2524)+1,N($AA2524)))</f>
        <v>0</v>
      </c>
    </row>
    <row r="2526" spans="1:27" ht="21" customHeight="1" x14ac:dyDescent="0.95">
      <c r="A2526" s="56"/>
      <c r="B2526" s="57"/>
      <c r="C2526" s="57"/>
      <c r="D2526" s="57"/>
      <c r="E2526" s="56"/>
      <c r="F2526" s="57"/>
      <c r="G2526" s="57"/>
      <c r="H2526" s="56"/>
      <c r="I2526" s="56"/>
      <c r="J2526" s="58"/>
      <c r="K2526" s="58"/>
      <c r="L2526" s="13" t="str">
        <f t="shared" si="390"/>
        <v/>
      </c>
      <c r="M2526" s="13" t="str">
        <f t="shared" si="391"/>
        <v/>
      </c>
      <c r="Q2526" t="str">
        <f t="shared" si="392"/>
        <v/>
      </c>
      <c r="R2526" t="str">
        <f t="shared" si="393"/>
        <v/>
      </c>
      <c r="S2526" t="str">
        <f t="shared" si="394"/>
        <v/>
      </c>
      <c r="T2526" t="str">
        <f t="shared" si="395"/>
        <v/>
      </c>
      <c r="U2526" t="str">
        <f t="shared" si="396"/>
        <v/>
      </c>
      <c r="V2526" t="str">
        <f t="shared" si="397"/>
        <v/>
      </c>
      <c r="W2526" t="str">
        <f t="shared" si="398"/>
        <v/>
      </c>
      <c r="X2526">
        <f>IF($T2526="",N($X2525),IF(MATCH($T2526,$T$6:$T$10005,0)=ROW()-5,N($X2525)+1,N($X2525)))</f>
        <v>0</v>
      </c>
      <c r="Z2526" t="str">
        <f t="shared" si="399"/>
        <v/>
      </c>
      <c r="AA2526">
        <f>IF($V2526="",N($AA2525),IF(MATCH($V2526,$V$6:$V$10005,0)=ROW()-5,N($AA2525)+1,N($AA2525)))</f>
        <v>0</v>
      </c>
    </row>
    <row r="2527" spans="1:27" ht="21" customHeight="1" x14ac:dyDescent="0.95">
      <c r="A2527" s="56"/>
      <c r="B2527" s="57"/>
      <c r="C2527" s="57"/>
      <c r="D2527" s="57"/>
      <c r="E2527" s="56"/>
      <c r="F2527" s="57"/>
      <c r="G2527" s="57"/>
      <c r="H2527" s="56"/>
      <c r="I2527" s="56"/>
      <c r="J2527" s="58"/>
      <c r="K2527" s="58"/>
      <c r="L2527" s="13" t="str">
        <f t="shared" si="390"/>
        <v/>
      </c>
      <c r="M2527" s="13" t="str">
        <f t="shared" si="391"/>
        <v/>
      </c>
      <c r="Q2527" t="str">
        <f t="shared" si="392"/>
        <v/>
      </c>
      <c r="R2527" t="str">
        <f t="shared" si="393"/>
        <v/>
      </c>
      <c r="S2527" t="str">
        <f t="shared" si="394"/>
        <v/>
      </c>
      <c r="T2527" t="str">
        <f t="shared" si="395"/>
        <v/>
      </c>
      <c r="U2527" t="str">
        <f t="shared" si="396"/>
        <v/>
      </c>
      <c r="V2527" t="str">
        <f t="shared" si="397"/>
        <v/>
      </c>
      <c r="W2527" t="str">
        <f t="shared" si="398"/>
        <v/>
      </c>
      <c r="X2527">
        <f>IF($T2527="",N($X2526),IF(MATCH($T2527,$T$6:$T$10005,0)=ROW()-5,N($X2526)+1,N($X2526)))</f>
        <v>0</v>
      </c>
      <c r="Z2527" t="str">
        <f t="shared" si="399"/>
        <v/>
      </c>
      <c r="AA2527">
        <f>IF($V2527="",N($AA2526),IF(MATCH($V2527,$V$6:$V$10005,0)=ROW()-5,N($AA2526)+1,N($AA2526)))</f>
        <v>0</v>
      </c>
    </row>
    <row r="2528" spans="1:27" ht="21" customHeight="1" x14ac:dyDescent="0.95">
      <c r="A2528" s="56"/>
      <c r="B2528" s="57"/>
      <c r="C2528" s="57"/>
      <c r="D2528" s="57"/>
      <c r="E2528" s="56"/>
      <c r="F2528" s="57"/>
      <c r="G2528" s="57"/>
      <c r="H2528" s="56"/>
      <c r="I2528" s="56"/>
      <c r="J2528" s="58"/>
      <c r="K2528" s="58"/>
      <c r="L2528" s="13" t="str">
        <f t="shared" si="390"/>
        <v/>
      </c>
      <c r="M2528" s="13" t="str">
        <f t="shared" si="391"/>
        <v/>
      </c>
      <c r="Q2528" t="str">
        <f t="shared" si="392"/>
        <v/>
      </c>
      <c r="R2528" t="str">
        <f t="shared" si="393"/>
        <v/>
      </c>
      <c r="S2528" t="str">
        <f t="shared" si="394"/>
        <v/>
      </c>
      <c r="T2528" t="str">
        <f t="shared" si="395"/>
        <v/>
      </c>
      <c r="U2528" t="str">
        <f t="shared" si="396"/>
        <v/>
      </c>
      <c r="V2528" t="str">
        <f t="shared" si="397"/>
        <v/>
      </c>
      <c r="W2528" t="str">
        <f t="shared" si="398"/>
        <v/>
      </c>
      <c r="X2528">
        <f>IF($T2528="",N($X2527),IF(MATCH($T2528,$T$6:$T$10005,0)=ROW()-5,N($X2527)+1,N($X2527)))</f>
        <v>0</v>
      </c>
      <c r="Z2528" t="str">
        <f t="shared" si="399"/>
        <v/>
      </c>
      <c r="AA2528">
        <f>IF($V2528="",N($AA2527),IF(MATCH($V2528,$V$6:$V$10005,0)=ROW()-5,N($AA2527)+1,N($AA2527)))</f>
        <v>0</v>
      </c>
    </row>
    <row r="2529" spans="1:27" ht="21" customHeight="1" x14ac:dyDescent="0.95">
      <c r="A2529" s="56"/>
      <c r="B2529" s="57"/>
      <c r="C2529" s="57"/>
      <c r="D2529" s="57"/>
      <c r="E2529" s="56"/>
      <c r="F2529" s="57"/>
      <c r="G2529" s="57"/>
      <c r="H2529" s="56"/>
      <c r="I2529" s="56"/>
      <c r="J2529" s="58"/>
      <c r="K2529" s="58"/>
      <c r="L2529" s="13" t="str">
        <f t="shared" si="390"/>
        <v/>
      </c>
      <c r="M2529" s="13" t="str">
        <f t="shared" si="391"/>
        <v/>
      </c>
      <c r="Q2529" t="str">
        <f t="shared" si="392"/>
        <v/>
      </c>
      <c r="R2529" t="str">
        <f t="shared" si="393"/>
        <v/>
      </c>
      <c r="S2529" t="str">
        <f t="shared" si="394"/>
        <v/>
      </c>
      <c r="T2529" t="str">
        <f t="shared" si="395"/>
        <v/>
      </c>
      <c r="U2529" t="str">
        <f t="shared" si="396"/>
        <v/>
      </c>
      <c r="V2529" t="str">
        <f t="shared" si="397"/>
        <v/>
      </c>
      <c r="W2529" t="str">
        <f t="shared" si="398"/>
        <v/>
      </c>
      <c r="X2529">
        <f>IF($T2529="",N($X2528),IF(MATCH($T2529,$T$6:$T$10005,0)=ROW()-5,N($X2528)+1,N($X2528)))</f>
        <v>0</v>
      </c>
      <c r="Z2529" t="str">
        <f t="shared" si="399"/>
        <v/>
      </c>
      <c r="AA2529">
        <f>IF($V2529="",N($AA2528),IF(MATCH($V2529,$V$6:$V$10005,0)=ROW()-5,N($AA2528)+1,N($AA2528)))</f>
        <v>0</v>
      </c>
    </row>
    <row r="2530" spans="1:27" ht="21" customHeight="1" x14ac:dyDescent="0.95">
      <c r="A2530" s="56"/>
      <c r="B2530" s="57"/>
      <c r="C2530" s="57"/>
      <c r="D2530" s="57"/>
      <c r="E2530" s="56"/>
      <c r="F2530" s="57"/>
      <c r="G2530" s="57"/>
      <c r="H2530" s="56"/>
      <c r="I2530" s="56"/>
      <c r="J2530" s="58"/>
      <c r="K2530" s="58"/>
      <c r="L2530" s="13" t="str">
        <f t="shared" si="390"/>
        <v/>
      </c>
      <c r="M2530" s="13" t="str">
        <f t="shared" si="391"/>
        <v/>
      </c>
      <c r="Q2530" t="str">
        <f t="shared" si="392"/>
        <v/>
      </c>
      <c r="R2530" t="str">
        <f t="shared" si="393"/>
        <v/>
      </c>
      <c r="S2530" t="str">
        <f t="shared" si="394"/>
        <v/>
      </c>
      <c r="T2530" t="str">
        <f t="shared" si="395"/>
        <v/>
      </c>
      <c r="U2530" t="str">
        <f t="shared" si="396"/>
        <v/>
      </c>
      <c r="V2530" t="str">
        <f t="shared" si="397"/>
        <v/>
      </c>
      <c r="W2530" t="str">
        <f t="shared" si="398"/>
        <v/>
      </c>
      <c r="X2530">
        <f>IF($T2530="",N($X2529),IF(MATCH($T2530,$T$6:$T$10005,0)=ROW()-5,N($X2529)+1,N($X2529)))</f>
        <v>0</v>
      </c>
      <c r="Z2530" t="str">
        <f t="shared" si="399"/>
        <v/>
      </c>
      <c r="AA2530">
        <f>IF($V2530="",N($AA2529),IF(MATCH($V2530,$V$6:$V$10005,0)=ROW()-5,N($AA2529)+1,N($AA2529)))</f>
        <v>0</v>
      </c>
    </row>
    <row r="2531" spans="1:27" ht="21" customHeight="1" x14ac:dyDescent="0.95">
      <c r="A2531" s="56"/>
      <c r="B2531" s="57"/>
      <c r="C2531" s="57"/>
      <c r="D2531" s="57"/>
      <c r="E2531" s="56"/>
      <c r="F2531" s="57"/>
      <c r="G2531" s="57"/>
      <c r="H2531" s="56"/>
      <c r="I2531" s="56"/>
      <c r="J2531" s="58"/>
      <c r="K2531" s="58"/>
      <c r="L2531" s="13" t="str">
        <f t="shared" si="390"/>
        <v/>
      </c>
      <c r="M2531" s="13" t="str">
        <f t="shared" si="391"/>
        <v/>
      </c>
      <c r="Q2531" t="str">
        <f t="shared" si="392"/>
        <v/>
      </c>
      <c r="R2531" t="str">
        <f t="shared" si="393"/>
        <v/>
      </c>
      <c r="S2531" t="str">
        <f t="shared" si="394"/>
        <v/>
      </c>
      <c r="T2531" t="str">
        <f t="shared" si="395"/>
        <v/>
      </c>
      <c r="U2531" t="str">
        <f t="shared" si="396"/>
        <v/>
      </c>
      <c r="V2531" t="str">
        <f t="shared" si="397"/>
        <v/>
      </c>
      <c r="W2531" t="str">
        <f t="shared" si="398"/>
        <v/>
      </c>
      <c r="X2531">
        <f>IF($T2531="",N($X2530),IF(MATCH($T2531,$T$6:$T$10005,0)=ROW()-5,N($X2530)+1,N($X2530)))</f>
        <v>0</v>
      </c>
      <c r="Z2531" t="str">
        <f t="shared" si="399"/>
        <v/>
      </c>
      <c r="AA2531">
        <f>IF($V2531="",N($AA2530),IF(MATCH($V2531,$V$6:$V$10005,0)=ROW()-5,N($AA2530)+1,N($AA2530)))</f>
        <v>0</v>
      </c>
    </row>
    <row r="2532" spans="1:27" ht="21" customHeight="1" x14ac:dyDescent="0.95">
      <c r="A2532" s="56"/>
      <c r="B2532" s="57"/>
      <c r="C2532" s="57"/>
      <c r="D2532" s="57"/>
      <c r="E2532" s="56"/>
      <c r="F2532" s="57"/>
      <c r="G2532" s="57"/>
      <c r="H2532" s="56"/>
      <c r="I2532" s="56"/>
      <c r="J2532" s="58"/>
      <c r="K2532" s="58"/>
      <c r="L2532" s="13" t="str">
        <f t="shared" si="390"/>
        <v/>
      </c>
      <c r="M2532" s="13" t="str">
        <f t="shared" si="391"/>
        <v/>
      </c>
      <c r="Q2532" t="str">
        <f t="shared" si="392"/>
        <v/>
      </c>
      <c r="R2532" t="str">
        <f t="shared" si="393"/>
        <v/>
      </c>
      <c r="S2532" t="str">
        <f t="shared" si="394"/>
        <v/>
      </c>
      <c r="T2532" t="str">
        <f t="shared" si="395"/>
        <v/>
      </c>
      <c r="U2532" t="str">
        <f t="shared" si="396"/>
        <v/>
      </c>
      <c r="V2532" t="str">
        <f t="shared" si="397"/>
        <v/>
      </c>
      <c r="W2532" t="str">
        <f t="shared" si="398"/>
        <v/>
      </c>
      <c r="X2532">
        <f>IF($T2532="",N($X2531),IF(MATCH($T2532,$T$6:$T$10005,0)=ROW()-5,N($X2531)+1,N($X2531)))</f>
        <v>0</v>
      </c>
      <c r="Z2532" t="str">
        <f t="shared" si="399"/>
        <v/>
      </c>
      <c r="AA2532">
        <f>IF($V2532="",N($AA2531),IF(MATCH($V2532,$V$6:$V$10005,0)=ROW()-5,N($AA2531)+1,N($AA2531)))</f>
        <v>0</v>
      </c>
    </row>
    <row r="2533" spans="1:27" ht="21" customHeight="1" x14ac:dyDescent="0.95">
      <c r="A2533" s="56"/>
      <c r="B2533" s="57"/>
      <c r="C2533" s="57"/>
      <c r="D2533" s="57"/>
      <c r="E2533" s="56"/>
      <c r="F2533" s="57"/>
      <c r="G2533" s="57"/>
      <c r="H2533" s="56"/>
      <c r="I2533" s="56"/>
      <c r="J2533" s="58"/>
      <c r="K2533" s="58"/>
      <c r="L2533" s="13" t="str">
        <f t="shared" si="390"/>
        <v/>
      </c>
      <c r="M2533" s="13" t="str">
        <f t="shared" si="391"/>
        <v/>
      </c>
      <c r="Q2533" t="str">
        <f t="shared" si="392"/>
        <v/>
      </c>
      <c r="R2533" t="str">
        <f t="shared" si="393"/>
        <v/>
      </c>
      <c r="S2533" t="str">
        <f t="shared" si="394"/>
        <v/>
      </c>
      <c r="T2533" t="str">
        <f t="shared" si="395"/>
        <v/>
      </c>
      <c r="U2533" t="str">
        <f t="shared" si="396"/>
        <v/>
      </c>
      <c r="V2533" t="str">
        <f t="shared" si="397"/>
        <v/>
      </c>
      <c r="W2533" t="str">
        <f t="shared" si="398"/>
        <v/>
      </c>
      <c r="X2533">
        <f>IF($T2533="",N($X2532),IF(MATCH($T2533,$T$6:$T$10005,0)=ROW()-5,N($X2532)+1,N($X2532)))</f>
        <v>0</v>
      </c>
      <c r="Z2533" t="str">
        <f t="shared" si="399"/>
        <v/>
      </c>
      <c r="AA2533">
        <f>IF($V2533="",N($AA2532),IF(MATCH($V2533,$V$6:$V$10005,0)=ROW()-5,N($AA2532)+1,N($AA2532)))</f>
        <v>0</v>
      </c>
    </row>
    <row r="2534" spans="1:27" ht="21" customHeight="1" x14ac:dyDescent="0.95">
      <c r="A2534" s="56"/>
      <c r="B2534" s="57"/>
      <c r="C2534" s="57"/>
      <c r="D2534" s="57"/>
      <c r="E2534" s="56"/>
      <c r="F2534" s="57"/>
      <c r="G2534" s="57"/>
      <c r="H2534" s="56"/>
      <c r="I2534" s="56"/>
      <c r="J2534" s="58"/>
      <c r="K2534" s="58"/>
      <c r="L2534" s="13" t="str">
        <f t="shared" si="390"/>
        <v/>
      </c>
      <c r="M2534" s="13" t="str">
        <f t="shared" si="391"/>
        <v/>
      </c>
      <c r="Q2534" t="str">
        <f t="shared" si="392"/>
        <v/>
      </c>
      <c r="R2534" t="str">
        <f t="shared" si="393"/>
        <v/>
      </c>
      <c r="S2534" t="str">
        <f t="shared" si="394"/>
        <v/>
      </c>
      <c r="T2534" t="str">
        <f t="shared" si="395"/>
        <v/>
      </c>
      <c r="U2534" t="str">
        <f t="shared" si="396"/>
        <v/>
      </c>
      <c r="V2534" t="str">
        <f t="shared" si="397"/>
        <v/>
      </c>
      <c r="W2534" t="str">
        <f t="shared" si="398"/>
        <v/>
      </c>
      <c r="X2534">
        <f>IF($T2534="",N($X2533),IF(MATCH($T2534,$T$6:$T$10005,0)=ROW()-5,N($X2533)+1,N($X2533)))</f>
        <v>0</v>
      </c>
      <c r="Z2534" t="str">
        <f t="shared" si="399"/>
        <v/>
      </c>
      <c r="AA2534">
        <f>IF($V2534="",N($AA2533),IF(MATCH($V2534,$V$6:$V$10005,0)=ROW()-5,N($AA2533)+1,N($AA2533)))</f>
        <v>0</v>
      </c>
    </row>
    <row r="2535" spans="1:27" ht="21" customHeight="1" x14ac:dyDescent="0.95">
      <c r="A2535" s="56"/>
      <c r="B2535" s="57"/>
      <c r="C2535" s="57"/>
      <c r="D2535" s="57"/>
      <c r="E2535" s="56"/>
      <c r="F2535" s="57"/>
      <c r="G2535" s="57"/>
      <c r="H2535" s="56"/>
      <c r="I2535" s="56"/>
      <c r="J2535" s="58"/>
      <c r="K2535" s="58"/>
      <c r="L2535" s="13" t="str">
        <f t="shared" si="390"/>
        <v/>
      </c>
      <c r="M2535" s="13" t="str">
        <f t="shared" si="391"/>
        <v/>
      </c>
      <c r="Q2535" t="str">
        <f t="shared" si="392"/>
        <v/>
      </c>
      <c r="R2535" t="str">
        <f t="shared" si="393"/>
        <v/>
      </c>
      <c r="S2535" t="str">
        <f t="shared" si="394"/>
        <v/>
      </c>
      <c r="T2535" t="str">
        <f t="shared" si="395"/>
        <v/>
      </c>
      <c r="U2535" t="str">
        <f t="shared" si="396"/>
        <v/>
      </c>
      <c r="V2535" t="str">
        <f t="shared" si="397"/>
        <v/>
      </c>
      <c r="W2535" t="str">
        <f t="shared" si="398"/>
        <v/>
      </c>
      <c r="X2535">
        <f>IF($T2535="",N($X2534),IF(MATCH($T2535,$T$6:$T$10005,0)=ROW()-5,N($X2534)+1,N($X2534)))</f>
        <v>0</v>
      </c>
      <c r="Z2535" t="str">
        <f t="shared" si="399"/>
        <v/>
      </c>
      <c r="AA2535">
        <f>IF($V2535="",N($AA2534),IF(MATCH($V2535,$V$6:$V$10005,0)=ROW()-5,N($AA2534)+1,N($AA2534)))</f>
        <v>0</v>
      </c>
    </row>
    <row r="2536" spans="1:27" ht="21" customHeight="1" x14ac:dyDescent="0.95">
      <c r="A2536" s="56"/>
      <c r="B2536" s="57"/>
      <c r="C2536" s="57"/>
      <c r="D2536" s="57"/>
      <c r="E2536" s="56"/>
      <c r="F2536" s="57"/>
      <c r="G2536" s="57"/>
      <c r="H2536" s="56"/>
      <c r="I2536" s="56"/>
      <c r="J2536" s="58"/>
      <c r="K2536" s="58"/>
      <c r="L2536" s="13" t="str">
        <f t="shared" si="390"/>
        <v/>
      </c>
      <c r="M2536" s="13" t="str">
        <f t="shared" si="391"/>
        <v/>
      </c>
      <c r="Q2536" t="str">
        <f t="shared" si="392"/>
        <v/>
      </c>
      <c r="R2536" t="str">
        <f t="shared" si="393"/>
        <v/>
      </c>
      <c r="S2536" t="str">
        <f t="shared" si="394"/>
        <v/>
      </c>
      <c r="T2536" t="str">
        <f t="shared" si="395"/>
        <v/>
      </c>
      <c r="U2536" t="str">
        <f t="shared" si="396"/>
        <v/>
      </c>
      <c r="V2536" t="str">
        <f t="shared" si="397"/>
        <v/>
      </c>
      <c r="W2536" t="str">
        <f t="shared" si="398"/>
        <v/>
      </c>
      <c r="X2536">
        <f>IF($T2536="",N($X2535),IF(MATCH($T2536,$T$6:$T$10005,0)=ROW()-5,N($X2535)+1,N($X2535)))</f>
        <v>0</v>
      </c>
      <c r="Z2536" t="str">
        <f t="shared" si="399"/>
        <v/>
      </c>
      <c r="AA2536">
        <f>IF($V2536="",N($AA2535),IF(MATCH($V2536,$V$6:$V$10005,0)=ROW()-5,N($AA2535)+1,N($AA2535)))</f>
        <v>0</v>
      </c>
    </row>
    <row r="2537" spans="1:27" ht="21" customHeight="1" x14ac:dyDescent="0.95">
      <c r="A2537" s="56"/>
      <c r="B2537" s="57"/>
      <c r="C2537" s="57"/>
      <c r="D2537" s="57"/>
      <c r="E2537" s="56"/>
      <c r="F2537" s="57"/>
      <c r="G2537" s="57"/>
      <c r="H2537" s="56"/>
      <c r="I2537" s="56"/>
      <c r="J2537" s="58"/>
      <c r="K2537" s="58"/>
      <c r="L2537" s="13" t="str">
        <f t="shared" si="390"/>
        <v/>
      </c>
      <c r="M2537" s="13" t="str">
        <f t="shared" si="391"/>
        <v/>
      </c>
      <c r="Q2537" t="str">
        <f t="shared" si="392"/>
        <v/>
      </c>
      <c r="R2537" t="str">
        <f t="shared" si="393"/>
        <v/>
      </c>
      <c r="S2537" t="str">
        <f t="shared" si="394"/>
        <v/>
      </c>
      <c r="T2537" t="str">
        <f t="shared" si="395"/>
        <v/>
      </c>
      <c r="U2537" t="str">
        <f t="shared" si="396"/>
        <v/>
      </c>
      <c r="V2537" t="str">
        <f t="shared" si="397"/>
        <v/>
      </c>
      <c r="W2537" t="str">
        <f t="shared" si="398"/>
        <v/>
      </c>
      <c r="X2537">
        <f>IF($T2537="",N($X2536),IF(MATCH($T2537,$T$6:$T$10005,0)=ROW()-5,N($X2536)+1,N($X2536)))</f>
        <v>0</v>
      </c>
      <c r="Z2537" t="str">
        <f t="shared" si="399"/>
        <v/>
      </c>
      <c r="AA2537">
        <f>IF($V2537="",N($AA2536),IF(MATCH($V2537,$V$6:$V$10005,0)=ROW()-5,N($AA2536)+1,N($AA2536)))</f>
        <v>0</v>
      </c>
    </row>
    <row r="2538" spans="1:27" ht="21" customHeight="1" x14ac:dyDescent="0.95">
      <c r="A2538" s="56"/>
      <c r="B2538" s="57"/>
      <c r="C2538" s="57"/>
      <c r="D2538" s="57"/>
      <c r="E2538" s="56"/>
      <c r="F2538" s="57"/>
      <c r="G2538" s="57"/>
      <c r="H2538" s="56"/>
      <c r="I2538" s="56"/>
      <c r="J2538" s="58"/>
      <c r="K2538" s="58"/>
      <c r="L2538" s="13" t="str">
        <f t="shared" si="390"/>
        <v/>
      </c>
      <c r="M2538" s="13" t="str">
        <f t="shared" si="391"/>
        <v/>
      </c>
      <c r="Q2538" t="str">
        <f t="shared" si="392"/>
        <v/>
      </c>
      <c r="R2538" t="str">
        <f t="shared" si="393"/>
        <v/>
      </c>
      <c r="S2538" t="str">
        <f t="shared" si="394"/>
        <v/>
      </c>
      <c r="T2538" t="str">
        <f t="shared" si="395"/>
        <v/>
      </c>
      <c r="U2538" t="str">
        <f t="shared" si="396"/>
        <v/>
      </c>
      <c r="V2538" t="str">
        <f t="shared" si="397"/>
        <v/>
      </c>
      <c r="W2538" t="str">
        <f t="shared" si="398"/>
        <v/>
      </c>
      <c r="X2538">
        <f>IF($T2538="",N($X2537),IF(MATCH($T2538,$T$6:$T$10005,0)=ROW()-5,N($X2537)+1,N($X2537)))</f>
        <v>0</v>
      </c>
      <c r="Z2538" t="str">
        <f t="shared" si="399"/>
        <v/>
      </c>
      <c r="AA2538">
        <f>IF($V2538="",N($AA2537),IF(MATCH($V2538,$V$6:$V$10005,0)=ROW()-5,N($AA2537)+1,N($AA2537)))</f>
        <v>0</v>
      </c>
    </row>
    <row r="2539" spans="1:27" ht="21" customHeight="1" x14ac:dyDescent="0.95">
      <c r="A2539" s="56"/>
      <c r="B2539" s="57"/>
      <c r="C2539" s="57"/>
      <c r="D2539" s="57"/>
      <c r="E2539" s="56"/>
      <c r="F2539" s="57"/>
      <c r="G2539" s="57"/>
      <c r="H2539" s="56"/>
      <c r="I2539" s="56"/>
      <c r="J2539" s="58"/>
      <c r="K2539" s="58"/>
      <c r="L2539" s="13" t="str">
        <f t="shared" si="390"/>
        <v/>
      </c>
      <c r="M2539" s="13" t="str">
        <f t="shared" si="391"/>
        <v/>
      </c>
      <c r="Q2539" t="str">
        <f t="shared" si="392"/>
        <v/>
      </c>
      <c r="R2539" t="str">
        <f t="shared" si="393"/>
        <v/>
      </c>
      <c r="S2539" t="str">
        <f t="shared" si="394"/>
        <v/>
      </c>
      <c r="T2539" t="str">
        <f t="shared" si="395"/>
        <v/>
      </c>
      <c r="U2539" t="str">
        <f t="shared" si="396"/>
        <v/>
      </c>
      <c r="V2539" t="str">
        <f t="shared" si="397"/>
        <v/>
      </c>
      <c r="W2539" t="str">
        <f t="shared" si="398"/>
        <v/>
      </c>
      <c r="X2539">
        <f>IF($T2539="",N($X2538),IF(MATCH($T2539,$T$6:$T$10005,0)=ROW()-5,N($X2538)+1,N($X2538)))</f>
        <v>0</v>
      </c>
      <c r="Z2539" t="str">
        <f t="shared" si="399"/>
        <v/>
      </c>
      <c r="AA2539">
        <f>IF($V2539="",N($AA2538),IF(MATCH($V2539,$V$6:$V$10005,0)=ROW()-5,N($AA2538)+1,N($AA2538)))</f>
        <v>0</v>
      </c>
    </row>
    <row r="2540" spans="1:27" ht="21" customHeight="1" x14ac:dyDescent="0.95">
      <c r="A2540" s="56"/>
      <c r="B2540" s="57"/>
      <c r="C2540" s="57"/>
      <c r="D2540" s="57"/>
      <c r="E2540" s="56"/>
      <c r="F2540" s="57"/>
      <c r="G2540" s="57"/>
      <c r="H2540" s="56"/>
      <c r="I2540" s="56"/>
      <c r="J2540" s="58"/>
      <c r="K2540" s="58"/>
      <c r="L2540" s="13" t="str">
        <f t="shared" si="390"/>
        <v/>
      </c>
      <c r="M2540" s="13" t="str">
        <f t="shared" si="391"/>
        <v/>
      </c>
      <c r="Q2540" t="str">
        <f t="shared" si="392"/>
        <v/>
      </c>
      <c r="R2540" t="str">
        <f t="shared" si="393"/>
        <v/>
      </c>
      <c r="S2540" t="str">
        <f t="shared" si="394"/>
        <v/>
      </c>
      <c r="T2540" t="str">
        <f t="shared" si="395"/>
        <v/>
      </c>
      <c r="U2540" t="str">
        <f t="shared" si="396"/>
        <v/>
      </c>
      <c r="V2540" t="str">
        <f t="shared" si="397"/>
        <v/>
      </c>
      <c r="W2540" t="str">
        <f t="shared" si="398"/>
        <v/>
      </c>
      <c r="X2540">
        <f>IF($T2540="",N($X2539),IF(MATCH($T2540,$T$6:$T$10005,0)=ROW()-5,N($X2539)+1,N($X2539)))</f>
        <v>0</v>
      </c>
      <c r="Z2540" t="str">
        <f t="shared" si="399"/>
        <v/>
      </c>
      <c r="AA2540">
        <f>IF($V2540="",N($AA2539),IF(MATCH($V2540,$V$6:$V$10005,0)=ROW()-5,N($AA2539)+1,N($AA2539)))</f>
        <v>0</v>
      </c>
    </row>
    <row r="2541" spans="1:27" ht="21" customHeight="1" x14ac:dyDescent="0.95">
      <c r="A2541" s="56"/>
      <c r="B2541" s="57"/>
      <c r="C2541" s="57"/>
      <c r="D2541" s="57"/>
      <c r="E2541" s="56"/>
      <c r="F2541" s="57"/>
      <c r="G2541" s="57"/>
      <c r="H2541" s="56"/>
      <c r="I2541" s="56"/>
      <c r="J2541" s="58"/>
      <c r="K2541" s="58"/>
      <c r="L2541" s="13" t="str">
        <f t="shared" si="390"/>
        <v/>
      </c>
      <c r="M2541" s="13" t="str">
        <f t="shared" si="391"/>
        <v/>
      </c>
      <c r="Q2541" t="str">
        <f t="shared" si="392"/>
        <v/>
      </c>
      <c r="R2541" t="str">
        <f t="shared" si="393"/>
        <v/>
      </c>
      <c r="S2541" t="str">
        <f t="shared" si="394"/>
        <v/>
      </c>
      <c r="T2541" t="str">
        <f t="shared" si="395"/>
        <v/>
      </c>
      <c r="U2541" t="str">
        <f t="shared" si="396"/>
        <v/>
      </c>
      <c r="V2541" t="str">
        <f t="shared" si="397"/>
        <v/>
      </c>
      <c r="W2541" t="str">
        <f t="shared" si="398"/>
        <v/>
      </c>
      <c r="X2541">
        <f>IF($T2541="",N($X2540),IF(MATCH($T2541,$T$6:$T$10005,0)=ROW()-5,N($X2540)+1,N($X2540)))</f>
        <v>0</v>
      </c>
      <c r="Z2541" t="str">
        <f t="shared" si="399"/>
        <v/>
      </c>
      <c r="AA2541">
        <f>IF($V2541="",N($AA2540),IF(MATCH($V2541,$V$6:$V$10005,0)=ROW()-5,N($AA2540)+1,N($AA2540)))</f>
        <v>0</v>
      </c>
    </row>
    <row r="2542" spans="1:27" ht="21" customHeight="1" x14ac:dyDescent="0.95">
      <c r="A2542" s="56"/>
      <c r="B2542" s="57"/>
      <c r="C2542" s="57"/>
      <c r="D2542" s="57"/>
      <c r="E2542" s="56"/>
      <c r="F2542" s="57"/>
      <c r="G2542" s="57"/>
      <c r="H2542" s="56"/>
      <c r="I2542" s="56"/>
      <c r="J2542" s="58"/>
      <c r="K2542" s="58"/>
      <c r="L2542" s="13" t="str">
        <f t="shared" si="390"/>
        <v/>
      </c>
      <c r="M2542" s="13" t="str">
        <f t="shared" si="391"/>
        <v/>
      </c>
      <c r="Q2542" t="str">
        <f t="shared" si="392"/>
        <v/>
      </c>
      <c r="R2542" t="str">
        <f t="shared" si="393"/>
        <v/>
      </c>
      <c r="S2542" t="str">
        <f t="shared" si="394"/>
        <v/>
      </c>
      <c r="T2542" t="str">
        <f t="shared" si="395"/>
        <v/>
      </c>
      <c r="U2542" t="str">
        <f t="shared" si="396"/>
        <v/>
      </c>
      <c r="V2542" t="str">
        <f t="shared" si="397"/>
        <v/>
      </c>
      <c r="W2542" t="str">
        <f t="shared" si="398"/>
        <v/>
      </c>
      <c r="X2542">
        <f>IF($T2542="",N($X2541),IF(MATCH($T2542,$T$6:$T$10005,0)=ROW()-5,N($X2541)+1,N($X2541)))</f>
        <v>0</v>
      </c>
      <c r="Z2542" t="str">
        <f t="shared" si="399"/>
        <v/>
      </c>
      <c r="AA2542">
        <f>IF($V2542="",N($AA2541),IF(MATCH($V2542,$V$6:$V$10005,0)=ROW()-5,N($AA2541)+1,N($AA2541)))</f>
        <v>0</v>
      </c>
    </row>
    <row r="2543" spans="1:27" ht="21" customHeight="1" x14ac:dyDescent="0.95">
      <c r="A2543" s="56"/>
      <c r="B2543" s="57"/>
      <c r="C2543" s="57"/>
      <c r="D2543" s="57"/>
      <c r="E2543" s="56"/>
      <c r="F2543" s="57"/>
      <c r="G2543" s="57"/>
      <c r="H2543" s="56"/>
      <c r="I2543" s="56"/>
      <c r="J2543" s="58"/>
      <c r="K2543" s="58"/>
      <c r="L2543" s="13" t="str">
        <f t="shared" si="390"/>
        <v/>
      </c>
      <c r="M2543" s="13" t="str">
        <f t="shared" si="391"/>
        <v/>
      </c>
      <c r="Q2543" t="str">
        <f t="shared" si="392"/>
        <v/>
      </c>
      <c r="R2543" t="str">
        <f t="shared" si="393"/>
        <v/>
      </c>
      <c r="S2543" t="str">
        <f t="shared" si="394"/>
        <v/>
      </c>
      <c r="T2543" t="str">
        <f t="shared" si="395"/>
        <v/>
      </c>
      <c r="U2543" t="str">
        <f t="shared" si="396"/>
        <v/>
      </c>
      <c r="V2543" t="str">
        <f t="shared" si="397"/>
        <v/>
      </c>
      <c r="W2543" t="str">
        <f t="shared" si="398"/>
        <v/>
      </c>
      <c r="X2543">
        <f>IF($T2543="",N($X2542),IF(MATCH($T2543,$T$6:$T$10005,0)=ROW()-5,N($X2542)+1,N($X2542)))</f>
        <v>0</v>
      </c>
      <c r="Z2543" t="str">
        <f t="shared" si="399"/>
        <v/>
      </c>
      <c r="AA2543">
        <f>IF($V2543="",N($AA2542),IF(MATCH($V2543,$V$6:$V$10005,0)=ROW()-5,N($AA2542)+1,N($AA2542)))</f>
        <v>0</v>
      </c>
    </row>
    <row r="2544" spans="1:27" ht="21" customHeight="1" x14ac:dyDescent="0.95">
      <c r="A2544" s="56"/>
      <c r="B2544" s="57"/>
      <c r="C2544" s="57"/>
      <c r="D2544" s="57"/>
      <c r="E2544" s="56"/>
      <c r="F2544" s="57"/>
      <c r="G2544" s="57"/>
      <c r="H2544" s="56"/>
      <c r="I2544" s="56"/>
      <c r="J2544" s="58"/>
      <c r="K2544" s="58"/>
      <c r="L2544" s="13" t="str">
        <f t="shared" si="390"/>
        <v/>
      </c>
      <c r="M2544" s="13" t="str">
        <f t="shared" si="391"/>
        <v/>
      </c>
      <c r="Q2544" t="str">
        <f t="shared" si="392"/>
        <v/>
      </c>
      <c r="R2544" t="str">
        <f t="shared" si="393"/>
        <v/>
      </c>
      <c r="S2544" t="str">
        <f t="shared" si="394"/>
        <v/>
      </c>
      <c r="T2544" t="str">
        <f t="shared" si="395"/>
        <v/>
      </c>
      <c r="U2544" t="str">
        <f t="shared" si="396"/>
        <v/>
      </c>
      <c r="V2544" t="str">
        <f t="shared" si="397"/>
        <v/>
      </c>
      <c r="W2544" t="str">
        <f t="shared" si="398"/>
        <v/>
      </c>
      <c r="X2544">
        <f>IF($T2544="",N($X2543),IF(MATCH($T2544,$T$6:$T$10005,0)=ROW()-5,N($X2543)+1,N($X2543)))</f>
        <v>0</v>
      </c>
      <c r="Z2544" t="str">
        <f t="shared" si="399"/>
        <v/>
      </c>
      <c r="AA2544">
        <f>IF($V2544="",N($AA2543),IF(MATCH($V2544,$V$6:$V$10005,0)=ROW()-5,N($AA2543)+1,N($AA2543)))</f>
        <v>0</v>
      </c>
    </row>
    <row r="2545" spans="1:27" ht="21" customHeight="1" x14ac:dyDescent="0.95">
      <c r="A2545" s="56"/>
      <c r="B2545" s="57"/>
      <c r="C2545" s="57"/>
      <c r="D2545" s="57"/>
      <c r="E2545" s="56"/>
      <c r="F2545" s="57"/>
      <c r="G2545" s="57"/>
      <c r="H2545" s="56"/>
      <c r="I2545" s="56"/>
      <c r="J2545" s="58"/>
      <c r="K2545" s="58"/>
      <c r="L2545" s="13" t="str">
        <f t="shared" si="390"/>
        <v/>
      </c>
      <c r="M2545" s="13" t="str">
        <f t="shared" si="391"/>
        <v/>
      </c>
      <c r="Q2545" t="str">
        <f t="shared" si="392"/>
        <v/>
      </c>
      <c r="R2545" t="str">
        <f t="shared" si="393"/>
        <v/>
      </c>
      <c r="S2545" t="str">
        <f t="shared" si="394"/>
        <v/>
      </c>
      <c r="T2545" t="str">
        <f t="shared" si="395"/>
        <v/>
      </c>
      <c r="U2545" t="str">
        <f t="shared" si="396"/>
        <v/>
      </c>
      <c r="V2545" t="str">
        <f t="shared" si="397"/>
        <v/>
      </c>
      <c r="W2545" t="str">
        <f t="shared" si="398"/>
        <v/>
      </c>
      <c r="X2545">
        <f>IF($T2545="",N($X2544),IF(MATCH($T2545,$T$6:$T$10005,0)=ROW()-5,N($X2544)+1,N($X2544)))</f>
        <v>0</v>
      </c>
      <c r="Z2545" t="str">
        <f t="shared" si="399"/>
        <v/>
      </c>
      <c r="AA2545">
        <f>IF($V2545="",N($AA2544),IF(MATCH($V2545,$V$6:$V$10005,0)=ROW()-5,N($AA2544)+1,N($AA2544)))</f>
        <v>0</v>
      </c>
    </row>
    <row r="2546" spans="1:27" ht="21" customHeight="1" x14ac:dyDescent="0.95">
      <c r="A2546" s="56"/>
      <c r="B2546" s="57"/>
      <c r="C2546" s="57"/>
      <c r="D2546" s="57"/>
      <c r="E2546" s="56"/>
      <c r="F2546" s="57"/>
      <c r="G2546" s="57"/>
      <c r="H2546" s="56"/>
      <c r="I2546" s="56"/>
      <c r="J2546" s="58"/>
      <c r="K2546" s="58"/>
      <c r="L2546" s="13" t="str">
        <f t="shared" si="390"/>
        <v/>
      </c>
      <c r="M2546" s="13" t="str">
        <f t="shared" si="391"/>
        <v/>
      </c>
      <c r="Q2546" t="str">
        <f t="shared" si="392"/>
        <v/>
      </c>
      <c r="R2546" t="str">
        <f t="shared" si="393"/>
        <v/>
      </c>
      <c r="S2546" t="str">
        <f t="shared" si="394"/>
        <v/>
      </c>
      <c r="T2546" t="str">
        <f t="shared" si="395"/>
        <v/>
      </c>
      <c r="U2546" t="str">
        <f t="shared" si="396"/>
        <v/>
      </c>
      <c r="V2546" t="str">
        <f t="shared" si="397"/>
        <v/>
      </c>
      <c r="W2546" t="str">
        <f t="shared" si="398"/>
        <v/>
      </c>
      <c r="X2546">
        <f>IF($T2546="",N($X2545),IF(MATCH($T2546,$T$6:$T$10005,0)=ROW()-5,N($X2545)+1,N($X2545)))</f>
        <v>0</v>
      </c>
      <c r="Z2546" t="str">
        <f t="shared" si="399"/>
        <v/>
      </c>
      <c r="AA2546">
        <f>IF($V2546="",N($AA2545),IF(MATCH($V2546,$V$6:$V$10005,0)=ROW()-5,N($AA2545)+1,N($AA2545)))</f>
        <v>0</v>
      </c>
    </row>
    <row r="2547" spans="1:27" ht="21" customHeight="1" x14ac:dyDescent="0.95">
      <c r="A2547" s="56"/>
      <c r="B2547" s="57"/>
      <c r="C2547" s="57"/>
      <c r="D2547" s="57"/>
      <c r="E2547" s="56"/>
      <c r="F2547" s="57"/>
      <c r="G2547" s="57"/>
      <c r="H2547" s="56"/>
      <c r="I2547" s="56"/>
      <c r="J2547" s="58"/>
      <c r="K2547" s="58"/>
      <c r="L2547" s="13" t="str">
        <f t="shared" si="390"/>
        <v/>
      </c>
      <c r="M2547" s="13" t="str">
        <f t="shared" si="391"/>
        <v/>
      </c>
      <c r="Q2547" t="str">
        <f t="shared" si="392"/>
        <v/>
      </c>
      <c r="R2547" t="str">
        <f t="shared" si="393"/>
        <v/>
      </c>
      <c r="S2547" t="str">
        <f t="shared" si="394"/>
        <v/>
      </c>
      <c r="T2547" t="str">
        <f t="shared" si="395"/>
        <v/>
      </c>
      <c r="U2547" t="str">
        <f t="shared" si="396"/>
        <v/>
      </c>
      <c r="V2547" t="str">
        <f t="shared" si="397"/>
        <v/>
      </c>
      <c r="W2547" t="str">
        <f t="shared" si="398"/>
        <v/>
      </c>
      <c r="X2547">
        <f>IF($T2547="",N($X2546),IF(MATCH($T2547,$T$6:$T$10005,0)=ROW()-5,N($X2546)+1,N($X2546)))</f>
        <v>0</v>
      </c>
      <c r="Z2547" t="str">
        <f t="shared" si="399"/>
        <v/>
      </c>
      <c r="AA2547">
        <f>IF($V2547="",N($AA2546),IF(MATCH($V2547,$V$6:$V$10005,0)=ROW()-5,N($AA2546)+1,N($AA2546)))</f>
        <v>0</v>
      </c>
    </row>
    <row r="2548" spans="1:27" ht="21" customHeight="1" x14ac:dyDescent="0.95">
      <c r="A2548" s="56"/>
      <c r="B2548" s="57"/>
      <c r="C2548" s="57"/>
      <c r="D2548" s="57"/>
      <c r="E2548" s="56"/>
      <c r="F2548" s="57"/>
      <c r="G2548" s="57"/>
      <c r="H2548" s="56"/>
      <c r="I2548" s="56"/>
      <c r="J2548" s="58"/>
      <c r="K2548" s="58"/>
      <c r="L2548" s="13" t="str">
        <f t="shared" si="390"/>
        <v/>
      </c>
      <c r="M2548" s="13" t="str">
        <f t="shared" si="391"/>
        <v/>
      </c>
      <c r="Q2548" t="str">
        <f t="shared" si="392"/>
        <v/>
      </c>
      <c r="R2548" t="str">
        <f t="shared" si="393"/>
        <v/>
      </c>
      <c r="S2548" t="str">
        <f t="shared" si="394"/>
        <v/>
      </c>
      <c r="T2548" t="str">
        <f t="shared" si="395"/>
        <v/>
      </c>
      <c r="U2548" t="str">
        <f t="shared" si="396"/>
        <v/>
      </c>
      <c r="V2548" t="str">
        <f t="shared" si="397"/>
        <v/>
      </c>
      <c r="W2548" t="str">
        <f t="shared" si="398"/>
        <v/>
      </c>
      <c r="X2548">
        <f>IF($T2548="",N($X2547),IF(MATCH($T2548,$T$6:$T$10005,0)=ROW()-5,N($X2547)+1,N($X2547)))</f>
        <v>0</v>
      </c>
      <c r="Z2548" t="str">
        <f t="shared" si="399"/>
        <v/>
      </c>
      <c r="AA2548">
        <f>IF($V2548="",N($AA2547),IF(MATCH($V2548,$V$6:$V$10005,0)=ROW()-5,N($AA2547)+1,N($AA2547)))</f>
        <v>0</v>
      </c>
    </row>
    <row r="2549" spans="1:27" ht="21" customHeight="1" x14ac:dyDescent="0.95">
      <c r="A2549" s="56"/>
      <c r="B2549" s="57"/>
      <c r="C2549" s="57"/>
      <c r="D2549" s="57"/>
      <c r="E2549" s="56"/>
      <c r="F2549" s="57"/>
      <c r="G2549" s="57"/>
      <c r="H2549" s="56"/>
      <c r="I2549" s="56"/>
      <c r="J2549" s="58"/>
      <c r="K2549" s="58"/>
      <c r="L2549" s="13" t="str">
        <f t="shared" si="390"/>
        <v/>
      </c>
      <c r="M2549" s="13" t="str">
        <f t="shared" si="391"/>
        <v/>
      </c>
      <c r="Q2549" t="str">
        <f t="shared" si="392"/>
        <v/>
      </c>
      <c r="R2549" t="str">
        <f t="shared" si="393"/>
        <v/>
      </c>
      <c r="S2549" t="str">
        <f t="shared" si="394"/>
        <v/>
      </c>
      <c r="T2549" t="str">
        <f t="shared" si="395"/>
        <v/>
      </c>
      <c r="U2549" t="str">
        <f t="shared" si="396"/>
        <v/>
      </c>
      <c r="V2549" t="str">
        <f t="shared" si="397"/>
        <v/>
      </c>
      <c r="W2549" t="str">
        <f t="shared" si="398"/>
        <v/>
      </c>
      <c r="X2549">
        <f>IF($T2549="",N($X2548),IF(MATCH($T2549,$T$6:$T$10005,0)=ROW()-5,N($X2548)+1,N($X2548)))</f>
        <v>0</v>
      </c>
      <c r="Z2549" t="str">
        <f t="shared" si="399"/>
        <v/>
      </c>
      <c r="AA2549">
        <f>IF($V2549="",N($AA2548),IF(MATCH($V2549,$V$6:$V$10005,0)=ROW()-5,N($AA2548)+1,N($AA2548)))</f>
        <v>0</v>
      </c>
    </row>
    <row r="2550" spans="1:27" ht="21" customHeight="1" x14ac:dyDescent="0.95">
      <c r="A2550" s="56"/>
      <c r="B2550" s="57"/>
      <c r="C2550" s="57"/>
      <c r="D2550" s="57"/>
      <c r="E2550" s="56"/>
      <c r="F2550" s="57"/>
      <c r="G2550" s="57"/>
      <c r="H2550" s="56"/>
      <c r="I2550" s="56"/>
      <c r="J2550" s="58"/>
      <c r="K2550" s="58"/>
      <c r="L2550" s="13" t="str">
        <f t="shared" si="390"/>
        <v/>
      </c>
      <c r="M2550" s="13" t="str">
        <f t="shared" si="391"/>
        <v/>
      </c>
      <c r="Q2550" t="str">
        <f t="shared" si="392"/>
        <v/>
      </c>
      <c r="R2550" t="str">
        <f t="shared" si="393"/>
        <v/>
      </c>
      <c r="S2550" t="str">
        <f t="shared" si="394"/>
        <v/>
      </c>
      <c r="T2550" t="str">
        <f t="shared" si="395"/>
        <v/>
      </c>
      <c r="U2550" t="str">
        <f t="shared" si="396"/>
        <v/>
      </c>
      <c r="V2550" t="str">
        <f t="shared" si="397"/>
        <v/>
      </c>
      <c r="W2550" t="str">
        <f t="shared" si="398"/>
        <v/>
      </c>
      <c r="X2550">
        <f>IF($T2550="",N($X2549),IF(MATCH($T2550,$T$6:$T$10005,0)=ROW()-5,N($X2549)+1,N($X2549)))</f>
        <v>0</v>
      </c>
      <c r="Z2550" t="str">
        <f t="shared" si="399"/>
        <v/>
      </c>
      <c r="AA2550">
        <f>IF($V2550="",N($AA2549),IF(MATCH($V2550,$V$6:$V$10005,0)=ROW()-5,N($AA2549)+1,N($AA2549)))</f>
        <v>0</v>
      </c>
    </row>
    <row r="2551" spans="1:27" ht="21" customHeight="1" x14ac:dyDescent="0.95">
      <c r="A2551" s="56"/>
      <c r="B2551" s="57"/>
      <c r="C2551" s="57"/>
      <c r="D2551" s="57"/>
      <c r="E2551" s="56"/>
      <c r="F2551" s="57"/>
      <c r="G2551" s="57"/>
      <c r="H2551" s="56"/>
      <c r="I2551" s="56"/>
      <c r="J2551" s="58"/>
      <c r="K2551" s="58"/>
      <c r="L2551" s="13" t="str">
        <f t="shared" si="390"/>
        <v/>
      </c>
      <c r="M2551" s="13" t="str">
        <f t="shared" si="391"/>
        <v/>
      </c>
      <c r="Q2551" t="str">
        <f t="shared" si="392"/>
        <v/>
      </c>
      <c r="R2551" t="str">
        <f t="shared" si="393"/>
        <v/>
      </c>
      <c r="S2551" t="str">
        <f t="shared" si="394"/>
        <v/>
      </c>
      <c r="T2551" t="str">
        <f t="shared" si="395"/>
        <v/>
      </c>
      <c r="U2551" t="str">
        <f t="shared" si="396"/>
        <v/>
      </c>
      <c r="V2551" t="str">
        <f t="shared" si="397"/>
        <v/>
      </c>
      <c r="W2551" t="str">
        <f t="shared" si="398"/>
        <v/>
      </c>
      <c r="X2551">
        <f>IF($T2551="",N($X2550),IF(MATCH($T2551,$T$6:$T$10005,0)=ROW()-5,N($X2550)+1,N($X2550)))</f>
        <v>0</v>
      </c>
      <c r="Z2551" t="str">
        <f t="shared" si="399"/>
        <v/>
      </c>
      <c r="AA2551">
        <f>IF($V2551="",N($AA2550),IF(MATCH($V2551,$V$6:$V$10005,0)=ROW()-5,N($AA2550)+1,N($AA2550)))</f>
        <v>0</v>
      </c>
    </row>
    <row r="2552" spans="1:27" ht="21" customHeight="1" x14ac:dyDescent="0.95">
      <c r="A2552" s="56"/>
      <c r="B2552" s="57"/>
      <c r="C2552" s="57"/>
      <c r="D2552" s="57"/>
      <c r="E2552" s="56"/>
      <c r="F2552" s="57"/>
      <c r="G2552" s="57"/>
      <c r="H2552" s="56"/>
      <c r="I2552" s="56"/>
      <c r="J2552" s="58"/>
      <c r="K2552" s="58"/>
      <c r="L2552" s="13" t="str">
        <f t="shared" si="390"/>
        <v/>
      </c>
      <c r="M2552" s="13" t="str">
        <f t="shared" si="391"/>
        <v/>
      </c>
      <c r="Q2552" t="str">
        <f t="shared" si="392"/>
        <v/>
      </c>
      <c r="R2552" t="str">
        <f t="shared" si="393"/>
        <v/>
      </c>
      <c r="S2552" t="str">
        <f t="shared" si="394"/>
        <v/>
      </c>
      <c r="T2552" t="str">
        <f t="shared" si="395"/>
        <v/>
      </c>
      <c r="U2552" t="str">
        <f t="shared" si="396"/>
        <v/>
      </c>
      <c r="V2552" t="str">
        <f t="shared" si="397"/>
        <v/>
      </c>
      <c r="W2552" t="str">
        <f t="shared" si="398"/>
        <v/>
      </c>
      <c r="X2552">
        <f>IF($T2552="",N($X2551),IF(MATCH($T2552,$T$6:$T$10005,0)=ROW()-5,N($X2551)+1,N($X2551)))</f>
        <v>0</v>
      </c>
      <c r="Z2552" t="str">
        <f t="shared" si="399"/>
        <v/>
      </c>
      <c r="AA2552">
        <f>IF($V2552="",N($AA2551),IF(MATCH($V2552,$V$6:$V$10005,0)=ROW()-5,N($AA2551)+1,N($AA2551)))</f>
        <v>0</v>
      </c>
    </row>
    <row r="2553" spans="1:27" ht="21" customHeight="1" x14ac:dyDescent="0.95">
      <c r="A2553" s="56"/>
      <c r="B2553" s="57"/>
      <c r="C2553" s="57"/>
      <c r="D2553" s="57"/>
      <c r="E2553" s="56"/>
      <c r="F2553" s="57"/>
      <c r="G2553" s="57"/>
      <c r="H2553" s="56"/>
      <c r="I2553" s="56"/>
      <c r="J2553" s="58"/>
      <c r="K2553" s="58"/>
      <c r="L2553" s="13" t="str">
        <f t="shared" si="390"/>
        <v/>
      </c>
      <c r="M2553" s="13" t="str">
        <f t="shared" si="391"/>
        <v/>
      </c>
      <c r="Q2553" t="str">
        <f t="shared" si="392"/>
        <v/>
      </c>
      <c r="R2553" t="str">
        <f t="shared" si="393"/>
        <v/>
      </c>
      <c r="S2553" t="str">
        <f t="shared" si="394"/>
        <v/>
      </c>
      <c r="T2553" t="str">
        <f t="shared" si="395"/>
        <v/>
      </c>
      <c r="U2553" t="str">
        <f t="shared" si="396"/>
        <v/>
      </c>
      <c r="V2553" t="str">
        <f t="shared" si="397"/>
        <v/>
      </c>
      <c r="W2553" t="str">
        <f t="shared" si="398"/>
        <v/>
      </c>
      <c r="X2553">
        <f>IF($T2553="",N($X2552),IF(MATCH($T2553,$T$6:$T$10005,0)=ROW()-5,N($X2552)+1,N($X2552)))</f>
        <v>0</v>
      </c>
      <c r="Z2553" t="str">
        <f t="shared" si="399"/>
        <v/>
      </c>
      <c r="AA2553">
        <f>IF($V2553="",N($AA2552),IF(MATCH($V2553,$V$6:$V$10005,0)=ROW()-5,N($AA2552)+1,N($AA2552)))</f>
        <v>0</v>
      </c>
    </row>
    <row r="2554" spans="1:27" ht="21" customHeight="1" x14ac:dyDescent="0.95">
      <c r="A2554" s="56"/>
      <c r="B2554" s="57"/>
      <c r="C2554" s="57"/>
      <c r="D2554" s="57"/>
      <c r="E2554" s="56"/>
      <c r="F2554" s="57"/>
      <c r="G2554" s="57"/>
      <c r="H2554" s="56"/>
      <c r="I2554" s="56"/>
      <c r="J2554" s="58"/>
      <c r="K2554" s="58"/>
      <c r="L2554" s="13" t="str">
        <f t="shared" si="390"/>
        <v/>
      </c>
      <c r="M2554" s="13" t="str">
        <f t="shared" si="391"/>
        <v/>
      </c>
      <c r="Q2554" t="str">
        <f t="shared" si="392"/>
        <v/>
      </c>
      <c r="R2554" t="str">
        <f t="shared" si="393"/>
        <v/>
      </c>
      <c r="S2554" t="str">
        <f t="shared" si="394"/>
        <v/>
      </c>
      <c r="T2554" t="str">
        <f t="shared" si="395"/>
        <v/>
      </c>
      <c r="U2554" t="str">
        <f t="shared" si="396"/>
        <v/>
      </c>
      <c r="V2554" t="str">
        <f t="shared" si="397"/>
        <v/>
      </c>
      <c r="W2554" t="str">
        <f t="shared" si="398"/>
        <v/>
      </c>
      <c r="X2554">
        <f>IF($T2554="",N($X2553),IF(MATCH($T2554,$T$6:$T$10005,0)=ROW()-5,N($X2553)+1,N($X2553)))</f>
        <v>0</v>
      </c>
      <c r="Z2554" t="str">
        <f t="shared" si="399"/>
        <v/>
      </c>
      <c r="AA2554">
        <f>IF($V2554="",N($AA2553),IF(MATCH($V2554,$V$6:$V$10005,0)=ROW()-5,N($AA2553)+1,N($AA2553)))</f>
        <v>0</v>
      </c>
    </row>
    <row r="2555" spans="1:27" ht="21" customHeight="1" x14ac:dyDescent="0.95">
      <c r="A2555" s="56"/>
      <c r="B2555" s="57"/>
      <c r="C2555" s="57"/>
      <c r="D2555" s="57"/>
      <c r="E2555" s="56"/>
      <c r="F2555" s="57"/>
      <c r="G2555" s="57"/>
      <c r="H2555" s="56"/>
      <c r="I2555" s="56"/>
      <c r="J2555" s="58"/>
      <c r="K2555" s="58"/>
      <c r="L2555" s="13" t="str">
        <f t="shared" si="390"/>
        <v/>
      </c>
      <c r="M2555" s="13" t="str">
        <f t="shared" si="391"/>
        <v/>
      </c>
      <c r="Q2555" t="str">
        <f t="shared" si="392"/>
        <v/>
      </c>
      <c r="R2555" t="str">
        <f t="shared" si="393"/>
        <v/>
      </c>
      <c r="S2555" t="str">
        <f t="shared" si="394"/>
        <v/>
      </c>
      <c r="T2555" t="str">
        <f t="shared" si="395"/>
        <v/>
      </c>
      <c r="U2555" t="str">
        <f t="shared" si="396"/>
        <v/>
      </c>
      <c r="V2555" t="str">
        <f t="shared" si="397"/>
        <v/>
      </c>
      <c r="W2555" t="str">
        <f t="shared" si="398"/>
        <v/>
      </c>
      <c r="X2555">
        <f>IF($T2555="",N($X2554),IF(MATCH($T2555,$T$6:$T$10005,0)=ROW()-5,N($X2554)+1,N($X2554)))</f>
        <v>0</v>
      </c>
      <c r="Z2555" t="str">
        <f t="shared" si="399"/>
        <v/>
      </c>
      <c r="AA2555">
        <f>IF($V2555="",N($AA2554),IF(MATCH($V2555,$V$6:$V$10005,0)=ROW()-5,N($AA2554)+1,N($AA2554)))</f>
        <v>0</v>
      </c>
    </row>
    <row r="2556" spans="1:27" ht="21" customHeight="1" x14ac:dyDescent="0.95">
      <c r="A2556" s="56"/>
      <c r="B2556" s="57"/>
      <c r="C2556" s="57"/>
      <c r="D2556" s="57"/>
      <c r="E2556" s="56"/>
      <c r="F2556" s="57"/>
      <c r="G2556" s="57"/>
      <c r="H2556" s="56"/>
      <c r="I2556" s="56"/>
      <c r="J2556" s="58"/>
      <c r="K2556" s="58"/>
      <c r="L2556" s="13" t="str">
        <f t="shared" si="390"/>
        <v/>
      </c>
      <c r="M2556" s="13" t="str">
        <f t="shared" si="391"/>
        <v/>
      </c>
      <c r="Q2556" t="str">
        <f t="shared" si="392"/>
        <v/>
      </c>
      <c r="R2556" t="str">
        <f t="shared" si="393"/>
        <v/>
      </c>
      <c r="S2556" t="str">
        <f t="shared" si="394"/>
        <v/>
      </c>
      <c r="T2556" t="str">
        <f t="shared" si="395"/>
        <v/>
      </c>
      <c r="U2556" t="str">
        <f t="shared" si="396"/>
        <v/>
      </c>
      <c r="V2556" t="str">
        <f t="shared" si="397"/>
        <v/>
      </c>
      <c r="W2556" t="str">
        <f t="shared" si="398"/>
        <v/>
      </c>
      <c r="X2556">
        <f>IF($T2556="",N($X2555),IF(MATCH($T2556,$T$6:$T$10005,0)=ROW()-5,N($X2555)+1,N($X2555)))</f>
        <v>0</v>
      </c>
      <c r="Z2556" t="str">
        <f t="shared" si="399"/>
        <v/>
      </c>
      <c r="AA2556">
        <f>IF($V2556="",N($AA2555),IF(MATCH($V2556,$V$6:$V$10005,0)=ROW()-5,N($AA2555)+1,N($AA2555)))</f>
        <v>0</v>
      </c>
    </row>
    <row r="2557" spans="1:27" ht="21" customHeight="1" x14ac:dyDescent="0.95">
      <c r="A2557" s="56"/>
      <c r="B2557" s="57"/>
      <c r="C2557" s="57"/>
      <c r="D2557" s="57"/>
      <c r="E2557" s="56"/>
      <c r="F2557" s="57"/>
      <c r="G2557" s="57"/>
      <c r="H2557" s="56"/>
      <c r="I2557" s="56"/>
      <c r="J2557" s="58"/>
      <c r="K2557" s="58"/>
      <c r="L2557" s="13" t="str">
        <f t="shared" si="390"/>
        <v/>
      </c>
      <c r="M2557" s="13" t="str">
        <f t="shared" si="391"/>
        <v/>
      </c>
      <c r="Q2557" t="str">
        <f t="shared" si="392"/>
        <v/>
      </c>
      <c r="R2557" t="str">
        <f t="shared" si="393"/>
        <v/>
      </c>
      <c r="S2557" t="str">
        <f t="shared" si="394"/>
        <v/>
      </c>
      <c r="T2557" t="str">
        <f t="shared" si="395"/>
        <v/>
      </c>
      <c r="U2557" t="str">
        <f t="shared" si="396"/>
        <v/>
      </c>
      <c r="V2557" t="str">
        <f t="shared" si="397"/>
        <v/>
      </c>
      <c r="W2557" t="str">
        <f t="shared" si="398"/>
        <v/>
      </c>
      <c r="X2557">
        <f>IF($T2557="",N($X2556),IF(MATCH($T2557,$T$6:$T$10005,0)=ROW()-5,N($X2556)+1,N($X2556)))</f>
        <v>0</v>
      </c>
      <c r="Z2557" t="str">
        <f t="shared" si="399"/>
        <v/>
      </c>
      <c r="AA2557">
        <f>IF($V2557="",N($AA2556),IF(MATCH($V2557,$V$6:$V$10005,0)=ROW()-5,N($AA2556)+1,N($AA2556)))</f>
        <v>0</v>
      </c>
    </row>
    <row r="2558" spans="1:27" ht="21" customHeight="1" x14ac:dyDescent="0.95">
      <c r="A2558" s="56"/>
      <c r="B2558" s="57"/>
      <c r="C2558" s="57"/>
      <c r="D2558" s="57"/>
      <c r="E2558" s="56"/>
      <c r="F2558" s="57"/>
      <c r="G2558" s="57"/>
      <c r="H2558" s="56"/>
      <c r="I2558" s="56"/>
      <c r="J2558" s="58"/>
      <c r="K2558" s="58"/>
      <c r="L2558" s="13" t="str">
        <f t="shared" si="390"/>
        <v/>
      </c>
      <c r="M2558" s="13" t="str">
        <f t="shared" si="391"/>
        <v/>
      </c>
      <c r="Q2558" t="str">
        <f t="shared" si="392"/>
        <v/>
      </c>
      <c r="R2558" t="str">
        <f t="shared" si="393"/>
        <v/>
      </c>
      <c r="S2558" t="str">
        <f t="shared" si="394"/>
        <v/>
      </c>
      <c r="T2558" t="str">
        <f t="shared" si="395"/>
        <v/>
      </c>
      <c r="U2558" t="str">
        <f t="shared" si="396"/>
        <v/>
      </c>
      <c r="V2558" t="str">
        <f t="shared" si="397"/>
        <v/>
      </c>
      <c r="W2558" t="str">
        <f t="shared" si="398"/>
        <v/>
      </c>
      <c r="X2558">
        <f>IF($T2558="",N($X2557),IF(MATCH($T2558,$T$6:$T$10005,0)=ROW()-5,N($X2557)+1,N($X2557)))</f>
        <v>0</v>
      </c>
      <c r="Z2558" t="str">
        <f t="shared" si="399"/>
        <v/>
      </c>
      <c r="AA2558">
        <f>IF($V2558="",N($AA2557),IF(MATCH($V2558,$V$6:$V$10005,0)=ROW()-5,N($AA2557)+1,N($AA2557)))</f>
        <v>0</v>
      </c>
    </row>
    <row r="2559" spans="1:27" ht="21" customHeight="1" x14ac:dyDescent="0.95">
      <c r="A2559" s="56"/>
      <c r="B2559" s="57"/>
      <c r="C2559" s="57"/>
      <c r="D2559" s="57"/>
      <c r="E2559" s="56"/>
      <c r="F2559" s="57"/>
      <c r="G2559" s="57"/>
      <c r="H2559" s="56"/>
      <c r="I2559" s="56"/>
      <c r="J2559" s="58"/>
      <c r="K2559" s="58"/>
      <c r="L2559" s="13" t="str">
        <f t="shared" si="390"/>
        <v/>
      </c>
      <c r="M2559" s="13" t="str">
        <f t="shared" si="391"/>
        <v/>
      </c>
      <c r="Q2559" t="str">
        <f t="shared" si="392"/>
        <v/>
      </c>
      <c r="R2559" t="str">
        <f t="shared" si="393"/>
        <v/>
      </c>
      <c r="S2559" t="str">
        <f t="shared" si="394"/>
        <v/>
      </c>
      <c r="T2559" t="str">
        <f t="shared" si="395"/>
        <v/>
      </c>
      <c r="U2559" t="str">
        <f t="shared" si="396"/>
        <v/>
      </c>
      <c r="V2559" t="str">
        <f t="shared" si="397"/>
        <v/>
      </c>
      <c r="W2559" t="str">
        <f t="shared" si="398"/>
        <v/>
      </c>
      <c r="X2559">
        <f>IF($T2559="",N($X2558),IF(MATCH($T2559,$T$6:$T$10005,0)=ROW()-5,N($X2558)+1,N($X2558)))</f>
        <v>0</v>
      </c>
      <c r="Z2559" t="str">
        <f t="shared" si="399"/>
        <v/>
      </c>
      <c r="AA2559">
        <f>IF($V2559="",N($AA2558),IF(MATCH($V2559,$V$6:$V$10005,0)=ROW()-5,N($AA2558)+1,N($AA2558)))</f>
        <v>0</v>
      </c>
    </row>
    <row r="2560" spans="1:27" ht="21" customHeight="1" x14ac:dyDescent="0.95">
      <c r="A2560" s="56"/>
      <c r="B2560" s="57"/>
      <c r="C2560" s="57"/>
      <c r="D2560" s="57"/>
      <c r="E2560" s="56"/>
      <c r="F2560" s="57"/>
      <c r="G2560" s="57"/>
      <c r="H2560" s="56"/>
      <c r="I2560" s="56"/>
      <c r="J2560" s="58"/>
      <c r="K2560" s="58"/>
      <c r="L2560" s="13" t="str">
        <f t="shared" si="390"/>
        <v/>
      </c>
      <c r="M2560" s="13" t="str">
        <f t="shared" si="391"/>
        <v/>
      </c>
      <c r="Q2560" t="str">
        <f t="shared" si="392"/>
        <v/>
      </c>
      <c r="R2560" t="str">
        <f t="shared" si="393"/>
        <v/>
      </c>
      <c r="S2560" t="str">
        <f t="shared" si="394"/>
        <v/>
      </c>
      <c r="T2560" t="str">
        <f t="shared" si="395"/>
        <v/>
      </c>
      <c r="U2560" t="str">
        <f t="shared" si="396"/>
        <v/>
      </c>
      <c r="V2560" t="str">
        <f t="shared" si="397"/>
        <v/>
      </c>
      <c r="W2560" t="str">
        <f t="shared" si="398"/>
        <v/>
      </c>
      <c r="X2560">
        <f>IF($T2560="",N($X2559),IF(MATCH($T2560,$T$6:$T$10005,0)=ROW()-5,N($X2559)+1,N($X2559)))</f>
        <v>0</v>
      </c>
      <c r="Z2560" t="str">
        <f t="shared" si="399"/>
        <v/>
      </c>
      <c r="AA2560">
        <f>IF($V2560="",N($AA2559),IF(MATCH($V2560,$V$6:$V$10005,0)=ROW()-5,N($AA2559)+1,N($AA2559)))</f>
        <v>0</v>
      </c>
    </row>
    <row r="2561" spans="1:27" ht="21" customHeight="1" x14ac:dyDescent="0.95">
      <c r="A2561" s="56"/>
      <c r="B2561" s="57"/>
      <c r="C2561" s="57"/>
      <c r="D2561" s="57"/>
      <c r="E2561" s="56"/>
      <c r="F2561" s="57"/>
      <c r="G2561" s="57"/>
      <c r="H2561" s="56"/>
      <c r="I2561" s="56"/>
      <c r="J2561" s="58"/>
      <c r="K2561" s="58"/>
      <c r="L2561" s="13" t="str">
        <f t="shared" si="390"/>
        <v/>
      </c>
      <c r="M2561" s="13" t="str">
        <f t="shared" si="391"/>
        <v/>
      </c>
      <c r="Q2561" t="str">
        <f t="shared" si="392"/>
        <v/>
      </c>
      <c r="R2561" t="str">
        <f t="shared" si="393"/>
        <v/>
      </c>
      <c r="S2561" t="str">
        <f t="shared" si="394"/>
        <v/>
      </c>
      <c r="T2561" t="str">
        <f t="shared" si="395"/>
        <v/>
      </c>
      <c r="U2561" t="str">
        <f t="shared" si="396"/>
        <v/>
      </c>
      <c r="V2561" t="str">
        <f t="shared" si="397"/>
        <v/>
      </c>
      <c r="W2561" t="str">
        <f t="shared" si="398"/>
        <v/>
      </c>
      <c r="X2561">
        <f>IF($T2561="",N($X2560),IF(MATCH($T2561,$T$6:$T$10005,0)=ROW()-5,N($X2560)+1,N($X2560)))</f>
        <v>0</v>
      </c>
      <c r="Z2561" t="str">
        <f t="shared" si="399"/>
        <v/>
      </c>
      <c r="AA2561">
        <f>IF($V2561="",N($AA2560),IF(MATCH($V2561,$V$6:$V$10005,0)=ROW()-5,N($AA2560)+1,N($AA2560)))</f>
        <v>0</v>
      </c>
    </row>
    <row r="2562" spans="1:27" ht="21" customHeight="1" x14ac:dyDescent="0.95">
      <c r="A2562" s="56"/>
      <c r="B2562" s="57"/>
      <c r="C2562" s="57"/>
      <c r="D2562" s="57"/>
      <c r="E2562" s="56"/>
      <c r="F2562" s="57"/>
      <c r="G2562" s="57"/>
      <c r="H2562" s="56"/>
      <c r="I2562" s="56"/>
      <c r="J2562" s="58"/>
      <c r="K2562" s="58"/>
      <c r="L2562" s="13" t="str">
        <f t="shared" si="390"/>
        <v/>
      </c>
      <c r="M2562" s="13" t="str">
        <f t="shared" si="391"/>
        <v/>
      </c>
      <c r="Q2562" t="str">
        <f t="shared" si="392"/>
        <v/>
      </c>
      <c r="R2562" t="str">
        <f t="shared" si="393"/>
        <v/>
      </c>
      <c r="S2562" t="str">
        <f t="shared" si="394"/>
        <v/>
      </c>
      <c r="T2562" t="str">
        <f t="shared" si="395"/>
        <v/>
      </c>
      <c r="U2562" t="str">
        <f t="shared" si="396"/>
        <v/>
      </c>
      <c r="V2562" t="str">
        <f t="shared" si="397"/>
        <v/>
      </c>
      <c r="W2562" t="str">
        <f t="shared" si="398"/>
        <v/>
      </c>
      <c r="X2562">
        <f>IF($T2562="",N($X2561),IF(MATCH($T2562,$T$6:$T$10005,0)=ROW()-5,N($X2561)+1,N($X2561)))</f>
        <v>0</v>
      </c>
      <c r="Z2562" t="str">
        <f t="shared" si="399"/>
        <v/>
      </c>
      <c r="AA2562">
        <f>IF($V2562="",N($AA2561),IF(MATCH($V2562,$V$6:$V$10005,0)=ROW()-5,N($AA2561)+1,N($AA2561)))</f>
        <v>0</v>
      </c>
    </row>
    <row r="2563" spans="1:27" ht="21" customHeight="1" x14ac:dyDescent="0.95">
      <c r="A2563" s="56"/>
      <c r="B2563" s="57"/>
      <c r="C2563" s="57"/>
      <c r="D2563" s="57"/>
      <c r="E2563" s="56"/>
      <c r="F2563" s="57"/>
      <c r="G2563" s="57"/>
      <c r="H2563" s="56"/>
      <c r="I2563" s="56"/>
      <c r="J2563" s="58"/>
      <c r="K2563" s="58"/>
      <c r="L2563" s="13" t="str">
        <f t="shared" si="390"/>
        <v/>
      </c>
      <c r="M2563" s="13" t="str">
        <f t="shared" si="391"/>
        <v/>
      </c>
      <c r="Q2563" t="str">
        <f t="shared" si="392"/>
        <v/>
      </c>
      <c r="R2563" t="str">
        <f t="shared" si="393"/>
        <v/>
      </c>
      <c r="S2563" t="str">
        <f t="shared" si="394"/>
        <v/>
      </c>
      <c r="T2563" t="str">
        <f t="shared" si="395"/>
        <v/>
      </c>
      <c r="U2563" t="str">
        <f t="shared" si="396"/>
        <v/>
      </c>
      <c r="V2563" t="str">
        <f t="shared" si="397"/>
        <v/>
      </c>
      <c r="W2563" t="str">
        <f t="shared" si="398"/>
        <v/>
      </c>
      <c r="X2563">
        <f>IF($T2563="",N($X2562),IF(MATCH($T2563,$T$6:$T$10005,0)=ROW()-5,N($X2562)+1,N($X2562)))</f>
        <v>0</v>
      </c>
      <c r="Z2563" t="str">
        <f t="shared" si="399"/>
        <v/>
      </c>
      <c r="AA2563">
        <f>IF($V2563="",N($AA2562),IF(MATCH($V2563,$V$6:$V$10005,0)=ROW()-5,N($AA2562)+1,N($AA2562)))</f>
        <v>0</v>
      </c>
    </row>
    <row r="2564" spans="1:27" ht="21" customHeight="1" x14ac:dyDescent="0.95">
      <c r="A2564" s="56"/>
      <c r="B2564" s="57"/>
      <c r="C2564" s="57"/>
      <c r="D2564" s="57"/>
      <c r="E2564" s="56"/>
      <c r="F2564" s="57"/>
      <c r="G2564" s="57"/>
      <c r="H2564" s="56"/>
      <c r="I2564" s="56"/>
      <c r="J2564" s="58"/>
      <c r="K2564" s="58"/>
      <c r="L2564" s="13" t="str">
        <f t="shared" si="390"/>
        <v/>
      </c>
      <c r="M2564" s="13" t="str">
        <f t="shared" si="391"/>
        <v/>
      </c>
      <c r="Q2564" t="str">
        <f t="shared" si="392"/>
        <v/>
      </c>
      <c r="R2564" t="str">
        <f t="shared" si="393"/>
        <v/>
      </c>
      <c r="S2564" t="str">
        <f t="shared" si="394"/>
        <v/>
      </c>
      <c r="T2564" t="str">
        <f t="shared" si="395"/>
        <v/>
      </c>
      <c r="U2564" t="str">
        <f t="shared" si="396"/>
        <v/>
      </c>
      <c r="V2564" t="str">
        <f t="shared" si="397"/>
        <v/>
      </c>
      <c r="W2564" t="str">
        <f t="shared" si="398"/>
        <v/>
      </c>
      <c r="X2564">
        <f>IF($T2564="",N($X2563),IF(MATCH($T2564,$T$6:$T$10005,0)=ROW()-5,N($X2563)+1,N($X2563)))</f>
        <v>0</v>
      </c>
      <c r="Z2564" t="str">
        <f t="shared" si="399"/>
        <v/>
      </c>
      <c r="AA2564">
        <f>IF($V2564="",N($AA2563),IF(MATCH($V2564,$V$6:$V$10005,0)=ROW()-5,N($AA2563)+1,N($AA2563)))</f>
        <v>0</v>
      </c>
    </row>
    <row r="2565" spans="1:27" ht="21" customHeight="1" x14ac:dyDescent="0.95">
      <c r="A2565" s="56"/>
      <c r="B2565" s="57"/>
      <c r="C2565" s="57"/>
      <c r="D2565" s="57"/>
      <c r="E2565" s="56"/>
      <c r="F2565" s="57"/>
      <c r="G2565" s="57"/>
      <c r="H2565" s="56"/>
      <c r="I2565" s="56"/>
      <c r="J2565" s="58"/>
      <c r="K2565" s="58"/>
      <c r="L2565" s="13" t="str">
        <f t="shared" si="390"/>
        <v/>
      </c>
      <c r="M2565" s="13" t="str">
        <f t="shared" si="391"/>
        <v/>
      </c>
      <c r="Q2565" t="str">
        <f t="shared" si="392"/>
        <v/>
      </c>
      <c r="R2565" t="str">
        <f t="shared" si="393"/>
        <v/>
      </c>
      <c r="S2565" t="str">
        <f t="shared" si="394"/>
        <v/>
      </c>
      <c r="T2565" t="str">
        <f t="shared" si="395"/>
        <v/>
      </c>
      <c r="U2565" t="str">
        <f t="shared" si="396"/>
        <v/>
      </c>
      <c r="V2565" t="str">
        <f t="shared" si="397"/>
        <v/>
      </c>
      <c r="W2565" t="str">
        <f t="shared" si="398"/>
        <v/>
      </c>
      <c r="X2565">
        <f>IF($T2565="",N($X2564),IF(MATCH($T2565,$T$6:$T$10005,0)=ROW()-5,N($X2564)+1,N($X2564)))</f>
        <v>0</v>
      </c>
      <c r="Z2565" t="str">
        <f t="shared" si="399"/>
        <v/>
      </c>
      <c r="AA2565">
        <f>IF($V2565="",N($AA2564),IF(MATCH($V2565,$V$6:$V$10005,0)=ROW()-5,N($AA2564)+1,N($AA2564)))</f>
        <v>0</v>
      </c>
    </row>
    <row r="2566" spans="1:27" ht="21" customHeight="1" x14ac:dyDescent="0.95">
      <c r="A2566" s="56"/>
      <c r="B2566" s="57"/>
      <c r="C2566" s="57"/>
      <c r="D2566" s="57"/>
      <c r="E2566" s="56"/>
      <c r="F2566" s="57"/>
      <c r="G2566" s="57"/>
      <c r="H2566" s="56"/>
      <c r="I2566" s="56"/>
      <c r="J2566" s="58"/>
      <c r="K2566" s="58"/>
      <c r="L2566" s="13" t="str">
        <f t="shared" ref="L2566:L2629" si="400">IF(OR($A2566="",AND($J2566="",$K2566="")),"",ROUND(N($J2566)-N($K2566),2))</f>
        <v/>
      </c>
      <c r="M2566" s="13" t="str">
        <f t="shared" ref="M2566:M2629" si="401">IF(OR($A2566="",AND($J2566="",$K2566="")),"",MIN($J2566,$K2566))</f>
        <v/>
      </c>
      <c r="Q2566" t="str">
        <f t="shared" ref="Q2566:Q2629" si="402">IF($A2566="","",$D2566&amp;"("&amp;SUBSTITUTE($E2566," ","")&amp;")")</f>
        <v/>
      </c>
      <c r="R2566" t="str">
        <f t="shared" ref="R2566:R2629" si="403">IF($A2566="","",$B2566&amp;" - "&amp;$C2566)</f>
        <v/>
      </c>
      <c r="S2566" t="str">
        <f t="shared" ref="S2566:S2629" si="404">IF($A2566="","",$R2566&amp;"|"&amp;$Q2566)</f>
        <v/>
      </c>
      <c r="T2566" t="str">
        <f t="shared" ref="T2566:T2629" si="405">IF($A2566="","",$S2566&amp;"|"&amp;$F2566)</f>
        <v/>
      </c>
      <c r="U2566" t="str">
        <f t="shared" ref="U2566:U2629" si="406">IF($A2566="","",$R2566&amp;"("&amp;$E2566&amp;")")</f>
        <v/>
      </c>
      <c r="V2566" t="str">
        <f t="shared" ref="V2566:V2629" si="407">IF($A2566="","",$F2566&amp;"|"&amp;$U2566&amp;"|"&amp;$D2566)</f>
        <v/>
      </c>
      <c r="W2566" t="str">
        <f t="shared" ref="W2566:W2629" si="408">IF($T2566="","",IF($X2566&gt;N($X2565),$X2566,""))</f>
        <v/>
      </c>
      <c r="X2566">
        <f>IF($T2566="",N($X2565),IF(MATCH($T2566,$T$6:$T$10005,0)=ROW()-5,N($X2565)+1,N($X2565)))</f>
        <v>0</v>
      </c>
      <c r="Z2566" t="str">
        <f t="shared" ref="Z2566:Z2629" si="409">IF($V2566="","",IF($AA2566&gt;N($AA2565),$AA2566,""))</f>
        <v/>
      </c>
      <c r="AA2566">
        <f>IF($V2566="",N($AA2565),IF(MATCH($V2566,$V$6:$V$10005,0)=ROW()-5,N($AA2565)+1,N($AA2565)))</f>
        <v>0</v>
      </c>
    </row>
    <row r="2567" spans="1:27" ht="21" customHeight="1" x14ac:dyDescent="0.95">
      <c r="A2567" s="56"/>
      <c r="B2567" s="57"/>
      <c r="C2567" s="57"/>
      <c r="D2567" s="57"/>
      <c r="E2567" s="56"/>
      <c r="F2567" s="57"/>
      <c r="G2567" s="57"/>
      <c r="H2567" s="56"/>
      <c r="I2567" s="56"/>
      <c r="J2567" s="58"/>
      <c r="K2567" s="58"/>
      <c r="L2567" s="13" t="str">
        <f t="shared" si="400"/>
        <v/>
      </c>
      <c r="M2567" s="13" t="str">
        <f t="shared" si="401"/>
        <v/>
      </c>
      <c r="Q2567" t="str">
        <f t="shared" si="402"/>
        <v/>
      </c>
      <c r="R2567" t="str">
        <f t="shared" si="403"/>
        <v/>
      </c>
      <c r="S2567" t="str">
        <f t="shared" si="404"/>
        <v/>
      </c>
      <c r="T2567" t="str">
        <f t="shared" si="405"/>
        <v/>
      </c>
      <c r="U2567" t="str">
        <f t="shared" si="406"/>
        <v/>
      </c>
      <c r="V2567" t="str">
        <f t="shared" si="407"/>
        <v/>
      </c>
      <c r="W2567" t="str">
        <f t="shared" si="408"/>
        <v/>
      </c>
      <c r="X2567">
        <f>IF($T2567="",N($X2566),IF(MATCH($T2567,$T$6:$T$10005,0)=ROW()-5,N($X2566)+1,N($X2566)))</f>
        <v>0</v>
      </c>
      <c r="Z2567" t="str">
        <f t="shared" si="409"/>
        <v/>
      </c>
      <c r="AA2567">
        <f>IF($V2567="",N($AA2566),IF(MATCH($V2567,$V$6:$V$10005,0)=ROW()-5,N($AA2566)+1,N($AA2566)))</f>
        <v>0</v>
      </c>
    </row>
    <row r="2568" spans="1:27" ht="21" customHeight="1" x14ac:dyDescent="0.95">
      <c r="A2568" s="56"/>
      <c r="B2568" s="57"/>
      <c r="C2568" s="57"/>
      <c r="D2568" s="57"/>
      <c r="E2568" s="56"/>
      <c r="F2568" s="57"/>
      <c r="G2568" s="57"/>
      <c r="H2568" s="56"/>
      <c r="I2568" s="56"/>
      <c r="J2568" s="58"/>
      <c r="K2568" s="58"/>
      <c r="L2568" s="13" t="str">
        <f t="shared" si="400"/>
        <v/>
      </c>
      <c r="M2568" s="13" t="str">
        <f t="shared" si="401"/>
        <v/>
      </c>
      <c r="Q2568" t="str">
        <f t="shared" si="402"/>
        <v/>
      </c>
      <c r="R2568" t="str">
        <f t="shared" si="403"/>
        <v/>
      </c>
      <c r="S2568" t="str">
        <f t="shared" si="404"/>
        <v/>
      </c>
      <c r="T2568" t="str">
        <f t="shared" si="405"/>
        <v/>
      </c>
      <c r="U2568" t="str">
        <f t="shared" si="406"/>
        <v/>
      </c>
      <c r="V2568" t="str">
        <f t="shared" si="407"/>
        <v/>
      </c>
      <c r="W2568" t="str">
        <f t="shared" si="408"/>
        <v/>
      </c>
      <c r="X2568">
        <f>IF($T2568="",N($X2567),IF(MATCH($T2568,$T$6:$T$10005,0)=ROW()-5,N($X2567)+1,N($X2567)))</f>
        <v>0</v>
      </c>
      <c r="Z2568" t="str">
        <f t="shared" si="409"/>
        <v/>
      </c>
      <c r="AA2568">
        <f>IF($V2568="",N($AA2567),IF(MATCH($V2568,$V$6:$V$10005,0)=ROW()-5,N($AA2567)+1,N($AA2567)))</f>
        <v>0</v>
      </c>
    </row>
    <row r="2569" spans="1:27" ht="21" customHeight="1" x14ac:dyDescent="0.95">
      <c r="A2569" s="56"/>
      <c r="B2569" s="57"/>
      <c r="C2569" s="57"/>
      <c r="D2569" s="57"/>
      <c r="E2569" s="56"/>
      <c r="F2569" s="57"/>
      <c r="G2569" s="57"/>
      <c r="H2569" s="56"/>
      <c r="I2569" s="56"/>
      <c r="J2569" s="58"/>
      <c r="K2569" s="58"/>
      <c r="L2569" s="13" t="str">
        <f t="shared" si="400"/>
        <v/>
      </c>
      <c r="M2569" s="13" t="str">
        <f t="shared" si="401"/>
        <v/>
      </c>
      <c r="Q2569" t="str">
        <f t="shared" si="402"/>
        <v/>
      </c>
      <c r="R2569" t="str">
        <f t="shared" si="403"/>
        <v/>
      </c>
      <c r="S2569" t="str">
        <f t="shared" si="404"/>
        <v/>
      </c>
      <c r="T2569" t="str">
        <f t="shared" si="405"/>
        <v/>
      </c>
      <c r="U2569" t="str">
        <f t="shared" si="406"/>
        <v/>
      </c>
      <c r="V2569" t="str">
        <f t="shared" si="407"/>
        <v/>
      </c>
      <c r="W2569" t="str">
        <f t="shared" si="408"/>
        <v/>
      </c>
      <c r="X2569">
        <f>IF($T2569="",N($X2568),IF(MATCH($T2569,$T$6:$T$10005,0)=ROW()-5,N($X2568)+1,N($X2568)))</f>
        <v>0</v>
      </c>
      <c r="Z2569" t="str">
        <f t="shared" si="409"/>
        <v/>
      </c>
      <c r="AA2569">
        <f>IF($V2569="",N($AA2568),IF(MATCH($V2569,$V$6:$V$10005,0)=ROW()-5,N($AA2568)+1,N($AA2568)))</f>
        <v>0</v>
      </c>
    </row>
    <row r="2570" spans="1:27" ht="21" customHeight="1" x14ac:dyDescent="0.95">
      <c r="A2570" s="56"/>
      <c r="B2570" s="57"/>
      <c r="C2570" s="57"/>
      <c r="D2570" s="57"/>
      <c r="E2570" s="56"/>
      <c r="F2570" s="57"/>
      <c r="G2570" s="57"/>
      <c r="H2570" s="56"/>
      <c r="I2570" s="56"/>
      <c r="J2570" s="58"/>
      <c r="K2570" s="58"/>
      <c r="L2570" s="13" t="str">
        <f t="shared" si="400"/>
        <v/>
      </c>
      <c r="M2570" s="13" t="str">
        <f t="shared" si="401"/>
        <v/>
      </c>
      <c r="Q2570" t="str">
        <f t="shared" si="402"/>
        <v/>
      </c>
      <c r="R2570" t="str">
        <f t="shared" si="403"/>
        <v/>
      </c>
      <c r="S2570" t="str">
        <f t="shared" si="404"/>
        <v/>
      </c>
      <c r="T2570" t="str">
        <f t="shared" si="405"/>
        <v/>
      </c>
      <c r="U2570" t="str">
        <f t="shared" si="406"/>
        <v/>
      </c>
      <c r="V2570" t="str">
        <f t="shared" si="407"/>
        <v/>
      </c>
      <c r="W2570" t="str">
        <f t="shared" si="408"/>
        <v/>
      </c>
      <c r="X2570">
        <f>IF($T2570="",N($X2569),IF(MATCH($T2570,$T$6:$T$10005,0)=ROW()-5,N($X2569)+1,N($X2569)))</f>
        <v>0</v>
      </c>
      <c r="Z2570" t="str">
        <f t="shared" si="409"/>
        <v/>
      </c>
      <c r="AA2570">
        <f>IF($V2570="",N($AA2569),IF(MATCH($V2570,$V$6:$V$10005,0)=ROW()-5,N($AA2569)+1,N($AA2569)))</f>
        <v>0</v>
      </c>
    </row>
    <row r="2571" spans="1:27" ht="21" customHeight="1" x14ac:dyDescent="0.95">
      <c r="A2571" s="56"/>
      <c r="B2571" s="57"/>
      <c r="C2571" s="57"/>
      <c r="D2571" s="57"/>
      <c r="E2571" s="56"/>
      <c r="F2571" s="57"/>
      <c r="G2571" s="57"/>
      <c r="H2571" s="56"/>
      <c r="I2571" s="56"/>
      <c r="J2571" s="58"/>
      <c r="K2571" s="58"/>
      <c r="L2571" s="13" t="str">
        <f t="shared" si="400"/>
        <v/>
      </c>
      <c r="M2571" s="13" t="str">
        <f t="shared" si="401"/>
        <v/>
      </c>
      <c r="Q2571" t="str">
        <f t="shared" si="402"/>
        <v/>
      </c>
      <c r="R2571" t="str">
        <f t="shared" si="403"/>
        <v/>
      </c>
      <c r="S2571" t="str">
        <f t="shared" si="404"/>
        <v/>
      </c>
      <c r="T2571" t="str">
        <f t="shared" si="405"/>
        <v/>
      </c>
      <c r="U2571" t="str">
        <f t="shared" si="406"/>
        <v/>
      </c>
      <c r="V2571" t="str">
        <f t="shared" si="407"/>
        <v/>
      </c>
      <c r="W2571" t="str">
        <f t="shared" si="408"/>
        <v/>
      </c>
      <c r="X2571">
        <f>IF($T2571="",N($X2570),IF(MATCH($T2571,$T$6:$T$10005,0)=ROW()-5,N($X2570)+1,N($X2570)))</f>
        <v>0</v>
      </c>
      <c r="Z2571" t="str">
        <f t="shared" si="409"/>
        <v/>
      </c>
      <c r="AA2571">
        <f>IF($V2571="",N($AA2570),IF(MATCH($V2571,$V$6:$V$10005,0)=ROW()-5,N($AA2570)+1,N($AA2570)))</f>
        <v>0</v>
      </c>
    </row>
    <row r="2572" spans="1:27" ht="21" customHeight="1" x14ac:dyDescent="0.95">
      <c r="A2572" s="56"/>
      <c r="B2572" s="57"/>
      <c r="C2572" s="57"/>
      <c r="D2572" s="57"/>
      <c r="E2572" s="56"/>
      <c r="F2572" s="57"/>
      <c r="G2572" s="57"/>
      <c r="H2572" s="56"/>
      <c r="I2572" s="56"/>
      <c r="J2572" s="58"/>
      <c r="K2572" s="58"/>
      <c r="L2572" s="13" t="str">
        <f t="shared" si="400"/>
        <v/>
      </c>
      <c r="M2572" s="13" t="str">
        <f t="shared" si="401"/>
        <v/>
      </c>
      <c r="Q2572" t="str">
        <f t="shared" si="402"/>
        <v/>
      </c>
      <c r="R2572" t="str">
        <f t="shared" si="403"/>
        <v/>
      </c>
      <c r="S2572" t="str">
        <f t="shared" si="404"/>
        <v/>
      </c>
      <c r="T2572" t="str">
        <f t="shared" si="405"/>
        <v/>
      </c>
      <c r="U2572" t="str">
        <f t="shared" si="406"/>
        <v/>
      </c>
      <c r="V2572" t="str">
        <f t="shared" si="407"/>
        <v/>
      </c>
      <c r="W2572" t="str">
        <f t="shared" si="408"/>
        <v/>
      </c>
      <c r="X2572">
        <f>IF($T2572="",N($X2571),IF(MATCH($T2572,$T$6:$T$10005,0)=ROW()-5,N($X2571)+1,N($X2571)))</f>
        <v>0</v>
      </c>
      <c r="Z2572" t="str">
        <f t="shared" si="409"/>
        <v/>
      </c>
      <c r="AA2572">
        <f>IF($V2572="",N($AA2571),IF(MATCH($V2572,$V$6:$V$10005,0)=ROW()-5,N($AA2571)+1,N($AA2571)))</f>
        <v>0</v>
      </c>
    </row>
    <row r="2573" spans="1:27" ht="21" customHeight="1" x14ac:dyDescent="0.95">
      <c r="A2573" s="56"/>
      <c r="B2573" s="57"/>
      <c r="C2573" s="57"/>
      <c r="D2573" s="57"/>
      <c r="E2573" s="56"/>
      <c r="F2573" s="57"/>
      <c r="G2573" s="57"/>
      <c r="H2573" s="56"/>
      <c r="I2573" s="56"/>
      <c r="J2573" s="58"/>
      <c r="K2573" s="58"/>
      <c r="L2573" s="13" t="str">
        <f t="shared" si="400"/>
        <v/>
      </c>
      <c r="M2573" s="13" t="str">
        <f t="shared" si="401"/>
        <v/>
      </c>
      <c r="Q2573" t="str">
        <f t="shared" si="402"/>
        <v/>
      </c>
      <c r="R2573" t="str">
        <f t="shared" si="403"/>
        <v/>
      </c>
      <c r="S2573" t="str">
        <f t="shared" si="404"/>
        <v/>
      </c>
      <c r="T2573" t="str">
        <f t="shared" si="405"/>
        <v/>
      </c>
      <c r="U2573" t="str">
        <f t="shared" si="406"/>
        <v/>
      </c>
      <c r="V2573" t="str">
        <f t="shared" si="407"/>
        <v/>
      </c>
      <c r="W2573" t="str">
        <f t="shared" si="408"/>
        <v/>
      </c>
      <c r="X2573">
        <f>IF($T2573="",N($X2572),IF(MATCH($T2573,$T$6:$T$10005,0)=ROW()-5,N($X2572)+1,N($X2572)))</f>
        <v>0</v>
      </c>
      <c r="Z2573" t="str">
        <f t="shared" si="409"/>
        <v/>
      </c>
      <c r="AA2573">
        <f>IF($V2573="",N($AA2572),IF(MATCH($V2573,$V$6:$V$10005,0)=ROW()-5,N($AA2572)+1,N($AA2572)))</f>
        <v>0</v>
      </c>
    </row>
    <row r="2574" spans="1:27" ht="21" customHeight="1" x14ac:dyDescent="0.95">
      <c r="A2574" s="56"/>
      <c r="B2574" s="57"/>
      <c r="C2574" s="57"/>
      <c r="D2574" s="57"/>
      <c r="E2574" s="56"/>
      <c r="F2574" s="57"/>
      <c r="G2574" s="57"/>
      <c r="H2574" s="56"/>
      <c r="I2574" s="56"/>
      <c r="J2574" s="58"/>
      <c r="K2574" s="58"/>
      <c r="L2574" s="13" t="str">
        <f t="shared" si="400"/>
        <v/>
      </c>
      <c r="M2574" s="13" t="str">
        <f t="shared" si="401"/>
        <v/>
      </c>
      <c r="Q2574" t="str">
        <f t="shared" si="402"/>
        <v/>
      </c>
      <c r="R2574" t="str">
        <f t="shared" si="403"/>
        <v/>
      </c>
      <c r="S2574" t="str">
        <f t="shared" si="404"/>
        <v/>
      </c>
      <c r="T2574" t="str">
        <f t="shared" si="405"/>
        <v/>
      </c>
      <c r="U2574" t="str">
        <f t="shared" si="406"/>
        <v/>
      </c>
      <c r="V2574" t="str">
        <f t="shared" si="407"/>
        <v/>
      </c>
      <c r="W2574" t="str">
        <f t="shared" si="408"/>
        <v/>
      </c>
      <c r="X2574">
        <f>IF($T2574="",N($X2573),IF(MATCH($T2574,$T$6:$T$10005,0)=ROW()-5,N($X2573)+1,N($X2573)))</f>
        <v>0</v>
      </c>
      <c r="Z2574" t="str">
        <f t="shared" si="409"/>
        <v/>
      </c>
      <c r="AA2574">
        <f>IF($V2574="",N($AA2573),IF(MATCH($V2574,$V$6:$V$10005,0)=ROW()-5,N($AA2573)+1,N($AA2573)))</f>
        <v>0</v>
      </c>
    </row>
    <row r="2575" spans="1:27" ht="21" customHeight="1" x14ac:dyDescent="0.95">
      <c r="A2575" s="56"/>
      <c r="B2575" s="57"/>
      <c r="C2575" s="57"/>
      <c r="D2575" s="57"/>
      <c r="E2575" s="56"/>
      <c r="F2575" s="57"/>
      <c r="G2575" s="57"/>
      <c r="H2575" s="56"/>
      <c r="I2575" s="56"/>
      <c r="J2575" s="58"/>
      <c r="K2575" s="58"/>
      <c r="L2575" s="13" t="str">
        <f t="shared" si="400"/>
        <v/>
      </c>
      <c r="M2575" s="13" t="str">
        <f t="shared" si="401"/>
        <v/>
      </c>
      <c r="Q2575" t="str">
        <f t="shared" si="402"/>
        <v/>
      </c>
      <c r="R2575" t="str">
        <f t="shared" si="403"/>
        <v/>
      </c>
      <c r="S2575" t="str">
        <f t="shared" si="404"/>
        <v/>
      </c>
      <c r="T2575" t="str">
        <f t="shared" si="405"/>
        <v/>
      </c>
      <c r="U2575" t="str">
        <f t="shared" si="406"/>
        <v/>
      </c>
      <c r="V2575" t="str">
        <f t="shared" si="407"/>
        <v/>
      </c>
      <c r="W2575" t="str">
        <f t="shared" si="408"/>
        <v/>
      </c>
      <c r="X2575">
        <f>IF($T2575="",N($X2574),IF(MATCH($T2575,$T$6:$T$10005,0)=ROW()-5,N($X2574)+1,N($X2574)))</f>
        <v>0</v>
      </c>
      <c r="Z2575" t="str">
        <f t="shared" si="409"/>
        <v/>
      </c>
      <c r="AA2575">
        <f>IF($V2575="",N($AA2574),IF(MATCH($V2575,$V$6:$V$10005,0)=ROW()-5,N($AA2574)+1,N($AA2574)))</f>
        <v>0</v>
      </c>
    </row>
    <row r="2576" spans="1:27" ht="21" customHeight="1" x14ac:dyDescent="0.95">
      <c r="A2576" s="56"/>
      <c r="B2576" s="57"/>
      <c r="C2576" s="57"/>
      <c r="D2576" s="57"/>
      <c r="E2576" s="56"/>
      <c r="F2576" s="57"/>
      <c r="G2576" s="57"/>
      <c r="H2576" s="56"/>
      <c r="I2576" s="56"/>
      <c r="J2576" s="58"/>
      <c r="K2576" s="58"/>
      <c r="L2576" s="13" t="str">
        <f t="shared" si="400"/>
        <v/>
      </c>
      <c r="M2576" s="13" t="str">
        <f t="shared" si="401"/>
        <v/>
      </c>
      <c r="Q2576" t="str">
        <f t="shared" si="402"/>
        <v/>
      </c>
      <c r="R2576" t="str">
        <f t="shared" si="403"/>
        <v/>
      </c>
      <c r="S2576" t="str">
        <f t="shared" si="404"/>
        <v/>
      </c>
      <c r="T2576" t="str">
        <f t="shared" si="405"/>
        <v/>
      </c>
      <c r="U2576" t="str">
        <f t="shared" si="406"/>
        <v/>
      </c>
      <c r="V2576" t="str">
        <f t="shared" si="407"/>
        <v/>
      </c>
      <c r="W2576" t="str">
        <f t="shared" si="408"/>
        <v/>
      </c>
      <c r="X2576">
        <f>IF($T2576="",N($X2575),IF(MATCH($T2576,$T$6:$T$10005,0)=ROW()-5,N($X2575)+1,N($X2575)))</f>
        <v>0</v>
      </c>
      <c r="Z2576" t="str">
        <f t="shared" si="409"/>
        <v/>
      </c>
      <c r="AA2576">
        <f>IF($V2576="",N($AA2575),IF(MATCH($V2576,$V$6:$V$10005,0)=ROW()-5,N($AA2575)+1,N($AA2575)))</f>
        <v>0</v>
      </c>
    </row>
    <row r="2577" spans="1:27" ht="21" customHeight="1" x14ac:dyDescent="0.95">
      <c r="A2577" s="56"/>
      <c r="B2577" s="57"/>
      <c r="C2577" s="57"/>
      <c r="D2577" s="57"/>
      <c r="E2577" s="56"/>
      <c r="F2577" s="57"/>
      <c r="G2577" s="57"/>
      <c r="H2577" s="56"/>
      <c r="I2577" s="56"/>
      <c r="J2577" s="58"/>
      <c r="K2577" s="58"/>
      <c r="L2577" s="13" t="str">
        <f t="shared" si="400"/>
        <v/>
      </c>
      <c r="M2577" s="13" t="str">
        <f t="shared" si="401"/>
        <v/>
      </c>
      <c r="Q2577" t="str">
        <f t="shared" si="402"/>
        <v/>
      </c>
      <c r="R2577" t="str">
        <f t="shared" si="403"/>
        <v/>
      </c>
      <c r="S2577" t="str">
        <f t="shared" si="404"/>
        <v/>
      </c>
      <c r="T2577" t="str">
        <f t="shared" si="405"/>
        <v/>
      </c>
      <c r="U2577" t="str">
        <f t="shared" si="406"/>
        <v/>
      </c>
      <c r="V2577" t="str">
        <f t="shared" si="407"/>
        <v/>
      </c>
      <c r="W2577" t="str">
        <f t="shared" si="408"/>
        <v/>
      </c>
      <c r="X2577">
        <f>IF($T2577="",N($X2576),IF(MATCH($T2577,$T$6:$T$10005,0)=ROW()-5,N($X2576)+1,N($X2576)))</f>
        <v>0</v>
      </c>
      <c r="Z2577" t="str">
        <f t="shared" si="409"/>
        <v/>
      </c>
      <c r="AA2577">
        <f>IF($V2577="",N($AA2576),IF(MATCH($V2577,$V$6:$V$10005,0)=ROW()-5,N($AA2576)+1,N($AA2576)))</f>
        <v>0</v>
      </c>
    </row>
    <row r="2578" spans="1:27" ht="21" customHeight="1" x14ac:dyDescent="0.95">
      <c r="A2578" s="56"/>
      <c r="B2578" s="57"/>
      <c r="C2578" s="57"/>
      <c r="D2578" s="57"/>
      <c r="E2578" s="56"/>
      <c r="F2578" s="57"/>
      <c r="G2578" s="57"/>
      <c r="H2578" s="56"/>
      <c r="I2578" s="56"/>
      <c r="J2578" s="58"/>
      <c r="K2578" s="58"/>
      <c r="L2578" s="13" t="str">
        <f t="shared" si="400"/>
        <v/>
      </c>
      <c r="M2578" s="13" t="str">
        <f t="shared" si="401"/>
        <v/>
      </c>
      <c r="Q2578" t="str">
        <f t="shared" si="402"/>
        <v/>
      </c>
      <c r="R2578" t="str">
        <f t="shared" si="403"/>
        <v/>
      </c>
      <c r="S2578" t="str">
        <f t="shared" si="404"/>
        <v/>
      </c>
      <c r="T2578" t="str">
        <f t="shared" si="405"/>
        <v/>
      </c>
      <c r="U2578" t="str">
        <f t="shared" si="406"/>
        <v/>
      </c>
      <c r="V2578" t="str">
        <f t="shared" si="407"/>
        <v/>
      </c>
      <c r="W2578" t="str">
        <f t="shared" si="408"/>
        <v/>
      </c>
      <c r="X2578">
        <f>IF($T2578="",N($X2577),IF(MATCH($T2578,$T$6:$T$10005,0)=ROW()-5,N($X2577)+1,N($X2577)))</f>
        <v>0</v>
      </c>
      <c r="Z2578" t="str">
        <f t="shared" si="409"/>
        <v/>
      </c>
      <c r="AA2578">
        <f>IF($V2578="",N($AA2577),IF(MATCH($V2578,$V$6:$V$10005,0)=ROW()-5,N($AA2577)+1,N($AA2577)))</f>
        <v>0</v>
      </c>
    </row>
    <row r="2579" spans="1:27" ht="21" customHeight="1" x14ac:dyDescent="0.95">
      <c r="A2579" s="56"/>
      <c r="B2579" s="57"/>
      <c r="C2579" s="57"/>
      <c r="D2579" s="57"/>
      <c r="E2579" s="56"/>
      <c r="F2579" s="57"/>
      <c r="G2579" s="57"/>
      <c r="H2579" s="56"/>
      <c r="I2579" s="56"/>
      <c r="J2579" s="58"/>
      <c r="K2579" s="58"/>
      <c r="L2579" s="13" t="str">
        <f t="shared" si="400"/>
        <v/>
      </c>
      <c r="M2579" s="13" t="str">
        <f t="shared" si="401"/>
        <v/>
      </c>
      <c r="Q2579" t="str">
        <f t="shared" si="402"/>
        <v/>
      </c>
      <c r="R2579" t="str">
        <f t="shared" si="403"/>
        <v/>
      </c>
      <c r="S2579" t="str">
        <f t="shared" si="404"/>
        <v/>
      </c>
      <c r="T2579" t="str">
        <f t="shared" si="405"/>
        <v/>
      </c>
      <c r="U2579" t="str">
        <f t="shared" si="406"/>
        <v/>
      </c>
      <c r="V2579" t="str">
        <f t="shared" si="407"/>
        <v/>
      </c>
      <c r="W2579" t="str">
        <f t="shared" si="408"/>
        <v/>
      </c>
      <c r="X2579">
        <f>IF($T2579="",N($X2578),IF(MATCH($T2579,$T$6:$T$10005,0)=ROW()-5,N($X2578)+1,N($X2578)))</f>
        <v>0</v>
      </c>
      <c r="Z2579" t="str">
        <f t="shared" si="409"/>
        <v/>
      </c>
      <c r="AA2579">
        <f>IF($V2579="",N($AA2578),IF(MATCH($V2579,$V$6:$V$10005,0)=ROW()-5,N($AA2578)+1,N($AA2578)))</f>
        <v>0</v>
      </c>
    </row>
    <row r="2580" spans="1:27" ht="21" customHeight="1" x14ac:dyDescent="0.95">
      <c r="A2580" s="56"/>
      <c r="B2580" s="57"/>
      <c r="C2580" s="57"/>
      <c r="D2580" s="57"/>
      <c r="E2580" s="56"/>
      <c r="F2580" s="57"/>
      <c r="G2580" s="57"/>
      <c r="H2580" s="56"/>
      <c r="I2580" s="56"/>
      <c r="J2580" s="58"/>
      <c r="K2580" s="58"/>
      <c r="L2580" s="13" t="str">
        <f t="shared" si="400"/>
        <v/>
      </c>
      <c r="M2580" s="13" t="str">
        <f t="shared" si="401"/>
        <v/>
      </c>
      <c r="Q2580" t="str">
        <f t="shared" si="402"/>
        <v/>
      </c>
      <c r="R2580" t="str">
        <f t="shared" si="403"/>
        <v/>
      </c>
      <c r="S2580" t="str">
        <f t="shared" si="404"/>
        <v/>
      </c>
      <c r="T2580" t="str">
        <f t="shared" si="405"/>
        <v/>
      </c>
      <c r="U2580" t="str">
        <f t="shared" si="406"/>
        <v/>
      </c>
      <c r="V2580" t="str">
        <f t="shared" si="407"/>
        <v/>
      </c>
      <c r="W2580" t="str">
        <f t="shared" si="408"/>
        <v/>
      </c>
      <c r="X2580">
        <f>IF($T2580="",N($X2579),IF(MATCH($T2580,$T$6:$T$10005,0)=ROW()-5,N($X2579)+1,N($X2579)))</f>
        <v>0</v>
      </c>
      <c r="Z2580" t="str">
        <f t="shared" si="409"/>
        <v/>
      </c>
      <c r="AA2580">
        <f>IF($V2580="",N($AA2579),IF(MATCH($V2580,$V$6:$V$10005,0)=ROW()-5,N($AA2579)+1,N($AA2579)))</f>
        <v>0</v>
      </c>
    </row>
    <row r="2581" spans="1:27" ht="21" customHeight="1" x14ac:dyDescent="0.95">
      <c r="A2581" s="56"/>
      <c r="B2581" s="57"/>
      <c r="C2581" s="57"/>
      <c r="D2581" s="57"/>
      <c r="E2581" s="56"/>
      <c r="F2581" s="57"/>
      <c r="G2581" s="57"/>
      <c r="H2581" s="56"/>
      <c r="I2581" s="56"/>
      <c r="J2581" s="58"/>
      <c r="K2581" s="58"/>
      <c r="L2581" s="13" t="str">
        <f t="shared" si="400"/>
        <v/>
      </c>
      <c r="M2581" s="13" t="str">
        <f t="shared" si="401"/>
        <v/>
      </c>
      <c r="Q2581" t="str">
        <f t="shared" si="402"/>
        <v/>
      </c>
      <c r="R2581" t="str">
        <f t="shared" si="403"/>
        <v/>
      </c>
      <c r="S2581" t="str">
        <f t="shared" si="404"/>
        <v/>
      </c>
      <c r="T2581" t="str">
        <f t="shared" si="405"/>
        <v/>
      </c>
      <c r="U2581" t="str">
        <f t="shared" si="406"/>
        <v/>
      </c>
      <c r="V2581" t="str">
        <f t="shared" si="407"/>
        <v/>
      </c>
      <c r="W2581" t="str">
        <f t="shared" si="408"/>
        <v/>
      </c>
      <c r="X2581">
        <f>IF($T2581="",N($X2580),IF(MATCH($T2581,$T$6:$T$10005,0)=ROW()-5,N($X2580)+1,N($X2580)))</f>
        <v>0</v>
      </c>
      <c r="Z2581" t="str">
        <f t="shared" si="409"/>
        <v/>
      </c>
      <c r="AA2581">
        <f>IF($V2581="",N($AA2580),IF(MATCH($V2581,$V$6:$V$10005,0)=ROW()-5,N($AA2580)+1,N($AA2580)))</f>
        <v>0</v>
      </c>
    </row>
    <row r="2582" spans="1:27" ht="21" customHeight="1" x14ac:dyDescent="0.95">
      <c r="A2582" s="56"/>
      <c r="B2582" s="57"/>
      <c r="C2582" s="57"/>
      <c r="D2582" s="57"/>
      <c r="E2582" s="56"/>
      <c r="F2582" s="57"/>
      <c r="G2582" s="57"/>
      <c r="H2582" s="56"/>
      <c r="I2582" s="56"/>
      <c r="J2582" s="58"/>
      <c r="K2582" s="58"/>
      <c r="L2582" s="13" t="str">
        <f t="shared" si="400"/>
        <v/>
      </c>
      <c r="M2582" s="13" t="str">
        <f t="shared" si="401"/>
        <v/>
      </c>
      <c r="Q2582" t="str">
        <f t="shared" si="402"/>
        <v/>
      </c>
      <c r="R2582" t="str">
        <f t="shared" si="403"/>
        <v/>
      </c>
      <c r="S2582" t="str">
        <f t="shared" si="404"/>
        <v/>
      </c>
      <c r="T2582" t="str">
        <f t="shared" si="405"/>
        <v/>
      </c>
      <c r="U2582" t="str">
        <f t="shared" si="406"/>
        <v/>
      </c>
      <c r="V2582" t="str">
        <f t="shared" si="407"/>
        <v/>
      </c>
      <c r="W2582" t="str">
        <f t="shared" si="408"/>
        <v/>
      </c>
      <c r="X2582">
        <f>IF($T2582="",N($X2581),IF(MATCH($T2582,$T$6:$T$10005,0)=ROW()-5,N($X2581)+1,N($X2581)))</f>
        <v>0</v>
      </c>
      <c r="Z2582" t="str">
        <f t="shared" si="409"/>
        <v/>
      </c>
      <c r="AA2582">
        <f>IF($V2582="",N($AA2581),IF(MATCH($V2582,$V$6:$V$10005,0)=ROW()-5,N($AA2581)+1,N($AA2581)))</f>
        <v>0</v>
      </c>
    </row>
    <row r="2583" spans="1:27" ht="21" customHeight="1" x14ac:dyDescent="0.95">
      <c r="A2583" s="56"/>
      <c r="B2583" s="57"/>
      <c r="C2583" s="57"/>
      <c r="D2583" s="57"/>
      <c r="E2583" s="56"/>
      <c r="F2583" s="57"/>
      <c r="G2583" s="57"/>
      <c r="H2583" s="56"/>
      <c r="I2583" s="56"/>
      <c r="J2583" s="58"/>
      <c r="K2583" s="58"/>
      <c r="L2583" s="13" t="str">
        <f t="shared" si="400"/>
        <v/>
      </c>
      <c r="M2583" s="13" t="str">
        <f t="shared" si="401"/>
        <v/>
      </c>
      <c r="Q2583" t="str">
        <f t="shared" si="402"/>
        <v/>
      </c>
      <c r="R2583" t="str">
        <f t="shared" si="403"/>
        <v/>
      </c>
      <c r="S2583" t="str">
        <f t="shared" si="404"/>
        <v/>
      </c>
      <c r="T2583" t="str">
        <f t="shared" si="405"/>
        <v/>
      </c>
      <c r="U2583" t="str">
        <f t="shared" si="406"/>
        <v/>
      </c>
      <c r="V2583" t="str">
        <f t="shared" si="407"/>
        <v/>
      </c>
      <c r="W2583" t="str">
        <f t="shared" si="408"/>
        <v/>
      </c>
      <c r="X2583">
        <f>IF($T2583="",N($X2582),IF(MATCH($T2583,$T$6:$T$10005,0)=ROW()-5,N($X2582)+1,N($X2582)))</f>
        <v>0</v>
      </c>
      <c r="Z2583" t="str">
        <f t="shared" si="409"/>
        <v/>
      </c>
      <c r="AA2583">
        <f>IF($V2583="",N($AA2582),IF(MATCH($V2583,$V$6:$V$10005,0)=ROW()-5,N($AA2582)+1,N($AA2582)))</f>
        <v>0</v>
      </c>
    </row>
    <row r="2584" spans="1:27" ht="21" customHeight="1" x14ac:dyDescent="0.95">
      <c r="A2584" s="56"/>
      <c r="B2584" s="57"/>
      <c r="C2584" s="57"/>
      <c r="D2584" s="57"/>
      <c r="E2584" s="56"/>
      <c r="F2584" s="57"/>
      <c r="G2584" s="57"/>
      <c r="H2584" s="56"/>
      <c r="I2584" s="56"/>
      <c r="J2584" s="58"/>
      <c r="K2584" s="58"/>
      <c r="L2584" s="13" t="str">
        <f t="shared" si="400"/>
        <v/>
      </c>
      <c r="M2584" s="13" t="str">
        <f t="shared" si="401"/>
        <v/>
      </c>
      <c r="Q2584" t="str">
        <f t="shared" si="402"/>
        <v/>
      </c>
      <c r="R2584" t="str">
        <f t="shared" si="403"/>
        <v/>
      </c>
      <c r="S2584" t="str">
        <f t="shared" si="404"/>
        <v/>
      </c>
      <c r="T2584" t="str">
        <f t="shared" si="405"/>
        <v/>
      </c>
      <c r="U2584" t="str">
        <f t="shared" si="406"/>
        <v/>
      </c>
      <c r="V2584" t="str">
        <f t="shared" si="407"/>
        <v/>
      </c>
      <c r="W2584" t="str">
        <f t="shared" si="408"/>
        <v/>
      </c>
      <c r="X2584">
        <f>IF($T2584="",N($X2583),IF(MATCH($T2584,$T$6:$T$10005,0)=ROW()-5,N($X2583)+1,N($X2583)))</f>
        <v>0</v>
      </c>
      <c r="Z2584" t="str">
        <f t="shared" si="409"/>
        <v/>
      </c>
      <c r="AA2584">
        <f>IF($V2584="",N($AA2583),IF(MATCH($V2584,$V$6:$V$10005,0)=ROW()-5,N($AA2583)+1,N($AA2583)))</f>
        <v>0</v>
      </c>
    </row>
    <row r="2585" spans="1:27" ht="21" customHeight="1" x14ac:dyDescent="0.95">
      <c r="A2585" s="56"/>
      <c r="B2585" s="57"/>
      <c r="C2585" s="57"/>
      <c r="D2585" s="57"/>
      <c r="E2585" s="56"/>
      <c r="F2585" s="57"/>
      <c r="G2585" s="57"/>
      <c r="H2585" s="56"/>
      <c r="I2585" s="56"/>
      <c r="J2585" s="58"/>
      <c r="K2585" s="58"/>
      <c r="L2585" s="13" t="str">
        <f t="shared" si="400"/>
        <v/>
      </c>
      <c r="M2585" s="13" t="str">
        <f t="shared" si="401"/>
        <v/>
      </c>
      <c r="Q2585" t="str">
        <f t="shared" si="402"/>
        <v/>
      </c>
      <c r="R2585" t="str">
        <f t="shared" si="403"/>
        <v/>
      </c>
      <c r="S2585" t="str">
        <f t="shared" si="404"/>
        <v/>
      </c>
      <c r="T2585" t="str">
        <f t="shared" si="405"/>
        <v/>
      </c>
      <c r="U2585" t="str">
        <f t="shared" si="406"/>
        <v/>
      </c>
      <c r="V2585" t="str">
        <f t="shared" si="407"/>
        <v/>
      </c>
      <c r="W2585" t="str">
        <f t="shared" si="408"/>
        <v/>
      </c>
      <c r="X2585">
        <f>IF($T2585="",N($X2584),IF(MATCH($T2585,$T$6:$T$10005,0)=ROW()-5,N($X2584)+1,N($X2584)))</f>
        <v>0</v>
      </c>
      <c r="Z2585" t="str">
        <f t="shared" si="409"/>
        <v/>
      </c>
      <c r="AA2585">
        <f>IF($V2585="",N($AA2584),IF(MATCH($V2585,$V$6:$V$10005,0)=ROW()-5,N($AA2584)+1,N($AA2584)))</f>
        <v>0</v>
      </c>
    </row>
    <row r="2586" spans="1:27" ht="21" customHeight="1" x14ac:dyDescent="0.95">
      <c r="A2586" s="56"/>
      <c r="B2586" s="57"/>
      <c r="C2586" s="57"/>
      <c r="D2586" s="57"/>
      <c r="E2586" s="56"/>
      <c r="F2586" s="57"/>
      <c r="G2586" s="57"/>
      <c r="H2586" s="56"/>
      <c r="I2586" s="56"/>
      <c r="J2586" s="58"/>
      <c r="K2586" s="58"/>
      <c r="L2586" s="13" t="str">
        <f t="shared" si="400"/>
        <v/>
      </c>
      <c r="M2586" s="13" t="str">
        <f t="shared" si="401"/>
        <v/>
      </c>
      <c r="Q2586" t="str">
        <f t="shared" si="402"/>
        <v/>
      </c>
      <c r="R2586" t="str">
        <f t="shared" si="403"/>
        <v/>
      </c>
      <c r="S2586" t="str">
        <f t="shared" si="404"/>
        <v/>
      </c>
      <c r="T2586" t="str">
        <f t="shared" si="405"/>
        <v/>
      </c>
      <c r="U2586" t="str">
        <f t="shared" si="406"/>
        <v/>
      </c>
      <c r="V2586" t="str">
        <f t="shared" si="407"/>
        <v/>
      </c>
      <c r="W2586" t="str">
        <f t="shared" si="408"/>
        <v/>
      </c>
      <c r="X2586">
        <f>IF($T2586="",N($X2585),IF(MATCH($T2586,$T$6:$T$10005,0)=ROW()-5,N($X2585)+1,N($X2585)))</f>
        <v>0</v>
      </c>
      <c r="Z2586" t="str">
        <f t="shared" si="409"/>
        <v/>
      </c>
      <c r="AA2586">
        <f>IF($V2586="",N($AA2585),IF(MATCH($V2586,$V$6:$V$10005,0)=ROW()-5,N($AA2585)+1,N($AA2585)))</f>
        <v>0</v>
      </c>
    </row>
    <row r="2587" spans="1:27" ht="21" customHeight="1" x14ac:dyDescent="0.95">
      <c r="A2587" s="56"/>
      <c r="B2587" s="57"/>
      <c r="C2587" s="57"/>
      <c r="D2587" s="57"/>
      <c r="E2587" s="56"/>
      <c r="F2587" s="57"/>
      <c r="G2587" s="57"/>
      <c r="H2587" s="56"/>
      <c r="I2587" s="56"/>
      <c r="J2587" s="58"/>
      <c r="K2587" s="58"/>
      <c r="L2587" s="13" t="str">
        <f t="shared" si="400"/>
        <v/>
      </c>
      <c r="M2587" s="13" t="str">
        <f t="shared" si="401"/>
        <v/>
      </c>
      <c r="Q2587" t="str">
        <f t="shared" si="402"/>
        <v/>
      </c>
      <c r="R2587" t="str">
        <f t="shared" si="403"/>
        <v/>
      </c>
      <c r="S2587" t="str">
        <f t="shared" si="404"/>
        <v/>
      </c>
      <c r="T2587" t="str">
        <f t="shared" si="405"/>
        <v/>
      </c>
      <c r="U2587" t="str">
        <f t="shared" si="406"/>
        <v/>
      </c>
      <c r="V2587" t="str">
        <f t="shared" si="407"/>
        <v/>
      </c>
      <c r="W2587" t="str">
        <f t="shared" si="408"/>
        <v/>
      </c>
      <c r="X2587">
        <f>IF($T2587="",N($X2586),IF(MATCH($T2587,$T$6:$T$10005,0)=ROW()-5,N($X2586)+1,N($X2586)))</f>
        <v>0</v>
      </c>
      <c r="Z2587" t="str">
        <f t="shared" si="409"/>
        <v/>
      </c>
      <c r="AA2587">
        <f>IF($V2587="",N($AA2586),IF(MATCH($V2587,$V$6:$V$10005,0)=ROW()-5,N($AA2586)+1,N($AA2586)))</f>
        <v>0</v>
      </c>
    </row>
    <row r="2588" spans="1:27" ht="21" customHeight="1" x14ac:dyDescent="0.95">
      <c r="A2588" s="56"/>
      <c r="B2588" s="57"/>
      <c r="C2588" s="57"/>
      <c r="D2588" s="57"/>
      <c r="E2588" s="56"/>
      <c r="F2588" s="57"/>
      <c r="G2588" s="57"/>
      <c r="H2588" s="56"/>
      <c r="I2588" s="56"/>
      <c r="J2588" s="58"/>
      <c r="K2588" s="58"/>
      <c r="L2588" s="13" t="str">
        <f t="shared" si="400"/>
        <v/>
      </c>
      <c r="M2588" s="13" t="str">
        <f t="shared" si="401"/>
        <v/>
      </c>
      <c r="Q2588" t="str">
        <f t="shared" si="402"/>
        <v/>
      </c>
      <c r="R2588" t="str">
        <f t="shared" si="403"/>
        <v/>
      </c>
      <c r="S2588" t="str">
        <f t="shared" si="404"/>
        <v/>
      </c>
      <c r="T2588" t="str">
        <f t="shared" si="405"/>
        <v/>
      </c>
      <c r="U2588" t="str">
        <f t="shared" si="406"/>
        <v/>
      </c>
      <c r="V2588" t="str">
        <f t="shared" si="407"/>
        <v/>
      </c>
      <c r="W2588" t="str">
        <f t="shared" si="408"/>
        <v/>
      </c>
      <c r="X2588">
        <f>IF($T2588="",N($X2587),IF(MATCH($T2588,$T$6:$T$10005,0)=ROW()-5,N($X2587)+1,N($X2587)))</f>
        <v>0</v>
      </c>
      <c r="Z2588" t="str">
        <f t="shared" si="409"/>
        <v/>
      </c>
      <c r="AA2588">
        <f>IF($V2588="",N($AA2587),IF(MATCH($V2588,$V$6:$V$10005,0)=ROW()-5,N($AA2587)+1,N($AA2587)))</f>
        <v>0</v>
      </c>
    </row>
    <row r="2589" spans="1:27" ht="21" customHeight="1" x14ac:dyDescent="0.95">
      <c r="A2589" s="56"/>
      <c r="B2589" s="57"/>
      <c r="C2589" s="57"/>
      <c r="D2589" s="57"/>
      <c r="E2589" s="56"/>
      <c r="F2589" s="57"/>
      <c r="G2589" s="57"/>
      <c r="H2589" s="56"/>
      <c r="I2589" s="56"/>
      <c r="J2589" s="58"/>
      <c r="K2589" s="58"/>
      <c r="L2589" s="13" t="str">
        <f t="shared" si="400"/>
        <v/>
      </c>
      <c r="M2589" s="13" t="str">
        <f t="shared" si="401"/>
        <v/>
      </c>
      <c r="Q2589" t="str">
        <f t="shared" si="402"/>
        <v/>
      </c>
      <c r="R2589" t="str">
        <f t="shared" si="403"/>
        <v/>
      </c>
      <c r="S2589" t="str">
        <f t="shared" si="404"/>
        <v/>
      </c>
      <c r="T2589" t="str">
        <f t="shared" si="405"/>
        <v/>
      </c>
      <c r="U2589" t="str">
        <f t="shared" si="406"/>
        <v/>
      </c>
      <c r="V2589" t="str">
        <f t="shared" si="407"/>
        <v/>
      </c>
      <c r="W2589" t="str">
        <f t="shared" si="408"/>
        <v/>
      </c>
      <c r="X2589">
        <f>IF($T2589="",N($X2588),IF(MATCH($T2589,$T$6:$T$10005,0)=ROW()-5,N($X2588)+1,N($X2588)))</f>
        <v>0</v>
      </c>
      <c r="Z2589" t="str">
        <f t="shared" si="409"/>
        <v/>
      </c>
      <c r="AA2589">
        <f>IF($V2589="",N($AA2588),IF(MATCH($V2589,$V$6:$V$10005,0)=ROW()-5,N($AA2588)+1,N($AA2588)))</f>
        <v>0</v>
      </c>
    </row>
    <row r="2590" spans="1:27" ht="21" customHeight="1" x14ac:dyDescent="0.95">
      <c r="A2590" s="56"/>
      <c r="B2590" s="57"/>
      <c r="C2590" s="57"/>
      <c r="D2590" s="57"/>
      <c r="E2590" s="56"/>
      <c r="F2590" s="57"/>
      <c r="G2590" s="57"/>
      <c r="H2590" s="56"/>
      <c r="I2590" s="56"/>
      <c r="J2590" s="58"/>
      <c r="K2590" s="58"/>
      <c r="L2590" s="13" t="str">
        <f t="shared" si="400"/>
        <v/>
      </c>
      <c r="M2590" s="13" t="str">
        <f t="shared" si="401"/>
        <v/>
      </c>
      <c r="Q2590" t="str">
        <f t="shared" si="402"/>
        <v/>
      </c>
      <c r="R2590" t="str">
        <f t="shared" si="403"/>
        <v/>
      </c>
      <c r="S2590" t="str">
        <f t="shared" si="404"/>
        <v/>
      </c>
      <c r="T2590" t="str">
        <f t="shared" si="405"/>
        <v/>
      </c>
      <c r="U2590" t="str">
        <f t="shared" si="406"/>
        <v/>
      </c>
      <c r="V2590" t="str">
        <f t="shared" si="407"/>
        <v/>
      </c>
      <c r="W2590" t="str">
        <f t="shared" si="408"/>
        <v/>
      </c>
      <c r="X2590">
        <f>IF($T2590="",N($X2589),IF(MATCH($T2590,$T$6:$T$10005,0)=ROW()-5,N($X2589)+1,N($X2589)))</f>
        <v>0</v>
      </c>
      <c r="Z2590" t="str">
        <f t="shared" si="409"/>
        <v/>
      </c>
      <c r="AA2590">
        <f>IF($V2590="",N($AA2589),IF(MATCH($V2590,$V$6:$V$10005,0)=ROW()-5,N($AA2589)+1,N($AA2589)))</f>
        <v>0</v>
      </c>
    </row>
    <row r="2591" spans="1:27" ht="21" customHeight="1" x14ac:dyDescent="0.95">
      <c r="A2591" s="56"/>
      <c r="B2591" s="57"/>
      <c r="C2591" s="57"/>
      <c r="D2591" s="57"/>
      <c r="E2591" s="56"/>
      <c r="F2591" s="57"/>
      <c r="G2591" s="57"/>
      <c r="H2591" s="56"/>
      <c r="I2591" s="56"/>
      <c r="J2591" s="58"/>
      <c r="K2591" s="58"/>
      <c r="L2591" s="13" t="str">
        <f t="shared" si="400"/>
        <v/>
      </c>
      <c r="M2591" s="13" t="str">
        <f t="shared" si="401"/>
        <v/>
      </c>
      <c r="Q2591" t="str">
        <f t="shared" si="402"/>
        <v/>
      </c>
      <c r="R2591" t="str">
        <f t="shared" si="403"/>
        <v/>
      </c>
      <c r="S2591" t="str">
        <f t="shared" si="404"/>
        <v/>
      </c>
      <c r="T2591" t="str">
        <f t="shared" si="405"/>
        <v/>
      </c>
      <c r="U2591" t="str">
        <f t="shared" si="406"/>
        <v/>
      </c>
      <c r="V2591" t="str">
        <f t="shared" si="407"/>
        <v/>
      </c>
      <c r="W2591" t="str">
        <f t="shared" si="408"/>
        <v/>
      </c>
      <c r="X2591">
        <f>IF($T2591="",N($X2590),IF(MATCH($T2591,$T$6:$T$10005,0)=ROW()-5,N($X2590)+1,N($X2590)))</f>
        <v>0</v>
      </c>
      <c r="Z2591" t="str">
        <f t="shared" si="409"/>
        <v/>
      </c>
      <c r="AA2591">
        <f>IF($V2591="",N($AA2590),IF(MATCH($V2591,$V$6:$V$10005,0)=ROW()-5,N($AA2590)+1,N($AA2590)))</f>
        <v>0</v>
      </c>
    </row>
    <row r="2592" spans="1:27" ht="21" customHeight="1" x14ac:dyDescent="0.95">
      <c r="A2592" s="56"/>
      <c r="B2592" s="57"/>
      <c r="C2592" s="57"/>
      <c r="D2592" s="57"/>
      <c r="E2592" s="56"/>
      <c r="F2592" s="57"/>
      <c r="G2592" s="57"/>
      <c r="H2592" s="56"/>
      <c r="I2592" s="56"/>
      <c r="J2592" s="58"/>
      <c r="K2592" s="58"/>
      <c r="L2592" s="13" t="str">
        <f t="shared" si="400"/>
        <v/>
      </c>
      <c r="M2592" s="13" t="str">
        <f t="shared" si="401"/>
        <v/>
      </c>
      <c r="Q2592" t="str">
        <f t="shared" si="402"/>
        <v/>
      </c>
      <c r="R2592" t="str">
        <f t="shared" si="403"/>
        <v/>
      </c>
      <c r="S2592" t="str">
        <f t="shared" si="404"/>
        <v/>
      </c>
      <c r="T2592" t="str">
        <f t="shared" si="405"/>
        <v/>
      </c>
      <c r="U2592" t="str">
        <f t="shared" si="406"/>
        <v/>
      </c>
      <c r="V2592" t="str">
        <f t="shared" si="407"/>
        <v/>
      </c>
      <c r="W2592" t="str">
        <f t="shared" si="408"/>
        <v/>
      </c>
      <c r="X2592">
        <f>IF($T2592="",N($X2591),IF(MATCH($T2592,$T$6:$T$10005,0)=ROW()-5,N($X2591)+1,N($X2591)))</f>
        <v>0</v>
      </c>
      <c r="Z2592" t="str">
        <f t="shared" si="409"/>
        <v/>
      </c>
      <c r="AA2592">
        <f>IF($V2592="",N($AA2591),IF(MATCH($V2592,$V$6:$V$10005,0)=ROW()-5,N($AA2591)+1,N($AA2591)))</f>
        <v>0</v>
      </c>
    </row>
    <row r="2593" spans="1:27" ht="21" customHeight="1" x14ac:dyDescent="0.95">
      <c r="A2593" s="56"/>
      <c r="B2593" s="57"/>
      <c r="C2593" s="57"/>
      <c r="D2593" s="57"/>
      <c r="E2593" s="56"/>
      <c r="F2593" s="57"/>
      <c r="G2593" s="57"/>
      <c r="H2593" s="56"/>
      <c r="I2593" s="56"/>
      <c r="J2593" s="58"/>
      <c r="K2593" s="58"/>
      <c r="L2593" s="13" t="str">
        <f t="shared" si="400"/>
        <v/>
      </c>
      <c r="M2593" s="13" t="str">
        <f t="shared" si="401"/>
        <v/>
      </c>
      <c r="Q2593" t="str">
        <f t="shared" si="402"/>
        <v/>
      </c>
      <c r="R2593" t="str">
        <f t="shared" si="403"/>
        <v/>
      </c>
      <c r="S2593" t="str">
        <f t="shared" si="404"/>
        <v/>
      </c>
      <c r="T2593" t="str">
        <f t="shared" si="405"/>
        <v/>
      </c>
      <c r="U2593" t="str">
        <f t="shared" si="406"/>
        <v/>
      </c>
      <c r="V2593" t="str">
        <f t="shared" si="407"/>
        <v/>
      </c>
      <c r="W2593" t="str">
        <f t="shared" si="408"/>
        <v/>
      </c>
      <c r="X2593">
        <f>IF($T2593="",N($X2592),IF(MATCH($T2593,$T$6:$T$10005,0)=ROW()-5,N($X2592)+1,N($X2592)))</f>
        <v>0</v>
      </c>
      <c r="Z2593" t="str">
        <f t="shared" si="409"/>
        <v/>
      </c>
      <c r="AA2593">
        <f>IF($V2593="",N($AA2592),IF(MATCH($V2593,$V$6:$V$10005,0)=ROW()-5,N($AA2592)+1,N($AA2592)))</f>
        <v>0</v>
      </c>
    </row>
    <row r="2594" spans="1:27" ht="21" customHeight="1" x14ac:dyDescent="0.95">
      <c r="A2594" s="56"/>
      <c r="B2594" s="57"/>
      <c r="C2594" s="57"/>
      <c r="D2594" s="57"/>
      <c r="E2594" s="56"/>
      <c r="F2594" s="57"/>
      <c r="G2594" s="57"/>
      <c r="H2594" s="56"/>
      <c r="I2594" s="56"/>
      <c r="J2594" s="58"/>
      <c r="K2594" s="58"/>
      <c r="L2594" s="13" t="str">
        <f t="shared" si="400"/>
        <v/>
      </c>
      <c r="M2594" s="13" t="str">
        <f t="shared" si="401"/>
        <v/>
      </c>
      <c r="Q2594" t="str">
        <f t="shared" si="402"/>
        <v/>
      </c>
      <c r="R2594" t="str">
        <f t="shared" si="403"/>
        <v/>
      </c>
      <c r="S2594" t="str">
        <f t="shared" si="404"/>
        <v/>
      </c>
      <c r="T2594" t="str">
        <f t="shared" si="405"/>
        <v/>
      </c>
      <c r="U2594" t="str">
        <f t="shared" si="406"/>
        <v/>
      </c>
      <c r="V2594" t="str">
        <f t="shared" si="407"/>
        <v/>
      </c>
      <c r="W2594" t="str">
        <f t="shared" si="408"/>
        <v/>
      </c>
      <c r="X2594">
        <f>IF($T2594="",N($X2593),IF(MATCH($T2594,$T$6:$T$10005,0)=ROW()-5,N($X2593)+1,N($X2593)))</f>
        <v>0</v>
      </c>
      <c r="Z2594" t="str">
        <f t="shared" si="409"/>
        <v/>
      </c>
      <c r="AA2594">
        <f>IF($V2594="",N($AA2593),IF(MATCH($V2594,$V$6:$V$10005,0)=ROW()-5,N($AA2593)+1,N($AA2593)))</f>
        <v>0</v>
      </c>
    </row>
    <row r="2595" spans="1:27" ht="21" customHeight="1" x14ac:dyDescent="0.95">
      <c r="A2595" s="56"/>
      <c r="B2595" s="57"/>
      <c r="C2595" s="57"/>
      <c r="D2595" s="57"/>
      <c r="E2595" s="56"/>
      <c r="F2595" s="57"/>
      <c r="G2595" s="57"/>
      <c r="H2595" s="56"/>
      <c r="I2595" s="56"/>
      <c r="J2595" s="58"/>
      <c r="K2595" s="58"/>
      <c r="L2595" s="13" t="str">
        <f t="shared" si="400"/>
        <v/>
      </c>
      <c r="M2595" s="13" t="str">
        <f t="shared" si="401"/>
        <v/>
      </c>
      <c r="Q2595" t="str">
        <f t="shared" si="402"/>
        <v/>
      </c>
      <c r="R2595" t="str">
        <f t="shared" si="403"/>
        <v/>
      </c>
      <c r="S2595" t="str">
        <f t="shared" si="404"/>
        <v/>
      </c>
      <c r="T2595" t="str">
        <f t="shared" si="405"/>
        <v/>
      </c>
      <c r="U2595" t="str">
        <f t="shared" si="406"/>
        <v/>
      </c>
      <c r="V2595" t="str">
        <f t="shared" si="407"/>
        <v/>
      </c>
      <c r="W2595" t="str">
        <f t="shared" si="408"/>
        <v/>
      </c>
      <c r="X2595">
        <f>IF($T2595="",N($X2594),IF(MATCH($T2595,$T$6:$T$10005,0)=ROW()-5,N($X2594)+1,N($X2594)))</f>
        <v>0</v>
      </c>
      <c r="Z2595" t="str">
        <f t="shared" si="409"/>
        <v/>
      </c>
      <c r="AA2595">
        <f>IF($V2595="",N($AA2594),IF(MATCH($V2595,$V$6:$V$10005,0)=ROW()-5,N($AA2594)+1,N($AA2594)))</f>
        <v>0</v>
      </c>
    </row>
    <row r="2596" spans="1:27" ht="21" customHeight="1" x14ac:dyDescent="0.95">
      <c r="A2596" s="56"/>
      <c r="B2596" s="57"/>
      <c r="C2596" s="57"/>
      <c r="D2596" s="57"/>
      <c r="E2596" s="56"/>
      <c r="F2596" s="57"/>
      <c r="G2596" s="57"/>
      <c r="H2596" s="56"/>
      <c r="I2596" s="56"/>
      <c r="J2596" s="58"/>
      <c r="K2596" s="58"/>
      <c r="L2596" s="13" t="str">
        <f t="shared" si="400"/>
        <v/>
      </c>
      <c r="M2596" s="13" t="str">
        <f t="shared" si="401"/>
        <v/>
      </c>
      <c r="Q2596" t="str">
        <f t="shared" si="402"/>
        <v/>
      </c>
      <c r="R2596" t="str">
        <f t="shared" si="403"/>
        <v/>
      </c>
      <c r="S2596" t="str">
        <f t="shared" si="404"/>
        <v/>
      </c>
      <c r="T2596" t="str">
        <f t="shared" si="405"/>
        <v/>
      </c>
      <c r="U2596" t="str">
        <f t="shared" si="406"/>
        <v/>
      </c>
      <c r="V2596" t="str">
        <f t="shared" si="407"/>
        <v/>
      </c>
      <c r="W2596" t="str">
        <f t="shared" si="408"/>
        <v/>
      </c>
      <c r="X2596">
        <f>IF($T2596="",N($X2595),IF(MATCH($T2596,$T$6:$T$10005,0)=ROW()-5,N($X2595)+1,N($X2595)))</f>
        <v>0</v>
      </c>
      <c r="Z2596" t="str">
        <f t="shared" si="409"/>
        <v/>
      </c>
      <c r="AA2596">
        <f>IF($V2596="",N($AA2595),IF(MATCH($V2596,$V$6:$V$10005,0)=ROW()-5,N($AA2595)+1,N($AA2595)))</f>
        <v>0</v>
      </c>
    </row>
    <row r="2597" spans="1:27" ht="21" customHeight="1" x14ac:dyDescent="0.95">
      <c r="A2597" s="56"/>
      <c r="B2597" s="57"/>
      <c r="C2597" s="57"/>
      <c r="D2597" s="57"/>
      <c r="E2597" s="56"/>
      <c r="F2597" s="57"/>
      <c r="G2597" s="57"/>
      <c r="H2597" s="56"/>
      <c r="I2597" s="56"/>
      <c r="J2597" s="58"/>
      <c r="K2597" s="58"/>
      <c r="L2597" s="13" t="str">
        <f t="shared" si="400"/>
        <v/>
      </c>
      <c r="M2597" s="13" t="str">
        <f t="shared" si="401"/>
        <v/>
      </c>
      <c r="Q2597" t="str">
        <f t="shared" si="402"/>
        <v/>
      </c>
      <c r="R2597" t="str">
        <f t="shared" si="403"/>
        <v/>
      </c>
      <c r="S2597" t="str">
        <f t="shared" si="404"/>
        <v/>
      </c>
      <c r="T2597" t="str">
        <f t="shared" si="405"/>
        <v/>
      </c>
      <c r="U2597" t="str">
        <f t="shared" si="406"/>
        <v/>
      </c>
      <c r="V2597" t="str">
        <f t="shared" si="407"/>
        <v/>
      </c>
      <c r="W2597" t="str">
        <f t="shared" si="408"/>
        <v/>
      </c>
      <c r="X2597">
        <f>IF($T2597="",N($X2596),IF(MATCH($T2597,$T$6:$T$10005,0)=ROW()-5,N($X2596)+1,N($X2596)))</f>
        <v>0</v>
      </c>
      <c r="Z2597" t="str">
        <f t="shared" si="409"/>
        <v/>
      </c>
      <c r="AA2597">
        <f>IF($V2597="",N($AA2596),IF(MATCH($V2597,$V$6:$V$10005,0)=ROW()-5,N($AA2596)+1,N($AA2596)))</f>
        <v>0</v>
      </c>
    </row>
    <row r="2598" spans="1:27" ht="21" customHeight="1" x14ac:dyDescent="0.95">
      <c r="A2598" s="56"/>
      <c r="B2598" s="57"/>
      <c r="C2598" s="57"/>
      <c r="D2598" s="57"/>
      <c r="E2598" s="56"/>
      <c r="F2598" s="57"/>
      <c r="G2598" s="57"/>
      <c r="H2598" s="56"/>
      <c r="I2598" s="56"/>
      <c r="J2598" s="58"/>
      <c r="K2598" s="58"/>
      <c r="L2598" s="13" t="str">
        <f t="shared" si="400"/>
        <v/>
      </c>
      <c r="M2598" s="13" t="str">
        <f t="shared" si="401"/>
        <v/>
      </c>
      <c r="Q2598" t="str">
        <f t="shared" si="402"/>
        <v/>
      </c>
      <c r="R2598" t="str">
        <f t="shared" si="403"/>
        <v/>
      </c>
      <c r="S2598" t="str">
        <f t="shared" si="404"/>
        <v/>
      </c>
      <c r="T2598" t="str">
        <f t="shared" si="405"/>
        <v/>
      </c>
      <c r="U2598" t="str">
        <f t="shared" si="406"/>
        <v/>
      </c>
      <c r="V2598" t="str">
        <f t="shared" si="407"/>
        <v/>
      </c>
      <c r="W2598" t="str">
        <f t="shared" si="408"/>
        <v/>
      </c>
      <c r="X2598">
        <f>IF($T2598="",N($X2597),IF(MATCH($T2598,$T$6:$T$10005,0)=ROW()-5,N($X2597)+1,N($X2597)))</f>
        <v>0</v>
      </c>
      <c r="Z2598" t="str">
        <f t="shared" si="409"/>
        <v/>
      </c>
      <c r="AA2598">
        <f>IF($V2598="",N($AA2597),IF(MATCH($V2598,$V$6:$V$10005,0)=ROW()-5,N($AA2597)+1,N($AA2597)))</f>
        <v>0</v>
      </c>
    </row>
    <row r="2599" spans="1:27" ht="21" customHeight="1" x14ac:dyDescent="0.95">
      <c r="A2599" s="56"/>
      <c r="B2599" s="57"/>
      <c r="C2599" s="57"/>
      <c r="D2599" s="57"/>
      <c r="E2599" s="56"/>
      <c r="F2599" s="57"/>
      <c r="G2599" s="57"/>
      <c r="H2599" s="56"/>
      <c r="I2599" s="56"/>
      <c r="J2599" s="58"/>
      <c r="K2599" s="58"/>
      <c r="L2599" s="13" t="str">
        <f t="shared" si="400"/>
        <v/>
      </c>
      <c r="M2599" s="13" t="str">
        <f t="shared" si="401"/>
        <v/>
      </c>
      <c r="Q2599" t="str">
        <f t="shared" si="402"/>
        <v/>
      </c>
      <c r="R2599" t="str">
        <f t="shared" si="403"/>
        <v/>
      </c>
      <c r="S2599" t="str">
        <f t="shared" si="404"/>
        <v/>
      </c>
      <c r="T2599" t="str">
        <f t="shared" si="405"/>
        <v/>
      </c>
      <c r="U2599" t="str">
        <f t="shared" si="406"/>
        <v/>
      </c>
      <c r="V2599" t="str">
        <f t="shared" si="407"/>
        <v/>
      </c>
      <c r="W2599" t="str">
        <f t="shared" si="408"/>
        <v/>
      </c>
      <c r="X2599">
        <f>IF($T2599="",N($X2598),IF(MATCH($T2599,$T$6:$T$10005,0)=ROW()-5,N($X2598)+1,N($X2598)))</f>
        <v>0</v>
      </c>
      <c r="Z2599" t="str">
        <f t="shared" si="409"/>
        <v/>
      </c>
      <c r="AA2599">
        <f>IF($V2599="",N($AA2598),IF(MATCH($V2599,$V$6:$V$10005,0)=ROW()-5,N($AA2598)+1,N($AA2598)))</f>
        <v>0</v>
      </c>
    </row>
    <row r="2600" spans="1:27" ht="21" customHeight="1" x14ac:dyDescent="0.95">
      <c r="A2600" s="56"/>
      <c r="B2600" s="57"/>
      <c r="C2600" s="57"/>
      <c r="D2600" s="57"/>
      <c r="E2600" s="56"/>
      <c r="F2600" s="57"/>
      <c r="G2600" s="57"/>
      <c r="H2600" s="56"/>
      <c r="I2600" s="56"/>
      <c r="J2600" s="58"/>
      <c r="K2600" s="58"/>
      <c r="L2600" s="13" t="str">
        <f t="shared" si="400"/>
        <v/>
      </c>
      <c r="M2600" s="13" t="str">
        <f t="shared" si="401"/>
        <v/>
      </c>
      <c r="Q2600" t="str">
        <f t="shared" si="402"/>
        <v/>
      </c>
      <c r="R2600" t="str">
        <f t="shared" si="403"/>
        <v/>
      </c>
      <c r="S2600" t="str">
        <f t="shared" si="404"/>
        <v/>
      </c>
      <c r="T2600" t="str">
        <f t="shared" si="405"/>
        <v/>
      </c>
      <c r="U2600" t="str">
        <f t="shared" si="406"/>
        <v/>
      </c>
      <c r="V2600" t="str">
        <f t="shared" si="407"/>
        <v/>
      </c>
      <c r="W2600" t="str">
        <f t="shared" si="408"/>
        <v/>
      </c>
      <c r="X2600">
        <f>IF($T2600="",N($X2599),IF(MATCH($T2600,$T$6:$T$10005,0)=ROW()-5,N($X2599)+1,N($X2599)))</f>
        <v>0</v>
      </c>
      <c r="Z2600" t="str">
        <f t="shared" si="409"/>
        <v/>
      </c>
      <c r="AA2600">
        <f>IF($V2600="",N($AA2599),IF(MATCH($V2600,$V$6:$V$10005,0)=ROW()-5,N($AA2599)+1,N($AA2599)))</f>
        <v>0</v>
      </c>
    </row>
    <row r="2601" spans="1:27" ht="21" customHeight="1" x14ac:dyDescent="0.95">
      <c r="A2601" s="56"/>
      <c r="B2601" s="57"/>
      <c r="C2601" s="57"/>
      <c r="D2601" s="57"/>
      <c r="E2601" s="56"/>
      <c r="F2601" s="57"/>
      <c r="G2601" s="57"/>
      <c r="H2601" s="56"/>
      <c r="I2601" s="56"/>
      <c r="J2601" s="58"/>
      <c r="K2601" s="58"/>
      <c r="L2601" s="13" t="str">
        <f t="shared" si="400"/>
        <v/>
      </c>
      <c r="M2601" s="13" t="str">
        <f t="shared" si="401"/>
        <v/>
      </c>
      <c r="Q2601" t="str">
        <f t="shared" si="402"/>
        <v/>
      </c>
      <c r="R2601" t="str">
        <f t="shared" si="403"/>
        <v/>
      </c>
      <c r="S2601" t="str">
        <f t="shared" si="404"/>
        <v/>
      </c>
      <c r="T2601" t="str">
        <f t="shared" si="405"/>
        <v/>
      </c>
      <c r="U2601" t="str">
        <f t="shared" si="406"/>
        <v/>
      </c>
      <c r="V2601" t="str">
        <f t="shared" si="407"/>
        <v/>
      </c>
      <c r="W2601" t="str">
        <f t="shared" si="408"/>
        <v/>
      </c>
      <c r="X2601">
        <f>IF($T2601="",N($X2600),IF(MATCH($T2601,$T$6:$T$10005,0)=ROW()-5,N($X2600)+1,N($X2600)))</f>
        <v>0</v>
      </c>
      <c r="Z2601" t="str">
        <f t="shared" si="409"/>
        <v/>
      </c>
      <c r="AA2601">
        <f>IF($V2601="",N($AA2600),IF(MATCH($V2601,$V$6:$V$10005,0)=ROW()-5,N($AA2600)+1,N($AA2600)))</f>
        <v>0</v>
      </c>
    </row>
    <row r="2602" spans="1:27" ht="21" customHeight="1" x14ac:dyDescent="0.95">
      <c r="A2602" s="56"/>
      <c r="B2602" s="57"/>
      <c r="C2602" s="57"/>
      <c r="D2602" s="57"/>
      <c r="E2602" s="56"/>
      <c r="F2602" s="57"/>
      <c r="G2602" s="57"/>
      <c r="H2602" s="56"/>
      <c r="I2602" s="56"/>
      <c r="J2602" s="58"/>
      <c r="K2602" s="58"/>
      <c r="L2602" s="13" t="str">
        <f t="shared" si="400"/>
        <v/>
      </c>
      <c r="M2602" s="13" t="str">
        <f t="shared" si="401"/>
        <v/>
      </c>
      <c r="Q2602" t="str">
        <f t="shared" si="402"/>
        <v/>
      </c>
      <c r="R2602" t="str">
        <f t="shared" si="403"/>
        <v/>
      </c>
      <c r="S2602" t="str">
        <f t="shared" si="404"/>
        <v/>
      </c>
      <c r="T2602" t="str">
        <f t="shared" si="405"/>
        <v/>
      </c>
      <c r="U2602" t="str">
        <f t="shared" si="406"/>
        <v/>
      </c>
      <c r="V2602" t="str">
        <f t="shared" si="407"/>
        <v/>
      </c>
      <c r="W2602" t="str">
        <f t="shared" si="408"/>
        <v/>
      </c>
      <c r="X2602">
        <f>IF($T2602="",N($X2601),IF(MATCH($T2602,$T$6:$T$10005,0)=ROW()-5,N($X2601)+1,N($X2601)))</f>
        <v>0</v>
      </c>
      <c r="Z2602" t="str">
        <f t="shared" si="409"/>
        <v/>
      </c>
      <c r="AA2602">
        <f>IF($V2602="",N($AA2601),IF(MATCH($V2602,$V$6:$V$10005,0)=ROW()-5,N($AA2601)+1,N($AA2601)))</f>
        <v>0</v>
      </c>
    </row>
    <row r="2603" spans="1:27" ht="21" customHeight="1" x14ac:dyDescent="0.95">
      <c r="A2603" s="56"/>
      <c r="B2603" s="57"/>
      <c r="C2603" s="57"/>
      <c r="D2603" s="57"/>
      <c r="E2603" s="56"/>
      <c r="F2603" s="57"/>
      <c r="G2603" s="57"/>
      <c r="H2603" s="56"/>
      <c r="I2603" s="56"/>
      <c r="J2603" s="58"/>
      <c r="K2603" s="58"/>
      <c r="L2603" s="13" t="str">
        <f t="shared" si="400"/>
        <v/>
      </c>
      <c r="M2603" s="13" t="str">
        <f t="shared" si="401"/>
        <v/>
      </c>
      <c r="Q2603" t="str">
        <f t="shared" si="402"/>
        <v/>
      </c>
      <c r="R2603" t="str">
        <f t="shared" si="403"/>
        <v/>
      </c>
      <c r="S2603" t="str">
        <f t="shared" si="404"/>
        <v/>
      </c>
      <c r="T2603" t="str">
        <f t="shared" si="405"/>
        <v/>
      </c>
      <c r="U2603" t="str">
        <f t="shared" si="406"/>
        <v/>
      </c>
      <c r="V2603" t="str">
        <f t="shared" si="407"/>
        <v/>
      </c>
      <c r="W2603" t="str">
        <f t="shared" si="408"/>
        <v/>
      </c>
      <c r="X2603">
        <f>IF($T2603="",N($X2602),IF(MATCH($T2603,$T$6:$T$10005,0)=ROW()-5,N($X2602)+1,N($X2602)))</f>
        <v>0</v>
      </c>
      <c r="Z2603" t="str">
        <f t="shared" si="409"/>
        <v/>
      </c>
      <c r="AA2603">
        <f>IF($V2603="",N($AA2602),IF(MATCH($V2603,$V$6:$V$10005,0)=ROW()-5,N($AA2602)+1,N($AA2602)))</f>
        <v>0</v>
      </c>
    </row>
    <row r="2604" spans="1:27" ht="21" customHeight="1" x14ac:dyDescent="0.95">
      <c r="A2604" s="56"/>
      <c r="B2604" s="57"/>
      <c r="C2604" s="57"/>
      <c r="D2604" s="57"/>
      <c r="E2604" s="56"/>
      <c r="F2604" s="57"/>
      <c r="G2604" s="57"/>
      <c r="H2604" s="56"/>
      <c r="I2604" s="56"/>
      <c r="J2604" s="58"/>
      <c r="K2604" s="58"/>
      <c r="L2604" s="13" t="str">
        <f t="shared" si="400"/>
        <v/>
      </c>
      <c r="M2604" s="13" t="str">
        <f t="shared" si="401"/>
        <v/>
      </c>
      <c r="Q2604" t="str">
        <f t="shared" si="402"/>
        <v/>
      </c>
      <c r="R2604" t="str">
        <f t="shared" si="403"/>
        <v/>
      </c>
      <c r="S2604" t="str">
        <f t="shared" si="404"/>
        <v/>
      </c>
      <c r="T2604" t="str">
        <f t="shared" si="405"/>
        <v/>
      </c>
      <c r="U2604" t="str">
        <f t="shared" si="406"/>
        <v/>
      </c>
      <c r="V2604" t="str">
        <f t="shared" si="407"/>
        <v/>
      </c>
      <c r="W2604" t="str">
        <f t="shared" si="408"/>
        <v/>
      </c>
      <c r="X2604">
        <f>IF($T2604="",N($X2603),IF(MATCH($T2604,$T$6:$T$10005,0)=ROW()-5,N($X2603)+1,N($X2603)))</f>
        <v>0</v>
      </c>
      <c r="Z2604" t="str">
        <f t="shared" si="409"/>
        <v/>
      </c>
      <c r="AA2604">
        <f>IF($V2604="",N($AA2603),IF(MATCH($V2604,$V$6:$V$10005,0)=ROW()-5,N($AA2603)+1,N($AA2603)))</f>
        <v>0</v>
      </c>
    </row>
    <row r="2605" spans="1:27" ht="21" customHeight="1" x14ac:dyDescent="0.95">
      <c r="A2605" s="56"/>
      <c r="B2605" s="57"/>
      <c r="C2605" s="57"/>
      <c r="D2605" s="57"/>
      <c r="E2605" s="56"/>
      <c r="F2605" s="57"/>
      <c r="G2605" s="57"/>
      <c r="H2605" s="56"/>
      <c r="I2605" s="56"/>
      <c r="J2605" s="58"/>
      <c r="K2605" s="58"/>
      <c r="L2605" s="13" t="str">
        <f t="shared" si="400"/>
        <v/>
      </c>
      <c r="M2605" s="13" t="str">
        <f t="shared" si="401"/>
        <v/>
      </c>
      <c r="Q2605" t="str">
        <f t="shared" si="402"/>
        <v/>
      </c>
      <c r="R2605" t="str">
        <f t="shared" si="403"/>
        <v/>
      </c>
      <c r="S2605" t="str">
        <f t="shared" si="404"/>
        <v/>
      </c>
      <c r="T2605" t="str">
        <f t="shared" si="405"/>
        <v/>
      </c>
      <c r="U2605" t="str">
        <f t="shared" si="406"/>
        <v/>
      </c>
      <c r="V2605" t="str">
        <f t="shared" si="407"/>
        <v/>
      </c>
      <c r="W2605" t="str">
        <f t="shared" si="408"/>
        <v/>
      </c>
      <c r="X2605">
        <f>IF($T2605="",N($X2604),IF(MATCH($T2605,$T$6:$T$10005,0)=ROW()-5,N($X2604)+1,N($X2604)))</f>
        <v>0</v>
      </c>
      <c r="Z2605" t="str">
        <f t="shared" si="409"/>
        <v/>
      </c>
      <c r="AA2605">
        <f>IF($V2605="",N($AA2604),IF(MATCH($V2605,$V$6:$V$10005,0)=ROW()-5,N($AA2604)+1,N($AA2604)))</f>
        <v>0</v>
      </c>
    </row>
    <row r="2606" spans="1:27" ht="21" customHeight="1" x14ac:dyDescent="0.95">
      <c r="A2606" s="56"/>
      <c r="B2606" s="57"/>
      <c r="C2606" s="57"/>
      <c r="D2606" s="57"/>
      <c r="E2606" s="56"/>
      <c r="F2606" s="57"/>
      <c r="G2606" s="57"/>
      <c r="H2606" s="56"/>
      <c r="I2606" s="56"/>
      <c r="J2606" s="58"/>
      <c r="K2606" s="58"/>
      <c r="L2606" s="13" t="str">
        <f t="shared" si="400"/>
        <v/>
      </c>
      <c r="M2606" s="13" t="str">
        <f t="shared" si="401"/>
        <v/>
      </c>
      <c r="Q2606" t="str">
        <f t="shared" si="402"/>
        <v/>
      </c>
      <c r="R2606" t="str">
        <f t="shared" si="403"/>
        <v/>
      </c>
      <c r="S2606" t="str">
        <f t="shared" si="404"/>
        <v/>
      </c>
      <c r="T2606" t="str">
        <f t="shared" si="405"/>
        <v/>
      </c>
      <c r="U2606" t="str">
        <f t="shared" si="406"/>
        <v/>
      </c>
      <c r="V2606" t="str">
        <f t="shared" si="407"/>
        <v/>
      </c>
      <c r="W2606" t="str">
        <f t="shared" si="408"/>
        <v/>
      </c>
      <c r="X2606">
        <f>IF($T2606="",N($X2605),IF(MATCH($T2606,$T$6:$T$10005,0)=ROW()-5,N($X2605)+1,N($X2605)))</f>
        <v>0</v>
      </c>
      <c r="Z2606" t="str">
        <f t="shared" si="409"/>
        <v/>
      </c>
      <c r="AA2606">
        <f>IF($V2606="",N($AA2605),IF(MATCH($V2606,$V$6:$V$10005,0)=ROW()-5,N($AA2605)+1,N($AA2605)))</f>
        <v>0</v>
      </c>
    </row>
    <row r="2607" spans="1:27" ht="21" customHeight="1" x14ac:dyDescent="0.95">
      <c r="A2607" s="56"/>
      <c r="B2607" s="57"/>
      <c r="C2607" s="57"/>
      <c r="D2607" s="57"/>
      <c r="E2607" s="56"/>
      <c r="F2607" s="57"/>
      <c r="G2607" s="57"/>
      <c r="H2607" s="56"/>
      <c r="I2607" s="56"/>
      <c r="J2607" s="58"/>
      <c r="K2607" s="58"/>
      <c r="L2607" s="13" t="str">
        <f t="shared" si="400"/>
        <v/>
      </c>
      <c r="M2607" s="13" t="str">
        <f t="shared" si="401"/>
        <v/>
      </c>
      <c r="Q2607" t="str">
        <f t="shared" si="402"/>
        <v/>
      </c>
      <c r="R2607" t="str">
        <f t="shared" si="403"/>
        <v/>
      </c>
      <c r="S2607" t="str">
        <f t="shared" si="404"/>
        <v/>
      </c>
      <c r="T2607" t="str">
        <f t="shared" si="405"/>
        <v/>
      </c>
      <c r="U2607" t="str">
        <f t="shared" si="406"/>
        <v/>
      </c>
      <c r="V2607" t="str">
        <f t="shared" si="407"/>
        <v/>
      </c>
      <c r="W2607" t="str">
        <f t="shared" si="408"/>
        <v/>
      </c>
      <c r="X2607">
        <f>IF($T2607="",N($X2606),IF(MATCH($T2607,$T$6:$T$10005,0)=ROW()-5,N($X2606)+1,N($X2606)))</f>
        <v>0</v>
      </c>
      <c r="Z2607" t="str">
        <f t="shared" si="409"/>
        <v/>
      </c>
      <c r="AA2607">
        <f>IF($V2607="",N($AA2606),IF(MATCH($V2607,$V$6:$V$10005,0)=ROW()-5,N($AA2606)+1,N($AA2606)))</f>
        <v>0</v>
      </c>
    </row>
    <row r="2608" spans="1:27" ht="21" customHeight="1" x14ac:dyDescent="0.95">
      <c r="A2608" s="56"/>
      <c r="B2608" s="57"/>
      <c r="C2608" s="57"/>
      <c r="D2608" s="57"/>
      <c r="E2608" s="56"/>
      <c r="F2608" s="57"/>
      <c r="G2608" s="57"/>
      <c r="H2608" s="56"/>
      <c r="I2608" s="56"/>
      <c r="J2608" s="58"/>
      <c r="K2608" s="58"/>
      <c r="L2608" s="13" t="str">
        <f t="shared" si="400"/>
        <v/>
      </c>
      <c r="M2608" s="13" t="str">
        <f t="shared" si="401"/>
        <v/>
      </c>
      <c r="Q2608" t="str">
        <f t="shared" si="402"/>
        <v/>
      </c>
      <c r="R2608" t="str">
        <f t="shared" si="403"/>
        <v/>
      </c>
      <c r="S2608" t="str">
        <f t="shared" si="404"/>
        <v/>
      </c>
      <c r="T2608" t="str">
        <f t="shared" si="405"/>
        <v/>
      </c>
      <c r="U2608" t="str">
        <f t="shared" si="406"/>
        <v/>
      </c>
      <c r="V2608" t="str">
        <f t="shared" si="407"/>
        <v/>
      </c>
      <c r="W2608" t="str">
        <f t="shared" si="408"/>
        <v/>
      </c>
      <c r="X2608">
        <f>IF($T2608="",N($X2607),IF(MATCH($T2608,$T$6:$T$10005,0)=ROW()-5,N($X2607)+1,N($X2607)))</f>
        <v>0</v>
      </c>
      <c r="Z2608" t="str">
        <f t="shared" si="409"/>
        <v/>
      </c>
      <c r="AA2608">
        <f>IF($V2608="",N($AA2607),IF(MATCH($V2608,$V$6:$V$10005,0)=ROW()-5,N($AA2607)+1,N($AA2607)))</f>
        <v>0</v>
      </c>
    </row>
    <row r="2609" spans="1:27" ht="21" customHeight="1" x14ac:dyDescent="0.95">
      <c r="A2609" s="56"/>
      <c r="B2609" s="57"/>
      <c r="C2609" s="57"/>
      <c r="D2609" s="57"/>
      <c r="E2609" s="56"/>
      <c r="F2609" s="57"/>
      <c r="G2609" s="57"/>
      <c r="H2609" s="56"/>
      <c r="I2609" s="56"/>
      <c r="J2609" s="58"/>
      <c r="K2609" s="58"/>
      <c r="L2609" s="13" t="str">
        <f t="shared" si="400"/>
        <v/>
      </c>
      <c r="M2609" s="13" t="str">
        <f t="shared" si="401"/>
        <v/>
      </c>
      <c r="Q2609" t="str">
        <f t="shared" si="402"/>
        <v/>
      </c>
      <c r="R2609" t="str">
        <f t="shared" si="403"/>
        <v/>
      </c>
      <c r="S2609" t="str">
        <f t="shared" si="404"/>
        <v/>
      </c>
      <c r="T2609" t="str">
        <f t="shared" si="405"/>
        <v/>
      </c>
      <c r="U2609" t="str">
        <f t="shared" si="406"/>
        <v/>
      </c>
      <c r="V2609" t="str">
        <f t="shared" si="407"/>
        <v/>
      </c>
      <c r="W2609" t="str">
        <f t="shared" si="408"/>
        <v/>
      </c>
      <c r="X2609">
        <f>IF($T2609="",N($X2608),IF(MATCH($T2609,$T$6:$T$10005,0)=ROW()-5,N($X2608)+1,N($X2608)))</f>
        <v>0</v>
      </c>
      <c r="Z2609" t="str">
        <f t="shared" si="409"/>
        <v/>
      </c>
      <c r="AA2609">
        <f>IF($V2609="",N($AA2608),IF(MATCH($V2609,$V$6:$V$10005,0)=ROW()-5,N($AA2608)+1,N($AA2608)))</f>
        <v>0</v>
      </c>
    </row>
    <row r="2610" spans="1:27" ht="21" customHeight="1" x14ac:dyDescent="0.95">
      <c r="A2610" s="56"/>
      <c r="B2610" s="57"/>
      <c r="C2610" s="57"/>
      <c r="D2610" s="57"/>
      <c r="E2610" s="56"/>
      <c r="F2610" s="57"/>
      <c r="G2610" s="57"/>
      <c r="H2610" s="56"/>
      <c r="I2610" s="56"/>
      <c r="J2610" s="58"/>
      <c r="K2610" s="58"/>
      <c r="L2610" s="13" t="str">
        <f t="shared" si="400"/>
        <v/>
      </c>
      <c r="M2610" s="13" t="str">
        <f t="shared" si="401"/>
        <v/>
      </c>
      <c r="Q2610" t="str">
        <f t="shared" si="402"/>
        <v/>
      </c>
      <c r="R2610" t="str">
        <f t="shared" si="403"/>
        <v/>
      </c>
      <c r="S2610" t="str">
        <f t="shared" si="404"/>
        <v/>
      </c>
      <c r="T2610" t="str">
        <f t="shared" si="405"/>
        <v/>
      </c>
      <c r="U2610" t="str">
        <f t="shared" si="406"/>
        <v/>
      </c>
      <c r="V2610" t="str">
        <f t="shared" si="407"/>
        <v/>
      </c>
      <c r="W2610" t="str">
        <f t="shared" si="408"/>
        <v/>
      </c>
      <c r="X2610">
        <f>IF($T2610="",N($X2609),IF(MATCH($T2610,$T$6:$T$10005,0)=ROW()-5,N($X2609)+1,N($X2609)))</f>
        <v>0</v>
      </c>
      <c r="Z2610" t="str">
        <f t="shared" si="409"/>
        <v/>
      </c>
      <c r="AA2610">
        <f>IF($V2610="",N($AA2609),IF(MATCH($V2610,$V$6:$V$10005,0)=ROW()-5,N($AA2609)+1,N($AA2609)))</f>
        <v>0</v>
      </c>
    </row>
    <row r="2611" spans="1:27" ht="21" customHeight="1" x14ac:dyDescent="0.95">
      <c r="A2611" s="56"/>
      <c r="B2611" s="57"/>
      <c r="C2611" s="57"/>
      <c r="D2611" s="57"/>
      <c r="E2611" s="56"/>
      <c r="F2611" s="57"/>
      <c r="G2611" s="57"/>
      <c r="H2611" s="56"/>
      <c r="I2611" s="56"/>
      <c r="J2611" s="58"/>
      <c r="K2611" s="58"/>
      <c r="L2611" s="13" t="str">
        <f t="shared" si="400"/>
        <v/>
      </c>
      <c r="M2611" s="13" t="str">
        <f t="shared" si="401"/>
        <v/>
      </c>
      <c r="Q2611" t="str">
        <f t="shared" si="402"/>
        <v/>
      </c>
      <c r="R2611" t="str">
        <f t="shared" si="403"/>
        <v/>
      </c>
      <c r="S2611" t="str">
        <f t="shared" si="404"/>
        <v/>
      </c>
      <c r="T2611" t="str">
        <f t="shared" si="405"/>
        <v/>
      </c>
      <c r="U2611" t="str">
        <f t="shared" si="406"/>
        <v/>
      </c>
      <c r="V2611" t="str">
        <f t="shared" si="407"/>
        <v/>
      </c>
      <c r="W2611" t="str">
        <f t="shared" si="408"/>
        <v/>
      </c>
      <c r="X2611">
        <f>IF($T2611="",N($X2610),IF(MATCH($T2611,$T$6:$T$10005,0)=ROW()-5,N($X2610)+1,N($X2610)))</f>
        <v>0</v>
      </c>
      <c r="Z2611" t="str">
        <f t="shared" si="409"/>
        <v/>
      </c>
      <c r="AA2611">
        <f>IF($V2611="",N($AA2610),IF(MATCH($V2611,$V$6:$V$10005,0)=ROW()-5,N($AA2610)+1,N($AA2610)))</f>
        <v>0</v>
      </c>
    </row>
    <row r="2612" spans="1:27" ht="21" customHeight="1" x14ac:dyDescent="0.95">
      <c r="A2612" s="56"/>
      <c r="B2612" s="57"/>
      <c r="C2612" s="57"/>
      <c r="D2612" s="57"/>
      <c r="E2612" s="56"/>
      <c r="F2612" s="57"/>
      <c r="G2612" s="57"/>
      <c r="H2612" s="56"/>
      <c r="I2612" s="56"/>
      <c r="J2612" s="58"/>
      <c r="K2612" s="58"/>
      <c r="L2612" s="13" t="str">
        <f t="shared" si="400"/>
        <v/>
      </c>
      <c r="M2612" s="13" t="str">
        <f t="shared" si="401"/>
        <v/>
      </c>
      <c r="Q2612" t="str">
        <f t="shared" si="402"/>
        <v/>
      </c>
      <c r="R2612" t="str">
        <f t="shared" si="403"/>
        <v/>
      </c>
      <c r="S2612" t="str">
        <f t="shared" si="404"/>
        <v/>
      </c>
      <c r="T2612" t="str">
        <f t="shared" si="405"/>
        <v/>
      </c>
      <c r="U2612" t="str">
        <f t="shared" si="406"/>
        <v/>
      </c>
      <c r="V2612" t="str">
        <f t="shared" si="407"/>
        <v/>
      </c>
      <c r="W2612" t="str">
        <f t="shared" si="408"/>
        <v/>
      </c>
      <c r="X2612">
        <f>IF($T2612="",N($X2611),IF(MATCH($T2612,$T$6:$T$10005,0)=ROW()-5,N($X2611)+1,N($X2611)))</f>
        <v>0</v>
      </c>
      <c r="Z2612" t="str">
        <f t="shared" si="409"/>
        <v/>
      </c>
      <c r="AA2612">
        <f>IF($V2612="",N($AA2611),IF(MATCH($V2612,$V$6:$V$10005,0)=ROW()-5,N($AA2611)+1,N($AA2611)))</f>
        <v>0</v>
      </c>
    </row>
    <row r="2613" spans="1:27" ht="21" customHeight="1" x14ac:dyDescent="0.95">
      <c r="A2613" s="56"/>
      <c r="B2613" s="57"/>
      <c r="C2613" s="57"/>
      <c r="D2613" s="57"/>
      <c r="E2613" s="56"/>
      <c r="F2613" s="57"/>
      <c r="G2613" s="57"/>
      <c r="H2613" s="56"/>
      <c r="I2613" s="56"/>
      <c r="J2613" s="58"/>
      <c r="K2613" s="58"/>
      <c r="L2613" s="13" t="str">
        <f t="shared" si="400"/>
        <v/>
      </c>
      <c r="M2613" s="13" t="str">
        <f t="shared" si="401"/>
        <v/>
      </c>
      <c r="Q2613" t="str">
        <f t="shared" si="402"/>
        <v/>
      </c>
      <c r="R2613" t="str">
        <f t="shared" si="403"/>
        <v/>
      </c>
      <c r="S2613" t="str">
        <f t="shared" si="404"/>
        <v/>
      </c>
      <c r="T2613" t="str">
        <f t="shared" si="405"/>
        <v/>
      </c>
      <c r="U2613" t="str">
        <f t="shared" si="406"/>
        <v/>
      </c>
      <c r="V2613" t="str">
        <f t="shared" si="407"/>
        <v/>
      </c>
      <c r="W2613" t="str">
        <f t="shared" si="408"/>
        <v/>
      </c>
      <c r="X2613">
        <f>IF($T2613="",N($X2612),IF(MATCH($T2613,$T$6:$T$10005,0)=ROW()-5,N($X2612)+1,N($X2612)))</f>
        <v>0</v>
      </c>
      <c r="Z2613" t="str">
        <f t="shared" si="409"/>
        <v/>
      </c>
      <c r="AA2613">
        <f>IF($V2613="",N($AA2612),IF(MATCH($V2613,$V$6:$V$10005,0)=ROW()-5,N($AA2612)+1,N($AA2612)))</f>
        <v>0</v>
      </c>
    </row>
    <row r="2614" spans="1:27" ht="21" customHeight="1" x14ac:dyDescent="0.95">
      <c r="A2614" s="56"/>
      <c r="B2614" s="57"/>
      <c r="C2614" s="57"/>
      <c r="D2614" s="57"/>
      <c r="E2614" s="56"/>
      <c r="F2614" s="57"/>
      <c r="G2614" s="57"/>
      <c r="H2614" s="56"/>
      <c r="I2614" s="56"/>
      <c r="J2614" s="58"/>
      <c r="K2614" s="58"/>
      <c r="L2614" s="13" t="str">
        <f t="shared" si="400"/>
        <v/>
      </c>
      <c r="M2614" s="13" t="str">
        <f t="shared" si="401"/>
        <v/>
      </c>
      <c r="Q2614" t="str">
        <f t="shared" si="402"/>
        <v/>
      </c>
      <c r="R2614" t="str">
        <f t="shared" si="403"/>
        <v/>
      </c>
      <c r="S2614" t="str">
        <f t="shared" si="404"/>
        <v/>
      </c>
      <c r="T2614" t="str">
        <f t="shared" si="405"/>
        <v/>
      </c>
      <c r="U2614" t="str">
        <f t="shared" si="406"/>
        <v/>
      </c>
      <c r="V2614" t="str">
        <f t="shared" si="407"/>
        <v/>
      </c>
      <c r="W2614" t="str">
        <f t="shared" si="408"/>
        <v/>
      </c>
      <c r="X2614">
        <f>IF($T2614="",N($X2613),IF(MATCH($T2614,$T$6:$T$10005,0)=ROW()-5,N($X2613)+1,N($X2613)))</f>
        <v>0</v>
      </c>
      <c r="Z2614" t="str">
        <f t="shared" si="409"/>
        <v/>
      </c>
      <c r="AA2614">
        <f>IF($V2614="",N($AA2613),IF(MATCH($V2614,$V$6:$V$10005,0)=ROW()-5,N($AA2613)+1,N($AA2613)))</f>
        <v>0</v>
      </c>
    </row>
    <row r="2615" spans="1:27" ht="21" customHeight="1" x14ac:dyDescent="0.95">
      <c r="A2615" s="56"/>
      <c r="B2615" s="57"/>
      <c r="C2615" s="57"/>
      <c r="D2615" s="57"/>
      <c r="E2615" s="56"/>
      <c r="F2615" s="57"/>
      <c r="G2615" s="57"/>
      <c r="H2615" s="56"/>
      <c r="I2615" s="56"/>
      <c r="J2615" s="58"/>
      <c r="K2615" s="58"/>
      <c r="L2615" s="13" t="str">
        <f t="shared" si="400"/>
        <v/>
      </c>
      <c r="M2615" s="13" t="str">
        <f t="shared" si="401"/>
        <v/>
      </c>
      <c r="Q2615" t="str">
        <f t="shared" si="402"/>
        <v/>
      </c>
      <c r="R2615" t="str">
        <f t="shared" si="403"/>
        <v/>
      </c>
      <c r="S2615" t="str">
        <f t="shared" si="404"/>
        <v/>
      </c>
      <c r="T2615" t="str">
        <f t="shared" si="405"/>
        <v/>
      </c>
      <c r="U2615" t="str">
        <f t="shared" si="406"/>
        <v/>
      </c>
      <c r="V2615" t="str">
        <f t="shared" si="407"/>
        <v/>
      </c>
      <c r="W2615" t="str">
        <f t="shared" si="408"/>
        <v/>
      </c>
      <c r="X2615">
        <f>IF($T2615="",N($X2614),IF(MATCH($T2615,$T$6:$T$10005,0)=ROW()-5,N($X2614)+1,N($X2614)))</f>
        <v>0</v>
      </c>
      <c r="Z2615" t="str">
        <f t="shared" si="409"/>
        <v/>
      </c>
      <c r="AA2615">
        <f>IF($V2615="",N($AA2614),IF(MATCH($V2615,$V$6:$V$10005,0)=ROW()-5,N($AA2614)+1,N($AA2614)))</f>
        <v>0</v>
      </c>
    </row>
    <row r="2616" spans="1:27" ht="21" customHeight="1" x14ac:dyDescent="0.95">
      <c r="A2616" s="56"/>
      <c r="B2616" s="57"/>
      <c r="C2616" s="57"/>
      <c r="D2616" s="57"/>
      <c r="E2616" s="56"/>
      <c r="F2616" s="57"/>
      <c r="G2616" s="57"/>
      <c r="H2616" s="56"/>
      <c r="I2616" s="56"/>
      <c r="J2616" s="58"/>
      <c r="K2616" s="58"/>
      <c r="L2616" s="13" t="str">
        <f t="shared" si="400"/>
        <v/>
      </c>
      <c r="M2616" s="13" t="str">
        <f t="shared" si="401"/>
        <v/>
      </c>
      <c r="Q2616" t="str">
        <f t="shared" si="402"/>
        <v/>
      </c>
      <c r="R2616" t="str">
        <f t="shared" si="403"/>
        <v/>
      </c>
      <c r="S2616" t="str">
        <f t="shared" si="404"/>
        <v/>
      </c>
      <c r="T2616" t="str">
        <f t="shared" si="405"/>
        <v/>
      </c>
      <c r="U2616" t="str">
        <f t="shared" si="406"/>
        <v/>
      </c>
      <c r="V2616" t="str">
        <f t="shared" si="407"/>
        <v/>
      </c>
      <c r="W2616" t="str">
        <f t="shared" si="408"/>
        <v/>
      </c>
      <c r="X2616">
        <f>IF($T2616="",N($X2615),IF(MATCH($T2616,$T$6:$T$10005,0)=ROW()-5,N($X2615)+1,N($X2615)))</f>
        <v>0</v>
      </c>
      <c r="Z2616" t="str">
        <f t="shared" si="409"/>
        <v/>
      </c>
      <c r="AA2616">
        <f>IF($V2616="",N($AA2615),IF(MATCH($V2616,$V$6:$V$10005,0)=ROW()-5,N($AA2615)+1,N($AA2615)))</f>
        <v>0</v>
      </c>
    </row>
    <row r="2617" spans="1:27" ht="21" customHeight="1" x14ac:dyDescent="0.95">
      <c r="A2617" s="56"/>
      <c r="B2617" s="57"/>
      <c r="C2617" s="57"/>
      <c r="D2617" s="57"/>
      <c r="E2617" s="56"/>
      <c r="F2617" s="57"/>
      <c r="G2617" s="57"/>
      <c r="H2617" s="56"/>
      <c r="I2617" s="56"/>
      <c r="J2617" s="58"/>
      <c r="K2617" s="58"/>
      <c r="L2617" s="13" t="str">
        <f t="shared" si="400"/>
        <v/>
      </c>
      <c r="M2617" s="13" t="str">
        <f t="shared" si="401"/>
        <v/>
      </c>
      <c r="Q2617" t="str">
        <f t="shared" si="402"/>
        <v/>
      </c>
      <c r="R2617" t="str">
        <f t="shared" si="403"/>
        <v/>
      </c>
      <c r="S2617" t="str">
        <f t="shared" si="404"/>
        <v/>
      </c>
      <c r="T2617" t="str">
        <f t="shared" si="405"/>
        <v/>
      </c>
      <c r="U2617" t="str">
        <f t="shared" si="406"/>
        <v/>
      </c>
      <c r="V2617" t="str">
        <f t="shared" si="407"/>
        <v/>
      </c>
      <c r="W2617" t="str">
        <f t="shared" si="408"/>
        <v/>
      </c>
      <c r="X2617">
        <f>IF($T2617="",N($X2616),IF(MATCH($T2617,$T$6:$T$10005,0)=ROW()-5,N($X2616)+1,N($X2616)))</f>
        <v>0</v>
      </c>
      <c r="Z2617" t="str">
        <f t="shared" si="409"/>
        <v/>
      </c>
      <c r="AA2617">
        <f>IF($V2617="",N($AA2616),IF(MATCH($V2617,$V$6:$V$10005,0)=ROW()-5,N($AA2616)+1,N($AA2616)))</f>
        <v>0</v>
      </c>
    </row>
    <row r="2618" spans="1:27" ht="21" customHeight="1" x14ac:dyDescent="0.95">
      <c r="A2618" s="56"/>
      <c r="B2618" s="57"/>
      <c r="C2618" s="57"/>
      <c r="D2618" s="57"/>
      <c r="E2618" s="56"/>
      <c r="F2618" s="57"/>
      <c r="G2618" s="57"/>
      <c r="H2618" s="56"/>
      <c r="I2618" s="56"/>
      <c r="J2618" s="58"/>
      <c r="K2618" s="58"/>
      <c r="L2618" s="13" t="str">
        <f t="shared" si="400"/>
        <v/>
      </c>
      <c r="M2618" s="13" t="str">
        <f t="shared" si="401"/>
        <v/>
      </c>
      <c r="Q2618" t="str">
        <f t="shared" si="402"/>
        <v/>
      </c>
      <c r="R2618" t="str">
        <f t="shared" si="403"/>
        <v/>
      </c>
      <c r="S2618" t="str">
        <f t="shared" si="404"/>
        <v/>
      </c>
      <c r="T2618" t="str">
        <f t="shared" si="405"/>
        <v/>
      </c>
      <c r="U2618" t="str">
        <f t="shared" si="406"/>
        <v/>
      </c>
      <c r="V2618" t="str">
        <f t="shared" si="407"/>
        <v/>
      </c>
      <c r="W2618" t="str">
        <f t="shared" si="408"/>
        <v/>
      </c>
      <c r="X2618">
        <f>IF($T2618="",N($X2617),IF(MATCH($T2618,$T$6:$T$10005,0)=ROW()-5,N($X2617)+1,N($X2617)))</f>
        <v>0</v>
      </c>
      <c r="Z2618" t="str">
        <f t="shared" si="409"/>
        <v/>
      </c>
      <c r="AA2618">
        <f>IF($V2618="",N($AA2617),IF(MATCH($V2618,$V$6:$V$10005,0)=ROW()-5,N($AA2617)+1,N($AA2617)))</f>
        <v>0</v>
      </c>
    </row>
    <row r="2619" spans="1:27" ht="21" customHeight="1" x14ac:dyDescent="0.95">
      <c r="A2619" s="56"/>
      <c r="B2619" s="57"/>
      <c r="C2619" s="57"/>
      <c r="D2619" s="57"/>
      <c r="E2619" s="56"/>
      <c r="F2619" s="57"/>
      <c r="G2619" s="57"/>
      <c r="H2619" s="56"/>
      <c r="I2619" s="56"/>
      <c r="J2619" s="58"/>
      <c r="K2619" s="58"/>
      <c r="L2619" s="13" t="str">
        <f t="shared" si="400"/>
        <v/>
      </c>
      <c r="M2619" s="13" t="str">
        <f t="shared" si="401"/>
        <v/>
      </c>
      <c r="Q2619" t="str">
        <f t="shared" si="402"/>
        <v/>
      </c>
      <c r="R2619" t="str">
        <f t="shared" si="403"/>
        <v/>
      </c>
      <c r="S2619" t="str">
        <f t="shared" si="404"/>
        <v/>
      </c>
      <c r="T2619" t="str">
        <f t="shared" si="405"/>
        <v/>
      </c>
      <c r="U2619" t="str">
        <f t="shared" si="406"/>
        <v/>
      </c>
      <c r="V2619" t="str">
        <f t="shared" si="407"/>
        <v/>
      </c>
      <c r="W2619" t="str">
        <f t="shared" si="408"/>
        <v/>
      </c>
      <c r="X2619">
        <f>IF($T2619="",N($X2618),IF(MATCH($T2619,$T$6:$T$10005,0)=ROW()-5,N($X2618)+1,N($X2618)))</f>
        <v>0</v>
      </c>
      <c r="Z2619" t="str">
        <f t="shared" si="409"/>
        <v/>
      </c>
      <c r="AA2619">
        <f>IF($V2619="",N($AA2618),IF(MATCH($V2619,$V$6:$V$10005,0)=ROW()-5,N($AA2618)+1,N($AA2618)))</f>
        <v>0</v>
      </c>
    </row>
    <row r="2620" spans="1:27" ht="21" customHeight="1" x14ac:dyDescent="0.95">
      <c r="A2620" s="56"/>
      <c r="B2620" s="57"/>
      <c r="C2620" s="57"/>
      <c r="D2620" s="57"/>
      <c r="E2620" s="56"/>
      <c r="F2620" s="57"/>
      <c r="G2620" s="57"/>
      <c r="H2620" s="56"/>
      <c r="I2620" s="56"/>
      <c r="J2620" s="58"/>
      <c r="K2620" s="58"/>
      <c r="L2620" s="13" t="str">
        <f t="shared" si="400"/>
        <v/>
      </c>
      <c r="M2620" s="13" t="str">
        <f t="shared" si="401"/>
        <v/>
      </c>
      <c r="Q2620" t="str">
        <f t="shared" si="402"/>
        <v/>
      </c>
      <c r="R2620" t="str">
        <f t="shared" si="403"/>
        <v/>
      </c>
      <c r="S2620" t="str">
        <f t="shared" si="404"/>
        <v/>
      </c>
      <c r="T2620" t="str">
        <f t="shared" si="405"/>
        <v/>
      </c>
      <c r="U2620" t="str">
        <f t="shared" si="406"/>
        <v/>
      </c>
      <c r="V2620" t="str">
        <f t="shared" si="407"/>
        <v/>
      </c>
      <c r="W2620" t="str">
        <f t="shared" si="408"/>
        <v/>
      </c>
      <c r="X2620">
        <f>IF($T2620="",N($X2619),IF(MATCH($T2620,$T$6:$T$10005,0)=ROW()-5,N($X2619)+1,N($X2619)))</f>
        <v>0</v>
      </c>
      <c r="Z2620" t="str">
        <f t="shared" si="409"/>
        <v/>
      </c>
      <c r="AA2620">
        <f>IF($V2620="",N($AA2619),IF(MATCH($V2620,$V$6:$V$10005,0)=ROW()-5,N($AA2619)+1,N($AA2619)))</f>
        <v>0</v>
      </c>
    </row>
    <row r="2621" spans="1:27" ht="21" customHeight="1" x14ac:dyDescent="0.95">
      <c r="A2621" s="56"/>
      <c r="B2621" s="57"/>
      <c r="C2621" s="57"/>
      <c r="D2621" s="57"/>
      <c r="E2621" s="56"/>
      <c r="F2621" s="57"/>
      <c r="G2621" s="57"/>
      <c r="H2621" s="56"/>
      <c r="I2621" s="56"/>
      <c r="J2621" s="58"/>
      <c r="K2621" s="58"/>
      <c r="L2621" s="13" t="str">
        <f t="shared" si="400"/>
        <v/>
      </c>
      <c r="M2621" s="13" t="str">
        <f t="shared" si="401"/>
        <v/>
      </c>
      <c r="Q2621" t="str">
        <f t="shared" si="402"/>
        <v/>
      </c>
      <c r="R2621" t="str">
        <f t="shared" si="403"/>
        <v/>
      </c>
      <c r="S2621" t="str">
        <f t="shared" si="404"/>
        <v/>
      </c>
      <c r="T2621" t="str">
        <f t="shared" si="405"/>
        <v/>
      </c>
      <c r="U2621" t="str">
        <f t="shared" si="406"/>
        <v/>
      </c>
      <c r="V2621" t="str">
        <f t="shared" si="407"/>
        <v/>
      </c>
      <c r="W2621" t="str">
        <f t="shared" si="408"/>
        <v/>
      </c>
      <c r="X2621">
        <f>IF($T2621="",N($X2620),IF(MATCH($T2621,$T$6:$T$10005,0)=ROW()-5,N($X2620)+1,N($X2620)))</f>
        <v>0</v>
      </c>
      <c r="Z2621" t="str">
        <f t="shared" si="409"/>
        <v/>
      </c>
      <c r="AA2621">
        <f>IF($V2621="",N($AA2620),IF(MATCH($V2621,$V$6:$V$10005,0)=ROW()-5,N($AA2620)+1,N($AA2620)))</f>
        <v>0</v>
      </c>
    </row>
    <row r="2622" spans="1:27" ht="21" customHeight="1" x14ac:dyDescent="0.95">
      <c r="A2622" s="56"/>
      <c r="B2622" s="57"/>
      <c r="C2622" s="57"/>
      <c r="D2622" s="57"/>
      <c r="E2622" s="56"/>
      <c r="F2622" s="57"/>
      <c r="G2622" s="57"/>
      <c r="H2622" s="56"/>
      <c r="I2622" s="56"/>
      <c r="J2622" s="58"/>
      <c r="K2622" s="58"/>
      <c r="L2622" s="13" t="str">
        <f t="shared" si="400"/>
        <v/>
      </c>
      <c r="M2622" s="13" t="str">
        <f t="shared" si="401"/>
        <v/>
      </c>
      <c r="Q2622" t="str">
        <f t="shared" si="402"/>
        <v/>
      </c>
      <c r="R2622" t="str">
        <f t="shared" si="403"/>
        <v/>
      </c>
      <c r="S2622" t="str">
        <f t="shared" si="404"/>
        <v/>
      </c>
      <c r="T2622" t="str">
        <f t="shared" si="405"/>
        <v/>
      </c>
      <c r="U2622" t="str">
        <f t="shared" si="406"/>
        <v/>
      </c>
      <c r="V2622" t="str">
        <f t="shared" si="407"/>
        <v/>
      </c>
      <c r="W2622" t="str">
        <f t="shared" si="408"/>
        <v/>
      </c>
      <c r="X2622">
        <f>IF($T2622="",N($X2621),IF(MATCH($T2622,$T$6:$T$10005,0)=ROW()-5,N($X2621)+1,N($X2621)))</f>
        <v>0</v>
      </c>
      <c r="Z2622" t="str">
        <f t="shared" si="409"/>
        <v/>
      </c>
      <c r="AA2622">
        <f>IF($V2622="",N($AA2621),IF(MATCH($V2622,$V$6:$V$10005,0)=ROW()-5,N($AA2621)+1,N($AA2621)))</f>
        <v>0</v>
      </c>
    </row>
    <row r="2623" spans="1:27" ht="21" customHeight="1" x14ac:dyDescent="0.95">
      <c r="A2623" s="56"/>
      <c r="B2623" s="57"/>
      <c r="C2623" s="57"/>
      <c r="D2623" s="57"/>
      <c r="E2623" s="56"/>
      <c r="F2623" s="57"/>
      <c r="G2623" s="57"/>
      <c r="H2623" s="56"/>
      <c r="I2623" s="56"/>
      <c r="J2623" s="58"/>
      <c r="K2623" s="58"/>
      <c r="L2623" s="13" t="str">
        <f t="shared" si="400"/>
        <v/>
      </c>
      <c r="M2623" s="13" t="str">
        <f t="shared" si="401"/>
        <v/>
      </c>
      <c r="Q2623" t="str">
        <f t="shared" si="402"/>
        <v/>
      </c>
      <c r="R2623" t="str">
        <f t="shared" si="403"/>
        <v/>
      </c>
      <c r="S2623" t="str">
        <f t="shared" si="404"/>
        <v/>
      </c>
      <c r="T2623" t="str">
        <f t="shared" si="405"/>
        <v/>
      </c>
      <c r="U2623" t="str">
        <f t="shared" si="406"/>
        <v/>
      </c>
      <c r="V2623" t="str">
        <f t="shared" si="407"/>
        <v/>
      </c>
      <c r="W2623" t="str">
        <f t="shared" si="408"/>
        <v/>
      </c>
      <c r="X2623">
        <f>IF($T2623="",N($X2622),IF(MATCH($T2623,$T$6:$T$10005,0)=ROW()-5,N($X2622)+1,N($X2622)))</f>
        <v>0</v>
      </c>
      <c r="Z2623" t="str">
        <f t="shared" si="409"/>
        <v/>
      </c>
      <c r="AA2623">
        <f>IF($V2623="",N($AA2622),IF(MATCH($V2623,$V$6:$V$10005,0)=ROW()-5,N($AA2622)+1,N($AA2622)))</f>
        <v>0</v>
      </c>
    </row>
    <row r="2624" spans="1:27" ht="21" customHeight="1" x14ac:dyDescent="0.95">
      <c r="A2624" s="56"/>
      <c r="B2624" s="57"/>
      <c r="C2624" s="57"/>
      <c r="D2624" s="57"/>
      <c r="E2624" s="56"/>
      <c r="F2624" s="57"/>
      <c r="G2624" s="57"/>
      <c r="H2624" s="56"/>
      <c r="I2624" s="56"/>
      <c r="J2624" s="58"/>
      <c r="K2624" s="58"/>
      <c r="L2624" s="13" t="str">
        <f t="shared" si="400"/>
        <v/>
      </c>
      <c r="M2624" s="13" t="str">
        <f t="shared" si="401"/>
        <v/>
      </c>
      <c r="Q2624" t="str">
        <f t="shared" si="402"/>
        <v/>
      </c>
      <c r="R2624" t="str">
        <f t="shared" si="403"/>
        <v/>
      </c>
      <c r="S2624" t="str">
        <f t="shared" si="404"/>
        <v/>
      </c>
      <c r="T2624" t="str">
        <f t="shared" si="405"/>
        <v/>
      </c>
      <c r="U2624" t="str">
        <f t="shared" si="406"/>
        <v/>
      </c>
      <c r="V2624" t="str">
        <f t="shared" si="407"/>
        <v/>
      </c>
      <c r="W2624" t="str">
        <f t="shared" si="408"/>
        <v/>
      </c>
      <c r="X2624">
        <f>IF($T2624="",N($X2623),IF(MATCH($T2624,$T$6:$T$10005,0)=ROW()-5,N($X2623)+1,N($X2623)))</f>
        <v>0</v>
      </c>
      <c r="Z2624" t="str">
        <f t="shared" si="409"/>
        <v/>
      </c>
      <c r="AA2624">
        <f>IF($V2624="",N($AA2623),IF(MATCH($V2624,$V$6:$V$10005,0)=ROW()-5,N($AA2623)+1,N($AA2623)))</f>
        <v>0</v>
      </c>
    </row>
    <row r="2625" spans="1:27" ht="21" customHeight="1" x14ac:dyDescent="0.95">
      <c r="A2625" s="56"/>
      <c r="B2625" s="57"/>
      <c r="C2625" s="57"/>
      <c r="D2625" s="57"/>
      <c r="E2625" s="56"/>
      <c r="F2625" s="57"/>
      <c r="G2625" s="57"/>
      <c r="H2625" s="56"/>
      <c r="I2625" s="56"/>
      <c r="J2625" s="58"/>
      <c r="K2625" s="58"/>
      <c r="L2625" s="13" t="str">
        <f t="shared" si="400"/>
        <v/>
      </c>
      <c r="M2625" s="13" t="str">
        <f t="shared" si="401"/>
        <v/>
      </c>
      <c r="Q2625" t="str">
        <f t="shared" si="402"/>
        <v/>
      </c>
      <c r="R2625" t="str">
        <f t="shared" si="403"/>
        <v/>
      </c>
      <c r="S2625" t="str">
        <f t="shared" si="404"/>
        <v/>
      </c>
      <c r="T2625" t="str">
        <f t="shared" si="405"/>
        <v/>
      </c>
      <c r="U2625" t="str">
        <f t="shared" si="406"/>
        <v/>
      </c>
      <c r="V2625" t="str">
        <f t="shared" si="407"/>
        <v/>
      </c>
      <c r="W2625" t="str">
        <f t="shared" si="408"/>
        <v/>
      </c>
      <c r="X2625">
        <f>IF($T2625="",N($X2624),IF(MATCH($T2625,$T$6:$T$10005,0)=ROW()-5,N($X2624)+1,N($X2624)))</f>
        <v>0</v>
      </c>
      <c r="Z2625" t="str">
        <f t="shared" si="409"/>
        <v/>
      </c>
      <c r="AA2625">
        <f>IF($V2625="",N($AA2624),IF(MATCH($V2625,$V$6:$V$10005,0)=ROW()-5,N($AA2624)+1,N($AA2624)))</f>
        <v>0</v>
      </c>
    </row>
    <row r="2626" spans="1:27" ht="21" customHeight="1" x14ac:dyDescent="0.95">
      <c r="A2626" s="56"/>
      <c r="B2626" s="57"/>
      <c r="C2626" s="57"/>
      <c r="D2626" s="57"/>
      <c r="E2626" s="56"/>
      <c r="F2626" s="57"/>
      <c r="G2626" s="57"/>
      <c r="H2626" s="56"/>
      <c r="I2626" s="56"/>
      <c r="J2626" s="58"/>
      <c r="K2626" s="58"/>
      <c r="L2626" s="13" t="str">
        <f t="shared" si="400"/>
        <v/>
      </c>
      <c r="M2626" s="13" t="str">
        <f t="shared" si="401"/>
        <v/>
      </c>
      <c r="Q2626" t="str">
        <f t="shared" si="402"/>
        <v/>
      </c>
      <c r="R2626" t="str">
        <f t="shared" si="403"/>
        <v/>
      </c>
      <c r="S2626" t="str">
        <f t="shared" si="404"/>
        <v/>
      </c>
      <c r="T2626" t="str">
        <f t="shared" si="405"/>
        <v/>
      </c>
      <c r="U2626" t="str">
        <f t="shared" si="406"/>
        <v/>
      </c>
      <c r="V2626" t="str">
        <f t="shared" si="407"/>
        <v/>
      </c>
      <c r="W2626" t="str">
        <f t="shared" si="408"/>
        <v/>
      </c>
      <c r="X2626">
        <f>IF($T2626="",N($X2625),IF(MATCH($T2626,$T$6:$T$10005,0)=ROW()-5,N($X2625)+1,N($X2625)))</f>
        <v>0</v>
      </c>
      <c r="Z2626" t="str">
        <f t="shared" si="409"/>
        <v/>
      </c>
      <c r="AA2626">
        <f>IF($V2626="",N($AA2625),IF(MATCH($V2626,$V$6:$V$10005,0)=ROW()-5,N($AA2625)+1,N($AA2625)))</f>
        <v>0</v>
      </c>
    </row>
    <row r="2627" spans="1:27" ht="21" customHeight="1" x14ac:dyDescent="0.95">
      <c r="A2627" s="56"/>
      <c r="B2627" s="57"/>
      <c r="C2627" s="57"/>
      <c r="D2627" s="57"/>
      <c r="E2627" s="56"/>
      <c r="F2627" s="57"/>
      <c r="G2627" s="57"/>
      <c r="H2627" s="56"/>
      <c r="I2627" s="56"/>
      <c r="J2627" s="58"/>
      <c r="K2627" s="58"/>
      <c r="L2627" s="13" t="str">
        <f t="shared" si="400"/>
        <v/>
      </c>
      <c r="M2627" s="13" t="str">
        <f t="shared" si="401"/>
        <v/>
      </c>
      <c r="Q2627" t="str">
        <f t="shared" si="402"/>
        <v/>
      </c>
      <c r="R2627" t="str">
        <f t="shared" si="403"/>
        <v/>
      </c>
      <c r="S2627" t="str">
        <f t="shared" si="404"/>
        <v/>
      </c>
      <c r="T2627" t="str">
        <f t="shared" si="405"/>
        <v/>
      </c>
      <c r="U2627" t="str">
        <f t="shared" si="406"/>
        <v/>
      </c>
      <c r="V2627" t="str">
        <f t="shared" si="407"/>
        <v/>
      </c>
      <c r="W2627" t="str">
        <f t="shared" si="408"/>
        <v/>
      </c>
      <c r="X2627">
        <f>IF($T2627="",N($X2626),IF(MATCH($T2627,$T$6:$T$10005,0)=ROW()-5,N($X2626)+1,N($X2626)))</f>
        <v>0</v>
      </c>
      <c r="Z2627" t="str">
        <f t="shared" si="409"/>
        <v/>
      </c>
      <c r="AA2627">
        <f>IF($V2627="",N($AA2626),IF(MATCH($V2627,$V$6:$V$10005,0)=ROW()-5,N($AA2626)+1,N($AA2626)))</f>
        <v>0</v>
      </c>
    </row>
    <row r="2628" spans="1:27" ht="21" customHeight="1" x14ac:dyDescent="0.95">
      <c r="A2628" s="56"/>
      <c r="B2628" s="57"/>
      <c r="C2628" s="57"/>
      <c r="D2628" s="57"/>
      <c r="E2628" s="56"/>
      <c r="F2628" s="57"/>
      <c r="G2628" s="57"/>
      <c r="H2628" s="56"/>
      <c r="I2628" s="56"/>
      <c r="J2628" s="58"/>
      <c r="K2628" s="58"/>
      <c r="L2628" s="13" t="str">
        <f t="shared" si="400"/>
        <v/>
      </c>
      <c r="M2628" s="13" t="str">
        <f t="shared" si="401"/>
        <v/>
      </c>
      <c r="Q2628" t="str">
        <f t="shared" si="402"/>
        <v/>
      </c>
      <c r="R2628" t="str">
        <f t="shared" si="403"/>
        <v/>
      </c>
      <c r="S2628" t="str">
        <f t="shared" si="404"/>
        <v/>
      </c>
      <c r="T2628" t="str">
        <f t="shared" si="405"/>
        <v/>
      </c>
      <c r="U2628" t="str">
        <f t="shared" si="406"/>
        <v/>
      </c>
      <c r="V2628" t="str">
        <f t="shared" si="407"/>
        <v/>
      </c>
      <c r="W2628" t="str">
        <f t="shared" si="408"/>
        <v/>
      </c>
      <c r="X2628">
        <f>IF($T2628="",N($X2627),IF(MATCH($T2628,$T$6:$T$10005,0)=ROW()-5,N($X2627)+1,N($X2627)))</f>
        <v>0</v>
      </c>
      <c r="Z2628" t="str">
        <f t="shared" si="409"/>
        <v/>
      </c>
      <c r="AA2628">
        <f>IF($V2628="",N($AA2627),IF(MATCH($V2628,$V$6:$V$10005,0)=ROW()-5,N($AA2627)+1,N($AA2627)))</f>
        <v>0</v>
      </c>
    </row>
    <row r="2629" spans="1:27" ht="21" customHeight="1" x14ac:dyDescent="0.95">
      <c r="A2629" s="56"/>
      <c r="B2629" s="57"/>
      <c r="C2629" s="57"/>
      <c r="D2629" s="57"/>
      <c r="E2629" s="56"/>
      <c r="F2629" s="57"/>
      <c r="G2629" s="57"/>
      <c r="H2629" s="56"/>
      <c r="I2629" s="56"/>
      <c r="J2629" s="58"/>
      <c r="K2629" s="58"/>
      <c r="L2629" s="13" t="str">
        <f t="shared" si="400"/>
        <v/>
      </c>
      <c r="M2629" s="13" t="str">
        <f t="shared" si="401"/>
        <v/>
      </c>
      <c r="Q2629" t="str">
        <f t="shared" si="402"/>
        <v/>
      </c>
      <c r="R2629" t="str">
        <f t="shared" si="403"/>
        <v/>
      </c>
      <c r="S2629" t="str">
        <f t="shared" si="404"/>
        <v/>
      </c>
      <c r="T2629" t="str">
        <f t="shared" si="405"/>
        <v/>
      </c>
      <c r="U2629" t="str">
        <f t="shared" si="406"/>
        <v/>
      </c>
      <c r="V2629" t="str">
        <f t="shared" si="407"/>
        <v/>
      </c>
      <c r="W2629" t="str">
        <f t="shared" si="408"/>
        <v/>
      </c>
      <c r="X2629">
        <f>IF($T2629="",N($X2628),IF(MATCH($T2629,$T$6:$T$10005,0)=ROW()-5,N($X2628)+1,N($X2628)))</f>
        <v>0</v>
      </c>
      <c r="Z2629" t="str">
        <f t="shared" si="409"/>
        <v/>
      </c>
      <c r="AA2629">
        <f>IF($V2629="",N($AA2628),IF(MATCH($V2629,$V$6:$V$10005,0)=ROW()-5,N($AA2628)+1,N($AA2628)))</f>
        <v>0</v>
      </c>
    </row>
    <row r="2630" spans="1:27" ht="21" customHeight="1" x14ac:dyDescent="0.95">
      <c r="A2630" s="56"/>
      <c r="B2630" s="57"/>
      <c r="C2630" s="57"/>
      <c r="D2630" s="57"/>
      <c r="E2630" s="56"/>
      <c r="F2630" s="57"/>
      <c r="G2630" s="57"/>
      <c r="H2630" s="56"/>
      <c r="I2630" s="56"/>
      <c r="J2630" s="58"/>
      <c r="K2630" s="58"/>
      <c r="L2630" s="13" t="str">
        <f t="shared" ref="L2630:L2693" si="410">IF(OR($A2630="",AND($J2630="",$K2630="")),"",ROUND(N($J2630)-N($K2630),2))</f>
        <v/>
      </c>
      <c r="M2630" s="13" t="str">
        <f t="shared" ref="M2630:M2693" si="411">IF(OR($A2630="",AND($J2630="",$K2630="")),"",MIN($J2630,$K2630))</f>
        <v/>
      </c>
      <c r="Q2630" t="str">
        <f t="shared" ref="Q2630:Q2693" si="412">IF($A2630="","",$D2630&amp;"("&amp;SUBSTITUTE($E2630," ","")&amp;")")</f>
        <v/>
      </c>
      <c r="R2630" t="str">
        <f t="shared" ref="R2630:R2693" si="413">IF($A2630="","",$B2630&amp;" - "&amp;$C2630)</f>
        <v/>
      </c>
      <c r="S2630" t="str">
        <f t="shared" ref="S2630:S2693" si="414">IF($A2630="","",$R2630&amp;"|"&amp;$Q2630)</f>
        <v/>
      </c>
      <c r="T2630" t="str">
        <f t="shared" ref="T2630:T2693" si="415">IF($A2630="","",$S2630&amp;"|"&amp;$F2630)</f>
        <v/>
      </c>
      <c r="U2630" t="str">
        <f t="shared" ref="U2630:U2693" si="416">IF($A2630="","",$R2630&amp;"("&amp;$E2630&amp;")")</f>
        <v/>
      </c>
      <c r="V2630" t="str">
        <f t="shared" ref="V2630:V2693" si="417">IF($A2630="","",$F2630&amp;"|"&amp;$U2630&amp;"|"&amp;$D2630)</f>
        <v/>
      </c>
      <c r="W2630" t="str">
        <f t="shared" ref="W2630:W2693" si="418">IF($T2630="","",IF($X2630&gt;N($X2629),$X2630,""))</f>
        <v/>
      </c>
      <c r="X2630">
        <f>IF($T2630="",N($X2629),IF(MATCH($T2630,$T$6:$T$10005,0)=ROW()-5,N($X2629)+1,N($X2629)))</f>
        <v>0</v>
      </c>
      <c r="Z2630" t="str">
        <f t="shared" ref="Z2630:Z2693" si="419">IF($V2630="","",IF($AA2630&gt;N($AA2629),$AA2630,""))</f>
        <v/>
      </c>
      <c r="AA2630">
        <f>IF($V2630="",N($AA2629),IF(MATCH($V2630,$V$6:$V$10005,0)=ROW()-5,N($AA2629)+1,N($AA2629)))</f>
        <v>0</v>
      </c>
    </row>
    <row r="2631" spans="1:27" ht="21" customHeight="1" x14ac:dyDescent="0.95">
      <c r="A2631" s="56"/>
      <c r="B2631" s="57"/>
      <c r="C2631" s="57"/>
      <c r="D2631" s="57"/>
      <c r="E2631" s="56"/>
      <c r="F2631" s="57"/>
      <c r="G2631" s="57"/>
      <c r="H2631" s="56"/>
      <c r="I2631" s="56"/>
      <c r="J2631" s="58"/>
      <c r="K2631" s="58"/>
      <c r="L2631" s="13" t="str">
        <f t="shared" si="410"/>
        <v/>
      </c>
      <c r="M2631" s="13" t="str">
        <f t="shared" si="411"/>
        <v/>
      </c>
      <c r="Q2631" t="str">
        <f t="shared" si="412"/>
        <v/>
      </c>
      <c r="R2631" t="str">
        <f t="shared" si="413"/>
        <v/>
      </c>
      <c r="S2631" t="str">
        <f t="shared" si="414"/>
        <v/>
      </c>
      <c r="T2631" t="str">
        <f t="shared" si="415"/>
        <v/>
      </c>
      <c r="U2631" t="str">
        <f t="shared" si="416"/>
        <v/>
      </c>
      <c r="V2631" t="str">
        <f t="shared" si="417"/>
        <v/>
      </c>
      <c r="W2631" t="str">
        <f t="shared" si="418"/>
        <v/>
      </c>
      <c r="X2631">
        <f>IF($T2631="",N($X2630),IF(MATCH($T2631,$T$6:$T$10005,0)=ROW()-5,N($X2630)+1,N($X2630)))</f>
        <v>0</v>
      </c>
      <c r="Z2631" t="str">
        <f t="shared" si="419"/>
        <v/>
      </c>
      <c r="AA2631">
        <f>IF($V2631="",N($AA2630),IF(MATCH($V2631,$V$6:$V$10005,0)=ROW()-5,N($AA2630)+1,N($AA2630)))</f>
        <v>0</v>
      </c>
    </row>
    <row r="2632" spans="1:27" ht="21" customHeight="1" x14ac:dyDescent="0.95">
      <c r="A2632" s="56"/>
      <c r="B2632" s="57"/>
      <c r="C2632" s="57"/>
      <c r="D2632" s="57"/>
      <c r="E2632" s="56"/>
      <c r="F2632" s="57"/>
      <c r="G2632" s="57"/>
      <c r="H2632" s="56"/>
      <c r="I2632" s="56"/>
      <c r="J2632" s="58"/>
      <c r="K2632" s="58"/>
      <c r="L2632" s="13" t="str">
        <f t="shared" si="410"/>
        <v/>
      </c>
      <c r="M2632" s="13" t="str">
        <f t="shared" si="411"/>
        <v/>
      </c>
      <c r="Q2632" t="str">
        <f t="shared" si="412"/>
        <v/>
      </c>
      <c r="R2632" t="str">
        <f t="shared" si="413"/>
        <v/>
      </c>
      <c r="S2632" t="str">
        <f t="shared" si="414"/>
        <v/>
      </c>
      <c r="T2632" t="str">
        <f t="shared" si="415"/>
        <v/>
      </c>
      <c r="U2632" t="str">
        <f t="shared" si="416"/>
        <v/>
      </c>
      <c r="V2632" t="str">
        <f t="shared" si="417"/>
        <v/>
      </c>
      <c r="W2632" t="str">
        <f t="shared" si="418"/>
        <v/>
      </c>
      <c r="X2632">
        <f>IF($T2632="",N($X2631),IF(MATCH($T2632,$T$6:$T$10005,0)=ROW()-5,N($X2631)+1,N($X2631)))</f>
        <v>0</v>
      </c>
      <c r="Z2632" t="str">
        <f t="shared" si="419"/>
        <v/>
      </c>
      <c r="AA2632">
        <f>IF($V2632="",N($AA2631),IF(MATCH($V2632,$V$6:$V$10005,0)=ROW()-5,N($AA2631)+1,N($AA2631)))</f>
        <v>0</v>
      </c>
    </row>
    <row r="2633" spans="1:27" ht="21" customHeight="1" x14ac:dyDescent="0.95">
      <c r="A2633" s="56"/>
      <c r="B2633" s="57"/>
      <c r="C2633" s="57"/>
      <c r="D2633" s="57"/>
      <c r="E2633" s="56"/>
      <c r="F2633" s="57"/>
      <c r="G2633" s="57"/>
      <c r="H2633" s="56"/>
      <c r="I2633" s="56"/>
      <c r="J2633" s="58"/>
      <c r="K2633" s="58"/>
      <c r="L2633" s="13" t="str">
        <f t="shared" si="410"/>
        <v/>
      </c>
      <c r="M2633" s="13" t="str">
        <f t="shared" si="411"/>
        <v/>
      </c>
      <c r="Q2633" t="str">
        <f t="shared" si="412"/>
        <v/>
      </c>
      <c r="R2633" t="str">
        <f t="shared" si="413"/>
        <v/>
      </c>
      <c r="S2633" t="str">
        <f t="shared" si="414"/>
        <v/>
      </c>
      <c r="T2633" t="str">
        <f t="shared" si="415"/>
        <v/>
      </c>
      <c r="U2633" t="str">
        <f t="shared" si="416"/>
        <v/>
      </c>
      <c r="V2633" t="str">
        <f t="shared" si="417"/>
        <v/>
      </c>
      <c r="W2633" t="str">
        <f t="shared" si="418"/>
        <v/>
      </c>
      <c r="X2633">
        <f>IF($T2633="",N($X2632),IF(MATCH($T2633,$T$6:$T$10005,0)=ROW()-5,N($X2632)+1,N($X2632)))</f>
        <v>0</v>
      </c>
      <c r="Z2633" t="str">
        <f t="shared" si="419"/>
        <v/>
      </c>
      <c r="AA2633">
        <f>IF($V2633="",N($AA2632),IF(MATCH($V2633,$V$6:$V$10005,0)=ROW()-5,N($AA2632)+1,N($AA2632)))</f>
        <v>0</v>
      </c>
    </row>
    <row r="2634" spans="1:27" ht="21" customHeight="1" x14ac:dyDescent="0.95">
      <c r="A2634" s="56"/>
      <c r="B2634" s="57"/>
      <c r="C2634" s="57"/>
      <c r="D2634" s="57"/>
      <c r="E2634" s="56"/>
      <c r="F2634" s="57"/>
      <c r="G2634" s="57"/>
      <c r="H2634" s="56"/>
      <c r="I2634" s="56"/>
      <c r="J2634" s="58"/>
      <c r="K2634" s="58"/>
      <c r="L2634" s="13" t="str">
        <f t="shared" si="410"/>
        <v/>
      </c>
      <c r="M2634" s="13" t="str">
        <f t="shared" si="411"/>
        <v/>
      </c>
      <c r="Q2634" t="str">
        <f t="shared" si="412"/>
        <v/>
      </c>
      <c r="R2634" t="str">
        <f t="shared" si="413"/>
        <v/>
      </c>
      <c r="S2634" t="str">
        <f t="shared" si="414"/>
        <v/>
      </c>
      <c r="T2634" t="str">
        <f t="shared" si="415"/>
        <v/>
      </c>
      <c r="U2634" t="str">
        <f t="shared" si="416"/>
        <v/>
      </c>
      <c r="V2634" t="str">
        <f t="shared" si="417"/>
        <v/>
      </c>
      <c r="W2634" t="str">
        <f t="shared" si="418"/>
        <v/>
      </c>
      <c r="X2634">
        <f>IF($T2634="",N($X2633),IF(MATCH($T2634,$T$6:$T$10005,0)=ROW()-5,N($X2633)+1,N($X2633)))</f>
        <v>0</v>
      </c>
      <c r="Z2634" t="str">
        <f t="shared" si="419"/>
        <v/>
      </c>
      <c r="AA2634">
        <f>IF($V2634="",N($AA2633),IF(MATCH($V2634,$V$6:$V$10005,0)=ROW()-5,N($AA2633)+1,N($AA2633)))</f>
        <v>0</v>
      </c>
    </row>
    <row r="2635" spans="1:27" ht="21" customHeight="1" x14ac:dyDescent="0.95">
      <c r="A2635" s="56"/>
      <c r="B2635" s="57"/>
      <c r="C2635" s="57"/>
      <c r="D2635" s="57"/>
      <c r="E2635" s="56"/>
      <c r="F2635" s="57"/>
      <c r="G2635" s="57"/>
      <c r="H2635" s="56"/>
      <c r="I2635" s="56"/>
      <c r="J2635" s="58"/>
      <c r="K2635" s="58"/>
      <c r="L2635" s="13" t="str">
        <f t="shared" si="410"/>
        <v/>
      </c>
      <c r="M2635" s="13" t="str">
        <f t="shared" si="411"/>
        <v/>
      </c>
      <c r="Q2635" t="str">
        <f t="shared" si="412"/>
        <v/>
      </c>
      <c r="R2635" t="str">
        <f t="shared" si="413"/>
        <v/>
      </c>
      <c r="S2635" t="str">
        <f t="shared" si="414"/>
        <v/>
      </c>
      <c r="T2635" t="str">
        <f t="shared" si="415"/>
        <v/>
      </c>
      <c r="U2635" t="str">
        <f t="shared" si="416"/>
        <v/>
      </c>
      <c r="V2635" t="str">
        <f t="shared" si="417"/>
        <v/>
      </c>
      <c r="W2635" t="str">
        <f t="shared" si="418"/>
        <v/>
      </c>
      <c r="X2635">
        <f>IF($T2635="",N($X2634),IF(MATCH($T2635,$T$6:$T$10005,0)=ROW()-5,N($X2634)+1,N($X2634)))</f>
        <v>0</v>
      </c>
      <c r="Z2635" t="str">
        <f t="shared" si="419"/>
        <v/>
      </c>
      <c r="AA2635">
        <f>IF($V2635="",N($AA2634),IF(MATCH($V2635,$V$6:$V$10005,0)=ROW()-5,N($AA2634)+1,N($AA2634)))</f>
        <v>0</v>
      </c>
    </row>
    <row r="2636" spans="1:27" ht="21" customHeight="1" x14ac:dyDescent="0.95">
      <c r="A2636" s="56"/>
      <c r="B2636" s="57"/>
      <c r="C2636" s="57"/>
      <c r="D2636" s="57"/>
      <c r="E2636" s="56"/>
      <c r="F2636" s="57"/>
      <c r="G2636" s="57"/>
      <c r="H2636" s="56"/>
      <c r="I2636" s="56"/>
      <c r="J2636" s="58"/>
      <c r="K2636" s="58"/>
      <c r="L2636" s="13" t="str">
        <f t="shared" si="410"/>
        <v/>
      </c>
      <c r="M2636" s="13" t="str">
        <f t="shared" si="411"/>
        <v/>
      </c>
      <c r="Q2636" t="str">
        <f t="shared" si="412"/>
        <v/>
      </c>
      <c r="R2636" t="str">
        <f t="shared" si="413"/>
        <v/>
      </c>
      <c r="S2636" t="str">
        <f t="shared" si="414"/>
        <v/>
      </c>
      <c r="T2636" t="str">
        <f t="shared" si="415"/>
        <v/>
      </c>
      <c r="U2636" t="str">
        <f t="shared" si="416"/>
        <v/>
      </c>
      <c r="V2636" t="str">
        <f t="shared" si="417"/>
        <v/>
      </c>
      <c r="W2636" t="str">
        <f t="shared" si="418"/>
        <v/>
      </c>
      <c r="X2636">
        <f>IF($T2636="",N($X2635),IF(MATCH($T2636,$T$6:$T$10005,0)=ROW()-5,N($X2635)+1,N($X2635)))</f>
        <v>0</v>
      </c>
      <c r="Z2636" t="str">
        <f t="shared" si="419"/>
        <v/>
      </c>
      <c r="AA2636">
        <f>IF($V2636="",N($AA2635),IF(MATCH($V2636,$V$6:$V$10005,0)=ROW()-5,N($AA2635)+1,N($AA2635)))</f>
        <v>0</v>
      </c>
    </row>
    <row r="2637" spans="1:27" ht="21" customHeight="1" x14ac:dyDescent="0.95">
      <c r="A2637" s="56"/>
      <c r="B2637" s="57"/>
      <c r="C2637" s="57"/>
      <c r="D2637" s="57"/>
      <c r="E2637" s="56"/>
      <c r="F2637" s="57"/>
      <c r="G2637" s="57"/>
      <c r="H2637" s="56"/>
      <c r="I2637" s="56"/>
      <c r="J2637" s="58"/>
      <c r="K2637" s="58"/>
      <c r="L2637" s="13" t="str">
        <f t="shared" si="410"/>
        <v/>
      </c>
      <c r="M2637" s="13" t="str">
        <f t="shared" si="411"/>
        <v/>
      </c>
      <c r="Q2637" t="str">
        <f t="shared" si="412"/>
        <v/>
      </c>
      <c r="R2637" t="str">
        <f t="shared" si="413"/>
        <v/>
      </c>
      <c r="S2637" t="str">
        <f t="shared" si="414"/>
        <v/>
      </c>
      <c r="T2637" t="str">
        <f t="shared" si="415"/>
        <v/>
      </c>
      <c r="U2637" t="str">
        <f t="shared" si="416"/>
        <v/>
      </c>
      <c r="V2637" t="str">
        <f t="shared" si="417"/>
        <v/>
      </c>
      <c r="W2637" t="str">
        <f t="shared" si="418"/>
        <v/>
      </c>
      <c r="X2637">
        <f>IF($T2637="",N($X2636),IF(MATCH($T2637,$T$6:$T$10005,0)=ROW()-5,N($X2636)+1,N($X2636)))</f>
        <v>0</v>
      </c>
      <c r="Z2637" t="str">
        <f t="shared" si="419"/>
        <v/>
      </c>
      <c r="AA2637">
        <f>IF($V2637="",N($AA2636),IF(MATCH($V2637,$V$6:$V$10005,0)=ROW()-5,N($AA2636)+1,N($AA2636)))</f>
        <v>0</v>
      </c>
    </row>
    <row r="2638" spans="1:27" ht="21" customHeight="1" x14ac:dyDescent="0.95">
      <c r="A2638" s="56"/>
      <c r="B2638" s="57"/>
      <c r="C2638" s="57"/>
      <c r="D2638" s="57"/>
      <c r="E2638" s="56"/>
      <c r="F2638" s="57"/>
      <c r="G2638" s="57"/>
      <c r="H2638" s="56"/>
      <c r="I2638" s="56"/>
      <c r="J2638" s="58"/>
      <c r="K2638" s="58"/>
      <c r="L2638" s="13" t="str">
        <f t="shared" si="410"/>
        <v/>
      </c>
      <c r="M2638" s="13" t="str">
        <f t="shared" si="411"/>
        <v/>
      </c>
      <c r="Q2638" t="str">
        <f t="shared" si="412"/>
        <v/>
      </c>
      <c r="R2638" t="str">
        <f t="shared" si="413"/>
        <v/>
      </c>
      <c r="S2638" t="str">
        <f t="shared" si="414"/>
        <v/>
      </c>
      <c r="T2638" t="str">
        <f t="shared" si="415"/>
        <v/>
      </c>
      <c r="U2638" t="str">
        <f t="shared" si="416"/>
        <v/>
      </c>
      <c r="V2638" t="str">
        <f t="shared" si="417"/>
        <v/>
      </c>
      <c r="W2638" t="str">
        <f t="shared" si="418"/>
        <v/>
      </c>
      <c r="X2638">
        <f>IF($T2638="",N($X2637),IF(MATCH($T2638,$T$6:$T$10005,0)=ROW()-5,N($X2637)+1,N($X2637)))</f>
        <v>0</v>
      </c>
      <c r="Z2638" t="str">
        <f t="shared" si="419"/>
        <v/>
      </c>
      <c r="AA2638">
        <f>IF($V2638="",N($AA2637),IF(MATCH($V2638,$V$6:$V$10005,0)=ROW()-5,N($AA2637)+1,N($AA2637)))</f>
        <v>0</v>
      </c>
    </row>
    <row r="2639" spans="1:27" ht="21" customHeight="1" x14ac:dyDescent="0.95">
      <c r="A2639" s="56"/>
      <c r="B2639" s="57"/>
      <c r="C2639" s="57"/>
      <c r="D2639" s="57"/>
      <c r="E2639" s="56"/>
      <c r="F2639" s="57"/>
      <c r="G2639" s="57"/>
      <c r="H2639" s="56"/>
      <c r="I2639" s="56"/>
      <c r="J2639" s="58"/>
      <c r="K2639" s="58"/>
      <c r="L2639" s="13" t="str">
        <f t="shared" si="410"/>
        <v/>
      </c>
      <c r="M2639" s="13" t="str">
        <f t="shared" si="411"/>
        <v/>
      </c>
      <c r="Q2639" t="str">
        <f t="shared" si="412"/>
        <v/>
      </c>
      <c r="R2639" t="str">
        <f t="shared" si="413"/>
        <v/>
      </c>
      <c r="S2639" t="str">
        <f t="shared" si="414"/>
        <v/>
      </c>
      <c r="T2639" t="str">
        <f t="shared" si="415"/>
        <v/>
      </c>
      <c r="U2639" t="str">
        <f t="shared" si="416"/>
        <v/>
      </c>
      <c r="V2639" t="str">
        <f t="shared" si="417"/>
        <v/>
      </c>
      <c r="W2639" t="str">
        <f t="shared" si="418"/>
        <v/>
      </c>
      <c r="X2639">
        <f>IF($T2639="",N($X2638),IF(MATCH($T2639,$T$6:$T$10005,0)=ROW()-5,N($X2638)+1,N($X2638)))</f>
        <v>0</v>
      </c>
      <c r="Z2639" t="str">
        <f t="shared" si="419"/>
        <v/>
      </c>
      <c r="AA2639">
        <f>IF($V2639="",N($AA2638),IF(MATCH($V2639,$V$6:$V$10005,0)=ROW()-5,N($AA2638)+1,N($AA2638)))</f>
        <v>0</v>
      </c>
    </row>
    <row r="2640" spans="1:27" ht="21" customHeight="1" x14ac:dyDescent="0.95">
      <c r="A2640" s="56"/>
      <c r="B2640" s="57"/>
      <c r="C2640" s="57"/>
      <c r="D2640" s="57"/>
      <c r="E2640" s="56"/>
      <c r="F2640" s="57"/>
      <c r="G2640" s="57"/>
      <c r="H2640" s="56"/>
      <c r="I2640" s="56"/>
      <c r="J2640" s="58"/>
      <c r="K2640" s="58"/>
      <c r="L2640" s="13" t="str">
        <f t="shared" si="410"/>
        <v/>
      </c>
      <c r="M2640" s="13" t="str">
        <f t="shared" si="411"/>
        <v/>
      </c>
      <c r="Q2640" t="str">
        <f t="shared" si="412"/>
        <v/>
      </c>
      <c r="R2640" t="str">
        <f t="shared" si="413"/>
        <v/>
      </c>
      <c r="S2640" t="str">
        <f t="shared" si="414"/>
        <v/>
      </c>
      <c r="T2640" t="str">
        <f t="shared" si="415"/>
        <v/>
      </c>
      <c r="U2640" t="str">
        <f t="shared" si="416"/>
        <v/>
      </c>
      <c r="V2640" t="str">
        <f t="shared" si="417"/>
        <v/>
      </c>
      <c r="W2640" t="str">
        <f t="shared" si="418"/>
        <v/>
      </c>
      <c r="X2640">
        <f>IF($T2640="",N($X2639),IF(MATCH($T2640,$T$6:$T$10005,0)=ROW()-5,N($X2639)+1,N($X2639)))</f>
        <v>0</v>
      </c>
      <c r="Z2640" t="str">
        <f t="shared" si="419"/>
        <v/>
      </c>
      <c r="AA2640">
        <f>IF($V2640="",N($AA2639),IF(MATCH($V2640,$V$6:$V$10005,0)=ROW()-5,N($AA2639)+1,N($AA2639)))</f>
        <v>0</v>
      </c>
    </row>
    <row r="2641" spans="1:27" ht="21" customHeight="1" x14ac:dyDescent="0.95">
      <c r="A2641" s="56"/>
      <c r="B2641" s="57"/>
      <c r="C2641" s="57"/>
      <c r="D2641" s="57"/>
      <c r="E2641" s="56"/>
      <c r="F2641" s="57"/>
      <c r="G2641" s="57"/>
      <c r="H2641" s="56"/>
      <c r="I2641" s="56"/>
      <c r="J2641" s="58"/>
      <c r="K2641" s="58"/>
      <c r="L2641" s="13" t="str">
        <f t="shared" si="410"/>
        <v/>
      </c>
      <c r="M2641" s="13" t="str">
        <f t="shared" si="411"/>
        <v/>
      </c>
      <c r="Q2641" t="str">
        <f t="shared" si="412"/>
        <v/>
      </c>
      <c r="R2641" t="str">
        <f t="shared" si="413"/>
        <v/>
      </c>
      <c r="S2641" t="str">
        <f t="shared" si="414"/>
        <v/>
      </c>
      <c r="T2641" t="str">
        <f t="shared" si="415"/>
        <v/>
      </c>
      <c r="U2641" t="str">
        <f t="shared" si="416"/>
        <v/>
      </c>
      <c r="V2641" t="str">
        <f t="shared" si="417"/>
        <v/>
      </c>
      <c r="W2641" t="str">
        <f t="shared" si="418"/>
        <v/>
      </c>
      <c r="X2641">
        <f>IF($T2641="",N($X2640),IF(MATCH($T2641,$T$6:$T$10005,0)=ROW()-5,N($X2640)+1,N($X2640)))</f>
        <v>0</v>
      </c>
      <c r="Z2641" t="str">
        <f t="shared" si="419"/>
        <v/>
      </c>
      <c r="AA2641">
        <f>IF($V2641="",N($AA2640),IF(MATCH($V2641,$V$6:$V$10005,0)=ROW()-5,N($AA2640)+1,N($AA2640)))</f>
        <v>0</v>
      </c>
    </row>
    <row r="2642" spans="1:27" ht="21" customHeight="1" x14ac:dyDescent="0.95">
      <c r="A2642" s="56"/>
      <c r="B2642" s="57"/>
      <c r="C2642" s="57"/>
      <c r="D2642" s="57"/>
      <c r="E2642" s="56"/>
      <c r="F2642" s="57"/>
      <c r="G2642" s="57"/>
      <c r="H2642" s="56"/>
      <c r="I2642" s="56"/>
      <c r="J2642" s="58"/>
      <c r="K2642" s="58"/>
      <c r="L2642" s="13" t="str">
        <f t="shared" si="410"/>
        <v/>
      </c>
      <c r="M2642" s="13" t="str">
        <f t="shared" si="411"/>
        <v/>
      </c>
      <c r="Q2642" t="str">
        <f t="shared" si="412"/>
        <v/>
      </c>
      <c r="R2642" t="str">
        <f t="shared" si="413"/>
        <v/>
      </c>
      <c r="S2642" t="str">
        <f t="shared" si="414"/>
        <v/>
      </c>
      <c r="T2642" t="str">
        <f t="shared" si="415"/>
        <v/>
      </c>
      <c r="U2642" t="str">
        <f t="shared" si="416"/>
        <v/>
      </c>
      <c r="V2642" t="str">
        <f t="shared" si="417"/>
        <v/>
      </c>
      <c r="W2642" t="str">
        <f t="shared" si="418"/>
        <v/>
      </c>
      <c r="X2642">
        <f>IF($T2642="",N($X2641),IF(MATCH($T2642,$T$6:$T$10005,0)=ROW()-5,N($X2641)+1,N($X2641)))</f>
        <v>0</v>
      </c>
      <c r="Z2642" t="str">
        <f t="shared" si="419"/>
        <v/>
      </c>
      <c r="AA2642">
        <f>IF($V2642="",N($AA2641),IF(MATCH($V2642,$V$6:$V$10005,0)=ROW()-5,N($AA2641)+1,N($AA2641)))</f>
        <v>0</v>
      </c>
    </row>
    <row r="2643" spans="1:27" ht="21" customHeight="1" x14ac:dyDescent="0.95">
      <c r="A2643" s="56"/>
      <c r="B2643" s="57"/>
      <c r="C2643" s="57"/>
      <c r="D2643" s="57"/>
      <c r="E2643" s="56"/>
      <c r="F2643" s="57"/>
      <c r="G2643" s="57"/>
      <c r="H2643" s="56"/>
      <c r="I2643" s="56"/>
      <c r="J2643" s="58"/>
      <c r="K2643" s="58"/>
      <c r="L2643" s="13" t="str">
        <f t="shared" si="410"/>
        <v/>
      </c>
      <c r="M2643" s="13" t="str">
        <f t="shared" si="411"/>
        <v/>
      </c>
      <c r="Q2643" t="str">
        <f t="shared" si="412"/>
        <v/>
      </c>
      <c r="R2643" t="str">
        <f t="shared" si="413"/>
        <v/>
      </c>
      <c r="S2643" t="str">
        <f t="shared" si="414"/>
        <v/>
      </c>
      <c r="T2643" t="str">
        <f t="shared" si="415"/>
        <v/>
      </c>
      <c r="U2643" t="str">
        <f t="shared" si="416"/>
        <v/>
      </c>
      <c r="V2643" t="str">
        <f t="shared" si="417"/>
        <v/>
      </c>
      <c r="W2643" t="str">
        <f t="shared" si="418"/>
        <v/>
      </c>
      <c r="X2643">
        <f>IF($T2643="",N($X2642),IF(MATCH($T2643,$T$6:$T$10005,0)=ROW()-5,N($X2642)+1,N($X2642)))</f>
        <v>0</v>
      </c>
      <c r="Z2643" t="str">
        <f t="shared" si="419"/>
        <v/>
      </c>
      <c r="AA2643">
        <f>IF($V2643="",N($AA2642),IF(MATCH($V2643,$V$6:$V$10005,0)=ROW()-5,N($AA2642)+1,N($AA2642)))</f>
        <v>0</v>
      </c>
    </row>
    <row r="2644" spans="1:27" ht="21" customHeight="1" x14ac:dyDescent="0.95">
      <c r="A2644" s="56"/>
      <c r="B2644" s="57"/>
      <c r="C2644" s="57"/>
      <c r="D2644" s="57"/>
      <c r="E2644" s="56"/>
      <c r="F2644" s="57"/>
      <c r="G2644" s="57"/>
      <c r="H2644" s="56"/>
      <c r="I2644" s="56"/>
      <c r="J2644" s="58"/>
      <c r="K2644" s="58"/>
      <c r="L2644" s="13" t="str">
        <f t="shared" si="410"/>
        <v/>
      </c>
      <c r="M2644" s="13" t="str">
        <f t="shared" si="411"/>
        <v/>
      </c>
      <c r="Q2644" t="str">
        <f t="shared" si="412"/>
        <v/>
      </c>
      <c r="R2644" t="str">
        <f t="shared" si="413"/>
        <v/>
      </c>
      <c r="S2644" t="str">
        <f t="shared" si="414"/>
        <v/>
      </c>
      <c r="T2644" t="str">
        <f t="shared" si="415"/>
        <v/>
      </c>
      <c r="U2644" t="str">
        <f t="shared" si="416"/>
        <v/>
      </c>
      <c r="V2644" t="str">
        <f t="shared" si="417"/>
        <v/>
      </c>
      <c r="W2644" t="str">
        <f t="shared" si="418"/>
        <v/>
      </c>
      <c r="X2644">
        <f>IF($T2644="",N($X2643),IF(MATCH($T2644,$T$6:$T$10005,0)=ROW()-5,N($X2643)+1,N($X2643)))</f>
        <v>0</v>
      </c>
      <c r="Z2644" t="str">
        <f t="shared" si="419"/>
        <v/>
      </c>
      <c r="AA2644">
        <f>IF($V2644="",N($AA2643),IF(MATCH($V2644,$V$6:$V$10005,0)=ROW()-5,N($AA2643)+1,N($AA2643)))</f>
        <v>0</v>
      </c>
    </row>
    <row r="2645" spans="1:27" ht="21" customHeight="1" x14ac:dyDescent="0.95">
      <c r="A2645" s="56"/>
      <c r="B2645" s="57"/>
      <c r="C2645" s="57"/>
      <c r="D2645" s="57"/>
      <c r="E2645" s="56"/>
      <c r="F2645" s="57"/>
      <c r="G2645" s="57"/>
      <c r="H2645" s="56"/>
      <c r="I2645" s="56"/>
      <c r="J2645" s="58"/>
      <c r="K2645" s="58"/>
      <c r="L2645" s="13" t="str">
        <f t="shared" si="410"/>
        <v/>
      </c>
      <c r="M2645" s="13" t="str">
        <f t="shared" si="411"/>
        <v/>
      </c>
      <c r="Q2645" t="str">
        <f t="shared" si="412"/>
        <v/>
      </c>
      <c r="R2645" t="str">
        <f t="shared" si="413"/>
        <v/>
      </c>
      <c r="S2645" t="str">
        <f t="shared" si="414"/>
        <v/>
      </c>
      <c r="T2645" t="str">
        <f t="shared" si="415"/>
        <v/>
      </c>
      <c r="U2645" t="str">
        <f t="shared" si="416"/>
        <v/>
      </c>
      <c r="V2645" t="str">
        <f t="shared" si="417"/>
        <v/>
      </c>
      <c r="W2645" t="str">
        <f t="shared" si="418"/>
        <v/>
      </c>
      <c r="X2645">
        <f>IF($T2645="",N($X2644),IF(MATCH($T2645,$T$6:$T$10005,0)=ROW()-5,N($X2644)+1,N($X2644)))</f>
        <v>0</v>
      </c>
      <c r="Z2645" t="str">
        <f t="shared" si="419"/>
        <v/>
      </c>
      <c r="AA2645">
        <f>IF($V2645="",N($AA2644),IF(MATCH($V2645,$V$6:$V$10005,0)=ROW()-5,N($AA2644)+1,N($AA2644)))</f>
        <v>0</v>
      </c>
    </row>
    <row r="2646" spans="1:27" ht="21" customHeight="1" x14ac:dyDescent="0.95">
      <c r="A2646" s="56"/>
      <c r="B2646" s="57"/>
      <c r="C2646" s="57"/>
      <c r="D2646" s="57"/>
      <c r="E2646" s="56"/>
      <c r="F2646" s="57"/>
      <c r="G2646" s="57"/>
      <c r="H2646" s="56"/>
      <c r="I2646" s="56"/>
      <c r="J2646" s="58"/>
      <c r="K2646" s="58"/>
      <c r="L2646" s="13" t="str">
        <f t="shared" si="410"/>
        <v/>
      </c>
      <c r="M2646" s="13" t="str">
        <f t="shared" si="411"/>
        <v/>
      </c>
      <c r="Q2646" t="str">
        <f t="shared" si="412"/>
        <v/>
      </c>
      <c r="R2646" t="str">
        <f t="shared" si="413"/>
        <v/>
      </c>
      <c r="S2646" t="str">
        <f t="shared" si="414"/>
        <v/>
      </c>
      <c r="T2646" t="str">
        <f t="shared" si="415"/>
        <v/>
      </c>
      <c r="U2646" t="str">
        <f t="shared" si="416"/>
        <v/>
      </c>
      <c r="V2646" t="str">
        <f t="shared" si="417"/>
        <v/>
      </c>
      <c r="W2646" t="str">
        <f t="shared" si="418"/>
        <v/>
      </c>
      <c r="X2646">
        <f>IF($T2646="",N($X2645),IF(MATCH($T2646,$T$6:$T$10005,0)=ROW()-5,N($X2645)+1,N($X2645)))</f>
        <v>0</v>
      </c>
      <c r="Z2646" t="str">
        <f t="shared" si="419"/>
        <v/>
      </c>
      <c r="AA2646">
        <f>IF($V2646="",N($AA2645),IF(MATCH($V2646,$V$6:$V$10005,0)=ROW()-5,N($AA2645)+1,N($AA2645)))</f>
        <v>0</v>
      </c>
    </row>
    <row r="2647" spans="1:27" ht="21" customHeight="1" x14ac:dyDescent="0.95">
      <c r="A2647" s="56"/>
      <c r="B2647" s="57"/>
      <c r="C2647" s="57"/>
      <c r="D2647" s="57"/>
      <c r="E2647" s="56"/>
      <c r="F2647" s="57"/>
      <c r="G2647" s="57"/>
      <c r="H2647" s="56"/>
      <c r="I2647" s="56"/>
      <c r="J2647" s="58"/>
      <c r="K2647" s="58"/>
      <c r="L2647" s="13" t="str">
        <f t="shared" si="410"/>
        <v/>
      </c>
      <c r="M2647" s="13" t="str">
        <f t="shared" si="411"/>
        <v/>
      </c>
      <c r="Q2647" t="str">
        <f t="shared" si="412"/>
        <v/>
      </c>
      <c r="R2647" t="str">
        <f t="shared" si="413"/>
        <v/>
      </c>
      <c r="S2647" t="str">
        <f t="shared" si="414"/>
        <v/>
      </c>
      <c r="T2647" t="str">
        <f t="shared" si="415"/>
        <v/>
      </c>
      <c r="U2647" t="str">
        <f t="shared" si="416"/>
        <v/>
      </c>
      <c r="V2647" t="str">
        <f t="shared" si="417"/>
        <v/>
      </c>
      <c r="W2647" t="str">
        <f t="shared" si="418"/>
        <v/>
      </c>
      <c r="X2647">
        <f>IF($T2647="",N($X2646),IF(MATCH($T2647,$T$6:$T$10005,0)=ROW()-5,N($X2646)+1,N($X2646)))</f>
        <v>0</v>
      </c>
      <c r="Z2647" t="str">
        <f t="shared" si="419"/>
        <v/>
      </c>
      <c r="AA2647">
        <f>IF($V2647="",N($AA2646),IF(MATCH($V2647,$V$6:$V$10005,0)=ROW()-5,N($AA2646)+1,N($AA2646)))</f>
        <v>0</v>
      </c>
    </row>
    <row r="2648" spans="1:27" ht="21" customHeight="1" x14ac:dyDescent="0.95">
      <c r="A2648" s="56"/>
      <c r="B2648" s="57"/>
      <c r="C2648" s="57"/>
      <c r="D2648" s="57"/>
      <c r="E2648" s="56"/>
      <c r="F2648" s="57"/>
      <c r="G2648" s="57"/>
      <c r="H2648" s="56"/>
      <c r="I2648" s="56"/>
      <c r="J2648" s="58"/>
      <c r="K2648" s="58"/>
      <c r="L2648" s="13" t="str">
        <f t="shared" si="410"/>
        <v/>
      </c>
      <c r="M2648" s="13" t="str">
        <f t="shared" si="411"/>
        <v/>
      </c>
      <c r="Q2648" t="str">
        <f t="shared" si="412"/>
        <v/>
      </c>
      <c r="R2648" t="str">
        <f t="shared" si="413"/>
        <v/>
      </c>
      <c r="S2648" t="str">
        <f t="shared" si="414"/>
        <v/>
      </c>
      <c r="T2648" t="str">
        <f t="shared" si="415"/>
        <v/>
      </c>
      <c r="U2648" t="str">
        <f t="shared" si="416"/>
        <v/>
      </c>
      <c r="V2648" t="str">
        <f t="shared" si="417"/>
        <v/>
      </c>
      <c r="W2648" t="str">
        <f t="shared" si="418"/>
        <v/>
      </c>
      <c r="X2648">
        <f>IF($T2648="",N($X2647),IF(MATCH($T2648,$T$6:$T$10005,0)=ROW()-5,N($X2647)+1,N($X2647)))</f>
        <v>0</v>
      </c>
      <c r="Z2648" t="str">
        <f t="shared" si="419"/>
        <v/>
      </c>
      <c r="AA2648">
        <f>IF($V2648="",N($AA2647),IF(MATCH($V2648,$V$6:$V$10005,0)=ROW()-5,N($AA2647)+1,N($AA2647)))</f>
        <v>0</v>
      </c>
    </row>
    <row r="2649" spans="1:27" ht="21" customHeight="1" x14ac:dyDescent="0.95">
      <c r="A2649" s="56"/>
      <c r="B2649" s="57"/>
      <c r="C2649" s="57"/>
      <c r="D2649" s="57"/>
      <c r="E2649" s="56"/>
      <c r="F2649" s="57"/>
      <c r="G2649" s="57"/>
      <c r="H2649" s="56"/>
      <c r="I2649" s="56"/>
      <c r="J2649" s="58"/>
      <c r="K2649" s="58"/>
      <c r="L2649" s="13" t="str">
        <f t="shared" si="410"/>
        <v/>
      </c>
      <c r="M2649" s="13" t="str">
        <f t="shared" si="411"/>
        <v/>
      </c>
      <c r="Q2649" t="str">
        <f t="shared" si="412"/>
        <v/>
      </c>
      <c r="R2649" t="str">
        <f t="shared" si="413"/>
        <v/>
      </c>
      <c r="S2649" t="str">
        <f t="shared" si="414"/>
        <v/>
      </c>
      <c r="T2649" t="str">
        <f t="shared" si="415"/>
        <v/>
      </c>
      <c r="U2649" t="str">
        <f t="shared" si="416"/>
        <v/>
      </c>
      <c r="V2649" t="str">
        <f t="shared" si="417"/>
        <v/>
      </c>
      <c r="W2649" t="str">
        <f t="shared" si="418"/>
        <v/>
      </c>
      <c r="X2649">
        <f>IF($T2649="",N($X2648),IF(MATCH($T2649,$T$6:$T$10005,0)=ROW()-5,N($X2648)+1,N($X2648)))</f>
        <v>0</v>
      </c>
      <c r="Z2649" t="str">
        <f t="shared" si="419"/>
        <v/>
      </c>
      <c r="AA2649">
        <f>IF($V2649="",N($AA2648),IF(MATCH($V2649,$V$6:$V$10005,0)=ROW()-5,N($AA2648)+1,N($AA2648)))</f>
        <v>0</v>
      </c>
    </row>
    <row r="2650" spans="1:27" ht="21" customHeight="1" x14ac:dyDescent="0.95">
      <c r="A2650" s="56"/>
      <c r="B2650" s="57"/>
      <c r="C2650" s="57"/>
      <c r="D2650" s="57"/>
      <c r="E2650" s="56"/>
      <c r="F2650" s="57"/>
      <c r="G2650" s="57"/>
      <c r="H2650" s="56"/>
      <c r="I2650" s="56"/>
      <c r="J2650" s="58"/>
      <c r="K2650" s="58"/>
      <c r="L2650" s="13" t="str">
        <f t="shared" si="410"/>
        <v/>
      </c>
      <c r="M2650" s="13" t="str">
        <f t="shared" si="411"/>
        <v/>
      </c>
      <c r="Q2650" t="str">
        <f t="shared" si="412"/>
        <v/>
      </c>
      <c r="R2650" t="str">
        <f t="shared" si="413"/>
        <v/>
      </c>
      <c r="S2650" t="str">
        <f t="shared" si="414"/>
        <v/>
      </c>
      <c r="T2650" t="str">
        <f t="shared" si="415"/>
        <v/>
      </c>
      <c r="U2650" t="str">
        <f t="shared" si="416"/>
        <v/>
      </c>
      <c r="V2650" t="str">
        <f t="shared" si="417"/>
        <v/>
      </c>
      <c r="W2650" t="str">
        <f t="shared" si="418"/>
        <v/>
      </c>
      <c r="X2650">
        <f>IF($T2650="",N($X2649),IF(MATCH($T2650,$T$6:$T$10005,0)=ROW()-5,N($X2649)+1,N($X2649)))</f>
        <v>0</v>
      </c>
      <c r="Z2650" t="str">
        <f t="shared" si="419"/>
        <v/>
      </c>
      <c r="AA2650">
        <f>IF($V2650="",N($AA2649),IF(MATCH($V2650,$V$6:$V$10005,0)=ROW()-5,N($AA2649)+1,N($AA2649)))</f>
        <v>0</v>
      </c>
    </row>
    <row r="2651" spans="1:27" ht="21" customHeight="1" x14ac:dyDescent="0.95">
      <c r="A2651" s="56"/>
      <c r="B2651" s="57"/>
      <c r="C2651" s="57"/>
      <c r="D2651" s="57"/>
      <c r="E2651" s="56"/>
      <c r="F2651" s="57"/>
      <c r="G2651" s="57"/>
      <c r="H2651" s="56"/>
      <c r="I2651" s="56"/>
      <c r="J2651" s="58"/>
      <c r="K2651" s="58"/>
      <c r="L2651" s="13" t="str">
        <f t="shared" si="410"/>
        <v/>
      </c>
      <c r="M2651" s="13" t="str">
        <f t="shared" si="411"/>
        <v/>
      </c>
      <c r="Q2651" t="str">
        <f t="shared" si="412"/>
        <v/>
      </c>
      <c r="R2651" t="str">
        <f t="shared" si="413"/>
        <v/>
      </c>
      <c r="S2651" t="str">
        <f t="shared" si="414"/>
        <v/>
      </c>
      <c r="T2651" t="str">
        <f t="shared" si="415"/>
        <v/>
      </c>
      <c r="U2651" t="str">
        <f t="shared" si="416"/>
        <v/>
      </c>
      <c r="V2651" t="str">
        <f t="shared" si="417"/>
        <v/>
      </c>
      <c r="W2651" t="str">
        <f t="shared" si="418"/>
        <v/>
      </c>
      <c r="X2651">
        <f>IF($T2651="",N($X2650),IF(MATCH($T2651,$T$6:$T$10005,0)=ROW()-5,N($X2650)+1,N($X2650)))</f>
        <v>0</v>
      </c>
      <c r="Z2651" t="str">
        <f t="shared" si="419"/>
        <v/>
      </c>
      <c r="AA2651">
        <f>IF($V2651="",N($AA2650),IF(MATCH($V2651,$V$6:$V$10005,0)=ROW()-5,N($AA2650)+1,N($AA2650)))</f>
        <v>0</v>
      </c>
    </row>
    <row r="2652" spans="1:27" ht="21" customHeight="1" x14ac:dyDescent="0.95">
      <c r="A2652" s="56"/>
      <c r="B2652" s="57"/>
      <c r="C2652" s="57"/>
      <c r="D2652" s="57"/>
      <c r="E2652" s="56"/>
      <c r="F2652" s="57"/>
      <c r="G2652" s="57"/>
      <c r="H2652" s="56"/>
      <c r="I2652" s="56"/>
      <c r="J2652" s="58"/>
      <c r="K2652" s="58"/>
      <c r="L2652" s="13" t="str">
        <f t="shared" si="410"/>
        <v/>
      </c>
      <c r="M2652" s="13" t="str">
        <f t="shared" si="411"/>
        <v/>
      </c>
      <c r="Q2652" t="str">
        <f t="shared" si="412"/>
        <v/>
      </c>
      <c r="R2652" t="str">
        <f t="shared" si="413"/>
        <v/>
      </c>
      <c r="S2652" t="str">
        <f t="shared" si="414"/>
        <v/>
      </c>
      <c r="T2652" t="str">
        <f t="shared" si="415"/>
        <v/>
      </c>
      <c r="U2652" t="str">
        <f t="shared" si="416"/>
        <v/>
      </c>
      <c r="V2652" t="str">
        <f t="shared" si="417"/>
        <v/>
      </c>
      <c r="W2652" t="str">
        <f t="shared" si="418"/>
        <v/>
      </c>
      <c r="X2652">
        <f>IF($T2652="",N($X2651),IF(MATCH($T2652,$T$6:$T$10005,0)=ROW()-5,N($X2651)+1,N($X2651)))</f>
        <v>0</v>
      </c>
      <c r="Z2652" t="str">
        <f t="shared" si="419"/>
        <v/>
      </c>
      <c r="AA2652">
        <f>IF($V2652="",N($AA2651),IF(MATCH($V2652,$V$6:$V$10005,0)=ROW()-5,N($AA2651)+1,N($AA2651)))</f>
        <v>0</v>
      </c>
    </row>
    <row r="2653" spans="1:27" ht="21" customHeight="1" x14ac:dyDescent="0.95">
      <c r="A2653" s="56"/>
      <c r="B2653" s="57"/>
      <c r="C2653" s="57"/>
      <c r="D2653" s="57"/>
      <c r="E2653" s="56"/>
      <c r="F2653" s="57"/>
      <c r="G2653" s="57"/>
      <c r="H2653" s="56"/>
      <c r="I2653" s="56"/>
      <c r="J2653" s="58"/>
      <c r="K2653" s="58"/>
      <c r="L2653" s="13" t="str">
        <f t="shared" si="410"/>
        <v/>
      </c>
      <c r="M2653" s="13" t="str">
        <f t="shared" si="411"/>
        <v/>
      </c>
      <c r="Q2653" t="str">
        <f t="shared" si="412"/>
        <v/>
      </c>
      <c r="R2653" t="str">
        <f t="shared" si="413"/>
        <v/>
      </c>
      <c r="S2653" t="str">
        <f t="shared" si="414"/>
        <v/>
      </c>
      <c r="T2653" t="str">
        <f t="shared" si="415"/>
        <v/>
      </c>
      <c r="U2653" t="str">
        <f t="shared" si="416"/>
        <v/>
      </c>
      <c r="V2653" t="str">
        <f t="shared" si="417"/>
        <v/>
      </c>
      <c r="W2653" t="str">
        <f t="shared" si="418"/>
        <v/>
      </c>
      <c r="X2653">
        <f>IF($T2653="",N($X2652),IF(MATCH($T2653,$T$6:$T$10005,0)=ROW()-5,N($X2652)+1,N($X2652)))</f>
        <v>0</v>
      </c>
      <c r="Z2653" t="str">
        <f t="shared" si="419"/>
        <v/>
      </c>
      <c r="AA2653">
        <f>IF($V2653="",N($AA2652),IF(MATCH($V2653,$V$6:$V$10005,0)=ROW()-5,N($AA2652)+1,N($AA2652)))</f>
        <v>0</v>
      </c>
    </row>
    <row r="2654" spans="1:27" ht="21" customHeight="1" x14ac:dyDescent="0.95">
      <c r="A2654" s="56"/>
      <c r="B2654" s="57"/>
      <c r="C2654" s="57"/>
      <c r="D2654" s="57"/>
      <c r="E2654" s="56"/>
      <c r="F2654" s="57"/>
      <c r="G2654" s="57"/>
      <c r="H2654" s="56"/>
      <c r="I2654" s="56"/>
      <c r="J2654" s="58"/>
      <c r="K2654" s="58"/>
      <c r="L2654" s="13" t="str">
        <f t="shared" si="410"/>
        <v/>
      </c>
      <c r="M2654" s="13" t="str">
        <f t="shared" si="411"/>
        <v/>
      </c>
      <c r="Q2654" t="str">
        <f t="shared" si="412"/>
        <v/>
      </c>
      <c r="R2654" t="str">
        <f t="shared" si="413"/>
        <v/>
      </c>
      <c r="S2654" t="str">
        <f t="shared" si="414"/>
        <v/>
      </c>
      <c r="T2654" t="str">
        <f t="shared" si="415"/>
        <v/>
      </c>
      <c r="U2654" t="str">
        <f t="shared" si="416"/>
        <v/>
      </c>
      <c r="V2654" t="str">
        <f t="shared" si="417"/>
        <v/>
      </c>
      <c r="W2654" t="str">
        <f t="shared" si="418"/>
        <v/>
      </c>
      <c r="X2654">
        <f>IF($T2654="",N($X2653),IF(MATCH($T2654,$T$6:$T$10005,0)=ROW()-5,N($X2653)+1,N($X2653)))</f>
        <v>0</v>
      </c>
      <c r="Z2654" t="str">
        <f t="shared" si="419"/>
        <v/>
      </c>
      <c r="AA2654">
        <f>IF($V2654="",N($AA2653),IF(MATCH($V2654,$V$6:$V$10005,0)=ROW()-5,N($AA2653)+1,N($AA2653)))</f>
        <v>0</v>
      </c>
    </row>
    <row r="2655" spans="1:27" ht="21" customHeight="1" x14ac:dyDescent="0.95">
      <c r="A2655" s="56"/>
      <c r="B2655" s="57"/>
      <c r="C2655" s="57"/>
      <c r="D2655" s="57"/>
      <c r="E2655" s="56"/>
      <c r="F2655" s="57"/>
      <c r="G2655" s="57"/>
      <c r="H2655" s="56"/>
      <c r="I2655" s="56"/>
      <c r="J2655" s="58"/>
      <c r="K2655" s="58"/>
      <c r="L2655" s="13" t="str">
        <f t="shared" si="410"/>
        <v/>
      </c>
      <c r="M2655" s="13" t="str">
        <f t="shared" si="411"/>
        <v/>
      </c>
      <c r="Q2655" t="str">
        <f t="shared" si="412"/>
        <v/>
      </c>
      <c r="R2655" t="str">
        <f t="shared" si="413"/>
        <v/>
      </c>
      <c r="S2655" t="str">
        <f t="shared" si="414"/>
        <v/>
      </c>
      <c r="T2655" t="str">
        <f t="shared" si="415"/>
        <v/>
      </c>
      <c r="U2655" t="str">
        <f t="shared" si="416"/>
        <v/>
      </c>
      <c r="V2655" t="str">
        <f t="shared" si="417"/>
        <v/>
      </c>
      <c r="W2655" t="str">
        <f t="shared" si="418"/>
        <v/>
      </c>
      <c r="X2655">
        <f>IF($T2655="",N($X2654),IF(MATCH($T2655,$T$6:$T$10005,0)=ROW()-5,N($X2654)+1,N($X2654)))</f>
        <v>0</v>
      </c>
      <c r="Z2655" t="str">
        <f t="shared" si="419"/>
        <v/>
      </c>
      <c r="AA2655">
        <f>IF($V2655="",N($AA2654),IF(MATCH($V2655,$V$6:$V$10005,0)=ROW()-5,N($AA2654)+1,N($AA2654)))</f>
        <v>0</v>
      </c>
    </row>
    <row r="2656" spans="1:27" ht="21" customHeight="1" x14ac:dyDescent="0.95">
      <c r="A2656" s="56"/>
      <c r="B2656" s="57"/>
      <c r="C2656" s="57"/>
      <c r="D2656" s="57"/>
      <c r="E2656" s="56"/>
      <c r="F2656" s="57"/>
      <c r="G2656" s="57"/>
      <c r="H2656" s="56"/>
      <c r="I2656" s="56"/>
      <c r="J2656" s="58"/>
      <c r="K2656" s="58"/>
      <c r="L2656" s="13" t="str">
        <f t="shared" si="410"/>
        <v/>
      </c>
      <c r="M2656" s="13" t="str">
        <f t="shared" si="411"/>
        <v/>
      </c>
      <c r="Q2656" t="str">
        <f t="shared" si="412"/>
        <v/>
      </c>
      <c r="R2656" t="str">
        <f t="shared" si="413"/>
        <v/>
      </c>
      <c r="S2656" t="str">
        <f t="shared" si="414"/>
        <v/>
      </c>
      <c r="T2656" t="str">
        <f t="shared" si="415"/>
        <v/>
      </c>
      <c r="U2656" t="str">
        <f t="shared" si="416"/>
        <v/>
      </c>
      <c r="V2656" t="str">
        <f t="shared" si="417"/>
        <v/>
      </c>
      <c r="W2656" t="str">
        <f t="shared" si="418"/>
        <v/>
      </c>
      <c r="X2656">
        <f>IF($T2656="",N($X2655),IF(MATCH($T2656,$T$6:$T$10005,0)=ROW()-5,N($X2655)+1,N($X2655)))</f>
        <v>0</v>
      </c>
      <c r="Z2656" t="str">
        <f t="shared" si="419"/>
        <v/>
      </c>
      <c r="AA2656">
        <f>IF($V2656="",N($AA2655),IF(MATCH($V2656,$V$6:$V$10005,0)=ROW()-5,N($AA2655)+1,N($AA2655)))</f>
        <v>0</v>
      </c>
    </row>
    <row r="2657" spans="1:27" ht="21" customHeight="1" x14ac:dyDescent="0.95">
      <c r="A2657" s="56"/>
      <c r="B2657" s="57"/>
      <c r="C2657" s="57"/>
      <c r="D2657" s="57"/>
      <c r="E2657" s="56"/>
      <c r="F2657" s="57"/>
      <c r="G2657" s="57"/>
      <c r="H2657" s="56"/>
      <c r="I2657" s="56"/>
      <c r="J2657" s="58"/>
      <c r="K2657" s="58"/>
      <c r="L2657" s="13" t="str">
        <f t="shared" si="410"/>
        <v/>
      </c>
      <c r="M2657" s="13" t="str">
        <f t="shared" si="411"/>
        <v/>
      </c>
      <c r="Q2657" t="str">
        <f t="shared" si="412"/>
        <v/>
      </c>
      <c r="R2657" t="str">
        <f t="shared" si="413"/>
        <v/>
      </c>
      <c r="S2657" t="str">
        <f t="shared" si="414"/>
        <v/>
      </c>
      <c r="T2657" t="str">
        <f t="shared" si="415"/>
        <v/>
      </c>
      <c r="U2657" t="str">
        <f t="shared" si="416"/>
        <v/>
      </c>
      <c r="V2657" t="str">
        <f t="shared" si="417"/>
        <v/>
      </c>
      <c r="W2657" t="str">
        <f t="shared" si="418"/>
        <v/>
      </c>
      <c r="X2657">
        <f>IF($T2657="",N($X2656),IF(MATCH($T2657,$T$6:$T$10005,0)=ROW()-5,N($X2656)+1,N($X2656)))</f>
        <v>0</v>
      </c>
      <c r="Z2657" t="str">
        <f t="shared" si="419"/>
        <v/>
      </c>
      <c r="AA2657">
        <f>IF($V2657="",N($AA2656),IF(MATCH($V2657,$V$6:$V$10005,0)=ROW()-5,N($AA2656)+1,N($AA2656)))</f>
        <v>0</v>
      </c>
    </row>
    <row r="2658" spans="1:27" ht="21" customHeight="1" x14ac:dyDescent="0.95">
      <c r="A2658" s="56"/>
      <c r="B2658" s="57"/>
      <c r="C2658" s="57"/>
      <c r="D2658" s="57"/>
      <c r="E2658" s="56"/>
      <c r="F2658" s="57"/>
      <c r="G2658" s="57"/>
      <c r="H2658" s="56"/>
      <c r="I2658" s="56"/>
      <c r="J2658" s="58"/>
      <c r="K2658" s="58"/>
      <c r="L2658" s="13" t="str">
        <f t="shared" si="410"/>
        <v/>
      </c>
      <c r="M2658" s="13" t="str">
        <f t="shared" si="411"/>
        <v/>
      </c>
      <c r="Q2658" t="str">
        <f t="shared" si="412"/>
        <v/>
      </c>
      <c r="R2658" t="str">
        <f t="shared" si="413"/>
        <v/>
      </c>
      <c r="S2658" t="str">
        <f t="shared" si="414"/>
        <v/>
      </c>
      <c r="T2658" t="str">
        <f t="shared" si="415"/>
        <v/>
      </c>
      <c r="U2658" t="str">
        <f t="shared" si="416"/>
        <v/>
      </c>
      <c r="V2658" t="str">
        <f t="shared" si="417"/>
        <v/>
      </c>
      <c r="W2658" t="str">
        <f t="shared" si="418"/>
        <v/>
      </c>
      <c r="X2658">
        <f>IF($T2658="",N($X2657),IF(MATCH($T2658,$T$6:$T$10005,0)=ROW()-5,N($X2657)+1,N($X2657)))</f>
        <v>0</v>
      </c>
      <c r="Z2658" t="str">
        <f t="shared" si="419"/>
        <v/>
      </c>
      <c r="AA2658">
        <f>IF($V2658="",N($AA2657),IF(MATCH($V2658,$V$6:$V$10005,0)=ROW()-5,N($AA2657)+1,N($AA2657)))</f>
        <v>0</v>
      </c>
    </row>
    <row r="2659" spans="1:27" ht="21" customHeight="1" x14ac:dyDescent="0.95">
      <c r="A2659" s="56"/>
      <c r="B2659" s="57"/>
      <c r="C2659" s="57"/>
      <c r="D2659" s="57"/>
      <c r="E2659" s="56"/>
      <c r="F2659" s="57"/>
      <c r="G2659" s="57"/>
      <c r="H2659" s="56"/>
      <c r="I2659" s="56"/>
      <c r="J2659" s="58"/>
      <c r="K2659" s="58"/>
      <c r="L2659" s="13" t="str">
        <f t="shared" si="410"/>
        <v/>
      </c>
      <c r="M2659" s="13" t="str">
        <f t="shared" si="411"/>
        <v/>
      </c>
      <c r="Q2659" t="str">
        <f t="shared" si="412"/>
        <v/>
      </c>
      <c r="R2659" t="str">
        <f t="shared" si="413"/>
        <v/>
      </c>
      <c r="S2659" t="str">
        <f t="shared" si="414"/>
        <v/>
      </c>
      <c r="T2659" t="str">
        <f t="shared" si="415"/>
        <v/>
      </c>
      <c r="U2659" t="str">
        <f t="shared" si="416"/>
        <v/>
      </c>
      <c r="V2659" t="str">
        <f t="shared" si="417"/>
        <v/>
      </c>
      <c r="W2659" t="str">
        <f t="shared" si="418"/>
        <v/>
      </c>
      <c r="X2659">
        <f>IF($T2659="",N($X2658),IF(MATCH($T2659,$T$6:$T$10005,0)=ROW()-5,N($X2658)+1,N($X2658)))</f>
        <v>0</v>
      </c>
      <c r="Z2659" t="str">
        <f t="shared" si="419"/>
        <v/>
      </c>
      <c r="AA2659">
        <f>IF($V2659="",N($AA2658),IF(MATCH($V2659,$V$6:$V$10005,0)=ROW()-5,N($AA2658)+1,N($AA2658)))</f>
        <v>0</v>
      </c>
    </row>
    <row r="2660" spans="1:27" ht="21" customHeight="1" x14ac:dyDescent="0.95">
      <c r="A2660" s="56"/>
      <c r="B2660" s="57"/>
      <c r="C2660" s="57"/>
      <c r="D2660" s="57"/>
      <c r="E2660" s="56"/>
      <c r="F2660" s="57"/>
      <c r="G2660" s="57"/>
      <c r="H2660" s="56"/>
      <c r="I2660" s="56"/>
      <c r="J2660" s="58"/>
      <c r="K2660" s="58"/>
      <c r="L2660" s="13" t="str">
        <f t="shared" si="410"/>
        <v/>
      </c>
      <c r="M2660" s="13" t="str">
        <f t="shared" si="411"/>
        <v/>
      </c>
      <c r="Q2660" t="str">
        <f t="shared" si="412"/>
        <v/>
      </c>
      <c r="R2660" t="str">
        <f t="shared" si="413"/>
        <v/>
      </c>
      <c r="S2660" t="str">
        <f t="shared" si="414"/>
        <v/>
      </c>
      <c r="T2660" t="str">
        <f t="shared" si="415"/>
        <v/>
      </c>
      <c r="U2660" t="str">
        <f t="shared" si="416"/>
        <v/>
      </c>
      <c r="V2660" t="str">
        <f t="shared" si="417"/>
        <v/>
      </c>
      <c r="W2660" t="str">
        <f t="shared" si="418"/>
        <v/>
      </c>
      <c r="X2660">
        <f>IF($T2660="",N($X2659),IF(MATCH($T2660,$T$6:$T$10005,0)=ROW()-5,N($X2659)+1,N($X2659)))</f>
        <v>0</v>
      </c>
      <c r="Z2660" t="str">
        <f t="shared" si="419"/>
        <v/>
      </c>
      <c r="AA2660">
        <f>IF($V2660="",N($AA2659),IF(MATCH($V2660,$V$6:$V$10005,0)=ROW()-5,N($AA2659)+1,N($AA2659)))</f>
        <v>0</v>
      </c>
    </row>
    <row r="2661" spans="1:27" ht="21" customHeight="1" x14ac:dyDescent="0.95">
      <c r="A2661" s="56"/>
      <c r="B2661" s="57"/>
      <c r="C2661" s="57"/>
      <c r="D2661" s="57"/>
      <c r="E2661" s="56"/>
      <c r="F2661" s="57"/>
      <c r="G2661" s="57"/>
      <c r="H2661" s="56"/>
      <c r="I2661" s="56"/>
      <c r="J2661" s="58"/>
      <c r="K2661" s="58"/>
      <c r="L2661" s="13" t="str">
        <f t="shared" si="410"/>
        <v/>
      </c>
      <c r="M2661" s="13" t="str">
        <f t="shared" si="411"/>
        <v/>
      </c>
      <c r="Q2661" t="str">
        <f t="shared" si="412"/>
        <v/>
      </c>
      <c r="R2661" t="str">
        <f t="shared" si="413"/>
        <v/>
      </c>
      <c r="S2661" t="str">
        <f t="shared" si="414"/>
        <v/>
      </c>
      <c r="T2661" t="str">
        <f t="shared" si="415"/>
        <v/>
      </c>
      <c r="U2661" t="str">
        <f t="shared" si="416"/>
        <v/>
      </c>
      <c r="V2661" t="str">
        <f t="shared" si="417"/>
        <v/>
      </c>
      <c r="W2661" t="str">
        <f t="shared" si="418"/>
        <v/>
      </c>
      <c r="X2661">
        <f>IF($T2661="",N($X2660),IF(MATCH($T2661,$T$6:$T$10005,0)=ROW()-5,N($X2660)+1,N($X2660)))</f>
        <v>0</v>
      </c>
      <c r="Z2661" t="str">
        <f t="shared" si="419"/>
        <v/>
      </c>
      <c r="AA2661">
        <f>IF($V2661="",N($AA2660),IF(MATCH($V2661,$V$6:$V$10005,0)=ROW()-5,N($AA2660)+1,N($AA2660)))</f>
        <v>0</v>
      </c>
    </row>
    <row r="2662" spans="1:27" ht="21" customHeight="1" x14ac:dyDescent="0.95">
      <c r="A2662" s="56"/>
      <c r="B2662" s="57"/>
      <c r="C2662" s="57"/>
      <c r="D2662" s="57"/>
      <c r="E2662" s="56"/>
      <c r="F2662" s="57"/>
      <c r="G2662" s="57"/>
      <c r="H2662" s="56"/>
      <c r="I2662" s="56"/>
      <c r="J2662" s="58"/>
      <c r="K2662" s="58"/>
      <c r="L2662" s="13" t="str">
        <f t="shared" si="410"/>
        <v/>
      </c>
      <c r="M2662" s="13" t="str">
        <f t="shared" si="411"/>
        <v/>
      </c>
      <c r="Q2662" t="str">
        <f t="shared" si="412"/>
        <v/>
      </c>
      <c r="R2662" t="str">
        <f t="shared" si="413"/>
        <v/>
      </c>
      <c r="S2662" t="str">
        <f t="shared" si="414"/>
        <v/>
      </c>
      <c r="T2662" t="str">
        <f t="shared" si="415"/>
        <v/>
      </c>
      <c r="U2662" t="str">
        <f t="shared" si="416"/>
        <v/>
      </c>
      <c r="V2662" t="str">
        <f t="shared" si="417"/>
        <v/>
      </c>
      <c r="W2662" t="str">
        <f t="shared" si="418"/>
        <v/>
      </c>
      <c r="X2662">
        <f>IF($T2662="",N($X2661),IF(MATCH($T2662,$T$6:$T$10005,0)=ROW()-5,N($X2661)+1,N($X2661)))</f>
        <v>0</v>
      </c>
      <c r="Z2662" t="str">
        <f t="shared" si="419"/>
        <v/>
      </c>
      <c r="AA2662">
        <f>IF($V2662="",N($AA2661),IF(MATCH($V2662,$V$6:$V$10005,0)=ROW()-5,N($AA2661)+1,N($AA2661)))</f>
        <v>0</v>
      </c>
    </row>
    <row r="2663" spans="1:27" ht="21" customHeight="1" x14ac:dyDescent="0.95">
      <c r="A2663" s="56"/>
      <c r="B2663" s="57"/>
      <c r="C2663" s="57"/>
      <c r="D2663" s="57"/>
      <c r="E2663" s="56"/>
      <c r="F2663" s="57"/>
      <c r="G2663" s="57"/>
      <c r="H2663" s="56"/>
      <c r="I2663" s="56"/>
      <c r="J2663" s="58"/>
      <c r="K2663" s="58"/>
      <c r="L2663" s="13" t="str">
        <f t="shared" si="410"/>
        <v/>
      </c>
      <c r="M2663" s="13" t="str">
        <f t="shared" si="411"/>
        <v/>
      </c>
      <c r="Q2663" t="str">
        <f t="shared" si="412"/>
        <v/>
      </c>
      <c r="R2663" t="str">
        <f t="shared" si="413"/>
        <v/>
      </c>
      <c r="S2663" t="str">
        <f t="shared" si="414"/>
        <v/>
      </c>
      <c r="T2663" t="str">
        <f t="shared" si="415"/>
        <v/>
      </c>
      <c r="U2663" t="str">
        <f t="shared" si="416"/>
        <v/>
      </c>
      <c r="V2663" t="str">
        <f t="shared" si="417"/>
        <v/>
      </c>
      <c r="W2663" t="str">
        <f t="shared" si="418"/>
        <v/>
      </c>
      <c r="X2663">
        <f>IF($T2663="",N($X2662),IF(MATCH($T2663,$T$6:$T$10005,0)=ROW()-5,N($X2662)+1,N($X2662)))</f>
        <v>0</v>
      </c>
      <c r="Z2663" t="str">
        <f t="shared" si="419"/>
        <v/>
      </c>
      <c r="AA2663">
        <f>IF($V2663="",N($AA2662),IF(MATCH($V2663,$V$6:$V$10005,0)=ROW()-5,N($AA2662)+1,N($AA2662)))</f>
        <v>0</v>
      </c>
    </row>
    <row r="2664" spans="1:27" ht="21" customHeight="1" x14ac:dyDescent="0.95">
      <c r="A2664" s="56"/>
      <c r="B2664" s="57"/>
      <c r="C2664" s="57"/>
      <c r="D2664" s="57"/>
      <c r="E2664" s="56"/>
      <c r="F2664" s="57"/>
      <c r="G2664" s="57"/>
      <c r="H2664" s="56"/>
      <c r="I2664" s="56"/>
      <c r="J2664" s="58"/>
      <c r="K2664" s="58"/>
      <c r="L2664" s="13" t="str">
        <f t="shared" si="410"/>
        <v/>
      </c>
      <c r="M2664" s="13" t="str">
        <f t="shared" si="411"/>
        <v/>
      </c>
      <c r="Q2664" t="str">
        <f t="shared" si="412"/>
        <v/>
      </c>
      <c r="R2664" t="str">
        <f t="shared" si="413"/>
        <v/>
      </c>
      <c r="S2664" t="str">
        <f t="shared" si="414"/>
        <v/>
      </c>
      <c r="T2664" t="str">
        <f t="shared" si="415"/>
        <v/>
      </c>
      <c r="U2664" t="str">
        <f t="shared" si="416"/>
        <v/>
      </c>
      <c r="V2664" t="str">
        <f t="shared" si="417"/>
        <v/>
      </c>
      <c r="W2664" t="str">
        <f t="shared" si="418"/>
        <v/>
      </c>
      <c r="X2664">
        <f>IF($T2664="",N($X2663),IF(MATCH($T2664,$T$6:$T$10005,0)=ROW()-5,N($X2663)+1,N($X2663)))</f>
        <v>0</v>
      </c>
      <c r="Z2664" t="str">
        <f t="shared" si="419"/>
        <v/>
      </c>
      <c r="AA2664">
        <f>IF($V2664="",N($AA2663),IF(MATCH($V2664,$V$6:$V$10005,0)=ROW()-5,N($AA2663)+1,N($AA2663)))</f>
        <v>0</v>
      </c>
    </row>
    <row r="2665" spans="1:27" ht="21" customHeight="1" x14ac:dyDescent="0.95">
      <c r="A2665" s="56"/>
      <c r="B2665" s="57"/>
      <c r="C2665" s="57"/>
      <c r="D2665" s="57"/>
      <c r="E2665" s="56"/>
      <c r="F2665" s="57"/>
      <c r="G2665" s="57"/>
      <c r="H2665" s="56"/>
      <c r="I2665" s="56"/>
      <c r="J2665" s="58"/>
      <c r="K2665" s="58"/>
      <c r="L2665" s="13" t="str">
        <f t="shared" si="410"/>
        <v/>
      </c>
      <c r="M2665" s="13" t="str">
        <f t="shared" si="411"/>
        <v/>
      </c>
      <c r="Q2665" t="str">
        <f t="shared" si="412"/>
        <v/>
      </c>
      <c r="R2665" t="str">
        <f t="shared" si="413"/>
        <v/>
      </c>
      <c r="S2665" t="str">
        <f t="shared" si="414"/>
        <v/>
      </c>
      <c r="T2665" t="str">
        <f t="shared" si="415"/>
        <v/>
      </c>
      <c r="U2665" t="str">
        <f t="shared" si="416"/>
        <v/>
      </c>
      <c r="V2665" t="str">
        <f t="shared" si="417"/>
        <v/>
      </c>
      <c r="W2665" t="str">
        <f t="shared" si="418"/>
        <v/>
      </c>
      <c r="X2665">
        <f>IF($T2665="",N($X2664),IF(MATCH($T2665,$T$6:$T$10005,0)=ROW()-5,N($X2664)+1,N($X2664)))</f>
        <v>0</v>
      </c>
      <c r="Z2665" t="str">
        <f t="shared" si="419"/>
        <v/>
      </c>
      <c r="AA2665">
        <f>IF($V2665="",N($AA2664),IF(MATCH($V2665,$V$6:$V$10005,0)=ROW()-5,N($AA2664)+1,N($AA2664)))</f>
        <v>0</v>
      </c>
    </row>
    <row r="2666" spans="1:27" ht="21" customHeight="1" x14ac:dyDescent="0.95">
      <c r="A2666" s="56"/>
      <c r="B2666" s="57"/>
      <c r="C2666" s="57"/>
      <c r="D2666" s="57"/>
      <c r="E2666" s="56"/>
      <c r="F2666" s="57"/>
      <c r="G2666" s="57"/>
      <c r="H2666" s="56"/>
      <c r="I2666" s="56"/>
      <c r="J2666" s="58"/>
      <c r="K2666" s="58"/>
      <c r="L2666" s="13" t="str">
        <f t="shared" si="410"/>
        <v/>
      </c>
      <c r="M2666" s="13" t="str">
        <f t="shared" si="411"/>
        <v/>
      </c>
      <c r="Q2666" t="str">
        <f t="shared" si="412"/>
        <v/>
      </c>
      <c r="R2666" t="str">
        <f t="shared" si="413"/>
        <v/>
      </c>
      <c r="S2666" t="str">
        <f t="shared" si="414"/>
        <v/>
      </c>
      <c r="T2666" t="str">
        <f t="shared" si="415"/>
        <v/>
      </c>
      <c r="U2666" t="str">
        <f t="shared" si="416"/>
        <v/>
      </c>
      <c r="V2666" t="str">
        <f t="shared" si="417"/>
        <v/>
      </c>
      <c r="W2666" t="str">
        <f t="shared" si="418"/>
        <v/>
      </c>
      <c r="X2666">
        <f>IF($T2666="",N($X2665),IF(MATCH($T2666,$T$6:$T$10005,0)=ROW()-5,N($X2665)+1,N($X2665)))</f>
        <v>0</v>
      </c>
      <c r="Z2666" t="str">
        <f t="shared" si="419"/>
        <v/>
      </c>
      <c r="AA2666">
        <f>IF($V2666="",N($AA2665),IF(MATCH($V2666,$V$6:$V$10005,0)=ROW()-5,N($AA2665)+1,N($AA2665)))</f>
        <v>0</v>
      </c>
    </row>
    <row r="2667" spans="1:27" ht="21" customHeight="1" x14ac:dyDescent="0.95">
      <c r="A2667" s="56"/>
      <c r="B2667" s="57"/>
      <c r="C2667" s="57"/>
      <c r="D2667" s="57"/>
      <c r="E2667" s="56"/>
      <c r="F2667" s="57"/>
      <c r="G2667" s="57"/>
      <c r="H2667" s="56"/>
      <c r="I2667" s="56"/>
      <c r="J2667" s="58"/>
      <c r="K2667" s="58"/>
      <c r="L2667" s="13" t="str">
        <f t="shared" si="410"/>
        <v/>
      </c>
      <c r="M2667" s="13" t="str">
        <f t="shared" si="411"/>
        <v/>
      </c>
      <c r="Q2667" t="str">
        <f t="shared" si="412"/>
        <v/>
      </c>
      <c r="R2667" t="str">
        <f t="shared" si="413"/>
        <v/>
      </c>
      <c r="S2667" t="str">
        <f t="shared" si="414"/>
        <v/>
      </c>
      <c r="T2667" t="str">
        <f t="shared" si="415"/>
        <v/>
      </c>
      <c r="U2667" t="str">
        <f t="shared" si="416"/>
        <v/>
      </c>
      <c r="V2667" t="str">
        <f t="shared" si="417"/>
        <v/>
      </c>
      <c r="W2667" t="str">
        <f t="shared" si="418"/>
        <v/>
      </c>
      <c r="X2667">
        <f>IF($T2667="",N($X2666),IF(MATCH($T2667,$T$6:$T$10005,0)=ROW()-5,N($X2666)+1,N($X2666)))</f>
        <v>0</v>
      </c>
      <c r="Z2667" t="str">
        <f t="shared" si="419"/>
        <v/>
      </c>
      <c r="AA2667">
        <f>IF($V2667="",N($AA2666),IF(MATCH($V2667,$V$6:$V$10005,0)=ROW()-5,N($AA2666)+1,N($AA2666)))</f>
        <v>0</v>
      </c>
    </row>
    <row r="2668" spans="1:27" ht="21" customHeight="1" x14ac:dyDescent="0.95">
      <c r="A2668" s="56"/>
      <c r="B2668" s="57"/>
      <c r="C2668" s="57"/>
      <c r="D2668" s="57"/>
      <c r="E2668" s="56"/>
      <c r="F2668" s="57"/>
      <c r="G2668" s="57"/>
      <c r="H2668" s="56"/>
      <c r="I2668" s="56"/>
      <c r="J2668" s="58"/>
      <c r="K2668" s="58"/>
      <c r="L2668" s="13" t="str">
        <f t="shared" si="410"/>
        <v/>
      </c>
      <c r="M2668" s="13" t="str">
        <f t="shared" si="411"/>
        <v/>
      </c>
      <c r="Q2668" t="str">
        <f t="shared" si="412"/>
        <v/>
      </c>
      <c r="R2668" t="str">
        <f t="shared" si="413"/>
        <v/>
      </c>
      <c r="S2668" t="str">
        <f t="shared" si="414"/>
        <v/>
      </c>
      <c r="T2668" t="str">
        <f t="shared" si="415"/>
        <v/>
      </c>
      <c r="U2668" t="str">
        <f t="shared" si="416"/>
        <v/>
      </c>
      <c r="V2668" t="str">
        <f t="shared" si="417"/>
        <v/>
      </c>
      <c r="W2668" t="str">
        <f t="shared" si="418"/>
        <v/>
      </c>
      <c r="X2668">
        <f>IF($T2668="",N($X2667),IF(MATCH($T2668,$T$6:$T$10005,0)=ROW()-5,N($X2667)+1,N($X2667)))</f>
        <v>0</v>
      </c>
      <c r="Z2668" t="str">
        <f t="shared" si="419"/>
        <v/>
      </c>
      <c r="AA2668">
        <f>IF($V2668="",N($AA2667),IF(MATCH($V2668,$V$6:$V$10005,0)=ROW()-5,N($AA2667)+1,N($AA2667)))</f>
        <v>0</v>
      </c>
    </row>
    <row r="2669" spans="1:27" ht="21" customHeight="1" x14ac:dyDescent="0.95">
      <c r="A2669" s="56"/>
      <c r="B2669" s="57"/>
      <c r="C2669" s="57"/>
      <c r="D2669" s="57"/>
      <c r="E2669" s="56"/>
      <c r="F2669" s="57"/>
      <c r="G2669" s="57"/>
      <c r="H2669" s="56"/>
      <c r="I2669" s="56"/>
      <c r="J2669" s="58"/>
      <c r="K2669" s="58"/>
      <c r="L2669" s="13" t="str">
        <f t="shared" si="410"/>
        <v/>
      </c>
      <c r="M2669" s="13" t="str">
        <f t="shared" si="411"/>
        <v/>
      </c>
      <c r="Q2669" t="str">
        <f t="shared" si="412"/>
        <v/>
      </c>
      <c r="R2669" t="str">
        <f t="shared" si="413"/>
        <v/>
      </c>
      <c r="S2669" t="str">
        <f t="shared" si="414"/>
        <v/>
      </c>
      <c r="T2669" t="str">
        <f t="shared" si="415"/>
        <v/>
      </c>
      <c r="U2669" t="str">
        <f t="shared" si="416"/>
        <v/>
      </c>
      <c r="V2669" t="str">
        <f t="shared" si="417"/>
        <v/>
      </c>
      <c r="W2669" t="str">
        <f t="shared" si="418"/>
        <v/>
      </c>
      <c r="X2669">
        <f>IF($T2669="",N($X2668),IF(MATCH($T2669,$T$6:$T$10005,0)=ROW()-5,N($X2668)+1,N($X2668)))</f>
        <v>0</v>
      </c>
      <c r="Z2669" t="str">
        <f t="shared" si="419"/>
        <v/>
      </c>
      <c r="AA2669">
        <f>IF($V2669="",N($AA2668),IF(MATCH($V2669,$V$6:$V$10005,0)=ROW()-5,N($AA2668)+1,N($AA2668)))</f>
        <v>0</v>
      </c>
    </row>
    <row r="2670" spans="1:27" ht="21" customHeight="1" x14ac:dyDescent="0.95">
      <c r="A2670" s="56"/>
      <c r="B2670" s="57"/>
      <c r="C2670" s="57"/>
      <c r="D2670" s="57"/>
      <c r="E2670" s="56"/>
      <c r="F2670" s="57"/>
      <c r="G2670" s="57"/>
      <c r="H2670" s="56"/>
      <c r="I2670" s="56"/>
      <c r="J2670" s="58"/>
      <c r="K2670" s="58"/>
      <c r="L2670" s="13" t="str">
        <f t="shared" si="410"/>
        <v/>
      </c>
      <c r="M2670" s="13" t="str">
        <f t="shared" si="411"/>
        <v/>
      </c>
      <c r="Q2670" t="str">
        <f t="shared" si="412"/>
        <v/>
      </c>
      <c r="R2670" t="str">
        <f t="shared" si="413"/>
        <v/>
      </c>
      <c r="S2670" t="str">
        <f t="shared" si="414"/>
        <v/>
      </c>
      <c r="T2670" t="str">
        <f t="shared" si="415"/>
        <v/>
      </c>
      <c r="U2670" t="str">
        <f t="shared" si="416"/>
        <v/>
      </c>
      <c r="V2670" t="str">
        <f t="shared" si="417"/>
        <v/>
      </c>
      <c r="W2670" t="str">
        <f t="shared" si="418"/>
        <v/>
      </c>
      <c r="X2670">
        <f>IF($T2670="",N($X2669),IF(MATCH($T2670,$T$6:$T$10005,0)=ROW()-5,N($X2669)+1,N($X2669)))</f>
        <v>0</v>
      </c>
      <c r="Z2670" t="str">
        <f t="shared" si="419"/>
        <v/>
      </c>
      <c r="AA2670">
        <f>IF($V2670="",N($AA2669),IF(MATCH($V2670,$V$6:$V$10005,0)=ROW()-5,N($AA2669)+1,N($AA2669)))</f>
        <v>0</v>
      </c>
    </row>
    <row r="2671" spans="1:27" ht="21" customHeight="1" x14ac:dyDescent="0.95">
      <c r="A2671" s="56"/>
      <c r="B2671" s="57"/>
      <c r="C2671" s="57"/>
      <c r="D2671" s="57"/>
      <c r="E2671" s="56"/>
      <c r="F2671" s="57"/>
      <c r="G2671" s="57"/>
      <c r="H2671" s="56"/>
      <c r="I2671" s="56"/>
      <c r="J2671" s="58"/>
      <c r="K2671" s="58"/>
      <c r="L2671" s="13" t="str">
        <f t="shared" si="410"/>
        <v/>
      </c>
      <c r="M2671" s="13" t="str">
        <f t="shared" si="411"/>
        <v/>
      </c>
      <c r="Q2671" t="str">
        <f t="shared" si="412"/>
        <v/>
      </c>
      <c r="R2671" t="str">
        <f t="shared" si="413"/>
        <v/>
      </c>
      <c r="S2671" t="str">
        <f t="shared" si="414"/>
        <v/>
      </c>
      <c r="T2671" t="str">
        <f t="shared" si="415"/>
        <v/>
      </c>
      <c r="U2671" t="str">
        <f t="shared" si="416"/>
        <v/>
      </c>
      <c r="V2671" t="str">
        <f t="shared" si="417"/>
        <v/>
      </c>
      <c r="W2671" t="str">
        <f t="shared" si="418"/>
        <v/>
      </c>
      <c r="X2671">
        <f>IF($T2671="",N($X2670),IF(MATCH($T2671,$T$6:$T$10005,0)=ROW()-5,N($X2670)+1,N($X2670)))</f>
        <v>0</v>
      </c>
      <c r="Z2671" t="str">
        <f t="shared" si="419"/>
        <v/>
      </c>
      <c r="AA2671">
        <f>IF($V2671="",N($AA2670),IF(MATCH($V2671,$V$6:$V$10005,0)=ROW()-5,N($AA2670)+1,N($AA2670)))</f>
        <v>0</v>
      </c>
    </row>
    <row r="2672" spans="1:27" ht="21" customHeight="1" x14ac:dyDescent="0.95">
      <c r="A2672" s="56"/>
      <c r="B2672" s="57"/>
      <c r="C2672" s="57"/>
      <c r="D2672" s="57"/>
      <c r="E2672" s="56"/>
      <c r="F2672" s="57"/>
      <c r="G2672" s="57"/>
      <c r="H2672" s="56"/>
      <c r="I2672" s="56"/>
      <c r="J2672" s="58"/>
      <c r="K2672" s="58"/>
      <c r="L2672" s="13" t="str">
        <f t="shared" si="410"/>
        <v/>
      </c>
      <c r="M2672" s="13" t="str">
        <f t="shared" si="411"/>
        <v/>
      </c>
      <c r="Q2672" t="str">
        <f t="shared" si="412"/>
        <v/>
      </c>
      <c r="R2672" t="str">
        <f t="shared" si="413"/>
        <v/>
      </c>
      <c r="S2672" t="str">
        <f t="shared" si="414"/>
        <v/>
      </c>
      <c r="T2672" t="str">
        <f t="shared" si="415"/>
        <v/>
      </c>
      <c r="U2672" t="str">
        <f t="shared" si="416"/>
        <v/>
      </c>
      <c r="V2672" t="str">
        <f t="shared" si="417"/>
        <v/>
      </c>
      <c r="W2672" t="str">
        <f t="shared" si="418"/>
        <v/>
      </c>
      <c r="X2672">
        <f>IF($T2672="",N($X2671),IF(MATCH($T2672,$T$6:$T$10005,0)=ROW()-5,N($X2671)+1,N($X2671)))</f>
        <v>0</v>
      </c>
      <c r="Z2672" t="str">
        <f t="shared" si="419"/>
        <v/>
      </c>
      <c r="AA2672">
        <f>IF($V2672="",N($AA2671),IF(MATCH($V2672,$V$6:$V$10005,0)=ROW()-5,N($AA2671)+1,N($AA2671)))</f>
        <v>0</v>
      </c>
    </row>
    <row r="2673" spans="1:27" ht="21" customHeight="1" x14ac:dyDescent="0.95">
      <c r="A2673" s="56"/>
      <c r="B2673" s="57"/>
      <c r="C2673" s="57"/>
      <c r="D2673" s="57"/>
      <c r="E2673" s="56"/>
      <c r="F2673" s="57"/>
      <c r="G2673" s="57"/>
      <c r="H2673" s="56"/>
      <c r="I2673" s="56"/>
      <c r="J2673" s="58"/>
      <c r="K2673" s="58"/>
      <c r="L2673" s="13" t="str">
        <f t="shared" si="410"/>
        <v/>
      </c>
      <c r="M2673" s="13" t="str">
        <f t="shared" si="411"/>
        <v/>
      </c>
      <c r="Q2673" t="str">
        <f t="shared" si="412"/>
        <v/>
      </c>
      <c r="R2673" t="str">
        <f t="shared" si="413"/>
        <v/>
      </c>
      <c r="S2673" t="str">
        <f t="shared" si="414"/>
        <v/>
      </c>
      <c r="T2673" t="str">
        <f t="shared" si="415"/>
        <v/>
      </c>
      <c r="U2673" t="str">
        <f t="shared" si="416"/>
        <v/>
      </c>
      <c r="V2673" t="str">
        <f t="shared" si="417"/>
        <v/>
      </c>
      <c r="W2673" t="str">
        <f t="shared" si="418"/>
        <v/>
      </c>
      <c r="X2673">
        <f>IF($T2673="",N($X2672),IF(MATCH($T2673,$T$6:$T$10005,0)=ROW()-5,N($X2672)+1,N($X2672)))</f>
        <v>0</v>
      </c>
      <c r="Z2673" t="str">
        <f t="shared" si="419"/>
        <v/>
      </c>
      <c r="AA2673">
        <f>IF($V2673="",N($AA2672),IF(MATCH($V2673,$V$6:$V$10005,0)=ROW()-5,N($AA2672)+1,N($AA2672)))</f>
        <v>0</v>
      </c>
    </row>
    <row r="2674" spans="1:27" ht="21" customHeight="1" x14ac:dyDescent="0.95">
      <c r="A2674" s="56"/>
      <c r="B2674" s="57"/>
      <c r="C2674" s="57"/>
      <c r="D2674" s="57"/>
      <c r="E2674" s="56"/>
      <c r="F2674" s="57"/>
      <c r="G2674" s="57"/>
      <c r="H2674" s="56"/>
      <c r="I2674" s="56"/>
      <c r="J2674" s="58"/>
      <c r="K2674" s="58"/>
      <c r="L2674" s="13" t="str">
        <f t="shared" si="410"/>
        <v/>
      </c>
      <c r="M2674" s="13" t="str">
        <f t="shared" si="411"/>
        <v/>
      </c>
      <c r="Q2674" t="str">
        <f t="shared" si="412"/>
        <v/>
      </c>
      <c r="R2674" t="str">
        <f t="shared" si="413"/>
        <v/>
      </c>
      <c r="S2674" t="str">
        <f t="shared" si="414"/>
        <v/>
      </c>
      <c r="T2674" t="str">
        <f t="shared" si="415"/>
        <v/>
      </c>
      <c r="U2674" t="str">
        <f t="shared" si="416"/>
        <v/>
      </c>
      <c r="V2674" t="str">
        <f t="shared" si="417"/>
        <v/>
      </c>
      <c r="W2674" t="str">
        <f t="shared" si="418"/>
        <v/>
      </c>
      <c r="X2674">
        <f>IF($T2674="",N($X2673),IF(MATCH($T2674,$T$6:$T$10005,0)=ROW()-5,N($X2673)+1,N($X2673)))</f>
        <v>0</v>
      </c>
      <c r="Z2674" t="str">
        <f t="shared" si="419"/>
        <v/>
      </c>
      <c r="AA2674">
        <f>IF($V2674="",N($AA2673),IF(MATCH($V2674,$V$6:$V$10005,0)=ROW()-5,N($AA2673)+1,N($AA2673)))</f>
        <v>0</v>
      </c>
    </row>
    <row r="2675" spans="1:27" ht="21" customHeight="1" x14ac:dyDescent="0.95">
      <c r="A2675" s="56"/>
      <c r="B2675" s="57"/>
      <c r="C2675" s="57"/>
      <c r="D2675" s="57"/>
      <c r="E2675" s="56"/>
      <c r="F2675" s="57"/>
      <c r="G2675" s="57"/>
      <c r="H2675" s="56"/>
      <c r="I2675" s="56"/>
      <c r="J2675" s="58"/>
      <c r="K2675" s="58"/>
      <c r="L2675" s="13" t="str">
        <f t="shared" si="410"/>
        <v/>
      </c>
      <c r="M2675" s="13" t="str">
        <f t="shared" si="411"/>
        <v/>
      </c>
      <c r="Q2675" t="str">
        <f t="shared" si="412"/>
        <v/>
      </c>
      <c r="R2675" t="str">
        <f t="shared" si="413"/>
        <v/>
      </c>
      <c r="S2675" t="str">
        <f t="shared" si="414"/>
        <v/>
      </c>
      <c r="T2675" t="str">
        <f t="shared" si="415"/>
        <v/>
      </c>
      <c r="U2675" t="str">
        <f t="shared" si="416"/>
        <v/>
      </c>
      <c r="V2675" t="str">
        <f t="shared" si="417"/>
        <v/>
      </c>
      <c r="W2675" t="str">
        <f t="shared" si="418"/>
        <v/>
      </c>
      <c r="X2675">
        <f>IF($T2675="",N($X2674),IF(MATCH($T2675,$T$6:$T$10005,0)=ROW()-5,N($X2674)+1,N($X2674)))</f>
        <v>0</v>
      </c>
      <c r="Z2675" t="str">
        <f t="shared" si="419"/>
        <v/>
      </c>
      <c r="AA2675">
        <f>IF($V2675="",N($AA2674),IF(MATCH($V2675,$V$6:$V$10005,0)=ROW()-5,N($AA2674)+1,N($AA2674)))</f>
        <v>0</v>
      </c>
    </row>
    <row r="2676" spans="1:27" ht="21" customHeight="1" x14ac:dyDescent="0.95">
      <c r="A2676" s="56"/>
      <c r="B2676" s="57"/>
      <c r="C2676" s="57"/>
      <c r="D2676" s="57"/>
      <c r="E2676" s="56"/>
      <c r="F2676" s="57"/>
      <c r="G2676" s="57"/>
      <c r="H2676" s="56"/>
      <c r="I2676" s="56"/>
      <c r="J2676" s="58"/>
      <c r="K2676" s="58"/>
      <c r="L2676" s="13" t="str">
        <f t="shared" si="410"/>
        <v/>
      </c>
      <c r="M2676" s="13" t="str">
        <f t="shared" si="411"/>
        <v/>
      </c>
      <c r="Q2676" t="str">
        <f t="shared" si="412"/>
        <v/>
      </c>
      <c r="R2676" t="str">
        <f t="shared" si="413"/>
        <v/>
      </c>
      <c r="S2676" t="str">
        <f t="shared" si="414"/>
        <v/>
      </c>
      <c r="T2676" t="str">
        <f t="shared" si="415"/>
        <v/>
      </c>
      <c r="U2676" t="str">
        <f t="shared" si="416"/>
        <v/>
      </c>
      <c r="V2676" t="str">
        <f t="shared" si="417"/>
        <v/>
      </c>
      <c r="W2676" t="str">
        <f t="shared" si="418"/>
        <v/>
      </c>
      <c r="X2676">
        <f>IF($T2676="",N($X2675),IF(MATCH($T2676,$T$6:$T$10005,0)=ROW()-5,N($X2675)+1,N($X2675)))</f>
        <v>0</v>
      </c>
      <c r="Z2676" t="str">
        <f t="shared" si="419"/>
        <v/>
      </c>
      <c r="AA2676">
        <f>IF($V2676="",N($AA2675),IF(MATCH($V2676,$V$6:$V$10005,0)=ROW()-5,N($AA2675)+1,N($AA2675)))</f>
        <v>0</v>
      </c>
    </row>
    <row r="2677" spans="1:27" ht="21" customHeight="1" x14ac:dyDescent="0.95">
      <c r="A2677" s="56"/>
      <c r="B2677" s="57"/>
      <c r="C2677" s="57"/>
      <c r="D2677" s="57"/>
      <c r="E2677" s="56"/>
      <c r="F2677" s="57"/>
      <c r="G2677" s="57"/>
      <c r="H2677" s="56"/>
      <c r="I2677" s="56"/>
      <c r="J2677" s="58"/>
      <c r="K2677" s="58"/>
      <c r="L2677" s="13" t="str">
        <f t="shared" si="410"/>
        <v/>
      </c>
      <c r="M2677" s="13" t="str">
        <f t="shared" si="411"/>
        <v/>
      </c>
      <c r="Q2677" t="str">
        <f t="shared" si="412"/>
        <v/>
      </c>
      <c r="R2677" t="str">
        <f t="shared" si="413"/>
        <v/>
      </c>
      <c r="S2677" t="str">
        <f t="shared" si="414"/>
        <v/>
      </c>
      <c r="T2677" t="str">
        <f t="shared" si="415"/>
        <v/>
      </c>
      <c r="U2677" t="str">
        <f t="shared" si="416"/>
        <v/>
      </c>
      <c r="V2677" t="str">
        <f t="shared" si="417"/>
        <v/>
      </c>
      <c r="W2677" t="str">
        <f t="shared" si="418"/>
        <v/>
      </c>
      <c r="X2677">
        <f>IF($T2677="",N($X2676),IF(MATCH($T2677,$T$6:$T$10005,0)=ROW()-5,N($X2676)+1,N($X2676)))</f>
        <v>0</v>
      </c>
      <c r="Z2677" t="str">
        <f t="shared" si="419"/>
        <v/>
      </c>
      <c r="AA2677">
        <f>IF($V2677="",N($AA2676),IF(MATCH($V2677,$V$6:$V$10005,0)=ROW()-5,N($AA2676)+1,N($AA2676)))</f>
        <v>0</v>
      </c>
    </row>
    <row r="2678" spans="1:27" ht="21" customHeight="1" x14ac:dyDescent="0.95">
      <c r="A2678" s="56"/>
      <c r="B2678" s="57"/>
      <c r="C2678" s="57"/>
      <c r="D2678" s="57"/>
      <c r="E2678" s="56"/>
      <c r="F2678" s="57"/>
      <c r="G2678" s="57"/>
      <c r="H2678" s="56"/>
      <c r="I2678" s="56"/>
      <c r="J2678" s="58"/>
      <c r="K2678" s="58"/>
      <c r="L2678" s="13" t="str">
        <f t="shared" si="410"/>
        <v/>
      </c>
      <c r="M2678" s="13" t="str">
        <f t="shared" si="411"/>
        <v/>
      </c>
      <c r="Q2678" t="str">
        <f t="shared" si="412"/>
        <v/>
      </c>
      <c r="R2678" t="str">
        <f t="shared" si="413"/>
        <v/>
      </c>
      <c r="S2678" t="str">
        <f t="shared" si="414"/>
        <v/>
      </c>
      <c r="T2678" t="str">
        <f t="shared" si="415"/>
        <v/>
      </c>
      <c r="U2678" t="str">
        <f t="shared" si="416"/>
        <v/>
      </c>
      <c r="V2678" t="str">
        <f t="shared" si="417"/>
        <v/>
      </c>
      <c r="W2678" t="str">
        <f t="shared" si="418"/>
        <v/>
      </c>
      <c r="X2678">
        <f>IF($T2678="",N($X2677),IF(MATCH($T2678,$T$6:$T$10005,0)=ROW()-5,N($X2677)+1,N($X2677)))</f>
        <v>0</v>
      </c>
      <c r="Z2678" t="str">
        <f t="shared" si="419"/>
        <v/>
      </c>
      <c r="AA2678">
        <f>IF($V2678="",N($AA2677),IF(MATCH($V2678,$V$6:$V$10005,0)=ROW()-5,N($AA2677)+1,N($AA2677)))</f>
        <v>0</v>
      </c>
    </row>
    <row r="2679" spans="1:27" ht="21" customHeight="1" x14ac:dyDescent="0.95">
      <c r="A2679" s="56"/>
      <c r="B2679" s="57"/>
      <c r="C2679" s="57"/>
      <c r="D2679" s="57"/>
      <c r="E2679" s="56"/>
      <c r="F2679" s="57"/>
      <c r="G2679" s="57"/>
      <c r="H2679" s="56"/>
      <c r="I2679" s="56"/>
      <c r="J2679" s="58"/>
      <c r="K2679" s="58"/>
      <c r="L2679" s="13" t="str">
        <f t="shared" si="410"/>
        <v/>
      </c>
      <c r="M2679" s="13" t="str">
        <f t="shared" si="411"/>
        <v/>
      </c>
      <c r="Q2679" t="str">
        <f t="shared" si="412"/>
        <v/>
      </c>
      <c r="R2679" t="str">
        <f t="shared" si="413"/>
        <v/>
      </c>
      <c r="S2679" t="str">
        <f t="shared" si="414"/>
        <v/>
      </c>
      <c r="T2679" t="str">
        <f t="shared" si="415"/>
        <v/>
      </c>
      <c r="U2679" t="str">
        <f t="shared" si="416"/>
        <v/>
      </c>
      <c r="V2679" t="str">
        <f t="shared" si="417"/>
        <v/>
      </c>
      <c r="W2679" t="str">
        <f t="shared" si="418"/>
        <v/>
      </c>
      <c r="X2679">
        <f>IF($T2679="",N($X2678),IF(MATCH($T2679,$T$6:$T$10005,0)=ROW()-5,N($X2678)+1,N($X2678)))</f>
        <v>0</v>
      </c>
      <c r="Z2679" t="str">
        <f t="shared" si="419"/>
        <v/>
      </c>
      <c r="AA2679">
        <f>IF($V2679="",N($AA2678),IF(MATCH($V2679,$V$6:$V$10005,0)=ROW()-5,N($AA2678)+1,N($AA2678)))</f>
        <v>0</v>
      </c>
    </row>
    <row r="2680" spans="1:27" ht="21" customHeight="1" x14ac:dyDescent="0.95">
      <c r="A2680" s="56"/>
      <c r="B2680" s="57"/>
      <c r="C2680" s="57"/>
      <c r="D2680" s="57"/>
      <c r="E2680" s="56"/>
      <c r="F2680" s="57"/>
      <c r="G2680" s="57"/>
      <c r="H2680" s="56"/>
      <c r="I2680" s="56"/>
      <c r="J2680" s="58"/>
      <c r="K2680" s="58"/>
      <c r="L2680" s="13" t="str">
        <f t="shared" si="410"/>
        <v/>
      </c>
      <c r="M2680" s="13" t="str">
        <f t="shared" si="411"/>
        <v/>
      </c>
      <c r="Q2680" t="str">
        <f t="shared" si="412"/>
        <v/>
      </c>
      <c r="R2680" t="str">
        <f t="shared" si="413"/>
        <v/>
      </c>
      <c r="S2680" t="str">
        <f t="shared" si="414"/>
        <v/>
      </c>
      <c r="T2680" t="str">
        <f t="shared" si="415"/>
        <v/>
      </c>
      <c r="U2680" t="str">
        <f t="shared" si="416"/>
        <v/>
      </c>
      <c r="V2680" t="str">
        <f t="shared" si="417"/>
        <v/>
      </c>
      <c r="W2680" t="str">
        <f t="shared" si="418"/>
        <v/>
      </c>
      <c r="X2680">
        <f>IF($T2680="",N($X2679),IF(MATCH($T2680,$T$6:$T$10005,0)=ROW()-5,N($X2679)+1,N($X2679)))</f>
        <v>0</v>
      </c>
      <c r="Z2680" t="str">
        <f t="shared" si="419"/>
        <v/>
      </c>
      <c r="AA2680">
        <f>IF($V2680="",N($AA2679),IF(MATCH($V2680,$V$6:$V$10005,0)=ROW()-5,N($AA2679)+1,N($AA2679)))</f>
        <v>0</v>
      </c>
    </row>
    <row r="2681" spans="1:27" ht="21" customHeight="1" x14ac:dyDescent="0.95">
      <c r="A2681" s="56"/>
      <c r="B2681" s="57"/>
      <c r="C2681" s="57"/>
      <c r="D2681" s="57"/>
      <c r="E2681" s="56"/>
      <c r="F2681" s="57"/>
      <c r="G2681" s="57"/>
      <c r="H2681" s="56"/>
      <c r="I2681" s="56"/>
      <c r="J2681" s="58"/>
      <c r="K2681" s="58"/>
      <c r="L2681" s="13" t="str">
        <f t="shared" si="410"/>
        <v/>
      </c>
      <c r="M2681" s="13" t="str">
        <f t="shared" si="411"/>
        <v/>
      </c>
      <c r="Q2681" t="str">
        <f t="shared" si="412"/>
        <v/>
      </c>
      <c r="R2681" t="str">
        <f t="shared" si="413"/>
        <v/>
      </c>
      <c r="S2681" t="str">
        <f t="shared" si="414"/>
        <v/>
      </c>
      <c r="T2681" t="str">
        <f t="shared" si="415"/>
        <v/>
      </c>
      <c r="U2681" t="str">
        <f t="shared" si="416"/>
        <v/>
      </c>
      <c r="V2681" t="str">
        <f t="shared" si="417"/>
        <v/>
      </c>
      <c r="W2681" t="str">
        <f t="shared" si="418"/>
        <v/>
      </c>
      <c r="X2681">
        <f>IF($T2681="",N($X2680),IF(MATCH($T2681,$T$6:$T$10005,0)=ROW()-5,N($X2680)+1,N($X2680)))</f>
        <v>0</v>
      </c>
      <c r="Z2681" t="str">
        <f t="shared" si="419"/>
        <v/>
      </c>
      <c r="AA2681">
        <f>IF($V2681="",N($AA2680),IF(MATCH($V2681,$V$6:$V$10005,0)=ROW()-5,N($AA2680)+1,N($AA2680)))</f>
        <v>0</v>
      </c>
    </row>
    <row r="2682" spans="1:27" ht="21" customHeight="1" x14ac:dyDescent="0.95">
      <c r="A2682" s="56"/>
      <c r="B2682" s="57"/>
      <c r="C2682" s="57"/>
      <c r="D2682" s="57"/>
      <c r="E2682" s="56"/>
      <c r="F2682" s="57"/>
      <c r="G2682" s="57"/>
      <c r="H2682" s="56"/>
      <c r="I2682" s="56"/>
      <c r="J2682" s="58"/>
      <c r="K2682" s="58"/>
      <c r="L2682" s="13" t="str">
        <f t="shared" si="410"/>
        <v/>
      </c>
      <c r="M2682" s="13" t="str">
        <f t="shared" si="411"/>
        <v/>
      </c>
      <c r="Q2682" t="str">
        <f t="shared" si="412"/>
        <v/>
      </c>
      <c r="R2682" t="str">
        <f t="shared" si="413"/>
        <v/>
      </c>
      <c r="S2682" t="str">
        <f t="shared" si="414"/>
        <v/>
      </c>
      <c r="T2682" t="str">
        <f t="shared" si="415"/>
        <v/>
      </c>
      <c r="U2682" t="str">
        <f t="shared" si="416"/>
        <v/>
      </c>
      <c r="V2682" t="str">
        <f t="shared" si="417"/>
        <v/>
      </c>
      <c r="W2682" t="str">
        <f t="shared" si="418"/>
        <v/>
      </c>
      <c r="X2682">
        <f>IF($T2682="",N($X2681),IF(MATCH($T2682,$T$6:$T$10005,0)=ROW()-5,N($X2681)+1,N($X2681)))</f>
        <v>0</v>
      </c>
      <c r="Z2682" t="str">
        <f t="shared" si="419"/>
        <v/>
      </c>
      <c r="AA2682">
        <f>IF($V2682="",N($AA2681),IF(MATCH($V2682,$V$6:$V$10005,0)=ROW()-5,N($AA2681)+1,N($AA2681)))</f>
        <v>0</v>
      </c>
    </row>
    <row r="2683" spans="1:27" ht="21" customHeight="1" x14ac:dyDescent="0.95">
      <c r="A2683" s="56"/>
      <c r="B2683" s="57"/>
      <c r="C2683" s="57"/>
      <c r="D2683" s="57"/>
      <c r="E2683" s="56"/>
      <c r="F2683" s="57"/>
      <c r="G2683" s="57"/>
      <c r="H2683" s="56"/>
      <c r="I2683" s="56"/>
      <c r="J2683" s="58"/>
      <c r="K2683" s="58"/>
      <c r="L2683" s="13" t="str">
        <f t="shared" si="410"/>
        <v/>
      </c>
      <c r="M2683" s="13" t="str">
        <f t="shared" si="411"/>
        <v/>
      </c>
      <c r="Q2683" t="str">
        <f t="shared" si="412"/>
        <v/>
      </c>
      <c r="R2683" t="str">
        <f t="shared" si="413"/>
        <v/>
      </c>
      <c r="S2683" t="str">
        <f t="shared" si="414"/>
        <v/>
      </c>
      <c r="T2683" t="str">
        <f t="shared" si="415"/>
        <v/>
      </c>
      <c r="U2683" t="str">
        <f t="shared" si="416"/>
        <v/>
      </c>
      <c r="V2683" t="str">
        <f t="shared" si="417"/>
        <v/>
      </c>
      <c r="W2683" t="str">
        <f t="shared" si="418"/>
        <v/>
      </c>
      <c r="X2683">
        <f>IF($T2683="",N($X2682),IF(MATCH($T2683,$T$6:$T$10005,0)=ROW()-5,N($X2682)+1,N($X2682)))</f>
        <v>0</v>
      </c>
      <c r="Z2683" t="str">
        <f t="shared" si="419"/>
        <v/>
      </c>
      <c r="AA2683">
        <f>IF($V2683="",N($AA2682),IF(MATCH($V2683,$V$6:$V$10005,0)=ROW()-5,N($AA2682)+1,N($AA2682)))</f>
        <v>0</v>
      </c>
    </row>
    <row r="2684" spans="1:27" ht="21" customHeight="1" x14ac:dyDescent="0.95">
      <c r="A2684" s="56"/>
      <c r="B2684" s="57"/>
      <c r="C2684" s="57"/>
      <c r="D2684" s="57"/>
      <c r="E2684" s="56"/>
      <c r="F2684" s="57"/>
      <c r="G2684" s="57"/>
      <c r="H2684" s="56"/>
      <c r="I2684" s="56"/>
      <c r="J2684" s="58"/>
      <c r="K2684" s="58"/>
      <c r="L2684" s="13" t="str">
        <f t="shared" si="410"/>
        <v/>
      </c>
      <c r="M2684" s="13" t="str">
        <f t="shared" si="411"/>
        <v/>
      </c>
      <c r="Q2684" t="str">
        <f t="shared" si="412"/>
        <v/>
      </c>
      <c r="R2684" t="str">
        <f t="shared" si="413"/>
        <v/>
      </c>
      <c r="S2684" t="str">
        <f t="shared" si="414"/>
        <v/>
      </c>
      <c r="T2684" t="str">
        <f t="shared" si="415"/>
        <v/>
      </c>
      <c r="U2684" t="str">
        <f t="shared" si="416"/>
        <v/>
      </c>
      <c r="V2684" t="str">
        <f t="shared" si="417"/>
        <v/>
      </c>
      <c r="W2684" t="str">
        <f t="shared" si="418"/>
        <v/>
      </c>
      <c r="X2684">
        <f>IF($T2684="",N($X2683),IF(MATCH($T2684,$T$6:$T$10005,0)=ROW()-5,N($X2683)+1,N($X2683)))</f>
        <v>0</v>
      </c>
      <c r="Z2684" t="str">
        <f t="shared" si="419"/>
        <v/>
      </c>
      <c r="AA2684">
        <f>IF($V2684="",N($AA2683),IF(MATCH($V2684,$V$6:$V$10005,0)=ROW()-5,N($AA2683)+1,N($AA2683)))</f>
        <v>0</v>
      </c>
    </row>
    <row r="2685" spans="1:27" ht="21" customHeight="1" x14ac:dyDescent="0.95">
      <c r="A2685" s="56"/>
      <c r="B2685" s="57"/>
      <c r="C2685" s="57"/>
      <c r="D2685" s="57"/>
      <c r="E2685" s="56"/>
      <c r="F2685" s="57"/>
      <c r="G2685" s="57"/>
      <c r="H2685" s="56"/>
      <c r="I2685" s="56"/>
      <c r="J2685" s="58"/>
      <c r="K2685" s="58"/>
      <c r="L2685" s="13" t="str">
        <f t="shared" si="410"/>
        <v/>
      </c>
      <c r="M2685" s="13" t="str">
        <f t="shared" si="411"/>
        <v/>
      </c>
      <c r="Q2685" t="str">
        <f t="shared" si="412"/>
        <v/>
      </c>
      <c r="R2685" t="str">
        <f t="shared" si="413"/>
        <v/>
      </c>
      <c r="S2685" t="str">
        <f t="shared" si="414"/>
        <v/>
      </c>
      <c r="T2685" t="str">
        <f t="shared" si="415"/>
        <v/>
      </c>
      <c r="U2685" t="str">
        <f t="shared" si="416"/>
        <v/>
      </c>
      <c r="V2685" t="str">
        <f t="shared" si="417"/>
        <v/>
      </c>
      <c r="W2685" t="str">
        <f t="shared" si="418"/>
        <v/>
      </c>
      <c r="X2685">
        <f>IF($T2685="",N($X2684),IF(MATCH($T2685,$T$6:$T$10005,0)=ROW()-5,N($X2684)+1,N($X2684)))</f>
        <v>0</v>
      </c>
      <c r="Z2685" t="str">
        <f t="shared" si="419"/>
        <v/>
      </c>
      <c r="AA2685">
        <f>IF($V2685="",N($AA2684),IF(MATCH($V2685,$V$6:$V$10005,0)=ROW()-5,N($AA2684)+1,N($AA2684)))</f>
        <v>0</v>
      </c>
    </row>
    <row r="2686" spans="1:27" ht="21" customHeight="1" x14ac:dyDescent="0.95">
      <c r="A2686" s="56"/>
      <c r="B2686" s="57"/>
      <c r="C2686" s="57"/>
      <c r="D2686" s="57"/>
      <c r="E2686" s="56"/>
      <c r="F2686" s="57"/>
      <c r="G2686" s="57"/>
      <c r="H2686" s="56"/>
      <c r="I2686" s="56"/>
      <c r="J2686" s="58"/>
      <c r="K2686" s="58"/>
      <c r="L2686" s="13" t="str">
        <f t="shared" si="410"/>
        <v/>
      </c>
      <c r="M2686" s="13" t="str">
        <f t="shared" si="411"/>
        <v/>
      </c>
      <c r="Q2686" t="str">
        <f t="shared" si="412"/>
        <v/>
      </c>
      <c r="R2686" t="str">
        <f t="shared" si="413"/>
        <v/>
      </c>
      <c r="S2686" t="str">
        <f t="shared" si="414"/>
        <v/>
      </c>
      <c r="T2686" t="str">
        <f t="shared" si="415"/>
        <v/>
      </c>
      <c r="U2686" t="str">
        <f t="shared" si="416"/>
        <v/>
      </c>
      <c r="V2686" t="str">
        <f t="shared" si="417"/>
        <v/>
      </c>
      <c r="W2686" t="str">
        <f t="shared" si="418"/>
        <v/>
      </c>
      <c r="X2686">
        <f>IF($T2686="",N($X2685),IF(MATCH($T2686,$T$6:$T$10005,0)=ROW()-5,N($X2685)+1,N($X2685)))</f>
        <v>0</v>
      </c>
      <c r="Z2686" t="str">
        <f t="shared" si="419"/>
        <v/>
      </c>
      <c r="AA2686">
        <f>IF($V2686="",N($AA2685),IF(MATCH($V2686,$V$6:$V$10005,0)=ROW()-5,N($AA2685)+1,N($AA2685)))</f>
        <v>0</v>
      </c>
    </row>
    <row r="2687" spans="1:27" ht="21" customHeight="1" x14ac:dyDescent="0.95">
      <c r="A2687" s="56"/>
      <c r="B2687" s="57"/>
      <c r="C2687" s="57"/>
      <c r="D2687" s="57"/>
      <c r="E2687" s="56"/>
      <c r="F2687" s="57"/>
      <c r="G2687" s="57"/>
      <c r="H2687" s="56"/>
      <c r="I2687" s="56"/>
      <c r="J2687" s="58"/>
      <c r="K2687" s="58"/>
      <c r="L2687" s="13" t="str">
        <f t="shared" si="410"/>
        <v/>
      </c>
      <c r="M2687" s="13" t="str">
        <f t="shared" si="411"/>
        <v/>
      </c>
      <c r="Q2687" t="str">
        <f t="shared" si="412"/>
        <v/>
      </c>
      <c r="R2687" t="str">
        <f t="shared" si="413"/>
        <v/>
      </c>
      <c r="S2687" t="str">
        <f t="shared" si="414"/>
        <v/>
      </c>
      <c r="T2687" t="str">
        <f t="shared" si="415"/>
        <v/>
      </c>
      <c r="U2687" t="str">
        <f t="shared" si="416"/>
        <v/>
      </c>
      <c r="V2687" t="str">
        <f t="shared" si="417"/>
        <v/>
      </c>
      <c r="W2687" t="str">
        <f t="shared" si="418"/>
        <v/>
      </c>
      <c r="X2687">
        <f>IF($T2687="",N($X2686),IF(MATCH($T2687,$T$6:$T$10005,0)=ROW()-5,N($X2686)+1,N($X2686)))</f>
        <v>0</v>
      </c>
      <c r="Z2687" t="str">
        <f t="shared" si="419"/>
        <v/>
      </c>
      <c r="AA2687">
        <f>IF($V2687="",N($AA2686),IF(MATCH($V2687,$V$6:$V$10005,0)=ROW()-5,N($AA2686)+1,N($AA2686)))</f>
        <v>0</v>
      </c>
    </row>
    <row r="2688" spans="1:27" ht="21" customHeight="1" x14ac:dyDescent="0.95">
      <c r="A2688" s="56"/>
      <c r="B2688" s="57"/>
      <c r="C2688" s="57"/>
      <c r="D2688" s="57"/>
      <c r="E2688" s="56"/>
      <c r="F2688" s="57"/>
      <c r="G2688" s="57"/>
      <c r="H2688" s="56"/>
      <c r="I2688" s="56"/>
      <c r="J2688" s="58"/>
      <c r="K2688" s="58"/>
      <c r="L2688" s="13" t="str">
        <f t="shared" si="410"/>
        <v/>
      </c>
      <c r="M2688" s="13" t="str">
        <f t="shared" si="411"/>
        <v/>
      </c>
      <c r="Q2688" t="str">
        <f t="shared" si="412"/>
        <v/>
      </c>
      <c r="R2688" t="str">
        <f t="shared" si="413"/>
        <v/>
      </c>
      <c r="S2688" t="str">
        <f t="shared" si="414"/>
        <v/>
      </c>
      <c r="T2688" t="str">
        <f t="shared" si="415"/>
        <v/>
      </c>
      <c r="U2688" t="str">
        <f t="shared" si="416"/>
        <v/>
      </c>
      <c r="V2688" t="str">
        <f t="shared" si="417"/>
        <v/>
      </c>
      <c r="W2688" t="str">
        <f t="shared" si="418"/>
        <v/>
      </c>
      <c r="X2688">
        <f>IF($T2688="",N($X2687),IF(MATCH($T2688,$T$6:$T$10005,0)=ROW()-5,N($X2687)+1,N($X2687)))</f>
        <v>0</v>
      </c>
      <c r="Z2688" t="str">
        <f t="shared" si="419"/>
        <v/>
      </c>
      <c r="AA2688">
        <f>IF($V2688="",N($AA2687),IF(MATCH($V2688,$V$6:$V$10005,0)=ROW()-5,N($AA2687)+1,N($AA2687)))</f>
        <v>0</v>
      </c>
    </row>
    <row r="2689" spans="1:27" ht="21" customHeight="1" x14ac:dyDescent="0.95">
      <c r="A2689" s="56"/>
      <c r="B2689" s="57"/>
      <c r="C2689" s="57"/>
      <c r="D2689" s="57"/>
      <c r="E2689" s="56"/>
      <c r="F2689" s="57"/>
      <c r="G2689" s="57"/>
      <c r="H2689" s="56"/>
      <c r="I2689" s="56"/>
      <c r="J2689" s="58"/>
      <c r="K2689" s="58"/>
      <c r="L2689" s="13" t="str">
        <f t="shared" si="410"/>
        <v/>
      </c>
      <c r="M2689" s="13" t="str">
        <f t="shared" si="411"/>
        <v/>
      </c>
      <c r="Q2689" t="str">
        <f t="shared" si="412"/>
        <v/>
      </c>
      <c r="R2689" t="str">
        <f t="shared" si="413"/>
        <v/>
      </c>
      <c r="S2689" t="str">
        <f t="shared" si="414"/>
        <v/>
      </c>
      <c r="T2689" t="str">
        <f t="shared" si="415"/>
        <v/>
      </c>
      <c r="U2689" t="str">
        <f t="shared" si="416"/>
        <v/>
      </c>
      <c r="V2689" t="str">
        <f t="shared" si="417"/>
        <v/>
      </c>
      <c r="W2689" t="str">
        <f t="shared" si="418"/>
        <v/>
      </c>
      <c r="X2689">
        <f>IF($T2689="",N($X2688),IF(MATCH($T2689,$T$6:$T$10005,0)=ROW()-5,N($X2688)+1,N($X2688)))</f>
        <v>0</v>
      </c>
      <c r="Z2689" t="str">
        <f t="shared" si="419"/>
        <v/>
      </c>
      <c r="AA2689">
        <f>IF($V2689="",N($AA2688),IF(MATCH($V2689,$V$6:$V$10005,0)=ROW()-5,N($AA2688)+1,N($AA2688)))</f>
        <v>0</v>
      </c>
    </row>
    <row r="2690" spans="1:27" ht="21" customHeight="1" x14ac:dyDescent="0.95">
      <c r="A2690" s="56"/>
      <c r="B2690" s="57"/>
      <c r="C2690" s="57"/>
      <c r="D2690" s="57"/>
      <c r="E2690" s="56"/>
      <c r="F2690" s="57"/>
      <c r="G2690" s="57"/>
      <c r="H2690" s="56"/>
      <c r="I2690" s="56"/>
      <c r="J2690" s="58"/>
      <c r="K2690" s="58"/>
      <c r="L2690" s="13" t="str">
        <f t="shared" si="410"/>
        <v/>
      </c>
      <c r="M2690" s="13" t="str">
        <f t="shared" si="411"/>
        <v/>
      </c>
      <c r="Q2690" t="str">
        <f t="shared" si="412"/>
        <v/>
      </c>
      <c r="R2690" t="str">
        <f t="shared" si="413"/>
        <v/>
      </c>
      <c r="S2690" t="str">
        <f t="shared" si="414"/>
        <v/>
      </c>
      <c r="T2690" t="str">
        <f t="shared" si="415"/>
        <v/>
      </c>
      <c r="U2690" t="str">
        <f t="shared" si="416"/>
        <v/>
      </c>
      <c r="V2690" t="str">
        <f t="shared" si="417"/>
        <v/>
      </c>
      <c r="W2690" t="str">
        <f t="shared" si="418"/>
        <v/>
      </c>
      <c r="X2690">
        <f>IF($T2690="",N($X2689),IF(MATCH($T2690,$T$6:$T$10005,0)=ROW()-5,N($X2689)+1,N($X2689)))</f>
        <v>0</v>
      </c>
      <c r="Z2690" t="str">
        <f t="shared" si="419"/>
        <v/>
      </c>
      <c r="AA2690">
        <f>IF($V2690="",N($AA2689),IF(MATCH($V2690,$V$6:$V$10005,0)=ROW()-5,N($AA2689)+1,N($AA2689)))</f>
        <v>0</v>
      </c>
    </row>
    <row r="2691" spans="1:27" ht="21" customHeight="1" x14ac:dyDescent="0.95">
      <c r="A2691" s="56"/>
      <c r="B2691" s="57"/>
      <c r="C2691" s="57"/>
      <c r="D2691" s="57"/>
      <c r="E2691" s="56"/>
      <c r="F2691" s="57"/>
      <c r="G2691" s="57"/>
      <c r="H2691" s="56"/>
      <c r="I2691" s="56"/>
      <c r="J2691" s="58"/>
      <c r="K2691" s="58"/>
      <c r="L2691" s="13" t="str">
        <f t="shared" si="410"/>
        <v/>
      </c>
      <c r="M2691" s="13" t="str">
        <f t="shared" si="411"/>
        <v/>
      </c>
      <c r="Q2691" t="str">
        <f t="shared" si="412"/>
        <v/>
      </c>
      <c r="R2691" t="str">
        <f t="shared" si="413"/>
        <v/>
      </c>
      <c r="S2691" t="str">
        <f t="shared" si="414"/>
        <v/>
      </c>
      <c r="T2691" t="str">
        <f t="shared" si="415"/>
        <v/>
      </c>
      <c r="U2691" t="str">
        <f t="shared" si="416"/>
        <v/>
      </c>
      <c r="V2691" t="str">
        <f t="shared" si="417"/>
        <v/>
      </c>
      <c r="W2691" t="str">
        <f t="shared" si="418"/>
        <v/>
      </c>
      <c r="X2691">
        <f>IF($T2691="",N($X2690),IF(MATCH($T2691,$T$6:$T$10005,0)=ROW()-5,N($X2690)+1,N($X2690)))</f>
        <v>0</v>
      </c>
      <c r="Z2691" t="str">
        <f t="shared" si="419"/>
        <v/>
      </c>
      <c r="AA2691">
        <f>IF($V2691="",N($AA2690),IF(MATCH($V2691,$V$6:$V$10005,0)=ROW()-5,N($AA2690)+1,N($AA2690)))</f>
        <v>0</v>
      </c>
    </row>
    <row r="2692" spans="1:27" ht="21" customHeight="1" x14ac:dyDescent="0.95">
      <c r="A2692" s="56"/>
      <c r="B2692" s="57"/>
      <c r="C2692" s="57"/>
      <c r="D2692" s="57"/>
      <c r="E2692" s="56"/>
      <c r="F2692" s="57"/>
      <c r="G2692" s="57"/>
      <c r="H2692" s="56"/>
      <c r="I2692" s="56"/>
      <c r="J2692" s="58"/>
      <c r="K2692" s="58"/>
      <c r="L2692" s="13" t="str">
        <f t="shared" si="410"/>
        <v/>
      </c>
      <c r="M2692" s="13" t="str">
        <f t="shared" si="411"/>
        <v/>
      </c>
      <c r="Q2692" t="str">
        <f t="shared" si="412"/>
        <v/>
      </c>
      <c r="R2692" t="str">
        <f t="shared" si="413"/>
        <v/>
      </c>
      <c r="S2692" t="str">
        <f t="shared" si="414"/>
        <v/>
      </c>
      <c r="T2692" t="str">
        <f t="shared" si="415"/>
        <v/>
      </c>
      <c r="U2692" t="str">
        <f t="shared" si="416"/>
        <v/>
      </c>
      <c r="V2692" t="str">
        <f t="shared" si="417"/>
        <v/>
      </c>
      <c r="W2692" t="str">
        <f t="shared" si="418"/>
        <v/>
      </c>
      <c r="X2692">
        <f>IF($T2692="",N($X2691),IF(MATCH($T2692,$T$6:$T$10005,0)=ROW()-5,N($X2691)+1,N($X2691)))</f>
        <v>0</v>
      </c>
      <c r="Z2692" t="str">
        <f t="shared" si="419"/>
        <v/>
      </c>
      <c r="AA2692">
        <f>IF($V2692="",N($AA2691),IF(MATCH($V2692,$V$6:$V$10005,0)=ROW()-5,N($AA2691)+1,N($AA2691)))</f>
        <v>0</v>
      </c>
    </row>
    <row r="2693" spans="1:27" ht="21" customHeight="1" x14ac:dyDescent="0.95">
      <c r="A2693" s="56"/>
      <c r="B2693" s="57"/>
      <c r="C2693" s="57"/>
      <c r="D2693" s="57"/>
      <c r="E2693" s="56"/>
      <c r="F2693" s="57"/>
      <c r="G2693" s="57"/>
      <c r="H2693" s="56"/>
      <c r="I2693" s="56"/>
      <c r="J2693" s="58"/>
      <c r="K2693" s="58"/>
      <c r="L2693" s="13" t="str">
        <f t="shared" si="410"/>
        <v/>
      </c>
      <c r="M2693" s="13" t="str">
        <f t="shared" si="411"/>
        <v/>
      </c>
      <c r="Q2693" t="str">
        <f t="shared" si="412"/>
        <v/>
      </c>
      <c r="R2693" t="str">
        <f t="shared" si="413"/>
        <v/>
      </c>
      <c r="S2693" t="str">
        <f t="shared" si="414"/>
        <v/>
      </c>
      <c r="T2693" t="str">
        <f t="shared" si="415"/>
        <v/>
      </c>
      <c r="U2693" t="str">
        <f t="shared" si="416"/>
        <v/>
      </c>
      <c r="V2693" t="str">
        <f t="shared" si="417"/>
        <v/>
      </c>
      <c r="W2693" t="str">
        <f t="shared" si="418"/>
        <v/>
      </c>
      <c r="X2693">
        <f>IF($T2693="",N($X2692),IF(MATCH($T2693,$T$6:$T$10005,0)=ROW()-5,N($X2692)+1,N($X2692)))</f>
        <v>0</v>
      </c>
      <c r="Z2693" t="str">
        <f t="shared" si="419"/>
        <v/>
      </c>
      <c r="AA2693">
        <f>IF($V2693="",N($AA2692),IF(MATCH($V2693,$V$6:$V$10005,0)=ROW()-5,N($AA2692)+1,N($AA2692)))</f>
        <v>0</v>
      </c>
    </row>
    <row r="2694" spans="1:27" ht="21" customHeight="1" x14ac:dyDescent="0.95">
      <c r="A2694" s="56"/>
      <c r="B2694" s="57"/>
      <c r="C2694" s="57"/>
      <c r="D2694" s="57"/>
      <c r="E2694" s="56"/>
      <c r="F2694" s="57"/>
      <c r="G2694" s="57"/>
      <c r="H2694" s="56"/>
      <c r="I2694" s="56"/>
      <c r="J2694" s="58"/>
      <c r="K2694" s="58"/>
      <c r="L2694" s="13" t="str">
        <f t="shared" ref="L2694:L2757" si="420">IF(OR($A2694="",AND($J2694="",$K2694="")),"",ROUND(N($J2694)-N($K2694),2))</f>
        <v/>
      </c>
      <c r="M2694" s="13" t="str">
        <f t="shared" ref="M2694:M2757" si="421">IF(OR($A2694="",AND($J2694="",$K2694="")),"",MIN($J2694,$K2694))</f>
        <v/>
      </c>
      <c r="Q2694" t="str">
        <f t="shared" ref="Q2694:Q2757" si="422">IF($A2694="","",$D2694&amp;"("&amp;SUBSTITUTE($E2694," ","")&amp;")")</f>
        <v/>
      </c>
      <c r="R2694" t="str">
        <f t="shared" ref="R2694:R2757" si="423">IF($A2694="","",$B2694&amp;" - "&amp;$C2694)</f>
        <v/>
      </c>
      <c r="S2694" t="str">
        <f t="shared" ref="S2694:S2757" si="424">IF($A2694="","",$R2694&amp;"|"&amp;$Q2694)</f>
        <v/>
      </c>
      <c r="T2694" t="str">
        <f t="shared" ref="T2694:T2757" si="425">IF($A2694="","",$S2694&amp;"|"&amp;$F2694)</f>
        <v/>
      </c>
      <c r="U2694" t="str">
        <f t="shared" ref="U2694:U2757" si="426">IF($A2694="","",$R2694&amp;"("&amp;$E2694&amp;")")</f>
        <v/>
      </c>
      <c r="V2694" t="str">
        <f t="shared" ref="V2694:V2757" si="427">IF($A2694="","",$F2694&amp;"|"&amp;$U2694&amp;"|"&amp;$D2694)</f>
        <v/>
      </c>
      <c r="W2694" t="str">
        <f t="shared" ref="W2694:W2757" si="428">IF($T2694="","",IF($X2694&gt;N($X2693),$X2694,""))</f>
        <v/>
      </c>
      <c r="X2694">
        <f>IF($T2694="",N($X2693),IF(MATCH($T2694,$T$6:$T$10005,0)=ROW()-5,N($X2693)+1,N($X2693)))</f>
        <v>0</v>
      </c>
      <c r="Z2694" t="str">
        <f t="shared" ref="Z2694:Z2757" si="429">IF($V2694="","",IF($AA2694&gt;N($AA2693),$AA2694,""))</f>
        <v/>
      </c>
      <c r="AA2694">
        <f>IF($V2694="",N($AA2693),IF(MATCH($V2694,$V$6:$V$10005,0)=ROW()-5,N($AA2693)+1,N($AA2693)))</f>
        <v>0</v>
      </c>
    </row>
    <row r="2695" spans="1:27" ht="21" customHeight="1" x14ac:dyDescent="0.95">
      <c r="A2695" s="56"/>
      <c r="B2695" s="57"/>
      <c r="C2695" s="57"/>
      <c r="D2695" s="57"/>
      <c r="E2695" s="56"/>
      <c r="F2695" s="57"/>
      <c r="G2695" s="57"/>
      <c r="H2695" s="56"/>
      <c r="I2695" s="56"/>
      <c r="J2695" s="58"/>
      <c r="K2695" s="58"/>
      <c r="L2695" s="13" t="str">
        <f t="shared" si="420"/>
        <v/>
      </c>
      <c r="M2695" s="13" t="str">
        <f t="shared" si="421"/>
        <v/>
      </c>
      <c r="Q2695" t="str">
        <f t="shared" si="422"/>
        <v/>
      </c>
      <c r="R2695" t="str">
        <f t="shared" si="423"/>
        <v/>
      </c>
      <c r="S2695" t="str">
        <f t="shared" si="424"/>
        <v/>
      </c>
      <c r="T2695" t="str">
        <f t="shared" si="425"/>
        <v/>
      </c>
      <c r="U2695" t="str">
        <f t="shared" si="426"/>
        <v/>
      </c>
      <c r="V2695" t="str">
        <f t="shared" si="427"/>
        <v/>
      </c>
      <c r="W2695" t="str">
        <f t="shared" si="428"/>
        <v/>
      </c>
      <c r="X2695">
        <f>IF($T2695="",N($X2694),IF(MATCH($T2695,$T$6:$T$10005,0)=ROW()-5,N($X2694)+1,N($X2694)))</f>
        <v>0</v>
      </c>
      <c r="Z2695" t="str">
        <f t="shared" si="429"/>
        <v/>
      </c>
      <c r="AA2695">
        <f>IF($V2695="",N($AA2694),IF(MATCH($V2695,$V$6:$V$10005,0)=ROW()-5,N($AA2694)+1,N($AA2694)))</f>
        <v>0</v>
      </c>
    </row>
    <row r="2696" spans="1:27" ht="21" customHeight="1" x14ac:dyDescent="0.95">
      <c r="A2696" s="56"/>
      <c r="B2696" s="57"/>
      <c r="C2696" s="57"/>
      <c r="D2696" s="57"/>
      <c r="E2696" s="56"/>
      <c r="F2696" s="57"/>
      <c r="G2696" s="57"/>
      <c r="H2696" s="56"/>
      <c r="I2696" s="56"/>
      <c r="J2696" s="58"/>
      <c r="K2696" s="58"/>
      <c r="L2696" s="13" t="str">
        <f t="shared" si="420"/>
        <v/>
      </c>
      <c r="M2696" s="13" t="str">
        <f t="shared" si="421"/>
        <v/>
      </c>
      <c r="Q2696" t="str">
        <f t="shared" si="422"/>
        <v/>
      </c>
      <c r="R2696" t="str">
        <f t="shared" si="423"/>
        <v/>
      </c>
      <c r="S2696" t="str">
        <f t="shared" si="424"/>
        <v/>
      </c>
      <c r="T2696" t="str">
        <f t="shared" si="425"/>
        <v/>
      </c>
      <c r="U2696" t="str">
        <f t="shared" si="426"/>
        <v/>
      </c>
      <c r="V2696" t="str">
        <f t="shared" si="427"/>
        <v/>
      </c>
      <c r="W2696" t="str">
        <f t="shared" si="428"/>
        <v/>
      </c>
      <c r="X2696">
        <f>IF($T2696="",N($X2695),IF(MATCH($T2696,$T$6:$T$10005,0)=ROW()-5,N($X2695)+1,N($X2695)))</f>
        <v>0</v>
      </c>
      <c r="Z2696" t="str">
        <f t="shared" si="429"/>
        <v/>
      </c>
      <c r="AA2696">
        <f>IF($V2696="",N($AA2695),IF(MATCH($V2696,$V$6:$V$10005,0)=ROW()-5,N($AA2695)+1,N($AA2695)))</f>
        <v>0</v>
      </c>
    </row>
    <row r="2697" spans="1:27" ht="21" customHeight="1" x14ac:dyDescent="0.95">
      <c r="A2697" s="56"/>
      <c r="B2697" s="57"/>
      <c r="C2697" s="57"/>
      <c r="D2697" s="57"/>
      <c r="E2697" s="56"/>
      <c r="F2697" s="57"/>
      <c r="G2697" s="57"/>
      <c r="H2697" s="56"/>
      <c r="I2697" s="56"/>
      <c r="J2697" s="58"/>
      <c r="K2697" s="58"/>
      <c r="L2697" s="13" t="str">
        <f t="shared" si="420"/>
        <v/>
      </c>
      <c r="M2697" s="13" t="str">
        <f t="shared" si="421"/>
        <v/>
      </c>
      <c r="Q2697" t="str">
        <f t="shared" si="422"/>
        <v/>
      </c>
      <c r="R2697" t="str">
        <f t="shared" si="423"/>
        <v/>
      </c>
      <c r="S2697" t="str">
        <f t="shared" si="424"/>
        <v/>
      </c>
      <c r="T2697" t="str">
        <f t="shared" si="425"/>
        <v/>
      </c>
      <c r="U2697" t="str">
        <f t="shared" si="426"/>
        <v/>
      </c>
      <c r="V2697" t="str">
        <f t="shared" si="427"/>
        <v/>
      </c>
      <c r="W2697" t="str">
        <f t="shared" si="428"/>
        <v/>
      </c>
      <c r="X2697">
        <f>IF($T2697="",N($X2696),IF(MATCH($T2697,$T$6:$T$10005,0)=ROW()-5,N($X2696)+1,N($X2696)))</f>
        <v>0</v>
      </c>
      <c r="Z2697" t="str">
        <f t="shared" si="429"/>
        <v/>
      </c>
      <c r="AA2697">
        <f>IF($V2697="",N($AA2696),IF(MATCH($V2697,$V$6:$V$10005,0)=ROW()-5,N($AA2696)+1,N($AA2696)))</f>
        <v>0</v>
      </c>
    </row>
    <row r="2698" spans="1:27" ht="21" customHeight="1" x14ac:dyDescent="0.95">
      <c r="A2698" s="56"/>
      <c r="B2698" s="57"/>
      <c r="C2698" s="57"/>
      <c r="D2698" s="57"/>
      <c r="E2698" s="56"/>
      <c r="F2698" s="57"/>
      <c r="G2698" s="57"/>
      <c r="H2698" s="56"/>
      <c r="I2698" s="56"/>
      <c r="J2698" s="58"/>
      <c r="K2698" s="58"/>
      <c r="L2698" s="13" t="str">
        <f t="shared" si="420"/>
        <v/>
      </c>
      <c r="M2698" s="13" t="str">
        <f t="shared" si="421"/>
        <v/>
      </c>
      <c r="Q2698" t="str">
        <f t="shared" si="422"/>
        <v/>
      </c>
      <c r="R2698" t="str">
        <f t="shared" si="423"/>
        <v/>
      </c>
      <c r="S2698" t="str">
        <f t="shared" si="424"/>
        <v/>
      </c>
      <c r="T2698" t="str">
        <f t="shared" si="425"/>
        <v/>
      </c>
      <c r="U2698" t="str">
        <f t="shared" si="426"/>
        <v/>
      </c>
      <c r="V2698" t="str">
        <f t="shared" si="427"/>
        <v/>
      </c>
      <c r="W2698" t="str">
        <f t="shared" si="428"/>
        <v/>
      </c>
      <c r="X2698">
        <f>IF($T2698="",N($X2697),IF(MATCH($T2698,$T$6:$T$10005,0)=ROW()-5,N($X2697)+1,N($X2697)))</f>
        <v>0</v>
      </c>
      <c r="Z2698" t="str">
        <f t="shared" si="429"/>
        <v/>
      </c>
      <c r="AA2698">
        <f>IF($V2698="",N($AA2697),IF(MATCH($V2698,$V$6:$V$10005,0)=ROW()-5,N($AA2697)+1,N($AA2697)))</f>
        <v>0</v>
      </c>
    </row>
    <row r="2699" spans="1:27" ht="21" customHeight="1" x14ac:dyDescent="0.95">
      <c r="A2699" s="56"/>
      <c r="B2699" s="57"/>
      <c r="C2699" s="57"/>
      <c r="D2699" s="57"/>
      <c r="E2699" s="56"/>
      <c r="F2699" s="57"/>
      <c r="G2699" s="57"/>
      <c r="H2699" s="56"/>
      <c r="I2699" s="56"/>
      <c r="J2699" s="58"/>
      <c r="K2699" s="58"/>
      <c r="L2699" s="13" t="str">
        <f t="shared" si="420"/>
        <v/>
      </c>
      <c r="M2699" s="13" t="str">
        <f t="shared" si="421"/>
        <v/>
      </c>
      <c r="Q2699" t="str">
        <f t="shared" si="422"/>
        <v/>
      </c>
      <c r="R2699" t="str">
        <f t="shared" si="423"/>
        <v/>
      </c>
      <c r="S2699" t="str">
        <f t="shared" si="424"/>
        <v/>
      </c>
      <c r="T2699" t="str">
        <f t="shared" si="425"/>
        <v/>
      </c>
      <c r="U2699" t="str">
        <f t="shared" si="426"/>
        <v/>
      </c>
      <c r="V2699" t="str">
        <f t="shared" si="427"/>
        <v/>
      </c>
      <c r="W2699" t="str">
        <f t="shared" si="428"/>
        <v/>
      </c>
      <c r="X2699">
        <f>IF($T2699="",N($X2698),IF(MATCH($T2699,$T$6:$T$10005,0)=ROW()-5,N($X2698)+1,N($X2698)))</f>
        <v>0</v>
      </c>
      <c r="Z2699" t="str">
        <f t="shared" si="429"/>
        <v/>
      </c>
      <c r="AA2699">
        <f>IF($V2699="",N($AA2698),IF(MATCH($V2699,$V$6:$V$10005,0)=ROW()-5,N($AA2698)+1,N($AA2698)))</f>
        <v>0</v>
      </c>
    </row>
    <row r="2700" spans="1:27" ht="21" customHeight="1" x14ac:dyDescent="0.95">
      <c r="A2700" s="56"/>
      <c r="B2700" s="57"/>
      <c r="C2700" s="57"/>
      <c r="D2700" s="57"/>
      <c r="E2700" s="56"/>
      <c r="F2700" s="57"/>
      <c r="G2700" s="57"/>
      <c r="H2700" s="56"/>
      <c r="I2700" s="56"/>
      <c r="J2700" s="58"/>
      <c r="K2700" s="58"/>
      <c r="L2700" s="13" t="str">
        <f t="shared" si="420"/>
        <v/>
      </c>
      <c r="M2700" s="13" t="str">
        <f t="shared" si="421"/>
        <v/>
      </c>
      <c r="Q2700" t="str">
        <f t="shared" si="422"/>
        <v/>
      </c>
      <c r="R2700" t="str">
        <f t="shared" si="423"/>
        <v/>
      </c>
      <c r="S2700" t="str">
        <f t="shared" si="424"/>
        <v/>
      </c>
      <c r="T2700" t="str">
        <f t="shared" si="425"/>
        <v/>
      </c>
      <c r="U2700" t="str">
        <f t="shared" si="426"/>
        <v/>
      </c>
      <c r="V2700" t="str">
        <f t="shared" si="427"/>
        <v/>
      </c>
      <c r="W2700" t="str">
        <f t="shared" si="428"/>
        <v/>
      </c>
      <c r="X2700">
        <f>IF($T2700="",N($X2699),IF(MATCH($T2700,$T$6:$T$10005,0)=ROW()-5,N($X2699)+1,N($X2699)))</f>
        <v>0</v>
      </c>
      <c r="Z2700" t="str">
        <f t="shared" si="429"/>
        <v/>
      </c>
      <c r="AA2700">
        <f>IF($V2700="",N($AA2699),IF(MATCH($V2700,$V$6:$V$10005,0)=ROW()-5,N($AA2699)+1,N($AA2699)))</f>
        <v>0</v>
      </c>
    </row>
    <row r="2701" spans="1:27" ht="21" customHeight="1" x14ac:dyDescent="0.95">
      <c r="A2701" s="56"/>
      <c r="B2701" s="57"/>
      <c r="C2701" s="57"/>
      <c r="D2701" s="57"/>
      <c r="E2701" s="56"/>
      <c r="F2701" s="57"/>
      <c r="G2701" s="57"/>
      <c r="H2701" s="56"/>
      <c r="I2701" s="56"/>
      <c r="J2701" s="58"/>
      <c r="K2701" s="58"/>
      <c r="L2701" s="13" t="str">
        <f t="shared" si="420"/>
        <v/>
      </c>
      <c r="M2701" s="13" t="str">
        <f t="shared" si="421"/>
        <v/>
      </c>
      <c r="Q2701" t="str">
        <f t="shared" si="422"/>
        <v/>
      </c>
      <c r="R2701" t="str">
        <f t="shared" si="423"/>
        <v/>
      </c>
      <c r="S2701" t="str">
        <f t="shared" si="424"/>
        <v/>
      </c>
      <c r="T2701" t="str">
        <f t="shared" si="425"/>
        <v/>
      </c>
      <c r="U2701" t="str">
        <f t="shared" si="426"/>
        <v/>
      </c>
      <c r="V2701" t="str">
        <f t="shared" si="427"/>
        <v/>
      </c>
      <c r="W2701" t="str">
        <f t="shared" si="428"/>
        <v/>
      </c>
      <c r="X2701">
        <f>IF($T2701="",N($X2700),IF(MATCH($T2701,$T$6:$T$10005,0)=ROW()-5,N($X2700)+1,N($X2700)))</f>
        <v>0</v>
      </c>
      <c r="Z2701" t="str">
        <f t="shared" si="429"/>
        <v/>
      </c>
      <c r="AA2701">
        <f>IF($V2701="",N($AA2700),IF(MATCH($V2701,$V$6:$V$10005,0)=ROW()-5,N($AA2700)+1,N($AA2700)))</f>
        <v>0</v>
      </c>
    </row>
    <row r="2702" spans="1:27" ht="21" customHeight="1" x14ac:dyDescent="0.95">
      <c r="A2702" s="56"/>
      <c r="B2702" s="57"/>
      <c r="C2702" s="57"/>
      <c r="D2702" s="57"/>
      <c r="E2702" s="56"/>
      <c r="F2702" s="57"/>
      <c r="G2702" s="57"/>
      <c r="H2702" s="56"/>
      <c r="I2702" s="56"/>
      <c r="J2702" s="58"/>
      <c r="K2702" s="58"/>
      <c r="L2702" s="13" t="str">
        <f t="shared" si="420"/>
        <v/>
      </c>
      <c r="M2702" s="13" t="str">
        <f t="shared" si="421"/>
        <v/>
      </c>
      <c r="Q2702" t="str">
        <f t="shared" si="422"/>
        <v/>
      </c>
      <c r="R2702" t="str">
        <f t="shared" si="423"/>
        <v/>
      </c>
      <c r="S2702" t="str">
        <f t="shared" si="424"/>
        <v/>
      </c>
      <c r="T2702" t="str">
        <f t="shared" si="425"/>
        <v/>
      </c>
      <c r="U2702" t="str">
        <f t="shared" si="426"/>
        <v/>
      </c>
      <c r="V2702" t="str">
        <f t="shared" si="427"/>
        <v/>
      </c>
      <c r="W2702" t="str">
        <f t="shared" si="428"/>
        <v/>
      </c>
      <c r="X2702">
        <f>IF($T2702="",N($X2701),IF(MATCH($T2702,$T$6:$T$10005,0)=ROW()-5,N($X2701)+1,N($X2701)))</f>
        <v>0</v>
      </c>
      <c r="Z2702" t="str">
        <f t="shared" si="429"/>
        <v/>
      </c>
      <c r="AA2702">
        <f>IF($V2702="",N($AA2701),IF(MATCH($V2702,$V$6:$V$10005,0)=ROW()-5,N($AA2701)+1,N($AA2701)))</f>
        <v>0</v>
      </c>
    </row>
    <row r="2703" spans="1:27" ht="21" customHeight="1" x14ac:dyDescent="0.95">
      <c r="A2703" s="56"/>
      <c r="B2703" s="57"/>
      <c r="C2703" s="57"/>
      <c r="D2703" s="57"/>
      <c r="E2703" s="56"/>
      <c r="F2703" s="57"/>
      <c r="G2703" s="57"/>
      <c r="H2703" s="56"/>
      <c r="I2703" s="56"/>
      <c r="J2703" s="58"/>
      <c r="K2703" s="58"/>
      <c r="L2703" s="13" t="str">
        <f t="shared" si="420"/>
        <v/>
      </c>
      <c r="M2703" s="13" t="str">
        <f t="shared" si="421"/>
        <v/>
      </c>
      <c r="Q2703" t="str">
        <f t="shared" si="422"/>
        <v/>
      </c>
      <c r="R2703" t="str">
        <f t="shared" si="423"/>
        <v/>
      </c>
      <c r="S2703" t="str">
        <f t="shared" si="424"/>
        <v/>
      </c>
      <c r="T2703" t="str">
        <f t="shared" si="425"/>
        <v/>
      </c>
      <c r="U2703" t="str">
        <f t="shared" si="426"/>
        <v/>
      </c>
      <c r="V2703" t="str">
        <f t="shared" si="427"/>
        <v/>
      </c>
      <c r="W2703" t="str">
        <f t="shared" si="428"/>
        <v/>
      </c>
      <c r="X2703">
        <f>IF($T2703="",N($X2702),IF(MATCH($T2703,$T$6:$T$10005,0)=ROW()-5,N($X2702)+1,N($X2702)))</f>
        <v>0</v>
      </c>
      <c r="Z2703" t="str">
        <f t="shared" si="429"/>
        <v/>
      </c>
      <c r="AA2703">
        <f>IF($V2703="",N($AA2702),IF(MATCH($V2703,$V$6:$V$10005,0)=ROW()-5,N($AA2702)+1,N($AA2702)))</f>
        <v>0</v>
      </c>
    </row>
    <row r="2704" spans="1:27" ht="21" customHeight="1" x14ac:dyDescent="0.95">
      <c r="A2704" s="56"/>
      <c r="B2704" s="57"/>
      <c r="C2704" s="57"/>
      <c r="D2704" s="57"/>
      <c r="E2704" s="56"/>
      <c r="F2704" s="57"/>
      <c r="G2704" s="57"/>
      <c r="H2704" s="56"/>
      <c r="I2704" s="56"/>
      <c r="J2704" s="58"/>
      <c r="K2704" s="58"/>
      <c r="L2704" s="13" t="str">
        <f t="shared" si="420"/>
        <v/>
      </c>
      <c r="M2704" s="13" t="str">
        <f t="shared" si="421"/>
        <v/>
      </c>
      <c r="Q2704" t="str">
        <f t="shared" si="422"/>
        <v/>
      </c>
      <c r="R2704" t="str">
        <f t="shared" si="423"/>
        <v/>
      </c>
      <c r="S2704" t="str">
        <f t="shared" si="424"/>
        <v/>
      </c>
      <c r="T2704" t="str">
        <f t="shared" si="425"/>
        <v/>
      </c>
      <c r="U2704" t="str">
        <f t="shared" si="426"/>
        <v/>
      </c>
      <c r="V2704" t="str">
        <f t="shared" si="427"/>
        <v/>
      </c>
      <c r="W2704" t="str">
        <f t="shared" si="428"/>
        <v/>
      </c>
      <c r="X2704">
        <f>IF($T2704="",N($X2703),IF(MATCH($T2704,$T$6:$T$10005,0)=ROW()-5,N($X2703)+1,N($X2703)))</f>
        <v>0</v>
      </c>
      <c r="Z2704" t="str">
        <f t="shared" si="429"/>
        <v/>
      </c>
      <c r="AA2704">
        <f>IF($V2704="",N($AA2703),IF(MATCH($V2704,$V$6:$V$10005,0)=ROW()-5,N($AA2703)+1,N($AA2703)))</f>
        <v>0</v>
      </c>
    </row>
    <row r="2705" spans="1:27" ht="21" customHeight="1" x14ac:dyDescent="0.95">
      <c r="A2705" s="56"/>
      <c r="B2705" s="57"/>
      <c r="C2705" s="57"/>
      <c r="D2705" s="57"/>
      <c r="E2705" s="56"/>
      <c r="F2705" s="57"/>
      <c r="G2705" s="57"/>
      <c r="H2705" s="56"/>
      <c r="I2705" s="56"/>
      <c r="J2705" s="58"/>
      <c r="K2705" s="58"/>
      <c r="L2705" s="13" t="str">
        <f t="shared" si="420"/>
        <v/>
      </c>
      <c r="M2705" s="13" t="str">
        <f t="shared" si="421"/>
        <v/>
      </c>
      <c r="Q2705" t="str">
        <f t="shared" si="422"/>
        <v/>
      </c>
      <c r="R2705" t="str">
        <f t="shared" si="423"/>
        <v/>
      </c>
      <c r="S2705" t="str">
        <f t="shared" si="424"/>
        <v/>
      </c>
      <c r="T2705" t="str">
        <f t="shared" si="425"/>
        <v/>
      </c>
      <c r="U2705" t="str">
        <f t="shared" si="426"/>
        <v/>
      </c>
      <c r="V2705" t="str">
        <f t="shared" si="427"/>
        <v/>
      </c>
      <c r="W2705" t="str">
        <f t="shared" si="428"/>
        <v/>
      </c>
      <c r="X2705">
        <f>IF($T2705="",N($X2704),IF(MATCH($T2705,$T$6:$T$10005,0)=ROW()-5,N($X2704)+1,N($X2704)))</f>
        <v>0</v>
      </c>
      <c r="Z2705" t="str">
        <f t="shared" si="429"/>
        <v/>
      </c>
      <c r="AA2705">
        <f>IF($V2705="",N($AA2704),IF(MATCH($V2705,$V$6:$V$10005,0)=ROW()-5,N($AA2704)+1,N($AA2704)))</f>
        <v>0</v>
      </c>
    </row>
    <row r="2706" spans="1:27" ht="21" customHeight="1" x14ac:dyDescent="0.95">
      <c r="A2706" s="56"/>
      <c r="B2706" s="57"/>
      <c r="C2706" s="57"/>
      <c r="D2706" s="57"/>
      <c r="E2706" s="56"/>
      <c r="F2706" s="57"/>
      <c r="G2706" s="57"/>
      <c r="H2706" s="56"/>
      <c r="I2706" s="56"/>
      <c r="J2706" s="58"/>
      <c r="K2706" s="58"/>
      <c r="L2706" s="13" t="str">
        <f t="shared" si="420"/>
        <v/>
      </c>
      <c r="M2706" s="13" t="str">
        <f t="shared" si="421"/>
        <v/>
      </c>
      <c r="Q2706" t="str">
        <f t="shared" si="422"/>
        <v/>
      </c>
      <c r="R2706" t="str">
        <f t="shared" si="423"/>
        <v/>
      </c>
      <c r="S2706" t="str">
        <f t="shared" si="424"/>
        <v/>
      </c>
      <c r="T2706" t="str">
        <f t="shared" si="425"/>
        <v/>
      </c>
      <c r="U2706" t="str">
        <f t="shared" si="426"/>
        <v/>
      </c>
      <c r="V2706" t="str">
        <f t="shared" si="427"/>
        <v/>
      </c>
      <c r="W2706" t="str">
        <f t="shared" si="428"/>
        <v/>
      </c>
      <c r="X2706">
        <f>IF($T2706="",N($X2705),IF(MATCH($T2706,$T$6:$T$10005,0)=ROW()-5,N($X2705)+1,N($X2705)))</f>
        <v>0</v>
      </c>
      <c r="Z2706" t="str">
        <f t="shared" si="429"/>
        <v/>
      </c>
      <c r="AA2706">
        <f>IF($V2706="",N($AA2705),IF(MATCH($V2706,$V$6:$V$10005,0)=ROW()-5,N($AA2705)+1,N($AA2705)))</f>
        <v>0</v>
      </c>
    </row>
    <row r="2707" spans="1:27" ht="21" customHeight="1" x14ac:dyDescent="0.95">
      <c r="A2707" s="56"/>
      <c r="B2707" s="57"/>
      <c r="C2707" s="57"/>
      <c r="D2707" s="57"/>
      <c r="E2707" s="56"/>
      <c r="F2707" s="57"/>
      <c r="G2707" s="57"/>
      <c r="H2707" s="56"/>
      <c r="I2707" s="56"/>
      <c r="J2707" s="58"/>
      <c r="K2707" s="58"/>
      <c r="L2707" s="13" t="str">
        <f t="shared" si="420"/>
        <v/>
      </c>
      <c r="M2707" s="13" t="str">
        <f t="shared" si="421"/>
        <v/>
      </c>
      <c r="Q2707" t="str">
        <f t="shared" si="422"/>
        <v/>
      </c>
      <c r="R2707" t="str">
        <f t="shared" si="423"/>
        <v/>
      </c>
      <c r="S2707" t="str">
        <f t="shared" si="424"/>
        <v/>
      </c>
      <c r="T2707" t="str">
        <f t="shared" si="425"/>
        <v/>
      </c>
      <c r="U2707" t="str">
        <f t="shared" si="426"/>
        <v/>
      </c>
      <c r="V2707" t="str">
        <f t="shared" si="427"/>
        <v/>
      </c>
      <c r="W2707" t="str">
        <f t="shared" si="428"/>
        <v/>
      </c>
      <c r="X2707">
        <f>IF($T2707="",N($X2706),IF(MATCH($T2707,$T$6:$T$10005,0)=ROW()-5,N($X2706)+1,N($X2706)))</f>
        <v>0</v>
      </c>
      <c r="Z2707" t="str">
        <f t="shared" si="429"/>
        <v/>
      </c>
      <c r="AA2707">
        <f>IF($V2707="",N($AA2706),IF(MATCH($V2707,$V$6:$V$10005,0)=ROW()-5,N($AA2706)+1,N($AA2706)))</f>
        <v>0</v>
      </c>
    </row>
    <row r="2708" spans="1:27" ht="21" customHeight="1" x14ac:dyDescent="0.95">
      <c r="A2708" s="56"/>
      <c r="B2708" s="57"/>
      <c r="C2708" s="57"/>
      <c r="D2708" s="57"/>
      <c r="E2708" s="56"/>
      <c r="F2708" s="57"/>
      <c r="G2708" s="57"/>
      <c r="H2708" s="56"/>
      <c r="I2708" s="56"/>
      <c r="J2708" s="58"/>
      <c r="K2708" s="58"/>
      <c r="L2708" s="13" t="str">
        <f t="shared" si="420"/>
        <v/>
      </c>
      <c r="M2708" s="13" t="str">
        <f t="shared" si="421"/>
        <v/>
      </c>
      <c r="Q2708" t="str">
        <f t="shared" si="422"/>
        <v/>
      </c>
      <c r="R2708" t="str">
        <f t="shared" si="423"/>
        <v/>
      </c>
      <c r="S2708" t="str">
        <f t="shared" si="424"/>
        <v/>
      </c>
      <c r="T2708" t="str">
        <f t="shared" si="425"/>
        <v/>
      </c>
      <c r="U2708" t="str">
        <f t="shared" si="426"/>
        <v/>
      </c>
      <c r="V2708" t="str">
        <f t="shared" si="427"/>
        <v/>
      </c>
      <c r="W2708" t="str">
        <f t="shared" si="428"/>
        <v/>
      </c>
      <c r="X2708">
        <f>IF($T2708="",N($X2707),IF(MATCH($T2708,$T$6:$T$10005,0)=ROW()-5,N($X2707)+1,N($X2707)))</f>
        <v>0</v>
      </c>
      <c r="Z2708" t="str">
        <f t="shared" si="429"/>
        <v/>
      </c>
      <c r="AA2708">
        <f>IF($V2708="",N($AA2707),IF(MATCH($V2708,$V$6:$V$10005,0)=ROW()-5,N($AA2707)+1,N($AA2707)))</f>
        <v>0</v>
      </c>
    </row>
    <row r="2709" spans="1:27" ht="21" customHeight="1" x14ac:dyDescent="0.95">
      <c r="A2709" s="56"/>
      <c r="B2709" s="57"/>
      <c r="C2709" s="57"/>
      <c r="D2709" s="57"/>
      <c r="E2709" s="56"/>
      <c r="F2709" s="57"/>
      <c r="G2709" s="57"/>
      <c r="H2709" s="56"/>
      <c r="I2709" s="56"/>
      <c r="J2709" s="58"/>
      <c r="K2709" s="58"/>
      <c r="L2709" s="13" t="str">
        <f t="shared" si="420"/>
        <v/>
      </c>
      <c r="M2709" s="13" t="str">
        <f t="shared" si="421"/>
        <v/>
      </c>
      <c r="Q2709" t="str">
        <f t="shared" si="422"/>
        <v/>
      </c>
      <c r="R2709" t="str">
        <f t="shared" si="423"/>
        <v/>
      </c>
      <c r="S2709" t="str">
        <f t="shared" si="424"/>
        <v/>
      </c>
      <c r="T2709" t="str">
        <f t="shared" si="425"/>
        <v/>
      </c>
      <c r="U2709" t="str">
        <f t="shared" si="426"/>
        <v/>
      </c>
      <c r="V2709" t="str">
        <f t="shared" si="427"/>
        <v/>
      </c>
      <c r="W2709" t="str">
        <f t="shared" si="428"/>
        <v/>
      </c>
      <c r="X2709">
        <f>IF($T2709="",N($X2708),IF(MATCH($T2709,$T$6:$T$10005,0)=ROW()-5,N($X2708)+1,N($X2708)))</f>
        <v>0</v>
      </c>
      <c r="Z2709" t="str">
        <f t="shared" si="429"/>
        <v/>
      </c>
      <c r="AA2709">
        <f>IF($V2709="",N($AA2708),IF(MATCH($V2709,$V$6:$V$10005,0)=ROW()-5,N($AA2708)+1,N($AA2708)))</f>
        <v>0</v>
      </c>
    </row>
    <row r="2710" spans="1:27" ht="21" customHeight="1" x14ac:dyDescent="0.95">
      <c r="A2710" s="56"/>
      <c r="B2710" s="57"/>
      <c r="C2710" s="57"/>
      <c r="D2710" s="57"/>
      <c r="E2710" s="56"/>
      <c r="F2710" s="57"/>
      <c r="G2710" s="57"/>
      <c r="H2710" s="56"/>
      <c r="I2710" s="56"/>
      <c r="J2710" s="58"/>
      <c r="K2710" s="58"/>
      <c r="L2710" s="13" t="str">
        <f t="shared" si="420"/>
        <v/>
      </c>
      <c r="M2710" s="13" t="str">
        <f t="shared" si="421"/>
        <v/>
      </c>
      <c r="Q2710" t="str">
        <f t="shared" si="422"/>
        <v/>
      </c>
      <c r="R2710" t="str">
        <f t="shared" si="423"/>
        <v/>
      </c>
      <c r="S2710" t="str">
        <f t="shared" si="424"/>
        <v/>
      </c>
      <c r="T2710" t="str">
        <f t="shared" si="425"/>
        <v/>
      </c>
      <c r="U2710" t="str">
        <f t="shared" si="426"/>
        <v/>
      </c>
      <c r="V2710" t="str">
        <f t="shared" si="427"/>
        <v/>
      </c>
      <c r="W2710" t="str">
        <f t="shared" si="428"/>
        <v/>
      </c>
      <c r="X2710">
        <f>IF($T2710="",N($X2709),IF(MATCH($T2710,$T$6:$T$10005,0)=ROW()-5,N($X2709)+1,N($X2709)))</f>
        <v>0</v>
      </c>
      <c r="Z2710" t="str">
        <f t="shared" si="429"/>
        <v/>
      </c>
      <c r="AA2710">
        <f>IF($V2710="",N($AA2709),IF(MATCH($V2710,$V$6:$V$10005,0)=ROW()-5,N($AA2709)+1,N($AA2709)))</f>
        <v>0</v>
      </c>
    </row>
    <row r="2711" spans="1:27" ht="21" customHeight="1" x14ac:dyDescent="0.95">
      <c r="A2711" s="56"/>
      <c r="B2711" s="57"/>
      <c r="C2711" s="57"/>
      <c r="D2711" s="57"/>
      <c r="E2711" s="56"/>
      <c r="F2711" s="57"/>
      <c r="G2711" s="57"/>
      <c r="H2711" s="56"/>
      <c r="I2711" s="56"/>
      <c r="J2711" s="58"/>
      <c r="K2711" s="58"/>
      <c r="L2711" s="13" t="str">
        <f t="shared" si="420"/>
        <v/>
      </c>
      <c r="M2711" s="13" t="str">
        <f t="shared" si="421"/>
        <v/>
      </c>
      <c r="Q2711" t="str">
        <f t="shared" si="422"/>
        <v/>
      </c>
      <c r="R2711" t="str">
        <f t="shared" si="423"/>
        <v/>
      </c>
      <c r="S2711" t="str">
        <f t="shared" si="424"/>
        <v/>
      </c>
      <c r="T2711" t="str">
        <f t="shared" si="425"/>
        <v/>
      </c>
      <c r="U2711" t="str">
        <f t="shared" si="426"/>
        <v/>
      </c>
      <c r="V2711" t="str">
        <f t="shared" si="427"/>
        <v/>
      </c>
      <c r="W2711" t="str">
        <f t="shared" si="428"/>
        <v/>
      </c>
      <c r="X2711">
        <f>IF($T2711="",N($X2710),IF(MATCH($T2711,$T$6:$T$10005,0)=ROW()-5,N($X2710)+1,N($X2710)))</f>
        <v>0</v>
      </c>
      <c r="Z2711" t="str">
        <f t="shared" si="429"/>
        <v/>
      </c>
      <c r="AA2711">
        <f>IF($V2711="",N($AA2710),IF(MATCH($V2711,$V$6:$V$10005,0)=ROW()-5,N($AA2710)+1,N($AA2710)))</f>
        <v>0</v>
      </c>
    </row>
    <row r="2712" spans="1:27" ht="21" customHeight="1" x14ac:dyDescent="0.95">
      <c r="A2712" s="56"/>
      <c r="B2712" s="57"/>
      <c r="C2712" s="57"/>
      <c r="D2712" s="57"/>
      <c r="E2712" s="56"/>
      <c r="F2712" s="57"/>
      <c r="G2712" s="57"/>
      <c r="H2712" s="56"/>
      <c r="I2712" s="56"/>
      <c r="J2712" s="58"/>
      <c r="K2712" s="58"/>
      <c r="L2712" s="13" t="str">
        <f t="shared" si="420"/>
        <v/>
      </c>
      <c r="M2712" s="13" t="str">
        <f t="shared" si="421"/>
        <v/>
      </c>
      <c r="Q2712" t="str">
        <f t="shared" si="422"/>
        <v/>
      </c>
      <c r="R2712" t="str">
        <f t="shared" si="423"/>
        <v/>
      </c>
      <c r="S2712" t="str">
        <f t="shared" si="424"/>
        <v/>
      </c>
      <c r="T2712" t="str">
        <f t="shared" si="425"/>
        <v/>
      </c>
      <c r="U2712" t="str">
        <f t="shared" si="426"/>
        <v/>
      </c>
      <c r="V2712" t="str">
        <f t="shared" si="427"/>
        <v/>
      </c>
      <c r="W2712" t="str">
        <f t="shared" si="428"/>
        <v/>
      </c>
      <c r="X2712">
        <f>IF($T2712="",N($X2711),IF(MATCH($T2712,$T$6:$T$10005,0)=ROW()-5,N($X2711)+1,N($X2711)))</f>
        <v>0</v>
      </c>
      <c r="Z2712" t="str">
        <f t="shared" si="429"/>
        <v/>
      </c>
      <c r="AA2712">
        <f>IF($V2712="",N($AA2711),IF(MATCH($V2712,$V$6:$V$10005,0)=ROW()-5,N($AA2711)+1,N($AA2711)))</f>
        <v>0</v>
      </c>
    </row>
    <row r="2713" spans="1:27" ht="21" customHeight="1" x14ac:dyDescent="0.95">
      <c r="A2713" s="56"/>
      <c r="B2713" s="57"/>
      <c r="C2713" s="57"/>
      <c r="D2713" s="57"/>
      <c r="E2713" s="56"/>
      <c r="F2713" s="57"/>
      <c r="G2713" s="57"/>
      <c r="H2713" s="56"/>
      <c r="I2713" s="56"/>
      <c r="J2713" s="58"/>
      <c r="K2713" s="58"/>
      <c r="L2713" s="13" t="str">
        <f t="shared" si="420"/>
        <v/>
      </c>
      <c r="M2713" s="13" t="str">
        <f t="shared" si="421"/>
        <v/>
      </c>
      <c r="Q2713" t="str">
        <f t="shared" si="422"/>
        <v/>
      </c>
      <c r="R2713" t="str">
        <f t="shared" si="423"/>
        <v/>
      </c>
      <c r="S2713" t="str">
        <f t="shared" si="424"/>
        <v/>
      </c>
      <c r="T2713" t="str">
        <f t="shared" si="425"/>
        <v/>
      </c>
      <c r="U2713" t="str">
        <f t="shared" si="426"/>
        <v/>
      </c>
      <c r="V2713" t="str">
        <f t="shared" si="427"/>
        <v/>
      </c>
      <c r="W2713" t="str">
        <f t="shared" si="428"/>
        <v/>
      </c>
      <c r="X2713">
        <f>IF($T2713="",N($X2712),IF(MATCH($T2713,$T$6:$T$10005,0)=ROW()-5,N($X2712)+1,N($X2712)))</f>
        <v>0</v>
      </c>
      <c r="Z2713" t="str">
        <f t="shared" si="429"/>
        <v/>
      </c>
      <c r="AA2713">
        <f>IF($V2713="",N($AA2712),IF(MATCH($V2713,$V$6:$V$10005,0)=ROW()-5,N($AA2712)+1,N($AA2712)))</f>
        <v>0</v>
      </c>
    </row>
    <row r="2714" spans="1:27" ht="21" customHeight="1" x14ac:dyDescent="0.95">
      <c r="A2714" s="56"/>
      <c r="B2714" s="57"/>
      <c r="C2714" s="57"/>
      <c r="D2714" s="57"/>
      <c r="E2714" s="56"/>
      <c r="F2714" s="57"/>
      <c r="G2714" s="57"/>
      <c r="H2714" s="56"/>
      <c r="I2714" s="56"/>
      <c r="J2714" s="58"/>
      <c r="K2714" s="58"/>
      <c r="L2714" s="13" t="str">
        <f t="shared" si="420"/>
        <v/>
      </c>
      <c r="M2714" s="13" t="str">
        <f t="shared" si="421"/>
        <v/>
      </c>
      <c r="Q2714" t="str">
        <f t="shared" si="422"/>
        <v/>
      </c>
      <c r="R2714" t="str">
        <f t="shared" si="423"/>
        <v/>
      </c>
      <c r="S2714" t="str">
        <f t="shared" si="424"/>
        <v/>
      </c>
      <c r="T2714" t="str">
        <f t="shared" si="425"/>
        <v/>
      </c>
      <c r="U2714" t="str">
        <f t="shared" si="426"/>
        <v/>
      </c>
      <c r="V2714" t="str">
        <f t="shared" si="427"/>
        <v/>
      </c>
      <c r="W2714" t="str">
        <f t="shared" si="428"/>
        <v/>
      </c>
      <c r="X2714">
        <f>IF($T2714="",N($X2713),IF(MATCH($T2714,$T$6:$T$10005,0)=ROW()-5,N($X2713)+1,N($X2713)))</f>
        <v>0</v>
      </c>
      <c r="Z2714" t="str">
        <f t="shared" si="429"/>
        <v/>
      </c>
      <c r="AA2714">
        <f>IF($V2714="",N($AA2713),IF(MATCH($V2714,$V$6:$V$10005,0)=ROW()-5,N($AA2713)+1,N($AA2713)))</f>
        <v>0</v>
      </c>
    </row>
    <row r="2715" spans="1:27" ht="21" customHeight="1" x14ac:dyDescent="0.95">
      <c r="A2715" s="56"/>
      <c r="B2715" s="57"/>
      <c r="C2715" s="57"/>
      <c r="D2715" s="57"/>
      <c r="E2715" s="56"/>
      <c r="F2715" s="57"/>
      <c r="G2715" s="57"/>
      <c r="H2715" s="56"/>
      <c r="I2715" s="56"/>
      <c r="J2715" s="58"/>
      <c r="K2715" s="58"/>
      <c r="L2715" s="13" t="str">
        <f t="shared" si="420"/>
        <v/>
      </c>
      <c r="M2715" s="13" t="str">
        <f t="shared" si="421"/>
        <v/>
      </c>
      <c r="Q2715" t="str">
        <f t="shared" si="422"/>
        <v/>
      </c>
      <c r="R2715" t="str">
        <f t="shared" si="423"/>
        <v/>
      </c>
      <c r="S2715" t="str">
        <f t="shared" si="424"/>
        <v/>
      </c>
      <c r="T2715" t="str">
        <f t="shared" si="425"/>
        <v/>
      </c>
      <c r="U2715" t="str">
        <f t="shared" si="426"/>
        <v/>
      </c>
      <c r="V2715" t="str">
        <f t="shared" si="427"/>
        <v/>
      </c>
      <c r="W2715" t="str">
        <f t="shared" si="428"/>
        <v/>
      </c>
      <c r="X2715">
        <f>IF($T2715="",N($X2714),IF(MATCH($T2715,$T$6:$T$10005,0)=ROW()-5,N($X2714)+1,N($X2714)))</f>
        <v>0</v>
      </c>
      <c r="Z2715" t="str">
        <f t="shared" si="429"/>
        <v/>
      </c>
      <c r="AA2715">
        <f>IF($V2715="",N($AA2714),IF(MATCH($V2715,$V$6:$V$10005,0)=ROW()-5,N($AA2714)+1,N($AA2714)))</f>
        <v>0</v>
      </c>
    </row>
    <row r="2716" spans="1:27" ht="21" customHeight="1" x14ac:dyDescent="0.95">
      <c r="A2716" s="56"/>
      <c r="B2716" s="57"/>
      <c r="C2716" s="57"/>
      <c r="D2716" s="57"/>
      <c r="E2716" s="56"/>
      <c r="F2716" s="57"/>
      <c r="G2716" s="57"/>
      <c r="H2716" s="56"/>
      <c r="I2716" s="56"/>
      <c r="J2716" s="58"/>
      <c r="K2716" s="58"/>
      <c r="L2716" s="13" t="str">
        <f t="shared" si="420"/>
        <v/>
      </c>
      <c r="M2716" s="13" t="str">
        <f t="shared" si="421"/>
        <v/>
      </c>
      <c r="Q2716" t="str">
        <f t="shared" si="422"/>
        <v/>
      </c>
      <c r="R2716" t="str">
        <f t="shared" si="423"/>
        <v/>
      </c>
      <c r="S2716" t="str">
        <f t="shared" si="424"/>
        <v/>
      </c>
      <c r="T2716" t="str">
        <f t="shared" si="425"/>
        <v/>
      </c>
      <c r="U2716" t="str">
        <f t="shared" si="426"/>
        <v/>
      </c>
      <c r="V2716" t="str">
        <f t="shared" si="427"/>
        <v/>
      </c>
      <c r="W2716" t="str">
        <f t="shared" si="428"/>
        <v/>
      </c>
      <c r="X2716">
        <f>IF($T2716="",N($X2715),IF(MATCH($T2716,$T$6:$T$10005,0)=ROW()-5,N($X2715)+1,N($X2715)))</f>
        <v>0</v>
      </c>
      <c r="Z2716" t="str">
        <f t="shared" si="429"/>
        <v/>
      </c>
      <c r="AA2716">
        <f>IF($V2716="",N($AA2715),IF(MATCH($V2716,$V$6:$V$10005,0)=ROW()-5,N($AA2715)+1,N($AA2715)))</f>
        <v>0</v>
      </c>
    </row>
    <row r="2717" spans="1:27" ht="21" customHeight="1" x14ac:dyDescent="0.95">
      <c r="A2717" s="56"/>
      <c r="B2717" s="57"/>
      <c r="C2717" s="57"/>
      <c r="D2717" s="57"/>
      <c r="E2717" s="56"/>
      <c r="F2717" s="57"/>
      <c r="G2717" s="57"/>
      <c r="H2717" s="56"/>
      <c r="I2717" s="56"/>
      <c r="J2717" s="58"/>
      <c r="K2717" s="58"/>
      <c r="L2717" s="13" t="str">
        <f t="shared" si="420"/>
        <v/>
      </c>
      <c r="M2717" s="13" t="str">
        <f t="shared" si="421"/>
        <v/>
      </c>
      <c r="Q2717" t="str">
        <f t="shared" si="422"/>
        <v/>
      </c>
      <c r="R2717" t="str">
        <f t="shared" si="423"/>
        <v/>
      </c>
      <c r="S2717" t="str">
        <f t="shared" si="424"/>
        <v/>
      </c>
      <c r="T2717" t="str">
        <f t="shared" si="425"/>
        <v/>
      </c>
      <c r="U2717" t="str">
        <f t="shared" si="426"/>
        <v/>
      </c>
      <c r="V2717" t="str">
        <f t="shared" si="427"/>
        <v/>
      </c>
      <c r="W2717" t="str">
        <f t="shared" si="428"/>
        <v/>
      </c>
      <c r="X2717">
        <f>IF($T2717="",N($X2716),IF(MATCH($T2717,$T$6:$T$10005,0)=ROW()-5,N($X2716)+1,N($X2716)))</f>
        <v>0</v>
      </c>
      <c r="Z2717" t="str">
        <f t="shared" si="429"/>
        <v/>
      </c>
      <c r="AA2717">
        <f>IF($V2717="",N($AA2716),IF(MATCH($V2717,$V$6:$V$10005,0)=ROW()-5,N($AA2716)+1,N($AA2716)))</f>
        <v>0</v>
      </c>
    </row>
    <row r="2718" spans="1:27" ht="21" customHeight="1" x14ac:dyDescent="0.95">
      <c r="A2718" s="56"/>
      <c r="B2718" s="57"/>
      <c r="C2718" s="57"/>
      <c r="D2718" s="57"/>
      <c r="E2718" s="56"/>
      <c r="F2718" s="57"/>
      <c r="G2718" s="57"/>
      <c r="H2718" s="56"/>
      <c r="I2718" s="56"/>
      <c r="J2718" s="58"/>
      <c r="K2718" s="58"/>
      <c r="L2718" s="13" t="str">
        <f t="shared" si="420"/>
        <v/>
      </c>
      <c r="M2718" s="13" t="str">
        <f t="shared" si="421"/>
        <v/>
      </c>
      <c r="Q2718" t="str">
        <f t="shared" si="422"/>
        <v/>
      </c>
      <c r="R2718" t="str">
        <f t="shared" si="423"/>
        <v/>
      </c>
      <c r="S2718" t="str">
        <f t="shared" si="424"/>
        <v/>
      </c>
      <c r="T2718" t="str">
        <f t="shared" si="425"/>
        <v/>
      </c>
      <c r="U2718" t="str">
        <f t="shared" si="426"/>
        <v/>
      </c>
      <c r="V2718" t="str">
        <f t="shared" si="427"/>
        <v/>
      </c>
      <c r="W2718" t="str">
        <f t="shared" si="428"/>
        <v/>
      </c>
      <c r="X2718">
        <f>IF($T2718="",N($X2717),IF(MATCH($T2718,$T$6:$T$10005,0)=ROW()-5,N($X2717)+1,N($X2717)))</f>
        <v>0</v>
      </c>
      <c r="Z2718" t="str">
        <f t="shared" si="429"/>
        <v/>
      </c>
      <c r="AA2718">
        <f>IF($V2718="",N($AA2717),IF(MATCH($V2718,$V$6:$V$10005,0)=ROW()-5,N($AA2717)+1,N($AA2717)))</f>
        <v>0</v>
      </c>
    </row>
    <row r="2719" spans="1:27" ht="21" customHeight="1" x14ac:dyDescent="0.95">
      <c r="A2719" s="56"/>
      <c r="B2719" s="57"/>
      <c r="C2719" s="57"/>
      <c r="D2719" s="57"/>
      <c r="E2719" s="56"/>
      <c r="F2719" s="57"/>
      <c r="G2719" s="57"/>
      <c r="H2719" s="56"/>
      <c r="I2719" s="56"/>
      <c r="J2719" s="58"/>
      <c r="K2719" s="58"/>
      <c r="L2719" s="13" t="str">
        <f t="shared" si="420"/>
        <v/>
      </c>
      <c r="M2719" s="13" t="str">
        <f t="shared" si="421"/>
        <v/>
      </c>
      <c r="Q2719" t="str">
        <f t="shared" si="422"/>
        <v/>
      </c>
      <c r="R2719" t="str">
        <f t="shared" si="423"/>
        <v/>
      </c>
      <c r="S2719" t="str">
        <f t="shared" si="424"/>
        <v/>
      </c>
      <c r="T2719" t="str">
        <f t="shared" si="425"/>
        <v/>
      </c>
      <c r="U2719" t="str">
        <f t="shared" si="426"/>
        <v/>
      </c>
      <c r="V2719" t="str">
        <f t="shared" si="427"/>
        <v/>
      </c>
      <c r="W2719" t="str">
        <f t="shared" si="428"/>
        <v/>
      </c>
      <c r="X2719">
        <f>IF($T2719="",N($X2718),IF(MATCH($T2719,$T$6:$T$10005,0)=ROW()-5,N($X2718)+1,N($X2718)))</f>
        <v>0</v>
      </c>
      <c r="Z2719" t="str">
        <f t="shared" si="429"/>
        <v/>
      </c>
      <c r="AA2719">
        <f>IF($V2719="",N($AA2718),IF(MATCH($V2719,$V$6:$V$10005,0)=ROW()-5,N($AA2718)+1,N($AA2718)))</f>
        <v>0</v>
      </c>
    </row>
    <row r="2720" spans="1:27" ht="21" customHeight="1" x14ac:dyDescent="0.95">
      <c r="A2720" s="56"/>
      <c r="B2720" s="57"/>
      <c r="C2720" s="57"/>
      <c r="D2720" s="57"/>
      <c r="E2720" s="56"/>
      <c r="F2720" s="57"/>
      <c r="G2720" s="57"/>
      <c r="H2720" s="56"/>
      <c r="I2720" s="56"/>
      <c r="J2720" s="58"/>
      <c r="K2720" s="58"/>
      <c r="L2720" s="13" t="str">
        <f t="shared" si="420"/>
        <v/>
      </c>
      <c r="M2720" s="13" t="str">
        <f t="shared" si="421"/>
        <v/>
      </c>
      <c r="Q2720" t="str">
        <f t="shared" si="422"/>
        <v/>
      </c>
      <c r="R2720" t="str">
        <f t="shared" si="423"/>
        <v/>
      </c>
      <c r="S2720" t="str">
        <f t="shared" si="424"/>
        <v/>
      </c>
      <c r="T2720" t="str">
        <f t="shared" si="425"/>
        <v/>
      </c>
      <c r="U2720" t="str">
        <f t="shared" si="426"/>
        <v/>
      </c>
      <c r="V2720" t="str">
        <f t="shared" si="427"/>
        <v/>
      </c>
      <c r="W2720" t="str">
        <f t="shared" si="428"/>
        <v/>
      </c>
      <c r="X2720">
        <f>IF($T2720="",N($X2719),IF(MATCH($T2720,$T$6:$T$10005,0)=ROW()-5,N($X2719)+1,N($X2719)))</f>
        <v>0</v>
      </c>
      <c r="Z2720" t="str">
        <f t="shared" si="429"/>
        <v/>
      </c>
      <c r="AA2720">
        <f>IF($V2720="",N($AA2719),IF(MATCH($V2720,$V$6:$V$10005,0)=ROW()-5,N($AA2719)+1,N($AA2719)))</f>
        <v>0</v>
      </c>
    </row>
    <row r="2721" spans="1:27" ht="21" customHeight="1" x14ac:dyDescent="0.95">
      <c r="A2721" s="56"/>
      <c r="B2721" s="57"/>
      <c r="C2721" s="57"/>
      <c r="D2721" s="57"/>
      <c r="E2721" s="56"/>
      <c r="F2721" s="57"/>
      <c r="G2721" s="57"/>
      <c r="H2721" s="56"/>
      <c r="I2721" s="56"/>
      <c r="J2721" s="58"/>
      <c r="K2721" s="58"/>
      <c r="L2721" s="13" t="str">
        <f t="shared" si="420"/>
        <v/>
      </c>
      <c r="M2721" s="13" t="str">
        <f t="shared" si="421"/>
        <v/>
      </c>
      <c r="Q2721" t="str">
        <f t="shared" si="422"/>
        <v/>
      </c>
      <c r="R2721" t="str">
        <f t="shared" si="423"/>
        <v/>
      </c>
      <c r="S2721" t="str">
        <f t="shared" si="424"/>
        <v/>
      </c>
      <c r="T2721" t="str">
        <f t="shared" si="425"/>
        <v/>
      </c>
      <c r="U2721" t="str">
        <f t="shared" si="426"/>
        <v/>
      </c>
      <c r="V2721" t="str">
        <f t="shared" si="427"/>
        <v/>
      </c>
      <c r="W2721" t="str">
        <f t="shared" si="428"/>
        <v/>
      </c>
      <c r="X2721">
        <f>IF($T2721="",N($X2720),IF(MATCH($T2721,$T$6:$T$10005,0)=ROW()-5,N($X2720)+1,N($X2720)))</f>
        <v>0</v>
      </c>
      <c r="Z2721" t="str">
        <f t="shared" si="429"/>
        <v/>
      </c>
      <c r="AA2721">
        <f>IF($V2721="",N($AA2720),IF(MATCH($V2721,$V$6:$V$10005,0)=ROW()-5,N($AA2720)+1,N($AA2720)))</f>
        <v>0</v>
      </c>
    </row>
    <row r="2722" spans="1:27" ht="21" customHeight="1" x14ac:dyDescent="0.95">
      <c r="A2722" s="56"/>
      <c r="B2722" s="57"/>
      <c r="C2722" s="57"/>
      <c r="D2722" s="57"/>
      <c r="E2722" s="56"/>
      <c r="F2722" s="57"/>
      <c r="G2722" s="57"/>
      <c r="H2722" s="56"/>
      <c r="I2722" s="56"/>
      <c r="J2722" s="58"/>
      <c r="K2722" s="58"/>
      <c r="L2722" s="13" t="str">
        <f t="shared" si="420"/>
        <v/>
      </c>
      <c r="M2722" s="13" t="str">
        <f t="shared" si="421"/>
        <v/>
      </c>
      <c r="Q2722" t="str">
        <f t="shared" si="422"/>
        <v/>
      </c>
      <c r="R2722" t="str">
        <f t="shared" si="423"/>
        <v/>
      </c>
      <c r="S2722" t="str">
        <f t="shared" si="424"/>
        <v/>
      </c>
      <c r="T2722" t="str">
        <f t="shared" si="425"/>
        <v/>
      </c>
      <c r="U2722" t="str">
        <f t="shared" si="426"/>
        <v/>
      </c>
      <c r="V2722" t="str">
        <f t="shared" si="427"/>
        <v/>
      </c>
      <c r="W2722" t="str">
        <f t="shared" si="428"/>
        <v/>
      </c>
      <c r="X2722">
        <f>IF($T2722="",N($X2721),IF(MATCH($T2722,$T$6:$T$10005,0)=ROW()-5,N($X2721)+1,N($X2721)))</f>
        <v>0</v>
      </c>
      <c r="Z2722" t="str">
        <f t="shared" si="429"/>
        <v/>
      </c>
      <c r="AA2722">
        <f>IF($V2722="",N($AA2721),IF(MATCH($V2722,$V$6:$V$10005,0)=ROW()-5,N($AA2721)+1,N($AA2721)))</f>
        <v>0</v>
      </c>
    </row>
    <row r="2723" spans="1:27" ht="21" customHeight="1" x14ac:dyDescent="0.95">
      <c r="A2723" s="56"/>
      <c r="B2723" s="57"/>
      <c r="C2723" s="57"/>
      <c r="D2723" s="57"/>
      <c r="E2723" s="56"/>
      <c r="F2723" s="57"/>
      <c r="G2723" s="57"/>
      <c r="H2723" s="56"/>
      <c r="I2723" s="56"/>
      <c r="J2723" s="58"/>
      <c r="K2723" s="58"/>
      <c r="L2723" s="13" t="str">
        <f t="shared" si="420"/>
        <v/>
      </c>
      <c r="M2723" s="13" t="str">
        <f t="shared" si="421"/>
        <v/>
      </c>
      <c r="Q2723" t="str">
        <f t="shared" si="422"/>
        <v/>
      </c>
      <c r="R2723" t="str">
        <f t="shared" si="423"/>
        <v/>
      </c>
      <c r="S2723" t="str">
        <f t="shared" si="424"/>
        <v/>
      </c>
      <c r="T2723" t="str">
        <f t="shared" si="425"/>
        <v/>
      </c>
      <c r="U2723" t="str">
        <f t="shared" si="426"/>
        <v/>
      </c>
      <c r="V2723" t="str">
        <f t="shared" si="427"/>
        <v/>
      </c>
      <c r="W2723" t="str">
        <f t="shared" si="428"/>
        <v/>
      </c>
      <c r="X2723">
        <f>IF($T2723="",N($X2722),IF(MATCH($T2723,$T$6:$T$10005,0)=ROW()-5,N($X2722)+1,N($X2722)))</f>
        <v>0</v>
      </c>
      <c r="Z2723" t="str">
        <f t="shared" si="429"/>
        <v/>
      </c>
      <c r="AA2723">
        <f>IF($V2723="",N($AA2722),IF(MATCH($V2723,$V$6:$V$10005,0)=ROW()-5,N($AA2722)+1,N($AA2722)))</f>
        <v>0</v>
      </c>
    </row>
    <row r="2724" spans="1:27" ht="21" customHeight="1" x14ac:dyDescent="0.95">
      <c r="A2724" s="56"/>
      <c r="B2724" s="57"/>
      <c r="C2724" s="57"/>
      <c r="D2724" s="57"/>
      <c r="E2724" s="56"/>
      <c r="F2724" s="57"/>
      <c r="G2724" s="57"/>
      <c r="H2724" s="56"/>
      <c r="I2724" s="56"/>
      <c r="J2724" s="58"/>
      <c r="K2724" s="58"/>
      <c r="L2724" s="13" t="str">
        <f t="shared" si="420"/>
        <v/>
      </c>
      <c r="M2724" s="13" t="str">
        <f t="shared" si="421"/>
        <v/>
      </c>
      <c r="Q2724" t="str">
        <f t="shared" si="422"/>
        <v/>
      </c>
      <c r="R2724" t="str">
        <f t="shared" si="423"/>
        <v/>
      </c>
      <c r="S2724" t="str">
        <f t="shared" si="424"/>
        <v/>
      </c>
      <c r="T2724" t="str">
        <f t="shared" si="425"/>
        <v/>
      </c>
      <c r="U2724" t="str">
        <f t="shared" si="426"/>
        <v/>
      </c>
      <c r="V2724" t="str">
        <f t="shared" si="427"/>
        <v/>
      </c>
      <c r="W2724" t="str">
        <f t="shared" si="428"/>
        <v/>
      </c>
      <c r="X2724">
        <f>IF($T2724="",N($X2723),IF(MATCH($T2724,$T$6:$T$10005,0)=ROW()-5,N($X2723)+1,N($X2723)))</f>
        <v>0</v>
      </c>
      <c r="Z2724" t="str">
        <f t="shared" si="429"/>
        <v/>
      </c>
      <c r="AA2724">
        <f>IF($V2724="",N($AA2723),IF(MATCH($V2724,$V$6:$V$10005,0)=ROW()-5,N($AA2723)+1,N($AA2723)))</f>
        <v>0</v>
      </c>
    </row>
    <row r="2725" spans="1:27" ht="21" customHeight="1" x14ac:dyDescent="0.95">
      <c r="A2725" s="56"/>
      <c r="B2725" s="57"/>
      <c r="C2725" s="57"/>
      <c r="D2725" s="57"/>
      <c r="E2725" s="56"/>
      <c r="F2725" s="57"/>
      <c r="G2725" s="57"/>
      <c r="H2725" s="56"/>
      <c r="I2725" s="56"/>
      <c r="J2725" s="58"/>
      <c r="K2725" s="58"/>
      <c r="L2725" s="13" t="str">
        <f t="shared" si="420"/>
        <v/>
      </c>
      <c r="M2725" s="13" t="str">
        <f t="shared" si="421"/>
        <v/>
      </c>
      <c r="Q2725" t="str">
        <f t="shared" si="422"/>
        <v/>
      </c>
      <c r="R2725" t="str">
        <f t="shared" si="423"/>
        <v/>
      </c>
      <c r="S2725" t="str">
        <f t="shared" si="424"/>
        <v/>
      </c>
      <c r="T2725" t="str">
        <f t="shared" si="425"/>
        <v/>
      </c>
      <c r="U2725" t="str">
        <f t="shared" si="426"/>
        <v/>
      </c>
      <c r="V2725" t="str">
        <f t="shared" si="427"/>
        <v/>
      </c>
      <c r="W2725" t="str">
        <f t="shared" si="428"/>
        <v/>
      </c>
      <c r="X2725">
        <f>IF($T2725="",N($X2724),IF(MATCH($T2725,$T$6:$T$10005,0)=ROW()-5,N($X2724)+1,N($X2724)))</f>
        <v>0</v>
      </c>
      <c r="Z2725" t="str">
        <f t="shared" si="429"/>
        <v/>
      </c>
      <c r="AA2725">
        <f>IF($V2725="",N($AA2724),IF(MATCH($V2725,$V$6:$V$10005,0)=ROW()-5,N($AA2724)+1,N($AA2724)))</f>
        <v>0</v>
      </c>
    </row>
    <row r="2726" spans="1:27" ht="21" customHeight="1" x14ac:dyDescent="0.95">
      <c r="A2726" s="56"/>
      <c r="B2726" s="57"/>
      <c r="C2726" s="57"/>
      <c r="D2726" s="57"/>
      <c r="E2726" s="56"/>
      <c r="F2726" s="57"/>
      <c r="G2726" s="57"/>
      <c r="H2726" s="56"/>
      <c r="I2726" s="56"/>
      <c r="J2726" s="58"/>
      <c r="K2726" s="58"/>
      <c r="L2726" s="13" t="str">
        <f t="shared" si="420"/>
        <v/>
      </c>
      <c r="M2726" s="13" t="str">
        <f t="shared" si="421"/>
        <v/>
      </c>
      <c r="Q2726" t="str">
        <f t="shared" si="422"/>
        <v/>
      </c>
      <c r="R2726" t="str">
        <f t="shared" si="423"/>
        <v/>
      </c>
      <c r="S2726" t="str">
        <f t="shared" si="424"/>
        <v/>
      </c>
      <c r="T2726" t="str">
        <f t="shared" si="425"/>
        <v/>
      </c>
      <c r="U2726" t="str">
        <f t="shared" si="426"/>
        <v/>
      </c>
      <c r="V2726" t="str">
        <f t="shared" si="427"/>
        <v/>
      </c>
      <c r="W2726" t="str">
        <f t="shared" si="428"/>
        <v/>
      </c>
      <c r="X2726">
        <f>IF($T2726="",N($X2725),IF(MATCH($T2726,$T$6:$T$10005,0)=ROW()-5,N($X2725)+1,N($X2725)))</f>
        <v>0</v>
      </c>
      <c r="Z2726" t="str">
        <f t="shared" si="429"/>
        <v/>
      </c>
      <c r="AA2726">
        <f>IF($V2726="",N($AA2725),IF(MATCH($V2726,$V$6:$V$10005,0)=ROW()-5,N($AA2725)+1,N($AA2725)))</f>
        <v>0</v>
      </c>
    </row>
    <row r="2727" spans="1:27" ht="21" customHeight="1" x14ac:dyDescent="0.95">
      <c r="A2727" s="56"/>
      <c r="B2727" s="57"/>
      <c r="C2727" s="57"/>
      <c r="D2727" s="57"/>
      <c r="E2727" s="56"/>
      <c r="F2727" s="57"/>
      <c r="G2727" s="57"/>
      <c r="H2727" s="56"/>
      <c r="I2727" s="56"/>
      <c r="J2727" s="58"/>
      <c r="K2727" s="58"/>
      <c r="L2727" s="13" t="str">
        <f t="shared" si="420"/>
        <v/>
      </c>
      <c r="M2727" s="13" t="str">
        <f t="shared" si="421"/>
        <v/>
      </c>
      <c r="Q2727" t="str">
        <f t="shared" si="422"/>
        <v/>
      </c>
      <c r="R2727" t="str">
        <f t="shared" si="423"/>
        <v/>
      </c>
      <c r="S2727" t="str">
        <f t="shared" si="424"/>
        <v/>
      </c>
      <c r="T2727" t="str">
        <f t="shared" si="425"/>
        <v/>
      </c>
      <c r="U2727" t="str">
        <f t="shared" si="426"/>
        <v/>
      </c>
      <c r="V2727" t="str">
        <f t="shared" si="427"/>
        <v/>
      </c>
      <c r="W2727" t="str">
        <f t="shared" si="428"/>
        <v/>
      </c>
      <c r="X2727">
        <f>IF($T2727="",N($X2726),IF(MATCH($T2727,$T$6:$T$10005,0)=ROW()-5,N($X2726)+1,N($X2726)))</f>
        <v>0</v>
      </c>
      <c r="Z2727" t="str">
        <f t="shared" si="429"/>
        <v/>
      </c>
      <c r="AA2727">
        <f>IF($V2727="",N($AA2726),IF(MATCH($V2727,$V$6:$V$10005,0)=ROW()-5,N($AA2726)+1,N($AA2726)))</f>
        <v>0</v>
      </c>
    </row>
    <row r="2728" spans="1:27" ht="21" customHeight="1" x14ac:dyDescent="0.95">
      <c r="A2728" s="56"/>
      <c r="B2728" s="57"/>
      <c r="C2728" s="57"/>
      <c r="D2728" s="57"/>
      <c r="E2728" s="56"/>
      <c r="F2728" s="57"/>
      <c r="G2728" s="57"/>
      <c r="H2728" s="56"/>
      <c r="I2728" s="56"/>
      <c r="J2728" s="58"/>
      <c r="K2728" s="58"/>
      <c r="L2728" s="13" t="str">
        <f t="shared" si="420"/>
        <v/>
      </c>
      <c r="M2728" s="13" t="str">
        <f t="shared" si="421"/>
        <v/>
      </c>
      <c r="Q2728" t="str">
        <f t="shared" si="422"/>
        <v/>
      </c>
      <c r="R2728" t="str">
        <f t="shared" si="423"/>
        <v/>
      </c>
      <c r="S2728" t="str">
        <f t="shared" si="424"/>
        <v/>
      </c>
      <c r="T2728" t="str">
        <f t="shared" si="425"/>
        <v/>
      </c>
      <c r="U2728" t="str">
        <f t="shared" si="426"/>
        <v/>
      </c>
      <c r="V2728" t="str">
        <f t="shared" si="427"/>
        <v/>
      </c>
      <c r="W2728" t="str">
        <f t="shared" si="428"/>
        <v/>
      </c>
      <c r="X2728">
        <f>IF($T2728="",N($X2727),IF(MATCH($T2728,$T$6:$T$10005,0)=ROW()-5,N($X2727)+1,N($X2727)))</f>
        <v>0</v>
      </c>
      <c r="Z2728" t="str">
        <f t="shared" si="429"/>
        <v/>
      </c>
      <c r="AA2728">
        <f>IF($V2728="",N($AA2727),IF(MATCH($V2728,$V$6:$V$10005,0)=ROW()-5,N($AA2727)+1,N($AA2727)))</f>
        <v>0</v>
      </c>
    </row>
    <row r="2729" spans="1:27" ht="21" customHeight="1" x14ac:dyDescent="0.95">
      <c r="A2729" s="56"/>
      <c r="B2729" s="57"/>
      <c r="C2729" s="57"/>
      <c r="D2729" s="57"/>
      <c r="E2729" s="56"/>
      <c r="F2729" s="57"/>
      <c r="G2729" s="57"/>
      <c r="H2729" s="56"/>
      <c r="I2729" s="56"/>
      <c r="J2729" s="58"/>
      <c r="K2729" s="58"/>
      <c r="L2729" s="13" t="str">
        <f t="shared" si="420"/>
        <v/>
      </c>
      <c r="M2729" s="13" t="str">
        <f t="shared" si="421"/>
        <v/>
      </c>
      <c r="Q2729" t="str">
        <f t="shared" si="422"/>
        <v/>
      </c>
      <c r="R2729" t="str">
        <f t="shared" si="423"/>
        <v/>
      </c>
      <c r="S2729" t="str">
        <f t="shared" si="424"/>
        <v/>
      </c>
      <c r="T2729" t="str">
        <f t="shared" si="425"/>
        <v/>
      </c>
      <c r="U2729" t="str">
        <f t="shared" si="426"/>
        <v/>
      </c>
      <c r="V2729" t="str">
        <f t="shared" si="427"/>
        <v/>
      </c>
      <c r="W2729" t="str">
        <f t="shared" si="428"/>
        <v/>
      </c>
      <c r="X2729">
        <f>IF($T2729="",N($X2728),IF(MATCH($T2729,$T$6:$T$10005,0)=ROW()-5,N($X2728)+1,N($X2728)))</f>
        <v>0</v>
      </c>
      <c r="Z2729" t="str">
        <f t="shared" si="429"/>
        <v/>
      </c>
      <c r="AA2729">
        <f>IF($V2729="",N($AA2728),IF(MATCH($V2729,$V$6:$V$10005,0)=ROW()-5,N($AA2728)+1,N($AA2728)))</f>
        <v>0</v>
      </c>
    </row>
    <row r="2730" spans="1:27" ht="21" customHeight="1" x14ac:dyDescent="0.95">
      <c r="A2730" s="56"/>
      <c r="B2730" s="57"/>
      <c r="C2730" s="57"/>
      <c r="D2730" s="57"/>
      <c r="E2730" s="56"/>
      <c r="F2730" s="57"/>
      <c r="G2730" s="57"/>
      <c r="H2730" s="56"/>
      <c r="I2730" s="56"/>
      <c r="J2730" s="58"/>
      <c r="K2730" s="58"/>
      <c r="L2730" s="13" t="str">
        <f t="shared" si="420"/>
        <v/>
      </c>
      <c r="M2730" s="13" t="str">
        <f t="shared" si="421"/>
        <v/>
      </c>
      <c r="Q2730" t="str">
        <f t="shared" si="422"/>
        <v/>
      </c>
      <c r="R2730" t="str">
        <f t="shared" si="423"/>
        <v/>
      </c>
      <c r="S2730" t="str">
        <f t="shared" si="424"/>
        <v/>
      </c>
      <c r="T2730" t="str">
        <f t="shared" si="425"/>
        <v/>
      </c>
      <c r="U2730" t="str">
        <f t="shared" si="426"/>
        <v/>
      </c>
      <c r="V2730" t="str">
        <f t="shared" si="427"/>
        <v/>
      </c>
      <c r="W2730" t="str">
        <f t="shared" si="428"/>
        <v/>
      </c>
      <c r="X2730">
        <f>IF($T2730="",N($X2729),IF(MATCH($T2730,$T$6:$T$10005,0)=ROW()-5,N($X2729)+1,N($X2729)))</f>
        <v>0</v>
      </c>
      <c r="Z2730" t="str">
        <f t="shared" si="429"/>
        <v/>
      </c>
      <c r="AA2730">
        <f>IF($V2730="",N($AA2729),IF(MATCH($V2730,$V$6:$V$10005,0)=ROW()-5,N($AA2729)+1,N($AA2729)))</f>
        <v>0</v>
      </c>
    </row>
    <row r="2731" spans="1:27" ht="21" customHeight="1" x14ac:dyDescent="0.95">
      <c r="A2731" s="56"/>
      <c r="B2731" s="57"/>
      <c r="C2731" s="57"/>
      <c r="D2731" s="57"/>
      <c r="E2731" s="56"/>
      <c r="F2731" s="57"/>
      <c r="G2731" s="57"/>
      <c r="H2731" s="56"/>
      <c r="I2731" s="56"/>
      <c r="J2731" s="58"/>
      <c r="K2731" s="58"/>
      <c r="L2731" s="13" t="str">
        <f t="shared" si="420"/>
        <v/>
      </c>
      <c r="M2731" s="13" t="str">
        <f t="shared" si="421"/>
        <v/>
      </c>
      <c r="Q2731" t="str">
        <f t="shared" si="422"/>
        <v/>
      </c>
      <c r="R2731" t="str">
        <f t="shared" si="423"/>
        <v/>
      </c>
      <c r="S2731" t="str">
        <f t="shared" si="424"/>
        <v/>
      </c>
      <c r="T2731" t="str">
        <f t="shared" si="425"/>
        <v/>
      </c>
      <c r="U2731" t="str">
        <f t="shared" si="426"/>
        <v/>
      </c>
      <c r="V2731" t="str">
        <f t="shared" si="427"/>
        <v/>
      </c>
      <c r="W2731" t="str">
        <f t="shared" si="428"/>
        <v/>
      </c>
      <c r="X2731">
        <f>IF($T2731="",N($X2730),IF(MATCH($T2731,$T$6:$T$10005,0)=ROW()-5,N($X2730)+1,N($X2730)))</f>
        <v>0</v>
      </c>
      <c r="Z2731" t="str">
        <f t="shared" si="429"/>
        <v/>
      </c>
      <c r="AA2731">
        <f>IF($V2731="",N($AA2730),IF(MATCH($V2731,$V$6:$V$10005,0)=ROW()-5,N($AA2730)+1,N($AA2730)))</f>
        <v>0</v>
      </c>
    </row>
    <row r="2732" spans="1:27" ht="21" customHeight="1" x14ac:dyDescent="0.95">
      <c r="A2732" s="56"/>
      <c r="B2732" s="57"/>
      <c r="C2732" s="57"/>
      <c r="D2732" s="57"/>
      <c r="E2732" s="56"/>
      <c r="F2732" s="57"/>
      <c r="G2732" s="57"/>
      <c r="H2732" s="56"/>
      <c r="I2732" s="56"/>
      <c r="J2732" s="58"/>
      <c r="K2732" s="58"/>
      <c r="L2732" s="13" t="str">
        <f t="shared" si="420"/>
        <v/>
      </c>
      <c r="M2732" s="13" t="str">
        <f t="shared" si="421"/>
        <v/>
      </c>
      <c r="Q2732" t="str">
        <f t="shared" si="422"/>
        <v/>
      </c>
      <c r="R2732" t="str">
        <f t="shared" si="423"/>
        <v/>
      </c>
      <c r="S2732" t="str">
        <f t="shared" si="424"/>
        <v/>
      </c>
      <c r="T2732" t="str">
        <f t="shared" si="425"/>
        <v/>
      </c>
      <c r="U2732" t="str">
        <f t="shared" si="426"/>
        <v/>
      </c>
      <c r="V2732" t="str">
        <f t="shared" si="427"/>
        <v/>
      </c>
      <c r="W2732" t="str">
        <f t="shared" si="428"/>
        <v/>
      </c>
      <c r="X2732">
        <f>IF($T2732="",N($X2731),IF(MATCH($T2732,$T$6:$T$10005,0)=ROW()-5,N($X2731)+1,N($X2731)))</f>
        <v>0</v>
      </c>
      <c r="Z2732" t="str">
        <f t="shared" si="429"/>
        <v/>
      </c>
      <c r="AA2732">
        <f>IF($V2732="",N($AA2731),IF(MATCH($V2732,$V$6:$V$10005,0)=ROW()-5,N($AA2731)+1,N($AA2731)))</f>
        <v>0</v>
      </c>
    </row>
    <row r="2733" spans="1:27" ht="21" customHeight="1" x14ac:dyDescent="0.95">
      <c r="A2733" s="56"/>
      <c r="B2733" s="57"/>
      <c r="C2733" s="57"/>
      <c r="D2733" s="57"/>
      <c r="E2733" s="56"/>
      <c r="F2733" s="57"/>
      <c r="G2733" s="57"/>
      <c r="H2733" s="56"/>
      <c r="I2733" s="56"/>
      <c r="J2733" s="58"/>
      <c r="K2733" s="58"/>
      <c r="L2733" s="13" t="str">
        <f t="shared" si="420"/>
        <v/>
      </c>
      <c r="M2733" s="13" t="str">
        <f t="shared" si="421"/>
        <v/>
      </c>
      <c r="Q2733" t="str">
        <f t="shared" si="422"/>
        <v/>
      </c>
      <c r="R2733" t="str">
        <f t="shared" si="423"/>
        <v/>
      </c>
      <c r="S2733" t="str">
        <f t="shared" si="424"/>
        <v/>
      </c>
      <c r="T2733" t="str">
        <f t="shared" si="425"/>
        <v/>
      </c>
      <c r="U2733" t="str">
        <f t="shared" si="426"/>
        <v/>
      </c>
      <c r="V2733" t="str">
        <f t="shared" si="427"/>
        <v/>
      </c>
      <c r="W2733" t="str">
        <f t="shared" si="428"/>
        <v/>
      </c>
      <c r="X2733">
        <f>IF($T2733="",N($X2732),IF(MATCH($T2733,$T$6:$T$10005,0)=ROW()-5,N($X2732)+1,N($X2732)))</f>
        <v>0</v>
      </c>
      <c r="Z2733" t="str">
        <f t="shared" si="429"/>
        <v/>
      </c>
      <c r="AA2733">
        <f>IF($V2733="",N($AA2732),IF(MATCH($V2733,$V$6:$V$10005,0)=ROW()-5,N($AA2732)+1,N($AA2732)))</f>
        <v>0</v>
      </c>
    </row>
    <row r="2734" spans="1:27" ht="21" customHeight="1" x14ac:dyDescent="0.95">
      <c r="A2734" s="56"/>
      <c r="B2734" s="57"/>
      <c r="C2734" s="57"/>
      <c r="D2734" s="57"/>
      <c r="E2734" s="56"/>
      <c r="F2734" s="57"/>
      <c r="G2734" s="57"/>
      <c r="H2734" s="56"/>
      <c r="I2734" s="56"/>
      <c r="J2734" s="58"/>
      <c r="K2734" s="58"/>
      <c r="L2734" s="13" t="str">
        <f t="shared" si="420"/>
        <v/>
      </c>
      <c r="M2734" s="13" t="str">
        <f t="shared" si="421"/>
        <v/>
      </c>
      <c r="Q2734" t="str">
        <f t="shared" si="422"/>
        <v/>
      </c>
      <c r="R2734" t="str">
        <f t="shared" si="423"/>
        <v/>
      </c>
      <c r="S2734" t="str">
        <f t="shared" si="424"/>
        <v/>
      </c>
      <c r="T2734" t="str">
        <f t="shared" si="425"/>
        <v/>
      </c>
      <c r="U2734" t="str">
        <f t="shared" si="426"/>
        <v/>
      </c>
      <c r="V2734" t="str">
        <f t="shared" si="427"/>
        <v/>
      </c>
      <c r="W2734" t="str">
        <f t="shared" si="428"/>
        <v/>
      </c>
      <c r="X2734">
        <f>IF($T2734="",N($X2733),IF(MATCH($T2734,$T$6:$T$10005,0)=ROW()-5,N($X2733)+1,N($X2733)))</f>
        <v>0</v>
      </c>
      <c r="Z2734" t="str">
        <f t="shared" si="429"/>
        <v/>
      </c>
      <c r="AA2734">
        <f>IF($V2734="",N($AA2733),IF(MATCH($V2734,$V$6:$V$10005,0)=ROW()-5,N($AA2733)+1,N($AA2733)))</f>
        <v>0</v>
      </c>
    </row>
    <row r="2735" spans="1:27" ht="21" customHeight="1" x14ac:dyDescent="0.95">
      <c r="A2735" s="56"/>
      <c r="B2735" s="57"/>
      <c r="C2735" s="57"/>
      <c r="D2735" s="57"/>
      <c r="E2735" s="56"/>
      <c r="F2735" s="57"/>
      <c r="G2735" s="57"/>
      <c r="H2735" s="56"/>
      <c r="I2735" s="56"/>
      <c r="J2735" s="58"/>
      <c r="K2735" s="58"/>
      <c r="L2735" s="13" t="str">
        <f t="shared" si="420"/>
        <v/>
      </c>
      <c r="M2735" s="13" t="str">
        <f t="shared" si="421"/>
        <v/>
      </c>
      <c r="Q2735" t="str">
        <f t="shared" si="422"/>
        <v/>
      </c>
      <c r="R2735" t="str">
        <f t="shared" si="423"/>
        <v/>
      </c>
      <c r="S2735" t="str">
        <f t="shared" si="424"/>
        <v/>
      </c>
      <c r="T2735" t="str">
        <f t="shared" si="425"/>
        <v/>
      </c>
      <c r="U2735" t="str">
        <f t="shared" si="426"/>
        <v/>
      </c>
      <c r="V2735" t="str">
        <f t="shared" si="427"/>
        <v/>
      </c>
      <c r="W2735" t="str">
        <f t="shared" si="428"/>
        <v/>
      </c>
      <c r="X2735">
        <f>IF($T2735="",N($X2734),IF(MATCH($T2735,$T$6:$T$10005,0)=ROW()-5,N($X2734)+1,N($X2734)))</f>
        <v>0</v>
      </c>
      <c r="Z2735" t="str">
        <f t="shared" si="429"/>
        <v/>
      </c>
      <c r="AA2735">
        <f>IF($V2735="",N($AA2734),IF(MATCH($V2735,$V$6:$V$10005,0)=ROW()-5,N($AA2734)+1,N($AA2734)))</f>
        <v>0</v>
      </c>
    </row>
    <row r="2736" spans="1:27" ht="21" customHeight="1" x14ac:dyDescent="0.95">
      <c r="A2736" s="56"/>
      <c r="B2736" s="57"/>
      <c r="C2736" s="57"/>
      <c r="D2736" s="57"/>
      <c r="E2736" s="56"/>
      <c r="F2736" s="57"/>
      <c r="G2736" s="57"/>
      <c r="H2736" s="56"/>
      <c r="I2736" s="56"/>
      <c r="J2736" s="58"/>
      <c r="K2736" s="58"/>
      <c r="L2736" s="13" t="str">
        <f t="shared" si="420"/>
        <v/>
      </c>
      <c r="M2736" s="13" t="str">
        <f t="shared" si="421"/>
        <v/>
      </c>
      <c r="Q2736" t="str">
        <f t="shared" si="422"/>
        <v/>
      </c>
      <c r="R2736" t="str">
        <f t="shared" si="423"/>
        <v/>
      </c>
      <c r="S2736" t="str">
        <f t="shared" si="424"/>
        <v/>
      </c>
      <c r="T2736" t="str">
        <f t="shared" si="425"/>
        <v/>
      </c>
      <c r="U2736" t="str">
        <f t="shared" si="426"/>
        <v/>
      </c>
      <c r="V2736" t="str">
        <f t="shared" si="427"/>
        <v/>
      </c>
      <c r="W2736" t="str">
        <f t="shared" si="428"/>
        <v/>
      </c>
      <c r="X2736">
        <f>IF($T2736="",N($X2735),IF(MATCH($T2736,$T$6:$T$10005,0)=ROW()-5,N($X2735)+1,N($X2735)))</f>
        <v>0</v>
      </c>
      <c r="Z2736" t="str">
        <f t="shared" si="429"/>
        <v/>
      </c>
      <c r="AA2736">
        <f>IF($V2736="",N($AA2735),IF(MATCH($V2736,$V$6:$V$10005,0)=ROW()-5,N($AA2735)+1,N($AA2735)))</f>
        <v>0</v>
      </c>
    </row>
    <row r="2737" spans="1:27" ht="21" customHeight="1" x14ac:dyDescent="0.95">
      <c r="A2737" s="56"/>
      <c r="B2737" s="57"/>
      <c r="C2737" s="57"/>
      <c r="D2737" s="57"/>
      <c r="E2737" s="56"/>
      <c r="F2737" s="57"/>
      <c r="G2737" s="57"/>
      <c r="H2737" s="56"/>
      <c r="I2737" s="56"/>
      <c r="J2737" s="58"/>
      <c r="K2737" s="58"/>
      <c r="L2737" s="13" t="str">
        <f t="shared" si="420"/>
        <v/>
      </c>
      <c r="M2737" s="13" t="str">
        <f t="shared" si="421"/>
        <v/>
      </c>
      <c r="Q2737" t="str">
        <f t="shared" si="422"/>
        <v/>
      </c>
      <c r="R2737" t="str">
        <f t="shared" si="423"/>
        <v/>
      </c>
      <c r="S2737" t="str">
        <f t="shared" si="424"/>
        <v/>
      </c>
      <c r="T2737" t="str">
        <f t="shared" si="425"/>
        <v/>
      </c>
      <c r="U2737" t="str">
        <f t="shared" si="426"/>
        <v/>
      </c>
      <c r="V2737" t="str">
        <f t="shared" si="427"/>
        <v/>
      </c>
      <c r="W2737" t="str">
        <f t="shared" si="428"/>
        <v/>
      </c>
      <c r="X2737">
        <f>IF($T2737="",N($X2736),IF(MATCH($T2737,$T$6:$T$10005,0)=ROW()-5,N($X2736)+1,N($X2736)))</f>
        <v>0</v>
      </c>
      <c r="Z2737" t="str">
        <f t="shared" si="429"/>
        <v/>
      </c>
      <c r="AA2737">
        <f>IF($V2737="",N($AA2736),IF(MATCH($V2737,$V$6:$V$10005,0)=ROW()-5,N($AA2736)+1,N($AA2736)))</f>
        <v>0</v>
      </c>
    </row>
    <row r="2738" spans="1:27" ht="21" customHeight="1" x14ac:dyDescent="0.95">
      <c r="A2738" s="56"/>
      <c r="B2738" s="57"/>
      <c r="C2738" s="57"/>
      <c r="D2738" s="57"/>
      <c r="E2738" s="56"/>
      <c r="F2738" s="57"/>
      <c r="G2738" s="57"/>
      <c r="H2738" s="56"/>
      <c r="I2738" s="56"/>
      <c r="J2738" s="58"/>
      <c r="K2738" s="58"/>
      <c r="L2738" s="13" t="str">
        <f t="shared" si="420"/>
        <v/>
      </c>
      <c r="M2738" s="13" t="str">
        <f t="shared" si="421"/>
        <v/>
      </c>
      <c r="Q2738" t="str">
        <f t="shared" si="422"/>
        <v/>
      </c>
      <c r="R2738" t="str">
        <f t="shared" si="423"/>
        <v/>
      </c>
      <c r="S2738" t="str">
        <f t="shared" si="424"/>
        <v/>
      </c>
      <c r="T2738" t="str">
        <f t="shared" si="425"/>
        <v/>
      </c>
      <c r="U2738" t="str">
        <f t="shared" si="426"/>
        <v/>
      </c>
      <c r="V2738" t="str">
        <f t="shared" si="427"/>
        <v/>
      </c>
      <c r="W2738" t="str">
        <f t="shared" si="428"/>
        <v/>
      </c>
      <c r="X2738">
        <f>IF($T2738="",N($X2737),IF(MATCH($T2738,$T$6:$T$10005,0)=ROW()-5,N($X2737)+1,N($X2737)))</f>
        <v>0</v>
      </c>
      <c r="Z2738" t="str">
        <f t="shared" si="429"/>
        <v/>
      </c>
      <c r="AA2738">
        <f>IF($V2738="",N($AA2737),IF(MATCH($V2738,$V$6:$V$10005,0)=ROW()-5,N($AA2737)+1,N($AA2737)))</f>
        <v>0</v>
      </c>
    </row>
    <row r="2739" spans="1:27" ht="21" customHeight="1" x14ac:dyDescent="0.95">
      <c r="A2739" s="56"/>
      <c r="B2739" s="57"/>
      <c r="C2739" s="57"/>
      <c r="D2739" s="57"/>
      <c r="E2739" s="56"/>
      <c r="F2739" s="57"/>
      <c r="G2739" s="57"/>
      <c r="H2739" s="56"/>
      <c r="I2739" s="56"/>
      <c r="J2739" s="58"/>
      <c r="K2739" s="58"/>
      <c r="L2739" s="13" t="str">
        <f t="shared" si="420"/>
        <v/>
      </c>
      <c r="M2739" s="13" t="str">
        <f t="shared" si="421"/>
        <v/>
      </c>
      <c r="Q2739" t="str">
        <f t="shared" si="422"/>
        <v/>
      </c>
      <c r="R2739" t="str">
        <f t="shared" si="423"/>
        <v/>
      </c>
      <c r="S2739" t="str">
        <f t="shared" si="424"/>
        <v/>
      </c>
      <c r="T2739" t="str">
        <f t="shared" si="425"/>
        <v/>
      </c>
      <c r="U2739" t="str">
        <f t="shared" si="426"/>
        <v/>
      </c>
      <c r="V2739" t="str">
        <f t="shared" si="427"/>
        <v/>
      </c>
      <c r="W2739" t="str">
        <f t="shared" si="428"/>
        <v/>
      </c>
      <c r="X2739">
        <f>IF($T2739="",N($X2738),IF(MATCH($T2739,$T$6:$T$10005,0)=ROW()-5,N($X2738)+1,N($X2738)))</f>
        <v>0</v>
      </c>
      <c r="Z2739" t="str">
        <f t="shared" si="429"/>
        <v/>
      </c>
      <c r="AA2739">
        <f>IF($V2739="",N($AA2738),IF(MATCH($V2739,$V$6:$V$10005,0)=ROW()-5,N($AA2738)+1,N($AA2738)))</f>
        <v>0</v>
      </c>
    </row>
    <row r="2740" spans="1:27" ht="21" customHeight="1" x14ac:dyDescent="0.95">
      <c r="A2740" s="56"/>
      <c r="B2740" s="57"/>
      <c r="C2740" s="57"/>
      <c r="D2740" s="57"/>
      <c r="E2740" s="56"/>
      <c r="F2740" s="57"/>
      <c r="G2740" s="57"/>
      <c r="H2740" s="56"/>
      <c r="I2740" s="56"/>
      <c r="J2740" s="58"/>
      <c r="K2740" s="58"/>
      <c r="L2740" s="13" t="str">
        <f t="shared" si="420"/>
        <v/>
      </c>
      <c r="M2740" s="13" t="str">
        <f t="shared" si="421"/>
        <v/>
      </c>
      <c r="Q2740" t="str">
        <f t="shared" si="422"/>
        <v/>
      </c>
      <c r="R2740" t="str">
        <f t="shared" si="423"/>
        <v/>
      </c>
      <c r="S2740" t="str">
        <f t="shared" si="424"/>
        <v/>
      </c>
      <c r="T2740" t="str">
        <f t="shared" si="425"/>
        <v/>
      </c>
      <c r="U2740" t="str">
        <f t="shared" si="426"/>
        <v/>
      </c>
      <c r="V2740" t="str">
        <f t="shared" si="427"/>
        <v/>
      </c>
      <c r="W2740" t="str">
        <f t="shared" si="428"/>
        <v/>
      </c>
      <c r="X2740">
        <f>IF($T2740="",N($X2739),IF(MATCH($T2740,$T$6:$T$10005,0)=ROW()-5,N($X2739)+1,N($X2739)))</f>
        <v>0</v>
      </c>
      <c r="Z2740" t="str">
        <f t="shared" si="429"/>
        <v/>
      </c>
      <c r="AA2740">
        <f>IF($V2740="",N($AA2739),IF(MATCH($V2740,$V$6:$V$10005,0)=ROW()-5,N($AA2739)+1,N($AA2739)))</f>
        <v>0</v>
      </c>
    </row>
    <row r="2741" spans="1:27" ht="21" customHeight="1" x14ac:dyDescent="0.95">
      <c r="A2741" s="56"/>
      <c r="B2741" s="57"/>
      <c r="C2741" s="57"/>
      <c r="D2741" s="57"/>
      <c r="E2741" s="56"/>
      <c r="F2741" s="57"/>
      <c r="G2741" s="57"/>
      <c r="H2741" s="56"/>
      <c r="I2741" s="56"/>
      <c r="J2741" s="58"/>
      <c r="K2741" s="58"/>
      <c r="L2741" s="13" t="str">
        <f t="shared" si="420"/>
        <v/>
      </c>
      <c r="M2741" s="13" t="str">
        <f t="shared" si="421"/>
        <v/>
      </c>
      <c r="Q2741" t="str">
        <f t="shared" si="422"/>
        <v/>
      </c>
      <c r="R2741" t="str">
        <f t="shared" si="423"/>
        <v/>
      </c>
      <c r="S2741" t="str">
        <f t="shared" si="424"/>
        <v/>
      </c>
      <c r="T2741" t="str">
        <f t="shared" si="425"/>
        <v/>
      </c>
      <c r="U2741" t="str">
        <f t="shared" si="426"/>
        <v/>
      </c>
      <c r="V2741" t="str">
        <f t="shared" si="427"/>
        <v/>
      </c>
      <c r="W2741" t="str">
        <f t="shared" si="428"/>
        <v/>
      </c>
      <c r="X2741">
        <f>IF($T2741="",N($X2740),IF(MATCH($T2741,$T$6:$T$10005,0)=ROW()-5,N($X2740)+1,N($X2740)))</f>
        <v>0</v>
      </c>
      <c r="Z2741" t="str">
        <f t="shared" si="429"/>
        <v/>
      </c>
      <c r="AA2741">
        <f>IF($V2741="",N($AA2740),IF(MATCH($V2741,$V$6:$V$10005,0)=ROW()-5,N($AA2740)+1,N($AA2740)))</f>
        <v>0</v>
      </c>
    </row>
    <row r="2742" spans="1:27" ht="21" customHeight="1" x14ac:dyDescent="0.95">
      <c r="A2742" s="56"/>
      <c r="B2742" s="57"/>
      <c r="C2742" s="57"/>
      <c r="D2742" s="57"/>
      <c r="E2742" s="56"/>
      <c r="F2742" s="57"/>
      <c r="G2742" s="57"/>
      <c r="H2742" s="56"/>
      <c r="I2742" s="56"/>
      <c r="J2742" s="58"/>
      <c r="K2742" s="58"/>
      <c r="L2742" s="13" t="str">
        <f t="shared" si="420"/>
        <v/>
      </c>
      <c r="M2742" s="13" t="str">
        <f t="shared" si="421"/>
        <v/>
      </c>
      <c r="Q2742" t="str">
        <f t="shared" si="422"/>
        <v/>
      </c>
      <c r="R2742" t="str">
        <f t="shared" si="423"/>
        <v/>
      </c>
      <c r="S2742" t="str">
        <f t="shared" si="424"/>
        <v/>
      </c>
      <c r="T2742" t="str">
        <f t="shared" si="425"/>
        <v/>
      </c>
      <c r="U2742" t="str">
        <f t="shared" si="426"/>
        <v/>
      </c>
      <c r="V2742" t="str">
        <f t="shared" si="427"/>
        <v/>
      </c>
      <c r="W2742" t="str">
        <f t="shared" si="428"/>
        <v/>
      </c>
      <c r="X2742">
        <f>IF($T2742="",N($X2741),IF(MATCH($T2742,$T$6:$T$10005,0)=ROW()-5,N($X2741)+1,N($X2741)))</f>
        <v>0</v>
      </c>
      <c r="Z2742" t="str">
        <f t="shared" si="429"/>
        <v/>
      </c>
      <c r="AA2742">
        <f>IF($V2742="",N($AA2741),IF(MATCH($V2742,$V$6:$V$10005,0)=ROW()-5,N($AA2741)+1,N($AA2741)))</f>
        <v>0</v>
      </c>
    </row>
    <row r="2743" spans="1:27" ht="21" customHeight="1" x14ac:dyDescent="0.95">
      <c r="A2743" s="56"/>
      <c r="B2743" s="57"/>
      <c r="C2743" s="57"/>
      <c r="D2743" s="57"/>
      <c r="E2743" s="56"/>
      <c r="F2743" s="57"/>
      <c r="G2743" s="57"/>
      <c r="H2743" s="56"/>
      <c r="I2743" s="56"/>
      <c r="J2743" s="58"/>
      <c r="K2743" s="58"/>
      <c r="L2743" s="13" t="str">
        <f t="shared" si="420"/>
        <v/>
      </c>
      <c r="M2743" s="13" t="str">
        <f t="shared" si="421"/>
        <v/>
      </c>
      <c r="Q2743" t="str">
        <f t="shared" si="422"/>
        <v/>
      </c>
      <c r="R2743" t="str">
        <f t="shared" si="423"/>
        <v/>
      </c>
      <c r="S2743" t="str">
        <f t="shared" si="424"/>
        <v/>
      </c>
      <c r="T2743" t="str">
        <f t="shared" si="425"/>
        <v/>
      </c>
      <c r="U2743" t="str">
        <f t="shared" si="426"/>
        <v/>
      </c>
      <c r="V2743" t="str">
        <f t="shared" si="427"/>
        <v/>
      </c>
      <c r="W2743" t="str">
        <f t="shared" si="428"/>
        <v/>
      </c>
      <c r="X2743">
        <f>IF($T2743="",N($X2742),IF(MATCH($T2743,$T$6:$T$10005,0)=ROW()-5,N($X2742)+1,N($X2742)))</f>
        <v>0</v>
      </c>
      <c r="Z2743" t="str">
        <f t="shared" si="429"/>
        <v/>
      </c>
      <c r="AA2743">
        <f>IF($V2743="",N($AA2742),IF(MATCH($V2743,$V$6:$V$10005,0)=ROW()-5,N($AA2742)+1,N($AA2742)))</f>
        <v>0</v>
      </c>
    </row>
    <row r="2744" spans="1:27" ht="21" customHeight="1" x14ac:dyDescent="0.95">
      <c r="A2744" s="56"/>
      <c r="B2744" s="57"/>
      <c r="C2744" s="57"/>
      <c r="D2744" s="57"/>
      <c r="E2744" s="56"/>
      <c r="F2744" s="57"/>
      <c r="G2744" s="57"/>
      <c r="H2744" s="56"/>
      <c r="I2744" s="56"/>
      <c r="J2744" s="58"/>
      <c r="K2744" s="58"/>
      <c r="L2744" s="13" t="str">
        <f t="shared" si="420"/>
        <v/>
      </c>
      <c r="M2744" s="13" t="str">
        <f t="shared" si="421"/>
        <v/>
      </c>
      <c r="Q2744" t="str">
        <f t="shared" si="422"/>
        <v/>
      </c>
      <c r="R2744" t="str">
        <f t="shared" si="423"/>
        <v/>
      </c>
      <c r="S2744" t="str">
        <f t="shared" si="424"/>
        <v/>
      </c>
      <c r="T2744" t="str">
        <f t="shared" si="425"/>
        <v/>
      </c>
      <c r="U2744" t="str">
        <f t="shared" si="426"/>
        <v/>
      </c>
      <c r="V2744" t="str">
        <f t="shared" si="427"/>
        <v/>
      </c>
      <c r="W2744" t="str">
        <f t="shared" si="428"/>
        <v/>
      </c>
      <c r="X2744">
        <f>IF($T2744="",N($X2743),IF(MATCH($T2744,$T$6:$T$10005,0)=ROW()-5,N($X2743)+1,N($X2743)))</f>
        <v>0</v>
      </c>
      <c r="Z2744" t="str">
        <f t="shared" si="429"/>
        <v/>
      </c>
      <c r="AA2744">
        <f>IF($V2744="",N($AA2743),IF(MATCH($V2744,$V$6:$V$10005,0)=ROW()-5,N($AA2743)+1,N($AA2743)))</f>
        <v>0</v>
      </c>
    </row>
    <row r="2745" spans="1:27" ht="21" customHeight="1" x14ac:dyDescent="0.95">
      <c r="A2745" s="56"/>
      <c r="B2745" s="57"/>
      <c r="C2745" s="57"/>
      <c r="D2745" s="57"/>
      <c r="E2745" s="56"/>
      <c r="F2745" s="57"/>
      <c r="G2745" s="57"/>
      <c r="H2745" s="56"/>
      <c r="I2745" s="56"/>
      <c r="J2745" s="58"/>
      <c r="K2745" s="58"/>
      <c r="L2745" s="13" t="str">
        <f t="shared" si="420"/>
        <v/>
      </c>
      <c r="M2745" s="13" t="str">
        <f t="shared" si="421"/>
        <v/>
      </c>
      <c r="Q2745" t="str">
        <f t="shared" si="422"/>
        <v/>
      </c>
      <c r="R2745" t="str">
        <f t="shared" si="423"/>
        <v/>
      </c>
      <c r="S2745" t="str">
        <f t="shared" si="424"/>
        <v/>
      </c>
      <c r="T2745" t="str">
        <f t="shared" si="425"/>
        <v/>
      </c>
      <c r="U2745" t="str">
        <f t="shared" si="426"/>
        <v/>
      </c>
      <c r="V2745" t="str">
        <f t="shared" si="427"/>
        <v/>
      </c>
      <c r="W2745" t="str">
        <f t="shared" si="428"/>
        <v/>
      </c>
      <c r="X2745">
        <f>IF($T2745="",N($X2744),IF(MATCH($T2745,$T$6:$T$10005,0)=ROW()-5,N($X2744)+1,N($X2744)))</f>
        <v>0</v>
      </c>
      <c r="Z2745" t="str">
        <f t="shared" si="429"/>
        <v/>
      </c>
      <c r="AA2745">
        <f>IF($V2745="",N($AA2744),IF(MATCH($V2745,$V$6:$V$10005,0)=ROW()-5,N($AA2744)+1,N($AA2744)))</f>
        <v>0</v>
      </c>
    </row>
    <row r="2746" spans="1:27" ht="21" customHeight="1" x14ac:dyDescent="0.95">
      <c r="A2746" s="56"/>
      <c r="B2746" s="57"/>
      <c r="C2746" s="57"/>
      <c r="D2746" s="57"/>
      <c r="E2746" s="56"/>
      <c r="F2746" s="57"/>
      <c r="G2746" s="57"/>
      <c r="H2746" s="56"/>
      <c r="I2746" s="56"/>
      <c r="J2746" s="58"/>
      <c r="K2746" s="58"/>
      <c r="L2746" s="13" t="str">
        <f t="shared" si="420"/>
        <v/>
      </c>
      <c r="M2746" s="13" t="str">
        <f t="shared" si="421"/>
        <v/>
      </c>
      <c r="Q2746" t="str">
        <f t="shared" si="422"/>
        <v/>
      </c>
      <c r="R2746" t="str">
        <f t="shared" si="423"/>
        <v/>
      </c>
      <c r="S2746" t="str">
        <f t="shared" si="424"/>
        <v/>
      </c>
      <c r="T2746" t="str">
        <f t="shared" si="425"/>
        <v/>
      </c>
      <c r="U2746" t="str">
        <f t="shared" si="426"/>
        <v/>
      </c>
      <c r="V2746" t="str">
        <f t="shared" si="427"/>
        <v/>
      </c>
      <c r="W2746" t="str">
        <f t="shared" si="428"/>
        <v/>
      </c>
      <c r="X2746">
        <f>IF($T2746="",N($X2745),IF(MATCH($T2746,$T$6:$T$10005,0)=ROW()-5,N($X2745)+1,N($X2745)))</f>
        <v>0</v>
      </c>
      <c r="Z2746" t="str">
        <f t="shared" si="429"/>
        <v/>
      </c>
      <c r="AA2746">
        <f>IF($V2746="",N($AA2745),IF(MATCH($V2746,$V$6:$V$10005,0)=ROW()-5,N($AA2745)+1,N($AA2745)))</f>
        <v>0</v>
      </c>
    </row>
    <row r="2747" spans="1:27" ht="21" customHeight="1" x14ac:dyDescent="0.95">
      <c r="A2747" s="56"/>
      <c r="B2747" s="57"/>
      <c r="C2747" s="57"/>
      <c r="D2747" s="57"/>
      <c r="E2747" s="56"/>
      <c r="F2747" s="57"/>
      <c r="G2747" s="57"/>
      <c r="H2747" s="56"/>
      <c r="I2747" s="56"/>
      <c r="J2747" s="58"/>
      <c r="K2747" s="58"/>
      <c r="L2747" s="13" t="str">
        <f t="shared" si="420"/>
        <v/>
      </c>
      <c r="M2747" s="13" t="str">
        <f t="shared" si="421"/>
        <v/>
      </c>
      <c r="Q2747" t="str">
        <f t="shared" si="422"/>
        <v/>
      </c>
      <c r="R2747" t="str">
        <f t="shared" si="423"/>
        <v/>
      </c>
      <c r="S2747" t="str">
        <f t="shared" si="424"/>
        <v/>
      </c>
      <c r="T2747" t="str">
        <f t="shared" si="425"/>
        <v/>
      </c>
      <c r="U2747" t="str">
        <f t="shared" si="426"/>
        <v/>
      </c>
      <c r="V2747" t="str">
        <f t="shared" si="427"/>
        <v/>
      </c>
      <c r="W2747" t="str">
        <f t="shared" si="428"/>
        <v/>
      </c>
      <c r="X2747">
        <f>IF($T2747="",N($X2746),IF(MATCH($T2747,$T$6:$T$10005,0)=ROW()-5,N($X2746)+1,N($X2746)))</f>
        <v>0</v>
      </c>
      <c r="Z2747" t="str">
        <f t="shared" si="429"/>
        <v/>
      </c>
      <c r="AA2747">
        <f>IF($V2747="",N($AA2746),IF(MATCH($V2747,$V$6:$V$10005,0)=ROW()-5,N($AA2746)+1,N($AA2746)))</f>
        <v>0</v>
      </c>
    </row>
    <row r="2748" spans="1:27" ht="21" customHeight="1" x14ac:dyDescent="0.95">
      <c r="A2748" s="56"/>
      <c r="B2748" s="57"/>
      <c r="C2748" s="57"/>
      <c r="D2748" s="57"/>
      <c r="E2748" s="56"/>
      <c r="F2748" s="57"/>
      <c r="G2748" s="57"/>
      <c r="H2748" s="56"/>
      <c r="I2748" s="56"/>
      <c r="J2748" s="58"/>
      <c r="K2748" s="58"/>
      <c r="L2748" s="13" t="str">
        <f t="shared" si="420"/>
        <v/>
      </c>
      <c r="M2748" s="13" t="str">
        <f t="shared" si="421"/>
        <v/>
      </c>
      <c r="Q2748" t="str">
        <f t="shared" si="422"/>
        <v/>
      </c>
      <c r="R2748" t="str">
        <f t="shared" si="423"/>
        <v/>
      </c>
      <c r="S2748" t="str">
        <f t="shared" si="424"/>
        <v/>
      </c>
      <c r="T2748" t="str">
        <f t="shared" si="425"/>
        <v/>
      </c>
      <c r="U2748" t="str">
        <f t="shared" si="426"/>
        <v/>
      </c>
      <c r="V2748" t="str">
        <f t="shared" si="427"/>
        <v/>
      </c>
      <c r="W2748" t="str">
        <f t="shared" si="428"/>
        <v/>
      </c>
      <c r="X2748">
        <f>IF($T2748="",N($X2747),IF(MATCH($T2748,$T$6:$T$10005,0)=ROW()-5,N($X2747)+1,N($X2747)))</f>
        <v>0</v>
      </c>
      <c r="Z2748" t="str">
        <f t="shared" si="429"/>
        <v/>
      </c>
      <c r="AA2748">
        <f>IF($V2748="",N($AA2747),IF(MATCH($V2748,$V$6:$V$10005,0)=ROW()-5,N($AA2747)+1,N($AA2747)))</f>
        <v>0</v>
      </c>
    </row>
    <row r="2749" spans="1:27" ht="21" customHeight="1" x14ac:dyDescent="0.95">
      <c r="A2749" s="56"/>
      <c r="B2749" s="57"/>
      <c r="C2749" s="57"/>
      <c r="D2749" s="57"/>
      <c r="E2749" s="56"/>
      <c r="F2749" s="57"/>
      <c r="G2749" s="57"/>
      <c r="H2749" s="56"/>
      <c r="I2749" s="56"/>
      <c r="J2749" s="58"/>
      <c r="K2749" s="58"/>
      <c r="L2749" s="13" t="str">
        <f t="shared" si="420"/>
        <v/>
      </c>
      <c r="M2749" s="13" t="str">
        <f t="shared" si="421"/>
        <v/>
      </c>
      <c r="Q2749" t="str">
        <f t="shared" si="422"/>
        <v/>
      </c>
      <c r="R2749" t="str">
        <f t="shared" si="423"/>
        <v/>
      </c>
      <c r="S2749" t="str">
        <f t="shared" si="424"/>
        <v/>
      </c>
      <c r="T2749" t="str">
        <f t="shared" si="425"/>
        <v/>
      </c>
      <c r="U2749" t="str">
        <f t="shared" si="426"/>
        <v/>
      </c>
      <c r="V2749" t="str">
        <f t="shared" si="427"/>
        <v/>
      </c>
      <c r="W2749" t="str">
        <f t="shared" si="428"/>
        <v/>
      </c>
      <c r="X2749">
        <f>IF($T2749="",N($X2748),IF(MATCH($T2749,$T$6:$T$10005,0)=ROW()-5,N($X2748)+1,N($X2748)))</f>
        <v>0</v>
      </c>
      <c r="Z2749" t="str">
        <f t="shared" si="429"/>
        <v/>
      </c>
      <c r="AA2749">
        <f>IF($V2749="",N($AA2748),IF(MATCH($V2749,$V$6:$V$10005,0)=ROW()-5,N($AA2748)+1,N($AA2748)))</f>
        <v>0</v>
      </c>
    </row>
    <row r="2750" spans="1:27" ht="21" customHeight="1" x14ac:dyDescent="0.95">
      <c r="A2750" s="56"/>
      <c r="B2750" s="57"/>
      <c r="C2750" s="57"/>
      <c r="D2750" s="57"/>
      <c r="E2750" s="56"/>
      <c r="F2750" s="57"/>
      <c r="G2750" s="57"/>
      <c r="H2750" s="56"/>
      <c r="I2750" s="56"/>
      <c r="J2750" s="58"/>
      <c r="K2750" s="58"/>
      <c r="L2750" s="13" t="str">
        <f t="shared" si="420"/>
        <v/>
      </c>
      <c r="M2750" s="13" t="str">
        <f t="shared" si="421"/>
        <v/>
      </c>
      <c r="Q2750" t="str">
        <f t="shared" si="422"/>
        <v/>
      </c>
      <c r="R2750" t="str">
        <f t="shared" si="423"/>
        <v/>
      </c>
      <c r="S2750" t="str">
        <f t="shared" si="424"/>
        <v/>
      </c>
      <c r="T2750" t="str">
        <f t="shared" si="425"/>
        <v/>
      </c>
      <c r="U2750" t="str">
        <f t="shared" si="426"/>
        <v/>
      </c>
      <c r="V2750" t="str">
        <f t="shared" si="427"/>
        <v/>
      </c>
      <c r="W2750" t="str">
        <f t="shared" si="428"/>
        <v/>
      </c>
      <c r="X2750">
        <f>IF($T2750="",N($X2749),IF(MATCH($T2750,$T$6:$T$10005,0)=ROW()-5,N($X2749)+1,N($X2749)))</f>
        <v>0</v>
      </c>
      <c r="Z2750" t="str">
        <f t="shared" si="429"/>
        <v/>
      </c>
      <c r="AA2750">
        <f>IF($V2750="",N($AA2749),IF(MATCH($V2750,$V$6:$V$10005,0)=ROW()-5,N($AA2749)+1,N($AA2749)))</f>
        <v>0</v>
      </c>
    </row>
    <row r="2751" spans="1:27" ht="21" customHeight="1" x14ac:dyDescent="0.95">
      <c r="A2751" s="56"/>
      <c r="B2751" s="57"/>
      <c r="C2751" s="57"/>
      <c r="D2751" s="57"/>
      <c r="E2751" s="56"/>
      <c r="F2751" s="57"/>
      <c r="G2751" s="57"/>
      <c r="H2751" s="56"/>
      <c r="I2751" s="56"/>
      <c r="J2751" s="58"/>
      <c r="K2751" s="58"/>
      <c r="L2751" s="13" t="str">
        <f t="shared" si="420"/>
        <v/>
      </c>
      <c r="M2751" s="13" t="str">
        <f t="shared" si="421"/>
        <v/>
      </c>
      <c r="Q2751" t="str">
        <f t="shared" si="422"/>
        <v/>
      </c>
      <c r="R2751" t="str">
        <f t="shared" si="423"/>
        <v/>
      </c>
      <c r="S2751" t="str">
        <f t="shared" si="424"/>
        <v/>
      </c>
      <c r="T2751" t="str">
        <f t="shared" si="425"/>
        <v/>
      </c>
      <c r="U2751" t="str">
        <f t="shared" si="426"/>
        <v/>
      </c>
      <c r="V2751" t="str">
        <f t="shared" si="427"/>
        <v/>
      </c>
      <c r="W2751" t="str">
        <f t="shared" si="428"/>
        <v/>
      </c>
      <c r="X2751">
        <f>IF($T2751="",N($X2750),IF(MATCH($T2751,$T$6:$T$10005,0)=ROW()-5,N($X2750)+1,N($X2750)))</f>
        <v>0</v>
      </c>
      <c r="Z2751" t="str">
        <f t="shared" si="429"/>
        <v/>
      </c>
      <c r="AA2751">
        <f>IF($V2751="",N($AA2750),IF(MATCH($V2751,$V$6:$V$10005,0)=ROW()-5,N($AA2750)+1,N($AA2750)))</f>
        <v>0</v>
      </c>
    </row>
    <row r="2752" spans="1:27" ht="21" customHeight="1" x14ac:dyDescent="0.95">
      <c r="A2752" s="56"/>
      <c r="B2752" s="57"/>
      <c r="C2752" s="57"/>
      <c r="D2752" s="57"/>
      <c r="E2752" s="56"/>
      <c r="F2752" s="57"/>
      <c r="G2752" s="57"/>
      <c r="H2752" s="56"/>
      <c r="I2752" s="56"/>
      <c r="J2752" s="58"/>
      <c r="K2752" s="58"/>
      <c r="L2752" s="13" t="str">
        <f t="shared" si="420"/>
        <v/>
      </c>
      <c r="M2752" s="13" t="str">
        <f t="shared" si="421"/>
        <v/>
      </c>
      <c r="Q2752" t="str">
        <f t="shared" si="422"/>
        <v/>
      </c>
      <c r="R2752" t="str">
        <f t="shared" si="423"/>
        <v/>
      </c>
      <c r="S2752" t="str">
        <f t="shared" si="424"/>
        <v/>
      </c>
      <c r="T2752" t="str">
        <f t="shared" si="425"/>
        <v/>
      </c>
      <c r="U2752" t="str">
        <f t="shared" si="426"/>
        <v/>
      </c>
      <c r="V2752" t="str">
        <f t="shared" si="427"/>
        <v/>
      </c>
      <c r="W2752" t="str">
        <f t="shared" si="428"/>
        <v/>
      </c>
      <c r="X2752">
        <f>IF($T2752="",N($X2751),IF(MATCH($T2752,$T$6:$T$10005,0)=ROW()-5,N($X2751)+1,N($X2751)))</f>
        <v>0</v>
      </c>
      <c r="Z2752" t="str">
        <f t="shared" si="429"/>
        <v/>
      </c>
      <c r="AA2752">
        <f>IF($V2752="",N($AA2751),IF(MATCH($V2752,$V$6:$V$10005,0)=ROW()-5,N($AA2751)+1,N($AA2751)))</f>
        <v>0</v>
      </c>
    </row>
    <row r="2753" spans="1:27" ht="21" customHeight="1" x14ac:dyDescent="0.95">
      <c r="A2753" s="56"/>
      <c r="B2753" s="57"/>
      <c r="C2753" s="57"/>
      <c r="D2753" s="57"/>
      <c r="E2753" s="56"/>
      <c r="F2753" s="57"/>
      <c r="G2753" s="57"/>
      <c r="H2753" s="56"/>
      <c r="I2753" s="56"/>
      <c r="J2753" s="58"/>
      <c r="K2753" s="58"/>
      <c r="L2753" s="13" t="str">
        <f t="shared" si="420"/>
        <v/>
      </c>
      <c r="M2753" s="13" t="str">
        <f t="shared" si="421"/>
        <v/>
      </c>
      <c r="Q2753" t="str">
        <f t="shared" si="422"/>
        <v/>
      </c>
      <c r="R2753" t="str">
        <f t="shared" si="423"/>
        <v/>
      </c>
      <c r="S2753" t="str">
        <f t="shared" si="424"/>
        <v/>
      </c>
      <c r="T2753" t="str">
        <f t="shared" si="425"/>
        <v/>
      </c>
      <c r="U2753" t="str">
        <f t="shared" si="426"/>
        <v/>
      </c>
      <c r="V2753" t="str">
        <f t="shared" si="427"/>
        <v/>
      </c>
      <c r="W2753" t="str">
        <f t="shared" si="428"/>
        <v/>
      </c>
      <c r="X2753">
        <f>IF($T2753="",N($X2752),IF(MATCH($T2753,$T$6:$T$10005,0)=ROW()-5,N($X2752)+1,N($X2752)))</f>
        <v>0</v>
      </c>
      <c r="Z2753" t="str">
        <f t="shared" si="429"/>
        <v/>
      </c>
      <c r="AA2753">
        <f>IF($V2753="",N($AA2752),IF(MATCH($V2753,$V$6:$V$10005,0)=ROW()-5,N($AA2752)+1,N($AA2752)))</f>
        <v>0</v>
      </c>
    </row>
    <row r="2754" spans="1:27" ht="21" customHeight="1" x14ac:dyDescent="0.95">
      <c r="A2754" s="56"/>
      <c r="B2754" s="57"/>
      <c r="C2754" s="57"/>
      <c r="D2754" s="57"/>
      <c r="E2754" s="56"/>
      <c r="F2754" s="57"/>
      <c r="G2754" s="57"/>
      <c r="H2754" s="56"/>
      <c r="I2754" s="56"/>
      <c r="J2754" s="58"/>
      <c r="K2754" s="58"/>
      <c r="L2754" s="13" t="str">
        <f t="shared" si="420"/>
        <v/>
      </c>
      <c r="M2754" s="13" t="str">
        <f t="shared" si="421"/>
        <v/>
      </c>
      <c r="Q2754" t="str">
        <f t="shared" si="422"/>
        <v/>
      </c>
      <c r="R2754" t="str">
        <f t="shared" si="423"/>
        <v/>
      </c>
      <c r="S2754" t="str">
        <f t="shared" si="424"/>
        <v/>
      </c>
      <c r="T2754" t="str">
        <f t="shared" si="425"/>
        <v/>
      </c>
      <c r="U2754" t="str">
        <f t="shared" si="426"/>
        <v/>
      </c>
      <c r="V2754" t="str">
        <f t="shared" si="427"/>
        <v/>
      </c>
      <c r="W2754" t="str">
        <f t="shared" si="428"/>
        <v/>
      </c>
      <c r="X2754">
        <f>IF($T2754="",N($X2753),IF(MATCH($T2754,$T$6:$T$10005,0)=ROW()-5,N($X2753)+1,N($X2753)))</f>
        <v>0</v>
      </c>
      <c r="Z2754" t="str">
        <f t="shared" si="429"/>
        <v/>
      </c>
      <c r="AA2754">
        <f>IF($V2754="",N($AA2753),IF(MATCH($V2754,$V$6:$V$10005,0)=ROW()-5,N($AA2753)+1,N($AA2753)))</f>
        <v>0</v>
      </c>
    </row>
    <row r="2755" spans="1:27" ht="21" customHeight="1" x14ac:dyDescent="0.95">
      <c r="A2755" s="56"/>
      <c r="B2755" s="57"/>
      <c r="C2755" s="57"/>
      <c r="D2755" s="57"/>
      <c r="E2755" s="56"/>
      <c r="F2755" s="57"/>
      <c r="G2755" s="57"/>
      <c r="H2755" s="56"/>
      <c r="I2755" s="56"/>
      <c r="J2755" s="58"/>
      <c r="K2755" s="58"/>
      <c r="L2755" s="13" t="str">
        <f t="shared" si="420"/>
        <v/>
      </c>
      <c r="M2755" s="13" t="str">
        <f t="shared" si="421"/>
        <v/>
      </c>
      <c r="Q2755" t="str">
        <f t="shared" si="422"/>
        <v/>
      </c>
      <c r="R2755" t="str">
        <f t="shared" si="423"/>
        <v/>
      </c>
      <c r="S2755" t="str">
        <f t="shared" si="424"/>
        <v/>
      </c>
      <c r="T2755" t="str">
        <f t="shared" si="425"/>
        <v/>
      </c>
      <c r="U2755" t="str">
        <f t="shared" si="426"/>
        <v/>
      </c>
      <c r="V2755" t="str">
        <f t="shared" si="427"/>
        <v/>
      </c>
      <c r="W2755" t="str">
        <f t="shared" si="428"/>
        <v/>
      </c>
      <c r="X2755">
        <f>IF($T2755="",N($X2754),IF(MATCH($T2755,$T$6:$T$10005,0)=ROW()-5,N($X2754)+1,N($X2754)))</f>
        <v>0</v>
      </c>
      <c r="Z2755" t="str">
        <f t="shared" si="429"/>
        <v/>
      </c>
      <c r="AA2755">
        <f>IF($V2755="",N($AA2754),IF(MATCH($V2755,$V$6:$V$10005,0)=ROW()-5,N($AA2754)+1,N($AA2754)))</f>
        <v>0</v>
      </c>
    </row>
    <row r="2756" spans="1:27" ht="21" customHeight="1" x14ac:dyDescent="0.95">
      <c r="A2756" s="56"/>
      <c r="B2756" s="57"/>
      <c r="C2756" s="57"/>
      <c r="D2756" s="57"/>
      <c r="E2756" s="56"/>
      <c r="F2756" s="57"/>
      <c r="G2756" s="57"/>
      <c r="H2756" s="56"/>
      <c r="I2756" s="56"/>
      <c r="J2756" s="58"/>
      <c r="K2756" s="58"/>
      <c r="L2756" s="13" t="str">
        <f t="shared" si="420"/>
        <v/>
      </c>
      <c r="M2756" s="13" t="str">
        <f t="shared" si="421"/>
        <v/>
      </c>
      <c r="Q2756" t="str">
        <f t="shared" si="422"/>
        <v/>
      </c>
      <c r="R2756" t="str">
        <f t="shared" si="423"/>
        <v/>
      </c>
      <c r="S2756" t="str">
        <f t="shared" si="424"/>
        <v/>
      </c>
      <c r="T2756" t="str">
        <f t="shared" si="425"/>
        <v/>
      </c>
      <c r="U2756" t="str">
        <f t="shared" si="426"/>
        <v/>
      </c>
      <c r="V2756" t="str">
        <f t="shared" si="427"/>
        <v/>
      </c>
      <c r="W2756" t="str">
        <f t="shared" si="428"/>
        <v/>
      </c>
      <c r="X2756">
        <f>IF($T2756="",N($X2755),IF(MATCH($T2756,$T$6:$T$10005,0)=ROW()-5,N($X2755)+1,N($X2755)))</f>
        <v>0</v>
      </c>
      <c r="Z2756" t="str">
        <f t="shared" si="429"/>
        <v/>
      </c>
      <c r="AA2756">
        <f>IF($V2756="",N($AA2755),IF(MATCH($V2756,$V$6:$V$10005,0)=ROW()-5,N($AA2755)+1,N($AA2755)))</f>
        <v>0</v>
      </c>
    </row>
    <row r="2757" spans="1:27" ht="21" customHeight="1" x14ac:dyDescent="0.95">
      <c r="A2757" s="56"/>
      <c r="B2757" s="57"/>
      <c r="C2757" s="57"/>
      <c r="D2757" s="57"/>
      <c r="E2757" s="56"/>
      <c r="F2757" s="57"/>
      <c r="G2757" s="57"/>
      <c r="H2757" s="56"/>
      <c r="I2757" s="56"/>
      <c r="J2757" s="58"/>
      <c r="K2757" s="58"/>
      <c r="L2757" s="13" t="str">
        <f t="shared" si="420"/>
        <v/>
      </c>
      <c r="M2757" s="13" t="str">
        <f t="shared" si="421"/>
        <v/>
      </c>
      <c r="Q2757" t="str">
        <f t="shared" si="422"/>
        <v/>
      </c>
      <c r="R2757" t="str">
        <f t="shared" si="423"/>
        <v/>
      </c>
      <c r="S2757" t="str">
        <f t="shared" si="424"/>
        <v/>
      </c>
      <c r="T2757" t="str">
        <f t="shared" si="425"/>
        <v/>
      </c>
      <c r="U2757" t="str">
        <f t="shared" si="426"/>
        <v/>
      </c>
      <c r="V2757" t="str">
        <f t="shared" si="427"/>
        <v/>
      </c>
      <c r="W2757" t="str">
        <f t="shared" si="428"/>
        <v/>
      </c>
      <c r="X2757">
        <f>IF($T2757="",N($X2756),IF(MATCH($T2757,$T$6:$T$10005,0)=ROW()-5,N($X2756)+1,N($X2756)))</f>
        <v>0</v>
      </c>
      <c r="Z2757" t="str">
        <f t="shared" si="429"/>
        <v/>
      </c>
      <c r="AA2757">
        <f>IF($V2757="",N($AA2756),IF(MATCH($V2757,$V$6:$V$10005,0)=ROW()-5,N($AA2756)+1,N($AA2756)))</f>
        <v>0</v>
      </c>
    </row>
    <row r="2758" spans="1:27" ht="21" customHeight="1" x14ac:dyDescent="0.95">
      <c r="A2758" s="56"/>
      <c r="B2758" s="57"/>
      <c r="C2758" s="57"/>
      <c r="D2758" s="57"/>
      <c r="E2758" s="56"/>
      <c r="F2758" s="57"/>
      <c r="G2758" s="57"/>
      <c r="H2758" s="56"/>
      <c r="I2758" s="56"/>
      <c r="J2758" s="58"/>
      <c r="K2758" s="58"/>
      <c r="L2758" s="13" t="str">
        <f t="shared" ref="L2758:L2821" si="430">IF(OR($A2758="",AND($J2758="",$K2758="")),"",ROUND(N($J2758)-N($K2758),2))</f>
        <v/>
      </c>
      <c r="M2758" s="13" t="str">
        <f t="shared" ref="M2758:M2821" si="431">IF(OR($A2758="",AND($J2758="",$K2758="")),"",MIN($J2758,$K2758))</f>
        <v/>
      </c>
      <c r="Q2758" t="str">
        <f t="shared" ref="Q2758:Q2821" si="432">IF($A2758="","",$D2758&amp;"("&amp;SUBSTITUTE($E2758," ","")&amp;")")</f>
        <v/>
      </c>
      <c r="R2758" t="str">
        <f t="shared" ref="R2758:R2821" si="433">IF($A2758="","",$B2758&amp;" - "&amp;$C2758)</f>
        <v/>
      </c>
      <c r="S2758" t="str">
        <f t="shared" ref="S2758:S2821" si="434">IF($A2758="","",$R2758&amp;"|"&amp;$Q2758)</f>
        <v/>
      </c>
      <c r="T2758" t="str">
        <f t="shared" ref="T2758:T2821" si="435">IF($A2758="","",$S2758&amp;"|"&amp;$F2758)</f>
        <v/>
      </c>
      <c r="U2758" t="str">
        <f t="shared" ref="U2758:U2821" si="436">IF($A2758="","",$R2758&amp;"("&amp;$E2758&amp;")")</f>
        <v/>
      </c>
      <c r="V2758" t="str">
        <f t="shared" ref="V2758:V2821" si="437">IF($A2758="","",$F2758&amp;"|"&amp;$U2758&amp;"|"&amp;$D2758)</f>
        <v/>
      </c>
      <c r="W2758" t="str">
        <f t="shared" ref="W2758:W2821" si="438">IF($T2758="","",IF($X2758&gt;N($X2757),$X2758,""))</f>
        <v/>
      </c>
      <c r="X2758">
        <f>IF($T2758="",N($X2757),IF(MATCH($T2758,$T$6:$T$10005,0)=ROW()-5,N($X2757)+1,N($X2757)))</f>
        <v>0</v>
      </c>
      <c r="Z2758" t="str">
        <f t="shared" ref="Z2758:Z2821" si="439">IF($V2758="","",IF($AA2758&gt;N($AA2757),$AA2758,""))</f>
        <v/>
      </c>
      <c r="AA2758">
        <f>IF($V2758="",N($AA2757),IF(MATCH($V2758,$V$6:$V$10005,0)=ROW()-5,N($AA2757)+1,N($AA2757)))</f>
        <v>0</v>
      </c>
    </row>
    <row r="2759" spans="1:27" ht="21" customHeight="1" x14ac:dyDescent="0.95">
      <c r="A2759" s="56"/>
      <c r="B2759" s="57"/>
      <c r="C2759" s="57"/>
      <c r="D2759" s="57"/>
      <c r="E2759" s="56"/>
      <c r="F2759" s="57"/>
      <c r="G2759" s="57"/>
      <c r="H2759" s="56"/>
      <c r="I2759" s="56"/>
      <c r="J2759" s="58"/>
      <c r="K2759" s="58"/>
      <c r="L2759" s="13" t="str">
        <f t="shared" si="430"/>
        <v/>
      </c>
      <c r="M2759" s="13" t="str">
        <f t="shared" si="431"/>
        <v/>
      </c>
      <c r="Q2759" t="str">
        <f t="shared" si="432"/>
        <v/>
      </c>
      <c r="R2759" t="str">
        <f t="shared" si="433"/>
        <v/>
      </c>
      <c r="S2759" t="str">
        <f t="shared" si="434"/>
        <v/>
      </c>
      <c r="T2759" t="str">
        <f t="shared" si="435"/>
        <v/>
      </c>
      <c r="U2759" t="str">
        <f t="shared" si="436"/>
        <v/>
      </c>
      <c r="V2759" t="str">
        <f t="shared" si="437"/>
        <v/>
      </c>
      <c r="W2759" t="str">
        <f t="shared" si="438"/>
        <v/>
      </c>
      <c r="X2759">
        <f>IF($T2759="",N($X2758),IF(MATCH($T2759,$T$6:$T$10005,0)=ROW()-5,N($X2758)+1,N($X2758)))</f>
        <v>0</v>
      </c>
      <c r="Z2759" t="str">
        <f t="shared" si="439"/>
        <v/>
      </c>
      <c r="AA2759">
        <f>IF($V2759="",N($AA2758),IF(MATCH($V2759,$V$6:$V$10005,0)=ROW()-5,N($AA2758)+1,N($AA2758)))</f>
        <v>0</v>
      </c>
    </row>
    <row r="2760" spans="1:27" ht="21" customHeight="1" x14ac:dyDescent="0.95">
      <c r="A2760" s="56"/>
      <c r="B2760" s="57"/>
      <c r="C2760" s="57"/>
      <c r="D2760" s="57"/>
      <c r="E2760" s="56"/>
      <c r="F2760" s="57"/>
      <c r="G2760" s="57"/>
      <c r="H2760" s="56"/>
      <c r="I2760" s="56"/>
      <c r="J2760" s="58"/>
      <c r="K2760" s="58"/>
      <c r="L2760" s="13" t="str">
        <f t="shared" si="430"/>
        <v/>
      </c>
      <c r="M2760" s="13" t="str">
        <f t="shared" si="431"/>
        <v/>
      </c>
      <c r="Q2760" t="str">
        <f t="shared" si="432"/>
        <v/>
      </c>
      <c r="R2760" t="str">
        <f t="shared" si="433"/>
        <v/>
      </c>
      <c r="S2760" t="str">
        <f t="shared" si="434"/>
        <v/>
      </c>
      <c r="T2760" t="str">
        <f t="shared" si="435"/>
        <v/>
      </c>
      <c r="U2760" t="str">
        <f t="shared" si="436"/>
        <v/>
      </c>
      <c r="V2760" t="str">
        <f t="shared" si="437"/>
        <v/>
      </c>
      <c r="W2760" t="str">
        <f t="shared" si="438"/>
        <v/>
      </c>
      <c r="X2760">
        <f>IF($T2760="",N($X2759),IF(MATCH($T2760,$T$6:$T$10005,0)=ROW()-5,N($X2759)+1,N($X2759)))</f>
        <v>0</v>
      </c>
      <c r="Z2760" t="str">
        <f t="shared" si="439"/>
        <v/>
      </c>
      <c r="AA2760">
        <f>IF($V2760="",N($AA2759),IF(MATCH($V2760,$V$6:$V$10005,0)=ROW()-5,N($AA2759)+1,N($AA2759)))</f>
        <v>0</v>
      </c>
    </row>
    <row r="2761" spans="1:27" ht="21" customHeight="1" x14ac:dyDescent="0.95">
      <c r="A2761" s="56"/>
      <c r="B2761" s="57"/>
      <c r="C2761" s="57"/>
      <c r="D2761" s="57"/>
      <c r="E2761" s="56"/>
      <c r="F2761" s="57"/>
      <c r="G2761" s="57"/>
      <c r="H2761" s="56"/>
      <c r="I2761" s="56"/>
      <c r="J2761" s="58"/>
      <c r="K2761" s="58"/>
      <c r="L2761" s="13" t="str">
        <f t="shared" si="430"/>
        <v/>
      </c>
      <c r="M2761" s="13" t="str">
        <f t="shared" si="431"/>
        <v/>
      </c>
      <c r="Q2761" t="str">
        <f t="shared" si="432"/>
        <v/>
      </c>
      <c r="R2761" t="str">
        <f t="shared" si="433"/>
        <v/>
      </c>
      <c r="S2761" t="str">
        <f t="shared" si="434"/>
        <v/>
      </c>
      <c r="T2761" t="str">
        <f t="shared" si="435"/>
        <v/>
      </c>
      <c r="U2761" t="str">
        <f t="shared" si="436"/>
        <v/>
      </c>
      <c r="V2761" t="str">
        <f t="shared" si="437"/>
        <v/>
      </c>
      <c r="W2761" t="str">
        <f t="shared" si="438"/>
        <v/>
      </c>
      <c r="X2761">
        <f>IF($T2761="",N($X2760),IF(MATCH($T2761,$T$6:$T$10005,0)=ROW()-5,N($X2760)+1,N($X2760)))</f>
        <v>0</v>
      </c>
      <c r="Z2761" t="str">
        <f t="shared" si="439"/>
        <v/>
      </c>
      <c r="AA2761">
        <f>IF($V2761="",N($AA2760),IF(MATCH($V2761,$V$6:$V$10005,0)=ROW()-5,N($AA2760)+1,N($AA2760)))</f>
        <v>0</v>
      </c>
    </row>
    <row r="2762" spans="1:27" ht="21" customHeight="1" x14ac:dyDescent="0.95">
      <c r="A2762" s="56"/>
      <c r="B2762" s="57"/>
      <c r="C2762" s="57"/>
      <c r="D2762" s="57"/>
      <c r="E2762" s="56"/>
      <c r="F2762" s="57"/>
      <c r="G2762" s="57"/>
      <c r="H2762" s="56"/>
      <c r="I2762" s="56"/>
      <c r="J2762" s="58"/>
      <c r="K2762" s="58"/>
      <c r="L2762" s="13" t="str">
        <f t="shared" si="430"/>
        <v/>
      </c>
      <c r="M2762" s="13" t="str">
        <f t="shared" si="431"/>
        <v/>
      </c>
      <c r="Q2762" t="str">
        <f t="shared" si="432"/>
        <v/>
      </c>
      <c r="R2762" t="str">
        <f t="shared" si="433"/>
        <v/>
      </c>
      <c r="S2762" t="str">
        <f t="shared" si="434"/>
        <v/>
      </c>
      <c r="T2762" t="str">
        <f t="shared" si="435"/>
        <v/>
      </c>
      <c r="U2762" t="str">
        <f t="shared" si="436"/>
        <v/>
      </c>
      <c r="V2762" t="str">
        <f t="shared" si="437"/>
        <v/>
      </c>
      <c r="W2762" t="str">
        <f t="shared" si="438"/>
        <v/>
      </c>
      <c r="X2762">
        <f>IF($T2762="",N($X2761),IF(MATCH($T2762,$T$6:$T$10005,0)=ROW()-5,N($X2761)+1,N($X2761)))</f>
        <v>0</v>
      </c>
      <c r="Z2762" t="str">
        <f t="shared" si="439"/>
        <v/>
      </c>
      <c r="AA2762">
        <f>IF($V2762="",N($AA2761),IF(MATCH($V2762,$V$6:$V$10005,0)=ROW()-5,N($AA2761)+1,N($AA2761)))</f>
        <v>0</v>
      </c>
    </row>
    <row r="2763" spans="1:27" ht="21" customHeight="1" x14ac:dyDescent="0.95">
      <c r="A2763" s="56"/>
      <c r="B2763" s="57"/>
      <c r="C2763" s="57"/>
      <c r="D2763" s="57"/>
      <c r="E2763" s="56"/>
      <c r="F2763" s="57"/>
      <c r="G2763" s="57"/>
      <c r="H2763" s="56"/>
      <c r="I2763" s="56"/>
      <c r="J2763" s="58"/>
      <c r="K2763" s="58"/>
      <c r="L2763" s="13" t="str">
        <f t="shared" si="430"/>
        <v/>
      </c>
      <c r="M2763" s="13" t="str">
        <f t="shared" si="431"/>
        <v/>
      </c>
      <c r="Q2763" t="str">
        <f t="shared" si="432"/>
        <v/>
      </c>
      <c r="R2763" t="str">
        <f t="shared" si="433"/>
        <v/>
      </c>
      <c r="S2763" t="str">
        <f t="shared" si="434"/>
        <v/>
      </c>
      <c r="T2763" t="str">
        <f t="shared" si="435"/>
        <v/>
      </c>
      <c r="U2763" t="str">
        <f t="shared" si="436"/>
        <v/>
      </c>
      <c r="V2763" t="str">
        <f t="shared" si="437"/>
        <v/>
      </c>
      <c r="W2763" t="str">
        <f t="shared" si="438"/>
        <v/>
      </c>
      <c r="X2763">
        <f>IF($T2763="",N($X2762),IF(MATCH($T2763,$T$6:$T$10005,0)=ROW()-5,N($X2762)+1,N($X2762)))</f>
        <v>0</v>
      </c>
      <c r="Z2763" t="str">
        <f t="shared" si="439"/>
        <v/>
      </c>
      <c r="AA2763">
        <f>IF($V2763="",N($AA2762),IF(MATCH($V2763,$V$6:$V$10005,0)=ROW()-5,N($AA2762)+1,N($AA2762)))</f>
        <v>0</v>
      </c>
    </row>
    <row r="2764" spans="1:27" ht="21" customHeight="1" x14ac:dyDescent="0.95">
      <c r="A2764" s="56"/>
      <c r="B2764" s="57"/>
      <c r="C2764" s="57"/>
      <c r="D2764" s="57"/>
      <c r="E2764" s="56"/>
      <c r="F2764" s="57"/>
      <c r="G2764" s="57"/>
      <c r="H2764" s="56"/>
      <c r="I2764" s="56"/>
      <c r="J2764" s="58"/>
      <c r="K2764" s="58"/>
      <c r="L2764" s="13" t="str">
        <f t="shared" si="430"/>
        <v/>
      </c>
      <c r="M2764" s="13" t="str">
        <f t="shared" si="431"/>
        <v/>
      </c>
      <c r="Q2764" t="str">
        <f t="shared" si="432"/>
        <v/>
      </c>
      <c r="R2764" t="str">
        <f t="shared" si="433"/>
        <v/>
      </c>
      <c r="S2764" t="str">
        <f t="shared" si="434"/>
        <v/>
      </c>
      <c r="T2764" t="str">
        <f t="shared" si="435"/>
        <v/>
      </c>
      <c r="U2764" t="str">
        <f t="shared" si="436"/>
        <v/>
      </c>
      <c r="V2764" t="str">
        <f t="shared" si="437"/>
        <v/>
      </c>
      <c r="W2764" t="str">
        <f t="shared" si="438"/>
        <v/>
      </c>
      <c r="X2764">
        <f>IF($T2764="",N($X2763),IF(MATCH($T2764,$T$6:$T$10005,0)=ROW()-5,N($X2763)+1,N($X2763)))</f>
        <v>0</v>
      </c>
      <c r="Z2764" t="str">
        <f t="shared" si="439"/>
        <v/>
      </c>
      <c r="AA2764">
        <f>IF($V2764="",N($AA2763),IF(MATCH($V2764,$V$6:$V$10005,0)=ROW()-5,N($AA2763)+1,N($AA2763)))</f>
        <v>0</v>
      </c>
    </row>
    <row r="2765" spans="1:27" ht="21" customHeight="1" x14ac:dyDescent="0.95">
      <c r="A2765" s="56"/>
      <c r="B2765" s="57"/>
      <c r="C2765" s="57"/>
      <c r="D2765" s="57"/>
      <c r="E2765" s="56"/>
      <c r="F2765" s="57"/>
      <c r="G2765" s="57"/>
      <c r="H2765" s="56"/>
      <c r="I2765" s="56"/>
      <c r="J2765" s="58"/>
      <c r="K2765" s="58"/>
      <c r="L2765" s="13" t="str">
        <f t="shared" si="430"/>
        <v/>
      </c>
      <c r="M2765" s="13" t="str">
        <f t="shared" si="431"/>
        <v/>
      </c>
      <c r="Q2765" t="str">
        <f t="shared" si="432"/>
        <v/>
      </c>
      <c r="R2765" t="str">
        <f t="shared" si="433"/>
        <v/>
      </c>
      <c r="S2765" t="str">
        <f t="shared" si="434"/>
        <v/>
      </c>
      <c r="T2765" t="str">
        <f t="shared" si="435"/>
        <v/>
      </c>
      <c r="U2765" t="str">
        <f t="shared" si="436"/>
        <v/>
      </c>
      <c r="V2765" t="str">
        <f t="shared" si="437"/>
        <v/>
      </c>
      <c r="W2765" t="str">
        <f t="shared" si="438"/>
        <v/>
      </c>
      <c r="X2765">
        <f>IF($T2765="",N($X2764),IF(MATCH($T2765,$T$6:$T$10005,0)=ROW()-5,N($X2764)+1,N($X2764)))</f>
        <v>0</v>
      </c>
      <c r="Z2765" t="str">
        <f t="shared" si="439"/>
        <v/>
      </c>
      <c r="AA2765">
        <f>IF($V2765="",N($AA2764),IF(MATCH($V2765,$V$6:$V$10005,0)=ROW()-5,N($AA2764)+1,N($AA2764)))</f>
        <v>0</v>
      </c>
    </row>
    <row r="2766" spans="1:27" ht="21" customHeight="1" x14ac:dyDescent="0.95">
      <c r="A2766" s="56"/>
      <c r="B2766" s="57"/>
      <c r="C2766" s="57"/>
      <c r="D2766" s="57"/>
      <c r="E2766" s="56"/>
      <c r="F2766" s="57"/>
      <c r="G2766" s="57"/>
      <c r="H2766" s="56"/>
      <c r="I2766" s="56"/>
      <c r="J2766" s="58"/>
      <c r="K2766" s="58"/>
      <c r="L2766" s="13" t="str">
        <f t="shared" si="430"/>
        <v/>
      </c>
      <c r="M2766" s="13" t="str">
        <f t="shared" si="431"/>
        <v/>
      </c>
      <c r="Q2766" t="str">
        <f t="shared" si="432"/>
        <v/>
      </c>
      <c r="R2766" t="str">
        <f t="shared" si="433"/>
        <v/>
      </c>
      <c r="S2766" t="str">
        <f t="shared" si="434"/>
        <v/>
      </c>
      <c r="T2766" t="str">
        <f t="shared" si="435"/>
        <v/>
      </c>
      <c r="U2766" t="str">
        <f t="shared" si="436"/>
        <v/>
      </c>
      <c r="V2766" t="str">
        <f t="shared" si="437"/>
        <v/>
      </c>
      <c r="W2766" t="str">
        <f t="shared" si="438"/>
        <v/>
      </c>
      <c r="X2766">
        <f>IF($T2766="",N($X2765),IF(MATCH($T2766,$T$6:$T$10005,0)=ROW()-5,N($X2765)+1,N($X2765)))</f>
        <v>0</v>
      </c>
      <c r="Z2766" t="str">
        <f t="shared" si="439"/>
        <v/>
      </c>
      <c r="AA2766">
        <f>IF($V2766="",N($AA2765),IF(MATCH($V2766,$V$6:$V$10005,0)=ROW()-5,N($AA2765)+1,N($AA2765)))</f>
        <v>0</v>
      </c>
    </row>
    <row r="2767" spans="1:27" ht="21" customHeight="1" x14ac:dyDescent="0.95">
      <c r="A2767" s="56"/>
      <c r="B2767" s="57"/>
      <c r="C2767" s="57"/>
      <c r="D2767" s="57"/>
      <c r="E2767" s="56"/>
      <c r="F2767" s="57"/>
      <c r="G2767" s="57"/>
      <c r="H2767" s="56"/>
      <c r="I2767" s="56"/>
      <c r="J2767" s="58"/>
      <c r="K2767" s="58"/>
      <c r="L2767" s="13" t="str">
        <f t="shared" si="430"/>
        <v/>
      </c>
      <c r="M2767" s="13" t="str">
        <f t="shared" si="431"/>
        <v/>
      </c>
      <c r="Q2767" t="str">
        <f t="shared" si="432"/>
        <v/>
      </c>
      <c r="R2767" t="str">
        <f t="shared" si="433"/>
        <v/>
      </c>
      <c r="S2767" t="str">
        <f t="shared" si="434"/>
        <v/>
      </c>
      <c r="T2767" t="str">
        <f t="shared" si="435"/>
        <v/>
      </c>
      <c r="U2767" t="str">
        <f t="shared" si="436"/>
        <v/>
      </c>
      <c r="V2767" t="str">
        <f t="shared" si="437"/>
        <v/>
      </c>
      <c r="W2767" t="str">
        <f t="shared" si="438"/>
        <v/>
      </c>
      <c r="X2767">
        <f>IF($T2767="",N($X2766),IF(MATCH($T2767,$T$6:$T$10005,0)=ROW()-5,N($X2766)+1,N($X2766)))</f>
        <v>0</v>
      </c>
      <c r="Z2767" t="str">
        <f t="shared" si="439"/>
        <v/>
      </c>
      <c r="AA2767">
        <f>IF($V2767="",N($AA2766),IF(MATCH($V2767,$V$6:$V$10005,0)=ROW()-5,N($AA2766)+1,N($AA2766)))</f>
        <v>0</v>
      </c>
    </row>
    <row r="2768" spans="1:27" ht="21" customHeight="1" x14ac:dyDescent="0.95">
      <c r="A2768" s="56"/>
      <c r="B2768" s="57"/>
      <c r="C2768" s="57"/>
      <c r="D2768" s="57"/>
      <c r="E2768" s="56"/>
      <c r="F2768" s="57"/>
      <c r="G2768" s="57"/>
      <c r="H2768" s="56"/>
      <c r="I2768" s="56"/>
      <c r="J2768" s="58"/>
      <c r="K2768" s="58"/>
      <c r="L2768" s="13" t="str">
        <f t="shared" si="430"/>
        <v/>
      </c>
      <c r="M2768" s="13" t="str">
        <f t="shared" si="431"/>
        <v/>
      </c>
      <c r="Q2768" t="str">
        <f t="shared" si="432"/>
        <v/>
      </c>
      <c r="R2768" t="str">
        <f t="shared" si="433"/>
        <v/>
      </c>
      <c r="S2768" t="str">
        <f t="shared" si="434"/>
        <v/>
      </c>
      <c r="T2768" t="str">
        <f t="shared" si="435"/>
        <v/>
      </c>
      <c r="U2768" t="str">
        <f t="shared" si="436"/>
        <v/>
      </c>
      <c r="V2768" t="str">
        <f t="shared" si="437"/>
        <v/>
      </c>
      <c r="W2768" t="str">
        <f t="shared" si="438"/>
        <v/>
      </c>
      <c r="X2768">
        <f>IF($T2768="",N($X2767),IF(MATCH($T2768,$T$6:$T$10005,0)=ROW()-5,N($X2767)+1,N($X2767)))</f>
        <v>0</v>
      </c>
      <c r="Z2768" t="str">
        <f t="shared" si="439"/>
        <v/>
      </c>
      <c r="AA2768">
        <f>IF($V2768="",N($AA2767),IF(MATCH($V2768,$V$6:$V$10005,0)=ROW()-5,N($AA2767)+1,N($AA2767)))</f>
        <v>0</v>
      </c>
    </row>
    <row r="2769" spans="1:27" ht="21" customHeight="1" x14ac:dyDescent="0.95">
      <c r="A2769" s="56"/>
      <c r="B2769" s="57"/>
      <c r="C2769" s="57"/>
      <c r="D2769" s="57"/>
      <c r="E2769" s="56"/>
      <c r="F2769" s="57"/>
      <c r="G2769" s="57"/>
      <c r="H2769" s="56"/>
      <c r="I2769" s="56"/>
      <c r="J2769" s="58"/>
      <c r="K2769" s="58"/>
      <c r="L2769" s="13" t="str">
        <f t="shared" si="430"/>
        <v/>
      </c>
      <c r="M2769" s="13" t="str">
        <f t="shared" si="431"/>
        <v/>
      </c>
      <c r="Q2769" t="str">
        <f t="shared" si="432"/>
        <v/>
      </c>
      <c r="R2769" t="str">
        <f t="shared" si="433"/>
        <v/>
      </c>
      <c r="S2769" t="str">
        <f t="shared" si="434"/>
        <v/>
      </c>
      <c r="T2769" t="str">
        <f t="shared" si="435"/>
        <v/>
      </c>
      <c r="U2769" t="str">
        <f t="shared" si="436"/>
        <v/>
      </c>
      <c r="V2769" t="str">
        <f t="shared" si="437"/>
        <v/>
      </c>
      <c r="W2769" t="str">
        <f t="shared" si="438"/>
        <v/>
      </c>
      <c r="X2769">
        <f>IF($T2769="",N($X2768),IF(MATCH($T2769,$T$6:$T$10005,0)=ROW()-5,N($X2768)+1,N($X2768)))</f>
        <v>0</v>
      </c>
      <c r="Z2769" t="str">
        <f t="shared" si="439"/>
        <v/>
      </c>
      <c r="AA2769">
        <f>IF($V2769="",N($AA2768),IF(MATCH($V2769,$V$6:$V$10005,0)=ROW()-5,N($AA2768)+1,N($AA2768)))</f>
        <v>0</v>
      </c>
    </row>
    <row r="2770" spans="1:27" ht="21" customHeight="1" x14ac:dyDescent="0.95">
      <c r="A2770" s="56"/>
      <c r="B2770" s="57"/>
      <c r="C2770" s="57"/>
      <c r="D2770" s="57"/>
      <c r="E2770" s="56"/>
      <c r="F2770" s="57"/>
      <c r="G2770" s="57"/>
      <c r="H2770" s="56"/>
      <c r="I2770" s="56"/>
      <c r="J2770" s="58"/>
      <c r="K2770" s="58"/>
      <c r="L2770" s="13" t="str">
        <f t="shared" si="430"/>
        <v/>
      </c>
      <c r="M2770" s="13" t="str">
        <f t="shared" si="431"/>
        <v/>
      </c>
      <c r="Q2770" t="str">
        <f t="shared" si="432"/>
        <v/>
      </c>
      <c r="R2770" t="str">
        <f t="shared" si="433"/>
        <v/>
      </c>
      <c r="S2770" t="str">
        <f t="shared" si="434"/>
        <v/>
      </c>
      <c r="T2770" t="str">
        <f t="shared" si="435"/>
        <v/>
      </c>
      <c r="U2770" t="str">
        <f t="shared" si="436"/>
        <v/>
      </c>
      <c r="V2770" t="str">
        <f t="shared" si="437"/>
        <v/>
      </c>
      <c r="W2770" t="str">
        <f t="shared" si="438"/>
        <v/>
      </c>
      <c r="X2770">
        <f>IF($T2770="",N($X2769),IF(MATCH($T2770,$T$6:$T$10005,0)=ROW()-5,N($X2769)+1,N($X2769)))</f>
        <v>0</v>
      </c>
      <c r="Z2770" t="str">
        <f t="shared" si="439"/>
        <v/>
      </c>
      <c r="AA2770">
        <f>IF($V2770="",N($AA2769),IF(MATCH($V2770,$V$6:$V$10005,0)=ROW()-5,N($AA2769)+1,N($AA2769)))</f>
        <v>0</v>
      </c>
    </row>
    <row r="2771" spans="1:27" ht="21" customHeight="1" x14ac:dyDescent="0.95">
      <c r="A2771" s="56"/>
      <c r="B2771" s="57"/>
      <c r="C2771" s="57"/>
      <c r="D2771" s="57"/>
      <c r="E2771" s="56"/>
      <c r="F2771" s="57"/>
      <c r="G2771" s="57"/>
      <c r="H2771" s="56"/>
      <c r="I2771" s="56"/>
      <c r="J2771" s="58"/>
      <c r="K2771" s="58"/>
      <c r="L2771" s="13" t="str">
        <f t="shared" si="430"/>
        <v/>
      </c>
      <c r="M2771" s="13" t="str">
        <f t="shared" si="431"/>
        <v/>
      </c>
      <c r="Q2771" t="str">
        <f t="shared" si="432"/>
        <v/>
      </c>
      <c r="R2771" t="str">
        <f t="shared" si="433"/>
        <v/>
      </c>
      <c r="S2771" t="str">
        <f t="shared" si="434"/>
        <v/>
      </c>
      <c r="T2771" t="str">
        <f t="shared" si="435"/>
        <v/>
      </c>
      <c r="U2771" t="str">
        <f t="shared" si="436"/>
        <v/>
      </c>
      <c r="V2771" t="str">
        <f t="shared" si="437"/>
        <v/>
      </c>
      <c r="W2771" t="str">
        <f t="shared" si="438"/>
        <v/>
      </c>
      <c r="X2771">
        <f>IF($T2771="",N($X2770),IF(MATCH($T2771,$T$6:$T$10005,0)=ROW()-5,N($X2770)+1,N($X2770)))</f>
        <v>0</v>
      </c>
      <c r="Z2771" t="str">
        <f t="shared" si="439"/>
        <v/>
      </c>
      <c r="AA2771">
        <f>IF($V2771="",N($AA2770),IF(MATCH($V2771,$V$6:$V$10005,0)=ROW()-5,N($AA2770)+1,N($AA2770)))</f>
        <v>0</v>
      </c>
    </row>
    <row r="2772" spans="1:27" ht="21" customHeight="1" x14ac:dyDescent="0.95">
      <c r="A2772" s="56"/>
      <c r="B2772" s="57"/>
      <c r="C2772" s="57"/>
      <c r="D2772" s="57"/>
      <c r="E2772" s="56"/>
      <c r="F2772" s="57"/>
      <c r="G2772" s="57"/>
      <c r="H2772" s="56"/>
      <c r="I2772" s="56"/>
      <c r="J2772" s="58"/>
      <c r="K2772" s="58"/>
      <c r="L2772" s="13" t="str">
        <f t="shared" si="430"/>
        <v/>
      </c>
      <c r="M2772" s="13" t="str">
        <f t="shared" si="431"/>
        <v/>
      </c>
      <c r="Q2772" t="str">
        <f t="shared" si="432"/>
        <v/>
      </c>
      <c r="R2772" t="str">
        <f t="shared" si="433"/>
        <v/>
      </c>
      <c r="S2772" t="str">
        <f t="shared" si="434"/>
        <v/>
      </c>
      <c r="T2772" t="str">
        <f t="shared" si="435"/>
        <v/>
      </c>
      <c r="U2772" t="str">
        <f t="shared" si="436"/>
        <v/>
      </c>
      <c r="V2772" t="str">
        <f t="shared" si="437"/>
        <v/>
      </c>
      <c r="W2772" t="str">
        <f t="shared" si="438"/>
        <v/>
      </c>
      <c r="X2772">
        <f>IF($T2772="",N($X2771),IF(MATCH($T2772,$T$6:$T$10005,0)=ROW()-5,N($X2771)+1,N($X2771)))</f>
        <v>0</v>
      </c>
      <c r="Z2772" t="str">
        <f t="shared" si="439"/>
        <v/>
      </c>
      <c r="AA2772">
        <f>IF($V2772="",N($AA2771),IF(MATCH($V2772,$V$6:$V$10005,0)=ROW()-5,N($AA2771)+1,N($AA2771)))</f>
        <v>0</v>
      </c>
    </row>
    <row r="2773" spans="1:27" ht="21" customHeight="1" x14ac:dyDescent="0.95">
      <c r="A2773" s="56"/>
      <c r="B2773" s="57"/>
      <c r="C2773" s="57"/>
      <c r="D2773" s="57"/>
      <c r="E2773" s="56"/>
      <c r="F2773" s="57"/>
      <c r="G2773" s="57"/>
      <c r="H2773" s="56"/>
      <c r="I2773" s="56"/>
      <c r="J2773" s="58"/>
      <c r="K2773" s="58"/>
      <c r="L2773" s="13" t="str">
        <f t="shared" si="430"/>
        <v/>
      </c>
      <c r="M2773" s="13" t="str">
        <f t="shared" si="431"/>
        <v/>
      </c>
      <c r="Q2773" t="str">
        <f t="shared" si="432"/>
        <v/>
      </c>
      <c r="R2773" t="str">
        <f t="shared" si="433"/>
        <v/>
      </c>
      <c r="S2773" t="str">
        <f t="shared" si="434"/>
        <v/>
      </c>
      <c r="T2773" t="str">
        <f t="shared" si="435"/>
        <v/>
      </c>
      <c r="U2773" t="str">
        <f t="shared" si="436"/>
        <v/>
      </c>
      <c r="V2773" t="str">
        <f t="shared" si="437"/>
        <v/>
      </c>
      <c r="W2773" t="str">
        <f t="shared" si="438"/>
        <v/>
      </c>
      <c r="X2773">
        <f>IF($T2773="",N($X2772),IF(MATCH($T2773,$T$6:$T$10005,0)=ROW()-5,N($X2772)+1,N($X2772)))</f>
        <v>0</v>
      </c>
      <c r="Z2773" t="str">
        <f t="shared" si="439"/>
        <v/>
      </c>
      <c r="AA2773">
        <f>IF($V2773="",N($AA2772),IF(MATCH($V2773,$V$6:$V$10005,0)=ROW()-5,N($AA2772)+1,N($AA2772)))</f>
        <v>0</v>
      </c>
    </row>
    <row r="2774" spans="1:27" ht="21" customHeight="1" x14ac:dyDescent="0.95">
      <c r="A2774" s="56"/>
      <c r="B2774" s="57"/>
      <c r="C2774" s="57"/>
      <c r="D2774" s="57"/>
      <c r="E2774" s="56"/>
      <c r="F2774" s="57"/>
      <c r="G2774" s="57"/>
      <c r="H2774" s="56"/>
      <c r="I2774" s="56"/>
      <c r="J2774" s="58"/>
      <c r="K2774" s="58"/>
      <c r="L2774" s="13" t="str">
        <f t="shared" si="430"/>
        <v/>
      </c>
      <c r="M2774" s="13" t="str">
        <f t="shared" si="431"/>
        <v/>
      </c>
      <c r="Q2774" t="str">
        <f t="shared" si="432"/>
        <v/>
      </c>
      <c r="R2774" t="str">
        <f t="shared" si="433"/>
        <v/>
      </c>
      <c r="S2774" t="str">
        <f t="shared" si="434"/>
        <v/>
      </c>
      <c r="T2774" t="str">
        <f t="shared" si="435"/>
        <v/>
      </c>
      <c r="U2774" t="str">
        <f t="shared" si="436"/>
        <v/>
      </c>
      <c r="V2774" t="str">
        <f t="shared" si="437"/>
        <v/>
      </c>
      <c r="W2774" t="str">
        <f t="shared" si="438"/>
        <v/>
      </c>
      <c r="X2774">
        <f>IF($T2774="",N($X2773),IF(MATCH($T2774,$T$6:$T$10005,0)=ROW()-5,N($X2773)+1,N($X2773)))</f>
        <v>0</v>
      </c>
      <c r="Z2774" t="str">
        <f t="shared" si="439"/>
        <v/>
      </c>
      <c r="AA2774">
        <f>IF($V2774="",N($AA2773),IF(MATCH($V2774,$V$6:$V$10005,0)=ROW()-5,N($AA2773)+1,N($AA2773)))</f>
        <v>0</v>
      </c>
    </row>
    <row r="2775" spans="1:27" ht="21" customHeight="1" x14ac:dyDescent="0.95">
      <c r="A2775" s="56"/>
      <c r="B2775" s="57"/>
      <c r="C2775" s="57"/>
      <c r="D2775" s="57"/>
      <c r="E2775" s="56"/>
      <c r="F2775" s="57"/>
      <c r="G2775" s="57"/>
      <c r="H2775" s="56"/>
      <c r="I2775" s="56"/>
      <c r="J2775" s="58"/>
      <c r="K2775" s="58"/>
      <c r="L2775" s="13" t="str">
        <f t="shared" si="430"/>
        <v/>
      </c>
      <c r="M2775" s="13" t="str">
        <f t="shared" si="431"/>
        <v/>
      </c>
      <c r="Q2775" t="str">
        <f t="shared" si="432"/>
        <v/>
      </c>
      <c r="R2775" t="str">
        <f t="shared" si="433"/>
        <v/>
      </c>
      <c r="S2775" t="str">
        <f t="shared" si="434"/>
        <v/>
      </c>
      <c r="T2775" t="str">
        <f t="shared" si="435"/>
        <v/>
      </c>
      <c r="U2775" t="str">
        <f t="shared" si="436"/>
        <v/>
      </c>
      <c r="V2775" t="str">
        <f t="shared" si="437"/>
        <v/>
      </c>
      <c r="W2775" t="str">
        <f t="shared" si="438"/>
        <v/>
      </c>
      <c r="X2775">
        <f>IF($T2775="",N($X2774),IF(MATCH($T2775,$T$6:$T$10005,0)=ROW()-5,N($X2774)+1,N($X2774)))</f>
        <v>0</v>
      </c>
      <c r="Z2775" t="str">
        <f t="shared" si="439"/>
        <v/>
      </c>
      <c r="AA2775">
        <f>IF($V2775="",N($AA2774),IF(MATCH($V2775,$V$6:$V$10005,0)=ROW()-5,N($AA2774)+1,N($AA2774)))</f>
        <v>0</v>
      </c>
    </row>
    <row r="2776" spans="1:27" ht="21" customHeight="1" x14ac:dyDescent="0.95">
      <c r="A2776" s="56"/>
      <c r="B2776" s="57"/>
      <c r="C2776" s="57"/>
      <c r="D2776" s="57"/>
      <c r="E2776" s="56"/>
      <c r="F2776" s="57"/>
      <c r="G2776" s="57"/>
      <c r="H2776" s="56"/>
      <c r="I2776" s="56"/>
      <c r="J2776" s="58"/>
      <c r="K2776" s="58"/>
      <c r="L2776" s="13" t="str">
        <f t="shared" si="430"/>
        <v/>
      </c>
      <c r="M2776" s="13" t="str">
        <f t="shared" si="431"/>
        <v/>
      </c>
      <c r="Q2776" t="str">
        <f t="shared" si="432"/>
        <v/>
      </c>
      <c r="R2776" t="str">
        <f t="shared" si="433"/>
        <v/>
      </c>
      <c r="S2776" t="str">
        <f t="shared" si="434"/>
        <v/>
      </c>
      <c r="T2776" t="str">
        <f t="shared" si="435"/>
        <v/>
      </c>
      <c r="U2776" t="str">
        <f t="shared" si="436"/>
        <v/>
      </c>
      <c r="V2776" t="str">
        <f t="shared" si="437"/>
        <v/>
      </c>
      <c r="W2776" t="str">
        <f t="shared" si="438"/>
        <v/>
      </c>
      <c r="X2776">
        <f>IF($T2776="",N($X2775),IF(MATCH($T2776,$T$6:$T$10005,0)=ROW()-5,N($X2775)+1,N($X2775)))</f>
        <v>0</v>
      </c>
      <c r="Z2776" t="str">
        <f t="shared" si="439"/>
        <v/>
      </c>
      <c r="AA2776">
        <f>IF($V2776="",N($AA2775),IF(MATCH($V2776,$V$6:$V$10005,0)=ROW()-5,N($AA2775)+1,N($AA2775)))</f>
        <v>0</v>
      </c>
    </row>
    <row r="2777" spans="1:27" ht="21" customHeight="1" x14ac:dyDescent="0.95">
      <c r="A2777" s="56"/>
      <c r="B2777" s="57"/>
      <c r="C2777" s="57"/>
      <c r="D2777" s="57"/>
      <c r="E2777" s="56"/>
      <c r="F2777" s="57"/>
      <c r="G2777" s="57"/>
      <c r="H2777" s="56"/>
      <c r="I2777" s="56"/>
      <c r="J2777" s="58"/>
      <c r="K2777" s="58"/>
      <c r="L2777" s="13" t="str">
        <f t="shared" si="430"/>
        <v/>
      </c>
      <c r="M2777" s="13" t="str">
        <f t="shared" si="431"/>
        <v/>
      </c>
      <c r="Q2777" t="str">
        <f t="shared" si="432"/>
        <v/>
      </c>
      <c r="R2777" t="str">
        <f t="shared" si="433"/>
        <v/>
      </c>
      <c r="S2777" t="str">
        <f t="shared" si="434"/>
        <v/>
      </c>
      <c r="T2777" t="str">
        <f t="shared" si="435"/>
        <v/>
      </c>
      <c r="U2777" t="str">
        <f t="shared" si="436"/>
        <v/>
      </c>
      <c r="V2777" t="str">
        <f t="shared" si="437"/>
        <v/>
      </c>
      <c r="W2777" t="str">
        <f t="shared" si="438"/>
        <v/>
      </c>
      <c r="X2777">
        <f>IF($T2777="",N($X2776),IF(MATCH($T2777,$T$6:$T$10005,0)=ROW()-5,N($X2776)+1,N($X2776)))</f>
        <v>0</v>
      </c>
      <c r="Z2777" t="str">
        <f t="shared" si="439"/>
        <v/>
      </c>
      <c r="AA2777">
        <f>IF($V2777="",N($AA2776),IF(MATCH($V2777,$V$6:$V$10005,0)=ROW()-5,N($AA2776)+1,N($AA2776)))</f>
        <v>0</v>
      </c>
    </row>
    <row r="2778" spans="1:27" ht="21" customHeight="1" x14ac:dyDescent="0.95">
      <c r="A2778" s="56"/>
      <c r="B2778" s="57"/>
      <c r="C2778" s="57"/>
      <c r="D2778" s="57"/>
      <c r="E2778" s="56"/>
      <c r="F2778" s="57"/>
      <c r="G2778" s="57"/>
      <c r="H2778" s="56"/>
      <c r="I2778" s="56"/>
      <c r="J2778" s="58"/>
      <c r="K2778" s="58"/>
      <c r="L2778" s="13" t="str">
        <f t="shared" si="430"/>
        <v/>
      </c>
      <c r="M2778" s="13" t="str">
        <f t="shared" si="431"/>
        <v/>
      </c>
      <c r="Q2778" t="str">
        <f t="shared" si="432"/>
        <v/>
      </c>
      <c r="R2778" t="str">
        <f t="shared" si="433"/>
        <v/>
      </c>
      <c r="S2778" t="str">
        <f t="shared" si="434"/>
        <v/>
      </c>
      <c r="T2778" t="str">
        <f t="shared" si="435"/>
        <v/>
      </c>
      <c r="U2778" t="str">
        <f t="shared" si="436"/>
        <v/>
      </c>
      <c r="V2778" t="str">
        <f t="shared" si="437"/>
        <v/>
      </c>
      <c r="W2778" t="str">
        <f t="shared" si="438"/>
        <v/>
      </c>
      <c r="X2778">
        <f>IF($T2778="",N($X2777),IF(MATCH($T2778,$T$6:$T$10005,0)=ROW()-5,N($X2777)+1,N($X2777)))</f>
        <v>0</v>
      </c>
      <c r="Z2778" t="str">
        <f t="shared" si="439"/>
        <v/>
      </c>
      <c r="AA2778">
        <f>IF($V2778="",N($AA2777),IF(MATCH($V2778,$V$6:$V$10005,0)=ROW()-5,N($AA2777)+1,N($AA2777)))</f>
        <v>0</v>
      </c>
    </row>
    <row r="2779" spans="1:27" ht="21" customHeight="1" x14ac:dyDescent="0.95">
      <c r="A2779" s="56"/>
      <c r="B2779" s="57"/>
      <c r="C2779" s="57"/>
      <c r="D2779" s="57"/>
      <c r="E2779" s="56"/>
      <c r="F2779" s="57"/>
      <c r="G2779" s="57"/>
      <c r="H2779" s="56"/>
      <c r="I2779" s="56"/>
      <c r="J2779" s="58"/>
      <c r="K2779" s="58"/>
      <c r="L2779" s="13" t="str">
        <f t="shared" si="430"/>
        <v/>
      </c>
      <c r="M2779" s="13" t="str">
        <f t="shared" si="431"/>
        <v/>
      </c>
      <c r="Q2779" t="str">
        <f t="shared" si="432"/>
        <v/>
      </c>
      <c r="R2779" t="str">
        <f t="shared" si="433"/>
        <v/>
      </c>
      <c r="S2779" t="str">
        <f t="shared" si="434"/>
        <v/>
      </c>
      <c r="T2779" t="str">
        <f t="shared" si="435"/>
        <v/>
      </c>
      <c r="U2779" t="str">
        <f t="shared" si="436"/>
        <v/>
      </c>
      <c r="V2779" t="str">
        <f t="shared" si="437"/>
        <v/>
      </c>
      <c r="W2779" t="str">
        <f t="shared" si="438"/>
        <v/>
      </c>
      <c r="X2779">
        <f>IF($T2779="",N($X2778),IF(MATCH($T2779,$T$6:$T$10005,0)=ROW()-5,N($X2778)+1,N($X2778)))</f>
        <v>0</v>
      </c>
      <c r="Z2779" t="str">
        <f t="shared" si="439"/>
        <v/>
      </c>
      <c r="AA2779">
        <f>IF($V2779="",N($AA2778),IF(MATCH($V2779,$V$6:$V$10005,0)=ROW()-5,N($AA2778)+1,N($AA2778)))</f>
        <v>0</v>
      </c>
    </row>
    <row r="2780" spans="1:27" ht="21" customHeight="1" x14ac:dyDescent="0.95">
      <c r="A2780" s="56"/>
      <c r="B2780" s="57"/>
      <c r="C2780" s="57"/>
      <c r="D2780" s="57"/>
      <c r="E2780" s="56"/>
      <c r="F2780" s="57"/>
      <c r="G2780" s="57"/>
      <c r="H2780" s="56"/>
      <c r="I2780" s="56"/>
      <c r="J2780" s="58"/>
      <c r="K2780" s="58"/>
      <c r="L2780" s="13" t="str">
        <f t="shared" si="430"/>
        <v/>
      </c>
      <c r="M2780" s="13" t="str">
        <f t="shared" si="431"/>
        <v/>
      </c>
      <c r="Q2780" t="str">
        <f t="shared" si="432"/>
        <v/>
      </c>
      <c r="R2780" t="str">
        <f t="shared" si="433"/>
        <v/>
      </c>
      <c r="S2780" t="str">
        <f t="shared" si="434"/>
        <v/>
      </c>
      <c r="T2780" t="str">
        <f t="shared" si="435"/>
        <v/>
      </c>
      <c r="U2780" t="str">
        <f t="shared" si="436"/>
        <v/>
      </c>
      <c r="V2780" t="str">
        <f t="shared" si="437"/>
        <v/>
      </c>
      <c r="W2780" t="str">
        <f t="shared" si="438"/>
        <v/>
      </c>
      <c r="X2780">
        <f>IF($T2780="",N($X2779),IF(MATCH($T2780,$T$6:$T$10005,0)=ROW()-5,N($X2779)+1,N($X2779)))</f>
        <v>0</v>
      </c>
      <c r="Z2780" t="str">
        <f t="shared" si="439"/>
        <v/>
      </c>
      <c r="AA2780">
        <f>IF($V2780="",N($AA2779),IF(MATCH($V2780,$V$6:$V$10005,0)=ROW()-5,N($AA2779)+1,N($AA2779)))</f>
        <v>0</v>
      </c>
    </row>
    <row r="2781" spans="1:27" ht="21" customHeight="1" x14ac:dyDescent="0.95">
      <c r="A2781" s="56"/>
      <c r="B2781" s="57"/>
      <c r="C2781" s="57"/>
      <c r="D2781" s="57"/>
      <c r="E2781" s="56"/>
      <c r="F2781" s="57"/>
      <c r="G2781" s="57"/>
      <c r="H2781" s="56"/>
      <c r="I2781" s="56"/>
      <c r="J2781" s="58"/>
      <c r="K2781" s="58"/>
      <c r="L2781" s="13" t="str">
        <f t="shared" si="430"/>
        <v/>
      </c>
      <c r="M2781" s="13" t="str">
        <f t="shared" si="431"/>
        <v/>
      </c>
      <c r="Q2781" t="str">
        <f t="shared" si="432"/>
        <v/>
      </c>
      <c r="R2781" t="str">
        <f t="shared" si="433"/>
        <v/>
      </c>
      <c r="S2781" t="str">
        <f t="shared" si="434"/>
        <v/>
      </c>
      <c r="T2781" t="str">
        <f t="shared" si="435"/>
        <v/>
      </c>
      <c r="U2781" t="str">
        <f t="shared" si="436"/>
        <v/>
      </c>
      <c r="V2781" t="str">
        <f t="shared" si="437"/>
        <v/>
      </c>
      <c r="W2781" t="str">
        <f t="shared" si="438"/>
        <v/>
      </c>
      <c r="X2781">
        <f>IF($T2781="",N($X2780),IF(MATCH($T2781,$T$6:$T$10005,0)=ROW()-5,N($X2780)+1,N($X2780)))</f>
        <v>0</v>
      </c>
      <c r="Z2781" t="str">
        <f t="shared" si="439"/>
        <v/>
      </c>
      <c r="AA2781">
        <f>IF($V2781="",N($AA2780),IF(MATCH($V2781,$V$6:$V$10005,0)=ROW()-5,N($AA2780)+1,N($AA2780)))</f>
        <v>0</v>
      </c>
    </row>
    <row r="2782" spans="1:27" ht="21" customHeight="1" x14ac:dyDescent="0.95">
      <c r="A2782" s="56"/>
      <c r="B2782" s="57"/>
      <c r="C2782" s="57"/>
      <c r="D2782" s="57"/>
      <c r="E2782" s="56"/>
      <c r="F2782" s="57"/>
      <c r="G2782" s="57"/>
      <c r="H2782" s="56"/>
      <c r="I2782" s="56"/>
      <c r="J2782" s="58"/>
      <c r="K2782" s="58"/>
      <c r="L2782" s="13" t="str">
        <f t="shared" si="430"/>
        <v/>
      </c>
      <c r="M2782" s="13" t="str">
        <f t="shared" si="431"/>
        <v/>
      </c>
      <c r="Q2782" t="str">
        <f t="shared" si="432"/>
        <v/>
      </c>
      <c r="R2782" t="str">
        <f t="shared" si="433"/>
        <v/>
      </c>
      <c r="S2782" t="str">
        <f t="shared" si="434"/>
        <v/>
      </c>
      <c r="T2782" t="str">
        <f t="shared" si="435"/>
        <v/>
      </c>
      <c r="U2782" t="str">
        <f t="shared" si="436"/>
        <v/>
      </c>
      <c r="V2782" t="str">
        <f t="shared" si="437"/>
        <v/>
      </c>
      <c r="W2782" t="str">
        <f t="shared" si="438"/>
        <v/>
      </c>
      <c r="X2782">
        <f>IF($T2782="",N($X2781),IF(MATCH($T2782,$T$6:$T$10005,0)=ROW()-5,N($X2781)+1,N($X2781)))</f>
        <v>0</v>
      </c>
      <c r="Z2782" t="str">
        <f t="shared" si="439"/>
        <v/>
      </c>
      <c r="AA2782">
        <f>IF($V2782="",N($AA2781),IF(MATCH($V2782,$V$6:$V$10005,0)=ROW()-5,N($AA2781)+1,N($AA2781)))</f>
        <v>0</v>
      </c>
    </row>
    <row r="2783" spans="1:27" ht="21" customHeight="1" x14ac:dyDescent="0.95">
      <c r="A2783" s="56"/>
      <c r="B2783" s="57"/>
      <c r="C2783" s="57"/>
      <c r="D2783" s="57"/>
      <c r="E2783" s="56"/>
      <c r="F2783" s="57"/>
      <c r="G2783" s="57"/>
      <c r="H2783" s="56"/>
      <c r="I2783" s="56"/>
      <c r="J2783" s="58"/>
      <c r="K2783" s="58"/>
      <c r="L2783" s="13" t="str">
        <f t="shared" si="430"/>
        <v/>
      </c>
      <c r="M2783" s="13" t="str">
        <f t="shared" si="431"/>
        <v/>
      </c>
      <c r="Q2783" t="str">
        <f t="shared" si="432"/>
        <v/>
      </c>
      <c r="R2783" t="str">
        <f t="shared" si="433"/>
        <v/>
      </c>
      <c r="S2783" t="str">
        <f t="shared" si="434"/>
        <v/>
      </c>
      <c r="T2783" t="str">
        <f t="shared" si="435"/>
        <v/>
      </c>
      <c r="U2783" t="str">
        <f t="shared" si="436"/>
        <v/>
      </c>
      <c r="V2783" t="str">
        <f t="shared" si="437"/>
        <v/>
      </c>
      <c r="W2783" t="str">
        <f t="shared" si="438"/>
        <v/>
      </c>
      <c r="X2783">
        <f>IF($T2783="",N($X2782),IF(MATCH($T2783,$T$6:$T$10005,0)=ROW()-5,N($X2782)+1,N($X2782)))</f>
        <v>0</v>
      </c>
      <c r="Z2783" t="str">
        <f t="shared" si="439"/>
        <v/>
      </c>
      <c r="AA2783">
        <f>IF($V2783="",N($AA2782),IF(MATCH($V2783,$V$6:$V$10005,0)=ROW()-5,N($AA2782)+1,N($AA2782)))</f>
        <v>0</v>
      </c>
    </row>
    <row r="2784" spans="1:27" ht="21" customHeight="1" x14ac:dyDescent="0.95">
      <c r="A2784" s="56"/>
      <c r="B2784" s="57"/>
      <c r="C2784" s="57"/>
      <c r="D2784" s="57"/>
      <c r="E2784" s="56"/>
      <c r="F2784" s="57"/>
      <c r="G2784" s="57"/>
      <c r="H2784" s="56"/>
      <c r="I2784" s="56"/>
      <c r="J2784" s="58"/>
      <c r="K2784" s="58"/>
      <c r="L2784" s="13" t="str">
        <f t="shared" si="430"/>
        <v/>
      </c>
      <c r="M2784" s="13" t="str">
        <f t="shared" si="431"/>
        <v/>
      </c>
      <c r="Q2784" t="str">
        <f t="shared" si="432"/>
        <v/>
      </c>
      <c r="R2784" t="str">
        <f t="shared" si="433"/>
        <v/>
      </c>
      <c r="S2784" t="str">
        <f t="shared" si="434"/>
        <v/>
      </c>
      <c r="T2784" t="str">
        <f t="shared" si="435"/>
        <v/>
      </c>
      <c r="U2784" t="str">
        <f t="shared" si="436"/>
        <v/>
      </c>
      <c r="V2784" t="str">
        <f t="shared" si="437"/>
        <v/>
      </c>
      <c r="W2784" t="str">
        <f t="shared" si="438"/>
        <v/>
      </c>
      <c r="X2784">
        <f>IF($T2784="",N($X2783),IF(MATCH($T2784,$T$6:$T$10005,0)=ROW()-5,N($X2783)+1,N($X2783)))</f>
        <v>0</v>
      </c>
      <c r="Z2784" t="str">
        <f t="shared" si="439"/>
        <v/>
      </c>
      <c r="AA2784">
        <f>IF($V2784="",N($AA2783),IF(MATCH($V2784,$V$6:$V$10005,0)=ROW()-5,N($AA2783)+1,N($AA2783)))</f>
        <v>0</v>
      </c>
    </row>
    <row r="2785" spans="1:27" ht="21" customHeight="1" x14ac:dyDescent="0.95">
      <c r="A2785" s="56"/>
      <c r="B2785" s="57"/>
      <c r="C2785" s="57"/>
      <c r="D2785" s="57"/>
      <c r="E2785" s="56"/>
      <c r="F2785" s="57"/>
      <c r="G2785" s="57"/>
      <c r="H2785" s="56"/>
      <c r="I2785" s="56"/>
      <c r="J2785" s="58"/>
      <c r="K2785" s="58"/>
      <c r="L2785" s="13" t="str">
        <f t="shared" si="430"/>
        <v/>
      </c>
      <c r="M2785" s="13" t="str">
        <f t="shared" si="431"/>
        <v/>
      </c>
      <c r="Q2785" t="str">
        <f t="shared" si="432"/>
        <v/>
      </c>
      <c r="R2785" t="str">
        <f t="shared" si="433"/>
        <v/>
      </c>
      <c r="S2785" t="str">
        <f t="shared" si="434"/>
        <v/>
      </c>
      <c r="T2785" t="str">
        <f t="shared" si="435"/>
        <v/>
      </c>
      <c r="U2785" t="str">
        <f t="shared" si="436"/>
        <v/>
      </c>
      <c r="V2785" t="str">
        <f t="shared" si="437"/>
        <v/>
      </c>
      <c r="W2785" t="str">
        <f t="shared" si="438"/>
        <v/>
      </c>
      <c r="X2785">
        <f>IF($T2785="",N($X2784),IF(MATCH($T2785,$T$6:$T$10005,0)=ROW()-5,N($X2784)+1,N($X2784)))</f>
        <v>0</v>
      </c>
      <c r="Z2785" t="str">
        <f t="shared" si="439"/>
        <v/>
      </c>
      <c r="AA2785">
        <f>IF($V2785="",N($AA2784),IF(MATCH($V2785,$V$6:$V$10005,0)=ROW()-5,N($AA2784)+1,N($AA2784)))</f>
        <v>0</v>
      </c>
    </row>
    <row r="2786" spans="1:27" ht="21" customHeight="1" x14ac:dyDescent="0.95">
      <c r="A2786" s="56"/>
      <c r="B2786" s="57"/>
      <c r="C2786" s="57"/>
      <c r="D2786" s="57"/>
      <c r="E2786" s="56"/>
      <c r="F2786" s="57"/>
      <c r="G2786" s="57"/>
      <c r="H2786" s="56"/>
      <c r="I2786" s="56"/>
      <c r="J2786" s="58"/>
      <c r="K2786" s="58"/>
      <c r="L2786" s="13" t="str">
        <f t="shared" si="430"/>
        <v/>
      </c>
      <c r="M2786" s="13" t="str">
        <f t="shared" si="431"/>
        <v/>
      </c>
      <c r="Q2786" t="str">
        <f t="shared" si="432"/>
        <v/>
      </c>
      <c r="R2786" t="str">
        <f t="shared" si="433"/>
        <v/>
      </c>
      <c r="S2786" t="str">
        <f t="shared" si="434"/>
        <v/>
      </c>
      <c r="T2786" t="str">
        <f t="shared" si="435"/>
        <v/>
      </c>
      <c r="U2786" t="str">
        <f t="shared" si="436"/>
        <v/>
      </c>
      <c r="V2786" t="str">
        <f t="shared" si="437"/>
        <v/>
      </c>
      <c r="W2786" t="str">
        <f t="shared" si="438"/>
        <v/>
      </c>
      <c r="X2786">
        <f>IF($T2786="",N($X2785),IF(MATCH($T2786,$T$6:$T$10005,0)=ROW()-5,N($X2785)+1,N($X2785)))</f>
        <v>0</v>
      </c>
      <c r="Z2786" t="str">
        <f t="shared" si="439"/>
        <v/>
      </c>
      <c r="AA2786">
        <f>IF($V2786="",N($AA2785),IF(MATCH($V2786,$V$6:$V$10005,0)=ROW()-5,N($AA2785)+1,N($AA2785)))</f>
        <v>0</v>
      </c>
    </row>
    <row r="2787" spans="1:27" ht="21" customHeight="1" x14ac:dyDescent="0.95">
      <c r="A2787" s="56"/>
      <c r="B2787" s="57"/>
      <c r="C2787" s="57"/>
      <c r="D2787" s="57"/>
      <c r="E2787" s="56"/>
      <c r="F2787" s="57"/>
      <c r="G2787" s="57"/>
      <c r="H2787" s="56"/>
      <c r="I2787" s="56"/>
      <c r="J2787" s="58"/>
      <c r="K2787" s="58"/>
      <c r="L2787" s="13" t="str">
        <f t="shared" si="430"/>
        <v/>
      </c>
      <c r="M2787" s="13" t="str">
        <f t="shared" si="431"/>
        <v/>
      </c>
      <c r="Q2787" t="str">
        <f t="shared" si="432"/>
        <v/>
      </c>
      <c r="R2787" t="str">
        <f t="shared" si="433"/>
        <v/>
      </c>
      <c r="S2787" t="str">
        <f t="shared" si="434"/>
        <v/>
      </c>
      <c r="T2787" t="str">
        <f t="shared" si="435"/>
        <v/>
      </c>
      <c r="U2787" t="str">
        <f t="shared" si="436"/>
        <v/>
      </c>
      <c r="V2787" t="str">
        <f t="shared" si="437"/>
        <v/>
      </c>
      <c r="W2787" t="str">
        <f t="shared" si="438"/>
        <v/>
      </c>
      <c r="X2787">
        <f>IF($T2787="",N($X2786),IF(MATCH($T2787,$T$6:$T$10005,0)=ROW()-5,N($X2786)+1,N($X2786)))</f>
        <v>0</v>
      </c>
      <c r="Z2787" t="str">
        <f t="shared" si="439"/>
        <v/>
      </c>
      <c r="AA2787">
        <f>IF($V2787="",N($AA2786),IF(MATCH($V2787,$V$6:$V$10005,0)=ROW()-5,N($AA2786)+1,N($AA2786)))</f>
        <v>0</v>
      </c>
    </row>
    <row r="2788" spans="1:27" ht="21" customHeight="1" x14ac:dyDescent="0.95">
      <c r="A2788" s="56"/>
      <c r="B2788" s="57"/>
      <c r="C2788" s="57"/>
      <c r="D2788" s="57"/>
      <c r="E2788" s="56"/>
      <c r="F2788" s="57"/>
      <c r="G2788" s="57"/>
      <c r="H2788" s="56"/>
      <c r="I2788" s="56"/>
      <c r="J2788" s="58"/>
      <c r="K2788" s="58"/>
      <c r="L2788" s="13" t="str">
        <f t="shared" si="430"/>
        <v/>
      </c>
      <c r="M2788" s="13" t="str">
        <f t="shared" si="431"/>
        <v/>
      </c>
      <c r="Q2788" t="str">
        <f t="shared" si="432"/>
        <v/>
      </c>
      <c r="R2788" t="str">
        <f t="shared" si="433"/>
        <v/>
      </c>
      <c r="S2788" t="str">
        <f t="shared" si="434"/>
        <v/>
      </c>
      <c r="T2788" t="str">
        <f t="shared" si="435"/>
        <v/>
      </c>
      <c r="U2788" t="str">
        <f t="shared" si="436"/>
        <v/>
      </c>
      <c r="V2788" t="str">
        <f t="shared" si="437"/>
        <v/>
      </c>
      <c r="W2788" t="str">
        <f t="shared" si="438"/>
        <v/>
      </c>
      <c r="X2788">
        <f>IF($T2788="",N($X2787),IF(MATCH($T2788,$T$6:$T$10005,0)=ROW()-5,N($X2787)+1,N($X2787)))</f>
        <v>0</v>
      </c>
      <c r="Z2788" t="str">
        <f t="shared" si="439"/>
        <v/>
      </c>
      <c r="AA2788">
        <f>IF($V2788="",N($AA2787),IF(MATCH($V2788,$V$6:$V$10005,0)=ROW()-5,N($AA2787)+1,N($AA2787)))</f>
        <v>0</v>
      </c>
    </row>
    <row r="2789" spans="1:27" ht="21" customHeight="1" x14ac:dyDescent="0.95">
      <c r="A2789" s="56"/>
      <c r="B2789" s="57"/>
      <c r="C2789" s="57"/>
      <c r="D2789" s="57"/>
      <c r="E2789" s="56"/>
      <c r="F2789" s="57"/>
      <c r="G2789" s="57"/>
      <c r="H2789" s="56"/>
      <c r="I2789" s="56"/>
      <c r="J2789" s="58"/>
      <c r="K2789" s="58"/>
      <c r="L2789" s="13" t="str">
        <f t="shared" si="430"/>
        <v/>
      </c>
      <c r="M2789" s="13" t="str">
        <f t="shared" si="431"/>
        <v/>
      </c>
      <c r="Q2789" t="str">
        <f t="shared" si="432"/>
        <v/>
      </c>
      <c r="R2789" t="str">
        <f t="shared" si="433"/>
        <v/>
      </c>
      <c r="S2789" t="str">
        <f t="shared" si="434"/>
        <v/>
      </c>
      <c r="T2789" t="str">
        <f t="shared" si="435"/>
        <v/>
      </c>
      <c r="U2789" t="str">
        <f t="shared" si="436"/>
        <v/>
      </c>
      <c r="V2789" t="str">
        <f t="shared" si="437"/>
        <v/>
      </c>
      <c r="W2789" t="str">
        <f t="shared" si="438"/>
        <v/>
      </c>
      <c r="X2789">
        <f>IF($T2789="",N($X2788),IF(MATCH($T2789,$T$6:$T$10005,0)=ROW()-5,N($X2788)+1,N($X2788)))</f>
        <v>0</v>
      </c>
      <c r="Z2789" t="str">
        <f t="shared" si="439"/>
        <v/>
      </c>
      <c r="AA2789">
        <f>IF($V2789="",N($AA2788),IF(MATCH($V2789,$V$6:$V$10005,0)=ROW()-5,N($AA2788)+1,N($AA2788)))</f>
        <v>0</v>
      </c>
    </row>
    <row r="2790" spans="1:27" ht="21" customHeight="1" x14ac:dyDescent="0.95">
      <c r="A2790" s="56"/>
      <c r="B2790" s="57"/>
      <c r="C2790" s="57"/>
      <c r="D2790" s="57"/>
      <c r="E2790" s="56"/>
      <c r="F2790" s="57"/>
      <c r="G2790" s="57"/>
      <c r="H2790" s="56"/>
      <c r="I2790" s="56"/>
      <c r="J2790" s="58"/>
      <c r="K2790" s="58"/>
      <c r="L2790" s="13" t="str">
        <f t="shared" si="430"/>
        <v/>
      </c>
      <c r="M2790" s="13" t="str">
        <f t="shared" si="431"/>
        <v/>
      </c>
      <c r="Q2790" t="str">
        <f t="shared" si="432"/>
        <v/>
      </c>
      <c r="R2790" t="str">
        <f t="shared" si="433"/>
        <v/>
      </c>
      <c r="S2790" t="str">
        <f t="shared" si="434"/>
        <v/>
      </c>
      <c r="T2790" t="str">
        <f t="shared" si="435"/>
        <v/>
      </c>
      <c r="U2790" t="str">
        <f t="shared" si="436"/>
        <v/>
      </c>
      <c r="V2790" t="str">
        <f t="shared" si="437"/>
        <v/>
      </c>
      <c r="W2790" t="str">
        <f t="shared" si="438"/>
        <v/>
      </c>
      <c r="X2790">
        <f>IF($T2790="",N($X2789),IF(MATCH($T2790,$T$6:$T$10005,0)=ROW()-5,N($X2789)+1,N($X2789)))</f>
        <v>0</v>
      </c>
      <c r="Z2790" t="str">
        <f t="shared" si="439"/>
        <v/>
      </c>
      <c r="AA2790">
        <f>IF($V2790="",N($AA2789),IF(MATCH($V2790,$V$6:$V$10005,0)=ROW()-5,N($AA2789)+1,N($AA2789)))</f>
        <v>0</v>
      </c>
    </row>
    <row r="2791" spans="1:27" ht="21" customHeight="1" x14ac:dyDescent="0.95">
      <c r="A2791" s="56"/>
      <c r="B2791" s="57"/>
      <c r="C2791" s="57"/>
      <c r="D2791" s="57"/>
      <c r="E2791" s="56"/>
      <c r="F2791" s="57"/>
      <c r="G2791" s="57"/>
      <c r="H2791" s="56"/>
      <c r="I2791" s="56"/>
      <c r="J2791" s="58"/>
      <c r="K2791" s="58"/>
      <c r="L2791" s="13" t="str">
        <f t="shared" si="430"/>
        <v/>
      </c>
      <c r="M2791" s="13" t="str">
        <f t="shared" si="431"/>
        <v/>
      </c>
      <c r="Q2791" t="str">
        <f t="shared" si="432"/>
        <v/>
      </c>
      <c r="R2791" t="str">
        <f t="shared" si="433"/>
        <v/>
      </c>
      <c r="S2791" t="str">
        <f t="shared" si="434"/>
        <v/>
      </c>
      <c r="T2791" t="str">
        <f t="shared" si="435"/>
        <v/>
      </c>
      <c r="U2791" t="str">
        <f t="shared" si="436"/>
        <v/>
      </c>
      <c r="V2791" t="str">
        <f t="shared" si="437"/>
        <v/>
      </c>
      <c r="W2791" t="str">
        <f t="shared" si="438"/>
        <v/>
      </c>
      <c r="X2791">
        <f>IF($T2791="",N($X2790),IF(MATCH($T2791,$T$6:$T$10005,0)=ROW()-5,N($X2790)+1,N($X2790)))</f>
        <v>0</v>
      </c>
      <c r="Z2791" t="str">
        <f t="shared" si="439"/>
        <v/>
      </c>
      <c r="AA2791">
        <f>IF($V2791="",N($AA2790),IF(MATCH($V2791,$V$6:$V$10005,0)=ROW()-5,N($AA2790)+1,N($AA2790)))</f>
        <v>0</v>
      </c>
    </row>
    <row r="2792" spans="1:27" ht="21" customHeight="1" x14ac:dyDescent="0.95">
      <c r="A2792" s="56"/>
      <c r="B2792" s="57"/>
      <c r="C2792" s="57"/>
      <c r="D2792" s="57"/>
      <c r="E2792" s="56"/>
      <c r="F2792" s="57"/>
      <c r="G2792" s="57"/>
      <c r="H2792" s="56"/>
      <c r="I2792" s="56"/>
      <c r="J2792" s="58"/>
      <c r="K2792" s="58"/>
      <c r="L2792" s="13" t="str">
        <f t="shared" si="430"/>
        <v/>
      </c>
      <c r="M2792" s="13" t="str">
        <f t="shared" si="431"/>
        <v/>
      </c>
      <c r="Q2792" t="str">
        <f t="shared" si="432"/>
        <v/>
      </c>
      <c r="R2792" t="str">
        <f t="shared" si="433"/>
        <v/>
      </c>
      <c r="S2792" t="str">
        <f t="shared" si="434"/>
        <v/>
      </c>
      <c r="T2792" t="str">
        <f t="shared" si="435"/>
        <v/>
      </c>
      <c r="U2792" t="str">
        <f t="shared" si="436"/>
        <v/>
      </c>
      <c r="V2792" t="str">
        <f t="shared" si="437"/>
        <v/>
      </c>
      <c r="W2792" t="str">
        <f t="shared" si="438"/>
        <v/>
      </c>
      <c r="X2792">
        <f>IF($T2792="",N($X2791),IF(MATCH($T2792,$T$6:$T$10005,0)=ROW()-5,N($X2791)+1,N($X2791)))</f>
        <v>0</v>
      </c>
      <c r="Z2792" t="str">
        <f t="shared" si="439"/>
        <v/>
      </c>
      <c r="AA2792">
        <f>IF($V2792="",N($AA2791),IF(MATCH($V2792,$V$6:$V$10005,0)=ROW()-5,N($AA2791)+1,N($AA2791)))</f>
        <v>0</v>
      </c>
    </row>
    <row r="2793" spans="1:27" ht="21" customHeight="1" x14ac:dyDescent="0.95">
      <c r="A2793" s="56"/>
      <c r="B2793" s="57"/>
      <c r="C2793" s="57"/>
      <c r="D2793" s="57"/>
      <c r="E2793" s="56"/>
      <c r="F2793" s="57"/>
      <c r="G2793" s="57"/>
      <c r="H2793" s="56"/>
      <c r="I2793" s="56"/>
      <c r="J2793" s="58"/>
      <c r="K2793" s="58"/>
      <c r="L2793" s="13" t="str">
        <f t="shared" si="430"/>
        <v/>
      </c>
      <c r="M2793" s="13" t="str">
        <f t="shared" si="431"/>
        <v/>
      </c>
      <c r="Q2793" t="str">
        <f t="shared" si="432"/>
        <v/>
      </c>
      <c r="R2793" t="str">
        <f t="shared" si="433"/>
        <v/>
      </c>
      <c r="S2793" t="str">
        <f t="shared" si="434"/>
        <v/>
      </c>
      <c r="T2793" t="str">
        <f t="shared" si="435"/>
        <v/>
      </c>
      <c r="U2793" t="str">
        <f t="shared" si="436"/>
        <v/>
      </c>
      <c r="V2793" t="str">
        <f t="shared" si="437"/>
        <v/>
      </c>
      <c r="W2793" t="str">
        <f t="shared" si="438"/>
        <v/>
      </c>
      <c r="X2793">
        <f>IF($T2793="",N($X2792),IF(MATCH($T2793,$T$6:$T$10005,0)=ROW()-5,N($X2792)+1,N($X2792)))</f>
        <v>0</v>
      </c>
      <c r="Z2793" t="str">
        <f t="shared" si="439"/>
        <v/>
      </c>
      <c r="AA2793">
        <f>IF($V2793="",N($AA2792),IF(MATCH($V2793,$V$6:$V$10005,0)=ROW()-5,N($AA2792)+1,N($AA2792)))</f>
        <v>0</v>
      </c>
    </row>
    <row r="2794" spans="1:27" ht="21" customHeight="1" x14ac:dyDescent="0.95">
      <c r="A2794" s="56"/>
      <c r="B2794" s="57"/>
      <c r="C2794" s="57"/>
      <c r="D2794" s="57"/>
      <c r="E2794" s="56"/>
      <c r="F2794" s="57"/>
      <c r="G2794" s="57"/>
      <c r="H2794" s="56"/>
      <c r="I2794" s="56"/>
      <c r="J2794" s="58"/>
      <c r="K2794" s="58"/>
      <c r="L2794" s="13" t="str">
        <f t="shared" si="430"/>
        <v/>
      </c>
      <c r="M2794" s="13" t="str">
        <f t="shared" si="431"/>
        <v/>
      </c>
      <c r="Q2794" t="str">
        <f t="shared" si="432"/>
        <v/>
      </c>
      <c r="R2794" t="str">
        <f t="shared" si="433"/>
        <v/>
      </c>
      <c r="S2794" t="str">
        <f t="shared" si="434"/>
        <v/>
      </c>
      <c r="T2794" t="str">
        <f t="shared" si="435"/>
        <v/>
      </c>
      <c r="U2794" t="str">
        <f t="shared" si="436"/>
        <v/>
      </c>
      <c r="V2794" t="str">
        <f t="shared" si="437"/>
        <v/>
      </c>
      <c r="W2794" t="str">
        <f t="shared" si="438"/>
        <v/>
      </c>
      <c r="X2794">
        <f>IF($T2794="",N($X2793),IF(MATCH($T2794,$T$6:$T$10005,0)=ROW()-5,N($X2793)+1,N($X2793)))</f>
        <v>0</v>
      </c>
      <c r="Z2794" t="str">
        <f t="shared" si="439"/>
        <v/>
      </c>
      <c r="AA2794">
        <f>IF($V2794="",N($AA2793),IF(MATCH($V2794,$V$6:$V$10005,0)=ROW()-5,N($AA2793)+1,N($AA2793)))</f>
        <v>0</v>
      </c>
    </row>
    <row r="2795" spans="1:27" ht="21" customHeight="1" x14ac:dyDescent="0.95">
      <c r="A2795" s="56"/>
      <c r="B2795" s="57"/>
      <c r="C2795" s="57"/>
      <c r="D2795" s="57"/>
      <c r="E2795" s="56"/>
      <c r="F2795" s="57"/>
      <c r="G2795" s="57"/>
      <c r="H2795" s="56"/>
      <c r="I2795" s="56"/>
      <c r="J2795" s="58"/>
      <c r="K2795" s="58"/>
      <c r="L2795" s="13" t="str">
        <f t="shared" si="430"/>
        <v/>
      </c>
      <c r="M2795" s="13" t="str">
        <f t="shared" si="431"/>
        <v/>
      </c>
      <c r="Q2795" t="str">
        <f t="shared" si="432"/>
        <v/>
      </c>
      <c r="R2795" t="str">
        <f t="shared" si="433"/>
        <v/>
      </c>
      <c r="S2795" t="str">
        <f t="shared" si="434"/>
        <v/>
      </c>
      <c r="T2795" t="str">
        <f t="shared" si="435"/>
        <v/>
      </c>
      <c r="U2795" t="str">
        <f t="shared" si="436"/>
        <v/>
      </c>
      <c r="V2795" t="str">
        <f t="shared" si="437"/>
        <v/>
      </c>
      <c r="W2795" t="str">
        <f t="shared" si="438"/>
        <v/>
      </c>
      <c r="X2795">
        <f>IF($T2795="",N($X2794),IF(MATCH($T2795,$T$6:$T$10005,0)=ROW()-5,N($X2794)+1,N($X2794)))</f>
        <v>0</v>
      </c>
      <c r="Z2795" t="str">
        <f t="shared" si="439"/>
        <v/>
      </c>
      <c r="AA2795">
        <f>IF($V2795="",N($AA2794),IF(MATCH($V2795,$V$6:$V$10005,0)=ROW()-5,N($AA2794)+1,N($AA2794)))</f>
        <v>0</v>
      </c>
    </row>
    <row r="2796" spans="1:27" ht="21" customHeight="1" x14ac:dyDescent="0.95">
      <c r="A2796" s="56"/>
      <c r="B2796" s="57"/>
      <c r="C2796" s="57"/>
      <c r="D2796" s="57"/>
      <c r="E2796" s="56"/>
      <c r="F2796" s="57"/>
      <c r="G2796" s="57"/>
      <c r="H2796" s="56"/>
      <c r="I2796" s="56"/>
      <c r="J2796" s="58"/>
      <c r="K2796" s="58"/>
      <c r="L2796" s="13" t="str">
        <f t="shared" si="430"/>
        <v/>
      </c>
      <c r="M2796" s="13" t="str">
        <f t="shared" si="431"/>
        <v/>
      </c>
      <c r="Q2796" t="str">
        <f t="shared" si="432"/>
        <v/>
      </c>
      <c r="R2796" t="str">
        <f t="shared" si="433"/>
        <v/>
      </c>
      <c r="S2796" t="str">
        <f t="shared" si="434"/>
        <v/>
      </c>
      <c r="T2796" t="str">
        <f t="shared" si="435"/>
        <v/>
      </c>
      <c r="U2796" t="str">
        <f t="shared" si="436"/>
        <v/>
      </c>
      <c r="V2796" t="str">
        <f t="shared" si="437"/>
        <v/>
      </c>
      <c r="W2796" t="str">
        <f t="shared" si="438"/>
        <v/>
      </c>
      <c r="X2796">
        <f>IF($T2796="",N($X2795),IF(MATCH($T2796,$T$6:$T$10005,0)=ROW()-5,N($X2795)+1,N($X2795)))</f>
        <v>0</v>
      </c>
      <c r="Z2796" t="str">
        <f t="shared" si="439"/>
        <v/>
      </c>
      <c r="AA2796">
        <f>IF($V2796="",N($AA2795),IF(MATCH($V2796,$V$6:$V$10005,0)=ROW()-5,N($AA2795)+1,N($AA2795)))</f>
        <v>0</v>
      </c>
    </row>
    <row r="2797" spans="1:27" ht="21" customHeight="1" x14ac:dyDescent="0.95">
      <c r="A2797" s="56"/>
      <c r="B2797" s="57"/>
      <c r="C2797" s="57"/>
      <c r="D2797" s="57"/>
      <c r="E2797" s="56"/>
      <c r="F2797" s="57"/>
      <c r="G2797" s="57"/>
      <c r="H2797" s="56"/>
      <c r="I2797" s="56"/>
      <c r="J2797" s="58"/>
      <c r="K2797" s="58"/>
      <c r="L2797" s="13" t="str">
        <f t="shared" si="430"/>
        <v/>
      </c>
      <c r="M2797" s="13" t="str">
        <f t="shared" si="431"/>
        <v/>
      </c>
      <c r="Q2797" t="str">
        <f t="shared" si="432"/>
        <v/>
      </c>
      <c r="R2797" t="str">
        <f t="shared" si="433"/>
        <v/>
      </c>
      <c r="S2797" t="str">
        <f t="shared" si="434"/>
        <v/>
      </c>
      <c r="T2797" t="str">
        <f t="shared" si="435"/>
        <v/>
      </c>
      <c r="U2797" t="str">
        <f t="shared" si="436"/>
        <v/>
      </c>
      <c r="V2797" t="str">
        <f t="shared" si="437"/>
        <v/>
      </c>
      <c r="W2797" t="str">
        <f t="shared" si="438"/>
        <v/>
      </c>
      <c r="X2797">
        <f>IF($T2797="",N($X2796),IF(MATCH($T2797,$T$6:$T$10005,0)=ROW()-5,N($X2796)+1,N($X2796)))</f>
        <v>0</v>
      </c>
      <c r="Z2797" t="str">
        <f t="shared" si="439"/>
        <v/>
      </c>
      <c r="AA2797">
        <f>IF($V2797="",N($AA2796),IF(MATCH($V2797,$V$6:$V$10005,0)=ROW()-5,N($AA2796)+1,N($AA2796)))</f>
        <v>0</v>
      </c>
    </row>
    <row r="2798" spans="1:27" ht="21" customHeight="1" x14ac:dyDescent="0.95">
      <c r="A2798" s="56"/>
      <c r="B2798" s="57"/>
      <c r="C2798" s="57"/>
      <c r="D2798" s="57"/>
      <c r="E2798" s="56"/>
      <c r="F2798" s="57"/>
      <c r="G2798" s="57"/>
      <c r="H2798" s="56"/>
      <c r="I2798" s="56"/>
      <c r="J2798" s="58"/>
      <c r="K2798" s="58"/>
      <c r="L2798" s="13" t="str">
        <f t="shared" si="430"/>
        <v/>
      </c>
      <c r="M2798" s="13" t="str">
        <f t="shared" si="431"/>
        <v/>
      </c>
      <c r="Q2798" t="str">
        <f t="shared" si="432"/>
        <v/>
      </c>
      <c r="R2798" t="str">
        <f t="shared" si="433"/>
        <v/>
      </c>
      <c r="S2798" t="str">
        <f t="shared" si="434"/>
        <v/>
      </c>
      <c r="T2798" t="str">
        <f t="shared" si="435"/>
        <v/>
      </c>
      <c r="U2798" t="str">
        <f t="shared" si="436"/>
        <v/>
      </c>
      <c r="V2798" t="str">
        <f t="shared" si="437"/>
        <v/>
      </c>
      <c r="W2798" t="str">
        <f t="shared" si="438"/>
        <v/>
      </c>
      <c r="X2798">
        <f>IF($T2798="",N($X2797),IF(MATCH($T2798,$T$6:$T$10005,0)=ROW()-5,N($X2797)+1,N($X2797)))</f>
        <v>0</v>
      </c>
      <c r="Z2798" t="str">
        <f t="shared" si="439"/>
        <v/>
      </c>
      <c r="AA2798">
        <f>IF($V2798="",N($AA2797),IF(MATCH($V2798,$V$6:$V$10005,0)=ROW()-5,N($AA2797)+1,N($AA2797)))</f>
        <v>0</v>
      </c>
    </row>
    <row r="2799" spans="1:27" ht="21" customHeight="1" x14ac:dyDescent="0.95">
      <c r="A2799" s="56"/>
      <c r="B2799" s="57"/>
      <c r="C2799" s="57"/>
      <c r="D2799" s="57"/>
      <c r="E2799" s="56"/>
      <c r="F2799" s="57"/>
      <c r="G2799" s="57"/>
      <c r="H2799" s="56"/>
      <c r="I2799" s="56"/>
      <c r="J2799" s="58"/>
      <c r="K2799" s="58"/>
      <c r="L2799" s="13" t="str">
        <f t="shared" si="430"/>
        <v/>
      </c>
      <c r="M2799" s="13" t="str">
        <f t="shared" si="431"/>
        <v/>
      </c>
      <c r="Q2799" t="str">
        <f t="shared" si="432"/>
        <v/>
      </c>
      <c r="R2799" t="str">
        <f t="shared" si="433"/>
        <v/>
      </c>
      <c r="S2799" t="str">
        <f t="shared" si="434"/>
        <v/>
      </c>
      <c r="T2799" t="str">
        <f t="shared" si="435"/>
        <v/>
      </c>
      <c r="U2799" t="str">
        <f t="shared" si="436"/>
        <v/>
      </c>
      <c r="V2799" t="str">
        <f t="shared" si="437"/>
        <v/>
      </c>
      <c r="W2799" t="str">
        <f t="shared" si="438"/>
        <v/>
      </c>
      <c r="X2799">
        <f>IF($T2799="",N($X2798),IF(MATCH($T2799,$T$6:$T$10005,0)=ROW()-5,N($X2798)+1,N($X2798)))</f>
        <v>0</v>
      </c>
      <c r="Z2799" t="str">
        <f t="shared" si="439"/>
        <v/>
      </c>
      <c r="AA2799">
        <f>IF($V2799="",N($AA2798),IF(MATCH($V2799,$V$6:$V$10005,0)=ROW()-5,N($AA2798)+1,N($AA2798)))</f>
        <v>0</v>
      </c>
    </row>
    <row r="2800" spans="1:27" ht="21" customHeight="1" x14ac:dyDescent="0.95">
      <c r="A2800" s="56"/>
      <c r="B2800" s="57"/>
      <c r="C2800" s="57"/>
      <c r="D2800" s="57"/>
      <c r="E2800" s="56"/>
      <c r="F2800" s="57"/>
      <c r="G2800" s="57"/>
      <c r="H2800" s="56"/>
      <c r="I2800" s="56"/>
      <c r="J2800" s="58"/>
      <c r="K2800" s="58"/>
      <c r="L2800" s="13" t="str">
        <f t="shared" si="430"/>
        <v/>
      </c>
      <c r="M2800" s="13" t="str">
        <f t="shared" si="431"/>
        <v/>
      </c>
      <c r="Q2800" t="str">
        <f t="shared" si="432"/>
        <v/>
      </c>
      <c r="R2800" t="str">
        <f t="shared" si="433"/>
        <v/>
      </c>
      <c r="S2800" t="str">
        <f t="shared" si="434"/>
        <v/>
      </c>
      <c r="T2800" t="str">
        <f t="shared" si="435"/>
        <v/>
      </c>
      <c r="U2800" t="str">
        <f t="shared" si="436"/>
        <v/>
      </c>
      <c r="V2800" t="str">
        <f t="shared" si="437"/>
        <v/>
      </c>
      <c r="W2800" t="str">
        <f t="shared" si="438"/>
        <v/>
      </c>
      <c r="X2800">
        <f>IF($T2800="",N($X2799),IF(MATCH($T2800,$T$6:$T$10005,0)=ROW()-5,N($X2799)+1,N($X2799)))</f>
        <v>0</v>
      </c>
      <c r="Z2800" t="str">
        <f t="shared" si="439"/>
        <v/>
      </c>
      <c r="AA2800">
        <f>IF($V2800="",N($AA2799),IF(MATCH($V2800,$V$6:$V$10005,0)=ROW()-5,N($AA2799)+1,N($AA2799)))</f>
        <v>0</v>
      </c>
    </row>
    <row r="2801" spans="1:27" ht="21" customHeight="1" x14ac:dyDescent="0.95">
      <c r="A2801" s="56"/>
      <c r="B2801" s="57"/>
      <c r="C2801" s="57"/>
      <c r="D2801" s="57"/>
      <c r="E2801" s="56"/>
      <c r="F2801" s="57"/>
      <c r="G2801" s="57"/>
      <c r="H2801" s="56"/>
      <c r="I2801" s="56"/>
      <c r="J2801" s="58"/>
      <c r="K2801" s="58"/>
      <c r="L2801" s="13" t="str">
        <f t="shared" si="430"/>
        <v/>
      </c>
      <c r="M2801" s="13" t="str">
        <f t="shared" si="431"/>
        <v/>
      </c>
      <c r="Q2801" t="str">
        <f t="shared" si="432"/>
        <v/>
      </c>
      <c r="R2801" t="str">
        <f t="shared" si="433"/>
        <v/>
      </c>
      <c r="S2801" t="str">
        <f t="shared" si="434"/>
        <v/>
      </c>
      <c r="T2801" t="str">
        <f t="shared" si="435"/>
        <v/>
      </c>
      <c r="U2801" t="str">
        <f t="shared" si="436"/>
        <v/>
      </c>
      <c r="V2801" t="str">
        <f t="shared" si="437"/>
        <v/>
      </c>
      <c r="W2801" t="str">
        <f t="shared" si="438"/>
        <v/>
      </c>
      <c r="X2801">
        <f>IF($T2801="",N($X2800),IF(MATCH($T2801,$T$6:$T$10005,0)=ROW()-5,N($X2800)+1,N($X2800)))</f>
        <v>0</v>
      </c>
      <c r="Z2801" t="str">
        <f t="shared" si="439"/>
        <v/>
      </c>
      <c r="AA2801">
        <f>IF($V2801="",N($AA2800),IF(MATCH($V2801,$V$6:$V$10005,0)=ROW()-5,N($AA2800)+1,N($AA2800)))</f>
        <v>0</v>
      </c>
    </row>
    <row r="2802" spans="1:27" ht="21" customHeight="1" x14ac:dyDescent="0.95">
      <c r="A2802" s="56"/>
      <c r="B2802" s="57"/>
      <c r="C2802" s="57"/>
      <c r="D2802" s="57"/>
      <c r="E2802" s="56"/>
      <c r="F2802" s="57"/>
      <c r="G2802" s="57"/>
      <c r="H2802" s="56"/>
      <c r="I2802" s="56"/>
      <c r="J2802" s="58"/>
      <c r="K2802" s="58"/>
      <c r="L2802" s="13" t="str">
        <f t="shared" si="430"/>
        <v/>
      </c>
      <c r="M2802" s="13" t="str">
        <f t="shared" si="431"/>
        <v/>
      </c>
      <c r="Q2802" t="str">
        <f t="shared" si="432"/>
        <v/>
      </c>
      <c r="R2802" t="str">
        <f t="shared" si="433"/>
        <v/>
      </c>
      <c r="S2802" t="str">
        <f t="shared" si="434"/>
        <v/>
      </c>
      <c r="T2802" t="str">
        <f t="shared" si="435"/>
        <v/>
      </c>
      <c r="U2802" t="str">
        <f t="shared" si="436"/>
        <v/>
      </c>
      <c r="V2802" t="str">
        <f t="shared" si="437"/>
        <v/>
      </c>
      <c r="W2802" t="str">
        <f t="shared" si="438"/>
        <v/>
      </c>
      <c r="X2802">
        <f>IF($T2802="",N($X2801),IF(MATCH($T2802,$T$6:$T$10005,0)=ROW()-5,N($X2801)+1,N($X2801)))</f>
        <v>0</v>
      </c>
      <c r="Z2802" t="str">
        <f t="shared" si="439"/>
        <v/>
      </c>
      <c r="AA2802">
        <f>IF($V2802="",N($AA2801),IF(MATCH($V2802,$V$6:$V$10005,0)=ROW()-5,N($AA2801)+1,N($AA2801)))</f>
        <v>0</v>
      </c>
    </row>
    <row r="2803" spans="1:27" ht="21" customHeight="1" x14ac:dyDescent="0.95">
      <c r="A2803" s="56"/>
      <c r="B2803" s="57"/>
      <c r="C2803" s="57"/>
      <c r="D2803" s="57"/>
      <c r="E2803" s="56"/>
      <c r="F2803" s="57"/>
      <c r="G2803" s="57"/>
      <c r="H2803" s="56"/>
      <c r="I2803" s="56"/>
      <c r="J2803" s="58"/>
      <c r="K2803" s="58"/>
      <c r="L2803" s="13" t="str">
        <f t="shared" si="430"/>
        <v/>
      </c>
      <c r="M2803" s="13" t="str">
        <f t="shared" si="431"/>
        <v/>
      </c>
      <c r="Q2803" t="str">
        <f t="shared" si="432"/>
        <v/>
      </c>
      <c r="R2803" t="str">
        <f t="shared" si="433"/>
        <v/>
      </c>
      <c r="S2803" t="str">
        <f t="shared" si="434"/>
        <v/>
      </c>
      <c r="T2803" t="str">
        <f t="shared" si="435"/>
        <v/>
      </c>
      <c r="U2803" t="str">
        <f t="shared" si="436"/>
        <v/>
      </c>
      <c r="V2803" t="str">
        <f t="shared" si="437"/>
        <v/>
      </c>
      <c r="W2803" t="str">
        <f t="shared" si="438"/>
        <v/>
      </c>
      <c r="X2803">
        <f>IF($T2803="",N($X2802),IF(MATCH($T2803,$T$6:$T$10005,0)=ROW()-5,N($X2802)+1,N($X2802)))</f>
        <v>0</v>
      </c>
      <c r="Z2803" t="str">
        <f t="shared" si="439"/>
        <v/>
      </c>
      <c r="AA2803">
        <f>IF($V2803="",N($AA2802),IF(MATCH($V2803,$V$6:$V$10005,0)=ROW()-5,N($AA2802)+1,N($AA2802)))</f>
        <v>0</v>
      </c>
    </row>
    <row r="2804" spans="1:27" ht="21" customHeight="1" x14ac:dyDescent="0.95">
      <c r="A2804" s="56"/>
      <c r="B2804" s="57"/>
      <c r="C2804" s="57"/>
      <c r="D2804" s="57"/>
      <c r="E2804" s="56"/>
      <c r="F2804" s="57"/>
      <c r="G2804" s="57"/>
      <c r="H2804" s="56"/>
      <c r="I2804" s="56"/>
      <c r="J2804" s="58"/>
      <c r="K2804" s="58"/>
      <c r="L2804" s="13" t="str">
        <f t="shared" si="430"/>
        <v/>
      </c>
      <c r="M2804" s="13" t="str">
        <f t="shared" si="431"/>
        <v/>
      </c>
      <c r="Q2804" t="str">
        <f t="shared" si="432"/>
        <v/>
      </c>
      <c r="R2804" t="str">
        <f t="shared" si="433"/>
        <v/>
      </c>
      <c r="S2804" t="str">
        <f t="shared" si="434"/>
        <v/>
      </c>
      <c r="T2804" t="str">
        <f t="shared" si="435"/>
        <v/>
      </c>
      <c r="U2804" t="str">
        <f t="shared" si="436"/>
        <v/>
      </c>
      <c r="V2804" t="str">
        <f t="shared" si="437"/>
        <v/>
      </c>
      <c r="W2804" t="str">
        <f t="shared" si="438"/>
        <v/>
      </c>
      <c r="X2804">
        <f>IF($T2804="",N($X2803),IF(MATCH($T2804,$T$6:$T$10005,0)=ROW()-5,N($X2803)+1,N($X2803)))</f>
        <v>0</v>
      </c>
      <c r="Z2804" t="str">
        <f t="shared" si="439"/>
        <v/>
      </c>
      <c r="AA2804">
        <f>IF($V2804="",N($AA2803),IF(MATCH($V2804,$V$6:$V$10005,0)=ROW()-5,N($AA2803)+1,N($AA2803)))</f>
        <v>0</v>
      </c>
    </row>
    <row r="2805" spans="1:27" ht="21" customHeight="1" x14ac:dyDescent="0.95">
      <c r="A2805" s="56"/>
      <c r="B2805" s="57"/>
      <c r="C2805" s="57"/>
      <c r="D2805" s="57"/>
      <c r="E2805" s="56"/>
      <c r="F2805" s="57"/>
      <c r="G2805" s="57"/>
      <c r="H2805" s="56"/>
      <c r="I2805" s="56"/>
      <c r="J2805" s="58"/>
      <c r="K2805" s="58"/>
      <c r="L2805" s="13" t="str">
        <f t="shared" si="430"/>
        <v/>
      </c>
      <c r="M2805" s="13" t="str">
        <f t="shared" si="431"/>
        <v/>
      </c>
      <c r="Q2805" t="str">
        <f t="shared" si="432"/>
        <v/>
      </c>
      <c r="R2805" t="str">
        <f t="shared" si="433"/>
        <v/>
      </c>
      <c r="S2805" t="str">
        <f t="shared" si="434"/>
        <v/>
      </c>
      <c r="T2805" t="str">
        <f t="shared" si="435"/>
        <v/>
      </c>
      <c r="U2805" t="str">
        <f t="shared" si="436"/>
        <v/>
      </c>
      <c r="V2805" t="str">
        <f t="shared" si="437"/>
        <v/>
      </c>
      <c r="W2805" t="str">
        <f t="shared" si="438"/>
        <v/>
      </c>
      <c r="X2805">
        <f>IF($T2805="",N($X2804),IF(MATCH($T2805,$T$6:$T$10005,0)=ROW()-5,N($X2804)+1,N($X2804)))</f>
        <v>0</v>
      </c>
      <c r="Z2805" t="str">
        <f t="shared" si="439"/>
        <v/>
      </c>
      <c r="AA2805">
        <f>IF($V2805="",N($AA2804),IF(MATCH($V2805,$V$6:$V$10005,0)=ROW()-5,N($AA2804)+1,N($AA2804)))</f>
        <v>0</v>
      </c>
    </row>
    <row r="2806" spans="1:27" ht="21" customHeight="1" x14ac:dyDescent="0.95">
      <c r="A2806" s="56"/>
      <c r="B2806" s="57"/>
      <c r="C2806" s="57"/>
      <c r="D2806" s="57"/>
      <c r="E2806" s="56"/>
      <c r="F2806" s="57"/>
      <c r="G2806" s="57"/>
      <c r="H2806" s="56"/>
      <c r="I2806" s="56"/>
      <c r="J2806" s="58"/>
      <c r="K2806" s="58"/>
      <c r="L2806" s="13" t="str">
        <f t="shared" si="430"/>
        <v/>
      </c>
      <c r="M2806" s="13" t="str">
        <f t="shared" si="431"/>
        <v/>
      </c>
      <c r="Q2806" t="str">
        <f t="shared" si="432"/>
        <v/>
      </c>
      <c r="R2806" t="str">
        <f t="shared" si="433"/>
        <v/>
      </c>
      <c r="S2806" t="str">
        <f t="shared" si="434"/>
        <v/>
      </c>
      <c r="T2806" t="str">
        <f t="shared" si="435"/>
        <v/>
      </c>
      <c r="U2806" t="str">
        <f t="shared" si="436"/>
        <v/>
      </c>
      <c r="V2806" t="str">
        <f t="shared" si="437"/>
        <v/>
      </c>
      <c r="W2806" t="str">
        <f t="shared" si="438"/>
        <v/>
      </c>
      <c r="X2806">
        <f>IF($T2806="",N($X2805),IF(MATCH($T2806,$T$6:$T$10005,0)=ROW()-5,N($X2805)+1,N($X2805)))</f>
        <v>0</v>
      </c>
      <c r="Z2806" t="str">
        <f t="shared" si="439"/>
        <v/>
      </c>
      <c r="AA2806">
        <f>IF($V2806="",N($AA2805),IF(MATCH($V2806,$V$6:$V$10005,0)=ROW()-5,N($AA2805)+1,N($AA2805)))</f>
        <v>0</v>
      </c>
    </row>
    <row r="2807" spans="1:27" ht="21" customHeight="1" x14ac:dyDescent="0.95">
      <c r="A2807" s="56"/>
      <c r="B2807" s="57"/>
      <c r="C2807" s="57"/>
      <c r="D2807" s="57"/>
      <c r="E2807" s="56"/>
      <c r="F2807" s="57"/>
      <c r="G2807" s="57"/>
      <c r="H2807" s="56"/>
      <c r="I2807" s="56"/>
      <c r="J2807" s="58"/>
      <c r="K2807" s="58"/>
      <c r="L2807" s="13" t="str">
        <f t="shared" si="430"/>
        <v/>
      </c>
      <c r="M2807" s="13" t="str">
        <f t="shared" si="431"/>
        <v/>
      </c>
      <c r="Q2807" t="str">
        <f t="shared" si="432"/>
        <v/>
      </c>
      <c r="R2807" t="str">
        <f t="shared" si="433"/>
        <v/>
      </c>
      <c r="S2807" t="str">
        <f t="shared" si="434"/>
        <v/>
      </c>
      <c r="T2807" t="str">
        <f t="shared" si="435"/>
        <v/>
      </c>
      <c r="U2807" t="str">
        <f t="shared" si="436"/>
        <v/>
      </c>
      <c r="V2807" t="str">
        <f t="shared" si="437"/>
        <v/>
      </c>
      <c r="W2807" t="str">
        <f t="shared" si="438"/>
        <v/>
      </c>
      <c r="X2807">
        <f>IF($T2807="",N($X2806),IF(MATCH($T2807,$T$6:$T$10005,0)=ROW()-5,N($X2806)+1,N($X2806)))</f>
        <v>0</v>
      </c>
      <c r="Z2807" t="str">
        <f t="shared" si="439"/>
        <v/>
      </c>
      <c r="AA2807">
        <f>IF($V2807="",N($AA2806),IF(MATCH($V2807,$V$6:$V$10005,0)=ROW()-5,N($AA2806)+1,N($AA2806)))</f>
        <v>0</v>
      </c>
    </row>
    <row r="2808" spans="1:27" ht="21" customHeight="1" x14ac:dyDescent="0.95">
      <c r="A2808" s="56"/>
      <c r="B2808" s="57"/>
      <c r="C2808" s="57"/>
      <c r="D2808" s="57"/>
      <c r="E2808" s="56"/>
      <c r="F2808" s="57"/>
      <c r="G2808" s="57"/>
      <c r="H2808" s="56"/>
      <c r="I2808" s="56"/>
      <c r="J2808" s="58"/>
      <c r="K2808" s="58"/>
      <c r="L2808" s="13" t="str">
        <f t="shared" si="430"/>
        <v/>
      </c>
      <c r="M2808" s="13" t="str">
        <f t="shared" si="431"/>
        <v/>
      </c>
      <c r="Q2808" t="str">
        <f t="shared" si="432"/>
        <v/>
      </c>
      <c r="R2808" t="str">
        <f t="shared" si="433"/>
        <v/>
      </c>
      <c r="S2808" t="str">
        <f t="shared" si="434"/>
        <v/>
      </c>
      <c r="T2808" t="str">
        <f t="shared" si="435"/>
        <v/>
      </c>
      <c r="U2808" t="str">
        <f t="shared" si="436"/>
        <v/>
      </c>
      <c r="V2808" t="str">
        <f t="shared" si="437"/>
        <v/>
      </c>
      <c r="W2808" t="str">
        <f t="shared" si="438"/>
        <v/>
      </c>
      <c r="X2808">
        <f>IF($T2808="",N($X2807),IF(MATCH($T2808,$T$6:$T$10005,0)=ROW()-5,N($X2807)+1,N($X2807)))</f>
        <v>0</v>
      </c>
      <c r="Z2808" t="str">
        <f t="shared" si="439"/>
        <v/>
      </c>
      <c r="AA2808">
        <f>IF($V2808="",N($AA2807),IF(MATCH($V2808,$V$6:$V$10005,0)=ROW()-5,N($AA2807)+1,N($AA2807)))</f>
        <v>0</v>
      </c>
    </row>
    <row r="2809" spans="1:27" ht="21" customHeight="1" x14ac:dyDescent="0.95">
      <c r="A2809" s="56"/>
      <c r="B2809" s="57"/>
      <c r="C2809" s="57"/>
      <c r="D2809" s="57"/>
      <c r="E2809" s="56"/>
      <c r="F2809" s="57"/>
      <c r="G2809" s="57"/>
      <c r="H2809" s="56"/>
      <c r="I2809" s="56"/>
      <c r="J2809" s="58"/>
      <c r="K2809" s="58"/>
      <c r="L2809" s="13" t="str">
        <f t="shared" si="430"/>
        <v/>
      </c>
      <c r="M2809" s="13" t="str">
        <f t="shared" si="431"/>
        <v/>
      </c>
      <c r="Q2809" t="str">
        <f t="shared" si="432"/>
        <v/>
      </c>
      <c r="R2809" t="str">
        <f t="shared" si="433"/>
        <v/>
      </c>
      <c r="S2809" t="str">
        <f t="shared" si="434"/>
        <v/>
      </c>
      <c r="T2809" t="str">
        <f t="shared" si="435"/>
        <v/>
      </c>
      <c r="U2809" t="str">
        <f t="shared" si="436"/>
        <v/>
      </c>
      <c r="V2809" t="str">
        <f t="shared" si="437"/>
        <v/>
      </c>
      <c r="W2809" t="str">
        <f t="shared" si="438"/>
        <v/>
      </c>
      <c r="X2809">
        <f>IF($T2809="",N($X2808),IF(MATCH($T2809,$T$6:$T$10005,0)=ROW()-5,N($X2808)+1,N($X2808)))</f>
        <v>0</v>
      </c>
      <c r="Z2809" t="str">
        <f t="shared" si="439"/>
        <v/>
      </c>
      <c r="AA2809">
        <f>IF($V2809="",N($AA2808),IF(MATCH($V2809,$V$6:$V$10005,0)=ROW()-5,N($AA2808)+1,N($AA2808)))</f>
        <v>0</v>
      </c>
    </row>
    <row r="2810" spans="1:27" ht="21" customHeight="1" x14ac:dyDescent="0.95">
      <c r="A2810" s="56"/>
      <c r="B2810" s="57"/>
      <c r="C2810" s="57"/>
      <c r="D2810" s="57"/>
      <c r="E2810" s="56"/>
      <c r="F2810" s="57"/>
      <c r="G2810" s="57"/>
      <c r="H2810" s="56"/>
      <c r="I2810" s="56"/>
      <c r="J2810" s="58"/>
      <c r="K2810" s="58"/>
      <c r="L2810" s="13" t="str">
        <f t="shared" si="430"/>
        <v/>
      </c>
      <c r="M2810" s="13" t="str">
        <f t="shared" si="431"/>
        <v/>
      </c>
      <c r="Q2810" t="str">
        <f t="shared" si="432"/>
        <v/>
      </c>
      <c r="R2810" t="str">
        <f t="shared" si="433"/>
        <v/>
      </c>
      <c r="S2810" t="str">
        <f t="shared" si="434"/>
        <v/>
      </c>
      <c r="T2810" t="str">
        <f t="shared" si="435"/>
        <v/>
      </c>
      <c r="U2810" t="str">
        <f t="shared" si="436"/>
        <v/>
      </c>
      <c r="V2810" t="str">
        <f t="shared" si="437"/>
        <v/>
      </c>
      <c r="W2810" t="str">
        <f t="shared" si="438"/>
        <v/>
      </c>
      <c r="X2810">
        <f>IF($T2810="",N($X2809),IF(MATCH($T2810,$T$6:$T$10005,0)=ROW()-5,N($X2809)+1,N($X2809)))</f>
        <v>0</v>
      </c>
      <c r="Z2810" t="str">
        <f t="shared" si="439"/>
        <v/>
      </c>
      <c r="AA2810">
        <f>IF($V2810="",N($AA2809),IF(MATCH($V2810,$V$6:$V$10005,0)=ROW()-5,N($AA2809)+1,N($AA2809)))</f>
        <v>0</v>
      </c>
    </row>
    <row r="2811" spans="1:27" ht="21" customHeight="1" x14ac:dyDescent="0.95">
      <c r="A2811" s="56"/>
      <c r="B2811" s="57"/>
      <c r="C2811" s="57"/>
      <c r="D2811" s="57"/>
      <c r="E2811" s="56"/>
      <c r="F2811" s="57"/>
      <c r="G2811" s="57"/>
      <c r="H2811" s="56"/>
      <c r="I2811" s="56"/>
      <c r="J2811" s="58"/>
      <c r="K2811" s="58"/>
      <c r="L2811" s="13" t="str">
        <f t="shared" si="430"/>
        <v/>
      </c>
      <c r="M2811" s="13" t="str">
        <f t="shared" si="431"/>
        <v/>
      </c>
      <c r="Q2811" t="str">
        <f t="shared" si="432"/>
        <v/>
      </c>
      <c r="R2811" t="str">
        <f t="shared" si="433"/>
        <v/>
      </c>
      <c r="S2811" t="str">
        <f t="shared" si="434"/>
        <v/>
      </c>
      <c r="T2811" t="str">
        <f t="shared" si="435"/>
        <v/>
      </c>
      <c r="U2811" t="str">
        <f t="shared" si="436"/>
        <v/>
      </c>
      <c r="V2811" t="str">
        <f t="shared" si="437"/>
        <v/>
      </c>
      <c r="W2811" t="str">
        <f t="shared" si="438"/>
        <v/>
      </c>
      <c r="X2811">
        <f>IF($T2811="",N($X2810),IF(MATCH($T2811,$T$6:$T$10005,0)=ROW()-5,N($X2810)+1,N($X2810)))</f>
        <v>0</v>
      </c>
      <c r="Z2811" t="str">
        <f t="shared" si="439"/>
        <v/>
      </c>
      <c r="AA2811">
        <f>IF($V2811="",N($AA2810),IF(MATCH($V2811,$V$6:$V$10005,0)=ROW()-5,N($AA2810)+1,N($AA2810)))</f>
        <v>0</v>
      </c>
    </row>
    <row r="2812" spans="1:27" ht="21" customHeight="1" x14ac:dyDescent="0.95">
      <c r="A2812" s="56"/>
      <c r="B2812" s="57"/>
      <c r="C2812" s="57"/>
      <c r="D2812" s="57"/>
      <c r="E2812" s="56"/>
      <c r="F2812" s="57"/>
      <c r="G2812" s="57"/>
      <c r="H2812" s="56"/>
      <c r="I2812" s="56"/>
      <c r="J2812" s="58"/>
      <c r="K2812" s="58"/>
      <c r="L2812" s="13" t="str">
        <f t="shared" si="430"/>
        <v/>
      </c>
      <c r="M2812" s="13" t="str">
        <f t="shared" si="431"/>
        <v/>
      </c>
      <c r="Q2812" t="str">
        <f t="shared" si="432"/>
        <v/>
      </c>
      <c r="R2812" t="str">
        <f t="shared" si="433"/>
        <v/>
      </c>
      <c r="S2812" t="str">
        <f t="shared" si="434"/>
        <v/>
      </c>
      <c r="T2812" t="str">
        <f t="shared" si="435"/>
        <v/>
      </c>
      <c r="U2812" t="str">
        <f t="shared" si="436"/>
        <v/>
      </c>
      <c r="V2812" t="str">
        <f t="shared" si="437"/>
        <v/>
      </c>
      <c r="W2812" t="str">
        <f t="shared" si="438"/>
        <v/>
      </c>
      <c r="X2812">
        <f>IF($T2812="",N($X2811),IF(MATCH($T2812,$T$6:$T$10005,0)=ROW()-5,N($X2811)+1,N($X2811)))</f>
        <v>0</v>
      </c>
      <c r="Z2812" t="str">
        <f t="shared" si="439"/>
        <v/>
      </c>
      <c r="AA2812">
        <f>IF($V2812="",N($AA2811),IF(MATCH($V2812,$V$6:$V$10005,0)=ROW()-5,N($AA2811)+1,N($AA2811)))</f>
        <v>0</v>
      </c>
    </row>
    <row r="2813" spans="1:27" ht="21" customHeight="1" x14ac:dyDescent="0.95">
      <c r="A2813" s="56"/>
      <c r="B2813" s="57"/>
      <c r="C2813" s="57"/>
      <c r="D2813" s="57"/>
      <c r="E2813" s="56"/>
      <c r="F2813" s="57"/>
      <c r="G2813" s="57"/>
      <c r="H2813" s="56"/>
      <c r="I2813" s="56"/>
      <c r="J2813" s="58"/>
      <c r="K2813" s="58"/>
      <c r="L2813" s="13" t="str">
        <f t="shared" si="430"/>
        <v/>
      </c>
      <c r="M2813" s="13" t="str">
        <f t="shared" si="431"/>
        <v/>
      </c>
      <c r="Q2813" t="str">
        <f t="shared" si="432"/>
        <v/>
      </c>
      <c r="R2813" t="str">
        <f t="shared" si="433"/>
        <v/>
      </c>
      <c r="S2813" t="str">
        <f t="shared" si="434"/>
        <v/>
      </c>
      <c r="T2813" t="str">
        <f t="shared" si="435"/>
        <v/>
      </c>
      <c r="U2813" t="str">
        <f t="shared" si="436"/>
        <v/>
      </c>
      <c r="V2813" t="str">
        <f t="shared" si="437"/>
        <v/>
      </c>
      <c r="W2813" t="str">
        <f t="shared" si="438"/>
        <v/>
      </c>
      <c r="X2813">
        <f>IF($T2813="",N($X2812),IF(MATCH($T2813,$T$6:$T$10005,0)=ROW()-5,N($X2812)+1,N($X2812)))</f>
        <v>0</v>
      </c>
      <c r="Z2813" t="str">
        <f t="shared" si="439"/>
        <v/>
      </c>
      <c r="AA2813">
        <f>IF($V2813="",N($AA2812),IF(MATCH($V2813,$V$6:$V$10005,0)=ROW()-5,N($AA2812)+1,N($AA2812)))</f>
        <v>0</v>
      </c>
    </row>
    <row r="2814" spans="1:27" ht="21" customHeight="1" x14ac:dyDescent="0.95">
      <c r="A2814" s="56"/>
      <c r="B2814" s="57"/>
      <c r="C2814" s="57"/>
      <c r="D2814" s="57"/>
      <c r="E2814" s="56"/>
      <c r="F2814" s="57"/>
      <c r="G2814" s="57"/>
      <c r="H2814" s="56"/>
      <c r="I2814" s="56"/>
      <c r="J2814" s="58"/>
      <c r="K2814" s="58"/>
      <c r="L2814" s="13" t="str">
        <f t="shared" si="430"/>
        <v/>
      </c>
      <c r="M2814" s="13" t="str">
        <f t="shared" si="431"/>
        <v/>
      </c>
      <c r="Q2814" t="str">
        <f t="shared" si="432"/>
        <v/>
      </c>
      <c r="R2814" t="str">
        <f t="shared" si="433"/>
        <v/>
      </c>
      <c r="S2814" t="str">
        <f t="shared" si="434"/>
        <v/>
      </c>
      <c r="T2814" t="str">
        <f t="shared" si="435"/>
        <v/>
      </c>
      <c r="U2814" t="str">
        <f t="shared" si="436"/>
        <v/>
      </c>
      <c r="V2814" t="str">
        <f t="shared" si="437"/>
        <v/>
      </c>
      <c r="W2814" t="str">
        <f t="shared" si="438"/>
        <v/>
      </c>
      <c r="X2814">
        <f>IF($T2814="",N($X2813),IF(MATCH($T2814,$T$6:$T$10005,0)=ROW()-5,N($X2813)+1,N($X2813)))</f>
        <v>0</v>
      </c>
      <c r="Z2814" t="str">
        <f t="shared" si="439"/>
        <v/>
      </c>
      <c r="AA2814">
        <f>IF($V2814="",N($AA2813),IF(MATCH($V2814,$V$6:$V$10005,0)=ROW()-5,N($AA2813)+1,N($AA2813)))</f>
        <v>0</v>
      </c>
    </row>
    <row r="2815" spans="1:27" ht="21" customHeight="1" x14ac:dyDescent="0.95">
      <c r="A2815" s="56"/>
      <c r="B2815" s="57"/>
      <c r="C2815" s="57"/>
      <c r="D2815" s="57"/>
      <c r="E2815" s="56"/>
      <c r="F2815" s="57"/>
      <c r="G2815" s="57"/>
      <c r="H2815" s="56"/>
      <c r="I2815" s="56"/>
      <c r="J2815" s="58"/>
      <c r="K2815" s="58"/>
      <c r="L2815" s="13" t="str">
        <f t="shared" si="430"/>
        <v/>
      </c>
      <c r="M2815" s="13" t="str">
        <f t="shared" si="431"/>
        <v/>
      </c>
      <c r="Q2815" t="str">
        <f t="shared" si="432"/>
        <v/>
      </c>
      <c r="R2815" t="str">
        <f t="shared" si="433"/>
        <v/>
      </c>
      <c r="S2815" t="str">
        <f t="shared" si="434"/>
        <v/>
      </c>
      <c r="T2815" t="str">
        <f t="shared" si="435"/>
        <v/>
      </c>
      <c r="U2815" t="str">
        <f t="shared" si="436"/>
        <v/>
      </c>
      <c r="V2815" t="str">
        <f t="shared" si="437"/>
        <v/>
      </c>
      <c r="W2815" t="str">
        <f t="shared" si="438"/>
        <v/>
      </c>
      <c r="X2815">
        <f>IF($T2815="",N($X2814),IF(MATCH($T2815,$T$6:$T$10005,0)=ROW()-5,N($X2814)+1,N($X2814)))</f>
        <v>0</v>
      </c>
      <c r="Z2815" t="str">
        <f t="shared" si="439"/>
        <v/>
      </c>
      <c r="AA2815">
        <f>IF($V2815="",N($AA2814),IF(MATCH($V2815,$V$6:$V$10005,0)=ROW()-5,N($AA2814)+1,N($AA2814)))</f>
        <v>0</v>
      </c>
    </row>
    <row r="2816" spans="1:27" ht="21" customHeight="1" x14ac:dyDescent="0.95">
      <c r="A2816" s="56"/>
      <c r="B2816" s="57"/>
      <c r="C2816" s="57"/>
      <c r="D2816" s="57"/>
      <c r="E2816" s="56"/>
      <c r="F2816" s="57"/>
      <c r="G2816" s="57"/>
      <c r="H2816" s="56"/>
      <c r="I2816" s="56"/>
      <c r="J2816" s="58"/>
      <c r="K2816" s="58"/>
      <c r="L2816" s="13" t="str">
        <f t="shared" si="430"/>
        <v/>
      </c>
      <c r="M2816" s="13" t="str">
        <f t="shared" si="431"/>
        <v/>
      </c>
      <c r="Q2816" t="str">
        <f t="shared" si="432"/>
        <v/>
      </c>
      <c r="R2816" t="str">
        <f t="shared" si="433"/>
        <v/>
      </c>
      <c r="S2816" t="str">
        <f t="shared" si="434"/>
        <v/>
      </c>
      <c r="T2816" t="str">
        <f t="shared" si="435"/>
        <v/>
      </c>
      <c r="U2816" t="str">
        <f t="shared" si="436"/>
        <v/>
      </c>
      <c r="V2816" t="str">
        <f t="shared" si="437"/>
        <v/>
      </c>
      <c r="W2816" t="str">
        <f t="shared" si="438"/>
        <v/>
      </c>
      <c r="X2816">
        <f>IF($T2816="",N($X2815),IF(MATCH($T2816,$T$6:$T$10005,0)=ROW()-5,N($X2815)+1,N($X2815)))</f>
        <v>0</v>
      </c>
      <c r="Z2816" t="str">
        <f t="shared" si="439"/>
        <v/>
      </c>
      <c r="AA2816">
        <f>IF($V2816="",N($AA2815),IF(MATCH($V2816,$V$6:$V$10005,0)=ROW()-5,N($AA2815)+1,N($AA2815)))</f>
        <v>0</v>
      </c>
    </row>
    <row r="2817" spans="1:27" ht="21" customHeight="1" x14ac:dyDescent="0.95">
      <c r="A2817" s="56"/>
      <c r="B2817" s="57"/>
      <c r="C2817" s="57"/>
      <c r="D2817" s="57"/>
      <c r="E2817" s="56"/>
      <c r="F2817" s="57"/>
      <c r="G2817" s="57"/>
      <c r="H2817" s="56"/>
      <c r="I2817" s="56"/>
      <c r="J2817" s="58"/>
      <c r="K2817" s="58"/>
      <c r="L2817" s="13" t="str">
        <f t="shared" si="430"/>
        <v/>
      </c>
      <c r="M2817" s="13" t="str">
        <f t="shared" si="431"/>
        <v/>
      </c>
      <c r="Q2817" t="str">
        <f t="shared" si="432"/>
        <v/>
      </c>
      <c r="R2817" t="str">
        <f t="shared" si="433"/>
        <v/>
      </c>
      <c r="S2817" t="str">
        <f t="shared" si="434"/>
        <v/>
      </c>
      <c r="T2817" t="str">
        <f t="shared" si="435"/>
        <v/>
      </c>
      <c r="U2817" t="str">
        <f t="shared" si="436"/>
        <v/>
      </c>
      <c r="V2817" t="str">
        <f t="shared" si="437"/>
        <v/>
      </c>
      <c r="W2817" t="str">
        <f t="shared" si="438"/>
        <v/>
      </c>
      <c r="X2817">
        <f>IF($T2817="",N($X2816),IF(MATCH($T2817,$T$6:$T$10005,0)=ROW()-5,N($X2816)+1,N($X2816)))</f>
        <v>0</v>
      </c>
      <c r="Z2817" t="str">
        <f t="shared" si="439"/>
        <v/>
      </c>
      <c r="AA2817">
        <f>IF($V2817="",N($AA2816),IF(MATCH($V2817,$V$6:$V$10005,0)=ROW()-5,N($AA2816)+1,N($AA2816)))</f>
        <v>0</v>
      </c>
    </row>
    <row r="2818" spans="1:27" ht="21" customHeight="1" x14ac:dyDescent="0.95">
      <c r="A2818" s="56"/>
      <c r="B2818" s="57"/>
      <c r="C2818" s="57"/>
      <c r="D2818" s="57"/>
      <c r="E2818" s="56"/>
      <c r="F2818" s="57"/>
      <c r="G2818" s="57"/>
      <c r="H2818" s="56"/>
      <c r="I2818" s="56"/>
      <c r="J2818" s="58"/>
      <c r="K2818" s="58"/>
      <c r="L2818" s="13" t="str">
        <f t="shared" si="430"/>
        <v/>
      </c>
      <c r="M2818" s="13" t="str">
        <f t="shared" si="431"/>
        <v/>
      </c>
      <c r="Q2818" t="str">
        <f t="shared" si="432"/>
        <v/>
      </c>
      <c r="R2818" t="str">
        <f t="shared" si="433"/>
        <v/>
      </c>
      <c r="S2818" t="str">
        <f t="shared" si="434"/>
        <v/>
      </c>
      <c r="T2818" t="str">
        <f t="shared" si="435"/>
        <v/>
      </c>
      <c r="U2818" t="str">
        <f t="shared" si="436"/>
        <v/>
      </c>
      <c r="V2818" t="str">
        <f t="shared" si="437"/>
        <v/>
      </c>
      <c r="W2818" t="str">
        <f t="shared" si="438"/>
        <v/>
      </c>
      <c r="X2818">
        <f>IF($T2818="",N($X2817),IF(MATCH($T2818,$T$6:$T$10005,0)=ROW()-5,N($X2817)+1,N($X2817)))</f>
        <v>0</v>
      </c>
      <c r="Z2818" t="str">
        <f t="shared" si="439"/>
        <v/>
      </c>
      <c r="AA2818">
        <f>IF($V2818="",N($AA2817),IF(MATCH($V2818,$V$6:$V$10005,0)=ROW()-5,N($AA2817)+1,N($AA2817)))</f>
        <v>0</v>
      </c>
    </row>
    <row r="2819" spans="1:27" ht="21" customHeight="1" x14ac:dyDescent="0.95">
      <c r="A2819" s="56"/>
      <c r="B2819" s="57"/>
      <c r="C2819" s="57"/>
      <c r="D2819" s="57"/>
      <c r="E2819" s="56"/>
      <c r="F2819" s="57"/>
      <c r="G2819" s="57"/>
      <c r="H2819" s="56"/>
      <c r="I2819" s="56"/>
      <c r="J2819" s="58"/>
      <c r="K2819" s="58"/>
      <c r="L2819" s="13" t="str">
        <f t="shared" si="430"/>
        <v/>
      </c>
      <c r="M2819" s="13" t="str">
        <f t="shared" si="431"/>
        <v/>
      </c>
      <c r="Q2819" t="str">
        <f t="shared" si="432"/>
        <v/>
      </c>
      <c r="R2819" t="str">
        <f t="shared" si="433"/>
        <v/>
      </c>
      <c r="S2819" t="str">
        <f t="shared" si="434"/>
        <v/>
      </c>
      <c r="T2819" t="str">
        <f t="shared" si="435"/>
        <v/>
      </c>
      <c r="U2819" t="str">
        <f t="shared" si="436"/>
        <v/>
      </c>
      <c r="V2819" t="str">
        <f t="shared" si="437"/>
        <v/>
      </c>
      <c r="W2819" t="str">
        <f t="shared" si="438"/>
        <v/>
      </c>
      <c r="X2819">
        <f>IF($T2819="",N($X2818),IF(MATCH($T2819,$T$6:$T$10005,0)=ROW()-5,N($X2818)+1,N($X2818)))</f>
        <v>0</v>
      </c>
      <c r="Z2819" t="str">
        <f t="shared" si="439"/>
        <v/>
      </c>
      <c r="AA2819">
        <f>IF($V2819="",N($AA2818),IF(MATCH($V2819,$V$6:$V$10005,0)=ROW()-5,N($AA2818)+1,N($AA2818)))</f>
        <v>0</v>
      </c>
    </row>
    <row r="2820" spans="1:27" ht="21" customHeight="1" x14ac:dyDescent="0.95">
      <c r="A2820" s="56"/>
      <c r="B2820" s="57"/>
      <c r="C2820" s="57"/>
      <c r="D2820" s="57"/>
      <c r="E2820" s="56"/>
      <c r="F2820" s="57"/>
      <c r="G2820" s="57"/>
      <c r="H2820" s="56"/>
      <c r="I2820" s="56"/>
      <c r="J2820" s="58"/>
      <c r="K2820" s="58"/>
      <c r="L2820" s="13" t="str">
        <f t="shared" si="430"/>
        <v/>
      </c>
      <c r="M2820" s="13" t="str">
        <f t="shared" si="431"/>
        <v/>
      </c>
      <c r="Q2820" t="str">
        <f t="shared" si="432"/>
        <v/>
      </c>
      <c r="R2820" t="str">
        <f t="shared" si="433"/>
        <v/>
      </c>
      <c r="S2820" t="str">
        <f t="shared" si="434"/>
        <v/>
      </c>
      <c r="T2820" t="str">
        <f t="shared" si="435"/>
        <v/>
      </c>
      <c r="U2820" t="str">
        <f t="shared" si="436"/>
        <v/>
      </c>
      <c r="V2820" t="str">
        <f t="shared" si="437"/>
        <v/>
      </c>
      <c r="W2820" t="str">
        <f t="shared" si="438"/>
        <v/>
      </c>
      <c r="X2820">
        <f>IF($T2820="",N($X2819),IF(MATCH($T2820,$T$6:$T$10005,0)=ROW()-5,N($X2819)+1,N($X2819)))</f>
        <v>0</v>
      </c>
      <c r="Z2820" t="str">
        <f t="shared" si="439"/>
        <v/>
      </c>
      <c r="AA2820">
        <f>IF($V2820="",N($AA2819),IF(MATCH($V2820,$V$6:$V$10005,0)=ROW()-5,N($AA2819)+1,N($AA2819)))</f>
        <v>0</v>
      </c>
    </row>
    <row r="2821" spans="1:27" ht="21" customHeight="1" x14ac:dyDescent="0.95">
      <c r="A2821" s="56"/>
      <c r="B2821" s="57"/>
      <c r="C2821" s="57"/>
      <c r="D2821" s="57"/>
      <c r="E2821" s="56"/>
      <c r="F2821" s="57"/>
      <c r="G2821" s="57"/>
      <c r="H2821" s="56"/>
      <c r="I2821" s="56"/>
      <c r="J2821" s="58"/>
      <c r="K2821" s="58"/>
      <c r="L2821" s="13" t="str">
        <f t="shared" si="430"/>
        <v/>
      </c>
      <c r="M2821" s="13" t="str">
        <f t="shared" si="431"/>
        <v/>
      </c>
      <c r="Q2821" t="str">
        <f t="shared" si="432"/>
        <v/>
      </c>
      <c r="R2821" t="str">
        <f t="shared" si="433"/>
        <v/>
      </c>
      <c r="S2821" t="str">
        <f t="shared" si="434"/>
        <v/>
      </c>
      <c r="T2821" t="str">
        <f t="shared" si="435"/>
        <v/>
      </c>
      <c r="U2821" t="str">
        <f t="shared" si="436"/>
        <v/>
      </c>
      <c r="V2821" t="str">
        <f t="shared" si="437"/>
        <v/>
      </c>
      <c r="W2821" t="str">
        <f t="shared" si="438"/>
        <v/>
      </c>
      <c r="X2821">
        <f>IF($T2821="",N($X2820),IF(MATCH($T2821,$T$6:$T$10005,0)=ROW()-5,N($X2820)+1,N($X2820)))</f>
        <v>0</v>
      </c>
      <c r="Z2821" t="str">
        <f t="shared" si="439"/>
        <v/>
      </c>
      <c r="AA2821">
        <f>IF($V2821="",N($AA2820),IF(MATCH($V2821,$V$6:$V$10005,0)=ROW()-5,N($AA2820)+1,N($AA2820)))</f>
        <v>0</v>
      </c>
    </row>
    <row r="2822" spans="1:27" ht="21" customHeight="1" x14ac:dyDescent="0.95">
      <c r="A2822" s="56"/>
      <c r="B2822" s="57"/>
      <c r="C2822" s="57"/>
      <c r="D2822" s="57"/>
      <c r="E2822" s="56"/>
      <c r="F2822" s="57"/>
      <c r="G2822" s="57"/>
      <c r="H2822" s="56"/>
      <c r="I2822" s="56"/>
      <c r="J2822" s="58"/>
      <c r="K2822" s="58"/>
      <c r="L2822" s="13" t="str">
        <f t="shared" ref="L2822:L2885" si="440">IF(OR($A2822="",AND($J2822="",$K2822="")),"",ROUND(N($J2822)-N($K2822),2))</f>
        <v/>
      </c>
      <c r="M2822" s="13" t="str">
        <f t="shared" ref="M2822:M2885" si="441">IF(OR($A2822="",AND($J2822="",$K2822="")),"",MIN($J2822,$K2822))</f>
        <v/>
      </c>
      <c r="Q2822" t="str">
        <f t="shared" ref="Q2822:Q2885" si="442">IF($A2822="","",$D2822&amp;"("&amp;SUBSTITUTE($E2822," ","")&amp;")")</f>
        <v/>
      </c>
      <c r="R2822" t="str">
        <f t="shared" ref="R2822:R2885" si="443">IF($A2822="","",$B2822&amp;" - "&amp;$C2822)</f>
        <v/>
      </c>
      <c r="S2822" t="str">
        <f t="shared" ref="S2822:S2885" si="444">IF($A2822="","",$R2822&amp;"|"&amp;$Q2822)</f>
        <v/>
      </c>
      <c r="T2822" t="str">
        <f t="shared" ref="T2822:T2885" si="445">IF($A2822="","",$S2822&amp;"|"&amp;$F2822)</f>
        <v/>
      </c>
      <c r="U2822" t="str">
        <f t="shared" ref="U2822:U2885" si="446">IF($A2822="","",$R2822&amp;"("&amp;$E2822&amp;")")</f>
        <v/>
      </c>
      <c r="V2822" t="str">
        <f t="shared" ref="V2822:V2885" si="447">IF($A2822="","",$F2822&amp;"|"&amp;$U2822&amp;"|"&amp;$D2822)</f>
        <v/>
      </c>
      <c r="W2822" t="str">
        <f t="shared" ref="W2822:W2885" si="448">IF($T2822="","",IF($X2822&gt;N($X2821),$X2822,""))</f>
        <v/>
      </c>
      <c r="X2822">
        <f>IF($T2822="",N($X2821),IF(MATCH($T2822,$T$6:$T$10005,0)=ROW()-5,N($X2821)+1,N($X2821)))</f>
        <v>0</v>
      </c>
      <c r="Z2822" t="str">
        <f t="shared" ref="Z2822:Z2885" si="449">IF($V2822="","",IF($AA2822&gt;N($AA2821),$AA2822,""))</f>
        <v/>
      </c>
      <c r="AA2822">
        <f>IF($V2822="",N($AA2821),IF(MATCH($V2822,$V$6:$V$10005,0)=ROW()-5,N($AA2821)+1,N($AA2821)))</f>
        <v>0</v>
      </c>
    </row>
    <row r="2823" spans="1:27" ht="21" customHeight="1" x14ac:dyDescent="0.95">
      <c r="A2823" s="56"/>
      <c r="B2823" s="57"/>
      <c r="C2823" s="57"/>
      <c r="D2823" s="57"/>
      <c r="E2823" s="56"/>
      <c r="F2823" s="57"/>
      <c r="G2823" s="57"/>
      <c r="H2823" s="56"/>
      <c r="I2823" s="56"/>
      <c r="J2823" s="58"/>
      <c r="K2823" s="58"/>
      <c r="L2823" s="13" t="str">
        <f t="shared" si="440"/>
        <v/>
      </c>
      <c r="M2823" s="13" t="str">
        <f t="shared" si="441"/>
        <v/>
      </c>
      <c r="Q2823" t="str">
        <f t="shared" si="442"/>
        <v/>
      </c>
      <c r="R2823" t="str">
        <f t="shared" si="443"/>
        <v/>
      </c>
      <c r="S2823" t="str">
        <f t="shared" si="444"/>
        <v/>
      </c>
      <c r="T2823" t="str">
        <f t="shared" si="445"/>
        <v/>
      </c>
      <c r="U2823" t="str">
        <f t="shared" si="446"/>
        <v/>
      </c>
      <c r="V2823" t="str">
        <f t="shared" si="447"/>
        <v/>
      </c>
      <c r="W2823" t="str">
        <f t="shared" si="448"/>
        <v/>
      </c>
      <c r="X2823">
        <f>IF($T2823="",N($X2822),IF(MATCH($T2823,$T$6:$T$10005,0)=ROW()-5,N($X2822)+1,N($X2822)))</f>
        <v>0</v>
      </c>
      <c r="Z2823" t="str">
        <f t="shared" si="449"/>
        <v/>
      </c>
      <c r="AA2823">
        <f>IF($V2823="",N($AA2822),IF(MATCH($V2823,$V$6:$V$10005,0)=ROW()-5,N($AA2822)+1,N($AA2822)))</f>
        <v>0</v>
      </c>
    </row>
    <row r="2824" spans="1:27" ht="21" customHeight="1" x14ac:dyDescent="0.95">
      <c r="A2824" s="56"/>
      <c r="B2824" s="57"/>
      <c r="C2824" s="57"/>
      <c r="D2824" s="57"/>
      <c r="E2824" s="56"/>
      <c r="F2824" s="57"/>
      <c r="G2824" s="57"/>
      <c r="H2824" s="56"/>
      <c r="I2824" s="56"/>
      <c r="J2824" s="58"/>
      <c r="K2824" s="58"/>
      <c r="L2824" s="13" t="str">
        <f t="shared" si="440"/>
        <v/>
      </c>
      <c r="M2824" s="13" t="str">
        <f t="shared" si="441"/>
        <v/>
      </c>
      <c r="Q2824" t="str">
        <f t="shared" si="442"/>
        <v/>
      </c>
      <c r="R2824" t="str">
        <f t="shared" si="443"/>
        <v/>
      </c>
      <c r="S2824" t="str">
        <f t="shared" si="444"/>
        <v/>
      </c>
      <c r="T2824" t="str">
        <f t="shared" si="445"/>
        <v/>
      </c>
      <c r="U2824" t="str">
        <f t="shared" si="446"/>
        <v/>
      </c>
      <c r="V2824" t="str">
        <f t="shared" si="447"/>
        <v/>
      </c>
      <c r="W2824" t="str">
        <f t="shared" si="448"/>
        <v/>
      </c>
      <c r="X2824">
        <f>IF($T2824="",N($X2823),IF(MATCH($T2824,$T$6:$T$10005,0)=ROW()-5,N($X2823)+1,N($X2823)))</f>
        <v>0</v>
      </c>
      <c r="Z2824" t="str">
        <f t="shared" si="449"/>
        <v/>
      </c>
      <c r="AA2824">
        <f>IF($V2824="",N($AA2823),IF(MATCH($V2824,$V$6:$V$10005,0)=ROW()-5,N($AA2823)+1,N($AA2823)))</f>
        <v>0</v>
      </c>
    </row>
    <row r="2825" spans="1:27" ht="21" customHeight="1" x14ac:dyDescent="0.95">
      <c r="A2825" s="56"/>
      <c r="B2825" s="57"/>
      <c r="C2825" s="57"/>
      <c r="D2825" s="57"/>
      <c r="E2825" s="56"/>
      <c r="F2825" s="57"/>
      <c r="G2825" s="57"/>
      <c r="H2825" s="56"/>
      <c r="I2825" s="56"/>
      <c r="J2825" s="58"/>
      <c r="K2825" s="58"/>
      <c r="L2825" s="13" t="str">
        <f t="shared" si="440"/>
        <v/>
      </c>
      <c r="M2825" s="13" t="str">
        <f t="shared" si="441"/>
        <v/>
      </c>
      <c r="Q2825" t="str">
        <f t="shared" si="442"/>
        <v/>
      </c>
      <c r="R2825" t="str">
        <f t="shared" si="443"/>
        <v/>
      </c>
      <c r="S2825" t="str">
        <f t="shared" si="444"/>
        <v/>
      </c>
      <c r="T2825" t="str">
        <f t="shared" si="445"/>
        <v/>
      </c>
      <c r="U2825" t="str">
        <f t="shared" si="446"/>
        <v/>
      </c>
      <c r="V2825" t="str">
        <f t="shared" si="447"/>
        <v/>
      </c>
      <c r="W2825" t="str">
        <f t="shared" si="448"/>
        <v/>
      </c>
      <c r="X2825">
        <f>IF($T2825="",N($X2824),IF(MATCH($T2825,$T$6:$T$10005,0)=ROW()-5,N($X2824)+1,N($X2824)))</f>
        <v>0</v>
      </c>
      <c r="Z2825" t="str">
        <f t="shared" si="449"/>
        <v/>
      </c>
      <c r="AA2825">
        <f>IF($V2825="",N($AA2824),IF(MATCH($V2825,$V$6:$V$10005,0)=ROW()-5,N($AA2824)+1,N($AA2824)))</f>
        <v>0</v>
      </c>
    </row>
    <row r="2826" spans="1:27" ht="21" customHeight="1" x14ac:dyDescent="0.95">
      <c r="A2826" s="56"/>
      <c r="B2826" s="57"/>
      <c r="C2826" s="57"/>
      <c r="D2826" s="57"/>
      <c r="E2826" s="56"/>
      <c r="F2826" s="57"/>
      <c r="G2826" s="57"/>
      <c r="H2826" s="56"/>
      <c r="I2826" s="56"/>
      <c r="J2826" s="58"/>
      <c r="K2826" s="58"/>
      <c r="L2826" s="13" t="str">
        <f t="shared" si="440"/>
        <v/>
      </c>
      <c r="M2826" s="13" t="str">
        <f t="shared" si="441"/>
        <v/>
      </c>
      <c r="Q2826" t="str">
        <f t="shared" si="442"/>
        <v/>
      </c>
      <c r="R2826" t="str">
        <f t="shared" si="443"/>
        <v/>
      </c>
      <c r="S2826" t="str">
        <f t="shared" si="444"/>
        <v/>
      </c>
      <c r="T2826" t="str">
        <f t="shared" si="445"/>
        <v/>
      </c>
      <c r="U2826" t="str">
        <f t="shared" si="446"/>
        <v/>
      </c>
      <c r="V2826" t="str">
        <f t="shared" si="447"/>
        <v/>
      </c>
      <c r="W2826" t="str">
        <f t="shared" si="448"/>
        <v/>
      </c>
      <c r="X2826">
        <f>IF($T2826="",N($X2825),IF(MATCH($T2826,$T$6:$T$10005,0)=ROW()-5,N($X2825)+1,N($X2825)))</f>
        <v>0</v>
      </c>
      <c r="Z2826" t="str">
        <f t="shared" si="449"/>
        <v/>
      </c>
      <c r="AA2826">
        <f>IF($V2826="",N($AA2825),IF(MATCH($V2826,$V$6:$V$10005,0)=ROW()-5,N($AA2825)+1,N($AA2825)))</f>
        <v>0</v>
      </c>
    </row>
    <row r="2827" spans="1:27" ht="21" customHeight="1" x14ac:dyDescent="0.95">
      <c r="A2827" s="56"/>
      <c r="B2827" s="57"/>
      <c r="C2827" s="57"/>
      <c r="D2827" s="57"/>
      <c r="E2827" s="56"/>
      <c r="F2827" s="57"/>
      <c r="G2827" s="57"/>
      <c r="H2827" s="56"/>
      <c r="I2827" s="56"/>
      <c r="J2827" s="58"/>
      <c r="K2827" s="58"/>
      <c r="L2827" s="13" t="str">
        <f t="shared" si="440"/>
        <v/>
      </c>
      <c r="M2827" s="13" t="str">
        <f t="shared" si="441"/>
        <v/>
      </c>
      <c r="Q2827" t="str">
        <f t="shared" si="442"/>
        <v/>
      </c>
      <c r="R2827" t="str">
        <f t="shared" si="443"/>
        <v/>
      </c>
      <c r="S2827" t="str">
        <f t="shared" si="444"/>
        <v/>
      </c>
      <c r="T2827" t="str">
        <f t="shared" si="445"/>
        <v/>
      </c>
      <c r="U2827" t="str">
        <f t="shared" si="446"/>
        <v/>
      </c>
      <c r="V2827" t="str">
        <f t="shared" si="447"/>
        <v/>
      </c>
      <c r="W2827" t="str">
        <f t="shared" si="448"/>
        <v/>
      </c>
      <c r="X2827">
        <f>IF($T2827="",N($X2826),IF(MATCH($T2827,$T$6:$T$10005,0)=ROW()-5,N($X2826)+1,N($X2826)))</f>
        <v>0</v>
      </c>
      <c r="Z2827" t="str">
        <f t="shared" si="449"/>
        <v/>
      </c>
      <c r="AA2827">
        <f>IF($V2827="",N($AA2826),IF(MATCH($V2827,$V$6:$V$10005,0)=ROW()-5,N($AA2826)+1,N($AA2826)))</f>
        <v>0</v>
      </c>
    </row>
    <row r="2828" spans="1:27" ht="21" customHeight="1" x14ac:dyDescent="0.95">
      <c r="A2828" s="56"/>
      <c r="B2828" s="57"/>
      <c r="C2828" s="57"/>
      <c r="D2828" s="57"/>
      <c r="E2828" s="56"/>
      <c r="F2828" s="57"/>
      <c r="G2828" s="57"/>
      <c r="H2828" s="56"/>
      <c r="I2828" s="56"/>
      <c r="J2828" s="58"/>
      <c r="K2828" s="58"/>
      <c r="L2828" s="13" t="str">
        <f t="shared" si="440"/>
        <v/>
      </c>
      <c r="M2828" s="13" t="str">
        <f t="shared" si="441"/>
        <v/>
      </c>
      <c r="Q2828" t="str">
        <f t="shared" si="442"/>
        <v/>
      </c>
      <c r="R2828" t="str">
        <f t="shared" si="443"/>
        <v/>
      </c>
      <c r="S2828" t="str">
        <f t="shared" si="444"/>
        <v/>
      </c>
      <c r="T2828" t="str">
        <f t="shared" si="445"/>
        <v/>
      </c>
      <c r="U2828" t="str">
        <f t="shared" si="446"/>
        <v/>
      </c>
      <c r="V2828" t="str">
        <f t="shared" si="447"/>
        <v/>
      </c>
      <c r="W2828" t="str">
        <f t="shared" si="448"/>
        <v/>
      </c>
      <c r="X2828">
        <f>IF($T2828="",N($X2827),IF(MATCH($T2828,$T$6:$T$10005,0)=ROW()-5,N($X2827)+1,N($X2827)))</f>
        <v>0</v>
      </c>
      <c r="Z2828" t="str">
        <f t="shared" si="449"/>
        <v/>
      </c>
      <c r="AA2828">
        <f>IF($V2828="",N($AA2827),IF(MATCH($V2828,$V$6:$V$10005,0)=ROW()-5,N($AA2827)+1,N($AA2827)))</f>
        <v>0</v>
      </c>
    </row>
    <row r="2829" spans="1:27" ht="21" customHeight="1" x14ac:dyDescent="0.95">
      <c r="A2829" s="56"/>
      <c r="B2829" s="57"/>
      <c r="C2829" s="57"/>
      <c r="D2829" s="57"/>
      <c r="E2829" s="56"/>
      <c r="F2829" s="57"/>
      <c r="G2829" s="57"/>
      <c r="H2829" s="56"/>
      <c r="I2829" s="56"/>
      <c r="J2829" s="58"/>
      <c r="K2829" s="58"/>
      <c r="L2829" s="13" t="str">
        <f t="shared" si="440"/>
        <v/>
      </c>
      <c r="M2829" s="13" t="str">
        <f t="shared" si="441"/>
        <v/>
      </c>
      <c r="Q2829" t="str">
        <f t="shared" si="442"/>
        <v/>
      </c>
      <c r="R2829" t="str">
        <f t="shared" si="443"/>
        <v/>
      </c>
      <c r="S2829" t="str">
        <f t="shared" si="444"/>
        <v/>
      </c>
      <c r="T2829" t="str">
        <f t="shared" si="445"/>
        <v/>
      </c>
      <c r="U2829" t="str">
        <f t="shared" si="446"/>
        <v/>
      </c>
      <c r="V2829" t="str">
        <f t="shared" si="447"/>
        <v/>
      </c>
      <c r="W2829" t="str">
        <f t="shared" si="448"/>
        <v/>
      </c>
      <c r="X2829">
        <f>IF($T2829="",N($X2828),IF(MATCH($T2829,$T$6:$T$10005,0)=ROW()-5,N($X2828)+1,N($X2828)))</f>
        <v>0</v>
      </c>
      <c r="Z2829" t="str">
        <f t="shared" si="449"/>
        <v/>
      </c>
      <c r="AA2829">
        <f>IF($V2829="",N($AA2828),IF(MATCH($V2829,$V$6:$V$10005,0)=ROW()-5,N($AA2828)+1,N($AA2828)))</f>
        <v>0</v>
      </c>
    </row>
    <row r="2830" spans="1:27" ht="21" customHeight="1" x14ac:dyDescent="0.95">
      <c r="A2830" s="56"/>
      <c r="B2830" s="57"/>
      <c r="C2830" s="57"/>
      <c r="D2830" s="57"/>
      <c r="E2830" s="56"/>
      <c r="F2830" s="57"/>
      <c r="G2830" s="57"/>
      <c r="H2830" s="56"/>
      <c r="I2830" s="56"/>
      <c r="J2830" s="58"/>
      <c r="K2830" s="58"/>
      <c r="L2830" s="13" t="str">
        <f t="shared" si="440"/>
        <v/>
      </c>
      <c r="M2830" s="13" t="str">
        <f t="shared" si="441"/>
        <v/>
      </c>
      <c r="Q2830" t="str">
        <f t="shared" si="442"/>
        <v/>
      </c>
      <c r="R2830" t="str">
        <f t="shared" si="443"/>
        <v/>
      </c>
      <c r="S2830" t="str">
        <f t="shared" si="444"/>
        <v/>
      </c>
      <c r="T2830" t="str">
        <f t="shared" si="445"/>
        <v/>
      </c>
      <c r="U2830" t="str">
        <f t="shared" si="446"/>
        <v/>
      </c>
      <c r="V2830" t="str">
        <f t="shared" si="447"/>
        <v/>
      </c>
      <c r="W2830" t="str">
        <f t="shared" si="448"/>
        <v/>
      </c>
      <c r="X2830">
        <f>IF($T2830="",N($X2829),IF(MATCH($T2830,$T$6:$T$10005,0)=ROW()-5,N($X2829)+1,N($X2829)))</f>
        <v>0</v>
      </c>
      <c r="Z2830" t="str">
        <f t="shared" si="449"/>
        <v/>
      </c>
      <c r="AA2830">
        <f>IF($V2830="",N($AA2829),IF(MATCH($V2830,$V$6:$V$10005,0)=ROW()-5,N($AA2829)+1,N($AA2829)))</f>
        <v>0</v>
      </c>
    </row>
    <row r="2831" spans="1:27" ht="21" customHeight="1" x14ac:dyDescent="0.95">
      <c r="A2831" s="56"/>
      <c r="B2831" s="57"/>
      <c r="C2831" s="57"/>
      <c r="D2831" s="57"/>
      <c r="E2831" s="56"/>
      <c r="F2831" s="57"/>
      <c r="G2831" s="57"/>
      <c r="H2831" s="56"/>
      <c r="I2831" s="56"/>
      <c r="J2831" s="58"/>
      <c r="K2831" s="58"/>
      <c r="L2831" s="13" t="str">
        <f t="shared" si="440"/>
        <v/>
      </c>
      <c r="M2831" s="13" t="str">
        <f t="shared" si="441"/>
        <v/>
      </c>
      <c r="Q2831" t="str">
        <f t="shared" si="442"/>
        <v/>
      </c>
      <c r="R2831" t="str">
        <f t="shared" si="443"/>
        <v/>
      </c>
      <c r="S2831" t="str">
        <f t="shared" si="444"/>
        <v/>
      </c>
      <c r="T2831" t="str">
        <f t="shared" si="445"/>
        <v/>
      </c>
      <c r="U2831" t="str">
        <f t="shared" si="446"/>
        <v/>
      </c>
      <c r="V2831" t="str">
        <f t="shared" si="447"/>
        <v/>
      </c>
      <c r="W2831" t="str">
        <f t="shared" si="448"/>
        <v/>
      </c>
      <c r="X2831">
        <f>IF($T2831="",N($X2830),IF(MATCH($T2831,$T$6:$T$10005,0)=ROW()-5,N($X2830)+1,N($X2830)))</f>
        <v>0</v>
      </c>
      <c r="Z2831" t="str">
        <f t="shared" si="449"/>
        <v/>
      </c>
      <c r="AA2831">
        <f>IF($V2831="",N($AA2830),IF(MATCH($V2831,$V$6:$V$10005,0)=ROW()-5,N($AA2830)+1,N($AA2830)))</f>
        <v>0</v>
      </c>
    </row>
    <row r="2832" spans="1:27" ht="21" customHeight="1" x14ac:dyDescent="0.95">
      <c r="A2832" s="56"/>
      <c r="B2832" s="57"/>
      <c r="C2832" s="57"/>
      <c r="D2832" s="57"/>
      <c r="E2832" s="56"/>
      <c r="F2832" s="57"/>
      <c r="G2832" s="57"/>
      <c r="H2832" s="56"/>
      <c r="I2832" s="56"/>
      <c r="J2832" s="58"/>
      <c r="K2832" s="58"/>
      <c r="L2832" s="13" t="str">
        <f t="shared" si="440"/>
        <v/>
      </c>
      <c r="M2832" s="13" t="str">
        <f t="shared" si="441"/>
        <v/>
      </c>
      <c r="Q2832" t="str">
        <f t="shared" si="442"/>
        <v/>
      </c>
      <c r="R2832" t="str">
        <f t="shared" si="443"/>
        <v/>
      </c>
      <c r="S2832" t="str">
        <f t="shared" si="444"/>
        <v/>
      </c>
      <c r="T2832" t="str">
        <f t="shared" si="445"/>
        <v/>
      </c>
      <c r="U2832" t="str">
        <f t="shared" si="446"/>
        <v/>
      </c>
      <c r="V2832" t="str">
        <f t="shared" si="447"/>
        <v/>
      </c>
      <c r="W2832" t="str">
        <f t="shared" si="448"/>
        <v/>
      </c>
      <c r="X2832">
        <f>IF($T2832="",N($X2831),IF(MATCH($T2832,$T$6:$T$10005,0)=ROW()-5,N($X2831)+1,N($X2831)))</f>
        <v>0</v>
      </c>
      <c r="Z2832" t="str">
        <f t="shared" si="449"/>
        <v/>
      </c>
      <c r="AA2832">
        <f>IF($V2832="",N($AA2831),IF(MATCH($V2832,$V$6:$V$10005,0)=ROW()-5,N($AA2831)+1,N($AA2831)))</f>
        <v>0</v>
      </c>
    </row>
    <row r="2833" spans="1:27" ht="21" customHeight="1" x14ac:dyDescent="0.95">
      <c r="A2833" s="56"/>
      <c r="B2833" s="57"/>
      <c r="C2833" s="57"/>
      <c r="D2833" s="57"/>
      <c r="E2833" s="56"/>
      <c r="F2833" s="57"/>
      <c r="G2833" s="57"/>
      <c r="H2833" s="56"/>
      <c r="I2833" s="56"/>
      <c r="J2833" s="58"/>
      <c r="K2833" s="58"/>
      <c r="L2833" s="13" t="str">
        <f t="shared" si="440"/>
        <v/>
      </c>
      <c r="M2833" s="13" t="str">
        <f t="shared" si="441"/>
        <v/>
      </c>
      <c r="Q2833" t="str">
        <f t="shared" si="442"/>
        <v/>
      </c>
      <c r="R2833" t="str">
        <f t="shared" si="443"/>
        <v/>
      </c>
      <c r="S2833" t="str">
        <f t="shared" si="444"/>
        <v/>
      </c>
      <c r="T2833" t="str">
        <f t="shared" si="445"/>
        <v/>
      </c>
      <c r="U2833" t="str">
        <f t="shared" si="446"/>
        <v/>
      </c>
      <c r="V2833" t="str">
        <f t="shared" si="447"/>
        <v/>
      </c>
      <c r="W2833" t="str">
        <f t="shared" si="448"/>
        <v/>
      </c>
      <c r="X2833">
        <f>IF($T2833="",N($X2832),IF(MATCH($T2833,$T$6:$T$10005,0)=ROW()-5,N($X2832)+1,N($X2832)))</f>
        <v>0</v>
      </c>
      <c r="Z2833" t="str">
        <f t="shared" si="449"/>
        <v/>
      </c>
      <c r="AA2833">
        <f>IF($V2833="",N($AA2832),IF(MATCH($V2833,$V$6:$V$10005,0)=ROW()-5,N($AA2832)+1,N($AA2832)))</f>
        <v>0</v>
      </c>
    </row>
    <row r="2834" spans="1:27" ht="21" customHeight="1" x14ac:dyDescent="0.95">
      <c r="A2834" s="56"/>
      <c r="B2834" s="57"/>
      <c r="C2834" s="57"/>
      <c r="D2834" s="57"/>
      <c r="E2834" s="56"/>
      <c r="F2834" s="57"/>
      <c r="G2834" s="57"/>
      <c r="H2834" s="56"/>
      <c r="I2834" s="56"/>
      <c r="J2834" s="58"/>
      <c r="K2834" s="58"/>
      <c r="L2834" s="13" t="str">
        <f t="shared" si="440"/>
        <v/>
      </c>
      <c r="M2834" s="13" t="str">
        <f t="shared" si="441"/>
        <v/>
      </c>
      <c r="Q2834" t="str">
        <f t="shared" si="442"/>
        <v/>
      </c>
      <c r="R2834" t="str">
        <f t="shared" si="443"/>
        <v/>
      </c>
      <c r="S2834" t="str">
        <f t="shared" si="444"/>
        <v/>
      </c>
      <c r="T2834" t="str">
        <f t="shared" si="445"/>
        <v/>
      </c>
      <c r="U2834" t="str">
        <f t="shared" si="446"/>
        <v/>
      </c>
      <c r="V2834" t="str">
        <f t="shared" si="447"/>
        <v/>
      </c>
      <c r="W2834" t="str">
        <f t="shared" si="448"/>
        <v/>
      </c>
      <c r="X2834">
        <f>IF($T2834="",N($X2833),IF(MATCH($T2834,$T$6:$T$10005,0)=ROW()-5,N($X2833)+1,N($X2833)))</f>
        <v>0</v>
      </c>
      <c r="Z2834" t="str">
        <f t="shared" si="449"/>
        <v/>
      </c>
      <c r="AA2834">
        <f>IF($V2834="",N($AA2833),IF(MATCH($V2834,$V$6:$V$10005,0)=ROW()-5,N($AA2833)+1,N($AA2833)))</f>
        <v>0</v>
      </c>
    </row>
    <row r="2835" spans="1:27" ht="21" customHeight="1" x14ac:dyDescent="0.95">
      <c r="A2835" s="56"/>
      <c r="B2835" s="57"/>
      <c r="C2835" s="57"/>
      <c r="D2835" s="57"/>
      <c r="E2835" s="56"/>
      <c r="F2835" s="57"/>
      <c r="G2835" s="57"/>
      <c r="H2835" s="56"/>
      <c r="I2835" s="56"/>
      <c r="J2835" s="58"/>
      <c r="K2835" s="58"/>
      <c r="L2835" s="13" t="str">
        <f t="shared" si="440"/>
        <v/>
      </c>
      <c r="M2835" s="13" t="str">
        <f t="shared" si="441"/>
        <v/>
      </c>
      <c r="Q2835" t="str">
        <f t="shared" si="442"/>
        <v/>
      </c>
      <c r="R2835" t="str">
        <f t="shared" si="443"/>
        <v/>
      </c>
      <c r="S2835" t="str">
        <f t="shared" si="444"/>
        <v/>
      </c>
      <c r="T2835" t="str">
        <f t="shared" si="445"/>
        <v/>
      </c>
      <c r="U2835" t="str">
        <f t="shared" si="446"/>
        <v/>
      </c>
      <c r="V2835" t="str">
        <f t="shared" si="447"/>
        <v/>
      </c>
      <c r="W2835" t="str">
        <f t="shared" si="448"/>
        <v/>
      </c>
      <c r="X2835">
        <f>IF($T2835="",N($X2834),IF(MATCH($T2835,$T$6:$T$10005,0)=ROW()-5,N($X2834)+1,N($X2834)))</f>
        <v>0</v>
      </c>
      <c r="Z2835" t="str">
        <f t="shared" si="449"/>
        <v/>
      </c>
      <c r="AA2835">
        <f>IF($V2835="",N($AA2834),IF(MATCH($V2835,$V$6:$V$10005,0)=ROW()-5,N($AA2834)+1,N($AA2834)))</f>
        <v>0</v>
      </c>
    </row>
    <row r="2836" spans="1:27" ht="21" customHeight="1" x14ac:dyDescent="0.95">
      <c r="A2836" s="56"/>
      <c r="B2836" s="57"/>
      <c r="C2836" s="57"/>
      <c r="D2836" s="57"/>
      <c r="E2836" s="56"/>
      <c r="F2836" s="57"/>
      <c r="G2836" s="57"/>
      <c r="H2836" s="56"/>
      <c r="I2836" s="56"/>
      <c r="J2836" s="58"/>
      <c r="K2836" s="58"/>
      <c r="L2836" s="13" t="str">
        <f t="shared" si="440"/>
        <v/>
      </c>
      <c r="M2836" s="13" t="str">
        <f t="shared" si="441"/>
        <v/>
      </c>
      <c r="Q2836" t="str">
        <f t="shared" si="442"/>
        <v/>
      </c>
      <c r="R2836" t="str">
        <f t="shared" si="443"/>
        <v/>
      </c>
      <c r="S2836" t="str">
        <f t="shared" si="444"/>
        <v/>
      </c>
      <c r="T2836" t="str">
        <f t="shared" si="445"/>
        <v/>
      </c>
      <c r="U2836" t="str">
        <f t="shared" si="446"/>
        <v/>
      </c>
      <c r="V2836" t="str">
        <f t="shared" si="447"/>
        <v/>
      </c>
      <c r="W2836" t="str">
        <f t="shared" si="448"/>
        <v/>
      </c>
      <c r="X2836">
        <f>IF($T2836="",N($X2835),IF(MATCH($T2836,$T$6:$T$10005,0)=ROW()-5,N($X2835)+1,N($X2835)))</f>
        <v>0</v>
      </c>
      <c r="Z2836" t="str">
        <f t="shared" si="449"/>
        <v/>
      </c>
      <c r="AA2836">
        <f>IF($V2836="",N($AA2835),IF(MATCH($V2836,$V$6:$V$10005,0)=ROW()-5,N($AA2835)+1,N($AA2835)))</f>
        <v>0</v>
      </c>
    </row>
    <row r="2837" spans="1:27" ht="21" customHeight="1" x14ac:dyDescent="0.95">
      <c r="A2837" s="56"/>
      <c r="B2837" s="57"/>
      <c r="C2837" s="57"/>
      <c r="D2837" s="57"/>
      <c r="E2837" s="56"/>
      <c r="F2837" s="57"/>
      <c r="G2837" s="57"/>
      <c r="H2837" s="56"/>
      <c r="I2837" s="56"/>
      <c r="J2837" s="58"/>
      <c r="K2837" s="58"/>
      <c r="L2837" s="13" t="str">
        <f t="shared" si="440"/>
        <v/>
      </c>
      <c r="M2837" s="13" t="str">
        <f t="shared" si="441"/>
        <v/>
      </c>
      <c r="Q2837" t="str">
        <f t="shared" si="442"/>
        <v/>
      </c>
      <c r="R2837" t="str">
        <f t="shared" si="443"/>
        <v/>
      </c>
      <c r="S2837" t="str">
        <f t="shared" si="444"/>
        <v/>
      </c>
      <c r="T2837" t="str">
        <f t="shared" si="445"/>
        <v/>
      </c>
      <c r="U2837" t="str">
        <f t="shared" si="446"/>
        <v/>
      </c>
      <c r="V2837" t="str">
        <f t="shared" si="447"/>
        <v/>
      </c>
      <c r="W2837" t="str">
        <f t="shared" si="448"/>
        <v/>
      </c>
      <c r="X2837">
        <f>IF($T2837="",N($X2836),IF(MATCH($T2837,$T$6:$T$10005,0)=ROW()-5,N($X2836)+1,N($X2836)))</f>
        <v>0</v>
      </c>
      <c r="Z2837" t="str">
        <f t="shared" si="449"/>
        <v/>
      </c>
      <c r="AA2837">
        <f>IF($V2837="",N($AA2836),IF(MATCH($V2837,$V$6:$V$10005,0)=ROW()-5,N($AA2836)+1,N($AA2836)))</f>
        <v>0</v>
      </c>
    </row>
    <row r="2838" spans="1:27" ht="21" customHeight="1" x14ac:dyDescent="0.95">
      <c r="A2838" s="56"/>
      <c r="B2838" s="57"/>
      <c r="C2838" s="57"/>
      <c r="D2838" s="57"/>
      <c r="E2838" s="56"/>
      <c r="F2838" s="57"/>
      <c r="G2838" s="57"/>
      <c r="H2838" s="56"/>
      <c r="I2838" s="56"/>
      <c r="J2838" s="58"/>
      <c r="K2838" s="58"/>
      <c r="L2838" s="13" t="str">
        <f t="shared" si="440"/>
        <v/>
      </c>
      <c r="M2838" s="13" t="str">
        <f t="shared" si="441"/>
        <v/>
      </c>
      <c r="Q2838" t="str">
        <f t="shared" si="442"/>
        <v/>
      </c>
      <c r="R2838" t="str">
        <f t="shared" si="443"/>
        <v/>
      </c>
      <c r="S2838" t="str">
        <f t="shared" si="444"/>
        <v/>
      </c>
      <c r="T2838" t="str">
        <f t="shared" si="445"/>
        <v/>
      </c>
      <c r="U2838" t="str">
        <f t="shared" si="446"/>
        <v/>
      </c>
      <c r="V2838" t="str">
        <f t="shared" si="447"/>
        <v/>
      </c>
      <c r="W2838" t="str">
        <f t="shared" si="448"/>
        <v/>
      </c>
      <c r="X2838">
        <f>IF($T2838="",N($X2837),IF(MATCH($T2838,$T$6:$T$10005,0)=ROW()-5,N($X2837)+1,N($X2837)))</f>
        <v>0</v>
      </c>
      <c r="Z2838" t="str">
        <f t="shared" si="449"/>
        <v/>
      </c>
      <c r="AA2838">
        <f>IF($V2838="",N($AA2837),IF(MATCH($V2838,$V$6:$V$10005,0)=ROW()-5,N($AA2837)+1,N($AA2837)))</f>
        <v>0</v>
      </c>
    </row>
    <row r="2839" spans="1:27" ht="21" customHeight="1" x14ac:dyDescent="0.95">
      <c r="A2839" s="56"/>
      <c r="B2839" s="57"/>
      <c r="C2839" s="57"/>
      <c r="D2839" s="57"/>
      <c r="E2839" s="56"/>
      <c r="F2839" s="57"/>
      <c r="G2839" s="57"/>
      <c r="H2839" s="56"/>
      <c r="I2839" s="56"/>
      <c r="J2839" s="58"/>
      <c r="K2839" s="58"/>
      <c r="L2839" s="13" t="str">
        <f t="shared" si="440"/>
        <v/>
      </c>
      <c r="M2839" s="13" t="str">
        <f t="shared" si="441"/>
        <v/>
      </c>
      <c r="Q2839" t="str">
        <f t="shared" si="442"/>
        <v/>
      </c>
      <c r="R2839" t="str">
        <f t="shared" si="443"/>
        <v/>
      </c>
      <c r="S2839" t="str">
        <f t="shared" si="444"/>
        <v/>
      </c>
      <c r="T2839" t="str">
        <f t="shared" si="445"/>
        <v/>
      </c>
      <c r="U2839" t="str">
        <f t="shared" si="446"/>
        <v/>
      </c>
      <c r="V2839" t="str">
        <f t="shared" si="447"/>
        <v/>
      </c>
      <c r="W2839" t="str">
        <f t="shared" si="448"/>
        <v/>
      </c>
      <c r="X2839">
        <f>IF($T2839="",N($X2838),IF(MATCH($T2839,$T$6:$T$10005,0)=ROW()-5,N($X2838)+1,N($X2838)))</f>
        <v>0</v>
      </c>
      <c r="Z2839" t="str">
        <f t="shared" si="449"/>
        <v/>
      </c>
      <c r="AA2839">
        <f>IF($V2839="",N($AA2838),IF(MATCH($V2839,$V$6:$V$10005,0)=ROW()-5,N($AA2838)+1,N($AA2838)))</f>
        <v>0</v>
      </c>
    </row>
    <row r="2840" spans="1:27" ht="21" customHeight="1" x14ac:dyDescent="0.95">
      <c r="A2840" s="56"/>
      <c r="B2840" s="57"/>
      <c r="C2840" s="57"/>
      <c r="D2840" s="57"/>
      <c r="E2840" s="56"/>
      <c r="F2840" s="57"/>
      <c r="G2840" s="57"/>
      <c r="H2840" s="56"/>
      <c r="I2840" s="56"/>
      <c r="J2840" s="58"/>
      <c r="K2840" s="58"/>
      <c r="L2840" s="13" t="str">
        <f t="shared" si="440"/>
        <v/>
      </c>
      <c r="M2840" s="13" t="str">
        <f t="shared" si="441"/>
        <v/>
      </c>
      <c r="Q2840" t="str">
        <f t="shared" si="442"/>
        <v/>
      </c>
      <c r="R2840" t="str">
        <f t="shared" si="443"/>
        <v/>
      </c>
      <c r="S2840" t="str">
        <f t="shared" si="444"/>
        <v/>
      </c>
      <c r="T2840" t="str">
        <f t="shared" si="445"/>
        <v/>
      </c>
      <c r="U2840" t="str">
        <f t="shared" si="446"/>
        <v/>
      </c>
      <c r="V2840" t="str">
        <f t="shared" si="447"/>
        <v/>
      </c>
      <c r="W2840" t="str">
        <f t="shared" si="448"/>
        <v/>
      </c>
      <c r="X2840">
        <f>IF($T2840="",N($X2839),IF(MATCH($T2840,$T$6:$T$10005,0)=ROW()-5,N($X2839)+1,N($X2839)))</f>
        <v>0</v>
      </c>
      <c r="Z2840" t="str">
        <f t="shared" si="449"/>
        <v/>
      </c>
      <c r="AA2840">
        <f>IF($V2840="",N($AA2839),IF(MATCH($V2840,$V$6:$V$10005,0)=ROW()-5,N($AA2839)+1,N($AA2839)))</f>
        <v>0</v>
      </c>
    </row>
    <row r="2841" spans="1:27" ht="21" customHeight="1" x14ac:dyDescent="0.95">
      <c r="A2841" s="56"/>
      <c r="B2841" s="57"/>
      <c r="C2841" s="57"/>
      <c r="D2841" s="57"/>
      <c r="E2841" s="56"/>
      <c r="F2841" s="57"/>
      <c r="G2841" s="57"/>
      <c r="H2841" s="56"/>
      <c r="I2841" s="56"/>
      <c r="J2841" s="58"/>
      <c r="K2841" s="58"/>
      <c r="L2841" s="13" t="str">
        <f t="shared" si="440"/>
        <v/>
      </c>
      <c r="M2841" s="13" t="str">
        <f t="shared" si="441"/>
        <v/>
      </c>
      <c r="Q2841" t="str">
        <f t="shared" si="442"/>
        <v/>
      </c>
      <c r="R2841" t="str">
        <f t="shared" si="443"/>
        <v/>
      </c>
      <c r="S2841" t="str">
        <f t="shared" si="444"/>
        <v/>
      </c>
      <c r="T2841" t="str">
        <f t="shared" si="445"/>
        <v/>
      </c>
      <c r="U2841" t="str">
        <f t="shared" si="446"/>
        <v/>
      </c>
      <c r="V2841" t="str">
        <f t="shared" si="447"/>
        <v/>
      </c>
      <c r="W2841" t="str">
        <f t="shared" si="448"/>
        <v/>
      </c>
      <c r="X2841">
        <f>IF($T2841="",N($X2840),IF(MATCH($T2841,$T$6:$T$10005,0)=ROW()-5,N($X2840)+1,N($X2840)))</f>
        <v>0</v>
      </c>
      <c r="Z2841" t="str">
        <f t="shared" si="449"/>
        <v/>
      </c>
      <c r="AA2841">
        <f>IF($V2841="",N($AA2840),IF(MATCH($V2841,$V$6:$V$10005,0)=ROW()-5,N($AA2840)+1,N($AA2840)))</f>
        <v>0</v>
      </c>
    </row>
    <row r="2842" spans="1:27" ht="21" customHeight="1" x14ac:dyDescent="0.95">
      <c r="A2842" s="56"/>
      <c r="B2842" s="57"/>
      <c r="C2842" s="57"/>
      <c r="D2842" s="57"/>
      <c r="E2842" s="56"/>
      <c r="F2842" s="57"/>
      <c r="G2842" s="57"/>
      <c r="H2842" s="56"/>
      <c r="I2842" s="56"/>
      <c r="J2842" s="58"/>
      <c r="K2842" s="58"/>
      <c r="L2842" s="13" t="str">
        <f t="shared" si="440"/>
        <v/>
      </c>
      <c r="M2842" s="13" t="str">
        <f t="shared" si="441"/>
        <v/>
      </c>
      <c r="Q2842" t="str">
        <f t="shared" si="442"/>
        <v/>
      </c>
      <c r="R2842" t="str">
        <f t="shared" si="443"/>
        <v/>
      </c>
      <c r="S2842" t="str">
        <f t="shared" si="444"/>
        <v/>
      </c>
      <c r="T2842" t="str">
        <f t="shared" si="445"/>
        <v/>
      </c>
      <c r="U2842" t="str">
        <f t="shared" si="446"/>
        <v/>
      </c>
      <c r="V2842" t="str">
        <f t="shared" si="447"/>
        <v/>
      </c>
      <c r="W2842" t="str">
        <f t="shared" si="448"/>
        <v/>
      </c>
      <c r="X2842">
        <f>IF($T2842="",N($X2841),IF(MATCH($T2842,$T$6:$T$10005,0)=ROW()-5,N($X2841)+1,N($X2841)))</f>
        <v>0</v>
      </c>
      <c r="Z2842" t="str">
        <f t="shared" si="449"/>
        <v/>
      </c>
      <c r="AA2842">
        <f>IF($V2842="",N($AA2841),IF(MATCH($V2842,$V$6:$V$10005,0)=ROW()-5,N($AA2841)+1,N($AA2841)))</f>
        <v>0</v>
      </c>
    </row>
    <row r="2843" spans="1:27" ht="21" customHeight="1" x14ac:dyDescent="0.95">
      <c r="A2843" s="56"/>
      <c r="B2843" s="57"/>
      <c r="C2843" s="57"/>
      <c r="D2843" s="57"/>
      <c r="E2843" s="56"/>
      <c r="F2843" s="57"/>
      <c r="G2843" s="57"/>
      <c r="H2843" s="56"/>
      <c r="I2843" s="56"/>
      <c r="J2843" s="58"/>
      <c r="K2843" s="58"/>
      <c r="L2843" s="13" t="str">
        <f t="shared" si="440"/>
        <v/>
      </c>
      <c r="M2843" s="13" t="str">
        <f t="shared" si="441"/>
        <v/>
      </c>
      <c r="Q2843" t="str">
        <f t="shared" si="442"/>
        <v/>
      </c>
      <c r="R2843" t="str">
        <f t="shared" si="443"/>
        <v/>
      </c>
      <c r="S2843" t="str">
        <f t="shared" si="444"/>
        <v/>
      </c>
      <c r="T2843" t="str">
        <f t="shared" si="445"/>
        <v/>
      </c>
      <c r="U2843" t="str">
        <f t="shared" si="446"/>
        <v/>
      </c>
      <c r="V2843" t="str">
        <f t="shared" si="447"/>
        <v/>
      </c>
      <c r="W2843" t="str">
        <f t="shared" si="448"/>
        <v/>
      </c>
      <c r="X2843">
        <f>IF($T2843="",N($X2842),IF(MATCH($T2843,$T$6:$T$10005,0)=ROW()-5,N($X2842)+1,N($X2842)))</f>
        <v>0</v>
      </c>
      <c r="Z2843" t="str">
        <f t="shared" si="449"/>
        <v/>
      </c>
      <c r="AA2843">
        <f>IF($V2843="",N($AA2842),IF(MATCH($V2843,$V$6:$V$10005,0)=ROW()-5,N($AA2842)+1,N($AA2842)))</f>
        <v>0</v>
      </c>
    </row>
    <row r="2844" spans="1:27" ht="21" customHeight="1" x14ac:dyDescent="0.95">
      <c r="A2844" s="56"/>
      <c r="B2844" s="57"/>
      <c r="C2844" s="57"/>
      <c r="D2844" s="57"/>
      <c r="E2844" s="56"/>
      <c r="F2844" s="57"/>
      <c r="G2844" s="57"/>
      <c r="H2844" s="56"/>
      <c r="I2844" s="56"/>
      <c r="J2844" s="58"/>
      <c r="K2844" s="58"/>
      <c r="L2844" s="13" t="str">
        <f t="shared" si="440"/>
        <v/>
      </c>
      <c r="M2844" s="13" t="str">
        <f t="shared" si="441"/>
        <v/>
      </c>
      <c r="Q2844" t="str">
        <f t="shared" si="442"/>
        <v/>
      </c>
      <c r="R2844" t="str">
        <f t="shared" si="443"/>
        <v/>
      </c>
      <c r="S2844" t="str">
        <f t="shared" si="444"/>
        <v/>
      </c>
      <c r="T2844" t="str">
        <f t="shared" si="445"/>
        <v/>
      </c>
      <c r="U2844" t="str">
        <f t="shared" si="446"/>
        <v/>
      </c>
      <c r="V2844" t="str">
        <f t="shared" si="447"/>
        <v/>
      </c>
      <c r="W2844" t="str">
        <f t="shared" si="448"/>
        <v/>
      </c>
      <c r="X2844">
        <f>IF($T2844="",N($X2843),IF(MATCH($T2844,$T$6:$T$10005,0)=ROW()-5,N($X2843)+1,N($X2843)))</f>
        <v>0</v>
      </c>
      <c r="Z2844" t="str">
        <f t="shared" si="449"/>
        <v/>
      </c>
      <c r="AA2844">
        <f>IF($V2844="",N($AA2843),IF(MATCH($V2844,$V$6:$V$10005,0)=ROW()-5,N($AA2843)+1,N($AA2843)))</f>
        <v>0</v>
      </c>
    </row>
    <row r="2845" spans="1:27" ht="21" customHeight="1" x14ac:dyDescent="0.95">
      <c r="A2845" s="56"/>
      <c r="B2845" s="57"/>
      <c r="C2845" s="57"/>
      <c r="D2845" s="57"/>
      <c r="E2845" s="56"/>
      <c r="F2845" s="57"/>
      <c r="G2845" s="57"/>
      <c r="H2845" s="56"/>
      <c r="I2845" s="56"/>
      <c r="J2845" s="58"/>
      <c r="K2845" s="58"/>
      <c r="L2845" s="13" t="str">
        <f t="shared" si="440"/>
        <v/>
      </c>
      <c r="M2845" s="13" t="str">
        <f t="shared" si="441"/>
        <v/>
      </c>
      <c r="Q2845" t="str">
        <f t="shared" si="442"/>
        <v/>
      </c>
      <c r="R2845" t="str">
        <f t="shared" si="443"/>
        <v/>
      </c>
      <c r="S2845" t="str">
        <f t="shared" si="444"/>
        <v/>
      </c>
      <c r="T2845" t="str">
        <f t="shared" si="445"/>
        <v/>
      </c>
      <c r="U2845" t="str">
        <f t="shared" si="446"/>
        <v/>
      </c>
      <c r="V2845" t="str">
        <f t="shared" si="447"/>
        <v/>
      </c>
      <c r="W2845" t="str">
        <f t="shared" si="448"/>
        <v/>
      </c>
      <c r="X2845">
        <f>IF($T2845="",N($X2844),IF(MATCH($T2845,$T$6:$T$10005,0)=ROW()-5,N($X2844)+1,N($X2844)))</f>
        <v>0</v>
      </c>
      <c r="Z2845" t="str">
        <f t="shared" si="449"/>
        <v/>
      </c>
      <c r="AA2845">
        <f>IF($V2845="",N($AA2844),IF(MATCH($V2845,$V$6:$V$10005,0)=ROW()-5,N($AA2844)+1,N($AA2844)))</f>
        <v>0</v>
      </c>
    </row>
    <row r="2846" spans="1:27" ht="21" customHeight="1" x14ac:dyDescent="0.95">
      <c r="A2846" s="56"/>
      <c r="B2846" s="57"/>
      <c r="C2846" s="57"/>
      <c r="D2846" s="57"/>
      <c r="E2846" s="56"/>
      <c r="F2846" s="57"/>
      <c r="G2846" s="57"/>
      <c r="H2846" s="56"/>
      <c r="I2846" s="56"/>
      <c r="J2846" s="58"/>
      <c r="K2846" s="58"/>
      <c r="L2846" s="13" t="str">
        <f t="shared" si="440"/>
        <v/>
      </c>
      <c r="M2846" s="13" t="str">
        <f t="shared" si="441"/>
        <v/>
      </c>
      <c r="Q2846" t="str">
        <f t="shared" si="442"/>
        <v/>
      </c>
      <c r="R2846" t="str">
        <f t="shared" si="443"/>
        <v/>
      </c>
      <c r="S2846" t="str">
        <f t="shared" si="444"/>
        <v/>
      </c>
      <c r="T2846" t="str">
        <f t="shared" si="445"/>
        <v/>
      </c>
      <c r="U2846" t="str">
        <f t="shared" si="446"/>
        <v/>
      </c>
      <c r="V2846" t="str">
        <f t="shared" si="447"/>
        <v/>
      </c>
      <c r="W2846" t="str">
        <f t="shared" si="448"/>
        <v/>
      </c>
      <c r="X2846">
        <f>IF($T2846="",N($X2845),IF(MATCH($T2846,$T$6:$T$10005,0)=ROW()-5,N($X2845)+1,N($X2845)))</f>
        <v>0</v>
      </c>
      <c r="Z2846" t="str">
        <f t="shared" si="449"/>
        <v/>
      </c>
      <c r="AA2846">
        <f>IF($V2846="",N($AA2845),IF(MATCH($V2846,$V$6:$V$10005,0)=ROW()-5,N($AA2845)+1,N($AA2845)))</f>
        <v>0</v>
      </c>
    </row>
    <row r="2847" spans="1:27" ht="21" customHeight="1" x14ac:dyDescent="0.95">
      <c r="A2847" s="56"/>
      <c r="B2847" s="57"/>
      <c r="C2847" s="57"/>
      <c r="D2847" s="57"/>
      <c r="E2847" s="56"/>
      <c r="F2847" s="57"/>
      <c r="G2847" s="57"/>
      <c r="H2847" s="56"/>
      <c r="I2847" s="56"/>
      <c r="J2847" s="58"/>
      <c r="K2847" s="58"/>
      <c r="L2847" s="13" t="str">
        <f t="shared" si="440"/>
        <v/>
      </c>
      <c r="M2847" s="13" t="str">
        <f t="shared" si="441"/>
        <v/>
      </c>
      <c r="Q2847" t="str">
        <f t="shared" si="442"/>
        <v/>
      </c>
      <c r="R2847" t="str">
        <f t="shared" si="443"/>
        <v/>
      </c>
      <c r="S2847" t="str">
        <f t="shared" si="444"/>
        <v/>
      </c>
      <c r="T2847" t="str">
        <f t="shared" si="445"/>
        <v/>
      </c>
      <c r="U2847" t="str">
        <f t="shared" si="446"/>
        <v/>
      </c>
      <c r="V2847" t="str">
        <f t="shared" si="447"/>
        <v/>
      </c>
      <c r="W2847" t="str">
        <f t="shared" si="448"/>
        <v/>
      </c>
      <c r="X2847">
        <f>IF($T2847="",N($X2846),IF(MATCH($T2847,$T$6:$T$10005,0)=ROW()-5,N($X2846)+1,N($X2846)))</f>
        <v>0</v>
      </c>
      <c r="Z2847" t="str">
        <f t="shared" si="449"/>
        <v/>
      </c>
      <c r="AA2847">
        <f>IF($V2847="",N($AA2846),IF(MATCH($V2847,$V$6:$V$10005,0)=ROW()-5,N($AA2846)+1,N($AA2846)))</f>
        <v>0</v>
      </c>
    </row>
    <row r="2848" spans="1:27" ht="21" customHeight="1" x14ac:dyDescent="0.95">
      <c r="A2848" s="56"/>
      <c r="B2848" s="57"/>
      <c r="C2848" s="57"/>
      <c r="D2848" s="57"/>
      <c r="E2848" s="56"/>
      <c r="F2848" s="57"/>
      <c r="G2848" s="57"/>
      <c r="H2848" s="56"/>
      <c r="I2848" s="56"/>
      <c r="J2848" s="58"/>
      <c r="K2848" s="58"/>
      <c r="L2848" s="13" t="str">
        <f t="shared" si="440"/>
        <v/>
      </c>
      <c r="M2848" s="13" t="str">
        <f t="shared" si="441"/>
        <v/>
      </c>
      <c r="Q2848" t="str">
        <f t="shared" si="442"/>
        <v/>
      </c>
      <c r="R2848" t="str">
        <f t="shared" si="443"/>
        <v/>
      </c>
      <c r="S2848" t="str">
        <f t="shared" si="444"/>
        <v/>
      </c>
      <c r="T2848" t="str">
        <f t="shared" si="445"/>
        <v/>
      </c>
      <c r="U2848" t="str">
        <f t="shared" si="446"/>
        <v/>
      </c>
      <c r="V2848" t="str">
        <f t="shared" si="447"/>
        <v/>
      </c>
      <c r="W2848" t="str">
        <f t="shared" si="448"/>
        <v/>
      </c>
      <c r="X2848">
        <f>IF($T2848="",N($X2847),IF(MATCH($T2848,$T$6:$T$10005,0)=ROW()-5,N($X2847)+1,N($X2847)))</f>
        <v>0</v>
      </c>
      <c r="Z2848" t="str">
        <f t="shared" si="449"/>
        <v/>
      </c>
      <c r="AA2848">
        <f>IF($V2848="",N($AA2847),IF(MATCH($V2848,$V$6:$V$10005,0)=ROW()-5,N($AA2847)+1,N($AA2847)))</f>
        <v>0</v>
      </c>
    </row>
    <row r="2849" spans="1:27" ht="21" customHeight="1" x14ac:dyDescent="0.95">
      <c r="A2849" s="56"/>
      <c r="B2849" s="57"/>
      <c r="C2849" s="57"/>
      <c r="D2849" s="57"/>
      <c r="E2849" s="56"/>
      <c r="F2849" s="57"/>
      <c r="G2849" s="57"/>
      <c r="H2849" s="56"/>
      <c r="I2849" s="56"/>
      <c r="J2849" s="58"/>
      <c r="K2849" s="58"/>
      <c r="L2849" s="13" t="str">
        <f t="shared" si="440"/>
        <v/>
      </c>
      <c r="M2849" s="13" t="str">
        <f t="shared" si="441"/>
        <v/>
      </c>
      <c r="Q2849" t="str">
        <f t="shared" si="442"/>
        <v/>
      </c>
      <c r="R2849" t="str">
        <f t="shared" si="443"/>
        <v/>
      </c>
      <c r="S2849" t="str">
        <f t="shared" si="444"/>
        <v/>
      </c>
      <c r="T2849" t="str">
        <f t="shared" si="445"/>
        <v/>
      </c>
      <c r="U2849" t="str">
        <f t="shared" si="446"/>
        <v/>
      </c>
      <c r="V2849" t="str">
        <f t="shared" si="447"/>
        <v/>
      </c>
      <c r="W2849" t="str">
        <f t="shared" si="448"/>
        <v/>
      </c>
      <c r="X2849">
        <f>IF($T2849="",N($X2848),IF(MATCH($T2849,$T$6:$T$10005,0)=ROW()-5,N($X2848)+1,N($X2848)))</f>
        <v>0</v>
      </c>
      <c r="Z2849" t="str">
        <f t="shared" si="449"/>
        <v/>
      </c>
      <c r="AA2849">
        <f>IF($V2849="",N($AA2848),IF(MATCH($V2849,$V$6:$V$10005,0)=ROW()-5,N($AA2848)+1,N($AA2848)))</f>
        <v>0</v>
      </c>
    </row>
    <row r="2850" spans="1:27" ht="21" customHeight="1" x14ac:dyDescent="0.95">
      <c r="A2850" s="56"/>
      <c r="B2850" s="57"/>
      <c r="C2850" s="57"/>
      <c r="D2850" s="57"/>
      <c r="E2850" s="56"/>
      <c r="F2850" s="57"/>
      <c r="G2850" s="57"/>
      <c r="H2850" s="56"/>
      <c r="I2850" s="56"/>
      <c r="J2850" s="58"/>
      <c r="K2850" s="58"/>
      <c r="L2850" s="13" t="str">
        <f t="shared" si="440"/>
        <v/>
      </c>
      <c r="M2850" s="13" t="str">
        <f t="shared" si="441"/>
        <v/>
      </c>
      <c r="Q2850" t="str">
        <f t="shared" si="442"/>
        <v/>
      </c>
      <c r="R2850" t="str">
        <f t="shared" si="443"/>
        <v/>
      </c>
      <c r="S2850" t="str">
        <f t="shared" si="444"/>
        <v/>
      </c>
      <c r="T2850" t="str">
        <f t="shared" si="445"/>
        <v/>
      </c>
      <c r="U2850" t="str">
        <f t="shared" si="446"/>
        <v/>
      </c>
      <c r="V2850" t="str">
        <f t="shared" si="447"/>
        <v/>
      </c>
      <c r="W2850" t="str">
        <f t="shared" si="448"/>
        <v/>
      </c>
      <c r="X2850">
        <f>IF($T2850="",N($X2849),IF(MATCH($T2850,$T$6:$T$10005,0)=ROW()-5,N($X2849)+1,N($X2849)))</f>
        <v>0</v>
      </c>
      <c r="Z2850" t="str">
        <f t="shared" si="449"/>
        <v/>
      </c>
      <c r="AA2850">
        <f>IF($V2850="",N($AA2849),IF(MATCH($V2850,$V$6:$V$10005,0)=ROW()-5,N($AA2849)+1,N($AA2849)))</f>
        <v>0</v>
      </c>
    </row>
    <row r="2851" spans="1:27" ht="21" customHeight="1" x14ac:dyDescent="0.95">
      <c r="A2851" s="56"/>
      <c r="B2851" s="57"/>
      <c r="C2851" s="57"/>
      <c r="D2851" s="57"/>
      <c r="E2851" s="56"/>
      <c r="F2851" s="57"/>
      <c r="G2851" s="57"/>
      <c r="H2851" s="56"/>
      <c r="I2851" s="56"/>
      <c r="J2851" s="58"/>
      <c r="K2851" s="58"/>
      <c r="L2851" s="13" t="str">
        <f t="shared" si="440"/>
        <v/>
      </c>
      <c r="M2851" s="13" t="str">
        <f t="shared" si="441"/>
        <v/>
      </c>
      <c r="Q2851" t="str">
        <f t="shared" si="442"/>
        <v/>
      </c>
      <c r="R2851" t="str">
        <f t="shared" si="443"/>
        <v/>
      </c>
      <c r="S2851" t="str">
        <f t="shared" si="444"/>
        <v/>
      </c>
      <c r="T2851" t="str">
        <f t="shared" si="445"/>
        <v/>
      </c>
      <c r="U2851" t="str">
        <f t="shared" si="446"/>
        <v/>
      </c>
      <c r="V2851" t="str">
        <f t="shared" si="447"/>
        <v/>
      </c>
      <c r="W2851" t="str">
        <f t="shared" si="448"/>
        <v/>
      </c>
      <c r="X2851">
        <f>IF($T2851="",N($X2850),IF(MATCH($T2851,$T$6:$T$10005,0)=ROW()-5,N($X2850)+1,N($X2850)))</f>
        <v>0</v>
      </c>
      <c r="Z2851" t="str">
        <f t="shared" si="449"/>
        <v/>
      </c>
      <c r="AA2851">
        <f>IF($V2851="",N($AA2850),IF(MATCH($V2851,$V$6:$V$10005,0)=ROW()-5,N($AA2850)+1,N($AA2850)))</f>
        <v>0</v>
      </c>
    </row>
    <row r="2852" spans="1:27" ht="21" customHeight="1" x14ac:dyDescent="0.95">
      <c r="A2852" s="56"/>
      <c r="B2852" s="57"/>
      <c r="C2852" s="57"/>
      <c r="D2852" s="57"/>
      <c r="E2852" s="56"/>
      <c r="F2852" s="57"/>
      <c r="G2852" s="57"/>
      <c r="H2852" s="56"/>
      <c r="I2852" s="56"/>
      <c r="J2852" s="58"/>
      <c r="K2852" s="58"/>
      <c r="L2852" s="13" t="str">
        <f t="shared" si="440"/>
        <v/>
      </c>
      <c r="M2852" s="13" t="str">
        <f t="shared" si="441"/>
        <v/>
      </c>
      <c r="Q2852" t="str">
        <f t="shared" si="442"/>
        <v/>
      </c>
      <c r="R2852" t="str">
        <f t="shared" si="443"/>
        <v/>
      </c>
      <c r="S2852" t="str">
        <f t="shared" si="444"/>
        <v/>
      </c>
      <c r="T2852" t="str">
        <f t="shared" si="445"/>
        <v/>
      </c>
      <c r="U2852" t="str">
        <f t="shared" si="446"/>
        <v/>
      </c>
      <c r="V2852" t="str">
        <f t="shared" si="447"/>
        <v/>
      </c>
      <c r="W2852" t="str">
        <f t="shared" si="448"/>
        <v/>
      </c>
      <c r="X2852">
        <f>IF($T2852="",N($X2851),IF(MATCH($T2852,$T$6:$T$10005,0)=ROW()-5,N($X2851)+1,N($X2851)))</f>
        <v>0</v>
      </c>
      <c r="Z2852" t="str">
        <f t="shared" si="449"/>
        <v/>
      </c>
      <c r="AA2852">
        <f>IF($V2852="",N($AA2851),IF(MATCH($V2852,$V$6:$V$10005,0)=ROW()-5,N($AA2851)+1,N($AA2851)))</f>
        <v>0</v>
      </c>
    </row>
    <row r="2853" spans="1:27" ht="21" customHeight="1" x14ac:dyDescent="0.95">
      <c r="A2853" s="56"/>
      <c r="B2853" s="57"/>
      <c r="C2853" s="57"/>
      <c r="D2853" s="57"/>
      <c r="E2853" s="56"/>
      <c r="F2853" s="57"/>
      <c r="G2853" s="57"/>
      <c r="H2853" s="56"/>
      <c r="I2853" s="56"/>
      <c r="J2853" s="58"/>
      <c r="K2853" s="58"/>
      <c r="L2853" s="13" t="str">
        <f t="shared" si="440"/>
        <v/>
      </c>
      <c r="M2853" s="13" t="str">
        <f t="shared" si="441"/>
        <v/>
      </c>
      <c r="Q2853" t="str">
        <f t="shared" si="442"/>
        <v/>
      </c>
      <c r="R2853" t="str">
        <f t="shared" si="443"/>
        <v/>
      </c>
      <c r="S2853" t="str">
        <f t="shared" si="444"/>
        <v/>
      </c>
      <c r="T2853" t="str">
        <f t="shared" si="445"/>
        <v/>
      </c>
      <c r="U2853" t="str">
        <f t="shared" si="446"/>
        <v/>
      </c>
      <c r="V2853" t="str">
        <f t="shared" si="447"/>
        <v/>
      </c>
      <c r="W2853" t="str">
        <f t="shared" si="448"/>
        <v/>
      </c>
      <c r="X2853">
        <f>IF($T2853="",N($X2852),IF(MATCH($T2853,$T$6:$T$10005,0)=ROW()-5,N($X2852)+1,N($X2852)))</f>
        <v>0</v>
      </c>
      <c r="Z2853" t="str">
        <f t="shared" si="449"/>
        <v/>
      </c>
      <c r="AA2853">
        <f>IF($V2853="",N($AA2852),IF(MATCH($V2853,$V$6:$V$10005,0)=ROW()-5,N($AA2852)+1,N($AA2852)))</f>
        <v>0</v>
      </c>
    </row>
    <row r="2854" spans="1:27" ht="21" customHeight="1" x14ac:dyDescent="0.95">
      <c r="A2854" s="56"/>
      <c r="B2854" s="57"/>
      <c r="C2854" s="57"/>
      <c r="D2854" s="57"/>
      <c r="E2854" s="56"/>
      <c r="F2854" s="57"/>
      <c r="G2854" s="57"/>
      <c r="H2854" s="56"/>
      <c r="I2854" s="56"/>
      <c r="J2854" s="58"/>
      <c r="K2854" s="58"/>
      <c r="L2854" s="13" t="str">
        <f t="shared" si="440"/>
        <v/>
      </c>
      <c r="M2854" s="13" t="str">
        <f t="shared" si="441"/>
        <v/>
      </c>
      <c r="Q2854" t="str">
        <f t="shared" si="442"/>
        <v/>
      </c>
      <c r="R2854" t="str">
        <f t="shared" si="443"/>
        <v/>
      </c>
      <c r="S2854" t="str">
        <f t="shared" si="444"/>
        <v/>
      </c>
      <c r="T2854" t="str">
        <f t="shared" si="445"/>
        <v/>
      </c>
      <c r="U2854" t="str">
        <f t="shared" si="446"/>
        <v/>
      </c>
      <c r="V2854" t="str">
        <f t="shared" si="447"/>
        <v/>
      </c>
      <c r="W2854" t="str">
        <f t="shared" si="448"/>
        <v/>
      </c>
      <c r="X2854">
        <f>IF($T2854="",N($X2853),IF(MATCH($T2854,$T$6:$T$10005,0)=ROW()-5,N($X2853)+1,N($X2853)))</f>
        <v>0</v>
      </c>
      <c r="Z2854" t="str">
        <f t="shared" si="449"/>
        <v/>
      </c>
      <c r="AA2854">
        <f>IF($V2854="",N($AA2853),IF(MATCH($V2854,$V$6:$V$10005,0)=ROW()-5,N($AA2853)+1,N($AA2853)))</f>
        <v>0</v>
      </c>
    </row>
    <row r="2855" spans="1:27" ht="21" customHeight="1" x14ac:dyDescent="0.95">
      <c r="A2855" s="56"/>
      <c r="B2855" s="57"/>
      <c r="C2855" s="57"/>
      <c r="D2855" s="57"/>
      <c r="E2855" s="56"/>
      <c r="F2855" s="57"/>
      <c r="G2855" s="57"/>
      <c r="H2855" s="56"/>
      <c r="I2855" s="56"/>
      <c r="J2855" s="58"/>
      <c r="K2855" s="58"/>
      <c r="L2855" s="13" t="str">
        <f t="shared" si="440"/>
        <v/>
      </c>
      <c r="M2855" s="13" t="str">
        <f t="shared" si="441"/>
        <v/>
      </c>
      <c r="Q2855" t="str">
        <f t="shared" si="442"/>
        <v/>
      </c>
      <c r="R2855" t="str">
        <f t="shared" si="443"/>
        <v/>
      </c>
      <c r="S2855" t="str">
        <f t="shared" si="444"/>
        <v/>
      </c>
      <c r="T2855" t="str">
        <f t="shared" si="445"/>
        <v/>
      </c>
      <c r="U2855" t="str">
        <f t="shared" si="446"/>
        <v/>
      </c>
      <c r="V2855" t="str">
        <f t="shared" si="447"/>
        <v/>
      </c>
      <c r="W2855" t="str">
        <f t="shared" si="448"/>
        <v/>
      </c>
      <c r="X2855">
        <f>IF($T2855="",N($X2854),IF(MATCH($T2855,$T$6:$T$10005,0)=ROW()-5,N($X2854)+1,N($X2854)))</f>
        <v>0</v>
      </c>
      <c r="Z2855" t="str">
        <f t="shared" si="449"/>
        <v/>
      </c>
      <c r="AA2855">
        <f>IF($V2855="",N($AA2854),IF(MATCH($V2855,$V$6:$V$10005,0)=ROW()-5,N($AA2854)+1,N($AA2854)))</f>
        <v>0</v>
      </c>
    </row>
    <row r="2856" spans="1:27" ht="21" customHeight="1" x14ac:dyDescent="0.95">
      <c r="A2856" s="56"/>
      <c r="B2856" s="57"/>
      <c r="C2856" s="57"/>
      <c r="D2856" s="57"/>
      <c r="E2856" s="56"/>
      <c r="F2856" s="57"/>
      <c r="G2856" s="57"/>
      <c r="H2856" s="56"/>
      <c r="I2856" s="56"/>
      <c r="J2856" s="58"/>
      <c r="K2856" s="58"/>
      <c r="L2856" s="13" t="str">
        <f t="shared" si="440"/>
        <v/>
      </c>
      <c r="M2856" s="13" t="str">
        <f t="shared" si="441"/>
        <v/>
      </c>
      <c r="Q2856" t="str">
        <f t="shared" si="442"/>
        <v/>
      </c>
      <c r="R2856" t="str">
        <f t="shared" si="443"/>
        <v/>
      </c>
      <c r="S2856" t="str">
        <f t="shared" si="444"/>
        <v/>
      </c>
      <c r="T2856" t="str">
        <f t="shared" si="445"/>
        <v/>
      </c>
      <c r="U2856" t="str">
        <f t="shared" si="446"/>
        <v/>
      </c>
      <c r="V2856" t="str">
        <f t="shared" si="447"/>
        <v/>
      </c>
      <c r="W2856" t="str">
        <f t="shared" si="448"/>
        <v/>
      </c>
      <c r="X2856">
        <f>IF($T2856="",N($X2855),IF(MATCH($T2856,$T$6:$T$10005,0)=ROW()-5,N($X2855)+1,N($X2855)))</f>
        <v>0</v>
      </c>
      <c r="Z2856" t="str">
        <f t="shared" si="449"/>
        <v/>
      </c>
      <c r="AA2856">
        <f>IF($V2856="",N($AA2855),IF(MATCH($V2856,$V$6:$V$10005,0)=ROW()-5,N($AA2855)+1,N($AA2855)))</f>
        <v>0</v>
      </c>
    </row>
    <row r="2857" spans="1:27" ht="21" customHeight="1" x14ac:dyDescent="0.95">
      <c r="A2857" s="56"/>
      <c r="B2857" s="57"/>
      <c r="C2857" s="57"/>
      <c r="D2857" s="57"/>
      <c r="E2857" s="56"/>
      <c r="F2857" s="57"/>
      <c r="G2857" s="57"/>
      <c r="H2857" s="56"/>
      <c r="I2857" s="56"/>
      <c r="J2857" s="58"/>
      <c r="K2857" s="58"/>
      <c r="L2857" s="13" t="str">
        <f t="shared" si="440"/>
        <v/>
      </c>
      <c r="M2857" s="13" t="str">
        <f t="shared" si="441"/>
        <v/>
      </c>
      <c r="Q2857" t="str">
        <f t="shared" si="442"/>
        <v/>
      </c>
      <c r="R2857" t="str">
        <f t="shared" si="443"/>
        <v/>
      </c>
      <c r="S2857" t="str">
        <f t="shared" si="444"/>
        <v/>
      </c>
      <c r="T2857" t="str">
        <f t="shared" si="445"/>
        <v/>
      </c>
      <c r="U2857" t="str">
        <f t="shared" si="446"/>
        <v/>
      </c>
      <c r="V2857" t="str">
        <f t="shared" si="447"/>
        <v/>
      </c>
      <c r="W2857" t="str">
        <f t="shared" si="448"/>
        <v/>
      </c>
      <c r="X2857">
        <f>IF($T2857="",N($X2856),IF(MATCH($T2857,$T$6:$T$10005,0)=ROW()-5,N($X2856)+1,N($X2856)))</f>
        <v>0</v>
      </c>
      <c r="Z2857" t="str">
        <f t="shared" si="449"/>
        <v/>
      </c>
      <c r="AA2857">
        <f>IF($V2857="",N($AA2856),IF(MATCH($V2857,$V$6:$V$10005,0)=ROW()-5,N($AA2856)+1,N($AA2856)))</f>
        <v>0</v>
      </c>
    </row>
    <row r="2858" spans="1:27" ht="21" customHeight="1" x14ac:dyDescent="0.95">
      <c r="A2858" s="56"/>
      <c r="B2858" s="57"/>
      <c r="C2858" s="57"/>
      <c r="D2858" s="57"/>
      <c r="E2858" s="56"/>
      <c r="F2858" s="57"/>
      <c r="G2858" s="57"/>
      <c r="H2858" s="56"/>
      <c r="I2858" s="56"/>
      <c r="J2858" s="58"/>
      <c r="K2858" s="58"/>
      <c r="L2858" s="13" t="str">
        <f t="shared" si="440"/>
        <v/>
      </c>
      <c r="M2858" s="13" t="str">
        <f t="shared" si="441"/>
        <v/>
      </c>
      <c r="Q2858" t="str">
        <f t="shared" si="442"/>
        <v/>
      </c>
      <c r="R2858" t="str">
        <f t="shared" si="443"/>
        <v/>
      </c>
      <c r="S2858" t="str">
        <f t="shared" si="444"/>
        <v/>
      </c>
      <c r="T2858" t="str">
        <f t="shared" si="445"/>
        <v/>
      </c>
      <c r="U2858" t="str">
        <f t="shared" si="446"/>
        <v/>
      </c>
      <c r="V2858" t="str">
        <f t="shared" si="447"/>
        <v/>
      </c>
      <c r="W2858" t="str">
        <f t="shared" si="448"/>
        <v/>
      </c>
      <c r="X2858">
        <f>IF($T2858="",N($X2857),IF(MATCH($T2858,$T$6:$T$10005,0)=ROW()-5,N($X2857)+1,N($X2857)))</f>
        <v>0</v>
      </c>
      <c r="Z2858" t="str">
        <f t="shared" si="449"/>
        <v/>
      </c>
      <c r="AA2858">
        <f>IF($V2858="",N($AA2857),IF(MATCH($V2858,$V$6:$V$10005,0)=ROW()-5,N($AA2857)+1,N($AA2857)))</f>
        <v>0</v>
      </c>
    </row>
    <row r="2859" spans="1:27" ht="21" customHeight="1" x14ac:dyDescent="0.95">
      <c r="A2859" s="56"/>
      <c r="B2859" s="57"/>
      <c r="C2859" s="57"/>
      <c r="D2859" s="57"/>
      <c r="E2859" s="56"/>
      <c r="F2859" s="57"/>
      <c r="G2859" s="57"/>
      <c r="H2859" s="56"/>
      <c r="I2859" s="56"/>
      <c r="J2859" s="58"/>
      <c r="K2859" s="58"/>
      <c r="L2859" s="13" t="str">
        <f t="shared" si="440"/>
        <v/>
      </c>
      <c r="M2859" s="13" t="str">
        <f t="shared" si="441"/>
        <v/>
      </c>
      <c r="Q2859" t="str">
        <f t="shared" si="442"/>
        <v/>
      </c>
      <c r="R2859" t="str">
        <f t="shared" si="443"/>
        <v/>
      </c>
      <c r="S2859" t="str">
        <f t="shared" si="444"/>
        <v/>
      </c>
      <c r="T2859" t="str">
        <f t="shared" si="445"/>
        <v/>
      </c>
      <c r="U2859" t="str">
        <f t="shared" si="446"/>
        <v/>
      </c>
      <c r="V2859" t="str">
        <f t="shared" si="447"/>
        <v/>
      </c>
      <c r="W2859" t="str">
        <f t="shared" si="448"/>
        <v/>
      </c>
      <c r="X2859">
        <f>IF($T2859="",N($X2858),IF(MATCH($T2859,$T$6:$T$10005,0)=ROW()-5,N($X2858)+1,N($X2858)))</f>
        <v>0</v>
      </c>
      <c r="Z2859" t="str">
        <f t="shared" si="449"/>
        <v/>
      </c>
      <c r="AA2859">
        <f>IF($V2859="",N($AA2858),IF(MATCH($V2859,$V$6:$V$10005,0)=ROW()-5,N($AA2858)+1,N($AA2858)))</f>
        <v>0</v>
      </c>
    </row>
    <row r="2860" spans="1:27" ht="21" customHeight="1" x14ac:dyDescent="0.95">
      <c r="A2860" s="56"/>
      <c r="B2860" s="57"/>
      <c r="C2860" s="57"/>
      <c r="D2860" s="57"/>
      <c r="E2860" s="56"/>
      <c r="F2860" s="57"/>
      <c r="G2860" s="57"/>
      <c r="H2860" s="56"/>
      <c r="I2860" s="56"/>
      <c r="J2860" s="58"/>
      <c r="K2860" s="58"/>
      <c r="L2860" s="13" t="str">
        <f t="shared" si="440"/>
        <v/>
      </c>
      <c r="M2860" s="13" t="str">
        <f t="shared" si="441"/>
        <v/>
      </c>
      <c r="Q2860" t="str">
        <f t="shared" si="442"/>
        <v/>
      </c>
      <c r="R2860" t="str">
        <f t="shared" si="443"/>
        <v/>
      </c>
      <c r="S2860" t="str">
        <f t="shared" si="444"/>
        <v/>
      </c>
      <c r="T2860" t="str">
        <f t="shared" si="445"/>
        <v/>
      </c>
      <c r="U2860" t="str">
        <f t="shared" si="446"/>
        <v/>
      </c>
      <c r="V2860" t="str">
        <f t="shared" si="447"/>
        <v/>
      </c>
      <c r="W2860" t="str">
        <f t="shared" si="448"/>
        <v/>
      </c>
      <c r="X2860">
        <f>IF($T2860="",N($X2859),IF(MATCH($T2860,$T$6:$T$10005,0)=ROW()-5,N($X2859)+1,N($X2859)))</f>
        <v>0</v>
      </c>
      <c r="Z2860" t="str">
        <f t="shared" si="449"/>
        <v/>
      </c>
      <c r="AA2860">
        <f>IF($V2860="",N($AA2859),IF(MATCH($V2860,$V$6:$V$10005,0)=ROW()-5,N($AA2859)+1,N($AA2859)))</f>
        <v>0</v>
      </c>
    </row>
    <row r="2861" spans="1:27" ht="21" customHeight="1" x14ac:dyDescent="0.95">
      <c r="A2861" s="56"/>
      <c r="B2861" s="57"/>
      <c r="C2861" s="57"/>
      <c r="D2861" s="57"/>
      <c r="E2861" s="56"/>
      <c r="F2861" s="57"/>
      <c r="G2861" s="57"/>
      <c r="H2861" s="56"/>
      <c r="I2861" s="56"/>
      <c r="J2861" s="58"/>
      <c r="K2861" s="58"/>
      <c r="L2861" s="13" t="str">
        <f t="shared" si="440"/>
        <v/>
      </c>
      <c r="M2861" s="13" t="str">
        <f t="shared" si="441"/>
        <v/>
      </c>
      <c r="Q2861" t="str">
        <f t="shared" si="442"/>
        <v/>
      </c>
      <c r="R2861" t="str">
        <f t="shared" si="443"/>
        <v/>
      </c>
      <c r="S2861" t="str">
        <f t="shared" si="444"/>
        <v/>
      </c>
      <c r="T2861" t="str">
        <f t="shared" si="445"/>
        <v/>
      </c>
      <c r="U2861" t="str">
        <f t="shared" si="446"/>
        <v/>
      </c>
      <c r="V2861" t="str">
        <f t="shared" si="447"/>
        <v/>
      </c>
      <c r="W2861" t="str">
        <f t="shared" si="448"/>
        <v/>
      </c>
      <c r="X2861">
        <f>IF($T2861="",N($X2860),IF(MATCH($T2861,$T$6:$T$10005,0)=ROW()-5,N($X2860)+1,N($X2860)))</f>
        <v>0</v>
      </c>
      <c r="Z2861" t="str">
        <f t="shared" si="449"/>
        <v/>
      </c>
      <c r="AA2861">
        <f>IF($V2861="",N($AA2860),IF(MATCH($V2861,$V$6:$V$10005,0)=ROW()-5,N($AA2860)+1,N($AA2860)))</f>
        <v>0</v>
      </c>
    </row>
    <row r="2862" spans="1:27" ht="21" customHeight="1" x14ac:dyDescent="0.95">
      <c r="A2862" s="56"/>
      <c r="B2862" s="57"/>
      <c r="C2862" s="57"/>
      <c r="D2862" s="57"/>
      <c r="E2862" s="56"/>
      <c r="F2862" s="57"/>
      <c r="G2862" s="57"/>
      <c r="H2862" s="56"/>
      <c r="I2862" s="56"/>
      <c r="J2862" s="58"/>
      <c r="K2862" s="58"/>
      <c r="L2862" s="13" t="str">
        <f t="shared" si="440"/>
        <v/>
      </c>
      <c r="M2862" s="13" t="str">
        <f t="shared" si="441"/>
        <v/>
      </c>
      <c r="Q2862" t="str">
        <f t="shared" si="442"/>
        <v/>
      </c>
      <c r="R2862" t="str">
        <f t="shared" si="443"/>
        <v/>
      </c>
      <c r="S2862" t="str">
        <f t="shared" si="444"/>
        <v/>
      </c>
      <c r="T2862" t="str">
        <f t="shared" si="445"/>
        <v/>
      </c>
      <c r="U2862" t="str">
        <f t="shared" si="446"/>
        <v/>
      </c>
      <c r="V2862" t="str">
        <f t="shared" si="447"/>
        <v/>
      </c>
      <c r="W2862" t="str">
        <f t="shared" si="448"/>
        <v/>
      </c>
      <c r="X2862">
        <f>IF($T2862="",N($X2861),IF(MATCH($T2862,$T$6:$T$10005,0)=ROW()-5,N($X2861)+1,N($X2861)))</f>
        <v>0</v>
      </c>
      <c r="Z2862" t="str">
        <f t="shared" si="449"/>
        <v/>
      </c>
      <c r="AA2862">
        <f>IF($V2862="",N($AA2861),IF(MATCH($V2862,$V$6:$V$10005,0)=ROW()-5,N($AA2861)+1,N($AA2861)))</f>
        <v>0</v>
      </c>
    </row>
    <row r="2863" spans="1:27" ht="21" customHeight="1" x14ac:dyDescent="0.95">
      <c r="A2863" s="56"/>
      <c r="B2863" s="57"/>
      <c r="C2863" s="57"/>
      <c r="D2863" s="57"/>
      <c r="E2863" s="56"/>
      <c r="F2863" s="57"/>
      <c r="G2863" s="57"/>
      <c r="H2863" s="56"/>
      <c r="I2863" s="56"/>
      <c r="J2863" s="58"/>
      <c r="K2863" s="58"/>
      <c r="L2863" s="13" t="str">
        <f t="shared" si="440"/>
        <v/>
      </c>
      <c r="M2863" s="13" t="str">
        <f t="shared" si="441"/>
        <v/>
      </c>
      <c r="Q2863" t="str">
        <f t="shared" si="442"/>
        <v/>
      </c>
      <c r="R2863" t="str">
        <f t="shared" si="443"/>
        <v/>
      </c>
      <c r="S2863" t="str">
        <f t="shared" si="444"/>
        <v/>
      </c>
      <c r="T2863" t="str">
        <f t="shared" si="445"/>
        <v/>
      </c>
      <c r="U2863" t="str">
        <f t="shared" si="446"/>
        <v/>
      </c>
      <c r="V2863" t="str">
        <f t="shared" si="447"/>
        <v/>
      </c>
      <c r="W2863" t="str">
        <f t="shared" si="448"/>
        <v/>
      </c>
      <c r="X2863">
        <f>IF($T2863="",N($X2862),IF(MATCH($T2863,$T$6:$T$10005,0)=ROW()-5,N($X2862)+1,N($X2862)))</f>
        <v>0</v>
      </c>
      <c r="Z2863" t="str">
        <f t="shared" si="449"/>
        <v/>
      </c>
      <c r="AA2863">
        <f>IF($V2863="",N($AA2862),IF(MATCH($V2863,$V$6:$V$10005,0)=ROW()-5,N($AA2862)+1,N($AA2862)))</f>
        <v>0</v>
      </c>
    </row>
    <row r="2864" spans="1:27" ht="21" customHeight="1" x14ac:dyDescent="0.95">
      <c r="A2864" s="56"/>
      <c r="B2864" s="57"/>
      <c r="C2864" s="57"/>
      <c r="D2864" s="57"/>
      <c r="E2864" s="56"/>
      <c r="F2864" s="57"/>
      <c r="G2864" s="57"/>
      <c r="H2864" s="56"/>
      <c r="I2864" s="56"/>
      <c r="J2864" s="58"/>
      <c r="K2864" s="58"/>
      <c r="L2864" s="13" t="str">
        <f t="shared" si="440"/>
        <v/>
      </c>
      <c r="M2864" s="13" t="str">
        <f t="shared" si="441"/>
        <v/>
      </c>
      <c r="Q2864" t="str">
        <f t="shared" si="442"/>
        <v/>
      </c>
      <c r="R2864" t="str">
        <f t="shared" si="443"/>
        <v/>
      </c>
      <c r="S2864" t="str">
        <f t="shared" si="444"/>
        <v/>
      </c>
      <c r="T2864" t="str">
        <f t="shared" si="445"/>
        <v/>
      </c>
      <c r="U2864" t="str">
        <f t="shared" si="446"/>
        <v/>
      </c>
      <c r="V2864" t="str">
        <f t="shared" si="447"/>
        <v/>
      </c>
      <c r="W2864" t="str">
        <f t="shared" si="448"/>
        <v/>
      </c>
      <c r="X2864">
        <f>IF($T2864="",N($X2863),IF(MATCH($T2864,$T$6:$T$10005,0)=ROW()-5,N($X2863)+1,N($X2863)))</f>
        <v>0</v>
      </c>
      <c r="Z2864" t="str">
        <f t="shared" si="449"/>
        <v/>
      </c>
      <c r="AA2864">
        <f>IF($V2864="",N($AA2863),IF(MATCH($V2864,$V$6:$V$10005,0)=ROW()-5,N($AA2863)+1,N($AA2863)))</f>
        <v>0</v>
      </c>
    </row>
    <row r="2865" spans="1:27" ht="21" customHeight="1" x14ac:dyDescent="0.95">
      <c r="A2865" s="56"/>
      <c r="B2865" s="57"/>
      <c r="C2865" s="57"/>
      <c r="D2865" s="57"/>
      <c r="E2865" s="56"/>
      <c r="F2865" s="57"/>
      <c r="G2865" s="57"/>
      <c r="H2865" s="56"/>
      <c r="I2865" s="56"/>
      <c r="J2865" s="58"/>
      <c r="K2865" s="58"/>
      <c r="L2865" s="13" t="str">
        <f t="shared" si="440"/>
        <v/>
      </c>
      <c r="M2865" s="13" t="str">
        <f t="shared" si="441"/>
        <v/>
      </c>
      <c r="Q2865" t="str">
        <f t="shared" si="442"/>
        <v/>
      </c>
      <c r="R2865" t="str">
        <f t="shared" si="443"/>
        <v/>
      </c>
      <c r="S2865" t="str">
        <f t="shared" si="444"/>
        <v/>
      </c>
      <c r="T2865" t="str">
        <f t="shared" si="445"/>
        <v/>
      </c>
      <c r="U2865" t="str">
        <f t="shared" si="446"/>
        <v/>
      </c>
      <c r="V2865" t="str">
        <f t="shared" si="447"/>
        <v/>
      </c>
      <c r="W2865" t="str">
        <f t="shared" si="448"/>
        <v/>
      </c>
      <c r="X2865">
        <f>IF($T2865="",N($X2864),IF(MATCH($T2865,$T$6:$T$10005,0)=ROW()-5,N($X2864)+1,N($X2864)))</f>
        <v>0</v>
      </c>
      <c r="Z2865" t="str">
        <f t="shared" si="449"/>
        <v/>
      </c>
      <c r="AA2865">
        <f>IF($V2865="",N($AA2864),IF(MATCH($V2865,$V$6:$V$10005,0)=ROW()-5,N($AA2864)+1,N($AA2864)))</f>
        <v>0</v>
      </c>
    </row>
    <row r="2866" spans="1:27" ht="21" customHeight="1" x14ac:dyDescent="0.95">
      <c r="A2866" s="56"/>
      <c r="B2866" s="57"/>
      <c r="C2866" s="57"/>
      <c r="D2866" s="57"/>
      <c r="E2866" s="56"/>
      <c r="F2866" s="57"/>
      <c r="G2866" s="57"/>
      <c r="H2866" s="56"/>
      <c r="I2866" s="56"/>
      <c r="J2866" s="58"/>
      <c r="K2866" s="58"/>
      <c r="L2866" s="13" t="str">
        <f t="shared" si="440"/>
        <v/>
      </c>
      <c r="M2866" s="13" t="str">
        <f t="shared" si="441"/>
        <v/>
      </c>
      <c r="Q2866" t="str">
        <f t="shared" si="442"/>
        <v/>
      </c>
      <c r="R2866" t="str">
        <f t="shared" si="443"/>
        <v/>
      </c>
      <c r="S2866" t="str">
        <f t="shared" si="444"/>
        <v/>
      </c>
      <c r="T2866" t="str">
        <f t="shared" si="445"/>
        <v/>
      </c>
      <c r="U2866" t="str">
        <f t="shared" si="446"/>
        <v/>
      </c>
      <c r="V2866" t="str">
        <f t="shared" si="447"/>
        <v/>
      </c>
      <c r="W2866" t="str">
        <f t="shared" si="448"/>
        <v/>
      </c>
      <c r="X2866">
        <f>IF($T2866="",N($X2865),IF(MATCH($T2866,$T$6:$T$10005,0)=ROW()-5,N($X2865)+1,N($X2865)))</f>
        <v>0</v>
      </c>
      <c r="Z2866" t="str">
        <f t="shared" si="449"/>
        <v/>
      </c>
      <c r="AA2866">
        <f>IF($V2866="",N($AA2865),IF(MATCH($V2866,$V$6:$V$10005,0)=ROW()-5,N($AA2865)+1,N($AA2865)))</f>
        <v>0</v>
      </c>
    </row>
    <row r="2867" spans="1:27" ht="21" customHeight="1" x14ac:dyDescent="0.95">
      <c r="A2867" s="56"/>
      <c r="B2867" s="57"/>
      <c r="C2867" s="57"/>
      <c r="D2867" s="57"/>
      <c r="E2867" s="56"/>
      <c r="F2867" s="57"/>
      <c r="G2867" s="57"/>
      <c r="H2867" s="56"/>
      <c r="I2867" s="56"/>
      <c r="J2867" s="58"/>
      <c r="K2867" s="58"/>
      <c r="L2867" s="13" t="str">
        <f t="shared" si="440"/>
        <v/>
      </c>
      <c r="M2867" s="13" t="str">
        <f t="shared" si="441"/>
        <v/>
      </c>
      <c r="Q2867" t="str">
        <f t="shared" si="442"/>
        <v/>
      </c>
      <c r="R2867" t="str">
        <f t="shared" si="443"/>
        <v/>
      </c>
      <c r="S2867" t="str">
        <f t="shared" si="444"/>
        <v/>
      </c>
      <c r="T2867" t="str">
        <f t="shared" si="445"/>
        <v/>
      </c>
      <c r="U2867" t="str">
        <f t="shared" si="446"/>
        <v/>
      </c>
      <c r="V2867" t="str">
        <f t="shared" si="447"/>
        <v/>
      </c>
      <c r="W2867" t="str">
        <f t="shared" si="448"/>
        <v/>
      </c>
      <c r="X2867">
        <f>IF($T2867="",N($X2866),IF(MATCH($T2867,$T$6:$T$10005,0)=ROW()-5,N($X2866)+1,N($X2866)))</f>
        <v>0</v>
      </c>
      <c r="Z2867" t="str">
        <f t="shared" si="449"/>
        <v/>
      </c>
      <c r="AA2867">
        <f>IF($V2867="",N($AA2866),IF(MATCH($V2867,$V$6:$V$10005,0)=ROW()-5,N($AA2866)+1,N($AA2866)))</f>
        <v>0</v>
      </c>
    </row>
    <row r="2868" spans="1:27" ht="21" customHeight="1" x14ac:dyDescent="0.95">
      <c r="A2868" s="56"/>
      <c r="B2868" s="57"/>
      <c r="C2868" s="57"/>
      <c r="D2868" s="57"/>
      <c r="E2868" s="56"/>
      <c r="F2868" s="57"/>
      <c r="G2868" s="57"/>
      <c r="H2868" s="56"/>
      <c r="I2868" s="56"/>
      <c r="J2868" s="58"/>
      <c r="K2868" s="58"/>
      <c r="L2868" s="13" t="str">
        <f t="shared" si="440"/>
        <v/>
      </c>
      <c r="M2868" s="13" t="str">
        <f t="shared" si="441"/>
        <v/>
      </c>
      <c r="Q2868" t="str">
        <f t="shared" si="442"/>
        <v/>
      </c>
      <c r="R2868" t="str">
        <f t="shared" si="443"/>
        <v/>
      </c>
      <c r="S2868" t="str">
        <f t="shared" si="444"/>
        <v/>
      </c>
      <c r="T2868" t="str">
        <f t="shared" si="445"/>
        <v/>
      </c>
      <c r="U2868" t="str">
        <f t="shared" si="446"/>
        <v/>
      </c>
      <c r="V2868" t="str">
        <f t="shared" si="447"/>
        <v/>
      </c>
      <c r="W2868" t="str">
        <f t="shared" si="448"/>
        <v/>
      </c>
      <c r="X2868">
        <f>IF($T2868="",N($X2867),IF(MATCH($T2868,$T$6:$T$10005,0)=ROW()-5,N($X2867)+1,N($X2867)))</f>
        <v>0</v>
      </c>
      <c r="Z2868" t="str">
        <f t="shared" si="449"/>
        <v/>
      </c>
      <c r="AA2868">
        <f>IF($V2868="",N($AA2867),IF(MATCH($V2868,$V$6:$V$10005,0)=ROW()-5,N($AA2867)+1,N($AA2867)))</f>
        <v>0</v>
      </c>
    </row>
    <row r="2869" spans="1:27" ht="21" customHeight="1" x14ac:dyDescent="0.95">
      <c r="A2869" s="56"/>
      <c r="B2869" s="57"/>
      <c r="C2869" s="57"/>
      <c r="D2869" s="57"/>
      <c r="E2869" s="56"/>
      <c r="F2869" s="57"/>
      <c r="G2869" s="57"/>
      <c r="H2869" s="56"/>
      <c r="I2869" s="56"/>
      <c r="J2869" s="58"/>
      <c r="K2869" s="58"/>
      <c r="L2869" s="13" t="str">
        <f t="shared" si="440"/>
        <v/>
      </c>
      <c r="M2869" s="13" t="str">
        <f t="shared" si="441"/>
        <v/>
      </c>
      <c r="Q2869" t="str">
        <f t="shared" si="442"/>
        <v/>
      </c>
      <c r="R2869" t="str">
        <f t="shared" si="443"/>
        <v/>
      </c>
      <c r="S2869" t="str">
        <f t="shared" si="444"/>
        <v/>
      </c>
      <c r="T2869" t="str">
        <f t="shared" si="445"/>
        <v/>
      </c>
      <c r="U2869" t="str">
        <f t="shared" si="446"/>
        <v/>
      </c>
      <c r="V2869" t="str">
        <f t="shared" si="447"/>
        <v/>
      </c>
      <c r="W2869" t="str">
        <f t="shared" si="448"/>
        <v/>
      </c>
      <c r="X2869">
        <f>IF($T2869="",N($X2868),IF(MATCH($T2869,$T$6:$T$10005,0)=ROW()-5,N($X2868)+1,N($X2868)))</f>
        <v>0</v>
      </c>
      <c r="Z2869" t="str">
        <f t="shared" si="449"/>
        <v/>
      </c>
      <c r="AA2869">
        <f>IF($V2869="",N($AA2868),IF(MATCH($V2869,$V$6:$V$10005,0)=ROW()-5,N($AA2868)+1,N($AA2868)))</f>
        <v>0</v>
      </c>
    </row>
    <row r="2870" spans="1:27" ht="21" customHeight="1" x14ac:dyDescent="0.95">
      <c r="A2870" s="56"/>
      <c r="B2870" s="57"/>
      <c r="C2870" s="57"/>
      <c r="D2870" s="57"/>
      <c r="E2870" s="56"/>
      <c r="F2870" s="57"/>
      <c r="G2870" s="57"/>
      <c r="H2870" s="56"/>
      <c r="I2870" s="56"/>
      <c r="J2870" s="58"/>
      <c r="K2870" s="58"/>
      <c r="L2870" s="13" t="str">
        <f t="shared" si="440"/>
        <v/>
      </c>
      <c r="M2870" s="13" t="str">
        <f t="shared" si="441"/>
        <v/>
      </c>
      <c r="Q2870" t="str">
        <f t="shared" si="442"/>
        <v/>
      </c>
      <c r="R2870" t="str">
        <f t="shared" si="443"/>
        <v/>
      </c>
      <c r="S2870" t="str">
        <f t="shared" si="444"/>
        <v/>
      </c>
      <c r="T2870" t="str">
        <f t="shared" si="445"/>
        <v/>
      </c>
      <c r="U2870" t="str">
        <f t="shared" si="446"/>
        <v/>
      </c>
      <c r="V2870" t="str">
        <f t="shared" si="447"/>
        <v/>
      </c>
      <c r="W2870" t="str">
        <f t="shared" si="448"/>
        <v/>
      </c>
      <c r="X2870">
        <f>IF($T2870="",N($X2869),IF(MATCH($T2870,$T$6:$T$10005,0)=ROW()-5,N($X2869)+1,N($X2869)))</f>
        <v>0</v>
      </c>
      <c r="Z2870" t="str">
        <f t="shared" si="449"/>
        <v/>
      </c>
      <c r="AA2870">
        <f>IF($V2870="",N($AA2869),IF(MATCH($V2870,$V$6:$V$10005,0)=ROW()-5,N($AA2869)+1,N($AA2869)))</f>
        <v>0</v>
      </c>
    </row>
    <row r="2871" spans="1:27" ht="21" customHeight="1" x14ac:dyDescent="0.95">
      <c r="A2871" s="56"/>
      <c r="B2871" s="57"/>
      <c r="C2871" s="57"/>
      <c r="D2871" s="57"/>
      <c r="E2871" s="56"/>
      <c r="F2871" s="57"/>
      <c r="G2871" s="57"/>
      <c r="H2871" s="56"/>
      <c r="I2871" s="56"/>
      <c r="J2871" s="58"/>
      <c r="K2871" s="58"/>
      <c r="L2871" s="13" t="str">
        <f t="shared" si="440"/>
        <v/>
      </c>
      <c r="M2871" s="13" t="str">
        <f t="shared" si="441"/>
        <v/>
      </c>
      <c r="Q2871" t="str">
        <f t="shared" si="442"/>
        <v/>
      </c>
      <c r="R2871" t="str">
        <f t="shared" si="443"/>
        <v/>
      </c>
      <c r="S2871" t="str">
        <f t="shared" si="444"/>
        <v/>
      </c>
      <c r="T2871" t="str">
        <f t="shared" si="445"/>
        <v/>
      </c>
      <c r="U2871" t="str">
        <f t="shared" si="446"/>
        <v/>
      </c>
      <c r="V2871" t="str">
        <f t="shared" si="447"/>
        <v/>
      </c>
      <c r="W2871" t="str">
        <f t="shared" si="448"/>
        <v/>
      </c>
      <c r="X2871">
        <f>IF($T2871="",N($X2870),IF(MATCH($T2871,$T$6:$T$10005,0)=ROW()-5,N($X2870)+1,N($X2870)))</f>
        <v>0</v>
      </c>
      <c r="Z2871" t="str">
        <f t="shared" si="449"/>
        <v/>
      </c>
      <c r="AA2871">
        <f>IF($V2871="",N($AA2870),IF(MATCH($V2871,$V$6:$V$10005,0)=ROW()-5,N($AA2870)+1,N($AA2870)))</f>
        <v>0</v>
      </c>
    </row>
    <row r="2872" spans="1:27" ht="21" customHeight="1" x14ac:dyDescent="0.95">
      <c r="A2872" s="56"/>
      <c r="B2872" s="57"/>
      <c r="C2872" s="57"/>
      <c r="D2872" s="57"/>
      <c r="E2872" s="56"/>
      <c r="F2872" s="57"/>
      <c r="G2872" s="57"/>
      <c r="H2872" s="56"/>
      <c r="I2872" s="56"/>
      <c r="J2872" s="58"/>
      <c r="K2872" s="58"/>
      <c r="L2872" s="13" t="str">
        <f t="shared" si="440"/>
        <v/>
      </c>
      <c r="M2872" s="13" t="str">
        <f t="shared" si="441"/>
        <v/>
      </c>
      <c r="Q2872" t="str">
        <f t="shared" si="442"/>
        <v/>
      </c>
      <c r="R2872" t="str">
        <f t="shared" si="443"/>
        <v/>
      </c>
      <c r="S2872" t="str">
        <f t="shared" si="444"/>
        <v/>
      </c>
      <c r="T2872" t="str">
        <f t="shared" si="445"/>
        <v/>
      </c>
      <c r="U2872" t="str">
        <f t="shared" si="446"/>
        <v/>
      </c>
      <c r="V2872" t="str">
        <f t="shared" si="447"/>
        <v/>
      </c>
      <c r="W2872" t="str">
        <f t="shared" si="448"/>
        <v/>
      </c>
      <c r="X2872">
        <f>IF($T2872="",N($X2871),IF(MATCH($T2872,$T$6:$T$10005,0)=ROW()-5,N($X2871)+1,N($X2871)))</f>
        <v>0</v>
      </c>
      <c r="Z2872" t="str">
        <f t="shared" si="449"/>
        <v/>
      </c>
      <c r="AA2872">
        <f>IF($V2872="",N($AA2871),IF(MATCH($V2872,$V$6:$V$10005,0)=ROW()-5,N($AA2871)+1,N($AA2871)))</f>
        <v>0</v>
      </c>
    </row>
    <row r="2873" spans="1:27" ht="21" customHeight="1" x14ac:dyDescent="0.95">
      <c r="A2873" s="56"/>
      <c r="B2873" s="57"/>
      <c r="C2873" s="57"/>
      <c r="D2873" s="57"/>
      <c r="E2873" s="56"/>
      <c r="F2873" s="57"/>
      <c r="G2873" s="57"/>
      <c r="H2873" s="56"/>
      <c r="I2873" s="56"/>
      <c r="J2873" s="58"/>
      <c r="K2873" s="58"/>
      <c r="L2873" s="13" t="str">
        <f t="shared" si="440"/>
        <v/>
      </c>
      <c r="M2873" s="13" t="str">
        <f t="shared" si="441"/>
        <v/>
      </c>
      <c r="Q2873" t="str">
        <f t="shared" si="442"/>
        <v/>
      </c>
      <c r="R2873" t="str">
        <f t="shared" si="443"/>
        <v/>
      </c>
      <c r="S2873" t="str">
        <f t="shared" si="444"/>
        <v/>
      </c>
      <c r="T2873" t="str">
        <f t="shared" si="445"/>
        <v/>
      </c>
      <c r="U2873" t="str">
        <f t="shared" si="446"/>
        <v/>
      </c>
      <c r="V2873" t="str">
        <f t="shared" si="447"/>
        <v/>
      </c>
      <c r="W2873" t="str">
        <f t="shared" si="448"/>
        <v/>
      </c>
      <c r="X2873">
        <f>IF($T2873="",N($X2872),IF(MATCH($T2873,$T$6:$T$10005,0)=ROW()-5,N($X2872)+1,N($X2872)))</f>
        <v>0</v>
      </c>
      <c r="Z2873" t="str">
        <f t="shared" si="449"/>
        <v/>
      </c>
      <c r="AA2873">
        <f>IF($V2873="",N($AA2872),IF(MATCH($V2873,$V$6:$V$10005,0)=ROW()-5,N($AA2872)+1,N($AA2872)))</f>
        <v>0</v>
      </c>
    </row>
    <row r="2874" spans="1:27" ht="21" customHeight="1" x14ac:dyDescent="0.95">
      <c r="A2874" s="56"/>
      <c r="B2874" s="57"/>
      <c r="C2874" s="57"/>
      <c r="D2874" s="57"/>
      <c r="E2874" s="56"/>
      <c r="F2874" s="57"/>
      <c r="G2874" s="57"/>
      <c r="H2874" s="56"/>
      <c r="I2874" s="56"/>
      <c r="J2874" s="58"/>
      <c r="K2874" s="58"/>
      <c r="L2874" s="13" t="str">
        <f t="shared" si="440"/>
        <v/>
      </c>
      <c r="M2874" s="13" t="str">
        <f t="shared" si="441"/>
        <v/>
      </c>
      <c r="Q2874" t="str">
        <f t="shared" si="442"/>
        <v/>
      </c>
      <c r="R2874" t="str">
        <f t="shared" si="443"/>
        <v/>
      </c>
      <c r="S2874" t="str">
        <f t="shared" si="444"/>
        <v/>
      </c>
      <c r="T2874" t="str">
        <f t="shared" si="445"/>
        <v/>
      </c>
      <c r="U2874" t="str">
        <f t="shared" si="446"/>
        <v/>
      </c>
      <c r="V2874" t="str">
        <f t="shared" si="447"/>
        <v/>
      </c>
      <c r="W2874" t="str">
        <f t="shared" si="448"/>
        <v/>
      </c>
      <c r="X2874">
        <f>IF($T2874="",N($X2873),IF(MATCH($T2874,$T$6:$T$10005,0)=ROW()-5,N($X2873)+1,N($X2873)))</f>
        <v>0</v>
      </c>
      <c r="Z2874" t="str">
        <f t="shared" si="449"/>
        <v/>
      </c>
      <c r="AA2874">
        <f>IF($V2874="",N($AA2873),IF(MATCH($V2874,$V$6:$V$10005,0)=ROW()-5,N($AA2873)+1,N($AA2873)))</f>
        <v>0</v>
      </c>
    </row>
    <row r="2875" spans="1:27" ht="21" customHeight="1" x14ac:dyDescent="0.95">
      <c r="A2875" s="56"/>
      <c r="B2875" s="57"/>
      <c r="C2875" s="57"/>
      <c r="D2875" s="57"/>
      <c r="E2875" s="56"/>
      <c r="F2875" s="57"/>
      <c r="G2875" s="57"/>
      <c r="H2875" s="56"/>
      <c r="I2875" s="56"/>
      <c r="J2875" s="58"/>
      <c r="K2875" s="58"/>
      <c r="L2875" s="13" t="str">
        <f t="shared" si="440"/>
        <v/>
      </c>
      <c r="M2875" s="13" t="str">
        <f t="shared" si="441"/>
        <v/>
      </c>
      <c r="Q2875" t="str">
        <f t="shared" si="442"/>
        <v/>
      </c>
      <c r="R2875" t="str">
        <f t="shared" si="443"/>
        <v/>
      </c>
      <c r="S2875" t="str">
        <f t="shared" si="444"/>
        <v/>
      </c>
      <c r="T2875" t="str">
        <f t="shared" si="445"/>
        <v/>
      </c>
      <c r="U2875" t="str">
        <f t="shared" si="446"/>
        <v/>
      </c>
      <c r="V2875" t="str">
        <f t="shared" si="447"/>
        <v/>
      </c>
      <c r="W2875" t="str">
        <f t="shared" si="448"/>
        <v/>
      </c>
      <c r="X2875">
        <f>IF($T2875="",N($X2874),IF(MATCH($T2875,$T$6:$T$10005,0)=ROW()-5,N($X2874)+1,N($X2874)))</f>
        <v>0</v>
      </c>
      <c r="Z2875" t="str">
        <f t="shared" si="449"/>
        <v/>
      </c>
      <c r="AA2875">
        <f>IF($V2875="",N($AA2874),IF(MATCH($V2875,$V$6:$V$10005,0)=ROW()-5,N($AA2874)+1,N($AA2874)))</f>
        <v>0</v>
      </c>
    </row>
    <row r="2876" spans="1:27" ht="21" customHeight="1" x14ac:dyDescent="0.95">
      <c r="A2876" s="56"/>
      <c r="B2876" s="57"/>
      <c r="C2876" s="57"/>
      <c r="D2876" s="57"/>
      <c r="E2876" s="56"/>
      <c r="F2876" s="57"/>
      <c r="G2876" s="57"/>
      <c r="H2876" s="56"/>
      <c r="I2876" s="56"/>
      <c r="J2876" s="58"/>
      <c r="K2876" s="58"/>
      <c r="L2876" s="13" t="str">
        <f t="shared" si="440"/>
        <v/>
      </c>
      <c r="M2876" s="13" t="str">
        <f t="shared" si="441"/>
        <v/>
      </c>
      <c r="Q2876" t="str">
        <f t="shared" si="442"/>
        <v/>
      </c>
      <c r="R2876" t="str">
        <f t="shared" si="443"/>
        <v/>
      </c>
      <c r="S2876" t="str">
        <f t="shared" si="444"/>
        <v/>
      </c>
      <c r="T2876" t="str">
        <f t="shared" si="445"/>
        <v/>
      </c>
      <c r="U2876" t="str">
        <f t="shared" si="446"/>
        <v/>
      </c>
      <c r="V2876" t="str">
        <f t="shared" si="447"/>
        <v/>
      </c>
      <c r="W2876" t="str">
        <f t="shared" si="448"/>
        <v/>
      </c>
      <c r="X2876">
        <f>IF($T2876="",N($X2875),IF(MATCH($T2876,$T$6:$T$10005,0)=ROW()-5,N($X2875)+1,N($X2875)))</f>
        <v>0</v>
      </c>
      <c r="Z2876" t="str">
        <f t="shared" si="449"/>
        <v/>
      </c>
      <c r="AA2876">
        <f>IF($V2876="",N($AA2875),IF(MATCH($V2876,$V$6:$V$10005,0)=ROW()-5,N($AA2875)+1,N($AA2875)))</f>
        <v>0</v>
      </c>
    </row>
    <row r="2877" spans="1:27" ht="21" customHeight="1" x14ac:dyDescent="0.95">
      <c r="A2877" s="56"/>
      <c r="B2877" s="57"/>
      <c r="C2877" s="57"/>
      <c r="D2877" s="57"/>
      <c r="E2877" s="56"/>
      <c r="F2877" s="57"/>
      <c r="G2877" s="57"/>
      <c r="H2877" s="56"/>
      <c r="I2877" s="56"/>
      <c r="J2877" s="58"/>
      <c r="K2877" s="58"/>
      <c r="L2877" s="13" t="str">
        <f t="shared" si="440"/>
        <v/>
      </c>
      <c r="M2877" s="13" t="str">
        <f t="shared" si="441"/>
        <v/>
      </c>
      <c r="Q2877" t="str">
        <f t="shared" si="442"/>
        <v/>
      </c>
      <c r="R2877" t="str">
        <f t="shared" si="443"/>
        <v/>
      </c>
      <c r="S2877" t="str">
        <f t="shared" si="444"/>
        <v/>
      </c>
      <c r="T2877" t="str">
        <f t="shared" si="445"/>
        <v/>
      </c>
      <c r="U2877" t="str">
        <f t="shared" si="446"/>
        <v/>
      </c>
      <c r="V2877" t="str">
        <f t="shared" si="447"/>
        <v/>
      </c>
      <c r="W2877" t="str">
        <f t="shared" si="448"/>
        <v/>
      </c>
      <c r="X2877">
        <f>IF($T2877="",N($X2876),IF(MATCH($T2877,$T$6:$T$10005,0)=ROW()-5,N($X2876)+1,N($X2876)))</f>
        <v>0</v>
      </c>
      <c r="Z2877" t="str">
        <f t="shared" si="449"/>
        <v/>
      </c>
      <c r="AA2877">
        <f>IF($V2877="",N($AA2876),IF(MATCH($V2877,$V$6:$V$10005,0)=ROW()-5,N($AA2876)+1,N($AA2876)))</f>
        <v>0</v>
      </c>
    </row>
    <row r="2878" spans="1:27" ht="21" customHeight="1" x14ac:dyDescent="0.95">
      <c r="A2878" s="56"/>
      <c r="B2878" s="57"/>
      <c r="C2878" s="57"/>
      <c r="D2878" s="57"/>
      <c r="E2878" s="56"/>
      <c r="F2878" s="57"/>
      <c r="G2878" s="57"/>
      <c r="H2878" s="56"/>
      <c r="I2878" s="56"/>
      <c r="J2878" s="58"/>
      <c r="K2878" s="58"/>
      <c r="L2878" s="13" t="str">
        <f t="shared" si="440"/>
        <v/>
      </c>
      <c r="M2878" s="13" t="str">
        <f t="shared" si="441"/>
        <v/>
      </c>
      <c r="Q2878" t="str">
        <f t="shared" si="442"/>
        <v/>
      </c>
      <c r="R2878" t="str">
        <f t="shared" si="443"/>
        <v/>
      </c>
      <c r="S2878" t="str">
        <f t="shared" si="444"/>
        <v/>
      </c>
      <c r="T2878" t="str">
        <f t="shared" si="445"/>
        <v/>
      </c>
      <c r="U2878" t="str">
        <f t="shared" si="446"/>
        <v/>
      </c>
      <c r="V2878" t="str">
        <f t="shared" si="447"/>
        <v/>
      </c>
      <c r="W2878" t="str">
        <f t="shared" si="448"/>
        <v/>
      </c>
      <c r="X2878">
        <f>IF($T2878="",N($X2877),IF(MATCH($T2878,$T$6:$T$10005,0)=ROW()-5,N($X2877)+1,N($X2877)))</f>
        <v>0</v>
      </c>
      <c r="Z2878" t="str">
        <f t="shared" si="449"/>
        <v/>
      </c>
      <c r="AA2878">
        <f>IF($V2878="",N($AA2877),IF(MATCH($V2878,$V$6:$V$10005,0)=ROW()-5,N($AA2877)+1,N($AA2877)))</f>
        <v>0</v>
      </c>
    </row>
    <row r="2879" spans="1:27" ht="21" customHeight="1" x14ac:dyDescent="0.95">
      <c r="A2879" s="56"/>
      <c r="B2879" s="57"/>
      <c r="C2879" s="57"/>
      <c r="D2879" s="57"/>
      <c r="E2879" s="56"/>
      <c r="F2879" s="57"/>
      <c r="G2879" s="57"/>
      <c r="H2879" s="56"/>
      <c r="I2879" s="56"/>
      <c r="J2879" s="58"/>
      <c r="K2879" s="58"/>
      <c r="L2879" s="13" t="str">
        <f t="shared" si="440"/>
        <v/>
      </c>
      <c r="M2879" s="13" t="str">
        <f t="shared" si="441"/>
        <v/>
      </c>
      <c r="Q2879" t="str">
        <f t="shared" si="442"/>
        <v/>
      </c>
      <c r="R2879" t="str">
        <f t="shared" si="443"/>
        <v/>
      </c>
      <c r="S2879" t="str">
        <f t="shared" si="444"/>
        <v/>
      </c>
      <c r="T2879" t="str">
        <f t="shared" si="445"/>
        <v/>
      </c>
      <c r="U2879" t="str">
        <f t="shared" si="446"/>
        <v/>
      </c>
      <c r="V2879" t="str">
        <f t="shared" si="447"/>
        <v/>
      </c>
      <c r="W2879" t="str">
        <f t="shared" si="448"/>
        <v/>
      </c>
      <c r="X2879">
        <f>IF($T2879="",N($X2878),IF(MATCH($T2879,$T$6:$T$10005,0)=ROW()-5,N($X2878)+1,N($X2878)))</f>
        <v>0</v>
      </c>
      <c r="Z2879" t="str">
        <f t="shared" si="449"/>
        <v/>
      </c>
      <c r="AA2879">
        <f>IF($V2879="",N($AA2878),IF(MATCH($V2879,$V$6:$V$10005,0)=ROW()-5,N($AA2878)+1,N($AA2878)))</f>
        <v>0</v>
      </c>
    </row>
    <row r="2880" spans="1:27" ht="21" customHeight="1" x14ac:dyDescent="0.95">
      <c r="A2880" s="56"/>
      <c r="B2880" s="57"/>
      <c r="C2880" s="57"/>
      <c r="D2880" s="57"/>
      <c r="E2880" s="56"/>
      <c r="F2880" s="57"/>
      <c r="G2880" s="57"/>
      <c r="H2880" s="56"/>
      <c r="I2880" s="56"/>
      <c r="J2880" s="58"/>
      <c r="K2880" s="58"/>
      <c r="L2880" s="13" t="str">
        <f t="shared" si="440"/>
        <v/>
      </c>
      <c r="M2880" s="13" t="str">
        <f t="shared" si="441"/>
        <v/>
      </c>
      <c r="Q2880" t="str">
        <f t="shared" si="442"/>
        <v/>
      </c>
      <c r="R2880" t="str">
        <f t="shared" si="443"/>
        <v/>
      </c>
      <c r="S2880" t="str">
        <f t="shared" si="444"/>
        <v/>
      </c>
      <c r="T2880" t="str">
        <f t="shared" si="445"/>
        <v/>
      </c>
      <c r="U2880" t="str">
        <f t="shared" si="446"/>
        <v/>
      </c>
      <c r="V2880" t="str">
        <f t="shared" si="447"/>
        <v/>
      </c>
      <c r="W2880" t="str">
        <f t="shared" si="448"/>
        <v/>
      </c>
      <c r="X2880">
        <f>IF($T2880="",N($X2879),IF(MATCH($T2880,$T$6:$T$10005,0)=ROW()-5,N($X2879)+1,N($X2879)))</f>
        <v>0</v>
      </c>
      <c r="Z2880" t="str">
        <f t="shared" si="449"/>
        <v/>
      </c>
      <c r="AA2880">
        <f>IF($V2880="",N($AA2879),IF(MATCH($V2880,$V$6:$V$10005,0)=ROW()-5,N($AA2879)+1,N($AA2879)))</f>
        <v>0</v>
      </c>
    </row>
    <row r="2881" spans="1:27" ht="21" customHeight="1" x14ac:dyDescent="0.95">
      <c r="A2881" s="56"/>
      <c r="B2881" s="57"/>
      <c r="C2881" s="57"/>
      <c r="D2881" s="57"/>
      <c r="E2881" s="56"/>
      <c r="F2881" s="57"/>
      <c r="G2881" s="57"/>
      <c r="H2881" s="56"/>
      <c r="I2881" s="56"/>
      <c r="J2881" s="58"/>
      <c r="K2881" s="58"/>
      <c r="L2881" s="13" t="str">
        <f t="shared" si="440"/>
        <v/>
      </c>
      <c r="M2881" s="13" t="str">
        <f t="shared" si="441"/>
        <v/>
      </c>
      <c r="Q2881" t="str">
        <f t="shared" si="442"/>
        <v/>
      </c>
      <c r="R2881" t="str">
        <f t="shared" si="443"/>
        <v/>
      </c>
      <c r="S2881" t="str">
        <f t="shared" si="444"/>
        <v/>
      </c>
      <c r="T2881" t="str">
        <f t="shared" si="445"/>
        <v/>
      </c>
      <c r="U2881" t="str">
        <f t="shared" si="446"/>
        <v/>
      </c>
      <c r="V2881" t="str">
        <f t="shared" si="447"/>
        <v/>
      </c>
      <c r="W2881" t="str">
        <f t="shared" si="448"/>
        <v/>
      </c>
      <c r="X2881">
        <f>IF($T2881="",N($X2880),IF(MATCH($T2881,$T$6:$T$10005,0)=ROW()-5,N($X2880)+1,N($X2880)))</f>
        <v>0</v>
      </c>
      <c r="Z2881" t="str">
        <f t="shared" si="449"/>
        <v/>
      </c>
      <c r="AA2881">
        <f>IF($V2881="",N($AA2880),IF(MATCH($V2881,$V$6:$V$10005,0)=ROW()-5,N($AA2880)+1,N($AA2880)))</f>
        <v>0</v>
      </c>
    </row>
    <row r="2882" spans="1:27" ht="21" customHeight="1" x14ac:dyDescent="0.95">
      <c r="A2882" s="56"/>
      <c r="B2882" s="57"/>
      <c r="C2882" s="57"/>
      <c r="D2882" s="57"/>
      <c r="E2882" s="56"/>
      <c r="F2882" s="57"/>
      <c r="G2882" s="57"/>
      <c r="H2882" s="56"/>
      <c r="I2882" s="56"/>
      <c r="J2882" s="58"/>
      <c r="K2882" s="58"/>
      <c r="L2882" s="13" t="str">
        <f t="shared" si="440"/>
        <v/>
      </c>
      <c r="M2882" s="13" t="str">
        <f t="shared" si="441"/>
        <v/>
      </c>
      <c r="Q2882" t="str">
        <f t="shared" si="442"/>
        <v/>
      </c>
      <c r="R2882" t="str">
        <f t="shared" si="443"/>
        <v/>
      </c>
      <c r="S2882" t="str">
        <f t="shared" si="444"/>
        <v/>
      </c>
      <c r="T2882" t="str">
        <f t="shared" si="445"/>
        <v/>
      </c>
      <c r="U2882" t="str">
        <f t="shared" si="446"/>
        <v/>
      </c>
      <c r="V2882" t="str">
        <f t="shared" si="447"/>
        <v/>
      </c>
      <c r="W2882" t="str">
        <f t="shared" si="448"/>
        <v/>
      </c>
      <c r="X2882">
        <f>IF($T2882="",N($X2881),IF(MATCH($T2882,$T$6:$T$10005,0)=ROW()-5,N($X2881)+1,N($X2881)))</f>
        <v>0</v>
      </c>
      <c r="Z2882" t="str">
        <f t="shared" si="449"/>
        <v/>
      </c>
      <c r="AA2882">
        <f>IF($V2882="",N($AA2881),IF(MATCH($V2882,$V$6:$V$10005,0)=ROW()-5,N($AA2881)+1,N($AA2881)))</f>
        <v>0</v>
      </c>
    </row>
    <row r="2883" spans="1:27" ht="21" customHeight="1" x14ac:dyDescent="0.95">
      <c r="A2883" s="56"/>
      <c r="B2883" s="57"/>
      <c r="C2883" s="57"/>
      <c r="D2883" s="57"/>
      <c r="E2883" s="56"/>
      <c r="F2883" s="57"/>
      <c r="G2883" s="57"/>
      <c r="H2883" s="56"/>
      <c r="I2883" s="56"/>
      <c r="J2883" s="58"/>
      <c r="K2883" s="58"/>
      <c r="L2883" s="13" t="str">
        <f t="shared" si="440"/>
        <v/>
      </c>
      <c r="M2883" s="13" t="str">
        <f t="shared" si="441"/>
        <v/>
      </c>
      <c r="Q2883" t="str">
        <f t="shared" si="442"/>
        <v/>
      </c>
      <c r="R2883" t="str">
        <f t="shared" si="443"/>
        <v/>
      </c>
      <c r="S2883" t="str">
        <f t="shared" si="444"/>
        <v/>
      </c>
      <c r="T2883" t="str">
        <f t="shared" si="445"/>
        <v/>
      </c>
      <c r="U2883" t="str">
        <f t="shared" si="446"/>
        <v/>
      </c>
      <c r="V2883" t="str">
        <f t="shared" si="447"/>
        <v/>
      </c>
      <c r="W2883" t="str">
        <f t="shared" si="448"/>
        <v/>
      </c>
      <c r="X2883">
        <f>IF($T2883="",N($X2882),IF(MATCH($T2883,$T$6:$T$10005,0)=ROW()-5,N($X2882)+1,N($X2882)))</f>
        <v>0</v>
      </c>
      <c r="Z2883" t="str">
        <f t="shared" si="449"/>
        <v/>
      </c>
      <c r="AA2883">
        <f>IF($V2883="",N($AA2882),IF(MATCH($V2883,$V$6:$V$10005,0)=ROW()-5,N($AA2882)+1,N($AA2882)))</f>
        <v>0</v>
      </c>
    </row>
    <row r="2884" spans="1:27" ht="21" customHeight="1" x14ac:dyDescent="0.95">
      <c r="A2884" s="56"/>
      <c r="B2884" s="57"/>
      <c r="C2884" s="57"/>
      <c r="D2884" s="57"/>
      <c r="E2884" s="56"/>
      <c r="F2884" s="57"/>
      <c r="G2884" s="57"/>
      <c r="H2884" s="56"/>
      <c r="I2884" s="56"/>
      <c r="J2884" s="58"/>
      <c r="K2884" s="58"/>
      <c r="L2884" s="13" t="str">
        <f t="shared" si="440"/>
        <v/>
      </c>
      <c r="M2884" s="13" t="str">
        <f t="shared" si="441"/>
        <v/>
      </c>
      <c r="Q2884" t="str">
        <f t="shared" si="442"/>
        <v/>
      </c>
      <c r="R2884" t="str">
        <f t="shared" si="443"/>
        <v/>
      </c>
      <c r="S2884" t="str">
        <f t="shared" si="444"/>
        <v/>
      </c>
      <c r="T2884" t="str">
        <f t="shared" si="445"/>
        <v/>
      </c>
      <c r="U2884" t="str">
        <f t="shared" si="446"/>
        <v/>
      </c>
      <c r="V2884" t="str">
        <f t="shared" si="447"/>
        <v/>
      </c>
      <c r="W2884" t="str">
        <f t="shared" si="448"/>
        <v/>
      </c>
      <c r="X2884">
        <f>IF($T2884="",N($X2883),IF(MATCH($T2884,$T$6:$T$10005,0)=ROW()-5,N($X2883)+1,N($X2883)))</f>
        <v>0</v>
      </c>
      <c r="Z2884" t="str">
        <f t="shared" si="449"/>
        <v/>
      </c>
      <c r="AA2884">
        <f>IF($V2884="",N($AA2883),IF(MATCH($V2884,$V$6:$V$10005,0)=ROW()-5,N($AA2883)+1,N($AA2883)))</f>
        <v>0</v>
      </c>
    </row>
    <row r="2885" spans="1:27" ht="21" customHeight="1" x14ac:dyDescent="0.95">
      <c r="A2885" s="56"/>
      <c r="B2885" s="57"/>
      <c r="C2885" s="57"/>
      <c r="D2885" s="57"/>
      <c r="E2885" s="56"/>
      <c r="F2885" s="57"/>
      <c r="G2885" s="57"/>
      <c r="H2885" s="56"/>
      <c r="I2885" s="56"/>
      <c r="J2885" s="58"/>
      <c r="K2885" s="58"/>
      <c r="L2885" s="13" t="str">
        <f t="shared" si="440"/>
        <v/>
      </c>
      <c r="M2885" s="13" t="str">
        <f t="shared" si="441"/>
        <v/>
      </c>
      <c r="Q2885" t="str">
        <f t="shared" si="442"/>
        <v/>
      </c>
      <c r="R2885" t="str">
        <f t="shared" si="443"/>
        <v/>
      </c>
      <c r="S2885" t="str">
        <f t="shared" si="444"/>
        <v/>
      </c>
      <c r="T2885" t="str">
        <f t="shared" si="445"/>
        <v/>
      </c>
      <c r="U2885" t="str">
        <f t="shared" si="446"/>
        <v/>
      </c>
      <c r="V2885" t="str">
        <f t="shared" si="447"/>
        <v/>
      </c>
      <c r="W2885" t="str">
        <f t="shared" si="448"/>
        <v/>
      </c>
      <c r="X2885">
        <f>IF($T2885="",N($X2884),IF(MATCH($T2885,$T$6:$T$10005,0)=ROW()-5,N($X2884)+1,N($X2884)))</f>
        <v>0</v>
      </c>
      <c r="Z2885" t="str">
        <f t="shared" si="449"/>
        <v/>
      </c>
      <c r="AA2885">
        <f>IF($V2885="",N($AA2884),IF(MATCH($V2885,$V$6:$V$10005,0)=ROW()-5,N($AA2884)+1,N($AA2884)))</f>
        <v>0</v>
      </c>
    </row>
    <row r="2886" spans="1:27" ht="21" customHeight="1" x14ac:dyDescent="0.95">
      <c r="A2886" s="56"/>
      <c r="B2886" s="57"/>
      <c r="C2886" s="57"/>
      <c r="D2886" s="57"/>
      <c r="E2886" s="56"/>
      <c r="F2886" s="57"/>
      <c r="G2886" s="57"/>
      <c r="H2886" s="56"/>
      <c r="I2886" s="56"/>
      <c r="J2886" s="58"/>
      <c r="K2886" s="58"/>
      <c r="L2886" s="13" t="str">
        <f t="shared" ref="L2886:L2949" si="450">IF(OR($A2886="",AND($J2886="",$K2886="")),"",ROUND(N($J2886)-N($K2886),2))</f>
        <v/>
      </c>
      <c r="M2886" s="13" t="str">
        <f t="shared" ref="M2886:M2949" si="451">IF(OR($A2886="",AND($J2886="",$K2886="")),"",MIN($J2886,$K2886))</f>
        <v/>
      </c>
      <c r="Q2886" t="str">
        <f t="shared" ref="Q2886:Q2949" si="452">IF($A2886="","",$D2886&amp;"("&amp;SUBSTITUTE($E2886," ","")&amp;")")</f>
        <v/>
      </c>
      <c r="R2886" t="str">
        <f t="shared" ref="R2886:R2949" si="453">IF($A2886="","",$B2886&amp;" - "&amp;$C2886)</f>
        <v/>
      </c>
      <c r="S2886" t="str">
        <f t="shared" ref="S2886:S2949" si="454">IF($A2886="","",$R2886&amp;"|"&amp;$Q2886)</f>
        <v/>
      </c>
      <c r="T2886" t="str">
        <f t="shared" ref="T2886:T2949" si="455">IF($A2886="","",$S2886&amp;"|"&amp;$F2886)</f>
        <v/>
      </c>
      <c r="U2886" t="str">
        <f t="shared" ref="U2886:U2949" si="456">IF($A2886="","",$R2886&amp;"("&amp;$E2886&amp;")")</f>
        <v/>
      </c>
      <c r="V2886" t="str">
        <f t="shared" ref="V2886:V2949" si="457">IF($A2886="","",$F2886&amp;"|"&amp;$U2886&amp;"|"&amp;$D2886)</f>
        <v/>
      </c>
      <c r="W2886" t="str">
        <f t="shared" ref="W2886:W2949" si="458">IF($T2886="","",IF($X2886&gt;N($X2885),$X2886,""))</f>
        <v/>
      </c>
      <c r="X2886">
        <f>IF($T2886="",N($X2885),IF(MATCH($T2886,$T$6:$T$10005,0)=ROW()-5,N($X2885)+1,N($X2885)))</f>
        <v>0</v>
      </c>
      <c r="Z2886" t="str">
        <f t="shared" ref="Z2886:Z2949" si="459">IF($V2886="","",IF($AA2886&gt;N($AA2885),$AA2886,""))</f>
        <v/>
      </c>
      <c r="AA2886">
        <f>IF($V2886="",N($AA2885),IF(MATCH($V2886,$V$6:$V$10005,0)=ROW()-5,N($AA2885)+1,N($AA2885)))</f>
        <v>0</v>
      </c>
    </row>
    <row r="2887" spans="1:27" ht="21" customHeight="1" x14ac:dyDescent="0.95">
      <c r="A2887" s="56"/>
      <c r="B2887" s="57"/>
      <c r="C2887" s="57"/>
      <c r="D2887" s="57"/>
      <c r="E2887" s="56"/>
      <c r="F2887" s="57"/>
      <c r="G2887" s="57"/>
      <c r="H2887" s="56"/>
      <c r="I2887" s="56"/>
      <c r="J2887" s="58"/>
      <c r="K2887" s="58"/>
      <c r="L2887" s="13" t="str">
        <f t="shared" si="450"/>
        <v/>
      </c>
      <c r="M2887" s="13" t="str">
        <f t="shared" si="451"/>
        <v/>
      </c>
      <c r="Q2887" t="str">
        <f t="shared" si="452"/>
        <v/>
      </c>
      <c r="R2887" t="str">
        <f t="shared" si="453"/>
        <v/>
      </c>
      <c r="S2887" t="str">
        <f t="shared" si="454"/>
        <v/>
      </c>
      <c r="T2887" t="str">
        <f t="shared" si="455"/>
        <v/>
      </c>
      <c r="U2887" t="str">
        <f t="shared" si="456"/>
        <v/>
      </c>
      <c r="V2887" t="str">
        <f t="shared" si="457"/>
        <v/>
      </c>
      <c r="W2887" t="str">
        <f t="shared" si="458"/>
        <v/>
      </c>
      <c r="X2887">
        <f>IF($T2887="",N($X2886),IF(MATCH($T2887,$T$6:$T$10005,0)=ROW()-5,N($X2886)+1,N($X2886)))</f>
        <v>0</v>
      </c>
      <c r="Z2887" t="str">
        <f t="shared" si="459"/>
        <v/>
      </c>
      <c r="AA2887">
        <f>IF($V2887="",N($AA2886),IF(MATCH($V2887,$V$6:$V$10005,0)=ROW()-5,N($AA2886)+1,N($AA2886)))</f>
        <v>0</v>
      </c>
    </row>
    <row r="2888" spans="1:27" ht="21" customHeight="1" x14ac:dyDescent="0.95">
      <c r="A2888" s="56"/>
      <c r="B2888" s="57"/>
      <c r="C2888" s="57"/>
      <c r="D2888" s="57"/>
      <c r="E2888" s="56"/>
      <c r="F2888" s="57"/>
      <c r="G2888" s="57"/>
      <c r="H2888" s="56"/>
      <c r="I2888" s="56"/>
      <c r="J2888" s="58"/>
      <c r="K2888" s="58"/>
      <c r="L2888" s="13" t="str">
        <f t="shared" si="450"/>
        <v/>
      </c>
      <c r="M2888" s="13" t="str">
        <f t="shared" si="451"/>
        <v/>
      </c>
      <c r="Q2888" t="str">
        <f t="shared" si="452"/>
        <v/>
      </c>
      <c r="R2888" t="str">
        <f t="shared" si="453"/>
        <v/>
      </c>
      <c r="S2888" t="str">
        <f t="shared" si="454"/>
        <v/>
      </c>
      <c r="T2888" t="str">
        <f t="shared" si="455"/>
        <v/>
      </c>
      <c r="U2888" t="str">
        <f t="shared" si="456"/>
        <v/>
      </c>
      <c r="V2888" t="str">
        <f t="shared" si="457"/>
        <v/>
      </c>
      <c r="W2888" t="str">
        <f t="shared" si="458"/>
        <v/>
      </c>
      <c r="X2888">
        <f>IF($T2888="",N($X2887),IF(MATCH($T2888,$T$6:$T$10005,0)=ROW()-5,N($X2887)+1,N($X2887)))</f>
        <v>0</v>
      </c>
      <c r="Z2888" t="str">
        <f t="shared" si="459"/>
        <v/>
      </c>
      <c r="AA2888">
        <f>IF($V2888="",N($AA2887),IF(MATCH($V2888,$V$6:$V$10005,0)=ROW()-5,N($AA2887)+1,N($AA2887)))</f>
        <v>0</v>
      </c>
    </row>
    <row r="2889" spans="1:27" ht="21" customHeight="1" x14ac:dyDescent="0.95">
      <c r="A2889" s="56"/>
      <c r="B2889" s="57"/>
      <c r="C2889" s="57"/>
      <c r="D2889" s="57"/>
      <c r="E2889" s="56"/>
      <c r="F2889" s="57"/>
      <c r="G2889" s="57"/>
      <c r="H2889" s="56"/>
      <c r="I2889" s="56"/>
      <c r="J2889" s="58"/>
      <c r="K2889" s="58"/>
      <c r="L2889" s="13" t="str">
        <f t="shared" si="450"/>
        <v/>
      </c>
      <c r="M2889" s="13" t="str">
        <f t="shared" si="451"/>
        <v/>
      </c>
      <c r="Q2889" t="str">
        <f t="shared" si="452"/>
        <v/>
      </c>
      <c r="R2889" t="str">
        <f t="shared" si="453"/>
        <v/>
      </c>
      <c r="S2889" t="str">
        <f t="shared" si="454"/>
        <v/>
      </c>
      <c r="T2889" t="str">
        <f t="shared" si="455"/>
        <v/>
      </c>
      <c r="U2889" t="str">
        <f t="shared" si="456"/>
        <v/>
      </c>
      <c r="V2889" t="str">
        <f t="shared" si="457"/>
        <v/>
      </c>
      <c r="W2889" t="str">
        <f t="shared" si="458"/>
        <v/>
      </c>
      <c r="X2889">
        <f>IF($T2889="",N($X2888),IF(MATCH($T2889,$T$6:$T$10005,0)=ROW()-5,N($X2888)+1,N($X2888)))</f>
        <v>0</v>
      </c>
      <c r="Z2889" t="str">
        <f t="shared" si="459"/>
        <v/>
      </c>
      <c r="AA2889">
        <f>IF($V2889="",N($AA2888),IF(MATCH($V2889,$V$6:$V$10005,0)=ROW()-5,N($AA2888)+1,N($AA2888)))</f>
        <v>0</v>
      </c>
    </row>
    <row r="2890" spans="1:27" ht="21" customHeight="1" x14ac:dyDescent="0.95">
      <c r="A2890" s="56"/>
      <c r="B2890" s="57"/>
      <c r="C2890" s="57"/>
      <c r="D2890" s="57"/>
      <c r="E2890" s="56"/>
      <c r="F2890" s="57"/>
      <c r="G2890" s="57"/>
      <c r="H2890" s="56"/>
      <c r="I2890" s="56"/>
      <c r="J2890" s="58"/>
      <c r="K2890" s="58"/>
      <c r="L2890" s="13" t="str">
        <f t="shared" si="450"/>
        <v/>
      </c>
      <c r="M2890" s="13" t="str">
        <f t="shared" si="451"/>
        <v/>
      </c>
      <c r="Q2890" t="str">
        <f t="shared" si="452"/>
        <v/>
      </c>
      <c r="R2890" t="str">
        <f t="shared" si="453"/>
        <v/>
      </c>
      <c r="S2890" t="str">
        <f t="shared" si="454"/>
        <v/>
      </c>
      <c r="T2890" t="str">
        <f t="shared" si="455"/>
        <v/>
      </c>
      <c r="U2890" t="str">
        <f t="shared" si="456"/>
        <v/>
      </c>
      <c r="V2890" t="str">
        <f t="shared" si="457"/>
        <v/>
      </c>
      <c r="W2890" t="str">
        <f t="shared" si="458"/>
        <v/>
      </c>
      <c r="X2890">
        <f>IF($T2890="",N($X2889),IF(MATCH($T2890,$T$6:$T$10005,0)=ROW()-5,N($X2889)+1,N($X2889)))</f>
        <v>0</v>
      </c>
      <c r="Z2890" t="str">
        <f t="shared" si="459"/>
        <v/>
      </c>
      <c r="AA2890">
        <f>IF($V2890="",N($AA2889),IF(MATCH($V2890,$V$6:$V$10005,0)=ROW()-5,N($AA2889)+1,N($AA2889)))</f>
        <v>0</v>
      </c>
    </row>
    <row r="2891" spans="1:27" ht="21" customHeight="1" x14ac:dyDescent="0.95">
      <c r="A2891" s="56"/>
      <c r="B2891" s="57"/>
      <c r="C2891" s="57"/>
      <c r="D2891" s="57"/>
      <c r="E2891" s="56"/>
      <c r="F2891" s="57"/>
      <c r="G2891" s="57"/>
      <c r="H2891" s="56"/>
      <c r="I2891" s="56"/>
      <c r="J2891" s="58"/>
      <c r="K2891" s="58"/>
      <c r="L2891" s="13" t="str">
        <f t="shared" si="450"/>
        <v/>
      </c>
      <c r="M2891" s="13" t="str">
        <f t="shared" si="451"/>
        <v/>
      </c>
      <c r="Q2891" t="str">
        <f t="shared" si="452"/>
        <v/>
      </c>
      <c r="R2891" t="str">
        <f t="shared" si="453"/>
        <v/>
      </c>
      <c r="S2891" t="str">
        <f t="shared" si="454"/>
        <v/>
      </c>
      <c r="T2891" t="str">
        <f t="shared" si="455"/>
        <v/>
      </c>
      <c r="U2891" t="str">
        <f t="shared" si="456"/>
        <v/>
      </c>
      <c r="V2891" t="str">
        <f t="shared" si="457"/>
        <v/>
      </c>
      <c r="W2891" t="str">
        <f t="shared" si="458"/>
        <v/>
      </c>
      <c r="X2891">
        <f>IF($T2891="",N($X2890),IF(MATCH($T2891,$T$6:$T$10005,0)=ROW()-5,N($X2890)+1,N($X2890)))</f>
        <v>0</v>
      </c>
      <c r="Z2891" t="str">
        <f t="shared" si="459"/>
        <v/>
      </c>
      <c r="AA2891">
        <f>IF($V2891="",N($AA2890),IF(MATCH($V2891,$V$6:$V$10005,0)=ROW()-5,N($AA2890)+1,N($AA2890)))</f>
        <v>0</v>
      </c>
    </row>
    <row r="2892" spans="1:27" ht="21" customHeight="1" x14ac:dyDescent="0.95">
      <c r="A2892" s="56"/>
      <c r="B2892" s="57"/>
      <c r="C2892" s="57"/>
      <c r="D2892" s="57"/>
      <c r="E2892" s="56"/>
      <c r="F2892" s="57"/>
      <c r="G2892" s="57"/>
      <c r="H2892" s="56"/>
      <c r="I2892" s="56"/>
      <c r="J2892" s="58"/>
      <c r="K2892" s="58"/>
      <c r="L2892" s="13" t="str">
        <f t="shared" si="450"/>
        <v/>
      </c>
      <c r="M2892" s="13" t="str">
        <f t="shared" si="451"/>
        <v/>
      </c>
      <c r="Q2892" t="str">
        <f t="shared" si="452"/>
        <v/>
      </c>
      <c r="R2892" t="str">
        <f t="shared" si="453"/>
        <v/>
      </c>
      <c r="S2892" t="str">
        <f t="shared" si="454"/>
        <v/>
      </c>
      <c r="T2892" t="str">
        <f t="shared" si="455"/>
        <v/>
      </c>
      <c r="U2892" t="str">
        <f t="shared" si="456"/>
        <v/>
      </c>
      <c r="V2892" t="str">
        <f t="shared" si="457"/>
        <v/>
      </c>
      <c r="W2892" t="str">
        <f t="shared" si="458"/>
        <v/>
      </c>
      <c r="X2892">
        <f>IF($T2892="",N($X2891),IF(MATCH($T2892,$T$6:$T$10005,0)=ROW()-5,N($X2891)+1,N($X2891)))</f>
        <v>0</v>
      </c>
      <c r="Z2892" t="str">
        <f t="shared" si="459"/>
        <v/>
      </c>
      <c r="AA2892">
        <f>IF($V2892="",N($AA2891),IF(MATCH($V2892,$V$6:$V$10005,0)=ROW()-5,N($AA2891)+1,N($AA2891)))</f>
        <v>0</v>
      </c>
    </row>
    <row r="2893" spans="1:27" ht="21" customHeight="1" x14ac:dyDescent="0.95">
      <c r="A2893" s="56"/>
      <c r="B2893" s="57"/>
      <c r="C2893" s="57"/>
      <c r="D2893" s="57"/>
      <c r="E2893" s="56"/>
      <c r="F2893" s="57"/>
      <c r="G2893" s="57"/>
      <c r="H2893" s="56"/>
      <c r="I2893" s="56"/>
      <c r="J2893" s="58"/>
      <c r="K2893" s="58"/>
      <c r="L2893" s="13" t="str">
        <f t="shared" si="450"/>
        <v/>
      </c>
      <c r="M2893" s="13" t="str">
        <f t="shared" si="451"/>
        <v/>
      </c>
      <c r="Q2893" t="str">
        <f t="shared" si="452"/>
        <v/>
      </c>
      <c r="R2893" t="str">
        <f t="shared" si="453"/>
        <v/>
      </c>
      <c r="S2893" t="str">
        <f t="shared" si="454"/>
        <v/>
      </c>
      <c r="T2893" t="str">
        <f t="shared" si="455"/>
        <v/>
      </c>
      <c r="U2893" t="str">
        <f t="shared" si="456"/>
        <v/>
      </c>
      <c r="V2893" t="str">
        <f t="shared" si="457"/>
        <v/>
      </c>
      <c r="W2893" t="str">
        <f t="shared" si="458"/>
        <v/>
      </c>
      <c r="X2893">
        <f>IF($T2893="",N($X2892),IF(MATCH($T2893,$T$6:$T$10005,0)=ROW()-5,N($X2892)+1,N($X2892)))</f>
        <v>0</v>
      </c>
      <c r="Z2893" t="str">
        <f t="shared" si="459"/>
        <v/>
      </c>
      <c r="AA2893">
        <f>IF($V2893="",N($AA2892),IF(MATCH($V2893,$V$6:$V$10005,0)=ROW()-5,N($AA2892)+1,N($AA2892)))</f>
        <v>0</v>
      </c>
    </row>
    <row r="2894" spans="1:27" ht="21" customHeight="1" x14ac:dyDescent="0.95">
      <c r="A2894" s="56"/>
      <c r="B2894" s="57"/>
      <c r="C2894" s="57"/>
      <c r="D2894" s="57"/>
      <c r="E2894" s="56"/>
      <c r="F2894" s="57"/>
      <c r="G2894" s="57"/>
      <c r="H2894" s="56"/>
      <c r="I2894" s="56"/>
      <c r="J2894" s="58"/>
      <c r="K2894" s="58"/>
      <c r="L2894" s="13" t="str">
        <f t="shared" si="450"/>
        <v/>
      </c>
      <c r="M2894" s="13" t="str">
        <f t="shared" si="451"/>
        <v/>
      </c>
      <c r="Q2894" t="str">
        <f t="shared" si="452"/>
        <v/>
      </c>
      <c r="R2894" t="str">
        <f t="shared" si="453"/>
        <v/>
      </c>
      <c r="S2894" t="str">
        <f t="shared" si="454"/>
        <v/>
      </c>
      <c r="T2894" t="str">
        <f t="shared" si="455"/>
        <v/>
      </c>
      <c r="U2894" t="str">
        <f t="shared" si="456"/>
        <v/>
      </c>
      <c r="V2894" t="str">
        <f t="shared" si="457"/>
        <v/>
      </c>
      <c r="W2894" t="str">
        <f t="shared" si="458"/>
        <v/>
      </c>
      <c r="X2894">
        <f>IF($T2894="",N($X2893),IF(MATCH($T2894,$T$6:$T$10005,0)=ROW()-5,N($X2893)+1,N($X2893)))</f>
        <v>0</v>
      </c>
      <c r="Z2894" t="str">
        <f t="shared" si="459"/>
        <v/>
      </c>
      <c r="AA2894">
        <f>IF($V2894="",N($AA2893),IF(MATCH($V2894,$V$6:$V$10005,0)=ROW()-5,N($AA2893)+1,N($AA2893)))</f>
        <v>0</v>
      </c>
    </row>
    <row r="2895" spans="1:27" ht="21" customHeight="1" x14ac:dyDescent="0.95">
      <c r="A2895" s="56"/>
      <c r="B2895" s="57"/>
      <c r="C2895" s="57"/>
      <c r="D2895" s="57"/>
      <c r="E2895" s="56"/>
      <c r="F2895" s="57"/>
      <c r="G2895" s="57"/>
      <c r="H2895" s="56"/>
      <c r="I2895" s="56"/>
      <c r="J2895" s="58"/>
      <c r="K2895" s="58"/>
      <c r="L2895" s="13" t="str">
        <f t="shared" si="450"/>
        <v/>
      </c>
      <c r="M2895" s="13" t="str">
        <f t="shared" si="451"/>
        <v/>
      </c>
      <c r="Q2895" t="str">
        <f t="shared" si="452"/>
        <v/>
      </c>
      <c r="R2895" t="str">
        <f t="shared" si="453"/>
        <v/>
      </c>
      <c r="S2895" t="str">
        <f t="shared" si="454"/>
        <v/>
      </c>
      <c r="T2895" t="str">
        <f t="shared" si="455"/>
        <v/>
      </c>
      <c r="U2895" t="str">
        <f t="shared" si="456"/>
        <v/>
      </c>
      <c r="V2895" t="str">
        <f t="shared" si="457"/>
        <v/>
      </c>
      <c r="W2895" t="str">
        <f t="shared" si="458"/>
        <v/>
      </c>
      <c r="X2895">
        <f>IF($T2895="",N($X2894),IF(MATCH($T2895,$T$6:$T$10005,0)=ROW()-5,N($X2894)+1,N($X2894)))</f>
        <v>0</v>
      </c>
      <c r="Z2895" t="str">
        <f t="shared" si="459"/>
        <v/>
      </c>
      <c r="AA2895">
        <f>IF($V2895="",N($AA2894),IF(MATCH($V2895,$V$6:$V$10005,0)=ROW()-5,N($AA2894)+1,N($AA2894)))</f>
        <v>0</v>
      </c>
    </row>
    <row r="2896" spans="1:27" ht="21" customHeight="1" x14ac:dyDescent="0.95">
      <c r="A2896" s="56"/>
      <c r="B2896" s="57"/>
      <c r="C2896" s="57"/>
      <c r="D2896" s="57"/>
      <c r="E2896" s="56"/>
      <c r="F2896" s="57"/>
      <c r="G2896" s="57"/>
      <c r="H2896" s="56"/>
      <c r="I2896" s="56"/>
      <c r="J2896" s="58"/>
      <c r="K2896" s="58"/>
      <c r="L2896" s="13" t="str">
        <f t="shared" si="450"/>
        <v/>
      </c>
      <c r="M2896" s="13" t="str">
        <f t="shared" si="451"/>
        <v/>
      </c>
      <c r="Q2896" t="str">
        <f t="shared" si="452"/>
        <v/>
      </c>
      <c r="R2896" t="str">
        <f t="shared" si="453"/>
        <v/>
      </c>
      <c r="S2896" t="str">
        <f t="shared" si="454"/>
        <v/>
      </c>
      <c r="T2896" t="str">
        <f t="shared" si="455"/>
        <v/>
      </c>
      <c r="U2896" t="str">
        <f t="shared" si="456"/>
        <v/>
      </c>
      <c r="V2896" t="str">
        <f t="shared" si="457"/>
        <v/>
      </c>
      <c r="W2896" t="str">
        <f t="shared" si="458"/>
        <v/>
      </c>
      <c r="X2896">
        <f>IF($T2896="",N($X2895),IF(MATCH($T2896,$T$6:$T$10005,0)=ROW()-5,N($X2895)+1,N($X2895)))</f>
        <v>0</v>
      </c>
      <c r="Z2896" t="str">
        <f t="shared" si="459"/>
        <v/>
      </c>
      <c r="AA2896">
        <f>IF($V2896="",N($AA2895),IF(MATCH($V2896,$V$6:$V$10005,0)=ROW()-5,N($AA2895)+1,N($AA2895)))</f>
        <v>0</v>
      </c>
    </row>
    <row r="2897" spans="1:27" ht="21" customHeight="1" x14ac:dyDescent="0.95">
      <c r="A2897" s="56"/>
      <c r="B2897" s="57"/>
      <c r="C2897" s="57"/>
      <c r="D2897" s="57"/>
      <c r="E2897" s="56"/>
      <c r="F2897" s="57"/>
      <c r="G2897" s="57"/>
      <c r="H2897" s="56"/>
      <c r="I2897" s="56"/>
      <c r="J2897" s="58"/>
      <c r="K2897" s="58"/>
      <c r="L2897" s="13" t="str">
        <f t="shared" si="450"/>
        <v/>
      </c>
      <c r="M2897" s="13" t="str">
        <f t="shared" si="451"/>
        <v/>
      </c>
      <c r="Q2897" t="str">
        <f t="shared" si="452"/>
        <v/>
      </c>
      <c r="R2897" t="str">
        <f t="shared" si="453"/>
        <v/>
      </c>
      <c r="S2897" t="str">
        <f t="shared" si="454"/>
        <v/>
      </c>
      <c r="T2897" t="str">
        <f t="shared" si="455"/>
        <v/>
      </c>
      <c r="U2897" t="str">
        <f t="shared" si="456"/>
        <v/>
      </c>
      <c r="V2897" t="str">
        <f t="shared" si="457"/>
        <v/>
      </c>
      <c r="W2897" t="str">
        <f t="shared" si="458"/>
        <v/>
      </c>
      <c r="X2897">
        <f>IF($T2897="",N($X2896),IF(MATCH($T2897,$T$6:$T$10005,0)=ROW()-5,N($X2896)+1,N($X2896)))</f>
        <v>0</v>
      </c>
      <c r="Z2897" t="str">
        <f t="shared" si="459"/>
        <v/>
      </c>
      <c r="AA2897">
        <f>IF($V2897="",N($AA2896),IF(MATCH($V2897,$V$6:$V$10005,0)=ROW()-5,N($AA2896)+1,N($AA2896)))</f>
        <v>0</v>
      </c>
    </row>
    <row r="2898" spans="1:27" ht="21" customHeight="1" x14ac:dyDescent="0.95">
      <c r="A2898" s="56"/>
      <c r="B2898" s="57"/>
      <c r="C2898" s="57"/>
      <c r="D2898" s="57"/>
      <c r="E2898" s="56"/>
      <c r="F2898" s="57"/>
      <c r="G2898" s="57"/>
      <c r="H2898" s="56"/>
      <c r="I2898" s="56"/>
      <c r="J2898" s="58"/>
      <c r="K2898" s="58"/>
      <c r="L2898" s="13" t="str">
        <f t="shared" si="450"/>
        <v/>
      </c>
      <c r="M2898" s="13" t="str">
        <f t="shared" si="451"/>
        <v/>
      </c>
      <c r="Q2898" t="str">
        <f t="shared" si="452"/>
        <v/>
      </c>
      <c r="R2898" t="str">
        <f t="shared" si="453"/>
        <v/>
      </c>
      <c r="S2898" t="str">
        <f t="shared" si="454"/>
        <v/>
      </c>
      <c r="T2898" t="str">
        <f t="shared" si="455"/>
        <v/>
      </c>
      <c r="U2898" t="str">
        <f t="shared" si="456"/>
        <v/>
      </c>
      <c r="V2898" t="str">
        <f t="shared" si="457"/>
        <v/>
      </c>
      <c r="W2898" t="str">
        <f t="shared" si="458"/>
        <v/>
      </c>
      <c r="X2898">
        <f>IF($T2898="",N($X2897),IF(MATCH($T2898,$T$6:$T$10005,0)=ROW()-5,N($X2897)+1,N($X2897)))</f>
        <v>0</v>
      </c>
      <c r="Z2898" t="str">
        <f t="shared" si="459"/>
        <v/>
      </c>
      <c r="AA2898">
        <f>IF($V2898="",N($AA2897),IF(MATCH($V2898,$V$6:$V$10005,0)=ROW()-5,N($AA2897)+1,N($AA2897)))</f>
        <v>0</v>
      </c>
    </row>
    <row r="2899" spans="1:27" ht="21" customHeight="1" x14ac:dyDescent="0.95">
      <c r="A2899" s="56"/>
      <c r="B2899" s="57"/>
      <c r="C2899" s="57"/>
      <c r="D2899" s="57"/>
      <c r="E2899" s="56"/>
      <c r="F2899" s="57"/>
      <c r="G2899" s="57"/>
      <c r="H2899" s="56"/>
      <c r="I2899" s="56"/>
      <c r="J2899" s="58"/>
      <c r="K2899" s="58"/>
      <c r="L2899" s="13" t="str">
        <f t="shared" si="450"/>
        <v/>
      </c>
      <c r="M2899" s="13" t="str">
        <f t="shared" si="451"/>
        <v/>
      </c>
      <c r="Q2899" t="str">
        <f t="shared" si="452"/>
        <v/>
      </c>
      <c r="R2899" t="str">
        <f t="shared" si="453"/>
        <v/>
      </c>
      <c r="S2899" t="str">
        <f t="shared" si="454"/>
        <v/>
      </c>
      <c r="T2899" t="str">
        <f t="shared" si="455"/>
        <v/>
      </c>
      <c r="U2899" t="str">
        <f t="shared" si="456"/>
        <v/>
      </c>
      <c r="V2899" t="str">
        <f t="shared" si="457"/>
        <v/>
      </c>
      <c r="W2899" t="str">
        <f t="shared" si="458"/>
        <v/>
      </c>
      <c r="X2899">
        <f>IF($T2899="",N($X2898),IF(MATCH($T2899,$T$6:$T$10005,0)=ROW()-5,N($X2898)+1,N($X2898)))</f>
        <v>0</v>
      </c>
      <c r="Z2899" t="str">
        <f t="shared" si="459"/>
        <v/>
      </c>
      <c r="AA2899">
        <f>IF($V2899="",N($AA2898),IF(MATCH($V2899,$V$6:$V$10005,0)=ROW()-5,N($AA2898)+1,N($AA2898)))</f>
        <v>0</v>
      </c>
    </row>
    <row r="2900" spans="1:27" ht="21" customHeight="1" x14ac:dyDescent="0.95">
      <c r="A2900" s="56"/>
      <c r="B2900" s="57"/>
      <c r="C2900" s="57"/>
      <c r="D2900" s="57"/>
      <c r="E2900" s="56"/>
      <c r="F2900" s="57"/>
      <c r="G2900" s="57"/>
      <c r="H2900" s="56"/>
      <c r="I2900" s="56"/>
      <c r="J2900" s="58"/>
      <c r="K2900" s="58"/>
      <c r="L2900" s="13" t="str">
        <f t="shared" si="450"/>
        <v/>
      </c>
      <c r="M2900" s="13" t="str">
        <f t="shared" si="451"/>
        <v/>
      </c>
      <c r="Q2900" t="str">
        <f t="shared" si="452"/>
        <v/>
      </c>
      <c r="R2900" t="str">
        <f t="shared" si="453"/>
        <v/>
      </c>
      <c r="S2900" t="str">
        <f t="shared" si="454"/>
        <v/>
      </c>
      <c r="T2900" t="str">
        <f t="shared" si="455"/>
        <v/>
      </c>
      <c r="U2900" t="str">
        <f t="shared" si="456"/>
        <v/>
      </c>
      <c r="V2900" t="str">
        <f t="shared" si="457"/>
        <v/>
      </c>
      <c r="W2900" t="str">
        <f t="shared" si="458"/>
        <v/>
      </c>
      <c r="X2900">
        <f>IF($T2900="",N($X2899),IF(MATCH($T2900,$T$6:$T$10005,0)=ROW()-5,N($X2899)+1,N($X2899)))</f>
        <v>0</v>
      </c>
      <c r="Z2900" t="str">
        <f t="shared" si="459"/>
        <v/>
      </c>
      <c r="AA2900">
        <f>IF($V2900="",N($AA2899),IF(MATCH($V2900,$V$6:$V$10005,0)=ROW()-5,N($AA2899)+1,N($AA2899)))</f>
        <v>0</v>
      </c>
    </row>
    <row r="2901" spans="1:27" ht="21" customHeight="1" x14ac:dyDescent="0.95">
      <c r="A2901" s="56"/>
      <c r="B2901" s="57"/>
      <c r="C2901" s="57"/>
      <c r="D2901" s="57"/>
      <c r="E2901" s="56"/>
      <c r="F2901" s="57"/>
      <c r="G2901" s="57"/>
      <c r="H2901" s="56"/>
      <c r="I2901" s="56"/>
      <c r="J2901" s="58"/>
      <c r="K2901" s="58"/>
      <c r="L2901" s="13" t="str">
        <f t="shared" si="450"/>
        <v/>
      </c>
      <c r="M2901" s="13" t="str">
        <f t="shared" si="451"/>
        <v/>
      </c>
      <c r="Q2901" t="str">
        <f t="shared" si="452"/>
        <v/>
      </c>
      <c r="R2901" t="str">
        <f t="shared" si="453"/>
        <v/>
      </c>
      <c r="S2901" t="str">
        <f t="shared" si="454"/>
        <v/>
      </c>
      <c r="T2901" t="str">
        <f t="shared" si="455"/>
        <v/>
      </c>
      <c r="U2901" t="str">
        <f t="shared" si="456"/>
        <v/>
      </c>
      <c r="V2901" t="str">
        <f t="shared" si="457"/>
        <v/>
      </c>
      <c r="W2901" t="str">
        <f t="shared" si="458"/>
        <v/>
      </c>
      <c r="X2901">
        <f>IF($T2901="",N($X2900),IF(MATCH($T2901,$T$6:$T$10005,0)=ROW()-5,N($X2900)+1,N($X2900)))</f>
        <v>0</v>
      </c>
      <c r="Z2901" t="str">
        <f t="shared" si="459"/>
        <v/>
      </c>
      <c r="AA2901">
        <f>IF($V2901="",N($AA2900),IF(MATCH($V2901,$V$6:$V$10005,0)=ROW()-5,N($AA2900)+1,N($AA2900)))</f>
        <v>0</v>
      </c>
    </row>
    <row r="2902" spans="1:27" ht="21" customHeight="1" x14ac:dyDescent="0.95">
      <c r="A2902" s="56"/>
      <c r="B2902" s="57"/>
      <c r="C2902" s="57"/>
      <c r="D2902" s="57"/>
      <c r="E2902" s="56"/>
      <c r="F2902" s="57"/>
      <c r="G2902" s="57"/>
      <c r="H2902" s="56"/>
      <c r="I2902" s="56"/>
      <c r="J2902" s="58"/>
      <c r="K2902" s="58"/>
      <c r="L2902" s="13" t="str">
        <f t="shared" si="450"/>
        <v/>
      </c>
      <c r="M2902" s="13" t="str">
        <f t="shared" si="451"/>
        <v/>
      </c>
      <c r="Q2902" t="str">
        <f t="shared" si="452"/>
        <v/>
      </c>
      <c r="R2902" t="str">
        <f t="shared" si="453"/>
        <v/>
      </c>
      <c r="S2902" t="str">
        <f t="shared" si="454"/>
        <v/>
      </c>
      <c r="T2902" t="str">
        <f t="shared" si="455"/>
        <v/>
      </c>
      <c r="U2902" t="str">
        <f t="shared" si="456"/>
        <v/>
      </c>
      <c r="V2902" t="str">
        <f t="shared" si="457"/>
        <v/>
      </c>
      <c r="W2902" t="str">
        <f t="shared" si="458"/>
        <v/>
      </c>
      <c r="X2902">
        <f>IF($T2902="",N($X2901),IF(MATCH($T2902,$T$6:$T$10005,0)=ROW()-5,N($X2901)+1,N($X2901)))</f>
        <v>0</v>
      </c>
      <c r="Z2902" t="str">
        <f t="shared" si="459"/>
        <v/>
      </c>
      <c r="AA2902">
        <f>IF($V2902="",N($AA2901),IF(MATCH($V2902,$V$6:$V$10005,0)=ROW()-5,N($AA2901)+1,N($AA2901)))</f>
        <v>0</v>
      </c>
    </row>
    <row r="2903" spans="1:27" ht="21" customHeight="1" x14ac:dyDescent="0.95">
      <c r="A2903" s="56"/>
      <c r="B2903" s="57"/>
      <c r="C2903" s="57"/>
      <c r="D2903" s="57"/>
      <c r="E2903" s="56"/>
      <c r="F2903" s="57"/>
      <c r="G2903" s="57"/>
      <c r="H2903" s="56"/>
      <c r="I2903" s="56"/>
      <c r="J2903" s="58"/>
      <c r="K2903" s="58"/>
      <c r="L2903" s="13" t="str">
        <f t="shared" si="450"/>
        <v/>
      </c>
      <c r="M2903" s="13" t="str">
        <f t="shared" si="451"/>
        <v/>
      </c>
      <c r="Q2903" t="str">
        <f t="shared" si="452"/>
        <v/>
      </c>
      <c r="R2903" t="str">
        <f t="shared" si="453"/>
        <v/>
      </c>
      <c r="S2903" t="str">
        <f t="shared" si="454"/>
        <v/>
      </c>
      <c r="T2903" t="str">
        <f t="shared" si="455"/>
        <v/>
      </c>
      <c r="U2903" t="str">
        <f t="shared" si="456"/>
        <v/>
      </c>
      <c r="V2903" t="str">
        <f t="shared" si="457"/>
        <v/>
      </c>
      <c r="W2903" t="str">
        <f t="shared" si="458"/>
        <v/>
      </c>
      <c r="X2903">
        <f>IF($T2903="",N($X2902),IF(MATCH($T2903,$T$6:$T$10005,0)=ROW()-5,N($X2902)+1,N($X2902)))</f>
        <v>0</v>
      </c>
      <c r="Z2903" t="str">
        <f t="shared" si="459"/>
        <v/>
      </c>
      <c r="AA2903">
        <f>IF($V2903="",N($AA2902),IF(MATCH($V2903,$V$6:$V$10005,0)=ROW()-5,N($AA2902)+1,N($AA2902)))</f>
        <v>0</v>
      </c>
    </row>
    <row r="2904" spans="1:27" ht="21" customHeight="1" x14ac:dyDescent="0.95">
      <c r="A2904" s="56"/>
      <c r="B2904" s="57"/>
      <c r="C2904" s="57"/>
      <c r="D2904" s="57"/>
      <c r="E2904" s="56"/>
      <c r="F2904" s="57"/>
      <c r="G2904" s="57"/>
      <c r="H2904" s="56"/>
      <c r="I2904" s="56"/>
      <c r="J2904" s="58"/>
      <c r="K2904" s="58"/>
      <c r="L2904" s="13" t="str">
        <f t="shared" si="450"/>
        <v/>
      </c>
      <c r="M2904" s="13" t="str">
        <f t="shared" si="451"/>
        <v/>
      </c>
      <c r="Q2904" t="str">
        <f t="shared" si="452"/>
        <v/>
      </c>
      <c r="R2904" t="str">
        <f t="shared" si="453"/>
        <v/>
      </c>
      <c r="S2904" t="str">
        <f t="shared" si="454"/>
        <v/>
      </c>
      <c r="T2904" t="str">
        <f t="shared" si="455"/>
        <v/>
      </c>
      <c r="U2904" t="str">
        <f t="shared" si="456"/>
        <v/>
      </c>
      <c r="V2904" t="str">
        <f t="shared" si="457"/>
        <v/>
      </c>
      <c r="W2904" t="str">
        <f t="shared" si="458"/>
        <v/>
      </c>
      <c r="X2904">
        <f>IF($T2904="",N($X2903),IF(MATCH($T2904,$T$6:$T$10005,0)=ROW()-5,N($X2903)+1,N($X2903)))</f>
        <v>0</v>
      </c>
      <c r="Z2904" t="str">
        <f t="shared" si="459"/>
        <v/>
      </c>
      <c r="AA2904">
        <f>IF($V2904="",N($AA2903),IF(MATCH($V2904,$V$6:$V$10005,0)=ROW()-5,N($AA2903)+1,N($AA2903)))</f>
        <v>0</v>
      </c>
    </row>
    <row r="2905" spans="1:27" ht="21" customHeight="1" x14ac:dyDescent="0.95">
      <c r="A2905" s="56"/>
      <c r="B2905" s="57"/>
      <c r="C2905" s="57"/>
      <c r="D2905" s="57"/>
      <c r="E2905" s="56"/>
      <c r="F2905" s="57"/>
      <c r="G2905" s="57"/>
      <c r="H2905" s="56"/>
      <c r="I2905" s="56"/>
      <c r="J2905" s="58"/>
      <c r="K2905" s="58"/>
      <c r="L2905" s="13" t="str">
        <f t="shared" si="450"/>
        <v/>
      </c>
      <c r="M2905" s="13" t="str">
        <f t="shared" si="451"/>
        <v/>
      </c>
      <c r="Q2905" t="str">
        <f t="shared" si="452"/>
        <v/>
      </c>
      <c r="R2905" t="str">
        <f t="shared" si="453"/>
        <v/>
      </c>
      <c r="S2905" t="str">
        <f t="shared" si="454"/>
        <v/>
      </c>
      <c r="T2905" t="str">
        <f t="shared" si="455"/>
        <v/>
      </c>
      <c r="U2905" t="str">
        <f t="shared" si="456"/>
        <v/>
      </c>
      <c r="V2905" t="str">
        <f t="shared" si="457"/>
        <v/>
      </c>
      <c r="W2905" t="str">
        <f t="shared" si="458"/>
        <v/>
      </c>
      <c r="X2905">
        <f>IF($T2905="",N($X2904),IF(MATCH($T2905,$T$6:$T$10005,0)=ROW()-5,N($X2904)+1,N($X2904)))</f>
        <v>0</v>
      </c>
      <c r="Z2905" t="str">
        <f t="shared" si="459"/>
        <v/>
      </c>
      <c r="AA2905">
        <f>IF($V2905="",N($AA2904),IF(MATCH($V2905,$V$6:$V$10005,0)=ROW()-5,N($AA2904)+1,N($AA2904)))</f>
        <v>0</v>
      </c>
    </row>
    <row r="2906" spans="1:27" ht="21" customHeight="1" x14ac:dyDescent="0.95">
      <c r="A2906" s="56"/>
      <c r="B2906" s="57"/>
      <c r="C2906" s="57"/>
      <c r="D2906" s="57"/>
      <c r="E2906" s="56"/>
      <c r="F2906" s="57"/>
      <c r="G2906" s="57"/>
      <c r="H2906" s="56"/>
      <c r="I2906" s="56"/>
      <c r="J2906" s="58"/>
      <c r="K2906" s="58"/>
      <c r="L2906" s="13" t="str">
        <f t="shared" si="450"/>
        <v/>
      </c>
      <c r="M2906" s="13" t="str">
        <f t="shared" si="451"/>
        <v/>
      </c>
      <c r="Q2906" t="str">
        <f t="shared" si="452"/>
        <v/>
      </c>
      <c r="R2906" t="str">
        <f t="shared" si="453"/>
        <v/>
      </c>
      <c r="S2906" t="str">
        <f t="shared" si="454"/>
        <v/>
      </c>
      <c r="T2906" t="str">
        <f t="shared" si="455"/>
        <v/>
      </c>
      <c r="U2906" t="str">
        <f t="shared" si="456"/>
        <v/>
      </c>
      <c r="V2906" t="str">
        <f t="shared" si="457"/>
        <v/>
      </c>
      <c r="W2906" t="str">
        <f t="shared" si="458"/>
        <v/>
      </c>
      <c r="X2906">
        <f>IF($T2906="",N($X2905),IF(MATCH($T2906,$T$6:$T$10005,0)=ROW()-5,N($X2905)+1,N($X2905)))</f>
        <v>0</v>
      </c>
      <c r="Z2906" t="str">
        <f t="shared" si="459"/>
        <v/>
      </c>
      <c r="AA2906">
        <f>IF($V2906="",N($AA2905),IF(MATCH($V2906,$V$6:$V$10005,0)=ROW()-5,N($AA2905)+1,N($AA2905)))</f>
        <v>0</v>
      </c>
    </row>
    <row r="2907" spans="1:27" ht="21" customHeight="1" x14ac:dyDescent="0.95">
      <c r="A2907" s="56"/>
      <c r="B2907" s="57"/>
      <c r="C2907" s="57"/>
      <c r="D2907" s="57"/>
      <c r="E2907" s="56"/>
      <c r="F2907" s="57"/>
      <c r="G2907" s="57"/>
      <c r="H2907" s="56"/>
      <c r="I2907" s="56"/>
      <c r="J2907" s="58"/>
      <c r="K2907" s="58"/>
      <c r="L2907" s="13" t="str">
        <f t="shared" si="450"/>
        <v/>
      </c>
      <c r="M2907" s="13" t="str">
        <f t="shared" si="451"/>
        <v/>
      </c>
      <c r="Q2907" t="str">
        <f t="shared" si="452"/>
        <v/>
      </c>
      <c r="R2907" t="str">
        <f t="shared" si="453"/>
        <v/>
      </c>
      <c r="S2907" t="str">
        <f t="shared" si="454"/>
        <v/>
      </c>
      <c r="T2907" t="str">
        <f t="shared" si="455"/>
        <v/>
      </c>
      <c r="U2907" t="str">
        <f t="shared" si="456"/>
        <v/>
      </c>
      <c r="V2907" t="str">
        <f t="shared" si="457"/>
        <v/>
      </c>
      <c r="W2907" t="str">
        <f t="shared" si="458"/>
        <v/>
      </c>
      <c r="X2907">
        <f>IF($T2907="",N($X2906),IF(MATCH($T2907,$T$6:$T$10005,0)=ROW()-5,N($X2906)+1,N($X2906)))</f>
        <v>0</v>
      </c>
      <c r="Z2907" t="str">
        <f t="shared" si="459"/>
        <v/>
      </c>
      <c r="AA2907">
        <f>IF($V2907="",N($AA2906),IF(MATCH($V2907,$V$6:$V$10005,0)=ROW()-5,N($AA2906)+1,N($AA2906)))</f>
        <v>0</v>
      </c>
    </row>
    <row r="2908" spans="1:27" ht="21" customHeight="1" x14ac:dyDescent="0.95">
      <c r="A2908" s="56"/>
      <c r="B2908" s="57"/>
      <c r="C2908" s="57"/>
      <c r="D2908" s="57"/>
      <c r="E2908" s="56"/>
      <c r="F2908" s="57"/>
      <c r="G2908" s="57"/>
      <c r="H2908" s="56"/>
      <c r="I2908" s="56"/>
      <c r="J2908" s="58"/>
      <c r="K2908" s="58"/>
      <c r="L2908" s="13" t="str">
        <f t="shared" si="450"/>
        <v/>
      </c>
      <c r="M2908" s="13" t="str">
        <f t="shared" si="451"/>
        <v/>
      </c>
      <c r="Q2908" t="str">
        <f t="shared" si="452"/>
        <v/>
      </c>
      <c r="R2908" t="str">
        <f t="shared" si="453"/>
        <v/>
      </c>
      <c r="S2908" t="str">
        <f t="shared" si="454"/>
        <v/>
      </c>
      <c r="T2908" t="str">
        <f t="shared" si="455"/>
        <v/>
      </c>
      <c r="U2908" t="str">
        <f t="shared" si="456"/>
        <v/>
      </c>
      <c r="V2908" t="str">
        <f t="shared" si="457"/>
        <v/>
      </c>
      <c r="W2908" t="str">
        <f t="shared" si="458"/>
        <v/>
      </c>
      <c r="X2908">
        <f>IF($T2908="",N($X2907),IF(MATCH($T2908,$T$6:$T$10005,0)=ROW()-5,N($X2907)+1,N($X2907)))</f>
        <v>0</v>
      </c>
      <c r="Z2908" t="str">
        <f t="shared" si="459"/>
        <v/>
      </c>
      <c r="AA2908">
        <f>IF($V2908="",N($AA2907),IF(MATCH($V2908,$V$6:$V$10005,0)=ROW()-5,N($AA2907)+1,N($AA2907)))</f>
        <v>0</v>
      </c>
    </row>
    <row r="2909" spans="1:27" ht="21" customHeight="1" x14ac:dyDescent="0.95">
      <c r="A2909" s="56"/>
      <c r="B2909" s="57"/>
      <c r="C2909" s="57"/>
      <c r="D2909" s="57"/>
      <c r="E2909" s="56"/>
      <c r="F2909" s="57"/>
      <c r="G2909" s="57"/>
      <c r="H2909" s="56"/>
      <c r="I2909" s="56"/>
      <c r="J2909" s="58"/>
      <c r="K2909" s="58"/>
      <c r="L2909" s="13" t="str">
        <f t="shared" si="450"/>
        <v/>
      </c>
      <c r="M2909" s="13" t="str">
        <f t="shared" si="451"/>
        <v/>
      </c>
      <c r="Q2909" t="str">
        <f t="shared" si="452"/>
        <v/>
      </c>
      <c r="R2909" t="str">
        <f t="shared" si="453"/>
        <v/>
      </c>
      <c r="S2909" t="str">
        <f t="shared" si="454"/>
        <v/>
      </c>
      <c r="T2909" t="str">
        <f t="shared" si="455"/>
        <v/>
      </c>
      <c r="U2909" t="str">
        <f t="shared" si="456"/>
        <v/>
      </c>
      <c r="V2909" t="str">
        <f t="shared" si="457"/>
        <v/>
      </c>
      <c r="W2909" t="str">
        <f t="shared" si="458"/>
        <v/>
      </c>
      <c r="X2909">
        <f>IF($T2909="",N($X2908),IF(MATCH($T2909,$T$6:$T$10005,0)=ROW()-5,N($X2908)+1,N($X2908)))</f>
        <v>0</v>
      </c>
      <c r="Z2909" t="str">
        <f t="shared" si="459"/>
        <v/>
      </c>
      <c r="AA2909">
        <f>IF($V2909="",N($AA2908),IF(MATCH($V2909,$V$6:$V$10005,0)=ROW()-5,N($AA2908)+1,N($AA2908)))</f>
        <v>0</v>
      </c>
    </row>
    <row r="2910" spans="1:27" ht="21" customHeight="1" x14ac:dyDescent="0.95">
      <c r="A2910" s="56"/>
      <c r="B2910" s="57"/>
      <c r="C2910" s="57"/>
      <c r="D2910" s="57"/>
      <c r="E2910" s="56"/>
      <c r="F2910" s="57"/>
      <c r="G2910" s="57"/>
      <c r="H2910" s="56"/>
      <c r="I2910" s="56"/>
      <c r="J2910" s="58"/>
      <c r="K2910" s="58"/>
      <c r="L2910" s="13" t="str">
        <f t="shared" si="450"/>
        <v/>
      </c>
      <c r="M2910" s="13" t="str">
        <f t="shared" si="451"/>
        <v/>
      </c>
      <c r="Q2910" t="str">
        <f t="shared" si="452"/>
        <v/>
      </c>
      <c r="R2910" t="str">
        <f t="shared" si="453"/>
        <v/>
      </c>
      <c r="S2910" t="str">
        <f t="shared" si="454"/>
        <v/>
      </c>
      <c r="T2910" t="str">
        <f t="shared" si="455"/>
        <v/>
      </c>
      <c r="U2910" t="str">
        <f t="shared" si="456"/>
        <v/>
      </c>
      <c r="V2910" t="str">
        <f t="shared" si="457"/>
        <v/>
      </c>
      <c r="W2910" t="str">
        <f t="shared" si="458"/>
        <v/>
      </c>
      <c r="X2910">
        <f>IF($T2910="",N($X2909),IF(MATCH($T2910,$T$6:$T$10005,0)=ROW()-5,N($X2909)+1,N($X2909)))</f>
        <v>0</v>
      </c>
      <c r="Z2910" t="str">
        <f t="shared" si="459"/>
        <v/>
      </c>
      <c r="AA2910">
        <f>IF($V2910="",N($AA2909),IF(MATCH($V2910,$V$6:$V$10005,0)=ROW()-5,N($AA2909)+1,N($AA2909)))</f>
        <v>0</v>
      </c>
    </row>
    <row r="2911" spans="1:27" ht="21" customHeight="1" x14ac:dyDescent="0.95">
      <c r="A2911" s="56"/>
      <c r="B2911" s="57"/>
      <c r="C2911" s="57"/>
      <c r="D2911" s="57"/>
      <c r="E2911" s="56"/>
      <c r="F2911" s="57"/>
      <c r="G2911" s="57"/>
      <c r="H2911" s="56"/>
      <c r="I2911" s="56"/>
      <c r="J2911" s="58"/>
      <c r="K2911" s="58"/>
      <c r="L2911" s="13" t="str">
        <f t="shared" si="450"/>
        <v/>
      </c>
      <c r="M2911" s="13" t="str">
        <f t="shared" si="451"/>
        <v/>
      </c>
      <c r="Q2911" t="str">
        <f t="shared" si="452"/>
        <v/>
      </c>
      <c r="R2911" t="str">
        <f t="shared" si="453"/>
        <v/>
      </c>
      <c r="S2911" t="str">
        <f t="shared" si="454"/>
        <v/>
      </c>
      <c r="T2911" t="str">
        <f t="shared" si="455"/>
        <v/>
      </c>
      <c r="U2911" t="str">
        <f t="shared" si="456"/>
        <v/>
      </c>
      <c r="V2911" t="str">
        <f t="shared" si="457"/>
        <v/>
      </c>
      <c r="W2911" t="str">
        <f t="shared" si="458"/>
        <v/>
      </c>
      <c r="X2911">
        <f>IF($T2911="",N($X2910),IF(MATCH($T2911,$T$6:$T$10005,0)=ROW()-5,N($X2910)+1,N($X2910)))</f>
        <v>0</v>
      </c>
      <c r="Z2911" t="str">
        <f t="shared" si="459"/>
        <v/>
      </c>
      <c r="AA2911">
        <f>IF($V2911="",N($AA2910),IF(MATCH($V2911,$V$6:$V$10005,0)=ROW()-5,N($AA2910)+1,N($AA2910)))</f>
        <v>0</v>
      </c>
    </row>
    <row r="2912" spans="1:27" ht="21" customHeight="1" x14ac:dyDescent="0.95">
      <c r="A2912" s="56"/>
      <c r="B2912" s="57"/>
      <c r="C2912" s="57"/>
      <c r="D2912" s="57"/>
      <c r="E2912" s="56"/>
      <c r="F2912" s="57"/>
      <c r="G2912" s="57"/>
      <c r="H2912" s="56"/>
      <c r="I2912" s="56"/>
      <c r="J2912" s="58"/>
      <c r="K2912" s="58"/>
      <c r="L2912" s="13" t="str">
        <f t="shared" si="450"/>
        <v/>
      </c>
      <c r="M2912" s="13" t="str">
        <f t="shared" si="451"/>
        <v/>
      </c>
      <c r="Q2912" t="str">
        <f t="shared" si="452"/>
        <v/>
      </c>
      <c r="R2912" t="str">
        <f t="shared" si="453"/>
        <v/>
      </c>
      <c r="S2912" t="str">
        <f t="shared" si="454"/>
        <v/>
      </c>
      <c r="T2912" t="str">
        <f t="shared" si="455"/>
        <v/>
      </c>
      <c r="U2912" t="str">
        <f t="shared" si="456"/>
        <v/>
      </c>
      <c r="V2912" t="str">
        <f t="shared" si="457"/>
        <v/>
      </c>
      <c r="W2912" t="str">
        <f t="shared" si="458"/>
        <v/>
      </c>
      <c r="X2912">
        <f>IF($T2912="",N($X2911),IF(MATCH($T2912,$T$6:$T$10005,0)=ROW()-5,N($X2911)+1,N($X2911)))</f>
        <v>0</v>
      </c>
      <c r="Z2912" t="str">
        <f t="shared" si="459"/>
        <v/>
      </c>
      <c r="AA2912">
        <f>IF($V2912="",N($AA2911),IF(MATCH($V2912,$V$6:$V$10005,0)=ROW()-5,N($AA2911)+1,N($AA2911)))</f>
        <v>0</v>
      </c>
    </row>
    <row r="2913" spans="1:27" ht="21" customHeight="1" x14ac:dyDescent="0.95">
      <c r="A2913" s="56"/>
      <c r="B2913" s="57"/>
      <c r="C2913" s="57"/>
      <c r="D2913" s="57"/>
      <c r="E2913" s="56"/>
      <c r="F2913" s="57"/>
      <c r="G2913" s="57"/>
      <c r="H2913" s="56"/>
      <c r="I2913" s="56"/>
      <c r="J2913" s="58"/>
      <c r="K2913" s="58"/>
      <c r="L2913" s="13" t="str">
        <f t="shared" si="450"/>
        <v/>
      </c>
      <c r="M2913" s="13" t="str">
        <f t="shared" si="451"/>
        <v/>
      </c>
      <c r="Q2913" t="str">
        <f t="shared" si="452"/>
        <v/>
      </c>
      <c r="R2913" t="str">
        <f t="shared" si="453"/>
        <v/>
      </c>
      <c r="S2913" t="str">
        <f t="shared" si="454"/>
        <v/>
      </c>
      <c r="T2913" t="str">
        <f t="shared" si="455"/>
        <v/>
      </c>
      <c r="U2913" t="str">
        <f t="shared" si="456"/>
        <v/>
      </c>
      <c r="V2913" t="str">
        <f t="shared" si="457"/>
        <v/>
      </c>
      <c r="W2913" t="str">
        <f t="shared" si="458"/>
        <v/>
      </c>
      <c r="X2913">
        <f>IF($T2913="",N($X2912),IF(MATCH($T2913,$T$6:$T$10005,0)=ROW()-5,N($X2912)+1,N($X2912)))</f>
        <v>0</v>
      </c>
      <c r="Z2913" t="str">
        <f t="shared" si="459"/>
        <v/>
      </c>
      <c r="AA2913">
        <f>IF($V2913="",N($AA2912),IF(MATCH($V2913,$V$6:$V$10005,0)=ROW()-5,N($AA2912)+1,N($AA2912)))</f>
        <v>0</v>
      </c>
    </row>
    <row r="2914" spans="1:27" ht="21" customHeight="1" x14ac:dyDescent="0.95">
      <c r="A2914" s="56"/>
      <c r="B2914" s="57"/>
      <c r="C2914" s="57"/>
      <c r="D2914" s="57"/>
      <c r="E2914" s="56"/>
      <c r="F2914" s="57"/>
      <c r="G2914" s="57"/>
      <c r="H2914" s="56"/>
      <c r="I2914" s="56"/>
      <c r="J2914" s="58"/>
      <c r="K2914" s="58"/>
      <c r="L2914" s="13" t="str">
        <f t="shared" si="450"/>
        <v/>
      </c>
      <c r="M2914" s="13" t="str">
        <f t="shared" si="451"/>
        <v/>
      </c>
      <c r="Q2914" t="str">
        <f t="shared" si="452"/>
        <v/>
      </c>
      <c r="R2914" t="str">
        <f t="shared" si="453"/>
        <v/>
      </c>
      <c r="S2914" t="str">
        <f t="shared" si="454"/>
        <v/>
      </c>
      <c r="T2914" t="str">
        <f t="shared" si="455"/>
        <v/>
      </c>
      <c r="U2914" t="str">
        <f t="shared" si="456"/>
        <v/>
      </c>
      <c r="V2914" t="str">
        <f t="shared" si="457"/>
        <v/>
      </c>
      <c r="W2914" t="str">
        <f t="shared" si="458"/>
        <v/>
      </c>
      <c r="X2914">
        <f>IF($T2914="",N($X2913),IF(MATCH($T2914,$T$6:$T$10005,0)=ROW()-5,N($X2913)+1,N($X2913)))</f>
        <v>0</v>
      </c>
      <c r="Z2914" t="str">
        <f t="shared" si="459"/>
        <v/>
      </c>
      <c r="AA2914">
        <f>IF($V2914="",N($AA2913),IF(MATCH($V2914,$V$6:$V$10005,0)=ROW()-5,N($AA2913)+1,N($AA2913)))</f>
        <v>0</v>
      </c>
    </row>
    <row r="2915" spans="1:27" ht="21" customHeight="1" x14ac:dyDescent="0.95">
      <c r="A2915" s="56"/>
      <c r="B2915" s="57"/>
      <c r="C2915" s="57"/>
      <c r="D2915" s="57"/>
      <c r="E2915" s="56"/>
      <c r="F2915" s="57"/>
      <c r="G2915" s="57"/>
      <c r="H2915" s="56"/>
      <c r="I2915" s="56"/>
      <c r="J2915" s="58"/>
      <c r="K2915" s="58"/>
      <c r="L2915" s="13" t="str">
        <f t="shared" si="450"/>
        <v/>
      </c>
      <c r="M2915" s="13" t="str">
        <f t="shared" si="451"/>
        <v/>
      </c>
      <c r="Q2915" t="str">
        <f t="shared" si="452"/>
        <v/>
      </c>
      <c r="R2915" t="str">
        <f t="shared" si="453"/>
        <v/>
      </c>
      <c r="S2915" t="str">
        <f t="shared" si="454"/>
        <v/>
      </c>
      <c r="T2915" t="str">
        <f t="shared" si="455"/>
        <v/>
      </c>
      <c r="U2915" t="str">
        <f t="shared" si="456"/>
        <v/>
      </c>
      <c r="V2915" t="str">
        <f t="shared" si="457"/>
        <v/>
      </c>
      <c r="W2915" t="str">
        <f t="shared" si="458"/>
        <v/>
      </c>
      <c r="X2915">
        <f>IF($T2915="",N($X2914),IF(MATCH($T2915,$T$6:$T$10005,0)=ROW()-5,N($X2914)+1,N($X2914)))</f>
        <v>0</v>
      </c>
      <c r="Z2915" t="str">
        <f t="shared" si="459"/>
        <v/>
      </c>
      <c r="AA2915">
        <f>IF($V2915="",N($AA2914),IF(MATCH($V2915,$V$6:$V$10005,0)=ROW()-5,N($AA2914)+1,N($AA2914)))</f>
        <v>0</v>
      </c>
    </row>
    <row r="2916" spans="1:27" ht="21" customHeight="1" x14ac:dyDescent="0.95">
      <c r="A2916" s="56"/>
      <c r="B2916" s="57"/>
      <c r="C2916" s="57"/>
      <c r="D2916" s="57"/>
      <c r="E2916" s="56"/>
      <c r="F2916" s="57"/>
      <c r="G2916" s="57"/>
      <c r="H2916" s="56"/>
      <c r="I2916" s="56"/>
      <c r="J2916" s="58"/>
      <c r="K2916" s="58"/>
      <c r="L2916" s="13" t="str">
        <f t="shared" si="450"/>
        <v/>
      </c>
      <c r="M2916" s="13" t="str">
        <f t="shared" si="451"/>
        <v/>
      </c>
      <c r="Q2916" t="str">
        <f t="shared" si="452"/>
        <v/>
      </c>
      <c r="R2916" t="str">
        <f t="shared" si="453"/>
        <v/>
      </c>
      <c r="S2916" t="str">
        <f t="shared" si="454"/>
        <v/>
      </c>
      <c r="T2916" t="str">
        <f t="shared" si="455"/>
        <v/>
      </c>
      <c r="U2916" t="str">
        <f t="shared" si="456"/>
        <v/>
      </c>
      <c r="V2916" t="str">
        <f t="shared" si="457"/>
        <v/>
      </c>
      <c r="W2916" t="str">
        <f t="shared" si="458"/>
        <v/>
      </c>
      <c r="X2916">
        <f>IF($T2916="",N($X2915),IF(MATCH($T2916,$T$6:$T$10005,0)=ROW()-5,N($X2915)+1,N($X2915)))</f>
        <v>0</v>
      </c>
      <c r="Z2916" t="str">
        <f t="shared" si="459"/>
        <v/>
      </c>
      <c r="AA2916">
        <f>IF($V2916="",N($AA2915),IF(MATCH($V2916,$V$6:$V$10005,0)=ROW()-5,N($AA2915)+1,N($AA2915)))</f>
        <v>0</v>
      </c>
    </row>
    <row r="2917" spans="1:27" ht="21" customHeight="1" x14ac:dyDescent="0.95">
      <c r="A2917" s="56"/>
      <c r="B2917" s="57"/>
      <c r="C2917" s="57"/>
      <c r="D2917" s="57"/>
      <c r="E2917" s="56"/>
      <c r="F2917" s="57"/>
      <c r="G2917" s="57"/>
      <c r="H2917" s="56"/>
      <c r="I2917" s="56"/>
      <c r="J2917" s="58"/>
      <c r="K2917" s="58"/>
      <c r="L2917" s="13" t="str">
        <f t="shared" si="450"/>
        <v/>
      </c>
      <c r="M2917" s="13" t="str">
        <f t="shared" si="451"/>
        <v/>
      </c>
      <c r="Q2917" t="str">
        <f t="shared" si="452"/>
        <v/>
      </c>
      <c r="R2917" t="str">
        <f t="shared" si="453"/>
        <v/>
      </c>
      <c r="S2917" t="str">
        <f t="shared" si="454"/>
        <v/>
      </c>
      <c r="T2917" t="str">
        <f t="shared" si="455"/>
        <v/>
      </c>
      <c r="U2917" t="str">
        <f t="shared" si="456"/>
        <v/>
      </c>
      <c r="V2917" t="str">
        <f t="shared" si="457"/>
        <v/>
      </c>
      <c r="W2917" t="str">
        <f t="shared" si="458"/>
        <v/>
      </c>
      <c r="X2917">
        <f>IF($T2917="",N($X2916),IF(MATCH($T2917,$T$6:$T$10005,0)=ROW()-5,N($X2916)+1,N($X2916)))</f>
        <v>0</v>
      </c>
      <c r="Z2917" t="str">
        <f t="shared" si="459"/>
        <v/>
      </c>
      <c r="AA2917">
        <f>IF($V2917="",N($AA2916),IF(MATCH($V2917,$V$6:$V$10005,0)=ROW()-5,N($AA2916)+1,N($AA2916)))</f>
        <v>0</v>
      </c>
    </row>
    <row r="2918" spans="1:27" ht="21" customHeight="1" x14ac:dyDescent="0.95">
      <c r="A2918" s="56"/>
      <c r="B2918" s="57"/>
      <c r="C2918" s="57"/>
      <c r="D2918" s="57"/>
      <c r="E2918" s="56"/>
      <c r="F2918" s="57"/>
      <c r="G2918" s="57"/>
      <c r="H2918" s="56"/>
      <c r="I2918" s="56"/>
      <c r="J2918" s="58"/>
      <c r="K2918" s="58"/>
      <c r="L2918" s="13" t="str">
        <f t="shared" si="450"/>
        <v/>
      </c>
      <c r="M2918" s="13" t="str">
        <f t="shared" si="451"/>
        <v/>
      </c>
      <c r="Q2918" t="str">
        <f t="shared" si="452"/>
        <v/>
      </c>
      <c r="R2918" t="str">
        <f t="shared" si="453"/>
        <v/>
      </c>
      <c r="S2918" t="str">
        <f t="shared" si="454"/>
        <v/>
      </c>
      <c r="T2918" t="str">
        <f t="shared" si="455"/>
        <v/>
      </c>
      <c r="U2918" t="str">
        <f t="shared" si="456"/>
        <v/>
      </c>
      <c r="V2918" t="str">
        <f t="shared" si="457"/>
        <v/>
      </c>
      <c r="W2918" t="str">
        <f t="shared" si="458"/>
        <v/>
      </c>
      <c r="X2918">
        <f>IF($T2918="",N($X2917),IF(MATCH($T2918,$T$6:$T$10005,0)=ROW()-5,N($X2917)+1,N($X2917)))</f>
        <v>0</v>
      </c>
      <c r="Z2918" t="str">
        <f t="shared" si="459"/>
        <v/>
      </c>
      <c r="AA2918">
        <f>IF($V2918="",N($AA2917),IF(MATCH($V2918,$V$6:$V$10005,0)=ROW()-5,N($AA2917)+1,N($AA2917)))</f>
        <v>0</v>
      </c>
    </row>
    <row r="2919" spans="1:27" ht="21" customHeight="1" x14ac:dyDescent="0.95">
      <c r="A2919" s="56"/>
      <c r="B2919" s="57"/>
      <c r="C2919" s="57"/>
      <c r="D2919" s="57"/>
      <c r="E2919" s="56"/>
      <c r="F2919" s="57"/>
      <c r="G2919" s="57"/>
      <c r="H2919" s="56"/>
      <c r="I2919" s="56"/>
      <c r="J2919" s="58"/>
      <c r="K2919" s="58"/>
      <c r="L2919" s="13" t="str">
        <f t="shared" si="450"/>
        <v/>
      </c>
      <c r="M2919" s="13" t="str">
        <f t="shared" si="451"/>
        <v/>
      </c>
      <c r="Q2919" t="str">
        <f t="shared" si="452"/>
        <v/>
      </c>
      <c r="R2919" t="str">
        <f t="shared" si="453"/>
        <v/>
      </c>
      <c r="S2919" t="str">
        <f t="shared" si="454"/>
        <v/>
      </c>
      <c r="T2919" t="str">
        <f t="shared" si="455"/>
        <v/>
      </c>
      <c r="U2919" t="str">
        <f t="shared" si="456"/>
        <v/>
      </c>
      <c r="V2919" t="str">
        <f t="shared" si="457"/>
        <v/>
      </c>
      <c r="W2919" t="str">
        <f t="shared" si="458"/>
        <v/>
      </c>
      <c r="X2919">
        <f>IF($T2919="",N($X2918),IF(MATCH($T2919,$T$6:$T$10005,0)=ROW()-5,N($X2918)+1,N($X2918)))</f>
        <v>0</v>
      </c>
      <c r="Z2919" t="str">
        <f t="shared" si="459"/>
        <v/>
      </c>
      <c r="AA2919">
        <f>IF($V2919="",N($AA2918),IF(MATCH($V2919,$V$6:$V$10005,0)=ROW()-5,N($AA2918)+1,N($AA2918)))</f>
        <v>0</v>
      </c>
    </row>
    <row r="2920" spans="1:27" ht="21" customHeight="1" x14ac:dyDescent="0.95">
      <c r="A2920" s="56"/>
      <c r="B2920" s="57"/>
      <c r="C2920" s="57"/>
      <c r="D2920" s="57"/>
      <c r="E2920" s="56"/>
      <c r="F2920" s="57"/>
      <c r="G2920" s="57"/>
      <c r="H2920" s="56"/>
      <c r="I2920" s="56"/>
      <c r="J2920" s="58"/>
      <c r="K2920" s="58"/>
      <c r="L2920" s="13" t="str">
        <f t="shared" si="450"/>
        <v/>
      </c>
      <c r="M2920" s="13" t="str">
        <f t="shared" si="451"/>
        <v/>
      </c>
      <c r="Q2920" t="str">
        <f t="shared" si="452"/>
        <v/>
      </c>
      <c r="R2920" t="str">
        <f t="shared" si="453"/>
        <v/>
      </c>
      <c r="S2920" t="str">
        <f t="shared" si="454"/>
        <v/>
      </c>
      <c r="T2920" t="str">
        <f t="shared" si="455"/>
        <v/>
      </c>
      <c r="U2920" t="str">
        <f t="shared" si="456"/>
        <v/>
      </c>
      <c r="V2920" t="str">
        <f t="shared" si="457"/>
        <v/>
      </c>
      <c r="W2920" t="str">
        <f t="shared" si="458"/>
        <v/>
      </c>
      <c r="X2920">
        <f>IF($T2920="",N($X2919),IF(MATCH($T2920,$T$6:$T$10005,0)=ROW()-5,N($X2919)+1,N($X2919)))</f>
        <v>0</v>
      </c>
      <c r="Z2920" t="str">
        <f t="shared" si="459"/>
        <v/>
      </c>
      <c r="AA2920">
        <f>IF($V2920="",N($AA2919),IF(MATCH($V2920,$V$6:$V$10005,0)=ROW()-5,N($AA2919)+1,N($AA2919)))</f>
        <v>0</v>
      </c>
    </row>
    <row r="2921" spans="1:27" ht="21" customHeight="1" x14ac:dyDescent="0.95">
      <c r="A2921" s="56"/>
      <c r="B2921" s="57"/>
      <c r="C2921" s="57"/>
      <c r="D2921" s="57"/>
      <c r="E2921" s="56"/>
      <c r="F2921" s="57"/>
      <c r="G2921" s="57"/>
      <c r="H2921" s="56"/>
      <c r="I2921" s="56"/>
      <c r="J2921" s="58"/>
      <c r="K2921" s="58"/>
      <c r="L2921" s="13" t="str">
        <f t="shared" si="450"/>
        <v/>
      </c>
      <c r="M2921" s="13" t="str">
        <f t="shared" si="451"/>
        <v/>
      </c>
      <c r="Q2921" t="str">
        <f t="shared" si="452"/>
        <v/>
      </c>
      <c r="R2921" t="str">
        <f t="shared" si="453"/>
        <v/>
      </c>
      <c r="S2921" t="str">
        <f t="shared" si="454"/>
        <v/>
      </c>
      <c r="T2921" t="str">
        <f t="shared" si="455"/>
        <v/>
      </c>
      <c r="U2921" t="str">
        <f t="shared" si="456"/>
        <v/>
      </c>
      <c r="V2921" t="str">
        <f t="shared" si="457"/>
        <v/>
      </c>
      <c r="W2921" t="str">
        <f t="shared" si="458"/>
        <v/>
      </c>
      <c r="X2921">
        <f>IF($T2921="",N($X2920),IF(MATCH($T2921,$T$6:$T$10005,0)=ROW()-5,N($X2920)+1,N($X2920)))</f>
        <v>0</v>
      </c>
      <c r="Z2921" t="str">
        <f t="shared" si="459"/>
        <v/>
      </c>
      <c r="AA2921">
        <f>IF($V2921="",N($AA2920),IF(MATCH($V2921,$V$6:$V$10005,0)=ROW()-5,N($AA2920)+1,N($AA2920)))</f>
        <v>0</v>
      </c>
    </row>
    <row r="2922" spans="1:27" ht="21" customHeight="1" x14ac:dyDescent="0.95">
      <c r="A2922" s="56"/>
      <c r="B2922" s="57"/>
      <c r="C2922" s="57"/>
      <c r="D2922" s="57"/>
      <c r="E2922" s="56"/>
      <c r="F2922" s="57"/>
      <c r="G2922" s="57"/>
      <c r="H2922" s="56"/>
      <c r="I2922" s="56"/>
      <c r="J2922" s="58"/>
      <c r="K2922" s="58"/>
      <c r="L2922" s="13" t="str">
        <f t="shared" si="450"/>
        <v/>
      </c>
      <c r="M2922" s="13" t="str">
        <f t="shared" si="451"/>
        <v/>
      </c>
      <c r="Q2922" t="str">
        <f t="shared" si="452"/>
        <v/>
      </c>
      <c r="R2922" t="str">
        <f t="shared" si="453"/>
        <v/>
      </c>
      <c r="S2922" t="str">
        <f t="shared" si="454"/>
        <v/>
      </c>
      <c r="T2922" t="str">
        <f t="shared" si="455"/>
        <v/>
      </c>
      <c r="U2922" t="str">
        <f t="shared" si="456"/>
        <v/>
      </c>
      <c r="V2922" t="str">
        <f t="shared" si="457"/>
        <v/>
      </c>
      <c r="W2922" t="str">
        <f t="shared" si="458"/>
        <v/>
      </c>
      <c r="X2922">
        <f>IF($T2922="",N($X2921),IF(MATCH($T2922,$T$6:$T$10005,0)=ROW()-5,N($X2921)+1,N($X2921)))</f>
        <v>0</v>
      </c>
      <c r="Z2922" t="str">
        <f t="shared" si="459"/>
        <v/>
      </c>
      <c r="AA2922">
        <f>IF($V2922="",N($AA2921),IF(MATCH($V2922,$V$6:$V$10005,0)=ROW()-5,N($AA2921)+1,N($AA2921)))</f>
        <v>0</v>
      </c>
    </row>
    <row r="2923" spans="1:27" ht="21" customHeight="1" x14ac:dyDescent="0.95">
      <c r="A2923" s="56"/>
      <c r="B2923" s="57"/>
      <c r="C2923" s="57"/>
      <c r="D2923" s="57"/>
      <c r="E2923" s="56"/>
      <c r="F2923" s="57"/>
      <c r="G2923" s="57"/>
      <c r="H2923" s="56"/>
      <c r="I2923" s="56"/>
      <c r="J2923" s="58"/>
      <c r="K2923" s="58"/>
      <c r="L2923" s="13" t="str">
        <f t="shared" si="450"/>
        <v/>
      </c>
      <c r="M2923" s="13" t="str">
        <f t="shared" si="451"/>
        <v/>
      </c>
      <c r="Q2923" t="str">
        <f t="shared" si="452"/>
        <v/>
      </c>
      <c r="R2923" t="str">
        <f t="shared" si="453"/>
        <v/>
      </c>
      <c r="S2923" t="str">
        <f t="shared" si="454"/>
        <v/>
      </c>
      <c r="T2923" t="str">
        <f t="shared" si="455"/>
        <v/>
      </c>
      <c r="U2923" t="str">
        <f t="shared" si="456"/>
        <v/>
      </c>
      <c r="V2923" t="str">
        <f t="shared" si="457"/>
        <v/>
      </c>
      <c r="W2923" t="str">
        <f t="shared" si="458"/>
        <v/>
      </c>
      <c r="X2923">
        <f>IF($T2923="",N($X2922),IF(MATCH($T2923,$T$6:$T$10005,0)=ROW()-5,N($X2922)+1,N($X2922)))</f>
        <v>0</v>
      </c>
      <c r="Z2923" t="str">
        <f t="shared" si="459"/>
        <v/>
      </c>
      <c r="AA2923">
        <f>IF($V2923="",N($AA2922),IF(MATCH($V2923,$V$6:$V$10005,0)=ROW()-5,N($AA2922)+1,N($AA2922)))</f>
        <v>0</v>
      </c>
    </row>
    <row r="2924" spans="1:27" ht="21" customHeight="1" x14ac:dyDescent="0.95">
      <c r="A2924" s="56"/>
      <c r="B2924" s="57"/>
      <c r="C2924" s="57"/>
      <c r="D2924" s="57"/>
      <c r="E2924" s="56"/>
      <c r="F2924" s="57"/>
      <c r="G2924" s="57"/>
      <c r="H2924" s="56"/>
      <c r="I2924" s="56"/>
      <c r="J2924" s="58"/>
      <c r="K2924" s="58"/>
      <c r="L2924" s="13" t="str">
        <f t="shared" si="450"/>
        <v/>
      </c>
      <c r="M2924" s="13" t="str">
        <f t="shared" si="451"/>
        <v/>
      </c>
      <c r="Q2924" t="str">
        <f t="shared" si="452"/>
        <v/>
      </c>
      <c r="R2924" t="str">
        <f t="shared" si="453"/>
        <v/>
      </c>
      <c r="S2924" t="str">
        <f t="shared" si="454"/>
        <v/>
      </c>
      <c r="T2924" t="str">
        <f t="shared" si="455"/>
        <v/>
      </c>
      <c r="U2924" t="str">
        <f t="shared" si="456"/>
        <v/>
      </c>
      <c r="V2924" t="str">
        <f t="shared" si="457"/>
        <v/>
      </c>
      <c r="W2924" t="str">
        <f t="shared" si="458"/>
        <v/>
      </c>
      <c r="X2924">
        <f>IF($T2924="",N($X2923),IF(MATCH($T2924,$T$6:$T$10005,0)=ROW()-5,N($X2923)+1,N($X2923)))</f>
        <v>0</v>
      </c>
      <c r="Z2924" t="str">
        <f t="shared" si="459"/>
        <v/>
      </c>
      <c r="AA2924">
        <f>IF($V2924="",N($AA2923),IF(MATCH($V2924,$V$6:$V$10005,0)=ROW()-5,N($AA2923)+1,N($AA2923)))</f>
        <v>0</v>
      </c>
    </row>
    <row r="2925" spans="1:27" ht="21" customHeight="1" x14ac:dyDescent="0.95">
      <c r="A2925" s="56"/>
      <c r="B2925" s="57"/>
      <c r="C2925" s="57"/>
      <c r="D2925" s="57"/>
      <c r="E2925" s="56"/>
      <c r="F2925" s="57"/>
      <c r="G2925" s="57"/>
      <c r="H2925" s="56"/>
      <c r="I2925" s="56"/>
      <c r="J2925" s="58"/>
      <c r="K2925" s="58"/>
      <c r="L2925" s="13" t="str">
        <f t="shared" si="450"/>
        <v/>
      </c>
      <c r="M2925" s="13" t="str">
        <f t="shared" si="451"/>
        <v/>
      </c>
      <c r="Q2925" t="str">
        <f t="shared" si="452"/>
        <v/>
      </c>
      <c r="R2925" t="str">
        <f t="shared" si="453"/>
        <v/>
      </c>
      <c r="S2925" t="str">
        <f t="shared" si="454"/>
        <v/>
      </c>
      <c r="T2925" t="str">
        <f t="shared" si="455"/>
        <v/>
      </c>
      <c r="U2925" t="str">
        <f t="shared" si="456"/>
        <v/>
      </c>
      <c r="V2925" t="str">
        <f t="shared" si="457"/>
        <v/>
      </c>
      <c r="W2925" t="str">
        <f t="shared" si="458"/>
        <v/>
      </c>
      <c r="X2925">
        <f>IF($T2925="",N($X2924),IF(MATCH($T2925,$T$6:$T$10005,0)=ROW()-5,N($X2924)+1,N($X2924)))</f>
        <v>0</v>
      </c>
      <c r="Z2925" t="str">
        <f t="shared" si="459"/>
        <v/>
      </c>
      <c r="AA2925">
        <f>IF($V2925="",N($AA2924),IF(MATCH($V2925,$V$6:$V$10005,0)=ROW()-5,N($AA2924)+1,N($AA2924)))</f>
        <v>0</v>
      </c>
    </row>
    <row r="2926" spans="1:27" ht="21" customHeight="1" x14ac:dyDescent="0.95">
      <c r="A2926" s="56"/>
      <c r="B2926" s="57"/>
      <c r="C2926" s="57"/>
      <c r="D2926" s="57"/>
      <c r="E2926" s="56"/>
      <c r="F2926" s="57"/>
      <c r="G2926" s="57"/>
      <c r="H2926" s="56"/>
      <c r="I2926" s="56"/>
      <c r="J2926" s="58"/>
      <c r="K2926" s="58"/>
      <c r="L2926" s="13" t="str">
        <f t="shared" si="450"/>
        <v/>
      </c>
      <c r="M2926" s="13" t="str">
        <f t="shared" si="451"/>
        <v/>
      </c>
      <c r="Q2926" t="str">
        <f t="shared" si="452"/>
        <v/>
      </c>
      <c r="R2926" t="str">
        <f t="shared" si="453"/>
        <v/>
      </c>
      <c r="S2926" t="str">
        <f t="shared" si="454"/>
        <v/>
      </c>
      <c r="T2926" t="str">
        <f t="shared" si="455"/>
        <v/>
      </c>
      <c r="U2926" t="str">
        <f t="shared" si="456"/>
        <v/>
      </c>
      <c r="V2926" t="str">
        <f t="shared" si="457"/>
        <v/>
      </c>
      <c r="W2926" t="str">
        <f t="shared" si="458"/>
        <v/>
      </c>
      <c r="X2926">
        <f>IF($T2926="",N($X2925),IF(MATCH($T2926,$T$6:$T$10005,0)=ROW()-5,N($X2925)+1,N($X2925)))</f>
        <v>0</v>
      </c>
      <c r="Z2926" t="str">
        <f t="shared" si="459"/>
        <v/>
      </c>
      <c r="AA2926">
        <f>IF($V2926="",N($AA2925),IF(MATCH($V2926,$V$6:$V$10005,0)=ROW()-5,N($AA2925)+1,N($AA2925)))</f>
        <v>0</v>
      </c>
    </row>
    <row r="2927" spans="1:27" ht="21" customHeight="1" x14ac:dyDescent="0.95">
      <c r="A2927" s="56"/>
      <c r="B2927" s="57"/>
      <c r="C2927" s="57"/>
      <c r="D2927" s="57"/>
      <c r="E2927" s="56"/>
      <c r="F2927" s="57"/>
      <c r="G2927" s="57"/>
      <c r="H2927" s="56"/>
      <c r="I2927" s="56"/>
      <c r="J2927" s="58"/>
      <c r="K2927" s="58"/>
      <c r="L2927" s="13" t="str">
        <f t="shared" si="450"/>
        <v/>
      </c>
      <c r="M2927" s="13" t="str">
        <f t="shared" si="451"/>
        <v/>
      </c>
      <c r="Q2927" t="str">
        <f t="shared" si="452"/>
        <v/>
      </c>
      <c r="R2927" t="str">
        <f t="shared" si="453"/>
        <v/>
      </c>
      <c r="S2927" t="str">
        <f t="shared" si="454"/>
        <v/>
      </c>
      <c r="T2927" t="str">
        <f t="shared" si="455"/>
        <v/>
      </c>
      <c r="U2927" t="str">
        <f t="shared" si="456"/>
        <v/>
      </c>
      <c r="V2927" t="str">
        <f t="shared" si="457"/>
        <v/>
      </c>
      <c r="W2927" t="str">
        <f t="shared" si="458"/>
        <v/>
      </c>
      <c r="X2927">
        <f>IF($T2927="",N($X2926),IF(MATCH($T2927,$T$6:$T$10005,0)=ROW()-5,N($X2926)+1,N($X2926)))</f>
        <v>0</v>
      </c>
      <c r="Z2927" t="str">
        <f t="shared" si="459"/>
        <v/>
      </c>
      <c r="AA2927">
        <f>IF($V2927="",N($AA2926),IF(MATCH($V2927,$V$6:$V$10005,0)=ROW()-5,N($AA2926)+1,N($AA2926)))</f>
        <v>0</v>
      </c>
    </row>
    <row r="2928" spans="1:27" ht="21" customHeight="1" x14ac:dyDescent="0.95">
      <c r="A2928" s="56"/>
      <c r="B2928" s="57"/>
      <c r="C2928" s="57"/>
      <c r="D2928" s="57"/>
      <c r="E2928" s="56"/>
      <c r="F2928" s="57"/>
      <c r="G2928" s="57"/>
      <c r="H2928" s="56"/>
      <c r="I2928" s="56"/>
      <c r="J2928" s="58"/>
      <c r="K2928" s="58"/>
      <c r="L2928" s="13" t="str">
        <f t="shared" si="450"/>
        <v/>
      </c>
      <c r="M2928" s="13" t="str">
        <f t="shared" si="451"/>
        <v/>
      </c>
      <c r="Q2928" t="str">
        <f t="shared" si="452"/>
        <v/>
      </c>
      <c r="R2928" t="str">
        <f t="shared" si="453"/>
        <v/>
      </c>
      <c r="S2928" t="str">
        <f t="shared" si="454"/>
        <v/>
      </c>
      <c r="T2928" t="str">
        <f t="shared" si="455"/>
        <v/>
      </c>
      <c r="U2928" t="str">
        <f t="shared" si="456"/>
        <v/>
      </c>
      <c r="V2928" t="str">
        <f t="shared" si="457"/>
        <v/>
      </c>
      <c r="W2928" t="str">
        <f t="shared" si="458"/>
        <v/>
      </c>
      <c r="X2928">
        <f>IF($T2928="",N($X2927),IF(MATCH($T2928,$T$6:$T$10005,0)=ROW()-5,N($X2927)+1,N($X2927)))</f>
        <v>0</v>
      </c>
      <c r="Z2928" t="str">
        <f t="shared" si="459"/>
        <v/>
      </c>
      <c r="AA2928">
        <f>IF($V2928="",N($AA2927),IF(MATCH($V2928,$V$6:$V$10005,0)=ROW()-5,N($AA2927)+1,N($AA2927)))</f>
        <v>0</v>
      </c>
    </row>
    <row r="2929" spans="1:27" ht="21" customHeight="1" x14ac:dyDescent="0.95">
      <c r="A2929" s="56"/>
      <c r="B2929" s="57"/>
      <c r="C2929" s="57"/>
      <c r="D2929" s="57"/>
      <c r="E2929" s="56"/>
      <c r="F2929" s="57"/>
      <c r="G2929" s="57"/>
      <c r="H2929" s="56"/>
      <c r="I2929" s="56"/>
      <c r="J2929" s="58"/>
      <c r="K2929" s="58"/>
      <c r="L2929" s="13" t="str">
        <f t="shared" si="450"/>
        <v/>
      </c>
      <c r="M2929" s="13" t="str">
        <f t="shared" si="451"/>
        <v/>
      </c>
      <c r="Q2929" t="str">
        <f t="shared" si="452"/>
        <v/>
      </c>
      <c r="R2929" t="str">
        <f t="shared" si="453"/>
        <v/>
      </c>
      <c r="S2929" t="str">
        <f t="shared" si="454"/>
        <v/>
      </c>
      <c r="T2929" t="str">
        <f t="shared" si="455"/>
        <v/>
      </c>
      <c r="U2929" t="str">
        <f t="shared" si="456"/>
        <v/>
      </c>
      <c r="V2929" t="str">
        <f t="shared" si="457"/>
        <v/>
      </c>
      <c r="W2929" t="str">
        <f t="shared" si="458"/>
        <v/>
      </c>
      <c r="X2929">
        <f>IF($T2929="",N($X2928),IF(MATCH($T2929,$T$6:$T$10005,0)=ROW()-5,N($X2928)+1,N($X2928)))</f>
        <v>0</v>
      </c>
      <c r="Z2929" t="str">
        <f t="shared" si="459"/>
        <v/>
      </c>
      <c r="AA2929">
        <f>IF($V2929="",N($AA2928),IF(MATCH($V2929,$V$6:$V$10005,0)=ROW()-5,N($AA2928)+1,N($AA2928)))</f>
        <v>0</v>
      </c>
    </row>
    <row r="2930" spans="1:27" ht="21" customHeight="1" x14ac:dyDescent="0.95">
      <c r="A2930" s="56"/>
      <c r="B2930" s="57"/>
      <c r="C2930" s="57"/>
      <c r="D2930" s="57"/>
      <c r="E2930" s="56"/>
      <c r="F2930" s="57"/>
      <c r="G2930" s="57"/>
      <c r="H2930" s="56"/>
      <c r="I2930" s="56"/>
      <c r="J2930" s="58"/>
      <c r="K2930" s="58"/>
      <c r="L2930" s="13" t="str">
        <f t="shared" si="450"/>
        <v/>
      </c>
      <c r="M2930" s="13" t="str">
        <f t="shared" si="451"/>
        <v/>
      </c>
      <c r="Q2930" t="str">
        <f t="shared" si="452"/>
        <v/>
      </c>
      <c r="R2930" t="str">
        <f t="shared" si="453"/>
        <v/>
      </c>
      <c r="S2930" t="str">
        <f t="shared" si="454"/>
        <v/>
      </c>
      <c r="T2930" t="str">
        <f t="shared" si="455"/>
        <v/>
      </c>
      <c r="U2930" t="str">
        <f t="shared" si="456"/>
        <v/>
      </c>
      <c r="V2930" t="str">
        <f t="shared" si="457"/>
        <v/>
      </c>
      <c r="W2930" t="str">
        <f t="shared" si="458"/>
        <v/>
      </c>
      <c r="X2930">
        <f>IF($T2930="",N($X2929),IF(MATCH($T2930,$T$6:$T$10005,0)=ROW()-5,N($X2929)+1,N($X2929)))</f>
        <v>0</v>
      </c>
      <c r="Z2930" t="str">
        <f t="shared" si="459"/>
        <v/>
      </c>
      <c r="AA2930">
        <f>IF($V2930="",N($AA2929),IF(MATCH($V2930,$V$6:$V$10005,0)=ROW()-5,N($AA2929)+1,N($AA2929)))</f>
        <v>0</v>
      </c>
    </row>
    <row r="2931" spans="1:27" ht="21" customHeight="1" x14ac:dyDescent="0.95">
      <c r="A2931" s="56"/>
      <c r="B2931" s="57"/>
      <c r="C2931" s="57"/>
      <c r="D2931" s="57"/>
      <c r="E2931" s="56"/>
      <c r="F2931" s="57"/>
      <c r="G2931" s="57"/>
      <c r="H2931" s="56"/>
      <c r="I2931" s="56"/>
      <c r="J2931" s="58"/>
      <c r="K2931" s="58"/>
      <c r="L2931" s="13" t="str">
        <f t="shared" si="450"/>
        <v/>
      </c>
      <c r="M2931" s="13" t="str">
        <f t="shared" si="451"/>
        <v/>
      </c>
      <c r="Q2931" t="str">
        <f t="shared" si="452"/>
        <v/>
      </c>
      <c r="R2931" t="str">
        <f t="shared" si="453"/>
        <v/>
      </c>
      <c r="S2931" t="str">
        <f t="shared" si="454"/>
        <v/>
      </c>
      <c r="T2931" t="str">
        <f t="shared" si="455"/>
        <v/>
      </c>
      <c r="U2931" t="str">
        <f t="shared" si="456"/>
        <v/>
      </c>
      <c r="V2931" t="str">
        <f t="shared" si="457"/>
        <v/>
      </c>
      <c r="W2931" t="str">
        <f t="shared" si="458"/>
        <v/>
      </c>
      <c r="X2931">
        <f>IF($T2931="",N($X2930),IF(MATCH($T2931,$T$6:$T$10005,0)=ROW()-5,N($X2930)+1,N($X2930)))</f>
        <v>0</v>
      </c>
      <c r="Z2931" t="str">
        <f t="shared" si="459"/>
        <v/>
      </c>
      <c r="AA2931">
        <f>IF($V2931="",N($AA2930),IF(MATCH($V2931,$V$6:$V$10005,0)=ROW()-5,N($AA2930)+1,N($AA2930)))</f>
        <v>0</v>
      </c>
    </row>
    <row r="2932" spans="1:27" ht="21" customHeight="1" x14ac:dyDescent="0.95">
      <c r="A2932" s="56"/>
      <c r="B2932" s="57"/>
      <c r="C2932" s="57"/>
      <c r="D2932" s="57"/>
      <c r="E2932" s="56"/>
      <c r="F2932" s="57"/>
      <c r="G2932" s="57"/>
      <c r="H2932" s="56"/>
      <c r="I2932" s="56"/>
      <c r="J2932" s="58"/>
      <c r="K2932" s="58"/>
      <c r="L2932" s="13" t="str">
        <f t="shared" si="450"/>
        <v/>
      </c>
      <c r="M2932" s="13" t="str">
        <f t="shared" si="451"/>
        <v/>
      </c>
      <c r="Q2932" t="str">
        <f t="shared" si="452"/>
        <v/>
      </c>
      <c r="R2932" t="str">
        <f t="shared" si="453"/>
        <v/>
      </c>
      <c r="S2932" t="str">
        <f t="shared" si="454"/>
        <v/>
      </c>
      <c r="T2932" t="str">
        <f t="shared" si="455"/>
        <v/>
      </c>
      <c r="U2932" t="str">
        <f t="shared" si="456"/>
        <v/>
      </c>
      <c r="V2932" t="str">
        <f t="shared" si="457"/>
        <v/>
      </c>
      <c r="W2932" t="str">
        <f t="shared" si="458"/>
        <v/>
      </c>
      <c r="X2932">
        <f>IF($T2932="",N($X2931),IF(MATCH($T2932,$T$6:$T$10005,0)=ROW()-5,N($X2931)+1,N($X2931)))</f>
        <v>0</v>
      </c>
      <c r="Z2932" t="str">
        <f t="shared" si="459"/>
        <v/>
      </c>
      <c r="AA2932">
        <f>IF($V2932="",N($AA2931),IF(MATCH($V2932,$V$6:$V$10005,0)=ROW()-5,N($AA2931)+1,N($AA2931)))</f>
        <v>0</v>
      </c>
    </row>
    <row r="2933" spans="1:27" ht="21" customHeight="1" x14ac:dyDescent="0.95">
      <c r="A2933" s="56"/>
      <c r="B2933" s="57"/>
      <c r="C2933" s="57"/>
      <c r="D2933" s="57"/>
      <c r="E2933" s="56"/>
      <c r="F2933" s="57"/>
      <c r="G2933" s="57"/>
      <c r="H2933" s="56"/>
      <c r="I2933" s="56"/>
      <c r="J2933" s="58"/>
      <c r="K2933" s="58"/>
      <c r="L2933" s="13" t="str">
        <f t="shared" si="450"/>
        <v/>
      </c>
      <c r="M2933" s="13" t="str">
        <f t="shared" si="451"/>
        <v/>
      </c>
      <c r="Q2933" t="str">
        <f t="shared" si="452"/>
        <v/>
      </c>
      <c r="R2933" t="str">
        <f t="shared" si="453"/>
        <v/>
      </c>
      <c r="S2933" t="str">
        <f t="shared" si="454"/>
        <v/>
      </c>
      <c r="T2933" t="str">
        <f t="shared" si="455"/>
        <v/>
      </c>
      <c r="U2933" t="str">
        <f t="shared" si="456"/>
        <v/>
      </c>
      <c r="V2933" t="str">
        <f t="shared" si="457"/>
        <v/>
      </c>
      <c r="W2933" t="str">
        <f t="shared" si="458"/>
        <v/>
      </c>
      <c r="X2933">
        <f>IF($T2933="",N($X2932),IF(MATCH($T2933,$T$6:$T$10005,0)=ROW()-5,N($X2932)+1,N($X2932)))</f>
        <v>0</v>
      </c>
      <c r="Z2933" t="str">
        <f t="shared" si="459"/>
        <v/>
      </c>
      <c r="AA2933">
        <f>IF($V2933="",N($AA2932),IF(MATCH($V2933,$V$6:$V$10005,0)=ROW()-5,N($AA2932)+1,N($AA2932)))</f>
        <v>0</v>
      </c>
    </row>
    <row r="2934" spans="1:27" ht="21" customHeight="1" x14ac:dyDescent="0.95">
      <c r="A2934" s="56"/>
      <c r="B2934" s="57"/>
      <c r="C2934" s="57"/>
      <c r="D2934" s="57"/>
      <c r="E2934" s="56"/>
      <c r="F2934" s="57"/>
      <c r="G2934" s="57"/>
      <c r="H2934" s="56"/>
      <c r="I2934" s="56"/>
      <c r="J2934" s="58"/>
      <c r="K2934" s="58"/>
      <c r="L2934" s="13" t="str">
        <f t="shared" si="450"/>
        <v/>
      </c>
      <c r="M2934" s="13" t="str">
        <f t="shared" si="451"/>
        <v/>
      </c>
      <c r="Q2934" t="str">
        <f t="shared" si="452"/>
        <v/>
      </c>
      <c r="R2934" t="str">
        <f t="shared" si="453"/>
        <v/>
      </c>
      <c r="S2934" t="str">
        <f t="shared" si="454"/>
        <v/>
      </c>
      <c r="T2934" t="str">
        <f t="shared" si="455"/>
        <v/>
      </c>
      <c r="U2934" t="str">
        <f t="shared" si="456"/>
        <v/>
      </c>
      <c r="V2934" t="str">
        <f t="shared" si="457"/>
        <v/>
      </c>
      <c r="W2934" t="str">
        <f t="shared" si="458"/>
        <v/>
      </c>
      <c r="X2934">
        <f>IF($T2934="",N($X2933),IF(MATCH($T2934,$T$6:$T$10005,0)=ROW()-5,N($X2933)+1,N($X2933)))</f>
        <v>0</v>
      </c>
      <c r="Z2934" t="str">
        <f t="shared" si="459"/>
        <v/>
      </c>
      <c r="AA2934">
        <f>IF($V2934="",N($AA2933),IF(MATCH($V2934,$V$6:$V$10005,0)=ROW()-5,N($AA2933)+1,N($AA2933)))</f>
        <v>0</v>
      </c>
    </row>
    <row r="2935" spans="1:27" ht="21" customHeight="1" x14ac:dyDescent="0.95">
      <c r="A2935" s="56"/>
      <c r="B2935" s="57"/>
      <c r="C2935" s="57"/>
      <c r="D2935" s="57"/>
      <c r="E2935" s="56"/>
      <c r="F2935" s="57"/>
      <c r="G2935" s="57"/>
      <c r="H2935" s="56"/>
      <c r="I2935" s="56"/>
      <c r="J2935" s="58"/>
      <c r="K2935" s="58"/>
      <c r="L2935" s="13" t="str">
        <f t="shared" si="450"/>
        <v/>
      </c>
      <c r="M2935" s="13" t="str">
        <f t="shared" si="451"/>
        <v/>
      </c>
      <c r="Q2935" t="str">
        <f t="shared" si="452"/>
        <v/>
      </c>
      <c r="R2935" t="str">
        <f t="shared" si="453"/>
        <v/>
      </c>
      <c r="S2935" t="str">
        <f t="shared" si="454"/>
        <v/>
      </c>
      <c r="T2935" t="str">
        <f t="shared" si="455"/>
        <v/>
      </c>
      <c r="U2935" t="str">
        <f t="shared" si="456"/>
        <v/>
      </c>
      <c r="V2935" t="str">
        <f t="shared" si="457"/>
        <v/>
      </c>
      <c r="W2935" t="str">
        <f t="shared" si="458"/>
        <v/>
      </c>
      <c r="X2935">
        <f>IF($T2935="",N($X2934),IF(MATCH($T2935,$T$6:$T$10005,0)=ROW()-5,N($X2934)+1,N($X2934)))</f>
        <v>0</v>
      </c>
      <c r="Z2935" t="str">
        <f t="shared" si="459"/>
        <v/>
      </c>
      <c r="AA2935">
        <f>IF($V2935="",N($AA2934),IF(MATCH($V2935,$V$6:$V$10005,0)=ROW()-5,N($AA2934)+1,N($AA2934)))</f>
        <v>0</v>
      </c>
    </row>
    <row r="2936" spans="1:27" ht="21" customHeight="1" x14ac:dyDescent="0.95">
      <c r="A2936" s="56"/>
      <c r="B2936" s="57"/>
      <c r="C2936" s="57"/>
      <c r="D2936" s="57"/>
      <c r="E2936" s="56"/>
      <c r="F2936" s="57"/>
      <c r="G2936" s="57"/>
      <c r="H2936" s="56"/>
      <c r="I2936" s="56"/>
      <c r="J2936" s="58"/>
      <c r="K2936" s="58"/>
      <c r="L2936" s="13" t="str">
        <f t="shared" si="450"/>
        <v/>
      </c>
      <c r="M2936" s="13" t="str">
        <f t="shared" si="451"/>
        <v/>
      </c>
      <c r="Q2936" t="str">
        <f t="shared" si="452"/>
        <v/>
      </c>
      <c r="R2936" t="str">
        <f t="shared" si="453"/>
        <v/>
      </c>
      <c r="S2936" t="str">
        <f t="shared" si="454"/>
        <v/>
      </c>
      <c r="T2936" t="str">
        <f t="shared" si="455"/>
        <v/>
      </c>
      <c r="U2936" t="str">
        <f t="shared" si="456"/>
        <v/>
      </c>
      <c r="V2936" t="str">
        <f t="shared" si="457"/>
        <v/>
      </c>
      <c r="W2936" t="str">
        <f t="shared" si="458"/>
        <v/>
      </c>
      <c r="X2936">
        <f>IF($T2936="",N($X2935),IF(MATCH($T2936,$T$6:$T$10005,0)=ROW()-5,N($X2935)+1,N($X2935)))</f>
        <v>0</v>
      </c>
      <c r="Z2936" t="str">
        <f t="shared" si="459"/>
        <v/>
      </c>
      <c r="AA2936">
        <f>IF($V2936="",N($AA2935),IF(MATCH($V2936,$V$6:$V$10005,0)=ROW()-5,N($AA2935)+1,N($AA2935)))</f>
        <v>0</v>
      </c>
    </row>
    <row r="2937" spans="1:27" ht="21" customHeight="1" x14ac:dyDescent="0.95">
      <c r="A2937" s="56"/>
      <c r="B2937" s="57"/>
      <c r="C2937" s="57"/>
      <c r="D2937" s="57"/>
      <c r="E2937" s="56"/>
      <c r="F2937" s="57"/>
      <c r="G2937" s="57"/>
      <c r="H2937" s="56"/>
      <c r="I2937" s="56"/>
      <c r="J2937" s="58"/>
      <c r="K2937" s="58"/>
      <c r="L2937" s="13" t="str">
        <f t="shared" si="450"/>
        <v/>
      </c>
      <c r="M2937" s="13" t="str">
        <f t="shared" si="451"/>
        <v/>
      </c>
      <c r="Q2937" t="str">
        <f t="shared" si="452"/>
        <v/>
      </c>
      <c r="R2937" t="str">
        <f t="shared" si="453"/>
        <v/>
      </c>
      <c r="S2937" t="str">
        <f t="shared" si="454"/>
        <v/>
      </c>
      <c r="T2937" t="str">
        <f t="shared" si="455"/>
        <v/>
      </c>
      <c r="U2937" t="str">
        <f t="shared" si="456"/>
        <v/>
      </c>
      <c r="V2937" t="str">
        <f t="shared" si="457"/>
        <v/>
      </c>
      <c r="W2937" t="str">
        <f t="shared" si="458"/>
        <v/>
      </c>
      <c r="X2937">
        <f>IF($T2937="",N($X2936),IF(MATCH($T2937,$T$6:$T$10005,0)=ROW()-5,N($X2936)+1,N($X2936)))</f>
        <v>0</v>
      </c>
      <c r="Z2937" t="str">
        <f t="shared" si="459"/>
        <v/>
      </c>
      <c r="AA2937">
        <f>IF($V2937="",N($AA2936),IF(MATCH($V2937,$V$6:$V$10005,0)=ROW()-5,N($AA2936)+1,N($AA2936)))</f>
        <v>0</v>
      </c>
    </row>
    <row r="2938" spans="1:27" ht="21" customHeight="1" x14ac:dyDescent="0.95">
      <c r="A2938" s="56"/>
      <c r="B2938" s="57"/>
      <c r="C2938" s="57"/>
      <c r="D2938" s="57"/>
      <c r="E2938" s="56"/>
      <c r="F2938" s="57"/>
      <c r="G2938" s="57"/>
      <c r="H2938" s="56"/>
      <c r="I2938" s="56"/>
      <c r="J2938" s="58"/>
      <c r="K2938" s="58"/>
      <c r="L2938" s="13" t="str">
        <f t="shared" si="450"/>
        <v/>
      </c>
      <c r="M2938" s="13" t="str">
        <f t="shared" si="451"/>
        <v/>
      </c>
      <c r="Q2938" t="str">
        <f t="shared" si="452"/>
        <v/>
      </c>
      <c r="R2938" t="str">
        <f t="shared" si="453"/>
        <v/>
      </c>
      <c r="S2938" t="str">
        <f t="shared" si="454"/>
        <v/>
      </c>
      <c r="T2938" t="str">
        <f t="shared" si="455"/>
        <v/>
      </c>
      <c r="U2938" t="str">
        <f t="shared" si="456"/>
        <v/>
      </c>
      <c r="V2938" t="str">
        <f t="shared" si="457"/>
        <v/>
      </c>
      <c r="W2938" t="str">
        <f t="shared" si="458"/>
        <v/>
      </c>
      <c r="X2938">
        <f>IF($T2938="",N($X2937),IF(MATCH($T2938,$T$6:$T$10005,0)=ROW()-5,N($X2937)+1,N($X2937)))</f>
        <v>0</v>
      </c>
      <c r="Z2938" t="str">
        <f t="shared" si="459"/>
        <v/>
      </c>
      <c r="AA2938">
        <f>IF($V2938="",N($AA2937),IF(MATCH($V2938,$V$6:$V$10005,0)=ROW()-5,N($AA2937)+1,N($AA2937)))</f>
        <v>0</v>
      </c>
    </row>
    <row r="2939" spans="1:27" ht="21" customHeight="1" x14ac:dyDescent="0.95">
      <c r="A2939" s="56"/>
      <c r="B2939" s="57"/>
      <c r="C2939" s="57"/>
      <c r="D2939" s="57"/>
      <c r="E2939" s="56"/>
      <c r="F2939" s="57"/>
      <c r="G2939" s="57"/>
      <c r="H2939" s="56"/>
      <c r="I2939" s="56"/>
      <c r="J2939" s="58"/>
      <c r="K2939" s="58"/>
      <c r="L2939" s="13" t="str">
        <f t="shared" si="450"/>
        <v/>
      </c>
      <c r="M2939" s="13" t="str">
        <f t="shared" si="451"/>
        <v/>
      </c>
      <c r="Q2939" t="str">
        <f t="shared" si="452"/>
        <v/>
      </c>
      <c r="R2939" t="str">
        <f t="shared" si="453"/>
        <v/>
      </c>
      <c r="S2939" t="str">
        <f t="shared" si="454"/>
        <v/>
      </c>
      <c r="T2939" t="str">
        <f t="shared" si="455"/>
        <v/>
      </c>
      <c r="U2939" t="str">
        <f t="shared" si="456"/>
        <v/>
      </c>
      <c r="V2939" t="str">
        <f t="shared" si="457"/>
        <v/>
      </c>
      <c r="W2939" t="str">
        <f t="shared" si="458"/>
        <v/>
      </c>
      <c r="X2939">
        <f>IF($T2939="",N($X2938),IF(MATCH($T2939,$T$6:$T$10005,0)=ROW()-5,N($X2938)+1,N($X2938)))</f>
        <v>0</v>
      </c>
      <c r="Z2939" t="str">
        <f t="shared" si="459"/>
        <v/>
      </c>
      <c r="AA2939">
        <f>IF($V2939="",N($AA2938),IF(MATCH($V2939,$V$6:$V$10005,0)=ROW()-5,N($AA2938)+1,N($AA2938)))</f>
        <v>0</v>
      </c>
    </row>
    <row r="2940" spans="1:27" ht="21" customHeight="1" x14ac:dyDescent="0.95">
      <c r="A2940" s="56"/>
      <c r="B2940" s="57"/>
      <c r="C2940" s="57"/>
      <c r="D2940" s="57"/>
      <c r="E2940" s="56"/>
      <c r="F2940" s="57"/>
      <c r="G2940" s="57"/>
      <c r="H2940" s="56"/>
      <c r="I2940" s="56"/>
      <c r="J2940" s="58"/>
      <c r="K2940" s="58"/>
      <c r="L2940" s="13" t="str">
        <f t="shared" si="450"/>
        <v/>
      </c>
      <c r="M2940" s="13" t="str">
        <f t="shared" si="451"/>
        <v/>
      </c>
      <c r="Q2940" t="str">
        <f t="shared" si="452"/>
        <v/>
      </c>
      <c r="R2940" t="str">
        <f t="shared" si="453"/>
        <v/>
      </c>
      <c r="S2940" t="str">
        <f t="shared" si="454"/>
        <v/>
      </c>
      <c r="T2940" t="str">
        <f t="shared" si="455"/>
        <v/>
      </c>
      <c r="U2940" t="str">
        <f t="shared" si="456"/>
        <v/>
      </c>
      <c r="V2940" t="str">
        <f t="shared" si="457"/>
        <v/>
      </c>
      <c r="W2940" t="str">
        <f t="shared" si="458"/>
        <v/>
      </c>
      <c r="X2940">
        <f>IF($T2940="",N($X2939),IF(MATCH($T2940,$T$6:$T$10005,0)=ROW()-5,N($X2939)+1,N($X2939)))</f>
        <v>0</v>
      </c>
      <c r="Z2940" t="str">
        <f t="shared" si="459"/>
        <v/>
      </c>
      <c r="AA2940">
        <f>IF($V2940="",N($AA2939),IF(MATCH($V2940,$V$6:$V$10005,0)=ROW()-5,N($AA2939)+1,N($AA2939)))</f>
        <v>0</v>
      </c>
    </row>
    <row r="2941" spans="1:27" ht="21" customHeight="1" x14ac:dyDescent="0.95">
      <c r="A2941" s="56"/>
      <c r="B2941" s="57"/>
      <c r="C2941" s="57"/>
      <c r="D2941" s="57"/>
      <c r="E2941" s="56"/>
      <c r="F2941" s="57"/>
      <c r="G2941" s="57"/>
      <c r="H2941" s="56"/>
      <c r="I2941" s="56"/>
      <c r="J2941" s="58"/>
      <c r="K2941" s="58"/>
      <c r="L2941" s="13" t="str">
        <f t="shared" si="450"/>
        <v/>
      </c>
      <c r="M2941" s="13" t="str">
        <f t="shared" si="451"/>
        <v/>
      </c>
      <c r="Q2941" t="str">
        <f t="shared" si="452"/>
        <v/>
      </c>
      <c r="R2941" t="str">
        <f t="shared" si="453"/>
        <v/>
      </c>
      <c r="S2941" t="str">
        <f t="shared" si="454"/>
        <v/>
      </c>
      <c r="T2941" t="str">
        <f t="shared" si="455"/>
        <v/>
      </c>
      <c r="U2941" t="str">
        <f t="shared" si="456"/>
        <v/>
      </c>
      <c r="V2941" t="str">
        <f t="shared" si="457"/>
        <v/>
      </c>
      <c r="W2941" t="str">
        <f t="shared" si="458"/>
        <v/>
      </c>
      <c r="X2941">
        <f>IF($T2941="",N($X2940),IF(MATCH($T2941,$T$6:$T$10005,0)=ROW()-5,N($X2940)+1,N($X2940)))</f>
        <v>0</v>
      </c>
      <c r="Z2941" t="str">
        <f t="shared" si="459"/>
        <v/>
      </c>
      <c r="AA2941">
        <f>IF($V2941="",N($AA2940),IF(MATCH($V2941,$V$6:$V$10005,0)=ROW()-5,N($AA2940)+1,N($AA2940)))</f>
        <v>0</v>
      </c>
    </row>
    <row r="2942" spans="1:27" ht="21" customHeight="1" x14ac:dyDescent="0.95">
      <c r="A2942" s="56"/>
      <c r="B2942" s="57"/>
      <c r="C2942" s="57"/>
      <c r="D2942" s="57"/>
      <c r="E2942" s="56"/>
      <c r="F2942" s="57"/>
      <c r="G2942" s="57"/>
      <c r="H2942" s="56"/>
      <c r="I2942" s="56"/>
      <c r="J2942" s="58"/>
      <c r="K2942" s="58"/>
      <c r="L2942" s="13" t="str">
        <f t="shared" si="450"/>
        <v/>
      </c>
      <c r="M2942" s="13" t="str">
        <f t="shared" si="451"/>
        <v/>
      </c>
      <c r="Q2942" t="str">
        <f t="shared" si="452"/>
        <v/>
      </c>
      <c r="R2942" t="str">
        <f t="shared" si="453"/>
        <v/>
      </c>
      <c r="S2942" t="str">
        <f t="shared" si="454"/>
        <v/>
      </c>
      <c r="T2942" t="str">
        <f t="shared" si="455"/>
        <v/>
      </c>
      <c r="U2942" t="str">
        <f t="shared" si="456"/>
        <v/>
      </c>
      <c r="V2942" t="str">
        <f t="shared" si="457"/>
        <v/>
      </c>
      <c r="W2942" t="str">
        <f t="shared" si="458"/>
        <v/>
      </c>
      <c r="X2942">
        <f>IF($T2942="",N($X2941),IF(MATCH($T2942,$T$6:$T$10005,0)=ROW()-5,N($X2941)+1,N($X2941)))</f>
        <v>0</v>
      </c>
      <c r="Z2942" t="str">
        <f t="shared" si="459"/>
        <v/>
      </c>
      <c r="AA2942">
        <f>IF($V2942="",N($AA2941),IF(MATCH($V2942,$V$6:$V$10005,0)=ROW()-5,N($AA2941)+1,N($AA2941)))</f>
        <v>0</v>
      </c>
    </row>
    <row r="2943" spans="1:27" ht="21" customHeight="1" x14ac:dyDescent="0.95">
      <c r="A2943" s="56"/>
      <c r="B2943" s="57"/>
      <c r="C2943" s="57"/>
      <c r="D2943" s="57"/>
      <c r="E2943" s="56"/>
      <c r="F2943" s="57"/>
      <c r="G2943" s="57"/>
      <c r="H2943" s="56"/>
      <c r="I2943" s="56"/>
      <c r="J2943" s="58"/>
      <c r="K2943" s="58"/>
      <c r="L2943" s="13" t="str">
        <f t="shared" si="450"/>
        <v/>
      </c>
      <c r="M2943" s="13" t="str">
        <f t="shared" si="451"/>
        <v/>
      </c>
      <c r="Q2943" t="str">
        <f t="shared" si="452"/>
        <v/>
      </c>
      <c r="R2943" t="str">
        <f t="shared" si="453"/>
        <v/>
      </c>
      <c r="S2943" t="str">
        <f t="shared" si="454"/>
        <v/>
      </c>
      <c r="T2943" t="str">
        <f t="shared" si="455"/>
        <v/>
      </c>
      <c r="U2943" t="str">
        <f t="shared" si="456"/>
        <v/>
      </c>
      <c r="V2943" t="str">
        <f t="shared" si="457"/>
        <v/>
      </c>
      <c r="W2943" t="str">
        <f t="shared" si="458"/>
        <v/>
      </c>
      <c r="X2943">
        <f>IF($T2943="",N($X2942),IF(MATCH($T2943,$T$6:$T$10005,0)=ROW()-5,N($X2942)+1,N($X2942)))</f>
        <v>0</v>
      </c>
      <c r="Z2943" t="str">
        <f t="shared" si="459"/>
        <v/>
      </c>
      <c r="AA2943">
        <f>IF($V2943="",N($AA2942),IF(MATCH($V2943,$V$6:$V$10005,0)=ROW()-5,N($AA2942)+1,N($AA2942)))</f>
        <v>0</v>
      </c>
    </row>
    <row r="2944" spans="1:27" ht="21" customHeight="1" x14ac:dyDescent="0.95">
      <c r="A2944" s="56"/>
      <c r="B2944" s="57"/>
      <c r="C2944" s="57"/>
      <c r="D2944" s="57"/>
      <c r="E2944" s="56"/>
      <c r="F2944" s="57"/>
      <c r="G2944" s="57"/>
      <c r="H2944" s="56"/>
      <c r="I2944" s="56"/>
      <c r="J2944" s="58"/>
      <c r="K2944" s="58"/>
      <c r="L2944" s="13" t="str">
        <f t="shared" si="450"/>
        <v/>
      </c>
      <c r="M2944" s="13" t="str">
        <f t="shared" si="451"/>
        <v/>
      </c>
      <c r="Q2944" t="str">
        <f t="shared" si="452"/>
        <v/>
      </c>
      <c r="R2944" t="str">
        <f t="shared" si="453"/>
        <v/>
      </c>
      <c r="S2944" t="str">
        <f t="shared" si="454"/>
        <v/>
      </c>
      <c r="T2944" t="str">
        <f t="shared" si="455"/>
        <v/>
      </c>
      <c r="U2944" t="str">
        <f t="shared" si="456"/>
        <v/>
      </c>
      <c r="V2944" t="str">
        <f t="shared" si="457"/>
        <v/>
      </c>
      <c r="W2944" t="str">
        <f t="shared" si="458"/>
        <v/>
      </c>
      <c r="X2944">
        <f>IF($T2944="",N($X2943),IF(MATCH($T2944,$T$6:$T$10005,0)=ROW()-5,N($X2943)+1,N($X2943)))</f>
        <v>0</v>
      </c>
      <c r="Z2944" t="str">
        <f t="shared" si="459"/>
        <v/>
      </c>
      <c r="AA2944">
        <f>IF($V2944="",N($AA2943),IF(MATCH($V2944,$V$6:$V$10005,0)=ROW()-5,N($AA2943)+1,N($AA2943)))</f>
        <v>0</v>
      </c>
    </row>
    <row r="2945" spans="1:27" ht="21" customHeight="1" x14ac:dyDescent="0.95">
      <c r="A2945" s="56"/>
      <c r="B2945" s="57"/>
      <c r="C2945" s="57"/>
      <c r="D2945" s="57"/>
      <c r="E2945" s="56"/>
      <c r="F2945" s="57"/>
      <c r="G2945" s="57"/>
      <c r="H2945" s="56"/>
      <c r="I2945" s="56"/>
      <c r="J2945" s="58"/>
      <c r="K2945" s="58"/>
      <c r="L2945" s="13" t="str">
        <f t="shared" si="450"/>
        <v/>
      </c>
      <c r="M2945" s="13" t="str">
        <f t="shared" si="451"/>
        <v/>
      </c>
      <c r="Q2945" t="str">
        <f t="shared" si="452"/>
        <v/>
      </c>
      <c r="R2945" t="str">
        <f t="shared" si="453"/>
        <v/>
      </c>
      <c r="S2945" t="str">
        <f t="shared" si="454"/>
        <v/>
      </c>
      <c r="T2945" t="str">
        <f t="shared" si="455"/>
        <v/>
      </c>
      <c r="U2945" t="str">
        <f t="shared" si="456"/>
        <v/>
      </c>
      <c r="V2945" t="str">
        <f t="shared" si="457"/>
        <v/>
      </c>
      <c r="W2945" t="str">
        <f t="shared" si="458"/>
        <v/>
      </c>
      <c r="X2945">
        <f>IF($T2945="",N($X2944),IF(MATCH($T2945,$T$6:$T$10005,0)=ROW()-5,N($X2944)+1,N($X2944)))</f>
        <v>0</v>
      </c>
      <c r="Z2945" t="str">
        <f t="shared" si="459"/>
        <v/>
      </c>
      <c r="AA2945">
        <f>IF($V2945="",N($AA2944),IF(MATCH($V2945,$V$6:$V$10005,0)=ROW()-5,N($AA2944)+1,N($AA2944)))</f>
        <v>0</v>
      </c>
    </row>
    <row r="2946" spans="1:27" ht="21" customHeight="1" x14ac:dyDescent="0.95">
      <c r="A2946" s="56"/>
      <c r="B2946" s="57"/>
      <c r="C2946" s="57"/>
      <c r="D2946" s="57"/>
      <c r="E2946" s="56"/>
      <c r="F2946" s="57"/>
      <c r="G2946" s="57"/>
      <c r="H2946" s="56"/>
      <c r="I2946" s="56"/>
      <c r="J2946" s="58"/>
      <c r="K2946" s="58"/>
      <c r="L2946" s="13" t="str">
        <f t="shared" si="450"/>
        <v/>
      </c>
      <c r="M2946" s="13" t="str">
        <f t="shared" si="451"/>
        <v/>
      </c>
      <c r="Q2946" t="str">
        <f t="shared" si="452"/>
        <v/>
      </c>
      <c r="R2946" t="str">
        <f t="shared" si="453"/>
        <v/>
      </c>
      <c r="S2946" t="str">
        <f t="shared" si="454"/>
        <v/>
      </c>
      <c r="T2946" t="str">
        <f t="shared" si="455"/>
        <v/>
      </c>
      <c r="U2946" t="str">
        <f t="shared" si="456"/>
        <v/>
      </c>
      <c r="V2946" t="str">
        <f t="shared" si="457"/>
        <v/>
      </c>
      <c r="W2946" t="str">
        <f t="shared" si="458"/>
        <v/>
      </c>
      <c r="X2946">
        <f>IF($T2946="",N($X2945),IF(MATCH($T2946,$T$6:$T$10005,0)=ROW()-5,N($X2945)+1,N($X2945)))</f>
        <v>0</v>
      </c>
      <c r="Z2946" t="str">
        <f t="shared" si="459"/>
        <v/>
      </c>
      <c r="AA2946">
        <f>IF($V2946="",N($AA2945),IF(MATCH($V2946,$V$6:$V$10005,0)=ROW()-5,N($AA2945)+1,N($AA2945)))</f>
        <v>0</v>
      </c>
    </row>
    <row r="2947" spans="1:27" ht="21" customHeight="1" x14ac:dyDescent="0.95">
      <c r="A2947" s="56"/>
      <c r="B2947" s="57"/>
      <c r="C2947" s="57"/>
      <c r="D2947" s="57"/>
      <c r="E2947" s="56"/>
      <c r="F2947" s="57"/>
      <c r="G2947" s="57"/>
      <c r="H2947" s="56"/>
      <c r="I2947" s="56"/>
      <c r="J2947" s="58"/>
      <c r="K2947" s="58"/>
      <c r="L2947" s="13" t="str">
        <f t="shared" si="450"/>
        <v/>
      </c>
      <c r="M2947" s="13" t="str">
        <f t="shared" si="451"/>
        <v/>
      </c>
      <c r="Q2947" t="str">
        <f t="shared" si="452"/>
        <v/>
      </c>
      <c r="R2947" t="str">
        <f t="shared" si="453"/>
        <v/>
      </c>
      <c r="S2947" t="str">
        <f t="shared" si="454"/>
        <v/>
      </c>
      <c r="T2947" t="str">
        <f t="shared" si="455"/>
        <v/>
      </c>
      <c r="U2947" t="str">
        <f t="shared" si="456"/>
        <v/>
      </c>
      <c r="V2947" t="str">
        <f t="shared" si="457"/>
        <v/>
      </c>
      <c r="W2947" t="str">
        <f t="shared" si="458"/>
        <v/>
      </c>
      <c r="X2947">
        <f>IF($T2947="",N($X2946),IF(MATCH($T2947,$T$6:$T$10005,0)=ROW()-5,N($X2946)+1,N($X2946)))</f>
        <v>0</v>
      </c>
      <c r="Z2947" t="str">
        <f t="shared" si="459"/>
        <v/>
      </c>
      <c r="AA2947">
        <f>IF($V2947="",N($AA2946),IF(MATCH($V2947,$V$6:$V$10005,0)=ROW()-5,N($AA2946)+1,N($AA2946)))</f>
        <v>0</v>
      </c>
    </row>
    <row r="2948" spans="1:27" ht="21" customHeight="1" x14ac:dyDescent="0.95">
      <c r="A2948" s="56"/>
      <c r="B2948" s="57"/>
      <c r="C2948" s="57"/>
      <c r="D2948" s="57"/>
      <c r="E2948" s="56"/>
      <c r="F2948" s="57"/>
      <c r="G2948" s="57"/>
      <c r="H2948" s="56"/>
      <c r="I2948" s="56"/>
      <c r="J2948" s="58"/>
      <c r="K2948" s="58"/>
      <c r="L2948" s="13" t="str">
        <f t="shared" si="450"/>
        <v/>
      </c>
      <c r="M2948" s="13" t="str">
        <f t="shared" si="451"/>
        <v/>
      </c>
      <c r="Q2948" t="str">
        <f t="shared" si="452"/>
        <v/>
      </c>
      <c r="R2948" t="str">
        <f t="shared" si="453"/>
        <v/>
      </c>
      <c r="S2948" t="str">
        <f t="shared" si="454"/>
        <v/>
      </c>
      <c r="T2948" t="str">
        <f t="shared" si="455"/>
        <v/>
      </c>
      <c r="U2948" t="str">
        <f t="shared" si="456"/>
        <v/>
      </c>
      <c r="V2948" t="str">
        <f t="shared" si="457"/>
        <v/>
      </c>
      <c r="W2948" t="str">
        <f t="shared" si="458"/>
        <v/>
      </c>
      <c r="X2948">
        <f>IF($T2948="",N($X2947),IF(MATCH($T2948,$T$6:$T$10005,0)=ROW()-5,N($X2947)+1,N($X2947)))</f>
        <v>0</v>
      </c>
      <c r="Z2948" t="str">
        <f t="shared" si="459"/>
        <v/>
      </c>
      <c r="AA2948">
        <f>IF($V2948="",N($AA2947),IF(MATCH($V2948,$V$6:$V$10005,0)=ROW()-5,N($AA2947)+1,N($AA2947)))</f>
        <v>0</v>
      </c>
    </row>
    <row r="2949" spans="1:27" ht="21" customHeight="1" x14ac:dyDescent="0.95">
      <c r="A2949" s="56"/>
      <c r="B2949" s="57"/>
      <c r="C2949" s="57"/>
      <c r="D2949" s="57"/>
      <c r="E2949" s="56"/>
      <c r="F2949" s="57"/>
      <c r="G2949" s="57"/>
      <c r="H2949" s="56"/>
      <c r="I2949" s="56"/>
      <c r="J2949" s="58"/>
      <c r="K2949" s="58"/>
      <c r="L2949" s="13" t="str">
        <f t="shared" si="450"/>
        <v/>
      </c>
      <c r="M2949" s="13" t="str">
        <f t="shared" si="451"/>
        <v/>
      </c>
      <c r="Q2949" t="str">
        <f t="shared" si="452"/>
        <v/>
      </c>
      <c r="R2949" t="str">
        <f t="shared" si="453"/>
        <v/>
      </c>
      <c r="S2949" t="str">
        <f t="shared" si="454"/>
        <v/>
      </c>
      <c r="T2949" t="str">
        <f t="shared" si="455"/>
        <v/>
      </c>
      <c r="U2949" t="str">
        <f t="shared" si="456"/>
        <v/>
      </c>
      <c r="V2949" t="str">
        <f t="shared" si="457"/>
        <v/>
      </c>
      <c r="W2949" t="str">
        <f t="shared" si="458"/>
        <v/>
      </c>
      <c r="X2949">
        <f>IF($T2949="",N($X2948),IF(MATCH($T2949,$T$6:$T$10005,0)=ROW()-5,N($X2948)+1,N($X2948)))</f>
        <v>0</v>
      </c>
      <c r="Z2949" t="str">
        <f t="shared" si="459"/>
        <v/>
      </c>
      <c r="AA2949">
        <f>IF($V2949="",N($AA2948),IF(MATCH($V2949,$V$6:$V$10005,0)=ROW()-5,N($AA2948)+1,N($AA2948)))</f>
        <v>0</v>
      </c>
    </row>
    <row r="2950" spans="1:27" ht="21" customHeight="1" x14ac:dyDescent="0.95">
      <c r="A2950" s="56"/>
      <c r="B2950" s="57"/>
      <c r="C2950" s="57"/>
      <c r="D2950" s="57"/>
      <c r="E2950" s="56"/>
      <c r="F2950" s="57"/>
      <c r="G2950" s="57"/>
      <c r="H2950" s="56"/>
      <c r="I2950" s="56"/>
      <c r="J2950" s="58"/>
      <c r="K2950" s="58"/>
      <c r="L2950" s="13" t="str">
        <f t="shared" ref="L2950:L3013" si="460">IF(OR($A2950="",AND($J2950="",$K2950="")),"",ROUND(N($J2950)-N($K2950),2))</f>
        <v/>
      </c>
      <c r="M2950" s="13" t="str">
        <f t="shared" ref="M2950:M3013" si="461">IF(OR($A2950="",AND($J2950="",$K2950="")),"",MIN($J2950,$K2950))</f>
        <v/>
      </c>
      <c r="Q2950" t="str">
        <f t="shared" ref="Q2950:Q3013" si="462">IF($A2950="","",$D2950&amp;"("&amp;SUBSTITUTE($E2950," ","")&amp;")")</f>
        <v/>
      </c>
      <c r="R2950" t="str">
        <f t="shared" ref="R2950:R3013" si="463">IF($A2950="","",$B2950&amp;" - "&amp;$C2950)</f>
        <v/>
      </c>
      <c r="S2950" t="str">
        <f t="shared" ref="S2950:S3013" si="464">IF($A2950="","",$R2950&amp;"|"&amp;$Q2950)</f>
        <v/>
      </c>
      <c r="T2950" t="str">
        <f t="shared" ref="T2950:T3013" si="465">IF($A2950="","",$S2950&amp;"|"&amp;$F2950)</f>
        <v/>
      </c>
      <c r="U2950" t="str">
        <f t="shared" ref="U2950:U3013" si="466">IF($A2950="","",$R2950&amp;"("&amp;$E2950&amp;")")</f>
        <v/>
      </c>
      <c r="V2950" t="str">
        <f t="shared" ref="V2950:V3013" si="467">IF($A2950="","",$F2950&amp;"|"&amp;$U2950&amp;"|"&amp;$D2950)</f>
        <v/>
      </c>
      <c r="W2950" t="str">
        <f t="shared" ref="W2950:W3013" si="468">IF($T2950="","",IF($X2950&gt;N($X2949),$X2950,""))</f>
        <v/>
      </c>
      <c r="X2950">
        <f>IF($T2950="",N($X2949),IF(MATCH($T2950,$T$6:$T$10005,0)=ROW()-5,N($X2949)+1,N($X2949)))</f>
        <v>0</v>
      </c>
      <c r="Z2950" t="str">
        <f t="shared" ref="Z2950:Z3013" si="469">IF($V2950="","",IF($AA2950&gt;N($AA2949),$AA2950,""))</f>
        <v/>
      </c>
      <c r="AA2950">
        <f>IF($V2950="",N($AA2949),IF(MATCH($V2950,$V$6:$V$10005,0)=ROW()-5,N($AA2949)+1,N($AA2949)))</f>
        <v>0</v>
      </c>
    </row>
    <row r="2951" spans="1:27" ht="21" customHeight="1" x14ac:dyDescent="0.95">
      <c r="A2951" s="56"/>
      <c r="B2951" s="57"/>
      <c r="C2951" s="57"/>
      <c r="D2951" s="57"/>
      <c r="E2951" s="56"/>
      <c r="F2951" s="57"/>
      <c r="G2951" s="57"/>
      <c r="H2951" s="56"/>
      <c r="I2951" s="56"/>
      <c r="J2951" s="58"/>
      <c r="K2951" s="58"/>
      <c r="L2951" s="13" t="str">
        <f t="shared" si="460"/>
        <v/>
      </c>
      <c r="M2951" s="13" t="str">
        <f t="shared" si="461"/>
        <v/>
      </c>
      <c r="Q2951" t="str">
        <f t="shared" si="462"/>
        <v/>
      </c>
      <c r="R2951" t="str">
        <f t="shared" si="463"/>
        <v/>
      </c>
      <c r="S2951" t="str">
        <f t="shared" si="464"/>
        <v/>
      </c>
      <c r="T2951" t="str">
        <f t="shared" si="465"/>
        <v/>
      </c>
      <c r="U2951" t="str">
        <f t="shared" si="466"/>
        <v/>
      </c>
      <c r="V2951" t="str">
        <f t="shared" si="467"/>
        <v/>
      </c>
      <c r="W2951" t="str">
        <f t="shared" si="468"/>
        <v/>
      </c>
      <c r="X2951">
        <f>IF($T2951="",N($X2950),IF(MATCH($T2951,$T$6:$T$10005,0)=ROW()-5,N($X2950)+1,N($X2950)))</f>
        <v>0</v>
      </c>
      <c r="Z2951" t="str">
        <f t="shared" si="469"/>
        <v/>
      </c>
      <c r="AA2951">
        <f>IF($V2951="",N($AA2950),IF(MATCH($V2951,$V$6:$V$10005,0)=ROW()-5,N($AA2950)+1,N($AA2950)))</f>
        <v>0</v>
      </c>
    </row>
    <row r="2952" spans="1:27" ht="21" customHeight="1" x14ac:dyDescent="0.95">
      <c r="A2952" s="56"/>
      <c r="B2952" s="57"/>
      <c r="C2952" s="57"/>
      <c r="D2952" s="57"/>
      <c r="E2952" s="56"/>
      <c r="F2952" s="57"/>
      <c r="G2952" s="57"/>
      <c r="H2952" s="56"/>
      <c r="I2952" s="56"/>
      <c r="J2952" s="58"/>
      <c r="K2952" s="58"/>
      <c r="L2952" s="13" t="str">
        <f t="shared" si="460"/>
        <v/>
      </c>
      <c r="M2952" s="13" t="str">
        <f t="shared" si="461"/>
        <v/>
      </c>
      <c r="Q2952" t="str">
        <f t="shared" si="462"/>
        <v/>
      </c>
      <c r="R2952" t="str">
        <f t="shared" si="463"/>
        <v/>
      </c>
      <c r="S2952" t="str">
        <f t="shared" si="464"/>
        <v/>
      </c>
      <c r="T2952" t="str">
        <f t="shared" si="465"/>
        <v/>
      </c>
      <c r="U2952" t="str">
        <f t="shared" si="466"/>
        <v/>
      </c>
      <c r="V2952" t="str">
        <f t="shared" si="467"/>
        <v/>
      </c>
      <c r="W2952" t="str">
        <f t="shared" si="468"/>
        <v/>
      </c>
      <c r="X2952">
        <f>IF($T2952="",N($X2951),IF(MATCH($T2952,$T$6:$T$10005,0)=ROW()-5,N($X2951)+1,N($X2951)))</f>
        <v>0</v>
      </c>
      <c r="Z2952" t="str">
        <f t="shared" si="469"/>
        <v/>
      </c>
      <c r="AA2952">
        <f>IF($V2952="",N($AA2951),IF(MATCH($V2952,$V$6:$V$10005,0)=ROW()-5,N($AA2951)+1,N($AA2951)))</f>
        <v>0</v>
      </c>
    </row>
    <row r="2953" spans="1:27" ht="21" customHeight="1" x14ac:dyDescent="0.95">
      <c r="A2953" s="56"/>
      <c r="B2953" s="57"/>
      <c r="C2953" s="57"/>
      <c r="D2953" s="57"/>
      <c r="E2953" s="56"/>
      <c r="F2953" s="57"/>
      <c r="G2953" s="57"/>
      <c r="H2953" s="56"/>
      <c r="I2953" s="56"/>
      <c r="J2953" s="58"/>
      <c r="K2953" s="58"/>
      <c r="L2953" s="13" t="str">
        <f t="shared" si="460"/>
        <v/>
      </c>
      <c r="M2953" s="13" t="str">
        <f t="shared" si="461"/>
        <v/>
      </c>
      <c r="Q2953" t="str">
        <f t="shared" si="462"/>
        <v/>
      </c>
      <c r="R2953" t="str">
        <f t="shared" si="463"/>
        <v/>
      </c>
      <c r="S2953" t="str">
        <f t="shared" si="464"/>
        <v/>
      </c>
      <c r="T2953" t="str">
        <f t="shared" si="465"/>
        <v/>
      </c>
      <c r="U2953" t="str">
        <f t="shared" si="466"/>
        <v/>
      </c>
      <c r="V2953" t="str">
        <f t="shared" si="467"/>
        <v/>
      </c>
      <c r="W2953" t="str">
        <f t="shared" si="468"/>
        <v/>
      </c>
      <c r="X2953">
        <f>IF($T2953="",N($X2952),IF(MATCH($T2953,$T$6:$T$10005,0)=ROW()-5,N($X2952)+1,N($X2952)))</f>
        <v>0</v>
      </c>
      <c r="Z2953" t="str">
        <f t="shared" si="469"/>
        <v/>
      </c>
      <c r="AA2953">
        <f>IF($V2953="",N($AA2952),IF(MATCH($V2953,$V$6:$V$10005,0)=ROW()-5,N($AA2952)+1,N($AA2952)))</f>
        <v>0</v>
      </c>
    </row>
    <row r="2954" spans="1:27" ht="21" customHeight="1" x14ac:dyDescent="0.95">
      <c r="A2954" s="56"/>
      <c r="B2954" s="57"/>
      <c r="C2954" s="57"/>
      <c r="D2954" s="57"/>
      <c r="E2954" s="56"/>
      <c r="F2954" s="57"/>
      <c r="G2954" s="57"/>
      <c r="H2954" s="56"/>
      <c r="I2954" s="56"/>
      <c r="J2954" s="58"/>
      <c r="K2954" s="58"/>
      <c r="L2954" s="13" t="str">
        <f t="shared" si="460"/>
        <v/>
      </c>
      <c r="M2954" s="13" t="str">
        <f t="shared" si="461"/>
        <v/>
      </c>
      <c r="Q2954" t="str">
        <f t="shared" si="462"/>
        <v/>
      </c>
      <c r="R2954" t="str">
        <f t="shared" si="463"/>
        <v/>
      </c>
      <c r="S2954" t="str">
        <f t="shared" si="464"/>
        <v/>
      </c>
      <c r="T2954" t="str">
        <f t="shared" si="465"/>
        <v/>
      </c>
      <c r="U2954" t="str">
        <f t="shared" si="466"/>
        <v/>
      </c>
      <c r="V2954" t="str">
        <f t="shared" si="467"/>
        <v/>
      </c>
      <c r="W2954" t="str">
        <f t="shared" si="468"/>
        <v/>
      </c>
      <c r="X2954">
        <f>IF($T2954="",N($X2953),IF(MATCH($T2954,$T$6:$T$10005,0)=ROW()-5,N($X2953)+1,N($X2953)))</f>
        <v>0</v>
      </c>
      <c r="Z2954" t="str">
        <f t="shared" si="469"/>
        <v/>
      </c>
      <c r="AA2954">
        <f>IF($V2954="",N($AA2953),IF(MATCH($V2954,$V$6:$V$10005,0)=ROW()-5,N($AA2953)+1,N($AA2953)))</f>
        <v>0</v>
      </c>
    </row>
    <row r="2955" spans="1:27" ht="21" customHeight="1" x14ac:dyDescent="0.95">
      <c r="A2955" s="56"/>
      <c r="B2955" s="57"/>
      <c r="C2955" s="57"/>
      <c r="D2955" s="57"/>
      <c r="E2955" s="56"/>
      <c r="F2955" s="57"/>
      <c r="G2955" s="57"/>
      <c r="H2955" s="56"/>
      <c r="I2955" s="56"/>
      <c r="J2955" s="58"/>
      <c r="K2955" s="58"/>
      <c r="L2955" s="13" t="str">
        <f t="shared" si="460"/>
        <v/>
      </c>
      <c r="M2955" s="13" t="str">
        <f t="shared" si="461"/>
        <v/>
      </c>
      <c r="Q2955" t="str">
        <f t="shared" si="462"/>
        <v/>
      </c>
      <c r="R2955" t="str">
        <f t="shared" si="463"/>
        <v/>
      </c>
      <c r="S2955" t="str">
        <f t="shared" si="464"/>
        <v/>
      </c>
      <c r="T2955" t="str">
        <f t="shared" si="465"/>
        <v/>
      </c>
      <c r="U2955" t="str">
        <f t="shared" si="466"/>
        <v/>
      </c>
      <c r="V2955" t="str">
        <f t="shared" si="467"/>
        <v/>
      </c>
      <c r="W2955" t="str">
        <f t="shared" si="468"/>
        <v/>
      </c>
      <c r="X2955">
        <f>IF($T2955="",N($X2954),IF(MATCH($T2955,$T$6:$T$10005,0)=ROW()-5,N($X2954)+1,N($X2954)))</f>
        <v>0</v>
      </c>
      <c r="Z2955" t="str">
        <f t="shared" si="469"/>
        <v/>
      </c>
      <c r="AA2955">
        <f>IF($V2955="",N($AA2954),IF(MATCH($V2955,$V$6:$V$10005,0)=ROW()-5,N($AA2954)+1,N($AA2954)))</f>
        <v>0</v>
      </c>
    </row>
    <row r="2956" spans="1:27" ht="21" customHeight="1" x14ac:dyDescent="0.95">
      <c r="A2956" s="56"/>
      <c r="B2956" s="57"/>
      <c r="C2956" s="57"/>
      <c r="D2956" s="57"/>
      <c r="E2956" s="56"/>
      <c r="F2956" s="57"/>
      <c r="G2956" s="57"/>
      <c r="H2956" s="56"/>
      <c r="I2956" s="56"/>
      <c r="J2956" s="58"/>
      <c r="K2956" s="58"/>
      <c r="L2956" s="13" t="str">
        <f t="shared" si="460"/>
        <v/>
      </c>
      <c r="M2956" s="13" t="str">
        <f t="shared" si="461"/>
        <v/>
      </c>
      <c r="Q2956" t="str">
        <f t="shared" si="462"/>
        <v/>
      </c>
      <c r="R2956" t="str">
        <f t="shared" si="463"/>
        <v/>
      </c>
      <c r="S2956" t="str">
        <f t="shared" si="464"/>
        <v/>
      </c>
      <c r="T2956" t="str">
        <f t="shared" si="465"/>
        <v/>
      </c>
      <c r="U2956" t="str">
        <f t="shared" si="466"/>
        <v/>
      </c>
      <c r="V2956" t="str">
        <f t="shared" si="467"/>
        <v/>
      </c>
      <c r="W2956" t="str">
        <f t="shared" si="468"/>
        <v/>
      </c>
      <c r="X2956">
        <f>IF($T2956="",N($X2955),IF(MATCH($T2956,$T$6:$T$10005,0)=ROW()-5,N($X2955)+1,N($X2955)))</f>
        <v>0</v>
      </c>
      <c r="Z2956" t="str">
        <f t="shared" si="469"/>
        <v/>
      </c>
      <c r="AA2956">
        <f>IF($V2956="",N($AA2955),IF(MATCH($V2956,$V$6:$V$10005,0)=ROW()-5,N($AA2955)+1,N($AA2955)))</f>
        <v>0</v>
      </c>
    </row>
    <row r="2957" spans="1:27" ht="21" customHeight="1" x14ac:dyDescent="0.95">
      <c r="A2957" s="56"/>
      <c r="B2957" s="57"/>
      <c r="C2957" s="57"/>
      <c r="D2957" s="57"/>
      <c r="E2957" s="56"/>
      <c r="F2957" s="57"/>
      <c r="G2957" s="57"/>
      <c r="H2957" s="56"/>
      <c r="I2957" s="56"/>
      <c r="J2957" s="58"/>
      <c r="K2957" s="58"/>
      <c r="L2957" s="13" t="str">
        <f t="shared" si="460"/>
        <v/>
      </c>
      <c r="M2957" s="13" t="str">
        <f t="shared" si="461"/>
        <v/>
      </c>
      <c r="Q2957" t="str">
        <f t="shared" si="462"/>
        <v/>
      </c>
      <c r="R2957" t="str">
        <f t="shared" si="463"/>
        <v/>
      </c>
      <c r="S2957" t="str">
        <f t="shared" si="464"/>
        <v/>
      </c>
      <c r="T2957" t="str">
        <f t="shared" si="465"/>
        <v/>
      </c>
      <c r="U2957" t="str">
        <f t="shared" si="466"/>
        <v/>
      </c>
      <c r="V2957" t="str">
        <f t="shared" si="467"/>
        <v/>
      </c>
      <c r="W2957" t="str">
        <f t="shared" si="468"/>
        <v/>
      </c>
      <c r="X2957">
        <f>IF($T2957="",N($X2956),IF(MATCH($T2957,$T$6:$T$10005,0)=ROW()-5,N($X2956)+1,N($X2956)))</f>
        <v>0</v>
      </c>
      <c r="Z2957" t="str">
        <f t="shared" si="469"/>
        <v/>
      </c>
      <c r="AA2957">
        <f>IF($V2957="",N($AA2956),IF(MATCH($V2957,$V$6:$V$10005,0)=ROW()-5,N($AA2956)+1,N($AA2956)))</f>
        <v>0</v>
      </c>
    </row>
    <row r="2958" spans="1:27" ht="21" customHeight="1" x14ac:dyDescent="0.95">
      <c r="A2958" s="56"/>
      <c r="B2958" s="57"/>
      <c r="C2958" s="57"/>
      <c r="D2958" s="57"/>
      <c r="E2958" s="56"/>
      <c r="F2958" s="57"/>
      <c r="G2958" s="57"/>
      <c r="H2958" s="56"/>
      <c r="I2958" s="56"/>
      <c r="J2958" s="58"/>
      <c r="K2958" s="58"/>
      <c r="L2958" s="13" t="str">
        <f t="shared" si="460"/>
        <v/>
      </c>
      <c r="M2958" s="13" t="str">
        <f t="shared" si="461"/>
        <v/>
      </c>
      <c r="Q2958" t="str">
        <f t="shared" si="462"/>
        <v/>
      </c>
      <c r="R2958" t="str">
        <f t="shared" si="463"/>
        <v/>
      </c>
      <c r="S2958" t="str">
        <f t="shared" si="464"/>
        <v/>
      </c>
      <c r="T2958" t="str">
        <f t="shared" si="465"/>
        <v/>
      </c>
      <c r="U2958" t="str">
        <f t="shared" si="466"/>
        <v/>
      </c>
      <c r="V2958" t="str">
        <f t="shared" si="467"/>
        <v/>
      </c>
      <c r="W2958" t="str">
        <f t="shared" si="468"/>
        <v/>
      </c>
      <c r="X2958">
        <f>IF($T2958="",N($X2957),IF(MATCH($T2958,$T$6:$T$10005,0)=ROW()-5,N($X2957)+1,N($X2957)))</f>
        <v>0</v>
      </c>
      <c r="Z2958" t="str">
        <f t="shared" si="469"/>
        <v/>
      </c>
      <c r="AA2958">
        <f>IF($V2958="",N($AA2957),IF(MATCH($V2958,$V$6:$V$10005,0)=ROW()-5,N($AA2957)+1,N($AA2957)))</f>
        <v>0</v>
      </c>
    </row>
    <row r="2959" spans="1:27" ht="21" customHeight="1" x14ac:dyDescent="0.95">
      <c r="A2959" s="56"/>
      <c r="B2959" s="57"/>
      <c r="C2959" s="57"/>
      <c r="D2959" s="57"/>
      <c r="E2959" s="56"/>
      <c r="F2959" s="57"/>
      <c r="G2959" s="57"/>
      <c r="H2959" s="56"/>
      <c r="I2959" s="56"/>
      <c r="J2959" s="58"/>
      <c r="K2959" s="58"/>
      <c r="L2959" s="13" t="str">
        <f t="shared" si="460"/>
        <v/>
      </c>
      <c r="M2959" s="13" t="str">
        <f t="shared" si="461"/>
        <v/>
      </c>
      <c r="Q2959" t="str">
        <f t="shared" si="462"/>
        <v/>
      </c>
      <c r="R2959" t="str">
        <f t="shared" si="463"/>
        <v/>
      </c>
      <c r="S2959" t="str">
        <f t="shared" si="464"/>
        <v/>
      </c>
      <c r="T2959" t="str">
        <f t="shared" si="465"/>
        <v/>
      </c>
      <c r="U2959" t="str">
        <f t="shared" si="466"/>
        <v/>
      </c>
      <c r="V2959" t="str">
        <f t="shared" si="467"/>
        <v/>
      </c>
      <c r="W2959" t="str">
        <f t="shared" si="468"/>
        <v/>
      </c>
      <c r="X2959">
        <f>IF($T2959="",N($X2958),IF(MATCH($T2959,$T$6:$T$10005,0)=ROW()-5,N($X2958)+1,N($X2958)))</f>
        <v>0</v>
      </c>
      <c r="Z2959" t="str">
        <f t="shared" si="469"/>
        <v/>
      </c>
      <c r="AA2959">
        <f>IF($V2959="",N($AA2958),IF(MATCH($V2959,$V$6:$V$10005,0)=ROW()-5,N($AA2958)+1,N($AA2958)))</f>
        <v>0</v>
      </c>
    </row>
    <row r="2960" spans="1:27" ht="21" customHeight="1" x14ac:dyDescent="0.95">
      <c r="A2960" s="56"/>
      <c r="B2960" s="57"/>
      <c r="C2960" s="57"/>
      <c r="D2960" s="57"/>
      <c r="E2960" s="56"/>
      <c r="F2960" s="57"/>
      <c r="G2960" s="57"/>
      <c r="H2960" s="56"/>
      <c r="I2960" s="56"/>
      <c r="J2960" s="58"/>
      <c r="K2960" s="58"/>
      <c r="L2960" s="13" t="str">
        <f t="shared" si="460"/>
        <v/>
      </c>
      <c r="M2960" s="13" t="str">
        <f t="shared" si="461"/>
        <v/>
      </c>
      <c r="Q2960" t="str">
        <f t="shared" si="462"/>
        <v/>
      </c>
      <c r="R2960" t="str">
        <f t="shared" si="463"/>
        <v/>
      </c>
      <c r="S2960" t="str">
        <f t="shared" si="464"/>
        <v/>
      </c>
      <c r="T2960" t="str">
        <f t="shared" si="465"/>
        <v/>
      </c>
      <c r="U2960" t="str">
        <f t="shared" si="466"/>
        <v/>
      </c>
      <c r="V2960" t="str">
        <f t="shared" si="467"/>
        <v/>
      </c>
      <c r="W2960" t="str">
        <f t="shared" si="468"/>
        <v/>
      </c>
      <c r="X2960">
        <f>IF($T2960="",N($X2959),IF(MATCH($T2960,$T$6:$T$10005,0)=ROW()-5,N($X2959)+1,N($X2959)))</f>
        <v>0</v>
      </c>
      <c r="Z2960" t="str">
        <f t="shared" si="469"/>
        <v/>
      </c>
      <c r="AA2960">
        <f>IF($V2960="",N($AA2959),IF(MATCH($V2960,$V$6:$V$10005,0)=ROW()-5,N($AA2959)+1,N($AA2959)))</f>
        <v>0</v>
      </c>
    </row>
    <row r="2961" spans="1:27" ht="21" customHeight="1" x14ac:dyDescent="0.95">
      <c r="A2961" s="56"/>
      <c r="B2961" s="57"/>
      <c r="C2961" s="57"/>
      <c r="D2961" s="57"/>
      <c r="E2961" s="56"/>
      <c r="F2961" s="57"/>
      <c r="G2961" s="57"/>
      <c r="H2961" s="56"/>
      <c r="I2961" s="56"/>
      <c r="J2961" s="58"/>
      <c r="K2961" s="58"/>
      <c r="L2961" s="13" t="str">
        <f t="shared" si="460"/>
        <v/>
      </c>
      <c r="M2961" s="13" t="str">
        <f t="shared" si="461"/>
        <v/>
      </c>
      <c r="Q2961" t="str">
        <f t="shared" si="462"/>
        <v/>
      </c>
      <c r="R2961" t="str">
        <f t="shared" si="463"/>
        <v/>
      </c>
      <c r="S2961" t="str">
        <f t="shared" si="464"/>
        <v/>
      </c>
      <c r="T2961" t="str">
        <f t="shared" si="465"/>
        <v/>
      </c>
      <c r="U2961" t="str">
        <f t="shared" si="466"/>
        <v/>
      </c>
      <c r="V2961" t="str">
        <f t="shared" si="467"/>
        <v/>
      </c>
      <c r="W2961" t="str">
        <f t="shared" si="468"/>
        <v/>
      </c>
      <c r="X2961">
        <f>IF($T2961="",N($X2960),IF(MATCH($T2961,$T$6:$T$10005,0)=ROW()-5,N($X2960)+1,N($X2960)))</f>
        <v>0</v>
      </c>
      <c r="Z2961" t="str">
        <f t="shared" si="469"/>
        <v/>
      </c>
      <c r="AA2961">
        <f>IF($V2961="",N($AA2960),IF(MATCH($V2961,$V$6:$V$10005,0)=ROW()-5,N($AA2960)+1,N($AA2960)))</f>
        <v>0</v>
      </c>
    </row>
    <row r="2962" spans="1:27" ht="21" customHeight="1" x14ac:dyDescent="0.95">
      <c r="A2962" s="56"/>
      <c r="B2962" s="57"/>
      <c r="C2962" s="57"/>
      <c r="D2962" s="57"/>
      <c r="E2962" s="56"/>
      <c r="F2962" s="57"/>
      <c r="G2962" s="57"/>
      <c r="H2962" s="56"/>
      <c r="I2962" s="56"/>
      <c r="J2962" s="58"/>
      <c r="K2962" s="58"/>
      <c r="L2962" s="13" t="str">
        <f t="shared" si="460"/>
        <v/>
      </c>
      <c r="M2962" s="13" t="str">
        <f t="shared" si="461"/>
        <v/>
      </c>
      <c r="Q2962" t="str">
        <f t="shared" si="462"/>
        <v/>
      </c>
      <c r="R2962" t="str">
        <f t="shared" si="463"/>
        <v/>
      </c>
      <c r="S2962" t="str">
        <f t="shared" si="464"/>
        <v/>
      </c>
      <c r="T2962" t="str">
        <f t="shared" si="465"/>
        <v/>
      </c>
      <c r="U2962" t="str">
        <f t="shared" si="466"/>
        <v/>
      </c>
      <c r="V2962" t="str">
        <f t="shared" si="467"/>
        <v/>
      </c>
      <c r="W2962" t="str">
        <f t="shared" si="468"/>
        <v/>
      </c>
      <c r="X2962">
        <f>IF($T2962="",N($X2961),IF(MATCH($T2962,$T$6:$T$10005,0)=ROW()-5,N($X2961)+1,N($X2961)))</f>
        <v>0</v>
      </c>
      <c r="Z2962" t="str">
        <f t="shared" si="469"/>
        <v/>
      </c>
      <c r="AA2962">
        <f>IF($V2962="",N($AA2961),IF(MATCH($V2962,$V$6:$V$10005,0)=ROW()-5,N($AA2961)+1,N($AA2961)))</f>
        <v>0</v>
      </c>
    </row>
    <row r="2963" spans="1:27" ht="21" customHeight="1" x14ac:dyDescent="0.95">
      <c r="A2963" s="56"/>
      <c r="B2963" s="57"/>
      <c r="C2963" s="57"/>
      <c r="D2963" s="57"/>
      <c r="E2963" s="56"/>
      <c r="F2963" s="57"/>
      <c r="G2963" s="57"/>
      <c r="H2963" s="56"/>
      <c r="I2963" s="56"/>
      <c r="J2963" s="58"/>
      <c r="K2963" s="58"/>
      <c r="L2963" s="13" t="str">
        <f t="shared" si="460"/>
        <v/>
      </c>
      <c r="M2963" s="13" t="str">
        <f t="shared" si="461"/>
        <v/>
      </c>
      <c r="Q2963" t="str">
        <f t="shared" si="462"/>
        <v/>
      </c>
      <c r="R2963" t="str">
        <f t="shared" si="463"/>
        <v/>
      </c>
      <c r="S2963" t="str">
        <f t="shared" si="464"/>
        <v/>
      </c>
      <c r="T2963" t="str">
        <f t="shared" si="465"/>
        <v/>
      </c>
      <c r="U2963" t="str">
        <f t="shared" si="466"/>
        <v/>
      </c>
      <c r="V2963" t="str">
        <f t="shared" si="467"/>
        <v/>
      </c>
      <c r="W2963" t="str">
        <f t="shared" si="468"/>
        <v/>
      </c>
      <c r="X2963">
        <f>IF($T2963="",N($X2962),IF(MATCH($T2963,$T$6:$T$10005,0)=ROW()-5,N($X2962)+1,N($X2962)))</f>
        <v>0</v>
      </c>
      <c r="Z2963" t="str">
        <f t="shared" si="469"/>
        <v/>
      </c>
      <c r="AA2963">
        <f>IF($V2963="",N($AA2962),IF(MATCH($V2963,$V$6:$V$10005,0)=ROW()-5,N($AA2962)+1,N($AA2962)))</f>
        <v>0</v>
      </c>
    </row>
    <row r="2964" spans="1:27" ht="21" customHeight="1" x14ac:dyDescent="0.95">
      <c r="A2964" s="56"/>
      <c r="B2964" s="57"/>
      <c r="C2964" s="57"/>
      <c r="D2964" s="57"/>
      <c r="E2964" s="56"/>
      <c r="F2964" s="57"/>
      <c r="G2964" s="57"/>
      <c r="H2964" s="56"/>
      <c r="I2964" s="56"/>
      <c r="J2964" s="58"/>
      <c r="K2964" s="58"/>
      <c r="L2964" s="13" t="str">
        <f t="shared" si="460"/>
        <v/>
      </c>
      <c r="M2964" s="13" t="str">
        <f t="shared" si="461"/>
        <v/>
      </c>
      <c r="Q2964" t="str">
        <f t="shared" si="462"/>
        <v/>
      </c>
      <c r="R2964" t="str">
        <f t="shared" si="463"/>
        <v/>
      </c>
      <c r="S2964" t="str">
        <f t="shared" si="464"/>
        <v/>
      </c>
      <c r="T2964" t="str">
        <f t="shared" si="465"/>
        <v/>
      </c>
      <c r="U2964" t="str">
        <f t="shared" si="466"/>
        <v/>
      </c>
      <c r="V2964" t="str">
        <f t="shared" si="467"/>
        <v/>
      </c>
      <c r="W2964" t="str">
        <f t="shared" si="468"/>
        <v/>
      </c>
      <c r="X2964">
        <f>IF($T2964="",N($X2963),IF(MATCH($T2964,$T$6:$T$10005,0)=ROW()-5,N($X2963)+1,N($X2963)))</f>
        <v>0</v>
      </c>
      <c r="Z2964" t="str">
        <f t="shared" si="469"/>
        <v/>
      </c>
      <c r="AA2964">
        <f>IF($V2964="",N($AA2963),IF(MATCH($V2964,$V$6:$V$10005,0)=ROW()-5,N($AA2963)+1,N($AA2963)))</f>
        <v>0</v>
      </c>
    </row>
    <row r="2965" spans="1:27" ht="21" customHeight="1" x14ac:dyDescent="0.95">
      <c r="A2965" s="56"/>
      <c r="B2965" s="57"/>
      <c r="C2965" s="57"/>
      <c r="D2965" s="57"/>
      <c r="E2965" s="56"/>
      <c r="F2965" s="57"/>
      <c r="G2965" s="57"/>
      <c r="H2965" s="56"/>
      <c r="I2965" s="56"/>
      <c r="J2965" s="58"/>
      <c r="K2965" s="58"/>
      <c r="L2965" s="13" t="str">
        <f t="shared" si="460"/>
        <v/>
      </c>
      <c r="M2965" s="13" t="str">
        <f t="shared" si="461"/>
        <v/>
      </c>
      <c r="Q2965" t="str">
        <f t="shared" si="462"/>
        <v/>
      </c>
      <c r="R2965" t="str">
        <f t="shared" si="463"/>
        <v/>
      </c>
      <c r="S2965" t="str">
        <f t="shared" si="464"/>
        <v/>
      </c>
      <c r="T2965" t="str">
        <f t="shared" si="465"/>
        <v/>
      </c>
      <c r="U2965" t="str">
        <f t="shared" si="466"/>
        <v/>
      </c>
      <c r="V2965" t="str">
        <f t="shared" si="467"/>
        <v/>
      </c>
      <c r="W2965" t="str">
        <f t="shared" si="468"/>
        <v/>
      </c>
      <c r="X2965">
        <f>IF($T2965="",N($X2964),IF(MATCH($T2965,$T$6:$T$10005,0)=ROW()-5,N($X2964)+1,N($X2964)))</f>
        <v>0</v>
      </c>
      <c r="Z2965" t="str">
        <f t="shared" si="469"/>
        <v/>
      </c>
      <c r="AA2965">
        <f>IF($V2965="",N($AA2964),IF(MATCH($V2965,$V$6:$V$10005,0)=ROW()-5,N($AA2964)+1,N($AA2964)))</f>
        <v>0</v>
      </c>
    </row>
    <row r="2966" spans="1:27" ht="21" customHeight="1" x14ac:dyDescent="0.95">
      <c r="A2966" s="56"/>
      <c r="B2966" s="57"/>
      <c r="C2966" s="57"/>
      <c r="D2966" s="57"/>
      <c r="E2966" s="56"/>
      <c r="F2966" s="57"/>
      <c r="G2966" s="57"/>
      <c r="H2966" s="56"/>
      <c r="I2966" s="56"/>
      <c r="J2966" s="58"/>
      <c r="K2966" s="58"/>
      <c r="L2966" s="13" t="str">
        <f t="shared" si="460"/>
        <v/>
      </c>
      <c r="M2966" s="13" t="str">
        <f t="shared" si="461"/>
        <v/>
      </c>
      <c r="Q2966" t="str">
        <f t="shared" si="462"/>
        <v/>
      </c>
      <c r="R2966" t="str">
        <f t="shared" si="463"/>
        <v/>
      </c>
      <c r="S2966" t="str">
        <f t="shared" si="464"/>
        <v/>
      </c>
      <c r="T2966" t="str">
        <f t="shared" si="465"/>
        <v/>
      </c>
      <c r="U2966" t="str">
        <f t="shared" si="466"/>
        <v/>
      </c>
      <c r="V2966" t="str">
        <f t="shared" si="467"/>
        <v/>
      </c>
      <c r="W2966" t="str">
        <f t="shared" si="468"/>
        <v/>
      </c>
      <c r="X2966">
        <f>IF($T2966="",N($X2965),IF(MATCH($T2966,$T$6:$T$10005,0)=ROW()-5,N($X2965)+1,N($X2965)))</f>
        <v>0</v>
      </c>
      <c r="Z2966" t="str">
        <f t="shared" si="469"/>
        <v/>
      </c>
      <c r="AA2966">
        <f>IF($V2966="",N($AA2965),IF(MATCH($V2966,$V$6:$V$10005,0)=ROW()-5,N($AA2965)+1,N($AA2965)))</f>
        <v>0</v>
      </c>
    </row>
    <row r="2967" spans="1:27" ht="21" customHeight="1" x14ac:dyDescent="0.95">
      <c r="A2967" s="56"/>
      <c r="B2967" s="57"/>
      <c r="C2967" s="57"/>
      <c r="D2967" s="57"/>
      <c r="E2967" s="56"/>
      <c r="F2967" s="57"/>
      <c r="G2967" s="57"/>
      <c r="H2967" s="56"/>
      <c r="I2967" s="56"/>
      <c r="J2967" s="58"/>
      <c r="K2967" s="58"/>
      <c r="L2967" s="13" t="str">
        <f t="shared" si="460"/>
        <v/>
      </c>
      <c r="M2967" s="13" t="str">
        <f t="shared" si="461"/>
        <v/>
      </c>
      <c r="Q2967" t="str">
        <f t="shared" si="462"/>
        <v/>
      </c>
      <c r="R2967" t="str">
        <f t="shared" si="463"/>
        <v/>
      </c>
      <c r="S2967" t="str">
        <f t="shared" si="464"/>
        <v/>
      </c>
      <c r="T2967" t="str">
        <f t="shared" si="465"/>
        <v/>
      </c>
      <c r="U2967" t="str">
        <f t="shared" si="466"/>
        <v/>
      </c>
      <c r="V2967" t="str">
        <f t="shared" si="467"/>
        <v/>
      </c>
      <c r="W2967" t="str">
        <f t="shared" si="468"/>
        <v/>
      </c>
      <c r="X2967">
        <f>IF($T2967="",N($X2966),IF(MATCH($T2967,$T$6:$T$10005,0)=ROW()-5,N($X2966)+1,N($X2966)))</f>
        <v>0</v>
      </c>
      <c r="Z2967" t="str">
        <f t="shared" si="469"/>
        <v/>
      </c>
      <c r="AA2967">
        <f>IF($V2967="",N($AA2966),IF(MATCH($V2967,$V$6:$V$10005,0)=ROW()-5,N($AA2966)+1,N($AA2966)))</f>
        <v>0</v>
      </c>
    </row>
    <row r="2968" spans="1:27" ht="21" customHeight="1" x14ac:dyDescent="0.95">
      <c r="A2968" s="56"/>
      <c r="B2968" s="57"/>
      <c r="C2968" s="57"/>
      <c r="D2968" s="57"/>
      <c r="E2968" s="56"/>
      <c r="F2968" s="57"/>
      <c r="G2968" s="57"/>
      <c r="H2968" s="56"/>
      <c r="I2968" s="56"/>
      <c r="J2968" s="58"/>
      <c r="K2968" s="58"/>
      <c r="L2968" s="13" t="str">
        <f t="shared" si="460"/>
        <v/>
      </c>
      <c r="M2968" s="13" t="str">
        <f t="shared" si="461"/>
        <v/>
      </c>
      <c r="Q2968" t="str">
        <f t="shared" si="462"/>
        <v/>
      </c>
      <c r="R2968" t="str">
        <f t="shared" si="463"/>
        <v/>
      </c>
      <c r="S2968" t="str">
        <f t="shared" si="464"/>
        <v/>
      </c>
      <c r="T2968" t="str">
        <f t="shared" si="465"/>
        <v/>
      </c>
      <c r="U2968" t="str">
        <f t="shared" si="466"/>
        <v/>
      </c>
      <c r="V2968" t="str">
        <f t="shared" si="467"/>
        <v/>
      </c>
      <c r="W2968" t="str">
        <f t="shared" si="468"/>
        <v/>
      </c>
      <c r="X2968">
        <f>IF($T2968="",N($X2967),IF(MATCH($T2968,$T$6:$T$10005,0)=ROW()-5,N($X2967)+1,N($X2967)))</f>
        <v>0</v>
      </c>
      <c r="Z2968" t="str">
        <f t="shared" si="469"/>
        <v/>
      </c>
      <c r="AA2968">
        <f>IF($V2968="",N($AA2967),IF(MATCH($V2968,$V$6:$V$10005,0)=ROW()-5,N($AA2967)+1,N($AA2967)))</f>
        <v>0</v>
      </c>
    </row>
    <row r="2969" spans="1:27" ht="21" customHeight="1" x14ac:dyDescent="0.95">
      <c r="A2969" s="56"/>
      <c r="B2969" s="57"/>
      <c r="C2969" s="57"/>
      <c r="D2969" s="57"/>
      <c r="E2969" s="56"/>
      <c r="F2969" s="57"/>
      <c r="G2969" s="57"/>
      <c r="H2969" s="56"/>
      <c r="I2969" s="56"/>
      <c r="J2969" s="58"/>
      <c r="K2969" s="58"/>
      <c r="L2969" s="13" t="str">
        <f t="shared" si="460"/>
        <v/>
      </c>
      <c r="M2969" s="13" t="str">
        <f t="shared" si="461"/>
        <v/>
      </c>
      <c r="Q2969" t="str">
        <f t="shared" si="462"/>
        <v/>
      </c>
      <c r="R2969" t="str">
        <f t="shared" si="463"/>
        <v/>
      </c>
      <c r="S2969" t="str">
        <f t="shared" si="464"/>
        <v/>
      </c>
      <c r="T2969" t="str">
        <f t="shared" si="465"/>
        <v/>
      </c>
      <c r="U2969" t="str">
        <f t="shared" si="466"/>
        <v/>
      </c>
      <c r="V2969" t="str">
        <f t="shared" si="467"/>
        <v/>
      </c>
      <c r="W2969" t="str">
        <f t="shared" si="468"/>
        <v/>
      </c>
      <c r="X2969">
        <f>IF($T2969="",N($X2968),IF(MATCH($T2969,$T$6:$T$10005,0)=ROW()-5,N($X2968)+1,N($X2968)))</f>
        <v>0</v>
      </c>
      <c r="Z2969" t="str">
        <f t="shared" si="469"/>
        <v/>
      </c>
      <c r="AA2969">
        <f>IF($V2969="",N($AA2968),IF(MATCH($V2969,$V$6:$V$10005,0)=ROW()-5,N($AA2968)+1,N($AA2968)))</f>
        <v>0</v>
      </c>
    </row>
    <row r="2970" spans="1:27" ht="21" customHeight="1" x14ac:dyDescent="0.95">
      <c r="A2970" s="56"/>
      <c r="B2970" s="57"/>
      <c r="C2970" s="57"/>
      <c r="D2970" s="57"/>
      <c r="E2970" s="56"/>
      <c r="F2970" s="57"/>
      <c r="G2970" s="57"/>
      <c r="H2970" s="56"/>
      <c r="I2970" s="56"/>
      <c r="J2970" s="58"/>
      <c r="K2970" s="58"/>
      <c r="L2970" s="13" t="str">
        <f t="shared" si="460"/>
        <v/>
      </c>
      <c r="M2970" s="13" t="str">
        <f t="shared" si="461"/>
        <v/>
      </c>
      <c r="Q2970" t="str">
        <f t="shared" si="462"/>
        <v/>
      </c>
      <c r="R2970" t="str">
        <f t="shared" si="463"/>
        <v/>
      </c>
      <c r="S2970" t="str">
        <f t="shared" si="464"/>
        <v/>
      </c>
      <c r="T2970" t="str">
        <f t="shared" si="465"/>
        <v/>
      </c>
      <c r="U2970" t="str">
        <f t="shared" si="466"/>
        <v/>
      </c>
      <c r="V2970" t="str">
        <f t="shared" si="467"/>
        <v/>
      </c>
      <c r="W2970" t="str">
        <f t="shared" si="468"/>
        <v/>
      </c>
      <c r="X2970">
        <f>IF($T2970="",N($X2969),IF(MATCH($T2970,$T$6:$T$10005,0)=ROW()-5,N($X2969)+1,N($X2969)))</f>
        <v>0</v>
      </c>
      <c r="Z2970" t="str">
        <f t="shared" si="469"/>
        <v/>
      </c>
      <c r="AA2970">
        <f>IF($V2970="",N($AA2969),IF(MATCH($V2970,$V$6:$V$10005,0)=ROW()-5,N($AA2969)+1,N($AA2969)))</f>
        <v>0</v>
      </c>
    </row>
    <row r="2971" spans="1:27" ht="21" customHeight="1" x14ac:dyDescent="0.95">
      <c r="A2971" s="56"/>
      <c r="B2971" s="57"/>
      <c r="C2971" s="57"/>
      <c r="D2971" s="57"/>
      <c r="E2971" s="56"/>
      <c r="F2971" s="57"/>
      <c r="G2971" s="57"/>
      <c r="H2971" s="56"/>
      <c r="I2971" s="56"/>
      <c r="J2971" s="58"/>
      <c r="K2971" s="58"/>
      <c r="L2971" s="13" t="str">
        <f t="shared" si="460"/>
        <v/>
      </c>
      <c r="M2971" s="13" t="str">
        <f t="shared" si="461"/>
        <v/>
      </c>
      <c r="Q2971" t="str">
        <f t="shared" si="462"/>
        <v/>
      </c>
      <c r="R2971" t="str">
        <f t="shared" si="463"/>
        <v/>
      </c>
      <c r="S2971" t="str">
        <f t="shared" si="464"/>
        <v/>
      </c>
      <c r="T2971" t="str">
        <f t="shared" si="465"/>
        <v/>
      </c>
      <c r="U2971" t="str">
        <f t="shared" si="466"/>
        <v/>
      </c>
      <c r="V2971" t="str">
        <f t="shared" si="467"/>
        <v/>
      </c>
      <c r="W2971" t="str">
        <f t="shared" si="468"/>
        <v/>
      </c>
      <c r="X2971">
        <f>IF($T2971="",N($X2970),IF(MATCH($T2971,$T$6:$T$10005,0)=ROW()-5,N($X2970)+1,N($X2970)))</f>
        <v>0</v>
      </c>
      <c r="Z2971" t="str">
        <f t="shared" si="469"/>
        <v/>
      </c>
      <c r="AA2971">
        <f>IF($V2971="",N($AA2970),IF(MATCH($V2971,$V$6:$V$10005,0)=ROW()-5,N($AA2970)+1,N($AA2970)))</f>
        <v>0</v>
      </c>
    </row>
    <row r="2972" spans="1:27" ht="21" customHeight="1" x14ac:dyDescent="0.95">
      <c r="A2972" s="56"/>
      <c r="B2972" s="57"/>
      <c r="C2972" s="57"/>
      <c r="D2972" s="57"/>
      <c r="E2972" s="56"/>
      <c r="F2972" s="57"/>
      <c r="G2972" s="57"/>
      <c r="H2972" s="56"/>
      <c r="I2972" s="56"/>
      <c r="J2972" s="58"/>
      <c r="K2972" s="58"/>
      <c r="L2972" s="13" t="str">
        <f t="shared" si="460"/>
        <v/>
      </c>
      <c r="M2972" s="13" t="str">
        <f t="shared" si="461"/>
        <v/>
      </c>
      <c r="Q2972" t="str">
        <f t="shared" si="462"/>
        <v/>
      </c>
      <c r="R2972" t="str">
        <f t="shared" si="463"/>
        <v/>
      </c>
      <c r="S2972" t="str">
        <f t="shared" si="464"/>
        <v/>
      </c>
      <c r="T2972" t="str">
        <f t="shared" si="465"/>
        <v/>
      </c>
      <c r="U2972" t="str">
        <f t="shared" si="466"/>
        <v/>
      </c>
      <c r="V2972" t="str">
        <f t="shared" si="467"/>
        <v/>
      </c>
      <c r="W2972" t="str">
        <f t="shared" si="468"/>
        <v/>
      </c>
      <c r="X2972">
        <f>IF($T2972="",N($X2971),IF(MATCH($T2972,$T$6:$T$10005,0)=ROW()-5,N($X2971)+1,N($X2971)))</f>
        <v>0</v>
      </c>
      <c r="Z2972" t="str">
        <f t="shared" si="469"/>
        <v/>
      </c>
      <c r="AA2972">
        <f>IF($V2972="",N($AA2971),IF(MATCH($V2972,$V$6:$V$10005,0)=ROW()-5,N($AA2971)+1,N($AA2971)))</f>
        <v>0</v>
      </c>
    </row>
    <row r="2973" spans="1:27" ht="21" customHeight="1" x14ac:dyDescent="0.95">
      <c r="A2973" s="56"/>
      <c r="B2973" s="57"/>
      <c r="C2973" s="57"/>
      <c r="D2973" s="57"/>
      <c r="E2973" s="56"/>
      <c r="F2973" s="57"/>
      <c r="G2973" s="57"/>
      <c r="H2973" s="56"/>
      <c r="I2973" s="56"/>
      <c r="J2973" s="58"/>
      <c r="K2973" s="58"/>
      <c r="L2973" s="13" t="str">
        <f t="shared" si="460"/>
        <v/>
      </c>
      <c r="M2973" s="13" t="str">
        <f t="shared" si="461"/>
        <v/>
      </c>
      <c r="Q2973" t="str">
        <f t="shared" si="462"/>
        <v/>
      </c>
      <c r="R2973" t="str">
        <f t="shared" si="463"/>
        <v/>
      </c>
      <c r="S2973" t="str">
        <f t="shared" si="464"/>
        <v/>
      </c>
      <c r="T2973" t="str">
        <f t="shared" si="465"/>
        <v/>
      </c>
      <c r="U2973" t="str">
        <f t="shared" si="466"/>
        <v/>
      </c>
      <c r="V2973" t="str">
        <f t="shared" si="467"/>
        <v/>
      </c>
      <c r="W2973" t="str">
        <f t="shared" si="468"/>
        <v/>
      </c>
      <c r="X2973">
        <f>IF($T2973="",N($X2972),IF(MATCH($T2973,$T$6:$T$10005,0)=ROW()-5,N($X2972)+1,N($X2972)))</f>
        <v>0</v>
      </c>
      <c r="Z2973" t="str">
        <f t="shared" si="469"/>
        <v/>
      </c>
      <c r="AA2973">
        <f>IF($V2973="",N($AA2972),IF(MATCH($V2973,$V$6:$V$10005,0)=ROW()-5,N($AA2972)+1,N($AA2972)))</f>
        <v>0</v>
      </c>
    </row>
    <row r="2974" spans="1:27" ht="21" customHeight="1" x14ac:dyDescent="0.95">
      <c r="A2974" s="56"/>
      <c r="B2974" s="57"/>
      <c r="C2974" s="57"/>
      <c r="D2974" s="57"/>
      <c r="E2974" s="56"/>
      <c r="F2974" s="57"/>
      <c r="G2974" s="57"/>
      <c r="H2974" s="56"/>
      <c r="I2974" s="56"/>
      <c r="J2974" s="58"/>
      <c r="K2974" s="58"/>
      <c r="L2974" s="13" t="str">
        <f t="shared" si="460"/>
        <v/>
      </c>
      <c r="M2974" s="13" t="str">
        <f t="shared" si="461"/>
        <v/>
      </c>
      <c r="Q2974" t="str">
        <f t="shared" si="462"/>
        <v/>
      </c>
      <c r="R2974" t="str">
        <f t="shared" si="463"/>
        <v/>
      </c>
      <c r="S2974" t="str">
        <f t="shared" si="464"/>
        <v/>
      </c>
      <c r="T2974" t="str">
        <f t="shared" si="465"/>
        <v/>
      </c>
      <c r="U2974" t="str">
        <f t="shared" si="466"/>
        <v/>
      </c>
      <c r="V2974" t="str">
        <f t="shared" si="467"/>
        <v/>
      </c>
      <c r="W2974" t="str">
        <f t="shared" si="468"/>
        <v/>
      </c>
      <c r="X2974">
        <f>IF($T2974="",N($X2973),IF(MATCH($T2974,$T$6:$T$10005,0)=ROW()-5,N($X2973)+1,N($X2973)))</f>
        <v>0</v>
      </c>
      <c r="Z2974" t="str">
        <f t="shared" si="469"/>
        <v/>
      </c>
      <c r="AA2974">
        <f>IF($V2974="",N($AA2973),IF(MATCH($V2974,$V$6:$V$10005,0)=ROW()-5,N($AA2973)+1,N($AA2973)))</f>
        <v>0</v>
      </c>
    </row>
    <row r="2975" spans="1:27" ht="21" customHeight="1" x14ac:dyDescent="0.95">
      <c r="A2975" s="56"/>
      <c r="B2975" s="57"/>
      <c r="C2975" s="57"/>
      <c r="D2975" s="57"/>
      <c r="E2975" s="56"/>
      <c r="F2975" s="57"/>
      <c r="G2975" s="57"/>
      <c r="H2975" s="56"/>
      <c r="I2975" s="56"/>
      <c r="J2975" s="58"/>
      <c r="K2975" s="58"/>
      <c r="L2975" s="13" t="str">
        <f t="shared" si="460"/>
        <v/>
      </c>
      <c r="M2975" s="13" t="str">
        <f t="shared" si="461"/>
        <v/>
      </c>
      <c r="Q2975" t="str">
        <f t="shared" si="462"/>
        <v/>
      </c>
      <c r="R2975" t="str">
        <f t="shared" si="463"/>
        <v/>
      </c>
      <c r="S2975" t="str">
        <f t="shared" si="464"/>
        <v/>
      </c>
      <c r="T2975" t="str">
        <f t="shared" si="465"/>
        <v/>
      </c>
      <c r="U2975" t="str">
        <f t="shared" si="466"/>
        <v/>
      </c>
      <c r="V2975" t="str">
        <f t="shared" si="467"/>
        <v/>
      </c>
      <c r="W2975" t="str">
        <f t="shared" si="468"/>
        <v/>
      </c>
      <c r="X2975">
        <f>IF($T2975="",N($X2974),IF(MATCH($T2975,$T$6:$T$10005,0)=ROW()-5,N($X2974)+1,N($X2974)))</f>
        <v>0</v>
      </c>
      <c r="Z2975" t="str">
        <f t="shared" si="469"/>
        <v/>
      </c>
      <c r="AA2975">
        <f>IF($V2975="",N($AA2974),IF(MATCH($V2975,$V$6:$V$10005,0)=ROW()-5,N($AA2974)+1,N($AA2974)))</f>
        <v>0</v>
      </c>
    </row>
    <row r="2976" spans="1:27" ht="21" customHeight="1" x14ac:dyDescent="0.95">
      <c r="A2976" s="56"/>
      <c r="B2976" s="57"/>
      <c r="C2976" s="57"/>
      <c r="D2976" s="57"/>
      <c r="E2976" s="56"/>
      <c r="F2976" s="57"/>
      <c r="G2976" s="57"/>
      <c r="H2976" s="56"/>
      <c r="I2976" s="56"/>
      <c r="J2976" s="58"/>
      <c r="K2976" s="58"/>
      <c r="L2976" s="13" t="str">
        <f t="shared" si="460"/>
        <v/>
      </c>
      <c r="M2976" s="13" t="str">
        <f t="shared" si="461"/>
        <v/>
      </c>
      <c r="Q2976" t="str">
        <f t="shared" si="462"/>
        <v/>
      </c>
      <c r="R2976" t="str">
        <f t="shared" si="463"/>
        <v/>
      </c>
      <c r="S2976" t="str">
        <f t="shared" si="464"/>
        <v/>
      </c>
      <c r="T2976" t="str">
        <f t="shared" si="465"/>
        <v/>
      </c>
      <c r="U2976" t="str">
        <f t="shared" si="466"/>
        <v/>
      </c>
      <c r="V2976" t="str">
        <f t="shared" si="467"/>
        <v/>
      </c>
      <c r="W2976" t="str">
        <f t="shared" si="468"/>
        <v/>
      </c>
      <c r="X2976">
        <f>IF($T2976="",N($X2975),IF(MATCH($T2976,$T$6:$T$10005,0)=ROW()-5,N($X2975)+1,N($X2975)))</f>
        <v>0</v>
      </c>
      <c r="Z2976" t="str">
        <f t="shared" si="469"/>
        <v/>
      </c>
      <c r="AA2976">
        <f>IF($V2976="",N($AA2975),IF(MATCH($V2976,$V$6:$V$10005,0)=ROW()-5,N($AA2975)+1,N($AA2975)))</f>
        <v>0</v>
      </c>
    </row>
    <row r="2977" spans="1:27" ht="21" customHeight="1" x14ac:dyDescent="0.95">
      <c r="A2977" s="56"/>
      <c r="B2977" s="57"/>
      <c r="C2977" s="57"/>
      <c r="D2977" s="57"/>
      <c r="E2977" s="56"/>
      <c r="F2977" s="57"/>
      <c r="G2977" s="57"/>
      <c r="H2977" s="56"/>
      <c r="I2977" s="56"/>
      <c r="J2977" s="58"/>
      <c r="K2977" s="58"/>
      <c r="L2977" s="13" t="str">
        <f t="shared" si="460"/>
        <v/>
      </c>
      <c r="M2977" s="13" t="str">
        <f t="shared" si="461"/>
        <v/>
      </c>
      <c r="Q2977" t="str">
        <f t="shared" si="462"/>
        <v/>
      </c>
      <c r="R2977" t="str">
        <f t="shared" si="463"/>
        <v/>
      </c>
      <c r="S2977" t="str">
        <f t="shared" si="464"/>
        <v/>
      </c>
      <c r="T2977" t="str">
        <f t="shared" si="465"/>
        <v/>
      </c>
      <c r="U2977" t="str">
        <f t="shared" si="466"/>
        <v/>
      </c>
      <c r="V2977" t="str">
        <f t="shared" si="467"/>
        <v/>
      </c>
      <c r="W2977" t="str">
        <f t="shared" si="468"/>
        <v/>
      </c>
      <c r="X2977">
        <f>IF($T2977="",N($X2976),IF(MATCH($T2977,$T$6:$T$10005,0)=ROW()-5,N($X2976)+1,N($X2976)))</f>
        <v>0</v>
      </c>
      <c r="Z2977" t="str">
        <f t="shared" si="469"/>
        <v/>
      </c>
      <c r="AA2977">
        <f>IF($V2977="",N($AA2976),IF(MATCH($V2977,$V$6:$V$10005,0)=ROW()-5,N($AA2976)+1,N($AA2976)))</f>
        <v>0</v>
      </c>
    </row>
    <row r="2978" spans="1:27" ht="21" customHeight="1" x14ac:dyDescent="0.95">
      <c r="A2978" s="56"/>
      <c r="B2978" s="57"/>
      <c r="C2978" s="57"/>
      <c r="D2978" s="57"/>
      <c r="E2978" s="56"/>
      <c r="F2978" s="57"/>
      <c r="G2978" s="57"/>
      <c r="H2978" s="56"/>
      <c r="I2978" s="56"/>
      <c r="J2978" s="58"/>
      <c r="K2978" s="58"/>
      <c r="L2978" s="13" t="str">
        <f t="shared" si="460"/>
        <v/>
      </c>
      <c r="M2978" s="13" t="str">
        <f t="shared" si="461"/>
        <v/>
      </c>
      <c r="Q2978" t="str">
        <f t="shared" si="462"/>
        <v/>
      </c>
      <c r="R2978" t="str">
        <f t="shared" si="463"/>
        <v/>
      </c>
      <c r="S2978" t="str">
        <f t="shared" si="464"/>
        <v/>
      </c>
      <c r="T2978" t="str">
        <f t="shared" si="465"/>
        <v/>
      </c>
      <c r="U2978" t="str">
        <f t="shared" si="466"/>
        <v/>
      </c>
      <c r="V2978" t="str">
        <f t="shared" si="467"/>
        <v/>
      </c>
      <c r="W2978" t="str">
        <f t="shared" si="468"/>
        <v/>
      </c>
      <c r="X2978">
        <f>IF($T2978="",N($X2977),IF(MATCH($T2978,$T$6:$T$10005,0)=ROW()-5,N($X2977)+1,N($X2977)))</f>
        <v>0</v>
      </c>
      <c r="Z2978" t="str">
        <f t="shared" si="469"/>
        <v/>
      </c>
      <c r="AA2978">
        <f>IF($V2978="",N($AA2977),IF(MATCH($V2978,$V$6:$V$10005,0)=ROW()-5,N($AA2977)+1,N($AA2977)))</f>
        <v>0</v>
      </c>
    </row>
    <row r="2979" spans="1:27" ht="21" customHeight="1" x14ac:dyDescent="0.95">
      <c r="A2979" s="56"/>
      <c r="B2979" s="57"/>
      <c r="C2979" s="57"/>
      <c r="D2979" s="57"/>
      <c r="E2979" s="56"/>
      <c r="F2979" s="57"/>
      <c r="G2979" s="57"/>
      <c r="H2979" s="56"/>
      <c r="I2979" s="56"/>
      <c r="J2979" s="58"/>
      <c r="K2979" s="58"/>
      <c r="L2979" s="13" t="str">
        <f t="shared" si="460"/>
        <v/>
      </c>
      <c r="M2979" s="13" t="str">
        <f t="shared" si="461"/>
        <v/>
      </c>
      <c r="Q2979" t="str">
        <f t="shared" si="462"/>
        <v/>
      </c>
      <c r="R2979" t="str">
        <f t="shared" si="463"/>
        <v/>
      </c>
      <c r="S2979" t="str">
        <f t="shared" si="464"/>
        <v/>
      </c>
      <c r="T2979" t="str">
        <f t="shared" si="465"/>
        <v/>
      </c>
      <c r="U2979" t="str">
        <f t="shared" si="466"/>
        <v/>
      </c>
      <c r="V2979" t="str">
        <f t="shared" si="467"/>
        <v/>
      </c>
      <c r="W2979" t="str">
        <f t="shared" si="468"/>
        <v/>
      </c>
      <c r="X2979">
        <f>IF($T2979="",N($X2978),IF(MATCH($T2979,$T$6:$T$10005,0)=ROW()-5,N($X2978)+1,N($X2978)))</f>
        <v>0</v>
      </c>
      <c r="Z2979" t="str">
        <f t="shared" si="469"/>
        <v/>
      </c>
      <c r="AA2979">
        <f>IF($V2979="",N($AA2978),IF(MATCH($V2979,$V$6:$V$10005,0)=ROW()-5,N($AA2978)+1,N($AA2978)))</f>
        <v>0</v>
      </c>
    </row>
    <row r="2980" spans="1:27" ht="21" customHeight="1" x14ac:dyDescent="0.95">
      <c r="A2980" s="56"/>
      <c r="B2980" s="57"/>
      <c r="C2980" s="57"/>
      <c r="D2980" s="57"/>
      <c r="E2980" s="56"/>
      <c r="F2980" s="57"/>
      <c r="G2980" s="57"/>
      <c r="H2980" s="56"/>
      <c r="I2980" s="56"/>
      <c r="J2980" s="58"/>
      <c r="K2980" s="58"/>
      <c r="L2980" s="13" t="str">
        <f t="shared" si="460"/>
        <v/>
      </c>
      <c r="M2980" s="13" t="str">
        <f t="shared" si="461"/>
        <v/>
      </c>
      <c r="Q2980" t="str">
        <f t="shared" si="462"/>
        <v/>
      </c>
      <c r="R2980" t="str">
        <f t="shared" si="463"/>
        <v/>
      </c>
      <c r="S2980" t="str">
        <f t="shared" si="464"/>
        <v/>
      </c>
      <c r="T2980" t="str">
        <f t="shared" si="465"/>
        <v/>
      </c>
      <c r="U2980" t="str">
        <f t="shared" si="466"/>
        <v/>
      </c>
      <c r="V2980" t="str">
        <f t="shared" si="467"/>
        <v/>
      </c>
      <c r="W2980" t="str">
        <f t="shared" si="468"/>
        <v/>
      </c>
      <c r="X2980">
        <f>IF($T2980="",N($X2979),IF(MATCH($T2980,$T$6:$T$10005,0)=ROW()-5,N($X2979)+1,N($X2979)))</f>
        <v>0</v>
      </c>
      <c r="Z2980" t="str">
        <f t="shared" si="469"/>
        <v/>
      </c>
      <c r="AA2980">
        <f>IF($V2980="",N($AA2979),IF(MATCH($V2980,$V$6:$V$10005,0)=ROW()-5,N($AA2979)+1,N($AA2979)))</f>
        <v>0</v>
      </c>
    </row>
    <row r="2981" spans="1:27" ht="21" customHeight="1" x14ac:dyDescent="0.95">
      <c r="A2981" s="56"/>
      <c r="B2981" s="57"/>
      <c r="C2981" s="57"/>
      <c r="D2981" s="57"/>
      <c r="E2981" s="56"/>
      <c r="F2981" s="57"/>
      <c r="G2981" s="57"/>
      <c r="H2981" s="56"/>
      <c r="I2981" s="56"/>
      <c r="J2981" s="58"/>
      <c r="K2981" s="58"/>
      <c r="L2981" s="13" t="str">
        <f t="shared" si="460"/>
        <v/>
      </c>
      <c r="M2981" s="13" t="str">
        <f t="shared" si="461"/>
        <v/>
      </c>
      <c r="Q2981" t="str">
        <f t="shared" si="462"/>
        <v/>
      </c>
      <c r="R2981" t="str">
        <f t="shared" si="463"/>
        <v/>
      </c>
      <c r="S2981" t="str">
        <f t="shared" si="464"/>
        <v/>
      </c>
      <c r="T2981" t="str">
        <f t="shared" si="465"/>
        <v/>
      </c>
      <c r="U2981" t="str">
        <f t="shared" si="466"/>
        <v/>
      </c>
      <c r="V2981" t="str">
        <f t="shared" si="467"/>
        <v/>
      </c>
      <c r="W2981" t="str">
        <f t="shared" si="468"/>
        <v/>
      </c>
      <c r="X2981">
        <f>IF($T2981="",N($X2980),IF(MATCH($T2981,$T$6:$T$10005,0)=ROW()-5,N($X2980)+1,N($X2980)))</f>
        <v>0</v>
      </c>
      <c r="Z2981" t="str">
        <f t="shared" si="469"/>
        <v/>
      </c>
      <c r="AA2981">
        <f>IF($V2981="",N($AA2980),IF(MATCH($V2981,$V$6:$V$10005,0)=ROW()-5,N($AA2980)+1,N($AA2980)))</f>
        <v>0</v>
      </c>
    </row>
    <row r="2982" spans="1:27" ht="21" customHeight="1" x14ac:dyDescent="0.95">
      <c r="A2982" s="56"/>
      <c r="B2982" s="57"/>
      <c r="C2982" s="57"/>
      <c r="D2982" s="57"/>
      <c r="E2982" s="56"/>
      <c r="F2982" s="57"/>
      <c r="G2982" s="57"/>
      <c r="H2982" s="56"/>
      <c r="I2982" s="56"/>
      <c r="J2982" s="58"/>
      <c r="K2982" s="58"/>
      <c r="L2982" s="13" t="str">
        <f t="shared" si="460"/>
        <v/>
      </c>
      <c r="M2982" s="13" t="str">
        <f t="shared" si="461"/>
        <v/>
      </c>
      <c r="Q2982" t="str">
        <f t="shared" si="462"/>
        <v/>
      </c>
      <c r="R2982" t="str">
        <f t="shared" si="463"/>
        <v/>
      </c>
      <c r="S2982" t="str">
        <f t="shared" si="464"/>
        <v/>
      </c>
      <c r="T2982" t="str">
        <f t="shared" si="465"/>
        <v/>
      </c>
      <c r="U2982" t="str">
        <f t="shared" si="466"/>
        <v/>
      </c>
      <c r="V2982" t="str">
        <f t="shared" si="467"/>
        <v/>
      </c>
      <c r="W2982" t="str">
        <f t="shared" si="468"/>
        <v/>
      </c>
      <c r="X2982">
        <f>IF($T2982="",N($X2981),IF(MATCH($T2982,$T$6:$T$10005,0)=ROW()-5,N($X2981)+1,N($X2981)))</f>
        <v>0</v>
      </c>
      <c r="Z2982" t="str">
        <f t="shared" si="469"/>
        <v/>
      </c>
      <c r="AA2982">
        <f>IF($V2982="",N($AA2981),IF(MATCH($V2982,$V$6:$V$10005,0)=ROW()-5,N($AA2981)+1,N($AA2981)))</f>
        <v>0</v>
      </c>
    </row>
    <row r="2983" spans="1:27" ht="21" customHeight="1" x14ac:dyDescent="0.95">
      <c r="A2983" s="56"/>
      <c r="B2983" s="57"/>
      <c r="C2983" s="57"/>
      <c r="D2983" s="57"/>
      <c r="E2983" s="56"/>
      <c r="F2983" s="57"/>
      <c r="G2983" s="57"/>
      <c r="H2983" s="56"/>
      <c r="I2983" s="56"/>
      <c r="J2983" s="58"/>
      <c r="K2983" s="58"/>
      <c r="L2983" s="13" t="str">
        <f t="shared" si="460"/>
        <v/>
      </c>
      <c r="M2983" s="13" t="str">
        <f t="shared" si="461"/>
        <v/>
      </c>
      <c r="Q2983" t="str">
        <f t="shared" si="462"/>
        <v/>
      </c>
      <c r="R2983" t="str">
        <f t="shared" si="463"/>
        <v/>
      </c>
      <c r="S2983" t="str">
        <f t="shared" si="464"/>
        <v/>
      </c>
      <c r="T2983" t="str">
        <f t="shared" si="465"/>
        <v/>
      </c>
      <c r="U2983" t="str">
        <f t="shared" si="466"/>
        <v/>
      </c>
      <c r="V2983" t="str">
        <f t="shared" si="467"/>
        <v/>
      </c>
      <c r="W2983" t="str">
        <f t="shared" si="468"/>
        <v/>
      </c>
      <c r="X2983">
        <f>IF($T2983="",N($X2982),IF(MATCH($T2983,$T$6:$T$10005,0)=ROW()-5,N($X2982)+1,N($X2982)))</f>
        <v>0</v>
      </c>
      <c r="Z2983" t="str">
        <f t="shared" si="469"/>
        <v/>
      </c>
      <c r="AA2983">
        <f>IF($V2983="",N($AA2982),IF(MATCH($V2983,$V$6:$V$10005,0)=ROW()-5,N($AA2982)+1,N($AA2982)))</f>
        <v>0</v>
      </c>
    </row>
    <row r="2984" spans="1:27" ht="21" customHeight="1" x14ac:dyDescent="0.95">
      <c r="A2984" s="56"/>
      <c r="B2984" s="57"/>
      <c r="C2984" s="57"/>
      <c r="D2984" s="57"/>
      <c r="E2984" s="56"/>
      <c r="F2984" s="57"/>
      <c r="G2984" s="57"/>
      <c r="H2984" s="56"/>
      <c r="I2984" s="56"/>
      <c r="J2984" s="58"/>
      <c r="K2984" s="58"/>
      <c r="L2984" s="13" t="str">
        <f t="shared" si="460"/>
        <v/>
      </c>
      <c r="M2984" s="13" t="str">
        <f t="shared" si="461"/>
        <v/>
      </c>
      <c r="Q2984" t="str">
        <f t="shared" si="462"/>
        <v/>
      </c>
      <c r="R2984" t="str">
        <f t="shared" si="463"/>
        <v/>
      </c>
      <c r="S2984" t="str">
        <f t="shared" si="464"/>
        <v/>
      </c>
      <c r="T2984" t="str">
        <f t="shared" si="465"/>
        <v/>
      </c>
      <c r="U2984" t="str">
        <f t="shared" si="466"/>
        <v/>
      </c>
      <c r="V2984" t="str">
        <f t="shared" si="467"/>
        <v/>
      </c>
      <c r="W2984" t="str">
        <f t="shared" si="468"/>
        <v/>
      </c>
      <c r="X2984">
        <f>IF($T2984="",N($X2983),IF(MATCH($T2984,$T$6:$T$10005,0)=ROW()-5,N($X2983)+1,N($X2983)))</f>
        <v>0</v>
      </c>
      <c r="Z2984" t="str">
        <f t="shared" si="469"/>
        <v/>
      </c>
      <c r="AA2984">
        <f>IF($V2984="",N($AA2983),IF(MATCH($V2984,$V$6:$V$10005,0)=ROW()-5,N($AA2983)+1,N($AA2983)))</f>
        <v>0</v>
      </c>
    </row>
    <row r="2985" spans="1:27" ht="21" customHeight="1" x14ac:dyDescent="0.95">
      <c r="A2985" s="56"/>
      <c r="B2985" s="57"/>
      <c r="C2985" s="57"/>
      <c r="D2985" s="57"/>
      <c r="E2985" s="56"/>
      <c r="F2985" s="57"/>
      <c r="G2985" s="57"/>
      <c r="H2985" s="56"/>
      <c r="I2985" s="56"/>
      <c r="J2985" s="58"/>
      <c r="K2985" s="58"/>
      <c r="L2985" s="13" t="str">
        <f t="shared" si="460"/>
        <v/>
      </c>
      <c r="M2985" s="13" t="str">
        <f t="shared" si="461"/>
        <v/>
      </c>
      <c r="Q2985" t="str">
        <f t="shared" si="462"/>
        <v/>
      </c>
      <c r="R2985" t="str">
        <f t="shared" si="463"/>
        <v/>
      </c>
      <c r="S2985" t="str">
        <f t="shared" si="464"/>
        <v/>
      </c>
      <c r="T2985" t="str">
        <f t="shared" si="465"/>
        <v/>
      </c>
      <c r="U2985" t="str">
        <f t="shared" si="466"/>
        <v/>
      </c>
      <c r="V2985" t="str">
        <f t="shared" si="467"/>
        <v/>
      </c>
      <c r="W2985" t="str">
        <f t="shared" si="468"/>
        <v/>
      </c>
      <c r="X2985">
        <f>IF($T2985="",N($X2984),IF(MATCH($T2985,$T$6:$T$10005,0)=ROW()-5,N($X2984)+1,N($X2984)))</f>
        <v>0</v>
      </c>
      <c r="Z2985" t="str">
        <f t="shared" si="469"/>
        <v/>
      </c>
      <c r="AA2985">
        <f>IF($V2985="",N($AA2984),IF(MATCH($V2985,$V$6:$V$10005,0)=ROW()-5,N($AA2984)+1,N($AA2984)))</f>
        <v>0</v>
      </c>
    </row>
    <row r="2986" spans="1:27" ht="21" customHeight="1" x14ac:dyDescent="0.95">
      <c r="A2986" s="56"/>
      <c r="B2986" s="57"/>
      <c r="C2986" s="57"/>
      <c r="D2986" s="57"/>
      <c r="E2986" s="56"/>
      <c r="F2986" s="57"/>
      <c r="G2986" s="57"/>
      <c r="H2986" s="56"/>
      <c r="I2986" s="56"/>
      <c r="J2986" s="58"/>
      <c r="K2986" s="58"/>
      <c r="L2986" s="13" t="str">
        <f t="shared" si="460"/>
        <v/>
      </c>
      <c r="M2986" s="13" t="str">
        <f t="shared" si="461"/>
        <v/>
      </c>
      <c r="Q2986" t="str">
        <f t="shared" si="462"/>
        <v/>
      </c>
      <c r="R2986" t="str">
        <f t="shared" si="463"/>
        <v/>
      </c>
      <c r="S2986" t="str">
        <f t="shared" si="464"/>
        <v/>
      </c>
      <c r="T2986" t="str">
        <f t="shared" si="465"/>
        <v/>
      </c>
      <c r="U2986" t="str">
        <f t="shared" si="466"/>
        <v/>
      </c>
      <c r="V2986" t="str">
        <f t="shared" si="467"/>
        <v/>
      </c>
      <c r="W2986" t="str">
        <f t="shared" si="468"/>
        <v/>
      </c>
      <c r="X2986">
        <f>IF($T2986="",N($X2985),IF(MATCH($T2986,$T$6:$T$10005,0)=ROW()-5,N($X2985)+1,N($X2985)))</f>
        <v>0</v>
      </c>
      <c r="Z2986" t="str">
        <f t="shared" si="469"/>
        <v/>
      </c>
      <c r="AA2986">
        <f>IF($V2986="",N($AA2985),IF(MATCH($V2986,$V$6:$V$10005,0)=ROW()-5,N($AA2985)+1,N($AA2985)))</f>
        <v>0</v>
      </c>
    </row>
    <row r="2987" spans="1:27" ht="21" customHeight="1" x14ac:dyDescent="0.95">
      <c r="A2987" s="56"/>
      <c r="B2987" s="57"/>
      <c r="C2987" s="57"/>
      <c r="D2987" s="57"/>
      <c r="E2987" s="56"/>
      <c r="F2987" s="57"/>
      <c r="G2987" s="57"/>
      <c r="H2987" s="56"/>
      <c r="I2987" s="56"/>
      <c r="J2987" s="58"/>
      <c r="K2987" s="58"/>
      <c r="L2987" s="13" t="str">
        <f t="shared" si="460"/>
        <v/>
      </c>
      <c r="M2987" s="13" t="str">
        <f t="shared" si="461"/>
        <v/>
      </c>
      <c r="Q2987" t="str">
        <f t="shared" si="462"/>
        <v/>
      </c>
      <c r="R2987" t="str">
        <f t="shared" si="463"/>
        <v/>
      </c>
      <c r="S2987" t="str">
        <f t="shared" si="464"/>
        <v/>
      </c>
      <c r="T2987" t="str">
        <f t="shared" si="465"/>
        <v/>
      </c>
      <c r="U2987" t="str">
        <f t="shared" si="466"/>
        <v/>
      </c>
      <c r="V2987" t="str">
        <f t="shared" si="467"/>
        <v/>
      </c>
      <c r="W2987" t="str">
        <f t="shared" si="468"/>
        <v/>
      </c>
      <c r="X2987">
        <f>IF($T2987="",N($X2986),IF(MATCH($T2987,$T$6:$T$10005,0)=ROW()-5,N($X2986)+1,N($X2986)))</f>
        <v>0</v>
      </c>
      <c r="Z2987" t="str">
        <f t="shared" si="469"/>
        <v/>
      </c>
      <c r="AA2987">
        <f>IF($V2987="",N($AA2986),IF(MATCH($V2987,$V$6:$V$10005,0)=ROW()-5,N($AA2986)+1,N($AA2986)))</f>
        <v>0</v>
      </c>
    </row>
    <row r="2988" spans="1:27" ht="21" customHeight="1" x14ac:dyDescent="0.95">
      <c r="A2988" s="56"/>
      <c r="B2988" s="57"/>
      <c r="C2988" s="57"/>
      <c r="D2988" s="57"/>
      <c r="E2988" s="56"/>
      <c r="F2988" s="57"/>
      <c r="G2988" s="57"/>
      <c r="H2988" s="56"/>
      <c r="I2988" s="56"/>
      <c r="J2988" s="58"/>
      <c r="K2988" s="58"/>
      <c r="L2988" s="13" t="str">
        <f t="shared" si="460"/>
        <v/>
      </c>
      <c r="M2988" s="13" t="str">
        <f t="shared" si="461"/>
        <v/>
      </c>
      <c r="Q2988" t="str">
        <f t="shared" si="462"/>
        <v/>
      </c>
      <c r="R2988" t="str">
        <f t="shared" si="463"/>
        <v/>
      </c>
      <c r="S2988" t="str">
        <f t="shared" si="464"/>
        <v/>
      </c>
      <c r="T2988" t="str">
        <f t="shared" si="465"/>
        <v/>
      </c>
      <c r="U2988" t="str">
        <f t="shared" si="466"/>
        <v/>
      </c>
      <c r="V2988" t="str">
        <f t="shared" si="467"/>
        <v/>
      </c>
      <c r="W2988" t="str">
        <f t="shared" si="468"/>
        <v/>
      </c>
      <c r="X2988">
        <f>IF($T2988="",N($X2987),IF(MATCH($T2988,$T$6:$T$10005,0)=ROW()-5,N($X2987)+1,N($X2987)))</f>
        <v>0</v>
      </c>
      <c r="Z2988" t="str">
        <f t="shared" si="469"/>
        <v/>
      </c>
      <c r="AA2988">
        <f>IF($V2988="",N($AA2987),IF(MATCH($V2988,$V$6:$V$10005,0)=ROW()-5,N($AA2987)+1,N($AA2987)))</f>
        <v>0</v>
      </c>
    </row>
    <row r="2989" spans="1:27" ht="21" customHeight="1" x14ac:dyDescent="0.95">
      <c r="A2989" s="56"/>
      <c r="B2989" s="57"/>
      <c r="C2989" s="57"/>
      <c r="D2989" s="57"/>
      <c r="E2989" s="56"/>
      <c r="F2989" s="57"/>
      <c r="G2989" s="57"/>
      <c r="H2989" s="56"/>
      <c r="I2989" s="56"/>
      <c r="J2989" s="58"/>
      <c r="K2989" s="58"/>
      <c r="L2989" s="13" t="str">
        <f t="shared" si="460"/>
        <v/>
      </c>
      <c r="M2989" s="13" t="str">
        <f t="shared" si="461"/>
        <v/>
      </c>
      <c r="Q2989" t="str">
        <f t="shared" si="462"/>
        <v/>
      </c>
      <c r="R2989" t="str">
        <f t="shared" si="463"/>
        <v/>
      </c>
      <c r="S2989" t="str">
        <f t="shared" si="464"/>
        <v/>
      </c>
      <c r="T2989" t="str">
        <f t="shared" si="465"/>
        <v/>
      </c>
      <c r="U2989" t="str">
        <f t="shared" si="466"/>
        <v/>
      </c>
      <c r="V2989" t="str">
        <f t="shared" si="467"/>
        <v/>
      </c>
      <c r="W2989" t="str">
        <f t="shared" si="468"/>
        <v/>
      </c>
      <c r="X2989">
        <f>IF($T2989="",N($X2988),IF(MATCH($T2989,$T$6:$T$10005,0)=ROW()-5,N($X2988)+1,N($X2988)))</f>
        <v>0</v>
      </c>
      <c r="Z2989" t="str">
        <f t="shared" si="469"/>
        <v/>
      </c>
      <c r="AA2989">
        <f>IF($V2989="",N($AA2988),IF(MATCH($V2989,$V$6:$V$10005,0)=ROW()-5,N($AA2988)+1,N($AA2988)))</f>
        <v>0</v>
      </c>
    </row>
    <row r="2990" spans="1:27" ht="21" customHeight="1" x14ac:dyDescent="0.95">
      <c r="A2990" s="56"/>
      <c r="B2990" s="57"/>
      <c r="C2990" s="57"/>
      <c r="D2990" s="57"/>
      <c r="E2990" s="56"/>
      <c r="F2990" s="57"/>
      <c r="G2990" s="57"/>
      <c r="H2990" s="56"/>
      <c r="I2990" s="56"/>
      <c r="J2990" s="58"/>
      <c r="K2990" s="58"/>
      <c r="L2990" s="13" t="str">
        <f t="shared" si="460"/>
        <v/>
      </c>
      <c r="M2990" s="13" t="str">
        <f t="shared" si="461"/>
        <v/>
      </c>
      <c r="Q2990" t="str">
        <f t="shared" si="462"/>
        <v/>
      </c>
      <c r="R2990" t="str">
        <f t="shared" si="463"/>
        <v/>
      </c>
      <c r="S2990" t="str">
        <f t="shared" si="464"/>
        <v/>
      </c>
      <c r="T2990" t="str">
        <f t="shared" si="465"/>
        <v/>
      </c>
      <c r="U2990" t="str">
        <f t="shared" si="466"/>
        <v/>
      </c>
      <c r="V2990" t="str">
        <f t="shared" si="467"/>
        <v/>
      </c>
      <c r="W2990" t="str">
        <f t="shared" si="468"/>
        <v/>
      </c>
      <c r="X2990">
        <f>IF($T2990="",N($X2989),IF(MATCH($T2990,$T$6:$T$10005,0)=ROW()-5,N($X2989)+1,N($X2989)))</f>
        <v>0</v>
      </c>
      <c r="Z2990" t="str">
        <f t="shared" si="469"/>
        <v/>
      </c>
      <c r="AA2990">
        <f>IF($V2990="",N($AA2989),IF(MATCH($V2990,$V$6:$V$10005,0)=ROW()-5,N($AA2989)+1,N($AA2989)))</f>
        <v>0</v>
      </c>
    </row>
    <row r="2991" spans="1:27" ht="21" customHeight="1" x14ac:dyDescent="0.95">
      <c r="A2991" s="56"/>
      <c r="B2991" s="57"/>
      <c r="C2991" s="57"/>
      <c r="D2991" s="57"/>
      <c r="E2991" s="56"/>
      <c r="F2991" s="57"/>
      <c r="G2991" s="57"/>
      <c r="H2991" s="56"/>
      <c r="I2991" s="56"/>
      <c r="J2991" s="58"/>
      <c r="K2991" s="58"/>
      <c r="L2991" s="13" t="str">
        <f t="shared" si="460"/>
        <v/>
      </c>
      <c r="M2991" s="13" t="str">
        <f t="shared" si="461"/>
        <v/>
      </c>
      <c r="Q2991" t="str">
        <f t="shared" si="462"/>
        <v/>
      </c>
      <c r="R2991" t="str">
        <f t="shared" si="463"/>
        <v/>
      </c>
      <c r="S2991" t="str">
        <f t="shared" si="464"/>
        <v/>
      </c>
      <c r="T2991" t="str">
        <f t="shared" si="465"/>
        <v/>
      </c>
      <c r="U2991" t="str">
        <f t="shared" si="466"/>
        <v/>
      </c>
      <c r="V2991" t="str">
        <f t="shared" si="467"/>
        <v/>
      </c>
      <c r="W2991" t="str">
        <f t="shared" si="468"/>
        <v/>
      </c>
      <c r="X2991">
        <f>IF($T2991="",N($X2990),IF(MATCH($T2991,$T$6:$T$10005,0)=ROW()-5,N($X2990)+1,N($X2990)))</f>
        <v>0</v>
      </c>
      <c r="Z2991" t="str">
        <f t="shared" si="469"/>
        <v/>
      </c>
      <c r="AA2991">
        <f>IF($V2991="",N($AA2990),IF(MATCH($V2991,$V$6:$V$10005,0)=ROW()-5,N($AA2990)+1,N($AA2990)))</f>
        <v>0</v>
      </c>
    </row>
    <row r="2992" spans="1:27" ht="21" customHeight="1" x14ac:dyDescent="0.95">
      <c r="A2992" s="56"/>
      <c r="B2992" s="57"/>
      <c r="C2992" s="57"/>
      <c r="D2992" s="57"/>
      <c r="E2992" s="56"/>
      <c r="F2992" s="57"/>
      <c r="G2992" s="57"/>
      <c r="H2992" s="56"/>
      <c r="I2992" s="56"/>
      <c r="J2992" s="58"/>
      <c r="K2992" s="58"/>
      <c r="L2992" s="13" t="str">
        <f t="shared" si="460"/>
        <v/>
      </c>
      <c r="M2992" s="13" t="str">
        <f t="shared" si="461"/>
        <v/>
      </c>
      <c r="Q2992" t="str">
        <f t="shared" si="462"/>
        <v/>
      </c>
      <c r="R2992" t="str">
        <f t="shared" si="463"/>
        <v/>
      </c>
      <c r="S2992" t="str">
        <f t="shared" si="464"/>
        <v/>
      </c>
      <c r="T2992" t="str">
        <f t="shared" si="465"/>
        <v/>
      </c>
      <c r="U2992" t="str">
        <f t="shared" si="466"/>
        <v/>
      </c>
      <c r="V2992" t="str">
        <f t="shared" si="467"/>
        <v/>
      </c>
      <c r="W2992" t="str">
        <f t="shared" si="468"/>
        <v/>
      </c>
      <c r="X2992">
        <f>IF($T2992="",N($X2991),IF(MATCH($T2992,$T$6:$T$10005,0)=ROW()-5,N($X2991)+1,N($X2991)))</f>
        <v>0</v>
      </c>
      <c r="Z2992" t="str">
        <f t="shared" si="469"/>
        <v/>
      </c>
      <c r="AA2992">
        <f>IF($V2992="",N($AA2991),IF(MATCH($V2992,$V$6:$V$10005,0)=ROW()-5,N($AA2991)+1,N($AA2991)))</f>
        <v>0</v>
      </c>
    </row>
    <row r="2993" spans="1:27" ht="21" customHeight="1" x14ac:dyDescent="0.95">
      <c r="A2993" s="56"/>
      <c r="B2993" s="57"/>
      <c r="C2993" s="57"/>
      <c r="D2993" s="57"/>
      <c r="E2993" s="56"/>
      <c r="F2993" s="57"/>
      <c r="G2993" s="57"/>
      <c r="H2993" s="56"/>
      <c r="I2993" s="56"/>
      <c r="J2993" s="58"/>
      <c r="K2993" s="58"/>
      <c r="L2993" s="13" t="str">
        <f t="shared" si="460"/>
        <v/>
      </c>
      <c r="M2993" s="13" t="str">
        <f t="shared" si="461"/>
        <v/>
      </c>
      <c r="Q2993" t="str">
        <f t="shared" si="462"/>
        <v/>
      </c>
      <c r="R2993" t="str">
        <f t="shared" si="463"/>
        <v/>
      </c>
      <c r="S2993" t="str">
        <f t="shared" si="464"/>
        <v/>
      </c>
      <c r="T2993" t="str">
        <f t="shared" si="465"/>
        <v/>
      </c>
      <c r="U2993" t="str">
        <f t="shared" si="466"/>
        <v/>
      </c>
      <c r="V2993" t="str">
        <f t="shared" si="467"/>
        <v/>
      </c>
      <c r="W2993" t="str">
        <f t="shared" si="468"/>
        <v/>
      </c>
      <c r="X2993">
        <f>IF($T2993="",N($X2992),IF(MATCH($T2993,$T$6:$T$10005,0)=ROW()-5,N($X2992)+1,N($X2992)))</f>
        <v>0</v>
      </c>
      <c r="Z2993" t="str">
        <f t="shared" si="469"/>
        <v/>
      </c>
      <c r="AA2993">
        <f>IF($V2993="",N($AA2992),IF(MATCH($V2993,$V$6:$V$10005,0)=ROW()-5,N($AA2992)+1,N($AA2992)))</f>
        <v>0</v>
      </c>
    </row>
    <row r="2994" spans="1:27" ht="21" customHeight="1" x14ac:dyDescent="0.95">
      <c r="A2994" s="56"/>
      <c r="B2994" s="57"/>
      <c r="C2994" s="57"/>
      <c r="D2994" s="57"/>
      <c r="E2994" s="56"/>
      <c r="F2994" s="57"/>
      <c r="G2994" s="57"/>
      <c r="H2994" s="56"/>
      <c r="I2994" s="56"/>
      <c r="J2994" s="58"/>
      <c r="K2994" s="58"/>
      <c r="L2994" s="13" t="str">
        <f t="shared" si="460"/>
        <v/>
      </c>
      <c r="M2994" s="13" t="str">
        <f t="shared" si="461"/>
        <v/>
      </c>
      <c r="Q2994" t="str">
        <f t="shared" si="462"/>
        <v/>
      </c>
      <c r="R2994" t="str">
        <f t="shared" si="463"/>
        <v/>
      </c>
      <c r="S2994" t="str">
        <f t="shared" si="464"/>
        <v/>
      </c>
      <c r="T2994" t="str">
        <f t="shared" si="465"/>
        <v/>
      </c>
      <c r="U2994" t="str">
        <f t="shared" si="466"/>
        <v/>
      </c>
      <c r="V2994" t="str">
        <f t="shared" si="467"/>
        <v/>
      </c>
      <c r="W2994" t="str">
        <f t="shared" si="468"/>
        <v/>
      </c>
      <c r="X2994">
        <f>IF($T2994="",N($X2993),IF(MATCH($T2994,$T$6:$T$10005,0)=ROW()-5,N($X2993)+1,N($X2993)))</f>
        <v>0</v>
      </c>
      <c r="Z2994" t="str">
        <f t="shared" si="469"/>
        <v/>
      </c>
      <c r="AA2994">
        <f>IF($V2994="",N($AA2993),IF(MATCH($V2994,$V$6:$V$10005,0)=ROW()-5,N($AA2993)+1,N($AA2993)))</f>
        <v>0</v>
      </c>
    </row>
    <row r="2995" spans="1:27" ht="21" customHeight="1" x14ac:dyDescent="0.95">
      <c r="A2995" s="56"/>
      <c r="B2995" s="57"/>
      <c r="C2995" s="57"/>
      <c r="D2995" s="57"/>
      <c r="E2995" s="56"/>
      <c r="F2995" s="57"/>
      <c r="G2995" s="57"/>
      <c r="H2995" s="56"/>
      <c r="I2995" s="56"/>
      <c r="J2995" s="58"/>
      <c r="K2995" s="58"/>
      <c r="L2995" s="13" t="str">
        <f t="shared" si="460"/>
        <v/>
      </c>
      <c r="M2995" s="13" t="str">
        <f t="shared" si="461"/>
        <v/>
      </c>
      <c r="Q2995" t="str">
        <f t="shared" si="462"/>
        <v/>
      </c>
      <c r="R2995" t="str">
        <f t="shared" si="463"/>
        <v/>
      </c>
      <c r="S2995" t="str">
        <f t="shared" si="464"/>
        <v/>
      </c>
      <c r="T2995" t="str">
        <f t="shared" si="465"/>
        <v/>
      </c>
      <c r="U2995" t="str">
        <f t="shared" si="466"/>
        <v/>
      </c>
      <c r="V2995" t="str">
        <f t="shared" si="467"/>
        <v/>
      </c>
      <c r="W2995" t="str">
        <f t="shared" si="468"/>
        <v/>
      </c>
      <c r="X2995">
        <f>IF($T2995="",N($X2994),IF(MATCH($T2995,$T$6:$T$10005,0)=ROW()-5,N($X2994)+1,N($X2994)))</f>
        <v>0</v>
      </c>
      <c r="Z2995" t="str">
        <f t="shared" si="469"/>
        <v/>
      </c>
      <c r="AA2995">
        <f>IF($V2995="",N($AA2994),IF(MATCH($V2995,$V$6:$V$10005,0)=ROW()-5,N($AA2994)+1,N($AA2994)))</f>
        <v>0</v>
      </c>
    </row>
    <row r="2996" spans="1:27" ht="21" customHeight="1" x14ac:dyDescent="0.95">
      <c r="A2996" s="56"/>
      <c r="B2996" s="57"/>
      <c r="C2996" s="57"/>
      <c r="D2996" s="57"/>
      <c r="E2996" s="56"/>
      <c r="F2996" s="57"/>
      <c r="G2996" s="57"/>
      <c r="H2996" s="56"/>
      <c r="I2996" s="56"/>
      <c r="J2996" s="58"/>
      <c r="K2996" s="58"/>
      <c r="L2996" s="13" t="str">
        <f t="shared" si="460"/>
        <v/>
      </c>
      <c r="M2996" s="13" t="str">
        <f t="shared" si="461"/>
        <v/>
      </c>
      <c r="Q2996" t="str">
        <f t="shared" si="462"/>
        <v/>
      </c>
      <c r="R2996" t="str">
        <f t="shared" si="463"/>
        <v/>
      </c>
      <c r="S2996" t="str">
        <f t="shared" si="464"/>
        <v/>
      </c>
      <c r="T2996" t="str">
        <f t="shared" si="465"/>
        <v/>
      </c>
      <c r="U2996" t="str">
        <f t="shared" si="466"/>
        <v/>
      </c>
      <c r="V2996" t="str">
        <f t="shared" si="467"/>
        <v/>
      </c>
      <c r="W2996" t="str">
        <f t="shared" si="468"/>
        <v/>
      </c>
      <c r="X2996">
        <f>IF($T2996="",N($X2995),IF(MATCH($T2996,$T$6:$T$10005,0)=ROW()-5,N($X2995)+1,N($X2995)))</f>
        <v>0</v>
      </c>
      <c r="Z2996" t="str">
        <f t="shared" si="469"/>
        <v/>
      </c>
      <c r="AA2996">
        <f>IF($V2996="",N($AA2995),IF(MATCH($V2996,$V$6:$V$10005,0)=ROW()-5,N($AA2995)+1,N($AA2995)))</f>
        <v>0</v>
      </c>
    </row>
    <row r="2997" spans="1:27" ht="21" customHeight="1" x14ac:dyDescent="0.95">
      <c r="A2997" s="56"/>
      <c r="B2997" s="57"/>
      <c r="C2997" s="57"/>
      <c r="D2997" s="57"/>
      <c r="E2997" s="56"/>
      <c r="F2997" s="57"/>
      <c r="G2997" s="57"/>
      <c r="H2997" s="56"/>
      <c r="I2997" s="56"/>
      <c r="J2997" s="58"/>
      <c r="K2997" s="58"/>
      <c r="L2997" s="13" t="str">
        <f t="shared" si="460"/>
        <v/>
      </c>
      <c r="M2997" s="13" t="str">
        <f t="shared" si="461"/>
        <v/>
      </c>
      <c r="Q2997" t="str">
        <f t="shared" si="462"/>
        <v/>
      </c>
      <c r="R2997" t="str">
        <f t="shared" si="463"/>
        <v/>
      </c>
      <c r="S2997" t="str">
        <f t="shared" si="464"/>
        <v/>
      </c>
      <c r="T2997" t="str">
        <f t="shared" si="465"/>
        <v/>
      </c>
      <c r="U2997" t="str">
        <f t="shared" si="466"/>
        <v/>
      </c>
      <c r="V2997" t="str">
        <f t="shared" si="467"/>
        <v/>
      </c>
      <c r="W2997" t="str">
        <f t="shared" si="468"/>
        <v/>
      </c>
      <c r="X2997">
        <f>IF($T2997="",N($X2996),IF(MATCH($T2997,$T$6:$T$10005,0)=ROW()-5,N($X2996)+1,N($X2996)))</f>
        <v>0</v>
      </c>
      <c r="Z2997" t="str">
        <f t="shared" si="469"/>
        <v/>
      </c>
      <c r="AA2997">
        <f>IF($V2997="",N($AA2996),IF(MATCH($V2997,$V$6:$V$10005,0)=ROW()-5,N($AA2996)+1,N($AA2996)))</f>
        <v>0</v>
      </c>
    </row>
    <row r="2998" spans="1:27" ht="21" customHeight="1" x14ac:dyDescent="0.95">
      <c r="A2998" s="56"/>
      <c r="B2998" s="57"/>
      <c r="C2998" s="57"/>
      <c r="D2998" s="57"/>
      <c r="E2998" s="56"/>
      <c r="F2998" s="57"/>
      <c r="G2998" s="57"/>
      <c r="H2998" s="56"/>
      <c r="I2998" s="56"/>
      <c r="J2998" s="58"/>
      <c r="K2998" s="58"/>
      <c r="L2998" s="13" t="str">
        <f t="shared" si="460"/>
        <v/>
      </c>
      <c r="M2998" s="13" t="str">
        <f t="shared" si="461"/>
        <v/>
      </c>
      <c r="Q2998" t="str">
        <f t="shared" si="462"/>
        <v/>
      </c>
      <c r="R2998" t="str">
        <f t="shared" si="463"/>
        <v/>
      </c>
      <c r="S2998" t="str">
        <f t="shared" si="464"/>
        <v/>
      </c>
      <c r="T2998" t="str">
        <f t="shared" si="465"/>
        <v/>
      </c>
      <c r="U2998" t="str">
        <f t="shared" si="466"/>
        <v/>
      </c>
      <c r="V2998" t="str">
        <f t="shared" si="467"/>
        <v/>
      </c>
      <c r="W2998" t="str">
        <f t="shared" si="468"/>
        <v/>
      </c>
      <c r="X2998">
        <f>IF($T2998="",N($X2997),IF(MATCH($T2998,$T$6:$T$10005,0)=ROW()-5,N($X2997)+1,N($X2997)))</f>
        <v>0</v>
      </c>
      <c r="Z2998" t="str">
        <f t="shared" si="469"/>
        <v/>
      </c>
      <c r="AA2998">
        <f>IF($V2998="",N($AA2997),IF(MATCH($V2998,$V$6:$V$10005,0)=ROW()-5,N($AA2997)+1,N($AA2997)))</f>
        <v>0</v>
      </c>
    </row>
    <row r="2999" spans="1:27" ht="21" customHeight="1" x14ac:dyDescent="0.95">
      <c r="A2999" s="56"/>
      <c r="B2999" s="57"/>
      <c r="C2999" s="57"/>
      <c r="D2999" s="57"/>
      <c r="E2999" s="56"/>
      <c r="F2999" s="57"/>
      <c r="G2999" s="57"/>
      <c r="H2999" s="56"/>
      <c r="I2999" s="56"/>
      <c r="J2999" s="58"/>
      <c r="K2999" s="58"/>
      <c r="L2999" s="13" t="str">
        <f t="shared" si="460"/>
        <v/>
      </c>
      <c r="M2999" s="13" t="str">
        <f t="shared" si="461"/>
        <v/>
      </c>
      <c r="Q2999" t="str">
        <f t="shared" si="462"/>
        <v/>
      </c>
      <c r="R2999" t="str">
        <f t="shared" si="463"/>
        <v/>
      </c>
      <c r="S2999" t="str">
        <f t="shared" si="464"/>
        <v/>
      </c>
      <c r="T2999" t="str">
        <f t="shared" si="465"/>
        <v/>
      </c>
      <c r="U2999" t="str">
        <f t="shared" si="466"/>
        <v/>
      </c>
      <c r="V2999" t="str">
        <f t="shared" si="467"/>
        <v/>
      </c>
      <c r="W2999" t="str">
        <f t="shared" si="468"/>
        <v/>
      </c>
      <c r="X2999">
        <f>IF($T2999="",N($X2998),IF(MATCH($T2999,$T$6:$T$10005,0)=ROW()-5,N($X2998)+1,N($X2998)))</f>
        <v>0</v>
      </c>
      <c r="Z2999" t="str">
        <f t="shared" si="469"/>
        <v/>
      </c>
      <c r="AA2999">
        <f>IF($V2999="",N($AA2998),IF(MATCH($V2999,$V$6:$V$10005,0)=ROW()-5,N($AA2998)+1,N($AA2998)))</f>
        <v>0</v>
      </c>
    </row>
    <row r="3000" spans="1:27" ht="21" customHeight="1" x14ac:dyDescent="0.95">
      <c r="A3000" s="56"/>
      <c r="B3000" s="57"/>
      <c r="C3000" s="57"/>
      <c r="D3000" s="57"/>
      <c r="E3000" s="56"/>
      <c r="F3000" s="57"/>
      <c r="G3000" s="57"/>
      <c r="H3000" s="56"/>
      <c r="I3000" s="56"/>
      <c r="J3000" s="58"/>
      <c r="K3000" s="58"/>
      <c r="L3000" s="13" t="str">
        <f t="shared" si="460"/>
        <v/>
      </c>
      <c r="M3000" s="13" t="str">
        <f t="shared" si="461"/>
        <v/>
      </c>
      <c r="Q3000" t="str">
        <f t="shared" si="462"/>
        <v/>
      </c>
      <c r="R3000" t="str">
        <f t="shared" si="463"/>
        <v/>
      </c>
      <c r="S3000" t="str">
        <f t="shared" si="464"/>
        <v/>
      </c>
      <c r="T3000" t="str">
        <f t="shared" si="465"/>
        <v/>
      </c>
      <c r="U3000" t="str">
        <f t="shared" si="466"/>
        <v/>
      </c>
      <c r="V3000" t="str">
        <f t="shared" si="467"/>
        <v/>
      </c>
      <c r="W3000" t="str">
        <f t="shared" si="468"/>
        <v/>
      </c>
      <c r="X3000">
        <f>IF($T3000="",N($X2999),IF(MATCH($T3000,$T$6:$T$10005,0)=ROW()-5,N($X2999)+1,N($X2999)))</f>
        <v>0</v>
      </c>
      <c r="Z3000" t="str">
        <f t="shared" si="469"/>
        <v/>
      </c>
      <c r="AA3000">
        <f>IF($V3000="",N($AA2999),IF(MATCH($V3000,$V$6:$V$10005,0)=ROW()-5,N($AA2999)+1,N($AA2999)))</f>
        <v>0</v>
      </c>
    </row>
    <row r="3001" spans="1:27" ht="21" customHeight="1" x14ac:dyDescent="0.95">
      <c r="A3001" s="56"/>
      <c r="B3001" s="57"/>
      <c r="C3001" s="57"/>
      <c r="D3001" s="57"/>
      <c r="E3001" s="56"/>
      <c r="F3001" s="57"/>
      <c r="G3001" s="57"/>
      <c r="H3001" s="56"/>
      <c r="I3001" s="56"/>
      <c r="J3001" s="58"/>
      <c r="K3001" s="58"/>
      <c r="L3001" s="13" t="str">
        <f t="shared" si="460"/>
        <v/>
      </c>
      <c r="M3001" s="13" t="str">
        <f t="shared" si="461"/>
        <v/>
      </c>
      <c r="Q3001" t="str">
        <f t="shared" si="462"/>
        <v/>
      </c>
      <c r="R3001" t="str">
        <f t="shared" si="463"/>
        <v/>
      </c>
      <c r="S3001" t="str">
        <f t="shared" si="464"/>
        <v/>
      </c>
      <c r="T3001" t="str">
        <f t="shared" si="465"/>
        <v/>
      </c>
      <c r="U3001" t="str">
        <f t="shared" si="466"/>
        <v/>
      </c>
      <c r="V3001" t="str">
        <f t="shared" si="467"/>
        <v/>
      </c>
      <c r="W3001" t="str">
        <f t="shared" si="468"/>
        <v/>
      </c>
      <c r="X3001">
        <f>IF($T3001="",N($X3000),IF(MATCH($T3001,$T$6:$T$10005,0)=ROW()-5,N($X3000)+1,N($X3000)))</f>
        <v>0</v>
      </c>
      <c r="Z3001" t="str">
        <f t="shared" si="469"/>
        <v/>
      </c>
      <c r="AA3001">
        <f>IF($V3001="",N($AA3000),IF(MATCH($V3001,$V$6:$V$10005,0)=ROW()-5,N($AA3000)+1,N($AA3000)))</f>
        <v>0</v>
      </c>
    </row>
    <row r="3002" spans="1:27" ht="21" customHeight="1" x14ac:dyDescent="0.95">
      <c r="A3002" s="56"/>
      <c r="B3002" s="57"/>
      <c r="C3002" s="57"/>
      <c r="D3002" s="57"/>
      <c r="E3002" s="56"/>
      <c r="F3002" s="57"/>
      <c r="G3002" s="57"/>
      <c r="H3002" s="56"/>
      <c r="I3002" s="56"/>
      <c r="J3002" s="58"/>
      <c r="K3002" s="58"/>
      <c r="L3002" s="13" t="str">
        <f t="shared" si="460"/>
        <v/>
      </c>
      <c r="M3002" s="13" t="str">
        <f t="shared" si="461"/>
        <v/>
      </c>
      <c r="Q3002" t="str">
        <f t="shared" si="462"/>
        <v/>
      </c>
      <c r="R3002" t="str">
        <f t="shared" si="463"/>
        <v/>
      </c>
      <c r="S3002" t="str">
        <f t="shared" si="464"/>
        <v/>
      </c>
      <c r="T3002" t="str">
        <f t="shared" si="465"/>
        <v/>
      </c>
      <c r="U3002" t="str">
        <f t="shared" si="466"/>
        <v/>
      </c>
      <c r="V3002" t="str">
        <f t="shared" si="467"/>
        <v/>
      </c>
      <c r="W3002" t="str">
        <f t="shared" si="468"/>
        <v/>
      </c>
      <c r="X3002">
        <f>IF($T3002="",N($X3001),IF(MATCH($T3002,$T$6:$T$10005,0)=ROW()-5,N($X3001)+1,N($X3001)))</f>
        <v>0</v>
      </c>
      <c r="Z3002" t="str">
        <f t="shared" si="469"/>
        <v/>
      </c>
      <c r="AA3002">
        <f>IF($V3002="",N($AA3001),IF(MATCH($V3002,$V$6:$V$10005,0)=ROW()-5,N($AA3001)+1,N($AA3001)))</f>
        <v>0</v>
      </c>
    </row>
    <row r="3003" spans="1:27" ht="21" customHeight="1" x14ac:dyDescent="0.95">
      <c r="A3003" s="56"/>
      <c r="B3003" s="57"/>
      <c r="C3003" s="57"/>
      <c r="D3003" s="57"/>
      <c r="E3003" s="56"/>
      <c r="F3003" s="57"/>
      <c r="G3003" s="57"/>
      <c r="H3003" s="56"/>
      <c r="I3003" s="56"/>
      <c r="J3003" s="58"/>
      <c r="K3003" s="58"/>
      <c r="L3003" s="13" t="str">
        <f t="shared" si="460"/>
        <v/>
      </c>
      <c r="M3003" s="13" t="str">
        <f t="shared" si="461"/>
        <v/>
      </c>
      <c r="Q3003" t="str">
        <f t="shared" si="462"/>
        <v/>
      </c>
      <c r="R3003" t="str">
        <f t="shared" si="463"/>
        <v/>
      </c>
      <c r="S3003" t="str">
        <f t="shared" si="464"/>
        <v/>
      </c>
      <c r="T3003" t="str">
        <f t="shared" si="465"/>
        <v/>
      </c>
      <c r="U3003" t="str">
        <f t="shared" si="466"/>
        <v/>
      </c>
      <c r="V3003" t="str">
        <f t="shared" si="467"/>
        <v/>
      </c>
      <c r="W3003" t="str">
        <f t="shared" si="468"/>
        <v/>
      </c>
      <c r="X3003">
        <f>IF($T3003="",N($X3002),IF(MATCH($T3003,$T$6:$T$10005,0)=ROW()-5,N($X3002)+1,N($X3002)))</f>
        <v>0</v>
      </c>
      <c r="Z3003" t="str">
        <f t="shared" si="469"/>
        <v/>
      </c>
      <c r="AA3003">
        <f>IF($V3003="",N($AA3002),IF(MATCH($V3003,$V$6:$V$10005,0)=ROW()-5,N($AA3002)+1,N($AA3002)))</f>
        <v>0</v>
      </c>
    </row>
    <row r="3004" spans="1:27" ht="21" customHeight="1" x14ac:dyDescent="0.95">
      <c r="A3004" s="56"/>
      <c r="B3004" s="57"/>
      <c r="C3004" s="57"/>
      <c r="D3004" s="57"/>
      <c r="E3004" s="56"/>
      <c r="F3004" s="57"/>
      <c r="G3004" s="57"/>
      <c r="H3004" s="56"/>
      <c r="I3004" s="56"/>
      <c r="J3004" s="58"/>
      <c r="K3004" s="58"/>
      <c r="L3004" s="13" t="str">
        <f t="shared" si="460"/>
        <v/>
      </c>
      <c r="M3004" s="13" t="str">
        <f t="shared" si="461"/>
        <v/>
      </c>
      <c r="Q3004" t="str">
        <f t="shared" si="462"/>
        <v/>
      </c>
      <c r="R3004" t="str">
        <f t="shared" si="463"/>
        <v/>
      </c>
      <c r="S3004" t="str">
        <f t="shared" si="464"/>
        <v/>
      </c>
      <c r="T3004" t="str">
        <f t="shared" si="465"/>
        <v/>
      </c>
      <c r="U3004" t="str">
        <f t="shared" si="466"/>
        <v/>
      </c>
      <c r="V3004" t="str">
        <f t="shared" si="467"/>
        <v/>
      </c>
      <c r="W3004" t="str">
        <f t="shared" si="468"/>
        <v/>
      </c>
      <c r="X3004">
        <f>IF($T3004="",N($X3003),IF(MATCH($T3004,$T$6:$T$10005,0)=ROW()-5,N($X3003)+1,N($X3003)))</f>
        <v>0</v>
      </c>
      <c r="Z3004" t="str">
        <f t="shared" si="469"/>
        <v/>
      </c>
      <c r="AA3004">
        <f>IF($V3004="",N($AA3003),IF(MATCH($V3004,$V$6:$V$10005,0)=ROW()-5,N($AA3003)+1,N($AA3003)))</f>
        <v>0</v>
      </c>
    </row>
    <row r="3005" spans="1:27" ht="21" customHeight="1" x14ac:dyDescent="0.95">
      <c r="A3005" s="56"/>
      <c r="B3005" s="57"/>
      <c r="C3005" s="57"/>
      <c r="D3005" s="57"/>
      <c r="E3005" s="56"/>
      <c r="F3005" s="57"/>
      <c r="G3005" s="57"/>
      <c r="H3005" s="56"/>
      <c r="I3005" s="56"/>
      <c r="J3005" s="58"/>
      <c r="K3005" s="58"/>
      <c r="L3005" s="13" t="str">
        <f t="shared" si="460"/>
        <v/>
      </c>
      <c r="M3005" s="13" t="str">
        <f t="shared" si="461"/>
        <v/>
      </c>
      <c r="Q3005" t="str">
        <f t="shared" si="462"/>
        <v/>
      </c>
      <c r="R3005" t="str">
        <f t="shared" si="463"/>
        <v/>
      </c>
      <c r="S3005" t="str">
        <f t="shared" si="464"/>
        <v/>
      </c>
      <c r="T3005" t="str">
        <f t="shared" si="465"/>
        <v/>
      </c>
      <c r="U3005" t="str">
        <f t="shared" si="466"/>
        <v/>
      </c>
      <c r="V3005" t="str">
        <f t="shared" si="467"/>
        <v/>
      </c>
      <c r="W3005" t="str">
        <f t="shared" si="468"/>
        <v/>
      </c>
      <c r="X3005">
        <f>IF($T3005="",N($X3004),IF(MATCH($T3005,$T$6:$T$10005,0)=ROW()-5,N($X3004)+1,N($X3004)))</f>
        <v>0</v>
      </c>
      <c r="Z3005" t="str">
        <f t="shared" si="469"/>
        <v/>
      </c>
      <c r="AA3005">
        <f>IF($V3005="",N($AA3004),IF(MATCH($V3005,$V$6:$V$10005,0)=ROW()-5,N($AA3004)+1,N($AA3004)))</f>
        <v>0</v>
      </c>
    </row>
    <row r="3006" spans="1:27" ht="21" customHeight="1" x14ac:dyDescent="0.95">
      <c r="A3006" s="56"/>
      <c r="B3006" s="57"/>
      <c r="C3006" s="57"/>
      <c r="D3006" s="57"/>
      <c r="E3006" s="56"/>
      <c r="F3006" s="57"/>
      <c r="G3006" s="57"/>
      <c r="H3006" s="56"/>
      <c r="I3006" s="56"/>
      <c r="J3006" s="58"/>
      <c r="K3006" s="58"/>
      <c r="L3006" s="13" t="str">
        <f t="shared" si="460"/>
        <v/>
      </c>
      <c r="M3006" s="13" t="str">
        <f t="shared" si="461"/>
        <v/>
      </c>
      <c r="Q3006" t="str">
        <f t="shared" si="462"/>
        <v/>
      </c>
      <c r="R3006" t="str">
        <f t="shared" si="463"/>
        <v/>
      </c>
      <c r="S3006" t="str">
        <f t="shared" si="464"/>
        <v/>
      </c>
      <c r="T3006" t="str">
        <f t="shared" si="465"/>
        <v/>
      </c>
      <c r="U3006" t="str">
        <f t="shared" si="466"/>
        <v/>
      </c>
      <c r="V3006" t="str">
        <f t="shared" si="467"/>
        <v/>
      </c>
      <c r="W3006" t="str">
        <f t="shared" si="468"/>
        <v/>
      </c>
      <c r="X3006">
        <f>IF($T3006="",N($X3005),IF(MATCH($T3006,$T$6:$T$10005,0)=ROW()-5,N($X3005)+1,N($X3005)))</f>
        <v>0</v>
      </c>
      <c r="Z3006" t="str">
        <f t="shared" si="469"/>
        <v/>
      </c>
      <c r="AA3006">
        <f>IF($V3006="",N($AA3005),IF(MATCH($V3006,$V$6:$V$10005,0)=ROW()-5,N($AA3005)+1,N($AA3005)))</f>
        <v>0</v>
      </c>
    </row>
    <row r="3007" spans="1:27" ht="21" customHeight="1" x14ac:dyDescent="0.95">
      <c r="A3007" s="56"/>
      <c r="B3007" s="57"/>
      <c r="C3007" s="57"/>
      <c r="D3007" s="57"/>
      <c r="E3007" s="56"/>
      <c r="F3007" s="57"/>
      <c r="G3007" s="57"/>
      <c r="H3007" s="56"/>
      <c r="I3007" s="56"/>
      <c r="J3007" s="58"/>
      <c r="K3007" s="58"/>
      <c r="L3007" s="13" t="str">
        <f t="shared" si="460"/>
        <v/>
      </c>
      <c r="M3007" s="13" t="str">
        <f t="shared" si="461"/>
        <v/>
      </c>
      <c r="Q3007" t="str">
        <f t="shared" si="462"/>
        <v/>
      </c>
      <c r="R3007" t="str">
        <f t="shared" si="463"/>
        <v/>
      </c>
      <c r="S3007" t="str">
        <f t="shared" si="464"/>
        <v/>
      </c>
      <c r="T3007" t="str">
        <f t="shared" si="465"/>
        <v/>
      </c>
      <c r="U3007" t="str">
        <f t="shared" si="466"/>
        <v/>
      </c>
      <c r="V3007" t="str">
        <f t="shared" si="467"/>
        <v/>
      </c>
      <c r="W3007" t="str">
        <f t="shared" si="468"/>
        <v/>
      </c>
      <c r="X3007">
        <f>IF($T3007="",N($X3006),IF(MATCH($T3007,$T$6:$T$10005,0)=ROW()-5,N($X3006)+1,N($X3006)))</f>
        <v>0</v>
      </c>
      <c r="Z3007" t="str">
        <f t="shared" si="469"/>
        <v/>
      </c>
      <c r="AA3007">
        <f>IF($V3007="",N($AA3006),IF(MATCH($V3007,$V$6:$V$10005,0)=ROW()-5,N($AA3006)+1,N($AA3006)))</f>
        <v>0</v>
      </c>
    </row>
    <row r="3008" spans="1:27" ht="21" customHeight="1" x14ac:dyDescent="0.95">
      <c r="A3008" s="56"/>
      <c r="B3008" s="57"/>
      <c r="C3008" s="57"/>
      <c r="D3008" s="57"/>
      <c r="E3008" s="56"/>
      <c r="F3008" s="57"/>
      <c r="G3008" s="57"/>
      <c r="H3008" s="56"/>
      <c r="I3008" s="56"/>
      <c r="J3008" s="58"/>
      <c r="K3008" s="58"/>
      <c r="L3008" s="13" t="str">
        <f t="shared" si="460"/>
        <v/>
      </c>
      <c r="M3008" s="13" t="str">
        <f t="shared" si="461"/>
        <v/>
      </c>
      <c r="Q3008" t="str">
        <f t="shared" si="462"/>
        <v/>
      </c>
      <c r="R3008" t="str">
        <f t="shared" si="463"/>
        <v/>
      </c>
      <c r="S3008" t="str">
        <f t="shared" si="464"/>
        <v/>
      </c>
      <c r="T3008" t="str">
        <f t="shared" si="465"/>
        <v/>
      </c>
      <c r="U3008" t="str">
        <f t="shared" si="466"/>
        <v/>
      </c>
      <c r="V3008" t="str">
        <f t="shared" si="467"/>
        <v/>
      </c>
      <c r="W3008" t="str">
        <f t="shared" si="468"/>
        <v/>
      </c>
      <c r="X3008">
        <f>IF($T3008="",N($X3007),IF(MATCH($T3008,$T$6:$T$10005,0)=ROW()-5,N($X3007)+1,N($X3007)))</f>
        <v>0</v>
      </c>
      <c r="Z3008" t="str">
        <f t="shared" si="469"/>
        <v/>
      </c>
      <c r="AA3008">
        <f>IF($V3008="",N($AA3007),IF(MATCH($V3008,$V$6:$V$10005,0)=ROW()-5,N($AA3007)+1,N($AA3007)))</f>
        <v>0</v>
      </c>
    </row>
    <row r="3009" spans="1:27" ht="21" customHeight="1" x14ac:dyDescent="0.95">
      <c r="A3009" s="56"/>
      <c r="B3009" s="57"/>
      <c r="C3009" s="57"/>
      <c r="D3009" s="57"/>
      <c r="E3009" s="56"/>
      <c r="F3009" s="57"/>
      <c r="G3009" s="57"/>
      <c r="H3009" s="56"/>
      <c r="I3009" s="56"/>
      <c r="J3009" s="58"/>
      <c r="K3009" s="58"/>
      <c r="L3009" s="13" t="str">
        <f t="shared" si="460"/>
        <v/>
      </c>
      <c r="M3009" s="13" t="str">
        <f t="shared" si="461"/>
        <v/>
      </c>
      <c r="Q3009" t="str">
        <f t="shared" si="462"/>
        <v/>
      </c>
      <c r="R3009" t="str">
        <f t="shared" si="463"/>
        <v/>
      </c>
      <c r="S3009" t="str">
        <f t="shared" si="464"/>
        <v/>
      </c>
      <c r="T3009" t="str">
        <f t="shared" si="465"/>
        <v/>
      </c>
      <c r="U3009" t="str">
        <f t="shared" si="466"/>
        <v/>
      </c>
      <c r="V3009" t="str">
        <f t="shared" si="467"/>
        <v/>
      </c>
      <c r="W3009" t="str">
        <f t="shared" si="468"/>
        <v/>
      </c>
      <c r="X3009">
        <f>IF($T3009="",N($X3008),IF(MATCH($T3009,$T$6:$T$10005,0)=ROW()-5,N($X3008)+1,N($X3008)))</f>
        <v>0</v>
      </c>
      <c r="Z3009" t="str">
        <f t="shared" si="469"/>
        <v/>
      </c>
      <c r="AA3009">
        <f>IF($V3009="",N($AA3008),IF(MATCH($V3009,$V$6:$V$10005,0)=ROW()-5,N($AA3008)+1,N($AA3008)))</f>
        <v>0</v>
      </c>
    </row>
    <row r="3010" spans="1:27" ht="21" customHeight="1" x14ac:dyDescent="0.95">
      <c r="A3010" s="56"/>
      <c r="B3010" s="57"/>
      <c r="C3010" s="57"/>
      <c r="D3010" s="57"/>
      <c r="E3010" s="56"/>
      <c r="F3010" s="57"/>
      <c r="G3010" s="57"/>
      <c r="H3010" s="56"/>
      <c r="I3010" s="56"/>
      <c r="J3010" s="58"/>
      <c r="K3010" s="58"/>
      <c r="L3010" s="13" t="str">
        <f t="shared" si="460"/>
        <v/>
      </c>
      <c r="M3010" s="13" t="str">
        <f t="shared" si="461"/>
        <v/>
      </c>
      <c r="Q3010" t="str">
        <f t="shared" si="462"/>
        <v/>
      </c>
      <c r="R3010" t="str">
        <f t="shared" si="463"/>
        <v/>
      </c>
      <c r="S3010" t="str">
        <f t="shared" si="464"/>
        <v/>
      </c>
      <c r="T3010" t="str">
        <f t="shared" si="465"/>
        <v/>
      </c>
      <c r="U3010" t="str">
        <f t="shared" si="466"/>
        <v/>
      </c>
      <c r="V3010" t="str">
        <f t="shared" si="467"/>
        <v/>
      </c>
      <c r="W3010" t="str">
        <f t="shared" si="468"/>
        <v/>
      </c>
      <c r="X3010">
        <f>IF($T3010="",N($X3009),IF(MATCH($T3010,$T$6:$T$10005,0)=ROW()-5,N($X3009)+1,N($X3009)))</f>
        <v>0</v>
      </c>
      <c r="Z3010" t="str">
        <f t="shared" si="469"/>
        <v/>
      </c>
      <c r="AA3010">
        <f>IF($V3010="",N($AA3009),IF(MATCH($V3010,$V$6:$V$10005,0)=ROW()-5,N($AA3009)+1,N($AA3009)))</f>
        <v>0</v>
      </c>
    </row>
    <row r="3011" spans="1:27" ht="21" customHeight="1" x14ac:dyDescent="0.95">
      <c r="A3011" s="56"/>
      <c r="B3011" s="57"/>
      <c r="C3011" s="57"/>
      <c r="D3011" s="57"/>
      <c r="E3011" s="56"/>
      <c r="F3011" s="57"/>
      <c r="G3011" s="57"/>
      <c r="H3011" s="56"/>
      <c r="I3011" s="56"/>
      <c r="J3011" s="58"/>
      <c r="K3011" s="58"/>
      <c r="L3011" s="13" t="str">
        <f t="shared" si="460"/>
        <v/>
      </c>
      <c r="M3011" s="13" t="str">
        <f t="shared" si="461"/>
        <v/>
      </c>
      <c r="Q3011" t="str">
        <f t="shared" si="462"/>
        <v/>
      </c>
      <c r="R3011" t="str">
        <f t="shared" si="463"/>
        <v/>
      </c>
      <c r="S3011" t="str">
        <f t="shared" si="464"/>
        <v/>
      </c>
      <c r="T3011" t="str">
        <f t="shared" si="465"/>
        <v/>
      </c>
      <c r="U3011" t="str">
        <f t="shared" si="466"/>
        <v/>
      </c>
      <c r="V3011" t="str">
        <f t="shared" si="467"/>
        <v/>
      </c>
      <c r="W3011" t="str">
        <f t="shared" si="468"/>
        <v/>
      </c>
      <c r="X3011">
        <f>IF($T3011="",N($X3010),IF(MATCH($T3011,$T$6:$T$10005,0)=ROW()-5,N($X3010)+1,N($X3010)))</f>
        <v>0</v>
      </c>
      <c r="Z3011" t="str">
        <f t="shared" si="469"/>
        <v/>
      </c>
      <c r="AA3011">
        <f>IF($V3011="",N($AA3010),IF(MATCH($V3011,$V$6:$V$10005,0)=ROW()-5,N($AA3010)+1,N($AA3010)))</f>
        <v>0</v>
      </c>
    </row>
    <row r="3012" spans="1:27" ht="21" customHeight="1" x14ac:dyDescent="0.95">
      <c r="A3012" s="56"/>
      <c r="B3012" s="57"/>
      <c r="C3012" s="57"/>
      <c r="D3012" s="57"/>
      <c r="E3012" s="56"/>
      <c r="F3012" s="57"/>
      <c r="G3012" s="57"/>
      <c r="H3012" s="56"/>
      <c r="I3012" s="56"/>
      <c r="J3012" s="58"/>
      <c r="K3012" s="58"/>
      <c r="L3012" s="13" t="str">
        <f t="shared" si="460"/>
        <v/>
      </c>
      <c r="M3012" s="13" t="str">
        <f t="shared" si="461"/>
        <v/>
      </c>
      <c r="Q3012" t="str">
        <f t="shared" si="462"/>
        <v/>
      </c>
      <c r="R3012" t="str">
        <f t="shared" si="463"/>
        <v/>
      </c>
      <c r="S3012" t="str">
        <f t="shared" si="464"/>
        <v/>
      </c>
      <c r="T3012" t="str">
        <f t="shared" si="465"/>
        <v/>
      </c>
      <c r="U3012" t="str">
        <f t="shared" si="466"/>
        <v/>
      </c>
      <c r="V3012" t="str">
        <f t="shared" si="467"/>
        <v/>
      </c>
      <c r="W3012" t="str">
        <f t="shared" si="468"/>
        <v/>
      </c>
      <c r="X3012">
        <f>IF($T3012="",N($X3011),IF(MATCH($T3012,$T$6:$T$10005,0)=ROW()-5,N($X3011)+1,N($X3011)))</f>
        <v>0</v>
      </c>
      <c r="Z3012" t="str">
        <f t="shared" si="469"/>
        <v/>
      </c>
      <c r="AA3012">
        <f>IF($V3012="",N($AA3011),IF(MATCH($V3012,$V$6:$V$10005,0)=ROW()-5,N($AA3011)+1,N($AA3011)))</f>
        <v>0</v>
      </c>
    </row>
    <row r="3013" spans="1:27" ht="21" customHeight="1" x14ac:dyDescent="0.95">
      <c r="A3013" s="56"/>
      <c r="B3013" s="57"/>
      <c r="C3013" s="57"/>
      <c r="D3013" s="57"/>
      <c r="E3013" s="56"/>
      <c r="F3013" s="57"/>
      <c r="G3013" s="57"/>
      <c r="H3013" s="56"/>
      <c r="I3013" s="56"/>
      <c r="J3013" s="58"/>
      <c r="K3013" s="58"/>
      <c r="L3013" s="13" t="str">
        <f t="shared" si="460"/>
        <v/>
      </c>
      <c r="M3013" s="13" t="str">
        <f t="shared" si="461"/>
        <v/>
      </c>
      <c r="Q3013" t="str">
        <f t="shared" si="462"/>
        <v/>
      </c>
      <c r="R3013" t="str">
        <f t="shared" si="463"/>
        <v/>
      </c>
      <c r="S3013" t="str">
        <f t="shared" si="464"/>
        <v/>
      </c>
      <c r="T3013" t="str">
        <f t="shared" si="465"/>
        <v/>
      </c>
      <c r="U3013" t="str">
        <f t="shared" si="466"/>
        <v/>
      </c>
      <c r="V3013" t="str">
        <f t="shared" si="467"/>
        <v/>
      </c>
      <c r="W3013" t="str">
        <f t="shared" si="468"/>
        <v/>
      </c>
      <c r="X3013">
        <f>IF($T3013="",N($X3012),IF(MATCH($T3013,$T$6:$T$10005,0)=ROW()-5,N($X3012)+1,N($X3012)))</f>
        <v>0</v>
      </c>
      <c r="Z3013" t="str">
        <f t="shared" si="469"/>
        <v/>
      </c>
      <c r="AA3013">
        <f>IF($V3013="",N($AA3012),IF(MATCH($V3013,$V$6:$V$10005,0)=ROW()-5,N($AA3012)+1,N($AA3012)))</f>
        <v>0</v>
      </c>
    </row>
    <row r="3014" spans="1:27" ht="21" customHeight="1" x14ac:dyDescent="0.95">
      <c r="A3014" s="56"/>
      <c r="B3014" s="57"/>
      <c r="C3014" s="57"/>
      <c r="D3014" s="57"/>
      <c r="E3014" s="56"/>
      <c r="F3014" s="57"/>
      <c r="G3014" s="57"/>
      <c r="H3014" s="56"/>
      <c r="I3014" s="56"/>
      <c r="J3014" s="58"/>
      <c r="K3014" s="58"/>
      <c r="L3014" s="13" t="str">
        <f t="shared" ref="L3014:L3077" si="470">IF(OR($A3014="",AND($J3014="",$K3014="")),"",ROUND(N($J3014)-N($K3014),2))</f>
        <v/>
      </c>
      <c r="M3014" s="13" t="str">
        <f t="shared" ref="M3014:M3077" si="471">IF(OR($A3014="",AND($J3014="",$K3014="")),"",MIN($J3014,$K3014))</f>
        <v/>
      </c>
      <c r="Q3014" t="str">
        <f t="shared" ref="Q3014:Q3077" si="472">IF($A3014="","",$D3014&amp;"("&amp;SUBSTITUTE($E3014," ","")&amp;")")</f>
        <v/>
      </c>
      <c r="R3014" t="str">
        <f t="shared" ref="R3014:R3077" si="473">IF($A3014="","",$B3014&amp;" - "&amp;$C3014)</f>
        <v/>
      </c>
      <c r="S3014" t="str">
        <f t="shared" ref="S3014:S3077" si="474">IF($A3014="","",$R3014&amp;"|"&amp;$Q3014)</f>
        <v/>
      </c>
      <c r="T3014" t="str">
        <f t="shared" ref="T3014:T3077" si="475">IF($A3014="","",$S3014&amp;"|"&amp;$F3014)</f>
        <v/>
      </c>
      <c r="U3014" t="str">
        <f t="shared" ref="U3014:U3077" si="476">IF($A3014="","",$R3014&amp;"("&amp;$E3014&amp;")")</f>
        <v/>
      </c>
      <c r="V3014" t="str">
        <f t="shared" ref="V3014:V3077" si="477">IF($A3014="","",$F3014&amp;"|"&amp;$U3014&amp;"|"&amp;$D3014)</f>
        <v/>
      </c>
      <c r="W3014" t="str">
        <f t="shared" ref="W3014:W3077" si="478">IF($T3014="","",IF($X3014&gt;N($X3013),$X3014,""))</f>
        <v/>
      </c>
      <c r="X3014">
        <f>IF($T3014="",N($X3013),IF(MATCH($T3014,$T$6:$T$10005,0)=ROW()-5,N($X3013)+1,N($X3013)))</f>
        <v>0</v>
      </c>
      <c r="Z3014" t="str">
        <f t="shared" ref="Z3014:Z3077" si="479">IF($V3014="","",IF($AA3014&gt;N($AA3013),$AA3014,""))</f>
        <v/>
      </c>
      <c r="AA3014">
        <f>IF($V3014="",N($AA3013),IF(MATCH($V3014,$V$6:$V$10005,0)=ROW()-5,N($AA3013)+1,N($AA3013)))</f>
        <v>0</v>
      </c>
    </row>
    <row r="3015" spans="1:27" ht="21" customHeight="1" x14ac:dyDescent="0.95">
      <c r="A3015" s="56"/>
      <c r="B3015" s="57"/>
      <c r="C3015" s="57"/>
      <c r="D3015" s="57"/>
      <c r="E3015" s="56"/>
      <c r="F3015" s="57"/>
      <c r="G3015" s="57"/>
      <c r="H3015" s="56"/>
      <c r="I3015" s="56"/>
      <c r="J3015" s="58"/>
      <c r="K3015" s="58"/>
      <c r="L3015" s="13" t="str">
        <f t="shared" si="470"/>
        <v/>
      </c>
      <c r="M3015" s="13" t="str">
        <f t="shared" si="471"/>
        <v/>
      </c>
      <c r="Q3015" t="str">
        <f t="shared" si="472"/>
        <v/>
      </c>
      <c r="R3015" t="str">
        <f t="shared" si="473"/>
        <v/>
      </c>
      <c r="S3015" t="str">
        <f t="shared" si="474"/>
        <v/>
      </c>
      <c r="T3015" t="str">
        <f t="shared" si="475"/>
        <v/>
      </c>
      <c r="U3015" t="str">
        <f t="shared" si="476"/>
        <v/>
      </c>
      <c r="V3015" t="str">
        <f t="shared" si="477"/>
        <v/>
      </c>
      <c r="W3015" t="str">
        <f t="shared" si="478"/>
        <v/>
      </c>
      <c r="X3015">
        <f>IF($T3015="",N($X3014),IF(MATCH($T3015,$T$6:$T$10005,0)=ROW()-5,N($X3014)+1,N($X3014)))</f>
        <v>0</v>
      </c>
      <c r="Z3015" t="str">
        <f t="shared" si="479"/>
        <v/>
      </c>
      <c r="AA3015">
        <f>IF($V3015="",N($AA3014),IF(MATCH($V3015,$V$6:$V$10005,0)=ROW()-5,N($AA3014)+1,N($AA3014)))</f>
        <v>0</v>
      </c>
    </row>
    <row r="3016" spans="1:27" ht="21" customHeight="1" x14ac:dyDescent="0.95">
      <c r="A3016" s="56"/>
      <c r="B3016" s="57"/>
      <c r="C3016" s="57"/>
      <c r="D3016" s="57"/>
      <c r="E3016" s="56"/>
      <c r="F3016" s="57"/>
      <c r="G3016" s="57"/>
      <c r="H3016" s="56"/>
      <c r="I3016" s="56"/>
      <c r="J3016" s="58"/>
      <c r="K3016" s="58"/>
      <c r="L3016" s="13" t="str">
        <f t="shared" si="470"/>
        <v/>
      </c>
      <c r="M3016" s="13" t="str">
        <f t="shared" si="471"/>
        <v/>
      </c>
      <c r="Q3016" t="str">
        <f t="shared" si="472"/>
        <v/>
      </c>
      <c r="R3016" t="str">
        <f t="shared" si="473"/>
        <v/>
      </c>
      <c r="S3016" t="str">
        <f t="shared" si="474"/>
        <v/>
      </c>
      <c r="T3016" t="str">
        <f t="shared" si="475"/>
        <v/>
      </c>
      <c r="U3016" t="str">
        <f t="shared" si="476"/>
        <v/>
      </c>
      <c r="V3016" t="str">
        <f t="shared" si="477"/>
        <v/>
      </c>
      <c r="W3016" t="str">
        <f t="shared" si="478"/>
        <v/>
      </c>
      <c r="X3016">
        <f>IF($T3016="",N($X3015),IF(MATCH($T3016,$T$6:$T$10005,0)=ROW()-5,N($X3015)+1,N($X3015)))</f>
        <v>0</v>
      </c>
      <c r="Z3016" t="str">
        <f t="shared" si="479"/>
        <v/>
      </c>
      <c r="AA3016">
        <f>IF($V3016="",N($AA3015),IF(MATCH($V3016,$V$6:$V$10005,0)=ROW()-5,N($AA3015)+1,N($AA3015)))</f>
        <v>0</v>
      </c>
    </row>
    <row r="3017" spans="1:27" ht="21" customHeight="1" x14ac:dyDescent="0.95">
      <c r="A3017" s="56"/>
      <c r="B3017" s="57"/>
      <c r="C3017" s="57"/>
      <c r="D3017" s="57"/>
      <c r="E3017" s="56"/>
      <c r="F3017" s="57"/>
      <c r="G3017" s="57"/>
      <c r="H3017" s="56"/>
      <c r="I3017" s="56"/>
      <c r="J3017" s="58"/>
      <c r="K3017" s="58"/>
      <c r="L3017" s="13" t="str">
        <f t="shared" si="470"/>
        <v/>
      </c>
      <c r="M3017" s="13" t="str">
        <f t="shared" si="471"/>
        <v/>
      </c>
      <c r="Q3017" t="str">
        <f t="shared" si="472"/>
        <v/>
      </c>
      <c r="R3017" t="str">
        <f t="shared" si="473"/>
        <v/>
      </c>
      <c r="S3017" t="str">
        <f t="shared" si="474"/>
        <v/>
      </c>
      <c r="T3017" t="str">
        <f t="shared" si="475"/>
        <v/>
      </c>
      <c r="U3017" t="str">
        <f t="shared" si="476"/>
        <v/>
      </c>
      <c r="V3017" t="str">
        <f t="shared" si="477"/>
        <v/>
      </c>
      <c r="W3017" t="str">
        <f t="shared" si="478"/>
        <v/>
      </c>
      <c r="X3017">
        <f>IF($T3017="",N($X3016),IF(MATCH($T3017,$T$6:$T$10005,0)=ROW()-5,N($X3016)+1,N($X3016)))</f>
        <v>0</v>
      </c>
      <c r="Z3017" t="str">
        <f t="shared" si="479"/>
        <v/>
      </c>
      <c r="AA3017">
        <f>IF($V3017="",N($AA3016),IF(MATCH($V3017,$V$6:$V$10005,0)=ROW()-5,N($AA3016)+1,N($AA3016)))</f>
        <v>0</v>
      </c>
    </row>
    <row r="3018" spans="1:27" ht="21" customHeight="1" x14ac:dyDescent="0.95">
      <c r="A3018" s="56"/>
      <c r="B3018" s="57"/>
      <c r="C3018" s="57"/>
      <c r="D3018" s="57"/>
      <c r="E3018" s="56"/>
      <c r="F3018" s="57"/>
      <c r="G3018" s="57"/>
      <c r="H3018" s="56"/>
      <c r="I3018" s="56"/>
      <c r="J3018" s="58"/>
      <c r="K3018" s="58"/>
      <c r="L3018" s="13" t="str">
        <f t="shared" si="470"/>
        <v/>
      </c>
      <c r="M3018" s="13" t="str">
        <f t="shared" si="471"/>
        <v/>
      </c>
      <c r="Q3018" t="str">
        <f t="shared" si="472"/>
        <v/>
      </c>
      <c r="R3018" t="str">
        <f t="shared" si="473"/>
        <v/>
      </c>
      <c r="S3018" t="str">
        <f t="shared" si="474"/>
        <v/>
      </c>
      <c r="T3018" t="str">
        <f t="shared" si="475"/>
        <v/>
      </c>
      <c r="U3018" t="str">
        <f t="shared" si="476"/>
        <v/>
      </c>
      <c r="V3018" t="str">
        <f t="shared" si="477"/>
        <v/>
      </c>
      <c r="W3018" t="str">
        <f t="shared" si="478"/>
        <v/>
      </c>
      <c r="X3018">
        <f>IF($T3018="",N($X3017),IF(MATCH($T3018,$T$6:$T$10005,0)=ROW()-5,N($X3017)+1,N($X3017)))</f>
        <v>0</v>
      </c>
      <c r="Z3018" t="str">
        <f t="shared" si="479"/>
        <v/>
      </c>
      <c r="AA3018">
        <f>IF($V3018="",N($AA3017),IF(MATCH($V3018,$V$6:$V$10005,0)=ROW()-5,N($AA3017)+1,N($AA3017)))</f>
        <v>0</v>
      </c>
    </row>
    <row r="3019" spans="1:27" ht="21" customHeight="1" x14ac:dyDescent="0.95">
      <c r="A3019" s="56"/>
      <c r="B3019" s="57"/>
      <c r="C3019" s="57"/>
      <c r="D3019" s="57"/>
      <c r="E3019" s="56"/>
      <c r="F3019" s="57"/>
      <c r="G3019" s="57"/>
      <c r="H3019" s="56"/>
      <c r="I3019" s="56"/>
      <c r="J3019" s="58"/>
      <c r="K3019" s="58"/>
      <c r="L3019" s="13" t="str">
        <f t="shared" si="470"/>
        <v/>
      </c>
      <c r="M3019" s="13" t="str">
        <f t="shared" si="471"/>
        <v/>
      </c>
      <c r="Q3019" t="str">
        <f t="shared" si="472"/>
        <v/>
      </c>
      <c r="R3019" t="str">
        <f t="shared" si="473"/>
        <v/>
      </c>
      <c r="S3019" t="str">
        <f t="shared" si="474"/>
        <v/>
      </c>
      <c r="T3019" t="str">
        <f t="shared" si="475"/>
        <v/>
      </c>
      <c r="U3019" t="str">
        <f t="shared" si="476"/>
        <v/>
      </c>
      <c r="V3019" t="str">
        <f t="shared" si="477"/>
        <v/>
      </c>
      <c r="W3019" t="str">
        <f t="shared" si="478"/>
        <v/>
      </c>
      <c r="X3019">
        <f>IF($T3019="",N($X3018),IF(MATCH($T3019,$T$6:$T$10005,0)=ROW()-5,N($X3018)+1,N($X3018)))</f>
        <v>0</v>
      </c>
      <c r="Z3019" t="str">
        <f t="shared" si="479"/>
        <v/>
      </c>
      <c r="AA3019">
        <f>IF($V3019="",N($AA3018),IF(MATCH($V3019,$V$6:$V$10005,0)=ROW()-5,N($AA3018)+1,N($AA3018)))</f>
        <v>0</v>
      </c>
    </row>
    <row r="3020" spans="1:27" ht="21" customHeight="1" x14ac:dyDescent="0.95">
      <c r="A3020" s="56"/>
      <c r="B3020" s="57"/>
      <c r="C3020" s="57"/>
      <c r="D3020" s="57"/>
      <c r="E3020" s="56"/>
      <c r="F3020" s="57"/>
      <c r="G3020" s="57"/>
      <c r="H3020" s="56"/>
      <c r="I3020" s="56"/>
      <c r="J3020" s="58"/>
      <c r="K3020" s="58"/>
      <c r="L3020" s="13" t="str">
        <f t="shared" si="470"/>
        <v/>
      </c>
      <c r="M3020" s="13" t="str">
        <f t="shared" si="471"/>
        <v/>
      </c>
      <c r="Q3020" t="str">
        <f t="shared" si="472"/>
        <v/>
      </c>
      <c r="R3020" t="str">
        <f t="shared" si="473"/>
        <v/>
      </c>
      <c r="S3020" t="str">
        <f t="shared" si="474"/>
        <v/>
      </c>
      <c r="T3020" t="str">
        <f t="shared" si="475"/>
        <v/>
      </c>
      <c r="U3020" t="str">
        <f t="shared" si="476"/>
        <v/>
      </c>
      <c r="V3020" t="str">
        <f t="shared" si="477"/>
        <v/>
      </c>
      <c r="W3020" t="str">
        <f t="shared" si="478"/>
        <v/>
      </c>
      <c r="X3020">
        <f>IF($T3020="",N($X3019),IF(MATCH($T3020,$T$6:$T$10005,0)=ROW()-5,N($X3019)+1,N($X3019)))</f>
        <v>0</v>
      </c>
      <c r="Z3020" t="str">
        <f t="shared" si="479"/>
        <v/>
      </c>
      <c r="AA3020">
        <f>IF($V3020="",N($AA3019),IF(MATCH($V3020,$V$6:$V$10005,0)=ROW()-5,N($AA3019)+1,N($AA3019)))</f>
        <v>0</v>
      </c>
    </row>
    <row r="3021" spans="1:27" ht="21" customHeight="1" x14ac:dyDescent="0.95">
      <c r="A3021" s="56"/>
      <c r="B3021" s="57"/>
      <c r="C3021" s="57"/>
      <c r="D3021" s="57"/>
      <c r="E3021" s="56"/>
      <c r="F3021" s="57"/>
      <c r="G3021" s="57"/>
      <c r="H3021" s="56"/>
      <c r="I3021" s="56"/>
      <c r="J3021" s="58"/>
      <c r="K3021" s="58"/>
      <c r="L3021" s="13" t="str">
        <f t="shared" si="470"/>
        <v/>
      </c>
      <c r="M3021" s="13" t="str">
        <f t="shared" si="471"/>
        <v/>
      </c>
      <c r="Q3021" t="str">
        <f t="shared" si="472"/>
        <v/>
      </c>
      <c r="R3021" t="str">
        <f t="shared" si="473"/>
        <v/>
      </c>
      <c r="S3021" t="str">
        <f t="shared" si="474"/>
        <v/>
      </c>
      <c r="T3021" t="str">
        <f t="shared" si="475"/>
        <v/>
      </c>
      <c r="U3021" t="str">
        <f t="shared" si="476"/>
        <v/>
      </c>
      <c r="V3021" t="str">
        <f t="shared" si="477"/>
        <v/>
      </c>
      <c r="W3021" t="str">
        <f t="shared" si="478"/>
        <v/>
      </c>
      <c r="X3021">
        <f>IF($T3021="",N($X3020),IF(MATCH($T3021,$T$6:$T$10005,0)=ROW()-5,N($X3020)+1,N($X3020)))</f>
        <v>0</v>
      </c>
      <c r="Z3021" t="str">
        <f t="shared" si="479"/>
        <v/>
      </c>
      <c r="AA3021">
        <f>IF($V3021="",N($AA3020),IF(MATCH($V3021,$V$6:$V$10005,0)=ROW()-5,N($AA3020)+1,N($AA3020)))</f>
        <v>0</v>
      </c>
    </row>
    <row r="3022" spans="1:27" ht="21" customHeight="1" x14ac:dyDescent="0.95">
      <c r="A3022" s="56"/>
      <c r="B3022" s="57"/>
      <c r="C3022" s="57"/>
      <c r="D3022" s="57"/>
      <c r="E3022" s="56"/>
      <c r="F3022" s="57"/>
      <c r="G3022" s="57"/>
      <c r="H3022" s="56"/>
      <c r="I3022" s="56"/>
      <c r="J3022" s="58"/>
      <c r="K3022" s="58"/>
      <c r="L3022" s="13" t="str">
        <f t="shared" si="470"/>
        <v/>
      </c>
      <c r="M3022" s="13" t="str">
        <f t="shared" si="471"/>
        <v/>
      </c>
      <c r="Q3022" t="str">
        <f t="shared" si="472"/>
        <v/>
      </c>
      <c r="R3022" t="str">
        <f t="shared" si="473"/>
        <v/>
      </c>
      <c r="S3022" t="str">
        <f t="shared" si="474"/>
        <v/>
      </c>
      <c r="T3022" t="str">
        <f t="shared" si="475"/>
        <v/>
      </c>
      <c r="U3022" t="str">
        <f t="shared" si="476"/>
        <v/>
      </c>
      <c r="V3022" t="str">
        <f t="shared" si="477"/>
        <v/>
      </c>
      <c r="W3022" t="str">
        <f t="shared" si="478"/>
        <v/>
      </c>
      <c r="X3022">
        <f>IF($T3022="",N($X3021),IF(MATCH($T3022,$T$6:$T$10005,0)=ROW()-5,N($X3021)+1,N($X3021)))</f>
        <v>0</v>
      </c>
      <c r="Z3022" t="str">
        <f t="shared" si="479"/>
        <v/>
      </c>
      <c r="AA3022">
        <f>IF($V3022="",N($AA3021),IF(MATCH($V3022,$V$6:$V$10005,0)=ROW()-5,N($AA3021)+1,N($AA3021)))</f>
        <v>0</v>
      </c>
    </row>
    <row r="3023" spans="1:27" ht="21" customHeight="1" x14ac:dyDescent="0.95">
      <c r="A3023" s="56"/>
      <c r="B3023" s="57"/>
      <c r="C3023" s="57"/>
      <c r="D3023" s="57"/>
      <c r="E3023" s="56"/>
      <c r="F3023" s="57"/>
      <c r="G3023" s="57"/>
      <c r="H3023" s="56"/>
      <c r="I3023" s="56"/>
      <c r="J3023" s="58"/>
      <c r="K3023" s="58"/>
      <c r="L3023" s="13" t="str">
        <f t="shared" si="470"/>
        <v/>
      </c>
      <c r="M3023" s="13" t="str">
        <f t="shared" si="471"/>
        <v/>
      </c>
      <c r="Q3023" t="str">
        <f t="shared" si="472"/>
        <v/>
      </c>
      <c r="R3023" t="str">
        <f t="shared" si="473"/>
        <v/>
      </c>
      <c r="S3023" t="str">
        <f t="shared" si="474"/>
        <v/>
      </c>
      <c r="T3023" t="str">
        <f t="shared" si="475"/>
        <v/>
      </c>
      <c r="U3023" t="str">
        <f t="shared" si="476"/>
        <v/>
      </c>
      <c r="V3023" t="str">
        <f t="shared" si="477"/>
        <v/>
      </c>
      <c r="W3023" t="str">
        <f t="shared" si="478"/>
        <v/>
      </c>
      <c r="X3023">
        <f>IF($T3023="",N($X3022),IF(MATCH($T3023,$T$6:$T$10005,0)=ROW()-5,N($X3022)+1,N($X3022)))</f>
        <v>0</v>
      </c>
      <c r="Z3023" t="str">
        <f t="shared" si="479"/>
        <v/>
      </c>
      <c r="AA3023">
        <f>IF($V3023="",N($AA3022),IF(MATCH($V3023,$V$6:$V$10005,0)=ROW()-5,N($AA3022)+1,N($AA3022)))</f>
        <v>0</v>
      </c>
    </row>
    <row r="3024" spans="1:27" ht="21" customHeight="1" x14ac:dyDescent="0.95">
      <c r="A3024" s="56"/>
      <c r="B3024" s="57"/>
      <c r="C3024" s="57"/>
      <c r="D3024" s="57"/>
      <c r="E3024" s="56"/>
      <c r="F3024" s="57"/>
      <c r="G3024" s="57"/>
      <c r="H3024" s="56"/>
      <c r="I3024" s="56"/>
      <c r="J3024" s="58"/>
      <c r="K3024" s="58"/>
      <c r="L3024" s="13" t="str">
        <f t="shared" si="470"/>
        <v/>
      </c>
      <c r="M3024" s="13" t="str">
        <f t="shared" si="471"/>
        <v/>
      </c>
      <c r="Q3024" t="str">
        <f t="shared" si="472"/>
        <v/>
      </c>
      <c r="R3024" t="str">
        <f t="shared" si="473"/>
        <v/>
      </c>
      <c r="S3024" t="str">
        <f t="shared" si="474"/>
        <v/>
      </c>
      <c r="T3024" t="str">
        <f t="shared" si="475"/>
        <v/>
      </c>
      <c r="U3024" t="str">
        <f t="shared" si="476"/>
        <v/>
      </c>
      <c r="V3024" t="str">
        <f t="shared" si="477"/>
        <v/>
      </c>
      <c r="W3024" t="str">
        <f t="shared" si="478"/>
        <v/>
      </c>
      <c r="X3024">
        <f>IF($T3024="",N($X3023),IF(MATCH($T3024,$T$6:$T$10005,0)=ROW()-5,N($X3023)+1,N($X3023)))</f>
        <v>0</v>
      </c>
      <c r="Z3024" t="str">
        <f t="shared" si="479"/>
        <v/>
      </c>
      <c r="AA3024">
        <f>IF($V3024="",N($AA3023),IF(MATCH($V3024,$V$6:$V$10005,0)=ROW()-5,N($AA3023)+1,N($AA3023)))</f>
        <v>0</v>
      </c>
    </row>
    <row r="3025" spans="1:27" ht="21" customHeight="1" x14ac:dyDescent="0.95">
      <c r="A3025" s="56"/>
      <c r="B3025" s="57"/>
      <c r="C3025" s="57"/>
      <c r="D3025" s="57"/>
      <c r="E3025" s="56"/>
      <c r="F3025" s="57"/>
      <c r="G3025" s="57"/>
      <c r="H3025" s="56"/>
      <c r="I3025" s="56"/>
      <c r="J3025" s="58"/>
      <c r="K3025" s="58"/>
      <c r="L3025" s="13" t="str">
        <f t="shared" si="470"/>
        <v/>
      </c>
      <c r="M3025" s="13" t="str">
        <f t="shared" si="471"/>
        <v/>
      </c>
      <c r="Q3025" t="str">
        <f t="shared" si="472"/>
        <v/>
      </c>
      <c r="R3025" t="str">
        <f t="shared" si="473"/>
        <v/>
      </c>
      <c r="S3025" t="str">
        <f t="shared" si="474"/>
        <v/>
      </c>
      <c r="T3025" t="str">
        <f t="shared" si="475"/>
        <v/>
      </c>
      <c r="U3025" t="str">
        <f t="shared" si="476"/>
        <v/>
      </c>
      <c r="V3025" t="str">
        <f t="shared" si="477"/>
        <v/>
      </c>
      <c r="W3025" t="str">
        <f t="shared" si="478"/>
        <v/>
      </c>
      <c r="X3025">
        <f>IF($T3025="",N($X3024),IF(MATCH($T3025,$T$6:$T$10005,0)=ROW()-5,N($X3024)+1,N($X3024)))</f>
        <v>0</v>
      </c>
      <c r="Z3025" t="str">
        <f t="shared" si="479"/>
        <v/>
      </c>
      <c r="AA3025">
        <f>IF($V3025="",N($AA3024),IF(MATCH($V3025,$V$6:$V$10005,0)=ROW()-5,N($AA3024)+1,N($AA3024)))</f>
        <v>0</v>
      </c>
    </row>
    <row r="3026" spans="1:27" ht="21" customHeight="1" x14ac:dyDescent="0.95">
      <c r="A3026" s="56"/>
      <c r="B3026" s="57"/>
      <c r="C3026" s="57"/>
      <c r="D3026" s="57"/>
      <c r="E3026" s="56"/>
      <c r="F3026" s="57"/>
      <c r="G3026" s="57"/>
      <c r="H3026" s="56"/>
      <c r="I3026" s="56"/>
      <c r="J3026" s="58"/>
      <c r="K3026" s="58"/>
      <c r="L3026" s="13" t="str">
        <f t="shared" si="470"/>
        <v/>
      </c>
      <c r="M3026" s="13" t="str">
        <f t="shared" si="471"/>
        <v/>
      </c>
      <c r="Q3026" t="str">
        <f t="shared" si="472"/>
        <v/>
      </c>
      <c r="R3026" t="str">
        <f t="shared" si="473"/>
        <v/>
      </c>
      <c r="S3026" t="str">
        <f t="shared" si="474"/>
        <v/>
      </c>
      <c r="T3026" t="str">
        <f t="shared" si="475"/>
        <v/>
      </c>
      <c r="U3026" t="str">
        <f t="shared" si="476"/>
        <v/>
      </c>
      <c r="V3026" t="str">
        <f t="shared" si="477"/>
        <v/>
      </c>
      <c r="W3026" t="str">
        <f t="shared" si="478"/>
        <v/>
      </c>
      <c r="X3026">
        <f>IF($T3026="",N($X3025),IF(MATCH($T3026,$T$6:$T$10005,0)=ROW()-5,N($X3025)+1,N($X3025)))</f>
        <v>0</v>
      </c>
      <c r="Z3026" t="str">
        <f t="shared" si="479"/>
        <v/>
      </c>
      <c r="AA3026">
        <f>IF($V3026="",N($AA3025),IF(MATCH($V3026,$V$6:$V$10005,0)=ROW()-5,N($AA3025)+1,N($AA3025)))</f>
        <v>0</v>
      </c>
    </row>
    <row r="3027" spans="1:27" ht="21" customHeight="1" x14ac:dyDescent="0.95">
      <c r="A3027" s="56"/>
      <c r="B3027" s="57"/>
      <c r="C3027" s="57"/>
      <c r="D3027" s="57"/>
      <c r="E3027" s="56"/>
      <c r="F3027" s="57"/>
      <c r="G3027" s="57"/>
      <c r="H3027" s="56"/>
      <c r="I3027" s="56"/>
      <c r="J3027" s="58"/>
      <c r="K3027" s="58"/>
      <c r="L3027" s="13" t="str">
        <f t="shared" si="470"/>
        <v/>
      </c>
      <c r="M3027" s="13" t="str">
        <f t="shared" si="471"/>
        <v/>
      </c>
      <c r="Q3027" t="str">
        <f t="shared" si="472"/>
        <v/>
      </c>
      <c r="R3027" t="str">
        <f t="shared" si="473"/>
        <v/>
      </c>
      <c r="S3027" t="str">
        <f t="shared" si="474"/>
        <v/>
      </c>
      <c r="T3027" t="str">
        <f t="shared" si="475"/>
        <v/>
      </c>
      <c r="U3027" t="str">
        <f t="shared" si="476"/>
        <v/>
      </c>
      <c r="V3027" t="str">
        <f t="shared" si="477"/>
        <v/>
      </c>
      <c r="W3027" t="str">
        <f t="shared" si="478"/>
        <v/>
      </c>
      <c r="X3027">
        <f>IF($T3027="",N($X3026),IF(MATCH($T3027,$T$6:$T$10005,0)=ROW()-5,N($X3026)+1,N($X3026)))</f>
        <v>0</v>
      </c>
      <c r="Z3027" t="str">
        <f t="shared" si="479"/>
        <v/>
      </c>
      <c r="AA3027">
        <f>IF($V3027="",N($AA3026),IF(MATCH($V3027,$V$6:$V$10005,0)=ROW()-5,N($AA3026)+1,N($AA3026)))</f>
        <v>0</v>
      </c>
    </row>
    <row r="3028" spans="1:27" ht="21" customHeight="1" x14ac:dyDescent="0.95">
      <c r="A3028" s="56"/>
      <c r="B3028" s="57"/>
      <c r="C3028" s="57"/>
      <c r="D3028" s="57"/>
      <c r="E3028" s="56"/>
      <c r="F3028" s="57"/>
      <c r="G3028" s="57"/>
      <c r="H3028" s="56"/>
      <c r="I3028" s="56"/>
      <c r="J3028" s="58"/>
      <c r="K3028" s="58"/>
      <c r="L3028" s="13" t="str">
        <f t="shared" si="470"/>
        <v/>
      </c>
      <c r="M3028" s="13" t="str">
        <f t="shared" si="471"/>
        <v/>
      </c>
      <c r="Q3028" t="str">
        <f t="shared" si="472"/>
        <v/>
      </c>
      <c r="R3028" t="str">
        <f t="shared" si="473"/>
        <v/>
      </c>
      <c r="S3028" t="str">
        <f t="shared" si="474"/>
        <v/>
      </c>
      <c r="T3028" t="str">
        <f t="shared" si="475"/>
        <v/>
      </c>
      <c r="U3028" t="str">
        <f t="shared" si="476"/>
        <v/>
      </c>
      <c r="V3028" t="str">
        <f t="shared" si="477"/>
        <v/>
      </c>
      <c r="W3028" t="str">
        <f t="shared" si="478"/>
        <v/>
      </c>
      <c r="X3028">
        <f>IF($T3028="",N($X3027),IF(MATCH($T3028,$T$6:$T$10005,0)=ROW()-5,N($X3027)+1,N($X3027)))</f>
        <v>0</v>
      </c>
      <c r="Z3028" t="str">
        <f t="shared" si="479"/>
        <v/>
      </c>
      <c r="AA3028">
        <f>IF($V3028="",N($AA3027),IF(MATCH($V3028,$V$6:$V$10005,0)=ROW()-5,N($AA3027)+1,N($AA3027)))</f>
        <v>0</v>
      </c>
    </row>
    <row r="3029" spans="1:27" ht="21" customHeight="1" x14ac:dyDescent="0.95">
      <c r="A3029" s="56"/>
      <c r="B3029" s="57"/>
      <c r="C3029" s="57"/>
      <c r="D3029" s="57"/>
      <c r="E3029" s="56"/>
      <c r="F3029" s="57"/>
      <c r="G3029" s="57"/>
      <c r="H3029" s="56"/>
      <c r="I3029" s="56"/>
      <c r="J3029" s="58"/>
      <c r="K3029" s="58"/>
      <c r="L3029" s="13" t="str">
        <f t="shared" si="470"/>
        <v/>
      </c>
      <c r="M3029" s="13" t="str">
        <f t="shared" si="471"/>
        <v/>
      </c>
      <c r="Q3029" t="str">
        <f t="shared" si="472"/>
        <v/>
      </c>
      <c r="R3029" t="str">
        <f t="shared" si="473"/>
        <v/>
      </c>
      <c r="S3029" t="str">
        <f t="shared" si="474"/>
        <v/>
      </c>
      <c r="T3029" t="str">
        <f t="shared" si="475"/>
        <v/>
      </c>
      <c r="U3029" t="str">
        <f t="shared" si="476"/>
        <v/>
      </c>
      <c r="V3029" t="str">
        <f t="shared" si="477"/>
        <v/>
      </c>
      <c r="W3029" t="str">
        <f t="shared" si="478"/>
        <v/>
      </c>
      <c r="X3029">
        <f>IF($T3029="",N($X3028),IF(MATCH($T3029,$T$6:$T$10005,0)=ROW()-5,N($X3028)+1,N($X3028)))</f>
        <v>0</v>
      </c>
      <c r="Z3029" t="str">
        <f t="shared" si="479"/>
        <v/>
      </c>
      <c r="AA3029">
        <f>IF($V3029="",N($AA3028),IF(MATCH($V3029,$V$6:$V$10005,0)=ROW()-5,N($AA3028)+1,N($AA3028)))</f>
        <v>0</v>
      </c>
    </row>
    <row r="3030" spans="1:27" ht="21" customHeight="1" x14ac:dyDescent="0.95">
      <c r="A3030" s="56"/>
      <c r="B3030" s="57"/>
      <c r="C3030" s="57"/>
      <c r="D3030" s="57"/>
      <c r="E3030" s="56"/>
      <c r="F3030" s="57"/>
      <c r="G3030" s="57"/>
      <c r="H3030" s="56"/>
      <c r="I3030" s="56"/>
      <c r="J3030" s="58"/>
      <c r="K3030" s="58"/>
      <c r="L3030" s="13" t="str">
        <f t="shared" si="470"/>
        <v/>
      </c>
      <c r="M3030" s="13" t="str">
        <f t="shared" si="471"/>
        <v/>
      </c>
      <c r="Q3030" t="str">
        <f t="shared" si="472"/>
        <v/>
      </c>
      <c r="R3030" t="str">
        <f t="shared" si="473"/>
        <v/>
      </c>
      <c r="S3030" t="str">
        <f t="shared" si="474"/>
        <v/>
      </c>
      <c r="T3030" t="str">
        <f t="shared" si="475"/>
        <v/>
      </c>
      <c r="U3030" t="str">
        <f t="shared" si="476"/>
        <v/>
      </c>
      <c r="V3030" t="str">
        <f t="shared" si="477"/>
        <v/>
      </c>
      <c r="W3030" t="str">
        <f t="shared" si="478"/>
        <v/>
      </c>
      <c r="X3030">
        <f>IF($T3030="",N($X3029),IF(MATCH($T3030,$T$6:$T$10005,0)=ROW()-5,N($X3029)+1,N($X3029)))</f>
        <v>0</v>
      </c>
      <c r="Z3030" t="str">
        <f t="shared" si="479"/>
        <v/>
      </c>
      <c r="AA3030">
        <f>IF($V3030="",N($AA3029),IF(MATCH($V3030,$V$6:$V$10005,0)=ROW()-5,N($AA3029)+1,N($AA3029)))</f>
        <v>0</v>
      </c>
    </row>
    <row r="3031" spans="1:27" ht="21" customHeight="1" x14ac:dyDescent="0.95">
      <c r="A3031" s="56"/>
      <c r="B3031" s="57"/>
      <c r="C3031" s="57"/>
      <c r="D3031" s="57"/>
      <c r="E3031" s="56"/>
      <c r="F3031" s="57"/>
      <c r="G3031" s="57"/>
      <c r="H3031" s="56"/>
      <c r="I3031" s="56"/>
      <c r="J3031" s="58"/>
      <c r="K3031" s="58"/>
      <c r="L3031" s="13" t="str">
        <f t="shared" si="470"/>
        <v/>
      </c>
      <c r="M3031" s="13" t="str">
        <f t="shared" si="471"/>
        <v/>
      </c>
      <c r="Q3031" t="str">
        <f t="shared" si="472"/>
        <v/>
      </c>
      <c r="R3031" t="str">
        <f t="shared" si="473"/>
        <v/>
      </c>
      <c r="S3031" t="str">
        <f t="shared" si="474"/>
        <v/>
      </c>
      <c r="T3031" t="str">
        <f t="shared" si="475"/>
        <v/>
      </c>
      <c r="U3031" t="str">
        <f t="shared" si="476"/>
        <v/>
      </c>
      <c r="V3031" t="str">
        <f t="shared" si="477"/>
        <v/>
      </c>
      <c r="W3031" t="str">
        <f t="shared" si="478"/>
        <v/>
      </c>
      <c r="X3031">
        <f>IF($T3031="",N($X3030),IF(MATCH($T3031,$T$6:$T$10005,0)=ROW()-5,N($X3030)+1,N($X3030)))</f>
        <v>0</v>
      </c>
      <c r="Z3031" t="str">
        <f t="shared" si="479"/>
        <v/>
      </c>
      <c r="AA3031">
        <f>IF($V3031="",N($AA3030),IF(MATCH($V3031,$V$6:$V$10005,0)=ROW()-5,N($AA3030)+1,N($AA3030)))</f>
        <v>0</v>
      </c>
    </row>
    <row r="3032" spans="1:27" ht="21" customHeight="1" x14ac:dyDescent="0.95">
      <c r="A3032" s="56"/>
      <c r="B3032" s="57"/>
      <c r="C3032" s="57"/>
      <c r="D3032" s="57"/>
      <c r="E3032" s="56"/>
      <c r="F3032" s="57"/>
      <c r="G3032" s="57"/>
      <c r="H3032" s="56"/>
      <c r="I3032" s="56"/>
      <c r="J3032" s="58"/>
      <c r="K3032" s="58"/>
      <c r="L3032" s="13" t="str">
        <f t="shared" si="470"/>
        <v/>
      </c>
      <c r="M3032" s="13" t="str">
        <f t="shared" si="471"/>
        <v/>
      </c>
      <c r="Q3032" t="str">
        <f t="shared" si="472"/>
        <v/>
      </c>
      <c r="R3032" t="str">
        <f t="shared" si="473"/>
        <v/>
      </c>
      <c r="S3032" t="str">
        <f t="shared" si="474"/>
        <v/>
      </c>
      <c r="T3032" t="str">
        <f t="shared" si="475"/>
        <v/>
      </c>
      <c r="U3032" t="str">
        <f t="shared" si="476"/>
        <v/>
      </c>
      <c r="V3032" t="str">
        <f t="shared" si="477"/>
        <v/>
      </c>
      <c r="W3032" t="str">
        <f t="shared" si="478"/>
        <v/>
      </c>
      <c r="X3032">
        <f>IF($T3032="",N($X3031),IF(MATCH($T3032,$T$6:$T$10005,0)=ROW()-5,N($X3031)+1,N($X3031)))</f>
        <v>0</v>
      </c>
      <c r="Z3032" t="str">
        <f t="shared" si="479"/>
        <v/>
      </c>
      <c r="AA3032">
        <f>IF($V3032="",N($AA3031),IF(MATCH($V3032,$V$6:$V$10005,0)=ROW()-5,N($AA3031)+1,N($AA3031)))</f>
        <v>0</v>
      </c>
    </row>
    <row r="3033" spans="1:27" ht="21" customHeight="1" x14ac:dyDescent="0.95">
      <c r="A3033" s="56"/>
      <c r="B3033" s="57"/>
      <c r="C3033" s="57"/>
      <c r="D3033" s="57"/>
      <c r="E3033" s="56"/>
      <c r="F3033" s="57"/>
      <c r="G3033" s="57"/>
      <c r="H3033" s="56"/>
      <c r="I3033" s="56"/>
      <c r="J3033" s="58"/>
      <c r="K3033" s="58"/>
      <c r="L3033" s="13" t="str">
        <f t="shared" si="470"/>
        <v/>
      </c>
      <c r="M3033" s="13" t="str">
        <f t="shared" si="471"/>
        <v/>
      </c>
      <c r="Q3033" t="str">
        <f t="shared" si="472"/>
        <v/>
      </c>
      <c r="R3033" t="str">
        <f t="shared" si="473"/>
        <v/>
      </c>
      <c r="S3033" t="str">
        <f t="shared" si="474"/>
        <v/>
      </c>
      <c r="T3033" t="str">
        <f t="shared" si="475"/>
        <v/>
      </c>
      <c r="U3033" t="str">
        <f t="shared" si="476"/>
        <v/>
      </c>
      <c r="V3033" t="str">
        <f t="shared" si="477"/>
        <v/>
      </c>
      <c r="W3033" t="str">
        <f t="shared" si="478"/>
        <v/>
      </c>
      <c r="X3033">
        <f>IF($T3033="",N($X3032),IF(MATCH($T3033,$T$6:$T$10005,0)=ROW()-5,N($X3032)+1,N($X3032)))</f>
        <v>0</v>
      </c>
      <c r="Z3033" t="str">
        <f t="shared" si="479"/>
        <v/>
      </c>
      <c r="AA3033">
        <f>IF($V3033="",N($AA3032),IF(MATCH($V3033,$V$6:$V$10005,0)=ROW()-5,N($AA3032)+1,N($AA3032)))</f>
        <v>0</v>
      </c>
    </row>
    <row r="3034" spans="1:27" ht="21" customHeight="1" x14ac:dyDescent="0.95">
      <c r="A3034" s="56"/>
      <c r="B3034" s="57"/>
      <c r="C3034" s="57"/>
      <c r="D3034" s="57"/>
      <c r="E3034" s="56"/>
      <c r="F3034" s="57"/>
      <c r="G3034" s="57"/>
      <c r="H3034" s="56"/>
      <c r="I3034" s="56"/>
      <c r="J3034" s="58"/>
      <c r="K3034" s="58"/>
      <c r="L3034" s="13" t="str">
        <f t="shared" si="470"/>
        <v/>
      </c>
      <c r="M3034" s="13" t="str">
        <f t="shared" si="471"/>
        <v/>
      </c>
      <c r="Q3034" t="str">
        <f t="shared" si="472"/>
        <v/>
      </c>
      <c r="R3034" t="str">
        <f t="shared" si="473"/>
        <v/>
      </c>
      <c r="S3034" t="str">
        <f t="shared" si="474"/>
        <v/>
      </c>
      <c r="T3034" t="str">
        <f t="shared" si="475"/>
        <v/>
      </c>
      <c r="U3034" t="str">
        <f t="shared" si="476"/>
        <v/>
      </c>
      <c r="V3034" t="str">
        <f t="shared" si="477"/>
        <v/>
      </c>
      <c r="W3034" t="str">
        <f t="shared" si="478"/>
        <v/>
      </c>
      <c r="X3034">
        <f>IF($T3034="",N($X3033),IF(MATCH($T3034,$T$6:$T$10005,0)=ROW()-5,N($X3033)+1,N($X3033)))</f>
        <v>0</v>
      </c>
      <c r="Z3034" t="str">
        <f t="shared" si="479"/>
        <v/>
      </c>
      <c r="AA3034">
        <f>IF($V3034="",N($AA3033),IF(MATCH($V3034,$V$6:$V$10005,0)=ROW()-5,N($AA3033)+1,N($AA3033)))</f>
        <v>0</v>
      </c>
    </row>
    <row r="3035" spans="1:27" ht="21" customHeight="1" x14ac:dyDescent="0.95">
      <c r="A3035" s="56"/>
      <c r="B3035" s="57"/>
      <c r="C3035" s="57"/>
      <c r="D3035" s="57"/>
      <c r="E3035" s="56"/>
      <c r="F3035" s="57"/>
      <c r="G3035" s="57"/>
      <c r="H3035" s="56"/>
      <c r="I3035" s="56"/>
      <c r="J3035" s="58"/>
      <c r="K3035" s="58"/>
      <c r="L3035" s="13" t="str">
        <f t="shared" si="470"/>
        <v/>
      </c>
      <c r="M3035" s="13" t="str">
        <f t="shared" si="471"/>
        <v/>
      </c>
      <c r="Q3035" t="str">
        <f t="shared" si="472"/>
        <v/>
      </c>
      <c r="R3035" t="str">
        <f t="shared" si="473"/>
        <v/>
      </c>
      <c r="S3035" t="str">
        <f t="shared" si="474"/>
        <v/>
      </c>
      <c r="T3035" t="str">
        <f t="shared" si="475"/>
        <v/>
      </c>
      <c r="U3035" t="str">
        <f t="shared" si="476"/>
        <v/>
      </c>
      <c r="V3035" t="str">
        <f t="shared" si="477"/>
        <v/>
      </c>
      <c r="W3035" t="str">
        <f t="shared" si="478"/>
        <v/>
      </c>
      <c r="X3035">
        <f>IF($T3035="",N($X3034),IF(MATCH($T3035,$T$6:$T$10005,0)=ROW()-5,N($X3034)+1,N($X3034)))</f>
        <v>0</v>
      </c>
      <c r="Z3035" t="str">
        <f t="shared" si="479"/>
        <v/>
      </c>
      <c r="AA3035">
        <f>IF($V3035="",N($AA3034),IF(MATCH($V3035,$V$6:$V$10005,0)=ROW()-5,N($AA3034)+1,N($AA3034)))</f>
        <v>0</v>
      </c>
    </row>
    <row r="3036" spans="1:27" ht="21" customHeight="1" x14ac:dyDescent="0.95">
      <c r="A3036" s="56"/>
      <c r="B3036" s="57"/>
      <c r="C3036" s="57"/>
      <c r="D3036" s="57"/>
      <c r="E3036" s="56"/>
      <c r="F3036" s="57"/>
      <c r="G3036" s="57"/>
      <c r="H3036" s="56"/>
      <c r="I3036" s="56"/>
      <c r="J3036" s="58"/>
      <c r="K3036" s="58"/>
      <c r="L3036" s="13" t="str">
        <f t="shared" si="470"/>
        <v/>
      </c>
      <c r="M3036" s="13" t="str">
        <f t="shared" si="471"/>
        <v/>
      </c>
      <c r="Q3036" t="str">
        <f t="shared" si="472"/>
        <v/>
      </c>
      <c r="R3036" t="str">
        <f t="shared" si="473"/>
        <v/>
      </c>
      <c r="S3036" t="str">
        <f t="shared" si="474"/>
        <v/>
      </c>
      <c r="T3036" t="str">
        <f t="shared" si="475"/>
        <v/>
      </c>
      <c r="U3036" t="str">
        <f t="shared" si="476"/>
        <v/>
      </c>
      <c r="V3036" t="str">
        <f t="shared" si="477"/>
        <v/>
      </c>
      <c r="W3036" t="str">
        <f t="shared" si="478"/>
        <v/>
      </c>
      <c r="X3036">
        <f>IF($T3036="",N($X3035),IF(MATCH($T3036,$T$6:$T$10005,0)=ROW()-5,N($X3035)+1,N($X3035)))</f>
        <v>0</v>
      </c>
      <c r="Z3036" t="str">
        <f t="shared" si="479"/>
        <v/>
      </c>
      <c r="AA3036">
        <f>IF($V3036="",N($AA3035),IF(MATCH($V3036,$V$6:$V$10005,0)=ROW()-5,N($AA3035)+1,N($AA3035)))</f>
        <v>0</v>
      </c>
    </row>
    <row r="3037" spans="1:27" ht="21" customHeight="1" x14ac:dyDescent="0.95">
      <c r="A3037" s="56"/>
      <c r="B3037" s="57"/>
      <c r="C3037" s="57"/>
      <c r="D3037" s="57"/>
      <c r="E3037" s="56"/>
      <c r="F3037" s="57"/>
      <c r="G3037" s="57"/>
      <c r="H3037" s="56"/>
      <c r="I3037" s="56"/>
      <c r="J3037" s="58"/>
      <c r="K3037" s="58"/>
      <c r="L3037" s="13" t="str">
        <f t="shared" si="470"/>
        <v/>
      </c>
      <c r="M3037" s="13" t="str">
        <f t="shared" si="471"/>
        <v/>
      </c>
      <c r="Q3037" t="str">
        <f t="shared" si="472"/>
        <v/>
      </c>
      <c r="R3037" t="str">
        <f t="shared" si="473"/>
        <v/>
      </c>
      <c r="S3037" t="str">
        <f t="shared" si="474"/>
        <v/>
      </c>
      <c r="T3037" t="str">
        <f t="shared" si="475"/>
        <v/>
      </c>
      <c r="U3037" t="str">
        <f t="shared" si="476"/>
        <v/>
      </c>
      <c r="V3037" t="str">
        <f t="shared" si="477"/>
        <v/>
      </c>
      <c r="W3037" t="str">
        <f t="shared" si="478"/>
        <v/>
      </c>
      <c r="X3037">
        <f>IF($T3037="",N($X3036),IF(MATCH($T3037,$T$6:$T$10005,0)=ROW()-5,N($X3036)+1,N($X3036)))</f>
        <v>0</v>
      </c>
      <c r="Z3037" t="str">
        <f t="shared" si="479"/>
        <v/>
      </c>
      <c r="AA3037">
        <f>IF($V3037="",N($AA3036),IF(MATCH($V3037,$V$6:$V$10005,0)=ROW()-5,N($AA3036)+1,N($AA3036)))</f>
        <v>0</v>
      </c>
    </row>
    <row r="3038" spans="1:27" ht="21" customHeight="1" x14ac:dyDescent="0.95">
      <c r="A3038" s="56"/>
      <c r="B3038" s="57"/>
      <c r="C3038" s="57"/>
      <c r="D3038" s="57"/>
      <c r="E3038" s="56"/>
      <c r="F3038" s="57"/>
      <c r="G3038" s="57"/>
      <c r="H3038" s="56"/>
      <c r="I3038" s="56"/>
      <c r="J3038" s="58"/>
      <c r="K3038" s="58"/>
      <c r="L3038" s="13" t="str">
        <f t="shared" si="470"/>
        <v/>
      </c>
      <c r="M3038" s="13" t="str">
        <f t="shared" si="471"/>
        <v/>
      </c>
      <c r="Q3038" t="str">
        <f t="shared" si="472"/>
        <v/>
      </c>
      <c r="R3038" t="str">
        <f t="shared" si="473"/>
        <v/>
      </c>
      <c r="S3038" t="str">
        <f t="shared" si="474"/>
        <v/>
      </c>
      <c r="T3038" t="str">
        <f t="shared" si="475"/>
        <v/>
      </c>
      <c r="U3038" t="str">
        <f t="shared" si="476"/>
        <v/>
      </c>
      <c r="V3038" t="str">
        <f t="shared" si="477"/>
        <v/>
      </c>
      <c r="W3038" t="str">
        <f t="shared" si="478"/>
        <v/>
      </c>
      <c r="X3038">
        <f>IF($T3038="",N($X3037),IF(MATCH($T3038,$T$6:$T$10005,0)=ROW()-5,N($X3037)+1,N($X3037)))</f>
        <v>0</v>
      </c>
      <c r="Z3038" t="str">
        <f t="shared" si="479"/>
        <v/>
      </c>
      <c r="AA3038">
        <f>IF($V3038="",N($AA3037),IF(MATCH($V3038,$V$6:$V$10005,0)=ROW()-5,N($AA3037)+1,N($AA3037)))</f>
        <v>0</v>
      </c>
    </row>
    <row r="3039" spans="1:27" ht="21" customHeight="1" x14ac:dyDescent="0.95">
      <c r="A3039" s="56"/>
      <c r="B3039" s="57"/>
      <c r="C3039" s="57"/>
      <c r="D3039" s="57"/>
      <c r="E3039" s="56"/>
      <c r="F3039" s="57"/>
      <c r="G3039" s="57"/>
      <c r="H3039" s="56"/>
      <c r="I3039" s="56"/>
      <c r="J3039" s="58"/>
      <c r="K3039" s="58"/>
      <c r="L3039" s="13" t="str">
        <f t="shared" si="470"/>
        <v/>
      </c>
      <c r="M3039" s="13" t="str">
        <f t="shared" si="471"/>
        <v/>
      </c>
      <c r="Q3039" t="str">
        <f t="shared" si="472"/>
        <v/>
      </c>
      <c r="R3039" t="str">
        <f t="shared" si="473"/>
        <v/>
      </c>
      <c r="S3039" t="str">
        <f t="shared" si="474"/>
        <v/>
      </c>
      <c r="T3039" t="str">
        <f t="shared" si="475"/>
        <v/>
      </c>
      <c r="U3039" t="str">
        <f t="shared" si="476"/>
        <v/>
      </c>
      <c r="V3039" t="str">
        <f t="shared" si="477"/>
        <v/>
      </c>
      <c r="W3039" t="str">
        <f t="shared" si="478"/>
        <v/>
      </c>
      <c r="X3039">
        <f>IF($T3039="",N($X3038),IF(MATCH($T3039,$T$6:$T$10005,0)=ROW()-5,N($X3038)+1,N($X3038)))</f>
        <v>0</v>
      </c>
      <c r="Z3039" t="str">
        <f t="shared" si="479"/>
        <v/>
      </c>
      <c r="AA3039">
        <f>IF($V3039="",N($AA3038),IF(MATCH($V3039,$V$6:$V$10005,0)=ROW()-5,N($AA3038)+1,N($AA3038)))</f>
        <v>0</v>
      </c>
    </row>
    <row r="3040" spans="1:27" ht="21" customHeight="1" x14ac:dyDescent="0.95">
      <c r="A3040" s="56"/>
      <c r="B3040" s="57"/>
      <c r="C3040" s="57"/>
      <c r="D3040" s="57"/>
      <c r="E3040" s="56"/>
      <c r="F3040" s="57"/>
      <c r="G3040" s="57"/>
      <c r="H3040" s="56"/>
      <c r="I3040" s="56"/>
      <c r="J3040" s="58"/>
      <c r="K3040" s="58"/>
      <c r="L3040" s="13" t="str">
        <f t="shared" si="470"/>
        <v/>
      </c>
      <c r="M3040" s="13" t="str">
        <f t="shared" si="471"/>
        <v/>
      </c>
      <c r="Q3040" t="str">
        <f t="shared" si="472"/>
        <v/>
      </c>
      <c r="R3040" t="str">
        <f t="shared" si="473"/>
        <v/>
      </c>
      <c r="S3040" t="str">
        <f t="shared" si="474"/>
        <v/>
      </c>
      <c r="T3040" t="str">
        <f t="shared" si="475"/>
        <v/>
      </c>
      <c r="U3040" t="str">
        <f t="shared" si="476"/>
        <v/>
      </c>
      <c r="V3040" t="str">
        <f t="shared" si="477"/>
        <v/>
      </c>
      <c r="W3040" t="str">
        <f t="shared" si="478"/>
        <v/>
      </c>
      <c r="X3040">
        <f>IF($T3040="",N($X3039),IF(MATCH($T3040,$T$6:$T$10005,0)=ROW()-5,N($X3039)+1,N($X3039)))</f>
        <v>0</v>
      </c>
      <c r="Z3040" t="str">
        <f t="shared" si="479"/>
        <v/>
      </c>
      <c r="AA3040">
        <f>IF($V3040="",N($AA3039),IF(MATCH($V3040,$V$6:$V$10005,0)=ROW()-5,N($AA3039)+1,N($AA3039)))</f>
        <v>0</v>
      </c>
    </row>
    <row r="3041" spans="1:27" ht="21" customHeight="1" x14ac:dyDescent="0.95">
      <c r="A3041" s="56"/>
      <c r="B3041" s="57"/>
      <c r="C3041" s="57"/>
      <c r="D3041" s="57"/>
      <c r="E3041" s="56"/>
      <c r="F3041" s="57"/>
      <c r="G3041" s="57"/>
      <c r="H3041" s="56"/>
      <c r="I3041" s="56"/>
      <c r="J3041" s="58"/>
      <c r="K3041" s="58"/>
      <c r="L3041" s="13" t="str">
        <f t="shared" si="470"/>
        <v/>
      </c>
      <c r="M3041" s="13" t="str">
        <f t="shared" si="471"/>
        <v/>
      </c>
      <c r="Q3041" t="str">
        <f t="shared" si="472"/>
        <v/>
      </c>
      <c r="R3041" t="str">
        <f t="shared" si="473"/>
        <v/>
      </c>
      <c r="S3041" t="str">
        <f t="shared" si="474"/>
        <v/>
      </c>
      <c r="T3041" t="str">
        <f t="shared" si="475"/>
        <v/>
      </c>
      <c r="U3041" t="str">
        <f t="shared" si="476"/>
        <v/>
      </c>
      <c r="V3041" t="str">
        <f t="shared" si="477"/>
        <v/>
      </c>
      <c r="W3041" t="str">
        <f t="shared" si="478"/>
        <v/>
      </c>
      <c r="X3041">
        <f>IF($T3041="",N($X3040),IF(MATCH($T3041,$T$6:$T$10005,0)=ROW()-5,N($X3040)+1,N($X3040)))</f>
        <v>0</v>
      </c>
      <c r="Z3041" t="str">
        <f t="shared" si="479"/>
        <v/>
      </c>
      <c r="AA3041">
        <f>IF($V3041="",N($AA3040),IF(MATCH($V3041,$V$6:$V$10005,0)=ROW()-5,N($AA3040)+1,N($AA3040)))</f>
        <v>0</v>
      </c>
    </row>
    <row r="3042" spans="1:27" ht="21" customHeight="1" x14ac:dyDescent="0.95">
      <c r="A3042" s="56"/>
      <c r="B3042" s="57"/>
      <c r="C3042" s="57"/>
      <c r="D3042" s="57"/>
      <c r="E3042" s="56"/>
      <c r="F3042" s="57"/>
      <c r="G3042" s="57"/>
      <c r="H3042" s="56"/>
      <c r="I3042" s="56"/>
      <c r="J3042" s="58"/>
      <c r="K3042" s="58"/>
      <c r="L3042" s="13" t="str">
        <f t="shared" si="470"/>
        <v/>
      </c>
      <c r="M3042" s="13" t="str">
        <f t="shared" si="471"/>
        <v/>
      </c>
      <c r="Q3042" t="str">
        <f t="shared" si="472"/>
        <v/>
      </c>
      <c r="R3042" t="str">
        <f t="shared" si="473"/>
        <v/>
      </c>
      <c r="S3042" t="str">
        <f t="shared" si="474"/>
        <v/>
      </c>
      <c r="T3042" t="str">
        <f t="shared" si="475"/>
        <v/>
      </c>
      <c r="U3042" t="str">
        <f t="shared" si="476"/>
        <v/>
      </c>
      <c r="V3042" t="str">
        <f t="shared" si="477"/>
        <v/>
      </c>
      <c r="W3042" t="str">
        <f t="shared" si="478"/>
        <v/>
      </c>
      <c r="X3042">
        <f>IF($T3042="",N($X3041),IF(MATCH($T3042,$T$6:$T$10005,0)=ROW()-5,N($X3041)+1,N($X3041)))</f>
        <v>0</v>
      </c>
      <c r="Z3042" t="str">
        <f t="shared" si="479"/>
        <v/>
      </c>
      <c r="AA3042">
        <f>IF($V3042="",N($AA3041),IF(MATCH($V3042,$V$6:$V$10005,0)=ROW()-5,N($AA3041)+1,N($AA3041)))</f>
        <v>0</v>
      </c>
    </row>
    <row r="3043" spans="1:27" ht="21" customHeight="1" x14ac:dyDescent="0.95">
      <c r="A3043" s="56"/>
      <c r="B3043" s="57"/>
      <c r="C3043" s="57"/>
      <c r="D3043" s="57"/>
      <c r="E3043" s="56"/>
      <c r="F3043" s="57"/>
      <c r="G3043" s="57"/>
      <c r="H3043" s="56"/>
      <c r="I3043" s="56"/>
      <c r="J3043" s="58"/>
      <c r="K3043" s="58"/>
      <c r="L3043" s="13" t="str">
        <f t="shared" si="470"/>
        <v/>
      </c>
      <c r="M3043" s="13" t="str">
        <f t="shared" si="471"/>
        <v/>
      </c>
      <c r="Q3043" t="str">
        <f t="shared" si="472"/>
        <v/>
      </c>
      <c r="R3043" t="str">
        <f t="shared" si="473"/>
        <v/>
      </c>
      <c r="S3043" t="str">
        <f t="shared" si="474"/>
        <v/>
      </c>
      <c r="T3043" t="str">
        <f t="shared" si="475"/>
        <v/>
      </c>
      <c r="U3043" t="str">
        <f t="shared" si="476"/>
        <v/>
      </c>
      <c r="V3043" t="str">
        <f t="shared" si="477"/>
        <v/>
      </c>
      <c r="W3043" t="str">
        <f t="shared" si="478"/>
        <v/>
      </c>
      <c r="X3043">
        <f>IF($T3043="",N($X3042),IF(MATCH($T3043,$T$6:$T$10005,0)=ROW()-5,N($X3042)+1,N($X3042)))</f>
        <v>0</v>
      </c>
      <c r="Z3043" t="str">
        <f t="shared" si="479"/>
        <v/>
      </c>
      <c r="AA3043">
        <f>IF($V3043="",N($AA3042),IF(MATCH($V3043,$V$6:$V$10005,0)=ROW()-5,N($AA3042)+1,N($AA3042)))</f>
        <v>0</v>
      </c>
    </row>
    <row r="3044" spans="1:27" ht="21" customHeight="1" x14ac:dyDescent="0.95">
      <c r="A3044" s="56"/>
      <c r="B3044" s="57"/>
      <c r="C3044" s="57"/>
      <c r="D3044" s="57"/>
      <c r="E3044" s="56"/>
      <c r="F3044" s="57"/>
      <c r="G3044" s="57"/>
      <c r="H3044" s="56"/>
      <c r="I3044" s="56"/>
      <c r="J3044" s="58"/>
      <c r="K3044" s="58"/>
      <c r="L3044" s="13" t="str">
        <f t="shared" si="470"/>
        <v/>
      </c>
      <c r="M3044" s="13" t="str">
        <f t="shared" si="471"/>
        <v/>
      </c>
      <c r="Q3044" t="str">
        <f t="shared" si="472"/>
        <v/>
      </c>
      <c r="R3044" t="str">
        <f t="shared" si="473"/>
        <v/>
      </c>
      <c r="S3044" t="str">
        <f t="shared" si="474"/>
        <v/>
      </c>
      <c r="T3044" t="str">
        <f t="shared" si="475"/>
        <v/>
      </c>
      <c r="U3044" t="str">
        <f t="shared" si="476"/>
        <v/>
      </c>
      <c r="V3044" t="str">
        <f t="shared" si="477"/>
        <v/>
      </c>
      <c r="W3044" t="str">
        <f t="shared" si="478"/>
        <v/>
      </c>
      <c r="X3044">
        <f>IF($T3044="",N($X3043),IF(MATCH($T3044,$T$6:$T$10005,0)=ROW()-5,N($X3043)+1,N($X3043)))</f>
        <v>0</v>
      </c>
      <c r="Z3044" t="str">
        <f t="shared" si="479"/>
        <v/>
      </c>
      <c r="AA3044">
        <f>IF($V3044="",N($AA3043),IF(MATCH($V3044,$V$6:$V$10005,0)=ROW()-5,N($AA3043)+1,N($AA3043)))</f>
        <v>0</v>
      </c>
    </row>
    <row r="3045" spans="1:27" ht="21" customHeight="1" x14ac:dyDescent="0.95">
      <c r="A3045" s="56"/>
      <c r="B3045" s="57"/>
      <c r="C3045" s="57"/>
      <c r="D3045" s="57"/>
      <c r="E3045" s="56"/>
      <c r="F3045" s="57"/>
      <c r="G3045" s="57"/>
      <c r="H3045" s="56"/>
      <c r="I3045" s="56"/>
      <c r="J3045" s="58"/>
      <c r="K3045" s="58"/>
      <c r="L3045" s="13" t="str">
        <f t="shared" si="470"/>
        <v/>
      </c>
      <c r="M3045" s="13" t="str">
        <f t="shared" si="471"/>
        <v/>
      </c>
      <c r="Q3045" t="str">
        <f t="shared" si="472"/>
        <v/>
      </c>
      <c r="R3045" t="str">
        <f t="shared" si="473"/>
        <v/>
      </c>
      <c r="S3045" t="str">
        <f t="shared" si="474"/>
        <v/>
      </c>
      <c r="T3045" t="str">
        <f t="shared" si="475"/>
        <v/>
      </c>
      <c r="U3045" t="str">
        <f t="shared" si="476"/>
        <v/>
      </c>
      <c r="V3045" t="str">
        <f t="shared" si="477"/>
        <v/>
      </c>
      <c r="W3045" t="str">
        <f t="shared" si="478"/>
        <v/>
      </c>
      <c r="X3045">
        <f>IF($T3045="",N($X3044),IF(MATCH($T3045,$T$6:$T$10005,0)=ROW()-5,N($X3044)+1,N($X3044)))</f>
        <v>0</v>
      </c>
      <c r="Z3045" t="str">
        <f t="shared" si="479"/>
        <v/>
      </c>
      <c r="AA3045">
        <f>IF($V3045="",N($AA3044),IF(MATCH($V3045,$V$6:$V$10005,0)=ROW()-5,N($AA3044)+1,N($AA3044)))</f>
        <v>0</v>
      </c>
    </row>
    <row r="3046" spans="1:27" ht="21" customHeight="1" x14ac:dyDescent="0.95">
      <c r="A3046" s="56"/>
      <c r="B3046" s="57"/>
      <c r="C3046" s="57"/>
      <c r="D3046" s="57"/>
      <c r="E3046" s="56"/>
      <c r="F3046" s="57"/>
      <c r="G3046" s="57"/>
      <c r="H3046" s="56"/>
      <c r="I3046" s="56"/>
      <c r="J3046" s="58"/>
      <c r="K3046" s="58"/>
      <c r="L3046" s="13" t="str">
        <f t="shared" si="470"/>
        <v/>
      </c>
      <c r="M3046" s="13" t="str">
        <f t="shared" si="471"/>
        <v/>
      </c>
      <c r="Q3046" t="str">
        <f t="shared" si="472"/>
        <v/>
      </c>
      <c r="R3046" t="str">
        <f t="shared" si="473"/>
        <v/>
      </c>
      <c r="S3046" t="str">
        <f t="shared" si="474"/>
        <v/>
      </c>
      <c r="T3046" t="str">
        <f t="shared" si="475"/>
        <v/>
      </c>
      <c r="U3046" t="str">
        <f t="shared" si="476"/>
        <v/>
      </c>
      <c r="V3046" t="str">
        <f t="shared" si="477"/>
        <v/>
      </c>
      <c r="W3046" t="str">
        <f t="shared" si="478"/>
        <v/>
      </c>
      <c r="X3046">
        <f>IF($T3046="",N($X3045),IF(MATCH($T3046,$T$6:$T$10005,0)=ROW()-5,N($X3045)+1,N($X3045)))</f>
        <v>0</v>
      </c>
      <c r="Z3046" t="str">
        <f t="shared" si="479"/>
        <v/>
      </c>
      <c r="AA3046">
        <f>IF($V3046="",N($AA3045),IF(MATCH($V3046,$V$6:$V$10005,0)=ROW()-5,N($AA3045)+1,N($AA3045)))</f>
        <v>0</v>
      </c>
    </row>
    <row r="3047" spans="1:27" ht="21" customHeight="1" x14ac:dyDescent="0.95">
      <c r="A3047" s="56"/>
      <c r="B3047" s="57"/>
      <c r="C3047" s="57"/>
      <c r="D3047" s="57"/>
      <c r="E3047" s="56"/>
      <c r="F3047" s="57"/>
      <c r="G3047" s="57"/>
      <c r="H3047" s="56"/>
      <c r="I3047" s="56"/>
      <c r="J3047" s="58"/>
      <c r="K3047" s="58"/>
      <c r="L3047" s="13" t="str">
        <f t="shared" si="470"/>
        <v/>
      </c>
      <c r="M3047" s="13" t="str">
        <f t="shared" si="471"/>
        <v/>
      </c>
      <c r="Q3047" t="str">
        <f t="shared" si="472"/>
        <v/>
      </c>
      <c r="R3047" t="str">
        <f t="shared" si="473"/>
        <v/>
      </c>
      <c r="S3047" t="str">
        <f t="shared" si="474"/>
        <v/>
      </c>
      <c r="T3047" t="str">
        <f t="shared" si="475"/>
        <v/>
      </c>
      <c r="U3047" t="str">
        <f t="shared" si="476"/>
        <v/>
      </c>
      <c r="V3047" t="str">
        <f t="shared" si="477"/>
        <v/>
      </c>
      <c r="W3047" t="str">
        <f t="shared" si="478"/>
        <v/>
      </c>
      <c r="X3047">
        <f>IF($T3047="",N($X3046),IF(MATCH($T3047,$T$6:$T$10005,0)=ROW()-5,N($X3046)+1,N($X3046)))</f>
        <v>0</v>
      </c>
      <c r="Z3047" t="str">
        <f t="shared" si="479"/>
        <v/>
      </c>
      <c r="AA3047">
        <f>IF($V3047="",N($AA3046),IF(MATCH($V3047,$V$6:$V$10005,0)=ROW()-5,N($AA3046)+1,N($AA3046)))</f>
        <v>0</v>
      </c>
    </row>
    <row r="3048" spans="1:27" ht="21" customHeight="1" x14ac:dyDescent="0.95">
      <c r="A3048" s="56"/>
      <c r="B3048" s="57"/>
      <c r="C3048" s="57"/>
      <c r="D3048" s="57"/>
      <c r="E3048" s="56"/>
      <c r="F3048" s="57"/>
      <c r="G3048" s="57"/>
      <c r="H3048" s="56"/>
      <c r="I3048" s="56"/>
      <c r="J3048" s="58"/>
      <c r="K3048" s="58"/>
      <c r="L3048" s="13" t="str">
        <f t="shared" si="470"/>
        <v/>
      </c>
      <c r="M3048" s="13" t="str">
        <f t="shared" si="471"/>
        <v/>
      </c>
      <c r="Q3048" t="str">
        <f t="shared" si="472"/>
        <v/>
      </c>
      <c r="R3048" t="str">
        <f t="shared" si="473"/>
        <v/>
      </c>
      <c r="S3048" t="str">
        <f t="shared" si="474"/>
        <v/>
      </c>
      <c r="T3048" t="str">
        <f t="shared" si="475"/>
        <v/>
      </c>
      <c r="U3048" t="str">
        <f t="shared" si="476"/>
        <v/>
      </c>
      <c r="V3048" t="str">
        <f t="shared" si="477"/>
        <v/>
      </c>
      <c r="W3048" t="str">
        <f t="shared" si="478"/>
        <v/>
      </c>
      <c r="X3048">
        <f>IF($T3048="",N($X3047),IF(MATCH($T3048,$T$6:$T$10005,0)=ROW()-5,N($X3047)+1,N($X3047)))</f>
        <v>0</v>
      </c>
      <c r="Z3048" t="str">
        <f t="shared" si="479"/>
        <v/>
      </c>
      <c r="AA3048">
        <f>IF($V3048="",N($AA3047),IF(MATCH($V3048,$V$6:$V$10005,0)=ROW()-5,N($AA3047)+1,N($AA3047)))</f>
        <v>0</v>
      </c>
    </row>
    <row r="3049" spans="1:27" ht="21" customHeight="1" x14ac:dyDescent="0.95">
      <c r="A3049" s="56"/>
      <c r="B3049" s="57"/>
      <c r="C3049" s="57"/>
      <c r="D3049" s="57"/>
      <c r="E3049" s="56"/>
      <c r="F3049" s="57"/>
      <c r="G3049" s="57"/>
      <c r="H3049" s="56"/>
      <c r="I3049" s="56"/>
      <c r="J3049" s="58"/>
      <c r="K3049" s="58"/>
      <c r="L3049" s="13" t="str">
        <f t="shared" si="470"/>
        <v/>
      </c>
      <c r="M3049" s="13" t="str">
        <f t="shared" si="471"/>
        <v/>
      </c>
      <c r="Q3049" t="str">
        <f t="shared" si="472"/>
        <v/>
      </c>
      <c r="R3049" t="str">
        <f t="shared" si="473"/>
        <v/>
      </c>
      <c r="S3049" t="str">
        <f t="shared" si="474"/>
        <v/>
      </c>
      <c r="T3049" t="str">
        <f t="shared" si="475"/>
        <v/>
      </c>
      <c r="U3049" t="str">
        <f t="shared" si="476"/>
        <v/>
      </c>
      <c r="V3049" t="str">
        <f t="shared" si="477"/>
        <v/>
      </c>
      <c r="W3049" t="str">
        <f t="shared" si="478"/>
        <v/>
      </c>
      <c r="X3049">
        <f>IF($T3049="",N($X3048),IF(MATCH($T3049,$T$6:$T$10005,0)=ROW()-5,N($X3048)+1,N($X3048)))</f>
        <v>0</v>
      </c>
      <c r="Z3049" t="str">
        <f t="shared" si="479"/>
        <v/>
      </c>
      <c r="AA3049">
        <f>IF($V3049="",N($AA3048),IF(MATCH($V3049,$V$6:$V$10005,0)=ROW()-5,N($AA3048)+1,N($AA3048)))</f>
        <v>0</v>
      </c>
    </row>
    <row r="3050" spans="1:27" ht="21" customHeight="1" x14ac:dyDescent="0.95">
      <c r="A3050" s="56"/>
      <c r="B3050" s="57"/>
      <c r="C3050" s="57"/>
      <c r="D3050" s="57"/>
      <c r="E3050" s="56"/>
      <c r="F3050" s="57"/>
      <c r="G3050" s="57"/>
      <c r="H3050" s="56"/>
      <c r="I3050" s="56"/>
      <c r="J3050" s="58"/>
      <c r="K3050" s="58"/>
      <c r="L3050" s="13" t="str">
        <f t="shared" si="470"/>
        <v/>
      </c>
      <c r="M3050" s="13" t="str">
        <f t="shared" si="471"/>
        <v/>
      </c>
      <c r="Q3050" t="str">
        <f t="shared" si="472"/>
        <v/>
      </c>
      <c r="R3050" t="str">
        <f t="shared" si="473"/>
        <v/>
      </c>
      <c r="S3050" t="str">
        <f t="shared" si="474"/>
        <v/>
      </c>
      <c r="T3050" t="str">
        <f t="shared" si="475"/>
        <v/>
      </c>
      <c r="U3050" t="str">
        <f t="shared" si="476"/>
        <v/>
      </c>
      <c r="V3050" t="str">
        <f t="shared" si="477"/>
        <v/>
      </c>
      <c r="W3050" t="str">
        <f t="shared" si="478"/>
        <v/>
      </c>
      <c r="X3050">
        <f>IF($T3050="",N($X3049),IF(MATCH($T3050,$T$6:$T$10005,0)=ROW()-5,N($X3049)+1,N($X3049)))</f>
        <v>0</v>
      </c>
      <c r="Z3050" t="str">
        <f t="shared" si="479"/>
        <v/>
      </c>
      <c r="AA3050">
        <f>IF($V3050="",N($AA3049),IF(MATCH($V3050,$V$6:$V$10005,0)=ROW()-5,N($AA3049)+1,N($AA3049)))</f>
        <v>0</v>
      </c>
    </row>
    <row r="3051" spans="1:27" ht="21" customHeight="1" x14ac:dyDescent="0.95">
      <c r="A3051" s="56"/>
      <c r="B3051" s="57"/>
      <c r="C3051" s="57"/>
      <c r="D3051" s="57"/>
      <c r="E3051" s="56"/>
      <c r="F3051" s="57"/>
      <c r="G3051" s="57"/>
      <c r="H3051" s="56"/>
      <c r="I3051" s="56"/>
      <c r="J3051" s="58"/>
      <c r="K3051" s="58"/>
      <c r="L3051" s="13" t="str">
        <f t="shared" si="470"/>
        <v/>
      </c>
      <c r="M3051" s="13" t="str">
        <f t="shared" si="471"/>
        <v/>
      </c>
      <c r="Q3051" t="str">
        <f t="shared" si="472"/>
        <v/>
      </c>
      <c r="R3051" t="str">
        <f t="shared" si="473"/>
        <v/>
      </c>
      <c r="S3051" t="str">
        <f t="shared" si="474"/>
        <v/>
      </c>
      <c r="T3051" t="str">
        <f t="shared" si="475"/>
        <v/>
      </c>
      <c r="U3051" t="str">
        <f t="shared" si="476"/>
        <v/>
      </c>
      <c r="V3051" t="str">
        <f t="shared" si="477"/>
        <v/>
      </c>
      <c r="W3051" t="str">
        <f t="shared" si="478"/>
        <v/>
      </c>
      <c r="X3051">
        <f>IF($T3051="",N($X3050),IF(MATCH($T3051,$T$6:$T$10005,0)=ROW()-5,N($X3050)+1,N($X3050)))</f>
        <v>0</v>
      </c>
      <c r="Z3051" t="str">
        <f t="shared" si="479"/>
        <v/>
      </c>
      <c r="AA3051">
        <f>IF($V3051="",N($AA3050),IF(MATCH($V3051,$V$6:$V$10005,0)=ROW()-5,N($AA3050)+1,N($AA3050)))</f>
        <v>0</v>
      </c>
    </row>
    <row r="3052" spans="1:27" ht="21" customHeight="1" x14ac:dyDescent="0.95">
      <c r="A3052" s="56"/>
      <c r="B3052" s="57"/>
      <c r="C3052" s="57"/>
      <c r="D3052" s="57"/>
      <c r="E3052" s="56"/>
      <c r="F3052" s="57"/>
      <c r="G3052" s="57"/>
      <c r="H3052" s="56"/>
      <c r="I3052" s="56"/>
      <c r="J3052" s="58"/>
      <c r="K3052" s="58"/>
      <c r="L3052" s="13" t="str">
        <f t="shared" si="470"/>
        <v/>
      </c>
      <c r="M3052" s="13" t="str">
        <f t="shared" si="471"/>
        <v/>
      </c>
      <c r="Q3052" t="str">
        <f t="shared" si="472"/>
        <v/>
      </c>
      <c r="R3052" t="str">
        <f t="shared" si="473"/>
        <v/>
      </c>
      <c r="S3052" t="str">
        <f t="shared" si="474"/>
        <v/>
      </c>
      <c r="T3052" t="str">
        <f t="shared" si="475"/>
        <v/>
      </c>
      <c r="U3052" t="str">
        <f t="shared" si="476"/>
        <v/>
      </c>
      <c r="V3052" t="str">
        <f t="shared" si="477"/>
        <v/>
      </c>
      <c r="W3052" t="str">
        <f t="shared" si="478"/>
        <v/>
      </c>
      <c r="X3052">
        <f>IF($T3052="",N($X3051),IF(MATCH($T3052,$T$6:$T$10005,0)=ROW()-5,N($X3051)+1,N($X3051)))</f>
        <v>0</v>
      </c>
      <c r="Z3052" t="str">
        <f t="shared" si="479"/>
        <v/>
      </c>
      <c r="AA3052">
        <f>IF($V3052="",N($AA3051),IF(MATCH($V3052,$V$6:$V$10005,0)=ROW()-5,N($AA3051)+1,N($AA3051)))</f>
        <v>0</v>
      </c>
    </row>
    <row r="3053" spans="1:27" ht="21" customHeight="1" x14ac:dyDescent="0.95">
      <c r="A3053" s="56"/>
      <c r="B3053" s="57"/>
      <c r="C3053" s="57"/>
      <c r="D3053" s="57"/>
      <c r="E3053" s="56"/>
      <c r="F3053" s="57"/>
      <c r="G3053" s="57"/>
      <c r="H3053" s="56"/>
      <c r="I3053" s="56"/>
      <c r="J3053" s="58"/>
      <c r="K3053" s="58"/>
      <c r="L3053" s="13" t="str">
        <f t="shared" si="470"/>
        <v/>
      </c>
      <c r="M3053" s="13" t="str">
        <f t="shared" si="471"/>
        <v/>
      </c>
      <c r="Q3053" t="str">
        <f t="shared" si="472"/>
        <v/>
      </c>
      <c r="R3053" t="str">
        <f t="shared" si="473"/>
        <v/>
      </c>
      <c r="S3053" t="str">
        <f t="shared" si="474"/>
        <v/>
      </c>
      <c r="T3053" t="str">
        <f t="shared" si="475"/>
        <v/>
      </c>
      <c r="U3053" t="str">
        <f t="shared" si="476"/>
        <v/>
      </c>
      <c r="V3053" t="str">
        <f t="shared" si="477"/>
        <v/>
      </c>
      <c r="W3053" t="str">
        <f t="shared" si="478"/>
        <v/>
      </c>
      <c r="X3053">
        <f>IF($T3053="",N($X3052),IF(MATCH($T3053,$T$6:$T$10005,0)=ROW()-5,N($X3052)+1,N($X3052)))</f>
        <v>0</v>
      </c>
      <c r="Z3053" t="str">
        <f t="shared" si="479"/>
        <v/>
      </c>
      <c r="AA3053">
        <f>IF($V3053="",N($AA3052),IF(MATCH($V3053,$V$6:$V$10005,0)=ROW()-5,N($AA3052)+1,N($AA3052)))</f>
        <v>0</v>
      </c>
    </row>
    <row r="3054" spans="1:27" ht="21" customHeight="1" x14ac:dyDescent="0.95">
      <c r="A3054" s="56"/>
      <c r="B3054" s="57"/>
      <c r="C3054" s="57"/>
      <c r="D3054" s="57"/>
      <c r="E3054" s="56"/>
      <c r="F3054" s="57"/>
      <c r="G3054" s="57"/>
      <c r="H3054" s="56"/>
      <c r="I3054" s="56"/>
      <c r="J3054" s="58"/>
      <c r="K3054" s="58"/>
      <c r="L3054" s="13" t="str">
        <f t="shared" si="470"/>
        <v/>
      </c>
      <c r="M3054" s="13" t="str">
        <f t="shared" si="471"/>
        <v/>
      </c>
      <c r="Q3054" t="str">
        <f t="shared" si="472"/>
        <v/>
      </c>
      <c r="R3054" t="str">
        <f t="shared" si="473"/>
        <v/>
      </c>
      <c r="S3054" t="str">
        <f t="shared" si="474"/>
        <v/>
      </c>
      <c r="T3054" t="str">
        <f t="shared" si="475"/>
        <v/>
      </c>
      <c r="U3054" t="str">
        <f t="shared" si="476"/>
        <v/>
      </c>
      <c r="V3054" t="str">
        <f t="shared" si="477"/>
        <v/>
      </c>
      <c r="W3054" t="str">
        <f t="shared" si="478"/>
        <v/>
      </c>
      <c r="X3054">
        <f>IF($T3054="",N($X3053),IF(MATCH($T3054,$T$6:$T$10005,0)=ROW()-5,N($X3053)+1,N($X3053)))</f>
        <v>0</v>
      </c>
      <c r="Z3054" t="str">
        <f t="shared" si="479"/>
        <v/>
      </c>
      <c r="AA3054">
        <f>IF($V3054="",N($AA3053),IF(MATCH($V3054,$V$6:$V$10005,0)=ROW()-5,N($AA3053)+1,N($AA3053)))</f>
        <v>0</v>
      </c>
    </row>
    <row r="3055" spans="1:27" ht="21" customHeight="1" x14ac:dyDescent="0.95">
      <c r="A3055" s="56"/>
      <c r="B3055" s="57"/>
      <c r="C3055" s="57"/>
      <c r="D3055" s="57"/>
      <c r="E3055" s="56"/>
      <c r="F3055" s="57"/>
      <c r="G3055" s="57"/>
      <c r="H3055" s="56"/>
      <c r="I3055" s="56"/>
      <c r="J3055" s="58"/>
      <c r="K3055" s="58"/>
      <c r="L3055" s="13" t="str">
        <f t="shared" si="470"/>
        <v/>
      </c>
      <c r="M3055" s="13" t="str">
        <f t="shared" si="471"/>
        <v/>
      </c>
      <c r="Q3055" t="str">
        <f t="shared" si="472"/>
        <v/>
      </c>
      <c r="R3055" t="str">
        <f t="shared" si="473"/>
        <v/>
      </c>
      <c r="S3055" t="str">
        <f t="shared" si="474"/>
        <v/>
      </c>
      <c r="T3055" t="str">
        <f t="shared" si="475"/>
        <v/>
      </c>
      <c r="U3055" t="str">
        <f t="shared" si="476"/>
        <v/>
      </c>
      <c r="V3055" t="str">
        <f t="shared" si="477"/>
        <v/>
      </c>
      <c r="W3055" t="str">
        <f t="shared" si="478"/>
        <v/>
      </c>
      <c r="X3055">
        <f>IF($T3055="",N($X3054),IF(MATCH($T3055,$T$6:$T$10005,0)=ROW()-5,N($X3054)+1,N($X3054)))</f>
        <v>0</v>
      </c>
      <c r="Z3055" t="str">
        <f t="shared" si="479"/>
        <v/>
      </c>
      <c r="AA3055">
        <f>IF($V3055="",N($AA3054),IF(MATCH($V3055,$V$6:$V$10005,0)=ROW()-5,N($AA3054)+1,N($AA3054)))</f>
        <v>0</v>
      </c>
    </row>
    <row r="3056" spans="1:27" ht="21" customHeight="1" x14ac:dyDescent="0.95">
      <c r="A3056" s="56"/>
      <c r="B3056" s="57"/>
      <c r="C3056" s="57"/>
      <c r="D3056" s="57"/>
      <c r="E3056" s="56"/>
      <c r="F3056" s="57"/>
      <c r="G3056" s="57"/>
      <c r="H3056" s="56"/>
      <c r="I3056" s="56"/>
      <c r="J3056" s="58"/>
      <c r="K3056" s="58"/>
      <c r="L3056" s="13" t="str">
        <f t="shared" si="470"/>
        <v/>
      </c>
      <c r="M3056" s="13" t="str">
        <f t="shared" si="471"/>
        <v/>
      </c>
      <c r="Q3056" t="str">
        <f t="shared" si="472"/>
        <v/>
      </c>
      <c r="R3056" t="str">
        <f t="shared" si="473"/>
        <v/>
      </c>
      <c r="S3056" t="str">
        <f t="shared" si="474"/>
        <v/>
      </c>
      <c r="T3056" t="str">
        <f t="shared" si="475"/>
        <v/>
      </c>
      <c r="U3056" t="str">
        <f t="shared" si="476"/>
        <v/>
      </c>
      <c r="V3056" t="str">
        <f t="shared" si="477"/>
        <v/>
      </c>
      <c r="W3056" t="str">
        <f t="shared" si="478"/>
        <v/>
      </c>
      <c r="X3056">
        <f>IF($T3056="",N($X3055),IF(MATCH($T3056,$T$6:$T$10005,0)=ROW()-5,N($X3055)+1,N($X3055)))</f>
        <v>0</v>
      </c>
      <c r="Z3056" t="str">
        <f t="shared" si="479"/>
        <v/>
      </c>
      <c r="AA3056">
        <f>IF($V3056="",N($AA3055),IF(MATCH($V3056,$V$6:$V$10005,0)=ROW()-5,N($AA3055)+1,N($AA3055)))</f>
        <v>0</v>
      </c>
    </row>
    <row r="3057" spans="1:27" ht="21" customHeight="1" x14ac:dyDescent="0.95">
      <c r="A3057" s="56"/>
      <c r="B3057" s="57"/>
      <c r="C3057" s="57"/>
      <c r="D3057" s="57"/>
      <c r="E3057" s="56"/>
      <c r="F3057" s="57"/>
      <c r="G3057" s="57"/>
      <c r="H3057" s="56"/>
      <c r="I3057" s="56"/>
      <c r="J3057" s="58"/>
      <c r="K3057" s="58"/>
      <c r="L3057" s="13" t="str">
        <f t="shared" si="470"/>
        <v/>
      </c>
      <c r="M3057" s="13" t="str">
        <f t="shared" si="471"/>
        <v/>
      </c>
      <c r="Q3057" t="str">
        <f t="shared" si="472"/>
        <v/>
      </c>
      <c r="R3057" t="str">
        <f t="shared" si="473"/>
        <v/>
      </c>
      <c r="S3057" t="str">
        <f t="shared" si="474"/>
        <v/>
      </c>
      <c r="T3057" t="str">
        <f t="shared" si="475"/>
        <v/>
      </c>
      <c r="U3057" t="str">
        <f t="shared" si="476"/>
        <v/>
      </c>
      <c r="V3057" t="str">
        <f t="shared" si="477"/>
        <v/>
      </c>
      <c r="W3057" t="str">
        <f t="shared" si="478"/>
        <v/>
      </c>
      <c r="X3057">
        <f>IF($T3057="",N($X3056),IF(MATCH($T3057,$T$6:$T$10005,0)=ROW()-5,N($X3056)+1,N($X3056)))</f>
        <v>0</v>
      </c>
      <c r="Z3057" t="str">
        <f t="shared" si="479"/>
        <v/>
      </c>
      <c r="AA3057">
        <f>IF($V3057="",N($AA3056),IF(MATCH($V3057,$V$6:$V$10005,0)=ROW()-5,N($AA3056)+1,N($AA3056)))</f>
        <v>0</v>
      </c>
    </row>
    <row r="3058" spans="1:27" ht="21" customHeight="1" x14ac:dyDescent="0.95">
      <c r="A3058" s="56"/>
      <c r="B3058" s="57"/>
      <c r="C3058" s="57"/>
      <c r="D3058" s="57"/>
      <c r="E3058" s="56"/>
      <c r="F3058" s="57"/>
      <c r="G3058" s="57"/>
      <c r="H3058" s="56"/>
      <c r="I3058" s="56"/>
      <c r="J3058" s="58"/>
      <c r="K3058" s="58"/>
      <c r="L3058" s="13" t="str">
        <f t="shared" si="470"/>
        <v/>
      </c>
      <c r="M3058" s="13" t="str">
        <f t="shared" si="471"/>
        <v/>
      </c>
      <c r="Q3058" t="str">
        <f t="shared" si="472"/>
        <v/>
      </c>
      <c r="R3058" t="str">
        <f t="shared" si="473"/>
        <v/>
      </c>
      <c r="S3058" t="str">
        <f t="shared" si="474"/>
        <v/>
      </c>
      <c r="T3058" t="str">
        <f t="shared" si="475"/>
        <v/>
      </c>
      <c r="U3058" t="str">
        <f t="shared" si="476"/>
        <v/>
      </c>
      <c r="V3058" t="str">
        <f t="shared" si="477"/>
        <v/>
      </c>
      <c r="W3058" t="str">
        <f t="shared" si="478"/>
        <v/>
      </c>
      <c r="X3058">
        <f>IF($T3058="",N($X3057),IF(MATCH($T3058,$T$6:$T$10005,0)=ROW()-5,N($X3057)+1,N($X3057)))</f>
        <v>0</v>
      </c>
      <c r="Z3058" t="str">
        <f t="shared" si="479"/>
        <v/>
      </c>
      <c r="AA3058">
        <f>IF($V3058="",N($AA3057),IF(MATCH($V3058,$V$6:$V$10005,0)=ROW()-5,N($AA3057)+1,N($AA3057)))</f>
        <v>0</v>
      </c>
    </row>
    <row r="3059" spans="1:27" ht="21" customHeight="1" x14ac:dyDescent="0.95">
      <c r="A3059" s="56"/>
      <c r="B3059" s="57"/>
      <c r="C3059" s="57"/>
      <c r="D3059" s="57"/>
      <c r="E3059" s="56"/>
      <c r="F3059" s="57"/>
      <c r="G3059" s="57"/>
      <c r="H3059" s="56"/>
      <c r="I3059" s="56"/>
      <c r="J3059" s="58"/>
      <c r="K3059" s="58"/>
      <c r="L3059" s="13" t="str">
        <f t="shared" si="470"/>
        <v/>
      </c>
      <c r="M3059" s="13" t="str">
        <f t="shared" si="471"/>
        <v/>
      </c>
      <c r="Q3059" t="str">
        <f t="shared" si="472"/>
        <v/>
      </c>
      <c r="R3059" t="str">
        <f t="shared" si="473"/>
        <v/>
      </c>
      <c r="S3059" t="str">
        <f t="shared" si="474"/>
        <v/>
      </c>
      <c r="T3059" t="str">
        <f t="shared" si="475"/>
        <v/>
      </c>
      <c r="U3059" t="str">
        <f t="shared" si="476"/>
        <v/>
      </c>
      <c r="V3059" t="str">
        <f t="shared" si="477"/>
        <v/>
      </c>
      <c r="W3059" t="str">
        <f t="shared" si="478"/>
        <v/>
      </c>
      <c r="X3059">
        <f>IF($T3059="",N($X3058),IF(MATCH($T3059,$T$6:$T$10005,0)=ROW()-5,N($X3058)+1,N($X3058)))</f>
        <v>0</v>
      </c>
      <c r="Z3059" t="str">
        <f t="shared" si="479"/>
        <v/>
      </c>
      <c r="AA3059">
        <f>IF($V3059="",N($AA3058),IF(MATCH($V3059,$V$6:$V$10005,0)=ROW()-5,N($AA3058)+1,N($AA3058)))</f>
        <v>0</v>
      </c>
    </row>
    <row r="3060" spans="1:27" ht="21" customHeight="1" x14ac:dyDescent="0.95">
      <c r="A3060" s="56"/>
      <c r="B3060" s="57"/>
      <c r="C3060" s="57"/>
      <c r="D3060" s="57"/>
      <c r="E3060" s="56"/>
      <c r="F3060" s="57"/>
      <c r="G3060" s="57"/>
      <c r="H3060" s="56"/>
      <c r="I3060" s="56"/>
      <c r="J3060" s="58"/>
      <c r="K3060" s="58"/>
      <c r="L3060" s="13" t="str">
        <f t="shared" si="470"/>
        <v/>
      </c>
      <c r="M3060" s="13" t="str">
        <f t="shared" si="471"/>
        <v/>
      </c>
      <c r="Q3060" t="str">
        <f t="shared" si="472"/>
        <v/>
      </c>
      <c r="R3060" t="str">
        <f t="shared" si="473"/>
        <v/>
      </c>
      <c r="S3060" t="str">
        <f t="shared" si="474"/>
        <v/>
      </c>
      <c r="T3060" t="str">
        <f t="shared" si="475"/>
        <v/>
      </c>
      <c r="U3060" t="str">
        <f t="shared" si="476"/>
        <v/>
      </c>
      <c r="V3060" t="str">
        <f t="shared" si="477"/>
        <v/>
      </c>
      <c r="W3060" t="str">
        <f t="shared" si="478"/>
        <v/>
      </c>
      <c r="X3060">
        <f>IF($T3060="",N($X3059),IF(MATCH($T3060,$T$6:$T$10005,0)=ROW()-5,N($X3059)+1,N($X3059)))</f>
        <v>0</v>
      </c>
      <c r="Z3060" t="str">
        <f t="shared" si="479"/>
        <v/>
      </c>
      <c r="AA3060">
        <f>IF($V3060="",N($AA3059),IF(MATCH($V3060,$V$6:$V$10005,0)=ROW()-5,N($AA3059)+1,N($AA3059)))</f>
        <v>0</v>
      </c>
    </row>
    <row r="3061" spans="1:27" ht="21" customHeight="1" x14ac:dyDescent="0.95">
      <c r="A3061" s="56"/>
      <c r="B3061" s="57"/>
      <c r="C3061" s="57"/>
      <c r="D3061" s="57"/>
      <c r="E3061" s="56"/>
      <c r="F3061" s="57"/>
      <c r="G3061" s="57"/>
      <c r="H3061" s="56"/>
      <c r="I3061" s="56"/>
      <c r="J3061" s="58"/>
      <c r="K3061" s="58"/>
      <c r="L3061" s="13" t="str">
        <f t="shared" si="470"/>
        <v/>
      </c>
      <c r="M3061" s="13" t="str">
        <f t="shared" si="471"/>
        <v/>
      </c>
      <c r="Q3061" t="str">
        <f t="shared" si="472"/>
        <v/>
      </c>
      <c r="R3061" t="str">
        <f t="shared" si="473"/>
        <v/>
      </c>
      <c r="S3061" t="str">
        <f t="shared" si="474"/>
        <v/>
      </c>
      <c r="T3061" t="str">
        <f t="shared" si="475"/>
        <v/>
      </c>
      <c r="U3061" t="str">
        <f t="shared" si="476"/>
        <v/>
      </c>
      <c r="V3061" t="str">
        <f t="shared" si="477"/>
        <v/>
      </c>
      <c r="W3061" t="str">
        <f t="shared" si="478"/>
        <v/>
      </c>
      <c r="X3061">
        <f>IF($T3061="",N($X3060),IF(MATCH($T3061,$T$6:$T$10005,0)=ROW()-5,N($X3060)+1,N($X3060)))</f>
        <v>0</v>
      </c>
      <c r="Z3061" t="str">
        <f t="shared" si="479"/>
        <v/>
      </c>
      <c r="AA3061">
        <f>IF($V3061="",N($AA3060),IF(MATCH($V3061,$V$6:$V$10005,0)=ROW()-5,N($AA3060)+1,N($AA3060)))</f>
        <v>0</v>
      </c>
    </row>
    <row r="3062" spans="1:27" ht="21" customHeight="1" x14ac:dyDescent="0.95">
      <c r="A3062" s="56"/>
      <c r="B3062" s="57"/>
      <c r="C3062" s="57"/>
      <c r="D3062" s="57"/>
      <c r="E3062" s="56"/>
      <c r="F3062" s="57"/>
      <c r="G3062" s="57"/>
      <c r="H3062" s="56"/>
      <c r="I3062" s="56"/>
      <c r="J3062" s="58"/>
      <c r="K3062" s="58"/>
      <c r="L3062" s="13" t="str">
        <f t="shared" si="470"/>
        <v/>
      </c>
      <c r="M3062" s="13" t="str">
        <f t="shared" si="471"/>
        <v/>
      </c>
      <c r="Q3062" t="str">
        <f t="shared" si="472"/>
        <v/>
      </c>
      <c r="R3062" t="str">
        <f t="shared" si="473"/>
        <v/>
      </c>
      <c r="S3062" t="str">
        <f t="shared" si="474"/>
        <v/>
      </c>
      <c r="T3062" t="str">
        <f t="shared" si="475"/>
        <v/>
      </c>
      <c r="U3062" t="str">
        <f t="shared" si="476"/>
        <v/>
      </c>
      <c r="V3062" t="str">
        <f t="shared" si="477"/>
        <v/>
      </c>
      <c r="W3062" t="str">
        <f t="shared" si="478"/>
        <v/>
      </c>
      <c r="X3062">
        <f>IF($T3062="",N($X3061),IF(MATCH($T3062,$T$6:$T$10005,0)=ROW()-5,N($X3061)+1,N($X3061)))</f>
        <v>0</v>
      </c>
      <c r="Z3062" t="str">
        <f t="shared" si="479"/>
        <v/>
      </c>
      <c r="AA3062">
        <f>IF($V3062="",N($AA3061),IF(MATCH($V3062,$V$6:$V$10005,0)=ROW()-5,N($AA3061)+1,N($AA3061)))</f>
        <v>0</v>
      </c>
    </row>
    <row r="3063" spans="1:27" ht="21" customHeight="1" x14ac:dyDescent="0.95">
      <c r="A3063" s="56"/>
      <c r="B3063" s="57"/>
      <c r="C3063" s="57"/>
      <c r="D3063" s="57"/>
      <c r="E3063" s="56"/>
      <c r="F3063" s="57"/>
      <c r="G3063" s="57"/>
      <c r="H3063" s="56"/>
      <c r="I3063" s="56"/>
      <c r="J3063" s="58"/>
      <c r="K3063" s="58"/>
      <c r="L3063" s="13" t="str">
        <f t="shared" si="470"/>
        <v/>
      </c>
      <c r="M3063" s="13" t="str">
        <f t="shared" si="471"/>
        <v/>
      </c>
      <c r="Q3063" t="str">
        <f t="shared" si="472"/>
        <v/>
      </c>
      <c r="R3063" t="str">
        <f t="shared" si="473"/>
        <v/>
      </c>
      <c r="S3063" t="str">
        <f t="shared" si="474"/>
        <v/>
      </c>
      <c r="T3063" t="str">
        <f t="shared" si="475"/>
        <v/>
      </c>
      <c r="U3063" t="str">
        <f t="shared" si="476"/>
        <v/>
      </c>
      <c r="V3063" t="str">
        <f t="shared" si="477"/>
        <v/>
      </c>
      <c r="W3063" t="str">
        <f t="shared" si="478"/>
        <v/>
      </c>
      <c r="X3063">
        <f>IF($T3063="",N($X3062),IF(MATCH($T3063,$T$6:$T$10005,0)=ROW()-5,N($X3062)+1,N($X3062)))</f>
        <v>0</v>
      </c>
      <c r="Z3063" t="str">
        <f t="shared" si="479"/>
        <v/>
      </c>
      <c r="AA3063">
        <f>IF($V3063="",N($AA3062),IF(MATCH($V3063,$V$6:$V$10005,0)=ROW()-5,N($AA3062)+1,N($AA3062)))</f>
        <v>0</v>
      </c>
    </row>
    <row r="3064" spans="1:27" ht="21" customHeight="1" x14ac:dyDescent="0.95">
      <c r="A3064" s="56"/>
      <c r="B3064" s="57"/>
      <c r="C3064" s="57"/>
      <c r="D3064" s="57"/>
      <c r="E3064" s="56"/>
      <c r="F3064" s="57"/>
      <c r="G3064" s="57"/>
      <c r="H3064" s="56"/>
      <c r="I3064" s="56"/>
      <c r="J3064" s="58"/>
      <c r="K3064" s="58"/>
      <c r="L3064" s="13" t="str">
        <f t="shared" si="470"/>
        <v/>
      </c>
      <c r="M3064" s="13" t="str">
        <f t="shared" si="471"/>
        <v/>
      </c>
      <c r="Q3064" t="str">
        <f t="shared" si="472"/>
        <v/>
      </c>
      <c r="R3064" t="str">
        <f t="shared" si="473"/>
        <v/>
      </c>
      <c r="S3064" t="str">
        <f t="shared" si="474"/>
        <v/>
      </c>
      <c r="T3064" t="str">
        <f t="shared" si="475"/>
        <v/>
      </c>
      <c r="U3064" t="str">
        <f t="shared" si="476"/>
        <v/>
      </c>
      <c r="V3064" t="str">
        <f t="shared" si="477"/>
        <v/>
      </c>
      <c r="W3064" t="str">
        <f t="shared" si="478"/>
        <v/>
      </c>
      <c r="X3064">
        <f>IF($T3064="",N($X3063),IF(MATCH($T3064,$T$6:$T$10005,0)=ROW()-5,N($X3063)+1,N($X3063)))</f>
        <v>0</v>
      </c>
      <c r="Z3064" t="str">
        <f t="shared" si="479"/>
        <v/>
      </c>
      <c r="AA3064">
        <f>IF($V3064="",N($AA3063),IF(MATCH($V3064,$V$6:$V$10005,0)=ROW()-5,N($AA3063)+1,N($AA3063)))</f>
        <v>0</v>
      </c>
    </row>
    <row r="3065" spans="1:27" ht="21" customHeight="1" x14ac:dyDescent="0.95">
      <c r="A3065" s="56"/>
      <c r="B3065" s="57"/>
      <c r="C3065" s="57"/>
      <c r="D3065" s="57"/>
      <c r="E3065" s="56"/>
      <c r="F3065" s="57"/>
      <c r="G3065" s="57"/>
      <c r="H3065" s="56"/>
      <c r="I3065" s="56"/>
      <c r="J3065" s="58"/>
      <c r="K3065" s="58"/>
      <c r="L3065" s="13" t="str">
        <f t="shared" si="470"/>
        <v/>
      </c>
      <c r="M3065" s="13" t="str">
        <f t="shared" si="471"/>
        <v/>
      </c>
      <c r="Q3065" t="str">
        <f t="shared" si="472"/>
        <v/>
      </c>
      <c r="R3065" t="str">
        <f t="shared" si="473"/>
        <v/>
      </c>
      <c r="S3065" t="str">
        <f t="shared" si="474"/>
        <v/>
      </c>
      <c r="T3065" t="str">
        <f t="shared" si="475"/>
        <v/>
      </c>
      <c r="U3065" t="str">
        <f t="shared" si="476"/>
        <v/>
      </c>
      <c r="V3065" t="str">
        <f t="shared" si="477"/>
        <v/>
      </c>
      <c r="W3065" t="str">
        <f t="shared" si="478"/>
        <v/>
      </c>
      <c r="X3065">
        <f>IF($T3065="",N($X3064),IF(MATCH($T3065,$T$6:$T$10005,0)=ROW()-5,N($X3064)+1,N($X3064)))</f>
        <v>0</v>
      </c>
      <c r="Z3065" t="str">
        <f t="shared" si="479"/>
        <v/>
      </c>
      <c r="AA3065">
        <f>IF($V3065="",N($AA3064),IF(MATCH($V3065,$V$6:$V$10005,0)=ROW()-5,N($AA3064)+1,N($AA3064)))</f>
        <v>0</v>
      </c>
    </row>
    <row r="3066" spans="1:27" ht="21" customHeight="1" x14ac:dyDescent="0.95">
      <c r="A3066" s="56"/>
      <c r="B3066" s="57"/>
      <c r="C3066" s="57"/>
      <c r="D3066" s="57"/>
      <c r="E3066" s="56"/>
      <c r="F3066" s="57"/>
      <c r="G3066" s="57"/>
      <c r="H3066" s="56"/>
      <c r="I3066" s="56"/>
      <c r="J3066" s="58"/>
      <c r="K3066" s="58"/>
      <c r="L3066" s="13" t="str">
        <f t="shared" si="470"/>
        <v/>
      </c>
      <c r="M3066" s="13" t="str">
        <f t="shared" si="471"/>
        <v/>
      </c>
      <c r="Q3066" t="str">
        <f t="shared" si="472"/>
        <v/>
      </c>
      <c r="R3066" t="str">
        <f t="shared" si="473"/>
        <v/>
      </c>
      <c r="S3066" t="str">
        <f t="shared" si="474"/>
        <v/>
      </c>
      <c r="T3066" t="str">
        <f t="shared" si="475"/>
        <v/>
      </c>
      <c r="U3066" t="str">
        <f t="shared" si="476"/>
        <v/>
      </c>
      <c r="V3066" t="str">
        <f t="shared" si="477"/>
        <v/>
      </c>
      <c r="W3066" t="str">
        <f t="shared" si="478"/>
        <v/>
      </c>
      <c r="X3066">
        <f>IF($T3066="",N($X3065),IF(MATCH($T3066,$T$6:$T$10005,0)=ROW()-5,N($X3065)+1,N($X3065)))</f>
        <v>0</v>
      </c>
      <c r="Z3066" t="str">
        <f t="shared" si="479"/>
        <v/>
      </c>
      <c r="AA3066">
        <f>IF($V3066="",N($AA3065),IF(MATCH($V3066,$V$6:$V$10005,0)=ROW()-5,N($AA3065)+1,N($AA3065)))</f>
        <v>0</v>
      </c>
    </row>
    <row r="3067" spans="1:27" ht="21" customHeight="1" x14ac:dyDescent="0.95">
      <c r="A3067" s="56"/>
      <c r="B3067" s="57"/>
      <c r="C3067" s="57"/>
      <c r="D3067" s="57"/>
      <c r="E3067" s="56"/>
      <c r="F3067" s="57"/>
      <c r="G3067" s="57"/>
      <c r="H3067" s="56"/>
      <c r="I3067" s="56"/>
      <c r="J3067" s="58"/>
      <c r="K3067" s="58"/>
      <c r="L3067" s="13" t="str">
        <f t="shared" si="470"/>
        <v/>
      </c>
      <c r="M3067" s="13" t="str">
        <f t="shared" si="471"/>
        <v/>
      </c>
      <c r="Q3067" t="str">
        <f t="shared" si="472"/>
        <v/>
      </c>
      <c r="R3067" t="str">
        <f t="shared" si="473"/>
        <v/>
      </c>
      <c r="S3067" t="str">
        <f t="shared" si="474"/>
        <v/>
      </c>
      <c r="T3067" t="str">
        <f t="shared" si="475"/>
        <v/>
      </c>
      <c r="U3067" t="str">
        <f t="shared" si="476"/>
        <v/>
      </c>
      <c r="V3067" t="str">
        <f t="shared" si="477"/>
        <v/>
      </c>
      <c r="W3067" t="str">
        <f t="shared" si="478"/>
        <v/>
      </c>
      <c r="X3067">
        <f>IF($T3067="",N($X3066),IF(MATCH($T3067,$T$6:$T$10005,0)=ROW()-5,N($X3066)+1,N($X3066)))</f>
        <v>0</v>
      </c>
      <c r="Z3067" t="str">
        <f t="shared" si="479"/>
        <v/>
      </c>
      <c r="AA3067">
        <f>IF($V3067="",N($AA3066),IF(MATCH($V3067,$V$6:$V$10005,0)=ROW()-5,N($AA3066)+1,N($AA3066)))</f>
        <v>0</v>
      </c>
    </row>
    <row r="3068" spans="1:27" ht="21" customHeight="1" x14ac:dyDescent="0.95">
      <c r="A3068" s="56"/>
      <c r="B3068" s="57"/>
      <c r="C3068" s="57"/>
      <c r="D3068" s="57"/>
      <c r="E3068" s="56"/>
      <c r="F3068" s="57"/>
      <c r="G3068" s="57"/>
      <c r="H3068" s="56"/>
      <c r="I3068" s="56"/>
      <c r="J3068" s="58"/>
      <c r="K3068" s="58"/>
      <c r="L3068" s="13" t="str">
        <f t="shared" si="470"/>
        <v/>
      </c>
      <c r="M3068" s="13" t="str">
        <f t="shared" si="471"/>
        <v/>
      </c>
      <c r="Q3068" t="str">
        <f t="shared" si="472"/>
        <v/>
      </c>
      <c r="R3068" t="str">
        <f t="shared" si="473"/>
        <v/>
      </c>
      <c r="S3068" t="str">
        <f t="shared" si="474"/>
        <v/>
      </c>
      <c r="T3068" t="str">
        <f t="shared" si="475"/>
        <v/>
      </c>
      <c r="U3068" t="str">
        <f t="shared" si="476"/>
        <v/>
      </c>
      <c r="V3068" t="str">
        <f t="shared" si="477"/>
        <v/>
      </c>
      <c r="W3068" t="str">
        <f t="shared" si="478"/>
        <v/>
      </c>
      <c r="X3068">
        <f>IF($T3068="",N($X3067),IF(MATCH($T3068,$T$6:$T$10005,0)=ROW()-5,N($X3067)+1,N($X3067)))</f>
        <v>0</v>
      </c>
      <c r="Z3068" t="str">
        <f t="shared" si="479"/>
        <v/>
      </c>
      <c r="AA3068">
        <f>IF($V3068="",N($AA3067),IF(MATCH($V3068,$V$6:$V$10005,0)=ROW()-5,N($AA3067)+1,N($AA3067)))</f>
        <v>0</v>
      </c>
    </row>
    <row r="3069" spans="1:27" ht="21" customHeight="1" x14ac:dyDescent="0.95">
      <c r="A3069" s="56"/>
      <c r="B3069" s="57"/>
      <c r="C3069" s="57"/>
      <c r="D3069" s="57"/>
      <c r="E3069" s="56"/>
      <c r="F3069" s="57"/>
      <c r="G3069" s="57"/>
      <c r="H3069" s="56"/>
      <c r="I3069" s="56"/>
      <c r="J3069" s="58"/>
      <c r="K3069" s="58"/>
      <c r="L3069" s="13" t="str">
        <f t="shared" si="470"/>
        <v/>
      </c>
      <c r="M3069" s="13" t="str">
        <f t="shared" si="471"/>
        <v/>
      </c>
      <c r="Q3069" t="str">
        <f t="shared" si="472"/>
        <v/>
      </c>
      <c r="R3069" t="str">
        <f t="shared" si="473"/>
        <v/>
      </c>
      <c r="S3069" t="str">
        <f t="shared" si="474"/>
        <v/>
      </c>
      <c r="T3069" t="str">
        <f t="shared" si="475"/>
        <v/>
      </c>
      <c r="U3069" t="str">
        <f t="shared" si="476"/>
        <v/>
      </c>
      <c r="V3069" t="str">
        <f t="shared" si="477"/>
        <v/>
      </c>
      <c r="W3069" t="str">
        <f t="shared" si="478"/>
        <v/>
      </c>
      <c r="X3069">
        <f>IF($T3069="",N($X3068),IF(MATCH($T3069,$T$6:$T$10005,0)=ROW()-5,N($X3068)+1,N($X3068)))</f>
        <v>0</v>
      </c>
      <c r="Z3069" t="str">
        <f t="shared" si="479"/>
        <v/>
      </c>
      <c r="AA3069">
        <f>IF($V3069="",N($AA3068),IF(MATCH($V3069,$V$6:$V$10005,0)=ROW()-5,N($AA3068)+1,N($AA3068)))</f>
        <v>0</v>
      </c>
    </row>
    <row r="3070" spans="1:27" ht="21" customHeight="1" x14ac:dyDescent="0.95">
      <c r="A3070" s="56"/>
      <c r="B3070" s="57"/>
      <c r="C3070" s="57"/>
      <c r="D3070" s="57"/>
      <c r="E3070" s="56"/>
      <c r="F3070" s="57"/>
      <c r="G3070" s="57"/>
      <c r="H3070" s="56"/>
      <c r="I3070" s="56"/>
      <c r="J3070" s="58"/>
      <c r="K3070" s="58"/>
      <c r="L3070" s="13" t="str">
        <f t="shared" si="470"/>
        <v/>
      </c>
      <c r="M3070" s="13" t="str">
        <f t="shared" si="471"/>
        <v/>
      </c>
      <c r="Q3070" t="str">
        <f t="shared" si="472"/>
        <v/>
      </c>
      <c r="R3070" t="str">
        <f t="shared" si="473"/>
        <v/>
      </c>
      <c r="S3070" t="str">
        <f t="shared" si="474"/>
        <v/>
      </c>
      <c r="T3070" t="str">
        <f t="shared" si="475"/>
        <v/>
      </c>
      <c r="U3070" t="str">
        <f t="shared" si="476"/>
        <v/>
      </c>
      <c r="V3070" t="str">
        <f t="shared" si="477"/>
        <v/>
      </c>
      <c r="W3070" t="str">
        <f t="shared" si="478"/>
        <v/>
      </c>
      <c r="X3070">
        <f>IF($T3070="",N($X3069),IF(MATCH($T3070,$T$6:$T$10005,0)=ROW()-5,N($X3069)+1,N($X3069)))</f>
        <v>0</v>
      </c>
      <c r="Z3070" t="str">
        <f t="shared" si="479"/>
        <v/>
      </c>
      <c r="AA3070">
        <f>IF($V3070="",N($AA3069),IF(MATCH($V3070,$V$6:$V$10005,0)=ROW()-5,N($AA3069)+1,N($AA3069)))</f>
        <v>0</v>
      </c>
    </row>
    <row r="3071" spans="1:27" ht="21" customHeight="1" x14ac:dyDescent="0.95">
      <c r="A3071" s="56"/>
      <c r="B3071" s="57"/>
      <c r="C3071" s="57"/>
      <c r="D3071" s="57"/>
      <c r="E3071" s="56"/>
      <c r="F3071" s="57"/>
      <c r="G3071" s="57"/>
      <c r="H3071" s="56"/>
      <c r="I3071" s="56"/>
      <c r="J3071" s="58"/>
      <c r="K3071" s="58"/>
      <c r="L3071" s="13" t="str">
        <f t="shared" si="470"/>
        <v/>
      </c>
      <c r="M3071" s="13" t="str">
        <f t="shared" si="471"/>
        <v/>
      </c>
      <c r="Q3071" t="str">
        <f t="shared" si="472"/>
        <v/>
      </c>
      <c r="R3071" t="str">
        <f t="shared" si="473"/>
        <v/>
      </c>
      <c r="S3071" t="str">
        <f t="shared" si="474"/>
        <v/>
      </c>
      <c r="T3071" t="str">
        <f t="shared" si="475"/>
        <v/>
      </c>
      <c r="U3071" t="str">
        <f t="shared" si="476"/>
        <v/>
      </c>
      <c r="V3071" t="str">
        <f t="shared" si="477"/>
        <v/>
      </c>
      <c r="W3071" t="str">
        <f t="shared" si="478"/>
        <v/>
      </c>
      <c r="X3071">
        <f>IF($T3071="",N($X3070),IF(MATCH($T3071,$T$6:$T$10005,0)=ROW()-5,N($X3070)+1,N($X3070)))</f>
        <v>0</v>
      </c>
      <c r="Z3071" t="str">
        <f t="shared" si="479"/>
        <v/>
      </c>
      <c r="AA3071">
        <f>IF($V3071="",N($AA3070),IF(MATCH($V3071,$V$6:$V$10005,0)=ROW()-5,N($AA3070)+1,N($AA3070)))</f>
        <v>0</v>
      </c>
    </row>
    <row r="3072" spans="1:27" ht="21" customHeight="1" x14ac:dyDescent="0.95">
      <c r="A3072" s="56"/>
      <c r="B3072" s="57"/>
      <c r="C3072" s="57"/>
      <c r="D3072" s="57"/>
      <c r="E3072" s="56"/>
      <c r="F3072" s="57"/>
      <c r="G3072" s="57"/>
      <c r="H3072" s="56"/>
      <c r="I3072" s="56"/>
      <c r="J3072" s="58"/>
      <c r="K3072" s="58"/>
      <c r="L3072" s="13" t="str">
        <f t="shared" si="470"/>
        <v/>
      </c>
      <c r="M3072" s="13" t="str">
        <f t="shared" si="471"/>
        <v/>
      </c>
      <c r="Q3072" t="str">
        <f t="shared" si="472"/>
        <v/>
      </c>
      <c r="R3072" t="str">
        <f t="shared" si="473"/>
        <v/>
      </c>
      <c r="S3072" t="str">
        <f t="shared" si="474"/>
        <v/>
      </c>
      <c r="T3072" t="str">
        <f t="shared" si="475"/>
        <v/>
      </c>
      <c r="U3072" t="str">
        <f t="shared" si="476"/>
        <v/>
      </c>
      <c r="V3072" t="str">
        <f t="shared" si="477"/>
        <v/>
      </c>
      <c r="W3072" t="str">
        <f t="shared" si="478"/>
        <v/>
      </c>
      <c r="X3072">
        <f>IF($T3072="",N($X3071),IF(MATCH($T3072,$T$6:$T$10005,0)=ROW()-5,N($X3071)+1,N($X3071)))</f>
        <v>0</v>
      </c>
      <c r="Z3072" t="str">
        <f t="shared" si="479"/>
        <v/>
      </c>
      <c r="AA3072">
        <f>IF($V3072="",N($AA3071),IF(MATCH($V3072,$V$6:$V$10005,0)=ROW()-5,N($AA3071)+1,N($AA3071)))</f>
        <v>0</v>
      </c>
    </row>
    <row r="3073" spans="1:27" ht="21" customHeight="1" x14ac:dyDescent="0.95">
      <c r="A3073" s="56"/>
      <c r="B3073" s="57"/>
      <c r="C3073" s="57"/>
      <c r="D3073" s="57"/>
      <c r="E3073" s="56"/>
      <c r="F3073" s="57"/>
      <c r="G3073" s="57"/>
      <c r="H3073" s="56"/>
      <c r="I3073" s="56"/>
      <c r="J3073" s="58"/>
      <c r="K3073" s="58"/>
      <c r="L3073" s="13" t="str">
        <f t="shared" si="470"/>
        <v/>
      </c>
      <c r="M3073" s="13" t="str">
        <f t="shared" si="471"/>
        <v/>
      </c>
      <c r="Q3073" t="str">
        <f t="shared" si="472"/>
        <v/>
      </c>
      <c r="R3073" t="str">
        <f t="shared" si="473"/>
        <v/>
      </c>
      <c r="S3073" t="str">
        <f t="shared" si="474"/>
        <v/>
      </c>
      <c r="T3073" t="str">
        <f t="shared" si="475"/>
        <v/>
      </c>
      <c r="U3073" t="str">
        <f t="shared" si="476"/>
        <v/>
      </c>
      <c r="V3073" t="str">
        <f t="shared" si="477"/>
        <v/>
      </c>
      <c r="W3073" t="str">
        <f t="shared" si="478"/>
        <v/>
      </c>
      <c r="X3073">
        <f>IF($T3073="",N($X3072),IF(MATCH($T3073,$T$6:$T$10005,0)=ROW()-5,N($X3072)+1,N($X3072)))</f>
        <v>0</v>
      </c>
      <c r="Z3073" t="str">
        <f t="shared" si="479"/>
        <v/>
      </c>
      <c r="AA3073">
        <f>IF($V3073="",N($AA3072),IF(MATCH($V3073,$V$6:$V$10005,0)=ROW()-5,N($AA3072)+1,N($AA3072)))</f>
        <v>0</v>
      </c>
    </row>
    <row r="3074" spans="1:27" ht="21" customHeight="1" x14ac:dyDescent="0.95">
      <c r="A3074" s="56"/>
      <c r="B3074" s="57"/>
      <c r="C3074" s="57"/>
      <c r="D3074" s="57"/>
      <c r="E3074" s="56"/>
      <c r="F3074" s="57"/>
      <c r="G3074" s="57"/>
      <c r="H3074" s="56"/>
      <c r="I3074" s="56"/>
      <c r="J3074" s="58"/>
      <c r="K3074" s="58"/>
      <c r="L3074" s="13" t="str">
        <f t="shared" si="470"/>
        <v/>
      </c>
      <c r="M3074" s="13" t="str">
        <f t="shared" si="471"/>
        <v/>
      </c>
      <c r="Q3074" t="str">
        <f t="shared" si="472"/>
        <v/>
      </c>
      <c r="R3074" t="str">
        <f t="shared" si="473"/>
        <v/>
      </c>
      <c r="S3074" t="str">
        <f t="shared" si="474"/>
        <v/>
      </c>
      <c r="T3074" t="str">
        <f t="shared" si="475"/>
        <v/>
      </c>
      <c r="U3074" t="str">
        <f t="shared" si="476"/>
        <v/>
      </c>
      <c r="V3074" t="str">
        <f t="shared" si="477"/>
        <v/>
      </c>
      <c r="W3074" t="str">
        <f t="shared" si="478"/>
        <v/>
      </c>
      <c r="X3074">
        <f>IF($T3074="",N($X3073),IF(MATCH($T3074,$T$6:$T$10005,0)=ROW()-5,N($X3073)+1,N($X3073)))</f>
        <v>0</v>
      </c>
      <c r="Z3074" t="str">
        <f t="shared" si="479"/>
        <v/>
      </c>
      <c r="AA3074">
        <f>IF($V3074="",N($AA3073),IF(MATCH($V3074,$V$6:$V$10005,0)=ROW()-5,N($AA3073)+1,N($AA3073)))</f>
        <v>0</v>
      </c>
    </row>
    <row r="3075" spans="1:27" ht="21" customHeight="1" x14ac:dyDescent="0.95">
      <c r="A3075" s="56"/>
      <c r="B3075" s="57"/>
      <c r="C3075" s="57"/>
      <c r="D3075" s="57"/>
      <c r="E3075" s="56"/>
      <c r="F3075" s="57"/>
      <c r="G3075" s="57"/>
      <c r="H3075" s="56"/>
      <c r="I3075" s="56"/>
      <c r="J3075" s="58"/>
      <c r="K3075" s="58"/>
      <c r="L3075" s="13" t="str">
        <f t="shared" si="470"/>
        <v/>
      </c>
      <c r="M3075" s="13" t="str">
        <f t="shared" si="471"/>
        <v/>
      </c>
      <c r="Q3075" t="str">
        <f t="shared" si="472"/>
        <v/>
      </c>
      <c r="R3075" t="str">
        <f t="shared" si="473"/>
        <v/>
      </c>
      <c r="S3075" t="str">
        <f t="shared" si="474"/>
        <v/>
      </c>
      <c r="T3075" t="str">
        <f t="shared" si="475"/>
        <v/>
      </c>
      <c r="U3075" t="str">
        <f t="shared" si="476"/>
        <v/>
      </c>
      <c r="V3075" t="str">
        <f t="shared" si="477"/>
        <v/>
      </c>
      <c r="W3075" t="str">
        <f t="shared" si="478"/>
        <v/>
      </c>
      <c r="X3075">
        <f>IF($T3075="",N($X3074),IF(MATCH($T3075,$T$6:$T$10005,0)=ROW()-5,N($X3074)+1,N($X3074)))</f>
        <v>0</v>
      </c>
      <c r="Z3075" t="str">
        <f t="shared" si="479"/>
        <v/>
      </c>
      <c r="AA3075">
        <f>IF($V3075="",N($AA3074),IF(MATCH($V3075,$V$6:$V$10005,0)=ROW()-5,N($AA3074)+1,N($AA3074)))</f>
        <v>0</v>
      </c>
    </row>
    <row r="3076" spans="1:27" ht="21" customHeight="1" x14ac:dyDescent="0.95">
      <c r="A3076" s="56"/>
      <c r="B3076" s="57"/>
      <c r="C3076" s="57"/>
      <c r="D3076" s="57"/>
      <c r="E3076" s="56"/>
      <c r="F3076" s="57"/>
      <c r="G3076" s="57"/>
      <c r="H3076" s="56"/>
      <c r="I3076" s="56"/>
      <c r="J3076" s="58"/>
      <c r="K3076" s="58"/>
      <c r="L3076" s="13" t="str">
        <f t="shared" si="470"/>
        <v/>
      </c>
      <c r="M3076" s="13" t="str">
        <f t="shared" si="471"/>
        <v/>
      </c>
      <c r="Q3076" t="str">
        <f t="shared" si="472"/>
        <v/>
      </c>
      <c r="R3076" t="str">
        <f t="shared" si="473"/>
        <v/>
      </c>
      <c r="S3076" t="str">
        <f t="shared" si="474"/>
        <v/>
      </c>
      <c r="T3076" t="str">
        <f t="shared" si="475"/>
        <v/>
      </c>
      <c r="U3076" t="str">
        <f t="shared" si="476"/>
        <v/>
      </c>
      <c r="V3076" t="str">
        <f t="shared" si="477"/>
        <v/>
      </c>
      <c r="W3076" t="str">
        <f t="shared" si="478"/>
        <v/>
      </c>
      <c r="X3076">
        <f>IF($T3076="",N($X3075),IF(MATCH($T3076,$T$6:$T$10005,0)=ROW()-5,N($X3075)+1,N($X3075)))</f>
        <v>0</v>
      </c>
      <c r="Z3076" t="str">
        <f t="shared" si="479"/>
        <v/>
      </c>
      <c r="AA3076">
        <f>IF($V3076="",N($AA3075),IF(MATCH($V3076,$V$6:$V$10005,0)=ROW()-5,N($AA3075)+1,N($AA3075)))</f>
        <v>0</v>
      </c>
    </row>
    <row r="3077" spans="1:27" ht="21" customHeight="1" x14ac:dyDescent="0.95">
      <c r="A3077" s="56"/>
      <c r="B3077" s="57"/>
      <c r="C3077" s="57"/>
      <c r="D3077" s="57"/>
      <c r="E3077" s="56"/>
      <c r="F3077" s="57"/>
      <c r="G3077" s="57"/>
      <c r="H3077" s="56"/>
      <c r="I3077" s="56"/>
      <c r="J3077" s="58"/>
      <c r="K3077" s="58"/>
      <c r="L3077" s="13" t="str">
        <f t="shared" si="470"/>
        <v/>
      </c>
      <c r="M3077" s="13" t="str">
        <f t="shared" si="471"/>
        <v/>
      </c>
      <c r="Q3077" t="str">
        <f t="shared" si="472"/>
        <v/>
      </c>
      <c r="R3077" t="str">
        <f t="shared" si="473"/>
        <v/>
      </c>
      <c r="S3077" t="str">
        <f t="shared" si="474"/>
        <v/>
      </c>
      <c r="T3077" t="str">
        <f t="shared" si="475"/>
        <v/>
      </c>
      <c r="U3077" t="str">
        <f t="shared" si="476"/>
        <v/>
      </c>
      <c r="V3077" t="str">
        <f t="shared" si="477"/>
        <v/>
      </c>
      <c r="W3077" t="str">
        <f t="shared" si="478"/>
        <v/>
      </c>
      <c r="X3077">
        <f>IF($T3077="",N($X3076),IF(MATCH($T3077,$T$6:$T$10005,0)=ROW()-5,N($X3076)+1,N($X3076)))</f>
        <v>0</v>
      </c>
      <c r="Z3077" t="str">
        <f t="shared" si="479"/>
        <v/>
      </c>
      <c r="AA3077">
        <f>IF($V3077="",N($AA3076),IF(MATCH($V3077,$V$6:$V$10005,0)=ROW()-5,N($AA3076)+1,N($AA3076)))</f>
        <v>0</v>
      </c>
    </row>
    <row r="3078" spans="1:27" ht="21" customHeight="1" x14ac:dyDescent="0.95">
      <c r="A3078" s="56"/>
      <c r="B3078" s="57"/>
      <c r="C3078" s="57"/>
      <c r="D3078" s="57"/>
      <c r="E3078" s="56"/>
      <c r="F3078" s="57"/>
      <c r="G3078" s="57"/>
      <c r="H3078" s="56"/>
      <c r="I3078" s="56"/>
      <c r="J3078" s="58"/>
      <c r="K3078" s="58"/>
      <c r="L3078" s="13" t="str">
        <f t="shared" ref="L3078:L3141" si="480">IF(OR($A3078="",AND($J3078="",$K3078="")),"",ROUND(N($J3078)-N($K3078),2))</f>
        <v/>
      </c>
      <c r="M3078" s="13" t="str">
        <f t="shared" ref="M3078:M3141" si="481">IF(OR($A3078="",AND($J3078="",$K3078="")),"",MIN($J3078,$K3078))</f>
        <v/>
      </c>
      <c r="Q3078" t="str">
        <f t="shared" ref="Q3078:Q3141" si="482">IF($A3078="","",$D3078&amp;"("&amp;SUBSTITUTE($E3078," ","")&amp;")")</f>
        <v/>
      </c>
      <c r="R3078" t="str">
        <f t="shared" ref="R3078:R3141" si="483">IF($A3078="","",$B3078&amp;" - "&amp;$C3078)</f>
        <v/>
      </c>
      <c r="S3078" t="str">
        <f t="shared" ref="S3078:S3141" si="484">IF($A3078="","",$R3078&amp;"|"&amp;$Q3078)</f>
        <v/>
      </c>
      <c r="T3078" t="str">
        <f t="shared" ref="T3078:T3141" si="485">IF($A3078="","",$S3078&amp;"|"&amp;$F3078)</f>
        <v/>
      </c>
      <c r="U3078" t="str">
        <f t="shared" ref="U3078:U3141" si="486">IF($A3078="","",$R3078&amp;"("&amp;$E3078&amp;")")</f>
        <v/>
      </c>
      <c r="V3078" t="str">
        <f t="shared" ref="V3078:V3141" si="487">IF($A3078="","",$F3078&amp;"|"&amp;$U3078&amp;"|"&amp;$D3078)</f>
        <v/>
      </c>
      <c r="W3078" t="str">
        <f t="shared" ref="W3078:W3141" si="488">IF($T3078="","",IF($X3078&gt;N($X3077),$X3078,""))</f>
        <v/>
      </c>
      <c r="X3078">
        <f>IF($T3078="",N($X3077),IF(MATCH($T3078,$T$6:$T$10005,0)=ROW()-5,N($X3077)+1,N($X3077)))</f>
        <v>0</v>
      </c>
      <c r="Z3078" t="str">
        <f t="shared" ref="Z3078:Z3141" si="489">IF($V3078="","",IF($AA3078&gt;N($AA3077),$AA3078,""))</f>
        <v/>
      </c>
      <c r="AA3078">
        <f>IF($V3078="",N($AA3077),IF(MATCH($V3078,$V$6:$V$10005,0)=ROW()-5,N($AA3077)+1,N($AA3077)))</f>
        <v>0</v>
      </c>
    </row>
    <row r="3079" spans="1:27" ht="21" customHeight="1" x14ac:dyDescent="0.95">
      <c r="A3079" s="56"/>
      <c r="B3079" s="57"/>
      <c r="C3079" s="57"/>
      <c r="D3079" s="57"/>
      <c r="E3079" s="56"/>
      <c r="F3079" s="57"/>
      <c r="G3079" s="57"/>
      <c r="H3079" s="56"/>
      <c r="I3079" s="56"/>
      <c r="J3079" s="58"/>
      <c r="K3079" s="58"/>
      <c r="L3079" s="13" t="str">
        <f t="shared" si="480"/>
        <v/>
      </c>
      <c r="M3079" s="13" t="str">
        <f t="shared" si="481"/>
        <v/>
      </c>
      <c r="Q3079" t="str">
        <f t="shared" si="482"/>
        <v/>
      </c>
      <c r="R3079" t="str">
        <f t="shared" si="483"/>
        <v/>
      </c>
      <c r="S3079" t="str">
        <f t="shared" si="484"/>
        <v/>
      </c>
      <c r="T3079" t="str">
        <f t="shared" si="485"/>
        <v/>
      </c>
      <c r="U3079" t="str">
        <f t="shared" si="486"/>
        <v/>
      </c>
      <c r="V3079" t="str">
        <f t="shared" si="487"/>
        <v/>
      </c>
      <c r="W3079" t="str">
        <f t="shared" si="488"/>
        <v/>
      </c>
      <c r="X3079">
        <f>IF($T3079="",N($X3078),IF(MATCH($T3079,$T$6:$T$10005,0)=ROW()-5,N($X3078)+1,N($X3078)))</f>
        <v>0</v>
      </c>
      <c r="Z3079" t="str">
        <f t="shared" si="489"/>
        <v/>
      </c>
      <c r="AA3079">
        <f>IF($V3079="",N($AA3078),IF(MATCH($V3079,$V$6:$V$10005,0)=ROW()-5,N($AA3078)+1,N($AA3078)))</f>
        <v>0</v>
      </c>
    </row>
    <row r="3080" spans="1:27" ht="21" customHeight="1" x14ac:dyDescent="0.95">
      <c r="A3080" s="56"/>
      <c r="B3080" s="57"/>
      <c r="C3080" s="57"/>
      <c r="D3080" s="57"/>
      <c r="E3080" s="56"/>
      <c r="F3080" s="57"/>
      <c r="G3080" s="57"/>
      <c r="H3080" s="56"/>
      <c r="I3080" s="56"/>
      <c r="J3080" s="58"/>
      <c r="K3080" s="58"/>
      <c r="L3080" s="13" t="str">
        <f t="shared" si="480"/>
        <v/>
      </c>
      <c r="M3080" s="13" t="str">
        <f t="shared" si="481"/>
        <v/>
      </c>
      <c r="Q3080" t="str">
        <f t="shared" si="482"/>
        <v/>
      </c>
      <c r="R3080" t="str">
        <f t="shared" si="483"/>
        <v/>
      </c>
      <c r="S3080" t="str">
        <f t="shared" si="484"/>
        <v/>
      </c>
      <c r="T3080" t="str">
        <f t="shared" si="485"/>
        <v/>
      </c>
      <c r="U3080" t="str">
        <f t="shared" si="486"/>
        <v/>
      </c>
      <c r="V3080" t="str">
        <f t="shared" si="487"/>
        <v/>
      </c>
      <c r="W3080" t="str">
        <f t="shared" si="488"/>
        <v/>
      </c>
      <c r="X3080">
        <f>IF($T3080="",N($X3079),IF(MATCH($T3080,$T$6:$T$10005,0)=ROW()-5,N($X3079)+1,N($X3079)))</f>
        <v>0</v>
      </c>
      <c r="Z3080" t="str">
        <f t="shared" si="489"/>
        <v/>
      </c>
      <c r="AA3080">
        <f>IF($V3080="",N($AA3079),IF(MATCH($V3080,$V$6:$V$10005,0)=ROW()-5,N($AA3079)+1,N($AA3079)))</f>
        <v>0</v>
      </c>
    </row>
    <row r="3081" spans="1:27" ht="21" customHeight="1" x14ac:dyDescent="0.95">
      <c r="A3081" s="56"/>
      <c r="B3081" s="57"/>
      <c r="C3081" s="57"/>
      <c r="D3081" s="57"/>
      <c r="E3081" s="56"/>
      <c r="F3081" s="57"/>
      <c r="G3081" s="57"/>
      <c r="H3081" s="56"/>
      <c r="I3081" s="56"/>
      <c r="J3081" s="58"/>
      <c r="K3081" s="58"/>
      <c r="L3081" s="13" t="str">
        <f t="shared" si="480"/>
        <v/>
      </c>
      <c r="M3081" s="13" t="str">
        <f t="shared" si="481"/>
        <v/>
      </c>
      <c r="Q3081" t="str">
        <f t="shared" si="482"/>
        <v/>
      </c>
      <c r="R3081" t="str">
        <f t="shared" si="483"/>
        <v/>
      </c>
      <c r="S3081" t="str">
        <f t="shared" si="484"/>
        <v/>
      </c>
      <c r="T3081" t="str">
        <f t="shared" si="485"/>
        <v/>
      </c>
      <c r="U3081" t="str">
        <f t="shared" si="486"/>
        <v/>
      </c>
      <c r="V3081" t="str">
        <f t="shared" si="487"/>
        <v/>
      </c>
      <c r="W3081" t="str">
        <f t="shared" si="488"/>
        <v/>
      </c>
      <c r="X3081">
        <f>IF($T3081="",N($X3080),IF(MATCH($T3081,$T$6:$T$10005,0)=ROW()-5,N($X3080)+1,N($X3080)))</f>
        <v>0</v>
      </c>
      <c r="Z3081" t="str">
        <f t="shared" si="489"/>
        <v/>
      </c>
      <c r="AA3081">
        <f>IF($V3081="",N($AA3080),IF(MATCH($V3081,$V$6:$V$10005,0)=ROW()-5,N($AA3080)+1,N($AA3080)))</f>
        <v>0</v>
      </c>
    </row>
    <row r="3082" spans="1:27" ht="21" customHeight="1" x14ac:dyDescent="0.95">
      <c r="A3082" s="56"/>
      <c r="B3082" s="57"/>
      <c r="C3082" s="57"/>
      <c r="D3082" s="57"/>
      <c r="E3082" s="56"/>
      <c r="F3082" s="57"/>
      <c r="G3082" s="57"/>
      <c r="H3082" s="56"/>
      <c r="I3082" s="56"/>
      <c r="J3082" s="58"/>
      <c r="K3082" s="58"/>
      <c r="L3082" s="13" t="str">
        <f t="shared" si="480"/>
        <v/>
      </c>
      <c r="M3082" s="13" t="str">
        <f t="shared" si="481"/>
        <v/>
      </c>
      <c r="Q3082" t="str">
        <f t="shared" si="482"/>
        <v/>
      </c>
      <c r="R3082" t="str">
        <f t="shared" si="483"/>
        <v/>
      </c>
      <c r="S3082" t="str">
        <f t="shared" si="484"/>
        <v/>
      </c>
      <c r="T3082" t="str">
        <f t="shared" si="485"/>
        <v/>
      </c>
      <c r="U3082" t="str">
        <f t="shared" si="486"/>
        <v/>
      </c>
      <c r="V3082" t="str">
        <f t="shared" si="487"/>
        <v/>
      </c>
      <c r="W3082" t="str">
        <f t="shared" si="488"/>
        <v/>
      </c>
      <c r="X3082">
        <f>IF($T3082="",N($X3081),IF(MATCH($T3082,$T$6:$T$10005,0)=ROW()-5,N($X3081)+1,N($X3081)))</f>
        <v>0</v>
      </c>
      <c r="Z3082" t="str">
        <f t="shared" si="489"/>
        <v/>
      </c>
      <c r="AA3082">
        <f>IF($V3082="",N($AA3081),IF(MATCH($V3082,$V$6:$V$10005,0)=ROW()-5,N($AA3081)+1,N($AA3081)))</f>
        <v>0</v>
      </c>
    </row>
    <row r="3083" spans="1:27" ht="21" customHeight="1" x14ac:dyDescent="0.95">
      <c r="A3083" s="56"/>
      <c r="B3083" s="57"/>
      <c r="C3083" s="57"/>
      <c r="D3083" s="57"/>
      <c r="E3083" s="56"/>
      <c r="F3083" s="57"/>
      <c r="G3083" s="57"/>
      <c r="H3083" s="56"/>
      <c r="I3083" s="56"/>
      <c r="J3083" s="58"/>
      <c r="K3083" s="58"/>
      <c r="L3083" s="13" t="str">
        <f t="shared" si="480"/>
        <v/>
      </c>
      <c r="M3083" s="13" t="str">
        <f t="shared" si="481"/>
        <v/>
      </c>
      <c r="Q3083" t="str">
        <f t="shared" si="482"/>
        <v/>
      </c>
      <c r="R3083" t="str">
        <f t="shared" si="483"/>
        <v/>
      </c>
      <c r="S3083" t="str">
        <f t="shared" si="484"/>
        <v/>
      </c>
      <c r="T3083" t="str">
        <f t="shared" si="485"/>
        <v/>
      </c>
      <c r="U3083" t="str">
        <f t="shared" si="486"/>
        <v/>
      </c>
      <c r="V3083" t="str">
        <f t="shared" si="487"/>
        <v/>
      </c>
      <c r="W3083" t="str">
        <f t="shared" si="488"/>
        <v/>
      </c>
      <c r="X3083">
        <f>IF($T3083="",N($X3082),IF(MATCH($T3083,$T$6:$T$10005,0)=ROW()-5,N($X3082)+1,N($X3082)))</f>
        <v>0</v>
      </c>
      <c r="Z3083" t="str">
        <f t="shared" si="489"/>
        <v/>
      </c>
      <c r="AA3083">
        <f>IF($V3083="",N($AA3082),IF(MATCH($V3083,$V$6:$V$10005,0)=ROW()-5,N($AA3082)+1,N($AA3082)))</f>
        <v>0</v>
      </c>
    </row>
    <row r="3084" spans="1:27" ht="21" customHeight="1" x14ac:dyDescent="0.95">
      <c r="A3084" s="56"/>
      <c r="B3084" s="57"/>
      <c r="C3084" s="57"/>
      <c r="D3084" s="57"/>
      <c r="E3084" s="56"/>
      <c r="F3084" s="57"/>
      <c r="G3084" s="57"/>
      <c r="H3084" s="56"/>
      <c r="I3084" s="56"/>
      <c r="J3084" s="58"/>
      <c r="K3084" s="58"/>
      <c r="L3084" s="13" t="str">
        <f t="shared" si="480"/>
        <v/>
      </c>
      <c r="M3084" s="13" t="str">
        <f t="shared" si="481"/>
        <v/>
      </c>
      <c r="Q3084" t="str">
        <f t="shared" si="482"/>
        <v/>
      </c>
      <c r="R3084" t="str">
        <f t="shared" si="483"/>
        <v/>
      </c>
      <c r="S3084" t="str">
        <f t="shared" si="484"/>
        <v/>
      </c>
      <c r="T3084" t="str">
        <f t="shared" si="485"/>
        <v/>
      </c>
      <c r="U3084" t="str">
        <f t="shared" si="486"/>
        <v/>
      </c>
      <c r="V3084" t="str">
        <f t="shared" si="487"/>
        <v/>
      </c>
      <c r="W3084" t="str">
        <f t="shared" si="488"/>
        <v/>
      </c>
      <c r="X3084">
        <f>IF($T3084="",N($X3083),IF(MATCH($T3084,$T$6:$T$10005,0)=ROW()-5,N($X3083)+1,N($X3083)))</f>
        <v>0</v>
      </c>
      <c r="Z3084" t="str">
        <f t="shared" si="489"/>
        <v/>
      </c>
      <c r="AA3084">
        <f>IF($V3084="",N($AA3083),IF(MATCH($V3084,$V$6:$V$10005,0)=ROW()-5,N($AA3083)+1,N($AA3083)))</f>
        <v>0</v>
      </c>
    </row>
    <row r="3085" spans="1:27" ht="21" customHeight="1" x14ac:dyDescent="0.95">
      <c r="A3085" s="56"/>
      <c r="B3085" s="57"/>
      <c r="C3085" s="57"/>
      <c r="D3085" s="57"/>
      <c r="E3085" s="56"/>
      <c r="F3085" s="57"/>
      <c r="G3085" s="57"/>
      <c r="H3085" s="56"/>
      <c r="I3085" s="56"/>
      <c r="J3085" s="58"/>
      <c r="K3085" s="58"/>
      <c r="L3085" s="13" t="str">
        <f t="shared" si="480"/>
        <v/>
      </c>
      <c r="M3085" s="13" t="str">
        <f t="shared" si="481"/>
        <v/>
      </c>
      <c r="Q3085" t="str">
        <f t="shared" si="482"/>
        <v/>
      </c>
      <c r="R3085" t="str">
        <f t="shared" si="483"/>
        <v/>
      </c>
      <c r="S3085" t="str">
        <f t="shared" si="484"/>
        <v/>
      </c>
      <c r="T3085" t="str">
        <f t="shared" si="485"/>
        <v/>
      </c>
      <c r="U3085" t="str">
        <f t="shared" si="486"/>
        <v/>
      </c>
      <c r="V3085" t="str">
        <f t="shared" si="487"/>
        <v/>
      </c>
      <c r="W3085" t="str">
        <f t="shared" si="488"/>
        <v/>
      </c>
      <c r="X3085">
        <f>IF($T3085="",N($X3084),IF(MATCH($T3085,$T$6:$T$10005,0)=ROW()-5,N($X3084)+1,N($X3084)))</f>
        <v>0</v>
      </c>
      <c r="Z3085" t="str">
        <f t="shared" si="489"/>
        <v/>
      </c>
      <c r="AA3085">
        <f>IF($V3085="",N($AA3084),IF(MATCH($V3085,$V$6:$V$10005,0)=ROW()-5,N($AA3084)+1,N($AA3084)))</f>
        <v>0</v>
      </c>
    </row>
    <row r="3086" spans="1:27" ht="21" customHeight="1" x14ac:dyDescent="0.95">
      <c r="A3086" s="56"/>
      <c r="B3086" s="57"/>
      <c r="C3086" s="57"/>
      <c r="D3086" s="57"/>
      <c r="E3086" s="56"/>
      <c r="F3086" s="57"/>
      <c r="G3086" s="57"/>
      <c r="H3086" s="56"/>
      <c r="I3086" s="56"/>
      <c r="J3086" s="58"/>
      <c r="K3086" s="58"/>
      <c r="L3086" s="13" t="str">
        <f t="shared" si="480"/>
        <v/>
      </c>
      <c r="M3086" s="13" t="str">
        <f t="shared" si="481"/>
        <v/>
      </c>
      <c r="Q3086" t="str">
        <f t="shared" si="482"/>
        <v/>
      </c>
      <c r="R3086" t="str">
        <f t="shared" si="483"/>
        <v/>
      </c>
      <c r="S3086" t="str">
        <f t="shared" si="484"/>
        <v/>
      </c>
      <c r="T3086" t="str">
        <f t="shared" si="485"/>
        <v/>
      </c>
      <c r="U3086" t="str">
        <f t="shared" si="486"/>
        <v/>
      </c>
      <c r="V3086" t="str">
        <f t="shared" si="487"/>
        <v/>
      </c>
      <c r="W3086" t="str">
        <f t="shared" si="488"/>
        <v/>
      </c>
      <c r="X3086">
        <f>IF($T3086="",N($X3085),IF(MATCH($T3086,$T$6:$T$10005,0)=ROW()-5,N($X3085)+1,N($X3085)))</f>
        <v>0</v>
      </c>
      <c r="Z3086" t="str">
        <f t="shared" si="489"/>
        <v/>
      </c>
      <c r="AA3086">
        <f>IF($V3086="",N($AA3085),IF(MATCH($V3086,$V$6:$V$10005,0)=ROW()-5,N($AA3085)+1,N($AA3085)))</f>
        <v>0</v>
      </c>
    </row>
    <row r="3087" spans="1:27" ht="21" customHeight="1" x14ac:dyDescent="0.95">
      <c r="A3087" s="56"/>
      <c r="B3087" s="57"/>
      <c r="C3087" s="57"/>
      <c r="D3087" s="57"/>
      <c r="E3087" s="56"/>
      <c r="F3087" s="57"/>
      <c r="G3087" s="57"/>
      <c r="H3087" s="56"/>
      <c r="I3087" s="56"/>
      <c r="J3087" s="58"/>
      <c r="K3087" s="58"/>
      <c r="L3087" s="13" t="str">
        <f t="shared" si="480"/>
        <v/>
      </c>
      <c r="M3087" s="13" t="str">
        <f t="shared" si="481"/>
        <v/>
      </c>
      <c r="Q3087" t="str">
        <f t="shared" si="482"/>
        <v/>
      </c>
      <c r="R3087" t="str">
        <f t="shared" si="483"/>
        <v/>
      </c>
      <c r="S3087" t="str">
        <f t="shared" si="484"/>
        <v/>
      </c>
      <c r="T3087" t="str">
        <f t="shared" si="485"/>
        <v/>
      </c>
      <c r="U3087" t="str">
        <f t="shared" si="486"/>
        <v/>
      </c>
      <c r="V3087" t="str">
        <f t="shared" si="487"/>
        <v/>
      </c>
      <c r="W3087" t="str">
        <f t="shared" si="488"/>
        <v/>
      </c>
      <c r="X3087">
        <f>IF($T3087="",N($X3086),IF(MATCH($T3087,$T$6:$T$10005,0)=ROW()-5,N($X3086)+1,N($X3086)))</f>
        <v>0</v>
      </c>
      <c r="Z3087" t="str">
        <f t="shared" si="489"/>
        <v/>
      </c>
      <c r="AA3087">
        <f>IF($V3087="",N($AA3086),IF(MATCH($V3087,$V$6:$V$10005,0)=ROW()-5,N($AA3086)+1,N($AA3086)))</f>
        <v>0</v>
      </c>
    </row>
    <row r="3088" spans="1:27" ht="21" customHeight="1" x14ac:dyDescent="0.95">
      <c r="A3088" s="56"/>
      <c r="B3088" s="57"/>
      <c r="C3088" s="57"/>
      <c r="D3088" s="57"/>
      <c r="E3088" s="56"/>
      <c r="F3088" s="57"/>
      <c r="G3088" s="57"/>
      <c r="H3088" s="56"/>
      <c r="I3088" s="56"/>
      <c r="J3088" s="58"/>
      <c r="K3088" s="58"/>
      <c r="L3088" s="13" t="str">
        <f t="shared" si="480"/>
        <v/>
      </c>
      <c r="M3088" s="13" t="str">
        <f t="shared" si="481"/>
        <v/>
      </c>
      <c r="Q3088" t="str">
        <f t="shared" si="482"/>
        <v/>
      </c>
      <c r="R3088" t="str">
        <f t="shared" si="483"/>
        <v/>
      </c>
      <c r="S3088" t="str">
        <f t="shared" si="484"/>
        <v/>
      </c>
      <c r="T3088" t="str">
        <f t="shared" si="485"/>
        <v/>
      </c>
      <c r="U3088" t="str">
        <f t="shared" si="486"/>
        <v/>
      </c>
      <c r="V3088" t="str">
        <f t="shared" si="487"/>
        <v/>
      </c>
      <c r="W3088" t="str">
        <f t="shared" si="488"/>
        <v/>
      </c>
      <c r="X3088">
        <f>IF($T3088="",N($X3087),IF(MATCH($T3088,$T$6:$T$10005,0)=ROW()-5,N($X3087)+1,N($X3087)))</f>
        <v>0</v>
      </c>
      <c r="Z3088" t="str">
        <f t="shared" si="489"/>
        <v/>
      </c>
      <c r="AA3088">
        <f>IF($V3088="",N($AA3087),IF(MATCH($V3088,$V$6:$V$10005,0)=ROW()-5,N($AA3087)+1,N($AA3087)))</f>
        <v>0</v>
      </c>
    </row>
    <row r="3089" spans="1:27" ht="21" customHeight="1" x14ac:dyDescent="0.95">
      <c r="A3089" s="56"/>
      <c r="B3089" s="57"/>
      <c r="C3089" s="57"/>
      <c r="D3089" s="57"/>
      <c r="E3089" s="56"/>
      <c r="F3089" s="57"/>
      <c r="G3089" s="57"/>
      <c r="H3089" s="56"/>
      <c r="I3089" s="56"/>
      <c r="J3089" s="58"/>
      <c r="K3089" s="58"/>
      <c r="L3089" s="13" t="str">
        <f t="shared" si="480"/>
        <v/>
      </c>
      <c r="M3089" s="13" t="str">
        <f t="shared" si="481"/>
        <v/>
      </c>
      <c r="Q3089" t="str">
        <f t="shared" si="482"/>
        <v/>
      </c>
      <c r="R3089" t="str">
        <f t="shared" si="483"/>
        <v/>
      </c>
      <c r="S3089" t="str">
        <f t="shared" si="484"/>
        <v/>
      </c>
      <c r="T3089" t="str">
        <f t="shared" si="485"/>
        <v/>
      </c>
      <c r="U3089" t="str">
        <f t="shared" si="486"/>
        <v/>
      </c>
      <c r="V3089" t="str">
        <f t="shared" si="487"/>
        <v/>
      </c>
      <c r="W3089" t="str">
        <f t="shared" si="488"/>
        <v/>
      </c>
      <c r="X3089">
        <f>IF($T3089="",N($X3088),IF(MATCH($T3089,$T$6:$T$10005,0)=ROW()-5,N($X3088)+1,N($X3088)))</f>
        <v>0</v>
      </c>
      <c r="Z3089" t="str">
        <f t="shared" si="489"/>
        <v/>
      </c>
      <c r="AA3089">
        <f>IF($V3089="",N($AA3088),IF(MATCH($V3089,$V$6:$V$10005,0)=ROW()-5,N($AA3088)+1,N($AA3088)))</f>
        <v>0</v>
      </c>
    </row>
    <row r="3090" spans="1:27" ht="21" customHeight="1" x14ac:dyDescent="0.95">
      <c r="A3090" s="56"/>
      <c r="B3090" s="57"/>
      <c r="C3090" s="57"/>
      <c r="D3090" s="57"/>
      <c r="E3090" s="56"/>
      <c r="F3090" s="57"/>
      <c r="G3090" s="57"/>
      <c r="H3090" s="56"/>
      <c r="I3090" s="56"/>
      <c r="J3090" s="58"/>
      <c r="K3090" s="58"/>
      <c r="L3090" s="13" t="str">
        <f t="shared" si="480"/>
        <v/>
      </c>
      <c r="M3090" s="13" t="str">
        <f t="shared" si="481"/>
        <v/>
      </c>
      <c r="Q3090" t="str">
        <f t="shared" si="482"/>
        <v/>
      </c>
      <c r="R3090" t="str">
        <f t="shared" si="483"/>
        <v/>
      </c>
      <c r="S3090" t="str">
        <f t="shared" si="484"/>
        <v/>
      </c>
      <c r="T3090" t="str">
        <f t="shared" si="485"/>
        <v/>
      </c>
      <c r="U3090" t="str">
        <f t="shared" si="486"/>
        <v/>
      </c>
      <c r="V3090" t="str">
        <f t="shared" si="487"/>
        <v/>
      </c>
      <c r="W3090" t="str">
        <f t="shared" si="488"/>
        <v/>
      </c>
      <c r="X3090">
        <f>IF($T3090="",N($X3089),IF(MATCH($T3090,$T$6:$T$10005,0)=ROW()-5,N($X3089)+1,N($X3089)))</f>
        <v>0</v>
      </c>
      <c r="Z3090" t="str">
        <f t="shared" si="489"/>
        <v/>
      </c>
      <c r="AA3090">
        <f>IF($V3090="",N($AA3089),IF(MATCH($V3090,$V$6:$V$10005,0)=ROW()-5,N($AA3089)+1,N($AA3089)))</f>
        <v>0</v>
      </c>
    </row>
    <row r="3091" spans="1:27" ht="21" customHeight="1" x14ac:dyDescent="0.95">
      <c r="A3091" s="56"/>
      <c r="B3091" s="57"/>
      <c r="C3091" s="57"/>
      <c r="D3091" s="57"/>
      <c r="E3091" s="56"/>
      <c r="F3091" s="57"/>
      <c r="G3091" s="57"/>
      <c r="H3091" s="56"/>
      <c r="I3091" s="56"/>
      <c r="J3091" s="58"/>
      <c r="K3091" s="58"/>
      <c r="L3091" s="13" t="str">
        <f t="shared" si="480"/>
        <v/>
      </c>
      <c r="M3091" s="13" t="str">
        <f t="shared" si="481"/>
        <v/>
      </c>
      <c r="Q3091" t="str">
        <f t="shared" si="482"/>
        <v/>
      </c>
      <c r="R3091" t="str">
        <f t="shared" si="483"/>
        <v/>
      </c>
      <c r="S3091" t="str">
        <f t="shared" si="484"/>
        <v/>
      </c>
      <c r="T3091" t="str">
        <f t="shared" si="485"/>
        <v/>
      </c>
      <c r="U3091" t="str">
        <f t="shared" si="486"/>
        <v/>
      </c>
      <c r="V3091" t="str">
        <f t="shared" si="487"/>
        <v/>
      </c>
      <c r="W3091" t="str">
        <f t="shared" si="488"/>
        <v/>
      </c>
      <c r="X3091">
        <f>IF($T3091="",N($X3090),IF(MATCH($T3091,$T$6:$T$10005,0)=ROW()-5,N($X3090)+1,N($X3090)))</f>
        <v>0</v>
      </c>
      <c r="Z3091" t="str">
        <f t="shared" si="489"/>
        <v/>
      </c>
      <c r="AA3091">
        <f>IF($V3091="",N($AA3090),IF(MATCH($V3091,$V$6:$V$10005,0)=ROW()-5,N($AA3090)+1,N($AA3090)))</f>
        <v>0</v>
      </c>
    </row>
    <row r="3092" spans="1:27" ht="21" customHeight="1" x14ac:dyDescent="0.95">
      <c r="A3092" s="56"/>
      <c r="B3092" s="57"/>
      <c r="C3092" s="57"/>
      <c r="D3092" s="57"/>
      <c r="E3092" s="56"/>
      <c r="F3092" s="57"/>
      <c r="G3092" s="57"/>
      <c r="H3092" s="56"/>
      <c r="I3092" s="56"/>
      <c r="J3092" s="58"/>
      <c r="K3092" s="58"/>
      <c r="L3092" s="13" t="str">
        <f t="shared" si="480"/>
        <v/>
      </c>
      <c r="M3092" s="13" t="str">
        <f t="shared" si="481"/>
        <v/>
      </c>
      <c r="Q3092" t="str">
        <f t="shared" si="482"/>
        <v/>
      </c>
      <c r="R3092" t="str">
        <f t="shared" si="483"/>
        <v/>
      </c>
      <c r="S3092" t="str">
        <f t="shared" si="484"/>
        <v/>
      </c>
      <c r="T3092" t="str">
        <f t="shared" si="485"/>
        <v/>
      </c>
      <c r="U3092" t="str">
        <f t="shared" si="486"/>
        <v/>
      </c>
      <c r="V3092" t="str">
        <f t="shared" si="487"/>
        <v/>
      </c>
      <c r="W3092" t="str">
        <f t="shared" si="488"/>
        <v/>
      </c>
      <c r="X3092">
        <f>IF($T3092="",N($X3091),IF(MATCH($T3092,$T$6:$T$10005,0)=ROW()-5,N($X3091)+1,N($X3091)))</f>
        <v>0</v>
      </c>
      <c r="Z3092" t="str">
        <f t="shared" si="489"/>
        <v/>
      </c>
      <c r="AA3092">
        <f>IF($V3092="",N($AA3091),IF(MATCH($V3092,$V$6:$V$10005,0)=ROW()-5,N($AA3091)+1,N($AA3091)))</f>
        <v>0</v>
      </c>
    </row>
    <row r="3093" spans="1:27" ht="21" customHeight="1" x14ac:dyDescent="0.95">
      <c r="A3093" s="56"/>
      <c r="B3093" s="57"/>
      <c r="C3093" s="57"/>
      <c r="D3093" s="57"/>
      <c r="E3093" s="56"/>
      <c r="F3093" s="57"/>
      <c r="G3093" s="57"/>
      <c r="H3093" s="56"/>
      <c r="I3093" s="56"/>
      <c r="J3093" s="58"/>
      <c r="K3093" s="58"/>
      <c r="L3093" s="13" t="str">
        <f t="shared" si="480"/>
        <v/>
      </c>
      <c r="M3093" s="13" t="str">
        <f t="shared" si="481"/>
        <v/>
      </c>
      <c r="Q3093" t="str">
        <f t="shared" si="482"/>
        <v/>
      </c>
      <c r="R3093" t="str">
        <f t="shared" si="483"/>
        <v/>
      </c>
      <c r="S3093" t="str">
        <f t="shared" si="484"/>
        <v/>
      </c>
      <c r="T3093" t="str">
        <f t="shared" si="485"/>
        <v/>
      </c>
      <c r="U3093" t="str">
        <f t="shared" si="486"/>
        <v/>
      </c>
      <c r="V3093" t="str">
        <f t="shared" si="487"/>
        <v/>
      </c>
      <c r="W3093" t="str">
        <f t="shared" si="488"/>
        <v/>
      </c>
      <c r="X3093">
        <f>IF($T3093="",N($X3092),IF(MATCH($T3093,$T$6:$T$10005,0)=ROW()-5,N($X3092)+1,N($X3092)))</f>
        <v>0</v>
      </c>
      <c r="Z3093" t="str">
        <f t="shared" si="489"/>
        <v/>
      </c>
      <c r="AA3093">
        <f>IF($V3093="",N($AA3092),IF(MATCH($V3093,$V$6:$V$10005,0)=ROW()-5,N($AA3092)+1,N($AA3092)))</f>
        <v>0</v>
      </c>
    </row>
    <row r="3094" spans="1:27" ht="21" customHeight="1" x14ac:dyDescent="0.95">
      <c r="A3094" s="56"/>
      <c r="B3094" s="57"/>
      <c r="C3094" s="57"/>
      <c r="D3094" s="57"/>
      <c r="E3094" s="56"/>
      <c r="F3094" s="57"/>
      <c r="G3094" s="57"/>
      <c r="H3094" s="56"/>
      <c r="I3094" s="56"/>
      <c r="J3094" s="58"/>
      <c r="K3094" s="58"/>
      <c r="L3094" s="13" t="str">
        <f t="shared" si="480"/>
        <v/>
      </c>
      <c r="M3094" s="13" t="str">
        <f t="shared" si="481"/>
        <v/>
      </c>
      <c r="Q3094" t="str">
        <f t="shared" si="482"/>
        <v/>
      </c>
      <c r="R3094" t="str">
        <f t="shared" si="483"/>
        <v/>
      </c>
      <c r="S3094" t="str">
        <f t="shared" si="484"/>
        <v/>
      </c>
      <c r="T3094" t="str">
        <f t="shared" si="485"/>
        <v/>
      </c>
      <c r="U3094" t="str">
        <f t="shared" si="486"/>
        <v/>
      </c>
      <c r="V3094" t="str">
        <f t="shared" si="487"/>
        <v/>
      </c>
      <c r="W3094" t="str">
        <f t="shared" si="488"/>
        <v/>
      </c>
      <c r="X3094">
        <f>IF($T3094="",N($X3093),IF(MATCH($T3094,$T$6:$T$10005,0)=ROW()-5,N($X3093)+1,N($X3093)))</f>
        <v>0</v>
      </c>
      <c r="Z3094" t="str">
        <f t="shared" si="489"/>
        <v/>
      </c>
      <c r="AA3094">
        <f>IF($V3094="",N($AA3093),IF(MATCH($V3094,$V$6:$V$10005,0)=ROW()-5,N($AA3093)+1,N($AA3093)))</f>
        <v>0</v>
      </c>
    </row>
    <row r="3095" spans="1:27" ht="21" customHeight="1" x14ac:dyDescent="0.95">
      <c r="A3095" s="56"/>
      <c r="B3095" s="57"/>
      <c r="C3095" s="57"/>
      <c r="D3095" s="57"/>
      <c r="E3095" s="56"/>
      <c r="F3095" s="57"/>
      <c r="G3095" s="57"/>
      <c r="H3095" s="56"/>
      <c r="I3095" s="56"/>
      <c r="J3095" s="58"/>
      <c r="K3095" s="58"/>
      <c r="L3095" s="13" t="str">
        <f t="shared" si="480"/>
        <v/>
      </c>
      <c r="M3095" s="13" t="str">
        <f t="shared" si="481"/>
        <v/>
      </c>
      <c r="Q3095" t="str">
        <f t="shared" si="482"/>
        <v/>
      </c>
      <c r="R3095" t="str">
        <f t="shared" si="483"/>
        <v/>
      </c>
      <c r="S3095" t="str">
        <f t="shared" si="484"/>
        <v/>
      </c>
      <c r="T3095" t="str">
        <f t="shared" si="485"/>
        <v/>
      </c>
      <c r="U3095" t="str">
        <f t="shared" si="486"/>
        <v/>
      </c>
      <c r="V3095" t="str">
        <f t="shared" si="487"/>
        <v/>
      </c>
      <c r="W3095" t="str">
        <f t="shared" si="488"/>
        <v/>
      </c>
      <c r="X3095">
        <f>IF($T3095="",N($X3094),IF(MATCH($T3095,$T$6:$T$10005,0)=ROW()-5,N($X3094)+1,N($X3094)))</f>
        <v>0</v>
      </c>
      <c r="Z3095" t="str">
        <f t="shared" si="489"/>
        <v/>
      </c>
      <c r="AA3095">
        <f>IF($V3095="",N($AA3094),IF(MATCH($V3095,$V$6:$V$10005,0)=ROW()-5,N($AA3094)+1,N($AA3094)))</f>
        <v>0</v>
      </c>
    </row>
    <row r="3096" spans="1:27" ht="21" customHeight="1" x14ac:dyDescent="0.95">
      <c r="A3096" s="56"/>
      <c r="B3096" s="57"/>
      <c r="C3096" s="57"/>
      <c r="D3096" s="57"/>
      <c r="E3096" s="56"/>
      <c r="F3096" s="57"/>
      <c r="G3096" s="57"/>
      <c r="H3096" s="56"/>
      <c r="I3096" s="56"/>
      <c r="J3096" s="58"/>
      <c r="K3096" s="58"/>
      <c r="L3096" s="13" t="str">
        <f t="shared" si="480"/>
        <v/>
      </c>
      <c r="M3096" s="13" t="str">
        <f t="shared" si="481"/>
        <v/>
      </c>
      <c r="Q3096" t="str">
        <f t="shared" si="482"/>
        <v/>
      </c>
      <c r="R3096" t="str">
        <f t="shared" si="483"/>
        <v/>
      </c>
      <c r="S3096" t="str">
        <f t="shared" si="484"/>
        <v/>
      </c>
      <c r="T3096" t="str">
        <f t="shared" si="485"/>
        <v/>
      </c>
      <c r="U3096" t="str">
        <f t="shared" si="486"/>
        <v/>
      </c>
      <c r="V3096" t="str">
        <f t="shared" si="487"/>
        <v/>
      </c>
      <c r="W3096" t="str">
        <f t="shared" si="488"/>
        <v/>
      </c>
      <c r="X3096">
        <f>IF($T3096="",N($X3095),IF(MATCH($T3096,$T$6:$T$10005,0)=ROW()-5,N($X3095)+1,N($X3095)))</f>
        <v>0</v>
      </c>
      <c r="Z3096" t="str">
        <f t="shared" si="489"/>
        <v/>
      </c>
      <c r="AA3096">
        <f>IF($V3096="",N($AA3095),IF(MATCH($V3096,$V$6:$V$10005,0)=ROW()-5,N($AA3095)+1,N($AA3095)))</f>
        <v>0</v>
      </c>
    </row>
    <row r="3097" spans="1:27" ht="21" customHeight="1" x14ac:dyDescent="0.95">
      <c r="A3097" s="56"/>
      <c r="B3097" s="57"/>
      <c r="C3097" s="57"/>
      <c r="D3097" s="57"/>
      <c r="E3097" s="56"/>
      <c r="F3097" s="57"/>
      <c r="G3097" s="57"/>
      <c r="H3097" s="56"/>
      <c r="I3097" s="56"/>
      <c r="J3097" s="58"/>
      <c r="K3097" s="58"/>
      <c r="L3097" s="13" t="str">
        <f t="shared" si="480"/>
        <v/>
      </c>
      <c r="M3097" s="13" t="str">
        <f t="shared" si="481"/>
        <v/>
      </c>
      <c r="Q3097" t="str">
        <f t="shared" si="482"/>
        <v/>
      </c>
      <c r="R3097" t="str">
        <f t="shared" si="483"/>
        <v/>
      </c>
      <c r="S3097" t="str">
        <f t="shared" si="484"/>
        <v/>
      </c>
      <c r="T3097" t="str">
        <f t="shared" si="485"/>
        <v/>
      </c>
      <c r="U3097" t="str">
        <f t="shared" si="486"/>
        <v/>
      </c>
      <c r="V3097" t="str">
        <f t="shared" si="487"/>
        <v/>
      </c>
      <c r="W3097" t="str">
        <f t="shared" si="488"/>
        <v/>
      </c>
      <c r="X3097">
        <f>IF($T3097="",N($X3096),IF(MATCH($T3097,$T$6:$T$10005,0)=ROW()-5,N($X3096)+1,N($X3096)))</f>
        <v>0</v>
      </c>
      <c r="Z3097" t="str">
        <f t="shared" si="489"/>
        <v/>
      </c>
      <c r="AA3097">
        <f>IF($V3097="",N($AA3096),IF(MATCH($V3097,$V$6:$V$10005,0)=ROW()-5,N($AA3096)+1,N($AA3096)))</f>
        <v>0</v>
      </c>
    </row>
    <row r="3098" spans="1:27" ht="21" customHeight="1" x14ac:dyDescent="0.95">
      <c r="A3098" s="56"/>
      <c r="B3098" s="57"/>
      <c r="C3098" s="57"/>
      <c r="D3098" s="57"/>
      <c r="E3098" s="56"/>
      <c r="F3098" s="57"/>
      <c r="G3098" s="57"/>
      <c r="H3098" s="56"/>
      <c r="I3098" s="56"/>
      <c r="J3098" s="58"/>
      <c r="K3098" s="58"/>
      <c r="L3098" s="13" t="str">
        <f t="shared" si="480"/>
        <v/>
      </c>
      <c r="M3098" s="13" t="str">
        <f t="shared" si="481"/>
        <v/>
      </c>
      <c r="Q3098" t="str">
        <f t="shared" si="482"/>
        <v/>
      </c>
      <c r="R3098" t="str">
        <f t="shared" si="483"/>
        <v/>
      </c>
      <c r="S3098" t="str">
        <f t="shared" si="484"/>
        <v/>
      </c>
      <c r="T3098" t="str">
        <f t="shared" si="485"/>
        <v/>
      </c>
      <c r="U3098" t="str">
        <f t="shared" si="486"/>
        <v/>
      </c>
      <c r="V3098" t="str">
        <f t="shared" si="487"/>
        <v/>
      </c>
      <c r="W3098" t="str">
        <f t="shared" si="488"/>
        <v/>
      </c>
      <c r="X3098">
        <f>IF($T3098="",N($X3097),IF(MATCH($T3098,$T$6:$T$10005,0)=ROW()-5,N($X3097)+1,N($X3097)))</f>
        <v>0</v>
      </c>
      <c r="Z3098" t="str">
        <f t="shared" si="489"/>
        <v/>
      </c>
      <c r="AA3098">
        <f>IF($V3098="",N($AA3097),IF(MATCH($V3098,$V$6:$V$10005,0)=ROW()-5,N($AA3097)+1,N($AA3097)))</f>
        <v>0</v>
      </c>
    </row>
    <row r="3099" spans="1:27" ht="21" customHeight="1" x14ac:dyDescent="0.95">
      <c r="A3099" s="56"/>
      <c r="B3099" s="57"/>
      <c r="C3099" s="57"/>
      <c r="D3099" s="57"/>
      <c r="E3099" s="56"/>
      <c r="F3099" s="57"/>
      <c r="G3099" s="57"/>
      <c r="H3099" s="56"/>
      <c r="I3099" s="56"/>
      <c r="J3099" s="58"/>
      <c r="K3099" s="58"/>
      <c r="L3099" s="13" t="str">
        <f t="shared" si="480"/>
        <v/>
      </c>
      <c r="M3099" s="13" t="str">
        <f t="shared" si="481"/>
        <v/>
      </c>
      <c r="Q3099" t="str">
        <f t="shared" si="482"/>
        <v/>
      </c>
      <c r="R3099" t="str">
        <f t="shared" si="483"/>
        <v/>
      </c>
      <c r="S3099" t="str">
        <f t="shared" si="484"/>
        <v/>
      </c>
      <c r="T3099" t="str">
        <f t="shared" si="485"/>
        <v/>
      </c>
      <c r="U3099" t="str">
        <f t="shared" si="486"/>
        <v/>
      </c>
      <c r="V3099" t="str">
        <f t="shared" si="487"/>
        <v/>
      </c>
      <c r="W3099" t="str">
        <f t="shared" si="488"/>
        <v/>
      </c>
      <c r="X3099">
        <f>IF($T3099="",N($X3098),IF(MATCH($T3099,$T$6:$T$10005,0)=ROW()-5,N($X3098)+1,N($X3098)))</f>
        <v>0</v>
      </c>
      <c r="Z3099" t="str">
        <f t="shared" si="489"/>
        <v/>
      </c>
      <c r="AA3099">
        <f>IF($V3099="",N($AA3098),IF(MATCH($V3099,$V$6:$V$10005,0)=ROW()-5,N($AA3098)+1,N($AA3098)))</f>
        <v>0</v>
      </c>
    </row>
    <row r="3100" spans="1:27" ht="21" customHeight="1" x14ac:dyDescent="0.95">
      <c r="A3100" s="56"/>
      <c r="B3100" s="57"/>
      <c r="C3100" s="57"/>
      <c r="D3100" s="57"/>
      <c r="E3100" s="56"/>
      <c r="F3100" s="57"/>
      <c r="G3100" s="57"/>
      <c r="H3100" s="56"/>
      <c r="I3100" s="56"/>
      <c r="J3100" s="58"/>
      <c r="K3100" s="58"/>
      <c r="L3100" s="13" t="str">
        <f t="shared" si="480"/>
        <v/>
      </c>
      <c r="M3100" s="13" t="str">
        <f t="shared" si="481"/>
        <v/>
      </c>
      <c r="Q3100" t="str">
        <f t="shared" si="482"/>
        <v/>
      </c>
      <c r="R3100" t="str">
        <f t="shared" si="483"/>
        <v/>
      </c>
      <c r="S3100" t="str">
        <f t="shared" si="484"/>
        <v/>
      </c>
      <c r="T3100" t="str">
        <f t="shared" si="485"/>
        <v/>
      </c>
      <c r="U3100" t="str">
        <f t="shared" si="486"/>
        <v/>
      </c>
      <c r="V3100" t="str">
        <f t="shared" si="487"/>
        <v/>
      </c>
      <c r="W3100" t="str">
        <f t="shared" si="488"/>
        <v/>
      </c>
      <c r="X3100">
        <f>IF($T3100="",N($X3099),IF(MATCH($T3100,$T$6:$T$10005,0)=ROW()-5,N($X3099)+1,N($X3099)))</f>
        <v>0</v>
      </c>
      <c r="Z3100" t="str">
        <f t="shared" si="489"/>
        <v/>
      </c>
      <c r="AA3100">
        <f>IF($V3100="",N($AA3099),IF(MATCH($V3100,$V$6:$V$10005,0)=ROW()-5,N($AA3099)+1,N($AA3099)))</f>
        <v>0</v>
      </c>
    </row>
    <row r="3101" spans="1:27" ht="21" customHeight="1" x14ac:dyDescent="0.95">
      <c r="A3101" s="56"/>
      <c r="B3101" s="57"/>
      <c r="C3101" s="57"/>
      <c r="D3101" s="57"/>
      <c r="E3101" s="56"/>
      <c r="F3101" s="57"/>
      <c r="G3101" s="57"/>
      <c r="H3101" s="56"/>
      <c r="I3101" s="56"/>
      <c r="J3101" s="58"/>
      <c r="K3101" s="58"/>
      <c r="L3101" s="13" t="str">
        <f t="shared" si="480"/>
        <v/>
      </c>
      <c r="M3101" s="13" t="str">
        <f t="shared" si="481"/>
        <v/>
      </c>
      <c r="Q3101" t="str">
        <f t="shared" si="482"/>
        <v/>
      </c>
      <c r="R3101" t="str">
        <f t="shared" si="483"/>
        <v/>
      </c>
      <c r="S3101" t="str">
        <f t="shared" si="484"/>
        <v/>
      </c>
      <c r="T3101" t="str">
        <f t="shared" si="485"/>
        <v/>
      </c>
      <c r="U3101" t="str">
        <f t="shared" si="486"/>
        <v/>
      </c>
      <c r="V3101" t="str">
        <f t="shared" si="487"/>
        <v/>
      </c>
      <c r="W3101" t="str">
        <f t="shared" si="488"/>
        <v/>
      </c>
      <c r="X3101">
        <f>IF($T3101="",N($X3100),IF(MATCH($T3101,$T$6:$T$10005,0)=ROW()-5,N($X3100)+1,N($X3100)))</f>
        <v>0</v>
      </c>
      <c r="Z3101" t="str">
        <f t="shared" si="489"/>
        <v/>
      </c>
      <c r="AA3101">
        <f>IF($V3101="",N($AA3100),IF(MATCH($V3101,$V$6:$V$10005,0)=ROW()-5,N($AA3100)+1,N($AA3100)))</f>
        <v>0</v>
      </c>
    </row>
    <row r="3102" spans="1:27" ht="21" customHeight="1" x14ac:dyDescent="0.95">
      <c r="A3102" s="56"/>
      <c r="B3102" s="57"/>
      <c r="C3102" s="57"/>
      <c r="D3102" s="57"/>
      <c r="E3102" s="56"/>
      <c r="F3102" s="57"/>
      <c r="G3102" s="57"/>
      <c r="H3102" s="56"/>
      <c r="I3102" s="56"/>
      <c r="J3102" s="58"/>
      <c r="K3102" s="58"/>
      <c r="L3102" s="13" t="str">
        <f t="shared" si="480"/>
        <v/>
      </c>
      <c r="M3102" s="13" t="str">
        <f t="shared" si="481"/>
        <v/>
      </c>
      <c r="Q3102" t="str">
        <f t="shared" si="482"/>
        <v/>
      </c>
      <c r="R3102" t="str">
        <f t="shared" si="483"/>
        <v/>
      </c>
      <c r="S3102" t="str">
        <f t="shared" si="484"/>
        <v/>
      </c>
      <c r="T3102" t="str">
        <f t="shared" si="485"/>
        <v/>
      </c>
      <c r="U3102" t="str">
        <f t="shared" si="486"/>
        <v/>
      </c>
      <c r="V3102" t="str">
        <f t="shared" si="487"/>
        <v/>
      </c>
      <c r="W3102" t="str">
        <f t="shared" si="488"/>
        <v/>
      </c>
      <c r="X3102">
        <f>IF($T3102="",N($X3101),IF(MATCH($T3102,$T$6:$T$10005,0)=ROW()-5,N($X3101)+1,N($X3101)))</f>
        <v>0</v>
      </c>
      <c r="Z3102" t="str">
        <f t="shared" si="489"/>
        <v/>
      </c>
      <c r="AA3102">
        <f>IF($V3102="",N($AA3101),IF(MATCH($V3102,$V$6:$V$10005,0)=ROW()-5,N($AA3101)+1,N($AA3101)))</f>
        <v>0</v>
      </c>
    </row>
    <row r="3103" spans="1:27" ht="21" customHeight="1" x14ac:dyDescent="0.95">
      <c r="A3103" s="56"/>
      <c r="B3103" s="57"/>
      <c r="C3103" s="57"/>
      <c r="D3103" s="57"/>
      <c r="E3103" s="56"/>
      <c r="F3103" s="57"/>
      <c r="G3103" s="57"/>
      <c r="H3103" s="56"/>
      <c r="I3103" s="56"/>
      <c r="J3103" s="58"/>
      <c r="K3103" s="58"/>
      <c r="L3103" s="13" t="str">
        <f t="shared" si="480"/>
        <v/>
      </c>
      <c r="M3103" s="13" t="str">
        <f t="shared" si="481"/>
        <v/>
      </c>
      <c r="Q3103" t="str">
        <f t="shared" si="482"/>
        <v/>
      </c>
      <c r="R3103" t="str">
        <f t="shared" si="483"/>
        <v/>
      </c>
      <c r="S3103" t="str">
        <f t="shared" si="484"/>
        <v/>
      </c>
      <c r="T3103" t="str">
        <f t="shared" si="485"/>
        <v/>
      </c>
      <c r="U3103" t="str">
        <f t="shared" si="486"/>
        <v/>
      </c>
      <c r="V3103" t="str">
        <f t="shared" si="487"/>
        <v/>
      </c>
      <c r="W3103" t="str">
        <f t="shared" si="488"/>
        <v/>
      </c>
      <c r="X3103">
        <f>IF($T3103="",N($X3102),IF(MATCH($T3103,$T$6:$T$10005,0)=ROW()-5,N($X3102)+1,N($X3102)))</f>
        <v>0</v>
      </c>
      <c r="Z3103" t="str">
        <f t="shared" si="489"/>
        <v/>
      </c>
      <c r="AA3103">
        <f>IF($V3103="",N($AA3102),IF(MATCH($V3103,$V$6:$V$10005,0)=ROW()-5,N($AA3102)+1,N($AA3102)))</f>
        <v>0</v>
      </c>
    </row>
    <row r="3104" spans="1:27" ht="21" customHeight="1" x14ac:dyDescent="0.95">
      <c r="A3104" s="56"/>
      <c r="B3104" s="57"/>
      <c r="C3104" s="57"/>
      <c r="D3104" s="57"/>
      <c r="E3104" s="56"/>
      <c r="F3104" s="57"/>
      <c r="G3104" s="57"/>
      <c r="H3104" s="56"/>
      <c r="I3104" s="56"/>
      <c r="J3104" s="58"/>
      <c r="K3104" s="58"/>
      <c r="L3104" s="13" t="str">
        <f t="shared" si="480"/>
        <v/>
      </c>
      <c r="M3104" s="13" t="str">
        <f t="shared" si="481"/>
        <v/>
      </c>
      <c r="Q3104" t="str">
        <f t="shared" si="482"/>
        <v/>
      </c>
      <c r="R3104" t="str">
        <f t="shared" si="483"/>
        <v/>
      </c>
      <c r="S3104" t="str">
        <f t="shared" si="484"/>
        <v/>
      </c>
      <c r="T3104" t="str">
        <f t="shared" si="485"/>
        <v/>
      </c>
      <c r="U3104" t="str">
        <f t="shared" si="486"/>
        <v/>
      </c>
      <c r="V3104" t="str">
        <f t="shared" si="487"/>
        <v/>
      </c>
      <c r="W3104" t="str">
        <f t="shared" si="488"/>
        <v/>
      </c>
      <c r="X3104">
        <f>IF($T3104="",N($X3103),IF(MATCH($T3104,$T$6:$T$10005,0)=ROW()-5,N($X3103)+1,N($X3103)))</f>
        <v>0</v>
      </c>
      <c r="Z3104" t="str">
        <f t="shared" si="489"/>
        <v/>
      </c>
      <c r="AA3104">
        <f>IF($V3104="",N($AA3103),IF(MATCH($V3104,$V$6:$V$10005,0)=ROW()-5,N($AA3103)+1,N($AA3103)))</f>
        <v>0</v>
      </c>
    </row>
    <row r="3105" spans="1:27" ht="21" customHeight="1" x14ac:dyDescent="0.95">
      <c r="A3105" s="56"/>
      <c r="B3105" s="57"/>
      <c r="C3105" s="57"/>
      <c r="D3105" s="57"/>
      <c r="E3105" s="56"/>
      <c r="F3105" s="57"/>
      <c r="G3105" s="57"/>
      <c r="H3105" s="56"/>
      <c r="I3105" s="56"/>
      <c r="J3105" s="58"/>
      <c r="K3105" s="58"/>
      <c r="L3105" s="13" t="str">
        <f t="shared" si="480"/>
        <v/>
      </c>
      <c r="M3105" s="13" t="str">
        <f t="shared" si="481"/>
        <v/>
      </c>
      <c r="Q3105" t="str">
        <f t="shared" si="482"/>
        <v/>
      </c>
      <c r="R3105" t="str">
        <f t="shared" si="483"/>
        <v/>
      </c>
      <c r="S3105" t="str">
        <f t="shared" si="484"/>
        <v/>
      </c>
      <c r="T3105" t="str">
        <f t="shared" si="485"/>
        <v/>
      </c>
      <c r="U3105" t="str">
        <f t="shared" si="486"/>
        <v/>
      </c>
      <c r="V3105" t="str">
        <f t="shared" si="487"/>
        <v/>
      </c>
      <c r="W3105" t="str">
        <f t="shared" si="488"/>
        <v/>
      </c>
      <c r="X3105">
        <f>IF($T3105="",N($X3104),IF(MATCH($T3105,$T$6:$T$10005,0)=ROW()-5,N($X3104)+1,N($X3104)))</f>
        <v>0</v>
      </c>
      <c r="Z3105" t="str">
        <f t="shared" si="489"/>
        <v/>
      </c>
      <c r="AA3105">
        <f>IF($V3105="",N($AA3104),IF(MATCH($V3105,$V$6:$V$10005,0)=ROW()-5,N($AA3104)+1,N($AA3104)))</f>
        <v>0</v>
      </c>
    </row>
    <row r="3106" spans="1:27" ht="21" customHeight="1" x14ac:dyDescent="0.95">
      <c r="A3106" s="56"/>
      <c r="B3106" s="57"/>
      <c r="C3106" s="57"/>
      <c r="D3106" s="57"/>
      <c r="E3106" s="56"/>
      <c r="F3106" s="57"/>
      <c r="G3106" s="57"/>
      <c r="H3106" s="56"/>
      <c r="I3106" s="56"/>
      <c r="J3106" s="58"/>
      <c r="K3106" s="58"/>
      <c r="L3106" s="13" t="str">
        <f t="shared" si="480"/>
        <v/>
      </c>
      <c r="M3106" s="13" t="str">
        <f t="shared" si="481"/>
        <v/>
      </c>
      <c r="Q3106" t="str">
        <f t="shared" si="482"/>
        <v/>
      </c>
      <c r="R3106" t="str">
        <f t="shared" si="483"/>
        <v/>
      </c>
      <c r="S3106" t="str">
        <f t="shared" si="484"/>
        <v/>
      </c>
      <c r="T3106" t="str">
        <f t="shared" si="485"/>
        <v/>
      </c>
      <c r="U3106" t="str">
        <f t="shared" si="486"/>
        <v/>
      </c>
      <c r="V3106" t="str">
        <f t="shared" si="487"/>
        <v/>
      </c>
      <c r="W3106" t="str">
        <f t="shared" si="488"/>
        <v/>
      </c>
      <c r="X3106">
        <f>IF($T3106="",N($X3105),IF(MATCH($T3106,$T$6:$T$10005,0)=ROW()-5,N($X3105)+1,N($X3105)))</f>
        <v>0</v>
      </c>
      <c r="Z3106" t="str">
        <f t="shared" si="489"/>
        <v/>
      </c>
      <c r="AA3106">
        <f>IF($V3106="",N($AA3105),IF(MATCH($V3106,$V$6:$V$10005,0)=ROW()-5,N($AA3105)+1,N($AA3105)))</f>
        <v>0</v>
      </c>
    </row>
    <row r="3107" spans="1:27" ht="21" customHeight="1" x14ac:dyDescent="0.95">
      <c r="A3107" s="56"/>
      <c r="B3107" s="57"/>
      <c r="C3107" s="57"/>
      <c r="D3107" s="57"/>
      <c r="E3107" s="56"/>
      <c r="F3107" s="57"/>
      <c r="G3107" s="57"/>
      <c r="H3107" s="56"/>
      <c r="I3107" s="56"/>
      <c r="J3107" s="58"/>
      <c r="K3107" s="58"/>
      <c r="L3107" s="13" t="str">
        <f t="shared" si="480"/>
        <v/>
      </c>
      <c r="M3107" s="13" t="str">
        <f t="shared" si="481"/>
        <v/>
      </c>
      <c r="Q3107" t="str">
        <f t="shared" si="482"/>
        <v/>
      </c>
      <c r="R3107" t="str">
        <f t="shared" si="483"/>
        <v/>
      </c>
      <c r="S3107" t="str">
        <f t="shared" si="484"/>
        <v/>
      </c>
      <c r="T3107" t="str">
        <f t="shared" si="485"/>
        <v/>
      </c>
      <c r="U3107" t="str">
        <f t="shared" si="486"/>
        <v/>
      </c>
      <c r="V3107" t="str">
        <f t="shared" si="487"/>
        <v/>
      </c>
      <c r="W3107" t="str">
        <f t="shared" si="488"/>
        <v/>
      </c>
      <c r="X3107">
        <f>IF($T3107="",N($X3106),IF(MATCH($T3107,$T$6:$T$10005,0)=ROW()-5,N($X3106)+1,N($X3106)))</f>
        <v>0</v>
      </c>
      <c r="Z3107" t="str">
        <f t="shared" si="489"/>
        <v/>
      </c>
      <c r="AA3107">
        <f>IF($V3107="",N($AA3106),IF(MATCH($V3107,$V$6:$V$10005,0)=ROW()-5,N($AA3106)+1,N($AA3106)))</f>
        <v>0</v>
      </c>
    </row>
    <row r="3108" spans="1:27" ht="21" customHeight="1" x14ac:dyDescent="0.95">
      <c r="A3108" s="56"/>
      <c r="B3108" s="57"/>
      <c r="C3108" s="57"/>
      <c r="D3108" s="57"/>
      <c r="E3108" s="56"/>
      <c r="F3108" s="57"/>
      <c r="G3108" s="57"/>
      <c r="H3108" s="56"/>
      <c r="I3108" s="56"/>
      <c r="J3108" s="58"/>
      <c r="K3108" s="58"/>
      <c r="L3108" s="13" t="str">
        <f t="shared" si="480"/>
        <v/>
      </c>
      <c r="M3108" s="13" t="str">
        <f t="shared" si="481"/>
        <v/>
      </c>
      <c r="Q3108" t="str">
        <f t="shared" si="482"/>
        <v/>
      </c>
      <c r="R3108" t="str">
        <f t="shared" si="483"/>
        <v/>
      </c>
      <c r="S3108" t="str">
        <f t="shared" si="484"/>
        <v/>
      </c>
      <c r="T3108" t="str">
        <f t="shared" si="485"/>
        <v/>
      </c>
      <c r="U3108" t="str">
        <f t="shared" si="486"/>
        <v/>
      </c>
      <c r="V3108" t="str">
        <f t="shared" si="487"/>
        <v/>
      </c>
      <c r="W3108" t="str">
        <f t="shared" si="488"/>
        <v/>
      </c>
      <c r="X3108">
        <f>IF($T3108="",N($X3107),IF(MATCH($T3108,$T$6:$T$10005,0)=ROW()-5,N($X3107)+1,N($X3107)))</f>
        <v>0</v>
      </c>
      <c r="Z3108" t="str">
        <f t="shared" si="489"/>
        <v/>
      </c>
      <c r="AA3108">
        <f>IF($V3108="",N($AA3107),IF(MATCH($V3108,$V$6:$V$10005,0)=ROW()-5,N($AA3107)+1,N($AA3107)))</f>
        <v>0</v>
      </c>
    </row>
    <row r="3109" spans="1:27" ht="21" customHeight="1" x14ac:dyDescent="0.95">
      <c r="A3109" s="56"/>
      <c r="B3109" s="57"/>
      <c r="C3109" s="57"/>
      <c r="D3109" s="57"/>
      <c r="E3109" s="56"/>
      <c r="F3109" s="57"/>
      <c r="G3109" s="57"/>
      <c r="H3109" s="56"/>
      <c r="I3109" s="56"/>
      <c r="J3109" s="58"/>
      <c r="K3109" s="58"/>
      <c r="L3109" s="13" t="str">
        <f t="shared" si="480"/>
        <v/>
      </c>
      <c r="M3109" s="13" t="str">
        <f t="shared" si="481"/>
        <v/>
      </c>
      <c r="Q3109" t="str">
        <f t="shared" si="482"/>
        <v/>
      </c>
      <c r="R3109" t="str">
        <f t="shared" si="483"/>
        <v/>
      </c>
      <c r="S3109" t="str">
        <f t="shared" si="484"/>
        <v/>
      </c>
      <c r="T3109" t="str">
        <f t="shared" si="485"/>
        <v/>
      </c>
      <c r="U3109" t="str">
        <f t="shared" si="486"/>
        <v/>
      </c>
      <c r="V3109" t="str">
        <f t="shared" si="487"/>
        <v/>
      </c>
      <c r="W3109" t="str">
        <f t="shared" si="488"/>
        <v/>
      </c>
      <c r="X3109">
        <f>IF($T3109="",N($X3108),IF(MATCH($T3109,$T$6:$T$10005,0)=ROW()-5,N($X3108)+1,N($X3108)))</f>
        <v>0</v>
      </c>
      <c r="Z3109" t="str">
        <f t="shared" si="489"/>
        <v/>
      </c>
      <c r="AA3109">
        <f>IF($V3109="",N($AA3108),IF(MATCH($V3109,$V$6:$V$10005,0)=ROW()-5,N($AA3108)+1,N($AA3108)))</f>
        <v>0</v>
      </c>
    </row>
    <row r="3110" spans="1:27" ht="21" customHeight="1" x14ac:dyDescent="0.95">
      <c r="A3110" s="56"/>
      <c r="B3110" s="57"/>
      <c r="C3110" s="57"/>
      <c r="D3110" s="57"/>
      <c r="E3110" s="56"/>
      <c r="F3110" s="57"/>
      <c r="G3110" s="57"/>
      <c r="H3110" s="56"/>
      <c r="I3110" s="56"/>
      <c r="J3110" s="58"/>
      <c r="K3110" s="58"/>
      <c r="L3110" s="13" t="str">
        <f t="shared" si="480"/>
        <v/>
      </c>
      <c r="M3110" s="13" t="str">
        <f t="shared" si="481"/>
        <v/>
      </c>
      <c r="Q3110" t="str">
        <f t="shared" si="482"/>
        <v/>
      </c>
      <c r="R3110" t="str">
        <f t="shared" si="483"/>
        <v/>
      </c>
      <c r="S3110" t="str">
        <f t="shared" si="484"/>
        <v/>
      </c>
      <c r="T3110" t="str">
        <f t="shared" si="485"/>
        <v/>
      </c>
      <c r="U3110" t="str">
        <f t="shared" si="486"/>
        <v/>
      </c>
      <c r="V3110" t="str">
        <f t="shared" si="487"/>
        <v/>
      </c>
      <c r="W3110" t="str">
        <f t="shared" si="488"/>
        <v/>
      </c>
      <c r="X3110">
        <f>IF($T3110="",N($X3109),IF(MATCH($T3110,$T$6:$T$10005,0)=ROW()-5,N($X3109)+1,N($X3109)))</f>
        <v>0</v>
      </c>
      <c r="Z3110" t="str">
        <f t="shared" si="489"/>
        <v/>
      </c>
      <c r="AA3110">
        <f>IF($V3110="",N($AA3109),IF(MATCH($V3110,$V$6:$V$10005,0)=ROW()-5,N($AA3109)+1,N($AA3109)))</f>
        <v>0</v>
      </c>
    </row>
    <row r="3111" spans="1:27" ht="21" customHeight="1" x14ac:dyDescent="0.95">
      <c r="A3111" s="56"/>
      <c r="B3111" s="57"/>
      <c r="C3111" s="57"/>
      <c r="D3111" s="57"/>
      <c r="E3111" s="56"/>
      <c r="F3111" s="57"/>
      <c r="G3111" s="57"/>
      <c r="H3111" s="56"/>
      <c r="I3111" s="56"/>
      <c r="J3111" s="58"/>
      <c r="K3111" s="58"/>
      <c r="L3111" s="13" t="str">
        <f t="shared" si="480"/>
        <v/>
      </c>
      <c r="M3111" s="13" t="str">
        <f t="shared" si="481"/>
        <v/>
      </c>
      <c r="Q3111" t="str">
        <f t="shared" si="482"/>
        <v/>
      </c>
      <c r="R3111" t="str">
        <f t="shared" si="483"/>
        <v/>
      </c>
      <c r="S3111" t="str">
        <f t="shared" si="484"/>
        <v/>
      </c>
      <c r="T3111" t="str">
        <f t="shared" si="485"/>
        <v/>
      </c>
      <c r="U3111" t="str">
        <f t="shared" si="486"/>
        <v/>
      </c>
      <c r="V3111" t="str">
        <f t="shared" si="487"/>
        <v/>
      </c>
      <c r="W3111" t="str">
        <f t="shared" si="488"/>
        <v/>
      </c>
      <c r="X3111">
        <f>IF($T3111="",N($X3110),IF(MATCH($T3111,$T$6:$T$10005,0)=ROW()-5,N($X3110)+1,N($X3110)))</f>
        <v>0</v>
      </c>
      <c r="Z3111" t="str">
        <f t="shared" si="489"/>
        <v/>
      </c>
      <c r="AA3111">
        <f>IF($V3111="",N($AA3110),IF(MATCH($V3111,$V$6:$V$10005,0)=ROW()-5,N($AA3110)+1,N($AA3110)))</f>
        <v>0</v>
      </c>
    </row>
    <row r="3112" spans="1:27" ht="21" customHeight="1" x14ac:dyDescent="0.95">
      <c r="A3112" s="56"/>
      <c r="B3112" s="57"/>
      <c r="C3112" s="57"/>
      <c r="D3112" s="57"/>
      <c r="E3112" s="56"/>
      <c r="F3112" s="57"/>
      <c r="G3112" s="57"/>
      <c r="H3112" s="56"/>
      <c r="I3112" s="56"/>
      <c r="J3112" s="58"/>
      <c r="K3112" s="58"/>
      <c r="L3112" s="13" t="str">
        <f t="shared" si="480"/>
        <v/>
      </c>
      <c r="M3112" s="13" t="str">
        <f t="shared" si="481"/>
        <v/>
      </c>
      <c r="Q3112" t="str">
        <f t="shared" si="482"/>
        <v/>
      </c>
      <c r="R3112" t="str">
        <f t="shared" si="483"/>
        <v/>
      </c>
      <c r="S3112" t="str">
        <f t="shared" si="484"/>
        <v/>
      </c>
      <c r="T3112" t="str">
        <f t="shared" si="485"/>
        <v/>
      </c>
      <c r="U3112" t="str">
        <f t="shared" si="486"/>
        <v/>
      </c>
      <c r="V3112" t="str">
        <f t="shared" si="487"/>
        <v/>
      </c>
      <c r="W3112" t="str">
        <f t="shared" si="488"/>
        <v/>
      </c>
      <c r="X3112">
        <f>IF($T3112="",N($X3111),IF(MATCH($T3112,$T$6:$T$10005,0)=ROW()-5,N($X3111)+1,N($X3111)))</f>
        <v>0</v>
      </c>
      <c r="Z3112" t="str">
        <f t="shared" si="489"/>
        <v/>
      </c>
      <c r="AA3112">
        <f>IF($V3112="",N($AA3111),IF(MATCH($V3112,$V$6:$V$10005,0)=ROW()-5,N($AA3111)+1,N($AA3111)))</f>
        <v>0</v>
      </c>
    </row>
    <row r="3113" spans="1:27" ht="21" customHeight="1" x14ac:dyDescent="0.95">
      <c r="A3113" s="56"/>
      <c r="B3113" s="57"/>
      <c r="C3113" s="57"/>
      <c r="D3113" s="57"/>
      <c r="E3113" s="56"/>
      <c r="F3113" s="57"/>
      <c r="G3113" s="57"/>
      <c r="H3113" s="56"/>
      <c r="I3113" s="56"/>
      <c r="J3113" s="58"/>
      <c r="K3113" s="58"/>
      <c r="L3113" s="13" t="str">
        <f t="shared" si="480"/>
        <v/>
      </c>
      <c r="M3113" s="13" t="str">
        <f t="shared" si="481"/>
        <v/>
      </c>
      <c r="Q3113" t="str">
        <f t="shared" si="482"/>
        <v/>
      </c>
      <c r="R3113" t="str">
        <f t="shared" si="483"/>
        <v/>
      </c>
      <c r="S3113" t="str">
        <f t="shared" si="484"/>
        <v/>
      </c>
      <c r="T3113" t="str">
        <f t="shared" si="485"/>
        <v/>
      </c>
      <c r="U3113" t="str">
        <f t="shared" si="486"/>
        <v/>
      </c>
      <c r="V3113" t="str">
        <f t="shared" si="487"/>
        <v/>
      </c>
      <c r="W3113" t="str">
        <f t="shared" si="488"/>
        <v/>
      </c>
      <c r="X3113">
        <f>IF($T3113="",N($X3112),IF(MATCH($T3113,$T$6:$T$10005,0)=ROW()-5,N($X3112)+1,N($X3112)))</f>
        <v>0</v>
      </c>
      <c r="Z3113" t="str">
        <f t="shared" si="489"/>
        <v/>
      </c>
      <c r="AA3113">
        <f>IF($V3113="",N($AA3112),IF(MATCH($V3113,$V$6:$V$10005,0)=ROW()-5,N($AA3112)+1,N($AA3112)))</f>
        <v>0</v>
      </c>
    </row>
    <row r="3114" spans="1:27" ht="21" customHeight="1" x14ac:dyDescent="0.95">
      <c r="A3114" s="56"/>
      <c r="B3114" s="57"/>
      <c r="C3114" s="57"/>
      <c r="D3114" s="57"/>
      <c r="E3114" s="56"/>
      <c r="F3114" s="57"/>
      <c r="G3114" s="57"/>
      <c r="H3114" s="56"/>
      <c r="I3114" s="56"/>
      <c r="J3114" s="58"/>
      <c r="K3114" s="58"/>
      <c r="L3114" s="13" t="str">
        <f t="shared" si="480"/>
        <v/>
      </c>
      <c r="M3114" s="13" t="str">
        <f t="shared" si="481"/>
        <v/>
      </c>
      <c r="Q3114" t="str">
        <f t="shared" si="482"/>
        <v/>
      </c>
      <c r="R3114" t="str">
        <f t="shared" si="483"/>
        <v/>
      </c>
      <c r="S3114" t="str">
        <f t="shared" si="484"/>
        <v/>
      </c>
      <c r="T3114" t="str">
        <f t="shared" si="485"/>
        <v/>
      </c>
      <c r="U3114" t="str">
        <f t="shared" si="486"/>
        <v/>
      </c>
      <c r="V3114" t="str">
        <f t="shared" si="487"/>
        <v/>
      </c>
      <c r="W3114" t="str">
        <f t="shared" si="488"/>
        <v/>
      </c>
      <c r="X3114">
        <f>IF($T3114="",N($X3113),IF(MATCH($T3114,$T$6:$T$10005,0)=ROW()-5,N($X3113)+1,N($X3113)))</f>
        <v>0</v>
      </c>
      <c r="Z3114" t="str">
        <f t="shared" si="489"/>
        <v/>
      </c>
      <c r="AA3114">
        <f>IF($V3114="",N($AA3113),IF(MATCH($V3114,$V$6:$V$10005,0)=ROW()-5,N($AA3113)+1,N($AA3113)))</f>
        <v>0</v>
      </c>
    </row>
    <row r="3115" spans="1:27" ht="21" customHeight="1" x14ac:dyDescent="0.95">
      <c r="A3115" s="56"/>
      <c r="B3115" s="57"/>
      <c r="C3115" s="57"/>
      <c r="D3115" s="57"/>
      <c r="E3115" s="56"/>
      <c r="F3115" s="57"/>
      <c r="G3115" s="57"/>
      <c r="H3115" s="56"/>
      <c r="I3115" s="56"/>
      <c r="J3115" s="58"/>
      <c r="K3115" s="58"/>
      <c r="L3115" s="13" t="str">
        <f t="shared" si="480"/>
        <v/>
      </c>
      <c r="M3115" s="13" t="str">
        <f t="shared" si="481"/>
        <v/>
      </c>
      <c r="Q3115" t="str">
        <f t="shared" si="482"/>
        <v/>
      </c>
      <c r="R3115" t="str">
        <f t="shared" si="483"/>
        <v/>
      </c>
      <c r="S3115" t="str">
        <f t="shared" si="484"/>
        <v/>
      </c>
      <c r="T3115" t="str">
        <f t="shared" si="485"/>
        <v/>
      </c>
      <c r="U3115" t="str">
        <f t="shared" si="486"/>
        <v/>
      </c>
      <c r="V3115" t="str">
        <f t="shared" si="487"/>
        <v/>
      </c>
      <c r="W3115" t="str">
        <f t="shared" si="488"/>
        <v/>
      </c>
      <c r="X3115">
        <f>IF($T3115="",N($X3114),IF(MATCH($T3115,$T$6:$T$10005,0)=ROW()-5,N($X3114)+1,N($X3114)))</f>
        <v>0</v>
      </c>
      <c r="Z3115" t="str">
        <f t="shared" si="489"/>
        <v/>
      </c>
      <c r="AA3115">
        <f>IF($V3115="",N($AA3114),IF(MATCH($V3115,$V$6:$V$10005,0)=ROW()-5,N($AA3114)+1,N($AA3114)))</f>
        <v>0</v>
      </c>
    </row>
    <row r="3116" spans="1:27" ht="21" customHeight="1" x14ac:dyDescent="0.95">
      <c r="A3116" s="56"/>
      <c r="B3116" s="57"/>
      <c r="C3116" s="57"/>
      <c r="D3116" s="57"/>
      <c r="E3116" s="56"/>
      <c r="F3116" s="57"/>
      <c r="G3116" s="57"/>
      <c r="H3116" s="56"/>
      <c r="I3116" s="56"/>
      <c r="J3116" s="58"/>
      <c r="K3116" s="58"/>
      <c r="L3116" s="13" t="str">
        <f t="shared" si="480"/>
        <v/>
      </c>
      <c r="M3116" s="13" t="str">
        <f t="shared" si="481"/>
        <v/>
      </c>
      <c r="Q3116" t="str">
        <f t="shared" si="482"/>
        <v/>
      </c>
      <c r="R3116" t="str">
        <f t="shared" si="483"/>
        <v/>
      </c>
      <c r="S3116" t="str">
        <f t="shared" si="484"/>
        <v/>
      </c>
      <c r="T3116" t="str">
        <f t="shared" si="485"/>
        <v/>
      </c>
      <c r="U3116" t="str">
        <f t="shared" si="486"/>
        <v/>
      </c>
      <c r="V3116" t="str">
        <f t="shared" si="487"/>
        <v/>
      </c>
      <c r="W3116" t="str">
        <f t="shared" si="488"/>
        <v/>
      </c>
      <c r="X3116">
        <f>IF($T3116="",N($X3115),IF(MATCH($T3116,$T$6:$T$10005,0)=ROW()-5,N($X3115)+1,N($X3115)))</f>
        <v>0</v>
      </c>
      <c r="Z3116" t="str">
        <f t="shared" si="489"/>
        <v/>
      </c>
      <c r="AA3116">
        <f>IF($V3116="",N($AA3115),IF(MATCH($V3116,$V$6:$V$10005,0)=ROW()-5,N($AA3115)+1,N($AA3115)))</f>
        <v>0</v>
      </c>
    </row>
    <row r="3117" spans="1:27" ht="21" customHeight="1" x14ac:dyDescent="0.95">
      <c r="A3117" s="56"/>
      <c r="B3117" s="57"/>
      <c r="C3117" s="57"/>
      <c r="D3117" s="57"/>
      <c r="E3117" s="56"/>
      <c r="F3117" s="57"/>
      <c r="G3117" s="57"/>
      <c r="H3117" s="56"/>
      <c r="I3117" s="56"/>
      <c r="J3117" s="58"/>
      <c r="K3117" s="58"/>
      <c r="L3117" s="13" t="str">
        <f t="shared" si="480"/>
        <v/>
      </c>
      <c r="M3117" s="13" t="str">
        <f t="shared" si="481"/>
        <v/>
      </c>
      <c r="Q3117" t="str">
        <f t="shared" si="482"/>
        <v/>
      </c>
      <c r="R3117" t="str">
        <f t="shared" si="483"/>
        <v/>
      </c>
      <c r="S3117" t="str">
        <f t="shared" si="484"/>
        <v/>
      </c>
      <c r="T3117" t="str">
        <f t="shared" si="485"/>
        <v/>
      </c>
      <c r="U3117" t="str">
        <f t="shared" si="486"/>
        <v/>
      </c>
      <c r="V3117" t="str">
        <f t="shared" si="487"/>
        <v/>
      </c>
      <c r="W3117" t="str">
        <f t="shared" si="488"/>
        <v/>
      </c>
      <c r="X3117">
        <f>IF($T3117="",N($X3116),IF(MATCH($T3117,$T$6:$T$10005,0)=ROW()-5,N($X3116)+1,N($X3116)))</f>
        <v>0</v>
      </c>
      <c r="Z3117" t="str">
        <f t="shared" si="489"/>
        <v/>
      </c>
      <c r="AA3117">
        <f>IF($V3117="",N($AA3116),IF(MATCH($V3117,$V$6:$V$10005,0)=ROW()-5,N($AA3116)+1,N($AA3116)))</f>
        <v>0</v>
      </c>
    </row>
    <row r="3118" spans="1:27" ht="21" customHeight="1" x14ac:dyDescent="0.95">
      <c r="A3118" s="56"/>
      <c r="B3118" s="57"/>
      <c r="C3118" s="57"/>
      <c r="D3118" s="57"/>
      <c r="E3118" s="56"/>
      <c r="F3118" s="57"/>
      <c r="G3118" s="57"/>
      <c r="H3118" s="56"/>
      <c r="I3118" s="56"/>
      <c r="J3118" s="58"/>
      <c r="K3118" s="58"/>
      <c r="L3118" s="13" t="str">
        <f t="shared" si="480"/>
        <v/>
      </c>
      <c r="M3118" s="13" t="str">
        <f t="shared" si="481"/>
        <v/>
      </c>
      <c r="Q3118" t="str">
        <f t="shared" si="482"/>
        <v/>
      </c>
      <c r="R3118" t="str">
        <f t="shared" si="483"/>
        <v/>
      </c>
      <c r="S3118" t="str">
        <f t="shared" si="484"/>
        <v/>
      </c>
      <c r="T3118" t="str">
        <f t="shared" si="485"/>
        <v/>
      </c>
      <c r="U3118" t="str">
        <f t="shared" si="486"/>
        <v/>
      </c>
      <c r="V3118" t="str">
        <f t="shared" si="487"/>
        <v/>
      </c>
      <c r="W3118" t="str">
        <f t="shared" si="488"/>
        <v/>
      </c>
      <c r="X3118">
        <f>IF($T3118="",N($X3117),IF(MATCH($T3118,$T$6:$T$10005,0)=ROW()-5,N($X3117)+1,N($X3117)))</f>
        <v>0</v>
      </c>
      <c r="Z3118" t="str">
        <f t="shared" si="489"/>
        <v/>
      </c>
      <c r="AA3118">
        <f>IF($V3118="",N($AA3117),IF(MATCH($V3118,$V$6:$V$10005,0)=ROW()-5,N($AA3117)+1,N($AA3117)))</f>
        <v>0</v>
      </c>
    </row>
    <row r="3119" spans="1:27" ht="21" customHeight="1" x14ac:dyDescent="0.95">
      <c r="A3119" s="56"/>
      <c r="B3119" s="57"/>
      <c r="C3119" s="57"/>
      <c r="D3119" s="57"/>
      <c r="E3119" s="56"/>
      <c r="F3119" s="57"/>
      <c r="G3119" s="57"/>
      <c r="H3119" s="56"/>
      <c r="I3119" s="56"/>
      <c r="J3119" s="58"/>
      <c r="K3119" s="58"/>
      <c r="L3119" s="13" t="str">
        <f t="shared" si="480"/>
        <v/>
      </c>
      <c r="M3119" s="13" t="str">
        <f t="shared" si="481"/>
        <v/>
      </c>
      <c r="Q3119" t="str">
        <f t="shared" si="482"/>
        <v/>
      </c>
      <c r="R3119" t="str">
        <f t="shared" si="483"/>
        <v/>
      </c>
      <c r="S3119" t="str">
        <f t="shared" si="484"/>
        <v/>
      </c>
      <c r="T3119" t="str">
        <f t="shared" si="485"/>
        <v/>
      </c>
      <c r="U3119" t="str">
        <f t="shared" si="486"/>
        <v/>
      </c>
      <c r="V3119" t="str">
        <f t="shared" si="487"/>
        <v/>
      </c>
      <c r="W3119" t="str">
        <f t="shared" si="488"/>
        <v/>
      </c>
      <c r="X3119">
        <f>IF($T3119="",N($X3118),IF(MATCH($T3119,$T$6:$T$10005,0)=ROW()-5,N($X3118)+1,N($X3118)))</f>
        <v>0</v>
      </c>
      <c r="Z3119" t="str">
        <f t="shared" si="489"/>
        <v/>
      </c>
      <c r="AA3119">
        <f>IF($V3119="",N($AA3118),IF(MATCH($V3119,$V$6:$V$10005,0)=ROW()-5,N($AA3118)+1,N($AA3118)))</f>
        <v>0</v>
      </c>
    </row>
    <row r="3120" spans="1:27" ht="21" customHeight="1" x14ac:dyDescent="0.95">
      <c r="A3120" s="56"/>
      <c r="B3120" s="57"/>
      <c r="C3120" s="57"/>
      <c r="D3120" s="57"/>
      <c r="E3120" s="56"/>
      <c r="F3120" s="57"/>
      <c r="G3120" s="57"/>
      <c r="H3120" s="56"/>
      <c r="I3120" s="56"/>
      <c r="J3120" s="58"/>
      <c r="K3120" s="58"/>
      <c r="L3120" s="13" t="str">
        <f t="shared" si="480"/>
        <v/>
      </c>
      <c r="M3120" s="13" t="str">
        <f t="shared" si="481"/>
        <v/>
      </c>
      <c r="Q3120" t="str">
        <f t="shared" si="482"/>
        <v/>
      </c>
      <c r="R3120" t="str">
        <f t="shared" si="483"/>
        <v/>
      </c>
      <c r="S3120" t="str">
        <f t="shared" si="484"/>
        <v/>
      </c>
      <c r="T3120" t="str">
        <f t="shared" si="485"/>
        <v/>
      </c>
      <c r="U3120" t="str">
        <f t="shared" si="486"/>
        <v/>
      </c>
      <c r="V3120" t="str">
        <f t="shared" si="487"/>
        <v/>
      </c>
      <c r="W3120" t="str">
        <f t="shared" si="488"/>
        <v/>
      </c>
      <c r="X3120">
        <f>IF($T3120="",N($X3119),IF(MATCH($T3120,$T$6:$T$10005,0)=ROW()-5,N($X3119)+1,N($X3119)))</f>
        <v>0</v>
      </c>
      <c r="Z3120" t="str">
        <f t="shared" si="489"/>
        <v/>
      </c>
      <c r="AA3120">
        <f>IF($V3120="",N($AA3119),IF(MATCH($V3120,$V$6:$V$10005,0)=ROW()-5,N($AA3119)+1,N($AA3119)))</f>
        <v>0</v>
      </c>
    </row>
    <row r="3121" spans="1:27" ht="21" customHeight="1" x14ac:dyDescent="0.95">
      <c r="A3121" s="56"/>
      <c r="B3121" s="57"/>
      <c r="C3121" s="57"/>
      <c r="D3121" s="57"/>
      <c r="E3121" s="56"/>
      <c r="F3121" s="57"/>
      <c r="G3121" s="57"/>
      <c r="H3121" s="56"/>
      <c r="I3121" s="56"/>
      <c r="J3121" s="58"/>
      <c r="K3121" s="58"/>
      <c r="L3121" s="13" t="str">
        <f t="shared" si="480"/>
        <v/>
      </c>
      <c r="M3121" s="13" t="str">
        <f t="shared" si="481"/>
        <v/>
      </c>
      <c r="Q3121" t="str">
        <f t="shared" si="482"/>
        <v/>
      </c>
      <c r="R3121" t="str">
        <f t="shared" si="483"/>
        <v/>
      </c>
      <c r="S3121" t="str">
        <f t="shared" si="484"/>
        <v/>
      </c>
      <c r="T3121" t="str">
        <f t="shared" si="485"/>
        <v/>
      </c>
      <c r="U3121" t="str">
        <f t="shared" si="486"/>
        <v/>
      </c>
      <c r="V3121" t="str">
        <f t="shared" si="487"/>
        <v/>
      </c>
      <c r="W3121" t="str">
        <f t="shared" si="488"/>
        <v/>
      </c>
      <c r="X3121">
        <f>IF($T3121="",N($X3120),IF(MATCH($T3121,$T$6:$T$10005,0)=ROW()-5,N($X3120)+1,N($X3120)))</f>
        <v>0</v>
      </c>
      <c r="Z3121" t="str">
        <f t="shared" si="489"/>
        <v/>
      </c>
      <c r="AA3121">
        <f>IF($V3121="",N($AA3120),IF(MATCH($V3121,$V$6:$V$10005,0)=ROW()-5,N($AA3120)+1,N($AA3120)))</f>
        <v>0</v>
      </c>
    </row>
    <row r="3122" spans="1:27" ht="21" customHeight="1" x14ac:dyDescent="0.95">
      <c r="A3122" s="56"/>
      <c r="B3122" s="57"/>
      <c r="C3122" s="57"/>
      <c r="D3122" s="57"/>
      <c r="E3122" s="56"/>
      <c r="F3122" s="57"/>
      <c r="G3122" s="57"/>
      <c r="H3122" s="56"/>
      <c r="I3122" s="56"/>
      <c r="J3122" s="58"/>
      <c r="K3122" s="58"/>
      <c r="L3122" s="13" t="str">
        <f t="shared" si="480"/>
        <v/>
      </c>
      <c r="M3122" s="13" t="str">
        <f t="shared" si="481"/>
        <v/>
      </c>
      <c r="Q3122" t="str">
        <f t="shared" si="482"/>
        <v/>
      </c>
      <c r="R3122" t="str">
        <f t="shared" si="483"/>
        <v/>
      </c>
      <c r="S3122" t="str">
        <f t="shared" si="484"/>
        <v/>
      </c>
      <c r="T3122" t="str">
        <f t="shared" si="485"/>
        <v/>
      </c>
      <c r="U3122" t="str">
        <f t="shared" si="486"/>
        <v/>
      </c>
      <c r="V3122" t="str">
        <f t="shared" si="487"/>
        <v/>
      </c>
      <c r="W3122" t="str">
        <f t="shared" si="488"/>
        <v/>
      </c>
      <c r="X3122">
        <f>IF($T3122="",N($X3121),IF(MATCH($T3122,$T$6:$T$10005,0)=ROW()-5,N($X3121)+1,N($X3121)))</f>
        <v>0</v>
      </c>
      <c r="Z3122" t="str">
        <f t="shared" si="489"/>
        <v/>
      </c>
      <c r="AA3122">
        <f>IF($V3122="",N($AA3121),IF(MATCH($V3122,$V$6:$V$10005,0)=ROW()-5,N($AA3121)+1,N($AA3121)))</f>
        <v>0</v>
      </c>
    </row>
    <row r="3123" spans="1:27" ht="21" customHeight="1" x14ac:dyDescent="0.95">
      <c r="A3123" s="56"/>
      <c r="B3123" s="57"/>
      <c r="C3123" s="57"/>
      <c r="D3123" s="57"/>
      <c r="E3123" s="56"/>
      <c r="F3123" s="57"/>
      <c r="G3123" s="57"/>
      <c r="H3123" s="56"/>
      <c r="I3123" s="56"/>
      <c r="J3123" s="58"/>
      <c r="K3123" s="58"/>
      <c r="L3123" s="13" t="str">
        <f t="shared" si="480"/>
        <v/>
      </c>
      <c r="M3123" s="13" t="str">
        <f t="shared" si="481"/>
        <v/>
      </c>
      <c r="Q3123" t="str">
        <f t="shared" si="482"/>
        <v/>
      </c>
      <c r="R3123" t="str">
        <f t="shared" si="483"/>
        <v/>
      </c>
      <c r="S3123" t="str">
        <f t="shared" si="484"/>
        <v/>
      </c>
      <c r="T3123" t="str">
        <f t="shared" si="485"/>
        <v/>
      </c>
      <c r="U3123" t="str">
        <f t="shared" si="486"/>
        <v/>
      </c>
      <c r="V3123" t="str">
        <f t="shared" si="487"/>
        <v/>
      </c>
      <c r="W3123" t="str">
        <f t="shared" si="488"/>
        <v/>
      </c>
      <c r="X3123">
        <f>IF($T3123="",N($X3122),IF(MATCH($T3123,$T$6:$T$10005,0)=ROW()-5,N($X3122)+1,N($X3122)))</f>
        <v>0</v>
      </c>
      <c r="Z3123" t="str">
        <f t="shared" si="489"/>
        <v/>
      </c>
      <c r="AA3123">
        <f>IF($V3123="",N($AA3122),IF(MATCH($V3123,$V$6:$V$10005,0)=ROW()-5,N($AA3122)+1,N($AA3122)))</f>
        <v>0</v>
      </c>
    </row>
    <row r="3124" spans="1:27" ht="21" customHeight="1" x14ac:dyDescent="0.95">
      <c r="A3124" s="56"/>
      <c r="B3124" s="57"/>
      <c r="C3124" s="57"/>
      <c r="D3124" s="57"/>
      <c r="E3124" s="56"/>
      <c r="F3124" s="57"/>
      <c r="G3124" s="57"/>
      <c r="H3124" s="56"/>
      <c r="I3124" s="56"/>
      <c r="J3124" s="58"/>
      <c r="K3124" s="58"/>
      <c r="L3124" s="13" t="str">
        <f t="shared" si="480"/>
        <v/>
      </c>
      <c r="M3124" s="13" t="str">
        <f t="shared" si="481"/>
        <v/>
      </c>
      <c r="Q3124" t="str">
        <f t="shared" si="482"/>
        <v/>
      </c>
      <c r="R3124" t="str">
        <f t="shared" si="483"/>
        <v/>
      </c>
      <c r="S3124" t="str">
        <f t="shared" si="484"/>
        <v/>
      </c>
      <c r="T3124" t="str">
        <f t="shared" si="485"/>
        <v/>
      </c>
      <c r="U3124" t="str">
        <f t="shared" si="486"/>
        <v/>
      </c>
      <c r="V3124" t="str">
        <f t="shared" si="487"/>
        <v/>
      </c>
      <c r="W3124" t="str">
        <f t="shared" si="488"/>
        <v/>
      </c>
      <c r="X3124">
        <f>IF($T3124="",N($X3123),IF(MATCH($T3124,$T$6:$T$10005,0)=ROW()-5,N($X3123)+1,N($X3123)))</f>
        <v>0</v>
      </c>
      <c r="Z3124" t="str">
        <f t="shared" si="489"/>
        <v/>
      </c>
      <c r="AA3124">
        <f>IF($V3124="",N($AA3123),IF(MATCH($V3124,$V$6:$V$10005,0)=ROW()-5,N($AA3123)+1,N($AA3123)))</f>
        <v>0</v>
      </c>
    </row>
    <row r="3125" spans="1:27" ht="21" customHeight="1" x14ac:dyDescent="0.95">
      <c r="A3125" s="56"/>
      <c r="B3125" s="57"/>
      <c r="C3125" s="57"/>
      <c r="D3125" s="57"/>
      <c r="E3125" s="56"/>
      <c r="F3125" s="57"/>
      <c r="G3125" s="57"/>
      <c r="H3125" s="56"/>
      <c r="I3125" s="56"/>
      <c r="J3125" s="58"/>
      <c r="K3125" s="58"/>
      <c r="L3125" s="13" t="str">
        <f t="shared" si="480"/>
        <v/>
      </c>
      <c r="M3125" s="13" t="str">
        <f t="shared" si="481"/>
        <v/>
      </c>
      <c r="Q3125" t="str">
        <f t="shared" si="482"/>
        <v/>
      </c>
      <c r="R3125" t="str">
        <f t="shared" si="483"/>
        <v/>
      </c>
      <c r="S3125" t="str">
        <f t="shared" si="484"/>
        <v/>
      </c>
      <c r="T3125" t="str">
        <f t="shared" si="485"/>
        <v/>
      </c>
      <c r="U3125" t="str">
        <f t="shared" si="486"/>
        <v/>
      </c>
      <c r="V3125" t="str">
        <f t="shared" si="487"/>
        <v/>
      </c>
      <c r="W3125" t="str">
        <f t="shared" si="488"/>
        <v/>
      </c>
      <c r="X3125">
        <f>IF($T3125="",N($X3124),IF(MATCH($T3125,$T$6:$T$10005,0)=ROW()-5,N($X3124)+1,N($X3124)))</f>
        <v>0</v>
      </c>
      <c r="Z3125" t="str">
        <f t="shared" si="489"/>
        <v/>
      </c>
      <c r="AA3125">
        <f>IF($V3125="",N($AA3124),IF(MATCH($V3125,$V$6:$V$10005,0)=ROW()-5,N($AA3124)+1,N($AA3124)))</f>
        <v>0</v>
      </c>
    </row>
    <row r="3126" spans="1:27" ht="21" customHeight="1" x14ac:dyDescent="0.95">
      <c r="A3126" s="56"/>
      <c r="B3126" s="57"/>
      <c r="C3126" s="57"/>
      <c r="D3126" s="57"/>
      <c r="E3126" s="56"/>
      <c r="F3126" s="57"/>
      <c r="G3126" s="57"/>
      <c r="H3126" s="56"/>
      <c r="I3126" s="56"/>
      <c r="J3126" s="58"/>
      <c r="K3126" s="58"/>
      <c r="L3126" s="13" t="str">
        <f t="shared" si="480"/>
        <v/>
      </c>
      <c r="M3126" s="13" t="str">
        <f t="shared" si="481"/>
        <v/>
      </c>
      <c r="Q3126" t="str">
        <f t="shared" si="482"/>
        <v/>
      </c>
      <c r="R3126" t="str">
        <f t="shared" si="483"/>
        <v/>
      </c>
      <c r="S3126" t="str">
        <f t="shared" si="484"/>
        <v/>
      </c>
      <c r="T3126" t="str">
        <f t="shared" si="485"/>
        <v/>
      </c>
      <c r="U3126" t="str">
        <f t="shared" si="486"/>
        <v/>
      </c>
      <c r="V3126" t="str">
        <f t="shared" si="487"/>
        <v/>
      </c>
      <c r="W3126" t="str">
        <f t="shared" si="488"/>
        <v/>
      </c>
      <c r="X3126">
        <f>IF($T3126="",N($X3125),IF(MATCH($T3126,$T$6:$T$10005,0)=ROW()-5,N($X3125)+1,N($X3125)))</f>
        <v>0</v>
      </c>
      <c r="Z3126" t="str">
        <f t="shared" si="489"/>
        <v/>
      </c>
      <c r="AA3126">
        <f>IF($V3126="",N($AA3125),IF(MATCH($V3126,$V$6:$V$10005,0)=ROW()-5,N($AA3125)+1,N($AA3125)))</f>
        <v>0</v>
      </c>
    </row>
    <row r="3127" spans="1:27" ht="21" customHeight="1" x14ac:dyDescent="0.95">
      <c r="A3127" s="56"/>
      <c r="B3127" s="57"/>
      <c r="C3127" s="57"/>
      <c r="D3127" s="57"/>
      <c r="E3127" s="56"/>
      <c r="F3127" s="57"/>
      <c r="G3127" s="57"/>
      <c r="H3127" s="56"/>
      <c r="I3127" s="56"/>
      <c r="J3127" s="58"/>
      <c r="K3127" s="58"/>
      <c r="L3127" s="13" t="str">
        <f t="shared" si="480"/>
        <v/>
      </c>
      <c r="M3127" s="13" t="str">
        <f t="shared" si="481"/>
        <v/>
      </c>
      <c r="Q3127" t="str">
        <f t="shared" si="482"/>
        <v/>
      </c>
      <c r="R3127" t="str">
        <f t="shared" si="483"/>
        <v/>
      </c>
      <c r="S3127" t="str">
        <f t="shared" si="484"/>
        <v/>
      </c>
      <c r="T3127" t="str">
        <f t="shared" si="485"/>
        <v/>
      </c>
      <c r="U3127" t="str">
        <f t="shared" si="486"/>
        <v/>
      </c>
      <c r="V3127" t="str">
        <f t="shared" si="487"/>
        <v/>
      </c>
      <c r="W3127" t="str">
        <f t="shared" si="488"/>
        <v/>
      </c>
      <c r="X3127">
        <f>IF($T3127="",N($X3126),IF(MATCH($T3127,$T$6:$T$10005,0)=ROW()-5,N($X3126)+1,N($X3126)))</f>
        <v>0</v>
      </c>
      <c r="Z3127" t="str">
        <f t="shared" si="489"/>
        <v/>
      </c>
      <c r="AA3127">
        <f>IF($V3127="",N($AA3126),IF(MATCH($V3127,$V$6:$V$10005,0)=ROW()-5,N($AA3126)+1,N($AA3126)))</f>
        <v>0</v>
      </c>
    </row>
    <row r="3128" spans="1:27" ht="21" customHeight="1" x14ac:dyDescent="0.95">
      <c r="A3128" s="56"/>
      <c r="B3128" s="57"/>
      <c r="C3128" s="57"/>
      <c r="D3128" s="57"/>
      <c r="E3128" s="56"/>
      <c r="F3128" s="57"/>
      <c r="G3128" s="57"/>
      <c r="H3128" s="56"/>
      <c r="I3128" s="56"/>
      <c r="J3128" s="58"/>
      <c r="K3128" s="58"/>
      <c r="L3128" s="13" t="str">
        <f t="shared" si="480"/>
        <v/>
      </c>
      <c r="M3128" s="13" t="str">
        <f t="shared" si="481"/>
        <v/>
      </c>
      <c r="Q3128" t="str">
        <f t="shared" si="482"/>
        <v/>
      </c>
      <c r="R3128" t="str">
        <f t="shared" si="483"/>
        <v/>
      </c>
      <c r="S3128" t="str">
        <f t="shared" si="484"/>
        <v/>
      </c>
      <c r="T3128" t="str">
        <f t="shared" si="485"/>
        <v/>
      </c>
      <c r="U3128" t="str">
        <f t="shared" si="486"/>
        <v/>
      </c>
      <c r="V3128" t="str">
        <f t="shared" si="487"/>
        <v/>
      </c>
      <c r="W3128" t="str">
        <f t="shared" si="488"/>
        <v/>
      </c>
      <c r="X3128">
        <f>IF($T3128="",N($X3127),IF(MATCH($T3128,$T$6:$T$10005,0)=ROW()-5,N($X3127)+1,N($X3127)))</f>
        <v>0</v>
      </c>
      <c r="Z3128" t="str">
        <f t="shared" si="489"/>
        <v/>
      </c>
      <c r="AA3128">
        <f>IF($V3128="",N($AA3127),IF(MATCH($V3128,$V$6:$V$10005,0)=ROW()-5,N($AA3127)+1,N($AA3127)))</f>
        <v>0</v>
      </c>
    </row>
    <row r="3129" spans="1:27" ht="21" customHeight="1" x14ac:dyDescent="0.95">
      <c r="A3129" s="56"/>
      <c r="B3129" s="57"/>
      <c r="C3129" s="57"/>
      <c r="D3129" s="57"/>
      <c r="E3129" s="56"/>
      <c r="F3129" s="57"/>
      <c r="G3129" s="57"/>
      <c r="H3129" s="56"/>
      <c r="I3129" s="56"/>
      <c r="J3129" s="58"/>
      <c r="K3129" s="58"/>
      <c r="L3129" s="13" t="str">
        <f t="shared" si="480"/>
        <v/>
      </c>
      <c r="M3129" s="13" t="str">
        <f t="shared" si="481"/>
        <v/>
      </c>
      <c r="Q3129" t="str">
        <f t="shared" si="482"/>
        <v/>
      </c>
      <c r="R3129" t="str">
        <f t="shared" si="483"/>
        <v/>
      </c>
      <c r="S3129" t="str">
        <f t="shared" si="484"/>
        <v/>
      </c>
      <c r="T3129" t="str">
        <f t="shared" si="485"/>
        <v/>
      </c>
      <c r="U3129" t="str">
        <f t="shared" si="486"/>
        <v/>
      </c>
      <c r="V3129" t="str">
        <f t="shared" si="487"/>
        <v/>
      </c>
      <c r="W3129" t="str">
        <f t="shared" si="488"/>
        <v/>
      </c>
      <c r="X3129">
        <f>IF($T3129="",N($X3128),IF(MATCH($T3129,$T$6:$T$10005,0)=ROW()-5,N($X3128)+1,N($X3128)))</f>
        <v>0</v>
      </c>
      <c r="Z3129" t="str">
        <f t="shared" si="489"/>
        <v/>
      </c>
      <c r="AA3129">
        <f>IF($V3129="",N($AA3128),IF(MATCH($V3129,$V$6:$V$10005,0)=ROW()-5,N($AA3128)+1,N($AA3128)))</f>
        <v>0</v>
      </c>
    </row>
    <row r="3130" spans="1:27" ht="21" customHeight="1" x14ac:dyDescent="0.95">
      <c r="A3130" s="56"/>
      <c r="B3130" s="57"/>
      <c r="C3130" s="57"/>
      <c r="D3130" s="57"/>
      <c r="E3130" s="56"/>
      <c r="F3130" s="57"/>
      <c r="G3130" s="57"/>
      <c r="H3130" s="56"/>
      <c r="I3130" s="56"/>
      <c r="J3130" s="58"/>
      <c r="K3130" s="58"/>
      <c r="L3130" s="13" t="str">
        <f t="shared" si="480"/>
        <v/>
      </c>
      <c r="M3130" s="13" t="str">
        <f t="shared" si="481"/>
        <v/>
      </c>
      <c r="Q3130" t="str">
        <f t="shared" si="482"/>
        <v/>
      </c>
      <c r="R3130" t="str">
        <f t="shared" si="483"/>
        <v/>
      </c>
      <c r="S3130" t="str">
        <f t="shared" si="484"/>
        <v/>
      </c>
      <c r="T3130" t="str">
        <f t="shared" si="485"/>
        <v/>
      </c>
      <c r="U3130" t="str">
        <f t="shared" si="486"/>
        <v/>
      </c>
      <c r="V3130" t="str">
        <f t="shared" si="487"/>
        <v/>
      </c>
      <c r="W3130" t="str">
        <f t="shared" si="488"/>
        <v/>
      </c>
      <c r="X3130">
        <f>IF($T3130="",N($X3129),IF(MATCH($T3130,$T$6:$T$10005,0)=ROW()-5,N($X3129)+1,N($X3129)))</f>
        <v>0</v>
      </c>
      <c r="Z3130" t="str">
        <f t="shared" si="489"/>
        <v/>
      </c>
      <c r="AA3130">
        <f>IF($V3130="",N($AA3129),IF(MATCH($V3130,$V$6:$V$10005,0)=ROW()-5,N($AA3129)+1,N($AA3129)))</f>
        <v>0</v>
      </c>
    </row>
    <row r="3131" spans="1:27" ht="21" customHeight="1" x14ac:dyDescent="0.95">
      <c r="A3131" s="56"/>
      <c r="B3131" s="57"/>
      <c r="C3131" s="57"/>
      <c r="D3131" s="57"/>
      <c r="E3131" s="56"/>
      <c r="F3131" s="57"/>
      <c r="G3131" s="57"/>
      <c r="H3131" s="56"/>
      <c r="I3131" s="56"/>
      <c r="J3131" s="58"/>
      <c r="K3131" s="58"/>
      <c r="L3131" s="13" t="str">
        <f t="shared" si="480"/>
        <v/>
      </c>
      <c r="M3131" s="13" t="str">
        <f t="shared" si="481"/>
        <v/>
      </c>
      <c r="Q3131" t="str">
        <f t="shared" si="482"/>
        <v/>
      </c>
      <c r="R3131" t="str">
        <f t="shared" si="483"/>
        <v/>
      </c>
      <c r="S3131" t="str">
        <f t="shared" si="484"/>
        <v/>
      </c>
      <c r="T3131" t="str">
        <f t="shared" si="485"/>
        <v/>
      </c>
      <c r="U3131" t="str">
        <f t="shared" si="486"/>
        <v/>
      </c>
      <c r="V3131" t="str">
        <f t="shared" si="487"/>
        <v/>
      </c>
      <c r="W3131" t="str">
        <f t="shared" si="488"/>
        <v/>
      </c>
      <c r="X3131">
        <f>IF($T3131="",N($X3130),IF(MATCH($T3131,$T$6:$T$10005,0)=ROW()-5,N($X3130)+1,N($X3130)))</f>
        <v>0</v>
      </c>
      <c r="Z3131" t="str">
        <f t="shared" si="489"/>
        <v/>
      </c>
      <c r="AA3131">
        <f>IF($V3131="",N($AA3130),IF(MATCH($V3131,$V$6:$V$10005,0)=ROW()-5,N($AA3130)+1,N($AA3130)))</f>
        <v>0</v>
      </c>
    </row>
    <row r="3132" spans="1:27" ht="21" customHeight="1" x14ac:dyDescent="0.95">
      <c r="A3132" s="56"/>
      <c r="B3132" s="57"/>
      <c r="C3132" s="57"/>
      <c r="D3132" s="57"/>
      <c r="E3132" s="56"/>
      <c r="F3132" s="57"/>
      <c r="G3132" s="57"/>
      <c r="H3132" s="56"/>
      <c r="I3132" s="56"/>
      <c r="J3132" s="58"/>
      <c r="K3132" s="58"/>
      <c r="L3132" s="13" t="str">
        <f t="shared" si="480"/>
        <v/>
      </c>
      <c r="M3132" s="13" t="str">
        <f t="shared" si="481"/>
        <v/>
      </c>
      <c r="Q3132" t="str">
        <f t="shared" si="482"/>
        <v/>
      </c>
      <c r="R3132" t="str">
        <f t="shared" si="483"/>
        <v/>
      </c>
      <c r="S3132" t="str">
        <f t="shared" si="484"/>
        <v/>
      </c>
      <c r="T3132" t="str">
        <f t="shared" si="485"/>
        <v/>
      </c>
      <c r="U3132" t="str">
        <f t="shared" si="486"/>
        <v/>
      </c>
      <c r="V3132" t="str">
        <f t="shared" si="487"/>
        <v/>
      </c>
      <c r="W3132" t="str">
        <f t="shared" si="488"/>
        <v/>
      </c>
      <c r="X3132">
        <f>IF($T3132="",N($X3131),IF(MATCH($T3132,$T$6:$T$10005,0)=ROW()-5,N($X3131)+1,N($X3131)))</f>
        <v>0</v>
      </c>
      <c r="Z3132" t="str">
        <f t="shared" si="489"/>
        <v/>
      </c>
      <c r="AA3132">
        <f>IF($V3132="",N($AA3131),IF(MATCH($V3132,$V$6:$V$10005,0)=ROW()-5,N($AA3131)+1,N($AA3131)))</f>
        <v>0</v>
      </c>
    </row>
    <row r="3133" spans="1:27" ht="21" customHeight="1" x14ac:dyDescent="0.95">
      <c r="A3133" s="56"/>
      <c r="B3133" s="57"/>
      <c r="C3133" s="57"/>
      <c r="D3133" s="57"/>
      <c r="E3133" s="56"/>
      <c r="F3133" s="57"/>
      <c r="G3133" s="57"/>
      <c r="H3133" s="56"/>
      <c r="I3133" s="56"/>
      <c r="J3133" s="58"/>
      <c r="K3133" s="58"/>
      <c r="L3133" s="13" t="str">
        <f t="shared" si="480"/>
        <v/>
      </c>
      <c r="M3133" s="13" t="str">
        <f t="shared" si="481"/>
        <v/>
      </c>
      <c r="Q3133" t="str">
        <f t="shared" si="482"/>
        <v/>
      </c>
      <c r="R3133" t="str">
        <f t="shared" si="483"/>
        <v/>
      </c>
      <c r="S3133" t="str">
        <f t="shared" si="484"/>
        <v/>
      </c>
      <c r="T3133" t="str">
        <f t="shared" si="485"/>
        <v/>
      </c>
      <c r="U3133" t="str">
        <f t="shared" si="486"/>
        <v/>
      </c>
      <c r="V3133" t="str">
        <f t="shared" si="487"/>
        <v/>
      </c>
      <c r="W3133" t="str">
        <f t="shared" si="488"/>
        <v/>
      </c>
      <c r="X3133">
        <f>IF($T3133="",N($X3132),IF(MATCH($T3133,$T$6:$T$10005,0)=ROW()-5,N($X3132)+1,N($X3132)))</f>
        <v>0</v>
      </c>
      <c r="Z3133" t="str">
        <f t="shared" si="489"/>
        <v/>
      </c>
      <c r="AA3133">
        <f>IF($V3133="",N($AA3132),IF(MATCH($V3133,$V$6:$V$10005,0)=ROW()-5,N($AA3132)+1,N($AA3132)))</f>
        <v>0</v>
      </c>
    </row>
    <row r="3134" spans="1:27" ht="21" customHeight="1" x14ac:dyDescent="0.95">
      <c r="A3134" s="56"/>
      <c r="B3134" s="57"/>
      <c r="C3134" s="57"/>
      <c r="D3134" s="57"/>
      <c r="E3134" s="56"/>
      <c r="F3134" s="57"/>
      <c r="G3134" s="57"/>
      <c r="H3134" s="56"/>
      <c r="I3134" s="56"/>
      <c r="J3134" s="58"/>
      <c r="K3134" s="58"/>
      <c r="L3134" s="13" t="str">
        <f t="shared" si="480"/>
        <v/>
      </c>
      <c r="M3134" s="13" t="str">
        <f t="shared" si="481"/>
        <v/>
      </c>
      <c r="Q3134" t="str">
        <f t="shared" si="482"/>
        <v/>
      </c>
      <c r="R3134" t="str">
        <f t="shared" si="483"/>
        <v/>
      </c>
      <c r="S3134" t="str">
        <f t="shared" si="484"/>
        <v/>
      </c>
      <c r="T3134" t="str">
        <f t="shared" si="485"/>
        <v/>
      </c>
      <c r="U3134" t="str">
        <f t="shared" si="486"/>
        <v/>
      </c>
      <c r="V3134" t="str">
        <f t="shared" si="487"/>
        <v/>
      </c>
      <c r="W3134" t="str">
        <f t="shared" si="488"/>
        <v/>
      </c>
      <c r="X3134">
        <f>IF($T3134="",N($X3133),IF(MATCH($T3134,$T$6:$T$10005,0)=ROW()-5,N($X3133)+1,N($X3133)))</f>
        <v>0</v>
      </c>
      <c r="Z3134" t="str">
        <f t="shared" si="489"/>
        <v/>
      </c>
      <c r="AA3134">
        <f>IF($V3134="",N($AA3133),IF(MATCH($V3134,$V$6:$V$10005,0)=ROW()-5,N($AA3133)+1,N($AA3133)))</f>
        <v>0</v>
      </c>
    </row>
    <row r="3135" spans="1:27" ht="21" customHeight="1" x14ac:dyDescent="0.95">
      <c r="A3135" s="56"/>
      <c r="B3135" s="57"/>
      <c r="C3135" s="57"/>
      <c r="D3135" s="57"/>
      <c r="E3135" s="56"/>
      <c r="F3135" s="57"/>
      <c r="G3135" s="57"/>
      <c r="H3135" s="56"/>
      <c r="I3135" s="56"/>
      <c r="J3135" s="58"/>
      <c r="K3135" s="58"/>
      <c r="L3135" s="13" t="str">
        <f t="shared" si="480"/>
        <v/>
      </c>
      <c r="M3135" s="13" t="str">
        <f t="shared" si="481"/>
        <v/>
      </c>
      <c r="Q3135" t="str">
        <f t="shared" si="482"/>
        <v/>
      </c>
      <c r="R3135" t="str">
        <f t="shared" si="483"/>
        <v/>
      </c>
      <c r="S3135" t="str">
        <f t="shared" si="484"/>
        <v/>
      </c>
      <c r="T3135" t="str">
        <f t="shared" si="485"/>
        <v/>
      </c>
      <c r="U3135" t="str">
        <f t="shared" si="486"/>
        <v/>
      </c>
      <c r="V3135" t="str">
        <f t="shared" si="487"/>
        <v/>
      </c>
      <c r="W3135" t="str">
        <f t="shared" si="488"/>
        <v/>
      </c>
      <c r="X3135">
        <f>IF($T3135="",N($X3134),IF(MATCH($T3135,$T$6:$T$10005,0)=ROW()-5,N($X3134)+1,N($X3134)))</f>
        <v>0</v>
      </c>
      <c r="Z3135" t="str">
        <f t="shared" si="489"/>
        <v/>
      </c>
      <c r="AA3135">
        <f>IF($V3135="",N($AA3134),IF(MATCH($V3135,$V$6:$V$10005,0)=ROW()-5,N($AA3134)+1,N($AA3134)))</f>
        <v>0</v>
      </c>
    </row>
    <row r="3136" spans="1:27" ht="21" customHeight="1" x14ac:dyDescent="0.95">
      <c r="A3136" s="56"/>
      <c r="B3136" s="57"/>
      <c r="C3136" s="57"/>
      <c r="D3136" s="57"/>
      <c r="E3136" s="56"/>
      <c r="F3136" s="57"/>
      <c r="G3136" s="57"/>
      <c r="H3136" s="56"/>
      <c r="I3136" s="56"/>
      <c r="J3136" s="58"/>
      <c r="K3136" s="58"/>
      <c r="L3136" s="13" t="str">
        <f t="shared" si="480"/>
        <v/>
      </c>
      <c r="M3136" s="13" t="str">
        <f t="shared" si="481"/>
        <v/>
      </c>
      <c r="Q3136" t="str">
        <f t="shared" si="482"/>
        <v/>
      </c>
      <c r="R3136" t="str">
        <f t="shared" si="483"/>
        <v/>
      </c>
      <c r="S3136" t="str">
        <f t="shared" si="484"/>
        <v/>
      </c>
      <c r="T3136" t="str">
        <f t="shared" si="485"/>
        <v/>
      </c>
      <c r="U3136" t="str">
        <f t="shared" si="486"/>
        <v/>
      </c>
      <c r="V3136" t="str">
        <f t="shared" si="487"/>
        <v/>
      </c>
      <c r="W3136" t="str">
        <f t="shared" si="488"/>
        <v/>
      </c>
      <c r="X3136">
        <f>IF($T3136="",N($X3135),IF(MATCH($T3136,$T$6:$T$10005,0)=ROW()-5,N($X3135)+1,N($X3135)))</f>
        <v>0</v>
      </c>
      <c r="Z3136" t="str">
        <f t="shared" si="489"/>
        <v/>
      </c>
      <c r="AA3136">
        <f>IF($V3136="",N($AA3135),IF(MATCH($V3136,$V$6:$V$10005,0)=ROW()-5,N($AA3135)+1,N($AA3135)))</f>
        <v>0</v>
      </c>
    </row>
    <row r="3137" spans="1:27" ht="21" customHeight="1" x14ac:dyDescent="0.95">
      <c r="A3137" s="56"/>
      <c r="B3137" s="57"/>
      <c r="C3137" s="57"/>
      <c r="D3137" s="57"/>
      <c r="E3137" s="56"/>
      <c r="F3137" s="57"/>
      <c r="G3137" s="57"/>
      <c r="H3137" s="56"/>
      <c r="I3137" s="56"/>
      <c r="J3137" s="58"/>
      <c r="K3137" s="58"/>
      <c r="L3137" s="13" t="str">
        <f t="shared" si="480"/>
        <v/>
      </c>
      <c r="M3137" s="13" t="str">
        <f t="shared" si="481"/>
        <v/>
      </c>
      <c r="Q3137" t="str">
        <f t="shared" si="482"/>
        <v/>
      </c>
      <c r="R3137" t="str">
        <f t="shared" si="483"/>
        <v/>
      </c>
      <c r="S3137" t="str">
        <f t="shared" si="484"/>
        <v/>
      </c>
      <c r="T3137" t="str">
        <f t="shared" si="485"/>
        <v/>
      </c>
      <c r="U3137" t="str">
        <f t="shared" si="486"/>
        <v/>
      </c>
      <c r="V3137" t="str">
        <f t="shared" si="487"/>
        <v/>
      </c>
      <c r="W3137" t="str">
        <f t="shared" si="488"/>
        <v/>
      </c>
      <c r="X3137">
        <f>IF($T3137="",N($X3136),IF(MATCH($T3137,$T$6:$T$10005,0)=ROW()-5,N($X3136)+1,N($X3136)))</f>
        <v>0</v>
      </c>
      <c r="Z3137" t="str">
        <f t="shared" si="489"/>
        <v/>
      </c>
      <c r="AA3137">
        <f>IF($V3137="",N($AA3136),IF(MATCH($V3137,$V$6:$V$10005,0)=ROW()-5,N($AA3136)+1,N($AA3136)))</f>
        <v>0</v>
      </c>
    </row>
    <row r="3138" spans="1:27" ht="21" customHeight="1" x14ac:dyDescent="0.95">
      <c r="A3138" s="56"/>
      <c r="B3138" s="57"/>
      <c r="C3138" s="57"/>
      <c r="D3138" s="57"/>
      <c r="E3138" s="56"/>
      <c r="F3138" s="57"/>
      <c r="G3138" s="57"/>
      <c r="H3138" s="56"/>
      <c r="I3138" s="56"/>
      <c r="J3138" s="58"/>
      <c r="K3138" s="58"/>
      <c r="L3138" s="13" t="str">
        <f t="shared" si="480"/>
        <v/>
      </c>
      <c r="M3138" s="13" t="str">
        <f t="shared" si="481"/>
        <v/>
      </c>
      <c r="Q3138" t="str">
        <f t="shared" si="482"/>
        <v/>
      </c>
      <c r="R3138" t="str">
        <f t="shared" si="483"/>
        <v/>
      </c>
      <c r="S3138" t="str">
        <f t="shared" si="484"/>
        <v/>
      </c>
      <c r="T3138" t="str">
        <f t="shared" si="485"/>
        <v/>
      </c>
      <c r="U3138" t="str">
        <f t="shared" si="486"/>
        <v/>
      </c>
      <c r="V3138" t="str">
        <f t="shared" si="487"/>
        <v/>
      </c>
      <c r="W3138" t="str">
        <f t="shared" si="488"/>
        <v/>
      </c>
      <c r="X3138">
        <f>IF($T3138="",N($X3137),IF(MATCH($T3138,$T$6:$T$10005,0)=ROW()-5,N($X3137)+1,N($X3137)))</f>
        <v>0</v>
      </c>
      <c r="Z3138" t="str">
        <f t="shared" si="489"/>
        <v/>
      </c>
      <c r="AA3138">
        <f>IF($V3138="",N($AA3137),IF(MATCH($V3138,$V$6:$V$10005,0)=ROW()-5,N($AA3137)+1,N($AA3137)))</f>
        <v>0</v>
      </c>
    </row>
    <row r="3139" spans="1:27" ht="21" customHeight="1" x14ac:dyDescent="0.95">
      <c r="A3139" s="56"/>
      <c r="B3139" s="57"/>
      <c r="C3139" s="57"/>
      <c r="D3139" s="57"/>
      <c r="E3139" s="56"/>
      <c r="F3139" s="57"/>
      <c r="G3139" s="57"/>
      <c r="H3139" s="56"/>
      <c r="I3139" s="56"/>
      <c r="J3139" s="58"/>
      <c r="K3139" s="58"/>
      <c r="L3139" s="13" t="str">
        <f t="shared" si="480"/>
        <v/>
      </c>
      <c r="M3139" s="13" t="str">
        <f t="shared" si="481"/>
        <v/>
      </c>
      <c r="Q3139" t="str">
        <f t="shared" si="482"/>
        <v/>
      </c>
      <c r="R3139" t="str">
        <f t="shared" si="483"/>
        <v/>
      </c>
      <c r="S3139" t="str">
        <f t="shared" si="484"/>
        <v/>
      </c>
      <c r="T3139" t="str">
        <f t="shared" si="485"/>
        <v/>
      </c>
      <c r="U3139" t="str">
        <f t="shared" si="486"/>
        <v/>
      </c>
      <c r="V3139" t="str">
        <f t="shared" si="487"/>
        <v/>
      </c>
      <c r="W3139" t="str">
        <f t="shared" si="488"/>
        <v/>
      </c>
      <c r="X3139">
        <f>IF($T3139="",N($X3138),IF(MATCH($T3139,$T$6:$T$10005,0)=ROW()-5,N($X3138)+1,N($X3138)))</f>
        <v>0</v>
      </c>
      <c r="Z3139" t="str">
        <f t="shared" si="489"/>
        <v/>
      </c>
      <c r="AA3139">
        <f>IF($V3139="",N($AA3138),IF(MATCH($V3139,$V$6:$V$10005,0)=ROW()-5,N($AA3138)+1,N($AA3138)))</f>
        <v>0</v>
      </c>
    </row>
    <row r="3140" spans="1:27" ht="21" customHeight="1" x14ac:dyDescent="0.95">
      <c r="A3140" s="56"/>
      <c r="B3140" s="57"/>
      <c r="C3140" s="57"/>
      <c r="D3140" s="57"/>
      <c r="E3140" s="56"/>
      <c r="F3140" s="57"/>
      <c r="G3140" s="57"/>
      <c r="H3140" s="56"/>
      <c r="I3140" s="56"/>
      <c r="J3140" s="58"/>
      <c r="K3140" s="58"/>
      <c r="L3140" s="13" t="str">
        <f t="shared" si="480"/>
        <v/>
      </c>
      <c r="M3140" s="13" t="str">
        <f t="shared" si="481"/>
        <v/>
      </c>
      <c r="Q3140" t="str">
        <f t="shared" si="482"/>
        <v/>
      </c>
      <c r="R3140" t="str">
        <f t="shared" si="483"/>
        <v/>
      </c>
      <c r="S3140" t="str">
        <f t="shared" si="484"/>
        <v/>
      </c>
      <c r="T3140" t="str">
        <f t="shared" si="485"/>
        <v/>
      </c>
      <c r="U3140" t="str">
        <f t="shared" si="486"/>
        <v/>
      </c>
      <c r="V3140" t="str">
        <f t="shared" si="487"/>
        <v/>
      </c>
      <c r="W3140" t="str">
        <f t="shared" si="488"/>
        <v/>
      </c>
      <c r="X3140">
        <f>IF($T3140="",N($X3139),IF(MATCH($T3140,$T$6:$T$10005,0)=ROW()-5,N($X3139)+1,N($X3139)))</f>
        <v>0</v>
      </c>
      <c r="Z3140" t="str">
        <f t="shared" si="489"/>
        <v/>
      </c>
      <c r="AA3140">
        <f>IF($V3140="",N($AA3139),IF(MATCH($V3140,$V$6:$V$10005,0)=ROW()-5,N($AA3139)+1,N($AA3139)))</f>
        <v>0</v>
      </c>
    </row>
    <row r="3141" spans="1:27" ht="21" customHeight="1" x14ac:dyDescent="0.95">
      <c r="A3141" s="56"/>
      <c r="B3141" s="57"/>
      <c r="C3141" s="57"/>
      <c r="D3141" s="57"/>
      <c r="E3141" s="56"/>
      <c r="F3141" s="57"/>
      <c r="G3141" s="57"/>
      <c r="H3141" s="56"/>
      <c r="I3141" s="56"/>
      <c r="J3141" s="58"/>
      <c r="K3141" s="58"/>
      <c r="L3141" s="13" t="str">
        <f t="shared" si="480"/>
        <v/>
      </c>
      <c r="M3141" s="13" t="str">
        <f t="shared" si="481"/>
        <v/>
      </c>
      <c r="Q3141" t="str">
        <f t="shared" si="482"/>
        <v/>
      </c>
      <c r="R3141" t="str">
        <f t="shared" si="483"/>
        <v/>
      </c>
      <c r="S3141" t="str">
        <f t="shared" si="484"/>
        <v/>
      </c>
      <c r="T3141" t="str">
        <f t="shared" si="485"/>
        <v/>
      </c>
      <c r="U3141" t="str">
        <f t="shared" si="486"/>
        <v/>
      </c>
      <c r="V3141" t="str">
        <f t="shared" si="487"/>
        <v/>
      </c>
      <c r="W3141" t="str">
        <f t="shared" si="488"/>
        <v/>
      </c>
      <c r="X3141">
        <f>IF($T3141="",N($X3140),IF(MATCH($T3141,$T$6:$T$10005,0)=ROW()-5,N($X3140)+1,N($X3140)))</f>
        <v>0</v>
      </c>
      <c r="Z3141" t="str">
        <f t="shared" si="489"/>
        <v/>
      </c>
      <c r="AA3141">
        <f>IF($V3141="",N($AA3140),IF(MATCH($V3141,$V$6:$V$10005,0)=ROW()-5,N($AA3140)+1,N($AA3140)))</f>
        <v>0</v>
      </c>
    </row>
    <row r="3142" spans="1:27" ht="21" customHeight="1" x14ac:dyDescent="0.95">
      <c r="A3142" s="56"/>
      <c r="B3142" s="57"/>
      <c r="C3142" s="57"/>
      <c r="D3142" s="57"/>
      <c r="E3142" s="56"/>
      <c r="F3142" s="57"/>
      <c r="G3142" s="57"/>
      <c r="H3142" s="56"/>
      <c r="I3142" s="56"/>
      <c r="J3142" s="58"/>
      <c r="K3142" s="58"/>
      <c r="L3142" s="13" t="str">
        <f t="shared" ref="L3142:L3205" si="490">IF(OR($A3142="",AND($J3142="",$K3142="")),"",ROUND(N($J3142)-N($K3142),2))</f>
        <v/>
      </c>
      <c r="M3142" s="13" t="str">
        <f t="shared" ref="M3142:M3205" si="491">IF(OR($A3142="",AND($J3142="",$K3142="")),"",MIN($J3142,$K3142))</f>
        <v/>
      </c>
      <c r="Q3142" t="str">
        <f t="shared" ref="Q3142:Q3205" si="492">IF($A3142="","",$D3142&amp;"("&amp;SUBSTITUTE($E3142," ","")&amp;")")</f>
        <v/>
      </c>
      <c r="R3142" t="str">
        <f t="shared" ref="R3142:R3205" si="493">IF($A3142="","",$B3142&amp;" - "&amp;$C3142)</f>
        <v/>
      </c>
      <c r="S3142" t="str">
        <f t="shared" ref="S3142:S3205" si="494">IF($A3142="","",$R3142&amp;"|"&amp;$Q3142)</f>
        <v/>
      </c>
      <c r="T3142" t="str">
        <f t="shared" ref="T3142:T3205" si="495">IF($A3142="","",$S3142&amp;"|"&amp;$F3142)</f>
        <v/>
      </c>
      <c r="U3142" t="str">
        <f t="shared" ref="U3142:U3205" si="496">IF($A3142="","",$R3142&amp;"("&amp;$E3142&amp;")")</f>
        <v/>
      </c>
      <c r="V3142" t="str">
        <f t="shared" ref="V3142:V3205" si="497">IF($A3142="","",$F3142&amp;"|"&amp;$U3142&amp;"|"&amp;$D3142)</f>
        <v/>
      </c>
      <c r="W3142" t="str">
        <f t="shared" ref="W3142:W3205" si="498">IF($T3142="","",IF($X3142&gt;N($X3141),$X3142,""))</f>
        <v/>
      </c>
      <c r="X3142">
        <f>IF($T3142="",N($X3141),IF(MATCH($T3142,$T$6:$T$10005,0)=ROW()-5,N($X3141)+1,N($X3141)))</f>
        <v>0</v>
      </c>
      <c r="Z3142" t="str">
        <f t="shared" ref="Z3142:Z3205" si="499">IF($V3142="","",IF($AA3142&gt;N($AA3141),$AA3142,""))</f>
        <v/>
      </c>
      <c r="AA3142">
        <f>IF($V3142="",N($AA3141),IF(MATCH($V3142,$V$6:$V$10005,0)=ROW()-5,N($AA3141)+1,N($AA3141)))</f>
        <v>0</v>
      </c>
    </row>
    <row r="3143" spans="1:27" ht="21" customHeight="1" x14ac:dyDescent="0.95">
      <c r="A3143" s="56"/>
      <c r="B3143" s="57"/>
      <c r="C3143" s="57"/>
      <c r="D3143" s="57"/>
      <c r="E3143" s="56"/>
      <c r="F3143" s="57"/>
      <c r="G3143" s="57"/>
      <c r="H3143" s="56"/>
      <c r="I3143" s="56"/>
      <c r="J3143" s="58"/>
      <c r="K3143" s="58"/>
      <c r="L3143" s="13" t="str">
        <f t="shared" si="490"/>
        <v/>
      </c>
      <c r="M3143" s="13" t="str">
        <f t="shared" si="491"/>
        <v/>
      </c>
      <c r="Q3143" t="str">
        <f t="shared" si="492"/>
        <v/>
      </c>
      <c r="R3143" t="str">
        <f t="shared" si="493"/>
        <v/>
      </c>
      <c r="S3143" t="str">
        <f t="shared" si="494"/>
        <v/>
      </c>
      <c r="T3143" t="str">
        <f t="shared" si="495"/>
        <v/>
      </c>
      <c r="U3143" t="str">
        <f t="shared" si="496"/>
        <v/>
      </c>
      <c r="V3143" t="str">
        <f t="shared" si="497"/>
        <v/>
      </c>
      <c r="W3143" t="str">
        <f t="shared" si="498"/>
        <v/>
      </c>
      <c r="X3143">
        <f>IF($T3143="",N($X3142),IF(MATCH($T3143,$T$6:$T$10005,0)=ROW()-5,N($X3142)+1,N($X3142)))</f>
        <v>0</v>
      </c>
      <c r="Z3143" t="str">
        <f t="shared" si="499"/>
        <v/>
      </c>
      <c r="AA3143">
        <f>IF($V3143="",N($AA3142),IF(MATCH($V3143,$V$6:$V$10005,0)=ROW()-5,N($AA3142)+1,N($AA3142)))</f>
        <v>0</v>
      </c>
    </row>
    <row r="3144" spans="1:27" ht="21" customHeight="1" x14ac:dyDescent="0.95">
      <c r="A3144" s="56"/>
      <c r="B3144" s="57"/>
      <c r="C3144" s="57"/>
      <c r="D3144" s="57"/>
      <c r="E3144" s="56"/>
      <c r="F3144" s="57"/>
      <c r="G3144" s="57"/>
      <c r="H3144" s="56"/>
      <c r="I3144" s="56"/>
      <c r="J3144" s="58"/>
      <c r="K3144" s="58"/>
      <c r="L3144" s="13" t="str">
        <f t="shared" si="490"/>
        <v/>
      </c>
      <c r="M3144" s="13" t="str">
        <f t="shared" si="491"/>
        <v/>
      </c>
      <c r="Q3144" t="str">
        <f t="shared" si="492"/>
        <v/>
      </c>
      <c r="R3144" t="str">
        <f t="shared" si="493"/>
        <v/>
      </c>
      <c r="S3144" t="str">
        <f t="shared" si="494"/>
        <v/>
      </c>
      <c r="T3144" t="str">
        <f t="shared" si="495"/>
        <v/>
      </c>
      <c r="U3144" t="str">
        <f t="shared" si="496"/>
        <v/>
      </c>
      <c r="V3144" t="str">
        <f t="shared" si="497"/>
        <v/>
      </c>
      <c r="W3144" t="str">
        <f t="shared" si="498"/>
        <v/>
      </c>
      <c r="X3144">
        <f>IF($T3144="",N($X3143),IF(MATCH($T3144,$T$6:$T$10005,0)=ROW()-5,N($X3143)+1,N($X3143)))</f>
        <v>0</v>
      </c>
      <c r="Z3144" t="str">
        <f t="shared" si="499"/>
        <v/>
      </c>
      <c r="AA3144">
        <f>IF($V3144="",N($AA3143),IF(MATCH($V3144,$V$6:$V$10005,0)=ROW()-5,N($AA3143)+1,N($AA3143)))</f>
        <v>0</v>
      </c>
    </row>
    <row r="3145" spans="1:27" ht="21" customHeight="1" x14ac:dyDescent="0.95">
      <c r="A3145" s="56"/>
      <c r="B3145" s="57"/>
      <c r="C3145" s="57"/>
      <c r="D3145" s="57"/>
      <c r="E3145" s="56"/>
      <c r="F3145" s="57"/>
      <c r="G3145" s="57"/>
      <c r="H3145" s="56"/>
      <c r="I3145" s="56"/>
      <c r="J3145" s="58"/>
      <c r="K3145" s="58"/>
      <c r="L3145" s="13" t="str">
        <f t="shared" si="490"/>
        <v/>
      </c>
      <c r="M3145" s="13" t="str">
        <f t="shared" si="491"/>
        <v/>
      </c>
      <c r="Q3145" t="str">
        <f t="shared" si="492"/>
        <v/>
      </c>
      <c r="R3145" t="str">
        <f t="shared" si="493"/>
        <v/>
      </c>
      <c r="S3145" t="str">
        <f t="shared" si="494"/>
        <v/>
      </c>
      <c r="T3145" t="str">
        <f t="shared" si="495"/>
        <v/>
      </c>
      <c r="U3145" t="str">
        <f t="shared" si="496"/>
        <v/>
      </c>
      <c r="V3145" t="str">
        <f t="shared" si="497"/>
        <v/>
      </c>
      <c r="W3145" t="str">
        <f t="shared" si="498"/>
        <v/>
      </c>
      <c r="X3145">
        <f>IF($T3145="",N($X3144),IF(MATCH($T3145,$T$6:$T$10005,0)=ROW()-5,N($X3144)+1,N($X3144)))</f>
        <v>0</v>
      </c>
      <c r="Z3145" t="str">
        <f t="shared" si="499"/>
        <v/>
      </c>
      <c r="AA3145">
        <f>IF($V3145="",N($AA3144),IF(MATCH($V3145,$V$6:$V$10005,0)=ROW()-5,N($AA3144)+1,N($AA3144)))</f>
        <v>0</v>
      </c>
    </row>
    <row r="3146" spans="1:27" ht="21" customHeight="1" x14ac:dyDescent="0.95">
      <c r="A3146" s="56"/>
      <c r="B3146" s="57"/>
      <c r="C3146" s="57"/>
      <c r="D3146" s="57"/>
      <c r="E3146" s="56"/>
      <c r="F3146" s="57"/>
      <c r="G3146" s="57"/>
      <c r="H3146" s="56"/>
      <c r="I3146" s="56"/>
      <c r="J3146" s="58"/>
      <c r="K3146" s="58"/>
      <c r="L3146" s="13" t="str">
        <f t="shared" si="490"/>
        <v/>
      </c>
      <c r="M3146" s="13" t="str">
        <f t="shared" si="491"/>
        <v/>
      </c>
      <c r="Q3146" t="str">
        <f t="shared" si="492"/>
        <v/>
      </c>
      <c r="R3146" t="str">
        <f t="shared" si="493"/>
        <v/>
      </c>
      <c r="S3146" t="str">
        <f t="shared" si="494"/>
        <v/>
      </c>
      <c r="T3146" t="str">
        <f t="shared" si="495"/>
        <v/>
      </c>
      <c r="U3146" t="str">
        <f t="shared" si="496"/>
        <v/>
      </c>
      <c r="V3146" t="str">
        <f t="shared" si="497"/>
        <v/>
      </c>
      <c r="W3146" t="str">
        <f t="shared" si="498"/>
        <v/>
      </c>
      <c r="X3146">
        <f>IF($T3146="",N($X3145),IF(MATCH($T3146,$T$6:$T$10005,0)=ROW()-5,N($X3145)+1,N($X3145)))</f>
        <v>0</v>
      </c>
      <c r="Z3146" t="str">
        <f t="shared" si="499"/>
        <v/>
      </c>
      <c r="AA3146">
        <f>IF($V3146="",N($AA3145),IF(MATCH($V3146,$V$6:$V$10005,0)=ROW()-5,N($AA3145)+1,N($AA3145)))</f>
        <v>0</v>
      </c>
    </row>
    <row r="3147" spans="1:27" ht="21" customHeight="1" x14ac:dyDescent="0.95">
      <c r="A3147" s="56"/>
      <c r="B3147" s="57"/>
      <c r="C3147" s="57"/>
      <c r="D3147" s="57"/>
      <c r="E3147" s="56"/>
      <c r="F3147" s="57"/>
      <c r="G3147" s="57"/>
      <c r="H3147" s="56"/>
      <c r="I3147" s="56"/>
      <c r="J3147" s="58"/>
      <c r="K3147" s="58"/>
      <c r="L3147" s="13" t="str">
        <f t="shared" si="490"/>
        <v/>
      </c>
      <c r="M3147" s="13" t="str">
        <f t="shared" si="491"/>
        <v/>
      </c>
      <c r="Q3147" t="str">
        <f t="shared" si="492"/>
        <v/>
      </c>
      <c r="R3147" t="str">
        <f t="shared" si="493"/>
        <v/>
      </c>
      <c r="S3147" t="str">
        <f t="shared" si="494"/>
        <v/>
      </c>
      <c r="T3147" t="str">
        <f t="shared" si="495"/>
        <v/>
      </c>
      <c r="U3147" t="str">
        <f t="shared" si="496"/>
        <v/>
      </c>
      <c r="V3147" t="str">
        <f t="shared" si="497"/>
        <v/>
      </c>
      <c r="W3147" t="str">
        <f t="shared" si="498"/>
        <v/>
      </c>
      <c r="X3147">
        <f>IF($T3147="",N($X3146),IF(MATCH($T3147,$T$6:$T$10005,0)=ROW()-5,N($X3146)+1,N($X3146)))</f>
        <v>0</v>
      </c>
      <c r="Z3147" t="str">
        <f t="shared" si="499"/>
        <v/>
      </c>
      <c r="AA3147">
        <f>IF($V3147="",N($AA3146),IF(MATCH($V3147,$V$6:$V$10005,0)=ROW()-5,N($AA3146)+1,N($AA3146)))</f>
        <v>0</v>
      </c>
    </row>
    <row r="3148" spans="1:27" ht="21" customHeight="1" x14ac:dyDescent="0.95">
      <c r="A3148" s="56"/>
      <c r="B3148" s="57"/>
      <c r="C3148" s="57"/>
      <c r="D3148" s="57"/>
      <c r="E3148" s="56"/>
      <c r="F3148" s="57"/>
      <c r="G3148" s="57"/>
      <c r="H3148" s="56"/>
      <c r="I3148" s="56"/>
      <c r="J3148" s="58"/>
      <c r="K3148" s="58"/>
      <c r="L3148" s="13" t="str">
        <f t="shared" si="490"/>
        <v/>
      </c>
      <c r="M3148" s="13" t="str">
        <f t="shared" si="491"/>
        <v/>
      </c>
      <c r="Q3148" t="str">
        <f t="shared" si="492"/>
        <v/>
      </c>
      <c r="R3148" t="str">
        <f t="shared" si="493"/>
        <v/>
      </c>
      <c r="S3148" t="str">
        <f t="shared" si="494"/>
        <v/>
      </c>
      <c r="T3148" t="str">
        <f t="shared" si="495"/>
        <v/>
      </c>
      <c r="U3148" t="str">
        <f t="shared" si="496"/>
        <v/>
      </c>
      <c r="V3148" t="str">
        <f t="shared" si="497"/>
        <v/>
      </c>
      <c r="W3148" t="str">
        <f t="shared" si="498"/>
        <v/>
      </c>
      <c r="X3148">
        <f>IF($T3148="",N($X3147),IF(MATCH($T3148,$T$6:$T$10005,0)=ROW()-5,N($X3147)+1,N($X3147)))</f>
        <v>0</v>
      </c>
      <c r="Z3148" t="str">
        <f t="shared" si="499"/>
        <v/>
      </c>
      <c r="AA3148">
        <f>IF($V3148="",N($AA3147),IF(MATCH($V3148,$V$6:$V$10005,0)=ROW()-5,N($AA3147)+1,N($AA3147)))</f>
        <v>0</v>
      </c>
    </row>
    <row r="3149" spans="1:27" ht="21" customHeight="1" x14ac:dyDescent="0.95">
      <c r="A3149" s="56"/>
      <c r="B3149" s="57"/>
      <c r="C3149" s="57"/>
      <c r="D3149" s="57"/>
      <c r="E3149" s="56"/>
      <c r="F3149" s="57"/>
      <c r="G3149" s="57"/>
      <c r="H3149" s="56"/>
      <c r="I3149" s="56"/>
      <c r="J3149" s="58"/>
      <c r="K3149" s="58"/>
      <c r="L3149" s="13" t="str">
        <f t="shared" si="490"/>
        <v/>
      </c>
      <c r="M3149" s="13" t="str">
        <f t="shared" si="491"/>
        <v/>
      </c>
      <c r="Q3149" t="str">
        <f t="shared" si="492"/>
        <v/>
      </c>
      <c r="R3149" t="str">
        <f t="shared" si="493"/>
        <v/>
      </c>
      <c r="S3149" t="str">
        <f t="shared" si="494"/>
        <v/>
      </c>
      <c r="T3149" t="str">
        <f t="shared" si="495"/>
        <v/>
      </c>
      <c r="U3149" t="str">
        <f t="shared" si="496"/>
        <v/>
      </c>
      <c r="V3149" t="str">
        <f t="shared" si="497"/>
        <v/>
      </c>
      <c r="W3149" t="str">
        <f t="shared" si="498"/>
        <v/>
      </c>
      <c r="X3149">
        <f>IF($T3149="",N($X3148),IF(MATCH($T3149,$T$6:$T$10005,0)=ROW()-5,N($X3148)+1,N($X3148)))</f>
        <v>0</v>
      </c>
      <c r="Z3149" t="str">
        <f t="shared" si="499"/>
        <v/>
      </c>
      <c r="AA3149">
        <f>IF($V3149="",N($AA3148),IF(MATCH($V3149,$V$6:$V$10005,0)=ROW()-5,N($AA3148)+1,N($AA3148)))</f>
        <v>0</v>
      </c>
    </row>
    <row r="3150" spans="1:27" ht="21" customHeight="1" x14ac:dyDescent="0.95">
      <c r="A3150" s="56"/>
      <c r="B3150" s="57"/>
      <c r="C3150" s="57"/>
      <c r="D3150" s="57"/>
      <c r="E3150" s="56"/>
      <c r="F3150" s="57"/>
      <c r="G3150" s="57"/>
      <c r="H3150" s="56"/>
      <c r="I3150" s="56"/>
      <c r="J3150" s="58"/>
      <c r="K3150" s="58"/>
      <c r="L3150" s="13" t="str">
        <f t="shared" si="490"/>
        <v/>
      </c>
      <c r="M3150" s="13" t="str">
        <f t="shared" si="491"/>
        <v/>
      </c>
      <c r="Q3150" t="str">
        <f t="shared" si="492"/>
        <v/>
      </c>
      <c r="R3150" t="str">
        <f t="shared" si="493"/>
        <v/>
      </c>
      <c r="S3150" t="str">
        <f t="shared" si="494"/>
        <v/>
      </c>
      <c r="T3150" t="str">
        <f t="shared" si="495"/>
        <v/>
      </c>
      <c r="U3150" t="str">
        <f t="shared" si="496"/>
        <v/>
      </c>
      <c r="V3150" t="str">
        <f t="shared" si="497"/>
        <v/>
      </c>
      <c r="W3150" t="str">
        <f t="shared" si="498"/>
        <v/>
      </c>
      <c r="X3150">
        <f>IF($T3150="",N($X3149),IF(MATCH($T3150,$T$6:$T$10005,0)=ROW()-5,N($X3149)+1,N($X3149)))</f>
        <v>0</v>
      </c>
      <c r="Z3150" t="str">
        <f t="shared" si="499"/>
        <v/>
      </c>
      <c r="AA3150">
        <f>IF($V3150="",N($AA3149),IF(MATCH($V3150,$V$6:$V$10005,0)=ROW()-5,N($AA3149)+1,N($AA3149)))</f>
        <v>0</v>
      </c>
    </row>
    <row r="3151" spans="1:27" ht="21" customHeight="1" x14ac:dyDescent="0.95">
      <c r="A3151" s="56"/>
      <c r="B3151" s="57"/>
      <c r="C3151" s="57"/>
      <c r="D3151" s="57"/>
      <c r="E3151" s="56"/>
      <c r="F3151" s="57"/>
      <c r="G3151" s="57"/>
      <c r="H3151" s="56"/>
      <c r="I3151" s="56"/>
      <c r="J3151" s="58"/>
      <c r="K3151" s="58"/>
      <c r="L3151" s="13" t="str">
        <f t="shared" si="490"/>
        <v/>
      </c>
      <c r="M3151" s="13" t="str">
        <f t="shared" si="491"/>
        <v/>
      </c>
      <c r="Q3151" t="str">
        <f t="shared" si="492"/>
        <v/>
      </c>
      <c r="R3151" t="str">
        <f t="shared" si="493"/>
        <v/>
      </c>
      <c r="S3151" t="str">
        <f t="shared" si="494"/>
        <v/>
      </c>
      <c r="T3151" t="str">
        <f t="shared" si="495"/>
        <v/>
      </c>
      <c r="U3151" t="str">
        <f t="shared" si="496"/>
        <v/>
      </c>
      <c r="V3151" t="str">
        <f t="shared" si="497"/>
        <v/>
      </c>
      <c r="W3151" t="str">
        <f t="shared" si="498"/>
        <v/>
      </c>
      <c r="X3151">
        <f>IF($T3151="",N($X3150),IF(MATCH($T3151,$T$6:$T$10005,0)=ROW()-5,N($X3150)+1,N($X3150)))</f>
        <v>0</v>
      </c>
      <c r="Z3151" t="str">
        <f t="shared" si="499"/>
        <v/>
      </c>
      <c r="AA3151">
        <f>IF($V3151="",N($AA3150),IF(MATCH($V3151,$V$6:$V$10005,0)=ROW()-5,N($AA3150)+1,N($AA3150)))</f>
        <v>0</v>
      </c>
    </row>
    <row r="3152" spans="1:27" ht="21" customHeight="1" x14ac:dyDescent="0.95">
      <c r="A3152" s="56"/>
      <c r="B3152" s="57"/>
      <c r="C3152" s="57"/>
      <c r="D3152" s="57"/>
      <c r="E3152" s="56"/>
      <c r="F3152" s="57"/>
      <c r="G3152" s="57"/>
      <c r="H3152" s="56"/>
      <c r="I3152" s="56"/>
      <c r="J3152" s="58"/>
      <c r="K3152" s="58"/>
      <c r="L3152" s="13" t="str">
        <f t="shared" si="490"/>
        <v/>
      </c>
      <c r="M3152" s="13" t="str">
        <f t="shared" si="491"/>
        <v/>
      </c>
      <c r="Q3152" t="str">
        <f t="shared" si="492"/>
        <v/>
      </c>
      <c r="R3152" t="str">
        <f t="shared" si="493"/>
        <v/>
      </c>
      <c r="S3152" t="str">
        <f t="shared" si="494"/>
        <v/>
      </c>
      <c r="T3152" t="str">
        <f t="shared" si="495"/>
        <v/>
      </c>
      <c r="U3152" t="str">
        <f t="shared" si="496"/>
        <v/>
      </c>
      <c r="V3152" t="str">
        <f t="shared" si="497"/>
        <v/>
      </c>
      <c r="W3152" t="str">
        <f t="shared" si="498"/>
        <v/>
      </c>
      <c r="X3152">
        <f>IF($T3152="",N($X3151),IF(MATCH($T3152,$T$6:$T$10005,0)=ROW()-5,N($X3151)+1,N($X3151)))</f>
        <v>0</v>
      </c>
      <c r="Z3152" t="str">
        <f t="shared" si="499"/>
        <v/>
      </c>
      <c r="AA3152">
        <f>IF($V3152="",N($AA3151),IF(MATCH($V3152,$V$6:$V$10005,0)=ROW()-5,N($AA3151)+1,N($AA3151)))</f>
        <v>0</v>
      </c>
    </row>
    <row r="3153" spans="1:27" ht="21" customHeight="1" x14ac:dyDescent="0.95">
      <c r="A3153" s="56"/>
      <c r="B3153" s="57"/>
      <c r="C3153" s="57"/>
      <c r="D3153" s="57"/>
      <c r="E3153" s="56"/>
      <c r="F3153" s="57"/>
      <c r="G3153" s="57"/>
      <c r="H3153" s="56"/>
      <c r="I3153" s="56"/>
      <c r="J3153" s="58"/>
      <c r="K3153" s="58"/>
      <c r="L3153" s="13" t="str">
        <f t="shared" si="490"/>
        <v/>
      </c>
      <c r="M3153" s="13" t="str">
        <f t="shared" si="491"/>
        <v/>
      </c>
      <c r="Q3153" t="str">
        <f t="shared" si="492"/>
        <v/>
      </c>
      <c r="R3153" t="str">
        <f t="shared" si="493"/>
        <v/>
      </c>
      <c r="S3153" t="str">
        <f t="shared" si="494"/>
        <v/>
      </c>
      <c r="T3153" t="str">
        <f t="shared" si="495"/>
        <v/>
      </c>
      <c r="U3153" t="str">
        <f t="shared" si="496"/>
        <v/>
      </c>
      <c r="V3153" t="str">
        <f t="shared" si="497"/>
        <v/>
      </c>
      <c r="W3153" t="str">
        <f t="shared" si="498"/>
        <v/>
      </c>
      <c r="X3153">
        <f>IF($T3153="",N($X3152),IF(MATCH($T3153,$T$6:$T$10005,0)=ROW()-5,N($X3152)+1,N($X3152)))</f>
        <v>0</v>
      </c>
      <c r="Z3153" t="str">
        <f t="shared" si="499"/>
        <v/>
      </c>
      <c r="AA3153">
        <f>IF($V3153="",N($AA3152),IF(MATCH($V3153,$V$6:$V$10005,0)=ROW()-5,N($AA3152)+1,N($AA3152)))</f>
        <v>0</v>
      </c>
    </row>
    <row r="3154" spans="1:27" ht="21" customHeight="1" x14ac:dyDescent="0.95">
      <c r="A3154" s="56"/>
      <c r="B3154" s="57"/>
      <c r="C3154" s="57"/>
      <c r="D3154" s="57"/>
      <c r="E3154" s="56"/>
      <c r="F3154" s="57"/>
      <c r="G3154" s="57"/>
      <c r="H3154" s="56"/>
      <c r="I3154" s="56"/>
      <c r="J3154" s="58"/>
      <c r="K3154" s="58"/>
      <c r="L3154" s="13" t="str">
        <f t="shared" si="490"/>
        <v/>
      </c>
      <c r="M3154" s="13" t="str">
        <f t="shared" si="491"/>
        <v/>
      </c>
      <c r="Q3154" t="str">
        <f t="shared" si="492"/>
        <v/>
      </c>
      <c r="R3154" t="str">
        <f t="shared" si="493"/>
        <v/>
      </c>
      <c r="S3154" t="str">
        <f t="shared" si="494"/>
        <v/>
      </c>
      <c r="T3154" t="str">
        <f t="shared" si="495"/>
        <v/>
      </c>
      <c r="U3154" t="str">
        <f t="shared" si="496"/>
        <v/>
      </c>
      <c r="V3154" t="str">
        <f t="shared" si="497"/>
        <v/>
      </c>
      <c r="W3154" t="str">
        <f t="shared" si="498"/>
        <v/>
      </c>
      <c r="X3154">
        <f>IF($T3154="",N($X3153),IF(MATCH($T3154,$T$6:$T$10005,0)=ROW()-5,N($X3153)+1,N($X3153)))</f>
        <v>0</v>
      </c>
      <c r="Z3154" t="str">
        <f t="shared" si="499"/>
        <v/>
      </c>
      <c r="AA3154">
        <f>IF($V3154="",N($AA3153),IF(MATCH($V3154,$V$6:$V$10005,0)=ROW()-5,N($AA3153)+1,N($AA3153)))</f>
        <v>0</v>
      </c>
    </row>
    <row r="3155" spans="1:27" ht="21" customHeight="1" x14ac:dyDescent="0.95">
      <c r="A3155" s="56"/>
      <c r="B3155" s="57"/>
      <c r="C3155" s="57"/>
      <c r="D3155" s="57"/>
      <c r="E3155" s="56"/>
      <c r="F3155" s="57"/>
      <c r="G3155" s="57"/>
      <c r="H3155" s="56"/>
      <c r="I3155" s="56"/>
      <c r="J3155" s="58"/>
      <c r="K3155" s="58"/>
      <c r="L3155" s="13" t="str">
        <f t="shared" si="490"/>
        <v/>
      </c>
      <c r="M3155" s="13" t="str">
        <f t="shared" si="491"/>
        <v/>
      </c>
      <c r="Q3155" t="str">
        <f t="shared" si="492"/>
        <v/>
      </c>
      <c r="R3155" t="str">
        <f t="shared" si="493"/>
        <v/>
      </c>
      <c r="S3155" t="str">
        <f t="shared" si="494"/>
        <v/>
      </c>
      <c r="T3155" t="str">
        <f t="shared" si="495"/>
        <v/>
      </c>
      <c r="U3155" t="str">
        <f t="shared" si="496"/>
        <v/>
      </c>
      <c r="V3155" t="str">
        <f t="shared" si="497"/>
        <v/>
      </c>
      <c r="W3155" t="str">
        <f t="shared" si="498"/>
        <v/>
      </c>
      <c r="X3155">
        <f>IF($T3155="",N($X3154),IF(MATCH($T3155,$T$6:$T$10005,0)=ROW()-5,N($X3154)+1,N($X3154)))</f>
        <v>0</v>
      </c>
      <c r="Z3155" t="str">
        <f t="shared" si="499"/>
        <v/>
      </c>
      <c r="AA3155">
        <f>IF($V3155="",N($AA3154),IF(MATCH($V3155,$V$6:$V$10005,0)=ROW()-5,N($AA3154)+1,N($AA3154)))</f>
        <v>0</v>
      </c>
    </row>
    <row r="3156" spans="1:27" ht="21" customHeight="1" x14ac:dyDescent="0.95">
      <c r="A3156" s="56"/>
      <c r="B3156" s="57"/>
      <c r="C3156" s="57"/>
      <c r="D3156" s="57"/>
      <c r="E3156" s="56"/>
      <c r="F3156" s="57"/>
      <c r="G3156" s="57"/>
      <c r="H3156" s="56"/>
      <c r="I3156" s="56"/>
      <c r="J3156" s="58"/>
      <c r="K3156" s="58"/>
      <c r="L3156" s="13" t="str">
        <f t="shared" si="490"/>
        <v/>
      </c>
      <c r="M3156" s="13" t="str">
        <f t="shared" si="491"/>
        <v/>
      </c>
      <c r="Q3156" t="str">
        <f t="shared" si="492"/>
        <v/>
      </c>
      <c r="R3156" t="str">
        <f t="shared" si="493"/>
        <v/>
      </c>
      <c r="S3156" t="str">
        <f t="shared" si="494"/>
        <v/>
      </c>
      <c r="T3156" t="str">
        <f t="shared" si="495"/>
        <v/>
      </c>
      <c r="U3156" t="str">
        <f t="shared" si="496"/>
        <v/>
      </c>
      <c r="V3156" t="str">
        <f t="shared" si="497"/>
        <v/>
      </c>
      <c r="W3156" t="str">
        <f t="shared" si="498"/>
        <v/>
      </c>
      <c r="X3156">
        <f>IF($T3156="",N($X3155),IF(MATCH($T3156,$T$6:$T$10005,0)=ROW()-5,N($X3155)+1,N($X3155)))</f>
        <v>0</v>
      </c>
      <c r="Z3156" t="str">
        <f t="shared" si="499"/>
        <v/>
      </c>
      <c r="AA3156">
        <f>IF($V3156="",N($AA3155),IF(MATCH($V3156,$V$6:$V$10005,0)=ROW()-5,N($AA3155)+1,N($AA3155)))</f>
        <v>0</v>
      </c>
    </row>
    <row r="3157" spans="1:27" ht="21" customHeight="1" x14ac:dyDescent="0.95">
      <c r="A3157" s="56"/>
      <c r="B3157" s="57"/>
      <c r="C3157" s="57"/>
      <c r="D3157" s="57"/>
      <c r="E3157" s="56"/>
      <c r="F3157" s="57"/>
      <c r="G3157" s="57"/>
      <c r="H3157" s="56"/>
      <c r="I3157" s="56"/>
      <c r="J3157" s="58"/>
      <c r="K3157" s="58"/>
      <c r="L3157" s="13" t="str">
        <f t="shared" si="490"/>
        <v/>
      </c>
      <c r="M3157" s="13" t="str">
        <f t="shared" si="491"/>
        <v/>
      </c>
      <c r="Q3157" t="str">
        <f t="shared" si="492"/>
        <v/>
      </c>
      <c r="R3157" t="str">
        <f t="shared" si="493"/>
        <v/>
      </c>
      <c r="S3157" t="str">
        <f t="shared" si="494"/>
        <v/>
      </c>
      <c r="T3157" t="str">
        <f t="shared" si="495"/>
        <v/>
      </c>
      <c r="U3157" t="str">
        <f t="shared" si="496"/>
        <v/>
      </c>
      <c r="V3157" t="str">
        <f t="shared" si="497"/>
        <v/>
      </c>
      <c r="W3157" t="str">
        <f t="shared" si="498"/>
        <v/>
      </c>
      <c r="X3157">
        <f>IF($T3157="",N($X3156),IF(MATCH($T3157,$T$6:$T$10005,0)=ROW()-5,N($X3156)+1,N($X3156)))</f>
        <v>0</v>
      </c>
      <c r="Z3157" t="str">
        <f t="shared" si="499"/>
        <v/>
      </c>
      <c r="AA3157">
        <f>IF($V3157="",N($AA3156),IF(MATCH($V3157,$V$6:$V$10005,0)=ROW()-5,N($AA3156)+1,N($AA3156)))</f>
        <v>0</v>
      </c>
    </row>
    <row r="3158" spans="1:27" ht="21" customHeight="1" x14ac:dyDescent="0.95">
      <c r="A3158" s="56"/>
      <c r="B3158" s="57"/>
      <c r="C3158" s="57"/>
      <c r="D3158" s="57"/>
      <c r="E3158" s="56"/>
      <c r="F3158" s="57"/>
      <c r="G3158" s="57"/>
      <c r="H3158" s="56"/>
      <c r="I3158" s="56"/>
      <c r="J3158" s="58"/>
      <c r="K3158" s="58"/>
      <c r="L3158" s="13" t="str">
        <f t="shared" si="490"/>
        <v/>
      </c>
      <c r="M3158" s="13" t="str">
        <f t="shared" si="491"/>
        <v/>
      </c>
      <c r="Q3158" t="str">
        <f t="shared" si="492"/>
        <v/>
      </c>
      <c r="R3158" t="str">
        <f t="shared" si="493"/>
        <v/>
      </c>
      <c r="S3158" t="str">
        <f t="shared" si="494"/>
        <v/>
      </c>
      <c r="T3158" t="str">
        <f t="shared" si="495"/>
        <v/>
      </c>
      <c r="U3158" t="str">
        <f t="shared" si="496"/>
        <v/>
      </c>
      <c r="V3158" t="str">
        <f t="shared" si="497"/>
        <v/>
      </c>
      <c r="W3158" t="str">
        <f t="shared" si="498"/>
        <v/>
      </c>
      <c r="X3158">
        <f>IF($T3158="",N($X3157),IF(MATCH($T3158,$T$6:$T$10005,0)=ROW()-5,N($X3157)+1,N($X3157)))</f>
        <v>0</v>
      </c>
      <c r="Z3158" t="str">
        <f t="shared" si="499"/>
        <v/>
      </c>
      <c r="AA3158">
        <f>IF($V3158="",N($AA3157),IF(MATCH($V3158,$V$6:$V$10005,0)=ROW()-5,N($AA3157)+1,N($AA3157)))</f>
        <v>0</v>
      </c>
    </row>
    <row r="3159" spans="1:27" ht="21" customHeight="1" x14ac:dyDescent="0.95">
      <c r="A3159" s="56"/>
      <c r="B3159" s="57"/>
      <c r="C3159" s="57"/>
      <c r="D3159" s="57"/>
      <c r="E3159" s="56"/>
      <c r="F3159" s="57"/>
      <c r="G3159" s="57"/>
      <c r="H3159" s="56"/>
      <c r="I3159" s="56"/>
      <c r="J3159" s="58"/>
      <c r="K3159" s="58"/>
      <c r="L3159" s="13" t="str">
        <f t="shared" si="490"/>
        <v/>
      </c>
      <c r="M3159" s="13" t="str">
        <f t="shared" si="491"/>
        <v/>
      </c>
      <c r="Q3159" t="str">
        <f t="shared" si="492"/>
        <v/>
      </c>
      <c r="R3159" t="str">
        <f t="shared" si="493"/>
        <v/>
      </c>
      <c r="S3159" t="str">
        <f t="shared" si="494"/>
        <v/>
      </c>
      <c r="T3159" t="str">
        <f t="shared" si="495"/>
        <v/>
      </c>
      <c r="U3159" t="str">
        <f t="shared" si="496"/>
        <v/>
      </c>
      <c r="V3159" t="str">
        <f t="shared" si="497"/>
        <v/>
      </c>
      <c r="W3159" t="str">
        <f t="shared" si="498"/>
        <v/>
      </c>
      <c r="X3159">
        <f>IF($T3159="",N($X3158),IF(MATCH($T3159,$T$6:$T$10005,0)=ROW()-5,N($X3158)+1,N($X3158)))</f>
        <v>0</v>
      </c>
      <c r="Z3159" t="str">
        <f t="shared" si="499"/>
        <v/>
      </c>
      <c r="AA3159">
        <f>IF($V3159="",N($AA3158),IF(MATCH($V3159,$V$6:$V$10005,0)=ROW()-5,N($AA3158)+1,N($AA3158)))</f>
        <v>0</v>
      </c>
    </row>
    <row r="3160" spans="1:27" ht="21" customHeight="1" x14ac:dyDescent="0.95">
      <c r="A3160" s="56"/>
      <c r="B3160" s="57"/>
      <c r="C3160" s="57"/>
      <c r="D3160" s="57"/>
      <c r="E3160" s="56"/>
      <c r="F3160" s="57"/>
      <c r="G3160" s="57"/>
      <c r="H3160" s="56"/>
      <c r="I3160" s="56"/>
      <c r="J3160" s="58"/>
      <c r="K3160" s="58"/>
      <c r="L3160" s="13" t="str">
        <f t="shared" si="490"/>
        <v/>
      </c>
      <c r="M3160" s="13" t="str">
        <f t="shared" si="491"/>
        <v/>
      </c>
      <c r="Q3160" t="str">
        <f t="shared" si="492"/>
        <v/>
      </c>
      <c r="R3160" t="str">
        <f t="shared" si="493"/>
        <v/>
      </c>
      <c r="S3160" t="str">
        <f t="shared" si="494"/>
        <v/>
      </c>
      <c r="T3160" t="str">
        <f t="shared" si="495"/>
        <v/>
      </c>
      <c r="U3160" t="str">
        <f t="shared" si="496"/>
        <v/>
      </c>
      <c r="V3160" t="str">
        <f t="shared" si="497"/>
        <v/>
      </c>
      <c r="W3160" t="str">
        <f t="shared" si="498"/>
        <v/>
      </c>
      <c r="X3160">
        <f>IF($T3160="",N($X3159),IF(MATCH($T3160,$T$6:$T$10005,0)=ROW()-5,N($X3159)+1,N($X3159)))</f>
        <v>0</v>
      </c>
      <c r="Z3160" t="str">
        <f t="shared" si="499"/>
        <v/>
      </c>
      <c r="AA3160">
        <f>IF($V3160="",N($AA3159),IF(MATCH($V3160,$V$6:$V$10005,0)=ROW()-5,N($AA3159)+1,N($AA3159)))</f>
        <v>0</v>
      </c>
    </row>
    <row r="3161" spans="1:27" ht="21" customHeight="1" x14ac:dyDescent="0.95">
      <c r="A3161" s="56"/>
      <c r="B3161" s="57"/>
      <c r="C3161" s="57"/>
      <c r="D3161" s="57"/>
      <c r="E3161" s="56"/>
      <c r="F3161" s="57"/>
      <c r="G3161" s="57"/>
      <c r="H3161" s="56"/>
      <c r="I3161" s="56"/>
      <c r="J3161" s="58"/>
      <c r="K3161" s="58"/>
      <c r="L3161" s="13" t="str">
        <f t="shared" si="490"/>
        <v/>
      </c>
      <c r="M3161" s="13" t="str">
        <f t="shared" si="491"/>
        <v/>
      </c>
      <c r="Q3161" t="str">
        <f t="shared" si="492"/>
        <v/>
      </c>
      <c r="R3161" t="str">
        <f t="shared" si="493"/>
        <v/>
      </c>
      <c r="S3161" t="str">
        <f t="shared" si="494"/>
        <v/>
      </c>
      <c r="T3161" t="str">
        <f t="shared" si="495"/>
        <v/>
      </c>
      <c r="U3161" t="str">
        <f t="shared" si="496"/>
        <v/>
      </c>
      <c r="V3161" t="str">
        <f t="shared" si="497"/>
        <v/>
      </c>
      <c r="W3161" t="str">
        <f t="shared" si="498"/>
        <v/>
      </c>
      <c r="X3161">
        <f>IF($T3161="",N($X3160),IF(MATCH($T3161,$T$6:$T$10005,0)=ROW()-5,N($X3160)+1,N($X3160)))</f>
        <v>0</v>
      </c>
      <c r="Z3161" t="str">
        <f t="shared" si="499"/>
        <v/>
      </c>
      <c r="AA3161">
        <f>IF($V3161="",N($AA3160),IF(MATCH($V3161,$V$6:$V$10005,0)=ROW()-5,N($AA3160)+1,N($AA3160)))</f>
        <v>0</v>
      </c>
    </row>
    <row r="3162" spans="1:27" ht="21" customHeight="1" x14ac:dyDescent="0.95">
      <c r="A3162" s="56"/>
      <c r="B3162" s="57"/>
      <c r="C3162" s="57"/>
      <c r="D3162" s="57"/>
      <c r="E3162" s="56"/>
      <c r="F3162" s="57"/>
      <c r="G3162" s="57"/>
      <c r="H3162" s="56"/>
      <c r="I3162" s="56"/>
      <c r="J3162" s="58"/>
      <c r="K3162" s="58"/>
      <c r="L3162" s="13" t="str">
        <f t="shared" si="490"/>
        <v/>
      </c>
      <c r="M3162" s="13" t="str">
        <f t="shared" si="491"/>
        <v/>
      </c>
      <c r="Q3162" t="str">
        <f t="shared" si="492"/>
        <v/>
      </c>
      <c r="R3162" t="str">
        <f t="shared" si="493"/>
        <v/>
      </c>
      <c r="S3162" t="str">
        <f t="shared" si="494"/>
        <v/>
      </c>
      <c r="T3162" t="str">
        <f t="shared" si="495"/>
        <v/>
      </c>
      <c r="U3162" t="str">
        <f t="shared" si="496"/>
        <v/>
      </c>
      <c r="V3162" t="str">
        <f t="shared" si="497"/>
        <v/>
      </c>
      <c r="W3162" t="str">
        <f t="shared" si="498"/>
        <v/>
      </c>
      <c r="X3162">
        <f>IF($T3162="",N($X3161),IF(MATCH($T3162,$T$6:$T$10005,0)=ROW()-5,N($X3161)+1,N($X3161)))</f>
        <v>0</v>
      </c>
      <c r="Z3162" t="str">
        <f t="shared" si="499"/>
        <v/>
      </c>
      <c r="AA3162">
        <f>IF($V3162="",N($AA3161),IF(MATCH($V3162,$V$6:$V$10005,0)=ROW()-5,N($AA3161)+1,N($AA3161)))</f>
        <v>0</v>
      </c>
    </row>
    <row r="3163" spans="1:27" ht="21" customHeight="1" x14ac:dyDescent="0.95">
      <c r="A3163" s="56"/>
      <c r="B3163" s="57"/>
      <c r="C3163" s="57"/>
      <c r="D3163" s="57"/>
      <c r="E3163" s="56"/>
      <c r="F3163" s="57"/>
      <c r="G3163" s="57"/>
      <c r="H3163" s="56"/>
      <c r="I3163" s="56"/>
      <c r="J3163" s="58"/>
      <c r="K3163" s="58"/>
      <c r="L3163" s="13" t="str">
        <f t="shared" si="490"/>
        <v/>
      </c>
      <c r="M3163" s="13" t="str">
        <f t="shared" si="491"/>
        <v/>
      </c>
      <c r="Q3163" t="str">
        <f t="shared" si="492"/>
        <v/>
      </c>
      <c r="R3163" t="str">
        <f t="shared" si="493"/>
        <v/>
      </c>
      <c r="S3163" t="str">
        <f t="shared" si="494"/>
        <v/>
      </c>
      <c r="T3163" t="str">
        <f t="shared" si="495"/>
        <v/>
      </c>
      <c r="U3163" t="str">
        <f t="shared" si="496"/>
        <v/>
      </c>
      <c r="V3163" t="str">
        <f t="shared" si="497"/>
        <v/>
      </c>
      <c r="W3163" t="str">
        <f t="shared" si="498"/>
        <v/>
      </c>
      <c r="X3163">
        <f>IF($T3163="",N($X3162),IF(MATCH($T3163,$T$6:$T$10005,0)=ROW()-5,N($X3162)+1,N($X3162)))</f>
        <v>0</v>
      </c>
      <c r="Z3163" t="str">
        <f t="shared" si="499"/>
        <v/>
      </c>
      <c r="AA3163">
        <f>IF($V3163="",N($AA3162),IF(MATCH($V3163,$V$6:$V$10005,0)=ROW()-5,N($AA3162)+1,N($AA3162)))</f>
        <v>0</v>
      </c>
    </row>
    <row r="3164" spans="1:27" ht="21" customHeight="1" x14ac:dyDescent="0.95">
      <c r="A3164" s="56"/>
      <c r="B3164" s="57"/>
      <c r="C3164" s="57"/>
      <c r="D3164" s="57"/>
      <c r="E3164" s="56"/>
      <c r="F3164" s="57"/>
      <c r="G3164" s="57"/>
      <c r="H3164" s="56"/>
      <c r="I3164" s="56"/>
      <c r="J3164" s="58"/>
      <c r="K3164" s="58"/>
      <c r="L3164" s="13" t="str">
        <f t="shared" si="490"/>
        <v/>
      </c>
      <c r="M3164" s="13" t="str">
        <f t="shared" si="491"/>
        <v/>
      </c>
      <c r="Q3164" t="str">
        <f t="shared" si="492"/>
        <v/>
      </c>
      <c r="R3164" t="str">
        <f t="shared" si="493"/>
        <v/>
      </c>
      <c r="S3164" t="str">
        <f t="shared" si="494"/>
        <v/>
      </c>
      <c r="T3164" t="str">
        <f t="shared" si="495"/>
        <v/>
      </c>
      <c r="U3164" t="str">
        <f t="shared" si="496"/>
        <v/>
      </c>
      <c r="V3164" t="str">
        <f t="shared" si="497"/>
        <v/>
      </c>
      <c r="W3164" t="str">
        <f t="shared" si="498"/>
        <v/>
      </c>
      <c r="X3164">
        <f>IF($T3164="",N($X3163),IF(MATCH($T3164,$T$6:$T$10005,0)=ROW()-5,N($X3163)+1,N($X3163)))</f>
        <v>0</v>
      </c>
      <c r="Z3164" t="str">
        <f t="shared" si="499"/>
        <v/>
      </c>
      <c r="AA3164">
        <f>IF($V3164="",N($AA3163),IF(MATCH($V3164,$V$6:$V$10005,0)=ROW()-5,N($AA3163)+1,N($AA3163)))</f>
        <v>0</v>
      </c>
    </row>
    <row r="3165" spans="1:27" ht="21" customHeight="1" x14ac:dyDescent="0.95">
      <c r="A3165" s="56"/>
      <c r="B3165" s="57"/>
      <c r="C3165" s="57"/>
      <c r="D3165" s="57"/>
      <c r="E3165" s="56"/>
      <c r="F3165" s="57"/>
      <c r="G3165" s="57"/>
      <c r="H3165" s="56"/>
      <c r="I3165" s="56"/>
      <c r="J3165" s="58"/>
      <c r="K3165" s="58"/>
      <c r="L3165" s="13" t="str">
        <f t="shared" si="490"/>
        <v/>
      </c>
      <c r="M3165" s="13" t="str">
        <f t="shared" si="491"/>
        <v/>
      </c>
      <c r="Q3165" t="str">
        <f t="shared" si="492"/>
        <v/>
      </c>
      <c r="R3165" t="str">
        <f t="shared" si="493"/>
        <v/>
      </c>
      <c r="S3165" t="str">
        <f t="shared" si="494"/>
        <v/>
      </c>
      <c r="T3165" t="str">
        <f t="shared" si="495"/>
        <v/>
      </c>
      <c r="U3165" t="str">
        <f t="shared" si="496"/>
        <v/>
      </c>
      <c r="V3165" t="str">
        <f t="shared" si="497"/>
        <v/>
      </c>
      <c r="W3165" t="str">
        <f t="shared" si="498"/>
        <v/>
      </c>
      <c r="X3165">
        <f>IF($T3165="",N($X3164),IF(MATCH($T3165,$T$6:$T$10005,0)=ROW()-5,N($X3164)+1,N($X3164)))</f>
        <v>0</v>
      </c>
      <c r="Z3165" t="str">
        <f t="shared" si="499"/>
        <v/>
      </c>
      <c r="AA3165">
        <f>IF($V3165="",N($AA3164),IF(MATCH($V3165,$V$6:$V$10005,0)=ROW()-5,N($AA3164)+1,N($AA3164)))</f>
        <v>0</v>
      </c>
    </row>
    <row r="3166" spans="1:27" ht="21" customHeight="1" x14ac:dyDescent="0.95">
      <c r="A3166" s="56"/>
      <c r="B3166" s="57"/>
      <c r="C3166" s="57"/>
      <c r="D3166" s="57"/>
      <c r="E3166" s="56"/>
      <c r="F3166" s="57"/>
      <c r="G3166" s="57"/>
      <c r="H3166" s="56"/>
      <c r="I3166" s="56"/>
      <c r="J3166" s="58"/>
      <c r="K3166" s="58"/>
      <c r="L3166" s="13" t="str">
        <f t="shared" si="490"/>
        <v/>
      </c>
      <c r="M3166" s="13" t="str">
        <f t="shared" si="491"/>
        <v/>
      </c>
      <c r="Q3166" t="str">
        <f t="shared" si="492"/>
        <v/>
      </c>
      <c r="R3166" t="str">
        <f t="shared" si="493"/>
        <v/>
      </c>
      <c r="S3166" t="str">
        <f t="shared" si="494"/>
        <v/>
      </c>
      <c r="T3166" t="str">
        <f t="shared" si="495"/>
        <v/>
      </c>
      <c r="U3166" t="str">
        <f t="shared" si="496"/>
        <v/>
      </c>
      <c r="V3166" t="str">
        <f t="shared" si="497"/>
        <v/>
      </c>
      <c r="W3166" t="str">
        <f t="shared" si="498"/>
        <v/>
      </c>
      <c r="X3166">
        <f>IF($T3166="",N($X3165),IF(MATCH($T3166,$T$6:$T$10005,0)=ROW()-5,N($X3165)+1,N($X3165)))</f>
        <v>0</v>
      </c>
      <c r="Z3166" t="str">
        <f t="shared" si="499"/>
        <v/>
      </c>
      <c r="AA3166">
        <f>IF($V3166="",N($AA3165),IF(MATCH($V3166,$V$6:$V$10005,0)=ROW()-5,N($AA3165)+1,N($AA3165)))</f>
        <v>0</v>
      </c>
    </row>
    <row r="3167" spans="1:27" ht="21" customHeight="1" x14ac:dyDescent="0.95">
      <c r="A3167" s="56"/>
      <c r="B3167" s="57"/>
      <c r="C3167" s="57"/>
      <c r="D3167" s="57"/>
      <c r="E3167" s="56"/>
      <c r="F3167" s="57"/>
      <c r="G3167" s="57"/>
      <c r="H3167" s="56"/>
      <c r="I3167" s="56"/>
      <c r="J3167" s="58"/>
      <c r="K3167" s="58"/>
      <c r="L3167" s="13" t="str">
        <f t="shared" si="490"/>
        <v/>
      </c>
      <c r="M3167" s="13" t="str">
        <f t="shared" si="491"/>
        <v/>
      </c>
      <c r="Q3167" t="str">
        <f t="shared" si="492"/>
        <v/>
      </c>
      <c r="R3167" t="str">
        <f t="shared" si="493"/>
        <v/>
      </c>
      <c r="S3167" t="str">
        <f t="shared" si="494"/>
        <v/>
      </c>
      <c r="T3167" t="str">
        <f t="shared" si="495"/>
        <v/>
      </c>
      <c r="U3167" t="str">
        <f t="shared" si="496"/>
        <v/>
      </c>
      <c r="V3167" t="str">
        <f t="shared" si="497"/>
        <v/>
      </c>
      <c r="W3167" t="str">
        <f t="shared" si="498"/>
        <v/>
      </c>
      <c r="X3167">
        <f>IF($T3167="",N($X3166),IF(MATCH($T3167,$T$6:$T$10005,0)=ROW()-5,N($X3166)+1,N($X3166)))</f>
        <v>0</v>
      </c>
      <c r="Z3167" t="str">
        <f t="shared" si="499"/>
        <v/>
      </c>
      <c r="AA3167">
        <f>IF($V3167="",N($AA3166),IF(MATCH($V3167,$V$6:$V$10005,0)=ROW()-5,N($AA3166)+1,N($AA3166)))</f>
        <v>0</v>
      </c>
    </row>
    <row r="3168" spans="1:27" ht="21" customHeight="1" x14ac:dyDescent="0.95">
      <c r="A3168" s="56"/>
      <c r="B3168" s="57"/>
      <c r="C3168" s="57"/>
      <c r="D3168" s="57"/>
      <c r="E3168" s="56"/>
      <c r="F3168" s="57"/>
      <c r="G3168" s="57"/>
      <c r="H3168" s="56"/>
      <c r="I3168" s="56"/>
      <c r="J3168" s="58"/>
      <c r="K3168" s="58"/>
      <c r="L3168" s="13" t="str">
        <f t="shared" si="490"/>
        <v/>
      </c>
      <c r="M3168" s="13" t="str">
        <f t="shared" si="491"/>
        <v/>
      </c>
      <c r="Q3168" t="str">
        <f t="shared" si="492"/>
        <v/>
      </c>
      <c r="R3168" t="str">
        <f t="shared" si="493"/>
        <v/>
      </c>
      <c r="S3168" t="str">
        <f t="shared" si="494"/>
        <v/>
      </c>
      <c r="T3168" t="str">
        <f t="shared" si="495"/>
        <v/>
      </c>
      <c r="U3168" t="str">
        <f t="shared" si="496"/>
        <v/>
      </c>
      <c r="V3168" t="str">
        <f t="shared" si="497"/>
        <v/>
      </c>
      <c r="W3168" t="str">
        <f t="shared" si="498"/>
        <v/>
      </c>
      <c r="X3168">
        <f>IF($T3168="",N($X3167),IF(MATCH($T3168,$T$6:$T$10005,0)=ROW()-5,N($X3167)+1,N($X3167)))</f>
        <v>0</v>
      </c>
      <c r="Z3168" t="str">
        <f t="shared" si="499"/>
        <v/>
      </c>
      <c r="AA3168">
        <f>IF($V3168="",N($AA3167),IF(MATCH($V3168,$V$6:$V$10005,0)=ROW()-5,N($AA3167)+1,N($AA3167)))</f>
        <v>0</v>
      </c>
    </row>
    <row r="3169" spans="1:27" ht="21" customHeight="1" x14ac:dyDescent="0.95">
      <c r="A3169" s="56"/>
      <c r="B3169" s="57"/>
      <c r="C3169" s="57"/>
      <c r="D3169" s="57"/>
      <c r="E3169" s="56"/>
      <c r="F3169" s="57"/>
      <c r="G3169" s="57"/>
      <c r="H3169" s="56"/>
      <c r="I3169" s="56"/>
      <c r="J3169" s="58"/>
      <c r="K3169" s="58"/>
      <c r="L3169" s="13" t="str">
        <f t="shared" si="490"/>
        <v/>
      </c>
      <c r="M3169" s="13" t="str">
        <f t="shared" si="491"/>
        <v/>
      </c>
      <c r="Q3169" t="str">
        <f t="shared" si="492"/>
        <v/>
      </c>
      <c r="R3169" t="str">
        <f t="shared" si="493"/>
        <v/>
      </c>
      <c r="S3169" t="str">
        <f t="shared" si="494"/>
        <v/>
      </c>
      <c r="T3169" t="str">
        <f t="shared" si="495"/>
        <v/>
      </c>
      <c r="U3169" t="str">
        <f t="shared" si="496"/>
        <v/>
      </c>
      <c r="V3169" t="str">
        <f t="shared" si="497"/>
        <v/>
      </c>
      <c r="W3169" t="str">
        <f t="shared" si="498"/>
        <v/>
      </c>
      <c r="X3169">
        <f>IF($T3169="",N($X3168),IF(MATCH($T3169,$T$6:$T$10005,0)=ROW()-5,N($X3168)+1,N($X3168)))</f>
        <v>0</v>
      </c>
      <c r="Z3169" t="str">
        <f t="shared" si="499"/>
        <v/>
      </c>
      <c r="AA3169">
        <f>IF($V3169="",N($AA3168),IF(MATCH($V3169,$V$6:$V$10005,0)=ROW()-5,N($AA3168)+1,N($AA3168)))</f>
        <v>0</v>
      </c>
    </row>
    <row r="3170" spans="1:27" ht="21" customHeight="1" x14ac:dyDescent="0.95">
      <c r="A3170" s="56"/>
      <c r="B3170" s="57"/>
      <c r="C3170" s="57"/>
      <c r="D3170" s="57"/>
      <c r="E3170" s="56"/>
      <c r="F3170" s="57"/>
      <c r="G3170" s="57"/>
      <c r="H3170" s="56"/>
      <c r="I3170" s="56"/>
      <c r="J3170" s="58"/>
      <c r="K3170" s="58"/>
      <c r="L3170" s="13" t="str">
        <f t="shared" si="490"/>
        <v/>
      </c>
      <c r="M3170" s="13" t="str">
        <f t="shared" si="491"/>
        <v/>
      </c>
      <c r="Q3170" t="str">
        <f t="shared" si="492"/>
        <v/>
      </c>
      <c r="R3170" t="str">
        <f t="shared" si="493"/>
        <v/>
      </c>
      <c r="S3170" t="str">
        <f t="shared" si="494"/>
        <v/>
      </c>
      <c r="T3170" t="str">
        <f t="shared" si="495"/>
        <v/>
      </c>
      <c r="U3170" t="str">
        <f t="shared" si="496"/>
        <v/>
      </c>
      <c r="V3170" t="str">
        <f t="shared" si="497"/>
        <v/>
      </c>
      <c r="W3170" t="str">
        <f t="shared" si="498"/>
        <v/>
      </c>
      <c r="X3170">
        <f>IF($T3170="",N($X3169),IF(MATCH($T3170,$T$6:$T$10005,0)=ROW()-5,N($X3169)+1,N($X3169)))</f>
        <v>0</v>
      </c>
      <c r="Z3170" t="str">
        <f t="shared" si="499"/>
        <v/>
      </c>
      <c r="AA3170">
        <f>IF($V3170="",N($AA3169),IF(MATCH($V3170,$V$6:$V$10005,0)=ROW()-5,N($AA3169)+1,N($AA3169)))</f>
        <v>0</v>
      </c>
    </row>
    <row r="3171" spans="1:27" ht="21" customHeight="1" x14ac:dyDescent="0.95">
      <c r="A3171" s="56"/>
      <c r="B3171" s="57"/>
      <c r="C3171" s="57"/>
      <c r="D3171" s="57"/>
      <c r="E3171" s="56"/>
      <c r="F3171" s="57"/>
      <c r="G3171" s="57"/>
      <c r="H3171" s="56"/>
      <c r="I3171" s="56"/>
      <c r="J3171" s="58"/>
      <c r="K3171" s="58"/>
      <c r="L3171" s="13" t="str">
        <f t="shared" si="490"/>
        <v/>
      </c>
      <c r="M3171" s="13" t="str">
        <f t="shared" si="491"/>
        <v/>
      </c>
      <c r="Q3171" t="str">
        <f t="shared" si="492"/>
        <v/>
      </c>
      <c r="R3171" t="str">
        <f t="shared" si="493"/>
        <v/>
      </c>
      <c r="S3171" t="str">
        <f t="shared" si="494"/>
        <v/>
      </c>
      <c r="T3171" t="str">
        <f t="shared" si="495"/>
        <v/>
      </c>
      <c r="U3171" t="str">
        <f t="shared" si="496"/>
        <v/>
      </c>
      <c r="V3171" t="str">
        <f t="shared" si="497"/>
        <v/>
      </c>
      <c r="W3171" t="str">
        <f t="shared" si="498"/>
        <v/>
      </c>
      <c r="X3171">
        <f>IF($T3171="",N($X3170),IF(MATCH($T3171,$T$6:$T$10005,0)=ROW()-5,N($X3170)+1,N($X3170)))</f>
        <v>0</v>
      </c>
      <c r="Z3171" t="str">
        <f t="shared" si="499"/>
        <v/>
      </c>
      <c r="AA3171">
        <f>IF($V3171="",N($AA3170),IF(MATCH($V3171,$V$6:$V$10005,0)=ROW()-5,N($AA3170)+1,N($AA3170)))</f>
        <v>0</v>
      </c>
    </row>
    <row r="3172" spans="1:27" ht="21" customHeight="1" x14ac:dyDescent="0.95">
      <c r="A3172" s="56"/>
      <c r="B3172" s="57"/>
      <c r="C3172" s="57"/>
      <c r="D3172" s="57"/>
      <c r="E3172" s="56"/>
      <c r="F3172" s="57"/>
      <c r="G3172" s="57"/>
      <c r="H3172" s="56"/>
      <c r="I3172" s="56"/>
      <c r="J3172" s="58"/>
      <c r="K3172" s="58"/>
      <c r="L3172" s="13" t="str">
        <f t="shared" si="490"/>
        <v/>
      </c>
      <c r="M3172" s="13" t="str">
        <f t="shared" si="491"/>
        <v/>
      </c>
      <c r="Q3172" t="str">
        <f t="shared" si="492"/>
        <v/>
      </c>
      <c r="R3172" t="str">
        <f t="shared" si="493"/>
        <v/>
      </c>
      <c r="S3172" t="str">
        <f t="shared" si="494"/>
        <v/>
      </c>
      <c r="T3172" t="str">
        <f t="shared" si="495"/>
        <v/>
      </c>
      <c r="U3172" t="str">
        <f t="shared" si="496"/>
        <v/>
      </c>
      <c r="V3172" t="str">
        <f t="shared" si="497"/>
        <v/>
      </c>
      <c r="W3172" t="str">
        <f t="shared" si="498"/>
        <v/>
      </c>
      <c r="X3172">
        <f>IF($T3172="",N($X3171),IF(MATCH($T3172,$T$6:$T$10005,0)=ROW()-5,N($X3171)+1,N($X3171)))</f>
        <v>0</v>
      </c>
      <c r="Z3172" t="str">
        <f t="shared" si="499"/>
        <v/>
      </c>
      <c r="AA3172">
        <f>IF($V3172="",N($AA3171),IF(MATCH($V3172,$V$6:$V$10005,0)=ROW()-5,N($AA3171)+1,N($AA3171)))</f>
        <v>0</v>
      </c>
    </row>
    <row r="3173" spans="1:27" ht="21" customHeight="1" x14ac:dyDescent="0.95">
      <c r="A3173" s="56"/>
      <c r="B3173" s="57"/>
      <c r="C3173" s="57"/>
      <c r="D3173" s="57"/>
      <c r="E3173" s="56"/>
      <c r="F3173" s="57"/>
      <c r="G3173" s="57"/>
      <c r="H3173" s="56"/>
      <c r="I3173" s="56"/>
      <c r="J3173" s="58"/>
      <c r="K3173" s="58"/>
      <c r="L3173" s="13" t="str">
        <f t="shared" si="490"/>
        <v/>
      </c>
      <c r="M3173" s="13" t="str">
        <f t="shared" si="491"/>
        <v/>
      </c>
      <c r="Q3173" t="str">
        <f t="shared" si="492"/>
        <v/>
      </c>
      <c r="R3173" t="str">
        <f t="shared" si="493"/>
        <v/>
      </c>
      <c r="S3173" t="str">
        <f t="shared" si="494"/>
        <v/>
      </c>
      <c r="T3173" t="str">
        <f t="shared" si="495"/>
        <v/>
      </c>
      <c r="U3173" t="str">
        <f t="shared" si="496"/>
        <v/>
      </c>
      <c r="V3173" t="str">
        <f t="shared" si="497"/>
        <v/>
      </c>
      <c r="W3173" t="str">
        <f t="shared" si="498"/>
        <v/>
      </c>
      <c r="X3173">
        <f>IF($T3173="",N($X3172),IF(MATCH($T3173,$T$6:$T$10005,0)=ROW()-5,N($X3172)+1,N($X3172)))</f>
        <v>0</v>
      </c>
      <c r="Z3173" t="str">
        <f t="shared" si="499"/>
        <v/>
      </c>
      <c r="AA3173">
        <f>IF($V3173="",N($AA3172),IF(MATCH($V3173,$V$6:$V$10005,0)=ROW()-5,N($AA3172)+1,N($AA3172)))</f>
        <v>0</v>
      </c>
    </row>
    <row r="3174" spans="1:27" ht="21" customHeight="1" x14ac:dyDescent="0.95">
      <c r="A3174" s="56"/>
      <c r="B3174" s="57"/>
      <c r="C3174" s="57"/>
      <c r="D3174" s="57"/>
      <c r="E3174" s="56"/>
      <c r="F3174" s="57"/>
      <c r="G3174" s="57"/>
      <c r="H3174" s="56"/>
      <c r="I3174" s="56"/>
      <c r="J3174" s="58"/>
      <c r="K3174" s="58"/>
      <c r="L3174" s="13" t="str">
        <f t="shared" si="490"/>
        <v/>
      </c>
      <c r="M3174" s="13" t="str">
        <f t="shared" si="491"/>
        <v/>
      </c>
      <c r="Q3174" t="str">
        <f t="shared" si="492"/>
        <v/>
      </c>
      <c r="R3174" t="str">
        <f t="shared" si="493"/>
        <v/>
      </c>
      <c r="S3174" t="str">
        <f t="shared" si="494"/>
        <v/>
      </c>
      <c r="T3174" t="str">
        <f t="shared" si="495"/>
        <v/>
      </c>
      <c r="U3174" t="str">
        <f t="shared" si="496"/>
        <v/>
      </c>
      <c r="V3174" t="str">
        <f t="shared" si="497"/>
        <v/>
      </c>
      <c r="W3174" t="str">
        <f t="shared" si="498"/>
        <v/>
      </c>
      <c r="X3174">
        <f>IF($T3174="",N($X3173),IF(MATCH($T3174,$T$6:$T$10005,0)=ROW()-5,N($X3173)+1,N($X3173)))</f>
        <v>0</v>
      </c>
      <c r="Z3174" t="str">
        <f t="shared" si="499"/>
        <v/>
      </c>
      <c r="AA3174">
        <f>IF($V3174="",N($AA3173),IF(MATCH($V3174,$V$6:$V$10005,0)=ROW()-5,N($AA3173)+1,N($AA3173)))</f>
        <v>0</v>
      </c>
    </row>
    <row r="3175" spans="1:27" ht="21" customHeight="1" x14ac:dyDescent="0.95">
      <c r="A3175" s="56"/>
      <c r="B3175" s="57"/>
      <c r="C3175" s="57"/>
      <c r="D3175" s="57"/>
      <c r="E3175" s="56"/>
      <c r="F3175" s="57"/>
      <c r="G3175" s="57"/>
      <c r="H3175" s="56"/>
      <c r="I3175" s="56"/>
      <c r="J3175" s="58"/>
      <c r="K3175" s="58"/>
      <c r="L3175" s="13" t="str">
        <f t="shared" si="490"/>
        <v/>
      </c>
      <c r="M3175" s="13" t="str">
        <f t="shared" si="491"/>
        <v/>
      </c>
      <c r="Q3175" t="str">
        <f t="shared" si="492"/>
        <v/>
      </c>
      <c r="R3175" t="str">
        <f t="shared" si="493"/>
        <v/>
      </c>
      <c r="S3175" t="str">
        <f t="shared" si="494"/>
        <v/>
      </c>
      <c r="T3175" t="str">
        <f t="shared" si="495"/>
        <v/>
      </c>
      <c r="U3175" t="str">
        <f t="shared" si="496"/>
        <v/>
      </c>
      <c r="V3175" t="str">
        <f t="shared" si="497"/>
        <v/>
      </c>
      <c r="W3175" t="str">
        <f t="shared" si="498"/>
        <v/>
      </c>
      <c r="X3175">
        <f>IF($T3175="",N($X3174),IF(MATCH($T3175,$T$6:$T$10005,0)=ROW()-5,N($X3174)+1,N($X3174)))</f>
        <v>0</v>
      </c>
      <c r="Z3175" t="str">
        <f t="shared" si="499"/>
        <v/>
      </c>
      <c r="AA3175">
        <f>IF($V3175="",N($AA3174),IF(MATCH($V3175,$V$6:$V$10005,0)=ROW()-5,N($AA3174)+1,N($AA3174)))</f>
        <v>0</v>
      </c>
    </row>
    <row r="3176" spans="1:27" ht="21" customHeight="1" x14ac:dyDescent="0.95">
      <c r="A3176" s="56"/>
      <c r="B3176" s="57"/>
      <c r="C3176" s="57"/>
      <c r="D3176" s="57"/>
      <c r="E3176" s="56"/>
      <c r="F3176" s="57"/>
      <c r="G3176" s="57"/>
      <c r="H3176" s="56"/>
      <c r="I3176" s="56"/>
      <c r="J3176" s="58"/>
      <c r="K3176" s="58"/>
      <c r="L3176" s="13" t="str">
        <f t="shared" si="490"/>
        <v/>
      </c>
      <c r="M3176" s="13" t="str">
        <f t="shared" si="491"/>
        <v/>
      </c>
      <c r="Q3176" t="str">
        <f t="shared" si="492"/>
        <v/>
      </c>
      <c r="R3176" t="str">
        <f t="shared" si="493"/>
        <v/>
      </c>
      <c r="S3176" t="str">
        <f t="shared" si="494"/>
        <v/>
      </c>
      <c r="T3176" t="str">
        <f t="shared" si="495"/>
        <v/>
      </c>
      <c r="U3176" t="str">
        <f t="shared" si="496"/>
        <v/>
      </c>
      <c r="V3176" t="str">
        <f t="shared" si="497"/>
        <v/>
      </c>
      <c r="W3176" t="str">
        <f t="shared" si="498"/>
        <v/>
      </c>
      <c r="X3176">
        <f>IF($T3176="",N($X3175),IF(MATCH($T3176,$T$6:$T$10005,0)=ROW()-5,N($X3175)+1,N($X3175)))</f>
        <v>0</v>
      </c>
      <c r="Z3176" t="str">
        <f t="shared" si="499"/>
        <v/>
      </c>
      <c r="AA3176">
        <f>IF($V3176="",N($AA3175),IF(MATCH($V3176,$V$6:$V$10005,0)=ROW()-5,N($AA3175)+1,N($AA3175)))</f>
        <v>0</v>
      </c>
    </row>
    <row r="3177" spans="1:27" ht="21" customHeight="1" x14ac:dyDescent="0.95">
      <c r="A3177" s="56"/>
      <c r="B3177" s="57"/>
      <c r="C3177" s="57"/>
      <c r="D3177" s="57"/>
      <c r="E3177" s="56"/>
      <c r="F3177" s="57"/>
      <c r="G3177" s="57"/>
      <c r="H3177" s="56"/>
      <c r="I3177" s="56"/>
      <c r="J3177" s="58"/>
      <c r="K3177" s="58"/>
      <c r="L3177" s="13" t="str">
        <f t="shared" si="490"/>
        <v/>
      </c>
      <c r="M3177" s="13" t="str">
        <f t="shared" si="491"/>
        <v/>
      </c>
      <c r="Q3177" t="str">
        <f t="shared" si="492"/>
        <v/>
      </c>
      <c r="R3177" t="str">
        <f t="shared" si="493"/>
        <v/>
      </c>
      <c r="S3177" t="str">
        <f t="shared" si="494"/>
        <v/>
      </c>
      <c r="T3177" t="str">
        <f t="shared" si="495"/>
        <v/>
      </c>
      <c r="U3177" t="str">
        <f t="shared" si="496"/>
        <v/>
      </c>
      <c r="V3177" t="str">
        <f t="shared" si="497"/>
        <v/>
      </c>
      <c r="W3177" t="str">
        <f t="shared" si="498"/>
        <v/>
      </c>
      <c r="X3177">
        <f>IF($T3177="",N($X3176),IF(MATCH($T3177,$T$6:$T$10005,0)=ROW()-5,N($X3176)+1,N($X3176)))</f>
        <v>0</v>
      </c>
      <c r="Z3177" t="str">
        <f t="shared" si="499"/>
        <v/>
      </c>
      <c r="AA3177">
        <f>IF($V3177="",N($AA3176),IF(MATCH($V3177,$V$6:$V$10005,0)=ROW()-5,N($AA3176)+1,N($AA3176)))</f>
        <v>0</v>
      </c>
    </row>
    <row r="3178" spans="1:27" ht="21" customHeight="1" x14ac:dyDescent="0.95">
      <c r="A3178" s="56"/>
      <c r="B3178" s="57"/>
      <c r="C3178" s="57"/>
      <c r="D3178" s="57"/>
      <c r="E3178" s="56"/>
      <c r="F3178" s="57"/>
      <c r="G3178" s="57"/>
      <c r="H3178" s="56"/>
      <c r="I3178" s="56"/>
      <c r="J3178" s="58"/>
      <c r="K3178" s="58"/>
      <c r="L3178" s="13" t="str">
        <f t="shared" si="490"/>
        <v/>
      </c>
      <c r="M3178" s="13" t="str">
        <f t="shared" si="491"/>
        <v/>
      </c>
      <c r="Q3178" t="str">
        <f t="shared" si="492"/>
        <v/>
      </c>
      <c r="R3178" t="str">
        <f t="shared" si="493"/>
        <v/>
      </c>
      <c r="S3178" t="str">
        <f t="shared" si="494"/>
        <v/>
      </c>
      <c r="T3178" t="str">
        <f t="shared" si="495"/>
        <v/>
      </c>
      <c r="U3178" t="str">
        <f t="shared" si="496"/>
        <v/>
      </c>
      <c r="V3178" t="str">
        <f t="shared" si="497"/>
        <v/>
      </c>
      <c r="W3178" t="str">
        <f t="shared" si="498"/>
        <v/>
      </c>
      <c r="X3178">
        <f>IF($T3178="",N($X3177),IF(MATCH($T3178,$T$6:$T$10005,0)=ROW()-5,N($X3177)+1,N($X3177)))</f>
        <v>0</v>
      </c>
      <c r="Z3178" t="str">
        <f t="shared" si="499"/>
        <v/>
      </c>
      <c r="AA3178">
        <f>IF($V3178="",N($AA3177),IF(MATCH($V3178,$V$6:$V$10005,0)=ROW()-5,N($AA3177)+1,N($AA3177)))</f>
        <v>0</v>
      </c>
    </row>
    <row r="3179" spans="1:27" ht="21" customHeight="1" x14ac:dyDescent="0.95">
      <c r="A3179" s="56"/>
      <c r="B3179" s="57"/>
      <c r="C3179" s="57"/>
      <c r="D3179" s="57"/>
      <c r="E3179" s="56"/>
      <c r="F3179" s="57"/>
      <c r="G3179" s="57"/>
      <c r="H3179" s="56"/>
      <c r="I3179" s="56"/>
      <c r="J3179" s="58"/>
      <c r="K3179" s="58"/>
      <c r="L3179" s="13" t="str">
        <f t="shared" si="490"/>
        <v/>
      </c>
      <c r="M3179" s="13" t="str">
        <f t="shared" si="491"/>
        <v/>
      </c>
      <c r="Q3179" t="str">
        <f t="shared" si="492"/>
        <v/>
      </c>
      <c r="R3179" t="str">
        <f t="shared" si="493"/>
        <v/>
      </c>
      <c r="S3179" t="str">
        <f t="shared" si="494"/>
        <v/>
      </c>
      <c r="T3179" t="str">
        <f t="shared" si="495"/>
        <v/>
      </c>
      <c r="U3179" t="str">
        <f t="shared" si="496"/>
        <v/>
      </c>
      <c r="V3179" t="str">
        <f t="shared" si="497"/>
        <v/>
      </c>
      <c r="W3179" t="str">
        <f t="shared" si="498"/>
        <v/>
      </c>
      <c r="X3179">
        <f>IF($T3179="",N($X3178),IF(MATCH($T3179,$T$6:$T$10005,0)=ROW()-5,N($X3178)+1,N($X3178)))</f>
        <v>0</v>
      </c>
      <c r="Z3179" t="str">
        <f t="shared" si="499"/>
        <v/>
      </c>
      <c r="AA3179">
        <f>IF($V3179="",N($AA3178),IF(MATCH($V3179,$V$6:$V$10005,0)=ROW()-5,N($AA3178)+1,N($AA3178)))</f>
        <v>0</v>
      </c>
    </row>
    <row r="3180" spans="1:27" ht="21" customHeight="1" x14ac:dyDescent="0.95">
      <c r="A3180" s="56"/>
      <c r="B3180" s="57"/>
      <c r="C3180" s="57"/>
      <c r="D3180" s="57"/>
      <c r="E3180" s="56"/>
      <c r="F3180" s="57"/>
      <c r="G3180" s="57"/>
      <c r="H3180" s="56"/>
      <c r="I3180" s="56"/>
      <c r="J3180" s="58"/>
      <c r="K3180" s="58"/>
      <c r="L3180" s="13" t="str">
        <f t="shared" si="490"/>
        <v/>
      </c>
      <c r="M3180" s="13" t="str">
        <f t="shared" si="491"/>
        <v/>
      </c>
      <c r="Q3180" t="str">
        <f t="shared" si="492"/>
        <v/>
      </c>
      <c r="R3180" t="str">
        <f t="shared" si="493"/>
        <v/>
      </c>
      <c r="S3180" t="str">
        <f t="shared" si="494"/>
        <v/>
      </c>
      <c r="T3180" t="str">
        <f t="shared" si="495"/>
        <v/>
      </c>
      <c r="U3180" t="str">
        <f t="shared" si="496"/>
        <v/>
      </c>
      <c r="V3180" t="str">
        <f t="shared" si="497"/>
        <v/>
      </c>
      <c r="W3180" t="str">
        <f t="shared" si="498"/>
        <v/>
      </c>
      <c r="X3180">
        <f>IF($T3180="",N($X3179),IF(MATCH($T3180,$T$6:$T$10005,0)=ROW()-5,N($X3179)+1,N($X3179)))</f>
        <v>0</v>
      </c>
      <c r="Z3180" t="str">
        <f t="shared" si="499"/>
        <v/>
      </c>
      <c r="AA3180">
        <f>IF($V3180="",N($AA3179),IF(MATCH($V3180,$V$6:$V$10005,0)=ROW()-5,N($AA3179)+1,N($AA3179)))</f>
        <v>0</v>
      </c>
    </row>
    <row r="3181" spans="1:27" ht="21" customHeight="1" x14ac:dyDescent="0.95">
      <c r="A3181" s="56"/>
      <c r="B3181" s="57"/>
      <c r="C3181" s="57"/>
      <c r="D3181" s="57"/>
      <c r="E3181" s="56"/>
      <c r="F3181" s="57"/>
      <c r="G3181" s="57"/>
      <c r="H3181" s="56"/>
      <c r="I3181" s="56"/>
      <c r="J3181" s="58"/>
      <c r="K3181" s="58"/>
      <c r="L3181" s="13" t="str">
        <f t="shared" si="490"/>
        <v/>
      </c>
      <c r="M3181" s="13" t="str">
        <f t="shared" si="491"/>
        <v/>
      </c>
      <c r="Q3181" t="str">
        <f t="shared" si="492"/>
        <v/>
      </c>
      <c r="R3181" t="str">
        <f t="shared" si="493"/>
        <v/>
      </c>
      <c r="S3181" t="str">
        <f t="shared" si="494"/>
        <v/>
      </c>
      <c r="T3181" t="str">
        <f t="shared" si="495"/>
        <v/>
      </c>
      <c r="U3181" t="str">
        <f t="shared" si="496"/>
        <v/>
      </c>
      <c r="V3181" t="str">
        <f t="shared" si="497"/>
        <v/>
      </c>
      <c r="W3181" t="str">
        <f t="shared" si="498"/>
        <v/>
      </c>
      <c r="X3181">
        <f>IF($T3181="",N($X3180),IF(MATCH($T3181,$T$6:$T$10005,0)=ROW()-5,N($X3180)+1,N($X3180)))</f>
        <v>0</v>
      </c>
      <c r="Z3181" t="str">
        <f t="shared" si="499"/>
        <v/>
      </c>
      <c r="AA3181">
        <f>IF($V3181="",N($AA3180),IF(MATCH($V3181,$V$6:$V$10005,0)=ROW()-5,N($AA3180)+1,N($AA3180)))</f>
        <v>0</v>
      </c>
    </row>
    <row r="3182" spans="1:27" ht="21" customHeight="1" x14ac:dyDescent="0.95">
      <c r="A3182" s="56"/>
      <c r="B3182" s="57"/>
      <c r="C3182" s="57"/>
      <c r="D3182" s="57"/>
      <c r="E3182" s="56"/>
      <c r="F3182" s="57"/>
      <c r="G3182" s="57"/>
      <c r="H3182" s="56"/>
      <c r="I3182" s="56"/>
      <c r="J3182" s="58"/>
      <c r="K3182" s="58"/>
      <c r="L3182" s="13" t="str">
        <f t="shared" si="490"/>
        <v/>
      </c>
      <c r="M3182" s="13" t="str">
        <f t="shared" si="491"/>
        <v/>
      </c>
      <c r="Q3182" t="str">
        <f t="shared" si="492"/>
        <v/>
      </c>
      <c r="R3182" t="str">
        <f t="shared" si="493"/>
        <v/>
      </c>
      <c r="S3182" t="str">
        <f t="shared" si="494"/>
        <v/>
      </c>
      <c r="T3182" t="str">
        <f t="shared" si="495"/>
        <v/>
      </c>
      <c r="U3182" t="str">
        <f t="shared" si="496"/>
        <v/>
      </c>
      <c r="V3182" t="str">
        <f t="shared" si="497"/>
        <v/>
      </c>
      <c r="W3182" t="str">
        <f t="shared" si="498"/>
        <v/>
      </c>
      <c r="X3182">
        <f>IF($T3182="",N($X3181),IF(MATCH($T3182,$T$6:$T$10005,0)=ROW()-5,N($X3181)+1,N($X3181)))</f>
        <v>0</v>
      </c>
      <c r="Z3182" t="str">
        <f t="shared" si="499"/>
        <v/>
      </c>
      <c r="AA3182">
        <f>IF($V3182="",N($AA3181),IF(MATCH($V3182,$V$6:$V$10005,0)=ROW()-5,N($AA3181)+1,N($AA3181)))</f>
        <v>0</v>
      </c>
    </row>
    <row r="3183" spans="1:27" ht="21" customHeight="1" x14ac:dyDescent="0.95">
      <c r="A3183" s="56"/>
      <c r="B3183" s="57"/>
      <c r="C3183" s="57"/>
      <c r="D3183" s="57"/>
      <c r="E3183" s="56"/>
      <c r="F3183" s="57"/>
      <c r="G3183" s="57"/>
      <c r="H3183" s="56"/>
      <c r="I3183" s="56"/>
      <c r="J3183" s="58"/>
      <c r="K3183" s="58"/>
      <c r="L3183" s="13" t="str">
        <f t="shared" si="490"/>
        <v/>
      </c>
      <c r="M3183" s="13" t="str">
        <f t="shared" si="491"/>
        <v/>
      </c>
      <c r="Q3183" t="str">
        <f t="shared" si="492"/>
        <v/>
      </c>
      <c r="R3183" t="str">
        <f t="shared" si="493"/>
        <v/>
      </c>
      <c r="S3183" t="str">
        <f t="shared" si="494"/>
        <v/>
      </c>
      <c r="T3183" t="str">
        <f t="shared" si="495"/>
        <v/>
      </c>
      <c r="U3183" t="str">
        <f t="shared" si="496"/>
        <v/>
      </c>
      <c r="V3183" t="str">
        <f t="shared" si="497"/>
        <v/>
      </c>
      <c r="W3183" t="str">
        <f t="shared" si="498"/>
        <v/>
      </c>
      <c r="X3183">
        <f>IF($T3183="",N($X3182),IF(MATCH($T3183,$T$6:$T$10005,0)=ROW()-5,N($X3182)+1,N($X3182)))</f>
        <v>0</v>
      </c>
      <c r="Z3183" t="str">
        <f t="shared" si="499"/>
        <v/>
      </c>
      <c r="AA3183">
        <f>IF($V3183="",N($AA3182),IF(MATCH($V3183,$V$6:$V$10005,0)=ROW()-5,N($AA3182)+1,N($AA3182)))</f>
        <v>0</v>
      </c>
    </row>
    <row r="3184" spans="1:27" ht="21" customHeight="1" x14ac:dyDescent="0.95">
      <c r="A3184" s="56"/>
      <c r="B3184" s="57"/>
      <c r="C3184" s="57"/>
      <c r="D3184" s="57"/>
      <c r="E3184" s="56"/>
      <c r="F3184" s="57"/>
      <c r="G3184" s="57"/>
      <c r="H3184" s="56"/>
      <c r="I3184" s="56"/>
      <c r="J3184" s="58"/>
      <c r="K3184" s="58"/>
      <c r="L3184" s="13" t="str">
        <f t="shared" si="490"/>
        <v/>
      </c>
      <c r="M3184" s="13" t="str">
        <f t="shared" si="491"/>
        <v/>
      </c>
      <c r="Q3184" t="str">
        <f t="shared" si="492"/>
        <v/>
      </c>
      <c r="R3184" t="str">
        <f t="shared" si="493"/>
        <v/>
      </c>
      <c r="S3184" t="str">
        <f t="shared" si="494"/>
        <v/>
      </c>
      <c r="T3184" t="str">
        <f t="shared" si="495"/>
        <v/>
      </c>
      <c r="U3184" t="str">
        <f t="shared" si="496"/>
        <v/>
      </c>
      <c r="V3184" t="str">
        <f t="shared" si="497"/>
        <v/>
      </c>
      <c r="W3184" t="str">
        <f t="shared" si="498"/>
        <v/>
      </c>
      <c r="X3184">
        <f>IF($T3184="",N($X3183),IF(MATCH($T3184,$T$6:$T$10005,0)=ROW()-5,N($X3183)+1,N($X3183)))</f>
        <v>0</v>
      </c>
      <c r="Z3184" t="str">
        <f t="shared" si="499"/>
        <v/>
      </c>
      <c r="AA3184">
        <f>IF($V3184="",N($AA3183),IF(MATCH($V3184,$V$6:$V$10005,0)=ROW()-5,N($AA3183)+1,N($AA3183)))</f>
        <v>0</v>
      </c>
    </row>
    <row r="3185" spans="1:27" ht="21" customHeight="1" x14ac:dyDescent="0.95">
      <c r="A3185" s="56"/>
      <c r="B3185" s="57"/>
      <c r="C3185" s="57"/>
      <c r="D3185" s="57"/>
      <c r="E3185" s="56"/>
      <c r="F3185" s="57"/>
      <c r="G3185" s="57"/>
      <c r="H3185" s="56"/>
      <c r="I3185" s="56"/>
      <c r="J3185" s="58"/>
      <c r="K3185" s="58"/>
      <c r="L3185" s="13" t="str">
        <f t="shared" si="490"/>
        <v/>
      </c>
      <c r="M3185" s="13" t="str">
        <f t="shared" si="491"/>
        <v/>
      </c>
      <c r="Q3185" t="str">
        <f t="shared" si="492"/>
        <v/>
      </c>
      <c r="R3185" t="str">
        <f t="shared" si="493"/>
        <v/>
      </c>
      <c r="S3185" t="str">
        <f t="shared" si="494"/>
        <v/>
      </c>
      <c r="T3185" t="str">
        <f t="shared" si="495"/>
        <v/>
      </c>
      <c r="U3185" t="str">
        <f t="shared" si="496"/>
        <v/>
      </c>
      <c r="V3185" t="str">
        <f t="shared" si="497"/>
        <v/>
      </c>
      <c r="W3185" t="str">
        <f t="shared" si="498"/>
        <v/>
      </c>
      <c r="X3185">
        <f>IF($T3185="",N($X3184),IF(MATCH($T3185,$T$6:$T$10005,0)=ROW()-5,N($X3184)+1,N($X3184)))</f>
        <v>0</v>
      </c>
      <c r="Z3185" t="str">
        <f t="shared" si="499"/>
        <v/>
      </c>
      <c r="AA3185">
        <f>IF($V3185="",N($AA3184),IF(MATCH($V3185,$V$6:$V$10005,0)=ROW()-5,N($AA3184)+1,N($AA3184)))</f>
        <v>0</v>
      </c>
    </row>
    <row r="3186" spans="1:27" ht="21" customHeight="1" x14ac:dyDescent="0.95">
      <c r="A3186" s="56"/>
      <c r="B3186" s="57"/>
      <c r="C3186" s="57"/>
      <c r="D3186" s="57"/>
      <c r="E3186" s="56"/>
      <c r="F3186" s="57"/>
      <c r="G3186" s="57"/>
      <c r="H3186" s="56"/>
      <c r="I3186" s="56"/>
      <c r="J3186" s="58"/>
      <c r="K3186" s="58"/>
      <c r="L3186" s="13" t="str">
        <f t="shared" si="490"/>
        <v/>
      </c>
      <c r="M3186" s="13" t="str">
        <f t="shared" si="491"/>
        <v/>
      </c>
      <c r="Q3186" t="str">
        <f t="shared" si="492"/>
        <v/>
      </c>
      <c r="R3186" t="str">
        <f t="shared" si="493"/>
        <v/>
      </c>
      <c r="S3186" t="str">
        <f t="shared" si="494"/>
        <v/>
      </c>
      <c r="T3186" t="str">
        <f t="shared" si="495"/>
        <v/>
      </c>
      <c r="U3186" t="str">
        <f t="shared" si="496"/>
        <v/>
      </c>
      <c r="V3186" t="str">
        <f t="shared" si="497"/>
        <v/>
      </c>
      <c r="W3186" t="str">
        <f t="shared" si="498"/>
        <v/>
      </c>
      <c r="X3186">
        <f>IF($T3186="",N($X3185),IF(MATCH($T3186,$T$6:$T$10005,0)=ROW()-5,N($X3185)+1,N($X3185)))</f>
        <v>0</v>
      </c>
      <c r="Z3186" t="str">
        <f t="shared" si="499"/>
        <v/>
      </c>
      <c r="AA3186">
        <f>IF($V3186="",N($AA3185),IF(MATCH($V3186,$V$6:$V$10005,0)=ROW()-5,N($AA3185)+1,N($AA3185)))</f>
        <v>0</v>
      </c>
    </row>
    <row r="3187" spans="1:27" ht="21" customHeight="1" x14ac:dyDescent="0.95">
      <c r="A3187" s="56"/>
      <c r="B3187" s="57"/>
      <c r="C3187" s="57"/>
      <c r="D3187" s="57"/>
      <c r="E3187" s="56"/>
      <c r="F3187" s="57"/>
      <c r="G3187" s="57"/>
      <c r="H3187" s="56"/>
      <c r="I3187" s="56"/>
      <c r="J3187" s="58"/>
      <c r="K3187" s="58"/>
      <c r="L3187" s="13" t="str">
        <f t="shared" si="490"/>
        <v/>
      </c>
      <c r="M3187" s="13" t="str">
        <f t="shared" si="491"/>
        <v/>
      </c>
      <c r="Q3187" t="str">
        <f t="shared" si="492"/>
        <v/>
      </c>
      <c r="R3187" t="str">
        <f t="shared" si="493"/>
        <v/>
      </c>
      <c r="S3187" t="str">
        <f t="shared" si="494"/>
        <v/>
      </c>
      <c r="T3187" t="str">
        <f t="shared" si="495"/>
        <v/>
      </c>
      <c r="U3187" t="str">
        <f t="shared" si="496"/>
        <v/>
      </c>
      <c r="V3187" t="str">
        <f t="shared" si="497"/>
        <v/>
      </c>
      <c r="W3187" t="str">
        <f t="shared" si="498"/>
        <v/>
      </c>
      <c r="X3187">
        <f>IF($T3187="",N($X3186),IF(MATCH($T3187,$T$6:$T$10005,0)=ROW()-5,N($X3186)+1,N($X3186)))</f>
        <v>0</v>
      </c>
      <c r="Z3187" t="str">
        <f t="shared" si="499"/>
        <v/>
      </c>
      <c r="AA3187">
        <f>IF($V3187="",N($AA3186),IF(MATCH($V3187,$V$6:$V$10005,0)=ROW()-5,N($AA3186)+1,N($AA3186)))</f>
        <v>0</v>
      </c>
    </row>
    <row r="3188" spans="1:27" ht="21" customHeight="1" x14ac:dyDescent="0.95">
      <c r="A3188" s="56"/>
      <c r="B3188" s="57"/>
      <c r="C3188" s="57"/>
      <c r="D3188" s="57"/>
      <c r="E3188" s="56"/>
      <c r="F3188" s="57"/>
      <c r="G3188" s="57"/>
      <c r="H3188" s="56"/>
      <c r="I3188" s="56"/>
      <c r="J3188" s="58"/>
      <c r="K3188" s="58"/>
      <c r="L3188" s="13" t="str">
        <f t="shared" si="490"/>
        <v/>
      </c>
      <c r="M3188" s="13" t="str">
        <f t="shared" si="491"/>
        <v/>
      </c>
      <c r="Q3188" t="str">
        <f t="shared" si="492"/>
        <v/>
      </c>
      <c r="R3188" t="str">
        <f t="shared" si="493"/>
        <v/>
      </c>
      <c r="S3188" t="str">
        <f t="shared" si="494"/>
        <v/>
      </c>
      <c r="T3188" t="str">
        <f t="shared" si="495"/>
        <v/>
      </c>
      <c r="U3188" t="str">
        <f t="shared" si="496"/>
        <v/>
      </c>
      <c r="V3188" t="str">
        <f t="shared" si="497"/>
        <v/>
      </c>
      <c r="W3188" t="str">
        <f t="shared" si="498"/>
        <v/>
      </c>
      <c r="X3188">
        <f>IF($T3188="",N($X3187),IF(MATCH($T3188,$T$6:$T$10005,0)=ROW()-5,N($X3187)+1,N($X3187)))</f>
        <v>0</v>
      </c>
      <c r="Z3188" t="str">
        <f t="shared" si="499"/>
        <v/>
      </c>
      <c r="AA3188">
        <f>IF($V3188="",N($AA3187),IF(MATCH($V3188,$V$6:$V$10005,0)=ROW()-5,N($AA3187)+1,N($AA3187)))</f>
        <v>0</v>
      </c>
    </row>
    <row r="3189" spans="1:27" ht="21" customHeight="1" x14ac:dyDescent="0.95">
      <c r="A3189" s="56"/>
      <c r="B3189" s="57"/>
      <c r="C3189" s="57"/>
      <c r="D3189" s="57"/>
      <c r="E3189" s="56"/>
      <c r="F3189" s="57"/>
      <c r="G3189" s="57"/>
      <c r="H3189" s="56"/>
      <c r="I3189" s="56"/>
      <c r="J3189" s="58"/>
      <c r="K3189" s="58"/>
      <c r="L3189" s="13" t="str">
        <f t="shared" si="490"/>
        <v/>
      </c>
      <c r="M3189" s="13" t="str">
        <f t="shared" si="491"/>
        <v/>
      </c>
      <c r="Q3189" t="str">
        <f t="shared" si="492"/>
        <v/>
      </c>
      <c r="R3189" t="str">
        <f t="shared" si="493"/>
        <v/>
      </c>
      <c r="S3189" t="str">
        <f t="shared" si="494"/>
        <v/>
      </c>
      <c r="T3189" t="str">
        <f t="shared" si="495"/>
        <v/>
      </c>
      <c r="U3189" t="str">
        <f t="shared" si="496"/>
        <v/>
      </c>
      <c r="V3189" t="str">
        <f t="shared" si="497"/>
        <v/>
      </c>
      <c r="W3189" t="str">
        <f t="shared" si="498"/>
        <v/>
      </c>
      <c r="X3189">
        <f>IF($T3189="",N($X3188),IF(MATCH($T3189,$T$6:$T$10005,0)=ROW()-5,N($X3188)+1,N($X3188)))</f>
        <v>0</v>
      </c>
      <c r="Z3189" t="str">
        <f t="shared" si="499"/>
        <v/>
      </c>
      <c r="AA3189">
        <f>IF($V3189="",N($AA3188),IF(MATCH($V3189,$V$6:$V$10005,0)=ROW()-5,N($AA3188)+1,N($AA3188)))</f>
        <v>0</v>
      </c>
    </row>
    <row r="3190" spans="1:27" ht="21" customHeight="1" x14ac:dyDescent="0.95">
      <c r="A3190" s="56"/>
      <c r="B3190" s="57"/>
      <c r="C3190" s="57"/>
      <c r="D3190" s="57"/>
      <c r="E3190" s="56"/>
      <c r="F3190" s="57"/>
      <c r="G3190" s="57"/>
      <c r="H3190" s="56"/>
      <c r="I3190" s="56"/>
      <c r="J3190" s="58"/>
      <c r="K3190" s="58"/>
      <c r="L3190" s="13" t="str">
        <f t="shared" si="490"/>
        <v/>
      </c>
      <c r="M3190" s="13" t="str">
        <f t="shared" si="491"/>
        <v/>
      </c>
      <c r="Q3190" t="str">
        <f t="shared" si="492"/>
        <v/>
      </c>
      <c r="R3190" t="str">
        <f t="shared" si="493"/>
        <v/>
      </c>
      <c r="S3190" t="str">
        <f t="shared" si="494"/>
        <v/>
      </c>
      <c r="T3190" t="str">
        <f t="shared" si="495"/>
        <v/>
      </c>
      <c r="U3190" t="str">
        <f t="shared" si="496"/>
        <v/>
      </c>
      <c r="V3190" t="str">
        <f t="shared" si="497"/>
        <v/>
      </c>
      <c r="W3190" t="str">
        <f t="shared" si="498"/>
        <v/>
      </c>
      <c r="X3190">
        <f>IF($T3190="",N($X3189),IF(MATCH($T3190,$T$6:$T$10005,0)=ROW()-5,N($X3189)+1,N($X3189)))</f>
        <v>0</v>
      </c>
      <c r="Z3190" t="str">
        <f t="shared" si="499"/>
        <v/>
      </c>
      <c r="AA3190">
        <f>IF($V3190="",N($AA3189),IF(MATCH($V3190,$V$6:$V$10005,0)=ROW()-5,N($AA3189)+1,N($AA3189)))</f>
        <v>0</v>
      </c>
    </row>
    <row r="3191" spans="1:27" ht="21" customHeight="1" x14ac:dyDescent="0.95">
      <c r="A3191" s="56"/>
      <c r="B3191" s="57"/>
      <c r="C3191" s="57"/>
      <c r="D3191" s="57"/>
      <c r="E3191" s="56"/>
      <c r="F3191" s="57"/>
      <c r="G3191" s="57"/>
      <c r="H3191" s="56"/>
      <c r="I3191" s="56"/>
      <c r="J3191" s="58"/>
      <c r="K3191" s="58"/>
      <c r="L3191" s="13" t="str">
        <f t="shared" si="490"/>
        <v/>
      </c>
      <c r="M3191" s="13" t="str">
        <f t="shared" si="491"/>
        <v/>
      </c>
      <c r="Q3191" t="str">
        <f t="shared" si="492"/>
        <v/>
      </c>
      <c r="R3191" t="str">
        <f t="shared" si="493"/>
        <v/>
      </c>
      <c r="S3191" t="str">
        <f t="shared" si="494"/>
        <v/>
      </c>
      <c r="T3191" t="str">
        <f t="shared" si="495"/>
        <v/>
      </c>
      <c r="U3191" t="str">
        <f t="shared" si="496"/>
        <v/>
      </c>
      <c r="V3191" t="str">
        <f t="shared" si="497"/>
        <v/>
      </c>
      <c r="W3191" t="str">
        <f t="shared" si="498"/>
        <v/>
      </c>
      <c r="X3191">
        <f>IF($T3191="",N($X3190),IF(MATCH($T3191,$T$6:$T$10005,0)=ROW()-5,N($X3190)+1,N($X3190)))</f>
        <v>0</v>
      </c>
      <c r="Z3191" t="str">
        <f t="shared" si="499"/>
        <v/>
      </c>
      <c r="AA3191">
        <f>IF($V3191="",N($AA3190),IF(MATCH($V3191,$V$6:$V$10005,0)=ROW()-5,N($AA3190)+1,N($AA3190)))</f>
        <v>0</v>
      </c>
    </row>
    <row r="3192" spans="1:27" ht="21" customHeight="1" x14ac:dyDescent="0.95">
      <c r="A3192" s="56"/>
      <c r="B3192" s="57"/>
      <c r="C3192" s="57"/>
      <c r="D3192" s="57"/>
      <c r="E3192" s="56"/>
      <c r="F3192" s="57"/>
      <c r="G3192" s="57"/>
      <c r="H3192" s="56"/>
      <c r="I3192" s="56"/>
      <c r="J3192" s="58"/>
      <c r="K3192" s="58"/>
      <c r="L3192" s="13" t="str">
        <f t="shared" si="490"/>
        <v/>
      </c>
      <c r="M3192" s="13" t="str">
        <f t="shared" si="491"/>
        <v/>
      </c>
      <c r="Q3192" t="str">
        <f t="shared" si="492"/>
        <v/>
      </c>
      <c r="R3192" t="str">
        <f t="shared" si="493"/>
        <v/>
      </c>
      <c r="S3192" t="str">
        <f t="shared" si="494"/>
        <v/>
      </c>
      <c r="T3192" t="str">
        <f t="shared" si="495"/>
        <v/>
      </c>
      <c r="U3192" t="str">
        <f t="shared" si="496"/>
        <v/>
      </c>
      <c r="V3192" t="str">
        <f t="shared" si="497"/>
        <v/>
      </c>
      <c r="W3192" t="str">
        <f t="shared" si="498"/>
        <v/>
      </c>
      <c r="X3192">
        <f>IF($T3192="",N($X3191),IF(MATCH($T3192,$T$6:$T$10005,0)=ROW()-5,N($X3191)+1,N($X3191)))</f>
        <v>0</v>
      </c>
      <c r="Z3192" t="str">
        <f t="shared" si="499"/>
        <v/>
      </c>
      <c r="AA3192">
        <f>IF($V3192="",N($AA3191),IF(MATCH($V3192,$V$6:$V$10005,0)=ROW()-5,N($AA3191)+1,N($AA3191)))</f>
        <v>0</v>
      </c>
    </row>
    <row r="3193" spans="1:27" ht="21" customHeight="1" x14ac:dyDescent="0.95">
      <c r="A3193" s="56"/>
      <c r="B3193" s="57"/>
      <c r="C3193" s="57"/>
      <c r="D3193" s="57"/>
      <c r="E3193" s="56"/>
      <c r="F3193" s="57"/>
      <c r="G3193" s="57"/>
      <c r="H3193" s="56"/>
      <c r="I3193" s="56"/>
      <c r="J3193" s="58"/>
      <c r="K3193" s="58"/>
      <c r="L3193" s="13" t="str">
        <f t="shared" si="490"/>
        <v/>
      </c>
      <c r="M3193" s="13" t="str">
        <f t="shared" si="491"/>
        <v/>
      </c>
      <c r="Q3193" t="str">
        <f t="shared" si="492"/>
        <v/>
      </c>
      <c r="R3193" t="str">
        <f t="shared" si="493"/>
        <v/>
      </c>
      <c r="S3193" t="str">
        <f t="shared" si="494"/>
        <v/>
      </c>
      <c r="T3193" t="str">
        <f t="shared" si="495"/>
        <v/>
      </c>
      <c r="U3193" t="str">
        <f t="shared" si="496"/>
        <v/>
      </c>
      <c r="V3193" t="str">
        <f t="shared" si="497"/>
        <v/>
      </c>
      <c r="W3193" t="str">
        <f t="shared" si="498"/>
        <v/>
      </c>
      <c r="X3193">
        <f>IF($T3193="",N($X3192),IF(MATCH($T3193,$T$6:$T$10005,0)=ROW()-5,N($X3192)+1,N($X3192)))</f>
        <v>0</v>
      </c>
      <c r="Z3193" t="str">
        <f t="shared" si="499"/>
        <v/>
      </c>
      <c r="AA3193">
        <f>IF($V3193="",N($AA3192),IF(MATCH($V3193,$V$6:$V$10005,0)=ROW()-5,N($AA3192)+1,N($AA3192)))</f>
        <v>0</v>
      </c>
    </row>
    <row r="3194" spans="1:27" ht="21" customHeight="1" x14ac:dyDescent="0.95">
      <c r="A3194" s="56"/>
      <c r="B3194" s="57"/>
      <c r="C3194" s="57"/>
      <c r="D3194" s="57"/>
      <c r="E3194" s="56"/>
      <c r="F3194" s="57"/>
      <c r="G3194" s="57"/>
      <c r="H3194" s="56"/>
      <c r="I3194" s="56"/>
      <c r="J3194" s="58"/>
      <c r="K3194" s="58"/>
      <c r="L3194" s="13" t="str">
        <f t="shared" si="490"/>
        <v/>
      </c>
      <c r="M3194" s="13" t="str">
        <f t="shared" si="491"/>
        <v/>
      </c>
      <c r="Q3194" t="str">
        <f t="shared" si="492"/>
        <v/>
      </c>
      <c r="R3194" t="str">
        <f t="shared" si="493"/>
        <v/>
      </c>
      <c r="S3194" t="str">
        <f t="shared" si="494"/>
        <v/>
      </c>
      <c r="T3194" t="str">
        <f t="shared" si="495"/>
        <v/>
      </c>
      <c r="U3194" t="str">
        <f t="shared" si="496"/>
        <v/>
      </c>
      <c r="V3194" t="str">
        <f t="shared" si="497"/>
        <v/>
      </c>
      <c r="W3194" t="str">
        <f t="shared" si="498"/>
        <v/>
      </c>
      <c r="X3194">
        <f>IF($T3194="",N($X3193),IF(MATCH($T3194,$T$6:$T$10005,0)=ROW()-5,N($X3193)+1,N($X3193)))</f>
        <v>0</v>
      </c>
      <c r="Z3194" t="str">
        <f t="shared" si="499"/>
        <v/>
      </c>
      <c r="AA3194">
        <f>IF($V3194="",N($AA3193),IF(MATCH($V3194,$V$6:$V$10005,0)=ROW()-5,N($AA3193)+1,N($AA3193)))</f>
        <v>0</v>
      </c>
    </row>
    <row r="3195" spans="1:27" ht="21" customHeight="1" x14ac:dyDescent="0.95">
      <c r="A3195" s="56"/>
      <c r="B3195" s="57"/>
      <c r="C3195" s="57"/>
      <c r="D3195" s="57"/>
      <c r="E3195" s="56"/>
      <c r="F3195" s="57"/>
      <c r="G3195" s="57"/>
      <c r="H3195" s="56"/>
      <c r="I3195" s="56"/>
      <c r="J3195" s="58"/>
      <c r="K3195" s="58"/>
      <c r="L3195" s="13" t="str">
        <f t="shared" si="490"/>
        <v/>
      </c>
      <c r="M3195" s="13" t="str">
        <f t="shared" si="491"/>
        <v/>
      </c>
      <c r="Q3195" t="str">
        <f t="shared" si="492"/>
        <v/>
      </c>
      <c r="R3195" t="str">
        <f t="shared" si="493"/>
        <v/>
      </c>
      <c r="S3195" t="str">
        <f t="shared" si="494"/>
        <v/>
      </c>
      <c r="T3195" t="str">
        <f t="shared" si="495"/>
        <v/>
      </c>
      <c r="U3195" t="str">
        <f t="shared" si="496"/>
        <v/>
      </c>
      <c r="V3195" t="str">
        <f t="shared" si="497"/>
        <v/>
      </c>
      <c r="W3195" t="str">
        <f t="shared" si="498"/>
        <v/>
      </c>
      <c r="X3195">
        <f>IF($T3195="",N($X3194),IF(MATCH($T3195,$T$6:$T$10005,0)=ROW()-5,N($X3194)+1,N($X3194)))</f>
        <v>0</v>
      </c>
      <c r="Z3195" t="str">
        <f t="shared" si="499"/>
        <v/>
      </c>
      <c r="AA3195">
        <f>IF($V3195="",N($AA3194),IF(MATCH($V3195,$V$6:$V$10005,0)=ROW()-5,N($AA3194)+1,N($AA3194)))</f>
        <v>0</v>
      </c>
    </row>
    <row r="3196" spans="1:27" ht="21" customHeight="1" x14ac:dyDescent="0.95">
      <c r="A3196" s="56"/>
      <c r="B3196" s="57"/>
      <c r="C3196" s="57"/>
      <c r="D3196" s="57"/>
      <c r="E3196" s="56"/>
      <c r="F3196" s="57"/>
      <c r="G3196" s="57"/>
      <c r="H3196" s="56"/>
      <c r="I3196" s="56"/>
      <c r="J3196" s="58"/>
      <c r="K3196" s="58"/>
      <c r="L3196" s="13" t="str">
        <f t="shared" si="490"/>
        <v/>
      </c>
      <c r="M3196" s="13" t="str">
        <f t="shared" si="491"/>
        <v/>
      </c>
      <c r="Q3196" t="str">
        <f t="shared" si="492"/>
        <v/>
      </c>
      <c r="R3196" t="str">
        <f t="shared" si="493"/>
        <v/>
      </c>
      <c r="S3196" t="str">
        <f t="shared" si="494"/>
        <v/>
      </c>
      <c r="T3196" t="str">
        <f t="shared" si="495"/>
        <v/>
      </c>
      <c r="U3196" t="str">
        <f t="shared" si="496"/>
        <v/>
      </c>
      <c r="V3196" t="str">
        <f t="shared" si="497"/>
        <v/>
      </c>
      <c r="W3196" t="str">
        <f t="shared" si="498"/>
        <v/>
      </c>
      <c r="X3196">
        <f>IF($T3196="",N($X3195),IF(MATCH($T3196,$T$6:$T$10005,0)=ROW()-5,N($X3195)+1,N($X3195)))</f>
        <v>0</v>
      </c>
      <c r="Z3196" t="str">
        <f t="shared" si="499"/>
        <v/>
      </c>
      <c r="AA3196">
        <f>IF($V3196="",N($AA3195),IF(MATCH($V3196,$V$6:$V$10005,0)=ROW()-5,N($AA3195)+1,N($AA3195)))</f>
        <v>0</v>
      </c>
    </row>
    <row r="3197" spans="1:27" ht="21" customHeight="1" x14ac:dyDescent="0.95">
      <c r="A3197" s="56"/>
      <c r="B3197" s="57"/>
      <c r="C3197" s="57"/>
      <c r="D3197" s="57"/>
      <c r="E3197" s="56"/>
      <c r="F3197" s="57"/>
      <c r="G3197" s="57"/>
      <c r="H3197" s="56"/>
      <c r="I3197" s="56"/>
      <c r="J3197" s="58"/>
      <c r="K3197" s="58"/>
      <c r="L3197" s="13" t="str">
        <f t="shared" si="490"/>
        <v/>
      </c>
      <c r="M3197" s="13" t="str">
        <f t="shared" si="491"/>
        <v/>
      </c>
      <c r="Q3197" t="str">
        <f t="shared" si="492"/>
        <v/>
      </c>
      <c r="R3197" t="str">
        <f t="shared" si="493"/>
        <v/>
      </c>
      <c r="S3197" t="str">
        <f t="shared" si="494"/>
        <v/>
      </c>
      <c r="T3197" t="str">
        <f t="shared" si="495"/>
        <v/>
      </c>
      <c r="U3197" t="str">
        <f t="shared" si="496"/>
        <v/>
      </c>
      <c r="V3197" t="str">
        <f t="shared" si="497"/>
        <v/>
      </c>
      <c r="W3197" t="str">
        <f t="shared" si="498"/>
        <v/>
      </c>
      <c r="X3197">
        <f>IF($T3197="",N($X3196),IF(MATCH($T3197,$T$6:$T$10005,0)=ROW()-5,N($X3196)+1,N($X3196)))</f>
        <v>0</v>
      </c>
      <c r="Z3197" t="str">
        <f t="shared" si="499"/>
        <v/>
      </c>
      <c r="AA3197">
        <f>IF($V3197="",N($AA3196),IF(MATCH($V3197,$V$6:$V$10005,0)=ROW()-5,N($AA3196)+1,N($AA3196)))</f>
        <v>0</v>
      </c>
    </row>
    <row r="3198" spans="1:27" ht="21" customHeight="1" x14ac:dyDescent="0.95">
      <c r="A3198" s="56"/>
      <c r="B3198" s="57"/>
      <c r="C3198" s="57"/>
      <c r="D3198" s="57"/>
      <c r="E3198" s="56"/>
      <c r="F3198" s="57"/>
      <c r="G3198" s="57"/>
      <c r="H3198" s="56"/>
      <c r="I3198" s="56"/>
      <c r="J3198" s="58"/>
      <c r="K3198" s="58"/>
      <c r="L3198" s="13" t="str">
        <f t="shared" si="490"/>
        <v/>
      </c>
      <c r="M3198" s="13" t="str">
        <f t="shared" si="491"/>
        <v/>
      </c>
      <c r="Q3198" t="str">
        <f t="shared" si="492"/>
        <v/>
      </c>
      <c r="R3198" t="str">
        <f t="shared" si="493"/>
        <v/>
      </c>
      <c r="S3198" t="str">
        <f t="shared" si="494"/>
        <v/>
      </c>
      <c r="T3198" t="str">
        <f t="shared" si="495"/>
        <v/>
      </c>
      <c r="U3198" t="str">
        <f t="shared" si="496"/>
        <v/>
      </c>
      <c r="V3198" t="str">
        <f t="shared" si="497"/>
        <v/>
      </c>
      <c r="W3198" t="str">
        <f t="shared" si="498"/>
        <v/>
      </c>
      <c r="X3198">
        <f>IF($T3198="",N($X3197),IF(MATCH($T3198,$T$6:$T$10005,0)=ROW()-5,N($X3197)+1,N($X3197)))</f>
        <v>0</v>
      </c>
      <c r="Z3198" t="str">
        <f t="shared" si="499"/>
        <v/>
      </c>
      <c r="AA3198">
        <f>IF($V3198="",N($AA3197),IF(MATCH($V3198,$V$6:$V$10005,0)=ROW()-5,N($AA3197)+1,N($AA3197)))</f>
        <v>0</v>
      </c>
    </row>
    <row r="3199" spans="1:27" ht="21" customHeight="1" x14ac:dyDescent="0.95">
      <c r="A3199" s="56"/>
      <c r="B3199" s="57"/>
      <c r="C3199" s="57"/>
      <c r="D3199" s="57"/>
      <c r="E3199" s="56"/>
      <c r="F3199" s="57"/>
      <c r="G3199" s="57"/>
      <c r="H3199" s="56"/>
      <c r="I3199" s="56"/>
      <c r="J3199" s="58"/>
      <c r="K3199" s="58"/>
      <c r="L3199" s="13" t="str">
        <f t="shared" si="490"/>
        <v/>
      </c>
      <c r="M3199" s="13" t="str">
        <f t="shared" si="491"/>
        <v/>
      </c>
      <c r="Q3199" t="str">
        <f t="shared" si="492"/>
        <v/>
      </c>
      <c r="R3199" t="str">
        <f t="shared" si="493"/>
        <v/>
      </c>
      <c r="S3199" t="str">
        <f t="shared" si="494"/>
        <v/>
      </c>
      <c r="T3199" t="str">
        <f t="shared" si="495"/>
        <v/>
      </c>
      <c r="U3199" t="str">
        <f t="shared" si="496"/>
        <v/>
      </c>
      <c r="V3199" t="str">
        <f t="shared" si="497"/>
        <v/>
      </c>
      <c r="W3199" t="str">
        <f t="shared" si="498"/>
        <v/>
      </c>
      <c r="X3199">
        <f>IF($T3199="",N($X3198),IF(MATCH($T3199,$T$6:$T$10005,0)=ROW()-5,N($X3198)+1,N($X3198)))</f>
        <v>0</v>
      </c>
      <c r="Z3199" t="str">
        <f t="shared" si="499"/>
        <v/>
      </c>
      <c r="AA3199">
        <f>IF($V3199="",N($AA3198),IF(MATCH($V3199,$V$6:$V$10005,0)=ROW()-5,N($AA3198)+1,N($AA3198)))</f>
        <v>0</v>
      </c>
    </row>
    <row r="3200" spans="1:27" ht="21" customHeight="1" x14ac:dyDescent="0.95">
      <c r="A3200" s="56"/>
      <c r="B3200" s="57"/>
      <c r="C3200" s="57"/>
      <c r="D3200" s="57"/>
      <c r="E3200" s="56"/>
      <c r="F3200" s="57"/>
      <c r="G3200" s="57"/>
      <c r="H3200" s="56"/>
      <c r="I3200" s="56"/>
      <c r="J3200" s="58"/>
      <c r="K3200" s="58"/>
      <c r="L3200" s="13" t="str">
        <f t="shared" si="490"/>
        <v/>
      </c>
      <c r="M3200" s="13" t="str">
        <f t="shared" si="491"/>
        <v/>
      </c>
      <c r="Q3200" t="str">
        <f t="shared" si="492"/>
        <v/>
      </c>
      <c r="R3200" t="str">
        <f t="shared" si="493"/>
        <v/>
      </c>
      <c r="S3200" t="str">
        <f t="shared" si="494"/>
        <v/>
      </c>
      <c r="T3200" t="str">
        <f t="shared" si="495"/>
        <v/>
      </c>
      <c r="U3200" t="str">
        <f t="shared" si="496"/>
        <v/>
      </c>
      <c r="V3200" t="str">
        <f t="shared" si="497"/>
        <v/>
      </c>
      <c r="W3200" t="str">
        <f t="shared" si="498"/>
        <v/>
      </c>
      <c r="X3200">
        <f>IF($T3200="",N($X3199),IF(MATCH($T3200,$T$6:$T$10005,0)=ROW()-5,N($X3199)+1,N($X3199)))</f>
        <v>0</v>
      </c>
      <c r="Z3200" t="str">
        <f t="shared" si="499"/>
        <v/>
      </c>
      <c r="AA3200">
        <f>IF($V3200="",N($AA3199),IF(MATCH($V3200,$V$6:$V$10005,0)=ROW()-5,N($AA3199)+1,N($AA3199)))</f>
        <v>0</v>
      </c>
    </row>
    <row r="3201" spans="1:27" ht="21" customHeight="1" x14ac:dyDescent="0.95">
      <c r="A3201" s="56"/>
      <c r="B3201" s="57"/>
      <c r="C3201" s="57"/>
      <c r="D3201" s="57"/>
      <c r="E3201" s="56"/>
      <c r="F3201" s="57"/>
      <c r="G3201" s="57"/>
      <c r="H3201" s="56"/>
      <c r="I3201" s="56"/>
      <c r="J3201" s="58"/>
      <c r="K3201" s="58"/>
      <c r="L3201" s="13" t="str">
        <f t="shared" si="490"/>
        <v/>
      </c>
      <c r="M3201" s="13" t="str">
        <f t="shared" si="491"/>
        <v/>
      </c>
      <c r="Q3201" t="str">
        <f t="shared" si="492"/>
        <v/>
      </c>
      <c r="R3201" t="str">
        <f t="shared" si="493"/>
        <v/>
      </c>
      <c r="S3201" t="str">
        <f t="shared" si="494"/>
        <v/>
      </c>
      <c r="T3201" t="str">
        <f t="shared" si="495"/>
        <v/>
      </c>
      <c r="U3201" t="str">
        <f t="shared" si="496"/>
        <v/>
      </c>
      <c r="V3201" t="str">
        <f t="shared" si="497"/>
        <v/>
      </c>
      <c r="W3201" t="str">
        <f t="shared" si="498"/>
        <v/>
      </c>
      <c r="X3201">
        <f>IF($T3201="",N($X3200),IF(MATCH($T3201,$T$6:$T$10005,0)=ROW()-5,N($X3200)+1,N($X3200)))</f>
        <v>0</v>
      </c>
      <c r="Z3201" t="str">
        <f t="shared" si="499"/>
        <v/>
      </c>
      <c r="AA3201">
        <f>IF($V3201="",N($AA3200),IF(MATCH($V3201,$V$6:$V$10005,0)=ROW()-5,N($AA3200)+1,N($AA3200)))</f>
        <v>0</v>
      </c>
    </row>
    <row r="3202" spans="1:27" ht="21" customHeight="1" x14ac:dyDescent="0.95">
      <c r="A3202" s="56"/>
      <c r="B3202" s="57"/>
      <c r="C3202" s="57"/>
      <c r="D3202" s="57"/>
      <c r="E3202" s="56"/>
      <c r="F3202" s="57"/>
      <c r="G3202" s="57"/>
      <c r="H3202" s="56"/>
      <c r="I3202" s="56"/>
      <c r="J3202" s="58"/>
      <c r="K3202" s="58"/>
      <c r="L3202" s="13" t="str">
        <f t="shared" si="490"/>
        <v/>
      </c>
      <c r="M3202" s="13" t="str">
        <f t="shared" si="491"/>
        <v/>
      </c>
      <c r="Q3202" t="str">
        <f t="shared" si="492"/>
        <v/>
      </c>
      <c r="R3202" t="str">
        <f t="shared" si="493"/>
        <v/>
      </c>
      <c r="S3202" t="str">
        <f t="shared" si="494"/>
        <v/>
      </c>
      <c r="T3202" t="str">
        <f t="shared" si="495"/>
        <v/>
      </c>
      <c r="U3202" t="str">
        <f t="shared" si="496"/>
        <v/>
      </c>
      <c r="V3202" t="str">
        <f t="shared" si="497"/>
        <v/>
      </c>
      <c r="W3202" t="str">
        <f t="shared" si="498"/>
        <v/>
      </c>
      <c r="X3202">
        <f>IF($T3202="",N($X3201),IF(MATCH($T3202,$T$6:$T$10005,0)=ROW()-5,N($X3201)+1,N($X3201)))</f>
        <v>0</v>
      </c>
      <c r="Z3202" t="str">
        <f t="shared" si="499"/>
        <v/>
      </c>
      <c r="AA3202">
        <f>IF($V3202="",N($AA3201),IF(MATCH($V3202,$V$6:$V$10005,0)=ROW()-5,N($AA3201)+1,N($AA3201)))</f>
        <v>0</v>
      </c>
    </row>
    <row r="3203" spans="1:27" ht="21" customHeight="1" x14ac:dyDescent="0.95">
      <c r="A3203" s="56"/>
      <c r="B3203" s="57"/>
      <c r="C3203" s="57"/>
      <c r="D3203" s="57"/>
      <c r="E3203" s="56"/>
      <c r="F3203" s="57"/>
      <c r="G3203" s="57"/>
      <c r="H3203" s="56"/>
      <c r="I3203" s="56"/>
      <c r="J3203" s="58"/>
      <c r="K3203" s="58"/>
      <c r="L3203" s="13" t="str">
        <f t="shared" si="490"/>
        <v/>
      </c>
      <c r="M3203" s="13" t="str">
        <f t="shared" si="491"/>
        <v/>
      </c>
      <c r="Q3203" t="str">
        <f t="shared" si="492"/>
        <v/>
      </c>
      <c r="R3203" t="str">
        <f t="shared" si="493"/>
        <v/>
      </c>
      <c r="S3203" t="str">
        <f t="shared" si="494"/>
        <v/>
      </c>
      <c r="T3203" t="str">
        <f t="shared" si="495"/>
        <v/>
      </c>
      <c r="U3203" t="str">
        <f t="shared" si="496"/>
        <v/>
      </c>
      <c r="V3203" t="str">
        <f t="shared" si="497"/>
        <v/>
      </c>
      <c r="W3203" t="str">
        <f t="shared" si="498"/>
        <v/>
      </c>
      <c r="X3203">
        <f>IF($T3203="",N($X3202),IF(MATCH($T3203,$T$6:$T$10005,0)=ROW()-5,N($X3202)+1,N($X3202)))</f>
        <v>0</v>
      </c>
      <c r="Z3203" t="str">
        <f t="shared" si="499"/>
        <v/>
      </c>
      <c r="AA3203">
        <f>IF($V3203="",N($AA3202),IF(MATCH($V3203,$V$6:$V$10005,0)=ROW()-5,N($AA3202)+1,N($AA3202)))</f>
        <v>0</v>
      </c>
    </row>
    <row r="3204" spans="1:27" ht="21" customHeight="1" x14ac:dyDescent="0.95">
      <c r="A3204" s="56"/>
      <c r="B3204" s="57"/>
      <c r="C3204" s="57"/>
      <c r="D3204" s="57"/>
      <c r="E3204" s="56"/>
      <c r="F3204" s="57"/>
      <c r="G3204" s="57"/>
      <c r="H3204" s="56"/>
      <c r="I3204" s="56"/>
      <c r="J3204" s="58"/>
      <c r="K3204" s="58"/>
      <c r="L3204" s="13" t="str">
        <f t="shared" si="490"/>
        <v/>
      </c>
      <c r="M3204" s="13" t="str">
        <f t="shared" si="491"/>
        <v/>
      </c>
      <c r="Q3204" t="str">
        <f t="shared" si="492"/>
        <v/>
      </c>
      <c r="R3204" t="str">
        <f t="shared" si="493"/>
        <v/>
      </c>
      <c r="S3204" t="str">
        <f t="shared" si="494"/>
        <v/>
      </c>
      <c r="T3204" t="str">
        <f t="shared" si="495"/>
        <v/>
      </c>
      <c r="U3204" t="str">
        <f t="shared" si="496"/>
        <v/>
      </c>
      <c r="V3204" t="str">
        <f t="shared" si="497"/>
        <v/>
      </c>
      <c r="W3204" t="str">
        <f t="shared" si="498"/>
        <v/>
      </c>
      <c r="X3204">
        <f>IF($T3204="",N($X3203),IF(MATCH($T3204,$T$6:$T$10005,0)=ROW()-5,N($X3203)+1,N($X3203)))</f>
        <v>0</v>
      </c>
      <c r="Z3204" t="str">
        <f t="shared" si="499"/>
        <v/>
      </c>
      <c r="AA3204">
        <f>IF($V3204="",N($AA3203),IF(MATCH($V3204,$V$6:$V$10005,0)=ROW()-5,N($AA3203)+1,N($AA3203)))</f>
        <v>0</v>
      </c>
    </row>
    <row r="3205" spans="1:27" ht="21" customHeight="1" x14ac:dyDescent="0.95">
      <c r="A3205" s="56"/>
      <c r="B3205" s="57"/>
      <c r="C3205" s="57"/>
      <c r="D3205" s="57"/>
      <c r="E3205" s="56"/>
      <c r="F3205" s="57"/>
      <c r="G3205" s="57"/>
      <c r="H3205" s="56"/>
      <c r="I3205" s="56"/>
      <c r="J3205" s="58"/>
      <c r="K3205" s="58"/>
      <c r="L3205" s="13" t="str">
        <f t="shared" si="490"/>
        <v/>
      </c>
      <c r="M3205" s="13" t="str">
        <f t="shared" si="491"/>
        <v/>
      </c>
      <c r="Q3205" t="str">
        <f t="shared" si="492"/>
        <v/>
      </c>
      <c r="R3205" t="str">
        <f t="shared" si="493"/>
        <v/>
      </c>
      <c r="S3205" t="str">
        <f t="shared" si="494"/>
        <v/>
      </c>
      <c r="T3205" t="str">
        <f t="shared" si="495"/>
        <v/>
      </c>
      <c r="U3205" t="str">
        <f t="shared" si="496"/>
        <v/>
      </c>
      <c r="V3205" t="str">
        <f t="shared" si="497"/>
        <v/>
      </c>
      <c r="W3205" t="str">
        <f t="shared" si="498"/>
        <v/>
      </c>
      <c r="X3205">
        <f>IF($T3205="",N($X3204),IF(MATCH($T3205,$T$6:$T$10005,0)=ROW()-5,N($X3204)+1,N($X3204)))</f>
        <v>0</v>
      </c>
      <c r="Z3205" t="str">
        <f t="shared" si="499"/>
        <v/>
      </c>
      <c r="AA3205">
        <f>IF($V3205="",N($AA3204),IF(MATCH($V3205,$V$6:$V$10005,0)=ROW()-5,N($AA3204)+1,N($AA3204)))</f>
        <v>0</v>
      </c>
    </row>
    <row r="3206" spans="1:27" ht="21" customHeight="1" x14ac:dyDescent="0.95">
      <c r="A3206" s="56"/>
      <c r="B3206" s="57"/>
      <c r="C3206" s="57"/>
      <c r="D3206" s="57"/>
      <c r="E3206" s="56"/>
      <c r="F3206" s="57"/>
      <c r="G3206" s="57"/>
      <c r="H3206" s="56"/>
      <c r="I3206" s="56"/>
      <c r="J3206" s="58"/>
      <c r="K3206" s="58"/>
      <c r="L3206" s="13" t="str">
        <f t="shared" ref="L3206:L3269" si="500">IF(OR($A3206="",AND($J3206="",$K3206="")),"",ROUND(N($J3206)-N($K3206),2))</f>
        <v/>
      </c>
      <c r="M3206" s="13" t="str">
        <f t="shared" ref="M3206:M3269" si="501">IF(OR($A3206="",AND($J3206="",$K3206="")),"",MIN($J3206,$K3206))</f>
        <v/>
      </c>
      <c r="Q3206" t="str">
        <f t="shared" ref="Q3206:Q3269" si="502">IF($A3206="","",$D3206&amp;"("&amp;SUBSTITUTE($E3206," ","")&amp;")")</f>
        <v/>
      </c>
      <c r="R3206" t="str">
        <f t="shared" ref="R3206:R3269" si="503">IF($A3206="","",$B3206&amp;" - "&amp;$C3206)</f>
        <v/>
      </c>
      <c r="S3206" t="str">
        <f t="shared" ref="S3206:S3269" si="504">IF($A3206="","",$R3206&amp;"|"&amp;$Q3206)</f>
        <v/>
      </c>
      <c r="T3206" t="str">
        <f t="shared" ref="T3206:T3269" si="505">IF($A3206="","",$S3206&amp;"|"&amp;$F3206)</f>
        <v/>
      </c>
      <c r="U3206" t="str">
        <f t="shared" ref="U3206:U3269" si="506">IF($A3206="","",$R3206&amp;"("&amp;$E3206&amp;")")</f>
        <v/>
      </c>
      <c r="V3206" t="str">
        <f t="shared" ref="V3206:V3269" si="507">IF($A3206="","",$F3206&amp;"|"&amp;$U3206&amp;"|"&amp;$D3206)</f>
        <v/>
      </c>
      <c r="W3206" t="str">
        <f t="shared" ref="W3206:W3269" si="508">IF($T3206="","",IF($X3206&gt;N($X3205),$X3206,""))</f>
        <v/>
      </c>
      <c r="X3206">
        <f>IF($T3206="",N($X3205),IF(MATCH($T3206,$T$6:$T$10005,0)=ROW()-5,N($X3205)+1,N($X3205)))</f>
        <v>0</v>
      </c>
      <c r="Z3206" t="str">
        <f t="shared" ref="Z3206:Z3269" si="509">IF($V3206="","",IF($AA3206&gt;N($AA3205),$AA3206,""))</f>
        <v/>
      </c>
      <c r="AA3206">
        <f>IF($V3206="",N($AA3205),IF(MATCH($V3206,$V$6:$V$10005,0)=ROW()-5,N($AA3205)+1,N($AA3205)))</f>
        <v>0</v>
      </c>
    </row>
    <row r="3207" spans="1:27" ht="21" customHeight="1" x14ac:dyDescent="0.95">
      <c r="A3207" s="56"/>
      <c r="B3207" s="57"/>
      <c r="C3207" s="57"/>
      <c r="D3207" s="57"/>
      <c r="E3207" s="56"/>
      <c r="F3207" s="57"/>
      <c r="G3207" s="57"/>
      <c r="H3207" s="56"/>
      <c r="I3207" s="56"/>
      <c r="J3207" s="58"/>
      <c r="K3207" s="58"/>
      <c r="L3207" s="13" t="str">
        <f t="shared" si="500"/>
        <v/>
      </c>
      <c r="M3207" s="13" t="str">
        <f t="shared" si="501"/>
        <v/>
      </c>
      <c r="Q3207" t="str">
        <f t="shared" si="502"/>
        <v/>
      </c>
      <c r="R3207" t="str">
        <f t="shared" si="503"/>
        <v/>
      </c>
      <c r="S3207" t="str">
        <f t="shared" si="504"/>
        <v/>
      </c>
      <c r="T3207" t="str">
        <f t="shared" si="505"/>
        <v/>
      </c>
      <c r="U3207" t="str">
        <f t="shared" si="506"/>
        <v/>
      </c>
      <c r="V3207" t="str">
        <f t="shared" si="507"/>
        <v/>
      </c>
      <c r="W3207" t="str">
        <f t="shared" si="508"/>
        <v/>
      </c>
      <c r="X3207">
        <f>IF($T3207="",N($X3206),IF(MATCH($T3207,$T$6:$T$10005,0)=ROW()-5,N($X3206)+1,N($X3206)))</f>
        <v>0</v>
      </c>
      <c r="Z3207" t="str">
        <f t="shared" si="509"/>
        <v/>
      </c>
      <c r="AA3207">
        <f>IF($V3207="",N($AA3206),IF(MATCH($V3207,$V$6:$V$10005,0)=ROW()-5,N($AA3206)+1,N($AA3206)))</f>
        <v>0</v>
      </c>
    </row>
    <row r="3208" spans="1:27" ht="21" customHeight="1" x14ac:dyDescent="0.95">
      <c r="A3208" s="56"/>
      <c r="B3208" s="57"/>
      <c r="C3208" s="57"/>
      <c r="D3208" s="57"/>
      <c r="E3208" s="56"/>
      <c r="F3208" s="57"/>
      <c r="G3208" s="57"/>
      <c r="H3208" s="56"/>
      <c r="I3208" s="56"/>
      <c r="J3208" s="58"/>
      <c r="K3208" s="58"/>
      <c r="L3208" s="13" t="str">
        <f t="shared" si="500"/>
        <v/>
      </c>
      <c r="M3208" s="13" t="str">
        <f t="shared" si="501"/>
        <v/>
      </c>
      <c r="Q3208" t="str">
        <f t="shared" si="502"/>
        <v/>
      </c>
      <c r="R3208" t="str">
        <f t="shared" si="503"/>
        <v/>
      </c>
      <c r="S3208" t="str">
        <f t="shared" si="504"/>
        <v/>
      </c>
      <c r="T3208" t="str">
        <f t="shared" si="505"/>
        <v/>
      </c>
      <c r="U3208" t="str">
        <f t="shared" si="506"/>
        <v/>
      </c>
      <c r="V3208" t="str">
        <f t="shared" si="507"/>
        <v/>
      </c>
      <c r="W3208" t="str">
        <f t="shared" si="508"/>
        <v/>
      </c>
      <c r="X3208">
        <f>IF($T3208="",N($X3207),IF(MATCH($T3208,$T$6:$T$10005,0)=ROW()-5,N($X3207)+1,N($X3207)))</f>
        <v>0</v>
      </c>
      <c r="Z3208" t="str">
        <f t="shared" si="509"/>
        <v/>
      </c>
      <c r="AA3208">
        <f>IF($V3208="",N($AA3207),IF(MATCH($V3208,$V$6:$V$10005,0)=ROW()-5,N($AA3207)+1,N($AA3207)))</f>
        <v>0</v>
      </c>
    </row>
    <row r="3209" spans="1:27" ht="21" customHeight="1" x14ac:dyDescent="0.95">
      <c r="A3209" s="56"/>
      <c r="B3209" s="57"/>
      <c r="C3209" s="57"/>
      <c r="D3209" s="57"/>
      <c r="E3209" s="56"/>
      <c r="F3209" s="57"/>
      <c r="G3209" s="57"/>
      <c r="H3209" s="56"/>
      <c r="I3209" s="56"/>
      <c r="J3209" s="58"/>
      <c r="K3209" s="58"/>
      <c r="L3209" s="13" t="str">
        <f t="shared" si="500"/>
        <v/>
      </c>
      <c r="M3209" s="13" t="str">
        <f t="shared" si="501"/>
        <v/>
      </c>
      <c r="Q3209" t="str">
        <f t="shared" si="502"/>
        <v/>
      </c>
      <c r="R3209" t="str">
        <f t="shared" si="503"/>
        <v/>
      </c>
      <c r="S3209" t="str">
        <f t="shared" si="504"/>
        <v/>
      </c>
      <c r="T3209" t="str">
        <f t="shared" si="505"/>
        <v/>
      </c>
      <c r="U3209" t="str">
        <f t="shared" si="506"/>
        <v/>
      </c>
      <c r="V3209" t="str">
        <f t="shared" si="507"/>
        <v/>
      </c>
      <c r="W3209" t="str">
        <f t="shared" si="508"/>
        <v/>
      </c>
      <c r="X3209">
        <f>IF($T3209="",N($X3208),IF(MATCH($T3209,$T$6:$T$10005,0)=ROW()-5,N($X3208)+1,N($X3208)))</f>
        <v>0</v>
      </c>
      <c r="Z3209" t="str">
        <f t="shared" si="509"/>
        <v/>
      </c>
      <c r="AA3209">
        <f>IF($V3209="",N($AA3208),IF(MATCH($V3209,$V$6:$V$10005,0)=ROW()-5,N($AA3208)+1,N($AA3208)))</f>
        <v>0</v>
      </c>
    </row>
    <row r="3210" spans="1:27" ht="21" customHeight="1" x14ac:dyDescent="0.95">
      <c r="A3210" s="56"/>
      <c r="B3210" s="57"/>
      <c r="C3210" s="57"/>
      <c r="D3210" s="57"/>
      <c r="E3210" s="56"/>
      <c r="F3210" s="57"/>
      <c r="G3210" s="57"/>
      <c r="H3210" s="56"/>
      <c r="I3210" s="56"/>
      <c r="J3210" s="58"/>
      <c r="K3210" s="58"/>
      <c r="L3210" s="13" t="str">
        <f t="shared" si="500"/>
        <v/>
      </c>
      <c r="M3210" s="13" t="str">
        <f t="shared" si="501"/>
        <v/>
      </c>
      <c r="Q3210" t="str">
        <f t="shared" si="502"/>
        <v/>
      </c>
      <c r="R3210" t="str">
        <f t="shared" si="503"/>
        <v/>
      </c>
      <c r="S3210" t="str">
        <f t="shared" si="504"/>
        <v/>
      </c>
      <c r="T3210" t="str">
        <f t="shared" si="505"/>
        <v/>
      </c>
      <c r="U3210" t="str">
        <f t="shared" si="506"/>
        <v/>
      </c>
      <c r="V3210" t="str">
        <f t="shared" si="507"/>
        <v/>
      </c>
      <c r="W3210" t="str">
        <f t="shared" si="508"/>
        <v/>
      </c>
      <c r="X3210">
        <f>IF($T3210="",N($X3209),IF(MATCH($T3210,$T$6:$T$10005,0)=ROW()-5,N($X3209)+1,N($X3209)))</f>
        <v>0</v>
      </c>
      <c r="Z3210" t="str">
        <f t="shared" si="509"/>
        <v/>
      </c>
      <c r="AA3210">
        <f>IF($V3210="",N($AA3209),IF(MATCH($V3210,$V$6:$V$10005,0)=ROW()-5,N($AA3209)+1,N($AA3209)))</f>
        <v>0</v>
      </c>
    </row>
    <row r="3211" spans="1:27" ht="21" customHeight="1" x14ac:dyDescent="0.95">
      <c r="A3211" s="56"/>
      <c r="B3211" s="57"/>
      <c r="C3211" s="57"/>
      <c r="D3211" s="57"/>
      <c r="E3211" s="56"/>
      <c r="F3211" s="57"/>
      <c r="G3211" s="57"/>
      <c r="H3211" s="56"/>
      <c r="I3211" s="56"/>
      <c r="J3211" s="58"/>
      <c r="K3211" s="58"/>
      <c r="L3211" s="13" t="str">
        <f t="shared" si="500"/>
        <v/>
      </c>
      <c r="M3211" s="13" t="str">
        <f t="shared" si="501"/>
        <v/>
      </c>
      <c r="Q3211" t="str">
        <f t="shared" si="502"/>
        <v/>
      </c>
      <c r="R3211" t="str">
        <f t="shared" si="503"/>
        <v/>
      </c>
      <c r="S3211" t="str">
        <f t="shared" si="504"/>
        <v/>
      </c>
      <c r="T3211" t="str">
        <f t="shared" si="505"/>
        <v/>
      </c>
      <c r="U3211" t="str">
        <f t="shared" si="506"/>
        <v/>
      </c>
      <c r="V3211" t="str">
        <f t="shared" si="507"/>
        <v/>
      </c>
      <c r="W3211" t="str">
        <f t="shared" si="508"/>
        <v/>
      </c>
      <c r="X3211">
        <f>IF($T3211="",N($X3210),IF(MATCH($T3211,$T$6:$T$10005,0)=ROW()-5,N($X3210)+1,N($X3210)))</f>
        <v>0</v>
      </c>
      <c r="Z3211" t="str">
        <f t="shared" si="509"/>
        <v/>
      </c>
      <c r="AA3211">
        <f>IF($V3211="",N($AA3210),IF(MATCH($V3211,$V$6:$V$10005,0)=ROW()-5,N($AA3210)+1,N($AA3210)))</f>
        <v>0</v>
      </c>
    </row>
    <row r="3212" spans="1:27" ht="21" customHeight="1" x14ac:dyDescent="0.95">
      <c r="A3212" s="56"/>
      <c r="B3212" s="57"/>
      <c r="C3212" s="57"/>
      <c r="D3212" s="57"/>
      <c r="E3212" s="56"/>
      <c r="F3212" s="57"/>
      <c r="G3212" s="57"/>
      <c r="H3212" s="56"/>
      <c r="I3212" s="56"/>
      <c r="J3212" s="58"/>
      <c r="K3212" s="58"/>
      <c r="L3212" s="13" t="str">
        <f t="shared" si="500"/>
        <v/>
      </c>
      <c r="M3212" s="13" t="str">
        <f t="shared" si="501"/>
        <v/>
      </c>
      <c r="Q3212" t="str">
        <f t="shared" si="502"/>
        <v/>
      </c>
      <c r="R3212" t="str">
        <f t="shared" si="503"/>
        <v/>
      </c>
      <c r="S3212" t="str">
        <f t="shared" si="504"/>
        <v/>
      </c>
      <c r="T3212" t="str">
        <f t="shared" si="505"/>
        <v/>
      </c>
      <c r="U3212" t="str">
        <f t="shared" si="506"/>
        <v/>
      </c>
      <c r="V3212" t="str">
        <f t="shared" si="507"/>
        <v/>
      </c>
      <c r="W3212" t="str">
        <f t="shared" si="508"/>
        <v/>
      </c>
      <c r="X3212">
        <f>IF($T3212="",N($X3211),IF(MATCH($T3212,$T$6:$T$10005,0)=ROW()-5,N($X3211)+1,N($X3211)))</f>
        <v>0</v>
      </c>
      <c r="Z3212" t="str">
        <f t="shared" si="509"/>
        <v/>
      </c>
      <c r="AA3212">
        <f>IF($V3212="",N($AA3211),IF(MATCH($V3212,$V$6:$V$10005,0)=ROW()-5,N($AA3211)+1,N($AA3211)))</f>
        <v>0</v>
      </c>
    </row>
    <row r="3213" spans="1:27" ht="21" customHeight="1" x14ac:dyDescent="0.95">
      <c r="A3213" s="56"/>
      <c r="B3213" s="57"/>
      <c r="C3213" s="57"/>
      <c r="D3213" s="57"/>
      <c r="E3213" s="56"/>
      <c r="F3213" s="57"/>
      <c r="G3213" s="57"/>
      <c r="H3213" s="56"/>
      <c r="I3213" s="56"/>
      <c r="J3213" s="58"/>
      <c r="K3213" s="58"/>
      <c r="L3213" s="13" t="str">
        <f t="shared" si="500"/>
        <v/>
      </c>
      <c r="M3213" s="13" t="str">
        <f t="shared" si="501"/>
        <v/>
      </c>
      <c r="Q3213" t="str">
        <f t="shared" si="502"/>
        <v/>
      </c>
      <c r="R3213" t="str">
        <f t="shared" si="503"/>
        <v/>
      </c>
      <c r="S3213" t="str">
        <f t="shared" si="504"/>
        <v/>
      </c>
      <c r="T3213" t="str">
        <f t="shared" si="505"/>
        <v/>
      </c>
      <c r="U3213" t="str">
        <f t="shared" si="506"/>
        <v/>
      </c>
      <c r="V3213" t="str">
        <f t="shared" si="507"/>
        <v/>
      </c>
      <c r="W3213" t="str">
        <f t="shared" si="508"/>
        <v/>
      </c>
      <c r="X3213">
        <f>IF($T3213="",N($X3212),IF(MATCH($T3213,$T$6:$T$10005,0)=ROW()-5,N($X3212)+1,N($X3212)))</f>
        <v>0</v>
      </c>
      <c r="Z3213" t="str">
        <f t="shared" si="509"/>
        <v/>
      </c>
      <c r="AA3213">
        <f>IF($V3213="",N($AA3212),IF(MATCH($V3213,$V$6:$V$10005,0)=ROW()-5,N($AA3212)+1,N($AA3212)))</f>
        <v>0</v>
      </c>
    </row>
    <row r="3214" spans="1:27" ht="21" customHeight="1" x14ac:dyDescent="0.95">
      <c r="A3214" s="56"/>
      <c r="B3214" s="57"/>
      <c r="C3214" s="57"/>
      <c r="D3214" s="57"/>
      <c r="E3214" s="56"/>
      <c r="F3214" s="57"/>
      <c r="G3214" s="57"/>
      <c r="H3214" s="56"/>
      <c r="I3214" s="56"/>
      <c r="J3214" s="58"/>
      <c r="K3214" s="58"/>
      <c r="L3214" s="13" t="str">
        <f t="shared" si="500"/>
        <v/>
      </c>
      <c r="M3214" s="13" t="str">
        <f t="shared" si="501"/>
        <v/>
      </c>
      <c r="Q3214" t="str">
        <f t="shared" si="502"/>
        <v/>
      </c>
      <c r="R3214" t="str">
        <f t="shared" si="503"/>
        <v/>
      </c>
      <c r="S3214" t="str">
        <f t="shared" si="504"/>
        <v/>
      </c>
      <c r="T3214" t="str">
        <f t="shared" si="505"/>
        <v/>
      </c>
      <c r="U3214" t="str">
        <f t="shared" si="506"/>
        <v/>
      </c>
      <c r="V3214" t="str">
        <f t="shared" si="507"/>
        <v/>
      </c>
      <c r="W3214" t="str">
        <f t="shared" si="508"/>
        <v/>
      </c>
      <c r="X3214">
        <f>IF($T3214="",N($X3213),IF(MATCH($T3214,$T$6:$T$10005,0)=ROW()-5,N($X3213)+1,N($X3213)))</f>
        <v>0</v>
      </c>
      <c r="Z3214" t="str">
        <f t="shared" si="509"/>
        <v/>
      </c>
      <c r="AA3214">
        <f>IF($V3214="",N($AA3213),IF(MATCH($V3214,$V$6:$V$10005,0)=ROW()-5,N($AA3213)+1,N($AA3213)))</f>
        <v>0</v>
      </c>
    </row>
    <row r="3215" spans="1:27" ht="21" customHeight="1" x14ac:dyDescent="0.95">
      <c r="A3215" s="56"/>
      <c r="B3215" s="57"/>
      <c r="C3215" s="57"/>
      <c r="D3215" s="57"/>
      <c r="E3215" s="56"/>
      <c r="F3215" s="57"/>
      <c r="G3215" s="57"/>
      <c r="H3215" s="56"/>
      <c r="I3215" s="56"/>
      <c r="J3215" s="58"/>
      <c r="K3215" s="58"/>
      <c r="L3215" s="13" t="str">
        <f t="shared" si="500"/>
        <v/>
      </c>
      <c r="M3215" s="13" t="str">
        <f t="shared" si="501"/>
        <v/>
      </c>
      <c r="Q3215" t="str">
        <f t="shared" si="502"/>
        <v/>
      </c>
      <c r="R3215" t="str">
        <f t="shared" si="503"/>
        <v/>
      </c>
      <c r="S3215" t="str">
        <f t="shared" si="504"/>
        <v/>
      </c>
      <c r="T3215" t="str">
        <f t="shared" si="505"/>
        <v/>
      </c>
      <c r="U3215" t="str">
        <f t="shared" si="506"/>
        <v/>
      </c>
      <c r="V3215" t="str">
        <f t="shared" si="507"/>
        <v/>
      </c>
      <c r="W3215" t="str">
        <f t="shared" si="508"/>
        <v/>
      </c>
      <c r="X3215">
        <f>IF($T3215="",N($X3214),IF(MATCH($T3215,$T$6:$T$10005,0)=ROW()-5,N($X3214)+1,N($X3214)))</f>
        <v>0</v>
      </c>
      <c r="Z3215" t="str">
        <f t="shared" si="509"/>
        <v/>
      </c>
      <c r="AA3215">
        <f>IF($V3215="",N($AA3214),IF(MATCH($V3215,$V$6:$V$10005,0)=ROW()-5,N($AA3214)+1,N($AA3214)))</f>
        <v>0</v>
      </c>
    </row>
    <row r="3216" spans="1:27" ht="21" customHeight="1" x14ac:dyDescent="0.95">
      <c r="A3216" s="56"/>
      <c r="B3216" s="57"/>
      <c r="C3216" s="57"/>
      <c r="D3216" s="57"/>
      <c r="E3216" s="56"/>
      <c r="F3216" s="57"/>
      <c r="G3216" s="57"/>
      <c r="H3216" s="56"/>
      <c r="I3216" s="56"/>
      <c r="J3216" s="58"/>
      <c r="K3216" s="58"/>
      <c r="L3216" s="13" t="str">
        <f t="shared" si="500"/>
        <v/>
      </c>
      <c r="M3216" s="13" t="str">
        <f t="shared" si="501"/>
        <v/>
      </c>
      <c r="Q3216" t="str">
        <f t="shared" si="502"/>
        <v/>
      </c>
      <c r="R3216" t="str">
        <f t="shared" si="503"/>
        <v/>
      </c>
      <c r="S3216" t="str">
        <f t="shared" si="504"/>
        <v/>
      </c>
      <c r="T3216" t="str">
        <f t="shared" si="505"/>
        <v/>
      </c>
      <c r="U3216" t="str">
        <f t="shared" si="506"/>
        <v/>
      </c>
      <c r="V3216" t="str">
        <f t="shared" si="507"/>
        <v/>
      </c>
      <c r="W3216" t="str">
        <f t="shared" si="508"/>
        <v/>
      </c>
      <c r="X3216">
        <f>IF($T3216="",N($X3215),IF(MATCH($T3216,$T$6:$T$10005,0)=ROW()-5,N($X3215)+1,N($X3215)))</f>
        <v>0</v>
      </c>
      <c r="Z3216" t="str">
        <f t="shared" si="509"/>
        <v/>
      </c>
      <c r="AA3216">
        <f>IF($V3216="",N($AA3215),IF(MATCH($V3216,$V$6:$V$10005,0)=ROW()-5,N($AA3215)+1,N($AA3215)))</f>
        <v>0</v>
      </c>
    </row>
    <row r="3217" spans="1:27" ht="21" customHeight="1" x14ac:dyDescent="0.95">
      <c r="A3217" s="56"/>
      <c r="B3217" s="57"/>
      <c r="C3217" s="57"/>
      <c r="D3217" s="57"/>
      <c r="E3217" s="56"/>
      <c r="F3217" s="57"/>
      <c r="G3217" s="57"/>
      <c r="H3217" s="56"/>
      <c r="I3217" s="56"/>
      <c r="J3217" s="58"/>
      <c r="K3217" s="58"/>
      <c r="L3217" s="13" t="str">
        <f t="shared" si="500"/>
        <v/>
      </c>
      <c r="M3217" s="13" t="str">
        <f t="shared" si="501"/>
        <v/>
      </c>
      <c r="Q3217" t="str">
        <f t="shared" si="502"/>
        <v/>
      </c>
      <c r="R3217" t="str">
        <f t="shared" si="503"/>
        <v/>
      </c>
      <c r="S3217" t="str">
        <f t="shared" si="504"/>
        <v/>
      </c>
      <c r="T3217" t="str">
        <f t="shared" si="505"/>
        <v/>
      </c>
      <c r="U3217" t="str">
        <f t="shared" si="506"/>
        <v/>
      </c>
      <c r="V3217" t="str">
        <f t="shared" si="507"/>
        <v/>
      </c>
      <c r="W3217" t="str">
        <f t="shared" si="508"/>
        <v/>
      </c>
      <c r="X3217">
        <f>IF($T3217="",N($X3216),IF(MATCH($T3217,$T$6:$T$10005,0)=ROW()-5,N($X3216)+1,N($X3216)))</f>
        <v>0</v>
      </c>
      <c r="Z3217" t="str">
        <f t="shared" si="509"/>
        <v/>
      </c>
      <c r="AA3217">
        <f>IF($V3217="",N($AA3216),IF(MATCH($V3217,$V$6:$V$10005,0)=ROW()-5,N($AA3216)+1,N($AA3216)))</f>
        <v>0</v>
      </c>
    </row>
    <row r="3218" spans="1:27" ht="21" customHeight="1" x14ac:dyDescent="0.95">
      <c r="A3218" s="56"/>
      <c r="B3218" s="57"/>
      <c r="C3218" s="57"/>
      <c r="D3218" s="57"/>
      <c r="E3218" s="56"/>
      <c r="F3218" s="57"/>
      <c r="G3218" s="57"/>
      <c r="H3218" s="56"/>
      <c r="I3218" s="56"/>
      <c r="J3218" s="58"/>
      <c r="K3218" s="58"/>
      <c r="L3218" s="13" t="str">
        <f t="shared" si="500"/>
        <v/>
      </c>
      <c r="M3218" s="13" t="str">
        <f t="shared" si="501"/>
        <v/>
      </c>
      <c r="Q3218" t="str">
        <f t="shared" si="502"/>
        <v/>
      </c>
      <c r="R3218" t="str">
        <f t="shared" si="503"/>
        <v/>
      </c>
      <c r="S3218" t="str">
        <f t="shared" si="504"/>
        <v/>
      </c>
      <c r="T3218" t="str">
        <f t="shared" si="505"/>
        <v/>
      </c>
      <c r="U3218" t="str">
        <f t="shared" si="506"/>
        <v/>
      </c>
      <c r="V3218" t="str">
        <f t="shared" si="507"/>
        <v/>
      </c>
      <c r="W3218" t="str">
        <f t="shared" si="508"/>
        <v/>
      </c>
      <c r="X3218">
        <f>IF($T3218="",N($X3217),IF(MATCH($T3218,$T$6:$T$10005,0)=ROW()-5,N($X3217)+1,N($X3217)))</f>
        <v>0</v>
      </c>
      <c r="Z3218" t="str">
        <f t="shared" si="509"/>
        <v/>
      </c>
      <c r="AA3218">
        <f>IF($V3218="",N($AA3217),IF(MATCH($V3218,$V$6:$V$10005,0)=ROW()-5,N($AA3217)+1,N($AA3217)))</f>
        <v>0</v>
      </c>
    </row>
    <row r="3219" spans="1:27" ht="21" customHeight="1" x14ac:dyDescent="0.95">
      <c r="A3219" s="56"/>
      <c r="B3219" s="57"/>
      <c r="C3219" s="57"/>
      <c r="D3219" s="57"/>
      <c r="E3219" s="56"/>
      <c r="F3219" s="57"/>
      <c r="G3219" s="57"/>
      <c r="H3219" s="56"/>
      <c r="I3219" s="56"/>
      <c r="J3219" s="58"/>
      <c r="K3219" s="58"/>
      <c r="L3219" s="13" t="str">
        <f t="shared" si="500"/>
        <v/>
      </c>
      <c r="M3219" s="13" t="str">
        <f t="shared" si="501"/>
        <v/>
      </c>
      <c r="Q3219" t="str">
        <f t="shared" si="502"/>
        <v/>
      </c>
      <c r="R3219" t="str">
        <f t="shared" si="503"/>
        <v/>
      </c>
      <c r="S3219" t="str">
        <f t="shared" si="504"/>
        <v/>
      </c>
      <c r="T3219" t="str">
        <f t="shared" si="505"/>
        <v/>
      </c>
      <c r="U3219" t="str">
        <f t="shared" si="506"/>
        <v/>
      </c>
      <c r="V3219" t="str">
        <f t="shared" si="507"/>
        <v/>
      </c>
      <c r="W3219" t="str">
        <f t="shared" si="508"/>
        <v/>
      </c>
      <c r="X3219">
        <f>IF($T3219="",N($X3218),IF(MATCH($T3219,$T$6:$T$10005,0)=ROW()-5,N($X3218)+1,N($X3218)))</f>
        <v>0</v>
      </c>
      <c r="Z3219" t="str">
        <f t="shared" si="509"/>
        <v/>
      </c>
      <c r="AA3219">
        <f>IF($V3219="",N($AA3218),IF(MATCH($V3219,$V$6:$V$10005,0)=ROW()-5,N($AA3218)+1,N($AA3218)))</f>
        <v>0</v>
      </c>
    </row>
    <row r="3220" spans="1:27" ht="21" customHeight="1" x14ac:dyDescent="0.95">
      <c r="A3220" s="56"/>
      <c r="B3220" s="57"/>
      <c r="C3220" s="57"/>
      <c r="D3220" s="57"/>
      <c r="E3220" s="56"/>
      <c r="F3220" s="57"/>
      <c r="G3220" s="57"/>
      <c r="H3220" s="56"/>
      <c r="I3220" s="56"/>
      <c r="J3220" s="58"/>
      <c r="K3220" s="58"/>
      <c r="L3220" s="13" t="str">
        <f t="shared" si="500"/>
        <v/>
      </c>
      <c r="M3220" s="13" t="str">
        <f t="shared" si="501"/>
        <v/>
      </c>
      <c r="Q3220" t="str">
        <f t="shared" si="502"/>
        <v/>
      </c>
      <c r="R3220" t="str">
        <f t="shared" si="503"/>
        <v/>
      </c>
      <c r="S3220" t="str">
        <f t="shared" si="504"/>
        <v/>
      </c>
      <c r="T3220" t="str">
        <f t="shared" si="505"/>
        <v/>
      </c>
      <c r="U3220" t="str">
        <f t="shared" si="506"/>
        <v/>
      </c>
      <c r="V3220" t="str">
        <f t="shared" si="507"/>
        <v/>
      </c>
      <c r="W3220" t="str">
        <f t="shared" si="508"/>
        <v/>
      </c>
      <c r="X3220">
        <f>IF($T3220="",N($X3219),IF(MATCH($T3220,$T$6:$T$10005,0)=ROW()-5,N($X3219)+1,N($X3219)))</f>
        <v>0</v>
      </c>
      <c r="Z3220" t="str">
        <f t="shared" si="509"/>
        <v/>
      </c>
      <c r="AA3220">
        <f>IF($V3220="",N($AA3219),IF(MATCH($V3220,$V$6:$V$10005,0)=ROW()-5,N($AA3219)+1,N($AA3219)))</f>
        <v>0</v>
      </c>
    </row>
    <row r="3221" spans="1:27" ht="21" customHeight="1" x14ac:dyDescent="0.95">
      <c r="A3221" s="56"/>
      <c r="B3221" s="57"/>
      <c r="C3221" s="57"/>
      <c r="D3221" s="57"/>
      <c r="E3221" s="56"/>
      <c r="F3221" s="57"/>
      <c r="G3221" s="57"/>
      <c r="H3221" s="56"/>
      <c r="I3221" s="56"/>
      <c r="J3221" s="58"/>
      <c r="K3221" s="58"/>
      <c r="L3221" s="13" t="str">
        <f t="shared" si="500"/>
        <v/>
      </c>
      <c r="M3221" s="13" t="str">
        <f t="shared" si="501"/>
        <v/>
      </c>
      <c r="Q3221" t="str">
        <f t="shared" si="502"/>
        <v/>
      </c>
      <c r="R3221" t="str">
        <f t="shared" si="503"/>
        <v/>
      </c>
      <c r="S3221" t="str">
        <f t="shared" si="504"/>
        <v/>
      </c>
      <c r="T3221" t="str">
        <f t="shared" si="505"/>
        <v/>
      </c>
      <c r="U3221" t="str">
        <f t="shared" si="506"/>
        <v/>
      </c>
      <c r="V3221" t="str">
        <f t="shared" si="507"/>
        <v/>
      </c>
      <c r="W3221" t="str">
        <f t="shared" si="508"/>
        <v/>
      </c>
      <c r="X3221">
        <f>IF($T3221="",N($X3220),IF(MATCH($T3221,$T$6:$T$10005,0)=ROW()-5,N($X3220)+1,N($X3220)))</f>
        <v>0</v>
      </c>
      <c r="Z3221" t="str">
        <f t="shared" si="509"/>
        <v/>
      </c>
      <c r="AA3221">
        <f>IF($V3221="",N($AA3220),IF(MATCH($V3221,$V$6:$V$10005,0)=ROW()-5,N($AA3220)+1,N($AA3220)))</f>
        <v>0</v>
      </c>
    </row>
    <row r="3222" spans="1:27" ht="21" customHeight="1" x14ac:dyDescent="0.95">
      <c r="A3222" s="56"/>
      <c r="B3222" s="57"/>
      <c r="C3222" s="57"/>
      <c r="D3222" s="57"/>
      <c r="E3222" s="56"/>
      <c r="F3222" s="57"/>
      <c r="G3222" s="57"/>
      <c r="H3222" s="56"/>
      <c r="I3222" s="56"/>
      <c r="J3222" s="58"/>
      <c r="K3222" s="58"/>
      <c r="L3222" s="13" t="str">
        <f t="shared" si="500"/>
        <v/>
      </c>
      <c r="M3222" s="13" t="str">
        <f t="shared" si="501"/>
        <v/>
      </c>
      <c r="Q3222" t="str">
        <f t="shared" si="502"/>
        <v/>
      </c>
      <c r="R3222" t="str">
        <f t="shared" si="503"/>
        <v/>
      </c>
      <c r="S3222" t="str">
        <f t="shared" si="504"/>
        <v/>
      </c>
      <c r="T3222" t="str">
        <f t="shared" si="505"/>
        <v/>
      </c>
      <c r="U3222" t="str">
        <f t="shared" si="506"/>
        <v/>
      </c>
      <c r="V3222" t="str">
        <f t="shared" si="507"/>
        <v/>
      </c>
      <c r="W3222" t="str">
        <f t="shared" si="508"/>
        <v/>
      </c>
      <c r="X3222">
        <f>IF($T3222="",N($X3221),IF(MATCH($T3222,$T$6:$T$10005,0)=ROW()-5,N($X3221)+1,N($X3221)))</f>
        <v>0</v>
      </c>
      <c r="Z3222" t="str">
        <f t="shared" si="509"/>
        <v/>
      </c>
      <c r="AA3222">
        <f>IF($V3222="",N($AA3221),IF(MATCH($V3222,$V$6:$V$10005,0)=ROW()-5,N($AA3221)+1,N($AA3221)))</f>
        <v>0</v>
      </c>
    </row>
    <row r="3223" spans="1:27" ht="21" customHeight="1" x14ac:dyDescent="0.95">
      <c r="A3223" s="56"/>
      <c r="B3223" s="57"/>
      <c r="C3223" s="57"/>
      <c r="D3223" s="57"/>
      <c r="E3223" s="56"/>
      <c r="F3223" s="57"/>
      <c r="G3223" s="57"/>
      <c r="H3223" s="56"/>
      <c r="I3223" s="56"/>
      <c r="J3223" s="58"/>
      <c r="K3223" s="58"/>
      <c r="L3223" s="13" t="str">
        <f t="shared" si="500"/>
        <v/>
      </c>
      <c r="M3223" s="13" t="str">
        <f t="shared" si="501"/>
        <v/>
      </c>
      <c r="Q3223" t="str">
        <f t="shared" si="502"/>
        <v/>
      </c>
      <c r="R3223" t="str">
        <f t="shared" si="503"/>
        <v/>
      </c>
      <c r="S3223" t="str">
        <f t="shared" si="504"/>
        <v/>
      </c>
      <c r="T3223" t="str">
        <f t="shared" si="505"/>
        <v/>
      </c>
      <c r="U3223" t="str">
        <f t="shared" si="506"/>
        <v/>
      </c>
      <c r="V3223" t="str">
        <f t="shared" si="507"/>
        <v/>
      </c>
      <c r="W3223" t="str">
        <f t="shared" si="508"/>
        <v/>
      </c>
      <c r="X3223">
        <f>IF($T3223="",N($X3222),IF(MATCH($T3223,$T$6:$T$10005,0)=ROW()-5,N($X3222)+1,N($X3222)))</f>
        <v>0</v>
      </c>
      <c r="Z3223" t="str">
        <f t="shared" si="509"/>
        <v/>
      </c>
      <c r="AA3223">
        <f>IF($V3223="",N($AA3222),IF(MATCH($V3223,$V$6:$V$10005,0)=ROW()-5,N($AA3222)+1,N($AA3222)))</f>
        <v>0</v>
      </c>
    </row>
    <row r="3224" spans="1:27" ht="21" customHeight="1" x14ac:dyDescent="0.95">
      <c r="A3224" s="56"/>
      <c r="B3224" s="57"/>
      <c r="C3224" s="57"/>
      <c r="D3224" s="57"/>
      <c r="E3224" s="56"/>
      <c r="F3224" s="57"/>
      <c r="G3224" s="57"/>
      <c r="H3224" s="56"/>
      <c r="I3224" s="56"/>
      <c r="J3224" s="58"/>
      <c r="K3224" s="58"/>
      <c r="L3224" s="13" t="str">
        <f t="shared" si="500"/>
        <v/>
      </c>
      <c r="M3224" s="13" t="str">
        <f t="shared" si="501"/>
        <v/>
      </c>
      <c r="Q3224" t="str">
        <f t="shared" si="502"/>
        <v/>
      </c>
      <c r="R3224" t="str">
        <f t="shared" si="503"/>
        <v/>
      </c>
      <c r="S3224" t="str">
        <f t="shared" si="504"/>
        <v/>
      </c>
      <c r="T3224" t="str">
        <f t="shared" si="505"/>
        <v/>
      </c>
      <c r="U3224" t="str">
        <f t="shared" si="506"/>
        <v/>
      </c>
      <c r="V3224" t="str">
        <f t="shared" si="507"/>
        <v/>
      </c>
      <c r="W3224" t="str">
        <f t="shared" si="508"/>
        <v/>
      </c>
      <c r="X3224">
        <f>IF($T3224="",N($X3223),IF(MATCH($T3224,$T$6:$T$10005,0)=ROW()-5,N($X3223)+1,N($X3223)))</f>
        <v>0</v>
      </c>
      <c r="Z3224" t="str">
        <f t="shared" si="509"/>
        <v/>
      </c>
      <c r="AA3224">
        <f>IF($V3224="",N($AA3223),IF(MATCH($V3224,$V$6:$V$10005,0)=ROW()-5,N($AA3223)+1,N($AA3223)))</f>
        <v>0</v>
      </c>
    </row>
    <row r="3225" spans="1:27" ht="21" customHeight="1" x14ac:dyDescent="0.95">
      <c r="A3225" s="56"/>
      <c r="B3225" s="57"/>
      <c r="C3225" s="57"/>
      <c r="D3225" s="57"/>
      <c r="E3225" s="56"/>
      <c r="F3225" s="57"/>
      <c r="G3225" s="57"/>
      <c r="H3225" s="56"/>
      <c r="I3225" s="56"/>
      <c r="J3225" s="58"/>
      <c r="K3225" s="58"/>
      <c r="L3225" s="13" t="str">
        <f t="shared" si="500"/>
        <v/>
      </c>
      <c r="M3225" s="13" t="str">
        <f t="shared" si="501"/>
        <v/>
      </c>
      <c r="Q3225" t="str">
        <f t="shared" si="502"/>
        <v/>
      </c>
      <c r="R3225" t="str">
        <f t="shared" si="503"/>
        <v/>
      </c>
      <c r="S3225" t="str">
        <f t="shared" si="504"/>
        <v/>
      </c>
      <c r="T3225" t="str">
        <f t="shared" si="505"/>
        <v/>
      </c>
      <c r="U3225" t="str">
        <f t="shared" si="506"/>
        <v/>
      </c>
      <c r="V3225" t="str">
        <f t="shared" si="507"/>
        <v/>
      </c>
      <c r="W3225" t="str">
        <f t="shared" si="508"/>
        <v/>
      </c>
      <c r="X3225">
        <f>IF($T3225="",N($X3224),IF(MATCH($T3225,$T$6:$T$10005,0)=ROW()-5,N($X3224)+1,N($X3224)))</f>
        <v>0</v>
      </c>
      <c r="Z3225" t="str">
        <f t="shared" si="509"/>
        <v/>
      </c>
      <c r="AA3225">
        <f>IF($V3225="",N($AA3224),IF(MATCH($V3225,$V$6:$V$10005,0)=ROW()-5,N($AA3224)+1,N($AA3224)))</f>
        <v>0</v>
      </c>
    </row>
    <row r="3226" spans="1:27" ht="21" customHeight="1" x14ac:dyDescent="0.95">
      <c r="A3226" s="56"/>
      <c r="B3226" s="57"/>
      <c r="C3226" s="57"/>
      <c r="D3226" s="57"/>
      <c r="E3226" s="56"/>
      <c r="F3226" s="57"/>
      <c r="G3226" s="57"/>
      <c r="H3226" s="56"/>
      <c r="I3226" s="56"/>
      <c r="J3226" s="58"/>
      <c r="K3226" s="58"/>
      <c r="L3226" s="13" t="str">
        <f t="shared" si="500"/>
        <v/>
      </c>
      <c r="M3226" s="13" t="str">
        <f t="shared" si="501"/>
        <v/>
      </c>
      <c r="Q3226" t="str">
        <f t="shared" si="502"/>
        <v/>
      </c>
      <c r="R3226" t="str">
        <f t="shared" si="503"/>
        <v/>
      </c>
      <c r="S3226" t="str">
        <f t="shared" si="504"/>
        <v/>
      </c>
      <c r="T3226" t="str">
        <f t="shared" si="505"/>
        <v/>
      </c>
      <c r="U3226" t="str">
        <f t="shared" si="506"/>
        <v/>
      </c>
      <c r="V3226" t="str">
        <f t="shared" si="507"/>
        <v/>
      </c>
      <c r="W3226" t="str">
        <f t="shared" si="508"/>
        <v/>
      </c>
      <c r="X3226">
        <f>IF($T3226="",N($X3225),IF(MATCH($T3226,$T$6:$T$10005,0)=ROW()-5,N($X3225)+1,N($X3225)))</f>
        <v>0</v>
      </c>
      <c r="Z3226" t="str">
        <f t="shared" si="509"/>
        <v/>
      </c>
      <c r="AA3226">
        <f>IF($V3226="",N($AA3225),IF(MATCH($V3226,$V$6:$V$10005,0)=ROW()-5,N($AA3225)+1,N($AA3225)))</f>
        <v>0</v>
      </c>
    </row>
    <row r="3227" spans="1:27" ht="21" customHeight="1" x14ac:dyDescent="0.95">
      <c r="A3227" s="56"/>
      <c r="B3227" s="57"/>
      <c r="C3227" s="57"/>
      <c r="D3227" s="57"/>
      <c r="E3227" s="56"/>
      <c r="F3227" s="57"/>
      <c r="G3227" s="57"/>
      <c r="H3227" s="56"/>
      <c r="I3227" s="56"/>
      <c r="J3227" s="58"/>
      <c r="K3227" s="58"/>
      <c r="L3227" s="13" t="str">
        <f t="shared" si="500"/>
        <v/>
      </c>
      <c r="M3227" s="13" t="str">
        <f t="shared" si="501"/>
        <v/>
      </c>
      <c r="Q3227" t="str">
        <f t="shared" si="502"/>
        <v/>
      </c>
      <c r="R3227" t="str">
        <f t="shared" si="503"/>
        <v/>
      </c>
      <c r="S3227" t="str">
        <f t="shared" si="504"/>
        <v/>
      </c>
      <c r="T3227" t="str">
        <f t="shared" si="505"/>
        <v/>
      </c>
      <c r="U3227" t="str">
        <f t="shared" si="506"/>
        <v/>
      </c>
      <c r="V3227" t="str">
        <f t="shared" si="507"/>
        <v/>
      </c>
      <c r="W3227" t="str">
        <f t="shared" si="508"/>
        <v/>
      </c>
      <c r="X3227">
        <f>IF($T3227="",N($X3226),IF(MATCH($T3227,$T$6:$T$10005,0)=ROW()-5,N($X3226)+1,N($X3226)))</f>
        <v>0</v>
      </c>
      <c r="Z3227" t="str">
        <f t="shared" si="509"/>
        <v/>
      </c>
      <c r="AA3227">
        <f>IF($V3227="",N($AA3226),IF(MATCH($V3227,$V$6:$V$10005,0)=ROW()-5,N($AA3226)+1,N($AA3226)))</f>
        <v>0</v>
      </c>
    </row>
    <row r="3228" spans="1:27" ht="21" customHeight="1" x14ac:dyDescent="0.95">
      <c r="A3228" s="56"/>
      <c r="B3228" s="57"/>
      <c r="C3228" s="57"/>
      <c r="D3228" s="57"/>
      <c r="E3228" s="56"/>
      <c r="F3228" s="57"/>
      <c r="G3228" s="57"/>
      <c r="H3228" s="56"/>
      <c r="I3228" s="56"/>
      <c r="J3228" s="58"/>
      <c r="K3228" s="58"/>
      <c r="L3228" s="13" t="str">
        <f t="shared" si="500"/>
        <v/>
      </c>
      <c r="M3228" s="13" t="str">
        <f t="shared" si="501"/>
        <v/>
      </c>
      <c r="Q3228" t="str">
        <f t="shared" si="502"/>
        <v/>
      </c>
      <c r="R3228" t="str">
        <f t="shared" si="503"/>
        <v/>
      </c>
      <c r="S3228" t="str">
        <f t="shared" si="504"/>
        <v/>
      </c>
      <c r="T3228" t="str">
        <f t="shared" si="505"/>
        <v/>
      </c>
      <c r="U3228" t="str">
        <f t="shared" si="506"/>
        <v/>
      </c>
      <c r="V3228" t="str">
        <f t="shared" si="507"/>
        <v/>
      </c>
      <c r="W3228" t="str">
        <f t="shared" si="508"/>
        <v/>
      </c>
      <c r="X3228">
        <f>IF($T3228="",N($X3227),IF(MATCH($T3228,$T$6:$T$10005,0)=ROW()-5,N($X3227)+1,N($X3227)))</f>
        <v>0</v>
      </c>
      <c r="Z3228" t="str">
        <f t="shared" si="509"/>
        <v/>
      </c>
      <c r="AA3228">
        <f>IF($V3228="",N($AA3227),IF(MATCH($V3228,$V$6:$V$10005,0)=ROW()-5,N($AA3227)+1,N($AA3227)))</f>
        <v>0</v>
      </c>
    </row>
    <row r="3229" spans="1:27" ht="21" customHeight="1" x14ac:dyDescent="0.95">
      <c r="A3229" s="56"/>
      <c r="B3229" s="57"/>
      <c r="C3229" s="57"/>
      <c r="D3229" s="57"/>
      <c r="E3229" s="56"/>
      <c r="F3229" s="57"/>
      <c r="G3229" s="57"/>
      <c r="H3229" s="56"/>
      <c r="I3229" s="56"/>
      <c r="J3229" s="58"/>
      <c r="K3229" s="58"/>
      <c r="L3229" s="13" t="str">
        <f t="shared" si="500"/>
        <v/>
      </c>
      <c r="M3229" s="13" t="str">
        <f t="shared" si="501"/>
        <v/>
      </c>
      <c r="Q3229" t="str">
        <f t="shared" si="502"/>
        <v/>
      </c>
      <c r="R3229" t="str">
        <f t="shared" si="503"/>
        <v/>
      </c>
      <c r="S3229" t="str">
        <f t="shared" si="504"/>
        <v/>
      </c>
      <c r="T3229" t="str">
        <f t="shared" si="505"/>
        <v/>
      </c>
      <c r="U3229" t="str">
        <f t="shared" si="506"/>
        <v/>
      </c>
      <c r="V3229" t="str">
        <f t="shared" si="507"/>
        <v/>
      </c>
      <c r="W3229" t="str">
        <f t="shared" si="508"/>
        <v/>
      </c>
      <c r="X3229">
        <f>IF($T3229="",N($X3228),IF(MATCH($T3229,$T$6:$T$10005,0)=ROW()-5,N($X3228)+1,N($X3228)))</f>
        <v>0</v>
      </c>
      <c r="Z3229" t="str">
        <f t="shared" si="509"/>
        <v/>
      </c>
      <c r="AA3229">
        <f>IF($V3229="",N($AA3228),IF(MATCH($V3229,$V$6:$V$10005,0)=ROW()-5,N($AA3228)+1,N($AA3228)))</f>
        <v>0</v>
      </c>
    </row>
    <row r="3230" spans="1:27" ht="21" customHeight="1" x14ac:dyDescent="0.95">
      <c r="A3230" s="56"/>
      <c r="B3230" s="57"/>
      <c r="C3230" s="57"/>
      <c r="D3230" s="57"/>
      <c r="E3230" s="56"/>
      <c r="F3230" s="57"/>
      <c r="G3230" s="57"/>
      <c r="H3230" s="56"/>
      <c r="I3230" s="56"/>
      <c r="J3230" s="58"/>
      <c r="K3230" s="58"/>
      <c r="L3230" s="13" t="str">
        <f t="shared" si="500"/>
        <v/>
      </c>
      <c r="M3230" s="13" t="str">
        <f t="shared" si="501"/>
        <v/>
      </c>
      <c r="Q3230" t="str">
        <f t="shared" si="502"/>
        <v/>
      </c>
      <c r="R3230" t="str">
        <f t="shared" si="503"/>
        <v/>
      </c>
      <c r="S3230" t="str">
        <f t="shared" si="504"/>
        <v/>
      </c>
      <c r="T3230" t="str">
        <f t="shared" si="505"/>
        <v/>
      </c>
      <c r="U3230" t="str">
        <f t="shared" si="506"/>
        <v/>
      </c>
      <c r="V3230" t="str">
        <f t="shared" si="507"/>
        <v/>
      </c>
      <c r="W3230" t="str">
        <f t="shared" si="508"/>
        <v/>
      </c>
      <c r="X3230">
        <f>IF($T3230="",N($X3229),IF(MATCH($T3230,$T$6:$T$10005,0)=ROW()-5,N($X3229)+1,N($X3229)))</f>
        <v>0</v>
      </c>
      <c r="Z3230" t="str">
        <f t="shared" si="509"/>
        <v/>
      </c>
      <c r="AA3230">
        <f>IF($V3230="",N($AA3229),IF(MATCH($V3230,$V$6:$V$10005,0)=ROW()-5,N($AA3229)+1,N($AA3229)))</f>
        <v>0</v>
      </c>
    </row>
    <row r="3231" spans="1:27" ht="21" customHeight="1" x14ac:dyDescent="0.95">
      <c r="A3231" s="56"/>
      <c r="B3231" s="57"/>
      <c r="C3231" s="57"/>
      <c r="D3231" s="57"/>
      <c r="E3231" s="56"/>
      <c r="F3231" s="57"/>
      <c r="G3231" s="57"/>
      <c r="H3231" s="56"/>
      <c r="I3231" s="56"/>
      <c r="J3231" s="58"/>
      <c r="K3231" s="58"/>
      <c r="L3231" s="13" t="str">
        <f t="shared" si="500"/>
        <v/>
      </c>
      <c r="M3231" s="13" t="str">
        <f t="shared" si="501"/>
        <v/>
      </c>
      <c r="Q3231" t="str">
        <f t="shared" si="502"/>
        <v/>
      </c>
      <c r="R3231" t="str">
        <f t="shared" si="503"/>
        <v/>
      </c>
      <c r="S3231" t="str">
        <f t="shared" si="504"/>
        <v/>
      </c>
      <c r="T3231" t="str">
        <f t="shared" si="505"/>
        <v/>
      </c>
      <c r="U3231" t="str">
        <f t="shared" si="506"/>
        <v/>
      </c>
      <c r="V3231" t="str">
        <f t="shared" si="507"/>
        <v/>
      </c>
      <c r="W3231" t="str">
        <f t="shared" si="508"/>
        <v/>
      </c>
      <c r="X3231">
        <f>IF($T3231="",N($X3230),IF(MATCH($T3231,$T$6:$T$10005,0)=ROW()-5,N($X3230)+1,N($X3230)))</f>
        <v>0</v>
      </c>
      <c r="Z3231" t="str">
        <f t="shared" si="509"/>
        <v/>
      </c>
      <c r="AA3231">
        <f>IF($V3231="",N($AA3230),IF(MATCH($V3231,$V$6:$V$10005,0)=ROW()-5,N($AA3230)+1,N($AA3230)))</f>
        <v>0</v>
      </c>
    </row>
    <row r="3232" spans="1:27" ht="21" customHeight="1" x14ac:dyDescent="0.95">
      <c r="A3232" s="56"/>
      <c r="B3232" s="57"/>
      <c r="C3232" s="57"/>
      <c r="D3232" s="57"/>
      <c r="E3232" s="56"/>
      <c r="F3232" s="57"/>
      <c r="G3232" s="57"/>
      <c r="H3232" s="56"/>
      <c r="I3232" s="56"/>
      <c r="J3232" s="58"/>
      <c r="K3232" s="58"/>
      <c r="L3232" s="13" t="str">
        <f t="shared" si="500"/>
        <v/>
      </c>
      <c r="M3232" s="13" t="str">
        <f t="shared" si="501"/>
        <v/>
      </c>
      <c r="Q3232" t="str">
        <f t="shared" si="502"/>
        <v/>
      </c>
      <c r="R3232" t="str">
        <f t="shared" si="503"/>
        <v/>
      </c>
      <c r="S3232" t="str">
        <f t="shared" si="504"/>
        <v/>
      </c>
      <c r="T3232" t="str">
        <f t="shared" si="505"/>
        <v/>
      </c>
      <c r="U3232" t="str">
        <f t="shared" si="506"/>
        <v/>
      </c>
      <c r="V3232" t="str">
        <f t="shared" si="507"/>
        <v/>
      </c>
      <c r="W3232" t="str">
        <f t="shared" si="508"/>
        <v/>
      </c>
      <c r="X3232">
        <f>IF($T3232="",N($X3231),IF(MATCH($T3232,$T$6:$T$10005,0)=ROW()-5,N($X3231)+1,N($X3231)))</f>
        <v>0</v>
      </c>
      <c r="Z3232" t="str">
        <f t="shared" si="509"/>
        <v/>
      </c>
      <c r="AA3232">
        <f>IF($V3232="",N($AA3231),IF(MATCH($V3232,$V$6:$V$10005,0)=ROW()-5,N($AA3231)+1,N($AA3231)))</f>
        <v>0</v>
      </c>
    </row>
    <row r="3233" spans="1:27" ht="21" customHeight="1" x14ac:dyDescent="0.95">
      <c r="A3233" s="56"/>
      <c r="B3233" s="57"/>
      <c r="C3233" s="57"/>
      <c r="D3233" s="57"/>
      <c r="E3233" s="56"/>
      <c r="F3233" s="57"/>
      <c r="G3233" s="57"/>
      <c r="H3233" s="56"/>
      <c r="I3233" s="56"/>
      <c r="J3233" s="58"/>
      <c r="K3233" s="58"/>
      <c r="L3233" s="13" t="str">
        <f t="shared" si="500"/>
        <v/>
      </c>
      <c r="M3233" s="13" t="str">
        <f t="shared" si="501"/>
        <v/>
      </c>
      <c r="Q3233" t="str">
        <f t="shared" si="502"/>
        <v/>
      </c>
      <c r="R3233" t="str">
        <f t="shared" si="503"/>
        <v/>
      </c>
      <c r="S3233" t="str">
        <f t="shared" si="504"/>
        <v/>
      </c>
      <c r="T3233" t="str">
        <f t="shared" si="505"/>
        <v/>
      </c>
      <c r="U3233" t="str">
        <f t="shared" si="506"/>
        <v/>
      </c>
      <c r="V3233" t="str">
        <f t="shared" si="507"/>
        <v/>
      </c>
      <c r="W3233" t="str">
        <f t="shared" si="508"/>
        <v/>
      </c>
      <c r="X3233">
        <f>IF($T3233="",N($X3232),IF(MATCH($T3233,$T$6:$T$10005,0)=ROW()-5,N($X3232)+1,N($X3232)))</f>
        <v>0</v>
      </c>
      <c r="Z3233" t="str">
        <f t="shared" si="509"/>
        <v/>
      </c>
      <c r="AA3233">
        <f>IF($V3233="",N($AA3232),IF(MATCH($V3233,$V$6:$V$10005,0)=ROW()-5,N($AA3232)+1,N($AA3232)))</f>
        <v>0</v>
      </c>
    </row>
    <row r="3234" spans="1:27" ht="21" customHeight="1" x14ac:dyDescent="0.95">
      <c r="A3234" s="56"/>
      <c r="B3234" s="57"/>
      <c r="C3234" s="57"/>
      <c r="D3234" s="57"/>
      <c r="E3234" s="56"/>
      <c r="F3234" s="57"/>
      <c r="G3234" s="57"/>
      <c r="H3234" s="56"/>
      <c r="I3234" s="56"/>
      <c r="J3234" s="58"/>
      <c r="K3234" s="58"/>
      <c r="L3234" s="13" t="str">
        <f t="shared" si="500"/>
        <v/>
      </c>
      <c r="M3234" s="13" t="str">
        <f t="shared" si="501"/>
        <v/>
      </c>
      <c r="Q3234" t="str">
        <f t="shared" si="502"/>
        <v/>
      </c>
      <c r="R3234" t="str">
        <f t="shared" si="503"/>
        <v/>
      </c>
      <c r="S3234" t="str">
        <f t="shared" si="504"/>
        <v/>
      </c>
      <c r="T3234" t="str">
        <f t="shared" si="505"/>
        <v/>
      </c>
      <c r="U3234" t="str">
        <f t="shared" si="506"/>
        <v/>
      </c>
      <c r="V3234" t="str">
        <f t="shared" si="507"/>
        <v/>
      </c>
      <c r="W3234" t="str">
        <f t="shared" si="508"/>
        <v/>
      </c>
      <c r="X3234">
        <f>IF($T3234="",N($X3233),IF(MATCH($T3234,$T$6:$T$10005,0)=ROW()-5,N($X3233)+1,N($X3233)))</f>
        <v>0</v>
      </c>
      <c r="Z3234" t="str">
        <f t="shared" si="509"/>
        <v/>
      </c>
      <c r="AA3234">
        <f>IF($V3234="",N($AA3233),IF(MATCH($V3234,$V$6:$V$10005,0)=ROW()-5,N($AA3233)+1,N($AA3233)))</f>
        <v>0</v>
      </c>
    </row>
    <row r="3235" spans="1:27" ht="21" customHeight="1" x14ac:dyDescent="0.95">
      <c r="A3235" s="56"/>
      <c r="B3235" s="57"/>
      <c r="C3235" s="57"/>
      <c r="D3235" s="57"/>
      <c r="E3235" s="56"/>
      <c r="F3235" s="57"/>
      <c r="G3235" s="57"/>
      <c r="H3235" s="56"/>
      <c r="I3235" s="56"/>
      <c r="J3235" s="58"/>
      <c r="K3235" s="58"/>
      <c r="L3235" s="13" t="str">
        <f t="shared" si="500"/>
        <v/>
      </c>
      <c r="M3235" s="13" t="str">
        <f t="shared" si="501"/>
        <v/>
      </c>
      <c r="Q3235" t="str">
        <f t="shared" si="502"/>
        <v/>
      </c>
      <c r="R3235" t="str">
        <f t="shared" si="503"/>
        <v/>
      </c>
      <c r="S3235" t="str">
        <f t="shared" si="504"/>
        <v/>
      </c>
      <c r="T3235" t="str">
        <f t="shared" si="505"/>
        <v/>
      </c>
      <c r="U3235" t="str">
        <f t="shared" si="506"/>
        <v/>
      </c>
      <c r="V3235" t="str">
        <f t="shared" si="507"/>
        <v/>
      </c>
      <c r="W3235" t="str">
        <f t="shared" si="508"/>
        <v/>
      </c>
      <c r="X3235">
        <f>IF($T3235="",N($X3234),IF(MATCH($T3235,$T$6:$T$10005,0)=ROW()-5,N($X3234)+1,N($X3234)))</f>
        <v>0</v>
      </c>
      <c r="Z3235" t="str">
        <f t="shared" si="509"/>
        <v/>
      </c>
      <c r="AA3235">
        <f>IF($V3235="",N($AA3234),IF(MATCH($V3235,$V$6:$V$10005,0)=ROW()-5,N($AA3234)+1,N($AA3234)))</f>
        <v>0</v>
      </c>
    </row>
    <row r="3236" spans="1:27" ht="21" customHeight="1" x14ac:dyDescent="0.95">
      <c r="A3236" s="56"/>
      <c r="B3236" s="57"/>
      <c r="C3236" s="57"/>
      <c r="D3236" s="57"/>
      <c r="E3236" s="56"/>
      <c r="F3236" s="57"/>
      <c r="G3236" s="57"/>
      <c r="H3236" s="56"/>
      <c r="I3236" s="56"/>
      <c r="J3236" s="58"/>
      <c r="K3236" s="58"/>
      <c r="L3236" s="13" t="str">
        <f t="shared" si="500"/>
        <v/>
      </c>
      <c r="M3236" s="13" t="str">
        <f t="shared" si="501"/>
        <v/>
      </c>
      <c r="Q3236" t="str">
        <f t="shared" si="502"/>
        <v/>
      </c>
      <c r="R3236" t="str">
        <f t="shared" si="503"/>
        <v/>
      </c>
      <c r="S3236" t="str">
        <f t="shared" si="504"/>
        <v/>
      </c>
      <c r="T3236" t="str">
        <f t="shared" si="505"/>
        <v/>
      </c>
      <c r="U3236" t="str">
        <f t="shared" si="506"/>
        <v/>
      </c>
      <c r="V3236" t="str">
        <f t="shared" si="507"/>
        <v/>
      </c>
      <c r="W3236" t="str">
        <f t="shared" si="508"/>
        <v/>
      </c>
      <c r="X3236">
        <f>IF($T3236="",N($X3235),IF(MATCH($T3236,$T$6:$T$10005,0)=ROW()-5,N($X3235)+1,N($X3235)))</f>
        <v>0</v>
      </c>
      <c r="Z3236" t="str">
        <f t="shared" si="509"/>
        <v/>
      </c>
      <c r="AA3236">
        <f>IF($V3236="",N($AA3235),IF(MATCH($V3236,$V$6:$V$10005,0)=ROW()-5,N($AA3235)+1,N($AA3235)))</f>
        <v>0</v>
      </c>
    </row>
    <row r="3237" spans="1:27" ht="21" customHeight="1" x14ac:dyDescent="0.95">
      <c r="A3237" s="56"/>
      <c r="B3237" s="57"/>
      <c r="C3237" s="57"/>
      <c r="D3237" s="57"/>
      <c r="E3237" s="56"/>
      <c r="F3237" s="57"/>
      <c r="G3237" s="57"/>
      <c r="H3237" s="56"/>
      <c r="I3237" s="56"/>
      <c r="J3237" s="58"/>
      <c r="K3237" s="58"/>
      <c r="L3237" s="13" t="str">
        <f t="shared" si="500"/>
        <v/>
      </c>
      <c r="M3237" s="13" t="str">
        <f t="shared" si="501"/>
        <v/>
      </c>
      <c r="Q3237" t="str">
        <f t="shared" si="502"/>
        <v/>
      </c>
      <c r="R3237" t="str">
        <f t="shared" si="503"/>
        <v/>
      </c>
      <c r="S3237" t="str">
        <f t="shared" si="504"/>
        <v/>
      </c>
      <c r="T3237" t="str">
        <f t="shared" si="505"/>
        <v/>
      </c>
      <c r="U3237" t="str">
        <f t="shared" si="506"/>
        <v/>
      </c>
      <c r="V3237" t="str">
        <f t="shared" si="507"/>
        <v/>
      </c>
      <c r="W3237" t="str">
        <f t="shared" si="508"/>
        <v/>
      </c>
      <c r="X3237">
        <f>IF($T3237="",N($X3236),IF(MATCH($T3237,$T$6:$T$10005,0)=ROW()-5,N($X3236)+1,N($X3236)))</f>
        <v>0</v>
      </c>
      <c r="Z3237" t="str">
        <f t="shared" si="509"/>
        <v/>
      </c>
      <c r="AA3237">
        <f>IF($V3237="",N($AA3236),IF(MATCH($V3237,$V$6:$V$10005,0)=ROW()-5,N($AA3236)+1,N($AA3236)))</f>
        <v>0</v>
      </c>
    </row>
    <row r="3238" spans="1:27" ht="21" customHeight="1" x14ac:dyDescent="0.95">
      <c r="A3238" s="56"/>
      <c r="B3238" s="57"/>
      <c r="C3238" s="57"/>
      <c r="D3238" s="57"/>
      <c r="E3238" s="56"/>
      <c r="F3238" s="57"/>
      <c r="G3238" s="57"/>
      <c r="H3238" s="56"/>
      <c r="I3238" s="56"/>
      <c r="J3238" s="58"/>
      <c r="K3238" s="58"/>
      <c r="L3238" s="13" t="str">
        <f t="shared" si="500"/>
        <v/>
      </c>
      <c r="M3238" s="13" t="str">
        <f t="shared" si="501"/>
        <v/>
      </c>
      <c r="Q3238" t="str">
        <f t="shared" si="502"/>
        <v/>
      </c>
      <c r="R3238" t="str">
        <f t="shared" si="503"/>
        <v/>
      </c>
      <c r="S3238" t="str">
        <f t="shared" si="504"/>
        <v/>
      </c>
      <c r="T3238" t="str">
        <f t="shared" si="505"/>
        <v/>
      </c>
      <c r="U3238" t="str">
        <f t="shared" si="506"/>
        <v/>
      </c>
      <c r="V3238" t="str">
        <f t="shared" si="507"/>
        <v/>
      </c>
      <c r="W3238" t="str">
        <f t="shared" si="508"/>
        <v/>
      </c>
      <c r="X3238">
        <f>IF($T3238="",N($X3237),IF(MATCH($T3238,$T$6:$T$10005,0)=ROW()-5,N($X3237)+1,N($X3237)))</f>
        <v>0</v>
      </c>
      <c r="Z3238" t="str">
        <f t="shared" si="509"/>
        <v/>
      </c>
      <c r="AA3238">
        <f>IF($V3238="",N($AA3237),IF(MATCH($V3238,$V$6:$V$10005,0)=ROW()-5,N($AA3237)+1,N($AA3237)))</f>
        <v>0</v>
      </c>
    </row>
    <row r="3239" spans="1:27" ht="21" customHeight="1" x14ac:dyDescent="0.95">
      <c r="A3239" s="56"/>
      <c r="B3239" s="57"/>
      <c r="C3239" s="57"/>
      <c r="D3239" s="57"/>
      <c r="E3239" s="56"/>
      <c r="F3239" s="57"/>
      <c r="G3239" s="57"/>
      <c r="H3239" s="56"/>
      <c r="I3239" s="56"/>
      <c r="J3239" s="58"/>
      <c r="K3239" s="58"/>
      <c r="L3239" s="13" t="str">
        <f t="shared" si="500"/>
        <v/>
      </c>
      <c r="M3239" s="13" t="str">
        <f t="shared" si="501"/>
        <v/>
      </c>
      <c r="Q3239" t="str">
        <f t="shared" si="502"/>
        <v/>
      </c>
      <c r="R3239" t="str">
        <f t="shared" si="503"/>
        <v/>
      </c>
      <c r="S3239" t="str">
        <f t="shared" si="504"/>
        <v/>
      </c>
      <c r="T3239" t="str">
        <f t="shared" si="505"/>
        <v/>
      </c>
      <c r="U3239" t="str">
        <f t="shared" si="506"/>
        <v/>
      </c>
      <c r="V3239" t="str">
        <f t="shared" si="507"/>
        <v/>
      </c>
      <c r="W3239" t="str">
        <f t="shared" si="508"/>
        <v/>
      </c>
      <c r="X3239">
        <f>IF($T3239="",N($X3238),IF(MATCH($T3239,$T$6:$T$10005,0)=ROW()-5,N($X3238)+1,N($X3238)))</f>
        <v>0</v>
      </c>
      <c r="Z3239" t="str">
        <f t="shared" si="509"/>
        <v/>
      </c>
      <c r="AA3239">
        <f>IF($V3239="",N($AA3238),IF(MATCH($V3239,$V$6:$V$10005,0)=ROW()-5,N($AA3238)+1,N($AA3238)))</f>
        <v>0</v>
      </c>
    </row>
    <row r="3240" spans="1:27" ht="21" customHeight="1" x14ac:dyDescent="0.95">
      <c r="A3240" s="56"/>
      <c r="B3240" s="57"/>
      <c r="C3240" s="57"/>
      <c r="D3240" s="57"/>
      <c r="E3240" s="56"/>
      <c r="F3240" s="57"/>
      <c r="G3240" s="57"/>
      <c r="H3240" s="56"/>
      <c r="I3240" s="56"/>
      <c r="J3240" s="58"/>
      <c r="K3240" s="58"/>
      <c r="L3240" s="13" t="str">
        <f t="shared" si="500"/>
        <v/>
      </c>
      <c r="M3240" s="13" t="str">
        <f t="shared" si="501"/>
        <v/>
      </c>
      <c r="Q3240" t="str">
        <f t="shared" si="502"/>
        <v/>
      </c>
      <c r="R3240" t="str">
        <f t="shared" si="503"/>
        <v/>
      </c>
      <c r="S3240" t="str">
        <f t="shared" si="504"/>
        <v/>
      </c>
      <c r="T3240" t="str">
        <f t="shared" si="505"/>
        <v/>
      </c>
      <c r="U3240" t="str">
        <f t="shared" si="506"/>
        <v/>
      </c>
      <c r="V3240" t="str">
        <f t="shared" si="507"/>
        <v/>
      </c>
      <c r="W3240" t="str">
        <f t="shared" si="508"/>
        <v/>
      </c>
      <c r="X3240">
        <f>IF($T3240="",N($X3239),IF(MATCH($T3240,$T$6:$T$10005,0)=ROW()-5,N($X3239)+1,N($X3239)))</f>
        <v>0</v>
      </c>
      <c r="Z3240" t="str">
        <f t="shared" si="509"/>
        <v/>
      </c>
      <c r="AA3240">
        <f>IF($V3240="",N($AA3239),IF(MATCH($V3240,$V$6:$V$10005,0)=ROW()-5,N($AA3239)+1,N($AA3239)))</f>
        <v>0</v>
      </c>
    </row>
    <row r="3241" spans="1:27" ht="21" customHeight="1" x14ac:dyDescent="0.95">
      <c r="A3241" s="56"/>
      <c r="B3241" s="57"/>
      <c r="C3241" s="57"/>
      <c r="D3241" s="57"/>
      <c r="E3241" s="56"/>
      <c r="F3241" s="57"/>
      <c r="G3241" s="57"/>
      <c r="H3241" s="56"/>
      <c r="I3241" s="56"/>
      <c r="J3241" s="58"/>
      <c r="K3241" s="58"/>
      <c r="L3241" s="13" t="str">
        <f t="shared" si="500"/>
        <v/>
      </c>
      <c r="M3241" s="13" t="str">
        <f t="shared" si="501"/>
        <v/>
      </c>
      <c r="Q3241" t="str">
        <f t="shared" si="502"/>
        <v/>
      </c>
      <c r="R3241" t="str">
        <f t="shared" si="503"/>
        <v/>
      </c>
      <c r="S3241" t="str">
        <f t="shared" si="504"/>
        <v/>
      </c>
      <c r="T3241" t="str">
        <f t="shared" si="505"/>
        <v/>
      </c>
      <c r="U3241" t="str">
        <f t="shared" si="506"/>
        <v/>
      </c>
      <c r="V3241" t="str">
        <f t="shared" si="507"/>
        <v/>
      </c>
      <c r="W3241" t="str">
        <f t="shared" si="508"/>
        <v/>
      </c>
      <c r="X3241">
        <f>IF($T3241="",N($X3240),IF(MATCH($T3241,$T$6:$T$10005,0)=ROW()-5,N($X3240)+1,N($X3240)))</f>
        <v>0</v>
      </c>
      <c r="Z3241" t="str">
        <f t="shared" si="509"/>
        <v/>
      </c>
      <c r="AA3241">
        <f>IF($V3241="",N($AA3240),IF(MATCH($V3241,$V$6:$V$10005,0)=ROW()-5,N($AA3240)+1,N($AA3240)))</f>
        <v>0</v>
      </c>
    </row>
    <row r="3242" spans="1:27" ht="21" customHeight="1" x14ac:dyDescent="0.95">
      <c r="A3242" s="56"/>
      <c r="B3242" s="57"/>
      <c r="C3242" s="57"/>
      <c r="D3242" s="57"/>
      <c r="E3242" s="56"/>
      <c r="F3242" s="57"/>
      <c r="G3242" s="57"/>
      <c r="H3242" s="56"/>
      <c r="I3242" s="56"/>
      <c r="J3242" s="58"/>
      <c r="K3242" s="58"/>
      <c r="L3242" s="13" t="str">
        <f t="shared" si="500"/>
        <v/>
      </c>
      <c r="M3242" s="13" t="str">
        <f t="shared" si="501"/>
        <v/>
      </c>
      <c r="Q3242" t="str">
        <f t="shared" si="502"/>
        <v/>
      </c>
      <c r="R3242" t="str">
        <f t="shared" si="503"/>
        <v/>
      </c>
      <c r="S3242" t="str">
        <f t="shared" si="504"/>
        <v/>
      </c>
      <c r="T3242" t="str">
        <f t="shared" si="505"/>
        <v/>
      </c>
      <c r="U3242" t="str">
        <f t="shared" si="506"/>
        <v/>
      </c>
      <c r="V3242" t="str">
        <f t="shared" si="507"/>
        <v/>
      </c>
      <c r="W3242" t="str">
        <f t="shared" si="508"/>
        <v/>
      </c>
      <c r="X3242">
        <f>IF($T3242="",N($X3241),IF(MATCH($T3242,$T$6:$T$10005,0)=ROW()-5,N($X3241)+1,N($X3241)))</f>
        <v>0</v>
      </c>
      <c r="Z3242" t="str">
        <f t="shared" si="509"/>
        <v/>
      </c>
      <c r="AA3242">
        <f>IF($V3242="",N($AA3241),IF(MATCH($V3242,$V$6:$V$10005,0)=ROW()-5,N($AA3241)+1,N($AA3241)))</f>
        <v>0</v>
      </c>
    </row>
    <row r="3243" spans="1:27" ht="21" customHeight="1" x14ac:dyDescent="0.95">
      <c r="A3243" s="56"/>
      <c r="B3243" s="57"/>
      <c r="C3243" s="57"/>
      <c r="D3243" s="57"/>
      <c r="E3243" s="56"/>
      <c r="F3243" s="57"/>
      <c r="G3243" s="57"/>
      <c r="H3243" s="56"/>
      <c r="I3243" s="56"/>
      <c r="J3243" s="58"/>
      <c r="K3243" s="58"/>
      <c r="L3243" s="13" t="str">
        <f t="shared" si="500"/>
        <v/>
      </c>
      <c r="M3243" s="13" t="str">
        <f t="shared" si="501"/>
        <v/>
      </c>
      <c r="Q3243" t="str">
        <f t="shared" si="502"/>
        <v/>
      </c>
      <c r="R3243" t="str">
        <f t="shared" si="503"/>
        <v/>
      </c>
      <c r="S3243" t="str">
        <f t="shared" si="504"/>
        <v/>
      </c>
      <c r="T3243" t="str">
        <f t="shared" si="505"/>
        <v/>
      </c>
      <c r="U3243" t="str">
        <f t="shared" si="506"/>
        <v/>
      </c>
      <c r="V3243" t="str">
        <f t="shared" si="507"/>
        <v/>
      </c>
      <c r="W3243" t="str">
        <f t="shared" si="508"/>
        <v/>
      </c>
      <c r="X3243">
        <f>IF($T3243="",N($X3242),IF(MATCH($T3243,$T$6:$T$10005,0)=ROW()-5,N($X3242)+1,N($X3242)))</f>
        <v>0</v>
      </c>
      <c r="Z3243" t="str">
        <f t="shared" si="509"/>
        <v/>
      </c>
      <c r="AA3243">
        <f>IF($V3243="",N($AA3242),IF(MATCH($V3243,$V$6:$V$10005,0)=ROW()-5,N($AA3242)+1,N($AA3242)))</f>
        <v>0</v>
      </c>
    </row>
    <row r="3244" spans="1:27" ht="21" customHeight="1" x14ac:dyDescent="0.95">
      <c r="A3244" s="56"/>
      <c r="B3244" s="57"/>
      <c r="C3244" s="57"/>
      <c r="D3244" s="57"/>
      <c r="E3244" s="56"/>
      <c r="F3244" s="57"/>
      <c r="G3244" s="57"/>
      <c r="H3244" s="56"/>
      <c r="I3244" s="56"/>
      <c r="J3244" s="58"/>
      <c r="K3244" s="58"/>
      <c r="L3244" s="13" t="str">
        <f t="shared" si="500"/>
        <v/>
      </c>
      <c r="M3244" s="13" t="str">
        <f t="shared" si="501"/>
        <v/>
      </c>
      <c r="Q3244" t="str">
        <f t="shared" si="502"/>
        <v/>
      </c>
      <c r="R3244" t="str">
        <f t="shared" si="503"/>
        <v/>
      </c>
      <c r="S3244" t="str">
        <f t="shared" si="504"/>
        <v/>
      </c>
      <c r="T3244" t="str">
        <f t="shared" si="505"/>
        <v/>
      </c>
      <c r="U3244" t="str">
        <f t="shared" si="506"/>
        <v/>
      </c>
      <c r="V3244" t="str">
        <f t="shared" si="507"/>
        <v/>
      </c>
      <c r="W3244" t="str">
        <f t="shared" si="508"/>
        <v/>
      </c>
      <c r="X3244">
        <f>IF($T3244="",N($X3243),IF(MATCH($T3244,$T$6:$T$10005,0)=ROW()-5,N($X3243)+1,N($X3243)))</f>
        <v>0</v>
      </c>
      <c r="Z3244" t="str">
        <f t="shared" si="509"/>
        <v/>
      </c>
      <c r="AA3244">
        <f>IF($V3244="",N($AA3243),IF(MATCH($V3244,$V$6:$V$10005,0)=ROW()-5,N($AA3243)+1,N($AA3243)))</f>
        <v>0</v>
      </c>
    </row>
    <row r="3245" spans="1:27" ht="21" customHeight="1" x14ac:dyDescent="0.95">
      <c r="A3245" s="56"/>
      <c r="B3245" s="57"/>
      <c r="C3245" s="57"/>
      <c r="D3245" s="57"/>
      <c r="E3245" s="56"/>
      <c r="F3245" s="57"/>
      <c r="G3245" s="57"/>
      <c r="H3245" s="56"/>
      <c r="I3245" s="56"/>
      <c r="J3245" s="58"/>
      <c r="K3245" s="58"/>
      <c r="L3245" s="13" t="str">
        <f t="shared" si="500"/>
        <v/>
      </c>
      <c r="M3245" s="13" t="str">
        <f t="shared" si="501"/>
        <v/>
      </c>
      <c r="Q3245" t="str">
        <f t="shared" si="502"/>
        <v/>
      </c>
      <c r="R3245" t="str">
        <f t="shared" si="503"/>
        <v/>
      </c>
      <c r="S3245" t="str">
        <f t="shared" si="504"/>
        <v/>
      </c>
      <c r="T3245" t="str">
        <f t="shared" si="505"/>
        <v/>
      </c>
      <c r="U3245" t="str">
        <f t="shared" si="506"/>
        <v/>
      </c>
      <c r="V3245" t="str">
        <f t="shared" si="507"/>
        <v/>
      </c>
      <c r="W3245" t="str">
        <f t="shared" si="508"/>
        <v/>
      </c>
      <c r="X3245">
        <f>IF($T3245="",N($X3244),IF(MATCH($T3245,$T$6:$T$10005,0)=ROW()-5,N($X3244)+1,N($X3244)))</f>
        <v>0</v>
      </c>
      <c r="Z3245" t="str">
        <f t="shared" si="509"/>
        <v/>
      </c>
      <c r="AA3245">
        <f>IF($V3245="",N($AA3244),IF(MATCH($V3245,$V$6:$V$10005,0)=ROW()-5,N($AA3244)+1,N($AA3244)))</f>
        <v>0</v>
      </c>
    </row>
    <row r="3246" spans="1:27" ht="21" customHeight="1" x14ac:dyDescent="0.95">
      <c r="A3246" s="56"/>
      <c r="B3246" s="57"/>
      <c r="C3246" s="57"/>
      <c r="D3246" s="57"/>
      <c r="E3246" s="56"/>
      <c r="F3246" s="57"/>
      <c r="G3246" s="57"/>
      <c r="H3246" s="56"/>
      <c r="I3246" s="56"/>
      <c r="J3246" s="58"/>
      <c r="K3246" s="58"/>
      <c r="L3246" s="13" t="str">
        <f t="shared" si="500"/>
        <v/>
      </c>
      <c r="M3246" s="13" t="str">
        <f t="shared" si="501"/>
        <v/>
      </c>
      <c r="Q3246" t="str">
        <f t="shared" si="502"/>
        <v/>
      </c>
      <c r="R3246" t="str">
        <f t="shared" si="503"/>
        <v/>
      </c>
      <c r="S3246" t="str">
        <f t="shared" si="504"/>
        <v/>
      </c>
      <c r="T3246" t="str">
        <f t="shared" si="505"/>
        <v/>
      </c>
      <c r="U3246" t="str">
        <f t="shared" si="506"/>
        <v/>
      </c>
      <c r="V3246" t="str">
        <f t="shared" si="507"/>
        <v/>
      </c>
      <c r="W3246" t="str">
        <f t="shared" si="508"/>
        <v/>
      </c>
      <c r="X3246">
        <f>IF($T3246="",N($X3245),IF(MATCH($T3246,$T$6:$T$10005,0)=ROW()-5,N($X3245)+1,N($X3245)))</f>
        <v>0</v>
      </c>
      <c r="Z3246" t="str">
        <f t="shared" si="509"/>
        <v/>
      </c>
      <c r="AA3246">
        <f>IF($V3246="",N($AA3245),IF(MATCH($V3246,$V$6:$V$10005,0)=ROW()-5,N($AA3245)+1,N($AA3245)))</f>
        <v>0</v>
      </c>
    </row>
    <row r="3247" spans="1:27" ht="21" customHeight="1" x14ac:dyDescent="0.95">
      <c r="A3247" s="56"/>
      <c r="B3247" s="57"/>
      <c r="C3247" s="57"/>
      <c r="D3247" s="57"/>
      <c r="E3247" s="56"/>
      <c r="F3247" s="57"/>
      <c r="G3247" s="57"/>
      <c r="H3247" s="56"/>
      <c r="I3247" s="56"/>
      <c r="J3247" s="58"/>
      <c r="K3247" s="58"/>
      <c r="L3247" s="13" t="str">
        <f t="shared" si="500"/>
        <v/>
      </c>
      <c r="M3247" s="13" t="str">
        <f t="shared" si="501"/>
        <v/>
      </c>
      <c r="Q3247" t="str">
        <f t="shared" si="502"/>
        <v/>
      </c>
      <c r="R3247" t="str">
        <f t="shared" si="503"/>
        <v/>
      </c>
      <c r="S3247" t="str">
        <f t="shared" si="504"/>
        <v/>
      </c>
      <c r="T3247" t="str">
        <f t="shared" si="505"/>
        <v/>
      </c>
      <c r="U3247" t="str">
        <f t="shared" si="506"/>
        <v/>
      </c>
      <c r="V3247" t="str">
        <f t="shared" si="507"/>
        <v/>
      </c>
      <c r="W3247" t="str">
        <f t="shared" si="508"/>
        <v/>
      </c>
      <c r="X3247">
        <f>IF($T3247="",N($X3246),IF(MATCH($T3247,$T$6:$T$10005,0)=ROW()-5,N($X3246)+1,N($X3246)))</f>
        <v>0</v>
      </c>
      <c r="Z3247" t="str">
        <f t="shared" si="509"/>
        <v/>
      </c>
      <c r="AA3247">
        <f>IF($V3247="",N($AA3246),IF(MATCH($V3247,$V$6:$V$10005,0)=ROW()-5,N($AA3246)+1,N($AA3246)))</f>
        <v>0</v>
      </c>
    </row>
    <row r="3248" spans="1:27" ht="21" customHeight="1" x14ac:dyDescent="0.95">
      <c r="A3248" s="56"/>
      <c r="B3248" s="57"/>
      <c r="C3248" s="57"/>
      <c r="D3248" s="57"/>
      <c r="E3248" s="56"/>
      <c r="F3248" s="57"/>
      <c r="G3248" s="57"/>
      <c r="H3248" s="56"/>
      <c r="I3248" s="56"/>
      <c r="J3248" s="58"/>
      <c r="K3248" s="58"/>
      <c r="L3248" s="13" t="str">
        <f t="shared" si="500"/>
        <v/>
      </c>
      <c r="M3248" s="13" t="str">
        <f t="shared" si="501"/>
        <v/>
      </c>
      <c r="Q3248" t="str">
        <f t="shared" si="502"/>
        <v/>
      </c>
      <c r="R3248" t="str">
        <f t="shared" si="503"/>
        <v/>
      </c>
      <c r="S3248" t="str">
        <f t="shared" si="504"/>
        <v/>
      </c>
      <c r="T3248" t="str">
        <f t="shared" si="505"/>
        <v/>
      </c>
      <c r="U3248" t="str">
        <f t="shared" si="506"/>
        <v/>
      </c>
      <c r="V3248" t="str">
        <f t="shared" si="507"/>
        <v/>
      </c>
      <c r="W3248" t="str">
        <f t="shared" si="508"/>
        <v/>
      </c>
      <c r="X3248">
        <f>IF($T3248="",N($X3247),IF(MATCH($T3248,$T$6:$T$10005,0)=ROW()-5,N($X3247)+1,N($X3247)))</f>
        <v>0</v>
      </c>
      <c r="Z3248" t="str">
        <f t="shared" si="509"/>
        <v/>
      </c>
      <c r="AA3248">
        <f>IF($V3248="",N($AA3247),IF(MATCH($V3248,$V$6:$V$10005,0)=ROW()-5,N($AA3247)+1,N($AA3247)))</f>
        <v>0</v>
      </c>
    </row>
    <row r="3249" spans="1:27" ht="21" customHeight="1" x14ac:dyDescent="0.95">
      <c r="A3249" s="56"/>
      <c r="B3249" s="57"/>
      <c r="C3249" s="57"/>
      <c r="D3249" s="57"/>
      <c r="E3249" s="56"/>
      <c r="F3249" s="57"/>
      <c r="G3249" s="57"/>
      <c r="H3249" s="56"/>
      <c r="I3249" s="56"/>
      <c r="J3249" s="58"/>
      <c r="K3249" s="58"/>
      <c r="L3249" s="13" t="str">
        <f t="shared" si="500"/>
        <v/>
      </c>
      <c r="M3249" s="13" t="str">
        <f t="shared" si="501"/>
        <v/>
      </c>
      <c r="Q3249" t="str">
        <f t="shared" si="502"/>
        <v/>
      </c>
      <c r="R3249" t="str">
        <f t="shared" si="503"/>
        <v/>
      </c>
      <c r="S3249" t="str">
        <f t="shared" si="504"/>
        <v/>
      </c>
      <c r="T3249" t="str">
        <f t="shared" si="505"/>
        <v/>
      </c>
      <c r="U3249" t="str">
        <f t="shared" si="506"/>
        <v/>
      </c>
      <c r="V3249" t="str">
        <f t="shared" si="507"/>
        <v/>
      </c>
      <c r="W3249" t="str">
        <f t="shared" si="508"/>
        <v/>
      </c>
      <c r="X3249">
        <f>IF($T3249="",N($X3248),IF(MATCH($T3249,$T$6:$T$10005,0)=ROW()-5,N($X3248)+1,N($X3248)))</f>
        <v>0</v>
      </c>
      <c r="Z3249" t="str">
        <f t="shared" si="509"/>
        <v/>
      </c>
      <c r="AA3249">
        <f>IF($V3249="",N($AA3248),IF(MATCH($V3249,$V$6:$V$10005,0)=ROW()-5,N($AA3248)+1,N($AA3248)))</f>
        <v>0</v>
      </c>
    </row>
    <row r="3250" spans="1:27" ht="21" customHeight="1" x14ac:dyDescent="0.95">
      <c r="A3250" s="56"/>
      <c r="B3250" s="57"/>
      <c r="C3250" s="57"/>
      <c r="D3250" s="57"/>
      <c r="E3250" s="56"/>
      <c r="F3250" s="57"/>
      <c r="G3250" s="57"/>
      <c r="H3250" s="56"/>
      <c r="I3250" s="56"/>
      <c r="J3250" s="58"/>
      <c r="K3250" s="58"/>
      <c r="L3250" s="13" t="str">
        <f t="shared" si="500"/>
        <v/>
      </c>
      <c r="M3250" s="13" t="str">
        <f t="shared" si="501"/>
        <v/>
      </c>
      <c r="Q3250" t="str">
        <f t="shared" si="502"/>
        <v/>
      </c>
      <c r="R3250" t="str">
        <f t="shared" si="503"/>
        <v/>
      </c>
      <c r="S3250" t="str">
        <f t="shared" si="504"/>
        <v/>
      </c>
      <c r="T3250" t="str">
        <f t="shared" si="505"/>
        <v/>
      </c>
      <c r="U3250" t="str">
        <f t="shared" si="506"/>
        <v/>
      </c>
      <c r="V3250" t="str">
        <f t="shared" si="507"/>
        <v/>
      </c>
      <c r="W3250" t="str">
        <f t="shared" si="508"/>
        <v/>
      </c>
      <c r="X3250">
        <f>IF($T3250="",N($X3249),IF(MATCH($T3250,$T$6:$T$10005,0)=ROW()-5,N($X3249)+1,N($X3249)))</f>
        <v>0</v>
      </c>
      <c r="Z3250" t="str">
        <f t="shared" si="509"/>
        <v/>
      </c>
      <c r="AA3250">
        <f>IF($V3250="",N($AA3249),IF(MATCH($V3250,$V$6:$V$10005,0)=ROW()-5,N($AA3249)+1,N($AA3249)))</f>
        <v>0</v>
      </c>
    </row>
    <row r="3251" spans="1:27" ht="21" customHeight="1" x14ac:dyDescent="0.95">
      <c r="A3251" s="56"/>
      <c r="B3251" s="57"/>
      <c r="C3251" s="57"/>
      <c r="D3251" s="57"/>
      <c r="E3251" s="56"/>
      <c r="F3251" s="57"/>
      <c r="G3251" s="57"/>
      <c r="H3251" s="56"/>
      <c r="I3251" s="56"/>
      <c r="J3251" s="58"/>
      <c r="K3251" s="58"/>
      <c r="L3251" s="13" t="str">
        <f t="shared" si="500"/>
        <v/>
      </c>
      <c r="M3251" s="13" t="str">
        <f t="shared" si="501"/>
        <v/>
      </c>
      <c r="Q3251" t="str">
        <f t="shared" si="502"/>
        <v/>
      </c>
      <c r="R3251" t="str">
        <f t="shared" si="503"/>
        <v/>
      </c>
      <c r="S3251" t="str">
        <f t="shared" si="504"/>
        <v/>
      </c>
      <c r="T3251" t="str">
        <f t="shared" si="505"/>
        <v/>
      </c>
      <c r="U3251" t="str">
        <f t="shared" si="506"/>
        <v/>
      </c>
      <c r="V3251" t="str">
        <f t="shared" si="507"/>
        <v/>
      </c>
      <c r="W3251" t="str">
        <f t="shared" si="508"/>
        <v/>
      </c>
      <c r="X3251">
        <f>IF($T3251="",N($X3250),IF(MATCH($T3251,$T$6:$T$10005,0)=ROW()-5,N($X3250)+1,N($X3250)))</f>
        <v>0</v>
      </c>
      <c r="Z3251" t="str">
        <f t="shared" si="509"/>
        <v/>
      </c>
      <c r="AA3251">
        <f>IF($V3251="",N($AA3250),IF(MATCH($V3251,$V$6:$V$10005,0)=ROW()-5,N($AA3250)+1,N($AA3250)))</f>
        <v>0</v>
      </c>
    </row>
    <row r="3252" spans="1:27" ht="21" customHeight="1" x14ac:dyDescent="0.95">
      <c r="A3252" s="56"/>
      <c r="B3252" s="57"/>
      <c r="C3252" s="57"/>
      <c r="D3252" s="57"/>
      <c r="E3252" s="56"/>
      <c r="F3252" s="57"/>
      <c r="G3252" s="57"/>
      <c r="H3252" s="56"/>
      <c r="I3252" s="56"/>
      <c r="J3252" s="58"/>
      <c r="K3252" s="58"/>
      <c r="L3252" s="13" t="str">
        <f t="shared" si="500"/>
        <v/>
      </c>
      <c r="M3252" s="13" t="str">
        <f t="shared" si="501"/>
        <v/>
      </c>
      <c r="Q3252" t="str">
        <f t="shared" si="502"/>
        <v/>
      </c>
      <c r="R3252" t="str">
        <f t="shared" si="503"/>
        <v/>
      </c>
      <c r="S3252" t="str">
        <f t="shared" si="504"/>
        <v/>
      </c>
      <c r="T3252" t="str">
        <f t="shared" si="505"/>
        <v/>
      </c>
      <c r="U3252" t="str">
        <f t="shared" si="506"/>
        <v/>
      </c>
      <c r="V3252" t="str">
        <f t="shared" si="507"/>
        <v/>
      </c>
      <c r="W3252" t="str">
        <f t="shared" si="508"/>
        <v/>
      </c>
      <c r="X3252">
        <f>IF($T3252="",N($X3251),IF(MATCH($T3252,$T$6:$T$10005,0)=ROW()-5,N($X3251)+1,N($X3251)))</f>
        <v>0</v>
      </c>
      <c r="Z3252" t="str">
        <f t="shared" si="509"/>
        <v/>
      </c>
      <c r="AA3252">
        <f>IF($V3252="",N($AA3251),IF(MATCH($V3252,$V$6:$V$10005,0)=ROW()-5,N($AA3251)+1,N($AA3251)))</f>
        <v>0</v>
      </c>
    </row>
    <row r="3253" spans="1:27" ht="21" customHeight="1" x14ac:dyDescent="0.95">
      <c r="A3253" s="56"/>
      <c r="B3253" s="57"/>
      <c r="C3253" s="57"/>
      <c r="D3253" s="57"/>
      <c r="E3253" s="56"/>
      <c r="F3253" s="57"/>
      <c r="G3253" s="57"/>
      <c r="H3253" s="56"/>
      <c r="I3253" s="56"/>
      <c r="J3253" s="58"/>
      <c r="K3253" s="58"/>
      <c r="L3253" s="13" t="str">
        <f t="shared" si="500"/>
        <v/>
      </c>
      <c r="M3253" s="13" t="str">
        <f t="shared" si="501"/>
        <v/>
      </c>
      <c r="Q3253" t="str">
        <f t="shared" si="502"/>
        <v/>
      </c>
      <c r="R3253" t="str">
        <f t="shared" si="503"/>
        <v/>
      </c>
      <c r="S3253" t="str">
        <f t="shared" si="504"/>
        <v/>
      </c>
      <c r="T3253" t="str">
        <f t="shared" si="505"/>
        <v/>
      </c>
      <c r="U3253" t="str">
        <f t="shared" si="506"/>
        <v/>
      </c>
      <c r="V3253" t="str">
        <f t="shared" si="507"/>
        <v/>
      </c>
      <c r="W3253" t="str">
        <f t="shared" si="508"/>
        <v/>
      </c>
      <c r="X3253">
        <f>IF($T3253="",N($X3252),IF(MATCH($T3253,$T$6:$T$10005,0)=ROW()-5,N($X3252)+1,N($X3252)))</f>
        <v>0</v>
      </c>
      <c r="Z3253" t="str">
        <f t="shared" si="509"/>
        <v/>
      </c>
      <c r="AA3253">
        <f>IF($V3253="",N($AA3252),IF(MATCH($V3253,$V$6:$V$10005,0)=ROW()-5,N($AA3252)+1,N($AA3252)))</f>
        <v>0</v>
      </c>
    </row>
    <row r="3254" spans="1:27" ht="21" customHeight="1" x14ac:dyDescent="0.95">
      <c r="A3254" s="56"/>
      <c r="B3254" s="57"/>
      <c r="C3254" s="57"/>
      <c r="D3254" s="57"/>
      <c r="E3254" s="56"/>
      <c r="F3254" s="57"/>
      <c r="G3254" s="57"/>
      <c r="H3254" s="56"/>
      <c r="I3254" s="56"/>
      <c r="J3254" s="58"/>
      <c r="K3254" s="58"/>
      <c r="L3254" s="13" t="str">
        <f t="shared" si="500"/>
        <v/>
      </c>
      <c r="M3254" s="13" t="str">
        <f t="shared" si="501"/>
        <v/>
      </c>
      <c r="Q3254" t="str">
        <f t="shared" si="502"/>
        <v/>
      </c>
      <c r="R3254" t="str">
        <f t="shared" si="503"/>
        <v/>
      </c>
      <c r="S3254" t="str">
        <f t="shared" si="504"/>
        <v/>
      </c>
      <c r="T3254" t="str">
        <f t="shared" si="505"/>
        <v/>
      </c>
      <c r="U3254" t="str">
        <f t="shared" si="506"/>
        <v/>
      </c>
      <c r="V3254" t="str">
        <f t="shared" si="507"/>
        <v/>
      </c>
      <c r="W3254" t="str">
        <f t="shared" si="508"/>
        <v/>
      </c>
      <c r="X3254">
        <f>IF($T3254="",N($X3253),IF(MATCH($T3254,$T$6:$T$10005,0)=ROW()-5,N($X3253)+1,N($X3253)))</f>
        <v>0</v>
      </c>
      <c r="Z3254" t="str">
        <f t="shared" si="509"/>
        <v/>
      </c>
      <c r="AA3254">
        <f>IF($V3254="",N($AA3253),IF(MATCH($V3254,$V$6:$V$10005,0)=ROW()-5,N($AA3253)+1,N($AA3253)))</f>
        <v>0</v>
      </c>
    </row>
    <row r="3255" spans="1:27" ht="21" customHeight="1" x14ac:dyDescent="0.95">
      <c r="A3255" s="56"/>
      <c r="B3255" s="57"/>
      <c r="C3255" s="57"/>
      <c r="D3255" s="57"/>
      <c r="E3255" s="56"/>
      <c r="F3255" s="57"/>
      <c r="G3255" s="57"/>
      <c r="H3255" s="56"/>
      <c r="I3255" s="56"/>
      <c r="J3255" s="58"/>
      <c r="K3255" s="58"/>
      <c r="L3255" s="13" t="str">
        <f t="shared" si="500"/>
        <v/>
      </c>
      <c r="M3255" s="13" t="str">
        <f t="shared" si="501"/>
        <v/>
      </c>
      <c r="Q3255" t="str">
        <f t="shared" si="502"/>
        <v/>
      </c>
      <c r="R3255" t="str">
        <f t="shared" si="503"/>
        <v/>
      </c>
      <c r="S3255" t="str">
        <f t="shared" si="504"/>
        <v/>
      </c>
      <c r="T3255" t="str">
        <f t="shared" si="505"/>
        <v/>
      </c>
      <c r="U3255" t="str">
        <f t="shared" si="506"/>
        <v/>
      </c>
      <c r="V3255" t="str">
        <f t="shared" si="507"/>
        <v/>
      </c>
      <c r="W3255" t="str">
        <f t="shared" si="508"/>
        <v/>
      </c>
      <c r="X3255">
        <f>IF($T3255="",N($X3254),IF(MATCH($T3255,$T$6:$T$10005,0)=ROW()-5,N($X3254)+1,N($X3254)))</f>
        <v>0</v>
      </c>
      <c r="Z3255" t="str">
        <f t="shared" si="509"/>
        <v/>
      </c>
      <c r="AA3255">
        <f>IF($V3255="",N($AA3254),IF(MATCH($V3255,$V$6:$V$10005,0)=ROW()-5,N($AA3254)+1,N($AA3254)))</f>
        <v>0</v>
      </c>
    </row>
    <row r="3256" spans="1:27" ht="21" customHeight="1" x14ac:dyDescent="0.95">
      <c r="A3256" s="56"/>
      <c r="B3256" s="57"/>
      <c r="C3256" s="57"/>
      <c r="D3256" s="57"/>
      <c r="E3256" s="56"/>
      <c r="F3256" s="57"/>
      <c r="G3256" s="57"/>
      <c r="H3256" s="56"/>
      <c r="I3256" s="56"/>
      <c r="J3256" s="58"/>
      <c r="K3256" s="58"/>
      <c r="L3256" s="13" t="str">
        <f t="shared" si="500"/>
        <v/>
      </c>
      <c r="M3256" s="13" t="str">
        <f t="shared" si="501"/>
        <v/>
      </c>
      <c r="Q3256" t="str">
        <f t="shared" si="502"/>
        <v/>
      </c>
      <c r="R3256" t="str">
        <f t="shared" si="503"/>
        <v/>
      </c>
      <c r="S3256" t="str">
        <f t="shared" si="504"/>
        <v/>
      </c>
      <c r="T3256" t="str">
        <f t="shared" si="505"/>
        <v/>
      </c>
      <c r="U3256" t="str">
        <f t="shared" si="506"/>
        <v/>
      </c>
      <c r="V3256" t="str">
        <f t="shared" si="507"/>
        <v/>
      </c>
      <c r="W3256" t="str">
        <f t="shared" si="508"/>
        <v/>
      </c>
      <c r="X3256">
        <f>IF($T3256="",N($X3255),IF(MATCH($T3256,$T$6:$T$10005,0)=ROW()-5,N($X3255)+1,N($X3255)))</f>
        <v>0</v>
      </c>
      <c r="Z3256" t="str">
        <f t="shared" si="509"/>
        <v/>
      </c>
      <c r="AA3256">
        <f>IF($V3256="",N($AA3255),IF(MATCH($V3256,$V$6:$V$10005,0)=ROW()-5,N($AA3255)+1,N($AA3255)))</f>
        <v>0</v>
      </c>
    </row>
    <row r="3257" spans="1:27" ht="21" customHeight="1" x14ac:dyDescent="0.95">
      <c r="A3257" s="56"/>
      <c r="B3257" s="57"/>
      <c r="C3257" s="57"/>
      <c r="D3257" s="57"/>
      <c r="E3257" s="56"/>
      <c r="F3257" s="57"/>
      <c r="G3257" s="57"/>
      <c r="H3257" s="56"/>
      <c r="I3257" s="56"/>
      <c r="J3257" s="58"/>
      <c r="K3257" s="58"/>
      <c r="L3257" s="13" t="str">
        <f t="shared" si="500"/>
        <v/>
      </c>
      <c r="M3257" s="13" t="str">
        <f t="shared" si="501"/>
        <v/>
      </c>
      <c r="Q3257" t="str">
        <f t="shared" si="502"/>
        <v/>
      </c>
      <c r="R3257" t="str">
        <f t="shared" si="503"/>
        <v/>
      </c>
      <c r="S3257" t="str">
        <f t="shared" si="504"/>
        <v/>
      </c>
      <c r="T3257" t="str">
        <f t="shared" si="505"/>
        <v/>
      </c>
      <c r="U3257" t="str">
        <f t="shared" si="506"/>
        <v/>
      </c>
      <c r="V3257" t="str">
        <f t="shared" si="507"/>
        <v/>
      </c>
      <c r="W3257" t="str">
        <f t="shared" si="508"/>
        <v/>
      </c>
      <c r="X3257">
        <f>IF($T3257="",N($X3256),IF(MATCH($T3257,$T$6:$T$10005,0)=ROW()-5,N($X3256)+1,N($X3256)))</f>
        <v>0</v>
      </c>
      <c r="Z3257" t="str">
        <f t="shared" si="509"/>
        <v/>
      </c>
      <c r="AA3257">
        <f>IF($V3257="",N($AA3256),IF(MATCH($V3257,$V$6:$V$10005,0)=ROW()-5,N($AA3256)+1,N($AA3256)))</f>
        <v>0</v>
      </c>
    </row>
    <row r="3258" spans="1:27" ht="21" customHeight="1" x14ac:dyDescent="0.95">
      <c r="A3258" s="56"/>
      <c r="B3258" s="57"/>
      <c r="C3258" s="57"/>
      <c r="D3258" s="57"/>
      <c r="E3258" s="56"/>
      <c r="F3258" s="57"/>
      <c r="G3258" s="57"/>
      <c r="H3258" s="56"/>
      <c r="I3258" s="56"/>
      <c r="J3258" s="58"/>
      <c r="K3258" s="58"/>
      <c r="L3258" s="13" t="str">
        <f t="shared" si="500"/>
        <v/>
      </c>
      <c r="M3258" s="13" t="str">
        <f t="shared" si="501"/>
        <v/>
      </c>
      <c r="Q3258" t="str">
        <f t="shared" si="502"/>
        <v/>
      </c>
      <c r="R3258" t="str">
        <f t="shared" si="503"/>
        <v/>
      </c>
      <c r="S3258" t="str">
        <f t="shared" si="504"/>
        <v/>
      </c>
      <c r="T3258" t="str">
        <f t="shared" si="505"/>
        <v/>
      </c>
      <c r="U3258" t="str">
        <f t="shared" si="506"/>
        <v/>
      </c>
      <c r="V3258" t="str">
        <f t="shared" si="507"/>
        <v/>
      </c>
      <c r="W3258" t="str">
        <f t="shared" si="508"/>
        <v/>
      </c>
      <c r="X3258">
        <f>IF($T3258="",N($X3257),IF(MATCH($T3258,$T$6:$T$10005,0)=ROW()-5,N($X3257)+1,N($X3257)))</f>
        <v>0</v>
      </c>
      <c r="Z3258" t="str">
        <f t="shared" si="509"/>
        <v/>
      </c>
      <c r="AA3258">
        <f>IF($V3258="",N($AA3257),IF(MATCH($V3258,$V$6:$V$10005,0)=ROW()-5,N($AA3257)+1,N($AA3257)))</f>
        <v>0</v>
      </c>
    </row>
    <row r="3259" spans="1:27" ht="21" customHeight="1" x14ac:dyDescent="0.95">
      <c r="A3259" s="56"/>
      <c r="B3259" s="57"/>
      <c r="C3259" s="57"/>
      <c r="D3259" s="57"/>
      <c r="E3259" s="56"/>
      <c r="F3259" s="57"/>
      <c r="G3259" s="57"/>
      <c r="H3259" s="56"/>
      <c r="I3259" s="56"/>
      <c r="J3259" s="58"/>
      <c r="K3259" s="58"/>
      <c r="L3259" s="13" t="str">
        <f t="shared" si="500"/>
        <v/>
      </c>
      <c r="M3259" s="13" t="str">
        <f t="shared" si="501"/>
        <v/>
      </c>
      <c r="Q3259" t="str">
        <f t="shared" si="502"/>
        <v/>
      </c>
      <c r="R3259" t="str">
        <f t="shared" si="503"/>
        <v/>
      </c>
      <c r="S3259" t="str">
        <f t="shared" si="504"/>
        <v/>
      </c>
      <c r="T3259" t="str">
        <f t="shared" si="505"/>
        <v/>
      </c>
      <c r="U3259" t="str">
        <f t="shared" si="506"/>
        <v/>
      </c>
      <c r="V3259" t="str">
        <f t="shared" si="507"/>
        <v/>
      </c>
      <c r="W3259" t="str">
        <f t="shared" si="508"/>
        <v/>
      </c>
      <c r="X3259">
        <f>IF($T3259="",N($X3258),IF(MATCH($T3259,$T$6:$T$10005,0)=ROW()-5,N($X3258)+1,N($X3258)))</f>
        <v>0</v>
      </c>
      <c r="Z3259" t="str">
        <f t="shared" si="509"/>
        <v/>
      </c>
      <c r="AA3259">
        <f>IF($V3259="",N($AA3258),IF(MATCH($V3259,$V$6:$V$10005,0)=ROW()-5,N($AA3258)+1,N($AA3258)))</f>
        <v>0</v>
      </c>
    </row>
    <row r="3260" spans="1:27" ht="21" customHeight="1" x14ac:dyDescent="0.95">
      <c r="A3260" s="56"/>
      <c r="B3260" s="57"/>
      <c r="C3260" s="57"/>
      <c r="D3260" s="57"/>
      <c r="E3260" s="56"/>
      <c r="F3260" s="57"/>
      <c r="G3260" s="57"/>
      <c r="H3260" s="56"/>
      <c r="I3260" s="56"/>
      <c r="J3260" s="58"/>
      <c r="K3260" s="58"/>
      <c r="L3260" s="13" t="str">
        <f t="shared" si="500"/>
        <v/>
      </c>
      <c r="M3260" s="13" t="str">
        <f t="shared" si="501"/>
        <v/>
      </c>
      <c r="Q3260" t="str">
        <f t="shared" si="502"/>
        <v/>
      </c>
      <c r="R3260" t="str">
        <f t="shared" si="503"/>
        <v/>
      </c>
      <c r="S3260" t="str">
        <f t="shared" si="504"/>
        <v/>
      </c>
      <c r="T3260" t="str">
        <f t="shared" si="505"/>
        <v/>
      </c>
      <c r="U3260" t="str">
        <f t="shared" si="506"/>
        <v/>
      </c>
      <c r="V3260" t="str">
        <f t="shared" si="507"/>
        <v/>
      </c>
      <c r="W3260" t="str">
        <f t="shared" si="508"/>
        <v/>
      </c>
      <c r="X3260">
        <f>IF($T3260="",N($X3259),IF(MATCH($T3260,$T$6:$T$10005,0)=ROW()-5,N($X3259)+1,N($X3259)))</f>
        <v>0</v>
      </c>
      <c r="Z3260" t="str">
        <f t="shared" si="509"/>
        <v/>
      </c>
      <c r="AA3260">
        <f>IF($V3260="",N($AA3259),IF(MATCH($V3260,$V$6:$V$10005,0)=ROW()-5,N($AA3259)+1,N($AA3259)))</f>
        <v>0</v>
      </c>
    </row>
    <row r="3261" spans="1:27" ht="21" customHeight="1" x14ac:dyDescent="0.95">
      <c r="A3261" s="56"/>
      <c r="B3261" s="57"/>
      <c r="C3261" s="57"/>
      <c r="D3261" s="57"/>
      <c r="E3261" s="56"/>
      <c r="F3261" s="57"/>
      <c r="G3261" s="57"/>
      <c r="H3261" s="56"/>
      <c r="I3261" s="56"/>
      <c r="J3261" s="58"/>
      <c r="K3261" s="58"/>
      <c r="L3261" s="13" t="str">
        <f t="shared" si="500"/>
        <v/>
      </c>
      <c r="M3261" s="13" t="str">
        <f t="shared" si="501"/>
        <v/>
      </c>
      <c r="Q3261" t="str">
        <f t="shared" si="502"/>
        <v/>
      </c>
      <c r="R3261" t="str">
        <f t="shared" si="503"/>
        <v/>
      </c>
      <c r="S3261" t="str">
        <f t="shared" si="504"/>
        <v/>
      </c>
      <c r="T3261" t="str">
        <f t="shared" si="505"/>
        <v/>
      </c>
      <c r="U3261" t="str">
        <f t="shared" si="506"/>
        <v/>
      </c>
      <c r="V3261" t="str">
        <f t="shared" si="507"/>
        <v/>
      </c>
      <c r="W3261" t="str">
        <f t="shared" si="508"/>
        <v/>
      </c>
      <c r="X3261">
        <f>IF($T3261="",N($X3260),IF(MATCH($T3261,$T$6:$T$10005,0)=ROW()-5,N($X3260)+1,N($X3260)))</f>
        <v>0</v>
      </c>
      <c r="Z3261" t="str">
        <f t="shared" si="509"/>
        <v/>
      </c>
      <c r="AA3261">
        <f>IF($V3261="",N($AA3260),IF(MATCH($V3261,$V$6:$V$10005,0)=ROW()-5,N($AA3260)+1,N($AA3260)))</f>
        <v>0</v>
      </c>
    </row>
    <row r="3262" spans="1:27" ht="21" customHeight="1" x14ac:dyDescent="0.95">
      <c r="A3262" s="56"/>
      <c r="B3262" s="57"/>
      <c r="C3262" s="57"/>
      <c r="D3262" s="57"/>
      <c r="E3262" s="56"/>
      <c r="F3262" s="57"/>
      <c r="G3262" s="57"/>
      <c r="H3262" s="56"/>
      <c r="I3262" s="56"/>
      <c r="J3262" s="58"/>
      <c r="K3262" s="58"/>
      <c r="L3262" s="13" t="str">
        <f t="shared" si="500"/>
        <v/>
      </c>
      <c r="M3262" s="13" t="str">
        <f t="shared" si="501"/>
        <v/>
      </c>
      <c r="Q3262" t="str">
        <f t="shared" si="502"/>
        <v/>
      </c>
      <c r="R3262" t="str">
        <f t="shared" si="503"/>
        <v/>
      </c>
      <c r="S3262" t="str">
        <f t="shared" si="504"/>
        <v/>
      </c>
      <c r="T3262" t="str">
        <f t="shared" si="505"/>
        <v/>
      </c>
      <c r="U3262" t="str">
        <f t="shared" si="506"/>
        <v/>
      </c>
      <c r="V3262" t="str">
        <f t="shared" si="507"/>
        <v/>
      </c>
      <c r="W3262" t="str">
        <f t="shared" si="508"/>
        <v/>
      </c>
      <c r="X3262">
        <f>IF($T3262="",N($X3261),IF(MATCH($T3262,$T$6:$T$10005,0)=ROW()-5,N($X3261)+1,N($X3261)))</f>
        <v>0</v>
      </c>
      <c r="Z3262" t="str">
        <f t="shared" si="509"/>
        <v/>
      </c>
      <c r="AA3262">
        <f>IF($V3262="",N($AA3261),IF(MATCH($V3262,$V$6:$V$10005,0)=ROW()-5,N($AA3261)+1,N($AA3261)))</f>
        <v>0</v>
      </c>
    </row>
    <row r="3263" spans="1:27" ht="21" customHeight="1" x14ac:dyDescent="0.95">
      <c r="A3263" s="56"/>
      <c r="B3263" s="57"/>
      <c r="C3263" s="57"/>
      <c r="D3263" s="57"/>
      <c r="E3263" s="56"/>
      <c r="F3263" s="57"/>
      <c r="G3263" s="57"/>
      <c r="H3263" s="56"/>
      <c r="I3263" s="56"/>
      <c r="J3263" s="58"/>
      <c r="K3263" s="58"/>
      <c r="L3263" s="13" t="str">
        <f t="shared" si="500"/>
        <v/>
      </c>
      <c r="M3263" s="13" t="str">
        <f t="shared" si="501"/>
        <v/>
      </c>
      <c r="Q3263" t="str">
        <f t="shared" si="502"/>
        <v/>
      </c>
      <c r="R3263" t="str">
        <f t="shared" si="503"/>
        <v/>
      </c>
      <c r="S3263" t="str">
        <f t="shared" si="504"/>
        <v/>
      </c>
      <c r="T3263" t="str">
        <f t="shared" si="505"/>
        <v/>
      </c>
      <c r="U3263" t="str">
        <f t="shared" si="506"/>
        <v/>
      </c>
      <c r="V3263" t="str">
        <f t="shared" si="507"/>
        <v/>
      </c>
      <c r="W3263" t="str">
        <f t="shared" si="508"/>
        <v/>
      </c>
      <c r="X3263">
        <f>IF($T3263="",N($X3262),IF(MATCH($T3263,$T$6:$T$10005,0)=ROW()-5,N($X3262)+1,N($X3262)))</f>
        <v>0</v>
      </c>
      <c r="Z3263" t="str">
        <f t="shared" si="509"/>
        <v/>
      </c>
      <c r="AA3263">
        <f>IF($V3263="",N($AA3262),IF(MATCH($V3263,$V$6:$V$10005,0)=ROW()-5,N($AA3262)+1,N($AA3262)))</f>
        <v>0</v>
      </c>
    </row>
    <row r="3264" spans="1:27" ht="21" customHeight="1" x14ac:dyDescent="0.95">
      <c r="A3264" s="56"/>
      <c r="B3264" s="57"/>
      <c r="C3264" s="57"/>
      <c r="D3264" s="57"/>
      <c r="E3264" s="56"/>
      <c r="F3264" s="57"/>
      <c r="G3264" s="57"/>
      <c r="H3264" s="56"/>
      <c r="I3264" s="56"/>
      <c r="J3264" s="58"/>
      <c r="K3264" s="58"/>
      <c r="L3264" s="13" t="str">
        <f t="shared" si="500"/>
        <v/>
      </c>
      <c r="M3264" s="13" t="str">
        <f t="shared" si="501"/>
        <v/>
      </c>
      <c r="Q3264" t="str">
        <f t="shared" si="502"/>
        <v/>
      </c>
      <c r="R3264" t="str">
        <f t="shared" si="503"/>
        <v/>
      </c>
      <c r="S3264" t="str">
        <f t="shared" si="504"/>
        <v/>
      </c>
      <c r="T3264" t="str">
        <f t="shared" si="505"/>
        <v/>
      </c>
      <c r="U3264" t="str">
        <f t="shared" si="506"/>
        <v/>
      </c>
      <c r="V3264" t="str">
        <f t="shared" si="507"/>
        <v/>
      </c>
      <c r="W3264" t="str">
        <f t="shared" si="508"/>
        <v/>
      </c>
      <c r="X3264">
        <f>IF($T3264="",N($X3263),IF(MATCH($T3264,$T$6:$T$10005,0)=ROW()-5,N($X3263)+1,N($X3263)))</f>
        <v>0</v>
      </c>
      <c r="Z3264" t="str">
        <f t="shared" si="509"/>
        <v/>
      </c>
      <c r="AA3264">
        <f>IF($V3264="",N($AA3263),IF(MATCH($V3264,$V$6:$V$10005,0)=ROW()-5,N($AA3263)+1,N($AA3263)))</f>
        <v>0</v>
      </c>
    </row>
    <row r="3265" spans="1:27" ht="21" customHeight="1" x14ac:dyDescent="0.95">
      <c r="A3265" s="56"/>
      <c r="B3265" s="57"/>
      <c r="C3265" s="57"/>
      <c r="D3265" s="57"/>
      <c r="E3265" s="56"/>
      <c r="F3265" s="57"/>
      <c r="G3265" s="57"/>
      <c r="H3265" s="56"/>
      <c r="I3265" s="56"/>
      <c r="J3265" s="58"/>
      <c r="K3265" s="58"/>
      <c r="L3265" s="13" t="str">
        <f t="shared" si="500"/>
        <v/>
      </c>
      <c r="M3265" s="13" t="str">
        <f t="shared" si="501"/>
        <v/>
      </c>
      <c r="Q3265" t="str">
        <f t="shared" si="502"/>
        <v/>
      </c>
      <c r="R3265" t="str">
        <f t="shared" si="503"/>
        <v/>
      </c>
      <c r="S3265" t="str">
        <f t="shared" si="504"/>
        <v/>
      </c>
      <c r="T3265" t="str">
        <f t="shared" si="505"/>
        <v/>
      </c>
      <c r="U3265" t="str">
        <f t="shared" si="506"/>
        <v/>
      </c>
      <c r="V3265" t="str">
        <f t="shared" si="507"/>
        <v/>
      </c>
      <c r="W3265" t="str">
        <f t="shared" si="508"/>
        <v/>
      </c>
      <c r="X3265">
        <f>IF($T3265="",N($X3264),IF(MATCH($T3265,$T$6:$T$10005,0)=ROW()-5,N($X3264)+1,N($X3264)))</f>
        <v>0</v>
      </c>
      <c r="Z3265" t="str">
        <f t="shared" si="509"/>
        <v/>
      </c>
      <c r="AA3265">
        <f>IF($V3265="",N($AA3264),IF(MATCH($V3265,$V$6:$V$10005,0)=ROW()-5,N($AA3264)+1,N($AA3264)))</f>
        <v>0</v>
      </c>
    </row>
    <row r="3266" spans="1:27" ht="21" customHeight="1" x14ac:dyDescent="0.95">
      <c r="A3266" s="56"/>
      <c r="B3266" s="57"/>
      <c r="C3266" s="57"/>
      <c r="D3266" s="57"/>
      <c r="E3266" s="56"/>
      <c r="F3266" s="57"/>
      <c r="G3266" s="57"/>
      <c r="H3266" s="56"/>
      <c r="I3266" s="56"/>
      <c r="J3266" s="58"/>
      <c r="K3266" s="58"/>
      <c r="L3266" s="13" t="str">
        <f t="shared" si="500"/>
        <v/>
      </c>
      <c r="M3266" s="13" t="str">
        <f t="shared" si="501"/>
        <v/>
      </c>
      <c r="Q3266" t="str">
        <f t="shared" si="502"/>
        <v/>
      </c>
      <c r="R3266" t="str">
        <f t="shared" si="503"/>
        <v/>
      </c>
      <c r="S3266" t="str">
        <f t="shared" si="504"/>
        <v/>
      </c>
      <c r="T3266" t="str">
        <f t="shared" si="505"/>
        <v/>
      </c>
      <c r="U3266" t="str">
        <f t="shared" si="506"/>
        <v/>
      </c>
      <c r="V3266" t="str">
        <f t="shared" si="507"/>
        <v/>
      </c>
      <c r="W3266" t="str">
        <f t="shared" si="508"/>
        <v/>
      </c>
      <c r="X3266">
        <f>IF($T3266="",N($X3265),IF(MATCH($T3266,$T$6:$T$10005,0)=ROW()-5,N($X3265)+1,N($X3265)))</f>
        <v>0</v>
      </c>
      <c r="Z3266" t="str">
        <f t="shared" si="509"/>
        <v/>
      </c>
      <c r="AA3266">
        <f>IF($V3266="",N($AA3265),IF(MATCH($V3266,$V$6:$V$10005,0)=ROW()-5,N($AA3265)+1,N($AA3265)))</f>
        <v>0</v>
      </c>
    </row>
    <row r="3267" spans="1:27" ht="21" customHeight="1" x14ac:dyDescent="0.95">
      <c r="A3267" s="56"/>
      <c r="B3267" s="57"/>
      <c r="C3267" s="57"/>
      <c r="D3267" s="57"/>
      <c r="E3267" s="56"/>
      <c r="F3267" s="57"/>
      <c r="G3267" s="57"/>
      <c r="H3267" s="56"/>
      <c r="I3267" s="56"/>
      <c r="J3267" s="58"/>
      <c r="K3267" s="58"/>
      <c r="L3267" s="13" t="str">
        <f t="shared" si="500"/>
        <v/>
      </c>
      <c r="M3267" s="13" t="str">
        <f t="shared" si="501"/>
        <v/>
      </c>
      <c r="Q3267" t="str">
        <f t="shared" si="502"/>
        <v/>
      </c>
      <c r="R3267" t="str">
        <f t="shared" si="503"/>
        <v/>
      </c>
      <c r="S3267" t="str">
        <f t="shared" si="504"/>
        <v/>
      </c>
      <c r="T3267" t="str">
        <f t="shared" si="505"/>
        <v/>
      </c>
      <c r="U3267" t="str">
        <f t="shared" si="506"/>
        <v/>
      </c>
      <c r="V3267" t="str">
        <f t="shared" si="507"/>
        <v/>
      </c>
      <c r="W3267" t="str">
        <f t="shared" si="508"/>
        <v/>
      </c>
      <c r="X3267">
        <f>IF($T3267="",N($X3266),IF(MATCH($T3267,$T$6:$T$10005,0)=ROW()-5,N($X3266)+1,N($X3266)))</f>
        <v>0</v>
      </c>
      <c r="Z3267" t="str">
        <f t="shared" si="509"/>
        <v/>
      </c>
      <c r="AA3267">
        <f>IF($V3267="",N($AA3266),IF(MATCH($V3267,$V$6:$V$10005,0)=ROW()-5,N($AA3266)+1,N($AA3266)))</f>
        <v>0</v>
      </c>
    </row>
    <row r="3268" spans="1:27" ht="21" customHeight="1" x14ac:dyDescent="0.95">
      <c r="A3268" s="56"/>
      <c r="B3268" s="57"/>
      <c r="C3268" s="57"/>
      <c r="D3268" s="57"/>
      <c r="E3268" s="56"/>
      <c r="F3268" s="57"/>
      <c r="G3268" s="57"/>
      <c r="H3268" s="56"/>
      <c r="I3268" s="56"/>
      <c r="J3268" s="58"/>
      <c r="K3268" s="58"/>
      <c r="L3268" s="13" t="str">
        <f t="shared" si="500"/>
        <v/>
      </c>
      <c r="M3268" s="13" t="str">
        <f t="shared" si="501"/>
        <v/>
      </c>
      <c r="Q3268" t="str">
        <f t="shared" si="502"/>
        <v/>
      </c>
      <c r="R3268" t="str">
        <f t="shared" si="503"/>
        <v/>
      </c>
      <c r="S3268" t="str">
        <f t="shared" si="504"/>
        <v/>
      </c>
      <c r="T3268" t="str">
        <f t="shared" si="505"/>
        <v/>
      </c>
      <c r="U3268" t="str">
        <f t="shared" si="506"/>
        <v/>
      </c>
      <c r="V3268" t="str">
        <f t="shared" si="507"/>
        <v/>
      </c>
      <c r="W3268" t="str">
        <f t="shared" si="508"/>
        <v/>
      </c>
      <c r="X3268">
        <f>IF($T3268="",N($X3267),IF(MATCH($T3268,$T$6:$T$10005,0)=ROW()-5,N($X3267)+1,N($X3267)))</f>
        <v>0</v>
      </c>
      <c r="Z3268" t="str">
        <f t="shared" si="509"/>
        <v/>
      </c>
      <c r="AA3268">
        <f>IF($V3268="",N($AA3267),IF(MATCH($V3268,$V$6:$V$10005,0)=ROW()-5,N($AA3267)+1,N($AA3267)))</f>
        <v>0</v>
      </c>
    </row>
    <row r="3269" spans="1:27" ht="21" customHeight="1" x14ac:dyDescent="0.95">
      <c r="A3269" s="56"/>
      <c r="B3269" s="57"/>
      <c r="C3269" s="57"/>
      <c r="D3269" s="57"/>
      <c r="E3269" s="56"/>
      <c r="F3269" s="57"/>
      <c r="G3269" s="57"/>
      <c r="H3269" s="56"/>
      <c r="I3269" s="56"/>
      <c r="J3269" s="58"/>
      <c r="K3269" s="58"/>
      <c r="L3269" s="13" t="str">
        <f t="shared" si="500"/>
        <v/>
      </c>
      <c r="M3269" s="13" t="str">
        <f t="shared" si="501"/>
        <v/>
      </c>
      <c r="Q3269" t="str">
        <f t="shared" si="502"/>
        <v/>
      </c>
      <c r="R3269" t="str">
        <f t="shared" si="503"/>
        <v/>
      </c>
      <c r="S3269" t="str">
        <f t="shared" si="504"/>
        <v/>
      </c>
      <c r="T3269" t="str">
        <f t="shared" si="505"/>
        <v/>
      </c>
      <c r="U3269" t="str">
        <f t="shared" si="506"/>
        <v/>
      </c>
      <c r="V3269" t="str">
        <f t="shared" si="507"/>
        <v/>
      </c>
      <c r="W3269" t="str">
        <f t="shared" si="508"/>
        <v/>
      </c>
      <c r="X3269">
        <f>IF($T3269="",N($X3268),IF(MATCH($T3269,$T$6:$T$10005,0)=ROW()-5,N($X3268)+1,N($X3268)))</f>
        <v>0</v>
      </c>
      <c r="Z3269" t="str">
        <f t="shared" si="509"/>
        <v/>
      </c>
      <c r="AA3269">
        <f>IF($V3269="",N($AA3268),IF(MATCH($V3269,$V$6:$V$10005,0)=ROW()-5,N($AA3268)+1,N($AA3268)))</f>
        <v>0</v>
      </c>
    </row>
    <row r="3270" spans="1:27" ht="21" customHeight="1" x14ac:dyDescent="0.95">
      <c r="A3270" s="56"/>
      <c r="B3270" s="57"/>
      <c r="C3270" s="57"/>
      <c r="D3270" s="57"/>
      <c r="E3270" s="56"/>
      <c r="F3270" s="57"/>
      <c r="G3270" s="57"/>
      <c r="H3270" s="56"/>
      <c r="I3270" s="56"/>
      <c r="J3270" s="58"/>
      <c r="K3270" s="58"/>
      <c r="L3270" s="13" t="str">
        <f t="shared" ref="L3270:L3333" si="510">IF(OR($A3270="",AND($J3270="",$K3270="")),"",ROUND(N($J3270)-N($K3270),2))</f>
        <v/>
      </c>
      <c r="M3270" s="13" t="str">
        <f t="shared" ref="M3270:M3333" si="511">IF(OR($A3270="",AND($J3270="",$K3270="")),"",MIN($J3270,$K3270))</f>
        <v/>
      </c>
      <c r="Q3270" t="str">
        <f t="shared" ref="Q3270:Q3333" si="512">IF($A3270="","",$D3270&amp;"("&amp;SUBSTITUTE($E3270," ","")&amp;")")</f>
        <v/>
      </c>
      <c r="R3270" t="str">
        <f t="shared" ref="R3270:R3333" si="513">IF($A3270="","",$B3270&amp;" - "&amp;$C3270)</f>
        <v/>
      </c>
      <c r="S3270" t="str">
        <f t="shared" ref="S3270:S3333" si="514">IF($A3270="","",$R3270&amp;"|"&amp;$Q3270)</f>
        <v/>
      </c>
      <c r="T3270" t="str">
        <f t="shared" ref="T3270:T3333" si="515">IF($A3270="","",$S3270&amp;"|"&amp;$F3270)</f>
        <v/>
      </c>
      <c r="U3270" t="str">
        <f t="shared" ref="U3270:U3333" si="516">IF($A3270="","",$R3270&amp;"("&amp;$E3270&amp;")")</f>
        <v/>
      </c>
      <c r="V3270" t="str">
        <f t="shared" ref="V3270:V3333" si="517">IF($A3270="","",$F3270&amp;"|"&amp;$U3270&amp;"|"&amp;$D3270)</f>
        <v/>
      </c>
      <c r="W3270" t="str">
        <f t="shared" ref="W3270:W3333" si="518">IF($T3270="","",IF($X3270&gt;N($X3269),$X3270,""))</f>
        <v/>
      </c>
      <c r="X3270">
        <f>IF($T3270="",N($X3269),IF(MATCH($T3270,$T$6:$T$10005,0)=ROW()-5,N($X3269)+1,N($X3269)))</f>
        <v>0</v>
      </c>
      <c r="Z3270" t="str">
        <f t="shared" ref="Z3270:Z3333" si="519">IF($V3270="","",IF($AA3270&gt;N($AA3269),$AA3270,""))</f>
        <v/>
      </c>
      <c r="AA3270">
        <f>IF($V3270="",N($AA3269),IF(MATCH($V3270,$V$6:$V$10005,0)=ROW()-5,N($AA3269)+1,N($AA3269)))</f>
        <v>0</v>
      </c>
    </row>
    <row r="3271" spans="1:27" ht="21" customHeight="1" x14ac:dyDescent="0.95">
      <c r="A3271" s="56"/>
      <c r="B3271" s="57"/>
      <c r="C3271" s="57"/>
      <c r="D3271" s="57"/>
      <c r="E3271" s="56"/>
      <c r="F3271" s="57"/>
      <c r="G3271" s="57"/>
      <c r="H3271" s="56"/>
      <c r="I3271" s="56"/>
      <c r="J3271" s="58"/>
      <c r="K3271" s="58"/>
      <c r="L3271" s="13" t="str">
        <f t="shared" si="510"/>
        <v/>
      </c>
      <c r="M3271" s="13" t="str">
        <f t="shared" si="511"/>
        <v/>
      </c>
      <c r="Q3271" t="str">
        <f t="shared" si="512"/>
        <v/>
      </c>
      <c r="R3271" t="str">
        <f t="shared" si="513"/>
        <v/>
      </c>
      <c r="S3271" t="str">
        <f t="shared" si="514"/>
        <v/>
      </c>
      <c r="T3271" t="str">
        <f t="shared" si="515"/>
        <v/>
      </c>
      <c r="U3271" t="str">
        <f t="shared" si="516"/>
        <v/>
      </c>
      <c r="V3271" t="str">
        <f t="shared" si="517"/>
        <v/>
      </c>
      <c r="W3271" t="str">
        <f t="shared" si="518"/>
        <v/>
      </c>
      <c r="X3271">
        <f>IF($T3271="",N($X3270),IF(MATCH($T3271,$T$6:$T$10005,0)=ROW()-5,N($X3270)+1,N($X3270)))</f>
        <v>0</v>
      </c>
      <c r="Z3271" t="str">
        <f t="shared" si="519"/>
        <v/>
      </c>
      <c r="AA3271">
        <f>IF($V3271="",N($AA3270),IF(MATCH($V3271,$V$6:$V$10005,0)=ROW()-5,N($AA3270)+1,N($AA3270)))</f>
        <v>0</v>
      </c>
    </row>
    <row r="3272" spans="1:27" ht="21" customHeight="1" x14ac:dyDescent="0.95">
      <c r="A3272" s="56"/>
      <c r="B3272" s="57"/>
      <c r="C3272" s="57"/>
      <c r="D3272" s="57"/>
      <c r="E3272" s="56"/>
      <c r="F3272" s="57"/>
      <c r="G3272" s="57"/>
      <c r="H3272" s="56"/>
      <c r="I3272" s="56"/>
      <c r="J3272" s="58"/>
      <c r="K3272" s="58"/>
      <c r="L3272" s="13" t="str">
        <f t="shared" si="510"/>
        <v/>
      </c>
      <c r="M3272" s="13" t="str">
        <f t="shared" si="511"/>
        <v/>
      </c>
      <c r="Q3272" t="str">
        <f t="shared" si="512"/>
        <v/>
      </c>
      <c r="R3272" t="str">
        <f t="shared" si="513"/>
        <v/>
      </c>
      <c r="S3272" t="str">
        <f t="shared" si="514"/>
        <v/>
      </c>
      <c r="T3272" t="str">
        <f t="shared" si="515"/>
        <v/>
      </c>
      <c r="U3272" t="str">
        <f t="shared" si="516"/>
        <v/>
      </c>
      <c r="V3272" t="str">
        <f t="shared" si="517"/>
        <v/>
      </c>
      <c r="W3272" t="str">
        <f t="shared" si="518"/>
        <v/>
      </c>
      <c r="X3272">
        <f>IF($T3272="",N($X3271),IF(MATCH($T3272,$T$6:$T$10005,0)=ROW()-5,N($X3271)+1,N($X3271)))</f>
        <v>0</v>
      </c>
      <c r="Z3272" t="str">
        <f t="shared" si="519"/>
        <v/>
      </c>
      <c r="AA3272">
        <f>IF($V3272="",N($AA3271),IF(MATCH($V3272,$V$6:$V$10005,0)=ROW()-5,N($AA3271)+1,N($AA3271)))</f>
        <v>0</v>
      </c>
    </row>
    <row r="3273" spans="1:27" ht="21" customHeight="1" x14ac:dyDescent="0.95">
      <c r="A3273" s="56"/>
      <c r="B3273" s="57"/>
      <c r="C3273" s="57"/>
      <c r="D3273" s="57"/>
      <c r="E3273" s="56"/>
      <c r="F3273" s="57"/>
      <c r="G3273" s="57"/>
      <c r="H3273" s="56"/>
      <c r="I3273" s="56"/>
      <c r="J3273" s="58"/>
      <c r="K3273" s="58"/>
      <c r="L3273" s="13" t="str">
        <f t="shared" si="510"/>
        <v/>
      </c>
      <c r="M3273" s="13" t="str">
        <f t="shared" si="511"/>
        <v/>
      </c>
      <c r="Q3273" t="str">
        <f t="shared" si="512"/>
        <v/>
      </c>
      <c r="R3273" t="str">
        <f t="shared" si="513"/>
        <v/>
      </c>
      <c r="S3273" t="str">
        <f t="shared" si="514"/>
        <v/>
      </c>
      <c r="T3273" t="str">
        <f t="shared" si="515"/>
        <v/>
      </c>
      <c r="U3273" t="str">
        <f t="shared" si="516"/>
        <v/>
      </c>
      <c r="V3273" t="str">
        <f t="shared" si="517"/>
        <v/>
      </c>
      <c r="W3273" t="str">
        <f t="shared" si="518"/>
        <v/>
      </c>
      <c r="X3273">
        <f>IF($T3273="",N($X3272),IF(MATCH($T3273,$T$6:$T$10005,0)=ROW()-5,N($X3272)+1,N($X3272)))</f>
        <v>0</v>
      </c>
      <c r="Z3273" t="str">
        <f t="shared" si="519"/>
        <v/>
      </c>
      <c r="AA3273">
        <f>IF($V3273="",N($AA3272),IF(MATCH($V3273,$V$6:$V$10005,0)=ROW()-5,N($AA3272)+1,N($AA3272)))</f>
        <v>0</v>
      </c>
    </row>
    <row r="3274" spans="1:27" ht="21" customHeight="1" x14ac:dyDescent="0.95">
      <c r="A3274" s="56"/>
      <c r="B3274" s="57"/>
      <c r="C3274" s="57"/>
      <c r="D3274" s="57"/>
      <c r="E3274" s="56"/>
      <c r="F3274" s="57"/>
      <c r="G3274" s="57"/>
      <c r="H3274" s="56"/>
      <c r="I3274" s="56"/>
      <c r="J3274" s="58"/>
      <c r="K3274" s="58"/>
      <c r="L3274" s="13" t="str">
        <f t="shared" si="510"/>
        <v/>
      </c>
      <c r="M3274" s="13" t="str">
        <f t="shared" si="511"/>
        <v/>
      </c>
      <c r="Q3274" t="str">
        <f t="shared" si="512"/>
        <v/>
      </c>
      <c r="R3274" t="str">
        <f t="shared" si="513"/>
        <v/>
      </c>
      <c r="S3274" t="str">
        <f t="shared" si="514"/>
        <v/>
      </c>
      <c r="T3274" t="str">
        <f t="shared" si="515"/>
        <v/>
      </c>
      <c r="U3274" t="str">
        <f t="shared" si="516"/>
        <v/>
      </c>
      <c r="V3274" t="str">
        <f t="shared" si="517"/>
        <v/>
      </c>
      <c r="W3274" t="str">
        <f t="shared" si="518"/>
        <v/>
      </c>
      <c r="X3274">
        <f>IF($T3274="",N($X3273),IF(MATCH($T3274,$T$6:$T$10005,0)=ROW()-5,N($X3273)+1,N($X3273)))</f>
        <v>0</v>
      </c>
      <c r="Z3274" t="str">
        <f t="shared" si="519"/>
        <v/>
      </c>
      <c r="AA3274">
        <f>IF($V3274="",N($AA3273),IF(MATCH($V3274,$V$6:$V$10005,0)=ROW()-5,N($AA3273)+1,N($AA3273)))</f>
        <v>0</v>
      </c>
    </row>
    <row r="3275" spans="1:27" ht="21" customHeight="1" x14ac:dyDescent="0.95">
      <c r="A3275" s="56"/>
      <c r="B3275" s="57"/>
      <c r="C3275" s="57"/>
      <c r="D3275" s="57"/>
      <c r="E3275" s="56"/>
      <c r="F3275" s="57"/>
      <c r="G3275" s="57"/>
      <c r="H3275" s="56"/>
      <c r="I3275" s="56"/>
      <c r="J3275" s="58"/>
      <c r="K3275" s="58"/>
      <c r="L3275" s="13" t="str">
        <f t="shared" si="510"/>
        <v/>
      </c>
      <c r="M3275" s="13" t="str">
        <f t="shared" si="511"/>
        <v/>
      </c>
      <c r="Q3275" t="str">
        <f t="shared" si="512"/>
        <v/>
      </c>
      <c r="R3275" t="str">
        <f t="shared" si="513"/>
        <v/>
      </c>
      <c r="S3275" t="str">
        <f t="shared" si="514"/>
        <v/>
      </c>
      <c r="T3275" t="str">
        <f t="shared" si="515"/>
        <v/>
      </c>
      <c r="U3275" t="str">
        <f t="shared" si="516"/>
        <v/>
      </c>
      <c r="V3275" t="str">
        <f t="shared" si="517"/>
        <v/>
      </c>
      <c r="W3275" t="str">
        <f t="shared" si="518"/>
        <v/>
      </c>
      <c r="X3275">
        <f>IF($T3275="",N($X3274),IF(MATCH($T3275,$T$6:$T$10005,0)=ROW()-5,N($X3274)+1,N($X3274)))</f>
        <v>0</v>
      </c>
      <c r="Z3275" t="str">
        <f t="shared" si="519"/>
        <v/>
      </c>
      <c r="AA3275">
        <f>IF($V3275="",N($AA3274),IF(MATCH($V3275,$V$6:$V$10005,0)=ROW()-5,N($AA3274)+1,N($AA3274)))</f>
        <v>0</v>
      </c>
    </row>
    <row r="3276" spans="1:27" ht="21" customHeight="1" x14ac:dyDescent="0.95">
      <c r="A3276" s="56"/>
      <c r="B3276" s="57"/>
      <c r="C3276" s="57"/>
      <c r="D3276" s="57"/>
      <c r="E3276" s="56"/>
      <c r="F3276" s="57"/>
      <c r="G3276" s="57"/>
      <c r="H3276" s="56"/>
      <c r="I3276" s="56"/>
      <c r="J3276" s="58"/>
      <c r="K3276" s="58"/>
      <c r="L3276" s="13" t="str">
        <f t="shared" si="510"/>
        <v/>
      </c>
      <c r="M3276" s="13" t="str">
        <f t="shared" si="511"/>
        <v/>
      </c>
      <c r="Q3276" t="str">
        <f t="shared" si="512"/>
        <v/>
      </c>
      <c r="R3276" t="str">
        <f t="shared" si="513"/>
        <v/>
      </c>
      <c r="S3276" t="str">
        <f t="shared" si="514"/>
        <v/>
      </c>
      <c r="T3276" t="str">
        <f t="shared" si="515"/>
        <v/>
      </c>
      <c r="U3276" t="str">
        <f t="shared" si="516"/>
        <v/>
      </c>
      <c r="V3276" t="str">
        <f t="shared" si="517"/>
        <v/>
      </c>
      <c r="W3276" t="str">
        <f t="shared" si="518"/>
        <v/>
      </c>
      <c r="X3276">
        <f>IF($T3276="",N($X3275),IF(MATCH($T3276,$T$6:$T$10005,0)=ROW()-5,N($X3275)+1,N($X3275)))</f>
        <v>0</v>
      </c>
      <c r="Z3276" t="str">
        <f t="shared" si="519"/>
        <v/>
      </c>
      <c r="AA3276">
        <f>IF($V3276="",N($AA3275),IF(MATCH($V3276,$V$6:$V$10005,0)=ROW()-5,N($AA3275)+1,N($AA3275)))</f>
        <v>0</v>
      </c>
    </row>
    <row r="3277" spans="1:27" ht="21" customHeight="1" x14ac:dyDescent="0.95">
      <c r="A3277" s="56"/>
      <c r="B3277" s="57"/>
      <c r="C3277" s="57"/>
      <c r="D3277" s="57"/>
      <c r="E3277" s="56"/>
      <c r="F3277" s="57"/>
      <c r="G3277" s="57"/>
      <c r="H3277" s="56"/>
      <c r="I3277" s="56"/>
      <c r="J3277" s="58"/>
      <c r="K3277" s="58"/>
      <c r="L3277" s="13" t="str">
        <f t="shared" si="510"/>
        <v/>
      </c>
      <c r="M3277" s="13" t="str">
        <f t="shared" si="511"/>
        <v/>
      </c>
      <c r="Q3277" t="str">
        <f t="shared" si="512"/>
        <v/>
      </c>
      <c r="R3277" t="str">
        <f t="shared" si="513"/>
        <v/>
      </c>
      <c r="S3277" t="str">
        <f t="shared" si="514"/>
        <v/>
      </c>
      <c r="T3277" t="str">
        <f t="shared" si="515"/>
        <v/>
      </c>
      <c r="U3277" t="str">
        <f t="shared" si="516"/>
        <v/>
      </c>
      <c r="V3277" t="str">
        <f t="shared" si="517"/>
        <v/>
      </c>
      <c r="W3277" t="str">
        <f t="shared" si="518"/>
        <v/>
      </c>
      <c r="X3277">
        <f>IF($T3277="",N($X3276),IF(MATCH($T3277,$T$6:$T$10005,0)=ROW()-5,N($X3276)+1,N($X3276)))</f>
        <v>0</v>
      </c>
      <c r="Z3277" t="str">
        <f t="shared" si="519"/>
        <v/>
      </c>
      <c r="AA3277">
        <f>IF($V3277="",N($AA3276),IF(MATCH($V3277,$V$6:$V$10005,0)=ROW()-5,N($AA3276)+1,N($AA3276)))</f>
        <v>0</v>
      </c>
    </row>
    <row r="3278" spans="1:27" ht="21" customHeight="1" x14ac:dyDescent="0.95">
      <c r="A3278" s="56"/>
      <c r="B3278" s="57"/>
      <c r="C3278" s="57"/>
      <c r="D3278" s="57"/>
      <c r="E3278" s="56"/>
      <c r="F3278" s="57"/>
      <c r="G3278" s="57"/>
      <c r="H3278" s="56"/>
      <c r="I3278" s="56"/>
      <c r="J3278" s="58"/>
      <c r="K3278" s="58"/>
      <c r="L3278" s="13" t="str">
        <f t="shared" si="510"/>
        <v/>
      </c>
      <c r="M3278" s="13" t="str">
        <f t="shared" si="511"/>
        <v/>
      </c>
      <c r="Q3278" t="str">
        <f t="shared" si="512"/>
        <v/>
      </c>
      <c r="R3278" t="str">
        <f t="shared" si="513"/>
        <v/>
      </c>
      <c r="S3278" t="str">
        <f t="shared" si="514"/>
        <v/>
      </c>
      <c r="T3278" t="str">
        <f t="shared" si="515"/>
        <v/>
      </c>
      <c r="U3278" t="str">
        <f t="shared" si="516"/>
        <v/>
      </c>
      <c r="V3278" t="str">
        <f t="shared" si="517"/>
        <v/>
      </c>
      <c r="W3278" t="str">
        <f t="shared" si="518"/>
        <v/>
      </c>
      <c r="X3278">
        <f>IF($T3278="",N($X3277),IF(MATCH($T3278,$T$6:$T$10005,0)=ROW()-5,N($X3277)+1,N($X3277)))</f>
        <v>0</v>
      </c>
      <c r="Z3278" t="str">
        <f t="shared" si="519"/>
        <v/>
      </c>
      <c r="AA3278">
        <f>IF($V3278="",N($AA3277),IF(MATCH($V3278,$V$6:$V$10005,0)=ROW()-5,N($AA3277)+1,N($AA3277)))</f>
        <v>0</v>
      </c>
    </row>
    <row r="3279" spans="1:27" ht="21" customHeight="1" x14ac:dyDescent="0.95">
      <c r="A3279" s="56"/>
      <c r="B3279" s="57"/>
      <c r="C3279" s="57"/>
      <c r="D3279" s="57"/>
      <c r="E3279" s="56"/>
      <c r="F3279" s="57"/>
      <c r="G3279" s="57"/>
      <c r="H3279" s="56"/>
      <c r="I3279" s="56"/>
      <c r="J3279" s="58"/>
      <c r="K3279" s="58"/>
      <c r="L3279" s="13" t="str">
        <f t="shared" si="510"/>
        <v/>
      </c>
      <c r="M3279" s="13" t="str">
        <f t="shared" si="511"/>
        <v/>
      </c>
      <c r="Q3279" t="str">
        <f t="shared" si="512"/>
        <v/>
      </c>
      <c r="R3279" t="str">
        <f t="shared" si="513"/>
        <v/>
      </c>
      <c r="S3279" t="str">
        <f t="shared" si="514"/>
        <v/>
      </c>
      <c r="T3279" t="str">
        <f t="shared" si="515"/>
        <v/>
      </c>
      <c r="U3279" t="str">
        <f t="shared" si="516"/>
        <v/>
      </c>
      <c r="V3279" t="str">
        <f t="shared" si="517"/>
        <v/>
      </c>
      <c r="W3279" t="str">
        <f t="shared" si="518"/>
        <v/>
      </c>
      <c r="X3279">
        <f>IF($T3279="",N($X3278),IF(MATCH($T3279,$T$6:$T$10005,0)=ROW()-5,N($X3278)+1,N($X3278)))</f>
        <v>0</v>
      </c>
      <c r="Z3279" t="str">
        <f t="shared" si="519"/>
        <v/>
      </c>
      <c r="AA3279">
        <f>IF($V3279="",N($AA3278),IF(MATCH($V3279,$V$6:$V$10005,0)=ROW()-5,N($AA3278)+1,N($AA3278)))</f>
        <v>0</v>
      </c>
    </row>
    <row r="3280" spans="1:27" ht="21" customHeight="1" x14ac:dyDescent="0.95">
      <c r="A3280" s="56"/>
      <c r="B3280" s="57"/>
      <c r="C3280" s="57"/>
      <c r="D3280" s="57"/>
      <c r="E3280" s="56"/>
      <c r="F3280" s="57"/>
      <c r="G3280" s="57"/>
      <c r="H3280" s="56"/>
      <c r="I3280" s="56"/>
      <c r="J3280" s="58"/>
      <c r="K3280" s="58"/>
      <c r="L3280" s="13" t="str">
        <f t="shared" si="510"/>
        <v/>
      </c>
      <c r="M3280" s="13" t="str">
        <f t="shared" si="511"/>
        <v/>
      </c>
      <c r="Q3280" t="str">
        <f t="shared" si="512"/>
        <v/>
      </c>
      <c r="R3280" t="str">
        <f t="shared" si="513"/>
        <v/>
      </c>
      <c r="S3280" t="str">
        <f t="shared" si="514"/>
        <v/>
      </c>
      <c r="T3280" t="str">
        <f t="shared" si="515"/>
        <v/>
      </c>
      <c r="U3280" t="str">
        <f t="shared" si="516"/>
        <v/>
      </c>
      <c r="V3280" t="str">
        <f t="shared" si="517"/>
        <v/>
      </c>
      <c r="W3280" t="str">
        <f t="shared" si="518"/>
        <v/>
      </c>
      <c r="X3280">
        <f>IF($T3280="",N($X3279),IF(MATCH($T3280,$T$6:$T$10005,0)=ROW()-5,N($X3279)+1,N($X3279)))</f>
        <v>0</v>
      </c>
      <c r="Z3280" t="str">
        <f t="shared" si="519"/>
        <v/>
      </c>
      <c r="AA3280">
        <f>IF($V3280="",N($AA3279),IF(MATCH($V3280,$V$6:$V$10005,0)=ROW()-5,N($AA3279)+1,N($AA3279)))</f>
        <v>0</v>
      </c>
    </row>
    <row r="3281" spans="1:27" ht="21" customHeight="1" x14ac:dyDescent="0.95">
      <c r="A3281" s="56"/>
      <c r="B3281" s="57"/>
      <c r="C3281" s="57"/>
      <c r="D3281" s="57"/>
      <c r="E3281" s="56"/>
      <c r="F3281" s="57"/>
      <c r="G3281" s="57"/>
      <c r="H3281" s="56"/>
      <c r="I3281" s="56"/>
      <c r="J3281" s="58"/>
      <c r="K3281" s="58"/>
      <c r="L3281" s="13" t="str">
        <f t="shared" si="510"/>
        <v/>
      </c>
      <c r="M3281" s="13" t="str">
        <f t="shared" si="511"/>
        <v/>
      </c>
      <c r="Q3281" t="str">
        <f t="shared" si="512"/>
        <v/>
      </c>
      <c r="R3281" t="str">
        <f t="shared" si="513"/>
        <v/>
      </c>
      <c r="S3281" t="str">
        <f t="shared" si="514"/>
        <v/>
      </c>
      <c r="T3281" t="str">
        <f t="shared" si="515"/>
        <v/>
      </c>
      <c r="U3281" t="str">
        <f t="shared" si="516"/>
        <v/>
      </c>
      <c r="V3281" t="str">
        <f t="shared" si="517"/>
        <v/>
      </c>
      <c r="W3281" t="str">
        <f t="shared" si="518"/>
        <v/>
      </c>
      <c r="X3281">
        <f>IF($T3281="",N($X3280),IF(MATCH($T3281,$T$6:$T$10005,0)=ROW()-5,N($X3280)+1,N($X3280)))</f>
        <v>0</v>
      </c>
      <c r="Z3281" t="str">
        <f t="shared" si="519"/>
        <v/>
      </c>
      <c r="AA3281">
        <f>IF($V3281="",N($AA3280),IF(MATCH($V3281,$V$6:$V$10005,0)=ROW()-5,N($AA3280)+1,N($AA3280)))</f>
        <v>0</v>
      </c>
    </row>
    <row r="3282" spans="1:27" ht="21" customHeight="1" x14ac:dyDescent="0.95">
      <c r="A3282" s="56"/>
      <c r="B3282" s="57"/>
      <c r="C3282" s="57"/>
      <c r="D3282" s="57"/>
      <c r="E3282" s="56"/>
      <c r="F3282" s="57"/>
      <c r="G3282" s="57"/>
      <c r="H3282" s="56"/>
      <c r="I3282" s="56"/>
      <c r="J3282" s="58"/>
      <c r="K3282" s="58"/>
      <c r="L3282" s="13" t="str">
        <f t="shared" si="510"/>
        <v/>
      </c>
      <c r="M3282" s="13" t="str">
        <f t="shared" si="511"/>
        <v/>
      </c>
      <c r="Q3282" t="str">
        <f t="shared" si="512"/>
        <v/>
      </c>
      <c r="R3282" t="str">
        <f t="shared" si="513"/>
        <v/>
      </c>
      <c r="S3282" t="str">
        <f t="shared" si="514"/>
        <v/>
      </c>
      <c r="T3282" t="str">
        <f t="shared" si="515"/>
        <v/>
      </c>
      <c r="U3282" t="str">
        <f t="shared" si="516"/>
        <v/>
      </c>
      <c r="V3282" t="str">
        <f t="shared" si="517"/>
        <v/>
      </c>
      <c r="W3282" t="str">
        <f t="shared" si="518"/>
        <v/>
      </c>
      <c r="X3282">
        <f>IF($T3282="",N($X3281),IF(MATCH($T3282,$T$6:$T$10005,0)=ROW()-5,N($X3281)+1,N($X3281)))</f>
        <v>0</v>
      </c>
      <c r="Z3282" t="str">
        <f t="shared" si="519"/>
        <v/>
      </c>
      <c r="AA3282">
        <f>IF($V3282="",N($AA3281),IF(MATCH($V3282,$V$6:$V$10005,0)=ROW()-5,N($AA3281)+1,N($AA3281)))</f>
        <v>0</v>
      </c>
    </row>
    <row r="3283" spans="1:27" ht="21" customHeight="1" x14ac:dyDescent="0.95">
      <c r="A3283" s="56"/>
      <c r="B3283" s="57"/>
      <c r="C3283" s="57"/>
      <c r="D3283" s="57"/>
      <c r="E3283" s="56"/>
      <c r="F3283" s="57"/>
      <c r="G3283" s="57"/>
      <c r="H3283" s="56"/>
      <c r="I3283" s="56"/>
      <c r="J3283" s="58"/>
      <c r="K3283" s="58"/>
      <c r="L3283" s="13" t="str">
        <f t="shared" si="510"/>
        <v/>
      </c>
      <c r="M3283" s="13" t="str">
        <f t="shared" si="511"/>
        <v/>
      </c>
      <c r="Q3283" t="str">
        <f t="shared" si="512"/>
        <v/>
      </c>
      <c r="R3283" t="str">
        <f t="shared" si="513"/>
        <v/>
      </c>
      <c r="S3283" t="str">
        <f t="shared" si="514"/>
        <v/>
      </c>
      <c r="T3283" t="str">
        <f t="shared" si="515"/>
        <v/>
      </c>
      <c r="U3283" t="str">
        <f t="shared" si="516"/>
        <v/>
      </c>
      <c r="V3283" t="str">
        <f t="shared" si="517"/>
        <v/>
      </c>
      <c r="W3283" t="str">
        <f t="shared" si="518"/>
        <v/>
      </c>
      <c r="X3283">
        <f>IF($T3283="",N($X3282),IF(MATCH($T3283,$T$6:$T$10005,0)=ROW()-5,N($X3282)+1,N($X3282)))</f>
        <v>0</v>
      </c>
      <c r="Z3283" t="str">
        <f t="shared" si="519"/>
        <v/>
      </c>
      <c r="AA3283">
        <f>IF($V3283="",N($AA3282),IF(MATCH($V3283,$V$6:$V$10005,0)=ROW()-5,N($AA3282)+1,N($AA3282)))</f>
        <v>0</v>
      </c>
    </row>
    <row r="3284" spans="1:27" ht="21" customHeight="1" x14ac:dyDescent="0.95">
      <c r="A3284" s="56"/>
      <c r="B3284" s="57"/>
      <c r="C3284" s="57"/>
      <c r="D3284" s="57"/>
      <c r="E3284" s="56"/>
      <c r="F3284" s="57"/>
      <c r="G3284" s="57"/>
      <c r="H3284" s="56"/>
      <c r="I3284" s="56"/>
      <c r="J3284" s="58"/>
      <c r="K3284" s="58"/>
      <c r="L3284" s="13" t="str">
        <f t="shared" si="510"/>
        <v/>
      </c>
      <c r="M3284" s="13" t="str">
        <f t="shared" si="511"/>
        <v/>
      </c>
      <c r="Q3284" t="str">
        <f t="shared" si="512"/>
        <v/>
      </c>
      <c r="R3284" t="str">
        <f t="shared" si="513"/>
        <v/>
      </c>
      <c r="S3284" t="str">
        <f t="shared" si="514"/>
        <v/>
      </c>
      <c r="T3284" t="str">
        <f t="shared" si="515"/>
        <v/>
      </c>
      <c r="U3284" t="str">
        <f t="shared" si="516"/>
        <v/>
      </c>
      <c r="V3284" t="str">
        <f t="shared" si="517"/>
        <v/>
      </c>
      <c r="W3284" t="str">
        <f t="shared" si="518"/>
        <v/>
      </c>
      <c r="X3284">
        <f>IF($T3284="",N($X3283),IF(MATCH($T3284,$T$6:$T$10005,0)=ROW()-5,N($X3283)+1,N($X3283)))</f>
        <v>0</v>
      </c>
      <c r="Z3284" t="str">
        <f t="shared" si="519"/>
        <v/>
      </c>
      <c r="AA3284">
        <f>IF($V3284="",N($AA3283),IF(MATCH($V3284,$V$6:$V$10005,0)=ROW()-5,N($AA3283)+1,N($AA3283)))</f>
        <v>0</v>
      </c>
    </row>
    <row r="3285" spans="1:27" ht="21" customHeight="1" x14ac:dyDescent="0.95">
      <c r="A3285" s="56"/>
      <c r="B3285" s="57"/>
      <c r="C3285" s="57"/>
      <c r="D3285" s="57"/>
      <c r="E3285" s="56"/>
      <c r="F3285" s="57"/>
      <c r="G3285" s="57"/>
      <c r="H3285" s="56"/>
      <c r="I3285" s="56"/>
      <c r="J3285" s="58"/>
      <c r="K3285" s="58"/>
      <c r="L3285" s="13" t="str">
        <f t="shared" si="510"/>
        <v/>
      </c>
      <c r="M3285" s="13" t="str">
        <f t="shared" si="511"/>
        <v/>
      </c>
      <c r="Q3285" t="str">
        <f t="shared" si="512"/>
        <v/>
      </c>
      <c r="R3285" t="str">
        <f t="shared" si="513"/>
        <v/>
      </c>
      <c r="S3285" t="str">
        <f t="shared" si="514"/>
        <v/>
      </c>
      <c r="T3285" t="str">
        <f t="shared" si="515"/>
        <v/>
      </c>
      <c r="U3285" t="str">
        <f t="shared" si="516"/>
        <v/>
      </c>
      <c r="V3285" t="str">
        <f t="shared" si="517"/>
        <v/>
      </c>
      <c r="W3285" t="str">
        <f t="shared" si="518"/>
        <v/>
      </c>
      <c r="X3285">
        <f>IF($T3285="",N($X3284),IF(MATCH($T3285,$T$6:$T$10005,0)=ROW()-5,N($X3284)+1,N($X3284)))</f>
        <v>0</v>
      </c>
      <c r="Z3285" t="str">
        <f t="shared" si="519"/>
        <v/>
      </c>
      <c r="AA3285">
        <f>IF($V3285="",N($AA3284),IF(MATCH($V3285,$V$6:$V$10005,0)=ROW()-5,N($AA3284)+1,N($AA3284)))</f>
        <v>0</v>
      </c>
    </row>
    <row r="3286" spans="1:27" ht="21" customHeight="1" x14ac:dyDescent="0.95">
      <c r="A3286" s="56"/>
      <c r="B3286" s="57"/>
      <c r="C3286" s="57"/>
      <c r="D3286" s="57"/>
      <c r="E3286" s="56"/>
      <c r="F3286" s="57"/>
      <c r="G3286" s="57"/>
      <c r="H3286" s="56"/>
      <c r="I3286" s="56"/>
      <c r="J3286" s="58"/>
      <c r="K3286" s="58"/>
      <c r="L3286" s="13" t="str">
        <f t="shared" si="510"/>
        <v/>
      </c>
      <c r="M3286" s="13" t="str">
        <f t="shared" si="511"/>
        <v/>
      </c>
      <c r="Q3286" t="str">
        <f t="shared" si="512"/>
        <v/>
      </c>
      <c r="R3286" t="str">
        <f t="shared" si="513"/>
        <v/>
      </c>
      <c r="S3286" t="str">
        <f t="shared" si="514"/>
        <v/>
      </c>
      <c r="T3286" t="str">
        <f t="shared" si="515"/>
        <v/>
      </c>
      <c r="U3286" t="str">
        <f t="shared" si="516"/>
        <v/>
      </c>
      <c r="V3286" t="str">
        <f t="shared" si="517"/>
        <v/>
      </c>
      <c r="W3286" t="str">
        <f t="shared" si="518"/>
        <v/>
      </c>
      <c r="X3286">
        <f>IF($T3286="",N($X3285),IF(MATCH($T3286,$T$6:$T$10005,0)=ROW()-5,N($X3285)+1,N($X3285)))</f>
        <v>0</v>
      </c>
      <c r="Z3286" t="str">
        <f t="shared" si="519"/>
        <v/>
      </c>
      <c r="AA3286">
        <f>IF($V3286="",N($AA3285),IF(MATCH($V3286,$V$6:$V$10005,0)=ROW()-5,N($AA3285)+1,N($AA3285)))</f>
        <v>0</v>
      </c>
    </row>
    <row r="3287" spans="1:27" ht="21" customHeight="1" x14ac:dyDescent="0.95">
      <c r="A3287" s="56"/>
      <c r="B3287" s="57"/>
      <c r="C3287" s="57"/>
      <c r="D3287" s="57"/>
      <c r="E3287" s="56"/>
      <c r="F3287" s="57"/>
      <c r="G3287" s="57"/>
      <c r="H3287" s="56"/>
      <c r="I3287" s="56"/>
      <c r="J3287" s="58"/>
      <c r="K3287" s="58"/>
      <c r="L3287" s="13" t="str">
        <f t="shared" si="510"/>
        <v/>
      </c>
      <c r="M3287" s="13" t="str">
        <f t="shared" si="511"/>
        <v/>
      </c>
      <c r="Q3287" t="str">
        <f t="shared" si="512"/>
        <v/>
      </c>
      <c r="R3287" t="str">
        <f t="shared" si="513"/>
        <v/>
      </c>
      <c r="S3287" t="str">
        <f t="shared" si="514"/>
        <v/>
      </c>
      <c r="T3287" t="str">
        <f t="shared" si="515"/>
        <v/>
      </c>
      <c r="U3287" t="str">
        <f t="shared" si="516"/>
        <v/>
      </c>
      <c r="V3287" t="str">
        <f t="shared" si="517"/>
        <v/>
      </c>
      <c r="W3287" t="str">
        <f t="shared" si="518"/>
        <v/>
      </c>
      <c r="X3287">
        <f>IF($T3287="",N($X3286),IF(MATCH($T3287,$T$6:$T$10005,0)=ROW()-5,N($X3286)+1,N($X3286)))</f>
        <v>0</v>
      </c>
      <c r="Z3287" t="str">
        <f t="shared" si="519"/>
        <v/>
      </c>
      <c r="AA3287">
        <f>IF($V3287="",N($AA3286),IF(MATCH($V3287,$V$6:$V$10005,0)=ROW()-5,N($AA3286)+1,N($AA3286)))</f>
        <v>0</v>
      </c>
    </row>
    <row r="3288" spans="1:27" ht="21" customHeight="1" x14ac:dyDescent="0.95">
      <c r="A3288" s="56"/>
      <c r="B3288" s="57"/>
      <c r="C3288" s="57"/>
      <c r="D3288" s="57"/>
      <c r="E3288" s="56"/>
      <c r="F3288" s="57"/>
      <c r="G3288" s="57"/>
      <c r="H3288" s="56"/>
      <c r="I3288" s="56"/>
      <c r="J3288" s="58"/>
      <c r="K3288" s="58"/>
      <c r="L3288" s="13" t="str">
        <f t="shared" si="510"/>
        <v/>
      </c>
      <c r="M3288" s="13" t="str">
        <f t="shared" si="511"/>
        <v/>
      </c>
      <c r="Q3288" t="str">
        <f t="shared" si="512"/>
        <v/>
      </c>
      <c r="R3288" t="str">
        <f t="shared" si="513"/>
        <v/>
      </c>
      <c r="S3288" t="str">
        <f t="shared" si="514"/>
        <v/>
      </c>
      <c r="T3288" t="str">
        <f t="shared" si="515"/>
        <v/>
      </c>
      <c r="U3288" t="str">
        <f t="shared" si="516"/>
        <v/>
      </c>
      <c r="V3288" t="str">
        <f t="shared" si="517"/>
        <v/>
      </c>
      <c r="W3288" t="str">
        <f t="shared" si="518"/>
        <v/>
      </c>
      <c r="X3288">
        <f>IF($T3288="",N($X3287),IF(MATCH($T3288,$T$6:$T$10005,0)=ROW()-5,N($X3287)+1,N($X3287)))</f>
        <v>0</v>
      </c>
      <c r="Z3288" t="str">
        <f t="shared" si="519"/>
        <v/>
      </c>
      <c r="AA3288">
        <f>IF($V3288="",N($AA3287),IF(MATCH($V3288,$V$6:$V$10005,0)=ROW()-5,N($AA3287)+1,N($AA3287)))</f>
        <v>0</v>
      </c>
    </row>
    <row r="3289" spans="1:27" ht="21" customHeight="1" x14ac:dyDescent="0.95">
      <c r="A3289" s="56"/>
      <c r="B3289" s="57"/>
      <c r="C3289" s="57"/>
      <c r="D3289" s="57"/>
      <c r="E3289" s="56"/>
      <c r="F3289" s="57"/>
      <c r="G3289" s="57"/>
      <c r="H3289" s="56"/>
      <c r="I3289" s="56"/>
      <c r="J3289" s="58"/>
      <c r="K3289" s="58"/>
      <c r="L3289" s="13" t="str">
        <f t="shared" si="510"/>
        <v/>
      </c>
      <c r="M3289" s="13" t="str">
        <f t="shared" si="511"/>
        <v/>
      </c>
      <c r="Q3289" t="str">
        <f t="shared" si="512"/>
        <v/>
      </c>
      <c r="R3289" t="str">
        <f t="shared" si="513"/>
        <v/>
      </c>
      <c r="S3289" t="str">
        <f t="shared" si="514"/>
        <v/>
      </c>
      <c r="T3289" t="str">
        <f t="shared" si="515"/>
        <v/>
      </c>
      <c r="U3289" t="str">
        <f t="shared" si="516"/>
        <v/>
      </c>
      <c r="V3289" t="str">
        <f t="shared" si="517"/>
        <v/>
      </c>
      <c r="W3289" t="str">
        <f t="shared" si="518"/>
        <v/>
      </c>
      <c r="X3289">
        <f>IF($T3289="",N($X3288),IF(MATCH($T3289,$T$6:$T$10005,0)=ROW()-5,N($X3288)+1,N($X3288)))</f>
        <v>0</v>
      </c>
      <c r="Z3289" t="str">
        <f t="shared" si="519"/>
        <v/>
      </c>
      <c r="AA3289">
        <f>IF($V3289="",N($AA3288),IF(MATCH($V3289,$V$6:$V$10005,0)=ROW()-5,N($AA3288)+1,N($AA3288)))</f>
        <v>0</v>
      </c>
    </row>
    <row r="3290" spans="1:27" ht="21" customHeight="1" x14ac:dyDescent="0.95">
      <c r="A3290" s="56"/>
      <c r="B3290" s="57"/>
      <c r="C3290" s="57"/>
      <c r="D3290" s="57"/>
      <c r="E3290" s="56"/>
      <c r="F3290" s="57"/>
      <c r="G3290" s="57"/>
      <c r="H3290" s="56"/>
      <c r="I3290" s="56"/>
      <c r="J3290" s="58"/>
      <c r="K3290" s="58"/>
      <c r="L3290" s="13" t="str">
        <f t="shared" si="510"/>
        <v/>
      </c>
      <c r="M3290" s="13" t="str">
        <f t="shared" si="511"/>
        <v/>
      </c>
      <c r="Q3290" t="str">
        <f t="shared" si="512"/>
        <v/>
      </c>
      <c r="R3290" t="str">
        <f t="shared" si="513"/>
        <v/>
      </c>
      <c r="S3290" t="str">
        <f t="shared" si="514"/>
        <v/>
      </c>
      <c r="T3290" t="str">
        <f t="shared" si="515"/>
        <v/>
      </c>
      <c r="U3290" t="str">
        <f t="shared" si="516"/>
        <v/>
      </c>
      <c r="V3290" t="str">
        <f t="shared" si="517"/>
        <v/>
      </c>
      <c r="W3290" t="str">
        <f t="shared" si="518"/>
        <v/>
      </c>
      <c r="X3290">
        <f>IF($T3290="",N($X3289),IF(MATCH($T3290,$T$6:$T$10005,0)=ROW()-5,N($X3289)+1,N($X3289)))</f>
        <v>0</v>
      </c>
      <c r="Z3290" t="str">
        <f t="shared" si="519"/>
        <v/>
      </c>
      <c r="AA3290">
        <f>IF($V3290="",N($AA3289),IF(MATCH($V3290,$V$6:$V$10005,0)=ROW()-5,N($AA3289)+1,N($AA3289)))</f>
        <v>0</v>
      </c>
    </row>
    <row r="3291" spans="1:27" ht="21" customHeight="1" x14ac:dyDescent="0.95">
      <c r="A3291" s="56"/>
      <c r="B3291" s="57"/>
      <c r="C3291" s="57"/>
      <c r="D3291" s="57"/>
      <c r="E3291" s="56"/>
      <c r="F3291" s="57"/>
      <c r="G3291" s="57"/>
      <c r="H3291" s="56"/>
      <c r="I3291" s="56"/>
      <c r="J3291" s="58"/>
      <c r="K3291" s="58"/>
      <c r="L3291" s="13" t="str">
        <f t="shared" si="510"/>
        <v/>
      </c>
      <c r="M3291" s="13" t="str">
        <f t="shared" si="511"/>
        <v/>
      </c>
      <c r="Q3291" t="str">
        <f t="shared" si="512"/>
        <v/>
      </c>
      <c r="R3291" t="str">
        <f t="shared" si="513"/>
        <v/>
      </c>
      <c r="S3291" t="str">
        <f t="shared" si="514"/>
        <v/>
      </c>
      <c r="T3291" t="str">
        <f t="shared" si="515"/>
        <v/>
      </c>
      <c r="U3291" t="str">
        <f t="shared" si="516"/>
        <v/>
      </c>
      <c r="V3291" t="str">
        <f t="shared" si="517"/>
        <v/>
      </c>
      <c r="W3291" t="str">
        <f t="shared" si="518"/>
        <v/>
      </c>
      <c r="X3291">
        <f>IF($T3291="",N($X3290),IF(MATCH($T3291,$T$6:$T$10005,0)=ROW()-5,N($X3290)+1,N($X3290)))</f>
        <v>0</v>
      </c>
      <c r="Z3291" t="str">
        <f t="shared" si="519"/>
        <v/>
      </c>
      <c r="AA3291">
        <f>IF($V3291="",N($AA3290),IF(MATCH($V3291,$V$6:$V$10005,0)=ROW()-5,N($AA3290)+1,N($AA3290)))</f>
        <v>0</v>
      </c>
    </row>
    <row r="3292" spans="1:27" ht="21" customHeight="1" x14ac:dyDescent="0.95">
      <c r="A3292" s="56"/>
      <c r="B3292" s="57"/>
      <c r="C3292" s="57"/>
      <c r="D3292" s="57"/>
      <c r="E3292" s="56"/>
      <c r="F3292" s="57"/>
      <c r="G3292" s="57"/>
      <c r="H3292" s="56"/>
      <c r="I3292" s="56"/>
      <c r="J3292" s="58"/>
      <c r="K3292" s="58"/>
      <c r="L3292" s="13" t="str">
        <f t="shared" si="510"/>
        <v/>
      </c>
      <c r="M3292" s="13" t="str">
        <f t="shared" si="511"/>
        <v/>
      </c>
      <c r="Q3292" t="str">
        <f t="shared" si="512"/>
        <v/>
      </c>
      <c r="R3292" t="str">
        <f t="shared" si="513"/>
        <v/>
      </c>
      <c r="S3292" t="str">
        <f t="shared" si="514"/>
        <v/>
      </c>
      <c r="T3292" t="str">
        <f t="shared" si="515"/>
        <v/>
      </c>
      <c r="U3292" t="str">
        <f t="shared" si="516"/>
        <v/>
      </c>
      <c r="V3292" t="str">
        <f t="shared" si="517"/>
        <v/>
      </c>
      <c r="W3292" t="str">
        <f t="shared" si="518"/>
        <v/>
      </c>
      <c r="X3292">
        <f>IF($T3292="",N($X3291),IF(MATCH($T3292,$T$6:$T$10005,0)=ROW()-5,N($X3291)+1,N($X3291)))</f>
        <v>0</v>
      </c>
      <c r="Z3292" t="str">
        <f t="shared" si="519"/>
        <v/>
      </c>
      <c r="AA3292">
        <f>IF($V3292="",N($AA3291),IF(MATCH($V3292,$V$6:$V$10005,0)=ROW()-5,N($AA3291)+1,N($AA3291)))</f>
        <v>0</v>
      </c>
    </row>
    <row r="3293" spans="1:27" ht="21" customHeight="1" x14ac:dyDescent="0.95">
      <c r="A3293" s="56"/>
      <c r="B3293" s="57"/>
      <c r="C3293" s="57"/>
      <c r="D3293" s="57"/>
      <c r="E3293" s="56"/>
      <c r="F3293" s="57"/>
      <c r="G3293" s="57"/>
      <c r="H3293" s="56"/>
      <c r="I3293" s="56"/>
      <c r="J3293" s="58"/>
      <c r="K3293" s="58"/>
      <c r="L3293" s="13" t="str">
        <f t="shared" si="510"/>
        <v/>
      </c>
      <c r="M3293" s="13" t="str">
        <f t="shared" si="511"/>
        <v/>
      </c>
      <c r="Q3293" t="str">
        <f t="shared" si="512"/>
        <v/>
      </c>
      <c r="R3293" t="str">
        <f t="shared" si="513"/>
        <v/>
      </c>
      <c r="S3293" t="str">
        <f t="shared" si="514"/>
        <v/>
      </c>
      <c r="T3293" t="str">
        <f t="shared" si="515"/>
        <v/>
      </c>
      <c r="U3293" t="str">
        <f t="shared" si="516"/>
        <v/>
      </c>
      <c r="V3293" t="str">
        <f t="shared" si="517"/>
        <v/>
      </c>
      <c r="W3293" t="str">
        <f t="shared" si="518"/>
        <v/>
      </c>
      <c r="X3293">
        <f>IF($T3293="",N($X3292),IF(MATCH($T3293,$T$6:$T$10005,0)=ROW()-5,N($X3292)+1,N($X3292)))</f>
        <v>0</v>
      </c>
      <c r="Z3293" t="str">
        <f t="shared" si="519"/>
        <v/>
      </c>
      <c r="AA3293">
        <f>IF($V3293="",N($AA3292),IF(MATCH($V3293,$V$6:$V$10005,0)=ROW()-5,N($AA3292)+1,N($AA3292)))</f>
        <v>0</v>
      </c>
    </row>
    <row r="3294" spans="1:27" ht="21" customHeight="1" x14ac:dyDescent="0.95">
      <c r="A3294" s="56"/>
      <c r="B3294" s="57"/>
      <c r="C3294" s="57"/>
      <c r="D3294" s="57"/>
      <c r="E3294" s="56"/>
      <c r="F3294" s="57"/>
      <c r="G3294" s="57"/>
      <c r="H3294" s="56"/>
      <c r="I3294" s="56"/>
      <c r="J3294" s="58"/>
      <c r="K3294" s="58"/>
      <c r="L3294" s="13" t="str">
        <f t="shared" si="510"/>
        <v/>
      </c>
      <c r="M3294" s="13" t="str">
        <f t="shared" si="511"/>
        <v/>
      </c>
      <c r="Q3294" t="str">
        <f t="shared" si="512"/>
        <v/>
      </c>
      <c r="R3294" t="str">
        <f t="shared" si="513"/>
        <v/>
      </c>
      <c r="S3294" t="str">
        <f t="shared" si="514"/>
        <v/>
      </c>
      <c r="T3294" t="str">
        <f t="shared" si="515"/>
        <v/>
      </c>
      <c r="U3294" t="str">
        <f t="shared" si="516"/>
        <v/>
      </c>
      <c r="V3294" t="str">
        <f t="shared" si="517"/>
        <v/>
      </c>
      <c r="W3294" t="str">
        <f t="shared" si="518"/>
        <v/>
      </c>
      <c r="X3294">
        <f>IF($T3294="",N($X3293),IF(MATCH($T3294,$T$6:$T$10005,0)=ROW()-5,N($X3293)+1,N($X3293)))</f>
        <v>0</v>
      </c>
      <c r="Z3294" t="str">
        <f t="shared" si="519"/>
        <v/>
      </c>
      <c r="AA3294">
        <f>IF($V3294="",N($AA3293),IF(MATCH($V3294,$V$6:$V$10005,0)=ROW()-5,N($AA3293)+1,N($AA3293)))</f>
        <v>0</v>
      </c>
    </row>
    <row r="3295" spans="1:27" ht="21" customHeight="1" x14ac:dyDescent="0.95">
      <c r="A3295" s="56"/>
      <c r="B3295" s="57"/>
      <c r="C3295" s="57"/>
      <c r="D3295" s="57"/>
      <c r="E3295" s="56"/>
      <c r="F3295" s="57"/>
      <c r="G3295" s="57"/>
      <c r="H3295" s="56"/>
      <c r="I3295" s="56"/>
      <c r="J3295" s="58"/>
      <c r="K3295" s="58"/>
      <c r="L3295" s="13" t="str">
        <f t="shared" si="510"/>
        <v/>
      </c>
      <c r="M3295" s="13" t="str">
        <f t="shared" si="511"/>
        <v/>
      </c>
      <c r="Q3295" t="str">
        <f t="shared" si="512"/>
        <v/>
      </c>
      <c r="R3295" t="str">
        <f t="shared" si="513"/>
        <v/>
      </c>
      <c r="S3295" t="str">
        <f t="shared" si="514"/>
        <v/>
      </c>
      <c r="T3295" t="str">
        <f t="shared" si="515"/>
        <v/>
      </c>
      <c r="U3295" t="str">
        <f t="shared" si="516"/>
        <v/>
      </c>
      <c r="V3295" t="str">
        <f t="shared" si="517"/>
        <v/>
      </c>
      <c r="W3295" t="str">
        <f t="shared" si="518"/>
        <v/>
      </c>
      <c r="X3295">
        <f>IF($T3295="",N($X3294),IF(MATCH($T3295,$T$6:$T$10005,0)=ROW()-5,N($X3294)+1,N($X3294)))</f>
        <v>0</v>
      </c>
      <c r="Z3295" t="str">
        <f t="shared" si="519"/>
        <v/>
      </c>
      <c r="AA3295">
        <f>IF($V3295="",N($AA3294),IF(MATCH($V3295,$V$6:$V$10005,0)=ROW()-5,N($AA3294)+1,N($AA3294)))</f>
        <v>0</v>
      </c>
    </row>
    <row r="3296" spans="1:27" ht="21" customHeight="1" x14ac:dyDescent="0.95">
      <c r="A3296" s="56"/>
      <c r="B3296" s="57"/>
      <c r="C3296" s="57"/>
      <c r="D3296" s="57"/>
      <c r="E3296" s="56"/>
      <c r="F3296" s="57"/>
      <c r="G3296" s="57"/>
      <c r="H3296" s="56"/>
      <c r="I3296" s="56"/>
      <c r="J3296" s="58"/>
      <c r="K3296" s="58"/>
      <c r="L3296" s="13" t="str">
        <f t="shared" si="510"/>
        <v/>
      </c>
      <c r="M3296" s="13" t="str">
        <f t="shared" si="511"/>
        <v/>
      </c>
      <c r="Q3296" t="str">
        <f t="shared" si="512"/>
        <v/>
      </c>
      <c r="R3296" t="str">
        <f t="shared" si="513"/>
        <v/>
      </c>
      <c r="S3296" t="str">
        <f t="shared" si="514"/>
        <v/>
      </c>
      <c r="T3296" t="str">
        <f t="shared" si="515"/>
        <v/>
      </c>
      <c r="U3296" t="str">
        <f t="shared" si="516"/>
        <v/>
      </c>
      <c r="V3296" t="str">
        <f t="shared" si="517"/>
        <v/>
      </c>
      <c r="W3296" t="str">
        <f t="shared" si="518"/>
        <v/>
      </c>
      <c r="X3296">
        <f>IF($T3296="",N($X3295),IF(MATCH($T3296,$T$6:$T$10005,0)=ROW()-5,N($X3295)+1,N($X3295)))</f>
        <v>0</v>
      </c>
      <c r="Z3296" t="str">
        <f t="shared" si="519"/>
        <v/>
      </c>
      <c r="AA3296">
        <f>IF($V3296="",N($AA3295),IF(MATCH($V3296,$V$6:$V$10005,0)=ROW()-5,N($AA3295)+1,N($AA3295)))</f>
        <v>0</v>
      </c>
    </row>
    <row r="3297" spans="1:27" ht="21" customHeight="1" x14ac:dyDescent="0.95">
      <c r="A3297" s="56"/>
      <c r="B3297" s="57"/>
      <c r="C3297" s="57"/>
      <c r="D3297" s="57"/>
      <c r="E3297" s="56"/>
      <c r="F3297" s="57"/>
      <c r="G3297" s="57"/>
      <c r="H3297" s="56"/>
      <c r="I3297" s="56"/>
      <c r="J3297" s="58"/>
      <c r="K3297" s="58"/>
      <c r="L3297" s="13" t="str">
        <f t="shared" si="510"/>
        <v/>
      </c>
      <c r="M3297" s="13" t="str">
        <f t="shared" si="511"/>
        <v/>
      </c>
      <c r="Q3297" t="str">
        <f t="shared" si="512"/>
        <v/>
      </c>
      <c r="R3297" t="str">
        <f t="shared" si="513"/>
        <v/>
      </c>
      <c r="S3297" t="str">
        <f t="shared" si="514"/>
        <v/>
      </c>
      <c r="T3297" t="str">
        <f t="shared" si="515"/>
        <v/>
      </c>
      <c r="U3297" t="str">
        <f t="shared" si="516"/>
        <v/>
      </c>
      <c r="V3297" t="str">
        <f t="shared" si="517"/>
        <v/>
      </c>
      <c r="W3297" t="str">
        <f t="shared" si="518"/>
        <v/>
      </c>
      <c r="X3297">
        <f>IF($T3297="",N($X3296),IF(MATCH($T3297,$T$6:$T$10005,0)=ROW()-5,N($X3296)+1,N($X3296)))</f>
        <v>0</v>
      </c>
      <c r="Z3297" t="str">
        <f t="shared" si="519"/>
        <v/>
      </c>
      <c r="AA3297">
        <f>IF($V3297="",N($AA3296),IF(MATCH($V3297,$V$6:$V$10005,0)=ROW()-5,N($AA3296)+1,N($AA3296)))</f>
        <v>0</v>
      </c>
    </row>
    <row r="3298" spans="1:27" ht="21" customHeight="1" x14ac:dyDescent="0.95">
      <c r="A3298" s="56"/>
      <c r="B3298" s="57"/>
      <c r="C3298" s="57"/>
      <c r="D3298" s="57"/>
      <c r="E3298" s="56"/>
      <c r="F3298" s="57"/>
      <c r="G3298" s="57"/>
      <c r="H3298" s="56"/>
      <c r="I3298" s="56"/>
      <c r="J3298" s="58"/>
      <c r="K3298" s="58"/>
      <c r="L3298" s="13" t="str">
        <f t="shared" si="510"/>
        <v/>
      </c>
      <c r="M3298" s="13" t="str">
        <f t="shared" si="511"/>
        <v/>
      </c>
      <c r="Q3298" t="str">
        <f t="shared" si="512"/>
        <v/>
      </c>
      <c r="R3298" t="str">
        <f t="shared" si="513"/>
        <v/>
      </c>
      <c r="S3298" t="str">
        <f t="shared" si="514"/>
        <v/>
      </c>
      <c r="T3298" t="str">
        <f t="shared" si="515"/>
        <v/>
      </c>
      <c r="U3298" t="str">
        <f t="shared" si="516"/>
        <v/>
      </c>
      <c r="V3298" t="str">
        <f t="shared" si="517"/>
        <v/>
      </c>
      <c r="W3298" t="str">
        <f t="shared" si="518"/>
        <v/>
      </c>
      <c r="X3298">
        <f>IF($T3298="",N($X3297),IF(MATCH($T3298,$T$6:$T$10005,0)=ROW()-5,N($X3297)+1,N($X3297)))</f>
        <v>0</v>
      </c>
      <c r="Z3298" t="str">
        <f t="shared" si="519"/>
        <v/>
      </c>
      <c r="AA3298">
        <f>IF($V3298="",N($AA3297),IF(MATCH($V3298,$V$6:$V$10005,0)=ROW()-5,N($AA3297)+1,N($AA3297)))</f>
        <v>0</v>
      </c>
    </row>
    <row r="3299" spans="1:27" ht="21" customHeight="1" x14ac:dyDescent="0.95">
      <c r="A3299" s="56"/>
      <c r="B3299" s="57"/>
      <c r="C3299" s="57"/>
      <c r="D3299" s="57"/>
      <c r="E3299" s="56"/>
      <c r="F3299" s="57"/>
      <c r="G3299" s="57"/>
      <c r="H3299" s="56"/>
      <c r="I3299" s="56"/>
      <c r="J3299" s="58"/>
      <c r="K3299" s="58"/>
      <c r="L3299" s="13" t="str">
        <f t="shared" si="510"/>
        <v/>
      </c>
      <c r="M3299" s="13" t="str">
        <f t="shared" si="511"/>
        <v/>
      </c>
      <c r="Q3299" t="str">
        <f t="shared" si="512"/>
        <v/>
      </c>
      <c r="R3299" t="str">
        <f t="shared" si="513"/>
        <v/>
      </c>
      <c r="S3299" t="str">
        <f t="shared" si="514"/>
        <v/>
      </c>
      <c r="T3299" t="str">
        <f t="shared" si="515"/>
        <v/>
      </c>
      <c r="U3299" t="str">
        <f t="shared" si="516"/>
        <v/>
      </c>
      <c r="V3299" t="str">
        <f t="shared" si="517"/>
        <v/>
      </c>
      <c r="W3299" t="str">
        <f t="shared" si="518"/>
        <v/>
      </c>
      <c r="X3299">
        <f>IF($T3299="",N($X3298),IF(MATCH($T3299,$T$6:$T$10005,0)=ROW()-5,N($X3298)+1,N($X3298)))</f>
        <v>0</v>
      </c>
      <c r="Z3299" t="str">
        <f t="shared" si="519"/>
        <v/>
      </c>
      <c r="AA3299">
        <f>IF($V3299="",N($AA3298),IF(MATCH($V3299,$V$6:$V$10005,0)=ROW()-5,N($AA3298)+1,N($AA3298)))</f>
        <v>0</v>
      </c>
    </row>
    <row r="3300" spans="1:27" ht="21" customHeight="1" x14ac:dyDescent="0.95">
      <c r="A3300" s="56"/>
      <c r="B3300" s="57"/>
      <c r="C3300" s="57"/>
      <c r="D3300" s="57"/>
      <c r="E3300" s="56"/>
      <c r="F3300" s="57"/>
      <c r="G3300" s="57"/>
      <c r="H3300" s="56"/>
      <c r="I3300" s="56"/>
      <c r="J3300" s="58"/>
      <c r="K3300" s="58"/>
      <c r="L3300" s="13" t="str">
        <f t="shared" si="510"/>
        <v/>
      </c>
      <c r="M3300" s="13" t="str">
        <f t="shared" si="511"/>
        <v/>
      </c>
      <c r="Q3300" t="str">
        <f t="shared" si="512"/>
        <v/>
      </c>
      <c r="R3300" t="str">
        <f t="shared" si="513"/>
        <v/>
      </c>
      <c r="S3300" t="str">
        <f t="shared" si="514"/>
        <v/>
      </c>
      <c r="T3300" t="str">
        <f t="shared" si="515"/>
        <v/>
      </c>
      <c r="U3300" t="str">
        <f t="shared" si="516"/>
        <v/>
      </c>
      <c r="V3300" t="str">
        <f t="shared" si="517"/>
        <v/>
      </c>
      <c r="W3300" t="str">
        <f t="shared" si="518"/>
        <v/>
      </c>
      <c r="X3300">
        <f>IF($T3300="",N($X3299),IF(MATCH($T3300,$T$6:$T$10005,0)=ROW()-5,N($X3299)+1,N($X3299)))</f>
        <v>0</v>
      </c>
      <c r="Z3300" t="str">
        <f t="shared" si="519"/>
        <v/>
      </c>
      <c r="AA3300">
        <f>IF($V3300="",N($AA3299),IF(MATCH($V3300,$V$6:$V$10005,0)=ROW()-5,N($AA3299)+1,N($AA3299)))</f>
        <v>0</v>
      </c>
    </row>
    <row r="3301" spans="1:27" ht="21" customHeight="1" x14ac:dyDescent="0.95">
      <c r="A3301" s="56"/>
      <c r="B3301" s="57"/>
      <c r="C3301" s="57"/>
      <c r="D3301" s="57"/>
      <c r="E3301" s="56"/>
      <c r="F3301" s="57"/>
      <c r="G3301" s="57"/>
      <c r="H3301" s="56"/>
      <c r="I3301" s="56"/>
      <c r="J3301" s="58"/>
      <c r="K3301" s="58"/>
      <c r="L3301" s="13" t="str">
        <f t="shared" si="510"/>
        <v/>
      </c>
      <c r="M3301" s="13" t="str">
        <f t="shared" si="511"/>
        <v/>
      </c>
      <c r="Q3301" t="str">
        <f t="shared" si="512"/>
        <v/>
      </c>
      <c r="R3301" t="str">
        <f t="shared" si="513"/>
        <v/>
      </c>
      <c r="S3301" t="str">
        <f t="shared" si="514"/>
        <v/>
      </c>
      <c r="T3301" t="str">
        <f t="shared" si="515"/>
        <v/>
      </c>
      <c r="U3301" t="str">
        <f t="shared" si="516"/>
        <v/>
      </c>
      <c r="V3301" t="str">
        <f t="shared" si="517"/>
        <v/>
      </c>
      <c r="W3301" t="str">
        <f t="shared" si="518"/>
        <v/>
      </c>
      <c r="X3301">
        <f>IF($T3301="",N($X3300),IF(MATCH($T3301,$T$6:$T$10005,0)=ROW()-5,N($X3300)+1,N($X3300)))</f>
        <v>0</v>
      </c>
      <c r="Z3301" t="str">
        <f t="shared" si="519"/>
        <v/>
      </c>
      <c r="AA3301">
        <f>IF($V3301="",N($AA3300),IF(MATCH($V3301,$V$6:$V$10005,0)=ROW()-5,N($AA3300)+1,N($AA3300)))</f>
        <v>0</v>
      </c>
    </row>
    <row r="3302" spans="1:27" ht="21" customHeight="1" x14ac:dyDescent="0.95">
      <c r="A3302" s="56"/>
      <c r="B3302" s="57"/>
      <c r="C3302" s="57"/>
      <c r="D3302" s="57"/>
      <c r="E3302" s="56"/>
      <c r="F3302" s="57"/>
      <c r="G3302" s="57"/>
      <c r="H3302" s="56"/>
      <c r="I3302" s="56"/>
      <c r="J3302" s="58"/>
      <c r="K3302" s="58"/>
      <c r="L3302" s="13" t="str">
        <f t="shared" si="510"/>
        <v/>
      </c>
      <c r="M3302" s="13" t="str">
        <f t="shared" si="511"/>
        <v/>
      </c>
      <c r="Q3302" t="str">
        <f t="shared" si="512"/>
        <v/>
      </c>
      <c r="R3302" t="str">
        <f t="shared" si="513"/>
        <v/>
      </c>
      <c r="S3302" t="str">
        <f t="shared" si="514"/>
        <v/>
      </c>
      <c r="T3302" t="str">
        <f t="shared" si="515"/>
        <v/>
      </c>
      <c r="U3302" t="str">
        <f t="shared" si="516"/>
        <v/>
      </c>
      <c r="V3302" t="str">
        <f t="shared" si="517"/>
        <v/>
      </c>
      <c r="W3302" t="str">
        <f t="shared" si="518"/>
        <v/>
      </c>
      <c r="X3302">
        <f>IF($T3302="",N($X3301),IF(MATCH($T3302,$T$6:$T$10005,0)=ROW()-5,N($X3301)+1,N($X3301)))</f>
        <v>0</v>
      </c>
      <c r="Z3302" t="str">
        <f t="shared" si="519"/>
        <v/>
      </c>
      <c r="AA3302">
        <f>IF($V3302="",N($AA3301),IF(MATCH($V3302,$V$6:$V$10005,0)=ROW()-5,N($AA3301)+1,N($AA3301)))</f>
        <v>0</v>
      </c>
    </row>
    <row r="3303" spans="1:27" ht="21" customHeight="1" x14ac:dyDescent="0.95">
      <c r="A3303" s="56"/>
      <c r="B3303" s="57"/>
      <c r="C3303" s="57"/>
      <c r="D3303" s="57"/>
      <c r="E3303" s="56"/>
      <c r="F3303" s="57"/>
      <c r="G3303" s="57"/>
      <c r="H3303" s="56"/>
      <c r="I3303" s="56"/>
      <c r="J3303" s="58"/>
      <c r="K3303" s="58"/>
      <c r="L3303" s="13" t="str">
        <f t="shared" si="510"/>
        <v/>
      </c>
      <c r="M3303" s="13" t="str">
        <f t="shared" si="511"/>
        <v/>
      </c>
      <c r="Q3303" t="str">
        <f t="shared" si="512"/>
        <v/>
      </c>
      <c r="R3303" t="str">
        <f t="shared" si="513"/>
        <v/>
      </c>
      <c r="S3303" t="str">
        <f t="shared" si="514"/>
        <v/>
      </c>
      <c r="T3303" t="str">
        <f t="shared" si="515"/>
        <v/>
      </c>
      <c r="U3303" t="str">
        <f t="shared" si="516"/>
        <v/>
      </c>
      <c r="V3303" t="str">
        <f t="shared" si="517"/>
        <v/>
      </c>
      <c r="W3303" t="str">
        <f t="shared" si="518"/>
        <v/>
      </c>
      <c r="X3303">
        <f>IF($T3303="",N($X3302),IF(MATCH($T3303,$T$6:$T$10005,0)=ROW()-5,N($X3302)+1,N($X3302)))</f>
        <v>0</v>
      </c>
      <c r="Z3303" t="str">
        <f t="shared" si="519"/>
        <v/>
      </c>
      <c r="AA3303">
        <f>IF($V3303="",N($AA3302),IF(MATCH($V3303,$V$6:$V$10005,0)=ROW()-5,N($AA3302)+1,N($AA3302)))</f>
        <v>0</v>
      </c>
    </row>
    <row r="3304" spans="1:27" ht="21" customHeight="1" x14ac:dyDescent="0.95">
      <c r="A3304" s="56"/>
      <c r="B3304" s="57"/>
      <c r="C3304" s="57"/>
      <c r="D3304" s="57"/>
      <c r="E3304" s="56"/>
      <c r="F3304" s="57"/>
      <c r="G3304" s="57"/>
      <c r="H3304" s="56"/>
      <c r="I3304" s="56"/>
      <c r="J3304" s="58"/>
      <c r="K3304" s="58"/>
      <c r="L3304" s="13" t="str">
        <f t="shared" si="510"/>
        <v/>
      </c>
      <c r="M3304" s="13" t="str">
        <f t="shared" si="511"/>
        <v/>
      </c>
      <c r="Q3304" t="str">
        <f t="shared" si="512"/>
        <v/>
      </c>
      <c r="R3304" t="str">
        <f t="shared" si="513"/>
        <v/>
      </c>
      <c r="S3304" t="str">
        <f t="shared" si="514"/>
        <v/>
      </c>
      <c r="T3304" t="str">
        <f t="shared" si="515"/>
        <v/>
      </c>
      <c r="U3304" t="str">
        <f t="shared" si="516"/>
        <v/>
      </c>
      <c r="V3304" t="str">
        <f t="shared" si="517"/>
        <v/>
      </c>
      <c r="W3304" t="str">
        <f t="shared" si="518"/>
        <v/>
      </c>
      <c r="X3304">
        <f>IF($T3304="",N($X3303),IF(MATCH($T3304,$T$6:$T$10005,0)=ROW()-5,N($X3303)+1,N($X3303)))</f>
        <v>0</v>
      </c>
      <c r="Z3304" t="str">
        <f t="shared" si="519"/>
        <v/>
      </c>
      <c r="AA3304">
        <f>IF($V3304="",N($AA3303),IF(MATCH($V3304,$V$6:$V$10005,0)=ROW()-5,N($AA3303)+1,N($AA3303)))</f>
        <v>0</v>
      </c>
    </row>
    <row r="3305" spans="1:27" ht="21" customHeight="1" x14ac:dyDescent="0.95">
      <c r="A3305" s="56"/>
      <c r="B3305" s="57"/>
      <c r="C3305" s="57"/>
      <c r="D3305" s="57"/>
      <c r="E3305" s="56"/>
      <c r="F3305" s="57"/>
      <c r="G3305" s="57"/>
      <c r="H3305" s="56"/>
      <c r="I3305" s="56"/>
      <c r="J3305" s="58"/>
      <c r="K3305" s="58"/>
      <c r="L3305" s="13" t="str">
        <f t="shared" si="510"/>
        <v/>
      </c>
      <c r="M3305" s="13" t="str">
        <f t="shared" si="511"/>
        <v/>
      </c>
      <c r="Q3305" t="str">
        <f t="shared" si="512"/>
        <v/>
      </c>
      <c r="R3305" t="str">
        <f t="shared" si="513"/>
        <v/>
      </c>
      <c r="S3305" t="str">
        <f t="shared" si="514"/>
        <v/>
      </c>
      <c r="T3305" t="str">
        <f t="shared" si="515"/>
        <v/>
      </c>
      <c r="U3305" t="str">
        <f t="shared" si="516"/>
        <v/>
      </c>
      <c r="V3305" t="str">
        <f t="shared" si="517"/>
        <v/>
      </c>
      <c r="W3305" t="str">
        <f t="shared" si="518"/>
        <v/>
      </c>
      <c r="X3305">
        <f>IF($T3305="",N($X3304),IF(MATCH($T3305,$T$6:$T$10005,0)=ROW()-5,N($X3304)+1,N($X3304)))</f>
        <v>0</v>
      </c>
      <c r="Z3305" t="str">
        <f t="shared" si="519"/>
        <v/>
      </c>
      <c r="AA3305">
        <f>IF($V3305="",N($AA3304),IF(MATCH($V3305,$V$6:$V$10005,0)=ROW()-5,N($AA3304)+1,N($AA3304)))</f>
        <v>0</v>
      </c>
    </row>
    <row r="3306" spans="1:27" ht="21" customHeight="1" x14ac:dyDescent="0.95">
      <c r="A3306" s="56"/>
      <c r="B3306" s="57"/>
      <c r="C3306" s="57"/>
      <c r="D3306" s="57"/>
      <c r="E3306" s="56"/>
      <c r="F3306" s="57"/>
      <c r="G3306" s="57"/>
      <c r="H3306" s="56"/>
      <c r="I3306" s="56"/>
      <c r="J3306" s="58"/>
      <c r="K3306" s="58"/>
      <c r="L3306" s="13" t="str">
        <f t="shared" si="510"/>
        <v/>
      </c>
      <c r="M3306" s="13" t="str">
        <f t="shared" si="511"/>
        <v/>
      </c>
      <c r="Q3306" t="str">
        <f t="shared" si="512"/>
        <v/>
      </c>
      <c r="R3306" t="str">
        <f t="shared" si="513"/>
        <v/>
      </c>
      <c r="S3306" t="str">
        <f t="shared" si="514"/>
        <v/>
      </c>
      <c r="T3306" t="str">
        <f t="shared" si="515"/>
        <v/>
      </c>
      <c r="U3306" t="str">
        <f t="shared" si="516"/>
        <v/>
      </c>
      <c r="V3306" t="str">
        <f t="shared" si="517"/>
        <v/>
      </c>
      <c r="W3306" t="str">
        <f t="shared" si="518"/>
        <v/>
      </c>
      <c r="X3306">
        <f>IF($T3306="",N($X3305),IF(MATCH($T3306,$T$6:$T$10005,0)=ROW()-5,N($X3305)+1,N($X3305)))</f>
        <v>0</v>
      </c>
      <c r="Z3306" t="str">
        <f t="shared" si="519"/>
        <v/>
      </c>
      <c r="AA3306">
        <f>IF($V3306="",N($AA3305),IF(MATCH($V3306,$V$6:$V$10005,0)=ROW()-5,N($AA3305)+1,N($AA3305)))</f>
        <v>0</v>
      </c>
    </row>
    <row r="3307" spans="1:27" ht="21" customHeight="1" x14ac:dyDescent="0.95">
      <c r="A3307" s="56"/>
      <c r="B3307" s="57"/>
      <c r="C3307" s="57"/>
      <c r="D3307" s="57"/>
      <c r="E3307" s="56"/>
      <c r="F3307" s="57"/>
      <c r="G3307" s="57"/>
      <c r="H3307" s="56"/>
      <c r="I3307" s="56"/>
      <c r="J3307" s="58"/>
      <c r="K3307" s="58"/>
      <c r="L3307" s="13" t="str">
        <f t="shared" si="510"/>
        <v/>
      </c>
      <c r="M3307" s="13" t="str">
        <f t="shared" si="511"/>
        <v/>
      </c>
      <c r="Q3307" t="str">
        <f t="shared" si="512"/>
        <v/>
      </c>
      <c r="R3307" t="str">
        <f t="shared" si="513"/>
        <v/>
      </c>
      <c r="S3307" t="str">
        <f t="shared" si="514"/>
        <v/>
      </c>
      <c r="T3307" t="str">
        <f t="shared" si="515"/>
        <v/>
      </c>
      <c r="U3307" t="str">
        <f t="shared" si="516"/>
        <v/>
      </c>
      <c r="V3307" t="str">
        <f t="shared" si="517"/>
        <v/>
      </c>
      <c r="W3307" t="str">
        <f t="shared" si="518"/>
        <v/>
      </c>
      <c r="X3307">
        <f>IF($T3307="",N($X3306),IF(MATCH($T3307,$T$6:$T$10005,0)=ROW()-5,N($X3306)+1,N($X3306)))</f>
        <v>0</v>
      </c>
      <c r="Z3307" t="str">
        <f t="shared" si="519"/>
        <v/>
      </c>
      <c r="AA3307">
        <f>IF($V3307="",N($AA3306),IF(MATCH($V3307,$V$6:$V$10005,0)=ROW()-5,N($AA3306)+1,N($AA3306)))</f>
        <v>0</v>
      </c>
    </row>
    <row r="3308" spans="1:27" ht="21" customHeight="1" x14ac:dyDescent="0.95">
      <c r="A3308" s="56"/>
      <c r="B3308" s="57"/>
      <c r="C3308" s="57"/>
      <c r="D3308" s="57"/>
      <c r="E3308" s="56"/>
      <c r="F3308" s="57"/>
      <c r="G3308" s="57"/>
      <c r="H3308" s="56"/>
      <c r="I3308" s="56"/>
      <c r="J3308" s="58"/>
      <c r="K3308" s="58"/>
      <c r="L3308" s="13" t="str">
        <f t="shared" si="510"/>
        <v/>
      </c>
      <c r="M3308" s="13" t="str">
        <f t="shared" si="511"/>
        <v/>
      </c>
      <c r="Q3308" t="str">
        <f t="shared" si="512"/>
        <v/>
      </c>
      <c r="R3308" t="str">
        <f t="shared" si="513"/>
        <v/>
      </c>
      <c r="S3308" t="str">
        <f t="shared" si="514"/>
        <v/>
      </c>
      <c r="T3308" t="str">
        <f t="shared" si="515"/>
        <v/>
      </c>
      <c r="U3308" t="str">
        <f t="shared" si="516"/>
        <v/>
      </c>
      <c r="V3308" t="str">
        <f t="shared" si="517"/>
        <v/>
      </c>
      <c r="W3308" t="str">
        <f t="shared" si="518"/>
        <v/>
      </c>
      <c r="X3308">
        <f>IF($T3308="",N($X3307),IF(MATCH($T3308,$T$6:$T$10005,0)=ROW()-5,N($X3307)+1,N($X3307)))</f>
        <v>0</v>
      </c>
      <c r="Z3308" t="str">
        <f t="shared" si="519"/>
        <v/>
      </c>
      <c r="AA3308">
        <f>IF($V3308="",N($AA3307),IF(MATCH($V3308,$V$6:$V$10005,0)=ROW()-5,N($AA3307)+1,N($AA3307)))</f>
        <v>0</v>
      </c>
    </row>
    <row r="3309" spans="1:27" ht="21" customHeight="1" x14ac:dyDescent="0.95">
      <c r="A3309" s="56"/>
      <c r="B3309" s="57"/>
      <c r="C3309" s="57"/>
      <c r="D3309" s="57"/>
      <c r="E3309" s="56"/>
      <c r="F3309" s="57"/>
      <c r="G3309" s="57"/>
      <c r="H3309" s="56"/>
      <c r="I3309" s="56"/>
      <c r="J3309" s="58"/>
      <c r="K3309" s="58"/>
      <c r="L3309" s="13" t="str">
        <f t="shared" si="510"/>
        <v/>
      </c>
      <c r="M3309" s="13" t="str">
        <f t="shared" si="511"/>
        <v/>
      </c>
      <c r="Q3309" t="str">
        <f t="shared" si="512"/>
        <v/>
      </c>
      <c r="R3309" t="str">
        <f t="shared" si="513"/>
        <v/>
      </c>
      <c r="S3309" t="str">
        <f t="shared" si="514"/>
        <v/>
      </c>
      <c r="T3309" t="str">
        <f t="shared" si="515"/>
        <v/>
      </c>
      <c r="U3309" t="str">
        <f t="shared" si="516"/>
        <v/>
      </c>
      <c r="V3309" t="str">
        <f t="shared" si="517"/>
        <v/>
      </c>
      <c r="W3309" t="str">
        <f t="shared" si="518"/>
        <v/>
      </c>
      <c r="X3309">
        <f>IF($T3309="",N($X3308),IF(MATCH($T3309,$T$6:$T$10005,0)=ROW()-5,N($X3308)+1,N($X3308)))</f>
        <v>0</v>
      </c>
      <c r="Z3309" t="str">
        <f t="shared" si="519"/>
        <v/>
      </c>
      <c r="AA3309">
        <f>IF($V3309="",N($AA3308),IF(MATCH($V3309,$V$6:$V$10005,0)=ROW()-5,N($AA3308)+1,N($AA3308)))</f>
        <v>0</v>
      </c>
    </row>
    <row r="3310" spans="1:27" ht="21" customHeight="1" x14ac:dyDescent="0.95">
      <c r="A3310" s="56"/>
      <c r="B3310" s="57"/>
      <c r="C3310" s="57"/>
      <c r="D3310" s="57"/>
      <c r="E3310" s="56"/>
      <c r="F3310" s="57"/>
      <c r="G3310" s="57"/>
      <c r="H3310" s="56"/>
      <c r="I3310" s="56"/>
      <c r="J3310" s="58"/>
      <c r="K3310" s="58"/>
      <c r="L3310" s="13" t="str">
        <f t="shared" si="510"/>
        <v/>
      </c>
      <c r="M3310" s="13" t="str">
        <f t="shared" si="511"/>
        <v/>
      </c>
      <c r="Q3310" t="str">
        <f t="shared" si="512"/>
        <v/>
      </c>
      <c r="R3310" t="str">
        <f t="shared" si="513"/>
        <v/>
      </c>
      <c r="S3310" t="str">
        <f t="shared" si="514"/>
        <v/>
      </c>
      <c r="T3310" t="str">
        <f t="shared" si="515"/>
        <v/>
      </c>
      <c r="U3310" t="str">
        <f t="shared" si="516"/>
        <v/>
      </c>
      <c r="V3310" t="str">
        <f t="shared" si="517"/>
        <v/>
      </c>
      <c r="W3310" t="str">
        <f t="shared" si="518"/>
        <v/>
      </c>
      <c r="X3310">
        <f>IF($T3310="",N($X3309),IF(MATCH($T3310,$T$6:$T$10005,0)=ROW()-5,N($X3309)+1,N($X3309)))</f>
        <v>0</v>
      </c>
      <c r="Z3310" t="str">
        <f t="shared" si="519"/>
        <v/>
      </c>
      <c r="AA3310">
        <f>IF($V3310="",N($AA3309),IF(MATCH($V3310,$V$6:$V$10005,0)=ROW()-5,N($AA3309)+1,N($AA3309)))</f>
        <v>0</v>
      </c>
    </row>
    <row r="3311" spans="1:27" ht="21" customHeight="1" x14ac:dyDescent="0.95">
      <c r="A3311" s="56"/>
      <c r="B3311" s="57"/>
      <c r="C3311" s="57"/>
      <c r="D3311" s="57"/>
      <c r="E3311" s="56"/>
      <c r="F3311" s="57"/>
      <c r="G3311" s="57"/>
      <c r="H3311" s="56"/>
      <c r="I3311" s="56"/>
      <c r="J3311" s="58"/>
      <c r="K3311" s="58"/>
      <c r="L3311" s="13" t="str">
        <f t="shared" si="510"/>
        <v/>
      </c>
      <c r="M3311" s="13" t="str">
        <f t="shared" si="511"/>
        <v/>
      </c>
      <c r="Q3311" t="str">
        <f t="shared" si="512"/>
        <v/>
      </c>
      <c r="R3311" t="str">
        <f t="shared" si="513"/>
        <v/>
      </c>
      <c r="S3311" t="str">
        <f t="shared" si="514"/>
        <v/>
      </c>
      <c r="T3311" t="str">
        <f t="shared" si="515"/>
        <v/>
      </c>
      <c r="U3311" t="str">
        <f t="shared" si="516"/>
        <v/>
      </c>
      <c r="V3311" t="str">
        <f t="shared" si="517"/>
        <v/>
      </c>
      <c r="W3311" t="str">
        <f t="shared" si="518"/>
        <v/>
      </c>
      <c r="X3311">
        <f>IF($T3311="",N($X3310),IF(MATCH($T3311,$T$6:$T$10005,0)=ROW()-5,N($X3310)+1,N($X3310)))</f>
        <v>0</v>
      </c>
      <c r="Z3311" t="str">
        <f t="shared" si="519"/>
        <v/>
      </c>
      <c r="AA3311">
        <f>IF($V3311="",N($AA3310),IF(MATCH($V3311,$V$6:$V$10005,0)=ROW()-5,N($AA3310)+1,N($AA3310)))</f>
        <v>0</v>
      </c>
    </row>
    <row r="3312" spans="1:27" ht="21" customHeight="1" x14ac:dyDescent="0.95">
      <c r="A3312" s="56"/>
      <c r="B3312" s="57"/>
      <c r="C3312" s="57"/>
      <c r="D3312" s="57"/>
      <c r="E3312" s="56"/>
      <c r="F3312" s="57"/>
      <c r="G3312" s="57"/>
      <c r="H3312" s="56"/>
      <c r="I3312" s="56"/>
      <c r="J3312" s="58"/>
      <c r="K3312" s="58"/>
      <c r="L3312" s="13" t="str">
        <f t="shared" si="510"/>
        <v/>
      </c>
      <c r="M3312" s="13" t="str">
        <f t="shared" si="511"/>
        <v/>
      </c>
      <c r="Q3312" t="str">
        <f t="shared" si="512"/>
        <v/>
      </c>
      <c r="R3312" t="str">
        <f t="shared" si="513"/>
        <v/>
      </c>
      <c r="S3312" t="str">
        <f t="shared" si="514"/>
        <v/>
      </c>
      <c r="T3312" t="str">
        <f t="shared" si="515"/>
        <v/>
      </c>
      <c r="U3312" t="str">
        <f t="shared" si="516"/>
        <v/>
      </c>
      <c r="V3312" t="str">
        <f t="shared" si="517"/>
        <v/>
      </c>
      <c r="W3312" t="str">
        <f t="shared" si="518"/>
        <v/>
      </c>
      <c r="X3312">
        <f>IF($T3312="",N($X3311),IF(MATCH($T3312,$T$6:$T$10005,0)=ROW()-5,N($X3311)+1,N($X3311)))</f>
        <v>0</v>
      </c>
      <c r="Z3312" t="str">
        <f t="shared" si="519"/>
        <v/>
      </c>
      <c r="AA3312">
        <f>IF($V3312="",N($AA3311),IF(MATCH($V3312,$V$6:$V$10005,0)=ROW()-5,N($AA3311)+1,N($AA3311)))</f>
        <v>0</v>
      </c>
    </row>
    <row r="3313" spans="1:27" ht="21" customHeight="1" x14ac:dyDescent="0.95">
      <c r="A3313" s="56"/>
      <c r="B3313" s="57"/>
      <c r="C3313" s="57"/>
      <c r="D3313" s="57"/>
      <c r="E3313" s="56"/>
      <c r="F3313" s="57"/>
      <c r="G3313" s="57"/>
      <c r="H3313" s="56"/>
      <c r="I3313" s="56"/>
      <c r="J3313" s="58"/>
      <c r="K3313" s="58"/>
      <c r="L3313" s="13" t="str">
        <f t="shared" si="510"/>
        <v/>
      </c>
      <c r="M3313" s="13" t="str">
        <f t="shared" si="511"/>
        <v/>
      </c>
      <c r="Q3313" t="str">
        <f t="shared" si="512"/>
        <v/>
      </c>
      <c r="R3313" t="str">
        <f t="shared" si="513"/>
        <v/>
      </c>
      <c r="S3313" t="str">
        <f t="shared" si="514"/>
        <v/>
      </c>
      <c r="T3313" t="str">
        <f t="shared" si="515"/>
        <v/>
      </c>
      <c r="U3313" t="str">
        <f t="shared" si="516"/>
        <v/>
      </c>
      <c r="V3313" t="str">
        <f t="shared" si="517"/>
        <v/>
      </c>
      <c r="W3313" t="str">
        <f t="shared" si="518"/>
        <v/>
      </c>
      <c r="X3313">
        <f>IF($T3313="",N($X3312),IF(MATCH($T3313,$T$6:$T$10005,0)=ROW()-5,N($X3312)+1,N($X3312)))</f>
        <v>0</v>
      </c>
      <c r="Z3313" t="str">
        <f t="shared" si="519"/>
        <v/>
      </c>
      <c r="AA3313">
        <f>IF($V3313="",N($AA3312),IF(MATCH($V3313,$V$6:$V$10005,0)=ROW()-5,N($AA3312)+1,N($AA3312)))</f>
        <v>0</v>
      </c>
    </row>
    <row r="3314" spans="1:27" ht="21" customHeight="1" x14ac:dyDescent="0.95">
      <c r="A3314" s="56"/>
      <c r="B3314" s="57"/>
      <c r="C3314" s="57"/>
      <c r="D3314" s="57"/>
      <c r="E3314" s="56"/>
      <c r="F3314" s="57"/>
      <c r="G3314" s="57"/>
      <c r="H3314" s="56"/>
      <c r="I3314" s="56"/>
      <c r="J3314" s="58"/>
      <c r="K3314" s="58"/>
      <c r="L3314" s="13" t="str">
        <f t="shared" si="510"/>
        <v/>
      </c>
      <c r="M3314" s="13" t="str">
        <f t="shared" si="511"/>
        <v/>
      </c>
      <c r="Q3314" t="str">
        <f t="shared" si="512"/>
        <v/>
      </c>
      <c r="R3314" t="str">
        <f t="shared" si="513"/>
        <v/>
      </c>
      <c r="S3314" t="str">
        <f t="shared" si="514"/>
        <v/>
      </c>
      <c r="T3314" t="str">
        <f t="shared" si="515"/>
        <v/>
      </c>
      <c r="U3314" t="str">
        <f t="shared" si="516"/>
        <v/>
      </c>
      <c r="V3314" t="str">
        <f t="shared" si="517"/>
        <v/>
      </c>
      <c r="W3314" t="str">
        <f t="shared" si="518"/>
        <v/>
      </c>
      <c r="X3314">
        <f>IF($T3314="",N($X3313),IF(MATCH($T3314,$T$6:$T$10005,0)=ROW()-5,N($X3313)+1,N($X3313)))</f>
        <v>0</v>
      </c>
      <c r="Z3314" t="str">
        <f t="shared" si="519"/>
        <v/>
      </c>
      <c r="AA3314">
        <f>IF($V3314="",N($AA3313),IF(MATCH($V3314,$V$6:$V$10005,0)=ROW()-5,N($AA3313)+1,N($AA3313)))</f>
        <v>0</v>
      </c>
    </row>
    <row r="3315" spans="1:27" ht="21" customHeight="1" x14ac:dyDescent="0.95">
      <c r="A3315" s="56"/>
      <c r="B3315" s="57"/>
      <c r="C3315" s="57"/>
      <c r="D3315" s="57"/>
      <c r="E3315" s="56"/>
      <c r="F3315" s="57"/>
      <c r="G3315" s="57"/>
      <c r="H3315" s="56"/>
      <c r="I3315" s="56"/>
      <c r="J3315" s="58"/>
      <c r="K3315" s="58"/>
      <c r="L3315" s="13" t="str">
        <f t="shared" si="510"/>
        <v/>
      </c>
      <c r="M3315" s="13" t="str">
        <f t="shared" si="511"/>
        <v/>
      </c>
      <c r="Q3315" t="str">
        <f t="shared" si="512"/>
        <v/>
      </c>
      <c r="R3315" t="str">
        <f t="shared" si="513"/>
        <v/>
      </c>
      <c r="S3315" t="str">
        <f t="shared" si="514"/>
        <v/>
      </c>
      <c r="T3315" t="str">
        <f t="shared" si="515"/>
        <v/>
      </c>
      <c r="U3315" t="str">
        <f t="shared" si="516"/>
        <v/>
      </c>
      <c r="V3315" t="str">
        <f t="shared" si="517"/>
        <v/>
      </c>
      <c r="W3315" t="str">
        <f t="shared" si="518"/>
        <v/>
      </c>
      <c r="X3315">
        <f>IF($T3315="",N($X3314),IF(MATCH($T3315,$T$6:$T$10005,0)=ROW()-5,N($X3314)+1,N($X3314)))</f>
        <v>0</v>
      </c>
      <c r="Z3315" t="str">
        <f t="shared" si="519"/>
        <v/>
      </c>
      <c r="AA3315">
        <f>IF($V3315="",N($AA3314),IF(MATCH($V3315,$V$6:$V$10005,0)=ROW()-5,N($AA3314)+1,N($AA3314)))</f>
        <v>0</v>
      </c>
    </row>
    <row r="3316" spans="1:27" ht="21" customHeight="1" x14ac:dyDescent="0.95">
      <c r="A3316" s="56"/>
      <c r="B3316" s="57"/>
      <c r="C3316" s="57"/>
      <c r="D3316" s="57"/>
      <c r="E3316" s="56"/>
      <c r="F3316" s="57"/>
      <c r="G3316" s="57"/>
      <c r="H3316" s="56"/>
      <c r="I3316" s="56"/>
      <c r="J3316" s="58"/>
      <c r="K3316" s="58"/>
      <c r="L3316" s="13" t="str">
        <f t="shared" si="510"/>
        <v/>
      </c>
      <c r="M3316" s="13" t="str">
        <f t="shared" si="511"/>
        <v/>
      </c>
      <c r="Q3316" t="str">
        <f t="shared" si="512"/>
        <v/>
      </c>
      <c r="R3316" t="str">
        <f t="shared" si="513"/>
        <v/>
      </c>
      <c r="S3316" t="str">
        <f t="shared" si="514"/>
        <v/>
      </c>
      <c r="T3316" t="str">
        <f t="shared" si="515"/>
        <v/>
      </c>
      <c r="U3316" t="str">
        <f t="shared" si="516"/>
        <v/>
      </c>
      <c r="V3316" t="str">
        <f t="shared" si="517"/>
        <v/>
      </c>
      <c r="W3316" t="str">
        <f t="shared" si="518"/>
        <v/>
      </c>
      <c r="X3316">
        <f>IF($T3316="",N($X3315),IF(MATCH($T3316,$T$6:$T$10005,0)=ROW()-5,N($X3315)+1,N($X3315)))</f>
        <v>0</v>
      </c>
      <c r="Z3316" t="str">
        <f t="shared" si="519"/>
        <v/>
      </c>
      <c r="AA3316">
        <f>IF($V3316="",N($AA3315),IF(MATCH($V3316,$V$6:$V$10005,0)=ROW()-5,N($AA3315)+1,N($AA3315)))</f>
        <v>0</v>
      </c>
    </row>
    <row r="3317" spans="1:27" ht="21" customHeight="1" x14ac:dyDescent="0.95">
      <c r="A3317" s="56"/>
      <c r="B3317" s="57"/>
      <c r="C3317" s="57"/>
      <c r="D3317" s="57"/>
      <c r="E3317" s="56"/>
      <c r="F3317" s="57"/>
      <c r="G3317" s="57"/>
      <c r="H3317" s="56"/>
      <c r="I3317" s="56"/>
      <c r="J3317" s="58"/>
      <c r="K3317" s="58"/>
      <c r="L3317" s="13" t="str">
        <f t="shared" si="510"/>
        <v/>
      </c>
      <c r="M3317" s="13" t="str">
        <f t="shared" si="511"/>
        <v/>
      </c>
      <c r="Q3317" t="str">
        <f t="shared" si="512"/>
        <v/>
      </c>
      <c r="R3317" t="str">
        <f t="shared" si="513"/>
        <v/>
      </c>
      <c r="S3317" t="str">
        <f t="shared" si="514"/>
        <v/>
      </c>
      <c r="T3317" t="str">
        <f t="shared" si="515"/>
        <v/>
      </c>
      <c r="U3317" t="str">
        <f t="shared" si="516"/>
        <v/>
      </c>
      <c r="V3317" t="str">
        <f t="shared" si="517"/>
        <v/>
      </c>
      <c r="W3317" t="str">
        <f t="shared" si="518"/>
        <v/>
      </c>
      <c r="X3317">
        <f>IF($T3317="",N($X3316),IF(MATCH($T3317,$T$6:$T$10005,0)=ROW()-5,N($X3316)+1,N($X3316)))</f>
        <v>0</v>
      </c>
      <c r="Z3317" t="str">
        <f t="shared" si="519"/>
        <v/>
      </c>
      <c r="AA3317">
        <f>IF($V3317="",N($AA3316),IF(MATCH($V3317,$V$6:$V$10005,0)=ROW()-5,N($AA3316)+1,N($AA3316)))</f>
        <v>0</v>
      </c>
    </row>
    <row r="3318" spans="1:27" ht="21" customHeight="1" x14ac:dyDescent="0.95">
      <c r="A3318" s="56"/>
      <c r="B3318" s="57"/>
      <c r="C3318" s="57"/>
      <c r="D3318" s="57"/>
      <c r="E3318" s="56"/>
      <c r="F3318" s="57"/>
      <c r="G3318" s="57"/>
      <c r="H3318" s="56"/>
      <c r="I3318" s="56"/>
      <c r="J3318" s="58"/>
      <c r="K3318" s="58"/>
      <c r="L3318" s="13" t="str">
        <f t="shared" si="510"/>
        <v/>
      </c>
      <c r="M3318" s="13" t="str">
        <f t="shared" si="511"/>
        <v/>
      </c>
      <c r="Q3318" t="str">
        <f t="shared" si="512"/>
        <v/>
      </c>
      <c r="R3318" t="str">
        <f t="shared" si="513"/>
        <v/>
      </c>
      <c r="S3318" t="str">
        <f t="shared" si="514"/>
        <v/>
      </c>
      <c r="T3318" t="str">
        <f t="shared" si="515"/>
        <v/>
      </c>
      <c r="U3318" t="str">
        <f t="shared" si="516"/>
        <v/>
      </c>
      <c r="V3318" t="str">
        <f t="shared" si="517"/>
        <v/>
      </c>
      <c r="W3318" t="str">
        <f t="shared" si="518"/>
        <v/>
      </c>
      <c r="X3318">
        <f>IF($T3318="",N($X3317),IF(MATCH($T3318,$T$6:$T$10005,0)=ROW()-5,N($X3317)+1,N($X3317)))</f>
        <v>0</v>
      </c>
      <c r="Z3318" t="str">
        <f t="shared" si="519"/>
        <v/>
      </c>
      <c r="AA3318">
        <f>IF($V3318="",N($AA3317),IF(MATCH($V3318,$V$6:$V$10005,0)=ROW()-5,N($AA3317)+1,N($AA3317)))</f>
        <v>0</v>
      </c>
    </row>
    <row r="3319" spans="1:27" ht="21" customHeight="1" x14ac:dyDescent="0.95">
      <c r="A3319" s="56"/>
      <c r="B3319" s="57"/>
      <c r="C3319" s="57"/>
      <c r="D3319" s="57"/>
      <c r="E3319" s="56"/>
      <c r="F3319" s="57"/>
      <c r="G3319" s="57"/>
      <c r="H3319" s="56"/>
      <c r="I3319" s="56"/>
      <c r="J3319" s="58"/>
      <c r="K3319" s="58"/>
      <c r="L3319" s="13" t="str">
        <f t="shared" si="510"/>
        <v/>
      </c>
      <c r="M3319" s="13" t="str">
        <f t="shared" si="511"/>
        <v/>
      </c>
      <c r="Q3319" t="str">
        <f t="shared" si="512"/>
        <v/>
      </c>
      <c r="R3319" t="str">
        <f t="shared" si="513"/>
        <v/>
      </c>
      <c r="S3319" t="str">
        <f t="shared" si="514"/>
        <v/>
      </c>
      <c r="T3319" t="str">
        <f t="shared" si="515"/>
        <v/>
      </c>
      <c r="U3319" t="str">
        <f t="shared" si="516"/>
        <v/>
      </c>
      <c r="V3319" t="str">
        <f t="shared" si="517"/>
        <v/>
      </c>
      <c r="W3319" t="str">
        <f t="shared" si="518"/>
        <v/>
      </c>
      <c r="X3319">
        <f>IF($T3319="",N($X3318),IF(MATCH($T3319,$T$6:$T$10005,0)=ROW()-5,N($X3318)+1,N($X3318)))</f>
        <v>0</v>
      </c>
      <c r="Z3319" t="str">
        <f t="shared" si="519"/>
        <v/>
      </c>
      <c r="AA3319">
        <f>IF($V3319="",N($AA3318),IF(MATCH($V3319,$V$6:$V$10005,0)=ROW()-5,N($AA3318)+1,N($AA3318)))</f>
        <v>0</v>
      </c>
    </row>
    <row r="3320" spans="1:27" ht="21" customHeight="1" x14ac:dyDescent="0.95">
      <c r="A3320" s="56"/>
      <c r="B3320" s="57"/>
      <c r="C3320" s="57"/>
      <c r="D3320" s="57"/>
      <c r="E3320" s="56"/>
      <c r="F3320" s="57"/>
      <c r="G3320" s="57"/>
      <c r="H3320" s="56"/>
      <c r="I3320" s="56"/>
      <c r="J3320" s="58"/>
      <c r="K3320" s="58"/>
      <c r="L3320" s="13" t="str">
        <f t="shared" si="510"/>
        <v/>
      </c>
      <c r="M3320" s="13" t="str">
        <f t="shared" si="511"/>
        <v/>
      </c>
      <c r="Q3320" t="str">
        <f t="shared" si="512"/>
        <v/>
      </c>
      <c r="R3320" t="str">
        <f t="shared" si="513"/>
        <v/>
      </c>
      <c r="S3320" t="str">
        <f t="shared" si="514"/>
        <v/>
      </c>
      <c r="T3320" t="str">
        <f t="shared" si="515"/>
        <v/>
      </c>
      <c r="U3320" t="str">
        <f t="shared" si="516"/>
        <v/>
      </c>
      <c r="V3320" t="str">
        <f t="shared" si="517"/>
        <v/>
      </c>
      <c r="W3320" t="str">
        <f t="shared" si="518"/>
        <v/>
      </c>
      <c r="X3320">
        <f>IF($T3320="",N($X3319),IF(MATCH($T3320,$T$6:$T$10005,0)=ROW()-5,N($X3319)+1,N($X3319)))</f>
        <v>0</v>
      </c>
      <c r="Z3320" t="str">
        <f t="shared" si="519"/>
        <v/>
      </c>
      <c r="AA3320">
        <f>IF($V3320="",N($AA3319),IF(MATCH($V3320,$V$6:$V$10005,0)=ROW()-5,N($AA3319)+1,N($AA3319)))</f>
        <v>0</v>
      </c>
    </row>
    <row r="3321" spans="1:27" ht="21" customHeight="1" x14ac:dyDescent="0.95">
      <c r="A3321" s="56"/>
      <c r="B3321" s="57"/>
      <c r="C3321" s="57"/>
      <c r="D3321" s="57"/>
      <c r="E3321" s="56"/>
      <c r="F3321" s="57"/>
      <c r="G3321" s="57"/>
      <c r="H3321" s="56"/>
      <c r="I3321" s="56"/>
      <c r="J3321" s="58"/>
      <c r="K3321" s="58"/>
      <c r="L3321" s="13" t="str">
        <f t="shared" si="510"/>
        <v/>
      </c>
      <c r="M3321" s="13" t="str">
        <f t="shared" si="511"/>
        <v/>
      </c>
      <c r="Q3321" t="str">
        <f t="shared" si="512"/>
        <v/>
      </c>
      <c r="R3321" t="str">
        <f t="shared" si="513"/>
        <v/>
      </c>
      <c r="S3321" t="str">
        <f t="shared" si="514"/>
        <v/>
      </c>
      <c r="T3321" t="str">
        <f t="shared" si="515"/>
        <v/>
      </c>
      <c r="U3321" t="str">
        <f t="shared" si="516"/>
        <v/>
      </c>
      <c r="V3321" t="str">
        <f t="shared" si="517"/>
        <v/>
      </c>
      <c r="W3321" t="str">
        <f t="shared" si="518"/>
        <v/>
      </c>
      <c r="X3321">
        <f>IF($T3321="",N($X3320),IF(MATCH($T3321,$T$6:$T$10005,0)=ROW()-5,N($X3320)+1,N($X3320)))</f>
        <v>0</v>
      </c>
      <c r="Z3321" t="str">
        <f t="shared" si="519"/>
        <v/>
      </c>
      <c r="AA3321">
        <f>IF($V3321="",N($AA3320),IF(MATCH($V3321,$V$6:$V$10005,0)=ROW()-5,N($AA3320)+1,N($AA3320)))</f>
        <v>0</v>
      </c>
    </row>
    <row r="3322" spans="1:27" ht="21" customHeight="1" x14ac:dyDescent="0.95">
      <c r="A3322" s="56"/>
      <c r="B3322" s="57"/>
      <c r="C3322" s="57"/>
      <c r="D3322" s="57"/>
      <c r="E3322" s="56"/>
      <c r="F3322" s="57"/>
      <c r="G3322" s="57"/>
      <c r="H3322" s="56"/>
      <c r="I3322" s="56"/>
      <c r="J3322" s="58"/>
      <c r="K3322" s="58"/>
      <c r="L3322" s="13" t="str">
        <f t="shared" si="510"/>
        <v/>
      </c>
      <c r="M3322" s="13" t="str">
        <f t="shared" si="511"/>
        <v/>
      </c>
      <c r="Q3322" t="str">
        <f t="shared" si="512"/>
        <v/>
      </c>
      <c r="R3322" t="str">
        <f t="shared" si="513"/>
        <v/>
      </c>
      <c r="S3322" t="str">
        <f t="shared" si="514"/>
        <v/>
      </c>
      <c r="T3322" t="str">
        <f t="shared" si="515"/>
        <v/>
      </c>
      <c r="U3322" t="str">
        <f t="shared" si="516"/>
        <v/>
      </c>
      <c r="V3322" t="str">
        <f t="shared" si="517"/>
        <v/>
      </c>
      <c r="W3322" t="str">
        <f t="shared" si="518"/>
        <v/>
      </c>
      <c r="X3322">
        <f>IF($T3322="",N($X3321),IF(MATCH($T3322,$T$6:$T$10005,0)=ROW()-5,N($X3321)+1,N($X3321)))</f>
        <v>0</v>
      </c>
      <c r="Z3322" t="str">
        <f t="shared" si="519"/>
        <v/>
      </c>
      <c r="AA3322">
        <f>IF($V3322="",N($AA3321),IF(MATCH($V3322,$V$6:$V$10005,0)=ROW()-5,N($AA3321)+1,N($AA3321)))</f>
        <v>0</v>
      </c>
    </row>
    <row r="3323" spans="1:27" ht="21" customHeight="1" x14ac:dyDescent="0.95">
      <c r="A3323" s="56"/>
      <c r="B3323" s="57"/>
      <c r="C3323" s="57"/>
      <c r="D3323" s="57"/>
      <c r="E3323" s="56"/>
      <c r="F3323" s="57"/>
      <c r="G3323" s="57"/>
      <c r="H3323" s="56"/>
      <c r="I3323" s="56"/>
      <c r="J3323" s="58"/>
      <c r="K3323" s="58"/>
      <c r="L3323" s="13" t="str">
        <f t="shared" si="510"/>
        <v/>
      </c>
      <c r="M3323" s="13" t="str">
        <f t="shared" si="511"/>
        <v/>
      </c>
      <c r="Q3323" t="str">
        <f t="shared" si="512"/>
        <v/>
      </c>
      <c r="R3323" t="str">
        <f t="shared" si="513"/>
        <v/>
      </c>
      <c r="S3323" t="str">
        <f t="shared" si="514"/>
        <v/>
      </c>
      <c r="T3323" t="str">
        <f t="shared" si="515"/>
        <v/>
      </c>
      <c r="U3323" t="str">
        <f t="shared" si="516"/>
        <v/>
      </c>
      <c r="V3323" t="str">
        <f t="shared" si="517"/>
        <v/>
      </c>
      <c r="W3323" t="str">
        <f t="shared" si="518"/>
        <v/>
      </c>
      <c r="X3323">
        <f>IF($T3323="",N($X3322),IF(MATCH($T3323,$T$6:$T$10005,0)=ROW()-5,N($X3322)+1,N($X3322)))</f>
        <v>0</v>
      </c>
      <c r="Z3323" t="str">
        <f t="shared" si="519"/>
        <v/>
      </c>
      <c r="AA3323">
        <f>IF($V3323="",N($AA3322),IF(MATCH($V3323,$V$6:$V$10005,0)=ROW()-5,N($AA3322)+1,N($AA3322)))</f>
        <v>0</v>
      </c>
    </row>
    <row r="3324" spans="1:27" ht="21" customHeight="1" x14ac:dyDescent="0.95">
      <c r="A3324" s="56"/>
      <c r="B3324" s="57"/>
      <c r="C3324" s="57"/>
      <c r="D3324" s="57"/>
      <c r="E3324" s="56"/>
      <c r="F3324" s="57"/>
      <c r="G3324" s="57"/>
      <c r="H3324" s="56"/>
      <c r="I3324" s="56"/>
      <c r="J3324" s="58"/>
      <c r="K3324" s="58"/>
      <c r="L3324" s="13" t="str">
        <f t="shared" si="510"/>
        <v/>
      </c>
      <c r="M3324" s="13" t="str">
        <f t="shared" si="511"/>
        <v/>
      </c>
      <c r="Q3324" t="str">
        <f t="shared" si="512"/>
        <v/>
      </c>
      <c r="R3324" t="str">
        <f t="shared" si="513"/>
        <v/>
      </c>
      <c r="S3324" t="str">
        <f t="shared" si="514"/>
        <v/>
      </c>
      <c r="T3324" t="str">
        <f t="shared" si="515"/>
        <v/>
      </c>
      <c r="U3324" t="str">
        <f t="shared" si="516"/>
        <v/>
      </c>
      <c r="V3324" t="str">
        <f t="shared" si="517"/>
        <v/>
      </c>
      <c r="W3324" t="str">
        <f t="shared" si="518"/>
        <v/>
      </c>
      <c r="X3324">
        <f>IF($T3324="",N($X3323),IF(MATCH($T3324,$T$6:$T$10005,0)=ROW()-5,N($X3323)+1,N($X3323)))</f>
        <v>0</v>
      </c>
      <c r="Z3324" t="str">
        <f t="shared" si="519"/>
        <v/>
      </c>
      <c r="AA3324">
        <f>IF($V3324="",N($AA3323),IF(MATCH($V3324,$V$6:$V$10005,0)=ROW()-5,N($AA3323)+1,N($AA3323)))</f>
        <v>0</v>
      </c>
    </row>
    <row r="3325" spans="1:27" ht="21" customHeight="1" x14ac:dyDescent="0.95">
      <c r="A3325" s="56"/>
      <c r="B3325" s="57"/>
      <c r="C3325" s="57"/>
      <c r="D3325" s="57"/>
      <c r="E3325" s="56"/>
      <c r="F3325" s="57"/>
      <c r="G3325" s="57"/>
      <c r="H3325" s="56"/>
      <c r="I3325" s="56"/>
      <c r="J3325" s="58"/>
      <c r="K3325" s="58"/>
      <c r="L3325" s="13" t="str">
        <f t="shared" si="510"/>
        <v/>
      </c>
      <c r="M3325" s="13" t="str">
        <f t="shared" si="511"/>
        <v/>
      </c>
      <c r="Q3325" t="str">
        <f t="shared" si="512"/>
        <v/>
      </c>
      <c r="R3325" t="str">
        <f t="shared" si="513"/>
        <v/>
      </c>
      <c r="S3325" t="str">
        <f t="shared" si="514"/>
        <v/>
      </c>
      <c r="T3325" t="str">
        <f t="shared" si="515"/>
        <v/>
      </c>
      <c r="U3325" t="str">
        <f t="shared" si="516"/>
        <v/>
      </c>
      <c r="V3325" t="str">
        <f t="shared" si="517"/>
        <v/>
      </c>
      <c r="W3325" t="str">
        <f t="shared" si="518"/>
        <v/>
      </c>
      <c r="X3325">
        <f>IF($T3325="",N($X3324),IF(MATCH($T3325,$T$6:$T$10005,0)=ROW()-5,N($X3324)+1,N($X3324)))</f>
        <v>0</v>
      </c>
      <c r="Z3325" t="str">
        <f t="shared" si="519"/>
        <v/>
      </c>
      <c r="AA3325">
        <f>IF($V3325="",N($AA3324),IF(MATCH($V3325,$V$6:$V$10005,0)=ROW()-5,N($AA3324)+1,N($AA3324)))</f>
        <v>0</v>
      </c>
    </row>
    <row r="3326" spans="1:27" ht="21" customHeight="1" x14ac:dyDescent="0.95">
      <c r="A3326" s="56"/>
      <c r="B3326" s="57"/>
      <c r="C3326" s="57"/>
      <c r="D3326" s="57"/>
      <c r="E3326" s="56"/>
      <c r="F3326" s="57"/>
      <c r="G3326" s="57"/>
      <c r="H3326" s="56"/>
      <c r="I3326" s="56"/>
      <c r="J3326" s="58"/>
      <c r="K3326" s="58"/>
      <c r="L3326" s="13" t="str">
        <f t="shared" si="510"/>
        <v/>
      </c>
      <c r="M3326" s="13" t="str">
        <f t="shared" si="511"/>
        <v/>
      </c>
      <c r="Q3326" t="str">
        <f t="shared" si="512"/>
        <v/>
      </c>
      <c r="R3326" t="str">
        <f t="shared" si="513"/>
        <v/>
      </c>
      <c r="S3326" t="str">
        <f t="shared" si="514"/>
        <v/>
      </c>
      <c r="T3326" t="str">
        <f t="shared" si="515"/>
        <v/>
      </c>
      <c r="U3326" t="str">
        <f t="shared" si="516"/>
        <v/>
      </c>
      <c r="V3326" t="str">
        <f t="shared" si="517"/>
        <v/>
      </c>
      <c r="W3326" t="str">
        <f t="shared" si="518"/>
        <v/>
      </c>
      <c r="X3326">
        <f>IF($T3326="",N($X3325),IF(MATCH($T3326,$T$6:$T$10005,0)=ROW()-5,N($X3325)+1,N($X3325)))</f>
        <v>0</v>
      </c>
      <c r="Z3326" t="str">
        <f t="shared" si="519"/>
        <v/>
      </c>
      <c r="AA3326">
        <f>IF($V3326="",N($AA3325),IF(MATCH($V3326,$V$6:$V$10005,0)=ROW()-5,N($AA3325)+1,N($AA3325)))</f>
        <v>0</v>
      </c>
    </row>
    <row r="3327" spans="1:27" ht="21" customHeight="1" x14ac:dyDescent="0.95">
      <c r="A3327" s="56"/>
      <c r="B3327" s="57"/>
      <c r="C3327" s="57"/>
      <c r="D3327" s="57"/>
      <c r="E3327" s="56"/>
      <c r="F3327" s="57"/>
      <c r="G3327" s="57"/>
      <c r="H3327" s="56"/>
      <c r="I3327" s="56"/>
      <c r="J3327" s="58"/>
      <c r="K3327" s="58"/>
      <c r="L3327" s="13" t="str">
        <f t="shared" si="510"/>
        <v/>
      </c>
      <c r="M3327" s="13" t="str">
        <f t="shared" si="511"/>
        <v/>
      </c>
      <c r="Q3327" t="str">
        <f t="shared" si="512"/>
        <v/>
      </c>
      <c r="R3327" t="str">
        <f t="shared" si="513"/>
        <v/>
      </c>
      <c r="S3327" t="str">
        <f t="shared" si="514"/>
        <v/>
      </c>
      <c r="T3327" t="str">
        <f t="shared" si="515"/>
        <v/>
      </c>
      <c r="U3327" t="str">
        <f t="shared" si="516"/>
        <v/>
      </c>
      <c r="V3327" t="str">
        <f t="shared" si="517"/>
        <v/>
      </c>
      <c r="W3327" t="str">
        <f t="shared" si="518"/>
        <v/>
      </c>
      <c r="X3327">
        <f>IF($T3327="",N($X3326),IF(MATCH($T3327,$T$6:$T$10005,0)=ROW()-5,N($X3326)+1,N($X3326)))</f>
        <v>0</v>
      </c>
      <c r="Z3327" t="str">
        <f t="shared" si="519"/>
        <v/>
      </c>
      <c r="AA3327">
        <f>IF($V3327="",N($AA3326),IF(MATCH($V3327,$V$6:$V$10005,0)=ROW()-5,N($AA3326)+1,N($AA3326)))</f>
        <v>0</v>
      </c>
    </row>
    <row r="3328" spans="1:27" ht="21" customHeight="1" x14ac:dyDescent="0.95">
      <c r="A3328" s="56"/>
      <c r="B3328" s="57"/>
      <c r="C3328" s="57"/>
      <c r="D3328" s="57"/>
      <c r="E3328" s="56"/>
      <c r="F3328" s="57"/>
      <c r="G3328" s="57"/>
      <c r="H3328" s="56"/>
      <c r="I3328" s="56"/>
      <c r="J3328" s="58"/>
      <c r="K3328" s="58"/>
      <c r="L3328" s="13" t="str">
        <f t="shared" si="510"/>
        <v/>
      </c>
      <c r="M3328" s="13" t="str">
        <f t="shared" si="511"/>
        <v/>
      </c>
      <c r="Q3328" t="str">
        <f t="shared" si="512"/>
        <v/>
      </c>
      <c r="R3328" t="str">
        <f t="shared" si="513"/>
        <v/>
      </c>
      <c r="S3328" t="str">
        <f t="shared" si="514"/>
        <v/>
      </c>
      <c r="T3328" t="str">
        <f t="shared" si="515"/>
        <v/>
      </c>
      <c r="U3328" t="str">
        <f t="shared" si="516"/>
        <v/>
      </c>
      <c r="V3328" t="str">
        <f t="shared" si="517"/>
        <v/>
      </c>
      <c r="W3328" t="str">
        <f t="shared" si="518"/>
        <v/>
      </c>
      <c r="X3328">
        <f>IF($T3328="",N($X3327),IF(MATCH($T3328,$T$6:$T$10005,0)=ROW()-5,N($X3327)+1,N($X3327)))</f>
        <v>0</v>
      </c>
      <c r="Z3328" t="str">
        <f t="shared" si="519"/>
        <v/>
      </c>
      <c r="AA3328">
        <f>IF($V3328="",N($AA3327),IF(MATCH($V3328,$V$6:$V$10005,0)=ROW()-5,N($AA3327)+1,N($AA3327)))</f>
        <v>0</v>
      </c>
    </row>
    <row r="3329" spans="1:27" ht="21" customHeight="1" x14ac:dyDescent="0.95">
      <c r="A3329" s="56"/>
      <c r="B3329" s="57"/>
      <c r="C3329" s="57"/>
      <c r="D3329" s="57"/>
      <c r="E3329" s="56"/>
      <c r="F3329" s="57"/>
      <c r="G3329" s="57"/>
      <c r="H3329" s="56"/>
      <c r="I3329" s="56"/>
      <c r="J3329" s="58"/>
      <c r="K3329" s="58"/>
      <c r="L3329" s="13" t="str">
        <f t="shared" si="510"/>
        <v/>
      </c>
      <c r="M3329" s="13" t="str">
        <f t="shared" si="511"/>
        <v/>
      </c>
      <c r="Q3329" t="str">
        <f t="shared" si="512"/>
        <v/>
      </c>
      <c r="R3329" t="str">
        <f t="shared" si="513"/>
        <v/>
      </c>
      <c r="S3329" t="str">
        <f t="shared" si="514"/>
        <v/>
      </c>
      <c r="T3329" t="str">
        <f t="shared" si="515"/>
        <v/>
      </c>
      <c r="U3329" t="str">
        <f t="shared" si="516"/>
        <v/>
      </c>
      <c r="V3329" t="str">
        <f t="shared" si="517"/>
        <v/>
      </c>
      <c r="W3329" t="str">
        <f t="shared" si="518"/>
        <v/>
      </c>
      <c r="X3329">
        <f>IF($T3329="",N($X3328),IF(MATCH($T3329,$T$6:$T$10005,0)=ROW()-5,N($X3328)+1,N($X3328)))</f>
        <v>0</v>
      </c>
      <c r="Z3329" t="str">
        <f t="shared" si="519"/>
        <v/>
      </c>
      <c r="AA3329">
        <f>IF($V3329="",N($AA3328),IF(MATCH($V3329,$V$6:$V$10005,0)=ROW()-5,N($AA3328)+1,N($AA3328)))</f>
        <v>0</v>
      </c>
    </row>
    <row r="3330" spans="1:27" ht="21" customHeight="1" x14ac:dyDescent="0.95">
      <c r="A3330" s="56"/>
      <c r="B3330" s="57"/>
      <c r="C3330" s="57"/>
      <c r="D3330" s="57"/>
      <c r="E3330" s="56"/>
      <c r="F3330" s="57"/>
      <c r="G3330" s="57"/>
      <c r="H3330" s="56"/>
      <c r="I3330" s="56"/>
      <c r="J3330" s="58"/>
      <c r="K3330" s="58"/>
      <c r="L3330" s="13" t="str">
        <f t="shared" si="510"/>
        <v/>
      </c>
      <c r="M3330" s="13" t="str">
        <f t="shared" si="511"/>
        <v/>
      </c>
      <c r="Q3330" t="str">
        <f t="shared" si="512"/>
        <v/>
      </c>
      <c r="R3330" t="str">
        <f t="shared" si="513"/>
        <v/>
      </c>
      <c r="S3330" t="str">
        <f t="shared" si="514"/>
        <v/>
      </c>
      <c r="T3330" t="str">
        <f t="shared" si="515"/>
        <v/>
      </c>
      <c r="U3330" t="str">
        <f t="shared" si="516"/>
        <v/>
      </c>
      <c r="V3330" t="str">
        <f t="shared" si="517"/>
        <v/>
      </c>
      <c r="W3330" t="str">
        <f t="shared" si="518"/>
        <v/>
      </c>
      <c r="X3330">
        <f>IF($T3330="",N($X3329),IF(MATCH($T3330,$T$6:$T$10005,0)=ROW()-5,N($X3329)+1,N($X3329)))</f>
        <v>0</v>
      </c>
      <c r="Z3330" t="str">
        <f t="shared" si="519"/>
        <v/>
      </c>
      <c r="AA3330">
        <f>IF($V3330="",N($AA3329),IF(MATCH($V3330,$V$6:$V$10005,0)=ROW()-5,N($AA3329)+1,N($AA3329)))</f>
        <v>0</v>
      </c>
    </row>
    <row r="3331" spans="1:27" ht="21" customHeight="1" x14ac:dyDescent="0.95">
      <c r="A3331" s="56"/>
      <c r="B3331" s="57"/>
      <c r="C3331" s="57"/>
      <c r="D3331" s="57"/>
      <c r="E3331" s="56"/>
      <c r="F3331" s="57"/>
      <c r="G3331" s="57"/>
      <c r="H3331" s="56"/>
      <c r="I3331" s="56"/>
      <c r="J3331" s="58"/>
      <c r="K3331" s="58"/>
      <c r="L3331" s="13" t="str">
        <f t="shared" si="510"/>
        <v/>
      </c>
      <c r="M3331" s="13" t="str">
        <f t="shared" si="511"/>
        <v/>
      </c>
      <c r="Q3331" t="str">
        <f t="shared" si="512"/>
        <v/>
      </c>
      <c r="R3331" t="str">
        <f t="shared" si="513"/>
        <v/>
      </c>
      <c r="S3331" t="str">
        <f t="shared" si="514"/>
        <v/>
      </c>
      <c r="T3331" t="str">
        <f t="shared" si="515"/>
        <v/>
      </c>
      <c r="U3331" t="str">
        <f t="shared" si="516"/>
        <v/>
      </c>
      <c r="V3331" t="str">
        <f t="shared" si="517"/>
        <v/>
      </c>
      <c r="W3331" t="str">
        <f t="shared" si="518"/>
        <v/>
      </c>
      <c r="X3331">
        <f>IF($T3331="",N($X3330),IF(MATCH($T3331,$T$6:$T$10005,0)=ROW()-5,N($X3330)+1,N($X3330)))</f>
        <v>0</v>
      </c>
      <c r="Z3331" t="str">
        <f t="shared" si="519"/>
        <v/>
      </c>
      <c r="AA3331">
        <f>IF($V3331="",N($AA3330),IF(MATCH($V3331,$V$6:$V$10005,0)=ROW()-5,N($AA3330)+1,N($AA3330)))</f>
        <v>0</v>
      </c>
    </row>
    <row r="3332" spans="1:27" ht="21" customHeight="1" x14ac:dyDescent="0.95">
      <c r="A3332" s="56"/>
      <c r="B3332" s="57"/>
      <c r="C3332" s="57"/>
      <c r="D3332" s="57"/>
      <c r="E3332" s="56"/>
      <c r="F3332" s="57"/>
      <c r="G3332" s="57"/>
      <c r="H3332" s="56"/>
      <c r="I3332" s="56"/>
      <c r="J3332" s="58"/>
      <c r="K3332" s="58"/>
      <c r="L3332" s="13" t="str">
        <f t="shared" si="510"/>
        <v/>
      </c>
      <c r="M3332" s="13" t="str">
        <f t="shared" si="511"/>
        <v/>
      </c>
      <c r="Q3332" t="str">
        <f t="shared" si="512"/>
        <v/>
      </c>
      <c r="R3332" t="str">
        <f t="shared" si="513"/>
        <v/>
      </c>
      <c r="S3332" t="str">
        <f t="shared" si="514"/>
        <v/>
      </c>
      <c r="T3332" t="str">
        <f t="shared" si="515"/>
        <v/>
      </c>
      <c r="U3332" t="str">
        <f t="shared" si="516"/>
        <v/>
      </c>
      <c r="V3332" t="str">
        <f t="shared" si="517"/>
        <v/>
      </c>
      <c r="W3332" t="str">
        <f t="shared" si="518"/>
        <v/>
      </c>
      <c r="X3332">
        <f>IF($T3332="",N($X3331),IF(MATCH($T3332,$T$6:$T$10005,0)=ROW()-5,N($X3331)+1,N($X3331)))</f>
        <v>0</v>
      </c>
      <c r="Z3332" t="str">
        <f t="shared" si="519"/>
        <v/>
      </c>
      <c r="AA3332">
        <f>IF($V3332="",N($AA3331),IF(MATCH($V3332,$V$6:$V$10005,0)=ROW()-5,N($AA3331)+1,N($AA3331)))</f>
        <v>0</v>
      </c>
    </row>
    <row r="3333" spans="1:27" ht="21" customHeight="1" x14ac:dyDescent="0.95">
      <c r="A3333" s="56"/>
      <c r="B3333" s="57"/>
      <c r="C3333" s="57"/>
      <c r="D3333" s="57"/>
      <c r="E3333" s="56"/>
      <c r="F3333" s="57"/>
      <c r="G3333" s="57"/>
      <c r="H3333" s="56"/>
      <c r="I3333" s="56"/>
      <c r="J3333" s="58"/>
      <c r="K3333" s="58"/>
      <c r="L3333" s="13" t="str">
        <f t="shared" si="510"/>
        <v/>
      </c>
      <c r="M3333" s="13" t="str">
        <f t="shared" si="511"/>
        <v/>
      </c>
      <c r="Q3333" t="str">
        <f t="shared" si="512"/>
        <v/>
      </c>
      <c r="R3333" t="str">
        <f t="shared" si="513"/>
        <v/>
      </c>
      <c r="S3333" t="str">
        <f t="shared" si="514"/>
        <v/>
      </c>
      <c r="T3333" t="str">
        <f t="shared" si="515"/>
        <v/>
      </c>
      <c r="U3333" t="str">
        <f t="shared" si="516"/>
        <v/>
      </c>
      <c r="V3333" t="str">
        <f t="shared" si="517"/>
        <v/>
      </c>
      <c r="W3333" t="str">
        <f t="shared" si="518"/>
        <v/>
      </c>
      <c r="X3333">
        <f>IF($T3333="",N($X3332),IF(MATCH($T3333,$T$6:$T$10005,0)=ROW()-5,N($X3332)+1,N($X3332)))</f>
        <v>0</v>
      </c>
      <c r="Z3333" t="str">
        <f t="shared" si="519"/>
        <v/>
      </c>
      <c r="AA3333">
        <f>IF($V3333="",N($AA3332),IF(MATCH($V3333,$V$6:$V$10005,0)=ROW()-5,N($AA3332)+1,N($AA3332)))</f>
        <v>0</v>
      </c>
    </row>
    <row r="3334" spans="1:27" ht="21" customHeight="1" x14ac:dyDescent="0.95">
      <c r="A3334" s="56"/>
      <c r="B3334" s="57"/>
      <c r="C3334" s="57"/>
      <c r="D3334" s="57"/>
      <c r="E3334" s="56"/>
      <c r="F3334" s="57"/>
      <c r="G3334" s="57"/>
      <c r="H3334" s="56"/>
      <c r="I3334" s="56"/>
      <c r="J3334" s="58"/>
      <c r="K3334" s="58"/>
      <c r="L3334" s="13" t="str">
        <f t="shared" ref="L3334:L3397" si="520">IF(OR($A3334="",AND($J3334="",$K3334="")),"",ROUND(N($J3334)-N($K3334),2))</f>
        <v/>
      </c>
      <c r="M3334" s="13" t="str">
        <f t="shared" ref="M3334:M3397" si="521">IF(OR($A3334="",AND($J3334="",$K3334="")),"",MIN($J3334,$K3334))</f>
        <v/>
      </c>
      <c r="Q3334" t="str">
        <f t="shared" ref="Q3334:Q3397" si="522">IF($A3334="","",$D3334&amp;"("&amp;SUBSTITUTE($E3334," ","")&amp;")")</f>
        <v/>
      </c>
      <c r="R3334" t="str">
        <f t="shared" ref="R3334:R3397" si="523">IF($A3334="","",$B3334&amp;" - "&amp;$C3334)</f>
        <v/>
      </c>
      <c r="S3334" t="str">
        <f t="shared" ref="S3334:S3397" si="524">IF($A3334="","",$R3334&amp;"|"&amp;$Q3334)</f>
        <v/>
      </c>
      <c r="T3334" t="str">
        <f t="shared" ref="T3334:T3397" si="525">IF($A3334="","",$S3334&amp;"|"&amp;$F3334)</f>
        <v/>
      </c>
      <c r="U3334" t="str">
        <f t="shared" ref="U3334:U3397" si="526">IF($A3334="","",$R3334&amp;"("&amp;$E3334&amp;")")</f>
        <v/>
      </c>
      <c r="V3334" t="str">
        <f t="shared" ref="V3334:V3397" si="527">IF($A3334="","",$F3334&amp;"|"&amp;$U3334&amp;"|"&amp;$D3334)</f>
        <v/>
      </c>
      <c r="W3334" t="str">
        <f t="shared" ref="W3334:W3397" si="528">IF($T3334="","",IF($X3334&gt;N($X3333),$X3334,""))</f>
        <v/>
      </c>
      <c r="X3334">
        <f>IF($T3334="",N($X3333),IF(MATCH($T3334,$T$6:$T$10005,0)=ROW()-5,N($X3333)+1,N($X3333)))</f>
        <v>0</v>
      </c>
      <c r="Z3334" t="str">
        <f t="shared" ref="Z3334:Z3397" si="529">IF($V3334="","",IF($AA3334&gt;N($AA3333),$AA3334,""))</f>
        <v/>
      </c>
      <c r="AA3334">
        <f>IF($V3334="",N($AA3333),IF(MATCH($V3334,$V$6:$V$10005,0)=ROW()-5,N($AA3333)+1,N($AA3333)))</f>
        <v>0</v>
      </c>
    </row>
    <row r="3335" spans="1:27" ht="21" customHeight="1" x14ac:dyDescent="0.95">
      <c r="A3335" s="56"/>
      <c r="B3335" s="57"/>
      <c r="C3335" s="57"/>
      <c r="D3335" s="57"/>
      <c r="E3335" s="56"/>
      <c r="F3335" s="57"/>
      <c r="G3335" s="57"/>
      <c r="H3335" s="56"/>
      <c r="I3335" s="56"/>
      <c r="J3335" s="58"/>
      <c r="K3335" s="58"/>
      <c r="L3335" s="13" t="str">
        <f t="shared" si="520"/>
        <v/>
      </c>
      <c r="M3335" s="13" t="str">
        <f t="shared" si="521"/>
        <v/>
      </c>
      <c r="Q3335" t="str">
        <f t="shared" si="522"/>
        <v/>
      </c>
      <c r="R3335" t="str">
        <f t="shared" si="523"/>
        <v/>
      </c>
      <c r="S3335" t="str">
        <f t="shared" si="524"/>
        <v/>
      </c>
      <c r="T3335" t="str">
        <f t="shared" si="525"/>
        <v/>
      </c>
      <c r="U3335" t="str">
        <f t="shared" si="526"/>
        <v/>
      </c>
      <c r="V3335" t="str">
        <f t="shared" si="527"/>
        <v/>
      </c>
      <c r="W3335" t="str">
        <f t="shared" si="528"/>
        <v/>
      </c>
      <c r="X3335">
        <f>IF($T3335="",N($X3334),IF(MATCH($T3335,$T$6:$T$10005,0)=ROW()-5,N($X3334)+1,N($X3334)))</f>
        <v>0</v>
      </c>
      <c r="Z3335" t="str">
        <f t="shared" si="529"/>
        <v/>
      </c>
      <c r="AA3335">
        <f>IF($V3335="",N($AA3334),IF(MATCH($V3335,$V$6:$V$10005,0)=ROW()-5,N($AA3334)+1,N($AA3334)))</f>
        <v>0</v>
      </c>
    </row>
    <row r="3336" spans="1:27" ht="21" customHeight="1" x14ac:dyDescent="0.95">
      <c r="A3336" s="56"/>
      <c r="B3336" s="57"/>
      <c r="C3336" s="57"/>
      <c r="D3336" s="57"/>
      <c r="E3336" s="56"/>
      <c r="F3336" s="57"/>
      <c r="G3336" s="57"/>
      <c r="H3336" s="56"/>
      <c r="I3336" s="56"/>
      <c r="J3336" s="58"/>
      <c r="K3336" s="58"/>
      <c r="L3336" s="13" t="str">
        <f t="shared" si="520"/>
        <v/>
      </c>
      <c r="M3336" s="13" t="str">
        <f t="shared" si="521"/>
        <v/>
      </c>
      <c r="Q3336" t="str">
        <f t="shared" si="522"/>
        <v/>
      </c>
      <c r="R3336" t="str">
        <f t="shared" si="523"/>
        <v/>
      </c>
      <c r="S3336" t="str">
        <f t="shared" si="524"/>
        <v/>
      </c>
      <c r="T3336" t="str">
        <f t="shared" si="525"/>
        <v/>
      </c>
      <c r="U3336" t="str">
        <f t="shared" si="526"/>
        <v/>
      </c>
      <c r="V3336" t="str">
        <f t="shared" si="527"/>
        <v/>
      </c>
      <c r="W3336" t="str">
        <f t="shared" si="528"/>
        <v/>
      </c>
      <c r="X3336">
        <f>IF($T3336="",N($X3335),IF(MATCH($T3336,$T$6:$T$10005,0)=ROW()-5,N($X3335)+1,N($X3335)))</f>
        <v>0</v>
      </c>
      <c r="Z3336" t="str">
        <f t="shared" si="529"/>
        <v/>
      </c>
      <c r="AA3336">
        <f>IF($V3336="",N($AA3335),IF(MATCH($V3336,$V$6:$V$10005,0)=ROW()-5,N($AA3335)+1,N($AA3335)))</f>
        <v>0</v>
      </c>
    </row>
    <row r="3337" spans="1:27" ht="21" customHeight="1" x14ac:dyDescent="0.95">
      <c r="A3337" s="56"/>
      <c r="B3337" s="57"/>
      <c r="C3337" s="57"/>
      <c r="D3337" s="57"/>
      <c r="E3337" s="56"/>
      <c r="F3337" s="57"/>
      <c r="G3337" s="57"/>
      <c r="H3337" s="56"/>
      <c r="I3337" s="56"/>
      <c r="J3337" s="58"/>
      <c r="K3337" s="58"/>
      <c r="L3337" s="13" t="str">
        <f t="shared" si="520"/>
        <v/>
      </c>
      <c r="M3337" s="13" t="str">
        <f t="shared" si="521"/>
        <v/>
      </c>
      <c r="Q3337" t="str">
        <f t="shared" si="522"/>
        <v/>
      </c>
      <c r="R3337" t="str">
        <f t="shared" si="523"/>
        <v/>
      </c>
      <c r="S3337" t="str">
        <f t="shared" si="524"/>
        <v/>
      </c>
      <c r="T3337" t="str">
        <f t="shared" si="525"/>
        <v/>
      </c>
      <c r="U3337" t="str">
        <f t="shared" si="526"/>
        <v/>
      </c>
      <c r="V3337" t="str">
        <f t="shared" si="527"/>
        <v/>
      </c>
      <c r="W3337" t="str">
        <f t="shared" si="528"/>
        <v/>
      </c>
      <c r="X3337">
        <f>IF($T3337="",N($X3336),IF(MATCH($T3337,$T$6:$T$10005,0)=ROW()-5,N($X3336)+1,N($X3336)))</f>
        <v>0</v>
      </c>
      <c r="Z3337" t="str">
        <f t="shared" si="529"/>
        <v/>
      </c>
      <c r="AA3337">
        <f>IF($V3337="",N($AA3336),IF(MATCH($V3337,$V$6:$V$10005,0)=ROW()-5,N($AA3336)+1,N($AA3336)))</f>
        <v>0</v>
      </c>
    </row>
    <row r="3338" spans="1:27" ht="21" customHeight="1" x14ac:dyDescent="0.95">
      <c r="A3338" s="56"/>
      <c r="B3338" s="57"/>
      <c r="C3338" s="57"/>
      <c r="D3338" s="57"/>
      <c r="E3338" s="56"/>
      <c r="F3338" s="57"/>
      <c r="G3338" s="57"/>
      <c r="H3338" s="56"/>
      <c r="I3338" s="56"/>
      <c r="J3338" s="58"/>
      <c r="K3338" s="58"/>
      <c r="L3338" s="13" t="str">
        <f t="shared" si="520"/>
        <v/>
      </c>
      <c r="M3338" s="13" t="str">
        <f t="shared" si="521"/>
        <v/>
      </c>
      <c r="Q3338" t="str">
        <f t="shared" si="522"/>
        <v/>
      </c>
      <c r="R3338" t="str">
        <f t="shared" si="523"/>
        <v/>
      </c>
      <c r="S3338" t="str">
        <f t="shared" si="524"/>
        <v/>
      </c>
      <c r="T3338" t="str">
        <f t="shared" si="525"/>
        <v/>
      </c>
      <c r="U3338" t="str">
        <f t="shared" si="526"/>
        <v/>
      </c>
      <c r="V3338" t="str">
        <f t="shared" si="527"/>
        <v/>
      </c>
      <c r="W3338" t="str">
        <f t="shared" si="528"/>
        <v/>
      </c>
      <c r="X3338">
        <f>IF($T3338="",N($X3337),IF(MATCH($T3338,$T$6:$T$10005,0)=ROW()-5,N($X3337)+1,N($X3337)))</f>
        <v>0</v>
      </c>
      <c r="Z3338" t="str">
        <f t="shared" si="529"/>
        <v/>
      </c>
      <c r="AA3338">
        <f>IF($V3338="",N($AA3337),IF(MATCH($V3338,$V$6:$V$10005,0)=ROW()-5,N($AA3337)+1,N($AA3337)))</f>
        <v>0</v>
      </c>
    </row>
    <row r="3339" spans="1:27" ht="21" customHeight="1" x14ac:dyDescent="0.95">
      <c r="A3339" s="56"/>
      <c r="B3339" s="57"/>
      <c r="C3339" s="57"/>
      <c r="D3339" s="57"/>
      <c r="E3339" s="56"/>
      <c r="F3339" s="57"/>
      <c r="G3339" s="57"/>
      <c r="H3339" s="56"/>
      <c r="I3339" s="56"/>
      <c r="J3339" s="58"/>
      <c r="K3339" s="58"/>
      <c r="L3339" s="13" t="str">
        <f t="shared" si="520"/>
        <v/>
      </c>
      <c r="M3339" s="13" t="str">
        <f t="shared" si="521"/>
        <v/>
      </c>
      <c r="Q3339" t="str">
        <f t="shared" si="522"/>
        <v/>
      </c>
      <c r="R3339" t="str">
        <f t="shared" si="523"/>
        <v/>
      </c>
      <c r="S3339" t="str">
        <f t="shared" si="524"/>
        <v/>
      </c>
      <c r="T3339" t="str">
        <f t="shared" si="525"/>
        <v/>
      </c>
      <c r="U3339" t="str">
        <f t="shared" si="526"/>
        <v/>
      </c>
      <c r="V3339" t="str">
        <f t="shared" si="527"/>
        <v/>
      </c>
      <c r="W3339" t="str">
        <f t="shared" si="528"/>
        <v/>
      </c>
      <c r="X3339">
        <f>IF($T3339="",N($X3338),IF(MATCH($T3339,$T$6:$T$10005,0)=ROW()-5,N($X3338)+1,N($X3338)))</f>
        <v>0</v>
      </c>
      <c r="Z3339" t="str">
        <f t="shared" si="529"/>
        <v/>
      </c>
      <c r="AA3339">
        <f>IF($V3339="",N($AA3338),IF(MATCH($V3339,$V$6:$V$10005,0)=ROW()-5,N($AA3338)+1,N($AA3338)))</f>
        <v>0</v>
      </c>
    </row>
    <row r="3340" spans="1:27" ht="21" customHeight="1" x14ac:dyDescent="0.95">
      <c r="A3340" s="56"/>
      <c r="B3340" s="57"/>
      <c r="C3340" s="57"/>
      <c r="D3340" s="57"/>
      <c r="E3340" s="56"/>
      <c r="F3340" s="57"/>
      <c r="G3340" s="57"/>
      <c r="H3340" s="56"/>
      <c r="I3340" s="56"/>
      <c r="J3340" s="58"/>
      <c r="K3340" s="58"/>
      <c r="L3340" s="13" t="str">
        <f t="shared" si="520"/>
        <v/>
      </c>
      <c r="M3340" s="13" t="str">
        <f t="shared" si="521"/>
        <v/>
      </c>
      <c r="Q3340" t="str">
        <f t="shared" si="522"/>
        <v/>
      </c>
      <c r="R3340" t="str">
        <f t="shared" si="523"/>
        <v/>
      </c>
      <c r="S3340" t="str">
        <f t="shared" si="524"/>
        <v/>
      </c>
      <c r="T3340" t="str">
        <f t="shared" si="525"/>
        <v/>
      </c>
      <c r="U3340" t="str">
        <f t="shared" si="526"/>
        <v/>
      </c>
      <c r="V3340" t="str">
        <f t="shared" si="527"/>
        <v/>
      </c>
      <c r="W3340" t="str">
        <f t="shared" si="528"/>
        <v/>
      </c>
      <c r="X3340">
        <f>IF($T3340="",N($X3339),IF(MATCH($T3340,$T$6:$T$10005,0)=ROW()-5,N($X3339)+1,N($X3339)))</f>
        <v>0</v>
      </c>
      <c r="Z3340" t="str">
        <f t="shared" si="529"/>
        <v/>
      </c>
      <c r="AA3340">
        <f>IF($V3340="",N($AA3339),IF(MATCH($V3340,$V$6:$V$10005,0)=ROW()-5,N($AA3339)+1,N($AA3339)))</f>
        <v>0</v>
      </c>
    </row>
    <row r="3341" spans="1:27" ht="21" customHeight="1" x14ac:dyDescent="0.95">
      <c r="A3341" s="56"/>
      <c r="B3341" s="57"/>
      <c r="C3341" s="57"/>
      <c r="D3341" s="57"/>
      <c r="E3341" s="56"/>
      <c r="F3341" s="57"/>
      <c r="G3341" s="57"/>
      <c r="H3341" s="56"/>
      <c r="I3341" s="56"/>
      <c r="J3341" s="58"/>
      <c r="K3341" s="58"/>
      <c r="L3341" s="13" t="str">
        <f t="shared" si="520"/>
        <v/>
      </c>
      <c r="M3341" s="13" t="str">
        <f t="shared" si="521"/>
        <v/>
      </c>
      <c r="Q3341" t="str">
        <f t="shared" si="522"/>
        <v/>
      </c>
      <c r="R3341" t="str">
        <f t="shared" si="523"/>
        <v/>
      </c>
      <c r="S3341" t="str">
        <f t="shared" si="524"/>
        <v/>
      </c>
      <c r="T3341" t="str">
        <f t="shared" si="525"/>
        <v/>
      </c>
      <c r="U3341" t="str">
        <f t="shared" si="526"/>
        <v/>
      </c>
      <c r="V3341" t="str">
        <f t="shared" si="527"/>
        <v/>
      </c>
      <c r="W3341" t="str">
        <f t="shared" si="528"/>
        <v/>
      </c>
      <c r="X3341">
        <f>IF($T3341="",N($X3340),IF(MATCH($T3341,$T$6:$T$10005,0)=ROW()-5,N($X3340)+1,N($X3340)))</f>
        <v>0</v>
      </c>
      <c r="Z3341" t="str">
        <f t="shared" si="529"/>
        <v/>
      </c>
      <c r="AA3341">
        <f>IF($V3341="",N($AA3340),IF(MATCH($V3341,$V$6:$V$10005,0)=ROW()-5,N($AA3340)+1,N($AA3340)))</f>
        <v>0</v>
      </c>
    </row>
    <row r="3342" spans="1:27" ht="21" customHeight="1" x14ac:dyDescent="0.95">
      <c r="A3342" s="56"/>
      <c r="B3342" s="57"/>
      <c r="C3342" s="57"/>
      <c r="D3342" s="57"/>
      <c r="E3342" s="56"/>
      <c r="F3342" s="57"/>
      <c r="G3342" s="57"/>
      <c r="H3342" s="56"/>
      <c r="I3342" s="56"/>
      <c r="J3342" s="58"/>
      <c r="K3342" s="58"/>
      <c r="L3342" s="13" t="str">
        <f t="shared" si="520"/>
        <v/>
      </c>
      <c r="M3342" s="13" t="str">
        <f t="shared" si="521"/>
        <v/>
      </c>
      <c r="Q3342" t="str">
        <f t="shared" si="522"/>
        <v/>
      </c>
      <c r="R3342" t="str">
        <f t="shared" si="523"/>
        <v/>
      </c>
      <c r="S3342" t="str">
        <f t="shared" si="524"/>
        <v/>
      </c>
      <c r="T3342" t="str">
        <f t="shared" si="525"/>
        <v/>
      </c>
      <c r="U3342" t="str">
        <f t="shared" si="526"/>
        <v/>
      </c>
      <c r="V3342" t="str">
        <f t="shared" si="527"/>
        <v/>
      </c>
      <c r="W3342" t="str">
        <f t="shared" si="528"/>
        <v/>
      </c>
      <c r="X3342">
        <f>IF($T3342="",N($X3341),IF(MATCH($T3342,$T$6:$T$10005,0)=ROW()-5,N($X3341)+1,N($X3341)))</f>
        <v>0</v>
      </c>
      <c r="Z3342" t="str">
        <f t="shared" si="529"/>
        <v/>
      </c>
      <c r="AA3342">
        <f>IF($V3342="",N($AA3341),IF(MATCH($V3342,$V$6:$V$10005,0)=ROW()-5,N($AA3341)+1,N($AA3341)))</f>
        <v>0</v>
      </c>
    </row>
    <row r="3343" spans="1:27" ht="21" customHeight="1" x14ac:dyDescent="0.95">
      <c r="A3343" s="56"/>
      <c r="B3343" s="57"/>
      <c r="C3343" s="57"/>
      <c r="D3343" s="57"/>
      <c r="E3343" s="56"/>
      <c r="F3343" s="57"/>
      <c r="G3343" s="57"/>
      <c r="H3343" s="56"/>
      <c r="I3343" s="56"/>
      <c r="J3343" s="58"/>
      <c r="K3343" s="58"/>
      <c r="L3343" s="13" t="str">
        <f t="shared" si="520"/>
        <v/>
      </c>
      <c r="M3343" s="13" t="str">
        <f t="shared" si="521"/>
        <v/>
      </c>
      <c r="Q3343" t="str">
        <f t="shared" si="522"/>
        <v/>
      </c>
      <c r="R3343" t="str">
        <f t="shared" si="523"/>
        <v/>
      </c>
      <c r="S3343" t="str">
        <f t="shared" si="524"/>
        <v/>
      </c>
      <c r="T3343" t="str">
        <f t="shared" si="525"/>
        <v/>
      </c>
      <c r="U3343" t="str">
        <f t="shared" si="526"/>
        <v/>
      </c>
      <c r="V3343" t="str">
        <f t="shared" si="527"/>
        <v/>
      </c>
      <c r="W3343" t="str">
        <f t="shared" si="528"/>
        <v/>
      </c>
      <c r="X3343">
        <f>IF($T3343="",N($X3342),IF(MATCH($T3343,$T$6:$T$10005,0)=ROW()-5,N($X3342)+1,N($X3342)))</f>
        <v>0</v>
      </c>
      <c r="Z3343" t="str">
        <f t="shared" si="529"/>
        <v/>
      </c>
      <c r="AA3343">
        <f>IF($V3343="",N($AA3342),IF(MATCH($V3343,$V$6:$V$10005,0)=ROW()-5,N($AA3342)+1,N($AA3342)))</f>
        <v>0</v>
      </c>
    </row>
    <row r="3344" spans="1:27" ht="21" customHeight="1" x14ac:dyDescent="0.95">
      <c r="A3344" s="56"/>
      <c r="B3344" s="57"/>
      <c r="C3344" s="57"/>
      <c r="D3344" s="57"/>
      <c r="E3344" s="56"/>
      <c r="F3344" s="57"/>
      <c r="G3344" s="57"/>
      <c r="H3344" s="56"/>
      <c r="I3344" s="56"/>
      <c r="J3344" s="58"/>
      <c r="K3344" s="58"/>
      <c r="L3344" s="13" t="str">
        <f t="shared" si="520"/>
        <v/>
      </c>
      <c r="M3344" s="13" t="str">
        <f t="shared" si="521"/>
        <v/>
      </c>
      <c r="Q3344" t="str">
        <f t="shared" si="522"/>
        <v/>
      </c>
      <c r="R3344" t="str">
        <f t="shared" si="523"/>
        <v/>
      </c>
      <c r="S3344" t="str">
        <f t="shared" si="524"/>
        <v/>
      </c>
      <c r="T3344" t="str">
        <f t="shared" si="525"/>
        <v/>
      </c>
      <c r="U3344" t="str">
        <f t="shared" si="526"/>
        <v/>
      </c>
      <c r="V3344" t="str">
        <f t="shared" si="527"/>
        <v/>
      </c>
      <c r="W3344" t="str">
        <f t="shared" si="528"/>
        <v/>
      </c>
      <c r="X3344">
        <f>IF($T3344="",N($X3343),IF(MATCH($T3344,$T$6:$T$10005,0)=ROW()-5,N($X3343)+1,N($X3343)))</f>
        <v>0</v>
      </c>
      <c r="Z3344" t="str">
        <f t="shared" si="529"/>
        <v/>
      </c>
      <c r="AA3344">
        <f>IF($V3344="",N($AA3343),IF(MATCH($V3344,$V$6:$V$10005,0)=ROW()-5,N($AA3343)+1,N($AA3343)))</f>
        <v>0</v>
      </c>
    </row>
    <row r="3345" spans="1:27" ht="21" customHeight="1" x14ac:dyDescent="0.95">
      <c r="A3345" s="56"/>
      <c r="B3345" s="57"/>
      <c r="C3345" s="57"/>
      <c r="D3345" s="57"/>
      <c r="E3345" s="56"/>
      <c r="F3345" s="57"/>
      <c r="G3345" s="57"/>
      <c r="H3345" s="56"/>
      <c r="I3345" s="56"/>
      <c r="J3345" s="58"/>
      <c r="K3345" s="58"/>
      <c r="L3345" s="13" t="str">
        <f t="shared" si="520"/>
        <v/>
      </c>
      <c r="M3345" s="13" t="str">
        <f t="shared" si="521"/>
        <v/>
      </c>
      <c r="Q3345" t="str">
        <f t="shared" si="522"/>
        <v/>
      </c>
      <c r="R3345" t="str">
        <f t="shared" si="523"/>
        <v/>
      </c>
      <c r="S3345" t="str">
        <f t="shared" si="524"/>
        <v/>
      </c>
      <c r="T3345" t="str">
        <f t="shared" si="525"/>
        <v/>
      </c>
      <c r="U3345" t="str">
        <f t="shared" si="526"/>
        <v/>
      </c>
      <c r="V3345" t="str">
        <f t="shared" si="527"/>
        <v/>
      </c>
      <c r="W3345" t="str">
        <f t="shared" si="528"/>
        <v/>
      </c>
      <c r="X3345">
        <f>IF($T3345="",N($X3344),IF(MATCH($T3345,$T$6:$T$10005,0)=ROW()-5,N($X3344)+1,N($X3344)))</f>
        <v>0</v>
      </c>
      <c r="Z3345" t="str">
        <f t="shared" si="529"/>
        <v/>
      </c>
      <c r="AA3345">
        <f>IF($V3345="",N($AA3344),IF(MATCH($V3345,$V$6:$V$10005,0)=ROW()-5,N($AA3344)+1,N($AA3344)))</f>
        <v>0</v>
      </c>
    </row>
    <row r="3346" spans="1:27" ht="21" customHeight="1" x14ac:dyDescent="0.95">
      <c r="A3346" s="56"/>
      <c r="B3346" s="57"/>
      <c r="C3346" s="57"/>
      <c r="D3346" s="57"/>
      <c r="E3346" s="56"/>
      <c r="F3346" s="57"/>
      <c r="G3346" s="57"/>
      <c r="H3346" s="56"/>
      <c r="I3346" s="56"/>
      <c r="J3346" s="58"/>
      <c r="K3346" s="58"/>
      <c r="L3346" s="13" t="str">
        <f t="shared" si="520"/>
        <v/>
      </c>
      <c r="M3346" s="13" t="str">
        <f t="shared" si="521"/>
        <v/>
      </c>
      <c r="Q3346" t="str">
        <f t="shared" si="522"/>
        <v/>
      </c>
      <c r="R3346" t="str">
        <f t="shared" si="523"/>
        <v/>
      </c>
      <c r="S3346" t="str">
        <f t="shared" si="524"/>
        <v/>
      </c>
      <c r="T3346" t="str">
        <f t="shared" si="525"/>
        <v/>
      </c>
      <c r="U3346" t="str">
        <f t="shared" si="526"/>
        <v/>
      </c>
      <c r="V3346" t="str">
        <f t="shared" si="527"/>
        <v/>
      </c>
      <c r="W3346" t="str">
        <f t="shared" si="528"/>
        <v/>
      </c>
      <c r="X3346">
        <f>IF($T3346="",N($X3345),IF(MATCH($T3346,$T$6:$T$10005,0)=ROW()-5,N($X3345)+1,N($X3345)))</f>
        <v>0</v>
      </c>
      <c r="Z3346" t="str">
        <f t="shared" si="529"/>
        <v/>
      </c>
      <c r="AA3346">
        <f>IF($V3346="",N($AA3345),IF(MATCH($V3346,$V$6:$V$10005,0)=ROW()-5,N($AA3345)+1,N($AA3345)))</f>
        <v>0</v>
      </c>
    </row>
    <row r="3347" spans="1:27" ht="21" customHeight="1" x14ac:dyDescent="0.95">
      <c r="A3347" s="56"/>
      <c r="B3347" s="57"/>
      <c r="C3347" s="57"/>
      <c r="D3347" s="57"/>
      <c r="E3347" s="56"/>
      <c r="F3347" s="57"/>
      <c r="G3347" s="57"/>
      <c r="H3347" s="56"/>
      <c r="I3347" s="56"/>
      <c r="J3347" s="58"/>
      <c r="K3347" s="58"/>
      <c r="L3347" s="13" t="str">
        <f t="shared" si="520"/>
        <v/>
      </c>
      <c r="M3347" s="13" t="str">
        <f t="shared" si="521"/>
        <v/>
      </c>
      <c r="Q3347" t="str">
        <f t="shared" si="522"/>
        <v/>
      </c>
      <c r="R3347" t="str">
        <f t="shared" si="523"/>
        <v/>
      </c>
      <c r="S3347" t="str">
        <f t="shared" si="524"/>
        <v/>
      </c>
      <c r="T3347" t="str">
        <f t="shared" si="525"/>
        <v/>
      </c>
      <c r="U3347" t="str">
        <f t="shared" si="526"/>
        <v/>
      </c>
      <c r="V3347" t="str">
        <f t="shared" si="527"/>
        <v/>
      </c>
      <c r="W3347" t="str">
        <f t="shared" si="528"/>
        <v/>
      </c>
      <c r="X3347">
        <f>IF($T3347="",N($X3346),IF(MATCH($T3347,$T$6:$T$10005,0)=ROW()-5,N($X3346)+1,N($X3346)))</f>
        <v>0</v>
      </c>
      <c r="Z3347" t="str">
        <f t="shared" si="529"/>
        <v/>
      </c>
      <c r="AA3347">
        <f>IF($V3347="",N($AA3346),IF(MATCH($V3347,$V$6:$V$10005,0)=ROW()-5,N($AA3346)+1,N($AA3346)))</f>
        <v>0</v>
      </c>
    </row>
    <row r="3348" spans="1:27" ht="21" customHeight="1" x14ac:dyDescent="0.95">
      <c r="A3348" s="56"/>
      <c r="B3348" s="57"/>
      <c r="C3348" s="57"/>
      <c r="D3348" s="57"/>
      <c r="E3348" s="56"/>
      <c r="F3348" s="57"/>
      <c r="G3348" s="57"/>
      <c r="H3348" s="56"/>
      <c r="I3348" s="56"/>
      <c r="J3348" s="58"/>
      <c r="K3348" s="58"/>
      <c r="L3348" s="13" t="str">
        <f t="shared" si="520"/>
        <v/>
      </c>
      <c r="M3348" s="13" t="str">
        <f t="shared" si="521"/>
        <v/>
      </c>
      <c r="Q3348" t="str">
        <f t="shared" si="522"/>
        <v/>
      </c>
      <c r="R3348" t="str">
        <f t="shared" si="523"/>
        <v/>
      </c>
      <c r="S3348" t="str">
        <f t="shared" si="524"/>
        <v/>
      </c>
      <c r="T3348" t="str">
        <f t="shared" si="525"/>
        <v/>
      </c>
      <c r="U3348" t="str">
        <f t="shared" si="526"/>
        <v/>
      </c>
      <c r="V3348" t="str">
        <f t="shared" si="527"/>
        <v/>
      </c>
      <c r="W3348" t="str">
        <f t="shared" si="528"/>
        <v/>
      </c>
      <c r="X3348">
        <f>IF($T3348="",N($X3347),IF(MATCH($T3348,$T$6:$T$10005,0)=ROW()-5,N($X3347)+1,N($X3347)))</f>
        <v>0</v>
      </c>
      <c r="Z3348" t="str">
        <f t="shared" si="529"/>
        <v/>
      </c>
      <c r="AA3348">
        <f>IF($V3348="",N($AA3347),IF(MATCH($V3348,$V$6:$V$10005,0)=ROW()-5,N($AA3347)+1,N($AA3347)))</f>
        <v>0</v>
      </c>
    </row>
    <row r="3349" spans="1:27" ht="21" customHeight="1" x14ac:dyDescent="0.95">
      <c r="A3349" s="56"/>
      <c r="B3349" s="57"/>
      <c r="C3349" s="57"/>
      <c r="D3349" s="57"/>
      <c r="E3349" s="56"/>
      <c r="F3349" s="57"/>
      <c r="G3349" s="57"/>
      <c r="H3349" s="56"/>
      <c r="I3349" s="56"/>
      <c r="J3349" s="58"/>
      <c r="K3349" s="58"/>
      <c r="L3349" s="13" t="str">
        <f t="shared" si="520"/>
        <v/>
      </c>
      <c r="M3349" s="13" t="str">
        <f t="shared" si="521"/>
        <v/>
      </c>
      <c r="Q3349" t="str">
        <f t="shared" si="522"/>
        <v/>
      </c>
      <c r="R3349" t="str">
        <f t="shared" si="523"/>
        <v/>
      </c>
      <c r="S3349" t="str">
        <f t="shared" si="524"/>
        <v/>
      </c>
      <c r="T3349" t="str">
        <f t="shared" si="525"/>
        <v/>
      </c>
      <c r="U3349" t="str">
        <f t="shared" si="526"/>
        <v/>
      </c>
      <c r="V3349" t="str">
        <f t="shared" si="527"/>
        <v/>
      </c>
      <c r="W3349" t="str">
        <f t="shared" si="528"/>
        <v/>
      </c>
      <c r="X3349">
        <f>IF($T3349="",N($X3348),IF(MATCH($T3349,$T$6:$T$10005,0)=ROW()-5,N($X3348)+1,N($X3348)))</f>
        <v>0</v>
      </c>
      <c r="Z3349" t="str">
        <f t="shared" si="529"/>
        <v/>
      </c>
      <c r="AA3349">
        <f>IF($V3349="",N($AA3348),IF(MATCH($V3349,$V$6:$V$10005,0)=ROW()-5,N($AA3348)+1,N($AA3348)))</f>
        <v>0</v>
      </c>
    </row>
    <row r="3350" spans="1:27" ht="21" customHeight="1" x14ac:dyDescent="0.95">
      <c r="A3350" s="56"/>
      <c r="B3350" s="57"/>
      <c r="C3350" s="57"/>
      <c r="D3350" s="57"/>
      <c r="E3350" s="56"/>
      <c r="F3350" s="57"/>
      <c r="G3350" s="57"/>
      <c r="H3350" s="56"/>
      <c r="I3350" s="56"/>
      <c r="J3350" s="58"/>
      <c r="K3350" s="58"/>
      <c r="L3350" s="13" t="str">
        <f t="shared" si="520"/>
        <v/>
      </c>
      <c r="M3350" s="13" t="str">
        <f t="shared" si="521"/>
        <v/>
      </c>
      <c r="Q3350" t="str">
        <f t="shared" si="522"/>
        <v/>
      </c>
      <c r="R3350" t="str">
        <f t="shared" si="523"/>
        <v/>
      </c>
      <c r="S3350" t="str">
        <f t="shared" si="524"/>
        <v/>
      </c>
      <c r="T3350" t="str">
        <f t="shared" si="525"/>
        <v/>
      </c>
      <c r="U3350" t="str">
        <f t="shared" si="526"/>
        <v/>
      </c>
      <c r="V3350" t="str">
        <f t="shared" si="527"/>
        <v/>
      </c>
      <c r="W3350" t="str">
        <f t="shared" si="528"/>
        <v/>
      </c>
      <c r="X3350">
        <f>IF($T3350="",N($X3349),IF(MATCH($T3350,$T$6:$T$10005,0)=ROW()-5,N($X3349)+1,N($X3349)))</f>
        <v>0</v>
      </c>
      <c r="Z3350" t="str">
        <f t="shared" si="529"/>
        <v/>
      </c>
      <c r="AA3350">
        <f>IF($V3350="",N($AA3349),IF(MATCH($V3350,$V$6:$V$10005,0)=ROW()-5,N($AA3349)+1,N($AA3349)))</f>
        <v>0</v>
      </c>
    </row>
    <row r="3351" spans="1:27" ht="21" customHeight="1" x14ac:dyDescent="0.95">
      <c r="A3351" s="56"/>
      <c r="B3351" s="57"/>
      <c r="C3351" s="57"/>
      <c r="D3351" s="57"/>
      <c r="E3351" s="56"/>
      <c r="F3351" s="57"/>
      <c r="G3351" s="57"/>
      <c r="H3351" s="56"/>
      <c r="I3351" s="56"/>
      <c r="J3351" s="58"/>
      <c r="K3351" s="58"/>
      <c r="L3351" s="13" t="str">
        <f t="shared" si="520"/>
        <v/>
      </c>
      <c r="M3351" s="13" t="str">
        <f t="shared" si="521"/>
        <v/>
      </c>
      <c r="Q3351" t="str">
        <f t="shared" si="522"/>
        <v/>
      </c>
      <c r="R3351" t="str">
        <f t="shared" si="523"/>
        <v/>
      </c>
      <c r="S3351" t="str">
        <f t="shared" si="524"/>
        <v/>
      </c>
      <c r="T3351" t="str">
        <f t="shared" si="525"/>
        <v/>
      </c>
      <c r="U3351" t="str">
        <f t="shared" si="526"/>
        <v/>
      </c>
      <c r="V3351" t="str">
        <f t="shared" si="527"/>
        <v/>
      </c>
      <c r="W3351" t="str">
        <f t="shared" si="528"/>
        <v/>
      </c>
      <c r="X3351">
        <f>IF($T3351="",N($X3350),IF(MATCH($T3351,$T$6:$T$10005,0)=ROW()-5,N($X3350)+1,N($X3350)))</f>
        <v>0</v>
      </c>
      <c r="Z3351" t="str">
        <f t="shared" si="529"/>
        <v/>
      </c>
      <c r="AA3351">
        <f>IF($V3351="",N($AA3350),IF(MATCH($V3351,$V$6:$V$10005,0)=ROW()-5,N($AA3350)+1,N($AA3350)))</f>
        <v>0</v>
      </c>
    </row>
    <row r="3352" spans="1:27" ht="21" customHeight="1" x14ac:dyDescent="0.95">
      <c r="A3352" s="56"/>
      <c r="B3352" s="57"/>
      <c r="C3352" s="57"/>
      <c r="D3352" s="57"/>
      <c r="E3352" s="56"/>
      <c r="F3352" s="57"/>
      <c r="G3352" s="57"/>
      <c r="H3352" s="56"/>
      <c r="I3352" s="56"/>
      <c r="J3352" s="58"/>
      <c r="K3352" s="58"/>
      <c r="L3352" s="13" t="str">
        <f t="shared" si="520"/>
        <v/>
      </c>
      <c r="M3352" s="13" t="str">
        <f t="shared" si="521"/>
        <v/>
      </c>
      <c r="Q3352" t="str">
        <f t="shared" si="522"/>
        <v/>
      </c>
      <c r="R3352" t="str">
        <f t="shared" si="523"/>
        <v/>
      </c>
      <c r="S3352" t="str">
        <f t="shared" si="524"/>
        <v/>
      </c>
      <c r="T3352" t="str">
        <f t="shared" si="525"/>
        <v/>
      </c>
      <c r="U3352" t="str">
        <f t="shared" si="526"/>
        <v/>
      </c>
      <c r="V3352" t="str">
        <f t="shared" si="527"/>
        <v/>
      </c>
      <c r="W3352" t="str">
        <f t="shared" si="528"/>
        <v/>
      </c>
      <c r="X3352">
        <f>IF($T3352="",N($X3351),IF(MATCH($T3352,$T$6:$T$10005,0)=ROW()-5,N($X3351)+1,N($X3351)))</f>
        <v>0</v>
      </c>
      <c r="Z3352" t="str">
        <f t="shared" si="529"/>
        <v/>
      </c>
      <c r="AA3352">
        <f>IF($V3352="",N($AA3351),IF(MATCH($V3352,$V$6:$V$10005,0)=ROW()-5,N($AA3351)+1,N($AA3351)))</f>
        <v>0</v>
      </c>
    </row>
    <row r="3353" spans="1:27" ht="21" customHeight="1" x14ac:dyDescent="0.95">
      <c r="A3353" s="56"/>
      <c r="B3353" s="57"/>
      <c r="C3353" s="57"/>
      <c r="D3353" s="57"/>
      <c r="E3353" s="56"/>
      <c r="F3353" s="57"/>
      <c r="G3353" s="57"/>
      <c r="H3353" s="56"/>
      <c r="I3353" s="56"/>
      <c r="J3353" s="58"/>
      <c r="K3353" s="58"/>
      <c r="L3353" s="13" t="str">
        <f t="shared" si="520"/>
        <v/>
      </c>
      <c r="M3353" s="13" t="str">
        <f t="shared" si="521"/>
        <v/>
      </c>
      <c r="Q3353" t="str">
        <f t="shared" si="522"/>
        <v/>
      </c>
      <c r="R3353" t="str">
        <f t="shared" si="523"/>
        <v/>
      </c>
      <c r="S3353" t="str">
        <f t="shared" si="524"/>
        <v/>
      </c>
      <c r="T3353" t="str">
        <f t="shared" si="525"/>
        <v/>
      </c>
      <c r="U3353" t="str">
        <f t="shared" si="526"/>
        <v/>
      </c>
      <c r="V3353" t="str">
        <f t="shared" si="527"/>
        <v/>
      </c>
      <c r="W3353" t="str">
        <f t="shared" si="528"/>
        <v/>
      </c>
      <c r="X3353">
        <f>IF($T3353="",N($X3352),IF(MATCH($T3353,$T$6:$T$10005,0)=ROW()-5,N($X3352)+1,N($X3352)))</f>
        <v>0</v>
      </c>
      <c r="Z3353" t="str">
        <f t="shared" si="529"/>
        <v/>
      </c>
      <c r="AA3353">
        <f>IF($V3353="",N($AA3352),IF(MATCH($V3353,$V$6:$V$10005,0)=ROW()-5,N($AA3352)+1,N($AA3352)))</f>
        <v>0</v>
      </c>
    </row>
    <row r="3354" spans="1:27" ht="21" customHeight="1" x14ac:dyDescent="0.95">
      <c r="A3354" s="56"/>
      <c r="B3354" s="57"/>
      <c r="C3354" s="57"/>
      <c r="D3354" s="57"/>
      <c r="E3354" s="56"/>
      <c r="F3354" s="57"/>
      <c r="G3354" s="57"/>
      <c r="H3354" s="56"/>
      <c r="I3354" s="56"/>
      <c r="J3354" s="58"/>
      <c r="K3354" s="58"/>
      <c r="L3354" s="13" t="str">
        <f t="shared" si="520"/>
        <v/>
      </c>
      <c r="M3354" s="13" t="str">
        <f t="shared" si="521"/>
        <v/>
      </c>
      <c r="Q3354" t="str">
        <f t="shared" si="522"/>
        <v/>
      </c>
      <c r="R3354" t="str">
        <f t="shared" si="523"/>
        <v/>
      </c>
      <c r="S3354" t="str">
        <f t="shared" si="524"/>
        <v/>
      </c>
      <c r="T3354" t="str">
        <f t="shared" si="525"/>
        <v/>
      </c>
      <c r="U3354" t="str">
        <f t="shared" si="526"/>
        <v/>
      </c>
      <c r="V3354" t="str">
        <f t="shared" si="527"/>
        <v/>
      </c>
      <c r="W3354" t="str">
        <f t="shared" si="528"/>
        <v/>
      </c>
      <c r="X3354">
        <f>IF($T3354="",N($X3353),IF(MATCH($T3354,$T$6:$T$10005,0)=ROW()-5,N($X3353)+1,N($X3353)))</f>
        <v>0</v>
      </c>
      <c r="Z3354" t="str">
        <f t="shared" si="529"/>
        <v/>
      </c>
      <c r="AA3354">
        <f>IF($V3354="",N($AA3353),IF(MATCH($V3354,$V$6:$V$10005,0)=ROW()-5,N($AA3353)+1,N($AA3353)))</f>
        <v>0</v>
      </c>
    </row>
    <row r="3355" spans="1:27" ht="21" customHeight="1" x14ac:dyDescent="0.95">
      <c r="A3355" s="56"/>
      <c r="B3355" s="57"/>
      <c r="C3355" s="57"/>
      <c r="D3355" s="57"/>
      <c r="E3355" s="56"/>
      <c r="F3355" s="57"/>
      <c r="G3355" s="57"/>
      <c r="H3355" s="56"/>
      <c r="I3355" s="56"/>
      <c r="J3355" s="58"/>
      <c r="K3355" s="58"/>
      <c r="L3355" s="13" t="str">
        <f t="shared" si="520"/>
        <v/>
      </c>
      <c r="M3355" s="13" t="str">
        <f t="shared" si="521"/>
        <v/>
      </c>
      <c r="Q3355" t="str">
        <f t="shared" si="522"/>
        <v/>
      </c>
      <c r="R3355" t="str">
        <f t="shared" si="523"/>
        <v/>
      </c>
      <c r="S3355" t="str">
        <f t="shared" si="524"/>
        <v/>
      </c>
      <c r="T3355" t="str">
        <f t="shared" si="525"/>
        <v/>
      </c>
      <c r="U3355" t="str">
        <f t="shared" si="526"/>
        <v/>
      </c>
      <c r="V3355" t="str">
        <f t="shared" si="527"/>
        <v/>
      </c>
      <c r="W3355" t="str">
        <f t="shared" si="528"/>
        <v/>
      </c>
      <c r="X3355">
        <f>IF($T3355="",N($X3354),IF(MATCH($T3355,$T$6:$T$10005,0)=ROW()-5,N($X3354)+1,N($X3354)))</f>
        <v>0</v>
      </c>
      <c r="Z3355" t="str">
        <f t="shared" si="529"/>
        <v/>
      </c>
      <c r="AA3355">
        <f>IF($V3355="",N($AA3354),IF(MATCH($V3355,$V$6:$V$10005,0)=ROW()-5,N($AA3354)+1,N($AA3354)))</f>
        <v>0</v>
      </c>
    </row>
    <row r="3356" spans="1:27" ht="21" customHeight="1" x14ac:dyDescent="0.95">
      <c r="A3356" s="56"/>
      <c r="B3356" s="57"/>
      <c r="C3356" s="57"/>
      <c r="D3356" s="57"/>
      <c r="E3356" s="56"/>
      <c r="F3356" s="57"/>
      <c r="G3356" s="57"/>
      <c r="H3356" s="56"/>
      <c r="I3356" s="56"/>
      <c r="J3356" s="58"/>
      <c r="K3356" s="58"/>
      <c r="L3356" s="13" t="str">
        <f t="shared" si="520"/>
        <v/>
      </c>
      <c r="M3356" s="13" t="str">
        <f t="shared" si="521"/>
        <v/>
      </c>
      <c r="Q3356" t="str">
        <f t="shared" si="522"/>
        <v/>
      </c>
      <c r="R3356" t="str">
        <f t="shared" si="523"/>
        <v/>
      </c>
      <c r="S3356" t="str">
        <f t="shared" si="524"/>
        <v/>
      </c>
      <c r="T3356" t="str">
        <f t="shared" si="525"/>
        <v/>
      </c>
      <c r="U3356" t="str">
        <f t="shared" si="526"/>
        <v/>
      </c>
      <c r="V3356" t="str">
        <f t="shared" si="527"/>
        <v/>
      </c>
      <c r="W3356" t="str">
        <f t="shared" si="528"/>
        <v/>
      </c>
      <c r="X3356">
        <f>IF($T3356="",N($X3355),IF(MATCH($T3356,$T$6:$T$10005,0)=ROW()-5,N($X3355)+1,N($X3355)))</f>
        <v>0</v>
      </c>
      <c r="Z3356" t="str">
        <f t="shared" si="529"/>
        <v/>
      </c>
      <c r="AA3356">
        <f>IF($V3356="",N($AA3355),IF(MATCH($V3356,$V$6:$V$10005,0)=ROW()-5,N($AA3355)+1,N($AA3355)))</f>
        <v>0</v>
      </c>
    </row>
    <row r="3357" spans="1:27" ht="21" customHeight="1" x14ac:dyDescent="0.95">
      <c r="A3357" s="56"/>
      <c r="B3357" s="57"/>
      <c r="C3357" s="57"/>
      <c r="D3357" s="57"/>
      <c r="E3357" s="56"/>
      <c r="F3357" s="57"/>
      <c r="G3357" s="57"/>
      <c r="H3357" s="56"/>
      <c r="I3357" s="56"/>
      <c r="J3357" s="58"/>
      <c r="K3357" s="58"/>
      <c r="L3357" s="13" t="str">
        <f t="shared" si="520"/>
        <v/>
      </c>
      <c r="M3357" s="13" t="str">
        <f t="shared" si="521"/>
        <v/>
      </c>
      <c r="Q3357" t="str">
        <f t="shared" si="522"/>
        <v/>
      </c>
      <c r="R3357" t="str">
        <f t="shared" si="523"/>
        <v/>
      </c>
      <c r="S3357" t="str">
        <f t="shared" si="524"/>
        <v/>
      </c>
      <c r="T3357" t="str">
        <f t="shared" si="525"/>
        <v/>
      </c>
      <c r="U3357" t="str">
        <f t="shared" si="526"/>
        <v/>
      </c>
      <c r="V3357" t="str">
        <f t="shared" si="527"/>
        <v/>
      </c>
      <c r="W3357" t="str">
        <f t="shared" si="528"/>
        <v/>
      </c>
      <c r="X3357">
        <f>IF($T3357="",N($X3356),IF(MATCH($T3357,$T$6:$T$10005,0)=ROW()-5,N($X3356)+1,N($X3356)))</f>
        <v>0</v>
      </c>
      <c r="Z3357" t="str">
        <f t="shared" si="529"/>
        <v/>
      </c>
      <c r="AA3357">
        <f>IF($V3357="",N($AA3356),IF(MATCH($V3357,$V$6:$V$10005,0)=ROW()-5,N($AA3356)+1,N($AA3356)))</f>
        <v>0</v>
      </c>
    </row>
    <row r="3358" spans="1:27" ht="21" customHeight="1" x14ac:dyDescent="0.95">
      <c r="A3358" s="56"/>
      <c r="B3358" s="57"/>
      <c r="C3358" s="57"/>
      <c r="D3358" s="57"/>
      <c r="E3358" s="56"/>
      <c r="F3358" s="57"/>
      <c r="G3358" s="57"/>
      <c r="H3358" s="56"/>
      <c r="I3358" s="56"/>
      <c r="J3358" s="58"/>
      <c r="K3358" s="58"/>
      <c r="L3358" s="13" t="str">
        <f t="shared" si="520"/>
        <v/>
      </c>
      <c r="M3358" s="13" t="str">
        <f t="shared" si="521"/>
        <v/>
      </c>
      <c r="Q3358" t="str">
        <f t="shared" si="522"/>
        <v/>
      </c>
      <c r="R3358" t="str">
        <f t="shared" si="523"/>
        <v/>
      </c>
      <c r="S3358" t="str">
        <f t="shared" si="524"/>
        <v/>
      </c>
      <c r="T3358" t="str">
        <f t="shared" si="525"/>
        <v/>
      </c>
      <c r="U3358" t="str">
        <f t="shared" si="526"/>
        <v/>
      </c>
      <c r="V3358" t="str">
        <f t="shared" si="527"/>
        <v/>
      </c>
      <c r="W3358" t="str">
        <f t="shared" si="528"/>
        <v/>
      </c>
      <c r="X3358">
        <f>IF($T3358="",N($X3357),IF(MATCH($T3358,$T$6:$T$10005,0)=ROW()-5,N($X3357)+1,N($X3357)))</f>
        <v>0</v>
      </c>
      <c r="Z3358" t="str">
        <f t="shared" si="529"/>
        <v/>
      </c>
      <c r="AA3358">
        <f>IF($V3358="",N($AA3357),IF(MATCH($V3358,$V$6:$V$10005,0)=ROW()-5,N($AA3357)+1,N($AA3357)))</f>
        <v>0</v>
      </c>
    </row>
    <row r="3359" spans="1:27" ht="21" customHeight="1" x14ac:dyDescent="0.95">
      <c r="A3359" s="56"/>
      <c r="B3359" s="57"/>
      <c r="C3359" s="57"/>
      <c r="D3359" s="57"/>
      <c r="E3359" s="56"/>
      <c r="F3359" s="57"/>
      <c r="G3359" s="57"/>
      <c r="H3359" s="56"/>
      <c r="I3359" s="56"/>
      <c r="J3359" s="58"/>
      <c r="K3359" s="58"/>
      <c r="L3359" s="13" t="str">
        <f t="shared" si="520"/>
        <v/>
      </c>
      <c r="M3359" s="13" t="str">
        <f t="shared" si="521"/>
        <v/>
      </c>
      <c r="Q3359" t="str">
        <f t="shared" si="522"/>
        <v/>
      </c>
      <c r="R3359" t="str">
        <f t="shared" si="523"/>
        <v/>
      </c>
      <c r="S3359" t="str">
        <f t="shared" si="524"/>
        <v/>
      </c>
      <c r="T3359" t="str">
        <f t="shared" si="525"/>
        <v/>
      </c>
      <c r="U3359" t="str">
        <f t="shared" si="526"/>
        <v/>
      </c>
      <c r="V3359" t="str">
        <f t="shared" si="527"/>
        <v/>
      </c>
      <c r="W3359" t="str">
        <f t="shared" si="528"/>
        <v/>
      </c>
      <c r="X3359">
        <f>IF($T3359="",N($X3358),IF(MATCH($T3359,$T$6:$T$10005,0)=ROW()-5,N($X3358)+1,N($X3358)))</f>
        <v>0</v>
      </c>
      <c r="Z3359" t="str">
        <f t="shared" si="529"/>
        <v/>
      </c>
      <c r="AA3359">
        <f>IF($V3359="",N($AA3358),IF(MATCH($V3359,$V$6:$V$10005,0)=ROW()-5,N($AA3358)+1,N($AA3358)))</f>
        <v>0</v>
      </c>
    </row>
    <row r="3360" spans="1:27" ht="21" customHeight="1" x14ac:dyDescent="0.95">
      <c r="A3360" s="56"/>
      <c r="B3360" s="57"/>
      <c r="C3360" s="57"/>
      <c r="D3360" s="57"/>
      <c r="E3360" s="56"/>
      <c r="F3360" s="57"/>
      <c r="G3360" s="57"/>
      <c r="H3360" s="56"/>
      <c r="I3360" s="56"/>
      <c r="J3360" s="58"/>
      <c r="K3360" s="58"/>
      <c r="L3360" s="13" t="str">
        <f t="shared" si="520"/>
        <v/>
      </c>
      <c r="M3360" s="13" t="str">
        <f t="shared" si="521"/>
        <v/>
      </c>
      <c r="Q3360" t="str">
        <f t="shared" si="522"/>
        <v/>
      </c>
      <c r="R3360" t="str">
        <f t="shared" si="523"/>
        <v/>
      </c>
      <c r="S3360" t="str">
        <f t="shared" si="524"/>
        <v/>
      </c>
      <c r="T3360" t="str">
        <f t="shared" si="525"/>
        <v/>
      </c>
      <c r="U3360" t="str">
        <f t="shared" si="526"/>
        <v/>
      </c>
      <c r="V3360" t="str">
        <f t="shared" si="527"/>
        <v/>
      </c>
      <c r="W3360" t="str">
        <f t="shared" si="528"/>
        <v/>
      </c>
      <c r="X3360">
        <f>IF($T3360="",N($X3359),IF(MATCH($T3360,$T$6:$T$10005,0)=ROW()-5,N($X3359)+1,N($X3359)))</f>
        <v>0</v>
      </c>
      <c r="Z3360" t="str">
        <f t="shared" si="529"/>
        <v/>
      </c>
      <c r="AA3360">
        <f>IF($V3360="",N($AA3359),IF(MATCH($V3360,$V$6:$V$10005,0)=ROW()-5,N($AA3359)+1,N($AA3359)))</f>
        <v>0</v>
      </c>
    </row>
    <row r="3361" spans="1:27" ht="21" customHeight="1" x14ac:dyDescent="0.95">
      <c r="A3361" s="56"/>
      <c r="B3361" s="57"/>
      <c r="C3361" s="57"/>
      <c r="D3361" s="57"/>
      <c r="E3361" s="56"/>
      <c r="F3361" s="57"/>
      <c r="G3361" s="57"/>
      <c r="H3361" s="56"/>
      <c r="I3361" s="56"/>
      <c r="J3361" s="58"/>
      <c r="K3361" s="58"/>
      <c r="L3361" s="13" t="str">
        <f t="shared" si="520"/>
        <v/>
      </c>
      <c r="M3361" s="13" t="str">
        <f t="shared" si="521"/>
        <v/>
      </c>
      <c r="Q3361" t="str">
        <f t="shared" si="522"/>
        <v/>
      </c>
      <c r="R3361" t="str">
        <f t="shared" si="523"/>
        <v/>
      </c>
      <c r="S3361" t="str">
        <f t="shared" si="524"/>
        <v/>
      </c>
      <c r="T3361" t="str">
        <f t="shared" si="525"/>
        <v/>
      </c>
      <c r="U3361" t="str">
        <f t="shared" si="526"/>
        <v/>
      </c>
      <c r="V3361" t="str">
        <f t="shared" si="527"/>
        <v/>
      </c>
      <c r="W3361" t="str">
        <f t="shared" si="528"/>
        <v/>
      </c>
      <c r="X3361">
        <f>IF($T3361="",N($X3360),IF(MATCH($T3361,$T$6:$T$10005,0)=ROW()-5,N($X3360)+1,N($X3360)))</f>
        <v>0</v>
      </c>
      <c r="Z3361" t="str">
        <f t="shared" si="529"/>
        <v/>
      </c>
      <c r="AA3361">
        <f>IF($V3361="",N($AA3360),IF(MATCH($V3361,$V$6:$V$10005,0)=ROW()-5,N($AA3360)+1,N($AA3360)))</f>
        <v>0</v>
      </c>
    </row>
    <row r="3362" spans="1:27" ht="21" customHeight="1" x14ac:dyDescent="0.95">
      <c r="A3362" s="56"/>
      <c r="B3362" s="57"/>
      <c r="C3362" s="57"/>
      <c r="D3362" s="57"/>
      <c r="E3362" s="56"/>
      <c r="F3362" s="57"/>
      <c r="G3362" s="57"/>
      <c r="H3362" s="56"/>
      <c r="I3362" s="56"/>
      <c r="J3362" s="58"/>
      <c r="K3362" s="58"/>
      <c r="L3362" s="13" t="str">
        <f t="shared" si="520"/>
        <v/>
      </c>
      <c r="M3362" s="13" t="str">
        <f t="shared" si="521"/>
        <v/>
      </c>
      <c r="Q3362" t="str">
        <f t="shared" si="522"/>
        <v/>
      </c>
      <c r="R3362" t="str">
        <f t="shared" si="523"/>
        <v/>
      </c>
      <c r="S3362" t="str">
        <f t="shared" si="524"/>
        <v/>
      </c>
      <c r="T3362" t="str">
        <f t="shared" si="525"/>
        <v/>
      </c>
      <c r="U3362" t="str">
        <f t="shared" si="526"/>
        <v/>
      </c>
      <c r="V3362" t="str">
        <f t="shared" si="527"/>
        <v/>
      </c>
      <c r="W3362" t="str">
        <f t="shared" si="528"/>
        <v/>
      </c>
      <c r="X3362">
        <f>IF($T3362="",N($X3361),IF(MATCH($T3362,$T$6:$T$10005,0)=ROW()-5,N($X3361)+1,N($X3361)))</f>
        <v>0</v>
      </c>
      <c r="Z3362" t="str">
        <f t="shared" si="529"/>
        <v/>
      </c>
      <c r="AA3362">
        <f>IF($V3362="",N($AA3361),IF(MATCH($V3362,$V$6:$V$10005,0)=ROW()-5,N($AA3361)+1,N($AA3361)))</f>
        <v>0</v>
      </c>
    </row>
    <row r="3363" spans="1:27" ht="21" customHeight="1" x14ac:dyDescent="0.95">
      <c r="A3363" s="56"/>
      <c r="B3363" s="57"/>
      <c r="C3363" s="57"/>
      <c r="D3363" s="57"/>
      <c r="E3363" s="56"/>
      <c r="F3363" s="57"/>
      <c r="G3363" s="57"/>
      <c r="H3363" s="56"/>
      <c r="I3363" s="56"/>
      <c r="J3363" s="58"/>
      <c r="K3363" s="58"/>
      <c r="L3363" s="13" t="str">
        <f t="shared" si="520"/>
        <v/>
      </c>
      <c r="M3363" s="13" t="str">
        <f t="shared" si="521"/>
        <v/>
      </c>
      <c r="Q3363" t="str">
        <f t="shared" si="522"/>
        <v/>
      </c>
      <c r="R3363" t="str">
        <f t="shared" si="523"/>
        <v/>
      </c>
      <c r="S3363" t="str">
        <f t="shared" si="524"/>
        <v/>
      </c>
      <c r="T3363" t="str">
        <f t="shared" si="525"/>
        <v/>
      </c>
      <c r="U3363" t="str">
        <f t="shared" si="526"/>
        <v/>
      </c>
      <c r="V3363" t="str">
        <f t="shared" si="527"/>
        <v/>
      </c>
      <c r="W3363" t="str">
        <f t="shared" si="528"/>
        <v/>
      </c>
      <c r="X3363">
        <f>IF($T3363="",N($X3362),IF(MATCH($T3363,$T$6:$T$10005,0)=ROW()-5,N($X3362)+1,N($X3362)))</f>
        <v>0</v>
      </c>
      <c r="Z3363" t="str">
        <f t="shared" si="529"/>
        <v/>
      </c>
      <c r="AA3363">
        <f>IF($V3363="",N($AA3362),IF(MATCH($V3363,$V$6:$V$10005,0)=ROW()-5,N($AA3362)+1,N($AA3362)))</f>
        <v>0</v>
      </c>
    </row>
    <row r="3364" spans="1:27" ht="21" customHeight="1" x14ac:dyDescent="0.95">
      <c r="A3364" s="56"/>
      <c r="B3364" s="57"/>
      <c r="C3364" s="57"/>
      <c r="D3364" s="57"/>
      <c r="E3364" s="56"/>
      <c r="F3364" s="57"/>
      <c r="G3364" s="57"/>
      <c r="H3364" s="56"/>
      <c r="I3364" s="56"/>
      <c r="J3364" s="58"/>
      <c r="K3364" s="58"/>
      <c r="L3364" s="13" t="str">
        <f t="shared" si="520"/>
        <v/>
      </c>
      <c r="M3364" s="13" t="str">
        <f t="shared" si="521"/>
        <v/>
      </c>
      <c r="Q3364" t="str">
        <f t="shared" si="522"/>
        <v/>
      </c>
      <c r="R3364" t="str">
        <f t="shared" si="523"/>
        <v/>
      </c>
      <c r="S3364" t="str">
        <f t="shared" si="524"/>
        <v/>
      </c>
      <c r="T3364" t="str">
        <f t="shared" si="525"/>
        <v/>
      </c>
      <c r="U3364" t="str">
        <f t="shared" si="526"/>
        <v/>
      </c>
      <c r="V3364" t="str">
        <f t="shared" si="527"/>
        <v/>
      </c>
      <c r="W3364" t="str">
        <f t="shared" si="528"/>
        <v/>
      </c>
      <c r="X3364">
        <f>IF($T3364="",N($X3363),IF(MATCH($T3364,$T$6:$T$10005,0)=ROW()-5,N($X3363)+1,N($X3363)))</f>
        <v>0</v>
      </c>
      <c r="Z3364" t="str">
        <f t="shared" si="529"/>
        <v/>
      </c>
      <c r="AA3364">
        <f>IF($V3364="",N($AA3363),IF(MATCH($V3364,$V$6:$V$10005,0)=ROW()-5,N($AA3363)+1,N($AA3363)))</f>
        <v>0</v>
      </c>
    </row>
    <row r="3365" spans="1:27" ht="21" customHeight="1" x14ac:dyDescent="0.95">
      <c r="A3365" s="56"/>
      <c r="B3365" s="57"/>
      <c r="C3365" s="57"/>
      <c r="D3365" s="57"/>
      <c r="E3365" s="56"/>
      <c r="F3365" s="57"/>
      <c r="G3365" s="57"/>
      <c r="H3365" s="56"/>
      <c r="I3365" s="56"/>
      <c r="J3365" s="58"/>
      <c r="K3365" s="58"/>
      <c r="L3365" s="13" t="str">
        <f t="shared" si="520"/>
        <v/>
      </c>
      <c r="M3365" s="13" t="str">
        <f t="shared" si="521"/>
        <v/>
      </c>
      <c r="Q3365" t="str">
        <f t="shared" si="522"/>
        <v/>
      </c>
      <c r="R3365" t="str">
        <f t="shared" si="523"/>
        <v/>
      </c>
      <c r="S3365" t="str">
        <f t="shared" si="524"/>
        <v/>
      </c>
      <c r="T3365" t="str">
        <f t="shared" si="525"/>
        <v/>
      </c>
      <c r="U3365" t="str">
        <f t="shared" si="526"/>
        <v/>
      </c>
      <c r="V3365" t="str">
        <f t="shared" si="527"/>
        <v/>
      </c>
      <c r="W3365" t="str">
        <f t="shared" si="528"/>
        <v/>
      </c>
      <c r="X3365">
        <f>IF($T3365="",N($X3364),IF(MATCH($T3365,$T$6:$T$10005,0)=ROW()-5,N($X3364)+1,N($X3364)))</f>
        <v>0</v>
      </c>
      <c r="Z3365" t="str">
        <f t="shared" si="529"/>
        <v/>
      </c>
      <c r="AA3365">
        <f>IF($V3365="",N($AA3364),IF(MATCH($V3365,$V$6:$V$10005,0)=ROW()-5,N($AA3364)+1,N($AA3364)))</f>
        <v>0</v>
      </c>
    </row>
    <row r="3366" spans="1:27" ht="21" customHeight="1" x14ac:dyDescent="0.95">
      <c r="A3366" s="56"/>
      <c r="B3366" s="57"/>
      <c r="C3366" s="57"/>
      <c r="D3366" s="57"/>
      <c r="E3366" s="56"/>
      <c r="F3366" s="57"/>
      <c r="G3366" s="57"/>
      <c r="H3366" s="56"/>
      <c r="I3366" s="56"/>
      <c r="J3366" s="58"/>
      <c r="K3366" s="58"/>
      <c r="L3366" s="13" t="str">
        <f t="shared" si="520"/>
        <v/>
      </c>
      <c r="M3366" s="13" t="str">
        <f t="shared" si="521"/>
        <v/>
      </c>
      <c r="Q3366" t="str">
        <f t="shared" si="522"/>
        <v/>
      </c>
      <c r="R3366" t="str">
        <f t="shared" si="523"/>
        <v/>
      </c>
      <c r="S3366" t="str">
        <f t="shared" si="524"/>
        <v/>
      </c>
      <c r="T3366" t="str">
        <f t="shared" si="525"/>
        <v/>
      </c>
      <c r="U3366" t="str">
        <f t="shared" si="526"/>
        <v/>
      </c>
      <c r="V3366" t="str">
        <f t="shared" si="527"/>
        <v/>
      </c>
      <c r="W3366" t="str">
        <f t="shared" si="528"/>
        <v/>
      </c>
      <c r="X3366">
        <f>IF($T3366="",N($X3365),IF(MATCH($T3366,$T$6:$T$10005,0)=ROW()-5,N($X3365)+1,N($X3365)))</f>
        <v>0</v>
      </c>
      <c r="Z3366" t="str">
        <f t="shared" si="529"/>
        <v/>
      </c>
      <c r="AA3366">
        <f>IF($V3366="",N($AA3365),IF(MATCH($V3366,$V$6:$V$10005,0)=ROW()-5,N($AA3365)+1,N($AA3365)))</f>
        <v>0</v>
      </c>
    </row>
    <row r="3367" spans="1:27" ht="21" customHeight="1" x14ac:dyDescent="0.95">
      <c r="A3367" s="56"/>
      <c r="B3367" s="57"/>
      <c r="C3367" s="57"/>
      <c r="D3367" s="57"/>
      <c r="E3367" s="56"/>
      <c r="F3367" s="57"/>
      <c r="G3367" s="57"/>
      <c r="H3367" s="56"/>
      <c r="I3367" s="56"/>
      <c r="J3367" s="58"/>
      <c r="K3367" s="58"/>
      <c r="L3367" s="13" t="str">
        <f t="shared" si="520"/>
        <v/>
      </c>
      <c r="M3367" s="13" t="str">
        <f t="shared" si="521"/>
        <v/>
      </c>
      <c r="Q3367" t="str">
        <f t="shared" si="522"/>
        <v/>
      </c>
      <c r="R3367" t="str">
        <f t="shared" si="523"/>
        <v/>
      </c>
      <c r="S3367" t="str">
        <f t="shared" si="524"/>
        <v/>
      </c>
      <c r="T3367" t="str">
        <f t="shared" si="525"/>
        <v/>
      </c>
      <c r="U3367" t="str">
        <f t="shared" si="526"/>
        <v/>
      </c>
      <c r="V3367" t="str">
        <f t="shared" si="527"/>
        <v/>
      </c>
      <c r="W3367" t="str">
        <f t="shared" si="528"/>
        <v/>
      </c>
      <c r="X3367">
        <f>IF($T3367="",N($X3366),IF(MATCH($T3367,$T$6:$T$10005,0)=ROW()-5,N($X3366)+1,N($X3366)))</f>
        <v>0</v>
      </c>
      <c r="Z3367" t="str">
        <f t="shared" si="529"/>
        <v/>
      </c>
      <c r="AA3367">
        <f>IF($V3367="",N($AA3366),IF(MATCH($V3367,$V$6:$V$10005,0)=ROW()-5,N($AA3366)+1,N($AA3366)))</f>
        <v>0</v>
      </c>
    </row>
    <row r="3368" spans="1:27" ht="21" customHeight="1" x14ac:dyDescent="0.95">
      <c r="A3368" s="56"/>
      <c r="B3368" s="57"/>
      <c r="C3368" s="57"/>
      <c r="D3368" s="57"/>
      <c r="E3368" s="56"/>
      <c r="F3368" s="57"/>
      <c r="G3368" s="57"/>
      <c r="H3368" s="56"/>
      <c r="I3368" s="56"/>
      <c r="J3368" s="58"/>
      <c r="K3368" s="58"/>
      <c r="L3368" s="13" t="str">
        <f t="shared" si="520"/>
        <v/>
      </c>
      <c r="M3368" s="13" t="str">
        <f t="shared" si="521"/>
        <v/>
      </c>
      <c r="Q3368" t="str">
        <f t="shared" si="522"/>
        <v/>
      </c>
      <c r="R3368" t="str">
        <f t="shared" si="523"/>
        <v/>
      </c>
      <c r="S3368" t="str">
        <f t="shared" si="524"/>
        <v/>
      </c>
      <c r="T3368" t="str">
        <f t="shared" si="525"/>
        <v/>
      </c>
      <c r="U3368" t="str">
        <f t="shared" si="526"/>
        <v/>
      </c>
      <c r="V3368" t="str">
        <f t="shared" si="527"/>
        <v/>
      </c>
      <c r="W3368" t="str">
        <f t="shared" si="528"/>
        <v/>
      </c>
      <c r="X3368">
        <f>IF($T3368="",N($X3367),IF(MATCH($T3368,$T$6:$T$10005,0)=ROW()-5,N($X3367)+1,N($X3367)))</f>
        <v>0</v>
      </c>
      <c r="Z3368" t="str">
        <f t="shared" si="529"/>
        <v/>
      </c>
      <c r="AA3368">
        <f>IF($V3368="",N($AA3367),IF(MATCH($V3368,$V$6:$V$10005,0)=ROW()-5,N($AA3367)+1,N($AA3367)))</f>
        <v>0</v>
      </c>
    </row>
    <row r="3369" spans="1:27" ht="21" customHeight="1" x14ac:dyDescent="0.95">
      <c r="A3369" s="56"/>
      <c r="B3369" s="57"/>
      <c r="C3369" s="57"/>
      <c r="D3369" s="57"/>
      <c r="E3369" s="56"/>
      <c r="F3369" s="57"/>
      <c r="G3369" s="57"/>
      <c r="H3369" s="56"/>
      <c r="I3369" s="56"/>
      <c r="J3369" s="58"/>
      <c r="K3369" s="58"/>
      <c r="L3369" s="13" t="str">
        <f t="shared" si="520"/>
        <v/>
      </c>
      <c r="M3369" s="13" t="str">
        <f t="shared" si="521"/>
        <v/>
      </c>
      <c r="Q3369" t="str">
        <f t="shared" si="522"/>
        <v/>
      </c>
      <c r="R3369" t="str">
        <f t="shared" si="523"/>
        <v/>
      </c>
      <c r="S3369" t="str">
        <f t="shared" si="524"/>
        <v/>
      </c>
      <c r="T3369" t="str">
        <f t="shared" si="525"/>
        <v/>
      </c>
      <c r="U3369" t="str">
        <f t="shared" si="526"/>
        <v/>
      </c>
      <c r="V3369" t="str">
        <f t="shared" si="527"/>
        <v/>
      </c>
      <c r="W3369" t="str">
        <f t="shared" si="528"/>
        <v/>
      </c>
      <c r="X3369">
        <f>IF($T3369="",N($X3368),IF(MATCH($T3369,$T$6:$T$10005,0)=ROW()-5,N($X3368)+1,N($X3368)))</f>
        <v>0</v>
      </c>
      <c r="Z3369" t="str">
        <f t="shared" si="529"/>
        <v/>
      </c>
      <c r="AA3369">
        <f>IF($V3369="",N($AA3368),IF(MATCH($V3369,$V$6:$V$10005,0)=ROW()-5,N($AA3368)+1,N($AA3368)))</f>
        <v>0</v>
      </c>
    </row>
    <row r="3370" spans="1:27" ht="21" customHeight="1" x14ac:dyDescent="0.95">
      <c r="A3370" s="56"/>
      <c r="B3370" s="57"/>
      <c r="C3370" s="57"/>
      <c r="D3370" s="57"/>
      <c r="E3370" s="56"/>
      <c r="F3370" s="57"/>
      <c r="G3370" s="57"/>
      <c r="H3370" s="56"/>
      <c r="I3370" s="56"/>
      <c r="J3370" s="58"/>
      <c r="K3370" s="58"/>
      <c r="L3370" s="13" t="str">
        <f t="shared" si="520"/>
        <v/>
      </c>
      <c r="M3370" s="13" t="str">
        <f t="shared" si="521"/>
        <v/>
      </c>
      <c r="Q3370" t="str">
        <f t="shared" si="522"/>
        <v/>
      </c>
      <c r="R3370" t="str">
        <f t="shared" si="523"/>
        <v/>
      </c>
      <c r="S3370" t="str">
        <f t="shared" si="524"/>
        <v/>
      </c>
      <c r="T3370" t="str">
        <f t="shared" si="525"/>
        <v/>
      </c>
      <c r="U3370" t="str">
        <f t="shared" si="526"/>
        <v/>
      </c>
      <c r="V3370" t="str">
        <f t="shared" si="527"/>
        <v/>
      </c>
      <c r="W3370" t="str">
        <f t="shared" si="528"/>
        <v/>
      </c>
      <c r="X3370">
        <f>IF($T3370="",N($X3369),IF(MATCH($T3370,$T$6:$T$10005,0)=ROW()-5,N($X3369)+1,N($X3369)))</f>
        <v>0</v>
      </c>
      <c r="Z3370" t="str">
        <f t="shared" si="529"/>
        <v/>
      </c>
      <c r="AA3370">
        <f>IF($V3370="",N($AA3369),IF(MATCH($V3370,$V$6:$V$10005,0)=ROW()-5,N($AA3369)+1,N($AA3369)))</f>
        <v>0</v>
      </c>
    </row>
    <row r="3371" spans="1:27" ht="21" customHeight="1" x14ac:dyDescent="0.95">
      <c r="A3371" s="56"/>
      <c r="B3371" s="57"/>
      <c r="C3371" s="57"/>
      <c r="D3371" s="57"/>
      <c r="E3371" s="56"/>
      <c r="F3371" s="57"/>
      <c r="G3371" s="57"/>
      <c r="H3371" s="56"/>
      <c r="I3371" s="56"/>
      <c r="J3371" s="58"/>
      <c r="K3371" s="58"/>
      <c r="L3371" s="13" t="str">
        <f t="shared" si="520"/>
        <v/>
      </c>
      <c r="M3371" s="13" t="str">
        <f t="shared" si="521"/>
        <v/>
      </c>
      <c r="Q3371" t="str">
        <f t="shared" si="522"/>
        <v/>
      </c>
      <c r="R3371" t="str">
        <f t="shared" si="523"/>
        <v/>
      </c>
      <c r="S3371" t="str">
        <f t="shared" si="524"/>
        <v/>
      </c>
      <c r="T3371" t="str">
        <f t="shared" si="525"/>
        <v/>
      </c>
      <c r="U3371" t="str">
        <f t="shared" si="526"/>
        <v/>
      </c>
      <c r="V3371" t="str">
        <f t="shared" si="527"/>
        <v/>
      </c>
      <c r="W3371" t="str">
        <f t="shared" si="528"/>
        <v/>
      </c>
      <c r="X3371">
        <f>IF($T3371="",N($X3370),IF(MATCH($T3371,$T$6:$T$10005,0)=ROW()-5,N($X3370)+1,N($X3370)))</f>
        <v>0</v>
      </c>
      <c r="Z3371" t="str">
        <f t="shared" si="529"/>
        <v/>
      </c>
      <c r="AA3371">
        <f>IF($V3371="",N($AA3370),IF(MATCH($V3371,$V$6:$V$10005,0)=ROW()-5,N($AA3370)+1,N($AA3370)))</f>
        <v>0</v>
      </c>
    </row>
    <row r="3372" spans="1:27" ht="21" customHeight="1" x14ac:dyDescent="0.95">
      <c r="A3372" s="56"/>
      <c r="B3372" s="57"/>
      <c r="C3372" s="57"/>
      <c r="D3372" s="57"/>
      <c r="E3372" s="56"/>
      <c r="F3372" s="57"/>
      <c r="G3372" s="57"/>
      <c r="H3372" s="56"/>
      <c r="I3372" s="56"/>
      <c r="J3372" s="58"/>
      <c r="K3372" s="58"/>
      <c r="L3372" s="13" t="str">
        <f t="shared" si="520"/>
        <v/>
      </c>
      <c r="M3372" s="13" t="str">
        <f t="shared" si="521"/>
        <v/>
      </c>
      <c r="Q3372" t="str">
        <f t="shared" si="522"/>
        <v/>
      </c>
      <c r="R3372" t="str">
        <f t="shared" si="523"/>
        <v/>
      </c>
      <c r="S3372" t="str">
        <f t="shared" si="524"/>
        <v/>
      </c>
      <c r="T3372" t="str">
        <f t="shared" si="525"/>
        <v/>
      </c>
      <c r="U3372" t="str">
        <f t="shared" si="526"/>
        <v/>
      </c>
      <c r="V3372" t="str">
        <f t="shared" si="527"/>
        <v/>
      </c>
      <c r="W3372" t="str">
        <f t="shared" si="528"/>
        <v/>
      </c>
      <c r="X3372">
        <f>IF($T3372="",N($X3371),IF(MATCH($T3372,$T$6:$T$10005,0)=ROW()-5,N($X3371)+1,N($X3371)))</f>
        <v>0</v>
      </c>
      <c r="Z3372" t="str">
        <f t="shared" si="529"/>
        <v/>
      </c>
      <c r="AA3372">
        <f>IF($V3372="",N($AA3371),IF(MATCH($V3372,$V$6:$V$10005,0)=ROW()-5,N($AA3371)+1,N($AA3371)))</f>
        <v>0</v>
      </c>
    </row>
    <row r="3373" spans="1:27" ht="21" customHeight="1" x14ac:dyDescent="0.95">
      <c r="A3373" s="56"/>
      <c r="B3373" s="57"/>
      <c r="C3373" s="57"/>
      <c r="D3373" s="57"/>
      <c r="E3373" s="56"/>
      <c r="F3373" s="57"/>
      <c r="G3373" s="57"/>
      <c r="H3373" s="56"/>
      <c r="I3373" s="56"/>
      <c r="J3373" s="58"/>
      <c r="K3373" s="58"/>
      <c r="L3373" s="13" t="str">
        <f t="shared" si="520"/>
        <v/>
      </c>
      <c r="M3373" s="13" t="str">
        <f t="shared" si="521"/>
        <v/>
      </c>
      <c r="Q3373" t="str">
        <f t="shared" si="522"/>
        <v/>
      </c>
      <c r="R3373" t="str">
        <f t="shared" si="523"/>
        <v/>
      </c>
      <c r="S3373" t="str">
        <f t="shared" si="524"/>
        <v/>
      </c>
      <c r="T3373" t="str">
        <f t="shared" si="525"/>
        <v/>
      </c>
      <c r="U3373" t="str">
        <f t="shared" si="526"/>
        <v/>
      </c>
      <c r="V3373" t="str">
        <f t="shared" si="527"/>
        <v/>
      </c>
      <c r="W3373" t="str">
        <f t="shared" si="528"/>
        <v/>
      </c>
      <c r="X3373">
        <f>IF($T3373="",N($X3372),IF(MATCH($T3373,$T$6:$T$10005,0)=ROW()-5,N($X3372)+1,N($X3372)))</f>
        <v>0</v>
      </c>
      <c r="Z3373" t="str">
        <f t="shared" si="529"/>
        <v/>
      </c>
      <c r="AA3373">
        <f>IF($V3373="",N($AA3372),IF(MATCH($V3373,$V$6:$V$10005,0)=ROW()-5,N($AA3372)+1,N($AA3372)))</f>
        <v>0</v>
      </c>
    </row>
    <row r="3374" spans="1:27" ht="21" customHeight="1" x14ac:dyDescent="0.95">
      <c r="A3374" s="56"/>
      <c r="B3374" s="57"/>
      <c r="C3374" s="57"/>
      <c r="D3374" s="57"/>
      <c r="E3374" s="56"/>
      <c r="F3374" s="57"/>
      <c r="G3374" s="57"/>
      <c r="H3374" s="56"/>
      <c r="I3374" s="56"/>
      <c r="J3374" s="58"/>
      <c r="K3374" s="58"/>
      <c r="L3374" s="13" t="str">
        <f t="shared" si="520"/>
        <v/>
      </c>
      <c r="M3374" s="13" t="str">
        <f t="shared" si="521"/>
        <v/>
      </c>
      <c r="Q3374" t="str">
        <f t="shared" si="522"/>
        <v/>
      </c>
      <c r="R3374" t="str">
        <f t="shared" si="523"/>
        <v/>
      </c>
      <c r="S3374" t="str">
        <f t="shared" si="524"/>
        <v/>
      </c>
      <c r="T3374" t="str">
        <f t="shared" si="525"/>
        <v/>
      </c>
      <c r="U3374" t="str">
        <f t="shared" si="526"/>
        <v/>
      </c>
      <c r="V3374" t="str">
        <f t="shared" si="527"/>
        <v/>
      </c>
      <c r="W3374" t="str">
        <f t="shared" si="528"/>
        <v/>
      </c>
      <c r="X3374">
        <f>IF($T3374="",N($X3373),IF(MATCH($T3374,$T$6:$T$10005,0)=ROW()-5,N($X3373)+1,N($X3373)))</f>
        <v>0</v>
      </c>
      <c r="Z3374" t="str">
        <f t="shared" si="529"/>
        <v/>
      </c>
      <c r="AA3374">
        <f>IF($V3374="",N($AA3373),IF(MATCH($V3374,$V$6:$V$10005,0)=ROW()-5,N($AA3373)+1,N($AA3373)))</f>
        <v>0</v>
      </c>
    </row>
    <row r="3375" spans="1:27" ht="21" customHeight="1" x14ac:dyDescent="0.95">
      <c r="A3375" s="56"/>
      <c r="B3375" s="57"/>
      <c r="C3375" s="57"/>
      <c r="D3375" s="57"/>
      <c r="E3375" s="56"/>
      <c r="F3375" s="57"/>
      <c r="G3375" s="57"/>
      <c r="H3375" s="56"/>
      <c r="I3375" s="56"/>
      <c r="J3375" s="58"/>
      <c r="K3375" s="58"/>
      <c r="L3375" s="13" t="str">
        <f t="shared" si="520"/>
        <v/>
      </c>
      <c r="M3375" s="13" t="str">
        <f t="shared" si="521"/>
        <v/>
      </c>
      <c r="Q3375" t="str">
        <f t="shared" si="522"/>
        <v/>
      </c>
      <c r="R3375" t="str">
        <f t="shared" si="523"/>
        <v/>
      </c>
      <c r="S3375" t="str">
        <f t="shared" si="524"/>
        <v/>
      </c>
      <c r="T3375" t="str">
        <f t="shared" si="525"/>
        <v/>
      </c>
      <c r="U3375" t="str">
        <f t="shared" si="526"/>
        <v/>
      </c>
      <c r="V3375" t="str">
        <f t="shared" si="527"/>
        <v/>
      </c>
      <c r="W3375" t="str">
        <f t="shared" si="528"/>
        <v/>
      </c>
      <c r="X3375">
        <f>IF($T3375="",N($X3374),IF(MATCH($T3375,$T$6:$T$10005,0)=ROW()-5,N($X3374)+1,N($X3374)))</f>
        <v>0</v>
      </c>
      <c r="Z3375" t="str">
        <f t="shared" si="529"/>
        <v/>
      </c>
      <c r="AA3375">
        <f>IF($V3375="",N($AA3374),IF(MATCH($V3375,$V$6:$V$10005,0)=ROW()-5,N($AA3374)+1,N($AA3374)))</f>
        <v>0</v>
      </c>
    </row>
    <row r="3376" spans="1:27" ht="21" customHeight="1" x14ac:dyDescent="0.95">
      <c r="A3376" s="56"/>
      <c r="B3376" s="57"/>
      <c r="C3376" s="57"/>
      <c r="D3376" s="57"/>
      <c r="E3376" s="56"/>
      <c r="F3376" s="57"/>
      <c r="G3376" s="57"/>
      <c r="H3376" s="56"/>
      <c r="I3376" s="56"/>
      <c r="J3376" s="58"/>
      <c r="K3376" s="58"/>
      <c r="L3376" s="13" t="str">
        <f t="shared" si="520"/>
        <v/>
      </c>
      <c r="M3376" s="13" t="str">
        <f t="shared" si="521"/>
        <v/>
      </c>
      <c r="Q3376" t="str">
        <f t="shared" si="522"/>
        <v/>
      </c>
      <c r="R3376" t="str">
        <f t="shared" si="523"/>
        <v/>
      </c>
      <c r="S3376" t="str">
        <f t="shared" si="524"/>
        <v/>
      </c>
      <c r="T3376" t="str">
        <f t="shared" si="525"/>
        <v/>
      </c>
      <c r="U3376" t="str">
        <f t="shared" si="526"/>
        <v/>
      </c>
      <c r="V3376" t="str">
        <f t="shared" si="527"/>
        <v/>
      </c>
      <c r="W3376" t="str">
        <f t="shared" si="528"/>
        <v/>
      </c>
      <c r="X3376">
        <f>IF($T3376="",N($X3375),IF(MATCH($T3376,$T$6:$T$10005,0)=ROW()-5,N($X3375)+1,N($X3375)))</f>
        <v>0</v>
      </c>
      <c r="Z3376" t="str">
        <f t="shared" si="529"/>
        <v/>
      </c>
      <c r="AA3376">
        <f>IF($V3376="",N($AA3375),IF(MATCH($V3376,$V$6:$V$10005,0)=ROW()-5,N($AA3375)+1,N($AA3375)))</f>
        <v>0</v>
      </c>
    </row>
    <row r="3377" spans="1:27" ht="21" customHeight="1" x14ac:dyDescent="0.95">
      <c r="A3377" s="56"/>
      <c r="B3377" s="57"/>
      <c r="C3377" s="57"/>
      <c r="D3377" s="57"/>
      <c r="E3377" s="56"/>
      <c r="F3377" s="57"/>
      <c r="G3377" s="57"/>
      <c r="H3377" s="56"/>
      <c r="I3377" s="56"/>
      <c r="J3377" s="58"/>
      <c r="K3377" s="58"/>
      <c r="L3377" s="13" t="str">
        <f t="shared" si="520"/>
        <v/>
      </c>
      <c r="M3377" s="13" t="str">
        <f t="shared" si="521"/>
        <v/>
      </c>
      <c r="Q3377" t="str">
        <f t="shared" si="522"/>
        <v/>
      </c>
      <c r="R3377" t="str">
        <f t="shared" si="523"/>
        <v/>
      </c>
      <c r="S3377" t="str">
        <f t="shared" si="524"/>
        <v/>
      </c>
      <c r="T3377" t="str">
        <f t="shared" si="525"/>
        <v/>
      </c>
      <c r="U3377" t="str">
        <f t="shared" si="526"/>
        <v/>
      </c>
      <c r="V3377" t="str">
        <f t="shared" si="527"/>
        <v/>
      </c>
      <c r="W3377" t="str">
        <f t="shared" si="528"/>
        <v/>
      </c>
      <c r="X3377">
        <f>IF($T3377="",N($X3376),IF(MATCH($T3377,$T$6:$T$10005,0)=ROW()-5,N($X3376)+1,N($X3376)))</f>
        <v>0</v>
      </c>
      <c r="Z3377" t="str">
        <f t="shared" si="529"/>
        <v/>
      </c>
      <c r="AA3377">
        <f>IF($V3377="",N($AA3376),IF(MATCH($V3377,$V$6:$V$10005,0)=ROW()-5,N($AA3376)+1,N($AA3376)))</f>
        <v>0</v>
      </c>
    </row>
    <row r="3378" spans="1:27" ht="21" customHeight="1" x14ac:dyDescent="0.95">
      <c r="A3378" s="56"/>
      <c r="B3378" s="57"/>
      <c r="C3378" s="57"/>
      <c r="D3378" s="57"/>
      <c r="E3378" s="56"/>
      <c r="F3378" s="57"/>
      <c r="G3378" s="57"/>
      <c r="H3378" s="56"/>
      <c r="I3378" s="56"/>
      <c r="J3378" s="58"/>
      <c r="K3378" s="58"/>
      <c r="L3378" s="13" t="str">
        <f t="shared" si="520"/>
        <v/>
      </c>
      <c r="M3378" s="13" t="str">
        <f t="shared" si="521"/>
        <v/>
      </c>
      <c r="Q3378" t="str">
        <f t="shared" si="522"/>
        <v/>
      </c>
      <c r="R3378" t="str">
        <f t="shared" si="523"/>
        <v/>
      </c>
      <c r="S3378" t="str">
        <f t="shared" si="524"/>
        <v/>
      </c>
      <c r="T3378" t="str">
        <f t="shared" si="525"/>
        <v/>
      </c>
      <c r="U3378" t="str">
        <f t="shared" si="526"/>
        <v/>
      </c>
      <c r="V3378" t="str">
        <f t="shared" si="527"/>
        <v/>
      </c>
      <c r="W3378" t="str">
        <f t="shared" si="528"/>
        <v/>
      </c>
      <c r="X3378">
        <f>IF($T3378="",N($X3377),IF(MATCH($T3378,$T$6:$T$10005,0)=ROW()-5,N($X3377)+1,N($X3377)))</f>
        <v>0</v>
      </c>
      <c r="Z3378" t="str">
        <f t="shared" si="529"/>
        <v/>
      </c>
      <c r="AA3378">
        <f>IF($V3378="",N($AA3377),IF(MATCH($V3378,$V$6:$V$10005,0)=ROW()-5,N($AA3377)+1,N($AA3377)))</f>
        <v>0</v>
      </c>
    </row>
    <row r="3379" spans="1:27" ht="21" customHeight="1" x14ac:dyDescent="0.95">
      <c r="A3379" s="56"/>
      <c r="B3379" s="57"/>
      <c r="C3379" s="57"/>
      <c r="D3379" s="57"/>
      <c r="E3379" s="56"/>
      <c r="F3379" s="57"/>
      <c r="G3379" s="57"/>
      <c r="H3379" s="56"/>
      <c r="I3379" s="56"/>
      <c r="J3379" s="58"/>
      <c r="K3379" s="58"/>
      <c r="L3379" s="13" t="str">
        <f t="shared" si="520"/>
        <v/>
      </c>
      <c r="M3379" s="13" t="str">
        <f t="shared" si="521"/>
        <v/>
      </c>
      <c r="Q3379" t="str">
        <f t="shared" si="522"/>
        <v/>
      </c>
      <c r="R3379" t="str">
        <f t="shared" si="523"/>
        <v/>
      </c>
      <c r="S3379" t="str">
        <f t="shared" si="524"/>
        <v/>
      </c>
      <c r="T3379" t="str">
        <f t="shared" si="525"/>
        <v/>
      </c>
      <c r="U3379" t="str">
        <f t="shared" si="526"/>
        <v/>
      </c>
      <c r="V3379" t="str">
        <f t="shared" si="527"/>
        <v/>
      </c>
      <c r="W3379" t="str">
        <f t="shared" si="528"/>
        <v/>
      </c>
      <c r="X3379">
        <f>IF($T3379="",N($X3378),IF(MATCH($T3379,$T$6:$T$10005,0)=ROW()-5,N($X3378)+1,N($X3378)))</f>
        <v>0</v>
      </c>
      <c r="Z3379" t="str">
        <f t="shared" si="529"/>
        <v/>
      </c>
      <c r="AA3379">
        <f>IF($V3379="",N($AA3378),IF(MATCH($V3379,$V$6:$V$10005,0)=ROW()-5,N($AA3378)+1,N($AA3378)))</f>
        <v>0</v>
      </c>
    </row>
    <row r="3380" spans="1:27" ht="21" customHeight="1" x14ac:dyDescent="0.95">
      <c r="A3380" s="56"/>
      <c r="B3380" s="57"/>
      <c r="C3380" s="57"/>
      <c r="D3380" s="57"/>
      <c r="E3380" s="56"/>
      <c r="F3380" s="57"/>
      <c r="G3380" s="57"/>
      <c r="H3380" s="56"/>
      <c r="I3380" s="56"/>
      <c r="J3380" s="58"/>
      <c r="K3380" s="58"/>
      <c r="L3380" s="13" t="str">
        <f t="shared" si="520"/>
        <v/>
      </c>
      <c r="M3380" s="13" t="str">
        <f t="shared" si="521"/>
        <v/>
      </c>
      <c r="Q3380" t="str">
        <f t="shared" si="522"/>
        <v/>
      </c>
      <c r="R3380" t="str">
        <f t="shared" si="523"/>
        <v/>
      </c>
      <c r="S3380" t="str">
        <f t="shared" si="524"/>
        <v/>
      </c>
      <c r="T3380" t="str">
        <f t="shared" si="525"/>
        <v/>
      </c>
      <c r="U3380" t="str">
        <f t="shared" si="526"/>
        <v/>
      </c>
      <c r="V3380" t="str">
        <f t="shared" si="527"/>
        <v/>
      </c>
      <c r="W3380" t="str">
        <f t="shared" si="528"/>
        <v/>
      </c>
      <c r="X3380">
        <f>IF($T3380="",N($X3379),IF(MATCH($T3380,$T$6:$T$10005,0)=ROW()-5,N($X3379)+1,N($X3379)))</f>
        <v>0</v>
      </c>
      <c r="Z3380" t="str">
        <f t="shared" si="529"/>
        <v/>
      </c>
      <c r="AA3380">
        <f>IF($V3380="",N($AA3379),IF(MATCH($V3380,$V$6:$V$10005,0)=ROW()-5,N($AA3379)+1,N($AA3379)))</f>
        <v>0</v>
      </c>
    </row>
    <row r="3381" spans="1:27" ht="21" customHeight="1" x14ac:dyDescent="0.95">
      <c r="A3381" s="56"/>
      <c r="B3381" s="57"/>
      <c r="C3381" s="57"/>
      <c r="D3381" s="57"/>
      <c r="E3381" s="56"/>
      <c r="F3381" s="57"/>
      <c r="G3381" s="57"/>
      <c r="H3381" s="56"/>
      <c r="I3381" s="56"/>
      <c r="J3381" s="58"/>
      <c r="K3381" s="58"/>
      <c r="L3381" s="13" t="str">
        <f t="shared" si="520"/>
        <v/>
      </c>
      <c r="M3381" s="13" t="str">
        <f t="shared" si="521"/>
        <v/>
      </c>
      <c r="Q3381" t="str">
        <f t="shared" si="522"/>
        <v/>
      </c>
      <c r="R3381" t="str">
        <f t="shared" si="523"/>
        <v/>
      </c>
      <c r="S3381" t="str">
        <f t="shared" si="524"/>
        <v/>
      </c>
      <c r="T3381" t="str">
        <f t="shared" si="525"/>
        <v/>
      </c>
      <c r="U3381" t="str">
        <f t="shared" si="526"/>
        <v/>
      </c>
      <c r="V3381" t="str">
        <f t="shared" si="527"/>
        <v/>
      </c>
      <c r="W3381" t="str">
        <f t="shared" si="528"/>
        <v/>
      </c>
      <c r="X3381">
        <f>IF($T3381="",N($X3380),IF(MATCH($T3381,$T$6:$T$10005,0)=ROW()-5,N($X3380)+1,N($X3380)))</f>
        <v>0</v>
      </c>
      <c r="Z3381" t="str">
        <f t="shared" si="529"/>
        <v/>
      </c>
      <c r="AA3381">
        <f>IF($V3381="",N($AA3380),IF(MATCH($V3381,$V$6:$V$10005,0)=ROW()-5,N($AA3380)+1,N($AA3380)))</f>
        <v>0</v>
      </c>
    </row>
    <row r="3382" spans="1:27" ht="21" customHeight="1" x14ac:dyDescent="0.95">
      <c r="A3382" s="56"/>
      <c r="B3382" s="57"/>
      <c r="C3382" s="57"/>
      <c r="D3382" s="57"/>
      <c r="E3382" s="56"/>
      <c r="F3382" s="57"/>
      <c r="G3382" s="57"/>
      <c r="H3382" s="56"/>
      <c r="I3382" s="56"/>
      <c r="J3382" s="58"/>
      <c r="K3382" s="58"/>
      <c r="L3382" s="13" t="str">
        <f t="shared" si="520"/>
        <v/>
      </c>
      <c r="M3382" s="13" t="str">
        <f t="shared" si="521"/>
        <v/>
      </c>
      <c r="Q3382" t="str">
        <f t="shared" si="522"/>
        <v/>
      </c>
      <c r="R3382" t="str">
        <f t="shared" si="523"/>
        <v/>
      </c>
      <c r="S3382" t="str">
        <f t="shared" si="524"/>
        <v/>
      </c>
      <c r="T3382" t="str">
        <f t="shared" si="525"/>
        <v/>
      </c>
      <c r="U3382" t="str">
        <f t="shared" si="526"/>
        <v/>
      </c>
      <c r="V3382" t="str">
        <f t="shared" si="527"/>
        <v/>
      </c>
      <c r="W3382" t="str">
        <f t="shared" si="528"/>
        <v/>
      </c>
      <c r="X3382">
        <f>IF($T3382="",N($X3381),IF(MATCH($T3382,$T$6:$T$10005,0)=ROW()-5,N($X3381)+1,N($X3381)))</f>
        <v>0</v>
      </c>
      <c r="Z3382" t="str">
        <f t="shared" si="529"/>
        <v/>
      </c>
      <c r="AA3382">
        <f>IF($V3382="",N($AA3381),IF(MATCH($V3382,$V$6:$V$10005,0)=ROW()-5,N($AA3381)+1,N($AA3381)))</f>
        <v>0</v>
      </c>
    </row>
    <row r="3383" spans="1:27" ht="21" customHeight="1" x14ac:dyDescent="0.95">
      <c r="A3383" s="56"/>
      <c r="B3383" s="57"/>
      <c r="C3383" s="57"/>
      <c r="D3383" s="57"/>
      <c r="E3383" s="56"/>
      <c r="F3383" s="57"/>
      <c r="G3383" s="57"/>
      <c r="H3383" s="56"/>
      <c r="I3383" s="56"/>
      <c r="J3383" s="58"/>
      <c r="K3383" s="58"/>
      <c r="L3383" s="13" t="str">
        <f t="shared" si="520"/>
        <v/>
      </c>
      <c r="M3383" s="13" t="str">
        <f t="shared" si="521"/>
        <v/>
      </c>
      <c r="Q3383" t="str">
        <f t="shared" si="522"/>
        <v/>
      </c>
      <c r="R3383" t="str">
        <f t="shared" si="523"/>
        <v/>
      </c>
      <c r="S3383" t="str">
        <f t="shared" si="524"/>
        <v/>
      </c>
      <c r="T3383" t="str">
        <f t="shared" si="525"/>
        <v/>
      </c>
      <c r="U3383" t="str">
        <f t="shared" si="526"/>
        <v/>
      </c>
      <c r="V3383" t="str">
        <f t="shared" si="527"/>
        <v/>
      </c>
      <c r="W3383" t="str">
        <f t="shared" si="528"/>
        <v/>
      </c>
      <c r="X3383">
        <f>IF($T3383="",N($X3382),IF(MATCH($T3383,$T$6:$T$10005,0)=ROW()-5,N($X3382)+1,N($X3382)))</f>
        <v>0</v>
      </c>
      <c r="Z3383" t="str">
        <f t="shared" si="529"/>
        <v/>
      </c>
      <c r="AA3383">
        <f>IF($V3383="",N($AA3382),IF(MATCH($V3383,$V$6:$V$10005,0)=ROW()-5,N($AA3382)+1,N($AA3382)))</f>
        <v>0</v>
      </c>
    </row>
    <row r="3384" spans="1:27" ht="21" customHeight="1" x14ac:dyDescent="0.95">
      <c r="A3384" s="56"/>
      <c r="B3384" s="57"/>
      <c r="C3384" s="57"/>
      <c r="D3384" s="57"/>
      <c r="E3384" s="56"/>
      <c r="F3384" s="57"/>
      <c r="G3384" s="57"/>
      <c r="H3384" s="56"/>
      <c r="I3384" s="56"/>
      <c r="J3384" s="58"/>
      <c r="K3384" s="58"/>
      <c r="L3384" s="13" t="str">
        <f t="shared" si="520"/>
        <v/>
      </c>
      <c r="M3384" s="13" t="str">
        <f t="shared" si="521"/>
        <v/>
      </c>
      <c r="Q3384" t="str">
        <f t="shared" si="522"/>
        <v/>
      </c>
      <c r="R3384" t="str">
        <f t="shared" si="523"/>
        <v/>
      </c>
      <c r="S3384" t="str">
        <f t="shared" si="524"/>
        <v/>
      </c>
      <c r="T3384" t="str">
        <f t="shared" si="525"/>
        <v/>
      </c>
      <c r="U3384" t="str">
        <f t="shared" si="526"/>
        <v/>
      </c>
      <c r="V3384" t="str">
        <f t="shared" si="527"/>
        <v/>
      </c>
      <c r="W3384" t="str">
        <f t="shared" si="528"/>
        <v/>
      </c>
      <c r="X3384">
        <f>IF($T3384="",N($X3383),IF(MATCH($T3384,$T$6:$T$10005,0)=ROW()-5,N($X3383)+1,N($X3383)))</f>
        <v>0</v>
      </c>
      <c r="Z3384" t="str">
        <f t="shared" si="529"/>
        <v/>
      </c>
      <c r="AA3384">
        <f>IF($V3384="",N($AA3383),IF(MATCH($V3384,$V$6:$V$10005,0)=ROW()-5,N($AA3383)+1,N($AA3383)))</f>
        <v>0</v>
      </c>
    </row>
    <row r="3385" spans="1:27" ht="21" customHeight="1" x14ac:dyDescent="0.95">
      <c r="A3385" s="56"/>
      <c r="B3385" s="57"/>
      <c r="C3385" s="57"/>
      <c r="D3385" s="57"/>
      <c r="E3385" s="56"/>
      <c r="F3385" s="57"/>
      <c r="G3385" s="57"/>
      <c r="H3385" s="56"/>
      <c r="I3385" s="56"/>
      <c r="J3385" s="58"/>
      <c r="K3385" s="58"/>
      <c r="L3385" s="13" t="str">
        <f t="shared" si="520"/>
        <v/>
      </c>
      <c r="M3385" s="13" t="str">
        <f t="shared" si="521"/>
        <v/>
      </c>
      <c r="Q3385" t="str">
        <f t="shared" si="522"/>
        <v/>
      </c>
      <c r="R3385" t="str">
        <f t="shared" si="523"/>
        <v/>
      </c>
      <c r="S3385" t="str">
        <f t="shared" si="524"/>
        <v/>
      </c>
      <c r="T3385" t="str">
        <f t="shared" si="525"/>
        <v/>
      </c>
      <c r="U3385" t="str">
        <f t="shared" si="526"/>
        <v/>
      </c>
      <c r="V3385" t="str">
        <f t="shared" si="527"/>
        <v/>
      </c>
      <c r="W3385" t="str">
        <f t="shared" si="528"/>
        <v/>
      </c>
      <c r="X3385">
        <f>IF($T3385="",N($X3384),IF(MATCH($T3385,$T$6:$T$10005,0)=ROW()-5,N($X3384)+1,N($X3384)))</f>
        <v>0</v>
      </c>
      <c r="Z3385" t="str">
        <f t="shared" si="529"/>
        <v/>
      </c>
      <c r="AA3385">
        <f>IF($V3385="",N($AA3384),IF(MATCH($V3385,$V$6:$V$10005,0)=ROW()-5,N($AA3384)+1,N($AA3384)))</f>
        <v>0</v>
      </c>
    </row>
    <row r="3386" spans="1:27" ht="21" customHeight="1" x14ac:dyDescent="0.95">
      <c r="A3386" s="56"/>
      <c r="B3386" s="57"/>
      <c r="C3386" s="57"/>
      <c r="D3386" s="57"/>
      <c r="E3386" s="56"/>
      <c r="F3386" s="57"/>
      <c r="G3386" s="57"/>
      <c r="H3386" s="56"/>
      <c r="I3386" s="56"/>
      <c r="J3386" s="58"/>
      <c r="K3386" s="58"/>
      <c r="L3386" s="13" t="str">
        <f t="shared" si="520"/>
        <v/>
      </c>
      <c r="M3386" s="13" t="str">
        <f t="shared" si="521"/>
        <v/>
      </c>
      <c r="Q3386" t="str">
        <f t="shared" si="522"/>
        <v/>
      </c>
      <c r="R3386" t="str">
        <f t="shared" si="523"/>
        <v/>
      </c>
      <c r="S3386" t="str">
        <f t="shared" si="524"/>
        <v/>
      </c>
      <c r="T3386" t="str">
        <f t="shared" si="525"/>
        <v/>
      </c>
      <c r="U3386" t="str">
        <f t="shared" si="526"/>
        <v/>
      </c>
      <c r="V3386" t="str">
        <f t="shared" si="527"/>
        <v/>
      </c>
      <c r="W3386" t="str">
        <f t="shared" si="528"/>
        <v/>
      </c>
      <c r="X3386">
        <f>IF($T3386="",N($X3385),IF(MATCH($T3386,$T$6:$T$10005,0)=ROW()-5,N($X3385)+1,N($X3385)))</f>
        <v>0</v>
      </c>
      <c r="Z3386" t="str">
        <f t="shared" si="529"/>
        <v/>
      </c>
      <c r="AA3386">
        <f>IF($V3386="",N($AA3385),IF(MATCH($V3386,$V$6:$V$10005,0)=ROW()-5,N($AA3385)+1,N($AA3385)))</f>
        <v>0</v>
      </c>
    </row>
    <row r="3387" spans="1:27" ht="21" customHeight="1" x14ac:dyDescent="0.95">
      <c r="A3387" s="56"/>
      <c r="B3387" s="57"/>
      <c r="C3387" s="57"/>
      <c r="D3387" s="57"/>
      <c r="E3387" s="56"/>
      <c r="F3387" s="57"/>
      <c r="G3387" s="57"/>
      <c r="H3387" s="56"/>
      <c r="I3387" s="56"/>
      <c r="J3387" s="58"/>
      <c r="K3387" s="58"/>
      <c r="L3387" s="13" t="str">
        <f t="shared" si="520"/>
        <v/>
      </c>
      <c r="M3387" s="13" t="str">
        <f t="shared" si="521"/>
        <v/>
      </c>
      <c r="Q3387" t="str">
        <f t="shared" si="522"/>
        <v/>
      </c>
      <c r="R3387" t="str">
        <f t="shared" si="523"/>
        <v/>
      </c>
      <c r="S3387" t="str">
        <f t="shared" si="524"/>
        <v/>
      </c>
      <c r="T3387" t="str">
        <f t="shared" si="525"/>
        <v/>
      </c>
      <c r="U3387" t="str">
        <f t="shared" si="526"/>
        <v/>
      </c>
      <c r="V3387" t="str">
        <f t="shared" si="527"/>
        <v/>
      </c>
      <c r="W3387" t="str">
        <f t="shared" si="528"/>
        <v/>
      </c>
      <c r="X3387">
        <f>IF($T3387="",N($X3386),IF(MATCH($T3387,$T$6:$T$10005,0)=ROW()-5,N($X3386)+1,N($X3386)))</f>
        <v>0</v>
      </c>
      <c r="Z3387" t="str">
        <f t="shared" si="529"/>
        <v/>
      </c>
      <c r="AA3387">
        <f>IF($V3387="",N($AA3386),IF(MATCH($V3387,$V$6:$V$10005,0)=ROW()-5,N($AA3386)+1,N($AA3386)))</f>
        <v>0</v>
      </c>
    </row>
    <row r="3388" spans="1:27" ht="21" customHeight="1" x14ac:dyDescent="0.95">
      <c r="A3388" s="56"/>
      <c r="B3388" s="57"/>
      <c r="C3388" s="57"/>
      <c r="D3388" s="57"/>
      <c r="E3388" s="56"/>
      <c r="F3388" s="57"/>
      <c r="G3388" s="57"/>
      <c r="H3388" s="56"/>
      <c r="I3388" s="56"/>
      <c r="J3388" s="58"/>
      <c r="K3388" s="58"/>
      <c r="L3388" s="13" t="str">
        <f t="shared" si="520"/>
        <v/>
      </c>
      <c r="M3388" s="13" t="str">
        <f t="shared" si="521"/>
        <v/>
      </c>
      <c r="Q3388" t="str">
        <f t="shared" si="522"/>
        <v/>
      </c>
      <c r="R3388" t="str">
        <f t="shared" si="523"/>
        <v/>
      </c>
      <c r="S3388" t="str">
        <f t="shared" si="524"/>
        <v/>
      </c>
      <c r="T3388" t="str">
        <f t="shared" si="525"/>
        <v/>
      </c>
      <c r="U3388" t="str">
        <f t="shared" si="526"/>
        <v/>
      </c>
      <c r="V3388" t="str">
        <f t="shared" si="527"/>
        <v/>
      </c>
      <c r="W3388" t="str">
        <f t="shared" si="528"/>
        <v/>
      </c>
      <c r="X3388">
        <f>IF($T3388="",N($X3387),IF(MATCH($T3388,$T$6:$T$10005,0)=ROW()-5,N($X3387)+1,N($X3387)))</f>
        <v>0</v>
      </c>
      <c r="Z3388" t="str">
        <f t="shared" si="529"/>
        <v/>
      </c>
      <c r="AA3388">
        <f>IF($V3388="",N($AA3387),IF(MATCH($V3388,$V$6:$V$10005,0)=ROW()-5,N($AA3387)+1,N($AA3387)))</f>
        <v>0</v>
      </c>
    </row>
    <row r="3389" spans="1:27" ht="21" customHeight="1" x14ac:dyDescent="0.95">
      <c r="A3389" s="56"/>
      <c r="B3389" s="57"/>
      <c r="C3389" s="57"/>
      <c r="D3389" s="57"/>
      <c r="E3389" s="56"/>
      <c r="F3389" s="57"/>
      <c r="G3389" s="57"/>
      <c r="H3389" s="56"/>
      <c r="I3389" s="56"/>
      <c r="J3389" s="58"/>
      <c r="K3389" s="58"/>
      <c r="L3389" s="13" t="str">
        <f t="shared" si="520"/>
        <v/>
      </c>
      <c r="M3389" s="13" t="str">
        <f t="shared" si="521"/>
        <v/>
      </c>
      <c r="Q3389" t="str">
        <f t="shared" si="522"/>
        <v/>
      </c>
      <c r="R3389" t="str">
        <f t="shared" si="523"/>
        <v/>
      </c>
      <c r="S3389" t="str">
        <f t="shared" si="524"/>
        <v/>
      </c>
      <c r="T3389" t="str">
        <f t="shared" si="525"/>
        <v/>
      </c>
      <c r="U3389" t="str">
        <f t="shared" si="526"/>
        <v/>
      </c>
      <c r="V3389" t="str">
        <f t="shared" si="527"/>
        <v/>
      </c>
      <c r="W3389" t="str">
        <f t="shared" si="528"/>
        <v/>
      </c>
      <c r="X3389">
        <f>IF($T3389="",N($X3388),IF(MATCH($T3389,$T$6:$T$10005,0)=ROW()-5,N($X3388)+1,N($X3388)))</f>
        <v>0</v>
      </c>
      <c r="Z3389" t="str">
        <f t="shared" si="529"/>
        <v/>
      </c>
      <c r="AA3389">
        <f>IF($V3389="",N($AA3388),IF(MATCH($V3389,$V$6:$V$10005,0)=ROW()-5,N($AA3388)+1,N($AA3388)))</f>
        <v>0</v>
      </c>
    </row>
    <row r="3390" spans="1:27" ht="21" customHeight="1" x14ac:dyDescent="0.95">
      <c r="A3390" s="56"/>
      <c r="B3390" s="57"/>
      <c r="C3390" s="57"/>
      <c r="D3390" s="57"/>
      <c r="E3390" s="56"/>
      <c r="F3390" s="57"/>
      <c r="G3390" s="57"/>
      <c r="H3390" s="56"/>
      <c r="I3390" s="56"/>
      <c r="J3390" s="58"/>
      <c r="K3390" s="58"/>
      <c r="L3390" s="13" t="str">
        <f t="shared" si="520"/>
        <v/>
      </c>
      <c r="M3390" s="13" t="str">
        <f t="shared" si="521"/>
        <v/>
      </c>
      <c r="Q3390" t="str">
        <f t="shared" si="522"/>
        <v/>
      </c>
      <c r="R3390" t="str">
        <f t="shared" si="523"/>
        <v/>
      </c>
      <c r="S3390" t="str">
        <f t="shared" si="524"/>
        <v/>
      </c>
      <c r="T3390" t="str">
        <f t="shared" si="525"/>
        <v/>
      </c>
      <c r="U3390" t="str">
        <f t="shared" si="526"/>
        <v/>
      </c>
      <c r="V3390" t="str">
        <f t="shared" si="527"/>
        <v/>
      </c>
      <c r="W3390" t="str">
        <f t="shared" si="528"/>
        <v/>
      </c>
      <c r="X3390">
        <f>IF($T3390="",N($X3389),IF(MATCH($T3390,$T$6:$T$10005,0)=ROW()-5,N($X3389)+1,N($X3389)))</f>
        <v>0</v>
      </c>
      <c r="Z3390" t="str">
        <f t="shared" si="529"/>
        <v/>
      </c>
      <c r="AA3390">
        <f>IF($V3390="",N($AA3389),IF(MATCH($V3390,$V$6:$V$10005,0)=ROW()-5,N($AA3389)+1,N($AA3389)))</f>
        <v>0</v>
      </c>
    </row>
    <row r="3391" spans="1:27" ht="21" customHeight="1" x14ac:dyDescent="0.95">
      <c r="A3391" s="56"/>
      <c r="B3391" s="57"/>
      <c r="C3391" s="57"/>
      <c r="D3391" s="57"/>
      <c r="E3391" s="56"/>
      <c r="F3391" s="57"/>
      <c r="G3391" s="57"/>
      <c r="H3391" s="56"/>
      <c r="I3391" s="56"/>
      <c r="J3391" s="58"/>
      <c r="K3391" s="58"/>
      <c r="L3391" s="13" t="str">
        <f t="shared" si="520"/>
        <v/>
      </c>
      <c r="M3391" s="13" t="str">
        <f t="shared" si="521"/>
        <v/>
      </c>
      <c r="Q3391" t="str">
        <f t="shared" si="522"/>
        <v/>
      </c>
      <c r="R3391" t="str">
        <f t="shared" si="523"/>
        <v/>
      </c>
      <c r="S3391" t="str">
        <f t="shared" si="524"/>
        <v/>
      </c>
      <c r="T3391" t="str">
        <f t="shared" si="525"/>
        <v/>
      </c>
      <c r="U3391" t="str">
        <f t="shared" si="526"/>
        <v/>
      </c>
      <c r="V3391" t="str">
        <f t="shared" si="527"/>
        <v/>
      </c>
      <c r="W3391" t="str">
        <f t="shared" si="528"/>
        <v/>
      </c>
      <c r="X3391">
        <f>IF($T3391="",N($X3390),IF(MATCH($T3391,$T$6:$T$10005,0)=ROW()-5,N($X3390)+1,N($X3390)))</f>
        <v>0</v>
      </c>
      <c r="Z3391" t="str">
        <f t="shared" si="529"/>
        <v/>
      </c>
      <c r="AA3391">
        <f>IF($V3391="",N($AA3390),IF(MATCH($V3391,$V$6:$V$10005,0)=ROW()-5,N($AA3390)+1,N($AA3390)))</f>
        <v>0</v>
      </c>
    </row>
    <row r="3392" spans="1:27" ht="21" customHeight="1" x14ac:dyDescent="0.95">
      <c r="A3392" s="56"/>
      <c r="B3392" s="57"/>
      <c r="C3392" s="57"/>
      <c r="D3392" s="57"/>
      <c r="E3392" s="56"/>
      <c r="F3392" s="57"/>
      <c r="G3392" s="57"/>
      <c r="H3392" s="56"/>
      <c r="I3392" s="56"/>
      <c r="J3392" s="58"/>
      <c r="K3392" s="58"/>
      <c r="L3392" s="13" t="str">
        <f t="shared" si="520"/>
        <v/>
      </c>
      <c r="M3392" s="13" t="str">
        <f t="shared" si="521"/>
        <v/>
      </c>
      <c r="Q3392" t="str">
        <f t="shared" si="522"/>
        <v/>
      </c>
      <c r="R3392" t="str">
        <f t="shared" si="523"/>
        <v/>
      </c>
      <c r="S3392" t="str">
        <f t="shared" si="524"/>
        <v/>
      </c>
      <c r="T3392" t="str">
        <f t="shared" si="525"/>
        <v/>
      </c>
      <c r="U3392" t="str">
        <f t="shared" si="526"/>
        <v/>
      </c>
      <c r="V3392" t="str">
        <f t="shared" si="527"/>
        <v/>
      </c>
      <c r="W3392" t="str">
        <f t="shared" si="528"/>
        <v/>
      </c>
      <c r="X3392">
        <f>IF($T3392="",N($X3391),IF(MATCH($T3392,$T$6:$T$10005,0)=ROW()-5,N($X3391)+1,N($X3391)))</f>
        <v>0</v>
      </c>
      <c r="Z3392" t="str">
        <f t="shared" si="529"/>
        <v/>
      </c>
      <c r="AA3392">
        <f>IF($V3392="",N($AA3391),IF(MATCH($V3392,$V$6:$V$10005,0)=ROW()-5,N($AA3391)+1,N($AA3391)))</f>
        <v>0</v>
      </c>
    </row>
    <row r="3393" spans="1:27" ht="21" customHeight="1" x14ac:dyDescent="0.95">
      <c r="A3393" s="56"/>
      <c r="B3393" s="57"/>
      <c r="C3393" s="57"/>
      <c r="D3393" s="57"/>
      <c r="E3393" s="56"/>
      <c r="F3393" s="57"/>
      <c r="G3393" s="57"/>
      <c r="H3393" s="56"/>
      <c r="I3393" s="56"/>
      <c r="J3393" s="58"/>
      <c r="K3393" s="58"/>
      <c r="L3393" s="13" t="str">
        <f t="shared" si="520"/>
        <v/>
      </c>
      <c r="M3393" s="13" t="str">
        <f t="shared" si="521"/>
        <v/>
      </c>
      <c r="Q3393" t="str">
        <f t="shared" si="522"/>
        <v/>
      </c>
      <c r="R3393" t="str">
        <f t="shared" si="523"/>
        <v/>
      </c>
      <c r="S3393" t="str">
        <f t="shared" si="524"/>
        <v/>
      </c>
      <c r="T3393" t="str">
        <f t="shared" si="525"/>
        <v/>
      </c>
      <c r="U3393" t="str">
        <f t="shared" si="526"/>
        <v/>
      </c>
      <c r="V3393" t="str">
        <f t="shared" si="527"/>
        <v/>
      </c>
      <c r="W3393" t="str">
        <f t="shared" si="528"/>
        <v/>
      </c>
      <c r="X3393">
        <f>IF($T3393="",N($X3392),IF(MATCH($T3393,$T$6:$T$10005,0)=ROW()-5,N($X3392)+1,N($X3392)))</f>
        <v>0</v>
      </c>
      <c r="Z3393" t="str">
        <f t="shared" si="529"/>
        <v/>
      </c>
      <c r="AA3393">
        <f>IF($V3393="",N($AA3392),IF(MATCH($V3393,$V$6:$V$10005,0)=ROW()-5,N($AA3392)+1,N($AA3392)))</f>
        <v>0</v>
      </c>
    </row>
    <row r="3394" spans="1:27" ht="21" customHeight="1" x14ac:dyDescent="0.95">
      <c r="A3394" s="56"/>
      <c r="B3394" s="57"/>
      <c r="C3394" s="57"/>
      <c r="D3394" s="57"/>
      <c r="E3394" s="56"/>
      <c r="F3394" s="57"/>
      <c r="G3394" s="57"/>
      <c r="H3394" s="56"/>
      <c r="I3394" s="56"/>
      <c r="J3394" s="58"/>
      <c r="K3394" s="58"/>
      <c r="L3394" s="13" t="str">
        <f t="shared" si="520"/>
        <v/>
      </c>
      <c r="M3394" s="13" t="str">
        <f t="shared" si="521"/>
        <v/>
      </c>
      <c r="Q3394" t="str">
        <f t="shared" si="522"/>
        <v/>
      </c>
      <c r="R3394" t="str">
        <f t="shared" si="523"/>
        <v/>
      </c>
      <c r="S3394" t="str">
        <f t="shared" si="524"/>
        <v/>
      </c>
      <c r="T3394" t="str">
        <f t="shared" si="525"/>
        <v/>
      </c>
      <c r="U3394" t="str">
        <f t="shared" si="526"/>
        <v/>
      </c>
      <c r="V3394" t="str">
        <f t="shared" si="527"/>
        <v/>
      </c>
      <c r="W3394" t="str">
        <f t="shared" si="528"/>
        <v/>
      </c>
      <c r="X3394">
        <f>IF($T3394="",N($X3393),IF(MATCH($T3394,$T$6:$T$10005,0)=ROW()-5,N($X3393)+1,N($X3393)))</f>
        <v>0</v>
      </c>
      <c r="Z3394" t="str">
        <f t="shared" si="529"/>
        <v/>
      </c>
      <c r="AA3394">
        <f>IF($V3394="",N($AA3393),IF(MATCH($V3394,$V$6:$V$10005,0)=ROW()-5,N($AA3393)+1,N($AA3393)))</f>
        <v>0</v>
      </c>
    </row>
    <row r="3395" spans="1:27" ht="21" customHeight="1" x14ac:dyDescent="0.95">
      <c r="A3395" s="56"/>
      <c r="B3395" s="57"/>
      <c r="C3395" s="57"/>
      <c r="D3395" s="57"/>
      <c r="E3395" s="56"/>
      <c r="F3395" s="57"/>
      <c r="G3395" s="57"/>
      <c r="H3395" s="56"/>
      <c r="I3395" s="56"/>
      <c r="J3395" s="58"/>
      <c r="K3395" s="58"/>
      <c r="L3395" s="13" t="str">
        <f t="shared" si="520"/>
        <v/>
      </c>
      <c r="M3395" s="13" t="str">
        <f t="shared" si="521"/>
        <v/>
      </c>
      <c r="Q3395" t="str">
        <f t="shared" si="522"/>
        <v/>
      </c>
      <c r="R3395" t="str">
        <f t="shared" si="523"/>
        <v/>
      </c>
      <c r="S3395" t="str">
        <f t="shared" si="524"/>
        <v/>
      </c>
      <c r="T3395" t="str">
        <f t="shared" si="525"/>
        <v/>
      </c>
      <c r="U3395" t="str">
        <f t="shared" si="526"/>
        <v/>
      </c>
      <c r="V3395" t="str">
        <f t="shared" si="527"/>
        <v/>
      </c>
      <c r="W3395" t="str">
        <f t="shared" si="528"/>
        <v/>
      </c>
      <c r="X3395">
        <f>IF($T3395="",N($X3394),IF(MATCH($T3395,$T$6:$T$10005,0)=ROW()-5,N($X3394)+1,N($X3394)))</f>
        <v>0</v>
      </c>
      <c r="Z3395" t="str">
        <f t="shared" si="529"/>
        <v/>
      </c>
      <c r="AA3395">
        <f>IF($V3395="",N($AA3394),IF(MATCH($V3395,$V$6:$V$10005,0)=ROW()-5,N($AA3394)+1,N($AA3394)))</f>
        <v>0</v>
      </c>
    </row>
    <row r="3396" spans="1:27" ht="21" customHeight="1" x14ac:dyDescent="0.95">
      <c r="A3396" s="56"/>
      <c r="B3396" s="57"/>
      <c r="C3396" s="57"/>
      <c r="D3396" s="57"/>
      <c r="E3396" s="56"/>
      <c r="F3396" s="57"/>
      <c r="G3396" s="57"/>
      <c r="H3396" s="56"/>
      <c r="I3396" s="56"/>
      <c r="J3396" s="58"/>
      <c r="K3396" s="58"/>
      <c r="L3396" s="13" t="str">
        <f t="shared" si="520"/>
        <v/>
      </c>
      <c r="M3396" s="13" t="str">
        <f t="shared" si="521"/>
        <v/>
      </c>
      <c r="Q3396" t="str">
        <f t="shared" si="522"/>
        <v/>
      </c>
      <c r="R3396" t="str">
        <f t="shared" si="523"/>
        <v/>
      </c>
      <c r="S3396" t="str">
        <f t="shared" si="524"/>
        <v/>
      </c>
      <c r="T3396" t="str">
        <f t="shared" si="525"/>
        <v/>
      </c>
      <c r="U3396" t="str">
        <f t="shared" si="526"/>
        <v/>
      </c>
      <c r="V3396" t="str">
        <f t="shared" si="527"/>
        <v/>
      </c>
      <c r="W3396" t="str">
        <f t="shared" si="528"/>
        <v/>
      </c>
      <c r="X3396">
        <f>IF($T3396="",N($X3395),IF(MATCH($T3396,$T$6:$T$10005,0)=ROW()-5,N($X3395)+1,N($X3395)))</f>
        <v>0</v>
      </c>
      <c r="Z3396" t="str">
        <f t="shared" si="529"/>
        <v/>
      </c>
      <c r="AA3396">
        <f>IF($V3396="",N($AA3395),IF(MATCH($V3396,$V$6:$V$10005,0)=ROW()-5,N($AA3395)+1,N($AA3395)))</f>
        <v>0</v>
      </c>
    </row>
    <row r="3397" spans="1:27" ht="21" customHeight="1" x14ac:dyDescent="0.95">
      <c r="A3397" s="56"/>
      <c r="B3397" s="57"/>
      <c r="C3397" s="57"/>
      <c r="D3397" s="57"/>
      <c r="E3397" s="56"/>
      <c r="F3397" s="57"/>
      <c r="G3397" s="57"/>
      <c r="H3397" s="56"/>
      <c r="I3397" s="56"/>
      <c r="J3397" s="58"/>
      <c r="K3397" s="58"/>
      <c r="L3397" s="13" t="str">
        <f t="shared" si="520"/>
        <v/>
      </c>
      <c r="M3397" s="13" t="str">
        <f t="shared" si="521"/>
        <v/>
      </c>
      <c r="Q3397" t="str">
        <f t="shared" si="522"/>
        <v/>
      </c>
      <c r="R3397" t="str">
        <f t="shared" si="523"/>
        <v/>
      </c>
      <c r="S3397" t="str">
        <f t="shared" si="524"/>
        <v/>
      </c>
      <c r="T3397" t="str">
        <f t="shared" si="525"/>
        <v/>
      </c>
      <c r="U3397" t="str">
        <f t="shared" si="526"/>
        <v/>
      </c>
      <c r="V3397" t="str">
        <f t="shared" si="527"/>
        <v/>
      </c>
      <c r="W3397" t="str">
        <f t="shared" si="528"/>
        <v/>
      </c>
      <c r="X3397">
        <f>IF($T3397="",N($X3396),IF(MATCH($T3397,$T$6:$T$10005,0)=ROW()-5,N($X3396)+1,N($X3396)))</f>
        <v>0</v>
      </c>
      <c r="Z3397" t="str">
        <f t="shared" si="529"/>
        <v/>
      </c>
      <c r="AA3397">
        <f>IF($V3397="",N($AA3396),IF(MATCH($V3397,$V$6:$V$10005,0)=ROW()-5,N($AA3396)+1,N($AA3396)))</f>
        <v>0</v>
      </c>
    </row>
    <row r="3398" spans="1:27" ht="21" customHeight="1" x14ac:dyDescent="0.95">
      <c r="A3398" s="56"/>
      <c r="B3398" s="57"/>
      <c r="C3398" s="57"/>
      <c r="D3398" s="57"/>
      <c r="E3398" s="56"/>
      <c r="F3398" s="57"/>
      <c r="G3398" s="57"/>
      <c r="H3398" s="56"/>
      <c r="I3398" s="56"/>
      <c r="J3398" s="58"/>
      <c r="K3398" s="58"/>
      <c r="L3398" s="13" t="str">
        <f t="shared" ref="L3398:L3461" si="530">IF(OR($A3398="",AND($J3398="",$K3398="")),"",ROUND(N($J3398)-N($K3398),2))</f>
        <v/>
      </c>
      <c r="M3398" s="13" t="str">
        <f t="shared" ref="M3398:M3461" si="531">IF(OR($A3398="",AND($J3398="",$K3398="")),"",MIN($J3398,$K3398))</f>
        <v/>
      </c>
      <c r="Q3398" t="str">
        <f t="shared" ref="Q3398:Q3461" si="532">IF($A3398="","",$D3398&amp;"("&amp;SUBSTITUTE($E3398," ","")&amp;")")</f>
        <v/>
      </c>
      <c r="R3398" t="str">
        <f t="shared" ref="R3398:R3461" si="533">IF($A3398="","",$B3398&amp;" - "&amp;$C3398)</f>
        <v/>
      </c>
      <c r="S3398" t="str">
        <f t="shared" ref="S3398:S3461" si="534">IF($A3398="","",$R3398&amp;"|"&amp;$Q3398)</f>
        <v/>
      </c>
      <c r="T3398" t="str">
        <f t="shared" ref="T3398:T3461" si="535">IF($A3398="","",$S3398&amp;"|"&amp;$F3398)</f>
        <v/>
      </c>
      <c r="U3398" t="str">
        <f t="shared" ref="U3398:U3461" si="536">IF($A3398="","",$R3398&amp;"("&amp;$E3398&amp;")")</f>
        <v/>
      </c>
      <c r="V3398" t="str">
        <f t="shared" ref="V3398:V3461" si="537">IF($A3398="","",$F3398&amp;"|"&amp;$U3398&amp;"|"&amp;$D3398)</f>
        <v/>
      </c>
      <c r="W3398" t="str">
        <f t="shared" ref="W3398:W3461" si="538">IF($T3398="","",IF($X3398&gt;N($X3397),$X3398,""))</f>
        <v/>
      </c>
      <c r="X3398">
        <f>IF($T3398="",N($X3397),IF(MATCH($T3398,$T$6:$T$10005,0)=ROW()-5,N($X3397)+1,N($X3397)))</f>
        <v>0</v>
      </c>
      <c r="Z3398" t="str">
        <f t="shared" ref="Z3398:Z3461" si="539">IF($V3398="","",IF($AA3398&gt;N($AA3397),$AA3398,""))</f>
        <v/>
      </c>
      <c r="AA3398">
        <f>IF($V3398="",N($AA3397),IF(MATCH($V3398,$V$6:$V$10005,0)=ROW()-5,N($AA3397)+1,N($AA3397)))</f>
        <v>0</v>
      </c>
    </row>
    <row r="3399" spans="1:27" ht="21" customHeight="1" x14ac:dyDescent="0.95">
      <c r="A3399" s="56"/>
      <c r="B3399" s="57"/>
      <c r="C3399" s="57"/>
      <c r="D3399" s="57"/>
      <c r="E3399" s="56"/>
      <c r="F3399" s="57"/>
      <c r="G3399" s="57"/>
      <c r="H3399" s="56"/>
      <c r="I3399" s="56"/>
      <c r="J3399" s="58"/>
      <c r="K3399" s="58"/>
      <c r="L3399" s="13" t="str">
        <f t="shared" si="530"/>
        <v/>
      </c>
      <c r="M3399" s="13" t="str">
        <f t="shared" si="531"/>
        <v/>
      </c>
      <c r="Q3399" t="str">
        <f t="shared" si="532"/>
        <v/>
      </c>
      <c r="R3399" t="str">
        <f t="shared" si="533"/>
        <v/>
      </c>
      <c r="S3399" t="str">
        <f t="shared" si="534"/>
        <v/>
      </c>
      <c r="T3399" t="str">
        <f t="shared" si="535"/>
        <v/>
      </c>
      <c r="U3399" t="str">
        <f t="shared" si="536"/>
        <v/>
      </c>
      <c r="V3399" t="str">
        <f t="shared" si="537"/>
        <v/>
      </c>
      <c r="W3399" t="str">
        <f t="shared" si="538"/>
        <v/>
      </c>
      <c r="X3399">
        <f>IF($T3399="",N($X3398),IF(MATCH($T3399,$T$6:$T$10005,0)=ROW()-5,N($X3398)+1,N($X3398)))</f>
        <v>0</v>
      </c>
      <c r="Z3399" t="str">
        <f t="shared" si="539"/>
        <v/>
      </c>
      <c r="AA3399">
        <f>IF($V3399="",N($AA3398),IF(MATCH($V3399,$V$6:$V$10005,0)=ROW()-5,N($AA3398)+1,N($AA3398)))</f>
        <v>0</v>
      </c>
    </row>
    <row r="3400" spans="1:27" ht="21" customHeight="1" x14ac:dyDescent="0.95">
      <c r="A3400" s="56"/>
      <c r="B3400" s="57"/>
      <c r="C3400" s="57"/>
      <c r="D3400" s="57"/>
      <c r="E3400" s="56"/>
      <c r="F3400" s="57"/>
      <c r="G3400" s="57"/>
      <c r="H3400" s="56"/>
      <c r="I3400" s="56"/>
      <c r="J3400" s="58"/>
      <c r="K3400" s="58"/>
      <c r="L3400" s="13" t="str">
        <f t="shared" si="530"/>
        <v/>
      </c>
      <c r="M3400" s="13" t="str">
        <f t="shared" si="531"/>
        <v/>
      </c>
      <c r="Q3400" t="str">
        <f t="shared" si="532"/>
        <v/>
      </c>
      <c r="R3400" t="str">
        <f t="shared" si="533"/>
        <v/>
      </c>
      <c r="S3400" t="str">
        <f t="shared" si="534"/>
        <v/>
      </c>
      <c r="T3400" t="str">
        <f t="shared" si="535"/>
        <v/>
      </c>
      <c r="U3400" t="str">
        <f t="shared" si="536"/>
        <v/>
      </c>
      <c r="V3400" t="str">
        <f t="shared" si="537"/>
        <v/>
      </c>
      <c r="W3400" t="str">
        <f t="shared" si="538"/>
        <v/>
      </c>
      <c r="X3400">
        <f>IF($T3400="",N($X3399),IF(MATCH($T3400,$T$6:$T$10005,0)=ROW()-5,N($X3399)+1,N($X3399)))</f>
        <v>0</v>
      </c>
      <c r="Z3400" t="str">
        <f t="shared" si="539"/>
        <v/>
      </c>
      <c r="AA3400">
        <f>IF($V3400="",N($AA3399),IF(MATCH($V3400,$V$6:$V$10005,0)=ROW()-5,N($AA3399)+1,N($AA3399)))</f>
        <v>0</v>
      </c>
    </row>
    <row r="3401" spans="1:27" ht="21" customHeight="1" x14ac:dyDescent="0.95">
      <c r="A3401" s="56"/>
      <c r="B3401" s="57"/>
      <c r="C3401" s="57"/>
      <c r="D3401" s="57"/>
      <c r="E3401" s="56"/>
      <c r="F3401" s="57"/>
      <c r="G3401" s="57"/>
      <c r="H3401" s="56"/>
      <c r="I3401" s="56"/>
      <c r="J3401" s="58"/>
      <c r="K3401" s="58"/>
      <c r="L3401" s="13" t="str">
        <f t="shared" si="530"/>
        <v/>
      </c>
      <c r="M3401" s="13" t="str">
        <f t="shared" si="531"/>
        <v/>
      </c>
      <c r="Q3401" t="str">
        <f t="shared" si="532"/>
        <v/>
      </c>
      <c r="R3401" t="str">
        <f t="shared" si="533"/>
        <v/>
      </c>
      <c r="S3401" t="str">
        <f t="shared" si="534"/>
        <v/>
      </c>
      <c r="T3401" t="str">
        <f t="shared" si="535"/>
        <v/>
      </c>
      <c r="U3401" t="str">
        <f t="shared" si="536"/>
        <v/>
      </c>
      <c r="V3401" t="str">
        <f t="shared" si="537"/>
        <v/>
      </c>
      <c r="W3401" t="str">
        <f t="shared" si="538"/>
        <v/>
      </c>
      <c r="X3401">
        <f>IF($T3401="",N($X3400),IF(MATCH($T3401,$T$6:$T$10005,0)=ROW()-5,N($X3400)+1,N($X3400)))</f>
        <v>0</v>
      </c>
      <c r="Z3401" t="str">
        <f t="shared" si="539"/>
        <v/>
      </c>
      <c r="AA3401">
        <f>IF($V3401="",N($AA3400),IF(MATCH($V3401,$V$6:$V$10005,0)=ROW()-5,N($AA3400)+1,N($AA3400)))</f>
        <v>0</v>
      </c>
    </row>
    <row r="3402" spans="1:27" ht="21" customHeight="1" x14ac:dyDescent="0.95">
      <c r="A3402" s="56"/>
      <c r="B3402" s="57"/>
      <c r="C3402" s="57"/>
      <c r="D3402" s="57"/>
      <c r="E3402" s="56"/>
      <c r="F3402" s="57"/>
      <c r="G3402" s="57"/>
      <c r="H3402" s="56"/>
      <c r="I3402" s="56"/>
      <c r="J3402" s="58"/>
      <c r="K3402" s="58"/>
      <c r="L3402" s="13" t="str">
        <f t="shared" si="530"/>
        <v/>
      </c>
      <c r="M3402" s="13" t="str">
        <f t="shared" si="531"/>
        <v/>
      </c>
      <c r="Q3402" t="str">
        <f t="shared" si="532"/>
        <v/>
      </c>
      <c r="R3402" t="str">
        <f t="shared" si="533"/>
        <v/>
      </c>
      <c r="S3402" t="str">
        <f t="shared" si="534"/>
        <v/>
      </c>
      <c r="T3402" t="str">
        <f t="shared" si="535"/>
        <v/>
      </c>
      <c r="U3402" t="str">
        <f t="shared" si="536"/>
        <v/>
      </c>
      <c r="V3402" t="str">
        <f t="shared" si="537"/>
        <v/>
      </c>
      <c r="W3402" t="str">
        <f t="shared" si="538"/>
        <v/>
      </c>
      <c r="X3402">
        <f>IF($T3402="",N($X3401),IF(MATCH($T3402,$T$6:$T$10005,0)=ROW()-5,N($X3401)+1,N($X3401)))</f>
        <v>0</v>
      </c>
      <c r="Z3402" t="str">
        <f t="shared" si="539"/>
        <v/>
      </c>
      <c r="AA3402">
        <f>IF($V3402="",N($AA3401),IF(MATCH($V3402,$V$6:$V$10005,0)=ROW()-5,N($AA3401)+1,N($AA3401)))</f>
        <v>0</v>
      </c>
    </row>
    <row r="3403" spans="1:27" ht="21" customHeight="1" x14ac:dyDescent="0.95">
      <c r="A3403" s="56"/>
      <c r="B3403" s="57"/>
      <c r="C3403" s="57"/>
      <c r="D3403" s="57"/>
      <c r="E3403" s="56"/>
      <c r="F3403" s="57"/>
      <c r="G3403" s="57"/>
      <c r="H3403" s="56"/>
      <c r="I3403" s="56"/>
      <c r="J3403" s="58"/>
      <c r="K3403" s="58"/>
      <c r="L3403" s="13" t="str">
        <f t="shared" si="530"/>
        <v/>
      </c>
      <c r="M3403" s="13" t="str">
        <f t="shared" si="531"/>
        <v/>
      </c>
      <c r="Q3403" t="str">
        <f t="shared" si="532"/>
        <v/>
      </c>
      <c r="R3403" t="str">
        <f t="shared" si="533"/>
        <v/>
      </c>
      <c r="S3403" t="str">
        <f t="shared" si="534"/>
        <v/>
      </c>
      <c r="T3403" t="str">
        <f t="shared" si="535"/>
        <v/>
      </c>
      <c r="U3403" t="str">
        <f t="shared" si="536"/>
        <v/>
      </c>
      <c r="V3403" t="str">
        <f t="shared" si="537"/>
        <v/>
      </c>
      <c r="W3403" t="str">
        <f t="shared" si="538"/>
        <v/>
      </c>
      <c r="X3403">
        <f>IF($T3403="",N($X3402),IF(MATCH($T3403,$T$6:$T$10005,0)=ROW()-5,N($X3402)+1,N($X3402)))</f>
        <v>0</v>
      </c>
      <c r="Z3403" t="str">
        <f t="shared" si="539"/>
        <v/>
      </c>
      <c r="AA3403">
        <f>IF($V3403="",N($AA3402),IF(MATCH($V3403,$V$6:$V$10005,0)=ROW()-5,N($AA3402)+1,N($AA3402)))</f>
        <v>0</v>
      </c>
    </row>
    <row r="3404" spans="1:27" ht="21" customHeight="1" x14ac:dyDescent="0.95">
      <c r="A3404" s="56"/>
      <c r="B3404" s="57"/>
      <c r="C3404" s="57"/>
      <c r="D3404" s="57"/>
      <c r="E3404" s="56"/>
      <c r="F3404" s="57"/>
      <c r="G3404" s="57"/>
      <c r="H3404" s="56"/>
      <c r="I3404" s="56"/>
      <c r="J3404" s="58"/>
      <c r="K3404" s="58"/>
      <c r="L3404" s="13" t="str">
        <f t="shared" si="530"/>
        <v/>
      </c>
      <c r="M3404" s="13" t="str">
        <f t="shared" si="531"/>
        <v/>
      </c>
      <c r="Q3404" t="str">
        <f t="shared" si="532"/>
        <v/>
      </c>
      <c r="R3404" t="str">
        <f t="shared" si="533"/>
        <v/>
      </c>
      <c r="S3404" t="str">
        <f t="shared" si="534"/>
        <v/>
      </c>
      <c r="T3404" t="str">
        <f t="shared" si="535"/>
        <v/>
      </c>
      <c r="U3404" t="str">
        <f t="shared" si="536"/>
        <v/>
      </c>
      <c r="V3404" t="str">
        <f t="shared" si="537"/>
        <v/>
      </c>
      <c r="W3404" t="str">
        <f t="shared" si="538"/>
        <v/>
      </c>
      <c r="X3404">
        <f>IF($T3404="",N($X3403),IF(MATCH($T3404,$T$6:$T$10005,0)=ROW()-5,N($X3403)+1,N($X3403)))</f>
        <v>0</v>
      </c>
      <c r="Z3404" t="str">
        <f t="shared" si="539"/>
        <v/>
      </c>
      <c r="AA3404">
        <f>IF($V3404="",N($AA3403),IF(MATCH($V3404,$V$6:$V$10005,0)=ROW()-5,N($AA3403)+1,N($AA3403)))</f>
        <v>0</v>
      </c>
    </row>
    <row r="3405" spans="1:27" ht="21" customHeight="1" x14ac:dyDescent="0.95">
      <c r="A3405" s="56"/>
      <c r="B3405" s="57"/>
      <c r="C3405" s="57"/>
      <c r="D3405" s="57"/>
      <c r="E3405" s="56"/>
      <c r="F3405" s="57"/>
      <c r="G3405" s="57"/>
      <c r="H3405" s="56"/>
      <c r="I3405" s="56"/>
      <c r="J3405" s="58"/>
      <c r="K3405" s="58"/>
      <c r="L3405" s="13" t="str">
        <f t="shared" si="530"/>
        <v/>
      </c>
      <c r="M3405" s="13" t="str">
        <f t="shared" si="531"/>
        <v/>
      </c>
      <c r="Q3405" t="str">
        <f t="shared" si="532"/>
        <v/>
      </c>
      <c r="R3405" t="str">
        <f t="shared" si="533"/>
        <v/>
      </c>
      <c r="S3405" t="str">
        <f t="shared" si="534"/>
        <v/>
      </c>
      <c r="T3405" t="str">
        <f t="shared" si="535"/>
        <v/>
      </c>
      <c r="U3405" t="str">
        <f t="shared" si="536"/>
        <v/>
      </c>
      <c r="V3405" t="str">
        <f t="shared" si="537"/>
        <v/>
      </c>
      <c r="W3405" t="str">
        <f t="shared" si="538"/>
        <v/>
      </c>
      <c r="X3405">
        <f>IF($T3405="",N($X3404),IF(MATCH($T3405,$T$6:$T$10005,0)=ROW()-5,N($X3404)+1,N($X3404)))</f>
        <v>0</v>
      </c>
      <c r="Z3405" t="str">
        <f t="shared" si="539"/>
        <v/>
      </c>
      <c r="AA3405">
        <f>IF($V3405="",N($AA3404),IF(MATCH($V3405,$V$6:$V$10005,0)=ROW()-5,N($AA3404)+1,N($AA3404)))</f>
        <v>0</v>
      </c>
    </row>
    <row r="3406" spans="1:27" ht="21" customHeight="1" x14ac:dyDescent="0.95">
      <c r="A3406" s="56"/>
      <c r="B3406" s="57"/>
      <c r="C3406" s="57"/>
      <c r="D3406" s="57"/>
      <c r="E3406" s="56"/>
      <c r="F3406" s="57"/>
      <c r="G3406" s="57"/>
      <c r="H3406" s="56"/>
      <c r="I3406" s="56"/>
      <c r="J3406" s="58"/>
      <c r="K3406" s="58"/>
      <c r="L3406" s="13" t="str">
        <f t="shared" si="530"/>
        <v/>
      </c>
      <c r="M3406" s="13" t="str">
        <f t="shared" si="531"/>
        <v/>
      </c>
      <c r="Q3406" t="str">
        <f t="shared" si="532"/>
        <v/>
      </c>
      <c r="R3406" t="str">
        <f t="shared" si="533"/>
        <v/>
      </c>
      <c r="S3406" t="str">
        <f t="shared" si="534"/>
        <v/>
      </c>
      <c r="T3406" t="str">
        <f t="shared" si="535"/>
        <v/>
      </c>
      <c r="U3406" t="str">
        <f t="shared" si="536"/>
        <v/>
      </c>
      <c r="V3406" t="str">
        <f t="shared" si="537"/>
        <v/>
      </c>
      <c r="W3406" t="str">
        <f t="shared" si="538"/>
        <v/>
      </c>
      <c r="X3406">
        <f>IF($T3406="",N($X3405),IF(MATCH($T3406,$T$6:$T$10005,0)=ROW()-5,N($X3405)+1,N($X3405)))</f>
        <v>0</v>
      </c>
      <c r="Z3406" t="str">
        <f t="shared" si="539"/>
        <v/>
      </c>
      <c r="AA3406">
        <f>IF($V3406="",N($AA3405),IF(MATCH($V3406,$V$6:$V$10005,0)=ROW()-5,N($AA3405)+1,N($AA3405)))</f>
        <v>0</v>
      </c>
    </row>
    <row r="3407" spans="1:27" ht="21" customHeight="1" x14ac:dyDescent="0.95">
      <c r="A3407" s="56"/>
      <c r="B3407" s="57"/>
      <c r="C3407" s="57"/>
      <c r="D3407" s="57"/>
      <c r="E3407" s="56"/>
      <c r="F3407" s="57"/>
      <c r="G3407" s="57"/>
      <c r="H3407" s="56"/>
      <c r="I3407" s="56"/>
      <c r="J3407" s="58"/>
      <c r="K3407" s="58"/>
      <c r="L3407" s="13" t="str">
        <f t="shared" si="530"/>
        <v/>
      </c>
      <c r="M3407" s="13" t="str">
        <f t="shared" si="531"/>
        <v/>
      </c>
      <c r="Q3407" t="str">
        <f t="shared" si="532"/>
        <v/>
      </c>
      <c r="R3407" t="str">
        <f t="shared" si="533"/>
        <v/>
      </c>
      <c r="S3407" t="str">
        <f t="shared" si="534"/>
        <v/>
      </c>
      <c r="T3407" t="str">
        <f t="shared" si="535"/>
        <v/>
      </c>
      <c r="U3407" t="str">
        <f t="shared" si="536"/>
        <v/>
      </c>
      <c r="V3407" t="str">
        <f t="shared" si="537"/>
        <v/>
      </c>
      <c r="W3407" t="str">
        <f t="shared" si="538"/>
        <v/>
      </c>
      <c r="X3407">
        <f>IF($T3407="",N($X3406),IF(MATCH($T3407,$T$6:$T$10005,0)=ROW()-5,N($X3406)+1,N($X3406)))</f>
        <v>0</v>
      </c>
      <c r="Z3407" t="str">
        <f t="shared" si="539"/>
        <v/>
      </c>
      <c r="AA3407">
        <f>IF($V3407="",N($AA3406),IF(MATCH($V3407,$V$6:$V$10005,0)=ROW()-5,N($AA3406)+1,N($AA3406)))</f>
        <v>0</v>
      </c>
    </row>
    <row r="3408" spans="1:27" ht="21" customHeight="1" x14ac:dyDescent="0.95">
      <c r="A3408" s="56"/>
      <c r="B3408" s="57"/>
      <c r="C3408" s="57"/>
      <c r="D3408" s="57"/>
      <c r="E3408" s="56"/>
      <c r="F3408" s="57"/>
      <c r="G3408" s="57"/>
      <c r="H3408" s="56"/>
      <c r="I3408" s="56"/>
      <c r="J3408" s="58"/>
      <c r="K3408" s="58"/>
      <c r="L3408" s="13" t="str">
        <f t="shared" si="530"/>
        <v/>
      </c>
      <c r="M3408" s="13" t="str">
        <f t="shared" si="531"/>
        <v/>
      </c>
      <c r="Q3408" t="str">
        <f t="shared" si="532"/>
        <v/>
      </c>
      <c r="R3408" t="str">
        <f t="shared" si="533"/>
        <v/>
      </c>
      <c r="S3408" t="str">
        <f t="shared" si="534"/>
        <v/>
      </c>
      <c r="T3408" t="str">
        <f t="shared" si="535"/>
        <v/>
      </c>
      <c r="U3408" t="str">
        <f t="shared" si="536"/>
        <v/>
      </c>
      <c r="V3408" t="str">
        <f t="shared" si="537"/>
        <v/>
      </c>
      <c r="W3408" t="str">
        <f t="shared" si="538"/>
        <v/>
      </c>
      <c r="X3408">
        <f>IF($T3408="",N($X3407),IF(MATCH($T3408,$T$6:$T$10005,0)=ROW()-5,N($X3407)+1,N($X3407)))</f>
        <v>0</v>
      </c>
      <c r="Z3408" t="str">
        <f t="shared" si="539"/>
        <v/>
      </c>
      <c r="AA3408">
        <f>IF($V3408="",N($AA3407),IF(MATCH($V3408,$V$6:$V$10005,0)=ROW()-5,N($AA3407)+1,N($AA3407)))</f>
        <v>0</v>
      </c>
    </row>
    <row r="3409" spans="1:27" ht="21" customHeight="1" x14ac:dyDescent="0.95">
      <c r="A3409" s="56"/>
      <c r="B3409" s="57"/>
      <c r="C3409" s="57"/>
      <c r="D3409" s="57"/>
      <c r="E3409" s="56"/>
      <c r="F3409" s="57"/>
      <c r="G3409" s="57"/>
      <c r="H3409" s="56"/>
      <c r="I3409" s="56"/>
      <c r="J3409" s="58"/>
      <c r="K3409" s="58"/>
      <c r="L3409" s="13" t="str">
        <f t="shared" si="530"/>
        <v/>
      </c>
      <c r="M3409" s="13" t="str">
        <f t="shared" si="531"/>
        <v/>
      </c>
      <c r="Q3409" t="str">
        <f t="shared" si="532"/>
        <v/>
      </c>
      <c r="R3409" t="str">
        <f t="shared" si="533"/>
        <v/>
      </c>
      <c r="S3409" t="str">
        <f t="shared" si="534"/>
        <v/>
      </c>
      <c r="T3409" t="str">
        <f t="shared" si="535"/>
        <v/>
      </c>
      <c r="U3409" t="str">
        <f t="shared" si="536"/>
        <v/>
      </c>
      <c r="V3409" t="str">
        <f t="shared" si="537"/>
        <v/>
      </c>
      <c r="W3409" t="str">
        <f t="shared" si="538"/>
        <v/>
      </c>
      <c r="X3409">
        <f>IF($T3409="",N($X3408),IF(MATCH($T3409,$T$6:$T$10005,0)=ROW()-5,N($X3408)+1,N($X3408)))</f>
        <v>0</v>
      </c>
      <c r="Z3409" t="str">
        <f t="shared" si="539"/>
        <v/>
      </c>
      <c r="AA3409">
        <f>IF($V3409="",N($AA3408),IF(MATCH($V3409,$V$6:$V$10005,0)=ROW()-5,N($AA3408)+1,N($AA3408)))</f>
        <v>0</v>
      </c>
    </row>
    <row r="3410" spans="1:27" ht="21" customHeight="1" x14ac:dyDescent="0.95">
      <c r="A3410" s="56"/>
      <c r="B3410" s="57"/>
      <c r="C3410" s="57"/>
      <c r="D3410" s="57"/>
      <c r="E3410" s="56"/>
      <c r="F3410" s="57"/>
      <c r="G3410" s="57"/>
      <c r="H3410" s="56"/>
      <c r="I3410" s="56"/>
      <c r="J3410" s="58"/>
      <c r="K3410" s="58"/>
      <c r="L3410" s="13" t="str">
        <f t="shared" si="530"/>
        <v/>
      </c>
      <c r="M3410" s="13" t="str">
        <f t="shared" si="531"/>
        <v/>
      </c>
      <c r="Q3410" t="str">
        <f t="shared" si="532"/>
        <v/>
      </c>
      <c r="R3410" t="str">
        <f t="shared" si="533"/>
        <v/>
      </c>
      <c r="S3410" t="str">
        <f t="shared" si="534"/>
        <v/>
      </c>
      <c r="T3410" t="str">
        <f t="shared" si="535"/>
        <v/>
      </c>
      <c r="U3410" t="str">
        <f t="shared" si="536"/>
        <v/>
      </c>
      <c r="V3410" t="str">
        <f t="shared" si="537"/>
        <v/>
      </c>
      <c r="W3410" t="str">
        <f t="shared" si="538"/>
        <v/>
      </c>
      <c r="X3410">
        <f>IF($T3410="",N($X3409),IF(MATCH($T3410,$T$6:$T$10005,0)=ROW()-5,N($X3409)+1,N($X3409)))</f>
        <v>0</v>
      </c>
      <c r="Z3410" t="str">
        <f t="shared" si="539"/>
        <v/>
      </c>
      <c r="AA3410">
        <f>IF($V3410="",N($AA3409),IF(MATCH($V3410,$V$6:$V$10005,0)=ROW()-5,N($AA3409)+1,N($AA3409)))</f>
        <v>0</v>
      </c>
    </row>
    <row r="3411" spans="1:27" ht="21" customHeight="1" x14ac:dyDescent="0.95">
      <c r="A3411" s="56"/>
      <c r="B3411" s="57"/>
      <c r="C3411" s="57"/>
      <c r="D3411" s="57"/>
      <c r="E3411" s="56"/>
      <c r="F3411" s="57"/>
      <c r="G3411" s="57"/>
      <c r="H3411" s="56"/>
      <c r="I3411" s="56"/>
      <c r="J3411" s="58"/>
      <c r="K3411" s="58"/>
      <c r="L3411" s="13" t="str">
        <f t="shared" si="530"/>
        <v/>
      </c>
      <c r="M3411" s="13" t="str">
        <f t="shared" si="531"/>
        <v/>
      </c>
      <c r="Q3411" t="str">
        <f t="shared" si="532"/>
        <v/>
      </c>
      <c r="R3411" t="str">
        <f t="shared" si="533"/>
        <v/>
      </c>
      <c r="S3411" t="str">
        <f t="shared" si="534"/>
        <v/>
      </c>
      <c r="T3411" t="str">
        <f t="shared" si="535"/>
        <v/>
      </c>
      <c r="U3411" t="str">
        <f t="shared" si="536"/>
        <v/>
      </c>
      <c r="V3411" t="str">
        <f t="shared" si="537"/>
        <v/>
      </c>
      <c r="W3411" t="str">
        <f t="shared" si="538"/>
        <v/>
      </c>
      <c r="X3411">
        <f>IF($T3411="",N($X3410),IF(MATCH($T3411,$T$6:$T$10005,0)=ROW()-5,N($X3410)+1,N($X3410)))</f>
        <v>0</v>
      </c>
      <c r="Z3411" t="str">
        <f t="shared" si="539"/>
        <v/>
      </c>
      <c r="AA3411">
        <f>IF($V3411="",N($AA3410),IF(MATCH($V3411,$V$6:$V$10005,0)=ROW()-5,N($AA3410)+1,N($AA3410)))</f>
        <v>0</v>
      </c>
    </row>
    <row r="3412" spans="1:27" ht="21" customHeight="1" x14ac:dyDescent="0.95">
      <c r="A3412" s="56"/>
      <c r="B3412" s="57"/>
      <c r="C3412" s="57"/>
      <c r="D3412" s="57"/>
      <c r="E3412" s="56"/>
      <c r="F3412" s="57"/>
      <c r="G3412" s="57"/>
      <c r="H3412" s="56"/>
      <c r="I3412" s="56"/>
      <c r="J3412" s="58"/>
      <c r="K3412" s="58"/>
      <c r="L3412" s="13" t="str">
        <f t="shared" si="530"/>
        <v/>
      </c>
      <c r="M3412" s="13" t="str">
        <f t="shared" si="531"/>
        <v/>
      </c>
      <c r="Q3412" t="str">
        <f t="shared" si="532"/>
        <v/>
      </c>
      <c r="R3412" t="str">
        <f t="shared" si="533"/>
        <v/>
      </c>
      <c r="S3412" t="str">
        <f t="shared" si="534"/>
        <v/>
      </c>
      <c r="T3412" t="str">
        <f t="shared" si="535"/>
        <v/>
      </c>
      <c r="U3412" t="str">
        <f t="shared" si="536"/>
        <v/>
      </c>
      <c r="V3412" t="str">
        <f t="shared" si="537"/>
        <v/>
      </c>
      <c r="W3412" t="str">
        <f t="shared" si="538"/>
        <v/>
      </c>
      <c r="X3412">
        <f>IF($T3412="",N($X3411),IF(MATCH($T3412,$T$6:$T$10005,0)=ROW()-5,N($X3411)+1,N($X3411)))</f>
        <v>0</v>
      </c>
      <c r="Z3412" t="str">
        <f t="shared" si="539"/>
        <v/>
      </c>
      <c r="AA3412">
        <f>IF($V3412="",N($AA3411),IF(MATCH($V3412,$V$6:$V$10005,0)=ROW()-5,N($AA3411)+1,N($AA3411)))</f>
        <v>0</v>
      </c>
    </row>
    <row r="3413" spans="1:27" ht="21" customHeight="1" x14ac:dyDescent="0.95">
      <c r="A3413" s="56"/>
      <c r="B3413" s="57"/>
      <c r="C3413" s="57"/>
      <c r="D3413" s="57"/>
      <c r="E3413" s="56"/>
      <c r="F3413" s="57"/>
      <c r="G3413" s="57"/>
      <c r="H3413" s="56"/>
      <c r="I3413" s="56"/>
      <c r="J3413" s="58"/>
      <c r="K3413" s="58"/>
      <c r="L3413" s="13" t="str">
        <f t="shared" si="530"/>
        <v/>
      </c>
      <c r="M3413" s="13" t="str">
        <f t="shared" si="531"/>
        <v/>
      </c>
      <c r="Q3413" t="str">
        <f t="shared" si="532"/>
        <v/>
      </c>
      <c r="R3413" t="str">
        <f t="shared" si="533"/>
        <v/>
      </c>
      <c r="S3413" t="str">
        <f t="shared" si="534"/>
        <v/>
      </c>
      <c r="T3413" t="str">
        <f t="shared" si="535"/>
        <v/>
      </c>
      <c r="U3413" t="str">
        <f t="shared" si="536"/>
        <v/>
      </c>
      <c r="V3413" t="str">
        <f t="shared" si="537"/>
        <v/>
      </c>
      <c r="W3413" t="str">
        <f t="shared" si="538"/>
        <v/>
      </c>
      <c r="X3413">
        <f>IF($T3413="",N($X3412),IF(MATCH($T3413,$T$6:$T$10005,0)=ROW()-5,N($X3412)+1,N($X3412)))</f>
        <v>0</v>
      </c>
      <c r="Z3413" t="str">
        <f t="shared" si="539"/>
        <v/>
      </c>
      <c r="AA3413">
        <f>IF($V3413="",N($AA3412),IF(MATCH($V3413,$V$6:$V$10005,0)=ROW()-5,N($AA3412)+1,N($AA3412)))</f>
        <v>0</v>
      </c>
    </row>
    <row r="3414" spans="1:27" ht="21" customHeight="1" x14ac:dyDescent="0.95">
      <c r="A3414" s="56"/>
      <c r="B3414" s="57"/>
      <c r="C3414" s="57"/>
      <c r="D3414" s="57"/>
      <c r="E3414" s="56"/>
      <c r="F3414" s="57"/>
      <c r="G3414" s="57"/>
      <c r="H3414" s="56"/>
      <c r="I3414" s="56"/>
      <c r="J3414" s="58"/>
      <c r="K3414" s="58"/>
      <c r="L3414" s="13" t="str">
        <f t="shared" si="530"/>
        <v/>
      </c>
      <c r="M3414" s="13" t="str">
        <f t="shared" si="531"/>
        <v/>
      </c>
      <c r="Q3414" t="str">
        <f t="shared" si="532"/>
        <v/>
      </c>
      <c r="R3414" t="str">
        <f t="shared" si="533"/>
        <v/>
      </c>
      <c r="S3414" t="str">
        <f t="shared" si="534"/>
        <v/>
      </c>
      <c r="T3414" t="str">
        <f t="shared" si="535"/>
        <v/>
      </c>
      <c r="U3414" t="str">
        <f t="shared" si="536"/>
        <v/>
      </c>
      <c r="V3414" t="str">
        <f t="shared" si="537"/>
        <v/>
      </c>
      <c r="W3414" t="str">
        <f t="shared" si="538"/>
        <v/>
      </c>
      <c r="X3414">
        <f>IF($T3414="",N($X3413),IF(MATCH($T3414,$T$6:$T$10005,0)=ROW()-5,N($X3413)+1,N($X3413)))</f>
        <v>0</v>
      </c>
      <c r="Z3414" t="str">
        <f t="shared" si="539"/>
        <v/>
      </c>
      <c r="AA3414">
        <f>IF($V3414="",N($AA3413),IF(MATCH($V3414,$V$6:$V$10005,0)=ROW()-5,N($AA3413)+1,N($AA3413)))</f>
        <v>0</v>
      </c>
    </row>
    <row r="3415" spans="1:27" ht="21" customHeight="1" x14ac:dyDescent="0.95">
      <c r="A3415" s="56"/>
      <c r="B3415" s="57"/>
      <c r="C3415" s="57"/>
      <c r="D3415" s="57"/>
      <c r="E3415" s="56"/>
      <c r="F3415" s="57"/>
      <c r="G3415" s="57"/>
      <c r="H3415" s="56"/>
      <c r="I3415" s="56"/>
      <c r="J3415" s="58"/>
      <c r="K3415" s="58"/>
      <c r="L3415" s="13" t="str">
        <f t="shared" si="530"/>
        <v/>
      </c>
      <c r="M3415" s="13" t="str">
        <f t="shared" si="531"/>
        <v/>
      </c>
      <c r="Q3415" t="str">
        <f t="shared" si="532"/>
        <v/>
      </c>
      <c r="R3415" t="str">
        <f t="shared" si="533"/>
        <v/>
      </c>
      <c r="S3415" t="str">
        <f t="shared" si="534"/>
        <v/>
      </c>
      <c r="T3415" t="str">
        <f t="shared" si="535"/>
        <v/>
      </c>
      <c r="U3415" t="str">
        <f t="shared" si="536"/>
        <v/>
      </c>
      <c r="V3415" t="str">
        <f t="shared" si="537"/>
        <v/>
      </c>
      <c r="W3415" t="str">
        <f t="shared" si="538"/>
        <v/>
      </c>
      <c r="X3415">
        <f>IF($T3415="",N($X3414),IF(MATCH($T3415,$T$6:$T$10005,0)=ROW()-5,N($X3414)+1,N($X3414)))</f>
        <v>0</v>
      </c>
      <c r="Z3415" t="str">
        <f t="shared" si="539"/>
        <v/>
      </c>
      <c r="AA3415">
        <f>IF($V3415="",N($AA3414),IF(MATCH($V3415,$V$6:$V$10005,0)=ROW()-5,N($AA3414)+1,N($AA3414)))</f>
        <v>0</v>
      </c>
    </row>
    <row r="3416" spans="1:27" ht="21" customHeight="1" x14ac:dyDescent="0.95">
      <c r="A3416" s="56"/>
      <c r="B3416" s="57"/>
      <c r="C3416" s="57"/>
      <c r="D3416" s="57"/>
      <c r="E3416" s="56"/>
      <c r="F3416" s="57"/>
      <c r="G3416" s="57"/>
      <c r="H3416" s="56"/>
      <c r="I3416" s="56"/>
      <c r="J3416" s="58"/>
      <c r="K3416" s="58"/>
      <c r="L3416" s="13" t="str">
        <f t="shared" si="530"/>
        <v/>
      </c>
      <c r="M3416" s="13" t="str">
        <f t="shared" si="531"/>
        <v/>
      </c>
      <c r="Q3416" t="str">
        <f t="shared" si="532"/>
        <v/>
      </c>
      <c r="R3416" t="str">
        <f t="shared" si="533"/>
        <v/>
      </c>
      <c r="S3416" t="str">
        <f t="shared" si="534"/>
        <v/>
      </c>
      <c r="T3416" t="str">
        <f t="shared" si="535"/>
        <v/>
      </c>
      <c r="U3416" t="str">
        <f t="shared" si="536"/>
        <v/>
      </c>
      <c r="V3416" t="str">
        <f t="shared" si="537"/>
        <v/>
      </c>
      <c r="W3416" t="str">
        <f t="shared" si="538"/>
        <v/>
      </c>
      <c r="X3416">
        <f>IF($T3416="",N($X3415),IF(MATCH($T3416,$T$6:$T$10005,0)=ROW()-5,N($X3415)+1,N($X3415)))</f>
        <v>0</v>
      </c>
      <c r="Z3416" t="str">
        <f t="shared" si="539"/>
        <v/>
      </c>
      <c r="AA3416">
        <f>IF($V3416="",N($AA3415),IF(MATCH($V3416,$V$6:$V$10005,0)=ROW()-5,N($AA3415)+1,N($AA3415)))</f>
        <v>0</v>
      </c>
    </row>
    <row r="3417" spans="1:27" ht="21" customHeight="1" x14ac:dyDescent="0.95">
      <c r="A3417" s="56"/>
      <c r="B3417" s="57"/>
      <c r="C3417" s="57"/>
      <c r="D3417" s="57"/>
      <c r="E3417" s="56"/>
      <c r="F3417" s="57"/>
      <c r="G3417" s="57"/>
      <c r="H3417" s="56"/>
      <c r="I3417" s="56"/>
      <c r="J3417" s="58"/>
      <c r="K3417" s="58"/>
      <c r="L3417" s="13" t="str">
        <f t="shared" si="530"/>
        <v/>
      </c>
      <c r="M3417" s="13" t="str">
        <f t="shared" si="531"/>
        <v/>
      </c>
      <c r="Q3417" t="str">
        <f t="shared" si="532"/>
        <v/>
      </c>
      <c r="R3417" t="str">
        <f t="shared" si="533"/>
        <v/>
      </c>
      <c r="S3417" t="str">
        <f t="shared" si="534"/>
        <v/>
      </c>
      <c r="T3417" t="str">
        <f t="shared" si="535"/>
        <v/>
      </c>
      <c r="U3417" t="str">
        <f t="shared" si="536"/>
        <v/>
      </c>
      <c r="V3417" t="str">
        <f t="shared" si="537"/>
        <v/>
      </c>
      <c r="W3417" t="str">
        <f t="shared" si="538"/>
        <v/>
      </c>
      <c r="X3417">
        <f>IF($T3417="",N($X3416),IF(MATCH($T3417,$T$6:$T$10005,0)=ROW()-5,N($X3416)+1,N($X3416)))</f>
        <v>0</v>
      </c>
      <c r="Z3417" t="str">
        <f t="shared" si="539"/>
        <v/>
      </c>
      <c r="AA3417">
        <f>IF($V3417="",N($AA3416),IF(MATCH($V3417,$V$6:$V$10005,0)=ROW()-5,N($AA3416)+1,N($AA3416)))</f>
        <v>0</v>
      </c>
    </row>
    <row r="3418" spans="1:27" ht="21" customHeight="1" x14ac:dyDescent="0.95">
      <c r="A3418" s="56"/>
      <c r="B3418" s="57"/>
      <c r="C3418" s="57"/>
      <c r="D3418" s="57"/>
      <c r="E3418" s="56"/>
      <c r="F3418" s="57"/>
      <c r="G3418" s="57"/>
      <c r="H3418" s="56"/>
      <c r="I3418" s="56"/>
      <c r="J3418" s="58"/>
      <c r="K3418" s="58"/>
      <c r="L3418" s="13" t="str">
        <f t="shared" si="530"/>
        <v/>
      </c>
      <c r="M3418" s="13" t="str">
        <f t="shared" si="531"/>
        <v/>
      </c>
      <c r="Q3418" t="str">
        <f t="shared" si="532"/>
        <v/>
      </c>
      <c r="R3418" t="str">
        <f t="shared" si="533"/>
        <v/>
      </c>
      <c r="S3418" t="str">
        <f t="shared" si="534"/>
        <v/>
      </c>
      <c r="T3418" t="str">
        <f t="shared" si="535"/>
        <v/>
      </c>
      <c r="U3418" t="str">
        <f t="shared" si="536"/>
        <v/>
      </c>
      <c r="V3418" t="str">
        <f t="shared" si="537"/>
        <v/>
      </c>
      <c r="W3418" t="str">
        <f t="shared" si="538"/>
        <v/>
      </c>
      <c r="X3418">
        <f>IF($T3418="",N($X3417),IF(MATCH($T3418,$T$6:$T$10005,0)=ROW()-5,N($X3417)+1,N($X3417)))</f>
        <v>0</v>
      </c>
      <c r="Z3418" t="str">
        <f t="shared" si="539"/>
        <v/>
      </c>
      <c r="AA3418">
        <f>IF($V3418="",N($AA3417),IF(MATCH($V3418,$V$6:$V$10005,0)=ROW()-5,N($AA3417)+1,N($AA3417)))</f>
        <v>0</v>
      </c>
    </row>
    <row r="3419" spans="1:27" ht="21" customHeight="1" x14ac:dyDescent="0.95">
      <c r="A3419" s="56"/>
      <c r="B3419" s="57"/>
      <c r="C3419" s="57"/>
      <c r="D3419" s="57"/>
      <c r="E3419" s="56"/>
      <c r="F3419" s="57"/>
      <c r="G3419" s="57"/>
      <c r="H3419" s="56"/>
      <c r="I3419" s="56"/>
      <c r="J3419" s="58"/>
      <c r="K3419" s="58"/>
      <c r="L3419" s="13" t="str">
        <f t="shared" si="530"/>
        <v/>
      </c>
      <c r="M3419" s="13" t="str">
        <f t="shared" si="531"/>
        <v/>
      </c>
      <c r="Q3419" t="str">
        <f t="shared" si="532"/>
        <v/>
      </c>
      <c r="R3419" t="str">
        <f t="shared" si="533"/>
        <v/>
      </c>
      <c r="S3419" t="str">
        <f t="shared" si="534"/>
        <v/>
      </c>
      <c r="T3419" t="str">
        <f t="shared" si="535"/>
        <v/>
      </c>
      <c r="U3419" t="str">
        <f t="shared" si="536"/>
        <v/>
      </c>
      <c r="V3419" t="str">
        <f t="shared" si="537"/>
        <v/>
      </c>
      <c r="W3419" t="str">
        <f t="shared" si="538"/>
        <v/>
      </c>
      <c r="X3419">
        <f>IF($T3419="",N($X3418),IF(MATCH($T3419,$T$6:$T$10005,0)=ROW()-5,N($X3418)+1,N($X3418)))</f>
        <v>0</v>
      </c>
      <c r="Z3419" t="str">
        <f t="shared" si="539"/>
        <v/>
      </c>
      <c r="AA3419">
        <f>IF($V3419="",N($AA3418),IF(MATCH($V3419,$V$6:$V$10005,0)=ROW()-5,N($AA3418)+1,N($AA3418)))</f>
        <v>0</v>
      </c>
    </row>
    <row r="3420" spans="1:27" ht="21" customHeight="1" x14ac:dyDescent="0.95">
      <c r="A3420" s="56"/>
      <c r="B3420" s="57"/>
      <c r="C3420" s="57"/>
      <c r="D3420" s="57"/>
      <c r="E3420" s="56"/>
      <c r="F3420" s="57"/>
      <c r="G3420" s="57"/>
      <c r="H3420" s="56"/>
      <c r="I3420" s="56"/>
      <c r="J3420" s="58"/>
      <c r="K3420" s="58"/>
      <c r="L3420" s="13" t="str">
        <f t="shared" si="530"/>
        <v/>
      </c>
      <c r="M3420" s="13" t="str">
        <f t="shared" si="531"/>
        <v/>
      </c>
      <c r="Q3420" t="str">
        <f t="shared" si="532"/>
        <v/>
      </c>
      <c r="R3420" t="str">
        <f t="shared" si="533"/>
        <v/>
      </c>
      <c r="S3420" t="str">
        <f t="shared" si="534"/>
        <v/>
      </c>
      <c r="T3420" t="str">
        <f t="shared" si="535"/>
        <v/>
      </c>
      <c r="U3420" t="str">
        <f t="shared" si="536"/>
        <v/>
      </c>
      <c r="V3420" t="str">
        <f t="shared" si="537"/>
        <v/>
      </c>
      <c r="W3420" t="str">
        <f t="shared" si="538"/>
        <v/>
      </c>
      <c r="X3420">
        <f>IF($T3420="",N($X3419),IF(MATCH($T3420,$T$6:$T$10005,0)=ROW()-5,N($X3419)+1,N($X3419)))</f>
        <v>0</v>
      </c>
      <c r="Z3420" t="str">
        <f t="shared" si="539"/>
        <v/>
      </c>
      <c r="AA3420">
        <f>IF($V3420="",N($AA3419),IF(MATCH($V3420,$V$6:$V$10005,0)=ROW()-5,N($AA3419)+1,N($AA3419)))</f>
        <v>0</v>
      </c>
    </row>
    <row r="3421" spans="1:27" ht="21" customHeight="1" x14ac:dyDescent="0.95">
      <c r="A3421" s="56"/>
      <c r="B3421" s="57"/>
      <c r="C3421" s="57"/>
      <c r="D3421" s="57"/>
      <c r="E3421" s="56"/>
      <c r="F3421" s="57"/>
      <c r="G3421" s="57"/>
      <c r="H3421" s="56"/>
      <c r="I3421" s="56"/>
      <c r="J3421" s="58"/>
      <c r="K3421" s="58"/>
      <c r="L3421" s="13" t="str">
        <f t="shared" si="530"/>
        <v/>
      </c>
      <c r="M3421" s="13" t="str">
        <f t="shared" si="531"/>
        <v/>
      </c>
      <c r="Q3421" t="str">
        <f t="shared" si="532"/>
        <v/>
      </c>
      <c r="R3421" t="str">
        <f t="shared" si="533"/>
        <v/>
      </c>
      <c r="S3421" t="str">
        <f t="shared" si="534"/>
        <v/>
      </c>
      <c r="T3421" t="str">
        <f t="shared" si="535"/>
        <v/>
      </c>
      <c r="U3421" t="str">
        <f t="shared" si="536"/>
        <v/>
      </c>
      <c r="V3421" t="str">
        <f t="shared" si="537"/>
        <v/>
      </c>
      <c r="W3421" t="str">
        <f t="shared" si="538"/>
        <v/>
      </c>
      <c r="X3421">
        <f>IF($T3421="",N($X3420),IF(MATCH($T3421,$T$6:$T$10005,0)=ROW()-5,N($X3420)+1,N($X3420)))</f>
        <v>0</v>
      </c>
      <c r="Z3421" t="str">
        <f t="shared" si="539"/>
        <v/>
      </c>
      <c r="AA3421">
        <f>IF($V3421="",N($AA3420),IF(MATCH($V3421,$V$6:$V$10005,0)=ROW()-5,N($AA3420)+1,N($AA3420)))</f>
        <v>0</v>
      </c>
    </row>
    <row r="3422" spans="1:27" ht="21" customHeight="1" x14ac:dyDescent="0.95">
      <c r="A3422" s="56"/>
      <c r="B3422" s="57"/>
      <c r="C3422" s="57"/>
      <c r="D3422" s="57"/>
      <c r="E3422" s="56"/>
      <c r="F3422" s="57"/>
      <c r="G3422" s="57"/>
      <c r="H3422" s="56"/>
      <c r="I3422" s="56"/>
      <c r="J3422" s="58"/>
      <c r="K3422" s="58"/>
      <c r="L3422" s="13" t="str">
        <f t="shared" si="530"/>
        <v/>
      </c>
      <c r="M3422" s="13" t="str">
        <f t="shared" si="531"/>
        <v/>
      </c>
      <c r="Q3422" t="str">
        <f t="shared" si="532"/>
        <v/>
      </c>
      <c r="R3422" t="str">
        <f t="shared" si="533"/>
        <v/>
      </c>
      <c r="S3422" t="str">
        <f t="shared" si="534"/>
        <v/>
      </c>
      <c r="T3422" t="str">
        <f t="shared" si="535"/>
        <v/>
      </c>
      <c r="U3422" t="str">
        <f t="shared" si="536"/>
        <v/>
      </c>
      <c r="V3422" t="str">
        <f t="shared" si="537"/>
        <v/>
      </c>
      <c r="W3422" t="str">
        <f t="shared" si="538"/>
        <v/>
      </c>
      <c r="X3422">
        <f>IF($T3422="",N($X3421),IF(MATCH($T3422,$T$6:$T$10005,0)=ROW()-5,N($X3421)+1,N($X3421)))</f>
        <v>0</v>
      </c>
      <c r="Z3422" t="str">
        <f t="shared" si="539"/>
        <v/>
      </c>
      <c r="AA3422">
        <f>IF($V3422="",N($AA3421),IF(MATCH($V3422,$V$6:$V$10005,0)=ROW()-5,N($AA3421)+1,N($AA3421)))</f>
        <v>0</v>
      </c>
    </row>
    <row r="3423" spans="1:27" ht="21" customHeight="1" x14ac:dyDescent="0.95">
      <c r="A3423" s="56"/>
      <c r="B3423" s="57"/>
      <c r="C3423" s="57"/>
      <c r="D3423" s="57"/>
      <c r="E3423" s="56"/>
      <c r="F3423" s="57"/>
      <c r="G3423" s="57"/>
      <c r="H3423" s="56"/>
      <c r="I3423" s="56"/>
      <c r="J3423" s="58"/>
      <c r="K3423" s="58"/>
      <c r="L3423" s="13" t="str">
        <f t="shared" si="530"/>
        <v/>
      </c>
      <c r="M3423" s="13" t="str">
        <f t="shared" si="531"/>
        <v/>
      </c>
      <c r="Q3423" t="str">
        <f t="shared" si="532"/>
        <v/>
      </c>
      <c r="R3423" t="str">
        <f t="shared" si="533"/>
        <v/>
      </c>
      <c r="S3423" t="str">
        <f t="shared" si="534"/>
        <v/>
      </c>
      <c r="T3423" t="str">
        <f t="shared" si="535"/>
        <v/>
      </c>
      <c r="U3423" t="str">
        <f t="shared" si="536"/>
        <v/>
      </c>
      <c r="V3423" t="str">
        <f t="shared" si="537"/>
        <v/>
      </c>
      <c r="W3423" t="str">
        <f t="shared" si="538"/>
        <v/>
      </c>
      <c r="X3423">
        <f>IF($T3423="",N($X3422),IF(MATCH($T3423,$T$6:$T$10005,0)=ROW()-5,N($X3422)+1,N($X3422)))</f>
        <v>0</v>
      </c>
      <c r="Z3423" t="str">
        <f t="shared" si="539"/>
        <v/>
      </c>
      <c r="AA3423">
        <f>IF($V3423="",N($AA3422),IF(MATCH($V3423,$V$6:$V$10005,0)=ROW()-5,N($AA3422)+1,N($AA3422)))</f>
        <v>0</v>
      </c>
    </row>
    <row r="3424" spans="1:27" ht="21" customHeight="1" x14ac:dyDescent="0.95">
      <c r="A3424" s="56"/>
      <c r="B3424" s="57"/>
      <c r="C3424" s="57"/>
      <c r="D3424" s="57"/>
      <c r="E3424" s="56"/>
      <c r="F3424" s="57"/>
      <c r="G3424" s="57"/>
      <c r="H3424" s="56"/>
      <c r="I3424" s="56"/>
      <c r="J3424" s="58"/>
      <c r="K3424" s="58"/>
      <c r="L3424" s="13" t="str">
        <f t="shared" si="530"/>
        <v/>
      </c>
      <c r="M3424" s="13" t="str">
        <f t="shared" si="531"/>
        <v/>
      </c>
      <c r="Q3424" t="str">
        <f t="shared" si="532"/>
        <v/>
      </c>
      <c r="R3424" t="str">
        <f t="shared" si="533"/>
        <v/>
      </c>
      <c r="S3424" t="str">
        <f t="shared" si="534"/>
        <v/>
      </c>
      <c r="T3424" t="str">
        <f t="shared" si="535"/>
        <v/>
      </c>
      <c r="U3424" t="str">
        <f t="shared" si="536"/>
        <v/>
      </c>
      <c r="V3424" t="str">
        <f t="shared" si="537"/>
        <v/>
      </c>
      <c r="W3424" t="str">
        <f t="shared" si="538"/>
        <v/>
      </c>
      <c r="X3424">
        <f>IF($T3424="",N($X3423),IF(MATCH($T3424,$T$6:$T$10005,0)=ROW()-5,N($X3423)+1,N($X3423)))</f>
        <v>0</v>
      </c>
      <c r="Z3424" t="str">
        <f t="shared" si="539"/>
        <v/>
      </c>
      <c r="AA3424">
        <f>IF($V3424="",N($AA3423),IF(MATCH($V3424,$V$6:$V$10005,0)=ROW()-5,N($AA3423)+1,N($AA3423)))</f>
        <v>0</v>
      </c>
    </row>
    <row r="3425" spans="1:27" ht="21" customHeight="1" x14ac:dyDescent="0.95">
      <c r="A3425" s="56"/>
      <c r="B3425" s="57"/>
      <c r="C3425" s="57"/>
      <c r="D3425" s="57"/>
      <c r="E3425" s="56"/>
      <c r="F3425" s="57"/>
      <c r="G3425" s="57"/>
      <c r="H3425" s="56"/>
      <c r="I3425" s="56"/>
      <c r="J3425" s="58"/>
      <c r="K3425" s="58"/>
      <c r="L3425" s="13" t="str">
        <f t="shared" si="530"/>
        <v/>
      </c>
      <c r="M3425" s="13" t="str">
        <f t="shared" si="531"/>
        <v/>
      </c>
      <c r="Q3425" t="str">
        <f t="shared" si="532"/>
        <v/>
      </c>
      <c r="R3425" t="str">
        <f t="shared" si="533"/>
        <v/>
      </c>
      <c r="S3425" t="str">
        <f t="shared" si="534"/>
        <v/>
      </c>
      <c r="T3425" t="str">
        <f t="shared" si="535"/>
        <v/>
      </c>
      <c r="U3425" t="str">
        <f t="shared" si="536"/>
        <v/>
      </c>
      <c r="V3425" t="str">
        <f t="shared" si="537"/>
        <v/>
      </c>
      <c r="W3425" t="str">
        <f t="shared" si="538"/>
        <v/>
      </c>
      <c r="X3425">
        <f>IF($T3425="",N($X3424),IF(MATCH($T3425,$T$6:$T$10005,0)=ROW()-5,N($X3424)+1,N($X3424)))</f>
        <v>0</v>
      </c>
      <c r="Z3425" t="str">
        <f t="shared" si="539"/>
        <v/>
      </c>
      <c r="AA3425">
        <f>IF($V3425="",N($AA3424),IF(MATCH($V3425,$V$6:$V$10005,0)=ROW()-5,N($AA3424)+1,N($AA3424)))</f>
        <v>0</v>
      </c>
    </row>
    <row r="3426" spans="1:27" ht="21" customHeight="1" x14ac:dyDescent="0.95">
      <c r="A3426" s="56"/>
      <c r="B3426" s="57"/>
      <c r="C3426" s="57"/>
      <c r="D3426" s="57"/>
      <c r="E3426" s="56"/>
      <c r="F3426" s="57"/>
      <c r="G3426" s="57"/>
      <c r="H3426" s="56"/>
      <c r="I3426" s="56"/>
      <c r="J3426" s="58"/>
      <c r="K3426" s="58"/>
      <c r="L3426" s="13" t="str">
        <f t="shared" si="530"/>
        <v/>
      </c>
      <c r="M3426" s="13" t="str">
        <f t="shared" si="531"/>
        <v/>
      </c>
      <c r="Q3426" t="str">
        <f t="shared" si="532"/>
        <v/>
      </c>
      <c r="R3426" t="str">
        <f t="shared" si="533"/>
        <v/>
      </c>
      <c r="S3426" t="str">
        <f t="shared" si="534"/>
        <v/>
      </c>
      <c r="T3426" t="str">
        <f t="shared" si="535"/>
        <v/>
      </c>
      <c r="U3426" t="str">
        <f t="shared" si="536"/>
        <v/>
      </c>
      <c r="V3426" t="str">
        <f t="shared" si="537"/>
        <v/>
      </c>
      <c r="W3426" t="str">
        <f t="shared" si="538"/>
        <v/>
      </c>
      <c r="X3426">
        <f>IF($T3426="",N($X3425),IF(MATCH($T3426,$T$6:$T$10005,0)=ROW()-5,N($X3425)+1,N($X3425)))</f>
        <v>0</v>
      </c>
      <c r="Z3426" t="str">
        <f t="shared" si="539"/>
        <v/>
      </c>
      <c r="AA3426">
        <f>IF($V3426="",N($AA3425),IF(MATCH($V3426,$V$6:$V$10005,0)=ROW()-5,N($AA3425)+1,N($AA3425)))</f>
        <v>0</v>
      </c>
    </row>
    <row r="3427" spans="1:27" ht="21" customHeight="1" x14ac:dyDescent="0.95">
      <c r="A3427" s="56"/>
      <c r="B3427" s="57"/>
      <c r="C3427" s="57"/>
      <c r="D3427" s="57"/>
      <c r="E3427" s="56"/>
      <c r="F3427" s="57"/>
      <c r="G3427" s="57"/>
      <c r="H3427" s="56"/>
      <c r="I3427" s="56"/>
      <c r="J3427" s="58"/>
      <c r="K3427" s="58"/>
      <c r="L3427" s="13" t="str">
        <f t="shared" si="530"/>
        <v/>
      </c>
      <c r="M3427" s="13" t="str">
        <f t="shared" si="531"/>
        <v/>
      </c>
      <c r="Q3427" t="str">
        <f t="shared" si="532"/>
        <v/>
      </c>
      <c r="R3427" t="str">
        <f t="shared" si="533"/>
        <v/>
      </c>
      <c r="S3427" t="str">
        <f t="shared" si="534"/>
        <v/>
      </c>
      <c r="T3427" t="str">
        <f t="shared" si="535"/>
        <v/>
      </c>
      <c r="U3427" t="str">
        <f t="shared" si="536"/>
        <v/>
      </c>
      <c r="V3427" t="str">
        <f t="shared" si="537"/>
        <v/>
      </c>
      <c r="W3427" t="str">
        <f t="shared" si="538"/>
        <v/>
      </c>
      <c r="X3427">
        <f>IF($T3427="",N($X3426),IF(MATCH($T3427,$T$6:$T$10005,0)=ROW()-5,N($X3426)+1,N($X3426)))</f>
        <v>0</v>
      </c>
      <c r="Z3427" t="str">
        <f t="shared" si="539"/>
        <v/>
      </c>
      <c r="AA3427">
        <f>IF($V3427="",N($AA3426),IF(MATCH($V3427,$V$6:$V$10005,0)=ROW()-5,N($AA3426)+1,N($AA3426)))</f>
        <v>0</v>
      </c>
    </row>
    <row r="3428" spans="1:27" ht="21" customHeight="1" x14ac:dyDescent="0.95">
      <c r="A3428" s="56"/>
      <c r="B3428" s="57"/>
      <c r="C3428" s="57"/>
      <c r="D3428" s="57"/>
      <c r="E3428" s="56"/>
      <c r="F3428" s="57"/>
      <c r="G3428" s="57"/>
      <c r="H3428" s="56"/>
      <c r="I3428" s="56"/>
      <c r="J3428" s="58"/>
      <c r="K3428" s="58"/>
      <c r="L3428" s="13" t="str">
        <f t="shared" si="530"/>
        <v/>
      </c>
      <c r="M3428" s="13" t="str">
        <f t="shared" si="531"/>
        <v/>
      </c>
      <c r="Q3428" t="str">
        <f t="shared" si="532"/>
        <v/>
      </c>
      <c r="R3428" t="str">
        <f t="shared" si="533"/>
        <v/>
      </c>
      <c r="S3428" t="str">
        <f t="shared" si="534"/>
        <v/>
      </c>
      <c r="T3428" t="str">
        <f t="shared" si="535"/>
        <v/>
      </c>
      <c r="U3428" t="str">
        <f t="shared" si="536"/>
        <v/>
      </c>
      <c r="V3428" t="str">
        <f t="shared" si="537"/>
        <v/>
      </c>
      <c r="W3428" t="str">
        <f t="shared" si="538"/>
        <v/>
      </c>
      <c r="X3428">
        <f>IF($T3428="",N($X3427),IF(MATCH($T3428,$T$6:$T$10005,0)=ROW()-5,N($X3427)+1,N($X3427)))</f>
        <v>0</v>
      </c>
      <c r="Z3428" t="str">
        <f t="shared" si="539"/>
        <v/>
      </c>
      <c r="AA3428">
        <f>IF($V3428="",N($AA3427),IF(MATCH($V3428,$V$6:$V$10005,0)=ROW()-5,N($AA3427)+1,N($AA3427)))</f>
        <v>0</v>
      </c>
    </row>
    <row r="3429" spans="1:27" ht="21" customHeight="1" x14ac:dyDescent="0.95">
      <c r="A3429" s="56"/>
      <c r="B3429" s="57"/>
      <c r="C3429" s="57"/>
      <c r="D3429" s="57"/>
      <c r="E3429" s="56"/>
      <c r="F3429" s="57"/>
      <c r="G3429" s="57"/>
      <c r="H3429" s="56"/>
      <c r="I3429" s="56"/>
      <c r="J3429" s="58"/>
      <c r="K3429" s="58"/>
      <c r="L3429" s="13" t="str">
        <f t="shared" si="530"/>
        <v/>
      </c>
      <c r="M3429" s="13" t="str">
        <f t="shared" si="531"/>
        <v/>
      </c>
      <c r="Q3429" t="str">
        <f t="shared" si="532"/>
        <v/>
      </c>
      <c r="R3429" t="str">
        <f t="shared" si="533"/>
        <v/>
      </c>
      <c r="S3429" t="str">
        <f t="shared" si="534"/>
        <v/>
      </c>
      <c r="T3429" t="str">
        <f t="shared" si="535"/>
        <v/>
      </c>
      <c r="U3429" t="str">
        <f t="shared" si="536"/>
        <v/>
      </c>
      <c r="V3429" t="str">
        <f t="shared" si="537"/>
        <v/>
      </c>
      <c r="W3429" t="str">
        <f t="shared" si="538"/>
        <v/>
      </c>
      <c r="X3429">
        <f>IF($T3429="",N($X3428),IF(MATCH($T3429,$T$6:$T$10005,0)=ROW()-5,N($X3428)+1,N($X3428)))</f>
        <v>0</v>
      </c>
      <c r="Z3429" t="str">
        <f t="shared" si="539"/>
        <v/>
      </c>
      <c r="AA3429">
        <f>IF($V3429="",N($AA3428),IF(MATCH($V3429,$V$6:$V$10005,0)=ROW()-5,N($AA3428)+1,N($AA3428)))</f>
        <v>0</v>
      </c>
    </row>
    <row r="3430" spans="1:27" ht="21" customHeight="1" x14ac:dyDescent="0.95">
      <c r="A3430" s="56"/>
      <c r="B3430" s="57"/>
      <c r="C3430" s="57"/>
      <c r="D3430" s="57"/>
      <c r="E3430" s="56"/>
      <c r="F3430" s="57"/>
      <c r="G3430" s="57"/>
      <c r="H3430" s="56"/>
      <c r="I3430" s="56"/>
      <c r="J3430" s="58"/>
      <c r="K3430" s="58"/>
      <c r="L3430" s="13" t="str">
        <f t="shared" si="530"/>
        <v/>
      </c>
      <c r="M3430" s="13" t="str">
        <f t="shared" si="531"/>
        <v/>
      </c>
      <c r="Q3430" t="str">
        <f t="shared" si="532"/>
        <v/>
      </c>
      <c r="R3430" t="str">
        <f t="shared" si="533"/>
        <v/>
      </c>
      <c r="S3430" t="str">
        <f t="shared" si="534"/>
        <v/>
      </c>
      <c r="T3430" t="str">
        <f t="shared" si="535"/>
        <v/>
      </c>
      <c r="U3430" t="str">
        <f t="shared" si="536"/>
        <v/>
      </c>
      <c r="V3430" t="str">
        <f t="shared" si="537"/>
        <v/>
      </c>
      <c r="W3430" t="str">
        <f t="shared" si="538"/>
        <v/>
      </c>
      <c r="X3430">
        <f>IF($T3430="",N($X3429),IF(MATCH($T3430,$T$6:$T$10005,0)=ROW()-5,N($X3429)+1,N($X3429)))</f>
        <v>0</v>
      </c>
      <c r="Z3430" t="str">
        <f t="shared" si="539"/>
        <v/>
      </c>
      <c r="AA3430">
        <f>IF($V3430="",N($AA3429),IF(MATCH($V3430,$V$6:$V$10005,0)=ROW()-5,N($AA3429)+1,N($AA3429)))</f>
        <v>0</v>
      </c>
    </row>
    <row r="3431" spans="1:27" ht="21" customHeight="1" x14ac:dyDescent="0.95">
      <c r="A3431" s="56"/>
      <c r="B3431" s="57"/>
      <c r="C3431" s="57"/>
      <c r="D3431" s="57"/>
      <c r="E3431" s="56"/>
      <c r="F3431" s="57"/>
      <c r="G3431" s="57"/>
      <c r="H3431" s="56"/>
      <c r="I3431" s="56"/>
      <c r="J3431" s="58"/>
      <c r="K3431" s="58"/>
      <c r="L3431" s="13" t="str">
        <f t="shared" si="530"/>
        <v/>
      </c>
      <c r="M3431" s="13" t="str">
        <f t="shared" si="531"/>
        <v/>
      </c>
      <c r="Q3431" t="str">
        <f t="shared" si="532"/>
        <v/>
      </c>
      <c r="R3431" t="str">
        <f t="shared" si="533"/>
        <v/>
      </c>
      <c r="S3431" t="str">
        <f t="shared" si="534"/>
        <v/>
      </c>
      <c r="T3431" t="str">
        <f t="shared" si="535"/>
        <v/>
      </c>
      <c r="U3431" t="str">
        <f t="shared" si="536"/>
        <v/>
      </c>
      <c r="V3431" t="str">
        <f t="shared" si="537"/>
        <v/>
      </c>
      <c r="W3431" t="str">
        <f t="shared" si="538"/>
        <v/>
      </c>
      <c r="X3431">
        <f>IF($T3431="",N($X3430),IF(MATCH($T3431,$T$6:$T$10005,0)=ROW()-5,N($X3430)+1,N($X3430)))</f>
        <v>0</v>
      </c>
      <c r="Z3431" t="str">
        <f t="shared" si="539"/>
        <v/>
      </c>
      <c r="AA3431">
        <f>IF($V3431="",N($AA3430),IF(MATCH($V3431,$V$6:$V$10005,0)=ROW()-5,N($AA3430)+1,N($AA3430)))</f>
        <v>0</v>
      </c>
    </row>
    <row r="3432" spans="1:27" ht="21" customHeight="1" x14ac:dyDescent="0.95">
      <c r="A3432" s="56"/>
      <c r="B3432" s="57"/>
      <c r="C3432" s="57"/>
      <c r="D3432" s="57"/>
      <c r="E3432" s="56"/>
      <c r="F3432" s="57"/>
      <c r="G3432" s="57"/>
      <c r="H3432" s="56"/>
      <c r="I3432" s="56"/>
      <c r="J3432" s="58"/>
      <c r="K3432" s="58"/>
      <c r="L3432" s="13" t="str">
        <f t="shared" si="530"/>
        <v/>
      </c>
      <c r="M3432" s="13" t="str">
        <f t="shared" si="531"/>
        <v/>
      </c>
      <c r="Q3432" t="str">
        <f t="shared" si="532"/>
        <v/>
      </c>
      <c r="R3432" t="str">
        <f t="shared" si="533"/>
        <v/>
      </c>
      <c r="S3432" t="str">
        <f t="shared" si="534"/>
        <v/>
      </c>
      <c r="T3432" t="str">
        <f t="shared" si="535"/>
        <v/>
      </c>
      <c r="U3432" t="str">
        <f t="shared" si="536"/>
        <v/>
      </c>
      <c r="V3432" t="str">
        <f t="shared" si="537"/>
        <v/>
      </c>
      <c r="W3432" t="str">
        <f t="shared" si="538"/>
        <v/>
      </c>
      <c r="X3432">
        <f>IF($T3432="",N($X3431),IF(MATCH($T3432,$T$6:$T$10005,0)=ROW()-5,N($X3431)+1,N($X3431)))</f>
        <v>0</v>
      </c>
      <c r="Z3432" t="str">
        <f t="shared" si="539"/>
        <v/>
      </c>
      <c r="AA3432">
        <f>IF($V3432="",N($AA3431),IF(MATCH($V3432,$V$6:$V$10005,0)=ROW()-5,N($AA3431)+1,N($AA3431)))</f>
        <v>0</v>
      </c>
    </row>
    <row r="3433" spans="1:27" ht="21" customHeight="1" x14ac:dyDescent="0.95">
      <c r="A3433" s="56"/>
      <c r="B3433" s="57"/>
      <c r="C3433" s="57"/>
      <c r="D3433" s="57"/>
      <c r="E3433" s="56"/>
      <c r="F3433" s="57"/>
      <c r="G3433" s="57"/>
      <c r="H3433" s="56"/>
      <c r="I3433" s="56"/>
      <c r="J3433" s="58"/>
      <c r="K3433" s="58"/>
      <c r="L3433" s="13" t="str">
        <f t="shared" si="530"/>
        <v/>
      </c>
      <c r="M3433" s="13" t="str">
        <f t="shared" si="531"/>
        <v/>
      </c>
      <c r="Q3433" t="str">
        <f t="shared" si="532"/>
        <v/>
      </c>
      <c r="R3433" t="str">
        <f t="shared" si="533"/>
        <v/>
      </c>
      <c r="S3433" t="str">
        <f t="shared" si="534"/>
        <v/>
      </c>
      <c r="T3433" t="str">
        <f t="shared" si="535"/>
        <v/>
      </c>
      <c r="U3433" t="str">
        <f t="shared" si="536"/>
        <v/>
      </c>
      <c r="V3433" t="str">
        <f t="shared" si="537"/>
        <v/>
      </c>
      <c r="W3433" t="str">
        <f t="shared" si="538"/>
        <v/>
      </c>
      <c r="X3433">
        <f>IF($T3433="",N($X3432),IF(MATCH($T3433,$T$6:$T$10005,0)=ROW()-5,N($X3432)+1,N($X3432)))</f>
        <v>0</v>
      </c>
      <c r="Z3433" t="str">
        <f t="shared" si="539"/>
        <v/>
      </c>
      <c r="AA3433">
        <f>IF($V3433="",N($AA3432),IF(MATCH($V3433,$V$6:$V$10005,0)=ROW()-5,N($AA3432)+1,N($AA3432)))</f>
        <v>0</v>
      </c>
    </row>
    <row r="3434" spans="1:27" ht="21" customHeight="1" x14ac:dyDescent="0.95">
      <c r="A3434" s="56"/>
      <c r="B3434" s="57"/>
      <c r="C3434" s="57"/>
      <c r="D3434" s="57"/>
      <c r="E3434" s="56"/>
      <c r="F3434" s="57"/>
      <c r="G3434" s="57"/>
      <c r="H3434" s="56"/>
      <c r="I3434" s="56"/>
      <c r="J3434" s="58"/>
      <c r="K3434" s="58"/>
      <c r="L3434" s="13" t="str">
        <f t="shared" si="530"/>
        <v/>
      </c>
      <c r="M3434" s="13" t="str">
        <f t="shared" si="531"/>
        <v/>
      </c>
      <c r="Q3434" t="str">
        <f t="shared" si="532"/>
        <v/>
      </c>
      <c r="R3434" t="str">
        <f t="shared" si="533"/>
        <v/>
      </c>
      <c r="S3434" t="str">
        <f t="shared" si="534"/>
        <v/>
      </c>
      <c r="T3434" t="str">
        <f t="shared" si="535"/>
        <v/>
      </c>
      <c r="U3434" t="str">
        <f t="shared" si="536"/>
        <v/>
      </c>
      <c r="V3434" t="str">
        <f t="shared" si="537"/>
        <v/>
      </c>
      <c r="W3434" t="str">
        <f t="shared" si="538"/>
        <v/>
      </c>
      <c r="X3434">
        <f>IF($T3434="",N($X3433),IF(MATCH($T3434,$T$6:$T$10005,0)=ROW()-5,N($X3433)+1,N($X3433)))</f>
        <v>0</v>
      </c>
      <c r="Z3434" t="str">
        <f t="shared" si="539"/>
        <v/>
      </c>
      <c r="AA3434">
        <f>IF($V3434="",N($AA3433),IF(MATCH($V3434,$V$6:$V$10005,0)=ROW()-5,N($AA3433)+1,N($AA3433)))</f>
        <v>0</v>
      </c>
    </row>
    <row r="3435" spans="1:27" ht="21" customHeight="1" x14ac:dyDescent="0.95">
      <c r="A3435" s="56"/>
      <c r="B3435" s="57"/>
      <c r="C3435" s="57"/>
      <c r="D3435" s="57"/>
      <c r="E3435" s="56"/>
      <c r="F3435" s="57"/>
      <c r="G3435" s="57"/>
      <c r="H3435" s="56"/>
      <c r="I3435" s="56"/>
      <c r="J3435" s="58"/>
      <c r="K3435" s="58"/>
      <c r="L3435" s="13" t="str">
        <f t="shared" si="530"/>
        <v/>
      </c>
      <c r="M3435" s="13" t="str">
        <f t="shared" si="531"/>
        <v/>
      </c>
      <c r="Q3435" t="str">
        <f t="shared" si="532"/>
        <v/>
      </c>
      <c r="R3435" t="str">
        <f t="shared" si="533"/>
        <v/>
      </c>
      <c r="S3435" t="str">
        <f t="shared" si="534"/>
        <v/>
      </c>
      <c r="T3435" t="str">
        <f t="shared" si="535"/>
        <v/>
      </c>
      <c r="U3435" t="str">
        <f t="shared" si="536"/>
        <v/>
      </c>
      <c r="V3435" t="str">
        <f t="shared" si="537"/>
        <v/>
      </c>
      <c r="W3435" t="str">
        <f t="shared" si="538"/>
        <v/>
      </c>
      <c r="X3435">
        <f>IF($T3435="",N($X3434),IF(MATCH($T3435,$T$6:$T$10005,0)=ROW()-5,N($X3434)+1,N($X3434)))</f>
        <v>0</v>
      </c>
      <c r="Z3435" t="str">
        <f t="shared" si="539"/>
        <v/>
      </c>
      <c r="AA3435">
        <f>IF($V3435="",N($AA3434),IF(MATCH($V3435,$V$6:$V$10005,0)=ROW()-5,N($AA3434)+1,N($AA3434)))</f>
        <v>0</v>
      </c>
    </row>
    <row r="3436" spans="1:27" ht="21" customHeight="1" x14ac:dyDescent="0.95">
      <c r="A3436" s="56"/>
      <c r="B3436" s="57"/>
      <c r="C3436" s="57"/>
      <c r="D3436" s="57"/>
      <c r="E3436" s="56"/>
      <c r="F3436" s="57"/>
      <c r="G3436" s="57"/>
      <c r="H3436" s="56"/>
      <c r="I3436" s="56"/>
      <c r="J3436" s="58"/>
      <c r="K3436" s="58"/>
      <c r="L3436" s="13" t="str">
        <f t="shared" si="530"/>
        <v/>
      </c>
      <c r="M3436" s="13" t="str">
        <f t="shared" si="531"/>
        <v/>
      </c>
      <c r="Q3436" t="str">
        <f t="shared" si="532"/>
        <v/>
      </c>
      <c r="R3436" t="str">
        <f t="shared" si="533"/>
        <v/>
      </c>
      <c r="S3436" t="str">
        <f t="shared" si="534"/>
        <v/>
      </c>
      <c r="T3436" t="str">
        <f t="shared" si="535"/>
        <v/>
      </c>
      <c r="U3436" t="str">
        <f t="shared" si="536"/>
        <v/>
      </c>
      <c r="V3436" t="str">
        <f t="shared" si="537"/>
        <v/>
      </c>
      <c r="W3436" t="str">
        <f t="shared" si="538"/>
        <v/>
      </c>
      <c r="X3436">
        <f>IF($T3436="",N($X3435),IF(MATCH($T3436,$T$6:$T$10005,0)=ROW()-5,N($X3435)+1,N($X3435)))</f>
        <v>0</v>
      </c>
      <c r="Z3436" t="str">
        <f t="shared" si="539"/>
        <v/>
      </c>
      <c r="AA3436">
        <f>IF($V3436="",N($AA3435),IF(MATCH($V3436,$V$6:$V$10005,0)=ROW()-5,N($AA3435)+1,N($AA3435)))</f>
        <v>0</v>
      </c>
    </row>
    <row r="3437" spans="1:27" ht="21" customHeight="1" x14ac:dyDescent="0.95">
      <c r="A3437" s="56"/>
      <c r="B3437" s="57"/>
      <c r="C3437" s="57"/>
      <c r="D3437" s="57"/>
      <c r="E3437" s="56"/>
      <c r="F3437" s="57"/>
      <c r="G3437" s="57"/>
      <c r="H3437" s="56"/>
      <c r="I3437" s="56"/>
      <c r="J3437" s="58"/>
      <c r="K3437" s="58"/>
      <c r="L3437" s="13" t="str">
        <f t="shared" si="530"/>
        <v/>
      </c>
      <c r="M3437" s="13" t="str">
        <f t="shared" si="531"/>
        <v/>
      </c>
      <c r="Q3437" t="str">
        <f t="shared" si="532"/>
        <v/>
      </c>
      <c r="R3437" t="str">
        <f t="shared" si="533"/>
        <v/>
      </c>
      <c r="S3437" t="str">
        <f t="shared" si="534"/>
        <v/>
      </c>
      <c r="T3437" t="str">
        <f t="shared" si="535"/>
        <v/>
      </c>
      <c r="U3437" t="str">
        <f t="shared" si="536"/>
        <v/>
      </c>
      <c r="V3437" t="str">
        <f t="shared" si="537"/>
        <v/>
      </c>
      <c r="W3437" t="str">
        <f t="shared" si="538"/>
        <v/>
      </c>
      <c r="X3437">
        <f>IF($T3437="",N($X3436),IF(MATCH($T3437,$T$6:$T$10005,0)=ROW()-5,N($X3436)+1,N($X3436)))</f>
        <v>0</v>
      </c>
      <c r="Z3437" t="str">
        <f t="shared" si="539"/>
        <v/>
      </c>
      <c r="AA3437">
        <f>IF($V3437="",N($AA3436),IF(MATCH($V3437,$V$6:$V$10005,0)=ROW()-5,N($AA3436)+1,N($AA3436)))</f>
        <v>0</v>
      </c>
    </row>
    <row r="3438" spans="1:27" ht="21" customHeight="1" x14ac:dyDescent="0.95">
      <c r="A3438" s="56"/>
      <c r="B3438" s="57"/>
      <c r="C3438" s="57"/>
      <c r="D3438" s="57"/>
      <c r="E3438" s="56"/>
      <c r="F3438" s="57"/>
      <c r="G3438" s="57"/>
      <c r="H3438" s="56"/>
      <c r="I3438" s="56"/>
      <c r="J3438" s="58"/>
      <c r="K3438" s="58"/>
      <c r="L3438" s="13" t="str">
        <f t="shared" si="530"/>
        <v/>
      </c>
      <c r="M3438" s="13" t="str">
        <f t="shared" si="531"/>
        <v/>
      </c>
      <c r="Q3438" t="str">
        <f t="shared" si="532"/>
        <v/>
      </c>
      <c r="R3438" t="str">
        <f t="shared" si="533"/>
        <v/>
      </c>
      <c r="S3438" t="str">
        <f t="shared" si="534"/>
        <v/>
      </c>
      <c r="T3438" t="str">
        <f t="shared" si="535"/>
        <v/>
      </c>
      <c r="U3438" t="str">
        <f t="shared" si="536"/>
        <v/>
      </c>
      <c r="V3438" t="str">
        <f t="shared" si="537"/>
        <v/>
      </c>
      <c r="W3438" t="str">
        <f t="shared" si="538"/>
        <v/>
      </c>
      <c r="X3438">
        <f>IF($T3438="",N($X3437),IF(MATCH($T3438,$T$6:$T$10005,0)=ROW()-5,N($X3437)+1,N($X3437)))</f>
        <v>0</v>
      </c>
      <c r="Z3438" t="str">
        <f t="shared" si="539"/>
        <v/>
      </c>
      <c r="AA3438">
        <f>IF($V3438="",N($AA3437),IF(MATCH($V3438,$V$6:$V$10005,0)=ROW()-5,N($AA3437)+1,N($AA3437)))</f>
        <v>0</v>
      </c>
    </row>
    <row r="3439" spans="1:27" ht="21" customHeight="1" x14ac:dyDescent="0.95">
      <c r="A3439" s="56"/>
      <c r="B3439" s="57"/>
      <c r="C3439" s="57"/>
      <c r="D3439" s="57"/>
      <c r="E3439" s="56"/>
      <c r="F3439" s="57"/>
      <c r="G3439" s="57"/>
      <c r="H3439" s="56"/>
      <c r="I3439" s="56"/>
      <c r="J3439" s="58"/>
      <c r="K3439" s="58"/>
      <c r="L3439" s="13" t="str">
        <f t="shared" si="530"/>
        <v/>
      </c>
      <c r="M3439" s="13" t="str">
        <f t="shared" si="531"/>
        <v/>
      </c>
      <c r="Q3439" t="str">
        <f t="shared" si="532"/>
        <v/>
      </c>
      <c r="R3439" t="str">
        <f t="shared" si="533"/>
        <v/>
      </c>
      <c r="S3439" t="str">
        <f t="shared" si="534"/>
        <v/>
      </c>
      <c r="T3439" t="str">
        <f t="shared" si="535"/>
        <v/>
      </c>
      <c r="U3439" t="str">
        <f t="shared" si="536"/>
        <v/>
      </c>
      <c r="V3439" t="str">
        <f t="shared" si="537"/>
        <v/>
      </c>
      <c r="W3439" t="str">
        <f t="shared" si="538"/>
        <v/>
      </c>
      <c r="X3439">
        <f>IF($T3439="",N($X3438),IF(MATCH($T3439,$T$6:$T$10005,0)=ROW()-5,N($X3438)+1,N($X3438)))</f>
        <v>0</v>
      </c>
      <c r="Z3439" t="str">
        <f t="shared" si="539"/>
        <v/>
      </c>
      <c r="AA3439">
        <f>IF($V3439="",N($AA3438),IF(MATCH($V3439,$V$6:$V$10005,0)=ROW()-5,N($AA3438)+1,N($AA3438)))</f>
        <v>0</v>
      </c>
    </row>
    <row r="3440" spans="1:27" ht="21" customHeight="1" x14ac:dyDescent="0.95">
      <c r="A3440" s="56"/>
      <c r="B3440" s="57"/>
      <c r="C3440" s="57"/>
      <c r="D3440" s="57"/>
      <c r="E3440" s="56"/>
      <c r="F3440" s="57"/>
      <c r="G3440" s="57"/>
      <c r="H3440" s="56"/>
      <c r="I3440" s="56"/>
      <c r="J3440" s="58"/>
      <c r="K3440" s="58"/>
      <c r="L3440" s="13" t="str">
        <f t="shared" si="530"/>
        <v/>
      </c>
      <c r="M3440" s="13" t="str">
        <f t="shared" si="531"/>
        <v/>
      </c>
      <c r="Q3440" t="str">
        <f t="shared" si="532"/>
        <v/>
      </c>
      <c r="R3440" t="str">
        <f t="shared" si="533"/>
        <v/>
      </c>
      <c r="S3440" t="str">
        <f t="shared" si="534"/>
        <v/>
      </c>
      <c r="T3440" t="str">
        <f t="shared" si="535"/>
        <v/>
      </c>
      <c r="U3440" t="str">
        <f t="shared" si="536"/>
        <v/>
      </c>
      <c r="V3440" t="str">
        <f t="shared" si="537"/>
        <v/>
      </c>
      <c r="W3440" t="str">
        <f t="shared" si="538"/>
        <v/>
      </c>
      <c r="X3440">
        <f>IF($T3440="",N($X3439),IF(MATCH($T3440,$T$6:$T$10005,0)=ROW()-5,N($X3439)+1,N($X3439)))</f>
        <v>0</v>
      </c>
      <c r="Z3440" t="str">
        <f t="shared" si="539"/>
        <v/>
      </c>
      <c r="AA3440">
        <f>IF($V3440="",N($AA3439),IF(MATCH($V3440,$V$6:$V$10005,0)=ROW()-5,N($AA3439)+1,N($AA3439)))</f>
        <v>0</v>
      </c>
    </row>
    <row r="3441" spans="1:27" ht="21" customHeight="1" x14ac:dyDescent="0.95">
      <c r="A3441" s="56"/>
      <c r="B3441" s="57"/>
      <c r="C3441" s="57"/>
      <c r="D3441" s="57"/>
      <c r="E3441" s="56"/>
      <c r="F3441" s="57"/>
      <c r="G3441" s="57"/>
      <c r="H3441" s="56"/>
      <c r="I3441" s="56"/>
      <c r="J3441" s="58"/>
      <c r="K3441" s="58"/>
      <c r="L3441" s="13" t="str">
        <f t="shared" si="530"/>
        <v/>
      </c>
      <c r="M3441" s="13" t="str">
        <f t="shared" si="531"/>
        <v/>
      </c>
      <c r="Q3441" t="str">
        <f t="shared" si="532"/>
        <v/>
      </c>
      <c r="R3441" t="str">
        <f t="shared" si="533"/>
        <v/>
      </c>
      <c r="S3441" t="str">
        <f t="shared" si="534"/>
        <v/>
      </c>
      <c r="T3441" t="str">
        <f t="shared" si="535"/>
        <v/>
      </c>
      <c r="U3441" t="str">
        <f t="shared" si="536"/>
        <v/>
      </c>
      <c r="V3441" t="str">
        <f t="shared" si="537"/>
        <v/>
      </c>
      <c r="W3441" t="str">
        <f t="shared" si="538"/>
        <v/>
      </c>
      <c r="X3441">
        <f>IF($T3441="",N($X3440),IF(MATCH($T3441,$T$6:$T$10005,0)=ROW()-5,N($X3440)+1,N($X3440)))</f>
        <v>0</v>
      </c>
      <c r="Z3441" t="str">
        <f t="shared" si="539"/>
        <v/>
      </c>
      <c r="AA3441">
        <f>IF($V3441="",N($AA3440),IF(MATCH($V3441,$V$6:$V$10005,0)=ROW()-5,N($AA3440)+1,N($AA3440)))</f>
        <v>0</v>
      </c>
    </row>
    <row r="3442" spans="1:27" ht="21" customHeight="1" x14ac:dyDescent="0.95">
      <c r="A3442" s="56"/>
      <c r="B3442" s="57"/>
      <c r="C3442" s="57"/>
      <c r="D3442" s="57"/>
      <c r="E3442" s="56"/>
      <c r="F3442" s="57"/>
      <c r="G3442" s="57"/>
      <c r="H3442" s="56"/>
      <c r="I3442" s="56"/>
      <c r="J3442" s="58"/>
      <c r="K3442" s="58"/>
      <c r="L3442" s="13" t="str">
        <f t="shared" si="530"/>
        <v/>
      </c>
      <c r="M3442" s="13" t="str">
        <f t="shared" si="531"/>
        <v/>
      </c>
      <c r="Q3442" t="str">
        <f t="shared" si="532"/>
        <v/>
      </c>
      <c r="R3442" t="str">
        <f t="shared" si="533"/>
        <v/>
      </c>
      <c r="S3442" t="str">
        <f t="shared" si="534"/>
        <v/>
      </c>
      <c r="T3442" t="str">
        <f t="shared" si="535"/>
        <v/>
      </c>
      <c r="U3442" t="str">
        <f t="shared" si="536"/>
        <v/>
      </c>
      <c r="V3442" t="str">
        <f t="shared" si="537"/>
        <v/>
      </c>
      <c r="W3442" t="str">
        <f t="shared" si="538"/>
        <v/>
      </c>
      <c r="X3442">
        <f>IF($T3442="",N($X3441),IF(MATCH($T3442,$T$6:$T$10005,0)=ROW()-5,N($X3441)+1,N($X3441)))</f>
        <v>0</v>
      </c>
      <c r="Z3442" t="str">
        <f t="shared" si="539"/>
        <v/>
      </c>
      <c r="AA3442">
        <f>IF($V3442="",N($AA3441),IF(MATCH($V3442,$V$6:$V$10005,0)=ROW()-5,N($AA3441)+1,N($AA3441)))</f>
        <v>0</v>
      </c>
    </row>
    <row r="3443" spans="1:27" ht="21" customHeight="1" x14ac:dyDescent="0.95">
      <c r="A3443" s="56"/>
      <c r="B3443" s="57"/>
      <c r="C3443" s="57"/>
      <c r="D3443" s="57"/>
      <c r="E3443" s="56"/>
      <c r="F3443" s="57"/>
      <c r="G3443" s="57"/>
      <c r="H3443" s="56"/>
      <c r="I3443" s="56"/>
      <c r="J3443" s="58"/>
      <c r="K3443" s="58"/>
      <c r="L3443" s="13" t="str">
        <f t="shared" si="530"/>
        <v/>
      </c>
      <c r="M3443" s="13" t="str">
        <f t="shared" si="531"/>
        <v/>
      </c>
      <c r="Q3443" t="str">
        <f t="shared" si="532"/>
        <v/>
      </c>
      <c r="R3443" t="str">
        <f t="shared" si="533"/>
        <v/>
      </c>
      <c r="S3443" t="str">
        <f t="shared" si="534"/>
        <v/>
      </c>
      <c r="T3443" t="str">
        <f t="shared" si="535"/>
        <v/>
      </c>
      <c r="U3443" t="str">
        <f t="shared" si="536"/>
        <v/>
      </c>
      <c r="V3443" t="str">
        <f t="shared" si="537"/>
        <v/>
      </c>
      <c r="W3443" t="str">
        <f t="shared" si="538"/>
        <v/>
      </c>
      <c r="X3443">
        <f>IF($T3443="",N($X3442),IF(MATCH($T3443,$T$6:$T$10005,0)=ROW()-5,N($X3442)+1,N($X3442)))</f>
        <v>0</v>
      </c>
      <c r="Z3443" t="str">
        <f t="shared" si="539"/>
        <v/>
      </c>
      <c r="AA3443">
        <f>IF($V3443="",N($AA3442),IF(MATCH($V3443,$V$6:$V$10005,0)=ROW()-5,N($AA3442)+1,N($AA3442)))</f>
        <v>0</v>
      </c>
    </row>
    <row r="3444" spans="1:27" ht="21" customHeight="1" x14ac:dyDescent="0.95">
      <c r="A3444" s="56"/>
      <c r="B3444" s="57"/>
      <c r="C3444" s="57"/>
      <c r="D3444" s="57"/>
      <c r="E3444" s="56"/>
      <c r="F3444" s="57"/>
      <c r="G3444" s="57"/>
      <c r="H3444" s="56"/>
      <c r="I3444" s="56"/>
      <c r="J3444" s="58"/>
      <c r="K3444" s="58"/>
      <c r="L3444" s="13" t="str">
        <f t="shared" si="530"/>
        <v/>
      </c>
      <c r="M3444" s="13" t="str">
        <f t="shared" si="531"/>
        <v/>
      </c>
      <c r="Q3444" t="str">
        <f t="shared" si="532"/>
        <v/>
      </c>
      <c r="R3444" t="str">
        <f t="shared" si="533"/>
        <v/>
      </c>
      <c r="S3444" t="str">
        <f t="shared" si="534"/>
        <v/>
      </c>
      <c r="T3444" t="str">
        <f t="shared" si="535"/>
        <v/>
      </c>
      <c r="U3444" t="str">
        <f t="shared" si="536"/>
        <v/>
      </c>
      <c r="V3444" t="str">
        <f t="shared" si="537"/>
        <v/>
      </c>
      <c r="W3444" t="str">
        <f t="shared" si="538"/>
        <v/>
      </c>
      <c r="X3444">
        <f>IF($T3444="",N($X3443),IF(MATCH($T3444,$T$6:$T$10005,0)=ROW()-5,N($X3443)+1,N($X3443)))</f>
        <v>0</v>
      </c>
      <c r="Z3444" t="str">
        <f t="shared" si="539"/>
        <v/>
      </c>
      <c r="AA3444">
        <f>IF($V3444="",N($AA3443),IF(MATCH($V3444,$V$6:$V$10005,0)=ROW()-5,N($AA3443)+1,N($AA3443)))</f>
        <v>0</v>
      </c>
    </row>
    <row r="3445" spans="1:27" ht="21" customHeight="1" x14ac:dyDescent="0.95">
      <c r="A3445" s="56"/>
      <c r="B3445" s="57"/>
      <c r="C3445" s="57"/>
      <c r="D3445" s="57"/>
      <c r="E3445" s="56"/>
      <c r="F3445" s="57"/>
      <c r="G3445" s="57"/>
      <c r="H3445" s="56"/>
      <c r="I3445" s="56"/>
      <c r="J3445" s="58"/>
      <c r="K3445" s="58"/>
      <c r="L3445" s="13" t="str">
        <f t="shared" si="530"/>
        <v/>
      </c>
      <c r="M3445" s="13" t="str">
        <f t="shared" si="531"/>
        <v/>
      </c>
      <c r="Q3445" t="str">
        <f t="shared" si="532"/>
        <v/>
      </c>
      <c r="R3445" t="str">
        <f t="shared" si="533"/>
        <v/>
      </c>
      <c r="S3445" t="str">
        <f t="shared" si="534"/>
        <v/>
      </c>
      <c r="T3445" t="str">
        <f t="shared" si="535"/>
        <v/>
      </c>
      <c r="U3445" t="str">
        <f t="shared" si="536"/>
        <v/>
      </c>
      <c r="V3445" t="str">
        <f t="shared" si="537"/>
        <v/>
      </c>
      <c r="W3445" t="str">
        <f t="shared" si="538"/>
        <v/>
      </c>
      <c r="X3445">
        <f>IF($T3445="",N($X3444),IF(MATCH($T3445,$T$6:$T$10005,0)=ROW()-5,N($X3444)+1,N($X3444)))</f>
        <v>0</v>
      </c>
      <c r="Z3445" t="str">
        <f t="shared" si="539"/>
        <v/>
      </c>
      <c r="AA3445">
        <f>IF($V3445="",N($AA3444),IF(MATCH($V3445,$V$6:$V$10005,0)=ROW()-5,N($AA3444)+1,N($AA3444)))</f>
        <v>0</v>
      </c>
    </row>
    <row r="3446" spans="1:27" ht="21" customHeight="1" x14ac:dyDescent="0.95">
      <c r="A3446" s="56"/>
      <c r="B3446" s="57"/>
      <c r="C3446" s="57"/>
      <c r="D3446" s="57"/>
      <c r="E3446" s="56"/>
      <c r="F3446" s="57"/>
      <c r="G3446" s="57"/>
      <c r="H3446" s="56"/>
      <c r="I3446" s="56"/>
      <c r="J3446" s="58"/>
      <c r="K3446" s="58"/>
      <c r="L3446" s="13" t="str">
        <f t="shared" si="530"/>
        <v/>
      </c>
      <c r="M3446" s="13" t="str">
        <f t="shared" si="531"/>
        <v/>
      </c>
      <c r="Q3446" t="str">
        <f t="shared" si="532"/>
        <v/>
      </c>
      <c r="R3446" t="str">
        <f t="shared" si="533"/>
        <v/>
      </c>
      <c r="S3446" t="str">
        <f t="shared" si="534"/>
        <v/>
      </c>
      <c r="T3446" t="str">
        <f t="shared" si="535"/>
        <v/>
      </c>
      <c r="U3446" t="str">
        <f t="shared" si="536"/>
        <v/>
      </c>
      <c r="V3446" t="str">
        <f t="shared" si="537"/>
        <v/>
      </c>
      <c r="W3446" t="str">
        <f t="shared" si="538"/>
        <v/>
      </c>
      <c r="X3446">
        <f>IF($T3446="",N($X3445),IF(MATCH($T3446,$T$6:$T$10005,0)=ROW()-5,N($X3445)+1,N($X3445)))</f>
        <v>0</v>
      </c>
      <c r="Z3446" t="str">
        <f t="shared" si="539"/>
        <v/>
      </c>
      <c r="AA3446">
        <f>IF($V3446="",N($AA3445),IF(MATCH($V3446,$V$6:$V$10005,0)=ROW()-5,N($AA3445)+1,N($AA3445)))</f>
        <v>0</v>
      </c>
    </row>
    <row r="3447" spans="1:27" ht="21" customHeight="1" x14ac:dyDescent="0.95">
      <c r="A3447" s="56"/>
      <c r="B3447" s="57"/>
      <c r="C3447" s="57"/>
      <c r="D3447" s="57"/>
      <c r="E3447" s="56"/>
      <c r="F3447" s="57"/>
      <c r="G3447" s="57"/>
      <c r="H3447" s="56"/>
      <c r="I3447" s="56"/>
      <c r="J3447" s="58"/>
      <c r="K3447" s="58"/>
      <c r="L3447" s="13" t="str">
        <f t="shared" si="530"/>
        <v/>
      </c>
      <c r="M3447" s="13" t="str">
        <f t="shared" si="531"/>
        <v/>
      </c>
      <c r="Q3447" t="str">
        <f t="shared" si="532"/>
        <v/>
      </c>
      <c r="R3447" t="str">
        <f t="shared" si="533"/>
        <v/>
      </c>
      <c r="S3447" t="str">
        <f t="shared" si="534"/>
        <v/>
      </c>
      <c r="T3447" t="str">
        <f t="shared" si="535"/>
        <v/>
      </c>
      <c r="U3447" t="str">
        <f t="shared" si="536"/>
        <v/>
      </c>
      <c r="V3447" t="str">
        <f t="shared" si="537"/>
        <v/>
      </c>
      <c r="W3447" t="str">
        <f t="shared" si="538"/>
        <v/>
      </c>
      <c r="X3447">
        <f>IF($T3447="",N($X3446),IF(MATCH($T3447,$T$6:$T$10005,0)=ROW()-5,N($X3446)+1,N($X3446)))</f>
        <v>0</v>
      </c>
      <c r="Z3447" t="str">
        <f t="shared" si="539"/>
        <v/>
      </c>
      <c r="AA3447">
        <f>IF($V3447="",N($AA3446),IF(MATCH($V3447,$V$6:$V$10005,0)=ROW()-5,N($AA3446)+1,N($AA3446)))</f>
        <v>0</v>
      </c>
    </row>
    <row r="3448" spans="1:27" ht="21" customHeight="1" x14ac:dyDescent="0.95">
      <c r="A3448" s="56"/>
      <c r="B3448" s="57"/>
      <c r="C3448" s="57"/>
      <c r="D3448" s="57"/>
      <c r="E3448" s="56"/>
      <c r="F3448" s="57"/>
      <c r="G3448" s="57"/>
      <c r="H3448" s="56"/>
      <c r="I3448" s="56"/>
      <c r="J3448" s="58"/>
      <c r="K3448" s="58"/>
      <c r="L3448" s="13" t="str">
        <f t="shared" si="530"/>
        <v/>
      </c>
      <c r="M3448" s="13" t="str">
        <f t="shared" si="531"/>
        <v/>
      </c>
      <c r="Q3448" t="str">
        <f t="shared" si="532"/>
        <v/>
      </c>
      <c r="R3448" t="str">
        <f t="shared" si="533"/>
        <v/>
      </c>
      <c r="S3448" t="str">
        <f t="shared" si="534"/>
        <v/>
      </c>
      <c r="T3448" t="str">
        <f t="shared" si="535"/>
        <v/>
      </c>
      <c r="U3448" t="str">
        <f t="shared" si="536"/>
        <v/>
      </c>
      <c r="V3448" t="str">
        <f t="shared" si="537"/>
        <v/>
      </c>
      <c r="W3448" t="str">
        <f t="shared" si="538"/>
        <v/>
      </c>
      <c r="X3448">
        <f>IF($T3448="",N($X3447),IF(MATCH($T3448,$T$6:$T$10005,0)=ROW()-5,N($X3447)+1,N($X3447)))</f>
        <v>0</v>
      </c>
      <c r="Z3448" t="str">
        <f t="shared" si="539"/>
        <v/>
      </c>
      <c r="AA3448">
        <f>IF($V3448="",N($AA3447),IF(MATCH($V3448,$V$6:$V$10005,0)=ROW()-5,N($AA3447)+1,N($AA3447)))</f>
        <v>0</v>
      </c>
    </row>
    <row r="3449" spans="1:27" ht="21" customHeight="1" x14ac:dyDescent="0.95">
      <c r="A3449" s="56"/>
      <c r="B3449" s="57"/>
      <c r="C3449" s="57"/>
      <c r="D3449" s="57"/>
      <c r="E3449" s="56"/>
      <c r="F3449" s="57"/>
      <c r="G3449" s="57"/>
      <c r="H3449" s="56"/>
      <c r="I3449" s="56"/>
      <c r="J3449" s="58"/>
      <c r="K3449" s="58"/>
      <c r="L3449" s="13" t="str">
        <f t="shared" si="530"/>
        <v/>
      </c>
      <c r="M3449" s="13" t="str">
        <f t="shared" si="531"/>
        <v/>
      </c>
      <c r="Q3449" t="str">
        <f t="shared" si="532"/>
        <v/>
      </c>
      <c r="R3449" t="str">
        <f t="shared" si="533"/>
        <v/>
      </c>
      <c r="S3449" t="str">
        <f t="shared" si="534"/>
        <v/>
      </c>
      <c r="T3449" t="str">
        <f t="shared" si="535"/>
        <v/>
      </c>
      <c r="U3449" t="str">
        <f t="shared" si="536"/>
        <v/>
      </c>
      <c r="V3449" t="str">
        <f t="shared" si="537"/>
        <v/>
      </c>
      <c r="W3449" t="str">
        <f t="shared" si="538"/>
        <v/>
      </c>
      <c r="X3449">
        <f>IF($T3449="",N($X3448),IF(MATCH($T3449,$T$6:$T$10005,0)=ROW()-5,N($X3448)+1,N($X3448)))</f>
        <v>0</v>
      </c>
      <c r="Z3449" t="str">
        <f t="shared" si="539"/>
        <v/>
      </c>
      <c r="AA3449">
        <f>IF($V3449="",N($AA3448),IF(MATCH($V3449,$V$6:$V$10005,0)=ROW()-5,N($AA3448)+1,N($AA3448)))</f>
        <v>0</v>
      </c>
    </row>
    <row r="3450" spans="1:27" ht="21" customHeight="1" x14ac:dyDescent="0.95">
      <c r="A3450" s="56"/>
      <c r="B3450" s="57"/>
      <c r="C3450" s="57"/>
      <c r="D3450" s="57"/>
      <c r="E3450" s="56"/>
      <c r="F3450" s="57"/>
      <c r="G3450" s="57"/>
      <c r="H3450" s="56"/>
      <c r="I3450" s="56"/>
      <c r="J3450" s="58"/>
      <c r="K3450" s="58"/>
      <c r="L3450" s="13" t="str">
        <f t="shared" si="530"/>
        <v/>
      </c>
      <c r="M3450" s="13" t="str">
        <f t="shared" si="531"/>
        <v/>
      </c>
      <c r="Q3450" t="str">
        <f t="shared" si="532"/>
        <v/>
      </c>
      <c r="R3450" t="str">
        <f t="shared" si="533"/>
        <v/>
      </c>
      <c r="S3450" t="str">
        <f t="shared" si="534"/>
        <v/>
      </c>
      <c r="T3450" t="str">
        <f t="shared" si="535"/>
        <v/>
      </c>
      <c r="U3450" t="str">
        <f t="shared" si="536"/>
        <v/>
      </c>
      <c r="V3450" t="str">
        <f t="shared" si="537"/>
        <v/>
      </c>
      <c r="W3450" t="str">
        <f t="shared" si="538"/>
        <v/>
      </c>
      <c r="X3450">
        <f>IF($T3450="",N($X3449),IF(MATCH($T3450,$T$6:$T$10005,0)=ROW()-5,N($X3449)+1,N($X3449)))</f>
        <v>0</v>
      </c>
      <c r="Z3450" t="str">
        <f t="shared" si="539"/>
        <v/>
      </c>
      <c r="AA3450">
        <f>IF($V3450="",N($AA3449),IF(MATCH($V3450,$V$6:$V$10005,0)=ROW()-5,N($AA3449)+1,N($AA3449)))</f>
        <v>0</v>
      </c>
    </row>
    <row r="3451" spans="1:27" ht="21" customHeight="1" x14ac:dyDescent="0.95">
      <c r="A3451" s="56"/>
      <c r="B3451" s="57"/>
      <c r="C3451" s="57"/>
      <c r="D3451" s="57"/>
      <c r="E3451" s="56"/>
      <c r="F3451" s="57"/>
      <c r="G3451" s="57"/>
      <c r="H3451" s="56"/>
      <c r="I3451" s="56"/>
      <c r="J3451" s="58"/>
      <c r="K3451" s="58"/>
      <c r="L3451" s="13" t="str">
        <f t="shared" si="530"/>
        <v/>
      </c>
      <c r="M3451" s="13" t="str">
        <f t="shared" si="531"/>
        <v/>
      </c>
      <c r="Q3451" t="str">
        <f t="shared" si="532"/>
        <v/>
      </c>
      <c r="R3451" t="str">
        <f t="shared" si="533"/>
        <v/>
      </c>
      <c r="S3451" t="str">
        <f t="shared" si="534"/>
        <v/>
      </c>
      <c r="T3451" t="str">
        <f t="shared" si="535"/>
        <v/>
      </c>
      <c r="U3451" t="str">
        <f t="shared" si="536"/>
        <v/>
      </c>
      <c r="V3451" t="str">
        <f t="shared" si="537"/>
        <v/>
      </c>
      <c r="W3451" t="str">
        <f t="shared" si="538"/>
        <v/>
      </c>
      <c r="X3451">
        <f>IF($T3451="",N($X3450),IF(MATCH($T3451,$T$6:$T$10005,0)=ROW()-5,N($X3450)+1,N($X3450)))</f>
        <v>0</v>
      </c>
      <c r="Z3451" t="str">
        <f t="shared" si="539"/>
        <v/>
      </c>
      <c r="AA3451">
        <f>IF($V3451="",N($AA3450),IF(MATCH($V3451,$V$6:$V$10005,0)=ROW()-5,N($AA3450)+1,N($AA3450)))</f>
        <v>0</v>
      </c>
    </row>
    <row r="3452" spans="1:27" ht="21" customHeight="1" x14ac:dyDescent="0.95">
      <c r="A3452" s="56"/>
      <c r="B3452" s="57"/>
      <c r="C3452" s="57"/>
      <c r="D3452" s="57"/>
      <c r="E3452" s="56"/>
      <c r="F3452" s="57"/>
      <c r="G3452" s="57"/>
      <c r="H3452" s="56"/>
      <c r="I3452" s="56"/>
      <c r="J3452" s="58"/>
      <c r="K3452" s="58"/>
      <c r="L3452" s="13" t="str">
        <f t="shared" si="530"/>
        <v/>
      </c>
      <c r="M3452" s="13" t="str">
        <f t="shared" si="531"/>
        <v/>
      </c>
      <c r="Q3452" t="str">
        <f t="shared" si="532"/>
        <v/>
      </c>
      <c r="R3452" t="str">
        <f t="shared" si="533"/>
        <v/>
      </c>
      <c r="S3452" t="str">
        <f t="shared" si="534"/>
        <v/>
      </c>
      <c r="T3452" t="str">
        <f t="shared" si="535"/>
        <v/>
      </c>
      <c r="U3452" t="str">
        <f t="shared" si="536"/>
        <v/>
      </c>
      <c r="V3452" t="str">
        <f t="shared" si="537"/>
        <v/>
      </c>
      <c r="W3452" t="str">
        <f t="shared" si="538"/>
        <v/>
      </c>
      <c r="X3452">
        <f>IF($T3452="",N($X3451),IF(MATCH($T3452,$T$6:$T$10005,0)=ROW()-5,N($X3451)+1,N($X3451)))</f>
        <v>0</v>
      </c>
      <c r="Z3452" t="str">
        <f t="shared" si="539"/>
        <v/>
      </c>
      <c r="AA3452">
        <f>IF($V3452="",N($AA3451),IF(MATCH($V3452,$V$6:$V$10005,0)=ROW()-5,N($AA3451)+1,N($AA3451)))</f>
        <v>0</v>
      </c>
    </row>
    <row r="3453" spans="1:27" ht="21" customHeight="1" x14ac:dyDescent="0.95">
      <c r="A3453" s="56"/>
      <c r="B3453" s="57"/>
      <c r="C3453" s="57"/>
      <c r="D3453" s="57"/>
      <c r="E3453" s="56"/>
      <c r="F3453" s="57"/>
      <c r="G3453" s="57"/>
      <c r="H3453" s="56"/>
      <c r="I3453" s="56"/>
      <c r="J3453" s="58"/>
      <c r="K3453" s="58"/>
      <c r="L3453" s="13" t="str">
        <f t="shared" si="530"/>
        <v/>
      </c>
      <c r="M3453" s="13" t="str">
        <f t="shared" si="531"/>
        <v/>
      </c>
      <c r="Q3453" t="str">
        <f t="shared" si="532"/>
        <v/>
      </c>
      <c r="R3453" t="str">
        <f t="shared" si="533"/>
        <v/>
      </c>
      <c r="S3453" t="str">
        <f t="shared" si="534"/>
        <v/>
      </c>
      <c r="T3453" t="str">
        <f t="shared" si="535"/>
        <v/>
      </c>
      <c r="U3453" t="str">
        <f t="shared" si="536"/>
        <v/>
      </c>
      <c r="V3453" t="str">
        <f t="shared" si="537"/>
        <v/>
      </c>
      <c r="W3453" t="str">
        <f t="shared" si="538"/>
        <v/>
      </c>
      <c r="X3453">
        <f>IF($T3453="",N($X3452),IF(MATCH($T3453,$T$6:$T$10005,0)=ROW()-5,N($X3452)+1,N($X3452)))</f>
        <v>0</v>
      </c>
      <c r="Z3453" t="str">
        <f t="shared" si="539"/>
        <v/>
      </c>
      <c r="AA3453">
        <f>IF($V3453="",N($AA3452),IF(MATCH($V3453,$V$6:$V$10005,0)=ROW()-5,N($AA3452)+1,N($AA3452)))</f>
        <v>0</v>
      </c>
    </row>
    <row r="3454" spans="1:27" ht="21" customHeight="1" x14ac:dyDescent="0.95">
      <c r="A3454" s="56"/>
      <c r="B3454" s="57"/>
      <c r="C3454" s="57"/>
      <c r="D3454" s="57"/>
      <c r="E3454" s="56"/>
      <c r="F3454" s="57"/>
      <c r="G3454" s="57"/>
      <c r="H3454" s="56"/>
      <c r="I3454" s="56"/>
      <c r="J3454" s="58"/>
      <c r="K3454" s="58"/>
      <c r="L3454" s="13" t="str">
        <f t="shared" si="530"/>
        <v/>
      </c>
      <c r="M3454" s="13" t="str">
        <f t="shared" si="531"/>
        <v/>
      </c>
      <c r="Q3454" t="str">
        <f t="shared" si="532"/>
        <v/>
      </c>
      <c r="R3454" t="str">
        <f t="shared" si="533"/>
        <v/>
      </c>
      <c r="S3454" t="str">
        <f t="shared" si="534"/>
        <v/>
      </c>
      <c r="T3454" t="str">
        <f t="shared" si="535"/>
        <v/>
      </c>
      <c r="U3454" t="str">
        <f t="shared" si="536"/>
        <v/>
      </c>
      <c r="V3454" t="str">
        <f t="shared" si="537"/>
        <v/>
      </c>
      <c r="W3454" t="str">
        <f t="shared" si="538"/>
        <v/>
      </c>
      <c r="X3454">
        <f>IF($T3454="",N($X3453),IF(MATCH($T3454,$T$6:$T$10005,0)=ROW()-5,N($X3453)+1,N($X3453)))</f>
        <v>0</v>
      </c>
      <c r="Z3454" t="str">
        <f t="shared" si="539"/>
        <v/>
      </c>
      <c r="AA3454">
        <f>IF($V3454="",N($AA3453),IF(MATCH($V3454,$V$6:$V$10005,0)=ROW()-5,N($AA3453)+1,N($AA3453)))</f>
        <v>0</v>
      </c>
    </row>
    <row r="3455" spans="1:27" ht="21" customHeight="1" x14ac:dyDescent="0.95">
      <c r="A3455" s="56"/>
      <c r="B3455" s="57"/>
      <c r="C3455" s="57"/>
      <c r="D3455" s="57"/>
      <c r="E3455" s="56"/>
      <c r="F3455" s="57"/>
      <c r="G3455" s="57"/>
      <c r="H3455" s="56"/>
      <c r="I3455" s="56"/>
      <c r="J3455" s="58"/>
      <c r="K3455" s="58"/>
      <c r="L3455" s="13" t="str">
        <f t="shared" si="530"/>
        <v/>
      </c>
      <c r="M3455" s="13" t="str">
        <f t="shared" si="531"/>
        <v/>
      </c>
      <c r="Q3455" t="str">
        <f t="shared" si="532"/>
        <v/>
      </c>
      <c r="R3455" t="str">
        <f t="shared" si="533"/>
        <v/>
      </c>
      <c r="S3455" t="str">
        <f t="shared" si="534"/>
        <v/>
      </c>
      <c r="T3455" t="str">
        <f t="shared" si="535"/>
        <v/>
      </c>
      <c r="U3455" t="str">
        <f t="shared" si="536"/>
        <v/>
      </c>
      <c r="V3455" t="str">
        <f t="shared" si="537"/>
        <v/>
      </c>
      <c r="W3455" t="str">
        <f t="shared" si="538"/>
        <v/>
      </c>
      <c r="X3455">
        <f>IF($T3455="",N($X3454),IF(MATCH($T3455,$T$6:$T$10005,0)=ROW()-5,N($X3454)+1,N($X3454)))</f>
        <v>0</v>
      </c>
      <c r="Z3455" t="str">
        <f t="shared" si="539"/>
        <v/>
      </c>
      <c r="AA3455">
        <f>IF($V3455="",N($AA3454),IF(MATCH($V3455,$V$6:$V$10005,0)=ROW()-5,N($AA3454)+1,N($AA3454)))</f>
        <v>0</v>
      </c>
    </row>
    <row r="3456" spans="1:27" ht="21" customHeight="1" x14ac:dyDescent="0.95">
      <c r="A3456" s="56"/>
      <c r="B3456" s="57"/>
      <c r="C3456" s="57"/>
      <c r="D3456" s="57"/>
      <c r="E3456" s="56"/>
      <c r="F3456" s="57"/>
      <c r="G3456" s="57"/>
      <c r="H3456" s="56"/>
      <c r="I3456" s="56"/>
      <c r="J3456" s="58"/>
      <c r="K3456" s="58"/>
      <c r="L3456" s="13" t="str">
        <f t="shared" si="530"/>
        <v/>
      </c>
      <c r="M3456" s="13" t="str">
        <f t="shared" si="531"/>
        <v/>
      </c>
      <c r="Q3456" t="str">
        <f t="shared" si="532"/>
        <v/>
      </c>
      <c r="R3456" t="str">
        <f t="shared" si="533"/>
        <v/>
      </c>
      <c r="S3456" t="str">
        <f t="shared" si="534"/>
        <v/>
      </c>
      <c r="T3456" t="str">
        <f t="shared" si="535"/>
        <v/>
      </c>
      <c r="U3456" t="str">
        <f t="shared" si="536"/>
        <v/>
      </c>
      <c r="V3456" t="str">
        <f t="shared" si="537"/>
        <v/>
      </c>
      <c r="W3456" t="str">
        <f t="shared" si="538"/>
        <v/>
      </c>
      <c r="X3456">
        <f>IF($T3456="",N($X3455),IF(MATCH($T3456,$T$6:$T$10005,0)=ROW()-5,N($X3455)+1,N($X3455)))</f>
        <v>0</v>
      </c>
      <c r="Z3456" t="str">
        <f t="shared" si="539"/>
        <v/>
      </c>
      <c r="AA3456">
        <f>IF($V3456="",N($AA3455),IF(MATCH($V3456,$V$6:$V$10005,0)=ROW()-5,N($AA3455)+1,N($AA3455)))</f>
        <v>0</v>
      </c>
    </row>
    <row r="3457" spans="1:27" ht="21" customHeight="1" x14ac:dyDescent="0.95">
      <c r="A3457" s="56"/>
      <c r="B3457" s="57"/>
      <c r="C3457" s="57"/>
      <c r="D3457" s="57"/>
      <c r="E3457" s="56"/>
      <c r="F3457" s="57"/>
      <c r="G3457" s="57"/>
      <c r="H3457" s="56"/>
      <c r="I3457" s="56"/>
      <c r="J3457" s="58"/>
      <c r="K3457" s="58"/>
      <c r="L3457" s="13" t="str">
        <f t="shared" si="530"/>
        <v/>
      </c>
      <c r="M3457" s="13" t="str">
        <f t="shared" si="531"/>
        <v/>
      </c>
      <c r="Q3457" t="str">
        <f t="shared" si="532"/>
        <v/>
      </c>
      <c r="R3457" t="str">
        <f t="shared" si="533"/>
        <v/>
      </c>
      <c r="S3457" t="str">
        <f t="shared" si="534"/>
        <v/>
      </c>
      <c r="T3457" t="str">
        <f t="shared" si="535"/>
        <v/>
      </c>
      <c r="U3457" t="str">
        <f t="shared" si="536"/>
        <v/>
      </c>
      <c r="V3457" t="str">
        <f t="shared" si="537"/>
        <v/>
      </c>
      <c r="W3457" t="str">
        <f t="shared" si="538"/>
        <v/>
      </c>
      <c r="X3457">
        <f>IF($T3457="",N($X3456),IF(MATCH($T3457,$T$6:$T$10005,0)=ROW()-5,N($X3456)+1,N($X3456)))</f>
        <v>0</v>
      </c>
      <c r="Z3457" t="str">
        <f t="shared" si="539"/>
        <v/>
      </c>
      <c r="AA3457">
        <f>IF($V3457="",N($AA3456),IF(MATCH($V3457,$V$6:$V$10005,0)=ROW()-5,N($AA3456)+1,N($AA3456)))</f>
        <v>0</v>
      </c>
    </row>
    <row r="3458" spans="1:27" ht="21" customHeight="1" x14ac:dyDescent="0.95">
      <c r="A3458" s="56"/>
      <c r="B3458" s="57"/>
      <c r="C3458" s="57"/>
      <c r="D3458" s="57"/>
      <c r="E3458" s="56"/>
      <c r="F3458" s="57"/>
      <c r="G3458" s="57"/>
      <c r="H3458" s="56"/>
      <c r="I3458" s="56"/>
      <c r="J3458" s="58"/>
      <c r="K3458" s="58"/>
      <c r="L3458" s="13" t="str">
        <f t="shared" si="530"/>
        <v/>
      </c>
      <c r="M3458" s="13" t="str">
        <f t="shared" si="531"/>
        <v/>
      </c>
      <c r="Q3458" t="str">
        <f t="shared" si="532"/>
        <v/>
      </c>
      <c r="R3458" t="str">
        <f t="shared" si="533"/>
        <v/>
      </c>
      <c r="S3458" t="str">
        <f t="shared" si="534"/>
        <v/>
      </c>
      <c r="T3458" t="str">
        <f t="shared" si="535"/>
        <v/>
      </c>
      <c r="U3458" t="str">
        <f t="shared" si="536"/>
        <v/>
      </c>
      <c r="V3458" t="str">
        <f t="shared" si="537"/>
        <v/>
      </c>
      <c r="W3458" t="str">
        <f t="shared" si="538"/>
        <v/>
      </c>
      <c r="X3458">
        <f>IF($T3458="",N($X3457),IF(MATCH($T3458,$T$6:$T$10005,0)=ROW()-5,N($X3457)+1,N($X3457)))</f>
        <v>0</v>
      </c>
      <c r="Z3458" t="str">
        <f t="shared" si="539"/>
        <v/>
      </c>
      <c r="AA3458">
        <f>IF($V3458="",N($AA3457),IF(MATCH($V3458,$V$6:$V$10005,0)=ROW()-5,N($AA3457)+1,N($AA3457)))</f>
        <v>0</v>
      </c>
    </row>
    <row r="3459" spans="1:27" ht="21" customHeight="1" x14ac:dyDescent="0.95">
      <c r="A3459" s="56"/>
      <c r="B3459" s="57"/>
      <c r="C3459" s="57"/>
      <c r="D3459" s="57"/>
      <c r="E3459" s="56"/>
      <c r="F3459" s="57"/>
      <c r="G3459" s="57"/>
      <c r="H3459" s="56"/>
      <c r="I3459" s="56"/>
      <c r="J3459" s="58"/>
      <c r="K3459" s="58"/>
      <c r="L3459" s="13" t="str">
        <f t="shared" si="530"/>
        <v/>
      </c>
      <c r="M3459" s="13" t="str">
        <f t="shared" si="531"/>
        <v/>
      </c>
      <c r="Q3459" t="str">
        <f t="shared" si="532"/>
        <v/>
      </c>
      <c r="R3459" t="str">
        <f t="shared" si="533"/>
        <v/>
      </c>
      <c r="S3459" t="str">
        <f t="shared" si="534"/>
        <v/>
      </c>
      <c r="T3459" t="str">
        <f t="shared" si="535"/>
        <v/>
      </c>
      <c r="U3459" t="str">
        <f t="shared" si="536"/>
        <v/>
      </c>
      <c r="V3459" t="str">
        <f t="shared" si="537"/>
        <v/>
      </c>
      <c r="W3459" t="str">
        <f t="shared" si="538"/>
        <v/>
      </c>
      <c r="X3459">
        <f>IF($T3459="",N($X3458),IF(MATCH($T3459,$T$6:$T$10005,0)=ROW()-5,N($X3458)+1,N($X3458)))</f>
        <v>0</v>
      </c>
      <c r="Z3459" t="str">
        <f t="shared" si="539"/>
        <v/>
      </c>
      <c r="AA3459">
        <f>IF($V3459="",N($AA3458),IF(MATCH($V3459,$V$6:$V$10005,0)=ROW()-5,N($AA3458)+1,N($AA3458)))</f>
        <v>0</v>
      </c>
    </row>
    <row r="3460" spans="1:27" ht="21" customHeight="1" x14ac:dyDescent="0.95">
      <c r="A3460" s="56"/>
      <c r="B3460" s="57"/>
      <c r="C3460" s="57"/>
      <c r="D3460" s="57"/>
      <c r="E3460" s="56"/>
      <c r="F3460" s="57"/>
      <c r="G3460" s="57"/>
      <c r="H3460" s="56"/>
      <c r="I3460" s="56"/>
      <c r="J3460" s="58"/>
      <c r="K3460" s="58"/>
      <c r="L3460" s="13" t="str">
        <f t="shared" si="530"/>
        <v/>
      </c>
      <c r="M3460" s="13" t="str">
        <f t="shared" si="531"/>
        <v/>
      </c>
      <c r="Q3460" t="str">
        <f t="shared" si="532"/>
        <v/>
      </c>
      <c r="R3460" t="str">
        <f t="shared" si="533"/>
        <v/>
      </c>
      <c r="S3460" t="str">
        <f t="shared" si="534"/>
        <v/>
      </c>
      <c r="T3460" t="str">
        <f t="shared" si="535"/>
        <v/>
      </c>
      <c r="U3460" t="str">
        <f t="shared" si="536"/>
        <v/>
      </c>
      <c r="V3460" t="str">
        <f t="shared" si="537"/>
        <v/>
      </c>
      <c r="W3460" t="str">
        <f t="shared" si="538"/>
        <v/>
      </c>
      <c r="X3460">
        <f>IF($T3460="",N($X3459),IF(MATCH($T3460,$T$6:$T$10005,0)=ROW()-5,N($X3459)+1,N($X3459)))</f>
        <v>0</v>
      </c>
      <c r="Z3460" t="str">
        <f t="shared" si="539"/>
        <v/>
      </c>
      <c r="AA3460">
        <f>IF($V3460="",N($AA3459),IF(MATCH($V3460,$V$6:$V$10005,0)=ROW()-5,N($AA3459)+1,N($AA3459)))</f>
        <v>0</v>
      </c>
    </row>
    <row r="3461" spans="1:27" ht="21" customHeight="1" x14ac:dyDescent="0.95">
      <c r="A3461" s="56"/>
      <c r="B3461" s="57"/>
      <c r="C3461" s="57"/>
      <c r="D3461" s="57"/>
      <c r="E3461" s="56"/>
      <c r="F3461" s="57"/>
      <c r="G3461" s="57"/>
      <c r="H3461" s="56"/>
      <c r="I3461" s="56"/>
      <c r="J3461" s="58"/>
      <c r="K3461" s="58"/>
      <c r="L3461" s="13" t="str">
        <f t="shared" si="530"/>
        <v/>
      </c>
      <c r="M3461" s="13" t="str">
        <f t="shared" si="531"/>
        <v/>
      </c>
      <c r="Q3461" t="str">
        <f t="shared" si="532"/>
        <v/>
      </c>
      <c r="R3461" t="str">
        <f t="shared" si="533"/>
        <v/>
      </c>
      <c r="S3461" t="str">
        <f t="shared" si="534"/>
        <v/>
      </c>
      <c r="T3461" t="str">
        <f t="shared" si="535"/>
        <v/>
      </c>
      <c r="U3461" t="str">
        <f t="shared" si="536"/>
        <v/>
      </c>
      <c r="V3461" t="str">
        <f t="shared" si="537"/>
        <v/>
      </c>
      <c r="W3461" t="str">
        <f t="shared" si="538"/>
        <v/>
      </c>
      <c r="X3461">
        <f>IF($T3461="",N($X3460),IF(MATCH($T3461,$T$6:$T$10005,0)=ROW()-5,N($X3460)+1,N($X3460)))</f>
        <v>0</v>
      </c>
      <c r="Z3461" t="str">
        <f t="shared" si="539"/>
        <v/>
      </c>
      <c r="AA3461">
        <f>IF($V3461="",N($AA3460),IF(MATCH($V3461,$V$6:$V$10005,0)=ROW()-5,N($AA3460)+1,N($AA3460)))</f>
        <v>0</v>
      </c>
    </row>
    <row r="3462" spans="1:27" ht="21" customHeight="1" x14ac:dyDescent="0.95">
      <c r="A3462" s="56"/>
      <c r="B3462" s="57"/>
      <c r="C3462" s="57"/>
      <c r="D3462" s="57"/>
      <c r="E3462" s="56"/>
      <c r="F3462" s="57"/>
      <c r="G3462" s="57"/>
      <c r="H3462" s="56"/>
      <c r="I3462" s="56"/>
      <c r="J3462" s="58"/>
      <c r="K3462" s="58"/>
      <c r="L3462" s="13" t="str">
        <f t="shared" ref="L3462:L3525" si="540">IF(OR($A3462="",AND($J3462="",$K3462="")),"",ROUND(N($J3462)-N($K3462),2))</f>
        <v/>
      </c>
      <c r="M3462" s="13" t="str">
        <f t="shared" ref="M3462:M3525" si="541">IF(OR($A3462="",AND($J3462="",$K3462="")),"",MIN($J3462,$K3462))</f>
        <v/>
      </c>
      <c r="Q3462" t="str">
        <f t="shared" ref="Q3462:Q3525" si="542">IF($A3462="","",$D3462&amp;"("&amp;SUBSTITUTE($E3462," ","")&amp;")")</f>
        <v/>
      </c>
      <c r="R3462" t="str">
        <f t="shared" ref="R3462:R3525" si="543">IF($A3462="","",$B3462&amp;" - "&amp;$C3462)</f>
        <v/>
      </c>
      <c r="S3462" t="str">
        <f t="shared" ref="S3462:S3525" si="544">IF($A3462="","",$R3462&amp;"|"&amp;$Q3462)</f>
        <v/>
      </c>
      <c r="T3462" t="str">
        <f t="shared" ref="T3462:T3525" si="545">IF($A3462="","",$S3462&amp;"|"&amp;$F3462)</f>
        <v/>
      </c>
      <c r="U3462" t="str">
        <f t="shared" ref="U3462:U3525" si="546">IF($A3462="","",$R3462&amp;"("&amp;$E3462&amp;")")</f>
        <v/>
      </c>
      <c r="V3462" t="str">
        <f t="shared" ref="V3462:V3525" si="547">IF($A3462="","",$F3462&amp;"|"&amp;$U3462&amp;"|"&amp;$D3462)</f>
        <v/>
      </c>
      <c r="W3462" t="str">
        <f t="shared" ref="W3462:W3525" si="548">IF($T3462="","",IF($X3462&gt;N($X3461),$X3462,""))</f>
        <v/>
      </c>
      <c r="X3462">
        <f>IF($T3462="",N($X3461),IF(MATCH($T3462,$T$6:$T$10005,0)=ROW()-5,N($X3461)+1,N($X3461)))</f>
        <v>0</v>
      </c>
      <c r="Z3462" t="str">
        <f t="shared" ref="Z3462:Z3525" si="549">IF($V3462="","",IF($AA3462&gt;N($AA3461),$AA3462,""))</f>
        <v/>
      </c>
      <c r="AA3462">
        <f>IF($V3462="",N($AA3461),IF(MATCH($V3462,$V$6:$V$10005,0)=ROW()-5,N($AA3461)+1,N($AA3461)))</f>
        <v>0</v>
      </c>
    </row>
    <row r="3463" spans="1:27" ht="21" customHeight="1" x14ac:dyDescent="0.95">
      <c r="A3463" s="56"/>
      <c r="B3463" s="57"/>
      <c r="C3463" s="57"/>
      <c r="D3463" s="57"/>
      <c r="E3463" s="56"/>
      <c r="F3463" s="57"/>
      <c r="G3463" s="57"/>
      <c r="H3463" s="56"/>
      <c r="I3463" s="56"/>
      <c r="J3463" s="58"/>
      <c r="K3463" s="58"/>
      <c r="L3463" s="13" t="str">
        <f t="shared" si="540"/>
        <v/>
      </c>
      <c r="M3463" s="13" t="str">
        <f t="shared" si="541"/>
        <v/>
      </c>
      <c r="Q3463" t="str">
        <f t="shared" si="542"/>
        <v/>
      </c>
      <c r="R3463" t="str">
        <f t="shared" si="543"/>
        <v/>
      </c>
      <c r="S3463" t="str">
        <f t="shared" si="544"/>
        <v/>
      </c>
      <c r="T3463" t="str">
        <f t="shared" si="545"/>
        <v/>
      </c>
      <c r="U3463" t="str">
        <f t="shared" si="546"/>
        <v/>
      </c>
      <c r="V3463" t="str">
        <f t="shared" si="547"/>
        <v/>
      </c>
      <c r="W3463" t="str">
        <f t="shared" si="548"/>
        <v/>
      </c>
      <c r="X3463">
        <f>IF($T3463="",N($X3462),IF(MATCH($T3463,$T$6:$T$10005,0)=ROW()-5,N($X3462)+1,N($X3462)))</f>
        <v>0</v>
      </c>
      <c r="Z3463" t="str">
        <f t="shared" si="549"/>
        <v/>
      </c>
      <c r="AA3463">
        <f>IF($V3463="",N($AA3462),IF(MATCH($V3463,$V$6:$V$10005,0)=ROW()-5,N($AA3462)+1,N($AA3462)))</f>
        <v>0</v>
      </c>
    </row>
    <row r="3464" spans="1:27" ht="21" customHeight="1" x14ac:dyDescent="0.95">
      <c r="A3464" s="56"/>
      <c r="B3464" s="57"/>
      <c r="C3464" s="57"/>
      <c r="D3464" s="57"/>
      <c r="E3464" s="56"/>
      <c r="F3464" s="57"/>
      <c r="G3464" s="57"/>
      <c r="H3464" s="56"/>
      <c r="I3464" s="56"/>
      <c r="J3464" s="58"/>
      <c r="K3464" s="58"/>
      <c r="L3464" s="13" t="str">
        <f t="shared" si="540"/>
        <v/>
      </c>
      <c r="M3464" s="13" t="str">
        <f t="shared" si="541"/>
        <v/>
      </c>
      <c r="Q3464" t="str">
        <f t="shared" si="542"/>
        <v/>
      </c>
      <c r="R3464" t="str">
        <f t="shared" si="543"/>
        <v/>
      </c>
      <c r="S3464" t="str">
        <f t="shared" si="544"/>
        <v/>
      </c>
      <c r="T3464" t="str">
        <f t="shared" si="545"/>
        <v/>
      </c>
      <c r="U3464" t="str">
        <f t="shared" si="546"/>
        <v/>
      </c>
      <c r="V3464" t="str">
        <f t="shared" si="547"/>
        <v/>
      </c>
      <c r="W3464" t="str">
        <f t="shared" si="548"/>
        <v/>
      </c>
      <c r="X3464">
        <f>IF($T3464="",N($X3463),IF(MATCH($T3464,$T$6:$T$10005,0)=ROW()-5,N($X3463)+1,N($X3463)))</f>
        <v>0</v>
      </c>
      <c r="Z3464" t="str">
        <f t="shared" si="549"/>
        <v/>
      </c>
      <c r="AA3464">
        <f>IF($V3464="",N($AA3463),IF(MATCH($V3464,$V$6:$V$10005,0)=ROW()-5,N($AA3463)+1,N($AA3463)))</f>
        <v>0</v>
      </c>
    </row>
    <row r="3465" spans="1:27" ht="21" customHeight="1" x14ac:dyDescent="0.95">
      <c r="A3465" s="56"/>
      <c r="B3465" s="57"/>
      <c r="C3465" s="57"/>
      <c r="D3465" s="57"/>
      <c r="E3465" s="56"/>
      <c r="F3465" s="57"/>
      <c r="G3465" s="57"/>
      <c r="H3465" s="56"/>
      <c r="I3465" s="56"/>
      <c r="J3465" s="58"/>
      <c r="K3465" s="58"/>
      <c r="L3465" s="13" t="str">
        <f t="shared" si="540"/>
        <v/>
      </c>
      <c r="M3465" s="13" t="str">
        <f t="shared" si="541"/>
        <v/>
      </c>
      <c r="Q3465" t="str">
        <f t="shared" si="542"/>
        <v/>
      </c>
      <c r="R3465" t="str">
        <f t="shared" si="543"/>
        <v/>
      </c>
      <c r="S3465" t="str">
        <f t="shared" si="544"/>
        <v/>
      </c>
      <c r="T3465" t="str">
        <f t="shared" si="545"/>
        <v/>
      </c>
      <c r="U3465" t="str">
        <f t="shared" si="546"/>
        <v/>
      </c>
      <c r="V3465" t="str">
        <f t="shared" si="547"/>
        <v/>
      </c>
      <c r="W3465" t="str">
        <f t="shared" si="548"/>
        <v/>
      </c>
      <c r="X3465">
        <f>IF($T3465="",N($X3464),IF(MATCH($T3465,$T$6:$T$10005,0)=ROW()-5,N($X3464)+1,N($X3464)))</f>
        <v>0</v>
      </c>
      <c r="Z3465" t="str">
        <f t="shared" si="549"/>
        <v/>
      </c>
      <c r="AA3465">
        <f>IF($V3465="",N($AA3464),IF(MATCH($V3465,$V$6:$V$10005,0)=ROW()-5,N($AA3464)+1,N($AA3464)))</f>
        <v>0</v>
      </c>
    </row>
    <row r="3466" spans="1:27" ht="21" customHeight="1" x14ac:dyDescent="0.95">
      <c r="A3466" s="56"/>
      <c r="B3466" s="57"/>
      <c r="C3466" s="57"/>
      <c r="D3466" s="57"/>
      <c r="E3466" s="56"/>
      <c r="F3466" s="57"/>
      <c r="G3466" s="57"/>
      <c r="H3466" s="56"/>
      <c r="I3466" s="56"/>
      <c r="J3466" s="58"/>
      <c r="K3466" s="58"/>
      <c r="L3466" s="13" t="str">
        <f t="shared" si="540"/>
        <v/>
      </c>
      <c r="M3466" s="13" t="str">
        <f t="shared" si="541"/>
        <v/>
      </c>
      <c r="Q3466" t="str">
        <f t="shared" si="542"/>
        <v/>
      </c>
      <c r="R3466" t="str">
        <f t="shared" si="543"/>
        <v/>
      </c>
      <c r="S3466" t="str">
        <f t="shared" si="544"/>
        <v/>
      </c>
      <c r="T3466" t="str">
        <f t="shared" si="545"/>
        <v/>
      </c>
      <c r="U3466" t="str">
        <f t="shared" si="546"/>
        <v/>
      </c>
      <c r="V3466" t="str">
        <f t="shared" si="547"/>
        <v/>
      </c>
      <c r="W3466" t="str">
        <f t="shared" si="548"/>
        <v/>
      </c>
      <c r="X3466">
        <f>IF($T3466="",N($X3465),IF(MATCH($T3466,$T$6:$T$10005,0)=ROW()-5,N($X3465)+1,N($X3465)))</f>
        <v>0</v>
      </c>
      <c r="Z3466" t="str">
        <f t="shared" si="549"/>
        <v/>
      </c>
      <c r="AA3466">
        <f>IF($V3466="",N($AA3465),IF(MATCH($V3466,$V$6:$V$10005,0)=ROW()-5,N($AA3465)+1,N($AA3465)))</f>
        <v>0</v>
      </c>
    </row>
    <row r="3467" spans="1:27" ht="21" customHeight="1" x14ac:dyDescent="0.95">
      <c r="A3467" s="56"/>
      <c r="B3467" s="57"/>
      <c r="C3467" s="57"/>
      <c r="D3467" s="57"/>
      <c r="E3467" s="56"/>
      <c r="F3467" s="57"/>
      <c r="G3467" s="57"/>
      <c r="H3467" s="56"/>
      <c r="I3467" s="56"/>
      <c r="J3467" s="58"/>
      <c r="K3467" s="58"/>
      <c r="L3467" s="13" t="str">
        <f t="shared" si="540"/>
        <v/>
      </c>
      <c r="M3467" s="13" t="str">
        <f t="shared" si="541"/>
        <v/>
      </c>
      <c r="Q3467" t="str">
        <f t="shared" si="542"/>
        <v/>
      </c>
      <c r="R3467" t="str">
        <f t="shared" si="543"/>
        <v/>
      </c>
      <c r="S3467" t="str">
        <f t="shared" si="544"/>
        <v/>
      </c>
      <c r="T3467" t="str">
        <f t="shared" si="545"/>
        <v/>
      </c>
      <c r="U3467" t="str">
        <f t="shared" si="546"/>
        <v/>
      </c>
      <c r="V3467" t="str">
        <f t="shared" si="547"/>
        <v/>
      </c>
      <c r="W3467" t="str">
        <f t="shared" si="548"/>
        <v/>
      </c>
      <c r="X3467">
        <f>IF($T3467="",N($X3466),IF(MATCH($T3467,$T$6:$T$10005,0)=ROW()-5,N($X3466)+1,N($X3466)))</f>
        <v>0</v>
      </c>
      <c r="Z3467" t="str">
        <f t="shared" si="549"/>
        <v/>
      </c>
      <c r="AA3467">
        <f>IF($V3467="",N($AA3466),IF(MATCH($V3467,$V$6:$V$10005,0)=ROW()-5,N($AA3466)+1,N($AA3466)))</f>
        <v>0</v>
      </c>
    </row>
    <row r="3468" spans="1:27" ht="21" customHeight="1" x14ac:dyDescent="0.95">
      <c r="A3468" s="56"/>
      <c r="B3468" s="57"/>
      <c r="C3468" s="57"/>
      <c r="D3468" s="57"/>
      <c r="E3468" s="56"/>
      <c r="F3468" s="57"/>
      <c r="G3468" s="57"/>
      <c r="H3468" s="56"/>
      <c r="I3468" s="56"/>
      <c r="J3468" s="58"/>
      <c r="K3468" s="58"/>
      <c r="L3468" s="13" t="str">
        <f t="shared" si="540"/>
        <v/>
      </c>
      <c r="M3468" s="13" t="str">
        <f t="shared" si="541"/>
        <v/>
      </c>
      <c r="Q3468" t="str">
        <f t="shared" si="542"/>
        <v/>
      </c>
      <c r="R3468" t="str">
        <f t="shared" si="543"/>
        <v/>
      </c>
      <c r="S3468" t="str">
        <f t="shared" si="544"/>
        <v/>
      </c>
      <c r="T3468" t="str">
        <f t="shared" si="545"/>
        <v/>
      </c>
      <c r="U3468" t="str">
        <f t="shared" si="546"/>
        <v/>
      </c>
      <c r="V3468" t="str">
        <f t="shared" si="547"/>
        <v/>
      </c>
      <c r="W3468" t="str">
        <f t="shared" si="548"/>
        <v/>
      </c>
      <c r="X3468">
        <f>IF($T3468="",N($X3467),IF(MATCH($T3468,$T$6:$T$10005,0)=ROW()-5,N($X3467)+1,N($X3467)))</f>
        <v>0</v>
      </c>
      <c r="Z3468" t="str">
        <f t="shared" si="549"/>
        <v/>
      </c>
      <c r="AA3468">
        <f>IF($V3468="",N($AA3467),IF(MATCH($V3468,$V$6:$V$10005,0)=ROW()-5,N($AA3467)+1,N($AA3467)))</f>
        <v>0</v>
      </c>
    </row>
    <row r="3469" spans="1:27" ht="21" customHeight="1" x14ac:dyDescent="0.95">
      <c r="A3469" s="56"/>
      <c r="B3469" s="57"/>
      <c r="C3469" s="57"/>
      <c r="D3469" s="57"/>
      <c r="E3469" s="56"/>
      <c r="F3469" s="57"/>
      <c r="G3469" s="57"/>
      <c r="H3469" s="56"/>
      <c r="I3469" s="56"/>
      <c r="J3469" s="58"/>
      <c r="K3469" s="58"/>
      <c r="L3469" s="13" t="str">
        <f t="shared" si="540"/>
        <v/>
      </c>
      <c r="M3469" s="13" t="str">
        <f t="shared" si="541"/>
        <v/>
      </c>
      <c r="Q3469" t="str">
        <f t="shared" si="542"/>
        <v/>
      </c>
      <c r="R3469" t="str">
        <f t="shared" si="543"/>
        <v/>
      </c>
      <c r="S3469" t="str">
        <f t="shared" si="544"/>
        <v/>
      </c>
      <c r="T3469" t="str">
        <f t="shared" si="545"/>
        <v/>
      </c>
      <c r="U3469" t="str">
        <f t="shared" si="546"/>
        <v/>
      </c>
      <c r="V3469" t="str">
        <f t="shared" si="547"/>
        <v/>
      </c>
      <c r="W3469" t="str">
        <f t="shared" si="548"/>
        <v/>
      </c>
      <c r="X3469">
        <f>IF($T3469="",N($X3468),IF(MATCH($T3469,$T$6:$T$10005,0)=ROW()-5,N($X3468)+1,N($X3468)))</f>
        <v>0</v>
      </c>
      <c r="Z3469" t="str">
        <f t="shared" si="549"/>
        <v/>
      </c>
      <c r="AA3469">
        <f>IF($V3469="",N($AA3468),IF(MATCH($V3469,$V$6:$V$10005,0)=ROW()-5,N($AA3468)+1,N($AA3468)))</f>
        <v>0</v>
      </c>
    </row>
    <row r="3470" spans="1:27" ht="21" customHeight="1" x14ac:dyDescent="0.95">
      <c r="A3470" s="56"/>
      <c r="B3470" s="57"/>
      <c r="C3470" s="57"/>
      <c r="D3470" s="57"/>
      <c r="E3470" s="56"/>
      <c r="F3470" s="57"/>
      <c r="G3470" s="57"/>
      <c r="H3470" s="56"/>
      <c r="I3470" s="56"/>
      <c r="J3470" s="58"/>
      <c r="K3470" s="58"/>
      <c r="L3470" s="13" t="str">
        <f t="shared" si="540"/>
        <v/>
      </c>
      <c r="M3470" s="13" t="str">
        <f t="shared" si="541"/>
        <v/>
      </c>
      <c r="Q3470" t="str">
        <f t="shared" si="542"/>
        <v/>
      </c>
      <c r="R3470" t="str">
        <f t="shared" si="543"/>
        <v/>
      </c>
      <c r="S3470" t="str">
        <f t="shared" si="544"/>
        <v/>
      </c>
      <c r="T3470" t="str">
        <f t="shared" si="545"/>
        <v/>
      </c>
      <c r="U3470" t="str">
        <f t="shared" si="546"/>
        <v/>
      </c>
      <c r="V3470" t="str">
        <f t="shared" si="547"/>
        <v/>
      </c>
      <c r="W3470" t="str">
        <f t="shared" si="548"/>
        <v/>
      </c>
      <c r="X3470">
        <f>IF($T3470="",N($X3469),IF(MATCH($T3470,$T$6:$T$10005,0)=ROW()-5,N($X3469)+1,N($X3469)))</f>
        <v>0</v>
      </c>
      <c r="Z3470" t="str">
        <f t="shared" si="549"/>
        <v/>
      </c>
      <c r="AA3470">
        <f>IF($V3470="",N($AA3469),IF(MATCH($V3470,$V$6:$V$10005,0)=ROW()-5,N($AA3469)+1,N($AA3469)))</f>
        <v>0</v>
      </c>
    </row>
    <row r="3471" spans="1:27" ht="21" customHeight="1" x14ac:dyDescent="0.95">
      <c r="A3471" s="56"/>
      <c r="B3471" s="57"/>
      <c r="C3471" s="57"/>
      <c r="D3471" s="57"/>
      <c r="E3471" s="56"/>
      <c r="F3471" s="57"/>
      <c r="G3471" s="57"/>
      <c r="H3471" s="56"/>
      <c r="I3471" s="56"/>
      <c r="J3471" s="58"/>
      <c r="K3471" s="58"/>
      <c r="L3471" s="13" t="str">
        <f t="shared" si="540"/>
        <v/>
      </c>
      <c r="M3471" s="13" t="str">
        <f t="shared" si="541"/>
        <v/>
      </c>
      <c r="Q3471" t="str">
        <f t="shared" si="542"/>
        <v/>
      </c>
      <c r="R3471" t="str">
        <f t="shared" si="543"/>
        <v/>
      </c>
      <c r="S3471" t="str">
        <f t="shared" si="544"/>
        <v/>
      </c>
      <c r="T3471" t="str">
        <f t="shared" si="545"/>
        <v/>
      </c>
      <c r="U3471" t="str">
        <f t="shared" si="546"/>
        <v/>
      </c>
      <c r="V3471" t="str">
        <f t="shared" si="547"/>
        <v/>
      </c>
      <c r="W3471" t="str">
        <f t="shared" si="548"/>
        <v/>
      </c>
      <c r="X3471">
        <f>IF($T3471="",N($X3470),IF(MATCH($T3471,$T$6:$T$10005,0)=ROW()-5,N($X3470)+1,N($X3470)))</f>
        <v>0</v>
      </c>
      <c r="Z3471" t="str">
        <f t="shared" si="549"/>
        <v/>
      </c>
      <c r="AA3471">
        <f>IF($V3471="",N($AA3470),IF(MATCH($V3471,$V$6:$V$10005,0)=ROW()-5,N($AA3470)+1,N($AA3470)))</f>
        <v>0</v>
      </c>
    </row>
    <row r="3472" spans="1:27" ht="21" customHeight="1" x14ac:dyDescent="0.95">
      <c r="A3472" s="56"/>
      <c r="B3472" s="57"/>
      <c r="C3472" s="57"/>
      <c r="D3472" s="57"/>
      <c r="E3472" s="56"/>
      <c r="F3472" s="57"/>
      <c r="G3472" s="57"/>
      <c r="H3472" s="56"/>
      <c r="I3472" s="56"/>
      <c r="J3472" s="58"/>
      <c r="K3472" s="58"/>
      <c r="L3472" s="13" t="str">
        <f t="shared" si="540"/>
        <v/>
      </c>
      <c r="M3472" s="13" t="str">
        <f t="shared" si="541"/>
        <v/>
      </c>
      <c r="Q3472" t="str">
        <f t="shared" si="542"/>
        <v/>
      </c>
      <c r="R3472" t="str">
        <f t="shared" si="543"/>
        <v/>
      </c>
      <c r="S3472" t="str">
        <f t="shared" si="544"/>
        <v/>
      </c>
      <c r="T3472" t="str">
        <f t="shared" si="545"/>
        <v/>
      </c>
      <c r="U3472" t="str">
        <f t="shared" si="546"/>
        <v/>
      </c>
      <c r="V3472" t="str">
        <f t="shared" si="547"/>
        <v/>
      </c>
      <c r="W3472" t="str">
        <f t="shared" si="548"/>
        <v/>
      </c>
      <c r="X3472">
        <f>IF($T3472="",N($X3471),IF(MATCH($T3472,$T$6:$T$10005,0)=ROW()-5,N($X3471)+1,N($X3471)))</f>
        <v>0</v>
      </c>
      <c r="Z3472" t="str">
        <f t="shared" si="549"/>
        <v/>
      </c>
      <c r="AA3472">
        <f>IF($V3472="",N($AA3471),IF(MATCH($V3472,$V$6:$V$10005,0)=ROW()-5,N($AA3471)+1,N($AA3471)))</f>
        <v>0</v>
      </c>
    </row>
    <row r="3473" spans="1:27" ht="21" customHeight="1" x14ac:dyDescent="0.95">
      <c r="A3473" s="56"/>
      <c r="B3473" s="57"/>
      <c r="C3473" s="57"/>
      <c r="D3473" s="57"/>
      <c r="E3473" s="56"/>
      <c r="F3473" s="57"/>
      <c r="G3473" s="57"/>
      <c r="H3473" s="56"/>
      <c r="I3473" s="56"/>
      <c r="J3473" s="58"/>
      <c r="K3473" s="58"/>
      <c r="L3473" s="13" t="str">
        <f t="shared" si="540"/>
        <v/>
      </c>
      <c r="M3473" s="13" t="str">
        <f t="shared" si="541"/>
        <v/>
      </c>
      <c r="Q3473" t="str">
        <f t="shared" si="542"/>
        <v/>
      </c>
      <c r="R3473" t="str">
        <f t="shared" si="543"/>
        <v/>
      </c>
      <c r="S3473" t="str">
        <f t="shared" si="544"/>
        <v/>
      </c>
      <c r="T3473" t="str">
        <f t="shared" si="545"/>
        <v/>
      </c>
      <c r="U3473" t="str">
        <f t="shared" si="546"/>
        <v/>
      </c>
      <c r="V3473" t="str">
        <f t="shared" si="547"/>
        <v/>
      </c>
      <c r="W3473" t="str">
        <f t="shared" si="548"/>
        <v/>
      </c>
      <c r="X3473">
        <f>IF($T3473="",N($X3472),IF(MATCH($T3473,$T$6:$T$10005,0)=ROW()-5,N($X3472)+1,N($X3472)))</f>
        <v>0</v>
      </c>
      <c r="Z3473" t="str">
        <f t="shared" si="549"/>
        <v/>
      </c>
      <c r="AA3473">
        <f>IF($V3473="",N($AA3472),IF(MATCH($V3473,$V$6:$V$10005,0)=ROW()-5,N($AA3472)+1,N($AA3472)))</f>
        <v>0</v>
      </c>
    </row>
    <row r="3474" spans="1:27" ht="21" customHeight="1" x14ac:dyDescent="0.95">
      <c r="A3474" s="56"/>
      <c r="B3474" s="57"/>
      <c r="C3474" s="57"/>
      <c r="D3474" s="57"/>
      <c r="E3474" s="56"/>
      <c r="F3474" s="57"/>
      <c r="G3474" s="57"/>
      <c r="H3474" s="56"/>
      <c r="I3474" s="56"/>
      <c r="J3474" s="58"/>
      <c r="K3474" s="58"/>
      <c r="L3474" s="13" t="str">
        <f t="shared" si="540"/>
        <v/>
      </c>
      <c r="M3474" s="13" t="str">
        <f t="shared" si="541"/>
        <v/>
      </c>
      <c r="Q3474" t="str">
        <f t="shared" si="542"/>
        <v/>
      </c>
      <c r="R3474" t="str">
        <f t="shared" si="543"/>
        <v/>
      </c>
      <c r="S3474" t="str">
        <f t="shared" si="544"/>
        <v/>
      </c>
      <c r="T3474" t="str">
        <f t="shared" si="545"/>
        <v/>
      </c>
      <c r="U3474" t="str">
        <f t="shared" si="546"/>
        <v/>
      </c>
      <c r="V3474" t="str">
        <f t="shared" si="547"/>
        <v/>
      </c>
      <c r="W3474" t="str">
        <f t="shared" si="548"/>
        <v/>
      </c>
      <c r="X3474">
        <f>IF($T3474="",N($X3473),IF(MATCH($T3474,$T$6:$T$10005,0)=ROW()-5,N($X3473)+1,N($X3473)))</f>
        <v>0</v>
      </c>
      <c r="Z3474" t="str">
        <f t="shared" si="549"/>
        <v/>
      </c>
      <c r="AA3474">
        <f>IF($V3474="",N($AA3473),IF(MATCH($V3474,$V$6:$V$10005,0)=ROW()-5,N($AA3473)+1,N($AA3473)))</f>
        <v>0</v>
      </c>
    </row>
    <row r="3475" spans="1:27" ht="21" customHeight="1" x14ac:dyDescent="0.95">
      <c r="A3475" s="56"/>
      <c r="B3475" s="57"/>
      <c r="C3475" s="57"/>
      <c r="D3475" s="57"/>
      <c r="E3475" s="56"/>
      <c r="F3475" s="57"/>
      <c r="G3475" s="57"/>
      <c r="H3475" s="56"/>
      <c r="I3475" s="56"/>
      <c r="J3475" s="58"/>
      <c r="K3475" s="58"/>
      <c r="L3475" s="13" t="str">
        <f t="shared" si="540"/>
        <v/>
      </c>
      <c r="M3475" s="13" t="str">
        <f t="shared" si="541"/>
        <v/>
      </c>
      <c r="Q3475" t="str">
        <f t="shared" si="542"/>
        <v/>
      </c>
      <c r="R3475" t="str">
        <f t="shared" si="543"/>
        <v/>
      </c>
      <c r="S3475" t="str">
        <f t="shared" si="544"/>
        <v/>
      </c>
      <c r="T3475" t="str">
        <f t="shared" si="545"/>
        <v/>
      </c>
      <c r="U3475" t="str">
        <f t="shared" si="546"/>
        <v/>
      </c>
      <c r="V3475" t="str">
        <f t="shared" si="547"/>
        <v/>
      </c>
      <c r="W3475" t="str">
        <f t="shared" si="548"/>
        <v/>
      </c>
      <c r="X3475">
        <f>IF($T3475="",N($X3474),IF(MATCH($T3475,$T$6:$T$10005,0)=ROW()-5,N($X3474)+1,N($X3474)))</f>
        <v>0</v>
      </c>
      <c r="Z3475" t="str">
        <f t="shared" si="549"/>
        <v/>
      </c>
      <c r="AA3475">
        <f>IF($V3475="",N($AA3474),IF(MATCH($V3475,$V$6:$V$10005,0)=ROW()-5,N($AA3474)+1,N($AA3474)))</f>
        <v>0</v>
      </c>
    </row>
    <row r="3476" spans="1:27" ht="21" customHeight="1" x14ac:dyDescent="0.95">
      <c r="A3476" s="56"/>
      <c r="B3476" s="57"/>
      <c r="C3476" s="57"/>
      <c r="D3476" s="57"/>
      <c r="E3476" s="56"/>
      <c r="F3476" s="57"/>
      <c r="G3476" s="57"/>
      <c r="H3476" s="56"/>
      <c r="I3476" s="56"/>
      <c r="J3476" s="58"/>
      <c r="K3476" s="58"/>
      <c r="L3476" s="13" t="str">
        <f t="shared" si="540"/>
        <v/>
      </c>
      <c r="M3476" s="13" t="str">
        <f t="shared" si="541"/>
        <v/>
      </c>
      <c r="Q3476" t="str">
        <f t="shared" si="542"/>
        <v/>
      </c>
      <c r="R3476" t="str">
        <f t="shared" si="543"/>
        <v/>
      </c>
      <c r="S3476" t="str">
        <f t="shared" si="544"/>
        <v/>
      </c>
      <c r="T3476" t="str">
        <f t="shared" si="545"/>
        <v/>
      </c>
      <c r="U3476" t="str">
        <f t="shared" si="546"/>
        <v/>
      </c>
      <c r="V3476" t="str">
        <f t="shared" si="547"/>
        <v/>
      </c>
      <c r="W3476" t="str">
        <f t="shared" si="548"/>
        <v/>
      </c>
      <c r="X3476">
        <f>IF($T3476="",N($X3475),IF(MATCH($T3476,$T$6:$T$10005,0)=ROW()-5,N($X3475)+1,N($X3475)))</f>
        <v>0</v>
      </c>
      <c r="Z3476" t="str">
        <f t="shared" si="549"/>
        <v/>
      </c>
      <c r="AA3476">
        <f>IF($V3476="",N($AA3475),IF(MATCH($V3476,$V$6:$V$10005,0)=ROW()-5,N($AA3475)+1,N($AA3475)))</f>
        <v>0</v>
      </c>
    </row>
    <row r="3477" spans="1:27" ht="21" customHeight="1" x14ac:dyDescent="0.95">
      <c r="A3477" s="56"/>
      <c r="B3477" s="57"/>
      <c r="C3477" s="57"/>
      <c r="D3477" s="57"/>
      <c r="E3477" s="56"/>
      <c r="F3477" s="57"/>
      <c r="G3477" s="57"/>
      <c r="H3477" s="56"/>
      <c r="I3477" s="56"/>
      <c r="J3477" s="58"/>
      <c r="K3477" s="58"/>
      <c r="L3477" s="13" t="str">
        <f t="shared" si="540"/>
        <v/>
      </c>
      <c r="M3477" s="13" t="str">
        <f t="shared" si="541"/>
        <v/>
      </c>
      <c r="Q3477" t="str">
        <f t="shared" si="542"/>
        <v/>
      </c>
      <c r="R3477" t="str">
        <f t="shared" si="543"/>
        <v/>
      </c>
      <c r="S3477" t="str">
        <f t="shared" si="544"/>
        <v/>
      </c>
      <c r="T3477" t="str">
        <f t="shared" si="545"/>
        <v/>
      </c>
      <c r="U3477" t="str">
        <f t="shared" si="546"/>
        <v/>
      </c>
      <c r="V3477" t="str">
        <f t="shared" si="547"/>
        <v/>
      </c>
      <c r="W3477" t="str">
        <f t="shared" si="548"/>
        <v/>
      </c>
      <c r="X3477">
        <f>IF($T3477="",N($X3476),IF(MATCH($T3477,$T$6:$T$10005,0)=ROW()-5,N($X3476)+1,N($X3476)))</f>
        <v>0</v>
      </c>
      <c r="Z3477" t="str">
        <f t="shared" si="549"/>
        <v/>
      </c>
      <c r="AA3477">
        <f>IF($V3477="",N($AA3476),IF(MATCH($V3477,$V$6:$V$10005,0)=ROW()-5,N($AA3476)+1,N($AA3476)))</f>
        <v>0</v>
      </c>
    </row>
    <row r="3478" spans="1:27" ht="21" customHeight="1" x14ac:dyDescent="0.95">
      <c r="A3478" s="56"/>
      <c r="B3478" s="57"/>
      <c r="C3478" s="57"/>
      <c r="D3478" s="57"/>
      <c r="E3478" s="56"/>
      <c r="F3478" s="57"/>
      <c r="G3478" s="57"/>
      <c r="H3478" s="56"/>
      <c r="I3478" s="56"/>
      <c r="J3478" s="58"/>
      <c r="K3478" s="58"/>
      <c r="L3478" s="13" t="str">
        <f t="shared" si="540"/>
        <v/>
      </c>
      <c r="M3478" s="13" t="str">
        <f t="shared" si="541"/>
        <v/>
      </c>
      <c r="Q3478" t="str">
        <f t="shared" si="542"/>
        <v/>
      </c>
      <c r="R3478" t="str">
        <f t="shared" si="543"/>
        <v/>
      </c>
      <c r="S3478" t="str">
        <f t="shared" si="544"/>
        <v/>
      </c>
      <c r="T3478" t="str">
        <f t="shared" si="545"/>
        <v/>
      </c>
      <c r="U3478" t="str">
        <f t="shared" si="546"/>
        <v/>
      </c>
      <c r="V3478" t="str">
        <f t="shared" si="547"/>
        <v/>
      </c>
      <c r="W3478" t="str">
        <f t="shared" si="548"/>
        <v/>
      </c>
      <c r="X3478">
        <f>IF($T3478="",N($X3477),IF(MATCH($T3478,$T$6:$T$10005,0)=ROW()-5,N($X3477)+1,N($X3477)))</f>
        <v>0</v>
      </c>
      <c r="Z3478" t="str">
        <f t="shared" si="549"/>
        <v/>
      </c>
      <c r="AA3478">
        <f>IF($V3478="",N($AA3477),IF(MATCH($V3478,$V$6:$V$10005,0)=ROW()-5,N($AA3477)+1,N($AA3477)))</f>
        <v>0</v>
      </c>
    </row>
    <row r="3479" spans="1:27" ht="21" customHeight="1" x14ac:dyDescent="0.95">
      <c r="A3479" s="56"/>
      <c r="B3479" s="57"/>
      <c r="C3479" s="57"/>
      <c r="D3479" s="57"/>
      <c r="E3479" s="56"/>
      <c r="F3479" s="57"/>
      <c r="G3479" s="57"/>
      <c r="H3479" s="56"/>
      <c r="I3479" s="56"/>
      <c r="J3479" s="58"/>
      <c r="K3479" s="58"/>
      <c r="L3479" s="13" t="str">
        <f t="shared" si="540"/>
        <v/>
      </c>
      <c r="M3479" s="13" t="str">
        <f t="shared" si="541"/>
        <v/>
      </c>
      <c r="Q3479" t="str">
        <f t="shared" si="542"/>
        <v/>
      </c>
      <c r="R3479" t="str">
        <f t="shared" si="543"/>
        <v/>
      </c>
      <c r="S3479" t="str">
        <f t="shared" si="544"/>
        <v/>
      </c>
      <c r="T3479" t="str">
        <f t="shared" si="545"/>
        <v/>
      </c>
      <c r="U3479" t="str">
        <f t="shared" si="546"/>
        <v/>
      </c>
      <c r="V3479" t="str">
        <f t="shared" si="547"/>
        <v/>
      </c>
      <c r="W3479" t="str">
        <f t="shared" si="548"/>
        <v/>
      </c>
      <c r="X3479">
        <f>IF($T3479="",N($X3478),IF(MATCH($T3479,$T$6:$T$10005,0)=ROW()-5,N($X3478)+1,N($X3478)))</f>
        <v>0</v>
      </c>
      <c r="Z3479" t="str">
        <f t="shared" si="549"/>
        <v/>
      </c>
      <c r="AA3479">
        <f>IF($V3479="",N($AA3478),IF(MATCH($V3479,$V$6:$V$10005,0)=ROW()-5,N($AA3478)+1,N($AA3478)))</f>
        <v>0</v>
      </c>
    </row>
    <row r="3480" spans="1:27" ht="21" customHeight="1" x14ac:dyDescent="0.95">
      <c r="A3480" s="56"/>
      <c r="B3480" s="57"/>
      <c r="C3480" s="57"/>
      <c r="D3480" s="57"/>
      <c r="E3480" s="56"/>
      <c r="F3480" s="57"/>
      <c r="G3480" s="57"/>
      <c r="H3480" s="56"/>
      <c r="I3480" s="56"/>
      <c r="J3480" s="58"/>
      <c r="K3480" s="58"/>
      <c r="L3480" s="13" t="str">
        <f t="shared" si="540"/>
        <v/>
      </c>
      <c r="M3480" s="13" t="str">
        <f t="shared" si="541"/>
        <v/>
      </c>
      <c r="Q3480" t="str">
        <f t="shared" si="542"/>
        <v/>
      </c>
      <c r="R3480" t="str">
        <f t="shared" si="543"/>
        <v/>
      </c>
      <c r="S3480" t="str">
        <f t="shared" si="544"/>
        <v/>
      </c>
      <c r="T3480" t="str">
        <f t="shared" si="545"/>
        <v/>
      </c>
      <c r="U3480" t="str">
        <f t="shared" si="546"/>
        <v/>
      </c>
      <c r="V3480" t="str">
        <f t="shared" si="547"/>
        <v/>
      </c>
      <c r="W3480" t="str">
        <f t="shared" si="548"/>
        <v/>
      </c>
      <c r="X3480">
        <f>IF($T3480="",N($X3479),IF(MATCH($T3480,$T$6:$T$10005,0)=ROW()-5,N($X3479)+1,N($X3479)))</f>
        <v>0</v>
      </c>
      <c r="Z3480" t="str">
        <f t="shared" si="549"/>
        <v/>
      </c>
      <c r="AA3480">
        <f>IF($V3480="",N($AA3479),IF(MATCH($V3480,$V$6:$V$10005,0)=ROW()-5,N($AA3479)+1,N($AA3479)))</f>
        <v>0</v>
      </c>
    </row>
    <row r="3481" spans="1:27" ht="21" customHeight="1" x14ac:dyDescent="0.95">
      <c r="A3481" s="56"/>
      <c r="B3481" s="57"/>
      <c r="C3481" s="57"/>
      <c r="D3481" s="57"/>
      <c r="E3481" s="56"/>
      <c r="F3481" s="57"/>
      <c r="G3481" s="57"/>
      <c r="H3481" s="56"/>
      <c r="I3481" s="56"/>
      <c r="J3481" s="58"/>
      <c r="K3481" s="58"/>
      <c r="L3481" s="13" t="str">
        <f t="shared" si="540"/>
        <v/>
      </c>
      <c r="M3481" s="13" t="str">
        <f t="shared" si="541"/>
        <v/>
      </c>
      <c r="Q3481" t="str">
        <f t="shared" si="542"/>
        <v/>
      </c>
      <c r="R3481" t="str">
        <f t="shared" si="543"/>
        <v/>
      </c>
      <c r="S3481" t="str">
        <f t="shared" si="544"/>
        <v/>
      </c>
      <c r="T3481" t="str">
        <f t="shared" si="545"/>
        <v/>
      </c>
      <c r="U3481" t="str">
        <f t="shared" si="546"/>
        <v/>
      </c>
      <c r="V3481" t="str">
        <f t="shared" si="547"/>
        <v/>
      </c>
      <c r="W3481" t="str">
        <f t="shared" si="548"/>
        <v/>
      </c>
      <c r="X3481">
        <f>IF($T3481="",N($X3480),IF(MATCH($T3481,$T$6:$T$10005,0)=ROW()-5,N($X3480)+1,N($X3480)))</f>
        <v>0</v>
      </c>
      <c r="Z3481" t="str">
        <f t="shared" si="549"/>
        <v/>
      </c>
      <c r="AA3481">
        <f>IF($V3481="",N($AA3480),IF(MATCH($V3481,$V$6:$V$10005,0)=ROW()-5,N($AA3480)+1,N($AA3480)))</f>
        <v>0</v>
      </c>
    </row>
    <row r="3482" spans="1:27" ht="21" customHeight="1" x14ac:dyDescent="0.95">
      <c r="A3482" s="56"/>
      <c r="B3482" s="57"/>
      <c r="C3482" s="57"/>
      <c r="D3482" s="57"/>
      <c r="E3482" s="56"/>
      <c r="F3482" s="57"/>
      <c r="G3482" s="57"/>
      <c r="H3482" s="56"/>
      <c r="I3482" s="56"/>
      <c r="J3482" s="58"/>
      <c r="K3482" s="58"/>
      <c r="L3482" s="13" t="str">
        <f t="shared" si="540"/>
        <v/>
      </c>
      <c r="M3482" s="13" t="str">
        <f t="shared" si="541"/>
        <v/>
      </c>
      <c r="Q3482" t="str">
        <f t="shared" si="542"/>
        <v/>
      </c>
      <c r="R3482" t="str">
        <f t="shared" si="543"/>
        <v/>
      </c>
      <c r="S3482" t="str">
        <f t="shared" si="544"/>
        <v/>
      </c>
      <c r="T3482" t="str">
        <f t="shared" si="545"/>
        <v/>
      </c>
      <c r="U3482" t="str">
        <f t="shared" si="546"/>
        <v/>
      </c>
      <c r="V3482" t="str">
        <f t="shared" si="547"/>
        <v/>
      </c>
      <c r="W3482" t="str">
        <f t="shared" si="548"/>
        <v/>
      </c>
      <c r="X3482">
        <f>IF($T3482="",N($X3481),IF(MATCH($T3482,$T$6:$T$10005,0)=ROW()-5,N($X3481)+1,N($X3481)))</f>
        <v>0</v>
      </c>
      <c r="Z3482" t="str">
        <f t="shared" si="549"/>
        <v/>
      </c>
      <c r="AA3482">
        <f>IF($V3482="",N($AA3481),IF(MATCH($V3482,$V$6:$V$10005,0)=ROW()-5,N($AA3481)+1,N($AA3481)))</f>
        <v>0</v>
      </c>
    </row>
    <row r="3483" spans="1:27" ht="21" customHeight="1" x14ac:dyDescent="0.95">
      <c r="A3483" s="56"/>
      <c r="B3483" s="57"/>
      <c r="C3483" s="57"/>
      <c r="D3483" s="57"/>
      <c r="E3483" s="56"/>
      <c r="F3483" s="57"/>
      <c r="G3483" s="57"/>
      <c r="H3483" s="56"/>
      <c r="I3483" s="56"/>
      <c r="J3483" s="58"/>
      <c r="K3483" s="58"/>
      <c r="L3483" s="13" t="str">
        <f t="shared" si="540"/>
        <v/>
      </c>
      <c r="M3483" s="13" t="str">
        <f t="shared" si="541"/>
        <v/>
      </c>
      <c r="Q3483" t="str">
        <f t="shared" si="542"/>
        <v/>
      </c>
      <c r="R3483" t="str">
        <f t="shared" si="543"/>
        <v/>
      </c>
      <c r="S3483" t="str">
        <f t="shared" si="544"/>
        <v/>
      </c>
      <c r="T3483" t="str">
        <f t="shared" si="545"/>
        <v/>
      </c>
      <c r="U3483" t="str">
        <f t="shared" si="546"/>
        <v/>
      </c>
      <c r="V3483" t="str">
        <f t="shared" si="547"/>
        <v/>
      </c>
      <c r="W3483" t="str">
        <f t="shared" si="548"/>
        <v/>
      </c>
      <c r="X3483">
        <f>IF($T3483="",N($X3482),IF(MATCH($T3483,$T$6:$T$10005,0)=ROW()-5,N($X3482)+1,N($X3482)))</f>
        <v>0</v>
      </c>
      <c r="Z3483" t="str">
        <f t="shared" si="549"/>
        <v/>
      </c>
      <c r="AA3483">
        <f>IF($V3483="",N($AA3482),IF(MATCH($V3483,$V$6:$V$10005,0)=ROW()-5,N($AA3482)+1,N($AA3482)))</f>
        <v>0</v>
      </c>
    </row>
    <row r="3484" spans="1:27" ht="21" customHeight="1" x14ac:dyDescent="0.95">
      <c r="A3484" s="56"/>
      <c r="B3484" s="57"/>
      <c r="C3484" s="57"/>
      <c r="D3484" s="57"/>
      <c r="E3484" s="56"/>
      <c r="F3484" s="57"/>
      <c r="G3484" s="57"/>
      <c r="H3484" s="56"/>
      <c r="I3484" s="56"/>
      <c r="J3484" s="58"/>
      <c r="K3484" s="58"/>
      <c r="L3484" s="13" t="str">
        <f t="shared" si="540"/>
        <v/>
      </c>
      <c r="M3484" s="13" t="str">
        <f t="shared" si="541"/>
        <v/>
      </c>
      <c r="Q3484" t="str">
        <f t="shared" si="542"/>
        <v/>
      </c>
      <c r="R3484" t="str">
        <f t="shared" si="543"/>
        <v/>
      </c>
      <c r="S3484" t="str">
        <f t="shared" si="544"/>
        <v/>
      </c>
      <c r="T3484" t="str">
        <f t="shared" si="545"/>
        <v/>
      </c>
      <c r="U3484" t="str">
        <f t="shared" si="546"/>
        <v/>
      </c>
      <c r="V3484" t="str">
        <f t="shared" si="547"/>
        <v/>
      </c>
      <c r="W3484" t="str">
        <f t="shared" si="548"/>
        <v/>
      </c>
      <c r="X3484">
        <f>IF($T3484="",N($X3483),IF(MATCH($T3484,$T$6:$T$10005,0)=ROW()-5,N($X3483)+1,N($X3483)))</f>
        <v>0</v>
      </c>
      <c r="Z3484" t="str">
        <f t="shared" si="549"/>
        <v/>
      </c>
      <c r="AA3484">
        <f>IF($V3484="",N($AA3483),IF(MATCH($V3484,$V$6:$V$10005,0)=ROW()-5,N($AA3483)+1,N($AA3483)))</f>
        <v>0</v>
      </c>
    </row>
    <row r="3485" spans="1:27" ht="21" customHeight="1" x14ac:dyDescent="0.95">
      <c r="A3485" s="56"/>
      <c r="B3485" s="57"/>
      <c r="C3485" s="57"/>
      <c r="D3485" s="57"/>
      <c r="E3485" s="56"/>
      <c r="F3485" s="57"/>
      <c r="G3485" s="57"/>
      <c r="H3485" s="56"/>
      <c r="I3485" s="56"/>
      <c r="J3485" s="58"/>
      <c r="K3485" s="58"/>
      <c r="L3485" s="13" t="str">
        <f t="shared" si="540"/>
        <v/>
      </c>
      <c r="M3485" s="13" t="str">
        <f t="shared" si="541"/>
        <v/>
      </c>
      <c r="Q3485" t="str">
        <f t="shared" si="542"/>
        <v/>
      </c>
      <c r="R3485" t="str">
        <f t="shared" si="543"/>
        <v/>
      </c>
      <c r="S3485" t="str">
        <f t="shared" si="544"/>
        <v/>
      </c>
      <c r="T3485" t="str">
        <f t="shared" si="545"/>
        <v/>
      </c>
      <c r="U3485" t="str">
        <f t="shared" si="546"/>
        <v/>
      </c>
      <c r="V3485" t="str">
        <f t="shared" si="547"/>
        <v/>
      </c>
      <c r="W3485" t="str">
        <f t="shared" si="548"/>
        <v/>
      </c>
      <c r="X3485">
        <f>IF($T3485="",N($X3484),IF(MATCH($T3485,$T$6:$T$10005,0)=ROW()-5,N($X3484)+1,N($X3484)))</f>
        <v>0</v>
      </c>
      <c r="Z3485" t="str">
        <f t="shared" si="549"/>
        <v/>
      </c>
      <c r="AA3485">
        <f>IF($V3485="",N($AA3484),IF(MATCH($V3485,$V$6:$V$10005,0)=ROW()-5,N($AA3484)+1,N($AA3484)))</f>
        <v>0</v>
      </c>
    </row>
    <row r="3486" spans="1:27" ht="21" customHeight="1" x14ac:dyDescent="0.95">
      <c r="A3486" s="56"/>
      <c r="B3486" s="57"/>
      <c r="C3486" s="57"/>
      <c r="D3486" s="57"/>
      <c r="E3486" s="56"/>
      <c r="F3486" s="57"/>
      <c r="G3486" s="57"/>
      <c r="H3486" s="56"/>
      <c r="I3486" s="56"/>
      <c r="J3486" s="58"/>
      <c r="K3486" s="58"/>
      <c r="L3486" s="13" t="str">
        <f t="shared" si="540"/>
        <v/>
      </c>
      <c r="M3486" s="13" t="str">
        <f t="shared" si="541"/>
        <v/>
      </c>
      <c r="Q3486" t="str">
        <f t="shared" si="542"/>
        <v/>
      </c>
      <c r="R3486" t="str">
        <f t="shared" si="543"/>
        <v/>
      </c>
      <c r="S3486" t="str">
        <f t="shared" si="544"/>
        <v/>
      </c>
      <c r="T3486" t="str">
        <f t="shared" si="545"/>
        <v/>
      </c>
      <c r="U3486" t="str">
        <f t="shared" si="546"/>
        <v/>
      </c>
      <c r="V3486" t="str">
        <f t="shared" si="547"/>
        <v/>
      </c>
      <c r="W3486" t="str">
        <f t="shared" si="548"/>
        <v/>
      </c>
      <c r="X3486">
        <f>IF($T3486="",N($X3485),IF(MATCH($T3486,$T$6:$T$10005,0)=ROW()-5,N($X3485)+1,N($X3485)))</f>
        <v>0</v>
      </c>
      <c r="Z3486" t="str">
        <f t="shared" si="549"/>
        <v/>
      </c>
      <c r="AA3486">
        <f>IF($V3486="",N($AA3485),IF(MATCH($V3486,$V$6:$V$10005,0)=ROW()-5,N($AA3485)+1,N($AA3485)))</f>
        <v>0</v>
      </c>
    </row>
    <row r="3487" spans="1:27" ht="21" customHeight="1" x14ac:dyDescent="0.95">
      <c r="A3487" s="56"/>
      <c r="B3487" s="57"/>
      <c r="C3487" s="57"/>
      <c r="D3487" s="57"/>
      <c r="E3487" s="56"/>
      <c r="F3487" s="57"/>
      <c r="G3487" s="57"/>
      <c r="H3487" s="56"/>
      <c r="I3487" s="56"/>
      <c r="J3487" s="58"/>
      <c r="K3487" s="58"/>
      <c r="L3487" s="13" t="str">
        <f t="shared" si="540"/>
        <v/>
      </c>
      <c r="M3487" s="13" t="str">
        <f t="shared" si="541"/>
        <v/>
      </c>
      <c r="Q3487" t="str">
        <f t="shared" si="542"/>
        <v/>
      </c>
      <c r="R3487" t="str">
        <f t="shared" si="543"/>
        <v/>
      </c>
      <c r="S3487" t="str">
        <f t="shared" si="544"/>
        <v/>
      </c>
      <c r="T3487" t="str">
        <f t="shared" si="545"/>
        <v/>
      </c>
      <c r="U3487" t="str">
        <f t="shared" si="546"/>
        <v/>
      </c>
      <c r="V3487" t="str">
        <f t="shared" si="547"/>
        <v/>
      </c>
      <c r="W3487" t="str">
        <f t="shared" si="548"/>
        <v/>
      </c>
      <c r="X3487">
        <f>IF($T3487="",N($X3486),IF(MATCH($T3487,$T$6:$T$10005,0)=ROW()-5,N($X3486)+1,N($X3486)))</f>
        <v>0</v>
      </c>
      <c r="Z3487" t="str">
        <f t="shared" si="549"/>
        <v/>
      </c>
      <c r="AA3487">
        <f>IF($V3487="",N($AA3486),IF(MATCH($V3487,$V$6:$V$10005,0)=ROW()-5,N($AA3486)+1,N($AA3486)))</f>
        <v>0</v>
      </c>
    </row>
    <row r="3488" spans="1:27" ht="21" customHeight="1" x14ac:dyDescent="0.95">
      <c r="A3488" s="56"/>
      <c r="B3488" s="57"/>
      <c r="C3488" s="57"/>
      <c r="D3488" s="57"/>
      <c r="E3488" s="56"/>
      <c r="F3488" s="57"/>
      <c r="G3488" s="57"/>
      <c r="H3488" s="56"/>
      <c r="I3488" s="56"/>
      <c r="J3488" s="58"/>
      <c r="K3488" s="58"/>
      <c r="L3488" s="13" t="str">
        <f t="shared" si="540"/>
        <v/>
      </c>
      <c r="M3488" s="13" t="str">
        <f t="shared" si="541"/>
        <v/>
      </c>
      <c r="Q3488" t="str">
        <f t="shared" si="542"/>
        <v/>
      </c>
      <c r="R3488" t="str">
        <f t="shared" si="543"/>
        <v/>
      </c>
      <c r="S3488" t="str">
        <f t="shared" si="544"/>
        <v/>
      </c>
      <c r="T3488" t="str">
        <f t="shared" si="545"/>
        <v/>
      </c>
      <c r="U3488" t="str">
        <f t="shared" si="546"/>
        <v/>
      </c>
      <c r="V3488" t="str">
        <f t="shared" si="547"/>
        <v/>
      </c>
      <c r="W3488" t="str">
        <f t="shared" si="548"/>
        <v/>
      </c>
      <c r="X3488">
        <f>IF($T3488="",N($X3487),IF(MATCH($T3488,$T$6:$T$10005,0)=ROW()-5,N($X3487)+1,N($X3487)))</f>
        <v>0</v>
      </c>
      <c r="Z3488" t="str">
        <f t="shared" si="549"/>
        <v/>
      </c>
      <c r="AA3488">
        <f>IF($V3488="",N($AA3487),IF(MATCH($V3488,$V$6:$V$10005,0)=ROW()-5,N($AA3487)+1,N($AA3487)))</f>
        <v>0</v>
      </c>
    </row>
    <row r="3489" spans="1:27" ht="21" customHeight="1" x14ac:dyDescent="0.95">
      <c r="A3489" s="56"/>
      <c r="B3489" s="57"/>
      <c r="C3489" s="57"/>
      <c r="D3489" s="57"/>
      <c r="E3489" s="56"/>
      <c r="F3489" s="57"/>
      <c r="G3489" s="57"/>
      <c r="H3489" s="56"/>
      <c r="I3489" s="56"/>
      <c r="J3489" s="58"/>
      <c r="K3489" s="58"/>
      <c r="L3489" s="13" t="str">
        <f t="shared" si="540"/>
        <v/>
      </c>
      <c r="M3489" s="13" t="str">
        <f t="shared" si="541"/>
        <v/>
      </c>
      <c r="Q3489" t="str">
        <f t="shared" si="542"/>
        <v/>
      </c>
      <c r="R3489" t="str">
        <f t="shared" si="543"/>
        <v/>
      </c>
      <c r="S3489" t="str">
        <f t="shared" si="544"/>
        <v/>
      </c>
      <c r="T3489" t="str">
        <f t="shared" si="545"/>
        <v/>
      </c>
      <c r="U3489" t="str">
        <f t="shared" si="546"/>
        <v/>
      </c>
      <c r="V3489" t="str">
        <f t="shared" si="547"/>
        <v/>
      </c>
      <c r="W3489" t="str">
        <f t="shared" si="548"/>
        <v/>
      </c>
      <c r="X3489">
        <f>IF($T3489="",N($X3488),IF(MATCH($T3489,$T$6:$T$10005,0)=ROW()-5,N($X3488)+1,N($X3488)))</f>
        <v>0</v>
      </c>
      <c r="Z3489" t="str">
        <f t="shared" si="549"/>
        <v/>
      </c>
      <c r="AA3489">
        <f>IF($V3489="",N($AA3488),IF(MATCH($V3489,$V$6:$V$10005,0)=ROW()-5,N($AA3488)+1,N($AA3488)))</f>
        <v>0</v>
      </c>
    </row>
    <row r="3490" spans="1:27" ht="21" customHeight="1" x14ac:dyDescent="0.95">
      <c r="A3490" s="56"/>
      <c r="B3490" s="57"/>
      <c r="C3490" s="57"/>
      <c r="D3490" s="57"/>
      <c r="E3490" s="56"/>
      <c r="F3490" s="57"/>
      <c r="G3490" s="57"/>
      <c r="H3490" s="56"/>
      <c r="I3490" s="56"/>
      <c r="J3490" s="58"/>
      <c r="K3490" s="58"/>
      <c r="L3490" s="13" t="str">
        <f t="shared" si="540"/>
        <v/>
      </c>
      <c r="M3490" s="13" t="str">
        <f t="shared" si="541"/>
        <v/>
      </c>
      <c r="Q3490" t="str">
        <f t="shared" si="542"/>
        <v/>
      </c>
      <c r="R3490" t="str">
        <f t="shared" si="543"/>
        <v/>
      </c>
      <c r="S3490" t="str">
        <f t="shared" si="544"/>
        <v/>
      </c>
      <c r="T3490" t="str">
        <f t="shared" si="545"/>
        <v/>
      </c>
      <c r="U3490" t="str">
        <f t="shared" si="546"/>
        <v/>
      </c>
      <c r="V3490" t="str">
        <f t="shared" si="547"/>
        <v/>
      </c>
      <c r="W3490" t="str">
        <f t="shared" si="548"/>
        <v/>
      </c>
      <c r="X3490">
        <f>IF($T3490="",N($X3489),IF(MATCH($T3490,$T$6:$T$10005,0)=ROW()-5,N($X3489)+1,N($X3489)))</f>
        <v>0</v>
      </c>
      <c r="Z3490" t="str">
        <f t="shared" si="549"/>
        <v/>
      </c>
      <c r="AA3490">
        <f>IF($V3490="",N($AA3489),IF(MATCH($V3490,$V$6:$V$10005,0)=ROW()-5,N($AA3489)+1,N($AA3489)))</f>
        <v>0</v>
      </c>
    </row>
    <row r="3491" spans="1:27" ht="21" customHeight="1" x14ac:dyDescent="0.95">
      <c r="A3491" s="56"/>
      <c r="B3491" s="57"/>
      <c r="C3491" s="57"/>
      <c r="D3491" s="57"/>
      <c r="E3491" s="56"/>
      <c r="F3491" s="57"/>
      <c r="G3491" s="57"/>
      <c r="H3491" s="56"/>
      <c r="I3491" s="56"/>
      <c r="J3491" s="58"/>
      <c r="K3491" s="58"/>
      <c r="L3491" s="13" t="str">
        <f t="shared" si="540"/>
        <v/>
      </c>
      <c r="M3491" s="13" t="str">
        <f t="shared" si="541"/>
        <v/>
      </c>
      <c r="Q3491" t="str">
        <f t="shared" si="542"/>
        <v/>
      </c>
      <c r="R3491" t="str">
        <f t="shared" si="543"/>
        <v/>
      </c>
      <c r="S3491" t="str">
        <f t="shared" si="544"/>
        <v/>
      </c>
      <c r="T3491" t="str">
        <f t="shared" si="545"/>
        <v/>
      </c>
      <c r="U3491" t="str">
        <f t="shared" si="546"/>
        <v/>
      </c>
      <c r="V3491" t="str">
        <f t="shared" si="547"/>
        <v/>
      </c>
      <c r="W3491" t="str">
        <f t="shared" si="548"/>
        <v/>
      </c>
      <c r="X3491">
        <f>IF($T3491="",N($X3490),IF(MATCH($T3491,$T$6:$T$10005,0)=ROW()-5,N($X3490)+1,N($X3490)))</f>
        <v>0</v>
      </c>
      <c r="Z3491" t="str">
        <f t="shared" si="549"/>
        <v/>
      </c>
      <c r="AA3491">
        <f>IF($V3491="",N($AA3490),IF(MATCH($V3491,$V$6:$V$10005,0)=ROW()-5,N($AA3490)+1,N($AA3490)))</f>
        <v>0</v>
      </c>
    </row>
    <row r="3492" spans="1:27" ht="21" customHeight="1" x14ac:dyDescent="0.95">
      <c r="A3492" s="56"/>
      <c r="B3492" s="57"/>
      <c r="C3492" s="57"/>
      <c r="D3492" s="57"/>
      <c r="E3492" s="56"/>
      <c r="F3492" s="57"/>
      <c r="G3492" s="57"/>
      <c r="H3492" s="56"/>
      <c r="I3492" s="56"/>
      <c r="J3492" s="58"/>
      <c r="K3492" s="58"/>
      <c r="L3492" s="13" t="str">
        <f t="shared" si="540"/>
        <v/>
      </c>
      <c r="M3492" s="13" t="str">
        <f t="shared" si="541"/>
        <v/>
      </c>
      <c r="Q3492" t="str">
        <f t="shared" si="542"/>
        <v/>
      </c>
      <c r="R3492" t="str">
        <f t="shared" si="543"/>
        <v/>
      </c>
      <c r="S3492" t="str">
        <f t="shared" si="544"/>
        <v/>
      </c>
      <c r="T3492" t="str">
        <f t="shared" si="545"/>
        <v/>
      </c>
      <c r="U3492" t="str">
        <f t="shared" si="546"/>
        <v/>
      </c>
      <c r="V3492" t="str">
        <f t="shared" si="547"/>
        <v/>
      </c>
      <c r="W3492" t="str">
        <f t="shared" si="548"/>
        <v/>
      </c>
      <c r="X3492">
        <f>IF($T3492="",N($X3491),IF(MATCH($T3492,$T$6:$T$10005,0)=ROW()-5,N($X3491)+1,N($X3491)))</f>
        <v>0</v>
      </c>
      <c r="Z3492" t="str">
        <f t="shared" si="549"/>
        <v/>
      </c>
      <c r="AA3492">
        <f>IF($V3492="",N($AA3491),IF(MATCH($V3492,$V$6:$V$10005,0)=ROW()-5,N($AA3491)+1,N($AA3491)))</f>
        <v>0</v>
      </c>
    </row>
    <row r="3493" spans="1:27" ht="21" customHeight="1" x14ac:dyDescent="0.95">
      <c r="A3493" s="56"/>
      <c r="B3493" s="57"/>
      <c r="C3493" s="57"/>
      <c r="D3493" s="57"/>
      <c r="E3493" s="56"/>
      <c r="F3493" s="57"/>
      <c r="G3493" s="57"/>
      <c r="H3493" s="56"/>
      <c r="I3493" s="56"/>
      <c r="J3493" s="58"/>
      <c r="K3493" s="58"/>
      <c r="L3493" s="13" t="str">
        <f t="shared" si="540"/>
        <v/>
      </c>
      <c r="M3493" s="13" t="str">
        <f t="shared" si="541"/>
        <v/>
      </c>
      <c r="Q3493" t="str">
        <f t="shared" si="542"/>
        <v/>
      </c>
      <c r="R3493" t="str">
        <f t="shared" si="543"/>
        <v/>
      </c>
      <c r="S3493" t="str">
        <f t="shared" si="544"/>
        <v/>
      </c>
      <c r="T3493" t="str">
        <f t="shared" si="545"/>
        <v/>
      </c>
      <c r="U3493" t="str">
        <f t="shared" si="546"/>
        <v/>
      </c>
      <c r="V3493" t="str">
        <f t="shared" si="547"/>
        <v/>
      </c>
      <c r="W3493" t="str">
        <f t="shared" si="548"/>
        <v/>
      </c>
      <c r="X3493">
        <f>IF($T3493="",N($X3492),IF(MATCH($T3493,$T$6:$T$10005,0)=ROW()-5,N($X3492)+1,N($X3492)))</f>
        <v>0</v>
      </c>
      <c r="Z3493" t="str">
        <f t="shared" si="549"/>
        <v/>
      </c>
      <c r="AA3493">
        <f>IF($V3493="",N($AA3492),IF(MATCH($V3493,$V$6:$V$10005,0)=ROW()-5,N($AA3492)+1,N($AA3492)))</f>
        <v>0</v>
      </c>
    </row>
    <row r="3494" spans="1:27" ht="21" customHeight="1" x14ac:dyDescent="0.95">
      <c r="A3494" s="56"/>
      <c r="B3494" s="57"/>
      <c r="C3494" s="57"/>
      <c r="D3494" s="57"/>
      <c r="E3494" s="56"/>
      <c r="F3494" s="57"/>
      <c r="G3494" s="57"/>
      <c r="H3494" s="56"/>
      <c r="I3494" s="56"/>
      <c r="J3494" s="58"/>
      <c r="K3494" s="58"/>
      <c r="L3494" s="13" t="str">
        <f t="shared" si="540"/>
        <v/>
      </c>
      <c r="M3494" s="13" t="str">
        <f t="shared" si="541"/>
        <v/>
      </c>
      <c r="Q3494" t="str">
        <f t="shared" si="542"/>
        <v/>
      </c>
      <c r="R3494" t="str">
        <f t="shared" si="543"/>
        <v/>
      </c>
      <c r="S3494" t="str">
        <f t="shared" si="544"/>
        <v/>
      </c>
      <c r="T3494" t="str">
        <f t="shared" si="545"/>
        <v/>
      </c>
      <c r="U3494" t="str">
        <f t="shared" si="546"/>
        <v/>
      </c>
      <c r="V3494" t="str">
        <f t="shared" si="547"/>
        <v/>
      </c>
      <c r="W3494" t="str">
        <f t="shared" si="548"/>
        <v/>
      </c>
      <c r="X3494">
        <f>IF($T3494="",N($X3493),IF(MATCH($T3494,$T$6:$T$10005,0)=ROW()-5,N($X3493)+1,N($X3493)))</f>
        <v>0</v>
      </c>
      <c r="Z3494" t="str">
        <f t="shared" si="549"/>
        <v/>
      </c>
      <c r="AA3494">
        <f>IF($V3494="",N($AA3493),IF(MATCH($V3494,$V$6:$V$10005,0)=ROW()-5,N($AA3493)+1,N($AA3493)))</f>
        <v>0</v>
      </c>
    </row>
    <row r="3495" spans="1:27" ht="21" customHeight="1" x14ac:dyDescent="0.95">
      <c r="A3495" s="56"/>
      <c r="B3495" s="57"/>
      <c r="C3495" s="57"/>
      <c r="D3495" s="57"/>
      <c r="E3495" s="56"/>
      <c r="F3495" s="57"/>
      <c r="G3495" s="57"/>
      <c r="H3495" s="56"/>
      <c r="I3495" s="56"/>
      <c r="J3495" s="58"/>
      <c r="K3495" s="58"/>
      <c r="L3495" s="13" t="str">
        <f t="shared" si="540"/>
        <v/>
      </c>
      <c r="M3495" s="13" t="str">
        <f t="shared" si="541"/>
        <v/>
      </c>
      <c r="Q3495" t="str">
        <f t="shared" si="542"/>
        <v/>
      </c>
      <c r="R3495" t="str">
        <f t="shared" si="543"/>
        <v/>
      </c>
      <c r="S3495" t="str">
        <f t="shared" si="544"/>
        <v/>
      </c>
      <c r="T3495" t="str">
        <f t="shared" si="545"/>
        <v/>
      </c>
      <c r="U3495" t="str">
        <f t="shared" si="546"/>
        <v/>
      </c>
      <c r="V3495" t="str">
        <f t="shared" si="547"/>
        <v/>
      </c>
      <c r="W3495" t="str">
        <f t="shared" si="548"/>
        <v/>
      </c>
      <c r="X3495">
        <f>IF($T3495="",N($X3494),IF(MATCH($T3495,$T$6:$T$10005,0)=ROW()-5,N($X3494)+1,N($X3494)))</f>
        <v>0</v>
      </c>
      <c r="Z3495" t="str">
        <f t="shared" si="549"/>
        <v/>
      </c>
      <c r="AA3495">
        <f>IF($V3495="",N($AA3494),IF(MATCH($V3495,$V$6:$V$10005,0)=ROW()-5,N($AA3494)+1,N($AA3494)))</f>
        <v>0</v>
      </c>
    </row>
    <row r="3496" spans="1:27" ht="21" customHeight="1" x14ac:dyDescent="0.95">
      <c r="A3496" s="56"/>
      <c r="B3496" s="57"/>
      <c r="C3496" s="57"/>
      <c r="D3496" s="57"/>
      <c r="E3496" s="56"/>
      <c r="F3496" s="57"/>
      <c r="G3496" s="57"/>
      <c r="H3496" s="56"/>
      <c r="I3496" s="56"/>
      <c r="J3496" s="58"/>
      <c r="K3496" s="58"/>
      <c r="L3496" s="13" t="str">
        <f t="shared" si="540"/>
        <v/>
      </c>
      <c r="M3496" s="13" t="str">
        <f t="shared" si="541"/>
        <v/>
      </c>
      <c r="Q3496" t="str">
        <f t="shared" si="542"/>
        <v/>
      </c>
      <c r="R3496" t="str">
        <f t="shared" si="543"/>
        <v/>
      </c>
      <c r="S3496" t="str">
        <f t="shared" si="544"/>
        <v/>
      </c>
      <c r="T3496" t="str">
        <f t="shared" si="545"/>
        <v/>
      </c>
      <c r="U3496" t="str">
        <f t="shared" si="546"/>
        <v/>
      </c>
      <c r="V3496" t="str">
        <f t="shared" si="547"/>
        <v/>
      </c>
      <c r="W3496" t="str">
        <f t="shared" si="548"/>
        <v/>
      </c>
      <c r="X3496">
        <f>IF($T3496="",N($X3495),IF(MATCH($T3496,$T$6:$T$10005,0)=ROW()-5,N($X3495)+1,N($X3495)))</f>
        <v>0</v>
      </c>
      <c r="Z3496" t="str">
        <f t="shared" si="549"/>
        <v/>
      </c>
      <c r="AA3496">
        <f>IF($V3496="",N($AA3495),IF(MATCH($V3496,$V$6:$V$10005,0)=ROW()-5,N($AA3495)+1,N($AA3495)))</f>
        <v>0</v>
      </c>
    </row>
    <row r="3497" spans="1:27" ht="21" customHeight="1" x14ac:dyDescent="0.95">
      <c r="A3497" s="56"/>
      <c r="B3497" s="57"/>
      <c r="C3497" s="57"/>
      <c r="D3497" s="57"/>
      <c r="E3497" s="56"/>
      <c r="F3497" s="57"/>
      <c r="G3497" s="57"/>
      <c r="H3497" s="56"/>
      <c r="I3497" s="56"/>
      <c r="J3497" s="58"/>
      <c r="K3497" s="58"/>
      <c r="L3497" s="13" t="str">
        <f t="shared" si="540"/>
        <v/>
      </c>
      <c r="M3497" s="13" t="str">
        <f t="shared" si="541"/>
        <v/>
      </c>
      <c r="Q3497" t="str">
        <f t="shared" si="542"/>
        <v/>
      </c>
      <c r="R3497" t="str">
        <f t="shared" si="543"/>
        <v/>
      </c>
      <c r="S3497" t="str">
        <f t="shared" si="544"/>
        <v/>
      </c>
      <c r="T3497" t="str">
        <f t="shared" si="545"/>
        <v/>
      </c>
      <c r="U3497" t="str">
        <f t="shared" si="546"/>
        <v/>
      </c>
      <c r="V3497" t="str">
        <f t="shared" si="547"/>
        <v/>
      </c>
      <c r="W3497" t="str">
        <f t="shared" si="548"/>
        <v/>
      </c>
      <c r="X3497">
        <f>IF($T3497="",N($X3496),IF(MATCH($T3497,$T$6:$T$10005,0)=ROW()-5,N($X3496)+1,N($X3496)))</f>
        <v>0</v>
      </c>
      <c r="Z3497" t="str">
        <f t="shared" si="549"/>
        <v/>
      </c>
      <c r="AA3497">
        <f>IF($V3497="",N($AA3496),IF(MATCH($V3497,$V$6:$V$10005,0)=ROW()-5,N($AA3496)+1,N($AA3496)))</f>
        <v>0</v>
      </c>
    </row>
    <row r="3498" spans="1:27" ht="21" customHeight="1" x14ac:dyDescent="0.95">
      <c r="A3498" s="56"/>
      <c r="B3498" s="57"/>
      <c r="C3498" s="57"/>
      <c r="D3498" s="57"/>
      <c r="E3498" s="56"/>
      <c r="F3498" s="57"/>
      <c r="G3498" s="57"/>
      <c r="H3498" s="56"/>
      <c r="I3498" s="56"/>
      <c r="J3498" s="58"/>
      <c r="K3498" s="58"/>
      <c r="L3498" s="13" t="str">
        <f t="shared" si="540"/>
        <v/>
      </c>
      <c r="M3498" s="13" t="str">
        <f t="shared" si="541"/>
        <v/>
      </c>
      <c r="Q3498" t="str">
        <f t="shared" si="542"/>
        <v/>
      </c>
      <c r="R3498" t="str">
        <f t="shared" si="543"/>
        <v/>
      </c>
      <c r="S3498" t="str">
        <f t="shared" si="544"/>
        <v/>
      </c>
      <c r="T3498" t="str">
        <f t="shared" si="545"/>
        <v/>
      </c>
      <c r="U3498" t="str">
        <f t="shared" si="546"/>
        <v/>
      </c>
      <c r="V3498" t="str">
        <f t="shared" si="547"/>
        <v/>
      </c>
      <c r="W3498" t="str">
        <f t="shared" si="548"/>
        <v/>
      </c>
      <c r="X3498">
        <f>IF($T3498="",N($X3497),IF(MATCH($T3498,$T$6:$T$10005,0)=ROW()-5,N($X3497)+1,N($X3497)))</f>
        <v>0</v>
      </c>
      <c r="Z3498" t="str">
        <f t="shared" si="549"/>
        <v/>
      </c>
      <c r="AA3498">
        <f>IF($V3498="",N($AA3497),IF(MATCH($V3498,$V$6:$V$10005,0)=ROW()-5,N($AA3497)+1,N($AA3497)))</f>
        <v>0</v>
      </c>
    </row>
    <row r="3499" spans="1:27" ht="21" customHeight="1" x14ac:dyDescent="0.95">
      <c r="A3499" s="56"/>
      <c r="B3499" s="57"/>
      <c r="C3499" s="57"/>
      <c r="D3499" s="57"/>
      <c r="E3499" s="56"/>
      <c r="F3499" s="57"/>
      <c r="G3499" s="57"/>
      <c r="H3499" s="56"/>
      <c r="I3499" s="56"/>
      <c r="J3499" s="58"/>
      <c r="K3499" s="58"/>
      <c r="L3499" s="13" t="str">
        <f t="shared" si="540"/>
        <v/>
      </c>
      <c r="M3499" s="13" t="str">
        <f t="shared" si="541"/>
        <v/>
      </c>
      <c r="Q3499" t="str">
        <f t="shared" si="542"/>
        <v/>
      </c>
      <c r="R3499" t="str">
        <f t="shared" si="543"/>
        <v/>
      </c>
      <c r="S3499" t="str">
        <f t="shared" si="544"/>
        <v/>
      </c>
      <c r="T3499" t="str">
        <f t="shared" si="545"/>
        <v/>
      </c>
      <c r="U3499" t="str">
        <f t="shared" si="546"/>
        <v/>
      </c>
      <c r="V3499" t="str">
        <f t="shared" si="547"/>
        <v/>
      </c>
      <c r="W3499" t="str">
        <f t="shared" si="548"/>
        <v/>
      </c>
      <c r="X3499">
        <f>IF($T3499="",N($X3498),IF(MATCH($T3499,$T$6:$T$10005,0)=ROW()-5,N($X3498)+1,N($X3498)))</f>
        <v>0</v>
      </c>
      <c r="Z3499" t="str">
        <f t="shared" si="549"/>
        <v/>
      </c>
      <c r="AA3499">
        <f>IF($V3499="",N($AA3498),IF(MATCH($V3499,$V$6:$V$10005,0)=ROW()-5,N($AA3498)+1,N($AA3498)))</f>
        <v>0</v>
      </c>
    </row>
    <row r="3500" spans="1:27" ht="21" customHeight="1" x14ac:dyDescent="0.95">
      <c r="A3500" s="56"/>
      <c r="B3500" s="57"/>
      <c r="C3500" s="57"/>
      <c r="D3500" s="57"/>
      <c r="E3500" s="56"/>
      <c r="F3500" s="57"/>
      <c r="G3500" s="57"/>
      <c r="H3500" s="56"/>
      <c r="I3500" s="56"/>
      <c r="J3500" s="58"/>
      <c r="K3500" s="58"/>
      <c r="L3500" s="13" t="str">
        <f t="shared" si="540"/>
        <v/>
      </c>
      <c r="M3500" s="13" t="str">
        <f t="shared" si="541"/>
        <v/>
      </c>
      <c r="Q3500" t="str">
        <f t="shared" si="542"/>
        <v/>
      </c>
      <c r="R3500" t="str">
        <f t="shared" si="543"/>
        <v/>
      </c>
      <c r="S3500" t="str">
        <f t="shared" si="544"/>
        <v/>
      </c>
      <c r="T3500" t="str">
        <f t="shared" si="545"/>
        <v/>
      </c>
      <c r="U3500" t="str">
        <f t="shared" si="546"/>
        <v/>
      </c>
      <c r="V3500" t="str">
        <f t="shared" si="547"/>
        <v/>
      </c>
      <c r="W3500" t="str">
        <f t="shared" si="548"/>
        <v/>
      </c>
      <c r="X3500">
        <f>IF($T3500="",N($X3499),IF(MATCH($T3500,$T$6:$T$10005,0)=ROW()-5,N($X3499)+1,N($X3499)))</f>
        <v>0</v>
      </c>
      <c r="Z3500" t="str">
        <f t="shared" si="549"/>
        <v/>
      </c>
      <c r="AA3500">
        <f>IF($V3500="",N($AA3499),IF(MATCH($V3500,$V$6:$V$10005,0)=ROW()-5,N($AA3499)+1,N($AA3499)))</f>
        <v>0</v>
      </c>
    </row>
    <row r="3501" spans="1:27" ht="21" customHeight="1" x14ac:dyDescent="0.95">
      <c r="A3501" s="56"/>
      <c r="B3501" s="57"/>
      <c r="C3501" s="57"/>
      <c r="D3501" s="57"/>
      <c r="E3501" s="56"/>
      <c r="F3501" s="57"/>
      <c r="G3501" s="57"/>
      <c r="H3501" s="56"/>
      <c r="I3501" s="56"/>
      <c r="J3501" s="58"/>
      <c r="K3501" s="58"/>
      <c r="L3501" s="13" t="str">
        <f t="shared" si="540"/>
        <v/>
      </c>
      <c r="M3501" s="13" t="str">
        <f t="shared" si="541"/>
        <v/>
      </c>
      <c r="Q3501" t="str">
        <f t="shared" si="542"/>
        <v/>
      </c>
      <c r="R3501" t="str">
        <f t="shared" si="543"/>
        <v/>
      </c>
      <c r="S3501" t="str">
        <f t="shared" si="544"/>
        <v/>
      </c>
      <c r="T3501" t="str">
        <f t="shared" si="545"/>
        <v/>
      </c>
      <c r="U3501" t="str">
        <f t="shared" si="546"/>
        <v/>
      </c>
      <c r="V3501" t="str">
        <f t="shared" si="547"/>
        <v/>
      </c>
      <c r="W3501" t="str">
        <f t="shared" si="548"/>
        <v/>
      </c>
      <c r="X3501">
        <f>IF($T3501="",N($X3500),IF(MATCH($T3501,$T$6:$T$10005,0)=ROW()-5,N($X3500)+1,N($X3500)))</f>
        <v>0</v>
      </c>
      <c r="Z3501" t="str">
        <f t="shared" si="549"/>
        <v/>
      </c>
      <c r="AA3501">
        <f>IF($V3501="",N($AA3500),IF(MATCH($V3501,$V$6:$V$10005,0)=ROW()-5,N($AA3500)+1,N($AA3500)))</f>
        <v>0</v>
      </c>
    </row>
    <row r="3502" spans="1:27" ht="21" customHeight="1" x14ac:dyDescent="0.95">
      <c r="A3502" s="56"/>
      <c r="B3502" s="57"/>
      <c r="C3502" s="57"/>
      <c r="D3502" s="57"/>
      <c r="E3502" s="56"/>
      <c r="F3502" s="57"/>
      <c r="G3502" s="57"/>
      <c r="H3502" s="56"/>
      <c r="I3502" s="56"/>
      <c r="J3502" s="58"/>
      <c r="K3502" s="58"/>
      <c r="L3502" s="13" t="str">
        <f t="shared" si="540"/>
        <v/>
      </c>
      <c r="M3502" s="13" t="str">
        <f t="shared" si="541"/>
        <v/>
      </c>
      <c r="Q3502" t="str">
        <f t="shared" si="542"/>
        <v/>
      </c>
      <c r="R3502" t="str">
        <f t="shared" si="543"/>
        <v/>
      </c>
      <c r="S3502" t="str">
        <f t="shared" si="544"/>
        <v/>
      </c>
      <c r="T3502" t="str">
        <f t="shared" si="545"/>
        <v/>
      </c>
      <c r="U3502" t="str">
        <f t="shared" si="546"/>
        <v/>
      </c>
      <c r="V3502" t="str">
        <f t="shared" si="547"/>
        <v/>
      </c>
      <c r="W3502" t="str">
        <f t="shared" si="548"/>
        <v/>
      </c>
      <c r="X3502">
        <f>IF($T3502="",N($X3501),IF(MATCH($T3502,$T$6:$T$10005,0)=ROW()-5,N($X3501)+1,N($X3501)))</f>
        <v>0</v>
      </c>
      <c r="Z3502" t="str">
        <f t="shared" si="549"/>
        <v/>
      </c>
      <c r="AA3502">
        <f>IF($V3502="",N($AA3501),IF(MATCH($V3502,$V$6:$V$10005,0)=ROW()-5,N($AA3501)+1,N($AA3501)))</f>
        <v>0</v>
      </c>
    </row>
    <row r="3503" spans="1:27" ht="21" customHeight="1" x14ac:dyDescent="0.95">
      <c r="A3503" s="56"/>
      <c r="B3503" s="57"/>
      <c r="C3503" s="57"/>
      <c r="D3503" s="57"/>
      <c r="E3503" s="56"/>
      <c r="F3503" s="57"/>
      <c r="G3503" s="57"/>
      <c r="H3503" s="56"/>
      <c r="I3503" s="56"/>
      <c r="J3503" s="58"/>
      <c r="K3503" s="58"/>
      <c r="L3503" s="13" t="str">
        <f t="shared" si="540"/>
        <v/>
      </c>
      <c r="M3503" s="13" t="str">
        <f t="shared" si="541"/>
        <v/>
      </c>
      <c r="Q3503" t="str">
        <f t="shared" si="542"/>
        <v/>
      </c>
      <c r="R3503" t="str">
        <f t="shared" si="543"/>
        <v/>
      </c>
      <c r="S3503" t="str">
        <f t="shared" si="544"/>
        <v/>
      </c>
      <c r="T3503" t="str">
        <f t="shared" si="545"/>
        <v/>
      </c>
      <c r="U3503" t="str">
        <f t="shared" si="546"/>
        <v/>
      </c>
      <c r="V3503" t="str">
        <f t="shared" si="547"/>
        <v/>
      </c>
      <c r="W3503" t="str">
        <f t="shared" si="548"/>
        <v/>
      </c>
      <c r="X3503">
        <f>IF($T3503="",N($X3502),IF(MATCH($T3503,$T$6:$T$10005,0)=ROW()-5,N($X3502)+1,N($X3502)))</f>
        <v>0</v>
      </c>
      <c r="Z3503" t="str">
        <f t="shared" si="549"/>
        <v/>
      </c>
      <c r="AA3503">
        <f>IF($V3503="",N($AA3502),IF(MATCH($V3503,$V$6:$V$10005,0)=ROW()-5,N($AA3502)+1,N($AA3502)))</f>
        <v>0</v>
      </c>
    </row>
    <row r="3504" spans="1:27" ht="21" customHeight="1" x14ac:dyDescent="0.95">
      <c r="A3504" s="56"/>
      <c r="B3504" s="57"/>
      <c r="C3504" s="57"/>
      <c r="D3504" s="57"/>
      <c r="E3504" s="56"/>
      <c r="F3504" s="57"/>
      <c r="G3504" s="57"/>
      <c r="H3504" s="56"/>
      <c r="I3504" s="56"/>
      <c r="J3504" s="58"/>
      <c r="K3504" s="58"/>
      <c r="L3504" s="13" t="str">
        <f t="shared" si="540"/>
        <v/>
      </c>
      <c r="M3504" s="13" t="str">
        <f t="shared" si="541"/>
        <v/>
      </c>
      <c r="Q3504" t="str">
        <f t="shared" si="542"/>
        <v/>
      </c>
      <c r="R3504" t="str">
        <f t="shared" si="543"/>
        <v/>
      </c>
      <c r="S3504" t="str">
        <f t="shared" si="544"/>
        <v/>
      </c>
      <c r="T3504" t="str">
        <f t="shared" si="545"/>
        <v/>
      </c>
      <c r="U3504" t="str">
        <f t="shared" si="546"/>
        <v/>
      </c>
      <c r="V3504" t="str">
        <f t="shared" si="547"/>
        <v/>
      </c>
      <c r="W3504" t="str">
        <f t="shared" si="548"/>
        <v/>
      </c>
      <c r="X3504">
        <f>IF($T3504="",N($X3503),IF(MATCH($T3504,$T$6:$T$10005,0)=ROW()-5,N($X3503)+1,N($X3503)))</f>
        <v>0</v>
      </c>
      <c r="Z3504" t="str">
        <f t="shared" si="549"/>
        <v/>
      </c>
      <c r="AA3504">
        <f>IF($V3504="",N($AA3503),IF(MATCH($V3504,$V$6:$V$10005,0)=ROW()-5,N($AA3503)+1,N($AA3503)))</f>
        <v>0</v>
      </c>
    </row>
    <row r="3505" spans="1:27" ht="21" customHeight="1" x14ac:dyDescent="0.95">
      <c r="A3505" s="56"/>
      <c r="B3505" s="57"/>
      <c r="C3505" s="57"/>
      <c r="D3505" s="57"/>
      <c r="E3505" s="56"/>
      <c r="F3505" s="57"/>
      <c r="G3505" s="57"/>
      <c r="H3505" s="56"/>
      <c r="I3505" s="56"/>
      <c r="J3505" s="58"/>
      <c r="K3505" s="58"/>
      <c r="L3505" s="13" t="str">
        <f t="shared" si="540"/>
        <v/>
      </c>
      <c r="M3505" s="13" t="str">
        <f t="shared" si="541"/>
        <v/>
      </c>
      <c r="Q3505" t="str">
        <f t="shared" si="542"/>
        <v/>
      </c>
      <c r="R3505" t="str">
        <f t="shared" si="543"/>
        <v/>
      </c>
      <c r="S3505" t="str">
        <f t="shared" si="544"/>
        <v/>
      </c>
      <c r="T3505" t="str">
        <f t="shared" si="545"/>
        <v/>
      </c>
      <c r="U3505" t="str">
        <f t="shared" si="546"/>
        <v/>
      </c>
      <c r="V3505" t="str">
        <f t="shared" si="547"/>
        <v/>
      </c>
      <c r="W3505" t="str">
        <f t="shared" si="548"/>
        <v/>
      </c>
      <c r="X3505">
        <f>IF($T3505="",N($X3504),IF(MATCH($T3505,$T$6:$T$10005,0)=ROW()-5,N($X3504)+1,N($X3504)))</f>
        <v>0</v>
      </c>
      <c r="Z3505" t="str">
        <f t="shared" si="549"/>
        <v/>
      </c>
      <c r="AA3505">
        <f>IF($V3505="",N($AA3504),IF(MATCH($V3505,$V$6:$V$10005,0)=ROW()-5,N($AA3504)+1,N($AA3504)))</f>
        <v>0</v>
      </c>
    </row>
    <row r="3506" spans="1:27" ht="21" customHeight="1" x14ac:dyDescent="0.95">
      <c r="A3506" s="56"/>
      <c r="B3506" s="57"/>
      <c r="C3506" s="57"/>
      <c r="D3506" s="57"/>
      <c r="E3506" s="56"/>
      <c r="F3506" s="57"/>
      <c r="G3506" s="57"/>
      <c r="H3506" s="56"/>
      <c r="I3506" s="56"/>
      <c r="J3506" s="58"/>
      <c r="K3506" s="58"/>
      <c r="L3506" s="13" t="str">
        <f t="shared" si="540"/>
        <v/>
      </c>
      <c r="M3506" s="13" t="str">
        <f t="shared" si="541"/>
        <v/>
      </c>
      <c r="Q3506" t="str">
        <f t="shared" si="542"/>
        <v/>
      </c>
      <c r="R3506" t="str">
        <f t="shared" si="543"/>
        <v/>
      </c>
      <c r="S3506" t="str">
        <f t="shared" si="544"/>
        <v/>
      </c>
      <c r="T3506" t="str">
        <f t="shared" si="545"/>
        <v/>
      </c>
      <c r="U3506" t="str">
        <f t="shared" si="546"/>
        <v/>
      </c>
      <c r="V3506" t="str">
        <f t="shared" si="547"/>
        <v/>
      </c>
      <c r="W3506" t="str">
        <f t="shared" si="548"/>
        <v/>
      </c>
      <c r="X3506">
        <f>IF($T3506="",N($X3505),IF(MATCH($T3506,$T$6:$T$10005,0)=ROW()-5,N($X3505)+1,N($X3505)))</f>
        <v>0</v>
      </c>
      <c r="Z3506" t="str">
        <f t="shared" si="549"/>
        <v/>
      </c>
      <c r="AA3506">
        <f>IF($V3506="",N($AA3505),IF(MATCH($V3506,$V$6:$V$10005,0)=ROW()-5,N($AA3505)+1,N($AA3505)))</f>
        <v>0</v>
      </c>
    </row>
    <row r="3507" spans="1:27" ht="21" customHeight="1" x14ac:dyDescent="0.95">
      <c r="A3507" s="56"/>
      <c r="B3507" s="57"/>
      <c r="C3507" s="57"/>
      <c r="D3507" s="57"/>
      <c r="E3507" s="56"/>
      <c r="F3507" s="57"/>
      <c r="G3507" s="57"/>
      <c r="H3507" s="56"/>
      <c r="I3507" s="56"/>
      <c r="J3507" s="58"/>
      <c r="K3507" s="58"/>
      <c r="L3507" s="13" t="str">
        <f t="shared" si="540"/>
        <v/>
      </c>
      <c r="M3507" s="13" t="str">
        <f t="shared" si="541"/>
        <v/>
      </c>
      <c r="Q3507" t="str">
        <f t="shared" si="542"/>
        <v/>
      </c>
      <c r="R3507" t="str">
        <f t="shared" si="543"/>
        <v/>
      </c>
      <c r="S3507" t="str">
        <f t="shared" si="544"/>
        <v/>
      </c>
      <c r="T3507" t="str">
        <f t="shared" si="545"/>
        <v/>
      </c>
      <c r="U3507" t="str">
        <f t="shared" si="546"/>
        <v/>
      </c>
      <c r="V3507" t="str">
        <f t="shared" si="547"/>
        <v/>
      </c>
      <c r="W3507" t="str">
        <f t="shared" si="548"/>
        <v/>
      </c>
      <c r="X3507">
        <f>IF($T3507="",N($X3506),IF(MATCH($T3507,$T$6:$T$10005,0)=ROW()-5,N($X3506)+1,N($X3506)))</f>
        <v>0</v>
      </c>
      <c r="Z3507" t="str">
        <f t="shared" si="549"/>
        <v/>
      </c>
      <c r="AA3507">
        <f>IF($V3507="",N($AA3506),IF(MATCH($V3507,$V$6:$V$10005,0)=ROW()-5,N($AA3506)+1,N($AA3506)))</f>
        <v>0</v>
      </c>
    </row>
    <row r="3508" spans="1:27" ht="21" customHeight="1" x14ac:dyDescent="0.95">
      <c r="A3508" s="56"/>
      <c r="B3508" s="57"/>
      <c r="C3508" s="57"/>
      <c r="D3508" s="57"/>
      <c r="E3508" s="56"/>
      <c r="F3508" s="57"/>
      <c r="G3508" s="57"/>
      <c r="H3508" s="56"/>
      <c r="I3508" s="56"/>
      <c r="J3508" s="58"/>
      <c r="K3508" s="58"/>
      <c r="L3508" s="13" t="str">
        <f t="shared" si="540"/>
        <v/>
      </c>
      <c r="M3508" s="13" t="str">
        <f t="shared" si="541"/>
        <v/>
      </c>
      <c r="Q3508" t="str">
        <f t="shared" si="542"/>
        <v/>
      </c>
      <c r="R3508" t="str">
        <f t="shared" si="543"/>
        <v/>
      </c>
      <c r="S3508" t="str">
        <f t="shared" si="544"/>
        <v/>
      </c>
      <c r="T3508" t="str">
        <f t="shared" si="545"/>
        <v/>
      </c>
      <c r="U3508" t="str">
        <f t="shared" si="546"/>
        <v/>
      </c>
      <c r="V3508" t="str">
        <f t="shared" si="547"/>
        <v/>
      </c>
      <c r="W3508" t="str">
        <f t="shared" si="548"/>
        <v/>
      </c>
      <c r="X3508">
        <f>IF($T3508="",N($X3507),IF(MATCH($T3508,$T$6:$T$10005,0)=ROW()-5,N($X3507)+1,N($X3507)))</f>
        <v>0</v>
      </c>
      <c r="Z3508" t="str">
        <f t="shared" si="549"/>
        <v/>
      </c>
      <c r="AA3508">
        <f>IF($V3508="",N($AA3507),IF(MATCH($V3508,$V$6:$V$10005,0)=ROW()-5,N($AA3507)+1,N($AA3507)))</f>
        <v>0</v>
      </c>
    </row>
    <row r="3509" spans="1:27" ht="21" customHeight="1" x14ac:dyDescent="0.95">
      <c r="A3509" s="56"/>
      <c r="B3509" s="57"/>
      <c r="C3509" s="57"/>
      <c r="D3509" s="57"/>
      <c r="E3509" s="56"/>
      <c r="F3509" s="57"/>
      <c r="G3509" s="57"/>
      <c r="H3509" s="56"/>
      <c r="I3509" s="56"/>
      <c r="J3509" s="58"/>
      <c r="K3509" s="58"/>
      <c r="L3509" s="13" t="str">
        <f t="shared" si="540"/>
        <v/>
      </c>
      <c r="M3509" s="13" t="str">
        <f t="shared" si="541"/>
        <v/>
      </c>
      <c r="Q3509" t="str">
        <f t="shared" si="542"/>
        <v/>
      </c>
      <c r="R3509" t="str">
        <f t="shared" si="543"/>
        <v/>
      </c>
      <c r="S3509" t="str">
        <f t="shared" si="544"/>
        <v/>
      </c>
      <c r="T3509" t="str">
        <f t="shared" si="545"/>
        <v/>
      </c>
      <c r="U3509" t="str">
        <f t="shared" si="546"/>
        <v/>
      </c>
      <c r="V3509" t="str">
        <f t="shared" si="547"/>
        <v/>
      </c>
      <c r="W3509" t="str">
        <f t="shared" si="548"/>
        <v/>
      </c>
      <c r="X3509">
        <f>IF($T3509="",N($X3508),IF(MATCH($T3509,$T$6:$T$10005,0)=ROW()-5,N($X3508)+1,N($X3508)))</f>
        <v>0</v>
      </c>
      <c r="Z3509" t="str">
        <f t="shared" si="549"/>
        <v/>
      </c>
      <c r="AA3509">
        <f>IF($V3509="",N($AA3508),IF(MATCH($V3509,$V$6:$V$10005,0)=ROW()-5,N($AA3508)+1,N($AA3508)))</f>
        <v>0</v>
      </c>
    </row>
    <row r="3510" spans="1:27" ht="21" customHeight="1" x14ac:dyDescent="0.95">
      <c r="A3510" s="56"/>
      <c r="B3510" s="57"/>
      <c r="C3510" s="57"/>
      <c r="D3510" s="57"/>
      <c r="E3510" s="56"/>
      <c r="F3510" s="57"/>
      <c r="G3510" s="57"/>
      <c r="H3510" s="56"/>
      <c r="I3510" s="56"/>
      <c r="J3510" s="58"/>
      <c r="K3510" s="58"/>
      <c r="L3510" s="13" t="str">
        <f t="shared" si="540"/>
        <v/>
      </c>
      <c r="M3510" s="13" t="str">
        <f t="shared" si="541"/>
        <v/>
      </c>
      <c r="Q3510" t="str">
        <f t="shared" si="542"/>
        <v/>
      </c>
      <c r="R3510" t="str">
        <f t="shared" si="543"/>
        <v/>
      </c>
      <c r="S3510" t="str">
        <f t="shared" si="544"/>
        <v/>
      </c>
      <c r="T3510" t="str">
        <f t="shared" si="545"/>
        <v/>
      </c>
      <c r="U3510" t="str">
        <f t="shared" si="546"/>
        <v/>
      </c>
      <c r="V3510" t="str">
        <f t="shared" si="547"/>
        <v/>
      </c>
      <c r="W3510" t="str">
        <f t="shared" si="548"/>
        <v/>
      </c>
      <c r="X3510">
        <f>IF($T3510="",N($X3509),IF(MATCH($T3510,$T$6:$T$10005,0)=ROW()-5,N($X3509)+1,N($X3509)))</f>
        <v>0</v>
      </c>
      <c r="Z3510" t="str">
        <f t="shared" si="549"/>
        <v/>
      </c>
      <c r="AA3510">
        <f>IF($V3510="",N($AA3509),IF(MATCH($V3510,$V$6:$V$10005,0)=ROW()-5,N($AA3509)+1,N($AA3509)))</f>
        <v>0</v>
      </c>
    </row>
    <row r="3511" spans="1:27" ht="21" customHeight="1" x14ac:dyDescent="0.95">
      <c r="A3511" s="56"/>
      <c r="B3511" s="57"/>
      <c r="C3511" s="57"/>
      <c r="D3511" s="57"/>
      <c r="E3511" s="56"/>
      <c r="F3511" s="57"/>
      <c r="G3511" s="57"/>
      <c r="H3511" s="56"/>
      <c r="I3511" s="56"/>
      <c r="J3511" s="58"/>
      <c r="K3511" s="58"/>
      <c r="L3511" s="13" t="str">
        <f t="shared" si="540"/>
        <v/>
      </c>
      <c r="M3511" s="13" t="str">
        <f t="shared" si="541"/>
        <v/>
      </c>
      <c r="Q3511" t="str">
        <f t="shared" si="542"/>
        <v/>
      </c>
      <c r="R3511" t="str">
        <f t="shared" si="543"/>
        <v/>
      </c>
      <c r="S3511" t="str">
        <f t="shared" si="544"/>
        <v/>
      </c>
      <c r="T3511" t="str">
        <f t="shared" si="545"/>
        <v/>
      </c>
      <c r="U3511" t="str">
        <f t="shared" si="546"/>
        <v/>
      </c>
      <c r="V3511" t="str">
        <f t="shared" si="547"/>
        <v/>
      </c>
      <c r="W3511" t="str">
        <f t="shared" si="548"/>
        <v/>
      </c>
      <c r="X3511">
        <f>IF($T3511="",N($X3510),IF(MATCH($T3511,$T$6:$T$10005,0)=ROW()-5,N($X3510)+1,N($X3510)))</f>
        <v>0</v>
      </c>
      <c r="Z3511" t="str">
        <f t="shared" si="549"/>
        <v/>
      </c>
      <c r="AA3511">
        <f>IF($V3511="",N($AA3510),IF(MATCH($V3511,$V$6:$V$10005,0)=ROW()-5,N($AA3510)+1,N($AA3510)))</f>
        <v>0</v>
      </c>
    </row>
    <row r="3512" spans="1:27" ht="21" customHeight="1" x14ac:dyDescent="0.95">
      <c r="A3512" s="56"/>
      <c r="B3512" s="57"/>
      <c r="C3512" s="57"/>
      <c r="D3512" s="57"/>
      <c r="E3512" s="56"/>
      <c r="F3512" s="57"/>
      <c r="G3512" s="57"/>
      <c r="H3512" s="56"/>
      <c r="I3512" s="56"/>
      <c r="J3512" s="58"/>
      <c r="K3512" s="58"/>
      <c r="L3512" s="13" t="str">
        <f t="shared" si="540"/>
        <v/>
      </c>
      <c r="M3512" s="13" t="str">
        <f t="shared" si="541"/>
        <v/>
      </c>
      <c r="Q3512" t="str">
        <f t="shared" si="542"/>
        <v/>
      </c>
      <c r="R3512" t="str">
        <f t="shared" si="543"/>
        <v/>
      </c>
      <c r="S3512" t="str">
        <f t="shared" si="544"/>
        <v/>
      </c>
      <c r="T3512" t="str">
        <f t="shared" si="545"/>
        <v/>
      </c>
      <c r="U3512" t="str">
        <f t="shared" si="546"/>
        <v/>
      </c>
      <c r="V3512" t="str">
        <f t="shared" si="547"/>
        <v/>
      </c>
      <c r="W3512" t="str">
        <f t="shared" si="548"/>
        <v/>
      </c>
      <c r="X3512">
        <f>IF($T3512="",N($X3511),IF(MATCH($T3512,$T$6:$T$10005,0)=ROW()-5,N($X3511)+1,N($X3511)))</f>
        <v>0</v>
      </c>
      <c r="Z3512" t="str">
        <f t="shared" si="549"/>
        <v/>
      </c>
      <c r="AA3512">
        <f>IF($V3512="",N($AA3511),IF(MATCH($V3512,$V$6:$V$10005,0)=ROW()-5,N($AA3511)+1,N($AA3511)))</f>
        <v>0</v>
      </c>
    </row>
    <row r="3513" spans="1:27" ht="21" customHeight="1" x14ac:dyDescent="0.95">
      <c r="A3513" s="56"/>
      <c r="B3513" s="57"/>
      <c r="C3513" s="57"/>
      <c r="D3513" s="57"/>
      <c r="E3513" s="56"/>
      <c r="F3513" s="57"/>
      <c r="G3513" s="57"/>
      <c r="H3513" s="56"/>
      <c r="I3513" s="56"/>
      <c r="J3513" s="58"/>
      <c r="K3513" s="58"/>
      <c r="L3513" s="13" t="str">
        <f t="shared" si="540"/>
        <v/>
      </c>
      <c r="M3513" s="13" t="str">
        <f t="shared" si="541"/>
        <v/>
      </c>
      <c r="Q3513" t="str">
        <f t="shared" si="542"/>
        <v/>
      </c>
      <c r="R3513" t="str">
        <f t="shared" si="543"/>
        <v/>
      </c>
      <c r="S3513" t="str">
        <f t="shared" si="544"/>
        <v/>
      </c>
      <c r="T3513" t="str">
        <f t="shared" si="545"/>
        <v/>
      </c>
      <c r="U3513" t="str">
        <f t="shared" si="546"/>
        <v/>
      </c>
      <c r="V3513" t="str">
        <f t="shared" si="547"/>
        <v/>
      </c>
      <c r="W3513" t="str">
        <f t="shared" si="548"/>
        <v/>
      </c>
      <c r="X3513">
        <f>IF($T3513="",N($X3512),IF(MATCH($T3513,$T$6:$T$10005,0)=ROW()-5,N($X3512)+1,N($X3512)))</f>
        <v>0</v>
      </c>
      <c r="Z3513" t="str">
        <f t="shared" si="549"/>
        <v/>
      </c>
      <c r="AA3513">
        <f>IF($V3513="",N($AA3512),IF(MATCH($V3513,$V$6:$V$10005,0)=ROW()-5,N($AA3512)+1,N($AA3512)))</f>
        <v>0</v>
      </c>
    </row>
    <row r="3514" spans="1:27" ht="21" customHeight="1" x14ac:dyDescent="0.95">
      <c r="A3514" s="56"/>
      <c r="B3514" s="57"/>
      <c r="C3514" s="57"/>
      <c r="D3514" s="57"/>
      <c r="E3514" s="56"/>
      <c r="F3514" s="57"/>
      <c r="G3514" s="57"/>
      <c r="H3514" s="56"/>
      <c r="I3514" s="56"/>
      <c r="J3514" s="58"/>
      <c r="K3514" s="58"/>
      <c r="L3514" s="13" t="str">
        <f t="shared" si="540"/>
        <v/>
      </c>
      <c r="M3514" s="13" t="str">
        <f t="shared" si="541"/>
        <v/>
      </c>
      <c r="Q3514" t="str">
        <f t="shared" si="542"/>
        <v/>
      </c>
      <c r="R3514" t="str">
        <f t="shared" si="543"/>
        <v/>
      </c>
      <c r="S3514" t="str">
        <f t="shared" si="544"/>
        <v/>
      </c>
      <c r="T3514" t="str">
        <f t="shared" si="545"/>
        <v/>
      </c>
      <c r="U3514" t="str">
        <f t="shared" si="546"/>
        <v/>
      </c>
      <c r="V3514" t="str">
        <f t="shared" si="547"/>
        <v/>
      </c>
      <c r="W3514" t="str">
        <f t="shared" si="548"/>
        <v/>
      </c>
      <c r="X3514">
        <f>IF($T3514="",N($X3513),IF(MATCH($T3514,$T$6:$T$10005,0)=ROW()-5,N($X3513)+1,N($X3513)))</f>
        <v>0</v>
      </c>
      <c r="Z3514" t="str">
        <f t="shared" si="549"/>
        <v/>
      </c>
      <c r="AA3514">
        <f>IF($V3514="",N($AA3513),IF(MATCH($V3514,$V$6:$V$10005,0)=ROW()-5,N($AA3513)+1,N($AA3513)))</f>
        <v>0</v>
      </c>
    </row>
    <row r="3515" spans="1:27" ht="21" customHeight="1" x14ac:dyDescent="0.95">
      <c r="A3515" s="56"/>
      <c r="B3515" s="57"/>
      <c r="C3515" s="57"/>
      <c r="D3515" s="57"/>
      <c r="E3515" s="56"/>
      <c r="F3515" s="57"/>
      <c r="G3515" s="57"/>
      <c r="H3515" s="56"/>
      <c r="I3515" s="56"/>
      <c r="J3515" s="58"/>
      <c r="K3515" s="58"/>
      <c r="L3515" s="13" t="str">
        <f t="shared" si="540"/>
        <v/>
      </c>
      <c r="M3515" s="13" t="str">
        <f t="shared" si="541"/>
        <v/>
      </c>
      <c r="Q3515" t="str">
        <f t="shared" si="542"/>
        <v/>
      </c>
      <c r="R3515" t="str">
        <f t="shared" si="543"/>
        <v/>
      </c>
      <c r="S3515" t="str">
        <f t="shared" si="544"/>
        <v/>
      </c>
      <c r="T3515" t="str">
        <f t="shared" si="545"/>
        <v/>
      </c>
      <c r="U3515" t="str">
        <f t="shared" si="546"/>
        <v/>
      </c>
      <c r="V3515" t="str">
        <f t="shared" si="547"/>
        <v/>
      </c>
      <c r="W3515" t="str">
        <f t="shared" si="548"/>
        <v/>
      </c>
      <c r="X3515">
        <f>IF($T3515="",N($X3514),IF(MATCH($T3515,$T$6:$T$10005,0)=ROW()-5,N($X3514)+1,N($X3514)))</f>
        <v>0</v>
      </c>
      <c r="Z3515" t="str">
        <f t="shared" si="549"/>
        <v/>
      </c>
      <c r="AA3515">
        <f>IF($V3515="",N($AA3514),IF(MATCH($V3515,$V$6:$V$10005,0)=ROW()-5,N($AA3514)+1,N($AA3514)))</f>
        <v>0</v>
      </c>
    </row>
    <row r="3516" spans="1:27" ht="21" customHeight="1" x14ac:dyDescent="0.95">
      <c r="A3516" s="56"/>
      <c r="B3516" s="57"/>
      <c r="C3516" s="57"/>
      <c r="D3516" s="57"/>
      <c r="E3516" s="56"/>
      <c r="F3516" s="57"/>
      <c r="G3516" s="57"/>
      <c r="H3516" s="56"/>
      <c r="I3516" s="56"/>
      <c r="J3516" s="58"/>
      <c r="K3516" s="58"/>
      <c r="L3516" s="13" t="str">
        <f t="shared" si="540"/>
        <v/>
      </c>
      <c r="M3516" s="13" t="str">
        <f t="shared" si="541"/>
        <v/>
      </c>
      <c r="Q3516" t="str">
        <f t="shared" si="542"/>
        <v/>
      </c>
      <c r="R3516" t="str">
        <f t="shared" si="543"/>
        <v/>
      </c>
      <c r="S3516" t="str">
        <f t="shared" si="544"/>
        <v/>
      </c>
      <c r="T3516" t="str">
        <f t="shared" si="545"/>
        <v/>
      </c>
      <c r="U3516" t="str">
        <f t="shared" si="546"/>
        <v/>
      </c>
      <c r="V3516" t="str">
        <f t="shared" si="547"/>
        <v/>
      </c>
      <c r="W3516" t="str">
        <f t="shared" si="548"/>
        <v/>
      </c>
      <c r="X3516">
        <f>IF($T3516="",N($X3515),IF(MATCH($T3516,$T$6:$T$10005,0)=ROW()-5,N($X3515)+1,N($X3515)))</f>
        <v>0</v>
      </c>
      <c r="Z3516" t="str">
        <f t="shared" si="549"/>
        <v/>
      </c>
      <c r="AA3516">
        <f>IF($V3516="",N($AA3515),IF(MATCH($V3516,$V$6:$V$10005,0)=ROW()-5,N($AA3515)+1,N($AA3515)))</f>
        <v>0</v>
      </c>
    </row>
    <row r="3517" spans="1:27" ht="21" customHeight="1" x14ac:dyDescent="0.95">
      <c r="A3517" s="56"/>
      <c r="B3517" s="57"/>
      <c r="C3517" s="57"/>
      <c r="D3517" s="57"/>
      <c r="E3517" s="56"/>
      <c r="F3517" s="57"/>
      <c r="G3517" s="57"/>
      <c r="H3517" s="56"/>
      <c r="I3517" s="56"/>
      <c r="J3517" s="58"/>
      <c r="K3517" s="58"/>
      <c r="L3517" s="13" t="str">
        <f t="shared" si="540"/>
        <v/>
      </c>
      <c r="M3517" s="13" t="str">
        <f t="shared" si="541"/>
        <v/>
      </c>
      <c r="Q3517" t="str">
        <f t="shared" si="542"/>
        <v/>
      </c>
      <c r="R3517" t="str">
        <f t="shared" si="543"/>
        <v/>
      </c>
      <c r="S3517" t="str">
        <f t="shared" si="544"/>
        <v/>
      </c>
      <c r="T3517" t="str">
        <f t="shared" si="545"/>
        <v/>
      </c>
      <c r="U3517" t="str">
        <f t="shared" si="546"/>
        <v/>
      </c>
      <c r="V3517" t="str">
        <f t="shared" si="547"/>
        <v/>
      </c>
      <c r="W3517" t="str">
        <f t="shared" si="548"/>
        <v/>
      </c>
      <c r="X3517">
        <f>IF($T3517="",N($X3516),IF(MATCH($T3517,$T$6:$T$10005,0)=ROW()-5,N($X3516)+1,N($X3516)))</f>
        <v>0</v>
      </c>
      <c r="Z3517" t="str">
        <f t="shared" si="549"/>
        <v/>
      </c>
      <c r="AA3517">
        <f>IF($V3517="",N($AA3516),IF(MATCH($V3517,$V$6:$V$10005,0)=ROW()-5,N($AA3516)+1,N($AA3516)))</f>
        <v>0</v>
      </c>
    </row>
    <row r="3518" spans="1:27" ht="21" customHeight="1" x14ac:dyDescent="0.95">
      <c r="A3518" s="56"/>
      <c r="B3518" s="57"/>
      <c r="C3518" s="57"/>
      <c r="D3518" s="57"/>
      <c r="E3518" s="56"/>
      <c r="F3518" s="57"/>
      <c r="G3518" s="57"/>
      <c r="H3518" s="56"/>
      <c r="I3518" s="56"/>
      <c r="J3518" s="58"/>
      <c r="K3518" s="58"/>
      <c r="L3518" s="13" t="str">
        <f t="shared" si="540"/>
        <v/>
      </c>
      <c r="M3518" s="13" t="str">
        <f t="shared" si="541"/>
        <v/>
      </c>
      <c r="Q3518" t="str">
        <f t="shared" si="542"/>
        <v/>
      </c>
      <c r="R3518" t="str">
        <f t="shared" si="543"/>
        <v/>
      </c>
      <c r="S3518" t="str">
        <f t="shared" si="544"/>
        <v/>
      </c>
      <c r="T3518" t="str">
        <f t="shared" si="545"/>
        <v/>
      </c>
      <c r="U3518" t="str">
        <f t="shared" si="546"/>
        <v/>
      </c>
      <c r="V3518" t="str">
        <f t="shared" si="547"/>
        <v/>
      </c>
      <c r="W3518" t="str">
        <f t="shared" si="548"/>
        <v/>
      </c>
      <c r="X3518">
        <f>IF($T3518="",N($X3517),IF(MATCH($T3518,$T$6:$T$10005,0)=ROW()-5,N($X3517)+1,N($X3517)))</f>
        <v>0</v>
      </c>
      <c r="Z3518" t="str">
        <f t="shared" si="549"/>
        <v/>
      </c>
      <c r="AA3518">
        <f>IF($V3518="",N($AA3517),IF(MATCH($V3518,$V$6:$V$10005,0)=ROW()-5,N($AA3517)+1,N($AA3517)))</f>
        <v>0</v>
      </c>
    </row>
    <row r="3519" spans="1:27" ht="21" customHeight="1" x14ac:dyDescent="0.95">
      <c r="A3519" s="56"/>
      <c r="B3519" s="57"/>
      <c r="C3519" s="57"/>
      <c r="D3519" s="57"/>
      <c r="E3519" s="56"/>
      <c r="F3519" s="57"/>
      <c r="G3519" s="57"/>
      <c r="H3519" s="56"/>
      <c r="I3519" s="56"/>
      <c r="J3519" s="58"/>
      <c r="K3519" s="58"/>
      <c r="L3519" s="13" t="str">
        <f t="shared" si="540"/>
        <v/>
      </c>
      <c r="M3519" s="13" t="str">
        <f t="shared" si="541"/>
        <v/>
      </c>
      <c r="Q3519" t="str">
        <f t="shared" si="542"/>
        <v/>
      </c>
      <c r="R3519" t="str">
        <f t="shared" si="543"/>
        <v/>
      </c>
      <c r="S3519" t="str">
        <f t="shared" si="544"/>
        <v/>
      </c>
      <c r="T3519" t="str">
        <f t="shared" si="545"/>
        <v/>
      </c>
      <c r="U3519" t="str">
        <f t="shared" si="546"/>
        <v/>
      </c>
      <c r="V3519" t="str">
        <f t="shared" si="547"/>
        <v/>
      </c>
      <c r="W3519" t="str">
        <f t="shared" si="548"/>
        <v/>
      </c>
      <c r="X3519">
        <f>IF($T3519="",N($X3518),IF(MATCH($T3519,$T$6:$T$10005,0)=ROW()-5,N($X3518)+1,N($X3518)))</f>
        <v>0</v>
      </c>
      <c r="Z3519" t="str">
        <f t="shared" si="549"/>
        <v/>
      </c>
      <c r="AA3519">
        <f>IF($V3519="",N($AA3518),IF(MATCH($V3519,$V$6:$V$10005,0)=ROW()-5,N($AA3518)+1,N($AA3518)))</f>
        <v>0</v>
      </c>
    </row>
    <row r="3520" spans="1:27" ht="21" customHeight="1" x14ac:dyDescent="0.95">
      <c r="A3520" s="56"/>
      <c r="B3520" s="57"/>
      <c r="C3520" s="57"/>
      <c r="D3520" s="57"/>
      <c r="E3520" s="56"/>
      <c r="F3520" s="57"/>
      <c r="G3520" s="57"/>
      <c r="H3520" s="56"/>
      <c r="I3520" s="56"/>
      <c r="J3520" s="58"/>
      <c r="K3520" s="58"/>
      <c r="L3520" s="13" t="str">
        <f t="shared" si="540"/>
        <v/>
      </c>
      <c r="M3520" s="13" t="str">
        <f t="shared" si="541"/>
        <v/>
      </c>
      <c r="Q3520" t="str">
        <f t="shared" si="542"/>
        <v/>
      </c>
      <c r="R3520" t="str">
        <f t="shared" si="543"/>
        <v/>
      </c>
      <c r="S3520" t="str">
        <f t="shared" si="544"/>
        <v/>
      </c>
      <c r="T3520" t="str">
        <f t="shared" si="545"/>
        <v/>
      </c>
      <c r="U3520" t="str">
        <f t="shared" si="546"/>
        <v/>
      </c>
      <c r="V3520" t="str">
        <f t="shared" si="547"/>
        <v/>
      </c>
      <c r="W3520" t="str">
        <f t="shared" si="548"/>
        <v/>
      </c>
      <c r="X3520">
        <f>IF($T3520="",N($X3519),IF(MATCH($T3520,$T$6:$T$10005,0)=ROW()-5,N($X3519)+1,N($X3519)))</f>
        <v>0</v>
      </c>
      <c r="Z3520" t="str">
        <f t="shared" si="549"/>
        <v/>
      </c>
      <c r="AA3520">
        <f>IF($V3520="",N($AA3519),IF(MATCH($V3520,$V$6:$V$10005,0)=ROW()-5,N($AA3519)+1,N($AA3519)))</f>
        <v>0</v>
      </c>
    </row>
    <row r="3521" spans="1:27" ht="21" customHeight="1" x14ac:dyDescent="0.95">
      <c r="A3521" s="56"/>
      <c r="B3521" s="57"/>
      <c r="C3521" s="57"/>
      <c r="D3521" s="57"/>
      <c r="E3521" s="56"/>
      <c r="F3521" s="57"/>
      <c r="G3521" s="57"/>
      <c r="H3521" s="56"/>
      <c r="I3521" s="56"/>
      <c r="J3521" s="58"/>
      <c r="K3521" s="58"/>
      <c r="L3521" s="13" t="str">
        <f t="shared" si="540"/>
        <v/>
      </c>
      <c r="M3521" s="13" t="str">
        <f t="shared" si="541"/>
        <v/>
      </c>
      <c r="Q3521" t="str">
        <f t="shared" si="542"/>
        <v/>
      </c>
      <c r="R3521" t="str">
        <f t="shared" si="543"/>
        <v/>
      </c>
      <c r="S3521" t="str">
        <f t="shared" si="544"/>
        <v/>
      </c>
      <c r="T3521" t="str">
        <f t="shared" si="545"/>
        <v/>
      </c>
      <c r="U3521" t="str">
        <f t="shared" si="546"/>
        <v/>
      </c>
      <c r="V3521" t="str">
        <f t="shared" si="547"/>
        <v/>
      </c>
      <c r="W3521" t="str">
        <f t="shared" si="548"/>
        <v/>
      </c>
      <c r="X3521">
        <f>IF($T3521="",N($X3520),IF(MATCH($T3521,$T$6:$T$10005,0)=ROW()-5,N($X3520)+1,N($X3520)))</f>
        <v>0</v>
      </c>
      <c r="Z3521" t="str">
        <f t="shared" si="549"/>
        <v/>
      </c>
      <c r="AA3521">
        <f>IF($V3521="",N($AA3520),IF(MATCH($V3521,$V$6:$V$10005,0)=ROW()-5,N($AA3520)+1,N($AA3520)))</f>
        <v>0</v>
      </c>
    </row>
    <row r="3522" spans="1:27" ht="21" customHeight="1" x14ac:dyDescent="0.95">
      <c r="A3522" s="56"/>
      <c r="B3522" s="57"/>
      <c r="C3522" s="57"/>
      <c r="D3522" s="57"/>
      <c r="E3522" s="56"/>
      <c r="F3522" s="57"/>
      <c r="G3522" s="57"/>
      <c r="H3522" s="56"/>
      <c r="I3522" s="56"/>
      <c r="J3522" s="58"/>
      <c r="K3522" s="58"/>
      <c r="L3522" s="13" t="str">
        <f t="shared" si="540"/>
        <v/>
      </c>
      <c r="M3522" s="13" t="str">
        <f t="shared" si="541"/>
        <v/>
      </c>
      <c r="Q3522" t="str">
        <f t="shared" si="542"/>
        <v/>
      </c>
      <c r="R3522" t="str">
        <f t="shared" si="543"/>
        <v/>
      </c>
      <c r="S3522" t="str">
        <f t="shared" si="544"/>
        <v/>
      </c>
      <c r="T3522" t="str">
        <f t="shared" si="545"/>
        <v/>
      </c>
      <c r="U3522" t="str">
        <f t="shared" si="546"/>
        <v/>
      </c>
      <c r="V3522" t="str">
        <f t="shared" si="547"/>
        <v/>
      </c>
      <c r="W3522" t="str">
        <f t="shared" si="548"/>
        <v/>
      </c>
      <c r="X3522">
        <f>IF($T3522="",N($X3521),IF(MATCH($T3522,$T$6:$T$10005,0)=ROW()-5,N($X3521)+1,N($X3521)))</f>
        <v>0</v>
      </c>
      <c r="Z3522" t="str">
        <f t="shared" si="549"/>
        <v/>
      </c>
      <c r="AA3522">
        <f>IF($V3522="",N($AA3521),IF(MATCH($V3522,$V$6:$V$10005,0)=ROW()-5,N($AA3521)+1,N($AA3521)))</f>
        <v>0</v>
      </c>
    </row>
    <row r="3523" spans="1:27" ht="21" customHeight="1" x14ac:dyDescent="0.95">
      <c r="A3523" s="56"/>
      <c r="B3523" s="57"/>
      <c r="C3523" s="57"/>
      <c r="D3523" s="57"/>
      <c r="E3523" s="56"/>
      <c r="F3523" s="57"/>
      <c r="G3523" s="57"/>
      <c r="H3523" s="56"/>
      <c r="I3523" s="56"/>
      <c r="J3523" s="58"/>
      <c r="K3523" s="58"/>
      <c r="L3523" s="13" t="str">
        <f t="shared" si="540"/>
        <v/>
      </c>
      <c r="M3523" s="13" t="str">
        <f t="shared" si="541"/>
        <v/>
      </c>
      <c r="Q3523" t="str">
        <f t="shared" si="542"/>
        <v/>
      </c>
      <c r="R3523" t="str">
        <f t="shared" si="543"/>
        <v/>
      </c>
      <c r="S3523" t="str">
        <f t="shared" si="544"/>
        <v/>
      </c>
      <c r="T3523" t="str">
        <f t="shared" si="545"/>
        <v/>
      </c>
      <c r="U3523" t="str">
        <f t="shared" si="546"/>
        <v/>
      </c>
      <c r="V3523" t="str">
        <f t="shared" si="547"/>
        <v/>
      </c>
      <c r="W3523" t="str">
        <f t="shared" si="548"/>
        <v/>
      </c>
      <c r="X3523">
        <f>IF($T3523="",N($X3522),IF(MATCH($T3523,$T$6:$T$10005,0)=ROW()-5,N($X3522)+1,N($X3522)))</f>
        <v>0</v>
      </c>
      <c r="Z3523" t="str">
        <f t="shared" si="549"/>
        <v/>
      </c>
      <c r="AA3523">
        <f>IF($V3523="",N($AA3522),IF(MATCH($V3523,$V$6:$V$10005,0)=ROW()-5,N($AA3522)+1,N($AA3522)))</f>
        <v>0</v>
      </c>
    </row>
    <row r="3524" spans="1:27" ht="21" customHeight="1" x14ac:dyDescent="0.95">
      <c r="A3524" s="56"/>
      <c r="B3524" s="57"/>
      <c r="C3524" s="57"/>
      <c r="D3524" s="57"/>
      <c r="E3524" s="56"/>
      <c r="F3524" s="57"/>
      <c r="G3524" s="57"/>
      <c r="H3524" s="56"/>
      <c r="I3524" s="56"/>
      <c r="J3524" s="58"/>
      <c r="K3524" s="58"/>
      <c r="L3524" s="13" t="str">
        <f t="shared" si="540"/>
        <v/>
      </c>
      <c r="M3524" s="13" t="str">
        <f t="shared" si="541"/>
        <v/>
      </c>
      <c r="Q3524" t="str">
        <f t="shared" si="542"/>
        <v/>
      </c>
      <c r="R3524" t="str">
        <f t="shared" si="543"/>
        <v/>
      </c>
      <c r="S3524" t="str">
        <f t="shared" si="544"/>
        <v/>
      </c>
      <c r="T3524" t="str">
        <f t="shared" si="545"/>
        <v/>
      </c>
      <c r="U3524" t="str">
        <f t="shared" si="546"/>
        <v/>
      </c>
      <c r="V3524" t="str">
        <f t="shared" si="547"/>
        <v/>
      </c>
      <c r="W3524" t="str">
        <f t="shared" si="548"/>
        <v/>
      </c>
      <c r="X3524">
        <f>IF($T3524="",N($X3523),IF(MATCH($T3524,$T$6:$T$10005,0)=ROW()-5,N($X3523)+1,N($X3523)))</f>
        <v>0</v>
      </c>
      <c r="Z3524" t="str">
        <f t="shared" si="549"/>
        <v/>
      </c>
      <c r="AA3524">
        <f>IF($V3524="",N($AA3523),IF(MATCH($V3524,$V$6:$V$10005,0)=ROW()-5,N($AA3523)+1,N($AA3523)))</f>
        <v>0</v>
      </c>
    </row>
    <row r="3525" spans="1:27" ht="21" customHeight="1" x14ac:dyDescent="0.95">
      <c r="A3525" s="56"/>
      <c r="B3525" s="57"/>
      <c r="C3525" s="57"/>
      <c r="D3525" s="57"/>
      <c r="E3525" s="56"/>
      <c r="F3525" s="57"/>
      <c r="G3525" s="57"/>
      <c r="H3525" s="56"/>
      <c r="I3525" s="56"/>
      <c r="J3525" s="58"/>
      <c r="K3525" s="58"/>
      <c r="L3525" s="13" t="str">
        <f t="shared" si="540"/>
        <v/>
      </c>
      <c r="M3525" s="13" t="str">
        <f t="shared" si="541"/>
        <v/>
      </c>
      <c r="Q3525" t="str">
        <f t="shared" si="542"/>
        <v/>
      </c>
      <c r="R3525" t="str">
        <f t="shared" si="543"/>
        <v/>
      </c>
      <c r="S3525" t="str">
        <f t="shared" si="544"/>
        <v/>
      </c>
      <c r="T3525" t="str">
        <f t="shared" si="545"/>
        <v/>
      </c>
      <c r="U3525" t="str">
        <f t="shared" si="546"/>
        <v/>
      </c>
      <c r="V3525" t="str">
        <f t="shared" si="547"/>
        <v/>
      </c>
      <c r="W3525" t="str">
        <f t="shared" si="548"/>
        <v/>
      </c>
      <c r="X3525">
        <f>IF($T3525="",N($X3524),IF(MATCH($T3525,$T$6:$T$10005,0)=ROW()-5,N($X3524)+1,N($X3524)))</f>
        <v>0</v>
      </c>
      <c r="Z3525" t="str">
        <f t="shared" si="549"/>
        <v/>
      </c>
      <c r="AA3525">
        <f>IF($V3525="",N($AA3524),IF(MATCH($V3525,$V$6:$V$10005,0)=ROW()-5,N($AA3524)+1,N($AA3524)))</f>
        <v>0</v>
      </c>
    </row>
    <row r="3526" spans="1:27" ht="21" customHeight="1" x14ac:dyDescent="0.95">
      <c r="A3526" s="56"/>
      <c r="B3526" s="57"/>
      <c r="C3526" s="57"/>
      <c r="D3526" s="57"/>
      <c r="E3526" s="56"/>
      <c r="F3526" s="57"/>
      <c r="G3526" s="57"/>
      <c r="H3526" s="56"/>
      <c r="I3526" s="56"/>
      <c r="J3526" s="58"/>
      <c r="K3526" s="58"/>
      <c r="L3526" s="13" t="str">
        <f t="shared" ref="L3526:L3589" si="550">IF(OR($A3526="",AND($J3526="",$K3526="")),"",ROUND(N($J3526)-N($K3526),2))</f>
        <v/>
      </c>
      <c r="M3526" s="13" t="str">
        <f t="shared" ref="M3526:M3589" si="551">IF(OR($A3526="",AND($J3526="",$K3526="")),"",MIN($J3526,$K3526))</f>
        <v/>
      </c>
      <c r="Q3526" t="str">
        <f t="shared" ref="Q3526:Q3589" si="552">IF($A3526="","",$D3526&amp;"("&amp;SUBSTITUTE($E3526," ","")&amp;")")</f>
        <v/>
      </c>
      <c r="R3526" t="str">
        <f t="shared" ref="R3526:R3589" si="553">IF($A3526="","",$B3526&amp;" - "&amp;$C3526)</f>
        <v/>
      </c>
      <c r="S3526" t="str">
        <f t="shared" ref="S3526:S3589" si="554">IF($A3526="","",$R3526&amp;"|"&amp;$Q3526)</f>
        <v/>
      </c>
      <c r="T3526" t="str">
        <f t="shared" ref="T3526:T3589" si="555">IF($A3526="","",$S3526&amp;"|"&amp;$F3526)</f>
        <v/>
      </c>
      <c r="U3526" t="str">
        <f t="shared" ref="U3526:U3589" si="556">IF($A3526="","",$R3526&amp;"("&amp;$E3526&amp;")")</f>
        <v/>
      </c>
      <c r="V3526" t="str">
        <f t="shared" ref="V3526:V3589" si="557">IF($A3526="","",$F3526&amp;"|"&amp;$U3526&amp;"|"&amp;$D3526)</f>
        <v/>
      </c>
      <c r="W3526" t="str">
        <f t="shared" ref="W3526:W3589" si="558">IF($T3526="","",IF($X3526&gt;N($X3525),$X3526,""))</f>
        <v/>
      </c>
      <c r="X3526">
        <f>IF($T3526="",N($X3525),IF(MATCH($T3526,$T$6:$T$10005,0)=ROW()-5,N($X3525)+1,N($X3525)))</f>
        <v>0</v>
      </c>
      <c r="Z3526" t="str">
        <f t="shared" ref="Z3526:Z3589" si="559">IF($V3526="","",IF($AA3526&gt;N($AA3525),$AA3526,""))</f>
        <v/>
      </c>
      <c r="AA3526">
        <f>IF($V3526="",N($AA3525),IF(MATCH($V3526,$V$6:$V$10005,0)=ROW()-5,N($AA3525)+1,N($AA3525)))</f>
        <v>0</v>
      </c>
    </row>
    <row r="3527" spans="1:27" ht="21" customHeight="1" x14ac:dyDescent="0.95">
      <c r="A3527" s="56"/>
      <c r="B3527" s="57"/>
      <c r="C3527" s="57"/>
      <c r="D3527" s="57"/>
      <c r="E3527" s="56"/>
      <c r="F3527" s="57"/>
      <c r="G3527" s="57"/>
      <c r="H3527" s="56"/>
      <c r="I3527" s="56"/>
      <c r="J3527" s="58"/>
      <c r="K3527" s="58"/>
      <c r="L3527" s="13" t="str">
        <f t="shared" si="550"/>
        <v/>
      </c>
      <c r="M3527" s="13" t="str">
        <f t="shared" si="551"/>
        <v/>
      </c>
      <c r="Q3527" t="str">
        <f t="shared" si="552"/>
        <v/>
      </c>
      <c r="R3527" t="str">
        <f t="shared" si="553"/>
        <v/>
      </c>
      <c r="S3527" t="str">
        <f t="shared" si="554"/>
        <v/>
      </c>
      <c r="T3527" t="str">
        <f t="shared" si="555"/>
        <v/>
      </c>
      <c r="U3527" t="str">
        <f t="shared" si="556"/>
        <v/>
      </c>
      <c r="V3527" t="str">
        <f t="shared" si="557"/>
        <v/>
      </c>
      <c r="W3527" t="str">
        <f t="shared" si="558"/>
        <v/>
      </c>
      <c r="X3527">
        <f>IF($T3527="",N($X3526),IF(MATCH($T3527,$T$6:$T$10005,0)=ROW()-5,N($X3526)+1,N($X3526)))</f>
        <v>0</v>
      </c>
      <c r="Z3527" t="str">
        <f t="shared" si="559"/>
        <v/>
      </c>
      <c r="AA3527">
        <f>IF($V3527="",N($AA3526),IF(MATCH($V3527,$V$6:$V$10005,0)=ROW()-5,N($AA3526)+1,N($AA3526)))</f>
        <v>0</v>
      </c>
    </row>
    <row r="3528" spans="1:27" ht="21" customHeight="1" x14ac:dyDescent="0.95">
      <c r="A3528" s="56"/>
      <c r="B3528" s="57"/>
      <c r="C3528" s="57"/>
      <c r="D3528" s="57"/>
      <c r="E3528" s="56"/>
      <c r="F3528" s="57"/>
      <c r="G3528" s="57"/>
      <c r="H3528" s="56"/>
      <c r="I3528" s="56"/>
      <c r="J3528" s="58"/>
      <c r="K3528" s="58"/>
      <c r="L3528" s="13" t="str">
        <f t="shared" si="550"/>
        <v/>
      </c>
      <c r="M3528" s="13" t="str">
        <f t="shared" si="551"/>
        <v/>
      </c>
      <c r="Q3528" t="str">
        <f t="shared" si="552"/>
        <v/>
      </c>
      <c r="R3528" t="str">
        <f t="shared" si="553"/>
        <v/>
      </c>
      <c r="S3528" t="str">
        <f t="shared" si="554"/>
        <v/>
      </c>
      <c r="T3528" t="str">
        <f t="shared" si="555"/>
        <v/>
      </c>
      <c r="U3528" t="str">
        <f t="shared" si="556"/>
        <v/>
      </c>
      <c r="V3528" t="str">
        <f t="shared" si="557"/>
        <v/>
      </c>
      <c r="W3528" t="str">
        <f t="shared" si="558"/>
        <v/>
      </c>
      <c r="X3528">
        <f>IF($T3528="",N($X3527),IF(MATCH($T3528,$T$6:$T$10005,0)=ROW()-5,N($X3527)+1,N($X3527)))</f>
        <v>0</v>
      </c>
      <c r="Z3528" t="str">
        <f t="shared" si="559"/>
        <v/>
      </c>
      <c r="AA3528">
        <f>IF($V3528="",N($AA3527),IF(MATCH($V3528,$V$6:$V$10005,0)=ROW()-5,N($AA3527)+1,N($AA3527)))</f>
        <v>0</v>
      </c>
    </row>
    <row r="3529" spans="1:27" ht="21" customHeight="1" x14ac:dyDescent="0.95">
      <c r="A3529" s="56"/>
      <c r="B3529" s="57"/>
      <c r="C3529" s="57"/>
      <c r="D3529" s="57"/>
      <c r="E3529" s="56"/>
      <c r="F3529" s="57"/>
      <c r="G3529" s="57"/>
      <c r="H3529" s="56"/>
      <c r="I3529" s="56"/>
      <c r="J3529" s="58"/>
      <c r="K3529" s="58"/>
      <c r="L3529" s="13" t="str">
        <f t="shared" si="550"/>
        <v/>
      </c>
      <c r="M3529" s="13" t="str">
        <f t="shared" si="551"/>
        <v/>
      </c>
      <c r="Q3529" t="str">
        <f t="shared" si="552"/>
        <v/>
      </c>
      <c r="R3529" t="str">
        <f t="shared" si="553"/>
        <v/>
      </c>
      <c r="S3529" t="str">
        <f t="shared" si="554"/>
        <v/>
      </c>
      <c r="T3529" t="str">
        <f t="shared" si="555"/>
        <v/>
      </c>
      <c r="U3529" t="str">
        <f t="shared" si="556"/>
        <v/>
      </c>
      <c r="V3529" t="str">
        <f t="shared" si="557"/>
        <v/>
      </c>
      <c r="W3529" t="str">
        <f t="shared" si="558"/>
        <v/>
      </c>
      <c r="X3529">
        <f>IF($T3529="",N($X3528),IF(MATCH($T3529,$T$6:$T$10005,0)=ROW()-5,N($X3528)+1,N($X3528)))</f>
        <v>0</v>
      </c>
      <c r="Z3529" t="str">
        <f t="shared" si="559"/>
        <v/>
      </c>
      <c r="AA3529">
        <f>IF($V3529="",N($AA3528),IF(MATCH($V3529,$V$6:$V$10005,0)=ROW()-5,N($AA3528)+1,N($AA3528)))</f>
        <v>0</v>
      </c>
    </row>
    <row r="3530" spans="1:27" ht="21" customHeight="1" x14ac:dyDescent="0.95">
      <c r="A3530" s="56"/>
      <c r="B3530" s="57"/>
      <c r="C3530" s="57"/>
      <c r="D3530" s="57"/>
      <c r="E3530" s="56"/>
      <c r="F3530" s="57"/>
      <c r="G3530" s="57"/>
      <c r="H3530" s="56"/>
      <c r="I3530" s="56"/>
      <c r="J3530" s="58"/>
      <c r="K3530" s="58"/>
      <c r="L3530" s="13" t="str">
        <f t="shared" si="550"/>
        <v/>
      </c>
      <c r="M3530" s="13" t="str">
        <f t="shared" si="551"/>
        <v/>
      </c>
      <c r="Q3530" t="str">
        <f t="shared" si="552"/>
        <v/>
      </c>
      <c r="R3530" t="str">
        <f t="shared" si="553"/>
        <v/>
      </c>
      <c r="S3530" t="str">
        <f t="shared" si="554"/>
        <v/>
      </c>
      <c r="T3530" t="str">
        <f t="shared" si="555"/>
        <v/>
      </c>
      <c r="U3530" t="str">
        <f t="shared" si="556"/>
        <v/>
      </c>
      <c r="V3530" t="str">
        <f t="shared" si="557"/>
        <v/>
      </c>
      <c r="W3530" t="str">
        <f t="shared" si="558"/>
        <v/>
      </c>
      <c r="X3530">
        <f>IF($T3530="",N($X3529),IF(MATCH($T3530,$T$6:$T$10005,0)=ROW()-5,N($X3529)+1,N($X3529)))</f>
        <v>0</v>
      </c>
      <c r="Z3530" t="str">
        <f t="shared" si="559"/>
        <v/>
      </c>
      <c r="AA3530">
        <f>IF($V3530="",N($AA3529),IF(MATCH($V3530,$V$6:$V$10005,0)=ROW()-5,N($AA3529)+1,N($AA3529)))</f>
        <v>0</v>
      </c>
    </row>
    <row r="3531" spans="1:27" ht="21" customHeight="1" x14ac:dyDescent="0.95">
      <c r="A3531" s="56"/>
      <c r="B3531" s="57"/>
      <c r="C3531" s="57"/>
      <c r="D3531" s="57"/>
      <c r="E3531" s="56"/>
      <c r="F3531" s="57"/>
      <c r="G3531" s="57"/>
      <c r="H3531" s="56"/>
      <c r="I3531" s="56"/>
      <c r="J3531" s="58"/>
      <c r="K3531" s="58"/>
      <c r="L3531" s="13" t="str">
        <f t="shared" si="550"/>
        <v/>
      </c>
      <c r="M3531" s="13" t="str">
        <f t="shared" si="551"/>
        <v/>
      </c>
      <c r="Q3531" t="str">
        <f t="shared" si="552"/>
        <v/>
      </c>
      <c r="R3531" t="str">
        <f t="shared" si="553"/>
        <v/>
      </c>
      <c r="S3531" t="str">
        <f t="shared" si="554"/>
        <v/>
      </c>
      <c r="T3531" t="str">
        <f t="shared" si="555"/>
        <v/>
      </c>
      <c r="U3531" t="str">
        <f t="shared" si="556"/>
        <v/>
      </c>
      <c r="V3531" t="str">
        <f t="shared" si="557"/>
        <v/>
      </c>
      <c r="W3531" t="str">
        <f t="shared" si="558"/>
        <v/>
      </c>
      <c r="X3531">
        <f>IF($T3531="",N($X3530),IF(MATCH($T3531,$T$6:$T$10005,0)=ROW()-5,N($X3530)+1,N($X3530)))</f>
        <v>0</v>
      </c>
      <c r="Z3531" t="str">
        <f t="shared" si="559"/>
        <v/>
      </c>
      <c r="AA3531">
        <f>IF($V3531="",N($AA3530),IF(MATCH($V3531,$V$6:$V$10005,0)=ROW()-5,N($AA3530)+1,N($AA3530)))</f>
        <v>0</v>
      </c>
    </row>
    <row r="3532" spans="1:27" ht="21" customHeight="1" x14ac:dyDescent="0.95">
      <c r="A3532" s="56"/>
      <c r="B3532" s="57"/>
      <c r="C3532" s="57"/>
      <c r="D3532" s="57"/>
      <c r="E3532" s="56"/>
      <c r="F3532" s="57"/>
      <c r="G3532" s="57"/>
      <c r="H3532" s="56"/>
      <c r="I3532" s="56"/>
      <c r="J3532" s="58"/>
      <c r="K3532" s="58"/>
      <c r="L3532" s="13" t="str">
        <f t="shared" si="550"/>
        <v/>
      </c>
      <c r="M3532" s="13" t="str">
        <f t="shared" si="551"/>
        <v/>
      </c>
      <c r="Q3532" t="str">
        <f t="shared" si="552"/>
        <v/>
      </c>
      <c r="R3532" t="str">
        <f t="shared" si="553"/>
        <v/>
      </c>
      <c r="S3532" t="str">
        <f t="shared" si="554"/>
        <v/>
      </c>
      <c r="T3532" t="str">
        <f t="shared" si="555"/>
        <v/>
      </c>
      <c r="U3532" t="str">
        <f t="shared" si="556"/>
        <v/>
      </c>
      <c r="V3532" t="str">
        <f t="shared" si="557"/>
        <v/>
      </c>
      <c r="W3532" t="str">
        <f t="shared" si="558"/>
        <v/>
      </c>
      <c r="X3532">
        <f>IF($T3532="",N($X3531),IF(MATCH($T3532,$T$6:$T$10005,0)=ROW()-5,N($X3531)+1,N($X3531)))</f>
        <v>0</v>
      </c>
      <c r="Z3532" t="str">
        <f t="shared" si="559"/>
        <v/>
      </c>
      <c r="AA3532">
        <f>IF($V3532="",N($AA3531),IF(MATCH($V3532,$V$6:$V$10005,0)=ROW()-5,N($AA3531)+1,N($AA3531)))</f>
        <v>0</v>
      </c>
    </row>
    <row r="3533" spans="1:27" ht="21" customHeight="1" x14ac:dyDescent="0.95">
      <c r="A3533" s="56"/>
      <c r="B3533" s="57"/>
      <c r="C3533" s="57"/>
      <c r="D3533" s="57"/>
      <c r="E3533" s="56"/>
      <c r="F3533" s="57"/>
      <c r="G3533" s="57"/>
      <c r="H3533" s="56"/>
      <c r="I3533" s="56"/>
      <c r="J3533" s="58"/>
      <c r="K3533" s="58"/>
      <c r="L3533" s="13" t="str">
        <f t="shared" si="550"/>
        <v/>
      </c>
      <c r="M3533" s="13" t="str">
        <f t="shared" si="551"/>
        <v/>
      </c>
      <c r="Q3533" t="str">
        <f t="shared" si="552"/>
        <v/>
      </c>
      <c r="R3533" t="str">
        <f t="shared" si="553"/>
        <v/>
      </c>
      <c r="S3533" t="str">
        <f t="shared" si="554"/>
        <v/>
      </c>
      <c r="T3533" t="str">
        <f t="shared" si="555"/>
        <v/>
      </c>
      <c r="U3533" t="str">
        <f t="shared" si="556"/>
        <v/>
      </c>
      <c r="V3533" t="str">
        <f t="shared" si="557"/>
        <v/>
      </c>
      <c r="W3533" t="str">
        <f t="shared" si="558"/>
        <v/>
      </c>
      <c r="X3533">
        <f>IF($T3533="",N($X3532),IF(MATCH($T3533,$T$6:$T$10005,0)=ROW()-5,N($X3532)+1,N($X3532)))</f>
        <v>0</v>
      </c>
      <c r="Z3533" t="str">
        <f t="shared" si="559"/>
        <v/>
      </c>
      <c r="AA3533">
        <f>IF($V3533="",N($AA3532),IF(MATCH($V3533,$V$6:$V$10005,0)=ROW()-5,N($AA3532)+1,N($AA3532)))</f>
        <v>0</v>
      </c>
    </row>
    <row r="3534" spans="1:27" ht="21" customHeight="1" x14ac:dyDescent="0.95">
      <c r="A3534" s="56"/>
      <c r="B3534" s="57"/>
      <c r="C3534" s="57"/>
      <c r="D3534" s="57"/>
      <c r="E3534" s="56"/>
      <c r="F3534" s="57"/>
      <c r="G3534" s="57"/>
      <c r="H3534" s="56"/>
      <c r="I3534" s="56"/>
      <c r="J3534" s="58"/>
      <c r="K3534" s="58"/>
      <c r="L3534" s="13" t="str">
        <f t="shared" si="550"/>
        <v/>
      </c>
      <c r="M3534" s="13" t="str">
        <f t="shared" si="551"/>
        <v/>
      </c>
      <c r="Q3534" t="str">
        <f t="shared" si="552"/>
        <v/>
      </c>
      <c r="R3534" t="str">
        <f t="shared" si="553"/>
        <v/>
      </c>
      <c r="S3534" t="str">
        <f t="shared" si="554"/>
        <v/>
      </c>
      <c r="T3534" t="str">
        <f t="shared" si="555"/>
        <v/>
      </c>
      <c r="U3534" t="str">
        <f t="shared" si="556"/>
        <v/>
      </c>
      <c r="V3534" t="str">
        <f t="shared" si="557"/>
        <v/>
      </c>
      <c r="W3534" t="str">
        <f t="shared" si="558"/>
        <v/>
      </c>
      <c r="X3534">
        <f>IF($T3534="",N($X3533),IF(MATCH($T3534,$T$6:$T$10005,0)=ROW()-5,N($X3533)+1,N($X3533)))</f>
        <v>0</v>
      </c>
      <c r="Z3534" t="str">
        <f t="shared" si="559"/>
        <v/>
      </c>
      <c r="AA3534">
        <f>IF($V3534="",N($AA3533),IF(MATCH($V3534,$V$6:$V$10005,0)=ROW()-5,N($AA3533)+1,N($AA3533)))</f>
        <v>0</v>
      </c>
    </row>
    <row r="3535" spans="1:27" ht="21" customHeight="1" x14ac:dyDescent="0.95">
      <c r="A3535" s="56"/>
      <c r="B3535" s="57"/>
      <c r="C3535" s="57"/>
      <c r="D3535" s="57"/>
      <c r="E3535" s="56"/>
      <c r="F3535" s="57"/>
      <c r="G3535" s="57"/>
      <c r="H3535" s="56"/>
      <c r="I3535" s="56"/>
      <c r="J3535" s="58"/>
      <c r="K3535" s="58"/>
      <c r="L3535" s="13" t="str">
        <f t="shared" si="550"/>
        <v/>
      </c>
      <c r="M3535" s="13" t="str">
        <f t="shared" si="551"/>
        <v/>
      </c>
      <c r="Q3535" t="str">
        <f t="shared" si="552"/>
        <v/>
      </c>
      <c r="R3535" t="str">
        <f t="shared" si="553"/>
        <v/>
      </c>
      <c r="S3535" t="str">
        <f t="shared" si="554"/>
        <v/>
      </c>
      <c r="T3535" t="str">
        <f t="shared" si="555"/>
        <v/>
      </c>
      <c r="U3535" t="str">
        <f t="shared" si="556"/>
        <v/>
      </c>
      <c r="V3535" t="str">
        <f t="shared" si="557"/>
        <v/>
      </c>
      <c r="W3535" t="str">
        <f t="shared" si="558"/>
        <v/>
      </c>
      <c r="X3535">
        <f>IF($T3535="",N($X3534),IF(MATCH($T3535,$T$6:$T$10005,0)=ROW()-5,N($X3534)+1,N($X3534)))</f>
        <v>0</v>
      </c>
      <c r="Z3535" t="str">
        <f t="shared" si="559"/>
        <v/>
      </c>
      <c r="AA3535">
        <f>IF($V3535="",N($AA3534),IF(MATCH($V3535,$V$6:$V$10005,0)=ROW()-5,N($AA3534)+1,N($AA3534)))</f>
        <v>0</v>
      </c>
    </row>
    <row r="3536" spans="1:27" ht="21" customHeight="1" x14ac:dyDescent="0.95">
      <c r="A3536" s="56"/>
      <c r="B3536" s="57"/>
      <c r="C3536" s="57"/>
      <c r="D3536" s="57"/>
      <c r="E3536" s="56"/>
      <c r="F3536" s="57"/>
      <c r="G3536" s="57"/>
      <c r="H3536" s="56"/>
      <c r="I3536" s="56"/>
      <c r="J3536" s="58"/>
      <c r="K3536" s="58"/>
      <c r="L3536" s="13" t="str">
        <f t="shared" si="550"/>
        <v/>
      </c>
      <c r="M3536" s="13" t="str">
        <f t="shared" si="551"/>
        <v/>
      </c>
      <c r="Q3536" t="str">
        <f t="shared" si="552"/>
        <v/>
      </c>
      <c r="R3536" t="str">
        <f t="shared" si="553"/>
        <v/>
      </c>
      <c r="S3536" t="str">
        <f t="shared" si="554"/>
        <v/>
      </c>
      <c r="T3536" t="str">
        <f t="shared" si="555"/>
        <v/>
      </c>
      <c r="U3536" t="str">
        <f t="shared" si="556"/>
        <v/>
      </c>
      <c r="V3536" t="str">
        <f t="shared" si="557"/>
        <v/>
      </c>
      <c r="W3536" t="str">
        <f t="shared" si="558"/>
        <v/>
      </c>
      <c r="X3536">
        <f>IF($T3536="",N($X3535),IF(MATCH($T3536,$T$6:$T$10005,0)=ROW()-5,N($X3535)+1,N($X3535)))</f>
        <v>0</v>
      </c>
      <c r="Z3536" t="str">
        <f t="shared" si="559"/>
        <v/>
      </c>
      <c r="AA3536">
        <f>IF($V3536="",N($AA3535),IF(MATCH($V3536,$V$6:$V$10005,0)=ROW()-5,N($AA3535)+1,N($AA3535)))</f>
        <v>0</v>
      </c>
    </row>
    <row r="3537" spans="1:27" ht="21" customHeight="1" x14ac:dyDescent="0.95">
      <c r="A3537" s="56"/>
      <c r="B3537" s="57"/>
      <c r="C3537" s="57"/>
      <c r="D3537" s="57"/>
      <c r="E3537" s="56"/>
      <c r="F3537" s="57"/>
      <c r="G3537" s="57"/>
      <c r="H3537" s="56"/>
      <c r="I3537" s="56"/>
      <c r="J3537" s="58"/>
      <c r="K3537" s="58"/>
      <c r="L3537" s="13" t="str">
        <f t="shared" si="550"/>
        <v/>
      </c>
      <c r="M3537" s="13" t="str">
        <f t="shared" si="551"/>
        <v/>
      </c>
      <c r="Q3537" t="str">
        <f t="shared" si="552"/>
        <v/>
      </c>
      <c r="R3537" t="str">
        <f t="shared" si="553"/>
        <v/>
      </c>
      <c r="S3537" t="str">
        <f t="shared" si="554"/>
        <v/>
      </c>
      <c r="T3537" t="str">
        <f t="shared" si="555"/>
        <v/>
      </c>
      <c r="U3537" t="str">
        <f t="shared" si="556"/>
        <v/>
      </c>
      <c r="V3537" t="str">
        <f t="shared" si="557"/>
        <v/>
      </c>
      <c r="W3537" t="str">
        <f t="shared" si="558"/>
        <v/>
      </c>
      <c r="X3537">
        <f>IF($T3537="",N($X3536),IF(MATCH($T3537,$T$6:$T$10005,0)=ROW()-5,N($X3536)+1,N($X3536)))</f>
        <v>0</v>
      </c>
      <c r="Z3537" t="str">
        <f t="shared" si="559"/>
        <v/>
      </c>
      <c r="AA3537">
        <f>IF($V3537="",N($AA3536),IF(MATCH($V3537,$V$6:$V$10005,0)=ROW()-5,N($AA3536)+1,N($AA3536)))</f>
        <v>0</v>
      </c>
    </row>
    <row r="3538" spans="1:27" ht="21" customHeight="1" x14ac:dyDescent="0.95">
      <c r="A3538" s="56"/>
      <c r="B3538" s="57"/>
      <c r="C3538" s="57"/>
      <c r="D3538" s="57"/>
      <c r="E3538" s="56"/>
      <c r="F3538" s="57"/>
      <c r="G3538" s="57"/>
      <c r="H3538" s="56"/>
      <c r="I3538" s="56"/>
      <c r="J3538" s="58"/>
      <c r="K3538" s="58"/>
      <c r="L3538" s="13" t="str">
        <f t="shared" si="550"/>
        <v/>
      </c>
      <c r="M3538" s="13" t="str">
        <f t="shared" si="551"/>
        <v/>
      </c>
      <c r="Q3538" t="str">
        <f t="shared" si="552"/>
        <v/>
      </c>
      <c r="R3538" t="str">
        <f t="shared" si="553"/>
        <v/>
      </c>
      <c r="S3538" t="str">
        <f t="shared" si="554"/>
        <v/>
      </c>
      <c r="T3538" t="str">
        <f t="shared" si="555"/>
        <v/>
      </c>
      <c r="U3538" t="str">
        <f t="shared" si="556"/>
        <v/>
      </c>
      <c r="V3538" t="str">
        <f t="shared" si="557"/>
        <v/>
      </c>
      <c r="W3538" t="str">
        <f t="shared" si="558"/>
        <v/>
      </c>
      <c r="X3538">
        <f>IF($T3538="",N($X3537),IF(MATCH($T3538,$T$6:$T$10005,0)=ROW()-5,N($X3537)+1,N($X3537)))</f>
        <v>0</v>
      </c>
      <c r="Z3538" t="str">
        <f t="shared" si="559"/>
        <v/>
      </c>
      <c r="AA3538">
        <f>IF($V3538="",N($AA3537),IF(MATCH($V3538,$V$6:$V$10005,0)=ROW()-5,N($AA3537)+1,N($AA3537)))</f>
        <v>0</v>
      </c>
    </row>
    <row r="3539" spans="1:27" ht="21" customHeight="1" x14ac:dyDescent="0.95">
      <c r="A3539" s="56"/>
      <c r="B3539" s="57"/>
      <c r="C3539" s="57"/>
      <c r="D3539" s="57"/>
      <c r="E3539" s="56"/>
      <c r="F3539" s="57"/>
      <c r="G3539" s="57"/>
      <c r="H3539" s="56"/>
      <c r="I3539" s="56"/>
      <c r="J3539" s="58"/>
      <c r="K3539" s="58"/>
      <c r="L3539" s="13" t="str">
        <f t="shared" si="550"/>
        <v/>
      </c>
      <c r="M3539" s="13" t="str">
        <f t="shared" si="551"/>
        <v/>
      </c>
      <c r="Q3539" t="str">
        <f t="shared" si="552"/>
        <v/>
      </c>
      <c r="R3539" t="str">
        <f t="shared" si="553"/>
        <v/>
      </c>
      <c r="S3539" t="str">
        <f t="shared" si="554"/>
        <v/>
      </c>
      <c r="T3539" t="str">
        <f t="shared" si="555"/>
        <v/>
      </c>
      <c r="U3539" t="str">
        <f t="shared" si="556"/>
        <v/>
      </c>
      <c r="V3539" t="str">
        <f t="shared" si="557"/>
        <v/>
      </c>
      <c r="W3539" t="str">
        <f t="shared" si="558"/>
        <v/>
      </c>
      <c r="X3539">
        <f>IF($T3539="",N($X3538),IF(MATCH($T3539,$T$6:$T$10005,0)=ROW()-5,N($X3538)+1,N($X3538)))</f>
        <v>0</v>
      </c>
      <c r="Z3539" t="str">
        <f t="shared" si="559"/>
        <v/>
      </c>
      <c r="AA3539">
        <f>IF($V3539="",N($AA3538),IF(MATCH($V3539,$V$6:$V$10005,0)=ROW()-5,N($AA3538)+1,N($AA3538)))</f>
        <v>0</v>
      </c>
    </row>
    <row r="3540" spans="1:27" ht="21" customHeight="1" x14ac:dyDescent="0.95">
      <c r="A3540" s="56"/>
      <c r="B3540" s="57"/>
      <c r="C3540" s="57"/>
      <c r="D3540" s="57"/>
      <c r="E3540" s="56"/>
      <c r="F3540" s="57"/>
      <c r="G3540" s="57"/>
      <c r="H3540" s="56"/>
      <c r="I3540" s="56"/>
      <c r="J3540" s="58"/>
      <c r="K3540" s="58"/>
      <c r="L3540" s="13" t="str">
        <f t="shared" si="550"/>
        <v/>
      </c>
      <c r="M3540" s="13" t="str">
        <f t="shared" si="551"/>
        <v/>
      </c>
      <c r="Q3540" t="str">
        <f t="shared" si="552"/>
        <v/>
      </c>
      <c r="R3540" t="str">
        <f t="shared" si="553"/>
        <v/>
      </c>
      <c r="S3540" t="str">
        <f t="shared" si="554"/>
        <v/>
      </c>
      <c r="T3540" t="str">
        <f t="shared" si="555"/>
        <v/>
      </c>
      <c r="U3540" t="str">
        <f t="shared" si="556"/>
        <v/>
      </c>
      <c r="V3540" t="str">
        <f t="shared" si="557"/>
        <v/>
      </c>
      <c r="W3540" t="str">
        <f t="shared" si="558"/>
        <v/>
      </c>
      <c r="X3540">
        <f>IF($T3540="",N($X3539),IF(MATCH($T3540,$T$6:$T$10005,0)=ROW()-5,N($X3539)+1,N($X3539)))</f>
        <v>0</v>
      </c>
      <c r="Z3540" t="str">
        <f t="shared" si="559"/>
        <v/>
      </c>
      <c r="AA3540">
        <f>IF($V3540="",N($AA3539),IF(MATCH($V3540,$V$6:$V$10005,0)=ROW()-5,N($AA3539)+1,N($AA3539)))</f>
        <v>0</v>
      </c>
    </row>
    <row r="3541" spans="1:27" ht="21" customHeight="1" x14ac:dyDescent="0.95">
      <c r="A3541" s="56"/>
      <c r="B3541" s="57"/>
      <c r="C3541" s="57"/>
      <c r="D3541" s="57"/>
      <c r="E3541" s="56"/>
      <c r="F3541" s="57"/>
      <c r="G3541" s="57"/>
      <c r="H3541" s="56"/>
      <c r="I3541" s="56"/>
      <c r="J3541" s="58"/>
      <c r="K3541" s="58"/>
      <c r="L3541" s="13" t="str">
        <f t="shared" si="550"/>
        <v/>
      </c>
      <c r="M3541" s="13" t="str">
        <f t="shared" si="551"/>
        <v/>
      </c>
      <c r="Q3541" t="str">
        <f t="shared" si="552"/>
        <v/>
      </c>
      <c r="R3541" t="str">
        <f t="shared" si="553"/>
        <v/>
      </c>
      <c r="S3541" t="str">
        <f t="shared" si="554"/>
        <v/>
      </c>
      <c r="T3541" t="str">
        <f t="shared" si="555"/>
        <v/>
      </c>
      <c r="U3541" t="str">
        <f t="shared" si="556"/>
        <v/>
      </c>
      <c r="V3541" t="str">
        <f t="shared" si="557"/>
        <v/>
      </c>
      <c r="W3541" t="str">
        <f t="shared" si="558"/>
        <v/>
      </c>
      <c r="X3541">
        <f>IF($T3541="",N($X3540),IF(MATCH($T3541,$T$6:$T$10005,0)=ROW()-5,N($X3540)+1,N($X3540)))</f>
        <v>0</v>
      </c>
      <c r="Z3541" t="str">
        <f t="shared" si="559"/>
        <v/>
      </c>
      <c r="AA3541">
        <f>IF($V3541="",N($AA3540),IF(MATCH($V3541,$V$6:$V$10005,0)=ROW()-5,N($AA3540)+1,N($AA3540)))</f>
        <v>0</v>
      </c>
    </row>
    <row r="3542" spans="1:27" ht="21" customHeight="1" x14ac:dyDescent="0.95">
      <c r="A3542" s="56"/>
      <c r="B3542" s="57"/>
      <c r="C3542" s="57"/>
      <c r="D3542" s="57"/>
      <c r="E3542" s="56"/>
      <c r="F3542" s="57"/>
      <c r="G3542" s="57"/>
      <c r="H3542" s="56"/>
      <c r="I3542" s="56"/>
      <c r="J3542" s="58"/>
      <c r="K3542" s="58"/>
      <c r="L3542" s="13" t="str">
        <f t="shared" si="550"/>
        <v/>
      </c>
      <c r="M3542" s="13" t="str">
        <f t="shared" si="551"/>
        <v/>
      </c>
      <c r="Q3542" t="str">
        <f t="shared" si="552"/>
        <v/>
      </c>
      <c r="R3542" t="str">
        <f t="shared" si="553"/>
        <v/>
      </c>
      <c r="S3542" t="str">
        <f t="shared" si="554"/>
        <v/>
      </c>
      <c r="T3542" t="str">
        <f t="shared" si="555"/>
        <v/>
      </c>
      <c r="U3542" t="str">
        <f t="shared" si="556"/>
        <v/>
      </c>
      <c r="V3542" t="str">
        <f t="shared" si="557"/>
        <v/>
      </c>
      <c r="W3542" t="str">
        <f t="shared" si="558"/>
        <v/>
      </c>
      <c r="X3542">
        <f>IF($T3542="",N($X3541),IF(MATCH($T3542,$T$6:$T$10005,0)=ROW()-5,N($X3541)+1,N($X3541)))</f>
        <v>0</v>
      </c>
      <c r="Z3542" t="str">
        <f t="shared" si="559"/>
        <v/>
      </c>
      <c r="AA3542">
        <f>IF($V3542="",N($AA3541),IF(MATCH($V3542,$V$6:$V$10005,0)=ROW()-5,N($AA3541)+1,N($AA3541)))</f>
        <v>0</v>
      </c>
    </row>
    <row r="3543" spans="1:27" ht="21" customHeight="1" x14ac:dyDescent="0.95">
      <c r="A3543" s="56"/>
      <c r="B3543" s="57"/>
      <c r="C3543" s="57"/>
      <c r="D3543" s="57"/>
      <c r="E3543" s="56"/>
      <c r="F3543" s="57"/>
      <c r="G3543" s="57"/>
      <c r="H3543" s="56"/>
      <c r="I3543" s="56"/>
      <c r="J3543" s="58"/>
      <c r="K3543" s="58"/>
      <c r="L3543" s="13" t="str">
        <f t="shared" si="550"/>
        <v/>
      </c>
      <c r="M3543" s="13" t="str">
        <f t="shared" si="551"/>
        <v/>
      </c>
      <c r="Q3543" t="str">
        <f t="shared" si="552"/>
        <v/>
      </c>
      <c r="R3543" t="str">
        <f t="shared" si="553"/>
        <v/>
      </c>
      <c r="S3543" t="str">
        <f t="shared" si="554"/>
        <v/>
      </c>
      <c r="T3543" t="str">
        <f t="shared" si="555"/>
        <v/>
      </c>
      <c r="U3543" t="str">
        <f t="shared" si="556"/>
        <v/>
      </c>
      <c r="V3543" t="str">
        <f t="shared" si="557"/>
        <v/>
      </c>
      <c r="W3543" t="str">
        <f t="shared" si="558"/>
        <v/>
      </c>
      <c r="X3543">
        <f>IF($T3543="",N($X3542),IF(MATCH($T3543,$T$6:$T$10005,0)=ROW()-5,N($X3542)+1,N($X3542)))</f>
        <v>0</v>
      </c>
      <c r="Z3543" t="str">
        <f t="shared" si="559"/>
        <v/>
      </c>
      <c r="AA3543">
        <f>IF($V3543="",N($AA3542),IF(MATCH($V3543,$V$6:$V$10005,0)=ROW()-5,N($AA3542)+1,N($AA3542)))</f>
        <v>0</v>
      </c>
    </row>
    <row r="3544" spans="1:27" ht="21" customHeight="1" x14ac:dyDescent="0.95">
      <c r="A3544" s="56"/>
      <c r="B3544" s="57"/>
      <c r="C3544" s="57"/>
      <c r="D3544" s="57"/>
      <c r="E3544" s="56"/>
      <c r="F3544" s="57"/>
      <c r="G3544" s="57"/>
      <c r="H3544" s="56"/>
      <c r="I3544" s="56"/>
      <c r="J3544" s="58"/>
      <c r="K3544" s="58"/>
      <c r="L3544" s="13" t="str">
        <f t="shared" si="550"/>
        <v/>
      </c>
      <c r="M3544" s="13" t="str">
        <f t="shared" si="551"/>
        <v/>
      </c>
      <c r="Q3544" t="str">
        <f t="shared" si="552"/>
        <v/>
      </c>
      <c r="R3544" t="str">
        <f t="shared" si="553"/>
        <v/>
      </c>
      <c r="S3544" t="str">
        <f t="shared" si="554"/>
        <v/>
      </c>
      <c r="T3544" t="str">
        <f t="shared" si="555"/>
        <v/>
      </c>
      <c r="U3544" t="str">
        <f t="shared" si="556"/>
        <v/>
      </c>
      <c r="V3544" t="str">
        <f t="shared" si="557"/>
        <v/>
      </c>
      <c r="W3544" t="str">
        <f t="shared" si="558"/>
        <v/>
      </c>
      <c r="X3544">
        <f>IF($T3544="",N($X3543),IF(MATCH($T3544,$T$6:$T$10005,0)=ROW()-5,N($X3543)+1,N($X3543)))</f>
        <v>0</v>
      </c>
      <c r="Z3544" t="str">
        <f t="shared" si="559"/>
        <v/>
      </c>
      <c r="AA3544">
        <f>IF($V3544="",N($AA3543),IF(MATCH($V3544,$V$6:$V$10005,0)=ROW()-5,N($AA3543)+1,N($AA3543)))</f>
        <v>0</v>
      </c>
    </row>
    <row r="3545" spans="1:27" ht="21" customHeight="1" x14ac:dyDescent="0.95">
      <c r="A3545" s="56"/>
      <c r="B3545" s="57"/>
      <c r="C3545" s="57"/>
      <c r="D3545" s="57"/>
      <c r="E3545" s="56"/>
      <c r="F3545" s="57"/>
      <c r="G3545" s="57"/>
      <c r="H3545" s="56"/>
      <c r="I3545" s="56"/>
      <c r="J3545" s="58"/>
      <c r="K3545" s="58"/>
      <c r="L3545" s="13" t="str">
        <f t="shared" si="550"/>
        <v/>
      </c>
      <c r="M3545" s="13" t="str">
        <f t="shared" si="551"/>
        <v/>
      </c>
      <c r="Q3545" t="str">
        <f t="shared" si="552"/>
        <v/>
      </c>
      <c r="R3545" t="str">
        <f t="shared" si="553"/>
        <v/>
      </c>
      <c r="S3545" t="str">
        <f t="shared" si="554"/>
        <v/>
      </c>
      <c r="T3545" t="str">
        <f t="shared" si="555"/>
        <v/>
      </c>
      <c r="U3545" t="str">
        <f t="shared" si="556"/>
        <v/>
      </c>
      <c r="V3545" t="str">
        <f t="shared" si="557"/>
        <v/>
      </c>
      <c r="W3545" t="str">
        <f t="shared" si="558"/>
        <v/>
      </c>
      <c r="X3545">
        <f>IF($T3545="",N($X3544),IF(MATCH($T3545,$T$6:$T$10005,0)=ROW()-5,N($X3544)+1,N($X3544)))</f>
        <v>0</v>
      </c>
      <c r="Z3545" t="str">
        <f t="shared" si="559"/>
        <v/>
      </c>
      <c r="AA3545">
        <f>IF($V3545="",N($AA3544),IF(MATCH($V3545,$V$6:$V$10005,0)=ROW()-5,N($AA3544)+1,N($AA3544)))</f>
        <v>0</v>
      </c>
    </row>
    <row r="3546" spans="1:27" ht="21" customHeight="1" x14ac:dyDescent="0.95">
      <c r="A3546" s="56"/>
      <c r="B3546" s="57"/>
      <c r="C3546" s="57"/>
      <c r="D3546" s="57"/>
      <c r="E3546" s="56"/>
      <c r="F3546" s="57"/>
      <c r="G3546" s="57"/>
      <c r="H3546" s="56"/>
      <c r="I3546" s="56"/>
      <c r="J3546" s="58"/>
      <c r="K3546" s="58"/>
      <c r="L3546" s="13" t="str">
        <f t="shared" si="550"/>
        <v/>
      </c>
      <c r="M3546" s="13" t="str">
        <f t="shared" si="551"/>
        <v/>
      </c>
      <c r="Q3546" t="str">
        <f t="shared" si="552"/>
        <v/>
      </c>
      <c r="R3546" t="str">
        <f t="shared" si="553"/>
        <v/>
      </c>
      <c r="S3546" t="str">
        <f t="shared" si="554"/>
        <v/>
      </c>
      <c r="T3546" t="str">
        <f t="shared" si="555"/>
        <v/>
      </c>
      <c r="U3546" t="str">
        <f t="shared" si="556"/>
        <v/>
      </c>
      <c r="V3546" t="str">
        <f t="shared" si="557"/>
        <v/>
      </c>
      <c r="W3546" t="str">
        <f t="shared" si="558"/>
        <v/>
      </c>
      <c r="X3546">
        <f>IF($T3546="",N($X3545),IF(MATCH($T3546,$T$6:$T$10005,0)=ROW()-5,N($X3545)+1,N($X3545)))</f>
        <v>0</v>
      </c>
      <c r="Z3546" t="str">
        <f t="shared" si="559"/>
        <v/>
      </c>
      <c r="AA3546">
        <f>IF($V3546="",N($AA3545),IF(MATCH($V3546,$V$6:$V$10005,0)=ROW()-5,N($AA3545)+1,N($AA3545)))</f>
        <v>0</v>
      </c>
    </row>
    <row r="3547" spans="1:27" ht="21" customHeight="1" x14ac:dyDescent="0.95">
      <c r="A3547" s="56"/>
      <c r="B3547" s="57"/>
      <c r="C3547" s="57"/>
      <c r="D3547" s="57"/>
      <c r="E3547" s="56"/>
      <c r="F3547" s="57"/>
      <c r="G3547" s="57"/>
      <c r="H3547" s="56"/>
      <c r="I3547" s="56"/>
      <c r="J3547" s="58"/>
      <c r="K3547" s="58"/>
      <c r="L3547" s="13" t="str">
        <f t="shared" si="550"/>
        <v/>
      </c>
      <c r="M3547" s="13" t="str">
        <f t="shared" si="551"/>
        <v/>
      </c>
      <c r="Q3547" t="str">
        <f t="shared" si="552"/>
        <v/>
      </c>
      <c r="R3547" t="str">
        <f t="shared" si="553"/>
        <v/>
      </c>
      <c r="S3547" t="str">
        <f t="shared" si="554"/>
        <v/>
      </c>
      <c r="T3547" t="str">
        <f t="shared" si="555"/>
        <v/>
      </c>
      <c r="U3547" t="str">
        <f t="shared" si="556"/>
        <v/>
      </c>
      <c r="V3547" t="str">
        <f t="shared" si="557"/>
        <v/>
      </c>
      <c r="W3547" t="str">
        <f t="shared" si="558"/>
        <v/>
      </c>
      <c r="X3547">
        <f>IF($T3547="",N($X3546),IF(MATCH($T3547,$T$6:$T$10005,0)=ROW()-5,N($X3546)+1,N($X3546)))</f>
        <v>0</v>
      </c>
      <c r="Z3547" t="str">
        <f t="shared" si="559"/>
        <v/>
      </c>
      <c r="AA3547">
        <f>IF($V3547="",N($AA3546),IF(MATCH($V3547,$V$6:$V$10005,0)=ROW()-5,N($AA3546)+1,N($AA3546)))</f>
        <v>0</v>
      </c>
    </row>
    <row r="3548" spans="1:27" ht="21" customHeight="1" x14ac:dyDescent="0.95">
      <c r="A3548" s="56"/>
      <c r="B3548" s="57"/>
      <c r="C3548" s="57"/>
      <c r="D3548" s="57"/>
      <c r="E3548" s="56"/>
      <c r="F3548" s="57"/>
      <c r="G3548" s="57"/>
      <c r="H3548" s="56"/>
      <c r="I3548" s="56"/>
      <c r="J3548" s="58"/>
      <c r="K3548" s="58"/>
      <c r="L3548" s="13" t="str">
        <f t="shared" si="550"/>
        <v/>
      </c>
      <c r="M3548" s="13" t="str">
        <f t="shared" si="551"/>
        <v/>
      </c>
      <c r="Q3548" t="str">
        <f t="shared" si="552"/>
        <v/>
      </c>
      <c r="R3548" t="str">
        <f t="shared" si="553"/>
        <v/>
      </c>
      <c r="S3548" t="str">
        <f t="shared" si="554"/>
        <v/>
      </c>
      <c r="T3548" t="str">
        <f t="shared" si="555"/>
        <v/>
      </c>
      <c r="U3548" t="str">
        <f t="shared" si="556"/>
        <v/>
      </c>
      <c r="V3548" t="str">
        <f t="shared" si="557"/>
        <v/>
      </c>
      <c r="W3548" t="str">
        <f t="shared" si="558"/>
        <v/>
      </c>
      <c r="X3548">
        <f>IF($T3548="",N($X3547),IF(MATCH($T3548,$T$6:$T$10005,0)=ROW()-5,N($X3547)+1,N($X3547)))</f>
        <v>0</v>
      </c>
      <c r="Z3548" t="str">
        <f t="shared" si="559"/>
        <v/>
      </c>
      <c r="AA3548">
        <f>IF($V3548="",N($AA3547),IF(MATCH($V3548,$V$6:$V$10005,0)=ROW()-5,N($AA3547)+1,N($AA3547)))</f>
        <v>0</v>
      </c>
    </row>
    <row r="3549" spans="1:27" ht="21" customHeight="1" x14ac:dyDescent="0.95">
      <c r="A3549" s="56"/>
      <c r="B3549" s="57"/>
      <c r="C3549" s="57"/>
      <c r="D3549" s="57"/>
      <c r="E3549" s="56"/>
      <c r="F3549" s="57"/>
      <c r="G3549" s="57"/>
      <c r="H3549" s="56"/>
      <c r="I3549" s="56"/>
      <c r="J3549" s="58"/>
      <c r="K3549" s="58"/>
      <c r="L3549" s="13" t="str">
        <f t="shared" si="550"/>
        <v/>
      </c>
      <c r="M3549" s="13" t="str">
        <f t="shared" si="551"/>
        <v/>
      </c>
      <c r="Q3549" t="str">
        <f t="shared" si="552"/>
        <v/>
      </c>
      <c r="R3549" t="str">
        <f t="shared" si="553"/>
        <v/>
      </c>
      <c r="S3549" t="str">
        <f t="shared" si="554"/>
        <v/>
      </c>
      <c r="T3549" t="str">
        <f t="shared" si="555"/>
        <v/>
      </c>
      <c r="U3549" t="str">
        <f t="shared" si="556"/>
        <v/>
      </c>
      <c r="V3549" t="str">
        <f t="shared" si="557"/>
        <v/>
      </c>
      <c r="W3549" t="str">
        <f t="shared" si="558"/>
        <v/>
      </c>
      <c r="X3549">
        <f>IF($T3549="",N($X3548),IF(MATCH($T3549,$T$6:$T$10005,0)=ROW()-5,N($X3548)+1,N($X3548)))</f>
        <v>0</v>
      </c>
      <c r="Z3549" t="str">
        <f t="shared" si="559"/>
        <v/>
      </c>
      <c r="AA3549">
        <f>IF($V3549="",N($AA3548),IF(MATCH($V3549,$V$6:$V$10005,0)=ROW()-5,N($AA3548)+1,N($AA3548)))</f>
        <v>0</v>
      </c>
    </row>
    <row r="3550" spans="1:27" ht="21" customHeight="1" x14ac:dyDescent="0.95">
      <c r="A3550" s="56"/>
      <c r="B3550" s="57"/>
      <c r="C3550" s="57"/>
      <c r="D3550" s="57"/>
      <c r="E3550" s="56"/>
      <c r="F3550" s="57"/>
      <c r="G3550" s="57"/>
      <c r="H3550" s="56"/>
      <c r="I3550" s="56"/>
      <c r="J3550" s="58"/>
      <c r="K3550" s="58"/>
      <c r="L3550" s="13" t="str">
        <f t="shared" si="550"/>
        <v/>
      </c>
      <c r="M3550" s="13" t="str">
        <f t="shared" si="551"/>
        <v/>
      </c>
      <c r="Q3550" t="str">
        <f t="shared" si="552"/>
        <v/>
      </c>
      <c r="R3550" t="str">
        <f t="shared" si="553"/>
        <v/>
      </c>
      <c r="S3550" t="str">
        <f t="shared" si="554"/>
        <v/>
      </c>
      <c r="T3550" t="str">
        <f t="shared" si="555"/>
        <v/>
      </c>
      <c r="U3550" t="str">
        <f t="shared" si="556"/>
        <v/>
      </c>
      <c r="V3550" t="str">
        <f t="shared" si="557"/>
        <v/>
      </c>
      <c r="W3550" t="str">
        <f t="shared" si="558"/>
        <v/>
      </c>
      <c r="X3550">
        <f>IF($T3550="",N($X3549),IF(MATCH($T3550,$T$6:$T$10005,0)=ROW()-5,N($X3549)+1,N($X3549)))</f>
        <v>0</v>
      </c>
      <c r="Z3550" t="str">
        <f t="shared" si="559"/>
        <v/>
      </c>
      <c r="AA3550">
        <f>IF($V3550="",N($AA3549),IF(MATCH($V3550,$V$6:$V$10005,0)=ROW()-5,N($AA3549)+1,N($AA3549)))</f>
        <v>0</v>
      </c>
    </row>
    <row r="3551" spans="1:27" ht="21" customHeight="1" x14ac:dyDescent="0.95">
      <c r="A3551" s="56"/>
      <c r="B3551" s="57"/>
      <c r="C3551" s="57"/>
      <c r="D3551" s="57"/>
      <c r="E3551" s="56"/>
      <c r="F3551" s="57"/>
      <c r="G3551" s="57"/>
      <c r="H3551" s="56"/>
      <c r="I3551" s="56"/>
      <c r="J3551" s="58"/>
      <c r="K3551" s="58"/>
      <c r="L3551" s="13" t="str">
        <f t="shared" si="550"/>
        <v/>
      </c>
      <c r="M3551" s="13" t="str">
        <f t="shared" si="551"/>
        <v/>
      </c>
      <c r="Q3551" t="str">
        <f t="shared" si="552"/>
        <v/>
      </c>
      <c r="R3551" t="str">
        <f t="shared" si="553"/>
        <v/>
      </c>
      <c r="S3551" t="str">
        <f t="shared" si="554"/>
        <v/>
      </c>
      <c r="T3551" t="str">
        <f t="shared" si="555"/>
        <v/>
      </c>
      <c r="U3551" t="str">
        <f t="shared" si="556"/>
        <v/>
      </c>
      <c r="V3551" t="str">
        <f t="shared" si="557"/>
        <v/>
      </c>
      <c r="W3551" t="str">
        <f t="shared" si="558"/>
        <v/>
      </c>
      <c r="X3551">
        <f>IF($T3551="",N($X3550),IF(MATCH($T3551,$T$6:$T$10005,0)=ROW()-5,N($X3550)+1,N($X3550)))</f>
        <v>0</v>
      </c>
      <c r="Z3551" t="str">
        <f t="shared" si="559"/>
        <v/>
      </c>
      <c r="AA3551">
        <f>IF($V3551="",N($AA3550),IF(MATCH($V3551,$V$6:$V$10005,0)=ROW()-5,N($AA3550)+1,N($AA3550)))</f>
        <v>0</v>
      </c>
    </row>
    <row r="3552" spans="1:27" ht="21" customHeight="1" x14ac:dyDescent="0.95">
      <c r="A3552" s="56"/>
      <c r="B3552" s="57"/>
      <c r="C3552" s="57"/>
      <c r="D3552" s="57"/>
      <c r="E3552" s="56"/>
      <c r="F3552" s="57"/>
      <c r="G3552" s="57"/>
      <c r="H3552" s="56"/>
      <c r="I3552" s="56"/>
      <c r="J3552" s="58"/>
      <c r="K3552" s="58"/>
      <c r="L3552" s="13" t="str">
        <f t="shared" si="550"/>
        <v/>
      </c>
      <c r="M3552" s="13" t="str">
        <f t="shared" si="551"/>
        <v/>
      </c>
      <c r="Q3552" t="str">
        <f t="shared" si="552"/>
        <v/>
      </c>
      <c r="R3552" t="str">
        <f t="shared" si="553"/>
        <v/>
      </c>
      <c r="S3552" t="str">
        <f t="shared" si="554"/>
        <v/>
      </c>
      <c r="T3552" t="str">
        <f t="shared" si="555"/>
        <v/>
      </c>
      <c r="U3552" t="str">
        <f t="shared" si="556"/>
        <v/>
      </c>
      <c r="V3552" t="str">
        <f t="shared" si="557"/>
        <v/>
      </c>
      <c r="W3552" t="str">
        <f t="shared" si="558"/>
        <v/>
      </c>
      <c r="X3552">
        <f>IF($T3552="",N($X3551),IF(MATCH($T3552,$T$6:$T$10005,0)=ROW()-5,N($X3551)+1,N($X3551)))</f>
        <v>0</v>
      </c>
      <c r="Z3552" t="str">
        <f t="shared" si="559"/>
        <v/>
      </c>
      <c r="AA3552">
        <f>IF($V3552="",N($AA3551),IF(MATCH($V3552,$V$6:$V$10005,0)=ROW()-5,N($AA3551)+1,N($AA3551)))</f>
        <v>0</v>
      </c>
    </row>
    <row r="3553" spans="1:27" ht="21" customHeight="1" x14ac:dyDescent="0.95">
      <c r="A3553" s="56"/>
      <c r="B3553" s="57"/>
      <c r="C3553" s="57"/>
      <c r="D3553" s="57"/>
      <c r="E3553" s="56"/>
      <c r="F3553" s="57"/>
      <c r="G3553" s="57"/>
      <c r="H3553" s="56"/>
      <c r="I3553" s="56"/>
      <c r="J3553" s="58"/>
      <c r="K3553" s="58"/>
      <c r="L3553" s="13" t="str">
        <f t="shared" si="550"/>
        <v/>
      </c>
      <c r="M3553" s="13" t="str">
        <f t="shared" si="551"/>
        <v/>
      </c>
      <c r="Q3553" t="str">
        <f t="shared" si="552"/>
        <v/>
      </c>
      <c r="R3553" t="str">
        <f t="shared" si="553"/>
        <v/>
      </c>
      <c r="S3553" t="str">
        <f t="shared" si="554"/>
        <v/>
      </c>
      <c r="T3553" t="str">
        <f t="shared" si="555"/>
        <v/>
      </c>
      <c r="U3553" t="str">
        <f t="shared" si="556"/>
        <v/>
      </c>
      <c r="V3553" t="str">
        <f t="shared" si="557"/>
        <v/>
      </c>
      <c r="W3553" t="str">
        <f t="shared" si="558"/>
        <v/>
      </c>
      <c r="X3553">
        <f>IF($T3553="",N($X3552),IF(MATCH($T3553,$T$6:$T$10005,0)=ROW()-5,N($X3552)+1,N($X3552)))</f>
        <v>0</v>
      </c>
      <c r="Z3553" t="str">
        <f t="shared" si="559"/>
        <v/>
      </c>
      <c r="AA3553">
        <f>IF($V3553="",N($AA3552),IF(MATCH($V3553,$V$6:$V$10005,0)=ROW()-5,N($AA3552)+1,N($AA3552)))</f>
        <v>0</v>
      </c>
    </row>
    <row r="3554" spans="1:27" ht="21" customHeight="1" x14ac:dyDescent="0.95">
      <c r="A3554" s="56"/>
      <c r="B3554" s="57"/>
      <c r="C3554" s="57"/>
      <c r="D3554" s="57"/>
      <c r="E3554" s="56"/>
      <c r="F3554" s="57"/>
      <c r="G3554" s="57"/>
      <c r="H3554" s="56"/>
      <c r="I3554" s="56"/>
      <c r="J3554" s="58"/>
      <c r="K3554" s="58"/>
      <c r="L3554" s="13" t="str">
        <f t="shared" si="550"/>
        <v/>
      </c>
      <c r="M3554" s="13" t="str">
        <f t="shared" si="551"/>
        <v/>
      </c>
      <c r="Q3554" t="str">
        <f t="shared" si="552"/>
        <v/>
      </c>
      <c r="R3554" t="str">
        <f t="shared" si="553"/>
        <v/>
      </c>
      <c r="S3554" t="str">
        <f t="shared" si="554"/>
        <v/>
      </c>
      <c r="T3554" t="str">
        <f t="shared" si="555"/>
        <v/>
      </c>
      <c r="U3554" t="str">
        <f t="shared" si="556"/>
        <v/>
      </c>
      <c r="V3554" t="str">
        <f t="shared" si="557"/>
        <v/>
      </c>
      <c r="W3554" t="str">
        <f t="shared" si="558"/>
        <v/>
      </c>
      <c r="X3554">
        <f>IF($T3554="",N($X3553),IF(MATCH($T3554,$T$6:$T$10005,0)=ROW()-5,N($X3553)+1,N($X3553)))</f>
        <v>0</v>
      </c>
      <c r="Z3554" t="str">
        <f t="shared" si="559"/>
        <v/>
      </c>
      <c r="AA3554">
        <f>IF($V3554="",N($AA3553),IF(MATCH($V3554,$V$6:$V$10005,0)=ROW()-5,N($AA3553)+1,N($AA3553)))</f>
        <v>0</v>
      </c>
    </row>
    <row r="3555" spans="1:27" ht="21" customHeight="1" x14ac:dyDescent="0.95">
      <c r="A3555" s="56"/>
      <c r="B3555" s="57"/>
      <c r="C3555" s="57"/>
      <c r="D3555" s="57"/>
      <c r="E3555" s="56"/>
      <c r="F3555" s="57"/>
      <c r="G3555" s="57"/>
      <c r="H3555" s="56"/>
      <c r="I3555" s="56"/>
      <c r="J3555" s="58"/>
      <c r="K3555" s="58"/>
      <c r="L3555" s="13" t="str">
        <f t="shared" si="550"/>
        <v/>
      </c>
      <c r="M3555" s="13" t="str">
        <f t="shared" si="551"/>
        <v/>
      </c>
      <c r="Q3555" t="str">
        <f t="shared" si="552"/>
        <v/>
      </c>
      <c r="R3555" t="str">
        <f t="shared" si="553"/>
        <v/>
      </c>
      <c r="S3555" t="str">
        <f t="shared" si="554"/>
        <v/>
      </c>
      <c r="T3555" t="str">
        <f t="shared" si="555"/>
        <v/>
      </c>
      <c r="U3555" t="str">
        <f t="shared" si="556"/>
        <v/>
      </c>
      <c r="V3555" t="str">
        <f t="shared" si="557"/>
        <v/>
      </c>
      <c r="W3555" t="str">
        <f t="shared" si="558"/>
        <v/>
      </c>
      <c r="X3555">
        <f>IF($T3555="",N($X3554),IF(MATCH($T3555,$T$6:$T$10005,0)=ROW()-5,N($X3554)+1,N($X3554)))</f>
        <v>0</v>
      </c>
      <c r="Z3555" t="str">
        <f t="shared" si="559"/>
        <v/>
      </c>
      <c r="AA3555">
        <f>IF($V3555="",N($AA3554),IF(MATCH($V3555,$V$6:$V$10005,0)=ROW()-5,N($AA3554)+1,N($AA3554)))</f>
        <v>0</v>
      </c>
    </row>
    <row r="3556" spans="1:27" ht="21" customHeight="1" x14ac:dyDescent="0.95">
      <c r="A3556" s="56"/>
      <c r="B3556" s="57"/>
      <c r="C3556" s="57"/>
      <c r="D3556" s="57"/>
      <c r="E3556" s="56"/>
      <c r="F3556" s="57"/>
      <c r="G3556" s="57"/>
      <c r="H3556" s="56"/>
      <c r="I3556" s="56"/>
      <c r="J3556" s="58"/>
      <c r="K3556" s="58"/>
      <c r="L3556" s="13" t="str">
        <f t="shared" si="550"/>
        <v/>
      </c>
      <c r="M3556" s="13" t="str">
        <f t="shared" si="551"/>
        <v/>
      </c>
      <c r="Q3556" t="str">
        <f t="shared" si="552"/>
        <v/>
      </c>
      <c r="R3556" t="str">
        <f t="shared" si="553"/>
        <v/>
      </c>
      <c r="S3556" t="str">
        <f t="shared" si="554"/>
        <v/>
      </c>
      <c r="T3556" t="str">
        <f t="shared" si="555"/>
        <v/>
      </c>
      <c r="U3556" t="str">
        <f t="shared" si="556"/>
        <v/>
      </c>
      <c r="V3556" t="str">
        <f t="shared" si="557"/>
        <v/>
      </c>
      <c r="W3556" t="str">
        <f t="shared" si="558"/>
        <v/>
      </c>
      <c r="X3556">
        <f>IF($T3556="",N($X3555),IF(MATCH($T3556,$T$6:$T$10005,0)=ROW()-5,N($X3555)+1,N($X3555)))</f>
        <v>0</v>
      </c>
      <c r="Z3556" t="str">
        <f t="shared" si="559"/>
        <v/>
      </c>
      <c r="AA3556">
        <f>IF($V3556="",N($AA3555),IF(MATCH($V3556,$V$6:$V$10005,0)=ROW()-5,N($AA3555)+1,N($AA3555)))</f>
        <v>0</v>
      </c>
    </row>
    <row r="3557" spans="1:27" ht="21" customHeight="1" x14ac:dyDescent="0.95">
      <c r="A3557" s="56"/>
      <c r="B3557" s="57"/>
      <c r="C3557" s="57"/>
      <c r="D3557" s="57"/>
      <c r="E3557" s="56"/>
      <c r="F3557" s="57"/>
      <c r="G3557" s="57"/>
      <c r="H3557" s="56"/>
      <c r="I3557" s="56"/>
      <c r="J3557" s="58"/>
      <c r="K3557" s="58"/>
      <c r="L3557" s="13" t="str">
        <f t="shared" si="550"/>
        <v/>
      </c>
      <c r="M3557" s="13" t="str">
        <f t="shared" si="551"/>
        <v/>
      </c>
      <c r="Q3557" t="str">
        <f t="shared" si="552"/>
        <v/>
      </c>
      <c r="R3557" t="str">
        <f t="shared" si="553"/>
        <v/>
      </c>
      <c r="S3557" t="str">
        <f t="shared" si="554"/>
        <v/>
      </c>
      <c r="T3557" t="str">
        <f t="shared" si="555"/>
        <v/>
      </c>
      <c r="U3557" t="str">
        <f t="shared" si="556"/>
        <v/>
      </c>
      <c r="V3557" t="str">
        <f t="shared" si="557"/>
        <v/>
      </c>
      <c r="W3557" t="str">
        <f t="shared" si="558"/>
        <v/>
      </c>
      <c r="X3557">
        <f>IF($T3557="",N($X3556),IF(MATCH($T3557,$T$6:$T$10005,0)=ROW()-5,N($X3556)+1,N($X3556)))</f>
        <v>0</v>
      </c>
      <c r="Z3557" t="str">
        <f t="shared" si="559"/>
        <v/>
      </c>
      <c r="AA3557">
        <f>IF($V3557="",N($AA3556),IF(MATCH($V3557,$V$6:$V$10005,0)=ROW()-5,N($AA3556)+1,N($AA3556)))</f>
        <v>0</v>
      </c>
    </row>
    <row r="3558" spans="1:27" ht="21" customHeight="1" x14ac:dyDescent="0.95">
      <c r="A3558" s="56"/>
      <c r="B3558" s="57"/>
      <c r="C3558" s="57"/>
      <c r="D3558" s="57"/>
      <c r="E3558" s="56"/>
      <c r="F3558" s="57"/>
      <c r="G3558" s="57"/>
      <c r="H3558" s="56"/>
      <c r="I3558" s="56"/>
      <c r="J3558" s="58"/>
      <c r="K3558" s="58"/>
      <c r="L3558" s="13" t="str">
        <f t="shared" si="550"/>
        <v/>
      </c>
      <c r="M3558" s="13" t="str">
        <f t="shared" si="551"/>
        <v/>
      </c>
      <c r="Q3558" t="str">
        <f t="shared" si="552"/>
        <v/>
      </c>
      <c r="R3558" t="str">
        <f t="shared" si="553"/>
        <v/>
      </c>
      <c r="S3558" t="str">
        <f t="shared" si="554"/>
        <v/>
      </c>
      <c r="T3558" t="str">
        <f t="shared" si="555"/>
        <v/>
      </c>
      <c r="U3558" t="str">
        <f t="shared" si="556"/>
        <v/>
      </c>
      <c r="V3558" t="str">
        <f t="shared" si="557"/>
        <v/>
      </c>
      <c r="W3558" t="str">
        <f t="shared" si="558"/>
        <v/>
      </c>
      <c r="X3558">
        <f>IF($T3558="",N($X3557),IF(MATCH($T3558,$T$6:$T$10005,0)=ROW()-5,N($X3557)+1,N($X3557)))</f>
        <v>0</v>
      </c>
      <c r="Z3558" t="str">
        <f t="shared" si="559"/>
        <v/>
      </c>
      <c r="AA3558">
        <f>IF($V3558="",N($AA3557),IF(MATCH($V3558,$V$6:$V$10005,0)=ROW()-5,N($AA3557)+1,N($AA3557)))</f>
        <v>0</v>
      </c>
    </row>
    <row r="3559" spans="1:27" ht="21" customHeight="1" x14ac:dyDescent="0.95">
      <c r="A3559" s="56"/>
      <c r="B3559" s="57"/>
      <c r="C3559" s="57"/>
      <c r="D3559" s="57"/>
      <c r="E3559" s="56"/>
      <c r="F3559" s="57"/>
      <c r="G3559" s="57"/>
      <c r="H3559" s="56"/>
      <c r="I3559" s="56"/>
      <c r="J3559" s="58"/>
      <c r="K3559" s="58"/>
      <c r="L3559" s="13" t="str">
        <f t="shared" si="550"/>
        <v/>
      </c>
      <c r="M3559" s="13" t="str">
        <f t="shared" si="551"/>
        <v/>
      </c>
      <c r="Q3559" t="str">
        <f t="shared" si="552"/>
        <v/>
      </c>
      <c r="R3559" t="str">
        <f t="shared" si="553"/>
        <v/>
      </c>
      <c r="S3559" t="str">
        <f t="shared" si="554"/>
        <v/>
      </c>
      <c r="T3559" t="str">
        <f t="shared" si="555"/>
        <v/>
      </c>
      <c r="U3559" t="str">
        <f t="shared" si="556"/>
        <v/>
      </c>
      <c r="V3559" t="str">
        <f t="shared" si="557"/>
        <v/>
      </c>
      <c r="W3559" t="str">
        <f t="shared" si="558"/>
        <v/>
      </c>
      <c r="X3559">
        <f>IF($T3559="",N($X3558),IF(MATCH($T3559,$T$6:$T$10005,0)=ROW()-5,N($X3558)+1,N($X3558)))</f>
        <v>0</v>
      </c>
      <c r="Z3559" t="str">
        <f t="shared" si="559"/>
        <v/>
      </c>
      <c r="AA3559">
        <f>IF($V3559="",N($AA3558),IF(MATCH($V3559,$V$6:$V$10005,0)=ROW()-5,N($AA3558)+1,N($AA3558)))</f>
        <v>0</v>
      </c>
    </row>
    <row r="3560" spans="1:27" ht="21" customHeight="1" x14ac:dyDescent="0.95">
      <c r="A3560" s="56"/>
      <c r="B3560" s="57"/>
      <c r="C3560" s="57"/>
      <c r="D3560" s="57"/>
      <c r="E3560" s="56"/>
      <c r="F3560" s="57"/>
      <c r="G3560" s="57"/>
      <c r="H3560" s="56"/>
      <c r="I3560" s="56"/>
      <c r="J3560" s="58"/>
      <c r="K3560" s="58"/>
      <c r="L3560" s="13" t="str">
        <f t="shared" si="550"/>
        <v/>
      </c>
      <c r="M3560" s="13" t="str">
        <f t="shared" si="551"/>
        <v/>
      </c>
      <c r="Q3560" t="str">
        <f t="shared" si="552"/>
        <v/>
      </c>
      <c r="R3560" t="str">
        <f t="shared" si="553"/>
        <v/>
      </c>
      <c r="S3560" t="str">
        <f t="shared" si="554"/>
        <v/>
      </c>
      <c r="T3560" t="str">
        <f t="shared" si="555"/>
        <v/>
      </c>
      <c r="U3560" t="str">
        <f t="shared" si="556"/>
        <v/>
      </c>
      <c r="V3560" t="str">
        <f t="shared" si="557"/>
        <v/>
      </c>
      <c r="W3560" t="str">
        <f t="shared" si="558"/>
        <v/>
      </c>
      <c r="X3560">
        <f>IF($T3560="",N($X3559),IF(MATCH($T3560,$T$6:$T$10005,0)=ROW()-5,N($X3559)+1,N($X3559)))</f>
        <v>0</v>
      </c>
      <c r="Z3560" t="str">
        <f t="shared" si="559"/>
        <v/>
      </c>
      <c r="AA3560">
        <f>IF($V3560="",N($AA3559),IF(MATCH($V3560,$V$6:$V$10005,0)=ROW()-5,N($AA3559)+1,N($AA3559)))</f>
        <v>0</v>
      </c>
    </row>
    <row r="3561" spans="1:27" ht="21" customHeight="1" x14ac:dyDescent="0.95">
      <c r="A3561" s="56"/>
      <c r="B3561" s="57"/>
      <c r="C3561" s="57"/>
      <c r="D3561" s="57"/>
      <c r="E3561" s="56"/>
      <c r="F3561" s="57"/>
      <c r="G3561" s="57"/>
      <c r="H3561" s="56"/>
      <c r="I3561" s="56"/>
      <c r="J3561" s="58"/>
      <c r="K3561" s="58"/>
      <c r="L3561" s="13" t="str">
        <f t="shared" si="550"/>
        <v/>
      </c>
      <c r="M3561" s="13" t="str">
        <f t="shared" si="551"/>
        <v/>
      </c>
      <c r="Q3561" t="str">
        <f t="shared" si="552"/>
        <v/>
      </c>
      <c r="R3561" t="str">
        <f t="shared" si="553"/>
        <v/>
      </c>
      <c r="S3561" t="str">
        <f t="shared" si="554"/>
        <v/>
      </c>
      <c r="T3561" t="str">
        <f t="shared" si="555"/>
        <v/>
      </c>
      <c r="U3561" t="str">
        <f t="shared" si="556"/>
        <v/>
      </c>
      <c r="V3561" t="str">
        <f t="shared" si="557"/>
        <v/>
      </c>
      <c r="W3561" t="str">
        <f t="shared" si="558"/>
        <v/>
      </c>
      <c r="X3561">
        <f>IF($T3561="",N($X3560),IF(MATCH($T3561,$T$6:$T$10005,0)=ROW()-5,N($X3560)+1,N($X3560)))</f>
        <v>0</v>
      </c>
      <c r="Z3561" t="str">
        <f t="shared" si="559"/>
        <v/>
      </c>
      <c r="AA3561">
        <f>IF($V3561="",N($AA3560),IF(MATCH($V3561,$V$6:$V$10005,0)=ROW()-5,N($AA3560)+1,N($AA3560)))</f>
        <v>0</v>
      </c>
    </row>
    <row r="3562" spans="1:27" ht="21" customHeight="1" x14ac:dyDescent="0.95">
      <c r="A3562" s="56"/>
      <c r="B3562" s="57"/>
      <c r="C3562" s="57"/>
      <c r="D3562" s="57"/>
      <c r="E3562" s="56"/>
      <c r="F3562" s="57"/>
      <c r="G3562" s="57"/>
      <c r="H3562" s="56"/>
      <c r="I3562" s="56"/>
      <c r="J3562" s="58"/>
      <c r="K3562" s="58"/>
      <c r="L3562" s="13" t="str">
        <f t="shared" si="550"/>
        <v/>
      </c>
      <c r="M3562" s="13" t="str">
        <f t="shared" si="551"/>
        <v/>
      </c>
      <c r="Q3562" t="str">
        <f t="shared" si="552"/>
        <v/>
      </c>
      <c r="R3562" t="str">
        <f t="shared" si="553"/>
        <v/>
      </c>
      <c r="S3562" t="str">
        <f t="shared" si="554"/>
        <v/>
      </c>
      <c r="T3562" t="str">
        <f t="shared" si="555"/>
        <v/>
      </c>
      <c r="U3562" t="str">
        <f t="shared" si="556"/>
        <v/>
      </c>
      <c r="V3562" t="str">
        <f t="shared" si="557"/>
        <v/>
      </c>
      <c r="W3562" t="str">
        <f t="shared" si="558"/>
        <v/>
      </c>
      <c r="X3562">
        <f>IF($T3562="",N($X3561),IF(MATCH($T3562,$T$6:$T$10005,0)=ROW()-5,N($X3561)+1,N($X3561)))</f>
        <v>0</v>
      </c>
      <c r="Z3562" t="str">
        <f t="shared" si="559"/>
        <v/>
      </c>
      <c r="AA3562">
        <f>IF($V3562="",N($AA3561),IF(MATCH($V3562,$V$6:$V$10005,0)=ROW()-5,N($AA3561)+1,N($AA3561)))</f>
        <v>0</v>
      </c>
    </row>
    <row r="3563" spans="1:27" ht="21" customHeight="1" x14ac:dyDescent="0.95">
      <c r="A3563" s="56"/>
      <c r="B3563" s="57"/>
      <c r="C3563" s="57"/>
      <c r="D3563" s="57"/>
      <c r="E3563" s="56"/>
      <c r="F3563" s="57"/>
      <c r="G3563" s="57"/>
      <c r="H3563" s="56"/>
      <c r="I3563" s="56"/>
      <c r="J3563" s="58"/>
      <c r="K3563" s="58"/>
      <c r="L3563" s="13" t="str">
        <f t="shared" si="550"/>
        <v/>
      </c>
      <c r="M3563" s="13" t="str">
        <f t="shared" si="551"/>
        <v/>
      </c>
      <c r="Q3563" t="str">
        <f t="shared" si="552"/>
        <v/>
      </c>
      <c r="R3563" t="str">
        <f t="shared" si="553"/>
        <v/>
      </c>
      <c r="S3563" t="str">
        <f t="shared" si="554"/>
        <v/>
      </c>
      <c r="T3563" t="str">
        <f t="shared" si="555"/>
        <v/>
      </c>
      <c r="U3563" t="str">
        <f t="shared" si="556"/>
        <v/>
      </c>
      <c r="V3563" t="str">
        <f t="shared" si="557"/>
        <v/>
      </c>
      <c r="W3563" t="str">
        <f t="shared" si="558"/>
        <v/>
      </c>
      <c r="X3563">
        <f>IF($T3563="",N($X3562),IF(MATCH($T3563,$T$6:$T$10005,0)=ROW()-5,N($X3562)+1,N($X3562)))</f>
        <v>0</v>
      </c>
      <c r="Z3563" t="str">
        <f t="shared" si="559"/>
        <v/>
      </c>
      <c r="AA3563">
        <f>IF($V3563="",N($AA3562),IF(MATCH($V3563,$V$6:$V$10005,0)=ROW()-5,N($AA3562)+1,N($AA3562)))</f>
        <v>0</v>
      </c>
    </row>
    <row r="3564" spans="1:27" ht="21" customHeight="1" x14ac:dyDescent="0.95">
      <c r="A3564" s="56"/>
      <c r="B3564" s="57"/>
      <c r="C3564" s="57"/>
      <c r="D3564" s="57"/>
      <c r="E3564" s="56"/>
      <c r="F3564" s="57"/>
      <c r="G3564" s="57"/>
      <c r="H3564" s="56"/>
      <c r="I3564" s="56"/>
      <c r="J3564" s="58"/>
      <c r="K3564" s="58"/>
      <c r="L3564" s="13" t="str">
        <f t="shared" si="550"/>
        <v/>
      </c>
      <c r="M3564" s="13" t="str">
        <f t="shared" si="551"/>
        <v/>
      </c>
      <c r="Q3564" t="str">
        <f t="shared" si="552"/>
        <v/>
      </c>
      <c r="R3564" t="str">
        <f t="shared" si="553"/>
        <v/>
      </c>
      <c r="S3564" t="str">
        <f t="shared" si="554"/>
        <v/>
      </c>
      <c r="T3564" t="str">
        <f t="shared" si="555"/>
        <v/>
      </c>
      <c r="U3564" t="str">
        <f t="shared" si="556"/>
        <v/>
      </c>
      <c r="V3564" t="str">
        <f t="shared" si="557"/>
        <v/>
      </c>
      <c r="W3564" t="str">
        <f t="shared" si="558"/>
        <v/>
      </c>
      <c r="X3564">
        <f>IF($T3564="",N($X3563),IF(MATCH($T3564,$T$6:$T$10005,0)=ROW()-5,N($X3563)+1,N($X3563)))</f>
        <v>0</v>
      </c>
      <c r="Z3564" t="str">
        <f t="shared" si="559"/>
        <v/>
      </c>
      <c r="AA3564">
        <f>IF($V3564="",N($AA3563),IF(MATCH($V3564,$V$6:$V$10005,0)=ROW()-5,N($AA3563)+1,N($AA3563)))</f>
        <v>0</v>
      </c>
    </row>
    <row r="3565" spans="1:27" ht="21" customHeight="1" x14ac:dyDescent="0.95">
      <c r="A3565" s="56"/>
      <c r="B3565" s="57"/>
      <c r="C3565" s="57"/>
      <c r="D3565" s="57"/>
      <c r="E3565" s="56"/>
      <c r="F3565" s="57"/>
      <c r="G3565" s="57"/>
      <c r="H3565" s="56"/>
      <c r="I3565" s="56"/>
      <c r="J3565" s="58"/>
      <c r="K3565" s="58"/>
      <c r="L3565" s="13" t="str">
        <f t="shared" si="550"/>
        <v/>
      </c>
      <c r="M3565" s="13" t="str">
        <f t="shared" si="551"/>
        <v/>
      </c>
      <c r="Q3565" t="str">
        <f t="shared" si="552"/>
        <v/>
      </c>
      <c r="R3565" t="str">
        <f t="shared" si="553"/>
        <v/>
      </c>
      <c r="S3565" t="str">
        <f t="shared" si="554"/>
        <v/>
      </c>
      <c r="T3565" t="str">
        <f t="shared" si="555"/>
        <v/>
      </c>
      <c r="U3565" t="str">
        <f t="shared" si="556"/>
        <v/>
      </c>
      <c r="V3565" t="str">
        <f t="shared" si="557"/>
        <v/>
      </c>
      <c r="W3565" t="str">
        <f t="shared" si="558"/>
        <v/>
      </c>
      <c r="X3565">
        <f>IF($T3565="",N($X3564),IF(MATCH($T3565,$T$6:$T$10005,0)=ROW()-5,N($X3564)+1,N($X3564)))</f>
        <v>0</v>
      </c>
      <c r="Z3565" t="str">
        <f t="shared" si="559"/>
        <v/>
      </c>
      <c r="AA3565">
        <f>IF($V3565="",N($AA3564),IF(MATCH($V3565,$V$6:$V$10005,0)=ROW()-5,N($AA3564)+1,N($AA3564)))</f>
        <v>0</v>
      </c>
    </row>
    <row r="3566" spans="1:27" ht="21" customHeight="1" x14ac:dyDescent="0.95">
      <c r="A3566" s="56"/>
      <c r="B3566" s="57"/>
      <c r="C3566" s="57"/>
      <c r="D3566" s="57"/>
      <c r="E3566" s="56"/>
      <c r="F3566" s="57"/>
      <c r="G3566" s="57"/>
      <c r="H3566" s="56"/>
      <c r="I3566" s="56"/>
      <c r="J3566" s="58"/>
      <c r="K3566" s="58"/>
      <c r="L3566" s="13" t="str">
        <f t="shared" si="550"/>
        <v/>
      </c>
      <c r="M3566" s="13" t="str">
        <f t="shared" si="551"/>
        <v/>
      </c>
      <c r="Q3566" t="str">
        <f t="shared" si="552"/>
        <v/>
      </c>
      <c r="R3566" t="str">
        <f t="shared" si="553"/>
        <v/>
      </c>
      <c r="S3566" t="str">
        <f t="shared" si="554"/>
        <v/>
      </c>
      <c r="T3566" t="str">
        <f t="shared" si="555"/>
        <v/>
      </c>
      <c r="U3566" t="str">
        <f t="shared" si="556"/>
        <v/>
      </c>
      <c r="V3566" t="str">
        <f t="shared" si="557"/>
        <v/>
      </c>
      <c r="W3566" t="str">
        <f t="shared" si="558"/>
        <v/>
      </c>
      <c r="X3566">
        <f>IF($T3566="",N($X3565),IF(MATCH($T3566,$T$6:$T$10005,0)=ROW()-5,N($X3565)+1,N($X3565)))</f>
        <v>0</v>
      </c>
      <c r="Z3566" t="str">
        <f t="shared" si="559"/>
        <v/>
      </c>
      <c r="AA3566">
        <f>IF($V3566="",N($AA3565),IF(MATCH($V3566,$V$6:$V$10005,0)=ROW()-5,N($AA3565)+1,N($AA3565)))</f>
        <v>0</v>
      </c>
    </row>
    <row r="3567" spans="1:27" ht="21" customHeight="1" x14ac:dyDescent="0.95">
      <c r="A3567" s="56"/>
      <c r="B3567" s="57"/>
      <c r="C3567" s="57"/>
      <c r="D3567" s="57"/>
      <c r="E3567" s="56"/>
      <c r="F3567" s="57"/>
      <c r="G3567" s="57"/>
      <c r="H3567" s="56"/>
      <c r="I3567" s="56"/>
      <c r="J3567" s="58"/>
      <c r="K3567" s="58"/>
      <c r="L3567" s="13" t="str">
        <f t="shared" si="550"/>
        <v/>
      </c>
      <c r="M3567" s="13" t="str">
        <f t="shared" si="551"/>
        <v/>
      </c>
      <c r="Q3567" t="str">
        <f t="shared" si="552"/>
        <v/>
      </c>
      <c r="R3567" t="str">
        <f t="shared" si="553"/>
        <v/>
      </c>
      <c r="S3567" t="str">
        <f t="shared" si="554"/>
        <v/>
      </c>
      <c r="T3567" t="str">
        <f t="shared" si="555"/>
        <v/>
      </c>
      <c r="U3567" t="str">
        <f t="shared" si="556"/>
        <v/>
      </c>
      <c r="V3567" t="str">
        <f t="shared" si="557"/>
        <v/>
      </c>
      <c r="W3567" t="str">
        <f t="shared" si="558"/>
        <v/>
      </c>
      <c r="X3567">
        <f>IF($T3567="",N($X3566),IF(MATCH($T3567,$T$6:$T$10005,0)=ROW()-5,N($X3566)+1,N($X3566)))</f>
        <v>0</v>
      </c>
      <c r="Z3567" t="str">
        <f t="shared" si="559"/>
        <v/>
      </c>
      <c r="AA3567">
        <f>IF($V3567="",N($AA3566),IF(MATCH($V3567,$V$6:$V$10005,0)=ROW()-5,N($AA3566)+1,N($AA3566)))</f>
        <v>0</v>
      </c>
    </row>
    <row r="3568" spans="1:27" ht="21" customHeight="1" x14ac:dyDescent="0.95">
      <c r="A3568" s="56"/>
      <c r="B3568" s="57"/>
      <c r="C3568" s="57"/>
      <c r="D3568" s="57"/>
      <c r="E3568" s="56"/>
      <c r="F3568" s="57"/>
      <c r="G3568" s="57"/>
      <c r="H3568" s="56"/>
      <c r="I3568" s="56"/>
      <c r="J3568" s="58"/>
      <c r="K3568" s="58"/>
      <c r="L3568" s="13" t="str">
        <f t="shared" si="550"/>
        <v/>
      </c>
      <c r="M3568" s="13" t="str">
        <f t="shared" si="551"/>
        <v/>
      </c>
      <c r="Q3568" t="str">
        <f t="shared" si="552"/>
        <v/>
      </c>
      <c r="R3568" t="str">
        <f t="shared" si="553"/>
        <v/>
      </c>
      <c r="S3568" t="str">
        <f t="shared" si="554"/>
        <v/>
      </c>
      <c r="T3568" t="str">
        <f t="shared" si="555"/>
        <v/>
      </c>
      <c r="U3568" t="str">
        <f t="shared" si="556"/>
        <v/>
      </c>
      <c r="V3568" t="str">
        <f t="shared" si="557"/>
        <v/>
      </c>
      <c r="W3568" t="str">
        <f t="shared" si="558"/>
        <v/>
      </c>
      <c r="X3568">
        <f>IF($T3568="",N($X3567),IF(MATCH($T3568,$T$6:$T$10005,0)=ROW()-5,N($X3567)+1,N($X3567)))</f>
        <v>0</v>
      </c>
      <c r="Z3568" t="str">
        <f t="shared" si="559"/>
        <v/>
      </c>
      <c r="AA3568">
        <f>IF($V3568="",N($AA3567),IF(MATCH($V3568,$V$6:$V$10005,0)=ROW()-5,N($AA3567)+1,N($AA3567)))</f>
        <v>0</v>
      </c>
    </row>
    <row r="3569" spans="1:27" ht="21" customHeight="1" x14ac:dyDescent="0.95">
      <c r="A3569" s="56"/>
      <c r="B3569" s="57"/>
      <c r="C3569" s="57"/>
      <c r="D3569" s="57"/>
      <c r="E3569" s="56"/>
      <c r="F3569" s="57"/>
      <c r="G3569" s="57"/>
      <c r="H3569" s="56"/>
      <c r="I3569" s="56"/>
      <c r="J3569" s="58"/>
      <c r="K3569" s="58"/>
      <c r="L3569" s="13" t="str">
        <f t="shared" si="550"/>
        <v/>
      </c>
      <c r="M3569" s="13" t="str">
        <f t="shared" si="551"/>
        <v/>
      </c>
      <c r="Q3569" t="str">
        <f t="shared" si="552"/>
        <v/>
      </c>
      <c r="R3569" t="str">
        <f t="shared" si="553"/>
        <v/>
      </c>
      <c r="S3569" t="str">
        <f t="shared" si="554"/>
        <v/>
      </c>
      <c r="T3569" t="str">
        <f t="shared" si="555"/>
        <v/>
      </c>
      <c r="U3569" t="str">
        <f t="shared" si="556"/>
        <v/>
      </c>
      <c r="V3569" t="str">
        <f t="shared" si="557"/>
        <v/>
      </c>
      <c r="W3569" t="str">
        <f t="shared" si="558"/>
        <v/>
      </c>
      <c r="X3569">
        <f>IF($T3569="",N($X3568),IF(MATCH($T3569,$T$6:$T$10005,0)=ROW()-5,N($X3568)+1,N($X3568)))</f>
        <v>0</v>
      </c>
      <c r="Z3569" t="str">
        <f t="shared" si="559"/>
        <v/>
      </c>
      <c r="AA3569">
        <f>IF($V3569="",N($AA3568),IF(MATCH($V3569,$V$6:$V$10005,0)=ROW()-5,N($AA3568)+1,N($AA3568)))</f>
        <v>0</v>
      </c>
    </row>
    <row r="3570" spans="1:27" ht="21" customHeight="1" x14ac:dyDescent="0.95">
      <c r="A3570" s="56"/>
      <c r="B3570" s="57"/>
      <c r="C3570" s="57"/>
      <c r="D3570" s="57"/>
      <c r="E3570" s="56"/>
      <c r="F3570" s="57"/>
      <c r="G3570" s="57"/>
      <c r="H3570" s="56"/>
      <c r="I3570" s="56"/>
      <c r="J3570" s="58"/>
      <c r="K3570" s="58"/>
      <c r="L3570" s="13" t="str">
        <f t="shared" si="550"/>
        <v/>
      </c>
      <c r="M3570" s="13" t="str">
        <f t="shared" si="551"/>
        <v/>
      </c>
      <c r="Q3570" t="str">
        <f t="shared" si="552"/>
        <v/>
      </c>
      <c r="R3570" t="str">
        <f t="shared" si="553"/>
        <v/>
      </c>
      <c r="S3570" t="str">
        <f t="shared" si="554"/>
        <v/>
      </c>
      <c r="T3570" t="str">
        <f t="shared" si="555"/>
        <v/>
      </c>
      <c r="U3570" t="str">
        <f t="shared" si="556"/>
        <v/>
      </c>
      <c r="V3570" t="str">
        <f t="shared" si="557"/>
        <v/>
      </c>
      <c r="W3570" t="str">
        <f t="shared" si="558"/>
        <v/>
      </c>
      <c r="X3570">
        <f>IF($T3570="",N($X3569),IF(MATCH($T3570,$T$6:$T$10005,0)=ROW()-5,N($X3569)+1,N($X3569)))</f>
        <v>0</v>
      </c>
      <c r="Z3570" t="str">
        <f t="shared" si="559"/>
        <v/>
      </c>
      <c r="AA3570">
        <f>IF($V3570="",N($AA3569),IF(MATCH($V3570,$V$6:$V$10005,0)=ROW()-5,N($AA3569)+1,N($AA3569)))</f>
        <v>0</v>
      </c>
    </row>
    <row r="3571" spans="1:27" ht="21" customHeight="1" x14ac:dyDescent="0.95">
      <c r="A3571" s="56"/>
      <c r="B3571" s="57"/>
      <c r="C3571" s="57"/>
      <c r="D3571" s="57"/>
      <c r="E3571" s="56"/>
      <c r="F3571" s="57"/>
      <c r="G3571" s="57"/>
      <c r="H3571" s="56"/>
      <c r="I3571" s="56"/>
      <c r="J3571" s="58"/>
      <c r="K3571" s="58"/>
      <c r="L3571" s="13" t="str">
        <f t="shared" si="550"/>
        <v/>
      </c>
      <c r="M3571" s="13" t="str">
        <f t="shared" si="551"/>
        <v/>
      </c>
      <c r="Q3571" t="str">
        <f t="shared" si="552"/>
        <v/>
      </c>
      <c r="R3571" t="str">
        <f t="shared" si="553"/>
        <v/>
      </c>
      <c r="S3571" t="str">
        <f t="shared" si="554"/>
        <v/>
      </c>
      <c r="T3571" t="str">
        <f t="shared" si="555"/>
        <v/>
      </c>
      <c r="U3571" t="str">
        <f t="shared" si="556"/>
        <v/>
      </c>
      <c r="V3571" t="str">
        <f t="shared" si="557"/>
        <v/>
      </c>
      <c r="W3571" t="str">
        <f t="shared" si="558"/>
        <v/>
      </c>
      <c r="X3571">
        <f>IF($T3571="",N($X3570),IF(MATCH($T3571,$T$6:$T$10005,0)=ROW()-5,N($X3570)+1,N($X3570)))</f>
        <v>0</v>
      </c>
      <c r="Z3571" t="str">
        <f t="shared" si="559"/>
        <v/>
      </c>
      <c r="AA3571">
        <f>IF($V3571="",N($AA3570),IF(MATCH($V3571,$V$6:$V$10005,0)=ROW()-5,N($AA3570)+1,N($AA3570)))</f>
        <v>0</v>
      </c>
    </row>
    <row r="3572" spans="1:27" ht="21" customHeight="1" x14ac:dyDescent="0.95">
      <c r="A3572" s="56"/>
      <c r="B3572" s="57"/>
      <c r="C3572" s="57"/>
      <c r="D3572" s="57"/>
      <c r="E3572" s="56"/>
      <c r="F3572" s="57"/>
      <c r="G3572" s="57"/>
      <c r="H3572" s="56"/>
      <c r="I3572" s="56"/>
      <c r="J3572" s="58"/>
      <c r="K3572" s="58"/>
      <c r="L3572" s="13" t="str">
        <f t="shared" si="550"/>
        <v/>
      </c>
      <c r="M3572" s="13" t="str">
        <f t="shared" si="551"/>
        <v/>
      </c>
      <c r="Q3572" t="str">
        <f t="shared" si="552"/>
        <v/>
      </c>
      <c r="R3572" t="str">
        <f t="shared" si="553"/>
        <v/>
      </c>
      <c r="S3572" t="str">
        <f t="shared" si="554"/>
        <v/>
      </c>
      <c r="T3572" t="str">
        <f t="shared" si="555"/>
        <v/>
      </c>
      <c r="U3572" t="str">
        <f t="shared" si="556"/>
        <v/>
      </c>
      <c r="V3572" t="str">
        <f t="shared" si="557"/>
        <v/>
      </c>
      <c r="W3572" t="str">
        <f t="shared" si="558"/>
        <v/>
      </c>
      <c r="X3572">
        <f>IF($T3572="",N($X3571),IF(MATCH($T3572,$T$6:$T$10005,0)=ROW()-5,N($X3571)+1,N($X3571)))</f>
        <v>0</v>
      </c>
      <c r="Z3572" t="str">
        <f t="shared" si="559"/>
        <v/>
      </c>
      <c r="AA3572">
        <f>IF($V3572="",N($AA3571),IF(MATCH($V3572,$V$6:$V$10005,0)=ROW()-5,N($AA3571)+1,N($AA3571)))</f>
        <v>0</v>
      </c>
    </row>
    <row r="3573" spans="1:27" ht="21" customHeight="1" x14ac:dyDescent="0.95">
      <c r="A3573" s="56"/>
      <c r="B3573" s="57"/>
      <c r="C3573" s="57"/>
      <c r="D3573" s="57"/>
      <c r="E3573" s="56"/>
      <c r="F3573" s="57"/>
      <c r="G3573" s="57"/>
      <c r="H3573" s="56"/>
      <c r="I3573" s="56"/>
      <c r="J3573" s="58"/>
      <c r="K3573" s="58"/>
      <c r="L3573" s="13" t="str">
        <f t="shared" si="550"/>
        <v/>
      </c>
      <c r="M3573" s="13" t="str">
        <f t="shared" si="551"/>
        <v/>
      </c>
      <c r="Q3573" t="str">
        <f t="shared" si="552"/>
        <v/>
      </c>
      <c r="R3573" t="str">
        <f t="shared" si="553"/>
        <v/>
      </c>
      <c r="S3573" t="str">
        <f t="shared" si="554"/>
        <v/>
      </c>
      <c r="T3573" t="str">
        <f t="shared" si="555"/>
        <v/>
      </c>
      <c r="U3573" t="str">
        <f t="shared" si="556"/>
        <v/>
      </c>
      <c r="V3573" t="str">
        <f t="shared" si="557"/>
        <v/>
      </c>
      <c r="W3573" t="str">
        <f t="shared" si="558"/>
        <v/>
      </c>
      <c r="X3573">
        <f>IF($T3573="",N($X3572),IF(MATCH($T3573,$T$6:$T$10005,0)=ROW()-5,N($X3572)+1,N($X3572)))</f>
        <v>0</v>
      </c>
      <c r="Z3573" t="str">
        <f t="shared" si="559"/>
        <v/>
      </c>
      <c r="AA3573">
        <f>IF($V3573="",N($AA3572),IF(MATCH($V3573,$V$6:$V$10005,0)=ROW()-5,N($AA3572)+1,N($AA3572)))</f>
        <v>0</v>
      </c>
    </row>
    <row r="3574" spans="1:27" ht="21" customHeight="1" x14ac:dyDescent="0.95">
      <c r="A3574" s="56"/>
      <c r="B3574" s="57"/>
      <c r="C3574" s="57"/>
      <c r="D3574" s="57"/>
      <c r="E3574" s="56"/>
      <c r="F3574" s="57"/>
      <c r="G3574" s="57"/>
      <c r="H3574" s="56"/>
      <c r="I3574" s="56"/>
      <c r="J3574" s="58"/>
      <c r="K3574" s="58"/>
      <c r="L3574" s="13" t="str">
        <f t="shared" si="550"/>
        <v/>
      </c>
      <c r="M3574" s="13" t="str">
        <f t="shared" si="551"/>
        <v/>
      </c>
      <c r="Q3574" t="str">
        <f t="shared" si="552"/>
        <v/>
      </c>
      <c r="R3574" t="str">
        <f t="shared" si="553"/>
        <v/>
      </c>
      <c r="S3574" t="str">
        <f t="shared" si="554"/>
        <v/>
      </c>
      <c r="T3574" t="str">
        <f t="shared" si="555"/>
        <v/>
      </c>
      <c r="U3574" t="str">
        <f t="shared" si="556"/>
        <v/>
      </c>
      <c r="V3574" t="str">
        <f t="shared" si="557"/>
        <v/>
      </c>
      <c r="W3574" t="str">
        <f t="shared" si="558"/>
        <v/>
      </c>
      <c r="X3574">
        <f>IF($T3574="",N($X3573),IF(MATCH($T3574,$T$6:$T$10005,0)=ROW()-5,N($X3573)+1,N($X3573)))</f>
        <v>0</v>
      </c>
      <c r="Z3574" t="str">
        <f t="shared" si="559"/>
        <v/>
      </c>
      <c r="AA3574">
        <f>IF($V3574="",N($AA3573),IF(MATCH($V3574,$V$6:$V$10005,0)=ROW()-5,N($AA3573)+1,N($AA3573)))</f>
        <v>0</v>
      </c>
    </row>
    <row r="3575" spans="1:27" ht="21" customHeight="1" x14ac:dyDescent="0.95">
      <c r="A3575" s="56"/>
      <c r="B3575" s="57"/>
      <c r="C3575" s="57"/>
      <c r="D3575" s="57"/>
      <c r="E3575" s="56"/>
      <c r="F3575" s="57"/>
      <c r="G3575" s="57"/>
      <c r="H3575" s="56"/>
      <c r="I3575" s="56"/>
      <c r="J3575" s="58"/>
      <c r="K3575" s="58"/>
      <c r="L3575" s="13" t="str">
        <f t="shared" si="550"/>
        <v/>
      </c>
      <c r="M3575" s="13" t="str">
        <f t="shared" si="551"/>
        <v/>
      </c>
      <c r="Q3575" t="str">
        <f t="shared" si="552"/>
        <v/>
      </c>
      <c r="R3575" t="str">
        <f t="shared" si="553"/>
        <v/>
      </c>
      <c r="S3575" t="str">
        <f t="shared" si="554"/>
        <v/>
      </c>
      <c r="T3575" t="str">
        <f t="shared" si="555"/>
        <v/>
      </c>
      <c r="U3575" t="str">
        <f t="shared" si="556"/>
        <v/>
      </c>
      <c r="V3575" t="str">
        <f t="shared" si="557"/>
        <v/>
      </c>
      <c r="W3575" t="str">
        <f t="shared" si="558"/>
        <v/>
      </c>
      <c r="X3575">
        <f>IF($T3575="",N($X3574),IF(MATCH($T3575,$T$6:$T$10005,0)=ROW()-5,N($X3574)+1,N($X3574)))</f>
        <v>0</v>
      </c>
      <c r="Z3575" t="str">
        <f t="shared" si="559"/>
        <v/>
      </c>
      <c r="AA3575">
        <f>IF($V3575="",N($AA3574),IF(MATCH($V3575,$V$6:$V$10005,0)=ROW()-5,N($AA3574)+1,N($AA3574)))</f>
        <v>0</v>
      </c>
    </row>
    <row r="3576" spans="1:27" ht="21" customHeight="1" x14ac:dyDescent="0.95">
      <c r="A3576" s="56"/>
      <c r="B3576" s="57"/>
      <c r="C3576" s="57"/>
      <c r="D3576" s="57"/>
      <c r="E3576" s="56"/>
      <c r="F3576" s="57"/>
      <c r="G3576" s="57"/>
      <c r="H3576" s="56"/>
      <c r="I3576" s="56"/>
      <c r="J3576" s="58"/>
      <c r="K3576" s="58"/>
      <c r="L3576" s="13" t="str">
        <f t="shared" si="550"/>
        <v/>
      </c>
      <c r="M3576" s="13" t="str">
        <f t="shared" si="551"/>
        <v/>
      </c>
      <c r="Q3576" t="str">
        <f t="shared" si="552"/>
        <v/>
      </c>
      <c r="R3576" t="str">
        <f t="shared" si="553"/>
        <v/>
      </c>
      <c r="S3576" t="str">
        <f t="shared" si="554"/>
        <v/>
      </c>
      <c r="T3576" t="str">
        <f t="shared" si="555"/>
        <v/>
      </c>
      <c r="U3576" t="str">
        <f t="shared" si="556"/>
        <v/>
      </c>
      <c r="V3576" t="str">
        <f t="shared" si="557"/>
        <v/>
      </c>
      <c r="W3576" t="str">
        <f t="shared" si="558"/>
        <v/>
      </c>
      <c r="X3576">
        <f>IF($T3576="",N($X3575),IF(MATCH($T3576,$T$6:$T$10005,0)=ROW()-5,N($X3575)+1,N($X3575)))</f>
        <v>0</v>
      </c>
      <c r="Z3576" t="str">
        <f t="shared" si="559"/>
        <v/>
      </c>
      <c r="AA3576">
        <f>IF($V3576="",N($AA3575),IF(MATCH($V3576,$V$6:$V$10005,0)=ROW()-5,N($AA3575)+1,N($AA3575)))</f>
        <v>0</v>
      </c>
    </row>
    <row r="3577" spans="1:27" ht="21" customHeight="1" x14ac:dyDescent="0.95">
      <c r="A3577" s="56"/>
      <c r="B3577" s="57"/>
      <c r="C3577" s="57"/>
      <c r="D3577" s="57"/>
      <c r="E3577" s="56"/>
      <c r="F3577" s="57"/>
      <c r="G3577" s="57"/>
      <c r="H3577" s="56"/>
      <c r="I3577" s="56"/>
      <c r="J3577" s="58"/>
      <c r="K3577" s="58"/>
      <c r="L3577" s="13" t="str">
        <f t="shared" si="550"/>
        <v/>
      </c>
      <c r="M3577" s="13" t="str">
        <f t="shared" si="551"/>
        <v/>
      </c>
      <c r="Q3577" t="str">
        <f t="shared" si="552"/>
        <v/>
      </c>
      <c r="R3577" t="str">
        <f t="shared" si="553"/>
        <v/>
      </c>
      <c r="S3577" t="str">
        <f t="shared" si="554"/>
        <v/>
      </c>
      <c r="T3577" t="str">
        <f t="shared" si="555"/>
        <v/>
      </c>
      <c r="U3577" t="str">
        <f t="shared" si="556"/>
        <v/>
      </c>
      <c r="V3577" t="str">
        <f t="shared" si="557"/>
        <v/>
      </c>
      <c r="W3577" t="str">
        <f t="shared" si="558"/>
        <v/>
      </c>
      <c r="X3577">
        <f>IF($T3577="",N($X3576),IF(MATCH($T3577,$T$6:$T$10005,0)=ROW()-5,N($X3576)+1,N($X3576)))</f>
        <v>0</v>
      </c>
      <c r="Z3577" t="str">
        <f t="shared" si="559"/>
        <v/>
      </c>
      <c r="AA3577">
        <f>IF($V3577="",N($AA3576),IF(MATCH($V3577,$V$6:$V$10005,0)=ROW()-5,N($AA3576)+1,N($AA3576)))</f>
        <v>0</v>
      </c>
    </row>
    <row r="3578" spans="1:27" ht="21" customHeight="1" x14ac:dyDescent="0.95">
      <c r="A3578" s="56"/>
      <c r="B3578" s="57"/>
      <c r="C3578" s="57"/>
      <c r="D3578" s="57"/>
      <c r="E3578" s="56"/>
      <c r="F3578" s="57"/>
      <c r="G3578" s="57"/>
      <c r="H3578" s="56"/>
      <c r="I3578" s="56"/>
      <c r="J3578" s="58"/>
      <c r="K3578" s="58"/>
      <c r="L3578" s="13" t="str">
        <f t="shared" si="550"/>
        <v/>
      </c>
      <c r="M3578" s="13" t="str">
        <f t="shared" si="551"/>
        <v/>
      </c>
      <c r="Q3578" t="str">
        <f t="shared" si="552"/>
        <v/>
      </c>
      <c r="R3578" t="str">
        <f t="shared" si="553"/>
        <v/>
      </c>
      <c r="S3578" t="str">
        <f t="shared" si="554"/>
        <v/>
      </c>
      <c r="T3578" t="str">
        <f t="shared" si="555"/>
        <v/>
      </c>
      <c r="U3578" t="str">
        <f t="shared" si="556"/>
        <v/>
      </c>
      <c r="V3578" t="str">
        <f t="shared" si="557"/>
        <v/>
      </c>
      <c r="W3578" t="str">
        <f t="shared" si="558"/>
        <v/>
      </c>
      <c r="X3578">
        <f>IF($T3578="",N($X3577),IF(MATCH($T3578,$T$6:$T$10005,0)=ROW()-5,N($X3577)+1,N($X3577)))</f>
        <v>0</v>
      </c>
      <c r="Z3578" t="str">
        <f t="shared" si="559"/>
        <v/>
      </c>
      <c r="AA3578">
        <f>IF($V3578="",N($AA3577),IF(MATCH($V3578,$V$6:$V$10005,0)=ROW()-5,N($AA3577)+1,N($AA3577)))</f>
        <v>0</v>
      </c>
    </row>
    <row r="3579" spans="1:27" ht="21" customHeight="1" x14ac:dyDescent="0.95">
      <c r="A3579" s="56"/>
      <c r="B3579" s="57"/>
      <c r="C3579" s="57"/>
      <c r="D3579" s="57"/>
      <c r="E3579" s="56"/>
      <c r="F3579" s="57"/>
      <c r="G3579" s="57"/>
      <c r="H3579" s="56"/>
      <c r="I3579" s="56"/>
      <c r="J3579" s="58"/>
      <c r="K3579" s="58"/>
      <c r="L3579" s="13" t="str">
        <f t="shared" si="550"/>
        <v/>
      </c>
      <c r="M3579" s="13" t="str">
        <f t="shared" si="551"/>
        <v/>
      </c>
      <c r="Q3579" t="str">
        <f t="shared" si="552"/>
        <v/>
      </c>
      <c r="R3579" t="str">
        <f t="shared" si="553"/>
        <v/>
      </c>
      <c r="S3579" t="str">
        <f t="shared" si="554"/>
        <v/>
      </c>
      <c r="T3579" t="str">
        <f t="shared" si="555"/>
        <v/>
      </c>
      <c r="U3579" t="str">
        <f t="shared" si="556"/>
        <v/>
      </c>
      <c r="V3579" t="str">
        <f t="shared" si="557"/>
        <v/>
      </c>
      <c r="W3579" t="str">
        <f t="shared" si="558"/>
        <v/>
      </c>
      <c r="X3579">
        <f>IF($T3579="",N($X3578),IF(MATCH($T3579,$T$6:$T$10005,0)=ROW()-5,N($X3578)+1,N($X3578)))</f>
        <v>0</v>
      </c>
      <c r="Z3579" t="str">
        <f t="shared" si="559"/>
        <v/>
      </c>
      <c r="AA3579">
        <f>IF($V3579="",N($AA3578),IF(MATCH($V3579,$V$6:$V$10005,0)=ROW()-5,N($AA3578)+1,N($AA3578)))</f>
        <v>0</v>
      </c>
    </row>
    <row r="3580" spans="1:27" ht="21" customHeight="1" x14ac:dyDescent="0.95">
      <c r="A3580" s="56"/>
      <c r="B3580" s="57"/>
      <c r="C3580" s="57"/>
      <c r="D3580" s="57"/>
      <c r="E3580" s="56"/>
      <c r="F3580" s="57"/>
      <c r="G3580" s="57"/>
      <c r="H3580" s="56"/>
      <c r="I3580" s="56"/>
      <c r="J3580" s="58"/>
      <c r="K3580" s="58"/>
      <c r="L3580" s="13" t="str">
        <f t="shared" si="550"/>
        <v/>
      </c>
      <c r="M3580" s="13" t="str">
        <f t="shared" si="551"/>
        <v/>
      </c>
      <c r="Q3580" t="str">
        <f t="shared" si="552"/>
        <v/>
      </c>
      <c r="R3580" t="str">
        <f t="shared" si="553"/>
        <v/>
      </c>
      <c r="S3580" t="str">
        <f t="shared" si="554"/>
        <v/>
      </c>
      <c r="T3580" t="str">
        <f t="shared" si="555"/>
        <v/>
      </c>
      <c r="U3580" t="str">
        <f t="shared" si="556"/>
        <v/>
      </c>
      <c r="V3580" t="str">
        <f t="shared" si="557"/>
        <v/>
      </c>
      <c r="W3580" t="str">
        <f t="shared" si="558"/>
        <v/>
      </c>
      <c r="X3580">
        <f>IF($T3580="",N($X3579),IF(MATCH($T3580,$T$6:$T$10005,0)=ROW()-5,N($X3579)+1,N($X3579)))</f>
        <v>0</v>
      </c>
      <c r="Z3580" t="str">
        <f t="shared" si="559"/>
        <v/>
      </c>
      <c r="AA3580">
        <f>IF($V3580="",N($AA3579),IF(MATCH($V3580,$V$6:$V$10005,0)=ROW()-5,N($AA3579)+1,N($AA3579)))</f>
        <v>0</v>
      </c>
    </row>
    <row r="3581" spans="1:27" ht="21" customHeight="1" x14ac:dyDescent="0.95">
      <c r="A3581" s="56"/>
      <c r="B3581" s="57"/>
      <c r="C3581" s="57"/>
      <c r="D3581" s="57"/>
      <c r="E3581" s="56"/>
      <c r="F3581" s="57"/>
      <c r="G3581" s="57"/>
      <c r="H3581" s="56"/>
      <c r="I3581" s="56"/>
      <c r="J3581" s="58"/>
      <c r="K3581" s="58"/>
      <c r="L3581" s="13" t="str">
        <f t="shared" si="550"/>
        <v/>
      </c>
      <c r="M3581" s="13" t="str">
        <f t="shared" si="551"/>
        <v/>
      </c>
      <c r="Q3581" t="str">
        <f t="shared" si="552"/>
        <v/>
      </c>
      <c r="R3581" t="str">
        <f t="shared" si="553"/>
        <v/>
      </c>
      <c r="S3581" t="str">
        <f t="shared" si="554"/>
        <v/>
      </c>
      <c r="T3581" t="str">
        <f t="shared" si="555"/>
        <v/>
      </c>
      <c r="U3581" t="str">
        <f t="shared" si="556"/>
        <v/>
      </c>
      <c r="V3581" t="str">
        <f t="shared" si="557"/>
        <v/>
      </c>
      <c r="W3581" t="str">
        <f t="shared" si="558"/>
        <v/>
      </c>
      <c r="X3581">
        <f>IF($T3581="",N($X3580),IF(MATCH($T3581,$T$6:$T$10005,0)=ROW()-5,N($X3580)+1,N($X3580)))</f>
        <v>0</v>
      </c>
      <c r="Z3581" t="str">
        <f t="shared" si="559"/>
        <v/>
      </c>
      <c r="AA3581">
        <f>IF($V3581="",N($AA3580),IF(MATCH($V3581,$V$6:$V$10005,0)=ROW()-5,N($AA3580)+1,N($AA3580)))</f>
        <v>0</v>
      </c>
    </row>
    <row r="3582" spans="1:27" ht="21" customHeight="1" x14ac:dyDescent="0.95">
      <c r="A3582" s="56"/>
      <c r="B3582" s="57"/>
      <c r="C3582" s="57"/>
      <c r="D3582" s="57"/>
      <c r="E3582" s="56"/>
      <c r="F3582" s="57"/>
      <c r="G3582" s="57"/>
      <c r="H3582" s="56"/>
      <c r="I3582" s="56"/>
      <c r="J3582" s="58"/>
      <c r="K3582" s="58"/>
      <c r="L3582" s="13" t="str">
        <f t="shared" si="550"/>
        <v/>
      </c>
      <c r="M3582" s="13" t="str">
        <f t="shared" si="551"/>
        <v/>
      </c>
      <c r="Q3582" t="str">
        <f t="shared" si="552"/>
        <v/>
      </c>
      <c r="R3582" t="str">
        <f t="shared" si="553"/>
        <v/>
      </c>
      <c r="S3582" t="str">
        <f t="shared" si="554"/>
        <v/>
      </c>
      <c r="T3582" t="str">
        <f t="shared" si="555"/>
        <v/>
      </c>
      <c r="U3582" t="str">
        <f t="shared" si="556"/>
        <v/>
      </c>
      <c r="V3582" t="str">
        <f t="shared" si="557"/>
        <v/>
      </c>
      <c r="W3582" t="str">
        <f t="shared" si="558"/>
        <v/>
      </c>
      <c r="X3582">
        <f>IF($T3582="",N($X3581),IF(MATCH($T3582,$T$6:$T$10005,0)=ROW()-5,N($X3581)+1,N($X3581)))</f>
        <v>0</v>
      </c>
      <c r="Z3582" t="str">
        <f t="shared" si="559"/>
        <v/>
      </c>
      <c r="AA3582">
        <f>IF($V3582="",N($AA3581),IF(MATCH($V3582,$V$6:$V$10005,0)=ROW()-5,N($AA3581)+1,N($AA3581)))</f>
        <v>0</v>
      </c>
    </row>
    <row r="3583" spans="1:27" ht="21" customHeight="1" x14ac:dyDescent="0.95">
      <c r="A3583" s="56"/>
      <c r="B3583" s="57"/>
      <c r="C3583" s="57"/>
      <c r="D3583" s="57"/>
      <c r="E3583" s="56"/>
      <c r="F3583" s="57"/>
      <c r="G3583" s="57"/>
      <c r="H3583" s="56"/>
      <c r="I3583" s="56"/>
      <c r="J3583" s="58"/>
      <c r="K3583" s="58"/>
      <c r="L3583" s="13" t="str">
        <f t="shared" si="550"/>
        <v/>
      </c>
      <c r="M3583" s="13" t="str">
        <f t="shared" si="551"/>
        <v/>
      </c>
      <c r="Q3583" t="str">
        <f t="shared" si="552"/>
        <v/>
      </c>
      <c r="R3583" t="str">
        <f t="shared" si="553"/>
        <v/>
      </c>
      <c r="S3583" t="str">
        <f t="shared" si="554"/>
        <v/>
      </c>
      <c r="T3583" t="str">
        <f t="shared" si="555"/>
        <v/>
      </c>
      <c r="U3583" t="str">
        <f t="shared" si="556"/>
        <v/>
      </c>
      <c r="V3583" t="str">
        <f t="shared" si="557"/>
        <v/>
      </c>
      <c r="W3583" t="str">
        <f t="shared" si="558"/>
        <v/>
      </c>
      <c r="X3583">
        <f>IF($T3583="",N($X3582),IF(MATCH($T3583,$T$6:$T$10005,0)=ROW()-5,N($X3582)+1,N($X3582)))</f>
        <v>0</v>
      </c>
      <c r="Z3583" t="str">
        <f t="shared" si="559"/>
        <v/>
      </c>
      <c r="AA3583">
        <f>IF($V3583="",N($AA3582),IF(MATCH($V3583,$V$6:$V$10005,0)=ROW()-5,N($AA3582)+1,N($AA3582)))</f>
        <v>0</v>
      </c>
    </row>
    <row r="3584" spans="1:27" ht="21" customHeight="1" x14ac:dyDescent="0.95">
      <c r="A3584" s="56"/>
      <c r="B3584" s="57"/>
      <c r="C3584" s="57"/>
      <c r="D3584" s="57"/>
      <c r="E3584" s="56"/>
      <c r="F3584" s="57"/>
      <c r="G3584" s="57"/>
      <c r="H3584" s="56"/>
      <c r="I3584" s="56"/>
      <c r="J3584" s="58"/>
      <c r="K3584" s="58"/>
      <c r="L3584" s="13" t="str">
        <f t="shared" si="550"/>
        <v/>
      </c>
      <c r="M3584" s="13" t="str">
        <f t="shared" si="551"/>
        <v/>
      </c>
      <c r="Q3584" t="str">
        <f t="shared" si="552"/>
        <v/>
      </c>
      <c r="R3584" t="str">
        <f t="shared" si="553"/>
        <v/>
      </c>
      <c r="S3584" t="str">
        <f t="shared" si="554"/>
        <v/>
      </c>
      <c r="T3584" t="str">
        <f t="shared" si="555"/>
        <v/>
      </c>
      <c r="U3584" t="str">
        <f t="shared" si="556"/>
        <v/>
      </c>
      <c r="V3584" t="str">
        <f t="shared" si="557"/>
        <v/>
      </c>
      <c r="W3584" t="str">
        <f t="shared" si="558"/>
        <v/>
      </c>
      <c r="X3584">
        <f>IF($T3584="",N($X3583),IF(MATCH($T3584,$T$6:$T$10005,0)=ROW()-5,N($X3583)+1,N($X3583)))</f>
        <v>0</v>
      </c>
      <c r="Z3584" t="str">
        <f t="shared" si="559"/>
        <v/>
      </c>
      <c r="AA3584">
        <f>IF($V3584="",N($AA3583),IF(MATCH($V3584,$V$6:$V$10005,0)=ROW()-5,N($AA3583)+1,N($AA3583)))</f>
        <v>0</v>
      </c>
    </row>
    <row r="3585" spans="1:27" ht="21" customHeight="1" x14ac:dyDescent="0.95">
      <c r="A3585" s="56"/>
      <c r="B3585" s="57"/>
      <c r="C3585" s="57"/>
      <c r="D3585" s="57"/>
      <c r="E3585" s="56"/>
      <c r="F3585" s="57"/>
      <c r="G3585" s="57"/>
      <c r="H3585" s="56"/>
      <c r="I3585" s="56"/>
      <c r="J3585" s="58"/>
      <c r="K3585" s="58"/>
      <c r="L3585" s="13" t="str">
        <f t="shared" si="550"/>
        <v/>
      </c>
      <c r="M3585" s="13" t="str">
        <f t="shared" si="551"/>
        <v/>
      </c>
      <c r="Q3585" t="str">
        <f t="shared" si="552"/>
        <v/>
      </c>
      <c r="R3585" t="str">
        <f t="shared" si="553"/>
        <v/>
      </c>
      <c r="S3585" t="str">
        <f t="shared" si="554"/>
        <v/>
      </c>
      <c r="T3585" t="str">
        <f t="shared" si="555"/>
        <v/>
      </c>
      <c r="U3585" t="str">
        <f t="shared" si="556"/>
        <v/>
      </c>
      <c r="V3585" t="str">
        <f t="shared" si="557"/>
        <v/>
      </c>
      <c r="W3585" t="str">
        <f t="shared" si="558"/>
        <v/>
      </c>
      <c r="X3585">
        <f>IF($T3585="",N($X3584),IF(MATCH($T3585,$T$6:$T$10005,0)=ROW()-5,N($X3584)+1,N($X3584)))</f>
        <v>0</v>
      </c>
      <c r="Z3585" t="str">
        <f t="shared" si="559"/>
        <v/>
      </c>
      <c r="AA3585">
        <f>IF($V3585="",N($AA3584),IF(MATCH($V3585,$V$6:$V$10005,0)=ROW()-5,N($AA3584)+1,N($AA3584)))</f>
        <v>0</v>
      </c>
    </row>
    <row r="3586" spans="1:27" ht="21" customHeight="1" x14ac:dyDescent="0.95">
      <c r="A3586" s="56"/>
      <c r="B3586" s="57"/>
      <c r="C3586" s="57"/>
      <c r="D3586" s="57"/>
      <c r="E3586" s="56"/>
      <c r="F3586" s="57"/>
      <c r="G3586" s="57"/>
      <c r="H3586" s="56"/>
      <c r="I3586" s="56"/>
      <c r="J3586" s="58"/>
      <c r="K3586" s="58"/>
      <c r="L3586" s="13" t="str">
        <f t="shared" si="550"/>
        <v/>
      </c>
      <c r="M3586" s="13" t="str">
        <f t="shared" si="551"/>
        <v/>
      </c>
      <c r="Q3586" t="str">
        <f t="shared" si="552"/>
        <v/>
      </c>
      <c r="R3586" t="str">
        <f t="shared" si="553"/>
        <v/>
      </c>
      <c r="S3586" t="str">
        <f t="shared" si="554"/>
        <v/>
      </c>
      <c r="T3586" t="str">
        <f t="shared" si="555"/>
        <v/>
      </c>
      <c r="U3586" t="str">
        <f t="shared" si="556"/>
        <v/>
      </c>
      <c r="V3586" t="str">
        <f t="shared" si="557"/>
        <v/>
      </c>
      <c r="W3586" t="str">
        <f t="shared" si="558"/>
        <v/>
      </c>
      <c r="X3586">
        <f>IF($T3586="",N($X3585),IF(MATCH($T3586,$T$6:$T$10005,0)=ROW()-5,N($X3585)+1,N($X3585)))</f>
        <v>0</v>
      </c>
      <c r="Z3586" t="str">
        <f t="shared" si="559"/>
        <v/>
      </c>
      <c r="AA3586">
        <f>IF($V3586="",N($AA3585),IF(MATCH($V3586,$V$6:$V$10005,0)=ROW()-5,N($AA3585)+1,N($AA3585)))</f>
        <v>0</v>
      </c>
    </row>
    <row r="3587" spans="1:27" ht="21" customHeight="1" x14ac:dyDescent="0.95">
      <c r="A3587" s="56"/>
      <c r="B3587" s="57"/>
      <c r="C3587" s="57"/>
      <c r="D3587" s="57"/>
      <c r="E3587" s="56"/>
      <c r="F3587" s="57"/>
      <c r="G3587" s="57"/>
      <c r="H3587" s="56"/>
      <c r="I3587" s="56"/>
      <c r="J3587" s="58"/>
      <c r="K3587" s="58"/>
      <c r="L3587" s="13" t="str">
        <f t="shared" si="550"/>
        <v/>
      </c>
      <c r="M3587" s="13" t="str">
        <f t="shared" si="551"/>
        <v/>
      </c>
      <c r="Q3587" t="str">
        <f t="shared" si="552"/>
        <v/>
      </c>
      <c r="R3587" t="str">
        <f t="shared" si="553"/>
        <v/>
      </c>
      <c r="S3587" t="str">
        <f t="shared" si="554"/>
        <v/>
      </c>
      <c r="T3587" t="str">
        <f t="shared" si="555"/>
        <v/>
      </c>
      <c r="U3587" t="str">
        <f t="shared" si="556"/>
        <v/>
      </c>
      <c r="V3587" t="str">
        <f t="shared" si="557"/>
        <v/>
      </c>
      <c r="W3587" t="str">
        <f t="shared" si="558"/>
        <v/>
      </c>
      <c r="X3587">
        <f>IF($T3587="",N($X3586),IF(MATCH($T3587,$T$6:$T$10005,0)=ROW()-5,N($X3586)+1,N($X3586)))</f>
        <v>0</v>
      </c>
      <c r="Z3587" t="str">
        <f t="shared" si="559"/>
        <v/>
      </c>
      <c r="AA3587">
        <f>IF($V3587="",N($AA3586),IF(MATCH($V3587,$V$6:$V$10005,0)=ROW()-5,N($AA3586)+1,N($AA3586)))</f>
        <v>0</v>
      </c>
    </row>
    <row r="3588" spans="1:27" ht="21" customHeight="1" x14ac:dyDescent="0.95">
      <c r="A3588" s="56"/>
      <c r="B3588" s="57"/>
      <c r="C3588" s="57"/>
      <c r="D3588" s="57"/>
      <c r="E3588" s="56"/>
      <c r="F3588" s="57"/>
      <c r="G3588" s="57"/>
      <c r="H3588" s="56"/>
      <c r="I3588" s="56"/>
      <c r="J3588" s="58"/>
      <c r="K3588" s="58"/>
      <c r="L3588" s="13" t="str">
        <f t="shared" si="550"/>
        <v/>
      </c>
      <c r="M3588" s="13" t="str">
        <f t="shared" si="551"/>
        <v/>
      </c>
      <c r="Q3588" t="str">
        <f t="shared" si="552"/>
        <v/>
      </c>
      <c r="R3588" t="str">
        <f t="shared" si="553"/>
        <v/>
      </c>
      <c r="S3588" t="str">
        <f t="shared" si="554"/>
        <v/>
      </c>
      <c r="T3588" t="str">
        <f t="shared" si="555"/>
        <v/>
      </c>
      <c r="U3588" t="str">
        <f t="shared" si="556"/>
        <v/>
      </c>
      <c r="V3588" t="str">
        <f t="shared" si="557"/>
        <v/>
      </c>
      <c r="W3588" t="str">
        <f t="shared" si="558"/>
        <v/>
      </c>
      <c r="X3588">
        <f>IF($T3588="",N($X3587),IF(MATCH($T3588,$T$6:$T$10005,0)=ROW()-5,N($X3587)+1,N($X3587)))</f>
        <v>0</v>
      </c>
      <c r="Z3588" t="str">
        <f t="shared" si="559"/>
        <v/>
      </c>
      <c r="AA3588">
        <f>IF($V3588="",N($AA3587),IF(MATCH($V3588,$V$6:$V$10005,0)=ROW()-5,N($AA3587)+1,N($AA3587)))</f>
        <v>0</v>
      </c>
    </row>
    <row r="3589" spans="1:27" ht="21" customHeight="1" x14ac:dyDescent="0.95">
      <c r="A3589" s="56"/>
      <c r="B3589" s="57"/>
      <c r="C3589" s="57"/>
      <c r="D3589" s="57"/>
      <c r="E3589" s="56"/>
      <c r="F3589" s="57"/>
      <c r="G3589" s="57"/>
      <c r="H3589" s="56"/>
      <c r="I3589" s="56"/>
      <c r="J3589" s="58"/>
      <c r="K3589" s="58"/>
      <c r="L3589" s="13" t="str">
        <f t="shared" si="550"/>
        <v/>
      </c>
      <c r="M3589" s="13" t="str">
        <f t="shared" si="551"/>
        <v/>
      </c>
      <c r="Q3589" t="str">
        <f t="shared" si="552"/>
        <v/>
      </c>
      <c r="R3589" t="str">
        <f t="shared" si="553"/>
        <v/>
      </c>
      <c r="S3589" t="str">
        <f t="shared" si="554"/>
        <v/>
      </c>
      <c r="T3589" t="str">
        <f t="shared" si="555"/>
        <v/>
      </c>
      <c r="U3589" t="str">
        <f t="shared" si="556"/>
        <v/>
      </c>
      <c r="V3589" t="str">
        <f t="shared" si="557"/>
        <v/>
      </c>
      <c r="W3589" t="str">
        <f t="shared" si="558"/>
        <v/>
      </c>
      <c r="X3589">
        <f>IF($T3589="",N($X3588),IF(MATCH($T3589,$T$6:$T$10005,0)=ROW()-5,N($X3588)+1,N($X3588)))</f>
        <v>0</v>
      </c>
      <c r="Z3589" t="str">
        <f t="shared" si="559"/>
        <v/>
      </c>
      <c r="AA3589">
        <f>IF($V3589="",N($AA3588),IF(MATCH($V3589,$V$6:$V$10005,0)=ROW()-5,N($AA3588)+1,N($AA3588)))</f>
        <v>0</v>
      </c>
    </row>
    <row r="3590" spans="1:27" ht="21" customHeight="1" x14ac:dyDescent="0.95">
      <c r="A3590" s="56"/>
      <c r="B3590" s="57"/>
      <c r="C3590" s="57"/>
      <c r="D3590" s="57"/>
      <c r="E3590" s="56"/>
      <c r="F3590" s="57"/>
      <c r="G3590" s="57"/>
      <c r="H3590" s="56"/>
      <c r="I3590" s="56"/>
      <c r="J3590" s="58"/>
      <c r="K3590" s="58"/>
      <c r="L3590" s="13" t="str">
        <f t="shared" ref="L3590:L3653" si="560">IF(OR($A3590="",AND($J3590="",$K3590="")),"",ROUND(N($J3590)-N($K3590),2))</f>
        <v/>
      </c>
      <c r="M3590" s="13" t="str">
        <f t="shared" ref="M3590:M3653" si="561">IF(OR($A3590="",AND($J3590="",$K3590="")),"",MIN($J3590,$K3590))</f>
        <v/>
      </c>
      <c r="Q3590" t="str">
        <f t="shared" ref="Q3590:Q3653" si="562">IF($A3590="","",$D3590&amp;"("&amp;SUBSTITUTE($E3590," ","")&amp;")")</f>
        <v/>
      </c>
      <c r="R3590" t="str">
        <f t="shared" ref="R3590:R3653" si="563">IF($A3590="","",$B3590&amp;" - "&amp;$C3590)</f>
        <v/>
      </c>
      <c r="S3590" t="str">
        <f t="shared" ref="S3590:S3653" si="564">IF($A3590="","",$R3590&amp;"|"&amp;$Q3590)</f>
        <v/>
      </c>
      <c r="T3590" t="str">
        <f t="shared" ref="T3590:T3653" si="565">IF($A3590="","",$S3590&amp;"|"&amp;$F3590)</f>
        <v/>
      </c>
      <c r="U3590" t="str">
        <f t="shared" ref="U3590:U3653" si="566">IF($A3590="","",$R3590&amp;"("&amp;$E3590&amp;")")</f>
        <v/>
      </c>
      <c r="V3590" t="str">
        <f t="shared" ref="V3590:V3653" si="567">IF($A3590="","",$F3590&amp;"|"&amp;$U3590&amp;"|"&amp;$D3590)</f>
        <v/>
      </c>
      <c r="W3590" t="str">
        <f t="shared" ref="W3590:W3653" si="568">IF($T3590="","",IF($X3590&gt;N($X3589),$X3590,""))</f>
        <v/>
      </c>
      <c r="X3590">
        <f>IF($T3590="",N($X3589),IF(MATCH($T3590,$T$6:$T$10005,0)=ROW()-5,N($X3589)+1,N($X3589)))</f>
        <v>0</v>
      </c>
      <c r="Z3590" t="str">
        <f t="shared" ref="Z3590:Z3653" si="569">IF($V3590="","",IF($AA3590&gt;N($AA3589),$AA3590,""))</f>
        <v/>
      </c>
      <c r="AA3590">
        <f>IF($V3590="",N($AA3589),IF(MATCH($V3590,$V$6:$V$10005,0)=ROW()-5,N($AA3589)+1,N($AA3589)))</f>
        <v>0</v>
      </c>
    </row>
    <row r="3591" spans="1:27" ht="21" customHeight="1" x14ac:dyDescent="0.95">
      <c r="A3591" s="56"/>
      <c r="B3591" s="57"/>
      <c r="C3591" s="57"/>
      <c r="D3591" s="57"/>
      <c r="E3591" s="56"/>
      <c r="F3591" s="57"/>
      <c r="G3591" s="57"/>
      <c r="H3591" s="56"/>
      <c r="I3591" s="56"/>
      <c r="J3591" s="58"/>
      <c r="K3591" s="58"/>
      <c r="L3591" s="13" t="str">
        <f t="shared" si="560"/>
        <v/>
      </c>
      <c r="M3591" s="13" t="str">
        <f t="shared" si="561"/>
        <v/>
      </c>
      <c r="Q3591" t="str">
        <f t="shared" si="562"/>
        <v/>
      </c>
      <c r="R3591" t="str">
        <f t="shared" si="563"/>
        <v/>
      </c>
      <c r="S3591" t="str">
        <f t="shared" si="564"/>
        <v/>
      </c>
      <c r="T3591" t="str">
        <f t="shared" si="565"/>
        <v/>
      </c>
      <c r="U3591" t="str">
        <f t="shared" si="566"/>
        <v/>
      </c>
      <c r="V3591" t="str">
        <f t="shared" si="567"/>
        <v/>
      </c>
      <c r="W3591" t="str">
        <f t="shared" si="568"/>
        <v/>
      </c>
      <c r="X3591">
        <f>IF($T3591="",N($X3590),IF(MATCH($T3591,$T$6:$T$10005,0)=ROW()-5,N($X3590)+1,N($X3590)))</f>
        <v>0</v>
      </c>
      <c r="Z3591" t="str">
        <f t="shared" si="569"/>
        <v/>
      </c>
      <c r="AA3591">
        <f>IF($V3591="",N($AA3590),IF(MATCH($V3591,$V$6:$V$10005,0)=ROW()-5,N($AA3590)+1,N($AA3590)))</f>
        <v>0</v>
      </c>
    </row>
    <row r="3592" spans="1:27" ht="21" customHeight="1" x14ac:dyDescent="0.95">
      <c r="A3592" s="56"/>
      <c r="B3592" s="57"/>
      <c r="C3592" s="57"/>
      <c r="D3592" s="57"/>
      <c r="E3592" s="56"/>
      <c r="F3592" s="57"/>
      <c r="G3592" s="57"/>
      <c r="H3592" s="56"/>
      <c r="I3592" s="56"/>
      <c r="J3592" s="58"/>
      <c r="K3592" s="58"/>
      <c r="L3592" s="13" t="str">
        <f t="shared" si="560"/>
        <v/>
      </c>
      <c r="M3592" s="13" t="str">
        <f t="shared" si="561"/>
        <v/>
      </c>
      <c r="Q3592" t="str">
        <f t="shared" si="562"/>
        <v/>
      </c>
      <c r="R3592" t="str">
        <f t="shared" si="563"/>
        <v/>
      </c>
      <c r="S3592" t="str">
        <f t="shared" si="564"/>
        <v/>
      </c>
      <c r="T3592" t="str">
        <f t="shared" si="565"/>
        <v/>
      </c>
      <c r="U3592" t="str">
        <f t="shared" si="566"/>
        <v/>
      </c>
      <c r="V3592" t="str">
        <f t="shared" si="567"/>
        <v/>
      </c>
      <c r="W3592" t="str">
        <f t="shared" si="568"/>
        <v/>
      </c>
      <c r="X3592">
        <f>IF($T3592="",N($X3591),IF(MATCH($T3592,$T$6:$T$10005,0)=ROW()-5,N($X3591)+1,N($X3591)))</f>
        <v>0</v>
      </c>
      <c r="Z3592" t="str">
        <f t="shared" si="569"/>
        <v/>
      </c>
      <c r="AA3592">
        <f>IF($V3592="",N($AA3591),IF(MATCH($V3592,$V$6:$V$10005,0)=ROW()-5,N($AA3591)+1,N($AA3591)))</f>
        <v>0</v>
      </c>
    </row>
    <row r="3593" spans="1:27" ht="21" customHeight="1" x14ac:dyDescent="0.95">
      <c r="A3593" s="56"/>
      <c r="B3593" s="57"/>
      <c r="C3593" s="57"/>
      <c r="D3593" s="57"/>
      <c r="E3593" s="56"/>
      <c r="F3593" s="57"/>
      <c r="G3593" s="57"/>
      <c r="H3593" s="56"/>
      <c r="I3593" s="56"/>
      <c r="J3593" s="58"/>
      <c r="K3593" s="58"/>
      <c r="L3593" s="13" t="str">
        <f t="shared" si="560"/>
        <v/>
      </c>
      <c r="M3593" s="13" t="str">
        <f t="shared" si="561"/>
        <v/>
      </c>
      <c r="Q3593" t="str">
        <f t="shared" si="562"/>
        <v/>
      </c>
      <c r="R3593" t="str">
        <f t="shared" si="563"/>
        <v/>
      </c>
      <c r="S3593" t="str">
        <f t="shared" si="564"/>
        <v/>
      </c>
      <c r="T3593" t="str">
        <f t="shared" si="565"/>
        <v/>
      </c>
      <c r="U3593" t="str">
        <f t="shared" si="566"/>
        <v/>
      </c>
      <c r="V3593" t="str">
        <f t="shared" si="567"/>
        <v/>
      </c>
      <c r="W3593" t="str">
        <f t="shared" si="568"/>
        <v/>
      </c>
      <c r="X3593">
        <f>IF($T3593="",N($X3592),IF(MATCH($T3593,$T$6:$T$10005,0)=ROW()-5,N($X3592)+1,N($X3592)))</f>
        <v>0</v>
      </c>
      <c r="Z3593" t="str">
        <f t="shared" si="569"/>
        <v/>
      </c>
      <c r="AA3593">
        <f>IF($V3593="",N($AA3592),IF(MATCH($V3593,$V$6:$V$10005,0)=ROW()-5,N($AA3592)+1,N($AA3592)))</f>
        <v>0</v>
      </c>
    </row>
    <row r="3594" spans="1:27" ht="21" customHeight="1" x14ac:dyDescent="0.95">
      <c r="A3594" s="56"/>
      <c r="B3594" s="57"/>
      <c r="C3594" s="57"/>
      <c r="D3594" s="57"/>
      <c r="E3594" s="56"/>
      <c r="F3594" s="57"/>
      <c r="G3594" s="57"/>
      <c r="H3594" s="56"/>
      <c r="I3594" s="56"/>
      <c r="J3594" s="58"/>
      <c r="K3594" s="58"/>
      <c r="L3594" s="13" t="str">
        <f t="shared" si="560"/>
        <v/>
      </c>
      <c r="M3594" s="13" t="str">
        <f t="shared" si="561"/>
        <v/>
      </c>
      <c r="Q3594" t="str">
        <f t="shared" si="562"/>
        <v/>
      </c>
      <c r="R3594" t="str">
        <f t="shared" si="563"/>
        <v/>
      </c>
      <c r="S3594" t="str">
        <f t="shared" si="564"/>
        <v/>
      </c>
      <c r="T3594" t="str">
        <f t="shared" si="565"/>
        <v/>
      </c>
      <c r="U3594" t="str">
        <f t="shared" si="566"/>
        <v/>
      </c>
      <c r="V3594" t="str">
        <f t="shared" si="567"/>
        <v/>
      </c>
      <c r="W3594" t="str">
        <f t="shared" si="568"/>
        <v/>
      </c>
      <c r="X3594">
        <f>IF($T3594="",N($X3593),IF(MATCH($T3594,$T$6:$T$10005,0)=ROW()-5,N($X3593)+1,N($X3593)))</f>
        <v>0</v>
      </c>
      <c r="Z3594" t="str">
        <f t="shared" si="569"/>
        <v/>
      </c>
      <c r="AA3594">
        <f>IF($V3594="",N($AA3593),IF(MATCH($V3594,$V$6:$V$10005,0)=ROW()-5,N($AA3593)+1,N($AA3593)))</f>
        <v>0</v>
      </c>
    </row>
    <row r="3595" spans="1:27" ht="21" customHeight="1" x14ac:dyDescent="0.95">
      <c r="A3595" s="56"/>
      <c r="B3595" s="57"/>
      <c r="C3595" s="57"/>
      <c r="D3595" s="57"/>
      <c r="E3595" s="56"/>
      <c r="F3595" s="57"/>
      <c r="G3595" s="57"/>
      <c r="H3595" s="56"/>
      <c r="I3595" s="56"/>
      <c r="J3595" s="58"/>
      <c r="K3595" s="58"/>
      <c r="L3595" s="13" t="str">
        <f t="shared" si="560"/>
        <v/>
      </c>
      <c r="M3595" s="13" t="str">
        <f t="shared" si="561"/>
        <v/>
      </c>
      <c r="Q3595" t="str">
        <f t="shared" si="562"/>
        <v/>
      </c>
      <c r="R3595" t="str">
        <f t="shared" si="563"/>
        <v/>
      </c>
      <c r="S3595" t="str">
        <f t="shared" si="564"/>
        <v/>
      </c>
      <c r="T3595" t="str">
        <f t="shared" si="565"/>
        <v/>
      </c>
      <c r="U3595" t="str">
        <f t="shared" si="566"/>
        <v/>
      </c>
      <c r="V3595" t="str">
        <f t="shared" si="567"/>
        <v/>
      </c>
      <c r="W3595" t="str">
        <f t="shared" si="568"/>
        <v/>
      </c>
      <c r="X3595">
        <f>IF($T3595="",N($X3594),IF(MATCH($T3595,$T$6:$T$10005,0)=ROW()-5,N($X3594)+1,N($X3594)))</f>
        <v>0</v>
      </c>
      <c r="Z3595" t="str">
        <f t="shared" si="569"/>
        <v/>
      </c>
      <c r="AA3595">
        <f>IF($V3595="",N($AA3594),IF(MATCH($V3595,$V$6:$V$10005,0)=ROW()-5,N($AA3594)+1,N($AA3594)))</f>
        <v>0</v>
      </c>
    </row>
    <row r="3596" spans="1:27" ht="21" customHeight="1" x14ac:dyDescent="0.95">
      <c r="A3596" s="56"/>
      <c r="B3596" s="57"/>
      <c r="C3596" s="57"/>
      <c r="D3596" s="57"/>
      <c r="E3596" s="56"/>
      <c r="F3596" s="57"/>
      <c r="G3596" s="57"/>
      <c r="H3596" s="56"/>
      <c r="I3596" s="56"/>
      <c r="J3596" s="58"/>
      <c r="K3596" s="58"/>
      <c r="L3596" s="13" t="str">
        <f t="shared" si="560"/>
        <v/>
      </c>
      <c r="M3596" s="13" t="str">
        <f t="shared" si="561"/>
        <v/>
      </c>
      <c r="Q3596" t="str">
        <f t="shared" si="562"/>
        <v/>
      </c>
      <c r="R3596" t="str">
        <f t="shared" si="563"/>
        <v/>
      </c>
      <c r="S3596" t="str">
        <f t="shared" si="564"/>
        <v/>
      </c>
      <c r="T3596" t="str">
        <f t="shared" si="565"/>
        <v/>
      </c>
      <c r="U3596" t="str">
        <f t="shared" si="566"/>
        <v/>
      </c>
      <c r="V3596" t="str">
        <f t="shared" si="567"/>
        <v/>
      </c>
      <c r="W3596" t="str">
        <f t="shared" si="568"/>
        <v/>
      </c>
      <c r="X3596">
        <f>IF($T3596="",N($X3595),IF(MATCH($T3596,$T$6:$T$10005,0)=ROW()-5,N($X3595)+1,N($X3595)))</f>
        <v>0</v>
      </c>
      <c r="Z3596" t="str">
        <f t="shared" si="569"/>
        <v/>
      </c>
      <c r="AA3596">
        <f>IF($V3596="",N($AA3595),IF(MATCH($V3596,$V$6:$V$10005,0)=ROW()-5,N($AA3595)+1,N($AA3595)))</f>
        <v>0</v>
      </c>
    </row>
    <row r="3597" spans="1:27" ht="21" customHeight="1" x14ac:dyDescent="0.95">
      <c r="A3597" s="56"/>
      <c r="B3597" s="57"/>
      <c r="C3597" s="57"/>
      <c r="D3597" s="57"/>
      <c r="E3597" s="56"/>
      <c r="F3597" s="57"/>
      <c r="G3597" s="57"/>
      <c r="H3597" s="56"/>
      <c r="I3597" s="56"/>
      <c r="J3597" s="58"/>
      <c r="K3597" s="58"/>
      <c r="L3597" s="13" t="str">
        <f t="shared" si="560"/>
        <v/>
      </c>
      <c r="M3597" s="13" t="str">
        <f t="shared" si="561"/>
        <v/>
      </c>
      <c r="Q3597" t="str">
        <f t="shared" si="562"/>
        <v/>
      </c>
      <c r="R3597" t="str">
        <f t="shared" si="563"/>
        <v/>
      </c>
      <c r="S3597" t="str">
        <f t="shared" si="564"/>
        <v/>
      </c>
      <c r="T3597" t="str">
        <f t="shared" si="565"/>
        <v/>
      </c>
      <c r="U3597" t="str">
        <f t="shared" si="566"/>
        <v/>
      </c>
      <c r="V3597" t="str">
        <f t="shared" si="567"/>
        <v/>
      </c>
      <c r="W3597" t="str">
        <f t="shared" si="568"/>
        <v/>
      </c>
      <c r="X3597">
        <f>IF($T3597="",N($X3596),IF(MATCH($T3597,$T$6:$T$10005,0)=ROW()-5,N($X3596)+1,N($X3596)))</f>
        <v>0</v>
      </c>
      <c r="Z3597" t="str">
        <f t="shared" si="569"/>
        <v/>
      </c>
      <c r="AA3597">
        <f>IF($V3597="",N($AA3596),IF(MATCH($V3597,$V$6:$V$10005,0)=ROW()-5,N($AA3596)+1,N($AA3596)))</f>
        <v>0</v>
      </c>
    </row>
    <row r="3598" spans="1:27" ht="21" customHeight="1" x14ac:dyDescent="0.95">
      <c r="A3598" s="56"/>
      <c r="B3598" s="57"/>
      <c r="C3598" s="57"/>
      <c r="D3598" s="57"/>
      <c r="E3598" s="56"/>
      <c r="F3598" s="57"/>
      <c r="G3598" s="57"/>
      <c r="H3598" s="56"/>
      <c r="I3598" s="56"/>
      <c r="J3598" s="58"/>
      <c r="K3598" s="58"/>
      <c r="L3598" s="13" t="str">
        <f t="shared" si="560"/>
        <v/>
      </c>
      <c r="M3598" s="13" t="str">
        <f t="shared" si="561"/>
        <v/>
      </c>
      <c r="Q3598" t="str">
        <f t="shared" si="562"/>
        <v/>
      </c>
      <c r="R3598" t="str">
        <f t="shared" si="563"/>
        <v/>
      </c>
      <c r="S3598" t="str">
        <f t="shared" si="564"/>
        <v/>
      </c>
      <c r="T3598" t="str">
        <f t="shared" si="565"/>
        <v/>
      </c>
      <c r="U3598" t="str">
        <f t="shared" si="566"/>
        <v/>
      </c>
      <c r="V3598" t="str">
        <f t="shared" si="567"/>
        <v/>
      </c>
      <c r="W3598" t="str">
        <f t="shared" si="568"/>
        <v/>
      </c>
      <c r="X3598">
        <f>IF($T3598="",N($X3597),IF(MATCH($T3598,$T$6:$T$10005,0)=ROW()-5,N($X3597)+1,N($X3597)))</f>
        <v>0</v>
      </c>
      <c r="Z3598" t="str">
        <f t="shared" si="569"/>
        <v/>
      </c>
      <c r="AA3598">
        <f>IF($V3598="",N($AA3597),IF(MATCH($V3598,$V$6:$V$10005,0)=ROW()-5,N($AA3597)+1,N($AA3597)))</f>
        <v>0</v>
      </c>
    </row>
    <row r="3599" spans="1:27" ht="21" customHeight="1" x14ac:dyDescent="0.95">
      <c r="A3599" s="56"/>
      <c r="B3599" s="57"/>
      <c r="C3599" s="57"/>
      <c r="D3599" s="57"/>
      <c r="E3599" s="56"/>
      <c r="F3599" s="57"/>
      <c r="G3599" s="57"/>
      <c r="H3599" s="56"/>
      <c r="I3599" s="56"/>
      <c r="J3599" s="58"/>
      <c r="K3599" s="58"/>
      <c r="L3599" s="13" t="str">
        <f t="shared" si="560"/>
        <v/>
      </c>
      <c r="M3599" s="13" t="str">
        <f t="shared" si="561"/>
        <v/>
      </c>
      <c r="Q3599" t="str">
        <f t="shared" si="562"/>
        <v/>
      </c>
      <c r="R3599" t="str">
        <f t="shared" si="563"/>
        <v/>
      </c>
      <c r="S3599" t="str">
        <f t="shared" si="564"/>
        <v/>
      </c>
      <c r="T3599" t="str">
        <f t="shared" si="565"/>
        <v/>
      </c>
      <c r="U3599" t="str">
        <f t="shared" si="566"/>
        <v/>
      </c>
      <c r="V3599" t="str">
        <f t="shared" si="567"/>
        <v/>
      </c>
      <c r="W3599" t="str">
        <f t="shared" si="568"/>
        <v/>
      </c>
      <c r="X3599">
        <f>IF($T3599="",N($X3598),IF(MATCH($T3599,$T$6:$T$10005,0)=ROW()-5,N($X3598)+1,N($X3598)))</f>
        <v>0</v>
      </c>
      <c r="Z3599" t="str">
        <f t="shared" si="569"/>
        <v/>
      </c>
      <c r="AA3599">
        <f>IF($V3599="",N($AA3598),IF(MATCH($V3599,$V$6:$V$10005,0)=ROW()-5,N($AA3598)+1,N($AA3598)))</f>
        <v>0</v>
      </c>
    </row>
    <row r="3600" spans="1:27" ht="21" customHeight="1" x14ac:dyDescent="0.95">
      <c r="A3600" s="56"/>
      <c r="B3600" s="57"/>
      <c r="C3600" s="57"/>
      <c r="D3600" s="57"/>
      <c r="E3600" s="56"/>
      <c r="F3600" s="57"/>
      <c r="G3600" s="57"/>
      <c r="H3600" s="56"/>
      <c r="I3600" s="56"/>
      <c r="J3600" s="58"/>
      <c r="K3600" s="58"/>
      <c r="L3600" s="13" t="str">
        <f t="shared" si="560"/>
        <v/>
      </c>
      <c r="M3600" s="13" t="str">
        <f t="shared" si="561"/>
        <v/>
      </c>
      <c r="Q3600" t="str">
        <f t="shared" si="562"/>
        <v/>
      </c>
      <c r="R3600" t="str">
        <f t="shared" si="563"/>
        <v/>
      </c>
      <c r="S3600" t="str">
        <f t="shared" si="564"/>
        <v/>
      </c>
      <c r="T3600" t="str">
        <f t="shared" si="565"/>
        <v/>
      </c>
      <c r="U3600" t="str">
        <f t="shared" si="566"/>
        <v/>
      </c>
      <c r="V3600" t="str">
        <f t="shared" si="567"/>
        <v/>
      </c>
      <c r="W3600" t="str">
        <f t="shared" si="568"/>
        <v/>
      </c>
      <c r="X3600">
        <f>IF($T3600="",N($X3599),IF(MATCH($T3600,$T$6:$T$10005,0)=ROW()-5,N($X3599)+1,N($X3599)))</f>
        <v>0</v>
      </c>
      <c r="Z3600" t="str">
        <f t="shared" si="569"/>
        <v/>
      </c>
      <c r="AA3600">
        <f>IF($V3600="",N($AA3599),IF(MATCH($V3600,$V$6:$V$10005,0)=ROW()-5,N($AA3599)+1,N($AA3599)))</f>
        <v>0</v>
      </c>
    </row>
    <row r="3601" spans="1:27" ht="21" customHeight="1" x14ac:dyDescent="0.95">
      <c r="A3601" s="56"/>
      <c r="B3601" s="57"/>
      <c r="C3601" s="57"/>
      <c r="D3601" s="57"/>
      <c r="E3601" s="56"/>
      <c r="F3601" s="57"/>
      <c r="G3601" s="57"/>
      <c r="H3601" s="56"/>
      <c r="I3601" s="56"/>
      <c r="J3601" s="58"/>
      <c r="K3601" s="58"/>
      <c r="L3601" s="13" t="str">
        <f t="shared" si="560"/>
        <v/>
      </c>
      <c r="M3601" s="13" t="str">
        <f t="shared" si="561"/>
        <v/>
      </c>
      <c r="Q3601" t="str">
        <f t="shared" si="562"/>
        <v/>
      </c>
      <c r="R3601" t="str">
        <f t="shared" si="563"/>
        <v/>
      </c>
      <c r="S3601" t="str">
        <f t="shared" si="564"/>
        <v/>
      </c>
      <c r="T3601" t="str">
        <f t="shared" si="565"/>
        <v/>
      </c>
      <c r="U3601" t="str">
        <f t="shared" si="566"/>
        <v/>
      </c>
      <c r="V3601" t="str">
        <f t="shared" si="567"/>
        <v/>
      </c>
      <c r="W3601" t="str">
        <f t="shared" si="568"/>
        <v/>
      </c>
      <c r="X3601">
        <f>IF($T3601="",N($X3600),IF(MATCH($T3601,$T$6:$T$10005,0)=ROW()-5,N($X3600)+1,N($X3600)))</f>
        <v>0</v>
      </c>
      <c r="Z3601" t="str">
        <f t="shared" si="569"/>
        <v/>
      </c>
      <c r="AA3601">
        <f>IF($V3601="",N($AA3600),IF(MATCH($V3601,$V$6:$V$10005,0)=ROW()-5,N($AA3600)+1,N($AA3600)))</f>
        <v>0</v>
      </c>
    </row>
    <row r="3602" spans="1:27" ht="21" customHeight="1" x14ac:dyDescent="0.95">
      <c r="A3602" s="56"/>
      <c r="B3602" s="57"/>
      <c r="C3602" s="57"/>
      <c r="D3602" s="57"/>
      <c r="E3602" s="56"/>
      <c r="F3602" s="57"/>
      <c r="G3602" s="57"/>
      <c r="H3602" s="56"/>
      <c r="I3602" s="56"/>
      <c r="J3602" s="58"/>
      <c r="K3602" s="58"/>
      <c r="L3602" s="13" t="str">
        <f t="shared" si="560"/>
        <v/>
      </c>
      <c r="M3602" s="13" t="str">
        <f t="shared" si="561"/>
        <v/>
      </c>
      <c r="Q3602" t="str">
        <f t="shared" si="562"/>
        <v/>
      </c>
      <c r="R3602" t="str">
        <f t="shared" si="563"/>
        <v/>
      </c>
      <c r="S3602" t="str">
        <f t="shared" si="564"/>
        <v/>
      </c>
      <c r="T3602" t="str">
        <f t="shared" si="565"/>
        <v/>
      </c>
      <c r="U3602" t="str">
        <f t="shared" si="566"/>
        <v/>
      </c>
      <c r="V3602" t="str">
        <f t="shared" si="567"/>
        <v/>
      </c>
      <c r="W3602" t="str">
        <f t="shared" si="568"/>
        <v/>
      </c>
      <c r="X3602">
        <f>IF($T3602="",N($X3601),IF(MATCH($T3602,$T$6:$T$10005,0)=ROW()-5,N($X3601)+1,N($X3601)))</f>
        <v>0</v>
      </c>
      <c r="Z3602" t="str">
        <f t="shared" si="569"/>
        <v/>
      </c>
      <c r="AA3602">
        <f>IF($V3602="",N($AA3601),IF(MATCH($V3602,$V$6:$V$10005,0)=ROW()-5,N($AA3601)+1,N($AA3601)))</f>
        <v>0</v>
      </c>
    </row>
    <row r="3603" spans="1:27" ht="21" customHeight="1" x14ac:dyDescent="0.95">
      <c r="A3603" s="56"/>
      <c r="B3603" s="57"/>
      <c r="C3603" s="57"/>
      <c r="D3603" s="57"/>
      <c r="E3603" s="56"/>
      <c r="F3603" s="57"/>
      <c r="G3603" s="57"/>
      <c r="H3603" s="56"/>
      <c r="I3603" s="56"/>
      <c r="J3603" s="58"/>
      <c r="K3603" s="58"/>
      <c r="L3603" s="13" t="str">
        <f t="shared" si="560"/>
        <v/>
      </c>
      <c r="M3603" s="13" t="str">
        <f t="shared" si="561"/>
        <v/>
      </c>
      <c r="Q3603" t="str">
        <f t="shared" si="562"/>
        <v/>
      </c>
      <c r="R3603" t="str">
        <f t="shared" si="563"/>
        <v/>
      </c>
      <c r="S3603" t="str">
        <f t="shared" si="564"/>
        <v/>
      </c>
      <c r="T3603" t="str">
        <f t="shared" si="565"/>
        <v/>
      </c>
      <c r="U3603" t="str">
        <f t="shared" si="566"/>
        <v/>
      </c>
      <c r="V3603" t="str">
        <f t="shared" si="567"/>
        <v/>
      </c>
      <c r="W3603" t="str">
        <f t="shared" si="568"/>
        <v/>
      </c>
      <c r="X3603">
        <f>IF($T3603="",N($X3602),IF(MATCH($T3603,$T$6:$T$10005,0)=ROW()-5,N($X3602)+1,N($X3602)))</f>
        <v>0</v>
      </c>
      <c r="Z3603" t="str">
        <f t="shared" si="569"/>
        <v/>
      </c>
      <c r="AA3603">
        <f>IF($V3603="",N($AA3602),IF(MATCH($V3603,$V$6:$V$10005,0)=ROW()-5,N($AA3602)+1,N($AA3602)))</f>
        <v>0</v>
      </c>
    </row>
    <row r="3604" spans="1:27" ht="21" customHeight="1" x14ac:dyDescent="0.95">
      <c r="A3604" s="56"/>
      <c r="B3604" s="57"/>
      <c r="C3604" s="57"/>
      <c r="D3604" s="57"/>
      <c r="E3604" s="56"/>
      <c r="F3604" s="57"/>
      <c r="G3604" s="57"/>
      <c r="H3604" s="56"/>
      <c r="I3604" s="56"/>
      <c r="J3604" s="58"/>
      <c r="K3604" s="58"/>
      <c r="L3604" s="13" t="str">
        <f t="shared" si="560"/>
        <v/>
      </c>
      <c r="M3604" s="13" t="str">
        <f t="shared" si="561"/>
        <v/>
      </c>
      <c r="Q3604" t="str">
        <f t="shared" si="562"/>
        <v/>
      </c>
      <c r="R3604" t="str">
        <f t="shared" si="563"/>
        <v/>
      </c>
      <c r="S3604" t="str">
        <f t="shared" si="564"/>
        <v/>
      </c>
      <c r="T3604" t="str">
        <f t="shared" si="565"/>
        <v/>
      </c>
      <c r="U3604" t="str">
        <f t="shared" si="566"/>
        <v/>
      </c>
      <c r="V3604" t="str">
        <f t="shared" si="567"/>
        <v/>
      </c>
      <c r="W3604" t="str">
        <f t="shared" si="568"/>
        <v/>
      </c>
      <c r="X3604">
        <f>IF($T3604="",N($X3603),IF(MATCH($T3604,$T$6:$T$10005,0)=ROW()-5,N($X3603)+1,N($X3603)))</f>
        <v>0</v>
      </c>
      <c r="Z3604" t="str">
        <f t="shared" si="569"/>
        <v/>
      </c>
      <c r="AA3604">
        <f>IF($V3604="",N($AA3603),IF(MATCH($V3604,$V$6:$V$10005,0)=ROW()-5,N($AA3603)+1,N($AA3603)))</f>
        <v>0</v>
      </c>
    </row>
    <row r="3605" spans="1:27" ht="21" customHeight="1" x14ac:dyDescent="0.95">
      <c r="A3605" s="56"/>
      <c r="B3605" s="57"/>
      <c r="C3605" s="57"/>
      <c r="D3605" s="57"/>
      <c r="E3605" s="56"/>
      <c r="F3605" s="57"/>
      <c r="G3605" s="57"/>
      <c r="H3605" s="56"/>
      <c r="I3605" s="56"/>
      <c r="J3605" s="58"/>
      <c r="K3605" s="58"/>
      <c r="L3605" s="13" t="str">
        <f t="shared" si="560"/>
        <v/>
      </c>
      <c r="M3605" s="13" t="str">
        <f t="shared" si="561"/>
        <v/>
      </c>
      <c r="Q3605" t="str">
        <f t="shared" si="562"/>
        <v/>
      </c>
      <c r="R3605" t="str">
        <f t="shared" si="563"/>
        <v/>
      </c>
      <c r="S3605" t="str">
        <f t="shared" si="564"/>
        <v/>
      </c>
      <c r="T3605" t="str">
        <f t="shared" si="565"/>
        <v/>
      </c>
      <c r="U3605" t="str">
        <f t="shared" si="566"/>
        <v/>
      </c>
      <c r="V3605" t="str">
        <f t="shared" si="567"/>
        <v/>
      </c>
      <c r="W3605" t="str">
        <f t="shared" si="568"/>
        <v/>
      </c>
      <c r="X3605">
        <f>IF($T3605="",N($X3604),IF(MATCH($T3605,$T$6:$T$10005,0)=ROW()-5,N($X3604)+1,N($X3604)))</f>
        <v>0</v>
      </c>
      <c r="Z3605" t="str">
        <f t="shared" si="569"/>
        <v/>
      </c>
      <c r="AA3605">
        <f>IF($V3605="",N($AA3604),IF(MATCH($V3605,$V$6:$V$10005,0)=ROW()-5,N($AA3604)+1,N($AA3604)))</f>
        <v>0</v>
      </c>
    </row>
    <row r="3606" spans="1:27" ht="21" customHeight="1" x14ac:dyDescent="0.95">
      <c r="A3606" s="56"/>
      <c r="B3606" s="57"/>
      <c r="C3606" s="57"/>
      <c r="D3606" s="57"/>
      <c r="E3606" s="56"/>
      <c r="F3606" s="57"/>
      <c r="G3606" s="57"/>
      <c r="H3606" s="56"/>
      <c r="I3606" s="56"/>
      <c r="J3606" s="58"/>
      <c r="K3606" s="58"/>
      <c r="L3606" s="13" t="str">
        <f t="shared" si="560"/>
        <v/>
      </c>
      <c r="M3606" s="13" t="str">
        <f t="shared" si="561"/>
        <v/>
      </c>
      <c r="Q3606" t="str">
        <f t="shared" si="562"/>
        <v/>
      </c>
      <c r="R3606" t="str">
        <f t="shared" si="563"/>
        <v/>
      </c>
      <c r="S3606" t="str">
        <f t="shared" si="564"/>
        <v/>
      </c>
      <c r="T3606" t="str">
        <f t="shared" si="565"/>
        <v/>
      </c>
      <c r="U3606" t="str">
        <f t="shared" si="566"/>
        <v/>
      </c>
      <c r="V3606" t="str">
        <f t="shared" si="567"/>
        <v/>
      </c>
      <c r="W3606" t="str">
        <f t="shared" si="568"/>
        <v/>
      </c>
      <c r="X3606">
        <f>IF($T3606="",N($X3605),IF(MATCH($T3606,$T$6:$T$10005,0)=ROW()-5,N($X3605)+1,N($X3605)))</f>
        <v>0</v>
      </c>
      <c r="Z3606" t="str">
        <f t="shared" si="569"/>
        <v/>
      </c>
      <c r="AA3606">
        <f>IF($V3606="",N($AA3605),IF(MATCH($V3606,$V$6:$V$10005,0)=ROW()-5,N($AA3605)+1,N($AA3605)))</f>
        <v>0</v>
      </c>
    </row>
    <row r="3607" spans="1:27" ht="21" customHeight="1" x14ac:dyDescent="0.95">
      <c r="A3607" s="56"/>
      <c r="B3607" s="57"/>
      <c r="C3607" s="57"/>
      <c r="D3607" s="57"/>
      <c r="E3607" s="56"/>
      <c r="F3607" s="57"/>
      <c r="G3607" s="57"/>
      <c r="H3607" s="56"/>
      <c r="I3607" s="56"/>
      <c r="J3607" s="58"/>
      <c r="K3607" s="58"/>
      <c r="L3607" s="13" t="str">
        <f t="shared" si="560"/>
        <v/>
      </c>
      <c r="M3607" s="13" t="str">
        <f t="shared" si="561"/>
        <v/>
      </c>
      <c r="Q3607" t="str">
        <f t="shared" si="562"/>
        <v/>
      </c>
      <c r="R3607" t="str">
        <f t="shared" si="563"/>
        <v/>
      </c>
      <c r="S3607" t="str">
        <f t="shared" si="564"/>
        <v/>
      </c>
      <c r="T3607" t="str">
        <f t="shared" si="565"/>
        <v/>
      </c>
      <c r="U3607" t="str">
        <f t="shared" si="566"/>
        <v/>
      </c>
      <c r="V3607" t="str">
        <f t="shared" si="567"/>
        <v/>
      </c>
      <c r="W3607" t="str">
        <f t="shared" si="568"/>
        <v/>
      </c>
      <c r="X3607">
        <f>IF($T3607="",N($X3606),IF(MATCH($T3607,$T$6:$T$10005,0)=ROW()-5,N($X3606)+1,N($X3606)))</f>
        <v>0</v>
      </c>
      <c r="Z3607" t="str">
        <f t="shared" si="569"/>
        <v/>
      </c>
      <c r="AA3607">
        <f>IF($V3607="",N($AA3606),IF(MATCH($V3607,$V$6:$V$10005,0)=ROW()-5,N($AA3606)+1,N($AA3606)))</f>
        <v>0</v>
      </c>
    </row>
    <row r="3608" spans="1:27" ht="21" customHeight="1" x14ac:dyDescent="0.95">
      <c r="A3608" s="56"/>
      <c r="B3608" s="57"/>
      <c r="C3608" s="57"/>
      <c r="D3608" s="57"/>
      <c r="E3608" s="56"/>
      <c r="F3608" s="57"/>
      <c r="G3608" s="57"/>
      <c r="H3608" s="56"/>
      <c r="I3608" s="56"/>
      <c r="J3608" s="58"/>
      <c r="K3608" s="58"/>
      <c r="L3608" s="13" t="str">
        <f t="shared" si="560"/>
        <v/>
      </c>
      <c r="M3608" s="13" t="str">
        <f t="shared" si="561"/>
        <v/>
      </c>
      <c r="Q3608" t="str">
        <f t="shared" si="562"/>
        <v/>
      </c>
      <c r="R3608" t="str">
        <f t="shared" si="563"/>
        <v/>
      </c>
      <c r="S3608" t="str">
        <f t="shared" si="564"/>
        <v/>
      </c>
      <c r="T3608" t="str">
        <f t="shared" si="565"/>
        <v/>
      </c>
      <c r="U3608" t="str">
        <f t="shared" si="566"/>
        <v/>
      </c>
      <c r="V3608" t="str">
        <f t="shared" si="567"/>
        <v/>
      </c>
      <c r="W3608" t="str">
        <f t="shared" si="568"/>
        <v/>
      </c>
      <c r="X3608">
        <f>IF($T3608="",N($X3607),IF(MATCH($T3608,$T$6:$T$10005,0)=ROW()-5,N($X3607)+1,N($X3607)))</f>
        <v>0</v>
      </c>
      <c r="Z3608" t="str">
        <f t="shared" si="569"/>
        <v/>
      </c>
      <c r="AA3608">
        <f>IF($V3608="",N($AA3607),IF(MATCH($V3608,$V$6:$V$10005,0)=ROW()-5,N($AA3607)+1,N($AA3607)))</f>
        <v>0</v>
      </c>
    </row>
    <row r="3609" spans="1:27" ht="21" customHeight="1" x14ac:dyDescent="0.95">
      <c r="A3609" s="56"/>
      <c r="B3609" s="57"/>
      <c r="C3609" s="57"/>
      <c r="D3609" s="57"/>
      <c r="E3609" s="56"/>
      <c r="F3609" s="57"/>
      <c r="G3609" s="57"/>
      <c r="H3609" s="56"/>
      <c r="I3609" s="56"/>
      <c r="J3609" s="58"/>
      <c r="K3609" s="58"/>
      <c r="L3609" s="13" t="str">
        <f t="shared" si="560"/>
        <v/>
      </c>
      <c r="M3609" s="13" t="str">
        <f t="shared" si="561"/>
        <v/>
      </c>
      <c r="Q3609" t="str">
        <f t="shared" si="562"/>
        <v/>
      </c>
      <c r="R3609" t="str">
        <f t="shared" si="563"/>
        <v/>
      </c>
      <c r="S3609" t="str">
        <f t="shared" si="564"/>
        <v/>
      </c>
      <c r="T3609" t="str">
        <f t="shared" si="565"/>
        <v/>
      </c>
      <c r="U3609" t="str">
        <f t="shared" si="566"/>
        <v/>
      </c>
      <c r="V3609" t="str">
        <f t="shared" si="567"/>
        <v/>
      </c>
      <c r="W3609" t="str">
        <f t="shared" si="568"/>
        <v/>
      </c>
      <c r="X3609">
        <f>IF($T3609="",N($X3608),IF(MATCH($T3609,$T$6:$T$10005,0)=ROW()-5,N($X3608)+1,N($X3608)))</f>
        <v>0</v>
      </c>
      <c r="Z3609" t="str">
        <f t="shared" si="569"/>
        <v/>
      </c>
      <c r="AA3609">
        <f>IF($V3609="",N($AA3608),IF(MATCH($V3609,$V$6:$V$10005,0)=ROW()-5,N($AA3608)+1,N($AA3608)))</f>
        <v>0</v>
      </c>
    </row>
    <row r="3610" spans="1:27" ht="21" customHeight="1" x14ac:dyDescent="0.95">
      <c r="A3610" s="56"/>
      <c r="B3610" s="57"/>
      <c r="C3610" s="57"/>
      <c r="D3610" s="57"/>
      <c r="E3610" s="56"/>
      <c r="F3610" s="57"/>
      <c r="G3610" s="57"/>
      <c r="H3610" s="56"/>
      <c r="I3610" s="56"/>
      <c r="J3610" s="58"/>
      <c r="K3610" s="58"/>
      <c r="L3610" s="13" t="str">
        <f t="shared" si="560"/>
        <v/>
      </c>
      <c r="M3610" s="13" t="str">
        <f t="shared" si="561"/>
        <v/>
      </c>
      <c r="Q3610" t="str">
        <f t="shared" si="562"/>
        <v/>
      </c>
      <c r="R3610" t="str">
        <f t="shared" si="563"/>
        <v/>
      </c>
      <c r="S3610" t="str">
        <f t="shared" si="564"/>
        <v/>
      </c>
      <c r="T3610" t="str">
        <f t="shared" si="565"/>
        <v/>
      </c>
      <c r="U3610" t="str">
        <f t="shared" si="566"/>
        <v/>
      </c>
      <c r="V3610" t="str">
        <f t="shared" si="567"/>
        <v/>
      </c>
      <c r="W3610" t="str">
        <f t="shared" si="568"/>
        <v/>
      </c>
      <c r="X3610">
        <f>IF($T3610="",N($X3609),IF(MATCH($T3610,$T$6:$T$10005,0)=ROW()-5,N($X3609)+1,N($X3609)))</f>
        <v>0</v>
      </c>
      <c r="Z3610" t="str">
        <f t="shared" si="569"/>
        <v/>
      </c>
      <c r="AA3610">
        <f>IF($V3610="",N($AA3609),IF(MATCH($V3610,$V$6:$V$10005,0)=ROW()-5,N($AA3609)+1,N($AA3609)))</f>
        <v>0</v>
      </c>
    </row>
    <row r="3611" spans="1:27" ht="21" customHeight="1" x14ac:dyDescent="0.95">
      <c r="A3611" s="56"/>
      <c r="B3611" s="57"/>
      <c r="C3611" s="57"/>
      <c r="D3611" s="57"/>
      <c r="E3611" s="56"/>
      <c r="F3611" s="57"/>
      <c r="G3611" s="57"/>
      <c r="H3611" s="56"/>
      <c r="I3611" s="56"/>
      <c r="J3611" s="58"/>
      <c r="K3611" s="58"/>
      <c r="L3611" s="13" t="str">
        <f t="shared" si="560"/>
        <v/>
      </c>
      <c r="M3611" s="13" t="str">
        <f t="shared" si="561"/>
        <v/>
      </c>
      <c r="Q3611" t="str">
        <f t="shared" si="562"/>
        <v/>
      </c>
      <c r="R3611" t="str">
        <f t="shared" si="563"/>
        <v/>
      </c>
      <c r="S3611" t="str">
        <f t="shared" si="564"/>
        <v/>
      </c>
      <c r="T3611" t="str">
        <f t="shared" si="565"/>
        <v/>
      </c>
      <c r="U3611" t="str">
        <f t="shared" si="566"/>
        <v/>
      </c>
      <c r="V3611" t="str">
        <f t="shared" si="567"/>
        <v/>
      </c>
      <c r="W3611" t="str">
        <f t="shared" si="568"/>
        <v/>
      </c>
      <c r="X3611">
        <f>IF($T3611="",N($X3610),IF(MATCH($T3611,$T$6:$T$10005,0)=ROW()-5,N($X3610)+1,N($X3610)))</f>
        <v>0</v>
      </c>
      <c r="Z3611" t="str">
        <f t="shared" si="569"/>
        <v/>
      </c>
      <c r="AA3611">
        <f>IF($V3611="",N($AA3610),IF(MATCH($V3611,$V$6:$V$10005,0)=ROW()-5,N($AA3610)+1,N($AA3610)))</f>
        <v>0</v>
      </c>
    </row>
    <row r="3612" spans="1:27" ht="21" customHeight="1" x14ac:dyDescent="0.95">
      <c r="A3612" s="56"/>
      <c r="B3612" s="57"/>
      <c r="C3612" s="57"/>
      <c r="D3612" s="57"/>
      <c r="E3612" s="56"/>
      <c r="F3612" s="57"/>
      <c r="G3612" s="57"/>
      <c r="H3612" s="56"/>
      <c r="I3612" s="56"/>
      <c r="J3612" s="58"/>
      <c r="K3612" s="58"/>
      <c r="L3612" s="13" t="str">
        <f t="shared" si="560"/>
        <v/>
      </c>
      <c r="M3612" s="13" t="str">
        <f t="shared" si="561"/>
        <v/>
      </c>
      <c r="Q3612" t="str">
        <f t="shared" si="562"/>
        <v/>
      </c>
      <c r="R3612" t="str">
        <f t="shared" si="563"/>
        <v/>
      </c>
      <c r="S3612" t="str">
        <f t="shared" si="564"/>
        <v/>
      </c>
      <c r="T3612" t="str">
        <f t="shared" si="565"/>
        <v/>
      </c>
      <c r="U3612" t="str">
        <f t="shared" si="566"/>
        <v/>
      </c>
      <c r="V3612" t="str">
        <f t="shared" si="567"/>
        <v/>
      </c>
      <c r="W3612" t="str">
        <f t="shared" si="568"/>
        <v/>
      </c>
      <c r="X3612">
        <f>IF($T3612="",N($X3611),IF(MATCH($T3612,$T$6:$T$10005,0)=ROW()-5,N($X3611)+1,N($X3611)))</f>
        <v>0</v>
      </c>
      <c r="Z3612" t="str">
        <f t="shared" si="569"/>
        <v/>
      </c>
      <c r="AA3612">
        <f>IF($V3612="",N($AA3611),IF(MATCH($V3612,$V$6:$V$10005,0)=ROW()-5,N($AA3611)+1,N($AA3611)))</f>
        <v>0</v>
      </c>
    </row>
    <row r="3613" spans="1:27" ht="21" customHeight="1" x14ac:dyDescent="0.95">
      <c r="A3613" s="56"/>
      <c r="B3613" s="57"/>
      <c r="C3613" s="57"/>
      <c r="D3613" s="57"/>
      <c r="E3613" s="56"/>
      <c r="F3613" s="57"/>
      <c r="G3613" s="57"/>
      <c r="H3613" s="56"/>
      <c r="I3613" s="56"/>
      <c r="J3613" s="58"/>
      <c r="K3613" s="58"/>
      <c r="L3613" s="13" t="str">
        <f t="shared" si="560"/>
        <v/>
      </c>
      <c r="M3613" s="13" t="str">
        <f t="shared" si="561"/>
        <v/>
      </c>
      <c r="Q3613" t="str">
        <f t="shared" si="562"/>
        <v/>
      </c>
      <c r="R3613" t="str">
        <f t="shared" si="563"/>
        <v/>
      </c>
      <c r="S3613" t="str">
        <f t="shared" si="564"/>
        <v/>
      </c>
      <c r="T3613" t="str">
        <f t="shared" si="565"/>
        <v/>
      </c>
      <c r="U3613" t="str">
        <f t="shared" si="566"/>
        <v/>
      </c>
      <c r="V3613" t="str">
        <f t="shared" si="567"/>
        <v/>
      </c>
      <c r="W3613" t="str">
        <f t="shared" si="568"/>
        <v/>
      </c>
      <c r="X3613">
        <f>IF($T3613="",N($X3612),IF(MATCH($T3613,$T$6:$T$10005,0)=ROW()-5,N($X3612)+1,N($X3612)))</f>
        <v>0</v>
      </c>
      <c r="Z3613" t="str">
        <f t="shared" si="569"/>
        <v/>
      </c>
      <c r="AA3613">
        <f>IF($V3613="",N($AA3612),IF(MATCH($V3613,$V$6:$V$10005,0)=ROW()-5,N($AA3612)+1,N($AA3612)))</f>
        <v>0</v>
      </c>
    </row>
    <row r="3614" spans="1:27" ht="21" customHeight="1" x14ac:dyDescent="0.95">
      <c r="A3614" s="56"/>
      <c r="B3614" s="57"/>
      <c r="C3614" s="57"/>
      <c r="D3614" s="57"/>
      <c r="E3614" s="56"/>
      <c r="F3614" s="57"/>
      <c r="G3614" s="57"/>
      <c r="H3614" s="56"/>
      <c r="I3614" s="56"/>
      <c r="J3614" s="58"/>
      <c r="K3614" s="58"/>
      <c r="L3614" s="13" t="str">
        <f t="shared" si="560"/>
        <v/>
      </c>
      <c r="M3614" s="13" t="str">
        <f t="shared" si="561"/>
        <v/>
      </c>
      <c r="Q3614" t="str">
        <f t="shared" si="562"/>
        <v/>
      </c>
      <c r="R3614" t="str">
        <f t="shared" si="563"/>
        <v/>
      </c>
      <c r="S3614" t="str">
        <f t="shared" si="564"/>
        <v/>
      </c>
      <c r="T3614" t="str">
        <f t="shared" si="565"/>
        <v/>
      </c>
      <c r="U3614" t="str">
        <f t="shared" si="566"/>
        <v/>
      </c>
      <c r="V3614" t="str">
        <f t="shared" si="567"/>
        <v/>
      </c>
      <c r="W3614" t="str">
        <f t="shared" si="568"/>
        <v/>
      </c>
      <c r="X3614">
        <f>IF($T3614="",N($X3613),IF(MATCH($T3614,$T$6:$T$10005,0)=ROW()-5,N($X3613)+1,N($X3613)))</f>
        <v>0</v>
      </c>
      <c r="Z3614" t="str">
        <f t="shared" si="569"/>
        <v/>
      </c>
      <c r="AA3614">
        <f>IF($V3614="",N($AA3613),IF(MATCH($V3614,$V$6:$V$10005,0)=ROW()-5,N($AA3613)+1,N($AA3613)))</f>
        <v>0</v>
      </c>
    </row>
    <row r="3615" spans="1:27" ht="21" customHeight="1" x14ac:dyDescent="0.95">
      <c r="A3615" s="56"/>
      <c r="B3615" s="57"/>
      <c r="C3615" s="57"/>
      <c r="D3615" s="57"/>
      <c r="E3615" s="56"/>
      <c r="F3615" s="57"/>
      <c r="G3615" s="57"/>
      <c r="H3615" s="56"/>
      <c r="I3615" s="56"/>
      <c r="J3615" s="58"/>
      <c r="K3615" s="58"/>
      <c r="L3615" s="13" t="str">
        <f t="shared" si="560"/>
        <v/>
      </c>
      <c r="M3615" s="13" t="str">
        <f t="shared" si="561"/>
        <v/>
      </c>
      <c r="Q3615" t="str">
        <f t="shared" si="562"/>
        <v/>
      </c>
      <c r="R3615" t="str">
        <f t="shared" si="563"/>
        <v/>
      </c>
      <c r="S3615" t="str">
        <f t="shared" si="564"/>
        <v/>
      </c>
      <c r="T3615" t="str">
        <f t="shared" si="565"/>
        <v/>
      </c>
      <c r="U3615" t="str">
        <f t="shared" si="566"/>
        <v/>
      </c>
      <c r="V3615" t="str">
        <f t="shared" si="567"/>
        <v/>
      </c>
      <c r="W3615" t="str">
        <f t="shared" si="568"/>
        <v/>
      </c>
      <c r="X3615">
        <f>IF($T3615="",N($X3614),IF(MATCH($T3615,$T$6:$T$10005,0)=ROW()-5,N($X3614)+1,N($X3614)))</f>
        <v>0</v>
      </c>
      <c r="Z3615" t="str">
        <f t="shared" si="569"/>
        <v/>
      </c>
      <c r="AA3615">
        <f>IF($V3615="",N($AA3614),IF(MATCH($V3615,$V$6:$V$10005,0)=ROW()-5,N($AA3614)+1,N($AA3614)))</f>
        <v>0</v>
      </c>
    </row>
    <row r="3616" spans="1:27" ht="21" customHeight="1" x14ac:dyDescent="0.95">
      <c r="A3616" s="56"/>
      <c r="B3616" s="57"/>
      <c r="C3616" s="57"/>
      <c r="D3616" s="57"/>
      <c r="E3616" s="56"/>
      <c r="F3616" s="57"/>
      <c r="G3616" s="57"/>
      <c r="H3616" s="56"/>
      <c r="I3616" s="56"/>
      <c r="J3616" s="58"/>
      <c r="K3616" s="58"/>
      <c r="L3616" s="13" t="str">
        <f t="shared" si="560"/>
        <v/>
      </c>
      <c r="M3616" s="13" t="str">
        <f t="shared" si="561"/>
        <v/>
      </c>
      <c r="Q3616" t="str">
        <f t="shared" si="562"/>
        <v/>
      </c>
      <c r="R3616" t="str">
        <f t="shared" si="563"/>
        <v/>
      </c>
      <c r="S3616" t="str">
        <f t="shared" si="564"/>
        <v/>
      </c>
      <c r="T3616" t="str">
        <f t="shared" si="565"/>
        <v/>
      </c>
      <c r="U3616" t="str">
        <f t="shared" si="566"/>
        <v/>
      </c>
      <c r="V3616" t="str">
        <f t="shared" si="567"/>
        <v/>
      </c>
      <c r="W3616" t="str">
        <f t="shared" si="568"/>
        <v/>
      </c>
      <c r="X3616">
        <f>IF($T3616="",N($X3615),IF(MATCH($T3616,$T$6:$T$10005,0)=ROW()-5,N($X3615)+1,N($X3615)))</f>
        <v>0</v>
      </c>
      <c r="Z3616" t="str">
        <f t="shared" si="569"/>
        <v/>
      </c>
      <c r="AA3616">
        <f>IF($V3616="",N($AA3615),IF(MATCH($V3616,$V$6:$V$10005,0)=ROW()-5,N($AA3615)+1,N($AA3615)))</f>
        <v>0</v>
      </c>
    </row>
    <row r="3617" spans="1:27" ht="21" customHeight="1" x14ac:dyDescent="0.95">
      <c r="A3617" s="56"/>
      <c r="B3617" s="57"/>
      <c r="C3617" s="57"/>
      <c r="D3617" s="57"/>
      <c r="E3617" s="56"/>
      <c r="F3617" s="57"/>
      <c r="G3617" s="57"/>
      <c r="H3617" s="56"/>
      <c r="I3617" s="56"/>
      <c r="J3617" s="58"/>
      <c r="K3617" s="58"/>
      <c r="L3617" s="13" t="str">
        <f t="shared" si="560"/>
        <v/>
      </c>
      <c r="M3617" s="13" t="str">
        <f t="shared" si="561"/>
        <v/>
      </c>
      <c r="Q3617" t="str">
        <f t="shared" si="562"/>
        <v/>
      </c>
      <c r="R3617" t="str">
        <f t="shared" si="563"/>
        <v/>
      </c>
      <c r="S3617" t="str">
        <f t="shared" si="564"/>
        <v/>
      </c>
      <c r="T3617" t="str">
        <f t="shared" si="565"/>
        <v/>
      </c>
      <c r="U3617" t="str">
        <f t="shared" si="566"/>
        <v/>
      </c>
      <c r="V3617" t="str">
        <f t="shared" si="567"/>
        <v/>
      </c>
      <c r="W3617" t="str">
        <f t="shared" si="568"/>
        <v/>
      </c>
      <c r="X3617">
        <f>IF($T3617="",N($X3616),IF(MATCH($T3617,$T$6:$T$10005,0)=ROW()-5,N($X3616)+1,N($X3616)))</f>
        <v>0</v>
      </c>
      <c r="Z3617" t="str">
        <f t="shared" si="569"/>
        <v/>
      </c>
      <c r="AA3617">
        <f>IF($V3617="",N($AA3616),IF(MATCH($V3617,$V$6:$V$10005,0)=ROW()-5,N($AA3616)+1,N($AA3616)))</f>
        <v>0</v>
      </c>
    </row>
    <row r="3618" spans="1:27" ht="21" customHeight="1" x14ac:dyDescent="0.95">
      <c r="A3618" s="56"/>
      <c r="B3618" s="57"/>
      <c r="C3618" s="57"/>
      <c r="D3618" s="57"/>
      <c r="E3618" s="56"/>
      <c r="F3618" s="57"/>
      <c r="G3618" s="57"/>
      <c r="H3618" s="56"/>
      <c r="I3618" s="56"/>
      <c r="J3618" s="58"/>
      <c r="K3618" s="58"/>
      <c r="L3618" s="13" t="str">
        <f t="shared" si="560"/>
        <v/>
      </c>
      <c r="M3618" s="13" t="str">
        <f t="shared" si="561"/>
        <v/>
      </c>
      <c r="Q3618" t="str">
        <f t="shared" si="562"/>
        <v/>
      </c>
      <c r="R3618" t="str">
        <f t="shared" si="563"/>
        <v/>
      </c>
      <c r="S3618" t="str">
        <f t="shared" si="564"/>
        <v/>
      </c>
      <c r="T3618" t="str">
        <f t="shared" si="565"/>
        <v/>
      </c>
      <c r="U3618" t="str">
        <f t="shared" si="566"/>
        <v/>
      </c>
      <c r="V3618" t="str">
        <f t="shared" si="567"/>
        <v/>
      </c>
      <c r="W3618" t="str">
        <f t="shared" si="568"/>
        <v/>
      </c>
      <c r="X3618">
        <f>IF($T3618="",N($X3617),IF(MATCH($T3618,$T$6:$T$10005,0)=ROW()-5,N($X3617)+1,N($X3617)))</f>
        <v>0</v>
      </c>
      <c r="Z3618" t="str">
        <f t="shared" si="569"/>
        <v/>
      </c>
      <c r="AA3618">
        <f>IF($V3618="",N($AA3617),IF(MATCH($V3618,$V$6:$V$10005,0)=ROW()-5,N($AA3617)+1,N($AA3617)))</f>
        <v>0</v>
      </c>
    </row>
    <row r="3619" spans="1:27" ht="21" customHeight="1" x14ac:dyDescent="0.95">
      <c r="A3619" s="56"/>
      <c r="B3619" s="57"/>
      <c r="C3619" s="57"/>
      <c r="D3619" s="57"/>
      <c r="E3619" s="56"/>
      <c r="F3619" s="57"/>
      <c r="G3619" s="57"/>
      <c r="H3619" s="56"/>
      <c r="I3619" s="56"/>
      <c r="J3619" s="58"/>
      <c r="K3619" s="58"/>
      <c r="L3619" s="13" t="str">
        <f t="shared" si="560"/>
        <v/>
      </c>
      <c r="M3619" s="13" t="str">
        <f t="shared" si="561"/>
        <v/>
      </c>
      <c r="Q3619" t="str">
        <f t="shared" si="562"/>
        <v/>
      </c>
      <c r="R3619" t="str">
        <f t="shared" si="563"/>
        <v/>
      </c>
      <c r="S3619" t="str">
        <f t="shared" si="564"/>
        <v/>
      </c>
      <c r="T3619" t="str">
        <f t="shared" si="565"/>
        <v/>
      </c>
      <c r="U3619" t="str">
        <f t="shared" si="566"/>
        <v/>
      </c>
      <c r="V3619" t="str">
        <f t="shared" si="567"/>
        <v/>
      </c>
      <c r="W3619" t="str">
        <f t="shared" si="568"/>
        <v/>
      </c>
      <c r="X3619">
        <f>IF($T3619="",N($X3618),IF(MATCH($T3619,$T$6:$T$10005,0)=ROW()-5,N($X3618)+1,N($X3618)))</f>
        <v>0</v>
      </c>
      <c r="Z3619" t="str">
        <f t="shared" si="569"/>
        <v/>
      </c>
      <c r="AA3619">
        <f>IF($V3619="",N($AA3618),IF(MATCH($V3619,$V$6:$V$10005,0)=ROW()-5,N($AA3618)+1,N($AA3618)))</f>
        <v>0</v>
      </c>
    </row>
    <row r="3620" spans="1:27" ht="21" customHeight="1" x14ac:dyDescent="0.95">
      <c r="A3620" s="56"/>
      <c r="B3620" s="57"/>
      <c r="C3620" s="57"/>
      <c r="D3620" s="57"/>
      <c r="E3620" s="56"/>
      <c r="F3620" s="57"/>
      <c r="G3620" s="57"/>
      <c r="H3620" s="56"/>
      <c r="I3620" s="56"/>
      <c r="J3620" s="58"/>
      <c r="K3620" s="58"/>
      <c r="L3620" s="13" t="str">
        <f t="shared" si="560"/>
        <v/>
      </c>
      <c r="M3620" s="13" t="str">
        <f t="shared" si="561"/>
        <v/>
      </c>
      <c r="Q3620" t="str">
        <f t="shared" si="562"/>
        <v/>
      </c>
      <c r="R3620" t="str">
        <f t="shared" si="563"/>
        <v/>
      </c>
      <c r="S3620" t="str">
        <f t="shared" si="564"/>
        <v/>
      </c>
      <c r="T3620" t="str">
        <f t="shared" si="565"/>
        <v/>
      </c>
      <c r="U3620" t="str">
        <f t="shared" si="566"/>
        <v/>
      </c>
      <c r="V3620" t="str">
        <f t="shared" si="567"/>
        <v/>
      </c>
      <c r="W3620" t="str">
        <f t="shared" si="568"/>
        <v/>
      </c>
      <c r="X3620">
        <f>IF($T3620="",N($X3619),IF(MATCH($T3620,$T$6:$T$10005,0)=ROW()-5,N($X3619)+1,N($X3619)))</f>
        <v>0</v>
      </c>
      <c r="Z3620" t="str">
        <f t="shared" si="569"/>
        <v/>
      </c>
      <c r="AA3620">
        <f>IF($V3620="",N($AA3619),IF(MATCH($V3620,$V$6:$V$10005,0)=ROW()-5,N($AA3619)+1,N($AA3619)))</f>
        <v>0</v>
      </c>
    </row>
    <row r="3621" spans="1:27" ht="21" customHeight="1" x14ac:dyDescent="0.95">
      <c r="A3621" s="56"/>
      <c r="B3621" s="57"/>
      <c r="C3621" s="57"/>
      <c r="D3621" s="57"/>
      <c r="E3621" s="56"/>
      <c r="F3621" s="57"/>
      <c r="G3621" s="57"/>
      <c r="H3621" s="56"/>
      <c r="I3621" s="56"/>
      <c r="J3621" s="58"/>
      <c r="K3621" s="58"/>
      <c r="L3621" s="13" t="str">
        <f t="shared" si="560"/>
        <v/>
      </c>
      <c r="M3621" s="13" t="str">
        <f t="shared" si="561"/>
        <v/>
      </c>
      <c r="Q3621" t="str">
        <f t="shared" si="562"/>
        <v/>
      </c>
      <c r="R3621" t="str">
        <f t="shared" si="563"/>
        <v/>
      </c>
      <c r="S3621" t="str">
        <f t="shared" si="564"/>
        <v/>
      </c>
      <c r="T3621" t="str">
        <f t="shared" si="565"/>
        <v/>
      </c>
      <c r="U3621" t="str">
        <f t="shared" si="566"/>
        <v/>
      </c>
      <c r="V3621" t="str">
        <f t="shared" si="567"/>
        <v/>
      </c>
      <c r="W3621" t="str">
        <f t="shared" si="568"/>
        <v/>
      </c>
      <c r="X3621">
        <f>IF($T3621="",N($X3620),IF(MATCH($T3621,$T$6:$T$10005,0)=ROW()-5,N($X3620)+1,N($X3620)))</f>
        <v>0</v>
      </c>
      <c r="Z3621" t="str">
        <f t="shared" si="569"/>
        <v/>
      </c>
      <c r="AA3621">
        <f>IF($V3621="",N($AA3620),IF(MATCH($V3621,$V$6:$V$10005,0)=ROW()-5,N($AA3620)+1,N($AA3620)))</f>
        <v>0</v>
      </c>
    </row>
    <row r="3622" spans="1:27" ht="21" customHeight="1" x14ac:dyDescent="0.95">
      <c r="A3622" s="56"/>
      <c r="B3622" s="57"/>
      <c r="C3622" s="57"/>
      <c r="D3622" s="57"/>
      <c r="E3622" s="56"/>
      <c r="F3622" s="57"/>
      <c r="G3622" s="57"/>
      <c r="H3622" s="56"/>
      <c r="I3622" s="56"/>
      <c r="J3622" s="58"/>
      <c r="K3622" s="58"/>
      <c r="L3622" s="13" t="str">
        <f t="shared" si="560"/>
        <v/>
      </c>
      <c r="M3622" s="13" t="str">
        <f t="shared" si="561"/>
        <v/>
      </c>
      <c r="Q3622" t="str">
        <f t="shared" si="562"/>
        <v/>
      </c>
      <c r="R3622" t="str">
        <f t="shared" si="563"/>
        <v/>
      </c>
      <c r="S3622" t="str">
        <f t="shared" si="564"/>
        <v/>
      </c>
      <c r="T3622" t="str">
        <f t="shared" si="565"/>
        <v/>
      </c>
      <c r="U3622" t="str">
        <f t="shared" si="566"/>
        <v/>
      </c>
      <c r="V3622" t="str">
        <f t="shared" si="567"/>
        <v/>
      </c>
      <c r="W3622" t="str">
        <f t="shared" si="568"/>
        <v/>
      </c>
      <c r="X3622">
        <f>IF($T3622="",N($X3621),IF(MATCH($T3622,$T$6:$T$10005,0)=ROW()-5,N($X3621)+1,N($X3621)))</f>
        <v>0</v>
      </c>
      <c r="Z3622" t="str">
        <f t="shared" si="569"/>
        <v/>
      </c>
      <c r="AA3622">
        <f>IF($V3622="",N($AA3621),IF(MATCH($V3622,$V$6:$V$10005,0)=ROW()-5,N($AA3621)+1,N($AA3621)))</f>
        <v>0</v>
      </c>
    </row>
    <row r="3623" spans="1:27" ht="21" customHeight="1" x14ac:dyDescent="0.95">
      <c r="A3623" s="56"/>
      <c r="B3623" s="57"/>
      <c r="C3623" s="57"/>
      <c r="D3623" s="57"/>
      <c r="E3623" s="56"/>
      <c r="F3623" s="57"/>
      <c r="G3623" s="57"/>
      <c r="H3623" s="56"/>
      <c r="I3623" s="56"/>
      <c r="J3623" s="58"/>
      <c r="K3623" s="58"/>
      <c r="L3623" s="13" t="str">
        <f t="shared" si="560"/>
        <v/>
      </c>
      <c r="M3623" s="13" t="str">
        <f t="shared" si="561"/>
        <v/>
      </c>
      <c r="Q3623" t="str">
        <f t="shared" si="562"/>
        <v/>
      </c>
      <c r="R3623" t="str">
        <f t="shared" si="563"/>
        <v/>
      </c>
      <c r="S3623" t="str">
        <f t="shared" si="564"/>
        <v/>
      </c>
      <c r="T3623" t="str">
        <f t="shared" si="565"/>
        <v/>
      </c>
      <c r="U3623" t="str">
        <f t="shared" si="566"/>
        <v/>
      </c>
      <c r="V3623" t="str">
        <f t="shared" si="567"/>
        <v/>
      </c>
      <c r="W3623" t="str">
        <f t="shared" si="568"/>
        <v/>
      </c>
      <c r="X3623">
        <f>IF($T3623="",N($X3622),IF(MATCH($T3623,$T$6:$T$10005,0)=ROW()-5,N($X3622)+1,N($X3622)))</f>
        <v>0</v>
      </c>
      <c r="Z3623" t="str">
        <f t="shared" si="569"/>
        <v/>
      </c>
      <c r="AA3623">
        <f>IF($V3623="",N($AA3622),IF(MATCH($V3623,$V$6:$V$10005,0)=ROW()-5,N($AA3622)+1,N($AA3622)))</f>
        <v>0</v>
      </c>
    </row>
    <row r="3624" spans="1:27" ht="21" customHeight="1" x14ac:dyDescent="0.95">
      <c r="A3624" s="56"/>
      <c r="B3624" s="57"/>
      <c r="C3624" s="57"/>
      <c r="D3624" s="57"/>
      <c r="E3624" s="56"/>
      <c r="F3624" s="57"/>
      <c r="G3624" s="57"/>
      <c r="H3624" s="56"/>
      <c r="I3624" s="56"/>
      <c r="J3624" s="58"/>
      <c r="K3624" s="58"/>
      <c r="L3624" s="13" t="str">
        <f t="shared" si="560"/>
        <v/>
      </c>
      <c r="M3624" s="13" t="str">
        <f t="shared" si="561"/>
        <v/>
      </c>
      <c r="Q3624" t="str">
        <f t="shared" si="562"/>
        <v/>
      </c>
      <c r="R3624" t="str">
        <f t="shared" si="563"/>
        <v/>
      </c>
      <c r="S3624" t="str">
        <f t="shared" si="564"/>
        <v/>
      </c>
      <c r="T3624" t="str">
        <f t="shared" si="565"/>
        <v/>
      </c>
      <c r="U3624" t="str">
        <f t="shared" si="566"/>
        <v/>
      </c>
      <c r="V3624" t="str">
        <f t="shared" si="567"/>
        <v/>
      </c>
      <c r="W3624" t="str">
        <f t="shared" si="568"/>
        <v/>
      </c>
      <c r="X3624">
        <f>IF($T3624="",N($X3623),IF(MATCH($T3624,$T$6:$T$10005,0)=ROW()-5,N($X3623)+1,N($X3623)))</f>
        <v>0</v>
      </c>
      <c r="Z3624" t="str">
        <f t="shared" si="569"/>
        <v/>
      </c>
      <c r="AA3624">
        <f>IF($V3624="",N($AA3623),IF(MATCH($V3624,$V$6:$V$10005,0)=ROW()-5,N($AA3623)+1,N($AA3623)))</f>
        <v>0</v>
      </c>
    </row>
    <row r="3625" spans="1:27" ht="21" customHeight="1" x14ac:dyDescent="0.95">
      <c r="A3625" s="56"/>
      <c r="B3625" s="57"/>
      <c r="C3625" s="57"/>
      <c r="D3625" s="57"/>
      <c r="E3625" s="56"/>
      <c r="F3625" s="57"/>
      <c r="G3625" s="57"/>
      <c r="H3625" s="56"/>
      <c r="I3625" s="56"/>
      <c r="J3625" s="58"/>
      <c r="K3625" s="58"/>
      <c r="L3625" s="13" t="str">
        <f t="shared" si="560"/>
        <v/>
      </c>
      <c r="M3625" s="13" t="str">
        <f t="shared" si="561"/>
        <v/>
      </c>
      <c r="Q3625" t="str">
        <f t="shared" si="562"/>
        <v/>
      </c>
      <c r="R3625" t="str">
        <f t="shared" si="563"/>
        <v/>
      </c>
      <c r="S3625" t="str">
        <f t="shared" si="564"/>
        <v/>
      </c>
      <c r="T3625" t="str">
        <f t="shared" si="565"/>
        <v/>
      </c>
      <c r="U3625" t="str">
        <f t="shared" si="566"/>
        <v/>
      </c>
      <c r="V3625" t="str">
        <f t="shared" si="567"/>
        <v/>
      </c>
      <c r="W3625" t="str">
        <f t="shared" si="568"/>
        <v/>
      </c>
      <c r="X3625">
        <f>IF($T3625="",N($X3624),IF(MATCH($T3625,$T$6:$T$10005,0)=ROW()-5,N($X3624)+1,N($X3624)))</f>
        <v>0</v>
      </c>
      <c r="Z3625" t="str">
        <f t="shared" si="569"/>
        <v/>
      </c>
      <c r="AA3625">
        <f>IF($V3625="",N($AA3624),IF(MATCH($V3625,$V$6:$V$10005,0)=ROW()-5,N($AA3624)+1,N($AA3624)))</f>
        <v>0</v>
      </c>
    </row>
    <row r="3626" spans="1:27" ht="21" customHeight="1" x14ac:dyDescent="0.95">
      <c r="A3626" s="56"/>
      <c r="B3626" s="57"/>
      <c r="C3626" s="57"/>
      <c r="D3626" s="57"/>
      <c r="E3626" s="56"/>
      <c r="F3626" s="57"/>
      <c r="G3626" s="57"/>
      <c r="H3626" s="56"/>
      <c r="I3626" s="56"/>
      <c r="J3626" s="58"/>
      <c r="K3626" s="58"/>
      <c r="L3626" s="13" t="str">
        <f t="shared" si="560"/>
        <v/>
      </c>
      <c r="M3626" s="13" t="str">
        <f t="shared" si="561"/>
        <v/>
      </c>
      <c r="Q3626" t="str">
        <f t="shared" si="562"/>
        <v/>
      </c>
      <c r="R3626" t="str">
        <f t="shared" si="563"/>
        <v/>
      </c>
      <c r="S3626" t="str">
        <f t="shared" si="564"/>
        <v/>
      </c>
      <c r="T3626" t="str">
        <f t="shared" si="565"/>
        <v/>
      </c>
      <c r="U3626" t="str">
        <f t="shared" si="566"/>
        <v/>
      </c>
      <c r="V3626" t="str">
        <f t="shared" si="567"/>
        <v/>
      </c>
      <c r="W3626" t="str">
        <f t="shared" si="568"/>
        <v/>
      </c>
      <c r="X3626">
        <f>IF($T3626="",N($X3625),IF(MATCH($T3626,$T$6:$T$10005,0)=ROW()-5,N($X3625)+1,N($X3625)))</f>
        <v>0</v>
      </c>
      <c r="Z3626" t="str">
        <f t="shared" si="569"/>
        <v/>
      </c>
      <c r="AA3626">
        <f>IF($V3626="",N($AA3625),IF(MATCH($V3626,$V$6:$V$10005,0)=ROW()-5,N($AA3625)+1,N($AA3625)))</f>
        <v>0</v>
      </c>
    </row>
    <row r="3627" spans="1:27" ht="21" customHeight="1" x14ac:dyDescent="0.95">
      <c r="A3627" s="56"/>
      <c r="B3627" s="57"/>
      <c r="C3627" s="57"/>
      <c r="D3627" s="57"/>
      <c r="E3627" s="56"/>
      <c r="F3627" s="57"/>
      <c r="G3627" s="57"/>
      <c r="H3627" s="56"/>
      <c r="I3627" s="56"/>
      <c r="J3627" s="58"/>
      <c r="K3627" s="58"/>
      <c r="L3627" s="13" t="str">
        <f t="shared" si="560"/>
        <v/>
      </c>
      <c r="M3627" s="13" t="str">
        <f t="shared" si="561"/>
        <v/>
      </c>
      <c r="Q3627" t="str">
        <f t="shared" si="562"/>
        <v/>
      </c>
      <c r="R3627" t="str">
        <f t="shared" si="563"/>
        <v/>
      </c>
      <c r="S3627" t="str">
        <f t="shared" si="564"/>
        <v/>
      </c>
      <c r="T3627" t="str">
        <f t="shared" si="565"/>
        <v/>
      </c>
      <c r="U3627" t="str">
        <f t="shared" si="566"/>
        <v/>
      </c>
      <c r="V3627" t="str">
        <f t="shared" si="567"/>
        <v/>
      </c>
      <c r="W3627" t="str">
        <f t="shared" si="568"/>
        <v/>
      </c>
      <c r="X3627">
        <f>IF($T3627="",N($X3626),IF(MATCH($T3627,$T$6:$T$10005,0)=ROW()-5,N($X3626)+1,N($X3626)))</f>
        <v>0</v>
      </c>
      <c r="Z3627" t="str">
        <f t="shared" si="569"/>
        <v/>
      </c>
      <c r="AA3627">
        <f>IF($V3627="",N($AA3626),IF(MATCH($V3627,$V$6:$V$10005,0)=ROW()-5,N($AA3626)+1,N($AA3626)))</f>
        <v>0</v>
      </c>
    </row>
    <row r="3628" spans="1:27" ht="21" customHeight="1" x14ac:dyDescent="0.95">
      <c r="A3628" s="56"/>
      <c r="B3628" s="57"/>
      <c r="C3628" s="57"/>
      <c r="D3628" s="57"/>
      <c r="E3628" s="56"/>
      <c r="F3628" s="57"/>
      <c r="G3628" s="57"/>
      <c r="H3628" s="56"/>
      <c r="I3628" s="56"/>
      <c r="J3628" s="58"/>
      <c r="K3628" s="58"/>
      <c r="L3628" s="13" t="str">
        <f t="shared" si="560"/>
        <v/>
      </c>
      <c r="M3628" s="13" t="str">
        <f t="shared" si="561"/>
        <v/>
      </c>
      <c r="Q3628" t="str">
        <f t="shared" si="562"/>
        <v/>
      </c>
      <c r="R3628" t="str">
        <f t="shared" si="563"/>
        <v/>
      </c>
      <c r="S3628" t="str">
        <f t="shared" si="564"/>
        <v/>
      </c>
      <c r="T3628" t="str">
        <f t="shared" si="565"/>
        <v/>
      </c>
      <c r="U3628" t="str">
        <f t="shared" si="566"/>
        <v/>
      </c>
      <c r="V3628" t="str">
        <f t="shared" si="567"/>
        <v/>
      </c>
      <c r="W3628" t="str">
        <f t="shared" si="568"/>
        <v/>
      </c>
      <c r="X3628">
        <f>IF($T3628="",N($X3627),IF(MATCH($T3628,$T$6:$T$10005,0)=ROW()-5,N($X3627)+1,N($X3627)))</f>
        <v>0</v>
      </c>
      <c r="Z3628" t="str">
        <f t="shared" si="569"/>
        <v/>
      </c>
      <c r="AA3628">
        <f>IF($V3628="",N($AA3627),IF(MATCH($V3628,$V$6:$V$10005,0)=ROW()-5,N($AA3627)+1,N($AA3627)))</f>
        <v>0</v>
      </c>
    </row>
    <row r="3629" spans="1:27" ht="21" customHeight="1" x14ac:dyDescent="0.95">
      <c r="A3629" s="56"/>
      <c r="B3629" s="57"/>
      <c r="C3629" s="57"/>
      <c r="D3629" s="57"/>
      <c r="E3629" s="56"/>
      <c r="F3629" s="57"/>
      <c r="G3629" s="57"/>
      <c r="H3629" s="56"/>
      <c r="I3629" s="56"/>
      <c r="J3629" s="58"/>
      <c r="K3629" s="58"/>
      <c r="L3629" s="13" t="str">
        <f t="shared" si="560"/>
        <v/>
      </c>
      <c r="M3629" s="13" t="str">
        <f t="shared" si="561"/>
        <v/>
      </c>
      <c r="Q3629" t="str">
        <f t="shared" si="562"/>
        <v/>
      </c>
      <c r="R3629" t="str">
        <f t="shared" si="563"/>
        <v/>
      </c>
      <c r="S3629" t="str">
        <f t="shared" si="564"/>
        <v/>
      </c>
      <c r="T3629" t="str">
        <f t="shared" si="565"/>
        <v/>
      </c>
      <c r="U3629" t="str">
        <f t="shared" si="566"/>
        <v/>
      </c>
      <c r="V3629" t="str">
        <f t="shared" si="567"/>
        <v/>
      </c>
      <c r="W3629" t="str">
        <f t="shared" si="568"/>
        <v/>
      </c>
      <c r="X3629">
        <f>IF($T3629="",N($X3628),IF(MATCH($T3629,$T$6:$T$10005,0)=ROW()-5,N($X3628)+1,N($X3628)))</f>
        <v>0</v>
      </c>
      <c r="Z3629" t="str">
        <f t="shared" si="569"/>
        <v/>
      </c>
      <c r="AA3629">
        <f>IF($V3629="",N($AA3628),IF(MATCH($V3629,$V$6:$V$10005,0)=ROW()-5,N($AA3628)+1,N($AA3628)))</f>
        <v>0</v>
      </c>
    </row>
    <row r="3630" spans="1:27" ht="21" customHeight="1" x14ac:dyDescent="0.95">
      <c r="A3630" s="56"/>
      <c r="B3630" s="57"/>
      <c r="C3630" s="57"/>
      <c r="D3630" s="57"/>
      <c r="E3630" s="56"/>
      <c r="F3630" s="57"/>
      <c r="G3630" s="57"/>
      <c r="H3630" s="56"/>
      <c r="I3630" s="56"/>
      <c r="J3630" s="58"/>
      <c r="K3630" s="58"/>
      <c r="L3630" s="13" t="str">
        <f t="shared" si="560"/>
        <v/>
      </c>
      <c r="M3630" s="13" t="str">
        <f t="shared" si="561"/>
        <v/>
      </c>
      <c r="Q3630" t="str">
        <f t="shared" si="562"/>
        <v/>
      </c>
      <c r="R3630" t="str">
        <f t="shared" si="563"/>
        <v/>
      </c>
      <c r="S3630" t="str">
        <f t="shared" si="564"/>
        <v/>
      </c>
      <c r="T3630" t="str">
        <f t="shared" si="565"/>
        <v/>
      </c>
      <c r="U3630" t="str">
        <f t="shared" si="566"/>
        <v/>
      </c>
      <c r="V3630" t="str">
        <f t="shared" si="567"/>
        <v/>
      </c>
      <c r="W3630" t="str">
        <f t="shared" si="568"/>
        <v/>
      </c>
      <c r="X3630">
        <f>IF($T3630="",N($X3629),IF(MATCH($T3630,$T$6:$T$10005,0)=ROW()-5,N($X3629)+1,N($X3629)))</f>
        <v>0</v>
      </c>
      <c r="Z3630" t="str">
        <f t="shared" si="569"/>
        <v/>
      </c>
      <c r="AA3630">
        <f>IF($V3630="",N($AA3629),IF(MATCH($V3630,$V$6:$V$10005,0)=ROW()-5,N($AA3629)+1,N($AA3629)))</f>
        <v>0</v>
      </c>
    </row>
    <row r="3631" spans="1:27" ht="21" customHeight="1" x14ac:dyDescent="0.95">
      <c r="A3631" s="56"/>
      <c r="B3631" s="57"/>
      <c r="C3631" s="57"/>
      <c r="D3631" s="57"/>
      <c r="E3631" s="56"/>
      <c r="F3631" s="57"/>
      <c r="G3631" s="57"/>
      <c r="H3631" s="56"/>
      <c r="I3631" s="56"/>
      <c r="J3631" s="58"/>
      <c r="K3631" s="58"/>
      <c r="L3631" s="13" t="str">
        <f t="shared" si="560"/>
        <v/>
      </c>
      <c r="M3631" s="13" t="str">
        <f t="shared" si="561"/>
        <v/>
      </c>
      <c r="Q3631" t="str">
        <f t="shared" si="562"/>
        <v/>
      </c>
      <c r="R3631" t="str">
        <f t="shared" si="563"/>
        <v/>
      </c>
      <c r="S3631" t="str">
        <f t="shared" si="564"/>
        <v/>
      </c>
      <c r="T3631" t="str">
        <f t="shared" si="565"/>
        <v/>
      </c>
      <c r="U3631" t="str">
        <f t="shared" si="566"/>
        <v/>
      </c>
      <c r="V3631" t="str">
        <f t="shared" si="567"/>
        <v/>
      </c>
      <c r="W3631" t="str">
        <f t="shared" si="568"/>
        <v/>
      </c>
      <c r="X3631">
        <f>IF($T3631="",N($X3630),IF(MATCH($T3631,$T$6:$T$10005,0)=ROW()-5,N($X3630)+1,N($X3630)))</f>
        <v>0</v>
      </c>
      <c r="Z3631" t="str">
        <f t="shared" si="569"/>
        <v/>
      </c>
      <c r="AA3631">
        <f>IF($V3631="",N($AA3630),IF(MATCH($V3631,$V$6:$V$10005,0)=ROW()-5,N($AA3630)+1,N($AA3630)))</f>
        <v>0</v>
      </c>
    </row>
    <row r="3632" spans="1:27" ht="21" customHeight="1" x14ac:dyDescent="0.95">
      <c r="A3632" s="56"/>
      <c r="B3632" s="57"/>
      <c r="C3632" s="57"/>
      <c r="D3632" s="57"/>
      <c r="E3632" s="56"/>
      <c r="F3632" s="57"/>
      <c r="G3632" s="57"/>
      <c r="H3632" s="56"/>
      <c r="I3632" s="56"/>
      <c r="J3632" s="58"/>
      <c r="K3632" s="58"/>
      <c r="L3632" s="13" t="str">
        <f t="shared" si="560"/>
        <v/>
      </c>
      <c r="M3632" s="13" t="str">
        <f t="shared" si="561"/>
        <v/>
      </c>
      <c r="Q3632" t="str">
        <f t="shared" si="562"/>
        <v/>
      </c>
      <c r="R3632" t="str">
        <f t="shared" si="563"/>
        <v/>
      </c>
      <c r="S3632" t="str">
        <f t="shared" si="564"/>
        <v/>
      </c>
      <c r="T3632" t="str">
        <f t="shared" si="565"/>
        <v/>
      </c>
      <c r="U3632" t="str">
        <f t="shared" si="566"/>
        <v/>
      </c>
      <c r="V3632" t="str">
        <f t="shared" si="567"/>
        <v/>
      </c>
      <c r="W3632" t="str">
        <f t="shared" si="568"/>
        <v/>
      </c>
      <c r="X3632">
        <f>IF($T3632="",N($X3631),IF(MATCH($T3632,$T$6:$T$10005,0)=ROW()-5,N($X3631)+1,N($X3631)))</f>
        <v>0</v>
      </c>
      <c r="Z3632" t="str">
        <f t="shared" si="569"/>
        <v/>
      </c>
      <c r="AA3632">
        <f>IF($V3632="",N($AA3631),IF(MATCH($V3632,$V$6:$V$10005,0)=ROW()-5,N($AA3631)+1,N($AA3631)))</f>
        <v>0</v>
      </c>
    </row>
    <row r="3633" spans="1:27" ht="21" customHeight="1" x14ac:dyDescent="0.95">
      <c r="A3633" s="56"/>
      <c r="B3633" s="57"/>
      <c r="C3633" s="57"/>
      <c r="D3633" s="57"/>
      <c r="E3633" s="56"/>
      <c r="F3633" s="57"/>
      <c r="G3633" s="57"/>
      <c r="H3633" s="56"/>
      <c r="I3633" s="56"/>
      <c r="J3633" s="58"/>
      <c r="K3633" s="58"/>
      <c r="L3633" s="13" t="str">
        <f t="shared" si="560"/>
        <v/>
      </c>
      <c r="M3633" s="13" t="str">
        <f t="shared" si="561"/>
        <v/>
      </c>
      <c r="Q3633" t="str">
        <f t="shared" si="562"/>
        <v/>
      </c>
      <c r="R3633" t="str">
        <f t="shared" si="563"/>
        <v/>
      </c>
      <c r="S3633" t="str">
        <f t="shared" si="564"/>
        <v/>
      </c>
      <c r="T3633" t="str">
        <f t="shared" si="565"/>
        <v/>
      </c>
      <c r="U3633" t="str">
        <f t="shared" si="566"/>
        <v/>
      </c>
      <c r="V3633" t="str">
        <f t="shared" si="567"/>
        <v/>
      </c>
      <c r="W3633" t="str">
        <f t="shared" si="568"/>
        <v/>
      </c>
      <c r="X3633">
        <f>IF($T3633="",N($X3632),IF(MATCH($T3633,$T$6:$T$10005,0)=ROW()-5,N($X3632)+1,N($X3632)))</f>
        <v>0</v>
      </c>
      <c r="Z3633" t="str">
        <f t="shared" si="569"/>
        <v/>
      </c>
      <c r="AA3633">
        <f>IF($V3633="",N($AA3632),IF(MATCH($V3633,$V$6:$V$10005,0)=ROW()-5,N($AA3632)+1,N($AA3632)))</f>
        <v>0</v>
      </c>
    </row>
    <row r="3634" spans="1:27" ht="21" customHeight="1" x14ac:dyDescent="0.95">
      <c r="A3634" s="56"/>
      <c r="B3634" s="57"/>
      <c r="C3634" s="57"/>
      <c r="D3634" s="57"/>
      <c r="E3634" s="56"/>
      <c r="F3634" s="57"/>
      <c r="G3634" s="57"/>
      <c r="H3634" s="56"/>
      <c r="I3634" s="56"/>
      <c r="J3634" s="58"/>
      <c r="K3634" s="58"/>
      <c r="L3634" s="13" t="str">
        <f t="shared" si="560"/>
        <v/>
      </c>
      <c r="M3634" s="13" t="str">
        <f t="shared" si="561"/>
        <v/>
      </c>
      <c r="Q3634" t="str">
        <f t="shared" si="562"/>
        <v/>
      </c>
      <c r="R3634" t="str">
        <f t="shared" si="563"/>
        <v/>
      </c>
      <c r="S3634" t="str">
        <f t="shared" si="564"/>
        <v/>
      </c>
      <c r="T3634" t="str">
        <f t="shared" si="565"/>
        <v/>
      </c>
      <c r="U3634" t="str">
        <f t="shared" si="566"/>
        <v/>
      </c>
      <c r="V3634" t="str">
        <f t="shared" si="567"/>
        <v/>
      </c>
      <c r="W3634" t="str">
        <f t="shared" si="568"/>
        <v/>
      </c>
      <c r="X3634">
        <f>IF($T3634="",N($X3633),IF(MATCH($T3634,$T$6:$T$10005,0)=ROW()-5,N($X3633)+1,N($X3633)))</f>
        <v>0</v>
      </c>
      <c r="Z3634" t="str">
        <f t="shared" si="569"/>
        <v/>
      </c>
      <c r="AA3634">
        <f>IF($V3634="",N($AA3633),IF(MATCH($V3634,$V$6:$V$10005,0)=ROW()-5,N($AA3633)+1,N($AA3633)))</f>
        <v>0</v>
      </c>
    </row>
    <row r="3635" spans="1:27" ht="21" customHeight="1" x14ac:dyDescent="0.95">
      <c r="A3635" s="56"/>
      <c r="B3635" s="57"/>
      <c r="C3635" s="57"/>
      <c r="D3635" s="57"/>
      <c r="E3635" s="56"/>
      <c r="F3635" s="57"/>
      <c r="G3635" s="57"/>
      <c r="H3635" s="56"/>
      <c r="I3635" s="56"/>
      <c r="J3635" s="58"/>
      <c r="K3635" s="58"/>
      <c r="L3635" s="13" t="str">
        <f t="shared" si="560"/>
        <v/>
      </c>
      <c r="M3635" s="13" t="str">
        <f t="shared" si="561"/>
        <v/>
      </c>
      <c r="Q3635" t="str">
        <f t="shared" si="562"/>
        <v/>
      </c>
      <c r="R3635" t="str">
        <f t="shared" si="563"/>
        <v/>
      </c>
      <c r="S3635" t="str">
        <f t="shared" si="564"/>
        <v/>
      </c>
      <c r="T3635" t="str">
        <f t="shared" si="565"/>
        <v/>
      </c>
      <c r="U3635" t="str">
        <f t="shared" si="566"/>
        <v/>
      </c>
      <c r="V3635" t="str">
        <f t="shared" si="567"/>
        <v/>
      </c>
      <c r="W3635" t="str">
        <f t="shared" si="568"/>
        <v/>
      </c>
      <c r="X3635">
        <f>IF($T3635="",N($X3634),IF(MATCH($T3635,$T$6:$T$10005,0)=ROW()-5,N($X3634)+1,N($X3634)))</f>
        <v>0</v>
      </c>
      <c r="Z3635" t="str">
        <f t="shared" si="569"/>
        <v/>
      </c>
      <c r="AA3635">
        <f>IF($V3635="",N($AA3634),IF(MATCH($V3635,$V$6:$V$10005,0)=ROW()-5,N($AA3634)+1,N($AA3634)))</f>
        <v>0</v>
      </c>
    </row>
    <row r="3636" spans="1:27" ht="21" customHeight="1" x14ac:dyDescent="0.95">
      <c r="A3636" s="56"/>
      <c r="B3636" s="57"/>
      <c r="C3636" s="57"/>
      <c r="D3636" s="57"/>
      <c r="E3636" s="56"/>
      <c r="F3636" s="57"/>
      <c r="G3636" s="57"/>
      <c r="H3636" s="56"/>
      <c r="I3636" s="56"/>
      <c r="J3636" s="58"/>
      <c r="K3636" s="58"/>
      <c r="L3636" s="13" t="str">
        <f t="shared" si="560"/>
        <v/>
      </c>
      <c r="M3636" s="13" t="str">
        <f t="shared" si="561"/>
        <v/>
      </c>
      <c r="Q3636" t="str">
        <f t="shared" si="562"/>
        <v/>
      </c>
      <c r="R3636" t="str">
        <f t="shared" si="563"/>
        <v/>
      </c>
      <c r="S3636" t="str">
        <f t="shared" si="564"/>
        <v/>
      </c>
      <c r="T3636" t="str">
        <f t="shared" si="565"/>
        <v/>
      </c>
      <c r="U3636" t="str">
        <f t="shared" si="566"/>
        <v/>
      </c>
      <c r="V3636" t="str">
        <f t="shared" si="567"/>
        <v/>
      </c>
      <c r="W3636" t="str">
        <f t="shared" si="568"/>
        <v/>
      </c>
      <c r="X3636">
        <f>IF($T3636="",N($X3635),IF(MATCH($T3636,$T$6:$T$10005,0)=ROW()-5,N($X3635)+1,N($X3635)))</f>
        <v>0</v>
      </c>
      <c r="Z3636" t="str">
        <f t="shared" si="569"/>
        <v/>
      </c>
      <c r="AA3636">
        <f>IF($V3636="",N($AA3635),IF(MATCH($V3636,$V$6:$V$10005,0)=ROW()-5,N($AA3635)+1,N($AA3635)))</f>
        <v>0</v>
      </c>
    </row>
    <row r="3637" spans="1:27" ht="21" customHeight="1" x14ac:dyDescent="0.95">
      <c r="A3637" s="56"/>
      <c r="B3637" s="57"/>
      <c r="C3637" s="57"/>
      <c r="D3637" s="57"/>
      <c r="E3637" s="56"/>
      <c r="F3637" s="57"/>
      <c r="G3637" s="57"/>
      <c r="H3637" s="56"/>
      <c r="I3637" s="56"/>
      <c r="J3637" s="58"/>
      <c r="K3637" s="58"/>
      <c r="L3637" s="13" t="str">
        <f t="shared" si="560"/>
        <v/>
      </c>
      <c r="M3637" s="13" t="str">
        <f t="shared" si="561"/>
        <v/>
      </c>
      <c r="Q3637" t="str">
        <f t="shared" si="562"/>
        <v/>
      </c>
      <c r="R3637" t="str">
        <f t="shared" si="563"/>
        <v/>
      </c>
      <c r="S3637" t="str">
        <f t="shared" si="564"/>
        <v/>
      </c>
      <c r="T3637" t="str">
        <f t="shared" si="565"/>
        <v/>
      </c>
      <c r="U3637" t="str">
        <f t="shared" si="566"/>
        <v/>
      </c>
      <c r="V3637" t="str">
        <f t="shared" si="567"/>
        <v/>
      </c>
      <c r="W3637" t="str">
        <f t="shared" si="568"/>
        <v/>
      </c>
      <c r="X3637">
        <f>IF($T3637="",N($X3636),IF(MATCH($T3637,$T$6:$T$10005,0)=ROW()-5,N($X3636)+1,N($X3636)))</f>
        <v>0</v>
      </c>
      <c r="Z3637" t="str">
        <f t="shared" si="569"/>
        <v/>
      </c>
      <c r="AA3637">
        <f>IF($V3637="",N($AA3636),IF(MATCH($V3637,$V$6:$V$10005,0)=ROW()-5,N($AA3636)+1,N($AA3636)))</f>
        <v>0</v>
      </c>
    </row>
    <row r="3638" spans="1:27" ht="21" customHeight="1" x14ac:dyDescent="0.95">
      <c r="A3638" s="56"/>
      <c r="B3638" s="57"/>
      <c r="C3638" s="57"/>
      <c r="D3638" s="57"/>
      <c r="E3638" s="56"/>
      <c r="F3638" s="57"/>
      <c r="G3638" s="57"/>
      <c r="H3638" s="56"/>
      <c r="I3638" s="56"/>
      <c r="J3638" s="58"/>
      <c r="K3638" s="58"/>
      <c r="L3638" s="13" t="str">
        <f t="shared" si="560"/>
        <v/>
      </c>
      <c r="M3638" s="13" t="str">
        <f t="shared" si="561"/>
        <v/>
      </c>
      <c r="Q3638" t="str">
        <f t="shared" si="562"/>
        <v/>
      </c>
      <c r="R3638" t="str">
        <f t="shared" si="563"/>
        <v/>
      </c>
      <c r="S3638" t="str">
        <f t="shared" si="564"/>
        <v/>
      </c>
      <c r="T3638" t="str">
        <f t="shared" si="565"/>
        <v/>
      </c>
      <c r="U3638" t="str">
        <f t="shared" si="566"/>
        <v/>
      </c>
      <c r="V3638" t="str">
        <f t="shared" si="567"/>
        <v/>
      </c>
      <c r="W3638" t="str">
        <f t="shared" si="568"/>
        <v/>
      </c>
      <c r="X3638">
        <f>IF($T3638="",N($X3637),IF(MATCH($T3638,$T$6:$T$10005,0)=ROW()-5,N($X3637)+1,N($X3637)))</f>
        <v>0</v>
      </c>
      <c r="Z3638" t="str">
        <f t="shared" si="569"/>
        <v/>
      </c>
      <c r="AA3638">
        <f>IF($V3638="",N($AA3637),IF(MATCH($V3638,$V$6:$V$10005,0)=ROW()-5,N($AA3637)+1,N($AA3637)))</f>
        <v>0</v>
      </c>
    </row>
    <row r="3639" spans="1:27" ht="21" customHeight="1" x14ac:dyDescent="0.95">
      <c r="A3639" s="56"/>
      <c r="B3639" s="57"/>
      <c r="C3639" s="57"/>
      <c r="D3639" s="57"/>
      <c r="E3639" s="56"/>
      <c r="F3639" s="57"/>
      <c r="G3639" s="57"/>
      <c r="H3639" s="56"/>
      <c r="I3639" s="56"/>
      <c r="J3639" s="58"/>
      <c r="K3639" s="58"/>
      <c r="L3639" s="13" t="str">
        <f t="shared" si="560"/>
        <v/>
      </c>
      <c r="M3639" s="13" t="str">
        <f t="shared" si="561"/>
        <v/>
      </c>
      <c r="Q3639" t="str">
        <f t="shared" si="562"/>
        <v/>
      </c>
      <c r="R3639" t="str">
        <f t="shared" si="563"/>
        <v/>
      </c>
      <c r="S3639" t="str">
        <f t="shared" si="564"/>
        <v/>
      </c>
      <c r="T3639" t="str">
        <f t="shared" si="565"/>
        <v/>
      </c>
      <c r="U3639" t="str">
        <f t="shared" si="566"/>
        <v/>
      </c>
      <c r="V3639" t="str">
        <f t="shared" si="567"/>
        <v/>
      </c>
      <c r="W3639" t="str">
        <f t="shared" si="568"/>
        <v/>
      </c>
      <c r="X3639">
        <f>IF($T3639="",N($X3638),IF(MATCH($T3639,$T$6:$T$10005,0)=ROW()-5,N($X3638)+1,N($X3638)))</f>
        <v>0</v>
      </c>
      <c r="Z3639" t="str">
        <f t="shared" si="569"/>
        <v/>
      </c>
      <c r="AA3639">
        <f>IF($V3639="",N($AA3638),IF(MATCH($V3639,$V$6:$V$10005,0)=ROW()-5,N($AA3638)+1,N($AA3638)))</f>
        <v>0</v>
      </c>
    </row>
    <row r="3640" spans="1:27" ht="21" customHeight="1" x14ac:dyDescent="0.95">
      <c r="A3640" s="56"/>
      <c r="B3640" s="57"/>
      <c r="C3640" s="57"/>
      <c r="D3640" s="57"/>
      <c r="E3640" s="56"/>
      <c r="F3640" s="57"/>
      <c r="G3640" s="57"/>
      <c r="H3640" s="56"/>
      <c r="I3640" s="56"/>
      <c r="J3640" s="58"/>
      <c r="K3640" s="58"/>
      <c r="L3640" s="13" t="str">
        <f t="shared" si="560"/>
        <v/>
      </c>
      <c r="M3640" s="13" t="str">
        <f t="shared" si="561"/>
        <v/>
      </c>
      <c r="Q3640" t="str">
        <f t="shared" si="562"/>
        <v/>
      </c>
      <c r="R3640" t="str">
        <f t="shared" si="563"/>
        <v/>
      </c>
      <c r="S3640" t="str">
        <f t="shared" si="564"/>
        <v/>
      </c>
      <c r="T3640" t="str">
        <f t="shared" si="565"/>
        <v/>
      </c>
      <c r="U3640" t="str">
        <f t="shared" si="566"/>
        <v/>
      </c>
      <c r="V3640" t="str">
        <f t="shared" si="567"/>
        <v/>
      </c>
      <c r="W3640" t="str">
        <f t="shared" si="568"/>
        <v/>
      </c>
      <c r="X3640">
        <f>IF($T3640="",N($X3639),IF(MATCH($T3640,$T$6:$T$10005,0)=ROW()-5,N($X3639)+1,N($X3639)))</f>
        <v>0</v>
      </c>
      <c r="Z3640" t="str">
        <f t="shared" si="569"/>
        <v/>
      </c>
      <c r="AA3640">
        <f>IF($V3640="",N($AA3639),IF(MATCH($V3640,$V$6:$V$10005,0)=ROW()-5,N($AA3639)+1,N($AA3639)))</f>
        <v>0</v>
      </c>
    </row>
    <row r="3641" spans="1:27" ht="21" customHeight="1" x14ac:dyDescent="0.95">
      <c r="A3641" s="56"/>
      <c r="B3641" s="57"/>
      <c r="C3641" s="57"/>
      <c r="D3641" s="57"/>
      <c r="E3641" s="56"/>
      <c r="F3641" s="57"/>
      <c r="G3641" s="57"/>
      <c r="H3641" s="56"/>
      <c r="I3641" s="56"/>
      <c r="J3641" s="58"/>
      <c r="K3641" s="58"/>
      <c r="L3641" s="13" t="str">
        <f t="shared" si="560"/>
        <v/>
      </c>
      <c r="M3641" s="13" t="str">
        <f t="shared" si="561"/>
        <v/>
      </c>
      <c r="Q3641" t="str">
        <f t="shared" si="562"/>
        <v/>
      </c>
      <c r="R3641" t="str">
        <f t="shared" si="563"/>
        <v/>
      </c>
      <c r="S3641" t="str">
        <f t="shared" si="564"/>
        <v/>
      </c>
      <c r="T3641" t="str">
        <f t="shared" si="565"/>
        <v/>
      </c>
      <c r="U3641" t="str">
        <f t="shared" si="566"/>
        <v/>
      </c>
      <c r="V3641" t="str">
        <f t="shared" si="567"/>
        <v/>
      </c>
      <c r="W3641" t="str">
        <f t="shared" si="568"/>
        <v/>
      </c>
      <c r="X3641">
        <f>IF($T3641="",N($X3640),IF(MATCH($T3641,$T$6:$T$10005,0)=ROW()-5,N($X3640)+1,N($X3640)))</f>
        <v>0</v>
      </c>
      <c r="Z3641" t="str">
        <f t="shared" si="569"/>
        <v/>
      </c>
      <c r="AA3641">
        <f>IF($V3641="",N($AA3640),IF(MATCH($V3641,$V$6:$V$10005,0)=ROW()-5,N($AA3640)+1,N($AA3640)))</f>
        <v>0</v>
      </c>
    </row>
    <row r="3642" spans="1:27" ht="21" customHeight="1" x14ac:dyDescent="0.95">
      <c r="A3642" s="56"/>
      <c r="B3642" s="57"/>
      <c r="C3642" s="57"/>
      <c r="D3642" s="57"/>
      <c r="E3642" s="56"/>
      <c r="F3642" s="57"/>
      <c r="G3642" s="57"/>
      <c r="H3642" s="56"/>
      <c r="I3642" s="56"/>
      <c r="J3642" s="58"/>
      <c r="K3642" s="58"/>
      <c r="L3642" s="13" t="str">
        <f t="shared" si="560"/>
        <v/>
      </c>
      <c r="M3642" s="13" t="str">
        <f t="shared" si="561"/>
        <v/>
      </c>
      <c r="Q3642" t="str">
        <f t="shared" si="562"/>
        <v/>
      </c>
      <c r="R3642" t="str">
        <f t="shared" si="563"/>
        <v/>
      </c>
      <c r="S3642" t="str">
        <f t="shared" si="564"/>
        <v/>
      </c>
      <c r="T3642" t="str">
        <f t="shared" si="565"/>
        <v/>
      </c>
      <c r="U3642" t="str">
        <f t="shared" si="566"/>
        <v/>
      </c>
      <c r="V3642" t="str">
        <f t="shared" si="567"/>
        <v/>
      </c>
      <c r="W3642" t="str">
        <f t="shared" si="568"/>
        <v/>
      </c>
      <c r="X3642">
        <f>IF($T3642="",N($X3641),IF(MATCH($T3642,$T$6:$T$10005,0)=ROW()-5,N($X3641)+1,N($X3641)))</f>
        <v>0</v>
      </c>
      <c r="Z3642" t="str">
        <f t="shared" si="569"/>
        <v/>
      </c>
      <c r="AA3642">
        <f>IF($V3642="",N($AA3641),IF(MATCH($V3642,$V$6:$V$10005,0)=ROW()-5,N($AA3641)+1,N($AA3641)))</f>
        <v>0</v>
      </c>
    </row>
    <row r="3643" spans="1:27" ht="21" customHeight="1" x14ac:dyDescent="0.95">
      <c r="A3643" s="56"/>
      <c r="B3643" s="57"/>
      <c r="C3643" s="57"/>
      <c r="D3643" s="57"/>
      <c r="E3643" s="56"/>
      <c r="F3643" s="57"/>
      <c r="G3643" s="57"/>
      <c r="H3643" s="56"/>
      <c r="I3643" s="56"/>
      <c r="J3643" s="58"/>
      <c r="K3643" s="58"/>
      <c r="L3643" s="13" t="str">
        <f t="shared" si="560"/>
        <v/>
      </c>
      <c r="M3643" s="13" t="str">
        <f t="shared" si="561"/>
        <v/>
      </c>
      <c r="Q3643" t="str">
        <f t="shared" si="562"/>
        <v/>
      </c>
      <c r="R3643" t="str">
        <f t="shared" si="563"/>
        <v/>
      </c>
      <c r="S3643" t="str">
        <f t="shared" si="564"/>
        <v/>
      </c>
      <c r="T3643" t="str">
        <f t="shared" si="565"/>
        <v/>
      </c>
      <c r="U3643" t="str">
        <f t="shared" si="566"/>
        <v/>
      </c>
      <c r="V3643" t="str">
        <f t="shared" si="567"/>
        <v/>
      </c>
      <c r="W3643" t="str">
        <f t="shared" si="568"/>
        <v/>
      </c>
      <c r="X3643">
        <f>IF($T3643="",N($X3642),IF(MATCH($T3643,$T$6:$T$10005,0)=ROW()-5,N($X3642)+1,N($X3642)))</f>
        <v>0</v>
      </c>
      <c r="Z3643" t="str">
        <f t="shared" si="569"/>
        <v/>
      </c>
      <c r="AA3643">
        <f>IF($V3643="",N($AA3642),IF(MATCH($V3643,$V$6:$V$10005,0)=ROW()-5,N($AA3642)+1,N($AA3642)))</f>
        <v>0</v>
      </c>
    </row>
    <row r="3644" spans="1:27" ht="21" customHeight="1" x14ac:dyDescent="0.95">
      <c r="A3644" s="56"/>
      <c r="B3644" s="57"/>
      <c r="C3644" s="57"/>
      <c r="D3644" s="57"/>
      <c r="E3644" s="56"/>
      <c r="F3644" s="57"/>
      <c r="G3644" s="57"/>
      <c r="H3644" s="56"/>
      <c r="I3644" s="56"/>
      <c r="J3644" s="58"/>
      <c r="K3644" s="58"/>
      <c r="L3644" s="13" t="str">
        <f t="shared" si="560"/>
        <v/>
      </c>
      <c r="M3644" s="13" t="str">
        <f t="shared" si="561"/>
        <v/>
      </c>
      <c r="Q3644" t="str">
        <f t="shared" si="562"/>
        <v/>
      </c>
      <c r="R3644" t="str">
        <f t="shared" si="563"/>
        <v/>
      </c>
      <c r="S3644" t="str">
        <f t="shared" si="564"/>
        <v/>
      </c>
      <c r="T3644" t="str">
        <f t="shared" si="565"/>
        <v/>
      </c>
      <c r="U3644" t="str">
        <f t="shared" si="566"/>
        <v/>
      </c>
      <c r="V3644" t="str">
        <f t="shared" si="567"/>
        <v/>
      </c>
      <c r="W3644" t="str">
        <f t="shared" si="568"/>
        <v/>
      </c>
      <c r="X3644">
        <f>IF($T3644="",N($X3643),IF(MATCH($T3644,$T$6:$T$10005,0)=ROW()-5,N($X3643)+1,N($X3643)))</f>
        <v>0</v>
      </c>
      <c r="Z3644" t="str">
        <f t="shared" si="569"/>
        <v/>
      </c>
      <c r="AA3644">
        <f>IF($V3644="",N($AA3643),IF(MATCH($V3644,$V$6:$V$10005,0)=ROW()-5,N($AA3643)+1,N($AA3643)))</f>
        <v>0</v>
      </c>
    </row>
    <row r="3645" spans="1:27" ht="21" customHeight="1" x14ac:dyDescent="0.95">
      <c r="A3645" s="56"/>
      <c r="B3645" s="57"/>
      <c r="C3645" s="57"/>
      <c r="D3645" s="57"/>
      <c r="E3645" s="56"/>
      <c r="F3645" s="57"/>
      <c r="G3645" s="57"/>
      <c r="H3645" s="56"/>
      <c r="I3645" s="56"/>
      <c r="J3645" s="58"/>
      <c r="K3645" s="58"/>
      <c r="L3645" s="13" t="str">
        <f t="shared" si="560"/>
        <v/>
      </c>
      <c r="M3645" s="13" t="str">
        <f t="shared" si="561"/>
        <v/>
      </c>
      <c r="Q3645" t="str">
        <f t="shared" si="562"/>
        <v/>
      </c>
      <c r="R3645" t="str">
        <f t="shared" si="563"/>
        <v/>
      </c>
      <c r="S3645" t="str">
        <f t="shared" si="564"/>
        <v/>
      </c>
      <c r="T3645" t="str">
        <f t="shared" si="565"/>
        <v/>
      </c>
      <c r="U3645" t="str">
        <f t="shared" si="566"/>
        <v/>
      </c>
      <c r="V3645" t="str">
        <f t="shared" si="567"/>
        <v/>
      </c>
      <c r="W3645" t="str">
        <f t="shared" si="568"/>
        <v/>
      </c>
      <c r="X3645">
        <f>IF($T3645="",N($X3644),IF(MATCH($T3645,$T$6:$T$10005,0)=ROW()-5,N($X3644)+1,N($X3644)))</f>
        <v>0</v>
      </c>
      <c r="Z3645" t="str">
        <f t="shared" si="569"/>
        <v/>
      </c>
      <c r="AA3645">
        <f>IF($V3645="",N($AA3644),IF(MATCH($V3645,$V$6:$V$10005,0)=ROW()-5,N($AA3644)+1,N($AA3644)))</f>
        <v>0</v>
      </c>
    </row>
    <row r="3646" spans="1:27" ht="21" customHeight="1" x14ac:dyDescent="0.95">
      <c r="A3646" s="56"/>
      <c r="B3646" s="57"/>
      <c r="C3646" s="57"/>
      <c r="D3646" s="57"/>
      <c r="E3646" s="56"/>
      <c r="F3646" s="57"/>
      <c r="G3646" s="57"/>
      <c r="H3646" s="56"/>
      <c r="I3646" s="56"/>
      <c r="J3646" s="58"/>
      <c r="K3646" s="58"/>
      <c r="L3646" s="13" t="str">
        <f t="shared" si="560"/>
        <v/>
      </c>
      <c r="M3646" s="13" t="str">
        <f t="shared" si="561"/>
        <v/>
      </c>
      <c r="Q3646" t="str">
        <f t="shared" si="562"/>
        <v/>
      </c>
      <c r="R3646" t="str">
        <f t="shared" si="563"/>
        <v/>
      </c>
      <c r="S3646" t="str">
        <f t="shared" si="564"/>
        <v/>
      </c>
      <c r="T3646" t="str">
        <f t="shared" si="565"/>
        <v/>
      </c>
      <c r="U3646" t="str">
        <f t="shared" si="566"/>
        <v/>
      </c>
      <c r="V3646" t="str">
        <f t="shared" si="567"/>
        <v/>
      </c>
      <c r="W3646" t="str">
        <f t="shared" si="568"/>
        <v/>
      </c>
      <c r="X3646">
        <f>IF($T3646="",N($X3645),IF(MATCH($T3646,$T$6:$T$10005,0)=ROW()-5,N($X3645)+1,N($X3645)))</f>
        <v>0</v>
      </c>
      <c r="Z3646" t="str">
        <f t="shared" si="569"/>
        <v/>
      </c>
      <c r="AA3646">
        <f>IF($V3646="",N($AA3645),IF(MATCH($V3646,$V$6:$V$10005,0)=ROW()-5,N($AA3645)+1,N($AA3645)))</f>
        <v>0</v>
      </c>
    </row>
    <row r="3647" spans="1:27" ht="21" customHeight="1" x14ac:dyDescent="0.95">
      <c r="A3647" s="56"/>
      <c r="B3647" s="57"/>
      <c r="C3647" s="57"/>
      <c r="D3647" s="57"/>
      <c r="E3647" s="56"/>
      <c r="F3647" s="57"/>
      <c r="G3647" s="57"/>
      <c r="H3647" s="56"/>
      <c r="I3647" s="56"/>
      <c r="J3647" s="58"/>
      <c r="K3647" s="58"/>
      <c r="L3647" s="13" t="str">
        <f t="shared" si="560"/>
        <v/>
      </c>
      <c r="M3647" s="13" t="str">
        <f t="shared" si="561"/>
        <v/>
      </c>
      <c r="Q3647" t="str">
        <f t="shared" si="562"/>
        <v/>
      </c>
      <c r="R3647" t="str">
        <f t="shared" si="563"/>
        <v/>
      </c>
      <c r="S3647" t="str">
        <f t="shared" si="564"/>
        <v/>
      </c>
      <c r="T3647" t="str">
        <f t="shared" si="565"/>
        <v/>
      </c>
      <c r="U3647" t="str">
        <f t="shared" si="566"/>
        <v/>
      </c>
      <c r="V3647" t="str">
        <f t="shared" si="567"/>
        <v/>
      </c>
      <c r="W3647" t="str">
        <f t="shared" si="568"/>
        <v/>
      </c>
      <c r="X3647">
        <f>IF($T3647="",N($X3646),IF(MATCH($T3647,$T$6:$T$10005,0)=ROW()-5,N($X3646)+1,N($X3646)))</f>
        <v>0</v>
      </c>
      <c r="Z3647" t="str">
        <f t="shared" si="569"/>
        <v/>
      </c>
      <c r="AA3647">
        <f>IF($V3647="",N($AA3646),IF(MATCH($V3647,$V$6:$V$10005,0)=ROW()-5,N($AA3646)+1,N($AA3646)))</f>
        <v>0</v>
      </c>
    </row>
    <row r="3648" spans="1:27" ht="21" customHeight="1" x14ac:dyDescent="0.95">
      <c r="A3648" s="56"/>
      <c r="B3648" s="57"/>
      <c r="C3648" s="57"/>
      <c r="D3648" s="57"/>
      <c r="E3648" s="56"/>
      <c r="F3648" s="57"/>
      <c r="G3648" s="57"/>
      <c r="H3648" s="56"/>
      <c r="I3648" s="56"/>
      <c r="J3648" s="58"/>
      <c r="K3648" s="58"/>
      <c r="L3648" s="13" t="str">
        <f t="shared" si="560"/>
        <v/>
      </c>
      <c r="M3648" s="13" t="str">
        <f t="shared" si="561"/>
        <v/>
      </c>
      <c r="Q3648" t="str">
        <f t="shared" si="562"/>
        <v/>
      </c>
      <c r="R3648" t="str">
        <f t="shared" si="563"/>
        <v/>
      </c>
      <c r="S3648" t="str">
        <f t="shared" si="564"/>
        <v/>
      </c>
      <c r="T3648" t="str">
        <f t="shared" si="565"/>
        <v/>
      </c>
      <c r="U3648" t="str">
        <f t="shared" si="566"/>
        <v/>
      </c>
      <c r="V3648" t="str">
        <f t="shared" si="567"/>
        <v/>
      </c>
      <c r="W3648" t="str">
        <f t="shared" si="568"/>
        <v/>
      </c>
      <c r="X3648">
        <f>IF($T3648="",N($X3647),IF(MATCH($T3648,$T$6:$T$10005,0)=ROW()-5,N($X3647)+1,N($X3647)))</f>
        <v>0</v>
      </c>
      <c r="Z3648" t="str">
        <f t="shared" si="569"/>
        <v/>
      </c>
      <c r="AA3648">
        <f>IF($V3648="",N($AA3647),IF(MATCH($V3648,$V$6:$V$10005,0)=ROW()-5,N($AA3647)+1,N($AA3647)))</f>
        <v>0</v>
      </c>
    </row>
    <row r="3649" spans="1:27" ht="21" customHeight="1" x14ac:dyDescent="0.95">
      <c r="A3649" s="56"/>
      <c r="B3649" s="57"/>
      <c r="C3649" s="57"/>
      <c r="D3649" s="57"/>
      <c r="E3649" s="56"/>
      <c r="F3649" s="57"/>
      <c r="G3649" s="57"/>
      <c r="H3649" s="56"/>
      <c r="I3649" s="56"/>
      <c r="J3649" s="58"/>
      <c r="K3649" s="58"/>
      <c r="L3649" s="13" t="str">
        <f t="shared" si="560"/>
        <v/>
      </c>
      <c r="M3649" s="13" t="str">
        <f t="shared" si="561"/>
        <v/>
      </c>
      <c r="Q3649" t="str">
        <f t="shared" si="562"/>
        <v/>
      </c>
      <c r="R3649" t="str">
        <f t="shared" si="563"/>
        <v/>
      </c>
      <c r="S3649" t="str">
        <f t="shared" si="564"/>
        <v/>
      </c>
      <c r="T3649" t="str">
        <f t="shared" si="565"/>
        <v/>
      </c>
      <c r="U3649" t="str">
        <f t="shared" si="566"/>
        <v/>
      </c>
      <c r="V3649" t="str">
        <f t="shared" si="567"/>
        <v/>
      </c>
      <c r="W3649" t="str">
        <f t="shared" si="568"/>
        <v/>
      </c>
      <c r="X3649">
        <f>IF($T3649="",N($X3648),IF(MATCH($T3649,$T$6:$T$10005,0)=ROW()-5,N($X3648)+1,N($X3648)))</f>
        <v>0</v>
      </c>
      <c r="Z3649" t="str">
        <f t="shared" si="569"/>
        <v/>
      </c>
      <c r="AA3649">
        <f>IF($V3649="",N($AA3648),IF(MATCH($V3649,$V$6:$V$10005,0)=ROW()-5,N($AA3648)+1,N($AA3648)))</f>
        <v>0</v>
      </c>
    </row>
    <row r="3650" spans="1:27" ht="21" customHeight="1" x14ac:dyDescent="0.95">
      <c r="A3650" s="56"/>
      <c r="B3650" s="57"/>
      <c r="C3650" s="57"/>
      <c r="D3650" s="57"/>
      <c r="E3650" s="56"/>
      <c r="F3650" s="57"/>
      <c r="G3650" s="57"/>
      <c r="H3650" s="56"/>
      <c r="I3650" s="56"/>
      <c r="J3650" s="58"/>
      <c r="K3650" s="58"/>
      <c r="L3650" s="13" t="str">
        <f t="shared" si="560"/>
        <v/>
      </c>
      <c r="M3650" s="13" t="str">
        <f t="shared" si="561"/>
        <v/>
      </c>
      <c r="Q3650" t="str">
        <f t="shared" si="562"/>
        <v/>
      </c>
      <c r="R3650" t="str">
        <f t="shared" si="563"/>
        <v/>
      </c>
      <c r="S3650" t="str">
        <f t="shared" si="564"/>
        <v/>
      </c>
      <c r="T3650" t="str">
        <f t="shared" si="565"/>
        <v/>
      </c>
      <c r="U3650" t="str">
        <f t="shared" si="566"/>
        <v/>
      </c>
      <c r="V3650" t="str">
        <f t="shared" si="567"/>
        <v/>
      </c>
      <c r="W3650" t="str">
        <f t="shared" si="568"/>
        <v/>
      </c>
      <c r="X3650">
        <f>IF($T3650="",N($X3649),IF(MATCH($T3650,$T$6:$T$10005,0)=ROW()-5,N($X3649)+1,N($X3649)))</f>
        <v>0</v>
      </c>
      <c r="Z3650" t="str">
        <f t="shared" si="569"/>
        <v/>
      </c>
      <c r="AA3650">
        <f>IF($V3650="",N($AA3649),IF(MATCH($V3650,$V$6:$V$10005,0)=ROW()-5,N($AA3649)+1,N($AA3649)))</f>
        <v>0</v>
      </c>
    </row>
    <row r="3651" spans="1:27" ht="21" customHeight="1" x14ac:dyDescent="0.95">
      <c r="A3651" s="56"/>
      <c r="B3651" s="57"/>
      <c r="C3651" s="57"/>
      <c r="D3651" s="57"/>
      <c r="E3651" s="56"/>
      <c r="F3651" s="57"/>
      <c r="G3651" s="57"/>
      <c r="H3651" s="56"/>
      <c r="I3651" s="56"/>
      <c r="J3651" s="58"/>
      <c r="K3651" s="58"/>
      <c r="L3651" s="13" t="str">
        <f t="shared" si="560"/>
        <v/>
      </c>
      <c r="M3651" s="13" t="str">
        <f t="shared" si="561"/>
        <v/>
      </c>
      <c r="Q3651" t="str">
        <f t="shared" si="562"/>
        <v/>
      </c>
      <c r="R3651" t="str">
        <f t="shared" si="563"/>
        <v/>
      </c>
      <c r="S3651" t="str">
        <f t="shared" si="564"/>
        <v/>
      </c>
      <c r="T3651" t="str">
        <f t="shared" si="565"/>
        <v/>
      </c>
      <c r="U3651" t="str">
        <f t="shared" si="566"/>
        <v/>
      </c>
      <c r="V3651" t="str">
        <f t="shared" si="567"/>
        <v/>
      </c>
      <c r="W3651" t="str">
        <f t="shared" si="568"/>
        <v/>
      </c>
      <c r="X3651">
        <f>IF($T3651="",N($X3650),IF(MATCH($T3651,$T$6:$T$10005,0)=ROW()-5,N($X3650)+1,N($X3650)))</f>
        <v>0</v>
      </c>
      <c r="Z3651" t="str">
        <f t="shared" si="569"/>
        <v/>
      </c>
      <c r="AA3651">
        <f>IF($V3651="",N($AA3650),IF(MATCH($V3651,$V$6:$V$10005,0)=ROW()-5,N($AA3650)+1,N($AA3650)))</f>
        <v>0</v>
      </c>
    </row>
    <row r="3652" spans="1:27" ht="21" customHeight="1" x14ac:dyDescent="0.95">
      <c r="A3652" s="56"/>
      <c r="B3652" s="57"/>
      <c r="C3652" s="57"/>
      <c r="D3652" s="57"/>
      <c r="E3652" s="56"/>
      <c r="F3652" s="57"/>
      <c r="G3652" s="57"/>
      <c r="H3652" s="56"/>
      <c r="I3652" s="56"/>
      <c r="J3652" s="58"/>
      <c r="K3652" s="58"/>
      <c r="L3652" s="13" t="str">
        <f t="shared" si="560"/>
        <v/>
      </c>
      <c r="M3652" s="13" t="str">
        <f t="shared" si="561"/>
        <v/>
      </c>
      <c r="Q3652" t="str">
        <f t="shared" si="562"/>
        <v/>
      </c>
      <c r="R3652" t="str">
        <f t="shared" si="563"/>
        <v/>
      </c>
      <c r="S3652" t="str">
        <f t="shared" si="564"/>
        <v/>
      </c>
      <c r="T3652" t="str">
        <f t="shared" si="565"/>
        <v/>
      </c>
      <c r="U3652" t="str">
        <f t="shared" si="566"/>
        <v/>
      </c>
      <c r="V3652" t="str">
        <f t="shared" si="567"/>
        <v/>
      </c>
      <c r="W3652" t="str">
        <f t="shared" si="568"/>
        <v/>
      </c>
      <c r="X3652">
        <f>IF($T3652="",N($X3651),IF(MATCH($T3652,$T$6:$T$10005,0)=ROW()-5,N($X3651)+1,N($X3651)))</f>
        <v>0</v>
      </c>
      <c r="Z3652" t="str">
        <f t="shared" si="569"/>
        <v/>
      </c>
      <c r="AA3652">
        <f>IF($V3652="",N($AA3651),IF(MATCH($V3652,$V$6:$V$10005,0)=ROW()-5,N($AA3651)+1,N($AA3651)))</f>
        <v>0</v>
      </c>
    </row>
    <row r="3653" spans="1:27" ht="21" customHeight="1" x14ac:dyDescent="0.95">
      <c r="A3653" s="56"/>
      <c r="B3653" s="57"/>
      <c r="C3653" s="57"/>
      <c r="D3653" s="57"/>
      <c r="E3653" s="56"/>
      <c r="F3653" s="57"/>
      <c r="G3653" s="57"/>
      <c r="H3653" s="56"/>
      <c r="I3653" s="56"/>
      <c r="J3653" s="58"/>
      <c r="K3653" s="58"/>
      <c r="L3653" s="13" t="str">
        <f t="shared" si="560"/>
        <v/>
      </c>
      <c r="M3653" s="13" t="str">
        <f t="shared" si="561"/>
        <v/>
      </c>
      <c r="Q3653" t="str">
        <f t="shared" si="562"/>
        <v/>
      </c>
      <c r="R3653" t="str">
        <f t="shared" si="563"/>
        <v/>
      </c>
      <c r="S3653" t="str">
        <f t="shared" si="564"/>
        <v/>
      </c>
      <c r="T3653" t="str">
        <f t="shared" si="565"/>
        <v/>
      </c>
      <c r="U3653" t="str">
        <f t="shared" si="566"/>
        <v/>
      </c>
      <c r="V3653" t="str">
        <f t="shared" si="567"/>
        <v/>
      </c>
      <c r="W3653" t="str">
        <f t="shared" si="568"/>
        <v/>
      </c>
      <c r="X3653">
        <f>IF($T3653="",N($X3652),IF(MATCH($T3653,$T$6:$T$10005,0)=ROW()-5,N($X3652)+1,N($X3652)))</f>
        <v>0</v>
      </c>
      <c r="Z3653" t="str">
        <f t="shared" si="569"/>
        <v/>
      </c>
      <c r="AA3653">
        <f>IF($V3653="",N($AA3652),IF(MATCH($V3653,$V$6:$V$10005,0)=ROW()-5,N($AA3652)+1,N($AA3652)))</f>
        <v>0</v>
      </c>
    </row>
    <row r="3654" spans="1:27" ht="21" customHeight="1" x14ac:dyDescent="0.95">
      <c r="A3654" s="56"/>
      <c r="B3654" s="57"/>
      <c r="C3654" s="57"/>
      <c r="D3654" s="57"/>
      <c r="E3654" s="56"/>
      <c r="F3654" s="57"/>
      <c r="G3654" s="57"/>
      <c r="H3654" s="56"/>
      <c r="I3654" s="56"/>
      <c r="J3654" s="58"/>
      <c r="K3654" s="58"/>
      <c r="L3654" s="13" t="str">
        <f t="shared" ref="L3654:L3717" si="570">IF(OR($A3654="",AND($J3654="",$K3654="")),"",ROUND(N($J3654)-N($K3654),2))</f>
        <v/>
      </c>
      <c r="M3654" s="13" t="str">
        <f t="shared" ref="M3654:M3717" si="571">IF(OR($A3654="",AND($J3654="",$K3654="")),"",MIN($J3654,$K3654))</f>
        <v/>
      </c>
      <c r="Q3654" t="str">
        <f t="shared" ref="Q3654:Q3717" si="572">IF($A3654="","",$D3654&amp;"("&amp;SUBSTITUTE($E3654," ","")&amp;")")</f>
        <v/>
      </c>
      <c r="R3654" t="str">
        <f t="shared" ref="R3654:R3717" si="573">IF($A3654="","",$B3654&amp;" - "&amp;$C3654)</f>
        <v/>
      </c>
      <c r="S3654" t="str">
        <f t="shared" ref="S3654:S3717" si="574">IF($A3654="","",$R3654&amp;"|"&amp;$Q3654)</f>
        <v/>
      </c>
      <c r="T3654" t="str">
        <f t="shared" ref="T3654:T3717" si="575">IF($A3654="","",$S3654&amp;"|"&amp;$F3654)</f>
        <v/>
      </c>
      <c r="U3654" t="str">
        <f t="shared" ref="U3654:U3717" si="576">IF($A3654="","",$R3654&amp;"("&amp;$E3654&amp;")")</f>
        <v/>
      </c>
      <c r="V3654" t="str">
        <f t="shared" ref="V3654:V3717" si="577">IF($A3654="","",$F3654&amp;"|"&amp;$U3654&amp;"|"&amp;$D3654)</f>
        <v/>
      </c>
      <c r="W3654" t="str">
        <f t="shared" ref="W3654:W3717" si="578">IF($T3654="","",IF($X3654&gt;N($X3653),$X3654,""))</f>
        <v/>
      </c>
      <c r="X3654">
        <f>IF($T3654="",N($X3653),IF(MATCH($T3654,$T$6:$T$10005,0)=ROW()-5,N($X3653)+1,N($X3653)))</f>
        <v>0</v>
      </c>
      <c r="Z3654" t="str">
        <f t="shared" ref="Z3654:Z3717" si="579">IF($V3654="","",IF($AA3654&gt;N($AA3653),$AA3654,""))</f>
        <v/>
      </c>
      <c r="AA3654">
        <f>IF($V3654="",N($AA3653),IF(MATCH($V3654,$V$6:$V$10005,0)=ROW()-5,N($AA3653)+1,N($AA3653)))</f>
        <v>0</v>
      </c>
    </row>
    <row r="3655" spans="1:27" ht="21" customHeight="1" x14ac:dyDescent="0.95">
      <c r="A3655" s="56"/>
      <c r="B3655" s="57"/>
      <c r="C3655" s="57"/>
      <c r="D3655" s="57"/>
      <c r="E3655" s="56"/>
      <c r="F3655" s="57"/>
      <c r="G3655" s="57"/>
      <c r="H3655" s="56"/>
      <c r="I3655" s="56"/>
      <c r="J3655" s="58"/>
      <c r="K3655" s="58"/>
      <c r="L3655" s="13" t="str">
        <f t="shared" si="570"/>
        <v/>
      </c>
      <c r="M3655" s="13" t="str">
        <f t="shared" si="571"/>
        <v/>
      </c>
      <c r="Q3655" t="str">
        <f t="shared" si="572"/>
        <v/>
      </c>
      <c r="R3655" t="str">
        <f t="shared" si="573"/>
        <v/>
      </c>
      <c r="S3655" t="str">
        <f t="shared" si="574"/>
        <v/>
      </c>
      <c r="T3655" t="str">
        <f t="shared" si="575"/>
        <v/>
      </c>
      <c r="U3655" t="str">
        <f t="shared" si="576"/>
        <v/>
      </c>
      <c r="V3655" t="str">
        <f t="shared" si="577"/>
        <v/>
      </c>
      <c r="W3655" t="str">
        <f t="shared" si="578"/>
        <v/>
      </c>
      <c r="X3655">
        <f>IF($T3655="",N($X3654),IF(MATCH($T3655,$T$6:$T$10005,0)=ROW()-5,N($X3654)+1,N($X3654)))</f>
        <v>0</v>
      </c>
      <c r="Z3655" t="str">
        <f t="shared" si="579"/>
        <v/>
      </c>
      <c r="AA3655">
        <f>IF($V3655="",N($AA3654),IF(MATCH($V3655,$V$6:$V$10005,0)=ROW()-5,N($AA3654)+1,N($AA3654)))</f>
        <v>0</v>
      </c>
    </row>
    <row r="3656" spans="1:27" ht="21" customHeight="1" x14ac:dyDescent="0.95">
      <c r="A3656" s="56"/>
      <c r="B3656" s="57"/>
      <c r="C3656" s="57"/>
      <c r="D3656" s="57"/>
      <c r="E3656" s="56"/>
      <c r="F3656" s="57"/>
      <c r="G3656" s="57"/>
      <c r="H3656" s="56"/>
      <c r="I3656" s="56"/>
      <c r="J3656" s="58"/>
      <c r="K3656" s="58"/>
      <c r="L3656" s="13" t="str">
        <f t="shared" si="570"/>
        <v/>
      </c>
      <c r="M3656" s="13" t="str">
        <f t="shared" si="571"/>
        <v/>
      </c>
      <c r="Q3656" t="str">
        <f t="shared" si="572"/>
        <v/>
      </c>
      <c r="R3656" t="str">
        <f t="shared" si="573"/>
        <v/>
      </c>
      <c r="S3656" t="str">
        <f t="shared" si="574"/>
        <v/>
      </c>
      <c r="T3656" t="str">
        <f t="shared" si="575"/>
        <v/>
      </c>
      <c r="U3656" t="str">
        <f t="shared" si="576"/>
        <v/>
      </c>
      <c r="V3656" t="str">
        <f t="shared" si="577"/>
        <v/>
      </c>
      <c r="W3656" t="str">
        <f t="shared" si="578"/>
        <v/>
      </c>
      <c r="X3656">
        <f>IF($T3656="",N($X3655),IF(MATCH($T3656,$T$6:$T$10005,0)=ROW()-5,N($X3655)+1,N($X3655)))</f>
        <v>0</v>
      </c>
      <c r="Z3656" t="str">
        <f t="shared" si="579"/>
        <v/>
      </c>
      <c r="AA3656">
        <f>IF($V3656="",N($AA3655),IF(MATCH($V3656,$V$6:$V$10005,0)=ROW()-5,N($AA3655)+1,N($AA3655)))</f>
        <v>0</v>
      </c>
    </row>
    <row r="3657" spans="1:27" ht="21" customHeight="1" x14ac:dyDescent="0.95">
      <c r="A3657" s="56"/>
      <c r="B3657" s="57"/>
      <c r="C3657" s="57"/>
      <c r="D3657" s="57"/>
      <c r="E3657" s="56"/>
      <c r="F3657" s="57"/>
      <c r="G3657" s="57"/>
      <c r="H3657" s="56"/>
      <c r="I3657" s="56"/>
      <c r="J3657" s="58"/>
      <c r="K3657" s="58"/>
      <c r="L3657" s="13" t="str">
        <f t="shared" si="570"/>
        <v/>
      </c>
      <c r="M3657" s="13" t="str">
        <f t="shared" si="571"/>
        <v/>
      </c>
      <c r="Q3657" t="str">
        <f t="shared" si="572"/>
        <v/>
      </c>
      <c r="R3657" t="str">
        <f t="shared" si="573"/>
        <v/>
      </c>
      <c r="S3657" t="str">
        <f t="shared" si="574"/>
        <v/>
      </c>
      <c r="T3657" t="str">
        <f t="shared" si="575"/>
        <v/>
      </c>
      <c r="U3657" t="str">
        <f t="shared" si="576"/>
        <v/>
      </c>
      <c r="V3657" t="str">
        <f t="shared" si="577"/>
        <v/>
      </c>
      <c r="W3657" t="str">
        <f t="shared" si="578"/>
        <v/>
      </c>
      <c r="X3657">
        <f>IF($T3657="",N($X3656),IF(MATCH($T3657,$T$6:$T$10005,0)=ROW()-5,N($X3656)+1,N($X3656)))</f>
        <v>0</v>
      </c>
      <c r="Z3657" t="str">
        <f t="shared" si="579"/>
        <v/>
      </c>
      <c r="AA3657">
        <f>IF($V3657="",N($AA3656),IF(MATCH($V3657,$V$6:$V$10005,0)=ROW()-5,N($AA3656)+1,N($AA3656)))</f>
        <v>0</v>
      </c>
    </row>
    <row r="3658" spans="1:27" ht="21" customHeight="1" x14ac:dyDescent="0.95">
      <c r="A3658" s="56"/>
      <c r="B3658" s="57"/>
      <c r="C3658" s="57"/>
      <c r="D3658" s="57"/>
      <c r="E3658" s="56"/>
      <c r="F3658" s="57"/>
      <c r="G3658" s="57"/>
      <c r="H3658" s="56"/>
      <c r="I3658" s="56"/>
      <c r="J3658" s="58"/>
      <c r="K3658" s="58"/>
      <c r="L3658" s="13" t="str">
        <f t="shared" si="570"/>
        <v/>
      </c>
      <c r="M3658" s="13" t="str">
        <f t="shared" si="571"/>
        <v/>
      </c>
      <c r="Q3658" t="str">
        <f t="shared" si="572"/>
        <v/>
      </c>
      <c r="R3658" t="str">
        <f t="shared" si="573"/>
        <v/>
      </c>
      <c r="S3658" t="str">
        <f t="shared" si="574"/>
        <v/>
      </c>
      <c r="T3658" t="str">
        <f t="shared" si="575"/>
        <v/>
      </c>
      <c r="U3658" t="str">
        <f t="shared" si="576"/>
        <v/>
      </c>
      <c r="V3658" t="str">
        <f t="shared" si="577"/>
        <v/>
      </c>
      <c r="W3658" t="str">
        <f t="shared" si="578"/>
        <v/>
      </c>
      <c r="X3658">
        <f>IF($T3658="",N($X3657),IF(MATCH($T3658,$T$6:$T$10005,0)=ROW()-5,N($X3657)+1,N($X3657)))</f>
        <v>0</v>
      </c>
      <c r="Z3658" t="str">
        <f t="shared" si="579"/>
        <v/>
      </c>
      <c r="AA3658">
        <f>IF($V3658="",N($AA3657),IF(MATCH($V3658,$V$6:$V$10005,0)=ROW()-5,N($AA3657)+1,N($AA3657)))</f>
        <v>0</v>
      </c>
    </row>
    <row r="3659" spans="1:27" ht="21" customHeight="1" x14ac:dyDescent="0.95">
      <c r="A3659" s="56"/>
      <c r="B3659" s="57"/>
      <c r="C3659" s="57"/>
      <c r="D3659" s="57"/>
      <c r="E3659" s="56"/>
      <c r="F3659" s="57"/>
      <c r="G3659" s="57"/>
      <c r="H3659" s="56"/>
      <c r="I3659" s="56"/>
      <c r="J3659" s="58"/>
      <c r="K3659" s="58"/>
      <c r="L3659" s="13" t="str">
        <f t="shared" si="570"/>
        <v/>
      </c>
      <c r="M3659" s="13" t="str">
        <f t="shared" si="571"/>
        <v/>
      </c>
      <c r="Q3659" t="str">
        <f t="shared" si="572"/>
        <v/>
      </c>
      <c r="R3659" t="str">
        <f t="shared" si="573"/>
        <v/>
      </c>
      <c r="S3659" t="str">
        <f t="shared" si="574"/>
        <v/>
      </c>
      <c r="T3659" t="str">
        <f t="shared" si="575"/>
        <v/>
      </c>
      <c r="U3659" t="str">
        <f t="shared" si="576"/>
        <v/>
      </c>
      <c r="V3659" t="str">
        <f t="shared" si="577"/>
        <v/>
      </c>
      <c r="W3659" t="str">
        <f t="shared" si="578"/>
        <v/>
      </c>
      <c r="X3659">
        <f>IF($T3659="",N($X3658),IF(MATCH($T3659,$T$6:$T$10005,0)=ROW()-5,N($X3658)+1,N($X3658)))</f>
        <v>0</v>
      </c>
      <c r="Z3659" t="str">
        <f t="shared" si="579"/>
        <v/>
      </c>
      <c r="AA3659">
        <f>IF($V3659="",N($AA3658),IF(MATCH($V3659,$V$6:$V$10005,0)=ROW()-5,N($AA3658)+1,N($AA3658)))</f>
        <v>0</v>
      </c>
    </row>
    <row r="3660" spans="1:27" ht="21" customHeight="1" x14ac:dyDescent="0.95">
      <c r="A3660" s="56"/>
      <c r="B3660" s="57"/>
      <c r="C3660" s="57"/>
      <c r="D3660" s="57"/>
      <c r="E3660" s="56"/>
      <c r="F3660" s="57"/>
      <c r="G3660" s="57"/>
      <c r="H3660" s="56"/>
      <c r="I3660" s="56"/>
      <c r="J3660" s="58"/>
      <c r="K3660" s="58"/>
      <c r="L3660" s="13" t="str">
        <f t="shared" si="570"/>
        <v/>
      </c>
      <c r="M3660" s="13" t="str">
        <f t="shared" si="571"/>
        <v/>
      </c>
      <c r="Q3660" t="str">
        <f t="shared" si="572"/>
        <v/>
      </c>
      <c r="R3660" t="str">
        <f t="shared" si="573"/>
        <v/>
      </c>
      <c r="S3660" t="str">
        <f t="shared" si="574"/>
        <v/>
      </c>
      <c r="T3660" t="str">
        <f t="shared" si="575"/>
        <v/>
      </c>
      <c r="U3660" t="str">
        <f t="shared" si="576"/>
        <v/>
      </c>
      <c r="V3660" t="str">
        <f t="shared" si="577"/>
        <v/>
      </c>
      <c r="W3660" t="str">
        <f t="shared" si="578"/>
        <v/>
      </c>
      <c r="X3660">
        <f>IF($T3660="",N($X3659),IF(MATCH($T3660,$T$6:$T$10005,0)=ROW()-5,N($X3659)+1,N($X3659)))</f>
        <v>0</v>
      </c>
      <c r="Z3660" t="str">
        <f t="shared" si="579"/>
        <v/>
      </c>
      <c r="AA3660">
        <f>IF($V3660="",N($AA3659),IF(MATCH($V3660,$V$6:$V$10005,0)=ROW()-5,N($AA3659)+1,N($AA3659)))</f>
        <v>0</v>
      </c>
    </row>
    <row r="3661" spans="1:27" ht="21" customHeight="1" x14ac:dyDescent="0.95">
      <c r="A3661" s="56"/>
      <c r="B3661" s="57"/>
      <c r="C3661" s="57"/>
      <c r="D3661" s="57"/>
      <c r="E3661" s="56"/>
      <c r="F3661" s="57"/>
      <c r="G3661" s="57"/>
      <c r="H3661" s="56"/>
      <c r="I3661" s="56"/>
      <c r="J3661" s="58"/>
      <c r="K3661" s="58"/>
      <c r="L3661" s="13" t="str">
        <f t="shared" si="570"/>
        <v/>
      </c>
      <c r="M3661" s="13" t="str">
        <f t="shared" si="571"/>
        <v/>
      </c>
      <c r="Q3661" t="str">
        <f t="shared" si="572"/>
        <v/>
      </c>
      <c r="R3661" t="str">
        <f t="shared" si="573"/>
        <v/>
      </c>
      <c r="S3661" t="str">
        <f t="shared" si="574"/>
        <v/>
      </c>
      <c r="T3661" t="str">
        <f t="shared" si="575"/>
        <v/>
      </c>
      <c r="U3661" t="str">
        <f t="shared" si="576"/>
        <v/>
      </c>
      <c r="V3661" t="str">
        <f t="shared" si="577"/>
        <v/>
      </c>
      <c r="W3661" t="str">
        <f t="shared" si="578"/>
        <v/>
      </c>
      <c r="X3661">
        <f>IF($T3661="",N($X3660),IF(MATCH($T3661,$T$6:$T$10005,0)=ROW()-5,N($X3660)+1,N($X3660)))</f>
        <v>0</v>
      </c>
      <c r="Z3661" t="str">
        <f t="shared" si="579"/>
        <v/>
      </c>
      <c r="AA3661">
        <f>IF($V3661="",N($AA3660),IF(MATCH($V3661,$V$6:$V$10005,0)=ROW()-5,N($AA3660)+1,N($AA3660)))</f>
        <v>0</v>
      </c>
    </row>
    <row r="3662" spans="1:27" ht="21" customHeight="1" x14ac:dyDescent="0.95">
      <c r="A3662" s="56"/>
      <c r="B3662" s="57"/>
      <c r="C3662" s="57"/>
      <c r="D3662" s="57"/>
      <c r="E3662" s="56"/>
      <c r="F3662" s="57"/>
      <c r="G3662" s="57"/>
      <c r="H3662" s="56"/>
      <c r="I3662" s="56"/>
      <c r="J3662" s="58"/>
      <c r="K3662" s="58"/>
      <c r="L3662" s="13" t="str">
        <f t="shared" si="570"/>
        <v/>
      </c>
      <c r="M3662" s="13" t="str">
        <f t="shared" si="571"/>
        <v/>
      </c>
      <c r="Q3662" t="str">
        <f t="shared" si="572"/>
        <v/>
      </c>
      <c r="R3662" t="str">
        <f t="shared" si="573"/>
        <v/>
      </c>
      <c r="S3662" t="str">
        <f t="shared" si="574"/>
        <v/>
      </c>
      <c r="T3662" t="str">
        <f t="shared" si="575"/>
        <v/>
      </c>
      <c r="U3662" t="str">
        <f t="shared" si="576"/>
        <v/>
      </c>
      <c r="V3662" t="str">
        <f t="shared" si="577"/>
        <v/>
      </c>
      <c r="W3662" t="str">
        <f t="shared" si="578"/>
        <v/>
      </c>
      <c r="X3662">
        <f>IF($T3662="",N($X3661),IF(MATCH($T3662,$T$6:$T$10005,0)=ROW()-5,N($X3661)+1,N($X3661)))</f>
        <v>0</v>
      </c>
      <c r="Z3662" t="str">
        <f t="shared" si="579"/>
        <v/>
      </c>
      <c r="AA3662">
        <f>IF($V3662="",N($AA3661),IF(MATCH($V3662,$V$6:$V$10005,0)=ROW()-5,N($AA3661)+1,N($AA3661)))</f>
        <v>0</v>
      </c>
    </row>
    <row r="3663" spans="1:27" ht="21" customHeight="1" x14ac:dyDescent="0.95">
      <c r="A3663" s="56"/>
      <c r="B3663" s="57"/>
      <c r="C3663" s="57"/>
      <c r="D3663" s="57"/>
      <c r="E3663" s="56"/>
      <c r="F3663" s="57"/>
      <c r="G3663" s="57"/>
      <c r="H3663" s="56"/>
      <c r="I3663" s="56"/>
      <c r="J3663" s="58"/>
      <c r="K3663" s="58"/>
      <c r="L3663" s="13" t="str">
        <f t="shared" si="570"/>
        <v/>
      </c>
      <c r="M3663" s="13" t="str">
        <f t="shared" si="571"/>
        <v/>
      </c>
      <c r="Q3663" t="str">
        <f t="shared" si="572"/>
        <v/>
      </c>
      <c r="R3663" t="str">
        <f t="shared" si="573"/>
        <v/>
      </c>
      <c r="S3663" t="str">
        <f t="shared" si="574"/>
        <v/>
      </c>
      <c r="T3663" t="str">
        <f t="shared" si="575"/>
        <v/>
      </c>
      <c r="U3663" t="str">
        <f t="shared" si="576"/>
        <v/>
      </c>
      <c r="V3663" t="str">
        <f t="shared" si="577"/>
        <v/>
      </c>
      <c r="W3663" t="str">
        <f t="shared" si="578"/>
        <v/>
      </c>
      <c r="X3663">
        <f>IF($T3663="",N($X3662),IF(MATCH($T3663,$T$6:$T$10005,0)=ROW()-5,N($X3662)+1,N($X3662)))</f>
        <v>0</v>
      </c>
      <c r="Z3663" t="str">
        <f t="shared" si="579"/>
        <v/>
      </c>
      <c r="AA3663">
        <f>IF($V3663="",N($AA3662),IF(MATCH($V3663,$V$6:$V$10005,0)=ROW()-5,N($AA3662)+1,N($AA3662)))</f>
        <v>0</v>
      </c>
    </row>
    <row r="3664" spans="1:27" ht="21" customHeight="1" x14ac:dyDescent="0.95">
      <c r="A3664" s="56"/>
      <c r="B3664" s="57"/>
      <c r="C3664" s="57"/>
      <c r="D3664" s="57"/>
      <c r="E3664" s="56"/>
      <c r="F3664" s="57"/>
      <c r="G3664" s="57"/>
      <c r="H3664" s="56"/>
      <c r="I3664" s="56"/>
      <c r="J3664" s="58"/>
      <c r="K3664" s="58"/>
      <c r="L3664" s="13" t="str">
        <f t="shared" si="570"/>
        <v/>
      </c>
      <c r="M3664" s="13" t="str">
        <f t="shared" si="571"/>
        <v/>
      </c>
      <c r="Q3664" t="str">
        <f t="shared" si="572"/>
        <v/>
      </c>
      <c r="R3664" t="str">
        <f t="shared" si="573"/>
        <v/>
      </c>
      <c r="S3664" t="str">
        <f t="shared" si="574"/>
        <v/>
      </c>
      <c r="T3664" t="str">
        <f t="shared" si="575"/>
        <v/>
      </c>
      <c r="U3664" t="str">
        <f t="shared" si="576"/>
        <v/>
      </c>
      <c r="V3664" t="str">
        <f t="shared" si="577"/>
        <v/>
      </c>
      <c r="W3664" t="str">
        <f t="shared" si="578"/>
        <v/>
      </c>
      <c r="X3664">
        <f>IF($T3664="",N($X3663),IF(MATCH($T3664,$T$6:$T$10005,0)=ROW()-5,N($X3663)+1,N($X3663)))</f>
        <v>0</v>
      </c>
      <c r="Z3664" t="str">
        <f t="shared" si="579"/>
        <v/>
      </c>
      <c r="AA3664">
        <f>IF($V3664="",N($AA3663),IF(MATCH($V3664,$V$6:$V$10005,0)=ROW()-5,N($AA3663)+1,N($AA3663)))</f>
        <v>0</v>
      </c>
    </row>
    <row r="3665" spans="1:27" ht="21" customHeight="1" x14ac:dyDescent="0.95">
      <c r="A3665" s="56"/>
      <c r="B3665" s="57"/>
      <c r="C3665" s="57"/>
      <c r="D3665" s="57"/>
      <c r="E3665" s="56"/>
      <c r="F3665" s="57"/>
      <c r="G3665" s="57"/>
      <c r="H3665" s="56"/>
      <c r="I3665" s="56"/>
      <c r="J3665" s="58"/>
      <c r="K3665" s="58"/>
      <c r="L3665" s="13" t="str">
        <f t="shared" si="570"/>
        <v/>
      </c>
      <c r="M3665" s="13" t="str">
        <f t="shared" si="571"/>
        <v/>
      </c>
      <c r="Q3665" t="str">
        <f t="shared" si="572"/>
        <v/>
      </c>
      <c r="R3665" t="str">
        <f t="shared" si="573"/>
        <v/>
      </c>
      <c r="S3665" t="str">
        <f t="shared" si="574"/>
        <v/>
      </c>
      <c r="T3665" t="str">
        <f t="shared" si="575"/>
        <v/>
      </c>
      <c r="U3665" t="str">
        <f t="shared" si="576"/>
        <v/>
      </c>
      <c r="V3665" t="str">
        <f t="shared" si="577"/>
        <v/>
      </c>
      <c r="W3665" t="str">
        <f t="shared" si="578"/>
        <v/>
      </c>
      <c r="X3665">
        <f>IF($T3665="",N($X3664),IF(MATCH($T3665,$T$6:$T$10005,0)=ROW()-5,N($X3664)+1,N($X3664)))</f>
        <v>0</v>
      </c>
      <c r="Z3665" t="str">
        <f t="shared" si="579"/>
        <v/>
      </c>
      <c r="AA3665">
        <f>IF($V3665="",N($AA3664),IF(MATCH($V3665,$V$6:$V$10005,0)=ROW()-5,N($AA3664)+1,N($AA3664)))</f>
        <v>0</v>
      </c>
    </row>
    <row r="3666" spans="1:27" ht="21" customHeight="1" x14ac:dyDescent="0.95">
      <c r="A3666" s="56"/>
      <c r="B3666" s="57"/>
      <c r="C3666" s="57"/>
      <c r="D3666" s="57"/>
      <c r="E3666" s="56"/>
      <c r="F3666" s="57"/>
      <c r="G3666" s="57"/>
      <c r="H3666" s="56"/>
      <c r="I3666" s="56"/>
      <c r="J3666" s="58"/>
      <c r="K3666" s="58"/>
      <c r="L3666" s="13" t="str">
        <f t="shared" si="570"/>
        <v/>
      </c>
      <c r="M3666" s="13" t="str">
        <f t="shared" si="571"/>
        <v/>
      </c>
      <c r="Q3666" t="str">
        <f t="shared" si="572"/>
        <v/>
      </c>
      <c r="R3666" t="str">
        <f t="shared" si="573"/>
        <v/>
      </c>
      <c r="S3666" t="str">
        <f t="shared" si="574"/>
        <v/>
      </c>
      <c r="T3666" t="str">
        <f t="shared" si="575"/>
        <v/>
      </c>
      <c r="U3666" t="str">
        <f t="shared" si="576"/>
        <v/>
      </c>
      <c r="V3666" t="str">
        <f t="shared" si="577"/>
        <v/>
      </c>
      <c r="W3666" t="str">
        <f t="shared" si="578"/>
        <v/>
      </c>
      <c r="X3666">
        <f>IF($T3666="",N($X3665),IF(MATCH($T3666,$T$6:$T$10005,0)=ROW()-5,N($X3665)+1,N($X3665)))</f>
        <v>0</v>
      </c>
      <c r="Z3666" t="str">
        <f t="shared" si="579"/>
        <v/>
      </c>
      <c r="AA3666">
        <f>IF($V3666="",N($AA3665),IF(MATCH($V3666,$V$6:$V$10005,0)=ROW()-5,N($AA3665)+1,N($AA3665)))</f>
        <v>0</v>
      </c>
    </row>
    <row r="3667" spans="1:27" ht="21" customHeight="1" x14ac:dyDescent="0.95">
      <c r="A3667" s="56"/>
      <c r="B3667" s="57"/>
      <c r="C3667" s="57"/>
      <c r="D3667" s="57"/>
      <c r="E3667" s="56"/>
      <c r="F3667" s="57"/>
      <c r="G3667" s="57"/>
      <c r="H3667" s="56"/>
      <c r="I3667" s="56"/>
      <c r="J3667" s="58"/>
      <c r="K3667" s="58"/>
      <c r="L3667" s="13" t="str">
        <f t="shared" si="570"/>
        <v/>
      </c>
      <c r="M3667" s="13" t="str">
        <f t="shared" si="571"/>
        <v/>
      </c>
      <c r="Q3667" t="str">
        <f t="shared" si="572"/>
        <v/>
      </c>
      <c r="R3667" t="str">
        <f t="shared" si="573"/>
        <v/>
      </c>
      <c r="S3667" t="str">
        <f t="shared" si="574"/>
        <v/>
      </c>
      <c r="T3667" t="str">
        <f t="shared" si="575"/>
        <v/>
      </c>
      <c r="U3667" t="str">
        <f t="shared" si="576"/>
        <v/>
      </c>
      <c r="V3667" t="str">
        <f t="shared" si="577"/>
        <v/>
      </c>
      <c r="W3667" t="str">
        <f t="shared" si="578"/>
        <v/>
      </c>
      <c r="X3667">
        <f>IF($T3667="",N($X3666),IF(MATCH($T3667,$T$6:$T$10005,0)=ROW()-5,N($X3666)+1,N($X3666)))</f>
        <v>0</v>
      </c>
      <c r="Z3667" t="str">
        <f t="shared" si="579"/>
        <v/>
      </c>
      <c r="AA3667">
        <f>IF($V3667="",N($AA3666),IF(MATCH($V3667,$V$6:$V$10005,0)=ROW()-5,N($AA3666)+1,N($AA3666)))</f>
        <v>0</v>
      </c>
    </row>
    <row r="3668" spans="1:27" ht="21" customHeight="1" x14ac:dyDescent="0.95">
      <c r="A3668" s="56"/>
      <c r="B3668" s="57"/>
      <c r="C3668" s="57"/>
      <c r="D3668" s="57"/>
      <c r="E3668" s="56"/>
      <c r="F3668" s="57"/>
      <c r="G3668" s="57"/>
      <c r="H3668" s="56"/>
      <c r="I3668" s="56"/>
      <c r="J3668" s="58"/>
      <c r="K3668" s="58"/>
      <c r="L3668" s="13" t="str">
        <f t="shared" si="570"/>
        <v/>
      </c>
      <c r="M3668" s="13" t="str">
        <f t="shared" si="571"/>
        <v/>
      </c>
      <c r="Q3668" t="str">
        <f t="shared" si="572"/>
        <v/>
      </c>
      <c r="R3668" t="str">
        <f t="shared" si="573"/>
        <v/>
      </c>
      <c r="S3668" t="str">
        <f t="shared" si="574"/>
        <v/>
      </c>
      <c r="T3668" t="str">
        <f t="shared" si="575"/>
        <v/>
      </c>
      <c r="U3668" t="str">
        <f t="shared" si="576"/>
        <v/>
      </c>
      <c r="V3668" t="str">
        <f t="shared" si="577"/>
        <v/>
      </c>
      <c r="W3668" t="str">
        <f t="shared" si="578"/>
        <v/>
      </c>
      <c r="X3668">
        <f>IF($T3668="",N($X3667),IF(MATCH($T3668,$T$6:$T$10005,0)=ROW()-5,N($X3667)+1,N($X3667)))</f>
        <v>0</v>
      </c>
      <c r="Z3668" t="str">
        <f t="shared" si="579"/>
        <v/>
      </c>
      <c r="AA3668">
        <f>IF($V3668="",N($AA3667),IF(MATCH($V3668,$V$6:$V$10005,0)=ROW()-5,N($AA3667)+1,N($AA3667)))</f>
        <v>0</v>
      </c>
    </row>
    <row r="3669" spans="1:27" ht="21" customHeight="1" x14ac:dyDescent="0.95">
      <c r="A3669" s="56"/>
      <c r="B3669" s="57"/>
      <c r="C3669" s="57"/>
      <c r="D3669" s="57"/>
      <c r="E3669" s="56"/>
      <c r="F3669" s="57"/>
      <c r="G3669" s="57"/>
      <c r="H3669" s="56"/>
      <c r="I3669" s="56"/>
      <c r="J3669" s="58"/>
      <c r="K3669" s="58"/>
      <c r="L3669" s="13" t="str">
        <f t="shared" si="570"/>
        <v/>
      </c>
      <c r="M3669" s="13" t="str">
        <f t="shared" si="571"/>
        <v/>
      </c>
      <c r="Q3669" t="str">
        <f t="shared" si="572"/>
        <v/>
      </c>
      <c r="R3669" t="str">
        <f t="shared" si="573"/>
        <v/>
      </c>
      <c r="S3669" t="str">
        <f t="shared" si="574"/>
        <v/>
      </c>
      <c r="T3669" t="str">
        <f t="shared" si="575"/>
        <v/>
      </c>
      <c r="U3669" t="str">
        <f t="shared" si="576"/>
        <v/>
      </c>
      <c r="V3669" t="str">
        <f t="shared" si="577"/>
        <v/>
      </c>
      <c r="W3669" t="str">
        <f t="shared" si="578"/>
        <v/>
      </c>
      <c r="X3669">
        <f>IF($T3669="",N($X3668),IF(MATCH($T3669,$T$6:$T$10005,0)=ROW()-5,N($X3668)+1,N($X3668)))</f>
        <v>0</v>
      </c>
      <c r="Z3669" t="str">
        <f t="shared" si="579"/>
        <v/>
      </c>
      <c r="AA3669">
        <f>IF($V3669="",N($AA3668),IF(MATCH($V3669,$V$6:$V$10005,0)=ROW()-5,N($AA3668)+1,N($AA3668)))</f>
        <v>0</v>
      </c>
    </row>
    <row r="3670" spans="1:27" ht="21" customHeight="1" x14ac:dyDescent="0.95">
      <c r="A3670" s="56"/>
      <c r="B3670" s="57"/>
      <c r="C3670" s="57"/>
      <c r="D3670" s="57"/>
      <c r="E3670" s="56"/>
      <c r="F3670" s="57"/>
      <c r="G3670" s="57"/>
      <c r="H3670" s="56"/>
      <c r="I3670" s="56"/>
      <c r="J3670" s="58"/>
      <c r="K3670" s="58"/>
      <c r="L3670" s="13" t="str">
        <f t="shared" si="570"/>
        <v/>
      </c>
      <c r="M3670" s="13" t="str">
        <f t="shared" si="571"/>
        <v/>
      </c>
      <c r="Q3670" t="str">
        <f t="shared" si="572"/>
        <v/>
      </c>
      <c r="R3670" t="str">
        <f t="shared" si="573"/>
        <v/>
      </c>
      <c r="S3670" t="str">
        <f t="shared" si="574"/>
        <v/>
      </c>
      <c r="T3670" t="str">
        <f t="shared" si="575"/>
        <v/>
      </c>
      <c r="U3670" t="str">
        <f t="shared" si="576"/>
        <v/>
      </c>
      <c r="V3670" t="str">
        <f t="shared" si="577"/>
        <v/>
      </c>
      <c r="W3670" t="str">
        <f t="shared" si="578"/>
        <v/>
      </c>
      <c r="X3670">
        <f>IF($T3670="",N($X3669),IF(MATCH($T3670,$T$6:$T$10005,0)=ROW()-5,N($X3669)+1,N($X3669)))</f>
        <v>0</v>
      </c>
      <c r="Z3670" t="str">
        <f t="shared" si="579"/>
        <v/>
      </c>
      <c r="AA3670">
        <f>IF($V3670="",N($AA3669),IF(MATCH($V3670,$V$6:$V$10005,0)=ROW()-5,N($AA3669)+1,N($AA3669)))</f>
        <v>0</v>
      </c>
    </row>
    <row r="3671" spans="1:27" ht="21" customHeight="1" x14ac:dyDescent="0.95">
      <c r="A3671" s="56"/>
      <c r="B3671" s="57"/>
      <c r="C3671" s="57"/>
      <c r="D3671" s="57"/>
      <c r="E3671" s="56"/>
      <c r="F3671" s="57"/>
      <c r="G3671" s="57"/>
      <c r="H3671" s="56"/>
      <c r="I3671" s="56"/>
      <c r="J3671" s="58"/>
      <c r="K3671" s="58"/>
      <c r="L3671" s="13" t="str">
        <f t="shared" si="570"/>
        <v/>
      </c>
      <c r="M3671" s="13" t="str">
        <f t="shared" si="571"/>
        <v/>
      </c>
      <c r="Q3671" t="str">
        <f t="shared" si="572"/>
        <v/>
      </c>
      <c r="R3671" t="str">
        <f t="shared" si="573"/>
        <v/>
      </c>
      <c r="S3671" t="str">
        <f t="shared" si="574"/>
        <v/>
      </c>
      <c r="T3671" t="str">
        <f t="shared" si="575"/>
        <v/>
      </c>
      <c r="U3671" t="str">
        <f t="shared" si="576"/>
        <v/>
      </c>
      <c r="V3671" t="str">
        <f t="shared" si="577"/>
        <v/>
      </c>
      <c r="W3671" t="str">
        <f t="shared" si="578"/>
        <v/>
      </c>
      <c r="X3671">
        <f>IF($T3671="",N($X3670),IF(MATCH($T3671,$T$6:$T$10005,0)=ROW()-5,N($X3670)+1,N($X3670)))</f>
        <v>0</v>
      </c>
      <c r="Z3671" t="str">
        <f t="shared" si="579"/>
        <v/>
      </c>
      <c r="AA3671">
        <f>IF($V3671="",N($AA3670),IF(MATCH($V3671,$V$6:$V$10005,0)=ROW()-5,N($AA3670)+1,N($AA3670)))</f>
        <v>0</v>
      </c>
    </row>
    <row r="3672" spans="1:27" ht="21" customHeight="1" x14ac:dyDescent="0.95">
      <c r="A3672" s="56"/>
      <c r="B3672" s="57"/>
      <c r="C3672" s="57"/>
      <c r="D3672" s="57"/>
      <c r="E3672" s="56"/>
      <c r="F3672" s="57"/>
      <c r="G3672" s="57"/>
      <c r="H3672" s="56"/>
      <c r="I3672" s="56"/>
      <c r="J3672" s="58"/>
      <c r="K3672" s="58"/>
      <c r="L3672" s="13" t="str">
        <f t="shared" si="570"/>
        <v/>
      </c>
      <c r="M3672" s="13" t="str">
        <f t="shared" si="571"/>
        <v/>
      </c>
      <c r="Q3672" t="str">
        <f t="shared" si="572"/>
        <v/>
      </c>
      <c r="R3672" t="str">
        <f t="shared" si="573"/>
        <v/>
      </c>
      <c r="S3672" t="str">
        <f t="shared" si="574"/>
        <v/>
      </c>
      <c r="T3672" t="str">
        <f t="shared" si="575"/>
        <v/>
      </c>
      <c r="U3672" t="str">
        <f t="shared" si="576"/>
        <v/>
      </c>
      <c r="V3672" t="str">
        <f t="shared" si="577"/>
        <v/>
      </c>
      <c r="W3672" t="str">
        <f t="shared" si="578"/>
        <v/>
      </c>
      <c r="X3672">
        <f>IF($T3672="",N($X3671),IF(MATCH($T3672,$T$6:$T$10005,0)=ROW()-5,N($X3671)+1,N($X3671)))</f>
        <v>0</v>
      </c>
      <c r="Z3672" t="str">
        <f t="shared" si="579"/>
        <v/>
      </c>
      <c r="AA3672">
        <f>IF($V3672="",N($AA3671),IF(MATCH($V3672,$V$6:$V$10005,0)=ROW()-5,N($AA3671)+1,N($AA3671)))</f>
        <v>0</v>
      </c>
    </row>
    <row r="3673" spans="1:27" ht="21" customHeight="1" x14ac:dyDescent="0.95">
      <c r="A3673" s="56"/>
      <c r="B3673" s="57"/>
      <c r="C3673" s="57"/>
      <c r="D3673" s="57"/>
      <c r="E3673" s="56"/>
      <c r="F3673" s="57"/>
      <c r="G3673" s="57"/>
      <c r="H3673" s="56"/>
      <c r="I3673" s="56"/>
      <c r="J3673" s="58"/>
      <c r="K3673" s="58"/>
      <c r="L3673" s="13" t="str">
        <f t="shared" si="570"/>
        <v/>
      </c>
      <c r="M3673" s="13" t="str">
        <f t="shared" si="571"/>
        <v/>
      </c>
      <c r="Q3673" t="str">
        <f t="shared" si="572"/>
        <v/>
      </c>
      <c r="R3673" t="str">
        <f t="shared" si="573"/>
        <v/>
      </c>
      <c r="S3673" t="str">
        <f t="shared" si="574"/>
        <v/>
      </c>
      <c r="T3673" t="str">
        <f t="shared" si="575"/>
        <v/>
      </c>
      <c r="U3673" t="str">
        <f t="shared" si="576"/>
        <v/>
      </c>
      <c r="V3673" t="str">
        <f t="shared" si="577"/>
        <v/>
      </c>
      <c r="W3673" t="str">
        <f t="shared" si="578"/>
        <v/>
      </c>
      <c r="X3673">
        <f>IF($T3673="",N($X3672),IF(MATCH($T3673,$T$6:$T$10005,0)=ROW()-5,N($X3672)+1,N($X3672)))</f>
        <v>0</v>
      </c>
      <c r="Z3673" t="str">
        <f t="shared" si="579"/>
        <v/>
      </c>
      <c r="AA3673">
        <f>IF($V3673="",N($AA3672),IF(MATCH($V3673,$V$6:$V$10005,0)=ROW()-5,N($AA3672)+1,N($AA3672)))</f>
        <v>0</v>
      </c>
    </row>
    <row r="3674" spans="1:27" ht="21" customHeight="1" x14ac:dyDescent="0.95">
      <c r="A3674" s="56"/>
      <c r="B3674" s="57"/>
      <c r="C3674" s="57"/>
      <c r="D3674" s="57"/>
      <c r="E3674" s="56"/>
      <c r="F3674" s="57"/>
      <c r="G3674" s="57"/>
      <c r="H3674" s="56"/>
      <c r="I3674" s="56"/>
      <c r="J3674" s="58"/>
      <c r="K3674" s="58"/>
      <c r="L3674" s="13" t="str">
        <f t="shared" si="570"/>
        <v/>
      </c>
      <c r="M3674" s="13" t="str">
        <f t="shared" si="571"/>
        <v/>
      </c>
      <c r="Q3674" t="str">
        <f t="shared" si="572"/>
        <v/>
      </c>
      <c r="R3674" t="str">
        <f t="shared" si="573"/>
        <v/>
      </c>
      <c r="S3674" t="str">
        <f t="shared" si="574"/>
        <v/>
      </c>
      <c r="T3674" t="str">
        <f t="shared" si="575"/>
        <v/>
      </c>
      <c r="U3674" t="str">
        <f t="shared" si="576"/>
        <v/>
      </c>
      <c r="V3674" t="str">
        <f t="shared" si="577"/>
        <v/>
      </c>
      <c r="W3674" t="str">
        <f t="shared" si="578"/>
        <v/>
      </c>
      <c r="X3674">
        <f>IF($T3674="",N($X3673),IF(MATCH($T3674,$T$6:$T$10005,0)=ROW()-5,N($X3673)+1,N($X3673)))</f>
        <v>0</v>
      </c>
      <c r="Z3674" t="str">
        <f t="shared" si="579"/>
        <v/>
      </c>
      <c r="AA3674">
        <f>IF($V3674="",N($AA3673),IF(MATCH($V3674,$V$6:$V$10005,0)=ROW()-5,N($AA3673)+1,N($AA3673)))</f>
        <v>0</v>
      </c>
    </row>
    <row r="3675" spans="1:27" ht="21" customHeight="1" x14ac:dyDescent="0.95">
      <c r="A3675" s="56"/>
      <c r="B3675" s="57"/>
      <c r="C3675" s="57"/>
      <c r="D3675" s="57"/>
      <c r="E3675" s="56"/>
      <c r="F3675" s="57"/>
      <c r="G3675" s="57"/>
      <c r="H3675" s="56"/>
      <c r="I3675" s="56"/>
      <c r="J3675" s="58"/>
      <c r="K3675" s="58"/>
      <c r="L3675" s="13" t="str">
        <f t="shared" si="570"/>
        <v/>
      </c>
      <c r="M3675" s="13" t="str">
        <f t="shared" si="571"/>
        <v/>
      </c>
      <c r="Q3675" t="str">
        <f t="shared" si="572"/>
        <v/>
      </c>
      <c r="R3675" t="str">
        <f t="shared" si="573"/>
        <v/>
      </c>
      <c r="S3675" t="str">
        <f t="shared" si="574"/>
        <v/>
      </c>
      <c r="T3675" t="str">
        <f t="shared" si="575"/>
        <v/>
      </c>
      <c r="U3675" t="str">
        <f t="shared" si="576"/>
        <v/>
      </c>
      <c r="V3675" t="str">
        <f t="shared" si="577"/>
        <v/>
      </c>
      <c r="W3675" t="str">
        <f t="shared" si="578"/>
        <v/>
      </c>
      <c r="X3675">
        <f>IF($T3675="",N($X3674),IF(MATCH($T3675,$T$6:$T$10005,0)=ROW()-5,N($X3674)+1,N($X3674)))</f>
        <v>0</v>
      </c>
      <c r="Z3675" t="str">
        <f t="shared" si="579"/>
        <v/>
      </c>
      <c r="AA3675">
        <f>IF($V3675="",N($AA3674),IF(MATCH($V3675,$V$6:$V$10005,0)=ROW()-5,N($AA3674)+1,N($AA3674)))</f>
        <v>0</v>
      </c>
    </row>
    <row r="3676" spans="1:27" ht="21" customHeight="1" x14ac:dyDescent="0.95">
      <c r="A3676" s="56"/>
      <c r="B3676" s="57"/>
      <c r="C3676" s="57"/>
      <c r="D3676" s="57"/>
      <c r="E3676" s="56"/>
      <c r="F3676" s="57"/>
      <c r="G3676" s="57"/>
      <c r="H3676" s="56"/>
      <c r="I3676" s="56"/>
      <c r="J3676" s="58"/>
      <c r="K3676" s="58"/>
      <c r="L3676" s="13" t="str">
        <f t="shared" si="570"/>
        <v/>
      </c>
      <c r="M3676" s="13" t="str">
        <f t="shared" si="571"/>
        <v/>
      </c>
      <c r="Q3676" t="str">
        <f t="shared" si="572"/>
        <v/>
      </c>
      <c r="R3676" t="str">
        <f t="shared" si="573"/>
        <v/>
      </c>
      <c r="S3676" t="str">
        <f t="shared" si="574"/>
        <v/>
      </c>
      <c r="T3676" t="str">
        <f t="shared" si="575"/>
        <v/>
      </c>
      <c r="U3676" t="str">
        <f t="shared" si="576"/>
        <v/>
      </c>
      <c r="V3676" t="str">
        <f t="shared" si="577"/>
        <v/>
      </c>
      <c r="W3676" t="str">
        <f t="shared" si="578"/>
        <v/>
      </c>
      <c r="X3676">
        <f>IF($T3676="",N($X3675),IF(MATCH($T3676,$T$6:$T$10005,0)=ROW()-5,N($X3675)+1,N($X3675)))</f>
        <v>0</v>
      </c>
      <c r="Z3676" t="str">
        <f t="shared" si="579"/>
        <v/>
      </c>
      <c r="AA3676">
        <f>IF($V3676="",N($AA3675),IF(MATCH($V3676,$V$6:$V$10005,0)=ROW()-5,N($AA3675)+1,N($AA3675)))</f>
        <v>0</v>
      </c>
    </row>
    <row r="3677" spans="1:27" ht="21" customHeight="1" x14ac:dyDescent="0.95">
      <c r="A3677" s="56"/>
      <c r="B3677" s="57"/>
      <c r="C3677" s="57"/>
      <c r="D3677" s="57"/>
      <c r="E3677" s="56"/>
      <c r="F3677" s="57"/>
      <c r="G3677" s="57"/>
      <c r="H3677" s="56"/>
      <c r="I3677" s="56"/>
      <c r="J3677" s="58"/>
      <c r="K3677" s="58"/>
      <c r="L3677" s="13" t="str">
        <f t="shared" si="570"/>
        <v/>
      </c>
      <c r="M3677" s="13" t="str">
        <f t="shared" si="571"/>
        <v/>
      </c>
      <c r="Q3677" t="str">
        <f t="shared" si="572"/>
        <v/>
      </c>
      <c r="R3677" t="str">
        <f t="shared" si="573"/>
        <v/>
      </c>
      <c r="S3677" t="str">
        <f t="shared" si="574"/>
        <v/>
      </c>
      <c r="T3677" t="str">
        <f t="shared" si="575"/>
        <v/>
      </c>
      <c r="U3677" t="str">
        <f t="shared" si="576"/>
        <v/>
      </c>
      <c r="V3677" t="str">
        <f t="shared" si="577"/>
        <v/>
      </c>
      <c r="W3677" t="str">
        <f t="shared" si="578"/>
        <v/>
      </c>
      <c r="X3677">
        <f>IF($T3677="",N($X3676),IF(MATCH($T3677,$T$6:$T$10005,0)=ROW()-5,N($X3676)+1,N($X3676)))</f>
        <v>0</v>
      </c>
      <c r="Z3677" t="str">
        <f t="shared" si="579"/>
        <v/>
      </c>
      <c r="AA3677">
        <f>IF($V3677="",N($AA3676),IF(MATCH($V3677,$V$6:$V$10005,0)=ROW()-5,N($AA3676)+1,N($AA3676)))</f>
        <v>0</v>
      </c>
    </row>
    <row r="3678" spans="1:27" ht="21" customHeight="1" x14ac:dyDescent="0.95">
      <c r="A3678" s="56"/>
      <c r="B3678" s="57"/>
      <c r="C3678" s="57"/>
      <c r="D3678" s="57"/>
      <c r="E3678" s="56"/>
      <c r="F3678" s="57"/>
      <c r="G3678" s="57"/>
      <c r="H3678" s="56"/>
      <c r="I3678" s="56"/>
      <c r="J3678" s="58"/>
      <c r="K3678" s="58"/>
      <c r="L3678" s="13" t="str">
        <f t="shared" si="570"/>
        <v/>
      </c>
      <c r="M3678" s="13" t="str">
        <f t="shared" si="571"/>
        <v/>
      </c>
      <c r="Q3678" t="str">
        <f t="shared" si="572"/>
        <v/>
      </c>
      <c r="R3678" t="str">
        <f t="shared" si="573"/>
        <v/>
      </c>
      <c r="S3678" t="str">
        <f t="shared" si="574"/>
        <v/>
      </c>
      <c r="T3678" t="str">
        <f t="shared" si="575"/>
        <v/>
      </c>
      <c r="U3678" t="str">
        <f t="shared" si="576"/>
        <v/>
      </c>
      <c r="V3678" t="str">
        <f t="shared" si="577"/>
        <v/>
      </c>
      <c r="W3678" t="str">
        <f t="shared" si="578"/>
        <v/>
      </c>
      <c r="X3678">
        <f>IF($T3678="",N($X3677),IF(MATCH($T3678,$T$6:$T$10005,0)=ROW()-5,N($X3677)+1,N($X3677)))</f>
        <v>0</v>
      </c>
      <c r="Z3678" t="str">
        <f t="shared" si="579"/>
        <v/>
      </c>
      <c r="AA3678">
        <f>IF($V3678="",N($AA3677),IF(MATCH($V3678,$V$6:$V$10005,0)=ROW()-5,N($AA3677)+1,N($AA3677)))</f>
        <v>0</v>
      </c>
    </row>
    <row r="3679" spans="1:27" ht="21" customHeight="1" x14ac:dyDescent="0.95">
      <c r="A3679" s="56"/>
      <c r="B3679" s="57"/>
      <c r="C3679" s="57"/>
      <c r="D3679" s="57"/>
      <c r="E3679" s="56"/>
      <c r="F3679" s="57"/>
      <c r="G3679" s="57"/>
      <c r="H3679" s="56"/>
      <c r="I3679" s="56"/>
      <c r="J3679" s="58"/>
      <c r="K3679" s="58"/>
      <c r="L3679" s="13" t="str">
        <f t="shared" si="570"/>
        <v/>
      </c>
      <c r="M3679" s="13" t="str">
        <f t="shared" si="571"/>
        <v/>
      </c>
      <c r="Q3679" t="str">
        <f t="shared" si="572"/>
        <v/>
      </c>
      <c r="R3679" t="str">
        <f t="shared" si="573"/>
        <v/>
      </c>
      <c r="S3679" t="str">
        <f t="shared" si="574"/>
        <v/>
      </c>
      <c r="T3679" t="str">
        <f t="shared" si="575"/>
        <v/>
      </c>
      <c r="U3679" t="str">
        <f t="shared" si="576"/>
        <v/>
      </c>
      <c r="V3679" t="str">
        <f t="shared" si="577"/>
        <v/>
      </c>
      <c r="W3679" t="str">
        <f t="shared" si="578"/>
        <v/>
      </c>
      <c r="X3679">
        <f>IF($T3679="",N($X3678),IF(MATCH($T3679,$T$6:$T$10005,0)=ROW()-5,N($X3678)+1,N($X3678)))</f>
        <v>0</v>
      </c>
      <c r="Z3679" t="str">
        <f t="shared" si="579"/>
        <v/>
      </c>
      <c r="AA3679">
        <f>IF($V3679="",N($AA3678),IF(MATCH($V3679,$V$6:$V$10005,0)=ROW()-5,N($AA3678)+1,N($AA3678)))</f>
        <v>0</v>
      </c>
    </row>
    <row r="3680" spans="1:27" ht="21" customHeight="1" x14ac:dyDescent="0.95">
      <c r="A3680" s="56"/>
      <c r="B3680" s="57"/>
      <c r="C3680" s="57"/>
      <c r="D3680" s="57"/>
      <c r="E3680" s="56"/>
      <c r="F3680" s="57"/>
      <c r="G3680" s="57"/>
      <c r="H3680" s="56"/>
      <c r="I3680" s="56"/>
      <c r="J3680" s="58"/>
      <c r="K3680" s="58"/>
      <c r="L3680" s="13" t="str">
        <f t="shared" si="570"/>
        <v/>
      </c>
      <c r="M3680" s="13" t="str">
        <f t="shared" si="571"/>
        <v/>
      </c>
      <c r="Q3680" t="str">
        <f t="shared" si="572"/>
        <v/>
      </c>
      <c r="R3680" t="str">
        <f t="shared" si="573"/>
        <v/>
      </c>
      <c r="S3680" t="str">
        <f t="shared" si="574"/>
        <v/>
      </c>
      <c r="T3680" t="str">
        <f t="shared" si="575"/>
        <v/>
      </c>
      <c r="U3680" t="str">
        <f t="shared" si="576"/>
        <v/>
      </c>
      <c r="V3680" t="str">
        <f t="shared" si="577"/>
        <v/>
      </c>
      <c r="W3680" t="str">
        <f t="shared" si="578"/>
        <v/>
      </c>
      <c r="X3680">
        <f>IF($T3680="",N($X3679),IF(MATCH($T3680,$T$6:$T$10005,0)=ROW()-5,N($X3679)+1,N($X3679)))</f>
        <v>0</v>
      </c>
      <c r="Z3680" t="str">
        <f t="shared" si="579"/>
        <v/>
      </c>
      <c r="AA3680">
        <f>IF($V3680="",N($AA3679),IF(MATCH($V3680,$V$6:$V$10005,0)=ROW()-5,N($AA3679)+1,N($AA3679)))</f>
        <v>0</v>
      </c>
    </row>
    <row r="3681" spans="1:27" ht="21" customHeight="1" x14ac:dyDescent="0.95">
      <c r="A3681" s="56"/>
      <c r="B3681" s="57"/>
      <c r="C3681" s="57"/>
      <c r="D3681" s="57"/>
      <c r="E3681" s="56"/>
      <c r="F3681" s="57"/>
      <c r="G3681" s="57"/>
      <c r="H3681" s="56"/>
      <c r="I3681" s="56"/>
      <c r="J3681" s="58"/>
      <c r="K3681" s="58"/>
      <c r="L3681" s="13" t="str">
        <f t="shared" si="570"/>
        <v/>
      </c>
      <c r="M3681" s="13" t="str">
        <f t="shared" si="571"/>
        <v/>
      </c>
      <c r="Q3681" t="str">
        <f t="shared" si="572"/>
        <v/>
      </c>
      <c r="R3681" t="str">
        <f t="shared" si="573"/>
        <v/>
      </c>
      <c r="S3681" t="str">
        <f t="shared" si="574"/>
        <v/>
      </c>
      <c r="T3681" t="str">
        <f t="shared" si="575"/>
        <v/>
      </c>
      <c r="U3681" t="str">
        <f t="shared" si="576"/>
        <v/>
      </c>
      <c r="V3681" t="str">
        <f t="shared" si="577"/>
        <v/>
      </c>
      <c r="W3681" t="str">
        <f t="shared" si="578"/>
        <v/>
      </c>
      <c r="X3681">
        <f>IF($T3681="",N($X3680),IF(MATCH($T3681,$T$6:$T$10005,0)=ROW()-5,N($X3680)+1,N($X3680)))</f>
        <v>0</v>
      </c>
      <c r="Z3681" t="str">
        <f t="shared" si="579"/>
        <v/>
      </c>
      <c r="AA3681">
        <f>IF($V3681="",N($AA3680),IF(MATCH($V3681,$V$6:$V$10005,0)=ROW()-5,N($AA3680)+1,N($AA3680)))</f>
        <v>0</v>
      </c>
    </row>
    <row r="3682" spans="1:27" ht="21" customHeight="1" x14ac:dyDescent="0.95">
      <c r="A3682" s="56"/>
      <c r="B3682" s="57"/>
      <c r="C3682" s="57"/>
      <c r="D3682" s="57"/>
      <c r="E3682" s="56"/>
      <c r="F3682" s="57"/>
      <c r="G3682" s="57"/>
      <c r="H3682" s="56"/>
      <c r="I3682" s="56"/>
      <c r="J3682" s="58"/>
      <c r="K3682" s="58"/>
      <c r="L3682" s="13" t="str">
        <f t="shared" si="570"/>
        <v/>
      </c>
      <c r="M3682" s="13" t="str">
        <f t="shared" si="571"/>
        <v/>
      </c>
      <c r="Q3682" t="str">
        <f t="shared" si="572"/>
        <v/>
      </c>
      <c r="R3682" t="str">
        <f t="shared" si="573"/>
        <v/>
      </c>
      <c r="S3682" t="str">
        <f t="shared" si="574"/>
        <v/>
      </c>
      <c r="T3682" t="str">
        <f t="shared" si="575"/>
        <v/>
      </c>
      <c r="U3682" t="str">
        <f t="shared" si="576"/>
        <v/>
      </c>
      <c r="V3682" t="str">
        <f t="shared" si="577"/>
        <v/>
      </c>
      <c r="W3682" t="str">
        <f t="shared" si="578"/>
        <v/>
      </c>
      <c r="X3682">
        <f>IF($T3682="",N($X3681),IF(MATCH($T3682,$T$6:$T$10005,0)=ROW()-5,N($X3681)+1,N($X3681)))</f>
        <v>0</v>
      </c>
      <c r="Z3682" t="str">
        <f t="shared" si="579"/>
        <v/>
      </c>
      <c r="AA3682">
        <f>IF($V3682="",N($AA3681),IF(MATCH($V3682,$V$6:$V$10005,0)=ROW()-5,N($AA3681)+1,N($AA3681)))</f>
        <v>0</v>
      </c>
    </row>
    <row r="3683" spans="1:27" ht="21" customHeight="1" x14ac:dyDescent="0.95">
      <c r="A3683" s="56"/>
      <c r="B3683" s="57"/>
      <c r="C3683" s="57"/>
      <c r="D3683" s="57"/>
      <c r="E3683" s="56"/>
      <c r="F3683" s="57"/>
      <c r="G3683" s="57"/>
      <c r="H3683" s="56"/>
      <c r="I3683" s="56"/>
      <c r="J3683" s="58"/>
      <c r="K3683" s="58"/>
      <c r="L3683" s="13" t="str">
        <f t="shared" si="570"/>
        <v/>
      </c>
      <c r="M3683" s="13" t="str">
        <f t="shared" si="571"/>
        <v/>
      </c>
      <c r="Q3683" t="str">
        <f t="shared" si="572"/>
        <v/>
      </c>
      <c r="R3683" t="str">
        <f t="shared" si="573"/>
        <v/>
      </c>
      <c r="S3683" t="str">
        <f t="shared" si="574"/>
        <v/>
      </c>
      <c r="T3683" t="str">
        <f t="shared" si="575"/>
        <v/>
      </c>
      <c r="U3683" t="str">
        <f t="shared" si="576"/>
        <v/>
      </c>
      <c r="V3683" t="str">
        <f t="shared" si="577"/>
        <v/>
      </c>
      <c r="W3683" t="str">
        <f t="shared" si="578"/>
        <v/>
      </c>
      <c r="X3683">
        <f>IF($T3683="",N($X3682),IF(MATCH($T3683,$T$6:$T$10005,0)=ROW()-5,N($X3682)+1,N($X3682)))</f>
        <v>0</v>
      </c>
      <c r="Z3683" t="str">
        <f t="shared" si="579"/>
        <v/>
      </c>
      <c r="AA3683">
        <f>IF($V3683="",N($AA3682),IF(MATCH($V3683,$V$6:$V$10005,0)=ROW()-5,N($AA3682)+1,N($AA3682)))</f>
        <v>0</v>
      </c>
    </row>
    <row r="3684" spans="1:27" ht="21" customHeight="1" x14ac:dyDescent="0.95">
      <c r="A3684" s="56"/>
      <c r="B3684" s="57"/>
      <c r="C3684" s="57"/>
      <c r="D3684" s="57"/>
      <c r="E3684" s="56"/>
      <c r="F3684" s="57"/>
      <c r="G3684" s="57"/>
      <c r="H3684" s="56"/>
      <c r="I3684" s="56"/>
      <c r="J3684" s="58"/>
      <c r="K3684" s="58"/>
      <c r="L3684" s="13" t="str">
        <f t="shared" si="570"/>
        <v/>
      </c>
      <c r="M3684" s="13" t="str">
        <f t="shared" si="571"/>
        <v/>
      </c>
      <c r="Q3684" t="str">
        <f t="shared" si="572"/>
        <v/>
      </c>
      <c r="R3684" t="str">
        <f t="shared" si="573"/>
        <v/>
      </c>
      <c r="S3684" t="str">
        <f t="shared" si="574"/>
        <v/>
      </c>
      <c r="T3684" t="str">
        <f t="shared" si="575"/>
        <v/>
      </c>
      <c r="U3684" t="str">
        <f t="shared" si="576"/>
        <v/>
      </c>
      <c r="V3684" t="str">
        <f t="shared" si="577"/>
        <v/>
      </c>
      <c r="W3684" t="str">
        <f t="shared" si="578"/>
        <v/>
      </c>
      <c r="X3684">
        <f>IF($T3684="",N($X3683),IF(MATCH($T3684,$T$6:$T$10005,0)=ROW()-5,N($X3683)+1,N($X3683)))</f>
        <v>0</v>
      </c>
      <c r="Z3684" t="str">
        <f t="shared" si="579"/>
        <v/>
      </c>
      <c r="AA3684">
        <f>IF($V3684="",N($AA3683),IF(MATCH($V3684,$V$6:$V$10005,0)=ROW()-5,N($AA3683)+1,N($AA3683)))</f>
        <v>0</v>
      </c>
    </row>
    <row r="3685" spans="1:27" ht="21" customHeight="1" x14ac:dyDescent="0.95">
      <c r="A3685" s="56"/>
      <c r="B3685" s="57"/>
      <c r="C3685" s="57"/>
      <c r="D3685" s="57"/>
      <c r="E3685" s="56"/>
      <c r="F3685" s="57"/>
      <c r="G3685" s="57"/>
      <c r="H3685" s="56"/>
      <c r="I3685" s="56"/>
      <c r="J3685" s="58"/>
      <c r="K3685" s="58"/>
      <c r="L3685" s="13" t="str">
        <f t="shared" si="570"/>
        <v/>
      </c>
      <c r="M3685" s="13" t="str">
        <f t="shared" si="571"/>
        <v/>
      </c>
      <c r="Q3685" t="str">
        <f t="shared" si="572"/>
        <v/>
      </c>
      <c r="R3685" t="str">
        <f t="shared" si="573"/>
        <v/>
      </c>
      <c r="S3685" t="str">
        <f t="shared" si="574"/>
        <v/>
      </c>
      <c r="T3685" t="str">
        <f t="shared" si="575"/>
        <v/>
      </c>
      <c r="U3685" t="str">
        <f t="shared" si="576"/>
        <v/>
      </c>
      <c r="V3685" t="str">
        <f t="shared" si="577"/>
        <v/>
      </c>
      <c r="W3685" t="str">
        <f t="shared" si="578"/>
        <v/>
      </c>
      <c r="X3685">
        <f>IF($T3685="",N($X3684),IF(MATCH($T3685,$T$6:$T$10005,0)=ROW()-5,N($X3684)+1,N($X3684)))</f>
        <v>0</v>
      </c>
      <c r="Z3685" t="str">
        <f t="shared" si="579"/>
        <v/>
      </c>
      <c r="AA3685">
        <f>IF($V3685="",N($AA3684),IF(MATCH($V3685,$V$6:$V$10005,0)=ROW()-5,N($AA3684)+1,N($AA3684)))</f>
        <v>0</v>
      </c>
    </row>
    <row r="3686" spans="1:27" ht="21" customHeight="1" x14ac:dyDescent="0.95">
      <c r="A3686" s="56"/>
      <c r="B3686" s="57"/>
      <c r="C3686" s="57"/>
      <c r="D3686" s="57"/>
      <c r="E3686" s="56"/>
      <c r="F3686" s="57"/>
      <c r="G3686" s="57"/>
      <c r="H3686" s="56"/>
      <c r="I3686" s="56"/>
      <c r="J3686" s="58"/>
      <c r="K3686" s="58"/>
      <c r="L3686" s="13" t="str">
        <f t="shared" si="570"/>
        <v/>
      </c>
      <c r="M3686" s="13" t="str">
        <f t="shared" si="571"/>
        <v/>
      </c>
      <c r="Q3686" t="str">
        <f t="shared" si="572"/>
        <v/>
      </c>
      <c r="R3686" t="str">
        <f t="shared" si="573"/>
        <v/>
      </c>
      <c r="S3686" t="str">
        <f t="shared" si="574"/>
        <v/>
      </c>
      <c r="T3686" t="str">
        <f t="shared" si="575"/>
        <v/>
      </c>
      <c r="U3686" t="str">
        <f t="shared" si="576"/>
        <v/>
      </c>
      <c r="V3686" t="str">
        <f t="shared" si="577"/>
        <v/>
      </c>
      <c r="W3686" t="str">
        <f t="shared" si="578"/>
        <v/>
      </c>
      <c r="X3686">
        <f>IF($T3686="",N($X3685),IF(MATCH($T3686,$T$6:$T$10005,0)=ROW()-5,N($X3685)+1,N($X3685)))</f>
        <v>0</v>
      </c>
      <c r="Z3686" t="str">
        <f t="shared" si="579"/>
        <v/>
      </c>
      <c r="AA3686">
        <f>IF($V3686="",N($AA3685),IF(MATCH($V3686,$V$6:$V$10005,0)=ROW()-5,N($AA3685)+1,N($AA3685)))</f>
        <v>0</v>
      </c>
    </row>
    <row r="3687" spans="1:27" ht="21" customHeight="1" x14ac:dyDescent="0.95">
      <c r="A3687" s="56"/>
      <c r="B3687" s="57"/>
      <c r="C3687" s="57"/>
      <c r="D3687" s="57"/>
      <c r="E3687" s="56"/>
      <c r="F3687" s="57"/>
      <c r="G3687" s="57"/>
      <c r="H3687" s="56"/>
      <c r="I3687" s="56"/>
      <c r="J3687" s="58"/>
      <c r="K3687" s="58"/>
      <c r="L3687" s="13" t="str">
        <f t="shared" si="570"/>
        <v/>
      </c>
      <c r="M3687" s="13" t="str">
        <f t="shared" si="571"/>
        <v/>
      </c>
      <c r="Q3687" t="str">
        <f t="shared" si="572"/>
        <v/>
      </c>
      <c r="R3687" t="str">
        <f t="shared" si="573"/>
        <v/>
      </c>
      <c r="S3687" t="str">
        <f t="shared" si="574"/>
        <v/>
      </c>
      <c r="T3687" t="str">
        <f t="shared" si="575"/>
        <v/>
      </c>
      <c r="U3687" t="str">
        <f t="shared" si="576"/>
        <v/>
      </c>
      <c r="V3687" t="str">
        <f t="shared" si="577"/>
        <v/>
      </c>
      <c r="W3687" t="str">
        <f t="shared" si="578"/>
        <v/>
      </c>
      <c r="X3687">
        <f>IF($T3687="",N($X3686),IF(MATCH($T3687,$T$6:$T$10005,0)=ROW()-5,N($X3686)+1,N($X3686)))</f>
        <v>0</v>
      </c>
      <c r="Z3687" t="str">
        <f t="shared" si="579"/>
        <v/>
      </c>
      <c r="AA3687">
        <f>IF($V3687="",N($AA3686),IF(MATCH($V3687,$V$6:$V$10005,0)=ROW()-5,N($AA3686)+1,N($AA3686)))</f>
        <v>0</v>
      </c>
    </row>
    <row r="3688" spans="1:27" ht="21" customHeight="1" x14ac:dyDescent="0.95">
      <c r="A3688" s="56"/>
      <c r="B3688" s="57"/>
      <c r="C3688" s="57"/>
      <c r="D3688" s="57"/>
      <c r="E3688" s="56"/>
      <c r="F3688" s="57"/>
      <c r="G3688" s="57"/>
      <c r="H3688" s="56"/>
      <c r="I3688" s="56"/>
      <c r="J3688" s="58"/>
      <c r="K3688" s="58"/>
      <c r="L3688" s="13" t="str">
        <f t="shared" si="570"/>
        <v/>
      </c>
      <c r="M3688" s="13" t="str">
        <f t="shared" si="571"/>
        <v/>
      </c>
      <c r="Q3688" t="str">
        <f t="shared" si="572"/>
        <v/>
      </c>
      <c r="R3688" t="str">
        <f t="shared" si="573"/>
        <v/>
      </c>
      <c r="S3688" t="str">
        <f t="shared" si="574"/>
        <v/>
      </c>
      <c r="T3688" t="str">
        <f t="shared" si="575"/>
        <v/>
      </c>
      <c r="U3688" t="str">
        <f t="shared" si="576"/>
        <v/>
      </c>
      <c r="V3688" t="str">
        <f t="shared" si="577"/>
        <v/>
      </c>
      <c r="W3688" t="str">
        <f t="shared" si="578"/>
        <v/>
      </c>
      <c r="X3688">
        <f>IF($T3688="",N($X3687),IF(MATCH($T3688,$T$6:$T$10005,0)=ROW()-5,N($X3687)+1,N($X3687)))</f>
        <v>0</v>
      </c>
      <c r="Z3688" t="str">
        <f t="shared" si="579"/>
        <v/>
      </c>
      <c r="AA3688">
        <f>IF($V3688="",N($AA3687),IF(MATCH($V3688,$V$6:$V$10005,0)=ROW()-5,N($AA3687)+1,N($AA3687)))</f>
        <v>0</v>
      </c>
    </row>
    <row r="3689" spans="1:27" ht="21" customHeight="1" x14ac:dyDescent="0.95">
      <c r="A3689" s="56"/>
      <c r="B3689" s="57"/>
      <c r="C3689" s="57"/>
      <c r="D3689" s="57"/>
      <c r="E3689" s="56"/>
      <c r="F3689" s="57"/>
      <c r="G3689" s="57"/>
      <c r="H3689" s="56"/>
      <c r="I3689" s="56"/>
      <c r="J3689" s="58"/>
      <c r="K3689" s="58"/>
      <c r="L3689" s="13" t="str">
        <f t="shared" si="570"/>
        <v/>
      </c>
      <c r="M3689" s="13" t="str">
        <f t="shared" si="571"/>
        <v/>
      </c>
      <c r="Q3689" t="str">
        <f t="shared" si="572"/>
        <v/>
      </c>
      <c r="R3689" t="str">
        <f t="shared" si="573"/>
        <v/>
      </c>
      <c r="S3689" t="str">
        <f t="shared" si="574"/>
        <v/>
      </c>
      <c r="T3689" t="str">
        <f t="shared" si="575"/>
        <v/>
      </c>
      <c r="U3689" t="str">
        <f t="shared" si="576"/>
        <v/>
      </c>
      <c r="V3689" t="str">
        <f t="shared" si="577"/>
        <v/>
      </c>
      <c r="W3689" t="str">
        <f t="shared" si="578"/>
        <v/>
      </c>
      <c r="X3689">
        <f>IF($T3689="",N($X3688),IF(MATCH($T3689,$T$6:$T$10005,0)=ROW()-5,N($X3688)+1,N($X3688)))</f>
        <v>0</v>
      </c>
      <c r="Z3689" t="str">
        <f t="shared" si="579"/>
        <v/>
      </c>
      <c r="AA3689">
        <f>IF($V3689="",N($AA3688),IF(MATCH($V3689,$V$6:$V$10005,0)=ROW()-5,N($AA3688)+1,N($AA3688)))</f>
        <v>0</v>
      </c>
    </row>
    <row r="3690" spans="1:27" ht="21" customHeight="1" x14ac:dyDescent="0.95">
      <c r="A3690" s="56"/>
      <c r="B3690" s="57"/>
      <c r="C3690" s="57"/>
      <c r="D3690" s="57"/>
      <c r="E3690" s="56"/>
      <c r="F3690" s="57"/>
      <c r="G3690" s="57"/>
      <c r="H3690" s="56"/>
      <c r="I3690" s="56"/>
      <c r="J3690" s="58"/>
      <c r="K3690" s="58"/>
      <c r="L3690" s="13" t="str">
        <f t="shared" si="570"/>
        <v/>
      </c>
      <c r="M3690" s="13" t="str">
        <f t="shared" si="571"/>
        <v/>
      </c>
      <c r="Q3690" t="str">
        <f t="shared" si="572"/>
        <v/>
      </c>
      <c r="R3690" t="str">
        <f t="shared" si="573"/>
        <v/>
      </c>
      <c r="S3690" t="str">
        <f t="shared" si="574"/>
        <v/>
      </c>
      <c r="T3690" t="str">
        <f t="shared" si="575"/>
        <v/>
      </c>
      <c r="U3690" t="str">
        <f t="shared" si="576"/>
        <v/>
      </c>
      <c r="V3690" t="str">
        <f t="shared" si="577"/>
        <v/>
      </c>
      <c r="W3690" t="str">
        <f t="shared" si="578"/>
        <v/>
      </c>
      <c r="X3690">
        <f>IF($T3690="",N($X3689),IF(MATCH($T3690,$T$6:$T$10005,0)=ROW()-5,N($X3689)+1,N($X3689)))</f>
        <v>0</v>
      </c>
      <c r="Z3690" t="str">
        <f t="shared" si="579"/>
        <v/>
      </c>
      <c r="AA3690">
        <f>IF($V3690="",N($AA3689),IF(MATCH($V3690,$V$6:$V$10005,0)=ROW()-5,N($AA3689)+1,N($AA3689)))</f>
        <v>0</v>
      </c>
    </row>
    <row r="3691" spans="1:27" ht="21" customHeight="1" x14ac:dyDescent="0.95">
      <c r="A3691" s="56"/>
      <c r="B3691" s="57"/>
      <c r="C3691" s="57"/>
      <c r="D3691" s="57"/>
      <c r="E3691" s="56"/>
      <c r="F3691" s="57"/>
      <c r="G3691" s="57"/>
      <c r="H3691" s="56"/>
      <c r="I3691" s="56"/>
      <c r="J3691" s="58"/>
      <c r="K3691" s="58"/>
      <c r="L3691" s="13" t="str">
        <f t="shared" si="570"/>
        <v/>
      </c>
      <c r="M3691" s="13" t="str">
        <f t="shared" si="571"/>
        <v/>
      </c>
      <c r="Q3691" t="str">
        <f t="shared" si="572"/>
        <v/>
      </c>
      <c r="R3691" t="str">
        <f t="shared" si="573"/>
        <v/>
      </c>
      <c r="S3691" t="str">
        <f t="shared" si="574"/>
        <v/>
      </c>
      <c r="T3691" t="str">
        <f t="shared" si="575"/>
        <v/>
      </c>
      <c r="U3691" t="str">
        <f t="shared" si="576"/>
        <v/>
      </c>
      <c r="V3691" t="str">
        <f t="shared" si="577"/>
        <v/>
      </c>
      <c r="W3691" t="str">
        <f t="shared" si="578"/>
        <v/>
      </c>
      <c r="X3691">
        <f>IF($T3691="",N($X3690),IF(MATCH($T3691,$T$6:$T$10005,0)=ROW()-5,N($X3690)+1,N($X3690)))</f>
        <v>0</v>
      </c>
      <c r="Z3691" t="str">
        <f t="shared" si="579"/>
        <v/>
      </c>
      <c r="AA3691">
        <f>IF($V3691="",N($AA3690),IF(MATCH($V3691,$V$6:$V$10005,0)=ROW()-5,N($AA3690)+1,N($AA3690)))</f>
        <v>0</v>
      </c>
    </row>
    <row r="3692" spans="1:27" ht="21" customHeight="1" x14ac:dyDescent="0.95">
      <c r="A3692" s="56"/>
      <c r="B3692" s="57"/>
      <c r="C3692" s="57"/>
      <c r="D3692" s="57"/>
      <c r="E3692" s="56"/>
      <c r="F3692" s="57"/>
      <c r="G3692" s="57"/>
      <c r="H3692" s="56"/>
      <c r="I3692" s="56"/>
      <c r="J3692" s="58"/>
      <c r="K3692" s="58"/>
      <c r="L3692" s="13" t="str">
        <f t="shared" si="570"/>
        <v/>
      </c>
      <c r="M3692" s="13" t="str">
        <f t="shared" si="571"/>
        <v/>
      </c>
      <c r="Q3692" t="str">
        <f t="shared" si="572"/>
        <v/>
      </c>
      <c r="R3692" t="str">
        <f t="shared" si="573"/>
        <v/>
      </c>
      <c r="S3692" t="str">
        <f t="shared" si="574"/>
        <v/>
      </c>
      <c r="T3692" t="str">
        <f t="shared" si="575"/>
        <v/>
      </c>
      <c r="U3692" t="str">
        <f t="shared" si="576"/>
        <v/>
      </c>
      <c r="V3692" t="str">
        <f t="shared" si="577"/>
        <v/>
      </c>
      <c r="W3692" t="str">
        <f t="shared" si="578"/>
        <v/>
      </c>
      <c r="X3692">
        <f>IF($T3692="",N($X3691),IF(MATCH($T3692,$T$6:$T$10005,0)=ROW()-5,N($X3691)+1,N($X3691)))</f>
        <v>0</v>
      </c>
      <c r="Z3692" t="str">
        <f t="shared" si="579"/>
        <v/>
      </c>
      <c r="AA3692">
        <f>IF($V3692="",N($AA3691),IF(MATCH($V3692,$V$6:$V$10005,0)=ROW()-5,N($AA3691)+1,N($AA3691)))</f>
        <v>0</v>
      </c>
    </row>
    <row r="3693" spans="1:27" ht="21" customHeight="1" x14ac:dyDescent="0.95">
      <c r="A3693" s="56"/>
      <c r="B3693" s="57"/>
      <c r="C3693" s="57"/>
      <c r="D3693" s="57"/>
      <c r="E3693" s="56"/>
      <c r="F3693" s="57"/>
      <c r="G3693" s="57"/>
      <c r="H3693" s="56"/>
      <c r="I3693" s="56"/>
      <c r="J3693" s="58"/>
      <c r="K3693" s="58"/>
      <c r="L3693" s="13" t="str">
        <f t="shared" si="570"/>
        <v/>
      </c>
      <c r="M3693" s="13" t="str">
        <f t="shared" si="571"/>
        <v/>
      </c>
      <c r="Q3693" t="str">
        <f t="shared" si="572"/>
        <v/>
      </c>
      <c r="R3693" t="str">
        <f t="shared" si="573"/>
        <v/>
      </c>
      <c r="S3693" t="str">
        <f t="shared" si="574"/>
        <v/>
      </c>
      <c r="T3693" t="str">
        <f t="shared" si="575"/>
        <v/>
      </c>
      <c r="U3693" t="str">
        <f t="shared" si="576"/>
        <v/>
      </c>
      <c r="V3693" t="str">
        <f t="shared" si="577"/>
        <v/>
      </c>
      <c r="W3693" t="str">
        <f t="shared" si="578"/>
        <v/>
      </c>
      <c r="X3693">
        <f>IF($T3693="",N($X3692),IF(MATCH($T3693,$T$6:$T$10005,0)=ROW()-5,N($X3692)+1,N($X3692)))</f>
        <v>0</v>
      </c>
      <c r="Z3693" t="str">
        <f t="shared" si="579"/>
        <v/>
      </c>
      <c r="AA3693">
        <f>IF($V3693="",N($AA3692),IF(MATCH($V3693,$V$6:$V$10005,0)=ROW()-5,N($AA3692)+1,N($AA3692)))</f>
        <v>0</v>
      </c>
    </row>
    <row r="3694" spans="1:27" ht="21" customHeight="1" x14ac:dyDescent="0.95">
      <c r="A3694" s="56"/>
      <c r="B3694" s="57"/>
      <c r="C3694" s="57"/>
      <c r="D3694" s="57"/>
      <c r="E3694" s="56"/>
      <c r="F3694" s="57"/>
      <c r="G3694" s="57"/>
      <c r="H3694" s="56"/>
      <c r="I3694" s="56"/>
      <c r="J3694" s="58"/>
      <c r="K3694" s="58"/>
      <c r="L3694" s="13" t="str">
        <f t="shared" si="570"/>
        <v/>
      </c>
      <c r="M3694" s="13" t="str">
        <f t="shared" si="571"/>
        <v/>
      </c>
      <c r="Q3694" t="str">
        <f t="shared" si="572"/>
        <v/>
      </c>
      <c r="R3694" t="str">
        <f t="shared" si="573"/>
        <v/>
      </c>
      <c r="S3694" t="str">
        <f t="shared" si="574"/>
        <v/>
      </c>
      <c r="T3694" t="str">
        <f t="shared" si="575"/>
        <v/>
      </c>
      <c r="U3694" t="str">
        <f t="shared" si="576"/>
        <v/>
      </c>
      <c r="V3694" t="str">
        <f t="shared" si="577"/>
        <v/>
      </c>
      <c r="W3694" t="str">
        <f t="shared" si="578"/>
        <v/>
      </c>
      <c r="X3694">
        <f>IF($T3694="",N($X3693),IF(MATCH($T3694,$T$6:$T$10005,0)=ROW()-5,N($X3693)+1,N($X3693)))</f>
        <v>0</v>
      </c>
      <c r="Z3694" t="str">
        <f t="shared" si="579"/>
        <v/>
      </c>
      <c r="AA3694">
        <f>IF($V3694="",N($AA3693),IF(MATCH($V3694,$V$6:$V$10005,0)=ROW()-5,N($AA3693)+1,N($AA3693)))</f>
        <v>0</v>
      </c>
    </row>
    <row r="3695" spans="1:27" ht="21" customHeight="1" x14ac:dyDescent="0.95">
      <c r="A3695" s="56"/>
      <c r="B3695" s="57"/>
      <c r="C3695" s="57"/>
      <c r="D3695" s="57"/>
      <c r="E3695" s="56"/>
      <c r="F3695" s="57"/>
      <c r="G3695" s="57"/>
      <c r="H3695" s="56"/>
      <c r="I3695" s="56"/>
      <c r="J3695" s="58"/>
      <c r="K3695" s="58"/>
      <c r="L3695" s="13" t="str">
        <f t="shared" si="570"/>
        <v/>
      </c>
      <c r="M3695" s="13" t="str">
        <f t="shared" si="571"/>
        <v/>
      </c>
      <c r="Q3695" t="str">
        <f t="shared" si="572"/>
        <v/>
      </c>
      <c r="R3695" t="str">
        <f t="shared" si="573"/>
        <v/>
      </c>
      <c r="S3695" t="str">
        <f t="shared" si="574"/>
        <v/>
      </c>
      <c r="T3695" t="str">
        <f t="shared" si="575"/>
        <v/>
      </c>
      <c r="U3695" t="str">
        <f t="shared" si="576"/>
        <v/>
      </c>
      <c r="V3695" t="str">
        <f t="shared" si="577"/>
        <v/>
      </c>
      <c r="W3695" t="str">
        <f t="shared" si="578"/>
        <v/>
      </c>
      <c r="X3695">
        <f>IF($T3695="",N($X3694),IF(MATCH($T3695,$T$6:$T$10005,0)=ROW()-5,N($X3694)+1,N($X3694)))</f>
        <v>0</v>
      </c>
      <c r="Z3695" t="str">
        <f t="shared" si="579"/>
        <v/>
      </c>
      <c r="AA3695">
        <f>IF($V3695="",N($AA3694),IF(MATCH($V3695,$V$6:$V$10005,0)=ROW()-5,N($AA3694)+1,N($AA3694)))</f>
        <v>0</v>
      </c>
    </row>
    <row r="3696" spans="1:27" ht="21" customHeight="1" x14ac:dyDescent="0.95">
      <c r="A3696" s="56"/>
      <c r="B3696" s="57"/>
      <c r="C3696" s="57"/>
      <c r="D3696" s="57"/>
      <c r="E3696" s="56"/>
      <c r="F3696" s="57"/>
      <c r="G3696" s="57"/>
      <c r="H3696" s="56"/>
      <c r="I3696" s="56"/>
      <c r="J3696" s="58"/>
      <c r="K3696" s="58"/>
      <c r="L3696" s="13" t="str">
        <f t="shared" si="570"/>
        <v/>
      </c>
      <c r="M3696" s="13" t="str">
        <f t="shared" si="571"/>
        <v/>
      </c>
      <c r="Q3696" t="str">
        <f t="shared" si="572"/>
        <v/>
      </c>
      <c r="R3696" t="str">
        <f t="shared" si="573"/>
        <v/>
      </c>
      <c r="S3696" t="str">
        <f t="shared" si="574"/>
        <v/>
      </c>
      <c r="T3696" t="str">
        <f t="shared" si="575"/>
        <v/>
      </c>
      <c r="U3696" t="str">
        <f t="shared" si="576"/>
        <v/>
      </c>
      <c r="V3696" t="str">
        <f t="shared" si="577"/>
        <v/>
      </c>
      <c r="W3696" t="str">
        <f t="shared" si="578"/>
        <v/>
      </c>
      <c r="X3696">
        <f>IF($T3696="",N($X3695),IF(MATCH($T3696,$T$6:$T$10005,0)=ROW()-5,N($X3695)+1,N($X3695)))</f>
        <v>0</v>
      </c>
      <c r="Z3696" t="str">
        <f t="shared" si="579"/>
        <v/>
      </c>
      <c r="AA3696">
        <f>IF($V3696="",N($AA3695),IF(MATCH($V3696,$V$6:$V$10005,0)=ROW()-5,N($AA3695)+1,N($AA3695)))</f>
        <v>0</v>
      </c>
    </row>
    <row r="3697" spans="1:27" ht="21" customHeight="1" x14ac:dyDescent="0.95">
      <c r="A3697" s="56"/>
      <c r="B3697" s="57"/>
      <c r="C3697" s="57"/>
      <c r="D3697" s="57"/>
      <c r="E3697" s="56"/>
      <c r="F3697" s="57"/>
      <c r="G3697" s="57"/>
      <c r="H3697" s="56"/>
      <c r="I3697" s="56"/>
      <c r="J3697" s="58"/>
      <c r="K3697" s="58"/>
      <c r="L3697" s="13" t="str">
        <f t="shared" si="570"/>
        <v/>
      </c>
      <c r="M3697" s="13" t="str">
        <f t="shared" si="571"/>
        <v/>
      </c>
      <c r="Q3697" t="str">
        <f t="shared" si="572"/>
        <v/>
      </c>
      <c r="R3697" t="str">
        <f t="shared" si="573"/>
        <v/>
      </c>
      <c r="S3697" t="str">
        <f t="shared" si="574"/>
        <v/>
      </c>
      <c r="T3697" t="str">
        <f t="shared" si="575"/>
        <v/>
      </c>
      <c r="U3697" t="str">
        <f t="shared" si="576"/>
        <v/>
      </c>
      <c r="V3697" t="str">
        <f t="shared" si="577"/>
        <v/>
      </c>
      <c r="W3697" t="str">
        <f t="shared" si="578"/>
        <v/>
      </c>
      <c r="X3697">
        <f>IF($T3697="",N($X3696),IF(MATCH($T3697,$T$6:$T$10005,0)=ROW()-5,N($X3696)+1,N($X3696)))</f>
        <v>0</v>
      </c>
      <c r="Z3697" t="str">
        <f t="shared" si="579"/>
        <v/>
      </c>
      <c r="AA3697">
        <f>IF($V3697="",N($AA3696),IF(MATCH($V3697,$V$6:$V$10005,0)=ROW()-5,N($AA3696)+1,N($AA3696)))</f>
        <v>0</v>
      </c>
    </row>
    <row r="3698" spans="1:27" ht="21" customHeight="1" x14ac:dyDescent="0.95">
      <c r="A3698" s="56"/>
      <c r="B3698" s="57"/>
      <c r="C3698" s="57"/>
      <c r="D3698" s="57"/>
      <c r="E3698" s="56"/>
      <c r="F3698" s="57"/>
      <c r="G3698" s="57"/>
      <c r="H3698" s="56"/>
      <c r="I3698" s="56"/>
      <c r="J3698" s="58"/>
      <c r="K3698" s="58"/>
      <c r="L3698" s="13" t="str">
        <f t="shared" si="570"/>
        <v/>
      </c>
      <c r="M3698" s="13" t="str">
        <f t="shared" si="571"/>
        <v/>
      </c>
      <c r="Q3698" t="str">
        <f t="shared" si="572"/>
        <v/>
      </c>
      <c r="R3698" t="str">
        <f t="shared" si="573"/>
        <v/>
      </c>
      <c r="S3698" t="str">
        <f t="shared" si="574"/>
        <v/>
      </c>
      <c r="T3698" t="str">
        <f t="shared" si="575"/>
        <v/>
      </c>
      <c r="U3698" t="str">
        <f t="shared" si="576"/>
        <v/>
      </c>
      <c r="V3698" t="str">
        <f t="shared" si="577"/>
        <v/>
      </c>
      <c r="W3698" t="str">
        <f t="shared" si="578"/>
        <v/>
      </c>
      <c r="X3698">
        <f>IF($T3698="",N($X3697),IF(MATCH($T3698,$T$6:$T$10005,0)=ROW()-5,N($X3697)+1,N($X3697)))</f>
        <v>0</v>
      </c>
      <c r="Z3698" t="str">
        <f t="shared" si="579"/>
        <v/>
      </c>
      <c r="AA3698">
        <f>IF($V3698="",N($AA3697),IF(MATCH($V3698,$V$6:$V$10005,0)=ROW()-5,N($AA3697)+1,N($AA3697)))</f>
        <v>0</v>
      </c>
    </row>
    <row r="3699" spans="1:27" ht="21" customHeight="1" x14ac:dyDescent="0.95">
      <c r="A3699" s="56"/>
      <c r="B3699" s="57"/>
      <c r="C3699" s="57"/>
      <c r="D3699" s="57"/>
      <c r="E3699" s="56"/>
      <c r="F3699" s="57"/>
      <c r="G3699" s="57"/>
      <c r="H3699" s="56"/>
      <c r="I3699" s="56"/>
      <c r="J3699" s="58"/>
      <c r="K3699" s="58"/>
      <c r="L3699" s="13" t="str">
        <f t="shared" si="570"/>
        <v/>
      </c>
      <c r="M3699" s="13" t="str">
        <f t="shared" si="571"/>
        <v/>
      </c>
      <c r="Q3699" t="str">
        <f t="shared" si="572"/>
        <v/>
      </c>
      <c r="R3699" t="str">
        <f t="shared" si="573"/>
        <v/>
      </c>
      <c r="S3699" t="str">
        <f t="shared" si="574"/>
        <v/>
      </c>
      <c r="T3699" t="str">
        <f t="shared" si="575"/>
        <v/>
      </c>
      <c r="U3699" t="str">
        <f t="shared" si="576"/>
        <v/>
      </c>
      <c r="V3699" t="str">
        <f t="shared" si="577"/>
        <v/>
      </c>
      <c r="W3699" t="str">
        <f t="shared" si="578"/>
        <v/>
      </c>
      <c r="X3699">
        <f>IF($T3699="",N($X3698),IF(MATCH($T3699,$T$6:$T$10005,0)=ROW()-5,N($X3698)+1,N($X3698)))</f>
        <v>0</v>
      </c>
      <c r="Z3699" t="str">
        <f t="shared" si="579"/>
        <v/>
      </c>
      <c r="AA3699">
        <f>IF($V3699="",N($AA3698),IF(MATCH($V3699,$V$6:$V$10005,0)=ROW()-5,N($AA3698)+1,N($AA3698)))</f>
        <v>0</v>
      </c>
    </row>
    <row r="3700" spans="1:27" ht="21" customHeight="1" x14ac:dyDescent="0.95">
      <c r="A3700" s="56"/>
      <c r="B3700" s="57"/>
      <c r="C3700" s="57"/>
      <c r="D3700" s="57"/>
      <c r="E3700" s="56"/>
      <c r="F3700" s="57"/>
      <c r="G3700" s="57"/>
      <c r="H3700" s="56"/>
      <c r="I3700" s="56"/>
      <c r="J3700" s="58"/>
      <c r="K3700" s="58"/>
      <c r="L3700" s="13" t="str">
        <f t="shared" si="570"/>
        <v/>
      </c>
      <c r="M3700" s="13" t="str">
        <f t="shared" si="571"/>
        <v/>
      </c>
      <c r="Q3700" t="str">
        <f t="shared" si="572"/>
        <v/>
      </c>
      <c r="R3700" t="str">
        <f t="shared" si="573"/>
        <v/>
      </c>
      <c r="S3700" t="str">
        <f t="shared" si="574"/>
        <v/>
      </c>
      <c r="T3700" t="str">
        <f t="shared" si="575"/>
        <v/>
      </c>
      <c r="U3700" t="str">
        <f t="shared" si="576"/>
        <v/>
      </c>
      <c r="V3700" t="str">
        <f t="shared" si="577"/>
        <v/>
      </c>
      <c r="W3700" t="str">
        <f t="shared" si="578"/>
        <v/>
      </c>
      <c r="X3700">
        <f>IF($T3700="",N($X3699),IF(MATCH($T3700,$T$6:$T$10005,0)=ROW()-5,N($X3699)+1,N($X3699)))</f>
        <v>0</v>
      </c>
      <c r="Z3700" t="str">
        <f t="shared" si="579"/>
        <v/>
      </c>
      <c r="AA3700">
        <f>IF($V3700="",N($AA3699),IF(MATCH($V3700,$V$6:$V$10005,0)=ROW()-5,N($AA3699)+1,N($AA3699)))</f>
        <v>0</v>
      </c>
    </row>
    <row r="3701" spans="1:27" ht="21" customHeight="1" x14ac:dyDescent="0.95">
      <c r="A3701" s="56"/>
      <c r="B3701" s="57"/>
      <c r="C3701" s="57"/>
      <c r="D3701" s="57"/>
      <c r="E3701" s="56"/>
      <c r="F3701" s="57"/>
      <c r="G3701" s="57"/>
      <c r="H3701" s="56"/>
      <c r="I3701" s="56"/>
      <c r="J3701" s="58"/>
      <c r="K3701" s="58"/>
      <c r="L3701" s="13" t="str">
        <f t="shared" si="570"/>
        <v/>
      </c>
      <c r="M3701" s="13" t="str">
        <f t="shared" si="571"/>
        <v/>
      </c>
      <c r="Q3701" t="str">
        <f t="shared" si="572"/>
        <v/>
      </c>
      <c r="R3701" t="str">
        <f t="shared" si="573"/>
        <v/>
      </c>
      <c r="S3701" t="str">
        <f t="shared" si="574"/>
        <v/>
      </c>
      <c r="T3701" t="str">
        <f t="shared" si="575"/>
        <v/>
      </c>
      <c r="U3701" t="str">
        <f t="shared" si="576"/>
        <v/>
      </c>
      <c r="V3701" t="str">
        <f t="shared" si="577"/>
        <v/>
      </c>
      <c r="W3701" t="str">
        <f t="shared" si="578"/>
        <v/>
      </c>
      <c r="X3701">
        <f>IF($T3701="",N($X3700),IF(MATCH($T3701,$T$6:$T$10005,0)=ROW()-5,N($X3700)+1,N($X3700)))</f>
        <v>0</v>
      </c>
      <c r="Z3701" t="str">
        <f t="shared" si="579"/>
        <v/>
      </c>
      <c r="AA3701">
        <f>IF($V3701="",N($AA3700),IF(MATCH($V3701,$V$6:$V$10005,0)=ROW()-5,N($AA3700)+1,N($AA3700)))</f>
        <v>0</v>
      </c>
    </row>
    <row r="3702" spans="1:27" ht="21" customHeight="1" x14ac:dyDescent="0.95">
      <c r="A3702" s="56"/>
      <c r="B3702" s="57"/>
      <c r="C3702" s="57"/>
      <c r="D3702" s="57"/>
      <c r="E3702" s="56"/>
      <c r="F3702" s="57"/>
      <c r="G3702" s="57"/>
      <c r="H3702" s="56"/>
      <c r="I3702" s="56"/>
      <c r="J3702" s="58"/>
      <c r="K3702" s="58"/>
      <c r="L3702" s="13" t="str">
        <f t="shared" si="570"/>
        <v/>
      </c>
      <c r="M3702" s="13" t="str">
        <f t="shared" si="571"/>
        <v/>
      </c>
      <c r="Q3702" t="str">
        <f t="shared" si="572"/>
        <v/>
      </c>
      <c r="R3702" t="str">
        <f t="shared" si="573"/>
        <v/>
      </c>
      <c r="S3702" t="str">
        <f t="shared" si="574"/>
        <v/>
      </c>
      <c r="T3702" t="str">
        <f t="shared" si="575"/>
        <v/>
      </c>
      <c r="U3702" t="str">
        <f t="shared" si="576"/>
        <v/>
      </c>
      <c r="V3702" t="str">
        <f t="shared" si="577"/>
        <v/>
      </c>
      <c r="W3702" t="str">
        <f t="shared" si="578"/>
        <v/>
      </c>
      <c r="X3702">
        <f>IF($T3702="",N($X3701),IF(MATCH($T3702,$T$6:$T$10005,0)=ROW()-5,N($X3701)+1,N($X3701)))</f>
        <v>0</v>
      </c>
      <c r="Z3702" t="str">
        <f t="shared" si="579"/>
        <v/>
      </c>
      <c r="AA3702">
        <f>IF($V3702="",N($AA3701),IF(MATCH($V3702,$V$6:$V$10005,0)=ROW()-5,N($AA3701)+1,N($AA3701)))</f>
        <v>0</v>
      </c>
    </row>
    <row r="3703" spans="1:27" ht="21" customHeight="1" x14ac:dyDescent="0.95">
      <c r="A3703" s="56"/>
      <c r="B3703" s="57"/>
      <c r="C3703" s="57"/>
      <c r="D3703" s="57"/>
      <c r="E3703" s="56"/>
      <c r="F3703" s="57"/>
      <c r="G3703" s="57"/>
      <c r="H3703" s="56"/>
      <c r="I3703" s="56"/>
      <c r="J3703" s="58"/>
      <c r="K3703" s="58"/>
      <c r="L3703" s="13" t="str">
        <f t="shared" si="570"/>
        <v/>
      </c>
      <c r="M3703" s="13" t="str">
        <f t="shared" si="571"/>
        <v/>
      </c>
      <c r="Q3703" t="str">
        <f t="shared" si="572"/>
        <v/>
      </c>
      <c r="R3703" t="str">
        <f t="shared" si="573"/>
        <v/>
      </c>
      <c r="S3703" t="str">
        <f t="shared" si="574"/>
        <v/>
      </c>
      <c r="T3703" t="str">
        <f t="shared" si="575"/>
        <v/>
      </c>
      <c r="U3703" t="str">
        <f t="shared" si="576"/>
        <v/>
      </c>
      <c r="V3703" t="str">
        <f t="shared" si="577"/>
        <v/>
      </c>
      <c r="W3703" t="str">
        <f t="shared" si="578"/>
        <v/>
      </c>
      <c r="X3703">
        <f>IF($T3703="",N($X3702),IF(MATCH($T3703,$T$6:$T$10005,0)=ROW()-5,N($X3702)+1,N($X3702)))</f>
        <v>0</v>
      </c>
      <c r="Z3703" t="str">
        <f t="shared" si="579"/>
        <v/>
      </c>
      <c r="AA3703">
        <f>IF($V3703="",N($AA3702),IF(MATCH($V3703,$V$6:$V$10005,0)=ROW()-5,N($AA3702)+1,N($AA3702)))</f>
        <v>0</v>
      </c>
    </row>
    <row r="3704" spans="1:27" ht="21" customHeight="1" x14ac:dyDescent="0.95">
      <c r="A3704" s="56"/>
      <c r="B3704" s="57"/>
      <c r="C3704" s="57"/>
      <c r="D3704" s="57"/>
      <c r="E3704" s="56"/>
      <c r="F3704" s="57"/>
      <c r="G3704" s="57"/>
      <c r="H3704" s="56"/>
      <c r="I3704" s="56"/>
      <c r="J3704" s="58"/>
      <c r="K3704" s="58"/>
      <c r="L3704" s="13" t="str">
        <f t="shared" si="570"/>
        <v/>
      </c>
      <c r="M3704" s="13" t="str">
        <f t="shared" si="571"/>
        <v/>
      </c>
      <c r="Q3704" t="str">
        <f t="shared" si="572"/>
        <v/>
      </c>
      <c r="R3704" t="str">
        <f t="shared" si="573"/>
        <v/>
      </c>
      <c r="S3704" t="str">
        <f t="shared" si="574"/>
        <v/>
      </c>
      <c r="T3704" t="str">
        <f t="shared" si="575"/>
        <v/>
      </c>
      <c r="U3704" t="str">
        <f t="shared" si="576"/>
        <v/>
      </c>
      <c r="V3704" t="str">
        <f t="shared" si="577"/>
        <v/>
      </c>
      <c r="W3704" t="str">
        <f t="shared" si="578"/>
        <v/>
      </c>
      <c r="X3704">
        <f>IF($T3704="",N($X3703),IF(MATCH($T3704,$T$6:$T$10005,0)=ROW()-5,N($X3703)+1,N($X3703)))</f>
        <v>0</v>
      </c>
      <c r="Z3704" t="str">
        <f t="shared" si="579"/>
        <v/>
      </c>
      <c r="AA3704">
        <f>IF($V3704="",N($AA3703),IF(MATCH($V3704,$V$6:$V$10005,0)=ROW()-5,N($AA3703)+1,N($AA3703)))</f>
        <v>0</v>
      </c>
    </row>
    <row r="3705" spans="1:27" ht="21" customHeight="1" x14ac:dyDescent="0.95">
      <c r="A3705" s="56"/>
      <c r="B3705" s="57"/>
      <c r="C3705" s="57"/>
      <c r="D3705" s="57"/>
      <c r="E3705" s="56"/>
      <c r="F3705" s="57"/>
      <c r="G3705" s="57"/>
      <c r="H3705" s="56"/>
      <c r="I3705" s="56"/>
      <c r="J3705" s="58"/>
      <c r="K3705" s="58"/>
      <c r="L3705" s="13" t="str">
        <f t="shared" si="570"/>
        <v/>
      </c>
      <c r="M3705" s="13" t="str">
        <f t="shared" si="571"/>
        <v/>
      </c>
      <c r="Q3705" t="str">
        <f t="shared" si="572"/>
        <v/>
      </c>
      <c r="R3705" t="str">
        <f t="shared" si="573"/>
        <v/>
      </c>
      <c r="S3705" t="str">
        <f t="shared" si="574"/>
        <v/>
      </c>
      <c r="T3705" t="str">
        <f t="shared" si="575"/>
        <v/>
      </c>
      <c r="U3705" t="str">
        <f t="shared" si="576"/>
        <v/>
      </c>
      <c r="V3705" t="str">
        <f t="shared" si="577"/>
        <v/>
      </c>
      <c r="W3705" t="str">
        <f t="shared" si="578"/>
        <v/>
      </c>
      <c r="X3705">
        <f>IF($T3705="",N($X3704),IF(MATCH($T3705,$T$6:$T$10005,0)=ROW()-5,N($X3704)+1,N($X3704)))</f>
        <v>0</v>
      </c>
      <c r="Z3705" t="str">
        <f t="shared" si="579"/>
        <v/>
      </c>
      <c r="AA3705">
        <f>IF($V3705="",N($AA3704),IF(MATCH($V3705,$V$6:$V$10005,0)=ROW()-5,N($AA3704)+1,N($AA3704)))</f>
        <v>0</v>
      </c>
    </row>
    <row r="3706" spans="1:27" ht="21" customHeight="1" x14ac:dyDescent="0.95">
      <c r="A3706" s="56"/>
      <c r="B3706" s="57"/>
      <c r="C3706" s="57"/>
      <c r="D3706" s="57"/>
      <c r="E3706" s="56"/>
      <c r="F3706" s="57"/>
      <c r="G3706" s="57"/>
      <c r="H3706" s="56"/>
      <c r="I3706" s="56"/>
      <c r="J3706" s="58"/>
      <c r="K3706" s="58"/>
      <c r="L3706" s="13" t="str">
        <f t="shared" si="570"/>
        <v/>
      </c>
      <c r="M3706" s="13" t="str">
        <f t="shared" si="571"/>
        <v/>
      </c>
      <c r="Q3706" t="str">
        <f t="shared" si="572"/>
        <v/>
      </c>
      <c r="R3706" t="str">
        <f t="shared" si="573"/>
        <v/>
      </c>
      <c r="S3706" t="str">
        <f t="shared" si="574"/>
        <v/>
      </c>
      <c r="T3706" t="str">
        <f t="shared" si="575"/>
        <v/>
      </c>
      <c r="U3706" t="str">
        <f t="shared" si="576"/>
        <v/>
      </c>
      <c r="V3706" t="str">
        <f t="shared" si="577"/>
        <v/>
      </c>
      <c r="W3706" t="str">
        <f t="shared" si="578"/>
        <v/>
      </c>
      <c r="X3706">
        <f>IF($T3706="",N($X3705),IF(MATCH($T3706,$T$6:$T$10005,0)=ROW()-5,N($X3705)+1,N($X3705)))</f>
        <v>0</v>
      </c>
      <c r="Z3706" t="str">
        <f t="shared" si="579"/>
        <v/>
      </c>
      <c r="AA3706">
        <f>IF($V3706="",N($AA3705),IF(MATCH($V3706,$V$6:$V$10005,0)=ROW()-5,N($AA3705)+1,N($AA3705)))</f>
        <v>0</v>
      </c>
    </row>
    <row r="3707" spans="1:27" ht="21" customHeight="1" x14ac:dyDescent="0.95">
      <c r="A3707" s="56"/>
      <c r="B3707" s="57"/>
      <c r="C3707" s="57"/>
      <c r="D3707" s="57"/>
      <c r="E3707" s="56"/>
      <c r="F3707" s="57"/>
      <c r="G3707" s="57"/>
      <c r="H3707" s="56"/>
      <c r="I3707" s="56"/>
      <c r="J3707" s="58"/>
      <c r="K3707" s="58"/>
      <c r="L3707" s="13" t="str">
        <f t="shared" si="570"/>
        <v/>
      </c>
      <c r="M3707" s="13" t="str">
        <f t="shared" si="571"/>
        <v/>
      </c>
      <c r="Q3707" t="str">
        <f t="shared" si="572"/>
        <v/>
      </c>
      <c r="R3707" t="str">
        <f t="shared" si="573"/>
        <v/>
      </c>
      <c r="S3707" t="str">
        <f t="shared" si="574"/>
        <v/>
      </c>
      <c r="T3707" t="str">
        <f t="shared" si="575"/>
        <v/>
      </c>
      <c r="U3707" t="str">
        <f t="shared" si="576"/>
        <v/>
      </c>
      <c r="V3707" t="str">
        <f t="shared" si="577"/>
        <v/>
      </c>
      <c r="W3707" t="str">
        <f t="shared" si="578"/>
        <v/>
      </c>
      <c r="X3707">
        <f>IF($T3707="",N($X3706),IF(MATCH($T3707,$T$6:$T$10005,0)=ROW()-5,N($X3706)+1,N($X3706)))</f>
        <v>0</v>
      </c>
      <c r="Z3707" t="str">
        <f t="shared" si="579"/>
        <v/>
      </c>
      <c r="AA3707">
        <f>IF($V3707="",N($AA3706),IF(MATCH($V3707,$V$6:$V$10005,0)=ROW()-5,N($AA3706)+1,N($AA3706)))</f>
        <v>0</v>
      </c>
    </row>
    <row r="3708" spans="1:27" ht="21" customHeight="1" x14ac:dyDescent="0.95">
      <c r="A3708" s="56"/>
      <c r="B3708" s="57"/>
      <c r="C3708" s="57"/>
      <c r="D3708" s="57"/>
      <c r="E3708" s="56"/>
      <c r="F3708" s="57"/>
      <c r="G3708" s="57"/>
      <c r="H3708" s="56"/>
      <c r="I3708" s="56"/>
      <c r="J3708" s="58"/>
      <c r="K3708" s="58"/>
      <c r="L3708" s="13" t="str">
        <f t="shared" si="570"/>
        <v/>
      </c>
      <c r="M3708" s="13" t="str">
        <f t="shared" si="571"/>
        <v/>
      </c>
      <c r="Q3708" t="str">
        <f t="shared" si="572"/>
        <v/>
      </c>
      <c r="R3708" t="str">
        <f t="shared" si="573"/>
        <v/>
      </c>
      <c r="S3708" t="str">
        <f t="shared" si="574"/>
        <v/>
      </c>
      <c r="T3708" t="str">
        <f t="shared" si="575"/>
        <v/>
      </c>
      <c r="U3708" t="str">
        <f t="shared" si="576"/>
        <v/>
      </c>
      <c r="V3708" t="str">
        <f t="shared" si="577"/>
        <v/>
      </c>
      <c r="W3708" t="str">
        <f t="shared" si="578"/>
        <v/>
      </c>
      <c r="X3708">
        <f>IF($T3708="",N($X3707),IF(MATCH($T3708,$T$6:$T$10005,0)=ROW()-5,N($X3707)+1,N($X3707)))</f>
        <v>0</v>
      </c>
      <c r="Z3708" t="str">
        <f t="shared" si="579"/>
        <v/>
      </c>
      <c r="AA3708">
        <f>IF($V3708="",N($AA3707),IF(MATCH($V3708,$V$6:$V$10005,0)=ROW()-5,N($AA3707)+1,N($AA3707)))</f>
        <v>0</v>
      </c>
    </row>
    <row r="3709" spans="1:27" ht="21" customHeight="1" x14ac:dyDescent="0.95">
      <c r="A3709" s="56"/>
      <c r="B3709" s="57"/>
      <c r="C3709" s="57"/>
      <c r="D3709" s="57"/>
      <c r="E3709" s="56"/>
      <c r="F3709" s="57"/>
      <c r="G3709" s="57"/>
      <c r="H3709" s="56"/>
      <c r="I3709" s="56"/>
      <c r="J3709" s="58"/>
      <c r="K3709" s="58"/>
      <c r="L3709" s="13" t="str">
        <f t="shared" si="570"/>
        <v/>
      </c>
      <c r="M3709" s="13" t="str">
        <f t="shared" si="571"/>
        <v/>
      </c>
      <c r="Q3709" t="str">
        <f t="shared" si="572"/>
        <v/>
      </c>
      <c r="R3709" t="str">
        <f t="shared" si="573"/>
        <v/>
      </c>
      <c r="S3709" t="str">
        <f t="shared" si="574"/>
        <v/>
      </c>
      <c r="T3709" t="str">
        <f t="shared" si="575"/>
        <v/>
      </c>
      <c r="U3709" t="str">
        <f t="shared" si="576"/>
        <v/>
      </c>
      <c r="V3709" t="str">
        <f t="shared" si="577"/>
        <v/>
      </c>
      <c r="W3709" t="str">
        <f t="shared" si="578"/>
        <v/>
      </c>
      <c r="X3709">
        <f>IF($T3709="",N($X3708),IF(MATCH($T3709,$T$6:$T$10005,0)=ROW()-5,N($X3708)+1,N($X3708)))</f>
        <v>0</v>
      </c>
      <c r="Z3709" t="str">
        <f t="shared" si="579"/>
        <v/>
      </c>
      <c r="AA3709">
        <f>IF($V3709="",N($AA3708),IF(MATCH($V3709,$V$6:$V$10005,0)=ROW()-5,N($AA3708)+1,N($AA3708)))</f>
        <v>0</v>
      </c>
    </row>
    <row r="3710" spans="1:27" ht="21" customHeight="1" x14ac:dyDescent="0.95">
      <c r="A3710" s="56"/>
      <c r="B3710" s="57"/>
      <c r="C3710" s="57"/>
      <c r="D3710" s="57"/>
      <c r="E3710" s="56"/>
      <c r="F3710" s="57"/>
      <c r="G3710" s="57"/>
      <c r="H3710" s="56"/>
      <c r="I3710" s="56"/>
      <c r="J3710" s="58"/>
      <c r="K3710" s="58"/>
      <c r="L3710" s="13" t="str">
        <f t="shared" si="570"/>
        <v/>
      </c>
      <c r="M3710" s="13" t="str">
        <f t="shared" si="571"/>
        <v/>
      </c>
      <c r="Q3710" t="str">
        <f t="shared" si="572"/>
        <v/>
      </c>
      <c r="R3710" t="str">
        <f t="shared" si="573"/>
        <v/>
      </c>
      <c r="S3710" t="str">
        <f t="shared" si="574"/>
        <v/>
      </c>
      <c r="T3710" t="str">
        <f t="shared" si="575"/>
        <v/>
      </c>
      <c r="U3710" t="str">
        <f t="shared" si="576"/>
        <v/>
      </c>
      <c r="V3710" t="str">
        <f t="shared" si="577"/>
        <v/>
      </c>
      <c r="W3710" t="str">
        <f t="shared" si="578"/>
        <v/>
      </c>
      <c r="X3710">
        <f>IF($T3710="",N($X3709),IF(MATCH($T3710,$T$6:$T$10005,0)=ROW()-5,N($X3709)+1,N($X3709)))</f>
        <v>0</v>
      </c>
      <c r="Z3710" t="str">
        <f t="shared" si="579"/>
        <v/>
      </c>
      <c r="AA3710">
        <f>IF($V3710="",N($AA3709),IF(MATCH($V3710,$V$6:$V$10005,0)=ROW()-5,N($AA3709)+1,N($AA3709)))</f>
        <v>0</v>
      </c>
    </row>
    <row r="3711" spans="1:27" ht="21" customHeight="1" x14ac:dyDescent="0.95">
      <c r="A3711" s="56"/>
      <c r="B3711" s="57"/>
      <c r="C3711" s="57"/>
      <c r="D3711" s="57"/>
      <c r="E3711" s="56"/>
      <c r="F3711" s="57"/>
      <c r="G3711" s="57"/>
      <c r="H3711" s="56"/>
      <c r="I3711" s="56"/>
      <c r="J3711" s="58"/>
      <c r="K3711" s="58"/>
      <c r="L3711" s="13" t="str">
        <f t="shared" si="570"/>
        <v/>
      </c>
      <c r="M3711" s="13" t="str">
        <f t="shared" si="571"/>
        <v/>
      </c>
      <c r="Q3711" t="str">
        <f t="shared" si="572"/>
        <v/>
      </c>
      <c r="R3711" t="str">
        <f t="shared" si="573"/>
        <v/>
      </c>
      <c r="S3711" t="str">
        <f t="shared" si="574"/>
        <v/>
      </c>
      <c r="T3711" t="str">
        <f t="shared" si="575"/>
        <v/>
      </c>
      <c r="U3711" t="str">
        <f t="shared" si="576"/>
        <v/>
      </c>
      <c r="V3711" t="str">
        <f t="shared" si="577"/>
        <v/>
      </c>
      <c r="W3711" t="str">
        <f t="shared" si="578"/>
        <v/>
      </c>
      <c r="X3711">
        <f>IF($T3711="",N($X3710),IF(MATCH($T3711,$T$6:$T$10005,0)=ROW()-5,N($X3710)+1,N($X3710)))</f>
        <v>0</v>
      </c>
      <c r="Z3711" t="str">
        <f t="shared" si="579"/>
        <v/>
      </c>
      <c r="AA3711">
        <f>IF($V3711="",N($AA3710),IF(MATCH($V3711,$V$6:$V$10005,0)=ROW()-5,N($AA3710)+1,N($AA3710)))</f>
        <v>0</v>
      </c>
    </row>
    <row r="3712" spans="1:27" ht="21" customHeight="1" x14ac:dyDescent="0.95">
      <c r="A3712" s="56"/>
      <c r="B3712" s="57"/>
      <c r="C3712" s="57"/>
      <c r="D3712" s="57"/>
      <c r="E3712" s="56"/>
      <c r="F3712" s="57"/>
      <c r="G3712" s="57"/>
      <c r="H3712" s="56"/>
      <c r="I3712" s="56"/>
      <c r="J3712" s="58"/>
      <c r="K3712" s="58"/>
      <c r="L3712" s="13" t="str">
        <f t="shared" si="570"/>
        <v/>
      </c>
      <c r="M3712" s="13" t="str">
        <f t="shared" si="571"/>
        <v/>
      </c>
      <c r="Q3712" t="str">
        <f t="shared" si="572"/>
        <v/>
      </c>
      <c r="R3712" t="str">
        <f t="shared" si="573"/>
        <v/>
      </c>
      <c r="S3712" t="str">
        <f t="shared" si="574"/>
        <v/>
      </c>
      <c r="T3712" t="str">
        <f t="shared" si="575"/>
        <v/>
      </c>
      <c r="U3712" t="str">
        <f t="shared" si="576"/>
        <v/>
      </c>
      <c r="V3712" t="str">
        <f t="shared" si="577"/>
        <v/>
      </c>
      <c r="W3712" t="str">
        <f t="shared" si="578"/>
        <v/>
      </c>
      <c r="X3712">
        <f>IF($T3712="",N($X3711),IF(MATCH($T3712,$T$6:$T$10005,0)=ROW()-5,N($X3711)+1,N($X3711)))</f>
        <v>0</v>
      </c>
      <c r="Z3712" t="str">
        <f t="shared" si="579"/>
        <v/>
      </c>
      <c r="AA3712">
        <f>IF($V3712="",N($AA3711),IF(MATCH($V3712,$V$6:$V$10005,0)=ROW()-5,N($AA3711)+1,N($AA3711)))</f>
        <v>0</v>
      </c>
    </row>
    <row r="3713" spans="1:27" ht="21" customHeight="1" x14ac:dyDescent="0.95">
      <c r="A3713" s="56"/>
      <c r="B3713" s="57"/>
      <c r="C3713" s="57"/>
      <c r="D3713" s="57"/>
      <c r="E3713" s="56"/>
      <c r="F3713" s="57"/>
      <c r="G3713" s="57"/>
      <c r="H3713" s="56"/>
      <c r="I3713" s="56"/>
      <c r="J3713" s="58"/>
      <c r="K3713" s="58"/>
      <c r="L3713" s="13" t="str">
        <f t="shared" si="570"/>
        <v/>
      </c>
      <c r="M3713" s="13" t="str">
        <f t="shared" si="571"/>
        <v/>
      </c>
      <c r="Q3713" t="str">
        <f t="shared" si="572"/>
        <v/>
      </c>
      <c r="R3713" t="str">
        <f t="shared" si="573"/>
        <v/>
      </c>
      <c r="S3713" t="str">
        <f t="shared" si="574"/>
        <v/>
      </c>
      <c r="T3713" t="str">
        <f t="shared" si="575"/>
        <v/>
      </c>
      <c r="U3713" t="str">
        <f t="shared" si="576"/>
        <v/>
      </c>
      <c r="V3713" t="str">
        <f t="shared" si="577"/>
        <v/>
      </c>
      <c r="W3713" t="str">
        <f t="shared" si="578"/>
        <v/>
      </c>
      <c r="X3713">
        <f>IF($T3713="",N($X3712),IF(MATCH($T3713,$T$6:$T$10005,0)=ROW()-5,N($X3712)+1,N($X3712)))</f>
        <v>0</v>
      </c>
      <c r="Z3713" t="str">
        <f t="shared" si="579"/>
        <v/>
      </c>
      <c r="AA3713">
        <f>IF($V3713="",N($AA3712),IF(MATCH($V3713,$V$6:$V$10005,0)=ROW()-5,N($AA3712)+1,N($AA3712)))</f>
        <v>0</v>
      </c>
    </row>
    <row r="3714" spans="1:27" ht="21" customHeight="1" x14ac:dyDescent="0.95">
      <c r="A3714" s="56"/>
      <c r="B3714" s="57"/>
      <c r="C3714" s="57"/>
      <c r="D3714" s="57"/>
      <c r="E3714" s="56"/>
      <c r="F3714" s="57"/>
      <c r="G3714" s="57"/>
      <c r="H3714" s="56"/>
      <c r="I3714" s="56"/>
      <c r="J3714" s="58"/>
      <c r="K3714" s="58"/>
      <c r="L3714" s="13" t="str">
        <f t="shared" si="570"/>
        <v/>
      </c>
      <c r="M3714" s="13" t="str">
        <f t="shared" si="571"/>
        <v/>
      </c>
      <c r="Q3714" t="str">
        <f t="shared" si="572"/>
        <v/>
      </c>
      <c r="R3714" t="str">
        <f t="shared" si="573"/>
        <v/>
      </c>
      <c r="S3714" t="str">
        <f t="shared" si="574"/>
        <v/>
      </c>
      <c r="T3714" t="str">
        <f t="shared" si="575"/>
        <v/>
      </c>
      <c r="U3714" t="str">
        <f t="shared" si="576"/>
        <v/>
      </c>
      <c r="V3714" t="str">
        <f t="shared" si="577"/>
        <v/>
      </c>
      <c r="W3714" t="str">
        <f t="shared" si="578"/>
        <v/>
      </c>
      <c r="X3714">
        <f>IF($T3714="",N($X3713),IF(MATCH($T3714,$T$6:$T$10005,0)=ROW()-5,N($X3713)+1,N($X3713)))</f>
        <v>0</v>
      </c>
      <c r="Z3714" t="str">
        <f t="shared" si="579"/>
        <v/>
      </c>
      <c r="AA3714">
        <f>IF($V3714="",N($AA3713),IF(MATCH($V3714,$V$6:$V$10005,0)=ROW()-5,N($AA3713)+1,N($AA3713)))</f>
        <v>0</v>
      </c>
    </row>
    <row r="3715" spans="1:27" ht="21" customHeight="1" x14ac:dyDescent="0.95">
      <c r="A3715" s="56"/>
      <c r="B3715" s="57"/>
      <c r="C3715" s="57"/>
      <c r="D3715" s="57"/>
      <c r="E3715" s="56"/>
      <c r="F3715" s="57"/>
      <c r="G3715" s="57"/>
      <c r="H3715" s="56"/>
      <c r="I3715" s="56"/>
      <c r="J3715" s="58"/>
      <c r="K3715" s="58"/>
      <c r="L3715" s="13" t="str">
        <f t="shared" si="570"/>
        <v/>
      </c>
      <c r="M3715" s="13" t="str">
        <f t="shared" si="571"/>
        <v/>
      </c>
      <c r="Q3715" t="str">
        <f t="shared" si="572"/>
        <v/>
      </c>
      <c r="R3715" t="str">
        <f t="shared" si="573"/>
        <v/>
      </c>
      <c r="S3715" t="str">
        <f t="shared" si="574"/>
        <v/>
      </c>
      <c r="T3715" t="str">
        <f t="shared" si="575"/>
        <v/>
      </c>
      <c r="U3715" t="str">
        <f t="shared" si="576"/>
        <v/>
      </c>
      <c r="V3715" t="str">
        <f t="shared" si="577"/>
        <v/>
      </c>
      <c r="W3715" t="str">
        <f t="shared" si="578"/>
        <v/>
      </c>
      <c r="X3715">
        <f>IF($T3715="",N($X3714),IF(MATCH($T3715,$T$6:$T$10005,0)=ROW()-5,N($X3714)+1,N($X3714)))</f>
        <v>0</v>
      </c>
      <c r="Z3715" t="str">
        <f t="shared" si="579"/>
        <v/>
      </c>
      <c r="AA3715">
        <f>IF($V3715="",N($AA3714),IF(MATCH($V3715,$V$6:$V$10005,0)=ROW()-5,N($AA3714)+1,N($AA3714)))</f>
        <v>0</v>
      </c>
    </row>
    <row r="3716" spans="1:27" ht="21" customHeight="1" x14ac:dyDescent="0.95">
      <c r="A3716" s="56"/>
      <c r="B3716" s="57"/>
      <c r="C3716" s="57"/>
      <c r="D3716" s="57"/>
      <c r="E3716" s="56"/>
      <c r="F3716" s="57"/>
      <c r="G3716" s="57"/>
      <c r="H3716" s="56"/>
      <c r="I3716" s="56"/>
      <c r="J3716" s="58"/>
      <c r="K3716" s="58"/>
      <c r="L3716" s="13" t="str">
        <f t="shared" si="570"/>
        <v/>
      </c>
      <c r="M3716" s="13" t="str">
        <f t="shared" si="571"/>
        <v/>
      </c>
      <c r="Q3716" t="str">
        <f t="shared" si="572"/>
        <v/>
      </c>
      <c r="R3716" t="str">
        <f t="shared" si="573"/>
        <v/>
      </c>
      <c r="S3716" t="str">
        <f t="shared" si="574"/>
        <v/>
      </c>
      <c r="T3716" t="str">
        <f t="shared" si="575"/>
        <v/>
      </c>
      <c r="U3716" t="str">
        <f t="shared" si="576"/>
        <v/>
      </c>
      <c r="V3716" t="str">
        <f t="shared" si="577"/>
        <v/>
      </c>
      <c r="W3716" t="str">
        <f t="shared" si="578"/>
        <v/>
      </c>
      <c r="X3716">
        <f>IF($T3716="",N($X3715),IF(MATCH($T3716,$T$6:$T$10005,0)=ROW()-5,N($X3715)+1,N($X3715)))</f>
        <v>0</v>
      </c>
      <c r="Z3716" t="str">
        <f t="shared" si="579"/>
        <v/>
      </c>
      <c r="AA3716">
        <f>IF($V3716="",N($AA3715),IF(MATCH($V3716,$V$6:$V$10005,0)=ROW()-5,N($AA3715)+1,N($AA3715)))</f>
        <v>0</v>
      </c>
    </row>
    <row r="3717" spans="1:27" ht="21" customHeight="1" x14ac:dyDescent="0.95">
      <c r="A3717" s="56"/>
      <c r="B3717" s="57"/>
      <c r="C3717" s="57"/>
      <c r="D3717" s="57"/>
      <c r="E3717" s="56"/>
      <c r="F3717" s="57"/>
      <c r="G3717" s="57"/>
      <c r="H3717" s="56"/>
      <c r="I3717" s="56"/>
      <c r="J3717" s="58"/>
      <c r="K3717" s="58"/>
      <c r="L3717" s="13" t="str">
        <f t="shared" si="570"/>
        <v/>
      </c>
      <c r="M3717" s="13" t="str">
        <f t="shared" si="571"/>
        <v/>
      </c>
      <c r="Q3717" t="str">
        <f t="shared" si="572"/>
        <v/>
      </c>
      <c r="R3717" t="str">
        <f t="shared" si="573"/>
        <v/>
      </c>
      <c r="S3717" t="str">
        <f t="shared" si="574"/>
        <v/>
      </c>
      <c r="T3717" t="str">
        <f t="shared" si="575"/>
        <v/>
      </c>
      <c r="U3717" t="str">
        <f t="shared" si="576"/>
        <v/>
      </c>
      <c r="V3717" t="str">
        <f t="shared" si="577"/>
        <v/>
      </c>
      <c r="W3717" t="str">
        <f t="shared" si="578"/>
        <v/>
      </c>
      <c r="X3717">
        <f>IF($T3717="",N($X3716),IF(MATCH($T3717,$T$6:$T$10005,0)=ROW()-5,N($X3716)+1,N($X3716)))</f>
        <v>0</v>
      </c>
      <c r="Z3717" t="str">
        <f t="shared" si="579"/>
        <v/>
      </c>
      <c r="AA3717">
        <f>IF($V3717="",N($AA3716),IF(MATCH($V3717,$V$6:$V$10005,0)=ROW()-5,N($AA3716)+1,N($AA3716)))</f>
        <v>0</v>
      </c>
    </row>
    <row r="3718" spans="1:27" ht="21" customHeight="1" x14ac:dyDescent="0.95">
      <c r="A3718" s="56"/>
      <c r="B3718" s="57"/>
      <c r="C3718" s="57"/>
      <c r="D3718" s="57"/>
      <c r="E3718" s="56"/>
      <c r="F3718" s="57"/>
      <c r="G3718" s="57"/>
      <c r="H3718" s="56"/>
      <c r="I3718" s="56"/>
      <c r="J3718" s="58"/>
      <c r="K3718" s="58"/>
      <c r="L3718" s="13" t="str">
        <f t="shared" ref="L3718:L3781" si="580">IF(OR($A3718="",AND($J3718="",$K3718="")),"",ROUND(N($J3718)-N($K3718),2))</f>
        <v/>
      </c>
      <c r="M3718" s="13" t="str">
        <f t="shared" ref="M3718:M3781" si="581">IF(OR($A3718="",AND($J3718="",$K3718="")),"",MIN($J3718,$K3718))</f>
        <v/>
      </c>
      <c r="Q3718" t="str">
        <f t="shared" ref="Q3718:Q3781" si="582">IF($A3718="","",$D3718&amp;"("&amp;SUBSTITUTE($E3718," ","")&amp;")")</f>
        <v/>
      </c>
      <c r="R3718" t="str">
        <f t="shared" ref="R3718:R3781" si="583">IF($A3718="","",$B3718&amp;" - "&amp;$C3718)</f>
        <v/>
      </c>
      <c r="S3718" t="str">
        <f t="shared" ref="S3718:S3781" si="584">IF($A3718="","",$R3718&amp;"|"&amp;$Q3718)</f>
        <v/>
      </c>
      <c r="T3718" t="str">
        <f t="shared" ref="T3718:T3781" si="585">IF($A3718="","",$S3718&amp;"|"&amp;$F3718)</f>
        <v/>
      </c>
      <c r="U3718" t="str">
        <f t="shared" ref="U3718:U3781" si="586">IF($A3718="","",$R3718&amp;"("&amp;$E3718&amp;")")</f>
        <v/>
      </c>
      <c r="V3718" t="str">
        <f t="shared" ref="V3718:V3781" si="587">IF($A3718="","",$F3718&amp;"|"&amp;$U3718&amp;"|"&amp;$D3718)</f>
        <v/>
      </c>
      <c r="W3718" t="str">
        <f t="shared" ref="W3718:W3781" si="588">IF($T3718="","",IF($X3718&gt;N($X3717),$X3718,""))</f>
        <v/>
      </c>
      <c r="X3718">
        <f>IF($T3718="",N($X3717),IF(MATCH($T3718,$T$6:$T$10005,0)=ROW()-5,N($X3717)+1,N($X3717)))</f>
        <v>0</v>
      </c>
      <c r="Z3718" t="str">
        <f t="shared" ref="Z3718:Z3781" si="589">IF($V3718="","",IF($AA3718&gt;N($AA3717),$AA3718,""))</f>
        <v/>
      </c>
      <c r="AA3718">
        <f>IF($V3718="",N($AA3717),IF(MATCH($V3718,$V$6:$V$10005,0)=ROW()-5,N($AA3717)+1,N($AA3717)))</f>
        <v>0</v>
      </c>
    </row>
    <row r="3719" spans="1:27" ht="21" customHeight="1" x14ac:dyDescent="0.95">
      <c r="A3719" s="56"/>
      <c r="B3719" s="57"/>
      <c r="C3719" s="57"/>
      <c r="D3719" s="57"/>
      <c r="E3719" s="56"/>
      <c r="F3719" s="57"/>
      <c r="G3719" s="57"/>
      <c r="H3719" s="56"/>
      <c r="I3719" s="56"/>
      <c r="J3719" s="58"/>
      <c r="K3719" s="58"/>
      <c r="L3719" s="13" t="str">
        <f t="shared" si="580"/>
        <v/>
      </c>
      <c r="M3719" s="13" t="str">
        <f t="shared" si="581"/>
        <v/>
      </c>
      <c r="Q3719" t="str">
        <f t="shared" si="582"/>
        <v/>
      </c>
      <c r="R3719" t="str">
        <f t="shared" si="583"/>
        <v/>
      </c>
      <c r="S3719" t="str">
        <f t="shared" si="584"/>
        <v/>
      </c>
      <c r="T3719" t="str">
        <f t="shared" si="585"/>
        <v/>
      </c>
      <c r="U3719" t="str">
        <f t="shared" si="586"/>
        <v/>
      </c>
      <c r="V3719" t="str">
        <f t="shared" si="587"/>
        <v/>
      </c>
      <c r="W3719" t="str">
        <f t="shared" si="588"/>
        <v/>
      </c>
      <c r="X3719">
        <f>IF($T3719="",N($X3718),IF(MATCH($T3719,$T$6:$T$10005,0)=ROW()-5,N($X3718)+1,N($X3718)))</f>
        <v>0</v>
      </c>
      <c r="Z3719" t="str">
        <f t="shared" si="589"/>
        <v/>
      </c>
      <c r="AA3719">
        <f>IF($V3719="",N($AA3718),IF(MATCH($V3719,$V$6:$V$10005,0)=ROW()-5,N($AA3718)+1,N($AA3718)))</f>
        <v>0</v>
      </c>
    </row>
    <row r="3720" spans="1:27" ht="21" customHeight="1" x14ac:dyDescent="0.95">
      <c r="A3720" s="56"/>
      <c r="B3720" s="57"/>
      <c r="C3720" s="57"/>
      <c r="D3720" s="57"/>
      <c r="E3720" s="56"/>
      <c r="F3720" s="57"/>
      <c r="G3720" s="57"/>
      <c r="H3720" s="56"/>
      <c r="I3720" s="56"/>
      <c r="J3720" s="58"/>
      <c r="K3720" s="58"/>
      <c r="L3720" s="13" t="str">
        <f t="shared" si="580"/>
        <v/>
      </c>
      <c r="M3720" s="13" t="str">
        <f t="shared" si="581"/>
        <v/>
      </c>
      <c r="Q3720" t="str">
        <f t="shared" si="582"/>
        <v/>
      </c>
      <c r="R3720" t="str">
        <f t="shared" si="583"/>
        <v/>
      </c>
      <c r="S3720" t="str">
        <f t="shared" si="584"/>
        <v/>
      </c>
      <c r="T3720" t="str">
        <f t="shared" si="585"/>
        <v/>
      </c>
      <c r="U3720" t="str">
        <f t="shared" si="586"/>
        <v/>
      </c>
      <c r="V3720" t="str">
        <f t="shared" si="587"/>
        <v/>
      </c>
      <c r="W3720" t="str">
        <f t="shared" si="588"/>
        <v/>
      </c>
      <c r="X3720">
        <f>IF($T3720="",N($X3719),IF(MATCH($T3720,$T$6:$T$10005,0)=ROW()-5,N($X3719)+1,N($X3719)))</f>
        <v>0</v>
      </c>
      <c r="Z3720" t="str">
        <f t="shared" si="589"/>
        <v/>
      </c>
      <c r="AA3720">
        <f>IF($V3720="",N($AA3719),IF(MATCH($V3720,$V$6:$V$10005,0)=ROW()-5,N($AA3719)+1,N($AA3719)))</f>
        <v>0</v>
      </c>
    </row>
    <row r="3721" spans="1:27" ht="21" customHeight="1" x14ac:dyDescent="0.95">
      <c r="A3721" s="56"/>
      <c r="B3721" s="57"/>
      <c r="C3721" s="57"/>
      <c r="D3721" s="57"/>
      <c r="E3721" s="56"/>
      <c r="F3721" s="57"/>
      <c r="G3721" s="57"/>
      <c r="H3721" s="56"/>
      <c r="I3721" s="56"/>
      <c r="J3721" s="58"/>
      <c r="K3721" s="58"/>
      <c r="L3721" s="13" t="str">
        <f t="shared" si="580"/>
        <v/>
      </c>
      <c r="M3721" s="13" t="str">
        <f t="shared" si="581"/>
        <v/>
      </c>
      <c r="Q3721" t="str">
        <f t="shared" si="582"/>
        <v/>
      </c>
      <c r="R3721" t="str">
        <f t="shared" si="583"/>
        <v/>
      </c>
      <c r="S3721" t="str">
        <f t="shared" si="584"/>
        <v/>
      </c>
      <c r="T3721" t="str">
        <f t="shared" si="585"/>
        <v/>
      </c>
      <c r="U3721" t="str">
        <f t="shared" si="586"/>
        <v/>
      </c>
      <c r="V3721" t="str">
        <f t="shared" si="587"/>
        <v/>
      </c>
      <c r="W3721" t="str">
        <f t="shared" si="588"/>
        <v/>
      </c>
      <c r="X3721">
        <f>IF($T3721="",N($X3720),IF(MATCH($T3721,$T$6:$T$10005,0)=ROW()-5,N($X3720)+1,N($X3720)))</f>
        <v>0</v>
      </c>
      <c r="Z3721" t="str">
        <f t="shared" si="589"/>
        <v/>
      </c>
      <c r="AA3721">
        <f>IF($V3721="",N($AA3720),IF(MATCH($V3721,$V$6:$V$10005,0)=ROW()-5,N($AA3720)+1,N($AA3720)))</f>
        <v>0</v>
      </c>
    </row>
    <row r="3722" spans="1:27" ht="21" customHeight="1" x14ac:dyDescent="0.95">
      <c r="A3722" s="56"/>
      <c r="B3722" s="57"/>
      <c r="C3722" s="57"/>
      <c r="D3722" s="57"/>
      <c r="E3722" s="56"/>
      <c r="F3722" s="57"/>
      <c r="G3722" s="57"/>
      <c r="H3722" s="56"/>
      <c r="I3722" s="56"/>
      <c r="J3722" s="58"/>
      <c r="K3722" s="58"/>
      <c r="L3722" s="13" t="str">
        <f t="shared" si="580"/>
        <v/>
      </c>
      <c r="M3722" s="13" t="str">
        <f t="shared" si="581"/>
        <v/>
      </c>
      <c r="Q3722" t="str">
        <f t="shared" si="582"/>
        <v/>
      </c>
      <c r="R3722" t="str">
        <f t="shared" si="583"/>
        <v/>
      </c>
      <c r="S3722" t="str">
        <f t="shared" si="584"/>
        <v/>
      </c>
      <c r="T3722" t="str">
        <f t="shared" si="585"/>
        <v/>
      </c>
      <c r="U3722" t="str">
        <f t="shared" si="586"/>
        <v/>
      </c>
      <c r="V3722" t="str">
        <f t="shared" si="587"/>
        <v/>
      </c>
      <c r="W3722" t="str">
        <f t="shared" si="588"/>
        <v/>
      </c>
      <c r="X3722">
        <f>IF($T3722="",N($X3721),IF(MATCH($T3722,$T$6:$T$10005,0)=ROW()-5,N($X3721)+1,N($X3721)))</f>
        <v>0</v>
      </c>
      <c r="Z3722" t="str">
        <f t="shared" si="589"/>
        <v/>
      </c>
      <c r="AA3722">
        <f>IF($V3722="",N($AA3721),IF(MATCH($V3722,$V$6:$V$10005,0)=ROW()-5,N($AA3721)+1,N($AA3721)))</f>
        <v>0</v>
      </c>
    </row>
    <row r="3723" spans="1:27" ht="21" customHeight="1" x14ac:dyDescent="0.95">
      <c r="A3723" s="56"/>
      <c r="B3723" s="57"/>
      <c r="C3723" s="57"/>
      <c r="D3723" s="57"/>
      <c r="E3723" s="56"/>
      <c r="F3723" s="57"/>
      <c r="G3723" s="57"/>
      <c r="H3723" s="56"/>
      <c r="I3723" s="56"/>
      <c r="J3723" s="58"/>
      <c r="K3723" s="58"/>
      <c r="L3723" s="13" t="str">
        <f t="shared" si="580"/>
        <v/>
      </c>
      <c r="M3723" s="13" t="str">
        <f t="shared" si="581"/>
        <v/>
      </c>
      <c r="Q3723" t="str">
        <f t="shared" si="582"/>
        <v/>
      </c>
      <c r="R3723" t="str">
        <f t="shared" si="583"/>
        <v/>
      </c>
      <c r="S3723" t="str">
        <f t="shared" si="584"/>
        <v/>
      </c>
      <c r="T3723" t="str">
        <f t="shared" si="585"/>
        <v/>
      </c>
      <c r="U3723" t="str">
        <f t="shared" si="586"/>
        <v/>
      </c>
      <c r="V3723" t="str">
        <f t="shared" si="587"/>
        <v/>
      </c>
      <c r="W3723" t="str">
        <f t="shared" si="588"/>
        <v/>
      </c>
      <c r="X3723">
        <f>IF($T3723="",N($X3722),IF(MATCH($T3723,$T$6:$T$10005,0)=ROW()-5,N($X3722)+1,N($X3722)))</f>
        <v>0</v>
      </c>
      <c r="Z3723" t="str">
        <f t="shared" si="589"/>
        <v/>
      </c>
      <c r="AA3723">
        <f>IF($V3723="",N($AA3722),IF(MATCH($V3723,$V$6:$V$10005,0)=ROW()-5,N($AA3722)+1,N($AA3722)))</f>
        <v>0</v>
      </c>
    </row>
    <row r="3724" spans="1:27" ht="21" customHeight="1" x14ac:dyDescent="0.95">
      <c r="A3724" s="56"/>
      <c r="B3724" s="57"/>
      <c r="C3724" s="57"/>
      <c r="D3724" s="57"/>
      <c r="E3724" s="56"/>
      <c r="F3724" s="57"/>
      <c r="G3724" s="57"/>
      <c r="H3724" s="56"/>
      <c r="I3724" s="56"/>
      <c r="J3724" s="58"/>
      <c r="K3724" s="58"/>
      <c r="L3724" s="13" t="str">
        <f t="shared" si="580"/>
        <v/>
      </c>
      <c r="M3724" s="13" t="str">
        <f t="shared" si="581"/>
        <v/>
      </c>
      <c r="Q3724" t="str">
        <f t="shared" si="582"/>
        <v/>
      </c>
      <c r="R3724" t="str">
        <f t="shared" si="583"/>
        <v/>
      </c>
      <c r="S3724" t="str">
        <f t="shared" si="584"/>
        <v/>
      </c>
      <c r="T3724" t="str">
        <f t="shared" si="585"/>
        <v/>
      </c>
      <c r="U3724" t="str">
        <f t="shared" si="586"/>
        <v/>
      </c>
      <c r="V3724" t="str">
        <f t="shared" si="587"/>
        <v/>
      </c>
      <c r="W3724" t="str">
        <f t="shared" si="588"/>
        <v/>
      </c>
      <c r="X3724">
        <f>IF($T3724="",N($X3723),IF(MATCH($T3724,$T$6:$T$10005,0)=ROW()-5,N($X3723)+1,N($X3723)))</f>
        <v>0</v>
      </c>
      <c r="Z3724" t="str">
        <f t="shared" si="589"/>
        <v/>
      </c>
      <c r="AA3724">
        <f>IF($V3724="",N($AA3723),IF(MATCH($V3724,$V$6:$V$10005,0)=ROW()-5,N($AA3723)+1,N($AA3723)))</f>
        <v>0</v>
      </c>
    </row>
    <row r="3725" spans="1:27" ht="21" customHeight="1" x14ac:dyDescent="0.95">
      <c r="A3725" s="56"/>
      <c r="B3725" s="57"/>
      <c r="C3725" s="57"/>
      <c r="D3725" s="57"/>
      <c r="E3725" s="56"/>
      <c r="F3725" s="57"/>
      <c r="G3725" s="57"/>
      <c r="H3725" s="56"/>
      <c r="I3725" s="56"/>
      <c r="J3725" s="58"/>
      <c r="K3725" s="58"/>
      <c r="L3725" s="13" t="str">
        <f t="shared" si="580"/>
        <v/>
      </c>
      <c r="M3725" s="13" t="str">
        <f t="shared" si="581"/>
        <v/>
      </c>
      <c r="Q3725" t="str">
        <f t="shared" si="582"/>
        <v/>
      </c>
      <c r="R3725" t="str">
        <f t="shared" si="583"/>
        <v/>
      </c>
      <c r="S3725" t="str">
        <f t="shared" si="584"/>
        <v/>
      </c>
      <c r="T3725" t="str">
        <f t="shared" si="585"/>
        <v/>
      </c>
      <c r="U3725" t="str">
        <f t="shared" si="586"/>
        <v/>
      </c>
      <c r="V3725" t="str">
        <f t="shared" si="587"/>
        <v/>
      </c>
      <c r="W3725" t="str">
        <f t="shared" si="588"/>
        <v/>
      </c>
      <c r="X3725">
        <f>IF($T3725="",N($X3724),IF(MATCH($T3725,$T$6:$T$10005,0)=ROW()-5,N($X3724)+1,N($X3724)))</f>
        <v>0</v>
      </c>
      <c r="Z3725" t="str">
        <f t="shared" si="589"/>
        <v/>
      </c>
      <c r="AA3725">
        <f>IF($V3725="",N($AA3724),IF(MATCH($V3725,$V$6:$V$10005,0)=ROW()-5,N($AA3724)+1,N($AA3724)))</f>
        <v>0</v>
      </c>
    </row>
    <row r="3726" spans="1:27" ht="21" customHeight="1" x14ac:dyDescent="0.95">
      <c r="A3726" s="56"/>
      <c r="B3726" s="57"/>
      <c r="C3726" s="57"/>
      <c r="D3726" s="57"/>
      <c r="E3726" s="56"/>
      <c r="F3726" s="57"/>
      <c r="G3726" s="57"/>
      <c r="H3726" s="56"/>
      <c r="I3726" s="56"/>
      <c r="J3726" s="58"/>
      <c r="K3726" s="58"/>
      <c r="L3726" s="13" t="str">
        <f t="shared" si="580"/>
        <v/>
      </c>
      <c r="M3726" s="13" t="str">
        <f t="shared" si="581"/>
        <v/>
      </c>
      <c r="Q3726" t="str">
        <f t="shared" si="582"/>
        <v/>
      </c>
      <c r="R3726" t="str">
        <f t="shared" si="583"/>
        <v/>
      </c>
      <c r="S3726" t="str">
        <f t="shared" si="584"/>
        <v/>
      </c>
      <c r="T3726" t="str">
        <f t="shared" si="585"/>
        <v/>
      </c>
      <c r="U3726" t="str">
        <f t="shared" si="586"/>
        <v/>
      </c>
      <c r="V3726" t="str">
        <f t="shared" si="587"/>
        <v/>
      </c>
      <c r="W3726" t="str">
        <f t="shared" si="588"/>
        <v/>
      </c>
      <c r="X3726">
        <f>IF($T3726="",N($X3725),IF(MATCH($T3726,$T$6:$T$10005,0)=ROW()-5,N($X3725)+1,N($X3725)))</f>
        <v>0</v>
      </c>
      <c r="Z3726" t="str">
        <f t="shared" si="589"/>
        <v/>
      </c>
      <c r="AA3726">
        <f>IF($V3726="",N($AA3725),IF(MATCH($V3726,$V$6:$V$10005,0)=ROW()-5,N($AA3725)+1,N($AA3725)))</f>
        <v>0</v>
      </c>
    </row>
    <row r="3727" spans="1:27" ht="21" customHeight="1" x14ac:dyDescent="0.95">
      <c r="A3727" s="56"/>
      <c r="B3727" s="57"/>
      <c r="C3727" s="57"/>
      <c r="D3727" s="57"/>
      <c r="E3727" s="56"/>
      <c r="F3727" s="57"/>
      <c r="G3727" s="57"/>
      <c r="H3727" s="56"/>
      <c r="I3727" s="56"/>
      <c r="J3727" s="58"/>
      <c r="K3727" s="58"/>
      <c r="L3727" s="13" t="str">
        <f t="shared" si="580"/>
        <v/>
      </c>
      <c r="M3727" s="13" t="str">
        <f t="shared" si="581"/>
        <v/>
      </c>
      <c r="Q3727" t="str">
        <f t="shared" si="582"/>
        <v/>
      </c>
      <c r="R3727" t="str">
        <f t="shared" si="583"/>
        <v/>
      </c>
      <c r="S3727" t="str">
        <f t="shared" si="584"/>
        <v/>
      </c>
      <c r="T3727" t="str">
        <f t="shared" si="585"/>
        <v/>
      </c>
      <c r="U3727" t="str">
        <f t="shared" si="586"/>
        <v/>
      </c>
      <c r="V3727" t="str">
        <f t="shared" si="587"/>
        <v/>
      </c>
      <c r="W3727" t="str">
        <f t="shared" si="588"/>
        <v/>
      </c>
      <c r="X3727">
        <f>IF($T3727="",N($X3726),IF(MATCH($T3727,$T$6:$T$10005,0)=ROW()-5,N($X3726)+1,N($X3726)))</f>
        <v>0</v>
      </c>
      <c r="Z3727" t="str">
        <f t="shared" si="589"/>
        <v/>
      </c>
      <c r="AA3727">
        <f>IF($V3727="",N($AA3726),IF(MATCH($V3727,$V$6:$V$10005,0)=ROW()-5,N($AA3726)+1,N($AA3726)))</f>
        <v>0</v>
      </c>
    </row>
    <row r="3728" spans="1:27" ht="21" customHeight="1" x14ac:dyDescent="0.95">
      <c r="A3728" s="56"/>
      <c r="B3728" s="57"/>
      <c r="C3728" s="57"/>
      <c r="D3728" s="57"/>
      <c r="E3728" s="56"/>
      <c r="F3728" s="57"/>
      <c r="G3728" s="57"/>
      <c r="H3728" s="56"/>
      <c r="I3728" s="56"/>
      <c r="J3728" s="58"/>
      <c r="K3728" s="58"/>
      <c r="L3728" s="13" t="str">
        <f t="shared" si="580"/>
        <v/>
      </c>
      <c r="M3728" s="13" t="str">
        <f t="shared" si="581"/>
        <v/>
      </c>
      <c r="Q3728" t="str">
        <f t="shared" si="582"/>
        <v/>
      </c>
      <c r="R3728" t="str">
        <f t="shared" si="583"/>
        <v/>
      </c>
      <c r="S3728" t="str">
        <f t="shared" si="584"/>
        <v/>
      </c>
      <c r="T3728" t="str">
        <f t="shared" si="585"/>
        <v/>
      </c>
      <c r="U3728" t="str">
        <f t="shared" si="586"/>
        <v/>
      </c>
      <c r="V3728" t="str">
        <f t="shared" si="587"/>
        <v/>
      </c>
      <c r="W3728" t="str">
        <f t="shared" si="588"/>
        <v/>
      </c>
      <c r="X3728">
        <f>IF($T3728="",N($X3727),IF(MATCH($T3728,$T$6:$T$10005,0)=ROW()-5,N($X3727)+1,N($X3727)))</f>
        <v>0</v>
      </c>
      <c r="Z3728" t="str">
        <f t="shared" si="589"/>
        <v/>
      </c>
      <c r="AA3728">
        <f>IF($V3728="",N($AA3727),IF(MATCH($V3728,$V$6:$V$10005,0)=ROW()-5,N($AA3727)+1,N($AA3727)))</f>
        <v>0</v>
      </c>
    </row>
    <row r="3729" spans="1:27" ht="21" customHeight="1" x14ac:dyDescent="0.95">
      <c r="A3729" s="56"/>
      <c r="B3729" s="57"/>
      <c r="C3729" s="57"/>
      <c r="D3729" s="57"/>
      <c r="E3729" s="56"/>
      <c r="F3729" s="57"/>
      <c r="G3729" s="57"/>
      <c r="H3729" s="56"/>
      <c r="I3729" s="56"/>
      <c r="J3729" s="58"/>
      <c r="K3729" s="58"/>
      <c r="L3729" s="13" t="str">
        <f t="shared" si="580"/>
        <v/>
      </c>
      <c r="M3729" s="13" t="str">
        <f t="shared" si="581"/>
        <v/>
      </c>
      <c r="Q3729" t="str">
        <f t="shared" si="582"/>
        <v/>
      </c>
      <c r="R3729" t="str">
        <f t="shared" si="583"/>
        <v/>
      </c>
      <c r="S3729" t="str">
        <f t="shared" si="584"/>
        <v/>
      </c>
      <c r="T3729" t="str">
        <f t="shared" si="585"/>
        <v/>
      </c>
      <c r="U3729" t="str">
        <f t="shared" si="586"/>
        <v/>
      </c>
      <c r="V3729" t="str">
        <f t="shared" si="587"/>
        <v/>
      </c>
      <c r="W3729" t="str">
        <f t="shared" si="588"/>
        <v/>
      </c>
      <c r="X3729">
        <f>IF($T3729="",N($X3728),IF(MATCH($T3729,$T$6:$T$10005,0)=ROW()-5,N($X3728)+1,N($X3728)))</f>
        <v>0</v>
      </c>
      <c r="Z3729" t="str">
        <f t="shared" si="589"/>
        <v/>
      </c>
      <c r="AA3729">
        <f>IF($V3729="",N($AA3728),IF(MATCH($V3729,$V$6:$V$10005,0)=ROW()-5,N($AA3728)+1,N($AA3728)))</f>
        <v>0</v>
      </c>
    </row>
    <row r="3730" spans="1:27" ht="21" customHeight="1" x14ac:dyDescent="0.95">
      <c r="A3730" s="56"/>
      <c r="B3730" s="57"/>
      <c r="C3730" s="57"/>
      <c r="D3730" s="57"/>
      <c r="E3730" s="56"/>
      <c r="F3730" s="57"/>
      <c r="G3730" s="57"/>
      <c r="H3730" s="56"/>
      <c r="I3730" s="56"/>
      <c r="J3730" s="58"/>
      <c r="K3730" s="58"/>
      <c r="L3730" s="13" t="str">
        <f t="shared" si="580"/>
        <v/>
      </c>
      <c r="M3730" s="13" t="str">
        <f t="shared" si="581"/>
        <v/>
      </c>
      <c r="Q3730" t="str">
        <f t="shared" si="582"/>
        <v/>
      </c>
      <c r="R3730" t="str">
        <f t="shared" si="583"/>
        <v/>
      </c>
      <c r="S3730" t="str">
        <f t="shared" si="584"/>
        <v/>
      </c>
      <c r="T3730" t="str">
        <f t="shared" si="585"/>
        <v/>
      </c>
      <c r="U3730" t="str">
        <f t="shared" si="586"/>
        <v/>
      </c>
      <c r="V3730" t="str">
        <f t="shared" si="587"/>
        <v/>
      </c>
      <c r="W3730" t="str">
        <f t="shared" si="588"/>
        <v/>
      </c>
      <c r="X3730">
        <f>IF($T3730="",N($X3729),IF(MATCH($T3730,$T$6:$T$10005,0)=ROW()-5,N($X3729)+1,N($X3729)))</f>
        <v>0</v>
      </c>
      <c r="Z3730" t="str">
        <f t="shared" si="589"/>
        <v/>
      </c>
      <c r="AA3730">
        <f>IF($V3730="",N($AA3729),IF(MATCH($V3730,$V$6:$V$10005,0)=ROW()-5,N($AA3729)+1,N($AA3729)))</f>
        <v>0</v>
      </c>
    </row>
    <row r="3731" spans="1:27" ht="21" customHeight="1" x14ac:dyDescent="0.95">
      <c r="A3731" s="56"/>
      <c r="B3731" s="57"/>
      <c r="C3731" s="57"/>
      <c r="D3731" s="57"/>
      <c r="E3731" s="56"/>
      <c r="F3731" s="57"/>
      <c r="G3731" s="57"/>
      <c r="H3731" s="56"/>
      <c r="I3731" s="56"/>
      <c r="J3731" s="58"/>
      <c r="K3731" s="58"/>
      <c r="L3731" s="13" t="str">
        <f t="shared" si="580"/>
        <v/>
      </c>
      <c r="M3731" s="13" t="str">
        <f t="shared" si="581"/>
        <v/>
      </c>
      <c r="Q3731" t="str">
        <f t="shared" si="582"/>
        <v/>
      </c>
      <c r="R3731" t="str">
        <f t="shared" si="583"/>
        <v/>
      </c>
      <c r="S3731" t="str">
        <f t="shared" si="584"/>
        <v/>
      </c>
      <c r="T3731" t="str">
        <f t="shared" si="585"/>
        <v/>
      </c>
      <c r="U3731" t="str">
        <f t="shared" si="586"/>
        <v/>
      </c>
      <c r="V3731" t="str">
        <f t="shared" si="587"/>
        <v/>
      </c>
      <c r="W3731" t="str">
        <f t="shared" si="588"/>
        <v/>
      </c>
      <c r="X3731">
        <f>IF($T3731="",N($X3730),IF(MATCH($T3731,$T$6:$T$10005,0)=ROW()-5,N($X3730)+1,N($X3730)))</f>
        <v>0</v>
      </c>
      <c r="Z3731" t="str">
        <f t="shared" si="589"/>
        <v/>
      </c>
      <c r="AA3731">
        <f>IF($V3731="",N($AA3730),IF(MATCH($V3731,$V$6:$V$10005,0)=ROW()-5,N($AA3730)+1,N($AA3730)))</f>
        <v>0</v>
      </c>
    </row>
    <row r="3732" spans="1:27" ht="21" customHeight="1" x14ac:dyDescent="0.95">
      <c r="A3732" s="56"/>
      <c r="B3732" s="57"/>
      <c r="C3732" s="57"/>
      <c r="D3732" s="57"/>
      <c r="E3732" s="56"/>
      <c r="F3732" s="57"/>
      <c r="G3732" s="57"/>
      <c r="H3732" s="56"/>
      <c r="I3732" s="56"/>
      <c r="J3732" s="58"/>
      <c r="K3732" s="58"/>
      <c r="L3732" s="13" t="str">
        <f t="shared" si="580"/>
        <v/>
      </c>
      <c r="M3732" s="13" t="str">
        <f t="shared" si="581"/>
        <v/>
      </c>
      <c r="Q3732" t="str">
        <f t="shared" si="582"/>
        <v/>
      </c>
      <c r="R3732" t="str">
        <f t="shared" si="583"/>
        <v/>
      </c>
      <c r="S3732" t="str">
        <f t="shared" si="584"/>
        <v/>
      </c>
      <c r="T3732" t="str">
        <f t="shared" si="585"/>
        <v/>
      </c>
      <c r="U3732" t="str">
        <f t="shared" si="586"/>
        <v/>
      </c>
      <c r="V3732" t="str">
        <f t="shared" si="587"/>
        <v/>
      </c>
      <c r="W3732" t="str">
        <f t="shared" si="588"/>
        <v/>
      </c>
      <c r="X3732">
        <f>IF($T3732="",N($X3731),IF(MATCH($T3732,$T$6:$T$10005,0)=ROW()-5,N($X3731)+1,N($X3731)))</f>
        <v>0</v>
      </c>
      <c r="Z3732" t="str">
        <f t="shared" si="589"/>
        <v/>
      </c>
      <c r="AA3732">
        <f>IF($V3732="",N($AA3731),IF(MATCH($V3732,$V$6:$V$10005,0)=ROW()-5,N($AA3731)+1,N($AA3731)))</f>
        <v>0</v>
      </c>
    </row>
    <row r="3733" spans="1:27" ht="21" customHeight="1" x14ac:dyDescent="0.95">
      <c r="A3733" s="56"/>
      <c r="B3733" s="57"/>
      <c r="C3733" s="57"/>
      <c r="D3733" s="57"/>
      <c r="E3733" s="56"/>
      <c r="F3733" s="57"/>
      <c r="G3733" s="57"/>
      <c r="H3733" s="56"/>
      <c r="I3733" s="56"/>
      <c r="J3733" s="58"/>
      <c r="K3733" s="58"/>
      <c r="L3733" s="13" t="str">
        <f t="shared" si="580"/>
        <v/>
      </c>
      <c r="M3733" s="13" t="str">
        <f t="shared" si="581"/>
        <v/>
      </c>
      <c r="Q3733" t="str">
        <f t="shared" si="582"/>
        <v/>
      </c>
      <c r="R3733" t="str">
        <f t="shared" si="583"/>
        <v/>
      </c>
      <c r="S3733" t="str">
        <f t="shared" si="584"/>
        <v/>
      </c>
      <c r="T3733" t="str">
        <f t="shared" si="585"/>
        <v/>
      </c>
      <c r="U3733" t="str">
        <f t="shared" si="586"/>
        <v/>
      </c>
      <c r="V3733" t="str">
        <f t="shared" si="587"/>
        <v/>
      </c>
      <c r="W3733" t="str">
        <f t="shared" si="588"/>
        <v/>
      </c>
      <c r="X3733">
        <f>IF($T3733="",N($X3732),IF(MATCH($T3733,$T$6:$T$10005,0)=ROW()-5,N($X3732)+1,N($X3732)))</f>
        <v>0</v>
      </c>
      <c r="Z3733" t="str">
        <f t="shared" si="589"/>
        <v/>
      </c>
      <c r="AA3733">
        <f>IF($V3733="",N($AA3732),IF(MATCH($V3733,$V$6:$V$10005,0)=ROW()-5,N($AA3732)+1,N($AA3732)))</f>
        <v>0</v>
      </c>
    </row>
    <row r="3734" spans="1:27" ht="21" customHeight="1" x14ac:dyDescent="0.95">
      <c r="A3734" s="56"/>
      <c r="B3734" s="57"/>
      <c r="C3734" s="57"/>
      <c r="D3734" s="57"/>
      <c r="E3734" s="56"/>
      <c r="F3734" s="57"/>
      <c r="G3734" s="57"/>
      <c r="H3734" s="56"/>
      <c r="I3734" s="56"/>
      <c r="J3734" s="58"/>
      <c r="K3734" s="58"/>
      <c r="L3734" s="13" t="str">
        <f t="shared" si="580"/>
        <v/>
      </c>
      <c r="M3734" s="13" t="str">
        <f t="shared" si="581"/>
        <v/>
      </c>
      <c r="Q3734" t="str">
        <f t="shared" si="582"/>
        <v/>
      </c>
      <c r="R3734" t="str">
        <f t="shared" si="583"/>
        <v/>
      </c>
      <c r="S3734" t="str">
        <f t="shared" si="584"/>
        <v/>
      </c>
      <c r="T3734" t="str">
        <f t="shared" si="585"/>
        <v/>
      </c>
      <c r="U3734" t="str">
        <f t="shared" si="586"/>
        <v/>
      </c>
      <c r="V3734" t="str">
        <f t="shared" si="587"/>
        <v/>
      </c>
      <c r="W3734" t="str">
        <f t="shared" si="588"/>
        <v/>
      </c>
      <c r="X3734">
        <f>IF($T3734="",N($X3733),IF(MATCH($T3734,$T$6:$T$10005,0)=ROW()-5,N($X3733)+1,N($X3733)))</f>
        <v>0</v>
      </c>
      <c r="Z3734" t="str">
        <f t="shared" si="589"/>
        <v/>
      </c>
      <c r="AA3734">
        <f>IF($V3734="",N($AA3733),IF(MATCH($V3734,$V$6:$V$10005,0)=ROW()-5,N($AA3733)+1,N($AA3733)))</f>
        <v>0</v>
      </c>
    </row>
    <row r="3735" spans="1:27" ht="21" customHeight="1" x14ac:dyDescent="0.95">
      <c r="A3735" s="56"/>
      <c r="B3735" s="57"/>
      <c r="C3735" s="57"/>
      <c r="D3735" s="57"/>
      <c r="E3735" s="56"/>
      <c r="F3735" s="57"/>
      <c r="G3735" s="57"/>
      <c r="H3735" s="56"/>
      <c r="I3735" s="56"/>
      <c r="J3735" s="58"/>
      <c r="K3735" s="58"/>
      <c r="L3735" s="13" t="str">
        <f t="shared" si="580"/>
        <v/>
      </c>
      <c r="M3735" s="13" t="str">
        <f t="shared" si="581"/>
        <v/>
      </c>
      <c r="Q3735" t="str">
        <f t="shared" si="582"/>
        <v/>
      </c>
      <c r="R3735" t="str">
        <f t="shared" si="583"/>
        <v/>
      </c>
      <c r="S3735" t="str">
        <f t="shared" si="584"/>
        <v/>
      </c>
      <c r="T3735" t="str">
        <f t="shared" si="585"/>
        <v/>
      </c>
      <c r="U3735" t="str">
        <f t="shared" si="586"/>
        <v/>
      </c>
      <c r="V3735" t="str">
        <f t="shared" si="587"/>
        <v/>
      </c>
      <c r="W3735" t="str">
        <f t="shared" si="588"/>
        <v/>
      </c>
      <c r="X3735">
        <f>IF($T3735="",N($X3734),IF(MATCH($T3735,$T$6:$T$10005,0)=ROW()-5,N($X3734)+1,N($X3734)))</f>
        <v>0</v>
      </c>
      <c r="Z3735" t="str">
        <f t="shared" si="589"/>
        <v/>
      </c>
      <c r="AA3735">
        <f>IF($V3735="",N($AA3734),IF(MATCH($V3735,$V$6:$V$10005,0)=ROW()-5,N($AA3734)+1,N($AA3734)))</f>
        <v>0</v>
      </c>
    </row>
    <row r="3736" spans="1:27" ht="21" customHeight="1" x14ac:dyDescent="0.95">
      <c r="A3736" s="56"/>
      <c r="B3736" s="57"/>
      <c r="C3736" s="57"/>
      <c r="D3736" s="57"/>
      <c r="E3736" s="56"/>
      <c r="F3736" s="57"/>
      <c r="G3736" s="57"/>
      <c r="H3736" s="56"/>
      <c r="I3736" s="56"/>
      <c r="J3736" s="58"/>
      <c r="K3736" s="58"/>
      <c r="L3736" s="13" t="str">
        <f t="shared" si="580"/>
        <v/>
      </c>
      <c r="M3736" s="13" t="str">
        <f t="shared" si="581"/>
        <v/>
      </c>
      <c r="Q3736" t="str">
        <f t="shared" si="582"/>
        <v/>
      </c>
      <c r="R3736" t="str">
        <f t="shared" si="583"/>
        <v/>
      </c>
      <c r="S3736" t="str">
        <f t="shared" si="584"/>
        <v/>
      </c>
      <c r="T3736" t="str">
        <f t="shared" si="585"/>
        <v/>
      </c>
      <c r="U3736" t="str">
        <f t="shared" si="586"/>
        <v/>
      </c>
      <c r="V3736" t="str">
        <f t="shared" si="587"/>
        <v/>
      </c>
      <c r="W3736" t="str">
        <f t="shared" si="588"/>
        <v/>
      </c>
      <c r="X3736">
        <f>IF($T3736="",N($X3735),IF(MATCH($T3736,$T$6:$T$10005,0)=ROW()-5,N($X3735)+1,N($X3735)))</f>
        <v>0</v>
      </c>
      <c r="Z3736" t="str">
        <f t="shared" si="589"/>
        <v/>
      </c>
      <c r="AA3736">
        <f>IF($V3736="",N($AA3735),IF(MATCH($V3736,$V$6:$V$10005,0)=ROW()-5,N($AA3735)+1,N($AA3735)))</f>
        <v>0</v>
      </c>
    </row>
    <row r="3737" spans="1:27" ht="21" customHeight="1" x14ac:dyDescent="0.95">
      <c r="A3737" s="56"/>
      <c r="B3737" s="57"/>
      <c r="C3737" s="57"/>
      <c r="D3737" s="57"/>
      <c r="E3737" s="56"/>
      <c r="F3737" s="57"/>
      <c r="G3737" s="57"/>
      <c r="H3737" s="56"/>
      <c r="I3737" s="56"/>
      <c r="J3737" s="58"/>
      <c r="K3737" s="58"/>
      <c r="L3737" s="13" t="str">
        <f t="shared" si="580"/>
        <v/>
      </c>
      <c r="M3737" s="13" t="str">
        <f t="shared" si="581"/>
        <v/>
      </c>
      <c r="Q3737" t="str">
        <f t="shared" si="582"/>
        <v/>
      </c>
      <c r="R3737" t="str">
        <f t="shared" si="583"/>
        <v/>
      </c>
      <c r="S3737" t="str">
        <f t="shared" si="584"/>
        <v/>
      </c>
      <c r="T3737" t="str">
        <f t="shared" si="585"/>
        <v/>
      </c>
      <c r="U3737" t="str">
        <f t="shared" si="586"/>
        <v/>
      </c>
      <c r="V3737" t="str">
        <f t="shared" si="587"/>
        <v/>
      </c>
      <c r="W3737" t="str">
        <f t="shared" si="588"/>
        <v/>
      </c>
      <c r="X3737">
        <f>IF($T3737="",N($X3736),IF(MATCH($T3737,$T$6:$T$10005,0)=ROW()-5,N($X3736)+1,N($X3736)))</f>
        <v>0</v>
      </c>
      <c r="Z3737" t="str">
        <f t="shared" si="589"/>
        <v/>
      </c>
      <c r="AA3737">
        <f>IF($V3737="",N($AA3736),IF(MATCH($V3737,$V$6:$V$10005,0)=ROW()-5,N($AA3736)+1,N($AA3736)))</f>
        <v>0</v>
      </c>
    </row>
    <row r="3738" spans="1:27" ht="21" customHeight="1" x14ac:dyDescent="0.95">
      <c r="A3738" s="56"/>
      <c r="B3738" s="57"/>
      <c r="C3738" s="57"/>
      <c r="D3738" s="57"/>
      <c r="E3738" s="56"/>
      <c r="F3738" s="57"/>
      <c r="G3738" s="57"/>
      <c r="H3738" s="56"/>
      <c r="I3738" s="56"/>
      <c r="J3738" s="58"/>
      <c r="K3738" s="58"/>
      <c r="L3738" s="13" t="str">
        <f t="shared" si="580"/>
        <v/>
      </c>
      <c r="M3738" s="13" t="str">
        <f t="shared" si="581"/>
        <v/>
      </c>
      <c r="Q3738" t="str">
        <f t="shared" si="582"/>
        <v/>
      </c>
      <c r="R3738" t="str">
        <f t="shared" si="583"/>
        <v/>
      </c>
      <c r="S3738" t="str">
        <f t="shared" si="584"/>
        <v/>
      </c>
      <c r="T3738" t="str">
        <f t="shared" si="585"/>
        <v/>
      </c>
      <c r="U3738" t="str">
        <f t="shared" si="586"/>
        <v/>
      </c>
      <c r="V3738" t="str">
        <f t="shared" si="587"/>
        <v/>
      </c>
      <c r="W3738" t="str">
        <f t="shared" si="588"/>
        <v/>
      </c>
      <c r="X3738">
        <f>IF($T3738="",N($X3737),IF(MATCH($T3738,$T$6:$T$10005,0)=ROW()-5,N($X3737)+1,N($X3737)))</f>
        <v>0</v>
      </c>
      <c r="Z3738" t="str">
        <f t="shared" si="589"/>
        <v/>
      </c>
      <c r="AA3738">
        <f>IF($V3738="",N($AA3737),IF(MATCH($V3738,$V$6:$V$10005,0)=ROW()-5,N($AA3737)+1,N($AA3737)))</f>
        <v>0</v>
      </c>
    </row>
    <row r="3739" spans="1:27" ht="21" customHeight="1" x14ac:dyDescent="0.95">
      <c r="A3739" s="56"/>
      <c r="B3739" s="57"/>
      <c r="C3739" s="57"/>
      <c r="D3739" s="57"/>
      <c r="E3739" s="56"/>
      <c r="F3739" s="57"/>
      <c r="G3739" s="57"/>
      <c r="H3739" s="56"/>
      <c r="I3739" s="56"/>
      <c r="J3739" s="58"/>
      <c r="K3739" s="58"/>
      <c r="L3739" s="13" t="str">
        <f t="shared" si="580"/>
        <v/>
      </c>
      <c r="M3739" s="13" t="str">
        <f t="shared" si="581"/>
        <v/>
      </c>
      <c r="Q3739" t="str">
        <f t="shared" si="582"/>
        <v/>
      </c>
      <c r="R3739" t="str">
        <f t="shared" si="583"/>
        <v/>
      </c>
      <c r="S3739" t="str">
        <f t="shared" si="584"/>
        <v/>
      </c>
      <c r="T3739" t="str">
        <f t="shared" si="585"/>
        <v/>
      </c>
      <c r="U3739" t="str">
        <f t="shared" si="586"/>
        <v/>
      </c>
      <c r="V3739" t="str">
        <f t="shared" si="587"/>
        <v/>
      </c>
      <c r="W3739" t="str">
        <f t="shared" si="588"/>
        <v/>
      </c>
      <c r="X3739">
        <f>IF($T3739="",N($X3738),IF(MATCH($T3739,$T$6:$T$10005,0)=ROW()-5,N($X3738)+1,N($X3738)))</f>
        <v>0</v>
      </c>
      <c r="Z3739" t="str">
        <f t="shared" si="589"/>
        <v/>
      </c>
      <c r="AA3739">
        <f>IF($V3739="",N($AA3738),IF(MATCH($V3739,$V$6:$V$10005,0)=ROW()-5,N($AA3738)+1,N($AA3738)))</f>
        <v>0</v>
      </c>
    </row>
    <row r="3740" spans="1:27" ht="21" customHeight="1" x14ac:dyDescent="0.95">
      <c r="A3740" s="56"/>
      <c r="B3740" s="57"/>
      <c r="C3740" s="57"/>
      <c r="D3740" s="57"/>
      <c r="E3740" s="56"/>
      <c r="F3740" s="57"/>
      <c r="G3740" s="57"/>
      <c r="H3740" s="56"/>
      <c r="I3740" s="56"/>
      <c r="J3740" s="58"/>
      <c r="K3740" s="58"/>
      <c r="L3740" s="13" t="str">
        <f t="shared" si="580"/>
        <v/>
      </c>
      <c r="M3740" s="13" t="str">
        <f t="shared" si="581"/>
        <v/>
      </c>
      <c r="Q3740" t="str">
        <f t="shared" si="582"/>
        <v/>
      </c>
      <c r="R3740" t="str">
        <f t="shared" si="583"/>
        <v/>
      </c>
      <c r="S3740" t="str">
        <f t="shared" si="584"/>
        <v/>
      </c>
      <c r="T3740" t="str">
        <f t="shared" si="585"/>
        <v/>
      </c>
      <c r="U3740" t="str">
        <f t="shared" si="586"/>
        <v/>
      </c>
      <c r="V3740" t="str">
        <f t="shared" si="587"/>
        <v/>
      </c>
      <c r="W3740" t="str">
        <f t="shared" si="588"/>
        <v/>
      </c>
      <c r="X3740">
        <f>IF($T3740="",N($X3739),IF(MATCH($T3740,$T$6:$T$10005,0)=ROW()-5,N($X3739)+1,N($X3739)))</f>
        <v>0</v>
      </c>
      <c r="Z3740" t="str">
        <f t="shared" si="589"/>
        <v/>
      </c>
      <c r="AA3740">
        <f>IF($V3740="",N($AA3739),IF(MATCH($V3740,$V$6:$V$10005,0)=ROW()-5,N($AA3739)+1,N($AA3739)))</f>
        <v>0</v>
      </c>
    </row>
    <row r="3741" spans="1:27" ht="21" customHeight="1" x14ac:dyDescent="0.95">
      <c r="A3741" s="56"/>
      <c r="B3741" s="57"/>
      <c r="C3741" s="57"/>
      <c r="D3741" s="57"/>
      <c r="E3741" s="56"/>
      <c r="F3741" s="57"/>
      <c r="G3741" s="57"/>
      <c r="H3741" s="56"/>
      <c r="I3741" s="56"/>
      <c r="J3741" s="58"/>
      <c r="K3741" s="58"/>
      <c r="L3741" s="13" t="str">
        <f t="shared" si="580"/>
        <v/>
      </c>
      <c r="M3741" s="13" t="str">
        <f t="shared" si="581"/>
        <v/>
      </c>
      <c r="Q3741" t="str">
        <f t="shared" si="582"/>
        <v/>
      </c>
      <c r="R3741" t="str">
        <f t="shared" si="583"/>
        <v/>
      </c>
      <c r="S3741" t="str">
        <f t="shared" si="584"/>
        <v/>
      </c>
      <c r="T3741" t="str">
        <f t="shared" si="585"/>
        <v/>
      </c>
      <c r="U3741" t="str">
        <f t="shared" si="586"/>
        <v/>
      </c>
      <c r="V3741" t="str">
        <f t="shared" si="587"/>
        <v/>
      </c>
      <c r="W3741" t="str">
        <f t="shared" si="588"/>
        <v/>
      </c>
      <c r="X3741">
        <f>IF($T3741="",N($X3740),IF(MATCH($T3741,$T$6:$T$10005,0)=ROW()-5,N($X3740)+1,N($X3740)))</f>
        <v>0</v>
      </c>
      <c r="Z3741" t="str">
        <f t="shared" si="589"/>
        <v/>
      </c>
      <c r="AA3741">
        <f>IF($V3741="",N($AA3740),IF(MATCH($V3741,$V$6:$V$10005,0)=ROW()-5,N($AA3740)+1,N($AA3740)))</f>
        <v>0</v>
      </c>
    </row>
    <row r="3742" spans="1:27" ht="21" customHeight="1" x14ac:dyDescent="0.95">
      <c r="A3742" s="56"/>
      <c r="B3742" s="57"/>
      <c r="C3742" s="57"/>
      <c r="D3742" s="57"/>
      <c r="E3742" s="56"/>
      <c r="F3742" s="57"/>
      <c r="G3742" s="57"/>
      <c r="H3742" s="56"/>
      <c r="I3742" s="56"/>
      <c r="J3742" s="58"/>
      <c r="K3742" s="58"/>
      <c r="L3742" s="13" t="str">
        <f t="shared" si="580"/>
        <v/>
      </c>
      <c r="M3742" s="13" t="str">
        <f t="shared" si="581"/>
        <v/>
      </c>
      <c r="Q3742" t="str">
        <f t="shared" si="582"/>
        <v/>
      </c>
      <c r="R3742" t="str">
        <f t="shared" si="583"/>
        <v/>
      </c>
      <c r="S3742" t="str">
        <f t="shared" si="584"/>
        <v/>
      </c>
      <c r="T3742" t="str">
        <f t="shared" si="585"/>
        <v/>
      </c>
      <c r="U3742" t="str">
        <f t="shared" si="586"/>
        <v/>
      </c>
      <c r="V3742" t="str">
        <f t="shared" si="587"/>
        <v/>
      </c>
      <c r="W3742" t="str">
        <f t="shared" si="588"/>
        <v/>
      </c>
      <c r="X3742">
        <f>IF($T3742="",N($X3741),IF(MATCH($T3742,$T$6:$T$10005,0)=ROW()-5,N($X3741)+1,N($X3741)))</f>
        <v>0</v>
      </c>
      <c r="Z3742" t="str">
        <f t="shared" si="589"/>
        <v/>
      </c>
      <c r="AA3742">
        <f>IF($V3742="",N($AA3741),IF(MATCH($V3742,$V$6:$V$10005,0)=ROW()-5,N($AA3741)+1,N($AA3741)))</f>
        <v>0</v>
      </c>
    </row>
    <row r="3743" spans="1:27" ht="21" customHeight="1" x14ac:dyDescent="0.95">
      <c r="A3743" s="56"/>
      <c r="B3743" s="57"/>
      <c r="C3743" s="57"/>
      <c r="D3743" s="57"/>
      <c r="E3743" s="56"/>
      <c r="F3743" s="57"/>
      <c r="G3743" s="57"/>
      <c r="H3743" s="56"/>
      <c r="I3743" s="56"/>
      <c r="J3743" s="58"/>
      <c r="K3743" s="58"/>
      <c r="L3743" s="13" t="str">
        <f t="shared" si="580"/>
        <v/>
      </c>
      <c r="M3743" s="13" t="str">
        <f t="shared" si="581"/>
        <v/>
      </c>
      <c r="Q3743" t="str">
        <f t="shared" si="582"/>
        <v/>
      </c>
      <c r="R3743" t="str">
        <f t="shared" si="583"/>
        <v/>
      </c>
      <c r="S3743" t="str">
        <f t="shared" si="584"/>
        <v/>
      </c>
      <c r="T3743" t="str">
        <f t="shared" si="585"/>
        <v/>
      </c>
      <c r="U3743" t="str">
        <f t="shared" si="586"/>
        <v/>
      </c>
      <c r="V3743" t="str">
        <f t="shared" si="587"/>
        <v/>
      </c>
      <c r="W3743" t="str">
        <f t="shared" si="588"/>
        <v/>
      </c>
      <c r="X3743">
        <f>IF($T3743="",N($X3742),IF(MATCH($T3743,$T$6:$T$10005,0)=ROW()-5,N($X3742)+1,N($X3742)))</f>
        <v>0</v>
      </c>
      <c r="Z3743" t="str">
        <f t="shared" si="589"/>
        <v/>
      </c>
      <c r="AA3743">
        <f>IF($V3743="",N($AA3742),IF(MATCH($V3743,$V$6:$V$10005,0)=ROW()-5,N($AA3742)+1,N($AA3742)))</f>
        <v>0</v>
      </c>
    </row>
    <row r="3744" spans="1:27" ht="21" customHeight="1" x14ac:dyDescent="0.95">
      <c r="A3744" s="56"/>
      <c r="B3744" s="57"/>
      <c r="C3744" s="57"/>
      <c r="D3744" s="57"/>
      <c r="E3744" s="56"/>
      <c r="F3744" s="57"/>
      <c r="G3744" s="57"/>
      <c r="H3744" s="56"/>
      <c r="I3744" s="56"/>
      <c r="J3744" s="58"/>
      <c r="K3744" s="58"/>
      <c r="L3744" s="13" t="str">
        <f t="shared" si="580"/>
        <v/>
      </c>
      <c r="M3744" s="13" t="str">
        <f t="shared" si="581"/>
        <v/>
      </c>
      <c r="Q3744" t="str">
        <f t="shared" si="582"/>
        <v/>
      </c>
      <c r="R3744" t="str">
        <f t="shared" si="583"/>
        <v/>
      </c>
      <c r="S3744" t="str">
        <f t="shared" si="584"/>
        <v/>
      </c>
      <c r="T3744" t="str">
        <f t="shared" si="585"/>
        <v/>
      </c>
      <c r="U3744" t="str">
        <f t="shared" si="586"/>
        <v/>
      </c>
      <c r="V3744" t="str">
        <f t="shared" si="587"/>
        <v/>
      </c>
      <c r="W3744" t="str">
        <f t="shared" si="588"/>
        <v/>
      </c>
      <c r="X3744">
        <f>IF($T3744="",N($X3743),IF(MATCH($T3744,$T$6:$T$10005,0)=ROW()-5,N($X3743)+1,N($X3743)))</f>
        <v>0</v>
      </c>
      <c r="Z3744" t="str">
        <f t="shared" si="589"/>
        <v/>
      </c>
      <c r="AA3744">
        <f>IF($V3744="",N($AA3743),IF(MATCH($V3744,$V$6:$V$10005,0)=ROW()-5,N($AA3743)+1,N($AA3743)))</f>
        <v>0</v>
      </c>
    </row>
    <row r="3745" spans="1:27" ht="21" customHeight="1" x14ac:dyDescent="0.95">
      <c r="A3745" s="56"/>
      <c r="B3745" s="57"/>
      <c r="C3745" s="57"/>
      <c r="D3745" s="57"/>
      <c r="E3745" s="56"/>
      <c r="F3745" s="57"/>
      <c r="G3745" s="57"/>
      <c r="H3745" s="56"/>
      <c r="I3745" s="56"/>
      <c r="J3745" s="58"/>
      <c r="K3745" s="58"/>
      <c r="L3745" s="13" t="str">
        <f t="shared" si="580"/>
        <v/>
      </c>
      <c r="M3745" s="13" t="str">
        <f t="shared" si="581"/>
        <v/>
      </c>
      <c r="Q3745" t="str">
        <f t="shared" si="582"/>
        <v/>
      </c>
      <c r="R3745" t="str">
        <f t="shared" si="583"/>
        <v/>
      </c>
      <c r="S3745" t="str">
        <f t="shared" si="584"/>
        <v/>
      </c>
      <c r="T3745" t="str">
        <f t="shared" si="585"/>
        <v/>
      </c>
      <c r="U3745" t="str">
        <f t="shared" si="586"/>
        <v/>
      </c>
      <c r="V3745" t="str">
        <f t="shared" si="587"/>
        <v/>
      </c>
      <c r="W3745" t="str">
        <f t="shared" si="588"/>
        <v/>
      </c>
      <c r="X3745">
        <f>IF($T3745="",N($X3744),IF(MATCH($T3745,$T$6:$T$10005,0)=ROW()-5,N($X3744)+1,N($X3744)))</f>
        <v>0</v>
      </c>
      <c r="Z3745" t="str">
        <f t="shared" si="589"/>
        <v/>
      </c>
      <c r="AA3745">
        <f>IF($V3745="",N($AA3744),IF(MATCH($V3745,$V$6:$V$10005,0)=ROW()-5,N($AA3744)+1,N($AA3744)))</f>
        <v>0</v>
      </c>
    </row>
    <row r="3746" spans="1:27" ht="21" customHeight="1" x14ac:dyDescent="0.95">
      <c r="A3746" s="56"/>
      <c r="B3746" s="57"/>
      <c r="C3746" s="57"/>
      <c r="D3746" s="57"/>
      <c r="E3746" s="56"/>
      <c r="F3746" s="57"/>
      <c r="G3746" s="57"/>
      <c r="H3746" s="56"/>
      <c r="I3746" s="56"/>
      <c r="J3746" s="58"/>
      <c r="K3746" s="58"/>
      <c r="L3746" s="13" t="str">
        <f t="shared" si="580"/>
        <v/>
      </c>
      <c r="M3746" s="13" t="str">
        <f t="shared" si="581"/>
        <v/>
      </c>
      <c r="Q3746" t="str">
        <f t="shared" si="582"/>
        <v/>
      </c>
      <c r="R3746" t="str">
        <f t="shared" si="583"/>
        <v/>
      </c>
      <c r="S3746" t="str">
        <f t="shared" si="584"/>
        <v/>
      </c>
      <c r="T3746" t="str">
        <f t="shared" si="585"/>
        <v/>
      </c>
      <c r="U3746" t="str">
        <f t="shared" si="586"/>
        <v/>
      </c>
      <c r="V3746" t="str">
        <f t="shared" si="587"/>
        <v/>
      </c>
      <c r="W3746" t="str">
        <f t="shared" si="588"/>
        <v/>
      </c>
      <c r="X3746">
        <f>IF($T3746="",N($X3745),IF(MATCH($T3746,$T$6:$T$10005,0)=ROW()-5,N($X3745)+1,N($X3745)))</f>
        <v>0</v>
      </c>
      <c r="Z3746" t="str">
        <f t="shared" si="589"/>
        <v/>
      </c>
      <c r="AA3746">
        <f>IF($V3746="",N($AA3745),IF(MATCH($V3746,$V$6:$V$10005,0)=ROW()-5,N($AA3745)+1,N($AA3745)))</f>
        <v>0</v>
      </c>
    </row>
    <row r="3747" spans="1:27" ht="21" customHeight="1" x14ac:dyDescent="0.95">
      <c r="A3747" s="56"/>
      <c r="B3747" s="57"/>
      <c r="C3747" s="57"/>
      <c r="D3747" s="57"/>
      <c r="E3747" s="56"/>
      <c r="F3747" s="57"/>
      <c r="G3747" s="57"/>
      <c r="H3747" s="56"/>
      <c r="I3747" s="56"/>
      <c r="J3747" s="58"/>
      <c r="K3747" s="58"/>
      <c r="L3747" s="13" t="str">
        <f t="shared" si="580"/>
        <v/>
      </c>
      <c r="M3747" s="13" t="str">
        <f t="shared" si="581"/>
        <v/>
      </c>
      <c r="Q3747" t="str">
        <f t="shared" si="582"/>
        <v/>
      </c>
      <c r="R3747" t="str">
        <f t="shared" si="583"/>
        <v/>
      </c>
      <c r="S3747" t="str">
        <f t="shared" si="584"/>
        <v/>
      </c>
      <c r="T3747" t="str">
        <f t="shared" si="585"/>
        <v/>
      </c>
      <c r="U3747" t="str">
        <f t="shared" si="586"/>
        <v/>
      </c>
      <c r="V3747" t="str">
        <f t="shared" si="587"/>
        <v/>
      </c>
      <c r="W3747" t="str">
        <f t="shared" si="588"/>
        <v/>
      </c>
      <c r="X3747">
        <f>IF($T3747="",N($X3746),IF(MATCH($T3747,$T$6:$T$10005,0)=ROW()-5,N($X3746)+1,N($X3746)))</f>
        <v>0</v>
      </c>
      <c r="Z3747" t="str">
        <f t="shared" si="589"/>
        <v/>
      </c>
      <c r="AA3747">
        <f>IF($V3747="",N($AA3746),IF(MATCH($V3747,$V$6:$V$10005,0)=ROW()-5,N($AA3746)+1,N($AA3746)))</f>
        <v>0</v>
      </c>
    </row>
    <row r="3748" spans="1:27" ht="21" customHeight="1" x14ac:dyDescent="0.95">
      <c r="A3748" s="56"/>
      <c r="B3748" s="57"/>
      <c r="C3748" s="57"/>
      <c r="D3748" s="57"/>
      <c r="E3748" s="56"/>
      <c r="F3748" s="57"/>
      <c r="G3748" s="57"/>
      <c r="H3748" s="56"/>
      <c r="I3748" s="56"/>
      <c r="J3748" s="58"/>
      <c r="K3748" s="58"/>
      <c r="L3748" s="13" t="str">
        <f t="shared" si="580"/>
        <v/>
      </c>
      <c r="M3748" s="13" t="str">
        <f t="shared" si="581"/>
        <v/>
      </c>
      <c r="Q3748" t="str">
        <f t="shared" si="582"/>
        <v/>
      </c>
      <c r="R3748" t="str">
        <f t="shared" si="583"/>
        <v/>
      </c>
      <c r="S3748" t="str">
        <f t="shared" si="584"/>
        <v/>
      </c>
      <c r="T3748" t="str">
        <f t="shared" si="585"/>
        <v/>
      </c>
      <c r="U3748" t="str">
        <f t="shared" si="586"/>
        <v/>
      </c>
      <c r="V3748" t="str">
        <f t="shared" si="587"/>
        <v/>
      </c>
      <c r="W3748" t="str">
        <f t="shared" si="588"/>
        <v/>
      </c>
      <c r="X3748">
        <f>IF($T3748="",N($X3747),IF(MATCH($T3748,$T$6:$T$10005,0)=ROW()-5,N($X3747)+1,N($X3747)))</f>
        <v>0</v>
      </c>
      <c r="Z3748" t="str">
        <f t="shared" si="589"/>
        <v/>
      </c>
      <c r="AA3748">
        <f>IF($V3748="",N($AA3747),IF(MATCH($V3748,$V$6:$V$10005,0)=ROW()-5,N($AA3747)+1,N($AA3747)))</f>
        <v>0</v>
      </c>
    </row>
    <row r="3749" spans="1:27" ht="21" customHeight="1" x14ac:dyDescent="0.95">
      <c r="A3749" s="56"/>
      <c r="B3749" s="57"/>
      <c r="C3749" s="57"/>
      <c r="D3749" s="57"/>
      <c r="E3749" s="56"/>
      <c r="F3749" s="57"/>
      <c r="G3749" s="57"/>
      <c r="H3749" s="56"/>
      <c r="I3749" s="56"/>
      <c r="J3749" s="58"/>
      <c r="K3749" s="58"/>
      <c r="L3749" s="13" t="str">
        <f t="shared" si="580"/>
        <v/>
      </c>
      <c r="M3749" s="13" t="str">
        <f t="shared" si="581"/>
        <v/>
      </c>
      <c r="Q3749" t="str">
        <f t="shared" si="582"/>
        <v/>
      </c>
      <c r="R3749" t="str">
        <f t="shared" si="583"/>
        <v/>
      </c>
      <c r="S3749" t="str">
        <f t="shared" si="584"/>
        <v/>
      </c>
      <c r="T3749" t="str">
        <f t="shared" si="585"/>
        <v/>
      </c>
      <c r="U3749" t="str">
        <f t="shared" si="586"/>
        <v/>
      </c>
      <c r="V3749" t="str">
        <f t="shared" si="587"/>
        <v/>
      </c>
      <c r="W3749" t="str">
        <f t="shared" si="588"/>
        <v/>
      </c>
      <c r="X3749">
        <f>IF($T3749="",N($X3748),IF(MATCH($T3749,$T$6:$T$10005,0)=ROW()-5,N($X3748)+1,N($X3748)))</f>
        <v>0</v>
      </c>
      <c r="Z3749" t="str">
        <f t="shared" si="589"/>
        <v/>
      </c>
      <c r="AA3749">
        <f>IF($V3749="",N($AA3748),IF(MATCH($V3749,$V$6:$V$10005,0)=ROW()-5,N($AA3748)+1,N($AA3748)))</f>
        <v>0</v>
      </c>
    </row>
    <row r="3750" spans="1:27" ht="21" customHeight="1" x14ac:dyDescent="0.95">
      <c r="A3750" s="56"/>
      <c r="B3750" s="57"/>
      <c r="C3750" s="57"/>
      <c r="D3750" s="57"/>
      <c r="E3750" s="56"/>
      <c r="F3750" s="57"/>
      <c r="G3750" s="57"/>
      <c r="H3750" s="56"/>
      <c r="I3750" s="56"/>
      <c r="J3750" s="58"/>
      <c r="K3750" s="58"/>
      <c r="L3750" s="13" t="str">
        <f t="shared" si="580"/>
        <v/>
      </c>
      <c r="M3750" s="13" t="str">
        <f t="shared" si="581"/>
        <v/>
      </c>
      <c r="Q3750" t="str">
        <f t="shared" si="582"/>
        <v/>
      </c>
      <c r="R3750" t="str">
        <f t="shared" si="583"/>
        <v/>
      </c>
      <c r="S3750" t="str">
        <f t="shared" si="584"/>
        <v/>
      </c>
      <c r="T3750" t="str">
        <f t="shared" si="585"/>
        <v/>
      </c>
      <c r="U3750" t="str">
        <f t="shared" si="586"/>
        <v/>
      </c>
      <c r="V3750" t="str">
        <f t="shared" si="587"/>
        <v/>
      </c>
      <c r="W3750" t="str">
        <f t="shared" si="588"/>
        <v/>
      </c>
      <c r="X3750">
        <f>IF($T3750="",N($X3749),IF(MATCH($T3750,$T$6:$T$10005,0)=ROW()-5,N($X3749)+1,N($X3749)))</f>
        <v>0</v>
      </c>
      <c r="Z3750" t="str">
        <f t="shared" si="589"/>
        <v/>
      </c>
      <c r="AA3750">
        <f>IF($V3750="",N($AA3749),IF(MATCH($V3750,$V$6:$V$10005,0)=ROW()-5,N($AA3749)+1,N($AA3749)))</f>
        <v>0</v>
      </c>
    </row>
    <row r="3751" spans="1:27" ht="21" customHeight="1" x14ac:dyDescent="0.95">
      <c r="A3751" s="56"/>
      <c r="B3751" s="57"/>
      <c r="C3751" s="57"/>
      <c r="D3751" s="57"/>
      <c r="E3751" s="56"/>
      <c r="F3751" s="57"/>
      <c r="G3751" s="57"/>
      <c r="H3751" s="56"/>
      <c r="I3751" s="56"/>
      <c r="J3751" s="58"/>
      <c r="K3751" s="58"/>
      <c r="L3751" s="13" t="str">
        <f t="shared" si="580"/>
        <v/>
      </c>
      <c r="M3751" s="13" t="str">
        <f t="shared" si="581"/>
        <v/>
      </c>
      <c r="Q3751" t="str">
        <f t="shared" si="582"/>
        <v/>
      </c>
      <c r="R3751" t="str">
        <f t="shared" si="583"/>
        <v/>
      </c>
      <c r="S3751" t="str">
        <f t="shared" si="584"/>
        <v/>
      </c>
      <c r="T3751" t="str">
        <f t="shared" si="585"/>
        <v/>
      </c>
      <c r="U3751" t="str">
        <f t="shared" si="586"/>
        <v/>
      </c>
      <c r="V3751" t="str">
        <f t="shared" si="587"/>
        <v/>
      </c>
      <c r="W3751" t="str">
        <f t="shared" si="588"/>
        <v/>
      </c>
      <c r="X3751">
        <f>IF($T3751="",N($X3750),IF(MATCH($T3751,$T$6:$T$10005,0)=ROW()-5,N($X3750)+1,N($X3750)))</f>
        <v>0</v>
      </c>
      <c r="Z3751" t="str">
        <f t="shared" si="589"/>
        <v/>
      </c>
      <c r="AA3751">
        <f>IF($V3751="",N($AA3750),IF(MATCH($V3751,$V$6:$V$10005,0)=ROW()-5,N($AA3750)+1,N($AA3750)))</f>
        <v>0</v>
      </c>
    </row>
    <row r="3752" spans="1:27" ht="21" customHeight="1" x14ac:dyDescent="0.95">
      <c r="A3752" s="56"/>
      <c r="B3752" s="57"/>
      <c r="C3752" s="57"/>
      <c r="D3752" s="57"/>
      <c r="E3752" s="56"/>
      <c r="F3752" s="57"/>
      <c r="G3752" s="57"/>
      <c r="H3752" s="56"/>
      <c r="I3752" s="56"/>
      <c r="J3752" s="58"/>
      <c r="K3752" s="58"/>
      <c r="L3752" s="13" t="str">
        <f t="shared" si="580"/>
        <v/>
      </c>
      <c r="M3752" s="13" t="str">
        <f t="shared" si="581"/>
        <v/>
      </c>
      <c r="Q3752" t="str">
        <f t="shared" si="582"/>
        <v/>
      </c>
      <c r="R3752" t="str">
        <f t="shared" si="583"/>
        <v/>
      </c>
      <c r="S3752" t="str">
        <f t="shared" si="584"/>
        <v/>
      </c>
      <c r="T3752" t="str">
        <f t="shared" si="585"/>
        <v/>
      </c>
      <c r="U3752" t="str">
        <f t="shared" si="586"/>
        <v/>
      </c>
      <c r="V3752" t="str">
        <f t="shared" si="587"/>
        <v/>
      </c>
      <c r="W3752" t="str">
        <f t="shared" si="588"/>
        <v/>
      </c>
      <c r="X3752">
        <f>IF($T3752="",N($X3751),IF(MATCH($T3752,$T$6:$T$10005,0)=ROW()-5,N($X3751)+1,N($X3751)))</f>
        <v>0</v>
      </c>
      <c r="Z3752" t="str">
        <f t="shared" si="589"/>
        <v/>
      </c>
      <c r="AA3752">
        <f>IF($V3752="",N($AA3751),IF(MATCH($V3752,$V$6:$V$10005,0)=ROW()-5,N($AA3751)+1,N($AA3751)))</f>
        <v>0</v>
      </c>
    </row>
    <row r="3753" spans="1:27" ht="21" customHeight="1" x14ac:dyDescent="0.95">
      <c r="A3753" s="56"/>
      <c r="B3753" s="57"/>
      <c r="C3753" s="57"/>
      <c r="D3753" s="57"/>
      <c r="E3753" s="56"/>
      <c r="F3753" s="57"/>
      <c r="G3753" s="57"/>
      <c r="H3753" s="56"/>
      <c r="I3753" s="56"/>
      <c r="J3753" s="58"/>
      <c r="K3753" s="58"/>
      <c r="L3753" s="13" t="str">
        <f t="shared" si="580"/>
        <v/>
      </c>
      <c r="M3753" s="13" t="str">
        <f t="shared" si="581"/>
        <v/>
      </c>
      <c r="Q3753" t="str">
        <f t="shared" si="582"/>
        <v/>
      </c>
      <c r="R3753" t="str">
        <f t="shared" si="583"/>
        <v/>
      </c>
      <c r="S3753" t="str">
        <f t="shared" si="584"/>
        <v/>
      </c>
      <c r="T3753" t="str">
        <f t="shared" si="585"/>
        <v/>
      </c>
      <c r="U3753" t="str">
        <f t="shared" si="586"/>
        <v/>
      </c>
      <c r="V3753" t="str">
        <f t="shared" si="587"/>
        <v/>
      </c>
      <c r="W3753" t="str">
        <f t="shared" si="588"/>
        <v/>
      </c>
      <c r="X3753">
        <f>IF($T3753="",N($X3752),IF(MATCH($T3753,$T$6:$T$10005,0)=ROW()-5,N($X3752)+1,N($X3752)))</f>
        <v>0</v>
      </c>
      <c r="Z3753" t="str">
        <f t="shared" si="589"/>
        <v/>
      </c>
      <c r="AA3753">
        <f>IF($V3753="",N($AA3752),IF(MATCH($V3753,$V$6:$V$10005,0)=ROW()-5,N($AA3752)+1,N($AA3752)))</f>
        <v>0</v>
      </c>
    </row>
    <row r="3754" spans="1:27" ht="21" customHeight="1" x14ac:dyDescent="0.95">
      <c r="A3754" s="56"/>
      <c r="B3754" s="57"/>
      <c r="C3754" s="57"/>
      <c r="D3754" s="57"/>
      <c r="E3754" s="56"/>
      <c r="F3754" s="57"/>
      <c r="G3754" s="57"/>
      <c r="H3754" s="56"/>
      <c r="I3754" s="56"/>
      <c r="J3754" s="58"/>
      <c r="K3754" s="58"/>
      <c r="L3754" s="13" t="str">
        <f t="shared" si="580"/>
        <v/>
      </c>
      <c r="M3754" s="13" t="str">
        <f t="shared" si="581"/>
        <v/>
      </c>
      <c r="Q3754" t="str">
        <f t="shared" si="582"/>
        <v/>
      </c>
      <c r="R3754" t="str">
        <f t="shared" si="583"/>
        <v/>
      </c>
      <c r="S3754" t="str">
        <f t="shared" si="584"/>
        <v/>
      </c>
      <c r="T3754" t="str">
        <f t="shared" si="585"/>
        <v/>
      </c>
      <c r="U3754" t="str">
        <f t="shared" si="586"/>
        <v/>
      </c>
      <c r="V3754" t="str">
        <f t="shared" si="587"/>
        <v/>
      </c>
      <c r="W3754" t="str">
        <f t="shared" si="588"/>
        <v/>
      </c>
      <c r="X3754">
        <f>IF($T3754="",N($X3753),IF(MATCH($T3754,$T$6:$T$10005,0)=ROW()-5,N($X3753)+1,N($X3753)))</f>
        <v>0</v>
      </c>
      <c r="Z3754" t="str">
        <f t="shared" si="589"/>
        <v/>
      </c>
      <c r="AA3754">
        <f>IF($V3754="",N($AA3753),IF(MATCH($V3754,$V$6:$V$10005,0)=ROW()-5,N($AA3753)+1,N($AA3753)))</f>
        <v>0</v>
      </c>
    </row>
    <row r="3755" spans="1:27" ht="21" customHeight="1" x14ac:dyDescent="0.95">
      <c r="A3755" s="56"/>
      <c r="B3755" s="57"/>
      <c r="C3755" s="57"/>
      <c r="D3755" s="57"/>
      <c r="E3755" s="56"/>
      <c r="F3755" s="57"/>
      <c r="G3755" s="57"/>
      <c r="H3755" s="56"/>
      <c r="I3755" s="56"/>
      <c r="J3755" s="58"/>
      <c r="K3755" s="58"/>
      <c r="L3755" s="13" t="str">
        <f t="shared" si="580"/>
        <v/>
      </c>
      <c r="M3755" s="13" t="str">
        <f t="shared" si="581"/>
        <v/>
      </c>
      <c r="Q3755" t="str">
        <f t="shared" si="582"/>
        <v/>
      </c>
      <c r="R3755" t="str">
        <f t="shared" si="583"/>
        <v/>
      </c>
      <c r="S3755" t="str">
        <f t="shared" si="584"/>
        <v/>
      </c>
      <c r="T3755" t="str">
        <f t="shared" si="585"/>
        <v/>
      </c>
      <c r="U3755" t="str">
        <f t="shared" si="586"/>
        <v/>
      </c>
      <c r="V3755" t="str">
        <f t="shared" si="587"/>
        <v/>
      </c>
      <c r="W3755" t="str">
        <f t="shared" si="588"/>
        <v/>
      </c>
      <c r="X3755">
        <f>IF($T3755="",N($X3754),IF(MATCH($T3755,$T$6:$T$10005,0)=ROW()-5,N($X3754)+1,N($X3754)))</f>
        <v>0</v>
      </c>
      <c r="Z3755" t="str">
        <f t="shared" si="589"/>
        <v/>
      </c>
      <c r="AA3755">
        <f>IF($V3755="",N($AA3754),IF(MATCH($V3755,$V$6:$V$10005,0)=ROW()-5,N($AA3754)+1,N($AA3754)))</f>
        <v>0</v>
      </c>
    </row>
    <row r="3756" spans="1:27" ht="21" customHeight="1" x14ac:dyDescent="0.95">
      <c r="A3756" s="56"/>
      <c r="B3756" s="57"/>
      <c r="C3756" s="57"/>
      <c r="D3756" s="57"/>
      <c r="E3756" s="56"/>
      <c r="F3756" s="57"/>
      <c r="G3756" s="57"/>
      <c r="H3756" s="56"/>
      <c r="I3756" s="56"/>
      <c r="J3756" s="58"/>
      <c r="K3756" s="58"/>
      <c r="L3756" s="13" t="str">
        <f t="shared" si="580"/>
        <v/>
      </c>
      <c r="M3756" s="13" t="str">
        <f t="shared" si="581"/>
        <v/>
      </c>
      <c r="Q3756" t="str">
        <f t="shared" si="582"/>
        <v/>
      </c>
      <c r="R3756" t="str">
        <f t="shared" si="583"/>
        <v/>
      </c>
      <c r="S3756" t="str">
        <f t="shared" si="584"/>
        <v/>
      </c>
      <c r="T3756" t="str">
        <f t="shared" si="585"/>
        <v/>
      </c>
      <c r="U3756" t="str">
        <f t="shared" si="586"/>
        <v/>
      </c>
      <c r="V3756" t="str">
        <f t="shared" si="587"/>
        <v/>
      </c>
      <c r="W3756" t="str">
        <f t="shared" si="588"/>
        <v/>
      </c>
      <c r="X3756">
        <f>IF($T3756="",N($X3755),IF(MATCH($T3756,$T$6:$T$10005,0)=ROW()-5,N($X3755)+1,N($X3755)))</f>
        <v>0</v>
      </c>
      <c r="Z3756" t="str">
        <f t="shared" si="589"/>
        <v/>
      </c>
      <c r="AA3756">
        <f>IF($V3756="",N($AA3755),IF(MATCH($V3756,$V$6:$V$10005,0)=ROW()-5,N($AA3755)+1,N($AA3755)))</f>
        <v>0</v>
      </c>
    </row>
    <row r="3757" spans="1:27" ht="21" customHeight="1" x14ac:dyDescent="0.95">
      <c r="A3757" s="56"/>
      <c r="B3757" s="57"/>
      <c r="C3757" s="57"/>
      <c r="D3757" s="57"/>
      <c r="E3757" s="56"/>
      <c r="F3757" s="57"/>
      <c r="G3757" s="57"/>
      <c r="H3757" s="56"/>
      <c r="I3757" s="56"/>
      <c r="J3757" s="58"/>
      <c r="K3757" s="58"/>
      <c r="L3757" s="13" t="str">
        <f t="shared" si="580"/>
        <v/>
      </c>
      <c r="M3757" s="13" t="str">
        <f t="shared" si="581"/>
        <v/>
      </c>
      <c r="Q3757" t="str">
        <f t="shared" si="582"/>
        <v/>
      </c>
      <c r="R3757" t="str">
        <f t="shared" si="583"/>
        <v/>
      </c>
      <c r="S3757" t="str">
        <f t="shared" si="584"/>
        <v/>
      </c>
      <c r="T3757" t="str">
        <f t="shared" si="585"/>
        <v/>
      </c>
      <c r="U3757" t="str">
        <f t="shared" si="586"/>
        <v/>
      </c>
      <c r="V3757" t="str">
        <f t="shared" si="587"/>
        <v/>
      </c>
      <c r="W3757" t="str">
        <f t="shared" si="588"/>
        <v/>
      </c>
      <c r="X3757">
        <f>IF($T3757="",N($X3756),IF(MATCH($T3757,$T$6:$T$10005,0)=ROW()-5,N($X3756)+1,N($X3756)))</f>
        <v>0</v>
      </c>
      <c r="Z3757" t="str">
        <f t="shared" si="589"/>
        <v/>
      </c>
      <c r="AA3757">
        <f>IF($V3757="",N($AA3756),IF(MATCH($V3757,$V$6:$V$10005,0)=ROW()-5,N($AA3756)+1,N($AA3756)))</f>
        <v>0</v>
      </c>
    </row>
    <row r="3758" spans="1:27" ht="21" customHeight="1" x14ac:dyDescent="0.95">
      <c r="A3758" s="56"/>
      <c r="B3758" s="57"/>
      <c r="C3758" s="57"/>
      <c r="D3758" s="57"/>
      <c r="E3758" s="56"/>
      <c r="F3758" s="57"/>
      <c r="G3758" s="57"/>
      <c r="H3758" s="56"/>
      <c r="I3758" s="56"/>
      <c r="J3758" s="58"/>
      <c r="K3758" s="58"/>
      <c r="L3758" s="13" t="str">
        <f t="shared" si="580"/>
        <v/>
      </c>
      <c r="M3758" s="13" t="str">
        <f t="shared" si="581"/>
        <v/>
      </c>
      <c r="Q3758" t="str">
        <f t="shared" si="582"/>
        <v/>
      </c>
      <c r="R3758" t="str">
        <f t="shared" si="583"/>
        <v/>
      </c>
      <c r="S3758" t="str">
        <f t="shared" si="584"/>
        <v/>
      </c>
      <c r="T3758" t="str">
        <f t="shared" si="585"/>
        <v/>
      </c>
      <c r="U3758" t="str">
        <f t="shared" si="586"/>
        <v/>
      </c>
      <c r="V3758" t="str">
        <f t="shared" si="587"/>
        <v/>
      </c>
      <c r="W3758" t="str">
        <f t="shared" si="588"/>
        <v/>
      </c>
      <c r="X3758">
        <f>IF($T3758="",N($X3757),IF(MATCH($T3758,$T$6:$T$10005,0)=ROW()-5,N($X3757)+1,N($X3757)))</f>
        <v>0</v>
      </c>
      <c r="Z3758" t="str">
        <f t="shared" si="589"/>
        <v/>
      </c>
      <c r="AA3758">
        <f>IF($V3758="",N($AA3757),IF(MATCH($V3758,$V$6:$V$10005,0)=ROW()-5,N($AA3757)+1,N($AA3757)))</f>
        <v>0</v>
      </c>
    </row>
    <row r="3759" spans="1:27" ht="21" customHeight="1" x14ac:dyDescent="0.95">
      <c r="A3759" s="56"/>
      <c r="B3759" s="57"/>
      <c r="C3759" s="57"/>
      <c r="D3759" s="57"/>
      <c r="E3759" s="56"/>
      <c r="F3759" s="57"/>
      <c r="G3759" s="57"/>
      <c r="H3759" s="56"/>
      <c r="I3759" s="56"/>
      <c r="J3759" s="58"/>
      <c r="K3759" s="58"/>
      <c r="L3759" s="13" t="str">
        <f t="shared" si="580"/>
        <v/>
      </c>
      <c r="M3759" s="13" t="str">
        <f t="shared" si="581"/>
        <v/>
      </c>
      <c r="Q3759" t="str">
        <f t="shared" si="582"/>
        <v/>
      </c>
      <c r="R3759" t="str">
        <f t="shared" si="583"/>
        <v/>
      </c>
      <c r="S3759" t="str">
        <f t="shared" si="584"/>
        <v/>
      </c>
      <c r="T3759" t="str">
        <f t="shared" si="585"/>
        <v/>
      </c>
      <c r="U3759" t="str">
        <f t="shared" si="586"/>
        <v/>
      </c>
      <c r="V3759" t="str">
        <f t="shared" si="587"/>
        <v/>
      </c>
      <c r="W3759" t="str">
        <f t="shared" si="588"/>
        <v/>
      </c>
      <c r="X3759">
        <f>IF($T3759="",N($X3758),IF(MATCH($T3759,$T$6:$T$10005,0)=ROW()-5,N($X3758)+1,N($X3758)))</f>
        <v>0</v>
      </c>
      <c r="Z3759" t="str">
        <f t="shared" si="589"/>
        <v/>
      </c>
      <c r="AA3759">
        <f>IF($V3759="",N($AA3758),IF(MATCH($V3759,$V$6:$V$10005,0)=ROW()-5,N($AA3758)+1,N($AA3758)))</f>
        <v>0</v>
      </c>
    </row>
    <row r="3760" spans="1:27" ht="21" customHeight="1" x14ac:dyDescent="0.95">
      <c r="A3760" s="56"/>
      <c r="B3760" s="57"/>
      <c r="C3760" s="57"/>
      <c r="D3760" s="57"/>
      <c r="E3760" s="56"/>
      <c r="F3760" s="57"/>
      <c r="G3760" s="57"/>
      <c r="H3760" s="56"/>
      <c r="I3760" s="56"/>
      <c r="J3760" s="58"/>
      <c r="K3760" s="58"/>
      <c r="L3760" s="13" t="str">
        <f t="shared" si="580"/>
        <v/>
      </c>
      <c r="M3760" s="13" t="str">
        <f t="shared" si="581"/>
        <v/>
      </c>
      <c r="Q3760" t="str">
        <f t="shared" si="582"/>
        <v/>
      </c>
      <c r="R3760" t="str">
        <f t="shared" si="583"/>
        <v/>
      </c>
      <c r="S3760" t="str">
        <f t="shared" si="584"/>
        <v/>
      </c>
      <c r="T3760" t="str">
        <f t="shared" si="585"/>
        <v/>
      </c>
      <c r="U3760" t="str">
        <f t="shared" si="586"/>
        <v/>
      </c>
      <c r="V3760" t="str">
        <f t="shared" si="587"/>
        <v/>
      </c>
      <c r="W3760" t="str">
        <f t="shared" si="588"/>
        <v/>
      </c>
      <c r="X3760">
        <f>IF($T3760="",N($X3759),IF(MATCH($T3760,$T$6:$T$10005,0)=ROW()-5,N($X3759)+1,N($X3759)))</f>
        <v>0</v>
      </c>
      <c r="Z3760" t="str">
        <f t="shared" si="589"/>
        <v/>
      </c>
      <c r="AA3760">
        <f>IF($V3760="",N($AA3759),IF(MATCH($V3760,$V$6:$V$10005,0)=ROW()-5,N($AA3759)+1,N($AA3759)))</f>
        <v>0</v>
      </c>
    </row>
    <row r="3761" spans="1:27" ht="21" customHeight="1" x14ac:dyDescent="0.95">
      <c r="A3761" s="56"/>
      <c r="B3761" s="57"/>
      <c r="C3761" s="57"/>
      <c r="D3761" s="57"/>
      <c r="E3761" s="56"/>
      <c r="F3761" s="57"/>
      <c r="G3761" s="57"/>
      <c r="H3761" s="56"/>
      <c r="I3761" s="56"/>
      <c r="J3761" s="58"/>
      <c r="K3761" s="58"/>
      <c r="L3761" s="13" t="str">
        <f t="shared" si="580"/>
        <v/>
      </c>
      <c r="M3761" s="13" t="str">
        <f t="shared" si="581"/>
        <v/>
      </c>
      <c r="Q3761" t="str">
        <f t="shared" si="582"/>
        <v/>
      </c>
      <c r="R3761" t="str">
        <f t="shared" si="583"/>
        <v/>
      </c>
      <c r="S3761" t="str">
        <f t="shared" si="584"/>
        <v/>
      </c>
      <c r="T3761" t="str">
        <f t="shared" si="585"/>
        <v/>
      </c>
      <c r="U3761" t="str">
        <f t="shared" si="586"/>
        <v/>
      </c>
      <c r="V3761" t="str">
        <f t="shared" si="587"/>
        <v/>
      </c>
      <c r="W3761" t="str">
        <f t="shared" si="588"/>
        <v/>
      </c>
      <c r="X3761">
        <f>IF($T3761="",N($X3760),IF(MATCH($T3761,$T$6:$T$10005,0)=ROW()-5,N($X3760)+1,N($X3760)))</f>
        <v>0</v>
      </c>
      <c r="Z3761" t="str">
        <f t="shared" si="589"/>
        <v/>
      </c>
      <c r="AA3761">
        <f>IF($V3761="",N($AA3760),IF(MATCH($V3761,$V$6:$V$10005,0)=ROW()-5,N($AA3760)+1,N($AA3760)))</f>
        <v>0</v>
      </c>
    </row>
    <row r="3762" spans="1:27" ht="21" customHeight="1" x14ac:dyDescent="0.95">
      <c r="A3762" s="56"/>
      <c r="B3762" s="57"/>
      <c r="C3762" s="57"/>
      <c r="D3762" s="57"/>
      <c r="E3762" s="56"/>
      <c r="F3762" s="57"/>
      <c r="G3762" s="57"/>
      <c r="H3762" s="56"/>
      <c r="I3762" s="56"/>
      <c r="J3762" s="58"/>
      <c r="K3762" s="58"/>
      <c r="L3762" s="13" t="str">
        <f t="shared" si="580"/>
        <v/>
      </c>
      <c r="M3762" s="13" t="str">
        <f t="shared" si="581"/>
        <v/>
      </c>
      <c r="Q3762" t="str">
        <f t="shared" si="582"/>
        <v/>
      </c>
      <c r="R3762" t="str">
        <f t="shared" si="583"/>
        <v/>
      </c>
      <c r="S3762" t="str">
        <f t="shared" si="584"/>
        <v/>
      </c>
      <c r="T3762" t="str">
        <f t="shared" si="585"/>
        <v/>
      </c>
      <c r="U3762" t="str">
        <f t="shared" si="586"/>
        <v/>
      </c>
      <c r="V3762" t="str">
        <f t="shared" si="587"/>
        <v/>
      </c>
      <c r="W3762" t="str">
        <f t="shared" si="588"/>
        <v/>
      </c>
      <c r="X3762">
        <f>IF($T3762="",N($X3761),IF(MATCH($T3762,$T$6:$T$10005,0)=ROW()-5,N($X3761)+1,N($X3761)))</f>
        <v>0</v>
      </c>
      <c r="Z3762" t="str">
        <f t="shared" si="589"/>
        <v/>
      </c>
      <c r="AA3762">
        <f>IF($V3762="",N($AA3761),IF(MATCH($V3762,$V$6:$V$10005,0)=ROW()-5,N($AA3761)+1,N($AA3761)))</f>
        <v>0</v>
      </c>
    </row>
    <row r="3763" spans="1:27" ht="21" customHeight="1" x14ac:dyDescent="0.95">
      <c r="A3763" s="56"/>
      <c r="B3763" s="57"/>
      <c r="C3763" s="57"/>
      <c r="D3763" s="57"/>
      <c r="E3763" s="56"/>
      <c r="F3763" s="57"/>
      <c r="G3763" s="57"/>
      <c r="H3763" s="56"/>
      <c r="I3763" s="56"/>
      <c r="J3763" s="58"/>
      <c r="K3763" s="58"/>
      <c r="L3763" s="13" t="str">
        <f t="shared" si="580"/>
        <v/>
      </c>
      <c r="M3763" s="13" t="str">
        <f t="shared" si="581"/>
        <v/>
      </c>
      <c r="Q3763" t="str">
        <f t="shared" si="582"/>
        <v/>
      </c>
      <c r="R3763" t="str">
        <f t="shared" si="583"/>
        <v/>
      </c>
      <c r="S3763" t="str">
        <f t="shared" si="584"/>
        <v/>
      </c>
      <c r="T3763" t="str">
        <f t="shared" si="585"/>
        <v/>
      </c>
      <c r="U3763" t="str">
        <f t="shared" si="586"/>
        <v/>
      </c>
      <c r="V3763" t="str">
        <f t="shared" si="587"/>
        <v/>
      </c>
      <c r="W3763" t="str">
        <f t="shared" si="588"/>
        <v/>
      </c>
      <c r="X3763">
        <f>IF($T3763="",N($X3762),IF(MATCH($T3763,$T$6:$T$10005,0)=ROW()-5,N($X3762)+1,N($X3762)))</f>
        <v>0</v>
      </c>
      <c r="Z3763" t="str">
        <f t="shared" si="589"/>
        <v/>
      </c>
      <c r="AA3763">
        <f>IF($V3763="",N($AA3762),IF(MATCH($V3763,$V$6:$V$10005,0)=ROW()-5,N($AA3762)+1,N($AA3762)))</f>
        <v>0</v>
      </c>
    </row>
    <row r="3764" spans="1:27" ht="21" customHeight="1" x14ac:dyDescent="0.95">
      <c r="A3764" s="56"/>
      <c r="B3764" s="57"/>
      <c r="C3764" s="57"/>
      <c r="D3764" s="57"/>
      <c r="E3764" s="56"/>
      <c r="F3764" s="57"/>
      <c r="G3764" s="57"/>
      <c r="H3764" s="56"/>
      <c r="I3764" s="56"/>
      <c r="J3764" s="58"/>
      <c r="K3764" s="58"/>
      <c r="L3764" s="13" t="str">
        <f t="shared" si="580"/>
        <v/>
      </c>
      <c r="M3764" s="13" t="str">
        <f t="shared" si="581"/>
        <v/>
      </c>
      <c r="Q3764" t="str">
        <f t="shared" si="582"/>
        <v/>
      </c>
      <c r="R3764" t="str">
        <f t="shared" si="583"/>
        <v/>
      </c>
      <c r="S3764" t="str">
        <f t="shared" si="584"/>
        <v/>
      </c>
      <c r="T3764" t="str">
        <f t="shared" si="585"/>
        <v/>
      </c>
      <c r="U3764" t="str">
        <f t="shared" si="586"/>
        <v/>
      </c>
      <c r="V3764" t="str">
        <f t="shared" si="587"/>
        <v/>
      </c>
      <c r="W3764" t="str">
        <f t="shared" si="588"/>
        <v/>
      </c>
      <c r="X3764">
        <f>IF($T3764="",N($X3763),IF(MATCH($T3764,$T$6:$T$10005,0)=ROW()-5,N($X3763)+1,N($X3763)))</f>
        <v>0</v>
      </c>
      <c r="Z3764" t="str">
        <f t="shared" si="589"/>
        <v/>
      </c>
      <c r="AA3764">
        <f>IF($V3764="",N($AA3763),IF(MATCH($V3764,$V$6:$V$10005,0)=ROW()-5,N($AA3763)+1,N($AA3763)))</f>
        <v>0</v>
      </c>
    </row>
    <row r="3765" spans="1:27" ht="21" customHeight="1" x14ac:dyDescent="0.95">
      <c r="A3765" s="56"/>
      <c r="B3765" s="57"/>
      <c r="C3765" s="57"/>
      <c r="D3765" s="57"/>
      <c r="E3765" s="56"/>
      <c r="F3765" s="57"/>
      <c r="G3765" s="57"/>
      <c r="H3765" s="56"/>
      <c r="I3765" s="56"/>
      <c r="J3765" s="58"/>
      <c r="K3765" s="58"/>
      <c r="L3765" s="13" t="str">
        <f t="shared" si="580"/>
        <v/>
      </c>
      <c r="M3765" s="13" t="str">
        <f t="shared" si="581"/>
        <v/>
      </c>
      <c r="Q3765" t="str">
        <f t="shared" si="582"/>
        <v/>
      </c>
      <c r="R3765" t="str">
        <f t="shared" si="583"/>
        <v/>
      </c>
      <c r="S3765" t="str">
        <f t="shared" si="584"/>
        <v/>
      </c>
      <c r="T3765" t="str">
        <f t="shared" si="585"/>
        <v/>
      </c>
      <c r="U3765" t="str">
        <f t="shared" si="586"/>
        <v/>
      </c>
      <c r="V3765" t="str">
        <f t="shared" si="587"/>
        <v/>
      </c>
      <c r="W3765" t="str">
        <f t="shared" si="588"/>
        <v/>
      </c>
      <c r="X3765">
        <f>IF($T3765="",N($X3764),IF(MATCH($T3765,$T$6:$T$10005,0)=ROW()-5,N($X3764)+1,N($X3764)))</f>
        <v>0</v>
      </c>
      <c r="Z3765" t="str">
        <f t="shared" si="589"/>
        <v/>
      </c>
      <c r="AA3765">
        <f>IF($V3765="",N($AA3764),IF(MATCH($V3765,$V$6:$V$10005,0)=ROW()-5,N($AA3764)+1,N($AA3764)))</f>
        <v>0</v>
      </c>
    </row>
    <row r="3766" spans="1:27" ht="21" customHeight="1" x14ac:dyDescent="0.95">
      <c r="A3766" s="56"/>
      <c r="B3766" s="57"/>
      <c r="C3766" s="57"/>
      <c r="D3766" s="57"/>
      <c r="E3766" s="56"/>
      <c r="F3766" s="57"/>
      <c r="G3766" s="57"/>
      <c r="H3766" s="56"/>
      <c r="I3766" s="56"/>
      <c r="J3766" s="58"/>
      <c r="K3766" s="58"/>
      <c r="L3766" s="13" t="str">
        <f t="shared" si="580"/>
        <v/>
      </c>
      <c r="M3766" s="13" t="str">
        <f t="shared" si="581"/>
        <v/>
      </c>
      <c r="Q3766" t="str">
        <f t="shared" si="582"/>
        <v/>
      </c>
      <c r="R3766" t="str">
        <f t="shared" si="583"/>
        <v/>
      </c>
      <c r="S3766" t="str">
        <f t="shared" si="584"/>
        <v/>
      </c>
      <c r="T3766" t="str">
        <f t="shared" si="585"/>
        <v/>
      </c>
      <c r="U3766" t="str">
        <f t="shared" si="586"/>
        <v/>
      </c>
      <c r="V3766" t="str">
        <f t="shared" si="587"/>
        <v/>
      </c>
      <c r="W3766" t="str">
        <f t="shared" si="588"/>
        <v/>
      </c>
      <c r="X3766">
        <f>IF($T3766="",N($X3765),IF(MATCH($T3766,$T$6:$T$10005,0)=ROW()-5,N($X3765)+1,N($X3765)))</f>
        <v>0</v>
      </c>
      <c r="Z3766" t="str">
        <f t="shared" si="589"/>
        <v/>
      </c>
      <c r="AA3766">
        <f>IF($V3766="",N($AA3765),IF(MATCH($V3766,$V$6:$V$10005,0)=ROW()-5,N($AA3765)+1,N($AA3765)))</f>
        <v>0</v>
      </c>
    </row>
    <row r="3767" spans="1:27" ht="21" customHeight="1" x14ac:dyDescent="0.95">
      <c r="A3767" s="56"/>
      <c r="B3767" s="57"/>
      <c r="C3767" s="57"/>
      <c r="D3767" s="57"/>
      <c r="E3767" s="56"/>
      <c r="F3767" s="57"/>
      <c r="G3767" s="57"/>
      <c r="H3767" s="56"/>
      <c r="I3767" s="56"/>
      <c r="J3767" s="58"/>
      <c r="K3767" s="58"/>
      <c r="L3767" s="13" t="str">
        <f t="shared" si="580"/>
        <v/>
      </c>
      <c r="M3767" s="13" t="str">
        <f t="shared" si="581"/>
        <v/>
      </c>
      <c r="Q3767" t="str">
        <f t="shared" si="582"/>
        <v/>
      </c>
      <c r="R3767" t="str">
        <f t="shared" si="583"/>
        <v/>
      </c>
      <c r="S3767" t="str">
        <f t="shared" si="584"/>
        <v/>
      </c>
      <c r="T3767" t="str">
        <f t="shared" si="585"/>
        <v/>
      </c>
      <c r="U3767" t="str">
        <f t="shared" si="586"/>
        <v/>
      </c>
      <c r="V3767" t="str">
        <f t="shared" si="587"/>
        <v/>
      </c>
      <c r="W3767" t="str">
        <f t="shared" si="588"/>
        <v/>
      </c>
      <c r="X3767">
        <f>IF($T3767="",N($X3766),IF(MATCH($T3767,$T$6:$T$10005,0)=ROW()-5,N($X3766)+1,N($X3766)))</f>
        <v>0</v>
      </c>
      <c r="Z3767" t="str">
        <f t="shared" si="589"/>
        <v/>
      </c>
      <c r="AA3767">
        <f>IF($V3767="",N($AA3766),IF(MATCH($V3767,$V$6:$V$10005,0)=ROW()-5,N($AA3766)+1,N($AA3766)))</f>
        <v>0</v>
      </c>
    </row>
    <row r="3768" spans="1:27" ht="21" customHeight="1" x14ac:dyDescent="0.95">
      <c r="A3768" s="56"/>
      <c r="B3768" s="57"/>
      <c r="C3768" s="57"/>
      <c r="D3768" s="57"/>
      <c r="E3768" s="56"/>
      <c r="F3768" s="57"/>
      <c r="G3768" s="57"/>
      <c r="H3768" s="56"/>
      <c r="I3768" s="56"/>
      <c r="J3768" s="58"/>
      <c r="K3768" s="58"/>
      <c r="L3768" s="13" t="str">
        <f t="shared" si="580"/>
        <v/>
      </c>
      <c r="M3768" s="13" t="str">
        <f t="shared" si="581"/>
        <v/>
      </c>
      <c r="Q3768" t="str">
        <f t="shared" si="582"/>
        <v/>
      </c>
      <c r="R3768" t="str">
        <f t="shared" si="583"/>
        <v/>
      </c>
      <c r="S3768" t="str">
        <f t="shared" si="584"/>
        <v/>
      </c>
      <c r="T3768" t="str">
        <f t="shared" si="585"/>
        <v/>
      </c>
      <c r="U3768" t="str">
        <f t="shared" si="586"/>
        <v/>
      </c>
      <c r="V3768" t="str">
        <f t="shared" si="587"/>
        <v/>
      </c>
      <c r="W3768" t="str">
        <f t="shared" si="588"/>
        <v/>
      </c>
      <c r="X3768">
        <f>IF($T3768="",N($X3767),IF(MATCH($T3768,$T$6:$T$10005,0)=ROW()-5,N($X3767)+1,N($X3767)))</f>
        <v>0</v>
      </c>
      <c r="Z3768" t="str">
        <f t="shared" si="589"/>
        <v/>
      </c>
      <c r="AA3768">
        <f>IF($V3768="",N($AA3767),IF(MATCH($V3768,$V$6:$V$10005,0)=ROW()-5,N($AA3767)+1,N($AA3767)))</f>
        <v>0</v>
      </c>
    </row>
    <row r="3769" spans="1:27" ht="21" customHeight="1" x14ac:dyDescent="0.95">
      <c r="A3769" s="56"/>
      <c r="B3769" s="57"/>
      <c r="C3769" s="57"/>
      <c r="D3769" s="57"/>
      <c r="E3769" s="56"/>
      <c r="F3769" s="57"/>
      <c r="G3769" s="57"/>
      <c r="H3769" s="56"/>
      <c r="I3769" s="56"/>
      <c r="J3769" s="58"/>
      <c r="K3769" s="58"/>
      <c r="L3769" s="13" t="str">
        <f t="shared" si="580"/>
        <v/>
      </c>
      <c r="M3769" s="13" t="str">
        <f t="shared" si="581"/>
        <v/>
      </c>
      <c r="Q3769" t="str">
        <f t="shared" si="582"/>
        <v/>
      </c>
      <c r="R3769" t="str">
        <f t="shared" si="583"/>
        <v/>
      </c>
      <c r="S3769" t="str">
        <f t="shared" si="584"/>
        <v/>
      </c>
      <c r="T3769" t="str">
        <f t="shared" si="585"/>
        <v/>
      </c>
      <c r="U3769" t="str">
        <f t="shared" si="586"/>
        <v/>
      </c>
      <c r="V3769" t="str">
        <f t="shared" si="587"/>
        <v/>
      </c>
      <c r="W3769" t="str">
        <f t="shared" si="588"/>
        <v/>
      </c>
      <c r="X3769">
        <f>IF($T3769="",N($X3768),IF(MATCH($T3769,$T$6:$T$10005,0)=ROW()-5,N($X3768)+1,N($X3768)))</f>
        <v>0</v>
      </c>
      <c r="Z3769" t="str">
        <f t="shared" si="589"/>
        <v/>
      </c>
      <c r="AA3769">
        <f>IF($V3769="",N($AA3768),IF(MATCH($V3769,$V$6:$V$10005,0)=ROW()-5,N($AA3768)+1,N($AA3768)))</f>
        <v>0</v>
      </c>
    </row>
    <row r="3770" spans="1:27" ht="21" customHeight="1" x14ac:dyDescent="0.95">
      <c r="A3770" s="56"/>
      <c r="B3770" s="57"/>
      <c r="C3770" s="57"/>
      <c r="D3770" s="57"/>
      <c r="E3770" s="56"/>
      <c r="F3770" s="57"/>
      <c r="G3770" s="57"/>
      <c r="H3770" s="56"/>
      <c r="I3770" s="56"/>
      <c r="J3770" s="58"/>
      <c r="K3770" s="58"/>
      <c r="L3770" s="13" t="str">
        <f t="shared" si="580"/>
        <v/>
      </c>
      <c r="M3770" s="13" t="str">
        <f t="shared" si="581"/>
        <v/>
      </c>
      <c r="Q3770" t="str">
        <f t="shared" si="582"/>
        <v/>
      </c>
      <c r="R3770" t="str">
        <f t="shared" si="583"/>
        <v/>
      </c>
      <c r="S3770" t="str">
        <f t="shared" si="584"/>
        <v/>
      </c>
      <c r="T3770" t="str">
        <f t="shared" si="585"/>
        <v/>
      </c>
      <c r="U3770" t="str">
        <f t="shared" si="586"/>
        <v/>
      </c>
      <c r="V3770" t="str">
        <f t="shared" si="587"/>
        <v/>
      </c>
      <c r="W3770" t="str">
        <f t="shared" si="588"/>
        <v/>
      </c>
      <c r="X3770">
        <f>IF($T3770="",N($X3769),IF(MATCH($T3770,$T$6:$T$10005,0)=ROW()-5,N($X3769)+1,N($X3769)))</f>
        <v>0</v>
      </c>
      <c r="Z3770" t="str">
        <f t="shared" si="589"/>
        <v/>
      </c>
      <c r="AA3770">
        <f>IF($V3770="",N($AA3769),IF(MATCH($V3770,$V$6:$V$10005,0)=ROW()-5,N($AA3769)+1,N($AA3769)))</f>
        <v>0</v>
      </c>
    </row>
    <row r="3771" spans="1:27" ht="21" customHeight="1" x14ac:dyDescent="0.95">
      <c r="A3771" s="56"/>
      <c r="B3771" s="57"/>
      <c r="C3771" s="57"/>
      <c r="D3771" s="57"/>
      <c r="E3771" s="56"/>
      <c r="F3771" s="57"/>
      <c r="G3771" s="57"/>
      <c r="H3771" s="56"/>
      <c r="I3771" s="56"/>
      <c r="J3771" s="58"/>
      <c r="K3771" s="58"/>
      <c r="L3771" s="13" t="str">
        <f t="shared" si="580"/>
        <v/>
      </c>
      <c r="M3771" s="13" t="str">
        <f t="shared" si="581"/>
        <v/>
      </c>
      <c r="Q3771" t="str">
        <f t="shared" si="582"/>
        <v/>
      </c>
      <c r="R3771" t="str">
        <f t="shared" si="583"/>
        <v/>
      </c>
      <c r="S3771" t="str">
        <f t="shared" si="584"/>
        <v/>
      </c>
      <c r="T3771" t="str">
        <f t="shared" si="585"/>
        <v/>
      </c>
      <c r="U3771" t="str">
        <f t="shared" si="586"/>
        <v/>
      </c>
      <c r="V3771" t="str">
        <f t="shared" si="587"/>
        <v/>
      </c>
      <c r="W3771" t="str">
        <f t="shared" si="588"/>
        <v/>
      </c>
      <c r="X3771">
        <f>IF($T3771="",N($X3770),IF(MATCH($T3771,$T$6:$T$10005,0)=ROW()-5,N($X3770)+1,N($X3770)))</f>
        <v>0</v>
      </c>
      <c r="Z3771" t="str">
        <f t="shared" si="589"/>
        <v/>
      </c>
      <c r="AA3771">
        <f>IF($V3771="",N($AA3770),IF(MATCH($V3771,$V$6:$V$10005,0)=ROW()-5,N($AA3770)+1,N($AA3770)))</f>
        <v>0</v>
      </c>
    </row>
    <row r="3772" spans="1:27" ht="21" customHeight="1" x14ac:dyDescent="0.95">
      <c r="A3772" s="56"/>
      <c r="B3772" s="57"/>
      <c r="C3772" s="57"/>
      <c r="D3772" s="57"/>
      <c r="E3772" s="56"/>
      <c r="F3772" s="57"/>
      <c r="G3772" s="57"/>
      <c r="H3772" s="56"/>
      <c r="I3772" s="56"/>
      <c r="J3772" s="58"/>
      <c r="K3772" s="58"/>
      <c r="L3772" s="13" t="str">
        <f t="shared" si="580"/>
        <v/>
      </c>
      <c r="M3772" s="13" t="str">
        <f t="shared" si="581"/>
        <v/>
      </c>
      <c r="Q3772" t="str">
        <f t="shared" si="582"/>
        <v/>
      </c>
      <c r="R3772" t="str">
        <f t="shared" si="583"/>
        <v/>
      </c>
      <c r="S3772" t="str">
        <f t="shared" si="584"/>
        <v/>
      </c>
      <c r="T3772" t="str">
        <f t="shared" si="585"/>
        <v/>
      </c>
      <c r="U3772" t="str">
        <f t="shared" si="586"/>
        <v/>
      </c>
      <c r="V3772" t="str">
        <f t="shared" si="587"/>
        <v/>
      </c>
      <c r="W3772" t="str">
        <f t="shared" si="588"/>
        <v/>
      </c>
      <c r="X3772">
        <f>IF($T3772="",N($X3771),IF(MATCH($T3772,$T$6:$T$10005,0)=ROW()-5,N($X3771)+1,N($X3771)))</f>
        <v>0</v>
      </c>
      <c r="Z3772" t="str">
        <f t="shared" si="589"/>
        <v/>
      </c>
      <c r="AA3772">
        <f>IF($V3772="",N($AA3771),IF(MATCH($V3772,$V$6:$V$10005,0)=ROW()-5,N($AA3771)+1,N($AA3771)))</f>
        <v>0</v>
      </c>
    </row>
    <row r="3773" spans="1:27" ht="21" customHeight="1" x14ac:dyDescent="0.95">
      <c r="A3773" s="56"/>
      <c r="B3773" s="57"/>
      <c r="C3773" s="57"/>
      <c r="D3773" s="57"/>
      <c r="E3773" s="56"/>
      <c r="F3773" s="57"/>
      <c r="G3773" s="57"/>
      <c r="H3773" s="56"/>
      <c r="I3773" s="56"/>
      <c r="J3773" s="58"/>
      <c r="K3773" s="58"/>
      <c r="L3773" s="13" t="str">
        <f t="shared" si="580"/>
        <v/>
      </c>
      <c r="M3773" s="13" t="str">
        <f t="shared" si="581"/>
        <v/>
      </c>
      <c r="Q3773" t="str">
        <f t="shared" si="582"/>
        <v/>
      </c>
      <c r="R3773" t="str">
        <f t="shared" si="583"/>
        <v/>
      </c>
      <c r="S3773" t="str">
        <f t="shared" si="584"/>
        <v/>
      </c>
      <c r="T3773" t="str">
        <f t="shared" si="585"/>
        <v/>
      </c>
      <c r="U3773" t="str">
        <f t="shared" si="586"/>
        <v/>
      </c>
      <c r="V3773" t="str">
        <f t="shared" si="587"/>
        <v/>
      </c>
      <c r="W3773" t="str">
        <f t="shared" si="588"/>
        <v/>
      </c>
      <c r="X3773">
        <f>IF($T3773="",N($X3772),IF(MATCH($T3773,$T$6:$T$10005,0)=ROW()-5,N($X3772)+1,N($X3772)))</f>
        <v>0</v>
      </c>
      <c r="Z3773" t="str">
        <f t="shared" si="589"/>
        <v/>
      </c>
      <c r="AA3773">
        <f>IF($V3773="",N($AA3772),IF(MATCH($V3773,$V$6:$V$10005,0)=ROW()-5,N($AA3772)+1,N($AA3772)))</f>
        <v>0</v>
      </c>
    </row>
    <row r="3774" spans="1:27" ht="21" customHeight="1" x14ac:dyDescent="0.95">
      <c r="A3774" s="56"/>
      <c r="B3774" s="57"/>
      <c r="C3774" s="57"/>
      <c r="D3774" s="57"/>
      <c r="E3774" s="56"/>
      <c r="F3774" s="57"/>
      <c r="G3774" s="57"/>
      <c r="H3774" s="56"/>
      <c r="I3774" s="56"/>
      <c r="J3774" s="58"/>
      <c r="K3774" s="58"/>
      <c r="L3774" s="13" t="str">
        <f t="shared" si="580"/>
        <v/>
      </c>
      <c r="M3774" s="13" t="str">
        <f t="shared" si="581"/>
        <v/>
      </c>
      <c r="Q3774" t="str">
        <f t="shared" si="582"/>
        <v/>
      </c>
      <c r="R3774" t="str">
        <f t="shared" si="583"/>
        <v/>
      </c>
      <c r="S3774" t="str">
        <f t="shared" si="584"/>
        <v/>
      </c>
      <c r="T3774" t="str">
        <f t="shared" si="585"/>
        <v/>
      </c>
      <c r="U3774" t="str">
        <f t="shared" si="586"/>
        <v/>
      </c>
      <c r="V3774" t="str">
        <f t="shared" si="587"/>
        <v/>
      </c>
      <c r="W3774" t="str">
        <f t="shared" si="588"/>
        <v/>
      </c>
      <c r="X3774">
        <f>IF($T3774="",N($X3773),IF(MATCH($T3774,$T$6:$T$10005,0)=ROW()-5,N($X3773)+1,N($X3773)))</f>
        <v>0</v>
      </c>
      <c r="Z3774" t="str">
        <f t="shared" si="589"/>
        <v/>
      </c>
      <c r="AA3774">
        <f>IF($V3774="",N($AA3773),IF(MATCH($V3774,$V$6:$V$10005,0)=ROW()-5,N($AA3773)+1,N($AA3773)))</f>
        <v>0</v>
      </c>
    </row>
    <row r="3775" spans="1:27" ht="21" customHeight="1" x14ac:dyDescent="0.95">
      <c r="A3775" s="56"/>
      <c r="B3775" s="57"/>
      <c r="C3775" s="57"/>
      <c r="D3775" s="57"/>
      <c r="E3775" s="56"/>
      <c r="F3775" s="57"/>
      <c r="G3775" s="57"/>
      <c r="H3775" s="56"/>
      <c r="I3775" s="56"/>
      <c r="J3775" s="58"/>
      <c r="K3775" s="58"/>
      <c r="L3775" s="13" t="str">
        <f t="shared" si="580"/>
        <v/>
      </c>
      <c r="M3775" s="13" t="str">
        <f t="shared" si="581"/>
        <v/>
      </c>
      <c r="Q3775" t="str">
        <f t="shared" si="582"/>
        <v/>
      </c>
      <c r="R3775" t="str">
        <f t="shared" si="583"/>
        <v/>
      </c>
      <c r="S3775" t="str">
        <f t="shared" si="584"/>
        <v/>
      </c>
      <c r="T3775" t="str">
        <f t="shared" si="585"/>
        <v/>
      </c>
      <c r="U3775" t="str">
        <f t="shared" si="586"/>
        <v/>
      </c>
      <c r="V3775" t="str">
        <f t="shared" si="587"/>
        <v/>
      </c>
      <c r="W3775" t="str">
        <f t="shared" si="588"/>
        <v/>
      </c>
      <c r="X3775">
        <f>IF($T3775="",N($X3774),IF(MATCH($T3775,$T$6:$T$10005,0)=ROW()-5,N($X3774)+1,N($X3774)))</f>
        <v>0</v>
      </c>
      <c r="Z3775" t="str">
        <f t="shared" si="589"/>
        <v/>
      </c>
      <c r="AA3775">
        <f>IF($V3775="",N($AA3774),IF(MATCH($V3775,$V$6:$V$10005,0)=ROW()-5,N($AA3774)+1,N($AA3774)))</f>
        <v>0</v>
      </c>
    </row>
    <row r="3776" spans="1:27" ht="21" customHeight="1" x14ac:dyDescent="0.95">
      <c r="A3776" s="56"/>
      <c r="B3776" s="57"/>
      <c r="C3776" s="57"/>
      <c r="D3776" s="57"/>
      <c r="E3776" s="56"/>
      <c r="F3776" s="57"/>
      <c r="G3776" s="57"/>
      <c r="H3776" s="56"/>
      <c r="I3776" s="56"/>
      <c r="J3776" s="58"/>
      <c r="K3776" s="58"/>
      <c r="L3776" s="13" t="str">
        <f t="shared" si="580"/>
        <v/>
      </c>
      <c r="M3776" s="13" t="str">
        <f t="shared" si="581"/>
        <v/>
      </c>
      <c r="Q3776" t="str">
        <f t="shared" si="582"/>
        <v/>
      </c>
      <c r="R3776" t="str">
        <f t="shared" si="583"/>
        <v/>
      </c>
      <c r="S3776" t="str">
        <f t="shared" si="584"/>
        <v/>
      </c>
      <c r="T3776" t="str">
        <f t="shared" si="585"/>
        <v/>
      </c>
      <c r="U3776" t="str">
        <f t="shared" si="586"/>
        <v/>
      </c>
      <c r="V3776" t="str">
        <f t="shared" si="587"/>
        <v/>
      </c>
      <c r="W3776" t="str">
        <f t="shared" si="588"/>
        <v/>
      </c>
      <c r="X3776">
        <f>IF($T3776="",N($X3775),IF(MATCH($T3776,$T$6:$T$10005,0)=ROW()-5,N($X3775)+1,N($X3775)))</f>
        <v>0</v>
      </c>
      <c r="Z3776" t="str">
        <f t="shared" si="589"/>
        <v/>
      </c>
      <c r="AA3776">
        <f>IF($V3776="",N($AA3775),IF(MATCH($V3776,$V$6:$V$10005,0)=ROW()-5,N($AA3775)+1,N($AA3775)))</f>
        <v>0</v>
      </c>
    </row>
    <row r="3777" spans="1:27" ht="21" customHeight="1" x14ac:dyDescent="0.95">
      <c r="A3777" s="56"/>
      <c r="B3777" s="57"/>
      <c r="C3777" s="57"/>
      <c r="D3777" s="57"/>
      <c r="E3777" s="56"/>
      <c r="F3777" s="57"/>
      <c r="G3777" s="57"/>
      <c r="H3777" s="56"/>
      <c r="I3777" s="56"/>
      <c r="J3777" s="58"/>
      <c r="K3777" s="58"/>
      <c r="L3777" s="13" t="str">
        <f t="shared" si="580"/>
        <v/>
      </c>
      <c r="M3777" s="13" t="str">
        <f t="shared" si="581"/>
        <v/>
      </c>
      <c r="Q3777" t="str">
        <f t="shared" si="582"/>
        <v/>
      </c>
      <c r="R3777" t="str">
        <f t="shared" si="583"/>
        <v/>
      </c>
      <c r="S3777" t="str">
        <f t="shared" si="584"/>
        <v/>
      </c>
      <c r="T3777" t="str">
        <f t="shared" si="585"/>
        <v/>
      </c>
      <c r="U3777" t="str">
        <f t="shared" si="586"/>
        <v/>
      </c>
      <c r="V3777" t="str">
        <f t="shared" si="587"/>
        <v/>
      </c>
      <c r="W3777" t="str">
        <f t="shared" si="588"/>
        <v/>
      </c>
      <c r="X3777">
        <f>IF($T3777="",N($X3776),IF(MATCH($T3777,$T$6:$T$10005,0)=ROW()-5,N($X3776)+1,N($X3776)))</f>
        <v>0</v>
      </c>
      <c r="Z3777" t="str">
        <f t="shared" si="589"/>
        <v/>
      </c>
      <c r="AA3777">
        <f>IF($V3777="",N($AA3776),IF(MATCH($V3777,$V$6:$V$10005,0)=ROW()-5,N($AA3776)+1,N($AA3776)))</f>
        <v>0</v>
      </c>
    </row>
    <row r="3778" spans="1:27" ht="21" customHeight="1" x14ac:dyDescent="0.95">
      <c r="A3778" s="56"/>
      <c r="B3778" s="57"/>
      <c r="C3778" s="57"/>
      <c r="D3778" s="57"/>
      <c r="E3778" s="56"/>
      <c r="F3778" s="57"/>
      <c r="G3778" s="57"/>
      <c r="H3778" s="56"/>
      <c r="I3778" s="56"/>
      <c r="J3778" s="58"/>
      <c r="K3778" s="58"/>
      <c r="L3778" s="13" t="str">
        <f t="shared" si="580"/>
        <v/>
      </c>
      <c r="M3778" s="13" t="str">
        <f t="shared" si="581"/>
        <v/>
      </c>
      <c r="Q3778" t="str">
        <f t="shared" si="582"/>
        <v/>
      </c>
      <c r="R3778" t="str">
        <f t="shared" si="583"/>
        <v/>
      </c>
      <c r="S3778" t="str">
        <f t="shared" si="584"/>
        <v/>
      </c>
      <c r="T3778" t="str">
        <f t="shared" si="585"/>
        <v/>
      </c>
      <c r="U3778" t="str">
        <f t="shared" si="586"/>
        <v/>
      </c>
      <c r="V3778" t="str">
        <f t="shared" si="587"/>
        <v/>
      </c>
      <c r="W3778" t="str">
        <f t="shared" si="588"/>
        <v/>
      </c>
      <c r="X3778">
        <f>IF($T3778="",N($X3777),IF(MATCH($T3778,$T$6:$T$10005,0)=ROW()-5,N($X3777)+1,N($X3777)))</f>
        <v>0</v>
      </c>
      <c r="Z3778" t="str">
        <f t="shared" si="589"/>
        <v/>
      </c>
      <c r="AA3778">
        <f>IF($V3778="",N($AA3777),IF(MATCH($V3778,$V$6:$V$10005,0)=ROW()-5,N($AA3777)+1,N($AA3777)))</f>
        <v>0</v>
      </c>
    </row>
    <row r="3779" spans="1:27" ht="21" customHeight="1" x14ac:dyDescent="0.95">
      <c r="A3779" s="56"/>
      <c r="B3779" s="57"/>
      <c r="C3779" s="57"/>
      <c r="D3779" s="57"/>
      <c r="E3779" s="56"/>
      <c r="F3779" s="57"/>
      <c r="G3779" s="57"/>
      <c r="H3779" s="56"/>
      <c r="I3779" s="56"/>
      <c r="J3779" s="58"/>
      <c r="K3779" s="58"/>
      <c r="L3779" s="13" t="str">
        <f t="shared" si="580"/>
        <v/>
      </c>
      <c r="M3779" s="13" t="str">
        <f t="shared" si="581"/>
        <v/>
      </c>
      <c r="Q3779" t="str">
        <f t="shared" si="582"/>
        <v/>
      </c>
      <c r="R3779" t="str">
        <f t="shared" si="583"/>
        <v/>
      </c>
      <c r="S3779" t="str">
        <f t="shared" si="584"/>
        <v/>
      </c>
      <c r="T3779" t="str">
        <f t="shared" si="585"/>
        <v/>
      </c>
      <c r="U3779" t="str">
        <f t="shared" si="586"/>
        <v/>
      </c>
      <c r="V3779" t="str">
        <f t="shared" si="587"/>
        <v/>
      </c>
      <c r="W3779" t="str">
        <f t="shared" si="588"/>
        <v/>
      </c>
      <c r="X3779">
        <f>IF($T3779="",N($X3778),IF(MATCH($T3779,$T$6:$T$10005,0)=ROW()-5,N($X3778)+1,N($X3778)))</f>
        <v>0</v>
      </c>
      <c r="Z3779" t="str">
        <f t="shared" si="589"/>
        <v/>
      </c>
      <c r="AA3779">
        <f>IF($V3779="",N($AA3778),IF(MATCH($V3779,$V$6:$V$10005,0)=ROW()-5,N($AA3778)+1,N($AA3778)))</f>
        <v>0</v>
      </c>
    </row>
    <row r="3780" spans="1:27" ht="21" customHeight="1" x14ac:dyDescent="0.95">
      <c r="A3780" s="56"/>
      <c r="B3780" s="57"/>
      <c r="C3780" s="57"/>
      <c r="D3780" s="57"/>
      <c r="E3780" s="56"/>
      <c r="F3780" s="57"/>
      <c r="G3780" s="57"/>
      <c r="H3780" s="56"/>
      <c r="I3780" s="56"/>
      <c r="J3780" s="58"/>
      <c r="K3780" s="58"/>
      <c r="L3780" s="13" t="str">
        <f t="shared" si="580"/>
        <v/>
      </c>
      <c r="M3780" s="13" t="str">
        <f t="shared" si="581"/>
        <v/>
      </c>
      <c r="Q3780" t="str">
        <f t="shared" si="582"/>
        <v/>
      </c>
      <c r="R3780" t="str">
        <f t="shared" si="583"/>
        <v/>
      </c>
      <c r="S3780" t="str">
        <f t="shared" si="584"/>
        <v/>
      </c>
      <c r="T3780" t="str">
        <f t="shared" si="585"/>
        <v/>
      </c>
      <c r="U3780" t="str">
        <f t="shared" si="586"/>
        <v/>
      </c>
      <c r="V3780" t="str">
        <f t="shared" si="587"/>
        <v/>
      </c>
      <c r="W3780" t="str">
        <f t="shared" si="588"/>
        <v/>
      </c>
      <c r="X3780">
        <f>IF($T3780="",N($X3779),IF(MATCH($T3780,$T$6:$T$10005,0)=ROW()-5,N($X3779)+1,N($X3779)))</f>
        <v>0</v>
      </c>
      <c r="Z3780" t="str">
        <f t="shared" si="589"/>
        <v/>
      </c>
      <c r="AA3780">
        <f>IF($V3780="",N($AA3779),IF(MATCH($V3780,$V$6:$V$10005,0)=ROW()-5,N($AA3779)+1,N($AA3779)))</f>
        <v>0</v>
      </c>
    </row>
    <row r="3781" spans="1:27" ht="21" customHeight="1" x14ac:dyDescent="0.95">
      <c r="A3781" s="56"/>
      <c r="B3781" s="57"/>
      <c r="C3781" s="57"/>
      <c r="D3781" s="57"/>
      <c r="E3781" s="56"/>
      <c r="F3781" s="57"/>
      <c r="G3781" s="57"/>
      <c r="H3781" s="56"/>
      <c r="I3781" s="56"/>
      <c r="J3781" s="58"/>
      <c r="K3781" s="58"/>
      <c r="L3781" s="13" t="str">
        <f t="shared" si="580"/>
        <v/>
      </c>
      <c r="M3781" s="13" t="str">
        <f t="shared" si="581"/>
        <v/>
      </c>
      <c r="Q3781" t="str">
        <f t="shared" si="582"/>
        <v/>
      </c>
      <c r="R3781" t="str">
        <f t="shared" si="583"/>
        <v/>
      </c>
      <c r="S3781" t="str">
        <f t="shared" si="584"/>
        <v/>
      </c>
      <c r="T3781" t="str">
        <f t="shared" si="585"/>
        <v/>
      </c>
      <c r="U3781" t="str">
        <f t="shared" si="586"/>
        <v/>
      </c>
      <c r="V3781" t="str">
        <f t="shared" si="587"/>
        <v/>
      </c>
      <c r="W3781" t="str">
        <f t="shared" si="588"/>
        <v/>
      </c>
      <c r="X3781">
        <f>IF($T3781="",N($X3780),IF(MATCH($T3781,$T$6:$T$10005,0)=ROW()-5,N($X3780)+1,N($X3780)))</f>
        <v>0</v>
      </c>
      <c r="Z3781" t="str">
        <f t="shared" si="589"/>
        <v/>
      </c>
      <c r="AA3781">
        <f>IF($V3781="",N($AA3780),IF(MATCH($V3781,$V$6:$V$10005,0)=ROW()-5,N($AA3780)+1,N($AA3780)))</f>
        <v>0</v>
      </c>
    </row>
    <row r="3782" spans="1:27" ht="21" customHeight="1" x14ac:dyDescent="0.95">
      <c r="A3782" s="56"/>
      <c r="B3782" s="57"/>
      <c r="C3782" s="57"/>
      <c r="D3782" s="57"/>
      <c r="E3782" s="56"/>
      <c r="F3782" s="57"/>
      <c r="G3782" s="57"/>
      <c r="H3782" s="56"/>
      <c r="I3782" s="56"/>
      <c r="J3782" s="58"/>
      <c r="K3782" s="58"/>
      <c r="L3782" s="13" t="str">
        <f t="shared" ref="L3782:L3845" si="590">IF(OR($A3782="",AND($J3782="",$K3782="")),"",ROUND(N($J3782)-N($K3782),2))</f>
        <v/>
      </c>
      <c r="M3782" s="13" t="str">
        <f t="shared" ref="M3782:M3845" si="591">IF(OR($A3782="",AND($J3782="",$K3782="")),"",MIN($J3782,$K3782))</f>
        <v/>
      </c>
      <c r="Q3782" t="str">
        <f t="shared" ref="Q3782:Q3845" si="592">IF($A3782="","",$D3782&amp;"("&amp;SUBSTITUTE($E3782," ","")&amp;")")</f>
        <v/>
      </c>
      <c r="R3782" t="str">
        <f t="shared" ref="R3782:R3845" si="593">IF($A3782="","",$B3782&amp;" - "&amp;$C3782)</f>
        <v/>
      </c>
      <c r="S3782" t="str">
        <f t="shared" ref="S3782:S3845" si="594">IF($A3782="","",$R3782&amp;"|"&amp;$Q3782)</f>
        <v/>
      </c>
      <c r="T3782" t="str">
        <f t="shared" ref="T3782:T3845" si="595">IF($A3782="","",$S3782&amp;"|"&amp;$F3782)</f>
        <v/>
      </c>
      <c r="U3782" t="str">
        <f t="shared" ref="U3782:U3845" si="596">IF($A3782="","",$R3782&amp;"("&amp;$E3782&amp;")")</f>
        <v/>
      </c>
      <c r="V3782" t="str">
        <f t="shared" ref="V3782:V3845" si="597">IF($A3782="","",$F3782&amp;"|"&amp;$U3782&amp;"|"&amp;$D3782)</f>
        <v/>
      </c>
      <c r="W3782" t="str">
        <f t="shared" ref="W3782:W3845" si="598">IF($T3782="","",IF($X3782&gt;N($X3781),$X3782,""))</f>
        <v/>
      </c>
      <c r="X3782">
        <f>IF($T3782="",N($X3781),IF(MATCH($T3782,$T$6:$T$10005,0)=ROW()-5,N($X3781)+1,N($X3781)))</f>
        <v>0</v>
      </c>
      <c r="Z3782" t="str">
        <f t="shared" ref="Z3782:Z3845" si="599">IF($V3782="","",IF($AA3782&gt;N($AA3781),$AA3782,""))</f>
        <v/>
      </c>
      <c r="AA3782">
        <f>IF($V3782="",N($AA3781),IF(MATCH($V3782,$V$6:$V$10005,0)=ROW()-5,N($AA3781)+1,N($AA3781)))</f>
        <v>0</v>
      </c>
    </row>
    <row r="3783" spans="1:27" ht="21" customHeight="1" x14ac:dyDescent="0.95">
      <c r="A3783" s="56"/>
      <c r="B3783" s="57"/>
      <c r="C3783" s="57"/>
      <c r="D3783" s="57"/>
      <c r="E3783" s="56"/>
      <c r="F3783" s="57"/>
      <c r="G3783" s="57"/>
      <c r="H3783" s="56"/>
      <c r="I3783" s="56"/>
      <c r="J3783" s="58"/>
      <c r="K3783" s="58"/>
      <c r="L3783" s="13" t="str">
        <f t="shared" si="590"/>
        <v/>
      </c>
      <c r="M3783" s="13" t="str">
        <f t="shared" si="591"/>
        <v/>
      </c>
      <c r="Q3783" t="str">
        <f t="shared" si="592"/>
        <v/>
      </c>
      <c r="R3783" t="str">
        <f t="shared" si="593"/>
        <v/>
      </c>
      <c r="S3783" t="str">
        <f t="shared" si="594"/>
        <v/>
      </c>
      <c r="T3783" t="str">
        <f t="shared" si="595"/>
        <v/>
      </c>
      <c r="U3783" t="str">
        <f t="shared" si="596"/>
        <v/>
      </c>
      <c r="V3783" t="str">
        <f t="shared" si="597"/>
        <v/>
      </c>
      <c r="W3783" t="str">
        <f t="shared" si="598"/>
        <v/>
      </c>
      <c r="X3783">
        <f>IF($T3783="",N($X3782),IF(MATCH($T3783,$T$6:$T$10005,0)=ROW()-5,N($X3782)+1,N($X3782)))</f>
        <v>0</v>
      </c>
      <c r="Z3783" t="str">
        <f t="shared" si="599"/>
        <v/>
      </c>
      <c r="AA3783">
        <f>IF($V3783="",N($AA3782),IF(MATCH($V3783,$V$6:$V$10005,0)=ROW()-5,N($AA3782)+1,N($AA3782)))</f>
        <v>0</v>
      </c>
    </row>
    <row r="3784" spans="1:27" ht="21" customHeight="1" x14ac:dyDescent="0.95">
      <c r="A3784" s="56"/>
      <c r="B3784" s="57"/>
      <c r="C3784" s="57"/>
      <c r="D3784" s="57"/>
      <c r="E3784" s="56"/>
      <c r="F3784" s="57"/>
      <c r="G3784" s="57"/>
      <c r="H3784" s="56"/>
      <c r="I3784" s="56"/>
      <c r="J3784" s="58"/>
      <c r="K3784" s="58"/>
      <c r="L3784" s="13" t="str">
        <f t="shared" si="590"/>
        <v/>
      </c>
      <c r="M3784" s="13" t="str">
        <f t="shared" si="591"/>
        <v/>
      </c>
      <c r="Q3784" t="str">
        <f t="shared" si="592"/>
        <v/>
      </c>
      <c r="R3784" t="str">
        <f t="shared" si="593"/>
        <v/>
      </c>
      <c r="S3784" t="str">
        <f t="shared" si="594"/>
        <v/>
      </c>
      <c r="T3784" t="str">
        <f t="shared" si="595"/>
        <v/>
      </c>
      <c r="U3784" t="str">
        <f t="shared" si="596"/>
        <v/>
      </c>
      <c r="V3784" t="str">
        <f t="shared" si="597"/>
        <v/>
      </c>
      <c r="W3784" t="str">
        <f t="shared" si="598"/>
        <v/>
      </c>
      <c r="X3784">
        <f>IF($T3784="",N($X3783),IF(MATCH($T3784,$T$6:$T$10005,0)=ROW()-5,N($X3783)+1,N($X3783)))</f>
        <v>0</v>
      </c>
      <c r="Z3784" t="str">
        <f t="shared" si="599"/>
        <v/>
      </c>
      <c r="AA3784">
        <f>IF($V3784="",N($AA3783),IF(MATCH($V3784,$V$6:$V$10005,0)=ROW()-5,N($AA3783)+1,N($AA3783)))</f>
        <v>0</v>
      </c>
    </row>
    <row r="3785" spans="1:27" ht="21" customHeight="1" x14ac:dyDescent="0.95">
      <c r="A3785" s="56"/>
      <c r="B3785" s="57"/>
      <c r="C3785" s="57"/>
      <c r="D3785" s="57"/>
      <c r="E3785" s="56"/>
      <c r="F3785" s="57"/>
      <c r="G3785" s="57"/>
      <c r="H3785" s="56"/>
      <c r="I3785" s="56"/>
      <c r="J3785" s="58"/>
      <c r="K3785" s="58"/>
      <c r="L3785" s="13" t="str">
        <f t="shared" si="590"/>
        <v/>
      </c>
      <c r="M3785" s="13" t="str">
        <f t="shared" si="591"/>
        <v/>
      </c>
      <c r="Q3785" t="str">
        <f t="shared" si="592"/>
        <v/>
      </c>
      <c r="R3785" t="str">
        <f t="shared" si="593"/>
        <v/>
      </c>
      <c r="S3785" t="str">
        <f t="shared" si="594"/>
        <v/>
      </c>
      <c r="T3785" t="str">
        <f t="shared" si="595"/>
        <v/>
      </c>
      <c r="U3785" t="str">
        <f t="shared" si="596"/>
        <v/>
      </c>
      <c r="V3785" t="str">
        <f t="shared" si="597"/>
        <v/>
      </c>
      <c r="W3785" t="str">
        <f t="shared" si="598"/>
        <v/>
      </c>
      <c r="X3785">
        <f>IF($T3785="",N($X3784),IF(MATCH($T3785,$T$6:$T$10005,0)=ROW()-5,N($X3784)+1,N($X3784)))</f>
        <v>0</v>
      </c>
      <c r="Z3785" t="str">
        <f t="shared" si="599"/>
        <v/>
      </c>
      <c r="AA3785">
        <f>IF($V3785="",N($AA3784),IF(MATCH($V3785,$V$6:$V$10005,0)=ROW()-5,N($AA3784)+1,N($AA3784)))</f>
        <v>0</v>
      </c>
    </row>
    <row r="3786" spans="1:27" ht="21" customHeight="1" x14ac:dyDescent="0.95">
      <c r="A3786" s="56"/>
      <c r="B3786" s="57"/>
      <c r="C3786" s="57"/>
      <c r="D3786" s="57"/>
      <c r="E3786" s="56"/>
      <c r="F3786" s="57"/>
      <c r="G3786" s="57"/>
      <c r="H3786" s="56"/>
      <c r="I3786" s="56"/>
      <c r="J3786" s="58"/>
      <c r="K3786" s="58"/>
      <c r="L3786" s="13" t="str">
        <f t="shared" si="590"/>
        <v/>
      </c>
      <c r="M3786" s="13" t="str">
        <f t="shared" si="591"/>
        <v/>
      </c>
      <c r="Q3786" t="str">
        <f t="shared" si="592"/>
        <v/>
      </c>
      <c r="R3786" t="str">
        <f t="shared" si="593"/>
        <v/>
      </c>
      <c r="S3786" t="str">
        <f t="shared" si="594"/>
        <v/>
      </c>
      <c r="T3786" t="str">
        <f t="shared" si="595"/>
        <v/>
      </c>
      <c r="U3786" t="str">
        <f t="shared" si="596"/>
        <v/>
      </c>
      <c r="V3786" t="str">
        <f t="shared" si="597"/>
        <v/>
      </c>
      <c r="W3786" t="str">
        <f t="shared" si="598"/>
        <v/>
      </c>
      <c r="X3786">
        <f>IF($T3786="",N($X3785),IF(MATCH($T3786,$T$6:$T$10005,0)=ROW()-5,N($X3785)+1,N($X3785)))</f>
        <v>0</v>
      </c>
      <c r="Z3786" t="str">
        <f t="shared" si="599"/>
        <v/>
      </c>
      <c r="AA3786">
        <f>IF($V3786="",N($AA3785),IF(MATCH($V3786,$V$6:$V$10005,0)=ROW()-5,N($AA3785)+1,N($AA3785)))</f>
        <v>0</v>
      </c>
    </row>
    <row r="3787" spans="1:27" ht="21" customHeight="1" x14ac:dyDescent="0.95">
      <c r="A3787" s="56"/>
      <c r="B3787" s="57"/>
      <c r="C3787" s="57"/>
      <c r="D3787" s="57"/>
      <c r="E3787" s="56"/>
      <c r="F3787" s="57"/>
      <c r="G3787" s="57"/>
      <c r="H3787" s="56"/>
      <c r="I3787" s="56"/>
      <c r="J3787" s="58"/>
      <c r="K3787" s="58"/>
      <c r="L3787" s="13" t="str">
        <f t="shared" si="590"/>
        <v/>
      </c>
      <c r="M3787" s="13" t="str">
        <f t="shared" si="591"/>
        <v/>
      </c>
      <c r="Q3787" t="str">
        <f t="shared" si="592"/>
        <v/>
      </c>
      <c r="R3787" t="str">
        <f t="shared" si="593"/>
        <v/>
      </c>
      <c r="S3787" t="str">
        <f t="shared" si="594"/>
        <v/>
      </c>
      <c r="T3787" t="str">
        <f t="shared" si="595"/>
        <v/>
      </c>
      <c r="U3787" t="str">
        <f t="shared" si="596"/>
        <v/>
      </c>
      <c r="V3787" t="str">
        <f t="shared" si="597"/>
        <v/>
      </c>
      <c r="W3787" t="str">
        <f t="shared" si="598"/>
        <v/>
      </c>
      <c r="X3787">
        <f>IF($T3787="",N($X3786),IF(MATCH($T3787,$T$6:$T$10005,0)=ROW()-5,N($X3786)+1,N($X3786)))</f>
        <v>0</v>
      </c>
      <c r="Z3787" t="str">
        <f t="shared" si="599"/>
        <v/>
      </c>
      <c r="AA3787">
        <f>IF($V3787="",N($AA3786),IF(MATCH($V3787,$V$6:$V$10005,0)=ROW()-5,N($AA3786)+1,N($AA3786)))</f>
        <v>0</v>
      </c>
    </row>
    <row r="3788" spans="1:27" ht="21" customHeight="1" x14ac:dyDescent="0.95">
      <c r="A3788" s="56"/>
      <c r="B3788" s="57"/>
      <c r="C3788" s="57"/>
      <c r="D3788" s="57"/>
      <c r="E3788" s="56"/>
      <c r="F3788" s="57"/>
      <c r="G3788" s="57"/>
      <c r="H3788" s="56"/>
      <c r="I3788" s="56"/>
      <c r="J3788" s="58"/>
      <c r="K3788" s="58"/>
      <c r="L3788" s="13" t="str">
        <f t="shared" si="590"/>
        <v/>
      </c>
      <c r="M3788" s="13" t="str">
        <f t="shared" si="591"/>
        <v/>
      </c>
      <c r="Q3788" t="str">
        <f t="shared" si="592"/>
        <v/>
      </c>
      <c r="R3788" t="str">
        <f t="shared" si="593"/>
        <v/>
      </c>
      <c r="S3788" t="str">
        <f t="shared" si="594"/>
        <v/>
      </c>
      <c r="T3788" t="str">
        <f t="shared" si="595"/>
        <v/>
      </c>
      <c r="U3788" t="str">
        <f t="shared" si="596"/>
        <v/>
      </c>
      <c r="V3788" t="str">
        <f t="shared" si="597"/>
        <v/>
      </c>
      <c r="W3788" t="str">
        <f t="shared" si="598"/>
        <v/>
      </c>
      <c r="X3788">
        <f>IF($T3788="",N($X3787),IF(MATCH($T3788,$T$6:$T$10005,0)=ROW()-5,N($X3787)+1,N($X3787)))</f>
        <v>0</v>
      </c>
      <c r="Z3788" t="str">
        <f t="shared" si="599"/>
        <v/>
      </c>
      <c r="AA3788">
        <f>IF($V3788="",N($AA3787),IF(MATCH($V3788,$V$6:$V$10005,0)=ROW()-5,N($AA3787)+1,N($AA3787)))</f>
        <v>0</v>
      </c>
    </row>
    <row r="3789" spans="1:27" ht="21" customHeight="1" x14ac:dyDescent="0.95">
      <c r="A3789" s="56"/>
      <c r="B3789" s="57"/>
      <c r="C3789" s="57"/>
      <c r="D3789" s="57"/>
      <c r="E3789" s="56"/>
      <c r="F3789" s="57"/>
      <c r="G3789" s="57"/>
      <c r="H3789" s="56"/>
      <c r="I3789" s="56"/>
      <c r="J3789" s="58"/>
      <c r="K3789" s="58"/>
      <c r="L3789" s="13" t="str">
        <f t="shared" si="590"/>
        <v/>
      </c>
      <c r="M3789" s="13" t="str">
        <f t="shared" si="591"/>
        <v/>
      </c>
      <c r="Q3789" t="str">
        <f t="shared" si="592"/>
        <v/>
      </c>
      <c r="R3789" t="str">
        <f t="shared" si="593"/>
        <v/>
      </c>
      <c r="S3789" t="str">
        <f t="shared" si="594"/>
        <v/>
      </c>
      <c r="T3789" t="str">
        <f t="shared" si="595"/>
        <v/>
      </c>
      <c r="U3789" t="str">
        <f t="shared" si="596"/>
        <v/>
      </c>
      <c r="V3789" t="str">
        <f t="shared" si="597"/>
        <v/>
      </c>
      <c r="W3789" t="str">
        <f t="shared" si="598"/>
        <v/>
      </c>
      <c r="X3789">
        <f>IF($T3789="",N($X3788),IF(MATCH($T3789,$T$6:$T$10005,0)=ROW()-5,N($X3788)+1,N($X3788)))</f>
        <v>0</v>
      </c>
      <c r="Z3789" t="str">
        <f t="shared" si="599"/>
        <v/>
      </c>
      <c r="AA3789">
        <f>IF($V3789="",N($AA3788),IF(MATCH($V3789,$V$6:$V$10005,0)=ROW()-5,N($AA3788)+1,N($AA3788)))</f>
        <v>0</v>
      </c>
    </row>
    <row r="3790" spans="1:27" ht="21" customHeight="1" x14ac:dyDescent="0.95">
      <c r="A3790" s="56"/>
      <c r="B3790" s="57"/>
      <c r="C3790" s="57"/>
      <c r="D3790" s="57"/>
      <c r="E3790" s="56"/>
      <c r="F3790" s="57"/>
      <c r="G3790" s="57"/>
      <c r="H3790" s="56"/>
      <c r="I3790" s="56"/>
      <c r="J3790" s="58"/>
      <c r="K3790" s="58"/>
      <c r="L3790" s="13" t="str">
        <f t="shared" si="590"/>
        <v/>
      </c>
      <c r="M3790" s="13" t="str">
        <f t="shared" si="591"/>
        <v/>
      </c>
      <c r="Q3790" t="str">
        <f t="shared" si="592"/>
        <v/>
      </c>
      <c r="R3790" t="str">
        <f t="shared" si="593"/>
        <v/>
      </c>
      <c r="S3790" t="str">
        <f t="shared" si="594"/>
        <v/>
      </c>
      <c r="T3790" t="str">
        <f t="shared" si="595"/>
        <v/>
      </c>
      <c r="U3790" t="str">
        <f t="shared" si="596"/>
        <v/>
      </c>
      <c r="V3790" t="str">
        <f t="shared" si="597"/>
        <v/>
      </c>
      <c r="W3790" t="str">
        <f t="shared" si="598"/>
        <v/>
      </c>
      <c r="X3790">
        <f>IF($T3790="",N($X3789),IF(MATCH($T3790,$T$6:$T$10005,0)=ROW()-5,N($X3789)+1,N($X3789)))</f>
        <v>0</v>
      </c>
      <c r="Z3790" t="str">
        <f t="shared" si="599"/>
        <v/>
      </c>
      <c r="AA3790">
        <f>IF($V3790="",N($AA3789),IF(MATCH($V3790,$V$6:$V$10005,0)=ROW()-5,N($AA3789)+1,N($AA3789)))</f>
        <v>0</v>
      </c>
    </row>
    <row r="3791" spans="1:27" ht="21" customHeight="1" x14ac:dyDescent="0.95">
      <c r="A3791" s="56"/>
      <c r="B3791" s="57"/>
      <c r="C3791" s="57"/>
      <c r="D3791" s="57"/>
      <c r="E3791" s="56"/>
      <c r="F3791" s="57"/>
      <c r="G3791" s="57"/>
      <c r="H3791" s="56"/>
      <c r="I3791" s="56"/>
      <c r="J3791" s="58"/>
      <c r="K3791" s="58"/>
      <c r="L3791" s="13" t="str">
        <f t="shared" si="590"/>
        <v/>
      </c>
      <c r="M3791" s="13" t="str">
        <f t="shared" si="591"/>
        <v/>
      </c>
      <c r="Q3791" t="str">
        <f t="shared" si="592"/>
        <v/>
      </c>
      <c r="R3791" t="str">
        <f t="shared" si="593"/>
        <v/>
      </c>
      <c r="S3791" t="str">
        <f t="shared" si="594"/>
        <v/>
      </c>
      <c r="T3791" t="str">
        <f t="shared" si="595"/>
        <v/>
      </c>
      <c r="U3791" t="str">
        <f t="shared" si="596"/>
        <v/>
      </c>
      <c r="V3791" t="str">
        <f t="shared" si="597"/>
        <v/>
      </c>
      <c r="W3791" t="str">
        <f t="shared" si="598"/>
        <v/>
      </c>
      <c r="X3791">
        <f>IF($T3791="",N($X3790),IF(MATCH($T3791,$T$6:$T$10005,0)=ROW()-5,N($X3790)+1,N($X3790)))</f>
        <v>0</v>
      </c>
      <c r="Z3791" t="str">
        <f t="shared" si="599"/>
        <v/>
      </c>
      <c r="AA3791">
        <f>IF($V3791="",N($AA3790),IF(MATCH($V3791,$V$6:$V$10005,0)=ROW()-5,N($AA3790)+1,N($AA3790)))</f>
        <v>0</v>
      </c>
    </row>
    <row r="3792" spans="1:27" ht="21" customHeight="1" x14ac:dyDescent="0.95">
      <c r="A3792" s="56"/>
      <c r="B3792" s="57"/>
      <c r="C3792" s="57"/>
      <c r="D3792" s="57"/>
      <c r="E3792" s="56"/>
      <c r="F3792" s="57"/>
      <c r="G3792" s="57"/>
      <c r="H3792" s="56"/>
      <c r="I3792" s="56"/>
      <c r="J3792" s="58"/>
      <c r="K3792" s="58"/>
      <c r="L3792" s="13" t="str">
        <f t="shared" si="590"/>
        <v/>
      </c>
      <c r="M3792" s="13" t="str">
        <f t="shared" si="591"/>
        <v/>
      </c>
      <c r="Q3792" t="str">
        <f t="shared" si="592"/>
        <v/>
      </c>
      <c r="R3792" t="str">
        <f t="shared" si="593"/>
        <v/>
      </c>
      <c r="S3792" t="str">
        <f t="shared" si="594"/>
        <v/>
      </c>
      <c r="T3792" t="str">
        <f t="shared" si="595"/>
        <v/>
      </c>
      <c r="U3792" t="str">
        <f t="shared" si="596"/>
        <v/>
      </c>
      <c r="V3792" t="str">
        <f t="shared" si="597"/>
        <v/>
      </c>
      <c r="W3792" t="str">
        <f t="shared" si="598"/>
        <v/>
      </c>
      <c r="X3792">
        <f>IF($T3792="",N($X3791),IF(MATCH($T3792,$T$6:$T$10005,0)=ROW()-5,N($X3791)+1,N($X3791)))</f>
        <v>0</v>
      </c>
      <c r="Z3792" t="str">
        <f t="shared" si="599"/>
        <v/>
      </c>
      <c r="AA3792">
        <f>IF($V3792="",N($AA3791),IF(MATCH($V3792,$V$6:$V$10005,0)=ROW()-5,N($AA3791)+1,N($AA3791)))</f>
        <v>0</v>
      </c>
    </row>
    <row r="3793" spans="1:27" ht="21" customHeight="1" x14ac:dyDescent="0.95">
      <c r="A3793" s="56"/>
      <c r="B3793" s="57"/>
      <c r="C3793" s="57"/>
      <c r="D3793" s="57"/>
      <c r="E3793" s="56"/>
      <c r="F3793" s="57"/>
      <c r="G3793" s="57"/>
      <c r="H3793" s="56"/>
      <c r="I3793" s="56"/>
      <c r="J3793" s="58"/>
      <c r="K3793" s="58"/>
      <c r="L3793" s="13" t="str">
        <f t="shared" si="590"/>
        <v/>
      </c>
      <c r="M3793" s="13" t="str">
        <f t="shared" si="591"/>
        <v/>
      </c>
      <c r="Q3793" t="str">
        <f t="shared" si="592"/>
        <v/>
      </c>
      <c r="R3793" t="str">
        <f t="shared" si="593"/>
        <v/>
      </c>
      <c r="S3793" t="str">
        <f t="shared" si="594"/>
        <v/>
      </c>
      <c r="T3793" t="str">
        <f t="shared" si="595"/>
        <v/>
      </c>
      <c r="U3793" t="str">
        <f t="shared" si="596"/>
        <v/>
      </c>
      <c r="V3793" t="str">
        <f t="shared" si="597"/>
        <v/>
      </c>
      <c r="W3793" t="str">
        <f t="shared" si="598"/>
        <v/>
      </c>
      <c r="X3793">
        <f>IF($T3793="",N($X3792),IF(MATCH($T3793,$T$6:$T$10005,0)=ROW()-5,N($X3792)+1,N($X3792)))</f>
        <v>0</v>
      </c>
      <c r="Z3793" t="str">
        <f t="shared" si="599"/>
        <v/>
      </c>
      <c r="AA3793">
        <f>IF($V3793="",N($AA3792),IF(MATCH($V3793,$V$6:$V$10005,0)=ROW()-5,N($AA3792)+1,N($AA3792)))</f>
        <v>0</v>
      </c>
    </row>
    <row r="3794" spans="1:27" ht="21" customHeight="1" x14ac:dyDescent="0.95">
      <c r="A3794" s="56"/>
      <c r="B3794" s="57"/>
      <c r="C3794" s="57"/>
      <c r="D3794" s="57"/>
      <c r="E3794" s="56"/>
      <c r="F3794" s="57"/>
      <c r="G3794" s="57"/>
      <c r="H3794" s="56"/>
      <c r="I3794" s="56"/>
      <c r="J3794" s="58"/>
      <c r="K3794" s="58"/>
      <c r="L3794" s="13" t="str">
        <f t="shared" si="590"/>
        <v/>
      </c>
      <c r="M3794" s="13" t="str">
        <f t="shared" si="591"/>
        <v/>
      </c>
      <c r="Q3794" t="str">
        <f t="shared" si="592"/>
        <v/>
      </c>
      <c r="R3794" t="str">
        <f t="shared" si="593"/>
        <v/>
      </c>
      <c r="S3794" t="str">
        <f t="shared" si="594"/>
        <v/>
      </c>
      <c r="T3794" t="str">
        <f t="shared" si="595"/>
        <v/>
      </c>
      <c r="U3794" t="str">
        <f t="shared" si="596"/>
        <v/>
      </c>
      <c r="V3794" t="str">
        <f t="shared" si="597"/>
        <v/>
      </c>
      <c r="W3794" t="str">
        <f t="shared" si="598"/>
        <v/>
      </c>
      <c r="X3794">
        <f>IF($T3794="",N($X3793),IF(MATCH($T3794,$T$6:$T$10005,0)=ROW()-5,N($X3793)+1,N($X3793)))</f>
        <v>0</v>
      </c>
      <c r="Z3794" t="str">
        <f t="shared" si="599"/>
        <v/>
      </c>
      <c r="AA3794">
        <f>IF($V3794="",N($AA3793),IF(MATCH($V3794,$V$6:$V$10005,0)=ROW()-5,N($AA3793)+1,N($AA3793)))</f>
        <v>0</v>
      </c>
    </row>
    <row r="3795" spans="1:27" ht="21" customHeight="1" x14ac:dyDescent="0.95">
      <c r="A3795" s="56"/>
      <c r="B3795" s="57"/>
      <c r="C3795" s="57"/>
      <c r="D3795" s="57"/>
      <c r="E3795" s="56"/>
      <c r="F3795" s="57"/>
      <c r="G3795" s="57"/>
      <c r="H3795" s="56"/>
      <c r="I3795" s="56"/>
      <c r="J3795" s="58"/>
      <c r="K3795" s="58"/>
      <c r="L3795" s="13" t="str">
        <f t="shared" si="590"/>
        <v/>
      </c>
      <c r="M3795" s="13" t="str">
        <f t="shared" si="591"/>
        <v/>
      </c>
      <c r="Q3795" t="str">
        <f t="shared" si="592"/>
        <v/>
      </c>
      <c r="R3795" t="str">
        <f t="shared" si="593"/>
        <v/>
      </c>
      <c r="S3795" t="str">
        <f t="shared" si="594"/>
        <v/>
      </c>
      <c r="T3795" t="str">
        <f t="shared" si="595"/>
        <v/>
      </c>
      <c r="U3795" t="str">
        <f t="shared" si="596"/>
        <v/>
      </c>
      <c r="V3795" t="str">
        <f t="shared" si="597"/>
        <v/>
      </c>
      <c r="W3795" t="str">
        <f t="shared" si="598"/>
        <v/>
      </c>
      <c r="X3795">
        <f>IF($T3795="",N($X3794),IF(MATCH($T3795,$T$6:$T$10005,0)=ROW()-5,N($X3794)+1,N($X3794)))</f>
        <v>0</v>
      </c>
      <c r="Z3795" t="str">
        <f t="shared" si="599"/>
        <v/>
      </c>
      <c r="AA3795">
        <f>IF($V3795="",N($AA3794),IF(MATCH($V3795,$V$6:$V$10005,0)=ROW()-5,N($AA3794)+1,N($AA3794)))</f>
        <v>0</v>
      </c>
    </row>
    <row r="3796" spans="1:27" ht="21" customHeight="1" x14ac:dyDescent="0.95">
      <c r="A3796" s="56"/>
      <c r="B3796" s="57"/>
      <c r="C3796" s="57"/>
      <c r="D3796" s="57"/>
      <c r="E3796" s="56"/>
      <c r="F3796" s="57"/>
      <c r="G3796" s="57"/>
      <c r="H3796" s="56"/>
      <c r="I3796" s="56"/>
      <c r="J3796" s="58"/>
      <c r="K3796" s="58"/>
      <c r="L3796" s="13" t="str">
        <f t="shared" si="590"/>
        <v/>
      </c>
      <c r="M3796" s="13" t="str">
        <f t="shared" si="591"/>
        <v/>
      </c>
      <c r="Q3796" t="str">
        <f t="shared" si="592"/>
        <v/>
      </c>
      <c r="R3796" t="str">
        <f t="shared" si="593"/>
        <v/>
      </c>
      <c r="S3796" t="str">
        <f t="shared" si="594"/>
        <v/>
      </c>
      <c r="T3796" t="str">
        <f t="shared" si="595"/>
        <v/>
      </c>
      <c r="U3796" t="str">
        <f t="shared" si="596"/>
        <v/>
      </c>
      <c r="V3796" t="str">
        <f t="shared" si="597"/>
        <v/>
      </c>
      <c r="W3796" t="str">
        <f t="shared" si="598"/>
        <v/>
      </c>
      <c r="X3796">
        <f>IF($T3796="",N($X3795),IF(MATCH($T3796,$T$6:$T$10005,0)=ROW()-5,N($X3795)+1,N($X3795)))</f>
        <v>0</v>
      </c>
      <c r="Z3796" t="str">
        <f t="shared" si="599"/>
        <v/>
      </c>
      <c r="AA3796">
        <f>IF($V3796="",N($AA3795),IF(MATCH($V3796,$V$6:$V$10005,0)=ROW()-5,N($AA3795)+1,N($AA3795)))</f>
        <v>0</v>
      </c>
    </row>
    <row r="3797" spans="1:27" ht="21" customHeight="1" x14ac:dyDescent="0.95">
      <c r="A3797" s="56"/>
      <c r="B3797" s="57"/>
      <c r="C3797" s="57"/>
      <c r="D3797" s="57"/>
      <c r="E3797" s="56"/>
      <c r="F3797" s="57"/>
      <c r="G3797" s="57"/>
      <c r="H3797" s="56"/>
      <c r="I3797" s="56"/>
      <c r="J3797" s="58"/>
      <c r="K3797" s="58"/>
      <c r="L3797" s="13" t="str">
        <f t="shared" si="590"/>
        <v/>
      </c>
      <c r="M3797" s="13" t="str">
        <f t="shared" si="591"/>
        <v/>
      </c>
      <c r="Q3797" t="str">
        <f t="shared" si="592"/>
        <v/>
      </c>
      <c r="R3797" t="str">
        <f t="shared" si="593"/>
        <v/>
      </c>
      <c r="S3797" t="str">
        <f t="shared" si="594"/>
        <v/>
      </c>
      <c r="T3797" t="str">
        <f t="shared" si="595"/>
        <v/>
      </c>
      <c r="U3797" t="str">
        <f t="shared" si="596"/>
        <v/>
      </c>
      <c r="V3797" t="str">
        <f t="shared" si="597"/>
        <v/>
      </c>
      <c r="W3797" t="str">
        <f t="shared" si="598"/>
        <v/>
      </c>
      <c r="X3797">
        <f>IF($T3797="",N($X3796),IF(MATCH($T3797,$T$6:$T$10005,0)=ROW()-5,N($X3796)+1,N($X3796)))</f>
        <v>0</v>
      </c>
      <c r="Z3797" t="str">
        <f t="shared" si="599"/>
        <v/>
      </c>
      <c r="AA3797">
        <f>IF($V3797="",N($AA3796),IF(MATCH($V3797,$V$6:$V$10005,0)=ROW()-5,N($AA3796)+1,N($AA3796)))</f>
        <v>0</v>
      </c>
    </row>
    <row r="3798" spans="1:27" ht="21" customHeight="1" x14ac:dyDescent="0.95">
      <c r="A3798" s="56"/>
      <c r="B3798" s="57"/>
      <c r="C3798" s="57"/>
      <c r="D3798" s="57"/>
      <c r="E3798" s="56"/>
      <c r="F3798" s="57"/>
      <c r="G3798" s="57"/>
      <c r="H3798" s="56"/>
      <c r="I3798" s="56"/>
      <c r="J3798" s="58"/>
      <c r="K3798" s="58"/>
      <c r="L3798" s="13" t="str">
        <f t="shared" si="590"/>
        <v/>
      </c>
      <c r="M3798" s="13" t="str">
        <f t="shared" si="591"/>
        <v/>
      </c>
      <c r="Q3798" t="str">
        <f t="shared" si="592"/>
        <v/>
      </c>
      <c r="R3798" t="str">
        <f t="shared" si="593"/>
        <v/>
      </c>
      <c r="S3798" t="str">
        <f t="shared" si="594"/>
        <v/>
      </c>
      <c r="T3798" t="str">
        <f t="shared" si="595"/>
        <v/>
      </c>
      <c r="U3798" t="str">
        <f t="shared" si="596"/>
        <v/>
      </c>
      <c r="V3798" t="str">
        <f t="shared" si="597"/>
        <v/>
      </c>
      <c r="W3798" t="str">
        <f t="shared" si="598"/>
        <v/>
      </c>
      <c r="X3798">
        <f>IF($T3798="",N($X3797),IF(MATCH($T3798,$T$6:$T$10005,0)=ROW()-5,N($X3797)+1,N($X3797)))</f>
        <v>0</v>
      </c>
      <c r="Z3798" t="str">
        <f t="shared" si="599"/>
        <v/>
      </c>
      <c r="AA3798">
        <f>IF($V3798="",N($AA3797),IF(MATCH($V3798,$V$6:$V$10005,0)=ROW()-5,N($AA3797)+1,N($AA3797)))</f>
        <v>0</v>
      </c>
    </row>
    <row r="3799" spans="1:27" ht="21" customHeight="1" x14ac:dyDescent="0.95">
      <c r="A3799" s="56"/>
      <c r="B3799" s="57"/>
      <c r="C3799" s="57"/>
      <c r="D3799" s="57"/>
      <c r="E3799" s="56"/>
      <c r="F3799" s="57"/>
      <c r="G3799" s="57"/>
      <c r="H3799" s="56"/>
      <c r="I3799" s="56"/>
      <c r="J3799" s="58"/>
      <c r="K3799" s="58"/>
      <c r="L3799" s="13" t="str">
        <f t="shared" si="590"/>
        <v/>
      </c>
      <c r="M3799" s="13" t="str">
        <f t="shared" si="591"/>
        <v/>
      </c>
      <c r="Q3799" t="str">
        <f t="shared" si="592"/>
        <v/>
      </c>
      <c r="R3799" t="str">
        <f t="shared" si="593"/>
        <v/>
      </c>
      <c r="S3799" t="str">
        <f t="shared" si="594"/>
        <v/>
      </c>
      <c r="T3799" t="str">
        <f t="shared" si="595"/>
        <v/>
      </c>
      <c r="U3799" t="str">
        <f t="shared" si="596"/>
        <v/>
      </c>
      <c r="V3799" t="str">
        <f t="shared" si="597"/>
        <v/>
      </c>
      <c r="W3799" t="str">
        <f t="shared" si="598"/>
        <v/>
      </c>
      <c r="X3799">
        <f>IF($T3799="",N($X3798),IF(MATCH($T3799,$T$6:$T$10005,0)=ROW()-5,N($X3798)+1,N($X3798)))</f>
        <v>0</v>
      </c>
      <c r="Z3799" t="str">
        <f t="shared" si="599"/>
        <v/>
      </c>
      <c r="AA3799">
        <f>IF($V3799="",N($AA3798),IF(MATCH($V3799,$V$6:$V$10005,0)=ROW()-5,N($AA3798)+1,N($AA3798)))</f>
        <v>0</v>
      </c>
    </row>
    <row r="3800" spans="1:27" ht="21" customHeight="1" x14ac:dyDescent="0.95">
      <c r="A3800" s="56"/>
      <c r="B3800" s="57"/>
      <c r="C3800" s="57"/>
      <c r="D3800" s="57"/>
      <c r="E3800" s="56"/>
      <c r="F3800" s="57"/>
      <c r="G3800" s="57"/>
      <c r="H3800" s="56"/>
      <c r="I3800" s="56"/>
      <c r="J3800" s="58"/>
      <c r="K3800" s="58"/>
      <c r="L3800" s="13" t="str">
        <f t="shared" si="590"/>
        <v/>
      </c>
      <c r="M3800" s="13" t="str">
        <f t="shared" si="591"/>
        <v/>
      </c>
      <c r="Q3800" t="str">
        <f t="shared" si="592"/>
        <v/>
      </c>
      <c r="R3800" t="str">
        <f t="shared" si="593"/>
        <v/>
      </c>
      <c r="S3800" t="str">
        <f t="shared" si="594"/>
        <v/>
      </c>
      <c r="T3800" t="str">
        <f t="shared" si="595"/>
        <v/>
      </c>
      <c r="U3800" t="str">
        <f t="shared" si="596"/>
        <v/>
      </c>
      <c r="V3800" t="str">
        <f t="shared" si="597"/>
        <v/>
      </c>
      <c r="W3800" t="str">
        <f t="shared" si="598"/>
        <v/>
      </c>
      <c r="X3800">
        <f>IF($T3800="",N($X3799),IF(MATCH($T3800,$T$6:$T$10005,0)=ROW()-5,N($X3799)+1,N($X3799)))</f>
        <v>0</v>
      </c>
      <c r="Z3800" t="str">
        <f t="shared" si="599"/>
        <v/>
      </c>
      <c r="AA3800">
        <f>IF($V3800="",N($AA3799),IF(MATCH($V3800,$V$6:$V$10005,0)=ROW()-5,N($AA3799)+1,N($AA3799)))</f>
        <v>0</v>
      </c>
    </row>
    <row r="3801" spans="1:27" ht="21" customHeight="1" x14ac:dyDescent="0.95">
      <c r="A3801" s="56"/>
      <c r="B3801" s="57"/>
      <c r="C3801" s="57"/>
      <c r="D3801" s="57"/>
      <c r="E3801" s="56"/>
      <c r="F3801" s="57"/>
      <c r="G3801" s="57"/>
      <c r="H3801" s="56"/>
      <c r="I3801" s="56"/>
      <c r="J3801" s="58"/>
      <c r="K3801" s="58"/>
      <c r="L3801" s="13" t="str">
        <f t="shared" si="590"/>
        <v/>
      </c>
      <c r="M3801" s="13" t="str">
        <f t="shared" si="591"/>
        <v/>
      </c>
      <c r="Q3801" t="str">
        <f t="shared" si="592"/>
        <v/>
      </c>
      <c r="R3801" t="str">
        <f t="shared" si="593"/>
        <v/>
      </c>
      <c r="S3801" t="str">
        <f t="shared" si="594"/>
        <v/>
      </c>
      <c r="T3801" t="str">
        <f t="shared" si="595"/>
        <v/>
      </c>
      <c r="U3801" t="str">
        <f t="shared" si="596"/>
        <v/>
      </c>
      <c r="V3801" t="str">
        <f t="shared" si="597"/>
        <v/>
      </c>
      <c r="W3801" t="str">
        <f t="shared" si="598"/>
        <v/>
      </c>
      <c r="X3801">
        <f>IF($T3801="",N($X3800),IF(MATCH($T3801,$T$6:$T$10005,0)=ROW()-5,N($X3800)+1,N($X3800)))</f>
        <v>0</v>
      </c>
      <c r="Z3801" t="str">
        <f t="shared" si="599"/>
        <v/>
      </c>
      <c r="AA3801">
        <f>IF($V3801="",N($AA3800),IF(MATCH($V3801,$V$6:$V$10005,0)=ROW()-5,N($AA3800)+1,N($AA3800)))</f>
        <v>0</v>
      </c>
    </row>
    <row r="3802" spans="1:27" ht="21" customHeight="1" x14ac:dyDescent="0.95">
      <c r="A3802" s="56"/>
      <c r="B3802" s="57"/>
      <c r="C3802" s="57"/>
      <c r="D3802" s="57"/>
      <c r="E3802" s="56"/>
      <c r="F3802" s="57"/>
      <c r="G3802" s="57"/>
      <c r="H3802" s="56"/>
      <c r="I3802" s="56"/>
      <c r="J3802" s="58"/>
      <c r="K3802" s="58"/>
      <c r="L3802" s="13" t="str">
        <f t="shared" si="590"/>
        <v/>
      </c>
      <c r="M3802" s="13" t="str">
        <f t="shared" si="591"/>
        <v/>
      </c>
      <c r="Q3802" t="str">
        <f t="shared" si="592"/>
        <v/>
      </c>
      <c r="R3802" t="str">
        <f t="shared" si="593"/>
        <v/>
      </c>
      <c r="S3802" t="str">
        <f t="shared" si="594"/>
        <v/>
      </c>
      <c r="T3802" t="str">
        <f t="shared" si="595"/>
        <v/>
      </c>
      <c r="U3802" t="str">
        <f t="shared" si="596"/>
        <v/>
      </c>
      <c r="V3802" t="str">
        <f t="shared" si="597"/>
        <v/>
      </c>
      <c r="W3802" t="str">
        <f t="shared" si="598"/>
        <v/>
      </c>
      <c r="X3802">
        <f>IF($T3802="",N($X3801),IF(MATCH($T3802,$T$6:$T$10005,0)=ROW()-5,N($X3801)+1,N($X3801)))</f>
        <v>0</v>
      </c>
      <c r="Z3802" t="str">
        <f t="shared" si="599"/>
        <v/>
      </c>
      <c r="AA3802">
        <f>IF($V3802="",N($AA3801),IF(MATCH($V3802,$V$6:$V$10005,0)=ROW()-5,N($AA3801)+1,N($AA3801)))</f>
        <v>0</v>
      </c>
    </row>
    <row r="3803" spans="1:27" ht="21" customHeight="1" x14ac:dyDescent="0.95">
      <c r="A3803" s="56"/>
      <c r="B3803" s="57"/>
      <c r="C3803" s="57"/>
      <c r="D3803" s="57"/>
      <c r="E3803" s="56"/>
      <c r="F3803" s="57"/>
      <c r="G3803" s="57"/>
      <c r="H3803" s="56"/>
      <c r="I3803" s="56"/>
      <c r="J3803" s="58"/>
      <c r="K3803" s="58"/>
      <c r="L3803" s="13" t="str">
        <f t="shared" si="590"/>
        <v/>
      </c>
      <c r="M3803" s="13" t="str">
        <f t="shared" si="591"/>
        <v/>
      </c>
      <c r="Q3803" t="str">
        <f t="shared" si="592"/>
        <v/>
      </c>
      <c r="R3803" t="str">
        <f t="shared" si="593"/>
        <v/>
      </c>
      <c r="S3803" t="str">
        <f t="shared" si="594"/>
        <v/>
      </c>
      <c r="T3803" t="str">
        <f t="shared" si="595"/>
        <v/>
      </c>
      <c r="U3803" t="str">
        <f t="shared" si="596"/>
        <v/>
      </c>
      <c r="V3803" t="str">
        <f t="shared" si="597"/>
        <v/>
      </c>
      <c r="W3803" t="str">
        <f t="shared" si="598"/>
        <v/>
      </c>
      <c r="X3803">
        <f>IF($T3803="",N($X3802),IF(MATCH($T3803,$T$6:$T$10005,0)=ROW()-5,N($X3802)+1,N($X3802)))</f>
        <v>0</v>
      </c>
      <c r="Z3803" t="str">
        <f t="shared" si="599"/>
        <v/>
      </c>
      <c r="AA3803">
        <f>IF($V3803="",N($AA3802),IF(MATCH($V3803,$V$6:$V$10005,0)=ROW()-5,N($AA3802)+1,N($AA3802)))</f>
        <v>0</v>
      </c>
    </row>
    <row r="3804" spans="1:27" ht="21" customHeight="1" x14ac:dyDescent="0.95">
      <c r="A3804" s="56"/>
      <c r="B3804" s="57"/>
      <c r="C3804" s="57"/>
      <c r="D3804" s="57"/>
      <c r="E3804" s="56"/>
      <c r="F3804" s="57"/>
      <c r="G3804" s="57"/>
      <c r="H3804" s="56"/>
      <c r="I3804" s="56"/>
      <c r="J3804" s="58"/>
      <c r="K3804" s="58"/>
      <c r="L3804" s="13" t="str">
        <f t="shared" si="590"/>
        <v/>
      </c>
      <c r="M3804" s="13" t="str">
        <f t="shared" si="591"/>
        <v/>
      </c>
      <c r="Q3804" t="str">
        <f t="shared" si="592"/>
        <v/>
      </c>
      <c r="R3804" t="str">
        <f t="shared" si="593"/>
        <v/>
      </c>
      <c r="S3804" t="str">
        <f t="shared" si="594"/>
        <v/>
      </c>
      <c r="T3804" t="str">
        <f t="shared" si="595"/>
        <v/>
      </c>
      <c r="U3804" t="str">
        <f t="shared" si="596"/>
        <v/>
      </c>
      <c r="V3804" t="str">
        <f t="shared" si="597"/>
        <v/>
      </c>
      <c r="W3804" t="str">
        <f t="shared" si="598"/>
        <v/>
      </c>
      <c r="X3804">
        <f>IF($T3804="",N($X3803),IF(MATCH($T3804,$T$6:$T$10005,0)=ROW()-5,N($X3803)+1,N($X3803)))</f>
        <v>0</v>
      </c>
      <c r="Z3804" t="str">
        <f t="shared" si="599"/>
        <v/>
      </c>
      <c r="AA3804">
        <f>IF($V3804="",N($AA3803),IF(MATCH($V3804,$V$6:$V$10005,0)=ROW()-5,N($AA3803)+1,N($AA3803)))</f>
        <v>0</v>
      </c>
    </row>
    <row r="3805" spans="1:27" ht="21" customHeight="1" x14ac:dyDescent="0.95">
      <c r="A3805" s="56"/>
      <c r="B3805" s="57"/>
      <c r="C3805" s="57"/>
      <c r="D3805" s="57"/>
      <c r="E3805" s="56"/>
      <c r="F3805" s="57"/>
      <c r="G3805" s="57"/>
      <c r="H3805" s="56"/>
      <c r="I3805" s="56"/>
      <c r="J3805" s="58"/>
      <c r="K3805" s="58"/>
      <c r="L3805" s="13" t="str">
        <f t="shared" si="590"/>
        <v/>
      </c>
      <c r="M3805" s="13" t="str">
        <f t="shared" si="591"/>
        <v/>
      </c>
      <c r="Q3805" t="str">
        <f t="shared" si="592"/>
        <v/>
      </c>
      <c r="R3805" t="str">
        <f t="shared" si="593"/>
        <v/>
      </c>
      <c r="S3805" t="str">
        <f t="shared" si="594"/>
        <v/>
      </c>
      <c r="T3805" t="str">
        <f t="shared" si="595"/>
        <v/>
      </c>
      <c r="U3805" t="str">
        <f t="shared" si="596"/>
        <v/>
      </c>
      <c r="V3805" t="str">
        <f t="shared" si="597"/>
        <v/>
      </c>
      <c r="W3805" t="str">
        <f t="shared" si="598"/>
        <v/>
      </c>
      <c r="X3805">
        <f>IF($T3805="",N($X3804),IF(MATCH($T3805,$T$6:$T$10005,0)=ROW()-5,N($X3804)+1,N($X3804)))</f>
        <v>0</v>
      </c>
      <c r="Z3805" t="str">
        <f t="shared" si="599"/>
        <v/>
      </c>
      <c r="AA3805">
        <f>IF($V3805="",N($AA3804),IF(MATCH($V3805,$V$6:$V$10005,0)=ROW()-5,N($AA3804)+1,N($AA3804)))</f>
        <v>0</v>
      </c>
    </row>
    <row r="3806" spans="1:27" ht="21" customHeight="1" x14ac:dyDescent="0.95">
      <c r="A3806" s="56"/>
      <c r="B3806" s="57"/>
      <c r="C3806" s="57"/>
      <c r="D3806" s="57"/>
      <c r="E3806" s="56"/>
      <c r="F3806" s="57"/>
      <c r="G3806" s="57"/>
      <c r="H3806" s="56"/>
      <c r="I3806" s="56"/>
      <c r="J3806" s="58"/>
      <c r="K3806" s="58"/>
      <c r="L3806" s="13" t="str">
        <f t="shared" si="590"/>
        <v/>
      </c>
      <c r="M3806" s="13" t="str">
        <f t="shared" si="591"/>
        <v/>
      </c>
      <c r="Q3806" t="str">
        <f t="shared" si="592"/>
        <v/>
      </c>
      <c r="R3806" t="str">
        <f t="shared" si="593"/>
        <v/>
      </c>
      <c r="S3806" t="str">
        <f t="shared" si="594"/>
        <v/>
      </c>
      <c r="T3806" t="str">
        <f t="shared" si="595"/>
        <v/>
      </c>
      <c r="U3806" t="str">
        <f t="shared" si="596"/>
        <v/>
      </c>
      <c r="V3806" t="str">
        <f t="shared" si="597"/>
        <v/>
      </c>
      <c r="W3806" t="str">
        <f t="shared" si="598"/>
        <v/>
      </c>
      <c r="X3806">
        <f>IF($T3806="",N($X3805),IF(MATCH($T3806,$T$6:$T$10005,0)=ROW()-5,N($X3805)+1,N($X3805)))</f>
        <v>0</v>
      </c>
      <c r="Z3806" t="str">
        <f t="shared" si="599"/>
        <v/>
      </c>
      <c r="AA3806">
        <f>IF($V3806="",N($AA3805),IF(MATCH($V3806,$V$6:$V$10005,0)=ROW()-5,N($AA3805)+1,N($AA3805)))</f>
        <v>0</v>
      </c>
    </row>
    <row r="3807" spans="1:27" ht="21" customHeight="1" x14ac:dyDescent="0.95">
      <c r="A3807" s="56"/>
      <c r="B3807" s="57"/>
      <c r="C3807" s="57"/>
      <c r="D3807" s="57"/>
      <c r="E3807" s="56"/>
      <c r="F3807" s="57"/>
      <c r="G3807" s="57"/>
      <c r="H3807" s="56"/>
      <c r="I3807" s="56"/>
      <c r="J3807" s="58"/>
      <c r="K3807" s="58"/>
      <c r="L3807" s="13" t="str">
        <f t="shared" si="590"/>
        <v/>
      </c>
      <c r="M3807" s="13" t="str">
        <f t="shared" si="591"/>
        <v/>
      </c>
      <c r="Q3807" t="str">
        <f t="shared" si="592"/>
        <v/>
      </c>
      <c r="R3807" t="str">
        <f t="shared" si="593"/>
        <v/>
      </c>
      <c r="S3807" t="str">
        <f t="shared" si="594"/>
        <v/>
      </c>
      <c r="T3807" t="str">
        <f t="shared" si="595"/>
        <v/>
      </c>
      <c r="U3807" t="str">
        <f t="shared" si="596"/>
        <v/>
      </c>
      <c r="V3807" t="str">
        <f t="shared" si="597"/>
        <v/>
      </c>
      <c r="W3807" t="str">
        <f t="shared" si="598"/>
        <v/>
      </c>
      <c r="X3807">
        <f>IF($T3807="",N($X3806),IF(MATCH($T3807,$T$6:$T$10005,0)=ROW()-5,N($X3806)+1,N($X3806)))</f>
        <v>0</v>
      </c>
      <c r="Z3807" t="str">
        <f t="shared" si="599"/>
        <v/>
      </c>
      <c r="AA3807">
        <f>IF($V3807="",N($AA3806),IF(MATCH($V3807,$V$6:$V$10005,0)=ROW()-5,N($AA3806)+1,N($AA3806)))</f>
        <v>0</v>
      </c>
    </row>
    <row r="3808" spans="1:27" ht="21" customHeight="1" x14ac:dyDescent="0.95">
      <c r="A3808" s="56"/>
      <c r="B3808" s="57"/>
      <c r="C3808" s="57"/>
      <c r="D3808" s="57"/>
      <c r="E3808" s="56"/>
      <c r="F3808" s="57"/>
      <c r="G3808" s="57"/>
      <c r="H3808" s="56"/>
      <c r="I3808" s="56"/>
      <c r="J3808" s="58"/>
      <c r="K3808" s="58"/>
      <c r="L3808" s="13" t="str">
        <f t="shared" si="590"/>
        <v/>
      </c>
      <c r="M3808" s="13" t="str">
        <f t="shared" si="591"/>
        <v/>
      </c>
      <c r="Q3808" t="str">
        <f t="shared" si="592"/>
        <v/>
      </c>
      <c r="R3808" t="str">
        <f t="shared" si="593"/>
        <v/>
      </c>
      <c r="S3808" t="str">
        <f t="shared" si="594"/>
        <v/>
      </c>
      <c r="T3808" t="str">
        <f t="shared" si="595"/>
        <v/>
      </c>
      <c r="U3808" t="str">
        <f t="shared" si="596"/>
        <v/>
      </c>
      <c r="V3808" t="str">
        <f t="shared" si="597"/>
        <v/>
      </c>
      <c r="W3808" t="str">
        <f t="shared" si="598"/>
        <v/>
      </c>
      <c r="X3808">
        <f>IF($T3808="",N($X3807),IF(MATCH($T3808,$T$6:$T$10005,0)=ROW()-5,N($X3807)+1,N($X3807)))</f>
        <v>0</v>
      </c>
      <c r="Z3808" t="str">
        <f t="shared" si="599"/>
        <v/>
      </c>
      <c r="AA3808">
        <f>IF($V3808="",N($AA3807),IF(MATCH($V3808,$V$6:$V$10005,0)=ROW()-5,N($AA3807)+1,N($AA3807)))</f>
        <v>0</v>
      </c>
    </row>
    <row r="3809" spans="1:27" ht="21" customHeight="1" x14ac:dyDescent="0.95">
      <c r="A3809" s="56"/>
      <c r="B3809" s="57"/>
      <c r="C3809" s="57"/>
      <c r="D3809" s="57"/>
      <c r="E3809" s="56"/>
      <c r="F3809" s="57"/>
      <c r="G3809" s="57"/>
      <c r="H3809" s="56"/>
      <c r="I3809" s="56"/>
      <c r="J3809" s="58"/>
      <c r="K3809" s="58"/>
      <c r="L3809" s="13" t="str">
        <f t="shared" si="590"/>
        <v/>
      </c>
      <c r="M3809" s="13" t="str">
        <f t="shared" si="591"/>
        <v/>
      </c>
      <c r="Q3809" t="str">
        <f t="shared" si="592"/>
        <v/>
      </c>
      <c r="R3809" t="str">
        <f t="shared" si="593"/>
        <v/>
      </c>
      <c r="S3809" t="str">
        <f t="shared" si="594"/>
        <v/>
      </c>
      <c r="T3809" t="str">
        <f t="shared" si="595"/>
        <v/>
      </c>
      <c r="U3809" t="str">
        <f t="shared" si="596"/>
        <v/>
      </c>
      <c r="V3809" t="str">
        <f t="shared" si="597"/>
        <v/>
      </c>
      <c r="W3809" t="str">
        <f t="shared" si="598"/>
        <v/>
      </c>
      <c r="X3809">
        <f>IF($T3809="",N($X3808),IF(MATCH($T3809,$T$6:$T$10005,0)=ROW()-5,N($X3808)+1,N($X3808)))</f>
        <v>0</v>
      </c>
      <c r="Z3809" t="str">
        <f t="shared" si="599"/>
        <v/>
      </c>
      <c r="AA3809">
        <f>IF($V3809="",N($AA3808),IF(MATCH($V3809,$V$6:$V$10005,0)=ROW()-5,N($AA3808)+1,N($AA3808)))</f>
        <v>0</v>
      </c>
    </row>
    <row r="3810" spans="1:27" ht="21" customHeight="1" x14ac:dyDescent="0.95">
      <c r="A3810" s="56"/>
      <c r="B3810" s="57"/>
      <c r="C3810" s="57"/>
      <c r="D3810" s="57"/>
      <c r="E3810" s="56"/>
      <c r="F3810" s="57"/>
      <c r="G3810" s="57"/>
      <c r="H3810" s="56"/>
      <c r="I3810" s="56"/>
      <c r="J3810" s="58"/>
      <c r="K3810" s="58"/>
      <c r="L3810" s="13" t="str">
        <f t="shared" si="590"/>
        <v/>
      </c>
      <c r="M3810" s="13" t="str">
        <f t="shared" si="591"/>
        <v/>
      </c>
      <c r="Q3810" t="str">
        <f t="shared" si="592"/>
        <v/>
      </c>
      <c r="R3810" t="str">
        <f t="shared" si="593"/>
        <v/>
      </c>
      <c r="S3810" t="str">
        <f t="shared" si="594"/>
        <v/>
      </c>
      <c r="T3810" t="str">
        <f t="shared" si="595"/>
        <v/>
      </c>
      <c r="U3810" t="str">
        <f t="shared" si="596"/>
        <v/>
      </c>
      <c r="V3810" t="str">
        <f t="shared" si="597"/>
        <v/>
      </c>
      <c r="W3810" t="str">
        <f t="shared" si="598"/>
        <v/>
      </c>
      <c r="X3810">
        <f>IF($T3810="",N($X3809),IF(MATCH($T3810,$T$6:$T$10005,0)=ROW()-5,N($X3809)+1,N($X3809)))</f>
        <v>0</v>
      </c>
      <c r="Z3810" t="str">
        <f t="shared" si="599"/>
        <v/>
      </c>
      <c r="AA3810">
        <f>IF($V3810="",N($AA3809),IF(MATCH($V3810,$V$6:$V$10005,0)=ROW()-5,N($AA3809)+1,N($AA3809)))</f>
        <v>0</v>
      </c>
    </row>
    <row r="3811" spans="1:27" ht="21" customHeight="1" x14ac:dyDescent="0.95">
      <c r="A3811" s="56"/>
      <c r="B3811" s="57"/>
      <c r="C3811" s="57"/>
      <c r="D3811" s="57"/>
      <c r="E3811" s="56"/>
      <c r="F3811" s="57"/>
      <c r="G3811" s="57"/>
      <c r="H3811" s="56"/>
      <c r="I3811" s="56"/>
      <c r="J3811" s="58"/>
      <c r="K3811" s="58"/>
      <c r="L3811" s="13" t="str">
        <f t="shared" si="590"/>
        <v/>
      </c>
      <c r="M3811" s="13" t="str">
        <f t="shared" si="591"/>
        <v/>
      </c>
      <c r="Q3811" t="str">
        <f t="shared" si="592"/>
        <v/>
      </c>
      <c r="R3811" t="str">
        <f t="shared" si="593"/>
        <v/>
      </c>
      <c r="S3811" t="str">
        <f t="shared" si="594"/>
        <v/>
      </c>
      <c r="T3811" t="str">
        <f t="shared" si="595"/>
        <v/>
      </c>
      <c r="U3811" t="str">
        <f t="shared" si="596"/>
        <v/>
      </c>
      <c r="V3811" t="str">
        <f t="shared" si="597"/>
        <v/>
      </c>
      <c r="W3811" t="str">
        <f t="shared" si="598"/>
        <v/>
      </c>
      <c r="X3811">
        <f>IF($T3811="",N($X3810),IF(MATCH($T3811,$T$6:$T$10005,0)=ROW()-5,N($X3810)+1,N($X3810)))</f>
        <v>0</v>
      </c>
      <c r="Z3811" t="str">
        <f t="shared" si="599"/>
        <v/>
      </c>
      <c r="AA3811">
        <f>IF($V3811="",N($AA3810),IF(MATCH($V3811,$V$6:$V$10005,0)=ROW()-5,N($AA3810)+1,N($AA3810)))</f>
        <v>0</v>
      </c>
    </row>
    <row r="3812" spans="1:27" ht="21" customHeight="1" x14ac:dyDescent="0.95">
      <c r="A3812" s="56"/>
      <c r="B3812" s="57"/>
      <c r="C3812" s="57"/>
      <c r="D3812" s="57"/>
      <c r="E3812" s="56"/>
      <c r="F3812" s="57"/>
      <c r="G3812" s="57"/>
      <c r="H3812" s="56"/>
      <c r="I3812" s="56"/>
      <c r="J3812" s="58"/>
      <c r="K3812" s="58"/>
      <c r="L3812" s="13" t="str">
        <f t="shared" si="590"/>
        <v/>
      </c>
      <c r="M3812" s="13" t="str">
        <f t="shared" si="591"/>
        <v/>
      </c>
      <c r="Q3812" t="str">
        <f t="shared" si="592"/>
        <v/>
      </c>
      <c r="R3812" t="str">
        <f t="shared" si="593"/>
        <v/>
      </c>
      <c r="S3812" t="str">
        <f t="shared" si="594"/>
        <v/>
      </c>
      <c r="T3812" t="str">
        <f t="shared" si="595"/>
        <v/>
      </c>
      <c r="U3812" t="str">
        <f t="shared" si="596"/>
        <v/>
      </c>
      <c r="V3812" t="str">
        <f t="shared" si="597"/>
        <v/>
      </c>
      <c r="W3812" t="str">
        <f t="shared" si="598"/>
        <v/>
      </c>
      <c r="X3812">
        <f>IF($T3812="",N($X3811),IF(MATCH($T3812,$T$6:$T$10005,0)=ROW()-5,N($X3811)+1,N($X3811)))</f>
        <v>0</v>
      </c>
      <c r="Z3812" t="str">
        <f t="shared" si="599"/>
        <v/>
      </c>
      <c r="AA3812">
        <f>IF($V3812="",N($AA3811),IF(MATCH($V3812,$V$6:$V$10005,0)=ROW()-5,N($AA3811)+1,N($AA3811)))</f>
        <v>0</v>
      </c>
    </row>
    <row r="3813" spans="1:27" ht="21" customHeight="1" x14ac:dyDescent="0.95">
      <c r="A3813" s="56"/>
      <c r="B3813" s="57"/>
      <c r="C3813" s="57"/>
      <c r="D3813" s="57"/>
      <c r="E3813" s="56"/>
      <c r="F3813" s="57"/>
      <c r="G3813" s="57"/>
      <c r="H3813" s="56"/>
      <c r="I3813" s="56"/>
      <c r="J3813" s="58"/>
      <c r="K3813" s="58"/>
      <c r="L3813" s="13" t="str">
        <f t="shared" si="590"/>
        <v/>
      </c>
      <c r="M3813" s="13" t="str">
        <f t="shared" si="591"/>
        <v/>
      </c>
      <c r="Q3813" t="str">
        <f t="shared" si="592"/>
        <v/>
      </c>
      <c r="R3813" t="str">
        <f t="shared" si="593"/>
        <v/>
      </c>
      <c r="S3813" t="str">
        <f t="shared" si="594"/>
        <v/>
      </c>
      <c r="T3813" t="str">
        <f t="shared" si="595"/>
        <v/>
      </c>
      <c r="U3813" t="str">
        <f t="shared" si="596"/>
        <v/>
      </c>
      <c r="V3813" t="str">
        <f t="shared" si="597"/>
        <v/>
      </c>
      <c r="W3813" t="str">
        <f t="shared" si="598"/>
        <v/>
      </c>
      <c r="X3813">
        <f>IF($T3813="",N($X3812),IF(MATCH($T3813,$T$6:$T$10005,0)=ROW()-5,N($X3812)+1,N($X3812)))</f>
        <v>0</v>
      </c>
      <c r="Z3813" t="str">
        <f t="shared" si="599"/>
        <v/>
      </c>
      <c r="AA3813">
        <f>IF($V3813="",N($AA3812),IF(MATCH($V3813,$V$6:$V$10005,0)=ROW()-5,N($AA3812)+1,N($AA3812)))</f>
        <v>0</v>
      </c>
    </row>
    <row r="3814" spans="1:27" ht="21" customHeight="1" x14ac:dyDescent="0.95">
      <c r="A3814" s="56"/>
      <c r="B3814" s="57"/>
      <c r="C3814" s="57"/>
      <c r="D3814" s="57"/>
      <c r="E3814" s="56"/>
      <c r="F3814" s="57"/>
      <c r="G3814" s="57"/>
      <c r="H3814" s="56"/>
      <c r="I3814" s="56"/>
      <c r="J3814" s="58"/>
      <c r="K3814" s="58"/>
      <c r="L3814" s="13" t="str">
        <f t="shared" si="590"/>
        <v/>
      </c>
      <c r="M3814" s="13" t="str">
        <f t="shared" si="591"/>
        <v/>
      </c>
      <c r="Q3814" t="str">
        <f t="shared" si="592"/>
        <v/>
      </c>
      <c r="R3814" t="str">
        <f t="shared" si="593"/>
        <v/>
      </c>
      <c r="S3814" t="str">
        <f t="shared" si="594"/>
        <v/>
      </c>
      <c r="T3814" t="str">
        <f t="shared" si="595"/>
        <v/>
      </c>
      <c r="U3814" t="str">
        <f t="shared" si="596"/>
        <v/>
      </c>
      <c r="V3814" t="str">
        <f t="shared" si="597"/>
        <v/>
      </c>
      <c r="W3814" t="str">
        <f t="shared" si="598"/>
        <v/>
      </c>
      <c r="X3814">
        <f>IF($T3814="",N($X3813),IF(MATCH($T3814,$T$6:$T$10005,0)=ROW()-5,N($X3813)+1,N($X3813)))</f>
        <v>0</v>
      </c>
      <c r="Z3814" t="str">
        <f t="shared" si="599"/>
        <v/>
      </c>
      <c r="AA3814">
        <f>IF($V3814="",N($AA3813),IF(MATCH($V3814,$V$6:$V$10005,0)=ROW()-5,N($AA3813)+1,N($AA3813)))</f>
        <v>0</v>
      </c>
    </row>
    <row r="3815" spans="1:27" ht="21" customHeight="1" x14ac:dyDescent="0.95">
      <c r="A3815" s="56"/>
      <c r="B3815" s="57"/>
      <c r="C3815" s="57"/>
      <c r="D3815" s="57"/>
      <c r="E3815" s="56"/>
      <c r="F3815" s="57"/>
      <c r="G3815" s="57"/>
      <c r="H3815" s="56"/>
      <c r="I3815" s="56"/>
      <c r="J3815" s="58"/>
      <c r="K3815" s="58"/>
      <c r="L3815" s="13" t="str">
        <f t="shared" si="590"/>
        <v/>
      </c>
      <c r="M3815" s="13" t="str">
        <f t="shared" si="591"/>
        <v/>
      </c>
      <c r="Q3815" t="str">
        <f t="shared" si="592"/>
        <v/>
      </c>
      <c r="R3815" t="str">
        <f t="shared" si="593"/>
        <v/>
      </c>
      <c r="S3815" t="str">
        <f t="shared" si="594"/>
        <v/>
      </c>
      <c r="T3815" t="str">
        <f t="shared" si="595"/>
        <v/>
      </c>
      <c r="U3815" t="str">
        <f t="shared" si="596"/>
        <v/>
      </c>
      <c r="V3815" t="str">
        <f t="shared" si="597"/>
        <v/>
      </c>
      <c r="W3815" t="str">
        <f t="shared" si="598"/>
        <v/>
      </c>
      <c r="X3815">
        <f>IF($T3815="",N($X3814),IF(MATCH($T3815,$T$6:$T$10005,0)=ROW()-5,N($X3814)+1,N($X3814)))</f>
        <v>0</v>
      </c>
      <c r="Z3815" t="str">
        <f t="shared" si="599"/>
        <v/>
      </c>
      <c r="AA3815">
        <f>IF($V3815="",N($AA3814),IF(MATCH($V3815,$V$6:$V$10005,0)=ROW()-5,N($AA3814)+1,N($AA3814)))</f>
        <v>0</v>
      </c>
    </row>
    <row r="3816" spans="1:27" ht="21" customHeight="1" x14ac:dyDescent="0.95">
      <c r="A3816" s="56"/>
      <c r="B3816" s="57"/>
      <c r="C3816" s="57"/>
      <c r="D3816" s="57"/>
      <c r="E3816" s="56"/>
      <c r="F3816" s="57"/>
      <c r="G3816" s="57"/>
      <c r="H3816" s="56"/>
      <c r="I3816" s="56"/>
      <c r="J3816" s="58"/>
      <c r="K3816" s="58"/>
      <c r="L3816" s="13" t="str">
        <f t="shared" si="590"/>
        <v/>
      </c>
      <c r="M3816" s="13" t="str">
        <f t="shared" si="591"/>
        <v/>
      </c>
      <c r="Q3816" t="str">
        <f t="shared" si="592"/>
        <v/>
      </c>
      <c r="R3816" t="str">
        <f t="shared" si="593"/>
        <v/>
      </c>
      <c r="S3816" t="str">
        <f t="shared" si="594"/>
        <v/>
      </c>
      <c r="T3816" t="str">
        <f t="shared" si="595"/>
        <v/>
      </c>
      <c r="U3816" t="str">
        <f t="shared" si="596"/>
        <v/>
      </c>
      <c r="V3816" t="str">
        <f t="shared" si="597"/>
        <v/>
      </c>
      <c r="W3816" t="str">
        <f t="shared" si="598"/>
        <v/>
      </c>
      <c r="X3816">
        <f>IF($T3816="",N($X3815),IF(MATCH($T3816,$T$6:$T$10005,0)=ROW()-5,N($X3815)+1,N($X3815)))</f>
        <v>0</v>
      </c>
      <c r="Z3816" t="str">
        <f t="shared" si="599"/>
        <v/>
      </c>
      <c r="AA3816">
        <f>IF($V3816="",N($AA3815),IF(MATCH($V3816,$V$6:$V$10005,0)=ROW()-5,N($AA3815)+1,N($AA3815)))</f>
        <v>0</v>
      </c>
    </row>
    <row r="3817" spans="1:27" ht="21" customHeight="1" x14ac:dyDescent="0.95">
      <c r="A3817" s="56"/>
      <c r="B3817" s="57"/>
      <c r="C3817" s="57"/>
      <c r="D3817" s="57"/>
      <c r="E3817" s="56"/>
      <c r="F3817" s="57"/>
      <c r="G3817" s="57"/>
      <c r="H3817" s="56"/>
      <c r="I3817" s="56"/>
      <c r="J3817" s="58"/>
      <c r="K3817" s="58"/>
      <c r="L3817" s="13" t="str">
        <f t="shared" si="590"/>
        <v/>
      </c>
      <c r="M3817" s="13" t="str">
        <f t="shared" si="591"/>
        <v/>
      </c>
      <c r="Q3817" t="str">
        <f t="shared" si="592"/>
        <v/>
      </c>
      <c r="R3817" t="str">
        <f t="shared" si="593"/>
        <v/>
      </c>
      <c r="S3817" t="str">
        <f t="shared" si="594"/>
        <v/>
      </c>
      <c r="T3817" t="str">
        <f t="shared" si="595"/>
        <v/>
      </c>
      <c r="U3817" t="str">
        <f t="shared" si="596"/>
        <v/>
      </c>
      <c r="V3817" t="str">
        <f t="shared" si="597"/>
        <v/>
      </c>
      <c r="W3817" t="str">
        <f t="shared" si="598"/>
        <v/>
      </c>
      <c r="X3817">
        <f>IF($T3817="",N($X3816),IF(MATCH($T3817,$T$6:$T$10005,0)=ROW()-5,N($X3816)+1,N($X3816)))</f>
        <v>0</v>
      </c>
      <c r="Z3817" t="str">
        <f t="shared" si="599"/>
        <v/>
      </c>
      <c r="AA3817">
        <f>IF($V3817="",N($AA3816),IF(MATCH($V3817,$V$6:$V$10005,0)=ROW()-5,N($AA3816)+1,N($AA3816)))</f>
        <v>0</v>
      </c>
    </row>
    <row r="3818" spans="1:27" ht="21" customHeight="1" x14ac:dyDescent="0.95">
      <c r="A3818" s="56"/>
      <c r="B3818" s="57"/>
      <c r="C3818" s="57"/>
      <c r="D3818" s="57"/>
      <c r="E3818" s="56"/>
      <c r="F3818" s="57"/>
      <c r="G3818" s="57"/>
      <c r="H3818" s="56"/>
      <c r="I3818" s="56"/>
      <c r="J3818" s="58"/>
      <c r="K3818" s="58"/>
      <c r="L3818" s="13" t="str">
        <f t="shared" si="590"/>
        <v/>
      </c>
      <c r="M3818" s="13" t="str">
        <f t="shared" si="591"/>
        <v/>
      </c>
      <c r="Q3818" t="str">
        <f t="shared" si="592"/>
        <v/>
      </c>
      <c r="R3818" t="str">
        <f t="shared" si="593"/>
        <v/>
      </c>
      <c r="S3818" t="str">
        <f t="shared" si="594"/>
        <v/>
      </c>
      <c r="T3818" t="str">
        <f t="shared" si="595"/>
        <v/>
      </c>
      <c r="U3818" t="str">
        <f t="shared" si="596"/>
        <v/>
      </c>
      <c r="V3818" t="str">
        <f t="shared" si="597"/>
        <v/>
      </c>
      <c r="W3818" t="str">
        <f t="shared" si="598"/>
        <v/>
      </c>
      <c r="X3818">
        <f>IF($T3818="",N($X3817),IF(MATCH($T3818,$T$6:$T$10005,0)=ROW()-5,N($X3817)+1,N($X3817)))</f>
        <v>0</v>
      </c>
      <c r="Z3818" t="str">
        <f t="shared" si="599"/>
        <v/>
      </c>
      <c r="AA3818">
        <f>IF($V3818="",N($AA3817),IF(MATCH($V3818,$V$6:$V$10005,0)=ROW()-5,N($AA3817)+1,N($AA3817)))</f>
        <v>0</v>
      </c>
    </row>
    <row r="3819" spans="1:27" ht="21" customHeight="1" x14ac:dyDescent="0.95">
      <c r="A3819" s="56"/>
      <c r="B3819" s="57"/>
      <c r="C3819" s="57"/>
      <c r="D3819" s="57"/>
      <c r="E3819" s="56"/>
      <c r="F3819" s="57"/>
      <c r="G3819" s="57"/>
      <c r="H3819" s="56"/>
      <c r="I3819" s="56"/>
      <c r="J3819" s="58"/>
      <c r="K3819" s="58"/>
      <c r="L3819" s="13" t="str">
        <f t="shared" si="590"/>
        <v/>
      </c>
      <c r="M3819" s="13" t="str">
        <f t="shared" si="591"/>
        <v/>
      </c>
      <c r="Q3819" t="str">
        <f t="shared" si="592"/>
        <v/>
      </c>
      <c r="R3819" t="str">
        <f t="shared" si="593"/>
        <v/>
      </c>
      <c r="S3819" t="str">
        <f t="shared" si="594"/>
        <v/>
      </c>
      <c r="T3819" t="str">
        <f t="shared" si="595"/>
        <v/>
      </c>
      <c r="U3819" t="str">
        <f t="shared" si="596"/>
        <v/>
      </c>
      <c r="V3819" t="str">
        <f t="shared" si="597"/>
        <v/>
      </c>
      <c r="W3819" t="str">
        <f t="shared" si="598"/>
        <v/>
      </c>
      <c r="X3819">
        <f>IF($T3819="",N($X3818),IF(MATCH($T3819,$T$6:$T$10005,0)=ROW()-5,N($X3818)+1,N($X3818)))</f>
        <v>0</v>
      </c>
      <c r="Z3819" t="str">
        <f t="shared" si="599"/>
        <v/>
      </c>
      <c r="AA3819">
        <f>IF($V3819="",N($AA3818),IF(MATCH($V3819,$V$6:$V$10005,0)=ROW()-5,N($AA3818)+1,N($AA3818)))</f>
        <v>0</v>
      </c>
    </row>
    <row r="3820" spans="1:27" ht="21" customHeight="1" x14ac:dyDescent="0.95">
      <c r="A3820" s="56"/>
      <c r="B3820" s="57"/>
      <c r="C3820" s="57"/>
      <c r="D3820" s="57"/>
      <c r="E3820" s="56"/>
      <c r="F3820" s="57"/>
      <c r="G3820" s="57"/>
      <c r="H3820" s="56"/>
      <c r="I3820" s="56"/>
      <c r="J3820" s="58"/>
      <c r="K3820" s="58"/>
      <c r="L3820" s="13" t="str">
        <f t="shared" si="590"/>
        <v/>
      </c>
      <c r="M3820" s="13" t="str">
        <f t="shared" si="591"/>
        <v/>
      </c>
      <c r="Q3820" t="str">
        <f t="shared" si="592"/>
        <v/>
      </c>
      <c r="R3820" t="str">
        <f t="shared" si="593"/>
        <v/>
      </c>
      <c r="S3820" t="str">
        <f t="shared" si="594"/>
        <v/>
      </c>
      <c r="T3820" t="str">
        <f t="shared" si="595"/>
        <v/>
      </c>
      <c r="U3820" t="str">
        <f t="shared" si="596"/>
        <v/>
      </c>
      <c r="V3820" t="str">
        <f t="shared" si="597"/>
        <v/>
      </c>
      <c r="W3820" t="str">
        <f t="shared" si="598"/>
        <v/>
      </c>
      <c r="X3820">
        <f>IF($T3820="",N($X3819),IF(MATCH($T3820,$T$6:$T$10005,0)=ROW()-5,N($X3819)+1,N($X3819)))</f>
        <v>0</v>
      </c>
      <c r="Z3820" t="str">
        <f t="shared" si="599"/>
        <v/>
      </c>
      <c r="AA3820">
        <f>IF($V3820="",N($AA3819),IF(MATCH($V3820,$V$6:$V$10005,0)=ROW()-5,N($AA3819)+1,N($AA3819)))</f>
        <v>0</v>
      </c>
    </row>
    <row r="3821" spans="1:27" ht="21" customHeight="1" x14ac:dyDescent="0.95">
      <c r="A3821" s="56"/>
      <c r="B3821" s="57"/>
      <c r="C3821" s="57"/>
      <c r="D3821" s="57"/>
      <c r="E3821" s="56"/>
      <c r="F3821" s="57"/>
      <c r="G3821" s="57"/>
      <c r="H3821" s="56"/>
      <c r="I3821" s="56"/>
      <c r="J3821" s="58"/>
      <c r="K3821" s="58"/>
      <c r="L3821" s="13" t="str">
        <f t="shared" si="590"/>
        <v/>
      </c>
      <c r="M3821" s="13" t="str">
        <f t="shared" si="591"/>
        <v/>
      </c>
      <c r="Q3821" t="str">
        <f t="shared" si="592"/>
        <v/>
      </c>
      <c r="R3821" t="str">
        <f t="shared" si="593"/>
        <v/>
      </c>
      <c r="S3821" t="str">
        <f t="shared" si="594"/>
        <v/>
      </c>
      <c r="T3821" t="str">
        <f t="shared" si="595"/>
        <v/>
      </c>
      <c r="U3821" t="str">
        <f t="shared" si="596"/>
        <v/>
      </c>
      <c r="V3821" t="str">
        <f t="shared" si="597"/>
        <v/>
      </c>
      <c r="W3821" t="str">
        <f t="shared" si="598"/>
        <v/>
      </c>
      <c r="X3821">
        <f>IF($T3821="",N($X3820),IF(MATCH($T3821,$T$6:$T$10005,0)=ROW()-5,N($X3820)+1,N($X3820)))</f>
        <v>0</v>
      </c>
      <c r="Z3821" t="str">
        <f t="shared" si="599"/>
        <v/>
      </c>
      <c r="AA3821">
        <f>IF($V3821="",N($AA3820),IF(MATCH($V3821,$V$6:$V$10005,0)=ROW()-5,N($AA3820)+1,N($AA3820)))</f>
        <v>0</v>
      </c>
    </row>
    <row r="3822" spans="1:27" ht="21" customHeight="1" x14ac:dyDescent="0.95">
      <c r="A3822" s="56"/>
      <c r="B3822" s="57"/>
      <c r="C3822" s="57"/>
      <c r="D3822" s="57"/>
      <c r="E3822" s="56"/>
      <c r="F3822" s="57"/>
      <c r="G3822" s="57"/>
      <c r="H3822" s="56"/>
      <c r="I3822" s="56"/>
      <c r="J3822" s="58"/>
      <c r="K3822" s="58"/>
      <c r="L3822" s="13" t="str">
        <f t="shared" si="590"/>
        <v/>
      </c>
      <c r="M3822" s="13" t="str">
        <f t="shared" si="591"/>
        <v/>
      </c>
      <c r="Q3822" t="str">
        <f t="shared" si="592"/>
        <v/>
      </c>
      <c r="R3822" t="str">
        <f t="shared" si="593"/>
        <v/>
      </c>
      <c r="S3822" t="str">
        <f t="shared" si="594"/>
        <v/>
      </c>
      <c r="T3822" t="str">
        <f t="shared" si="595"/>
        <v/>
      </c>
      <c r="U3822" t="str">
        <f t="shared" si="596"/>
        <v/>
      </c>
      <c r="V3822" t="str">
        <f t="shared" si="597"/>
        <v/>
      </c>
      <c r="W3822" t="str">
        <f t="shared" si="598"/>
        <v/>
      </c>
      <c r="X3822">
        <f>IF($T3822="",N($X3821),IF(MATCH($T3822,$T$6:$T$10005,0)=ROW()-5,N($X3821)+1,N($X3821)))</f>
        <v>0</v>
      </c>
      <c r="Z3822" t="str">
        <f t="shared" si="599"/>
        <v/>
      </c>
      <c r="AA3822">
        <f>IF($V3822="",N($AA3821),IF(MATCH($V3822,$V$6:$V$10005,0)=ROW()-5,N($AA3821)+1,N($AA3821)))</f>
        <v>0</v>
      </c>
    </row>
    <row r="3823" spans="1:27" ht="21" customHeight="1" x14ac:dyDescent="0.95">
      <c r="A3823" s="56"/>
      <c r="B3823" s="57"/>
      <c r="C3823" s="57"/>
      <c r="D3823" s="57"/>
      <c r="E3823" s="56"/>
      <c r="F3823" s="57"/>
      <c r="G3823" s="57"/>
      <c r="H3823" s="56"/>
      <c r="I3823" s="56"/>
      <c r="J3823" s="58"/>
      <c r="K3823" s="58"/>
      <c r="L3823" s="13" t="str">
        <f t="shared" si="590"/>
        <v/>
      </c>
      <c r="M3823" s="13" t="str">
        <f t="shared" si="591"/>
        <v/>
      </c>
      <c r="Q3823" t="str">
        <f t="shared" si="592"/>
        <v/>
      </c>
      <c r="R3823" t="str">
        <f t="shared" si="593"/>
        <v/>
      </c>
      <c r="S3823" t="str">
        <f t="shared" si="594"/>
        <v/>
      </c>
      <c r="T3823" t="str">
        <f t="shared" si="595"/>
        <v/>
      </c>
      <c r="U3823" t="str">
        <f t="shared" si="596"/>
        <v/>
      </c>
      <c r="V3823" t="str">
        <f t="shared" si="597"/>
        <v/>
      </c>
      <c r="W3823" t="str">
        <f t="shared" si="598"/>
        <v/>
      </c>
      <c r="X3823">
        <f>IF($T3823="",N($X3822),IF(MATCH($T3823,$T$6:$T$10005,0)=ROW()-5,N($X3822)+1,N($X3822)))</f>
        <v>0</v>
      </c>
      <c r="Z3823" t="str">
        <f t="shared" si="599"/>
        <v/>
      </c>
      <c r="AA3823">
        <f>IF($V3823="",N($AA3822),IF(MATCH($V3823,$V$6:$V$10005,0)=ROW()-5,N($AA3822)+1,N($AA3822)))</f>
        <v>0</v>
      </c>
    </row>
    <row r="3824" spans="1:27" ht="21" customHeight="1" x14ac:dyDescent="0.95">
      <c r="A3824" s="56"/>
      <c r="B3824" s="57"/>
      <c r="C3824" s="57"/>
      <c r="D3824" s="57"/>
      <c r="E3824" s="56"/>
      <c r="F3824" s="57"/>
      <c r="G3824" s="57"/>
      <c r="H3824" s="56"/>
      <c r="I3824" s="56"/>
      <c r="J3824" s="58"/>
      <c r="K3824" s="58"/>
      <c r="L3824" s="13" t="str">
        <f t="shared" si="590"/>
        <v/>
      </c>
      <c r="M3824" s="13" t="str">
        <f t="shared" si="591"/>
        <v/>
      </c>
      <c r="Q3824" t="str">
        <f t="shared" si="592"/>
        <v/>
      </c>
      <c r="R3824" t="str">
        <f t="shared" si="593"/>
        <v/>
      </c>
      <c r="S3824" t="str">
        <f t="shared" si="594"/>
        <v/>
      </c>
      <c r="T3824" t="str">
        <f t="shared" si="595"/>
        <v/>
      </c>
      <c r="U3824" t="str">
        <f t="shared" si="596"/>
        <v/>
      </c>
      <c r="V3824" t="str">
        <f t="shared" si="597"/>
        <v/>
      </c>
      <c r="W3824" t="str">
        <f t="shared" si="598"/>
        <v/>
      </c>
      <c r="X3824">
        <f>IF($T3824="",N($X3823),IF(MATCH($T3824,$T$6:$T$10005,0)=ROW()-5,N($X3823)+1,N($X3823)))</f>
        <v>0</v>
      </c>
      <c r="Z3824" t="str">
        <f t="shared" si="599"/>
        <v/>
      </c>
      <c r="AA3824">
        <f>IF($V3824="",N($AA3823),IF(MATCH($V3824,$V$6:$V$10005,0)=ROW()-5,N($AA3823)+1,N($AA3823)))</f>
        <v>0</v>
      </c>
    </row>
    <row r="3825" spans="1:27" ht="21" customHeight="1" x14ac:dyDescent="0.95">
      <c r="A3825" s="56"/>
      <c r="B3825" s="57"/>
      <c r="C3825" s="57"/>
      <c r="D3825" s="57"/>
      <c r="E3825" s="56"/>
      <c r="F3825" s="57"/>
      <c r="G3825" s="57"/>
      <c r="H3825" s="56"/>
      <c r="I3825" s="56"/>
      <c r="J3825" s="58"/>
      <c r="K3825" s="58"/>
      <c r="L3825" s="13" t="str">
        <f t="shared" si="590"/>
        <v/>
      </c>
      <c r="M3825" s="13" t="str">
        <f t="shared" si="591"/>
        <v/>
      </c>
      <c r="Q3825" t="str">
        <f t="shared" si="592"/>
        <v/>
      </c>
      <c r="R3825" t="str">
        <f t="shared" si="593"/>
        <v/>
      </c>
      <c r="S3825" t="str">
        <f t="shared" si="594"/>
        <v/>
      </c>
      <c r="T3825" t="str">
        <f t="shared" si="595"/>
        <v/>
      </c>
      <c r="U3825" t="str">
        <f t="shared" si="596"/>
        <v/>
      </c>
      <c r="V3825" t="str">
        <f t="shared" si="597"/>
        <v/>
      </c>
      <c r="W3825" t="str">
        <f t="shared" si="598"/>
        <v/>
      </c>
      <c r="X3825">
        <f>IF($T3825="",N($X3824),IF(MATCH($T3825,$T$6:$T$10005,0)=ROW()-5,N($X3824)+1,N($X3824)))</f>
        <v>0</v>
      </c>
      <c r="Z3825" t="str">
        <f t="shared" si="599"/>
        <v/>
      </c>
      <c r="AA3825">
        <f>IF($V3825="",N($AA3824),IF(MATCH($V3825,$V$6:$V$10005,0)=ROW()-5,N($AA3824)+1,N($AA3824)))</f>
        <v>0</v>
      </c>
    </row>
    <row r="3826" spans="1:27" ht="21" customHeight="1" x14ac:dyDescent="0.95">
      <c r="A3826" s="56"/>
      <c r="B3826" s="57"/>
      <c r="C3826" s="57"/>
      <c r="D3826" s="57"/>
      <c r="E3826" s="56"/>
      <c r="F3826" s="57"/>
      <c r="G3826" s="57"/>
      <c r="H3826" s="56"/>
      <c r="I3826" s="56"/>
      <c r="J3826" s="58"/>
      <c r="K3826" s="58"/>
      <c r="L3826" s="13" t="str">
        <f t="shared" si="590"/>
        <v/>
      </c>
      <c r="M3826" s="13" t="str">
        <f t="shared" si="591"/>
        <v/>
      </c>
      <c r="Q3826" t="str">
        <f t="shared" si="592"/>
        <v/>
      </c>
      <c r="R3826" t="str">
        <f t="shared" si="593"/>
        <v/>
      </c>
      <c r="S3826" t="str">
        <f t="shared" si="594"/>
        <v/>
      </c>
      <c r="T3826" t="str">
        <f t="shared" si="595"/>
        <v/>
      </c>
      <c r="U3826" t="str">
        <f t="shared" si="596"/>
        <v/>
      </c>
      <c r="V3826" t="str">
        <f t="shared" si="597"/>
        <v/>
      </c>
      <c r="W3826" t="str">
        <f t="shared" si="598"/>
        <v/>
      </c>
      <c r="X3826">
        <f>IF($T3826="",N($X3825),IF(MATCH($T3826,$T$6:$T$10005,0)=ROW()-5,N($X3825)+1,N($X3825)))</f>
        <v>0</v>
      </c>
      <c r="Z3826" t="str">
        <f t="shared" si="599"/>
        <v/>
      </c>
      <c r="AA3826">
        <f>IF($V3826="",N($AA3825),IF(MATCH($V3826,$V$6:$V$10005,0)=ROW()-5,N($AA3825)+1,N($AA3825)))</f>
        <v>0</v>
      </c>
    </row>
    <row r="3827" spans="1:27" ht="21" customHeight="1" x14ac:dyDescent="0.95">
      <c r="A3827" s="56"/>
      <c r="B3827" s="57"/>
      <c r="C3827" s="57"/>
      <c r="D3827" s="57"/>
      <c r="E3827" s="56"/>
      <c r="F3827" s="57"/>
      <c r="G3827" s="57"/>
      <c r="H3827" s="56"/>
      <c r="I3827" s="56"/>
      <c r="J3827" s="58"/>
      <c r="K3827" s="58"/>
      <c r="L3827" s="13" t="str">
        <f t="shared" si="590"/>
        <v/>
      </c>
      <c r="M3827" s="13" t="str">
        <f t="shared" si="591"/>
        <v/>
      </c>
      <c r="Q3827" t="str">
        <f t="shared" si="592"/>
        <v/>
      </c>
      <c r="R3827" t="str">
        <f t="shared" si="593"/>
        <v/>
      </c>
      <c r="S3827" t="str">
        <f t="shared" si="594"/>
        <v/>
      </c>
      <c r="T3827" t="str">
        <f t="shared" si="595"/>
        <v/>
      </c>
      <c r="U3827" t="str">
        <f t="shared" si="596"/>
        <v/>
      </c>
      <c r="V3827" t="str">
        <f t="shared" si="597"/>
        <v/>
      </c>
      <c r="W3827" t="str">
        <f t="shared" si="598"/>
        <v/>
      </c>
      <c r="X3827">
        <f>IF($T3827="",N($X3826),IF(MATCH($T3827,$T$6:$T$10005,0)=ROW()-5,N($X3826)+1,N($X3826)))</f>
        <v>0</v>
      </c>
      <c r="Z3827" t="str">
        <f t="shared" si="599"/>
        <v/>
      </c>
      <c r="AA3827">
        <f>IF($V3827="",N($AA3826),IF(MATCH($V3827,$V$6:$V$10005,0)=ROW()-5,N($AA3826)+1,N($AA3826)))</f>
        <v>0</v>
      </c>
    </row>
    <row r="3828" spans="1:27" ht="21" customHeight="1" x14ac:dyDescent="0.95">
      <c r="A3828" s="56"/>
      <c r="B3828" s="57"/>
      <c r="C3828" s="57"/>
      <c r="D3828" s="57"/>
      <c r="E3828" s="56"/>
      <c r="F3828" s="57"/>
      <c r="G3828" s="57"/>
      <c r="H3828" s="56"/>
      <c r="I3828" s="56"/>
      <c r="J3828" s="58"/>
      <c r="K3828" s="58"/>
      <c r="L3828" s="13" t="str">
        <f t="shared" si="590"/>
        <v/>
      </c>
      <c r="M3828" s="13" t="str">
        <f t="shared" si="591"/>
        <v/>
      </c>
      <c r="Q3828" t="str">
        <f t="shared" si="592"/>
        <v/>
      </c>
      <c r="R3828" t="str">
        <f t="shared" si="593"/>
        <v/>
      </c>
      <c r="S3828" t="str">
        <f t="shared" si="594"/>
        <v/>
      </c>
      <c r="T3828" t="str">
        <f t="shared" si="595"/>
        <v/>
      </c>
      <c r="U3828" t="str">
        <f t="shared" si="596"/>
        <v/>
      </c>
      <c r="V3828" t="str">
        <f t="shared" si="597"/>
        <v/>
      </c>
      <c r="W3828" t="str">
        <f t="shared" si="598"/>
        <v/>
      </c>
      <c r="X3828">
        <f>IF($T3828="",N($X3827),IF(MATCH($T3828,$T$6:$T$10005,0)=ROW()-5,N($X3827)+1,N($X3827)))</f>
        <v>0</v>
      </c>
      <c r="Z3828" t="str">
        <f t="shared" si="599"/>
        <v/>
      </c>
      <c r="AA3828">
        <f>IF($V3828="",N($AA3827),IF(MATCH($V3828,$V$6:$V$10005,0)=ROW()-5,N($AA3827)+1,N($AA3827)))</f>
        <v>0</v>
      </c>
    </row>
    <row r="3829" spans="1:27" ht="21" customHeight="1" x14ac:dyDescent="0.95">
      <c r="A3829" s="56"/>
      <c r="B3829" s="57"/>
      <c r="C3829" s="57"/>
      <c r="D3829" s="57"/>
      <c r="E3829" s="56"/>
      <c r="F3829" s="57"/>
      <c r="G3829" s="57"/>
      <c r="H3829" s="56"/>
      <c r="I3829" s="56"/>
      <c r="J3829" s="58"/>
      <c r="K3829" s="58"/>
      <c r="L3829" s="13" t="str">
        <f t="shared" si="590"/>
        <v/>
      </c>
      <c r="M3829" s="13" t="str">
        <f t="shared" si="591"/>
        <v/>
      </c>
      <c r="Q3829" t="str">
        <f t="shared" si="592"/>
        <v/>
      </c>
      <c r="R3829" t="str">
        <f t="shared" si="593"/>
        <v/>
      </c>
      <c r="S3829" t="str">
        <f t="shared" si="594"/>
        <v/>
      </c>
      <c r="T3829" t="str">
        <f t="shared" si="595"/>
        <v/>
      </c>
      <c r="U3829" t="str">
        <f t="shared" si="596"/>
        <v/>
      </c>
      <c r="V3829" t="str">
        <f t="shared" si="597"/>
        <v/>
      </c>
      <c r="W3829" t="str">
        <f t="shared" si="598"/>
        <v/>
      </c>
      <c r="X3829">
        <f>IF($T3829="",N($X3828),IF(MATCH($T3829,$T$6:$T$10005,0)=ROW()-5,N($X3828)+1,N($X3828)))</f>
        <v>0</v>
      </c>
      <c r="Z3829" t="str">
        <f t="shared" si="599"/>
        <v/>
      </c>
      <c r="AA3829">
        <f>IF($V3829="",N($AA3828),IF(MATCH($V3829,$V$6:$V$10005,0)=ROW()-5,N($AA3828)+1,N($AA3828)))</f>
        <v>0</v>
      </c>
    </row>
    <row r="3830" spans="1:27" ht="21" customHeight="1" x14ac:dyDescent="0.95">
      <c r="A3830" s="56"/>
      <c r="B3830" s="57"/>
      <c r="C3830" s="57"/>
      <c r="D3830" s="57"/>
      <c r="E3830" s="56"/>
      <c r="F3830" s="57"/>
      <c r="G3830" s="57"/>
      <c r="H3830" s="56"/>
      <c r="I3830" s="56"/>
      <c r="J3830" s="58"/>
      <c r="K3830" s="58"/>
      <c r="L3830" s="13" t="str">
        <f t="shared" si="590"/>
        <v/>
      </c>
      <c r="M3830" s="13" t="str">
        <f t="shared" si="591"/>
        <v/>
      </c>
      <c r="Q3830" t="str">
        <f t="shared" si="592"/>
        <v/>
      </c>
      <c r="R3830" t="str">
        <f t="shared" si="593"/>
        <v/>
      </c>
      <c r="S3830" t="str">
        <f t="shared" si="594"/>
        <v/>
      </c>
      <c r="T3830" t="str">
        <f t="shared" si="595"/>
        <v/>
      </c>
      <c r="U3830" t="str">
        <f t="shared" si="596"/>
        <v/>
      </c>
      <c r="V3830" t="str">
        <f t="shared" si="597"/>
        <v/>
      </c>
      <c r="W3830" t="str">
        <f t="shared" si="598"/>
        <v/>
      </c>
      <c r="X3830">
        <f>IF($T3830="",N($X3829),IF(MATCH($T3830,$T$6:$T$10005,0)=ROW()-5,N($X3829)+1,N($X3829)))</f>
        <v>0</v>
      </c>
      <c r="Z3830" t="str">
        <f t="shared" si="599"/>
        <v/>
      </c>
      <c r="AA3830">
        <f>IF($V3830="",N($AA3829),IF(MATCH($V3830,$V$6:$V$10005,0)=ROW()-5,N($AA3829)+1,N($AA3829)))</f>
        <v>0</v>
      </c>
    </row>
    <row r="3831" spans="1:27" ht="21" customHeight="1" x14ac:dyDescent="0.95">
      <c r="A3831" s="56"/>
      <c r="B3831" s="57"/>
      <c r="C3831" s="57"/>
      <c r="D3831" s="57"/>
      <c r="E3831" s="56"/>
      <c r="F3831" s="57"/>
      <c r="G3831" s="57"/>
      <c r="H3831" s="56"/>
      <c r="I3831" s="56"/>
      <c r="J3831" s="58"/>
      <c r="K3831" s="58"/>
      <c r="L3831" s="13" t="str">
        <f t="shared" si="590"/>
        <v/>
      </c>
      <c r="M3831" s="13" t="str">
        <f t="shared" si="591"/>
        <v/>
      </c>
      <c r="Q3831" t="str">
        <f t="shared" si="592"/>
        <v/>
      </c>
      <c r="R3831" t="str">
        <f t="shared" si="593"/>
        <v/>
      </c>
      <c r="S3831" t="str">
        <f t="shared" si="594"/>
        <v/>
      </c>
      <c r="T3831" t="str">
        <f t="shared" si="595"/>
        <v/>
      </c>
      <c r="U3831" t="str">
        <f t="shared" si="596"/>
        <v/>
      </c>
      <c r="V3831" t="str">
        <f t="shared" si="597"/>
        <v/>
      </c>
      <c r="W3831" t="str">
        <f t="shared" si="598"/>
        <v/>
      </c>
      <c r="X3831">
        <f>IF($T3831="",N($X3830),IF(MATCH($T3831,$T$6:$T$10005,0)=ROW()-5,N($X3830)+1,N($X3830)))</f>
        <v>0</v>
      </c>
      <c r="Z3831" t="str">
        <f t="shared" si="599"/>
        <v/>
      </c>
      <c r="AA3831">
        <f>IF($V3831="",N($AA3830),IF(MATCH($V3831,$V$6:$V$10005,0)=ROW()-5,N($AA3830)+1,N($AA3830)))</f>
        <v>0</v>
      </c>
    </row>
    <row r="3832" spans="1:27" ht="21" customHeight="1" x14ac:dyDescent="0.95">
      <c r="A3832" s="56"/>
      <c r="B3832" s="57"/>
      <c r="C3832" s="57"/>
      <c r="D3832" s="57"/>
      <c r="E3832" s="56"/>
      <c r="F3832" s="57"/>
      <c r="G3832" s="57"/>
      <c r="H3832" s="56"/>
      <c r="I3832" s="56"/>
      <c r="J3832" s="58"/>
      <c r="K3832" s="58"/>
      <c r="L3832" s="13" t="str">
        <f t="shared" si="590"/>
        <v/>
      </c>
      <c r="M3832" s="13" t="str">
        <f t="shared" si="591"/>
        <v/>
      </c>
      <c r="Q3832" t="str">
        <f t="shared" si="592"/>
        <v/>
      </c>
      <c r="R3832" t="str">
        <f t="shared" si="593"/>
        <v/>
      </c>
      <c r="S3832" t="str">
        <f t="shared" si="594"/>
        <v/>
      </c>
      <c r="T3832" t="str">
        <f t="shared" si="595"/>
        <v/>
      </c>
      <c r="U3832" t="str">
        <f t="shared" si="596"/>
        <v/>
      </c>
      <c r="V3832" t="str">
        <f t="shared" si="597"/>
        <v/>
      </c>
      <c r="W3832" t="str">
        <f t="shared" si="598"/>
        <v/>
      </c>
      <c r="X3832">
        <f>IF($T3832="",N($X3831),IF(MATCH($T3832,$T$6:$T$10005,0)=ROW()-5,N($X3831)+1,N($X3831)))</f>
        <v>0</v>
      </c>
      <c r="Z3832" t="str">
        <f t="shared" si="599"/>
        <v/>
      </c>
      <c r="AA3832">
        <f>IF($V3832="",N($AA3831),IF(MATCH($V3832,$V$6:$V$10005,0)=ROW()-5,N($AA3831)+1,N($AA3831)))</f>
        <v>0</v>
      </c>
    </row>
    <row r="3833" spans="1:27" ht="21" customHeight="1" x14ac:dyDescent="0.95">
      <c r="A3833" s="56"/>
      <c r="B3833" s="57"/>
      <c r="C3833" s="57"/>
      <c r="D3833" s="57"/>
      <c r="E3833" s="56"/>
      <c r="F3833" s="57"/>
      <c r="G3833" s="57"/>
      <c r="H3833" s="56"/>
      <c r="I3833" s="56"/>
      <c r="J3833" s="58"/>
      <c r="K3833" s="58"/>
      <c r="L3833" s="13" t="str">
        <f t="shared" si="590"/>
        <v/>
      </c>
      <c r="M3833" s="13" t="str">
        <f t="shared" si="591"/>
        <v/>
      </c>
      <c r="Q3833" t="str">
        <f t="shared" si="592"/>
        <v/>
      </c>
      <c r="R3833" t="str">
        <f t="shared" si="593"/>
        <v/>
      </c>
      <c r="S3833" t="str">
        <f t="shared" si="594"/>
        <v/>
      </c>
      <c r="T3833" t="str">
        <f t="shared" si="595"/>
        <v/>
      </c>
      <c r="U3833" t="str">
        <f t="shared" si="596"/>
        <v/>
      </c>
      <c r="V3833" t="str">
        <f t="shared" si="597"/>
        <v/>
      </c>
      <c r="W3833" t="str">
        <f t="shared" si="598"/>
        <v/>
      </c>
      <c r="X3833">
        <f>IF($T3833="",N($X3832),IF(MATCH($T3833,$T$6:$T$10005,0)=ROW()-5,N($X3832)+1,N($X3832)))</f>
        <v>0</v>
      </c>
      <c r="Z3833" t="str">
        <f t="shared" si="599"/>
        <v/>
      </c>
      <c r="AA3833">
        <f>IF($V3833="",N($AA3832),IF(MATCH($V3833,$V$6:$V$10005,0)=ROW()-5,N($AA3832)+1,N($AA3832)))</f>
        <v>0</v>
      </c>
    </row>
    <row r="3834" spans="1:27" ht="21" customHeight="1" x14ac:dyDescent="0.95">
      <c r="A3834" s="56"/>
      <c r="B3834" s="57"/>
      <c r="C3834" s="57"/>
      <c r="D3834" s="57"/>
      <c r="E3834" s="56"/>
      <c r="F3834" s="57"/>
      <c r="G3834" s="57"/>
      <c r="H3834" s="56"/>
      <c r="I3834" s="56"/>
      <c r="J3834" s="58"/>
      <c r="K3834" s="58"/>
      <c r="L3834" s="13" t="str">
        <f t="shared" si="590"/>
        <v/>
      </c>
      <c r="M3834" s="13" t="str">
        <f t="shared" si="591"/>
        <v/>
      </c>
      <c r="Q3834" t="str">
        <f t="shared" si="592"/>
        <v/>
      </c>
      <c r="R3834" t="str">
        <f t="shared" si="593"/>
        <v/>
      </c>
      <c r="S3834" t="str">
        <f t="shared" si="594"/>
        <v/>
      </c>
      <c r="T3834" t="str">
        <f t="shared" si="595"/>
        <v/>
      </c>
      <c r="U3834" t="str">
        <f t="shared" si="596"/>
        <v/>
      </c>
      <c r="V3834" t="str">
        <f t="shared" si="597"/>
        <v/>
      </c>
      <c r="W3834" t="str">
        <f t="shared" si="598"/>
        <v/>
      </c>
      <c r="X3834">
        <f>IF($T3834="",N($X3833),IF(MATCH($T3834,$T$6:$T$10005,0)=ROW()-5,N($X3833)+1,N($X3833)))</f>
        <v>0</v>
      </c>
      <c r="Z3834" t="str">
        <f t="shared" si="599"/>
        <v/>
      </c>
      <c r="AA3834">
        <f>IF($V3834="",N($AA3833),IF(MATCH($V3834,$V$6:$V$10005,0)=ROW()-5,N($AA3833)+1,N($AA3833)))</f>
        <v>0</v>
      </c>
    </row>
    <row r="3835" spans="1:27" ht="21" customHeight="1" x14ac:dyDescent="0.95">
      <c r="A3835" s="56"/>
      <c r="B3835" s="57"/>
      <c r="C3835" s="57"/>
      <c r="D3835" s="57"/>
      <c r="E3835" s="56"/>
      <c r="F3835" s="57"/>
      <c r="G3835" s="57"/>
      <c r="H3835" s="56"/>
      <c r="I3835" s="56"/>
      <c r="J3835" s="58"/>
      <c r="K3835" s="58"/>
      <c r="L3835" s="13" t="str">
        <f t="shared" si="590"/>
        <v/>
      </c>
      <c r="M3835" s="13" t="str">
        <f t="shared" si="591"/>
        <v/>
      </c>
      <c r="Q3835" t="str">
        <f t="shared" si="592"/>
        <v/>
      </c>
      <c r="R3835" t="str">
        <f t="shared" si="593"/>
        <v/>
      </c>
      <c r="S3835" t="str">
        <f t="shared" si="594"/>
        <v/>
      </c>
      <c r="T3835" t="str">
        <f t="shared" si="595"/>
        <v/>
      </c>
      <c r="U3835" t="str">
        <f t="shared" si="596"/>
        <v/>
      </c>
      <c r="V3835" t="str">
        <f t="shared" si="597"/>
        <v/>
      </c>
      <c r="W3835" t="str">
        <f t="shared" si="598"/>
        <v/>
      </c>
      <c r="X3835">
        <f>IF($T3835="",N($X3834),IF(MATCH($T3835,$T$6:$T$10005,0)=ROW()-5,N($X3834)+1,N($X3834)))</f>
        <v>0</v>
      </c>
      <c r="Z3835" t="str">
        <f t="shared" si="599"/>
        <v/>
      </c>
      <c r="AA3835">
        <f>IF($V3835="",N($AA3834),IF(MATCH($V3835,$V$6:$V$10005,0)=ROW()-5,N($AA3834)+1,N($AA3834)))</f>
        <v>0</v>
      </c>
    </row>
    <row r="3836" spans="1:27" ht="21" customHeight="1" x14ac:dyDescent="0.95">
      <c r="A3836" s="56"/>
      <c r="B3836" s="57"/>
      <c r="C3836" s="57"/>
      <c r="D3836" s="57"/>
      <c r="E3836" s="56"/>
      <c r="F3836" s="57"/>
      <c r="G3836" s="57"/>
      <c r="H3836" s="56"/>
      <c r="I3836" s="56"/>
      <c r="J3836" s="58"/>
      <c r="K3836" s="58"/>
      <c r="L3836" s="13" t="str">
        <f t="shared" si="590"/>
        <v/>
      </c>
      <c r="M3836" s="13" t="str">
        <f t="shared" si="591"/>
        <v/>
      </c>
      <c r="Q3836" t="str">
        <f t="shared" si="592"/>
        <v/>
      </c>
      <c r="R3836" t="str">
        <f t="shared" si="593"/>
        <v/>
      </c>
      <c r="S3836" t="str">
        <f t="shared" si="594"/>
        <v/>
      </c>
      <c r="T3836" t="str">
        <f t="shared" si="595"/>
        <v/>
      </c>
      <c r="U3836" t="str">
        <f t="shared" si="596"/>
        <v/>
      </c>
      <c r="V3836" t="str">
        <f t="shared" si="597"/>
        <v/>
      </c>
      <c r="W3836" t="str">
        <f t="shared" si="598"/>
        <v/>
      </c>
      <c r="X3836">
        <f>IF($T3836="",N($X3835),IF(MATCH($T3836,$T$6:$T$10005,0)=ROW()-5,N($X3835)+1,N($X3835)))</f>
        <v>0</v>
      </c>
      <c r="Z3836" t="str">
        <f t="shared" si="599"/>
        <v/>
      </c>
      <c r="AA3836">
        <f>IF($V3836="",N($AA3835),IF(MATCH($V3836,$V$6:$V$10005,0)=ROW()-5,N($AA3835)+1,N($AA3835)))</f>
        <v>0</v>
      </c>
    </row>
    <row r="3837" spans="1:27" ht="21" customHeight="1" x14ac:dyDescent="0.95">
      <c r="A3837" s="56"/>
      <c r="B3837" s="57"/>
      <c r="C3837" s="57"/>
      <c r="D3837" s="57"/>
      <c r="E3837" s="56"/>
      <c r="F3837" s="57"/>
      <c r="G3837" s="57"/>
      <c r="H3837" s="56"/>
      <c r="I3837" s="56"/>
      <c r="J3837" s="58"/>
      <c r="K3837" s="58"/>
      <c r="L3837" s="13" t="str">
        <f t="shared" si="590"/>
        <v/>
      </c>
      <c r="M3837" s="13" t="str">
        <f t="shared" si="591"/>
        <v/>
      </c>
      <c r="Q3837" t="str">
        <f t="shared" si="592"/>
        <v/>
      </c>
      <c r="R3837" t="str">
        <f t="shared" si="593"/>
        <v/>
      </c>
      <c r="S3837" t="str">
        <f t="shared" si="594"/>
        <v/>
      </c>
      <c r="T3837" t="str">
        <f t="shared" si="595"/>
        <v/>
      </c>
      <c r="U3837" t="str">
        <f t="shared" si="596"/>
        <v/>
      </c>
      <c r="V3837" t="str">
        <f t="shared" si="597"/>
        <v/>
      </c>
      <c r="W3837" t="str">
        <f t="shared" si="598"/>
        <v/>
      </c>
      <c r="X3837">
        <f>IF($T3837="",N($X3836),IF(MATCH($T3837,$T$6:$T$10005,0)=ROW()-5,N($X3836)+1,N($X3836)))</f>
        <v>0</v>
      </c>
      <c r="Z3837" t="str">
        <f t="shared" si="599"/>
        <v/>
      </c>
      <c r="AA3837">
        <f>IF($V3837="",N($AA3836),IF(MATCH($V3837,$V$6:$V$10005,0)=ROW()-5,N($AA3836)+1,N($AA3836)))</f>
        <v>0</v>
      </c>
    </row>
    <row r="3838" spans="1:27" ht="21" customHeight="1" x14ac:dyDescent="0.95">
      <c r="A3838" s="56"/>
      <c r="B3838" s="57"/>
      <c r="C3838" s="57"/>
      <c r="D3838" s="57"/>
      <c r="E3838" s="56"/>
      <c r="F3838" s="57"/>
      <c r="G3838" s="57"/>
      <c r="H3838" s="56"/>
      <c r="I3838" s="56"/>
      <c r="J3838" s="58"/>
      <c r="K3838" s="58"/>
      <c r="L3838" s="13" t="str">
        <f t="shared" si="590"/>
        <v/>
      </c>
      <c r="M3838" s="13" t="str">
        <f t="shared" si="591"/>
        <v/>
      </c>
      <c r="Q3838" t="str">
        <f t="shared" si="592"/>
        <v/>
      </c>
      <c r="R3838" t="str">
        <f t="shared" si="593"/>
        <v/>
      </c>
      <c r="S3838" t="str">
        <f t="shared" si="594"/>
        <v/>
      </c>
      <c r="T3838" t="str">
        <f t="shared" si="595"/>
        <v/>
      </c>
      <c r="U3838" t="str">
        <f t="shared" si="596"/>
        <v/>
      </c>
      <c r="V3838" t="str">
        <f t="shared" si="597"/>
        <v/>
      </c>
      <c r="W3838" t="str">
        <f t="shared" si="598"/>
        <v/>
      </c>
      <c r="X3838">
        <f>IF($T3838="",N($X3837),IF(MATCH($T3838,$T$6:$T$10005,0)=ROW()-5,N($X3837)+1,N($X3837)))</f>
        <v>0</v>
      </c>
      <c r="Z3838" t="str">
        <f t="shared" si="599"/>
        <v/>
      </c>
      <c r="AA3838">
        <f>IF($V3838="",N($AA3837),IF(MATCH($V3838,$V$6:$V$10005,0)=ROW()-5,N($AA3837)+1,N($AA3837)))</f>
        <v>0</v>
      </c>
    </row>
    <row r="3839" spans="1:27" ht="21" customHeight="1" x14ac:dyDescent="0.95">
      <c r="A3839" s="56"/>
      <c r="B3839" s="57"/>
      <c r="C3839" s="57"/>
      <c r="D3839" s="57"/>
      <c r="E3839" s="56"/>
      <c r="F3839" s="57"/>
      <c r="G3839" s="57"/>
      <c r="H3839" s="56"/>
      <c r="I3839" s="56"/>
      <c r="J3839" s="58"/>
      <c r="K3839" s="58"/>
      <c r="L3839" s="13" t="str">
        <f t="shared" si="590"/>
        <v/>
      </c>
      <c r="M3839" s="13" t="str">
        <f t="shared" si="591"/>
        <v/>
      </c>
      <c r="Q3839" t="str">
        <f t="shared" si="592"/>
        <v/>
      </c>
      <c r="R3839" t="str">
        <f t="shared" si="593"/>
        <v/>
      </c>
      <c r="S3839" t="str">
        <f t="shared" si="594"/>
        <v/>
      </c>
      <c r="T3839" t="str">
        <f t="shared" si="595"/>
        <v/>
      </c>
      <c r="U3839" t="str">
        <f t="shared" si="596"/>
        <v/>
      </c>
      <c r="V3839" t="str">
        <f t="shared" si="597"/>
        <v/>
      </c>
      <c r="W3839" t="str">
        <f t="shared" si="598"/>
        <v/>
      </c>
      <c r="X3839">
        <f>IF($T3839="",N($X3838),IF(MATCH($T3839,$T$6:$T$10005,0)=ROW()-5,N($X3838)+1,N($X3838)))</f>
        <v>0</v>
      </c>
      <c r="Z3839" t="str">
        <f t="shared" si="599"/>
        <v/>
      </c>
      <c r="AA3839">
        <f>IF($V3839="",N($AA3838),IF(MATCH($V3839,$V$6:$V$10005,0)=ROW()-5,N($AA3838)+1,N($AA3838)))</f>
        <v>0</v>
      </c>
    </row>
    <row r="3840" spans="1:27" ht="21" customHeight="1" x14ac:dyDescent="0.95">
      <c r="A3840" s="56"/>
      <c r="B3840" s="57"/>
      <c r="C3840" s="57"/>
      <c r="D3840" s="57"/>
      <c r="E3840" s="56"/>
      <c r="F3840" s="57"/>
      <c r="G3840" s="57"/>
      <c r="H3840" s="56"/>
      <c r="I3840" s="56"/>
      <c r="J3840" s="58"/>
      <c r="K3840" s="58"/>
      <c r="L3840" s="13" t="str">
        <f t="shared" si="590"/>
        <v/>
      </c>
      <c r="M3840" s="13" t="str">
        <f t="shared" si="591"/>
        <v/>
      </c>
      <c r="Q3840" t="str">
        <f t="shared" si="592"/>
        <v/>
      </c>
      <c r="R3840" t="str">
        <f t="shared" si="593"/>
        <v/>
      </c>
      <c r="S3840" t="str">
        <f t="shared" si="594"/>
        <v/>
      </c>
      <c r="T3840" t="str">
        <f t="shared" si="595"/>
        <v/>
      </c>
      <c r="U3840" t="str">
        <f t="shared" si="596"/>
        <v/>
      </c>
      <c r="V3840" t="str">
        <f t="shared" si="597"/>
        <v/>
      </c>
      <c r="W3840" t="str">
        <f t="shared" si="598"/>
        <v/>
      </c>
      <c r="X3840">
        <f>IF($T3840="",N($X3839),IF(MATCH($T3840,$T$6:$T$10005,0)=ROW()-5,N($X3839)+1,N($X3839)))</f>
        <v>0</v>
      </c>
      <c r="Z3840" t="str">
        <f t="shared" si="599"/>
        <v/>
      </c>
      <c r="AA3840">
        <f>IF($V3840="",N($AA3839),IF(MATCH($V3840,$V$6:$V$10005,0)=ROW()-5,N($AA3839)+1,N($AA3839)))</f>
        <v>0</v>
      </c>
    </row>
    <row r="3841" spans="1:27" ht="21" customHeight="1" x14ac:dyDescent="0.95">
      <c r="A3841" s="56"/>
      <c r="B3841" s="57"/>
      <c r="C3841" s="57"/>
      <c r="D3841" s="57"/>
      <c r="E3841" s="56"/>
      <c r="F3841" s="57"/>
      <c r="G3841" s="57"/>
      <c r="H3841" s="56"/>
      <c r="I3841" s="56"/>
      <c r="J3841" s="58"/>
      <c r="K3841" s="58"/>
      <c r="L3841" s="13" t="str">
        <f t="shared" si="590"/>
        <v/>
      </c>
      <c r="M3841" s="13" t="str">
        <f t="shared" si="591"/>
        <v/>
      </c>
      <c r="Q3841" t="str">
        <f t="shared" si="592"/>
        <v/>
      </c>
      <c r="R3841" t="str">
        <f t="shared" si="593"/>
        <v/>
      </c>
      <c r="S3841" t="str">
        <f t="shared" si="594"/>
        <v/>
      </c>
      <c r="T3841" t="str">
        <f t="shared" si="595"/>
        <v/>
      </c>
      <c r="U3841" t="str">
        <f t="shared" si="596"/>
        <v/>
      </c>
      <c r="V3841" t="str">
        <f t="shared" si="597"/>
        <v/>
      </c>
      <c r="W3841" t="str">
        <f t="shared" si="598"/>
        <v/>
      </c>
      <c r="X3841">
        <f>IF($T3841="",N($X3840),IF(MATCH($T3841,$T$6:$T$10005,0)=ROW()-5,N($X3840)+1,N($X3840)))</f>
        <v>0</v>
      </c>
      <c r="Z3841" t="str">
        <f t="shared" si="599"/>
        <v/>
      </c>
      <c r="AA3841">
        <f>IF($V3841="",N($AA3840),IF(MATCH($V3841,$V$6:$V$10005,0)=ROW()-5,N($AA3840)+1,N($AA3840)))</f>
        <v>0</v>
      </c>
    </row>
    <row r="3842" spans="1:27" ht="21" customHeight="1" x14ac:dyDescent="0.95">
      <c r="A3842" s="56"/>
      <c r="B3842" s="57"/>
      <c r="C3842" s="57"/>
      <c r="D3842" s="57"/>
      <c r="E3842" s="56"/>
      <c r="F3842" s="57"/>
      <c r="G3842" s="57"/>
      <c r="H3842" s="56"/>
      <c r="I3842" s="56"/>
      <c r="J3842" s="58"/>
      <c r="K3842" s="58"/>
      <c r="L3842" s="13" t="str">
        <f t="shared" si="590"/>
        <v/>
      </c>
      <c r="M3842" s="13" t="str">
        <f t="shared" si="591"/>
        <v/>
      </c>
      <c r="Q3842" t="str">
        <f t="shared" si="592"/>
        <v/>
      </c>
      <c r="R3842" t="str">
        <f t="shared" si="593"/>
        <v/>
      </c>
      <c r="S3842" t="str">
        <f t="shared" si="594"/>
        <v/>
      </c>
      <c r="T3842" t="str">
        <f t="shared" si="595"/>
        <v/>
      </c>
      <c r="U3842" t="str">
        <f t="shared" si="596"/>
        <v/>
      </c>
      <c r="V3842" t="str">
        <f t="shared" si="597"/>
        <v/>
      </c>
      <c r="W3842" t="str">
        <f t="shared" si="598"/>
        <v/>
      </c>
      <c r="X3842">
        <f>IF($T3842="",N($X3841),IF(MATCH($T3842,$T$6:$T$10005,0)=ROW()-5,N($X3841)+1,N($X3841)))</f>
        <v>0</v>
      </c>
      <c r="Z3842" t="str">
        <f t="shared" si="599"/>
        <v/>
      </c>
      <c r="AA3842">
        <f>IF($V3842="",N($AA3841),IF(MATCH($V3842,$V$6:$V$10005,0)=ROW()-5,N($AA3841)+1,N($AA3841)))</f>
        <v>0</v>
      </c>
    </row>
    <row r="3843" spans="1:27" ht="21" customHeight="1" x14ac:dyDescent="0.95">
      <c r="A3843" s="56"/>
      <c r="B3843" s="57"/>
      <c r="C3843" s="57"/>
      <c r="D3843" s="57"/>
      <c r="E3843" s="56"/>
      <c r="F3843" s="57"/>
      <c r="G3843" s="57"/>
      <c r="H3843" s="56"/>
      <c r="I3843" s="56"/>
      <c r="J3843" s="58"/>
      <c r="K3843" s="58"/>
      <c r="L3843" s="13" t="str">
        <f t="shared" si="590"/>
        <v/>
      </c>
      <c r="M3843" s="13" t="str">
        <f t="shared" si="591"/>
        <v/>
      </c>
      <c r="Q3843" t="str">
        <f t="shared" si="592"/>
        <v/>
      </c>
      <c r="R3843" t="str">
        <f t="shared" si="593"/>
        <v/>
      </c>
      <c r="S3843" t="str">
        <f t="shared" si="594"/>
        <v/>
      </c>
      <c r="T3843" t="str">
        <f t="shared" si="595"/>
        <v/>
      </c>
      <c r="U3843" t="str">
        <f t="shared" si="596"/>
        <v/>
      </c>
      <c r="V3843" t="str">
        <f t="shared" si="597"/>
        <v/>
      </c>
      <c r="W3843" t="str">
        <f t="shared" si="598"/>
        <v/>
      </c>
      <c r="X3843">
        <f>IF($T3843="",N($X3842),IF(MATCH($T3843,$T$6:$T$10005,0)=ROW()-5,N($X3842)+1,N($X3842)))</f>
        <v>0</v>
      </c>
      <c r="Z3843" t="str">
        <f t="shared" si="599"/>
        <v/>
      </c>
      <c r="AA3843">
        <f>IF($V3843="",N($AA3842),IF(MATCH($V3843,$V$6:$V$10005,0)=ROW()-5,N($AA3842)+1,N($AA3842)))</f>
        <v>0</v>
      </c>
    </row>
    <row r="3844" spans="1:27" ht="21" customHeight="1" x14ac:dyDescent="0.95">
      <c r="A3844" s="56"/>
      <c r="B3844" s="57"/>
      <c r="C3844" s="57"/>
      <c r="D3844" s="57"/>
      <c r="E3844" s="56"/>
      <c r="F3844" s="57"/>
      <c r="G3844" s="57"/>
      <c r="H3844" s="56"/>
      <c r="I3844" s="56"/>
      <c r="J3844" s="58"/>
      <c r="K3844" s="58"/>
      <c r="L3844" s="13" t="str">
        <f t="shared" si="590"/>
        <v/>
      </c>
      <c r="M3844" s="13" t="str">
        <f t="shared" si="591"/>
        <v/>
      </c>
      <c r="Q3844" t="str">
        <f t="shared" si="592"/>
        <v/>
      </c>
      <c r="R3844" t="str">
        <f t="shared" si="593"/>
        <v/>
      </c>
      <c r="S3844" t="str">
        <f t="shared" si="594"/>
        <v/>
      </c>
      <c r="T3844" t="str">
        <f t="shared" si="595"/>
        <v/>
      </c>
      <c r="U3844" t="str">
        <f t="shared" si="596"/>
        <v/>
      </c>
      <c r="V3844" t="str">
        <f t="shared" si="597"/>
        <v/>
      </c>
      <c r="W3844" t="str">
        <f t="shared" si="598"/>
        <v/>
      </c>
      <c r="X3844">
        <f>IF($T3844="",N($X3843),IF(MATCH($T3844,$T$6:$T$10005,0)=ROW()-5,N($X3843)+1,N($X3843)))</f>
        <v>0</v>
      </c>
      <c r="Z3844" t="str">
        <f t="shared" si="599"/>
        <v/>
      </c>
      <c r="AA3844">
        <f>IF($V3844="",N($AA3843),IF(MATCH($V3844,$V$6:$V$10005,0)=ROW()-5,N($AA3843)+1,N($AA3843)))</f>
        <v>0</v>
      </c>
    </row>
    <row r="3845" spans="1:27" ht="21" customHeight="1" x14ac:dyDescent="0.95">
      <c r="A3845" s="56"/>
      <c r="B3845" s="57"/>
      <c r="C3845" s="57"/>
      <c r="D3845" s="57"/>
      <c r="E3845" s="56"/>
      <c r="F3845" s="57"/>
      <c r="G3845" s="57"/>
      <c r="H3845" s="56"/>
      <c r="I3845" s="56"/>
      <c r="J3845" s="58"/>
      <c r="K3845" s="58"/>
      <c r="L3845" s="13" t="str">
        <f t="shared" si="590"/>
        <v/>
      </c>
      <c r="M3845" s="13" t="str">
        <f t="shared" si="591"/>
        <v/>
      </c>
      <c r="Q3845" t="str">
        <f t="shared" si="592"/>
        <v/>
      </c>
      <c r="R3845" t="str">
        <f t="shared" si="593"/>
        <v/>
      </c>
      <c r="S3845" t="str">
        <f t="shared" si="594"/>
        <v/>
      </c>
      <c r="T3845" t="str">
        <f t="shared" si="595"/>
        <v/>
      </c>
      <c r="U3845" t="str">
        <f t="shared" si="596"/>
        <v/>
      </c>
      <c r="V3845" t="str">
        <f t="shared" si="597"/>
        <v/>
      </c>
      <c r="W3845" t="str">
        <f t="shared" si="598"/>
        <v/>
      </c>
      <c r="X3845">
        <f>IF($T3845="",N($X3844),IF(MATCH($T3845,$T$6:$T$10005,0)=ROW()-5,N($X3844)+1,N($X3844)))</f>
        <v>0</v>
      </c>
      <c r="Z3845" t="str">
        <f t="shared" si="599"/>
        <v/>
      </c>
      <c r="AA3845">
        <f>IF($V3845="",N($AA3844),IF(MATCH($V3845,$V$6:$V$10005,0)=ROW()-5,N($AA3844)+1,N($AA3844)))</f>
        <v>0</v>
      </c>
    </row>
    <row r="3846" spans="1:27" ht="21" customHeight="1" x14ac:dyDescent="0.95">
      <c r="A3846" s="56"/>
      <c r="B3846" s="57"/>
      <c r="C3846" s="57"/>
      <c r="D3846" s="57"/>
      <c r="E3846" s="56"/>
      <c r="F3846" s="57"/>
      <c r="G3846" s="57"/>
      <c r="H3846" s="56"/>
      <c r="I3846" s="56"/>
      <c r="J3846" s="58"/>
      <c r="K3846" s="58"/>
      <c r="L3846" s="13" t="str">
        <f t="shared" ref="L3846:L3909" si="600">IF(OR($A3846="",AND($J3846="",$K3846="")),"",ROUND(N($J3846)-N($K3846),2))</f>
        <v/>
      </c>
      <c r="M3846" s="13" t="str">
        <f t="shared" ref="M3846:M3909" si="601">IF(OR($A3846="",AND($J3846="",$K3846="")),"",MIN($J3846,$K3846))</f>
        <v/>
      </c>
      <c r="Q3846" t="str">
        <f t="shared" ref="Q3846:Q3909" si="602">IF($A3846="","",$D3846&amp;"("&amp;SUBSTITUTE($E3846," ","")&amp;")")</f>
        <v/>
      </c>
      <c r="R3846" t="str">
        <f t="shared" ref="R3846:R3909" si="603">IF($A3846="","",$B3846&amp;" - "&amp;$C3846)</f>
        <v/>
      </c>
      <c r="S3846" t="str">
        <f t="shared" ref="S3846:S3909" si="604">IF($A3846="","",$R3846&amp;"|"&amp;$Q3846)</f>
        <v/>
      </c>
      <c r="T3846" t="str">
        <f t="shared" ref="T3846:T3909" si="605">IF($A3846="","",$S3846&amp;"|"&amp;$F3846)</f>
        <v/>
      </c>
      <c r="U3846" t="str">
        <f t="shared" ref="U3846:U3909" si="606">IF($A3846="","",$R3846&amp;"("&amp;$E3846&amp;")")</f>
        <v/>
      </c>
      <c r="V3846" t="str">
        <f t="shared" ref="V3846:V3909" si="607">IF($A3846="","",$F3846&amp;"|"&amp;$U3846&amp;"|"&amp;$D3846)</f>
        <v/>
      </c>
      <c r="W3846" t="str">
        <f t="shared" ref="W3846:W3909" si="608">IF($T3846="","",IF($X3846&gt;N($X3845),$X3846,""))</f>
        <v/>
      </c>
      <c r="X3846">
        <f>IF($T3846="",N($X3845),IF(MATCH($T3846,$T$6:$T$10005,0)=ROW()-5,N($X3845)+1,N($X3845)))</f>
        <v>0</v>
      </c>
      <c r="Z3846" t="str">
        <f t="shared" ref="Z3846:Z3909" si="609">IF($V3846="","",IF($AA3846&gt;N($AA3845),$AA3846,""))</f>
        <v/>
      </c>
      <c r="AA3846">
        <f>IF($V3846="",N($AA3845),IF(MATCH($V3846,$V$6:$V$10005,0)=ROW()-5,N($AA3845)+1,N($AA3845)))</f>
        <v>0</v>
      </c>
    </row>
    <row r="3847" spans="1:27" ht="21" customHeight="1" x14ac:dyDescent="0.95">
      <c r="A3847" s="56"/>
      <c r="B3847" s="57"/>
      <c r="C3847" s="57"/>
      <c r="D3847" s="57"/>
      <c r="E3847" s="56"/>
      <c r="F3847" s="57"/>
      <c r="G3847" s="57"/>
      <c r="H3847" s="56"/>
      <c r="I3847" s="56"/>
      <c r="J3847" s="58"/>
      <c r="K3847" s="58"/>
      <c r="L3847" s="13" t="str">
        <f t="shared" si="600"/>
        <v/>
      </c>
      <c r="M3847" s="13" t="str">
        <f t="shared" si="601"/>
        <v/>
      </c>
      <c r="Q3847" t="str">
        <f t="shared" si="602"/>
        <v/>
      </c>
      <c r="R3847" t="str">
        <f t="shared" si="603"/>
        <v/>
      </c>
      <c r="S3847" t="str">
        <f t="shared" si="604"/>
        <v/>
      </c>
      <c r="T3847" t="str">
        <f t="shared" si="605"/>
        <v/>
      </c>
      <c r="U3847" t="str">
        <f t="shared" si="606"/>
        <v/>
      </c>
      <c r="V3847" t="str">
        <f t="shared" si="607"/>
        <v/>
      </c>
      <c r="W3847" t="str">
        <f t="shared" si="608"/>
        <v/>
      </c>
      <c r="X3847">
        <f>IF($T3847="",N($X3846),IF(MATCH($T3847,$T$6:$T$10005,0)=ROW()-5,N($X3846)+1,N($X3846)))</f>
        <v>0</v>
      </c>
      <c r="Z3847" t="str">
        <f t="shared" si="609"/>
        <v/>
      </c>
      <c r="AA3847">
        <f>IF($V3847="",N($AA3846),IF(MATCH($V3847,$V$6:$V$10005,0)=ROW()-5,N($AA3846)+1,N($AA3846)))</f>
        <v>0</v>
      </c>
    </row>
    <row r="3848" spans="1:27" ht="21" customHeight="1" x14ac:dyDescent="0.95">
      <c r="A3848" s="56"/>
      <c r="B3848" s="57"/>
      <c r="C3848" s="57"/>
      <c r="D3848" s="57"/>
      <c r="E3848" s="56"/>
      <c r="F3848" s="57"/>
      <c r="G3848" s="57"/>
      <c r="H3848" s="56"/>
      <c r="I3848" s="56"/>
      <c r="J3848" s="58"/>
      <c r="K3848" s="58"/>
      <c r="L3848" s="13" t="str">
        <f t="shared" si="600"/>
        <v/>
      </c>
      <c r="M3848" s="13" t="str">
        <f t="shared" si="601"/>
        <v/>
      </c>
      <c r="Q3848" t="str">
        <f t="shared" si="602"/>
        <v/>
      </c>
      <c r="R3848" t="str">
        <f t="shared" si="603"/>
        <v/>
      </c>
      <c r="S3848" t="str">
        <f t="shared" si="604"/>
        <v/>
      </c>
      <c r="T3848" t="str">
        <f t="shared" si="605"/>
        <v/>
      </c>
      <c r="U3848" t="str">
        <f t="shared" si="606"/>
        <v/>
      </c>
      <c r="V3848" t="str">
        <f t="shared" si="607"/>
        <v/>
      </c>
      <c r="W3848" t="str">
        <f t="shared" si="608"/>
        <v/>
      </c>
      <c r="X3848">
        <f>IF($T3848="",N($X3847),IF(MATCH($T3848,$T$6:$T$10005,0)=ROW()-5,N($X3847)+1,N($X3847)))</f>
        <v>0</v>
      </c>
      <c r="Z3848" t="str">
        <f t="shared" si="609"/>
        <v/>
      </c>
      <c r="AA3848">
        <f>IF($V3848="",N($AA3847),IF(MATCH($V3848,$V$6:$V$10005,0)=ROW()-5,N($AA3847)+1,N($AA3847)))</f>
        <v>0</v>
      </c>
    </row>
    <row r="3849" spans="1:27" ht="21" customHeight="1" x14ac:dyDescent="0.95">
      <c r="A3849" s="56"/>
      <c r="B3849" s="57"/>
      <c r="C3849" s="57"/>
      <c r="D3849" s="57"/>
      <c r="E3849" s="56"/>
      <c r="F3849" s="57"/>
      <c r="G3849" s="57"/>
      <c r="H3849" s="56"/>
      <c r="I3849" s="56"/>
      <c r="J3849" s="58"/>
      <c r="K3849" s="58"/>
      <c r="L3849" s="13" t="str">
        <f t="shared" si="600"/>
        <v/>
      </c>
      <c r="M3849" s="13" t="str">
        <f t="shared" si="601"/>
        <v/>
      </c>
      <c r="Q3849" t="str">
        <f t="shared" si="602"/>
        <v/>
      </c>
      <c r="R3849" t="str">
        <f t="shared" si="603"/>
        <v/>
      </c>
      <c r="S3849" t="str">
        <f t="shared" si="604"/>
        <v/>
      </c>
      <c r="T3849" t="str">
        <f t="shared" si="605"/>
        <v/>
      </c>
      <c r="U3849" t="str">
        <f t="shared" si="606"/>
        <v/>
      </c>
      <c r="V3849" t="str">
        <f t="shared" si="607"/>
        <v/>
      </c>
      <c r="W3849" t="str">
        <f t="shared" si="608"/>
        <v/>
      </c>
      <c r="X3849">
        <f>IF($T3849="",N($X3848),IF(MATCH($T3849,$T$6:$T$10005,0)=ROW()-5,N($X3848)+1,N($X3848)))</f>
        <v>0</v>
      </c>
      <c r="Z3849" t="str">
        <f t="shared" si="609"/>
        <v/>
      </c>
      <c r="AA3849">
        <f>IF($V3849="",N($AA3848),IF(MATCH($V3849,$V$6:$V$10005,0)=ROW()-5,N($AA3848)+1,N($AA3848)))</f>
        <v>0</v>
      </c>
    </row>
    <row r="3850" spans="1:27" ht="21" customHeight="1" x14ac:dyDescent="0.95">
      <c r="A3850" s="56"/>
      <c r="B3850" s="57"/>
      <c r="C3850" s="57"/>
      <c r="D3850" s="57"/>
      <c r="E3850" s="56"/>
      <c r="F3850" s="57"/>
      <c r="G3850" s="57"/>
      <c r="H3850" s="56"/>
      <c r="I3850" s="56"/>
      <c r="J3850" s="58"/>
      <c r="K3850" s="58"/>
      <c r="L3850" s="13" t="str">
        <f t="shared" si="600"/>
        <v/>
      </c>
      <c r="M3850" s="13" t="str">
        <f t="shared" si="601"/>
        <v/>
      </c>
      <c r="Q3850" t="str">
        <f t="shared" si="602"/>
        <v/>
      </c>
      <c r="R3850" t="str">
        <f t="shared" si="603"/>
        <v/>
      </c>
      <c r="S3850" t="str">
        <f t="shared" si="604"/>
        <v/>
      </c>
      <c r="T3850" t="str">
        <f t="shared" si="605"/>
        <v/>
      </c>
      <c r="U3850" t="str">
        <f t="shared" si="606"/>
        <v/>
      </c>
      <c r="V3850" t="str">
        <f t="shared" si="607"/>
        <v/>
      </c>
      <c r="W3850" t="str">
        <f t="shared" si="608"/>
        <v/>
      </c>
      <c r="X3850">
        <f>IF($T3850="",N($X3849),IF(MATCH($T3850,$T$6:$T$10005,0)=ROW()-5,N($X3849)+1,N($X3849)))</f>
        <v>0</v>
      </c>
      <c r="Z3850" t="str">
        <f t="shared" si="609"/>
        <v/>
      </c>
      <c r="AA3850">
        <f>IF($V3850="",N($AA3849),IF(MATCH($V3850,$V$6:$V$10005,0)=ROW()-5,N($AA3849)+1,N($AA3849)))</f>
        <v>0</v>
      </c>
    </row>
    <row r="3851" spans="1:27" ht="21" customHeight="1" x14ac:dyDescent="0.95">
      <c r="A3851" s="56"/>
      <c r="B3851" s="57"/>
      <c r="C3851" s="57"/>
      <c r="D3851" s="57"/>
      <c r="E3851" s="56"/>
      <c r="F3851" s="57"/>
      <c r="G3851" s="57"/>
      <c r="H3851" s="56"/>
      <c r="I3851" s="56"/>
      <c r="J3851" s="58"/>
      <c r="K3851" s="58"/>
      <c r="L3851" s="13" t="str">
        <f t="shared" si="600"/>
        <v/>
      </c>
      <c r="M3851" s="13" t="str">
        <f t="shared" si="601"/>
        <v/>
      </c>
      <c r="Q3851" t="str">
        <f t="shared" si="602"/>
        <v/>
      </c>
      <c r="R3851" t="str">
        <f t="shared" si="603"/>
        <v/>
      </c>
      <c r="S3851" t="str">
        <f t="shared" si="604"/>
        <v/>
      </c>
      <c r="T3851" t="str">
        <f t="shared" si="605"/>
        <v/>
      </c>
      <c r="U3851" t="str">
        <f t="shared" si="606"/>
        <v/>
      </c>
      <c r="V3851" t="str">
        <f t="shared" si="607"/>
        <v/>
      </c>
      <c r="W3851" t="str">
        <f t="shared" si="608"/>
        <v/>
      </c>
      <c r="X3851">
        <f>IF($T3851="",N($X3850),IF(MATCH($T3851,$T$6:$T$10005,0)=ROW()-5,N($X3850)+1,N($X3850)))</f>
        <v>0</v>
      </c>
      <c r="Z3851" t="str">
        <f t="shared" si="609"/>
        <v/>
      </c>
      <c r="AA3851">
        <f>IF($V3851="",N($AA3850),IF(MATCH($V3851,$V$6:$V$10005,0)=ROW()-5,N($AA3850)+1,N($AA3850)))</f>
        <v>0</v>
      </c>
    </row>
    <row r="3852" spans="1:27" ht="21" customHeight="1" x14ac:dyDescent="0.95">
      <c r="A3852" s="56"/>
      <c r="B3852" s="57"/>
      <c r="C3852" s="57"/>
      <c r="D3852" s="57"/>
      <c r="E3852" s="56"/>
      <c r="F3852" s="57"/>
      <c r="G3852" s="57"/>
      <c r="H3852" s="56"/>
      <c r="I3852" s="56"/>
      <c r="J3852" s="58"/>
      <c r="K3852" s="58"/>
      <c r="L3852" s="13" t="str">
        <f t="shared" si="600"/>
        <v/>
      </c>
      <c r="M3852" s="13" t="str">
        <f t="shared" si="601"/>
        <v/>
      </c>
      <c r="Q3852" t="str">
        <f t="shared" si="602"/>
        <v/>
      </c>
      <c r="R3852" t="str">
        <f t="shared" si="603"/>
        <v/>
      </c>
      <c r="S3852" t="str">
        <f t="shared" si="604"/>
        <v/>
      </c>
      <c r="T3852" t="str">
        <f t="shared" si="605"/>
        <v/>
      </c>
      <c r="U3852" t="str">
        <f t="shared" si="606"/>
        <v/>
      </c>
      <c r="V3852" t="str">
        <f t="shared" si="607"/>
        <v/>
      </c>
      <c r="W3852" t="str">
        <f t="shared" si="608"/>
        <v/>
      </c>
      <c r="X3852">
        <f>IF($T3852="",N($X3851),IF(MATCH($T3852,$T$6:$T$10005,0)=ROW()-5,N($X3851)+1,N($X3851)))</f>
        <v>0</v>
      </c>
      <c r="Z3852" t="str">
        <f t="shared" si="609"/>
        <v/>
      </c>
      <c r="AA3852">
        <f>IF($V3852="",N($AA3851),IF(MATCH($V3852,$V$6:$V$10005,0)=ROW()-5,N($AA3851)+1,N($AA3851)))</f>
        <v>0</v>
      </c>
    </row>
    <row r="3853" spans="1:27" ht="21" customHeight="1" x14ac:dyDescent="0.95">
      <c r="A3853" s="56"/>
      <c r="B3853" s="57"/>
      <c r="C3853" s="57"/>
      <c r="D3853" s="57"/>
      <c r="E3853" s="56"/>
      <c r="F3853" s="57"/>
      <c r="G3853" s="57"/>
      <c r="H3853" s="56"/>
      <c r="I3853" s="56"/>
      <c r="J3853" s="58"/>
      <c r="K3853" s="58"/>
      <c r="L3853" s="13" t="str">
        <f t="shared" si="600"/>
        <v/>
      </c>
      <c r="M3853" s="13" t="str">
        <f t="shared" si="601"/>
        <v/>
      </c>
      <c r="Q3853" t="str">
        <f t="shared" si="602"/>
        <v/>
      </c>
      <c r="R3853" t="str">
        <f t="shared" si="603"/>
        <v/>
      </c>
      <c r="S3853" t="str">
        <f t="shared" si="604"/>
        <v/>
      </c>
      <c r="T3853" t="str">
        <f t="shared" si="605"/>
        <v/>
      </c>
      <c r="U3853" t="str">
        <f t="shared" si="606"/>
        <v/>
      </c>
      <c r="V3853" t="str">
        <f t="shared" si="607"/>
        <v/>
      </c>
      <c r="W3853" t="str">
        <f t="shared" si="608"/>
        <v/>
      </c>
      <c r="X3853">
        <f>IF($T3853="",N($X3852),IF(MATCH($T3853,$T$6:$T$10005,0)=ROW()-5,N($X3852)+1,N($X3852)))</f>
        <v>0</v>
      </c>
      <c r="Z3853" t="str">
        <f t="shared" si="609"/>
        <v/>
      </c>
      <c r="AA3853">
        <f>IF($V3853="",N($AA3852),IF(MATCH($V3853,$V$6:$V$10005,0)=ROW()-5,N($AA3852)+1,N($AA3852)))</f>
        <v>0</v>
      </c>
    </row>
    <row r="3854" spans="1:27" ht="21" customHeight="1" x14ac:dyDescent="0.95">
      <c r="A3854" s="56"/>
      <c r="B3854" s="57"/>
      <c r="C3854" s="57"/>
      <c r="D3854" s="57"/>
      <c r="E3854" s="56"/>
      <c r="F3854" s="57"/>
      <c r="G3854" s="57"/>
      <c r="H3854" s="56"/>
      <c r="I3854" s="56"/>
      <c r="J3854" s="58"/>
      <c r="K3854" s="58"/>
      <c r="L3854" s="13" t="str">
        <f t="shared" si="600"/>
        <v/>
      </c>
      <c r="M3854" s="13" t="str">
        <f t="shared" si="601"/>
        <v/>
      </c>
      <c r="Q3854" t="str">
        <f t="shared" si="602"/>
        <v/>
      </c>
      <c r="R3854" t="str">
        <f t="shared" si="603"/>
        <v/>
      </c>
      <c r="S3854" t="str">
        <f t="shared" si="604"/>
        <v/>
      </c>
      <c r="T3854" t="str">
        <f t="shared" si="605"/>
        <v/>
      </c>
      <c r="U3854" t="str">
        <f t="shared" si="606"/>
        <v/>
      </c>
      <c r="V3854" t="str">
        <f t="shared" si="607"/>
        <v/>
      </c>
      <c r="W3854" t="str">
        <f t="shared" si="608"/>
        <v/>
      </c>
      <c r="X3854">
        <f>IF($T3854="",N($X3853),IF(MATCH($T3854,$T$6:$T$10005,0)=ROW()-5,N($X3853)+1,N($X3853)))</f>
        <v>0</v>
      </c>
      <c r="Z3854" t="str">
        <f t="shared" si="609"/>
        <v/>
      </c>
      <c r="AA3854">
        <f>IF($V3854="",N($AA3853),IF(MATCH($V3854,$V$6:$V$10005,0)=ROW()-5,N($AA3853)+1,N($AA3853)))</f>
        <v>0</v>
      </c>
    </row>
    <row r="3855" spans="1:27" ht="21" customHeight="1" x14ac:dyDescent="0.95">
      <c r="A3855" s="56"/>
      <c r="B3855" s="57"/>
      <c r="C3855" s="57"/>
      <c r="D3855" s="57"/>
      <c r="E3855" s="56"/>
      <c r="F3855" s="57"/>
      <c r="G3855" s="57"/>
      <c r="H3855" s="56"/>
      <c r="I3855" s="56"/>
      <c r="J3855" s="58"/>
      <c r="K3855" s="58"/>
      <c r="L3855" s="13" t="str">
        <f t="shared" si="600"/>
        <v/>
      </c>
      <c r="M3855" s="13" t="str">
        <f t="shared" si="601"/>
        <v/>
      </c>
      <c r="Q3855" t="str">
        <f t="shared" si="602"/>
        <v/>
      </c>
      <c r="R3855" t="str">
        <f t="shared" si="603"/>
        <v/>
      </c>
      <c r="S3855" t="str">
        <f t="shared" si="604"/>
        <v/>
      </c>
      <c r="T3855" t="str">
        <f t="shared" si="605"/>
        <v/>
      </c>
      <c r="U3855" t="str">
        <f t="shared" si="606"/>
        <v/>
      </c>
      <c r="V3855" t="str">
        <f t="shared" si="607"/>
        <v/>
      </c>
      <c r="W3855" t="str">
        <f t="shared" si="608"/>
        <v/>
      </c>
      <c r="X3855">
        <f>IF($T3855="",N($X3854),IF(MATCH($T3855,$T$6:$T$10005,0)=ROW()-5,N($X3854)+1,N($X3854)))</f>
        <v>0</v>
      </c>
      <c r="Z3855" t="str">
        <f t="shared" si="609"/>
        <v/>
      </c>
      <c r="AA3855">
        <f>IF($V3855="",N($AA3854),IF(MATCH($V3855,$V$6:$V$10005,0)=ROW()-5,N($AA3854)+1,N($AA3854)))</f>
        <v>0</v>
      </c>
    </row>
    <row r="3856" spans="1:27" ht="21" customHeight="1" x14ac:dyDescent="0.95">
      <c r="A3856" s="56"/>
      <c r="B3856" s="57"/>
      <c r="C3856" s="57"/>
      <c r="D3856" s="57"/>
      <c r="E3856" s="56"/>
      <c r="F3856" s="57"/>
      <c r="G3856" s="57"/>
      <c r="H3856" s="56"/>
      <c r="I3856" s="56"/>
      <c r="J3856" s="58"/>
      <c r="K3856" s="58"/>
      <c r="L3856" s="13" t="str">
        <f t="shared" si="600"/>
        <v/>
      </c>
      <c r="M3856" s="13" t="str">
        <f t="shared" si="601"/>
        <v/>
      </c>
      <c r="Q3856" t="str">
        <f t="shared" si="602"/>
        <v/>
      </c>
      <c r="R3856" t="str">
        <f t="shared" si="603"/>
        <v/>
      </c>
      <c r="S3856" t="str">
        <f t="shared" si="604"/>
        <v/>
      </c>
      <c r="T3856" t="str">
        <f t="shared" si="605"/>
        <v/>
      </c>
      <c r="U3856" t="str">
        <f t="shared" si="606"/>
        <v/>
      </c>
      <c r="V3856" t="str">
        <f t="shared" si="607"/>
        <v/>
      </c>
      <c r="W3856" t="str">
        <f t="shared" si="608"/>
        <v/>
      </c>
      <c r="X3856">
        <f>IF($T3856="",N($X3855),IF(MATCH($T3856,$T$6:$T$10005,0)=ROW()-5,N($X3855)+1,N($X3855)))</f>
        <v>0</v>
      </c>
      <c r="Z3856" t="str">
        <f t="shared" si="609"/>
        <v/>
      </c>
      <c r="AA3856">
        <f>IF($V3856="",N($AA3855),IF(MATCH($V3856,$V$6:$V$10005,0)=ROW()-5,N($AA3855)+1,N($AA3855)))</f>
        <v>0</v>
      </c>
    </row>
    <row r="3857" spans="1:27" ht="21" customHeight="1" x14ac:dyDescent="0.95">
      <c r="A3857" s="56"/>
      <c r="B3857" s="57"/>
      <c r="C3857" s="57"/>
      <c r="D3857" s="57"/>
      <c r="E3857" s="56"/>
      <c r="F3857" s="57"/>
      <c r="G3857" s="57"/>
      <c r="H3857" s="56"/>
      <c r="I3857" s="56"/>
      <c r="J3857" s="58"/>
      <c r="K3857" s="58"/>
      <c r="L3857" s="13" t="str">
        <f t="shared" si="600"/>
        <v/>
      </c>
      <c r="M3857" s="13" t="str">
        <f t="shared" si="601"/>
        <v/>
      </c>
      <c r="Q3857" t="str">
        <f t="shared" si="602"/>
        <v/>
      </c>
      <c r="R3857" t="str">
        <f t="shared" si="603"/>
        <v/>
      </c>
      <c r="S3857" t="str">
        <f t="shared" si="604"/>
        <v/>
      </c>
      <c r="T3857" t="str">
        <f t="shared" si="605"/>
        <v/>
      </c>
      <c r="U3857" t="str">
        <f t="shared" si="606"/>
        <v/>
      </c>
      <c r="V3857" t="str">
        <f t="shared" si="607"/>
        <v/>
      </c>
      <c r="W3857" t="str">
        <f t="shared" si="608"/>
        <v/>
      </c>
      <c r="X3857">
        <f>IF($T3857="",N($X3856),IF(MATCH($T3857,$T$6:$T$10005,0)=ROW()-5,N($X3856)+1,N($X3856)))</f>
        <v>0</v>
      </c>
      <c r="Z3857" t="str">
        <f t="shared" si="609"/>
        <v/>
      </c>
      <c r="AA3857">
        <f>IF($V3857="",N($AA3856),IF(MATCH($V3857,$V$6:$V$10005,0)=ROW()-5,N($AA3856)+1,N($AA3856)))</f>
        <v>0</v>
      </c>
    </row>
    <row r="3858" spans="1:27" ht="21" customHeight="1" x14ac:dyDescent="0.95">
      <c r="A3858" s="56"/>
      <c r="B3858" s="57"/>
      <c r="C3858" s="57"/>
      <c r="D3858" s="57"/>
      <c r="E3858" s="56"/>
      <c r="F3858" s="57"/>
      <c r="G3858" s="57"/>
      <c r="H3858" s="56"/>
      <c r="I3858" s="56"/>
      <c r="J3858" s="58"/>
      <c r="K3858" s="58"/>
      <c r="L3858" s="13" t="str">
        <f t="shared" si="600"/>
        <v/>
      </c>
      <c r="M3858" s="13" t="str">
        <f t="shared" si="601"/>
        <v/>
      </c>
      <c r="Q3858" t="str">
        <f t="shared" si="602"/>
        <v/>
      </c>
      <c r="R3858" t="str">
        <f t="shared" si="603"/>
        <v/>
      </c>
      <c r="S3858" t="str">
        <f t="shared" si="604"/>
        <v/>
      </c>
      <c r="T3858" t="str">
        <f t="shared" si="605"/>
        <v/>
      </c>
      <c r="U3858" t="str">
        <f t="shared" si="606"/>
        <v/>
      </c>
      <c r="V3858" t="str">
        <f t="shared" si="607"/>
        <v/>
      </c>
      <c r="W3858" t="str">
        <f t="shared" si="608"/>
        <v/>
      </c>
      <c r="X3858">
        <f>IF($T3858="",N($X3857),IF(MATCH($T3858,$T$6:$T$10005,0)=ROW()-5,N($X3857)+1,N($X3857)))</f>
        <v>0</v>
      </c>
      <c r="Z3858" t="str">
        <f t="shared" si="609"/>
        <v/>
      </c>
      <c r="AA3858">
        <f>IF($V3858="",N($AA3857),IF(MATCH($V3858,$V$6:$V$10005,0)=ROW()-5,N($AA3857)+1,N($AA3857)))</f>
        <v>0</v>
      </c>
    </row>
    <row r="3859" spans="1:27" ht="21" customHeight="1" x14ac:dyDescent="0.95">
      <c r="A3859" s="56"/>
      <c r="B3859" s="57"/>
      <c r="C3859" s="57"/>
      <c r="D3859" s="57"/>
      <c r="E3859" s="56"/>
      <c r="F3859" s="57"/>
      <c r="G3859" s="57"/>
      <c r="H3859" s="56"/>
      <c r="I3859" s="56"/>
      <c r="J3859" s="58"/>
      <c r="K3859" s="58"/>
      <c r="L3859" s="13" t="str">
        <f t="shared" si="600"/>
        <v/>
      </c>
      <c r="M3859" s="13" t="str">
        <f t="shared" si="601"/>
        <v/>
      </c>
      <c r="Q3859" t="str">
        <f t="shared" si="602"/>
        <v/>
      </c>
      <c r="R3859" t="str">
        <f t="shared" si="603"/>
        <v/>
      </c>
      <c r="S3859" t="str">
        <f t="shared" si="604"/>
        <v/>
      </c>
      <c r="T3859" t="str">
        <f t="shared" si="605"/>
        <v/>
      </c>
      <c r="U3859" t="str">
        <f t="shared" si="606"/>
        <v/>
      </c>
      <c r="V3859" t="str">
        <f t="shared" si="607"/>
        <v/>
      </c>
      <c r="W3859" t="str">
        <f t="shared" si="608"/>
        <v/>
      </c>
      <c r="X3859">
        <f>IF($T3859="",N($X3858),IF(MATCH($T3859,$T$6:$T$10005,0)=ROW()-5,N($X3858)+1,N($X3858)))</f>
        <v>0</v>
      </c>
      <c r="Z3859" t="str">
        <f t="shared" si="609"/>
        <v/>
      </c>
      <c r="AA3859">
        <f>IF($V3859="",N($AA3858),IF(MATCH($V3859,$V$6:$V$10005,0)=ROW()-5,N($AA3858)+1,N($AA3858)))</f>
        <v>0</v>
      </c>
    </row>
    <row r="3860" spans="1:27" ht="21" customHeight="1" x14ac:dyDescent="0.95">
      <c r="A3860" s="56"/>
      <c r="B3860" s="57"/>
      <c r="C3860" s="57"/>
      <c r="D3860" s="57"/>
      <c r="E3860" s="56"/>
      <c r="F3860" s="57"/>
      <c r="G3860" s="57"/>
      <c r="H3860" s="56"/>
      <c r="I3860" s="56"/>
      <c r="J3860" s="58"/>
      <c r="K3860" s="58"/>
      <c r="L3860" s="13" t="str">
        <f t="shared" si="600"/>
        <v/>
      </c>
      <c r="M3860" s="13" t="str">
        <f t="shared" si="601"/>
        <v/>
      </c>
      <c r="Q3860" t="str">
        <f t="shared" si="602"/>
        <v/>
      </c>
      <c r="R3860" t="str">
        <f t="shared" si="603"/>
        <v/>
      </c>
      <c r="S3860" t="str">
        <f t="shared" si="604"/>
        <v/>
      </c>
      <c r="T3860" t="str">
        <f t="shared" si="605"/>
        <v/>
      </c>
      <c r="U3860" t="str">
        <f t="shared" si="606"/>
        <v/>
      </c>
      <c r="V3860" t="str">
        <f t="shared" si="607"/>
        <v/>
      </c>
      <c r="W3860" t="str">
        <f t="shared" si="608"/>
        <v/>
      </c>
      <c r="X3860">
        <f>IF($T3860="",N($X3859),IF(MATCH($T3860,$T$6:$T$10005,0)=ROW()-5,N($X3859)+1,N($X3859)))</f>
        <v>0</v>
      </c>
      <c r="Z3860" t="str">
        <f t="shared" si="609"/>
        <v/>
      </c>
      <c r="AA3860">
        <f>IF($V3860="",N($AA3859),IF(MATCH($V3860,$V$6:$V$10005,0)=ROW()-5,N($AA3859)+1,N($AA3859)))</f>
        <v>0</v>
      </c>
    </row>
    <row r="3861" spans="1:27" ht="21" customHeight="1" x14ac:dyDescent="0.95">
      <c r="A3861" s="56"/>
      <c r="B3861" s="57"/>
      <c r="C3861" s="57"/>
      <c r="D3861" s="57"/>
      <c r="E3861" s="56"/>
      <c r="F3861" s="57"/>
      <c r="G3861" s="57"/>
      <c r="H3861" s="56"/>
      <c r="I3861" s="56"/>
      <c r="J3861" s="58"/>
      <c r="K3861" s="58"/>
      <c r="L3861" s="13" t="str">
        <f t="shared" si="600"/>
        <v/>
      </c>
      <c r="M3861" s="13" t="str">
        <f t="shared" si="601"/>
        <v/>
      </c>
      <c r="Q3861" t="str">
        <f t="shared" si="602"/>
        <v/>
      </c>
      <c r="R3861" t="str">
        <f t="shared" si="603"/>
        <v/>
      </c>
      <c r="S3861" t="str">
        <f t="shared" si="604"/>
        <v/>
      </c>
      <c r="T3861" t="str">
        <f t="shared" si="605"/>
        <v/>
      </c>
      <c r="U3861" t="str">
        <f t="shared" si="606"/>
        <v/>
      </c>
      <c r="V3861" t="str">
        <f t="shared" si="607"/>
        <v/>
      </c>
      <c r="W3861" t="str">
        <f t="shared" si="608"/>
        <v/>
      </c>
      <c r="X3861">
        <f>IF($T3861="",N($X3860),IF(MATCH($T3861,$T$6:$T$10005,0)=ROW()-5,N($X3860)+1,N($X3860)))</f>
        <v>0</v>
      </c>
      <c r="Z3861" t="str">
        <f t="shared" si="609"/>
        <v/>
      </c>
      <c r="AA3861">
        <f>IF($V3861="",N($AA3860),IF(MATCH($V3861,$V$6:$V$10005,0)=ROW()-5,N($AA3860)+1,N($AA3860)))</f>
        <v>0</v>
      </c>
    </row>
    <row r="3862" spans="1:27" ht="21" customHeight="1" x14ac:dyDescent="0.95">
      <c r="A3862" s="56"/>
      <c r="B3862" s="57"/>
      <c r="C3862" s="57"/>
      <c r="D3862" s="57"/>
      <c r="E3862" s="56"/>
      <c r="F3862" s="57"/>
      <c r="G3862" s="57"/>
      <c r="H3862" s="56"/>
      <c r="I3862" s="56"/>
      <c r="J3862" s="58"/>
      <c r="K3862" s="58"/>
      <c r="L3862" s="13" t="str">
        <f t="shared" si="600"/>
        <v/>
      </c>
      <c r="M3862" s="13" t="str">
        <f t="shared" si="601"/>
        <v/>
      </c>
      <c r="Q3862" t="str">
        <f t="shared" si="602"/>
        <v/>
      </c>
      <c r="R3862" t="str">
        <f t="shared" si="603"/>
        <v/>
      </c>
      <c r="S3862" t="str">
        <f t="shared" si="604"/>
        <v/>
      </c>
      <c r="T3862" t="str">
        <f t="shared" si="605"/>
        <v/>
      </c>
      <c r="U3862" t="str">
        <f t="shared" si="606"/>
        <v/>
      </c>
      <c r="V3862" t="str">
        <f t="shared" si="607"/>
        <v/>
      </c>
      <c r="W3862" t="str">
        <f t="shared" si="608"/>
        <v/>
      </c>
      <c r="X3862">
        <f>IF($T3862="",N($X3861),IF(MATCH($T3862,$T$6:$T$10005,0)=ROW()-5,N($X3861)+1,N($X3861)))</f>
        <v>0</v>
      </c>
      <c r="Z3862" t="str">
        <f t="shared" si="609"/>
        <v/>
      </c>
      <c r="AA3862">
        <f>IF($V3862="",N($AA3861),IF(MATCH($V3862,$V$6:$V$10005,0)=ROW()-5,N($AA3861)+1,N($AA3861)))</f>
        <v>0</v>
      </c>
    </row>
    <row r="3863" spans="1:27" ht="21" customHeight="1" x14ac:dyDescent="0.95">
      <c r="A3863" s="56"/>
      <c r="B3863" s="57"/>
      <c r="C3863" s="57"/>
      <c r="D3863" s="57"/>
      <c r="E3863" s="56"/>
      <c r="F3863" s="57"/>
      <c r="G3863" s="57"/>
      <c r="H3863" s="56"/>
      <c r="I3863" s="56"/>
      <c r="J3863" s="58"/>
      <c r="K3863" s="58"/>
      <c r="L3863" s="13" t="str">
        <f t="shared" si="600"/>
        <v/>
      </c>
      <c r="M3863" s="13" t="str">
        <f t="shared" si="601"/>
        <v/>
      </c>
      <c r="Q3863" t="str">
        <f t="shared" si="602"/>
        <v/>
      </c>
      <c r="R3863" t="str">
        <f t="shared" si="603"/>
        <v/>
      </c>
      <c r="S3863" t="str">
        <f t="shared" si="604"/>
        <v/>
      </c>
      <c r="T3863" t="str">
        <f t="shared" si="605"/>
        <v/>
      </c>
      <c r="U3863" t="str">
        <f t="shared" si="606"/>
        <v/>
      </c>
      <c r="V3863" t="str">
        <f t="shared" si="607"/>
        <v/>
      </c>
      <c r="W3863" t="str">
        <f t="shared" si="608"/>
        <v/>
      </c>
      <c r="X3863">
        <f>IF($T3863="",N($X3862),IF(MATCH($T3863,$T$6:$T$10005,0)=ROW()-5,N($X3862)+1,N($X3862)))</f>
        <v>0</v>
      </c>
      <c r="Z3863" t="str">
        <f t="shared" si="609"/>
        <v/>
      </c>
      <c r="AA3863">
        <f>IF($V3863="",N($AA3862),IF(MATCH($V3863,$V$6:$V$10005,0)=ROW()-5,N($AA3862)+1,N($AA3862)))</f>
        <v>0</v>
      </c>
    </row>
    <row r="3864" spans="1:27" ht="21" customHeight="1" x14ac:dyDescent="0.95">
      <c r="A3864" s="56"/>
      <c r="B3864" s="57"/>
      <c r="C3864" s="57"/>
      <c r="D3864" s="57"/>
      <c r="E3864" s="56"/>
      <c r="F3864" s="57"/>
      <c r="G3864" s="57"/>
      <c r="H3864" s="56"/>
      <c r="I3864" s="56"/>
      <c r="J3864" s="58"/>
      <c r="K3864" s="58"/>
      <c r="L3864" s="13" t="str">
        <f t="shared" si="600"/>
        <v/>
      </c>
      <c r="M3864" s="13" t="str">
        <f t="shared" si="601"/>
        <v/>
      </c>
      <c r="Q3864" t="str">
        <f t="shared" si="602"/>
        <v/>
      </c>
      <c r="R3864" t="str">
        <f t="shared" si="603"/>
        <v/>
      </c>
      <c r="S3864" t="str">
        <f t="shared" si="604"/>
        <v/>
      </c>
      <c r="T3864" t="str">
        <f t="shared" si="605"/>
        <v/>
      </c>
      <c r="U3864" t="str">
        <f t="shared" si="606"/>
        <v/>
      </c>
      <c r="V3864" t="str">
        <f t="shared" si="607"/>
        <v/>
      </c>
      <c r="W3864" t="str">
        <f t="shared" si="608"/>
        <v/>
      </c>
      <c r="X3864">
        <f>IF($T3864="",N($X3863),IF(MATCH($T3864,$T$6:$T$10005,0)=ROW()-5,N($X3863)+1,N($X3863)))</f>
        <v>0</v>
      </c>
      <c r="Z3864" t="str">
        <f t="shared" si="609"/>
        <v/>
      </c>
      <c r="AA3864">
        <f>IF($V3864="",N($AA3863),IF(MATCH($V3864,$V$6:$V$10005,0)=ROW()-5,N($AA3863)+1,N($AA3863)))</f>
        <v>0</v>
      </c>
    </row>
    <row r="3865" spans="1:27" ht="21" customHeight="1" x14ac:dyDescent="0.95">
      <c r="A3865" s="56"/>
      <c r="B3865" s="57"/>
      <c r="C3865" s="57"/>
      <c r="D3865" s="57"/>
      <c r="E3865" s="56"/>
      <c r="F3865" s="57"/>
      <c r="G3865" s="57"/>
      <c r="H3865" s="56"/>
      <c r="I3865" s="56"/>
      <c r="J3865" s="58"/>
      <c r="K3865" s="58"/>
      <c r="L3865" s="13" t="str">
        <f t="shared" si="600"/>
        <v/>
      </c>
      <c r="M3865" s="13" t="str">
        <f t="shared" si="601"/>
        <v/>
      </c>
      <c r="Q3865" t="str">
        <f t="shared" si="602"/>
        <v/>
      </c>
      <c r="R3865" t="str">
        <f t="shared" si="603"/>
        <v/>
      </c>
      <c r="S3865" t="str">
        <f t="shared" si="604"/>
        <v/>
      </c>
      <c r="T3865" t="str">
        <f t="shared" si="605"/>
        <v/>
      </c>
      <c r="U3865" t="str">
        <f t="shared" si="606"/>
        <v/>
      </c>
      <c r="V3865" t="str">
        <f t="shared" si="607"/>
        <v/>
      </c>
      <c r="W3865" t="str">
        <f t="shared" si="608"/>
        <v/>
      </c>
      <c r="X3865">
        <f>IF($T3865="",N($X3864),IF(MATCH($T3865,$T$6:$T$10005,0)=ROW()-5,N($X3864)+1,N($X3864)))</f>
        <v>0</v>
      </c>
      <c r="Z3865" t="str">
        <f t="shared" si="609"/>
        <v/>
      </c>
      <c r="AA3865">
        <f>IF($V3865="",N($AA3864),IF(MATCH($V3865,$V$6:$V$10005,0)=ROW()-5,N($AA3864)+1,N($AA3864)))</f>
        <v>0</v>
      </c>
    </row>
    <row r="3866" spans="1:27" ht="21" customHeight="1" x14ac:dyDescent="0.95">
      <c r="A3866" s="56"/>
      <c r="B3866" s="57"/>
      <c r="C3866" s="57"/>
      <c r="D3866" s="57"/>
      <c r="E3866" s="56"/>
      <c r="F3866" s="57"/>
      <c r="G3866" s="57"/>
      <c r="H3866" s="56"/>
      <c r="I3866" s="56"/>
      <c r="J3866" s="58"/>
      <c r="K3866" s="58"/>
      <c r="L3866" s="13" t="str">
        <f t="shared" si="600"/>
        <v/>
      </c>
      <c r="M3866" s="13" t="str">
        <f t="shared" si="601"/>
        <v/>
      </c>
      <c r="Q3866" t="str">
        <f t="shared" si="602"/>
        <v/>
      </c>
      <c r="R3866" t="str">
        <f t="shared" si="603"/>
        <v/>
      </c>
      <c r="S3866" t="str">
        <f t="shared" si="604"/>
        <v/>
      </c>
      <c r="T3866" t="str">
        <f t="shared" si="605"/>
        <v/>
      </c>
      <c r="U3866" t="str">
        <f t="shared" si="606"/>
        <v/>
      </c>
      <c r="V3866" t="str">
        <f t="shared" si="607"/>
        <v/>
      </c>
      <c r="W3866" t="str">
        <f t="shared" si="608"/>
        <v/>
      </c>
      <c r="X3866">
        <f>IF($T3866="",N($X3865),IF(MATCH($T3866,$T$6:$T$10005,0)=ROW()-5,N($X3865)+1,N($X3865)))</f>
        <v>0</v>
      </c>
      <c r="Z3866" t="str">
        <f t="shared" si="609"/>
        <v/>
      </c>
      <c r="AA3866">
        <f>IF($V3866="",N($AA3865),IF(MATCH($V3866,$V$6:$V$10005,0)=ROW()-5,N($AA3865)+1,N($AA3865)))</f>
        <v>0</v>
      </c>
    </row>
    <row r="3867" spans="1:27" ht="21" customHeight="1" x14ac:dyDescent="0.95">
      <c r="A3867" s="56"/>
      <c r="B3867" s="57"/>
      <c r="C3867" s="57"/>
      <c r="D3867" s="57"/>
      <c r="E3867" s="56"/>
      <c r="F3867" s="57"/>
      <c r="G3867" s="57"/>
      <c r="H3867" s="56"/>
      <c r="I3867" s="56"/>
      <c r="J3867" s="58"/>
      <c r="K3867" s="58"/>
      <c r="L3867" s="13" t="str">
        <f t="shared" si="600"/>
        <v/>
      </c>
      <c r="M3867" s="13" t="str">
        <f t="shared" si="601"/>
        <v/>
      </c>
      <c r="Q3867" t="str">
        <f t="shared" si="602"/>
        <v/>
      </c>
      <c r="R3867" t="str">
        <f t="shared" si="603"/>
        <v/>
      </c>
      <c r="S3867" t="str">
        <f t="shared" si="604"/>
        <v/>
      </c>
      <c r="T3867" t="str">
        <f t="shared" si="605"/>
        <v/>
      </c>
      <c r="U3867" t="str">
        <f t="shared" si="606"/>
        <v/>
      </c>
      <c r="V3867" t="str">
        <f t="shared" si="607"/>
        <v/>
      </c>
      <c r="W3867" t="str">
        <f t="shared" si="608"/>
        <v/>
      </c>
      <c r="X3867">
        <f>IF($T3867="",N($X3866),IF(MATCH($T3867,$T$6:$T$10005,0)=ROW()-5,N($X3866)+1,N($X3866)))</f>
        <v>0</v>
      </c>
      <c r="Z3867" t="str">
        <f t="shared" si="609"/>
        <v/>
      </c>
      <c r="AA3867">
        <f>IF($V3867="",N($AA3866),IF(MATCH($V3867,$V$6:$V$10005,0)=ROW()-5,N($AA3866)+1,N($AA3866)))</f>
        <v>0</v>
      </c>
    </row>
    <row r="3868" spans="1:27" ht="21" customHeight="1" x14ac:dyDescent="0.95">
      <c r="A3868" s="56"/>
      <c r="B3868" s="57"/>
      <c r="C3868" s="57"/>
      <c r="D3868" s="57"/>
      <c r="E3868" s="56"/>
      <c r="F3868" s="57"/>
      <c r="G3868" s="57"/>
      <c r="H3868" s="56"/>
      <c r="I3868" s="56"/>
      <c r="J3868" s="58"/>
      <c r="K3868" s="58"/>
      <c r="L3868" s="13" t="str">
        <f t="shared" si="600"/>
        <v/>
      </c>
      <c r="M3868" s="13" t="str">
        <f t="shared" si="601"/>
        <v/>
      </c>
      <c r="Q3868" t="str">
        <f t="shared" si="602"/>
        <v/>
      </c>
      <c r="R3868" t="str">
        <f t="shared" si="603"/>
        <v/>
      </c>
      <c r="S3868" t="str">
        <f t="shared" si="604"/>
        <v/>
      </c>
      <c r="T3868" t="str">
        <f t="shared" si="605"/>
        <v/>
      </c>
      <c r="U3868" t="str">
        <f t="shared" si="606"/>
        <v/>
      </c>
      <c r="V3868" t="str">
        <f t="shared" si="607"/>
        <v/>
      </c>
      <c r="W3868" t="str">
        <f t="shared" si="608"/>
        <v/>
      </c>
      <c r="X3868">
        <f>IF($T3868="",N($X3867),IF(MATCH($T3868,$T$6:$T$10005,0)=ROW()-5,N($X3867)+1,N($X3867)))</f>
        <v>0</v>
      </c>
      <c r="Z3868" t="str">
        <f t="shared" si="609"/>
        <v/>
      </c>
      <c r="AA3868">
        <f>IF($V3868="",N($AA3867),IF(MATCH($V3868,$V$6:$V$10005,0)=ROW()-5,N($AA3867)+1,N($AA3867)))</f>
        <v>0</v>
      </c>
    </row>
    <row r="3869" spans="1:27" ht="21" customHeight="1" x14ac:dyDescent="0.95">
      <c r="A3869" s="56"/>
      <c r="B3869" s="57"/>
      <c r="C3869" s="57"/>
      <c r="D3869" s="57"/>
      <c r="E3869" s="56"/>
      <c r="F3869" s="57"/>
      <c r="G3869" s="57"/>
      <c r="H3869" s="56"/>
      <c r="I3869" s="56"/>
      <c r="J3869" s="58"/>
      <c r="K3869" s="58"/>
      <c r="L3869" s="13" t="str">
        <f t="shared" si="600"/>
        <v/>
      </c>
      <c r="M3869" s="13" t="str">
        <f t="shared" si="601"/>
        <v/>
      </c>
      <c r="Q3869" t="str">
        <f t="shared" si="602"/>
        <v/>
      </c>
      <c r="R3869" t="str">
        <f t="shared" si="603"/>
        <v/>
      </c>
      <c r="S3869" t="str">
        <f t="shared" si="604"/>
        <v/>
      </c>
      <c r="T3869" t="str">
        <f t="shared" si="605"/>
        <v/>
      </c>
      <c r="U3869" t="str">
        <f t="shared" si="606"/>
        <v/>
      </c>
      <c r="V3869" t="str">
        <f t="shared" si="607"/>
        <v/>
      </c>
      <c r="W3869" t="str">
        <f t="shared" si="608"/>
        <v/>
      </c>
      <c r="X3869">
        <f>IF($T3869="",N($X3868),IF(MATCH($T3869,$T$6:$T$10005,0)=ROW()-5,N($X3868)+1,N($X3868)))</f>
        <v>0</v>
      </c>
      <c r="Z3869" t="str">
        <f t="shared" si="609"/>
        <v/>
      </c>
      <c r="AA3869">
        <f>IF($V3869="",N($AA3868),IF(MATCH($V3869,$V$6:$V$10005,0)=ROW()-5,N($AA3868)+1,N($AA3868)))</f>
        <v>0</v>
      </c>
    </row>
    <row r="3870" spans="1:27" ht="21" customHeight="1" x14ac:dyDescent="0.95">
      <c r="A3870" s="56"/>
      <c r="B3870" s="57"/>
      <c r="C3870" s="57"/>
      <c r="D3870" s="57"/>
      <c r="E3870" s="56"/>
      <c r="F3870" s="57"/>
      <c r="G3870" s="57"/>
      <c r="H3870" s="56"/>
      <c r="I3870" s="56"/>
      <c r="J3870" s="58"/>
      <c r="K3870" s="58"/>
      <c r="L3870" s="13" t="str">
        <f t="shared" si="600"/>
        <v/>
      </c>
      <c r="M3870" s="13" t="str">
        <f t="shared" si="601"/>
        <v/>
      </c>
      <c r="Q3870" t="str">
        <f t="shared" si="602"/>
        <v/>
      </c>
      <c r="R3870" t="str">
        <f t="shared" si="603"/>
        <v/>
      </c>
      <c r="S3870" t="str">
        <f t="shared" si="604"/>
        <v/>
      </c>
      <c r="T3870" t="str">
        <f t="shared" si="605"/>
        <v/>
      </c>
      <c r="U3870" t="str">
        <f t="shared" si="606"/>
        <v/>
      </c>
      <c r="V3870" t="str">
        <f t="shared" si="607"/>
        <v/>
      </c>
      <c r="W3870" t="str">
        <f t="shared" si="608"/>
        <v/>
      </c>
      <c r="X3870">
        <f>IF($T3870="",N($X3869),IF(MATCH($T3870,$T$6:$T$10005,0)=ROW()-5,N($X3869)+1,N($X3869)))</f>
        <v>0</v>
      </c>
      <c r="Z3870" t="str">
        <f t="shared" si="609"/>
        <v/>
      </c>
      <c r="AA3870">
        <f>IF($V3870="",N($AA3869),IF(MATCH($V3870,$V$6:$V$10005,0)=ROW()-5,N($AA3869)+1,N($AA3869)))</f>
        <v>0</v>
      </c>
    </row>
    <row r="3871" spans="1:27" ht="21" customHeight="1" x14ac:dyDescent="0.95">
      <c r="A3871" s="56"/>
      <c r="B3871" s="57"/>
      <c r="C3871" s="57"/>
      <c r="D3871" s="57"/>
      <c r="E3871" s="56"/>
      <c r="F3871" s="57"/>
      <c r="G3871" s="57"/>
      <c r="H3871" s="56"/>
      <c r="I3871" s="56"/>
      <c r="J3871" s="58"/>
      <c r="K3871" s="58"/>
      <c r="L3871" s="13" t="str">
        <f t="shared" si="600"/>
        <v/>
      </c>
      <c r="M3871" s="13" t="str">
        <f t="shared" si="601"/>
        <v/>
      </c>
      <c r="Q3871" t="str">
        <f t="shared" si="602"/>
        <v/>
      </c>
      <c r="R3871" t="str">
        <f t="shared" si="603"/>
        <v/>
      </c>
      <c r="S3871" t="str">
        <f t="shared" si="604"/>
        <v/>
      </c>
      <c r="T3871" t="str">
        <f t="shared" si="605"/>
        <v/>
      </c>
      <c r="U3871" t="str">
        <f t="shared" si="606"/>
        <v/>
      </c>
      <c r="V3871" t="str">
        <f t="shared" si="607"/>
        <v/>
      </c>
      <c r="W3871" t="str">
        <f t="shared" si="608"/>
        <v/>
      </c>
      <c r="X3871">
        <f>IF($T3871="",N($X3870),IF(MATCH($T3871,$T$6:$T$10005,0)=ROW()-5,N($X3870)+1,N($X3870)))</f>
        <v>0</v>
      </c>
      <c r="Z3871" t="str">
        <f t="shared" si="609"/>
        <v/>
      </c>
      <c r="AA3871">
        <f>IF($V3871="",N($AA3870),IF(MATCH($V3871,$V$6:$V$10005,0)=ROW()-5,N($AA3870)+1,N($AA3870)))</f>
        <v>0</v>
      </c>
    </row>
    <row r="3872" spans="1:27" ht="21" customHeight="1" x14ac:dyDescent="0.95">
      <c r="A3872" s="56"/>
      <c r="B3872" s="57"/>
      <c r="C3872" s="57"/>
      <c r="D3872" s="57"/>
      <c r="E3872" s="56"/>
      <c r="F3872" s="57"/>
      <c r="G3872" s="57"/>
      <c r="H3872" s="56"/>
      <c r="I3872" s="56"/>
      <c r="J3872" s="58"/>
      <c r="K3872" s="58"/>
      <c r="L3872" s="13" t="str">
        <f t="shared" si="600"/>
        <v/>
      </c>
      <c r="M3872" s="13" t="str">
        <f t="shared" si="601"/>
        <v/>
      </c>
      <c r="Q3872" t="str">
        <f t="shared" si="602"/>
        <v/>
      </c>
      <c r="R3872" t="str">
        <f t="shared" si="603"/>
        <v/>
      </c>
      <c r="S3872" t="str">
        <f t="shared" si="604"/>
        <v/>
      </c>
      <c r="T3872" t="str">
        <f t="shared" si="605"/>
        <v/>
      </c>
      <c r="U3872" t="str">
        <f t="shared" si="606"/>
        <v/>
      </c>
      <c r="V3872" t="str">
        <f t="shared" si="607"/>
        <v/>
      </c>
      <c r="W3872" t="str">
        <f t="shared" si="608"/>
        <v/>
      </c>
      <c r="X3872">
        <f>IF($T3872="",N($X3871),IF(MATCH($T3872,$T$6:$T$10005,0)=ROW()-5,N($X3871)+1,N($X3871)))</f>
        <v>0</v>
      </c>
      <c r="Z3872" t="str">
        <f t="shared" si="609"/>
        <v/>
      </c>
      <c r="AA3872">
        <f>IF($V3872="",N($AA3871),IF(MATCH($V3872,$V$6:$V$10005,0)=ROW()-5,N($AA3871)+1,N($AA3871)))</f>
        <v>0</v>
      </c>
    </row>
    <row r="3873" spans="1:27" ht="21" customHeight="1" x14ac:dyDescent="0.95">
      <c r="A3873" s="56"/>
      <c r="B3873" s="57"/>
      <c r="C3873" s="57"/>
      <c r="D3873" s="57"/>
      <c r="E3873" s="56"/>
      <c r="F3873" s="57"/>
      <c r="G3873" s="57"/>
      <c r="H3873" s="56"/>
      <c r="I3873" s="56"/>
      <c r="J3873" s="58"/>
      <c r="K3873" s="58"/>
      <c r="L3873" s="13" t="str">
        <f t="shared" si="600"/>
        <v/>
      </c>
      <c r="M3873" s="13" t="str">
        <f t="shared" si="601"/>
        <v/>
      </c>
      <c r="Q3873" t="str">
        <f t="shared" si="602"/>
        <v/>
      </c>
      <c r="R3873" t="str">
        <f t="shared" si="603"/>
        <v/>
      </c>
      <c r="S3873" t="str">
        <f t="shared" si="604"/>
        <v/>
      </c>
      <c r="T3873" t="str">
        <f t="shared" si="605"/>
        <v/>
      </c>
      <c r="U3873" t="str">
        <f t="shared" si="606"/>
        <v/>
      </c>
      <c r="V3873" t="str">
        <f t="shared" si="607"/>
        <v/>
      </c>
      <c r="W3873" t="str">
        <f t="shared" si="608"/>
        <v/>
      </c>
      <c r="X3873">
        <f>IF($T3873="",N($X3872),IF(MATCH($T3873,$T$6:$T$10005,0)=ROW()-5,N($X3872)+1,N($X3872)))</f>
        <v>0</v>
      </c>
      <c r="Z3873" t="str">
        <f t="shared" si="609"/>
        <v/>
      </c>
      <c r="AA3873">
        <f>IF($V3873="",N($AA3872),IF(MATCH($V3873,$V$6:$V$10005,0)=ROW()-5,N($AA3872)+1,N($AA3872)))</f>
        <v>0</v>
      </c>
    </row>
    <row r="3874" spans="1:27" ht="21" customHeight="1" x14ac:dyDescent="0.95">
      <c r="A3874" s="56"/>
      <c r="B3874" s="57"/>
      <c r="C3874" s="57"/>
      <c r="D3874" s="57"/>
      <c r="E3874" s="56"/>
      <c r="F3874" s="57"/>
      <c r="G3874" s="57"/>
      <c r="H3874" s="56"/>
      <c r="I3874" s="56"/>
      <c r="J3874" s="58"/>
      <c r="K3874" s="58"/>
      <c r="L3874" s="13" t="str">
        <f t="shared" si="600"/>
        <v/>
      </c>
      <c r="M3874" s="13" t="str">
        <f t="shared" si="601"/>
        <v/>
      </c>
      <c r="Q3874" t="str">
        <f t="shared" si="602"/>
        <v/>
      </c>
      <c r="R3874" t="str">
        <f t="shared" si="603"/>
        <v/>
      </c>
      <c r="S3874" t="str">
        <f t="shared" si="604"/>
        <v/>
      </c>
      <c r="T3874" t="str">
        <f t="shared" si="605"/>
        <v/>
      </c>
      <c r="U3874" t="str">
        <f t="shared" si="606"/>
        <v/>
      </c>
      <c r="V3874" t="str">
        <f t="shared" si="607"/>
        <v/>
      </c>
      <c r="W3874" t="str">
        <f t="shared" si="608"/>
        <v/>
      </c>
      <c r="X3874">
        <f>IF($T3874="",N($X3873),IF(MATCH($T3874,$T$6:$T$10005,0)=ROW()-5,N($X3873)+1,N($X3873)))</f>
        <v>0</v>
      </c>
      <c r="Z3874" t="str">
        <f t="shared" si="609"/>
        <v/>
      </c>
      <c r="AA3874">
        <f>IF($V3874="",N($AA3873),IF(MATCH($V3874,$V$6:$V$10005,0)=ROW()-5,N($AA3873)+1,N($AA3873)))</f>
        <v>0</v>
      </c>
    </row>
    <row r="3875" spans="1:27" ht="21" customHeight="1" x14ac:dyDescent="0.95">
      <c r="A3875" s="56"/>
      <c r="B3875" s="57"/>
      <c r="C3875" s="57"/>
      <c r="D3875" s="57"/>
      <c r="E3875" s="56"/>
      <c r="F3875" s="57"/>
      <c r="G3875" s="57"/>
      <c r="H3875" s="56"/>
      <c r="I3875" s="56"/>
      <c r="J3875" s="58"/>
      <c r="K3875" s="58"/>
      <c r="L3875" s="13" t="str">
        <f t="shared" si="600"/>
        <v/>
      </c>
      <c r="M3875" s="13" t="str">
        <f t="shared" si="601"/>
        <v/>
      </c>
      <c r="Q3875" t="str">
        <f t="shared" si="602"/>
        <v/>
      </c>
      <c r="R3875" t="str">
        <f t="shared" si="603"/>
        <v/>
      </c>
      <c r="S3875" t="str">
        <f t="shared" si="604"/>
        <v/>
      </c>
      <c r="T3875" t="str">
        <f t="shared" si="605"/>
        <v/>
      </c>
      <c r="U3875" t="str">
        <f t="shared" si="606"/>
        <v/>
      </c>
      <c r="V3875" t="str">
        <f t="shared" si="607"/>
        <v/>
      </c>
      <c r="W3875" t="str">
        <f t="shared" si="608"/>
        <v/>
      </c>
      <c r="X3875">
        <f>IF($T3875="",N($X3874),IF(MATCH($T3875,$T$6:$T$10005,0)=ROW()-5,N($X3874)+1,N($X3874)))</f>
        <v>0</v>
      </c>
      <c r="Z3875" t="str">
        <f t="shared" si="609"/>
        <v/>
      </c>
      <c r="AA3875">
        <f>IF($V3875="",N($AA3874),IF(MATCH($V3875,$V$6:$V$10005,0)=ROW()-5,N($AA3874)+1,N($AA3874)))</f>
        <v>0</v>
      </c>
    </row>
    <row r="3876" spans="1:27" ht="21" customHeight="1" x14ac:dyDescent="0.95">
      <c r="A3876" s="56"/>
      <c r="B3876" s="57"/>
      <c r="C3876" s="57"/>
      <c r="D3876" s="57"/>
      <c r="E3876" s="56"/>
      <c r="F3876" s="57"/>
      <c r="G3876" s="57"/>
      <c r="H3876" s="56"/>
      <c r="I3876" s="56"/>
      <c r="J3876" s="58"/>
      <c r="K3876" s="58"/>
      <c r="L3876" s="13" t="str">
        <f t="shared" si="600"/>
        <v/>
      </c>
      <c r="M3876" s="13" t="str">
        <f t="shared" si="601"/>
        <v/>
      </c>
      <c r="Q3876" t="str">
        <f t="shared" si="602"/>
        <v/>
      </c>
      <c r="R3876" t="str">
        <f t="shared" si="603"/>
        <v/>
      </c>
      <c r="S3876" t="str">
        <f t="shared" si="604"/>
        <v/>
      </c>
      <c r="T3876" t="str">
        <f t="shared" si="605"/>
        <v/>
      </c>
      <c r="U3876" t="str">
        <f t="shared" si="606"/>
        <v/>
      </c>
      <c r="V3876" t="str">
        <f t="shared" si="607"/>
        <v/>
      </c>
      <c r="W3876" t="str">
        <f t="shared" si="608"/>
        <v/>
      </c>
      <c r="X3876">
        <f>IF($T3876="",N($X3875),IF(MATCH($T3876,$T$6:$T$10005,0)=ROW()-5,N($X3875)+1,N($X3875)))</f>
        <v>0</v>
      </c>
      <c r="Z3876" t="str">
        <f t="shared" si="609"/>
        <v/>
      </c>
      <c r="AA3876">
        <f>IF($V3876="",N($AA3875),IF(MATCH($V3876,$V$6:$V$10005,0)=ROW()-5,N($AA3875)+1,N($AA3875)))</f>
        <v>0</v>
      </c>
    </row>
    <row r="3877" spans="1:27" ht="21" customHeight="1" x14ac:dyDescent="0.95">
      <c r="A3877" s="56"/>
      <c r="B3877" s="57"/>
      <c r="C3877" s="57"/>
      <c r="D3877" s="57"/>
      <c r="E3877" s="56"/>
      <c r="F3877" s="57"/>
      <c r="G3877" s="57"/>
      <c r="H3877" s="56"/>
      <c r="I3877" s="56"/>
      <c r="J3877" s="58"/>
      <c r="K3877" s="58"/>
      <c r="L3877" s="13" t="str">
        <f t="shared" si="600"/>
        <v/>
      </c>
      <c r="M3877" s="13" t="str">
        <f t="shared" si="601"/>
        <v/>
      </c>
      <c r="Q3877" t="str">
        <f t="shared" si="602"/>
        <v/>
      </c>
      <c r="R3877" t="str">
        <f t="shared" si="603"/>
        <v/>
      </c>
      <c r="S3877" t="str">
        <f t="shared" si="604"/>
        <v/>
      </c>
      <c r="T3877" t="str">
        <f t="shared" si="605"/>
        <v/>
      </c>
      <c r="U3877" t="str">
        <f t="shared" si="606"/>
        <v/>
      </c>
      <c r="V3877" t="str">
        <f t="shared" si="607"/>
        <v/>
      </c>
      <c r="W3877" t="str">
        <f t="shared" si="608"/>
        <v/>
      </c>
      <c r="X3877">
        <f>IF($T3877="",N($X3876),IF(MATCH($T3877,$T$6:$T$10005,0)=ROW()-5,N($X3876)+1,N($X3876)))</f>
        <v>0</v>
      </c>
      <c r="Z3877" t="str">
        <f t="shared" si="609"/>
        <v/>
      </c>
      <c r="AA3877">
        <f>IF($V3877="",N($AA3876),IF(MATCH($V3877,$V$6:$V$10005,0)=ROW()-5,N($AA3876)+1,N($AA3876)))</f>
        <v>0</v>
      </c>
    </row>
    <row r="3878" spans="1:27" ht="21" customHeight="1" x14ac:dyDescent="0.95">
      <c r="A3878" s="56"/>
      <c r="B3878" s="57"/>
      <c r="C3878" s="57"/>
      <c r="D3878" s="57"/>
      <c r="E3878" s="56"/>
      <c r="F3878" s="57"/>
      <c r="G3878" s="57"/>
      <c r="H3878" s="56"/>
      <c r="I3878" s="56"/>
      <c r="J3878" s="58"/>
      <c r="K3878" s="58"/>
      <c r="L3878" s="13" t="str">
        <f t="shared" si="600"/>
        <v/>
      </c>
      <c r="M3878" s="13" t="str">
        <f t="shared" si="601"/>
        <v/>
      </c>
      <c r="Q3878" t="str">
        <f t="shared" si="602"/>
        <v/>
      </c>
      <c r="R3878" t="str">
        <f t="shared" si="603"/>
        <v/>
      </c>
      <c r="S3878" t="str">
        <f t="shared" si="604"/>
        <v/>
      </c>
      <c r="T3878" t="str">
        <f t="shared" si="605"/>
        <v/>
      </c>
      <c r="U3878" t="str">
        <f t="shared" si="606"/>
        <v/>
      </c>
      <c r="V3878" t="str">
        <f t="shared" si="607"/>
        <v/>
      </c>
      <c r="W3878" t="str">
        <f t="shared" si="608"/>
        <v/>
      </c>
      <c r="X3878">
        <f>IF($T3878="",N($X3877),IF(MATCH($T3878,$T$6:$T$10005,0)=ROW()-5,N($X3877)+1,N($X3877)))</f>
        <v>0</v>
      </c>
      <c r="Z3878" t="str">
        <f t="shared" si="609"/>
        <v/>
      </c>
      <c r="AA3878">
        <f>IF($V3878="",N($AA3877),IF(MATCH($V3878,$V$6:$V$10005,0)=ROW()-5,N($AA3877)+1,N($AA3877)))</f>
        <v>0</v>
      </c>
    </row>
    <row r="3879" spans="1:27" ht="21" customHeight="1" x14ac:dyDescent="0.95">
      <c r="A3879" s="56"/>
      <c r="B3879" s="57"/>
      <c r="C3879" s="57"/>
      <c r="D3879" s="57"/>
      <c r="E3879" s="56"/>
      <c r="F3879" s="57"/>
      <c r="G3879" s="57"/>
      <c r="H3879" s="56"/>
      <c r="I3879" s="56"/>
      <c r="J3879" s="58"/>
      <c r="K3879" s="58"/>
      <c r="L3879" s="13" t="str">
        <f t="shared" si="600"/>
        <v/>
      </c>
      <c r="M3879" s="13" t="str">
        <f t="shared" si="601"/>
        <v/>
      </c>
      <c r="Q3879" t="str">
        <f t="shared" si="602"/>
        <v/>
      </c>
      <c r="R3879" t="str">
        <f t="shared" si="603"/>
        <v/>
      </c>
      <c r="S3879" t="str">
        <f t="shared" si="604"/>
        <v/>
      </c>
      <c r="T3879" t="str">
        <f t="shared" si="605"/>
        <v/>
      </c>
      <c r="U3879" t="str">
        <f t="shared" si="606"/>
        <v/>
      </c>
      <c r="V3879" t="str">
        <f t="shared" si="607"/>
        <v/>
      </c>
      <c r="W3879" t="str">
        <f t="shared" si="608"/>
        <v/>
      </c>
      <c r="X3879">
        <f>IF($T3879="",N($X3878),IF(MATCH($T3879,$T$6:$T$10005,0)=ROW()-5,N($X3878)+1,N($X3878)))</f>
        <v>0</v>
      </c>
      <c r="Z3879" t="str">
        <f t="shared" si="609"/>
        <v/>
      </c>
      <c r="AA3879">
        <f>IF($V3879="",N($AA3878),IF(MATCH($V3879,$V$6:$V$10005,0)=ROW()-5,N($AA3878)+1,N($AA3878)))</f>
        <v>0</v>
      </c>
    </row>
    <row r="3880" spans="1:27" ht="21" customHeight="1" x14ac:dyDescent="0.95">
      <c r="A3880" s="56"/>
      <c r="B3880" s="57"/>
      <c r="C3880" s="57"/>
      <c r="D3880" s="57"/>
      <c r="E3880" s="56"/>
      <c r="F3880" s="57"/>
      <c r="G3880" s="57"/>
      <c r="H3880" s="56"/>
      <c r="I3880" s="56"/>
      <c r="J3880" s="58"/>
      <c r="K3880" s="58"/>
      <c r="L3880" s="13" t="str">
        <f t="shared" si="600"/>
        <v/>
      </c>
      <c r="M3880" s="13" t="str">
        <f t="shared" si="601"/>
        <v/>
      </c>
      <c r="Q3880" t="str">
        <f t="shared" si="602"/>
        <v/>
      </c>
      <c r="R3880" t="str">
        <f t="shared" si="603"/>
        <v/>
      </c>
      <c r="S3880" t="str">
        <f t="shared" si="604"/>
        <v/>
      </c>
      <c r="T3880" t="str">
        <f t="shared" si="605"/>
        <v/>
      </c>
      <c r="U3880" t="str">
        <f t="shared" si="606"/>
        <v/>
      </c>
      <c r="V3880" t="str">
        <f t="shared" si="607"/>
        <v/>
      </c>
      <c r="W3880" t="str">
        <f t="shared" si="608"/>
        <v/>
      </c>
      <c r="X3880">
        <f>IF($T3880="",N($X3879),IF(MATCH($T3880,$T$6:$T$10005,0)=ROW()-5,N($X3879)+1,N($X3879)))</f>
        <v>0</v>
      </c>
      <c r="Z3880" t="str">
        <f t="shared" si="609"/>
        <v/>
      </c>
      <c r="AA3880">
        <f>IF($V3880="",N($AA3879),IF(MATCH($V3880,$V$6:$V$10005,0)=ROW()-5,N($AA3879)+1,N($AA3879)))</f>
        <v>0</v>
      </c>
    </row>
    <row r="3881" spans="1:27" ht="21" customHeight="1" x14ac:dyDescent="0.95">
      <c r="A3881" s="56"/>
      <c r="B3881" s="57"/>
      <c r="C3881" s="57"/>
      <c r="D3881" s="57"/>
      <c r="E3881" s="56"/>
      <c r="F3881" s="57"/>
      <c r="G3881" s="57"/>
      <c r="H3881" s="56"/>
      <c r="I3881" s="56"/>
      <c r="J3881" s="58"/>
      <c r="K3881" s="58"/>
      <c r="L3881" s="13" t="str">
        <f t="shared" si="600"/>
        <v/>
      </c>
      <c r="M3881" s="13" t="str">
        <f t="shared" si="601"/>
        <v/>
      </c>
      <c r="Q3881" t="str">
        <f t="shared" si="602"/>
        <v/>
      </c>
      <c r="R3881" t="str">
        <f t="shared" si="603"/>
        <v/>
      </c>
      <c r="S3881" t="str">
        <f t="shared" si="604"/>
        <v/>
      </c>
      <c r="T3881" t="str">
        <f t="shared" si="605"/>
        <v/>
      </c>
      <c r="U3881" t="str">
        <f t="shared" si="606"/>
        <v/>
      </c>
      <c r="V3881" t="str">
        <f t="shared" si="607"/>
        <v/>
      </c>
      <c r="W3881" t="str">
        <f t="shared" si="608"/>
        <v/>
      </c>
      <c r="X3881">
        <f>IF($T3881="",N($X3880),IF(MATCH($T3881,$T$6:$T$10005,0)=ROW()-5,N($X3880)+1,N($X3880)))</f>
        <v>0</v>
      </c>
      <c r="Z3881" t="str">
        <f t="shared" si="609"/>
        <v/>
      </c>
      <c r="AA3881">
        <f>IF($V3881="",N($AA3880),IF(MATCH($V3881,$V$6:$V$10005,0)=ROW()-5,N($AA3880)+1,N($AA3880)))</f>
        <v>0</v>
      </c>
    </row>
    <row r="3882" spans="1:27" ht="21" customHeight="1" x14ac:dyDescent="0.95">
      <c r="A3882" s="56"/>
      <c r="B3882" s="57"/>
      <c r="C3882" s="57"/>
      <c r="D3882" s="57"/>
      <c r="E3882" s="56"/>
      <c r="F3882" s="57"/>
      <c r="G3882" s="57"/>
      <c r="H3882" s="56"/>
      <c r="I3882" s="56"/>
      <c r="J3882" s="58"/>
      <c r="K3882" s="58"/>
      <c r="L3882" s="13" t="str">
        <f t="shared" si="600"/>
        <v/>
      </c>
      <c r="M3882" s="13" t="str">
        <f t="shared" si="601"/>
        <v/>
      </c>
      <c r="Q3882" t="str">
        <f t="shared" si="602"/>
        <v/>
      </c>
      <c r="R3882" t="str">
        <f t="shared" si="603"/>
        <v/>
      </c>
      <c r="S3882" t="str">
        <f t="shared" si="604"/>
        <v/>
      </c>
      <c r="T3882" t="str">
        <f t="shared" si="605"/>
        <v/>
      </c>
      <c r="U3882" t="str">
        <f t="shared" si="606"/>
        <v/>
      </c>
      <c r="V3882" t="str">
        <f t="shared" si="607"/>
        <v/>
      </c>
      <c r="W3882" t="str">
        <f t="shared" si="608"/>
        <v/>
      </c>
      <c r="X3882">
        <f>IF($T3882="",N($X3881),IF(MATCH($T3882,$T$6:$T$10005,0)=ROW()-5,N($X3881)+1,N($X3881)))</f>
        <v>0</v>
      </c>
      <c r="Z3882" t="str">
        <f t="shared" si="609"/>
        <v/>
      </c>
      <c r="AA3882">
        <f>IF($V3882="",N($AA3881),IF(MATCH($V3882,$V$6:$V$10005,0)=ROW()-5,N($AA3881)+1,N($AA3881)))</f>
        <v>0</v>
      </c>
    </row>
    <row r="3883" spans="1:27" ht="21" customHeight="1" x14ac:dyDescent="0.95">
      <c r="A3883" s="56"/>
      <c r="B3883" s="57"/>
      <c r="C3883" s="57"/>
      <c r="D3883" s="57"/>
      <c r="E3883" s="56"/>
      <c r="F3883" s="57"/>
      <c r="G3883" s="57"/>
      <c r="H3883" s="56"/>
      <c r="I3883" s="56"/>
      <c r="J3883" s="58"/>
      <c r="K3883" s="58"/>
      <c r="L3883" s="13" t="str">
        <f t="shared" si="600"/>
        <v/>
      </c>
      <c r="M3883" s="13" t="str">
        <f t="shared" si="601"/>
        <v/>
      </c>
      <c r="Q3883" t="str">
        <f t="shared" si="602"/>
        <v/>
      </c>
      <c r="R3883" t="str">
        <f t="shared" si="603"/>
        <v/>
      </c>
      <c r="S3883" t="str">
        <f t="shared" si="604"/>
        <v/>
      </c>
      <c r="T3883" t="str">
        <f t="shared" si="605"/>
        <v/>
      </c>
      <c r="U3883" t="str">
        <f t="shared" si="606"/>
        <v/>
      </c>
      <c r="V3883" t="str">
        <f t="shared" si="607"/>
        <v/>
      </c>
      <c r="W3883" t="str">
        <f t="shared" si="608"/>
        <v/>
      </c>
      <c r="X3883">
        <f>IF($T3883="",N($X3882),IF(MATCH($T3883,$T$6:$T$10005,0)=ROW()-5,N($X3882)+1,N($X3882)))</f>
        <v>0</v>
      </c>
      <c r="Z3883" t="str">
        <f t="shared" si="609"/>
        <v/>
      </c>
      <c r="AA3883">
        <f>IF($V3883="",N($AA3882),IF(MATCH($V3883,$V$6:$V$10005,0)=ROW()-5,N($AA3882)+1,N($AA3882)))</f>
        <v>0</v>
      </c>
    </row>
    <row r="3884" spans="1:27" ht="21" customHeight="1" x14ac:dyDescent="0.95">
      <c r="A3884" s="56"/>
      <c r="B3884" s="57"/>
      <c r="C3884" s="57"/>
      <c r="D3884" s="57"/>
      <c r="E3884" s="56"/>
      <c r="F3884" s="57"/>
      <c r="G3884" s="57"/>
      <c r="H3884" s="56"/>
      <c r="I3884" s="56"/>
      <c r="J3884" s="58"/>
      <c r="K3884" s="58"/>
      <c r="L3884" s="13" t="str">
        <f t="shared" si="600"/>
        <v/>
      </c>
      <c r="M3884" s="13" t="str">
        <f t="shared" si="601"/>
        <v/>
      </c>
      <c r="Q3884" t="str">
        <f t="shared" si="602"/>
        <v/>
      </c>
      <c r="R3884" t="str">
        <f t="shared" si="603"/>
        <v/>
      </c>
      <c r="S3884" t="str">
        <f t="shared" si="604"/>
        <v/>
      </c>
      <c r="T3884" t="str">
        <f t="shared" si="605"/>
        <v/>
      </c>
      <c r="U3884" t="str">
        <f t="shared" si="606"/>
        <v/>
      </c>
      <c r="V3884" t="str">
        <f t="shared" si="607"/>
        <v/>
      </c>
      <c r="W3884" t="str">
        <f t="shared" si="608"/>
        <v/>
      </c>
      <c r="X3884">
        <f>IF($T3884="",N($X3883),IF(MATCH($T3884,$T$6:$T$10005,0)=ROW()-5,N($X3883)+1,N($X3883)))</f>
        <v>0</v>
      </c>
      <c r="Z3884" t="str">
        <f t="shared" si="609"/>
        <v/>
      </c>
      <c r="AA3884">
        <f>IF($V3884="",N($AA3883),IF(MATCH($V3884,$V$6:$V$10005,0)=ROW()-5,N($AA3883)+1,N($AA3883)))</f>
        <v>0</v>
      </c>
    </row>
    <row r="3885" spans="1:27" ht="21" customHeight="1" x14ac:dyDescent="0.95">
      <c r="A3885" s="56"/>
      <c r="B3885" s="57"/>
      <c r="C3885" s="57"/>
      <c r="D3885" s="57"/>
      <c r="E3885" s="56"/>
      <c r="F3885" s="57"/>
      <c r="G3885" s="57"/>
      <c r="H3885" s="56"/>
      <c r="I3885" s="56"/>
      <c r="J3885" s="58"/>
      <c r="K3885" s="58"/>
      <c r="L3885" s="13" t="str">
        <f t="shared" si="600"/>
        <v/>
      </c>
      <c r="M3885" s="13" t="str">
        <f t="shared" si="601"/>
        <v/>
      </c>
      <c r="Q3885" t="str">
        <f t="shared" si="602"/>
        <v/>
      </c>
      <c r="R3885" t="str">
        <f t="shared" si="603"/>
        <v/>
      </c>
      <c r="S3885" t="str">
        <f t="shared" si="604"/>
        <v/>
      </c>
      <c r="T3885" t="str">
        <f t="shared" si="605"/>
        <v/>
      </c>
      <c r="U3885" t="str">
        <f t="shared" si="606"/>
        <v/>
      </c>
      <c r="V3885" t="str">
        <f t="shared" si="607"/>
        <v/>
      </c>
      <c r="W3885" t="str">
        <f t="shared" si="608"/>
        <v/>
      </c>
      <c r="X3885">
        <f>IF($T3885="",N($X3884),IF(MATCH($T3885,$T$6:$T$10005,0)=ROW()-5,N($X3884)+1,N($X3884)))</f>
        <v>0</v>
      </c>
      <c r="Z3885" t="str">
        <f t="shared" si="609"/>
        <v/>
      </c>
      <c r="AA3885">
        <f>IF($V3885="",N($AA3884),IF(MATCH($V3885,$V$6:$V$10005,0)=ROW()-5,N($AA3884)+1,N($AA3884)))</f>
        <v>0</v>
      </c>
    </row>
    <row r="3886" spans="1:27" ht="21" customHeight="1" x14ac:dyDescent="0.95">
      <c r="A3886" s="56"/>
      <c r="B3886" s="57"/>
      <c r="C3886" s="57"/>
      <c r="D3886" s="57"/>
      <c r="E3886" s="56"/>
      <c r="F3886" s="57"/>
      <c r="G3886" s="57"/>
      <c r="H3886" s="56"/>
      <c r="I3886" s="56"/>
      <c r="J3886" s="58"/>
      <c r="K3886" s="58"/>
      <c r="L3886" s="13" t="str">
        <f t="shared" si="600"/>
        <v/>
      </c>
      <c r="M3886" s="13" t="str">
        <f t="shared" si="601"/>
        <v/>
      </c>
      <c r="Q3886" t="str">
        <f t="shared" si="602"/>
        <v/>
      </c>
      <c r="R3886" t="str">
        <f t="shared" si="603"/>
        <v/>
      </c>
      <c r="S3886" t="str">
        <f t="shared" si="604"/>
        <v/>
      </c>
      <c r="T3886" t="str">
        <f t="shared" si="605"/>
        <v/>
      </c>
      <c r="U3886" t="str">
        <f t="shared" si="606"/>
        <v/>
      </c>
      <c r="V3886" t="str">
        <f t="shared" si="607"/>
        <v/>
      </c>
      <c r="W3886" t="str">
        <f t="shared" si="608"/>
        <v/>
      </c>
      <c r="X3886">
        <f>IF($T3886="",N($X3885),IF(MATCH($T3886,$T$6:$T$10005,0)=ROW()-5,N($X3885)+1,N($X3885)))</f>
        <v>0</v>
      </c>
      <c r="Z3886" t="str">
        <f t="shared" si="609"/>
        <v/>
      </c>
      <c r="AA3886">
        <f>IF($V3886="",N($AA3885),IF(MATCH($V3886,$V$6:$V$10005,0)=ROW()-5,N($AA3885)+1,N($AA3885)))</f>
        <v>0</v>
      </c>
    </row>
    <row r="3887" spans="1:27" ht="21" customHeight="1" x14ac:dyDescent="0.95">
      <c r="A3887" s="56"/>
      <c r="B3887" s="57"/>
      <c r="C3887" s="57"/>
      <c r="D3887" s="57"/>
      <c r="E3887" s="56"/>
      <c r="F3887" s="57"/>
      <c r="G3887" s="57"/>
      <c r="H3887" s="56"/>
      <c r="I3887" s="56"/>
      <c r="J3887" s="58"/>
      <c r="K3887" s="58"/>
      <c r="L3887" s="13" t="str">
        <f t="shared" si="600"/>
        <v/>
      </c>
      <c r="M3887" s="13" t="str">
        <f t="shared" si="601"/>
        <v/>
      </c>
      <c r="Q3887" t="str">
        <f t="shared" si="602"/>
        <v/>
      </c>
      <c r="R3887" t="str">
        <f t="shared" si="603"/>
        <v/>
      </c>
      <c r="S3887" t="str">
        <f t="shared" si="604"/>
        <v/>
      </c>
      <c r="T3887" t="str">
        <f t="shared" si="605"/>
        <v/>
      </c>
      <c r="U3887" t="str">
        <f t="shared" si="606"/>
        <v/>
      </c>
      <c r="V3887" t="str">
        <f t="shared" si="607"/>
        <v/>
      </c>
      <c r="W3887" t="str">
        <f t="shared" si="608"/>
        <v/>
      </c>
      <c r="X3887">
        <f>IF($T3887="",N($X3886),IF(MATCH($T3887,$T$6:$T$10005,0)=ROW()-5,N($X3886)+1,N($X3886)))</f>
        <v>0</v>
      </c>
      <c r="Z3887" t="str">
        <f t="shared" si="609"/>
        <v/>
      </c>
      <c r="AA3887">
        <f>IF($V3887="",N($AA3886),IF(MATCH($V3887,$V$6:$V$10005,0)=ROW()-5,N($AA3886)+1,N($AA3886)))</f>
        <v>0</v>
      </c>
    </row>
    <row r="3888" spans="1:27" ht="21" customHeight="1" x14ac:dyDescent="0.95">
      <c r="A3888" s="56"/>
      <c r="B3888" s="57"/>
      <c r="C3888" s="57"/>
      <c r="D3888" s="57"/>
      <c r="E3888" s="56"/>
      <c r="F3888" s="57"/>
      <c r="G3888" s="57"/>
      <c r="H3888" s="56"/>
      <c r="I3888" s="56"/>
      <c r="J3888" s="58"/>
      <c r="K3888" s="58"/>
      <c r="L3888" s="13" t="str">
        <f t="shared" si="600"/>
        <v/>
      </c>
      <c r="M3888" s="13" t="str">
        <f t="shared" si="601"/>
        <v/>
      </c>
      <c r="Q3888" t="str">
        <f t="shared" si="602"/>
        <v/>
      </c>
      <c r="R3888" t="str">
        <f t="shared" si="603"/>
        <v/>
      </c>
      <c r="S3888" t="str">
        <f t="shared" si="604"/>
        <v/>
      </c>
      <c r="T3888" t="str">
        <f t="shared" si="605"/>
        <v/>
      </c>
      <c r="U3888" t="str">
        <f t="shared" si="606"/>
        <v/>
      </c>
      <c r="V3888" t="str">
        <f t="shared" si="607"/>
        <v/>
      </c>
      <c r="W3888" t="str">
        <f t="shared" si="608"/>
        <v/>
      </c>
      <c r="X3888">
        <f>IF($T3888="",N($X3887),IF(MATCH($T3888,$T$6:$T$10005,0)=ROW()-5,N($X3887)+1,N($X3887)))</f>
        <v>0</v>
      </c>
      <c r="Z3888" t="str">
        <f t="shared" si="609"/>
        <v/>
      </c>
      <c r="AA3888">
        <f>IF($V3888="",N($AA3887),IF(MATCH($V3888,$V$6:$V$10005,0)=ROW()-5,N($AA3887)+1,N($AA3887)))</f>
        <v>0</v>
      </c>
    </row>
    <row r="3889" spans="1:27" ht="21" customHeight="1" x14ac:dyDescent="0.95">
      <c r="A3889" s="56"/>
      <c r="B3889" s="57"/>
      <c r="C3889" s="57"/>
      <c r="D3889" s="57"/>
      <c r="E3889" s="56"/>
      <c r="F3889" s="57"/>
      <c r="G3889" s="57"/>
      <c r="H3889" s="56"/>
      <c r="I3889" s="56"/>
      <c r="J3889" s="58"/>
      <c r="K3889" s="58"/>
      <c r="L3889" s="13" t="str">
        <f t="shared" si="600"/>
        <v/>
      </c>
      <c r="M3889" s="13" t="str">
        <f t="shared" si="601"/>
        <v/>
      </c>
      <c r="Q3889" t="str">
        <f t="shared" si="602"/>
        <v/>
      </c>
      <c r="R3889" t="str">
        <f t="shared" si="603"/>
        <v/>
      </c>
      <c r="S3889" t="str">
        <f t="shared" si="604"/>
        <v/>
      </c>
      <c r="T3889" t="str">
        <f t="shared" si="605"/>
        <v/>
      </c>
      <c r="U3889" t="str">
        <f t="shared" si="606"/>
        <v/>
      </c>
      <c r="V3889" t="str">
        <f t="shared" si="607"/>
        <v/>
      </c>
      <c r="W3889" t="str">
        <f t="shared" si="608"/>
        <v/>
      </c>
      <c r="X3889">
        <f>IF($T3889="",N($X3888),IF(MATCH($T3889,$T$6:$T$10005,0)=ROW()-5,N($X3888)+1,N($X3888)))</f>
        <v>0</v>
      </c>
      <c r="Z3889" t="str">
        <f t="shared" si="609"/>
        <v/>
      </c>
      <c r="AA3889">
        <f>IF($V3889="",N($AA3888),IF(MATCH($V3889,$V$6:$V$10005,0)=ROW()-5,N($AA3888)+1,N($AA3888)))</f>
        <v>0</v>
      </c>
    </row>
    <row r="3890" spans="1:27" ht="21" customHeight="1" x14ac:dyDescent="0.95">
      <c r="A3890" s="56"/>
      <c r="B3890" s="57"/>
      <c r="C3890" s="57"/>
      <c r="D3890" s="57"/>
      <c r="E3890" s="56"/>
      <c r="F3890" s="57"/>
      <c r="G3890" s="57"/>
      <c r="H3890" s="56"/>
      <c r="I3890" s="56"/>
      <c r="J3890" s="58"/>
      <c r="K3890" s="58"/>
      <c r="L3890" s="13" t="str">
        <f t="shared" si="600"/>
        <v/>
      </c>
      <c r="M3890" s="13" t="str">
        <f t="shared" si="601"/>
        <v/>
      </c>
      <c r="Q3890" t="str">
        <f t="shared" si="602"/>
        <v/>
      </c>
      <c r="R3890" t="str">
        <f t="shared" si="603"/>
        <v/>
      </c>
      <c r="S3890" t="str">
        <f t="shared" si="604"/>
        <v/>
      </c>
      <c r="T3890" t="str">
        <f t="shared" si="605"/>
        <v/>
      </c>
      <c r="U3890" t="str">
        <f t="shared" si="606"/>
        <v/>
      </c>
      <c r="V3890" t="str">
        <f t="shared" si="607"/>
        <v/>
      </c>
      <c r="W3890" t="str">
        <f t="shared" si="608"/>
        <v/>
      </c>
      <c r="X3890">
        <f>IF($T3890="",N($X3889),IF(MATCH($T3890,$T$6:$T$10005,0)=ROW()-5,N($X3889)+1,N($X3889)))</f>
        <v>0</v>
      </c>
      <c r="Z3890" t="str">
        <f t="shared" si="609"/>
        <v/>
      </c>
      <c r="AA3890">
        <f>IF($V3890="",N($AA3889),IF(MATCH($V3890,$V$6:$V$10005,0)=ROW()-5,N($AA3889)+1,N($AA3889)))</f>
        <v>0</v>
      </c>
    </row>
    <row r="3891" spans="1:27" ht="21" customHeight="1" x14ac:dyDescent="0.95">
      <c r="A3891" s="56"/>
      <c r="B3891" s="57"/>
      <c r="C3891" s="57"/>
      <c r="D3891" s="57"/>
      <c r="E3891" s="56"/>
      <c r="F3891" s="57"/>
      <c r="G3891" s="57"/>
      <c r="H3891" s="56"/>
      <c r="I3891" s="56"/>
      <c r="J3891" s="58"/>
      <c r="K3891" s="58"/>
      <c r="L3891" s="13" t="str">
        <f t="shared" si="600"/>
        <v/>
      </c>
      <c r="M3891" s="13" t="str">
        <f t="shared" si="601"/>
        <v/>
      </c>
      <c r="Q3891" t="str">
        <f t="shared" si="602"/>
        <v/>
      </c>
      <c r="R3891" t="str">
        <f t="shared" si="603"/>
        <v/>
      </c>
      <c r="S3891" t="str">
        <f t="shared" si="604"/>
        <v/>
      </c>
      <c r="T3891" t="str">
        <f t="shared" si="605"/>
        <v/>
      </c>
      <c r="U3891" t="str">
        <f t="shared" si="606"/>
        <v/>
      </c>
      <c r="V3891" t="str">
        <f t="shared" si="607"/>
        <v/>
      </c>
      <c r="W3891" t="str">
        <f t="shared" si="608"/>
        <v/>
      </c>
      <c r="X3891">
        <f>IF($T3891="",N($X3890),IF(MATCH($T3891,$T$6:$T$10005,0)=ROW()-5,N($X3890)+1,N($X3890)))</f>
        <v>0</v>
      </c>
      <c r="Z3891" t="str">
        <f t="shared" si="609"/>
        <v/>
      </c>
      <c r="AA3891">
        <f>IF($V3891="",N($AA3890),IF(MATCH($V3891,$V$6:$V$10005,0)=ROW()-5,N($AA3890)+1,N($AA3890)))</f>
        <v>0</v>
      </c>
    </row>
    <row r="3892" spans="1:27" ht="21" customHeight="1" x14ac:dyDescent="0.95">
      <c r="A3892" s="56"/>
      <c r="B3892" s="57"/>
      <c r="C3892" s="57"/>
      <c r="D3892" s="57"/>
      <c r="E3892" s="56"/>
      <c r="F3892" s="57"/>
      <c r="G3892" s="57"/>
      <c r="H3892" s="56"/>
      <c r="I3892" s="56"/>
      <c r="J3892" s="58"/>
      <c r="K3892" s="58"/>
      <c r="L3892" s="13" t="str">
        <f t="shared" si="600"/>
        <v/>
      </c>
      <c r="M3892" s="13" t="str">
        <f t="shared" si="601"/>
        <v/>
      </c>
      <c r="Q3892" t="str">
        <f t="shared" si="602"/>
        <v/>
      </c>
      <c r="R3892" t="str">
        <f t="shared" si="603"/>
        <v/>
      </c>
      <c r="S3892" t="str">
        <f t="shared" si="604"/>
        <v/>
      </c>
      <c r="T3892" t="str">
        <f t="shared" si="605"/>
        <v/>
      </c>
      <c r="U3892" t="str">
        <f t="shared" si="606"/>
        <v/>
      </c>
      <c r="V3892" t="str">
        <f t="shared" si="607"/>
        <v/>
      </c>
      <c r="W3892" t="str">
        <f t="shared" si="608"/>
        <v/>
      </c>
      <c r="X3892">
        <f>IF($T3892="",N($X3891),IF(MATCH($T3892,$T$6:$T$10005,0)=ROW()-5,N($X3891)+1,N($X3891)))</f>
        <v>0</v>
      </c>
      <c r="Z3892" t="str">
        <f t="shared" si="609"/>
        <v/>
      </c>
      <c r="AA3892">
        <f>IF($V3892="",N($AA3891),IF(MATCH($V3892,$V$6:$V$10005,0)=ROW()-5,N($AA3891)+1,N($AA3891)))</f>
        <v>0</v>
      </c>
    </row>
    <row r="3893" spans="1:27" ht="21" customHeight="1" x14ac:dyDescent="0.95">
      <c r="A3893" s="56"/>
      <c r="B3893" s="57"/>
      <c r="C3893" s="57"/>
      <c r="D3893" s="57"/>
      <c r="E3893" s="56"/>
      <c r="F3893" s="57"/>
      <c r="G3893" s="57"/>
      <c r="H3893" s="56"/>
      <c r="I3893" s="56"/>
      <c r="J3893" s="58"/>
      <c r="K3893" s="58"/>
      <c r="L3893" s="13" t="str">
        <f t="shared" si="600"/>
        <v/>
      </c>
      <c r="M3893" s="13" t="str">
        <f t="shared" si="601"/>
        <v/>
      </c>
      <c r="Q3893" t="str">
        <f t="shared" si="602"/>
        <v/>
      </c>
      <c r="R3893" t="str">
        <f t="shared" si="603"/>
        <v/>
      </c>
      <c r="S3893" t="str">
        <f t="shared" si="604"/>
        <v/>
      </c>
      <c r="T3893" t="str">
        <f t="shared" si="605"/>
        <v/>
      </c>
      <c r="U3893" t="str">
        <f t="shared" si="606"/>
        <v/>
      </c>
      <c r="V3893" t="str">
        <f t="shared" si="607"/>
        <v/>
      </c>
      <c r="W3893" t="str">
        <f t="shared" si="608"/>
        <v/>
      </c>
      <c r="X3893">
        <f>IF($T3893="",N($X3892),IF(MATCH($T3893,$T$6:$T$10005,0)=ROW()-5,N($X3892)+1,N($X3892)))</f>
        <v>0</v>
      </c>
      <c r="Z3893" t="str">
        <f t="shared" si="609"/>
        <v/>
      </c>
      <c r="AA3893">
        <f>IF($V3893="",N($AA3892),IF(MATCH($V3893,$V$6:$V$10005,0)=ROW()-5,N($AA3892)+1,N($AA3892)))</f>
        <v>0</v>
      </c>
    </row>
    <row r="3894" spans="1:27" ht="21" customHeight="1" x14ac:dyDescent="0.95">
      <c r="A3894" s="56"/>
      <c r="B3894" s="57"/>
      <c r="C3894" s="57"/>
      <c r="D3894" s="57"/>
      <c r="E3894" s="56"/>
      <c r="F3894" s="57"/>
      <c r="G3894" s="57"/>
      <c r="H3894" s="56"/>
      <c r="I3894" s="56"/>
      <c r="J3894" s="58"/>
      <c r="K3894" s="58"/>
      <c r="L3894" s="13" t="str">
        <f t="shared" si="600"/>
        <v/>
      </c>
      <c r="M3894" s="13" t="str">
        <f t="shared" si="601"/>
        <v/>
      </c>
      <c r="Q3894" t="str">
        <f t="shared" si="602"/>
        <v/>
      </c>
      <c r="R3894" t="str">
        <f t="shared" si="603"/>
        <v/>
      </c>
      <c r="S3894" t="str">
        <f t="shared" si="604"/>
        <v/>
      </c>
      <c r="T3894" t="str">
        <f t="shared" si="605"/>
        <v/>
      </c>
      <c r="U3894" t="str">
        <f t="shared" si="606"/>
        <v/>
      </c>
      <c r="V3894" t="str">
        <f t="shared" si="607"/>
        <v/>
      </c>
      <c r="W3894" t="str">
        <f t="shared" si="608"/>
        <v/>
      </c>
      <c r="X3894">
        <f>IF($T3894="",N($X3893),IF(MATCH($T3894,$T$6:$T$10005,0)=ROW()-5,N($X3893)+1,N($X3893)))</f>
        <v>0</v>
      </c>
      <c r="Z3894" t="str">
        <f t="shared" si="609"/>
        <v/>
      </c>
      <c r="AA3894">
        <f>IF($V3894="",N($AA3893),IF(MATCH($V3894,$V$6:$V$10005,0)=ROW()-5,N($AA3893)+1,N($AA3893)))</f>
        <v>0</v>
      </c>
    </row>
    <row r="3895" spans="1:27" ht="21" customHeight="1" x14ac:dyDescent="0.95">
      <c r="A3895" s="56"/>
      <c r="B3895" s="57"/>
      <c r="C3895" s="57"/>
      <c r="D3895" s="57"/>
      <c r="E3895" s="56"/>
      <c r="F3895" s="57"/>
      <c r="G3895" s="57"/>
      <c r="H3895" s="56"/>
      <c r="I3895" s="56"/>
      <c r="J3895" s="58"/>
      <c r="K3895" s="58"/>
      <c r="L3895" s="13" t="str">
        <f t="shared" si="600"/>
        <v/>
      </c>
      <c r="M3895" s="13" t="str">
        <f t="shared" si="601"/>
        <v/>
      </c>
      <c r="Q3895" t="str">
        <f t="shared" si="602"/>
        <v/>
      </c>
      <c r="R3895" t="str">
        <f t="shared" si="603"/>
        <v/>
      </c>
      <c r="S3895" t="str">
        <f t="shared" si="604"/>
        <v/>
      </c>
      <c r="T3895" t="str">
        <f t="shared" si="605"/>
        <v/>
      </c>
      <c r="U3895" t="str">
        <f t="shared" si="606"/>
        <v/>
      </c>
      <c r="V3895" t="str">
        <f t="shared" si="607"/>
        <v/>
      </c>
      <c r="W3895" t="str">
        <f t="shared" si="608"/>
        <v/>
      </c>
      <c r="X3895">
        <f>IF($T3895="",N($X3894),IF(MATCH($T3895,$T$6:$T$10005,0)=ROW()-5,N($X3894)+1,N($X3894)))</f>
        <v>0</v>
      </c>
      <c r="Z3895" t="str">
        <f t="shared" si="609"/>
        <v/>
      </c>
      <c r="AA3895">
        <f>IF($V3895="",N($AA3894),IF(MATCH($V3895,$V$6:$V$10005,0)=ROW()-5,N($AA3894)+1,N($AA3894)))</f>
        <v>0</v>
      </c>
    </row>
    <row r="3896" spans="1:27" ht="21" customHeight="1" x14ac:dyDescent="0.95">
      <c r="A3896" s="56"/>
      <c r="B3896" s="57"/>
      <c r="C3896" s="57"/>
      <c r="D3896" s="57"/>
      <c r="E3896" s="56"/>
      <c r="F3896" s="57"/>
      <c r="G3896" s="57"/>
      <c r="H3896" s="56"/>
      <c r="I3896" s="56"/>
      <c r="J3896" s="58"/>
      <c r="K3896" s="58"/>
      <c r="L3896" s="13" t="str">
        <f t="shared" si="600"/>
        <v/>
      </c>
      <c r="M3896" s="13" t="str">
        <f t="shared" si="601"/>
        <v/>
      </c>
      <c r="Q3896" t="str">
        <f t="shared" si="602"/>
        <v/>
      </c>
      <c r="R3896" t="str">
        <f t="shared" si="603"/>
        <v/>
      </c>
      <c r="S3896" t="str">
        <f t="shared" si="604"/>
        <v/>
      </c>
      <c r="T3896" t="str">
        <f t="shared" si="605"/>
        <v/>
      </c>
      <c r="U3896" t="str">
        <f t="shared" si="606"/>
        <v/>
      </c>
      <c r="V3896" t="str">
        <f t="shared" si="607"/>
        <v/>
      </c>
      <c r="W3896" t="str">
        <f t="shared" si="608"/>
        <v/>
      </c>
      <c r="X3896">
        <f>IF($T3896="",N($X3895),IF(MATCH($T3896,$T$6:$T$10005,0)=ROW()-5,N($X3895)+1,N($X3895)))</f>
        <v>0</v>
      </c>
      <c r="Z3896" t="str">
        <f t="shared" si="609"/>
        <v/>
      </c>
      <c r="AA3896">
        <f>IF($V3896="",N($AA3895),IF(MATCH($V3896,$V$6:$V$10005,0)=ROW()-5,N($AA3895)+1,N($AA3895)))</f>
        <v>0</v>
      </c>
    </row>
    <row r="3897" spans="1:27" ht="21" customHeight="1" x14ac:dyDescent="0.95">
      <c r="A3897" s="56"/>
      <c r="B3897" s="57"/>
      <c r="C3897" s="57"/>
      <c r="D3897" s="57"/>
      <c r="E3897" s="56"/>
      <c r="F3897" s="57"/>
      <c r="G3897" s="57"/>
      <c r="H3897" s="56"/>
      <c r="I3897" s="56"/>
      <c r="J3897" s="58"/>
      <c r="K3897" s="58"/>
      <c r="L3897" s="13" t="str">
        <f t="shared" si="600"/>
        <v/>
      </c>
      <c r="M3897" s="13" t="str">
        <f t="shared" si="601"/>
        <v/>
      </c>
      <c r="Q3897" t="str">
        <f t="shared" si="602"/>
        <v/>
      </c>
      <c r="R3897" t="str">
        <f t="shared" si="603"/>
        <v/>
      </c>
      <c r="S3897" t="str">
        <f t="shared" si="604"/>
        <v/>
      </c>
      <c r="T3897" t="str">
        <f t="shared" si="605"/>
        <v/>
      </c>
      <c r="U3897" t="str">
        <f t="shared" si="606"/>
        <v/>
      </c>
      <c r="V3897" t="str">
        <f t="shared" si="607"/>
        <v/>
      </c>
      <c r="W3897" t="str">
        <f t="shared" si="608"/>
        <v/>
      </c>
      <c r="X3897">
        <f>IF($T3897="",N($X3896),IF(MATCH($T3897,$T$6:$T$10005,0)=ROW()-5,N($X3896)+1,N($X3896)))</f>
        <v>0</v>
      </c>
      <c r="Z3897" t="str">
        <f t="shared" si="609"/>
        <v/>
      </c>
      <c r="AA3897">
        <f>IF($V3897="",N($AA3896),IF(MATCH($V3897,$V$6:$V$10005,0)=ROW()-5,N($AA3896)+1,N($AA3896)))</f>
        <v>0</v>
      </c>
    </row>
    <row r="3898" spans="1:27" ht="21" customHeight="1" x14ac:dyDescent="0.95">
      <c r="A3898" s="56"/>
      <c r="B3898" s="57"/>
      <c r="C3898" s="57"/>
      <c r="D3898" s="57"/>
      <c r="E3898" s="56"/>
      <c r="F3898" s="57"/>
      <c r="G3898" s="57"/>
      <c r="H3898" s="56"/>
      <c r="I3898" s="56"/>
      <c r="J3898" s="58"/>
      <c r="K3898" s="58"/>
      <c r="L3898" s="13" t="str">
        <f t="shared" si="600"/>
        <v/>
      </c>
      <c r="M3898" s="13" t="str">
        <f t="shared" si="601"/>
        <v/>
      </c>
      <c r="Q3898" t="str">
        <f t="shared" si="602"/>
        <v/>
      </c>
      <c r="R3898" t="str">
        <f t="shared" si="603"/>
        <v/>
      </c>
      <c r="S3898" t="str">
        <f t="shared" si="604"/>
        <v/>
      </c>
      <c r="T3898" t="str">
        <f t="shared" si="605"/>
        <v/>
      </c>
      <c r="U3898" t="str">
        <f t="shared" si="606"/>
        <v/>
      </c>
      <c r="V3898" t="str">
        <f t="shared" si="607"/>
        <v/>
      </c>
      <c r="W3898" t="str">
        <f t="shared" si="608"/>
        <v/>
      </c>
      <c r="X3898">
        <f>IF($T3898="",N($X3897),IF(MATCH($T3898,$T$6:$T$10005,0)=ROW()-5,N($X3897)+1,N($X3897)))</f>
        <v>0</v>
      </c>
      <c r="Z3898" t="str">
        <f t="shared" si="609"/>
        <v/>
      </c>
      <c r="AA3898">
        <f>IF($V3898="",N($AA3897),IF(MATCH($V3898,$V$6:$V$10005,0)=ROW()-5,N($AA3897)+1,N($AA3897)))</f>
        <v>0</v>
      </c>
    </row>
    <row r="3899" spans="1:27" ht="21" customHeight="1" x14ac:dyDescent="0.95">
      <c r="A3899" s="56"/>
      <c r="B3899" s="57"/>
      <c r="C3899" s="57"/>
      <c r="D3899" s="57"/>
      <c r="E3899" s="56"/>
      <c r="F3899" s="57"/>
      <c r="G3899" s="57"/>
      <c r="H3899" s="56"/>
      <c r="I3899" s="56"/>
      <c r="J3899" s="58"/>
      <c r="K3899" s="58"/>
      <c r="L3899" s="13" t="str">
        <f t="shared" si="600"/>
        <v/>
      </c>
      <c r="M3899" s="13" t="str">
        <f t="shared" si="601"/>
        <v/>
      </c>
      <c r="Q3899" t="str">
        <f t="shared" si="602"/>
        <v/>
      </c>
      <c r="R3899" t="str">
        <f t="shared" si="603"/>
        <v/>
      </c>
      <c r="S3899" t="str">
        <f t="shared" si="604"/>
        <v/>
      </c>
      <c r="T3899" t="str">
        <f t="shared" si="605"/>
        <v/>
      </c>
      <c r="U3899" t="str">
        <f t="shared" si="606"/>
        <v/>
      </c>
      <c r="V3899" t="str">
        <f t="shared" si="607"/>
        <v/>
      </c>
      <c r="W3899" t="str">
        <f t="shared" si="608"/>
        <v/>
      </c>
      <c r="X3899">
        <f>IF($T3899="",N($X3898),IF(MATCH($T3899,$T$6:$T$10005,0)=ROW()-5,N($X3898)+1,N($X3898)))</f>
        <v>0</v>
      </c>
      <c r="Z3899" t="str">
        <f t="shared" si="609"/>
        <v/>
      </c>
      <c r="AA3899">
        <f>IF($V3899="",N($AA3898),IF(MATCH($V3899,$V$6:$V$10005,0)=ROW()-5,N($AA3898)+1,N($AA3898)))</f>
        <v>0</v>
      </c>
    </row>
    <row r="3900" spans="1:27" ht="21" customHeight="1" x14ac:dyDescent="0.95">
      <c r="A3900" s="56"/>
      <c r="B3900" s="57"/>
      <c r="C3900" s="57"/>
      <c r="D3900" s="57"/>
      <c r="E3900" s="56"/>
      <c r="F3900" s="57"/>
      <c r="G3900" s="57"/>
      <c r="H3900" s="56"/>
      <c r="I3900" s="56"/>
      <c r="J3900" s="58"/>
      <c r="K3900" s="58"/>
      <c r="L3900" s="13" t="str">
        <f t="shared" si="600"/>
        <v/>
      </c>
      <c r="M3900" s="13" t="str">
        <f t="shared" si="601"/>
        <v/>
      </c>
      <c r="Q3900" t="str">
        <f t="shared" si="602"/>
        <v/>
      </c>
      <c r="R3900" t="str">
        <f t="shared" si="603"/>
        <v/>
      </c>
      <c r="S3900" t="str">
        <f t="shared" si="604"/>
        <v/>
      </c>
      <c r="T3900" t="str">
        <f t="shared" si="605"/>
        <v/>
      </c>
      <c r="U3900" t="str">
        <f t="shared" si="606"/>
        <v/>
      </c>
      <c r="V3900" t="str">
        <f t="shared" si="607"/>
        <v/>
      </c>
      <c r="W3900" t="str">
        <f t="shared" si="608"/>
        <v/>
      </c>
      <c r="X3900">
        <f>IF($T3900="",N($X3899),IF(MATCH($T3900,$T$6:$T$10005,0)=ROW()-5,N($X3899)+1,N($X3899)))</f>
        <v>0</v>
      </c>
      <c r="Z3900" t="str">
        <f t="shared" si="609"/>
        <v/>
      </c>
      <c r="AA3900">
        <f>IF($V3900="",N($AA3899),IF(MATCH($V3900,$V$6:$V$10005,0)=ROW()-5,N($AA3899)+1,N($AA3899)))</f>
        <v>0</v>
      </c>
    </row>
    <row r="3901" spans="1:27" ht="21" customHeight="1" x14ac:dyDescent="0.95">
      <c r="A3901" s="56"/>
      <c r="B3901" s="57"/>
      <c r="C3901" s="57"/>
      <c r="D3901" s="57"/>
      <c r="E3901" s="56"/>
      <c r="F3901" s="57"/>
      <c r="G3901" s="57"/>
      <c r="H3901" s="56"/>
      <c r="I3901" s="56"/>
      <c r="J3901" s="58"/>
      <c r="K3901" s="58"/>
      <c r="L3901" s="13" t="str">
        <f t="shared" si="600"/>
        <v/>
      </c>
      <c r="M3901" s="13" t="str">
        <f t="shared" si="601"/>
        <v/>
      </c>
      <c r="Q3901" t="str">
        <f t="shared" si="602"/>
        <v/>
      </c>
      <c r="R3901" t="str">
        <f t="shared" si="603"/>
        <v/>
      </c>
      <c r="S3901" t="str">
        <f t="shared" si="604"/>
        <v/>
      </c>
      <c r="T3901" t="str">
        <f t="shared" si="605"/>
        <v/>
      </c>
      <c r="U3901" t="str">
        <f t="shared" si="606"/>
        <v/>
      </c>
      <c r="V3901" t="str">
        <f t="shared" si="607"/>
        <v/>
      </c>
      <c r="W3901" t="str">
        <f t="shared" si="608"/>
        <v/>
      </c>
      <c r="X3901">
        <f>IF($T3901="",N($X3900),IF(MATCH($T3901,$T$6:$T$10005,0)=ROW()-5,N($X3900)+1,N($X3900)))</f>
        <v>0</v>
      </c>
      <c r="Z3901" t="str">
        <f t="shared" si="609"/>
        <v/>
      </c>
      <c r="AA3901">
        <f>IF($V3901="",N($AA3900),IF(MATCH($V3901,$V$6:$V$10005,0)=ROW()-5,N($AA3900)+1,N($AA3900)))</f>
        <v>0</v>
      </c>
    </row>
    <row r="3902" spans="1:27" ht="21" customHeight="1" x14ac:dyDescent="0.95">
      <c r="A3902" s="56"/>
      <c r="B3902" s="57"/>
      <c r="C3902" s="57"/>
      <c r="D3902" s="57"/>
      <c r="E3902" s="56"/>
      <c r="F3902" s="57"/>
      <c r="G3902" s="57"/>
      <c r="H3902" s="56"/>
      <c r="I3902" s="56"/>
      <c r="J3902" s="58"/>
      <c r="K3902" s="58"/>
      <c r="L3902" s="13" t="str">
        <f t="shared" si="600"/>
        <v/>
      </c>
      <c r="M3902" s="13" t="str">
        <f t="shared" si="601"/>
        <v/>
      </c>
      <c r="Q3902" t="str">
        <f t="shared" si="602"/>
        <v/>
      </c>
      <c r="R3902" t="str">
        <f t="shared" si="603"/>
        <v/>
      </c>
      <c r="S3902" t="str">
        <f t="shared" si="604"/>
        <v/>
      </c>
      <c r="T3902" t="str">
        <f t="shared" si="605"/>
        <v/>
      </c>
      <c r="U3902" t="str">
        <f t="shared" si="606"/>
        <v/>
      </c>
      <c r="V3902" t="str">
        <f t="shared" si="607"/>
        <v/>
      </c>
      <c r="W3902" t="str">
        <f t="shared" si="608"/>
        <v/>
      </c>
      <c r="X3902">
        <f>IF($T3902="",N($X3901),IF(MATCH($T3902,$T$6:$T$10005,0)=ROW()-5,N($X3901)+1,N($X3901)))</f>
        <v>0</v>
      </c>
      <c r="Z3902" t="str">
        <f t="shared" si="609"/>
        <v/>
      </c>
      <c r="AA3902">
        <f>IF($V3902="",N($AA3901),IF(MATCH($V3902,$V$6:$V$10005,0)=ROW()-5,N($AA3901)+1,N($AA3901)))</f>
        <v>0</v>
      </c>
    </row>
    <row r="3903" spans="1:27" ht="21" customHeight="1" x14ac:dyDescent="0.95">
      <c r="A3903" s="56"/>
      <c r="B3903" s="57"/>
      <c r="C3903" s="57"/>
      <c r="D3903" s="57"/>
      <c r="E3903" s="56"/>
      <c r="F3903" s="57"/>
      <c r="G3903" s="57"/>
      <c r="H3903" s="56"/>
      <c r="I3903" s="56"/>
      <c r="J3903" s="58"/>
      <c r="K3903" s="58"/>
      <c r="L3903" s="13" t="str">
        <f t="shared" si="600"/>
        <v/>
      </c>
      <c r="M3903" s="13" t="str">
        <f t="shared" si="601"/>
        <v/>
      </c>
      <c r="Q3903" t="str">
        <f t="shared" si="602"/>
        <v/>
      </c>
      <c r="R3903" t="str">
        <f t="shared" si="603"/>
        <v/>
      </c>
      <c r="S3903" t="str">
        <f t="shared" si="604"/>
        <v/>
      </c>
      <c r="T3903" t="str">
        <f t="shared" si="605"/>
        <v/>
      </c>
      <c r="U3903" t="str">
        <f t="shared" si="606"/>
        <v/>
      </c>
      <c r="V3903" t="str">
        <f t="shared" si="607"/>
        <v/>
      </c>
      <c r="W3903" t="str">
        <f t="shared" si="608"/>
        <v/>
      </c>
      <c r="X3903">
        <f>IF($T3903="",N($X3902),IF(MATCH($T3903,$T$6:$T$10005,0)=ROW()-5,N($X3902)+1,N($X3902)))</f>
        <v>0</v>
      </c>
      <c r="Z3903" t="str">
        <f t="shared" si="609"/>
        <v/>
      </c>
      <c r="AA3903">
        <f>IF($V3903="",N($AA3902),IF(MATCH($V3903,$V$6:$V$10005,0)=ROW()-5,N($AA3902)+1,N($AA3902)))</f>
        <v>0</v>
      </c>
    </row>
    <row r="3904" spans="1:27" ht="21" customHeight="1" x14ac:dyDescent="0.95">
      <c r="A3904" s="56"/>
      <c r="B3904" s="57"/>
      <c r="C3904" s="57"/>
      <c r="D3904" s="57"/>
      <c r="E3904" s="56"/>
      <c r="F3904" s="57"/>
      <c r="G3904" s="57"/>
      <c r="H3904" s="56"/>
      <c r="I3904" s="56"/>
      <c r="J3904" s="58"/>
      <c r="K3904" s="58"/>
      <c r="L3904" s="13" t="str">
        <f t="shared" si="600"/>
        <v/>
      </c>
      <c r="M3904" s="13" t="str">
        <f t="shared" si="601"/>
        <v/>
      </c>
      <c r="Q3904" t="str">
        <f t="shared" si="602"/>
        <v/>
      </c>
      <c r="R3904" t="str">
        <f t="shared" si="603"/>
        <v/>
      </c>
      <c r="S3904" t="str">
        <f t="shared" si="604"/>
        <v/>
      </c>
      <c r="T3904" t="str">
        <f t="shared" si="605"/>
        <v/>
      </c>
      <c r="U3904" t="str">
        <f t="shared" si="606"/>
        <v/>
      </c>
      <c r="V3904" t="str">
        <f t="shared" si="607"/>
        <v/>
      </c>
      <c r="W3904" t="str">
        <f t="shared" si="608"/>
        <v/>
      </c>
      <c r="X3904">
        <f>IF($T3904="",N($X3903),IF(MATCH($T3904,$T$6:$T$10005,0)=ROW()-5,N($X3903)+1,N($X3903)))</f>
        <v>0</v>
      </c>
      <c r="Z3904" t="str">
        <f t="shared" si="609"/>
        <v/>
      </c>
      <c r="AA3904">
        <f>IF($V3904="",N($AA3903),IF(MATCH($V3904,$V$6:$V$10005,0)=ROW()-5,N($AA3903)+1,N($AA3903)))</f>
        <v>0</v>
      </c>
    </row>
    <row r="3905" spans="1:27" ht="21" customHeight="1" x14ac:dyDescent="0.95">
      <c r="A3905" s="56"/>
      <c r="B3905" s="57"/>
      <c r="C3905" s="57"/>
      <c r="D3905" s="57"/>
      <c r="E3905" s="56"/>
      <c r="F3905" s="57"/>
      <c r="G3905" s="57"/>
      <c r="H3905" s="56"/>
      <c r="I3905" s="56"/>
      <c r="J3905" s="58"/>
      <c r="K3905" s="58"/>
      <c r="L3905" s="13" t="str">
        <f t="shared" si="600"/>
        <v/>
      </c>
      <c r="M3905" s="13" t="str">
        <f t="shared" si="601"/>
        <v/>
      </c>
      <c r="Q3905" t="str">
        <f t="shared" si="602"/>
        <v/>
      </c>
      <c r="R3905" t="str">
        <f t="shared" si="603"/>
        <v/>
      </c>
      <c r="S3905" t="str">
        <f t="shared" si="604"/>
        <v/>
      </c>
      <c r="T3905" t="str">
        <f t="shared" si="605"/>
        <v/>
      </c>
      <c r="U3905" t="str">
        <f t="shared" si="606"/>
        <v/>
      </c>
      <c r="V3905" t="str">
        <f t="shared" si="607"/>
        <v/>
      </c>
      <c r="W3905" t="str">
        <f t="shared" si="608"/>
        <v/>
      </c>
      <c r="X3905">
        <f>IF($T3905="",N($X3904),IF(MATCH($T3905,$T$6:$T$10005,0)=ROW()-5,N($X3904)+1,N($X3904)))</f>
        <v>0</v>
      </c>
      <c r="Z3905" t="str">
        <f t="shared" si="609"/>
        <v/>
      </c>
      <c r="AA3905">
        <f>IF($V3905="",N($AA3904),IF(MATCH($V3905,$V$6:$V$10005,0)=ROW()-5,N($AA3904)+1,N($AA3904)))</f>
        <v>0</v>
      </c>
    </row>
    <row r="3906" spans="1:27" ht="21" customHeight="1" x14ac:dyDescent="0.95">
      <c r="A3906" s="56"/>
      <c r="B3906" s="57"/>
      <c r="C3906" s="57"/>
      <c r="D3906" s="57"/>
      <c r="E3906" s="56"/>
      <c r="F3906" s="57"/>
      <c r="G3906" s="57"/>
      <c r="H3906" s="56"/>
      <c r="I3906" s="56"/>
      <c r="J3906" s="58"/>
      <c r="K3906" s="58"/>
      <c r="L3906" s="13" t="str">
        <f t="shared" si="600"/>
        <v/>
      </c>
      <c r="M3906" s="13" t="str">
        <f t="shared" si="601"/>
        <v/>
      </c>
      <c r="Q3906" t="str">
        <f t="shared" si="602"/>
        <v/>
      </c>
      <c r="R3906" t="str">
        <f t="shared" si="603"/>
        <v/>
      </c>
      <c r="S3906" t="str">
        <f t="shared" si="604"/>
        <v/>
      </c>
      <c r="T3906" t="str">
        <f t="shared" si="605"/>
        <v/>
      </c>
      <c r="U3906" t="str">
        <f t="shared" si="606"/>
        <v/>
      </c>
      <c r="V3906" t="str">
        <f t="shared" si="607"/>
        <v/>
      </c>
      <c r="W3906" t="str">
        <f t="shared" si="608"/>
        <v/>
      </c>
      <c r="X3906">
        <f>IF($T3906="",N($X3905),IF(MATCH($T3906,$T$6:$T$10005,0)=ROW()-5,N($X3905)+1,N($X3905)))</f>
        <v>0</v>
      </c>
      <c r="Z3906" t="str">
        <f t="shared" si="609"/>
        <v/>
      </c>
      <c r="AA3906">
        <f>IF($V3906="",N($AA3905),IF(MATCH($V3906,$V$6:$V$10005,0)=ROW()-5,N($AA3905)+1,N($AA3905)))</f>
        <v>0</v>
      </c>
    </row>
    <row r="3907" spans="1:27" ht="21" customHeight="1" x14ac:dyDescent="0.95">
      <c r="A3907" s="56"/>
      <c r="B3907" s="57"/>
      <c r="C3907" s="57"/>
      <c r="D3907" s="57"/>
      <c r="E3907" s="56"/>
      <c r="F3907" s="57"/>
      <c r="G3907" s="57"/>
      <c r="H3907" s="56"/>
      <c r="I3907" s="56"/>
      <c r="J3907" s="58"/>
      <c r="K3907" s="58"/>
      <c r="L3907" s="13" t="str">
        <f t="shared" si="600"/>
        <v/>
      </c>
      <c r="M3907" s="13" t="str">
        <f t="shared" si="601"/>
        <v/>
      </c>
      <c r="Q3907" t="str">
        <f t="shared" si="602"/>
        <v/>
      </c>
      <c r="R3907" t="str">
        <f t="shared" si="603"/>
        <v/>
      </c>
      <c r="S3907" t="str">
        <f t="shared" si="604"/>
        <v/>
      </c>
      <c r="T3907" t="str">
        <f t="shared" si="605"/>
        <v/>
      </c>
      <c r="U3907" t="str">
        <f t="shared" si="606"/>
        <v/>
      </c>
      <c r="V3907" t="str">
        <f t="shared" si="607"/>
        <v/>
      </c>
      <c r="W3907" t="str">
        <f t="shared" si="608"/>
        <v/>
      </c>
      <c r="X3907">
        <f>IF($T3907="",N($X3906),IF(MATCH($T3907,$T$6:$T$10005,0)=ROW()-5,N($X3906)+1,N($X3906)))</f>
        <v>0</v>
      </c>
      <c r="Z3907" t="str">
        <f t="shared" si="609"/>
        <v/>
      </c>
      <c r="AA3907">
        <f>IF($V3907="",N($AA3906),IF(MATCH($V3907,$V$6:$V$10005,0)=ROW()-5,N($AA3906)+1,N($AA3906)))</f>
        <v>0</v>
      </c>
    </row>
    <row r="3908" spans="1:27" ht="21" customHeight="1" x14ac:dyDescent="0.95">
      <c r="A3908" s="56"/>
      <c r="B3908" s="57"/>
      <c r="C3908" s="57"/>
      <c r="D3908" s="57"/>
      <c r="E3908" s="56"/>
      <c r="F3908" s="57"/>
      <c r="G3908" s="57"/>
      <c r="H3908" s="56"/>
      <c r="I3908" s="56"/>
      <c r="J3908" s="58"/>
      <c r="K3908" s="58"/>
      <c r="L3908" s="13" t="str">
        <f t="shared" si="600"/>
        <v/>
      </c>
      <c r="M3908" s="13" t="str">
        <f t="shared" si="601"/>
        <v/>
      </c>
      <c r="Q3908" t="str">
        <f t="shared" si="602"/>
        <v/>
      </c>
      <c r="R3908" t="str">
        <f t="shared" si="603"/>
        <v/>
      </c>
      <c r="S3908" t="str">
        <f t="shared" si="604"/>
        <v/>
      </c>
      <c r="T3908" t="str">
        <f t="shared" si="605"/>
        <v/>
      </c>
      <c r="U3908" t="str">
        <f t="shared" si="606"/>
        <v/>
      </c>
      <c r="V3908" t="str">
        <f t="shared" si="607"/>
        <v/>
      </c>
      <c r="W3908" t="str">
        <f t="shared" si="608"/>
        <v/>
      </c>
      <c r="X3908">
        <f>IF($T3908="",N($X3907),IF(MATCH($T3908,$T$6:$T$10005,0)=ROW()-5,N($X3907)+1,N($X3907)))</f>
        <v>0</v>
      </c>
      <c r="Z3908" t="str">
        <f t="shared" si="609"/>
        <v/>
      </c>
      <c r="AA3908">
        <f>IF($V3908="",N($AA3907),IF(MATCH($V3908,$V$6:$V$10005,0)=ROW()-5,N($AA3907)+1,N($AA3907)))</f>
        <v>0</v>
      </c>
    </row>
    <row r="3909" spans="1:27" ht="21" customHeight="1" x14ac:dyDescent="0.95">
      <c r="A3909" s="56"/>
      <c r="B3909" s="57"/>
      <c r="C3909" s="57"/>
      <c r="D3909" s="57"/>
      <c r="E3909" s="56"/>
      <c r="F3909" s="57"/>
      <c r="G3909" s="57"/>
      <c r="H3909" s="56"/>
      <c r="I3909" s="56"/>
      <c r="J3909" s="58"/>
      <c r="K3909" s="58"/>
      <c r="L3909" s="13" t="str">
        <f t="shared" si="600"/>
        <v/>
      </c>
      <c r="M3909" s="13" t="str">
        <f t="shared" si="601"/>
        <v/>
      </c>
      <c r="Q3909" t="str">
        <f t="shared" si="602"/>
        <v/>
      </c>
      <c r="R3909" t="str">
        <f t="shared" si="603"/>
        <v/>
      </c>
      <c r="S3909" t="str">
        <f t="shared" si="604"/>
        <v/>
      </c>
      <c r="T3909" t="str">
        <f t="shared" si="605"/>
        <v/>
      </c>
      <c r="U3909" t="str">
        <f t="shared" si="606"/>
        <v/>
      </c>
      <c r="V3909" t="str">
        <f t="shared" si="607"/>
        <v/>
      </c>
      <c r="W3909" t="str">
        <f t="shared" si="608"/>
        <v/>
      </c>
      <c r="X3909">
        <f>IF($T3909="",N($X3908),IF(MATCH($T3909,$T$6:$T$10005,0)=ROW()-5,N($X3908)+1,N($X3908)))</f>
        <v>0</v>
      </c>
      <c r="Z3909" t="str">
        <f t="shared" si="609"/>
        <v/>
      </c>
      <c r="AA3909">
        <f>IF($V3909="",N($AA3908),IF(MATCH($V3909,$V$6:$V$10005,0)=ROW()-5,N($AA3908)+1,N($AA3908)))</f>
        <v>0</v>
      </c>
    </row>
    <row r="3910" spans="1:27" ht="21" customHeight="1" x14ac:dyDescent="0.95">
      <c r="A3910" s="56"/>
      <c r="B3910" s="57"/>
      <c r="C3910" s="57"/>
      <c r="D3910" s="57"/>
      <c r="E3910" s="56"/>
      <c r="F3910" s="57"/>
      <c r="G3910" s="57"/>
      <c r="H3910" s="56"/>
      <c r="I3910" s="56"/>
      <c r="J3910" s="58"/>
      <c r="K3910" s="58"/>
      <c r="L3910" s="13" t="str">
        <f t="shared" ref="L3910:L3973" si="610">IF(OR($A3910="",AND($J3910="",$K3910="")),"",ROUND(N($J3910)-N($K3910),2))</f>
        <v/>
      </c>
      <c r="M3910" s="13" t="str">
        <f t="shared" ref="M3910:M3973" si="611">IF(OR($A3910="",AND($J3910="",$K3910="")),"",MIN($J3910,$K3910))</f>
        <v/>
      </c>
      <c r="Q3910" t="str">
        <f t="shared" ref="Q3910:Q3973" si="612">IF($A3910="","",$D3910&amp;"("&amp;SUBSTITUTE($E3910," ","")&amp;")")</f>
        <v/>
      </c>
      <c r="R3910" t="str">
        <f t="shared" ref="R3910:R3973" si="613">IF($A3910="","",$B3910&amp;" - "&amp;$C3910)</f>
        <v/>
      </c>
      <c r="S3910" t="str">
        <f t="shared" ref="S3910:S3973" si="614">IF($A3910="","",$R3910&amp;"|"&amp;$Q3910)</f>
        <v/>
      </c>
      <c r="T3910" t="str">
        <f t="shared" ref="T3910:T3973" si="615">IF($A3910="","",$S3910&amp;"|"&amp;$F3910)</f>
        <v/>
      </c>
      <c r="U3910" t="str">
        <f t="shared" ref="U3910:U3973" si="616">IF($A3910="","",$R3910&amp;"("&amp;$E3910&amp;")")</f>
        <v/>
      </c>
      <c r="V3910" t="str">
        <f t="shared" ref="V3910:V3973" si="617">IF($A3910="","",$F3910&amp;"|"&amp;$U3910&amp;"|"&amp;$D3910)</f>
        <v/>
      </c>
      <c r="W3910" t="str">
        <f t="shared" ref="W3910:W3973" si="618">IF($T3910="","",IF($X3910&gt;N($X3909),$X3910,""))</f>
        <v/>
      </c>
      <c r="X3910">
        <f>IF($T3910="",N($X3909),IF(MATCH($T3910,$T$6:$T$10005,0)=ROW()-5,N($X3909)+1,N($X3909)))</f>
        <v>0</v>
      </c>
      <c r="Z3910" t="str">
        <f t="shared" ref="Z3910:Z3973" si="619">IF($V3910="","",IF($AA3910&gt;N($AA3909),$AA3910,""))</f>
        <v/>
      </c>
      <c r="AA3910">
        <f>IF($V3910="",N($AA3909),IF(MATCH($V3910,$V$6:$V$10005,0)=ROW()-5,N($AA3909)+1,N($AA3909)))</f>
        <v>0</v>
      </c>
    </row>
    <row r="3911" spans="1:27" ht="21" customHeight="1" x14ac:dyDescent="0.95">
      <c r="A3911" s="56"/>
      <c r="B3911" s="57"/>
      <c r="C3911" s="57"/>
      <c r="D3911" s="57"/>
      <c r="E3911" s="56"/>
      <c r="F3911" s="57"/>
      <c r="G3911" s="57"/>
      <c r="H3911" s="56"/>
      <c r="I3911" s="56"/>
      <c r="J3911" s="58"/>
      <c r="K3911" s="58"/>
      <c r="L3911" s="13" t="str">
        <f t="shared" si="610"/>
        <v/>
      </c>
      <c r="M3911" s="13" t="str">
        <f t="shared" si="611"/>
        <v/>
      </c>
      <c r="Q3911" t="str">
        <f t="shared" si="612"/>
        <v/>
      </c>
      <c r="R3911" t="str">
        <f t="shared" si="613"/>
        <v/>
      </c>
      <c r="S3911" t="str">
        <f t="shared" si="614"/>
        <v/>
      </c>
      <c r="T3911" t="str">
        <f t="shared" si="615"/>
        <v/>
      </c>
      <c r="U3911" t="str">
        <f t="shared" si="616"/>
        <v/>
      </c>
      <c r="V3911" t="str">
        <f t="shared" si="617"/>
        <v/>
      </c>
      <c r="W3911" t="str">
        <f t="shared" si="618"/>
        <v/>
      </c>
      <c r="X3911">
        <f>IF($T3911="",N($X3910),IF(MATCH($T3911,$T$6:$T$10005,0)=ROW()-5,N($X3910)+1,N($X3910)))</f>
        <v>0</v>
      </c>
      <c r="Z3911" t="str">
        <f t="shared" si="619"/>
        <v/>
      </c>
      <c r="AA3911">
        <f>IF($V3911="",N($AA3910),IF(MATCH($V3911,$V$6:$V$10005,0)=ROW()-5,N($AA3910)+1,N($AA3910)))</f>
        <v>0</v>
      </c>
    </row>
    <row r="3912" spans="1:27" ht="21" customHeight="1" x14ac:dyDescent="0.95">
      <c r="A3912" s="56"/>
      <c r="B3912" s="57"/>
      <c r="C3912" s="57"/>
      <c r="D3912" s="57"/>
      <c r="E3912" s="56"/>
      <c r="F3912" s="57"/>
      <c r="G3912" s="57"/>
      <c r="H3912" s="56"/>
      <c r="I3912" s="56"/>
      <c r="J3912" s="58"/>
      <c r="K3912" s="58"/>
      <c r="L3912" s="13" t="str">
        <f t="shared" si="610"/>
        <v/>
      </c>
      <c r="M3912" s="13" t="str">
        <f t="shared" si="611"/>
        <v/>
      </c>
      <c r="Q3912" t="str">
        <f t="shared" si="612"/>
        <v/>
      </c>
      <c r="R3912" t="str">
        <f t="shared" si="613"/>
        <v/>
      </c>
      <c r="S3912" t="str">
        <f t="shared" si="614"/>
        <v/>
      </c>
      <c r="T3912" t="str">
        <f t="shared" si="615"/>
        <v/>
      </c>
      <c r="U3912" t="str">
        <f t="shared" si="616"/>
        <v/>
      </c>
      <c r="V3912" t="str">
        <f t="shared" si="617"/>
        <v/>
      </c>
      <c r="W3912" t="str">
        <f t="shared" si="618"/>
        <v/>
      </c>
      <c r="X3912">
        <f>IF($T3912="",N($X3911),IF(MATCH($T3912,$T$6:$T$10005,0)=ROW()-5,N($X3911)+1,N($X3911)))</f>
        <v>0</v>
      </c>
      <c r="Z3912" t="str">
        <f t="shared" si="619"/>
        <v/>
      </c>
      <c r="AA3912">
        <f>IF($V3912="",N($AA3911),IF(MATCH($V3912,$V$6:$V$10005,0)=ROW()-5,N($AA3911)+1,N($AA3911)))</f>
        <v>0</v>
      </c>
    </row>
    <row r="3913" spans="1:27" ht="21" customHeight="1" x14ac:dyDescent="0.95">
      <c r="A3913" s="56"/>
      <c r="B3913" s="57"/>
      <c r="C3913" s="57"/>
      <c r="D3913" s="57"/>
      <c r="E3913" s="56"/>
      <c r="F3913" s="57"/>
      <c r="G3913" s="57"/>
      <c r="H3913" s="56"/>
      <c r="I3913" s="56"/>
      <c r="J3913" s="58"/>
      <c r="K3913" s="58"/>
      <c r="L3913" s="13" t="str">
        <f t="shared" si="610"/>
        <v/>
      </c>
      <c r="M3913" s="13" t="str">
        <f t="shared" si="611"/>
        <v/>
      </c>
      <c r="Q3913" t="str">
        <f t="shared" si="612"/>
        <v/>
      </c>
      <c r="R3913" t="str">
        <f t="shared" si="613"/>
        <v/>
      </c>
      <c r="S3913" t="str">
        <f t="shared" si="614"/>
        <v/>
      </c>
      <c r="T3913" t="str">
        <f t="shared" si="615"/>
        <v/>
      </c>
      <c r="U3913" t="str">
        <f t="shared" si="616"/>
        <v/>
      </c>
      <c r="V3913" t="str">
        <f t="shared" si="617"/>
        <v/>
      </c>
      <c r="W3913" t="str">
        <f t="shared" si="618"/>
        <v/>
      </c>
      <c r="X3913">
        <f>IF($T3913="",N($X3912),IF(MATCH($T3913,$T$6:$T$10005,0)=ROW()-5,N($X3912)+1,N($X3912)))</f>
        <v>0</v>
      </c>
      <c r="Z3913" t="str">
        <f t="shared" si="619"/>
        <v/>
      </c>
      <c r="AA3913">
        <f>IF($V3913="",N($AA3912),IF(MATCH($V3913,$V$6:$V$10005,0)=ROW()-5,N($AA3912)+1,N($AA3912)))</f>
        <v>0</v>
      </c>
    </row>
    <row r="3914" spans="1:27" ht="21" customHeight="1" x14ac:dyDescent="0.95">
      <c r="A3914" s="56"/>
      <c r="B3914" s="57"/>
      <c r="C3914" s="57"/>
      <c r="D3914" s="57"/>
      <c r="E3914" s="56"/>
      <c r="F3914" s="57"/>
      <c r="G3914" s="57"/>
      <c r="H3914" s="56"/>
      <c r="I3914" s="56"/>
      <c r="J3914" s="58"/>
      <c r="K3914" s="58"/>
      <c r="L3914" s="13" t="str">
        <f t="shared" si="610"/>
        <v/>
      </c>
      <c r="M3914" s="13" t="str">
        <f t="shared" si="611"/>
        <v/>
      </c>
      <c r="Q3914" t="str">
        <f t="shared" si="612"/>
        <v/>
      </c>
      <c r="R3914" t="str">
        <f t="shared" si="613"/>
        <v/>
      </c>
      <c r="S3914" t="str">
        <f t="shared" si="614"/>
        <v/>
      </c>
      <c r="T3914" t="str">
        <f t="shared" si="615"/>
        <v/>
      </c>
      <c r="U3914" t="str">
        <f t="shared" si="616"/>
        <v/>
      </c>
      <c r="V3914" t="str">
        <f t="shared" si="617"/>
        <v/>
      </c>
      <c r="W3914" t="str">
        <f t="shared" si="618"/>
        <v/>
      </c>
      <c r="X3914">
        <f>IF($T3914="",N($X3913),IF(MATCH($T3914,$T$6:$T$10005,0)=ROW()-5,N($X3913)+1,N($X3913)))</f>
        <v>0</v>
      </c>
      <c r="Z3914" t="str">
        <f t="shared" si="619"/>
        <v/>
      </c>
      <c r="AA3914">
        <f>IF($V3914="",N($AA3913),IF(MATCH($V3914,$V$6:$V$10005,0)=ROW()-5,N($AA3913)+1,N($AA3913)))</f>
        <v>0</v>
      </c>
    </row>
    <row r="3915" spans="1:27" ht="21" customHeight="1" x14ac:dyDescent="0.95">
      <c r="A3915" s="56"/>
      <c r="B3915" s="57"/>
      <c r="C3915" s="57"/>
      <c r="D3915" s="57"/>
      <c r="E3915" s="56"/>
      <c r="F3915" s="57"/>
      <c r="G3915" s="57"/>
      <c r="H3915" s="56"/>
      <c r="I3915" s="56"/>
      <c r="J3915" s="58"/>
      <c r="K3915" s="58"/>
      <c r="L3915" s="13" t="str">
        <f t="shared" si="610"/>
        <v/>
      </c>
      <c r="M3915" s="13" t="str">
        <f t="shared" si="611"/>
        <v/>
      </c>
      <c r="Q3915" t="str">
        <f t="shared" si="612"/>
        <v/>
      </c>
      <c r="R3915" t="str">
        <f t="shared" si="613"/>
        <v/>
      </c>
      <c r="S3915" t="str">
        <f t="shared" si="614"/>
        <v/>
      </c>
      <c r="T3915" t="str">
        <f t="shared" si="615"/>
        <v/>
      </c>
      <c r="U3915" t="str">
        <f t="shared" si="616"/>
        <v/>
      </c>
      <c r="V3915" t="str">
        <f t="shared" si="617"/>
        <v/>
      </c>
      <c r="W3915" t="str">
        <f t="shared" si="618"/>
        <v/>
      </c>
      <c r="X3915">
        <f>IF($T3915="",N($X3914),IF(MATCH($T3915,$T$6:$T$10005,0)=ROW()-5,N($X3914)+1,N($X3914)))</f>
        <v>0</v>
      </c>
      <c r="Z3915" t="str">
        <f t="shared" si="619"/>
        <v/>
      </c>
      <c r="AA3915">
        <f>IF($V3915="",N($AA3914),IF(MATCH($V3915,$V$6:$V$10005,0)=ROW()-5,N($AA3914)+1,N($AA3914)))</f>
        <v>0</v>
      </c>
    </row>
    <row r="3916" spans="1:27" ht="21" customHeight="1" x14ac:dyDescent="0.95">
      <c r="A3916" s="56"/>
      <c r="B3916" s="57"/>
      <c r="C3916" s="57"/>
      <c r="D3916" s="57"/>
      <c r="E3916" s="56"/>
      <c r="F3916" s="57"/>
      <c r="G3916" s="57"/>
      <c r="H3916" s="56"/>
      <c r="I3916" s="56"/>
      <c r="J3916" s="58"/>
      <c r="K3916" s="58"/>
      <c r="L3916" s="13" t="str">
        <f t="shared" si="610"/>
        <v/>
      </c>
      <c r="M3916" s="13" t="str">
        <f t="shared" si="611"/>
        <v/>
      </c>
      <c r="Q3916" t="str">
        <f t="shared" si="612"/>
        <v/>
      </c>
      <c r="R3916" t="str">
        <f t="shared" si="613"/>
        <v/>
      </c>
      <c r="S3916" t="str">
        <f t="shared" si="614"/>
        <v/>
      </c>
      <c r="T3916" t="str">
        <f t="shared" si="615"/>
        <v/>
      </c>
      <c r="U3916" t="str">
        <f t="shared" si="616"/>
        <v/>
      </c>
      <c r="V3916" t="str">
        <f t="shared" si="617"/>
        <v/>
      </c>
      <c r="W3916" t="str">
        <f t="shared" si="618"/>
        <v/>
      </c>
      <c r="X3916">
        <f>IF($T3916="",N($X3915),IF(MATCH($T3916,$T$6:$T$10005,0)=ROW()-5,N($X3915)+1,N($X3915)))</f>
        <v>0</v>
      </c>
      <c r="Z3916" t="str">
        <f t="shared" si="619"/>
        <v/>
      </c>
      <c r="AA3916">
        <f>IF($V3916="",N($AA3915),IF(MATCH($V3916,$V$6:$V$10005,0)=ROW()-5,N($AA3915)+1,N($AA3915)))</f>
        <v>0</v>
      </c>
    </row>
    <row r="3917" spans="1:27" ht="21" customHeight="1" x14ac:dyDescent="0.95">
      <c r="A3917" s="56"/>
      <c r="B3917" s="57"/>
      <c r="C3917" s="57"/>
      <c r="D3917" s="57"/>
      <c r="E3917" s="56"/>
      <c r="F3917" s="57"/>
      <c r="G3917" s="57"/>
      <c r="H3917" s="56"/>
      <c r="I3917" s="56"/>
      <c r="J3917" s="58"/>
      <c r="K3917" s="58"/>
      <c r="L3917" s="13" t="str">
        <f t="shared" si="610"/>
        <v/>
      </c>
      <c r="M3917" s="13" t="str">
        <f t="shared" si="611"/>
        <v/>
      </c>
      <c r="Q3917" t="str">
        <f t="shared" si="612"/>
        <v/>
      </c>
      <c r="R3917" t="str">
        <f t="shared" si="613"/>
        <v/>
      </c>
      <c r="S3917" t="str">
        <f t="shared" si="614"/>
        <v/>
      </c>
      <c r="T3917" t="str">
        <f t="shared" si="615"/>
        <v/>
      </c>
      <c r="U3917" t="str">
        <f t="shared" si="616"/>
        <v/>
      </c>
      <c r="V3917" t="str">
        <f t="shared" si="617"/>
        <v/>
      </c>
      <c r="W3917" t="str">
        <f t="shared" si="618"/>
        <v/>
      </c>
      <c r="X3917">
        <f>IF($T3917="",N($X3916),IF(MATCH($T3917,$T$6:$T$10005,0)=ROW()-5,N($X3916)+1,N($X3916)))</f>
        <v>0</v>
      </c>
      <c r="Z3917" t="str">
        <f t="shared" si="619"/>
        <v/>
      </c>
      <c r="AA3917">
        <f>IF($V3917="",N($AA3916),IF(MATCH($V3917,$V$6:$V$10005,0)=ROW()-5,N($AA3916)+1,N($AA3916)))</f>
        <v>0</v>
      </c>
    </row>
    <row r="3918" spans="1:27" ht="21" customHeight="1" x14ac:dyDescent="0.95">
      <c r="A3918" s="56"/>
      <c r="B3918" s="57"/>
      <c r="C3918" s="57"/>
      <c r="D3918" s="57"/>
      <c r="E3918" s="56"/>
      <c r="F3918" s="57"/>
      <c r="G3918" s="57"/>
      <c r="H3918" s="56"/>
      <c r="I3918" s="56"/>
      <c r="J3918" s="58"/>
      <c r="K3918" s="58"/>
      <c r="L3918" s="13" t="str">
        <f t="shared" si="610"/>
        <v/>
      </c>
      <c r="M3918" s="13" t="str">
        <f t="shared" si="611"/>
        <v/>
      </c>
      <c r="Q3918" t="str">
        <f t="shared" si="612"/>
        <v/>
      </c>
      <c r="R3918" t="str">
        <f t="shared" si="613"/>
        <v/>
      </c>
      <c r="S3918" t="str">
        <f t="shared" si="614"/>
        <v/>
      </c>
      <c r="T3918" t="str">
        <f t="shared" si="615"/>
        <v/>
      </c>
      <c r="U3918" t="str">
        <f t="shared" si="616"/>
        <v/>
      </c>
      <c r="V3918" t="str">
        <f t="shared" si="617"/>
        <v/>
      </c>
      <c r="W3918" t="str">
        <f t="shared" si="618"/>
        <v/>
      </c>
      <c r="X3918">
        <f>IF($T3918="",N($X3917),IF(MATCH($T3918,$T$6:$T$10005,0)=ROW()-5,N($X3917)+1,N($X3917)))</f>
        <v>0</v>
      </c>
      <c r="Z3918" t="str">
        <f t="shared" si="619"/>
        <v/>
      </c>
      <c r="AA3918">
        <f>IF($V3918="",N($AA3917),IF(MATCH($V3918,$V$6:$V$10005,0)=ROW()-5,N($AA3917)+1,N($AA3917)))</f>
        <v>0</v>
      </c>
    </row>
    <row r="3919" spans="1:27" ht="21" customHeight="1" x14ac:dyDescent="0.95">
      <c r="A3919" s="56"/>
      <c r="B3919" s="57"/>
      <c r="C3919" s="57"/>
      <c r="D3919" s="57"/>
      <c r="E3919" s="56"/>
      <c r="F3919" s="57"/>
      <c r="G3919" s="57"/>
      <c r="H3919" s="56"/>
      <c r="I3919" s="56"/>
      <c r="J3919" s="58"/>
      <c r="K3919" s="58"/>
      <c r="L3919" s="13" t="str">
        <f t="shared" si="610"/>
        <v/>
      </c>
      <c r="M3919" s="13" t="str">
        <f t="shared" si="611"/>
        <v/>
      </c>
      <c r="Q3919" t="str">
        <f t="shared" si="612"/>
        <v/>
      </c>
      <c r="R3919" t="str">
        <f t="shared" si="613"/>
        <v/>
      </c>
      <c r="S3919" t="str">
        <f t="shared" si="614"/>
        <v/>
      </c>
      <c r="T3919" t="str">
        <f t="shared" si="615"/>
        <v/>
      </c>
      <c r="U3919" t="str">
        <f t="shared" si="616"/>
        <v/>
      </c>
      <c r="V3919" t="str">
        <f t="shared" si="617"/>
        <v/>
      </c>
      <c r="W3919" t="str">
        <f t="shared" si="618"/>
        <v/>
      </c>
      <c r="X3919">
        <f>IF($T3919="",N($X3918),IF(MATCH($T3919,$T$6:$T$10005,0)=ROW()-5,N($X3918)+1,N($X3918)))</f>
        <v>0</v>
      </c>
      <c r="Z3919" t="str">
        <f t="shared" si="619"/>
        <v/>
      </c>
      <c r="AA3919">
        <f>IF($V3919="",N($AA3918),IF(MATCH($V3919,$V$6:$V$10005,0)=ROW()-5,N($AA3918)+1,N($AA3918)))</f>
        <v>0</v>
      </c>
    </row>
    <row r="3920" spans="1:27" ht="21" customHeight="1" x14ac:dyDescent="0.95">
      <c r="A3920" s="56"/>
      <c r="B3920" s="57"/>
      <c r="C3920" s="57"/>
      <c r="D3920" s="57"/>
      <c r="E3920" s="56"/>
      <c r="F3920" s="57"/>
      <c r="G3920" s="57"/>
      <c r="H3920" s="56"/>
      <c r="I3920" s="56"/>
      <c r="J3920" s="58"/>
      <c r="K3920" s="58"/>
      <c r="L3920" s="13" t="str">
        <f t="shared" si="610"/>
        <v/>
      </c>
      <c r="M3920" s="13" t="str">
        <f t="shared" si="611"/>
        <v/>
      </c>
      <c r="Q3920" t="str">
        <f t="shared" si="612"/>
        <v/>
      </c>
      <c r="R3920" t="str">
        <f t="shared" si="613"/>
        <v/>
      </c>
      <c r="S3920" t="str">
        <f t="shared" si="614"/>
        <v/>
      </c>
      <c r="T3920" t="str">
        <f t="shared" si="615"/>
        <v/>
      </c>
      <c r="U3920" t="str">
        <f t="shared" si="616"/>
        <v/>
      </c>
      <c r="V3920" t="str">
        <f t="shared" si="617"/>
        <v/>
      </c>
      <c r="W3920" t="str">
        <f t="shared" si="618"/>
        <v/>
      </c>
      <c r="X3920">
        <f>IF($T3920="",N($X3919),IF(MATCH($T3920,$T$6:$T$10005,0)=ROW()-5,N($X3919)+1,N($X3919)))</f>
        <v>0</v>
      </c>
      <c r="Z3920" t="str">
        <f t="shared" si="619"/>
        <v/>
      </c>
      <c r="AA3920">
        <f>IF($V3920="",N($AA3919),IF(MATCH($V3920,$V$6:$V$10005,0)=ROW()-5,N($AA3919)+1,N($AA3919)))</f>
        <v>0</v>
      </c>
    </row>
    <row r="3921" spans="1:27" ht="21" customHeight="1" x14ac:dyDescent="0.95">
      <c r="A3921" s="56"/>
      <c r="B3921" s="57"/>
      <c r="C3921" s="57"/>
      <c r="D3921" s="57"/>
      <c r="E3921" s="56"/>
      <c r="F3921" s="57"/>
      <c r="G3921" s="57"/>
      <c r="H3921" s="56"/>
      <c r="I3921" s="56"/>
      <c r="J3921" s="58"/>
      <c r="K3921" s="58"/>
      <c r="L3921" s="13" t="str">
        <f t="shared" si="610"/>
        <v/>
      </c>
      <c r="M3921" s="13" t="str">
        <f t="shared" si="611"/>
        <v/>
      </c>
      <c r="Q3921" t="str">
        <f t="shared" si="612"/>
        <v/>
      </c>
      <c r="R3921" t="str">
        <f t="shared" si="613"/>
        <v/>
      </c>
      <c r="S3921" t="str">
        <f t="shared" si="614"/>
        <v/>
      </c>
      <c r="T3921" t="str">
        <f t="shared" si="615"/>
        <v/>
      </c>
      <c r="U3921" t="str">
        <f t="shared" si="616"/>
        <v/>
      </c>
      <c r="V3921" t="str">
        <f t="shared" si="617"/>
        <v/>
      </c>
      <c r="W3921" t="str">
        <f t="shared" si="618"/>
        <v/>
      </c>
      <c r="X3921">
        <f>IF($T3921="",N($X3920),IF(MATCH($T3921,$T$6:$T$10005,0)=ROW()-5,N($X3920)+1,N($X3920)))</f>
        <v>0</v>
      </c>
      <c r="Z3921" t="str">
        <f t="shared" si="619"/>
        <v/>
      </c>
      <c r="AA3921">
        <f>IF($V3921="",N($AA3920),IF(MATCH($V3921,$V$6:$V$10005,0)=ROW()-5,N($AA3920)+1,N($AA3920)))</f>
        <v>0</v>
      </c>
    </row>
    <row r="3922" spans="1:27" ht="21" customHeight="1" x14ac:dyDescent="0.95">
      <c r="A3922" s="56"/>
      <c r="B3922" s="57"/>
      <c r="C3922" s="57"/>
      <c r="D3922" s="57"/>
      <c r="E3922" s="56"/>
      <c r="F3922" s="57"/>
      <c r="G3922" s="57"/>
      <c r="H3922" s="56"/>
      <c r="I3922" s="56"/>
      <c r="J3922" s="58"/>
      <c r="K3922" s="58"/>
      <c r="L3922" s="13" t="str">
        <f t="shared" si="610"/>
        <v/>
      </c>
      <c r="M3922" s="13" t="str">
        <f t="shared" si="611"/>
        <v/>
      </c>
      <c r="Q3922" t="str">
        <f t="shared" si="612"/>
        <v/>
      </c>
      <c r="R3922" t="str">
        <f t="shared" si="613"/>
        <v/>
      </c>
      <c r="S3922" t="str">
        <f t="shared" si="614"/>
        <v/>
      </c>
      <c r="T3922" t="str">
        <f t="shared" si="615"/>
        <v/>
      </c>
      <c r="U3922" t="str">
        <f t="shared" si="616"/>
        <v/>
      </c>
      <c r="V3922" t="str">
        <f t="shared" si="617"/>
        <v/>
      </c>
      <c r="W3922" t="str">
        <f t="shared" si="618"/>
        <v/>
      </c>
      <c r="X3922">
        <f>IF($T3922="",N($X3921),IF(MATCH($T3922,$T$6:$T$10005,0)=ROW()-5,N($X3921)+1,N($X3921)))</f>
        <v>0</v>
      </c>
      <c r="Z3922" t="str">
        <f t="shared" si="619"/>
        <v/>
      </c>
      <c r="AA3922">
        <f>IF($V3922="",N($AA3921),IF(MATCH($V3922,$V$6:$V$10005,0)=ROW()-5,N($AA3921)+1,N($AA3921)))</f>
        <v>0</v>
      </c>
    </row>
    <row r="3923" spans="1:27" ht="21" customHeight="1" x14ac:dyDescent="0.95">
      <c r="A3923" s="56"/>
      <c r="B3923" s="57"/>
      <c r="C3923" s="57"/>
      <c r="D3923" s="57"/>
      <c r="E3923" s="56"/>
      <c r="F3923" s="57"/>
      <c r="G3923" s="57"/>
      <c r="H3923" s="56"/>
      <c r="I3923" s="56"/>
      <c r="J3923" s="58"/>
      <c r="K3923" s="58"/>
      <c r="L3923" s="13" t="str">
        <f t="shared" si="610"/>
        <v/>
      </c>
      <c r="M3923" s="13" t="str">
        <f t="shared" si="611"/>
        <v/>
      </c>
      <c r="Q3923" t="str">
        <f t="shared" si="612"/>
        <v/>
      </c>
      <c r="R3923" t="str">
        <f t="shared" si="613"/>
        <v/>
      </c>
      <c r="S3923" t="str">
        <f t="shared" si="614"/>
        <v/>
      </c>
      <c r="T3923" t="str">
        <f t="shared" si="615"/>
        <v/>
      </c>
      <c r="U3923" t="str">
        <f t="shared" si="616"/>
        <v/>
      </c>
      <c r="V3923" t="str">
        <f t="shared" si="617"/>
        <v/>
      </c>
      <c r="W3923" t="str">
        <f t="shared" si="618"/>
        <v/>
      </c>
      <c r="X3923">
        <f>IF($T3923="",N($X3922),IF(MATCH($T3923,$T$6:$T$10005,0)=ROW()-5,N($X3922)+1,N($X3922)))</f>
        <v>0</v>
      </c>
      <c r="Z3923" t="str">
        <f t="shared" si="619"/>
        <v/>
      </c>
      <c r="AA3923">
        <f>IF($V3923="",N($AA3922),IF(MATCH($V3923,$V$6:$V$10005,0)=ROW()-5,N($AA3922)+1,N($AA3922)))</f>
        <v>0</v>
      </c>
    </row>
    <row r="3924" spans="1:27" ht="21" customHeight="1" x14ac:dyDescent="0.95">
      <c r="A3924" s="56"/>
      <c r="B3924" s="57"/>
      <c r="C3924" s="57"/>
      <c r="D3924" s="57"/>
      <c r="E3924" s="56"/>
      <c r="F3924" s="57"/>
      <c r="G3924" s="57"/>
      <c r="H3924" s="56"/>
      <c r="I3924" s="56"/>
      <c r="J3924" s="58"/>
      <c r="K3924" s="58"/>
      <c r="L3924" s="13" t="str">
        <f t="shared" si="610"/>
        <v/>
      </c>
      <c r="M3924" s="13" t="str">
        <f t="shared" si="611"/>
        <v/>
      </c>
      <c r="Q3924" t="str">
        <f t="shared" si="612"/>
        <v/>
      </c>
      <c r="R3924" t="str">
        <f t="shared" si="613"/>
        <v/>
      </c>
      <c r="S3924" t="str">
        <f t="shared" si="614"/>
        <v/>
      </c>
      <c r="T3924" t="str">
        <f t="shared" si="615"/>
        <v/>
      </c>
      <c r="U3924" t="str">
        <f t="shared" si="616"/>
        <v/>
      </c>
      <c r="V3924" t="str">
        <f t="shared" si="617"/>
        <v/>
      </c>
      <c r="W3924" t="str">
        <f t="shared" si="618"/>
        <v/>
      </c>
      <c r="X3924">
        <f>IF($T3924="",N($X3923),IF(MATCH($T3924,$T$6:$T$10005,0)=ROW()-5,N($X3923)+1,N($X3923)))</f>
        <v>0</v>
      </c>
      <c r="Z3924" t="str">
        <f t="shared" si="619"/>
        <v/>
      </c>
      <c r="AA3924">
        <f>IF($V3924="",N($AA3923),IF(MATCH($V3924,$V$6:$V$10005,0)=ROW()-5,N($AA3923)+1,N($AA3923)))</f>
        <v>0</v>
      </c>
    </row>
    <row r="3925" spans="1:27" ht="21" customHeight="1" x14ac:dyDescent="0.95">
      <c r="A3925" s="56"/>
      <c r="B3925" s="57"/>
      <c r="C3925" s="57"/>
      <c r="D3925" s="57"/>
      <c r="E3925" s="56"/>
      <c r="F3925" s="57"/>
      <c r="G3925" s="57"/>
      <c r="H3925" s="56"/>
      <c r="I3925" s="56"/>
      <c r="J3925" s="58"/>
      <c r="K3925" s="58"/>
      <c r="L3925" s="13" t="str">
        <f t="shared" si="610"/>
        <v/>
      </c>
      <c r="M3925" s="13" t="str">
        <f t="shared" si="611"/>
        <v/>
      </c>
      <c r="Q3925" t="str">
        <f t="shared" si="612"/>
        <v/>
      </c>
      <c r="R3925" t="str">
        <f t="shared" si="613"/>
        <v/>
      </c>
      <c r="S3925" t="str">
        <f t="shared" si="614"/>
        <v/>
      </c>
      <c r="T3925" t="str">
        <f t="shared" si="615"/>
        <v/>
      </c>
      <c r="U3925" t="str">
        <f t="shared" si="616"/>
        <v/>
      </c>
      <c r="V3925" t="str">
        <f t="shared" si="617"/>
        <v/>
      </c>
      <c r="W3925" t="str">
        <f t="shared" si="618"/>
        <v/>
      </c>
      <c r="X3925">
        <f>IF($T3925="",N($X3924),IF(MATCH($T3925,$T$6:$T$10005,0)=ROW()-5,N($X3924)+1,N($X3924)))</f>
        <v>0</v>
      </c>
      <c r="Z3925" t="str">
        <f t="shared" si="619"/>
        <v/>
      </c>
      <c r="AA3925">
        <f>IF($V3925="",N($AA3924),IF(MATCH($V3925,$V$6:$V$10005,0)=ROW()-5,N($AA3924)+1,N($AA3924)))</f>
        <v>0</v>
      </c>
    </row>
    <row r="3926" spans="1:27" ht="21" customHeight="1" x14ac:dyDescent="0.95">
      <c r="A3926" s="56"/>
      <c r="B3926" s="57"/>
      <c r="C3926" s="57"/>
      <c r="D3926" s="57"/>
      <c r="E3926" s="56"/>
      <c r="F3926" s="57"/>
      <c r="G3926" s="57"/>
      <c r="H3926" s="56"/>
      <c r="I3926" s="56"/>
      <c r="J3926" s="58"/>
      <c r="K3926" s="58"/>
      <c r="L3926" s="13" t="str">
        <f t="shared" si="610"/>
        <v/>
      </c>
      <c r="M3926" s="13" t="str">
        <f t="shared" si="611"/>
        <v/>
      </c>
      <c r="Q3926" t="str">
        <f t="shared" si="612"/>
        <v/>
      </c>
      <c r="R3926" t="str">
        <f t="shared" si="613"/>
        <v/>
      </c>
      <c r="S3926" t="str">
        <f t="shared" si="614"/>
        <v/>
      </c>
      <c r="T3926" t="str">
        <f t="shared" si="615"/>
        <v/>
      </c>
      <c r="U3926" t="str">
        <f t="shared" si="616"/>
        <v/>
      </c>
      <c r="V3926" t="str">
        <f t="shared" si="617"/>
        <v/>
      </c>
      <c r="W3926" t="str">
        <f t="shared" si="618"/>
        <v/>
      </c>
      <c r="X3926">
        <f>IF($T3926="",N($X3925),IF(MATCH($T3926,$T$6:$T$10005,0)=ROW()-5,N($X3925)+1,N($X3925)))</f>
        <v>0</v>
      </c>
      <c r="Z3926" t="str">
        <f t="shared" si="619"/>
        <v/>
      </c>
      <c r="AA3926">
        <f>IF($V3926="",N($AA3925),IF(MATCH($V3926,$V$6:$V$10005,0)=ROW()-5,N($AA3925)+1,N($AA3925)))</f>
        <v>0</v>
      </c>
    </row>
    <row r="3927" spans="1:27" ht="21" customHeight="1" x14ac:dyDescent="0.95">
      <c r="A3927" s="56"/>
      <c r="B3927" s="57"/>
      <c r="C3927" s="57"/>
      <c r="D3927" s="57"/>
      <c r="E3927" s="56"/>
      <c r="F3927" s="57"/>
      <c r="G3927" s="57"/>
      <c r="H3927" s="56"/>
      <c r="I3927" s="56"/>
      <c r="J3927" s="58"/>
      <c r="K3927" s="58"/>
      <c r="L3927" s="13" t="str">
        <f t="shared" si="610"/>
        <v/>
      </c>
      <c r="M3927" s="13" t="str">
        <f t="shared" si="611"/>
        <v/>
      </c>
      <c r="Q3927" t="str">
        <f t="shared" si="612"/>
        <v/>
      </c>
      <c r="R3927" t="str">
        <f t="shared" si="613"/>
        <v/>
      </c>
      <c r="S3927" t="str">
        <f t="shared" si="614"/>
        <v/>
      </c>
      <c r="T3927" t="str">
        <f t="shared" si="615"/>
        <v/>
      </c>
      <c r="U3927" t="str">
        <f t="shared" si="616"/>
        <v/>
      </c>
      <c r="V3927" t="str">
        <f t="shared" si="617"/>
        <v/>
      </c>
      <c r="W3927" t="str">
        <f t="shared" si="618"/>
        <v/>
      </c>
      <c r="X3927">
        <f>IF($T3927="",N($X3926),IF(MATCH($T3927,$T$6:$T$10005,0)=ROW()-5,N($X3926)+1,N($X3926)))</f>
        <v>0</v>
      </c>
      <c r="Z3927" t="str">
        <f t="shared" si="619"/>
        <v/>
      </c>
      <c r="AA3927">
        <f>IF($V3927="",N($AA3926),IF(MATCH($V3927,$V$6:$V$10005,0)=ROW()-5,N($AA3926)+1,N($AA3926)))</f>
        <v>0</v>
      </c>
    </row>
    <row r="3928" spans="1:27" ht="21" customHeight="1" x14ac:dyDescent="0.95">
      <c r="A3928" s="56"/>
      <c r="B3928" s="57"/>
      <c r="C3928" s="57"/>
      <c r="D3928" s="57"/>
      <c r="E3928" s="56"/>
      <c r="F3928" s="57"/>
      <c r="G3928" s="57"/>
      <c r="H3928" s="56"/>
      <c r="I3928" s="56"/>
      <c r="J3928" s="58"/>
      <c r="K3928" s="58"/>
      <c r="L3928" s="13" t="str">
        <f t="shared" si="610"/>
        <v/>
      </c>
      <c r="M3928" s="13" t="str">
        <f t="shared" si="611"/>
        <v/>
      </c>
      <c r="Q3928" t="str">
        <f t="shared" si="612"/>
        <v/>
      </c>
      <c r="R3928" t="str">
        <f t="shared" si="613"/>
        <v/>
      </c>
      <c r="S3928" t="str">
        <f t="shared" si="614"/>
        <v/>
      </c>
      <c r="T3928" t="str">
        <f t="shared" si="615"/>
        <v/>
      </c>
      <c r="U3928" t="str">
        <f t="shared" si="616"/>
        <v/>
      </c>
      <c r="V3928" t="str">
        <f t="shared" si="617"/>
        <v/>
      </c>
      <c r="W3928" t="str">
        <f t="shared" si="618"/>
        <v/>
      </c>
      <c r="X3928">
        <f>IF($T3928="",N($X3927),IF(MATCH($T3928,$T$6:$T$10005,0)=ROW()-5,N($X3927)+1,N($X3927)))</f>
        <v>0</v>
      </c>
      <c r="Z3928" t="str">
        <f t="shared" si="619"/>
        <v/>
      </c>
      <c r="AA3928">
        <f>IF($V3928="",N($AA3927),IF(MATCH($V3928,$V$6:$V$10005,0)=ROW()-5,N($AA3927)+1,N($AA3927)))</f>
        <v>0</v>
      </c>
    </row>
    <row r="3929" spans="1:27" ht="21" customHeight="1" x14ac:dyDescent="0.95">
      <c r="A3929" s="56"/>
      <c r="B3929" s="57"/>
      <c r="C3929" s="57"/>
      <c r="D3929" s="57"/>
      <c r="E3929" s="56"/>
      <c r="F3929" s="57"/>
      <c r="G3929" s="57"/>
      <c r="H3929" s="56"/>
      <c r="I3929" s="56"/>
      <c r="J3929" s="58"/>
      <c r="K3929" s="58"/>
      <c r="L3929" s="13" t="str">
        <f t="shared" si="610"/>
        <v/>
      </c>
      <c r="M3929" s="13" t="str">
        <f t="shared" si="611"/>
        <v/>
      </c>
      <c r="Q3929" t="str">
        <f t="shared" si="612"/>
        <v/>
      </c>
      <c r="R3929" t="str">
        <f t="shared" si="613"/>
        <v/>
      </c>
      <c r="S3929" t="str">
        <f t="shared" si="614"/>
        <v/>
      </c>
      <c r="T3929" t="str">
        <f t="shared" si="615"/>
        <v/>
      </c>
      <c r="U3929" t="str">
        <f t="shared" si="616"/>
        <v/>
      </c>
      <c r="V3929" t="str">
        <f t="shared" si="617"/>
        <v/>
      </c>
      <c r="W3929" t="str">
        <f t="shared" si="618"/>
        <v/>
      </c>
      <c r="X3929">
        <f>IF($T3929="",N($X3928),IF(MATCH($T3929,$T$6:$T$10005,0)=ROW()-5,N($X3928)+1,N($X3928)))</f>
        <v>0</v>
      </c>
      <c r="Z3929" t="str">
        <f t="shared" si="619"/>
        <v/>
      </c>
      <c r="AA3929">
        <f>IF($V3929="",N($AA3928),IF(MATCH($V3929,$V$6:$V$10005,0)=ROW()-5,N($AA3928)+1,N($AA3928)))</f>
        <v>0</v>
      </c>
    </row>
    <row r="3930" spans="1:27" ht="21" customHeight="1" x14ac:dyDescent="0.95">
      <c r="A3930" s="56"/>
      <c r="B3930" s="57"/>
      <c r="C3930" s="57"/>
      <c r="D3930" s="57"/>
      <c r="E3930" s="56"/>
      <c r="F3930" s="57"/>
      <c r="G3930" s="57"/>
      <c r="H3930" s="56"/>
      <c r="I3930" s="56"/>
      <c r="J3930" s="58"/>
      <c r="K3930" s="58"/>
      <c r="L3930" s="13" t="str">
        <f t="shared" si="610"/>
        <v/>
      </c>
      <c r="M3930" s="13" t="str">
        <f t="shared" si="611"/>
        <v/>
      </c>
      <c r="Q3930" t="str">
        <f t="shared" si="612"/>
        <v/>
      </c>
      <c r="R3930" t="str">
        <f t="shared" si="613"/>
        <v/>
      </c>
      <c r="S3930" t="str">
        <f t="shared" si="614"/>
        <v/>
      </c>
      <c r="T3930" t="str">
        <f t="shared" si="615"/>
        <v/>
      </c>
      <c r="U3930" t="str">
        <f t="shared" si="616"/>
        <v/>
      </c>
      <c r="V3930" t="str">
        <f t="shared" si="617"/>
        <v/>
      </c>
      <c r="W3930" t="str">
        <f t="shared" si="618"/>
        <v/>
      </c>
      <c r="X3930">
        <f>IF($T3930="",N($X3929),IF(MATCH($T3930,$T$6:$T$10005,0)=ROW()-5,N($X3929)+1,N($X3929)))</f>
        <v>0</v>
      </c>
      <c r="Z3930" t="str">
        <f t="shared" si="619"/>
        <v/>
      </c>
      <c r="AA3930">
        <f>IF($V3930="",N($AA3929),IF(MATCH($V3930,$V$6:$V$10005,0)=ROW()-5,N($AA3929)+1,N($AA3929)))</f>
        <v>0</v>
      </c>
    </row>
    <row r="3931" spans="1:27" ht="21" customHeight="1" x14ac:dyDescent="0.95">
      <c r="A3931" s="56"/>
      <c r="B3931" s="57"/>
      <c r="C3931" s="57"/>
      <c r="D3931" s="57"/>
      <c r="E3931" s="56"/>
      <c r="F3931" s="57"/>
      <c r="G3931" s="57"/>
      <c r="H3931" s="56"/>
      <c r="I3931" s="56"/>
      <c r="J3931" s="58"/>
      <c r="K3931" s="58"/>
      <c r="L3931" s="13" t="str">
        <f t="shared" si="610"/>
        <v/>
      </c>
      <c r="M3931" s="13" t="str">
        <f t="shared" si="611"/>
        <v/>
      </c>
      <c r="Q3931" t="str">
        <f t="shared" si="612"/>
        <v/>
      </c>
      <c r="R3931" t="str">
        <f t="shared" si="613"/>
        <v/>
      </c>
      <c r="S3931" t="str">
        <f t="shared" si="614"/>
        <v/>
      </c>
      <c r="T3931" t="str">
        <f t="shared" si="615"/>
        <v/>
      </c>
      <c r="U3931" t="str">
        <f t="shared" si="616"/>
        <v/>
      </c>
      <c r="V3931" t="str">
        <f t="shared" si="617"/>
        <v/>
      </c>
      <c r="W3931" t="str">
        <f t="shared" si="618"/>
        <v/>
      </c>
      <c r="X3931">
        <f>IF($T3931="",N($X3930),IF(MATCH($T3931,$T$6:$T$10005,0)=ROW()-5,N($X3930)+1,N($X3930)))</f>
        <v>0</v>
      </c>
      <c r="Z3931" t="str">
        <f t="shared" si="619"/>
        <v/>
      </c>
      <c r="AA3931">
        <f>IF($V3931="",N($AA3930),IF(MATCH($V3931,$V$6:$V$10005,0)=ROW()-5,N($AA3930)+1,N($AA3930)))</f>
        <v>0</v>
      </c>
    </row>
    <row r="3932" spans="1:27" ht="21" customHeight="1" x14ac:dyDescent="0.95">
      <c r="A3932" s="56"/>
      <c r="B3932" s="57"/>
      <c r="C3932" s="57"/>
      <c r="D3932" s="57"/>
      <c r="E3932" s="56"/>
      <c r="F3932" s="57"/>
      <c r="G3932" s="57"/>
      <c r="H3932" s="56"/>
      <c r="I3932" s="56"/>
      <c r="J3932" s="58"/>
      <c r="K3932" s="58"/>
      <c r="L3932" s="13" t="str">
        <f t="shared" si="610"/>
        <v/>
      </c>
      <c r="M3932" s="13" t="str">
        <f t="shared" si="611"/>
        <v/>
      </c>
      <c r="Q3932" t="str">
        <f t="shared" si="612"/>
        <v/>
      </c>
      <c r="R3932" t="str">
        <f t="shared" si="613"/>
        <v/>
      </c>
      <c r="S3932" t="str">
        <f t="shared" si="614"/>
        <v/>
      </c>
      <c r="T3932" t="str">
        <f t="shared" si="615"/>
        <v/>
      </c>
      <c r="U3932" t="str">
        <f t="shared" si="616"/>
        <v/>
      </c>
      <c r="V3932" t="str">
        <f t="shared" si="617"/>
        <v/>
      </c>
      <c r="W3932" t="str">
        <f t="shared" si="618"/>
        <v/>
      </c>
      <c r="X3932">
        <f>IF($T3932="",N($X3931),IF(MATCH($T3932,$T$6:$T$10005,0)=ROW()-5,N($X3931)+1,N($X3931)))</f>
        <v>0</v>
      </c>
      <c r="Z3932" t="str">
        <f t="shared" si="619"/>
        <v/>
      </c>
      <c r="AA3932">
        <f>IF($V3932="",N($AA3931),IF(MATCH($V3932,$V$6:$V$10005,0)=ROW()-5,N($AA3931)+1,N($AA3931)))</f>
        <v>0</v>
      </c>
    </row>
    <row r="3933" spans="1:27" ht="21" customHeight="1" x14ac:dyDescent="0.95">
      <c r="A3933" s="56"/>
      <c r="B3933" s="57"/>
      <c r="C3933" s="57"/>
      <c r="D3933" s="57"/>
      <c r="E3933" s="56"/>
      <c r="F3933" s="57"/>
      <c r="G3933" s="57"/>
      <c r="H3933" s="56"/>
      <c r="I3933" s="56"/>
      <c r="J3933" s="58"/>
      <c r="K3933" s="58"/>
      <c r="L3933" s="13" t="str">
        <f t="shared" si="610"/>
        <v/>
      </c>
      <c r="M3933" s="13" t="str">
        <f t="shared" si="611"/>
        <v/>
      </c>
      <c r="Q3933" t="str">
        <f t="shared" si="612"/>
        <v/>
      </c>
      <c r="R3933" t="str">
        <f t="shared" si="613"/>
        <v/>
      </c>
      <c r="S3933" t="str">
        <f t="shared" si="614"/>
        <v/>
      </c>
      <c r="T3933" t="str">
        <f t="shared" si="615"/>
        <v/>
      </c>
      <c r="U3933" t="str">
        <f t="shared" si="616"/>
        <v/>
      </c>
      <c r="V3933" t="str">
        <f t="shared" si="617"/>
        <v/>
      </c>
      <c r="W3933" t="str">
        <f t="shared" si="618"/>
        <v/>
      </c>
      <c r="X3933">
        <f>IF($T3933="",N($X3932),IF(MATCH($T3933,$T$6:$T$10005,0)=ROW()-5,N($X3932)+1,N($X3932)))</f>
        <v>0</v>
      </c>
      <c r="Z3933" t="str">
        <f t="shared" si="619"/>
        <v/>
      </c>
      <c r="AA3933">
        <f>IF($V3933="",N($AA3932),IF(MATCH($V3933,$V$6:$V$10005,0)=ROW()-5,N($AA3932)+1,N($AA3932)))</f>
        <v>0</v>
      </c>
    </row>
    <row r="3934" spans="1:27" ht="21" customHeight="1" x14ac:dyDescent="0.95">
      <c r="A3934" s="56"/>
      <c r="B3934" s="57"/>
      <c r="C3934" s="57"/>
      <c r="D3934" s="57"/>
      <c r="E3934" s="56"/>
      <c r="F3934" s="57"/>
      <c r="G3934" s="57"/>
      <c r="H3934" s="56"/>
      <c r="I3934" s="56"/>
      <c r="J3934" s="58"/>
      <c r="K3934" s="58"/>
      <c r="L3934" s="13" t="str">
        <f t="shared" si="610"/>
        <v/>
      </c>
      <c r="M3934" s="13" t="str">
        <f t="shared" si="611"/>
        <v/>
      </c>
      <c r="Q3934" t="str">
        <f t="shared" si="612"/>
        <v/>
      </c>
      <c r="R3934" t="str">
        <f t="shared" si="613"/>
        <v/>
      </c>
      <c r="S3934" t="str">
        <f t="shared" si="614"/>
        <v/>
      </c>
      <c r="T3934" t="str">
        <f t="shared" si="615"/>
        <v/>
      </c>
      <c r="U3934" t="str">
        <f t="shared" si="616"/>
        <v/>
      </c>
      <c r="V3934" t="str">
        <f t="shared" si="617"/>
        <v/>
      </c>
      <c r="W3934" t="str">
        <f t="shared" si="618"/>
        <v/>
      </c>
      <c r="X3934">
        <f>IF($T3934="",N($X3933),IF(MATCH($T3934,$T$6:$T$10005,0)=ROW()-5,N($X3933)+1,N($X3933)))</f>
        <v>0</v>
      </c>
      <c r="Z3934" t="str">
        <f t="shared" si="619"/>
        <v/>
      </c>
      <c r="AA3934">
        <f>IF($V3934="",N($AA3933),IF(MATCH($V3934,$V$6:$V$10005,0)=ROW()-5,N($AA3933)+1,N($AA3933)))</f>
        <v>0</v>
      </c>
    </row>
    <row r="3935" spans="1:27" ht="21" customHeight="1" x14ac:dyDescent="0.95">
      <c r="A3935" s="56"/>
      <c r="B3935" s="57"/>
      <c r="C3935" s="57"/>
      <c r="D3935" s="57"/>
      <c r="E3935" s="56"/>
      <c r="F3935" s="57"/>
      <c r="G3935" s="57"/>
      <c r="H3935" s="56"/>
      <c r="I3935" s="56"/>
      <c r="J3935" s="58"/>
      <c r="K3935" s="58"/>
      <c r="L3935" s="13" t="str">
        <f t="shared" si="610"/>
        <v/>
      </c>
      <c r="M3935" s="13" t="str">
        <f t="shared" si="611"/>
        <v/>
      </c>
      <c r="Q3935" t="str">
        <f t="shared" si="612"/>
        <v/>
      </c>
      <c r="R3935" t="str">
        <f t="shared" si="613"/>
        <v/>
      </c>
      <c r="S3935" t="str">
        <f t="shared" si="614"/>
        <v/>
      </c>
      <c r="T3935" t="str">
        <f t="shared" si="615"/>
        <v/>
      </c>
      <c r="U3935" t="str">
        <f t="shared" si="616"/>
        <v/>
      </c>
      <c r="V3935" t="str">
        <f t="shared" si="617"/>
        <v/>
      </c>
      <c r="W3935" t="str">
        <f t="shared" si="618"/>
        <v/>
      </c>
      <c r="X3935">
        <f>IF($T3935="",N($X3934),IF(MATCH($T3935,$T$6:$T$10005,0)=ROW()-5,N($X3934)+1,N($X3934)))</f>
        <v>0</v>
      </c>
      <c r="Z3935" t="str">
        <f t="shared" si="619"/>
        <v/>
      </c>
      <c r="AA3935">
        <f>IF($V3935="",N($AA3934),IF(MATCH($V3935,$V$6:$V$10005,0)=ROW()-5,N($AA3934)+1,N($AA3934)))</f>
        <v>0</v>
      </c>
    </row>
    <row r="3936" spans="1:27" ht="21" customHeight="1" x14ac:dyDescent="0.95">
      <c r="A3936" s="56"/>
      <c r="B3936" s="57"/>
      <c r="C3936" s="57"/>
      <c r="D3936" s="57"/>
      <c r="E3936" s="56"/>
      <c r="F3936" s="57"/>
      <c r="G3936" s="57"/>
      <c r="H3936" s="56"/>
      <c r="I3936" s="56"/>
      <c r="J3936" s="58"/>
      <c r="K3936" s="58"/>
      <c r="L3936" s="13" t="str">
        <f t="shared" si="610"/>
        <v/>
      </c>
      <c r="M3936" s="13" t="str">
        <f t="shared" si="611"/>
        <v/>
      </c>
      <c r="Q3936" t="str">
        <f t="shared" si="612"/>
        <v/>
      </c>
      <c r="R3936" t="str">
        <f t="shared" si="613"/>
        <v/>
      </c>
      <c r="S3936" t="str">
        <f t="shared" si="614"/>
        <v/>
      </c>
      <c r="T3936" t="str">
        <f t="shared" si="615"/>
        <v/>
      </c>
      <c r="U3936" t="str">
        <f t="shared" si="616"/>
        <v/>
      </c>
      <c r="V3936" t="str">
        <f t="shared" si="617"/>
        <v/>
      </c>
      <c r="W3936" t="str">
        <f t="shared" si="618"/>
        <v/>
      </c>
      <c r="X3936">
        <f>IF($T3936="",N($X3935),IF(MATCH($T3936,$T$6:$T$10005,0)=ROW()-5,N($X3935)+1,N($X3935)))</f>
        <v>0</v>
      </c>
      <c r="Z3936" t="str">
        <f t="shared" si="619"/>
        <v/>
      </c>
      <c r="AA3936">
        <f>IF($V3936="",N($AA3935),IF(MATCH($V3936,$V$6:$V$10005,0)=ROW()-5,N($AA3935)+1,N($AA3935)))</f>
        <v>0</v>
      </c>
    </row>
    <row r="3937" spans="1:27" ht="21" customHeight="1" x14ac:dyDescent="0.95">
      <c r="A3937" s="56"/>
      <c r="B3937" s="57"/>
      <c r="C3937" s="57"/>
      <c r="D3937" s="57"/>
      <c r="E3937" s="56"/>
      <c r="F3937" s="57"/>
      <c r="G3937" s="57"/>
      <c r="H3937" s="56"/>
      <c r="I3937" s="56"/>
      <c r="J3937" s="58"/>
      <c r="K3937" s="58"/>
      <c r="L3937" s="13" t="str">
        <f t="shared" si="610"/>
        <v/>
      </c>
      <c r="M3937" s="13" t="str">
        <f t="shared" si="611"/>
        <v/>
      </c>
      <c r="Q3937" t="str">
        <f t="shared" si="612"/>
        <v/>
      </c>
      <c r="R3937" t="str">
        <f t="shared" si="613"/>
        <v/>
      </c>
      <c r="S3937" t="str">
        <f t="shared" si="614"/>
        <v/>
      </c>
      <c r="T3937" t="str">
        <f t="shared" si="615"/>
        <v/>
      </c>
      <c r="U3937" t="str">
        <f t="shared" si="616"/>
        <v/>
      </c>
      <c r="V3937" t="str">
        <f t="shared" si="617"/>
        <v/>
      </c>
      <c r="W3937" t="str">
        <f t="shared" si="618"/>
        <v/>
      </c>
      <c r="X3937">
        <f>IF($T3937="",N($X3936),IF(MATCH($T3937,$T$6:$T$10005,0)=ROW()-5,N($X3936)+1,N($X3936)))</f>
        <v>0</v>
      </c>
      <c r="Z3937" t="str">
        <f t="shared" si="619"/>
        <v/>
      </c>
      <c r="AA3937">
        <f>IF($V3937="",N($AA3936),IF(MATCH($V3937,$V$6:$V$10005,0)=ROW()-5,N($AA3936)+1,N($AA3936)))</f>
        <v>0</v>
      </c>
    </row>
    <row r="3938" spans="1:27" ht="21" customHeight="1" x14ac:dyDescent="0.95">
      <c r="A3938" s="56"/>
      <c r="B3938" s="57"/>
      <c r="C3938" s="57"/>
      <c r="D3938" s="57"/>
      <c r="E3938" s="56"/>
      <c r="F3938" s="57"/>
      <c r="G3938" s="57"/>
      <c r="H3938" s="56"/>
      <c r="I3938" s="56"/>
      <c r="J3938" s="58"/>
      <c r="K3938" s="58"/>
      <c r="L3938" s="13" t="str">
        <f t="shared" si="610"/>
        <v/>
      </c>
      <c r="M3938" s="13" t="str">
        <f t="shared" si="611"/>
        <v/>
      </c>
      <c r="Q3938" t="str">
        <f t="shared" si="612"/>
        <v/>
      </c>
      <c r="R3938" t="str">
        <f t="shared" si="613"/>
        <v/>
      </c>
      <c r="S3938" t="str">
        <f t="shared" si="614"/>
        <v/>
      </c>
      <c r="T3938" t="str">
        <f t="shared" si="615"/>
        <v/>
      </c>
      <c r="U3938" t="str">
        <f t="shared" si="616"/>
        <v/>
      </c>
      <c r="V3938" t="str">
        <f t="shared" si="617"/>
        <v/>
      </c>
      <c r="W3938" t="str">
        <f t="shared" si="618"/>
        <v/>
      </c>
      <c r="X3938">
        <f>IF($T3938="",N($X3937),IF(MATCH($T3938,$T$6:$T$10005,0)=ROW()-5,N($X3937)+1,N($X3937)))</f>
        <v>0</v>
      </c>
      <c r="Z3938" t="str">
        <f t="shared" si="619"/>
        <v/>
      </c>
      <c r="AA3938">
        <f>IF($V3938="",N($AA3937),IF(MATCH($V3938,$V$6:$V$10005,0)=ROW()-5,N($AA3937)+1,N($AA3937)))</f>
        <v>0</v>
      </c>
    </row>
    <row r="3939" spans="1:27" ht="21" customHeight="1" x14ac:dyDescent="0.95">
      <c r="A3939" s="56"/>
      <c r="B3939" s="57"/>
      <c r="C3939" s="57"/>
      <c r="D3939" s="57"/>
      <c r="E3939" s="56"/>
      <c r="F3939" s="57"/>
      <c r="G3939" s="57"/>
      <c r="H3939" s="56"/>
      <c r="I3939" s="56"/>
      <c r="J3939" s="58"/>
      <c r="K3939" s="58"/>
      <c r="L3939" s="13" t="str">
        <f t="shared" si="610"/>
        <v/>
      </c>
      <c r="M3939" s="13" t="str">
        <f t="shared" si="611"/>
        <v/>
      </c>
      <c r="Q3939" t="str">
        <f t="shared" si="612"/>
        <v/>
      </c>
      <c r="R3939" t="str">
        <f t="shared" si="613"/>
        <v/>
      </c>
      <c r="S3939" t="str">
        <f t="shared" si="614"/>
        <v/>
      </c>
      <c r="T3939" t="str">
        <f t="shared" si="615"/>
        <v/>
      </c>
      <c r="U3939" t="str">
        <f t="shared" si="616"/>
        <v/>
      </c>
      <c r="V3939" t="str">
        <f t="shared" si="617"/>
        <v/>
      </c>
      <c r="W3939" t="str">
        <f t="shared" si="618"/>
        <v/>
      </c>
      <c r="X3939">
        <f>IF($T3939="",N($X3938),IF(MATCH($T3939,$T$6:$T$10005,0)=ROW()-5,N($X3938)+1,N($X3938)))</f>
        <v>0</v>
      </c>
      <c r="Z3939" t="str">
        <f t="shared" si="619"/>
        <v/>
      </c>
      <c r="AA3939">
        <f>IF($V3939="",N($AA3938),IF(MATCH($V3939,$V$6:$V$10005,0)=ROW()-5,N($AA3938)+1,N($AA3938)))</f>
        <v>0</v>
      </c>
    </row>
    <row r="3940" spans="1:27" ht="21" customHeight="1" x14ac:dyDescent="0.95">
      <c r="A3940" s="56"/>
      <c r="B3940" s="57"/>
      <c r="C3940" s="57"/>
      <c r="D3940" s="57"/>
      <c r="E3940" s="56"/>
      <c r="F3940" s="57"/>
      <c r="G3940" s="57"/>
      <c r="H3940" s="56"/>
      <c r="I3940" s="56"/>
      <c r="J3940" s="58"/>
      <c r="K3940" s="58"/>
      <c r="L3940" s="13" t="str">
        <f t="shared" si="610"/>
        <v/>
      </c>
      <c r="M3940" s="13" t="str">
        <f t="shared" si="611"/>
        <v/>
      </c>
      <c r="Q3940" t="str">
        <f t="shared" si="612"/>
        <v/>
      </c>
      <c r="R3940" t="str">
        <f t="shared" si="613"/>
        <v/>
      </c>
      <c r="S3940" t="str">
        <f t="shared" si="614"/>
        <v/>
      </c>
      <c r="T3940" t="str">
        <f t="shared" si="615"/>
        <v/>
      </c>
      <c r="U3940" t="str">
        <f t="shared" si="616"/>
        <v/>
      </c>
      <c r="V3940" t="str">
        <f t="shared" si="617"/>
        <v/>
      </c>
      <c r="W3940" t="str">
        <f t="shared" si="618"/>
        <v/>
      </c>
      <c r="X3940">
        <f>IF($T3940="",N($X3939),IF(MATCH($T3940,$T$6:$T$10005,0)=ROW()-5,N($X3939)+1,N($X3939)))</f>
        <v>0</v>
      </c>
      <c r="Z3940" t="str">
        <f t="shared" si="619"/>
        <v/>
      </c>
      <c r="AA3940">
        <f>IF($V3940="",N($AA3939),IF(MATCH($V3940,$V$6:$V$10005,0)=ROW()-5,N($AA3939)+1,N($AA3939)))</f>
        <v>0</v>
      </c>
    </row>
    <row r="3941" spans="1:27" ht="21" customHeight="1" x14ac:dyDescent="0.95">
      <c r="A3941" s="56"/>
      <c r="B3941" s="57"/>
      <c r="C3941" s="57"/>
      <c r="D3941" s="57"/>
      <c r="E3941" s="56"/>
      <c r="F3941" s="57"/>
      <c r="G3941" s="57"/>
      <c r="H3941" s="56"/>
      <c r="I3941" s="56"/>
      <c r="J3941" s="58"/>
      <c r="K3941" s="58"/>
      <c r="L3941" s="13" t="str">
        <f t="shared" si="610"/>
        <v/>
      </c>
      <c r="M3941" s="13" t="str">
        <f t="shared" si="611"/>
        <v/>
      </c>
      <c r="Q3941" t="str">
        <f t="shared" si="612"/>
        <v/>
      </c>
      <c r="R3941" t="str">
        <f t="shared" si="613"/>
        <v/>
      </c>
      <c r="S3941" t="str">
        <f t="shared" si="614"/>
        <v/>
      </c>
      <c r="T3941" t="str">
        <f t="shared" si="615"/>
        <v/>
      </c>
      <c r="U3941" t="str">
        <f t="shared" si="616"/>
        <v/>
      </c>
      <c r="V3941" t="str">
        <f t="shared" si="617"/>
        <v/>
      </c>
      <c r="W3941" t="str">
        <f t="shared" si="618"/>
        <v/>
      </c>
      <c r="X3941">
        <f>IF($T3941="",N($X3940),IF(MATCH($T3941,$T$6:$T$10005,0)=ROW()-5,N($X3940)+1,N($X3940)))</f>
        <v>0</v>
      </c>
      <c r="Z3941" t="str">
        <f t="shared" si="619"/>
        <v/>
      </c>
      <c r="AA3941">
        <f>IF($V3941="",N($AA3940),IF(MATCH($V3941,$V$6:$V$10005,0)=ROW()-5,N($AA3940)+1,N($AA3940)))</f>
        <v>0</v>
      </c>
    </row>
    <row r="3942" spans="1:27" ht="21" customHeight="1" x14ac:dyDescent="0.95">
      <c r="A3942" s="56"/>
      <c r="B3942" s="57"/>
      <c r="C3942" s="57"/>
      <c r="D3942" s="57"/>
      <c r="E3942" s="56"/>
      <c r="F3942" s="57"/>
      <c r="G3942" s="57"/>
      <c r="H3942" s="56"/>
      <c r="I3942" s="56"/>
      <c r="J3942" s="58"/>
      <c r="K3942" s="58"/>
      <c r="L3942" s="13" t="str">
        <f t="shared" si="610"/>
        <v/>
      </c>
      <c r="M3942" s="13" t="str">
        <f t="shared" si="611"/>
        <v/>
      </c>
      <c r="Q3942" t="str">
        <f t="shared" si="612"/>
        <v/>
      </c>
      <c r="R3942" t="str">
        <f t="shared" si="613"/>
        <v/>
      </c>
      <c r="S3942" t="str">
        <f t="shared" si="614"/>
        <v/>
      </c>
      <c r="T3942" t="str">
        <f t="shared" si="615"/>
        <v/>
      </c>
      <c r="U3942" t="str">
        <f t="shared" si="616"/>
        <v/>
      </c>
      <c r="V3942" t="str">
        <f t="shared" si="617"/>
        <v/>
      </c>
      <c r="W3942" t="str">
        <f t="shared" si="618"/>
        <v/>
      </c>
      <c r="X3942">
        <f>IF($T3942="",N($X3941),IF(MATCH($T3942,$T$6:$T$10005,0)=ROW()-5,N($X3941)+1,N($X3941)))</f>
        <v>0</v>
      </c>
      <c r="Z3942" t="str">
        <f t="shared" si="619"/>
        <v/>
      </c>
      <c r="AA3942">
        <f>IF($V3942="",N($AA3941),IF(MATCH($V3942,$V$6:$V$10005,0)=ROW()-5,N($AA3941)+1,N($AA3941)))</f>
        <v>0</v>
      </c>
    </row>
    <row r="3943" spans="1:27" ht="21" customHeight="1" x14ac:dyDescent="0.95">
      <c r="A3943" s="56"/>
      <c r="B3943" s="57"/>
      <c r="C3943" s="57"/>
      <c r="D3943" s="57"/>
      <c r="E3943" s="56"/>
      <c r="F3943" s="57"/>
      <c r="G3943" s="57"/>
      <c r="H3943" s="56"/>
      <c r="I3943" s="56"/>
      <c r="J3943" s="58"/>
      <c r="K3943" s="58"/>
      <c r="L3943" s="13" t="str">
        <f t="shared" si="610"/>
        <v/>
      </c>
      <c r="M3943" s="13" t="str">
        <f t="shared" si="611"/>
        <v/>
      </c>
      <c r="Q3943" t="str">
        <f t="shared" si="612"/>
        <v/>
      </c>
      <c r="R3943" t="str">
        <f t="shared" si="613"/>
        <v/>
      </c>
      <c r="S3943" t="str">
        <f t="shared" si="614"/>
        <v/>
      </c>
      <c r="T3943" t="str">
        <f t="shared" si="615"/>
        <v/>
      </c>
      <c r="U3943" t="str">
        <f t="shared" si="616"/>
        <v/>
      </c>
      <c r="V3943" t="str">
        <f t="shared" si="617"/>
        <v/>
      </c>
      <c r="W3943" t="str">
        <f t="shared" si="618"/>
        <v/>
      </c>
      <c r="X3943">
        <f>IF($T3943="",N($X3942),IF(MATCH($T3943,$T$6:$T$10005,0)=ROW()-5,N($X3942)+1,N($X3942)))</f>
        <v>0</v>
      </c>
      <c r="Z3943" t="str">
        <f t="shared" si="619"/>
        <v/>
      </c>
      <c r="AA3943">
        <f>IF($V3943="",N($AA3942),IF(MATCH($V3943,$V$6:$V$10005,0)=ROW()-5,N($AA3942)+1,N($AA3942)))</f>
        <v>0</v>
      </c>
    </row>
    <row r="3944" spans="1:27" ht="21" customHeight="1" x14ac:dyDescent="0.95">
      <c r="A3944" s="56"/>
      <c r="B3944" s="57"/>
      <c r="C3944" s="57"/>
      <c r="D3944" s="57"/>
      <c r="E3944" s="56"/>
      <c r="F3944" s="57"/>
      <c r="G3944" s="57"/>
      <c r="H3944" s="56"/>
      <c r="I3944" s="56"/>
      <c r="J3944" s="58"/>
      <c r="K3944" s="58"/>
      <c r="L3944" s="13" t="str">
        <f t="shared" si="610"/>
        <v/>
      </c>
      <c r="M3944" s="13" t="str">
        <f t="shared" si="611"/>
        <v/>
      </c>
      <c r="Q3944" t="str">
        <f t="shared" si="612"/>
        <v/>
      </c>
      <c r="R3944" t="str">
        <f t="shared" si="613"/>
        <v/>
      </c>
      <c r="S3944" t="str">
        <f t="shared" si="614"/>
        <v/>
      </c>
      <c r="T3944" t="str">
        <f t="shared" si="615"/>
        <v/>
      </c>
      <c r="U3944" t="str">
        <f t="shared" si="616"/>
        <v/>
      </c>
      <c r="V3944" t="str">
        <f t="shared" si="617"/>
        <v/>
      </c>
      <c r="W3944" t="str">
        <f t="shared" si="618"/>
        <v/>
      </c>
      <c r="X3944">
        <f>IF($T3944="",N($X3943),IF(MATCH($T3944,$T$6:$T$10005,0)=ROW()-5,N($X3943)+1,N($X3943)))</f>
        <v>0</v>
      </c>
      <c r="Z3944" t="str">
        <f t="shared" si="619"/>
        <v/>
      </c>
      <c r="AA3944">
        <f>IF($V3944="",N($AA3943),IF(MATCH($V3944,$V$6:$V$10005,0)=ROW()-5,N($AA3943)+1,N($AA3943)))</f>
        <v>0</v>
      </c>
    </row>
    <row r="3945" spans="1:27" ht="21" customHeight="1" x14ac:dyDescent="0.95">
      <c r="A3945" s="56"/>
      <c r="B3945" s="57"/>
      <c r="C3945" s="57"/>
      <c r="D3945" s="57"/>
      <c r="E3945" s="56"/>
      <c r="F3945" s="57"/>
      <c r="G3945" s="57"/>
      <c r="H3945" s="56"/>
      <c r="I3945" s="56"/>
      <c r="J3945" s="58"/>
      <c r="K3945" s="58"/>
      <c r="L3945" s="13" t="str">
        <f t="shared" si="610"/>
        <v/>
      </c>
      <c r="M3945" s="13" t="str">
        <f t="shared" si="611"/>
        <v/>
      </c>
      <c r="Q3945" t="str">
        <f t="shared" si="612"/>
        <v/>
      </c>
      <c r="R3945" t="str">
        <f t="shared" si="613"/>
        <v/>
      </c>
      <c r="S3945" t="str">
        <f t="shared" si="614"/>
        <v/>
      </c>
      <c r="T3945" t="str">
        <f t="shared" si="615"/>
        <v/>
      </c>
      <c r="U3945" t="str">
        <f t="shared" si="616"/>
        <v/>
      </c>
      <c r="V3945" t="str">
        <f t="shared" si="617"/>
        <v/>
      </c>
      <c r="W3945" t="str">
        <f t="shared" si="618"/>
        <v/>
      </c>
      <c r="X3945">
        <f>IF($T3945="",N($X3944),IF(MATCH($T3945,$T$6:$T$10005,0)=ROW()-5,N($X3944)+1,N($X3944)))</f>
        <v>0</v>
      </c>
      <c r="Z3945" t="str">
        <f t="shared" si="619"/>
        <v/>
      </c>
      <c r="AA3945">
        <f>IF($V3945="",N($AA3944),IF(MATCH($V3945,$V$6:$V$10005,0)=ROW()-5,N($AA3944)+1,N($AA3944)))</f>
        <v>0</v>
      </c>
    </row>
    <row r="3946" spans="1:27" ht="21" customHeight="1" x14ac:dyDescent="0.95">
      <c r="A3946" s="56"/>
      <c r="B3946" s="57"/>
      <c r="C3946" s="57"/>
      <c r="D3946" s="57"/>
      <c r="E3946" s="56"/>
      <c r="F3946" s="57"/>
      <c r="G3946" s="57"/>
      <c r="H3946" s="56"/>
      <c r="I3946" s="56"/>
      <c r="J3946" s="58"/>
      <c r="K3946" s="58"/>
      <c r="L3946" s="13" t="str">
        <f t="shared" si="610"/>
        <v/>
      </c>
      <c r="M3946" s="13" t="str">
        <f t="shared" si="611"/>
        <v/>
      </c>
      <c r="Q3946" t="str">
        <f t="shared" si="612"/>
        <v/>
      </c>
      <c r="R3946" t="str">
        <f t="shared" si="613"/>
        <v/>
      </c>
      <c r="S3946" t="str">
        <f t="shared" si="614"/>
        <v/>
      </c>
      <c r="T3946" t="str">
        <f t="shared" si="615"/>
        <v/>
      </c>
      <c r="U3946" t="str">
        <f t="shared" si="616"/>
        <v/>
      </c>
      <c r="V3946" t="str">
        <f t="shared" si="617"/>
        <v/>
      </c>
      <c r="W3946" t="str">
        <f t="shared" si="618"/>
        <v/>
      </c>
      <c r="X3946">
        <f>IF($T3946="",N($X3945),IF(MATCH($T3946,$T$6:$T$10005,0)=ROW()-5,N($X3945)+1,N($X3945)))</f>
        <v>0</v>
      </c>
      <c r="Z3946" t="str">
        <f t="shared" si="619"/>
        <v/>
      </c>
      <c r="AA3946">
        <f>IF($V3946="",N($AA3945),IF(MATCH($V3946,$V$6:$V$10005,0)=ROW()-5,N($AA3945)+1,N($AA3945)))</f>
        <v>0</v>
      </c>
    </row>
    <row r="3947" spans="1:27" ht="21" customHeight="1" x14ac:dyDescent="0.95">
      <c r="A3947" s="56"/>
      <c r="B3947" s="57"/>
      <c r="C3947" s="57"/>
      <c r="D3947" s="57"/>
      <c r="E3947" s="56"/>
      <c r="F3947" s="57"/>
      <c r="G3947" s="57"/>
      <c r="H3947" s="56"/>
      <c r="I3947" s="56"/>
      <c r="J3947" s="58"/>
      <c r="K3947" s="58"/>
      <c r="L3947" s="13" t="str">
        <f t="shared" si="610"/>
        <v/>
      </c>
      <c r="M3947" s="13" t="str">
        <f t="shared" si="611"/>
        <v/>
      </c>
      <c r="Q3947" t="str">
        <f t="shared" si="612"/>
        <v/>
      </c>
      <c r="R3947" t="str">
        <f t="shared" si="613"/>
        <v/>
      </c>
      <c r="S3947" t="str">
        <f t="shared" si="614"/>
        <v/>
      </c>
      <c r="T3947" t="str">
        <f t="shared" si="615"/>
        <v/>
      </c>
      <c r="U3947" t="str">
        <f t="shared" si="616"/>
        <v/>
      </c>
      <c r="V3947" t="str">
        <f t="shared" si="617"/>
        <v/>
      </c>
      <c r="W3947" t="str">
        <f t="shared" si="618"/>
        <v/>
      </c>
      <c r="X3947">
        <f>IF($T3947="",N($X3946),IF(MATCH($T3947,$T$6:$T$10005,0)=ROW()-5,N($X3946)+1,N($X3946)))</f>
        <v>0</v>
      </c>
      <c r="Z3947" t="str">
        <f t="shared" si="619"/>
        <v/>
      </c>
      <c r="AA3947">
        <f>IF($V3947="",N($AA3946),IF(MATCH($V3947,$V$6:$V$10005,0)=ROW()-5,N($AA3946)+1,N($AA3946)))</f>
        <v>0</v>
      </c>
    </row>
    <row r="3948" spans="1:27" ht="21" customHeight="1" x14ac:dyDescent="0.95">
      <c r="A3948" s="56"/>
      <c r="B3948" s="57"/>
      <c r="C3948" s="57"/>
      <c r="D3948" s="57"/>
      <c r="E3948" s="56"/>
      <c r="F3948" s="57"/>
      <c r="G3948" s="57"/>
      <c r="H3948" s="56"/>
      <c r="I3948" s="56"/>
      <c r="J3948" s="58"/>
      <c r="K3948" s="58"/>
      <c r="L3948" s="13" t="str">
        <f t="shared" si="610"/>
        <v/>
      </c>
      <c r="M3948" s="13" t="str">
        <f t="shared" si="611"/>
        <v/>
      </c>
      <c r="Q3948" t="str">
        <f t="shared" si="612"/>
        <v/>
      </c>
      <c r="R3948" t="str">
        <f t="shared" si="613"/>
        <v/>
      </c>
      <c r="S3948" t="str">
        <f t="shared" si="614"/>
        <v/>
      </c>
      <c r="T3948" t="str">
        <f t="shared" si="615"/>
        <v/>
      </c>
      <c r="U3948" t="str">
        <f t="shared" si="616"/>
        <v/>
      </c>
      <c r="V3948" t="str">
        <f t="shared" si="617"/>
        <v/>
      </c>
      <c r="W3948" t="str">
        <f t="shared" si="618"/>
        <v/>
      </c>
      <c r="X3948">
        <f>IF($T3948="",N($X3947),IF(MATCH($T3948,$T$6:$T$10005,0)=ROW()-5,N($X3947)+1,N($X3947)))</f>
        <v>0</v>
      </c>
      <c r="Z3948" t="str">
        <f t="shared" si="619"/>
        <v/>
      </c>
      <c r="AA3948">
        <f>IF($V3948="",N($AA3947),IF(MATCH($V3948,$V$6:$V$10005,0)=ROW()-5,N($AA3947)+1,N($AA3947)))</f>
        <v>0</v>
      </c>
    </row>
    <row r="3949" spans="1:27" ht="21" customHeight="1" x14ac:dyDescent="0.95">
      <c r="A3949" s="56"/>
      <c r="B3949" s="57"/>
      <c r="C3949" s="57"/>
      <c r="D3949" s="57"/>
      <c r="E3949" s="56"/>
      <c r="F3949" s="57"/>
      <c r="G3949" s="57"/>
      <c r="H3949" s="56"/>
      <c r="I3949" s="56"/>
      <c r="J3949" s="58"/>
      <c r="K3949" s="58"/>
      <c r="L3949" s="13" t="str">
        <f t="shared" si="610"/>
        <v/>
      </c>
      <c r="M3949" s="13" t="str">
        <f t="shared" si="611"/>
        <v/>
      </c>
      <c r="Q3949" t="str">
        <f t="shared" si="612"/>
        <v/>
      </c>
      <c r="R3949" t="str">
        <f t="shared" si="613"/>
        <v/>
      </c>
      <c r="S3949" t="str">
        <f t="shared" si="614"/>
        <v/>
      </c>
      <c r="T3949" t="str">
        <f t="shared" si="615"/>
        <v/>
      </c>
      <c r="U3949" t="str">
        <f t="shared" si="616"/>
        <v/>
      </c>
      <c r="V3949" t="str">
        <f t="shared" si="617"/>
        <v/>
      </c>
      <c r="W3949" t="str">
        <f t="shared" si="618"/>
        <v/>
      </c>
      <c r="X3949">
        <f>IF($T3949="",N($X3948),IF(MATCH($T3949,$T$6:$T$10005,0)=ROW()-5,N($X3948)+1,N($X3948)))</f>
        <v>0</v>
      </c>
      <c r="Z3949" t="str">
        <f t="shared" si="619"/>
        <v/>
      </c>
      <c r="AA3949">
        <f>IF($V3949="",N($AA3948),IF(MATCH($V3949,$V$6:$V$10005,0)=ROW()-5,N($AA3948)+1,N($AA3948)))</f>
        <v>0</v>
      </c>
    </row>
    <row r="3950" spans="1:27" ht="21" customHeight="1" x14ac:dyDescent="0.95">
      <c r="A3950" s="56"/>
      <c r="B3950" s="57"/>
      <c r="C3950" s="57"/>
      <c r="D3950" s="57"/>
      <c r="E3950" s="56"/>
      <c r="F3950" s="57"/>
      <c r="G3950" s="57"/>
      <c r="H3950" s="56"/>
      <c r="I3950" s="56"/>
      <c r="J3950" s="58"/>
      <c r="K3950" s="58"/>
      <c r="L3950" s="13" t="str">
        <f t="shared" si="610"/>
        <v/>
      </c>
      <c r="M3950" s="13" t="str">
        <f t="shared" si="611"/>
        <v/>
      </c>
      <c r="Q3950" t="str">
        <f t="shared" si="612"/>
        <v/>
      </c>
      <c r="R3950" t="str">
        <f t="shared" si="613"/>
        <v/>
      </c>
      <c r="S3950" t="str">
        <f t="shared" si="614"/>
        <v/>
      </c>
      <c r="T3950" t="str">
        <f t="shared" si="615"/>
        <v/>
      </c>
      <c r="U3950" t="str">
        <f t="shared" si="616"/>
        <v/>
      </c>
      <c r="V3950" t="str">
        <f t="shared" si="617"/>
        <v/>
      </c>
      <c r="W3950" t="str">
        <f t="shared" si="618"/>
        <v/>
      </c>
      <c r="X3950">
        <f>IF($T3950="",N($X3949),IF(MATCH($T3950,$T$6:$T$10005,0)=ROW()-5,N($X3949)+1,N($X3949)))</f>
        <v>0</v>
      </c>
      <c r="Z3950" t="str">
        <f t="shared" si="619"/>
        <v/>
      </c>
      <c r="AA3950">
        <f>IF($V3950="",N($AA3949),IF(MATCH($V3950,$V$6:$V$10005,0)=ROW()-5,N($AA3949)+1,N($AA3949)))</f>
        <v>0</v>
      </c>
    </row>
    <row r="3951" spans="1:27" ht="21" customHeight="1" x14ac:dyDescent="0.95">
      <c r="A3951" s="56"/>
      <c r="B3951" s="57"/>
      <c r="C3951" s="57"/>
      <c r="D3951" s="57"/>
      <c r="E3951" s="56"/>
      <c r="F3951" s="57"/>
      <c r="G3951" s="57"/>
      <c r="H3951" s="56"/>
      <c r="I3951" s="56"/>
      <c r="J3951" s="58"/>
      <c r="K3951" s="58"/>
      <c r="L3951" s="13" t="str">
        <f t="shared" si="610"/>
        <v/>
      </c>
      <c r="M3951" s="13" t="str">
        <f t="shared" si="611"/>
        <v/>
      </c>
      <c r="Q3951" t="str">
        <f t="shared" si="612"/>
        <v/>
      </c>
      <c r="R3951" t="str">
        <f t="shared" si="613"/>
        <v/>
      </c>
      <c r="S3951" t="str">
        <f t="shared" si="614"/>
        <v/>
      </c>
      <c r="T3951" t="str">
        <f t="shared" si="615"/>
        <v/>
      </c>
      <c r="U3951" t="str">
        <f t="shared" si="616"/>
        <v/>
      </c>
      <c r="V3951" t="str">
        <f t="shared" si="617"/>
        <v/>
      </c>
      <c r="W3951" t="str">
        <f t="shared" si="618"/>
        <v/>
      </c>
      <c r="X3951">
        <f>IF($T3951="",N($X3950),IF(MATCH($T3951,$T$6:$T$10005,0)=ROW()-5,N($X3950)+1,N($X3950)))</f>
        <v>0</v>
      </c>
      <c r="Z3951" t="str">
        <f t="shared" si="619"/>
        <v/>
      </c>
      <c r="AA3951">
        <f>IF($V3951="",N($AA3950),IF(MATCH($V3951,$V$6:$V$10005,0)=ROW()-5,N($AA3950)+1,N($AA3950)))</f>
        <v>0</v>
      </c>
    </row>
    <row r="3952" spans="1:27" ht="21" customHeight="1" x14ac:dyDescent="0.95">
      <c r="A3952" s="56"/>
      <c r="B3952" s="57"/>
      <c r="C3952" s="57"/>
      <c r="D3952" s="57"/>
      <c r="E3952" s="56"/>
      <c r="F3952" s="57"/>
      <c r="G3952" s="57"/>
      <c r="H3952" s="56"/>
      <c r="I3952" s="56"/>
      <c r="J3952" s="58"/>
      <c r="K3952" s="58"/>
      <c r="L3952" s="13" t="str">
        <f t="shared" si="610"/>
        <v/>
      </c>
      <c r="M3952" s="13" t="str">
        <f t="shared" si="611"/>
        <v/>
      </c>
      <c r="Q3952" t="str">
        <f t="shared" si="612"/>
        <v/>
      </c>
      <c r="R3952" t="str">
        <f t="shared" si="613"/>
        <v/>
      </c>
      <c r="S3952" t="str">
        <f t="shared" si="614"/>
        <v/>
      </c>
      <c r="T3952" t="str">
        <f t="shared" si="615"/>
        <v/>
      </c>
      <c r="U3952" t="str">
        <f t="shared" si="616"/>
        <v/>
      </c>
      <c r="V3952" t="str">
        <f t="shared" si="617"/>
        <v/>
      </c>
      <c r="W3952" t="str">
        <f t="shared" si="618"/>
        <v/>
      </c>
      <c r="X3952">
        <f>IF($T3952="",N($X3951),IF(MATCH($T3952,$T$6:$T$10005,0)=ROW()-5,N($X3951)+1,N($X3951)))</f>
        <v>0</v>
      </c>
      <c r="Z3952" t="str">
        <f t="shared" si="619"/>
        <v/>
      </c>
      <c r="AA3952">
        <f>IF($V3952="",N($AA3951),IF(MATCH($V3952,$V$6:$V$10005,0)=ROW()-5,N($AA3951)+1,N($AA3951)))</f>
        <v>0</v>
      </c>
    </row>
    <row r="3953" spans="1:27" ht="21" customHeight="1" x14ac:dyDescent="0.95">
      <c r="A3953" s="56"/>
      <c r="B3953" s="57"/>
      <c r="C3953" s="57"/>
      <c r="D3953" s="57"/>
      <c r="E3953" s="56"/>
      <c r="F3953" s="57"/>
      <c r="G3953" s="57"/>
      <c r="H3953" s="56"/>
      <c r="I3953" s="56"/>
      <c r="J3953" s="58"/>
      <c r="K3953" s="58"/>
      <c r="L3953" s="13" t="str">
        <f t="shared" si="610"/>
        <v/>
      </c>
      <c r="M3953" s="13" t="str">
        <f t="shared" si="611"/>
        <v/>
      </c>
      <c r="Q3953" t="str">
        <f t="shared" si="612"/>
        <v/>
      </c>
      <c r="R3953" t="str">
        <f t="shared" si="613"/>
        <v/>
      </c>
      <c r="S3953" t="str">
        <f t="shared" si="614"/>
        <v/>
      </c>
      <c r="T3953" t="str">
        <f t="shared" si="615"/>
        <v/>
      </c>
      <c r="U3953" t="str">
        <f t="shared" si="616"/>
        <v/>
      </c>
      <c r="V3953" t="str">
        <f t="shared" si="617"/>
        <v/>
      </c>
      <c r="W3953" t="str">
        <f t="shared" si="618"/>
        <v/>
      </c>
      <c r="X3953">
        <f>IF($T3953="",N($X3952),IF(MATCH($T3953,$T$6:$T$10005,0)=ROW()-5,N($X3952)+1,N($X3952)))</f>
        <v>0</v>
      </c>
      <c r="Z3953" t="str">
        <f t="shared" si="619"/>
        <v/>
      </c>
      <c r="AA3953">
        <f>IF($V3953="",N($AA3952),IF(MATCH($V3953,$V$6:$V$10005,0)=ROW()-5,N($AA3952)+1,N($AA3952)))</f>
        <v>0</v>
      </c>
    </row>
    <row r="3954" spans="1:27" ht="21" customHeight="1" x14ac:dyDescent="0.95">
      <c r="A3954" s="56"/>
      <c r="B3954" s="57"/>
      <c r="C3954" s="57"/>
      <c r="D3954" s="57"/>
      <c r="E3954" s="56"/>
      <c r="F3954" s="57"/>
      <c r="G3954" s="57"/>
      <c r="H3954" s="56"/>
      <c r="I3954" s="56"/>
      <c r="J3954" s="58"/>
      <c r="K3954" s="58"/>
      <c r="L3954" s="13" t="str">
        <f t="shared" si="610"/>
        <v/>
      </c>
      <c r="M3954" s="13" t="str">
        <f t="shared" si="611"/>
        <v/>
      </c>
      <c r="Q3954" t="str">
        <f t="shared" si="612"/>
        <v/>
      </c>
      <c r="R3954" t="str">
        <f t="shared" si="613"/>
        <v/>
      </c>
      <c r="S3954" t="str">
        <f t="shared" si="614"/>
        <v/>
      </c>
      <c r="T3954" t="str">
        <f t="shared" si="615"/>
        <v/>
      </c>
      <c r="U3954" t="str">
        <f t="shared" si="616"/>
        <v/>
      </c>
      <c r="V3954" t="str">
        <f t="shared" si="617"/>
        <v/>
      </c>
      <c r="W3954" t="str">
        <f t="shared" si="618"/>
        <v/>
      </c>
      <c r="X3954">
        <f>IF($T3954="",N($X3953),IF(MATCH($T3954,$T$6:$T$10005,0)=ROW()-5,N($X3953)+1,N($X3953)))</f>
        <v>0</v>
      </c>
      <c r="Z3954" t="str">
        <f t="shared" si="619"/>
        <v/>
      </c>
      <c r="AA3954">
        <f>IF($V3954="",N($AA3953),IF(MATCH($V3954,$V$6:$V$10005,0)=ROW()-5,N($AA3953)+1,N($AA3953)))</f>
        <v>0</v>
      </c>
    </row>
    <row r="3955" spans="1:27" ht="21" customHeight="1" x14ac:dyDescent="0.95">
      <c r="A3955" s="56"/>
      <c r="B3955" s="57"/>
      <c r="C3955" s="57"/>
      <c r="D3955" s="57"/>
      <c r="E3955" s="56"/>
      <c r="F3955" s="57"/>
      <c r="G3955" s="57"/>
      <c r="H3955" s="56"/>
      <c r="I3955" s="56"/>
      <c r="J3955" s="58"/>
      <c r="K3955" s="58"/>
      <c r="L3955" s="13" t="str">
        <f t="shared" si="610"/>
        <v/>
      </c>
      <c r="M3955" s="13" t="str">
        <f t="shared" si="611"/>
        <v/>
      </c>
      <c r="Q3955" t="str">
        <f t="shared" si="612"/>
        <v/>
      </c>
      <c r="R3955" t="str">
        <f t="shared" si="613"/>
        <v/>
      </c>
      <c r="S3955" t="str">
        <f t="shared" si="614"/>
        <v/>
      </c>
      <c r="T3955" t="str">
        <f t="shared" si="615"/>
        <v/>
      </c>
      <c r="U3955" t="str">
        <f t="shared" si="616"/>
        <v/>
      </c>
      <c r="V3955" t="str">
        <f t="shared" si="617"/>
        <v/>
      </c>
      <c r="W3955" t="str">
        <f t="shared" si="618"/>
        <v/>
      </c>
      <c r="X3955">
        <f>IF($T3955="",N($X3954),IF(MATCH($T3955,$T$6:$T$10005,0)=ROW()-5,N($X3954)+1,N($X3954)))</f>
        <v>0</v>
      </c>
      <c r="Z3955" t="str">
        <f t="shared" si="619"/>
        <v/>
      </c>
      <c r="AA3955">
        <f>IF($V3955="",N($AA3954),IF(MATCH($V3955,$V$6:$V$10005,0)=ROW()-5,N($AA3954)+1,N($AA3954)))</f>
        <v>0</v>
      </c>
    </row>
    <row r="3956" spans="1:27" ht="21" customHeight="1" x14ac:dyDescent="0.95">
      <c r="A3956" s="56"/>
      <c r="B3956" s="57"/>
      <c r="C3956" s="57"/>
      <c r="D3956" s="57"/>
      <c r="E3956" s="56"/>
      <c r="F3956" s="57"/>
      <c r="G3956" s="57"/>
      <c r="H3956" s="56"/>
      <c r="I3956" s="56"/>
      <c r="J3956" s="58"/>
      <c r="K3956" s="58"/>
      <c r="L3956" s="13" t="str">
        <f t="shared" si="610"/>
        <v/>
      </c>
      <c r="M3956" s="13" t="str">
        <f t="shared" si="611"/>
        <v/>
      </c>
      <c r="Q3956" t="str">
        <f t="shared" si="612"/>
        <v/>
      </c>
      <c r="R3956" t="str">
        <f t="shared" si="613"/>
        <v/>
      </c>
      <c r="S3956" t="str">
        <f t="shared" si="614"/>
        <v/>
      </c>
      <c r="T3956" t="str">
        <f t="shared" si="615"/>
        <v/>
      </c>
      <c r="U3956" t="str">
        <f t="shared" si="616"/>
        <v/>
      </c>
      <c r="V3956" t="str">
        <f t="shared" si="617"/>
        <v/>
      </c>
      <c r="W3956" t="str">
        <f t="shared" si="618"/>
        <v/>
      </c>
      <c r="X3956">
        <f>IF($T3956="",N($X3955),IF(MATCH($T3956,$T$6:$T$10005,0)=ROW()-5,N($X3955)+1,N($X3955)))</f>
        <v>0</v>
      </c>
      <c r="Z3956" t="str">
        <f t="shared" si="619"/>
        <v/>
      </c>
      <c r="AA3956">
        <f>IF($V3956="",N($AA3955),IF(MATCH($V3956,$V$6:$V$10005,0)=ROW()-5,N($AA3955)+1,N($AA3955)))</f>
        <v>0</v>
      </c>
    </row>
    <row r="3957" spans="1:27" ht="21" customHeight="1" x14ac:dyDescent="0.95">
      <c r="A3957" s="56"/>
      <c r="B3957" s="57"/>
      <c r="C3957" s="57"/>
      <c r="D3957" s="57"/>
      <c r="E3957" s="56"/>
      <c r="F3957" s="57"/>
      <c r="G3957" s="57"/>
      <c r="H3957" s="56"/>
      <c r="I3957" s="56"/>
      <c r="J3957" s="58"/>
      <c r="K3957" s="58"/>
      <c r="L3957" s="13" t="str">
        <f t="shared" si="610"/>
        <v/>
      </c>
      <c r="M3957" s="13" t="str">
        <f t="shared" si="611"/>
        <v/>
      </c>
      <c r="Q3957" t="str">
        <f t="shared" si="612"/>
        <v/>
      </c>
      <c r="R3957" t="str">
        <f t="shared" si="613"/>
        <v/>
      </c>
      <c r="S3957" t="str">
        <f t="shared" si="614"/>
        <v/>
      </c>
      <c r="T3957" t="str">
        <f t="shared" si="615"/>
        <v/>
      </c>
      <c r="U3957" t="str">
        <f t="shared" si="616"/>
        <v/>
      </c>
      <c r="V3957" t="str">
        <f t="shared" si="617"/>
        <v/>
      </c>
      <c r="W3957" t="str">
        <f t="shared" si="618"/>
        <v/>
      </c>
      <c r="X3957">
        <f>IF($T3957="",N($X3956),IF(MATCH($T3957,$T$6:$T$10005,0)=ROW()-5,N($X3956)+1,N($X3956)))</f>
        <v>0</v>
      </c>
      <c r="Z3957" t="str">
        <f t="shared" si="619"/>
        <v/>
      </c>
      <c r="AA3957">
        <f>IF($V3957="",N($AA3956),IF(MATCH($V3957,$V$6:$V$10005,0)=ROW()-5,N($AA3956)+1,N($AA3956)))</f>
        <v>0</v>
      </c>
    </row>
    <row r="3958" spans="1:27" ht="21" customHeight="1" x14ac:dyDescent="0.95">
      <c r="A3958" s="56"/>
      <c r="B3958" s="57"/>
      <c r="C3958" s="57"/>
      <c r="D3958" s="57"/>
      <c r="E3958" s="56"/>
      <c r="F3958" s="57"/>
      <c r="G3958" s="57"/>
      <c r="H3958" s="56"/>
      <c r="I3958" s="56"/>
      <c r="J3958" s="58"/>
      <c r="K3958" s="58"/>
      <c r="L3958" s="13" t="str">
        <f t="shared" si="610"/>
        <v/>
      </c>
      <c r="M3958" s="13" t="str">
        <f t="shared" si="611"/>
        <v/>
      </c>
      <c r="Q3958" t="str">
        <f t="shared" si="612"/>
        <v/>
      </c>
      <c r="R3958" t="str">
        <f t="shared" si="613"/>
        <v/>
      </c>
      <c r="S3958" t="str">
        <f t="shared" si="614"/>
        <v/>
      </c>
      <c r="T3958" t="str">
        <f t="shared" si="615"/>
        <v/>
      </c>
      <c r="U3958" t="str">
        <f t="shared" si="616"/>
        <v/>
      </c>
      <c r="V3958" t="str">
        <f t="shared" si="617"/>
        <v/>
      </c>
      <c r="W3958" t="str">
        <f t="shared" si="618"/>
        <v/>
      </c>
      <c r="X3958">
        <f>IF($T3958="",N($X3957),IF(MATCH($T3958,$T$6:$T$10005,0)=ROW()-5,N($X3957)+1,N($X3957)))</f>
        <v>0</v>
      </c>
      <c r="Z3958" t="str">
        <f t="shared" si="619"/>
        <v/>
      </c>
      <c r="AA3958">
        <f>IF($V3958="",N($AA3957),IF(MATCH($V3958,$V$6:$V$10005,0)=ROW()-5,N($AA3957)+1,N($AA3957)))</f>
        <v>0</v>
      </c>
    </row>
    <row r="3959" spans="1:27" ht="21" customHeight="1" x14ac:dyDescent="0.95">
      <c r="A3959" s="56"/>
      <c r="B3959" s="57"/>
      <c r="C3959" s="57"/>
      <c r="D3959" s="57"/>
      <c r="E3959" s="56"/>
      <c r="F3959" s="57"/>
      <c r="G3959" s="57"/>
      <c r="H3959" s="56"/>
      <c r="I3959" s="56"/>
      <c r="J3959" s="58"/>
      <c r="K3959" s="58"/>
      <c r="L3959" s="13" t="str">
        <f t="shared" si="610"/>
        <v/>
      </c>
      <c r="M3959" s="13" t="str">
        <f t="shared" si="611"/>
        <v/>
      </c>
      <c r="Q3959" t="str">
        <f t="shared" si="612"/>
        <v/>
      </c>
      <c r="R3959" t="str">
        <f t="shared" si="613"/>
        <v/>
      </c>
      <c r="S3959" t="str">
        <f t="shared" si="614"/>
        <v/>
      </c>
      <c r="T3959" t="str">
        <f t="shared" si="615"/>
        <v/>
      </c>
      <c r="U3959" t="str">
        <f t="shared" si="616"/>
        <v/>
      </c>
      <c r="V3959" t="str">
        <f t="shared" si="617"/>
        <v/>
      </c>
      <c r="W3959" t="str">
        <f t="shared" si="618"/>
        <v/>
      </c>
      <c r="X3959">
        <f>IF($T3959="",N($X3958),IF(MATCH($T3959,$T$6:$T$10005,0)=ROW()-5,N($X3958)+1,N($X3958)))</f>
        <v>0</v>
      </c>
      <c r="Z3959" t="str">
        <f t="shared" si="619"/>
        <v/>
      </c>
      <c r="AA3959">
        <f>IF($V3959="",N($AA3958),IF(MATCH($V3959,$V$6:$V$10005,0)=ROW()-5,N($AA3958)+1,N($AA3958)))</f>
        <v>0</v>
      </c>
    </row>
    <row r="3960" spans="1:27" ht="21" customHeight="1" x14ac:dyDescent="0.95">
      <c r="A3960" s="56"/>
      <c r="B3960" s="57"/>
      <c r="C3960" s="57"/>
      <c r="D3960" s="57"/>
      <c r="E3960" s="56"/>
      <c r="F3960" s="57"/>
      <c r="G3960" s="57"/>
      <c r="H3960" s="56"/>
      <c r="I3960" s="56"/>
      <c r="J3960" s="58"/>
      <c r="K3960" s="58"/>
      <c r="L3960" s="13" t="str">
        <f t="shared" si="610"/>
        <v/>
      </c>
      <c r="M3960" s="13" t="str">
        <f t="shared" si="611"/>
        <v/>
      </c>
      <c r="Q3960" t="str">
        <f t="shared" si="612"/>
        <v/>
      </c>
      <c r="R3960" t="str">
        <f t="shared" si="613"/>
        <v/>
      </c>
      <c r="S3960" t="str">
        <f t="shared" si="614"/>
        <v/>
      </c>
      <c r="T3960" t="str">
        <f t="shared" si="615"/>
        <v/>
      </c>
      <c r="U3960" t="str">
        <f t="shared" si="616"/>
        <v/>
      </c>
      <c r="V3960" t="str">
        <f t="shared" si="617"/>
        <v/>
      </c>
      <c r="W3960" t="str">
        <f t="shared" si="618"/>
        <v/>
      </c>
      <c r="X3960">
        <f>IF($T3960="",N($X3959),IF(MATCH($T3960,$T$6:$T$10005,0)=ROW()-5,N($X3959)+1,N($X3959)))</f>
        <v>0</v>
      </c>
      <c r="Z3960" t="str">
        <f t="shared" si="619"/>
        <v/>
      </c>
      <c r="AA3960">
        <f>IF($V3960="",N($AA3959),IF(MATCH($V3960,$V$6:$V$10005,0)=ROW()-5,N($AA3959)+1,N($AA3959)))</f>
        <v>0</v>
      </c>
    </row>
    <row r="3961" spans="1:27" ht="21" customHeight="1" x14ac:dyDescent="0.95">
      <c r="A3961" s="56"/>
      <c r="B3961" s="57"/>
      <c r="C3961" s="57"/>
      <c r="D3961" s="57"/>
      <c r="E3961" s="56"/>
      <c r="F3961" s="57"/>
      <c r="G3961" s="57"/>
      <c r="H3961" s="56"/>
      <c r="I3961" s="56"/>
      <c r="J3961" s="58"/>
      <c r="K3961" s="58"/>
      <c r="L3961" s="13" t="str">
        <f t="shared" si="610"/>
        <v/>
      </c>
      <c r="M3961" s="13" t="str">
        <f t="shared" si="611"/>
        <v/>
      </c>
      <c r="Q3961" t="str">
        <f t="shared" si="612"/>
        <v/>
      </c>
      <c r="R3961" t="str">
        <f t="shared" si="613"/>
        <v/>
      </c>
      <c r="S3961" t="str">
        <f t="shared" si="614"/>
        <v/>
      </c>
      <c r="T3961" t="str">
        <f t="shared" si="615"/>
        <v/>
      </c>
      <c r="U3961" t="str">
        <f t="shared" si="616"/>
        <v/>
      </c>
      <c r="V3961" t="str">
        <f t="shared" si="617"/>
        <v/>
      </c>
      <c r="W3961" t="str">
        <f t="shared" si="618"/>
        <v/>
      </c>
      <c r="X3961">
        <f>IF($T3961="",N($X3960),IF(MATCH($T3961,$T$6:$T$10005,0)=ROW()-5,N($X3960)+1,N($X3960)))</f>
        <v>0</v>
      </c>
      <c r="Z3961" t="str">
        <f t="shared" si="619"/>
        <v/>
      </c>
      <c r="AA3961">
        <f>IF($V3961="",N($AA3960),IF(MATCH($V3961,$V$6:$V$10005,0)=ROW()-5,N($AA3960)+1,N($AA3960)))</f>
        <v>0</v>
      </c>
    </row>
    <row r="3962" spans="1:27" ht="21" customHeight="1" x14ac:dyDescent="0.95">
      <c r="A3962" s="56"/>
      <c r="B3962" s="57"/>
      <c r="C3962" s="57"/>
      <c r="D3962" s="57"/>
      <c r="E3962" s="56"/>
      <c r="F3962" s="57"/>
      <c r="G3962" s="57"/>
      <c r="H3962" s="56"/>
      <c r="I3962" s="56"/>
      <c r="J3962" s="58"/>
      <c r="K3962" s="58"/>
      <c r="L3962" s="13" t="str">
        <f t="shared" si="610"/>
        <v/>
      </c>
      <c r="M3962" s="13" t="str">
        <f t="shared" si="611"/>
        <v/>
      </c>
      <c r="Q3962" t="str">
        <f t="shared" si="612"/>
        <v/>
      </c>
      <c r="R3962" t="str">
        <f t="shared" si="613"/>
        <v/>
      </c>
      <c r="S3962" t="str">
        <f t="shared" si="614"/>
        <v/>
      </c>
      <c r="T3962" t="str">
        <f t="shared" si="615"/>
        <v/>
      </c>
      <c r="U3962" t="str">
        <f t="shared" si="616"/>
        <v/>
      </c>
      <c r="V3962" t="str">
        <f t="shared" si="617"/>
        <v/>
      </c>
      <c r="W3962" t="str">
        <f t="shared" si="618"/>
        <v/>
      </c>
      <c r="X3962">
        <f>IF($T3962="",N($X3961),IF(MATCH($T3962,$T$6:$T$10005,0)=ROW()-5,N($X3961)+1,N($X3961)))</f>
        <v>0</v>
      </c>
      <c r="Z3962" t="str">
        <f t="shared" si="619"/>
        <v/>
      </c>
      <c r="AA3962">
        <f>IF($V3962="",N($AA3961),IF(MATCH($V3962,$V$6:$V$10005,0)=ROW()-5,N($AA3961)+1,N($AA3961)))</f>
        <v>0</v>
      </c>
    </row>
    <row r="3963" spans="1:27" ht="21" customHeight="1" x14ac:dyDescent="0.95">
      <c r="A3963" s="56"/>
      <c r="B3963" s="57"/>
      <c r="C3963" s="57"/>
      <c r="D3963" s="57"/>
      <c r="E3963" s="56"/>
      <c r="F3963" s="57"/>
      <c r="G3963" s="57"/>
      <c r="H3963" s="56"/>
      <c r="I3963" s="56"/>
      <c r="J3963" s="58"/>
      <c r="K3963" s="58"/>
      <c r="L3963" s="13" t="str">
        <f t="shared" si="610"/>
        <v/>
      </c>
      <c r="M3963" s="13" t="str">
        <f t="shared" si="611"/>
        <v/>
      </c>
      <c r="Q3963" t="str">
        <f t="shared" si="612"/>
        <v/>
      </c>
      <c r="R3963" t="str">
        <f t="shared" si="613"/>
        <v/>
      </c>
      <c r="S3963" t="str">
        <f t="shared" si="614"/>
        <v/>
      </c>
      <c r="T3963" t="str">
        <f t="shared" si="615"/>
        <v/>
      </c>
      <c r="U3963" t="str">
        <f t="shared" si="616"/>
        <v/>
      </c>
      <c r="V3963" t="str">
        <f t="shared" si="617"/>
        <v/>
      </c>
      <c r="W3963" t="str">
        <f t="shared" si="618"/>
        <v/>
      </c>
      <c r="X3963">
        <f>IF($T3963="",N($X3962),IF(MATCH($T3963,$T$6:$T$10005,0)=ROW()-5,N($X3962)+1,N($X3962)))</f>
        <v>0</v>
      </c>
      <c r="Z3963" t="str">
        <f t="shared" si="619"/>
        <v/>
      </c>
      <c r="AA3963">
        <f>IF($V3963="",N($AA3962),IF(MATCH($V3963,$V$6:$V$10005,0)=ROW()-5,N($AA3962)+1,N($AA3962)))</f>
        <v>0</v>
      </c>
    </row>
    <row r="3964" spans="1:27" ht="21" customHeight="1" x14ac:dyDescent="0.95">
      <c r="A3964" s="56"/>
      <c r="B3964" s="57"/>
      <c r="C3964" s="57"/>
      <c r="D3964" s="57"/>
      <c r="E3964" s="56"/>
      <c r="F3964" s="57"/>
      <c r="G3964" s="57"/>
      <c r="H3964" s="56"/>
      <c r="I3964" s="56"/>
      <c r="J3964" s="58"/>
      <c r="K3964" s="58"/>
      <c r="L3964" s="13" t="str">
        <f t="shared" si="610"/>
        <v/>
      </c>
      <c r="M3964" s="13" t="str">
        <f t="shared" si="611"/>
        <v/>
      </c>
      <c r="Q3964" t="str">
        <f t="shared" si="612"/>
        <v/>
      </c>
      <c r="R3964" t="str">
        <f t="shared" si="613"/>
        <v/>
      </c>
      <c r="S3964" t="str">
        <f t="shared" si="614"/>
        <v/>
      </c>
      <c r="T3964" t="str">
        <f t="shared" si="615"/>
        <v/>
      </c>
      <c r="U3964" t="str">
        <f t="shared" si="616"/>
        <v/>
      </c>
      <c r="V3964" t="str">
        <f t="shared" si="617"/>
        <v/>
      </c>
      <c r="W3964" t="str">
        <f t="shared" si="618"/>
        <v/>
      </c>
      <c r="X3964">
        <f>IF($T3964="",N($X3963),IF(MATCH($T3964,$T$6:$T$10005,0)=ROW()-5,N($X3963)+1,N($X3963)))</f>
        <v>0</v>
      </c>
      <c r="Z3964" t="str">
        <f t="shared" si="619"/>
        <v/>
      </c>
      <c r="AA3964">
        <f>IF($V3964="",N($AA3963),IF(MATCH($V3964,$V$6:$V$10005,0)=ROW()-5,N($AA3963)+1,N($AA3963)))</f>
        <v>0</v>
      </c>
    </row>
    <row r="3965" spans="1:27" ht="21" customHeight="1" x14ac:dyDescent="0.95">
      <c r="A3965" s="56"/>
      <c r="B3965" s="57"/>
      <c r="C3965" s="57"/>
      <c r="D3965" s="57"/>
      <c r="E3965" s="56"/>
      <c r="F3965" s="57"/>
      <c r="G3965" s="57"/>
      <c r="H3965" s="56"/>
      <c r="I3965" s="56"/>
      <c r="J3965" s="58"/>
      <c r="K3965" s="58"/>
      <c r="L3965" s="13" t="str">
        <f t="shared" si="610"/>
        <v/>
      </c>
      <c r="M3965" s="13" t="str">
        <f t="shared" si="611"/>
        <v/>
      </c>
      <c r="Q3965" t="str">
        <f t="shared" si="612"/>
        <v/>
      </c>
      <c r="R3965" t="str">
        <f t="shared" si="613"/>
        <v/>
      </c>
      <c r="S3965" t="str">
        <f t="shared" si="614"/>
        <v/>
      </c>
      <c r="T3965" t="str">
        <f t="shared" si="615"/>
        <v/>
      </c>
      <c r="U3965" t="str">
        <f t="shared" si="616"/>
        <v/>
      </c>
      <c r="V3965" t="str">
        <f t="shared" si="617"/>
        <v/>
      </c>
      <c r="W3965" t="str">
        <f t="shared" si="618"/>
        <v/>
      </c>
      <c r="X3965">
        <f>IF($T3965="",N($X3964),IF(MATCH($T3965,$T$6:$T$10005,0)=ROW()-5,N($X3964)+1,N($X3964)))</f>
        <v>0</v>
      </c>
      <c r="Z3965" t="str">
        <f t="shared" si="619"/>
        <v/>
      </c>
      <c r="AA3965">
        <f>IF($V3965="",N($AA3964),IF(MATCH($V3965,$V$6:$V$10005,0)=ROW()-5,N($AA3964)+1,N($AA3964)))</f>
        <v>0</v>
      </c>
    </row>
    <row r="3966" spans="1:27" ht="21" customHeight="1" x14ac:dyDescent="0.95">
      <c r="A3966" s="56"/>
      <c r="B3966" s="57"/>
      <c r="C3966" s="57"/>
      <c r="D3966" s="57"/>
      <c r="E3966" s="56"/>
      <c r="F3966" s="57"/>
      <c r="G3966" s="57"/>
      <c r="H3966" s="56"/>
      <c r="I3966" s="56"/>
      <c r="J3966" s="58"/>
      <c r="K3966" s="58"/>
      <c r="L3966" s="13" t="str">
        <f t="shared" si="610"/>
        <v/>
      </c>
      <c r="M3966" s="13" t="str">
        <f t="shared" si="611"/>
        <v/>
      </c>
      <c r="Q3966" t="str">
        <f t="shared" si="612"/>
        <v/>
      </c>
      <c r="R3966" t="str">
        <f t="shared" si="613"/>
        <v/>
      </c>
      <c r="S3966" t="str">
        <f t="shared" si="614"/>
        <v/>
      </c>
      <c r="T3966" t="str">
        <f t="shared" si="615"/>
        <v/>
      </c>
      <c r="U3966" t="str">
        <f t="shared" si="616"/>
        <v/>
      </c>
      <c r="V3966" t="str">
        <f t="shared" si="617"/>
        <v/>
      </c>
      <c r="W3966" t="str">
        <f t="shared" si="618"/>
        <v/>
      </c>
      <c r="X3966">
        <f>IF($T3966="",N($X3965),IF(MATCH($T3966,$T$6:$T$10005,0)=ROW()-5,N($X3965)+1,N($X3965)))</f>
        <v>0</v>
      </c>
      <c r="Z3966" t="str">
        <f t="shared" si="619"/>
        <v/>
      </c>
      <c r="AA3966">
        <f>IF($V3966="",N($AA3965),IF(MATCH($V3966,$V$6:$V$10005,0)=ROW()-5,N($AA3965)+1,N($AA3965)))</f>
        <v>0</v>
      </c>
    </row>
    <row r="3967" spans="1:27" ht="21" customHeight="1" x14ac:dyDescent="0.95">
      <c r="A3967" s="56"/>
      <c r="B3967" s="57"/>
      <c r="C3967" s="57"/>
      <c r="D3967" s="57"/>
      <c r="E3967" s="56"/>
      <c r="F3967" s="57"/>
      <c r="G3967" s="57"/>
      <c r="H3967" s="56"/>
      <c r="I3967" s="56"/>
      <c r="J3967" s="58"/>
      <c r="K3967" s="58"/>
      <c r="L3967" s="13" t="str">
        <f t="shared" si="610"/>
        <v/>
      </c>
      <c r="M3967" s="13" t="str">
        <f t="shared" si="611"/>
        <v/>
      </c>
      <c r="Q3967" t="str">
        <f t="shared" si="612"/>
        <v/>
      </c>
      <c r="R3967" t="str">
        <f t="shared" si="613"/>
        <v/>
      </c>
      <c r="S3967" t="str">
        <f t="shared" si="614"/>
        <v/>
      </c>
      <c r="T3967" t="str">
        <f t="shared" si="615"/>
        <v/>
      </c>
      <c r="U3967" t="str">
        <f t="shared" si="616"/>
        <v/>
      </c>
      <c r="V3967" t="str">
        <f t="shared" si="617"/>
        <v/>
      </c>
      <c r="W3967" t="str">
        <f t="shared" si="618"/>
        <v/>
      </c>
      <c r="X3967">
        <f>IF($T3967="",N($X3966),IF(MATCH($T3967,$T$6:$T$10005,0)=ROW()-5,N($X3966)+1,N($X3966)))</f>
        <v>0</v>
      </c>
      <c r="Z3967" t="str">
        <f t="shared" si="619"/>
        <v/>
      </c>
      <c r="AA3967">
        <f>IF($V3967="",N($AA3966),IF(MATCH($V3967,$V$6:$V$10005,0)=ROW()-5,N($AA3966)+1,N($AA3966)))</f>
        <v>0</v>
      </c>
    </row>
    <row r="3968" spans="1:27" ht="21" customHeight="1" x14ac:dyDescent="0.95">
      <c r="A3968" s="56"/>
      <c r="B3968" s="57"/>
      <c r="C3968" s="57"/>
      <c r="D3968" s="57"/>
      <c r="E3968" s="56"/>
      <c r="F3968" s="57"/>
      <c r="G3968" s="57"/>
      <c r="H3968" s="56"/>
      <c r="I3968" s="56"/>
      <c r="J3968" s="58"/>
      <c r="K3968" s="58"/>
      <c r="L3968" s="13" t="str">
        <f t="shared" si="610"/>
        <v/>
      </c>
      <c r="M3968" s="13" t="str">
        <f t="shared" si="611"/>
        <v/>
      </c>
      <c r="Q3968" t="str">
        <f t="shared" si="612"/>
        <v/>
      </c>
      <c r="R3968" t="str">
        <f t="shared" si="613"/>
        <v/>
      </c>
      <c r="S3968" t="str">
        <f t="shared" si="614"/>
        <v/>
      </c>
      <c r="T3968" t="str">
        <f t="shared" si="615"/>
        <v/>
      </c>
      <c r="U3968" t="str">
        <f t="shared" si="616"/>
        <v/>
      </c>
      <c r="V3968" t="str">
        <f t="shared" si="617"/>
        <v/>
      </c>
      <c r="W3968" t="str">
        <f t="shared" si="618"/>
        <v/>
      </c>
      <c r="X3968">
        <f>IF($T3968="",N($X3967),IF(MATCH($T3968,$T$6:$T$10005,0)=ROW()-5,N($X3967)+1,N($X3967)))</f>
        <v>0</v>
      </c>
      <c r="Z3968" t="str">
        <f t="shared" si="619"/>
        <v/>
      </c>
      <c r="AA3968">
        <f>IF($V3968="",N($AA3967),IF(MATCH($V3968,$V$6:$V$10005,0)=ROW()-5,N($AA3967)+1,N($AA3967)))</f>
        <v>0</v>
      </c>
    </row>
    <row r="3969" spans="1:27" ht="21" customHeight="1" x14ac:dyDescent="0.95">
      <c r="A3969" s="56"/>
      <c r="B3969" s="57"/>
      <c r="C3969" s="57"/>
      <c r="D3969" s="57"/>
      <c r="E3969" s="56"/>
      <c r="F3969" s="57"/>
      <c r="G3969" s="57"/>
      <c r="H3969" s="56"/>
      <c r="I3969" s="56"/>
      <c r="J3969" s="58"/>
      <c r="K3969" s="58"/>
      <c r="L3969" s="13" t="str">
        <f t="shared" si="610"/>
        <v/>
      </c>
      <c r="M3969" s="13" t="str">
        <f t="shared" si="611"/>
        <v/>
      </c>
      <c r="Q3969" t="str">
        <f t="shared" si="612"/>
        <v/>
      </c>
      <c r="R3969" t="str">
        <f t="shared" si="613"/>
        <v/>
      </c>
      <c r="S3969" t="str">
        <f t="shared" si="614"/>
        <v/>
      </c>
      <c r="T3969" t="str">
        <f t="shared" si="615"/>
        <v/>
      </c>
      <c r="U3969" t="str">
        <f t="shared" si="616"/>
        <v/>
      </c>
      <c r="V3969" t="str">
        <f t="shared" si="617"/>
        <v/>
      </c>
      <c r="W3969" t="str">
        <f t="shared" si="618"/>
        <v/>
      </c>
      <c r="X3969">
        <f>IF($T3969="",N($X3968),IF(MATCH($T3969,$T$6:$T$10005,0)=ROW()-5,N($X3968)+1,N($X3968)))</f>
        <v>0</v>
      </c>
      <c r="Z3969" t="str">
        <f t="shared" si="619"/>
        <v/>
      </c>
      <c r="AA3969">
        <f>IF($V3969="",N($AA3968),IF(MATCH($V3969,$V$6:$V$10005,0)=ROW()-5,N($AA3968)+1,N($AA3968)))</f>
        <v>0</v>
      </c>
    </row>
    <row r="3970" spans="1:27" ht="21" customHeight="1" x14ac:dyDescent="0.95">
      <c r="A3970" s="56"/>
      <c r="B3970" s="57"/>
      <c r="C3970" s="57"/>
      <c r="D3970" s="57"/>
      <c r="E3970" s="56"/>
      <c r="F3970" s="57"/>
      <c r="G3970" s="57"/>
      <c r="H3970" s="56"/>
      <c r="I3970" s="56"/>
      <c r="J3970" s="58"/>
      <c r="K3970" s="58"/>
      <c r="L3970" s="13" t="str">
        <f t="shared" si="610"/>
        <v/>
      </c>
      <c r="M3970" s="13" t="str">
        <f t="shared" si="611"/>
        <v/>
      </c>
      <c r="Q3970" t="str">
        <f t="shared" si="612"/>
        <v/>
      </c>
      <c r="R3970" t="str">
        <f t="shared" si="613"/>
        <v/>
      </c>
      <c r="S3970" t="str">
        <f t="shared" si="614"/>
        <v/>
      </c>
      <c r="T3970" t="str">
        <f t="shared" si="615"/>
        <v/>
      </c>
      <c r="U3970" t="str">
        <f t="shared" si="616"/>
        <v/>
      </c>
      <c r="V3970" t="str">
        <f t="shared" si="617"/>
        <v/>
      </c>
      <c r="W3970" t="str">
        <f t="shared" si="618"/>
        <v/>
      </c>
      <c r="X3970">
        <f>IF($T3970="",N($X3969),IF(MATCH($T3970,$T$6:$T$10005,0)=ROW()-5,N($X3969)+1,N($X3969)))</f>
        <v>0</v>
      </c>
      <c r="Z3970" t="str">
        <f t="shared" si="619"/>
        <v/>
      </c>
      <c r="AA3970">
        <f>IF($V3970="",N($AA3969),IF(MATCH($V3970,$V$6:$V$10005,0)=ROW()-5,N($AA3969)+1,N($AA3969)))</f>
        <v>0</v>
      </c>
    </row>
    <row r="3971" spans="1:27" ht="21" customHeight="1" x14ac:dyDescent="0.95">
      <c r="A3971" s="56"/>
      <c r="B3971" s="57"/>
      <c r="C3971" s="57"/>
      <c r="D3971" s="57"/>
      <c r="E3971" s="56"/>
      <c r="F3971" s="57"/>
      <c r="G3971" s="57"/>
      <c r="H3971" s="56"/>
      <c r="I3971" s="56"/>
      <c r="J3971" s="58"/>
      <c r="K3971" s="58"/>
      <c r="L3971" s="13" t="str">
        <f t="shared" si="610"/>
        <v/>
      </c>
      <c r="M3971" s="13" t="str">
        <f t="shared" si="611"/>
        <v/>
      </c>
      <c r="Q3971" t="str">
        <f t="shared" si="612"/>
        <v/>
      </c>
      <c r="R3971" t="str">
        <f t="shared" si="613"/>
        <v/>
      </c>
      <c r="S3971" t="str">
        <f t="shared" si="614"/>
        <v/>
      </c>
      <c r="T3971" t="str">
        <f t="shared" si="615"/>
        <v/>
      </c>
      <c r="U3971" t="str">
        <f t="shared" si="616"/>
        <v/>
      </c>
      <c r="V3971" t="str">
        <f t="shared" si="617"/>
        <v/>
      </c>
      <c r="W3971" t="str">
        <f t="shared" si="618"/>
        <v/>
      </c>
      <c r="X3971">
        <f>IF($T3971="",N($X3970),IF(MATCH($T3971,$T$6:$T$10005,0)=ROW()-5,N($X3970)+1,N($X3970)))</f>
        <v>0</v>
      </c>
      <c r="Z3971" t="str">
        <f t="shared" si="619"/>
        <v/>
      </c>
      <c r="AA3971">
        <f>IF($V3971="",N($AA3970),IF(MATCH($V3971,$V$6:$V$10005,0)=ROW()-5,N($AA3970)+1,N($AA3970)))</f>
        <v>0</v>
      </c>
    </row>
    <row r="3972" spans="1:27" ht="21" customHeight="1" x14ac:dyDescent="0.95">
      <c r="A3972" s="56"/>
      <c r="B3972" s="57"/>
      <c r="C3972" s="57"/>
      <c r="D3972" s="57"/>
      <c r="E3972" s="56"/>
      <c r="F3972" s="57"/>
      <c r="G3972" s="57"/>
      <c r="H3972" s="56"/>
      <c r="I3972" s="56"/>
      <c r="J3972" s="58"/>
      <c r="K3972" s="58"/>
      <c r="L3972" s="13" t="str">
        <f t="shared" si="610"/>
        <v/>
      </c>
      <c r="M3972" s="13" t="str">
        <f t="shared" si="611"/>
        <v/>
      </c>
      <c r="Q3972" t="str">
        <f t="shared" si="612"/>
        <v/>
      </c>
      <c r="R3972" t="str">
        <f t="shared" si="613"/>
        <v/>
      </c>
      <c r="S3972" t="str">
        <f t="shared" si="614"/>
        <v/>
      </c>
      <c r="T3972" t="str">
        <f t="shared" si="615"/>
        <v/>
      </c>
      <c r="U3972" t="str">
        <f t="shared" si="616"/>
        <v/>
      </c>
      <c r="V3972" t="str">
        <f t="shared" si="617"/>
        <v/>
      </c>
      <c r="W3972" t="str">
        <f t="shared" si="618"/>
        <v/>
      </c>
      <c r="X3972">
        <f>IF($T3972="",N($X3971),IF(MATCH($T3972,$T$6:$T$10005,0)=ROW()-5,N($X3971)+1,N($X3971)))</f>
        <v>0</v>
      </c>
      <c r="Z3972" t="str">
        <f t="shared" si="619"/>
        <v/>
      </c>
      <c r="AA3972">
        <f>IF($V3972="",N($AA3971),IF(MATCH($V3972,$V$6:$V$10005,0)=ROW()-5,N($AA3971)+1,N($AA3971)))</f>
        <v>0</v>
      </c>
    </row>
    <row r="3973" spans="1:27" ht="21" customHeight="1" x14ac:dyDescent="0.95">
      <c r="A3973" s="56"/>
      <c r="B3973" s="57"/>
      <c r="C3973" s="57"/>
      <c r="D3973" s="57"/>
      <c r="E3973" s="56"/>
      <c r="F3973" s="57"/>
      <c r="G3973" s="57"/>
      <c r="H3973" s="56"/>
      <c r="I3973" s="56"/>
      <c r="J3973" s="58"/>
      <c r="K3973" s="58"/>
      <c r="L3973" s="13" t="str">
        <f t="shared" si="610"/>
        <v/>
      </c>
      <c r="M3973" s="13" t="str">
        <f t="shared" si="611"/>
        <v/>
      </c>
      <c r="Q3973" t="str">
        <f t="shared" si="612"/>
        <v/>
      </c>
      <c r="R3973" t="str">
        <f t="shared" si="613"/>
        <v/>
      </c>
      <c r="S3973" t="str">
        <f t="shared" si="614"/>
        <v/>
      </c>
      <c r="T3973" t="str">
        <f t="shared" si="615"/>
        <v/>
      </c>
      <c r="U3973" t="str">
        <f t="shared" si="616"/>
        <v/>
      </c>
      <c r="V3973" t="str">
        <f t="shared" si="617"/>
        <v/>
      </c>
      <c r="W3973" t="str">
        <f t="shared" si="618"/>
        <v/>
      </c>
      <c r="X3973">
        <f>IF($T3973="",N($X3972),IF(MATCH($T3973,$T$6:$T$10005,0)=ROW()-5,N($X3972)+1,N($X3972)))</f>
        <v>0</v>
      </c>
      <c r="Z3973" t="str">
        <f t="shared" si="619"/>
        <v/>
      </c>
      <c r="AA3973">
        <f>IF($V3973="",N($AA3972),IF(MATCH($V3973,$V$6:$V$10005,0)=ROW()-5,N($AA3972)+1,N($AA3972)))</f>
        <v>0</v>
      </c>
    </row>
    <row r="3974" spans="1:27" ht="21" customHeight="1" x14ac:dyDescent="0.95">
      <c r="A3974" s="56"/>
      <c r="B3974" s="57"/>
      <c r="C3974" s="57"/>
      <c r="D3974" s="57"/>
      <c r="E3974" s="56"/>
      <c r="F3974" s="57"/>
      <c r="G3974" s="57"/>
      <c r="H3974" s="56"/>
      <c r="I3974" s="56"/>
      <c r="J3974" s="58"/>
      <c r="K3974" s="58"/>
      <c r="L3974" s="13" t="str">
        <f t="shared" ref="L3974:L4037" si="620">IF(OR($A3974="",AND($J3974="",$K3974="")),"",ROUND(N($J3974)-N($K3974),2))</f>
        <v/>
      </c>
      <c r="M3974" s="13" t="str">
        <f t="shared" ref="M3974:M4037" si="621">IF(OR($A3974="",AND($J3974="",$K3974="")),"",MIN($J3974,$K3974))</f>
        <v/>
      </c>
      <c r="Q3974" t="str">
        <f t="shared" ref="Q3974:Q4037" si="622">IF($A3974="","",$D3974&amp;"("&amp;SUBSTITUTE($E3974," ","")&amp;")")</f>
        <v/>
      </c>
      <c r="R3974" t="str">
        <f t="shared" ref="R3974:R4037" si="623">IF($A3974="","",$B3974&amp;" - "&amp;$C3974)</f>
        <v/>
      </c>
      <c r="S3974" t="str">
        <f t="shared" ref="S3974:S4037" si="624">IF($A3974="","",$R3974&amp;"|"&amp;$Q3974)</f>
        <v/>
      </c>
      <c r="T3974" t="str">
        <f t="shared" ref="T3974:T4037" si="625">IF($A3974="","",$S3974&amp;"|"&amp;$F3974)</f>
        <v/>
      </c>
      <c r="U3974" t="str">
        <f t="shared" ref="U3974:U4037" si="626">IF($A3974="","",$R3974&amp;"("&amp;$E3974&amp;")")</f>
        <v/>
      </c>
      <c r="V3974" t="str">
        <f t="shared" ref="V3974:V4037" si="627">IF($A3974="","",$F3974&amp;"|"&amp;$U3974&amp;"|"&amp;$D3974)</f>
        <v/>
      </c>
      <c r="W3974" t="str">
        <f t="shared" ref="W3974:W4037" si="628">IF($T3974="","",IF($X3974&gt;N($X3973),$X3974,""))</f>
        <v/>
      </c>
      <c r="X3974">
        <f>IF($T3974="",N($X3973),IF(MATCH($T3974,$T$6:$T$10005,0)=ROW()-5,N($X3973)+1,N($X3973)))</f>
        <v>0</v>
      </c>
      <c r="Z3974" t="str">
        <f t="shared" ref="Z3974:Z4037" si="629">IF($V3974="","",IF($AA3974&gt;N($AA3973),$AA3974,""))</f>
        <v/>
      </c>
      <c r="AA3974">
        <f>IF($V3974="",N($AA3973),IF(MATCH($V3974,$V$6:$V$10005,0)=ROW()-5,N($AA3973)+1,N($AA3973)))</f>
        <v>0</v>
      </c>
    </row>
    <row r="3975" spans="1:27" ht="21" customHeight="1" x14ac:dyDescent="0.95">
      <c r="A3975" s="56"/>
      <c r="B3975" s="57"/>
      <c r="C3975" s="57"/>
      <c r="D3975" s="57"/>
      <c r="E3975" s="56"/>
      <c r="F3975" s="57"/>
      <c r="G3975" s="57"/>
      <c r="H3975" s="56"/>
      <c r="I3975" s="56"/>
      <c r="J3975" s="58"/>
      <c r="K3975" s="58"/>
      <c r="L3975" s="13" t="str">
        <f t="shared" si="620"/>
        <v/>
      </c>
      <c r="M3975" s="13" t="str">
        <f t="shared" si="621"/>
        <v/>
      </c>
      <c r="Q3975" t="str">
        <f t="shared" si="622"/>
        <v/>
      </c>
      <c r="R3975" t="str">
        <f t="shared" si="623"/>
        <v/>
      </c>
      <c r="S3975" t="str">
        <f t="shared" si="624"/>
        <v/>
      </c>
      <c r="T3975" t="str">
        <f t="shared" si="625"/>
        <v/>
      </c>
      <c r="U3975" t="str">
        <f t="shared" si="626"/>
        <v/>
      </c>
      <c r="V3975" t="str">
        <f t="shared" si="627"/>
        <v/>
      </c>
      <c r="W3975" t="str">
        <f t="shared" si="628"/>
        <v/>
      </c>
      <c r="X3975">
        <f>IF($T3975="",N($X3974),IF(MATCH($T3975,$T$6:$T$10005,0)=ROW()-5,N($X3974)+1,N($X3974)))</f>
        <v>0</v>
      </c>
      <c r="Z3975" t="str">
        <f t="shared" si="629"/>
        <v/>
      </c>
      <c r="AA3975">
        <f>IF($V3975="",N($AA3974),IF(MATCH($V3975,$V$6:$V$10005,0)=ROW()-5,N($AA3974)+1,N($AA3974)))</f>
        <v>0</v>
      </c>
    </row>
    <row r="3976" spans="1:27" ht="21" customHeight="1" x14ac:dyDescent="0.95">
      <c r="A3976" s="56"/>
      <c r="B3976" s="57"/>
      <c r="C3976" s="57"/>
      <c r="D3976" s="57"/>
      <c r="E3976" s="56"/>
      <c r="F3976" s="57"/>
      <c r="G3976" s="57"/>
      <c r="H3976" s="56"/>
      <c r="I3976" s="56"/>
      <c r="J3976" s="58"/>
      <c r="K3976" s="58"/>
      <c r="L3976" s="13" t="str">
        <f t="shared" si="620"/>
        <v/>
      </c>
      <c r="M3976" s="13" t="str">
        <f t="shared" si="621"/>
        <v/>
      </c>
      <c r="Q3976" t="str">
        <f t="shared" si="622"/>
        <v/>
      </c>
      <c r="R3976" t="str">
        <f t="shared" si="623"/>
        <v/>
      </c>
      <c r="S3976" t="str">
        <f t="shared" si="624"/>
        <v/>
      </c>
      <c r="T3976" t="str">
        <f t="shared" si="625"/>
        <v/>
      </c>
      <c r="U3976" t="str">
        <f t="shared" si="626"/>
        <v/>
      </c>
      <c r="V3976" t="str">
        <f t="shared" si="627"/>
        <v/>
      </c>
      <c r="W3976" t="str">
        <f t="shared" si="628"/>
        <v/>
      </c>
      <c r="X3976">
        <f>IF($T3976="",N($X3975),IF(MATCH($T3976,$T$6:$T$10005,0)=ROW()-5,N($X3975)+1,N($X3975)))</f>
        <v>0</v>
      </c>
      <c r="Z3976" t="str">
        <f t="shared" si="629"/>
        <v/>
      </c>
      <c r="AA3976">
        <f>IF($V3976="",N($AA3975),IF(MATCH($V3976,$V$6:$V$10005,0)=ROW()-5,N($AA3975)+1,N($AA3975)))</f>
        <v>0</v>
      </c>
    </row>
    <row r="3977" spans="1:27" ht="21" customHeight="1" x14ac:dyDescent="0.95">
      <c r="A3977" s="56"/>
      <c r="B3977" s="57"/>
      <c r="C3977" s="57"/>
      <c r="D3977" s="57"/>
      <c r="E3977" s="56"/>
      <c r="F3977" s="57"/>
      <c r="G3977" s="57"/>
      <c r="H3977" s="56"/>
      <c r="I3977" s="56"/>
      <c r="J3977" s="58"/>
      <c r="K3977" s="58"/>
      <c r="L3977" s="13" t="str">
        <f t="shared" si="620"/>
        <v/>
      </c>
      <c r="M3977" s="13" t="str">
        <f t="shared" si="621"/>
        <v/>
      </c>
      <c r="Q3977" t="str">
        <f t="shared" si="622"/>
        <v/>
      </c>
      <c r="R3977" t="str">
        <f t="shared" si="623"/>
        <v/>
      </c>
      <c r="S3977" t="str">
        <f t="shared" si="624"/>
        <v/>
      </c>
      <c r="T3977" t="str">
        <f t="shared" si="625"/>
        <v/>
      </c>
      <c r="U3977" t="str">
        <f t="shared" si="626"/>
        <v/>
      </c>
      <c r="V3977" t="str">
        <f t="shared" si="627"/>
        <v/>
      </c>
      <c r="W3977" t="str">
        <f t="shared" si="628"/>
        <v/>
      </c>
      <c r="X3977">
        <f>IF($T3977="",N($X3976),IF(MATCH($T3977,$T$6:$T$10005,0)=ROW()-5,N($X3976)+1,N($X3976)))</f>
        <v>0</v>
      </c>
      <c r="Z3977" t="str">
        <f t="shared" si="629"/>
        <v/>
      </c>
      <c r="AA3977">
        <f>IF($V3977="",N($AA3976),IF(MATCH($V3977,$V$6:$V$10005,0)=ROW()-5,N($AA3976)+1,N($AA3976)))</f>
        <v>0</v>
      </c>
    </row>
    <row r="3978" spans="1:27" ht="21" customHeight="1" x14ac:dyDescent="0.95">
      <c r="A3978" s="56"/>
      <c r="B3978" s="57"/>
      <c r="C3978" s="57"/>
      <c r="D3978" s="57"/>
      <c r="E3978" s="56"/>
      <c r="F3978" s="57"/>
      <c r="G3978" s="57"/>
      <c r="H3978" s="56"/>
      <c r="I3978" s="56"/>
      <c r="J3978" s="58"/>
      <c r="K3978" s="58"/>
      <c r="L3978" s="13" t="str">
        <f t="shared" si="620"/>
        <v/>
      </c>
      <c r="M3978" s="13" t="str">
        <f t="shared" si="621"/>
        <v/>
      </c>
      <c r="Q3978" t="str">
        <f t="shared" si="622"/>
        <v/>
      </c>
      <c r="R3978" t="str">
        <f t="shared" si="623"/>
        <v/>
      </c>
      <c r="S3978" t="str">
        <f t="shared" si="624"/>
        <v/>
      </c>
      <c r="T3978" t="str">
        <f t="shared" si="625"/>
        <v/>
      </c>
      <c r="U3978" t="str">
        <f t="shared" si="626"/>
        <v/>
      </c>
      <c r="V3978" t="str">
        <f t="shared" si="627"/>
        <v/>
      </c>
      <c r="W3978" t="str">
        <f t="shared" si="628"/>
        <v/>
      </c>
      <c r="X3978">
        <f>IF($T3978="",N($X3977),IF(MATCH($T3978,$T$6:$T$10005,0)=ROW()-5,N($X3977)+1,N($X3977)))</f>
        <v>0</v>
      </c>
      <c r="Z3978" t="str">
        <f t="shared" si="629"/>
        <v/>
      </c>
      <c r="AA3978">
        <f>IF($V3978="",N($AA3977),IF(MATCH($V3978,$V$6:$V$10005,0)=ROW()-5,N($AA3977)+1,N($AA3977)))</f>
        <v>0</v>
      </c>
    </row>
    <row r="3979" spans="1:27" ht="21" customHeight="1" x14ac:dyDescent="0.95">
      <c r="A3979" s="56"/>
      <c r="B3979" s="57"/>
      <c r="C3979" s="57"/>
      <c r="D3979" s="57"/>
      <c r="E3979" s="56"/>
      <c r="F3979" s="57"/>
      <c r="G3979" s="57"/>
      <c r="H3979" s="56"/>
      <c r="I3979" s="56"/>
      <c r="J3979" s="58"/>
      <c r="K3979" s="58"/>
      <c r="L3979" s="13" t="str">
        <f t="shared" si="620"/>
        <v/>
      </c>
      <c r="M3979" s="13" t="str">
        <f t="shared" si="621"/>
        <v/>
      </c>
      <c r="Q3979" t="str">
        <f t="shared" si="622"/>
        <v/>
      </c>
      <c r="R3979" t="str">
        <f t="shared" si="623"/>
        <v/>
      </c>
      <c r="S3979" t="str">
        <f t="shared" si="624"/>
        <v/>
      </c>
      <c r="T3979" t="str">
        <f t="shared" si="625"/>
        <v/>
      </c>
      <c r="U3979" t="str">
        <f t="shared" si="626"/>
        <v/>
      </c>
      <c r="V3979" t="str">
        <f t="shared" si="627"/>
        <v/>
      </c>
      <c r="W3979" t="str">
        <f t="shared" si="628"/>
        <v/>
      </c>
      <c r="X3979">
        <f>IF($T3979="",N($X3978),IF(MATCH($T3979,$T$6:$T$10005,0)=ROW()-5,N($X3978)+1,N($X3978)))</f>
        <v>0</v>
      </c>
      <c r="Z3979" t="str">
        <f t="shared" si="629"/>
        <v/>
      </c>
      <c r="AA3979">
        <f>IF($V3979="",N($AA3978),IF(MATCH($V3979,$V$6:$V$10005,0)=ROW()-5,N($AA3978)+1,N($AA3978)))</f>
        <v>0</v>
      </c>
    </row>
    <row r="3980" spans="1:27" ht="21" customHeight="1" x14ac:dyDescent="0.95">
      <c r="A3980" s="56"/>
      <c r="B3980" s="57"/>
      <c r="C3980" s="57"/>
      <c r="D3980" s="57"/>
      <c r="E3980" s="56"/>
      <c r="F3980" s="57"/>
      <c r="G3980" s="57"/>
      <c r="H3980" s="56"/>
      <c r="I3980" s="56"/>
      <c r="J3980" s="58"/>
      <c r="K3980" s="58"/>
      <c r="L3980" s="13" t="str">
        <f t="shared" si="620"/>
        <v/>
      </c>
      <c r="M3980" s="13" t="str">
        <f t="shared" si="621"/>
        <v/>
      </c>
      <c r="Q3980" t="str">
        <f t="shared" si="622"/>
        <v/>
      </c>
      <c r="R3980" t="str">
        <f t="shared" si="623"/>
        <v/>
      </c>
      <c r="S3980" t="str">
        <f t="shared" si="624"/>
        <v/>
      </c>
      <c r="T3980" t="str">
        <f t="shared" si="625"/>
        <v/>
      </c>
      <c r="U3980" t="str">
        <f t="shared" si="626"/>
        <v/>
      </c>
      <c r="V3980" t="str">
        <f t="shared" si="627"/>
        <v/>
      </c>
      <c r="W3980" t="str">
        <f t="shared" si="628"/>
        <v/>
      </c>
      <c r="X3980">
        <f>IF($T3980="",N($X3979),IF(MATCH($T3980,$T$6:$T$10005,0)=ROW()-5,N($X3979)+1,N($X3979)))</f>
        <v>0</v>
      </c>
      <c r="Z3980" t="str">
        <f t="shared" si="629"/>
        <v/>
      </c>
      <c r="AA3980">
        <f>IF($V3980="",N($AA3979),IF(MATCH($V3980,$V$6:$V$10005,0)=ROW()-5,N($AA3979)+1,N($AA3979)))</f>
        <v>0</v>
      </c>
    </row>
    <row r="3981" spans="1:27" ht="21" customHeight="1" x14ac:dyDescent="0.95">
      <c r="A3981" s="56"/>
      <c r="B3981" s="57"/>
      <c r="C3981" s="57"/>
      <c r="D3981" s="57"/>
      <c r="E3981" s="56"/>
      <c r="F3981" s="57"/>
      <c r="G3981" s="57"/>
      <c r="H3981" s="56"/>
      <c r="I3981" s="56"/>
      <c r="J3981" s="58"/>
      <c r="K3981" s="58"/>
      <c r="L3981" s="13" t="str">
        <f t="shared" si="620"/>
        <v/>
      </c>
      <c r="M3981" s="13" t="str">
        <f t="shared" si="621"/>
        <v/>
      </c>
      <c r="Q3981" t="str">
        <f t="shared" si="622"/>
        <v/>
      </c>
      <c r="R3981" t="str">
        <f t="shared" si="623"/>
        <v/>
      </c>
      <c r="S3981" t="str">
        <f t="shared" si="624"/>
        <v/>
      </c>
      <c r="T3981" t="str">
        <f t="shared" si="625"/>
        <v/>
      </c>
      <c r="U3981" t="str">
        <f t="shared" si="626"/>
        <v/>
      </c>
      <c r="V3981" t="str">
        <f t="shared" si="627"/>
        <v/>
      </c>
      <c r="W3981" t="str">
        <f t="shared" si="628"/>
        <v/>
      </c>
      <c r="X3981">
        <f>IF($T3981="",N($X3980),IF(MATCH($T3981,$T$6:$T$10005,0)=ROW()-5,N($X3980)+1,N($X3980)))</f>
        <v>0</v>
      </c>
      <c r="Z3981" t="str">
        <f t="shared" si="629"/>
        <v/>
      </c>
      <c r="AA3981">
        <f>IF($V3981="",N($AA3980),IF(MATCH($V3981,$V$6:$V$10005,0)=ROW()-5,N($AA3980)+1,N($AA3980)))</f>
        <v>0</v>
      </c>
    </row>
    <row r="3982" spans="1:27" ht="21" customHeight="1" x14ac:dyDescent="0.95">
      <c r="A3982" s="56"/>
      <c r="B3982" s="57"/>
      <c r="C3982" s="57"/>
      <c r="D3982" s="57"/>
      <c r="E3982" s="56"/>
      <c r="F3982" s="57"/>
      <c r="G3982" s="57"/>
      <c r="H3982" s="56"/>
      <c r="I3982" s="56"/>
      <c r="J3982" s="58"/>
      <c r="K3982" s="58"/>
      <c r="L3982" s="13" t="str">
        <f t="shared" si="620"/>
        <v/>
      </c>
      <c r="M3982" s="13" t="str">
        <f t="shared" si="621"/>
        <v/>
      </c>
      <c r="Q3982" t="str">
        <f t="shared" si="622"/>
        <v/>
      </c>
      <c r="R3982" t="str">
        <f t="shared" si="623"/>
        <v/>
      </c>
      <c r="S3982" t="str">
        <f t="shared" si="624"/>
        <v/>
      </c>
      <c r="T3982" t="str">
        <f t="shared" si="625"/>
        <v/>
      </c>
      <c r="U3982" t="str">
        <f t="shared" si="626"/>
        <v/>
      </c>
      <c r="V3982" t="str">
        <f t="shared" si="627"/>
        <v/>
      </c>
      <c r="W3982" t="str">
        <f t="shared" si="628"/>
        <v/>
      </c>
      <c r="X3982">
        <f>IF($T3982="",N($X3981),IF(MATCH($T3982,$T$6:$T$10005,0)=ROW()-5,N($X3981)+1,N($X3981)))</f>
        <v>0</v>
      </c>
      <c r="Z3982" t="str">
        <f t="shared" si="629"/>
        <v/>
      </c>
      <c r="AA3982">
        <f>IF($V3982="",N($AA3981),IF(MATCH($V3982,$V$6:$V$10005,0)=ROW()-5,N($AA3981)+1,N($AA3981)))</f>
        <v>0</v>
      </c>
    </row>
    <row r="3983" spans="1:27" ht="21" customHeight="1" x14ac:dyDescent="0.95">
      <c r="A3983" s="56"/>
      <c r="B3983" s="57"/>
      <c r="C3983" s="57"/>
      <c r="D3983" s="57"/>
      <c r="E3983" s="56"/>
      <c r="F3983" s="57"/>
      <c r="G3983" s="57"/>
      <c r="H3983" s="56"/>
      <c r="I3983" s="56"/>
      <c r="J3983" s="58"/>
      <c r="K3983" s="58"/>
      <c r="L3983" s="13" t="str">
        <f t="shared" si="620"/>
        <v/>
      </c>
      <c r="M3983" s="13" t="str">
        <f t="shared" si="621"/>
        <v/>
      </c>
      <c r="Q3983" t="str">
        <f t="shared" si="622"/>
        <v/>
      </c>
      <c r="R3983" t="str">
        <f t="shared" si="623"/>
        <v/>
      </c>
      <c r="S3983" t="str">
        <f t="shared" si="624"/>
        <v/>
      </c>
      <c r="T3983" t="str">
        <f t="shared" si="625"/>
        <v/>
      </c>
      <c r="U3983" t="str">
        <f t="shared" si="626"/>
        <v/>
      </c>
      <c r="V3983" t="str">
        <f t="shared" si="627"/>
        <v/>
      </c>
      <c r="W3983" t="str">
        <f t="shared" si="628"/>
        <v/>
      </c>
      <c r="X3983">
        <f>IF($T3983="",N($X3982),IF(MATCH($T3983,$T$6:$T$10005,0)=ROW()-5,N($X3982)+1,N($X3982)))</f>
        <v>0</v>
      </c>
      <c r="Z3983" t="str">
        <f t="shared" si="629"/>
        <v/>
      </c>
      <c r="AA3983">
        <f>IF($V3983="",N($AA3982),IF(MATCH($V3983,$V$6:$V$10005,0)=ROW()-5,N($AA3982)+1,N($AA3982)))</f>
        <v>0</v>
      </c>
    </row>
    <row r="3984" spans="1:27" ht="21" customHeight="1" x14ac:dyDescent="0.95">
      <c r="A3984" s="56"/>
      <c r="B3984" s="57"/>
      <c r="C3984" s="57"/>
      <c r="D3984" s="57"/>
      <c r="E3984" s="56"/>
      <c r="F3984" s="57"/>
      <c r="G3984" s="57"/>
      <c r="H3984" s="56"/>
      <c r="I3984" s="56"/>
      <c r="J3984" s="58"/>
      <c r="K3984" s="58"/>
      <c r="L3984" s="13" t="str">
        <f t="shared" si="620"/>
        <v/>
      </c>
      <c r="M3984" s="13" t="str">
        <f t="shared" si="621"/>
        <v/>
      </c>
      <c r="Q3984" t="str">
        <f t="shared" si="622"/>
        <v/>
      </c>
      <c r="R3984" t="str">
        <f t="shared" si="623"/>
        <v/>
      </c>
      <c r="S3984" t="str">
        <f t="shared" si="624"/>
        <v/>
      </c>
      <c r="T3984" t="str">
        <f t="shared" si="625"/>
        <v/>
      </c>
      <c r="U3984" t="str">
        <f t="shared" si="626"/>
        <v/>
      </c>
      <c r="V3984" t="str">
        <f t="shared" si="627"/>
        <v/>
      </c>
      <c r="W3984" t="str">
        <f t="shared" si="628"/>
        <v/>
      </c>
      <c r="X3984">
        <f>IF($T3984="",N($X3983),IF(MATCH($T3984,$T$6:$T$10005,0)=ROW()-5,N($X3983)+1,N($X3983)))</f>
        <v>0</v>
      </c>
      <c r="Z3984" t="str">
        <f t="shared" si="629"/>
        <v/>
      </c>
      <c r="AA3984">
        <f>IF($V3984="",N($AA3983),IF(MATCH($V3984,$V$6:$V$10005,0)=ROW()-5,N($AA3983)+1,N($AA3983)))</f>
        <v>0</v>
      </c>
    </row>
    <row r="3985" spans="1:27" ht="21" customHeight="1" x14ac:dyDescent="0.95">
      <c r="A3985" s="56"/>
      <c r="B3985" s="57"/>
      <c r="C3985" s="57"/>
      <c r="D3985" s="57"/>
      <c r="E3985" s="56"/>
      <c r="F3985" s="57"/>
      <c r="G3985" s="57"/>
      <c r="H3985" s="56"/>
      <c r="I3985" s="56"/>
      <c r="J3985" s="58"/>
      <c r="K3985" s="58"/>
      <c r="L3985" s="13" t="str">
        <f t="shared" si="620"/>
        <v/>
      </c>
      <c r="M3985" s="13" t="str">
        <f t="shared" si="621"/>
        <v/>
      </c>
      <c r="Q3985" t="str">
        <f t="shared" si="622"/>
        <v/>
      </c>
      <c r="R3985" t="str">
        <f t="shared" si="623"/>
        <v/>
      </c>
      <c r="S3985" t="str">
        <f t="shared" si="624"/>
        <v/>
      </c>
      <c r="T3985" t="str">
        <f t="shared" si="625"/>
        <v/>
      </c>
      <c r="U3985" t="str">
        <f t="shared" si="626"/>
        <v/>
      </c>
      <c r="V3985" t="str">
        <f t="shared" si="627"/>
        <v/>
      </c>
      <c r="W3985" t="str">
        <f t="shared" si="628"/>
        <v/>
      </c>
      <c r="X3985">
        <f>IF($T3985="",N($X3984),IF(MATCH($T3985,$T$6:$T$10005,0)=ROW()-5,N($X3984)+1,N($X3984)))</f>
        <v>0</v>
      </c>
      <c r="Z3985" t="str">
        <f t="shared" si="629"/>
        <v/>
      </c>
      <c r="AA3985">
        <f>IF($V3985="",N($AA3984),IF(MATCH($V3985,$V$6:$V$10005,0)=ROW()-5,N($AA3984)+1,N($AA3984)))</f>
        <v>0</v>
      </c>
    </row>
    <row r="3986" spans="1:27" ht="21" customHeight="1" x14ac:dyDescent="0.95">
      <c r="A3986" s="56"/>
      <c r="B3986" s="57"/>
      <c r="C3986" s="57"/>
      <c r="D3986" s="57"/>
      <c r="E3986" s="56"/>
      <c r="F3986" s="57"/>
      <c r="G3986" s="57"/>
      <c r="H3986" s="56"/>
      <c r="I3986" s="56"/>
      <c r="J3986" s="58"/>
      <c r="K3986" s="58"/>
      <c r="L3986" s="13" t="str">
        <f t="shared" si="620"/>
        <v/>
      </c>
      <c r="M3986" s="13" t="str">
        <f t="shared" si="621"/>
        <v/>
      </c>
      <c r="Q3986" t="str">
        <f t="shared" si="622"/>
        <v/>
      </c>
      <c r="R3986" t="str">
        <f t="shared" si="623"/>
        <v/>
      </c>
      <c r="S3986" t="str">
        <f t="shared" si="624"/>
        <v/>
      </c>
      <c r="T3986" t="str">
        <f t="shared" si="625"/>
        <v/>
      </c>
      <c r="U3986" t="str">
        <f t="shared" si="626"/>
        <v/>
      </c>
      <c r="V3986" t="str">
        <f t="shared" si="627"/>
        <v/>
      </c>
      <c r="W3986" t="str">
        <f t="shared" si="628"/>
        <v/>
      </c>
      <c r="X3986">
        <f>IF($T3986="",N($X3985),IF(MATCH($T3986,$T$6:$T$10005,0)=ROW()-5,N($X3985)+1,N($X3985)))</f>
        <v>0</v>
      </c>
      <c r="Z3986" t="str">
        <f t="shared" si="629"/>
        <v/>
      </c>
      <c r="AA3986">
        <f>IF($V3986="",N($AA3985),IF(MATCH($V3986,$V$6:$V$10005,0)=ROW()-5,N($AA3985)+1,N($AA3985)))</f>
        <v>0</v>
      </c>
    </row>
    <row r="3987" spans="1:27" ht="21" customHeight="1" x14ac:dyDescent="0.95">
      <c r="A3987" s="56"/>
      <c r="B3987" s="57"/>
      <c r="C3987" s="57"/>
      <c r="D3987" s="57"/>
      <c r="E3987" s="56"/>
      <c r="F3987" s="57"/>
      <c r="G3987" s="57"/>
      <c r="H3987" s="56"/>
      <c r="I3987" s="56"/>
      <c r="J3987" s="58"/>
      <c r="K3987" s="58"/>
      <c r="L3987" s="13" t="str">
        <f t="shared" si="620"/>
        <v/>
      </c>
      <c r="M3987" s="13" t="str">
        <f t="shared" si="621"/>
        <v/>
      </c>
      <c r="Q3987" t="str">
        <f t="shared" si="622"/>
        <v/>
      </c>
      <c r="R3987" t="str">
        <f t="shared" si="623"/>
        <v/>
      </c>
      <c r="S3987" t="str">
        <f t="shared" si="624"/>
        <v/>
      </c>
      <c r="T3987" t="str">
        <f t="shared" si="625"/>
        <v/>
      </c>
      <c r="U3987" t="str">
        <f t="shared" si="626"/>
        <v/>
      </c>
      <c r="V3987" t="str">
        <f t="shared" si="627"/>
        <v/>
      </c>
      <c r="W3987" t="str">
        <f t="shared" si="628"/>
        <v/>
      </c>
      <c r="X3987">
        <f>IF($T3987="",N($X3986),IF(MATCH($T3987,$T$6:$T$10005,0)=ROW()-5,N($X3986)+1,N($X3986)))</f>
        <v>0</v>
      </c>
      <c r="Z3987" t="str">
        <f t="shared" si="629"/>
        <v/>
      </c>
      <c r="AA3987">
        <f>IF($V3987="",N($AA3986),IF(MATCH($V3987,$V$6:$V$10005,0)=ROW()-5,N($AA3986)+1,N($AA3986)))</f>
        <v>0</v>
      </c>
    </row>
    <row r="3988" spans="1:27" ht="21" customHeight="1" x14ac:dyDescent="0.95">
      <c r="A3988" s="56"/>
      <c r="B3988" s="57"/>
      <c r="C3988" s="57"/>
      <c r="D3988" s="57"/>
      <c r="E3988" s="56"/>
      <c r="F3988" s="57"/>
      <c r="G3988" s="57"/>
      <c r="H3988" s="56"/>
      <c r="I3988" s="56"/>
      <c r="J3988" s="58"/>
      <c r="K3988" s="58"/>
      <c r="L3988" s="13" t="str">
        <f t="shared" si="620"/>
        <v/>
      </c>
      <c r="M3988" s="13" t="str">
        <f t="shared" si="621"/>
        <v/>
      </c>
      <c r="Q3988" t="str">
        <f t="shared" si="622"/>
        <v/>
      </c>
      <c r="R3988" t="str">
        <f t="shared" si="623"/>
        <v/>
      </c>
      <c r="S3988" t="str">
        <f t="shared" si="624"/>
        <v/>
      </c>
      <c r="T3988" t="str">
        <f t="shared" si="625"/>
        <v/>
      </c>
      <c r="U3988" t="str">
        <f t="shared" si="626"/>
        <v/>
      </c>
      <c r="V3988" t="str">
        <f t="shared" si="627"/>
        <v/>
      </c>
      <c r="W3988" t="str">
        <f t="shared" si="628"/>
        <v/>
      </c>
      <c r="X3988">
        <f>IF($T3988="",N($X3987),IF(MATCH($T3988,$T$6:$T$10005,0)=ROW()-5,N($X3987)+1,N($X3987)))</f>
        <v>0</v>
      </c>
      <c r="Z3988" t="str">
        <f t="shared" si="629"/>
        <v/>
      </c>
      <c r="AA3988">
        <f>IF($V3988="",N($AA3987),IF(MATCH($V3988,$V$6:$V$10005,0)=ROW()-5,N($AA3987)+1,N($AA3987)))</f>
        <v>0</v>
      </c>
    </row>
    <row r="3989" spans="1:27" ht="21" customHeight="1" x14ac:dyDescent="0.95">
      <c r="A3989" s="56"/>
      <c r="B3989" s="57"/>
      <c r="C3989" s="57"/>
      <c r="D3989" s="57"/>
      <c r="E3989" s="56"/>
      <c r="F3989" s="57"/>
      <c r="G3989" s="57"/>
      <c r="H3989" s="56"/>
      <c r="I3989" s="56"/>
      <c r="J3989" s="58"/>
      <c r="K3989" s="58"/>
      <c r="L3989" s="13" t="str">
        <f t="shared" si="620"/>
        <v/>
      </c>
      <c r="M3989" s="13" t="str">
        <f t="shared" si="621"/>
        <v/>
      </c>
      <c r="Q3989" t="str">
        <f t="shared" si="622"/>
        <v/>
      </c>
      <c r="R3989" t="str">
        <f t="shared" si="623"/>
        <v/>
      </c>
      <c r="S3989" t="str">
        <f t="shared" si="624"/>
        <v/>
      </c>
      <c r="T3989" t="str">
        <f t="shared" si="625"/>
        <v/>
      </c>
      <c r="U3989" t="str">
        <f t="shared" si="626"/>
        <v/>
      </c>
      <c r="V3989" t="str">
        <f t="shared" si="627"/>
        <v/>
      </c>
      <c r="W3989" t="str">
        <f t="shared" si="628"/>
        <v/>
      </c>
      <c r="X3989">
        <f>IF($T3989="",N($X3988),IF(MATCH($T3989,$T$6:$T$10005,0)=ROW()-5,N($X3988)+1,N($X3988)))</f>
        <v>0</v>
      </c>
      <c r="Z3989" t="str">
        <f t="shared" si="629"/>
        <v/>
      </c>
      <c r="AA3989">
        <f>IF($V3989="",N($AA3988),IF(MATCH($V3989,$V$6:$V$10005,0)=ROW()-5,N($AA3988)+1,N($AA3988)))</f>
        <v>0</v>
      </c>
    </row>
    <row r="3990" spans="1:27" ht="21" customHeight="1" x14ac:dyDescent="0.95">
      <c r="A3990" s="56"/>
      <c r="B3990" s="57"/>
      <c r="C3990" s="57"/>
      <c r="D3990" s="57"/>
      <c r="E3990" s="56"/>
      <c r="F3990" s="57"/>
      <c r="G3990" s="57"/>
      <c r="H3990" s="56"/>
      <c r="I3990" s="56"/>
      <c r="J3990" s="58"/>
      <c r="K3990" s="58"/>
      <c r="L3990" s="13" t="str">
        <f t="shared" si="620"/>
        <v/>
      </c>
      <c r="M3990" s="13" t="str">
        <f t="shared" si="621"/>
        <v/>
      </c>
      <c r="Q3990" t="str">
        <f t="shared" si="622"/>
        <v/>
      </c>
      <c r="R3990" t="str">
        <f t="shared" si="623"/>
        <v/>
      </c>
      <c r="S3990" t="str">
        <f t="shared" si="624"/>
        <v/>
      </c>
      <c r="T3990" t="str">
        <f t="shared" si="625"/>
        <v/>
      </c>
      <c r="U3990" t="str">
        <f t="shared" si="626"/>
        <v/>
      </c>
      <c r="V3990" t="str">
        <f t="shared" si="627"/>
        <v/>
      </c>
      <c r="W3990" t="str">
        <f t="shared" si="628"/>
        <v/>
      </c>
      <c r="X3990">
        <f>IF($T3990="",N($X3989),IF(MATCH($T3990,$T$6:$T$10005,0)=ROW()-5,N($X3989)+1,N($X3989)))</f>
        <v>0</v>
      </c>
      <c r="Z3990" t="str">
        <f t="shared" si="629"/>
        <v/>
      </c>
      <c r="AA3990">
        <f>IF($V3990="",N($AA3989),IF(MATCH($V3990,$V$6:$V$10005,0)=ROW()-5,N($AA3989)+1,N($AA3989)))</f>
        <v>0</v>
      </c>
    </row>
    <row r="3991" spans="1:27" ht="21" customHeight="1" x14ac:dyDescent="0.95">
      <c r="A3991" s="56"/>
      <c r="B3991" s="57"/>
      <c r="C3991" s="57"/>
      <c r="D3991" s="57"/>
      <c r="E3991" s="56"/>
      <c r="F3991" s="57"/>
      <c r="G3991" s="57"/>
      <c r="H3991" s="56"/>
      <c r="I3991" s="56"/>
      <c r="J3991" s="58"/>
      <c r="K3991" s="58"/>
      <c r="L3991" s="13" t="str">
        <f t="shared" si="620"/>
        <v/>
      </c>
      <c r="M3991" s="13" t="str">
        <f t="shared" si="621"/>
        <v/>
      </c>
      <c r="Q3991" t="str">
        <f t="shared" si="622"/>
        <v/>
      </c>
      <c r="R3991" t="str">
        <f t="shared" si="623"/>
        <v/>
      </c>
      <c r="S3991" t="str">
        <f t="shared" si="624"/>
        <v/>
      </c>
      <c r="T3991" t="str">
        <f t="shared" si="625"/>
        <v/>
      </c>
      <c r="U3991" t="str">
        <f t="shared" si="626"/>
        <v/>
      </c>
      <c r="V3991" t="str">
        <f t="shared" si="627"/>
        <v/>
      </c>
      <c r="W3991" t="str">
        <f t="shared" si="628"/>
        <v/>
      </c>
      <c r="X3991">
        <f>IF($T3991="",N($X3990),IF(MATCH($T3991,$T$6:$T$10005,0)=ROW()-5,N($X3990)+1,N($X3990)))</f>
        <v>0</v>
      </c>
      <c r="Z3991" t="str">
        <f t="shared" si="629"/>
        <v/>
      </c>
      <c r="AA3991">
        <f>IF($V3991="",N($AA3990),IF(MATCH($V3991,$V$6:$V$10005,0)=ROW()-5,N($AA3990)+1,N($AA3990)))</f>
        <v>0</v>
      </c>
    </row>
    <row r="3992" spans="1:27" ht="21" customHeight="1" x14ac:dyDescent="0.95">
      <c r="A3992" s="56"/>
      <c r="B3992" s="57"/>
      <c r="C3992" s="57"/>
      <c r="D3992" s="57"/>
      <c r="E3992" s="56"/>
      <c r="F3992" s="57"/>
      <c r="G3992" s="57"/>
      <c r="H3992" s="56"/>
      <c r="I3992" s="56"/>
      <c r="J3992" s="58"/>
      <c r="K3992" s="58"/>
      <c r="L3992" s="13" t="str">
        <f t="shared" si="620"/>
        <v/>
      </c>
      <c r="M3992" s="13" t="str">
        <f t="shared" si="621"/>
        <v/>
      </c>
      <c r="Q3992" t="str">
        <f t="shared" si="622"/>
        <v/>
      </c>
      <c r="R3992" t="str">
        <f t="shared" si="623"/>
        <v/>
      </c>
      <c r="S3992" t="str">
        <f t="shared" si="624"/>
        <v/>
      </c>
      <c r="T3992" t="str">
        <f t="shared" si="625"/>
        <v/>
      </c>
      <c r="U3992" t="str">
        <f t="shared" si="626"/>
        <v/>
      </c>
      <c r="V3992" t="str">
        <f t="shared" si="627"/>
        <v/>
      </c>
      <c r="W3992" t="str">
        <f t="shared" si="628"/>
        <v/>
      </c>
      <c r="X3992">
        <f>IF($T3992="",N($X3991),IF(MATCH($T3992,$T$6:$T$10005,0)=ROW()-5,N($X3991)+1,N($X3991)))</f>
        <v>0</v>
      </c>
      <c r="Z3992" t="str">
        <f t="shared" si="629"/>
        <v/>
      </c>
      <c r="AA3992">
        <f>IF($V3992="",N($AA3991),IF(MATCH($V3992,$V$6:$V$10005,0)=ROW()-5,N($AA3991)+1,N($AA3991)))</f>
        <v>0</v>
      </c>
    </row>
    <row r="3993" spans="1:27" ht="21" customHeight="1" x14ac:dyDescent="0.95">
      <c r="A3993" s="56"/>
      <c r="B3993" s="57"/>
      <c r="C3993" s="57"/>
      <c r="D3993" s="57"/>
      <c r="E3993" s="56"/>
      <c r="F3993" s="57"/>
      <c r="G3993" s="57"/>
      <c r="H3993" s="56"/>
      <c r="I3993" s="56"/>
      <c r="J3993" s="58"/>
      <c r="K3993" s="58"/>
      <c r="L3993" s="13" t="str">
        <f t="shared" si="620"/>
        <v/>
      </c>
      <c r="M3993" s="13" t="str">
        <f t="shared" si="621"/>
        <v/>
      </c>
      <c r="Q3993" t="str">
        <f t="shared" si="622"/>
        <v/>
      </c>
      <c r="R3993" t="str">
        <f t="shared" si="623"/>
        <v/>
      </c>
      <c r="S3993" t="str">
        <f t="shared" si="624"/>
        <v/>
      </c>
      <c r="T3993" t="str">
        <f t="shared" si="625"/>
        <v/>
      </c>
      <c r="U3993" t="str">
        <f t="shared" si="626"/>
        <v/>
      </c>
      <c r="V3993" t="str">
        <f t="shared" si="627"/>
        <v/>
      </c>
      <c r="W3993" t="str">
        <f t="shared" si="628"/>
        <v/>
      </c>
      <c r="X3993">
        <f>IF($T3993="",N($X3992),IF(MATCH($T3993,$T$6:$T$10005,0)=ROW()-5,N($X3992)+1,N($X3992)))</f>
        <v>0</v>
      </c>
      <c r="Z3993" t="str">
        <f t="shared" si="629"/>
        <v/>
      </c>
      <c r="AA3993">
        <f>IF($V3993="",N($AA3992),IF(MATCH($V3993,$V$6:$V$10005,0)=ROW()-5,N($AA3992)+1,N($AA3992)))</f>
        <v>0</v>
      </c>
    </row>
    <row r="3994" spans="1:27" ht="21" customHeight="1" x14ac:dyDescent="0.95">
      <c r="A3994" s="56"/>
      <c r="B3994" s="57"/>
      <c r="C3994" s="57"/>
      <c r="D3994" s="57"/>
      <c r="E3994" s="56"/>
      <c r="F3994" s="57"/>
      <c r="G3994" s="57"/>
      <c r="H3994" s="56"/>
      <c r="I3994" s="56"/>
      <c r="J3994" s="58"/>
      <c r="K3994" s="58"/>
      <c r="L3994" s="13" t="str">
        <f t="shared" si="620"/>
        <v/>
      </c>
      <c r="M3994" s="13" t="str">
        <f t="shared" si="621"/>
        <v/>
      </c>
      <c r="Q3994" t="str">
        <f t="shared" si="622"/>
        <v/>
      </c>
      <c r="R3994" t="str">
        <f t="shared" si="623"/>
        <v/>
      </c>
      <c r="S3994" t="str">
        <f t="shared" si="624"/>
        <v/>
      </c>
      <c r="T3994" t="str">
        <f t="shared" si="625"/>
        <v/>
      </c>
      <c r="U3994" t="str">
        <f t="shared" si="626"/>
        <v/>
      </c>
      <c r="V3994" t="str">
        <f t="shared" si="627"/>
        <v/>
      </c>
      <c r="W3994" t="str">
        <f t="shared" si="628"/>
        <v/>
      </c>
      <c r="X3994">
        <f>IF($T3994="",N($X3993),IF(MATCH($T3994,$T$6:$T$10005,0)=ROW()-5,N($X3993)+1,N($X3993)))</f>
        <v>0</v>
      </c>
      <c r="Z3994" t="str">
        <f t="shared" si="629"/>
        <v/>
      </c>
      <c r="AA3994">
        <f>IF($V3994="",N($AA3993),IF(MATCH($V3994,$V$6:$V$10005,0)=ROW()-5,N($AA3993)+1,N($AA3993)))</f>
        <v>0</v>
      </c>
    </row>
    <row r="3995" spans="1:27" ht="21" customHeight="1" x14ac:dyDescent="0.95">
      <c r="A3995" s="56"/>
      <c r="B3995" s="57"/>
      <c r="C3995" s="57"/>
      <c r="D3995" s="57"/>
      <c r="E3995" s="56"/>
      <c r="F3995" s="57"/>
      <c r="G3995" s="57"/>
      <c r="H3995" s="56"/>
      <c r="I3995" s="56"/>
      <c r="J3995" s="58"/>
      <c r="K3995" s="58"/>
      <c r="L3995" s="13" t="str">
        <f t="shared" si="620"/>
        <v/>
      </c>
      <c r="M3995" s="13" t="str">
        <f t="shared" si="621"/>
        <v/>
      </c>
      <c r="Q3995" t="str">
        <f t="shared" si="622"/>
        <v/>
      </c>
      <c r="R3995" t="str">
        <f t="shared" si="623"/>
        <v/>
      </c>
      <c r="S3995" t="str">
        <f t="shared" si="624"/>
        <v/>
      </c>
      <c r="T3995" t="str">
        <f t="shared" si="625"/>
        <v/>
      </c>
      <c r="U3995" t="str">
        <f t="shared" si="626"/>
        <v/>
      </c>
      <c r="V3995" t="str">
        <f t="shared" si="627"/>
        <v/>
      </c>
      <c r="W3995" t="str">
        <f t="shared" si="628"/>
        <v/>
      </c>
      <c r="X3995">
        <f>IF($T3995="",N($X3994),IF(MATCH($T3995,$T$6:$T$10005,0)=ROW()-5,N($X3994)+1,N($X3994)))</f>
        <v>0</v>
      </c>
      <c r="Z3995" t="str">
        <f t="shared" si="629"/>
        <v/>
      </c>
      <c r="AA3995">
        <f>IF($V3995="",N($AA3994),IF(MATCH($V3995,$V$6:$V$10005,0)=ROW()-5,N($AA3994)+1,N($AA3994)))</f>
        <v>0</v>
      </c>
    </row>
    <row r="3996" spans="1:27" ht="21" customHeight="1" x14ac:dyDescent="0.95">
      <c r="A3996" s="56"/>
      <c r="B3996" s="57"/>
      <c r="C3996" s="57"/>
      <c r="D3996" s="57"/>
      <c r="E3996" s="56"/>
      <c r="F3996" s="57"/>
      <c r="G3996" s="57"/>
      <c r="H3996" s="56"/>
      <c r="I3996" s="56"/>
      <c r="J3996" s="58"/>
      <c r="K3996" s="58"/>
      <c r="L3996" s="13" t="str">
        <f t="shared" si="620"/>
        <v/>
      </c>
      <c r="M3996" s="13" t="str">
        <f t="shared" si="621"/>
        <v/>
      </c>
      <c r="Q3996" t="str">
        <f t="shared" si="622"/>
        <v/>
      </c>
      <c r="R3996" t="str">
        <f t="shared" si="623"/>
        <v/>
      </c>
      <c r="S3996" t="str">
        <f t="shared" si="624"/>
        <v/>
      </c>
      <c r="T3996" t="str">
        <f t="shared" si="625"/>
        <v/>
      </c>
      <c r="U3996" t="str">
        <f t="shared" si="626"/>
        <v/>
      </c>
      <c r="V3996" t="str">
        <f t="shared" si="627"/>
        <v/>
      </c>
      <c r="W3996" t="str">
        <f t="shared" si="628"/>
        <v/>
      </c>
      <c r="X3996">
        <f>IF($T3996="",N($X3995),IF(MATCH($T3996,$T$6:$T$10005,0)=ROW()-5,N($X3995)+1,N($X3995)))</f>
        <v>0</v>
      </c>
      <c r="Z3996" t="str">
        <f t="shared" si="629"/>
        <v/>
      </c>
      <c r="AA3996">
        <f>IF($V3996="",N($AA3995),IF(MATCH($V3996,$V$6:$V$10005,0)=ROW()-5,N($AA3995)+1,N($AA3995)))</f>
        <v>0</v>
      </c>
    </row>
    <row r="3997" spans="1:27" ht="21" customHeight="1" x14ac:dyDescent="0.95">
      <c r="A3997" s="56"/>
      <c r="B3997" s="57"/>
      <c r="C3997" s="57"/>
      <c r="D3997" s="57"/>
      <c r="E3997" s="56"/>
      <c r="F3997" s="57"/>
      <c r="G3997" s="57"/>
      <c r="H3997" s="56"/>
      <c r="I3997" s="56"/>
      <c r="J3997" s="58"/>
      <c r="K3997" s="58"/>
      <c r="L3997" s="13" t="str">
        <f t="shared" si="620"/>
        <v/>
      </c>
      <c r="M3997" s="13" t="str">
        <f t="shared" si="621"/>
        <v/>
      </c>
      <c r="Q3997" t="str">
        <f t="shared" si="622"/>
        <v/>
      </c>
      <c r="R3997" t="str">
        <f t="shared" si="623"/>
        <v/>
      </c>
      <c r="S3997" t="str">
        <f t="shared" si="624"/>
        <v/>
      </c>
      <c r="T3997" t="str">
        <f t="shared" si="625"/>
        <v/>
      </c>
      <c r="U3997" t="str">
        <f t="shared" si="626"/>
        <v/>
      </c>
      <c r="V3997" t="str">
        <f t="shared" si="627"/>
        <v/>
      </c>
      <c r="W3997" t="str">
        <f t="shared" si="628"/>
        <v/>
      </c>
      <c r="X3997">
        <f>IF($T3997="",N($X3996),IF(MATCH($T3997,$T$6:$T$10005,0)=ROW()-5,N($X3996)+1,N($X3996)))</f>
        <v>0</v>
      </c>
      <c r="Z3997" t="str">
        <f t="shared" si="629"/>
        <v/>
      </c>
      <c r="AA3997">
        <f>IF($V3997="",N($AA3996),IF(MATCH($V3997,$V$6:$V$10005,0)=ROW()-5,N($AA3996)+1,N($AA3996)))</f>
        <v>0</v>
      </c>
    </row>
    <row r="3998" spans="1:27" ht="21" customHeight="1" x14ac:dyDescent="0.95">
      <c r="A3998" s="56"/>
      <c r="B3998" s="57"/>
      <c r="C3998" s="57"/>
      <c r="D3998" s="57"/>
      <c r="E3998" s="56"/>
      <c r="F3998" s="57"/>
      <c r="G3998" s="57"/>
      <c r="H3998" s="56"/>
      <c r="I3998" s="56"/>
      <c r="J3998" s="58"/>
      <c r="K3998" s="58"/>
      <c r="L3998" s="13" t="str">
        <f t="shared" si="620"/>
        <v/>
      </c>
      <c r="M3998" s="13" t="str">
        <f t="shared" si="621"/>
        <v/>
      </c>
      <c r="Q3998" t="str">
        <f t="shared" si="622"/>
        <v/>
      </c>
      <c r="R3998" t="str">
        <f t="shared" si="623"/>
        <v/>
      </c>
      <c r="S3998" t="str">
        <f t="shared" si="624"/>
        <v/>
      </c>
      <c r="T3998" t="str">
        <f t="shared" si="625"/>
        <v/>
      </c>
      <c r="U3998" t="str">
        <f t="shared" si="626"/>
        <v/>
      </c>
      <c r="V3998" t="str">
        <f t="shared" si="627"/>
        <v/>
      </c>
      <c r="W3998" t="str">
        <f t="shared" si="628"/>
        <v/>
      </c>
      <c r="X3998">
        <f>IF($T3998="",N($X3997),IF(MATCH($T3998,$T$6:$T$10005,0)=ROW()-5,N($X3997)+1,N($X3997)))</f>
        <v>0</v>
      </c>
      <c r="Z3998" t="str">
        <f t="shared" si="629"/>
        <v/>
      </c>
      <c r="AA3998">
        <f>IF($V3998="",N($AA3997),IF(MATCH($V3998,$V$6:$V$10005,0)=ROW()-5,N($AA3997)+1,N($AA3997)))</f>
        <v>0</v>
      </c>
    </row>
    <row r="3999" spans="1:27" ht="21" customHeight="1" x14ac:dyDescent="0.95">
      <c r="A3999" s="56"/>
      <c r="B3999" s="57"/>
      <c r="C3999" s="57"/>
      <c r="D3999" s="57"/>
      <c r="E3999" s="56"/>
      <c r="F3999" s="57"/>
      <c r="G3999" s="57"/>
      <c r="H3999" s="56"/>
      <c r="I3999" s="56"/>
      <c r="J3999" s="58"/>
      <c r="K3999" s="58"/>
      <c r="L3999" s="13" t="str">
        <f t="shared" si="620"/>
        <v/>
      </c>
      <c r="M3999" s="13" t="str">
        <f t="shared" si="621"/>
        <v/>
      </c>
      <c r="Q3999" t="str">
        <f t="shared" si="622"/>
        <v/>
      </c>
      <c r="R3999" t="str">
        <f t="shared" si="623"/>
        <v/>
      </c>
      <c r="S3999" t="str">
        <f t="shared" si="624"/>
        <v/>
      </c>
      <c r="T3999" t="str">
        <f t="shared" si="625"/>
        <v/>
      </c>
      <c r="U3999" t="str">
        <f t="shared" si="626"/>
        <v/>
      </c>
      <c r="V3999" t="str">
        <f t="shared" si="627"/>
        <v/>
      </c>
      <c r="W3999" t="str">
        <f t="shared" si="628"/>
        <v/>
      </c>
      <c r="X3999">
        <f>IF($T3999="",N($X3998),IF(MATCH($T3999,$T$6:$T$10005,0)=ROW()-5,N($X3998)+1,N($X3998)))</f>
        <v>0</v>
      </c>
      <c r="Z3999" t="str">
        <f t="shared" si="629"/>
        <v/>
      </c>
      <c r="AA3999">
        <f>IF($V3999="",N($AA3998),IF(MATCH($V3999,$V$6:$V$10005,0)=ROW()-5,N($AA3998)+1,N($AA3998)))</f>
        <v>0</v>
      </c>
    </row>
    <row r="4000" spans="1:27" ht="21" customHeight="1" x14ac:dyDescent="0.95">
      <c r="A4000" s="56"/>
      <c r="B4000" s="57"/>
      <c r="C4000" s="57"/>
      <c r="D4000" s="57"/>
      <c r="E4000" s="56"/>
      <c r="F4000" s="57"/>
      <c r="G4000" s="57"/>
      <c r="H4000" s="56"/>
      <c r="I4000" s="56"/>
      <c r="J4000" s="58"/>
      <c r="K4000" s="58"/>
      <c r="L4000" s="13" t="str">
        <f t="shared" si="620"/>
        <v/>
      </c>
      <c r="M4000" s="13" t="str">
        <f t="shared" si="621"/>
        <v/>
      </c>
      <c r="Q4000" t="str">
        <f t="shared" si="622"/>
        <v/>
      </c>
      <c r="R4000" t="str">
        <f t="shared" si="623"/>
        <v/>
      </c>
      <c r="S4000" t="str">
        <f t="shared" si="624"/>
        <v/>
      </c>
      <c r="T4000" t="str">
        <f t="shared" si="625"/>
        <v/>
      </c>
      <c r="U4000" t="str">
        <f t="shared" si="626"/>
        <v/>
      </c>
      <c r="V4000" t="str">
        <f t="shared" si="627"/>
        <v/>
      </c>
      <c r="W4000" t="str">
        <f t="shared" si="628"/>
        <v/>
      </c>
      <c r="X4000">
        <f>IF($T4000="",N($X3999),IF(MATCH($T4000,$T$6:$T$10005,0)=ROW()-5,N($X3999)+1,N($X3999)))</f>
        <v>0</v>
      </c>
      <c r="Z4000" t="str">
        <f t="shared" si="629"/>
        <v/>
      </c>
      <c r="AA4000">
        <f>IF($V4000="",N($AA3999),IF(MATCH($V4000,$V$6:$V$10005,0)=ROW()-5,N($AA3999)+1,N($AA3999)))</f>
        <v>0</v>
      </c>
    </row>
    <row r="4001" spans="1:27" ht="21" customHeight="1" x14ac:dyDescent="0.95">
      <c r="A4001" s="56"/>
      <c r="B4001" s="57"/>
      <c r="C4001" s="57"/>
      <c r="D4001" s="57"/>
      <c r="E4001" s="56"/>
      <c r="F4001" s="57"/>
      <c r="G4001" s="57"/>
      <c r="H4001" s="56"/>
      <c r="I4001" s="56"/>
      <c r="J4001" s="58"/>
      <c r="K4001" s="58"/>
      <c r="L4001" s="13" t="str">
        <f t="shared" si="620"/>
        <v/>
      </c>
      <c r="M4001" s="13" t="str">
        <f t="shared" si="621"/>
        <v/>
      </c>
      <c r="Q4001" t="str">
        <f t="shared" si="622"/>
        <v/>
      </c>
      <c r="R4001" t="str">
        <f t="shared" si="623"/>
        <v/>
      </c>
      <c r="S4001" t="str">
        <f t="shared" si="624"/>
        <v/>
      </c>
      <c r="T4001" t="str">
        <f t="shared" si="625"/>
        <v/>
      </c>
      <c r="U4001" t="str">
        <f t="shared" si="626"/>
        <v/>
      </c>
      <c r="V4001" t="str">
        <f t="shared" si="627"/>
        <v/>
      </c>
      <c r="W4001" t="str">
        <f t="shared" si="628"/>
        <v/>
      </c>
      <c r="X4001">
        <f>IF($T4001="",N($X4000),IF(MATCH($T4001,$T$6:$T$10005,0)=ROW()-5,N($X4000)+1,N($X4000)))</f>
        <v>0</v>
      </c>
      <c r="Z4001" t="str">
        <f t="shared" si="629"/>
        <v/>
      </c>
      <c r="AA4001">
        <f>IF($V4001="",N($AA4000),IF(MATCH($V4001,$V$6:$V$10005,0)=ROW()-5,N($AA4000)+1,N($AA4000)))</f>
        <v>0</v>
      </c>
    </row>
    <row r="4002" spans="1:27" ht="21" customHeight="1" x14ac:dyDescent="0.95">
      <c r="A4002" s="56"/>
      <c r="B4002" s="57"/>
      <c r="C4002" s="57"/>
      <c r="D4002" s="57"/>
      <c r="E4002" s="56"/>
      <c r="F4002" s="57"/>
      <c r="G4002" s="57"/>
      <c r="H4002" s="56"/>
      <c r="I4002" s="56"/>
      <c r="J4002" s="58"/>
      <c r="K4002" s="58"/>
      <c r="L4002" s="13" t="str">
        <f t="shared" si="620"/>
        <v/>
      </c>
      <c r="M4002" s="13" t="str">
        <f t="shared" si="621"/>
        <v/>
      </c>
      <c r="Q4002" t="str">
        <f t="shared" si="622"/>
        <v/>
      </c>
      <c r="R4002" t="str">
        <f t="shared" si="623"/>
        <v/>
      </c>
      <c r="S4002" t="str">
        <f t="shared" si="624"/>
        <v/>
      </c>
      <c r="T4002" t="str">
        <f t="shared" si="625"/>
        <v/>
      </c>
      <c r="U4002" t="str">
        <f t="shared" si="626"/>
        <v/>
      </c>
      <c r="V4002" t="str">
        <f t="shared" si="627"/>
        <v/>
      </c>
      <c r="W4002" t="str">
        <f t="shared" si="628"/>
        <v/>
      </c>
      <c r="X4002">
        <f>IF($T4002="",N($X4001),IF(MATCH($T4002,$T$6:$T$10005,0)=ROW()-5,N($X4001)+1,N($X4001)))</f>
        <v>0</v>
      </c>
      <c r="Z4002" t="str">
        <f t="shared" si="629"/>
        <v/>
      </c>
      <c r="AA4002">
        <f>IF($V4002="",N($AA4001),IF(MATCH($V4002,$V$6:$V$10005,0)=ROW()-5,N($AA4001)+1,N($AA4001)))</f>
        <v>0</v>
      </c>
    </row>
    <row r="4003" spans="1:27" ht="21" customHeight="1" x14ac:dyDescent="0.95">
      <c r="A4003" s="56"/>
      <c r="B4003" s="57"/>
      <c r="C4003" s="57"/>
      <c r="D4003" s="57"/>
      <c r="E4003" s="56"/>
      <c r="F4003" s="57"/>
      <c r="G4003" s="57"/>
      <c r="H4003" s="56"/>
      <c r="I4003" s="56"/>
      <c r="J4003" s="58"/>
      <c r="K4003" s="58"/>
      <c r="L4003" s="13" t="str">
        <f t="shared" si="620"/>
        <v/>
      </c>
      <c r="M4003" s="13" t="str">
        <f t="shared" si="621"/>
        <v/>
      </c>
      <c r="Q4003" t="str">
        <f t="shared" si="622"/>
        <v/>
      </c>
      <c r="R4003" t="str">
        <f t="shared" si="623"/>
        <v/>
      </c>
      <c r="S4003" t="str">
        <f t="shared" si="624"/>
        <v/>
      </c>
      <c r="T4003" t="str">
        <f t="shared" si="625"/>
        <v/>
      </c>
      <c r="U4003" t="str">
        <f t="shared" si="626"/>
        <v/>
      </c>
      <c r="V4003" t="str">
        <f t="shared" si="627"/>
        <v/>
      </c>
      <c r="W4003" t="str">
        <f t="shared" si="628"/>
        <v/>
      </c>
      <c r="X4003">
        <f>IF($T4003="",N($X4002),IF(MATCH($T4003,$T$6:$T$10005,0)=ROW()-5,N($X4002)+1,N($X4002)))</f>
        <v>0</v>
      </c>
      <c r="Z4003" t="str">
        <f t="shared" si="629"/>
        <v/>
      </c>
      <c r="AA4003">
        <f>IF($V4003="",N($AA4002),IF(MATCH($V4003,$V$6:$V$10005,0)=ROW()-5,N($AA4002)+1,N($AA4002)))</f>
        <v>0</v>
      </c>
    </row>
    <row r="4004" spans="1:27" ht="21" customHeight="1" x14ac:dyDescent="0.95">
      <c r="A4004" s="56"/>
      <c r="B4004" s="57"/>
      <c r="C4004" s="57"/>
      <c r="D4004" s="57"/>
      <c r="E4004" s="56"/>
      <c r="F4004" s="57"/>
      <c r="G4004" s="57"/>
      <c r="H4004" s="56"/>
      <c r="I4004" s="56"/>
      <c r="J4004" s="58"/>
      <c r="K4004" s="58"/>
      <c r="L4004" s="13" t="str">
        <f t="shared" si="620"/>
        <v/>
      </c>
      <c r="M4004" s="13" t="str">
        <f t="shared" si="621"/>
        <v/>
      </c>
      <c r="Q4004" t="str">
        <f t="shared" si="622"/>
        <v/>
      </c>
      <c r="R4004" t="str">
        <f t="shared" si="623"/>
        <v/>
      </c>
      <c r="S4004" t="str">
        <f t="shared" si="624"/>
        <v/>
      </c>
      <c r="T4004" t="str">
        <f t="shared" si="625"/>
        <v/>
      </c>
      <c r="U4004" t="str">
        <f t="shared" si="626"/>
        <v/>
      </c>
      <c r="V4004" t="str">
        <f t="shared" si="627"/>
        <v/>
      </c>
      <c r="W4004" t="str">
        <f t="shared" si="628"/>
        <v/>
      </c>
      <c r="X4004">
        <f>IF($T4004="",N($X4003),IF(MATCH($T4004,$T$6:$T$10005,0)=ROW()-5,N($X4003)+1,N($X4003)))</f>
        <v>0</v>
      </c>
      <c r="Z4004" t="str">
        <f t="shared" si="629"/>
        <v/>
      </c>
      <c r="AA4004">
        <f>IF($V4004="",N($AA4003),IF(MATCH($V4004,$V$6:$V$10005,0)=ROW()-5,N($AA4003)+1,N($AA4003)))</f>
        <v>0</v>
      </c>
    </row>
    <row r="4005" spans="1:27" ht="21" customHeight="1" x14ac:dyDescent="0.95">
      <c r="A4005" s="56"/>
      <c r="B4005" s="57"/>
      <c r="C4005" s="57"/>
      <c r="D4005" s="57"/>
      <c r="E4005" s="56"/>
      <c r="F4005" s="57"/>
      <c r="G4005" s="57"/>
      <c r="H4005" s="56"/>
      <c r="I4005" s="56"/>
      <c r="J4005" s="58"/>
      <c r="K4005" s="58"/>
      <c r="L4005" s="13" t="str">
        <f t="shared" si="620"/>
        <v/>
      </c>
      <c r="M4005" s="13" t="str">
        <f t="shared" si="621"/>
        <v/>
      </c>
      <c r="Q4005" t="str">
        <f t="shared" si="622"/>
        <v/>
      </c>
      <c r="R4005" t="str">
        <f t="shared" si="623"/>
        <v/>
      </c>
      <c r="S4005" t="str">
        <f t="shared" si="624"/>
        <v/>
      </c>
      <c r="T4005" t="str">
        <f t="shared" si="625"/>
        <v/>
      </c>
      <c r="U4005" t="str">
        <f t="shared" si="626"/>
        <v/>
      </c>
      <c r="V4005" t="str">
        <f t="shared" si="627"/>
        <v/>
      </c>
      <c r="W4005" t="str">
        <f t="shared" si="628"/>
        <v/>
      </c>
      <c r="X4005">
        <f>IF($T4005="",N($X4004),IF(MATCH($T4005,$T$6:$T$10005,0)=ROW()-5,N($X4004)+1,N($X4004)))</f>
        <v>0</v>
      </c>
      <c r="Z4005" t="str">
        <f t="shared" si="629"/>
        <v/>
      </c>
      <c r="AA4005">
        <f>IF($V4005="",N($AA4004),IF(MATCH($V4005,$V$6:$V$10005,0)=ROW()-5,N($AA4004)+1,N($AA4004)))</f>
        <v>0</v>
      </c>
    </row>
    <row r="4006" spans="1:27" ht="21" customHeight="1" x14ac:dyDescent="0.95">
      <c r="A4006" s="56"/>
      <c r="B4006" s="57"/>
      <c r="C4006" s="57"/>
      <c r="D4006" s="57"/>
      <c r="E4006" s="56"/>
      <c r="F4006" s="57"/>
      <c r="G4006" s="57"/>
      <c r="H4006" s="56"/>
      <c r="I4006" s="56"/>
      <c r="J4006" s="58"/>
      <c r="K4006" s="58"/>
      <c r="L4006" s="13" t="str">
        <f t="shared" si="620"/>
        <v/>
      </c>
      <c r="M4006" s="13" t="str">
        <f t="shared" si="621"/>
        <v/>
      </c>
      <c r="Q4006" t="str">
        <f t="shared" si="622"/>
        <v/>
      </c>
      <c r="R4006" t="str">
        <f t="shared" si="623"/>
        <v/>
      </c>
      <c r="S4006" t="str">
        <f t="shared" si="624"/>
        <v/>
      </c>
      <c r="T4006" t="str">
        <f t="shared" si="625"/>
        <v/>
      </c>
      <c r="U4006" t="str">
        <f t="shared" si="626"/>
        <v/>
      </c>
      <c r="V4006" t="str">
        <f t="shared" si="627"/>
        <v/>
      </c>
      <c r="W4006" t="str">
        <f t="shared" si="628"/>
        <v/>
      </c>
      <c r="X4006">
        <f>IF($T4006="",N($X4005),IF(MATCH($T4006,$T$6:$T$10005,0)=ROW()-5,N($X4005)+1,N($X4005)))</f>
        <v>0</v>
      </c>
      <c r="Z4006" t="str">
        <f t="shared" si="629"/>
        <v/>
      </c>
      <c r="AA4006">
        <f>IF($V4006="",N($AA4005),IF(MATCH($V4006,$V$6:$V$10005,0)=ROW()-5,N($AA4005)+1,N($AA4005)))</f>
        <v>0</v>
      </c>
    </row>
    <row r="4007" spans="1:27" ht="21" customHeight="1" x14ac:dyDescent="0.95">
      <c r="A4007" s="56"/>
      <c r="B4007" s="57"/>
      <c r="C4007" s="57"/>
      <c r="D4007" s="57"/>
      <c r="E4007" s="56"/>
      <c r="F4007" s="57"/>
      <c r="G4007" s="57"/>
      <c r="H4007" s="56"/>
      <c r="I4007" s="56"/>
      <c r="J4007" s="58"/>
      <c r="K4007" s="58"/>
      <c r="L4007" s="13" t="str">
        <f t="shared" si="620"/>
        <v/>
      </c>
      <c r="M4007" s="13" t="str">
        <f t="shared" si="621"/>
        <v/>
      </c>
      <c r="Q4007" t="str">
        <f t="shared" si="622"/>
        <v/>
      </c>
      <c r="R4007" t="str">
        <f t="shared" si="623"/>
        <v/>
      </c>
      <c r="S4007" t="str">
        <f t="shared" si="624"/>
        <v/>
      </c>
      <c r="T4007" t="str">
        <f t="shared" si="625"/>
        <v/>
      </c>
      <c r="U4007" t="str">
        <f t="shared" si="626"/>
        <v/>
      </c>
      <c r="V4007" t="str">
        <f t="shared" si="627"/>
        <v/>
      </c>
      <c r="W4007" t="str">
        <f t="shared" si="628"/>
        <v/>
      </c>
      <c r="X4007">
        <f>IF($T4007="",N($X4006),IF(MATCH($T4007,$T$6:$T$10005,0)=ROW()-5,N($X4006)+1,N($X4006)))</f>
        <v>0</v>
      </c>
      <c r="Z4007" t="str">
        <f t="shared" si="629"/>
        <v/>
      </c>
      <c r="AA4007">
        <f>IF($V4007="",N($AA4006),IF(MATCH($V4007,$V$6:$V$10005,0)=ROW()-5,N($AA4006)+1,N($AA4006)))</f>
        <v>0</v>
      </c>
    </row>
    <row r="4008" spans="1:27" ht="21" customHeight="1" x14ac:dyDescent="0.95">
      <c r="A4008" s="56"/>
      <c r="B4008" s="57"/>
      <c r="C4008" s="57"/>
      <c r="D4008" s="57"/>
      <c r="E4008" s="56"/>
      <c r="F4008" s="57"/>
      <c r="G4008" s="57"/>
      <c r="H4008" s="56"/>
      <c r="I4008" s="56"/>
      <c r="J4008" s="58"/>
      <c r="K4008" s="58"/>
      <c r="L4008" s="13" t="str">
        <f t="shared" si="620"/>
        <v/>
      </c>
      <c r="M4008" s="13" t="str">
        <f t="shared" si="621"/>
        <v/>
      </c>
      <c r="Q4008" t="str">
        <f t="shared" si="622"/>
        <v/>
      </c>
      <c r="R4008" t="str">
        <f t="shared" si="623"/>
        <v/>
      </c>
      <c r="S4008" t="str">
        <f t="shared" si="624"/>
        <v/>
      </c>
      <c r="T4008" t="str">
        <f t="shared" si="625"/>
        <v/>
      </c>
      <c r="U4008" t="str">
        <f t="shared" si="626"/>
        <v/>
      </c>
      <c r="V4008" t="str">
        <f t="shared" si="627"/>
        <v/>
      </c>
      <c r="W4008" t="str">
        <f t="shared" si="628"/>
        <v/>
      </c>
      <c r="X4008">
        <f>IF($T4008="",N($X4007),IF(MATCH($T4008,$T$6:$T$10005,0)=ROW()-5,N($X4007)+1,N($X4007)))</f>
        <v>0</v>
      </c>
      <c r="Z4008" t="str">
        <f t="shared" si="629"/>
        <v/>
      </c>
      <c r="AA4008">
        <f>IF($V4008="",N($AA4007),IF(MATCH($V4008,$V$6:$V$10005,0)=ROW()-5,N($AA4007)+1,N($AA4007)))</f>
        <v>0</v>
      </c>
    </row>
    <row r="4009" spans="1:27" ht="21" customHeight="1" x14ac:dyDescent="0.95">
      <c r="A4009" s="56"/>
      <c r="B4009" s="57"/>
      <c r="C4009" s="57"/>
      <c r="D4009" s="57"/>
      <c r="E4009" s="56"/>
      <c r="F4009" s="57"/>
      <c r="G4009" s="57"/>
      <c r="H4009" s="56"/>
      <c r="I4009" s="56"/>
      <c r="J4009" s="58"/>
      <c r="K4009" s="58"/>
      <c r="L4009" s="13" t="str">
        <f t="shared" si="620"/>
        <v/>
      </c>
      <c r="M4009" s="13" t="str">
        <f t="shared" si="621"/>
        <v/>
      </c>
      <c r="Q4009" t="str">
        <f t="shared" si="622"/>
        <v/>
      </c>
      <c r="R4009" t="str">
        <f t="shared" si="623"/>
        <v/>
      </c>
      <c r="S4009" t="str">
        <f t="shared" si="624"/>
        <v/>
      </c>
      <c r="T4009" t="str">
        <f t="shared" si="625"/>
        <v/>
      </c>
      <c r="U4009" t="str">
        <f t="shared" si="626"/>
        <v/>
      </c>
      <c r="V4009" t="str">
        <f t="shared" si="627"/>
        <v/>
      </c>
      <c r="W4009" t="str">
        <f t="shared" si="628"/>
        <v/>
      </c>
      <c r="X4009">
        <f>IF($T4009="",N($X4008),IF(MATCH($T4009,$T$6:$T$10005,0)=ROW()-5,N($X4008)+1,N($X4008)))</f>
        <v>0</v>
      </c>
      <c r="Z4009" t="str">
        <f t="shared" si="629"/>
        <v/>
      </c>
      <c r="AA4009">
        <f>IF($V4009="",N($AA4008),IF(MATCH($V4009,$V$6:$V$10005,0)=ROW()-5,N($AA4008)+1,N($AA4008)))</f>
        <v>0</v>
      </c>
    </row>
    <row r="4010" spans="1:27" ht="21" customHeight="1" x14ac:dyDescent="0.95">
      <c r="A4010" s="56"/>
      <c r="B4010" s="57"/>
      <c r="C4010" s="57"/>
      <c r="D4010" s="57"/>
      <c r="E4010" s="56"/>
      <c r="F4010" s="57"/>
      <c r="G4010" s="57"/>
      <c r="H4010" s="56"/>
      <c r="I4010" s="56"/>
      <c r="J4010" s="58"/>
      <c r="K4010" s="58"/>
      <c r="L4010" s="13" t="str">
        <f t="shared" si="620"/>
        <v/>
      </c>
      <c r="M4010" s="13" t="str">
        <f t="shared" si="621"/>
        <v/>
      </c>
      <c r="Q4010" t="str">
        <f t="shared" si="622"/>
        <v/>
      </c>
      <c r="R4010" t="str">
        <f t="shared" si="623"/>
        <v/>
      </c>
      <c r="S4010" t="str">
        <f t="shared" si="624"/>
        <v/>
      </c>
      <c r="T4010" t="str">
        <f t="shared" si="625"/>
        <v/>
      </c>
      <c r="U4010" t="str">
        <f t="shared" si="626"/>
        <v/>
      </c>
      <c r="V4010" t="str">
        <f t="shared" si="627"/>
        <v/>
      </c>
      <c r="W4010" t="str">
        <f t="shared" si="628"/>
        <v/>
      </c>
      <c r="X4010">
        <f>IF($T4010="",N($X4009),IF(MATCH($T4010,$T$6:$T$10005,0)=ROW()-5,N($X4009)+1,N($X4009)))</f>
        <v>0</v>
      </c>
      <c r="Z4010" t="str">
        <f t="shared" si="629"/>
        <v/>
      </c>
      <c r="AA4010">
        <f>IF($V4010="",N($AA4009),IF(MATCH($V4010,$V$6:$V$10005,0)=ROW()-5,N($AA4009)+1,N($AA4009)))</f>
        <v>0</v>
      </c>
    </row>
    <row r="4011" spans="1:27" ht="21" customHeight="1" x14ac:dyDescent="0.95">
      <c r="A4011" s="56"/>
      <c r="B4011" s="57"/>
      <c r="C4011" s="57"/>
      <c r="D4011" s="57"/>
      <c r="E4011" s="56"/>
      <c r="F4011" s="57"/>
      <c r="G4011" s="57"/>
      <c r="H4011" s="56"/>
      <c r="I4011" s="56"/>
      <c r="J4011" s="58"/>
      <c r="K4011" s="58"/>
      <c r="L4011" s="13" t="str">
        <f t="shared" si="620"/>
        <v/>
      </c>
      <c r="M4011" s="13" t="str">
        <f t="shared" si="621"/>
        <v/>
      </c>
      <c r="Q4011" t="str">
        <f t="shared" si="622"/>
        <v/>
      </c>
      <c r="R4011" t="str">
        <f t="shared" si="623"/>
        <v/>
      </c>
      <c r="S4011" t="str">
        <f t="shared" si="624"/>
        <v/>
      </c>
      <c r="T4011" t="str">
        <f t="shared" si="625"/>
        <v/>
      </c>
      <c r="U4011" t="str">
        <f t="shared" si="626"/>
        <v/>
      </c>
      <c r="V4011" t="str">
        <f t="shared" si="627"/>
        <v/>
      </c>
      <c r="W4011" t="str">
        <f t="shared" si="628"/>
        <v/>
      </c>
      <c r="X4011">
        <f>IF($T4011="",N($X4010),IF(MATCH($T4011,$T$6:$T$10005,0)=ROW()-5,N($X4010)+1,N($X4010)))</f>
        <v>0</v>
      </c>
      <c r="Z4011" t="str">
        <f t="shared" si="629"/>
        <v/>
      </c>
      <c r="AA4011">
        <f>IF($V4011="",N($AA4010),IF(MATCH($V4011,$V$6:$V$10005,0)=ROW()-5,N($AA4010)+1,N($AA4010)))</f>
        <v>0</v>
      </c>
    </row>
    <row r="4012" spans="1:27" ht="21" customHeight="1" x14ac:dyDescent="0.95">
      <c r="A4012" s="56"/>
      <c r="B4012" s="57"/>
      <c r="C4012" s="57"/>
      <c r="D4012" s="57"/>
      <c r="E4012" s="56"/>
      <c r="F4012" s="57"/>
      <c r="G4012" s="57"/>
      <c r="H4012" s="56"/>
      <c r="I4012" s="56"/>
      <c r="J4012" s="58"/>
      <c r="K4012" s="58"/>
      <c r="L4012" s="13" t="str">
        <f t="shared" si="620"/>
        <v/>
      </c>
      <c r="M4012" s="13" t="str">
        <f t="shared" si="621"/>
        <v/>
      </c>
      <c r="Q4012" t="str">
        <f t="shared" si="622"/>
        <v/>
      </c>
      <c r="R4012" t="str">
        <f t="shared" si="623"/>
        <v/>
      </c>
      <c r="S4012" t="str">
        <f t="shared" si="624"/>
        <v/>
      </c>
      <c r="T4012" t="str">
        <f t="shared" si="625"/>
        <v/>
      </c>
      <c r="U4012" t="str">
        <f t="shared" si="626"/>
        <v/>
      </c>
      <c r="V4012" t="str">
        <f t="shared" si="627"/>
        <v/>
      </c>
      <c r="W4012" t="str">
        <f t="shared" si="628"/>
        <v/>
      </c>
      <c r="X4012">
        <f>IF($T4012="",N($X4011),IF(MATCH($T4012,$T$6:$T$10005,0)=ROW()-5,N($X4011)+1,N($X4011)))</f>
        <v>0</v>
      </c>
      <c r="Z4012" t="str">
        <f t="shared" si="629"/>
        <v/>
      </c>
      <c r="AA4012">
        <f>IF($V4012="",N($AA4011),IF(MATCH($V4012,$V$6:$V$10005,0)=ROW()-5,N($AA4011)+1,N($AA4011)))</f>
        <v>0</v>
      </c>
    </row>
    <row r="4013" spans="1:27" ht="21" customHeight="1" x14ac:dyDescent="0.95">
      <c r="A4013" s="56"/>
      <c r="B4013" s="57"/>
      <c r="C4013" s="57"/>
      <c r="D4013" s="57"/>
      <c r="E4013" s="56"/>
      <c r="F4013" s="57"/>
      <c r="G4013" s="57"/>
      <c r="H4013" s="56"/>
      <c r="I4013" s="56"/>
      <c r="J4013" s="58"/>
      <c r="K4013" s="58"/>
      <c r="L4013" s="13" t="str">
        <f t="shared" si="620"/>
        <v/>
      </c>
      <c r="M4013" s="13" t="str">
        <f t="shared" si="621"/>
        <v/>
      </c>
      <c r="Q4013" t="str">
        <f t="shared" si="622"/>
        <v/>
      </c>
      <c r="R4013" t="str">
        <f t="shared" si="623"/>
        <v/>
      </c>
      <c r="S4013" t="str">
        <f t="shared" si="624"/>
        <v/>
      </c>
      <c r="T4013" t="str">
        <f t="shared" si="625"/>
        <v/>
      </c>
      <c r="U4013" t="str">
        <f t="shared" si="626"/>
        <v/>
      </c>
      <c r="V4013" t="str">
        <f t="shared" si="627"/>
        <v/>
      </c>
      <c r="W4013" t="str">
        <f t="shared" si="628"/>
        <v/>
      </c>
      <c r="X4013">
        <f>IF($T4013="",N($X4012),IF(MATCH($T4013,$T$6:$T$10005,0)=ROW()-5,N($X4012)+1,N($X4012)))</f>
        <v>0</v>
      </c>
      <c r="Z4013" t="str">
        <f t="shared" si="629"/>
        <v/>
      </c>
      <c r="AA4013">
        <f>IF($V4013="",N($AA4012),IF(MATCH($V4013,$V$6:$V$10005,0)=ROW()-5,N($AA4012)+1,N($AA4012)))</f>
        <v>0</v>
      </c>
    </row>
    <row r="4014" spans="1:27" ht="21" customHeight="1" x14ac:dyDescent="0.95">
      <c r="A4014" s="56"/>
      <c r="B4014" s="57"/>
      <c r="C4014" s="57"/>
      <c r="D4014" s="57"/>
      <c r="E4014" s="56"/>
      <c r="F4014" s="57"/>
      <c r="G4014" s="57"/>
      <c r="H4014" s="56"/>
      <c r="I4014" s="56"/>
      <c r="J4014" s="58"/>
      <c r="K4014" s="58"/>
      <c r="L4014" s="13" t="str">
        <f t="shared" si="620"/>
        <v/>
      </c>
      <c r="M4014" s="13" t="str">
        <f t="shared" si="621"/>
        <v/>
      </c>
      <c r="Q4014" t="str">
        <f t="shared" si="622"/>
        <v/>
      </c>
      <c r="R4014" t="str">
        <f t="shared" si="623"/>
        <v/>
      </c>
      <c r="S4014" t="str">
        <f t="shared" si="624"/>
        <v/>
      </c>
      <c r="T4014" t="str">
        <f t="shared" si="625"/>
        <v/>
      </c>
      <c r="U4014" t="str">
        <f t="shared" si="626"/>
        <v/>
      </c>
      <c r="V4014" t="str">
        <f t="shared" si="627"/>
        <v/>
      </c>
      <c r="W4014" t="str">
        <f t="shared" si="628"/>
        <v/>
      </c>
      <c r="X4014">
        <f>IF($T4014="",N($X4013),IF(MATCH($T4014,$T$6:$T$10005,0)=ROW()-5,N($X4013)+1,N($X4013)))</f>
        <v>0</v>
      </c>
      <c r="Z4014" t="str">
        <f t="shared" si="629"/>
        <v/>
      </c>
      <c r="AA4014">
        <f>IF($V4014="",N($AA4013),IF(MATCH($V4014,$V$6:$V$10005,0)=ROW()-5,N($AA4013)+1,N($AA4013)))</f>
        <v>0</v>
      </c>
    </row>
    <row r="4015" spans="1:27" ht="21" customHeight="1" x14ac:dyDescent="0.95">
      <c r="A4015" s="56"/>
      <c r="B4015" s="57"/>
      <c r="C4015" s="57"/>
      <c r="D4015" s="57"/>
      <c r="E4015" s="56"/>
      <c r="F4015" s="57"/>
      <c r="G4015" s="57"/>
      <c r="H4015" s="56"/>
      <c r="I4015" s="56"/>
      <c r="J4015" s="58"/>
      <c r="K4015" s="58"/>
      <c r="L4015" s="13" t="str">
        <f t="shared" si="620"/>
        <v/>
      </c>
      <c r="M4015" s="13" t="str">
        <f t="shared" si="621"/>
        <v/>
      </c>
      <c r="Q4015" t="str">
        <f t="shared" si="622"/>
        <v/>
      </c>
      <c r="R4015" t="str">
        <f t="shared" si="623"/>
        <v/>
      </c>
      <c r="S4015" t="str">
        <f t="shared" si="624"/>
        <v/>
      </c>
      <c r="T4015" t="str">
        <f t="shared" si="625"/>
        <v/>
      </c>
      <c r="U4015" t="str">
        <f t="shared" si="626"/>
        <v/>
      </c>
      <c r="V4015" t="str">
        <f t="shared" si="627"/>
        <v/>
      </c>
      <c r="W4015" t="str">
        <f t="shared" si="628"/>
        <v/>
      </c>
      <c r="X4015">
        <f>IF($T4015="",N($X4014),IF(MATCH($T4015,$T$6:$T$10005,0)=ROW()-5,N($X4014)+1,N($X4014)))</f>
        <v>0</v>
      </c>
      <c r="Z4015" t="str">
        <f t="shared" si="629"/>
        <v/>
      </c>
      <c r="AA4015">
        <f>IF($V4015="",N($AA4014),IF(MATCH($V4015,$V$6:$V$10005,0)=ROW()-5,N($AA4014)+1,N($AA4014)))</f>
        <v>0</v>
      </c>
    </row>
    <row r="4016" spans="1:27" ht="21" customHeight="1" x14ac:dyDescent="0.95">
      <c r="A4016" s="56"/>
      <c r="B4016" s="57"/>
      <c r="C4016" s="57"/>
      <c r="D4016" s="57"/>
      <c r="E4016" s="56"/>
      <c r="F4016" s="57"/>
      <c r="G4016" s="57"/>
      <c r="H4016" s="56"/>
      <c r="I4016" s="56"/>
      <c r="J4016" s="58"/>
      <c r="K4016" s="58"/>
      <c r="L4016" s="13" t="str">
        <f t="shared" si="620"/>
        <v/>
      </c>
      <c r="M4016" s="13" t="str">
        <f t="shared" si="621"/>
        <v/>
      </c>
      <c r="Q4016" t="str">
        <f t="shared" si="622"/>
        <v/>
      </c>
      <c r="R4016" t="str">
        <f t="shared" si="623"/>
        <v/>
      </c>
      <c r="S4016" t="str">
        <f t="shared" si="624"/>
        <v/>
      </c>
      <c r="T4016" t="str">
        <f t="shared" si="625"/>
        <v/>
      </c>
      <c r="U4016" t="str">
        <f t="shared" si="626"/>
        <v/>
      </c>
      <c r="V4016" t="str">
        <f t="shared" si="627"/>
        <v/>
      </c>
      <c r="W4016" t="str">
        <f t="shared" si="628"/>
        <v/>
      </c>
      <c r="X4016">
        <f>IF($T4016="",N($X4015),IF(MATCH($T4016,$T$6:$T$10005,0)=ROW()-5,N($X4015)+1,N($X4015)))</f>
        <v>0</v>
      </c>
      <c r="Z4016" t="str">
        <f t="shared" si="629"/>
        <v/>
      </c>
      <c r="AA4016">
        <f>IF($V4016="",N($AA4015),IF(MATCH($V4016,$V$6:$V$10005,0)=ROW()-5,N($AA4015)+1,N($AA4015)))</f>
        <v>0</v>
      </c>
    </row>
    <row r="4017" spans="1:27" ht="21" customHeight="1" x14ac:dyDescent="0.95">
      <c r="A4017" s="56"/>
      <c r="B4017" s="57"/>
      <c r="C4017" s="57"/>
      <c r="D4017" s="57"/>
      <c r="E4017" s="56"/>
      <c r="F4017" s="57"/>
      <c r="G4017" s="57"/>
      <c r="H4017" s="56"/>
      <c r="I4017" s="56"/>
      <c r="J4017" s="58"/>
      <c r="K4017" s="58"/>
      <c r="L4017" s="13" t="str">
        <f t="shared" si="620"/>
        <v/>
      </c>
      <c r="M4017" s="13" t="str">
        <f t="shared" si="621"/>
        <v/>
      </c>
      <c r="Q4017" t="str">
        <f t="shared" si="622"/>
        <v/>
      </c>
      <c r="R4017" t="str">
        <f t="shared" si="623"/>
        <v/>
      </c>
      <c r="S4017" t="str">
        <f t="shared" si="624"/>
        <v/>
      </c>
      <c r="T4017" t="str">
        <f t="shared" si="625"/>
        <v/>
      </c>
      <c r="U4017" t="str">
        <f t="shared" si="626"/>
        <v/>
      </c>
      <c r="V4017" t="str">
        <f t="shared" si="627"/>
        <v/>
      </c>
      <c r="W4017" t="str">
        <f t="shared" si="628"/>
        <v/>
      </c>
      <c r="X4017">
        <f>IF($T4017="",N($X4016),IF(MATCH($T4017,$T$6:$T$10005,0)=ROW()-5,N($X4016)+1,N($X4016)))</f>
        <v>0</v>
      </c>
      <c r="Z4017" t="str">
        <f t="shared" si="629"/>
        <v/>
      </c>
      <c r="AA4017">
        <f>IF($V4017="",N($AA4016),IF(MATCH($V4017,$V$6:$V$10005,0)=ROW()-5,N($AA4016)+1,N($AA4016)))</f>
        <v>0</v>
      </c>
    </row>
    <row r="4018" spans="1:27" ht="21" customHeight="1" x14ac:dyDescent="0.95">
      <c r="A4018" s="56"/>
      <c r="B4018" s="57"/>
      <c r="C4018" s="57"/>
      <c r="D4018" s="57"/>
      <c r="E4018" s="56"/>
      <c r="F4018" s="57"/>
      <c r="G4018" s="57"/>
      <c r="H4018" s="56"/>
      <c r="I4018" s="56"/>
      <c r="J4018" s="58"/>
      <c r="K4018" s="58"/>
      <c r="L4018" s="13" t="str">
        <f t="shared" si="620"/>
        <v/>
      </c>
      <c r="M4018" s="13" t="str">
        <f t="shared" si="621"/>
        <v/>
      </c>
      <c r="Q4018" t="str">
        <f t="shared" si="622"/>
        <v/>
      </c>
      <c r="R4018" t="str">
        <f t="shared" si="623"/>
        <v/>
      </c>
      <c r="S4018" t="str">
        <f t="shared" si="624"/>
        <v/>
      </c>
      <c r="T4018" t="str">
        <f t="shared" si="625"/>
        <v/>
      </c>
      <c r="U4018" t="str">
        <f t="shared" si="626"/>
        <v/>
      </c>
      <c r="V4018" t="str">
        <f t="shared" si="627"/>
        <v/>
      </c>
      <c r="W4018" t="str">
        <f t="shared" si="628"/>
        <v/>
      </c>
      <c r="X4018">
        <f>IF($T4018="",N($X4017),IF(MATCH($T4018,$T$6:$T$10005,0)=ROW()-5,N($X4017)+1,N($X4017)))</f>
        <v>0</v>
      </c>
      <c r="Z4018" t="str">
        <f t="shared" si="629"/>
        <v/>
      </c>
      <c r="AA4018">
        <f>IF($V4018="",N($AA4017),IF(MATCH($V4018,$V$6:$V$10005,0)=ROW()-5,N($AA4017)+1,N($AA4017)))</f>
        <v>0</v>
      </c>
    </row>
    <row r="4019" spans="1:27" ht="21" customHeight="1" x14ac:dyDescent="0.95">
      <c r="A4019" s="56"/>
      <c r="B4019" s="57"/>
      <c r="C4019" s="57"/>
      <c r="D4019" s="57"/>
      <c r="E4019" s="56"/>
      <c r="F4019" s="57"/>
      <c r="G4019" s="57"/>
      <c r="H4019" s="56"/>
      <c r="I4019" s="56"/>
      <c r="J4019" s="58"/>
      <c r="K4019" s="58"/>
      <c r="L4019" s="13" t="str">
        <f t="shared" si="620"/>
        <v/>
      </c>
      <c r="M4019" s="13" t="str">
        <f t="shared" si="621"/>
        <v/>
      </c>
      <c r="Q4019" t="str">
        <f t="shared" si="622"/>
        <v/>
      </c>
      <c r="R4019" t="str">
        <f t="shared" si="623"/>
        <v/>
      </c>
      <c r="S4019" t="str">
        <f t="shared" si="624"/>
        <v/>
      </c>
      <c r="T4019" t="str">
        <f t="shared" si="625"/>
        <v/>
      </c>
      <c r="U4019" t="str">
        <f t="shared" si="626"/>
        <v/>
      </c>
      <c r="V4019" t="str">
        <f t="shared" si="627"/>
        <v/>
      </c>
      <c r="W4019" t="str">
        <f t="shared" si="628"/>
        <v/>
      </c>
      <c r="X4019">
        <f>IF($T4019="",N($X4018),IF(MATCH($T4019,$T$6:$T$10005,0)=ROW()-5,N($X4018)+1,N($X4018)))</f>
        <v>0</v>
      </c>
      <c r="Z4019" t="str">
        <f t="shared" si="629"/>
        <v/>
      </c>
      <c r="AA4019">
        <f>IF($V4019="",N($AA4018),IF(MATCH($V4019,$V$6:$V$10005,0)=ROW()-5,N($AA4018)+1,N($AA4018)))</f>
        <v>0</v>
      </c>
    </row>
    <row r="4020" spans="1:27" ht="21" customHeight="1" x14ac:dyDescent="0.95">
      <c r="A4020" s="56"/>
      <c r="B4020" s="57"/>
      <c r="C4020" s="57"/>
      <c r="D4020" s="57"/>
      <c r="E4020" s="56"/>
      <c r="F4020" s="57"/>
      <c r="G4020" s="57"/>
      <c r="H4020" s="56"/>
      <c r="I4020" s="56"/>
      <c r="J4020" s="58"/>
      <c r="K4020" s="58"/>
      <c r="L4020" s="13" t="str">
        <f t="shared" si="620"/>
        <v/>
      </c>
      <c r="M4020" s="13" t="str">
        <f t="shared" si="621"/>
        <v/>
      </c>
      <c r="Q4020" t="str">
        <f t="shared" si="622"/>
        <v/>
      </c>
      <c r="R4020" t="str">
        <f t="shared" si="623"/>
        <v/>
      </c>
      <c r="S4020" t="str">
        <f t="shared" si="624"/>
        <v/>
      </c>
      <c r="T4020" t="str">
        <f t="shared" si="625"/>
        <v/>
      </c>
      <c r="U4020" t="str">
        <f t="shared" si="626"/>
        <v/>
      </c>
      <c r="V4020" t="str">
        <f t="shared" si="627"/>
        <v/>
      </c>
      <c r="W4020" t="str">
        <f t="shared" si="628"/>
        <v/>
      </c>
      <c r="X4020">
        <f>IF($T4020="",N($X4019),IF(MATCH($T4020,$T$6:$T$10005,0)=ROW()-5,N($X4019)+1,N($X4019)))</f>
        <v>0</v>
      </c>
      <c r="Z4020" t="str">
        <f t="shared" si="629"/>
        <v/>
      </c>
      <c r="AA4020">
        <f>IF($V4020="",N($AA4019),IF(MATCH($V4020,$V$6:$V$10005,0)=ROW()-5,N($AA4019)+1,N($AA4019)))</f>
        <v>0</v>
      </c>
    </row>
    <row r="4021" spans="1:27" ht="21" customHeight="1" x14ac:dyDescent="0.95">
      <c r="A4021" s="56"/>
      <c r="B4021" s="57"/>
      <c r="C4021" s="57"/>
      <c r="D4021" s="57"/>
      <c r="E4021" s="56"/>
      <c r="F4021" s="57"/>
      <c r="G4021" s="57"/>
      <c r="H4021" s="56"/>
      <c r="I4021" s="56"/>
      <c r="J4021" s="58"/>
      <c r="K4021" s="58"/>
      <c r="L4021" s="13" t="str">
        <f t="shared" si="620"/>
        <v/>
      </c>
      <c r="M4021" s="13" t="str">
        <f t="shared" si="621"/>
        <v/>
      </c>
      <c r="Q4021" t="str">
        <f t="shared" si="622"/>
        <v/>
      </c>
      <c r="R4021" t="str">
        <f t="shared" si="623"/>
        <v/>
      </c>
      <c r="S4021" t="str">
        <f t="shared" si="624"/>
        <v/>
      </c>
      <c r="T4021" t="str">
        <f t="shared" si="625"/>
        <v/>
      </c>
      <c r="U4021" t="str">
        <f t="shared" si="626"/>
        <v/>
      </c>
      <c r="V4021" t="str">
        <f t="shared" si="627"/>
        <v/>
      </c>
      <c r="W4021" t="str">
        <f t="shared" si="628"/>
        <v/>
      </c>
      <c r="X4021">
        <f>IF($T4021="",N($X4020),IF(MATCH($T4021,$T$6:$T$10005,0)=ROW()-5,N($X4020)+1,N($X4020)))</f>
        <v>0</v>
      </c>
      <c r="Z4021" t="str">
        <f t="shared" si="629"/>
        <v/>
      </c>
      <c r="AA4021">
        <f>IF($V4021="",N($AA4020),IF(MATCH($V4021,$V$6:$V$10005,0)=ROW()-5,N($AA4020)+1,N($AA4020)))</f>
        <v>0</v>
      </c>
    </row>
    <row r="4022" spans="1:27" ht="21" customHeight="1" x14ac:dyDescent="0.95">
      <c r="A4022" s="56"/>
      <c r="B4022" s="57"/>
      <c r="C4022" s="57"/>
      <c r="D4022" s="57"/>
      <c r="E4022" s="56"/>
      <c r="F4022" s="57"/>
      <c r="G4022" s="57"/>
      <c r="H4022" s="56"/>
      <c r="I4022" s="56"/>
      <c r="J4022" s="58"/>
      <c r="K4022" s="58"/>
      <c r="L4022" s="13" t="str">
        <f t="shared" si="620"/>
        <v/>
      </c>
      <c r="M4022" s="13" t="str">
        <f t="shared" si="621"/>
        <v/>
      </c>
      <c r="Q4022" t="str">
        <f t="shared" si="622"/>
        <v/>
      </c>
      <c r="R4022" t="str">
        <f t="shared" si="623"/>
        <v/>
      </c>
      <c r="S4022" t="str">
        <f t="shared" si="624"/>
        <v/>
      </c>
      <c r="T4022" t="str">
        <f t="shared" si="625"/>
        <v/>
      </c>
      <c r="U4022" t="str">
        <f t="shared" si="626"/>
        <v/>
      </c>
      <c r="V4022" t="str">
        <f t="shared" si="627"/>
        <v/>
      </c>
      <c r="W4022" t="str">
        <f t="shared" si="628"/>
        <v/>
      </c>
      <c r="X4022">
        <f>IF($T4022="",N($X4021),IF(MATCH($T4022,$T$6:$T$10005,0)=ROW()-5,N($X4021)+1,N($X4021)))</f>
        <v>0</v>
      </c>
      <c r="Z4022" t="str">
        <f t="shared" si="629"/>
        <v/>
      </c>
      <c r="AA4022">
        <f>IF($V4022="",N($AA4021),IF(MATCH($V4022,$V$6:$V$10005,0)=ROW()-5,N($AA4021)+1,N($AA4021)))</f>
        <v>0</v>
      </c>
    </row>
    <row r="4023" spans="1:27" ht="21" customHeight="1" x14ac:dyDescent="0.95">
      <c r="A4023" s="56"/>
      <c r="B4023" s="57"/>
      <c r="C4023" s="57"/>
      <c r="D4023" s="57"/>
      <c r="E4023" s="56"/>
      <c r="F4023" s="57"/>
      <c r="G4023" s="57"/>
      <c r="H4023" s="56"/>
      <c r="I4023" s="56"/>
      <c r="J4023" s="58"/>
      <c r="K4023" s="58"/>
      <c r="L4023" s="13" t="str">
        <f t="shared" si="620"/>
        <v/>
      </c>
      <c r="M4023" s="13" t="str">
        <f t="shared" si="621"/>
        <v/>
      </c>
      <c r="Q4023" t="str">
        <f t="shared" si="622"/>
        <v/>
      </c>
      <c r="R4023" t="str">
        <f t="shared" si="623"/>
        <v/>
      </c>
      <c r="S4023" t="str">
        <f t="shared" si="624"/>
        <v/>
      </c>
      <c r="T4023" t="str">
        <f t="shared" si="625"/>
        <v/>
      </c>
      <c r="U4023" t="str">
        <f t="shared" si="626"/>
        <v/>
      </c>
      <c r="V4023" t="str">
        <f t="shared" si="627"/>
        <v/>
      </c>
      <c r="W4023" t="str">
        <f t="shared" si="628"/>
        <v/>
      </c>
      <c r="X4023">
        <f>IF($T4023="",N($X4022),IF(MATCH($T4023,$T$6:$T$10005,0)=ROW()-5,N($X4022)+1,N($X4022)))</f>
        <v>0</v>
      </c>
      <c r="Z4023" t="str">
        <f t="shared" si="629"/>
        <v/>
      </c>
      <c r="AA4023">
        <f>IF($V4023="",N($AA4022),IF(MATCH($V4023,$V$6:$V$10005,0)=ROW()-5,N($AA4022)+1,N($AA4022)))</f>
        <v>0</v>
      </c>
    </row>
    <row r="4024" spans="1:27" ht="21" customHeight="1" x14ac:dyDescent="0.95">
      <c r="A4024" s="56"/>
      <c r="B4024" s="57"/>
      <c r="C4024" s="57"/>
      <c r="D4024" s="57"/>
      <c r="E4024" s="56"/>
      <c r="F4024" s="57"/>
      <c r="G4024" s="57"/>
      <c r="H4024" s="56"/>
      <c r="I4024" s="56"/>
      <c r="J4024" s="58"/>
      <c r="K4024" s="58"/>
      <c r="L4024" s="13" t="str">
        <f t="shared" si="620"/>
        <v/>
      </c>
      <c r="M4024" s="13" t="str">
        <f t="shared" si="621"/>
        <v/>
      </c>
      <c r="Q4024" t="str">
        <f t="shared" si="622"/>
        <v/>
      </c>
      <c r="R4024" t="str">
        <f t="shared" si="623"/>
        <v/>
      </c>
      <c r="S4024" t="str">
        <f t="shared" si="624"/>
        <v/>
      </c>
      <c r="T4024" t="str">
        <f t="shared" si="625"/>
        <v/>
      </c>
      <c r="U4024" t="str">
        <f t="shared" si="626"/>
        <v/>
      </c>
      <c r="V4024" t="str">
        <f t="shared" si="627"/>
        <v/>
      </c>
      <c r="W4024" t="str">
        <f t="shared" si="628"/>
        <v/>
      </c>
      <c r="X4024">
        <f>IF($T4024="",N($X4023),IF(MATCH($T4024,$T$6:$T$10005,0)=ROW()-5,N($X4023)+1,N($X4023)))</f>
        <v>0</v>
      </c>
      <c r="Z4024" t="str">
        <f t="shared" si="629"/>
        <v/>
      </c>
      <c r="AA4024">
        <f>IF($V4024="",N($AA4023),IF(MATCH($V4024,$V$6:$V$10005,0)=ROW()-5,N($AA4023)+1,N($AA4023)))</f>
        <v>0</v>
      </c>
    </row>
    <row r="4025" spans="1:27" ht="21" customHeight="1" x14ac:dyDescent="0.95">
      <c r="A4025" s="56"/>
      <c r="B4025" s="57"/>
      <c r="C4025" s="57"/>
      <c r="D4025" s="57"/>
      <c r="E4025" s="56"/>
      <c r="F4025" s="57"/>
      <c r="G4025" s="57"/>
      <c r="H4025" s="56"/>
      <c r="I4025" s="56"/>
      <c r="J4025" s="58"/>
      <c r="K4025" s="58"/>
      <c r="L4025" s="13" t="str">
        <f t="shared" si="620"/>
        <v/>
      </c>
      <c r="M4025" s="13" t="str">
        <f t="shared" si="621"/>
        <v/>
      </c>
      <c r="Q4025" t="str">
        <f t="shared" si="622"/>
        <v/>
      </c>
      <c r="R4025" t="str">
        <f t="shared" si="623"/>
        <v/>
      </c>
      <c r="S4025" t="str">
        <f t="shared" si="624"/>
        <v/>
      </c>
      <c r="T4025" t="str">
        <f t="shared" si="625"/>
        <v/>
      </c>
      <c r="U4025" t="str">
        <f t="shared" si="626"/>
        <v/>
      </c>
      <c r="V4025" t="str">
        <f t="shared" si="627"/>
        <v/>
      </c>
      <c r="W4025" t="str">
        <f t="shared" si="628"/>
        <v/>
      </c>
      <c r="X4025">
        <f>IF($T4025="",N($X4024),IF(MATCH($T4025,$T$6:$T$10005,0)=ROW()-5,N($X4024)+1,N($X4024)))</f>
        <v>0</v>
      </c>
      <c r="Z4025" t="str">
        <f t="shared" si="629"/>
        <v/>
      </c>
      <c r="AA4025">
        <f>IF($V4025="",N($AA4024),IF(MATCH($V4025,$V$6:$V$10005,0)=ROW()-5,N($AA4024)+1,N($AA4024)))</f>
        <v>0</v>
      </c>
    </row>
    <row r="4026" spans="1:27" ht="21" customHeight="1" x14ac:dyDescent="0.95">
      <c r="A4026" s="56"/>
      <c r="B4026" s="57"/>
      <c r="C4026" s="57"/>
      <c r="D4026" s="57"/>
      <c r="E4026" s="56"/>
      <c r="F4026" s="57"/>
      <c r="G4026" s="57"/>
      <c r="H4026" s="56"/>
      <c r="I4026" s="56"/>
      <c r="J4026" s="58"/>
      <c r="K4026" s="58"/>
      <c r="L4026" s="13" t="str">
        <f t="shared" si="620"/>
        <v/>
      </c>
      <c r="M4026" s="13" t="str">
        <f t="shared" si="621"/>
        <v/>
      </c>
      <c r="Q4026" t="str">
        <f t="shared" si="622"/>
        <v/>
      </c>
      <c r="R4026" t="str">
        <f t="shared" si="623"/>
        <v/>
      </c>
      <c r="S4026" t="str">
        <f t="shared" si="624"/>
        <v/>
      </c>
      <c r="T4026" t="str">
        <f t="shared" si="625"/>
        <v/>
      </c>
      <c r="U4026" t="str">
        <f t="shared" si="626"/>
        <v/>
      </c>
      <c r="V4026" t="str">
        <f t="shared" si="627"/>
        <v/>
      </c>
      <c r="W4026" t="str">
        <f t="shared" si="628"/>
        <v/>
      </c>
      <c r="X4026">
        <f>IF($T4026="",N($X4025),IF(MATCH($T4026,$T$6:$T$10005,0)=ROW()-5,N($X4025)+1,N($X4025)))</f>
        <v>0</v>
      </c>
      <c r="Z4026" t="str">
        <f t="shared" si="629"/>
        <v/>
      </c>
      <c r="AA4026">
        <f>IF($V4026="",N($AA4025),IF(MATCH($V4026,$V$6:$V$10005,0)=ROW()-5,N($AA4025)+1,N($AA4025)))</f>
        <v>0</v>
      </c>
    </row>
    <row r="4027" spans="1:27" ht="21" customHeight="1" x14ac:dyDescent="0.95">
      <c r="A4027" s="56"/>
      <c r="B4027" s="57"/>
      <c r="C4027" s="57"/>
      <c r="D4027" s="57"/>
      <c r="E4027" s="56"/>
      <c r="F4027" s="57"/>
      <c r="G4027" s="57"/>
      <c r="H4027" s="56"/>
      <c r="I4027" s="56"/>
      <c r="J4027" s="58"/>
      <c r="K4027" s="58"/>
      <c r="L4027" s="13" t="str">
        <f t="shared" si="620"/>
        <v/>
      </c>
      <c r="M4027" s="13" t="str">
        <f t="shared" si="621"/>
        <v/>
      </c>
      <c r="Q4027" t="str">
        <f t="shared" si="622"/>
        <v/>
      </c>
      <c r="R4027" t="str">
        <f t="shared" si="623"/>
        <v/>
      </c>
      <c r="S4027" t="str">
        <f t="shared" si="624"/>
        <v/>
      </c>
      <c r="T4027" t="str">
        <f t="shared" si="625"/>
        <v/>
      </c>
      <c r="U4027" t="str">
        <f t="shared" si="626"/>
        <v/>
      </c>
      <c r="V4027" t="str">
        <f t="shared" si="627"/>
        <v/>
      </c>
      <c r="W4027" t="str">
        <f t="shared" si="628"/>
        <v/>
      </c>
      <c r="X4027">
        <f>IF($T4027="",N($X4026),IF(MATCH($T4027,$T$6:$T$10005,0)=ROW()-5,N($X4026)+1,N($X4026)))</f>
        <v>0</v>
      </c>
      <c r="Z4027" t="str">
        <f t="shared" si="629"/>
        <v/>
      </c>
      <c r="AA4027">
        <f>IF($V4027="",N($AA4026),IF(MATCH($V4027,$V$6:$V$10005,0)=ROW()-5,N($AA4026)+1,N($AA4026)))</f>
        <v>0</v>
      </c>
    </row>
    <row r="4028" spans="1:27" ht="21" customHeight="1" x14ac:dyDescent="0.95">
      <c r="A4028" s="56"/>
      <c r="B4028" s="57"/>
      <c r="C4028" s="57"/>
      <c r="D4028" s="57"/>
      <c r="E4028" s="56"/>
      <c r="F4028" s="57"/>
      <c r="G4028" s="57"/>
      <c r="H4028" s="56"/>
      <c r="I4028" s="56"/>
      <c r="J4028" s="58"/>
      <c r="K4028" s="58"/>
      <c r="L4028" s="13" t="str">
        <f t="shared" si="620"/>
        <v/>
      </c>
      <c r="M4028" s="13" t="str">
        <f t="shared" si="621"/>
        <v/>
      </c>
      <c r="Q4028" t="str">
        <f t="shared" si="622"/>
        <v/>
      </c>
      <c r="R4028" t="str">
        <f t="shared" si="623"/>
        <v/>
      </c>
      <c r="S4028" t="str">
        <f t="shared" si="624"/>
        <v/>
      </c>
      <c r="T4028" t="str">
        <f t="shared" si="625"/>
        <v/>
      </c>
      <c r="U4028" t="str">
        <f t="shared" si="626"/>
        <v/>
      </c>
      <c r="V4028" t="str">
        <f t="shared" si="627"/>
        <v/>
      </c>
      <c r="W4028" t="str">
        <f t="shared" si="628"/>
        <v/>
      </c>
      <c r="X4028">
        <f>IF($T4028="",N($X4027),IF(MATCH($T4028,$T$6:$T$10005,0)=ROW()-5,N($X4027)+1,N($X4027)))</f>
        <v>0</v>
      </c>
      <c r="Z4028" t="str">
        <f t="shared" si="629"/>
        <v/>
      </c>
      <c r="AA4028">
        <f>IF($V4028="",N($AA4027),IF(MATCH($V4028,$V$6:$V$10005,0)=ROW()-5,N($AA4027)+1,N($AA4027)))</f>
        <v>0</v>
      </c>
    </row>
    <row r="4029" spans="1:27" ht="21" customHeight="1" x14ac:dyDescent="0.95">
      <c r="A4029" s="56"/>
      <c r="B4029" s="57"/>
      <c r="C4029" s="57"/>
      <c r="D4029" s="57"/>
      <c r="E4029" s="56"/>
      <c r="F4029" s="57"/>
      <c r="G4029" s="57"/>
      <c r="H4029" s="56"/>
      <c r="I4029" s="56"/>
      <c r="J4029" s="58"/>
      <c r="K4029" s="58"/>
      <c r="L4029" s="13" t="str">
        <f t="shared" si="620"/>
        <v/>
      </c>
      <c r="M4029" s="13" t="str">
        <f t="shared" si="621"/>
        <v/>
      </c>
      <c r="Q4029" t="str">
        <f t="shared" si="622"/>
        <v/>
      </c>
      <c r="R4029" t="str">
        <f t="shared" si="623"/>
        <v/>
      </c>
      <c r="S4029" t="str">
        <f t="shared" si="624"/>
        <v/>
      </c>
      <c r="T4029" t="str">
        <f t="shared" si="625"/>
        <v/>
      </c>
      <c r="U4029" t="str">
        <f t="shared" si="626"/>
        <v/>
      </c>
      <c r="V4029" t="str">
        <f t="shared" si="627"/>
        <v/>
      </c>
      <c r="W4029" t="str">
        <f t="shared" si="628"/>
        <v/>
      </c>
      <c r="X4029">
        <f>IF($T4029="",N($X4028),IF(MATCH($T4029,$T$6:$T$10005,0)=ROW()-5,N($X4028)+1,N($X4028)))</f>
        <v>0</v>
      </c>
      <c r="Z4029" t="str">
        <f t="shared" si="629"/>
        <v/>
      </c>
      <c r="AA4029">
        <f>IF($V4029="",N($AA4028),IF(MATCH($V4029,$V$6:$V$10005,0)=ROW()-5,N($AA4028)+1,N($AA4028)))</f>
        <v>0</v>
      </c>
    </row>
    <row r="4030" spans="1:27" ht="21" customHeight="1" x14ac:dyDescent="0.95">
      <c r="A4030" s="56"/>
      <c r="B4030" s="57"/>
      <c r="C4030" s="57"/>
      <c r="D4030" s="57"/>
      <c r="E4030" s="56"/>
      <c r="F4030" s="57"/>
      <c r="G4030" s="57"/>
      <c r="H4030" s="56"/>
      <c r="I4030" s="56"/>
      <c r="J4030" s="58"/>
      <c r="K4030" s="58"/>
      <c r="L4030" s="13" t="str">
        <f t="shared" si="620"/>
        <v/>
      </c>
      <c r="M4030" s="13" t="str">
        <f t="shared" si="621"/>
        <v/>
      </c>
      <c r="Q4030" t="str">
        <f t="shared" si="622"/>
        <v/>
      </c>
      <c r="R4030" t="str">
        <f t="shared" si="623"/>
        <v/>
      </c>
      <c r="S4030" t="str">
        <f t="shared" si="624"/>
        <v/>
      </c>
      <c r="T4030" t="str">
        <f t="shared" si="625"/>
        <v/>
      </c>
      <c r="U4030" t="str">
        <f t="shared" si="626"/>
        <v/>
      </c>
      <c r="V4030" t="str">
        <f t="shared" si="627"/>
        <v/>
      </c>
      <c r="W4030" t="str">
        <f t="shared" si="628"/>
        <v/>
      </c>
      <c r="X4030">
        <f>IF($T4030="",N($X4029),IF(MATCH($T4030,$T$6:$T$10005,0)=ROW()-5,N($X4029)+1,N($X4029)))</f>
        <v>0</v>
      </c>
      <c r="Z4030" t="str">
        <f t="shared" si="629"/>
        <v/>
      </c>
      <c r="AA4030">
        <f>IF($V4030="",N($AA4029),IF(MATCH($V4030,$V$6:$V$10005,0)=ROW()-5,N($AA4029)+1,N($AA4029)))</f>
        <v>0</v>
      </c>
    </row>
    <row r="4031" spans="1:27" ht="21" customHeight="1" x14ac:dyDescent="0.95">
      <c r="A4031" s="56"/>
      <c r="B4031" s="57"/>
      <c r="C4031" s="57"/>
      <c r="D4031" s="57"/>
      <c r="E4031" s="56"/>
      <c r="F4031" s="57"/>
      <c r="G4031" s="57"/>
      <c r="H4031" s="56"/>
      <c r="I4031" s="56"/>
      <c r="J4031" s="58"/>
      <c r="K4031" s="58"/>
      <c r="L4031" s="13" t="str">
        <f t="shared" si="620"/>
        <v/>
      </c>
      <c r="M4031" s="13" t="str">
        <f t="shared" si="621"/>
        <v/>
      </c>
      <c r="Q4031" t="str">
        <f t="shared" si="622"/>
        <v/>
      </c>
      <c r="R4031" t="str">
        <f t="shared" si="623"/>
        <v/>
      </c>
      <c r="S4031" t="str">
        <f t="shared" si="624"/>
        <v/>
      </c>
      <c r="T4031" t="str">
        <f t="shared" si="625"/>
        <v/>
      </c>
      <c r="U4031" t="str">
        <f t="shared" si="626"/>
        <v/>
      </c>
      <c r="V4031" t="str">
        <f t="shared" si="627"/>
        <v/>
      </c>
      <c r="W4031" t="str">
        <f t="shared" si="628"/>
        <v/>
      </c>
      <c r="X4031">
        <f>IF($T4031="",N($X4030),IF(MATCH($T4031,$T$6:$T$10005,0)=ROW()-5,N($X4030)+1,N($X4030)))</f>
        <v>0</v>
      </c>
      <c r="Z4031" t="str">
        <f t="shared" si="629"/>
        <v/>
      </c>
      <c r="AA4031">
        <f>IF($V4031="",N($AA4030),IF(MATCH($V4031,$V$6:$V$10005,0)=ROW()-5,N($AA4030)+1,N($AA4030)))</f>
        <v>0</v>
      </c>
    </row>
    <row r="4032" spans="1:27" ht="21" customHeight="1" x14ac:dyDescent="0.95">
      <c r="A4032" s="56"/>
      <c r="B4032" s="57"/>
      <c r="C4032" s="57"/>
      <c r="D4032" s="57"/>
      <c r="E4032" s="56"/>
      <c r="F4032" s="57"/>
      <c r="G4032" s="57"/>
      <c r="H4032" s="56"/>
      <c r="I4032" s="56"/>
      <c r="J4032" s="58"/>
      <c r="K4032" s="58"/>
      <c r="L4032" s="13" t="str">
        <f t="shared" si="620"/>
        <v/>
      </c>
      <c r="M4032" s="13" t="str">
        <f t="shared" si="621"/>
        <v/>
      </c>
      <c r="Q4032" t="str">
        <f t="shared" si="622"/>
        <v/>
      </c>
      <c r="R4032" t="str">
        <f t="shared" si="623"/>
        <v/>
      </c>
      <c r="S4032" t="str">
        <f t="shared" si="624"/>
        <v/>
      </c>
      <c r="T4032" t="str">
        <f t="shared" si="625"/>
        <v/>
      </c>
      <c r="U4032" t="str">
        <f t="shared" si="626"/>
        <v/>
      </c>
      <c r="V4032" t="str">
        <f t="shared" si="627"/>
        <v/>
      </c>
      <c r="W4032" t="str">
        <f t="shared" si="628"/>
        <v/>
      </c>
      <c r="X4032">
        <f>IF($T4032="",N($X4031),IF(MATCH($T4032,$T$6:$T$10005,0)=ROW()-5,N($X4031)+1,N($X4031)))</f>
        <v>0</v>
      </c>
      <c r="Z4032" t="str">
        <f t="shared" si="629"/>
        <v/>
      </c>
      <c r="AA4032">
        <f>IF($V4032="",N($AA4031),IF(MATCH($V4032,$V$6:$V$10005,0)=ROW()-5,N($AA4031)+1,N($AA4031)))</f>
        <v>0</v>
      </c>
    </row>
    <row r="4033" spans="1:27" ht="21" customHeight="1" x14ac:dyDescent="0.95">
      <c r="A4033" s="56"/>
      <c r="B4033" s="57"/>
      <c r="C4033" s="57"/>
      <c r="D4033" s="57"/>
      <c r="E4033" s="56"/>
      <c r="F4033" s="57"/>
      <c r="G4033" s="57"/>
      <c r="H4033" s="56"/>
      <c r="I4033" s="56"/>
      <c r="J4033" s="58"/>
      <c r="K4033" s="58"/>
      <c r="L4033" s="13" t="str">
        <f t="shared" si="620"/>
        <v/>
      </c>
      <c r="M4033" s="13" t="str">
        <f t="shared" si="621"/>
        <v/>
      </c>
      <c r="Q4033" t="str">
        <f t="shared" si="622"/>
        <v/>
      </c>
      <c r="R4033" t="str">
        <f t="shared" si="623"/>
        <v/>
      </c>
      <c r="S4033" t="str">
        <f t="shared" si="624"/>
        <v/>
      </c>
      <c r="T4033" t="str">
        <f t="shared" si="625"/>
        <v/>
      </c>
      <c r="U4033" t="str">
        <f t="shared" si="626"/>
        <v/>
      </c>
      <c r="V4033" t="str">
        <f t="shared" si="627"/>
        <v/>
      </c>
      <c r="W4033" t="str">
        <f t="shared" si="628"/>
        <v/>
      </c>
      <c r="X4033">
        <f>IF($T4033="",N($X4032),IF(MATCH($T4033,$T$6:$T$10005,0)=ROW()-5,N($X4032)+1,N($X4032)))</f>
        <v>0</v>
      </c>
      <c r="Z4033" t="str">
        <f t="shared" si="629"/>
        <v/>
      </c>
      <c r="AA4033">
        <f>IF($V4033="",N($AA4032),IF(MATCH($V4033,$V$6:$V$10005,0)=ROW()-5,N($AA4032)+1,N($AA4032)))</f>
        <v>0</v>
      </c>
    </row>
    <row r="4034" spans="1:27" ht="21" customHeight="1" x14ac:dyDescent="0.95">
      <c r="A4034" s="56"/>
      <c r="B4034" s="57"/>
      <c r="C4034" s="57"/>
      <c r="D4034" s="57"/>
      <c r="E4034" s="56"/>
      <c r="F4034" s="57"/>
      <c r="G4034" s="57"/>
      <c r="H4034" s="56"/>
      <c r="I4034" s="56"/>
      <c r="J4034" s="58"/>
      <c r="K4034" s="58"/>
      <c r="L4034" s="13" t="str">
        <f t="shared" si="620"/>
        <v/>
      </c>
      <c r="M4034" s="13" t="str">
        <f t="shared" si="621"/>
        <v/>
      </c>
      <c r="Q4034" t="str">
        <f t="shared" si="622"/>
        <v/>
      </c>
      <c r="R4034" t="str">
        <f t="shared" si="623"/>
        <v/>
      </c>
      <c r="S4034" t="str">
        <f t="shared" si="624"/>
        <v/>
      </c>
      <c r="T4034" t="str">
        <f t="shared" si="625"/>
        <v/>
      </c>
      <c r="U4034" t="str">
        <f t="shared" si="626"/>
        <v/>
      </c>
      <c r="V4034" t="str">
        <f t="shared" si="627"/>
        <v/>
      </c>
      <c r="W4034" t="str">
        <f t="shared" si="628"/>
        <v/>
      </c>
      <c r="X4034">
        <f>IF($T4034="",N($X4033),IF(MATCH($T4034,$T$6:$T$10005,0)=ROW()-5,N($X4033)+1,N($X4033)))</f>
        <v>0</v>
      </c>
      <c r="Z4034" t="str">
        <f t="shared" si="629"/>
        <v/>
      </c>
      <c r="AA4034">
        <f>IF($V4034="",N($AA4033),IF(MATCH($V4034,$V$6:$V$10005,0)=ROW()-5,N($AA4033)+1,N($AA4033)))</f>
        <v>0</v>
      </c>
    </row>
    <row r="4035" spans="1:27" ht="21" customHeight="1" x14ac:dyDescent="0.95">
      <c r="A4035" s="56"/>
      <c r="B4035" s="57"/>
      <c r="C4035" s="57"/>
      <c r="D4035" s="57"/>
      <c r="E4035" s="56"/>
      <c r="F4035" s="57"/>
      <c r="G4035" s="57"/>
      <c r="H4035" s="56"/>
      <c r="I4035" s="56"/>
      <c r="J4035" s="58"/>
      <c r="K4035" s="58"/>
      <c r="L4035" s="13" t="str">
        <f t="shared" si="620"/>
        <v/>
      </c>
      <c r="M4035" s="13" t="str">
        <f t="shared" si="621"/>
        <v/>
      </c>
      <c r="Q4035" t="str">
        <f t="shared" si="622"/>
        <v/>
      </c>
      <c r="R4035" t="str">
        <f t="shared" si="623"/>
        <v/>
      </c>
      <c r="S4035" t="str">
        <f t="shared" si="624"/>
        <v/>
      </c>
      <c r="T4035" t="str">
        <f t="shared" si="625"/>
        <v/>
      </c>
      <c r="U4035" t="str">
        <f t="shared" si="626"/>
        <v/>
      </c>
      <c r="V4035" t="str">
        <f t="shared" si="627"/>
        <v/>
      </c>
      <c r="W4035" t="str">
        <f t="shared" si="628"/>
        <v/>
      </c>
      <c r="X4035">
        <f>IF($T4035="",N($X4034),IF(MATCH($T4035,$T$6:$T$10005,0)=ROW()-5,N($X4034)+1,N($X4034)))</f>
        <v>0</v>
      </c>
      <c r="Z4035" t="str">
        <f t="shared" si="629"/>
        <v/>
      </c>
      <c r="AA4035">
        <f>IF($V4035="",N($AA4034),IF(MATCH($V4035,$V$6:$V$10005,0)=ROW()-5,N($AA4034)+1,N($AA4034)))</f>
        <v>0</v>
      </c>
    </row>
    <row r="4036" spans="1:27" ht="21" customHeight="1" x14ac:dyDescent="0.95">
      <c r="A4036" s="56"/>
      <c r="B4036" s="57"/>
      <c r="C4036" s="57"/>
      <c r="D4036" s="57"/>
      <c r="E4036" s="56"/>
      <c r="F4036" s="57"/>
      <c r="G4036" s="57"/>
      <c r="H4036" s="56"/>
      <c r="I4036" s="56"/>
      <c r="J4036" s="58"/>
      <c r="K4036" s="58"/>
      <c r="L4036" s="13" t="str">
        <f t="shared" si="620"/>
        <v/>
      </c>
      <c r="M4036" s="13" t="str">
        <f t="shared" si="621"/>
        <v/>
      </c>
      <c r="Q4036" t="str">
        <f t="shared" si="622"/>
        <v/>
      </c>
      <c r="R4036" t="str">
        <f t="shared" si="623"/>
        <v/>
      </c>
      <c r="S4036" t="str">
        <f t="shared" si="624"/>
        <v/>
      </c>
      <c r="T4036" t="str">
        <f t="shared" si="625"/>
        <v/>
      </c>
      <c r="U4036" t="str">
        <f t="shared" si="626"/>
        <v/>
      </c>
      <c r="V4036" t="str">
        <f t="shared" si="627"/>
        <v/>
      </c>
      <c r="W4036" t="str">
        <f t="shared" si="628"/>
        <v/>
      </c>
      <c r="X4036">
        <f>IF($T4036="",N($X4035),IF(MATCH($T4036,$T$6:$T$10005,0)=ROW()-5,N($X4035)+1,N($X4035)))</f>
        <v>0</v>
      </c>
      <c r="Z4036" t="str">
        <f t="shared" si="629"/>
        <v/>
      </c>
      <c r="AA4036">
        <f>IF($V4036="",N($AA4035),IF(MATCH($V4036,$V$6:$V$10005,0)=ROW()-5,N($AA4035)+1,N($AA4035)))</f>
        <v>0</v>
      </c>
    </row>
    <row r="4037" spans="1:27" ht="21" customHeight="1" x14ac:dyDescent="0.95">
      <c r="A4037" s="56"/>
      <c r="B4037" s="57"/>
      <c r="C4037" s="57"/>
      <c r="D4037" s="57"/>
      <c r="E4037" s="56"/>
      <c r="F4037" s="57"/>
      <c r="G4037" s="57"/>
      <c r="H4037" s="56"/>
      <c r="I4037" s="56"/>
      <c r="J4037" s="58"/>
      <c r="K4037" s="58"/>
      <c r="L4037" s="13" t="str">
        <f t="shared" si="620"/>
        <v/>
      </c>
      <c r="M4037" s="13" t="str">
        <f t="shared" si="621"/>
        <v/>
      </c>
      <c r="Q4037" t="str">
        <f t="shared" si="622"/>
        <v/>
      </c>
      <c r="R4037" t="str">
        <f t="shared" si="623"/>
        <v/>
      </c>
      <c r="S4037" t="str">
        <f t="shared" si="624"/>
        <v/>
      </c>
      <c r="T4037" t="str">
        <f t="shared" si="625"/>
        <v/>
      </c>
      <c r="U4037" t="str">
        <f t="shared" si="626"/>
        <v/>
      </c>
      <c r="V4037" t="str">
        <f t="shared" si="627"/>
        <v/>
      </c>
      <c r="W4037" t="str">
        <f t="shared" si="628"/>
        <v/>
      </c>
      <c r="X4037">
        <f>IF($T4037="",N($X4036),IF(MATCH($T4037,$T$6:$T$10005,0)=ROW()-5,N($X4036)+1,N($X4036)))</f>
        <v>0</v>
      </c>
      <c r="Z4037" t="str">
        <f t="shared" si="629"/>
        <v/>
      </c>
      <c r="AA4037">
        <f>IF($V4037="",N($AA4036),IF(MATCH($V4037,$V$6:$V$10005,0)=ROW()-5,N($AA4036)+1,N($AA4036)))</f>
        <v>0</v>
      </c>
    </row>
    <row r="4038" spans="1:27" ht="21" customHeight="1" x14ac:dyDescent="0.95">
      <c r="A4038" s="56"/>
      <c r="B4038" s="57"/>
      <c r="C4038" s="57"/>
      <c r="D4038" s="57"/>
      <c r="E4038" s="56"/>
      <c r="F4038" s="57"/>
      <c r="G4038" s="57"/>
      <c r="H4038" s="56"/>
      <c r="I4038" s="56"/>
      <c r="J4038" s="58"/>
      <c r="K4038" s="58"/>
      <c r="L4038" s="13" t="str">
        <f t="shared" ref="L4038:L4101" si="630">IF(OR($A4038="",AND($J4038="",$K4038="")),"",ROUND(N($J4038)-N($K4038),2))</f>
        <v/>
      </c>
      <c r="M4038" s="13" t="str">
        <f t="shared" ref="M4038:M4101" si="631">IF(OR($A4038="",AND($J4038="",$K4038="")),"",MIN($J4038,$K4038))</f>
        <v/>
      </c>
      <c r="Q4038" t="str">
        <f t="shared" ref="Q4038:Q4101" si="632">IF($A4038="","",$D4038&amp;"("&amp;SUBSTITUTE($E4038," ","")&amp;")")</f>
        <v/>
      </c>
      <c r="R4038" t="str">
        <f t="shared" ref="R4038:R4101" si="633">IF($A4038="","",$B4038&amp;" - "&amp;$C4038)</f>
        <v/>
      </c>
      <c r="S4038" t="str">
        <f t="shared" ref="S4038:S4101" si="634">IF($A4038="","",$R4038&amp;"|"&amp;$Q4038)</f>
        <v/>
      </c>
      <c r="T4038" t="str">
        <f t="shared" ref="T4038:T4101" si="635">IF($A4038="","",$S4038&amp;"|"&amp;$F4038)</f>
        <v/>
      </c>
      <c r="U4038" t="str">
        <f t="shared" ref="U4038:U4101" si="636">IF($A4038="","",$R4038&amp;"("&amp;$E4038&amp;")")</f>
        <v/>
      </c>
      <c r="V4038" t="str">
        <f t="shared" ref="V4038:V4101" si="637">IF($A4038="","",$F4038&amp;"|"&amp;$U4038&amp;"|"&amp;$D4038)</f>
        <v/>
      </c>
      <c r="W4038" t="str">
        <f t="shared" ref="W4038:W4101" si="638">IF($T4038="","",IF($X4038&gt;N($X4037),$X4038,""))</f>
        <v/>
      </c>
      <c r="X4038">
        <f>IF($T4038="",N($X4037),IF(MATCH($T4038,$T$6:$T$10005,0)=ROW()-5,N($X4037)+1,N($X4037)))</f>
        <v>0</v>
      </c>
      <c r="Z4038" t="str">
        <f t="shared" ref="Z4038:Z4101" si="639">IF($V4038="","",IF($AA4038&gt;N($AA4037),$AA4038,""))</f>
        <v/>
      </c>
      <c r="AA4038">
        <f>IF($V4038="",N($AA4037),IF(MATCH($V4038,$V$6:$V$10005,0)=ROW()-5,N($AA4037)+1,N($AA4037)))</f>
        <v>0</v>
      </c>
    </row>
    <row r="4039" spans="1:27" ht="21" customHeight="1" x14ac:dyDescent="0.95">
      <c r="A4039" s="56"/>
      <c r="B4039" s="57"/>
      <c r="C4039" s="57"/>
      <c r="D4039" s="57"/>
      <c r="E4039" s="56"/>
      <c r="F4039" s="57"/>
      <c r="G4039" s="57"/>
      <c r="H4039" s="56"/>
      <c r="I4039" s="56"/>
      <c r="J4039" s="58"/>
      <c r="K4039" s="58"/>
      <c r="L4039" s="13" t="str">
        <f t="shared" si="630"/>
        <v/>
      </c>
      <c r="M4039" s="13" t="str">
        <f t="shared" si="631"/>
        <v/>
      </c>
      <c r="Q4039" t="str">
        <f t="shared" si="632"/>
        <v/>
      </c>
      <c r="R4039" t="str">
        <f t="shared" si="633"/>
        <v/>
      </c>
      <c r="S4039" t="str">
        <f t="shared" si="634"/>
        <v/>
      </c>
      <c r="T4039" t="str">
        <f t="shared" si="635"/>
        <v/>
      </c>
      <c r="U4039" t="str">
        <f t="shared" si="636"/>
        <v/>
      </c>
      <c r="V4039" t="str">
        <f t="shared" si="637"/>
        <v/>
      </c>
      <c r="W4039" t="str">
        <f t="shared" si="638"/>
        <v/>
      </c>
      <c r="X4039">
        <f>IF($T4039="",N($X4038),IF(MATCH($T4039,$T$6:$T$10005,0)=ROW()-5,N($X4038)+1,N($X4038)))</f>
        <v>0</v>
      </c>
      <c r="Z4039" t="str">
        <f t="shared" si="639"/>
        <v/>
      </c>
      <c r="AA4039">
        <f>IF($V4039="",N($AA4038),IF(MATCH($V4039,$V$6:$V$10005,0)=ROW()-5,N($AA4038)+1,N($AA4038)))</f>
        <v>0</v>
      </c>
    </row>
    <row r="4040" spans="1:27" ht="21" customHeight="1" x14ac:dyDescent="0.95">
      <c r="A4040" s="56"/>
      <c r="B4040" s="57"/>
      <c r="C4040" s="57"/>
      <c r="D4040" s="57"/>
      <c r="E4040" s="56"/>
      <c r="F4040" s="57"/>
      <c r="G4040" s="57"/>
      <c r="H4040" s="56"/>
      <c r="I4040" s="56"/>
      <c r="J4040" s="58"/>
      <c r="K4040" s="58"/>
      <c r="L4040" s="13" t="str">
        <f t="shared" si="630"/>
        <v/>
      </c>
      <c r="M4040" s="13" t="str">
        <f t="shared" si="631"/>
        <v/>
      </c>
      <c r="Q4040" t="str">
        <f t="shared" si="632"/>
        <v/>
      </c>
      <c r="R4040" t="str">
        <f t="shared" si="633"/>
        <v/>
      </c>
      <c r="S4040" t="str">
        <f t="shared" si="634"/>
        <v/>
      </c>
      <c r="T4040" t="str">
        <f t="shared" si="635"/>
        <v/>
      </c>
      <c r="U4040" t="str">
        <f t="shared" si="636"/>
        <v/>
      </c>
      <c r="V4040" t="str">
        <f t="shared" si="637"/>
        <v/>
      </c>
      <c r="W4040" t="str">
        <f t="shared" si="638"/>
        <v/>
      </c>
      <c r="X4040">
        <f>IF($T4040="",N($X4039),IF(MATCH($T4040,$T$6:$T$10005,0)=ROW()-5,N($X4039)+1,N($X4039)))</f>
        <v>0</v>
      </c>
      <c r="Z4040" t="str">
        <f t="shared" si="639"/>
        <v/>
      </c>
      <c r="AA4040">
        <f>IF($V4040="",N($AA4039),IF(MATCH($V4040,$V$6:$V$10005,0)=ROW()-5,N($AA4039)+1,N($AA4039)))</f>
        <v>0</v>
      </c>
    </row>
    <row r="4041" spans="1:27" ht="21" customHeight="1" x14ac:dyDescent="0.95">
      <c r="A4041" s="56"/>
      <c r="B4041" s="57"/>
      <c r="C4041" s="57"/>
      <c r="D4041" s="57"/>
      <c r="E4041" s="56"/>
      <c r="F4041" s="57"/>
      <c r="G4041" s="57"/>
      <c r="H4041" s="56"/>
      <c r="I4041" s="56"/>
      <c r="J4041" s="58"/>
      <c r="K4041" s="58"/>
      <c r="L4041" s="13" t="str">
        <f t="shared" si="630"/>
        <v/>
      </c>
      <c r="M4041" s="13" t="str">
        <f t="shared" si="631"/>
        <v/>
      </c>
      <c r="Q4041" t="str">
        <f t="shared" si="632"/>
        <v/>
      </c>
      <c r="R4041" t="str">
        <f t="shared" si="633"/>
        <v/>
      </c>
      <c r="S4041" t="str">
        <f t="shared" si="634"/>
        <v/>
      </c>
      <c r="T4041" t="str">
        <f t="shared" si="635"/>
        <v/>
      </c>
      <c r="U4041" t="str">
        <f t="shared" si="636"/>
        <v/>
      </c>
      <c r="V4041" t="str">
        <f t="shared" si="637"/>
        <v/>
      </c>
      <c r="W4041" t="str">
        <f t="shared" si="638"/>
        <v/>
      </c>
      <c r="X4041">
        <f>IF($T4041="",N($X4040),IF(MATCH($T4041,$T$6:$T$10005,0)=ROW()-5,N($X4040)+1,N($X4040)))</f>
        <v>0</v>
      </c>
      <c r="Z4041" t="str">
        <f t="shared" si="639"/>
        <v/>
      </c>
      <c r="AA4041">
        <f>IF($V4041="",N($AA4040),IF(MATCH($V4041,$V$6:$V$10005,0)=ROW()-5,N($AA4040)+1,N($AA4040)))</f>
        <v>0</v>
      </c>
    </row>
    <row r="4042" spans="1:27" ht="21" customHeight="1" x14ac:dyDescent="0.95">
      <c r="A4042" s="56"/>
      <c r="B4042" s="57"/>
      <c r="C4042" s="57"/>
      <c r="D4042" s="57"/>
      <c r="E4042" s="56"/>
      <c r="F4042" s="57"/>
      <c r="G4042" s="57"/>
      <c r="H4042" s="56"/>
      <c r="I4042" s="56"/>
      <c r="J4042" s="58"/>
      <c r="K4042" s="58"/>
      <c r="L4042" s="13" t="str">
        <f t="shared" si="630"/>
        <v/>
      </c>
      <c r="M4042" s="13" t="str">
        <f t="shared" si="631"/>
        <v/>
      </c>
      <c r="Q4042" t="str">
        <f t="shared" si="632"/>
        <v/>
      </c>
      <c r="R4042" t="str">
        <f t="shared" si="633"/>
        <v/>
      </c>
      <c r="S4042" t="str">
        <f t="shared" si="634"/>
        <v/>
      </c>
      <c r="T4042" t="str">
        <f t="shared" si="635"/>
        <v/>
      </c>
      <c r="U4042" t="str">
        <f t="shared" si="636"/>
        <v/>
      </c>
      <c r="V4042" t="str">
        <f t="shared" si="637"/>
        <v/>
      </c>
      <c r="W4042" t="str">
        <f t="shared" si="638"/>
        <v/>
      </c>
      <c r="X4042">
        <f>IF($T4042="",N($X4041),IF(MATCH($T4042,$T$6:$T$10005,0)=ROW()-5,N($X4041)+1,N($X4041)))</f>
        <v>0</v>
      </c>
      <c r="Z4042" t="str">
        <f t="shared" si="639"/>
        <v/>
      </c>
      <c r="AA4042">
        <f>IF($V4042="",N($AA4041),IF(MATCH($V4042,$V$6:$V$10005,0)=ROW()-5,N($AA4041)+1,N($AA4041)))</f>
        <v>0</v>
      </c>
    </row>
    <row r="4043" spans="1:27" ht="21" customHeight="1" x14ac:dyDescent="0.95">
      <c r="A4043" s="56"/>
      <c r="B4043" s="57"/>
      <c r="C4043" s="57"/>
      <c r="D4043" s="57"/>
      <c r="E4043" s="56"/>
      <c r="F4043" s="57"/>
      <c r="G4043" s="57"/>
      <c r="H4043" s="56"/>
      <c r="I4043" s="56"/>
      <c r="J4043" s="58"/>
      <c r="K4043" s="58"/>
      <c r="L4043" s="13" t="str">
        <f t="shared" si="630"/>
        <v/>
      </c>
      <c r="M4043" s="13" t="str">
        <f t="shared" si="631"/>
        <v/>
      </c>
      <c r="Q4043" t="str">
        <f t="shared" si="632"/>
        <v/>
      </c>
      <c r="R4043" t="str">
        <f t="shared" si="633"/>
        <v/>
      </c>
      <c r="S4043" t="str">
        <f t="shared" si="634"/>
        <v/>
      </c>
      <c r="T4043" t="str">
        <f t="shared" si="635"/>
        <v/>
      </c>
      <c r="U4043" t="str">
        <f t="shared" si="636"/>
        <v/>
      </c>
      <c r="V4043" t="str">
        <f t="shared" si="637"/>
        <v/>
      </c>
      <c r="W4043" t="str">
        <f t="shared" si="638"/>
        <v/>
      </c>
      <c r="X4043">
        <f>IF($T4043="",N($X4042),IF(MATCH($T4043,$T$6:$T$10005,0)=ROW()-5,N($X4042)+1,N($X4042)))</f>
        <v>0</v>
      </c>
      <c r="Z4043" t="str">
        <f t="shared" si="639"/>
        <v/>
      </c>
      <c r="AA4043">
        <f>IF($V4043="",N($AA4042),IF(MATCH($V4043,$V$6:$V$10005,0)=ROW()-5,N($AA4042)+1,N($AA4042)))</f>
        <v>0</v>
      </c>
    </row>
    <row r="4044" spans="1:27" ht="21" customHeight="1" x14ac:dyDescent="0.95">
      <c r="A4044" s="56"/>
      <c r="B4044" s="57"/>
      <c r="C4044" s="57"/>
      <c r="D4044" s="57"/>
      <c r="E4044" s="56"/>
      <c r="F4044" s="57"/>
      <c r="G4044" s="57"/>
      <c r="H4044" s="56"/>
      <c r="I4044" s="56"/>
      <c r="J4044" s="58"/>
      <c r="K4044" s="58"/>
      <c r="L4044" s="13" t="str">
        <f t="shared" si="630"/>
        <v/>
      </c>
      <c r="M4044" s="13" t="str">
        <f t="shared" si="631"/>
        <v/>
      </c>
      <c r="Q4044" t="str">
        <f t="shared" si="632"/>
        <v/>
      </c>
      <c r="R4044" t="str">
        <f t="shared" si="633"/>
        <v/>
      </c>
      <c r="S4044" t="str">
        <f t="shared" si="634"/>
        <v/>
      </c>
      <c r="T4044" t="str">
        <f t="shared" si="635"/>
        <v/>
      </c>
      <c r="U4044" t="str">
        <f t="shared" si="636"/>
        <v/>
      </c>
      <c r="V4044" t="str">
        <f t="shared" si="637"/>
        <v/>
      </c>
      <c r="W4044" t="str">
        <f t="shared" si="638"/>
        <v/>
      </c>
      <c r="X4044">
        <f>IF($T4044="",N($X4043),IF(MATCH($T4044,$T$6:$T$10005,0)=ROW()-5,N($X4043)+1,N($X4043)))</f>
        <v>0</v>
      </c>
      <c r="Z4044" t="str">
        <f t="shared" si="639"/>
        <v/>
      </c>
      <c r="AA4044">
        <f>IF($V4044="",N($AA4043),IF(MATCH($V4044,$V$6:$V$10005,0)=ROW()-5,N($AA4043)+1,N($AA4043)))</f>
        <v>0</v>
      </c>
    </row>
    <row r="4045" spans="1:27" ht="21" customHeight="1" x14ac:dyDescent="0.95">
      <c r="A4045" s="56"/>
      <c r="B4045" s="57"/>
      <c r="C4045" s="57"/>
      <c r="D4045" s="57"/>
      <c r="E4045" s="56"/>
      <c r="F4045" s="57"/>
      <c r="G4045" s="57"/>
      <c r="H4045" s="56"/>
      <c r="I4045" s="56"/>
      <c r="J4045" s="58"/>
      <c r="K4045" s="58"/>
      <c r="L4045" s="13" t="str">
        <f t="shared" si="630"/>
        <v/>
      </c>
      <c r="M4045" s="13" t="str">
        <f t="shared" si="631"/>
        <v/>
      </c>
      <c r="Q4045" t="str">
        <f t="shared" si="632"/>
        <v/>
      </c>
      <c r="R4045" t="str">
        <f t="shared" si="633"/>
        <v/>
      </c>
      <c r="S4045" t="str">
        <f t="shared" si="634"/>
        <v/>
      </c>
      <c r="T4045" t="str">
        <f t="shared" si="635"/>
        <v/>
      </c>
      <c r="U4045" t="str">
        <f t="shared" si="636"/>
        <v/>
      </c>
      <c r="V4045" t="str">
        <f t="shared" si="637"/>
        <v/>
      </c>
      <c r="W4045" t="str">
        <f t="shared" si="638"/>
        <v/>
      </c>
      <c r="X4045">
        <f>IF($T4045="",N($X4044),IF(MATCH($T4045,$T$6:$T$10005,0)=ROW()-5,N($X4044)+1,N($X4044)))</f>
        <v>0</v>
      </c>
      <c r="Z4045" t="str">
        <f t="shared" si="639"/>
        <v/>
      </c>
      <c r="AA4045">
        <f>IF($V4045="",N($AA4044),IF(MATCH($V4045,$V$6:$V$10005,0)=ROW()-5,N($AA4044)+1,N($AA4044)))</f>
        <v>0</v>
      </c>
    </row>
    <row r="4046" spans="1:27" ht="21" customHeight="1" x14ac:dyDescent="0.95">
      <c r="A4046" s="56"/>
      <c r="B4046" s="57"/>
      <c r="C4046" s="57"/>
      <c r="D4046" s="57"/>
      <c r="E4046" s="56"/>
      <c r="F4046" s="57"/>
      <c r="G4046" s="57"/>
      <c r="H4046" s="56"/>
      <c r="I4046" s="56"/>
      <c r="J4046" s="58"/>
      <c r="K4046" s="58"/>
      <c r="L4046" s="13" t="str">
        <f t="shared" si="630"/>
        <v/>
      </c>
      <c r="M4046" s="13" t="str">
        <f t="shared" si="631"/>
        <v/>
      </c>
      <c r="Q4046" t="str">
        <f t="shared" si="632"/>
        <v/>
      </c>
      <c r="R4046" t="str">
        <f t="shared" si="633"/>
        <v/>
      </c>
      <c r="S4046" t="str">
        <f t="shared" si="634"/>
        <v/>
      </c>
      <c r="T4046" t="str">
        <f t="shared" si="635"/>
        <v/>
      </c>
      <c r="U4046" t="str">
        <f t="shared" si="636"/>
        <v/>
      </c>
      <c r="V4046" t="str">
        <f t="shared" si="637"/>
        <v/>
      </c>
      <c r="W4046" t="str">
        <f t="shared" si="638"/>
        <v/>
      </c>
      <c r="X4046">
        <f>IF($T4046="",N($X4045),IF(MATCH($T4046,$T$6:$T$10005,0)=ROW()-5,N($X4045)+1,N($X4045)))</f>
        <v>0</v>
      </c>
      <c r="Z4046" t="str">
        <f t="shared" si="639"/>
        <v/>
      </c>
      <c r="AA4046">
        <f>IF($V4046="",N($AA4045),IF(MATCH($V4046,$V$6:$V$10005,0)=ROW()-5,N($AA4045)+1,N($AA4045)))</f>
        <v>0</v>
      </c>
    </row>
    <row r="4047" spans="1:27" ht="21" customHeight="1" x14ac:dyDescent="0.95">
      <c r="A4047" s="56"/>
      <c r="B4047" s="57"/>
      <c r="C4047" s="57"/>
      <c r="D4047" s="57"/>
      <c r="E4047" s="56"/>
      <c r="F4047" s="57"/>
      <c r="G4047" s="57"/>
      <c r="H4047" s="56"/>
      <c r="I4047" s="56"/>
      <c r="J4047" s="58"/>
      <c r="K4047" s="58"/>
      <c r="L4047" s="13" t="str">
        <f t="shared" si="630"/>
        <v/>
      </c>
      <c r="M4047" s="13" t="str">
        <f t="shared" si="631"/>
        <v/>
      </c>
      <c r="Q4047" t="str">
        <f t="shared" si="632"/>
        <v/>
      </c>
      <c r="R4047" t="str">
        <f t="shared" si="633"/>
        <v/>
      </c>
      <c r="S4047" t="str">
        <f t="shared" si="634"/>
        <v/>
      </c>
      <c r="T4047" t="str">
        <f t="shared" si="635"/>
        <v/>
      </c>
      <c r="U4047" t="str">
        <f t="shared" si="636"/>
        <v/>
      </c>
      <c r="V4047" t="str">
        <f t="shared" si="637"/>
        <v/>
      </c>
      <c r="W4047" t="str">
        <f t="shared" si="638"/>
        <v/>
      </c>
      <c r="X4047">
        <f>IF($T4047="",N($X4046),IF(MATCH($T4047,$T$6:$T$10005,0)=ROW()-5,N($X4046)+1,N($X4046)))</f>
        <v>0</v>
      </c>
      <c r="Z4047" t="str">
        <f t="shared" si="639"/>
        <v/>
      </c>
      <c r="AA4047">
        <f>IF($V4047="",N($AA4046),IF(MATCH($V4047,$V$6:$V$10005,0)=ROW()-5,N($AA4046)+1,N($AA4046)))</f>
        <v>0</v>
      </c>
    </row>
    <row r="4048" spans="1:27" ht="21" customHeight="1" x14ac:dyDescent="0.95">
      <c r="A4048" s="56"/>
      <c r="B4048" s="57"/>
      <c r="C4048" s="57"/>
      <c r="D4048" s="57"/>
      <c r="E4048" s="56"/>
      <c r="F4048" s="57"/>
      <c r="G4048" s="57"/>
      <c r="H4048" s="56"/>
      <c r="I4048" s="56"/>
      <c r="J4048" s="58"/>
      <c r="K4048" s="58"/>
      <c r="L4048" s="13" t="str">
        <f t="shared" si="630"/>
        <v/>
      </c>
      <c r="M4048" s="13" t="str">
        <f t="shared" si="631"/>
        <v/>
      </c>
      <c r="Q4048" t="str">
        <f t="shared" si="632"/>
        <v/>
      </c>
      <c r="R4048" t="str">
        <f t="shared" si="633"/>
        <v/>
      </c>
      <c r="S4048" t="str">
        <f t="shared" si="634"/>
        <v/>
      </c>
      <c r="T4048" t="str">
        <f t="shared" si="635"/>
        <v/>
      </c>
      <c r="U4048" t="str">
        <f t="shared" si="636"/>
        <v/>
      </c>
      <c r="V4048" t="str">
        <f t="shared" si="637"/>
        <v/>
      </c>
      <c r="W4048" t="str">
        <f t="shared" si="638"/>
        <v/>
      </c>
      <c r="X4048">
        <f>IF($T4048="",N($X4047),IF(MATCH($T4048,$T$6:$T$10005,0)=ROW()-5,N($X4047)+1,N($X4047)))</f>
        <v>0</v>
      </c>
      <c r="Z4048" t="str">
        <f t="shared" si="639"/>
        <v/>
      </c>
      <c r="AA4048">
        <f>IF($V4048="",N($AA4047),IF(MATCH($V4048,$V$6:$V$10005,0)=ROW()-5,N($AA4047)+1,N($AA4047)))</f>
        <v>0</v>
      </c>
    </row>
    <row r="4049" spans="1:27" ht="21" customHeight="1" x14ac:dyDescent="0.95">
      <c r="A4049" s="56"/>
      <c r="B4049" s="57"/>
      <c r="C4049" s="57"/>
      <c r="D4049" s="57"/>
      <c r="E4049" s="56"/>
      <c r="F4049" s="57"/>
      <c r="G4049" s="57"/>
      <c r="H4049" s="56"/>
      <c r="I4049" s="56"/>
      <c r="J4049" s="58"/>
      <c r="K4049" s="58"/>
      <c r="L4049" s="13" t="str">
        <f t="shared" si="630"/>
        <v/>
      </c>
      <c r="M4049" s="13" t="str">
        <f t="shared" si="631"/>
        <v/>
      </c>
      <c r="Q4049" t="str">
        <f t="shared" si="632"/>
        <v/>
      </c>
      <c r="R4049" t="str">
        <f t="shared" si="633"/>
        <v/>
      </c>
      <c r="S4049" t="str">
        <f t="shared" si="634"/>
        <v/>
      </c>
      <c r="T4049" t="str">
        <f t="shared" si="635"/>
        <v/>
      </c>
      <c r="U4049" t="str">
        <f t="shared" si="636"/>
        <v/>
      </c>
      <c r="V4049" t="str">
        <f t="shared" si="637"/>
        <v/>
      </c>
      <c r="W4049" t="str">
        <f t="shared" si="638"/>
        <v/>
      </c>
      <c r="X4049">
        <f>IF($T4049="",N($X4048),IF(MATCH($T4049,$T$6:$T$10005,0)=ROW()-5,N($X4048)+1,N($X4048)))</f>
        <v>0</v>
      </c>
      <c r="Z4049" t="str">
        <f t="shared" si="639"/>
        <v/>
      </c>
      <c r="AA4049">
        <f>IF($V4049="",N($AA4048),IF(MATCH($V4049,$V$6:$V$10005,0)=ROW()-5,N($AA4048)+1,N($AA4048)))</f>
        <v>0</v>
      </c>
    </row>
    <row r="4050" spans="1:27" ht="21" customHeight="1" x14ac:dyDescent="0.95">
      <c r="A4050" s="56"/>
      <c r="B4050" s="57"/>
      <c r="C4050" s="57"/>
      <c r="D4050" s="57"/>
      <c r="E4050" s="56"/>
      <c r="F4050" s="57"/>
      <c r="G4050" s="57"/>
      <c r="H4050" s="56"/>
      <c r="I4050" s="56"/>
      <c r="J4050" s="58"/>
      <c r="K4050" s="58"/>
      <c r="L4050" s="13" t="str">
        <f t="shared" si="630"/>
        <v/>
      </c>
      <c r="M4050" s="13" t="str">
        <f t="shared" si="631"/>
        <v/>
      </c>
      <c r="Q4050" t="str">
        <f t="shared" si="632"/>
        <v/>
      </c>
      <c r="R4050" t="str">
        <f t="shared" si="633"/>
        <v/>
      </c>
      <c r="S4050" t="str">
        <f t="shared" si="634"/>
        <v/>
      </c>
      <c r="T4050" t="str">
        <f t="shared" si="635"/>
        <v/>
      </c>
      <c r="U4050" t="str">
        <f t="shared" si="636"/>
        <v/>
      </c>
      <c r="V4050" t="str">
        <f t="shared" si="637"/>
        <v/>
      </c>
      <c r="W4050" t="str">
        <f t="shared" si="638"/>
        <v/>
      </c>
      <c r="X4050">
        <f>IF($T4050="",N($X4049),IF(MATCH($T4050,$T$6:$T$10005,0)=ROW()-5,N($X4049)+1,N($X4049)))</f>
        <v>0</v>
      </c>
      <c r="Z4050" t="str">
        <f t="shared" si="639"/>
        <v/>
      </c>
      <c r="AA4050">
        <f>IF($V4050="",N($AA4049),IF(MATCH($V4050,$V$6:$V$10005,0)=ROW()-5,N($AA4049)+1,N($AA4049)))</f>
        <v>0</v>
      </c>
    </row>
    <row r="4051" spans="1:27" ht="21" customHeight="1" x14ac:dyDescent="0.95">
      <c r="A4051" s="56"/>
      <c r="B4051" s="57"/>
      <c r="C4051" s="57"/>
      <c r="D4051" s="57"/>
      <c r="E4051" s="56"/>
      <c r="F4051" s="57"/>
      <c r="G4051" s="57"/>
      <c r="H4051" s="56"/>
      <c r="I4051" s="56"/>
      <c r="J4051" s="58"/>
      <c r="K4051" s="58"/>
      <c r="L4051" s="13" t="str">
        <f t="shared" si="630"/>
        <v/>
      </c>
      <c r="M4051" s="13" t="str">
        <f t="shared" si="631"/>
        <v/>
      </c>
      <c r="Q4051" t="str">
        <f t="shared" si="632"/>
        <v/>
      </c>
      <c r="R4051" t="str">
        <f t="shared" si="633"/>
        <v/>
      </c>
      <c r="S4051" t="str">
        <f t="shared" si="634"/>
        <v/>
      </c>
      <c r="T4051" t="str">
        <f t="shared" si="635"/>
        <v/>
      </c>
      <c r="U4051" t="str">
        <f t="shared" si="636"/>
        <v/>
      </c>
      <c r="V4051" t="str">
        <f t="shared" si="637"/>
        <v/>
      </c>
      <c r="W4051" t="str">
        <f t="shared" si="638"/>
        <v/>
      </c>
      <c r="X4051">
        <f>IF($T4051="",N($X4050),IF(MATCH($T4051,$T$6:$T$10005,0)=ROW()-5,N($X4050)+1,N($X4050)))</f>
        <v>0</v>
      </c>
      <c r="Z4051" t="str">
        <f t="shared" si="639"/>
        <v/>
      </c>
      <c r="AA4051">
        <f>IF($V4051="",N($AA4050),IF(MATCH($V4051,$V$6:$V$10005,0)=ROW()-5,N($AA4050)+1,N($AA4050)))</f>
        <v>0</v>
      </c>
    </row>
    <row r="4052" spans="1:27" ht="21" customHeight="1" x14ac:dyDescent="0.95">
      <c r="A4052" s="56"/>
      <c r="B4052" s="57"/>
      <c r="C4052" s="57"/>
      <c r="D4052" s="57"/>
      <c r="E4052" s="56"/>
      <c r="F4052" s="57"/>
      <c r="G4052" s="57"/>
      <c r="H4052" s="56"/>
      <c r="I4052" s="56"/>
      <c r="J4052" s="58"/>
      <c r="K4052" s="58"/>
      <c r="L4052" s="13" t="str">
        <f t="shared" si="630"/>
        <v/>
      </c>
      <c r="M4052" s="13" t="str">
        <f t="shared" si="631"/>
        <v/>
      </c>
      <c r="Q4052" t="str">
        <f t="shared" si="632"/>
        <v/>
      </c>
      <c r="R4052" t="str">
        <f t="shared" si="633"/>
        <v/>
      </c>
      <c r="S4052" t="str">
        <f t="shared" si="634"/>
        <v/>
      </c>
      <c r="T4052" t="str">
        <f t="shared" si="635"/>
        <v/>
      </c>
      <c r="U4052" t="str">
        <f t="shared" si="636"/>
        <v/>
      </c>
      <c r="V4052" t="str">
        <f t="shared" si="637"/>
        <v/>
      </c>
      <c r="W4052" t="str">
        <f t="shared" si="638"/>
        <v/>
      </c>
      <c r="X4052">
        <f>IF($T4052="",N($X4051),IF(MATCH($T4052,$T$6:$T$10005,0)=ROW()-5,N($X4051)+1,N($X4051)))</f>
        <v>0</v>
      </c>
      <c r="Z4052" t="str">
        <f t="shared" si="639"/>
        <v/>
      </c>
      <c r="AA4052">
        <f>IF($V4052="",N($AA4051),IF(MATCH($V4052,$V$6:$V$10005,0)=ROW()-5,N($AA4051)+1,N($AA4051)))</f>
        <v>0</v>
      </c>
    </row>
    <row r="4053" spans="1:27" ht="21" customHeight="1" x14ac:dyDescent="0.95">
      <c r="A4053" s="56"/>
      <c r="B4053" s="57"/>
      <c r="C4053" s="57"/>
      <c r="D4053" s="57"/>
      <c r="E4053" s="56"/>
      <c r="F4053" s="57"/>
      <c r="G4053" s="57"/>
      <c r="H4053" s="56"/>
      <c r="I4053" s="56"/>
      <c r="J4053" s="58"/>
      <c r="K4053" s="58"/>
      <c r="L4053" s="13" t="str">
        <f t="shared" si="630"/>
        <v/>
      </c>
      <c r="M4053" s="13" t="str">
        <f t="shared" si="631"/>
        <v/>
      </c>
      <c r="Q4053" t="str">
        <f t="shared" si="632"/>
        <v/>
      </c>
      <c r="R4053" t="str">
        <f t="shared" si="633"/>
        <v/>
      </c>
      <c r="S4053" t="str">
        <f t="shared" si="634"/>
        <v/>
      </c>
      <c r="T4053" t="str">
        <f t="shared" si="635"/>
        <v/>
      </c>
      <c r="U4053" t="str">
        <f t="shared" si="636"/>
        <v/>
      </c>
      <c r="V4053" t="str">
        <f t="shared" si="637"/>
        <v/>
      </c>
      <c r="W4053" t="str">
        <f t="shared" si="638"/>
        <v/>
      </c>
      <c r="X4053">
        <f>IF($T4053="",N($X4052),IF(MATCH($T4053,$T$6:$T$10005,0)=ROW()-5,N($X4052)+1,N($X4052)))</f>
        <v>0</v>
      </c>
      <c r="Z4053" t="str">
        <f t="shared" si="639"/>
        <v/>
      </c>
      <c r="AA4053">
        <f>IF($V4053="",N($AA4052),IF(MATCH($V4053,$V$6:$V$10005,0)=ROW()-5,N($AA4052)+1,N($AA4052)))</f>
        <v>0</v>
      </c>
    </row>
    <row r="4054" spans="1:27" ht="21" customHeight="1" x14ac:dyDescent="0.95">
      <c r="A4054" s="56"/>
      <c r="B4054" s="57"/>
      <c r="C4054" s="57"/>
      <c r="D4054" s="57"/>
      <c r="E4054" s="56"/>
      <c r="F4054" s="57"/>
      <c r="G4054" s="57"/>
      <c r="H4054" s="56"/>
      <c r="I4054" s="56"/>
      <c r="J4054" s="58"/>
      <c r="K4054" s="58"/>
      <c r="L4054" s="13" t="str">
        <f t="shared" si="630"/>
        <v/>
      </c>
      <c r="M4054" s="13" t="str">
        <f t="shared" si="631"/>
        <v/>
      </c>
      <c r="Q4054" t="str">
        <f t="shared" si="632"/>
        <v/>
      </c>
      <c r="R4054" t="str">
        <f t="shared" si="633"/>
        <v/>
      </c>
      <c r="S4054" t="str">
        <f t="shared" si="634"/>
        <v/>
      </c>
      <c r="T4054" t="str">
        <f t="shared" si="635"/>
        <v/>
      </c>
      <c r="U4054" t="str">
        <f t="shared" si="636"/>
        <v/>
      </c>
      <c r="V4054" t="str">
        <f t="shared" si="637"/>
        <v/>
      </c>
      <c r="W4054" t="str">
        <f t="shared" si="638"/>
        <v/>
      </c>
      <c r="X4054">
        <f>IF($T4054="",N($X4053),IF(MATCH($T4054,$T$6:$T$10005,0)=ROW()-5,N($X4053)+1,N($X4053)))</f>
        <v>0</v>
      </c>
      <c r="Z4054" t="str">
        <f t="shared" si="639"/>
        <v/>
      </c>
      <c r="AA4054">
        <f>IF($V4054="",N($AA4053),IF(MATCH($V4054,$V$6:$V$10005,0)=ROW()-5,N($AA4053)+1,N($AA4053)))</f>
        <v>0</v>
      </c>
    </row>
    <row r="4055" spans="1:27" ht="21" customHeight="1" x14ac:dyDescent="0.95">
      <c r="A4055" s="56"/>
      <c r="B4055" s="57"/>
      <c r="C4055" s="57"/>
      <c r="D4055" s="57"/>
      <c r="E4055" s="56"/>
      <c r="F4055" s="57"/>
      <c r="G4055" s="57"/>
      <c r="H4055" s="56"/>
      <c r="I4055" s="56"/>
      <c r="J4055" s="58"/>
      <c r="K4055" s="58"/>
      <c r="L4055" s="13" t="str">
        <f t="shared" si="630"/>
        <v/>
      </c>
      <c r="M4055" s="13" t="str">
        <f t="shared" si="631"/>
        <v/>
      </c>
      <c r="Q4055" t="str">
        <f t="shared" si="632"/>
        <v/>
      </c>
      <c r="R4055" t="str">
        <f t="shared" si="633"/>
        <v/>
      </c>
      <c r="S4055" t="str">
        <f t="shared" si="634"/>
        <v/>
      </c>
      <c r="T4055" t="str">
        <f t="shared" si="635"/>
        <v/>
      </c>
      <c r="U4055" t="str">
        <f t="shared" si="636"/>
        <v/>
      </c>
      <c r="V4055" t="str">
        <f t="shared" si="637"/>
        <v/>
      </c>
      <c r="W4055" t="str">
        <f t="shared" si="638"/>
        <v/>
      </c>
      <c r="X4055">
        <f>IF($T4055="",N($X4054),IF(MATCH($T4055,$T$6:$T$10005,0)=ROW()-5,N($X4054)+1,N($X4054)))</f>
        <v>0</v>
      </c>
      <c r="Z4055" t="str">
        <f t="shared" si="639"/>
        <v/>
      </c>
      <c r="AA4055">
        <f>IF($V4055="",N($AA4054),IF(MATCH($V4055,$V$6:$V$10005,0)=ROW()-5,N($AA4054)+1,N($AA4054)))</f>
        <v>0</v>
      </c>
    </row>
    <row r="4056" spans="1:27" ht="21" customHeight="1" x14ac:dyDescent="0.95">
      <c r="A4056" s="56"/>
      <c r="B4056" s="57"/>
      <c r="C4056" s="57"/>
      <c r="D4056" s="57"/>
      <c r="E4056" s="56"/>
      <c r="F4056" s="57"/>
      <c r="G4056" s="57"/>
      <c r="H4056" s="56"/>
      <c r="I4056" s="56"/>
      <c r="J4056" s="58"/>
      <c r="K4056" s="58"/>
      <c r="L4056" s="13" t="str">
        <f t="shared" si="630"/>
        <v/>
      </c>
      <c r="M4056" s="13" t="str">
        <f t="shared" si="631"/>
        <v/>
      </c>
      <c r="Q4056" t="str">
        <f t="shared" si="632"/>
        <v/>
      </c>
      <c r="R4056" t="str">
        <f t="shared" si="633"/>
        <v/>
      </c>
      <c r="S4056" t="str">
        <f t="shared" si="634"/>
        <v/>
      </c>
      <c r="T4056" t="str">
        <f t="shared" si="635"/>
        <v/>
      </c>
      <c r="U4056" t="str">
        <f t="shared" si="636"/>
        <v/>
      </c>
      <c r="V4056" t="str">
        <f t="shared" si="637"/>
        <v/>
      </c>
      <c r="W4056" t="str">
        <f t="shared" si="638"/>
        <v/>
      </c>
      <c r="X4056">
        <f>IF($T4056="",N($X4055),IF(MATCH($T4056,$T$6:$T$10005,0)=ROW()-5,N($X4055)+1,N($X4055)))</f>
        <v>0</v>
      </c>
      <c r="Z4056" t="str">
        <f t="shared" si="639"/>
        <v/>
      </c>
      <c r="AA4056">
        <f>IF($V4056="",N($AA4055),IF(MATCH($V4056,$V$6:$V$10005,0)=ROW()-5,N($AA4055)+1,N($AA4055)))</f>
        <v>0</v>
      </c>
    </row>
    <row r="4057" spans="1:27" ht="21" customHeight="1" x14ac:dyDescent="0.95">
      <c r="A4057" s="56"/>
      <c r="B4057" s="57"/>
      <c r="C4057" s="57"/>
      <c r="D4057" s="57"/>
      <c r="E4057" s="56"/>
      <c r="F4057" s="57"/>
      <c r="G4057" s="57"/>
      <c r="H4057" s="56"/>
      <c r="I4057" s="56"/>
      <c r="J4057" s="58"/>
      <c r="K4057" s="58"/>
      <c r="L4057" s="13" t="str">
        <f t="shared" si="630"/>
        <v/>
      </c>
      <c r="M4057" s="13" t="str">
        <f t="shared" si="631"/>
        <v/>
      </c>
      <c r="Q4057" t="str">
        <f t="shared" si="632"/>
        <v/>
      </c>
      <c r="R4057" t="str">
        <f t="shared" si="633"/>
        <v/>
      </c>
      <c r="S4057" t="str">
        <f t="shared" si="634"/>
        <v/>
      </c>
      <c r="T4057" t="str">
        <f t="shared" si="635"/>
        <v/>
      </c>
      <c r="U4057" t="str">
        <f t="shared" si="636"/>
        <v/>
      </c>
      <c r="V4057" t="str">
        <f t="shared" si="637"/>
        <v/>
      </c>
      <c r="W4057" t="str">
        <f t="shared" si="638"/>
        <v/>
      </c>
      <c r="X4057">
        <f>IF($T4057="",N($X4056),IF(MATCH($T4057,$T$6:$T$10005,0)=ROW()-5,N($X4056)+1,N($X4056)))</f>
        <v>0</v>
      </c>
      <c r="Z4057" t="str">
        <f t="shared" si="639"/>
        <v/>
      </c>
      <c r="AA4057">
        <f>IF($V4057="",N($AA4056),IF(MATCH($V4057,$V$6:$V$10005,0)=ROW()-5,N($AA4056)+1,N($AA4056)))</f>
        <v>0</v>
      </c>
    </row>
    <row r="4058" spans="1:27" ht="21" customHeight="1" x14ac:dyDescent="0.95">
      <c r="A4058" s="56"/>
      <c r="B4058" s="57"/>
      <c r="C4058" s="57"/>
      <c r="D4058" s="57"/>
      <c r="E4058" s="56"/>
      <c r="F4058" s="57"/>
      <c r="G4058" s="57"/>
      <c r="H4058" s="56"/>
      <c r="I4058" s="56"/>
      <c r="J4058" s="58"/>
      <c r="K4058" s="58"/>
      <c r="L4058" s="13" t="str">
        <f t="shared" si="630"/>
        <v/>
      </c>
      <c r="M4058" s="13" t="str">
        <f t="shared" si="631"/>
        <v/>
      </c>
      <c r="Q4058" t="str">
        <f t="shared" si="632"/>
        <v/>
      </c>
      <c r="R4058" t="str">
        <f t="shared" si="633"/>
        <v/>
      </c>
      <c r="S4058" t="str">
        <f t="shared" si="634"/>
        <v/>
      </c>
      <c r="T4058" t="str">
        <f t="shared" si="635"/>
        <v/>
      </c>
      <c r="U4058" t="str">
        <f t="shared" si="636"/>
        <v/>
      </c>
      <c r="V4058" t="str">
        <f t="shared" si="637"/>
        <v/>
      </c>
      <c r="W4058" t="str">
        <f t="shared" si="638"/>
        <v/>
      </c>
      <c r="X4058">
        <f>IF($T4058="",N($X4057),IF(MATCH($T4058,$T$6:$T$10005,0)=ROW()-5,N($X4057)+1,N($X4057)))</f>
        <v>0</v>
      </c>
      <c r="Z4058" t="str">
        <f t="shared" si="639"/>
        <v/>
      </c>
      <c r="AA4058">
        <f>IF($V4058="",N($AA4057),IF(MATCH($V4058,$V$6:$V$10005,0)=ROW()-5,N($AA4057)+1,N($AA4057)))</f>
        <v>0</v>
      </c>
    </row>
    <row r="4059" spans="1:27" ht="21" customHeight="1" x14ac:dyDescent="0.95">
      <c r="A4059" s="56"/>
      <c r="B4059" s="57"/>
      <c r="C4059" s="57"/>
      <c r="D4059" s="57"/>
      <c r="E4059" s="56"/>
      <c r="F4059" s="57"/>
      <c r="G4059" s="57"/>
      <c r="H4059" s="56"/>
      <c r="I4059" s="56"/>
      <c r="J4059" s="58"/>
      <c r="K4059" s="58"/>
      <c r="L4059" s="13" t="str">
        <f t="shared" si="630"/>
        <v/>
      </c>
      <c r="M4059" s="13" t="str">
        <f t="shared" si="631"/>
        <v/>
      </c>
      <c r="Q4059" t="str">
        <f t="shared" si="632"/>
        <v/>
      </c>
      <c r="R4059" t="str">
        <f t="shared" si="633"/>
        <v/>
      </c>
      <c r="S4059" t="str">
        <f t="shared" si="634"/>
        <v/>
      </c>
      <c r="T4059" t="str">
        <f t="shared" si="635"/>
        <v/>
      </c>
      <c r="U4059" t="str">
        <f t="shared" si="636"/>
        <v/>
      </c>
      <c r="V4059" t="str">
        <f t="shared" si="637"/>
        <v/>
      </c>
      <c r="W4059" t="str">
        <f t="shared" si="638"/>
        <v/>
      </c>
      <c r="X4059">
        <f>IF($T4059="",N($X4058),IF(MATCH($T4059,$T$6:$T$10005,0)=ROW()-5,N($X4058)+1,N($X4058)))</f>
        <v>0</v>
      </c>
      <c r="Z4059" t="str">
        <f t="shared" si="639"/>
        <v/>
      </c>
      <c r="AA4059">
        <f>IF($V4059="",N($AA4058),IF(MATCH($V4059,$V$6:$V$10005,0)=ROW()-5,N($AA4058)+1,N($AA4058)))</f>
        <v>0</v>
      </c>
    </row>
    <row r="4060" spans="1:27" ht="21" customHeight="1" x14ac:dyDescent="0.95">
      <c r="A4060" s="56"/>
      <c r="B4060" s="57"/>
      <c r="C4060" s="57"/>
      <c r="D4060" s="57"/>
      <c r="E4060" s="56"/>
      <c r="F4060" s="57"/>
      <c r="G4060" s="57"/>
      <c r="H4060" s="56"/>
      <c r="I4060" s="56"/>
      <c r="J4060" s="58"/>
      <c r="K4060" s="58"/>
      <c r="L4060" s="13" t="str">
        <f t="shared" si="630"/>
        <v/>
      </c>
      <c r="M4060" s="13" t="str">
        <f t="shared" si="631"/>
        <v/>
      </c>
      <c r="Q4060" t="str">
        <f t="shared" si="632"/>
        <v/>
      </c>
      <c r="R4060" t="str">
        <f t="shared" si="633"/>
        <v/>
      </c>
      <c r="S4060" t="str">
        <f t="shared" si="634"/>
        <v/>
      </c>
      <c r="T4060" t="str">
        <f t="shared" si="635"/>
        <v/>
      </c>
      <c r="U4060" t="str">
        <f t="shared" si="636"/>
        <v/>
      </c>
      <c r="V4060" t="str">
        <f t="shared" si="637"/>
        <v/>
      </c>
      <c r="W4060" t="str">
        <f t="shared" si="638"/>
        <v/>
      </c>
      <c r="X4060">
        <f>IF($T4060="",N($X4059),IF(MATCH($T4060,$T$6:$T$10005,0)=ROW()-5,N($X4059)+1,N($X4059)))</f>
        <v>0</v>
      </c>
      <c r="Z4060" t="str">
        <f t="shared" si="639"/>
        <v/>
      </c>
      <c r="AA4060">
        <f>IF($V4060="",N($AA4059),IF(MATCH($V4060,$V$6:$V$10005,0)=ROW()-5,N($AA4059)+1,N($AA4059)))</f>
        <v>0</v>
      </c>
    </row>
    <row r="4061" spans="1:27" ht="21" customHeight="1" x14ac:dyDescent="0.95">
      <c r="A4061" s="56"/>
      <c r="B4061" s="57"/>
      <c r="C4061" s="57"/>
      <c r="D4061" s="57"/>
      <c r="E4061" s="56"/>
      <c r="F4061" s="57"/>
      <c r="G4061" s="57"/>
      <c r="H4061" s="56"/>
      <c r="I4061" s="56"/>
      <c r="J4061" s="58"/>
      <c r="K4061" s="58"/>
      <c r="L4061" s="13" t="str">
        <f t="shared" si="630"/>
        <v/>
      </c>
      <c r="M4061" s="13" t="str">
        <f t="shared" si="631"/>
        <v/>
      </c>
      <c r="Q4061" t="str">
        <f t="shared" si="632"/>
        <v/>
      </c>
      <c r="R4061" t="str">
        <f t="shared" si="633"/>
        <v/>
      </c>
      <c r="S4061" t="str">
        <f t="shared" si="634"/>
        <v/>
      </c>
      <c r="T4061" t="str">
        <f t="shared" si="635"/>
        <v/>
      </c>
      <c r="U4061" t="str">
        <f t="shared" si="636"/>
        <v/>
      </c>
      <c r="V4061" t="str">
        <f t="shared" si="637"/>
        <v/>
      </c>
      <c r="W4061" t="str">
        <f t="shared" si="638"/>
        <v/>
      </c>
      <c r="X4061">
        <f>IF($T4061="",N($X4060),IF(MATCH($T4061,$T$6:$T$10005,0)=ROW()-5,N($X4060)+1,N($X4060)))</f>
        <v>0</v>
      </c>
      <c r="Z4061" t="str">
        <f t="shared" si="639"/>
        <v/>
      </c>
      <c r="AA4061">
        <f>IF($V4061="",N($AA4060),IF(MATCH($V4061,$V$6:$V$10005,0)=ROW()-5,N($AA4060)+1,N($AA4060)))</f>
        <v>0</v>
      </c>
    </row>
    <row r="4062" spans="1:27" ht="21" customHeight="1" x14ac:dyDescent="0.95">
      <c r="A4062" s="56"/>
      <c r="B4062" s="57"/>
      <c r="C4062" s="57"/>
      <c r="D4062" s="57"/>
      <c r="E4062" s="56"/>
      <c r="F4062" s="57"/>
      <c r="G4062" s="57"/>
      <c r="H4062" s="56"/>
      <c r="I4062" s="56"/>
      <c r="J4062" s="58"/>
      <c r="K4062" s="58"/>
      <c r="L4062" s="13" t="str">
        <f t="shared" si="630"/>
        <v/>
      </c>
      <c r="M4062" s="13" t="str">
        <f t="shared" si="631"/>
        <v/>
      </c>
      <c r="Q4062" t="str">
        <f t="shared" si="632"/>
        <v/>
      </c>
      <c r="R4062" t="str">
        <f t="shared" si="633"/>
        <v/>
      </c>
      <c r="S4062" t="str">
        <f t="shared" si="634"/>
        <v/>
      </c>
      <c r="T4062" t="str">
        <f t="shared" si="635"/>
        <v/>
      </c>
      <c r="U4062" t="str">
        <f t="shared" si="636"/>
        <v/>
      </c>
      <c r="V4062" t="str">
        <f t="shared" si="637"/>
        <v/>
      </c>
      <c r="W4062" t="str">
        <f t="shared" si="638"/>
        <v/>
      </c>
      <c r="X4062">
        <f>IF($T4062="",N($X4061),IF(MATCH($T4062,$T$6:$T$10005,0)=ROW()-5,N($X4061)+1,N($X4061)))</f>
        <v>0</v>
      </c>
      <c r="Z4062" t="str">
        <f t="shared" si="639"/>
        <v/>
      </c>
      <c r="AA4062">
        <f>IF($V4062="",N($AA4061),IF(MATCH($V4062,$V$6:$V$10005,0)=ROW()-5,N($AA4061)+1,N($AA4061)))</f>
        <v>0</v>
      </c>
    </row>
    <row r="4063" spans="1:27" ht="21" customHeight="1" x14ac:dyDescent="0.95">
      <c r="A4063" s="56"/>
      <c r="B4063" s="57"/>
      <c r="C4063" s="57"/>
      <c r="D4063" s="57"/>
      <c r="E4063" s="56"/>
      <c r="F4063" s="57"/>
      <c r="G4063" s="57"/>
      <c r="H4063" s="56"/>
      <c r="I4063" s="56"/>
      <c r="J4063" s="58"/>
      <c r="K4063" s="58"/>
      <c r="L4063" s="13" t="str">
        <f t="shared" si="630"/>
        <v/>
      </c>
      <c r="M4063" s="13" t="str">
        <f t="shared" si="631"/>
        <v/>
      </c>
      <c r="Q4063" t="str">
        <f t="shared" si="632"/>
        <v/>
      </c>
      <c r="R4063" t="str">
        <f t="shared" si="633"/>
        <v/>
      </c>
      <c r="S4063" t="str">
        <f t="shared" si="634"/>
        <v/>
      </c>
      <c r="T4063" t="str">
        <f t="shared" si="635"/>
        <v/>
      </c>
      <c r="U4063" t="str">
        <f t="shared" si="636"/>
        <v/>
      </c>
      <c r="V4063" t="str">
        <f t="shared" si="637"/>
        <v/>
      </c>
      <c r="W4063" t="str">
        <f t="shared" si="638"/>
        <v/>
      </c>
      <c r="X4063">
        <f>IF($T4063="",N($X4062),IF(MATCH($T4063,$T$6:$T$10005,0)=ROW()-5,N($X4062)+1,N($X4062)))</f>
        <v>0</v>
      </c>
      <c r="Z4063" t="str">
        <f t="shared" si="639"/>
        <v/>
      </c>
      <c r="AA4063">
        <f>IF($V4063="",N($AA4062),IF(MATCH($V4063,$V$6:$V$10005,0)=ROW()-5,N($AA4062)+1,N($AA4062)))</f>
        <v>0</v>
      </c>
    </row>
    <row r="4064" spans="1:27" ht="21" customHeight="1" x14ac:dyDescent="0.95">
      <c r="A4064" s="56"/>
      <c r="B4064" s="57"/>
      <c r="C4064" s="57"/>
      <c r="D4064" s="57"/>
      <c r="E4064" s="56"/>
      <c r="F4064" s="57"/>
      <c r="G4064" s="57"/>
      <c r="H4064" s="56"/>
      <c r="I4064" s="56"/>
      <c r="J4064" s="58"/>
      <c r="K4064" s="58"/>
      <c r="L4064" s="13" t="str">
        <f t="shared" si="630"/>
        <v/>
      </c>
      <c r="M4064" s="13" t="str">
        <f t="shared" si="631"/>
        <v/>
      </c>
      <c r="Q4064" t="str">
        <f t="shared" si="632"/>
        <v/>
      </c>
      <c r="R4064" t="str">
        <f t="shared" si="633"/>
        <v/>
      </c>
      <c r="S4064" t="str">
        <f t="shared" si="634"/>
        <v/>
      </c>
      <c r="T4064" t="str">
        <f t="shared" si="635"/>
        <v/>
      </c>
      <c r="U4064" t="str">
        <f t="shared" si="636"/>
        <v/>
      </c>
      <c r="V4064" t="str">
        <f t="shared" si="637"/>
        <v/>
      </c>
      <c r="W4064" t="str">
        <f t="shared" si="638"/>
        <v/>
      </c>
      <c r="X4064">
        <f>IF($T4064="",N($X4063),IF(MATCH($T4064,$T$6:$T$10005,0)=ROW()-5,N($X4063)+1,N($X4063)))</f>
        <v>0</v>
      </c>
      <c r="Z4064" t="str">
        <f t="shared" si="639"/>
        <v/>
      </c>
      <c r="AA4064">
        <f>IF($V4064="",N($AA4063),IF(MATCH($V4064,$V$6:$V$10005,0)=ROW()-5,N($AA4063)+1,N($AA4063)))</f>
        <v>0</v>
      </c>
    </row>
    <row r="4065" spans="1:27" ht="21" customHeight="1" x14ac:dyDescent="0.95">
      <c r="A4065" s="56"/>
      <c r="B4065" s="57"/>
      <c r="C4065" s="57"/>
      <c r="D4065" s="57"/>
      <c r="E4065" s="56"/>
      <c r="F4065" s="57"/>
      <c r="G4065" s="57"/>
      <c r="H4065" s="56"/>
      <c r="I4065" s="56"/>
      <c r="J4065" s="58"/>
      <c r="K4065" s="58"/>
      <c r="L4065" s="13" t="str">
        <f t="shared" si="630"/>
        <v/>
      </c>
      <c r="M4065" s="13" t="str">
        <f t="shared" si="631"/>
        <v/>
      </c>
      <c r="Q4065" t="str">
        <f t="shared" si="632"/>
        <v/>
      </c>
      <c r="R4065" t="str">
        <f t="shared" si="633"/>
        <v/>
      </c>
      <c r="S4065" t="str">
        <f t="shared" si="634"/>
        <v/>
      </c>
      <c r="T4065" t="str">
        <f t="shared" si="635"/>
        <v/>
      </c>
      <c r="U4065" t="str">
        <f t="shared" si="636"/>
        <v/>
      </c>
      <c r="V4065" t="str">
        <f t="shared" si="637"/>
        <v/>
      </c>
      <c r="W4065" t="str">
        <f t="shared" si="638"/>
        <v/>
      </c>
      <c r="X4065">
        <f>IF($T4065="",N($X4064),IF(MATCH($T4065,$T$6:$T$10005,0)=ROW()-5,N($X4064)+1,N($X4064)))</f>
        <v>0</v>
      </c>
      <c r="Z4065" t="str">
        <f t="shared" si="639"/>
        <v/>
      </c>
      <c r="AA4065">
        <f>IF($V4065="",N($AA4064),IF(MATCH($V4065,$V$6:$V$10005,0)=ROW()-5,N($AA4064)+1,N($AA4064)))</f>
        <v>0</v>
      </c>
    </row>
    <row r="4066" spans="1:27" ht="21" customHeight="1" x14ac:dyDescent="0.95">
      <c r="A4066" s="56"/>
      <c r="B4066" s="57"/>
      <c r="C4066" s="57"/>
      <c r="D4066" s="57"/>
      <c r="E4066" s="56"/>
      <c r="F4066" s="57"/>
      <c r="G4066" s="57"/>
      <c r="H4066" s="56"/>
      <c r="I4066" s="56"/>
      <c r="J4066" s="58"/>
      <c r="K4066" s="58"/>
      <c r="L4066" s="13" t="str">
        <f t="shared" si="630"/>
        <v/>
      </c>
      <c r="M4066" s="13" t="str">
        <f t="shared" si="631"/>
        <v/>
      </c>
      <c r="Q4066" t="str">
        <f t="shared" si="632"/>
        <v/>
      </c>
      <c r="R4066" t="str">
        <f t="shared" si="633"/>
        <v/>
      </c>
      <c r="S4066" t="str">
        <f t="shared" si="634"/>
        <v/>
      </c>
      <c r="T4066" t="str">
        <f t="shared" si="635"/>
        <v/>
      </c>
      <c r="U4066" t="str">
        <f t="shared" si="636"/>
        <v/>
      </c>
      <c r="V4066" t="str">
        <f t="shared" si="637"/>
        <v/>
      </c>
      <c r="W4066" t="str">
        <f t="shared" si="638"/>
        <v/>
      </c>
      <c r="X4066">
        <f>IF($T4066="",N($X4065),IF(MATCH($T4066,$T$6:$T$10005,0)=ROW()-5,N($X4065)+1,N($X4065)))</f>
        <v>0</v>
      </c>
      <c r="Z4066" t="str">
        <f t="shared" si="639"/>
        <v/>
      </c>
      <c r="AA4066">
        <f>IF($V4066="",N($AA4065),IF(MATCH($V4066,$V$6:$V$10005,0)=ROW()-5,N($AA4065)+1,N($AA4065)))</f>
        <v>0</v>
      </c>
    </row>
    <row r="4067" spans="1:27" ht="21" customHeight="1" x14ac:dyDescent="0.95">
      <c r="A4067" s="56"/>
      <c r="B4067" s="57"/>
      <c r="C4067" s="57"/>
      <c r="D4067" s="57"/>
      <c r="E4067" s="56"/>
      <c r="F4067" s="57"/>
      <c r="G4067" s="57"/>
      <c r="H4067" s="56"/>
      <c r="I4067" s="56"/>
      <c r="J4067" s="58"/>
      <c r="K4067" s="58"/>
      <c r="L4067" s="13" t="str">
        <f t="shared" si="630"/>
        <v/>
      </c>
      <c r="M4067" s="13" t="str">
        <f t="shared" si="631"/>
        <v/>
      </c>
      <c r="Q4067" t="str">
        <f t="shared" si="632"/>
        <v/>
      </c>
      <c r="R4067" t="str">
        <f t="shared" si="633"/>
        <v/>
      </c>
      <c r="S4067" t="str">
        <f t="shared" si="634"/>
        <v/>
      </c>
      <c r="T4067" t="str">
        <f t="shared" si="635"/>
        <v/>
      </c>
      <c r="U4067" t="str">
        <f t="shared" si="636"/>
        <v/>
      </c>
      <c r="V4067" t="str">
        <f t="shared" si="637"/>
        <v/>
      </c>
      <c r="W4067" t="str">
        <f t="shared" si="638"/>
        <v/>
      </c>
      <c r="X4067">
        <f>IF($T4067="",N($X4066),IF(MATCH($T4067,$T$6:$T$10005,0)=ROW()-5,N($X4066)+1,N($X4066)))</f>
        <v>0</v>
      </c>
      <c r="Z4067" t="str">
        <f t="shared" si="639"/>
        <v/>
      </c>
      <c r="AA4067">
        <f>IF($V4067="",N($AA4066),IF(MATCH($V4067,$V$6:$V$10005,0)=ROW()-5,N($AA4066)+1,N($AA4066)))</f>
        <v>0</v>
      </c>
    </row>
    <row r="4068" spans="1:27" ht="21" customHeight="1" x14ac:dyDescent="0.95">
      <c r="A4068" s="56"/>
      <c r="B4068" s="57"/>
      <c r="C4068" s="57"/>
      <c r="D4068" s="57"/>
      <c r="E4068" s="56"/>
      <c r="F4068" s="57"/>
      <c r="G4068" s="57"/>
      <c r="H4068" s="56"/>
      <c r="I4068" s="56"/>
      <c r="J4068" s="58"/>
      <c r="K4068" s="58"/>
      <c r="L4068" s="13" t="str">
        <f t="shared" si="630"/>
        <v/>
      </c>
      <c r="M4068" s="13" t="str">
        <f t="shared" si="631"/>
        <v/>
      </c>
      <c r="Q4068" t="str">
        <f t="shared" si="632"/>
        <v/>
      </c>
      <c r="R4068" t="str">
        <f t="shared" si="633"/>
        <v/>
      </c>
      <c r="S4068" t="str">
        <f t="shared" si="634"/>
        <v/>
      </c>
      <c r="T4068" t="str">
        <f t="shared" si="635"/>
        <v/>
      </c>
      <c r="U4068" t="str">
        <f t="shared" si="636"/>
        <v/>
      </c>
      <c r="V4068" t="str">
        <f t="shared" si="637"/>
        <v/>
      </c>
      <c r="W4068" t="str">
        <f t="shared" si="638"/>
        <v/>
      </c>
      <c r="X4068">
        <f>IF($T4068="",N($X4067),IF(MATCH($T4068,$T$6:$T$10005,0)=ROW()-5,N($X4067)+1,N($X4067)))</f>
        <v>0</v>
      </c>
      <c r="Z4068" t="str">
        <f t="shared" si="639"/>
        <v/>
      </c>
      <c r="AA4068">
        <f>IF($V4068="",N($AA4067),IF(MATCH($V4068,$V$6:$V$10005,0)=ROW()-5,N($AA4067)+1,N($AA4067)))</f>
        <v>0</v>
      </c>
    </row>
    <row r="4069" spans="1:27" ht="21" customHeight="1" x14ac:dyDescent="0.95">
      <c r="A4069" s="56"/>
      <c r="B4069" s="57"/>
      <c r="C4069" s="57"/>
      <c r="D4069" s="57"/>
      <c r="E4069" s="56"/>
      <c r="F4069" s="57"/>
      <c r="G4069" s="57"/>
      <c r="H4069" s="56"/>
      <c r="I4069" s="56"/>
      <c r="J4069" s="58"/>
      <c r="K4069" s="58"/>
      <c r="L4069" s="13" t="str">
        <f t="shared" si="630"/>
        <v/>
      </c>
      <c r="M4069" s="13" t="str">
        <f t="shared" si="631"/>
        <v/>
      </c>
      <c r="Q4069" t="str">
        <f t="shared" si="632"/>
        <v/>
      </c>
      <c r="R4069" t="str">
        <f t="shared" si="633"/>
        <v/>
      </c>
      <c r="S4069" t="str">
        <f t="shared" si="634"/>
        <v/>
      </c>
      <c r="T4069" t="str">
        <f t="shared" si="635"/>
        <v/>
      </c>
      <c r="U4069" t="str">
        <f t="shared" si="636"/>
        <v/>
      </c>
      <c r="V4069" t="str">
        <f t="shared" si="637"/>
        <v/>
      </c>
      <c r="W4069" t="str">
        <f t="shared" si="638"/>
        <v/>
      </c>
      <c r="X4069">
        <f>IF($T4069="",N($X4068),IF(MATCH($T4069,$T$6:$T$10005,0)=ROW()-5,N($X4068)+1,N($X4068)))</f>
        <v>0</v>
      </c>
      <c r="Z4069" t="str">
        <f t="shared" si="639"/>
        <v/>
      </c>
      <c r="AA4069">
        <f>IF($V4069="",N($AA4068),IF(MATCH($V4069,$V$6:$V$10005,0)=ROW()-5,N($AA4068)+1,N($AA4068)))</f>
        <v>0</v>
      </c>
    </row>
    <row r="4070" spans="1:27" ht="21" customHeight="1" x14ac:dyDescent="0.95">
      <c r="A4070" s="56"/>
      <c r="B4070" s="57"/>
      <c r="C4070" s="57"/>
      <c r="D4070" s="57"/>
      <c r="E4070" s="56"/>
      <c r="F4070" s="57"/>
      <c r="G4070" s="57"/>
      <c r="H4070" s="56"/>
      <c r="I4070" s="56"/>
      <c r="J4070" s="58"/>
      <c r="K4070" s="58"/>
      <c r="L4070" s="13" t="str">
        <f t="shared" si="630"/>
        <v/>
      </c>
      <c r="M4070" s="13" t="str">
        <f t="shared" si="631"/>
        <v/>
      </c>
      <c r="Q4070" t="str">
        <f t="shared" si="632"/>
        <v/>
      </c>
      <c r="R4070" t="str">
        <f t="shared" si="633"/>
        <v/>
      </c>
      <c r="S4070" t="str">
        <f t="shared" si="634"/>
        <v/>
      </c>
      <c r="T4070" t="str">
        <f t="shared" si="635"/>
        <v/>
      </c>
      <c r="U4070" t="str">
        <f t="shared" si="636"/>
        <v/>
      </c>
      <c r="V4070" t="str">
        <f t="shared" si="637"/>
        <v/>
      </c>
      <c r="W4070" t="str">
        <f t="shared" si="638"/>
        <v/>
      </c>
      <c r="X4070">
        <f>IF($T4070="",N($X4069),IF(MATCH($T4070,$T$6:$T$10005,0)=ROW()-5,N($X4069)+1,N($X4069)))</f>
        <v>0</v>
      </c>
      <c r="Z4070" t="str">
        <f t="shared" si="639"/>
        <v/>
      </c>
      <c r="AA4070">
        <f>IF($V4070="",N($AA4069),IF(MATCH($V4070,$V$6:$V$10005,0)=ROW()-5,N($AA4069)+1,N($AA4069)))</f>
        <v>0</v>
      </c>
    </row>
    <row r="4071" spans="1:27" ht="21" customHeight="1" x14ac:dyDescent="0.95">
      <c r="A4071" s="56"/>
      <c r="B4071" s="57"/>
      <c r="C4071" s="57"/>
      <c r="D4071" s="57"/>
      <c r="E4071" s="56"/>
      <c r="F4071" s="57"/>
      <c r="G4071" s="57"/>
      <c r="H4071" s="56"/>
      <c r="I4071" s="56"/>
      <c r="J4071" s="58"/>
      <c r="K4071" s="58"/>
      <c r="L4071" s="13" t="str">
        <f t="shared" si="630"/>
        <v/>
      </c>
      <c r="M4071" s="13" t="str">
        <f t="shared" si="631"/>
        <v/>
      </c>
      <c r="Q4071" t="str">
        <f t="shared" si="632"/>
        <v/>
      </c>
      <c r="R4071" t="str">
        <f t="shared" si="633"/>
        <v/>
      </c>
      <c r="S4071" t="str">
        <f t="shared" si="634"/>
        <v/>
      </c>
      <c r="T4071" t="str">
        <f t="shared" si="635"/>
        <v/>
      </c>
      <c r="U4071" t="str">
        <f t="shared" si="636"/>
        <v/>
      </c>
      <c r="V4071" t="str">
        <f t="shared" si="637"/>
        <v/>
      </c>
      <c r="W4071" t="str">
        <f t="shared" si="638"/>
        <v/>
      </c>
      <c r="X4071">
        <f>IF($T4071="",N($X4070),IF(MATCH($T4071,$T$6:$T$10005,0)=ROW()-5,N($X4070)+1,N($X4070)))</f>
        <v>0</v>
      </c>
      <c r="Z4071" t="str">
        <f t="shared" si="639"/>
        <v/>
      </c>
      <c r="AA4071">
        <f>IF($V4071="",N($AA4070),IF(MATCH($V4071,$V$6:$V$10005,0)=ROW()-5,N($AA4070)+1,N($AA4070)))</f>
        <v>0</v>
      </c>
    </row>
    <row r="4072" spans="1:27" ht="21" customHeight="1" x14ac:dyDescent="0.95">
      <c r="A4072" s="56"/>
      <c r="B4072" s="57"/>
      <c r="C4072" s="57"/>
      <c r="D4072" s="57"/>
      <c r="E4072" s="56"/>
      <c r="F4072" s="57"/>
      <c r="G4072" s="57"/>
      <c r="H4072" s="56"/>
      <c r="I4072" s="56"/>
      <c r="J4072" s="58"/>
      <c r="K4072" s="58"/>
      <c r="L4072" s="13" t="str">
        <f t="shared" si="630"/>
        <v/>
      </c>
      <c r="M4072" s="13" t="str">
        <f t="shared" si="631"/>
        <v/>
      </c>
      <c r="Q4072" t="str">
        <f t="shared" si="632"/>
        <v/>
      </c>
      <c r="R4072" t="str">
        <f t="shared" si="633"/>
        <v/>
      </c>
      <c r="S4072" t="str">
        <f t="shared" si="634"/>
        <v/>
      </c>
      <c r="T4072" t="str">
        <f t="shared" si="635"/>
        <v/>
      </c>
      <c r="U4072" t="str">
        <f t="shared" si="636"/>
        <v/>
      </c>
      <c r="V4072" t="str">
        <f t="shared" si="637"/>
        <v/>
      </c>
      <c r="W4072" t="str">
        <f t="shared" si="638"/>
        <v/>
      </c>
      <c r="X4072">
        <f>IF($T4072="",N($X4071),IF(MATCH($T4072,$T$6:$T$10005,0)=ROW()-5,N($X4071)+1,N($X4071)))</f>
        <v>0</v>
      </c>
      <c r="Z4072" t="str">
        <f t="shared" si="639"/>
        <v/>
      </c>
      <c r="AA4072">
        <f>IF($V4072="",N($AA4071),IF(MATCH($V4072,$V$6:$V$10005,0)=ROW()-5,N($AA4071)+1,N($AA4071)))</f>
        <v>0</v>
      </c>
    </row>
    <row r="4073" spans="1:27" ht="21" customHeight="1" x14ac:dyDescent="0.95">
      <c r="A4073" s="56"/>
      <c r="B4073" s="57"/>
      <c r="C4073" s="57"/>
      <c r="D4073" s="57"/>
      <c r="E4073" s="56"/>
      <c r="F4073" s="57"/>
      <c r="G4073" s="57"/>
      <c r="H4073" s="56"/>
      <c r="I4073" s="56"/>
      <c r="J4073" s="58"/>
      <c r="K4073" s="58"/>
      <c r="L4073" s="13" t="str">
        <f t="shared" si="630"/>
        <v/>
      </c>
      <c r="M4073" s="13" t="str">
        <f t="shared" si="631"/>
        <v/>
      </c>
      <c r="Q4073" t="str">
        <f t="shared" si="632"/>
        <v/>
      </c>
      <c r="R4073" t="str">
        <f t="shared" si="633"/>
        <v/>
      </c>
      <c r="S4073" t="str">
        <f t="shared" si="634"/>
        <v/>
      </c>
      <c r="T4073" t="str">
        <f t="shared" si="635"/>
        <v/>
      </c>
      <c r="U4073" t="str">
        <f t="shared" si="636"/>
        <v/>
      </c>
      <c r="V4073" t="str">
        <f t="shared" si="637"/>
        <v/>
      </c>
      <c r="W4073" t="str">
        <f t="shared" si="638"/>
        <v/>
      </c>
      <c r="X4073">
        <f>IF($T4073="",N($X4072),IF(MATCH($T4073,$T$6:$T$10005,0)=ROW()-5,N($X4072)+1,N($X4072)))</f>
        <v>0</v>
      </c>
      <c r="Z4073" t="str">
        <f t="shared" si="639"/>
        <v/>
      </c>
      <c r="AA4073">
        <f>IF($V4073="",N($AA4072),IF(MATCH($V4073,$V$6:$V$10005,0)=ROW()-5,N($AA4072)+1,N($AA4072)))</f>
        <v>0</v>
      </c>
    </row>
    <row r="4074" spans="1:27" ht="21" customHeight="1" x14ac:dyDescent="0.95">
      <c r="A4074" s="56"/>
      <c r="B4074" s="57"/>
      <c r="C4074" s="57"/>
      <c r="D4074" s="57"/>
      <c r="E4074" s="56"/>
      <c r="F4074" s="57"/>
      <c r="G4074" s="57"/>
      <c r="H4074" s="56"/>
      <c r="I4074" s="56"/>
      <c r="J4074" s="58"/>
      <c r="K4074" s="58"/>
      <c r="L4074" s="13" t="str">
        <f t="shared" si="630"/>
        <v/>
      </c>
      <c r="M4074" s="13" t="str">
        <f t="shared" si="631"/>
        <v/>
      </c>
      <c r="Q4074" t="str">
        <f t="shared" si="632"/>
        <v/>
      </c>
      <c r="R4074" t="str">
        <f t="shared" si="633"/>
        <v/>
      </c>
      <c r="S4074" t="str">
        <f t="shared" si="634"/>
        <v/>
      </c>
      <c r="T4074" t="str">
        <f t="shared" si="635"/>
        <v/>
      </c>
      <c r="U4074" t="str">
        <f t="shared" si="636"/>
        <v/>
      </c>
      <c r="V4074" t="str">
        <f t="shared" si="637"/>
        <v/>
      </c>
      <c r="W4074" t="str">
        <f t="shared" si="638"/>
        <v/>
      </c>
      <c r="X4074">
        <f>IF($T4074="",N($X4073),IF(MATCH($T4074,$T$6:$T$10005,0)=ROW()-5,N($X4073)+1,N($X4073)))</f>
        <v>0</v>
      </c>
      <c r="Z4074" t="str">
        <f t="shared" si="639"/>
        <v/>
      </c>
      <c r="AA4074">
        <f>IF($V4074="",N($AA4073),IF(MATCH($V4074,$V$6:$V$10005,0)=ROW()-5,N($AA4073)+1,N($AA4073)))</f>
        <v>0</v>
      </c>
    </row>
    <row r="4075" spans="1:27" ht="21" customHeight="1" x14ac:dyDescent="0.95">
      <c r="A4075" s="56"/>
      <c r="B4075" s="57"/>
      <c r="C4075" s="57"/>
      <c r="D4075" s="57"/>
      <c r="E4075" s="56"/>
      <c r="F4075" s="57"/>
      <c r="G4075" s="57"/>
      <c r="H4075" s="56"/>
      <c r="I4075" s="56"/>
      <c r="J4075" s="58"/>
      <c r="K4075" s="58"/>
      <c r="L4075" s="13" t="str">
        <f t="shared" si="630"/>
        <v/>
      </c>
      <c r="M4075" s="13" t="str">
        <f t="shared" si="631"/>
        <v/>
      </c>
      <c r="Q4075" t="str">
        <f t="shared" si="632"/>
        <v/>
      </c>
      <c r="R4075" t="str">
        <f t="shared" si="633"/>
        <v/>
      </c>
      <c r="S4075" t="str">
        <f t="shared" si="634"/>
        <v/>
      </c>
      <c r="T4075" t="str">
        <f t="shared" si="635"/>
        <v/>
      </c>
      <c r="U4075" t="str">
        <f t="shared" si="636"/>
        <v/>
      </c>
      <c r="V4075" t="str">
        <f t="shared" si="637"/>
        <v/>
      </c>
      <c r="W4075" t="str">
        <f t="shared" si="638"/>
        <v/>
      </c>
      <c r="X4075">
        <f>IF($T4075="",N($X4074),IF(MATCH($T4075,$T$6:$T$10005,0)=ROW()-5,N($X4074)+1,N($X4074)))</f>
        <v>0</v>
      </c>
      <c r="Z4075" t="str">
        <f t="shared" si="639"/>
        <v/>
      </c>
      <c r="AA4075">
        <f>IF($V4075="",N($AA4074),IF(MATCH($V4075,$V$6:$V$10005,0)=ROW()-5,N($AA4074)+1,N($AA4074)))</f>
        <v>0</v>
      </c>
    </row>
    <row r="4076" spans="1:27" ht="21" customHeight="1" x14ac:dyDescent="0.95">
      <c r="A4076" s="56"/>
      <c r="B4076" s="57"/>
      <c r="C4076" s="57"/>
      <c r="D4076" s="57"/>
      <c r="E4076" s="56"/>
      <c r="F4076" s="57"/>
      <c r="G4076" s="57"/>
      <c r="H4076" s="56"/>
      <c r="I4076" s="56"/>
      <c r="J4076" s="58"/>
      <c r="K4076" s="58"/>
      <c r="L4076" s="13" t="str">
        <f t="shared" si="630"/>
        <v/>
      </c>
      <c r="M4076" s="13" t="str">
        <f t="shared" si="631"/>
        <v/>
      </c>
      <c r="Q4076" t="str">
        <f t="shared" si="632"/>
        <v/>
      </c>
      <c r="R4076" t="str">
        <f t="shared" si="633"/>
        <v/>
      </c>
      <c r="S4076" t="str">
        <f t="shared" si="634"/>
        <v/>
      </c>
      <c r="T4076" t="str">
        <f t="shared" si="635"/>
        <v/>
      </c>
      <c r="U4076" t="str">
        <f t="shared" si="636"/>
        <v/>
      </c>
      <c r="V4076" t="str">
        <f t="shared" si="637"/>
        <v/>
      </c>
      <c r="W4076" t="str">
        <f t="shared" si="638"/>
        <v/>
      </c>
      <c r="X4076">
        <f>IF($T4076="",N($X4075),IF(MATCH($T4076,$T$6:$T$10005,0)=ROW()-5,N($X4075)+1,N($X4075)))</f>
        <v>0</v>
      </c>
      <c r="Z4076" t="str">
        <f t="shared" si="639"/>
        <v/>
      </c>
      <c r="AA4076">
        <f>IF($V4076="",N($AA4075),IF(MATCH($V4076,$V$6:$V$10005,0)=ROW()-5,N($AA4075)+1,N($AA4075)))</f>
        <v>0</v>
      </c>
    </row>
    <row r="4077" spans="1:27" ht="21" customHeight="1" x14ac:dyDescent="0.95">
      <c r="A4077" s="56"/>
      <c r="B4077" s="57"/>
      <c r="C4077" s="57"/>
      <c r="D4077" s="57"/>
      <c r="E4077" s="56"/>
      <c r="F4077" s="57"/>
      <c r="G4077" s="57"/>
      <c r="H4077" s="56"/>
      <c r="I4077" s="56"/>
      <c r="J4077" s="58"/>
      <c r="K4077" s="58"/>
      <c r="L4077" s="13" t="str">
        <f t="shared" si="630"/>
        <v/>
      </c>
      <c r="M4077" s="13" t="str">
        <f t="shared" si="631"/>
        <v/>
      </c>
      <c r="Q4077" t="str">
        <f t="shared" si="632"/>
        <v/>
      </c>
      <c r="R4077" t="str">
        <f t="shared" si="633"/>
        <v/>
      </c>
      <c r="S4077" t="str">
        <f t="shared" si="634"/>
        <v/>
      </c>
      <c r="T4077" t="str">
        <f t="shared" si="635"/>
        <v/>
      </c>
      <c r="U4077" t="str">
        <f t="shared" si="636"/>
        <v/>
      </c>
      <c r="V4077" t="str">
        <f t="shared" si="637"/>
        <v/>
      </c>
      <c r="W4077" t="str">
        <f t="shared" si="638"/>
        <v/>
      </c>
      <c r="X4077">
        <f>IF($T4077="",N($X4076),IF(MATCH($T4077,$T$6:$T$10005,0)=ROW()-5,N($X4076)+1,N($X4076)))</f>
        <v>0</v>
      </c>
      <c r="Z4077" t="str">
        <f t="shared" si="639"/>
        <v/>
      </c>
      <c r="AA4077">
        <f>IF($V4077="",N($AA4076),IF(MATCH($V4077,$V$6:$V$10005,0)=ROW()-5,N($AA4076)+1,N($AA4076)))</f>
        <v>0</v>
      </c>
    </row>
    <row r="4078" spans="1:27" ht="21" customHeight="1" x14ac:dyDescent="0.95">
      <c r="A4078" s="56"/>
      <c r="B4078" s="57"/>
      <c r="C4078" s="57"/>
      <c r="D4078" s="57"/>
      <c r="E4078" s="56"/>
      <c r="F4078" s="57"/>
      <c r="G4078" s="57"/>
      <c r="H4078" s="56"/>
      <c r="I4078" s="56"/>
      <c r="J4078" s="58"/>
      <c r="K4078" s="58"/>
      <c r="L4078" s="13" t="str">
        <f t="shared" si="630"/>
        <v/>
      </c>
      <c r="M4078" s="13" t="str">
        <f t="shared" si="631"/>
        <v/>
      </c>
      <c r="Q4078" t="str">
        <f t="shared" si="632"/>
        <v/>
      </c>
      <c r="R4078" t="str">
        <f t="shared" si="633"/>
        <v/>
      </c>
      <c r="S4078" t="str">
        <f t="shared" si="634"/>
        <v/>
      </c>
      <c r="T4078" t="str">
        <f t="shared" si="635"/>
        <v/>
      </c>
      <c r="U4078" t="str">
        <f t="shared" si="636"/>
        <v/>
      </c>
      <c r="V4078" t="str">
        <f t="shared" si="637"/>
        <v/>
      </c>
      <c r="W4078" t="str">
        <f t="shared" si="638"/>
        <v/>
      </c>
      <c r="X4078">
        <f>IF($T4078="",N($X4077),IF(MATCH($T4078,$T$6:$T$10005,0)=ROW()-5,N($X4077)+1,N($X4077)))</f>
        <v>0</v>
      </c>
      <c r="Z4078" t="str">
        <f t="shared" si="639"/>
        <v/>
      </c>
      <c r="AA4078">
        <f>IF($V4078="",N($AA4077),IF(MATCH($V4078,$V$6:$V$10005,0)=ROW()-5,N($AA4077)+1,N($AA4077)))</f>
        <v>0</v>
      </c>
    </row>
    <row r="4079" spans="1:27" ht="21" customHeight="1" x14ac:dyDescent="0.95">
      <c r="A4079" s="56"/>
      <c r="B4079" s="57"/>
      <c r="C4079" s="57"/>
      <c r="D4079" s="57"/>
      <c r="E4079" s="56"/>
      <c r="F4079" s="57"/>
      <c r="G4079" s="57"/>
      <c r="H4079" s="56"/>
      <c r="I4079" s="56"/>
      <c r="J4079" s="58"/>
      <c r="K4079" s="58"/>
      <c r="L4079" s="13" t="str">
        <f t="shared" si="630"/>
        <v/>
      </c>
      <c r="M4079" s="13" t="str">
        <f t="shared" si="631"/>
        <v/>
      </c>
      <c r="Q4079" t="str">
        <f t="shared" si="632"/>
        <v/>
      </c>
      <c r="R4079" t="str">
        <f t="shared" si="633"/>
        <v/>
      </c>
      <c r="S4079" t="str">
        <f t="shared" si="634"/>
        <v/>
      </c>
      <c r="T4079" t="str">
        <f t="shared" si="635"/>
        <v/>
      </c>
      <c r="U4079" t="str">
        <f t="shared" si="636"/>
        <v/>
      </c>
      <c r="V4079" t="str">
        <f t="shared" si="637"/>
        <v/>
      </c>
      <c r="W4079" t="str">
        <f t="shared" si="638"/>
        <v/>
      </c>
      <c r="X4079">
        <f>IF($T4079="",N($X4078),IF(MATCH($T4079,$T$6:$T$10005,0)=ROW()-5,N($X4078)+1,N($X4078)))</f>
        <v>0</v>
      </c>
      <c r="Z4079" t="str">
        <f t="shared" si="639"/>
        <v/>
      </c>
      <c r="AA4079">
        <f>IF($V4079="",N($AA4078),IF(MATCH($V4079,$V$6:$V$10005,0)=ROW()-5,N($AA4078)+1,N($AA4078)))</f>
        <v>0</v>
      </c>
    </row>
    <row r="4080" spans="1:27" ht="21" customHeight="1" x14ac:dyDescent="0.95">
      <c r="A4080" s="56"/>
      <c r="B4080" s="57"/>
      <c r="C4080" s="57"/>
      <c r="D4080" s="57"/>
      <c r="E4080" s="56"/>
      <c r="F4080" s="57"/>
      <c r="G4080" s="57"/>
      <c r="H4080" s="56"/>
      <c r="I4080" s="56"/>
      <c r="J4080" s="58"/>
      <c r="K4080" s="58"/>
      <c r="L4080" s="13" t="str">
        <f t="shared" si="630"/>
        <v/>
      </c>
      <c r="M4080" s="13" t="str">
        <f t="shared" si="631"/>
        <v/>
      </c>
      <c r="Q4080" t="str">
        <f t="shared" si="632"/>
        <v/>
      </c>
      <c r="R4080" t="str">
        <f t="shared" si="633"/>
        <v/>
      </c>
      <c r="S4080" t="str">
        <f t="shared" si="634"/>
        <v/>
      </c>
      <c r="T4080" t="str">
        <f t="shared" si="635"/>
        <v/>
      </c>
      <c r="U4080" t="str">
        <f t="shared" si="636"/>
        <v/>
      </c>
      <c r="V4080" t="str">
        <f t="shared" si="637"/>
        <v/>
      </c>
      <c r="W4080" t="str">
        <f t="shared" si="638"/>
        <v/>
      </c>
      <c r="X4080">
        <f>IF($T4080="",N($X4079),IF(MATCH($T4080,$T$6:$T$10005,0)=ROW()-5,N($X4079)+1,N($X4079)))</f>
        <v>0</v>
      </c>
      <c r="Z4080" t="str">
        <f t="shared" si="639"/>
        <v/>
      </c>
      <c r="AA4080">
        <f>IF($V4080="",N($AA4079),IF(MATCH($V4080,$V$6:$V$10005,0)=ROW()-5,N($AA4079)+1,N($AA4079)))</f>
        <v>0</v>
      </c>
    </row>
    <row r="4081" spans="1:27" ht="21" customHeight="1" x14ac:dyDescent="0.95">
      <c r="A4081" s="56"/>
      <c r="B4081" s="57"/>
      <c r="C4081" s="57"/>
      <c r="D4081" s="57"/>
      <c r="E4081" s="56"/>
      <c r="F4081" s="57"/>
      <c r="G4081" s="57"/>
      <c r="H4081" s="56"/>
      <c r="I4081" s="56"/>
      <c r="J4081" s="58"/>
      <c r="K4081" s="58"/>
      <c r="L4081" s="13" t="str">
        <f t="shared" si="630"/>
        <v/>
      </c>
      <c r="M4081" s="13" t="str">
        <f t="shared" si="631"/>
        <v/>
      </c>
      <c r="Q4081" t="str">
        <f t="shared" si="632"/>
        <v/>
      </c>
      <c r="R4081" t="str">
        <f t="shared" si="633"/>
        <v/>
      </c>
      <c r="S4081" t="str">
        <f t="shared" si="634"/>
        <v/>
      </c>
      <c r="T4081" t="str">
        <f t="shared" si="635"/>
        <v/>
      </c>
      <c r="U4081" t="str">
        <f t="shared" si="636"/>
        <v/>
      </c>
      <c r="V4081" t="str">
        <f t="shared" si="637"/>
        <v/>
      </c>
      <c r="W4081" t="str">
        <f t="shared" si="638"/>
        <v/>
      </c>
      <c r="X4081">
        <f>IF($T4081="",N($X4080),IF(MATCH($T4081,$T$6:$T$10005,0)=ROW()-5,N($X4080)+1,N($X4080)))</f>
        <v>0</v>
      </c>
      <c r="Z4081" t="str">
        <f t="shared" si="639"/>
        <v/>
      </c>
      <c r="AA4081">
        <f>IF($V4081="",N($AA4080),IF(MATCH($V4081,$V$6:$V$10005,0)=ROW()-5,N($AA4080)+1,N($AA4080)))</f>
        <v>0</v>
      </c>
    </row>
    <row r="4082" spans="1:27" ht="21" customHeight="1" x14ac:dyDescent="0.95">
      <c r="A4082" s="56"/>
      <c r="B4082" s="57"/>
      <c r="C4082" s="57"/>
      <c r="D4082" s="57"/>
      <c r="E4082" s="56"/>
      <c r="F4082" s="57"/>
      <c r="G4082" s="57"/>
      <c r="H4082" s="56"/>
      <c r="I4082" s="56"/>
      <c r="J4082" s="58"/>
      <c r="K4082" s="58"/>
      <c r="L4082" s="13" t="str">
        <f t="shared" si="630"/>
        <v/>
      </c>
      <c r="M4082" s="13" t="str">
        <f t="shared" si="631"/>
        <v/>
      </c>
      <c r="Q4082" t="str">
        <f t="shared" si="632"/>
        <v/>
      </c>
      <c r="R4082" t="str">
        <f t="shared" si="633"/>
        <v/>
      </c>
      <c r="S4082" t="str">
        <f t="shared" si="634"/>
        <v/>
      </c>
      <c r="T4082" t="str">
        <f t="shared" si="635"/>
        <v/>
      </c>
      <c r="U4082" t="str">
        <f t="shared" si="636"/>
        <v/>
      </c>
      <c r="V4082" t="str">
        <f t="shared" si="637"/>
        <v/>
      </c>
      <c r="W4082" t="str">
        <f t="shared" si="638"/>
        <v/>
      </c>
      <c r="X4082">
        <f>IF($T4082="",N($X4081),IF(MATCH($T4082,$T$6:$T$10005,0)=ROW()-5,N($X4081)+1,N($X4081)))</f>
        <v>0</v>
      </c>
      <c r="Z4082" t="str">
        <f t="shared" si="639"/>
        <v/>
      </c>
      <c r="AA4082">
        <f>IF($V4082="",N($AA4081),IF(MATCH($V4082,$V$6:$V$10005,0)=ROW()-5,N($AA4081)+1,N($AA4081)))</f>
        <v>0</v>
      </c>
    </row>
    <row r="4083" spans="1:27" ht="21" customHeight="1" x14ac:dyDescent="0.95">
      <c r="A4083" s="56"/>
      <c r="B4083" s="57"/>
      <c r="C4083" s="57"/>
      <c r="D4083" s="57"/>
      <c r="E4083" s="56"/>
      <c r="F4083" s="57"/>
      <c r="G4083" s="57"/>
      <c r="H4083" s="56"/>
      <c r="I4083" s="56"/>
      <c r="J4083" s="58"/>
      <c r="K4083" s="58"/>
      <c r="L4083" s="13" t="str">
        <f t="shared" si="630"/>
        <v/>
      </c>
      <c r="M4083" s="13" t="str">
        <f t="shared" si="631"/>
        <v/>
      </c>
      <c r="Q4083" t="str">
        <f t="shared" si="632"/>
        <v/>
      </c>
      <c r="R4083" t="str">
        <f t="shared" si="633"/>
        <v/>
      </c>
      <c r="S4083" t="str">
        <f t="shared" si="634"/>
        <v/>
      </c>
      <c r="T4083" t="str">
        <f t="shared" si="635"/>
        <v/>
      </c>
      <c r="U4083" t="str">
        <f t="shared" si="636"/>
        <v/>
      </c>
      <c r="V4083" t="str">
        <f t="shared" si="637"/>
        <v/>
      </c>
      <c r="W4083" t="str">
        <f t="shared" si="638"/>
        <v/>
      </c>
      <c r="X4083">
        <f>IF($T4083="",N($X4082),IF(MATCH($T4083,$T$6:$T$10005,0)=ROW()-5,N($X4082)+1,N($X4082)))</f>
        <v>0</v>
      </c>
      <c r="Z4083" t="str">
        <f t="shared" si="639"/>
        <v/>
      </c>
      <c r="AA4083">
        <f>IF($V4083="",N($AA4082),IF(MATCH($V4083,$V$6:$V$10005,0)=ROW()-5,N($AA4082)+1,N($AA4082)))</f>
        <v>0</v>
      </c>
    </row>
    <row r="4084" spans="1:27" ht="21" customHeight="1" x14ac:dyDescent="0.95">
      <c r="A4084" s="56"/>
      <c r="B4084" s="57"/>
      <c r="C4084" s="57"/>
      <c r="D4084" s="57"/>
      <c r="E4084" s="56"/>
      <c r="F4084" s="57"/>
      <c r="G4084" s="57"/>
      <c r="H4084" s="56"/>
      <c r="I4084" s="56"/>
      <c r="J4084" s="58"/>
      <c r="K4084" s="58"/>
      <c r="L4084" s="13" t="str">
        <f t="shared" si="630"/>
        <v/>
      </c>
      <c r="M4084" s="13" t="str">
        <f t="shared" si="631"/>
        <v/>
      </c>
      <c r="Q4084" t="str">
        <f t="shared" si="632"/>
        <v/>
      </c>
      <c r="R4084" t="str">
        <f t="shared" si="633"/>
        <v/>
      </c>
      <c r="S4084" t="str">
        <f t="shared" si="634"/>
        <v/>
      </c>
      <c r="T4084" t="str">
        <f t="shared" si="635"/>
        <v/>
      </c>
      <c r="U4084" t="str">
        <f t="shared" si="636"/>
        <v/>
      </c>
      <c r="V4084" t="str">
        <f t="shared" si="637"/>
        <v/>
      </c>
      <c r="W4084" t="str">
        <f t="shared" si="638"/>
        <v/>
      </c>
      <c r="X4084">
        <f>IF($T4084="",N($X4083),IF(MATCH($T4084,$T$6:$T$10005,0)=ROW()-5,N($X4083)+1,N($X4083)))</f>
        <v>0</v>
      </c>
      <c r="Z4084" t="str">
        <f t="shared" si="639"/>
        <v/>
      </c>
      <c r="AA4084">
        <f>IF($V4084="",N($AA4083),IF(MATCH($V4084,$V$6:$V$10005,0)=ROW()-5,N($AA4083)+1,N($AA4083)))</f>
        <v>0</v>
      </c>
    </row>
    <row r="4085" spans="1:27" ht="21" customHeight="1" x14ac:dyDescent="0.95">
      <c r="A4085" s="56"/>
      <c r="B4085" s="57"/>
      <c r="C4085" s="57"/>
      <c r="D4085" s="57"/>
      <c r="E4085" s="56"/>
      <c r="F4085" s="57"/>
      <c r="G4085" s="57"/>
      <c r="H4085" s="56"/>
      <c r="I4085" s="56"/>
      <c r="J4085" s="58"/>
      <c r="K4085" s="58"/>
      <c r="L4085" s="13" t="str">
        <f t="shared" si="630"/>
        <v/>
      </c>
      <c r="M4085" s="13" t="str">
        <f t="shared" si="631"/>
        <v/>
      </c>
      <c r="Q4085" t="str">
        <f t="shared" si="632"/>
        <v/>
      </c>
      <c r="R4085" t="str">
        <f t="shared" si="633"/>
        <v/>
      </c>
      <c r="S4085" t="str">
        <f t="shared" si="634"/>
        <v/>
      </c>
      <c r="T4085" t="str">
        <f t="shared" si="635"/>
        <v/>
      </c>
      <c r="U4085" t="str">
        <f t="shared" si="636"/>
        <v/>
      </c>
      <c r="V4085" t="str">
        <f t="shared" si="637"/>
        <v/>
      </c>
      <c r="W4085" t="str">
        <f t="shared" si="638"/>
        <v/>
      </c>
      <c r="X4085">
        <f>IF($T4085="",N($X4084),IF(MATCH($T4085,$T$6:$T$10005,0)=ROW()-5,N($X4084)+1,N($X4084)))</f>
        <v>0</v>
      </c>
      <c r="Z4085" t="str">
        <f t="shared" si="639"/>
        <v/>
      </c>
      <c r="AA4085">
        <f>IF($V4085="",N($AA4084),IF(MATCH($V4085,$V$6:$V$10005,0)=ROW()-5,N($AA4084)+1,N($AA4084)))</f>
        <v>0</v>
      </c>
    </row>
    <row r="4086" spans="1:27" ht="21" customHeight="1" x14ac:dyDescent="0.95">
      <c r="A4086" s="56"/>
      <c r="B4086" s="57"/>
      <c r="C4086" s="57"/>
      <c r="D4086" s="57"/>
      <c r="E4086" s="56"/>
      <c r="F4086" s="57"/>
      <c r="G4086" s="57"/>
      <c r="H4086" s="56"/>
      <c r="I4086" s="56"/>
      <c r="J4086" s="58"/>
      <c r="K4086" s="58"/>
      <c r="L4086" s="13" t="str">
        <f t="shared" si="630"/>
        <v/>
      </c>
      <c r="M4086" s="13" t="str">
        <f t="shared" si="631"/>
        <v/>
      </c>
      <c r="Q4086" t="str">
        <f t="shared" si="632"/>
        <v/>
      </c>
      <c r="R4086" t="str">
        <f t="shared" si="633"/>
        <v/>
      </c>
      <c r="S4086" t="str">
        <f t="shared" si="634"/>
        <v/>
      </c>
      <c r="T4086" t="str">
        <f t="shared" si="635"/>
        <v/>
      </c>
      <c r="U4086" t="str">
        <f t="shared" si="636"/>
        <v/>
      </c>
      <c r="V4086" t="str">
        <f t="shared" si="637"/>
        <v/>
      </c>
      <c r="W4086" t="str">
        <f t="shared" si="638"/>
        <v/>
      </c>
      <c r="X4086">
        <f>IF($T4086="",N($X4085),IF(MATCH($T4086,$T$6:$T$10005,0)=ROW()-5,N($X4085)+1,N($X4085)))</f>
        <v>0</v>
      </c>
      <c r="Z4086" t="str">
        <f t="shared" si="639"/>
        <v/>
      </c>
      <c r="AA4086">
        <f>IF($V4086="",N($AA4085),IF(MATCH($V4086,$V$6:$V$10005,0)=ROW()-5,N($AA4085)+1,N($AA4085)))</f>
        <v>0</v>
      </c>
    </row>
    <row r="4087" spans="1:27" ht="21" customHeight="1" x14ac:dyDescent="0.95">
      <c r="A4087" s="56"/>
      <c r="B4087" s="57"/>
      <c r="C4087" s="57"/>
      <c r="D4087" s="57"/>
      <c r="E4087" s="56"/>
      <c r="F4087" s="57"/>
      <c r="G4087" s="57"/>
      <c r="H4087" s="56"/>
      <c r="I4087" s="56"/>
      <c r="J4087" s="58"/>
      <c r="K4087" s="58"/>
      <c r="L4087" s="13" t="str">
        <f t="shared" si="630"/>
        <v/>
      </c>
      <c r="M4087" s="13" t="str">
        <f t="shared" si="631"/>
        <v/>
      </c>
      <c r="Q4087" t="str">
        <f t="shared" si="632"/>
        <v/>
      </c>
      <c r="R4087" t="str">
        <f t="shared" si="633"/>
        <v/>
      </c>
      <c r="S4087" t="str">
        <f t="shared" si="634"/>
        <v/>
      </c>
      <c r="T4087" t="str">
        <f t="shared" si="635"/>
        <v/>
      </c>
      <c r="U4087" t="str">
        <f t="shared" si="636"/>
        <v/>
      </c>
      <c r="V4087" t="str">
        <f t="shared" si="637"/>
        <v/>
      </c>
      <c r="W4087" t="str">
        <f t="shared" si="638"/>
        <v/>
      </c>
      <c r="X4087">
        <f>IF($T4087="",N($X4086),IF(MATCH($T4087,$T$6:$T$10005,0)=ROW()-5,N($X4086)+1,N($X4086)))</f>
        <v>0</v>
      </c>
      <c r="Z4087" t="str">
        <f t="shared" si="639"/>
        <v/>
      </c>
      <c r="AA4087">
        <f>IF($V4087="",N($AA4086),IF(MATCH($V4087,$V$6:$V$10005,0)=ROW()-5,N($AA4086)+1,N($AA4086)))</f>
        <v>0</v>
      </c>
    </row>
    <row r="4088" spans="1:27" ht="21" customHeight="1" x14ac:dyDescent="0.95">
      <c r="A4088" s="56"/>
      <c r="B4088" s="57"/>
      <c r="C4088" s="57"/>
      <c r="D4088" s="57"/>
      <c r="E4088" s="56"/>
      <c r="F4088" s="57"/>
      <c r="G4088" s="57"/>
      <c r="H4088" s="56"/>
      <c r="I4088" s="56"/>
      <c r="J4088" s="58"/>
      <c r="K4088" s="58"/>
      <c r="L4088" s="13" t="str">
        <f t="shared" si="630"/>
        <v/>
      </c>
      <c r="M4088" s="13" t="str">
        <f t="shared" si="631"/>
        <v/>
      </c>
      <c r="Q4088" t="str">
        <f t="shared" si="632"/>
        <v/>
      </c>
      <c r="R4088" t="str">
        <f t="shared" si="633"/>
        <v/>
      </c>
      <c r="S4088" t="str">
        <f t="shared" si="634"/>
        <v/>
      </c>
      <c r="T4088" t="str">
        <f t="shared" si="635"/>
        <v/>
      </c>
      <c r="U4088" t="str">
        <f t="shared" si="636"/>
        <v/>
      </c>
      <c r="V4088" t="str">
        <f t="shared" si="637"/>
        <v/>
      </c>
      <c r="W4088" t="str">
        <f t="shared" si="638"/>
        <v/>
      </c>
      <c r="X4088">
        <f>IF($T4088="",N($X4087),IF(MATCH($T4088,$T$6:$T$10005,0)=ROW()-5,N($X4087)+1,N($X4087)))</f>
        <v>0</v>
      </c>
      <c r="Z4088" t="str">
        <f t="shared" si="639"/>
        <v/>
      </c>
      <c r="AA4088">
        <f>IF($V4088="",N($AA4087),IF(MATCH($V4088,$V$6:$V$10005,0)=ROW()-5,N($AA4087)+1,N($AA4087)))</f>
        <v>0</v>
      </c>
    </row>
    <row r="4089" spans="1:27" ht="21" customHeight="1" x14ac:dyDescent="0.95">
      <c r="A4089" s="56"/>
      <c r="B4089" s="57"/>
      <c r="C4089" s="57"/>
      <c r="D4089" s="57"/>
      <c r="E4089" s="56"/>
      <c r="F4089" s="57"/>
      <c r="G4089" s="57"/>
      <c r="H4089" s="56"/>
      <c r="I4089" s="56"/>
      <c r="J4089" s="58"/>
      <c r="K4089" s="58"/>
      <c r="L4089" s="13" t="str">
        <f t="shared" si="630"/>
        <v/>
      </c>
      <c r="M4089" s="13" t="str">
        <f t="shared" si="631"/>
        <v/>
      </c>
      <c r="Q4089" t="str">
        <f t="shared" si="632"/>
        <v/>
      </c>
      <c r="R4089" t="str">
        <f t="shared" si="633"/>
        <v/>
      </c>
      <c r="S4089" t="str">
        <f t="shared" si="634"/>
        <v/>
      </c>
      <c r="T4089" t="str">
        <f t="shared" si="635"/>
        <v/>
      </c>
      <c r="U4089" t="str">
        <f t="shared" si="636"/>
        <v/>
      </c>
      <c r="V4089" t="str">
        <f t="shared" si="637"/>
        <v/>
      </c>
      <c r="W4089" t="str">
        <f t="shared" si="638"/>
        <v/>
      </c>
      <c r="X4089">
        <f>IF($T4089="",N($X4088),IF(MATCH($T4089,$T$6:$T$10005,0)=ROW()-5,N($X4088)+1,N($X4088)))</f>
        <v>0</v>
      </c>
      <c r="Z4089" t="str">
        <f t="shared" si="639"/>
        <v/>
      </c>
      <c r="AA4089">
        <f>IF($V4089="",N($AA4088),IF(MATCH($V4089,$V$6:$V$10005,0)=ROW()-5,N($AA4088)+1,N($AA4088)))</f>
        <v>0</v>
      </c>
    </row>
    <row r="4090" spans="1:27" ht="21" customHeight="1" x14ac:dyDescent="0.95">
      <c r="A4090" s="56"/>
      <c r="B4090" s="57"/>
      <c r="C4090" s="57"/>
      <c r="D4090" s="57"/>
      <c r="E4090" s="56"/>
      <c r="F4090" s="57"/>
      <c r="G4090" s="57"/>
      <c r="H4090" s="56"/>
      <c r="I4090" s="56"/>
      <c r="J4090" s="58"/>
      <c r="K4090" s="58"/>
      <c r="L4090" s="13" t="str">
        <f t="shared" si="630"/>
        <v/>
      </c>
      <c r="M4090" s="13" t="str">
        <f t="shared" si="631"/>
        <v/>
      </c>
      <c r="Q4090" t="str">
        <f t="shared" si="632"/>
        <v/>
      </c>
      <c r="R4090" t="str">
        <f t="shared" si="633"/>
        <v/>
      </c>
      <c r="S4090" t="str">
        <f t="shared" si="634"/>
        <v/>
      </c>
      <c r="T4090" t="str">
        <f t="shared" si="635"/>
        <v/>
      </c>
      <c r="U4090" t="str">
        <f t="shared" si="636"/>
        <v/>
      </c>
      <c r="V4090" t="str">
        <f t="shared" si="637"/>
        <v/>
      </c>
      <c r="W4090" t="str">
        <f t="shared" si="638"/>
        <v/>
      </c>
      <c r="X4090">
        <f>IF($T4090="",N($X4089),IF(MATCH($T4090,$T$6:$T$10005,0)=ROW()-5,N($X4089)+1,N($X4089)))</f>
        <v>0</v>
      </c>
      <c r="Z4090" t="str">
        <f t="shared" si="639"/>
        <v/>
      </c>
      <c r="AA4090">
        <f>IF($V4090="",N($AA4089),IF(MATCH($V4090,$V$6:$V$10005,0)=ROW()-5,N($AA4089)+1,N($AA4089)))</f>
        <v>0</v>
      </c>
    </row>
    <row r="4091" spans="1:27" ht="21" customHeight="1" x14ac:dyDescent="0.95">
      <c r="A4091" s="56"/>
      <c r="B4091" s="57"/>
      <c r="C4091" s="57"/>
      <c r="D4091" s="57"/>
      <c r="E4091" s="56"/>
      <c r="F4091" s="57"/>
      <c r="G4091" s="57"/>
      <c r="H4091" s="56"/>
      <c r="I4091" s="56"/>
      <c r="J4091" s="58"/>
      <c r="K4091" s="58"/>
      <c r="L4091" s="13" t="str">
        <f t="shared" si="630"/>
        <v/>
      </c>
      <c r="M4091" s="13" t="str">
        <f t="shared" si="631"/>
        <v/>
      </c>
      <c r="Q4091" t="str">
        <f t="shared" si="632"/>
        <v/>
      </c>
      <c r="R4091" t="str">
        <f t="shared" si="633"/>
        <v/>
      </c>
      <c r="S4091" t="str">
        <f t="shared" si="634"/>
        <v/>
      </c>
      <c r="T4091" t="str">
        <f t="shared" si="635"/>
        <v/>
      </c>
      <c r="U4091" t="str">
        <f t="shared" si="636"/>
        <v/>
      </c>
      <c r="V4091" t="str">
        <f t="shared" si="637"/>
        <v/>
      </c>
      <c r="W4091" t="str">
        <f t="shared" si="638"/>
        <v/>
      </c>
      <c r="X4091">
        <f>IF($T4091="",N($X4090),IF(MATCH($T4091,$T$6:$T$10005,0)=ROW()-5,N($X4090)+1,N($X4090)))</f>
        <v>0</v>
      </c>
      <c r="Z4091" t="str">
        <f t="shared" si="639"/>
        <v/>
      </c>
      <c r="AA4091">
        <f>IF($V4091="",N($AA4090),IF(MATCH($V4091,$V$6:$V$10005,0)=ROW()-5,N($AA4090)+1,N($AA4090)))</f>
        <v>0</v>
      </c>
    </row>
    <row r="4092" spans="1:27" ht="21" customHeight="1" x14ac:dyDescent="0.95">
      <c r="A4092" s="56"/>
      <c r="B4092" s="57"/>
      <c r="C4092" s="57"/>
      <c r="D4092" s="57"/>
      <c r="E4092" s="56"/>
      <c r="F4092" s="57"/>
      <c r="G4092" s="57"/>
      <c r="H4092" s="56"/>
      <c r="I4092" s="56"/>
      <c r="J4092" s="58"/>
      <c r="K4092" s="58"/>
      <c r="L4092" s="13" t="str">
        <f t="shared" si="630"/>
        <v/>
      </c>
      <c r="M4092" s="13" t="str">
        <f t="shared" si="631"/>
        <v/>
      </c>
      <c r="Q4092" t="str">
        <f t="shared" si="632"/>
        <v/>
      </c>
      <c r="R4092" t="str">
        <f t="shared" si="633"/>
        <v/>
      </c>
      <c r="S4092" t="str">
        <f t="shared" si="634"/>
        <v/>
      </c>
      <c r="T4092" t="str">
        <f t="shared" si="635"/>
        <v/>
      </c>
      <c r="U4092" t="str">
        <f t="shared" si="636"/>
        <v/>
      </c>
      <c r="V4092" t="str">
        <f t="shared" si="637"/>
        <v/>
      </c>
      <c r="W4092" t="str">
        <f t="shared" si="638"/>
        <v/>
      </c>
      <c r="X4092">
        <f>IF($T4092="",N($X4091),IF(MATCH($T4092,$T$6:$T$10005,0)=ROW()-5,N($X4091)+1,N($X4091)))</f>
        <v>0</v>
      </c>
      <c r="Z4092" t="str">
        <f t="shared" si="639"/>
        <v/>
      </c>
      <c r="AA4092">
        <f>IF($V4092="",N($AA4091),IF(MATCH($V4092,$V$6:$V$10005,0)=ROW()-5,N($AA4091)+1,N($AA4091)))</f>
        <v>0</v>
      </c>
    </row>
    <row r="4093" spans="1:27" ht="21" customHeight="1" x14ac:dyDescent="0.95">
      <c r="A4093" s="56"/>
      <c r="B4093" s="57"/>
      <c r="C4093" s="57"/>
      <c r="D4093" s="57"/>
      <c r="E4093" s="56"/>
      <c r="F4093" s="57"/>
      <c r="G4093" s="57"/>
      <c r="H4093" s="56"/>
      <c r="I4093" s="56"/>
      <c r="J4093" s="58"/>
      <c r="K4093" s="58"/>
      <c r="L4093" s="13" t="str">
        <f t="shared" si="630"/>
        <v/>
      </c>
      <c r="M4093" s="13" t="str">
        <f t="shared" si="631"/>
        <v/>
      </c>
      <c r="Q4093" t="str">
        <f t="shared" si="632"/>
        <v/>
      </c>
      <c r="R4093" t="str">
        <f t="shared" si="633"/>
        <v/>
      </c>
      <c r="S4093" t="str">
        <f t="shared" si="634"/>
        <v/>
      </c>
      <c r="T4093" t="str">
        <f t="shared" si="635"/>
        <v/>
      </c>
      <c r="U4093" t="str">
        <f t="shared" si="636"/>
        <v/>
      </c>
      <c r="V4093" t="str">
        <f t="shared" si="637"/>
        <v/>
      </c>
      <c r="W4093" t="str">
        <f t="shared" si="638"/>
        <v/>
      </c>
      <c r="X4093">
        <f>IF($T4093="",N($X4092),IF(MATCH($T4093,$T$6:$T$10005,0)=ROW()-5,N($X4092)+1,N($X4092)))</f>
        <v>0</v>
      </c>
      <c r="Z4093" t="str">
        <f t="shared" si="639"/>
        <v/>
      </c>
      <c r="AA4093">
        <f>IF($V4093="",N($AA4092),IF(MATCH($V4093,$V$6:$V$10005,0)=ROW()-5,N($AA4092)+1,N($AA4092)))</f>
        <v>0</v>
      </c>
    </row>
    <row r="4094" spans="1:27" ht="21" customHeight="1" x14ac:dyDescent="0.95">
      <c r="A4094" s="56"/>
      <c r="B4094" s="57"/>
      <c r="C4094" s="57"/>
      <c r="D4094" s="57"/>
      <c r="E4094" s="56"/>
      <c r="F4094" s="57"/>
      <c r="G4094" s="57"/>
      <c r="H4094" s="56"/>
      <c r="I4094" s="56"/>
      <c r="J4094" s="58"/>
      <c r="K4094" s="58"/>
      <c r="L4094" s="13" t="str">
        <f t="shared" si="630"/>
        <v/>
      </c>
      <c r="M4094" s="13" t="str">
        <f t="shared" si="631"/>
        <v/>
      </c>
      <c r="Q4094" t="str">
        <f t="shared" si="632"/>
        <v/>
      </c>
      <c r="R4094" t="str">
        <f t="shared" si="633"/>
        <v/>
      </c>
      <c r="S4094" t="str">
        <f t="shared" si="634"/>
        <v/>
      </c>
      <c r="T4094" t="str">
        <f t="shared" si="635"/>
        <v/>
      </c>
      <c r="U4094" t="str">
        <f t="shared" si="636"/>
        <v/>
      </c>
      <c r="V4094" t="str">
        <f t="shared" si="637"/>
        <v/>
      </c>
      <c r="W4094" t="str">
        <f t="shared" si="638"/>
        <v/>
      </c>
      <c r="X4094">
        <f>IF($T4094="",N($X4093),IF(MATCH($T4094,$T$6:$T$10005,0)=ROW()-5,N($X4093)+1,N($X4093)))</f>
        <v>0</v>
      </c>
      <c r="Z4094" t="str">
        <f t="shared" si="639"/>
        <v/>
      </c>
      <c r="AA4094">
        <f>IF($V4094="",N($AA4093),IF(MATCH($V4094,$V$6:$V$10005,0)=ROW()-5,N($AA4093)+1,N($AA4093)))</f>
        <v>0</v>
      </c>
    </row>
    <row r="4095" spans="1:27" ht="21" customHeight="1" x14ac:dyDescent="0.95">
      <c r="A4095" s="56"/>
      <c r="B4095" s="57"/>
      <c r="C4095" s="57"/>
      <c r="D4095" s="57"/>
      <c r="E4095" s="56"/>
      <c r="F4095" s="57"/>
      <c r="G4095" s="57"/>
      <c r="H4095" s="56"/>
      <c r="I4095" s="56"/>
      <c r="J4095" s="58"/>
      <c r="K4095" s="58"/>
      <c r="L4095" s="13" t="str">
        <f t="shared" si="630"/>
        <v/>
      </c>
      <c r="M4095" s="13" t="str">
        <f t="shared" si="631"/>
        <v/>
      </c>
      <c r="Q4095" t="str">
        <f t="shared" si="632"/>
        <v/>
      </c>
      <c r="R4095" t="str">
        <f t="shared" si="633"/>
        <v/>
      </c>
      <c r="S4095" t="str">
        <f t="shared" si="634"/>
        <v/>
      </c>
      <c r="T4095" t="str">
        <f t="shared" si="635"/>
        <v/>
      </c>
      <c r="U4095" t="str">
        <f t="shared" si="636"/>
        <v/>
      </c>
      <c r="V4095" t="str">
        <f t="shared" si="637"/>
        <v/>
      </c>
      <c r="W4095" t="str">
        <f t="shared" si="638"/>
        <v/>
      </c>
      <c r="X4095">
        <f>IF($T4095="",N($X4094),IF(MATCH($T4095,$T$6:$T$10005,0)=ROW()-5,N($X4094)+1,N($X4094)))</f>
        <v>0</v>
      </c>
      <c r="Z4095" t="str">
        <f t="shared" si="639"/>
        <v/>
      </c>
      <c r="AA4095">
        <f>IF($V4095="",N($AA4094),IF(MATCH($V4095,$V$6:$V$10005,0)=ROW()-5,N($AA4094)+1,N($AA4094)))</f>
        <v>0</v>
      </c>
    </row>
    <row r="4096" spans="1:27" ht="21" customHeight="1" x14ac:dyDescent="0.95">
      <c r="A4096" s="56"/>
      <c r="B4096" s="57"/>
      <c r="C4096" s="57"/>
      <c r="D4096" s="57"/>
      <c r="E4096" s="56"/>
      <c r="F4096" s="57"/>
      <c r="G4096" s="57"/>
      <c r="H4096" s="56"/>
      <c r="I4096" s="56"/>
      <c r="J4096" s="58"/>
      <c r="K4096" s="58"/>
      <c r="L4096" s="13" t="str">
        <f t="shared" si="630"/>
        <v/>
      </c>
      <c r="M4096" s="13" t="str">
        <f t="shared" si="631"/>
        <v/>
      </c>
      <c r="Q4096" t="str">
        <f t="shared" si="632"/>
        <v/>
      </c>
      <c r="R4096" t="str">
        <f t="shared" si="633"/>
        <v/>
      </c>
      <c r="S4096" t="str">
        <f t="shared" si="634"/>
        <v/>
      </c>
      <c r="T4096" t="str">
        <f t="shared" si="635"/>
        <v/>
      </c>
      <c r="U4096" t="str">
        <f t="shared" si="636"/>
        <v/>
      </c>
      <c r="V4096" t="str">
        <f t="shared" si="637"/>
        <v/>
      </c>
      <c r="W4096" t="str">
        <f t="shared" si="638"/>
        <v/>
      </c>
      <c r="X4096">
        <f>IF($T4096="",N($X4095),IF(MATCH($T4096,$T$6:$T$10005,0)=ROW()-5,N($X4095)+1,N($X4095)))</f>
        <v>0</v>
      </c>
      <c r="Z4096" t="str">
        <f t="shared" si="639"/>
        <v/>
      </c>
      <c r="AA4096">
        <f>IF($V4096="",N($AA4095),IF(MATCH($V4096,$V$6:$V$10005,0)=ROW()-5,N($AA4095)+1,N($AA4095)))</f>
        <v>0</v>
      </c>
    </row>
    <row r="4097" spans="1:27" ht="21" customHeight="1" x14ac:dyDescent="0.95">
      <c r="A4097" s="56"/>
      <c r="B4097" s="57"/>
      <c r="C4097" s="57"/>
      <c r="D4097" s="57"/>
      <c r="E4097" s="56"/>
      <c r="F4097" s="57"/>
      <c r="G4097" s="57"/>
      <c r="H4097" s="56"/>
      <c r="I4097" s="56"/>
      <c r="J4097" s="58"/>
      <c r="K4097" s="58"/>
      <c r="L4097" s="13" t="str">
        <f t="shared" si="630"/>
        <v/>
      </c>
      <c r="M4097" s="13" t="str">
        <f t="shared" si="631"/>
        <v/>
      </c>
      <c r="Q4097" t="str">
        <f t="shared" si="632"/>
        <v/>
      </c>
      <c r="R4097" t="str">
        <f t="shared" si="633"/>
        <v/>
      </c>
      <c r="S4097" t="str">
        <f t="shared" si="634"/>
        <v/>
      </c>
      <c r="T4097" t="str">
        <f t="shared" si="635"/>
        <v/>
      </c>
      <c r="U4097" t="str">
        <f t="shared" si="636"/>
        <v/>
      </c>
      <c r="V4097" t="str">
        <f t="shared" si="637"/>
        <v/>
      </c>
      <c r="W4097" t="str">
        <f t="shared" si="638"/>
        <v/>
      </c>
      <c r="X4097">
        <f>IF($T4097="",N($X4096),IF(MATCH($T4097,$T$6:$T$10005,0)=ROW()-5,N($X4096)+1,N($X4096)))</f>
        <v>0</v>
      </c>
      <c r="Z4097" t="str">
        <f t="shared" si="639"/>
        <v/>
      </c>
      <c r="AA4097">
        <f>IF($V4097="",N($AA4096),IF(MATCH($V4097,$V$6:$V$10005,0)=ROW()-5,N($AA4096)+1,N($AA4096)))</f>
        <v>0</v>
      </c>
    </row>
    <row r="4098" spans="1:27" ht="21" customHeight="1" x14ac:dyDescent="0.95">
      <c r="A4098" s="56"/>
      <c r="B4098" s="57"/>
      <c r="C4098" s="57"/>
      <c r="D4098" s="57"/>
      <c r="E4098" s="56"/>
      <c r="F4098" s="57"/>
      <c r="G4098" s="57"/>
      <c r="H4098" s="56"/>
      <c r="I4098" s="56"/>
      <c r="J4098" s="58"/>
      <c r="K4098" s="58"/>
      <c r="L4098" s="13" t="str">
        <f t="shared" si="630"/>
        <v/>
      </c>
      <c r="M4098" s="13" t="str">
        <f t="shared" si="631"/>
        <v/>
      </c>
      <c r="Q4098" t="str">
        <f t="shared" si="632"/>
        <v/>
      </c>
      <c r="R4098" t="str">
        <f t="shared" si="633"/>
        <v/>
      </c>
      <c r="S4098" t="str">
        <f t="shared" si="634"/>
        <v/>
      </c>
      <c r="T4098" t="str">
        <f t="shared" si="635"/>
        <v/>
      </c>
      <c r="U4098" t="str">
        <f t="shared" si="636"/>
        <v/>
      </c>
      <c r="V4098" t="str">
        <f t="shared" si="637"/>
        <v/>
      </c>
      <c r="W4098" t="str">
        <f t="shared" si="638"/>
        <v/>
      </c>
      <c r="X4098">
        <f>IF($T4098="",N($X4097),IF(MATCH($T4098,$T$6:$T$10005,0)=ROW()-5,N($X4097)+1,N($X4097)))</f>
        <v>0</v>
      </c>
      <c r="Z4098" t="str">
        <f t="shared" si="639"/>
        <v/>
      </c>
      <c r="AA4098">
        <f>IF($V4098="",N($AA4097),IF(MATCH($V4098,$V$6:$V$10005,0)=ROW()-5,N($AA4097)+1,N($AA4097)))</f>
        <v>0</v>
      </c>
    </row>
    <row r="4099" spans="1:27" ht="21" customHeight="1" x14ac:dyDescent="0.95">
      <c r="A4099" s="56"/>
      <c r="B4099" s="57"/>
      <c r="C4099" s="57"/>
      <c r="D4099" s="57"/>
      <c r="E4099" s="56"/>
      <c r="F4099" s="57"/>
      <c r="G4099" s="57"/>
      <c r="H4099" s="56"/>
      <c r="I4099" s="56"/>
      <c r="J4099" s="58"/>
      <c r="K4099" s="58"/>
      <c r="L4099" s="13" t="str">
        <f t="shared" si="630"/>
        <v/>
      </c>
      <c r="M4099" s="13" t="str">
        <f t="shared" si="631"/>
        <v/>
      </c>
      <c r="Q4099" t="str">
        <f t="shared" si="632"/>
        <v/>
      </c>
      <c r="R4099" t="str">
        <f t="shared" si="633"/>
        <v/>
      </c>
      <c r="S4099" t="str">
        <f t="shared" si="634"/>
        <v/>
      </c>
      <c r="T4099" t="str">
        <f t="shared" si="635"/>
        <v/>
      </c>
      <c r="U4099" t="str">
        <f t="shared" si="636"/>
        <v/>
      </c>
      <c r="V4099" t="str">
        <f t="shared" si="637"/>
        <v/>
      </c>
      <c r="W4099" t="str">
        <f t="shared" si="638"/>
        <v/>
      </c>
      <c r="X4099">
        <f>IF($T4099="",N($X4098),IF(MATCH($T4099,$T$6:$T$10005,0)=ROW()-5,N($X4098)+1,N($X4098)))</f>
        <v>0</v>
      </c>
      <c r="Z4099" t="str">
        <f t="shared" si="639"/>
        <v/>
      </c>
      <c r="AA4099">
        <f>IF($V4099="",N($AA4098),IF(MATCH($V4099,$V$6:$V$10005,0)=ROW()-5,N($AA4098)+1,N($AA4098)))</f>
        <v>0</v>
      </c>
    </row>
    <row r="4100" spans="1:27" ht="21" customHeight="1" x14ac:dyDescent="0.95">
      <c r="A4100" s="56"/>
      <c r="B4100" s="57"/>
      <c r="C4100" s="57"/>
      <c r="D4100" s="57"/>
      <c r="E4100" s="56"/>
      <c r="F4100" s="57"/>
      <c r="G4100" s="57"/>
      <c r="H4100" s="56"/>
      <c r="I4100" s="56"/>
      <c r="J4100" s="58"/>
      <c r="K4100" s="58"/>
      <c r="L4100" s="13" t="str">
        <f t="shared" si="630"/>
        <v/>
      </c>
      <c r="M4100" s="13" t="str">
        <f t="shared" si="631"/>
        <v/>
      </c>
      <c r="Q4100" t="str">
        <f t="shared" si="632"/>
        <v/>
      </c>
      <c r="R4100" t="str">
        <f t="shared" si="633"/>
        <v/>
      </c>
      <c r="S4100" t="str">
        <f t="shared" si="634"/>
        <v/>
      </c>
      <c r="T4100" t="str">
        <f t="shared" si="635"/>
        <v/>
      </c>
      <c r="U4100" t="str">
        <f t="shared" si="636"/>
        <v/>
      </c>
      <c r="V4100" t="str">
        <f t="shared" si="637"/>
        <v/>
      </c>
      <c r="W4100" t="str">
        <f t="shared" si="638"/>
        <v/>
      </c>
      <c r="X4100">
        <f>IF($T4100="",N($X4099),IF(MATCH($T4100,$T$6:$T$10005,0)=ROW()-5,N($X4099)+1,N($X4099)))</f>
        <v>0</v>
      </c>
      <c r="Z4100" t="str">
        <f t="shared" si="639"/>
        <v/>
      </c>
      <c r="AA4100">
        <f>IF($V4100="",N($AA4099),IF(MATCH($V4100,$V$6:$V$10005,0)=ROW()-5,N($AA4099)+1,N($AA4099)))</f>
        <v>0</v>
      </c>
    </row>
    <row r="4101" spans="1:27" ht="21" customHeight="1" x14ac:dyDescent="0.95">
      <c r="A4101" s="56"/>
      <c r="B4101" s="57"/>
      <c r="C4101" s="57"/>
      <c r="D4101" s="57"/>
      <c r="E4101" s="56"/>
      <c r="F4101" s="57"/>
      <c r="G4101" s="57"/>
      <c r="H4101" s="56"/>
      <c r="I4101" s="56"/>
      <c r="J4101" s="58"/>
      <c r="K4101" s="58"/>
      <c r="L4101" s="13" t="str">
        <f t="shared" si="630"/>
        <v/>
      </c>
      <c r="M4101" s="13" t="str">
        <f t="shared" si="631"/>
        <v/>
      </c>
      <c r="Q4101" t="str">
        <f t="shared" si="632"/>
        <v/>
      </c>
      <c r="R4101" t="str">
        <f t="shared" si="633"/>
        <v/>
      </c>
      <c r="S4101" t="str">
        <f t="shared" si="634"/>
        <v/>
      </c>
      <c r="T4101" t="str">
        <f t="shared" si="635"/>
        <v/>
      </c>
      <c r="U4101" t="str">
        <f t="shared" si="636"/>
        <v/>
      </c>
      <c r="V4101" t="str">
        <f t="shared" si="637"/>
        <v/>
      </c>
      <c r="W4101" t="str">
        <f t="shared" si="638"/>
        <v/>
      </c>
      <c r="X4101">
        <f>IF($T4101="",N($X4100),IF(MATCH($T4101,$T$6:$T$10005,0)=ROW()-5,N($X4100)+1,N($X4100)))</f>
        <v>0</v>
      </c>
      <c r="Z4101" t="str">
        <f t="shared" si="639"/>
        <v/>
      </c>
      <c r="AA4101">
        <f>IF($V4101="",N($AA4100),IF(MATCH($V4101,$V$6:$V$10005,0)=ROW()-5,N($AA4100)+1,N($AA4100)))</f>
        <v>0</v>
      </c>
    </row>
    <row r="4102" spans="1:27" ht="21" customHeight="1" x14ac:dyDescent="0.95">
      <c r="A4102" s="56"/>
      <c r="B4102" s="57"/>
      <c r="C4102" s="57"/>
      <c r="D4102" s="57"/>
      <c r="E4102" s="56"/>
      <c r="F4102" s="57"/>
      <c r="G4102" s="57"/>
      <c r="H4102" s="56"/>
      <c r="I4102" s="56"/>
      <c r="J4102" s="58"/>
      <c r="K4102" s="58"/>
      <c r="L4102" s="13" t="str">
        <f t="shared" ref="L4102:L4165" si="640">IF(OR($A4102="",AND($J4102="",$K4102="")),"",ROUND(N($J4102)-N($K4102),2))</f>
        <v/>
      </c>
      <c r="M4102" s="13" t="str">
        <f t="shared" ref="M4102:M4165" si="641">IF(OR($A4102="",AND($J4102="",$K4102="")),"",MIN($J4102,$K4102))</f>
        <v/>
      </c>
      <c r="Q4102" t="str">
        <f t="shared" ref="Q4102:Q4165" si="642">IF($A4102="","",$D4102&amp;"("&amp;SUBSTITUTE($E4102," ","")&amp;")")</f>
        <v/>
      </c>
      <c r="R4102" t="str">
        <f t="shared" ref="R4102:R4165" si="643">IF($A4102="","",$B4102&amp;" - "&amp;$C4102)</f>
        <v/>
      </c>
      <c r="S4102" t="str">
        <f t="shared" ref="S4102:S4165" si="644">IF($A4102="","",$R4102&amp;"|"&amp;$Q4102)</f>
        <v/>
      </c>
      <c r="T4102" t="str">
        <f t="shared" ref="T4102:T4165" si="645">IF($A4102="","",$S4102&amp;"|"&amp;$F4102)</f>
        <v/>
      </c>
      <c r="U4102" t="str">
        <f t="shared" ref="U4102:U4165" si="646">IF($A4102="","",$R4102&amp;"("&amp;$E4102&amp;")")</f>
        <v/>
      </c>
      <c r="V4102" t="str">
        <f t="shared" ref="V4102:V4165" si="647">IF($A4102="","",$F4102&amp;"|"&amp;$U4102&amp;"|"&amp;$D4102)</f>
        <v/>
      </c>
      <c r="W4102" t="str">
        <f t="shared" ref="W4102:W4165" si="648">IF($T4102="","",IF($X4102&gt;N($X4101),$X4102,""))</f>
        <v/>
      </c>
      <c r="X4102">
        <f>IF($T4102="",N($X4101),IF(MATCH($T4102,$T$6:$T$10005,0)=ROW()-5,N($X4101)+1,N($X4101)))</f>
        <v>0</v>
      </c>
      <c r="Z4102" t="str">
        <f t="shared" ref="Z4102:Z4165" si="649">IF($V4102="","",IF($AA4102&gt;N($AA4101),$AA4102,""))</f>
        <v/>
      </c>
      <c r="AA4102">
        <f>IF($V4102="",N($AA4101),IF(MATCH($V4102,$V$6:$V$10005,0)=ROW()-5,N($AA4101)+1,N($AA4101)))</f>
        <v>0</v>
      </c>
    </row>
    <row r="4103" spans="1:27" ht="21" customHeight="1" x14ac:dyDescent="0.95">
      <c r="A4103" s="56"/>
      <c r="B4103" s="57"/>
      <c r="C4103" s="57"/>
      <c r="D4103" s="57"/>
      <c r="E4103" s="56"/>
      <c r="F4103" s="57"/>
      <c r="G4103" s="57"/>
      <c r="H4103" s="56"/>
      <c r="I4103" s="56"/>
      <c r="J4103" s="58"/>
      <c r="K4103" s="58"/>
      <c r="L4103" s="13" t="str">
        <f t="shared" si="640"/>
        <v/>
      </c>
      <c r="M4103" s="13" t="str">
        <f t="shared" si="641"/>
        <v/>
      </c>
      <c r="Q4103" t="str">
        <f t="shared" si="642"/>
        <v/>
      </c>
      <c r="R4103" t="str">
        <f t="shared" si="643"/>
        <v/>
      </c>
      <c r="S4103" t="str">
        <f t="shared" si="644"/>
        <v/>
      </c>
      <c r="T4103" t="str">
        <f t="shared" si="645"/>
        <v/>
      </c>
      <c r="U4103" t="str">
        <f t="shared" si="646"/>
        <v/>
      </c>
      <c r="V4103" t="str">
        <f t="shared" si="647"/>
        <v/>
      </c>
      <c r="W4103" t="str">
        <f t="shared" si="648"/>
        <v/>
      </c>
      <c r="X4103">
        <f>IF($T4103="",N($X4102),IF(MATCH($T4103,$T$6:$T$10005,0)=ROW()-5,N($X4102)+1,N($X4102)))</f>
        <v>0</v>
      </c>
      <c r="Z4103" t="str">
        <f t="shared" si="649"/>
        <v/>
      </c>
      <c r="AA4103">
        <f>IF($V4103="",N($AA4102),IF(MATCH($V4103,$V$6:$V$10005,0)=ROW()-5,N($AA4102)+1,N($AA4102)))</f>
        <v>0</v>
      </c>
    </row>
    <row r="4104" spans="1:27" ht="21" customHeight="1" x14ac:dyDescent="0.95">
      <c r="A4104" s="56"/>
      <c r="B4104" s="57"/>
      <c r="C4104" s="57"/>
      <c r="D4104" s="57"/>
      <c r="E4104" s="56"/>
      <c r="F4104" s="57"/>
      <c r="G4104" s="57"/>
      <c r="H4104" s="56"/>
      <c r="I4104" s="56"/>
      <c r="J4104" s="58"/>
      <c r="K4104" s="58"/>
      <c r="L4104" s="13" t="str">
        <f t="shared" si="640"/>
        <v/>
      </c>
      <c r="M4104" s="13" t="str">
        <f t="shared" si="641"/>
        <v/>
      </c>
      <c r="Q4104" t="str">
        <f t="shared" si="642"/>
        <v/>
      </c>
      <c r="R4104" t="str">
        <f t="shared" si="643"/>
        <v/>
      </c>
      <c r="S4104" t="str">
        <f t="shared" si="644"/>
        <v/>
      </c>
      <c r="T4104" t="str">
        <f t="shared" si="645"/>
        <v/>
      </c>
      <c r="U4104" t="str">
        <f t="shared" si="646"/>
        <v/>
      </c>
      <c r="V4104" t="str">
        <f t="shared" si="647"/>
        <v/>
      </c>
      <c r="W4104" t="str">
        <f t="shared" si="648"/>
        <v/>
      </c>
      <c r="X4104">
        <f>IF($T4104="",N($X4103),IF(MATCH($T4104,$T$6:$T$10005,0)=ROW()-5,N($X4103)+1,N($X4103)))</f>
        <v>0</v>
      </c>
      <c r="Z4104" t="str">
        <f t="shared" si="649"/>
        <v/>
      </c>
      <c r="AA4104">
        <f>IF($V4104="",N($AA4103),IF(MATCH($V4104,$V$6:$V$10005,0)=ROW()-5,N($AA4103)+1,N($AA4103)))</f>
        <v>0</v>
      </c>
    </row>
    <row r="4105" spans="1:27" ht="21" customHeight="1" x14ac:dyDescent="0.95">
      <c r="A4105" s="56"/>
      <c r="B4105" s="57"/>
      <c r="C4105" s="57"/>
      <c r="D4105" s="57"/>
      <c r="E4105" s="56"/>
      <c r="F4105" s="57"/>
      <c r="G4105" s="57"/>
      <c r="H4105" s="56"/>
      <c r="I4105" s="56"/>
      <c r="J4105" s="58"/>
      <c r="K4105" s="58"/>
      <c r="L4105" s="13" t="str">
        <f t="shared" si="640"/>
        <v/>
      </c>
      <c r="M4105" s="13" t="str">
        <f t="shared" si="641"/>
        <v/>
      </c>
      <c r="Q4105" t="str">
        <f t="shared" si="642"/>
        <v/>
      </c>
      <c r="R4105" t="str">
        <f t="shared" si="643"/>
        <v/>
      </c>
      <c r="S4105" t="str">
        <f t="shared" si="644"/>
        <v/>
      </c>
      <c r="T4105" t="str">
        <f t="shared" si="645"/>
        <v/>
      </c>
      <c r="U4105" t="str">
        <f t="shared" si="646"/>
        <v/>
      </c>
      <c r="V4105" t="str">
        <f t="shared" si="647"/>
        <v/>
      </c>
      <c r="W4105" t="str">
        <f t="shared" si="648"/>
        <v/>
      </c>
      <c r="X4105">
        <f>IF($T4105="",N($X4104),IF(MATCH($T4105,$T$6:$T$10005,0)=ROW()-5,N($X4104)+1,N($X4104)))</f>
        <v>0</v>
      </c>
      <c r="Z4105" t="str">
        <f t="shared" si="649"/>
        <v/>
      </c>
      <c r="AA4105">
        <f>IF($V4105="",N($AA4104),IF(MATCH($V4105,$V$6:$V$10005,0)=ROW()-5,N($AA4104)+1,N($AA4104)))</f>
        <v>0</v>
      </c>
    </row>
    <row r="4106" spans="1:27" ht="21" customHeight="1" x14ac:dyDescent="0.95">
      <c r="A4106" s="56"/>
      <c r="B4106" s="57"/>
      <c r="C4106" s="57"/>
      <c r="D4106" s="57"/>
      <c r="E4106" s="56"/>
      <c r="F4106" s="57"/>
      <c r="G4106" s="57"/>
      <c r="H4106" s="56"/>
      <c r="I4106" s="56"/>
      <c r="J4106" s="58"/>
      <c r="K4106" s="58"/>
      <c r="L4106" s="13" t="str">
        <f t="shared" si="640"/>
        <v/>
      </c>
      <c r="M4106" s="13" t="str">
        <f t="shared" si="641"/>
        <v/>
      </c>
      <c r="Q4106" t="str">
        <f t="shared" si="642"/>
        <v/>
      </c>
      <c r="R4106" t="str">
        <f t="shared" si="643"/>
        <v/>
      </c>
      <c r="S4106" t="str">
        <f t="shared" si="644"/>
        <v/>
      </c>
      <c r="T4106" t="str">
        <f t="shared" si="645"/>
        <v/>
      </c>
      <c r="U4106" t="str">
        <f t="shared" si="646"/>
        <v/>
      </c>
      <c r="V4106" t="str">
        <f t="shared" si="647"/>
        <v/>
      </c>
      <c r="W4106" t="str">
        <f t="shared" si="648"/>
        <v/>
      </c>
      <c r="X4106">
        <f>IF($T4106="",N($X4105),IF(MATCH($T4106,$T$6:$T$10005,0)=ROW()-5,N($X4105)+1,N($X4105)))</f>
        <v>0</v>
      </c>
      <c r="Z4106" t="str">
        <f t="shared" si="649"/>
        <v/>
      </c>
      <c r="AA4106">
        <f>IF($V4106="",N($AA4105),IF(MATCH($V4106,$V$6:$V$10005,0)=ROW()-5,N($AA4105)+1,N($AA4105)))</f>
        <v>0</v>
      </c>
    </row>
    <row r="4107" spans="1:27" ht="21" customHeight="1" x14ac:dyDescent="0.95">
      <c r="A4107" s="56"/>
      <c r="B4107" s="57"/>
      <c r="C4107" s="57"/>
      <c r="D4107" s="57"/>
      <c r="E4107" s="56"/>
      <c r="F4107" s="57"/>
      <c r="G4107" s="57"/>
      <c r="H4107" s="56"/>
      <c r="I4107" s="56"/>
      <c r="J4107" s="58"/>
      <c r="K4107" s="58"/>
      <c r="L4107" s="13" t="str">
        <f t="shared" si="640"/>
        <v/>
      </c>
      <c r="M4107" s="13" t="str">
        <f t="shared" si="641"/>
        <v/>
      </c>
      <c r="Q4107" t="str">
        <f t="shared" si="642"/>
        <v/>
      </c>
      <c r="R4107" t="str">
        <f t="shared" si="643"/>
        <v/>
      </c>
      <c r="S4107" t="str">
        <f t="shared" si="644"/>
        <v/>
      </c>
      <c r="T4107" t="str">
        <f t="shared" si="645"/>
        <v/>
      </c>
      <c r="U4107" t="str">
        <f t="shared" si="646"/>
        <v/>
      </c>
      <c r="V4107" t="str">
        <f t="shared" si="647"/>
        <v/>
      </c>
      <c r="W4107" t="str">
        <f t="shared" si="648"/>
        <v/>
      </c>
      <c r="X4107">
        <f>IF($T4107="",N($X4106),IF(MATCH($T4107,$T$6:$T$10005,0)=ROW()-5,N($X4106)+1,N($X4106)))</f>
        <v>0</v>
      </c>
      <c r="Z4107" t="str">
        <f t="shared" si="649"/>
        <v/>
      </c>
      <c r="AA4107">
        <f>IF($V4107="",N($AA4106),IF(MATCH($V4107,$V$6:$V$10005,0)=ROW()-5,N($AA4106)+1,N($AA4106)))</f>
        <v>0</v>
      </c>
    </row>
    <row r="4108" spans="1:27" ht="21" customHeight="1" x14ac:dyDescent="0.95">
      <c r="A4108" s="56"/>
      <c r="B4108" s="57"/>
      <c r="C4108" s="57"/>
      <c r="D4108" s="57"/>
      <c r="E4108" s="56"/>
      <c r="F4108" s="57"/>
      <c r="G4108" s="57"/>
      <c r="H4108" s="56"/>
      <c r="I4108" s="56"/>
      <c r="J4108" s="58"/>
      <c r="K4108" s="58"/>
      <c r="L4108" s="13" t="str">
        <f t="shared" si="640"/>
        <v/>
      </c>
      <c r="M4108" s="13" t="str">
        <f t="shared" si="641"/>
        <v/>
      </c>
      <c r="Q4108" t="str">
        <f t="shared" si="642"/>
        <v/>
      </c>
      <c r="R4108" t="str">
        <f t="shared" si="643"/>
        <v/>
      </c>
      <c r="S4108" t="str">
        <f t="shared" si="644"/>
        <v/>
      </c>
      <c r="T4108" t="str">
        <f t="shared" si="645"/>
        <v/>
      </c>
      <c r="U4108" t="str">
        <f t="shared" si="646"/>
        <v/>
      </c>
      <c r="V4108" t="str">
        <f t="shared" si="647"/>
        <v/>
      </c>
      <c r="W4108" t="str">
        <f t="shared" si="648"/>
        <v/>
      </c>
      <c r="X4108">
        <f>IF($T4108="",N($X4107),IF(MATCH($T4108,$T$6:$T$10005,0)=ROW()-5,N($X4107)+1,N($X4107)))</f>
        <v>0</v>
      </c>
      <c r="Z4108" t="str">
        <f t="shared" si="649"/>
        <v/>
      </c>
      <c r="AA4108">
        <f>IF($V4108="",N($AA4107),IF(MATCH($V4108,$V$6:$V$10005,0)=ROW()-5,N($AA4107)+1,N($AA4107)))</f>
        <v>0</v>
      </c>
    </row>
    <row r="4109" spans="1:27" ht="21" customHeight="1" x14ac:dyDescent="0.95">
      <c r="A4109" s="56"/>
      <c r="B4109" s="57"/>
      <c r="C4109" s="57"/>
      <c r="D4109" s="57"/>
      <c r="E4109" s="56"/>
      <c r="F4109" s="57"/>
      <c r="G4109" s="57"/>
      <c r="H4109" s="56"/>
      <c r="I4109" s="56"/>
      <c r="J4109" s="58"/>
      <c r="K4109" s="58"/>
      <c r="L4109" s="13" t="str">
        <f t="shared" si="640"/>
        <v/>
      </c>
      <c r="M4109" s="13" t="str">
        <f t="shared" si="641"/>
        <v/>
      </c>
      <c r="Q4109" t="str">
        <f t="shared" si="642"/>
        <v/>
      </c>
      <c r="R4109" t="str">
        <f t="shared" si="643"/>
        <v/>
      </c>
      <c r="S4109" t="str">
        <f t="shared" si="644"/>
        <v/>
      </c>
      <c r="T4109" t="str">
        <f t="shared" si="645"/>
        <v/>
      </c>
      <c r="U4109" t="str">
        <f t="shared" si="646"/>
        <v/>
      </c>
      <c r="V4109" t="str">
        <f t="shared" si="647"/>
        <v/>
      </c>
      <c r="W4109" t="str">
        <f t="shared" si="648"/>
        <v/>
      </c>
      <c r="X4109">
        <f>IF($T4109="",N($X4108),IF(MATCH($T4109,$T$6:$T$10005,0)=ROW()-5,N($X4108)+1,N($X4108)))</f>
        <v>0</v>
      </c>
      <c r="Z4109" t="str">
        <f t="shared" si="649"/>
        <v/>
      </c>
      <c r="AA4109">
        <f>IF($V4109="",N($AA4108),IF(MATCH($V4109,$V$6:$V$10005,0)=ROW()-5,N($AA4108)+1,N($AA4108)))</f>
        <v>0</v>
      </c>
    </row>
    <row r="4110" spans="1:27" ht="21" customHeight="1" x14ac:dyDescent="0.95">
      <c r="A4110" s="56"/>
      <c r="B4110" s="57"/>
      <c r="C4110" s="57"/>
      <c r="D4110" s="57"/>
      <c r="E4110" s="56"/>
      <c r="F4110" s="57"/>
      <c r="G4110" s="57"/>
      <c r="H4110" s="56"/>
      <c r="I4110" s="56"/>
      <c r="J4110" s="58"/>
      <c r="K4110" s="58"/>
      <c r="L4110" s="13" t="str">
        <f t="shared" si="640"/>
        <v/>
      </c>
      <c r="M4110" s="13" t="str">
        <f t="shared" si="641"/>
        <v/>
      </c>
      <c r="Q4110" t="str">
        <f t="shared" si="642"/>
        <v/>
      </c>
      <c r="R4110" t="str">
        <f t="shared" si="643"/>
        <v/>
      </c>
      <c r="S4110" t="str">
        <f t="shared" si="644"/>
        <v/>
      </c>
      <c r="T4110" t="str">
        <f t="shared" si="645"/>
        <v/>
      </c>
      <c r="U4110" t="str">
        <f t="shared" si="646"/>
        <v/>
      </c>
      <c r="V4110" t="str">
        <f t="shared" si="647"/>
        <v/>
      </c>
      <c r="W4110" t="str">
        <f t="shared" si="648"/>
        <v/>
      </c>
      <c r="X4110">
        <f>IF($T4110="",N($X4109),IF(MATCH($T4110,$T$6:$T$10005,0)=ROW()-5,N($X4109)+1,N($X4109)))</f>
        <v>0</v>
      </c>
      <c r="Z4110" t="str">
        <f t="shared" si="649"/>
        <v/>
      </c>
      <c r="AA4110">
        <f>IF($V4110="",N($AA4109),IF(MATCH($V4110,$V$6:$V$10005,0)=ROW()-5,N($AA4109)+1,N($AA4109)))</f>
        <v>0</v>
      </c>
    </row>
    <row r="4111" spans="1:27" ht="21" customHeight="1" x14ac:dyDescent="0.95">
      <c r="A4111" s="56"/>
      <c r="B4111" s="57"/>
      <c r="C4111" s="57"/>
      <c r="D4111" s="57"/>
      <c r="E4111" s="56"/>
      <c r="F4111" s="57"/>
      <c r="G4111" s="57"/>
      <c r="H4111" s="56"/>
      <c r="I4111" s="56"/>
      <c r="J4111" s="58"/>
      <c r="K4111" s="58"/>
      <c r="L4111" s="13" t="str">
        <f t="shared" si="640"/>
        <v/>
      </c>
      <c r="M4111" s="13" t="str">
        <f t="shared" si="641"/>
        <v/>
      </c>
      <c r="Q4111" t="str">
        <f t="shared" si="642"/>
        <v/>
      </c>
      <c r="R4111" t="str">
        <f t="shared" si="643"/>
        <v/>
      </c>
      <c r="S4111" t="str">
        <f t="shared" si="644"/>
        <v/>
      </c>
      <c r="T4111" t="str">
        <f t="shared" si="645"/>
        <v/>
      </c>
      <c r="U4111" t="str">
        <f t="shared" si="646"/>
        <v/>
      </c>
      <c r="V4111" t="str">
        <f t="shared" si="647"/>
        <v/>
      </c>
      <c r="W4111" t="str">
        <f t="shared" si="648"/>
        <v/>
      </c>
      <c r="X4111">
        <f>IF($T4111="",N($X4110),IF(MATCH($T4111,$T$6:$T$10005,0)=ROW()-5,N($X4110)+1,N($X4110)))</f>
        <v>0</v>
      </c>
      <c r="Z4111" t="str">
        <f t="shared" si="649"/>
        <v/>
      </c>
      <c r="AA4111">
        <f>IF($V4111="",N($AA4110),IF(MATCH($V4111,$V$6:$V$10005,0)=ROW()-5,N($AA4110)+1,N($AA4110)))</f>
        <v>0</v>
      </c>
    </row>
    <row r="4112" spans="1:27" ht="21" customHeight="1" x14ac:dyDescent="0.95">
      <c r="A4112" s="56"/>
      <c r="B4112" s="57"/>
      <c r="C4112" s="57"/>
      <c r="D4112" s="57"/>
      <c r="E4112" s="56"/>
      <c r="F4112" s="57"/>
      <c r="G4112" s="57"/>
      <c r="H4112" s="56"/>
      <c r="I4112" s="56"/>
      <c r="J4112" s="58"/>
      <c r="K4112" s="58"/>
      <c r="L4112" s="13" t="str">
        <f t="shared" si="640"/>
        <v/>
      </c>
      <c r="M4112" s="13" t="str">
        <f t="shared" si="641"/>
        <v/>
      </c>
      <c r="Q4112" t="str">
        <f t="shared" si="642"/>
        <v/>
      </c>
      <c r="R4112" t="str">
        <f t="shared" si="643"/>
        <v/>
      </c>
      <c r="S4112" t="str">
        <f t="shared" si="644"/>
        <v/>
      </c>
      <c r="T4112" t="str">
        <f t="shared" si="645"/>
        <v/>
      </c>
      <c r="U4112" t="str">
        <f t="shared" si="646"/>
        <v/>
      </c>
      <c r="V4112" t="str">
        <f t="shared" si="647"/>
        <v/>
      </c>
      <c r="W4112" t="str">
        <f t="shared" si="648"/>
        <v/>
      </c>
      <c r="X4112">
        <f>IF($T4112="",N($X4111),IF(MATCH($T4112,$T$6:$T$10005,0)=ROW()-5,N($X4111)+1,N($X4111)))</f>
        <v>0</v>
      </c>
      <c r="Z4112" t="str">
        <f t="shared" si="649"/>
        <v/>
      </c>
      <c r="AA4112">
        <f>IF($V4112="",N($AA4111),IF(MATCH($V4112,$V$6:$V$10005,0)=ROW()-5,N($AA4111)+1,N($AA4111)))</f>
        <v>0</v>
      </c>
    </row>
    <row r="4113" spans="1:27" ht="21" customHeight="1" x14ac:dyDescent="0.95">
      <c r="A4113" s="56"/>
      <c r="B4113" s="57"/>
      <c r="C4113" s="57"/>
      <c r="D4113" s="57"/>
      <c r="E4113" s="56"/>
      <c r="F4113" s="57"/>
      <c r="G4113" s="57"/>
      <c r="H4113" s="56"/>
      <c r="I4113" s="56"/>
      <c r="J4113" s="58"/>
      <c r="K4113" s="58"/>
      <c r="L4113" s="13" t="str">
        <f t="shared" si="640"/>
        <v/>
      </c>
      <c r="M4113" s="13" t="str">
        <f t="shared" si="641"/>
        <v/>
      </c>
      <c r="Q4113" t="str">
        <f t="shared" si="642"/>
        <v/>
      </c>
      <c r="R4113" t="str">
        <f t="shared" si="643"/>
        <v/>
      </c>
      <c r="S4113" t="str">
        <f t="shared" si="644"/>
        <v/>
      </c>
      <c r="T4113" t="str">
        <f t="shared" si="645"/>
        <v/>
      </c>
      <c r="U4113" t="str">
        <f t="shared" si="646"/>
        <v/>
      </c>
      <c r="V4113" t="str">
        <f t="shared" si="647"/>
        <v/>
      </c>
      <c r="W4113" t="str">
        <f t="shared" si="648"/>
        <v/>
      </c>
      <c r="X4113">
        <f>IF($T4113="",N($X4112),IF(MATCH($T4113,$T$6:$T$10005,0)=ROW()-5,N($X4112)+1,N($X4112)))</f>
        <v>0</v>
      </c>
      <c r="Z4113" t="str">
        <f t="shared" si="649"/>
        <v/>
      </c>
      <c r="AA4113">
        <f>IF($V4113="",N($AA4112),IF(MATCH($V4113,$V$6:$V$10005,0)=ROW()-5,N($AA4112)+1,N($AA4112)))</f>
        <v>0</v>
      </c>
    </row>
    <row r="4114" spans="1:27" ht="21" customHeight="1" x14ac:dyDescent="0.95">
      <c r="A4114" s="56"/>
      <c r="B4114" s="57"/>
      <c r="C4114" s="57"/>
      <c r="D4114" s="57"/>
      <c r="E4114" s="56"/>
      <c r="F4114" s="57"/>
      <c r="G4114" s="57"/>
      <c r="H4114" s="56"/>
      <c r="I4114" s="56"/>
      <c r="J4114" s="58"/>
      <c r="K4114" s="58"/>
      <c r="L4114" s="13" t="str">
        <f t="shared" si="640"/>
        <v/>
      </c>
      <c r="M4114" s="13" t="str">
        <f t="shared" si="641"/>
        <v/>
      </c>
      <c r="Q4114" t="str">
        <f t="shared" si="642"/>
        <v/>
      </c>
      <c r="R4114" t="str">
        <f t="shared" si="643"/>
        <v/>
      </c>
      <c r="S4114" t="str">
        <f t="shared" si="644"/>
        <v/>
      </c>
      <c r="T4114" t="str">
        <f t="shared" si="645"/>
        <v/>
      </c>
      <c r="U4114" t="str">
        <f t="shared" si="646"/>
        <v/>
      </c>
      <c r="V4114" t="str">
        <f t="shared" si="647"/>
        <v/>
      </c>
      <c r="W4114" t="str">
        <f t="shared" si="648"/>
        <v/>
      </c>
      <c r="X4114">
        <f>IF($T4114="",N($X4113),IF(MATCH($T4114,$T$6:$T$10005,0)=ROW()-5,N($X4113)+1,N($X4113)))</f>
        <v>0</v>
      </c>
      <c r="Z4114" t="str">
        <f t="shared" si="649"/>
        <v/>
      </c>
      <c r="AA4114">
        <f>IF($V4114="",N($AA4113),IF(MATCH($V4114,$V$6:$V$10005,0)=ROW()-5,N($AA4113)+1,N($AA4113)))</f>
        <v>0</v>
      </c>
    </row>
    <row r="4115" spans="1:27" ht="21" customHeight="1" x14ac:dyDescent="0.95">
      <c r="A4115" s="56"/>
      <c r="B4115" s="57"/>
      <c r="C4115" s="57"/>
      <c r="D4115" s="57"/>
      <c r="E4115" s="56"/>
      <c r="F4115" s="57"/>
      <c r="G4115" s="57"/>
      <c r="H4115" s="56"/>
      <c r="I4115" s="56"/>
      <c r="J4115" s="58"/>
      <c r="K4115" s="58"/>
      <c r="L4115" s="13" t="str">
        <f t="shared" si="640"/>
        <v/>
      </c>
      <c r="M4115" s="13" t="str">
        <f t="shared" si="641"/>
        <v/>
      </c>
      <c r="Q4115" t="str">
        <f t="shared" si="642"/>
        <v/>
      </c>
      <c r="R4115" t="str">
        <f t="shared" si="643"/>
        <v/>
      </c>
      <c r="S4115" t="str">
        <f t="shared" si="644"/>
        <v/>
      </c>
      <c r="T4115" t="str">
        <f t="shared" si="645"/>
        <v/>
      </c>
      <c r="U4115" t="str">
        <f t="shared" si="646"/>
        <v/>
      </c>
      <c r="V4115" t="str">
        <f t="shared" si="647"/>
        <v/>
      </c>
      <c r="W4115" t="str">
        <f t="shared" si="648"/>
        <v/>
      </c>
      <c r="X4115">
        <f>IF($T4115="",N($X4114),IF(MATCH($T4115,$T$6:$T$10005,0)=ROW()-5,N($X4114)+1,N($X4114)))</f>
        <v>0</v>
      </c>
      <c r="Z4115" t="str">
        <f t="shared" si="649"/>
        <v/>
      </c>
      <c r="AA4115">
        <f>IF($V4115="",N($AA4114),IF(MATCH($V4115,$V$6:$V$10005,0)=ROW()-5,N($AA4114)+1,N($AA4114)))</f>
        <v>0</v>
      </c>
    </row>
    <row r="4116" spans="1:27" ht="21" customHeight="1" x14ac:dyDescent="0.95">
      <c r="A4116" s="56"/>
      <c r="B4116" s="57"/>
      <c r="C4116" s="57"/>
      <c r="D4116" s="57"/>
      <c r="E4116" s="56"/>
      <c r="F4116" s="57"/>
      <c r="G4116" s="57"/>
      <c r="H4116" s="56"/>
      <c r="I4116" s="56"/>
      <c r="J4116" s="58"/>
      <c r="K4116" s="58"/>
      <c r="L4116" s="13" t="str">
        <f t="shared" si="640"/>
        <v/>
      </c>
      <c r="M4116" s="13" t="str">
        <f t="shared" si="641"/>
        <v/>
      </c>
      <c r="Q4116" t="str">
        <f t="shared" si="642"/>
        <v/>
      </c>
      <c r="R4116" t="str">
        <f t="shared" si="643"/>
        <v/>
      </c>
      <c r="S4116" t="str">
        <f t="shared" si="644"/>
        <v/>
      </c>
      <c r="T4116" t="str">
        <f t="shared" si="645"/>
        <v/>
      </c>
      <c r="U4116" t="str">
        <f t="shared" si="646"/>
        <v/>
      </c>
      <c r="V4116" t="str">
        <f t="shared" si="647"/>
        <v/>
      </c>
      <c r="W4116" t="str">
        <f t="shared" si="648"/>
        <v/>
      </c>
      <c r="X4116">
        <f>IF($T4116="",N($X4115),IF(MATCH($T4116,$T$6:$T$10005,0)=ROW()-5,N($X4115)+1,N($X4115)))</f>
        <v>0</v>
      </c>
      <c r="Z4116" t="str">
        <f t="shared" si="649"/>
        <v/>
      </c>
      <c r="AA4116">
        <f>IF($V4116="",N($AA4115),IF(MATCH($V4116,$V$6:$V$10005,0)=ROW()-5,N($AA4115)+1,N($AA4115)))</f>
        <v>0</v>
      </c>
    </row>
    <row r="4117" spans="1:27" ht="21" customHeight="1" x14ac:dyDescent="0.95">
      <c r="A4117" s="56"/>
      <c r="B4117" s="57"/>
      <c r="C4117" s="57"/>
      <c r="D4117" s="57"/>
      <c r="E4117" s="56"/>
      <c r="F4117" s="57"/>
      <c r="G4117" s="57"/>
      <c r="H4117" s="56"/>
      <c r="I4117" s="56"/>
      <c r="J4117" s="58"/>
      <c r="K4117" s="58"/>
      <c r="L4117" s="13" t="str">
        <f t="shared" si="640"/>
        <v/>
      </c>
      <c r="M4117" s="13" t="str">
        <f t="shared" si="641"/>
        <v/>
      </c>
      <c r="Q4117" t="str">
        <f t="shared" si="642"/>
        <v/>
      </c>
      <c r="R4117" t="str">
        <f t="shared" si="643"/>
        <v/>
      </c>
      <c r="S4117" t="str">
        <f t="shared" si="644"/>
        <v/>
      </c>
      <c r="T4117" t="str">
        <f t="shared" si="645"/>
        <v/>
      </c>
      <c r="U4117" t="str">
        <f t="shared" si="646"/>
        <v/>
      </c>
      <c r="V4117" t="str">
        <f t="shared" si="647"/>
        <v/>
      </c>
      <c r="W4117" t="str">
        <f t="shared" si="648"/>
        <v/>
      </c>
      <c r="X4117">
        <f>IF($T4117="",N($X4116),IF(MATCH($T4117,$T$6:$T$10005,0)=ROW()-5,N($X4116)+1,N($X4116)))</f>
        <v>0</v>
      </c>
      <c r="Z4117" t="str">
        <f t="shared" si="649"/>
        <v/>
      </c>
      <c r="AA4117">
        <f>IF($V4117="",N($AA4116),IF(MATCH($V4117,$V$6:$V$10005,0)=ROW()-5,N($AA4116)+1,N($AA4116)))</f>
        <v>0</v>
      </c>
    </row>
    <row r="4118" spans="1:27" ht="21" customHeight="1" x14ac:dyDescent="0.95">
      <c r="A4118" s="56"/>
      <c r="B4118" s="57"/>
      <c r="C4118" s="57"/>
      <c r="D4118" s="57"/>
      <c r="E4118" s="56"/>
      <c r="F4118" s="57"/>
      <c r="G4118" s="57"/>
      <c r="H4118" s="56"/>
      <c r="I4118" s="56"/>
      <c r="J4118" s="58"/>
      <c r="K4118" s="58"/>
      <c r="L4118" s="13" t="str">
        <f t="shared" si="640"/>
        <v/>
      </c>
      <c r="M4118" s="13" t="str">
        <f t="shared" si="641"/>
        <v/>
      </c>
      <c r="Q4118" t="str">
        <f t="shared" si="642"/>
        <v/>
      </c>
      <c r="R4118" t="str">
        <f t="shared" si="643"/>
        <v/>
      </c>
      <c r="S4118" t="str">
        <f t="shared" si="644"/>
        <v/>
      </c>
      <c r="T4118" t="str">
        <f t="shared" si="645"/>
        <v/>
      </c>
      <c r="U4118" t="str">
        <f t="shared" si="646"/>
        <v/>
      </c>
      <c r="V4118" t="str">
        <f t="shared" si="647"/>
        <v/>
      </c>
      <c r="W4118" t="str">
        <f t="shared" si="648"/>
        <v/>
      </c>
      <c r="X4118">
        <f>IF($T4118="",N($X4117),IF(MATCH($T4118,$T$6:$T$10005,0)=ROW()-5,N($X4117)+1,N($X4117)))</f>
        <v>0</v>
      </c>
      <c r="Z4118" t="str">
        <f t="shared" si="649"/>
        <v/>
      </c>
      <c r="AA4118">
        <f>IF($V4118="",N($AA4117),IF(MATCH($V4118,$V$6:$V$10005,0)=ROW()-5,N($AA4117)+1,N($AA4117)))</f>
        <v>0</v>
      </c>
    </row>
    <row r="4119" spans="1:27" ht="21" customHeight="1" x14ac:dyDescent="0.95">
      <c r="A4119" s="56"/>
      <c r="B4119" s="57"/>
      <c r="C4119" s="57"/>
      <c r="D4119" s="57"/>
      <c r="E4119" s="56"/>
      <c r="F4119" s="57"/>
      <c r="G4119" s="57"/>
      <c r="H4119" s="56"/>
      <c r="I4119" s="56"/>
      <c r="J4119" s="58"/>
      <c r="K4119" s="58"/>
      <c r="L4119" s="13" t="str">
        <f t="shared" si="640"/>
        <v/>
      </c>
      <c r="M4119" s="13" t="str">
        <f t="shared" si="641"/>
        <v/>
      </c>
      <c r="Q4119" t="str">
        <f t="shared" si="642"/>
        <v/>
      </c>
      <c r="R4119" t="str">
        <f t="shared" si="643"/>
        <v/>
      </c>
      <c r="S4119" t="str">
        <f t="shared" si="644"/>
        <v/>
      </c>
      <c r="T4119" t="str">
        <f t="shared" si="645"/>
        <v/>
      </c>
      <c r="U4119" t="str">
        <f t="shared" si="646"/>
        <v/>
      </c>
      <c r="V4119" t="str">
        <f t="shared" si="647"/>
        <v/>
      </c>
      <c r="W4119" t="str">
        <f t="shared" si="648"/>
        <v/>
      </c>
      <c r="X4119">
        <f>IF($T4119="",N($X4118),IF(MATCH($T4119,$T$6:$T$10005,0)=ROW()-5,N($X4118)+1,N($X4118)))</f>
        <v>0</v>
      </c>
      <c r="Z4119" t="str">
        <f t="shared" si="649"/>
        <v/>
      </c>
      <c r="AA4119">
        <f>IF($V4119="",N($AA4118),IF(MATCH($V4119,$V$6:$V$10005,0)=ROW()-5,N($AA4118)+1,N($AA4118)))</f>
        <v>0</v>
      </c>
    </row>
    <row r="4120" spans="1:27" ht="21" customHeight="1" x14ac:dyDescent="0.95">
      <c r="A4120" s="56"/>
      <c r="B4120" s="57"/>
      <c r="C4120" s="57"/>
      <c r="D4120" s="57"/>
      <c r="E4120" s="56"/>
      <c r="F4120" s="57"/>
      <c r="G4120" s="57"/>
      <c r="H4120" s="56"/>
      <c r="I4120" s="56"/>
      <c r="J4120" s="58"/>
      <c r="K4120" s="58"/>
      <c r="L4120" s="13" t="str">
        <f t="shared" si="640"/>
        <v/>
      </c>
      <c r="M4120" s="13" t="str">
        <f t="shared" si="641"/>
        <v/>
      </c>
      <c r="Q4120" t="str">
        <f t="shared" si="642"/>
        <v/>
      </c>
      <c r="R4120" t="str">
        <f t="shared" si="643"/>
        <v/>
      </c>
      <c r="S4120" t="str">
        <f t="shared" si="644"/>
        <v/>
      </c>
      <c r="T4120" t="str">
        <f t="shared" si="645"/>
        <v/>
      </c>
      <c r="U4120" t="str">
        <f t="shared" si="646"/>
        <v/>
      </c>
      <c r="V4120" t="str">
        <f t="shared" si="647"/>
        <v/>
      </c>
      <c r="W4120" t="str">
        <f t="shared" si="648"/>
        <v/>
      </c>
      <c r="X4120">
        <f>IF($T4120="",N($X4119),IF(MATCH($T4120,$T$6:$T$10005,0)=ROW()-5,N($X4119)+1,N($X4119)))</f>
        <v>0</v>
      </c>
      <c r="Z4120" t="str">
        <f t="shared" si="649"/>
        <v/>
      </c>
      <c r="AA4120">
        <f>IF($V4120="",N($AA4119),IF(MATCH($V4120,$V$6:$V$10005,0)=ROW()-5,N($AA4119)+1,N($AA4119)))</f>
        <v>0</v>
      </c>
    </row>
    <row r="4121" spans="1:27" ht="21" customHeight="1" x14ac:dyDescent="0.95">
      <c r="A4121" s="56"/>
      <c r="B4121" s="57"/>
      <c r="C4121" s="57"/>
      <c r="D4121" s="57"/>
      <c r="E4121" s="56"/>
      <c r="F4121" s="57"/>
      <c r="G4121" s="57"/>
      <c r="H4121" s="56"/>
      <c r="I4121" s="56"/>
      <c r="J4121" s="58"/>
      <c r="K4121" s="58"/>
      <c r="L4121" s="13" t="str">
        <f t="shared" si="640"/>
        <v/>
      </c>
      <c r="M4121" s="13" t="str">
        <f t="shared" si="641"/>
        <v/>
      </c>
      <c r="Q4121" t="str">
        <f t="shared" si="642"/>
        <v/>
      </c>
      <c r="R4121" t="str">
        <f t="shared" si="643"/>
        <v/>
      </c>
      <c r="S4121" t="str">
        <f t="shared" si="644"/>
        <v/>
      </c>
      <c r="T4121" t="str">
        <f t="shared" si="645"/>
        <v/>
      </c>
      <c r="U4121" t="str">
        <f t="shared" si="646"/>
        <v/>
      </c>
      <c r="V4121" t="str">
        <f t="shared" si="647"/>
        <v/>
      </c>
      <c r="W4121" t="str">
        <f t="shared" si="648"/>
        <v/>
      </c>
      <c r="X4121">
        <f>IF($T4121="",N($X4120),IF(MATCH($T4121,$T$6:$T$10005,0)=ROW()-5,N($X4120)+1,N($X4120)))</f>
        <v>0</v>
      </c>
      <c r="Z4121" t="str">
        <f t="shared" si="649"/>
        <v/>
      </c>
      <c r="AA4121">
        <f>IF($V4121="",N($AA4120),IF(MATCH($V4121,$V$6:$V$10005,0)=ROW()-5,N($AA4120)+1,N($AA4120)))</f>
        <v>0</v>
      </c>
    </row>
    <row r="4122" spans="1:27" ht="21" customHeight="1" x14ac:dyDescent="0.95">
      <c r="A4122" s="56"/>
      <c r="B4122" s="57"/>
      <c r="C4122" s="57"/>
      <c r="D4122" s="57"/>
      <c r="E4122" s="56"/>
      <c r="F4122" s="57"/>
      <c r="G4122" s="57"/>
      <c r="H4122" s="56"/>
      <c r="I4122" s="56"/>
      <c r="J4122" s="58"/>
      <c r="K4122" s="58"/>
      <c r="L4122" s="13" t="str">
        <f t="shared" si="640"/>
        <v/>
      </c>
      <c r="M4122" s="13" t="str">
        <f t="shared" si="641"/>
        <v/>
      </c>
      <c r="Q4122" t="str">
        <f t="shared" si="642"/>
        <v/>
      </c>
      <c r="R4122" t="str">
        <f t="shared" si="643"/>
        <v/>
      </c>
      <c r="S4122" t="str">
        <f t="shared" si="644"/>
        <v/>
      </c>
      <c r="T4122" t="str">
        <f t="shared" si="645"/>
        <v/>
      </c>
      <c r="U4122" t="str">
        <f t="shared" si="646"/>
        <v/>
      </c>
      <c r="V4122" t="str">
        <f t="shared" si="647"/>
        <v/>
      </c>
      <c r="W4122" t="str">
        <f t="shared" si="648"/>
        <v/>
      </c>
      <c r="X4122">
        <f>IF($T4122="",N($X4121),IF(MATCH($T4122,$T$6:$T$10005,0)=ROW()-5,N($X4121)+1,N($X4121)))</f>
        <v>0</v>
      </c>
      <c r="Z4122" t="str">
        <f t="shared" si="649"/>
        <v/>
      </c>
      <c r="AA4122">
        <f>IF($V4122="",N($AA4121),IF(MATCH($V4122,$V$6:$V$10005,0)=ROW()-5,N($AA4121)+1,N($AA4121)))</f>
        <v>0</v>
      </c>
    </row>
    <row r="4123" spans="1:27" ht="21" customHeight="1" x14ac:dyDescent="0.95">
      <c r="A4123" s="56"/>
      <c r="B4123" s="57"/>
      <c r="C4123" s="57"/>
      <c r="D4123" s="57"/>
      <c r="E4123" s="56"/>
      <c r="F4123" s="57"/>
      <c r="G4123" s="57"/>
      <c r="H4123" s="56"/>
      <c r="I4123" s="56"/>
      <c r="J4123" s="58"/>
      <c r="K4123" s="58"/>
      <c r="L4123" s="13" t="str">
        <f t="shared" si="640"/>
        <v/>
      </c>
      <c r="M4123" s="13" t="str">
        <f t="shared" si="641"/>
        <v/>
      </c>
      <c r="Q4123" t="str">
        <f t="shared" si="642"/>
        <v/>
      </c>
      <c r="R4123" t="str">
        <f t="shared" si="643"/>
        <v/>
      </c>
      <c r="S4123" t="str">
        <f t="shared" si="644"/>
        <v/>
      </c>
      <c r="T4123" t="str">
        <f t="shared" si="645"/>
        <v/>
      </c>
      <c r="U4123" t="str">
        <f t="shared" si="646"/>
        <v/>
      </c>
      <c r="V4123" t="str">
        <f t="shared" si="647"/>
        <v/>
      </c>
      <c r="W4123" t="str">
        <f t="shared" si="648"/>
        <v/>
      </c>
      <c r="X4123">
        <f>IF($T4123="",N($X4122),IF(MATCH($T4123,$T$6:$T$10005,0)=ROW()-5,N($X4122)+1,N($X4122)))</f>
        <v>0</v>
      </c>
      <c r="Z4123" t="str">
        <f t="shared" si="649"/>
        <v/>
      </c>
      <c r="AA4123">
        <f>IF($V4123="",N($AA4122),IF(MATCH($V4123,$V$6:$V$10005,0)=ROW()-5,N($AA4122)+1,N($AA4122)))</f>
        <v>0</v>
      </c>
    </row>
    <row r="4124" spans="1:27" ht="21" customHeight="1" x14ac:dyDescent="0.95">
      <c r="A4124" s="56"/>
      <c r="B4124" s="57"/>
      <c r="C4124" s="57"/>
      <c r="D4124" s="57"/>
      <c r="E4124" s="56"/>
      <c r="F4124" s="57"/>
      <c r="G4124" s="57"/>
      <c r="H4124" s="56"/>
      <c r="I4124" s="56"/>
      <c r="J4124" s="58"/>
      <c r="K4124" s="58"/>
      <c r="L4124" s="13" t="str">
        <f t="shared" si="640"/>
        <v/>
      </c>
      <c r="M4124" s="13" t="str">
        <f t="shared" si="641"/>
        <v/>
      </c>
      <c r="Q4124" t="str">
        <f t="shared" si="642"/>
        <v/>
      </c>
      <c r="R4124" t="str">
        <f t="shared" si="643"/>
        <v/>
      </c>
      <c r="S4124" t="str">
        <f t="shared" si="644"/>
        <v/>
      </c>
      <c r="T4124" t="str">
        <f t="shared" si="645"/>
        <v/>
      </c>
      <c r="U4124" t="str">
        <f t="shared" si="646"/>
        <v/>
      </c>
      <c r="V4124" t="str">
        <f t="shared" si="647"/>
        <v/>
      </c>
      <c r="W4124" t="str">
        <f t="shared" si="648"/>
        <v/>
      </c>
      <c r="X4124">
        <f>IF($T4124="",N($X4123),IF(MATCH($T4124,$T$6:$T$10005,0)=ROW()-5,N($X4123)+1,N($X4123)))</f>
        <v>0</v>
      </c>
      <c r="Z4124" t="str">
        <f t="shared" si="649"/>
        <v/>
      </c>
      <c r="AA4124">
        <f>IF($V4124="",N($AA4123),IF(MATCH($V4124,$V$6:$V$10005,0)=ROW()-5,N($AA4123)+1,N($AA4123)))</f>
        <v>0</v>
      </c>
    </row>
    <row r="4125" spans="1:27" ht="21" customHeight="1" x14ac:dyDescent="0.95">
      <c r="A4125" s="56"/>
      <c r="B4125" s="57"/>
      <c r="C4125" s="57"/>
      <c r="D4125" s="57"/>
      <c r="E4125" s="56"/>
      <c r="F4125" s="57"/>
      <c r="G4125" s="57"/>
      <c r="H4125" s="56"/>
      <c r="I4125" s="56"/>
      <c r="J4125" s="58"/>
      <c r="K4125" s="58"/>
      <c r="L4125" s="13" t="str">
        <f t="shared" si="640"/>
        <v/>
      </c>
      <c r="M4125" s="13" t="str">
        <f t="shared" si="641"/>
        <v/>
      </c>
      <c r="Q4125" t="str">
        <f t="shared" si="642"/>
        <v/>
      </c>
      <c r="R4125" t="str">
        <f t="shared" si="643"/>
        <v/>
      </c>
      <c r="S4125" t="str">
        <f t="shared" si="644"/>
        <v/>
      </c>
      <c r="T4125" t="str">
        <f t="shared" si="645"/>
        <v/>
      </c>
      <c r="U4125" t="str">
        <f t="shared" si="646"/>
        <v/>
      </c>
      <c r="V4125" t="str">
        <f t="shared" si="647"/>
        <v/>
      </c>
      <c r="W4125" t="str">
        <f t="shared" si="648"/>
        <v/>
      </c>
      <c r="X4125">
        <f>IF($T4125="",N($X4124),IF(MATCH($T4125,$T$6:$T$10005,0)=ROW()-5,N($X4124)+1,N($X4124)))</f>
        <v>0</v>
      </c>
      <c r="Z4125" t="str">
        <f t="shared" si="649"/>
        <v/>
      </c>
      <c r="AA4125">
        <f>IF($V4125="",N($AA4124),IF(MATCH($V4125,$V$6:$V$10005,0)=ROW()-5,N($AA4124)+1,N($AA4124)))</f>
        <v>0</v>
      </c>
    </row>
    <row r="4126" spans="1:27" ht="21" customHeight="1" x14ac:dyDescent="0.95">
      <c r="A4126" s="56"/>
      <c r="B4126" s="57"/>
      <c r="C4126" s="57"/>
      <c r="D4126" s="57"/>
      <c r="E4126" s="56"/>
      <c r="F4126" s="57"/>
      <c r="G4126" s="57"/>
      <c r="H4126" s="56"/>
      <c r="I4126" s="56"/>
      <c r="J4126" s="58"/>
      <c r="K4126" s="58"/>
      <c r="L4126" s="13" t="str">
        <f t="shared" si="640"/>
        <v/>
      </c>
      <c r="M4126" s="13" t="str">
        <f t="shared" si="641"/>
        <v/>
      </c>
      <c r="Q4126" t="str">
        <f t="shared" si="642"/>
        <v/>
      </c>
      <c r="R4126" t="str">
        <f t="shared" si="643"/>
        <v/>
      </c>
      <c r="S4126" t="str">
        <f t="shared" si="644"/>
        <v/>
      </c>
      <c r="T4126" t="str">
        <f t="shared" si="645"/>
        <v/>
      </c>
      <c r="U4126" t="str">
        <f t="shared" si="646"/>
        <v/>
      </c>
      <c r="V4126" t="str">
        <f t="shared" si="647"/>
        <v/>
      </c>
      <c r="W4126" t="str">
        <f t="shared" si="648"/>
        <v/>
      </c>
      <c r="X4126">
        <f>IF($T4126="",N($X4125),IF(MATCH($T4126,$T$6:$T$10005,0)=ROW()-5,N($X4125)+1,N($X4125)))</f>
        <v>0</v>
      </c>
      <c r="Z4126" t="str">
        <f t="shared" si="649"/>
        <v/>
      </c>
      <c r="AA4126">
        <f>IF($V4126="",N($AA4125),IF(MATCH($V4126,$V$6:$V$10005,0)=ROW()-5,N($AA4125)+1,N($AA4125)))</f>
        <v>0</v>
      </c>
    </row>
    <row r="4127" spans="1:27" ht="21" customHeight="1" x14ac:dyDescent="0.95">
      <c r="A4127" s="56"/>
      <c r="B4127" s="57"/>
      <c r="C4127" s="57"/>
      <c r="D4127" s="57"/>
      <c r="E4127" s="56"/>
      <c r="F4127" s="57"/>
      <c r="G4127" s="57"/>
      <c r="H4127" s="56"/>
      <c r="I4127" s="56"/>
      <c r="J4127" s="58"/>
      <c r="K4127" s="58"/>
      <c r="L4127" s="13" t="str">
        <f t="shared" si="640"/>
        <v/>
      </c>
      <c r="M4127" s="13" t="str">
        <f t="shared" si="641"/>
        <v/>
      </c>
      <c r="Q4127" t="str">
        <f t="shared" si="642"/>
        <v/>
      </c>
      <c r="R4127" t="str">
        <f t="shared" si="643"/>
        <v/>
      </c>
      <c r="S4127" t="str">
        <f t="shared" si="644"/>
        <v/>
      </c>
      <c r="T4127" t="str">
        <f t="shared" si="645"/>
        <v/>
      </c>
      <c r="U4127" t="str">
        <f t="shared" si="646"/>
        <v/>
      </c>
      <c r="V4127" t="str">
        <f t="shared" si="647"/>
        <v/>
      </c>
      <c r="W4127" t="str">
        <f t="shared" si="648"/>
        <v/>
      </c>
      <c r="X4127">
        <f>IF($T4127="",N($X4126),IF(MATCH($T4127,$T$6:$T$10005,0)=ROW()-5,N($X4126)+1,N($X4126)))</f>
        <v>0</v>
      </c>
      <c r="Z4127" t="str">
        <f t="shared" si="649"/>
        <v/>
      </c>
      <c r="AA4127">
        <f>IF($V4127="",N($AA4126),IF(MATCH($V4127,$V$6:$V$10005,0)=ROW()-5,N($AA4126)+1,N($AA4126)))</f>
        <v>0</v>
      </c>
    </row>
    <row r="4128" spans="1:27" ht="21" customHeight="1" x14ac:dyDescent="0.95">
      <c r="A4128" s="56"/>
      <c r="B4128" s="57"/>
      <c r="C4128" s="57"/>
      <c r="D4128" s="57"/>
      <c r="E4128" s="56"/>
      <c r="F4128" s="57"/>
      <c r="G4128" s="57"/>
      <c r="H4128" s="56"/>
      <c r="I4128" s="56"/>
      <c r="J4128" s="58"/>
      <c r="K4128" s="58"/>
      <c r="L4128" s="13" t="str">
        <f t="shared" si="640"/>
        <v/>
      </c>
      <c r="M4128" s="13" t="str">
        <f t="shared" si="641"/>
        <v/>
      </c>
      <c r="Q4128" t="str">
        <f t="shared" si="642"/>
        <v/>
      </c>
      <c r="R4128" t="str">
        <f t="shared" si="643"/>
        <v/>
      </c>
      <c r="S4128" t="str">
        <f t="shared" si="644"/>
        <v/>
      </c>
      <c r="T4128" t="str">
        <f t="shared" si="645"/>
        <v/>
      </c>
      <c r="U4128" t="str">
        <f t="shared" si="646"/>
        <v/>
      </c>
      <c r="V4128" t="str">
        <f t="shared" si="647"/>
        <v/>
      </c>
      <c r="W4128" t="str">
        <f t="shared" si="648"/>
        <v/>
      </c>
      <c r="X4128">
        <f>IF($T4128="",N($X4127),IF(MATCH($T4128,$T$6:$T$10005,0)=ROW()-5,N($X4127)+1,N($X4127)))</f>
        <v>0</v>
      </c>
      <c r="Z4128" t="str">
        <f t="shared" si="649"/>
        <v/>
      </c>
      <c r="AA4128">
        <f>IF($V4128="",N($AA4127),IF(MATCH($V4128,$V$6:$V$10005,0)=ROW()-5,N($AA4127)+1,N($AA4127)))</f>
        <v>0</v>
      </c>
    </row>
    <row r="4129" spans="1:27" ht="21" customHeight="1" x14ac:dyDescent="0.95">
      <c r="A4129" s="56"/>
      <c r="B4129" s="57"/>
      <c r="C4129" s="57"/>
      <c r="D4129" s="57"/>
      <c r="E4129" s="56"/>
      <c r="F4129" s="57"/>
      <c r="G4129" s="57"/>
      <c r="H4129" s="56"/>
      <c r="I4129" s="56"/>
      <c r="J4129" s="58"/>
      <c r="K4129" s="58"/>
      <c r="L4129" s="13" t="str">
        <f t="shared" si="640"/>
        <v/>
      </c>
      <c r="M4129" s="13" t="str">
        <f t="shared" si="641"/>
        <v/>
      </c>
      <c r="Q4129" t="str">
        <f t="shared" si="642"/>
        <v/>
      </c>
      <c r="R4129" t="str">
        <f t="shared" si="643"/>
        <v/>
      </c>
      <c r="S4129" t="str">
        <f t="shared" si="644"/>
        <v/>
      </c>
      <c r="T4129" t="str">
        <f t="shared" si="645"/>
        <v/>
      </c>
      <c r="U4129" t="str">
        <f t="shared" si="646"/>
        <v/>
      </c>
      <c r="V4129" t="str">
        <f t="shared" si="647"/>
        <v/>
      </c>
      <c r="W4129" t="str">
        <f t="shared" si="648"/>
        <v/>
      </c>
      <c r="X4129">
        <f>IF($T4129="",N($X4128),IF(MATCH($T4129,$T$6:$T$10005,0)=ROW()-5,N($X4128)+1,N($X4128)))</f>
        <v>0</v>
      </c>
      <c r="Z4129" t="str">
        <f t="shared" si="649"/>
        <v/>
      </c>
      <c r="AA4129">
        <f>IF($V4129="",N($AA4128),IF(MATCH($V4129,$V$6:$V$10005,0)=ROW()-5,N($AA4128)+1,N($AA4128)))</f>
        <v>0</v>
      </c>
    </row>
    <row r="4130" spans="1:27" ht="21" customHeight="1" x14ac:dyDescent="0.95">
      <c r="A4130" s="56"/>
      <c r="B4130" s="57"/>
      <c r="C4130" s="57"/>
      <c r="D4130" s="57"/>
      <c r="E4130" s="56"/>
      <c r="F4130" s="57"/>
      <c r="G4130" s="57"/>
      <c r="H4130" s="56"/>
      <c r="I4130" s="56"/>
      <c r="J4130" s="58"/>
      <c r="K4130" s="58"/>
      <c r="L4130" s="13" t="str">
        <f t="shared" si="640"/>
        <v/>
      </c>
      <c r="M4130" s="13" t="str">
        <f t="shared" si="641"/>
        <v/>
      </c>
      <c r="Q4130" t="str">
        <f t="shared" si="642"/>
        <v/>
      </c>
      <c r="R4130" t="str">
        <f t="shared" si="643"/>
        <v/>
      </c>
      <c r="S4130" t="str">
        <f t="shared" si="644"/>
        <v/>
      </c>
      <c r="T4130" t="str">
        <f t="shared" si="645"/>
        <v/>
      </c>
      <c r="U4130" t="str">
        <f t="shared" si="646"/>
        <v/>
      </c>
      <c r="V4130" t="str">
        <f t="shared" si="647"/>
        <v/>
      </c>
      <c r="W4130" t="str">
        <f t="shared" si="648"/>
        <v/>
      </c>
      <c r="X4130">
        <f>IF($T4130="",N($X4129),IF(MATCH($T4130,$T$6:$T$10005,0)=ROW()-5,N($X4129)+1,N($X4129)))</f>
        <v>0</v>
      </c>
      <c r="Z4130" t="str">
        <f t="shared" si="649"/>
        <v/>
      </c>
      <c r="AA4130">
        <f>IF($V4130="",N($AA4129),IF(MATCH($V4130,$V$6:$V$10005,0)=ROW()-5,N($AA4129)+1,N($AA4129)))</f>
        <v>0</v>
      </c>
    </row>
    <row r="4131" spans="1:27" ht="21" customHeight="1" x14ac:dyDescent="0.95">
      <c r="A4131" s="56"/>
      <c r="B4131" s="57"/>
      <c r="C4131" s="57"/>
      <c r="D4131" s="57"/>
      <c r="E4131" s="56"/>
      <c r="F4131" s="57"/>
      <c r="G4131" s="57"/>
      <c r="H4131" s="56"/>
      <c r="I4131" s="56"/>
      <c r="J4131" s="58"/>
      <c r="K4131" s="58"/>
      <c r="L4131" s="13" t="str">
        <f t="shared" si="640"/>
        <v/>
      </c>
      <c r="M4131" s="13" t="str">
        <f t="shared" si="641"/>
        <v/>
      </c>
      <c r="Q4131" t="str">
        <f t="shared" si="642"/>
        <v/>
      </c>
      <c r="R4131" t="str">
        <f t="shared" si="643"/>
        <v/>
      </c>
      <c r="S4131" t="str">
        <f t="shared" si="644"/>
        <v/>
      </c>
      <c r="T4131" t="str">
        <f t="shared" si="645"/>
        <v/>
      </c>
      <c r="U4131" t="str">
        <f t="shared" si="646"/>
        <v/>
      </c>
      <c r="V4131" t="str">
        <f t="shared" si="647"/>
        <v/>
      </c>
      <c r="W4131" t="str">
        <f t="shared" si="648"/>
        <v/>
      </c>
      <c r="X4131">
        <f>IF($T4131="",N($X4130),IF(MATCH($T4131,$T$6:$T$10005,0)=ROW()-5,N($X4130)+1,N($X4130)))</f>
        <v>0</v>
      </c>
      <c r="Z4131" t="str">
        <f t="shared" si="649"/>
        <v/>
      </c>
      <c r="AA4131">
        <f>IF($V4131="",N($AA4130),IF(MATCH($V4131,$V$6:$V$10005,0)=ROW()-5,N($AA4130)+1,N($AA4130)))</f>
        <v>0</v>
      </c>
    </row>
    <row r="4132" spans="1:27" ht="21" customHeight="1" x14ac:dyDescent="0.95">
      <c r="A4132" s="56"/>
      <c r="B4132" s="57"/>
      <c r="C4132" s="57"/>
      <c r="D4132" s="57"/>
      <c r="E4132" s="56"/>
      <c r="F4132" s="57"/>
      <c r="G4132" s="57"/>
      <c r="H4132" s="56"/>
      <c r="I4132" s="56"/>
      <c r="J4132" s="58"/>
      <c r="K4132" s="58"/>
      <c r="L4132" s="13" t="str">
        <f t="shared" si="640"/>
        <v/>
      </c>
      <c r="M4132" s="13" t="str">
        <f t="shared" si="641"/>
        <v/>
      </c>
      <c r="Q4132" t="str">
        <f t="shared" si="642"/>
        <v/>
      </c>
      <c r="R4132" t="str">
        <f t="shared" si="643"/>
        <v/>
      </c>
      <c r="S4132" t="str">
        <f t="shared" si="644"/>
        <v/>
      </c>
      <c r="T4132" t="str">
        <f t="shared" si="645"/>
        <v/>
      </c>
      <c r="U4132" t="str">
        <f t="shared" si="646"/>
        <v/>
      </c>
      <c r="V4132" t="str">
        <f t="shared" si="647"/>
        <v/>
      </c>
      <c r="W4132" t="str">
        <f t="shared" si="648"/>
        <v/>
      </c>
      <c r="X4132">
        <f>IF($T4132="",N($X4131),IF(MATCH($T4132,$T$6:$T$10005,0)=ROW()-5,N($X4131)+1,N($X4131)))</f>
        <v>0</v>
      </c>
      <c r="Z4132" t="str">
        <f t="shared" si="649"/>
        <v/>
      </c>
      <c r="AA4132">
        <f>IF($V4132="",N($AA4131),IF(MATCH($V4132,$V$6:$V$10005,0)=ROW()-5,N($AA4131)+1,N($AA4131)))</f>
        <v>0</v>
      </c>
    </row>
    <row r="4133" spans="1:27" ht="21" customHeight="1" x14ac:dyDescent="0.95">
      <c r="A4133" s="56"/>
      <c r="B4133" s="57"/>
      <c r="C4133" s="57"/>
      <c r="D4133" s="57"/>
      <c r="E4133" s="56"/>
      <c r="F4133" s="57"/>
      <c r="G4133" s="57"/>
      <c r="H4133" s="56"/>
      <c r="I4133" s="56"/>
      <c r="J4133" s="58"/>
      <c r="K4133" s="58"/>
      <c r="L4133" s="13" t="str">
        <f t="shared" si="640"/>
        <v/>
      </c>
      <c r="M4133" s="13" t="str">
        <f t="shared" si="641"/>
        <v/>
      </c>
      <c r="Q4133" t="str">
        <f t="shared" si="642"/>
        <v/>
      </c>
      <c r="R4133" t="str">
        <f t="shared" si="643"/>
        <v/>
      </c>
      <c r="S4133" t="str">
        <f t="shared" si="644"/>
        <v/>
      </c>
      <c r="T4133" t="str">
        <f t="shared" si="645"/>
        <v/>
      </c>
      <c r="U4133" t="str">
        <f t="shared" si="646"/>
        <v/>
      </c>
      <c r="V4133" t="str">
        <f t="shared" si="647"/>
        <v/>
      </c>
      <c r="W4133" t="str">
        <f t="shared" si="648"/>
        <v/>
      </c>
      <c r="X4133">
        <f>IF($T4133="",N($X4132),IF(MATCH($T4133,$T$6:$T$10005,0)=ROW()-5,N($X4132)+1,N($X4132)))</f>
        <v>0</v>
      </c>
      <c r="Z4133" t="str">
        <f t="shared" si="649"/>
        <v/>
      </c>
      <c r="AA4133">
        <f>IF($V4133="",N($AA4132),IF(MATCH($V4133,$V$6:$V$10005,0)=ROW()-5,N($AA4132)+1,N($AA4132)))</f>
        <v>0</v>
      </c>
    </row>
    <row r="4134" spans="1:27" ht="21" customHeight="1" x14ac:dyDescent="0.95">
      <c r="A4134" s="56"/>
      <c r="B4134" s="57"/>
      <c r="C4134" s="57"/>
      <c r="D4134" s="57"/>
      <c r="E4134" s="56"/>
      <c r="F4134" s="57"/>
      <c r="G4134" s="57"/>
      <c r="H4134" s="56"/>
      <c r="I4134" s="56"/>
      <c r="J4134" s="58"/>
      <c r="K4134" s="58"/>
      <c r="L4134" s="13" t="str">
        <f t="shared" si="640"/>
        <v/>
      </c>
      <c r="M4134" s="13" t="str">
        <f t="shared" si="641"/>
        <v/>
      </c>
      <c r="Q4134" t="str">
        <f t="shared" si="642"/>
        <v/>
      </c>
      <c r="R4134" t="str">
        <f t="shared" si="643"/>
        <v/>
      </c>
      <c r="S4134" t="str">
        <f t="shared" si="644"/>
        <v/>
      </c>
      <c r="T4134" t="str">
        <f t="shared" si="645"/>
        <v/>
      </c>
      <c r="U4134" t="str">
        <f t="shared" si="646"/>
        <v/>
      </c>
      <c r="V4134" t="str">
        <f t="shared" si="647"/>
        <v/>
      </c>
      <c r="W4134" t="str">
        <f t="shared" si="648"/>
        <v/>
      </c>
      <c r="X4134">
        <f>IF($T4134="",N($X4133),IF(MATCH($T4134,$T$6:$T$10005,0)=ROW()-5,N($X4133)+1,N($X4133)))</f>
        <v>0</v>
      </c>
      <c r="Z4134" t="str">
        <f t="shared" si="649"/>
        <v/>
      </c>
      <c r="AA4134">
        <f>IF($V4134="",N($AA4133),IF(MATCH($V4134,$V$6:$V$10005,0)=ROW()-5,N($AA4133)+1,N($AA4133)))</f>
        <v>0</v>
      </c>
    </row>
    <row r="4135" spans="1:27" ht="21" customHeight="1" x14ac:dyDescent="0.95">
      <c r="A4135" s="56"/>
      <c r="B4135" s="57"/>
      <c r="C4135" s="57"/>
      <c r="D4135" s="57"/>
      <c r="E4135" s="56"/>
      <c r="F4135" s="57"/>
      <c r="G4135" s="57"/>
      <c r="H4135" s="56"/>
      <c r="I4135" s="56"/>
      <c r="J4135" s="58"/>
      <c r="K4135" s="58"/>
      <c r="L4135" s="13" t="str">
        <f t="shared" si="640"/>
        <v/>
      </c>
      <c r="M4135" s="13" t="str">
        <f t="shared" si="641"/>
        <v/>
      </c>
      <c r="Q4135" t="str">
        <f t="shared" si="642"/>
        <v/>
      </c>
      <c r="R4135" t="str">
        <f t="shared" si="643"/>
        <v/>
      </c>
      <c r="S4135" t="str">
        <f t="shared" si="644"/>
        <v/>
      </c>
      <c r="T4135" t="str">
        <f t="shared" si="645"/>
        <v/>
      </c>
      <c r="U4135" t="str">
        <f t="shared" si="646"/>
        <v/>
      </c>
      <c r="V4135" t="str">
        <f t="shared" si="647"/>
        <v/>
      </c>
      <c r="W4135" t="str">
        <f t="shared" si="648"/>
        <v/>
      </c>
      <c r="X4135">
        <f>IF($T4135="",N($X4134),IF(MATCH($T4135,$T$6:$T$10005,0)=ROW()-5,N($X4134)+1,N($X4134)))</f>
        <v>0</v>
      </c>
      <c r="Z4135" t="str">
        <f t="shared" si="649"/>
        <v/>
      </c>
      <c r="AA4135">
        <f>IF($V4135="",N($AA4134),IF(MATCH($V4135,$V$6:$V$10005,0)=ROW()-5,N($AA4134)+1,N($AA4134)))</f>
        <v>0</v>
      </c>
    </row>
    <row r="4136" spans="1:27" ht="21" customHeight="1" x14ac:dyDescent="0.95">
      <c r="A4136" s="56"/>
      <c r="B4136" s="57"/>
      <c r="C4136" s="57"/>
      <c r="D4136" s="57"/>
      <c r="E4136" s="56"/>
      <c r="F4136" s="57"/>
      <c r="G4136" s="57"/>
      <c r="H4136" s="56"/>
      <c r="I4136" s="56"/>
      <c r="J4136" s="58"/>
      <c r="K4136" s="58"/>
      <c r="L4136" s="13" t="str">
        <f t="shared" si="640"/>
        <v/>
      </c>
      <c r="M4136" s="13" t="str">
        <f t="shared" si="641"/>
        <v/>
      </c>
      <c r="Q4136" t="str">
        <f t="shared" si="642"/>
        <v/>
      </c>
      <c r="R4136" t="str">
        <f t="shared" si="643"/>
        <v/>
      </c>
      <c r="S4136" t="str">
        <f t="shared" si="644"/>
        <v/>
      </c>
      <c r="T4136" t="str">
        <f t="shared" si="645"/>
        <v/>
      </c>
      <c r="U4136" t="str">
        <f t="shared" si="646"/>
        <v/>
      </c>
      <c r="V4136" t="str">
        <f t="shared" si="647"/>
        <v/>
      </c>
      <c r="W4136" t="str">
        <f t="shared" si="648"/>
        <v/>
      </c>
      <c r="X4136">
        <f>IF($T4136="",N($X4135),IF(MATCH($T4136,$T$6:$T$10005,0)=ROW()-5,N($X4135)+1,N($X4135)))</f>
        <v>0</v>
      </c>
      <c r="Z4136" t="str">
        <f t="shared" si="649"/>
        <v/>
      </c>
      <c r="AA4136">
        <f>IF($V4136="",N($AA4135),IF(MATCH($V4136,$V$6:$V$10005,0)=ROW()-5,N($AA4135)+1,N($AA4135)))</f>
        <v>0</v>
      </c>
    </row>
    <row r="4137" spans="1:27" ht="21" customHeight="1" x14ac:dyDescent="0.95">
      <c r="A4137" s="56"/>
      <c r="B4137" s="57"/>
      <c r="C4137" s="57"/>
      <c r="D4137" s="57"/>
      <c r="E4137" s="56"/>
      <c r="F4137" s="57"/>
      <c r="G4137" s="57"/>
      <c r="H4137" s="56"/>
      <c r="I4137" s="56"/>
      <c r="J4137" s="58"/>
      <c r="K4137" s="58"/>
      <c r="L4137" s="13" t="str">
        <f t="shared" si="640"/>
        <v/>
      </c>
      <c r="M4137" s="13" t="str">
        <f t="shared" si="641"/>
        <v/>
      </c>
      <c r="Q4137" t="str">
        <f t="shared" si="642"/>
        <v/>
      </c>
      <c r="R4137" t="str">
        <f t="shared" si="643"/>
        <v/>
      </c>
      <c r="S4137" t="str">
        <f t="shared" si="644"/>
        <v/>
      </c>
      <c r="T4137" t="str">
        <f t="shared" si="645"/>
        <v/>
      </c>
      <c r="U4137" t="str">
        <f t="shared" si="646"/>
        <v/>
      </c>
      <c r="V4137" t="str">
        <f t="shared" si="647"/>
        <v/>
      </c>
      <c r="W4137" t="str">
        <f t="shared" si="648"/>
        <v/>
      </c>
      <c r="X4137">
        <f>IF($T4137="",N($X4136),IF(MATCH($T4137,$T$6:$T$10005,0)=ROW()-5,N($X4136)+1,N($X4136)))</f>
        <v>0</v>
      </c>
      <c r="Z4137" t="str">
        <f t="shared" si="649"/>
        <v/>
      </c>
      <c r="AA4137">
        <f>IF($V4137="",N($AA4136),IF(MATCH($V4137,$V$6:$V$10005,0)=ROW()-5,N($AA4136)+1,N($AA4136)))</f>
        <v>0</v>
      </c>
    </row>
    <row r="4138" spans="1:27" ht="21" customHeight="1" x14ac:dyDescent="0.95">
      <c r="A4138" s="56"/>
      <c r="B4138" s="57"/>
      <c r="C4138" s="57"/>
      <c r="D4138" s="57"/>
      <c r="E4138" s="56"/>
      <c r="F4138" s="57"/>
      <c r="G4138" s="57"/>
      <c r="H4138" s="56"/>
      <c r="I4138" s="56"/>
      <c r="J4138" s="58"/>
      <c r="K4138" s="58"/>
      <c r="L4138" s="13" t="str">
        <f t="shared" si="640"/>
        <v/>
      </c>
      <c r="M4138" s="13" t="str">
        <f t="shared" si="641"/>
        <v/>
      </c>
      <c r="Q4138" t="str">
        <f t="shared" si="642"/>
        <v/>
      </c>
      <c r="R4138" t="str">
        <f t="shared" si="643"/>
        <v/>
      </c>
      <c r="S4138" t="str">
        <f t="shared" si="644"/>
        <v/>
      </c>
      <c r="T4138" t="str">
        <f t="shared" si="645"/>
        <v/>
      </c>
      <c r="U4138" t="str">
        <f t="shared" si="646"/>
        <v/>
      </c>
      <c r="V4138" t="str">
        <f t="shared" si="647"/>
        <v/>
      </c>
      <c r="W4138" t="str">
        <f t="shared" si="648"/>
        <v/>
      </c>
      <c r="X4138">
        <f>IF($T4138="",N($X4137),IF(MATCH($T4138,$T$6:$T$10005,0)=ROW()-5,N($X4137)+1,N($X4137)))</f>
        <v>0</v>
      </c>
      <c r="Z4138" t="str">
        <f t="shared" si="649"/>
        <v/>
      </c>
      <c r="AA4138">
        <f>IF($V4138="",N($AA4137),IF(MATCH($V4138,$V$6:$V$10005,0)=ROW()-5,N($AA4137)+1,N($AA4137)))</f>
        <v>0</v>
      </c>
    </row>
    <row r="4139" spans="1:27" ht="21" customHeight="1" x14ac:dyDescent="0.95">
      <c r="A4139" s="56"/>
      <c r="B4139" s="57"/>
      <c r="C4139" s="57"/>
      <c r="D4139" s="57"/>
      <c r="E4139" s="56"/>
      <c r="F4139" s="57"/>
      <c r="G4139" s="57"/>
      <c r="H4139" s="56"/>
      <c r="I4139" s="56"/>
      <c r="J4139" s="58"/>
      <c r="K4139" s="58"/>
      <c r="L4139" s="13" t="str">
        <f t="shared" si="640"/>
        <v/>
      </c>
      <c r="M4139" s="13" t="str">
        <f t="shared" si="641"/>
        <v/>
      </c>
      <c r="Q4139" t="str">
        <f t="shared" si="642"/>
        <v/>
      </c>
      <c r="R4139" t="str">
        <f t="shared" si="643"/>
        <v/>
      </c>
      <c r="S4139" t="str">
        <f t="shared" si="644"/>
        <v/>
      </c>
      <c r="T4139" t="str">
        <f t="shared" si="645"/>
        <v/>
      </c>
      <c r="U4139" t="str">
        <f t="shared" si="646"/>
        <v/>
      </c>
      <c r="V4139" t="str">
        <f t="shared" si="647"/>
        <v/>
      </c>
      <c r="W4139" t="str">
        <f t="shared" si="648"/>
        <v/>
      </c>
      <c r="X4139">
        <f>IF($T4139="",N($X4138),IF(MATCH($T4139,$T$6:$T$10005,0)=ROW()-5,N($X4138)+1,N($X4138)))</f>
        <v>0</v>
      </c>
      <c r="Z4139" t="str">
        <f t="shared" si="649"/>
        <v/>
      </c>
      <c r="AA4139">
        <f>IF($V4139="",N($AA4138),IF(MATCH($V4139,$V$6:$V$10005,0)=ROW()-5,N($AA4138)+1,N($AA4138)))</f>
        <v>0</v>
      </c>
    </row>
    <row r="4140" spans="1:27" ht="21" customHeight="1" x14ac:dyDescent="0.95">
      <c r="A4140" s="56"/>
      <c r="B4140" s="57"/>
      <c r="C4140" s="57"/>
      <c r="D4140" s="57"/>
      <c r="E4140" s="56"/>
      <c r="F4140" s="57"/>
      <c r="G4140" s="57"/>
      <c r="H4140" s="56"/>
      <c r="I4140" s="56"/>
      <c r="J4140" s="58"/>
      <c r="K4140" s="58"/>
      <c r="L4140" s="13" t="str">
        <f t="shared" si="640"/>
        <v/>
      </c>
      <c r="M4140" s="13" t="str">
        <f t="shared" si="641"/>
        <v/>
      </c>
      <c r="Q4140" t="str">
        <f t="shared" si="642"/>
        <v/>
      </c>
      <c r="R4140" t="str">
        <f t="shared" si="643"/>
        <v/>
      </c>
      <c r="S4140" t="str">
        <f t="shared" si="644"/>
        <v/>
      </c>
      <c r="T4140" t="str">
        <f t="shared" si="645"/>
        <v/>
      </c>
      <c r="U4140" t="str">
        <f t="shared" si="646"/>
        <v/>
      </c>
      <c r="V4140" t="str">
        <f t="shared" si="647"/>
        <v/>
      </c>
      <c r="W4140" t="str">
        <f t="shared" si="648"/>
        <v/>
      </c>
      <c r="X4140">
        <f>IF($T4140="",N($X4139),IF(MATCH($T4140,$T$6:$T$10005,0)=ROW()-5,N($X4139)+1,N($X4139)))</f>
        <v>0</v>
      </c>
      <c r="Z4140" t="str">
        <f t="shared" si="649"/>
        <v/>
      </c>
      <c r="AA4140">
        <f>IF($V4140="",N($AA4139),IF(MATCH($V4140,$V$6:$V$10005,0)=ROW()-5,N($AA4139)+1,N($AA4139)))</f>
        <v>0</v>
      </c>
    </row>
    <row r="4141" spans="1:27" ht="21" customHeight="1" x14ac:dyDescent="0.95">
      <c r="A4141" s="56"/>
      <c r="B4141" s="57"/>
      <c r="C4141" s="57"/>
      <c r="D4141" s="57"/>
      <c r="E4141" s="56"/>
      <c r="F4141" s="57"/>
      <c r="G4141" s="57"/>
      <c r="H4141" s="56"/>
      <c r="I4141" s="56"/>
      <c r="J4141" s="58"/>
      <c r="K4141" s="58"/>
      <c r="L4141" s="13" t="str">
        <f t="shared" si="640"/>
        <v/>
      </c>
      <c r="M4141" s="13" t="str">
        <f t="shared" si="641"/>
        <v/>
      </c>
      <c r="Q4141" t="str">
        <f t="shared" si="642"/>
        <v/>
      </c>
      <c r="R4141" t="str">
        <f t="shared" si="643"/>
        <v/>
      </c>
      <c r="S4141" t="str">
        <f t="shared" si="644"/>
        <v/>
      </c>
      <c r="T4141" t="str">
        <f t="shared" si="645"/>
        <v/>
      </c>
      <c r="U4141" t="str">
        <f t="shared" si="646"/>
        <v/>
      </c>
      <c r="V4141" t="str">
        <f t="shared" si="647"/>
        <v/>
      </c>
      <c r="W4141" t="str">
        <f t="shared" si="648"/>
        <v/>
      </c>
      <c r="X4141">
        <f>IF($T4141="",N($X4140),IF(MATCH($T4141,$T$6:$T$10005,0)=ROW()-5,N($X4140)+1,N($X4140)))</f>
        <v>0</v>
      </c>
      <c r="Z4141" t="str">
        <f t="shared" si="649"/>
        <v/>
      </c>
      <c r="AA4141">
        <f>IF($V4141="",N($AA4140),IF(MATCH($V4141,$V$6:$V$10005,0)=ROW()-5,N($AA4140)+1,N($AA4140)))</f>
        <v>0</v>
      </c>
    </row>
    <row r="4142" spans="1:27" ht="21" customHeight="1" x14ac:dyDescent="0.95">
      <c r="A4142" s="56"/>
      <c r="B4142" s="57"/>
      <c r="C4142" s="57"/>
      <c r="D4142" s="57"/>
      <c r="E4142" s="56"/>
      <c r="F4142" s="57"/>
      <c r="G4142" s="57"/>
      <c r="H4142" s="56"/>
      <c r="I4142" s="56"/>
      <c r="J4142" s="58"/>
      <c r="K4142" s="58"/>
      <c r="L4142" s="13" t="str">
        <f t="shared" si="640"/>
        <v/>
      </c>
      <c r="M4142" s="13" t="str">
        <f t="shared" si="641"/>
        <v/>
      </c>
      <c r="Q4142" t="str">
        <f t="shared" si="642"/>
        <v/>
      </c>
      <c r="R4142" t="str">
        <f t="shared" si="643"/>
        <v/>
      </c>
      <c r="S4142" t="str">
        <f t="shared" si="644"/>
        <v/>
      </c>
      <c r="T4142" t="str">
        <f t="shared" si="645"/>
        <v/>
      </c>
      <c r="U4142" t="str">
        <f t="shared" si="646"/>
        <v/>
      </c>
      <c r="V4142" t="str">
        <f t="shared" si="647"/>
        <v/>
      </c>
      <c r="W4142" t="str">
        <f t="shared" si="648"/>
        <v/>
      </c>
      <c r="X4142">
        <f>IF($T4142="",N($X4141),IF(MATCH($T4142,$T$6:$T$10005,0)=ROW()-5,N($X4141)+1,N($X4141)))</f>
        <v>0</v>
      </c>
      <c r="Z4142" t="str">
        <f t="shared" si="649"/>
        <v/>
      </c>
      <c r="AA4142">
        <f>IF($V4142="",N($AA4141),IF(MATCH($V4142,$V$6:$V$10005,0)=ROW()-5,N($AA4141)+1,N($AA4141)))</f>
        <v>0</v>
      </c>
    </row>
    <row r="4143" spans="1:27" ht="21" customHeight="1" x14ac:dyDescent="0.95">
      <c r="A4143" s="56"/>
      <c r="B4143" s="57"/>
      <c r="C4143" s="57"/>
      <c r="D4143" s="57"/>
      <c r="E4143" s="56"/>
      <c r="F4143" s="57"/>
      <c r="G4143" s="57"/>
      <c r="H4143" s="56"/>
      <c r="I4143" s="56"/>
      <c r="J4143" s="58"/>
      <c r="K4143" s="58"/>
      <c r="L4143" s="13" t="str">
        <f t="shared" si="640"/>
        <v/>
      </c>
      <c r="M4143" s="13" t="str">
        <f t="shared" si="641"/>
        <v/>
      </c>
      <c r="Q4143" t="str">
        <f t="shared" si="642"/>
        <v/>
      </c>
      <c r="R4143" t="str">
        <f t="shared" si="643"/>
        <v/>
      </c>
      <c r="S4143" t="str">
        <f t="shared" si="644"/>
        <v/>
      </c>
      <c r="T4143" t="str">
        <f t="shared" si="645"/>
        <v/>
      </c>
      <c r="U4143" t="str">
        <f t="shared" si="646"/>
        <v/>
      </c>
      <c r="V4143" t="str">
        <f t="shared" si="647"/>
        <v/>
      </c>
      <c r="W4143" t="str">
        <f t="shared" si="648"/>
        <v/>
      </c>
      <c r="X4143">
        <f>IF($T4143="",N($X4142),IF(MATCH($T4143,$T$6:$T$10005,0)=ROW()-5,N($X4142)+1,N($X4142)))</f>
        <v>0</v>
      </c>
      <c r="Z4143" t="str">
        <f t="shared" si="649"/>
        <v/>
      </c>
      <c r="AA4143">
        <f>IF($V4143="",N($AA4142),IF(MATCH($V4143,$V$6:$V$10005,0)=ROW()-5,N($AA4142)+1,N($AA4142)))</f>
        <v>0</v>
      </c>
    </row>
    <row r="4144" spans="1:27" ht="21" customHeight="1" x14ac:dyDescent="0.95">
      <c r="A4144" s="56"/>
      <c r="B4144" s="57"/>
      <c r="C4144" s="57"/>
      <c r="D4144" s="57"/>
      <c r="E4144" s="56"/>
      <c r="F4144" s="57"/>
      <c r="G4144" s="57"/>
      <c r="H4144" s="56"/>
      <c r="I4144" s="56"/>
      <c r="J4144" s="58"/>
      <c r="K4144" s="58"/>
      <c r="L4144" s="13" t="str">
        <f t="shared" si="640"/>
        <v/>
      </c>
      <c r="M4144" s="13" t="str">
        <f t="shared" si="641"/>
        <v/>
      </c>
      <c r="Q4144" t="str">
        <f t="shared" si="642"/>
        <v/>
      </c>
      <c r="R4144" t="str">
        <f t="shared" si="643"/>
        <v/>
      </c>
      <c r="S4144" t="str">
        <f t="shared" si="644"/>
        <v/>
      </c>
      <c r="T4144" t="str">
        <f t="shared" si="645"/>
        <v/>
      </c>
      <c r="U4144" t="str">
        <f t="shared" si="646"/>
        <v/>
      </c>
      <c r="V4144" t="str">
        <f t="shared" si="647"/>
        <v/>
      </c>
      <c r="W4144" t="str">
        <f t="shared" si="648"/>
        <v/>
      </c>
      <c r="X4144">
        <f>IF($T4144="",N($X4143),IF(MATCH($T4144,$T$6:$T$10005,0)=ROW()-5,N($X4143)+1,N($X4143)))</f>
        <v>0</v>
      </c>
      <c r="Z4144" t="str">
        <f t="shared" si="649"/>
        <v/>
      </c>
      <c r="AA4144">
        <f>IF($V4144="",N($AA4143),IF(MATCH($V4144,$V$6:$V$10005,0)=ROW()-5,N($AA4143)+1,N($AA4143)))</f>
        <v>0</v>
      </c>
    </row>
    <row r="4145" spans="1:27" ht="21" customHeight="1" x14ac:dyDescent="0.95">
      <c r="A4145" s="56"/>
      <c r="B4145" s="57"/>
      <c r="C4145" s="57"/>
      <c r="D4145" s="57"/>
      <c r="E4145" s="56"/>
      <c r="F4145" s="57"/>
      <c r="G4145" s="57"/>
      <c r="H4145" s="56"/>
      <c r="I4145" s="56"/>
      <c r="J4145" s="58"/>
      <c r="K4145" s="58"/>
      <c r="L4145" s="13" t="str">
        <f t="shared" si="640"/>
        <v/>
      </c>
      <c r="M4145" s="13" t="str">
        <f t="shared" si="641"/>
        <v/>
      </c>
      <c r="Q4145" t="str">
        <f t="shared" si="642"/>
        <v/>
      </c>
      <c r="R4145" t="str">
        <f t="shared" si="643"/>
        <v/>
      </c>
      <c r="S4145" t="str">
        <f t="shared" si="644"/>
        <v/>
      </c>
      <c r="T4145" t="str">
        <f t="shared" si="645"/>
        <v/>
      </c>
      <c r="U4145" t="str">
        <f t="shared" si="646"/>
        <v/>
      </c>
      <c r="V4145" t="str">
        <f t="shared" si="647"/>
        <v/>
      </c>
      <c r="W4145" t="str">
        <f t="shared" si="648"/>
        <v/>
      </c>
      <c r="X4145">
        <f>IF($T4145="",N($X4144),IF(MATCH($T4145,$T$6:$T$10005,0)=ROW()-5,N($X4144)+1,N($X4144)))</f>
        <v>0</v>
      </c>
      <c r="Z4145" t="str">
        <f t="shared" si="649"/>
        <v/>
      </c>
      <c r="AA4145">
        <f>IF($V4145="",N($AA4144),IF(MATCH($V4145,$V$6:$V$10005,0)=ROW()-5,N($AA4144)+1,N($AA4144)))</f>
        <v>0</v>
      </c>
    </row>
    <row r="4146" spans="1:27" ht="21" customHeight="1" x14ac:dyDescent="0.95">
      <c r="A4146" s="56"/>
      <c r="B4146" s="57"/>
      <c r="C4146" s="57"/>
      <c r="D4146" s="57"/>
      <c r="E4146" s="56"/>
      <c r="F4146" s="57"/>
      <c r="G4146" s="57"/>
      <c r="H4146" s="56"/>
      <c r="I4146" s="56"/>
      <c r="J4146" s="58"/>
      <c r="K4146" s="58"/>
      <c r="L4146" s="13" t="str">
        <f t="shared" si="640"/>
        <v/>
      </c>
      <c r="M4146" s="13" t="str">
        <f t="shared" si="641"/>
        <v/>
      </c>
      <c r="Q4146" t="str">
        <f t="shared" si="642"/>
        <v/>
      </c>
      <c r="R4146" t="str">
        <f t="shared" si="643"/>
        <v/>
      </c>
      <c r="S4146" t="str">
        <f t="shared" si="644"/>
        <v/>
      </c>
      <c r="T4146" t="str">
        <f t="shared" si="645"/>
        <v/>
      </c>
      <c r="U4146" t="str">
        <f t="shared" si="646"/>
        <v/>
      </c>
      <c r="V4146" t="str">
        <f t="shared" si="647"/>
        <v/>
      </c>
      <c r="W4146" t="str">
        <f t="shared" si="648"/>
        <v/>
      </c>
      <c r="X4146">
        <f>IF($T4146="",N($X4145),IF(MATCH($T4146,$T$6:$T$10005,0)=ROW()-5,N($X4145)+1,N($X4145)))</f>
        <v>0</v>
      </c>
      <c r="Z4146" t="str">
        <f t="shared" si="649"/>
        <v/>
      </c>
      <c r="AA4146">
        <f>IF($V4146="",N($AA4145),IF(MATCH($V4146,$V$6:$V$10005,0)=ROW()-5,N($AA4145)+1,N($AA4145)))</f>
        <v>0</v>
      </c>
    </row>
    <row r="4147" spans="1:27" ht="21" customHeight="1" x14ac:dyDescent="0.95">
      <c r="A4147" s="56"/>
      <c r="B4147" s="57"/>
      <c r="C4147" s="57"/>
      <c r="D4147" s="57"/>
      <c r="E4147" s="56"/>
      <c r="F4147" s="57"/>
      <c r="G4147" s="57"/>
      <c r="H4147" s="56"/>
      <c r="I4147" s="56"/>
      <c r="J4147" s="58"/>
      <c r="K4147" s="58"/>
      <c r="L4147" s="13" t="str">
        <f t="shared" si="640"/>
        <v/>
      </c>
      <c r="M4147" s="13" t="str">
        <f t="shared" si="641"/>
        <v/>
      </c>
      <c r="Q4147" t="str">
        <f t="shared" si="642"/>
        <v/>
      </c>
      <c r="R4147" t="str">
        <f t="shared" si="643"/>
        <v/>
      </c>
      <c r="S4147" t="str">
        <f t="shared" si="644"/>
        <v/>
      </c>
      <c r="T4147" t="str">
        <f t="shared" si="645"/>
        <v/>
      </c>
      <c r="U4147" t="str">
        <f t="shared" si="646"/>
        <v/>
      </c>
      <c r="V4147" t="str">
        <f t="shared" si="647"/>
        <v/>
      </c>
      <c r="W4147" t="str">
        <f t="shared" si="648"/>
        <v/>
      </c>
      <c r="X4147">
        <f>IF($T4147="",N($X4146),IF(MATCH($T4147,$T$6:$T$10005,0)=ROW()-5,N($X4146)+1,N($X4146)))</f>
        <v>0</v>
      </c>
      <c r="Z4147" t="str">
        <f t="shared" si="649"/>
        <v/>
      </c>
      <c r="AA4147">
        <f>IF($V4147="",N($AA4146),IF(MATCH($V4147,$V$6:$V$10005,0)=ROW()-5,N($AA4146)+1,N($AA4146)))</f>
        <v>0</v>
      </c>
    </row>
    <row r="4148" spans="1:27" ht="21" customHeight="1" x14ac:dyDescent="0.95">
      <c r="A4148" s="56"/>
      <c r="B4148" s="57"/>
      <c r="C4148" s="57"/>
      <c r="D4148" s="57"/>
      <c r="E4148" s="56"/>
      <c r="F4148" s="57"/>
      <c r="G4148" s="57"/>
      <c r="H4148" s="56"/>
      <c r="I4148" s="56"/>
      <c r="J4148" s="58"/>
      <c r="K4148" s="58"/>
      <c r="L4148" s="13" t="str">
        <f t="shared" si="640"/>
        <v/>
      </c>
      <c r="M4148" s="13" t="str">
        <f t="shared" si="641"/>
        <v/>
      </c>
      <c r="Q4148" t="str">
        <f t="shared" si="642"/>
        <v/>
      </c>
      <c r="R4148" t="str">
        <f t="shared" si="643"/>
        <v/>
      </c>
      <c r="S4148" t="str">
        <f t="shared" si="644"/>
        <v/>
      </c>
      <c r="T4148" t="str">
        <f t="shared" si="645"/>
        <v/>
      </c>
      <c r="U4148" t="str">
        <f t="shared" si="646"/>
        <v/>
      </c>
      <c r="V4148" t="str">
        <f t="shared" si="647"/>
        <v/>
      </c>
      <c r="W4148" t="str">
        <f t="shared" si="648"/>
        <v/>
      </c>
      <c r="X4148">
        <f>IF($T4148="",N($X4147),IF(MATCH($T4148,$T$6:$T$10005,0)=ROW()-5,N($X4147)+1,N($X4147)))</f>
        <v>0</v>
      </c>
      <c r="Z4148" t="str">
        <f t="shared" si="649"/>
        <v/>
      </c>
      <c r="AA4148">
        <f>IF($V4148="",N($AA4147),IF(MATCH($V4148,$V$6:$V$10005,0)=ROW()-5,N($AA4147)+1,N($AA4147)))</f>
        <v>0</v>
      </c>
    </row>
    <row r="4149" spans="1:27" ht="21" customHeight="1" x14ac:dyDescent="0.95">
      <c r="A4149" s="56"/>
      <c r="B4149" s="57"/>
      <c r="C4149" s="57"/>
      <c r="D4149" s="57"/>
      <c r="E4149" s="56"/>
      <c r="F4149" s="57"/>
      <c r="G4149" s="57"/>
      <c r="H4149" s="56"/>
      <c r="I4149" s="56"/>
      <c r="J4149" s="58"/>
      <c r="K4149" s="58"/>
      <c r="L4149" s="13" t="str">
        <f t="shared" si="640"/>
        <v/>
      </c>
      <c r="M4149" s="13" t="str">
        <f t="shared" si="641"/>
        <v/>
      </c>
      <c r="Q4149" t="str">
        <f t="shared" si="642"/>
        <v/>
      </c>
      <c r="R4149" t="str">
        <f t="shared" si="643"/>
        <v/>
      </c>
      <c r="S4149" t="str">
        <f t="shared" si="644"/>
        <v/>
      </c>
      <c r="T4149" t="str">
        <f t="shared" si="645"/>
        <v/>
      </c>
      <c r="U4149" t="str">
        <f t="shared" si="646"/>
        <v/>
      </c>
      <c r="V4149" t="str">
        <f t="shared" si="647"/>
        <v/>
      </c>
      <c r="W4149" t="str">
        <f t="shared" si="648"/>
        <v/>
      </c>
      <c r="X4149">
        <f>IF($T4149="",N($X4148),IF(MATCH($T4149,$T$6:$T$10005,0)=ROW()-5,N($X4148)+1,N($X4148)))</f>
        <v>0</v>
      </c>
      <c r="Z4149" t="str">
        <f t="shared" si="649"/>
        <v/>
      </c>
      <c r="AA4149">
        <f>IF($V4149="",N($AA4148),IF(MATCH($V4149,$V$6:$V$10005,0)=ROW()-5,N($AA4148)+1,N($AA4148)))</f>
        <v>0</v>
      </c>
    </row>
    <row r="4150" spans="1:27" ht="21" customHeight="1" x14ac:dyDescent="0.95">
      <c r="A4150" s="56"/>
      <c r="B4150" s="57"/>
      <c r="C4150" s="57"/>
      <c r="D4150" s="57"/>
      <c r="E4150" s="56"/>
      <c r="F4150" s="57"/>
      <c r="G4150" s="57"/>
      <c r="H4150" s="56"/>
      <c r="I4150" s="56"/>
      <c r="J4150" s="58"/>
      <c r="K4150" s="58"/>
      <c r="L4150" s="13" t="str">
        <f t="shared" si="640"/>
        <v/>
      </c>
      <c r="M4150" s="13" t="str">
        <f t="shared" si="641"/>
        <v/>
      </c>
      <c r="Q4150" t="str">
        <f t="shared" si="642"/>
        <v/>
      </c>
      <c r="R4150" t="str">
        <f t="shared" si="643"/>
        <v/>
      </c>
      <c r="S4150" t="str">
        <f t="shared" si="644"/>
        <v/>
      </c>
      <c r="T4150" t="str">
        <f t="shared" si="645"/>
        <v/>
      </c>
      <c r="U4150" t="str">
        <f t="shared" si="646"/>
        <v/>
      </c>
      <c r="V4150" t="str">
        <f t="shared" si="647"/>
        <v/>
      </c>
      <c r="W4150" t="str">
        <f t="shared" si="648"/>
        <v/>
      </c>
      <c r="X4150">
        <f>IF($T4150="",N($X4149),IF(MATCH($T4150,$T$6:$T$10005,0)=ROW()-5,N($X4149)+1,N($X4149)))</f>
        <v>0</v>
      </c>
      <c r="Z4150" t="str">
        <f t="shared" si="649"/>
        <v/>
      </c>
      <c r="AA4150">
        <f>IF($V4150="",N($AA4149),IF(MATCH($V4150,$V$6:$V$10005,0)=ROW()-5,N($AA4149)+1,N($AA4149)))</f>
        <v>0</v>
      </c>
    </row>
    <row r="4151" spans="1:27" ht="21" customHeight="1" x14ac:dyDescent="0.95">
      <c r="A4151" s="56"/>
      <c r="B4151" s="57"/>
      <c r="C4151" s="57"/>
      <c r="D4151" s="57"/>
      <c r="E4151" s="56"/>
      <c r="F4151" s="57"/>
      <c r="G4151" s="57"/>
      <c r="H4151" s="56"/>
      <c r="I4151" s="56"/>
      <c r="J4151" s="58"/>
      <c r="K4151" s="58"/>
      <c r="L4151" s="13" t="str">
        <f t="shared" si="640"/>
        <v/>
      </c>
      <c r="M4151" s="13" t="str">
        <f t="shared" si="641"/>
        <v/>
      </c>
      <c r="Q4151" t="str">
        <f t="shared" si="642"/>
        <v/>
      </c>
      <c r="R4151" t="str">
        <f t="shared" si="643"/>
        <v/>
      </c>
      <c r="S4151" t="str">
        <f t="shared" si="644"/>
        <v/>
      </c>
      <c r="T4151" t="str">
        <f t="shared" si="645"/>
        <v/>
      </c>
      <c r="U4151" t="str">
        <f t="shared" si="646"/>
        <v/>
      </c>
      <c r="V4151" t="str">
        <f t="shared" si="647"/>
        <v/>
      </c>
      <c r="W4151" t="str">
        <f t="shared" si="648"/>
        <v/>
      </c>
      <c r="X4151">
        <f>IF($T4151="",N($X4150),IF(MATCH($T4151,$T$6:$T$10005,0)=ROW()-5,N($X4150)+1,N($X4150)))</f>
        <v>0</v>
      </c>
      <c r="Z4151" t="str">
        <f t="shared" si="649"/>
        <v/>
      </c>
      <c r="AA4151">
        <f>IF($V4151="",N($AA4150),IF(MATCH($V4151,$V$6:$V$10005,0)=ROW()-5,N($AA4150)+1,N($AA4150)))</f>
        <v>0</v>
      </c>
    </row>
    <row r="4152" spans="1:27" ht="21" customHeight="1" x14ac:dyDescent="0.95">
      <c r="A4152" s="56"/>
      <c r="B4152" s="57"/>
      <c r="C4152" s="57"/>
      <c r="D4152" s="57"/>
      <c r="E4152" s="56"/>
      <c r="F4152" s="57"/>
      <c r="G4152" s="57"/>
      <c r="H4152" s="56"/>
      <c r="I4152" s="56"/>
      <c r="J4152" s="58"/>
      <c r="K4152" s="58"/>
      <c r="L4152" s="13" t="str">
        <f t="shared" si="640"/>
        <v/>
      </c>
      <c r="M4152" s="13" t="str">
        <f t="shared" si="641"/>
        <v/>
      </c>
      <c r="Q4152" t="str">
        <f t="shared" si="642"/>
        <v/>
      </c>
      <c r="R4152" t="str">
        <f t="shared" si="643"/>
        <v/>
      </c>
      <c r="S4152" t="str">
        <f t="shared" si="644"/>
        <v/>
      </c>
      <c r="T4152" t="str">
        <f t="shared" si="645"/>
        <v/>
      </c>
      <c r="U4152" t="str">
        <f t="shared" si="646"/>
        <v/>
      </c>
      <c r="V4152" t="str">
        <f t="shared" si="647"/>
        <v/>
      </c>
      <c r="W4152" t="str">
        <f t="shared" si="648"/>
        <v/>
      </c>
      <c r="X4152">
        <f>IF($T4152="",N($X4151),IF(MATCH($T4152,$T$6:$T$10005,0)=ROW()-5,N($X4151)+1,N($X4151)))</f>
        <v>0</v>
      </c>
      <c r="Z4152" t="str">
        <f t="shared" si="649"/>
        <v/>
      </c>
      <c r="AA4152">
        <f>IF($V4152="",N($AA4151),IF(MATCH($V4152,$V$6:$V$10005,0)=ROW()-5,N($AA4151)+1,N($AA4151)))</f>
        <v>0</v>
      </c>
    </row>
    <row r="4153" spans="1:27" ht="21" customHeight="1" x14ac:dyDescent="0.95">
      <c r="A4153" s="56"/>
      <c r="B4153" s="57"/>
      <c r="C4153" s="57"/>
      <c r="D4153" s="57"/>
      <c r="E4153" s="56"/>
      <c r="F4153" s="57"/>
      <c r="G4153" s="57"/>
      <c r="H4153" s="56"/>
      <c r="I4153" s="56"/>
      <c r="J4153" s="58"/>
      <c r="K4153" s="58"/>
      <c r="L4153" s="13" t="str">
        <f t="shared" si="640"/>
        <v/>
      </c>
      <c r="M4153" s="13" t="str">
        <f t="shared" si="641"/>
        <v/>
      </c>
      <c r="Q4153" t="str">
        <f t="shared" si="642"/>
        <v/>
      </c>
      <c r="R4153" t="str">
        <f t="shared" si="643"/>
        <v/>
      </c>
      <c r="S4153" t="str">
        <f t="shared" si="644"/>
        <v/>
      </c>
      <c r="T4153" t="str">
        <f t="shared" si="645"/>
        <v/>
      </c>
      <c r="U4153" t="str">
        <f t="shared" si="646"/>
        <v/>
      </c>
      <c r="V4153" t="str">
        <f t="shared" si="647"/>
        <v/>
      </c>
      <c r="W4153" t="str">
        <f t="shared" si="648"/>
        <v/>
      </c>
      <c r="X4153">
        <f>IF($T4153="",N($X4152),IF(MATCH($T4153,$T$6:$T$10005,0)=ROW()-5,N($X4152)+1,N($X4152)))</f>
        <v>0</v>
      </c>
      <c r="Z4153" t="str">
        <f t="shared" si="649"/>
        <v/>
      </c>
      <c r="AA4153">
        <f>IF($V4153="",N($AA4152),IF(MATCH($V4153,$V$6:$V$10005,0)=ROW()-5,N($AA4152)+1,N($AA4152)))</f>
        <v>0</v>
      </c>
    </row>
    <row r="4154" spans="1:27" ht="21" customHeight="1" x14ac:dyDescent="0.95">
      <c r="A4154" s="56"/>
      <c r="B4154" s="57"/>
      <c r="C4154" s="57"/>
      <c r="D4154" s="57"/>
      <c r="E4154" s="56"/>
      <c r="F4154" s="57"/>
      <c r="G4154" s="57"/>
      <c r="H4154" s="56"/>
      <c r="I4154" s="56"/>
      <c r="J4154" s="58"/>
      <c r="K4154" s="58"/>
      <c r="L4154" s="13" t="str">
        <f t="shared" si="640"/>
        <v/>
      </c>
      <c r="M4154" s="13" t="str">
        <f t="shared" si="641"/>
        <v/>
      </c>
      <c r="Q4154" t="str">
        <f t="shared" si="642"/>
        <v/>
      </c>
      <c r="R4154" t="str">
        <f t="shared" si="643"/>
        <v/>
      </c>
      <c r="S4154" t="str">
        <f t="shared" si="644"/>
        <v/>
      </c>
      <c r="T4154" t="str">
        <f t="shared" si="645"/>
        <v/>
      </c>
      <c r="U4154" t="str">
        <f t="shared" si="646"/>
        <v/>
      </c>
      <c r="V4154" t="str">
        <f t="shared" si="647"/>
        <v/>
      </c>
      <c r="W4154" t="str">
        <f t="shared" si="648"/>
        <v/>
      </c>
      <c r="X4154">
        <f>IF($T4154="",N($X4153),IF(MATCH($T4154,$T$6:$T$10005,0)=ROW()-5,N($X4153)+1,N($X4153)))</f>
        <v>0</v>
      </c>
      <c r="Z4154" t="str">
        <f t="shared" si="649"/>
        <v/>
      </c>
      <c r="AA4154">
        <f>IF($V4154="",N($AA4153),IF(MATCH($V4154,$V$6:$V$10005,0)=ROW()-5,N($AA4153)+1,N($AA4153)))</f>
        <v>0</v>
      </c>
    </row>
    <row r="4155" spans="1:27" ht="21" customHeight="1" x14ac:dyDescent="0.95">
      <c r="A4155" s="56"/>
      <c r="B4155" s="57"/>
      <c r="C4155" s="57"/>
      <c r="D4155" s="57"/>
      <c r="E4155" s="56"/>
      <c r="F4155" s="57"/>
      <c r="G4155" s="57"/>
      <c r="H4155" s="56"/>
      <c r="I4155" s="56"/>
      <c r="J4155" s="58"/>
      <c r="K4155" s="58"/>
      <c r="L4155" s="13" t="str">
        <f t="shared" si="640"/>
        <v/>
      </c>
      <c r="M4155" s="13" t="str">
        <f t="shared" si="641"/>
        <v/>
      </c>
      <c r="Q4155" t="str">
        <f t="shared" si="642"/>
        <v/>
      </c>
      <c r="R4155" t="str">
        <f t="shared" si="643"/>
        <v/>
      </c>
      <c r="S4155" t="str">
        <f t="shared" si="644"/>
        <v/>
      </c>
      <c r="T4155" t="str">
        <f t="shared" si="645"/>
        <v/>
      </c>
      <c r="U4155" t="str">
        <f t="shared" si="646"/>
        <v/>
      </c>
      <c r="V4155" t="str">
        <f t="shared" si="647"/>
        <v/>
      </c>
      <c r="W4155" t="str">
        <f t="shared" si="648"/>
        <v/>
      </c>
      <c r="X4155">
        <f>IF($T4155="",N($X4154),IF(MATCH($T4155,$T$6:$T$10005,0)=ROW()-5,N($X4154)+1,N($X4154)))</f>
        <v>0</v>
      </c>
      <c r="Z4155" t="str">
        <f t="shared" si="649"/>
        <v/>
      </c>
      <c r="AA4155">
        <f>IF($V4155="",N($AA4154),IF(MATCH($V4155,$V$6:$V$10005,0)=ROW()-5,N($AA4154)+1,N($AA4154)))</f>
        <v>0</v>
      </c>
    </row>
    <row r="4156" spans="1:27" ht="21" customHeight="1" x14ac:dyDescent="0.95">
      <c r="A4156" s="56"/>
      <c r="B4156" s="57"/>
      <c r="C4156" s="57"/>
      <c r="D4156" s="57"/>
      <c r="E4156" s="56"/>
      <c r="F4156" s="57"/>
      <c r="G4156" s="57"/>
      <c r="H4156" s="56"/>
      <c r="I4156" s="56"/>
      <c r="J4156" s="58"/>
      <c r="K4156" s="58"/>
      <c r="L4156" s="13" t="str">
        <f t="shared" si="640"/>
        <v/>
      </c>
      <c r="M4156" s="13" t="str">
        <f t="shared" si="641"/>
        <v/>
      </c>
      <c r="Q4156" t="str">
        <f t="shared" si="642"/>
        <v/>
      </c>
      <c r="R4156" t="str">
        <f t="shared" si="643"/>
        <v/>
      </c>
      <c r="S4156" t="str">
        <f t="shared" si="644"/>
        <v/>
      </c>
      <c r="T4156" t="str">
        <f t="shared" si="645"/>
        <v/>
      </c>
      <c r="U4156" t="str">
        <f t="shared" si="646"/>
        <v/>
      </c>
      <c r="V4156" t="str">
        <f t="shared" si="647"/>
        <v/>
      </c>
      <c r="W4156" t="str">
        <f t="shared" si="648"/>
        <v/>
      </c>
      <c r="X4156">
        <f>IF($T4156="",N($X4155),IF(MATCH($T4156,$T$6:$T$10005,0)=ROW()-5,N($X4155)+1,N($X4155)))</f>
        <v>0</v>
      </c>
      <c r="Z4156" t="str">
        <f t="shared" si="649"/>
        <v/>
      </c>
      <c r="AA4156">
        <f>IF($V4156="",N($AA4155),IF(MATCH($V4156,$V$6:$V$10005,0)=ROW()-5,N($AA4155)+1,N($AA4155)))</f>
        <v>0</v>
      </c>
    </row>
    <row r="4157" spans="1:27" ht="21" customHeight="1" x14ac:dyDescent="0.95">
      <c r="A4157" s="56"/>
      <c r="B4157" s="57"/>
      <c r="C4157" s="57"/>
      <c r="D4157" s="57"/>
      <c r="E4157" s="56"/>
      <c r="F4157" s="57"/>
      <c r="G4157" s="57"/>
      <c r="H4157" s="56"/>
      <c r="I4157" s="56"/>
      <c r="J4157" s="58"/>
      <c r="K4157" s="58"/>
      <c r="L4157" s="13" t="str">
        <f t="shared" si="640"/>
        <v/>
      </c>
      <c r="M4157" s="13" t="str">
        <f t="shared" si="641"/>
        <v/>
      </c>
      <c r="Q4157" t="str">
        <f t="shared" si="642"/>
        <v/>
      </c>
      <c r="R4157" t="str">
        <f t="shared" si="643"/>
        <v/>
      </c>
      <c r="S4157" t="str">
        <f t="shared" si="644"/>
        <v/>
      </c>
      <c r="T4157" t="str">
        <f t="shared" si="645"/>
        <v/>
      </c>
      <c r="U4157" t="str">
        <f t="shared" si="646"/>
        <v/>
      </c>
      <c r="V4157" t="str">
        <f t="shared" si="647"/>
        <v/>
      </c>
      <c r="W4157" t="str">
        <f t="shared" si="648"/>
        <v/>
      </c>
      <c r="X4157">
        <f>IF($T4157="",N($X4156),IF(MATCH($T4157,$T$6:$T$10005,0)=ROW()-5,N($X4156)+1,N($X4156)))</f>
        <v>0</v>
      </c>
      <c r="Z4157" t="str">
        <f t="shared" si="649"/>
        <v/>
      </c>
      <c r="AA4157">
        <f>IF($V4157="",N($AA4156),IF(MATCH($V4157,$V$6:$V$10005,0)=ROW()-5,N($AA4156)+1,N($AA4156)))</f>
        <v>0</v>
      </c>
    </row>
    <row r="4158" spans="1:27" ht="21" customHeight="1" x14ac:dyDescent="0.95">
      <c r="A4158" s="56"/>
      <c r="B4158" s="57"/>
      <c r="C4158" s="57"/>
      <c r="D4158" s="57"/>
      <c r="E4158" s="56"/>
      <c r="F4158" s="57"/>
      <c r="G4158" s="57"/>
      <c r="H4158" s="56"/>
      <c r="I4158" s="56"/>
      <c r="J4158" s="58"/>
      <c r="K4158" s="58"/>
      <c r="L4158" s="13" t="str">
        <f t="shared" si="640"/>
        <v/>
      </c>
      <c r="M4158" s="13" t="str">
        <f t="shared" si="641"/>
        <v/>
      </c>
      <c r="Q4158" t="str">
        <f t="shared" si="642"/>
        <v/>
      </c>
      <c r="R4158" t="str">
        <f t="shared" si="643"/>
        <v/>
      </c>
      <c r="S4158" t="str">
        <f t="shared" si="644"/>
        <v/>
      </c>
      <c r="T4158" t="str">
        <f t="shared" si="645"/>
        <v/>
      </c>
      <c r="U4158" t="str">
        <f t="shared" si="646"/>
        <v/>
      </c>
      <c r="V4158" t="str">
        <f t="shared" si="647"/>
        <v/>
      </c>
      <c r="W4158" t="str">
        <f t="shared" si="648"/>
        <v/>
      </c>
      <c r="X4158">
        <f>IF($T4158="",N($X4157),IF(MATCH($T4158,$T$6:$T$10005,0)=ROW()-5,N($X4157)+1,N($X4157)))</f>
        <v>0</v>
      </c>
      <c r="Z4158" t="str">
        <f t="shared" si="649"/>
        <v/>
      </c>
      <c r="AA4158">
        <f>IF($V4158="",N($AA4157),IF(MATCH($V4158,$V$6:$V$10005,0)=ROW()-5,N($AA4157)+1,N($AA4157)))</f>
        <v>0</v>
      </c>
    </row>
    <row r="4159" spans="1:27" ht="21" customHeight="1" x14ac:dyDescent="0.95">
      <c r="A4159" s="56"/>
      <c r="B4159" s="57"/>
      <c r="C4159" s="57"/>
      <c r="D4159" s="57"/>
      <c r="E4159" s="56"/>
      <c r="F4159" s="57"/>
      <c r="G4159" s="57"/>
      <c r="H4159" s="56"/>
      <c r="I4159" s="56"/>
      <c r="J4159" s="58"/>
      <c r="K4159" s="58"/>
      <c r="L4159" s="13" t="str">
        <f t="shared" si="640"/>
        <v/>
      </c>
      <c r="M4159" s="13" t="str">
        <f t="shared" si="641"/>
        <v/>
      </c>
      <c r="Q4159" t="str">
        <f t="shared" si="642"/>
        <v/>
      </c>
      <c r="R4159" t="str">
        <f t="shared" si="643"/>
        <v/>
      </c>
      <c r="S4159" t="str">
        <f t="shared" si="644"/>
        <v/>
      </c>
      <c r="T4159" t="str">
        <f t="shared" si="645"/>
        <v/>
      </c>
      <c r="U4159" t="str">
        <f t="shared" si="646"/>
        <v/>
      </c>
      <c r="V4159" t="str">
        <f t="shared" si="647"/>
        <v/>
      </c>
      <c r="W4159" t="str">
        <f t="shared" si="648"/>
        <v/>
      </c>
      <c r="X4159">
        <f>IF($T4159="",N($X4158),IF(MATCH($T4159,$T$6:$T$10005,0)=ROW()-5,N($X4158)+1,N($X4158)))</f>
        <v>0</v>
      </c>
      <c r="Z4159" t="str">
        <f t="shared" si="649"/>
        <v/>
      </c>
      <c r="AA4159">
        <f>IF($V4159="",N($AA4158),IF(MATCH($V4159,$V$6:$V$10005,0)=ROW()-5,N($AA4158)+1,N($AA4158)))</f>
        <v>0</v>
      </c>
    </row>
    <row r="4160" spans="1:27" ht="21" customHeight="1" x14ac:dyDescent="0.95">
      <c r="A4160" s="56"/>
      <c r="B4160" s="57"/>
      <c r="C4160" s="57"/>
      <c r="D4160" s="57"/>
      <c r="E4160" s="56"/>
      <c r="F4160" s="57"/>
      <c r="G4160" s="57"/>
      <c r="H4160" s="56"/>
      <c r="I4160" s="56"/>
      <c r="J4160" s="58"/>
      <c r="K4160" s="58"/>
      <c r="L4160" s="13" t="str">
        <f t="shared" si="640"/>
        <v/>
      </c>
      <c r="M4160" s="13" t="str">
        <f t="shared" si="641"/>
        <v/>
      </c>
      <c r="Q4160" t="str">
        <f t="shared" si="642"/>
        <v/>
      </c>
      <c r="R4160" t="str">
        <f t="shared" si="643"/>
        <v/>
      </c>
      <c r="S4160" t="str">
        <f t="shared" si="644"/>
        <v/>
      </c>
      <c r="T4160" t="str">
        <f t="shared" si="645"/>
        <v/>
      </c>
      <c r="U4160" t="str">
        <f t="shared" si="646"/>
        <v/>
      </c>
      <c r="V4160" t="str">
        <f t="shared" si="647"/>
        <v/>
      </c>
      <c r="W4160" t="str">
        <f t="shared" si="648"/>
        <v/>
      </c>
      <c r="X4160">
        <f>IF($T4160="",N($X4159),IF(MATCH($T4160,$T$6:$T$10005,0)=ROW()-5,N($X4159)+1,N($X4159)))</f>
        <v>0</v>
      </c>
      <c r="Z4160" t="str">
        <f t="shared" si="649"/>
        <v/>
      </c>
      <c r="AA4160">
        <f>IF($V4160="",N($AA4159),IF(MATCH($V4160,$V$6:$V$10005,0)=ROW()-5,N($AA4159)+1,N($AA4159)))</f>
        <v>0</v>
      </c>
    </row>
    <row r="4161" spans="1:27" ht="21" customHeight="1" x14ac:dyDescent="0.95">
      <c r="A4161" s="56"/>
      <c r="B4161" s="57"/>
      <c r="C4161" s="57"/>
      <c r="D4161" s="57"/>
      <c r="E4161" s="56"/>
      <c r="F4161" s="57"/>
      <c r="G4161" s="57"/>
      <c r="H4161" s="56"/>
      <c r="I4161" s="56"/>
      <c r="J4161" s="58"/>
      <c r="K4161" s="58"/>
      <c r="L4161" s="13" t="str">
        <f t="shared" si="640"/>
        <v/>
      </c>
      <c r="M4161" s="13" t="str">
        <f t="shared" si="641"/>
        <v/>
      </c>
      <c r="Q4161" t="str">
        <f t="shared" si="642"/>
        <v/>
      </c>
      <c r="R4161" t="str">
        <f t="shared" si="643"/>
        <v/>
      </c>
      <c r="S4161" t="str">
        <f t="shared" si="644"/>
        <v/>
      </c>
      <c r="T4161" t="str">
        <f t="shared" si="645"/>
        <v/>
      </c>
      <c r="U4161" t="str">
        <f t="shared" si="646"/>
        <v/>
      </c>
      <c r="V4161" t="str">
        <f t="shared" si="647"/>
        <v/>
      </c>
      <c r="W4161" t="str">
        <f t="shared" si="648"/>
        <v/>
      </c>
      <c r="X4161">
        <f>IF($T4161="",N($X4160),IF(MATCH($T4161,$T$6:$T$10005,0)=ROW()-5,N($X4160)+1,N($X4160)))</f>
        <v>0</v>
      </c>
      <c r="Z4161" t="str">
        <f t="shared" si="649"/>
        <v/>
      </c>
      <c r="AA4161">
        <f>IF($V4161="",N($AA4160),IF(MATCH($V4161,$V$6:$V$10005,0)=ROW()-5,N($AA4160)+1,N($AA4160)))</f>
        <v>0</v>
      </c>
    </row>
    <row r="4162" spans="1:27" ht="21" customHeight="1" x14ac:dyDescent="0.95">
      <c r="A4162" s="56"/>
      <c r="B4162" s="57"/>
      <c r="C4162" s="57"/>
      <c r="D4162" s="57"/>
      <c r="E4162" s="56"/>
      <c r="F4162" s="57"/>
      <c r="G4162" s="57"/>
      <c r="H4162" s="56"/>
      <c r="I4162" s="56"/>
      <c r="J4162" s="58"/>
      <c r="K4162" s="58"/>
      <c r="L4162" s="13" t="str">
        <f t="shared" si="640"/>
        <v/>
      </c>
      <c r="M4162" s="13" t="str">
        <f t="shared" si="641"/>
        <v/>
      </c>
      <c r="Q4162" t="str">
        <f t="shared" si="642"/>
        <v/>
      </c>
      <c r="R4162" t="str">
        <f t="shared" si="643"/>
        <v/>
      </c>
      <c r="S4162" t="str">
        <f t="shared" si="644"/>
        <v/>
      </c>
      <c r="T4162" t="str">
        <f t="shared" si="645"/>
        <v/>
      </c>
      <c r="U4162" t="str">
        <f t="shared" si="646"/>
        <v/>
      </c>
      <c r="V4162" t="str">
        <f t="shared" si="647"/>
        <v/>
      </c>
      <c r="W4162" t="str">
        <f t="shared" si="648"/>
        <v/>
      </c>
      <c r="X4162">
        <f>IF($T4162="",N($X4161),IF(MATCH($T4162,$T$6:$T$10005,0)=ROW()-5,N($X4161)+1,N($X4161)))</f>
        <v>0</v>
      </c>
      <c r="Z4162" t="str">
        <f t="shared" si="649"/>
        <v/>
      </c>
      <c r="AA4162">
        <f>IF($V4162="",N($AA4161),IF(MATCH($V4162,$V$6:$V$10005,0)=ROW()-5,N($AA4161)+1,N($AA4161)))</f>
        <v>0</v>
      </c>
    </row>
    <row r="4163" spans="1:27" ht="21" customHeight="1" x14ac:dyDescent="0.95">
      <c r="A4163" s="56"/>
      <c r="B4163" s="57"/>
      <c r="C4163" s="57"/>
      <c r="D4163" s="57"/>
      <c r="E4163" s="56"/>
      <c r="F4163" s="57"/>
      <c r="G4163" s="57"/>
      <c r="H4163" s="56"/>
      <c r="I4163" s="56"/>
      <c r="J4163" s="58"/>
      <c r="K4163" s="58"/>
      <c r="L4163" s="13" t="str">
        <f t="shared" si="640"/>
        <v/>
      </c>
      <c r="M4163" s="13" t="str">
        <f t="shared" si="641"/>
        <v/>
      </c>
      <c r="Q4163" t="str">
        <f t="shared" si="642"/>
        <v/>
      </c>
      <c r="R4163" t="str">
        <f t="shared" si="643"/>
        <v/>
      </c>
      <c r="S4163" t="str">
        <f t="shared" si="644"/>
        <v/>
      </c>
      <c r="T4163" t="str">
        <f t="shared" si="645"/>
        <v/>
      </c>
      <c r="U4163" t="str">
        <f t="shared" si="646"/>
        <v/>
      </c>
      <c r="V4163" t="str">
        <f t="shared" si="647"/>
        <v/>
      </c>
      <c r="W4163" t="str">
        <f t="shared" si="648"/>
        <v/>
      </c>
      <c r="X4163">
        <f>IF($T4163="",N($X4162),IF(MATCH($T4163,$T$6:$T$10005,0)=ROW()-5,N($X4162)+1,N($X4162)))</f>
        <v>0</v>
      </c>
      <c r="Z4163" t="str">
        <f t="shared" si="649"/>
        <v/>
      </c>
      <c r="AA4163">
        <f>IF($V4163="",N($AA4162),IF(MATCH($V4163,$V$6:$V$10005,0)=ROW()-5,N($AA4162)+1,N($AA4162)))</f>
        <v>0</v>
      </c>
    </row>
    <row r="4164" spans="1:27" ht="21" customHeight="1" x14ac:dyDescent="0.95">
      <c r="A4164" s="56"/>
      <c r="B4164" s="57"/>
      <c r="C4164" s="57"/>
      <c r="D4164" s="57"/>
      <c r="E4164" s="56"/>
      <c r="F4164" s="57"/>
      <c r="G4164" s="57"/>
      <c r="H4164" s="56"/>
      <c r="I4164" s="56"/>
      <c r="J4164" s="58"/>
      <c r="K4164" s="58"/>
      <c r="L4164" s="13" t="str">
        <f t="shared" si="640"/>
        <v/>
      </c>
      <c r="M4164" s="13" t="str">
        <f t="shared" si="641"/>
        <v/>
      </c>
      <c r="Q4164" t="str">
        <f t="shared" si="642"/>
        <v/>
      </c>
      <c r="R4164" t="str">
        <f t="shared" si="643"/>
        <v/>
      </c>
      <c r="S4164" t="str">
        <f t="shared" si="644"/>
        <v/>
      </c>
      <c r="T4164" t="str">
        <f t="shared" si="645"/>
        <v/>
      </c>
      <c r="U4164" t="str">
        <f t="shared" si="646"/>
        <v/>
      </c>
      <c r="V4164" t="str">
        <f t="shared" si="647"/>
        <v/>
      </c>
      <c r="W4164" t="str">
        <f t="shared" si="648"/>
        <v/>
      </c>
      <c r="X4164">
        <f>IF($T4164="",N($X4163),IF(MATCH($T4164,$T$6:$T$10005,0)=ROW()-5,N($X4163)+1,N($X4163)))</f>
        <v>0</v>
      </c>
      <c r="Z4164" t="str">
        <f t="shared" si="649"/>
        <v/>
      </c>
      <c r="AA4164">
        <f>IF($V4164="",N($AA4163),IF(MATCH($V4164,$V$6:$V$10005,0)=ROW()-5,N($AA4163)+1,N($AA4163)))</f>
        <v>0</v>
      </c>
    </row>
    <row r="4165" spans="1:27" ht="21" customHeight="1" x14ac:dyDescent="0.95">
      <c r="A4165" s="56"/>
      <c r="B4165" s="57"/>
      <c r="C4165" s="57"/>
      <c r="D4165" s="57"/>
      <c r="E4165" s="56"/>
      <c r="F4165" s="57"/>
      <c r="G4165" s="57"/>
      <c r="H4165" s="56"/>
      <c r="I4165" s="56"/>
      <c r="J4165" s="58"/>
      <c r="K4165" s="58"/>
      <c r="L4165" s="13" t="str">
        <f t="shared" si="640"/>
        <v/>
      </c>
      <c r="M4165" s="13" t="str">
        <f t="shared" si="641"/>
        <v/>
      </c>
      <c r="Q4165" t="str">
        <f t="shared" si="642"/>
        <v/>
      </c>
      <c r="R4165" t="str">
        <f t="shared" si="643"/>
        <v/>
      </c>
      <c r="S4165" t="str">
        <f t="shared" si="644"/>
        <v/>
      </c>
      <c r="T4165" t="str">
        <f t="shared" si="645"/>
        <v/>
      </c>
      <c r="U4165" t="str">
        <f t="shared" si="646"/>
        <v/>
      </c>
      <c r="V4165" t="str">
        <f t="shared" si="647"/>
        <v/>
      </c>
      <c r="W4165" t="str">
        <f t="shared" si="648"/>
        <v/>
      </c>
      <c r="X4165">
        <f>IF($T4165="",N($X4164),IF(MATCH($T4165,$T$6:$T$10005,0)=ROW()-5,N($X4164)+1,N($X4164)))</f>
        <v>0</v>
      </c>
      <c r="Z4165" t="str">
        <f t="shared" si="649"/>
        <v/>
      </c>
      <c r="AA4165">
        <f>IF($V4165="",N($AA4164),IF(MATCH($V4165,$V$6:$V$10005,0)=ROW()-5,N($AA4164)+1,N($AA4164)))</f>
        <v>0</v>
      </c>
    </row>
    <row r="4166" spans="1:27" ht="21" customHeight="1" x14ac:dyDescent="0.95">
      <c r="A4166" s="56"/>
      <c r="B4166" s="57"/>
      <c r="C4166" s="57"/>
      <c r="D4166" s="57"/>
      <c r="E4166" s="56"/>
      <c r="F4166" s="57"/>
      <c r="G4166" s="57"/>
      <c r="H4166" s="56"/>
      <c r="I4166" s="56"/>
      <c r="J4166" s="58"/>
      <c r="K4166" s="58"/>
      <c r="L4166" s="13" t="str">
        <f t="shared" ref="L4166:L4229" si="650">IF(OR($A4166="",AND($J4166="",$K4166="")),"",ROUND(N($J4166)-N($K4166),2))</f>
        <v/>
      </c>
      <c r="M4166" s="13" t="str">
        <f t="shared" ref="M4166:M4229" si="651">IF(OR($A4166="",AND($J4166="",$K4166="")),"",MIN($J4166,$K4166))</f>
        <v/>
      </c>
      <c r="Q4166" t="str">
        <f t="shared" ref="Q4166:Q4229" si="652">IF($A4166="","",$D4166&amp;"("&amp;SUBSTITUTE($E4166," ","")&amp;")")</f>
        <v/>
      </c>
      <c r="R4166" t="str">
        <f t="shared" ref="R4166:R4229" si="653">IF($A4166="","",$B4166&amp;" - "&amp;$C4166)</f>
        <v/>
      </c>
      <c r="S4166" t="str">
        <f t="shared" ref="S4166:S4229" si="654">IF($A4166="","",$R4166&amp;"|"&amp;$Q4166)</f>
        <v/>
      </c>
      <c r="T4166" t="str">
        <f t="shared" ref="T4166:T4229" si="655">IF($A4166="","",$S4166&amp;"|"&amp;$F4166)</f>
        <v/>
      </c>
      <c r="U4166" t="str">
        <f t="shared" ref="U4166:U4229" si="656">IF($A4166="","",$R4166&amp;"("&amp;$E4166&amp;")")</f>
        <v/>
      </c>
      <c r="V4166" t="str">
        <f t="shared" ref="V4166:V4229" si="657">IF($A4166="","",$F4166&amp;"|"&amp;$U4166&amp;"|"&amp;$D4166)</f>
        <v/>
      </c>
      <c r="W4166" t="str">
        <f t="shared" ref="W4166:W4229" si="658">IF($T4166="","",IF($X4166&gt;N($X4165),$X4166,""))</f>
        <v/>
      </c>
      <c r="X4166">
        <f>IF($T4166="",N($X4165),IF(MATCH($T4166,$T$6:$T$10005,0)=ROW()-5,N($X4165)+1,N($X4165)))</f>
        <v>0</v>
      </c>
      <c r="Z4166" t="str">
        <f t="shared" ref="Z4166:Z4229" si="659">IF($V4166="","",IF($AA4166&gt;N($AA4165),$AA4166,""))</f>
        <v/>
      </c>
      <c r="AA4166">
        <f>IF($V4166="",N($AA4165),IF(MATCH($V4166,$V$6:$V$10005,0)=ROW()-5,N($AA4165)+1,N($AA4165)))</f>
        <v>0</v>
      </c>
    </row>
    <row r="4167" spans="1:27" ht="21" customHeight="1" x14ac:dyDescent="0.95">
      <c r="A4167" s="56"/>
      <c r="B4167" s="57"/>
      <c r="C4167" s="57"/>
      <c r="D4167" s="57"/>
      <c r="E4167" s="56"/>
      <c r="F4167" s="57"/>
      <c r="G4167" s="57"/>
      <c r="H4167" s="56"/>
      <c r="I4167" s="56"/>
      <c r="J4167" s="58"/>
      <c r="K4167" s="58"/>
      <c r="L4167" s="13" t="str">
        <f t="shared" si="650"/>
        <v/>
      </c>
      <c r="M4167" s="13" t="str">
        <f t="shared" si="651"/>
        <v/>
      </c>
      <c r="Q4167" t="str">
        <f t="shared" si="652"/>
        <v/>
      </c>
      <c r="R4167" t="str">
        <f t="shared" si="653"/>
        <v/>
      </c>
      <c r="S4167" t="str">
        <f t="shared" si="654"/>
        <v/>
      </c>
      <c r="T4167" t="str">
        <f t="shared" si="655"/>
        <v/>
      </c>
      <c r="U4167" t="str">
        <f t="shared" si="656"/>
        <v/>
      </c>
      <c r="V4167" t="str">
        <f t="shared" si="657"/>
        <v/>
      </c>
      <c r="W4167" t="str">
        <f t="shared" si="658"/>
        <v/>
      </c>
      <c r="X4167">
        <f>IF($T4167="",N($X4166),IF(MATCH($T4167,$T$6:$T$10005,0)=ROW()-5,N($X4166)+1,N($X4166)))</f>
        <v>0</v>
      </c>
      <c r="Z4167" t="str">
        <f t="shared" si="659"/>
        <v/>
      </c>
      <c r="AA4167">
        <f>IF($V4167="",N($AA4166),IF(MATCH($V4167,$V$6:$V$10005,0)=ROW()-5,N($AA4166)+1,N($AA4166)))</f>
        <v>0</v>
      </c>
    </row>
    <row r="4168" spans="1:27" ht="21" customHeight="1" x14ac:dyDescent="0.95">
      <c r="A4168" s="56"/>
      <c r="B4168" s="57"/>
      <c r="C4168" s="57"/>
      <c r="D4168" s="57"/>
      <c r="E4168" s="56"/>
      <c r="F4168" s="57"/>
      <c r="G4168" s="57"/>
      <c r="H4168" s="56"/>
      <c r="I4168" s="56"/>
      <c r="J4168" s="58"/>
      <c r="K4168" s="58"/>
      <c r="L4168" s="13" t="str">
        <f t="shared" si="650"/>
        <v/>
      </c>
      <c r="M4168" s="13" t="str">
        <f t="shared" si="651"/>
        <v/>
      </c>
      <c r="Q4168" t="str">
        <f t="shared" si="652"/>
        <v/>
      </c>
      <c r="R4168" t="str">
        <f t="shared" si="653"/>
        <v/>
      </c>
      <c r="S4168" t="str">
        <f t="shared" si="654"/>
        <v/>
      </c>
      <c r="T4168" t="str">
        <f t="shared" si="655"/>
        <v/>
      </c>
      <c r="U4168" t="str">
        <f t="shared" si="656"/>
        <v/>
      </c>
      <c r="V4168" t="str">
        <f t="shared" si="657"/>
        <v/>
      </c>
      <c r="W4168" t="str">
        <f t="shared" si="658"/>
        <v/>
      </c>
      <c r="X4168">
        <f>IF($T4168="",N($X4167),IF(MATCH($T4168,$T$6:$T$10005,0)=ROW()-5,N($X4167)+1,N($X4167)))</f>
        <v>0</v>
      </c>
      <c r="Z4168" t="str">
        <f t="shared" si="659"/>
        <v/>
      </c>
      <c r="AA4168">
        <f>IF($V4168="",N($AA4167),IF(MATCH($V4168,$V$6:$V$10005,0)=ROW()-5,N($AA4167)+1,N($AA4167)))</f>
        <v>0</v>
      </c>
    </row>
    <row r="4169" spans="1:27" ht="21" customHeight="1" x14ac:dyDescent="0.95">
      <c r="A4169" s="56"/>
      <c r="B4169" s="57"/>
      <c r="C4169" s="57"/>
      <c r="D4169" s="57"/>
      <c r="E4169" s="56"/>
      <c r="F4169" s="57"/>
      <c r="G4169" s="57"/>
      <c r="H4169" s="56"/>
      <c r="I4169" s="56"/>
      <c r="J4169" s="58"/>
      <c r="K4169" s="58"/>
      <c r="L4169" s="13" t="str">
        <f t="shared" si="650"/>
        <v/>
      </c>
      <c r="M4169" s="13" t="str">
        <f t="shared" si="651"/>
        <v/>
      </c>
      <c r="Q4169" t="str">
        <f t="shared" si="652"/>
        <v/>
      </c>
      <c r="R4169" t="str">
        <f t="shared" si="653"/>
        <v/>
      </c>
      <c r="S4169" t="str">
        <f t="shared" si="654"/>
        <v/>
      </c>
      <c r="T4169" t="str">
        <f t="shared" si="655"/>
        <v/>
      </c>
      <c r="U4169" t="str">
        <f t="shared" si="656"/>
        <v/>
      </c>
      <c r="V4169" t="str">
        <f t="shared" si="657"/>
        <v/>
      </c>
      <c r="W4169" t="str">
        <f t="shared" si="658"/>
        <v/>
      </c>
      <c r="X4169">
        <f>IF($T4169="",N($X4168),IF(MATCH($T4169,$T$6:$T$10005,0)=ROW()-5,N($X4168)+1,N($X4168)))</f>
        <v>0</v>
      </c>
      <c r="Z4169" t="str">
        <f t="shared" si="659"/>
        <v/>
      </c>
      <c r="AA4169">
        <f>IF($V4169="",N($AA4168),IF(MATCH($V4169,$V$6:$V$10005,0)=ROW()-5,N($AA4168)+1,N($AA4168)))</f>
        <v>0</v>
      </c>
    </row>
    <row r="4170" spans="1:27" ht="21" customHeight="1" x14ac:dyDescent="0.95">
      <c r="A4170" s="56"/>
      <c r="B4170" s="57"/>
      <c r="C4170" s="57"/>
      <c r="D4170" s="57"/>
      <c r="E4170" s="56"/>
      <c r="F4170" s="57"/>
      <c r="G4170" s="57"/>
      <c r="H4170" s="56"/>
      <c r="I4170" s="56"/>
      <c r="J4170" s="58"/>
      <c r="K4170" s="58"/>
      <c r="L4170" s="13" t="str">
        <f t="shared" si="650"/>
        <v/>
      </c>
      <c r="M4170" s="13" t="str">
        <f t="shared" si="651"/>
        <v/>
      </c>
      <c r="Q4170" t="str">
        <f t="shared" si="652"/>
        <v/>
      </c>
      <c r="R4170" t="str">
        <f t="shared" si="653"/>
        <v/>
      </c>
      <c r="S4170" t="str">
        <f t="shared" si="654"/>
        <v/>
      </c>
      <c r="T4170" t="str">
        <f t="shared" si="655"/>
        <v/>
      </c>
      <c r="U4170" t="str">
        <f t="shared" si="656"/>
        <v/>
      </c>
      <c r="V4170" t="str">
        <f t="shared" si="657"/>
        <v/>
      </c>
      <c r="W4170" t="str">
        <f t="shared" si="658"/>
        <v/>
      </c>
      <c r="X4170">
        <f>IF($T4170="",N($X4169),IF(MATCH($T4170,$T$6:$T$10005,0)=ROW()-5,N($X4169)+1,N($X4169)))</f>
        <v>0</v>
      </c>
      <c r="Z4170" t="str">
        <f t="shared" si="659"/>
        <v/>
      </c>
      <c r="AA4170">
        <f>IF($V4170="",N($AA4169),IF(MATCH($V4170,$V$6:$V$10005,0)=ROW()-5,N($AA4169)+1,N($AA4169)))</f>
        <v>0</v>
      </c>
    </row>
    <row r="4171" spans="1:27" ht="21" customHeight="1" x14ac:dyDescent="0.95">
      <c r="A4171" s="56"/>
      <c r="B4171" s="57"/>
      <c r="C4171" s="57"/>
      <c r="D4171" s="57"/>
      <c r="E4171" s="56"/>
      <c r="F4171" s="57"/>
      <c r="G4171" s="57"/>
      <c r="H4171" s="56"/>
      <c r="I4171" s="56"/>
      <c r="J4171" s="58"/>
      <c r="K4171" s="58"/>
      <c r="L4171" s="13" t="str">
        <f t="shared" si="650"/>
        <v/>
      </c>
      <c r="M4171" s="13" t="str">
        <f t="shared" si="651"/>
        <v/>
      </c>
      <c r="Q4171" t="str">
        <f t="shared" si="652"/>
        <v/>
      </c>
      <c r="R4171" t="str">
        <f t="shared" si="653"/>
        <v/>
      </c>
      <c r="S4171" t="str">
        <f t="shared" si="654"/>
        <v/>
      </c>
      <c r="T4171" t="str">
        <f t="shared" si="655"/>
        <v/>
      </c>
      <c r="U4171" t="str">
        <f t="shared" si="656"/>
        <v/>
      </c>
      <c r="V4171" t="str">
        <f t="shared" si="657"/>
        <v/>
      </c>
      <c r="W4171" t="str">
        <f t="shared" si="658"/>
        <v/>
      </c>
      <c r="X4171">
        <f>IF($T4171="",N($X4170),IF(MATCH($T4171,$T$6:$T$10005,0)=ROW()-5,N($X4170)+1,N($X4170)))</f>
        <v>0</v>
      </c>
      <c r="Z4171" t="str">
        <f t="shared" si="659"/>
        <v/>
      </c>
      <c r="AA4171">
        <f>IF($V4171="",N($AA4170),IF(MATCH($V4171,$V$6:$V$10005,0)=ROW()-5,N($AA4170)+1,N($AA4170)))</f>
        <v>0</v>
      </c>
    </row>
    <row r="4172" spans="1:27" ht="21" customHeight="1" x14ac:dyDescent="0.95">
      <c r="A4172" s="56"/>
      <c r="B4172" s="57"/>
      <c r="C4172" s="57"/>
      <c r="D4172" s="57"/>
      <c r="E4172" s="56"/>
      <c r="F4172" s="57"/>
      <c r="G4172" s="57"/>
      <c r="H4172" s="56"/>
      <c r="I4172" s="56"/>
      <c r="J4172" s="58"/>
      <c r="K4172" s="58"/>
      <c r="L4172" s="13" t="str">
        <f t="shared" si="650"/>
        <v/>
      </c>
      <c r="M4172" s="13" t="str">
        <f t="shared" si="651"/>
        <v/>
      </c>
      <c r="Q4172" t="str">
        <f t="shared" si="652"/>
        <v/>
      </c>
      <c r="R4172" t="str">
        <f t="shared" si="653"/>
        <v/>
      </c>
      <c r="S4172" t="str">
        <f t="shared" si="654"/>
        <v/>
      </c>
      <c r="T4172" t="str">
        <f t="shared" si="655"/>
        <v/>
      </c>
      <c r="U4172" t="str">
        <f t="shared" si="656"/>
        <v/>
      </c>
      <c r="V4172" t="str">
        <f t="shared" si="657"/>
        <v/>
      </c>
      <c r="W4172" t="str">
        <f t="shared" si="658"/>
        <v/>
      </c>
      <c r="X4172">
        <f>IF($T4172="",N($X4171),IF(MATCH($T4172,$T$6:$T$10005,0)=ROW()-5,N($X4171)+1,N($X4171)))</f>
        <v>0</v>
      </c>
      <c r="Z4172" t="str">
        <f t="shared" si="659"/>
        <v/>
      </c>
      <c r="AA4172">
        <f>IF($V4172="",N($AA4171),IF(MATCH($V4172,$V$6:$V$10005,0)=ROW()-5,N($AA4171)+1,N($AA4171)))</f>
        <v>0</v>
      </c>
    </row>
    <row r="4173" spans="1:27" ht="21" customHeight="1" x14ac:dyDescent="0.95">
      <c r="A4173" s="56"/>
      <c r="B4173" s="57"/>
      <c r="C4173" s="57"/>
      <c r="D4173" s="57"/>
      <c r="E4173" s="56"/>
      <c r="F4173" s="57"/>
      <c r="G4173" s="57"/>
      <c r="H4173" s="56"/>
      <c r="I4173" s="56"/>
      <c r="J4173" s="58"/>
      <c r="K4173" s="58"/>
      <c r="L4173" s="13" t="str">
        <f t="shared" si="650"/>
        <v/>
      </c>
      <c r="M4173" s="13" t="str">
        <f t="shared" si="651"/>
        <v/>
      </c>
      <c r="Q4173" t="str">
        <f t="shared" si="652"/>
        <v/>
      </c>
      <c r="R4173" t="str">
        <f t="shared" si="653"/>
        <v/>
      </c>
      <c r="S4173" t="str">
        <f t="shared" si="654"/>
        <v/>
      </c>
      <c r="T4173" t="str">
        <f t="shared" si="655"/>
        <v/>
      </c>
      <c r="U4173" t="str">
        <f t="shared" si="656"/>
        <v/>
      </c>
      <c r="V4173" t="str">
        <f t="shared" si="657"/>
        <v/>
      </c>
      <c r="W4173" t="str">
        <f t="shared" si="658"/>
        <v/>
      </c>
      <c r="X4173">
        <f>IF($T4173="",N($X4172),IF(MATCH($T4173,$T$6:$T$10005,0)=ROW()-5,N($X4172)+1,N($X4172)))</f>
        <v>0</v>
      </c>
      <c r="Z4173" t="str">
        <f t="shared" si="659"/>
        <v/>
      </c>
      <c r="AA4173">
        <f>IF($V4173="",N($AA4172),IF(MATCH($V4173,$V$6:$V$10005,0)=ROW()-5,N($AA4172)+1,N($AA4172)))</f>
        <v>0</v>
      </c>
    </row>
    <row r="4174" spans="1:27" ht="21" customHeight="1" x14ac:dyDescent="0.95">
      <c r="A4174" s="56"/>
      <c r="B4174" s="57"/>
      <c r="C4174" s="57"/>
      <c r="D4174" s="57"/>
      <c r="E4174" s="56"/>
      <c r="F4174" s="57"/>
      <c r="G4174" s="57"/>
      <c r="H4174" s="56"/>
      <c r="I4174" s="56"/>
      <c r="J4174" s="58"/>
      <c r="K4174" s="58"/>
      <c r="L4174" s="13" t="str">
        <f t="shared" si="650"/>
        <v/>
      </c>
      <c r="M4174" s="13" t="str">
        <f t="shared" si="651"/>
        <v/>
      </c>
      <c r="Q4174" t="str">
        <f t="shared" si="652"/>
        <v/>
      </c>
      <c r="R4174" t="str">
        <f t="shared" si="653"/>
        <v/>
      </c>
      <c r="S4174" t="str">
        <f t="shared" si="654"/>
        <v/>
      </c>
      <c r="T4174" t="str">
        <f t="shared" si="655"/>
        <v/>
      </c>
      <c r="U4174" t="str">
        <f t="shared" si="656"/>
        <v/>
      </c>
      <c r="V4174" t="str">
        <f t="shared" si="657"/>
        <v/>
      </c>
      <c r="W4174" t="str">
        <f t="shared" si="658"/>
        <v/>
      </c>
      <c r="X4174">
        <f>IF($T4174="",N($X4173),IF(MATCH($T4174,$T$6:$T$10005,0)=ROW()-5,N($X4173)+1,N($X4173)))</f>
        <v>0</v>
      </c>
      <c r="Z4174" t="str">
        <f t="shared" si="659"/>
        <v/>
      </c>
      <c r="AA4174">
        <f>IF($V4174="",N($AA4173),IF(MATCH($V4174,$V$6:$V$10005,0)=ROW()-5,N($AA4173)+1,N($AA4173)))</f>
        <v>0</v>
      </c>
    </row>
    <row r="4175" spans="1:27" ht="21" customHeight="1" x14ac:dyDescent="0.95">
      <c r="A4175" s="56"/>
      <c r="B4175" s="57"/>
      <c r="C4175" s="57"/>
      <c r="D4175" s="57"/>
      <c r="E4175" s="56"/>
      <c r="F4175" s="57"/>
      <c r="G4175" s="57"/>
      <c r="H4175" s="56"/>
      <c r="I4175" s="56"/>
      <c r="J4175" s="58"/>
      <c r="K4175" s="58"/>
      <c r="L4175" s="13" t="str">
        <f t="shared" si="650"/>
        <v/>
      </c>
      <c r="M4175" s="13" t="str">
        <f t="shared" si="651"/>
        <v/>
      </c>
      <c r="Q4175" t="str">
        <f t="shared" si="652"/>
        <v/>
      </c>
      <c r="R4175" t="str">
        <f t="shared" si="653"/>
        <v/>
      </c>
      <c r="S4175" t="str">
        <f t="shared" si="654"/>
        <v/>
      </c>
      <c r="T4175" t="str">
        <f t="shared" si="655"/>
        <v/>
      </c>
      <c r="U4175" t="str">
        <f t="shared" si="656"/>
        <v/>
      </c>
      <c r="V4175" t="str">
        <f t="shared" si="657"/>
        <v/>
      </c>
      <c r="W4175" t="str">
        <f t="shared" si="658"/>
        <v/>
      </c>
      <c r="X4175">
        <f>IF($T4175="",N($X4174),IF(MATCH($T4175,$T$6:$T$10005,0)=ROW()-5,N($X4174)+1,N($X4174)))</f>
        <v>0</v>
      </c>
      <c r="Z4175" t="str">
        <f t="shared" si="659"/>
        <v/>
      </c>
      <c r="AA4175">
        <f>IF($V4175="",N($AA4174),IF(MATCH($V4175,$V$6:$V$10005,0)=ROW()-5,N($AA4174)+1,N($AA4174)))</f>
        <v>0</v>
      </c>
    </row>
    <row r="4176" spans="1:27" ht="21" customHeight="1" x14ac:dyDescent="0.95">
      <c r="A4176" s="56"/>
      <c r="B4176" s="57"/>
      <c r="C4176" s="57"/>
      <c r="D4176" s="57"/>
      <c r="E4176" s="56"/>
      <c r="F4176" s="57"/>
      <c r="G4176" s="57"/>
      <c r="H4176" s="56"/>
      <c r="I4176" s="56"/>
      <c r="J4176" s="58"/>
      <c r="K4176" s="58"/>
      <c r="L4176" s="13" t="str">
        <f t="shared" si="650"/>
        <v/>
      </c>
      <c r="M4176" s="13" t="str">
        <f t="shared" si="651"/>
        <v/>
      </c>
      <c r="Q4176" t="str">
        <f t="shared" si="652"/>
        <v/>
      </c>
      <c r="R4176" t="str">
        <f t="shared" si="653"/>
        <v/>
      </c>
      <c r="S4176" t="str">
        <f t="shared" si="654"/>
        <v/>
      </c>
      <c r="T4176" t="str">
        <f t="shared" si="655"/>
        <v/>
      </c>
      <c r="U4176" t="str">
        <f t="shared" si="656"/>
        <v/>
      </c>
      <c r="V4176" t="str">
        <f t="shared" si="657"/>
        <v/>
      </c>
      <c r="W4176" t="str">
        <f t="shared" si="658"/>
        <v/>
      </c>
      <c r="X4176">
        <f>IF($T4176="",N($X4175),IF(MATCH($T4176,$T$6:$T$10005,0)=ROW()-5,N($X4175)+1,N($X4175)))</f>
        <v>0</v>
      </c>
      <c r="Z4176" t="str">
        <f t="shared" si="659"/>
        <v/>
      </c>
      <c r="AA4176">
        <f>IF($V4176="",N($AA4175),IF(MATCH($V4176,$V$6:$V$10005,0)=ROW()-5,N($AA4175)+1,N($AA4175)))</f>
        <v>0</v>
      </c>
    </row>
    <row r="4177" spans="1:27" ht="21" customHeight="1" x14ac:dyDescent="0.95">
      <c r="A4177" s="56"/>
      <c r="B4177" s="57"/>
      <c r="C4177" s="57"/>
      <c r="D4177" s="57"/>
      <c r="E4177" s="56"/>
      <c r="F4177" s="57"/>
      <c r="G4177" s="57"/>
      <c r="H4177" s="56"/>
      <c r="I4177" s="56"/>
      <c r="J4177" s="58"/>
      <c r="K4177" s="58"/>
      <c r="L4177" s="13" t="str">
        <f t="shared" si="650"/>
        <v/>
      </c>
      <c r="M4177" s="13" t="str">
        <f t="shared" si="651"/>
        <v/>
      </c>
      <c r="Q4177" t="str">
        <f t="shared" si="652"/>
        <v/>
      </c>
      <c r="R4177" t="str">
        <f t="shared" si="653"/>
        <v/>
      </c>
      <c r="S4177" t="str">
        <f t="shared" si="654"/>
        <v/>
      </c>
      <c r="T4177" t="str">
        <f t="shared" si="655"/>
        <v/>
      </c>
      <c r="U4177" t="str">
        <f t="shared" si="656"/>
        <v/>
      </c>
      <c r="V4177" t="str">
        <f t="shared" si="657"/>
        <v/>
      </c>
      <c r="W4177" t="str">
        <f t="shared" si="658"/>
        <v/>
      </c>
      <c r="X4177">
        <f>IF($T4177="",N($X4176),IF(MATCH($T4177,$T$6:$T$10005,0)=ROW()-5,N($X4176)+1,N($X4176)))</f>
        <v>0</v>
      </c>
      <c r="Z4177" t="str">
        <f t="shared" si="659"/>
        <v/>
      </c>
      <c r="AA4177">
        <f>IF($V4177="",N($AA4176),IF(MATCH($V4177,$V$6:$V$10005,0)=ROW()-5,N($AA4176)+1,N($AA4176)))</f>
        <v>0</v>
      </c>
    </row>
    <row r="4178" spans="1:27" ht="21" customHeight="1" x14ac:dyDescent="0.95">
      <c r="A4178" s="56"/>
      <c r="B4178" s="57"/>
      <c r="C4178" s="57"/>
      <c r="D4178" s="57"/>
      <c r="E4178" s="56"/>
      <c r="F4178" s="57"/>
      <c r="G4178" s="57"/>
      <c r="H4178" s="56"/>
      <c r="I4178" s="56"/>
      <c r="J4178" s="58"/>
      <c r="K4178" s="58"/>
      <c r="L4178" s="13" t="str">
        <f t="shared" si="650"/>
        <v/>
      </c>
      <c r="M4178" s="13" t="str">
        <f t="shared" si="651"/>
        <v/>
      </c>
      <c r="Q4178" t="str">
        <f t="shared" si="652"/>
        <v/>
      </c>
      <c r="R4178" t="str">
        <f t="shared" si="653"/>
        <v/>
      </c>
      <c r="S4178" t="str">
        <f t="shared" si="654"/>
        <v/>
      </c>
      <c r="T4178" t="str">
        <f t="shared" si="655"/>
        <v/>
      </c>
      <c r="U4178" t="str">
        <f t="shared" si="656"/>
        <v/>
      </c>
      <c r="V4178" t="str">
        <f t="shared" si="657"/>
        <v/>
      </c>
      <c r="W4178" t="str">
        <f t="shared" si="658"/>
        <v/>
      </c>
      <c r="X4178">
        <f>IF($T4178="",N($X4177),IF(MATCH($T4178,$T$6:$T$10005,0)=ROW()-5,N($X4177)+1,N($X4177)))</f>
        <v>0</v>
      </c>
      <c r="Z4178" t="str">
        <f t="shared" si="659"/>
        <v/>
      </c>
      <c r="AA4178">
        <f>IF($V4178="",N($AA4177),IF(MATCH($V4178,$V$6:$V$10005,0)=ROW()-5,N($AA4177)+1,N($AA4177)))</f>
        <v>0</v>
      </c>
    </row>
    <row r="4179" spans="1:27" ht="21" customHeight="1" x14ac:dyDescent="0.95">
      <c r="A4179" s="56"/>
      <c r="B4179" s="57"/>
      <c r="C4179" s="57"/>
      <c r="D4179" s="57"/>
      <c r="E4179" s="56"/>
      <c r="F4179" s="57"/>
      <c r="G4179" s="57"/>
      <c r="H4179" s="56"/>
      <c r="I4179" s="56"/>
      <c r="J4179" s="58"/>
      <c r="K4179" s="58"/>
      <c r="L4179" s="13" t="str">
        <f t="shared" si="650"/>
        <v/>
      </c>
      <c r="M4179" s="13" t="str">
        <f t="shared" si="651"/>
        <v/>
      </c>
      <c r="Q4179" t="str">
        <f t="shared" si="652"/>
        <v/>
      </c>
      <c r="R4179" t="str">
        <f t="shared" si="653"/>
        <v/>
      </c>
      <c r="S4179" t="str">
        <f t="shared" si="654"/>
        <v/>
      </c>
      <c r="T4179" t="str">
        <f t="shared" si="655"/>
        <v/>
      </c>
      <c r="U4179" t="str">
        <f t="shared" si="656"/>
        <v/>
      </c>
      <c r="V4179" t="str">
        <f t="shared" si="657"/>
        <v/>
      </c>
      <c r="W4179" t="str">
        <f t="shared" si="658"/>
        <v/>
      </c>
      <c r="X4179">
        <f>IF($T4179="",N($X4178),IF(MATCH($T4179,$T$6:$T$10005,0)=ROW()-5,N($X4178)+1,N($X4178)))</f>
        <v>0</v>
      </c>
      <c r="Z4179" t="str">
        <f t="shared" si="659"/>
        <v/>
      </c>
      <c r="AA4179">
        <f>IF($V4179="",N($AA4178),IF(MATCH($V4179,$V$6:$V$10005,0)=ROW()-5,N($AA4178)+1,N($AA4178)))</f>
        <v>0</v>
      </c>
    </row>
    <row r="4180" spans="1:27" ht="21" customHeight="1" x14ac:dyDescent="0.95">
      <c r="A4180" s="56"/>
      <c r="B4180" s="57"/>
      <c r="C4180" s="57"/>
      <c r="D4180" s="57"/>
      <c r="E4180" s="56"/>
      <c r="F4180" s="57"/>
      <c r="G4180" s="57"/>
      <c r="H4180" s="56"/>
      <c r="I4180" s="56"/>
      <c r="J4180" s="58"/>
      <c r="K4180" s="58"/>
      <c r="L4180" s="13" t="str">
        <f t="shared" si="650"/>
        <v/>
      </c>
      <c r="M4180" s="13" t="str">
        <f t="shared" si="651"/>
        <v/>
      </c>
      <c r="Q4180" t="str">
        <f t="shared" si="652"/>
        <v/>
      </c>
      <c r="R4180" t="str">
        <f t="shared" si="653"/>
        <v/>
      </c>
      <c r="S4180" t="str">
        <f t="shared" si="654"/>
        <v/>
      </c>
      <c r="T4180" t="str">
        <f t="shared" si="655"/>
        <v/>
      </c>
      <c r="U4180" t="str">
        <f t="shared" si="656"/>
        <v/>
      </c>
      <c r="V4180" t="str">
        <f t="shared" si="657"/>
        <v/>
      </c>
      <c r="W4180" t="str">
        <f t="shared" si="658"/>
        <v/>
      </c>
      <c r="X4180">
        <f>IF($T4180="",N($X4179),IF(MATCH($T4180,$T$6:$T$10005,0)=ROW()-5,N($X4179)+1,N($X4179)))</f>
        <v>0</v>
      </c>
      <c r="Z4180" t="str">
        <f t="shared" si="659"/>
        <v/>
      </c>
      <c r="AA4180">
        <f>IF($V4180="",N($AA4179),IF(MATCH($V4180,$V$6:$V$10005,0)=ROW()-5,N($AA4179)+1,N($AA4179)))</f>
        <v>0</v>
      </c>
    </row>
    <row r="4181" spans="1:27" ht="21" customHeight="1" x14ac:dyDescent="0.95">
      <c r="A4181" s="56"/>
      <c r="B4181" s="57"/>
      <c r="C4181" s="57"/>
      <c r="D4181" s="57"/>
      <c r="E4181" s="56"/>
      <c r="F4181" s="57"/>
      <c r="G4181" s="57"/>
      <c r="H4181" s="56"/>
      <c r="I4181" s="56"/>
      <c r="J4181" s="58"/>
      <c r="K4181" s="58"/>
      <c r="L4181" s="13" t="str">
        <f t="shared" si="650"/>
        <v/>
      </c>
      <c r="M4181" s="13" t="str">
        <f t="shared" si="651"/>
        <v/>
      </c>
      <c r="Q4181" t="str">
        <f t="shared" si="652"/>
        <v/>
      </c>
      <c r="R4181" t="str">
        <f t="shared" si="653"/>
        <v/>
      </c>
      <c r="S4181" t="str">
        <f t="shared" si="654"/>
        <v/>
      </c>
      <c r="T4181" t="str">
        <f t="shared" si="655"/>
        <v/>
      </c>
      <c r="U4181" t="str">
        <f t="shared" si="656"/>
        <v/>
      </c>
      <c r="V4181" t="str">
        <f t="shared" si="657"/>
        <v/>
      </c>
      <c r="W4181" t="str">
        <f t="shared" si="658"/>
        <v/>
      </c>
      <c r="X4181">
        <f>IF($T4181="",N($X4180),IF(MATCH($T4181,$T$6:$T$10005,0)=ROW()-5,N($X4180)+1,N($X4180)))</f>
        <v>0</v>
      </c>
      <c r="Z4181" t="str">
        <f t="shared" si="659"/>
        <v/>
      </c>
      <c r="AA4181">
        <f>IF($V4181="",N($AA4180),IF(MATCH($V4181,$V$6:$V$10005,0)=ROW()-5,N($AA4180)+1,N($AA4180)))</f>
        <v>0</v>
      </c>
    </row>
    <row r="4182" spans="1:27" ht="21" customHeight="1" x14ac:dyDescent="0.95">
      <c r="A4182" s="56"/>
      <c r="B4182" s="57"/>
      <c r="C4182" s="57"/>
      <c r="D4182" s="57"/>
      <c r="E4182" s="56"/>
      <c r="F4182" s="57"/>
      <c r="G4182" s="57"/>
      <c r="H4182" s="56"/>
      <c r="I4182" s="56"/>
      <c r="J4182" s="58"/>
      <c r="K4182" s="58"/>
      <c r="L4182" s="13" t="str">
        <f t="shared" si="650"/>
        <v/>
      </c>
      <c r="M4182" s="13" t="str">
        <f t="shared" si="651"/>
        <v/>
      </c>
      <c r="Q4182" t="str">
        <f t="shared" si="652"/>
        <v/>
      </c>
      <c r="R4182" t="str">
        <f t="shared" si="653"/>
        <v/>
      </c>
      <c r="S4182" t="str">
        <f t="shared" si="654"/>
        <v/>
      </c>
      <c r="T4182" t="str">
        <f t="shared" si="655"/>
        <v/>
      </c>
      <c r="U4182" t="str">
        <f t="shared" si="656"/>
        <v/>
      </c>
      <c r="V4182" t="str">
        <f t="shared" si="657"/>
        <v/>
      </c>
      <c r="W4182" t="str">
        <f t="shared" si="658"/>
        <v/>
      </c>
      <c r="X4182">
        <f>IF($T4182="",N($X4181),IF(MATCH($T4182,$T$6:$T$10005,0)=ROW()-5,N($X4181)+1,N($X4181)))</f>
        <v>0</v>
      </c>
      <c r="Z4182" t="str">
        <f t="shared" si="659"/>
        <v/>
      </c>
      <c r="AA4182">
        <f>IF($V4182="",N($AA4181),IF(MATCH($V4182,$V$6:$V$10005,0)=ROW()-5,N($AA4181)+1,N($AA4181)))</f>
        <v>0</v>
      </c>
    </row>
    <row r="4183" spans="1:27" ht="21" customHeight="1" x14ac:dyDescent="0.95">
      <c r="A4183" s="56"/>
      <c r="B4183" s="57"/>
      <c r="C4183" s="57"/>
      <c r="D4183" s="57"/>
      <c r="E4183" s="56"/>
      <c r="F4183" s="57"/>
      <c r="G4183" s="57"/>
      <c r="H4183" s="56"/>
      <c r="I4183" s="56"/>
      <c r="J4183" s="58"/>
      <c r="K4183" s="58"/>
      <c r="L4183" s="13" t="str">
        <f t="shared" si="650"/>
        <v/>
      </c>
      <c r="M4183" s="13" t="str">
        <f t="shared" si="651"/>
        <v/>
      </c>
      <c r="Q4183" t="str">
        <f t="shared" si="652"/>
        <v/>
      </c>
      <c r="R4183" t="str">
        <f t="shared" si="653"/>
        <v/>
      </c>
      <c r="S4183" t="str">
        <f t="shared" si="654"/>
        <v/>
      </c>
      <c r="T4183" t="str">
        <f t="shared" si="655"/>
        <v/>
      </c>
      <c r="U4183" t="str">
        <f t="shared" si="656"/>
        <v/>
      </c>
      <c r="V4183" t="str">
        <f t="shared" si="657"/>
        <v/>
      </c>
      <c r="W4183" t="str">
        <f t="shared" si="658"/>
        <v/>
      </c>
      <c r="X4183">
        <f>IF($T4183="",N($X4182),IF(MATCH($T4183,$T$6:$T$10005,0)=ROW()-5,N($X4182)+1,N($X4182)))</f>
        <v>0</v>
      </c>
      <c r="Z4183" t="str">
        <f t="shared" si="659"/>
        <v/>
      </c>
      <c r="AA4183">
        <f>IF($V4183="",N($AA4182),IF(MATCH($V4183,$V$6:$V$10005,0)=ROW()-5,N($AA4182)+1,N($AA4182)))</f>
        <v>0</v>
      </c>
    </row>
    <row r="4184" spans="1:27" ht="21" customHeight="1" x14ac:dyDescent="0.95">
      <c r="A4184" s="56"/>
      <c r="B4184" s="57"/>
      <c r="C4184" s="57"/>
      <c r="D4184" s="57"/>
      <c r="E4184" s="56"/>
      <c r="F4184" s="57"/>
      <c r="G4184" s="57"/>
      <c r="H4184" s="56"/>
      <c r="I4184" s="56"/>
      <c r="J4184" s="58"/>
      <c r="K4184" s="58"/>
      <c r="L4184" s="13" t="str">
        <f t="shared" si="650"/>
        <v/>
      </c>
      <c r="M4184" s="13" t="str">
        <f t="shared" si="651"/>
        <v/>
      </c>
      <c r="Q4184" t="str">
        <f t="shared" si="652"/>
        <v/>
      </c>
      <c r="R4184" t="str">
        <f t="shared" si="653"/>
        <v/>
      </c>
      <c r="S4184" t="str">
        <f t="shared" si="654"/>
        <v/>
      </c>
      <c r="T4184" t="str">
        <f t="shared" si="655"/>
        <v/>
      </c>
      <c r="U4184" t="str">
        <f t="shared" si="656"/>
        <v/>
      </c>
      <c r="V4184" t="str">
        <f t="shared" si="657"/>
        <v/>
      </c>
      <c r="W4184" t="str">
        <f t="shared" si="658"/>
        <v/>
      </c>
      <c r="X4184">
        <f>IF($T4184="",N($X4183),IF(MATCH($T4184,$T$6:$T$10005,0)=ROW()-5,N($X4183)+1,N($X4183)))</f>
        <v>0</v>
      </c>
      <c r="Z4184" t="str">
        <f t="shared" si="659"/>
        <v/>
      </c>
      <c r="AA4184">
        <f>IF($V4184="",N($AA4183),IF(MATCH($V4184,$V$6:$V$10005,0)=ROW()-5,N($AA4183)+1,N($AA4183)))</f>
        <v>0</v>
      </c>
    </row>
    <row r="4185" spans="1:27" ht="21" customHeight="1" x14ac:dyDescent="0.95">
      <c r="A4185" s="56"/>
      <c r="B4185" s="57"/>
      <c r="C4185" s="57"/>
      <c r="D4185" s="57"/>
      <c r="E4185" s="56"/>
      <c r="F4185" s="57"/>
      <c r="G4185" s="57"/>
      <c r="H4185" s="56"/>
      <c r="I4185" s="56"/>
      <c r="J4185" s="58"/>
      <c r="K4185" s="58"/>
      <c r="L4185" s="13" t="str">
        <f t="shared" si="650"/>
        <v/>
      </c>
      <c r="M4185" s="13" t="str">
        <f t="shared" si="651"/>
        <v/>
      </c>
      <c r="Q4185" t="str">
        <f t="shared" si="652"/>
        <v/>
      </c>
      <c r="R4185" t="str">
        <f t="shared" si="653"/>
        <v/>
      </c>
      <c r="S4185" t="str">
        <f t="shared" si="654"/>
        <v/>
      </c>
      <c r="T4185" t="str">
        <f t="shared" si="655"/>
        <v/>
      </c>
      <c r="U4185" t="str">
        <f t="shared" si="656"/>
        <v/>
      </c>
      <c r="V4185" t="str">
        <f t="shared" si="657"/>
        <v/>
      </c>
      <c r="W4185" t="str">
        <f t="shared" si="658"/>
        <v/>
      </c>
      <c r="X4185">
        <f>IF($T4185="",N($X4184),IF(MATCH($T4185,$T$6:$T$10005,0)=ROW()-5,N($X4184)+1,N($X4184)))</f>
        <v>0</v>
      </c>
      <c r="Z4185" t="str">
        <f t="shared" si="659"/>
        <v/>
      </c>
      <c r="AA4185">
        <f>IF($V4185="",N($AA4184),IF(MATCH($V4185,$V$6:$V$10005,0)=ROW()-5,N($AA4184)+1,N($AA4184)))</f>
        <v>0</v>
      </c>
    </row>
    <row r="4186" spans="1:27" ht="21" customHeight="1" x14ac:dyDescent="0.95">
      <c r="A4186" s="56"/>
      <c r="B4186" s="57"/>
      <c r="C4186" s="57"/>
      <c r="D4186" s="57"/>
      <c r="E4186" s="56"/>
      <c r="F4186" s="57"/>
      <c r="G4186" s="57"/>
      <c r="H4186" s="56"/>
      <c r="I4186" s="56"/>
      <c r="J4186" s="58"/>
      <c r="K4186" s="58"/>
      <c r="L4186" s="13" t="str">
        <f t="shared" si="650"/>
        <v/>
      </c>
      <c r="M4186" s="13" t="str">
        <f t="shared" si="651"/>
        <v/>
      </c>
      <c r="Q4186" t="str">
        <f t="shared" si="652"/>
        <v/>
      </c>
      <c r="R4186" t="str">
        <f t="shared" si="653"/>
        <v/>
      </c>
      <c r="S4186" t="str">
        <f t="shared" si="654"/>
        <v/>
      </c>
      <c r="T4186" t="str">
        <f t="shared" si="655"/>
        <v/>
      </c>
      <c r="U4186" t="str">
        <f t="shared" si="656"/>
        <v/>
      </c>
      <c r="V4186" t="str">
        <f t="shared" si="657"/>
        <v/>
      </c>
      <c r="W4186" t="str">
        <f t="shared" si="658"/>
        <v/>
      </c>
      <c r="X4186">
        <f>IF($T4186="",N($X4185),IF(MATCH($T4186,$T$6:$T$10005,0)=ROW()-5,N($X4185)+1,N($X4185)))</f>
        <v>0</v>
      </c>
      <c r="Z4186" t="str">
        <f t="shared" si="659"/>
        <v/>
      </c>
      <c r="AA4186">
        <f>IF($V4186="",N($AA4185),IF(MATCH($V4186,$V$6:$V$10005,0)=ROW()-5,N($AA4185)+1,N($AA4185)))</f>
        <v>0</v>
      </c>
    </row>
    <row r="4187" spans="1:27" ht="21" customHeight="1" x14ac:dyDescent="0.95">
      <c r="A4187" s="56"/>
      <c r="B4187" s="57"/>
      <c r="C4187" s="57"/>
      <c r="D4187" s="57"/>
      <c r="E4187" s="56"/>
      <c r="F4187" s="57"/>
      <c r="G4187" s="57"/>
      <c r="H4187" s="56"/>
      <c r="I4187" s="56"/>
      <c r="J4187" s="58"/>
      <c r="K4187" s="58"/>
      <c r="L4187" s="13" t="str">
        <f t="shared" si="650"/>
        <v/>
      </c>
      <c r="M4187" s="13" t="str">
        <f t="shared" si="651"/>
        <v/>
      </c>
      <c r="Q4187" t="str">
        <f t="shared" si="652"/>
        <v/>
      </c>
      <c r="R4187" t="str">
        <f t="shared" si="653"/>
        <v/>
      </c>
      <c r="S4187" t="str">
        <f t="shared" si="654"/>
        <v/>
      </c>
      <c r="T4187" t="str">
        <f t="shared" si="655"/>
        <v/>
      </c>
      <c r="U4187" t="str">
        <f t="shared" si="656"/>
        <v/>
      </c>
      <c r="V4187" t="str">
        <f t="shared" si="657"/>
        <v/>
      </c>
      <c r="W4187" t="str">
        <f t="shared" si="658"/>
        <v/>
      </c>
      <c r="X4187">
        <f>IF($T4187="",N($X4186),IF(MATCH($T4187,$T$6:$T$10005,0)=ROW()-5,N($X4186)+1,N($X4186)))</f>
        <v>0</v>
      </c>
      <c r="Z4187" t="str">
        <f t="shared" si="659"/>
        <v/>
      </c>
      <c r="AA4187">
        <f>IF($V4187="",N($AA4186),IF(MATCH($V4187,$V$6:$V$10005,0)=ROW()-5,N($AA4186)+1,N($AA4186)))</f>
        <v>0</v>
      </c>
    </row>
    <row r="4188" spans="1:27" ht="21" customHeight="1" x14ac:dyDescent="0.95">
      <c r="A4188" s="56"/>
      <c r="B4188" s="57"/>
      <c r="C4188" s="57"/>
      <c r="D4188" s="57"/>
      <c r="E4188" s="56"/>
      <c r="F4188" s="57"/>
      <c r="G4188" s="57"/>
      <c r="H4188" s="56"/>
      <c r="I4188" s="56"/>
      <c r="J4188" s="58"/>
      <c r="K4188" s="58"/>
      <c r="L4188" s="13" t="str">
        <f t="shared" si="650"/>
        <v/>
      </c>
      <c r="M4188" s="13" t="str">
        <f t="shared" si="651"/>
        <v/>
      </c>
      <c r="Q4188" t="str">
        <f t="shared" si="652"/>
        <v/>
      </c>
      <c r="R4188" t="str">
        <f t="shared" si="653"/>
        <v/>
      </c>
      <c r="S4188" t="str">
        <f t="shared" si="654"/>
        <v/>
      </c>
      <c r="T4188" t="str">
        <f t="shared" si="655"/>
        <v/>
      </c>
      <c r="U4188" t="str">
        <f t="shared" si="656"/>
        <v/>
      </c>
      <c r="V4188" t="str">
        <f t="shared" si="657"/>
        <v/>
      </c>
      <c r="W4188" t="str">
        <f t="shared" si="658"/>
        <v/>
      </c>
      <c r="X4188">
        <f>IF($T4188="",N($X4187),IF(MATCH($T4188,$T$6:$T$10005,0)=ROW()-5,N($X4187)+1,N($X4187)))</f>
        <v>0</v>
      </c>
      <c r="Z4188" t="str">
        <f t="shared" si="659"/>
        <v/>
      </c>
      <c r="AA4188">
        <f>IF($V4188="",N($AA4187),IF(MATCH($V4188,$V$6:$V$10005,0)=ROW()-5,N($AA4187)+1,N($AA4187)))</f>
        <v>0</v>
      </c>
    </row>
    <row r="4189" spans="1:27" ht="21" customHeight="1" x14ac:dyDescent="0.95">
      <c r="A4189" s="56"/>
      <c r="B4189" s="57"/>
      <c r="C4189" s="57"/>
      <c r="D4189" s="57"/>
      <c r="E4189" s="56"/>
      <c r="F4189" s="57"/>
      <c r="G4189" s="57"/>
      <c r="H4189" s="56"/>
      <c r="I4189" s="56"/>
      <c r="J4189" s="58"/>
      <c r="K4189" s="58"/>
      <c r="L4189" s="13" t="str">
        <f t="shared" si="650"/>
        <v/>
      </c>
      <c r="M4189" s="13" t="str">
        <f t="shared" si="651"/>
        <v/>
      </c>
      <c r="Q4189" t="str">
        <f t="shared" si="652"/>
        <v/>
      </c>
      <c r="R4189" t="str">
        <f t="shared" si="653"/>
        <v/>
      </c>
      <c r="S4189" t="str">
        <f t="shared" si="654"/>
        <v/>
      </c>
      <c r="T4189" t="str">
        <f t="shared" si="655"/>
        <v/>
      </c>
      <c r="U4189" t="str">
        <f t="shared" si="656"/>
        <v/>
      </c>
      <c r="V4189" t="str">
        <f t="shared" si="657"/>
        <v/>
      </c>
      <c r="W4189" t="str">
        <f t="shared" si="658"/>
        <v/>
      </c>
      <c r="X4189">
        <f>IF($T4189="",N($X4188),IF(MATCH($T4189,$T$6:$T$10005,0)=ROW()-5,N($X4188)+1,N($X4188)))</f>
        <v>0</v>
      </c>
      <c r="Z4189" t="str">
        <f t="shared" si="659"/>
        <v/>
      </c>
      <c r="AA4189">
        <f>IF($V4189="",N($AA4188),IF(MATCH($V4189,$V$6:$V$10005,0)=ROW()-5,N($AA4188)+1,N($AA4188)))</f>
        <v>0</v>
      </c>
    </row>
    <row r="4190" spans="1:27" ht="21" customHeight="1" x14ac:dyDescent="0.95">
      <c r="A4190" s="56"/>
      <c r="B4190" s="57"/>
      <c r="C4190" s="57"/>
      <c r="D4190" s="57"/>
      <c r="E4190" s="56"/>
      <c r="F4190" s="57"/>
      <c r="G4190" s="57"/>
      <c r="H4190" s="56"/>
      <c r="I4190" s="56"/>
      <c r="J4190" s="58"/>
      <c r="K4190" s="58"/>
      <c r="L4190" s="13" t="str">
        <f t="shared" si="650"/>
        <v/>
      </c>
      <c r="M4190" s="13" t="str">
        <f t="shared" si="651"/>
        <v/>
      </c>
      <c r="Q4190" t="str">
        <f t="shared" si="652"/>
        <v/>
      </c>
      <c r="R4190" t="str">
        <f t="shared" si="653"/>
        <v/>
      </c>
      <c r="S4190" t="str">
        <f t="shared" si="654"/>
        <v/>
      </c>
      <c r="T4190" t="str">
        <f t="shared" si="655"/>
        <v/>
      </c>
      <c r="U4190" t="str">
        <f t="shared" si="656"/>
        <v/>
      </c>
      <c r="V4190" t="str">
        <f t="shared" si="657"/>
        <v/>
      </c>
      <c r="W4190" t="str">
        <f t="shared" si="658"/>
        <v/>
      </c>
      <c r="X4190">
        <f>IF($T4190="",N($X4189),IF(MATCH($T4190,$T$6:$T$10005,0)=ROW()-5,N($X4189)+1,N($X4189)))</f>
        <v>0</v>
      </c>
      <c r="Z4190" t="str">
        <f t="shared" si="659"/>
        <v/>
      </c>
      <c r="AA4190">
        <f>IF($V4190="",N($AA4189),IF(MATCH($V4190,$V$6:$V$10005,0)=ROW()-5,N($AA4189)+1,N($AA4189)))</f>
        <v>0</v>
      </c>
    </row>
    <row r="4191" spans="1:27" ht="21" customHeight="1" x14ac:dyDescent="0.95">
      <c r="A4191" s="56"/>
      <c r="B4191" s="57"/>
      <c r="C4191" s="57"/>
      <c r="D4191" s="57"/>
      <c r="E4191" s="56"/>
      <c r="F4191" s="57"/>
      <c r="G4191" s="57"/>
      <c r="H4191" s="56"/>
      <c r="I4191" s="56"/>
      <c r="J4191" s="58"/>
      <c r="K4191" s="58"/>
      <c r="L4191" s="13" t="str">
        <f t="shared" si="650"/>
        <v/>
      </c>
      <c r="M4191" s="13" t="str">
        <f t="shared" si="651"/>
        <v/>
      </c>
      <c r="Q4191" t="str">
        <f t="shared" si="652"/>
        <v/>
      </c>
      <c r="R4191" t="str">
        <f t="shared" si="653"/>
        <v/>
      </c>
      <c r="S4191" t="str">
        <f t="shared" si="654"/>
        <v/>
      </c>
      <c r="T4191" t="str">
        <f t="shared" si="655"/>
        <v/>
      </c>
      <c r="U4191" t="str">
        <f t="shared" si="656"/>
        <v/>
      </c>
      <c r="V4191" t="str">
        <f t="shared" si="657"/>
        <v/>
      </c>
      <c r="W4191" t="str">
        <f t="shared" si="658"/>
        <v/>
      </c>
      <c r="X4191">
        <f>IF($T4191="",N($X4190),IF(MATCH($T4191,$T$6:$T$10005,0)=ROW()-5,N($X4190)+1,N($X4190)))</f>
        <v>0</v>
      </c>
      <c r="Z4191" t="str">
        <f t="shared" si="659"/>
        <v/>
      </c>
      <c r="AA4191">
        <f>IF($V4191="",N($AA4190),IF(MATCH($V4191,$V$6:$V$10005,0)=ROW()-5,N($AA4190)+1,N($AA4190)))</f>
        <v>0</v>
      </c>
    </row>
    <row r="4192" spans="1:27" ht="21" customHeight="1" x14ac:dyDescent="0.95">
      <c r="A4192" s="56"/>
      <c r="B4192" s="57"/>
      <c r="C4192" s="57"/>
      <c r="D4192" s="57"/>
      <c r="E4192" s="56"/>
      <c r="F4192" s="57"/>
      <c r="G4192" s="57"/>
      <c r="H4192" s="56"/>
      <c r="I4192" s="56"/>
      <c r="J4192" s="58"/>
      <c r="K4192" s="58"/>
      <c r="L4192" s="13" t="str">
        <f t="shared" si="650"/>
        <v/>
      </c>
      <c r="M4192" s="13" t="str">
        <f t="shared" si="651"/>
        <v/>
      </c>
      <c r="Q4192" t="str">
        <f t="shared" si="652"/>
        <v/>
      </c>
      <c r="R4192" t="str">
        <f t="shared" si="653"/>
        <v/>
      </c>
      <c r="S4192" t="str">
        <f t="shared" si="654"/>
        <v/>
      </c>
      <c r="T4192" t="str">
        <f t="shared" si="655"/>
        <v/>
      </c>
      <c r="U4192" t="str">
        <f t="shared" si="656"/>
        <v/>
      </c>
      <c r="V4192" t="str">
        <f t="shared" si="657"/>
        <v/>
      </c>
      <c r="W4192" t="str">
        <f t="shared" si="658"/>
        <v/>
      </c>
      <c r="X4192">
        <f>IF($T4192="",N($X4191),IF(MATCH($T4192,$T$6:$T$10005,0)=ROW()-5,N($X4191)+1,N($X4191)))</f>
        <v>0</v>
      </c>
      <c r="Z4192" t="str">
        <f t="shared" si="659"/>
        <v/>
      </c>
      <c r="AA4192">
        <f>IF($V4192="",N($AA4191),IF(MATCH($V4192,$V$6:$V$10005,0)=ROW()-5,N($AA4191)+1,N($AA4191)))</f>
        <v>0</v>
      </c>
    </row>
    <row r="4193" spans="1:27" ht="21" customHeight="1" x14ac:dyDescent="0.95">
      <c r="A4193" s="56"/>
      <c r="B4193" s="57"/>
      <c r="C4193" s="57"/>
      <c r="D4193" s="57"/>
      <c r="E4193" s="56"/>
      <c r="F4193" s="57"/>
      <c r="G4193" s="57"/>
      <c r="H4193" s="56"/>
      <c r="I4193" s="56"/>
      <c r="J4193" s="58"/>
      <c r="K4193" s="58"/>
      <c r="L4193" s="13" t="str">
        <f t="shared" si="650"/>
        <v/>
      </c>
      <c r="M4193" s="13" t="str">
        <f t="shared" si="651"/>
        <v/>
      </c>
      <c r="Q4193" t="str">
        <f t="shared" si="652"/>
        <v/>
      </c>
      <c r="R4193" t="str">
        <f t="shared" si="653"/>
        <v/>
      </c>
      <c r="S4193" t="str">
        <f t="shared" si="654"/>
        <v/>
      </c>
      <c r="T4193" t="str">
        <f t="shared" si="655"/>
        <v/>
      </c>
      <c r="U4193" t="str">
        <f t="shared" si="656"/>
        <v/>
      </c>
      <c r="V4193" t="str">
        <f t="shared" si="657"/>
        <v/>
      </c>
      <c r="W4193" t="str">
        <f t="shared" si="658"/>
        <v/>
      </c>
      <c r="X4193">
        <f>IF($T4193="",N($X4192),IF(MATCH($T4193,$T$6:$T$10005,0)=ROW()-5,N($X4192)+1,N($X4192)))</f>
        <v>0</v>
      </c>
      <c r="Z4193" t="str">
        <f t="shared" si="659"/>
        <v/>
      </c>
      <c r="AA4193">
        <f>IF($V4193="",N($AA4192),IF(MATCH($V4193,$V$6:$V$10005,0)=ROW()-5,N($AA4192)+1,N($AA4192)))</f>
        <v>0</v>
      </c>
    </row>
    <row r="4194" spans="1:27" ht="21" customHeight="1" x14ac:dyDescent="0.95">
      <c r="A4194" s="56"/>
      <c r="B4194" s="57"/>
      <c r="C4194" s="57"/>
      <c r="D4194" s="57"/>
      <c r="E4194" s="56"/>
      <c r="F4194" s="57"/>
      <c r="G4194" s="57"/>
      <c r="H4194" s="56"/>
      <c r="I4194" s="56"/>
      <c r="J4194" s="58"/>
      <c r="K4194" s="58"/>
      <c r="L4194" s="13" t="str">
        <f t="shared" si="650"/>
        <v/>
      </c>
      <c r="M4194" s="13" t="str">
        <f t="shared" si="651"/>
        <v/>
      </c>
      <c r="Q4194" t="str">
        <f t="shared" si="652"/>
        <v/>
      </c>
      <c r="R4194" t="str">
        <f t="shared" si="653"/>
        <v/>
      </c>
      <c r="S4194" t="str">
        <f t="shared" si="654"/>
        <v/>
      </c>
      <c r="T4194" t="str">
        <f t="shared" si="655"/>
        <v/>
      </c>
      <c r="U4194" t="str">
        <f t="shared" si="656"/>
        <v/>
      </c>
      <c r="V4194" t="str">
        <f t="shared" si="657"/>
        <v/>
      </c>
      <c r="W4194" t="str">
        <f t="shared" si="658"/>
        <v/>
      </c>
      <c r="X4194">
        <f>IF($T4194="",N($X4193),IF(MATCH($T4194,$T$6:$T$10005,0)=ROW()-5,N($X4193)+1,N($X4193)))</f>
        <v>0</v>
      </c>
      <c r="Z4194" t="str">
        <f t="shared" si="659"/>
        <v/>
      </c>
      <c r="AA4194">
        <f>IF($V4194="",N($AA4193),IF(MATCH($V4194,$V$6:$V$10005,0)=ROW()-5,N($AA4193)+1,N($AA4193)))</f>
        <v>0</v>
      </c>
    </row>
    <row r="4195" spans="1:27" ht="21" customHeight="1" x14ac:dyDescent="0.95">
      <c r="A4195" s="56"/>
      <c r="B4195" s="57"/>
      <c r="C4195" s="57"/>
      <c r="D4195" s="57"/>
      <c r="E4195" s="56"/>
      <c r="F4195" s="57"/>
      <c r="G4195" s="57"/>
      <c r="H4195" s="56"/>
      <c r="I4195" s="56"/>
      <c r="J4195" s="58"/>
      <c r="K4195" s="58"/>
      <c r="L4195" s="13" t="str">
        <f t="shared" si="650"/>
        <v/>
      </c>
      <c r="M4195" s="13" t="str">
        <f t="shared" si="651"/>
        <v/>
      </c>
      <c r="Q4195" t="str">
        <f t="shared" si="652"/>
        <v/>
      </c>
      <c r="R4195" t="str">
        <f t="shared" si="653"/>
        <v/>
      </c>
      <c r="S4195" t="str">
        <f t="shared" si="654"/>
        <v/>
      </c>
      <c r="T4195" t="str">
        <f t="shared" si="655"/>
        <v/>
      </c>
      <c r="U4195" t="str">
        <f t="shared" si="656"/>
        <v/>
      </c>
      <c r="V4195" t="str">
        <f t="shared" si="657"/>
        <v/>
      </c>
      <c r="W4195" t="str">
        <f t="shared" si="658"/>
        <v/>
      </c>
      <c r="X4195">
        <f>IF($T4195="",N($X4194),IF(MATCH($T4195,$T$6:$T$10005,0)=ROW()-5,N($X4194)+1,N($X4194)))</f>
        <v>0</v>
      </c>
      <c r="Z4195" t="str">
        <f t="shared" si="659"/>
        <v/>
      </c>
      <c r="AA4195">
        <f>IF($V4195="",N($AA4194),IF(MATCH($V4195,$V$6:$V$10005,0)=ROW()-5,N($AA4194)+1,N($AA4194)))</f>
        <v>0</v>
      </c>
    </row>
    <row r="4196" spans="1:27" ht="21" customHeight="1" x14ac:dyDescent="0.95">
      <c r="A4196" s="56"/>
      <c r="B4196" s="57"/>
      <c r="C4196" s="57"/>
      <c r="D4196" s="57"/>
      <c r="E4196" s="56"/>
      <c r="F4196" s="57"/>
      <c r="G4196" s="57"/>
      <c r="H4196" s="56"/>
      <c r="I4196" s="56"/>
      <c r="J4196" s="58"/>
      <c r="K4196" s="58"/>
      <c r="L4196" s="13" t="str">
        <f t="shared" si="650"/>
        <v/>
      </c>
      <c r="M4196" s="13" t="str">
        <f t="shared" si="651"/>
        <v/>
      </c>
      <c r="Q4196" t="str">
        <f t="shared" si="652"/>
        <v/>
      </c>
      <c r="R4196" t="str">
        <f t="shared" si="653"/>
        <v/>
      </c>
      <c r="S4196" t="str">
        <f t="shared" si="654"/>
        <v/>
      </c>
      <c r="T4196" t="str">
        <f t="shared" si="655"/>
        <v/>
      </c>
      <c r="U4196" t="str">
        <f t="shared" si="656"/>
        <v/>
      </c>
      <c r="V4196" t="str">
        <f t="shared" si="657"/>
        <v/>
      </c>
      <c r="W4196" t="str">
        <f t="shared" si="658"/>
        <v/>
      </c>
      <c r="X4196">
        <f>IF($T4196="",N($X4195),IF(MATCH($T4196,$T$6:$T$10005,0)=ROW()-5,N($X4195)+1,N($X4195)))</f>
        <v>0</v>
      </c>
      <c r="Z4196" t="str">
        <f t="shared" si="659"/>
        <v/>
      </c>
      <c r="AA4196">
        <f>IF($V4196="",N($AA4195),IF(MATCH($V4196,$V$6:$V$10005,0)=ROW()-5,N($AA4195)+1,N($AA4195)))</f>
        <v>0</v>
      </c>
    </row>
    <row r="4197" spans="1:27" ht="21" customHeight="1" x14ac:dyDescent="0.95">
      <c r="A4197" s="56"/>
      <c r="B4197" s="57"/>
      <c r="C4197" s="57"/>
      <c r="D4197" s="57"/>
      <c r="E4197" s="56"/>
      <c r="F4197" s="57"/>
      <c r="G4197" s="57"/>
      <c r="H4197" s="56"/>
      <c r="I4197" s="56"/>
      <c r="J4197" s="58"/>
      <c r="K4197" s="58"/>
      <c r="L4197" s="13" t="str">
        <f t="shared" si="650"/>
        <v/>
      </c>
      <c r="M4197" s="13" t="str">
        <f t="shared" si="651"/>
        <v/>
      </c>
      <c r="Q4197" t="str">
        <f t="shared" si="652"/>
        <v/>
      </c>
      <c r="R4197" t="str">
        <f t="shared" si="653"/>
        <v/>
      </c>
      <c r="S4197" t="str">
        <f t="shared" si="654"/>
        <v/>
      </c>
      <c r="T4197" t="str">
        <f t="shared" si="655"/>
        <v/>
      </c>
      <c r="U4197" t="str">
        <f t="shared" si="656"/>
        <v/>
      </c>
      <c r="V4197" t="str">
        <f t="shared" si="657"/>
        <v/>
      </c>
      <c r="W4197" t="str">
        <f t="shared" si="658"/>
        <v/>
      </c>
      <c r="X4197">
        <f>IF($T4197="",N($X4196),IF(MATCH($T4197,$T$6:$T$10005,0)=ROW()-5,N($X4196)+1,N($X4196)))</f>
        <v>0</v>
      </c>
      <c r="Z4197" t="str">
        <f t="shared" si="659"/>
        <v/>
      </c>
      <c r="AA4197">
        <f>IF($V4197="",N($AA4196),IF(MATCH($V4197,$V$6:$V$10005,0)=ROW()-5,N($AA4196)+1,N($AA4196)))</f>
        <v>0</v>
      </c>
    </row>
    <row r="4198" spans="1:27" ht="21" customHeight="1" x14ac:dyDescent="0.95">
      <c r="A4198" s="56"/>
      <c r="B4198" s="57"/>
      <c r="C4198" s="57"/>
      <c r="D4198" s="57"/>
      <c r="E4198" s="56"/>
      <c r="F4198" s="57"/>
      <c r="G4198" s="57"/>
      <c r="H4198" s="56"/>
      <c r="I4198" s="56"/>
      <c r="J4198" s="58"/>
      <c r="K4198" s="58"/>
      <c r="L4198" s="13" t="str">
        <f t="shared" si="650"/>
        <v/>
      </c>
      <c r="M4198" s="13" t="str">
        <f t="shared" si="651"/>
        <v/>
      </c>
      <c r="Q4198" t="str">
        <f t="shared" si="652"/>
        <v/>
      </c>
      <c r="R4198" t="str">
        <f t="shared" si="653"/>
        <v/>
      </c>
      <c r="S4198" t="str">
        <f t="shared" si="654"/>
        <v/>
      </c>
      <c r="T4198" t="str">
        <f t="shared" si="655"/>
        <v/>
      </c>
      <c r="U4198" t="str">
        <f t="shared" si="656"/>
        <v/>
      </c>
      <c r="V4198" t="str">
        <f t="shared" si="657"/>
        <v/>
      </c>
      <c r="W4198" t="str">
        <f t="shared" si="658"/>
        <v/>
      </c>
      <c r="X4198">
        <f>IF($T4198="",N($X4197),IF(MATCH($T4198,$T$6:$T$10005,0)=ROW()-5,N($X4197)+1,N($X4197)))</f>
        <v>0</v>
      </c>
      <c r="Z4198" t="str">
        <f t="shared" si="659"/>
        <v/>
      </c>
      <c r="AA4198">
        <f>IF($V4198="",N($AA4197),IF(MATCH($V4198,$V$6:$V$10005,0)=ROW()-5,N($AA4197)+1,N($AA4197)))</f>
        <v>0</v>
      </c>
    </row>
    <row r="4199" spans="1:27" ht="21" customHeight="1" x14ac:dyDescent="0.95">
      <c r="A4199" s="56"/>
      <c r="B4199" s="57"/>
      <c r="C4199" s="57"/>
      <c r="D4199" s="57"/>
      <c r="E4199" s="56"/>
      <c r="F4199" s="57"/>
      <c r="G4199" s="57"/>
      <c r="H4199" s="56"/>
      <c r="I4199" s="56"/>
      <c r="J4199" s="58"/>
      <c r="K4199" s="58"/>
      <c r="L4199" s="13" t="str">
        <f t="shared" si="650"/>
        <v/>
      </c>
      <c r="M4199" s="13" t="str">
        <f t="shared" si="651"/>
        <v/>
      </c>
      <c r="Q4199" t="str">
        <f t="shared" si="652"/>
        <v/>
      </c>
      <c r="R4199" t="str">
        <f t="shared" si="653"/>
        <v/>
      </c>
      <c r="S4199" t="str">
        <f t="shared" si="654"/>
        <v/>
      </c>
      <c r="T4199" t="str">
        <f t="shared" si="655"/>
        <v/>
      </c>
      <c r="U4199" t="str">
        <f t="shared" si="656"/>
        <v/>
      </c>
      <c r="V4199" t="str">
        <f t="shared" si="657"/>
        <v/>
      </c>
      <c r="W4199" t="str">
        <f t="shared" si="658"/>
        <v/>
      </c>
      <c r="X4199">
        <f>IF($T4199="",N($X4198),IF(MATCH($T4199,$T$6:$T$10005,0)=ROW()-5,N($X4198)+1,N($X4198)))</f>
        <v>0</v>
      </c>
      <c r="Z4199" t="str">
        <f t="shared" si="659"/>
        <v/>
      </c>
      <c r="AA4199">
        <f>IF($V4199="",N($AA4198),IF(MATCH($V4199,$V$6:$V$10005,0)=ROW()-5,N($AA4198)+1,N($AA4198)))</f>
        <v>0</v>
      </c>
    </row>
    <row r="4200" spans="1:27" ht="21" customHeight="1" x14ac:dyDescent="0.95">
      <c r="A4200" s="56"/>
      <c r="B4200" s="57"/>
      <c r="C4200" s="57"/>
      <c r="D4200" s="57"/>
      <c r="E4200" s="56"/>
      <c r="F4200" s="57"/>
      <c r="G4200" s="57"/>
      <c r="H4200" s="56"/>
      <c r="I4200" s="56"/>
      <c r="J4200" s="58"/>
      <c r="K4200" s="58"/>
      <c r="L4200" s="13" t="str">
        <f t="shared" si="650"/>
        <v/>
      </c>
      <c r="M4200" s="13" t="str">
        <f t="shared" si="651"/>
        <v/>
      </c>
      <c r="Q4200" t="str">
        <f t="shared" si="652"/>
        <v/>
      </c>
      <c r="R4200" t="str">
        <f t="shared" si="653"/>
        <v/>
      </c>
      <c r="S4200" t="str">
        <f t="shared" si="654"/>
        <v/>
      </c>
      <c r="T4200" t="str">
        <f t="shared" si="655"/>
        <v/>
      </c>
      <c r="U4200" t="str">
        <f t="shared" si="656"/>
        <v/>
      </c>
      <c r="V4200" t="str">
        <f t="shared" si="657"/>
        <v/>
      </c>
      <c r="W4200" t="str">
        <f t="shared" si="658"/>
        <v/>
      </c>
      <c r="X4200">
        <f>IF($T4200="",N($X4199),IF(MATCH($T4200,$T$6:$T$10005,0)=ROW()-5,N($X4199)+1,N($X4199)))</f>
        <v>0</v>
      </c>
      <c r="Z4200" t="str">
        <f t="shared" si="659"/>
        <v/>
      </c>
      <c r="AA4200">
        <f>IF($V4200="",N($AA4199),IF(MATCH($V4200,$V$6:$V$10005,0)=ROW()-5,N($AA4199)+1,N($AA4199)))</f>
        <v>0</v>
      </c>
    </row>
    <row r="4201" spans="1:27" ht="21" customHeight="1" x14ac:dyDescent="0.95">
      <c r="A4201" s="56"/>
      <c r="B4201" s="57"/>
      <c r="C4201" s="57"/>
      <c r="D4201" s="57"/>
      <c r="E4201" s="56"/>
      <c r="F4201" s="57"/>
      <c r="G4201" s="57"/>
      <c r="H4201" s="56"/>
      <c r="I4201" s="56"/>
      <c r="J4201" s="58"/>
      <c r="K4201" s="58"/>
      <c r="L4201" s="13" t="str">
        <f t="shared" si="650"/>
        <v/>
      </c>
      <c r="M4201" s="13" t="str">
        <f t="shared" si="651"/>
        <v/>
      </c>
      <c r="Q4201" t="str">
        <f t="shared" si="652"/>
        <v/>
      </c>
      <c r="R4201" t="str">
        <f t="shared" si="653"/>
        <v/>
      </c>
      <c r="S4201" t="str">
        <f t="shared" si="654"/>
        <v/>
      </c>
      <c r="T4201" t="str">
        <f t="shared" si="655"/>
        <v/>
      </c>
      <c r="U4201" t="str">
        <f t="shared" si="656"/>
        <v/>
      </c>
      <c r="V4201" t="str">
        <f t="shared" si="657"/>
        <v/>
      </c>
      <c r="W4201" t="str">
        <f t="shared" si="658"/>
        <v/>
      </c>
      <c r="X4201">
        <f>IF($T4201="",N($X4200),IF(MATCH($T4201,$T$6:$T$10005,0)=ROW()-5,N($X4200)+1,N($X4200)))</f>
        <v>0</v>
      </c>
      <c r="Z4201" t="str">
        <f t="shared" si="659"/>
        <v/>
      </c>
      <c r="AA4201">
        <f>IF($V4201="",N($AA4200),IF(MATCH($V4201,$V$6:$V$10005,0)=ROW()-5,N($AA4200)+1,N($AA4200)))</f>
        <v>0</v>
      </c>
    </row>
    <row r="4202" spans="1:27" ht="21" customHeight="1" x14ac:dyDescent="0.95">
      <c r="A4202" s="56"/>
      <c r="B4202" s="57"/>
      <c r="C4202" s="57"/>
      <c r="D4202" s="57"/>
      <c r="E4202" s="56"/>
      <c r="F4202" s="57"/>
      <c r="G4202" s="57"/>
      <c r="H4202" s="56"/>
      <c r="I4202" s="56"/>
      <c r="J4202" s="58"/>
      <c r="K4202" s="58"/>
      <c r="L4202" s="13" t="str">
        <f t="shared" si="650"/>
        <v/>
      </c>
      <c r="M4202" s="13" t="str">
        <f t="shared" si="651"/>
        <v/>
      </c>
      <c r="Q4202" t="str">
        <f t="shared" si="652"/>
        <v/>
      </c>
      <c r="R4202" t="str">
        <f t="shared" si="653"/>
        <v/>
      </c>
      <c r="S4202" t="str">
        <f t="shared" si="654"/>
        <v/>
      </c>
      <c r="T4202" t="str">
        <f t="shared" si="655"/>
        <v/>
      </c>
      <c r="U4202" t="str">
        <f t="shared" si="656"/>
        <v/>
      </c>
      <c r="V4202" t="str">
        <f t="shared" si="657"/>
        <v/>
      </c>
      <c r="W4202" t="str">
        <f t="shared" si="658"/>
        <v/>
      </c>
      <c r="X4202">
        <f>IF($T4202="",N($X4201),IF(MATCH($T4202,$T$6:$T$10005,0)=ROW()-5,N($X4201)+1,N($X4201)))</f>
        <v>0</v>
      </c>
      <c r="Z4202" t="str">
        <f t="shared" si="659"/>
        <v/>
      </c>
      <c r="AA4202">
        <f>IF($V4202="",N($AA4201),IF(MATCH($V4202,$V$6:$V$10005,0)=ROW()-5,N($AA4201)+1,N($AA4201)))</f>
        <v>0</v>
      </c>
    </row>
    <row r="4203" spans="1:27" ht="21" customHeight="1" x14ac:dyDescent="0.95">
      <c r="A4203" s="56"/>
      <c r="B4203" s="57"/>
      <c r="C4203" s="57"/>
      <c r="D4203" s="57"/>
      <c r="E4203" s="56"/>
      <c r="F4203" s="57"/>
      <c r="G4203" s="57"/>
      <c r="H4203" s="56"/>
      <c r="I4203" s="56"/>
      <c r="J4203" s="58"/>
      <c r="K4203" s="58"/>
      <c r="L4203" s="13" t="str">
        <f t="shared" si="650"/>
        <v/>
      </c>
      <c r="M4203" s="13" t="str">
        <f t="shared" si="651"/>
        <v/>
      </c>
      <c r="Q4203" t="str">
        <f t="shared" si="652"/>
        <v/>
      </c>
      <c r="R4203" t="str">
        <f t="shared" si="653"/>
        <v/>
      </c>
      <c r="S4203" t="str">
        <f t="shared" si="654"/>
        <v/>
      </c>
      <c r="T4203" t="str">
        <f t="shared" si="655"/>
        <v/>
      </c>
      <c r="U4203" t="str">
        <f t="shared" si="656"/>
        <v/>
      </c>
      <c r="V4203" t="str">
        <f t="shared" si="657"/>
        <v/>
      </c>
      <c r="W4203" t="str">
        <f t="shared" si="658"/>
        <v/>
      </c>
      <c r="X4203">
        <f>IF($T4203="",N($X4202),IF(MATCH($T4203,$T$6:$T$10005,0)=ROW()-5,N($X4202)+1,N($X4202)))</f>
        <v>0</v>
      </c>
      <c r="Z4203" t="str">
        <f t="shared" si="659"/>
        <v/>
      </c>
      <c r="AA4203">
        <f>IF($V4203="",N($AA4202),IF(MATCH($V4203,$V$6:$V$10005,0)=ROW()-5,N($AA4202)+1,N($AA4202)))</f>
        <v>0</v>
      </c>
    </row>
    <row r="4204" spans="1:27" ht="21" customHeight="1" x14ac:dyDescent="0.95">
      <c r="A4204" s="56"/>
      <c r="B4204" s="57"/>
      <c r="C4204" s="57"/>
      <c r="D4204" s="57"/>
      <c r="E4204" s="56"/>
      <c r="F4204" s="57"/>
      <c r="G4204" s="57"/>
      <c r="H4204" s="56"/>
      <c r="I4204" s="56"/>
      <c r="J4204" s="58"/>
      <c r="K4204" s="58"/>
      <c r="L4204" s="13" t="str">
        <f t="shared" si="650"/>
        <v/>
      </c>
      <c r="M4204" s="13" t="str">
        <f t="shared" si="651"/>
        <v/>
      </c>
      <c r="Q4204" t="str">
        <f t="shared" si="652"/>
        <v/>
      </c>
      <c r="R4204" t="str">
        <f t="shared" si="653"/>
        <v/>
      </c>
      <c r="S4204" t="str">
        <f t="shared" si="654"/>
        <v/>
      </c>
      <c r="T4204" t="str">
        <f t="shared" si="655"/>
        <v/>
      </c>
      <c r="U4204" t="str">
        <f t="shared" si="656"/>
        <v/>
      </c>
      <c r="V4204" t="str">
        <f t="shared" si="657"/>
        <v/>
      </c>
      <c r="W4204" t="str">
        <f t="shared" si="658"/>
        <v/>
      </c>
      <c r="X4204">
        <f>IF($T4204="",N($X4203),IF(MATCH($T4204,$T$6:$T$10005,0)=ROW()-5,N($X4203)+1,N($X4203)))</f>
        <v>0</v>
      </c>
      <c r="Z4204" t="str">
        <f t="shared" si="659"/>
        <v/>
      </c>
      <c r="AA4204">
        <f>IF($V4204="",N($AA4203),IF(MATCH($V4204,$V$6:$V$10005,0)=ROW()-5,N($AA4203)+1,N($AA4203)))</f>
        <v>0</v>
      </c>
    </row>
    <row r="4205" spans="1:27" ht="21" customHeight="1" x14ac:dyDescent="0.95">
      <c r="A4205" s="56"/>
      <c r="B4205" s="57"/>
      <c r="C4205" s="57"/>
      <c r="D4205" s="57"/>
      <c r="E4205" s="56"/>
      <c r="F4205" s="57"/>
      <c r="G4205" s="57"/>
      <c r="H4205" s="56"/>
      <c r="I4205" s="56"/>
      <c r="J4205" s="58"/>
      <c r="K4205" s="58"/>
      <c r="L4205" s="13" t="str">
        <f t="shared" si="650"/>
        <v/>
      </c>
      <c r="M4205" s="13" t="str">
        <f t="shared" si="651"/>
        <v/>
      </c>
      <c r="Q4205" t="str">
        <f t="shared" si="652"/>
        <v/>
      </c>
      <c r="R4205" t="str">
        <f t="shared" si="653"/>
        <v/>
      </c>
      <c r="S4205" t="str">
        <f t="shared" si="654"/>
        <v/>
      </c>
      <c r="T4205" t="str">
        <f t="shared" si="655"/>
        <v/>
      </c>
      <c r="U4205" t="str">
        <f t="shared" si="656"/>
        <v/>
      </c>
      <c r="V4205" t="str">
        <f t="shared" si="657"/>
        <v/>
      </c>
      <c r="W4205" t="str">
        <f t="shared" si="658"/>
        <v/>
      </c>
      <c r="X4205">
        <f>IF($T4205="",N($X4204),IF(MATCH($T4205,$T$6:$T$10005,0)=ROW()-5,N($X4204)+1,N($X4204)))</f>
        <v>0</v>
      </c>
      <c r="Z4205" t="str">
        <f t="shared" si="659"/>
        <v/>
      </c>
      <c r="AA4205">
        <f>IF($V4205="",N($AA4204),IF(MATCH($V4205,$V$6:$V$10005,0)=ROW()-5,N($AA4204)+1,N($AA4204)))</f>
        <v>0</v>
      </c>
    </row>
    <row r="4206" spans="1:27" ht="21" customHeight="1" x14ac:dyDescent="0.95">
      <c r="A4206" s="56"/>
      <c r="B4206" s="57"/>
      <c r="C4206" s="57"/>
      <c r="D4206" s="57"/>
      <c r="E4206" s="56"/>
      <c r="F4206" s="57"/>
      <c r="G4206" s="57"/>
      <c r="H4206" s="56"/>
      <c r="I4206" s="56"/>
      <c r="J4206" s="58"/>
      <c r="K4206" s="58"/>
      <c r="L4206" s="13" t="str">
        <f t="shared" si="650"/>
        <v/>
      </c>
      <c r="M4206" s="13" t="str">
        <f t="shared" si="651"/>
        <v/>
      </c>
      <c r="Q4206" t="str">
        <f t="shared" si="652"/>
        <v/>
      </c>
      <c r="R4206" t="str">
        <f t="shared" si="653"/>
        <v/>
      </c>
      <c r="S4206" t="str">
        <f t="shared" si="654"/>
        <v/>
      </c>
      <c r="T4206" t="str">
        <f t="shared" si="655"/>
        <v/>
      </c>
      <c r="U4206" t="str">
        <f t="shared" si="656"/>
        <v/>
      </c>
      <c r="V4206" t="str">
        <f t="shared" si="657"/>
        <v/>
      </c>
      <c r="W4206" t="str">
        <f t="shared" si="658"/>
        <v/>
      </c>
      <c r="X4206">
        <f>IF($T4206="",N($X4205),IF(MATCH($T4206,$T$6:$T$10005,0)=ROW()-5,N($X4205)+1,N($X4205)))</f>
        <v>0</v>
      </c>
      <c r="Z4206" t="str">
        <f t="shared" si="659"/>
        <v/>
      </c>
      <c r="AA4206">
        <f>IF($V4206="",N($AA4205),IF(MATCH($V4206,$V$6:$V$10005,0)=ROW()-5,N($AA4205)+1,N($AA4205)))</f>
        <v>0</v>
      </c>
    </row>
    <row r="4207" spans="1:27" ht="21" customHeight="1" x14ac:dyDescent="0.95">
      <c r="A4207" s="56"/>
      <c r="B4207" s="57"/>
      <c r="C4207" s="57"/>
      <c r="D4207" s="57"/>
      <c r="E4207" s="56"/>
      <c r="F4207" s="57"/>
      <c r="G4207" s="57"/>
      <c r="H4207" s="56"/>
      <c r="I4207" s="56"/>
      <c r="J4207" s="58"/>
      <c r="K4207" s="58"/>
      <c r="L4207" s="13" t="str">
        <f t="shared" si="650"/>
        <v/>
      </c>
      <c r="M4207" s="13" t="str">
        <f t="shared" si="651"/>
        <v/>
      </c>
      <c r="Q4207" t="str">
        <f t="shared" si="652"/>
        <v/>
      </c>
      <c r="R4207" t="str">
        <f t="shared" si="653"/>
        <v/>
      </c>
      <c r="S4207" t="str">
        <f t="shared" si="654"/>
        <v/>
      </c>
      <c r="T4207" t="str">
        <f t="shared" si="655"/>
        <v/>
      </c>
      <c r="U4207" t="str">
        <f t="shared" si="656"/>
        <v/>
      </c>
      <c r="V4207" t="str">
        <f t="shared" si="657"/>
        <v/>
      </c>
      <c r="W4207" t="str">
        <f t="shared" si="658"/>
        <v/>
      </c>
      <c r="X4207">
        <f>IF($T4207="",N($X4206),IF(MATCH($T4207,$T$6:$T$10005,0)=ROW()-5,N($X4206)+1,N($X4206)))</f>
        <v>0</v>
      </c>
      <c r="Z4207" t="str">
        <f t="shared" si="659"/>
        <v/>
      </c>
      <c r="AA4207">
        <f>IF($V4207="",N($AA4206),IF(MATCH($V4207,$V$6:$V$10005,0)=ROW()-5,N($AA4206)+1,N($AA4206)))</f>
        <v>0</v>
      </c>
    </row>
    <row r="4208" spans="1:27" ht="21" customHeight="1" x14ac:dyDescent="0.95">
      <c r="A4208" s="56"/>
      <c r="B4208" s="57"/>
      <c r="C4208" s="57"/>
      <c r="D4208" s="57"/>
      <c r="E4208" s="56"/>
      <c r="F4208" s="57"/>
      <c r="G4208" s="57"/>
      <c r="H4208" s="56"/>
      <c r="I4208" s="56"/>
      <c r="J4208" s="58"/>
      <c r="K4208" s="58"/>
      <c r="L4208" s="13" t="str">
        <f t="shared" si="650"/>
        <v/>
      </c>
      <c r="M4208" s="13" t="str">
        <f t="shared" si="651"/>
        <v/>
      </c>
      <c r="Q4208" t="str">
        <f t="shared" si="652"/>
        <v/>
      </c>
      <c r="R4208" t="str">
        <f t="shared" si="653"/>
        <v/>
      </c>
      <c r="S4208" t="str">
        <f t="shared" si="654"/>
        <v/>
      </c>
      <c r="T4208" t="str">
        <f t="shared" si="655"/>
        <v/>
      </c>
      <c r="U4208" t="str">
        <f t="shared" si="656"/>
        <v/>
      </c>
      <c r="V4208" t="str">
        <f t="shared" si="657"/>
        <v/>
      </c>
      <c r="W4208" t="str">
        <f t="shared" si="658"/>
        <v/>
      </c>
      <c r="X4208">
        <f>IF($T4208="",N($X4207),IF(MATCH($T4208,$T$6:$T$10005,0)=ROW()-5,N($X4207)+1,N($X4207)))</f>
        <v>0</v>
      </c>
      <c r="Z4208" t="str">
        <f t="shared" si="659"/>
        <v/>
      </c>
      <c r="AA4208">
        <f>IF($V4208="",N($AA4207),IF(MATCH($V4208,$V$6:$V$10005,0)=ROW()-5,N($AA4207)+1,N($AA4207)))</f>
        <v>0</v>
      </c>
    </row>
    <row r="4209" spans="1:27" ht="21" customHeight="1" x14ac:dyDescent="0.95">
      <c r="A4209" s="56"/>
      <c r="B4209" s="57"/>
      <c r="C4209" s="57"/>
      <c r="D4209" s="57"/>
      <c r="E4209" s="56"/>
      <c r="F4209" s="57"/>
      <c r="G4209" s="57"/>
      <c r="H4209" s="56"/>
      <c r="I4209" s="56"/>
      <c r="J4209" s="58"/>
      <c r="K4209" s="58"/>
      <c r="L4209" s="13" t="str">
        <f t="shared" si="650"/>
        <v/>
      </c>
      <c r="M4209" s="13" t="str">
        <f t="shared" si="651"/>
        <v/>
      </c>
      <c r="Q4209" t="str">
        <f t="shared" si="652"/>
        <v/>
      </c>
      <c r="R4209" t="str">
        <f t="shared" si="653"/>
        <v/>
      </c>
      <c r="S4209" t="str">
        <f t="shared" si="654"/>
        <v/>
      </c>
      <c r="T4209" t="str">
        <f t="shared" si="655"/>
        <v/>
      </c>
      <c r="U4209" t="str">
        <f t="shared" si="656"/>
        <v/>
      </c>
      <c r="V4209" t="str">
        <f t="shared" si="657"/>
        <v/>
      </c>
      <c r="W4209" t="str">
        <f t="shared" si="658"/>
        <v/>
      </c>
      <c r="X4209">
        <f>IF($T4209="",N($X4208),IF(MATCH($T4209,$T$6:$T$10005,0)=ROW()-5,N($X4208)+1,N($X4208)))</f>
        <v>0</v>
      </c>
      <c r="Z4209" t="str">
        <f t="shared" si="659"/>
        <v/>
      </c>
      <c r="AA4209">
        <f>IF($V4209="",N($AA4208),IF(MATCH($V4209,$V$6:$V$10005,0)=ROW()-5,N($AA4208)+1,N($AA4208)))</f>
        <v>0</v>
      </c>
    </row>
    <row r="4210" spans="1:27" ht="21" customHeight="1" x14ac:dyDescent="0.95">
      <c r="A4210" s="56"/>
      <c r="B4210" s="57"/>
      <c r="C4210" s="57"/>
      <c r="D4210" s="57"/>
      <c r="E4210" s="56"/>
      <c r="F4210" s="57"/>
      <c r="G4210" s="57"/>
      <c r="H4210" s="56"/>
      <c r="I4210" s="56"/>
      <c r="J4210" s="58"/>
      <c r="K4210" s="58"/>
      <c r="L4210" s="13" t="str">
        <f t="shared" si="650"/>
        <v/>
      </c>
      <c r="M4210" s="13" t="str">
        <f t="shared" si="651"/>
        <v/>
      </c>
      <c r="Q4210" t="str">
        <f t="shared" si="652"/>
        <v/>
      </c>
      <c r="R4210" t="str">
        <f t="shared" si="653"/>
        <v/>
      </c>
      <c r="S4210" t="str">
        <f t="shared" si="654"/>
        <v/>
      </c>
      <c r="T4210" t="str">
        <f t="shared" si="655"/>
        <v/>
      </c>
      <c r="U4210" t="str">
        <f t="shared" si="656"/>
        <v/>
      </c>
      <c r="V4210" t="str">
        <f t="shared" si="657"/>
        <v/>
      </c>
      <c r="W4210" t="str">
        <f t="shared" si="658"/>
        <v/>
      </c>
      <c r="X4210">
        <f>IF($T4210="",N($X4209),IF(MATCH($T4210,$T$6:$T$10005,0)=ROW()-5,N($X4209)+1,N($X4209)))</f>
        <v>0</v>
      </c>
      <c r="Z4210" t="str">
        <f t="shared" si="659"/>
        <v/>
      </c>
      <c r="AA4210">
        <f>IF($V4210="",N($AA4209),IF(MATCH($V4210,$V$6:$V$10005,0)=ROW()-5,N($AA4209)+1,N($AA4209)))</f>
        <v>0</v>
      </c>
    </row>
    <row r="4211" spans="1:27" ht="21" customHeight="1" x14ac:dyDescent="0.95">
      <c r="A4211" s="56"/>
      <c r="B4211" s="57"/>
      <c r="C4211" s="57"/>
      <c r="D4211" s="57"/>
      <c r="E4211" s="56"/>
      <c r="F4211" s="57"/>
      <c r="G4211" s="57"/>
      <c r="H4211" s="56"/>
      <c r="I4211" s="56"/>
      <c r="J4211" s="58"/>
      <c r="K4211" s="58"/>
      <c r="L4211" s="13" t="str">
        <f t="shared" si="650"/>
        <v/>
      </c>
      <c r="M4211" s="13" t="str">
        <f t="shared" si="651"/>
        <v/>
      </c>
      <c r="Q4211" t="str">
        <f t="shared" si="652"/>
        <v/>
      </c>
      <c r="R4211" t="str">
        <f t="shared" si="653"/>
        <v/>
      </c>
      <c r="S4211" t="str">
        <f t="shared" si="654"/>
        <v/>
      </c>
      <c r="T4211" t="str">
        <f t="shared" si="655"/>
        <v/>
      </c>
      <c r="U4211" t="str">
        <f t="shared" si="656"/>
        <v/>
      </c>
      <c r="V4211" t="str">
        <f t="shared" si="657"/>
        <v/>
      </c>
      <c r="W4211" t="str">
        <f t="shared" si="658"/>
        <v/>
      </c>
      <c r="X4211">
        <f>IF($T4211="",N($X4210),IF(MATCH($T4211,$T$6:$T$10005,0)=ROW()-5,N($X4210)+1,N($X4210)))</f>
        <v>0</v>
      </c>
      <c r="Z4211" t="str">
        <f t="shared" si="659"/>
        <v/>
      </c>
      <c r="AA4211">
        <f>IF($V4211="",N($AA4210),IF(MATCH($V4211,$V$6:$V$10005,0)=ROW()-5,N($AA4210)+1,N($AA4210)))</f>
        <v>0</v>
      </c>
    </row>
    <row r="4212" spans="1:27" ht="21" customHeight="1" x14ac:dyDescent="0.95">
      <c r="A4212" s="56"/>
      <c r="B4212" s="57"/>
      <c r="C4212" s="57"/>
      <c r="D4212" s="57"/>
      <c r="E4212" s="56"/>
      <c r="F4212" s="57"/>
      <c r="G4212" s="57"/>
      <c r="H4212" s="56"/>
      <c r="I4212" s="56"/>
      <c r="J4212" s="58"/>
      <c r="K4212" s="58"/>
      <c r="L4212" s="13" t="str">
        <f t="shared" si="650"/>
        <v/>
      </c>
      <c r="M4212" s="13" t="str">
        <f t="shared" si="651"/>
        <v/>
      </c>
      <c r="Q4212" t="str">
        <f t="shared" si="652"/>
        <v/>
      </c>
      <c r="R4212" t="str">
        <f t="shared" si="653"/>
        <v/>
      </c>
      <c r="S4212" t="str">
        <f t="shared" si="654"/>
        <v/>
      </c>
      <c r="T4212" t="str">
        <f t="shared" si="655"/>
        <v/>
      </c>
      <c r="U4212" t="str">
        <f t="shared" si="656"/>
        <v/>
      </c>
      <c r="V4212" t="str">
        <f t="shared" si="657"/>
        <v/>
      </c>
      <c r="W4212" t="str">
        <f t="shared" si="658"/>
        <v/>
      </c>
      <c r="X4212">
        <f>IF($T4212="",N($X4211),IF(MATCH($T4212,$T$6:$T$10005,0)=ROW()-5,N($X4211)+1,N($X4211)))</f>
        <v>0</v>
      </c>
      <c r="Z4212" t="str">
        <f t="shared" si="659"/>
        <v/>
      </c>
      <c r="AA4212">
        <f>IF($V4212="",N($AA4211),IF(MATCH($V4212,$V$6:$V$10005,0)=ROW()-5,N($AA4211)+1,N($AA4211)))</f>
        <v>0</v>
      </c>
    </row>
    <row r="4213" spans="1:27" ht="21" customHeight="1" x14ac:dyDescent="0.95">
      <c r="A4213" s="56"/>
      <c r="B4213" s="57"/>
      <c r="C4213" s="57"/>
      <c r="D4213" s="57"/>
      <c r="E4213" s="56"/>
      <c r="F4213" s="57"/>
      <c r="G4213" s="57"/>
      <c r="H4213" s="56"/>
      <c r="I4213" s="56"/>
      <c r="J4213" s="58"/>
      <c r="K4213" s="58"/>
      <c r="L4213" s="13" t="str">
        <f t="shared" si="650"/>
        <v/>
      </c>
      <c r="M4213" s="13" t="str">
        <f t="shared" si="651"/>
        <v/>
      </c>
      <c r="Q4213" t="str">
        <f t="shared" si="652"/>
        <v/>
      </c>
      <c r="R4213" t="str">
        <f t="shared" si="653"/>
        <v/>
      </c>
      <c r="S4213" t="str">
        <f t="shared" si="654"/>
        <v/>
      </c>
      <c r="T4213" t="str">
        <f t="shared" si="655"/>
        <v/>
      </c>
      <c r="U4213" t="str">
        <f t="shared" si="656"/>
        <v/>
      </c>
      <c r="V4213" t="str">
        <f t="shared" si="657"/>
        <v/>
      </c>
      <c r="W4213" t="str">
        <f t="shared" si="658"/>
        <v/>
      </c>
      <c r="X4213">
        <f>IF($T4213="",N($X4212),IF(MATCH($T4213,$T$6:$T$10005,0)=ROW()-5,N($X4212)+1,N($X4212)))</f>
        <v>0</v>
      </c>
      <c r="Z4213" t="str">
        <f t="shared" si="659"/>
        <v/>
      </c>
      <c r="AA4213">
        <f>IF($V4213="",N($AA4212),IF(MATCH($V4213,$V$6:$V$10005,0)=ROW()-5,N($AA4212)+1,N($AA4212)))</f>
        <v>0</v>
      </c>
    </row>
    <row r="4214" spans="1:27" ht="21" customHeight="1" x14ac:dyDescent="0.95">
      <c r="A4214" s="56"/>
      <c r="B4214" s="57"/>
      <c r="C4214" s="57"/>
      <c r="D4214" s="57"/>
      <c r="E4214" s="56"/>
      <c r="F4214" s="57"/>
      <c r="G4214" s="57"/>
      <c r="H4214" s="56"/>
      <c r="I4214" s="56"/>
      <c r="J4214" s="58"/>
      <c r="K4214" s="58"/>
      <c r="L4214" s="13" t="str">
        <f t="shared" si="650"/>
        <v/>
      </c>
      <c r="M4214" s="13" t="str">
        <f t="shared" si="651"/>
        <v/>
      </c>
      <c r="Q4214" t="str">
        <f t="shared" si="652"/>
        <v/>
      </c>
      <c r="R4214" t="str">
        <f t="shared" si="653"/>
        <v/>
      </c>
      <c r="S4214" t="str">
        <f t="shared" si="654"/>
        <v/>
      </c>
      <c r="T4214" t="str">
        <f t="shared" si="655"/>
        <v/>
      </c>
      <c r="U4214" t="str">
        <f t="shared" si="656"/>
        <v/>
      </c>
      <c r="V4214" t="str">
        <f t="shared" si="657"/>
        <v/>
      </c>
      <c r="W4214" t="str">
        <f t="shared" si="658"/>
        <v/>
      </c>
      <c r="X4214">
        <f>IF($T4214="",N($X4213),IF(MATCH($T4214,$T$6:$T$10005,0)=ROW()-5,N($X4213)+1,N($X4213)))</f>
        <v>0</v>
      </c>
      <c r="Z4214" t="str">
        <f t="shared" si="659"/>
        <v/>
      </c>
      <c r="AA4214">
        <f>IF($V4214="",N($AA4213),IF(MATCH($V4214,$V$6:$V$10005,0)=ROW()-5,N($AA4213)+1,N($AA4213)))</f>
        <v>0</v>
      </c>
    </row>
    <row r="4215" spans="1:27" ht="21" customHeight="1" x14ac:dyDescent="0.95">
      <c r="A4215" s="56"/>
      <c r="B4215" s="57"/>
      <c r="C4215" s="57"/>
      <c r="D4215" s="57"/>
      <c r="E4215" s="56"/>
      <c r="F4215" s="57"/>
      <c r="G4215" s="57"/>
      <c r="H4215" s="56"/>
      <c r="I4215" s="56"/>
      <c r="J4215" s="58"/>
      <c r="K4215" s="58"/>
      <c r="L4215" s="13" t="str">
        <f t="shared" si="650"/>
        <v/>
      </c>
      <c r="M4215" s="13" t="str">
        <f t="shared" si="651"/>
        <v/>
      </c>
      <c r="Q4215" t="str">
        <f t="shared" si="652"/>
        <v/>
      </c>
      <c r="R4215" t="str">
        <f t="shared" si="653"/>
        <v/>
      </c>
      <c r="S4215" t="str">
        <f t="shared" si="654"/>
        <v/>
      </c>
      <c r="T4215" t="str">
        <f t="shared" si="655"/>
        <v/>
      </c>
      <c r="U4215" t="str">
        <f t="shared" si="656"/>
        <v/>
      </c>
      <c r="V4215" t="str">
        <f t="shared" si="657"/>
        <v/>
      </c>
      <c r="W4215" t="str">
        <f t="shared" si="658"/>
        <v/>
      </c>
      <c r="X4215">
        <f>IF($T4215="",N($X4214),IF(MATCH($T4215,$T$6:$T$10005,0)=ROW()-5,N($X4214)+1,N($X4214)))</f>
        <v>0</v>
      </c>
      <c r="Z4215" t="str">
        <f t="shared" si="659"/>
        <v/>
      </c>
      <c r="AA4215">
        <f>IF($V4215="",N($AA4214),IF(MATCH($V4215,$V$6:$V$10005,0)=ROW()-5,N($AA4214)+1,N($AA4214)))</f>
        <v>0</v>
      </c>
    </row>
    <row r="4216" spans="1:27" ht="21" customHeight="1" x14ac:dyDescent="0.95">
      <c r="A4216" s="56"/>
      <c r="B4216" s="57"/>
      <c r="C4216" s="57"/>
      <c r="D4216" s="57"/>
      <c r="E4216" s="56"/>
      <c r="F4216" s="57"/>
      <c r="G4216" s="57"/>
      <c r="H4216" s="56"/>
      <c r="I4216" s="56"/>
      <c r="J4216" s="58"/>
      <c r="K4216" s="58"/>
      <c r="L4216" s="13" t="str">
        <f t="shared" si="650"/>
        <v/>
      </c>
      <c r="M4216" s="13" t="str">
        <f t="shared" si="651"/>
        <v/>
      </c>
      <c r="Q4216" t="str">
        <f t="shared" si="652"/>
        <v/>
      </c>
      <c r="R4216" t="str">
        <f t="shared" si="653"/>
        <v/>
      </c>
      <c r="S4216" t="str">
        <f t="shared" si="654"/>
        <v/>
      </c>
      <c r="T4216" t="str">
        <f t="shared" si="655"/>
        <v/>
      </c>
      <c r="U4216" t="str">
        <f t="shared" si="656"/>
        <v/>
      </c>
      <c r="V4216" t="str">
        <f t="shared" si="657"/>
        <v/>
      </c>
      <c r="W4216" t="str">
        <f t="shared" si="658"/>
        <v/>
      </c>
      <c r="X4216">
        <f>IF($T4216="",N($X4215),IF(MATCH($T4216,$T$6:$T$10005,0)=ROW()-5,N($X4215)+1,N($X4215)))</f>
        <v>0</v>
      </c>
      <c r="Z4216" t="str">
        <f t="shared" si="659"/>
        <v/>
      </c>
      <c r="AA4216">
        <f>IF($V4216="",N($AA4215),IF(MATCH($V4216,$V$6:$V$10005,0)=ROW()-5,N($AA4215)+1,N($AA4215)))</f>
        <v>0</v>
      </c>
    </row>
    <row r="4217" spans="1:27" ht="21" customHeight="1" x14ac:dyDescent="0.95">
      <c r="A4217" s="56"/>
      <c r="B4217" s="57"/>
      <c r="C4217" s="57"/>
      <c r="D4217" s="57"/>
      <c r="E4217" s="56"/>
      <c r="F4217" s="57"/>
      <c r="G4217" s="57"/>
      <c r="H4217" s="56"/>
      <c r="I4217" s="56"/>
      <c r="J4217" s="58"/>
      <c r="K4217" s="58"/>
      <c r="L4217" s="13" t="str">
        <f t="shared" si="650"/>
        <v/>
      </c>
      <c r="M4217" s="13" t="str">
        <f t="shared" si="651"/>
        <v/>
      </c>
      <c r="Q4217" t="str">
        <f t="shared" si="652"/>
        <v/>
      </c>
      <c r="R4217" t="str">
        <f t="shared" si="653"/>
        <v/>
      </c>
      <c r="S4217" t="str">
        <f t="shared" si="654"/>
        <v/>
      </c>
      <c r="T4217" t="str">
        <f t="shared" si="655"/>
        <v/>
      </c>
      <c r="U4217" t="str">
        <f t="shared" si="656"/>
        <v/>
      </c>
      <c r="V4217" t="str">
        <f t="shared" si="657"/>
        <v/>
      </c>
      <c r="W4217" t="str">
        <f t="shared" si="658"/>
        <v/>
      </c>
      <c r="X4217">
        <f>IF($T4217="",N($X4216),IF(MATCH($T4217,$T$6:$T$10005,0)=ROW()-5,N($X4216)+1,N($X4216)))</f>
        <v>0</v>
      </c>
      <c r="Z4217" t="str">
        <f t="shared" si="659"/>
        <v/>
      </c>
      <c r="AA4217">
        <f>IF($V4217="",N($AA4216),IF(MATCH($V4217,$V$6:$V$10005,0)=ROW()-5,N($AA4216)+1,N($AA4216)))</f>
        <v>0</v>
      </c>
    </row>
    <row r="4218" spans="1:27" ht="21" customHeight="1" x14ac:dyDescent="0.95">
      <c r="A4218" s="56"/>
      <c r="B4218" s="57"/>
      <c r="C4218" s="57"/>
      <c r="D4218" s="57"/>
      <c r="E4218" s="56"/>
      <c r="F4218" s="57"/>
      <c r="G4218" s="57"/>
      <c r="H4218" s="56"/>
      <c r="I4218" s="56"/>
      <c r="J4218" s="58"/>
      <c r="K4218" s="58"/>
      <c r="L4218" s="13" t="str">
        <f t="shared" si="650"/>
        <v/>
      </c>
      <c r="M4218" s="13" t="str">
        <f t="shared" si="651"/>
        <v/>
      </c>
      <c r="Q4218" t="str">
        <f t="shared" si="652"/>
        <v/>
      </c>
      <c r="R4218" t="str">
        <f t="shared" si="653"/>
        <v/>
      </c>
      <c r="S4218" t="str">
        <f t="shared" si="654"/>
        <v/>
      </c>
      <c r="T4218" t="str">
        <f t="shared" si="655"/>
        <v/>
      </c>
      <c r="U4218" t="str">
        <f t="shared" si="656"/>
        <v/>
      </c>
      <c r="V4218" t="str">
        <f t="shared" si="657"/>
        <v/>
      </c>
      <c r="W4218" t="str">
        <f t="shared" si="658"/>
        <v/>
      </c>
      <c r="X4218">
        <f>IF($T4218="",N($X4217),IF(MATCH($T4218,$T$6:$T$10005,0)=ROW()-5,N($X4217)+1,N($X4217)))</f>
        <v>0</v>
      </c>
      <c r="Z4218" t="str">
        <f t="shared" si="659"/>
        <v/>
      </c>
      <c r="AA4218">
        <f>IF($V4218="",N($AA4217),IF(MATCH($V4218,$V$6:$V$10005,0)=ROW()-5,N($AA4217)+1,N($AA4217)))</f>
        <v>0</v>
      </c>
    </row>
    <row r="4219" spans="1:27" ht="21" customHeight="1" x14ac:dyDescent="0.95">
      <c r="A4219" s="56"/>
      <c r="B4219" s="57"/>
      <c r="C4219" s="57"/>
      <c r="D4219" s="57"/>
      <c r="E4219" s="56"/>
      <c r="F4219" s="57"/>
      <c r="G4219" s="57"/>
      <c r="H4219" s="56"/>
      <c r="I4219" s="56"/>
      <c r="J4219" s="58"/>
      <c r="K4219" s="58"/>
      <c r="L4219" s="13" t="str">
        <f t="shared" si="650"/>
        <v/>
      </c>
      <c r="M4219" s="13" t="str">
        <f t="shared" si="651"/>
        <v/>
      </c>
      <c r="Q4219" t="str">
        <f t="shared" si="652"/>
        <v/>
      </c>
      <c r="R4219" t="str">
        <f t="shared" si="653"/>
        <v/>
      </c>
      <c r="S4219" t="str">
        <f t="shared" si="654"/>
        <v/>
      </c>
      <c r="T4219" t="str">
        <f t="shared" si="655"/>
        <v/>
      </c>
      <c r="U4219" t="str">
        <f t="shared" si="656"/>
        <v/>
      </c>
      <c r="V4219" t="str">
        <f t="shared" si="657"/>
        <v/>
      </c>
      <c r="W4219" t="str">
        <f t="shared" si="658"/>
        <v/>
      </c>
      <c r="X4219">
        <f>IF($T4219="",N($X4218),IF(MATCH($T4219,$T$6:$T$10005,0)=ROW()-5,N($X4218)+1,N($X4218)))</f>
        <v>0</v>
      </c>
      <c r="Z4219" t="str">
        <f t="shared" si="659"/>
        <v/>
      </c>
      <c r="AA4219">
        <f>IF($V4219="",N($AA4218),IF(MATCH($V4219,$V$6:$V$10005,0)=ROW()-5,N($AA4218)+1,N($AA4218)))</f>
        <v>0</v>
      </c>
    </row>
    <row r="4220" spans="1:27" ht="21" customHeight="1" x14ac:dyDescent="0.95">
      <c r="A4220" s="56"/>
      <c r="B4220" s="57"/>
      <c r="C4220" s="57"/>
      <c r="D4220" s="57"/>
      <c r="E4220" s="56"/>
      <c r="F4220" s="57"/>
      <c r="G4220" s="57"/>
      <c r="H4220" s="56"/>
      <c r="I4220" s="56"/>
      <c r="J4220" s="58"/>
      <c r="K4220" s="58"/>
      <c r="L4220" s="13" t="str">
        <f t="shared" si="650"/>
        <v/>
      </c>
      <c r="M4220" s="13" t="str">
        <f t="shared" si="651"/>
        <v/>
      </c>
      <c r="Q4220" t="str">
        <f t="shared" si="652"/>
        <v/>
      </c>
      <c r="R4220" t="str">
        <f t="shared" si="653"/>
        <v/>
      </c>
      <c r="S4220" t="str">
        <f t="shared" si="654"/>
        <v/>
      </c>
      <c r="T4220" t="str">
        <f t="shared" si="655"/>
        <v/>
      </c>
      <c r="U4220" t="str">
        <f t="shared" si="656"/>
        <v/>
      </c>
      <c r="V4220" t="str">
        <f t="shared" si="657"/>
        <v/>
      </c>
      <c r="W4220" t="str">
        <f t="shared" si="658"/>
        <v/>
      </c>
      <c r="X4220">
        <f>IF($T4220="",N($X4219),IF(MATCH($T4220,$T$6:$T$10005,0)=ROW()-5,N($X4219)+1,N($X4219)))</f>
        <v>0</v>
      </c>
      <c r="Z4220" t="str">
        <f t="shared" si="659"/>
        <v/>
      </c>
      <c r="AA4220">
        <f>IF($V4220="",N($AA4219),IF(MATCH($V4220,$V$6:$V$10005,0)=ROW()-5,N($AA4219)+1,N($AA4219)))</f>
        <v>0</v>
      </c>
    </row>
    <row r="4221" spans="1:27" ht="21" customHeight="1" x14ac:dyDescent="0.95">
      <c r="A4221" s="56"/>
      <c r="B4221" s="57"/>
      <c r="C4221" s="57"/>
      <c r="D4221" s="57"/>
      <c r="E4221" s="56"/>
      <c r="F4221" s="57"/>
      <c r="G4221" s="57"/>
      <c r="H4221" s="56"/>
      <c r="I4221" s="56"/>
      <c r="J4221" s="58"/>
      <c r="K4221" s="58"/>
      <c r="L4221" s="13" t="str">
        <f t="shared" si="650"/>
        <v/>
      </c>
      <c r="M4221" s="13" t="str">
        <f t="shared" si="651"/>
        <v/>
      </c>
      <c r="Q4221" t="str">
        <f t="shared" si="652"/>
        <v/>
      </c>
      <c r="R4221" t="str">
        <f t="shared" si="653"/>
        <v/>
      </c>
      <c r="S4221" t="str">
        <f t="shared" si="654"/>
        <v/>
      </c>
      <c r="T4221" t="str">
        <f t="shared" si="655"/>
        <v/>
      </c>
      <c r="U4221" t="str">
        <f t="shared" si="656"/>
        <v/>
      </c>
      <c r="V4221" t="str">
        <f t="shared" si="657"/>
        <v/>
      </c>
      <c r="W4221" t="str">
        <f t="shared" si="658"/>
        <v/>
      </c>
      <c r="X4221">
        <f>IF($T4221="",N($X4220),IF(MATCH($T4221,$T$6:$T$10005,0)=ROW()-5,N($X4220)+1,N($X4220)))</f>
        <v>0</v>
      </c>
      <c r="Z4221" t="str">
        <f t="shared" si="659"/>
        <v/>
      </c>
      <c r="AA4221">
        <f>IF($V4221="",N($AA4220),IF(MATCH($V4221,$V$6:$V$10005,0)=ROW()-5,N($AA4220)+1,N($AA4220)))</f>
        <v>0</v>
      </c>
    </row>
    <row r="4222" spans="1:27" ht="21" customHeight="1" x14ac:dyDescent="0.95">
      <c r="A4222" s="56"/>
      <c r="B4222" s="57"/>
      <c r="C4222" s="57"/>
      <c r="D4222" s="57"/>
      <c r="E4222" s="56"/>
      <c r="F4222" s="57"/>
      <c r="G4222" s="57"/>
      <c r="H4222" s="56"/>
      <c r="I4222" s="56"/>
      <c r="J4222" s="58"/>
      <c r="K4222" s="58"/>
      <c r="L4222" s="13" t="str">
        <f t="shared" si="650"/>
        <v/>
      </c>
      <c r="M4222" s="13" t="str">
        <f t="shared" si="651"/>
        <v/>
      </c>
      <c r="Q4222" t="str">
        <f t="shared" si="652"/>
        <v/>
      </c>
      <c r="R4222" t="str">
        <f t="shared" si="653"/>
        <v/>
      </c>
      <c r="S4222" t="str">
        <f t="shared" si="654"/>
        <v/>
      </c>
      <c r="T4222" t="str">
        <f t="shared" si="655"/>
        <v/>
      </c>
      <c r="U4222" t="str">
        <f t="shared" si="656"/>
        <v/>
      </c>
      <c r="V4222" t="str">
        <f t="shared" si="657"/>
        <v/>
      </c>
      <c r="W4222" t="str">
        <f t="shared" si="658"/>
        <v/>
      </c>
      <c r="X4222">
        <f>IF($T4222="",N($X4221),IF(MATCH($T4222,$T$6:$T$10005,0)=ROW()-5,N($X4221)+1,N($X4221)))</f>
        <v>0</v>
      </c>
      <c r="Z4222" t="str">
        <f t="shared" si="659"/>
        <v/>
      </c>
      <c r="AA4222">
        <f>IF($V4222="",N($AA4221),IF(MATCH($V4222,$V$6:$V$10005,0)=ROW()-5,N($AA4221)+1,N($AA4221)))</f>
        <v>0</v>
      </c>
    </row>
    <row r="4223" spans="1:27" ht="21" customHeight="1" x14ac:dyDescent="0.95">
      <c r="A4223" s="56"/>
      <c r="B4223" s="57"/>
      <c r="C4223" s="57"/>
      <c r="D4223" s="57"/>
      <c r="E4223" s="56"/>
      <c r="F4223" s="57"/>
      <c r="G4223" s="57"/>
      <c r="H4223" s="56"/>
      <c r="I4223" s="56"/>
      <c r="J4223" s="58"/>
      <c r="K4223" s="58"/>
      <c r="L4223" s="13" t="str">
        <f t="shared" si="650"/>
        <v/>
      </c>
      <c r="M4223" s="13" t="str">
        <f t="shared" si="651"/>
        <v/>
      </c>
      <c r="Q4223" t="str">
        <f t="shared" si="652"/>
        <v/>
      </c>
      <c r="R4223" t="str">
        <f t="shared" si="653"/>
        <v/>
      </c>
      <c r="S4223" t="str">
        <f t="shared" si="654"/>
        <v/>
      </c>
      <c r="T4223" t="str">
        <f t="shared" si="655"/>
        <v/>
      </c>
      <c r="U4223" t="str">
        <f t="shared" si="656"/>
        <v/>
      </c>
      <c r="V4223" t="str">
        <f t="shared" si="657"/>
        <v/>
      </c>
      <c r="W4223" t="str">
        <f t="shared" si="658"/>
        <v/>
      </c>
      <c r="X4223">
        <f>IF($T4223="",N($X4222),IF(MATCH($T4223,$T$6:$T$10005,0)=ROW()-5,N($X4222)+1,N($X4222)))</f>
        <v>0</v>
      </c>
      <c r="Z4223" t="str">
        <f t="shared" si="659"/>
        <v/>
      </c>
      <c r="AA4223">
        <f>IF($V4223="",N($AA4222),IF(MATCH($V4223,$V$6:$V$10005,0)=ROW()-5,N($AA4222)+1,N($AA4222)))</f>
        <v>0</v>
      </c>
    </row>
    <row r="4224" spans="1:27" ht="21" customHeight="1" x14ac:dyDescent="0.95">
      <c r="A4224" s="56"/>
      <c r="B4224" s="57"/>
      <c r="C4224" s="57"/>
      <c r="D4224" s="57"/>
      <c r="E4224" s="56"/>
      <c r="F4224" s="57"/>
      <c r="G4224" s="57"/>
      <c r="H4224" s="56"/>
      <c r="I4224" s="56"/>
      <c r="J4224" s="58"/>
      <c r="K4224" s="58"/>
      <c r="L4224" s="13" t="str">
        <f t="shared" si="650"/>
        <v/>
      </c>
      <c r="M4224" s="13" t="str">
        <f t="shared" si="651"/>
        <v/>
      </c>
      <c r="Q4224" t="str">
        <f t="shared" si="652"/>
        <v/>
      </c>
      <c r="R4224" t="str">
        <f t="shared" si="653"/>
        <v/>
      </c>
      <c r="S4224" t="str">
        <f t="shared" si="654"/>
        <v/>
      </c>
      <c r="T4224" t="str">
        <f t="shared" si="655"/>
        <v/>
      </c>
      <c r="U4224" t="str">
        <f t="shared" si="656"/>
        <v/>
      </c>
      <c r="V4224" t="str">
        <f t="shared" si="657"/>
        <v/>
      </c>
      <c r="W4224" t="str">
        <f t="shared" si="658"/>
        <v/>
      </c>
      <c r="X4224">
        <f>IF($T4224="",N($X4223),IF(MATCH($T4224,$T$6:$T$10005,0)=ROW()-5,N($X4223)+1,N($X4223)))</f>
        <v>0</v>
      </c>
      <c r="Z4224" t="str">
        <f t="shared" si="659"/>
        <v/>
      </c>
      <c r="AA4224">
        <f>IF($V4224="",N($AA4223),IF(MATCH($V4224,$V$6:$V$10005,0)=ROW()-5,N($AA4223)+1,N($AA4223)))</f>
        <v>0</v>
      </c>
    </row>
    <row r="4225" spans="1:27" ht="21" customHeight="1" x14ac:dyDescent="0.95">
      <c r="A4225" s="56"/>
      <c r="B4225" s="57"/>
      <c r="C4225" s="57"/>
      <c r="D4225" s="57"/>
      <c r="E4225" s="56"/>
      <c r="F4225" s="57"/>
      <c r="G4225" s="57"/>
      <c r="H4225" s="56"/>
      <c r="I4225" s="56"/>
      <c r="J4225" s="58"/>
      <c r="K4225" s="58"/>
      <c r="L4225" s="13" t="str">
        <f t="shared" si="650"/>
        <v/>
      </c>
      <c r="M4225" s="13" t="str">
        <f t="shared" si="651"/>
        <v/>
      </c>
      <c r="Q4225" t="str">
        <f t="shared" si="652"/>
        <v/>
      </c>
      <c r="R4225" t="str">
        <f t="shared" si="653"/>
        <v/>
      </c>
      <c r="S4225" t="str">
        <f t="shared" si="654"/>
        <v/>
      </c>
      <c r="T4225" t="str">
        <f t="shared" si="655"/>
        <v/>
      </c>
      <c r="U4225" t="str">
        <f t="shared" si="656"/>
        <v/>
      </c>
      <c r="V4225" t="str">
        <f t="shared" si="657"/>
        <v/>
      </c>
      <c r="W4225" t="str">
        <f t="shared" si="658"/>
        <v/>
      </c>
      <c r="X4225">
        <f>IF($T4225="",N($X4224),IF(MATCH($T4225,$T$6:$T$10005,0)=ROW()-5,N($X4224)+1,N($X4224)))</f>
        <v>0</v>
      </c>
      <c r="Z4225" t="str">
        <f t="shared" si="659"/>
        <v/>
      </c>
      <c r="AA4225">
        <f>IF($V4225="",N($AA4224),IF(MATCH($V4225,$V$6:$V$10005,0)=ROW()-5,N($AA4224)+1,N($AA4224)))</f>
        <v>0</v>
      </c>
    </row>
    <row r="4226" spans="1:27" ht="21" customHeight="1" x14ac:dyDescent="0.95">
      <c r="A4226" s="56"/>
      <c r="B4226" s="57"/>
      <c r="C4226" s="57"/>
      <c r="D4226" s="57"/>
      <c r="E4226" s="56"/>
      <c r="F4226" s="57"/>
      <c r="G4226" s="57"/>
      <c r="H4226" s="56"/>
      <c r="I4226" s="56"/>
      <c r="J4226" s="58"/>
      <c r="K4226" s="58"/>
      <c r="L4226" s="13" t="str">
        <f t="shared" si="650"/>
        <v/>
      </c>
      <c r="M4226" s="13" t="str">
        <f t="shared" si="651"/>
        <v/>
      </c>
      <c r="Q4226" t="str">
        <f t="shared" si="652"/>
        <v/>
      </c>
      <c r="R4226" t="str">
        <f t="shared" si="653"/>
        <v/>
      </c>
      <c r="S4226" t="str">
        <f t="shared" si="654"/>
        <v/>
      </c>
      <c r="T4226" t="str">
        <f t="shared" si="655"/>
        <v/>
      </c>
      <c r="U4226" t="str">
        <f t="shared" si="656"/>
        <v/>
      </c>
      <c r="V4226" t="str">
        <f t="shared" si="657"/>
        <v/>
      </c>
      <c r="W4226" t="str">
        <f t="shared" si="658"/>
        <v/>
      </c>
      <c r="X4226">
        <f>IF($T4226="",N($X4225),IF(MATCH($T4226,$T$6:$T$10005,0)=ROW()-5,N($X4225)+1,N($X4225)))</f>
        <v>0</v>
      </c>
      <c r="Z4226" t="str">
        <f t="shared" si="659"/>
        <v/>
      </c>
      <c r="AA4226">
        <f>IF($V4226="",N($AA4225),IF(MATCH($V4226,$V$6:$V$10005,0)=ROW()-5,N($AA4225)+1,N($AA4225)))</f>
        <v>0</v>
      </c>
    </row>
    <row r="4227" spans="1:27" ht="21" customHeight="1" x14ac:dyDescent="0.95">
      <c r="A4227" s="56"/>
      <c r="B4227" s="57"/>
      <c r="C4227" s="57"/>
      <c r="D4227" s="57"/>
      <c r="E4227" s="56"/>
      <c r="F4227" s="57"/>
      <c r="G4227" s="57"/>
      <c r="H4227" s="56"/>
      <c r="I4227" s="56"/>
      <c r="J4227" s="58"/>
      <c r="K4227" s="58"/>
      <c r="L4227" s="13" t="str">
        <f t="shared" si="650"/>
        <v/>
      </c>
      <c r="M4227" s="13" t="str">
        <f t="shared" si="651"/>
        <v/>
      </c>
      <c r="Q4227" t="str">
        <f t="shared" si="652"/>
        <v/>
      </c>
      <c r="R4227" t="str">
        <f t="shared" si="653"/>
        <v/>
      </c>
      <c r="S4227" t="str">
        <f t="shared" si="654"/>
        <v/>
      </c>
      <c r="T4227" t="str">
        <f t="shared" si="655"/>
        <v/>
      </c>
      <c r="U4227" t="str">
        <f t="shared" si="656"/>
        <v/>
      </c>
      <c r="V4227" t="str">
        <f t="shared" si="657"/>
        <v/>
      </c>
      <c r="W4227" t="str">
        <f t="shared" si="658"/>
        <v/>
      </c>
      <c r="X4227">
        <f>IF($T4227="",N($X4226),IF(MATCH($T4227,$T$6:$T$10005,0)=ROW()-5,N($X4226)+1,N($X4226)))</f>
        <v>0</v>
      </c>
      <c r="Z4227" t="str">
        <f t="shared" si="659"/>
        <v/>
      </c>
      <c r="AA4227">
        <f>IF($V4227="",N($AA4226),IF(MATCH($V4227,$V$6:$V$10005,0)=ROW()-5,N($AA4226)+1,N($AA4226)))</f>
        <v>0</v>
      </c>
    </row>
    <row r="4228" spans="1:27" ht="21" customHeight="1" x14ac:dyDescent="0.95">
      <c r="A4228" s="56"/>
      <c r="B4228" s="57"/>
      <c r="C4228" s="57"/>
      <c r="D4228" s="57"/>
      <c r="E4228" s="56"/>
      <c r="F4228" s="57"/>
      <c r="G4228" s="57"/>
      <c r="H4228" s="56"/>
      <c r="I4228" s="56"/>
      <c r="J4228" s="58"/>
      <c r="K4228" s="58"/>
      <c r="L4228" s="13" t="str">
        <f t="shared" si="650"/>
        <v/>
      </c>
      <c r="M4228" s="13" t="str">
        <f t="shared" si="651"/>
        <v/>
      </c>
      <c r="Q4228" t="str">
        <f t="shared" si="652"/>
        <v/>
      </c>
      <c r="R4228" t="str">
        <f t="shared" si="653"/>
        <v/>
      </c>
      <c r="S4228" t="str">
        <f t="shared" si="654"/>
        <v/>
      </c>
      <c r="T4228" t="str">
        <f t="shared" si="655"/>
        <v/>
      </c>
      <c r="U4228" t="str">
        <f t="shared" si="656"/>
        <v/>
      </c>
      <c r="V4228" t="str">
        <f t="shared" si="657"/>
        <v/>
      </c>
      <c r="W4228" t="str">
        <f t="shared" si="658"/>
        <v/>
      </c>
      <c r="X4228">
        <f>IF($T4228="",N($X4227),IF(MATCH($T4228,$T$6:$T$10005,0)=ROW()-5,N($X4227)+1,N($X4227)))</f>
        <v>0</v>
      </c>
      <c r="Z4228" t="str">
        <f t="shared" si="659"/>
        <v/>
      </c>
      <c r="AA4228">
        <f>IF($V4228="",N($AA4227),IF(MATCH($V4228,$V$6:$V$10005,0)=ROW()-5,N($AA4227)+1,N($AA4227)))</f>
        <v>0</v>
      </c>
    </row>
    <row r="4229" spans="1:27" ht="21" customHeight="1" x14ac:dyDescent="0.95">
      <c r="A4229" s="56"/>
      <c r="B4229" s="57"/>
      <c r="C4229" s="57"/>
      <c r="D4229" s="57"/>
      <c r="E4229" s="56"/>
      <c r="F4229" s="57"/>
      <c r="G4229" s="57"/>
      <c r="H4229" s="56"/>
      <c r="I4229" s="56"/>
      <c r="J4229" s="58"/>
      <c r="K4229" s="58"/>
      <c r="L4229" s="13" t="str">
        <f t="shared" si="650"/>
        <v/>
      </c>
      <c r="M4229" s="13" t="str">
        <f t="shared" si="651"/>
        <v/>
      </c>
      <c r="Q4229" t="str">
        <f t="shared" si="652"/>
        <v/>
      </c>
      <c r="R4229" t="str">
        <f t="shared" si="653"/>
        <v/>
      </c>
      <c r="S4229" t="str">
        <f t="shared" si="654"/>
        <v/>
      </c>
      <c r="T4229" t="str">
        <f t="shared" si="655"/>
        <v/>
      </c>
      <c r="U4229" t="str">
        <f t="shared" si="656"/>
        <v/>
      </c>
      <c r="V4229" t="str">
        <f t="shared" si="657"/>
        <v/>
      </c>
      <c r="W4229" t="str">
        <f t="shared" si="658"/>
        <v/>
      </c>
      <c r="X4229">
        <f>IF($T4229="",N($X4228),IF(MATCH($T4229,$T$6:$T$10005,0)=ROW()-5,N($X4228)+1,N($X4228)))</f>
        <v>0</v>
      </c>
      <c r="Z4229" t="str">
        <f t="shared" si="659"/>
        <v/>
      </c>
      <c r="AA4229">
        <f>IF($V4229="",N($AA4228),IF(MATCH($V4229,$V$6:$V$10005,0)=ROW()-5,N($AA4228)+1,N($AA4228)))</f>
        <v>0</v>
      </c>
    </row>
    <row r="4230" spans="1:27" ht="21" customHeight="1" x14ac:dyDescent="0.95">
      <c r="A4230" s="56"/>
      <c r="B4230" s="57"/>
      <c r="C4230" s="57"/>
      <c r="D4230" s="57"/>
      <c r="E4230" s="56"/>
      <c r="F4230" s="57"/>
      <c r="G4230" s="57"/>
      <c r="H4230" s="56"/>
      <c r="I4230" s="56"/>
      <c r="J4230" s="58"/>
      <c r="K4230" s="58"/>
      <c r="L4230" s="13" t="str">
        <f t="shared" ref="L4230:L4293" si="660">IF(OR($A4230="",AND($J4230="",$K4230="")),"",ROUND(N($J4230)-N($K4230),2))</f>
        <v/>
      </c>
      <c r="M4230" s="13" t="str">
        <f t="shared" ref="M4230:M4293" si="661">IF(OR($A4230="",AND($J4230="",$K4230="")),"",MIN($J4230,$K4230))</f>
        <v/>
      </c>
      <c r="Q4230" t="str">
        <f t="shared" ref="Q4230:Q4293" si="662">IF($A4230="","",$D4230&amp;"("&amp;SUBSTITUTE($E4230," ","")&amp;")")</f>
        <v/>
      </c>
      <c r="R4230" t="str">
        <f t="shared" ref="R4230:R4293" si="663">IF($A4230="","",$B4230&amp;" - "&amp;$C4230)</f>
        <v/>
      </c>
      <c r="S4230" t="str">
        <f t="shared" ref="S4230:S4293" si="664">IF($A4230="","",$R4230&amp;"|"&amp;$Q4230)</f>
        <v/>
      </c>
      <c r="T4230" t="str">
        <f t="shared" ref="T4230:T4293" si="665">IF($A4230="","",$S4230&amp;"|"&amp;$F4230)</f>
        <v/>
      </c>
      <c r="U4230" t="str">
        <f t="shared" ref="U4230:U4293" si="666">IF($A4230="","",$R4230&amp;"("&amp;$E4230&amp;")")</f>
        <v/>
      </c>
      <c r="V4230" t="str">
        <f t="shared" ref="V4230:V4293" si="667">IF($A4230="","",$F4230&amp;"|"&amp;$U4230&amp;"|"&amp;$D4230)</f>
        <v/>
      </c>
      <c r="W4230" t="str">
        <f t="shared" ref="W4230:W4293" si="668">IF($T4230="","",IF($X4230&gt;N($X4229),$X4230,""))</f>
        <v/>
      </c>
      <c r="X4230">
        <f>IF($T4230="",N($X4229),IF(MATCH($T4230,$T$6:$T$10005,0)=ROW()-5,N($X4229)+1,N($X4229)))</f>
        <v>0</v>
      </c>
      <c r="Z4230" t="str">
        <f t="shared" ref="Z4230:Z4293" si="669">IF($V4230="","",IF($AA4230&gt;N($AA4229),$AA4230,""))</f>
        <v/>
      </c>
      <c r="AA4230">
        <f>IF($V4230="",N($AA4229),IF(MATCH($V4230,$V$6:$V$10005,0)=ROW()-5,N($AA4229)+1,N($AA4229)))</f>
        <v>0</v>
      </c>
    </row>
    <row r="4231" spans="1:27" ht="21" customHeight="1" x14ac:dyDescent="0.95">
      <c r="A4231" s="56"/>
      <c r="B4231" s="57"/>
      <c r="C4231" s="57"/>
      <c r="D4231" s="57"/>
      <c r="E4231" s="56"/>
      <c r="F4231" s="57"/>
      <c r="G4231" s="57"/>
      <c r="H4231" s="56"/>
      <c r="I4231" s="56"/>
      <c r="J4231" s="58"/>
      <c r="K4231" s="58"/>
      <c r="L4231" s="13" t="str">
        <f t="shared" si="660"/>
        <v/>
      </c>
      <c r="M4231" s="13" t="str">
        <f t="shared" si="661"/>
        <v/>
      </c>
      <c r="Q4231" t="str">
        <f t="shared" si="662"/>
        <v/>
      </c>
      <c r="R4231" t="str">
        <f t="shared" si="663"/>
        <v/>
      </c>
      <c r="S4231" t="str">
        <f t="shared" si="664"/>
        <v/>
      </c>
      <c r="T4231" t="str">
        <f t="shared" si="665"/>
        <v/>
      </c>
      <c r="U4231" t="str">
        <f t="shared" si="666"/>
        <v/>
      </c>
      <c r="V4231" t="str">
        <f t="shared" si="667"/>
        <v/>
      </c>
      <c r="W4231" t="str">
        <f t="shared" si="668"/>
        <v/>
      </c>
      <c r="X4231">
        <f>IF($T4231="",N($X4230),IF(MATCH($T4231,$T$6:$T$10005,0)=ROW()-5,N($X4230)+1,N($X4230)))</f>
        <v>0</v>
      </c>
      <c r="Z4231" t="str">
        <f t="shared" si="669"/>
        <v/>
      </c>
      <c r="AA4231">
        <f>IF($V4231="",N($AA4230),IF(MATCH($V4231,$V$6:$V$10005,0)=ROW()-5,N($AA4230)+1,N($AA4230)))</f>
        <v>0</v>
      </c>
    </row>
    <row r="4232" spans="1:27" ht="21" customHeight="1" x14ac:dyDescent="0.95">
      <c r="A4232" s="56"/>
      <c r="B4232" s="57"/>
      <c r="C4232" s="57"/>
      <c r="D4232" s="57"/>
      <c r="E4232" s="56"/>
      <c r="F4232" s="57"/>
      <c r="G4232" s="57"/>
      <c r="H4232" s="56"/>
      <c r="I4232" s="56"/>
      <c r="J4232" s="58"/>
      <c r="K4232" s="58"/>
      <c r="L4232" s="13" t="str">
        <f t="shared" si="660"/>
        <v/>
      </c>
      <c r="M4232" s="13" t="str">
        <f t="shared" si="661"/>
        <v/>
      </c>
      <c r="Q4232" t="str">
        <f t="shared" si="662"/>
        <v/>
      </c>
      <c r="R4232" t="str">
        <f t="shared" si="663"/>
        <v/>
      </c>
      <c r="S4232" t="str">
        <f t="shared" si="664"/>
        <v/>
      </c>
      <c r="T4232" t="str">
        <f t="shared" si="665"/>
        <v/>
      </c>
      <c r="U4232" t="str">
        <f t="shared" si="666"/>
        <v/>
      </c>
      <c r="V4232" t="str">
        <f t="shared" si="667"/>
        <v/>
      </c>
      <c r="W4232" t="str">
        <f t="shared" si="668"/>
        <v/>
      </c>
      <c r="X4232">
        <f>IF($T4232="",N($X4231),IF(MATCH($T4232,$T$6:$T$10005,0)=ROW()-5,N($X4231)+1,N($X4231)))</f>
        <v>0</v>
      </c>
      <c r="Z4232" t="str">
        <f t="shared" si="669"/>
        <v/>
      </c>
      <c r="AA4232">
        <f>IF($V4232="",N($AA4231),IF(MATCH($V4232,$V$6:$V$10005,0)=ROW()-5,N($AA4231)+1,N($AA4231)))</f>
        <v>0</v>
      </c>
    </row>
    <row r="4233" spans="1:27" ht="21" customHeight="1" x14ac:dyDescent="0.95">
      <c r="A4233" s="56"/>
      <c r="B4233" s="57"/>
      <c r="C4233" s="57"/>
      <c r="D4233" s="57"/>
      <c r="E4233" s="56"/>
      <c r="F4233" s="57"/>
      <c r="G4233" s="57"/>
      <c r="H4233" s="56"/>
      <c r="I4233" s="56"/>
      <c r="J4233" s="58"/>
      <c r="K4233" s="58"/>
      <c r="L4233" s="13" t="str">
        <f t="shared" si="660"/>
        <v/>
      </c>
      <c r="M4233" s="13" t="str">
        <f t="shared" si="661"/>
        <v/>
      </c>
      <c r="Q4233" t="str">
        <f t="shared" si="662"/>
        <v/>
      </c>
      <c r="R4233" t="str">
        <f t="shared" si="663"/>
        <v/>
      </c>
      <c r="S4233" t="str">
        <f t="shared" si="664"/>
        <v/>
      </c>
      <c r="T4233" t="str">
        <f t="shared" si="665"/>
        <v/>
      </c>
      <c r="U4233" t="str">
        <f t="shared" si="666"/>
        <v/>
      </c>
      <c r="V4233" t="str">
        <f t="shared" si="667"/>
        <v/>
      </c>
      <c r="W4233" t="str">
        <f t="shared" si="668"/>
        <v/>
      </c>
      <c r="X4233">
        <f>IF($T4233="",N($X4232),IF(MATCH($T4233,$T$6:$T$10005,0)=ROW()-5,N($X4232)+1,N($X4232)))</f>
        <v>0</v>
      </c>
      <c r="Z4233" t="str">
        <f t="shared" si="669"/>
        <v/>
      </c>
      <c r="AA4233">
        <f>IF($V4233="",N($AA4232),IF(MATCH($V4233,$V$6:$V$10005,0)=ROW()-5,N($AA4232)+1,N($AA4232)))</f>
        <v>0</v>
      </c>
    </row>
    <row r="4234" spans="1:27" ht="21" customHeight="1" x14ac:dyDescent="0.95">
      <c r="A4234" s="56"/>
      <c r="B4234" s="57"/>
      <c r="C4234" s="57"/>
      <c r="D4234" s="57"/>
      <c r="E4234" s="56"/>
      <c r="F4234" s="57"/>
      <c r="G4234" s="57"/>
      <c r="H4234" s="56"/>
      <c r="I4234" s="56"/>
      <c r="J4234" s="58"/>
      <c r="K4234" s="58"/>
      <c r="L4234" s="13" t="str">
        <f t="shared" si="660"/>
        <v/>
      </c>
      <c r="M4234" s="13" t="str">
        <f t="shared" si="661"/>
        <v/>
      </c>
      <c r="Q4234" t="str">
        <f t="shared" si="662"/>
        <v/>
      </c>
      <c r="R4234" t="str">
        <f t="shared" si="663"/>
        <v/>
      </c>
      <c r="S4234" t="str">
        <f t="shared" si="664"/>
        <v/>
      </c>
      <c r="T4234" t="str">
        <f t="shared" si="665"/>
        <v/>
      </c>
      <c r="U4234" t="str">
        <f t="shared" si="666"/>
        <v/>
      </c>
      <c r="V4234" t="str">
        <f t="shared" si="667"/>
        <v/>
      </c>
      <c r="W4234" t="str">
        <f t="shared" si="668"/>
        <v/>
      </c>
      <c r="X4234">
        <f>IF($T4234="",N($X4233),IF(MATCH($T4234,$T$6:$T$10005,0)=ROW()-5,N($X4233)+1,N($X4233)))</f>
        <v>0</v>
      </c>
      <c r="Z4234" t="str">
        <f t="shared" si="669"/>
        <v/>
      </c>
      <c r="AA4234">
        <f>IF($V4234="",N($AA4233),IF(MATCH($V4234,$V$6:$V$10005,0)=ROW()-5,N($AA4233)+1,N($AA4233)))</f>
        <v>0</v>
      </c>
    </row>
    <row r="4235" spans="1:27" ht="21" customHeight="1" x14ac:dyDescent="0.95">
      <c r="A4235" s="56"/>
      <c r="B4235" s="57"/>
      <c r="C4235" s="57"/>
      <c r="D4235" s="57"/>
      <c r="E4235" s="56"/>
      <c r="F4235" s="57"/>
      <c r="G4235" s="57"/>
      <c r="H4235" s="56"/>
      <c r="I4235" s="56"/>
      <c r="J4235" s="58"/>
      <c r="K4235" s="58"/>
      <c r="L4235" s="13" t="str">
        <f t="shared" si="660"/>
        <v/>
      </c>
      <c r="M4235" s="13" t="str">
        <f t="shared" si="661"/>
        <v/>
      </c>
      <c r="Q4235" t="str">
        <f t="shared" si="662"/>
        <v/>
      </c>
      <c r="R4235" t="str">
        <f t="shared" si="663"/>
        <v/>
      </c>
      <c r="S4235" t="str">
        <f t="shared" si="664"/>
        <v/>
      </c>
      <c r="T4235" t="str">
        <f t="shared" si="665"/>
        <v/>
      </c>
      <c r="U4235" t="str">
        <f t="shared" si="666"/>
        <v/>
      </c>
      <c r="V4235" t="str">
        <f t="shared" si="667"/>
        <v/>
      </c>
      <c r="W4235" t="str">
        <f t="shared" si="668"/>
        <v/>
      </c>
      <c r="X4235">
        <f>IF($T4235="",N($X4234),IF(MATCH($T4235,$T$6:$T$10005,0)=ROW()-5,N($X4234)+1,N($X4234)))</f>
        <v>0</v>
      </c>
      <c r="Z4235" t="str">
        <f t="shared" si="669"/>
        <v/>
      </c>
      <c r="AA4235">
        <f>IF($V4235="",N($AA4234),IF(MATCH($V4235,$V$6:$V$10005,0)=ROW()-5,N($AA4234)+1,N($AA4234)))</f>
        <v>0</v>
      </c>
    </row>
    <row r="4236" spans="1:27" ht="21" customHeight="1" x14ac:dyDescent="0.95">
      <c r="A4236" s="56"/>
      <c r="B4236" s="57"/>
      <c r="C4236" s="57"/>
      <c r="D4236" s="57"/>
      <c r="E4236" s="56"/>
      <c r="F4236" s="57"/>
      <c r="G4236" s="57"/>
      <c r="H4236" s="56"/>
      <c r="I4236" s="56"/>
      <c r="J4236" s="58"/>
      <c r="K4236" s="58"/>
      <c r="L4236" s="13" t="str">
        <f t="shared" si="660"/>
        <v/>
      </c>
      <c r="M4236" s="13" t="str">
        <f t="shared" si="661"/>
        <v/>
      </c>
      <c r="Q4236" t="str">
        <f t="shared" si="662"/>
        <v/>
      </c>
      <c r="R4236" t="str">
        <f t="shared" si="663"/>
        <v/>
      </c>
      <c r="S4236" t="str">
        <f t="shared" si="664"/>
        <v/>
      </c>
      <c r="T4236" t="str">
        <f t="shared" si="665"/>
        <v/>
      </c>
      <c r="U4236" t="str">
        <f t="shared" si="666"/>
        <v/>
      </c>
      <c r="V4236" t="str">
        <f t="shared" si="667"/>
        <v/>
      </c>
      <c r="W4236" t="str">
        <f t="shared" si="668"/>
        <v/>
      </c>
      <c r="X4236">
        <f>IF($T4236="",N($X4235),IF(MATCH($T4236,$T$6:$T$10005,0)=ROW()-5,N($X4235)+1,N($X4235)))</f>
        <v>0</v>
      </c>
      <c r="Z4236" t="str">
        <f t="shared" si="669"/>
        <v/>
      </c>
      <c r="AA4236">
        <f>IF($V4236="",N($AA4235),IF(MATCH($V4236,$V$6:$V$10005,0)=ROW()-5,N($AA4235)+1,N($AA4235)))</f>
        <v>0</v>
      </c>
    </row>
    <row r="4237" spans="1:27" ht="21" customHeight="1" x14ac:dyDescent="0.95">
      <c r="A4237" s="56"/>
      <c r="B4237" s="57"/>
      <c r="C4237" s="57"/>
      <c r="D4237" s="57"/>
      <c r="E4237" s="56"/>
      <c r="F4237" s="57"/>
      <c r="G4237" s="57"/>
      <c r="H4237" s="56"/>
      <c r="I4237" s="56"/>
      <c r="J4237" s="58"/>
      <c r="K4237" s="58"/>
      <c r="L4237" s="13" t="str">
        <f t="shared" si="660"/>
        <v/>
      </c>
      <c r="M4237" s="13" t="str">
        <f t="shared" si="661"/>
        <v/>
      </c>
      <c r="Q4237" t="str">
        <f t="shared" si="662"/>
        <v/>
      </c>
      <c r="R4237" t="str">
        <f t="shared" si="663"/>
        <v/>
      </c>
      <c r="S4237" t="str">
        <f t="shared" si="664"/>
        <v/>
      </c>
      <c r="T4237" t="str">
        <f t="shared" si="665"/>
        <v/>
      </c>
      <c r="U4237" t="str">
        <f t="shared" si="666"/>
        <v/>
      </c>
      <c r="V4237" t="str">
        <f t="shared" si="667"/>
        <v/>
      </c>
      <c r="W4237" t="str">
        <f t="shared" si="668"/>
        <v/>
      </c>
      <c r="X4237">
        <f>IF($T4237="",N($X4236),IF(MATCH($T4237,$T$6:$T$10005,0)=ROW()-5,N($X4236)+1,N($X4236)))</f>
        <v>0</v>
      </c>
      <c r="Z4237" t="str">
        <f t="shared" si="669"/>
        <v/>
      </c>
      <c r="AA4237">
        <f>IF($V4237="",N($AA4236),IF(MATCH($V4237,$V$6:$V$10005,0)=ROW()-5,N($AA4236)+1,N($AA4236)))</f>
        <v>0</v>
      </c>
    </row>
    <row r="4238" spans="1:27" ht="21" customHeight="1" x14ac:dyDescent="0.95">
      <c r="A4238" s="56"/>
      <c r="B4238" s="57"/>
      <c r="C4238" s="57"/>
      <c r="D4238" s="57"/>
      <c r="E4238" s="56"/>
      <c r="F4238" s="57"/>
      <c r="G4238" s="57"/>
      <c r="H4238" s="56"/>
      <c r="I4238" s="56"/>
      <c r="J4238" s="58"/>
      <c r="K4238" s="58"/>
      <c r="L4238" s="13" t="str">
        <f t="shared" si="660"/>
        <v/>
      </c>
      <c r="M4238" s="13" t="str">
        <f t="shared" si="661"/>
        <v/>
      </c>
      <c r="Q4238" t="str">
        <f t="shared" si="662"/>
        <v/>
      </c>
      <c r="R4238" t="str">
        <f t="shared" si="663"/>
        <v/>
      </c>
      <c r="S4238" t="str">
        <f t="shared" si="664"/>
        <v/>
      </c>
      <c r="T4238" t="str">
        <f t="shared" si="665"/>
        <v/>
      </c>
      <c r="U4238" t="str">
        <f t="shared" si="666"/>
        <v/>
      </c>
      <c r="V4238" t="str">
        <f t="shared" si="667"/>
        <v/>
      </c>
      <c r="W4238" t="str">
        <f t="shared" si="668"/>
        <v/>
      </c>
      <c r="X4238">
        <f>IF($T4238="",N($X4237),IF(MATCH($T4238,$T$6:$T$10005,0)=ROW()-5,N($X4237)+1,N($X4237)))</f>
        <v>0</v>
      </c>
      <c r="Z4238" t="str">
        <f t="shared" si="669"/>
        <v/>
      </c>
      <c r="AA4238">
        <f>IF($V4238="",N($AA4237),IF(MATCH($V4238,$V$6:$V$10005,0)=ROW()-5,N($AA4237)+1,N($AA4237)))</f>
        <v>0</v>
      </c>
    </row>
    <row r="4239" spans="1:27" ht="21" customHeight="1" x14ac:dyDescent="0.95">
      <c r="A4239" s="56"/>
      <c r="B4239" s="57"/>
      <c r="C4239" s="57"/>
      <c r="D4239" s="57"/>
      <c r="E4239" s="56"/>
      <c r="F4239" s="57"/>
      <c r="G4239" s="57"/>
      <c r="H4239" s="56"/>
      <c r="I4239" s="56"/>
      <c r="J4239" s="58"/>
      <c r="K4239" s="58"/>
      <c r="L4239" s="13" t="str">
        <f t="shared" si="660"/>
        <v/>
      </c>
      <c r="M4239" s="13" t="str">
        <f t="shared" si="661"/>
        <v/>
      </c>
      <c r="Q4239" t="str">
        <f t="shared" si="662"/>
        <v/>
      </c>
      <c r="R4239" t="str">
        <f t="shared" si="663"/>
        <v/>
      </c>
      <c r="S4239" t="str">
        <f t="shared" si="664"/>
        <v/>
      </c>
      <c r="T4239" t="str">
        <f t="shared" si="665"/>
        <v/>
      </c>
      <c r="U4239" t="str">
        <f t="shared" si="666"/>
        <v/>
      </c>
      <c r="V4239" t="str">
        <f t="shared" si="667"/>
        <v/>
      </c>
      <c r="W4239" t="str">
        <f t="shared" si="668"/>
        <v/>
      </c>
      <c r="X4239">
        <f>IF($T4239="",N($X4238),IF(MATCH($T4239,$T$6:$T$10005,0)=ROW()-5,N($X4238)+1,N($X4238)))</f>
        <v>0</v>
      </c>
      <c r="Z4239" t="str">
        <f t="shared" si="669"/>
        <v/>
      </c>
      <c r="AA4239">
        <f>IF($V4239="",N($AA4238),IF(MATCH($V4239,$V$6:$V$10005,0)=ROW()-5,N($AA4238)+1,N($AA4238)))</f>
        <v>0</v>
      </c>
    </row>
    <row r="4240" spans="1:27" ht="21" customHeight="1" x14ac:dyDescent="0.95">
      <c r="A4240" s="56"/>
      <c r="B4240" s="57"/>
      <c r="C4240" s="57"/>
      <c r="D4240" s="57"/>
      <c r="E4240" s="56"/>
      <c r="F4240" s="57"/>
      <c r="G4240" s="57"/>
      <c r="H4240" s="56"/>
      <c r="I4240" s="56"/>
      <c r="J4240" s="58"/>
      <c r="K4240" s="58"/>
      <c r="L4240" s="13" t="str">
        <f t="shared" si="660"/>
        <v/>
      </c>
      <c r="M4240" s="13" t="str">
        <f t="shared" si="661"/>
        <v/>
      </c>
      <c r="Q4240" t="str">
        <f t="shared" si="662"/>
        <v/>
      </c>
      <c r="R4240" t="str">
        <f t="shared" si="663"/>
        <v/>
      </c>
      <c r="S4240" t="str">
        <f t="shared" si="664"/>
        <v/>
      </c>
      <c r="T4240" t="str">
        <f t="shared" si="665"/>
        <v/>
      </c>
      <c r="U4240" t="str">
        <f t="shared" si="666"/>
        <v/>
      </c>
      <c r="V4240" t="str">
        <f t="shared" si="667"/>
        <v/>
      </c>
      <c r="W4240" t="str">
        <f t="shared" si="668"/>
        <v/>
      </c>
      <c r="X4240">
        <f>IF($T4240="",N($X4239),IF(MATCH($T4240,$T$6:$T$10005,0)=ROW()-5,N($X4239)+1,N($X4239)))</f>
        <v>0</v>
      </c>
      <c r="Z4240" t="str">
        <f t="shared" si="669"/>
        <v/>
      </c>
      <c r="AA4240">
        <f>IF($V4240="",N($AA4239),IF(MATCH($V4240,$V$6:$V$10005,0)=ROW()-5,N($AA4239)+1,N($AA4239)))</f>
        <v>0</v>
      </c>
    </row>
    <row r="4241" spans="1:27" ht="21" customHeight="1" x14ac:dyDescent="0.95">
      <c r="A4241" s="56"/>
      <c r="B4241" s="57"/>
      <c r="C4241" s="57"/>
      <c r="D4241" s="57"/>
      <c r="E4241" s="56"/>
      <c r="F4241" s="57"/>
      <c r="G4241" s="57"/>
      <c r="H4241" s="56"/>
      <c r="I4241" s="56"/>
      <c r="J4241" s="58"/>
      <c r="K4241" s="58"/>
      <c r="L4241" s="13" t="str">
        <f t="shared" si="660"/>
        <v/>
      </c>
      <c r="M4241" s="13" t="str">
        <f t="shared" si="661"/>
        <v/>
      </c>
      <c r="Q4241" t="str">
        <f t="shared" si="662"/>
        <v/>
      </c>
      <c r="R4241" t="str">
        <f t="shared" si="663"/>
        <v/>
      </c>
      <c r="S4241" t="str">
        <f t="shared" si="664"/>
        <v/>
      </c>
      <c r="T4241" t="str">
        <f t="shared" si="665"/>
        <v/>
      </c>
      <c r="U4241" t="str">
        <f t="shared" si="666"/>
        <v/>
      </c>
      <c r="V4241" t="str">
        <f t="shared" si="667"/>
        <v/>
      </c>
      <c r="W4241" t="str">
        <f t="shared" si="668"/>
        <v/>
      </c>
      <c r="X4241">
        <f>IF($T4241="",N($X4240),IF(MATCH($T4241,$T$6:$T$10005,0)=ROW()-5,N($X4240)+1,N($X4240)))</f>
        <v>0</v>
      </c>
      <c r="Z4241" t="str">
        <f t="shared" si="669"/>
        <v/>
      </c>
      <c r="AA4241">
        <f>IF($V4241="",N($AA4240),IF(MATCH($V4241,$V$6:$V$10005,0)=ROW()-5,N($AA4240)+1,N($AA4240)))</f>
        <v>0</v>
      </c>
    </row>
    <row r="4242" spans="1:27" ht="21" customHeight="1" x14ac:dyDescent="0.95">
      <c r="A4242" s="56"/>
      <c r="B4242" s="57"/>
      <c r="C4242" s="57"/>
      <c r="D4242" s="57"/>
      <c r="E4242" s="56"/>
      <c r="F4242" s="57"/>
      <c r="G4242" s="57"/>
      <c r="H4242" s="56"/>
      <c r="I4242" s="56"/>
      <c r="J4242" s="58"/>
      <c r="K4242" s="58"/>
      <c r="L4242" s="13" t="str">
        <f t="shared" si="660"/>
        <v/>
      </c>
      <c r="M4242" s="13" t="str">
        <f t="shared" si="661"/>
        <v/>
      </c>
      <c r="Q4242" t="str">
        <f t="shared" si="662"/>
        <v/>
      </c>
      <c r="R4242" t="str">
        <f t="shared" si="663"/>
        <v/>
      </c>
      <c r="S4242" t="str">
        <f t="shared" si="664"/>
        <v/>
      </c>
      <c r="T4242" t="str">
        <f t="shared" si="665"/>
        <v/>
      </c>
      <c r="U4242" t="str">
        <f t="shared" si="666"/>
        <v/>
      </c>
      <c r="V4242" t="str">
        <f t="shared" si="667"/>
        <v/>
      </c>
      <c r="W4242" t="str">
        <f t="shared" si="668"/>
        <v/>
      </c>
      <c r="X4242">
        <f>IF($T4242="",N($X4241),IF(MATCH($T4242,$T$6:$T$10005,0)=ROW()-5,N($X4241)+1,N($X4241)))</f>
        <v>0</v>
      </c>
      <c r="Z4242" t="str">
        <f t="shared" si="669"/>
        <v/>
      </c>
      <c r="AA4242">
        <f>IF($V4242="",N($AA4241),IF(MATCH($V4242,$V$6:$V$10005,0)=ROW()-5,N($AA4241)+1,N($AA4241)))</f>
        <v>0</v>
      </c>
    </row>
    <row r="4243" spans="1:27" ht="21" customHeight="1" x14ac:dyDescent="0.95">
      <c r="A4243" s="56"/>
      <c r="B4243" s="57"/>
      <c r="C4243" s="57"/>
      <c r="D4243" s="57"/>
      <c r="E4243" s="56"/>
      <c r="F4243" s="57"/>
      <c r="G4243" s="57"/>
      <c r="H4243" s="56"/>
      <c r="I4243" s="56"/>
      <c r="J4243" s="58"/>
      <c r="K4243" s="58"/>
      <c r="L4243" s="13" t="str">
        <f t="shared" si="660"/>
        <v/>
      </c>
      <c r="M4243" s="13" t="str">
        <f t="shared" si="661"/>
        <v/>
      </c>
      <c r="Q4243" t="str">
        <f t="shared" si="662"/>
        <v/>
      </c>
      <c r="R4243" t="str">
        <f t="shared" si="663"/>
        <v/>
      </c>
      <c r="S4243" t="str">
        <f t="shared" si="664"/>
        <v/>
      </c>
      <c r="T4243" t="str">
        <f t="shared" si="665"/>
        <v/>
      </c>
      <c r="U4243" t="str">
        <f t="shared" si="666"/>
        <v/>
      </c>
      <c r="V4243" t="str">
        <f t="shared" si="667"/>
        <v/>
      </c>
      <c r="W4243" t="str">
        <f t="shared" si="668"/>
        <v/>
      </c>
      <c r="X4243">
        <f>IF($T4243="",N($X4242),IF(MATCH($T4243,$T$6:$T$10005,0)=ROW()-5,N($X4242)+1,N($X4242)))</f>
        <v>0</v>
      </c>
      <c r="Z4243" t="str">
        <f t="shared" si="669"/>
        <v/>
      </c>
      <c r="AA4243">
        <f>IF($V4243="",N($AA4242),IF(MATCH($V4243,$V$6:$V$10005,0)=ROW()-5,N($AA4242)+1,N($AA4242)))</f>
        <v>0</v>
      </c>
    </row>
    <row r="4244" spans="1:27" ht="21" customHeight="1" x14ac:dyDescent="0.95">
      <c r="A4244" s="56"/>
      <c r="B4244" s="57"/>
      <c r="C4244" s="57"/>
      <c r="D4244" s="57"/>
      <c r="E4244" s="56"/>
      <c r="F4244" s="57"/>
      <c r="G4244" s="57"/>
      <c r="H4244" s="56"/>
      <c r="I4244" s="56"/>
      <c r="J4244" s="58"/>
      <c r="K4244" s="58"/>
      <c r="L4244" s="13" t="str">
        <f t="shared" si="660"/>
        <v/>
      </c>
      <c r="M4244" s="13" t="str">
        <f t="shared" si="661"/>
        <v/>
      </c>
      <c r="Q4244" t="str">
        <f t="shared" si="662"/>
        <v/>
      </c>
      <c r="R4244" t="str">
        <f t="shared" si="663"/>
        <v/>
      </c>
      <c r="S4244" t="str">
        <f t="shared" si="664"/>
        <v/>
      </c>
      <c r="T4244" t="str">
        <f t="shared" si="665"/>
        <v/>
      </c>
      <c r="U4244" t="str">
        <f t="shared" si="666"/>
        <v/>
      </c>
      <c r="V4244" t="str">
        <f t="shared" si="667"/>
        <v/>
      </c>
      <c r="W4244" t="str">
        <f t="shared" si="668"/>
        <v/>
      </c>
      <c r="X4244">
        <f>IF($T4244="",N($X4243),IF(MATCH($T4244,$T$6:$T$10005,0)=ROW()-5,N($X4243)+1,N($X4243)))</f>
        <v>0</v>
      </c>
      <c r="Z4244" t="str">
        <f t="shared" si="669"/>
        <v/>
      </c>
      <c r="AA4244">
        <f>IF($V4244="",N($AA4243),IF(MATCH($V4244,$V$6:$V$10005,0)=ROW()-5,N($AA4243)+1,N($AA4243)))</f>
        <v>0</v>
      </c>
    </row>
    <row r="4245" spans="1:27" ht="21" customHeight="1" x14ac:dyDescent="0.95">
      <c r="A4245" s="56"/>
      <c r="B4245" s="57"/>
      <c r="C4245" s="57"/>
      <c r="D4245" s="57"/>
      <c r="E4245" s="56"/>
      <c r="F4245" s="57"/>
      <c r="G4245" s="57"/>
      <c r="H4245" s="56"/>
      <c r="I4245" s="56"/>
      <c r="J4245" s="58"/>
      <c r="K4245" s="58"/>
      <c r="L4245" s="13" t="str">
        <f t="shared" si="660"/>
        <v/>
      </c>
      <c r="M4245" s="13" t="str">
        <f t="shared" si="661"/>
        <v/>
      </c>
      <c r="Q4245" t="str">
        <f t="shared" si="662"/>
        <v/>
      </c>
      <c r="R4245" t="str">
        <f t="shared" si="663"/>
        <v/>
      </c>
      <c r="S4245" t="str">
        <f t="shared" si="664"/>
        <v/>
      </c>
      <c r="T4245" t="str">
        <f t="shared" si="665"/>
        <v/>
      </c>
      <c r="U4245" t="str">
        <f t="shared" si="666"/>
        <v/>
      </c>
      <c r="V4245" t="str">
        <f t="shared" si="667"/>
        <v/>
      </c>
      <c r="W4245" t="str">
        <f t="shared" si="668"/>
        <v/>
      </c>
      <c r="X4245">
        <f>IF($T4245="",N($X4244),IF(MATCH($T4245,$T$6:$T$10005,0)=ROW()-5,N($X4244)+1,N($X4244)))</f>
        <v>0</v>
      </c>
      <c r="Z4245" t="str">
        <f t="shared" si="669"/>
        <v/>
      </c>
      <c r="AA4245">
        <f>IF($V4245="",N($AA4244),IF(MATCH($V4245,$V$6:$V$10005,0)=ROW()-5,N($AA4244)+1,N($AA4244)))</f>
        <v>0</v>
      </c>
    </row>
    <row r="4246" spans="1:27" ht="21" customHeight="1" x14ac:dyDescent="0.95">
      <c r="A4246" s="56"/>
      <c r="B4246" s="57"/>
      <c r="C4246" s="57"/>
      <c r="D4246" s="57"/>
      <c r="E4246" s="56"/>
      <c r="F4246" s="57"/>
      <c r="G4246" s="57"/>
      <c r="H4246" s="56"/>
      <c r="I4246" s="56"/>
      <c r="J4246" s="58"/>
      <c r="K4246" s="58"/>
      <c r="L4246" s="13" t="str">
        <f t="shared" si="660"/>
        <v/>
      </c>
      <c r="M4246" s="13" t="str">
        <f t="shared" si="661"/>
        <v/>
      </c>
      <c r="Q4246" t="str">
        <f t="shared" si="662"/>
        <v/>
      </c>
      <c r="R4246" t="str">
        <f t="shared" si="663"/>
        <v/>
      </c>
      <c r="S4246" t="str">
        <f t="shared" si="664"/>
        <v/>
      </c>
      <c r="T4246" t="str">
        <f t="shared" si="665"/>
        <v/>
      </c>
      <c r="U4246" t="str">
        <f t="shared" si="666"/>
        <v/>
      </c>
      <c r="V4246" t="str">
        <f t="shared" si="667"/>
        <v/>
      </c>
      <c r="W4246" t="str">
        <f t="shared" si="668"/>
        <v/>
      </c>
      <c r="X4246">
        <f>IF($T4246="",N($X4245),IF(MATCH($T4246,$T$6:$T$10005,0)=ROW()-5,N($X4245)+1,N($X4245)))</f>
        <v>0</v>
      </c>
      <c r="Z4246" t="str">
        <f t="shared" si="669"/>
        <v/>
      </c>
      <c r="AA4246">
        <f>IF($V4246="",N($AA4245),IF(MATCH($V4246,$V$6:$V$10005,0)=ROW()-5,N($AA4245)+1,N($AA4245)))</f>
        <v>0</v>
      </c>
    </row>
    <row r="4247" spans="1:27" ht="21" customHeight="1" x14ac:dyDescent="0.95">
      <c r="A4247" s="56"/>
      <c r="B4247" s="57"/>
      <c r="C4247" s="57"/>
      <c r="D4247" s="57"/>
      <c r="E4247" s="56"/>
      <c r="F4247" s="57"/>
      <c r="G4247" s="57"/>
      <c r="H4247" s="56"/>
      <c r="I4247" s="56"/>
      <c r="J4247" s="58"/>
      <c r="K4247" s="58"/>
      <c r="L4247" s="13" t="str">
        <f t="shared" si="660"/>
        <v/>
      </c>
      <c r="M4247" s="13" t="str">
        <f t="shared" si="661"/>
        <v/>
      </c>
      <c r="Q4247" t="str">
        <f t="shared" si="662"/>
        <v/>
      </c>
      <c r="R4247" t="str">
        <f t="shared" si="663"/>
        <v/>
      </c>
      <c r="S4247" t="str">
        <f t="shared" si="664"/>
        <v/>
      </c>
      <c r="T4247" t="str">
        <f t="shared" si="665"/>
        <v/>
      </c>
      <c r="U4247" t="str">
        <f t="shared" si="666"/>
        <v/>
      </c>
      <c r="V4247" t="str">
        <f t="shared" si="667"/>
        <v/>
      </c>
      <c r="W4247" t="str">
        <f t="shared" si="668"/>
        <v/>
      </c>
      <c r="X4247">
        <f>IF($T4247="",N($X4246),IF(MATCH($T4247,$T$6:$T$10005,0)=ROW()-5,N($X4246)+1,N($X4246)))</f>
        <v>0</v>
      </c>
      <c r="Z4247" t="str">
        <f t="shared" si="669"/>
        <v/>
      </c>
      <c r="AA4247">
        <f>IF($V4247="",N($AA4246),IF(MATCH($V4247,$V$6:$V$10005,0)=ROW()-5,N($AA4246)+1,N($AA4246)))</f>
        <v>0</v>
      </c>
    </row>
    <row r="4248" spans="1:27" ht="21" customHeight="1" x14ac:dyDescent="0.95">
      <c r="A4248" s="56"/>
      <c r="B4248" s="57"/>
      <c r="C4248" s="57"/>
      <c r="D4248" s="57"/>
      <c r="E4248" s="56"/>
      <c r="F4248" s="57"/>
      <c r="G4248" s="57"/>
      <c r="H4248" s="56"/>
      <c r="I4248" s="56"/>
      <c r="J4248" s="58"/>
      <c r="K4248" s="58"/>
      <c r="L4248" s="13" t="str">
        <f t="shared" si="660"/>
        <v/>
      </c>
      <c r="M4248" s="13" t="str">
        <f t="shared" si="661"/>
        <v/>
      </c>
      <c r="Q4248" t="str">
        <f t="shared" si="662"/>
        <v/>
      </c>
      <c r="R4248" t="str">
        <f t="shared" si="663"/>
        <v/>
      </c>
      <c r="S4248" t="str">
        <f t="shared" si="664"/>
        <v/>
      </c>
      <c r="T4248" t="str">
        <f t="shared" si="665"/>
        <v/>
      </c>
      <c r="U4248" t="str">
        <f t="shared" si="666"/>
        <v/>
      </c>
      <c r="V4248" t="str">
        <f t="shared" si="667"/>
        <v/>
      </c>
      <c r="W4248" t="str">
        <f t="shared" si="668"/>
        <v/>
      </c>
      <c r="X4248">
        <f>IF($T4248="",N($X4247),IF(MATCH($T4248,$T$6:$T$10005,0)=ROW()-5,N($X4247)+1,N($X4247)))</f>
        <v>0</v>
      </c>
      <c r="Z4248" t="str">
        <f t="shared" si="669"/>
        <v/>
      </c>
      <c r="AA4248">
        <f>IF($V4248="",N($AA4247),IF(MATCH($V4248,$V$6:$V$10005,0)=ROW()-5,N($AA4247)+1,N($AA4247)))</f>
        <v>0</v>
      </c>
    </row>
    <row r="4249" spans="1:27" ht="21" customHeight="1" x14ac:dyDescent="0.95">
      <c r="A4249" s="56"/>
      <c r="B4249" s="57"/>
      <c r="C4249" s="57"/>
      <c r="D4249" s="57"/>
      <c r="E4249" s="56"/>
      <c r="F4249" s="57"/>
      <c r="G4249" s="57"/>
      <c r="H4249" s="56"/>
      <c r="I4249" s="56"/>
      <c r="J4249" s="58"/>
      <c r="K4249" s="58"/>
      <c r="L4249" s="13" t="str">
        <f t="shared" si="660"/>
        <v/>
      </c>
      <c r="M4249" s="13" t="str">
        <f t="shared" si="661"/>
        <v/>
      </c>
      <c r="Q4249" t="str">
        <f t="shared" si="662"/>
        <v/>
      </c>
      <c r="R4249" t="str">
        <f t="shared" si="663"/>
        <v/>
      </c>
      <c r="S4249" t="str">
        <f t="shared" si="664"/>
        <v/>
      </c>
      <c r="T4249" t="str">
        <f t="shared" si="665"/>
        <v/>
      </c>
      <c r="U4249" t="str">
        <f t="shared" si="666"/>
        <v/>
      </c>
      <c r="V4249" t="str">
        <f t="shared" si="667"/>
        <v/>
      </c>
      <c r="W4249" t="str">
        <f t="shared" si="668"/>
        <v/>
      </c>
      <c r="X4249">
        <f>IF($T4249="",N($X4248),IF(MATCH($T4249,$T$6:$T$10005,0)=ROW()-5,N($X4248)+1,N($X4248)))</f>
        <v>0</v>
      </c>
      <c r="Z4249" t="str">
        <f t="shared" si="669"/>
        <v/>
      </c>
      <c r="AA4249">
        <f>IF($V4249="",N($AA4248),IF(MATCH($V4249,$V$6:$V$10005,0)=ROW()-5,N($AA4248)+1,N($AA4248)))</f>
        <v>0</v>
      </c>
    </row>
    <row r="4250" spans="1:27" ht="21" customHeight="1" x14ac:dyDescent="0.95">
      <c r="A4250" s="56"/>
      <c r="B4250" s="57"/>
      <c r="C4250" s="57"/>
      <c r="D4250" s="57"/>
      <c r="E4250" s="56"/>
      <c r="F4250" s="57"/>
      <c r="G4250" s="57"/>
      <c r="H4250" s="56"/>
      <c r="I4250" s="56"/>
      <c r="J4250" s="58"/>
      <c r="K4250" s="58"/>
      <c r="L4250" s="13" t="str">
        <f t="shared" si="660"/>
        <v/>
      </c>
      <c r="M4250" s="13" t="str">
        <f t="shared" si="661"/>
        <v/>
      </c>
      <c r="Q4250" t="str">
        <f t="shared" si="662"/>
        <v/>
      </c>
      <c r="R4250" t="str">
        <f t="shared" si="663"/>
        <v/>
      </c>
      <c r="S4250" t="str">
        <f t="shared" si="664"/>
        <v/>
      </c>
      <c r="T4250" t="str">
        <f t="shared" si="665"/>
        <v/>
      </c>
      <c r="U4250" t="str">
        <f t="shared" si="666"/>
        <v/>
      </c>
      <c r="V4250" t="str">
        <f t="shared" si="667"/>
        <v/>
      </c>
      <c r="W4250" t="str">
        <f t="shared" si="668"/>
        <v/>
      </c>
      <c r="X4250">
        <f>IF($T4250="",N($X4249),IF(MATCH($T4250,$T$6:$T$10005,0)=ROW()-5,N($X4249)+1,N($X4249)))</f>
        <v>0</v>
      </c>
      <c r="Z4250" t="str">
        <f t="shared" si="669"/>
        <v/>
      </c>
      <c r="AA4250">
        <f>IF($V4250="",N($AA4249),IF(MATCH($V4250,$V$6:$V$10005,0)=ROW()-5,N($AA4249)+1,N($AA4249)))</f>
        <v>0</v>
      </c>
    </row>
    <row r="4251" spans="1:27" ht="21" customHeight="1" x14ac:dyDescent="0.95">
      <c r="A4251" s="56"/>
      <c r="B4251" s="57"/>
      <c r="C4251" s="57"/>
      <c r="D4251" s="57"/>
      <c r="E4251" s="56"/>
      <c r="F4251" s="57"/>
      <c r="G4251" s="57"/>
      <c r="H4251" s="56"/>
      <c r="I4251" s="56"/>
      <c r="J4251" s="58"/>
      <c r="K4251" s="58"/>
      <c r="L4251" s="13" t="str">
        <f t="shared" si="660"/>
        <v/>
      </c>
      <c r="M4251" s="13" t="str">
        <f t="shared" si="661"/>
        <v/>
      </c>
      <c r="Q4251" t="str">
        <f t="shared" si="662"/>
        <v/>
      </c>
      <c r="R4251" t="str">
        <f t="shared" si="663"/>
        <v/>
      </c>
      <c r="S4251" t="str">
        <f t="shared" si="664"/>
        <v/>
      </c>
      <c r="T4251" t="str">
        <f t="shared" si="665"/>
        <v/>
      </c>
      <c r="U4251" t="str">
        <f t="shared" si="666"/>
        <v/>
      </c>
      <c r="V4251" t="str">
        <f t="shared" si="667"/>
        <v/>
      </c>
      <c r="W4251" t="str">
        <f t="shared" si="668"/>
        <v/>
      </c>
      <c r="X4251">
        <f>IF($T4251="",N($X4250),IF(MATCH($T4251,$T$6:$T$10005,0)=ROW()-5,N($X4250)+1,N($X4250)))</f>
        <v>0</v>
      </c>
      <c r="Z4251" t="str">
        <f t="shared" si="669"/>
        <v/>
      </c>
      <c r="AA4251">
        <f>IF($V4251="",N($AA4250),IF(MATCH($V4251,$V$6:$V$10005,0)=ROW()-5,N($AA4250)+1,N($AA4250)))</f>
        <v>0</v>
      </c>
    </row>
    <row r="4252" spans="1:27" ht="21" customHeight="1" x14ac:dyDescent="0.95">
      <c r="A4252" s="56"/>
      <c r="B4252" s="57"/>
      <c r="C4252" s="57"/>
      <c r="D4252" s="57"/>
      <c r="E4252" s="56"/>
      <c r="F4252" s="57"/>
      <c r="G4252" s="57"/>
      <c r="H4252" s="56"/>
      <c r="I4252" s="56"/>
      <c r="J4252" s="58"/>
      <c r="K4252" s="58"/>
      <c r="L4252" s="13" t="str">
        <f t="shared" si="660"/>
        <v/>
      </c>
      <c r="M4252" s="13" t="str">
        <f t="shared" si="661"/>
        <v/>
      </c>
      <c r="Q4252" t="str">
        <f t="shared" si="662"/>
        <v/>
      </c>
      <c r="R4252" t="str">
        <f t="shared" si="663"/>
        <v/>
      </c>
      <c r="S4252" t="str">
        <f t="shared" si="664"/>
        <v/>
      </c>
      <c r="T4252" t="str">
        <f t="shared" si="665"/>
        <v/>
      </c>
      <c r="U4252" t="str">
        <f t="shared" si="666"/>
        <v/>
      </c>
      <c r="V4252" t="str">
        <f t="shared" si="667"/>
        <v/>
      </c>
      <c r="W4252" t="str">
        <f t="shared" si="668"/>
        <v/>
      </c>
      <c r="X4252">
        <f>IF($T4252="",N($X4251),IF(MATCH($T4252,$T$6:$T$10005,0)=ROW()-5,N($X4251)+1,N($X4251)))</f>
        <v>0</v>
      </c>
      <c r="Z4252" t="str">
        <f t="shared" si="669"/>
        <v/>
      </c>
      <c r="AA4252">
        <f>IF($V4252="",N($AA4251),IF(MATCH($V4252,$V$6:$V$10005,0)=ROW()-5,N($AA4251)+1,N($AA4251)))</f>
        <v>0</v>
      </c>
    </row>
    <row r="4253" spans="1:27" ht="21" customHeight="1" x14ac:dyDescent="0.95">
      <c r="A4253" s="56"/>
      <c r="B4253" s="57"/>
      <c r="C4253" s="57"/>
      <c r="D4253" s="57"/>
      <c r="E4253" s="56"/>
      <c r="F4253" s="57"/>
      <c r="G4253" s="57"/>
      <c r="H4253" s="56"/>
      <c r="I4253" s="56"/>
      <c r="J4253" s="58"/>
      <c r="K4253" s="58"/>
      <c r="L4253" s="13" t="str">
        <f t="shared" si="660"/>
        <v/>
      </c>
      <c r="M4253" s="13" t="str">
        <f t="shared" si="661"/>
        <v/>
      </c>
      <c r="Q4253" t="str">
        <f t="shared" si="662"/>
        <v/>
      </c>
      <c r="R4253" t="str">
        <f t="shared" si="663"/>
        <v/>
      </c>
      <c r="S4253" t="str">
        <f t="shared" si="664"/>
        <v/>
      </c>
      <c r="T4253" t="str">
        <f t="shared" si="665"/>
        <v/>
      </c>
      <c r="U4253" t="str">
        <f t="shared" si="666"/>
        <v/>
      </c>
      <c r="V4253" t="str">
        <f t="shared" si="667"/>
        <v/>
      </c>
      <c r="W4253" t="str">
        <f t="shared" si="668"/>
        <v/>
      </c>
      <c r="X4253">
        <f>IF($T4253="",N($X4252),IF(MATCH($T4253,$T$6:$T$10005,0)=ROW()-5,N($X4252)+1,N($X4252)))</f>
        <v>0</v>
      </c>
      <c r="Z4253" t="str">
        <f t="shared" si="669"/>
        <v/>
      </c>
      <c r="AA4253">
        <f>IF($V4253="",N($AA4252),IF(MATCH($V4253,$V$6:$V$10005,0)=ROW()-5,N($AA4252)+1,N($AA4252)))</f>
        <v>0</v>
      </c>
    </row>
    <row r="4254" spans="1:27" ht="21" customHeight="1" x14ac:dyDescent="0.95">
      <c r="A4254" s="56"/>
      <c r="B4254" s="57"/>
      <c r="C4254" s="57"/>
      <c r="D4254" s="57"/>
      <c r="E4254" s="56"/>
      <c r="F4254" s="57"/>
      <c r="G4254" s="57"/>
      <c r="H4254" s="56"/>
      <c r="I4254" s="56"/>
      <c r="J4254" s="58"/>
      <c r="K4254" s="58"/>
      <c r="L4254" s="13" t="str">
        <f t="shared" si="660"/>
        <v/>
      </c>
      <c r="M4254" s="13" t="str">
        <f t="shared" si="661"/>
        <v/>
      </c>
      <c r="Q4254" t="str">
        <f t="shared" si="662"/>
        <v/>
      </c>
      <c r="R4254" t="str">
        <f t="shared" si="663"/>
        <v/>
      </c>
      <c r="S4254" t="str">
        <f t="shared" si="664"/>
        <v/>
      </c>
      <c r="T4254" t="str">
        <f t="shared" si="665"/>
        <v/>
      </c>
      <c r="U4254" t="str">
        <f t="shared" si="666"/>
        <v/>
      </c>
      <c r="V4254" t="str">
        <f t="shared" si="667"/>
        <v/>
      </c>
      <c r="W4254" t="str">
        <f t="shared" si="668"/>
        <v/>
      </c>
      <c r="X4254">
        <f>IF($T4254="",N($X4253),IF(MATCH($T4254,$T$6:$T$10005,0)=ROW()-5,N($X4253)+1,N($X4253)))</f>
        <v>0</v>
      </c>
      <c r="Z4254" t="str">
        <f t="shared" si="669"/>
        <v/>
      </c>
      <c r="AA4254">
        <f>IF($V4254="",N($AA4253),IF(MATCH($V4254,$V$6:$V$10005,0)=ROW()-5,N($AA4253)+1,N($AA4253)))</f>
        <v>0</v>
      </c>
    </row>
    <row r="4255" spans="1:27" ht="21" customHeight="1" x14ac:dyDescent="0.95">
      <c r="A4255" s="56"/>
      <c r="B4255" s="57"/>
      <c r="C4255" s="57"/>
      <c r="D4255" s="57"/>
      <c r="E4255" s="56"/>
      <c r="F4255" s="57"/>
      <c r="G4255" s="57"/>
      <c r="H4255" s="56"/>
      <c r="I4255" s="56"/>
      <c r="J4255" s="58"/>
      <c r="K4255" s="58"/>
      <c r="L4255" s="13" t="str">
        <f t="shared" si="660"/>
        <v/>
      </c>
      <c r="M4255" s="13" t="str">
        <f t="shared" si="661"/>
        <v/>
      </c>
      <c r="Q4255" t="str">
        <f t="shared" si="662"/>
        <v/>
      </c>
      <c r="R4255" t="str">
        <f t="shared" si="663"/>
        <v/>
      </c>
      <c r="S4255" t="str">
        <f t="shared" si="664"/>
        <v/>
      </c>
      <c r="T4255" t="str">
        <f t="shared" si="665"/>
        <v/>
      </c>
      <c r="U4255" t="str">
        <f t="shared" si="666"/>
        <v/>
      </c>
      <c r="V4255" t="str">
        <f t="shared" si="667"/>
        <v/>
      </c>
      <c r="W4255" t="str">
        <f t="shared" si="668"/>
        <v/>
      </c>
      <c r="X4255">
        <f>IF($T4255="",N($X4254),IF(MATCH($T4255,$T$6:$T$10005,0)=ROW()-5,N($X4254)+1,N($X4254)))</f>
        <v>0</v>
      </c>
      <c r="Z4255" t="str">
        <f t="shared" si="669"/>
        <v/>
      </c>
      <c r="AA4255">
        <f>IF($V4255="",N($AA4254),IF(MATCH($V4255,$V$6:$V$10005,0)=ROW()-5,N($AA4254)+1,N($AA4254)))</f>
        <v>0</v>
      </c>
    </row>
    <row r="4256" spans="1:27" ht="21" customHeight="1" x14ac:dyDescent="0.95">
      <c r="A4256" s="56"/>
      <c r="B4256" s="57"/>
      <c r="C4256" s="57"/>
      <c r="D4256" s="57"/>
      <c r="E4256" s="56"/>
      <c r="F4256" s="57"/>
      <c r="G4256" s="57"/>
      <c r="H4256" s="56"/>
      <c r="I4256" s="56"/>
      <c r="J4256" s="58"/>
      <c r="K4256" s="58"/>
      <c r="L4256" s="13" t="str">
        <f t="shared" si="660"/>
        <v/>
      </c>
      <c r="M4256" s="13" t="str">
        <f t="shared" si="661"/>
        <v/>
      </c>
      <c r="Q4256" t="str">
        <f t="shared" si="662"/>
        <v/>
      </c>
      <c r="R4256" t="str">
        <f t="shared" si="663"/>
        <v/>
      </c>
      <c r="S4256" t="str">
        <f t="shared" si="664"/>
        <v/>
      </c>
      <c r="T4256" t="str">
        <f t="shared" si="665"/>
        <v/>
      </c>
      <c r="U4256" t="str">
        <f t="shared" si="666"/>
        <v/>
      </c>
      <c r="V4256" t="str">
        <f t="shared" si="667"/>
        <v/>
      </c>
      <c r="W4256" t="str">
        <f t="shared" si="668"/>
        <v/>
      </c>
      <c r="X4256">
        <f>IF($T4256="",N($X4255),IF(MATCH($T4256,$T$6:$T$10005,0)=ROW()-5,N($X4255)+1,N($X4255)))</f>
        <v>0</v>
      </c>
      <c r="Z4256" t="str">
        <f t="shared" si="669"/>
        <v/>
      </c>
      <c r="AA4256">
        <f>IF($V4256="",N($AA4255),IF(MATCH($V4256,$V$6:$V$10005,0)=ROW()-5,N($AA4255)+1,N($AA4255)))</f>
        <v>0</v>
      </c>
    </row>
    <row r="4257" spans="1:27" ht="21" customHeight="1" x14ac:dyDescent="0.95">
      <c r="A4257" s="56"/>
      <c r="B4257" s="57"/>
      <c r="C4257" s="57"/>
      <c r="D4257" s="57"/>
      <c r="E4257" s="56"/>
      <c r="F4257" s="57"/>
      <c r="G4257" s="57"/>
      <c r="H4257" s="56"/>
      <c r="I4257" s="56"/>
      <c r="J4257" s="58"/>
      <c r="K4257" s="58"/>
      <c r="L4257" s="13" t="str">
        <f t="shared" si="660"/>
        <v/>
      </c>
      <c r="M4257" s="13" t="str">
        <f t="shared" si="661"/>
        <v/>
      </c>
      <c r="Q4257" t="str">
        <f t="shared" si="662"/>
        <v/>
      </c>
      <c r="R4257" t="str">
        <f t="shared" si="663"/>
        <v/>
      </c>
      <c r="S4257" t="str">
        <f t="shared" si="664"/>
        <v/>
      </c>
      <c r="T4257" t="str">
        <f t="shared" si="665"/>
        <v/>
      </c>
      <c r="U4257" t="str">
        <f t="shared" si="666"/>
        <v/>
      </c>
      <c r="V4257" t="str">
        <f t="shared" si="667"/>
        <v/>
      </c>
      <c r="W4257" t="str">
        <f t="shared" si="668"/>
        <v/>
      </c>
      <c r="X4257">
        <f>IF($T4257="",N($X4256),IF(MATCH($T4257,$T$6:$T$10005,0)=ROW()-5,N($X4256)+1,N($X4256)))</f>
        <v>0</v>
      </c>
      <c r="Z4257" t="str">
        <f t="shared" si="669"/>
        <v/>
      </c>
      <c r="AA4257">
        <f>IF($V4257="",N($AA4256),IF(MATCH($V4257,$V$6:$V$10005,0)=ROW()-5,N($AA4256)+1,N($AA4256)))</f>
        <v>0</v>
      </c>
    </row>
    <row r="4258" spans="1:27" ht="21" customHeight="1" x14ac:dyDescent="0.95">
      <c r="A4258" s="56"/>
      <c r="B4258" s="57"/>
      <c r="C4258" s="57"/>
      <c r="D4258" s="57"/>
      <c r="E4258" s="56"/>
      <c r="F4258" s="57"/>
      <c r="G4258" s="57"/>
      <c r="H4258" s="56"/>
      <c r="I4258" s="56"/>
      <c r="J4258" s="58"/>
      <c r="K4258" s="58"/>
      <c r="L4258" s="13" t="str">
        <f t="shared" si="660"/>
        <v/>
      </c>
      <c r="M4258" s="13" t="str">
        <f t="shared" si="661"/>
        <v/>
      </c>
      <c r="Q4258" t="str">
        <f t="shared" si="662"/>
        <v/>
      </c>
      <c r="R4258" t="str">
        <f t="shared" si="663"/>
        <v/>
      </c>
      <c r="S4258" t="str">
        <f t="shared" si="664"/>
        <v/>
      </c>
      <c r="T4258" t="str">
        <f t="shared" si="665"/>
        <v/>
      </c>
      <c r="U4258" t="str">
        <f t="shared" si="666"/>
        <v/>
      </c>
      <c r="V4258" t="str">
        <f t="shared" si="667"/>
        <v/>
      </c>
      <c r="W4258" t="str">
        <f t="shared" si="668"/>
        <v/>
      </c>
      <c r="X4258">
        <f>IF($T4258="",N($X4257),IF(MATCH($T4258,$T$6:$T$10005,0)=ROW()-5,N($X4257)+1,N($X4257)))</f>
        <v>0</v>
      </c>
      <c r="Z4258" t="str">
        <f t="shared" si="669"/>
        <v/>
      </c>
      <c r="AA4258">
        <f>IF($V4258="",N($AA4257),IF(MATCH($V4258,$V$6:$V$10005,0)=ROW()-5,N($AA4257)+1,N($AA4257)))</f>
        <v>0</v>
      </c>
    </row>
    <row r="4259" spans="1:27" ht="21" customHeight="1" x14ac:dyDescent="0.95">
      <c r="A4259" s="56"/>
      <c r="B4259" s="57"/>
      <c r="C4259" s="57"/>
      <c r="D4259" s="57"/>
      <c r="E4259" s="56"/>
      <c r="F4259" s="57"/>
      <c r="G4259" s="57"/>
      <c r="H4259" s="56"/>
      <c r="I4259" s="56"/>
      <c r="J4259" s="58"/>
      <c r="K4259" s="58"/>
      <c r="L4259" s="13" t="str">
        <f t="shared" si="660"/>
        <v/>
      </c>
      <c r="M4259" s="13" t="str">
        <f t="shared" si="661"/>
        <v/>
      </c>
      <c r="Q4259" t="str">
        <f t="shared" si="662"/>
        <v/>
      </c>
      <c r="R4259" t="str">
        <f t="shared" si="663"/>
        <v/>
      </c>
      <c r="S4259" t="str">
        <f t="shared" si="664"/>
        <v/>
      </c>
      <c r="T4259" t="str">
        <f t="shared" si="665"/>
        <v/>
      </c>
      <c r="U4259" t="str">
        <f t="shared" si="666"/>
        <v/>
      </c>
      <c r="V4259" t="str">
        <f t="shared" si="667"/>
        <v/>
      </c>
      <c r="W4259" t="str">
        <f t="shared" si="668"/>
        <v/>
      </c>
      <c r="X4259">
        <f>IF($T4259="",N($X4258),IF(MATCH($T4259,$T$6:$T$10005,0)=ROW()-5,N($X4258)+1,N($X4258)))</f>
        <v>0</v>
      </c>
      <c r="Z4259" t="str">
        <f t="shared" si="669"/>
        <v/>
      </c>
      <c r="AA4259">
        <f>IF($V4259="",N($AA4258),IF(MATCH($V4259,$V$6:$V$10005,0)=ROW()-5,N($AA4258)+1,N($AA4258)))</f>
        <v>0</v>
      </c>
    </row>
    <row r="4260" spans="1:27" ht="21" customHeight="1" x14ac:dyDescent="0.95">
      <c r="A4260" s="56"/>
      <c r="B4260" s="57"/>
      <c r="C4260" s="57"/>
      <c r="D4260" s="57"/>
      <c r="E4260" s="56"/>
      <c r="F4260" s="57"/>
      <c r="G4260" s="57"/>
      <c r="H4260" s="56"/>
      <c r="I4260" s="56"/>
      <c r="J4260" s="58"/>
      <c r="K4260" s="58"/>
      <c r="L4260" s="13" t="str">
        <f t="shared" si="660"/>
        <v/>
      </c>
      <c r="M4260" s="13" t="str">
        <f t="shared" si="661"/>
        <v/>
      </c>
      <c r="Q4260" t="str">
        <f t="shared" si="662"/>
        <v/>
      </c>
      <c r="R4260" t="str">
        <f t="shared" si="663"/>
        <v/>
      </c>
      <c r="S4260" t="str">
        <f t="shared" si="664"/>
        <v/>
      </c>
      <c r="T4260" t="str">
        <f t="shared" si="665"/>
        <v/>
      </c>
      <c r="U4260" t="str">
        <f t="shared" si="666"/>
        <v/>
      </c>
      <c r="V4260" t="str">
        <f t="shared" si="667"/>
        <v/>
      </c>
      <c r="W4260" t="str">
        <f t="shared" si="668"/>
        <v/>
      </c>
      <c r="X4260">
        <f>IF($T4260="",N($X4259),IF(MATCH($T4260,$T$6:$T$10005,0)=ROW()-5,N($X4259)+1,N($X4259)))</f>
        <v>0</v>
      </c>
      <c r="Z4260" t="str">
        <f t="shared" si="669"/>
        <v/>
      </c>
      <c r="AA4260">
        <f>IF($V4260="",N($AA4259),IF(MATCH($V4260,$V$6:$V$10005,0)=ROW()-5,N($AA4259)+1,N($AA4259)))</f>
        <v>0</v>
      </c>
    </row>
    <row r="4261" spans="1:27" ht="21" customHeight="1" x14ac:dyDescent="0.95">
      <c r="A4261" s="56"/>
      <c r="B4261" s="57"/>
      <c r="C4261" s="57"/>
      <c r="D4261" s="57"/>
      <c r="E4261" s="56"/>
      <c r="F4261" s="57"/>
      <c r="G4261" s="57"/>
      <c r="H4261" s="56"/>
      <c r="I4261" s="56"/>
      <c r="J4261" s="58"/>
      <c r="K4261" s="58"/>
      <c r="L4261" s="13" t="str">
        <f t="shared" si="660"/>
        <v/>
      </c>
      <c r="M4261" s="13" t="str">
        <f t="shared" si="661"/>
        <v/>
      </c>
      <c r="Q4261" t="str">
        <f t="shared" si="662"/>
        <v/>
      </c>
      <c r="R4261" t="str">
        <f t="shared" si="663"/>
        <v/>
      </c>
      <c r="S4261" t="str">
        <f t="shared" si="664"/>
        <v/>
      </c>
      <c r="T4261" t="str">
        <f t="shared" si="665"/>
        <v/>
      </c>
      <c r="U4261" t="str">
        <f t="shared" si="666"/>
        <v/>
      </c>
      <c r="V4261" t="str">
        <f t="shared" si="667"/>
        <v/>
      </c>
      <c r="W4261" t="str">
        <f t="shared" si="668"/>
        <v/>
      </c>
      <c r="X4261">
        <f>IF($T4261="",N($X4260),IF(MATCH($T4261,$T$6:$T$10005,0)=ROW()-5,N($X4260)+1,N($X4260)))</f>
        <v>0</v>
      </c>
      <c r="Z4261" t="str">
        <f t="shared" si="669"/>
        <v/>
      </c>
      <c r="AA4261">
        <f>IF($V4261="",N($AA4260),IF(MATCH($V4261,$V$6:$V$10005,0)=ROW()-5,N($AA4260)+1,N($AA4260)))</f>
        <v>0</v>
      </c>
    </row>
    <row r="4262" spans="1:27" ht="21" customHeight="1" x14ac:dyDescent="0.95">
      <c r="A4262" s="56"/>
      <c r="B4262" s="57"/>
      <c r="C4262" s="57"/>
      <c r="D4262" s="57"/>
      <c r="E4262" s="56"/>
      <c r="F4262" s="57"/>
      <c r="G4262" s="57"/>
      <c r="H4262" s="56"/>
      <c r="I4262" s="56"/>
      <c r="J4262" s="58"/>
      <c r="K4262" s="58"/>
      <c r="L4262" s="13" t="str">
        <f t="shared" si="660"/>
        <v/>
      </c>
      <c r="M4262" s="13" t="str">
        <f t="shared" si="661"/>
        <v/>
      </c>
      <c r="Q4262" t="str">
        <f t="shared" si="662"/>
        <v/>
      </c>
      <c r="R4262" t="str">
        <f t="shared" si="663"/>
        <v/>
      </c>
      <c r="S4262" t="str">
        <f t="shared" si="664"/>
        <v/>
      </c>
      <c r="T4262" t="str">
        <f t="shared" si="665"/>
        <v/>
      </c>
      <c r="U4262" t="str">
        <f t="shared" si="666"/>
        <v/>
      </c>
      <c r="V4262" t="str">
        <f t="shared" si="667"/>
        <v/>
      </c>
      <c r="W4262" t="str">
        <f t="shared" si="668"/>
        <v/>
      </c>
      <c r="X4262">
        <f>IF($T4262="",N($X4261),IF(MATCH($T4262,$T$6:$T$10005,0)=ROW()-5,N($X4261)+1,N($X4261)))</f>
        <v>0</v>
      </c>
      <c r="Z4262" t="str">
        <f t="shared" si="669"/>
        <v/>
      </c>
      <c r="AA4262">
        <f>IF($V4262="",N($AA4261),IF(MATCH($V4262,$V$6:$V$10005,0)=ROW()-5,N($AA4261)+1,N($AA4261)))</f>
        <v>0</v>
      </c>
    </row>
    <row r="4263" spans="1:27" ht="21" customHeight="1" x14ac:dyDescent="0.95">
      <c r="A4263" s="56"/>
      <c r="B4263" s="57"/>
      <c r="C4263" s="57"/>
      <c r="D4263" s="57"/>
      <c r="E4263" s="56"/>
      <c r="F4263" s="57"/>
      <c r="G4263" s="57"/>
      <c r="H4263" s="56"/>
      <c r="I4263" s="56"/>
      <c r="J4263" s="58"/>
      <c r="K4263" s="58"/>
      <c r="L4263" s="13" t="str">
        <f t="shared" si="660"/>
        <v/>
      </c>
      <c r="M4263" s="13" t="str">
        <f t="shared" si="661"/>
        <v/>
      </c>
      <c r="Q4263" t="str">
        <f t="shared" si="662"/>
        <v/>
      </c>
      <c r="R4263" t="str">
        <f t="shared" si="663"/>
        <v/>
      </c>
      <c r="S4263" t="str">
        <f t="shared" si="664"/>
        <v/>
      </c>
      <c r="T4263" t="str">
        <f t="shared" si="665"/>
        <v/>
      </c>
      <c r="U4263" t="str">
        <f t="shared" si="666"/>
        <v/>
      </c>
      <c r="V4263" t="str">
        <f t="shared" si="667"/>
        <v/>
      </c>
      <c r="W4263" t="str">
        <f t="shared" si="668"/>
        <v/>
      </c>
      <c r="X4263">
        <f>IF($T4263="",N($X4262),IF(MATCH($T4263,$T$6:$T$10005,0)=ROW()-5,N($X4262)+1,N($X4262)))</f>
        <v>0</v>
      </c>
      <c r="Z4263" t="str">
        <f t="shared" si="669"/>
        <v/>
      </c>
      <c r="AA4263">
        <f>IF($V4263="",N($AA4262),IF(MATCH($V4263,$V$6:$V$10005,0)=ROW()-5,N($AA4262)+1,N($AA4262)))</f>
        <v>0</v>
      </c>
    </row>
    <row r="4264" spans="1:27" ht="21" customHeight="1" x14ac:dyDescent="0.95">
      <c r="A4264" s="56"/>
      <c r="B4264" s="57"/>
      <c r="C4264" s="57"/>
      <c r="D4264" s="57"/>
      <c r="E4264" s="56"/>
      <c r="F4264" s="57"/>
      <c r="G4264" s="57"/>
      <c r="H4264" s="56"/>
      <c r="I4264" s="56"/>
      <c r="J4264" s="58"/>
      <c r="K4264" s="58"/>
      <c r="L4264" s="13" t="str">
        <f t="shared" si="660"/>
        <v/>
      </c>
      <c r="M4264" s="13" t="str">
        <f t="shared" si="661"/>
        <v/>
      </c>
      <c r="Q4264" t="str">
        <f t="shared" si="662"/>
        <v/>
      </c>
      <c r="R4264" t="str">
        <f t="shared" si="663"/>
        <v/>
      </c>
      <c r="S4264" t="str">
        <f t="shared" si="664"/>
        <v/>
      </c>
      <c r="T4264" t="str">
        <f t="shared" si="665"/>
        <v/>
      </c>
      <c r="U4264" t="str">
        <f t="shared" si="666"/>
        <v/>
      </c>
      <c r="V4264" t="str">
        <f t="shared" si="667"/>
        <v/>
      </c>
      <c r="W4264" t="str">
        <f t="shared" si="668"/>
        <v/>
      </c>
      <c r="X4264">
        <f>IF($T4264="",N($X4263),IF(MATCH($T4264,$T$6:$T$10005,0)=ROW()-5,N($X4263)+1,N($X4263)))</f>
        <v>0</v>
      </c>
      <c r="Z4264" t="str">
        <f t="shared" si="669"/>
        <v/>
      </c>
      <c r="AA4264">
        <f>IF($V4264="",N($AA4263),IF(MATCH($V4264,$V$6:$V$10005,0)=ROW()-5,N($AA4263)+1,N($AA4263)))</f>
        <v>0</v>
      </c>
    </row>
    <row r="4265" spans="1:27" ht="21" customHeight="1" x14ac:dyDescent="0.95">
      <c r="A4265" s="56"/>
      <c r="B4265" s="57"/>
      <c r="C4265" s="57"/>
      <c r="D4265" s="57"/>
      <c r="E4265" s="56"/>
      <c r="F4265" s="57"/>
      <c r="G4265" s="57"/>
      <c r="H4265" s="56"/>
      <c r="I4265" s="56"/>
      <c r="J4265" s="58"/>
      <c r="K4265" s="58"/>
      <c r="L4265" s="13" t="str">
        <f t="shared" si="660"/>
        <v/>
      </c>
      <c r="M4265" s="13" t="str">
        <f t="shared" si="661"/>
        <v/>
      </c>
      <c r="Q4265" t="str">
        <f t="shared" si="662"/>
        <v/>
      </c>
      <c r="R4265" t="str">
        <f t="shared" si="663"/>
        <v/>
      </c>
      <c r="S4265" t="str">
        <f t="shared" si="664"/>
        <v/>
      </c>
      <c r="T4265" t="str">
        <f t="shared" si="665"/>
        <v/>
      </c>
      <c r="U4265" t="str">
        <f t="shared" si="666"/>
        <v/>
      </c>
      <c r="V4265" t="str">
        <f t="shared" si="667"/>
        <v/>
      </c>
      <c r="W4265" t="str">
        <f t="shared" si="668"/>
        <v/>
      </c>
      <c r="X4265">
        <f>IF($T4265="",N($X4264),IF(MATCH($T4265,$T$6:$T$10005,0)=ROW()-5,N($X4264)+1,N($X4264)))</f>
        <v>0</v>
      </c>
      <c r="Z4265" t="str">
        <f t="shared" si="669"/>
        <v/>
      </c>
      <c r="AA4265">
        <f>IF($V4265="",N($AA4264),IF(MATCH($V4265,$V$6:$V$10005,0)=ROW()-5,N($AA4264)+1,N($AA4264)))</f>
        <v>0</v>
      </c>
    </row>
    <row r="4266" spans="1:27" ht="21" customHeight="1" x14ac:dyDescent="0.95">
      <c r="A4266" s="56"/>
      <c r="B4266" s="57"/>
      <c r="C4266" s="57"/>
      <c r="D4266" s="57"/>
      <c r="E4266" s="56"/>
      <c r="F4266" s="57"/>
      <c r="G4266" s="57"/>
      <c r="H4266" s="56"/>
      <c r="I4266" s="56"/>
      <c r="J4266" s="58"/>
      <c r="K4266" s="58"/>
      <c r="L4266" s="13" t="str">
        <f t="shared" si="660"/>
        <v/>
      </c>
      <c r="M4266" s="13" t="str">
        <f t="shared" si="661"/>
        <v/>
      </c>
      <c r="Q4266" t="str">
        <f t="shared" si="662"/>
        <v/>
      </c>
      <c r="R4266" t="str">
        <f t="shared" si="663"/>
        <v/>
      </c>
      <c r="S4266" t="str">
        <f t="shared" si="664"/>
        <v/>
      </c>
      <c r="T4266" t="str">
        <f t="shared" si="665"/>
        <v/>
      </c>
      <c r="U4266" t="str">
        <f t="shared" si="666"/>
        <v/>
      </c>
      <c r="V4266" t="str">
        <f t="shared" si="667"/>
        <v/>
      </c>
      <c r="W4266" t="str">
        <f t="shared" si="668"/>
        <v/>
      </c>
      <c r="X4266">
        <f>IF($T4266="",N($X4265),IF(MATCH($T4266,$T$6:$T$10005,0)=ROW()-5,N($X4265)+1,N($X4265)))</f>
        <v>0</v>
      </c>
      <c r="Z4266" t="str">
        <f t="shared" si="669"/>
        <v/>
      </c>
      <c r="AA4266">
        <f>IF($V4266="",N($AA4265),IF(MATCH($V4266,$V$6:$V$10005,0)=ROW()-5,N($AA4265)+1,N($AA4265)))</f>
        <v>0</v>
      </c>
    </row>
    <row r="4267" spans="1:27" ht="21" customHeight="1" x14ac:dyDescent="0.95">
      <c r="A4267" s="56"/>
      <c r="B4267" s="57"/>
      <c r="C4267" s="57"/>
      <c r="D4267" s="57"/>
      <c r="E4267" s="56"/>
      <c r="F4267" s="57"/>
      <c r="G4267" s="57"/>
      <c r="H4267" s="56"/>
      <c r="I4267" s="56"/>
      <c r="J4267" s="58"/>
      <c r="K4267" s="58"/>
      <c r="L4267" s="13" t="str">
        <f t="shared" si="660"/>
        <v/>
      </c>
      <c r="M4267" s="13" t="str">
        <f t="shared" si="661"/>
        <v/>
      </c>
      <c r="Q4267" t="str">
        <f t="shared" si="662"/>
        <v/>
      </c>
      <c r="R4267" t="str">
        <f t="shared" si="663"/>
        <v/>
      </c>
      <c r="S4267" t="str">
        <f t="shared" si="664"/>
        <v/>
      </c>
      <c r="T4267" t="str">
        <f t="shared" si="665"/>
        <v/>
      </c>
      <c r="U4267" t="str">
        <f t="shared" si="666"/>
        <v/>
      </c>
      <c r="V4267" t="str">
        <f t="shared" si="667"/>
        <v/>
      </c>
      <c r="W4267" t="str">
        <f t="shared" si="668"/>
        <v/>
      </c>
      <c r="X4267">
        <f>IF($T4267="",N($X4266),IF(MATCH($T4267,$T$6:$T$10005,0)=ROW()-5,N($X4266)+1,N($X4266)))</f>
        <v>0</v>
      </c>
      <c r="Z4267" t="str">
        <f t="shared" si="669"/>
        <v/>
      </c>
      <c r="AA4267">
        <f>IF($V4267="",N($AA4266),IF(MATCH($V4267,$V$6:$V$10005,0)=ROW()-5,N($AA4266)+1,N($AA4266)))</f>
        <v>0</v>
      </c>
    </row>
    <row r="4268" spans="1:27" ht="21" customHeight="1" x14ac:dyDescent="0.95">
      <c r="A4268" s="56"/>
      <c r="B4268" s="57"/>
      <c r="C4268" s="57"/>
      <c r="D4268" s="57"/>
      <c r="E4268" s="56"/>
      <c r="F4268" s="57"/>
      <c r="G4268" s="57"/>
      <c r="H4268" s="56"/>
      <c r="I4268" s="56"/>
      <c r="J4268" s="58"/>
      <c r="K4268" s="58"/>
      <c r="L4268" s="13" t="str">
        <f t="shared" si="660"/>
        <v/>
      </c>
      <c r="M4268" s="13" t="str">
        <f t="shared" si="661"/>
        <v/>
      </c>
      <c r="Q4268" t="str">
        <f t="shared" si="662"/>
        <v/>
      </c>
      <c r="R4268" t="str">
        <f t="shared" si="663"/>
        <v/>
      </c>
      <c r="S4268" t="str">
        <f t="shared" si="664"/>
        <v/>
      </c>
      <c r="T4268" t="str">
        <f t="shared" si="665"/>
        <v/>
      </c>
      <c r="U4268" t="str">
        <f t="shared" si="666"/>
        <v/>
      </c>
      <c r="V4268" t="str">
        <f t="shared" si="667"/>
        <v/>
      </c>
      <c r="W4268" t="str">
        <f t="shared" si="668"/>
        <v/>
      </c>
      <c r="X4268">
        <f>IF($T4268="",N($X4267),IF(MATCH($T4268,$T$6:$T$10005,0)=ROW()-5,N($X4267)+1,N($X4267)))</f>
        <v>0</v>
      </c>
      <c r="Z4268" t="str">
        <f t="shared" si="669"/>
        <v/>
      </c>
      <c r="AA4268">
        <f>IF($V4268="",N($AA4267),IF(MATCH($V4268,$V$6:$V$10005,0)=ROW()-5,N($AA4267)+1,N($AA4267)))</f>
        <v>0</v>
      </c>
    </row>
    <row r="4269" spans="1:27" ht="21" customHeight="1" x14ac:dyDescent="0.95">
      <c r="A4269" s="56"/>
      <c r="B4269" s="57"/>
      <c r="C4269" s="57"/>
      <c r="D4269" s="57"/>
      <c r="E4269" s="56"/>
      <c r="F4269" s="57"/>
      <c r="G4269" s="57"/>
      <c r="H4269" s="56"/>
      <c r="I4269" s="56"/>
      <c r="J4269" s="58"/>
      <c r="K4269" s="58"/>
      <c r="L4269" s="13" t="str">
        <f t="shared" si="660"/>
        <v/>
      </c>
      <c r="M4269" s="13" t="str">
        <f t="shared" si="661"/>
        <v/>
      </c>
      <c r="Q4269" t="str">
        <f t="shared" si="662"/>
        <v/>
      </c>
      <c r="R4269" t="str">
        <f t="shared" si="663"/>
        <v/>
      </c>
      <c r="S4269" t="str">
        <f t="shared" si="664"/>
        <v/>
      </c>
      <c r="T4269" t="str">
        <f t="shared" si="665"/>
        <v/>
      </c>
      <c r="U4269" t="str">
        <f t="shared" si="666"/>
        <v/>
      </c>
      <c r="V4269" t="str">
        <f t="shared" si="667"/>
        <v/>
      </c>
      <c r="W4269" t="str">
        <f t="shared" si="668"/>
        <v/>
      </c>
      <c r="X4269">
        <f>IF($T4269="",N($X4268),IF(MATCH($T4269,$T$6:$T$10005,0)=ROW()-5,N($X4268)+1,N($X4268)))</f>
        <v>0</v>
      </c>
      <c r="Z4269" t="str">
        <f t="shared" si="669"/>
        <v/>
      </c>
      <c r="AA4269">
        <f>IF($V4269="",N($AA4268),IF(MATCH($V4269,$V$6:$V$10005,0)=ROW()-5,N($AA4268)+1,N($AA4268)))</f>
        <v>0</v>
      </c>
    </row>
    <row r="4270" spans="1:27" ht="21" customHeight="1" x14ac:dyDescent="0.95">
      <c r="A4270" s="56"/>
      <c r="B4270" s="57"/>
      <c r="C4270" s="57"/>
      <c r="D4270" s="57"/>
      <c r="E4270" s="56"/>
      <c r="F4270" s="57"/>
      <c r="G4270" s="57"/>
      <c r="H4270" s="56"/>
      <c r="I4270" s="56"/>
      <c r="J4270" s="58"/>
      <c r="K4270" s="58"/>
      <c r="L4270" s="13" t="str">
        <f t="shared" si="660"/>
        <v/>
      </c>
      <c r="M4270" s="13" t="str">
        <f t="shared" si="661"/>
        <v/>
      </c>
      <c r="Q4270" t="str">
        <f t="shared" si="662"/>
        <v/>
      </c>
      <c r="R4270" t="str">
        <f t="shared" si="663"/>
        <v/>
      </c>
      <c r="S4270" t="str">
        <f t="shared" si="664"/>
        <v/>
      </c>
      <c r="T4270" t="str">
        <f t="shared" si="665"/>
        <v/>
      </c>
      <c r="U4270" t="str">
        <f t="shared" si="666"/>
        <v/>
      </c>
      <c r="V4270" t="str">
        <f t="shared" si="667"/>
        <v/>
      </c>
      <c r="W4270" t="str">
        <f t="shared" si="668"/>
        <v/>
      </c>
      <c r="X4270">
        <f>IF($T4270="",N($X4269),IF(MATCH($T4270,$T$6:$T$10005,0)=ROW()-5,N($X4269)+1,N($X4269)))</f>
        <v>0</v>
      </c>
      <c r="Z4270" t="str">
        <f t="shared" si="669"/>
        <v/>
      </c>
      <c r="AA4270">
        <f>IF($V4270="",N($AA4269),IF(MATCH($V4270,$V$6:$V$10005,0)=ROW()-5,N($AA4269)+1,N($AA4269)))</f>
        <v>0</v>
      </c>
    </row>
    <row r="4271" spans="1:27" ht="21" customHeight="1" x14ac:dyDescent="0.95">
      <c r="A4271" s="56"/>
      <c r="B4271" s="57"/>
      <c r="C4271" s="57"/>
      <c r="D4271" s="57"/>
      <c r="E4271" s="56"/>
      <c r="F4271" s="57"/>
      <c r="G4271" s="57"/>
      <c r="H4271" s="56"/>
      <c r="I4271" s="56"/>
      <c r="J4271" s="58"/>
      <c r="K4271" s="58"/>
      <c r="L4271" s="13" t="str">
        <f t="shared" si="660"/>
        <v/>
      </c>
      <c r="M4271" s="13" t="str">
        <f t="shared" si="661"/>
        <v/>
      </c>
      <c r="Q4271" t="str">
        <f t="shared" si="662"/>
        <v/>
      </c>
      <c r="R4271" t="str">
        <f t="shared" si="663"/>
        <v/>
      </c>
      <c r="S4271" t="str">
        <f t="shared" si="664"/>
        <v/>
      </c>
      <c r="T4271" t="str">
        <f t="shared" si="665"/>
        <v/>
      </c>
      <c r="U4271" t="str">
        <f t="shared" si="666"/>
        <v/>
      </c>
      <c r="V4271" t="str">
        <f t="shared" si="667"/>
        <v/>
      </c>
      <c r="W4271" t="str">
        <f t="shared" si="668"/>
        <v/>
      </c>
      <c r="X4271">
        <f>IF($T4271="",N($X4270),IF(MATCH($T4271,$T$6:$T$10005,0)=ROW()-5,N($X4270)+1,N($X4270)))</f>
        <v>0</v>
      </c>
      <c r="Z4271" t="str">
        <f t="shared" si="669"/>
        <v/>
      </c>
      <c r="AA4271">
        <f>IF($V4271="",N($AA4270),IF(MATCH($V4271,$V$6:$V$10005,0)=ROW()-5,N($AA4270)+1,N($AA4270)))</f>
        <v>0</v>
      </c>
    </row>
    <row r="4272" spans="1:27" ht="21" customHeight="1" x14ac:dyDescent="0.95">
      <c r="A4272" s="56"/>
      <c r="B4272" s="57"/>
      <c r="C4272" s="57"/>
      <c r="D4272" s="57"/>
      <c r="E4272" s="56"/>
      <c r="F4272" s="57"/>
      <c r="G4272" s="57"/>
      <c r="H4272" s="56"/>
      <c r="I4272" s="56"/>
      <c r="J4272" s="58"/>
      <c r="K4272" s="58"/>
      <c r="L4272" s="13" t="str">
        <f t="shared" si="660"/>
        <v/>
      </c>
      <c r="M4272" s="13" t="str">
        <f t="shared" si="661"/>
        <v/>
      </c>
      <c r="Q4272" t="str">
        <f t="shared" si="662"/>
        <v/>
      </c>
      <c r="R4272" t="str">
        <f t="shared" si="663"/>
        <v/>
      </c>
      <c r="S4272" t="str">
        <f t="shared" si="664"/>
        <v/>
      </c>
      <c r="T4272" t="str">
        <f t="shared" si="665"/>
        <v/>
      </c>
      <c r="U4272" t="str">
        <f t="shared" si="666"/>
        <v/>
      </c>
      <c r="V4272" t="str">
        <f t="shared" si="667"/>
        <v/>
      </c>
      <c r="W4272" t="str">
        <f t="shared" si="668"/>
        <v/>
      </c>
      <c r="X4272">
        <f>IF($T4272="",N($X4271),IF(MATCH($T4272,$T$6:$T$10005,0)=ROW()-5,N($X4271)+1,N($X4271)))</f>
        <v>0</v>
      </c>
      <c r="Z4272" t="str">
        <f t="shared" si="669"/>
        <v/>
      </c>
      <c r="AA4272">
        <f>IF($V4272="",N($AA4271),IF(MATCH($V4272,$V$6:$V$10005,0)=ROW()-5,N($AA4271)+1,N($AA4271)))</f>
        <v>0</v>
      </c>
    </row>
    <row r="4273" spans="1:27" ht="21" customHeight="1" x14ac:dyDescent="0.95">
      <c r="A4273" s="56"/>
      <c r="B4273" s="57"/>
      <c r="C4273" s="57"/>
      <c r="D4273" s="57"/>
      <c r="E4273" s="56"/>
      <c r="F4273" s="57"/>
      <c r="G4273" s="57"/>
      <c r="H4273" s="56"/>
      <c r="I4273" s="56"/>
      <c r="J4273" s="58"/>
      <c r="K4273" s="58"/>
      <c r="L4273" s="13" t="str">
        <f t="shared" si="660"/>
        <v/>
      </c>
      <c r="M4273" s="13" t="str">
        <f t="shared" si="661"/>
        <v/>
      </c>
      <c r="Q4273" t="str">
        <f t="shared" si="662"/>
        <v/>
      </c>
      <c r="R4273" t="str">
        <f t="shared" si="663"/>
        <v/>
      </c>
      <c r="S4273" t="str">
        <f t="shared" si="664"/>
        <v/>
      </c>
      <c r="T4273" t="str">
        <f t="shared" si="665"/>
        <v/>
      </c>
      <c r="U4273" t="str">
        <f t="shared" si="666"/>
        <v/>
      </c>
      <c r="V4273" t="str">
        <f t="shared" si="667"/>
        <v/>
      </c>
      <c r="W4273" t="str">
        <f t="shared" si="668"/>
        <v/>
      </c>
      <c r="X4273">
        <f>IF($T4273="",N($X4272),IF(MATCH($T4273,$T$6:$T$10005,0)=ROW()-5,N($X4272)+1,N($X4272)))</f>
        <v>0</v>
      </c>
      <c r="Z4273" t="str">
        <f t="shared" si="669"/>
        <v/>
      </c>
      <c r="AA4273">
        <f>IF($V4273="",N($AA4272),IF(MATCH($V4273,$V$6:$V$10005,0)=ROW()-5,N($AA4272)+1,N($AA4272)))</f>
        <v>0</v>
      </c>
    </row>
    <row r="4274" spans="1:27" ht="21" customHeight="1" x14ac:dyDescent="0.95">
      <c r="A4274" s="56"/>
      <c r="B4274" s="57"/>
      <c r="C4274" s="57"/>
      <c r="D4274" s="57"/>
      <c r="E4274" s="56"/>
      <c r="F4274" s="57"/>
      <c r="G4274" s="57"/>
      <c r="H4274" s="56"/>
      <c r="I4274" s="56"/>
      <c r="J4274" s="58"/>
      <c r="K4274" s="58"/>
      <c r="L4274" s="13" t="str">
        <f t="shared" si="660"/>
        <v/>
      </c>
      <c r="M4274" s="13" t="str">
        <f t="shared" si="661"/>
        <v/>
      </c>
      <c r="Q4274" t="str">
        <f t="shared" si="662"/>
        <v/>
      </c>
      <c r="R4274" t="str">
        <f t="shared" si="663"/>
        <v/>
      </c>
      <c r="S4274" t="str">
        <f t="shared" si="664"/>
        <v/>
      </c>
      <c r="T4274" t="str">
        <f t="shared" si="665"/>
        <v/>
      </c>
      <c r="U4274" t="str">
        <f t="shared" si="666"/>
        <v/>
      </c>
      <c r="V4274" t="str">
        <f t="shared" si="667"/>
        <v/>
      </c>
      <c r="W4274" t="str">
        <f t="shared" si="668"/>
        <v/>
      </c>
      <c r="X4274">
        <f>IF($T4274="",N($X4273),IF(MATCH($T4274,$T$6:$T$10005,0)=ROW()-5,N($X4273)+1,N($X4273)))</f>
        <v>0</v>
      </c>
      <c r="Z4274" t="str">
        <f t="shared" si="669"/>
        <v/>
      </c>
      <c r="AA4274">
        <f>IF($V4274="",N($AA4273),IF(MATCH($V4274,$V$6:$V$10005,0)=ROW()-5,N($AA4273)+1,N($AA4273)))</f>
        <v>0</v>
      </c>
    </row>
    <row r="4275" spans="1:27" ht="21" customHeight="1" x14ac:dyDescent="0.95">
      <c r="A4275" s="56"/>
      <c r="B4275" s="57"/>
      <c r="C4275" s="57"/>
      <c r="D4275" s="57"/>
      <c r="E4275" s="56"/>
      <c r="F4275" s="57"/>
      <c r="G4275" s="57"/>
      <c r="H4275" s="56"/>
      <c r="I4275" s="56"/>
      <c r="J4275" s="58"/>
      <c r="K4275" s="58"/>
      <c r="L4275" s="13" t="str">
        <f t="shared" si="660"/>
        <v/>
      </c>
      <c r="M4275" s="13" t="str">
        <f t="shared" si="661"/>
        <v/>
      </c>
      <c r="Q4275" t="str">
        <f t="shared" si="662"/>
        <v/>
      </c>
      <c r="R4275" t="str">
        <f t="shared" si="663"/>
        <v/>
      </c>
      <c r="S4275" t="str">
        <f t="shared" si="664"/>
        <v/>
      </c>
      <c r="T4275" t="str">
        <f t="shared" si="665"/>
        <v/>
      </c>
      <c r="U4275" t="str">
        <f t="shared" si="666"/>
        <v/>
      </c>
      <c r="V4275" t="str">
        <f t="shared" si="667"/>
        <v/>
      </c>
      <c r="W4275" t="str">
        <f t="shared" si="668"/>
        <v/>
      </c>
      <c r="X4275">
        <f>IF($T4275="",N($X4274),IF(MATCH($T4275,$T$6:$T$10005,0)=ROW()-5,N($X4274)+1,N($X4274)))</f>
        <v>0</v>
      </c>
      <c r="Z4275" t="str">
        <f t="shared" si="669"/>
        <v/>
      </c>
      <c r="AA4275">
        <f>IF($V4275="",N($AA4274),IF(MATCH($V4275,$V$6:$V$10005,0)=ROW()-5,N($AA4274)+1,N($AA4274)))</f>
        <v>0</v>
      </c>
    </row>
    <row r="4276" spans="1:27" ht="21" customHeight="1" x14ac:dyDescent="0.95">
      <c r="A4276" s="56"/>
      <c r="B4276" s="57"/>
      <c r="C4276" s="57"/>
      <c r="D4276" s="57"/>
      <c r="E4276" s="56"/>
      <c r="F4276" s="57"/>
      <c r="G4276" s="57"/>
      <c r="H4276" s="56"/>
      <c r="I4276" s="56"/>
      <c r="J4276" s="58"/>
      <c r="K4276" s="58"/>
      <c r="L4276" s="13" t="str">
        <f t="shared" si="660"/>
        <v/>
      </c>
      <c r="M4276" s="13" t="str">
        <f t="shared" si="661"/>
        <v/>
      </c>
      <c r="Q4276" t="str">
        <f t="shared" si="662"/>
        <v/>
      </c>
      <c r="R4276" t="str">
        <f t="shared" si="663"/>
        <v/>
      </c>
      <c r="S4276" t="str">
        <f t="shared" si="664"/>
        <v/>
      </c>
      <c r="T4276" t="str">
        <f t="shared" si="665"/>
        <v/>
      </c>
      <c r="U4276" t="str">
        <f t="shared" si="666"/>
        <v/>
      </c>
      <c r="V4276" t="str">
        <f t="shared" si="667"/>
        <v/>
      </c>
      <c r="W4276" t="str">
        <f t="shared" si="668"/>
        <v/>
      </c>
      <c r="X4276">
        <f>IF($T4276="",N($X4275),IF(MATCH($T4276,$T$6:$T$10005,0)=ROW()-5,N($X4275)+1,N($X4275)))</f>
        <v>0</v>
      </c>
      <c r="Z4276" t="str">
        <f t="shared" si="669"/>
        <v/>
      </c>
      <c r="AA4276">
        <f>IF($V4276="",N($AA4275),IF(MATCH($V4276,$V$6:$V$10005,0)=ROW()-5,N($AA4275)+1,N($AA4275)))</f>
        <v>0</v>
      </c>
    </row>
    <row r="4277" spans="1:27" ht="21" customHeight="1" x14ac:dyDescent="0.95">
      <c r="A4277" s="56"/>
      <c r="B4277" s="57"/>
      <c r="C4277" s="57"/>
      <c r="D4277" s="57"/>
      <c r="E4277" s="56"/>
      <c r="F4277" s="57"/>
      <c r="G4277" s="57"/>
      <c r="H4277" s="56"/>
      <c r="I4277" s="56"/>
      <c r="J4277" s="58"/>
      <c r="K4277" s="58"/>
      <c r="L4277" s="13" t="str">
        <f t="shared" si="660"/>
        <v/>
      </c>
      <c r="M4277" s="13" t="str">
        <f t="shared" si="661"/>
        <v/>
      </c>
      <c r="Q4277" t="str">
        <f t="shared" si="662"/>
        <v/>
      </c>
      <c r="R4277" t="str">
        <f t="shared" si="663"/>
        <v/>
      </c>
      <c r="S4277" t="str">
        <f t="shared" si="664"/>
        <v/>
      </c>
      <c r="T4277" t="str">
        <f t="shared" si="665"/>
        <v/>
      </c>
      <c r="U4277" t="str">
        <f t="shared" si="666"/>
        <v/>
      </c>
      <c r="V4277" t="str">
        <f t="shared" si="667"/>
        <v/>
      </c>
      <c r="W4277" t="str">
        <f t="shared" si="668"/>
        <v/>
      </c>
      <c r="X4277">
        <f>IF($T4277="",N($X4276),IF(MATCH($T4277,$T$6:$T$10005,0)=ROW()-5,N($X4276)+1,N($X4276)))</f>
        <v>0</v>
      </c>
      <c r="Z4277" t="str">
        <f t="shared" si="669"/>
        <v/>
      </c>
      <c r="AA4277">
        <f>IF($V4277="",N($AA4276),IF(MATCH($V4277,$V$6:$V$10005,0)=ROW()-5,N($AA4276)+1,N($AA4276)))</f>
        <v>0</v>
      </c>
    </row>
    <row r="4278" spans="1:27" ht="21" customHeight="1" x14ac:dyDescent="0.95">
      <c r="A4278" s="56"/>
      <c r="B4278" s="57"/>
      <c r="C4278" s="57"/>
      <c r="D4278" s="57"/>
      <c r="E4278" s="56"/>
      <c r="F4278" s="57"/>
      <c r="G4278" s="57"/>
      <c r="H4278" s="56"/>
      <c r="I4278" s="56"/>
      <c r="J4278" s="58"/>
      <c r="K4278" s="58"/>
      <c r="L4278" s="13" t="str">
        <f t="shared" si="660"/>
        <v/>
      </c>
      <c r="M4278" s="13" t="str">
        <f t="shared" si="661"/>
        <v/>
      </c>
      <c r="Q4278" t="str">
        <f t="shared" si="662"/>
        <v/>
      </c>
      <c r="R4278" t="str">
        <f t="shared" si="663"/>
        <v/>
      </c>
      <c r="S4278" t="str">
        <f t="shared" si="664"/>
        <v/>
      </c>
      <c r="T4278" t="str">
        <f t="shared" si="665"/>
        <v/>
      </c>
      <c r="U4278" t="str">
        <f t="shared" si="666"/>
        <v/>
      </c>
      <c r="V4278" t="str">
        <f t="shared" si="667"/>
        <v/>
      </c>
      <c r="W4278" t="str">
        <f t="shared" si="668"/>
        <v/>
      </c>
      <c r="X4278">
        <f>IF($T4278="",N($X4277),IF(MATCH($T4278,$T$6:$T$10005,0)=ROW()-5,N($X4277)+1,N($X4277)))</f>
        <v>0</v>
      </c>
      <c r="Z4278" t="str">
        <f t="shared" si="669"/>
        <v/>
      </c>
      <c r="AA4278">
        <f>IF($V4278="",N($AA4277),IF(MATCH($V4278,$V$6:$V$10005,0)=ROW()-5,N($AA4277)+1,N($AA4277)))</f>
        <v>0</v>
      </c>
    </row>
    <row r="4279" spans="1:27" ht="21" customHeight="1" x14ac:dyDescent="0.95">
      <c r="A4279" s="56"/>
      <c r="B4279" s="57"/>
      <c r="C4279" s="57"/>
      <c r="D4279" s="57"/>
      <c r="E4279" s="56"/>
      <c r="F4279" s="57"/>
      <c r="G4279" s="57"/>
      <c r="H4279" s="56"/>
      <c r="I4279" s="56"/>
      <c r="J4279" s="58"/>
      <c r="K4279" s="58"/>
      <c r="L4279" s="13" t="str">
        <f t="shared" si="660"/>
        <v/>
      </c>
      <c r="M4279" s="13" t="str">
        <f t="shared" si="661"/>
        <v/>
      </c>
      <c r="Q4279" t="str">
        <f t="shared" si="662"/>
        <v/>
      </c>
      <c r="R4279" t="str">
        <f t="shared" si="663"/>
        <v/>
      </c>
      <c r="S4279" t="str">
        <f t="shared" si="664"/>
        <v/>
      </c>
      <c r="T4279" t="str">
        <f t="shared" si="665"/>
        <v/>
      </c>
      <c r="U4279" t="str">
        <f t="shared" si="666"/>
        <v/>
      </c>
      <c r="V4279" t="str">
        <f t="shared" si="667"/>
        <v/>
      </c>
      <c r="W4279" t="str">
        <f t="shared" si="668"/>
        <v/>
      </c>
      <c r="X4279">
        <f>IF($T4279="",N($X4278),IF(MATCH($T4279,$T$6:$T$10005,0)=ROW()-5,N($X4278)+1,N($X4278)))</f>
        <v>0</v>
      </c>
      <c r="Z4279" t="str">
        <f t="shared" si="669"/>
        <v/>
      </c>
      <c r="AA4279">
        <f>IF($V4279="",N($AA4278),IF(MATCH($V4279,$V$6:$V$10005,0)=ROW()-5,N($AA4278)+1,N($AA4278)))</f>
        <v>0</v>
      </c>
    </row>
    <row r="4280" spans="1:27" ht="21" customHeight="1" x14ac:dyDescent="0.95">
      <c r="A4280" s="56"/>
      <c r="B4280" s="57"/>
      <c r="C4280" s="57"/>
      <c r="D4280" s="57"/>
      <c r="E4280" s="56"/>
      <c r="F4280" s="57"/>
      <c r="G4280" s="57"/>
      <c r="H4280" s="56"/>
      <c r="I4280" s="56"/>
      <c r="J4280" s="58"/>
      <c r="K4280" s="58"/>
      <c r="L4280" s="13" t="str">
        <f t="shared" si="660"/>
        <v/>
      </c>
      <c r="M4280" s="13" t="str">
        <f t="shared" si="661"/>
        <v/>
      </c>
      <c r="Q4280" t="str">
        <f t="shared" si="662"/>
        <v/>
      </c>
      <c r="R4280" t="str">
        <f t="shared" si="663"/>
        <v/>
      </c>
      <c r="S4280" t="str">
        <f t="shared" si="664"/>
        <v/>
      </c>
      <c r="T4280" t="str">
        <f t="shared" si="665"/>
        <v/>
      </c>
      <c r="U4280" t="str">
        <f t="shared" si="666"/>
        <v/>
      </c>
      <c r="V4280" t="str">
        <f t="shared" si="667"/>
        <v/>
      </c>
      <c r="W4280" t="str">
        <f t="shared" si="668"/>
        <v/>
      </c>
      <c r="X4280">
        <f>IF($T4280="",N($X4279),IF(MATCH($T4280,$T$6:$T$10005,0)=ROW()-5,N($X4279)+1,N($X4279)))</f>
        <v>0</v>
      </c>
      <c r="Z4280" t="str">
        <f t="shared" si="669"/>
        <v/>
      </c>
      <c r="AA4280">
        <f>IF($V4280="",N($AA4279),IF(MATCH($V4280,$V$6:$V$10005,0)=ROW()-5,N($AA4279)+1,N($AA4279)))</f>
        <v>0</v>
      </c>
    </row>
    <row r="4281" spans="1:27" ht="21" customHeight="1" x14ac:dyDescent="0.95">
      <c r="A4281" s="56"/>
      <c r="B4281" s="57"/>
      <c r="C4281" s="57"/>
      <c r="D4281" s="57"/>
      <c r="E4281" s="56"/>
      <c r="F4281" s="57"/>
      <c r="G4281" s="57"/>
      <c r="H4281" s="56"/>
      <c r="I4281" s="56"/>
      <c r="J4281" s="58"/>
      <c r="K4281" s="58"/>
      <c r="L4281" s="13" t="str">
        <f t="shared" si="660"/>
        <v/>
      </c>
      <c r="M4281" s="13" t="str">
        <f t="shared" si="661"/>
        <v/>
      </c>
      <c r="Q4281" t="str">
        <f t="shared" si="662"/>
        <v/>
      </c>
      <c r="R4281" t="str">
        <f t="shared" si="663"/>
        <v/>
      </c>
      <c r="S4281" t="str">
        <f t="shared" si="664"/>
        <v/>
      </c>
      <c r="T4281" t="str">
        <f t="shared" si="665"/>
        <v/>
      </c>
      <c r="U4281" t="str">
        <f t="shared" si="666"/>
        <v/>
      </c>
      <c r="V4281" t="str">
        <f t="shared" si="667"/>
        <v/>
      </c>
      <c r="W4281" t="str">
        <f t="shared" si="668"/>
        <v/>
      </c>
      <c r="X4281">
        <f>IF($T4281="",N($X4280),IF(MATCH($T4281,$T$6:$T$10005,0)=ROW()-5,N($X4280)+1,N($X4280)))</f>
        <v>0</v>
      </c>
      <c r="Z4281" t="str">
        <f t="shared" si="669"/>
        <v/>
      </c>
      <c r="AA4281">
        <f>IF($V4281="",N($AA4280),IF(MATCH($V4281,$V$6:$V$10005,0)=ROW()-5,N($AA4280)+1,N($AA4280)))</f>
        <v>0</v>
      </c>
    </row>
    <row r="4282" spans="1:27" ht="21" customHeight="1" x14ac:dyDescent="0.95">
      <c r="A4282" s="56"/>
      <c r="B4282" s="57"/>
      <c r="C4282" s="57"/>
      <c r="D4282" s="57"/>
      <c r="E4282" s="56"/>
      <c r="F4282" s="57"/>
      <c r="G4282" s="57"/>
      <c r="H4282" s="56"/>
      <c r="I4282" s="56"/>
      <c r="J4282" s="58"/>
      <c r="K4282" s="58"/>
      <c r="L4282" s="13" t="str">
        <f t="shared" si="660"/>
        <v/>
      </c>
      <c r="M4282" s="13" t="str">
        <f t="shared" si="661"/>
        <v/>
      </c>
      <c r="Q4282" t="str">
        <f t="shared" si="662"/>
        <v/>
      </c>
      <c r="R4282" t="str">
        <f t="shared" si="663"/>
        <v/>
      </c>
      <c r="S4282" t="str">
        <f t="shared" si="664"/>
        <v/>
      </c>
      <c r="T4282" t="str">
        <f t="shared" si="665"/>
        <v/>
      </c>
      <c r="U4282" t="str">
        <f t="shared" si="666"/>
        <v/>
      </c>
      <c r="V4282" t="str">
        <f t="shared" si="667"/>
        <v/>
      </c>
      <c r="W4282" t="str">
        <f t="shared" si="668"/>
        <v/>
      </c>
      <c r="X4282">
        <f>IF($T4282="",N($X4281),IF(MATCH($T4282,$T$6:$T$10005,0)=ROW()-5,N($X4281)+1,N($X4281)))</f>
        <v>0</v>
      </c>
      <c r="Z4282" t="str">
        <f t="shared" si="669"/>
        <v/>
      </c>
      <c r="AA4282">
        <f>IF($V4282="",N($AA4281),IF(MATCH($V4282,$V$6:$V$10005,0)=ROW()-5,N($AA4281)+1,N($AA4281)))</f>
        <v>0</v>
      </c>
    </row>
    <row r="4283" spans="1:27" ht="21" customHeight="1" x14ac:dyDescent="0.95">
      <c r="A4283" s="56"/>
      <c r="B4283" s="57"/>
      <c r="C4283" s="57"/>
      <c r="D4283" s="57"/>
      <c r="E4283" s="56"/>
      <c r="F4283" s="57"/>
      <c r="G4283" s="57"/>
      <c r="H4283" s="56"/>
      <c r="I4283" s="56"/>
      <c r="J4283" s="58"/>
      <c r="K4283" s="58"/>
      <c r="L4283" s="13" t="str">
        <f t="shared" si="660"/>
        <v/>
      </c>
      <c r="M4283" s="13" t="str">
        <f t="shared" si="661"/>
        <v/>
      </c>
      <c r="Q4283" t="str">
        <f t="shared" si="662"/>
        <v/>
      </c>
      <c r="R4283" t="str">
        <f t="shared" si="663"/>
        <v/>
      </c>
      <c r="S4283" t="str">
        <f t="shared" si="664"/>
        <v/>
      </c>
      <c r="T4283" t="str">
        <f t="shared" si="665"/>
        <v/>
      </c>
      <c r="U4283" t="str">
        <f t="shared" si="666"/>
        <v/>
      </c>
      <c r="V4283" t="str">
        <f t="shared" si="667"/>
        <v/>
      </c>
      <c r="W4283" t="str">
        <f t="shared" si="668"/>
        <v/>
      </c>
      <c r="X4283">
        <f>IF($T4283="",N($X4282),IF(MATCH($T4283,$T$6:$T$10005,0)=ROW()-5,N($X4282)+1,N($X4282)))</f>
        <v>0</v>
      </c>
      <c r="Z4283" t="str">
        <f t="shared" si="669"/>
        <v/>
      </c>
      <c r="AA4283">
        <f>IF($V4283="",N($AA4282),IF(MATCH($V4283,$V$6:$V$10005,0)=ROW()-5,N($AA4282)+1,N($AA4282)))</f>
        <v>0</v>
      </c>
    </row>
    <row r="4284" spans="1:27" ht="21" customHeight="1" x14ac:dyDescent="0.95">
      <c r="A4284" s="56"/>
      <c r="B4284" s="57"/>
      <c r="C4284" s="57"/>
      <c r="D4284" s="57"/>
      <c r="E4284" s="56"/>
      <c r="F4284" s="57"/>
      <c r="G4284" s="57"/>
      <c r="H4284" s="56"/>
      <c r="I4284" s="56"/>
      <c r="J4284" s="58"/>
      <c r="K4284" s="58"/>
      <c r="L4284" s="13" t="str">
        <f t="shared" si="660"/>
        <v/>
      </c>
      <c r="M4284" s="13" t="str">
        <f t="shared" si="661"/>
        <v/>
      </c>
      <c r="Q4284" t="str">
        <f t="shared" si="662"/>
        <v/>
      </c>
      <c r="R4284" t="str">
        <f t="shared" si="663"/>
        <v/>
      </c>
      <c r="S4284" t="str">
        <f t="shared" si="664"/>
        <v/>
      </c>
      <c r="T4284" t="str">
        <f t="shared" si="665"/>
        <v/>
      </c>
      <c r="U4284" t="str">
        <f t="shared" si="666"/>
        <v/>
      </c>
      <c r="V4284" t="str">
        <f t="shared" si="667"/>
        <v/>
      </c>
      <c r="W4284" t="str">
        <f t="shared" si="668"/>
        <v/>
      </c>
      <c r="X4284">
        <f>IF($T4284="",N($X4283),IF(MATCH($T4284,$T$6:$T$10005,0)=ROW()-5,N($X4283)+1,N($X4283)))</f>
        <v>0</v>
      </c>
      <c r="Z4284" t="str">
        <f t="shared" si="669"/>
        <v/>
      </c>
      <c r="AA4284">
        <f>IF($V4284="",N($AA4283),IF(MATCH($V4284,$V$6:$V$10005,0)=ROW()-5,N($AA4283)+1,N($AA4283)))</f>
        <v>0</v>
      </c>
    </row>
    <row r="4285" spans="1:27" ht="21" customHeight="1" x14ac:dyDescent="0.95">
      <c r="A4285" s="56"/>
      <c r="B4285" s="57"/>
      <c r="C4285" s="57"/>
      <c r="D4285" s="57"/>
      <c r="E4285" s="56"/>
      <c r="F4285" s="57"/>
      <c r="G4285" s="57"/>
      <c r="H4285" s="56"/>
      <c r="I4285" s="56"/>
      <c r="J4285" s="58"/>
      <c r="K4285" s="58"/>
      <c r="L4285" s="13" t="str">
        <f t="shared" si="660"/>
        <v/>
      </c>
      <c r="M4285" s="13" t="str">
        <f t="shared" si="661"/>
        <v/>
      </c>
      <c r="Q4285" t="str">
        <f t="shared" si="662"/>
        <v/>
      </c>
      <c r="R4285" t="str">
        <f t="shared" si="663"/>
        <v/>
      </c>
      <c r="S4285" t="str">
        <f t="shared" si="664"/>
        <v/>
      </c>
      <c r="T4285" t="str">
        <f t="shared" si="665"/>
        <v/>
      </c>
      <c r="U4285" t="str">
        <f t="shared" si="666"/>
        <v/>
      </c>
      <c r="V4285" t="str">
        <f t="shared" si="667"/>
        <v/>
      </c>
      <c r="W4285" t="str">
        <f t="shared" si="668"/>
        <v/>
      </c>
      <c r="X4285">
        <f>IF($T4285="",N($X4284),IF(MATCH($T4285,$T$6:$T$10005,0)=ROW()-5,N($X4284)+1,N($X4284)))</f>
        <v>0</v>
      </c>
      <c r="Z4285" t="str">
        <f t="shared" si="669"/>
        <v/>
      </c>
      <c r="AA4285">
        <f>IF($V4285="",N($AA4284),IF(MATCH($V4285,$V$6:$V$10005,0)=ROW()-5,N($AA4284)+1,N($AA4284)))</f>
        <v>0</v>
      </c>
    </row>
    <row r="4286" spans="1:27" ht="21" customHeight="1" x14ac:dyDescent="0.95">
      <c r="A4286" s="56"/>
      <c r="B4286" s="57"/>
      <c r="C4286" s="57"/>
      <c r="D4286" s="57"/>
      <c r="E4286" s="56"/>
      <c r="F4286" s="57"/>
      <c r="G4286" s="57"/>
      <c r="H4286" s="56"/>
      <c r="I4286" s="56"/>
      <c r="J4286" s="58"/>
      <c r="K4286" s="58"/>
      <c r="L4286" s="13" t="str">
        <f t="shared" si="660"/>
        <v/>
      </c>
      <c r="M4286" s="13" t="str">
        <f t="shared" si="661"/>
        <v/>
      </c>
      <c r="Q4286" t="str">
        <f t="shared" si="662"/>
        <v/>
      </c>
      <c r="R4286" t="str">
        <f t="shared" si="663"/>
        <v/>
      </c>
      <c r="S4286" t="str">
        <f t="shared" si="664"/>
        <v/>
      </c>
      <c r="T4286" t="str">
        <f t="shared" si="665"/>
        <v/>
      </c>
      <c r="U4286" t="str">
        <f t="shared" si="666"/>
        <v/>
      </c>
      <c r="V4286" t="str">
        <f t="shared" si="667"/>
        <v/>
      </c>
      <c r="W4286" t="str">
        <f t="shared" si="668"/>
        <v/>
      </c>
      <c r="X4286">
        <f>IF($T4286="",N($X4285),IF(MATCH($T4286,$T$6:$T$10005,0)=ROW()-5,N($X4285)+1,N($X4285)))</f>
        <v>0</v>
      </c>
      <c r="Z4286" t="str">
        <f t="shared" si="669"/>
        <v/>
      </c>
      <c r="AA4286">
        <f>IF($V4286="",N($AA4285),IF(MATCH($V4286,$V$6:$V$10005,0)=ROW()-5,N($AA4285)+1,N($AA4285)))</f>
        <v>0</v>
      </c>
    </row>
    <row r="4287" spans="1:27" ht="21" customHeight="1" x14ac:dyDescent="0.95">
      <c r="A4287" s="56"/>
      <c r="B4287" s="57"/>
      <c r="C4287" s="57"/>
      <c r="D4287" s="57"/>
      <c r="E4287" s="56"/>
      <c r="F4287" s="57"/>
      <c r="G4287" s="57"/>
      <c r="H4287" s="56"/>
      <c r="I4287" s="56"/>
      <c r="J4287" s="58"/>
      <c r="K4287" s="58"/>
      <c r="L4287" s="13" t="str">
        <f t="shared" si="660"/>
        <v/>
      </c>
      <c r="M4287" s="13" t="str">
        <f t="shared" si="661"/>
        <v/>
      </c>
      <c r="Q4287" t="str">
        <f t="shared" si="662"/>
        <v/>
      </c>
      <c r="R4287" t="str">
        <f t="shared" si="663"/>
        <v/>
      </c>
      <c r="S4287" t="str">
        <f t="shared" si="664"/>
        <v/>
      </c>
      <c r="T4287" t="str">
        <f t="shared" si="665"/>
        <v/>
      </c>
      <c r="U4287" t="str">
        <f t="shared" si="666"/>
        <v/>
      </c>
      <c r="V4287" t="str">
        <f t="shared" si="667"/>
        <v/>
      </c>
      <c r="W4287" t="str">
        <f t="shared" si="668"/>
        <v/>
      </c>
      <c r="X4287">
        <f>IF($T4287="",N($X4286),IF(MATCH($T4287,$T$6:$T$10005,0)=ROW()-5,N($X4286)+1,N($X4286)))</f>
        <v>0</v>
      </c>
      <c r="Z4287" t="str">
        <f t="shared" si="669"/>
        <v/>
      </c>
      <c r="AA4287">
        <f>IF($V4287="",N($AA4286),IF(MATCH($V4287,$V$6:$V$10005,0)=ROW()-5,N($AA4286)+1,N($AA4286)))</f>
        <v>0</v>
      </c>
    </row>
    <row r="4288" spans="1:27" ht="21" customHeight="1" x14ac:dyDescent="0.95">
      <c r="A4288" s="56"/>
      <c r="B4288" s="57"/>
      <c r="C4288" s="57"/>
      <c r="D4288" s="57"/>
      <c r="E4288" s="56"/>
      <c r="F4288" s="57"/>
      <c r="G4288" s="57"/>
      <c r="H4288" s="56"/>
      <c r="I4288" s="56"/>
      <c r="J4288" s="58"/>
      <c r="K4288" s="58"/>
      <c r="L4288" s="13" t="str">
        <f t="shared" si="660"/>
        <v/>
      </c>
      <c r="M4288" s="13" t="str">
        <f t="shared" si="661"/>
        <v/>
      </c>
      <c r="Q4288" t="str">
        <f t="shared" si="662"/>
        <v/>
      </c>
      <c r="R4288" t="str">
        <f t="shared" si="663"/>
        <v/>
      </c>
      <c r="S4288" t="str">
        <f t="shared" si="664"/>
        <v/>
      </c>
      <c r="T4288" t="str">
        <f t="shared" si="665"/>
        <v/>
      </c>
      <c r="U4288" t="str">
        <f t="shared" si="666"/>
        <v/>
      </c>
      <c r="V4288" t="str">
        <f t="shared" si="667"/>
        <v/>
      </c>
      <c r="W4288" t="str">
        <f t="shared" si="668"/>
        <v/>
      </c>
      <c r="X4288">
        <f>IF($T4288="",N($X4287),IF(MATCH($T4288,$T$6:$T$10005,0)=ROW()-5,N($X4287)+1,N($X4287)))</f>
        <v>0</v>
      </c>
      <c r="Z4288" t="str">
        <f t="shared" si="669"/>
        <v/>
      </c>
      <c r="AA4288">
        <f>IF($V4288="",N($AA4287),IF(MATCH($V4288,$V$6:$V$10005,0)=ROW()-5,N($AA4287)+1,N($AA4287)))</f>
        <v>0</v>
      </c>
    </row>
    <row r="4289" spans="1:27" ht="21" customHeight="1" x14ac:dyDescent="0.95">
      <c r="A4289" s="56"/>
      <c r="B4289" s="57"/>
      <c r="C4289" s="57"/>
      <c r="D4289" s="57"/>
      <c r="E4289" s="56"/>
      <c r="F4289" s="57"/>
      <c r="G4289" s="57"/>
      <c r="H4289" s="56"/>
      <c r="I4289" s="56"/>
      <c r="J4289" s="58"/>
      <c r="K4289" s="58"/>
      <c r="L4289" s="13" t="str">
        <f t="shared" si="660"/>
        <v/>
      </c>
      <c r="M4289" s="13" t="str">
        <f t="shared" si="661"/>
        <v/>
      </c>
      <c r="Q4289" t="str">
        <f t="shared" si="662"/>
        <v/>
      </c>
      <c r="R4289" t="str">
        <f t="shared" si="663"/>
        <v/>
      </c>
      <c r="S4289" t="str">
        <f t="shared" si="664"/>
        <v/>
      </c>
      <c r="T4289" t="str">
        <f t="shared" si="665"/>
        <v/>
      </c>
      <c r="U4289" t="str">
        <f t="shared" si="666"/>
        <v/>
      </c>
      <c r="V4289" t="str">
        <f t="shared" si="667"/>
        <v/>
      </c>
      <c r="W4289" t="str">
        <f t="shared" si="668"/>
        <v/>
      </c>
      <c r="X4289">
        <f>IF($T4289="",N($X4288),IF(MATCH($T4289,$T$6:$T$10005,0)=ROW()-5,N($X4288)+1,N($X4288)))</f>
        <v>0</v>
      </c>
      <c r="Z4289" t="str">
        <f t="shared" si="669"/>
        <v/>
      </c>
      <c r="AA4289">
        <f>IF($V4289="",N($AA4288),IF(MATCH($V4289,$V$6:$V$10005,0)=ROW()-5,N($AA4288)+1,N($AA4288)))</f>
        <v>0</v>
      </c>
    </row>
    <row r="4290" spans="1:27" ht="21" customHeight="1" x14ac:dyDescent="0.95">
      <c r="A4290" s="56"/>
      <c r="B4290" s="57"/>
      <c r="C4290" s="57"/>
      <c r="D4290" s="57"/>
      <c r="E4290" s="56"/>
      <c r="F4290" s="57"/>
      <c r="G4290" s="57"/>
      <c r="H4290" s="56"/>
      <c r="I4290" s="56"/>
      <c r="J4290" s="58"/>
      <c r="K4290" s="58"/>
      <c r="L4290" s="13" t="str">
        <f t="shared" si="660"/>
        <v/>
      </c>
      <c r="M4290" s="13" t="str">
        <f t="shared" si="661"/>
        <v/>
      </c>
      <c r="Q4290" t="str">
        <f t="shared" si="662"/>
        <v/>
      </c>
      <c r="R4290" t="str">
        <f t="shared" si="663"/>
        <v/>
      </c>
      <c r="S4290" t="str">
        <f t="shared" si="664"/>
        <v/>
      </c>
      <c r="T4290" t="str">
        <f t="shared" si="665"/>
        <v/>
      </c>
      <c r="U4290" t="str">
        <f t="shared" si="666"/>
        <v/>
      </c>
      <c r="V4290" t="str">
        <f t="shared" si="667"/>
        <v/>
      </c>
      <c r="W4290" t="str">
        <f t="shared" si="668"/>
        <v/>
      </c>
      <c r="X4290">
        <f>IF($T4290="",N($X4289),IF(MATCH($T4290,$T$6:$T$10005,0)=ROW()-5,N($X4289)+1,N($X4289)))</f>
        <v>0</v>
      </c>
      <c r="Z4290" t="str">
        <f t="shared" si="669"/>
        <v/>
      </c>
      <c r="AA4290">
        <f>IF($V4290="",N($AA4289),IF(MATCH($V4290,$V$6:$V$10005,0)=ROW()-5,N($AA4289)+1,N($AA4289)))</f>
        <v>0</v>
      </c>
    </row>
    <row r="4291" spans="1:27" ht="21" customHeight="1" x14ac:dyDescent="0.95">
      <c r="A4291" s="56"/>
      <c r="B4291" s="57"/>
      <c r="C4291" s="57"/>
      <c r="D4291" s="57"/>
      <c r="E4291" s="56"/>
      <c r="F4291" s="57"/>
      <c r="G4291" s="57"/>
      <c r="H4291" s="56"/>
      <c r="I4291" s="56"/>
      <c r="J4291" s="58"/>
      <c r="K4291" s="58"/>
      <c r="L4291" s="13" t="str">
        <f t="shared" si="660"/>
        <v/>
      </c>
      <c r="M4291" s="13" t="str">
        <f t="shared" si="661"/>
        <v/>
      </c>
      <c r="Q4291" t="str">
        <f t="shared" si="662"/>
        <v/>
      </c>
      <c r="R4291" t="str">
        <f t="shared" si="663"/>
        <v/>
      </c>
      <c r="S4291" t="str">
        <f t="shared" si="664"/>
        <v/>
      </c>
      <c r="T4291" t="str">
        <f t="shared" si="665"/>
        <v/>
      </c>
      <c r="U4291" t="str">
        <f t="shared" si="666"/>
        <v/>
      </c>
      <c r="V4291" t="str">
        <f t="shared" si="667"/>
        <v/>
      </c>
      <c r="W4291" t="str">
        <f t="shared" si="668"/>
        <v/>
      </c>
      <c r="X4291">
        <f>IF($T4291="",N($X4290),IF(MATCH($T4291,$T$6:$T$10005,0)=ROW()-5,N($X4290)+1,N($X4290)))</f>
        <v>0</v>
      </c>
      <c r="Z4291" t="str">
        <f t="shared" si="669"/>
        <v/>
      </c>
      <c r="AA4291">
        <f>IF($V4291="",N($AA4290),IF(MATCH($V4291,$V$6:$V$10005,0)=ROW()-5,N($AA4290)+1,N($AA4290)))</f>
        <v>0</v>
      </c>
    </row>
    <row r="4292" spans="1:27" ht="21" customHeight="1" x14ac:dyDescent="0.95">
      <c r="A4292" s="56"/>
      <c r="B4292" s="57"/>
      <c r="C4292" s="57"/>
      <c r="D4292" s="57"/>
      <c r="E4292" s="56"/>
      <c r="F4292" s="57"/>
      <c r="G4292" s="57"/>
      <c r="H4292" s="56"/>
      <c r="I4292" s="56"/>
      <c r="J4292" s="58"/>
      <c r="K4292" s="58"/>
      <c r="L4292" s="13" t="str">
        <f t="shared" si="660"/>
        <v/>
      </c>
      <c r="M4292" s="13" t="str">
        <f t="shared" si="661"/>
        <v/>
      </c>
      <c r="Q4292" t="str">
        <f t="shared" si="662"/>
        <v/>
      </c>
      <c r="R4292" t="str">
        <f t="shared" si="663"/>
        <v/>
      </c>
      <c r="S4292" t="str">
        <f t="shared" si="664"/>
        <v/>
      </c>
      <c r="T4292" t="str">
        <f t="shared" si="665"/>
        <v/>
      </c>
      <c r="U4292" t="str">
        <f t="shared" si="666"/>
        <v/>
      </c>
      <c r="V4292" t="str">
        <f t="shared" si="667"/>
        <v/>
      </c>
      <c r="W4292" t="str">
        <f t="shared" si="668"/>
        <v/>
      </c>
      <c r="X4292">
        <f>IF($T4292="",N($X4291),IF(MATCH($T4292,$T$6:$T$10005,0)=ROW()-5,N($X4291)+1,N($X4291)))</f>
        <v>0</v>
      </c>
      <c r="Z4292" t="str">
        <f t="shared" si="669"/>
        <v/>
      </c>
      <c r="AA4292">
        <f>IF($V4292="",N($AA4291),IF(MATCH($V4292,$V$6:$V$10005,0)=ROW()-5,N($AA4291)+1,N($AA4291)))</f>
        <v>0</v>
      </c>
    </row>
    <row r="4293" spans="1:27" ht="21" customHeight="1" x14ac:dyDescent="0.95">
      <c r="A4293" s="56"/>
      <c r="B4293" s="57"/>
      <c r="C4293" s="57"/>
      <c r="D4293" s="57"/>
      <c r="E4293" s="56"/>
      <c r="F4293" s="57"/>
      <c r="G4293" s="57"/>
      <c r="H4293" s="56"/>
      <c r="I4293" s="56"/>
      <c r="J4293" s="58"/>
      <c r="K4293" s="58"/>
      <c r="L4293" s="13" t="str">
        <f t="shared" si="660"/>
        <v/>
      </c>
      <c r="M4293" s="13" t="str">
        <f t="shared" si="661"/>
        <v/>
      </c>
      <c r="Q4293" t="str">
        <f t="shared" si="662"/>
        <v/>
      </c>
      <c r="R4293" t="str">
        <f t="shared" si="663"/>
        <v/>
      </c>
      <c r="S4293" t="str">
        <f t="shared" si="664"/>
        <v/>
      </c>
      <c r="T4293" t="str">
        <f t="shared" si="665"/>
        <v/>
      </c>
      <c r="U4293" t="str">
        <f t="shared" si="666"/>
        <v/>
      </c>
      <c r="V4293" t="str">
        <f t="shared" si="667"/>
        <v/>
      </c>
      <c r="W4293" t="str">
        <f t="shared" si="668"/>
        <v/>
      </c>
      <c r="X4293">
        <f>IF($T4293="",N($X4292),IF(MATCH($T4293,$T$6:$T$10005,0)=ROW()-5,N($X4292)+1,N($X4292)))</f>
        <v>0</v>
      </c>
      <c r="Z4293" t="str">
        <f t="shared" si="669"/>
        <v/>
      </c>
      <c r="AA4293">
        <f>IF($V4293="",N($AA4292),IF(MATCH($V4293,$V$6:$V$10005,0)=ROW()-5,N($AA4292)+1,N($AA4292)))</f>
        <v>0</v>
      </c>
    </row>
    <row r="4294" spans="1:27" ht="21" customHeight="1" x14ac:dyDescent="0.95">
      <c r="A4294" s="56"/>
      <c r="B4294" s="57"/>
      <c r="C4294" s="57"/>
      <c r="D4294" s="57"/>
      <c r="E4294" s="56"/>
      <c r="F4294" s="57"/>
      <c r="G4294" s="57"/>
      <c r="H4294" s="56"/>
      <c r="I4294" s="56"/>
      <c r="J4294" s="58"/>
      <c r="K4294" s="58"/>
      <c r="L4294" s="13" t="str">
        <f t="shared" ref="L4294:L4357" si="670">IF(OR($A4294="",AND($J4294="",$K4294="")),"",ROUND(N($J4294)-N($K4294),2))</f>
        <v/>
      </c>
      <c r="M4294" s="13" t="str">
        <f t="shared" ref="M4294:M4357" si="671">IF(OR($A4294="",AND($J4294="",$K4294="")),"",MIN($J4294,$K4294))</f>
        <v/>
      </c>
      <c r="Q4294" t="str">
        <f t="shared" ref="Q4294:Q4357" si="672">IF($A4294="","",$D4294&amp;"("&amp;SUBSTITUTE($E4294," ","")&amp;")")</f>
        <v/>
      </c>
      <c r="R4294" t="str">
        <f t="shared" ref="R4294:R4357" si="673">IF($A4294="","",$B4294&amp;" - "&amp;$C4294)</f>
        <v/>
      </c>
      <c r="S4294" t="str">
        <f t="shared" ref="S4294:S4357" si="674">IF($A4294="","",$R4294&amp;"|"&amp;$Q4294)</f>
        <v/>
      </c>
      <c r="T4294" t="str">
        <f t="shared" ref="T4294:T4357" si="675">IF($A4294="","",$S4294&amp;"|"&amp;$F4294)</f>
        <v/>
      </c>
      <c r="U4294" t="str">
        <f t="shared" ref="U4294:U4357" si="676">IF($A4294="","",$R4294&amp;"("&amp;$E4294&amp;")")</f>
        <v/>
      </c>
      <c r="V4294" t="str">
        <f t="shared" ref="V4294:V4357" si="677">IF($A4294="","",$F4294&amp;"|"&amp;$U4294&amp;"|"&amp;$D4294)</f>
        <v/>
      </c>
      <c r="W4294" t="str">
        <f t="shared" ref="W4294:W4357" si="678">IF($T4294="","",IF($X4294&gt;N($X4293),$X4294,""))</f>
        <v/>
      </c>
      <c r="X4294">
        <f>IF($T4294="",N($X4293),IF(MATCH($T4294,$T$6:$T$10005,0)=ROW()-5,N($X4293)+1,N($X4293)))</f>
        <v>0</v>
      </c>
      <c r="Z4294" t="str">
        <f t="shared" ref="Z4294:Z4357" si="679">IF($V4294="","",IF($AA4294&gt;N($AA4293),$AA4294,""))</f>
        <v/>
      </c>
      <c r="AA4294">
        <f>IF($V4294="",N($AA4293),IF(MATCH($V4294,$V$6:$V$10005,0)=ROW()-5,N($AA4293)+1,N($AA4293)))</f>
        <v>0</v>
      </c>
    </row>
    <row r="4295" spans="1:27" ht="21" customHeight="1" x14ac:dyDescent="0.95">
      <c r="A4295" s="56"/>
      <c r="B4295" s="57"/>
      <c r="C4295" s="57"/>
      <c r="D4295" s="57"/>
      <c r="E4295" s="56"/>
      <c r="F4295" s="57"/>
      <c r="G4295" s="57"/>
      <c r="H4295" s="56"/>
      <c r="I4295" s="56"/>
      <c r="J4295" s="58"/>
      <c r="K4295" s="58"/>
      <c r="L4295" s="13" t="str">
        <f t="shared" si="670"/>
        <v/>
      </c>
      <c r="M4295" s="13" t="str">
        <f t="shared" si="671"/>
        <v/>
      </c>
      <c r="Q4295" t="str">
        <f t="shared" si="672"/>
        <v/>
      </c>
      <c r="R4295" t="str">
        <f t="shared" si="673"/>
        <v/>
      </c>
      <c r="S4295" t="str">
        <f t="shared" si="674"/>
        <v/>
      </c>
      <c r="T4295" t="str">
        <f t="shared" si="675"/>
        <v/>
      </c>
      <c r="U4295" t="str">
        <f t="shared" si="676"/>
        <v/>
      </c>
      <c r="V4295" t="str">
        <f t="shared" si="677"/>
        <v/>
      </c>
      <c r="W4295" t="str">
        <f t="shared" si="678"/>
        <v/>
      </c>
      <c r="X4295">
        <f>IF($T4295="",N($X4294),IF(MATCH($T4295,$T$6:$T$10005,0)=ROW()-5,N($X4294)+1,N($X4294)))</f>
        <v>0</v>
      </c>
      <c r="Z4295" t="str">
        <f t="shared" si="679"/>
        <v/>
      </c>
      <c r="AA4295">
        <f>IF($V4295="",N($AA4294),IF(MATCH($V4295,$V$6:$V$10005,0)=ROW()-5,N($AA4294)+1,N($AA4294)))</f>
        <v>0</v>
      </c>
    </row>
    <row r="4296" spans="1:27" ht="21" customHeight="1" x14ac:dyDescent="0.95">
      <c r="A4296" s="56"/>
      <c r="B4296" s="57"/>
      <c r="C4296" s="57"/>
      <c r="D4296" s="57"/>
      <c r="E4296" s="56"/>
      <c r="F4296" s="57"/>
      <c r="G4296" s="57"/>
      <c r="H4296" s="56"/>
      <c r="I4296" s="56"/>
      <c r="J4296" s="58"/>
      <c r="K4296" s="58"/>
      <c r="L4296" s="13" t="str">
        <f t="shared" si="670"/>
        <v/>
      </c>
      <c r="M4296" s="13" t="str">
        <f t="shared" si="671"/>
        <v/>
      </c>
      <c r="Q4296" t="str">
        <f t="shared" si="672"/>
        <v/>
      </c>
      <c r="R4296" t="str">
        <f t="shared" si="673"/>
        <v/>
      </c>
      <c r="S4296" t="str">
        <f t="shared" si="674"/>
        <v/>
      </c>
      <c r="T4296" t="str">
        <f t="shared" si="675"/>
        <v/>
      </c>
      <c r="U4296" t="str">
        <f t="shared" si="676"/>
        <v/>
      </c>
      <c r="V4296" t="str">
        <f t="shared" si="677"/>
        <v/>
      </c>
      <c r="W4296" t="str">
        <f t="shared" si="678"/>
        <v/>
      </c>
      <c r="X4296">
        <f>IF($T4296="",N($X4295),IF(MATCH($T4296,$T$6:$T$10005,0)=ROW()-5,N($X4295)+1,N($X4295)))</f>
        <v>0</v>
      </c>
      <c r="Z4296" t="str">
        <f t="shared" si="679"/>
        <v/>
      </c>
      <c r="AA4296">
        <f>IF($V4296="",N($AA4295),IF(MATCH($V4296,$V$6:$V$10005,0)=ROW()-5,N($AA4295)+1,N($AA4295)))</f>
        <v>0</v>
      </c>
    </row>
    <row r="4297" spans="1:27" ht="21" customHeight="1" x14ac:dyDescent="0.95">
      <c r="A4297" s="56"/>
      <c r="B4297" s="57"/>
      <c r="C4297" s="57"/>
      <c r="D4297" s="57"/>
      <c r="E4297" s="56"/>
      <c r="F4297" s="57"/>
      <c r="G4297" s="57"/>
      <c r="H4297" s="56"/>
      <c r="I4297" s="56"/>
      <c r="J4297" s="58"/>
      <c r="K4297" s="58"/>
      <c r="L4297" s="13" t="str">
        <f t="shared" si="670"/>
        <v/>
      </c>
      <c r="M4297" s="13" t="str">
        <f t="shared" si="671"/>
        <v/>
      </c>
      <c r="Q4297" t="str">
        <f t="shared" si="672"/>
        <v/>
      </c>
      <c r="R4297" t="str">
        <f t="shared" si="673"/>
        <v/>
      </c>
      <c r="S4297" t="str">
        <f t="shared" si="674"/>
        <v/>
      </c>
      <c r="T4297" t="str">
        <f t="shared" si="675"/>
        <v/>
      </c>
      <c r="U4297" t="str">
        <f t="shared" si="676"/>
        <v/>
      </c>
      <c r="V4297" t="str">
        <f t="shared" si="677"/>
        <v/>
      </c>
      <c r="W4297" t="str">
        <f t="shared" si="678"/>
        <v/>
      </c>
      <c r="X4297">
        <f>IF($T4297="",N($X4296),IF(MATCH($T4297,$T$6:$T$10005,0)=ROW()-5,N($X4296)+1,N($X4296)))</f>
        <v>0</v>
      </c>
      <c r="Z4297" t="str">
        <f t="shared" si="679"/>
        <v/>
      </c>
      <c r="AA4297">
        <f>IF($V4297="",N($AA4296),IF(MATCH($V4297,$V$6:$V$10005,0)=ROW()-5,N($AA4296)+1,N($AA4296)))</f>
        <v>0</v>
      </c>
    </row>
    <row r="4298" spans="1:27" ht="21" customHeight="1" x14ac:dyDescent="0.95">
      <c r="A4298" s="56"/>
      <c r="B4298" s="57"/>
      <c r="C4298" s="57"/>
      <c r="D4298" s="57"/>
      <c r="E4298" s="56"/>
      <c r="F4298" s="57"/>
      <c r="G4298" s="57"/>
      <c r="H4298" s="56"/>
      <c r="I4298" s="56"/>
      <c r="J4298" s="58"/>
      <c r="K4298" s="58"/>
      <c r="L4298" s="13" t="str">
        <f t="shared" si="670"/>
        <v/>
      </c>
      <c r="M4298" s="13" t="str">
        <f t="shared" si="671"/>
        <v/>
      </c>
      <c r="Q4298" t="str">
        <f t="shared" si="672"/>
        <v/>
      </c>
      <c r="R4298" t="str">
        <f t="shared" si="673"/>
        <v/>
      </c>
      <c r="S4298" t="str">
        <f t="shared" si="674"/>
        <v/>
      </c>
      <c r="T4298" t="str">
        <f t="shared" si="675"/>
        <v/>
      </c>
      <c r="U4298" t="str">
        <f t="shared" si="676"/>
        <v/>
      </c>
      <c r="V4298" t="str">
        <f t="shared" si="677"/>
        <v/>
      </c>
      <c r="W4298" t="str">
        <f t="shared" si="678"/>
        <v/>
      </c>
      <c r="X4298">
        <f>IF($T4298="",N($X4297),IF(MATCH($T4298,$T$6:$T$10005,0)=ROW()-5,N($X4297)+1,N($X4297)))</f>
        <v>0</v>
      </c>
      <c r="Z4298" t="str">
        <f t="shared" si="679"/>
        <v/>
      </c>
      <c r="AA4298">
        <f>IF($V4298="",N($AA4297),IF(MATCH($V4298,$V$6:$V$10005,0)=ROW()-5,N($AA4297)+1,N($AA4297)))</f>
        <v>0</v>
      </c>
    </row>
    <row r="4299" spans="1:27" ht="21" customHeight="1" x14ac:dyDescent="0.95">
      <c r="A4299" s="56"/>
      <c r="B4299" s="57"/>
      <c r="C4299" s="57"/>
      <c r="D4299" s="57"/>
      <c r="E4299" s="56"/>
      <c r="F4299" s="57"/>
      <c r="G4299" s="57"/>
      <c r="H4299" s="56"/>
      <c r="I4299" s="56"/>
      <c r="J4299" s="58"/>
      <c r="K4299" s="58"/>
      <c r="L4299" s="13" t="str">
        <f t="shared" si="670"/>
        <v/>
      </c>
      <c r="M4299" s="13" t="str">
        <f t="shared" si="671"/>
        <v/>
      </c>
      <c r="Q4299" t="str">
        <f t="shared" si="672"/>
        <v/>
      </c>
      <c r="R4299" t="str">
        <f t="shared" si="673"/>
        <v/>
      </c>
      <c r="S4299" t="str">
        <f t="shared" si="674"/>
        <v/>
      </c>
      <c r="T4299" t="str">
        <f t="shared" si="675"/>
        <v/>
      </c>
      <c r="U4299" t="str">
        <f t="shared" si="676"/>
        <v/>
      </c>
      <c r="V4299" t="str">
        <f t="shared" si="677"/>
        <v/>
      </c>
      <c r="W4299" t="str">
        <f t="shared" si="678"/>
        <v/>
      </c>
      <c r="X4299">
        <f>IF($T4299="",N($X4298),IF(MATCH($T4299,$T$6:$T$10005,0)=ROW()-5,N($X4298)+1,N($X4298)))</f>
        <v>0</v>
      </c>
      <c r="Z4299" t="str">
        <f t="shared" si="679"/>
        <v/>
      </c>
      <c r="AA4299">
        <f>IF($V4299="",N($AA4298),IF(MATCH($V4299,$V$6:$V$10005,0)=ROW()-5,N($AA4298)+1,N($AA4298)))</f>
        <v>0</v>
      </c>
    </row>
    <row r="4300" spans="1:27" ht="21" customHeight="1" x14ac:dyDescent="0.95">
      <c r="A4300" s="56"/>
      <c r="B4300" s="57"/>
      <c r="C4300" s="57"/>
      <c r="D4300" s="57"/>
      <c r="E4300" s="56"/>
      <c r="F4300" s="57"/>
      <c r="G4300" s="57"/>
      <c r="H4300" s="56"/>
      <c r="I4300" s="56"/>
      <c r="J4300" s="58"/>
      <c r="K4300" s="58"/>
      <c r="L4300" s="13" t="str">
        <f t="shared" si="670"/>
        <v/>
      </c>
      <c r="M4300" s="13" t="str">
        <f t="shared" si="671"/>
        <v/>
      </c>
      <c r="Q4300" t="str">
        <f t="shared" si="672"/>
        <v/>
      </c>
      <c r="R4300" t="str">
        <f t="shared" si="673"/>
        <v/>
      </c>
      <c r="S4300" t="str">
        <f t="shared" si="674"/>
        <v/>
      </c>
      <c r="T4300" t="str">
        <f t="shared" si="675"/>
        <v/>
      </c>
      <c r="U4300" t="str">
        <f t="shared" si="676"/>
        <v/>
      </c>
      <c r="V4300" t="str">
        <f t="shared" si="677"/>
        <v/>
      </c>
      <c r="W4300" t="str">
        <f t="shared" si="678"/>
        <v/>
      </c>
      <c r="X4300">
        <f>IF($T4300="",N($X4299),IF(MATCH($T4300,$T$6:$T$10005,0)=ROW()-5,N($X4299)+1,N($X4299)))</f>
        <v>0</v>
      </c>
      <c r="Z4300" t="str">
        <f t="shared" si="679"/>
        <v/>
      </c>
      <c r="AA4300">
        <f>IF($V4300="",N($AA4299),IF(MATCH($V4300,$V$6:$V$10005,0)=ROW()-5,N($AA4299)+1,N($AA4299)))</f>
        <v>0</v>
      </c>
    </row>
    <row r="4301" spans="1:27" ht="21" customHeight="1" x14ac:dyDescent="0.95">
      <c r="A4301" s="56"/>
      <c r="B4301" s="57"/>
      <c r="C4301" s="57"/>
      <c r="D4301" s="57"/>
      <c r="E4301" s="56"/>
      <c r="F4301" s="57"/>
      <c r="G4301" s="57"/>
      <c r="H4301" s="56"/>
      <c r="I4301" s="56"/>
      <c r="J4301" s="58"/>
      <c r="K4301" s="58"/>
      <c r="L4301" s="13" t="str">
        <f t="shared" si="670"/>
        <v/>
      </c>
      <c r="M4301" s="13" t="str">
        <f t="shared" si="671"/>
        <v/>
      </c>
      <c r="Q4301" t="str">
        <f t="shared" si="672"/>
        <v/>
      </c>
      <c r="R4301" t="str">
        <f t="shared" si="673"/>
        <v/>
      </c>
      <c r="S4301" t="str">
        <f t="shared" si="674"/>
        <v/>
      </c>
      <c r="T4301" t="str">
        <f t="shared" si="675"/>
        <v/>
      </c>
      <c r="U4301" t="str">
        <f t="shared" si="676"/>
        <v/>
      </c>
      <c r="V4301" t="str">
        <f t="shared" si="677"/>
        <v/>
      </c>
      <c r="W4301" t="str">
        <f t="shared" si="678"/>
        <v/>
      </c>
      <c r="X4301">
        <f>IF($T4301="",N($X4300),IF(MATCH($T4301,$T$6:$T$10005,0)=ROW()-5,N($X4300)+1,N($X4300)))</f>
        <v>0</v>
      </c>
      <c r="Z4301" t="str">
        <f t="shared" si="679"/>
        <v/>
      </c>
      <c r="AA4301">
        <f>IF($V4301="",N($AA4300),IF(MATCH($V4301,$V$6:$V$10005,0)=ROW()-5,N($AA4300)+1,N($AA4300)))</f>
        <v>0</v>
      </c>
    </row>
    <row r="4302" spans="1:27" ht="21" customHeight="1" x14ac:dyDescent="0.95">
      <c r="A4302" s="56"/>
      <c r="B4302" s="57"/>
      <c r="C4302" s="57"/>
      <c r="D4302" s="57"/>
      <c r="E4302" s="56"/>
      <c r="F4302" s="57"/>
      <c r="G4302" s="57"/>
      <c r="H4302" s="56"/>
      <c r="I4302" s="56"/>
      <c r="J4302" s="58"/>
      <c r="K4302" s="58"/>
      <c r="L4302" s="13" t="str">
        <f t="shared" si="670"/>
        <v/>
      </c>
      <c r="M4302" s="13" t="str">
        <f t="shared" si="671"/>
        <v/>
      </c>
      <c r="Q4302" t="str">
        <f t="shared" si="672"/>
        <v/>
      </c>
      <c r="R4302" t="str">
        <f t="shared" si="673"/>
        <v/>
      </c>
      <c r="S4302" t="str">
        <f t="shared" si="674"/>
        <v/>
      </c>
      <c r="T4302" t="str">
        <f t="shared" si="675"/>
        <v/>
      </c>
      <c r="U4302" t="str">
        <f t="shared" si="676"/>
        <v/>
      </c>
      <c r="V4302" t="str">
        <f t="shared" si="677"/>
        <v/>
      </c>
      <c r="W4302" t="str">
        <f t="shared" si="678"/>
        <v/>
      </c>
      <c r="X4302">
        <f>IF($T4302="",N($X4301),IF(MATCH($T4302,$T$6:$T$10005,0)=ROW()-5,N($X4301)+1,N($X4301)))</f>
        <v>0</v>
      </c>
      <c r="Z4302" t="str">
        <f t="shared" si="679"/>
        <v/>
      </c>
      <c r="AA4302">
        <f>IF($V4302="",N($AA4301),IF(MATCH($V4302,$V$6:$V$10005,0)=ROW()-5,N($AA4301)+1,N($AA4301)))</f>
        <v>0</v>
      </c>
    </row>
    <row r="4303" spans="1:27" ht="21" customHeight="1" x14ac:dyDescent="0.95">
      <c r="A4303" s="56"/>
      <c r="B4303" s="57"/>
      <c r="C4303" s="57"/>
      <c r="D4303" s="57"/>
      <c r="E4303" s="56"/>
      <c r="F4303" s="57"/>
      <c r="G4303" s="57"/>
      <c r="H4303" s="56"/>
      <c r="I4303" s="56"/>
      <c r="J4303" s="58"/>
      <c r="K4303" s="58"/>
      <c r="L4303" s="13" t="str">
        <f t="shared" si="670"/>
        <v/>
      </c>
      <c r="M4303" s="13" t="str">
        <f t="shared" si="671"/>
        <v/>
      </c>
      <c r="Q4303" t="str">
        <f t="shared" si="672"/>
        <v/>
      </c>
      <c r="R4303" t="str">
        <f t="shared" si="673"/>
        <v/>
      </c>
      <c r="S4303" t="str">
        <f t="shared" si="674"/>
        <v/>
      </c>
      <c r="T4303" t="str">
        <f t="shared" si="675"/>
        <v/>
      </c>
      <c r="U4303" t="str">
        <f t="shared" si="676"/>
        <v/>
      </c>
      <c r="V4303" t="str">
        <f t="shared" si="677"/>
        <v/>
      </c>
      <c r="W4303" t="str">
        <f t="shared" si="678"/>
        <v/>
      </c>
      <c r="X4303">
        <f>IF($T4303="",N($X4302),IF(MATCH($T4303,$T$6:$T$10005,0)=ROW()-5,N($X4302)+1,N($X4302)))</f>
        <v>0</v>
      </c>
      <c r="Z4303" t="str">
        <f t="shared" si="679"/>
        <v/>
      </c>
      <c r="AA4303">
        <f>IF($V4303="",N($AA4302),IF(MATCH($V4303,$V$6:$V$10005,0)=ROW()-5,N($AA4302)+1,N($AA4302)))</f>
        <v>0</v>
      </c>
    </row>
    <row r="4304" spans="1:27" ht="21" customHeight="1" x14ac:dyDescent="0.95">
      <c r="A4304" s="56"/>
      <c r="B4304" s="57"/>
      <c r="C4304" s="57"/>
      <c r="D4304" s="57"/>
      <c r="E4304" s="56"/>
      <c r="F4304" s="57"/>
      <c r="G4304" s="57"/>
      <c r="H4304" s="56"/>
      <c r="I4304" s="56"/>
      <c r="J4304" s="58"/>
      <c r="K4304" s="58"/>
      <c r="L4304" s="13" t="str">
        <f t="shared" si="670"/>
        <v/>
      </c>
      <c r="M4304" s="13" t="str">
        <f t="shared" si="671"/>
        <v/>
      </c>
      <c r="Q4304" t="str">
        <f t="shared" si="672"/>
        <v/>
      </c>
      <c r="R4304" t="str">
        <f t="shared" si="673"/>
        <v/>
      </c>
      <c r="S4304" t="str">
        <f t="shared" si="674"/>
        <v/>
      </c>
      <c r="T4304" t="str">
        <f t="shared" si="675"/>
        <v/>
      </c>
      <c r="U4304" t="str">
        <f t="shared" si="676"/>
        <v/>
      </c>
      <c r="V4304" t="str">
        <f t="shared" si="677"/>
        <v/>
      </c>
      <c r="W4304" t="str">
        <f t="shared" si="678"/>
        <v/>
      </c>
      <c r="X4304">
        <f>IF($T4304="",N($X4303),IF(MATCH($T4304,$T$6:$T$10005,0)=ROW()-5,N($X4303)+1,N($X4303)))</f>
        <v>0</v>
      </c>
      <c r="Z4304" t="str">
        <f t="shared" si="679"/>
        <v/>
      </c>
      <c r="AA4304">
        <f>IF($V4304="",N($AA4303),IF(MATCH($V4304,$V$6:$V$10005,0)=ROW()-5,N($AA4303)+1,N($AA4303)))</f>
        <v>0</v>
      </c>
    </row>
    <row r="4305" spans="1:27" ht="21" customHeight="1" x14ac:dyDescent="0.95">
      <c r="A4305" s="56"/>
      <c r="B4305" s="57"/>
      <c r="C4305" s="57"/>
      <c r="D4305" s="57"/>
      <c r="E4305" s="56"/>
      <c r="F4305" s="57"/>
      <c r="G4305" s="57"/>
      <c r="H4305" s="56"/>
      <c r="I4305" s="56"/>
      <c r="J4305" s="58"/>
      <c r="K4305" s="58"/>
      <c r="L4305" s="13" t="str">
        <f t="shared" si="670"/>
        <v/>
      </c>
      <c r="M4305" s="13" t="str">
        <f t="shared" si="671"/>
        <v/>
      </c>
      <c r="Q4305" t="str">
        <f t="shared" si="672"/>
        <v/>
      </c>
      <c r="R4305" t="str">
        <f t="shared" si="673"/>
        <v/>
      </c>
      <c r="S4305" t="str">
        <f t="shared" si="674"/>
        <v/>
      </c>
      <c r="T4305" t="str">
        <f t="shared" si="675"/>
        <v/>
      </c>
      <c r="U4305" t="str">
        <f t="shared" si="676"/>
        <v/>
      </c>
      <c r="V4305" t="str">
        <f t="shared" si="677"/>
        <v/>
      </c>
      <c r="W4305" t="str">
        <f t="shared" si="678"/>
        <v/>
      </c>
      <c r="X4305">
        <f>IF($T4305="",N($X4304),IF(MATCH($T4305,$T$6:$T$10005,0)=ROW()-5,N($X4304)+1,N($X4304)))</f>
        <v>0</v>
      </c>
      <c r="Z4305" t="str">
        <f t="shared" si="679"/>
        <v/>
      </c>
      <c r="AA4305">
        <f>IF($V4305="",N($AA4304),IF(MATCH($V4305,$V$6:$V$10005,0)=ROW()-5,N($AA4304)+1,N($AA4304)))</f>
        <v>0</v>
      </c>
    </row>
    <row r="4306" spans="1:27" ht="21" customHeight="1" x14ac:dyDescent="0.95">
      <c r="A4306" s="56"/>
      <c r="B4306" s="57"/>
      <c r="C4306" s="57"/>
      <c r="D4306" s="57"/>
      <c r="E4306" s="56"/>
      <c r="F4306" s="57"/>
      <c r="G4306" s="57"/>
      <c r="H4306" s="56"/>
      <c r="I4306" s="56"/>
      <c r="J4306" s="58"/>
      <c r="K4306" s="58"/>
      <c r="L4306" s="13" t="str">
        <f t="shared" si="670"/>
        <v/>
      </c>
      <c r="M4306" s="13" t="str">
        <f t="shared" si="671"/>
        <v/>
      </c>
      <c r="Q4306" t="str">
        <f t="shared" si="672"/>
        <v/>
      </c>
      <c r="R4306" t="str">
        <f t="shared" si="673"/>
        <v/>
      </c>
      <c r="S4306" t="str">
        <f t="shared" si="674"/>
        <v/>
      </c>
      <c r="T4306" t="str">
        <f t="shared" si="675"/>
        <v/>
      </c>
      <c r="U4306" t="str">
        <f t="shared" si="676"/>
        <v/>
      </c>
      <c r="V4306" t="str">
        <f t="shared" si="677"/>
        <v/>
      </c>
      <c r="W4306" t="str">
        <f t="shared" si="678"/>
        <v/>
      </c>
      <c r="X4306">
        <f>IF($T4306="",N($X4305),IF(MATCH($T4306,$T$6:$T$10005,0)=ROW()-5,N($X4305)+1,N($X4305)))</f>
        <v>0</v>
      </c>
      <c r="Z4306" t="str">
        <f t="shared" si="679"/>
        <v/>
      </c>
      <c r="AA4306">
        <f>IF($V4306="",N($AA4305),IF(MATCH($V4306,$V$6:$V$10005,0)=ROW()-5,N($AA4305)+1,N($AA4305)))</f>
        <v>0</v>
      </c>
    </row>
    <row r="4307" spans="1:27" ht="21" customHeight="1" x14ac:dyDescent="0.95">
      <c r="A4307" s="56"/>
      <c r="B4307" s="57"/>
      <c r="C4307" s="57"/>
      <c r="D4307" s="57"/>
      <c r="E4307" s="56"/>
      <c r="F4307" s="57"/>
      <c r="G4307" s="57"/>
      <c r="H4307" s="56"/>
      <c r="I4307" s="56"/>
      <c r="J4307" s="58"/>
      <c r="K4307" s="58"/>
      <c r="L4307" s="13" t="str">
        <f t="shared" si="670"/>
        <v/>
      </c>
      <c r="M4307" s="13" t="str">
        <f t="shared" si="671"/>
        <v/>
      </c>
      <c r="Q4307" t="str">
        <f t="shared" si="672"/>
        <v/>
      </c>
      <c r="R4307" t="str">
        <f t="shared" si="673"/>
        <v/>
      </c>
      <c r="S4307" t="str">
        <f t="shared" si="674"/>
        <v/>
      </c>
      <c r="T4307" t="str">
        <f t="shared" si="675"/>
        <v/>
      </c>
      <c r="U4307" t="str">
        <f t="shared" si="676"/>
        <v/>
      </c>
      <c r="V4307" t="str">
        <f t="shared" si="677"/>
        <v/>
      </c>
      <c r="W4307" t="str">
        <f t="shared" si="678"/>
        <v/>
      </c>
      <c r="X4307">
        <f>IF($T4307="",N($X4306),IF(MATCH($T4307,$T$6:$T$10005,0)=ROW()-5,N($X4306)+1,N($X4306)))</f>
        <v>0</v>
      </c>
      <c r="Z4307" t="str">
        <f t="shared" si="679"/>
        <v/>
      </c>
      <c r="AA4307">
        <f>IF($V4307="",N($AA4306),IF(MATCH($V4307,$V$6:$V$10005,0)=ROW()-5,N($AA4306)+1,N($AA4306)))</f>
        <v>0</v>
      </c>
    </row>
    <row r="4308" spans="1:27" ht="21" customHeight="1" x14ac:dyDescent="0.95">
      <c r="A4308" s="56"/>
      <c r="B4308" s="57"/>
      <c r="C4308" s="57"/>
      <c r="D4308" s="57"/>
      <c r="E4308" s="56"/>
      <c r="F4308" s="57"/>
      <c r="G4308" s="57"/>
      <c r="H4308" s="56"/>
      <c r="I4308" s="56"/>
      <c r="J4308" s="58"/>
      <c r="K4308" s="58"/>
      <c r="L4308" s="13" t="str">
        <f t="shared" si="670"/>
        <v/>
      </c>
      <c r="M4308" s="13" t="str">
        <f t="shared" si="671"/>
        <v/>
      </c>
      <c r="Q4308" t="str">
        <f t="shared" si="672"/>
        <v/>
      </c>
      <c r="R4308" t="str">
        <f t="shared" si="673"/>
        <v/>
      </c>
      <c r="S4308" t="str">
        <f t="shared" si="674"/>
        <v/>
      </c>
      <c r="T4308" t="str">
        <f t="shared" si="675"/>
        <v/>
      </c>
      <c r="U4308" t="str">
        <f t="shared" si="676"/>
        <v/>
      </c>
      <c r="V4308" t="str">
        <f t="shared" si="677"/>
        <v/>
      </c>
      <c r="W4308" t="str">
        <f t="shared" si="678"/>
        <v/>
      </c>
      <c r="X4308">
        <f>IF($T4308="",N($X4307),IF(MATCH($T4308,$T$6:$T$10005,0)=ROW()-5,N($X4307)+1,N($X4307)))</f>
        <v>0</v>
      </c>
      <c r="Z4308" t="str">
        <f t="shared" si="679"/>
        <v/>
      </c>
      <c r="AA4308">
        <f>IF($V4308="",N($AA4307),IF(MATCH($V4308,$V$6:$V$10005,0)=ROW()-5,N($AA4307)+1,N($AA4307)))</f>
        <v>0</v>
      </c>
    </row>
    <row r="4309" spans="1:27" ht="21" customHeight="1" x14ac:dyDescent="0.95">
      <c r="A4309" s="56"/>
      <c r="B4309" s="57"/>
      <c r="C4309" s="57"/>
      <c r="D4309" s="57"/>
      <c r="E4309" s="56"/>
      <c r="F4309" s="57"/>
      <c r="G4309" s="57"/>
      <c r="H4309" s="56"/>
      <c r="I4309" s="56"/>
      <c r="J4309" s="58"/>
      <c r="K4309" s="58"/>
      <c r="L4309" s="13" t="str">
        <f t="shared" si="670"/>
        <v/>
      </c>
      <c r="M4309" s="13" t="str">
        <f t="shared" si="671"/>
        <v/>
      </c>
      <c r="Q4309" t="str">
        <f t="shared" si="672"/>
        <v/>
      </c>
      <c r="R4309" t="str">
        <f t="shared" si="673"/>
        <v/>
      </c>
      <c r="S4309" t="str">
        <f t="shared" si="674"/>
        <v/>
      </c>
      <c r="T4309" t="str">
        <f t="shared" si="675"/>
        <v/>
      </c>
      <c r="U4309" t="str">
        <f t="shared" si="676"/>
        <v/>
      </c>
      <c r="V4309" t="str">
        <f t="shared" si="677"/>
        <v/>
      </c>
      <c r="W4309" t="str">
        <f t="shared" si="678"/>
        <v/>
      </c>
      <c r="X4309">
        <f>IF($T4309="",N($X4308),IF(MATCH($T4309,$T$6:$T$10005,0)=ROW()-5,N($X4308)+1,N($X4308)))</f>
        <v>0</v>
      </c>
      <c r="Z4309" t="str">
        <f t="shared" si="679"/>
        <v/>
      </c>
      <c r="AA4309">
        <f>IF($V4309="",N($AA4308),IF(MATCH($V4309,$V$6:$V$10005,0)=ROW()-5,N($AA4308)+1,N($AA4308)))</f>
        <v>0</v>
      </c>
    </row>
    <row r="4310" spans="1:27" ht="21" customHeight="1" x14ac:dyDescent="0.95">
      <c r="A4310" s="56"/>
      <c r="B4310" s="57"/>
      <c r="C4310" s="57"/>
      <c r="D4310" s="57"/>
      <c r="E4310" s="56"/>
      <c r="F4310" s="57"/>
      <c r="G4310" s="57"/>
      <c r="H4310" s="56"/>
      <c r="I4310" s="56"/>
      <c r="J4310" s="58"/>
      <c r="K4310" s="58"/>
      <c r="L4310" s="13" t="str">
        <f t="shared" si="670"/>
        <v/>
      </c>
      <c r="M4310" s="13" t="str">
        <f t="shared" si="671"/>
        <v/>
      </c>
      <c r="Q4310" t="str">
        <f t="shared" si="672"/>
        <v/>
      </c>
      <c r="R4310" t="str">
        <f t="shared" si="673"/>
        <v/>
      </c>
      <c r="S4310" t="str">
        <f t="shared" si="674"/>
        <v/>
      </c>
      <c r="T4310" t="str">
        <f t="shared" si="675"/>
        <v/>
      </c>
      <c r="U4310" t="str">
        <f t="shared" si="676"/>
        <v/>
      </c>
      <c r="V4310" t="str">
        <f t="shared" si="677"/>
        <v/>
      </c>
      <c r="W4310" t="str">
        <f t="shared" si="678"/>
        <v/>
      </c>
      <c r="X4310">
        <f>IF($T4310="",N($X4309),IF(MATCH($T4310,$T$6:$T$10005,0)=ROW()-5,N($X4309)+1,N($X4309)))</f>
        <v>0</v>
      </c>
      <c r="Z4310" t="str">
        <f t="shared" si="679"/>
        <v/>
      </c>
      <c r="AA4310">
        <f>IF($V4310="",N($AA4309),IF(MATCH($V4310,$V$6:$V$10005,0)=ROW()-5,N($AA4309)+1,N($AA4309)))</f>
        <v>0</v>
      </c>
    </row>
    <row r="4311" spans="1:27" ht="21" customHeight="1" x14ac:dyDescent="0.95">
      <c r="A4311" s="56"/>
      <c r="B4311" s="57"/>
      <c r="C4311" s="57"/>
      <c r="D4311" s="57"/>
      <c r="E4311" s="56"/>
      <c r="F4311" s="57"/>
      <c r="G4311" s="57"/>
      <c r="H4311" s="56"/>
      <c r="I4311" s="56"/>
      <c r="J4311" s="58"/>
      <c r="K4311" s="58"/>
      <c r="L4311" s="13" t="str">
        <f t="shared" si="670"/>
        <v/>
      </c>
      <c r="M4311" s="13" t="str">
        <f t="shared" si="671"/>
        <v/>
      </c>
      <c r="Q4311" t="str">
        <f t="shared" si="672"/>
        <v/>
      </c>
      <c r="R4311" t="str">
        <f t="shared" si="673"/>
        <v/>
      </c>
      <c r="S4311" t="str">
        <f t="shared" si="674"/>
        <v/>
      </c>
      <c r="T4311" t="str">
        <f t="shared" si="675"/>
        <v/>
      </c>
      <c r="U4311" t="str">
        <f t="shared" si="676"/>
        <v/>
      </c>
      <c r="V4311" t="str">
        <f t="shared" si="677"/>
        <v/>
      </c>
      <c r="W4311" t="str">
        <f t="shared" si="678"/>
        <v/>
      </c>
      <c r="X4311">
        <f>IF($T4311="",N($X4310),IF(MATCH($T4311,$T$6:$T$10005,0)=ROW()-5,N($X4310)+1,N($X4310)))</f>
        <v>0</v>
      </c>
      <c r="Z4311" t="str">
        <f t="shared" si="679"/>
        <v/>
      </c>
      <c r="AA4311">
        <f>IF($V4311="",N($AA4310),IF(MATCH($V4311,$V$6:$V$10005,0)=ROW()-5,N($AA4310)+1,N($AA4310)))</f>
        <v>0</v>
      </c>
    </row>
    <row r="4312" spans="1:27" ht="21" customHeight="1" x14ac:dyDescent="0.95">
      <c r="A4312" s="56"/>
      <c r="B4312" s="57"/>
      <c r="C4312" s="57"/>
      <c r="D4312" s="57"/>
      <c r="E4312" s="56"/>
      <c r="F4312" s="57"/>
      <c r="G4312" s="57"/>
      <c r="H4312" s="56"/>
      <c r="I4312" s="56"/>
      <c r="J4312" s="58"/>
      <c r="K4312" s="58"/>
      <c r="L4312" s="13" t="str">
        <f t="shared" si="670"/>
        <v/>
      </c>
      <c r="M4312" s="13" t="str">
        <f t="shared" si="671"/>
        <v/>
      </c>
      <c r="Q4312" t="str">
        <f t="shared" si="672"/>
        <v/>
      </c>
      <c r="R4312" t="str">
        <f t="shared" si="673"/>
        <v/>
      </c>
      <c r="S4312" t="str">
        <f t="shared" si="674"/>
        <v/>
      </c>
      <c r="T4312" t="str">
        <f t="shared" si="675"/>
        <v/>
      </c>
      <c r="U4312" t="str">
        <f t="shared" si="676"/>
        <v/>
      </c>
      <c r="V4312" t="str">
        <f t="shared" si="677"/>
        <v/>
      </c>
      <c r="W4312" t="str">
        <f t="shared" si="678"/>
        <v/>
      </c>
      <c r="X4312">
        <f>IF($T4312="",N($X4311),IF(MATCH($T4312,$T$6:$T$10005,0)=ROW()-5,N($X4311)+1,N($X4311)))</f>
        <v>0</v>
      </c>
      <c r="Z4312" t="str">
        <f t="shared" si="679"/>
        <v/>
      </c>
      <c r="AA4312">
        <f>IF($V4312="",N($AA4311),IF(MATCH($V4312,$V$6:$V$10005,0)=ROW()-5,N($AA4311)+1,N($AA4311)))</f>
        <v>0</v>
      </c>
    </row>
    <row r="4313" spans="1:27" ht="21" customHeight="1" x14ac:dyDescent="0.95">
      <c r="A4313" s="56"/>
      <c r="B4313" s="57"/>
      <c r="C4313" s="57"/>
      <c r="D4313" s="57"/>
      <c r="E4313" s="56"/>
      <c r="F4313" s="57"/>
      <c r="G4313" s="57"/>
      <c r="H4313" s="56"/>
      <c r="I4313" s="56"/>
      <c r="J4313" s="58"/>
      <c r="K4313" s="58"/>
      <c r="L4313" s="13" t="str">
        <f t="shared" si="670"/>
        <v/>
      </c>
      <c r="M4313" s="13" t="str">
        <f t="shared" si="671"/>
        <v/>
      </c>
      <c r="Q4313" t="str">
        <f t="shared" si="672"/>
        <v/>
      </c>
      <c r="R4313" t="str">
        <f t="shared" si="673"/>
        <v/>
      </c>
      <c r="S4313" t="str">
        <f t="shared" si="674"/>
        <v/>
      </c>
      <c r="T4313" t="str">
        <f t="shared" si="675"/>
        <v/>
      </c>
      <c r="U4313" t="str">
        <f t="shared" si="676"/>
        <v/>
      </c>
      <c r="V4313" t="str">
        <f t="shared" si="677"/>
        <v/>
      </c>
      <c r="W4313" t="str">
        <f t="shared" si="678"/>
        <v/>
      </c>
      <c r="X4313">
        <f>IF($T4313="",N($X4312),IF(MATCH($T4313,$T$6:$T$10005,0)=ROW()-5,N($X4312)+1,N($X4312)))</f>
        <v>0</v>
      </c>
      <c r="Z4313" t="str">
        <f t="shared" si="679"/>
        <v/>
      </c>
      <c r="AA4313">
        <f>IF($V4313="",N($AA4312),IF(MATCH($V4313,$V$6:$V$10005,0)=ROW()-5,N($AA4312)+1,N($AA4312)))</f>
        <v>0</v>
      </c>
    </row>
    <row r="4314" spans="1:27" ht="21" customHeight="1" x14ac:dyDescent="0.95">
      <c r="A4314" s="56"/>
      <c r="B4314" s="57"/>
      <c r="C4314" s="57"/>
      <c r="D4314" s="57"/>
      <c r="E4314" s="56"/>
      <c r="F4314" s="57"/>
      <c r="G4314" s="57"/>
      <c r="H4314" s="56"/>
      <c r="I4314" s="56"/>
      <c r="J4314" s="58"/>
      <c r="K4314" s="58"/>
      <c r="L4314" s="13" t="str">
        <f t="shared" si="670"/>
        <v/>
      </c>
      <c r="M4314" s="13" t="str">
        <f t="shared" si="671"/>
        <v/>
      </c>
      <c r="Q4314" t="str">
        <f t="shared" si="672"/>
        <v/>
      </c>
      <c r="R4314" t="str">
        <f t="shared" si="673"/>
        <v/>
      </c>
      <c r="S4314" t="str">
        <f t="shared" si="674"/>
        <v/>
      </c>
      <c r="T4314" t="str">
        <f t="shared" si="675"/>
        <v/>
      </c>
      <c r="U4314" t="str">
        <f t="shared" si="676"/>
        <v/>
      </c>
      <c r="V4314" t="str">
        <f t="shared" si="677"/>
        <v/>
      </c>
      <c r="W4314" t="str">
        <f t="shared" si="678"/>
        <v/>
      </c>
      <c r="X4314">
        <f>IF($T4314="",N($X4313),IF(MATCH($T4314,$T$6:$T$10005,0)=ROW()-5,N($X4313)+1,N($X4313)))</f>
        <v>0</v>
      </c>
      <c r="Z4314" t="str">
        <f t="shared" si="679"/>
        <v/>
      </c>
      <c r="AA4314">
        <f>IF($V4314="",N($AA4313),IF(MATCH($V4314,$V$6:$V$10005,0)=ROW()-5,N($AA4313)+1,N($AA4313)))</f>
        <v>0</v>
      </c>
    </row>
    <row r="4315" spans="1:27" ht="21" customHeight="1" x14ac:dyDescent="0.95">
      <c r="A4315" s="56"/>
      <c r="B4315" s="57"/>
      <c r="C4315" s="57"/>
      <c r="D4315" s="57"/>
      <c r="E4315" s="56"/>
      <c r="F4315" s="57"/>
      <c r="G4315" s="57"/>
      <c r="H4315" s="56"/>
      <c r="I4315" s="56"/>
      <c r="J4315" s="58"/>
      <c r="K4315" s="58"/>
      <c r="L4315" s="13" t="str">
        <f t="shared" si="670"/>
        <v/>
      </c>
      <c r="M4315" s="13" t="str">
        <f t="shared" si="671"/>
        <v/>
      </c>
      <c r="Q4315" t="str">
        <f t="shared" si="672"/>
        <v/>
      </c>
      <c r="R4315" t="str">
        <f t="shared" si="673"/>
        <v/>
      </c>
      <c r="S4315" t="str">
        <f t="shared" si="674"/>
        <v/>
      </c>
      <c r="T4315" t="str">
        <f t="shared" si="675"/>
        <v/>
      </c>
      <c r="U4315" t="str">
        <f t="shared" si="676"/>
        <v/>
      </c>
      <c r="V4315" t="str">
        <f t="shared" si="677"/>
        <v/>
      </c>
      <c r="W4315" t="str">
        <f t="shared" si="678"/>
        <v/>
      </c>
      <c r="X4315">
        <f>IF($T4315="",N($X4314),IF(MATCH($T4315,$T$6:$T$10005,0)=ROW()-5,N($X4314)+1,N($X4314)))</f>
        <v>0</v>
      </c>
      <c r="Z4315" t="str">
        <f t="shared" si="679"/>
        <v/>
      </c>
      <c r="AA4315">
        <f>IF($V4315="",N($AA4314),IF(MATCH($V4315,$V$6:$V$10005,0)=ROW()-5,N($AA4314)+1,N($AA4314)))</f>
        <v>0</v>
      </c>
    </row>
    <row r="4316" spans="1:27" ht="21" customHeight="1" x14ac:dyDescent="0.95">
      <c r="A4316" s="56"/>
      <c r="B4316" s="57"/>
      <c r="C4316" s="57"/>
      <c r="D4316" s="57"/>
      <c r="E4316" s="56"/>
      <c r="F4316" s="57"/>
      <c r="G4316" s="57"/>
      <c r="H4316" s="56"/>
      <c r="I4316" s="56"/>
      <c r="J4316" s="58"/>
      <c r="K4316" s="58"/>
      <c r="L4316" s="13" t="str">
        <f t="shared" si="670"/>
        <v/>
      </c>
      <c r="M4316" s="13" t="str">
        <f t="shared" si="671"/>
        <v/>
      </c>
      <c r="Q4316" t="str">
        <f t="shared" si="672"/>
        <v/>
      </c>
      <c r="R4316" t="str">
        <f t="shared" si="673"/>
        <v/>
      </c>
      <c r="S4316" t="str">
        <f t="shared" si="674"/>
        <v/>
      </c>
      <c r="T4316" t="str">
        <f t="shared" si="675"/>
        <v/>
      </c>
      <c r="U4316" t="str">
        <f t="shared" si="676"/>
        <v/>
      </c>
      <c r="V4316" t="str">
        <f t="shared" si="677"/>
        <v/>
      </c>
      <c r="W4316" t="str">
        <f t="shared" si="678"/>
        <v/>
      </c>
      <c r="X4316">
        <f>IF($T4316="",N($X4315),IF(MATCH($T4316,$T$6:$T$10005,0)=ROW()-5,N($X4315)+1,N($X4315)))</f>
        <v>0</v>
      </c>
      <c r="Z4316" t="str">
        <f t="shared" si="679"/>
        <v/>
      </c>
      <c r="AA4316">
        <f>IF($V4316="",N($AA4315),IF(MATCH($V4316,$V$6:$V$10005,0)=ROW()-5,N($AA4315)+1,N($AA4315)))</f>
        <v>0</v>
      </c>
    </row>
    <row r="4317" spans="1:27" ht="21" customHeight="1" x14ac:dyDescent="0.95">
      <c r="A4317" s="56"/>
      <c r="B4317" s="57"/>
      <c r="C4317" s="57"/>
      <c r="D4317" s="57"/>
      <c r="E4317" s="56"/>
      <c r="F4317" s="57"/>
      <c r="G4317" s="57"/>
      <c r="H4317" s="56"/>
      <c r="I4317" s="56"/>
      <c r="J4317" s="58"/>
      <c r="K4317" s="58"/>
      <c r="L4317" s="13" t="str">
        <f t="shared" si="670"/>
        <v/>
      </c>
      <c r="M4317" s="13" t="str">
        <f t="shared" si="671"/>
        <v/>
      </c>
      <c r="Q4317" t="str">
        <f t="shared" si="672"/>
        <v/>
      </c>
      <c r="R4317" t="str">
        <f t="shared" si="673"/>
        <v/>
      </c>
      <c r="S4317" t="str">
        <f t="shared" si="674"/>
        <v/>
      </c>
      <c r="T4317" t="str">
        <f t="shared" si="675"/>
        <v/>
      </c>
      <c r="U4317" t="str">
        <f t="shared" si="676"/>
        <v/>
      </c>
      <c r="V4317" t="str">
        <f t="shared" si="677"/>
        <v/>
      </c>
      <c r="W4317" t="str">
        <f t="shared" si="678"/>
        <v/>
      </c>
      <c r="X4317">
        <f>IF($T4317="",N($X4316),IF(MATCH($T4317,$T$6:$T$10005,0)=ROW()-5,N($X4316)+1,N($X4316)))</f>
        <v>0</v>
      </c>
      <c r="Z4317" t="str">
        <f t="shared" si="679"/>
        <v/>
      </c>
      <c r="AA4317">
        <f>IF($V4317="",N($AA4316),IF(MATCH($V4317,$V$6:$V$10005,0)=ROW()-5,N($AA4316)+1,N($AA4316)))</f>
        <v>0</v>
      </c>
    </row>
    <row r="4318" spans="1:27" ht="21" customHeight="1" x14ac:dyDescent="0.95">
      <c r="A4318" s="56"/>
      <c r="B4318" s="57"/>
      <c r="C4318" s="57"/>
      <c r="D4318" s="57"/>
      <c r="E4318" s="56"/>
      <c r="F4318" s="57"/>
      <c r="G4318" s="57"/>
      <c r="H4318" s="56"/>
      <c r="I4318" s="56"/>
      <c r="J4318" s="58"/>
      <c r="K4318" s="58"/>
      <c r="L4318" s="13" t="str">
        <f t="shared" si="670"/>
        <v/>
      </c>
      <c r="M4318" s="13" t="str">
        <f t="shared" si="671"/>
        <v/>
      </c>
      <c r="Q4318" t="str">
        <f t="shared" si="672"/>
        <v/>
      </c>
      <c r="R4318" t="str">
        <f t="shared" si="673"/>
        <v/>
      </c>
      <c r="S4318" t="str">
        <f t="shared" si="674"/>
        <v/>
      </c>
      <c r="T4318" t="str">
        <f t="shared" si="675"/>
        <v/>
      </c>
      <c r="U4318" t="str">
        <f t="shared" si="676"/>
        <v/>
      </c>
      <c r="V4318" t="str">
        <f t="shared" si="677"/>
        <v/>
      </c>
      <c r="W4318" t="str">
        <f t="shared" si="678"/>
        <v/>
      </c>
      <c r="X4318">
        <f>IF($T4318="",N($X4317),IF(MATCH($T4318,$T$6:$T$10005,0)=ROW()-5,N($X4317)+1,N($X4317)))</f>
        <v>0</v>
      </c>
      <c r="Z4318" t="str">
        <f t="shared" si="679"/>
        <v/>
      </c>
      <c r="AA4318">
        <f>IF($V4318="",N($AA4317),IF(MATCH($V4318,$V$6:$V$10005,0)=ROW()-5,N($AA4317)+1,N($AA4317)))</f>
        <v>0</v>
      </c>
    </row>
    <row r="4319" spans="1:27" ht="21" customHeight="1" x14ac:dyDescent="0.95">
      <c r="A4319" s="56"/>
      <c r="B4319" s="57"/>
      <c r="C4319" s="57"/>
      <c r="D4319" s="57"/>
      <c r="E4319" s="56"/>
      <c r="F4319" s="57"/>
      <c r="G4319" s="57"/>
      <c r="H4319" s="56"/>
      <c r="I4319" s="56"/>
      <c r="J4319" s="58"/>
      <c r="K4319" s="58"/>
      <c r="L4319" s="13" t="str">
        <f t="shared" si="670"/>
        <v/>
      </c>
      <c r="M4319" s="13" t="str">
        <f t="shared" si="671"/>
        <v/>
      </c>
      <c r="Q4319" t="str">
        <f t="shared" si="672"/>
        <v/>
      </c>
      <c r="R4319" t="str">
        <f t="shared" si="673"/>
        <v/>
      </c>
      <c r="S4319" t="str">
        <f t="shared" si="674"/>
        <v/>
      </c>
      <c r="T4319" t="str">
        <f t="shared" si="675"/>
        <v/>
      </c>
      <c r="U4319" t="str">
        <f t="shared" si="676"/>
        <v/>
      </c>
      <c r="V4319" t="str">
        <f t="shared" si="677"/>
        <v/>
      </c>
      <c r="W4319" t="str">
        <f t="shared" si="678"/>
        <v/>
      </c>
      <c r="X4319">
        <f>IF($T4319="",N($X4318),IF(MATCH($T4319,$T$6:$T$10005,0)=ROW()-5,N($X4318)+1,N($X4318)))</f>
        <v>0</v>
      </c>
      <c r="Z4319" t="str">
        <f t="shared" si="679"/>
        <v/>
      </c>
      <c r="AA4319">
        <f>IF($V4319="",N($AA4318),IF(MATCH($V4319,$V$6:$V$10005,0)=ROW()-5,N($AA4318)+1,N($AA4318)))</f>
        <v>0</v>
      </c>
    </row>
    <row r="4320" spans="1:27" ht="21" customHeight="1" x14ac:dyDescent="0.95">
      <c r="A4320" s="56"/>
      <c r="B4320" s="57"/>
      <c r="C4320" s="57"/>
      <c r="D4320" s="57"/>
      <c r="E4320" s="56"/>
      <c r="F4320" s="57"/>
      <c r="G4320" s="57"/>
      <c r="H4320" s="56"/>
      <c r="I4320" s="56"/>
      <c r="J4320" s="58"/>
      <c r="K4320" s="58"/>
      <c r="L4320" s="13" t="str">
        <f t="shared" si="670"/>
        <v/>
      </c>
      <c r="M4320" s="13" t="str">
        <f t="shared" si="671"/>
        <v/>
      </c>
      <c r="Q4320" t="str">
        <f t="shared" si="672"/>
        <v/>
      </c>
      <c r="R4320" t="str">
        <f t="shared" si="673"/>
        <v/>
      </c>
      <c r="S4320" t="str">
        <f t="shared" si="674"/>
        <v/>
      </c>
      <c r="T4320" t="str">
        <f t="shared" si="675"/>
        <v/>
      </c>
      <c r="U4320" t="str">
        <f t="shared" si="676"/>
        <v/>
      </c>
      <c r="V4320" t="str">
        <f t="shared" si="677"/>
        <v/>
      </c>
      <c r="W4320" t="str">
        <f t="shared" si="678"/>
        <v/>
      </c>
      <c r="X4320">
        <f>IF($T4320="",N($X4319),IF(MATCH($T4320,$T$6:$T$10005,0)=ROW()-5,N($X4319)+1,N($X4319)))</f>
        <v>0</v>
      </c>
      <c r="Z4320" t="str">
        <f t="shared" si="679"/>
        <v/>
      </c>
      <c r="AA4320">
        <f>IF($V4320="",N($AA4319),IF(MATCH($V4320,$V$6:$V$10005,0)=ROW()-5,N($AA4319)+1,N($AA4319)))</f>
        <v>0</v>
      </c>
    </row>
    <row r="4321" spans="1:27" ht="21" customHeight="1" x14ac:dyDescent="0.95">
      <c r="A4321" s="56"/>
      <c r="B4321" s="57"/>
      <c r="C4321" s="57"/>
      <c r="D4321" s="57"/>
      <c r="E4321" s="56"/>
      <c r="F4321" s="57"/>
      <c r="G4321" s="57"/>
      <c r="H4321" s="56"/>
      <c r="I4321" s="56"/>
      <c r="J4321" s="58"/>
      <c r="K4321" s="58"/>
      <c r="L4321" s="13" t="str">
        <f t="shared" si="670"/>
        <v/>
      </c>
      <c r="M4321" s="13" t="str">
        <f t="shared" si="671"/>
        <v/>
      </c>
      <c r="Q4321" t="str">
        <f t="shared" si="672"/>
        <v/>
      </c>
      <c r="R4321" t="str">
        <f t="shared" si="673"/>
        <v/>
      </c>
      <c r="S4321" t="str">
        <f t="shared" si="674"/>
        <v/>
      </c>
      <c r="T4321" t="str">
        <f t="shared" si="675"/>
        <v/>
      </c>
      <c r="U4321" t="str">
        <f t="shared" si="676"/>
        <v/>
      </c>
      <c r="V4321" t="str">
        <f t="shared" si="677"/>
        <v/>
      </c>
      <c r="W4321" t="str">
        <f t="shared" si="678"/>
        <v/>
      </c>
      <c r="X4321">
        <f>IF($T4321="",N($X4320),IF(MATCH($T4321,$T$6:$T$10005,0)=ROW()-5,N($X4320)+1,N($X4320)))</f>
        <v>0</v>
      </c>
      <c r="Z4321" t="str">
        <f t="shared" si="679"/>
        <v/>
      </c>
      <c r="AA4321">
        <f>IF($V4321="",N($AA4320),IF(MATCH($V4321,$V$6:$V$10005,0)=ROW()-5,N($AA4320)+1,N($AA4320)))</f>
        <v>0</v>
      </c>
    </row>
    <row r="4322" spans="1:27" ht="21" customHeight="1" x14ac:dyDescent="0.95">
      <c r="A4322" s="56"/>
      <c r="B4322" s="57"/>
      <c r="C4322" s="57"/>
      <c r="D4322" s="57"/>
      <c r="E4322" s="56"/>
      <c r="F4322" s="57"/>
      <c r="G4322" s="57"/>
      <c r="H4322" s="56"/>
      <c r="I4322" s="56"/>
      <c r="J4322" s="58"/>
      <c r="K4322" s="58"/>
      <c r="L4322" s="13" t="str">
        <f t="shared" si="670"/>
        <v/>
      </c>
      <c r="M4322" s="13" t="str">
        <f t="shared" si="671"/>
        <v/>
      </c>
      <c r="Q4322" t="str">
        <f t="shared" si="672"/>
        <v/>
      </c>
      <c r="R4322" t="str">
        <f t="shared" si="673"/>
        <v/>
      </c>
      <c r="S4322" t="str">
        <f t="shared" si="674"/>
        <v/>
      </c>
      <c r="T4322" t="str">
        <f t="shared" si="675"/>
        <v/>
      </c>
      <c r="U4322" t="str">
        <f t="shared" si="676"/>
        <v/>
      </c>
      <c r="V4322" t="str">
        <f t="shared" si="677"/>
        <v/>
      </c>
      <c r="W4322" t="str">
        <f t="shared" si="678"/>
        <v/>
      </c>
      <c r="X4322">
        <f>IF($T4322="",N($X4321),IF(MATCH($T4322,$T$6:$T$10005,0)=ROW()-5,N($X4321)+1,N($X4321)))</f>
        <v>0</v>
      </c>
      <c r="Z4322" t="str">
        <f t="shared" si="679"/>
        <v/>
      </c>
      <c r="AA4322">
        <f>IF($V4322="",N($AA4321),IF(MATCH($V4322,$V$6:$V$10005,0)=ROW()-5,N($AA4321)+1,N($AA4321)))</f>
        <v>0</v>
      </c>
    </row>
    <row r="4323" spans="1:27" ht="21" customHeight="1" x14ac:dyDescent="0.95">
      <c r="A4323" s="56"/>
      <c r="B4323" s="57"/>
      <c r="C4323" s="57"/>
      <c r="D4323" s="57"/>
      <c r="E4323" s="56"/>
      <c r="F4323" s="57"/>
      <c r="G4323" s="57"/>
      <c r="H4323" s="56"/>
      <c r="I4323" s="56"/>
      <c r="J4323" s="58"/>
      <c r="K4323" s="58"/>
      <c r="L4323" s="13" t="str">
        <f t="shared" si="670"/>
        <v/>
      </c>
      <c r="M4323" s="13" t="str">
        <f t="shared" si="671"/>
        <v/>
      </c>
      <c r="Q4323" t="str">
        <f t="shared" si="672"/>
        <v/>
      </c>
      <c r="R4323" t="str">
        <f t="shared" si="673"/>
        <v/>
      </c>
      <c r="S4323" t="str">
        <f t="shared" si="674"/>
        <v/>
      </c>
      <c r="T4323" t="str">
        <f t="shared" si="675"/>
        <v/>
      </c>
      <c r="U4323" t="str">
        <f t="shared" si="676"/>
        <v/>
      </c>
      <c r="V4323" t="str">
        <f t="shared" si="677"/>
        <v/>
      </c>
      <c r="W4323" t="str">
        <f t="shared" si="678"/>
        <v/>
      </c>
      <c r="X4323">
        <f>IF($T4323="",N($X4322),IF(MATCH($T4323,$T$6:$T$10005,0)=ROW()-5,N($X4322)+1,N($X4322)))</f>
        <v>0</v>
      </c>
      <c r="Z4323" t="str">
        <f t="shared" si="679"/>
        <v/>
      </c>
      <c r="AA4323">
        <f>IF($V4323="",N($AA4322),IF(MATCH($V4323,$V$6:$V$10005,0)=ROW()-5,N($AA4322)+1,N($AA4322)))</f>
        <v>0</v>
      </c>
    </row>
    <row r="4324" spans="1:27" ht="21" customHeight="1" x14ac:dyDescent="0.95">
      <c r="A4324" s="56"/>
      <c r="B4324" s="57"/>
      <c r="C4324" s="57"/>
      <c r="D4324" s="57"/>
      <c r="E4324" s="56"/>
      <c r="F4324" s="57"/>
      <c r="G4324" s="57"/>
      <c r="H4324" s="56"/>
      <c r="I4324" s="56"/>
      <c r="J4324" s="58"/>
      <c r="K4324" s="58"/>
      <c r="L4324" s="13" t="str">
        <f t="shared" si="670"/>
        <v/>
      </c>
      <c r="M4324" s="13" t="str">
        <f t="shared" si="671"/>
        <v/>
      </c>
      <c r="Q4324" t="str">
        <f t="shared" si="672"/>
        <v/>
      </c>
      <c r="R4324" t="str">
        <f t="shared" si="673"/>
        <v/>
      </c>
      <c r="S4324" t="str">
        <f t="shared" si="674"/>
        <v/>
      </c>
      <c r="T4324" t="str">
        <f t="shared" si="675"/>
        <v/>
      </c>
      <c r="U4324" t="str">
        <f t="shared" si="676"/>
        <v/>
      </c>
      <c r="V4324" t="str">
        <f t="shared" si="677"/>
        <v/>
      </c>
      <c r="W4324" t="str">
        <f t="shared" si="678"/>
        <v/>
      </c>
      <c r="X4324">
        <f>IF($T4324="",N($X4323),IF(MATCH($T4324,$T$6:$T$10005,0)=ROW()-5,N($X4323)+1,N($X4323)))</f>
        <v>0</v>
      </c>
      <c r="Z4324" t="str">
        <f t="shared" si="679"/>
        <v/>
      </c>
      <c r="AA4324">
        <f>IF($V4324="",N($AA4323),IF(MATCH($V4324,$V$6:$V$10005,0)=ROW()-5,N($AA4323)+1,N($AA4323)))</f>
        <v>0</v>
      </c>
    </row>
    <row r="4325" spans="1:27" ht="21" customHeight="1" x14ac:dyDescent="0.95">
      <c r="A4325" s="56"/>
      <c r="B4325" s="57"/>
      <c r="C4325" s="57"/>
      <c r="D4325" s="57"/>
      <c r="E4325" s="56"/>
      <c r="F4325" s="57"/>
      <c r="G4325" s="57"/>
      <c r="H4325" s="56"/>
      <c r="I4325" s="56"/>
      <c r="J4325" s="58"/>
      <c r="K4325" s="58"/>
      <c r="L4325" s="13" t="str">
        <f t="shared" si="670"/>
        <v/>
      </c>
      <c r="M4325" s="13" t="str">
        <f t="shared" si="671"/>
        <v/>
      </c>
      <c r="Q4325" t="str">
        <f t="shared" si="672"/>
        <v/>
      </c>
      <c r="R4325" t="str">
        <f t="shared" si="673"/>
        <v/>
      </c>
      <c r="S4325" t="str">
        <f t="shared" si="674"/>
        <v/>
      </c>
      <c r="T4325" t="str">
        <f t="shared" si="675"/>
        <v/>
      </c>
      <c r="U4325" t="str">
        <f t="shared" si="676"/>
        <v/>
      </c>
      <c r="V4325" t="str">
        <f t="shared" si="677"/>
        <v/>
      </c>
      <c r="W4325" t="str">
        <f t="shared" si="678"/>
        <v/>
      </c>
      <c r="X4325">
        <f>IF($T4325="",N($X4324),IF(MATCH($T4325,$T$6:$T$10005,0)=ROW()-5,N($X4324)+1,N($X4324)))</f>
        <v>0</v>
      </c>
      <c r="Z4325" t="str">
        <f t="shared" si="679"/>
        <v/>
      </c>
      <c r="AA4325">
        <f>IF($V4325="",N($AA4324),IF(MATCH($V4325,$V$6:$V$10005,0)=ROW()-5,N($AA4324)+1,N($AA4324)))</f>
        <v>0</v>
      </c>
    </row>
    <row r="4326" spans="1:27" ht="21" customHeight="1" x14ac:dyDescent="0.95">
      <c r="A4326" s="56"/>
      <c r="B4326" s="57"/>
      <c r="C4326" s="57"/>
      <c r="D4326" s="57"/>
      <c r="E4326" s="56"/>
      <c r="F4326" s="57"/>
      <c r="G4326" s="57"/>
      <c r="H4326" s="56"/>
      <c r="I4326" s="56"/>
      <c r="J4326" s="58"/>
      <c r="K4326" s="58"/>
      <c r="L4326" s="13" t="str">
        <f t="shared" si="670"/>
        <v/>
      </c>
      <c r="M4326" s="13" t="str">
        <f t="shared" si="671"/>
        <v/>
      </c>
      <c r="Q4326" t="str">
        <f t="shared" si="672"/>
        <v/>
      </c>
      <c r="R4326" t="str">
        <f t="shared" si="673"/>
        <v/>
      </c>
      <c r="S4326" t="str">
        <f t="shared" si="674"/>
        <v/>
      </c>
      <c r="T4326" t="str">
        <f t="shared" si="675"/>
        <v/>
      </c>
      <c r="U4326" t="str">
        <f t="shared" si="676"/>
        <v/>
      </c>
      <c r="V4326" t="str">
        <f t="shared" si="677"/>
        <v/>
      </c>
      <c r="W4326" t="str">
        <f t="shared" si="678"/>
        <v/>
      </c>
      <c r="X4326">
        <f>IF($T4326="",N($X4325),IF(MATCH($T4326,$T$6:$T$10005,0)=ROW()-5,N($X4325)+1,N($X4325)))</f>
        <v>0</v>
      </c>
      <c r="Z4326" t="str">
        <f t="shared" si="679"/>
        <v/>
      </c>
      <c r="AA4326">
        <f>IF($V4326="",N($AA4325),IF(MATCH($V4326,$V$6:$V$10005,0)=ROW()-5,N($AA4325)+1,N($AA4325)))</f>
        <v>0</v>
      </c>
    </row>
    <row r="4327" spans="1:27" ht="21" customHeight="1" x14ac:dyDescent="0.95">
      <c r="A4327" s="56"/>
      <c r="B4327" s="57"/>
      <c r="C4327" s="57"/>
      <c r="D4327" s="57"/>
      <c r="E4327" s="56"/>
      <c r="F4327" s="57"/>
      <c r="G4327" s="57"/>
      <c r="H4327" s="56"/>
      <c r="I4327" s="56"/>
      <c r="J4327" s="58"/>
      <c r="K4327" s="58"/>
      <c r="L4327" s="13" t="str">
        <f t="shared" si="670"/>
        <v/>
      </c>
      <c r="M4327" s="13" t="str">
        <f t="shared" si="671"/>
        <v/>
      </c>
      <c r="Q4327" t="str">
        <f t="shared" si="672"/>
        <v/>
      </c>
      <c r="R4327" t="str">
        <f t="shared" si="673"/>
        <v/>
      </c>
      <c r="S4327" t="str">
        <f t="shared" si="674"/>
        <v/>
      </c>
      <c r="T4327" t="str">
        <f t="shared" si="675"/>
        <v/>
      </c>
      <c r="U4327" t="str">
        <f t="shared" si="676"/>
        <v/>
      </c>
      <c r="V4327" t="str">
        <f t="shared" si="677"/>
        <v/>
      </c>
      <c r="W4327" t="str">
        <f t="shared" si="678"/>
        <v/>
      </c>
      <c r="X4327">
        <f>IF($T4327="",N($X4326),IF(MATCH($T4327,$T$6:$T$10005,0)=ROW()-5,N($X4326)+1,N($X4326)))</f>
        <v>0</v>
      </c>
      <c r="Z4327" t="str">
        <f t="shared" si="679"/>
        <v/>
      </c>
      <c r="AA4327">
        <f>IF($V4327="",N($AA4326),IF(MATCH($V4327,$V$6:$V$10005,0)=ROW()-5,N($AA4326)+1,N($AA4326)))</f>
        <v>0</v>
      </c>
    </row>
    <row r="4328" spans="1:27" ht="21" customHeight="1" x14ac:dyDescent="0.95">
      <c r="A4328" s="56"/>
      <c r="B4328" s="57"/>
      <c r="C4328" s="57"/>
      <c r="D4328" s="57"/>
      <c r="E4328" s="56"/>
      <c r="F4328" s="57"/>
      <c r="G4328" s="57"/>
      <c r="H4328" s="56"/>
      <c r="I4328" s="56"/>
      <c r="J4328" s="58"/>
      <c r="K4328" s="58"/>
      <c r="L4328" s="13" t="str">
        <f t="shared" si="670"/>
        <v/>
      </c>
      <c r="M4328" s="13" t="str">
        <f t="shared" si="671"/>
        <v/>
      </c>
      <c r="Q4328" t="str">
        <f t="shared" si="672"/>
        <v/>
      </c>
      <c r="R4328" t="str">
        <f t="shared" si="673"/>
        <v/>
      </c>
      <c r="S4328" t="str">
        <f t="shared" si="674"/>
        <v/>
      </c>
      <c r="T4328" t="str">
        <f t="shared" si="675"/>
        <v/>
      </c>
      <c r="U4328" t="str">
        <f t="shared" si="676"/>
        <v/>
      </c>
      <c r="V4328" t="str">
        <f t="shared" si="677"/>
        <v/>
      </c>
      <c r="W4328" t="str">
        <f t="shared" si="678"/>
        <v/>
      </c>
      <c r="X4328">
        <f>IF($T4328="",N($X4327),IF(MATCH($T4328,$T$6:$T$10005,0)=ROW()-5,N($X4327)+1,N($X4327)))</f>
        <v>0</v>
      </c>
      <c r="Z4328" t="str">
        <f t="shared" si="679"/>
        <v/>
      </c>
      <c r="AA4328">
        <f>IF($V4328="",N($AA4327),IF(MATCH($V4328,$V$6:$V$10005,0)=ROW()-5,N($AA4327)+1,N($AA4327)))</f>
        <v>0</v>
      </c>
    </row>
    <row r="4329" spans="1:27" ht="21" customHeight="1" x14ac:dyDescent="0.95">
      <c r="A4329" s="56"/>
      <c r="B4329" s="57"/>
      <c r="C4329" s="57"/>
      <c r="D4329" s="57"/>
      <c r="E4329" s="56"/>
      <c r="F4329" s="57"/>
      <c r="G4329" s="57"/>
      <c r="H4329" s="56"/>
      <c r="I4329" s="56"/>
      <c r="J4329" s="58"/>
      <c r="K4329" s="58"/>
      <c r="L4329" s="13" t="str">
        <f t="shared" si="670"/>
        <v/>
      </c>
      <c r="M4329" s="13" t="str">
        <f t="shared" si="671"/>
        <v/>
      </c>
      <c r="Q4329" t="str">
        <f t="shared" si="672"/>
        <v/>
      </c>
      <c r="R4329" t="str">
        <f t="shared" si="673"/>
        <v/>
      </c>
      <c r="S4329" t="str">
        <f t="shared" si="674"/>
        <v/>
      </c>
      <c r="T4329" t="str">
        <f t="shared" si="675"/>
        <v/>
      </c>
      <c r="U4329" t="str">
        <f t="shared" si="676"/>
        <v/>
      </c>
      <c r="V4329" t="str">
        <f t="shared" si="677"/>
        <v/>
      </c>
      <c r="W4329" t="str">
        <f t="shared" si="678"/>
        <v/>
      </c>
      <c r="X4329">
        <f>IF($T4329="",N($X4328),IF(MATCH($T4329,$T$6:$T$10005,0)=ROW()-5,N($X4328)+1,N($X4328)))</f>
        <v>0</v>
      </c>
      <c r="Z4329" t="str">
        <f t="shared" si="679"/>
        <v/>
      </c>
      <c r="AA4329">
        <f>IF($V4329="",N($AA4328),IF(MATCH($V4329,$V$6:$V$10005,0)=ROW()-5,N($AA4328)+1,N($AA4328)))</f>
        <v>0</v>
      </c>
    </row>
    <row r="4330" spans="1:27" ht="21" customHeight="1" x14ac:dyDescent="0.95">
      <c r="A4330" s="56"/>
      <c r="B4330" s="57"/>
      <c r="C4330" s="57"/>
      <c r="D4330" s="57"/>
      <c r="E4330" s="56"/>
      <c r="F4330" s="57"/>
      <c r="G4330" s="57"/>
      <c r="H4330" s="56"/>
      <c r="I4330" s="56"/>
      <c r="J4330" s="58"/>
      <c r="K4330" s="58"/>
      <c r="L4330" s="13" t="str">
        <f t="shared" si="670"/>
        <v/>
      </c>
      <c r="M4330" s="13" t="str">
        <f t="shared" si="671"/>
        <v/>
      </c>
      <c r="Q4330" t="str">
        <f t="shared" si="672"/>
        <v/>
      </c>
      <c r="R4330" t="str">
        <f t="shared" si="673"/>
        <v/>
      </c>
      <c r="S4330" t="str">
        <f t="shared" si="674"/>
        <v/>
      </c>
      <c r="T4330" t="str">
        <f t="shared" si="675"/>
        <v/>
      </c>
      <c r="U4330" t="str">
        <f t="shared" si="676"/>
        <v/>
      </c>
      <c r="V4330" t="str">
        <f t="shared" si="677"/>
        <v/>
      </c>
      <c r="W4330" t="str">
        <f t="shared" si="678"/>
        <v/>
      </c>
      <c r="X4330">
        <f>IF($T4330="",N($X4329),IF(MATCH($T4330,$T$6:$T$10005,0)=ROW()-5,N($X4329)+1,N($X4329)))</f>
        <v>0</v>
      </c>
      <c r="Z4330" t="str">
        <f t="shared" si="679"/>
        <v/>
      </c>
      <c r="AA4330">
        <f>IF($V4330="",N($AA4329),IF(MATCH($V4330,$V$6:$V$10005,0)=ROW()-5,N($AA4329)+1,N($AA4329)))</f>
        <v>0</v>
      </c>
    </row>
    <row r="4331" spans="1:27" ht="21" customHeight="1" x14ac:dyDescent="0.95">
      <c r="A4331" s="56"/>
      <c r="B4331" s="57"/>
      <c r="C4331" s="57"/>
      <c r="D4331" s="57"/>
      <c r="E4331" s="56"/>
      <c r="F4331" s="57"/>
      <c r="G4331" s="57"/>
      <c r="H4331" s="56"/>
      <c r="I4331" s="56"/>
      <c r="J4331" s="58"/>
      <c r="K4331" s="58"/>
      <c r="L4331" s="13" t="str">
        <f t="shared" si="670"/>
        <v/>
      </c>
      <c r="M4331" s="13" t="str">
        <f t="shared" si="671"/>
        <v/>
      </c>
      <c r="Q4331" t="str">
        <f t="shared" si="672"/>
        <v/>
      </c>
      <c r="R4331" t="str">
        <f t="shared" si="673"/>
        <v/>
      </c>
      <c r="S4331" t="str">
        <f t="shared" si="674"/>
        <v/>
      </c>
      <c r="T4331" t="str">
        <f t="shared" si="675"/>
        <v/>
      </c>
      <c r="U4331" t="str">
        <f t="shared" si="676"/>
        <v/>
      </c>
      <c r="V4331" t="str">
        <f t="shared" si="677"/>
        <v/>
      </c>
      <c r="W4331" t="str">
        <f t="shared" si="678"/>
        <v/>
      </c>
      <c r="X4331">
        <f>IF($T4331="",N($X4330),IF(MATCH($T4331,$T$6:$T$10005,0)=ROW()-5,N($X4330)+1,N($X4330)))</f>
        <v>0</v>
      </c>
      <c r="Z4331" t="str">
        <f t="shared" si="679"/>
        <v/>
      </c>
      <c r="AA4331">
        <f>IF($V4331="",N($AA4330),IF(MATCH($V4331,$V$6:$V$10005,0)=ROW()-5,N($AA4330)+1,N($AA4330)))</f>
        <v>0</v>
      </c>
    </row>
    <row r="4332" spans="1:27" ht="21" customHeight="1" x14ac:dyDescent="0.95">
      <c r="A4332" s="56"/>
      <c r="B4332" s="57"/>
      <c r="C4332" s="57"/>
      <c r="D4332" s="57"/>
      <c r="E4332" s="56"/>
      <c r="F4332" s="57"/>
      <c r="G4332" s="57"/>
      <c r="H4332" s="56"/>
      <c r="I4332" s="56"/>
      <c r="J4332" s="58"/>
      <c r="K4332" s="58"/>
      <c r="L4332" s="13" t="str">
        <f t="shared" si="670"/>
        <v/>
      </c>
      <c r="M4332" s="13" t="str">
        <f t="shared" si="671"/>
        <v/>
      </c>
      <c r="Q4332" t="str">
        <f t="shared" si="672"/>
        <v/>
      </c>
      <c r="R4332" t="str">
        <f t="shared" si="673"/>
        <v/>
      </c>
      <c r="S4332" t="str">
        <f t="shared" si="674"/>
        <v/>
      </c>
      <c r="T4332" t="str">
        <f t="shared" si="675"/>
        <v/>
      </c>
      <c r="U4332" t="str">
        <f t="shared" si="676"/>
        <v/>
      </c>
      <c r="V4332" t="str">
        <f t="shared" si="677"/>
        <v/>
      </c>
      <c r="W4332" t="str">
        <f t="shared" si="678"/>
        <v/>
      </c>
      <c r="X4332">
        <f>IF($T4332="",N($X4331),IF(MATCH($T4332,$T$6:$T$10005,0)=ROW()-5,N($X4331)+1,N($X4331)))</f>
        <v>0</v>
      </c>
      <c r="Z4332" t="str">
        <f t="shared" si="679"/>
        <v/>
      </c>
      <c r="AA4332">
        <f>IF($V4332="",N($AA4331),IF(MATCH($V4332,$V$6:$V$10005,0)=ROW()-5,N($AA4331)+1,N($AA4331)))</f>
        <v>0</v>
      </c>
    </row>
    <row r="4333" spans="1:27" ht="21" customHeight="1" x14ac:dyDescent="0.95">
      <c r="A4333" s="56"/>
      <c r="B4333" s="57"/>
      <c r="C4333" s="57"/>
      <c r="D4333" s="57"/>
      <c r="E4333" s="56"/>
      <c r="F4333" s="57"/>
      <c r="G4333" s="57"/>
      <c r="H4333" s="56"/>
      <c r="I4333" s="56"/>
      <c r="J4333" s="58"/>
      <c r="K4333" s="58"/>
      <c r="L4333" s="13" t="str">
        <f t="shared" si="670"/>
        <v/>
      </c>
      <c r="M4333" s="13" t="str">
        <f t="shared" si="671"/>
        <v/>
      </c>
      <c r="Q4333" t="str">
        <f t="shared" si="672"/>
        <v/>
      </c>
      <c r="R4333" t="str">
        <f t="shared" si="673"/>
        <v/>
      </c>
      <c r="S4333" t="str">
        <f t="shared" si="674"/>
        <v/>
      </c>
      <c r="T4333" t="str">
        <f t="shared" si="675"/>
        <v/>
      </c>
      <c r="U4333" t="str">
        <f t="shared" si="676"/>
        <v/>
      </c>
      <c r="V4333" t="str">
        <f t="shared" si="677"/>
        <v/>
      </c>
      <c r="W4333" t="str">
        <f t="shared" si="678"/>
        <v/>
      </c>
      <c r="X4333">
        <f>IF($T4333="",N($X4332),IF(MATCH($T4333,$T$6:$T$10005,0)=ROW()-5,N($X4332)+1,N($X4332)))</f>
        <v>0</v>
      </c>
      <c r="Z4333" t="str">
        <f t="shared" si="679"/>
        <v/>
      </c>
      <c r="AA4333">
        <f>IF($V4333="",N($AA4332),IF(MATCH($V4333,$V$6:$V$10005,0)=ROW()-5,N($AA4332)+1,N($AA4332)))</f>
        <v>0</v>
      </c>
    </row>
    <row r="4334" spans="1:27" ht="21" customHeight="1" x14ac:dyDescent="0.95">
      <c r="A4334" s="56"/>
      <c r="B4334" s="57"/>
      <c r="C4334" s="57"/>
      <c r="D4334" s="57"/>
      <c r="E4334" s="56"/>
      <c r="F4334" s="57"/>
      <c r="G4334" s="57"/>
      <c r="H4334" s="56"/>
      <c r="I4334" s="56"/>
      <c r="J4334" s="58"/>
      <c r="K4334" s="58"/>
      <c r="L4334" s="13" t="str">
        <f t="shared" si="670"/>
        <v/>
      </c>
      <c r="M4334" s="13" t="str">
        <f t="shared" si="671"/>
        <v/>
      </c>
      <c r="Q4334" t="str">
        <f t="shared" si="672"/>
        <v/>
      </c>
      <c r="R4334" t="str">
        <f t="shared" si="673"/>
        <v/>
      </c>
      <c r="S4334" t="str">
        <f t="shared" si="674"/>
        <v/>
      </c>
      <c r="T4334" t="str">
        <f t="shared" si="675"/>
        <v/>
      </c>
      <c r="U4334" t="str">
        <f t="shared" si="676"/>
        <v/>
      </c>
      <c r="V4334" t="str">
        <f t="shared" si="677"/>
        <v/>
      </c>
      <c r="W4334" t="str">
        <f t="shared" si="678"/>
        <v/>
      </c>
      <c r="X4334">
        <f>IF($T4334="",N($X4333),IF(MATCH($T4334,$T$6:$T$10005,0)=ROW()-5,N($X4333)+1,N($X4333)))</f>
        <v>0</v>
      </c>
      <c r="Z4334" t="str">
        <f t="shared" si="679"/>
        <v/>
      </c>
      <c r="AA4334">
        <f>IF($V4334="",N($AA4333),IF(MATCH($V4334,$V$6:$V$10005,0)=ROW()-5,N($AA4333)+1,N($AA4333)))</f>
        <v>0</v>
      </c>
    </row>
    <row r="4335" spans="1:27" ht="21" customHeight="1" x14ac:dyDescent="0.95">
      <c r="A4335" s="56"/>
      <c r="B4335" s="57"/>
      <c r="C4335" s="57"/>
      <c r="D4335" s="57"/>
      <c r="E4335" s="56"/>
      <c r="F4335" s="57"/>
      <c r="G4335" s="57"/>
      <c r="H4335" s="56"/>
      <c r="I4335" s="56"/>
      <c r="J4335" s="58"/>
      <c r="K4335" s="58"/>
      <c r="L4335" s="13" t="str">
        <f t="shared" si="670"/>
        <v/>
      </c>
      <c r="M4335" s="13" t="str">
        <f t="shared" si="671"/>
        <v/>
      </c>
      <c r="Q4335" t="str">
        <f t="shared" si="672"/>
        <v/>
      </c>
      <c r="R4335" t="str">
        <f t="shared" si="673"/>
        <v/>
      </c>
      <c r="S4335" t="str">
        <f t="shared" si="674"/>
        <v/>
      </c>
      <c r="T4335" t="str">
        <f t="shared" si="675"/>
        <v/>
      </c>
      <c r="U4335" t="str">
        <f t="shared" si="676"/>
        <v/>
      </c>
      <c r="V4335" t="str">
        <f t="shared" si="677"/>
        <v/>
      </c>
      <c r="W4335" t="str">
        <f t="shared" si="678"/>
        <v/>
      </c>
      <c r="X4335">
        <f>IF($T4335="",N($X4334),IF(MATCH($T4335,$T$6:$T$10005,0)=ROW()-5,N($X4334)+1,N($X4334)))</f>
        <v>0</v>
      </c>
      <c r="Z4335" t="str">
        <f t="shared" si="679"/>
        <v/>
      </c>
      <c r="AA4335">
        <f>IF($V4335="",N($AA4334),IF(MATCH($V4335,$V$6:$V$10005,0)=ROW()-5,N($AA4334)+1,N($AA4334)))</f>
        <v>0</v>
      </c>
    </row>
    <row r="4336" spans="1:27" ht="21" customHeight="1" x14ac:dyDescent="0.95">
      <c r="A4336" s="56"/>
      <c r="B4336" s="57"/>
      <c r="C4336" s="57"/>
      <c r="D4336" s="57"/>
      <c r="E4336" s="56"/>
      <c r="F4336" s="57"/>
      <c r="G4336" s="57"/>
      <c r="H4336" s="56"/>
      <c r="I4336" s="56"/>
      <c r="J4336" s="58"/>
      <c r="K4336" s="58"/>
      <c r="L4336" s="13" t="str">
        <f t="shared" si="670"/>
        <v/>
      </c>
      <c r="M4336" s="13" t="str">
        <f t="shared" si="671"/>
        <v/>
      </c>
      <c r="Q4336" t="str">
        <f t="shared" si="672"/>
        <v/>
      </c>
      <c r="R4336" t="str">
        <f t="shared" si="673"/>
        <v/>
      </c>
      <c r="S4336" t="str">
        <f t="shared" si="674"/>
        <v/>
      </c>
      <c r="T4336" t="str">
        <f t="shared" si="675"/>
        <v/>
      </c>
      <c r="U4336" t="str">
        <f t="shared" si="676"/>
        <v/>
      </c>
      <c r="V4336" t="str">
        <f t="shared" si="677"/>
        <v/>
      </c>
      <c r="W4336" t="str">
        <f t="shared" si="678"/>
        <v/>
      </c>
      <c r="X4336">
        <f>IF($T4336="",N($X4335),IF(MATCH($T4336,$T$6:$T$10005,0)=ROW()-5,N($X4335)+1,N($X4335)))</f>
        <v>0</v>
      </c>
      <c r="Z4336" t="str">
        <f t="shared" si="679"/>
        <v/>
      </c>
      <c r="AA4336">
        <f>IF($V4336="",N($AA4335),IF(MATCH($V4336,$V$6:$V$10005,0)=ROW()-5,N($AA4335)+1,N($AA4335)))</f>
        <v>0</v>
      </c>
    </row>
    <row r="4337" spans="1:27" ht="21" customHeight="1" x14ac:dyDescent="0.95">
      <c r="A4337" s="56"/>
      <c r="B4337" s="57"/>
      <c r="C4337" s="57"/>
      <c r="D4337" s="57"/>
      <c r="E4337" s="56"/>
      <c r="F4337" s="57"/>
      <c r="G4337" s="57"/>
      <c r="H4337" s="56"/>
      <c r="I4337" s="56"/>
      <c r="J4337" s="58"/>
      <c r="K4337" s="58"/>
      <c r="L4337" s="13" t="str">
        <f t="shared" si="670"/>
        <v/>
      </c>
      <c r="M4337" s="13" t="str">
        <f t="shared" si="671"/>
        <v/>
      </c>
      <c r="Q4337" t="str">
        <f t="shared" si="672"/>
        <v/>
      </c>
      <c r="R4337" t="str">
        <f t="shared" si="673"/>
        <v/>
      </c>
      <c r="S4337" t="str">
        <f t="shared" si="674"/>
        <v/>
      </c>
      <c r="T4337" t="str">
        <f t="shared" si="675"/>
        <v/>
      </c>
      <c r="U4337" t="str">
        <f t="shared" si="676"/>
        <v/>
      </c>
      <c r="V4337" t="str">
        <f t="shared" si="677"/>
        <v/>
      </c>
      <c r="W4337" t="str">
        <f t="shared" si="678"/>
        <v/>
      </c>
      <c r="X4337">
        <f>IF($T4337="",N($X4336),IF(MATCH($T4337,$T$6:$T$10005,0)=ROW()-5,N($X4336)+1,N($X4336)))</f>
        <v>0</v>
      </c>
      <c r="Z4337" t="str">
        <f t="shared" si="679"/>
        <v/>
      </c>
      <c r="AA4337">
        <f>IF($V4337="",N($AA4336),IF(MATCH($V4337,$V$6:$V$10005,0)=ROW()-5,N($AA4336)+1,N($AA4336)))</f>
        <v>0</v>
      </c>
    </row>
    <row r="4338" spans="1:27" ht="21" customHeight="1" x14ac:dyDescent="0.95">
      <c r="A4338" s="56"/>
      <c r="B4338" s="57"/>
      <c r="C4338" s="57"/>
      <c r="D4338" s="57"/>
      <c r="E4338" s="56"/>
      <c r="F4338" s="57"/>
      <c r="G4338" s="57"/>
      <c r="H4338" s="56"/>
      <c r="I4338" s="56"/>
      <c r="J4338" s="58"/>
      <c r="K4338" s="58"/>
      <c r="L4338" s="13" t="str">
        <f t="shared" si="670"/>
        <v/>
      </c>
      <c r="M4338" s="13" t="str">
        <f t="shared" si="671"/>
        <v/>
      </c>
      <c r="Q4338" t="str">
        <f t="shared" si="672"/>
        <v/>
      </c>
      <c r="R4338" t="str">
        <f t="shared" si="673"/>
        <v/>
      </c>
      <c r="S4338" t="str">
        <f t="shared" si="674"/>
        <v/>
      </c>
      <c r="T4338" t="str">
        <f t="shared" si="675"/>
        <v/>
      </c>
      <c r="U4338" t="str">
        <f t="shared" si="676"/>
        <v/>
      </c>
      <c r="V4338" t="str">
        <f t="shared" si="677"/>
        <v/>
      </c>
      <c r="W4338" t="str">
        <f t="shared" si="678"/>
        <v/>
      </c>
      <c r="X4338">
        <f>IF($T4338="",N($X4337),IF(MATCH($T4338,$T$6:$T$10005,0)=ROW()-5,N($X4337)+1,N($X4337)))</f>
        <v>0</v>
      </c>
      <c r="Z4338" t="str">
        <f t="shared" si="679"/>
        <v/>
      </c>
      <c r="AA4338">
        <f>IF($V4338="",N($AA4337),IF(MATCH($V4338,$V$6:$V$10005,0)=ROW()-5,N($AA4337)+1,N($AA4337)))</f>
        <v>0</v>
      </c>
    </row>
    <row r="4339" spans="1:27" ht="21" customHeight="1" x14ac:dyDescent="0.95">
      <c r="A4339" s="56"/>
      <c r="B4339" s="57"/>
      <c r="C4339" s="57"/>
      <c r="D4339" s="57"/>
      <c r="E4339" s="56"/>
      <c r="F4339" s="57"/>
      <c r="G4339" s="57"/>
      <c r="H4339" s="56"/>
      <c r="I4339" s="56"/>
      <c r="J4339" s="58"/>
      <c r="K4339" s="58"/>
      <c r="L4339" s="13" t="str">
        <f t="shared" si="670"/>
        <v/>
      </c>
      <c r="M4339" s="13" t="str">
        <f t="shared" si="671"/>
        <v/>
      </c>
      <c r="Q4339" t="str">
        <f t="shared" si="672"/>
        <v/>
      </c>
      <c r="R4339" t="str">
        <f t="shared" si="673"/>
        <v/>
      </c>
      <c r="S4339" t="str">
        <f t="shared" si="674"/>
        <v/>
      </c>
      <c r="T4339" t="str">
        <f t="shared" si="675"/>
        <v/>
      </c>
      <c r="U4339" t="str">
        <f t="shared" si="676"/>
        <v/>
      </c>
      <c r="V4339" t="str">
        <f t="shared" si="677"/>
        <v/>
      </c>
      <c r="W4339" t="str">
        <f t="shared" si="678"/>
        <v/>
      </c>
      <c r="X4339">
        <f>IF($T4339="",N($X4338),IF(MATCH($T4339,$T$6:$T$10005,0)=ROW()-5,N($X4338)+1,N($X4338)))</f>
        <v>0</v>
      </c>
      <c r="Z4339" t="str">
        <f t="shared" si="679"/>
        <v/>
      </c>
      <c r="AA4339">
        <f>IF($V4339="",N($AA4338),IF(MATCH($V4339,$V$6:$V$10005,0)=ROW()-5,N($AA4338)+1,N($AA4338)))</f>
        <v>0</v>
      </c>
    </row>
    <row r="4340" spans="1:27" ht="21" customHeight="1" x14ac:dyDescent="0.95">
      <c r="A4340" s="56"/>
      <c r="B4340" s="57"/>
      <c r="C4340" s="57"/>
      <c r="D4340" s="57"/>
      <c r="E4340" s="56"/>
      <c r="F4340" s="57"/>
      <c r="G4340" s="57"/>
      <c r="H4340" s="56"/>
      <c r="I4340" s="56"/>
      <c r="J4340" s="58"/>
      <c r="K4340" s="58"/>
      <c r="L4340" s="13" t="str">
        <f t="shared" si="670"/>
        <v/>
      </c>
      <c r="M4340" s="13" t="str">
        <f t="shared" si="671"/>
        <v/>
      </c>
      <c r="Q4340" t="str">
        <f t="shared" si="672"/>
        <v/>
      </c>
      <c r="R4340" t="str">
        <f t="shared" si="673"/>
        <v/>
      </c>
      <c r="S4340" t="str">
        <f t="shared" si="674"/>
        <v/>
      </c>
      <c r="T4340" t="str">
        <f t="shared" si="675"/>
        <v/>
      </c>
      <c r="U4340" t="str">
        <f t="shared" si="676"/>
        <v/>
      </c>
      <c r="V4340" t="str">
        <f t="shared" si="677"/>
        <v/>
      </c>
      <c r="W4340" t="str">
        <f t="shared" si="678"/>
        <v/>
      </c>
      <c r="X4340">
        <f>IF($T4340="",N($X4339),IF(MATCH($T4340,$T$6:$T$10005,0)=ROW()-5,N($X4339)+1,N($X4339)))</f>
        <v>0</v>
      </c>
      <c r="Z4340" t="str">
        <f t="shared" si="679"/>
        <v/>
      </c>
      <c r="AA4340">
        <f>IF($V4340="",N($AA4339),IF(MATCH($V4340,$V$6:$V$10005,0)=ROW()-5,N($AA4339)+1,N($AA4339)))</f>
        <v>0</v>
      </c>
    </row>
    <row r="4341" spans="1:27" ht="21" customHeight="1" x14ac:dyDescent="0.95">
      <c r="A4341" s="56"/>
      <c r="B4341" s="57"/>
      <c r="C4341" s="57"/>
      <c r="D4341" s="57"/>
      <c r="E4341" s="56"/>
      <c r="F4341" s="57"/>
      <c r="G4341" s="57"/>
      <c r="H4341" s="56"/>
      <c r="I4341" s="56"/>
      <c r="J4341" s="58"/>
      <c r="K4341" s="58"/>
      <c r="L4341" s="13" t="str">
        <f t="shared" si="670"/>
        <v/>
      </c>
      <c r="M4341" s="13" t="str">
        <f t="shared" si="671"/>
        <v/>
      </c>
      <c r="Q4341" t="str">
        <f t="shared" si="672"/>
        <v/>
      </c>
      <c r="R4341" t="str">
        <f t="shared" si="673"/>
        <v/>
      </c>
      <c r="S4341" t="str">
        <f t="shared" si="674"/>
        <v/>
      </c>
      <c r="T4341" t="str">
        <f t="shared" si="675"/>
        <v/>
      </c>
      <c r="U4341" t="str">
        <f t="shared" si="676"/>
        <v/>
      </c>
      <c r="V4341" t="str">
        <f t="shared" si="677"/>
        <v/>
      </c>
      <c r="W4341" t="str">
        <f t="shared" si="678"/>
        <v/>
      </c>
      <c r="X4341">
        <f>IF($T4341="",N($X4340),IF(MATCH($T4341,$T$6:$T$10005,0)=ROW()-5,N($X4340)+1,N($X4340)))</f>
        <v>0</v>
      </c>
      <c r="Z4341" t="str">
        <f t="shared" si="679"/>
        <v/>
      </c>
      <c r="AA4341">
        <f>IF($V4341="",N($AA4340),IF(MATCH($V4341,$V$6:$V$10005,0)=ROW()-5,N($AA4340)+1,N($AA4340)))</f>
        <v>0</v>
      </c>
    </row>
    <row r="4342" spans="1:27" ht="21" customHeight="1" x14ac:dyDescent="0.95">
      <c r="A4342" s="56"/>
      <c r="B4342" s="57"/>
      <c r="C4342" s="57"/>
      <c r="D4342" s="57"/>
      <c r="E4342" s="56"/>
      <c r="F4342" s="57"/>
      <c r="G4342" s="57"/>
      <c r="H4342" s="56"/>
      <c r="I4342" s="56"/>
      <c r="J4342" s="58"/>
      <c r="K4342" s="58"/>
      <c r="L4342" s="13" t="str">
        <f t="shared" si="670"/>
        <v/>
      </c>
      <c r="M4342" s="13" t="str">
        <f t="shared" si="671"/>
        <v/>
      </c>
      <c r="Q4342" t="str">
        <f t="shared" si="672"/>
        <v/>
      </c>
      <c r="R4342" t="str">
        <f t="shared" si="673"/>
        <v/>
      </c>
      <c r="S4342" t="str">
        <f t="shared" si="674"/>
        <v/>
      </c>
      <c r="T4342" t="str">
        <f t="shared" si="675"/>
        <v/>
      </c>
      <c r="U4342" t="str">
        <f t="shared" si="676"/>
        <v/>
      </c>
      <c r="V4342" t="str">
        <f t="shared" si="677"/>
        <v/>
      </c>
      <c r="W4342" t="str">
        <f t="shared" si="678"/>
        <v/>
      </c>
      <c r="X4342">
        <f>IF($T4342="",N($X4341),IF(MATCH($T4342,$T$6:$T$10005,0)=ROW()-5,N($X4341)+1,N($X4341)))</f>
        <v>0</v>
      </c>
      <c r="Z4342" t="str">
        <f t="shared" si="679"/>
        <v/>
      </c>
      <c r="AA4342">
        <f>IF($V4342="",N($AA4341),IF(MATCH($V4342,$V$6:$V$10005,0)=ROW()-5,N($AA4341)+1,N($AA4341)))</f>
        <v>0</v>
      </c>
    </row>
    <row r="4343" spans="1:27" ht="21" customHeight="1" x14ac:dyDescent="0.95">
      <c r="A4343" s="56"/>
      <c r="B4343" s="57"/>
      <c r="C4343" s="57"/>
      <c r="D4343" s="57"/>
      <c r="E4343" s="56"/>
      <c r="F4343" s="57"/>
      <c r="G4343" s="57"/>
      <c r="H4343" s="56"/>
      <c r="I4343" s="56"/>
      <c r="J4343" s="58"/>
      <c r="K4343" s="58"/>
      <c r="L4343" s="13" t="str">
        <f t="shared" si="670"/>
        <v/>
      </c>
      <c r="M4343" s="13" t="str">
        <f t="shared" si="671"/>
        <v/>
      </c>
      <c r="Q4343" t="str">
        <f t="shared" si="672"/>
        <v/>
      </c>
      <c r="R4343" t="str">
        <f t="shared" si="673"/>
        <v/>
      </c>
      <c r="S4343" t="str">
        <f t="shared" si="674"/>
        <v/>
      </c>
      <c r="T4343" t="str">
        <f t="shared" si="675"/>
        <v/>
      </c>
      <c r="U4343" t="str">
        <f t="shared" si="676"/>
        <v/>
      </c>
      <c r="V4343" t="str">
        <f t="shared" si="677"/>
        <v/>
      </c>
      <c r="W4343" t="str">
        <f t="shared" si="678"/>
        <v/>
      </c>
      <c r="X4343">
        <f>IF($T4343="",N($X4342),IF(MATCH($T4343,$T$6:$T$10005,0)=ROW()-5,N($X4342)+1,N($X4342)))</f>
        <v>0</v>
      </c>
      <c r="Z4343" t="str">
        <f t="shared" si="679"/>
        <v/>
      </c>
      <c r="AA4343">
        <f>IF($V4343="",N($AA4342),IF(MATCH($V4343,$V$6:$V$10005,0)=ROW()-5,N($AA4342)+1,N($AA4342)))</f>
        <v>0</v>
      </c>
    </row>
    <row r="4344" spans="1:27" ht="21" customHeight="1" x14ac:dyDescent="0.95">
      <c r="A4344" s="56"/>
      <c r="B4344" s="57"/>
      <c r="C4344" s="57"/>
      <c r="D4344" s="57"/>
      <c r="E4344" s="56"/>
      <c r="F4344" s="57"/>
      <c r="G4344" s="57"/>
      <c r="H4344" s="56"/>
      <c r="I4344" s="56"/>
      <c r="J4344" s="58"/>
      <c r="K4344" s="58"/>
      <c r="L4344" s="13" t="str">
        <f t="shared" si="670"/>
        <v/>
      </c>
      <c r="M4344" s="13" t="str">
        <f t="shared" si="671"/>
        <v/>
      </c>
      <c r="Q4344" t="str">
        <f t="shared" si="672"/>
        <v/>
      </c>
      <c r="R4344" t="str">
        <f t="shared" si="673"/>
        <v/>
      </c>
      <c r="S4344" t="str">
        <f t="shared" si="674"/>
        <v/>
      </c>
      <c r="T4344" t="str">
        <f t="shared" si="675"/>
        <v/>
      </c>
      <c r="U4344" t="str">
        <f t="shared" si="676"/>
        <v/>
      </c>
      <c r="V4344" t="str">
        <f t="shared" si="677"/>
        <v/>
      </c>
      <c r="W4344" t="str">
        <f t="shared" si="678"/>
        <v/>
      </c>
      <c r="X4344">
        <f>IF($T4344="",N($X4343),IF(MATCH($T4344,$T$6:$T$10005,0)=ROW()-5,N($X4343)+1,N($X4343)))</f>
        <v>0</v>
      </c>
      <c r="Z4344" t="str">
        <f t="shared" si="679"/>
        <v/>
      </c>
      <c r="AA4344">
        <f>IF($V4344="",N($AA4343),IF(MATCH($V4344,$V$6:$V$10005,0)=ROW()-5,N($AA4343)+1,N($AA4343)))</f>
        <v>0</v>
      </c>
    </row>
    <row r="4345" spans="1:27" ht="21" customHeight="1" x14ac:dyDescent="0.95">
      <c r="A4345" s="56"/>
      <c r="B4345" s="57"/>
      <c r="C4345" s="57"/>
      <c r="D4345" s="57"/>
      <c r="E4345" s="56"/>
      <c r="F4345" s="57"/>
      <c r="G4345" s="57"/>
      <c r="H4345" s="56"/>
      <c r="I4345" s="56"/>
      <c r="J4345" s="58"/>
      <c r="K4345" s="58"/>
      <c r="L4345" s="13" t="str">
        <f t="shared" si="670"/>
        <v/>
      </c>
      <c r="M4345" s="13" t="str">
        <f t="shared" si="671"/>
        <v/>
      </c>
      <c r="Q4345" t="str">
        <f t="shared" si="672"/>
        <v/>
      </c>
      <c r="R4345" t="str">
        <f t="shared" si="673"/>
        <v/>
      </c>
      <c r="S4345" t="str">
        <f t="shared" si="674"/>
        <v/>
      </c>
      <c r="T4345" t="str">
        <f t="shared" si="675"/>
        <v/>
      </c>
      <c r="U4345" t="str">
        <f t="shared" si="676"/>
        <v/>
      </c>
      <c r="V4345" t="str">
        <f t="shared" si="677"/>
        <v/>
      </c>
      <c r="W4345" t="str">
        <f t="shared" si="678"/>
        <v/>
      </c>
      <c r="X4345">
        <f>IF($T4345="",N($X4344),IF(MATCH($T4345,$T$6:$T$10005,0)=ROW()-5,N($X4344)+1,N($X4344)))</f>
        <v>0</v>
      </c>
      <c r="Z4345" t="str">
        <f t="shared" si="679"/>
        <v/>
      </c>
      <c r="AA4345">
        <f>IF($V4345="",N($AA4344),IF(MATCH($V4345,$V$6:$V$10005,0)=ROW()-5,N($AA4344)+1,N($AA4344)))</f>
        <v>0</v>
      </c>
    </row>
    <row r="4346" spans="1:27" ht="21" customHeight="1" x14ac:dyDescent="0.95">
      <c r="A4346" s="56"/>
      <c r="B4346" s="57"/>
      <c r="C4346" s="57"/>
      <c r="D4346" s="57"/>
      <c r="E4346" s="56"/>
      <c r="F4346" s="57"/>
      <c r="G4346" s="57"/>
      <c r="H4346" s="56"/>
      <c r="I4346" s="56"/>
      <c r="J4346" s="58"/>
      <c r="K4346" s="58"/>
      <c r="L4346" s="13" t="str">
        <f t="shared" si="670"/>
        <v/>
      </c>
      <c r="M4346" s="13" t="str">
        <f t="shared" si="671"/>
        <v/>
      </c>
      <c r="Q4346" t="str">
        <f t="shared" si="672"/>
        <v/>
      </c>
      <c r="R4346" t="str">
        <f t="shared" si="673"/>
        <v/>
      </c>
      <c r="S4346" t="str">
        <f t="shared" si="674"/>
        <v/>
      </c>
      <c r="T4346" t="str">
        <f t="shared" si="675"/>
        <v/>
      </c>
      <c r="U4346" t="str">
        <f t="shared" si="676"/>
        <v/>
      </c>
      <c r="V4346" t="str">
        <f t="shared" si="677"/>
        <v/>
      </c>
      <c r="W4346" t="str">
        <f t="shared" si="678"/>
        <v/>
      </c>
      <c r="X4346">
        <f>IF($T4346="",N($X4345),IF(MATCH($T4346,$T$6:$T$10005,0)=ROW()-5,N($X4345)+1,N($X4345)))</f>
        <v>0</v>
      </c>
      <c r="Z4346" t="str">
        <f t="shared" si="679"/>
        <v/>
      </c>
      <c r="AA4346">
        <f>IF($V4346="",N($AA4345),IF(MATCH($V4346,$V$6:$V$10005,0)=ROW()-5,N($AA4345)+1,N($AA4345)))</f>
        <v>0</v>
      </c>
    </row>
    <row r="4347" spans="1:27" ht="21" customHeight="1" x14ac:dyDescent="0.95">
      <c r="A4347" s="56"/>
      <c r="B4347" s="57"/>
      <c r="C4347" s="57"/>
      <c r="D4347" s="57"/>
      <c r="E4347" s="56"/>
      <c r="F4347" s="57"/>
      <c r="G4347" s="57"/>
      <c r="H4347" s="56"/>
      <c r="I4347" s="56"/>
      <c r="J4347" s="58"/>
      <c r="K4347" s="58"/>
      <c r="L4347" s="13" t="str">
        <f t="shared" si="670"/>
        <v/>
      </c>
      <c r="M4347" s="13" t="str">
        <f t="shared" si="671"/>
        <v/>
      </c>
      <c r="Q4347" t="str">
        <f t="shared" si="672"/>
        <v/>
      </c>
      <c r="R4347" t="str">
        <f t="shared" si="673"/>
        <v/>
      </c>
      <c r="S4347" t="str">
        <f t="shared" si="674"/>
        <v/>
      </c>
      <c r="T4347" t="str">
        <f t="shared" si="675"/>
        <v/>
      </c>
      <c r="U4347" t="str">
        <f t="shared" si="676"/>
        <v/>
      </c>
      <c r="V4347" t="str">
        <f t="shared" si="677"/>
        <v/>
      </c>
      <c r="W4347" t="str">
        <f t="shared" si="678"/>
        <v/>
      </c>
      <c r="X4347">
        <f>IF($T4347="",N($X4346),IF(MATCH($T4347,$T$6:$T$10005,0)=ROW()-5,N($X4346)+1,N($X4346)))</f>
        <v>0</v>
      </c>
      <c r="Z4347" t="str">
        <f t="shared" si="679"/>
        <v/>
      </c>
      <c r="AA4347">
        <f>IF($V4347="",N($AA4346),IF(MATCH($V4347,$V$6:$V$10005,0)=ROW()-5,N($AA4346)+1,N($AA4346)))</f>
        <v>0</v>
      </c>
    </row>
    <row r="4348" spans="1:27" ht="21" customHeight="1" x14ac:dyDescent="0.95">
      <c r="A4348" s="56"/>
      <c r="B4348" s="57"/>
      <c r="C4348" s="57"/>
      <c r="D4348" s="57"/>
      <c r="E4348" s="56"/>
      <c r="F4348" s="57"/>
      <c r="G4348" s="57"/>
      <c r="H4348" s="56"/>
      <c r="I4348" s="56"/>
      <c r="J4348" s="58"/>
      <c r="K4348" s="58"/>
      <c r="L4348" s="13" t="str">
        <f t="shared" si="670"/>
        <v/>
      </c>
      <c r="M4348" s="13" t="str">
        <f t="shared" si="671"/>
        <v/>
      </c>
      <c r="Q4348" t="str">
        <f t="shared" si="672"/>
        <v/>
      </c>
      <c r="R4348" t="str">
        <f t="shared" si="673"/>
        <v/>
      </c>
      <c r="S4348" t="str">
        <f t="shared" si="674"/>
        <v/>
      </c>
      <c r="T4348" t="str">
        <f t="shared" si="675"/>
        <v/>
      </c>
      <c r="U4348" t="str">
        <f t="shared" si="676"/>
        <v/>
      </c>
      <c r="V4348" t="str">
        <f t="shared" si="677"/>
        <v/>
      </c>
      <c r="W4348" t="str">
        <f t="shared" si="678"/>
        <v/>
      </c>
      <c r="X4348">
        <f>IF($T4348="",N($X4347),IF(MATCH($T4348,$T$6:$T$10005,0)=ROW()-5,N($X4347)+1,N($X4347)))</f>
        <v>0</v>
      </c>
      <c r="Z4348" t="str">
        <f t="shared" si="679"/>
        <v/>
      </c>
      <c r="AA4348">
        <f>IF($V4348="",N($AA4347),IF(MATCH($V4348,$V$6:$V$10005,0)=ROW()-5,N($AA4347)+1,N($AA4347)))</f>
        <v>0</v>
      </c>
    </row>
    <row r="4349" spans="1:27" ht="21" customHeight="1" x14ac:dyDescent="0.95">
      <c r="A4349" s="56"/>
      <c r="B4349" s="57"/>
      <c r="C4349" s="57"/>
      <c r="D4349" s="57"/>
      <c r="E4349" s="56"/>
      <c r="F4349" s="57"/>
      <c r="G4349" s="57"/>
      <c r="H4349" s="56"/>
      <c r="I4349" s="56"/>
      <c r="J4349" s="58"/>
      <c r="K4349" s="58"/>
      <c r="L4349" s="13" t="str">
        <f t="shared" si="670"/>
        <v/>
      </c>
      <c r="M4349" s="13" t="str">
        <f t="shared" si="671"/>
        <v/>
      </c>
      <c r="Q4349" t="str">
        <f t="shared" si="672"/>
        <v/>
      </c>
      <c r="R4349" t="str">
        <f t="shared" si="673"/>
        <v/>
      </c>
      <c r="S4349" t="str">
        <f t="shared" si="674"/>
        <v/>
      </c>
      <c r="T4349" t="str">
        <f t="shared" si="675"/>
        <v/>
      </c>
      <c r="U4349" t="str">
        <f t="shared" si="676"/>
        <v/>
      </c>
      <c r="V4349" t="str">
        <f t="shared" si="677"/>
        <v/>
      </c>
      <c r="W4349" t="str">
        <f t="shared" si="678"/>
        <v/>
      </c>
      <c r="X4349">
        <f>IF($T4349="",N($X4348),IF(MATCH($T4349,$T$6:$T$10005,0)=ROW()-5,N($X4348)+1,N($X4348)))</f>
        <v>0</v>
      </c>
      <c r="Z4349" t="str">
        <f t="shared" si="679"/>
        <v/>
      </c>
      <c r="AA4349">
        <f>IF($V4349="",N($AA4348),IF(MATCH($V4349,$V$6:$V$10005,0)=ROW()-5,N($AA4348)+1,N($AA4348)))</f>
        <v>0</v>
      </c>
    </row>
    <row r="4350" spans="1:27" ht="21" customHeight="1" x14ac:dyDescent="0.95">
      <c r="A4350" s="56"/>
      <c r="B4350" s="57"/>
      <c r="C4350" s="57"/>
      <c r="D4350" s="57"/>
      <c r="E4350" s="56"/>
      <c r="F4350" s="57"/>
      <c r="G4350" s="57"/>
      <c r="H4350" s="56"/>
      <c r="I4350" s="56"/>
      <c r="J4350" s="58"/>
      <c r="K4350" s="58"/>
      <c r="L4350" s="13" t="str">
        <f t="shared" si="670"/>
        <v/>
      </c>
      <c r="M4350" s="13" t="str">
        <f t="shared" si="671"/>
        <v/>
      </c>
      <c r="Q4350" t="str">
        <f t="shared" si="672"/>
        <v/>
      </c>
      <c r="R4350" t="str">
        <f t="shared" si="673"/>
        <v/>
      </c>
      <c r="S4350" t="str">
        <f t="shared" si="674"/>
        <v/>
      </c>
      <c r="T4350" t="str">
        <f t="shared" si="675"/>
        <v/>
      </c>
      <c r="U4350" t="str">
        <f t="shared" si="676"/>
        <v/>
      </c>
      <c r="V4350" t="str">
        <f t="shared" si="677"/>
        <v/>
      </c>
      <c r="W4350" t="str">
        <f t="shared" si="678"/>
        <v/>
      </c>
      <c r="X4350">
        <f>IF($T4350="",N($X4349),IF(MATCH($T4350,$T$6:$T$10005,0)=ROW()-5,N($X4349)+1,N($X4349)))</f>
        <v>0</v>
      </c>
      <c r="Z4350" t="str">
        <f t="shared" si="679"/>
        <v/>
      </c>
      <c r="AA4350">
        <f>IF($V4350="",N($AA4349),IF(MATCH($V4350,$V$6:$V$10005,0)=ROW()-5,N($AA4349)+1,N($AA4349)))</f>
        <v>0</v>
      </c>
    </row>
    <row r="4351" spans="1:27" ht="21" customHeight="1" x14ac:dyDescent="0.95">
      <c r="A4351" s="56"/>
      <c r="B4351" s="57"/>
      <c r="C4351" s="57"/>
      <c r="D4351" s="57"/>
      <c r="E4351" s="56"/>
      <c r="F4351" s="57"/>
      <c r="G4351" s="57"/>
      <c r="H4351" s="56"/>
      <c r="I4351" s="56"/>
      <c r="J4351" s="58"/>
      <c r="K4351" s="58"/>
      <c r="L4351" s="13" t="str">
        <f t="shared" si="670"/>
        <v/>
      </c>
      <c r="M4351" s="13" t="str">
        <f t="shared" si="671"/>
        <v/>
      </c>
      <c r="Q4351" t="str">
        <f t="shared" si="672"/>
        <v/>
      </c>
      <c r="R4351" t="str">
        <f t="shared" si="673"/>
        <v/>
      </c>
      <c r="S4351" t="str">
        <f t="shared" si="674"/>
        <v/>
      </c>
      <c r="T4351" t="str">
        <f t="shared" si="675"/>
        <v/>
      </c>
      <c r="U4351" t="str">
        <f t="shared" si="676"/>
        <v/>
      </c>
      <c r="V4351" t="str">
        <f t="shared" si="677"/>
        <v/>
      </c>
      <c r="W4351" t="str">
        <f t="shared" si="678"/>
        <v/>
      </c>
      <c r="X4351">
        <f>IF($T4351="",N($X4350),IF(MATCH($T4351,$T$6:$T$10005,0)=ROW()-5,N($X4350)+1,N($X4350)))</f>
        <v>0</v>
      </c>
      <c r="Z4351" t="str">
        <f t="shared" si="679"/>
        <v/>
      </c>
      <c r="AA4351">
        <f>IF($V4351="",N($AA4350),IF(MATCH($V4351,$V$6:$V$10005,0)=ROW()-5,N($AA4350)+1,N($AA4350)))</f>
        <v>0</v>
      </c>
    </row>
    <row r="4352" spans="1:27" ht="21" customHeight="1" x14ac:dyDescent="0.95">
      <c r="A4352" s="56"/>
      <c r="B4352" s="57"/>
      <c r="C4352" s="57"/>
      <c r="D4352" s="57"/>
      <c r="E4352" s="56"/>
      <c r="F4352" s="57"/>
      <c r="G4352" s="57"/>
      <c r="H4352" s="56"/>
      <c r="I4352" s="56"/>
      <c r="J4352" s="58"/>
      <c r="K4352" s="58"/>
      <c r="L4352" s="13" t="str">
        <f t="shared" si="670"/>
        <v/>
      </c>
      <c r="M4352" s="13" t="str">
        <f t="shared" si="671"/>
        <v/>
      </c>
      <c r="Q4352" t="str">
        <f t="shared" si="672"/>
        <v/>
      </c>
      <c r="R4352" t="str">
        <f t="shared" si="673"/>
        <v/>
      </c>
      <c r="S4352" t="str">
        <f t="shared" si="674"/>
        <v/>
      </c>
      <c r="T4352" t="str">
        <f t="shared" si="675"/>
        <v/>
      </c>
      <c r="U4352" t="str">
        <f t="shared" si="676"/>
        <v/>
      </c>
      <c r="V4352" t="str">
        <f t="shared" si="677"/>
        <v/>
      </c>
      <c r="W4352" t="str">
        <f t="shared" si="678"/>
        <v/>
      </c>
      <c r="X4352">
        <f>IF($T4352="",N($X4351),IF(MATCH($T4352,$T$6:$T$10005,0)=ROW()-5,N($X4351)+1,N($X4351)))</f>
        <v>0</v>
      </c>
      <c r="Z4352" t="str">
        <f t="shared" si="679"/>
        <v/>
      </c>
      <c r="AA4352">
        <f>IF($V4352="",N($AA4351),IF(MATCH($V4352,$V$6:$V$10005,0)=ROW()-5,N($AA4351)+1,N($AA4351)))</f>
        <v>0</v>
      </c>
    </row>
    <row r="4353" spans="1:27" ht="21" customHeight="1" x14ac:dyDescent="0.95">
      <c r="A4353" s="56"/>
      <c r="B4353" s="57"/>
      <c r="C4353" s="57"/>
      <c r="D4353" s="57"/>
      <c r="E4353" s="56"/>
      <c r="F4353" s="57"/>
      <c r="G4353" s="57"/>
      <c r="H4353" s="56"/>
      <c r="I4353" s="56"/>
      <c r="J4353" s="58"/>
      <c r="K4353" s="58"/>
      <c r="L4353" s="13" t="str">
        <f t="shared" si="670"/>
        <v/>
      </c>
      <c r="M4353" s="13" t="str">
        <f t="shared" si="671"/>
        <v/>
      </c>
      <c r="Q4353" t="str">
        <f t="shared" si="672"/>
        <v/>
      </c>
      <c r="R4353" t="str">
        <f t="shared" si="673"/>
        <v/>
      </c>
      <c r="S4353" t="str">
        <f t="shared" si="674"/>
        <v/>
      </c>
      <c r="T4353" t="str">
        <f t="shared" si="675"/>
        <v/>
      </c>
      <c r="U4353" t="str">
        <f t="shared" si="676"/>
        <v/>
      </c>
      <c r="V4353" t="str">
        <f t="shared" si="677"/>
        <v/>
      </c>
      <c r="W4353" t="str">
        <f t="shared" si="678"/>
        <v/>
      </c>
      <c r="X4353">
        <f>IF($T4353="",N($X4352),IF(MATCH($T4353,$T$6:$T$10005,0)=ROW()-5,N($X4352)+1,N($X4352)))</f>
        <v>0</v>
      </c>
      <c r="Z4353" t="str">
        <f t="shared" si="679"/>
        <v/>
      </c>
      <c r="AA4353">
        <f>IF($V4353="",N($AA4352),IF(MATCH($V4353,$V$6:$V$10005,0)=ROW()-5,N($AA4352)+1,N($AA4352)))</f>
        <v>0</v>
      </c>
    </row>
    <row r="4354" spans="1:27" ht="21" customHeight="1" x14ac:dyDescent="0.95">
      <c r="A4354" s="56"/>
      <c r="B4354" s="57"/>
      <c r="C4354" s="57"/>
      <c r="D4354" s="57"/>
      <c r="E4354" s="56"/>
      <c r="F4354" s="57"/>
      <c r="G4354" s="57"/>
      <c r="H4354" s="56"/>
      <c r="I4354" s="56"/>
      <c r="J4354" s="58"/>
      <c r="K4354" s="58"/>
      <c r="L4354" s="13" t="str">
        <f t="shared" si="670"/>
        <v/>
      </c>
      <c r="M4354" s="13" t="str">
        <f t="shared" si="671"/>
        <v/>
      </c>
      <c r="Q4354" t="str">
        <f t="shared" si="672"/>
        <v/>
      </c>
      <c r="R4354" t="str">
        <f t="shared" si="673"/>
        <v/>
      </c>
      <c r="S4354" t="str">
        <f t="shared" si="674"/>
        <v/>
      </c>
      <c r="T4354" t="str">
        <f t="shared" si="675"/>
        <v/>
      </c>
      <c r="U4354" t="str">
        <f t="shared" si="676"/>
        <v/>
      </c>
      <c r="V4354" t="str">
        <f t="shared" si="677"/>
        <v/>
      </c>
      <c r="W4354" t="str">
        <f t="shared" si="678"/>
        <v/>
      </c>
      <c r="X4354">
        <f>IF($T4354="",N($X4353),IF(MATCH($T4354,$T$6:$T$10005,0)=ROW()-5,N($X4353)+1,N($X4353)))</f>
        <v>0</v>
      </c>
      <c r="Z4354" t="str">
        <f t="shared" si="679"/>
        <v/>
      </c>
      <c r="AA4354">
        <f>IF($V4354="",N($AA4353),IF(MATCH($V4354,$V$6:$V$10005,0)=ROW()-5,N($AA4353)+1,N($AA4353)))</f>
        <v>0</v>
      </c>
    </row>
    <row r="4355" spans="1:27" ht="21" customHeight="1" x14ac:dyDescent="0.95">
      <c r="A4355" s="56"/>
      <c r="B4355" s="57"/>
      <c r="C4355" s="57"/>
      <c r="D4355" s="57"/>
      <c r="E4355" s="56"/>
      <c r="F4355" s="57"/>
      <c r="G4355" s="57"/>
      <c r="H4355" s="56"/>
      <c r="I4355" s="56"/>
      <c r="J4355" s="58"/>
      <c r="K4355" s="58"/>
      <c r="L4355" s="13" t="str">
        <f t="shared" si="670"/>
        <v/>
      </c>
      <c r="M4355" s="13" t="str">
        <f t="shared" si="671"/>
        <v/>
      </c>
      <c r="Q4355" t="str">
        <f t="shared" si="672"/>
        <v/>
      </c>
      <c r="R4355" t="str">
        <f t="shared" si="673"/>
        <v/>
      </c>
      <c r="S4355" t="str">
        <f t="shared" si="674"/>
        <v/>
      </c>
      <c r="T4355" t="str">
        <f t="shared" si="675"/>
        <v/>
      </c>
      <c r="U4355" t="str">
        <f t="shared" si="676"/>
        <v/>
      </c>
      <c r="V4355" t="str">
        <f t="shared" si="677"/>
        <v/>
      </c>
      <c r="W4355" t="str">
        <f t="shared" si="678"/>
        <v/>
      </c>
      <c r="X4355">
        <f>IF($T4355="",N($X4354),IF(MATCH($T4355,$T$6:$T$10005,0)=ROW()-5,N($X4354)+1,N($X4354)))</f>
        <v>0</v>
      </c>
      <c r="Z4355" t="str">
        <f t="shared" si="679"/>
        <v/>
      </c>
      <c r="AA4355">
        <f>IF($V4355="",N($AA4354),IF(MATCH($V4355,$V$6:$V$10005,0)=ROW()-5,N($AA4354)+1,N($AA4354)))</f>
        <v>0</v>
      </c>
    </row>
    <row r="4356" spans="1:27" ht="21" customHeight="1" x14ac:dyDescent="0.95">
      <c r="A4356" s="56"/>
      <c r="B4356" s="57"/>
      <c r="C4356" s="57"/>
      <c r="D4356" s="57"/>
      <c r="E4356" s="56"/>
      <c r="F4356" s="57"/>
      <c r="G4356" s="57"/>
      <c r="H4356" s="56"/>
      <c r="I4356" s="56"/>
      <c r="J4356" s="58"/>
      <c r="K4356" s="58"/>
      <c r="L4356" s="13" t="str">
        <f t="shared" si="670"/>
        <v/>
      </c>
      <c r="M4356" s="13" t="str">
        <f t="shared" si="671"/>
        <v/>
      </c>
      <c r="Q4356" t="str">
        <f t="shared" si="672"/>
        <v/>
      </c>
      <c r="R4356" t="str">
        <f t="shared" si="673"/>
        <v/>
      </c>
      <c r="S4356" t="str">
        <f t="shared" si="674"/>
        <v/>
      </c>
      <c r="T4356" t="str">
        <f t="shared" si="675"/>
        <v/>
      </c>
      <c r="U4356" t="str">
        <f t="shared" si="676"/>
        <v/>
      </c>
      <c r="V4356" t="str">
        <f t="shared" si="677"/>
        <v/>
      </c>
      <c r="W4356" t="str">
        <f t="shared" si="678"/>
        <v/>
      </c>
      <c r="X4356">
        <f>IF($T4356="",N($X4355),IF(MATCH($T4356,$T$6:$T$10005,0)=ROW()-5,N($X4355)+1,N($X4355)))</f>
        <v>0</v>
      </c>
      <c r="Z4356" t="str">
        <f t="shared" si="679"/>
        <v/>
      </c>
      <c r="AA4356">
        <f>IF($V4356="",N($AA4355),IF(MATCH($V4356,$V$6:$V$10005,0)=ROW()-5,N($AA4355)+1,N($AA4355)))</f>
        <v>0</v>
      </c>
    </row>
    <row r="4357" spans="1:27" ht="21" customHeight="1" x14ac:dyDescent="0.95">
      <c r="A4357" s="56"/>
      <c r="B4357" s="57"/>
      <c r="C4357" s="57"/>
      <c r="D4357" s="57"/>
      <c r="E4357" s="56"/>
      <c r="F4357" s="57"/>
      <c r="G4357" s="57"/>
      <c r="H4357" s="56"/>
      <c r="I4357" s="56"/>
      <c r="J4357" s="58"/>
      <c r="K4357" s="58"/>
      <c r="L4357" s="13" t="str">
        <f t="shared" si="670"/>
        <v/>
      </c>
      <c r="M4357" s="13" t="str">
        <f t="shared" si="671"/>
        <v/>
      </c>
      <c r="Q4357" t="str">
        <f t="shared" si="672"/>
        <v/>
      </c>
      <c r="R4357" t="str">
        <f t="shared" si="673"/>
        <v/>
      </c>
      <c r="S4357" t="str">
        <f t="shared" si="674"/>
        <v/>
      </c>
      <c r="T4357" t="str">
        <f t="shared" si="675"/>
        <v/>
      </c>
      <c r="U4357" t="str">
        <f t="shared" si="676"/>
        <v/>
      </c>
      <c r="V4357" t="str">
        <f t="shared" si="677"/>
        <v/>
      </c>
      <c r="W4357" t="str">
        <f t="shared" si="678"/>
        <v/>
      </c>
      <c r="X4357">
        <f>IF($T4357="",N($X4356),IF(MATCH($T4357,$T$6:$T$10005,0)=ROW()-5,N($X4356)+1,N($X4356)))</f>
        <v>0</v>
      </c>
      <c r="Z4357" t="str">
        <f t="shared" si="679"/>
        <v/>
      </c>
      <c r="AA4357">
        <f>IF($V4357="",N($AA4356),IF(MATCH($V4357,$V$6:$V$10005,0)=ROW()-5,N($AA4356)+1,N($AA4356)))</f>
        <v>0</v>
      </c>
    </row>
    <row r="4358" spans="1:27" ht="21" customHeight="1" x14ac:dyDescent="0.95">
      <c r="A4358" s="56"/>
      <c r="B4358" s="57"/>
      <c r="C4358" s="57"/>
      <c r="D4358" s="57"/>
      <c r="E4358" s="56"/>
      <c r="F4358" s="57"/>
      <c r="G4358" s="57"/>
      <c r="H4358" s="56"/>
      <c r="I4358" s="56"/>
      <c r="J4358" s="58"/>
      <c r="K4358" s="58"/>
      <c r="L4358" s="13" t="str">
        <f t="shared" ref="L4358:L4421" si="680">IF(OR($A4358="",AND($J4358="",$K4358="")),"",ROUND(N($J4358)-N($K4358),2))</f>
        <v/>
      </c>
      <c r="M4358" s="13" t="str">
        <f t="shared" ref="M4358:M4421" si="681">IF(OR($A4358="",AND($J4358="",$K4358="")),"",MIN($J4358,$K4358))</f>
        <v/>
      </c>
      <c r="Q4358" t="str">
        <f t="shared" ref="Q4358:Q4421" si="682">IF($A4358="","",$D4358&amp;"("&amp;SUBSTITUTE($E4358," ","")&amp;")")</f>
        <v/>
      </c>
      <c r="R4358" t="str">
        <f t="shared" ref="R4358:R4421" si="683">IF($A4358="","",$B4358&amp;" - "&amp;$C4358)</f>
        <v/>
      </c>
      <c r="S4358" t="str">
        <f t="shared" ref="S4358:S4421" si="684">IF($A4358="","",$R4358&amp;"|"&amp;$Q4358)</f>
        <v/>
      </c>
      <c r="T4358" t="str">
        <f t="shared" ref="T4358:T4421" si="685">IF($A4358="","",$S4358&amp;"|"&amp;$F4358)</f>
        <v/>
      </c>
      <c r="U4358" t="str">
        <f t="shared" ref="U4358:U4421" si="686">IF($A4358="","",$R4358&amp;"("&amp;$E4358&amp;")")</f>
        <v/>
      </c>
      <c r="V4358" t="str">
        <f t="shared" ref="V4358:V4421" si="687">IF($A4358="","",$F4358&amp;"|"&amp;$U4358&amp;"|"&amp;$D4358)</f>
        <v/>
      </c>
      <c r="W4358" t="str">
        <f t="shared" ref="W4358:W4421" si="688">IF($T4358="","",IF($X4358&gt;N($X4357),$X4358,""))</f>
        <v/>
      </c>
      <c r="X4358">
        <f>IF($T4358="",N($X4357),IF(MATCH($T4358,$T$6:$T$10005,0)=ROW()-5,N($X4357)+1,N($X4357)))</f>
        <v>0</v>
      </c>
      <c r="Z4358" t="str">
        <f t="shared" ref="Z4358:Z4421" si="689">IF($V4358="","",IF($AA4358&gt;N($AA4357),$AA4358,""))</f>
        <v/>
      </c>
      <c r="AA4358">
        <f>IF($V4358="",N($AA4357),IF(MATCH($V4358,$V$6:$V$10005,0)=ROW()-5,N($AA4357)+1,N($AA4357)))</f>
        <v>0</v>
      </c>
    </row>
    <row r="4359" spans="1:27" ht="21" customHeight="1" x14ac:dyDescent="0.95">
      <c r="A4359" s="56"/>
      <c r="B4359" s="57"/>
      <c r="C4359" s="57"/>
      <c r="D4359" s="57"/>
      <c r="E4359" s="56"/>
      <c r="F4359" s="57"/>
      <c r="G4359" s="57"/>
      <c r="H4359" s="56"/>
      <c r="I4359" s="56"/>
      <c r="J4359" s="58"/>
      <c r="K4359" s="58"/>
      <c r="L4359" s="13" t="str">
        <f t="shared" si="680"/>
        <v/>
      </c>
      <c r="M4359" s="13" t="str">
        <f t="shared" si="681"/>
        <v/>
      </c>
      <c r="Q4359" t="str">
        <f t="shared" si="682"/>
        <v/>
      </c>
      <c r="R4359" t="str">
        <f t="shared" si="683"/>
        <v/>
      </c>
      <c r="S4359" t="str">
        <f t="shared" si="684"/>
        <v/>
      </c>
      <c r="T4359" t="str">
        <f t="shared" si="685"/>
        <v/>
      </c>
      <c r="U4359" t="str">
        <f t="shared" si="686"/>
        <v/>
      </c>
      <c r="V4359" t="str">
        <f t="shared" si="687"/>
        <v/>
      </c>
      <c r="W4359" t="str">
        <f t="shared" si="688"/>
        <v/>
      </c>
      <c r="X4359">
        <f>IF($T4359="",N($X4358),IF(MATCH($T4359,$T$6:$T$10005,0)=ROW()-5,N($X4358)+1,N($X4358)))</f>
        <v>0</v>
      </c>
      <c r="Z4359" t="str">
        <f t="shared" si="689"/>
        <v/>
      </c>
      <c r="AA4359">
        <f>IF($V4359="",N($AA4358),IF(MATCH($V4359,$V$6:$V$10005,0)=ROW()-5,N($AA4358)+1,N($AA4358)))</f>
        <v>0</v>
      </c>
    </row>
    <row r="4360" spans="1:27" ht="21" customHeight="1" x14ac:dyDescent="0.95">
      <c r="A4360" s="56"/>
      <c r="B4360" s="57"/>
      <c r="C4360" s="57"/>
      <c r="D4360" s="57"/>
      <c r="E4360" s="56"/>
      <c r="F4360" s="57"/>
      <c r="G4360" s="57"/>
      <c r="H4360" s="56"/>
      <c r="I4360" s="56"/>
      <c r="J4360" s="58"/>
      <c r="K4360" s="58"/>
      <c r="L4360" s="13" t="str">
        <f t="shared" si="680"/>
        <v/>
      </c>
      <c r="M4360" s="13" t="str">
        <f t="shared" si="681"/>
        <v/>
      </c>
      <c r="Q4360" t="str">
        <f t="shared" si="682"/>
        <v/>
      </c>
      <c r="R4360" t="str">
        <f t="shared" si="683"/>
        <v/>
      </c>
      <c r="S4360" t="str">
        <f t="shared" si="684"/>
        <v/>
      </c>
      <c r="T4360" t="str">
        <f t="shared" si="685"/>
        <v/>
      </c>
      <c r="U4360" t="str">
        <f t="shared" si="686"/>
        <v/>
      </c>
      <c r="V4360" t="str">
        <f t="shared" si="687"/>
        <v/>
      </c>
      <c r="W4360" t="str">
        <f t="shared" si="688"/>
        <v/>
      </c>
      <c r="X4360">
        <f>IF($T4360="",N($X4359),IF(MATCH($T4360,$T$6:$T$10005,0)=ROW()-5,N($X4359)+1,N($X4359)))</f>
        <v>0</v>
      </c>
      <c r="Z4360" t="str">
        <f t="shared" si="689"/>
        <v/>
      </c>
      <c r="AA4360">
        <f>IF($V4360="",N($AA4359),IF(MATCH($V4360,$V$6:$V$10005,0)=ROW()-5,N($AA4359)+1,N($AA4359)))</f>
        <v>0</v>
      </c>
    </row>
    <row r="4361" spans="1:27" ht="21" customHeight="1" x14ac:dyDescent="0.95">
      <c r="A4361" s="56"/>
      <c r="B4361" s="57"/>
      <c r="C4361" s="57"/>
      <c r="D4361" s="57"/>
      <c r="E4361" s="56"/>
      <c r="F4361" s="57"/>
      <c r="G4361" s="57"/>
      <c r="H4361" s="56"/>
      <c r="I4361" s="56"/>
      <c r="J4361" s="58"/>
      <c r="K4361" s="58"/>
      <c r="L4361" s="13" t="str">
        <f t="shared" si="680"/>
        <v/>
      </c>
      <c r="M4361" s="13" t="str">
        <f t="shared" si="681"/>
        <v/>
      </c>
      <c r="Q4361" t="str">
        <f t="shared" si="682"/>
        <v/>
      </c>
      <c r="R4361" t="str">
        <f t="shared" si="683"/>
        <v/>
      </c>
      <c r="S4361" t="str">
        <f t="shared" si="684"/>
        <v/>
      </c>
      <c r="T4361" t="str">
        <f t="shared" si="685"/>
        <v/>
      </c>
      <c r="U4361" t="str">
        <f t="shared" si="686"/>
        <v/>
      </c>
      <c r="V4361" t="str">
        <f t="shared" si="687"/>
        <v/>
      </c>
      <c r="W4361" t="str">
        <f t="shared" si="688"/>
        <v/>
      </c>
      <c r="X4361">
        <f>IF($T4361="",N($X4360),IF(MATCH($T4361,$T$6:$T$10005,0)=ROW()-5,N($X4360)+1,N($X4360)))</f>
        <v>0</v>
      </c>
      <c r="Z4361" t="str">
        <f t="shared" si="689"/>
        <v/>
      </c>
      <c r="AA4361">
        <f>IF($V4361="",N($AA4360),IF(MATCH($V4361,$V$6:$V$10005,0)=ROW()-5,N($AA4360)+1,N($AA4360)))</f>
        <v>0</v>
      </c>
    </row>
    <row r="4362" spans="1:27" ht="21" customHeight="1" x14ac:dyDescent="0.95">
      <c r="A4362" s="56"/>
      <c r="B4362" s="57"/>
      <c r="C4362" s="57"/>
      <c r="D4362" s="57"/>
      <c r="E4362" s="56"/>
      <c r="F4362" s="57"/>
      <c r="G4362" s="57"/>
      <c r="H4362" s="56"/>
      <c r="I4362" s="56"/>
      <c r="J4362" s="58"/>
      <c r="K4362" s="58"/>
      <c r="L4362" s="13" t="str">
        <f t="shared" si="680"/>
        <v/>
      </c>
      <c r="M4362" s="13" t="str">
        <f t="shared" si="681"/>
        <v/>
      </c>
      <c r="Q4362" t="str">
        <f t="shared" si="682"/>
        <v/>
      </c>
      <c r="R4362" t="str">
        <f t="shared" si="683"/>
        <v/>
      </c>
      <c r="S4362" t="str">
        <f t="shared" si="684"/>
        <v/>
      </c>
      <c r="T4362" t="str">
        <f t="shared" si="685"/>
        <v/>
      </c>
      <c r="U4362" t="str">
        <f t="shared" si="686"/>
        <v/>
      </c>
      <c r="V4362" t="str">
        <f t="shared" si="687"/>
        <v/>
      </c>
      <c r="W4362" t="str">
        <f t="shared" si="688"/>
        <v/>
      </c>
      <c r="X4362">
        <f>IF($T4362="",N($X4361),IF(MATCH($T4362,$T$6:$T$10005,0)=ROW()-5,N($X4361)+1,N($X4361)))</f>
        <v>0</v>
      </c>
      <c r="Z4362" t="str">
        <f t="shared" si="689"/>
        <v/>
      </c>
      <c r="AA4362">
        <f>IF($V4362="",N($AA4361),IF(MATCH($V4362,$V$6:$V$10005,0)=ROW()-5,N($AA4361)+1,N($AA4361)))</f>
        <v>0</v>
      </c>
    </row>
    <row r="4363" spans="1:27" ht="21" customHeight="1" x14ac:dyDescent="0.95">
      <c r="A4363" s="56"/>
      <c r="B4363" s="57"/>
      <c r="C4363" s="57"/>
      <c r="D4363" s="57"/>
      <c r="E4363" s="56"/>
      <c r="F4363" s="57"/>
      <c r="G4363" s="57"/>
      <c r="H4363" s="56"/>
      <c r="I4363" s="56"/>
      <c r="J4363" s="58"/>
      <c r="K4363" s="58"/>
      <c r="L4363" s="13" t="str">
        <f t="shared" si="680"/>
        <v/>
      </c>
      <c r="M4363" s="13" t="str">
        <f t="shared" si="681"/>
        <v/>
      </c>
      <c r="Q4363" t="str">
        <f t="shared" si="682"/>
        <v/>
      </c>
      <c r="R4363" t="str">
        <f t="shared" si="683"/>
        <v/>
      </c>
      <c r="S4363" t="str">
        <f t="shared" si="684"/>
        <v/>
      </c>
      <c r="T4363" t="str">
        <f t="shared" si="685"/>
        <v/>
      </c>
      <c r="U4363" t="str">
        <f t="shared" si="686"/>
        <v/>
      </c>
      <c r="V4363" t="str">
        <f t="shared" si="687"/>
        <v/>
      </c>
      <c r="W4363" t="str">
        <f t="shared" si="688"/>
        <v/>
      </c>
      <c r="X4363">
        <f>IF($T4363="",N($X4362),IF(MATCH($T4363,$T$6:$T$10005,0)=ROW()-5,N($X4362)+1,N($X4362)))</f>
        <v>0</v>
      </c>
      <c r="Z4363" t="str">
        <f t="shared" si="689"/>
        <v/>
      </c>
      <c r="AA4363">
        <f>IF($V4363="",N($AA4362),IF(MATCH($V4363,$V$6:$V$10005,0)=ROW()-5,N($AA4362)+1,N($AA4362)))</f>
        <v>0</v>
      </c>
    </row>
    <row r="4364" spans="1:27" ht="21" customHeight="1" x14ac:dyDescent="0.95">
      <c r="A4364" s="56"/>
      <c r="B4364" s="57"/>
      <c r="C4364" s="57"/>
      <c r="D4364" s="57"/>
      <c r="E4364" s="56"/>
      <c r="F4364" s="57"/>
      <c r="G4364" s="57"/>
      <c r="H4364" s="56"/>
      <c r="I4364" s="56"/>
      <c r="J4364" s="58"/>
      <c r="K4364" s="58"/>
      <c r="L4364" s="13" t="str">
        <f t="shared" si="680"/>
        <v/>
      </c>
      <c r="M4364" s="13" t="str">
        <f t="shared" si="681"/>
        <v/>
      </c>
      <c r="Q4364" t="str">
        <f t="shared" si="682"/>
        <v/>
      </c>
      <c r="R4364" t="str">
        <f t="shared" si="683"/>
        <v/>
      </c>
      <c r="S4364" t="str">
        <f t="shared" si="684"/>
        <v/>
      </c>
      <c r="T4364" t="str">
        <f t="shared" si="685"/>
        <v/>
      </c>
      <c r="U4364" t="str">
        <f t="shared" si="686"/>
        <v/>
      </c>
      <c r="V4364" t="str">
        <f t="shared" si="687"/>
        <v/>
      </c>
      <c r="W4364" t="str">
        <f t="shared" si="688"/>
        <v/>
      </c>
      <c r="X4364">
        <f>IF($T4364="",N($X4363),IF(MATCH($T4364,$T$6:$T$10005,0)=ROW()-5,N($X4363)+1,N($X4363)))</f>
        <v>0</v>
      </c>
      <c r="Z4364" t="str">
        <f t="shared" si="689"/>
        <v/>
      </c>
      <c r="AA4364">
        <f>IF($V4364="",N($AA4363),IF(MATCH($V4364,$V$6:$V$10005,0)=ROW()-5,N($AA4363)+1,N($AA4363)))</f>
        <v>0</v>
      </c>
    </row>
    <row r="4365" spans="1:27" ht="21" customHeight="1" x14ac:dyDescent="0.95">
      <c r="A4365" s="56"/>
      <c r="B4365" s="57"/>
      <c r="C4365" s="57"/>
      <c r="D4365" s="57"/>
      <c r="E4365" s="56"/>
      <c r="F4365" s="57"/>
      <c r="G4365" s="57"/>
      <c r="H4365" s="56"/>
      <c r="I4365" s="56"/>
      <c r="J4365" s="58"/>
      <c r="K4365" s="58"/>
      <c r="L4365" s="13" t="str">
        <f t="shared" si="680"/>
        <v/>
      </c>
      <c r="M4365" s="13" t="str">
        <f t="shared" si="681"/>
        <v/>
      </c>
      <c r="Q4365" t="str">
        <f t="shared" si="682"/>
        <v/>
      </c>
      <c r="R4365" t="str">
        <f t="shared" si="683"/>
        <v/>
      </c>
      <c r="S4365" t="str">
        <f t="shared" si="684"/>
        <v/>
      </c>
      <c r="T4365" t="str">
        <f t="shared" si="685"/>
        <v/>
      </c>
      <c r="U4365" t="str">
        <f t="shared" si="686"/>
        <v/>
      </c>
      <c r="V4365" t="str">
        <f t="shared" si="687"/>
        <v/>
      </c>
      <c r="W4365" t="str">
        <f t="shared" si="688"/>
        <v/>
      </c>
      <c r="X4365">
        <f>IF($T4365="",N($X4364),IF(MATCH($T4365,$T$6:$T$10005,0)=ROW()-5,N($X4364)+1,N($X4364)))</f>
        <v>0</v>
      </c>
      <c r="Z4365" t="str">
        <f t="shared" si="689"/>
        <v/>
      </c>
      <c r="AA4365">
        <f>IF($V4365="",N($AA4364),IF(MATCH($V4365,$V$6:$V$10005,0)=ROW()-5,N($AA4364)+1,N($AA4364)))</f>
        <v>0</v>
      </c>
    </row>
    <row r="4366" spans="1:27" ht="21" customHeight="1" x14ac:dyDescent="0.95">
      <c r="A4366" s="56"/>
      <c r="B4366" s="57"/>
      <c r="C4366" s="57"/>
      <c r="D4366" s="57"/>
      <c r="E4366" s="56"/>
      <c r="F4366" s="57"/>
      <c r="G4366" s="57"/>
      <c r="H4366" s="56"/>
      <c r="I4366" s="56"/>
      <c r="J4366" s="58"/>
      <c r="K4366" s="58"/>
      <c r="L4366" s="13" t="str">
        <f t="shared" si="680"/>
        <v/>
      </c>
      <c r="M4366" s="13" t="str">
        <f t="shared" si="681"/>
        <v/>
      </c>
      <c r="Q4366" t="str">
        <f t="shared" si="682"/>
        <v/>
      </c>
      <c r="R4366" t="str">
        <f t="shared" si="683"/>
        <v/>
      </c>
      <c r="S4366" t="str">
        <f t="shared" si="684"/>
        <v/>
      </c>
      <c r="T4366" t="str">
        <f t="shared" si="685"/>
        <v/>
      </c>
      <c r="U4366" t="str">
        <f t="shared" si="686"/>
        <v/>
      </c>
      <c r="V4366" t="str">
        <f t="shared" si="687"/>
        <v/>
      </c>
      <c r="W4366" t="str">
        <f t="shared" si="688"/>
        <v/>
      </c>
      <c r="X4366">
        <f>IF($T4366="",N($X4365),IF(MATCH($T4366,$T$6:$T$10005,0)=ROW()-5,N($X4365)+1,N($X4365)))</f>
        <v>0</v>
      </c>
      <c r="Z4366" t="str">
        <f t="shared" si="689"/>
        <v/>
      </c>
      <c r="AA4366">
        <f>IF($V4366="",N($AA4365),IF(MATCH($V4366,$V$6:$V$10005,0)=ROW()-5,N($AA4365)+1,N($AA4365)))</f>
        <v>0</v>
      </c>
    </row>
    <row r="4367" spans="1:27" ht="21" customHeight="1" x14ac:dyDescent="0.95">
      <c r="A4367" s="56"/>
      <c r="B4367" s="57"/>
      <c r="C4367" s="57"/>
      <c r="D4367" s="57"/>
      <c r="E4367" s="56"/>
      <c r="F4367" s="57"/>
      <c r="G4367" s="57"/>
      <c r="H4367" s="56"/>
      <c r="I4367" s="56"/>
      <c r="J4367" s="58"/>
      <c r="K4367" s="58"/>
      <c r="L4367" s="13" t="str">
        <f t="shared" si="680"/>
        <v/>
      </c>
      <c r="M4367" s="13" t="str">
        <f t="shared" si="681"/>
        <v/>
      </c>
      <c r="Q4367" t="str">
        <f t="shared" si="682"/>
        <v/>
      </c>
      <c r="R4367" t="str">
        <f t="shared" si="683"/>
        <v/>
      </c>
      <c r="S4367" t="str">
        <f t="shared" si="684"/>
        <v/>
      </c>
      <c r="T4367" t="str">
        <f t="shared" si="685"/>
        <v/>
      </c>
      <c r="U4367" t="str">
        <f t="shared" si="686"/>
        <v/>
      </c>
      <c r="V4367" t="str">
        <f t="shared" si="687"/>
        <v/>
      </c>
      <c r="W4367" t="str">
        <f t="shared" si="688"/>
        <v/>
      </c>
      <c r="X4367">
        <f>IF($T4367="",N($X4366),IF(MATCH($T4367,$T$6:$T$10005,0)=ROW()-5,N($X4366)+1,N($X4366)))</f>
        <v>0</v>
      </c>
      <c r="Z4367" t="str">
        <f t="shared" si="689"/>
        <v/>
      </c>
      <c r="AA4367">
        <f>IF($V4367="",N($AA4366),IF(MATCH($V4367,$V$6:$V$10005,0)=ROW()-5,N($AA4366)+1,N($AA4366)))</f>
        <v>0</v>
      </c>
    </row>
    <row r="4368" spans="1:27" ht="21" customHeight="1" x14ac:dyDescent="0.95">
      <c r="A4368" s="56"/>
      <c r="B4368" s="57"/>
      <c r="C4368" s="57"/>
      <c r="D4368" s="57"/>
      <c r="E4368" s="56"/>
      <c r="F4368" s="57"/>
      <c r="G4368" s="57"/>
      <c r="H4368" s="56"/>
      <c r="I4368" s="56"/>
      <c r="J4368" s="58"/>
      <c r="K4368" s="58"/>
      <c r="L4368" s="13" t="str">
        <f t="shared" si="680"/>
        <v/>
      </c>
      <c r="M4368" s="13" t="str">
        <f t="shared" si="681"/>
        <v/>
      </c>
      <c r="Q4368" t="str">
        <f t="shared" si="682"/>
        <v/>
      </c>
      <c r="R4368" t="str">
        <f t="shared" si="683"/>
        <v/>
      </c>
      <c r="S4368" t="str">
        <f t="shared" si="684"/>
        <v/>
      </c>
      <c r="T4368" t="str">
        <f t="shared" si="685"/>
        <v/>
      </c>
      <c r="U4368" t="str">
        <f t="shared" si="686"/>
        <v/>
      </c>
      <c r="V4368" t="str">
        <f t="shared" si="687"/>
        <v/>
      </c>
      <c r="W4368" t="str">
        <f t="shared" si="688"/>
        <v/>
      </c>
      <c r="X4368">
        <f>IF($T4368="",N($X4367),IF(MATCH($T4368,$T$6:$T$10005,0)=ROW()-5,N($X4367)+1,N($X4367)))</f>
        <v>0</v>
      </c>
      <c r="Z4368" t="str">
        <f t="shared" si="689"/>
        <v/>
      </c>
      <c r="AA4368">
        <f>IF($V4368="",N($AA4367),IF(MATCH($V4368,$V$6:$V$10005,0)=ROW()-5,N($AA4367)+1,N($AA4367)))</f>
        <v>0</v>
      </c>
    </row>
    <row r="4369" spans="1:27" ht="21" customHeight="1" x14ac:dyDescent="0.95">
      <c r="A4369" s="56"/>
      <c r="B4369" s="57"/>
      <c r="C4369" s="57"/>
      <c r="D4369" s="57"/>
      <c r="E4369" s="56"/>
      <c r="F4369" s="57"/>
      <c r="G4369" s="57"/>
      <c r="H4369" s="56"/>
      <c r="I4369" s="56"/>
      <c r="J4369" s="58"/>
      <c r="K4369" s="58"/>
      <c r="L4369" s="13" t="str">
        <f t="shared" si="680"/>
        <v/>
      </c>
      <c r="M4369" s="13" t="str">
        <f t="shared" si="681"/>
        <v/>
      </c>
      <c r="Q4369" t="str">
        <f t="shared" si="682"/>
        <v/>
      </c>
      <c r="R4369" t="str">
        <f t="shared" si="683"/>
        <v/>
      </c>
      <c r="S4369" t="str">
        <f t="shared" si="684"/>
        <v/>
      </c>
      <c r="T4369" t="str">
        <f t="shared" si="685"/>
        <v/>
      </c>
      <c r="U4369" t="str">
        <f t="shared" si="686"/>
        <v/>
      </c>
      <c r="V4369" t="str">
        <f t="shared" si="687"/>
        <v/>
      </c>
      <c r="W4369" t="str">
        <f t="shared" si="688"/>
        <v/>
      </c>
      <c r="X4369">
        <f>IF($T4369="",N($X4368),IF(MATCH($T4369,$T$6:$T$10005,0)=ROW()-5,N($X4368)+1,N($X4368)))</f>
        <v>0</v>
      </c>
      <c r="Z4369" t="str">
        <f t="shared" si="689"/>
        <v/>
      </c>
      <c r="AA4369">
        <f>IF($V4369="",N($AA4368),IF(MATCH($V4369,$V$6:$V$10005,0)=ROW()-5,N($AA4368)+1,N($AA4368)))</f>
        <v>0</v>
      </c>
    </row>
    <row r="4370" spans="1:27" ht="21" customHeight="1" x14ac:dyDescent="0.95">
      <c r="A4370" s="56"/>
      <c r="B4370" s="57"/>
      <c r="C4370" s="57"/>
      <c r="D4370" s="57"/>
      <c r="E4370" s="56"/>
      <c r="F4370" s="57"/>
      <c r="G4370" s="57"/>
      <c r="H4370" s="56"/>
      <c r="I4370" s="56"/>
      <c r="J4370" s="58"/>
      <c r="K4370" s="58"/>
      <c r="L4370" s="13" t="str">
        <f t="shared" si="680"/>
        <v/>
      </c>
      <c r="M4370" s="13" t="str">
        <f t="shared" si="681"/>
        <v/>
      </c>
      <c r="Q4370" t="str">
        <f t="shared" si="682"/>
        <v/>
      </c>
      <c r="R4370" t="str">
        <f t="shared" si="683"/>
        <v/>
      </c>
      <c r="S4370" t="str">
        <f t="shared" si="684"/>
        <v/>
      </c>
      <c r="T4370" t="str">
        <f t="shared" si="685"/>
        <v/>
      </c>
      <c r="U4370" t="str">
        <f t="shared" si="686"/>
        <v/>
      </c>
      <c r="V4370" t="str">
        <f t="shared" si="687"/>
        <v/>
      </c>
      <c r="W4370" t="str">
        <f t="shared" si="688"/>
        <v/>
      </c>
      <c r="X4370">
        <f>IF($T4370="",N($X4369),IF(MATCH($T4370,$T$6:$T$10005,0)=ROW()-5,N($X4369)+1,N($X4369)))</f>
        <v>0</v>
      </c>
      <c r="Z4370" t="str">
        <f t="shared" si="689"/>
        <v/>
      </c>
      <c r="AA4370">
        <f>IF($V4370="",N($AA4369),IF(MATCH($V4370,$V$6:$V$10005,0)=ROW()-5,N($AA4369)+1,N($AA4369)))</f>
        <v>0</v>
      </c>
    </row>
    <row r="4371" spans="1:27" ht="21" customHeight="1" x14ac:dyDescent="0.95">
      <c r="A4371" s="56"/>
      <c r="B4371" s="57"/>
      <c r="C4371" s="57"/>
      <c r="D4371" s="57"/>
      <c r="E4371" s="56"/>
      <c r="F4371" s="57"/>
      <c r="G4371" s="57"/>
      <c r="H4371" s="56"/>
      <c r="I4371" s="56"/>
      <c r="J4371" s="58"/>
      <c r="K4371" s="58"/>
      <c r="L4371" s="13" t="str">
        <f t="shared" si="680"/>
        <v/>
      </c>
      <c r="M4371" s="13" t="str">
        <f t="shared" si="681"/>
        <v/>
      </c>
      <c r="Q4371" t="str">
        <f t="shared" si="682"/>
        <v/>
      </c>
      <c r="R4371" t="str">
        <f t="shared" si="683"/>
        <v/>
      </c>
      <c r="S4371" t="str">
        <f t="shared" si="684"/>
        <v/>
      </c>
      <c r="T4371" t="str">
        <f t="shared" si="685"/>
        <v/>
      </c>
      <c r="U4371" t="str">
        <f t="shared" si="686"/>
        <v/>
      </c>
      <c r="V4371" t="str">
        <f t="shared" si="687"/>
        <v/>
      </c>
      <c r="W4371" t="str">
        <f t="shared" si="688"/>
        <v/>
      </c>
      <c r="X4371">
        <f>IF($T4371="",N($X4370),IF(MATCH($T4371,$T$6:$T$10005,0)=ROW()-5,N($X4370)+1,N($X4370)))</f>
        <v>0</v>
      </c>
      <c r="Z4371" t="str">
        <f t="shared" si="689"/>
        <v/>
      </c>
      <c r="AA4371">
        <f>IF($V4371="",N($AA4370),IF(MATCH($V4371,$V$6:$V$10005,0)=ROW()-5,N($AA4370)+1,N($AA4370)))</f>
        <v>0</v>
      </c>
    </row>
    <row r="4372" spans="1:27" ht="21" customHeight="1" x14ac:dyDescent="0.95">
      <c r="A4372" s="56"/>
      <c r="B4372" s="57"/>
      <c r="C4372" s="57"/>
      <c r="D4372" s="57"/>
      <c r="E4372" s="56"/>
      <c r="F4372" s="57"/>
      <c r="G4372" s="57"/>
      <c r="H4372" s="56"/>
      <c r="I4372" s="56"/>
      <c r="J4372" s="58"/>
      <c r="K4372" s="58"/>
      <c r="L4372" s="13" t="str">
        <f t="shared" si="680"/>
        <v/>
      </c>
      <c r="M4372" s="13" t="str">
        <f t="shared" si="681"/>
        <v/>
      </c>
      <c r="Q4372" t="str">
        <f t="shared" si="682"/>
        <v/>
      </c>
      <c r="R4372" t="str">
        <f t="shared" si="683"/>
        <v/>
      </c>
      <c r="S4372" t="str">
        <f t="shared" si="684"/>
        <v/>
      </c>
      <c r="T4372" t="str">
        <f t="shared" si="685"/>
        <v/>
      </c>
      <c r="U4372" t="str">
        <f t="shared" si="686"/>
        <v/>
      </c>
      <c r="V4372" t="str">
        <f t="shared" si="687"/>
        <v/>
      </c>
      <c r="W4372" t="str">
        <f t="shared" si="688"/>
        <v/>
      </c>
      <c r="X4372">
        <f>IF($T4372="",N($X4371),IF(MATCH($T4372,$T$6:$T$10005,0)=ROW()-5,N($X4371)+1,N($X4371)))</f>
        <v>0</v>
      </c>
      <c r="Z4372" t="str">
        <f t="shared" si="689"/>
        <v/>
      </c>
      <c r="AA4372">
        <f>IF($V4372="",N($AA4371),IF(MATCH($V4372,$V$6:$V$10005,0)=ROW()-5,N($AA4371)+1,N($AA4371)))</f>
        <v>0</v>
      </c>
    </row>
    <row r="4373" spans="1:27" ht="21" customHeight="1" x14ac:dyDescent="0.95">
      <c r="A4373" s="56"/>
      <c r="B4373" s="57"/>
      <c r="C4373" s="57"/>
      <c r="D4373" s="57"/>
      <c r="E4373" s="56"/>
      <c r="F4373" s="57"/>
      <c r="G4373" s="57"/>
      <c r="H4373" s="56"/>
      <c r="I4373" s="56"/>
      <c r="J4373" s="58"/>
      <c r="K4373" s="58"/>
      <c r="L4373" s="13" t="str">
        <f t="shared" si="680"/>
        <v/>
      </c>
      <c r="M4373" s="13" t="str">
        <f t="shared" si="681"/>
        <v/>
      </c>
      <c r="Q4373" t="str">
        <f t="shared" si="682"/>
        <v/>
      </c>
      <c r="R4373" t="str">
        <f t="shared" si="683"/>
        <v/>
      </c>
      <c r="S4373" t="str">
        <f t="shared" si="684"/>
        <v/>
      </c>
      <c r="T4373" t="str">
        <f t="shared" si="685"/>
        <v/>
      </c>
      <c r="U4373" t="str">
        <f t="shared" si="686"/>
        <v/>
      </c>
      <c r="V4373" t="str">
        <f t="shared" si="687"/>
        <v/>
      </c>
      <c r="W4373" t="str">
        <f t="shared" si="688"/>
        <v/>
      </c>
      <c r="X4373">
        <f>IF($T4373="",N($X4372),IF(MATCH($T4373,$T$6:$T$10005,0)=ROW()-5,N($X4372)+1,N($X4372)))</f>
        <v>0</v>
      </c>
      <c r="Z4373" t="str">
        <f t="shared" si="689"/>
        <v/>
      </c>
      <c r="AA4373">
        <f>IF($V4373="",N($AA4372),IF(MATCH($V4373,$V$6:$V$10005,0)=ROW()-5,N($AA4372)+1,N($AA4372)))</f>
        <v>0</v>
      </c>
    </row>
    <row r="4374" spans="1:27" ht="21" customHeight="1" x14ac:dyDescent="0.95">
      <c r="A4374" s="56"/>
      <c r="B4374" s="57"/>
      <c r="C4374" s="57"/>
      <c r="D4374" s="57"/>
      <c r="E4374" s="56"/>
      <c r="F4374" s="57"/>
      <c r="G4374" s="57"/>
      <c r="H4374" s="56"/>
      <c r="I4374" s="56"/>
      <c r="J4374" s="58"/>
      <c r="K4374" s="58"/>
      <c r="L4374" s="13" t="str">
        <f t="shared" si="680"/>
        <v/>
      </c>
      <c r="M4374" s="13" t="str">
        <f t="shared" si="681"/>
        <v/>
      </c>
      <c r="Q4374" t="str">
        <f t="shared" si="682"/>
        <v/>
      </c>
      <c r="R4374" t="str">
        <f t="shared" si="683"/>
        <v/>
      </c>
      <c r="S4374" t="str">
        <f t="shared" si="684"/>
        <v/>
      </c>
      <c r="T4374" t="str">
        <f t="shared" si="685"/>
        <v/>
      </c>
      <c r="U4374" t="str">
        <f t="shared" si="686"/>
        <v/>
      </c>
      <c r="V4374" t="str">
        <f t="shared" si="687"/>
        <v/>
      </c>
      <c r="W4374" t="str">
        <f t="shared" si="688"/>
        <v/>
      </c>
      <c r="X4374">
        <f>IF($T4374="",N($X4373),IF(MATCH($T4374,$T$6:$T$10005,0)=ROW()-5,N($X4373)+1,N($X4373)))</f>
        <v>0</v>
      </c>
      <c r="Z4374" t="str">
        <f t="shared" si="689"/>
        <v/>
      </c>
      <c r="AA4374">
        <f>IF($V4374="",N($AA4373),IF(MATCH($V4374,$V$6:$V$10005,0)=ROW()-5,N($AA4373)+1,N($AA4373)))</f>
        <v>0</v>
      </c>
    </row>
    <row r="4375" spans="1:27" ht="21" customHeight="1" x14ac:dyDescent="0.95">
      <c r="A4375" s="56"/>
      <c r="B4375" s="57"/>
      <c r="C4375" s="57"/>
      <c r="D4375" s="57"/>
      <c r="E4375" s="56"/>
      <c r="F4375" s="57"/>
      <c r="G4375" s="57"/>
      <c r="H4375" s="56"/>
      <c r="I4375" s="56"/>
      <c r="J4375" s="58"/>
      <c r="K4375" s="58"/>
      <c r="L4375" s="13" t="str">
        <f t="shared" si="680"/>
        <v/>
      </c>
      <c r="M4375" s="13" t="str">
        <f t="shared" si="681"/>
        <v/>
      </c>
      <c r="Q4375" t="str">
        <f t="shared" si="682"/>
        <v/>
      </c>
      <c r="R4375" t="str">
        <f t="shared" si="683"/>
        <v/>
      </c>
      <c r="S4375" t="str">
        <f t="shared" si="684"/>
        <v/>
      </c>
      <c r="T4375" t="str">
        <f t="shared" si="685"/>
        <v/>
      </c>
      <c r="U4375" t="str">
        <f t="shared" si="686"/>
        <v/>
      </c>
      <c r="V4375" t="str">
        <f t="shared" si="687"/>
        <v/>
      </c>
      <c r="W4375" t="str">
        <f t="shared" si="688"/>
        <v/>
      </c>
      <c r="X4375">
        <f>IF($T4375="",N($X4374),IF(MATCH($T4375,$T$6:$T$10005,0)=ROW()-5,N($X4374)+1,N($X4374)))</f>
        <v>0</v>
      </c>
      <c r="Z4375" t="str">
        <f t="shared" si="689"/>
        <v/>
      </c>
      <c r="AA4375">
        <f>IF($V4375="",N($AA4374),IF(MATCH($V4375,$V$6:$V$10005,0)=ROW()-5,N($AA4374)+1,N($AA4374)))</f>
        <v>0</v>
      </c>
    </row>
    <row r="4376" spans="1:27" ht="21" customHeight="1" x14ac:dyDescent="0.95">
      <c r="A4376" s="56"/>
      <c r="B4376" s="57"/>
      <c r="C4376" s="57"/>
      <c r="D4376" s="57"/>
      <c r="E4376" s="56"/>
      <c r="F4376" s="57"/>
      <c r="G4376" s="57"/>
      <c r="H4376" s="56"/>
      <c r="I4376" s="56"/>
      <c r="J4376" s="58"/>
      <c r="K4376" s="58"/>
      <c r="L4376" s="13" t="str">
        <f t="shared" si="680"/>
        <v/>
      </c>
      <c r="M4376" s="13" t="str">
        <f t="shared" si="681"/>
        <v/>
      </c>
      <c r="Q4376" t="str">
        <f t="shared" si="682"/>
        <v/>
      </c>
      <c r="R4376" t="str">
        <f t="shared" si="683"/>
        <v/>
      </c>
      <c r="S4376" t="str">
        <f t="shared" si="684"/>
        <v/>
      </c>
      <c r="T4376" t="str">
        <f t="shared" si="685"/>
        <v/>
      </c>
      <c r="U4376" t="str">
        <f t="shared" si="686"/>
        <v/>
      </c>
      <c r="V4376" t="str">
        <f t="shared" si="687"/>
        <v/>
      </c>
      <c r="W4376" t="str">
        <f t="shared" si="688"/>
        <v/>
      </c>
      <c r="X4376">
        <f>IF($T4376="",N($X4375),IF(MATCH($T4376,$T$6:$T$10005,0)=ROW()-5,N($X4375)+1,N($X4375)))</f>
        <v>0</v>
      </c>
      <c r="Z4376" t="str">
        <f t="shared" si="689"/>
        <v/>
      </c>
      <c r="AA4376">
        <f>IF($V4376="",N($AA4375),IF(MATCH($V4376,$V$6:$V$10005,0)=ROW()-5,N($AA4375)+1,N($AA4375)))</f>
        <v>0</v>
      </c>
    </row>
    <row r="4377" spans="1:27" ht="21" customHeight="1" x14ac:dyDescent="0.95">
      <c r="A4377" s="56"/>
      <c r="B4377" s="57"/>
      <c r="C4377" s="57"/>
      <c r="D4377" s="57"/>
      <c r="E4377" s="56"/>
      <c r="F4377" s="57"/>
      <c r="G4377" s="57"/>
      <c r="H4377" s="56"/>
      <c r="I4377" s="56"/>
      <c r="J4377" s="58"/>
      <c r="K4377" s="58"/>
      <c r="L4377" s="13" t="str">
        <f t="shared" si="680"/>
        <v/>
      </c>
      <c r="M4377" s="13" t="str">
        <f t="shared" si="681"/>
        <v/>
      </c>
      <c r="Q4377" t="str">
        <f t="shared" si="682"/>
        <v/>
      </c>
      <c r="R4377" t="str">
        <f t="shared" si="683"/>
        <v/>
      </c>
      <c r="S4377" t="str">
        <f t="shared" si="684"/>
        <v/>
      </c>
      <c r="T4377" t="str">
        <f t="shared" si="685"/>
        <v/>
      </c>
      <c r="U4377" t="str">
        <f t="shared" si="686"/>
        <v/>
      </c>
      <c r="V4377" t="str">
        <f t="shared" si="687"/>
        <v/>
      </c>
      <c r="W4377" t="str">
        <f t="shared" si="688"/>
        <v/>
      </c>
      <c r="X4377">
        <f>IF($T4377="",N($X4376),IF(MATCH($T4377,$T$6:$T$10005,0)=ROW()-5,N($X4376)+1,N($X4376)))</f>
        <v>0</v>
      </c>
      <c r="Z4377" t="str">
        <f t="shared" si="689"/>
        <v/>
      </c>
      <c r="AA4377">
        <f>IF($V4377="",N($AA4376),IF(MATCH($V4377,$V$6:$V$10005,0)=ROW()-5,N($AA4376)+1,N($AA4376)))</f>
        <v>0</v>
      </c>
    </row>
    <row r="4378" spans="1:27" ht="21" customHeight="1" x14ac:dyDescent="0.95">
      <c r="A4378" s="56"/>
      <c r="B4378" s="57"/>
      <c r="C4378" s="57"/>
      <c r="D4378" s="57"/>
      <c r="E4378" s="56"/>
      <c r="F4378" s="57"/>
      <c r="G4378" s="57"/>
      <c r="H4378" s="56"/>
      <c r="I4378" s="56"/>
      <c r="J4378" s="58"/>
      <c r="K4378" s="58"/>
      <c r="L4378" s="13" t="str">
        <f t="shared" si="680"/>
        <v/>
      </c>
      <c r="M4378" s="13" t="str">
        <f t="shared" si="681"/>
        <v/>
      </c>
      <c r="Q4378" t="str">
        <f t="shared" si="682"/>
        <v/>
      </c>
      <c r="R4378" t="str">
        <f t="shared" si="683"/>
        <v/>
      </c>
      <c r="S4378" t="str">
        <f t="shared" si="684"/>
        <v/>
      </c>
      <c r="T4378" t="str">
        <f t="shared" si="685"/>
        <v/>
      </c>
      <c r="U4378" t="str">
        <f t="shared" si="686"/>
        <v/>
      </c>
      <c r="V4378" t="str">
        <f t="shared" si="687"/>
        <v/>
      </c>
      <c r="W4378" t="str">
        <f t="shared" si="688"/>
        <v/>
      </c>
      <c r="X4378">
        <f>IF($T4378="",N($X4377),IF(MATCH($T4378,$T$6:$T$10005,0)=ROW()-5,N($X4377)+1,N($X4377)))</f>
        <v>0</v>
      </c>
      <c r="Z4378" t="str">
        <f t="shared" si="689"/>
        <v/>
      </c>
      <c r="AA4378">
        <f>IF($V4378="",N($AA4377),IF(MATCH($V4378,$V$6:$V$10005,0)=ROW()-5,N($AA4377)+1,N($AA4377)))</f>
        <v>0</v>
      </c>
    </row>
    <row r="4379" spans="1:27" ht="21" customHeight="1" x14ac:dyDescent="0.95">
      <c r="A4379" s="56"/>
      <c r="B4379" s="57"/>
      <c r="C4379" s="57"/>
      <c r="D4379" s="57"/>
      <c r="E4379" s="56"/>
      <c r="F4379" s="57"/>
      <c r="G4379" s="57"/>
      <c r="H4379" s="56"/>
      <c r="I4379" s="56"/>
      <c r="J4379" s="58"/>
      <c r="K4379" s="58"/>
      <c r="L4379" s="13" t="str">
        <f t="shared" si="680"/>
        <v/>
      </c>
      <c r="M4379" s="13" t="str">
        <f t="shared" si="681"/>
        <v/>
      </c>
      <c r="Q4379" t="str">
        <f t="shared" si="682"/>
        <v/>
      </c>
      <c r="R4379" t="str">
        <f t="shared" si="683"/>
        <v/>
      </c>
      <c r="S4379" t="str">
        <f t="shared" si="684"/>
        <v/>
      </c>
      <c r="T4379" t="str">
        <f t="shared" si="685"/>
        <v/>
      </c>
      <c r="U4379" t="str">
        <f t="shared" si="686"/>
        <v/>
      </c>
      <c r="V4379" t="str">
        <f t="shared" si="687"/>
        <v/>
      </c>
      <c r="W4379" t="str">
        <f t="shared" si="688"/>
        <v/>
      </c>
      <c r="X4379">
        <f>IF($T4379="",N($X4378),IF(MATCH($T4379,$T$6:$T$10005,0)=ROW()-5,N($X4378)+1,N($X4378)))</f>
        <v>0</v>
      </c>
      <c r="Z4379" t="str">
        <f t="shared" si="689"/>
        <v/>
      </c>
      <c r="AA4379">
        <f>IF($V4379="",N($AA4378),IF(MATCH($V4379,$V$6:$V$10005,0)=ROW()-5,N($AA4378)+1,N($AA4378)))</f>
        <v>0</v>
      </c>
    </row>
    <row r="4380" spans="1:27" ht="21" customHeight="1" x14ac:dyDescent="0.95">
      <c r="A4380" s="56"/>
      <c r="B4380" s="57"/>
      <c r="C4380" s="57"/>
      <c r="D4380" s="57"/>
      <c r="E4380" s="56"/>
      <c r="F4380" s="57"/>
      <c r="G4380" s="57"/>
      <c r="H4380" s="56"/>
      <c r="I4380" s="56"/>
      <c r="J4380" s="58"/>
      <c r="K4380" s="58"/>
      <c r="L4380" s="13" t="str">
        <f t="shared" si="680"/>
        <v/>
      </c>
      <c r="M4380" s="13" t="str">
        <f t="shared" si="681"/>
        <v/>
      </c>
      <c r="Q4380" t="str">
        <f t="shared" si="682"/>
        <v/>
      </c>
      <c r="R4380" t="str">
        <f t="shared" si="683"/>
        <v/>
      </c>
      <c r="S4380" t="str">
        <f t="shared" si="684"/>
        <v/>
      </c>
      <c r="T4380" t="str">
        <f t="shared" si="685"/>
        <v/>
      </c>
      <c r="U4380" t="str">
        <f t="shared" si="686"/>
        <v/>
      </c>
      <c r="V4380" t="str">
        <f t="shared" si="687"/>
        <v/>
      </c>
      <c r="W4380" t="str">
        <f t="shared" si="688"/>
        <v/>
      </c>
      <c r="X4380">
        <f>IF($T4380="",N($X4379),IF(MATCH($T4380,$T$6:$T$10005,0)=ROW()-5,N($X4379)+1,N($X4379)))</f>
        <v>0</v>
      </c>
      <c r="Z4380" t="str">
        <f t="shared" si="689"/>
        <v/>
      </c>
      <c r="AA4380">
        <f>IF($V4380="",N($AA4379),IF(MATCH($V4380,$V$6:$V$10005,0)=ROW()-5,N($AA4379)+1,N($AA4379)))</f>
        <v>0</v>
      </c>
    </row>
    <row r="4381" spans="1:27" ht="21" customHeight="1" x14ac:dyDescent="0.95">
      <c r="A4381" s="56"/>
      <c r="B4381" s="57"/>
      <c r="C4381" s="57"/>
      <c r="D4381" s="57"/>
      <c r="E4381" s="56"/>
      <c r="F4381" s="57"/>
      <c r="G4381" s="57"/>
      <c r="H4381" s="56"/>
      <c r="I4381" s="56"/>
      <c r="J4381" s="58"/>
      <c r="K4381" s="58"/>
      <c r="L4381" s="13" t="str">
        <f t="shared" si="680"/>
        <v/>
      </c>
      <c r="M4381" s="13" t="str">
        <f t="shared" si="681"/>
        <v/>
      </c>
      <c r="Q4381" t="str">
        <f t="shared" si="682"/>
        <v/>
      </c>
      <c r="R4381" t="str">
        <f t="shared" si="683"/>
        <v/>
      </c>
      <c r="S4381" t="str">
        <f t="shared" si="684"/>
        <v/>
      </c>
      <c r="T4381" t="str">
        <f t="shared" si="685"/>
        <v/>
      </c>
      <c r="U4381" t="str">
        <f t="shared" si="686"/>
        <v/>
      </c>
      <c r="V4381" t="str">
        <f t="shared" si="687"/>
        <v/>
      </c>
      <c r="W4381" t="str">
        <f t="shared" si="688"/>
        <v/>
      </c>
      <c r="X4381">
        <f>IF($T4381="",N($X4380),IF(MATCH($T4381,$T$6:$T$10005,0)=ROW()-5,N($X4380)+1,N($X4380)))</f>
        <v>0</v>
      </c>
      <c r="Z4381" t="str">
        <f t="shared" si="689"/>
        <v/>
      </c>
      <c r="AA4381">
        <f>IF($V4381="",N($AA4380),IF(MATCH($V4381,$V$6:$V$10005,0)=ROW()-5,N($AA4380)+1,N($AA4380)))</f>
        <v>0</v>
      </c>
    </row>
    <row r="4382" spans="1:27" ht="21" customHeight="1" x14ac:dyDescent="0.95">
      <c r="A4382" s="56"/>
      <c r="B4382" s="57"/>
      <c r="C4382" s="57"/>
      <c r="D4382" s="57"/>
      <c r="E4382" s="56"/>
      <c r="F4382" s="57"/>
      <c r="G4382" s="57"/>
      <c r="H4382" s="56"/>
      <c r="I4382" s="56"/>
      <c r="J4382" s="58"/>
      <c r="K4382" s="58"/>
      <c r="L4382" s="13" t="str">
        <f t="shared" si="680"/>
        <v/>
      </c>
      <c r="M4382" s="13" t="str">
        <f t="shared" si="681"/>
        <v/>
      </c>
      <c r="Q4382" t="str">
        <f t="shared" si="682"/>
        <v/>
      </c>
      <c r="R4382" t="str">
        <f t="shared" si="683"/>
        <v/>
      </c>
      <c r="S4382" t="str">
        <f t="shared" si="684"/>
        <v/>
      </c>
      <c r="T4382" t="str">
        <f t="shared" si="685"/>
        <v/>
      </c>
      <c r="U4382" t="str">
        <f t="shared" si="686"/>
        <v/>
      </c>
      <c r="V4382" t="str">
        <f t="shared" si="687"/>
        <v/>
      </c>
      <c r="W4382" t="str">
        <f t="shared" si="688"/>
        <v/>
      </c>
      <c r="X4382">
        <f>IF($T4382="",N($X4381),IF(MATCH($T4382,$T$6:$T$10005,0)=ROW()-5,N($X4381)+1,N($X4381)))</f>
        <v>0</v>
      </c>
      <c r="Z4382" t="str">
        <f t="shared" si="689"/>
        <v/>
      </c>
      <c r="AA4382">
        <f>IF($V4382="",N($AA4381),IF(MATCH($V4382,$V$6:$V$10005,0)=ROW()-5,N($AA4381)+1,N($AA4381)))</f>
        <v>0</v>
      </c>
    </row>
    <row r="4383" spans="1:27" ht="21" customHeight="1" x14ac:dyDescent="0.95">
      <c r="A4383" s="56"/>
      <c r="B4383" s="57"/>
      <c r="C4383" s="57"/>
      <c r="D4383" s="57"/>
      <c r="E4383" s="56"/>
      <c r="F4383" s="57"/>
      <c r="G4383" s="57"/>
      <c r="H4383" s="56"/>
      <c r="I4383" s="56"/>
      <c r="J4383" s="58"/>
      <c r="K4383" s="58"/>
      <c r="L4383" s="13" t="str">
        <f t="shared" si="680"/>
        <v/>
      </c>
      <c r="M4383" s="13" t="str">
        <f t="shared" si="681"/>
        <v/>
      </c>
      <c r="Q4383" t="str">
        <f t="shared" si="682"/>
        <v/>
      </c>
      <c r="R4383" t="str">
        <f t="shared" si="683"/>
        <v/>
      </c>
      <c r="S4383" t="str">
        <f t="shared" si="684"/>
        <v/>
      </c>
      <c r="T4383" t="str">
        <f t="shared" si="685"/>
        <v/>
      </c>
      <c r="U4383" t="str">
        <f t="shared" si="686"/>
        <v/>
      </c>
      <c r="V4383" t="str">
        <f t="shared" si="687"/>
        <v/>
      </c>
      <c r="W4383" t="str">
        <f t="shared" si="688"/>
        <v/>
      </c>
      <c r="X4383">
        <f>IF($T4383="",N($X4382),IF(MATCH($T4383,$T$6:$T$10005,0)=ROW()-5,N($X4382)+1,N($X4382)))</f>
        <v>0</v>
      </c>
      <c r="Z4383" t="str">
        <f t="shared" si="689"/>
        <v/>
      </c>
      <c r="AA4383">
        <f>IF($V4383="",N($AA4382),IF(MATCH($V4383,$V$6:$V$10005,0)=ROW()-5,N($AA4382)+1,N($AA4382)))</f>
        <v>0</v>
      </c>
    </row>
    <row r="4384" spans="1:27" ht="21" customHeight="1" x14ac:dyDescent="0.95">
      <c r="A4384" s="56"/>
      <c r="B4384" s="57"/>
      <c r="C4384" s="57"/>
      <c r="D4384" s="57"/>
      <c r="E4384" s="56"/>
      <c r="F4384" s="57"/>
      <c r="G4384" s="57"/>
      <c r="H4384" s="56"/>
      <c r="I4384" s="56"/>
      <c r="J4384" s="58"/>
      <c r="K4384" s="58"/>
      <c r="L4384" s="13" t="str">
        <f t="shared" si="680"/>
        <v/>
      </c>
      <c r="M4384" s="13" t="str">
        <f t="shared" si="681"/>
        <v/>
      </c>
      <c r="Q4384" t="str">
        <f t="shared" si="682"/>
        <v/>
      </c>
      <c r="R4384" t="str">
        <f t="shared" si="683"/>
        <v/>
      </c>
      <c r="S4384" t="str">
        <f t="shared" si="684"/>
        <v/>
      </c>
      <c r="T4384" t="str">
        <f t="shared" si="685"/>
        <v/>
      </c>
      <c r="U4384" t="str">
        <f t="shared" si="686"/>
        <v/>
      </c>
      <c r="V4384" t="str">
        <f t="shared" si="687"/>
        <v/>
      </c>
      <c r="W4384" t="str">
        <f t="shared" si="688"/>
        <v/>
      </c>
      <c r="X4384">
        <f>IF($T4384="",N($X4383),IF(MATCH($T4384,$T$6:$T$10005,0)=ROW()-5,N($X4383)+1,N($X4383)))</f>
        <v>0</v>
      </c>
      <c r="Z4384" t="str">
        <f t="shared" si="689"/>
        <v/>
      </c>
      <c r="AA4384">
        <f>IF($V4384="",N($AA4383),IF(MATCH($V4384,$V$6:$V$10005,0)=ROW()-5,N($AA4383)+1,N($AA4383)))</f>
        <v>0</v>
      </c>
    </row>
    <row r="4385" spans="1:27" ht="21" customHeight="1" x14ac:dyDescent="0.95">
      <c r="A4385" s="56"/>
      <c r="B4385" s="57"/>
      <c r="C4385" s="57"/>
      <c r="D4385" s="57"/>
      <c r="E4385" s="56"/>
      <c r="F4385" s="57"/>
      <c r="G4385" s="57"/>
      <c r="H4385" s="56"/>
      <c r="I4385" s="56"/>
      <c r="J4385" s="58"/>
      <c r="K4385" s="58"/>
      <c r="L4385" s="13" t="str">
        <f t="shared" si="680"/>
        <v/>
      </c>
      <c r="M4385" s="13" t="str">
        <f t="shared" si="681"/>
        <v/>
      </c>
      <c r="Q4385" t="str">
        <f t="shared" si="682"/>
        <v/>
      </c>
      <c r="R4385" t="str">
        <f t="shared" si="683"/>
        <v/>
      </c>
      <c r="S4385" t="str">
        <f t="shared" si="684"/>
        <v/>
      </c>
      <c r="T4385" t="str">
        <f t="shared" si="685"/>
        <v/>
      </c>
      <c r="U4385" t="str">
        <f t="shared" si="686"/>
        <v/>
      </c>
      <c r="V4385" t="str">
        <f t="shared" si="687"/>
        <v/>
      </c>
      <c r="W4385" t="str">
        <f t="shared" si="688"/>
        <v/>
      </c>
      <c r="X4385">
        <f>IF($T4385="",N($X4384),IF(MATCH($T4385,$T$6:$T$10005,0)=ROW()-5,N($X4384)+1,N($X4384)))</f>
        <v>0</v>
      </c>
      <c r="Z4385" t="str">
        <f t="shared" si="689"/>
        <v/>
      </c>
      <c r="AA4385">
        <f>IF($V4385="",N($AA4384),IF(MATCH($V4385,$V$6:$V$10005,0)=ROW()-5,N($AA4384)+1,N($AA4384)))</f>
        <v>0</v>
      </c>
    </row>
    <row r="4386" spans="1:27" ht="21" customHeight="1" x14ac:dyDescent="0.95">
      <c r="A4386" s="56"/>
      <c r="B4386" s="57"/>
      <c r="C4386" s="57"/>
      <c r="D4386" s="57"/>
      <c r="E4386" s="56"/>
      <c r="F4386" s="57"/>
      <c r="G4386" s="57"/>
      <c r="H4386" s="56"/>
      <c r="I4386" s="56"/>
      <c r="J4386" s="58"/>
      <c r="K4386" s="58"/>
      <c r="L4386" s="13" t="str">
        <f t="shared" si="680"/>
        <v/>
      </c>
      <c r="M4386" s="13" t="str">
        <f t="shared" si="681"/>
        <v/>
      </c>
      <c r="Q4386" t="str">
        <f t="shared" si="682"/>
        <v/>
      </c>
      <c r="R4386" t="str">
        <f t="shared" si="683"/>
        <v/>
      </c>
      <c r="S4386" t="str">
        <f t="shared" si="684"/>
        <v/>
      </c>
      <c r="T4386" t="str">
        <f t="shared" si="685"/>
        <v/>
      </c>
      <c r="U4386" t="str">
        <f t="shared" si="686"/>
        <v/>
      </c>
      <c r="V4386" t="str">
        <f t="shared" si="687"/>
        <v/>
      </c>
      <c r="W4386" t="str">
        <f t="shared" si="688"/>
        <v/>
      </c>
      <c r="X4386">
        <f>IF($T4386="",N($X4385),IF(MATCH($T4386,$T$6:$T$10005,0)=ROW()-5,N($X4385)+1,N($X4385)))</f>
        <v>0</v>
      </c>
      <c r="Z4386" t="str">
        <f t="shared" si="689"/>
        <v/>
      </c>
      <c r="AA4386">
        <f>IF($V4386="",N($AA4385),IF(MATCH($V4386,$V$6:$V$10005,0)=ROW()-5,N($AA4385)+1,N($AA4385)))</f>
        <v>0</v>
      </c>
    </row>
    <row r="4387" spans="1:27" ht="21" customHeight="1" x14ac:dyDescent="0.95">
      <c r="A4387" s="56"/>
      <c r="B4387" s="57"/>
      <c r="C4387" s="57"/>
      <c r="D4387" s="57"/>
      <c r="E4387" s="56"/>
      <c r="F4387" s="57"/>
      <c r="G4387" s="57"/>
      <c r="H4387" s="56"/>
      <c r="I4387" s="56"/>
      <c r="J4387" s="58"/>
      <c r="K4387" s="58"/>
      <c r="L4387" s="13" t="str">
        <f t="shared" si="680"/>
        <v/>
      </c>
      <c r="M4387" s="13" t="str">
        <f t="shared" si="681"/>
        <v/>
      </c>
      <c r="Q4387" t="str">
        <f t="shared" si="682"/>
        <v/>
      </c>
      <c r="R4387" t="str">
        <f t="shared" si="683"/>
        <v/>
      </c>
      <c r="S4387" t="str">
        <f t="shared" si="684"/>
        <v/>
      </c>
      <c r="T4387" t="str">
        <f t="shared" si="685"/>
        <v/>
      </c>
      <c r="U4387" t="str">
        <f t="shared" si="686"/>
        <v/>
      </c>
      <c r="V4387" t="str">
        <f t="shared" si="687"/>
        <v/>
      </c>
      <c r="W4387" t="str">
        <f t="shared" si="688"/>
        <v/>
      </c>
      <c r="X4387">
        <f>IF($T4387="",N($X4386),IF(MATCH($T4387,$T$6:$T$10005,0)=ROW()-5,N($X4386)+1,N($X4386)))</f>
        <v>0</v>
      </c>
      <c r="Z4387" t="str">
        <f t="shared" si="689"/>
        <v/>
      </c>
      <c r="AA4387">
        <f>IF($V4387="",N($AA4386),IF(MATCH($V4387,$V$6:$V$10005,0)=ROW()-5,N($AA4386)+1,N($AA4386)))</f>
        <v>0</v>
      </c>
    </row>
    <row r="4388" spans="1:27" ht="21" customHeight="1" x14ac:dyDescent="0.95">
      <c r="A4388" s="56"/>
      <c r="B4388" s="57"/>
      <c r="C4388" s="57"/>
      <c r="D4388" s="57"/>
      <c r="E4388" s="56"/>
      <c r="F4388" s="57"/>
      <c r="G4388" s="57"/>
      <c r="H4388" s="56"/>
      <c r="I4388" s="56"/>
      <c r="J4388" s="58"/>
      <c r="K4388" s="58"/>
      <c r="L4388" s="13" t="str">
        <f t="shared" si="680"/>
        <v/>
      </c>
      <c r="M4388" s="13" t="str">
        <f t="shared" si="681"/>
        <v/>
      </c>
      <c r="Q4388" t="str">
        <f t="shared" si="682"/>
        <v/>
      </c>
      <c r="R4388" t="str">
        <f t="shared" si="683"/>
        <v/>
      </c>
      <c r="S4388" t="str">
        <f t="shared" si="684"/>
        <v/>
      </c>
      <c r="T4388" t="str">
        <f t="shared" si="685"/>
        <v/>
      </c>
      <c r="U4388" t="str">
        <f t="shared" si="686"/>
        <v/>
      </c>
      <c r="V4388" t="str">
        <f t="shared" si="687"/>
        <v/>
      </c>
      <c r="W4388" t="str">
        <f t="shared" si="688"/>
        <v/>
      </c>
      <c r="X4388">
        <f>IF($T4388="",N($X4387),IF(MATCH($T4388,$T$6:$T$10005,0)=ROW()-5,N($X4387)+1,N($X4387)))</f>
        <v>0</v>
      </c>
      <c r="Z4388" t="str">
        <f t="shared" si="689"/>
        <v/>
      </c>
      <c r="AA4388">
        <f>IF($V4388="",N($AA4387),IF(MATCH($V4388,$V$6:$V$10005,0)=ROW()-5,N($AA4387)+1,N($AA4387)))</f>
        <v>0</v>
      </c>
    </row>
    <row r="4389" spans="1:27" ht="21" customHeight="1" x14ac:dyDescent="0.95">
      <c r="A4389" s="56"/>
      <c r="B4389" s="57"/>
      <c r="C4389" s="57"/>
      <c r="D4389" s="57"/>
      <c r="E4389" s="56"/>
      <c r="F4389" s="57"/>
      <c r="G4389" s="57"/>
      <c r="H4389" s="56"/>
      <c r="I4389" s="56"/>
      <c r="J4389" s="58"/>
      <c r="K4389" s="58"/>
      <c r="L4389" s="13" t="str">
        <f t="shared" si="680"/>
        <v/>
      </c>
      <c r="M4389" s="13" t="str">
        <f t="shared" si="681"/>
        <v/>
      </c>
      <c r="Q4389" t="str">
        <f t="shared" si="682"/>
        <v/>
      </c>
      <c r="R4389" t="str">
        <f t="shared" si="683"/>
        <v/>
      </c>
      <c r="S4389" t="str">
        <f t="shared" si="684"/>
        <v/>
      </c>
      <c r="T4389" t="str">
        <f t="shared" si="685"/>
        <v/>
      </c>
      <c r="U4389" t="str">
        <f t="shared" si="686"/>
        <v/>
      </c>
      <c r="V4389" t="str">
        <f t="shared" si="687"/>
        <v/>
      </c>
      <c r="W4389" t="str">
        <f t="shared" si="688"/>
        <v/>
      </c>
      <c r="X4389">
        <f>IF($T4389="",N($X4388),IF(MATCH($T4389,$T$6:$T$10005,0)=ROW()-5,N($X4388)+1,N($X4388)))</f>
        <v>0</v>
      </c>
      <c r="Z4389" t="str">
        <f t="shared" si="689"/>
        <v/>
      </c>
      <c r="AA4389">
        <f>IF($V4389="",N($AA4388),IF(MATCH($V4389,$V$6:$V$10005,0)=ROW()-5,N($AA4388)+1,N($AA4388)))</f>
        <v>0</v>
      </c>
    </row>
    <row r="4390" spans="1:27" ht="21" customHeight="1" x14ac:dyDescent="0.95">
      <c r="A4390" s="56"/>
      <c r="B4390" s="57"/>
      <c r="C4390" s="57"/>
      <c r="D4390" s="57"/>
      <c r="E4390" s="56"/>
      <c r="F4390" s="57"/>
      <c r="G4390" s="57"/>
      <c r="H4390" s="56"/>
      <c r="I4390" s="56"/>
      <c r="J4390" s="58"/>
      <c r="K4390" s="58"/>
      <c r="L4390" s="13" t="str">
        <f t="shared" si="680"/>
        <v/>
      </c>
      <c r="M4390" s="13" t="str">
        <f t="shared" si="681"/>
        <v/>
      </c>
      <c r="Q4390" t="str">
        <f t="shared" si="682"/>
        <v/>
      </c>
      <c r="R4390" t="str">
        <f t="shared" si="683"/>
        <v/>
      </c>
      <c r="S4390" t="str">
        <f t="shared" si="684"/>
        <v/>
      </c>
      <c r="T4390" t="str">
        <f t="shared" si="685"/>
        <v/>
      </c>
      <c r="U4390" t="str">
        <f t="shared" si="686"/>
        <v/>
      </c>
      <c r="V4390" t="str">
        <f t="shared" si="687"/>
        <v/>
      </c>
      <c r="W4390" t="str">
        <f t="shared" si="688"/>
        <v/>
      </c>
      <c r="X4390">
        <f>IF($T4390="",N($X4389),IF(MATCH($T4390,$T$6:$T$10005,0)=ROW()-5,N($X4389)+1,N($X4389)))</f>
        <v>0</v>
      </c>
      <c r="Z4390" t="str">
        <f t="shared" si="689"/>
        <v/>
      </c>
      <c r="AA4390">
        <f>IF($V4390="",N($AA4389),IF(MATCH($V4390,$V$6:$V$10005,0)=ROW()-5,N($AA4389)+1,N($AA4389)))</f>
        <v>0</v>
      </c>
    </row>
    <row r="4391" spans="1:27" ht="21" customHeight="1" x14ac:dyDescent="0.95">
      <c r="A4391" s="56"/>
      <c r="B4391" s="57"/>
      <c r="C4391" s="57"/>
      <c r="D4391" s="57"/>
      <c r="E4391" s="56"/>
      <c r="F4391" s="57"/>
      <c r="G4391" s="57"/>
      <c r="H4391" s="56"/>
      <c r="I4391" s="56"/>
      <c r="J4391" s="58"/>
      <c r="K4391" s="58"/>
      <c r="L4391" s="13" t="str">
        <f t="shared" si="680"/>
        <v/>
      </c>
      <c r="M4391" s="13" t="str">
        <f t="shared" si="681"/>
        <v/>
      </c>
      <c r="Q4391" t="str">
        <f t="shared" si="682"/>
        <v/>
      </c>
      <c r="R4391" t="str">
        <f t="shared" si="683"/>
        <v/>
      </c>
      <c r="S4391" t="str">
        <f t="shared" si="684"/>
        <v/>
      </c>
      <c r="T4391" t="str">
        <f t="shared" si="685"/>
        <v/>
      </c>
      <c r="U4391" t="str">
        <f t="shared" si="686"/>
        <v/>
      </c>
      <c r="V4391" t="str">
        <f t="shared" si="687"/>
        <v/>
      </c>
      <c r="W4391" t="str">
        <f t="shared" si="688"/>
        <v/>
      </c>
      <c r="X4391">
        <f>IF($T4391="",N($X4390),IF(MATCH($T4391,$T$6:$T$10005,0)=ROW()-5,N($X4390)+1,N($X4390)))</f>
        <v>0</v>
      </c>
      <c r="Z4391" t="str">
        <f t="shared" si="689"/>
        <v/>
      </c>
      <c r="AA4391">
        <f>IF($V4391="",N($AA4390),IF(MATCH($V4391,$V$6:$V$10005,0)=ROW()-5,N($AA4390)+1,N($AA4390)))</f>
        <v>0</v>
      </c>
    </row>
    <row r="4392" spans="1:27" ht="21" customHeight="1" x14ac:dyDescent="0.95">
      <c r="A4392" s="56"/>
      <c r="B4392" s="57"/>
      <c r="C4392" s="57"/>
      <c r="D4392" s="57"/>
      <c r="E4392" s="56"/>
      <c r="F4392" s="57"/>
      <c r="G4392" s="57"/>
      <c r="H4392" s="56"/>
      <c r="I4392" s="56"/>
      <c r="J4392" s="58"/>
      <c r="K4392" s="58"/>
      <c r="L4392" s="13" t="str">
        <f t="shared" si="680"/>
        <v/>
      </c>
      <c r="M4392" s="13" t="str">
        <f t="shared" si="681"/>
        <v/>
      </c>
      <c r="Q4392" t="str">
        <f t="shared" si="682"/>
        <v/>
      </c>
      <c r="R4392" t="str">
        <f t="shared" si="683"/>
        <v/>
      </c>
      <c r="S4392" t="str">
        <f t="shared" si="684"/>
        <v/>
      </c>
      <c r="T4392" t="str">
        <f t="shared" si="685"/>
        <v/>
      </c>
      <c r="U4392" t="str">
        <f t="shared" si="686"/>
        <v/>
      </c>
      <c r="V4392" t="str">
        <f t="shared" si="687"/>
        <v/>
      </c>
      <c r="W4392" t="str">
        <f t="shared" si="688"/>
        <v/>
      </c>
      <c r="X4392">
        <f>IF($T4392="",N($X4391),IF(MATCH($T4392,$T$6:$T$10005,0)=ROW()-5,N($X4391)+1,N($X4391)))</f>
        <v>0</v>
      </c>
      <c r="Z4392" t="str">
        <f t="shared" si="689"/>
        <v/>
      </c>
      <c r="AA4392">
        <f>IF($V4392="",N($AA4391),IF(MATCH($V4392,$V$6:$V$10005,0)=ROW()-5,N($AA4391)+1,N($AA4391)))</f>
        <v>0</v>
      </c>
    </row>
    <row r="4393" spans="1:27" ht="21" customHeight="1" x14ac:dyDescent="0.95">
      <c r="A4393" s="56"/>
      <c r="B4393" s="57"/>
      <c r="C4393" s="57"/>
      <c r="D4393" s="57"/>
      <c r="E4393" s="56"/>
      <c r="F4393" s="57"/>
      <c r="G4393" s="57"/>
      <c r="H4393" s="56"/>
      <c r="I4393" s="56"/>
      <c r="J4393" s="58"/>
      <c r="K4393" s="58"/>
      <c r="L4393" s="13" t="str">
        <f t="shared" si="680"/>
        <v/>
      </c>
      <c r="M4393" s="13" t="str">
        <f t="shared" si="681"/>
        <v/>
      </c>
      <c r="Q4393" t="str">
        <f t="shared" si="682"/>
        <v/>
      </c>
      <c r="R4393" t="str">
        <f t="shared" si="683"/>
        <v/>
      </c>
      <c r="S4393" t="str">
        <f t="shared" si="684"/>
        <v/>
      </c>
      <c r="T4393" t="str">
        <f t="shared" si="685"/>
        <v/>
      </c>
      <c r="U4393" t="str">
        <f t="shared" si="686"/>
        <v/>
      </c>
      <c r="V4393" t="str">
        <f t="shared" si="687"/>
        <v/>
      </c>
      <c r="W4393" t="str">
        <f t="shared" si="688"/>
        <v/>
      </c>
      <c r="X4393">
        <f>IF($T4393="",N($X4392),IF(MATCH($T4393,$T$6:$T$10005,0)=ROW()-5,N($X4392)+1,N($X4392)))</f>
        <v>0</v>
      </c>
      <c r="Z4393" t="str">
        <f t="shared" si="689"/>
        <v/>
      </c>
      <c r="AA4393">
        <f>IF($V4393="",N($AA4392),IF(MATCH($V4393,$V$6:$V$10005,0)=ROW()-5,N($AA4392)+1,N($AA4392)))</f>
        <v>0</v>
      </c>
    </row>
    <row r="4394" spans="1:27" ht="21" customHeight="1" x14ac:dyDescent="0.95">
      <c r="A4394" s="56"/>
      <c r="B4394" s="57"/>
      <c r="C4394" s="57"/>
      <c r="D4394" s="57"/>
      <c r="E4394" s="56"/>
      <c r="F4394" s="57"/>
      <c r="G4394" s="57"/>
      <c r="H4394" s="56"/>
      <c r="I4394" s="56"/>
      <c r="J4394" s="58"/>
      <c r="K4394" s="58"/>
      <c r="L4394" s="13" t="str">
        <f t="shared" si="680"/>
        <v/>
      </c>
      <c r="M4394" s="13" t="str">
        <f t="shared" si="681"/>
        <v/>
      </c>
      <c r="Q4394" t="str">
        <f t="shared" si="682"/>
        <v/>
      </c>
      <c r="R4394" t="str">
        <f t="shared" si="683"/>
        <v/>
      </c>
      <c r="S4394" t="str">
        <f t="shared" si="684"/>
        <v/>
      </c>
      <c r="T4394" t="str">
        <f t="shared" si="685"/>
        <v/>
      </c>
      <c r="U4394" t="str">
        <f t="shared" si="686"/>
        <v/>
      </c>
      <c r="V4394" t="str">
        <f t="shared" si="687"/>
        <v/>
      </c>
      <c r="W4394" t="str">
        <f t="shared" si="688"/>
        <v/>
      </c>
      <c r="X4394">
        <f>IF($T4394="",N($X4393),IF(MATCH($T4394,$T$6:$T$10005,0)=ROW()-5,N($X4393)+1,N($X4393)))</f>
        <v>0</v>
      </c>
      <c r="Z4394" t="str">
        <f t="shared" si="689"/>
        <v/>
      </c>
      <c r="AA4394">
        <f>IF($V4394="",N($AA4393),IF(MATCH($V4394,$V$6:$V$10005,0)=ROW()-5,N($AA4393)+1,N($AA4393)))</f>
        <v>0</v>
      </c>
    </row>
    <row r="4395" spans="1:27" ht="21" customHeight="1" x14ac:dyDescent="0.95">
      <c r="A4395" s="56"/>
      <c r="B4395" s="57"/>
      <c r="C4395" s="57"/>
      <c r="D4395" s="57"/>
      <c r="E4395" s="56"/>
      <c r="F4395" s="57"/>
      <c r="G4395" s="57"/>
      <c r="H4395" s="56"/>
      <c r="I4395" s="56"/>
      <c r="J4395" s="58"/>
      <c r="K4395" s="58"/>
      <c r="L4395" s="13" t="str">
        <f t="shared" si="680"/>
        <v/>
      </c>
      <c r="M4395" s="13" t="str">
        <f t="shared" si="681"/>
        <v/>
      </c>
      <c r="Q4395" t="str">
        <f t="shared" si="682"/>
        <v/>
      </c>
      <c r="R4395" t="str">
        <f t="shared" si="683"/>
        <v/>
      </c>
      <c r="S4395" t="str">
        <f t="shared" si="684"/>
        <v/>
      </c>
      <c r="T4395" t="str">
        <f t="shared" si="685"/>
        <v/>
      </c>
      <c r="U4395" t="str">
        <f t="shared" si="686"/>
        <v/>
      </c>
      <c r="V4395" t="str">
        <f t="shared" si="687"/>
        <v/>
      </c>
      <c r="W4395" t="str">
        <f t="shared" si="688"/>
        <v/>
      </c>
      <c r="X4395">
        <f>IF($T4395="",N($X4394),IF(MATCH($T4395,$T$6:$T$10005,0)=ROW()-5,N($X4394)+1,N($X4394)))</f>
        <v>0</v>
      </c>
      <c r="Z4395" t="str">
        <f t="shared" si="689"/>
        <v/>
      </c>
      <c r="AA4395">
        <f>IF($V4395="",N($AA4394),IF(MATCH($V4395,$V$6:$V$10005,0)=ROW()-5,N($AA4394)+1,N($AA4394)))</f>
        <v>0</v>
      </c>
    </row>
    <row r="4396" spans="1:27" ht="21" customHeight="1" x14ac:dyDescent="0.95">
      <c r="A4396" s="56"/>
      <c r="B4396" s="57"/>
      <c r="C4396" s="57"/>
      <c r="D4396" s="57"/>
      <c r="E4396" s="56"/>
      <c r="F4396" s="57"/>
      <c r="G4396" s="57"/>
      <c r="H4396" s="56"/>
      <c r="I4396" s="56"/>
      <c r="J4396" s="58"/>
      <c r="K4396" s="58"/>
      <c r="L4396" s="13" t="str">
        <f t="shared" si="680"/>
        <v/>
      </c>
      <c r="M4396" s="13" t="str">
        <f t="shared" si="681"/>
        <v/>
      </c>
      <c r="Q4396" t="str">
        <f t="shared" si="682"/>
        <v/>
      </c>
      <c r="R4396" t="str">
        <f t="shared" si="683"/>
        <v/>
      </c>
      <c r="S4396" t="str">
        <f t="shared" si="684"/>
        <v/>
      </c>
      <c r="T4396" t="str">
        <f t="shared" si="685"/>
        <v/>
      </c>
      <c r="U4396" t="str">
        <f t="shared" si="686"/>
        <v/>
      </c>
      <c r="V4396" t="str">
        <f t="shared" si="687"/>
        <v/>
      </c>
      <c r="W4396" t="str">
        <f t="shared" si="688"/>
        <v/>
      </c>
      <c r="X4396">
        <f>IF($T4396="",N($X4395),IF(MATCH($T4396,$T$6:$T$10005,0)=ROW()-5,N($X4395)+1,N($X4395)))</f>
        <v>0</v>
      </c>
      <c r="Z4396" t="str">
        <f t="shared" si="689"/>
        <v/>
      </c>
      <c r="AA4396">
        <f>IF($V4396="",N($AA4395),IF(MATCH($V4396,$V$6:$V$10005,0)=ROW()-5,N($AA4395)+1,N($AA4395)))</f>
        <v>0</v>
      </c>
    </row>
    <row r="4397" spans="1:27" ht="21" customHeight="1" x14ac:dyDescent="0.95">
      <c r="A4397" s="56"/>
      <c r="B4397" s="57"/>
      <c r="C4397" s="57"/>
      <c r="D4397" s="57"/>
      <c r="E4397" s="56"/>
      <c r="F4397" s="57"/>
      <c r="G4397" s="57"/>
      <c r="H4397" s="56"/>
      <c r="I4397" s="56"/>
      <c r="J4397" s="58"/>
      <c r="K4397" s="58"/>
      <c r="L4397" s="13" t="str">
        <f t="shared" si="680"/>
        <v/>
      </c>
      <c r="M4397" s="13" t="str">
        <f t="shared" si="681"/>
        <v/>
      </c>
      <c r="Q4397" t="str">
        <f t="shared" si="682"/>
        <v/>
      </c>
      <c r="R4397" t="str">
        <f t="shared" si="683"/>
        <v/>
      </c>
      <c r="S4397" t="str">
        <f t="shared" si="684"/>
        <v/>
      </c>
      <c r="T4397" t="str">
        <f t="shared" si="685"/>
        <v/>
      </c>
      <c r="U4397" t="str">
        <f t="shared" si="686"/>
        <v/>
      </c>
      <c r="V4397" t="str">
        <f t="shared" si="687"/>
        <v/>
      </c>
      <c r="W4397" t="str">
        <f t="shared" si="688"/>
        <v/>
      </c>
      <c r="X4397">
        <f>IF($T4397="",N($X4396),IF(MATCH($T4397,$T$6:$T$10005,0)=ROW()-5,N($X4396)+1,N($X4396)))</f>
        <v>0</v>
      </c>
      <c r="Z4397" t="str">
        <f t="shared" si="689"/>
        <v/>
      </c>
      <c r="AA4397">
        <f>IF($V4397="",N($AA4396),IF(MATCH($V4397,$V$6:$V$10005,0)=ROW()-5,N($AA4396)+1,N($AA4396)))</f>
        <v>0</v>
      </c>
    </row>
    <row r="4398" spans="1:27" ht="21" customHeight="1" x14ac:dyDescent="0.95">
      <c r="A4398" s="56"/>
      <c r="B4398" s="57"/>
      <c r="C4398" s="57"/>
      <c r="D4398" s="57"/>
      <c r="E4398" s="56"/>
      <c r="F4398" s="57"/>
      <c r="G4398" s="57"/>
      <c r="H4398" s="56"/>
      <c r="I4398" s="56"/>
      <c r="J4398" s="58"/>
      <c r="K4398" s="58"/>
      <c r="L4398" s="13" t="str">
        <f t="shared" si="680"/>
        <v/>
      </c>
      <c r="M4398" s="13" t="str">
        <f t="shared" si="681"/>
        <v/>
      </c>
      <c r="Q4398" t="str">
        <f t="shared" si="682"/>
        <v/>
      </c>
      <c r="R4398" t="str">
        <f t="shared" si="683"/>
        <v/>
      </c>
      <c r="S4398" t="str">
        <f t="shared" si="684"/>
        <v/>
      </c>
      <c r="T4398" t="str">
        <f t="shared" si="685"/>
        <v/>
      </c>
      <c r="U4398" t="str">
        <f t="shared" si="686"/>
        <v/>
      </c>
      <c r="V4398" t="str">
        <f t="shared" si="687"/>
        <v/>
      </c>
      <c r="W4398" t="str">
        <f t="shared" si="688"/>
        <v/>
      </c>
      <c r="X4398">
        <f>IF($T4398="",N($X4397),IF(MATCH($T4398,$T$6:$T$10005,0)=ROW()-5,N($X4397)+1,N($X4397)))</f>
        <v>0</v>
      </c>
      <c r="Z4398" t="str">
        <f t="shared" si="689"/>
        <v/>
      </c>
      <c r="AA4398">
        <f>IF($V4398="",N($AA4397),IF(MATCH($V4398,$V$6:$V$10005,0)=ROW()-5,N($AA4397)+1,N($AA4397)))</f>
        <v>0</v>
      </c>
    </row>
    <row r="4399" spans="1:27" ht="21" customHeight="1" x14ac:dyDescent="0.95">
      <c r="A4399" s="56"/>
      <c r="B4399" s="57"/>
      <c r="C4399" s="57"/>
      <c r="D4399" s="57"/>
      <c r="E4399" s="56"/>
      <c r="F4399" s="57"/>
      <c r="G4399" s="57"/>
      <c r="H4399" s="56"/>
      <c r="I4399" s="56"/>
      <c r="J4399" s="58"/>
      <c r="K4399" s="58"/>
      <c r="L4399" s="13" t="str">
        <f t="shared" si="680"/>
        <v/>
      </c>
      <c r="M4399" s="13" t="str">
        <f t="shared" si="681"/>
        <v/>
      </c>
      <c r="Q4399" t="str">
        <f t="shared" si="682"/>
        <v/>
      </c>
      <c r="R4399" t="str">
        <f t="shared" si="683"/>
        <v/>
      </c>
      <c r="S4399" t="str">
        <f t="shared" si="684"/>
        <v/>
      </c>
      <c r="T4399" t="str">
        <f t="shared" si="685"/>
        <v/>
      </c>
      <c r="U4399" t="str">
        <f t="shared" si="686"/>
        <v/>
      </c>
      <c r="V4399" t="str">
        <f t="shared" si="687"/>
        <v/>
      </c>
      <c r="W4399" t="str">
        <f t="shared" si="688"/>
        <v/>
      </c>
      <c r="X4399">
        <f>IF($T4399="",N($X4398),IF(MATCH($T4399,$T$6:$T$10005,0)=ROW()-5,N($X4398)+1,N($X4398)))</f>
        <v>0</v>
      </c>
      <c r="Z4399" t="str">
        <f t="shared" si="689"/>
        <v/>
      </c>
      <c r="AA4399">
        <f>IF($V4399="",N($AA4398),IF(MATCH($V4399,$V$6:$V$10005,0)=ROW()-5,N($AA4398)+1,N($AA4398)))</f>
        <v>0</v>
      </c>
    </row>
    <row r="4400" spans="1:27" ht="21" customHeight="1" x14ac:dyDescent="0.95">
      <c r="A4400" s="56"/>
      <c r="B4400" s="57"/>
      <c r="C4400" s="57"/>
      <c r="D4400" s="57"/>
      <c r="E4400" s="56"/>
      <c r="F4400" s="57"/>
      <c r="G4400" s="57"/>
      <c r="H4400" s="56"/>
      <c r="I4400" s="56"/>
      <c r="J4400" s="58"/>
      <c r="K4400" s="58"/>
      <c r="L4400" s="13" t="str">
        <f t="shared" si="680"/>
        <v/>
      </c>
      <c r="M4400" s="13" t="str">
        <f t="shared" si="681"/>
        <v/>
      </c>
      <c r="Q4400" t="str">
        <f t="shared" si="682"/>
        <v/>
      </c>
      <c r="R4400" t="str">
        <f t="shared" si="683"/>
        <v/>
      </c>
      <c r="S4400" t="str">
        <f t="shared" si="684"/>
        <v/>
      </c>
      <c r="T4400" t="str">
        <f t="shared" si="685"/>
        <v/>
      </c>
      <c r="U4400" t="str">
        <f t="shared" si="686"/>
        <v/>
      </c>
      <c r="V4400" t="str">
        <f t="shared" si="687"/>
        <v/>
      </c>
      <c r="W4400" t="str">
        <f t="shared" si="688"/>
        <v/>
      </c>
      <c r="X4400">
        <f>IF($T4400="",N($X4399),IF(MATCH($T4400,$T$6:$T$10005,0)=ROW()-5,N($X4399)+1,N($X4399)))</f>
        <v>0</v>
      </c>
      <c r="Z4400" t="str">
        <f t="shared" si="689"/>
        <v/>
      </c>
      <c r="AA4400">
        <f>IF($V4400="",N($AA4399),IF(MATCH($V4400,$V$6:$V$10005,0)=ROW()-5,N($AA4399)+1,N($AA4399)))</f>
        <v>0</v>
      </c>
    </row>
    <row r="4401" spans="1:27" ht="21" customHeight="1" x14ac:dyDescent="0.95">
      <c r="A4401" s="56"/>
      <c r="B4401" s="57"/>
      <c r="C4401" s="57"/>
      <c r="D4401" s="57"/>
      <c r="E4401" s="56"/>
      <c r="F4401" s="57"/>
      <c r="G4401" s="57"/>
      <c r="H4401" s="56"/>
      <c r="I4401" s="56"/>
      <c r="J4401" s="58"/>
      <c r="K4401" s="58"/>
      <c r="L4401" s="13" t="str">
        <f t="shared" si="680"/>
        <v/>
      </c>
      <c r="M4401" s="13" t="str">
        <f t="shared" si="681"/>
        <v/>
      </c>
      <c r="Q4401" t="str">
        <f t="shared" si="682"/>
        <v/>
      </c>
      <c r="R4401" t="str">
        <f t="shared" si="683"/>
        <v/>
      </c>
      <c r="S4401" t="str">
        <f t="shared" si="684"/>
        <v/>
      </c>
      <c r="T4401" t="str">
        <f t="shared" si="685"/>
        <v/>
      </c>
      <c r="U4401" t="str">
        <f t="shared" si="686"/>
        <v/>
      </c>
      <c r="V4401" t="str">
        <f t="shared" si="687"/>
        <v/>
      </c>
      <c r="W4401" t="str">
        <f t="shared" si="688"/>
        <v/>
      </c>
      <c r="X4401">
        <f>IF($T4401="",N($X4400),IF(MATCH($T4401,$T$6:$T$10005,0)=ROW()-5,N($X4400)+1,N($X4400)))</f>
        <v>0</v>
      </c>
      <c r="Z4401" t="str">
        <f t="shared" si="689"/>
        <v/>
      </c>
      <c r="AA4401">
        <f>IF($V4401="",N($AA4400),IF(MATCH($V4401,$V$6:$V$10005,0)=ROW()-5,N($AA4400)+1,N($AA4400)))</f>
        <v>0</v>
      </c>
    </row>
    <row r="4402" spans="1:27" ht="21" customHeight="1" x14ac:dyDescent="0.95">
      <c r="A4402" s="56"/>
      <c r="B4402" s="57"/>
      <c r="C4402" s="57"/>
      <c r="D4402" s="57"/>
      <c r="E4402" s="56"/>
      <c r="F4402" s="57"/>
      <c r="G4402" s="57"/>
      <c r="H4402" s="56"/>
      <c r="I4402" s="56"/>
      <c r="J4402" s="58"/>
      <c r="K4402" s="58"/>
      <c r="L4402" s="13" t="str">
        <f t="shared" si="680"/>
        <v/>
      </c>
      <c r="M4402" s="13" t="str">
        <f t="shared" si="681"/>
        <v/>
      </c>
      <c r="Q4402" t="str">
        <f t="shared" si="682"/>
        <v/>
      </c>
      <c r="R4402" t="str">
        <f t="shared" si="683"/>
        <v/>
      </c>
      <c r="S4402" t="str">
        <f t="shared" si="684"/>
        <v/>
      </c>
      <c r="T4402" t="str">
        <f t="shared" si="685"/>
        <v/>
      </c>
      <c r="U4402" t="str">
        <f t="shared" si="686"/>
        <v/>
      </c>
      <c r="V4402" t="str">
        <f t="shared" si="687"/>
        <v/>
      </c>
      <c r="W4402" t="str">
        <f t="shared" si="688"/>
        <v/>
      </c>
      <c r="X4402">
        <f>IF($T4402="",N($X4401),IF(MATCH($T4402,$T$6:$T$10005,0)=ROW()-5,N($X4401)+1,N($X4401)))</f>
        <v>0</v>
      </c>
      <c r="Z4402" t="str">
        <f t="shared" si="689"/>
        <v/>
      </c>
      <c r="AA4402">
        <f>IF($V4402="",N($AA4401),IF(MATCH($V4402,$V$6:$V$10005,0)=ROW()-5,N($AA4401)+1,N($AA4401)))</f>
        <v>0</v>
      </c>
    </row>
    <row r="4403" spans="1:27" ht="21" customHeight="1" x14ac:dyDescent="0.95">
      <c r="A4403" s="56"/>
      <c r="B4403" s="57"/>
      <c r="C4403" s="57"/>
      <c r="D4403" s="57"/>
      <c r="E4403" s="56"/>
      <c r="F4403" s="57"/>
      <c r="G4403" s="57"/>
      <c r="H4403" s="56"/>
      <c r="I4403" s="56"/>
      <c r="J4403" s="58"/>
      <c r="K4403" s="58"/>
      <c r="L4403" s="13" t="str">
        <f t="shared" si="680"/>
        <v/>
      </c>
      <c r="M4403" s="13" t="str">
        <f t="shared" si="681"/>
        <v/>
      </c>
      <c r="Q4403" t="str">
        <f t="shared" si="682"/>
        <v/>
      </c>
      <c r="R4403" t="str">
        <f t="shared" si="683"/>
        <v/>
      </c>
      <c r="S4403" t="str">
        <f t="shared" si="684"/>
        <v/>
      </c>
      <c r="T4403" t="str">
        <f t="shared" si="685"/>
        <v/>
      </c>
      <c r="U4403" t="str">
        <f t="shared" si="686"/>
        <v/>
      </c>
      <c r="V4403" t="str">
        <f t="shared" si="687"/>
        <v/>
      </c>
      <c r="W4403" t="str">
        <f t="shared" si="688"/>
        <v/>
      </c>
      <c r="X4403">
        <f>IF($T4403="",N($X4402),IF(MATCH($T4403,$T$6:$T$10005,0)=ROW()-5,N($X4402)+1,N($X4402)))</f>
        <v>0</v>
      </c>
      <c r="Z4403" t="str">
        <f t="shared" si="689"/>
        <v/>
      </c>
      <c r="AA4403">
        <f>IF($V4403="",N($AA4402),IF(MATCH($V4403,$V$6:$V$10005,0)=ROW()-5,N($AA4402)+1,N($AA4402)))</f>
        <v>0</v>
      </c>
    </row>
    <row r="4404" spans="1:27" ht="21" customHeight="1" x14ac:dyDescent="0.95">
      <c r="A4404" s="56"/>
      <c r="B4404" s="57"/>
      <c r="C4404" s="57"/>
      <c r="D4404" s="57"/>
      <c r="E4404" s="56"/>
      <c r="F4404" s="57"/>
      <c r="G4404" s="57"/>
      <c r="H4404" s="56"/>
      <c r="I4404" s="56"/>
      <c r="J4404" s="58"/>
      <c r="K4404" s="58"/>
      <c r="L4404" s="13" t="str">
        <f t="shared" si="680"/>
        <v/>
      </c>
      <c r="M4404" s="13" t="str">
        <f t="shared" si="681"/>
        <v/>
      </c>
      <c r="Q4404" t="str">
        <f t="shared" si="682"/>
        <v/>
      </c>
      <c r="R4404" t="str">
        <f t="shared" si="683"/>
        <v/>
      </c>
      <c r="S4404" t="str">
        <f t="shared" si="684"/>
        <v/>
      </c>
      <c r="T4404" t="str">
        <f t="shared" si="685"/>
        <v/>
      </c>
      <c r="U4404" t="str">
        <f t="shared" si="686"/>
        <v/>
      </c>
      <c r="V4404" t="str">
        <f t="shared" si="687"/>
        <v/>
      </c>
      <c r="W4404" t="str">
        <f t="shared" si="688"/>
        <v/>
      </c>
      <c r="X4404">
        <f>IF($T4404="",N($X4403),IF(MATCH($T4404,$T$6:$T$10005,0)=ROW()-5,N($X4403)+1,N($X4403)))</f>
        <v>0</v>
      </c>
      <c r="Z4404" t="str">
        <f t="shared" si="689"/>
        <v/>
      </c>
      <c r="AA4404">
        <f>IF($V4404="",N($AA4403),IF(MATCH($V4404,$V$6:$V$10005,0)=ROW()-5,N($AA4403)+1,N($AA4403)))</f>
        <v>0</v>
      </c>
    </row>
    <row r="4405" spans="1:27" ht="21" customHeight="1" x14ac:dyDescent="0.95">
      <c r="A4405" s="56"/>
      <c r="B4405" s="57"/>
      <c r="C4405" s="57"/>
      <c r="D4405" s="57"/>
      <c r="E4405" s="56"/>
      <c r="F4405" s="57"/>
      <c r="G4405" s="57"/>
      <c r="H4405" s="56"/>
      <c r="I4405" s="56"/>
      <c r="J4405" s="58"/>
      <c r="K4405" s="58"/>
      <c r="L4405" s="13" t="str">
        <f t="shared" si="680"/>
        <v/>
      </c>
      <c r="M4405" s="13" t="str">
        <f t="shared" si="681"/>
        <v/>
      </c>
      <c r="Q4405" t="str">
        <f t="shared" si="682"/>
        <v/>
      </c>
      <c r="R4405" t="str">
        <f t="shared" si="683"/>
        <v/>
      </c>
      <c r="S4405" t="str">
        <f t="shared" si="684"/>
        <v/>
      </c>
      <c r="T4405" t="str">
        <f t="shared" si="685"/>
        <v/>
      </c>
      <c r="U4405" t="str">
        <f t="shared" si="686"/>
        <v/>
      </c>
      <c r="V4405" t="str">
        <f t="shared" si="687"/>
        <v/>
      </c>
      <c r="W4405" t="str">
        <f t="shared" si="688"/>
        <v/>
      </c>
      <c r="X4405">
        <f>IF($T4405="",N($X4404),IF(MATCH($T4405,$T$6:$T$10005,0)=ROW()-5,N($X4404)+1,N($X4404)))</f>
        <v>0</v>
      </c>
      <c r="Z4405" t="str">
        <f t="shared" si="689"/>
        <v/>
      </c>
      <c r="AA4405">
        <f>IF($V4405="",N($AA4404),IF(MATCH($V4405,$V$6:$V$10005,0)=ROW()-5,N($AA4404)+1,N($AA4404)))</f>
        <v>0</v>
      </c>
    </row>
    <row r="4406" spans="1:27" ht="21" customHeight="1" x14ac:dyDescent="0.95">
      <c r="A4406" s="56"/>
      <c r="B4406" s="57"/>
      <c r="C4406" s="57"/>
      <c r="D4406" s="57"/>
      <c r="E4406" s="56"/>
      <c r="F4406" s="57"/>
      <c r="G4406" s="57"/>
      <c r="H4406" s="56"/>
      <c r="I4406" s="56"/>
      <c r="J4406" s="58"/>
      <c r="K4406" s="58"/>
      <c r="L4406" s="13" t="str">
        <f t="shared" si="680"/>
        <v/>
      </c>
      <c r="M4406" s="13" t="str">
        <f t="shared" si="681"/>
        <v/>
      </c>
      <c r="Q4406" t="str">
        <f t="shared" si="682"/>
        <v/>
      </c>
      <c r="R4406" t="str">
        <f t="shared" si="683"/>
        <v/>
      </c>
      <c r="S4406" t="str">
        <f t="shared" si="684"/>
        <v/>
      </c>
      <c r="T4406" t="str">
        <f t="shared" si="685"/>
        <v/>
      </c>
      <c r="U4406" t="str">
        <f t="shared" si="686"/>
        <v/>
      </c>
      <c r="V4406" t="str">
        <f t="shared" si="687"/>
        <v/>
      </c>
      <c r="W4406" t="str">
        <f t="shared" si="688"/>
        <v/>
      </c>
      <c r="X4406">
        <f>IF($T4406="",N($X4405),IF(MATCH($T4406,$T$6:$T$10005,0)=ROW()-5,N($X4405)+1,N($X4405)))</f>
        <v>0</v>
      </c>
      <c r="Z4406" t="str">
        <f t="shared" si="689"/>
        <v/>
      </c>
      <c r="AA4406">
        <f>IF($V4406="",N($AA4405),IF(MATCH($V4406,$V$6:$V$10005,0)=ROW()-5,N($AA4405)+1,N($AA4405)))</f>
        <v>0</v>
      </c>
    </row>
    <row r="4407" spans="1:27" ht="21" customHeight="1" x14ac:dyDescent="0.95">
      <c r="A4407" s="56"/>
      <c r="B4407" s="57"/>
      <c r="C4407" s="57"/>
      <c r="D4407" s="57"/>
      <c r="E4407" s="56"/>
      <c r="F4407" s="57"/>
      <c r="G4407" s="57"/>
      <c r="H4407" s="56"/>
      <c r="I4407" s="56"/>
      <c r="J4407" s="58"/>
      <c r="K4407" s="58"/>
      <c r="L4407" s="13" t="str">
        <f t="shared" si="680"/>
        <v/>
      </c>
      <c r="M4407" s="13" t="str">
        <f t="shared" si="681"/>
        <v/>
      </c>
      <c r="Q4407" t="str">
        <f t="shared" si="682"/>
        <v/>
      </c>
      <c r="R4407" t="str">
        <f t="shared" si="683"/>
        <v/>
      </c>
      <c r="S4407" t="str">
        <f t="shared" si="684"/>
        <v/>
      </c>
      <c r="T4407" t="str">
        <f t="shared" si="685"/>
        <v/>
      </c>
      <c r="U4407" t="str">
        <f t="shared" si="686"/>
        <v/>
      </c>
      <c r="V4407" t="str">
        <f t="shared" si="687"/>
        <v/>
      </c>
      <c r="W4407" t="str">
        <f t="shared" si="688"/>
        <v/>
      </c>
      <c r="X4407">
        <f>IF($T4407="",N($X4406),IF(MATCH($T4407,$T$6:$T$10005,0)=ROW()-5,N($X4406)+1,N($X4406)))</f>
        <v>0</v>
      </c>
      <c r="Z4407" t="str">
        <f t="shared" si="689"/>
        <v/>
      </c>
      <c r="AA4407">
        <f>IF($V4407="",N($AA4406),IF(MATCH($V4407,$V$6:$V$10005,0)=ROW()-5,N($AA4406)+1,N($AA4406)))</f>
        <v>0</v>
      </c>
    </row>
    <row r="4408" spans="1:27" ht="21" customHeight="1" x14ac:dyDescent="0.95">
      <c r="A4408" s="56"/>
      <c r="B4408" s="57"/>
      <c r="C4408" s="57"/>
      <c r="D4408" s="57"/>
      <c r="E4408" s="56"/>
      <c r="F4408" s="57"/>
      <c r="G4408" s="57"/>
      <c r="H4408" s="56"/>
      <c r="I4408" s="56"/>
      <c r="J4408" s="58"/>
      <c r="K4408" s="58"/>
      <c r="L4408" s="13" t="str">
        <f t="shared" si="680"/>
        <v/>
      </c>
      <c r="M4408" s="13" t="str">
        <f t="shared" si="681"/>
        <v/>
      </c>
      <c r="Q4408" t="str">
        <f t="shared" si="682"/>
        <v/>
      </c>
      <c r="R4408" t="str">
        <f t="shared" si="683"/>
        <v/>
      </c>
      <c r="S4408" t="str">
        <f t="shared" si="684"/>
        <v/>
      </c>
      <c r="T4408" t="str">
        <f t="shared" si="685"/>
        <v/>
      </c>
      <c r="U4408" t="str">
        <f t="shared" si="686"/>
        <v/>
      </c>
      <c r="V4408" t="str">
        <f t="shared" si="687"/>
        <v/>
      </c>
      <c r="W4408" t="str">
        <f t="shared" si="688"/>
        <v/>
      </c>
      <c r="X4408">
        <f>IF($T4408="",N($X4407),IF(MATCH($T4408,$T$6:$T$10005,0)=ROW()-5,N($X4407)+1,N($X4407)))</f>
        <v>0</v>
      </c>
      <c r="Z4408" t="str">
        <f t="shared" si="689"/>
        <v/>
      </c>
      <c r="AA4408">
        <f>IF($V4408="",N($AA4407),IF(MATCH($V4408,$V$6:$V$10005,0)=ROW()-5,N($AA4407)+1,N($AA4407)))</f>
        <v>0</v>
      </c>
    </row>
    <row r="4409" spans="1:27" ht="21" customHeight="1" x14ac:dyDescent="0.95">
      <c r="A4409" s="56"/>
      <c r="B4409" s="57"/>
      <c r="C4409" s="57"/>
      <c r="D4409" s="57"/>
      <c r="E4409" s="56"/>
      <c r="F4409" s="57"/>
      <c r="G4409" s="57"/>
      <c r="H4409" s="56"/>
      <c r="I4409" s="56"/>
      <c r="J4409" s="58"/>
      <c r="K4409" s="58"/>
      <c r="L4409" s="13" t="str">
        <f t="shared" si="680"/>
        <v/>
      </c>
      <c r="M4409" s="13" t="str">
        <f t="shared" si="681"/>
        <v/>
      </c>
      <c r="Q4409" t="str">
        <f t="shared" si="682"/>
        <v/>
      </c>
      <c r="R4409" t="str">
        <f t="shared" si="683"/>
        <v/>
      </c>
      <c r="S4409" t="str">
        <f t="shared" si="684"/>
        <v/>
      </c>
      <c r="T4409" t="str">
        <f t="shared" si="685"/>
        <v/>
      </c>
      <c r="U4409" t="str">
        <f t="shared" si="686"/>
        <v/>
      </c>
      <c r="V4409" t="str">
        <f t="shared" si="687"/>
        <v/>
      </c>
      <c r="W4409" t="str">
        <f t="shared" si="688"/>
        <v/>
      </c>
      <c r="X4409">
        <f>IF($T4409="",N($X4408),IF(MATCH($T4409,$T$6:$T$10005,0)=ROW()-5,N($X4408)+1,N($X4408)))</f>
        <v>0</v>
      </c>
      <c r="Z4409" t="str">
        <f t="shared" si="689"/>
        <v/>
      </c>
      <c r="AA4409">
        <f>IF($V4409="",N($AA4408),IF(MATCH($V4409,$V$6:$V$10005,0)=ROW()-5,N($AA4408)+1,N($AA4408)))</f>
        <v>0</v>
      </c>
    </row>
    <row r="4410" spans="1:27" ht="21" customHeight="1" x14ac:dyDescent="0.95">
      <c r="A4410" s="56"/>
      <c r="B4410" s="57"/>
      <c r="C4410" s="57"/>
      <c r="D4410" s="57"/>
      <c r="E4410" s="56"/>
      <c r="F4410" s="57"/>
      <c r="G4410" s="57"/>
      <c r="H4410" s="56"/>
      <c r="I4410" s="56"/>
      <c r="J4410" s="58"/>
      <c r="K4410" s="58"/>
      <c r="L4410" s="13" t="str">
        <f t="shared" si="680"/>
        <v/>
      </c>
      <c r="M4410" s="13" t="str">
        <f t="shared" si="681"/>
        <v/>
      </c>
      <c r="Q4410" t="str">
        <f t="shared" si="682"/>
        <v/>
      </c>
      <c r="R4410" t="str">
        <f t="shared" si="683"/>
        <v/>
      </c>
      <c r="S4410" t="str">
        <f t="shared" si="684"/>
        <v/>
      </c>
      <c r="T4410" t="str">
        <f t="shared" si="685"/>
        <v/>
      </c>
      <c r="U4410" t="str">
        <f t="shared" si="686"/>
        <v/>
      </c>
      <c r="V4410" t="str">
        <f t="shared" si="687"/>
        <v/>
      </c>
      <c r="W4410" t="str">
        <f t="shared" si="688"/>
        <v/>
      </c>
      <c r="X4410">
        <f>IF($T4410="",N($X4409),IF(MATCH($T4410,$T$6:$T$10005,0)=ROW()-5,N($X4409)+1,N($X4409)))</f>
        <v>0</v>
      </c>
      <c r="Z4410" t="str">
        <f t="shared" si="689"/>
        <v/>
      </c>
      <c r="AA4410">
        <f>IF($V4410="",N($AA4409),IF(MATCH($V4410,$V$6:$V$10005,0)=ROW()-5,N($AA4409)+1,N($AA4409)))</f>
        <v>0</v>
      </c>
    </row>
    <row r="4411" spans="1:27" ht="21" customHeight="1" x14ac:dyDescent="0.95">
      <c r="A4411" s="56"/>
      <c r="B4411" s="57"/>
      <c r="C4411" s="57"/>
      <c r="D4411" s="57"/>
      <c r="E4411" s="56"/>
      <c r="F4411" s="57"/>
      <c r="G4411" s="57"/>
      <c r="H4411" s="56"/>
      <c r="I4411" s="56"/>
      <c r="J4411" s="58"/>
      <c r="K4411" s="58"/>
      <c r="L4411" s="13" t="str">
        <f t="shared" si="680"/>
        <v/>
      </c>
      <c r="M4411" s="13" t="str">
        <f t="shared" si="681"/>
        <v/>
      </c>
      <c r="Q4411" t="str">
        <f t="shared" si="682"/>
        <v/>
      </c>
      <c r="R4411" t="str">
        <f t="shared" si="683"/>
        <v/>
      </c>
      <c r="S4411" t="str">
        <f t="shared" si="684"/>
        <v/>
      </c>
      <c r="T4411" t="str">
        <f t="shared" si="685"/>
        <v/>
      </c>
      <c r="U4411" t="str">
        <f t="shared" si="686"/>
        <v/>
      </c>
      <c r="V4411" t="str">
        <f t="shared" si="687"/>
        <v/>
      </c>
      <c r="W4411" t="str">
        <f t="shared" si="688"/>
        <v/>
      </c>
      <c r="X4411">
        <f>IF($T4411="",N($X4410),IF(MATCH($T4411,$T$6:$T$10005,0)=ROW()-5,N($X4410)+1,N($X4410)))</f>
        <v>0</v>
      </c>
      <c r="Z4411" t="str">
        <f t="shared" si="689"/>
        <v/>
      </c>
      <c r="AA4411">
        <f>IF($V4411="",N($AA4410),IF(MATCH($V4411,$V$6:$V$10005,0)=ROW()-5,N($AA4410)+1,N($AA4410)))</f>
        <v>0</v>
      </c>
    </row>
    <row r="4412" spans="1:27" ht="21" customHeight="1" x14ac:dyDescent="0.95">
      <c r="A4412" s="56"/>
      <c r="B4412" s="57"/>
      <c r="C4412" s="57"/>
      <c r="D4412" s="57"/>
      <c r="E4412" s="56"/>
      <c r="F4412" s="57"/>
      <c r="G4412" s="57"/>
      <c r="H4412" s="56"/>
      <c r="I4412" s="56"/>
      <c r="J4412" s="58"/>
      <c r="K4412" s="58"/>
      <c r="L4412" s="13" t="str">
        <f t="shared" si="680"/>
        <v/>
      </c>
      <c r="M4412" s="13" t="str">
        <f t="shared" si="681"/>
        <v/>
      </c>
      <c r="Q4412" t="str">
        <f t="shared" si="682"/>
        <v/>
      </c>
      <c r="R4412" t="str">
        <f t="shared" si="683"/>
        <v/>
      </c>
      <c r="S4412" t="str">
        <f t="shared" si="684"/>
        <v/>
      </c>
      <c r="T4412" t="str">
        <f t="shared" si="685"/>
        <v/>
      </c>
      <c r="U4412" t="str">
        <f t="shared" si="686"/>
        <v/>
      </c>
      <c r="V4412" t="str">
        <f t="shared" si="687"/>
        <v/>
      </c>
      <c r="W4412" t="str">
        <f t="shared" si="688"/>
        <v/>
      </c>
      <c r="X4412">
        <f>IF($T4412="",N($X4411),IF(MATCH($T4412,$T$6:$T$10005,0)=ROW()-5,N($X4411)+1,N($X4411)))</f>
        <v>0</v>
      </c>
      <c r="Z4412" t="str">
        <f t="shared" si="689"/>
        <v/>
      </c>
      <c r="AA4412">
        <f>IF($V4412="",N($AA4411),IF(MATCH($V4412,$V$6:$V$10005,0)=ROW()-5,N($AA4411)+1,N($AA4411)))</f>
        <v>0</v>
      </c>
    </row>
    <row r="4413" spans="1:27" ht="21" customHeight="1" x14ac:dyDescent="0.95">
      <c r="A4413" s="56"/>
      <c r="B4413" s="57"/>
      <c r="C4413" s="57"/>
      <c r="D4413" s="57"/>
      <c r="E4413" s="56"/>
      <c r="F4413" s="57"/>
      <c r="G4413" s="57"/>
      <c r="H4413" s="56"/>
      <c r="I4413" s="56"/>
      <c r="J4413" s="58"/>
      <c r="K4413" s="58"/>
      <c r="L4413" s="13" t="str">
        <f t="shared" si="680"/>
        <v/>
      </c>
      <c r="M4413" s="13" t="str">
        <f t="shared" si="681"/>
        <v/>
      </c>
      <c r="Q4413" t="str">
        <f t="shared" si="682"/>
        <v/>
      </c>
      <c r="R4413" t="str">
        <f t="shared" si="683"/>
        <v/>
      </c>
      <c r="S4413" t="str">
        <f t="shared" si="684"/>
        <v/>
      </c>
      <c r="T4413" t="str">
        <f t="shared" si="685"/>
        <v/>
      </c>
      <c r="U4413" t="str">
        <f t="shared" si="686"/>
        <v/>
      </c>
      <c r="V4413" t="str">
        <f t="shared" si="687"/>
        <v/>
      </c>
      <c r="W4413" t="str">
        <f t="shared" si="688"/>
        <v/>
      </c>
      <c r="X4413">
        <f>IF($T4413="",N($X4412),IF(MATCH($T4413,$T$6:$T$10005,0)=ROW()-5,N($X4412)+1,N($X4412)))</f>
        <v>0</v>
      </c>
      <c r="Z4413" t="str">
        <f t="shared" si="689"/>
        <v/>
      </c>
      <c r="AA4413">
        <f>IF($V4413="",N($AA4412),IF(MATCH($V4413,$V$6:$V$10005,0)=ROW()-5,N($AA4412)+1,N($AA4412)))</f>
        <v>0</v>
      </c>
    </row>
    <row r="4414" spans="1:27" ht="21" customHeight="1" x14ac:dyDescent="0.95">
      <c r="A4414" s="56"/>
      <c r="B4414" s="57"/>
      <c r="C4414" s="57"/>
      <c r="D4414" s="57"/>
      <c r="E4414" s="56"/>
      <c r="F4414" s="57"/>
      <c r="G4414" s="57"/>
      <c r="H4414" s="56"/>
      <c r="I4414" s="56"/>
      <c r="J4414" s="58"/>
      <c r="K4414" s="58"/>
      <c r="L4414" s="13" t="str">
        <f t="shared" si="680"/>
        <v/>
      </c>
      <c r="M4414" s="13" t="str">
        <f t="shared" si="681"/>
        <v/>
      </c>
      <c r="Q4414" t="str">
        <f t="shared" si="682"/>
        <v/>
      </c>
      <c r="R4414" t="str">
        <f t="shared" si="683"/>
        <v/>
      </c>
      <c r="S4414" t="str">
        <f t="shared" si="684"/>
        <v/>
      </c>
      <c r="T4414" t="str">
        <f t="shared" si="685"/>
        <v/>
      </c>
      <c r="U4414" t="str">
        <f t="shared" si="686"/>
        <v/>
      </c>
      <c r="V4414" t="str">
        <f t="shared" si="687"/>
        <v/>
      </c>
      <c r="W4414" t="str">
        <f t="shared" si="688"/>
        <v/>
      </c>
      <c r="X4414">
        <f>IF($T4414="",N($X4413),IF(MATCH($T4414,$T$6:$T$10005,0)=ROW()-5,N($X4413)+1,N($X4413)))</f>
        <v>0</v>
      </c>
      <c r="Z4414" t="str">
        <f t="shared" si="689"/>
        <v/>
      </c>
      <c r="AA4414">
        <f>IF($V4414="",N($AA4413),IF(MATCH($V4414,$V$6:$V$10005,0)=ROW()-5,N($AA4413)+1,N($AA4413)))</f>
        <v>0</v>
      </c>
    </row>
    <row r="4415" spans="1:27" ht="21" customHeight="1" x14ac:dyDescent="0.95">
      <c r="A4415" s="56"/>
      <c r="B4415" s="57"/>
      <c r="C4415" s="57"/>
      <c r="D4415" s="57"/>
      <c r="E4415" s="56"/>
      <c r="F4415" s="57"/>
      <c r="G4415" s="57"/>
      <c r="H4415" s="56"/>
      <c r="I4415" s="56"/>
      <c r="J4415" s="58"/>
      <c r="K4415" s="58"/>
      <c r="L4415" s="13" t="str">
        <f t="shared" si="680"/>
        <v/>
      </c>
      <c r="M4415" s="13" t="str">
        <f t="shared" si="681"/>
        <v/>
      </c>
      <c r="Q4415" t="str">
        <f t="shared" si="682"/>
        <v/>
      </c>
      <c r="R4415" t="str">
        <f t="shared" si="683"/>
        <v/>
      </c>
      <c r="S4415" t="str">
        <f t="shared" si="684"/>
        <v/>
      </c>
      <c r="T4415" t="str">
        <f t="shared" si="685"/>
        <v/>
      </c>
      <c r="U4415" t="str">
        <f t="shared" si="686"/>
        <v/>
      </c>
      <c r="V4415" t="str">
        <f t="shared" si="687"/>
        <v/>
      </c>
      <c r="W4415" t="str">
        <f t="shared" si="688"/>
        <v/>
      </c>
      <c r="X4415">
        <f>IF($T4415="",N($X4414),IF(MATCH($T4415,$T$6:$T$10005,0)=ROW()-5,N($X4414)+1,N($X4414)))</f>
        <v>0</v>
      </c>
      <c r="Z4415" t="str">
        <f t="shared" si="689"/>
        <v/>
      </c>
      <c r="AA4415">
        <f>IF($V4415="",N($AA4414),IF(MATCH($V4415,$V$6:$V$10005,0)=ROW()-5,N($AA4414)+1,N($AA4414)))</f>
        <v>0</v>
      </c>
    </row>
    <row r="4416" spans="1:27" ht="21" customHeight="1" x14ac:dyDescent="0.95">
      <c r="A4416" s="56"/>
      <c r="B4416" s="57"/>
      <c r="C4416" s="57"/>
      <c r="D4416" s="57"/>
      <c r="E4416" s="56"/>
      <c r="F4416" s="57"/>
      <c r="G4416" s="57"/>
      <c r="H4416" s="56"/>
      <c r="I4416" s="56"/>
      <c r="J4416" s="58"/>
      <c r="K4416" s="58"/>
      <c r="L4416" s="13" t="str">
        <f t="shared" si="680"/>
        <v/>
      </c>
      <c r="M4416" s="13" t="str">
        <f t="shared" si="681"/>
        <v/>
      </c>
      <c r="Q4416" t="str">
        <f t="shared" si="682"/>
        <v/>
      </c>
      <c r="R4416" t="str">
        <f t="shared" si="683"/>
        <v/>
      </c>
      <c r="S4416" t="str">
        <f t="shared" si="684"/>
        <v/>
      </c>
      <c r="T4416" t="str">
        <f t="shared" si="685"/>
        <v/>
      </c>
      <c r="U4416" t="str">
        <f t="shared" si="686"/>
        <v/>
      </c>
      <c r="V4416" t="str">
        <f t="shared" si="687"/>
        <v/>
      </c>
      <c r="W4416" t="str">
        <f t="shared" si="688"/>
        <v/>
      </c>
      <c r="X4416">
        <f>IF($T4416="",N($X4415),IF(MATCH($T4416,$T$6:$T$10005,0)=ROW()-5,N($X4415)+1,N($X4415)))</f>
        <v>0</v>
      </c>
      <c r="Z4416" t="str">
        <f t="shared" si="689"/>
        <v/>
      </c>
      <c r="AA4416">
        <f>IF($V4416="",N($AA4415),IF(MATCH($V4416,$V$6:$V$10005,0)=ROW()-5,N($AA4415)+1,N($AA4415)))</f>
        <v>0</v>
      </c>
    </row>
    <row r="4417" spans="1:27" ht="21" customHeight="1" x14ac:dyDescent="0.95">
      <c r="A4417" s="56"/>
      <c r="B4417" s="57"/>
      <c r="C4417" s="57"/>
      <c r="D4417" s="57"/>
      <c r="E4417" s="56"/>
      <c r="F4417" s="57"/>
      <c r="G4417" s="57"/>
      <c r="H4417" s="56"/>
      <c r="I4417" s="56"/>
      <c r="J4417" s="58"/>
      <c r="K4417" s="58"/>
      <c r="L4417" s="13" t="str">
        <f t="shared" si="680"/>
        <v/>
      </c>
      <c r="M4417" s="13" t="str">
        <f t="shared" si="681"/>
        <v/>
      </c>
      <c r="Q4417" t="str">
        <f t="shared" si="682"/>
        <v/>
      </c>
      <c r="R4417" t="str">
        <f t="shared" si="683"/>
        <v/>
      </c>
      <c r="S4417" t="str">
        <f t="shared" si="684"/>
        <v/>
      </c>
      <c r="T4417" t="str">
        <f t="shared" si="685"/>
        <v/>
      </c>
      <c r="U4417" t="str">
        <f t="shared" si="686"/>
        <v/>
      </c>
      <c r="V4417" t="str">
        <f t="shared" si="687"/>
        <v/>
      </c>
      <c r="W4417" t="str">
        <f t="shared" si="688"/>
        <v/>
      </c>
      <c r="X4417">
        <f>IF($T4417="",N($X4416),IF(MATCH($T4417,$T$6:$T$10005,0)=ROW()-5,N($X4416)+1,N($X4416)))</f>
        <v>0</v>
      </c>
      <c r="Z4417" t="str">
        <f t="shared" si="689"/>
        <v/>
      </c>
      <c r="AA4417">
        <f>IF($V4417="",N($AA4416),IF(MATCH($V4417,$V$6:$V$10005,0)=ROW()-5,N($AA4416)+1,N($AA4416)))</f>
        <v>0</v>
      </c>
    </row>
    <row r="4418" spans="1:27" ht="21" customHeight="1" x14ac:dyDescent="0.95">
      <c r="A4418" s="56"/>
      <c r="B4418" s="57"/>
      <c r="C4418" s="57"/>
      <c r="D4418" s="57"/>
      <c r="E4418" s="56"/>
      <c r="F4418" s="57"/>
      <c r="G4418" s="57"/>
      <c r="H4418" s="56"/>
      <c r="I4418" s="56"/>
      <c r="J4418" s="58"/>
      <c r="K4418" s="58"/>
      <c r="L4418" s="13" t="str">
        <f t="shared" si="680"/>
        <v/>
      </c>
      <c r="M4418" s="13" t="str">
        <f t="shared" si="681"/>
        <v/>
      </c>
      <c r="Q4418" t="str">
        <f t="shared" si="682"/>
        <v/>
      </c>
      <c r="R4418" t="str">
        <f t="shared" si="683"/>
        <v/>
      </c>
      <c r="S4418" t="str">
        <f t="shared" si="684"/>
        <v/>
      </c>
      <c r="T4418" t="str">
        <f t="shared" si="685"/>
        <v/>
      </c>
      <c r="U4418" t="str">
        <f t="shared" si="686"/>
        <v/>
      </c>
      <c r="V4418" t="str">
        <f t="shared" si="687"/>
        <v/>
      </c>
      <c r="W4418" t="str">
        <f t="shared" si="688"/>
        <v/>
      </c>
      <c r="X4418">
        <f>IF($T4418="",N($X4417),IF(MATCH($T4418,$T$6:$T$10005,0)=ROW()-5,N($X4417)+1,N($X4417)))</f>
        <v>0</v>
      </c>
      <c r="Z4418" t="str">
        <f t="shared" si="689"/>
        <v/>
      </c>
      <c r="AA4418">
        <f>IF($V4418="",N($AA4417),IF(MATCH($V4418,$V$6:$V$10005,0)=ROW()-5,N($AA4417)+1,N($AA4417)))</f>
        <v>0</v>
      </c>
    </row>
    <row r="4419" spans="1:27" ht="21" customHeight="1" x14ac:dyDescent="0.95">
      <c r="A4419" s="56"/>
      <c r="B4419" s="57"/>
      <c r="C4419" s="57"/>
      <c r="D4419" s="57"/>
      <c r="E4419" s="56"/>
      <c r="F4419" s="57"/>
      <c r="G4419" s="57"/>
      <c r="H4419" s="56"/>
      <c r="I4419" s="56"/>
      <c r="J4419" s="58"/>
      <c r="K4419" s="58"/>
      <c r="L4419" s="13" t="str">
        <f t="shared" si="680"/>
        <v/>
      </c>
      <c r="M4419" s="13" t="str">
        <f t="shared" si="681"/>
        <v/>
      </c>
      <c r="Q4419" t="str">
        <f t="shared" si="682"/>
        <v/>
      </c>
      <c r="R4419" t="str">
        <f t="shared" si="683"/>
        <v/>
      </c>
      <c r="S4419" t="str">
        <f t="shared" si="684"/>
        <v/>
      </c>
      <c r="T4419" t="str">
        <f t="shared" si="685"/>
        <v/>
      </c>
      <c r="U4419" t="str">
        <f t="shared" si="686"/>
        <v/>
      </c>
      <c r="V4419" t="str">
        <f t="shared" si="687"/>
        <v/>
      </c>
      <c r="W4419" t="str">
        <f t="shared" si="688"/>
        <v/>
      </c>
      <c r="X4419">
        <f>IF($T4419="",N($X4418),IF(MATCH($T4419,$T$6:$T$10005,0)=ROW()-5,N($X4418)+1,N($X4418)))</f>
        <v>0</v>
      </c>
      <c r="Z4419" t="str">
        <f t="shared" si="689"/>
        <v/>
      </c>
      <c r="AA4419">
        <f>IF($V4419="",N($AA4418),IF(MATCH($V4419,$V$6:$V$10005,0)=ROW()-5,N($AA4418)+1,N($AA4418)))</f>
        <v>0</v>
      </c>
    </row>
    <row r="4420" spans="1:27" ht="21" customHeight="1" x14ac:dyDescent="0.95">
      <c r="A4420" s="56"/>
      <c r="B4420" s="57"/>
      <c r="C4420" s="57"/>
      <c r="D4420" s="57"/>
      <c r="E4420" s="56"/>
      <c r="F4420" s="57"/>
      <c r="G4420" s="57"/>
      <c r="H4420" s="56"/>
      <c r="I4420" s="56"/>
      <c r="J4420" s="58"/>
      <c r="K4420" s="58"/>
      <c r="L4420" s="13" t="str">
        <f t="shared" si="680"/>
        <v/>
      </c>
      <c r="M4420" s="13" t="str">
        <f t="shared" si="681"/>
        <v/>
      </c>
      <c r="Q4420" t="str">
        <f t="shared" si="682"/>
        <v/>
      </c>
      <c r="R4420" t="str">
        <f t="shared" si="683"/>
        <v/>
      </c>
      <c r="S4420" t="str">
        <f t="shared" si="684"/>
        <v/>
      </c>
      <c r="T4420" t="str">
        <f t="shared" si="685"/>
        <v/>
      </c>
      <c r="U4420" t="str">
        <f t="shared" si="686"/>
        <v/>
      </c>
      <c r="V4420" t="str">
        <f t="shared" si="687"/>
        <v/>
      </c>
      <c r="W4420" t="str">
        <f t="shared" si="688"/>
        <v/>
      </c>
      <c r="X4420">
        <f>IF($T4420="",N($X4419),IF(MATCH($T4420,$T$6:$T$10005,0)=ROW()-5,N($X4419)+1,N($X4419)))</f>
        <v>0</v>
      </c>
      <c r="Z4420" t="str">
        <f t="shared" si="689"/>
        <v/>
      </c>
      <c r="AA4420">
        <f>IF($V4420="",N($AA4419),IF(MATCH($V4420,$V$6:$V$10005,0)=ROW()-5,N($AA4419)+1,N($AA4419)))</f>
        <v>0</v>
      </c>
    </row>
    <row r="4421" spans="1:27" ht="21" customHeight="1" x14ac:dyDescent="0.95">
      <c r="A4421" s="56"/>
      <c r="B4421" s="57"/>
      <c r="C4421" s="57"/>
      <c r="D4421" s="57"/>
      <c r="E4421" s="56"/>
      <c r="F4421" s="57"/>
      <c r="G4421" s="57"/>
      <c r="H4421" s="56"/>
      <c r="I4421" s="56"/>
      <c r="J4421" s="58"/>
      <c r="K4421" s="58"/>
      <c r="L4421" s="13" t="str">
        <f t="shared" si="680"/>
        <v/>
      </c>
      <c r="M4421" s="13" t="str">
        <f t="shared" si="681"/>
        <v/>
      </c>
      <c r="Q4421" t="str">
        <f t="shared" si="682"/>
        <v/>
      </c>
      <c r="R4421" t="str">
        <f t="shared" si="683"/>
        <v/>
      </c>
      <c r="S4421" t="str">
        <f t="shared" si="684"/>
        <v/>
      </c>
      <c r="T4421" t="str">
        <f t="shared" si="685"/>
        <v/>
      </c>
      <c r="U4421" t="str">
        <f t="shared" si="686"/>
        <v/>
      </c>
      <c r="V4421" t="str">
        <f t="shared" si="687"/>
        <v/>
      </c>
      <c r="W4421" t="str">
        <f t="shared" si="688"/>
        <v/>
      </c>
      <c r="X4421">
        <f>IF($T4421="",N($X4420),IF(MATCH($T4421,$T$6:$T$10005,0)=ROW()-5,N($X4420)+1,N($X4420)))</f>
        <v>0</v>
      </c>
      <c r="Z4421" t="str">
        <f t="shared" si="689"/>
        <v/>
      </c>
      <c r="AA4421">
        <f>IF($V4421="",N($AA4420),IF(MATCH($V4421,$V$6:$V$10005,0)=ROW()-5,N($AA4420)+1,N($AA4420)))</f>
        <v>0</v>
      </c>
    </row>
    <row r="4422" spans="1:27" ht="21" customHeight="1" x14ac:dyDescent="0.95">
      <c r="A4422" s="56"/>
      <c r="B4422" s="57"/>
      <c r="C4422" s="57"/>
      <c r="D4422" s="57"/>
      <c r="E4422" s="56"/>
      <c r="F4422" s="57"/>
      <c r="G4422" s="57"/>
      <c r="H4422" s="56"/>
      <c r="I4422" s="56"/>
      <c r="J4422" s="58"/>
      <c r="K4422" s="58"/>
      <c r="L4422" s="13" t="str">
        <f t="shared" ref="L4422:L4485" si="690">IF(OR($A4422="",AND($J4422="",$K4422="")),"",ROUND(N($J4422)-N($K4422),2))</f>
        <v/>
      </c>
      <c r="M4422" s="13" t="str">
        <f t="shared" ref="M4422:M4485" si="691">IF(OR($A4422="",AND($J4422="",$K4422="")),"",MIN($J4422,$K4422))</f>
        <v/>
      </c>
      <c r="Q4422" t="str">
        <f t="shared" ref="Q4422:Q4485" si="692">IF($A4422="","",$D4422&amp;"("&amp;SUBSTITUTE($E4422," ","")&amp;")")</f>
        <v/>
      </c>
      <c r="R4422" t="str">
        <f t="shared" ref="R4422:R4485" si="693">IF($A4422="","",$B4422&amp;" - "&amp;$C4422)</f>
        <v/>
      </c>
      <c r="S4422" t="str">
        <f t="shared" ref="S4422:S4485" si="694">IF($A4422="","",$R4422&amp;"|"&amp;$Q4422)</f>
        <v/>
      </c>
      <c r="T4422" t="str">
        <f t="shared" ref="T4422:T4485" si="695">IF($A4422="","",$S4422&amp;"|"&amp;$F4422)</f>
        <v/>
      </c>
      <c r="U4422" t="str">
        <f t="shared" ref="U4422:U4485" si="696">IF($A4422="","",$R4422&amp;"("&amp;$E4422&amp;")")</f>
        <v/>
      </c>
      <c r="V4422" t="str">
        <f t="shared" ref="V4422:V4485" si="697">IF($A4422="","",$F4422&amp;"|"&amp;$U4422&amp;"|"&amp;$D4422)</f>
        <v/>
      </c>
      <c r="W4422" t="str">
        <f t="shared" ref="W4422:W4485" si="698">IF($T4422="","",IF($X4422&gt;N($X4421),$X4422,""))</f>
        <v/>
      </c>
      <c r="X4422">
        <f>IF($T4422="",N($X4421),IF(MATCH($T4422,$T$6:$T$10005,0)=ROW()-5,N($X4421)+1,N($X4421)))</f>
        <v>0</v>
      </c>
      <c r="Z4422" t="str">
        <f t="shared" ref="Z4422:Z4485" si="699">IF($V4422="","",IF($AA4422&gt;N($AA4421),$AA4422,""))</f>
        <v/>
      </c>
      <c r="AA4422">
        <f>IF($V4422="",N($AA4421),IF(MATCH($V4422,$V$6:$V$10005,0)=ROW()-5,N($AA4421)+1,N($AA4421)))</f>
        <v>0</v>
      </c>
    </row>
    <row r="4423" spans="1:27" ht="21" customHeight="1" x14ac:dyDescent="0.95">
      <c r="A4423" s="56"/>
      <c r="B4423" s="57"/>
      <c r="C4423" s="57"/>
      <c r="D4423" s="57"/>
      <c r="E4423" s="56"/>
      <c r="F4423" s="57"/>
      <c r="G4423" s="57"/>
      <c r="H4423" s="56"/>
      <c r="I4423" s="56"/>
      <c r="J4423" s="58"/>
      <c r="K4423" s="58"/>
      <c r="L4423" s="13" t="str">
        <f t="shared" si="690"/>
        <v/>
      </c>
      <c r="M4423" s="13" t="str">
        <f t="shared" si="691"/>
        <v/>
      </c>
      <c r="Q4423" t="str">
        <f t="shared" si="692"/>
        <v/>
      </c>
      <c r="R4423" t="str">
        <f t="shared" si="693"/>
        <v/>
      </c>
      <c r="S4423" t="str">
        <f t="shared" si="694"/>
        <v/>
      </c>
      <c r="T4423" t="str">
        <f t="shared" si="695"/>
        <v/>
      </c>
      <c r="U4423" t="str">
        <f t="shared" si="696"/>
        <v/>
      </c>
      <c r="V4423" t="str">
        <f t="shared" si="697"/>
        <v/>
      </c>
      <c r="W4423" t="str">
        <f t="shared" si="698"/>
        <v/>
      </c>
      <c r="X4423">
        <f>IF($T4423="",N($X4422),IF(MATCH($T4423,$T$6:$T$10005,0)=ROW()-5,N($X4422)+1,N($X4422)))</f>
        <v>0</v>
      </c>
      <c r="Z4423" t="str">
        <f t="shared" si="699"/>
        <v/>
      </c>
      <c r="AA4423">
        <f>IF($V4423="",N($AA4422),IF(MATCH($V4423,$V$6:$V$10005,0)=ROW()-5,N($AA4422)+1,N($AA4422)))</f>
        <v>0</v>
      </c>
    </row>
    <row r="4424" spans="1:27" ht="21" customHeight="1" x14ac:dyDescent="0.95">
      <c r="A4424" s="56"/>
      <c r="B4424" s="57"/>
      <c r="C4424" s="57"/>
      <c r="D4424" s="57"/>
      <c r="E4424" s="56"/>
      <c r="F4424" s="57"/>
      <c r="G4424" s="57"/>
      <c r="H4424" s="56"/>
      <c r="I4424" s="56"/>
      <c r="J4424" s="58"/>
      <c r="K4424" s="58"/>
      <c r="L4424" s="13" t="str">
        <f t="shared" si="690"/>
        <v/>
      </c>
      <c r="M4424" s="13" t="str">
        <f t="shared" si="691"/>
        <v/>
      </c>
      <c r="Q4424" t="str">
        <f t="shared" si="692"/>
        <v/>
      </c>
      <c r="R4424" t="str">
        <f t="shared" si="693"/>
        <v/>
      </c>
      <c r="S4424" t="str">
        <f t="shared" si="694"/>
        <v/>
      </c>
      <c r="T4424" t="str">
        <f t="shared" si="695"/>
        <v/>
      </c>
      <c r="U4424" t="str">
        <f t="shared" si="696"/>
        <v/>
      </c>
      <c r="V4424" t="str">
        <f t="shared" si="697"/>
        <v/>
      </c>
      <c r="W4424" t="str">
        <f t="shared" si="698"/>
        <v/>
      </c>
      <c r="X4424">
        <f>IF($T4424="",N($X4423),IF(MATCH($T4424,$T$6:$T$10005,0)=ROW()-5,N($X4423)+1,N($X4423)))</f>
        <v>0</v>
      </c>
      <c r="Z4424" t="str">
        <f t="shared" si="699"/>
        <v/>
      </c>
      <c r="AA4424">
        <f>IF($V4424="",N($AA4423),IF(MATCH($V4424,$V$6:$V$10005,0)=ROW()-5,N($AA4423)+1,N($AA4423)))</f>
        <v>0</v>
      </c>
    </row>
    <row r="4425" spans="1:27" ht="21" customHeight="1" x14ac:dyDescent="0.95">
      <c r="A4425" s="56"/>
      <c r="B4425" s="57"/>
      <c r="C4425" s="57"/>
      <c r="D4425" s="57"/>
      <c r="E4425" s="56"/>
      <c r="F4425" s="57"/>
      <c r="G4425" s="57"/>
      <c r="H4425" s="56"/>
      <c r="I4425" s="56"/>
      <c r="J4425" s="58"/>
      <c r="K4425" s="58"/>
      <c r="L4425" s="13" t="str">
        <f t="shared" si="690"/>
        <v/>
      </c>
      <c r="M4425" s="13" t="str">
        <f t="shared" si="691"/>
        <v/>
      </c>
      <c r="Q4425" t="str">
        <f t="shared" si="692"/>
        <v/>
      </c>
      <c r="R4425" t="str">
        <f t="shared" si="693"/>
        <v/>
      </c>
      <c r="S4425" t="str">
        <f t="shared" si="694"/>
        <v/>
      </c>
      <c r="T4425" t="str">
        <f t="shared" si="695"/>
        <v/>
      </c>
      <c r="U4425" t="str">
        <f t="shared" si="696"/>
        <v/>
      </c>
      <c r="V4425" t="str">
        <f t="shared" si="697"/>
        <v/>
      </c>
      <c r="W4425" t="str">
        <f t="shared" si="698"/>
        <v/>
      </c>
      <c r="X4425">
        <f>IF($T4425="",N($X4424),IF(MATCH($T4425,$T$6:$T$10005,0)=ROW()-5,N($X4424)+1,N($X4424)))</f>
        <v>0</v>
      </c>
      <c r="Z4425" t="str">
        <f t="shared" si="699"/>
        <v/>
      </c>
      <c r="AA4425">
        <f>IF($V4425="",N($AA4424),IF(MATCH($V4425,$V$6:$V$10005,0)=ROW()-5,N($AA4424)+1,N($AA4424)))</f>
        <v>0</v>
      </c>
    </row>
    <row r="4426" spans="1:27" ht="21" customHeight="1" x14ac:dyDescent="0.95">
      <c r="A4426" s="56"/>
      <c r="B4426" s="57"/>
      <c r="C4426" s="57"/>
      <c r="D4426" s="57"/>
      <c r="E4426" s="56"/>
      <c r="F4426" s="57"/>
      <c r="G4426" s="57"/>
      <c r="H4426" s="56"/>
      <c r="I4426" s="56"/>
      <c r="J4426" s="58"/>
      <c r="K4426" s="58"/>
      <c r="L4426" s="13" t="str">
        <f t="shared" si="690"/>
        <v/>
      </c>
      <c r="M4426" s="13" t="str">
        <f t="shared" si="691"/>
        <v/>
      </c>
      <c r="Q4426" t="str">
        <f t="shared" si="692"/>
        <v/>
      </c>
      <c r="R4426" t="str">
        <f t="shared" si="693"/>
        <v/>
      </c>
      <c r="S4426" t="str">
        <f t="shared" si="694"/>
        <v/>
      </c>
      <c r="T4426" t="str">
        <f t="shared" si="695"/>
        <v/>
      </c>
      <c r="U4426" t="str">
        <f t="shared" si="696"/>
        <v/>
      </c>
      <c r="V4426" t="str">
        <f t="shared" si="697"/>
        <v/>
      </c>
      <c r="W4426" t="str">
        <f t="shared" si="698"/>
        <v/>
      </c>
      <c r="X4426">
        <f>IF($T4426="",N($X4425),IF(MATCH($T4426,$T$6:$T$10005,0)=ROW()-5,N($X4425)+1,N($X4425)))</f>
        <v>0</v>
      </c>
      <c r="Z4426" t="str">
        <f t="shared" si="699"/>
        <v/>
      </c>
      <c r="AA4426">
        <f>IF($V4426="",N($AA4425),IF(MATCH($V4426,$V$6:$V$10005,0)=ROW()-5,N($AA4425)+1,N($AA4425)))</f>
        <v>0</v>
      </c>
    </row>
    <row r="4427" spans="1:27" ht="21" customHeight="1" x14ac:dyDescent="0.95">
      <c r="A4427" s="56"/>
      <c r="B4427" s="57"/>
      <c r="C4427" s="57"/>
      <c r="D4427" s="57"/>
      <c r="E4427" s="56"/>
      <c r="F4427" s="57"/>
      <c r="G4427" s="57"/>
      <c r="H4427" s="56"/>
      <c r="I4427" s="56"/>
      <c r="J4427" s="58"/>
      <c r="K4427" s="58"/>
      <c r="L4427" s="13" t="str">
        <f t="shared" si="690"/>
        <v/>
      </c>
      <c r="M4427" s="13" t="str">
        <f t="shared" si="691"/>
        <v/>
      </c>
      <c r="Q4427" t="str">
        <f t="shared" si="692"/>
        <v/>
      </c>
      <c r="R4427" t="str">
        <f t="shared" si="693"/>
        <v/>
      </c>
      <c r="S4427" t="str">
        <f t="shared" si="694"/>
        <v/>
      </c>
      <c r="T4427" t="str">
        <f t="shared" si="695"/>
        <v/>
      </c>
      <c r="U4427" t="str">
        <f t="shared" si="696"/>
        <v/>
      </c>
      <c r="V4427" t="str">
        <f t="shared" si="697"/>
        <v/>
      </c>
      <c r="W4427" t="str">
        <f t="shared" si="698"/>
        <v/>
      </c>
      <c r="X4427">
        <f>IF($T4427="",N($X4426),IF(MATCH($T4427,$T$6:$T$10005,0)=ROW()-5,N($X4426)+1,N($X4426)))</f>
        <v>0</v>
      </c>
      <c r="Z4427" t="str">
        <f t="shared" si="699"/>
        <v/>
      </c>
      <c r="AA4427">
        <f>IF($V4427="",N($AA4426),IF(MATCH($V4427,$V$6:$V$10005,0)=ROW()-5,N($AA4426)+1,N($AA4426)))</f>
        <v>0</v>
      </c>
    </row>
    <row r="4428" spans="1:27" ht="21" customHeight="1" x14ac:dyDescent="0.95">
      <c r="A4428" s="56"/>
      <c r="B4428" s="57"/>
      <c r="C4428" s="57"/>
      <c r="D4428" s="57"/>
      <c r="E4428" s="56"/>
      <c r="F4428" s="57"/>
      <c r="G4428" s="57"/>
      <c r="H4428" s="56"/>
      <c r="I4428" s="56"/>
      <c r="J4428" s="58"/>
      <c r="K4428" s="58"/>
      <c r="L4428" s="13" t="str">
        <f t="shared" si="690"/>
        <v/>
      </c>
      <c r="M4428" s="13" t="str">
        <f t="shared" si="691"/>
        <v/>
      </c>
      <c r="Q4428" t="str">
        <f t="shared" si="692"/>
        <v/>
      </c>
      <c r="R4428" t="str">
        <f t="shared" si="693"/>
        <v/>
      </c>
      <c r="S4428" t="str">
        <f t="shared" si="694"/>
        <v/>
      </c>
      <c r="T4428" t="str">
        <f t="shared" si="695"/>
        <v/>
      </c>
      <c r="U4428" t="str">
        <f t="shared" si="696"/>
        <v/>
      </c>
      <c r="V4428" t="str">
        <f t="shared" si="697"/>
        <v/>
      </c>
      <c r="W4428" t="str">
        <f t="shared" si="698"/>
        <v/>
      </c>
      <c r="X4428">
        <f>IF($T4428="",N($X4427),IF(MATCH($T4428,$T$6:$T$10005,0)=ROW()-5,N($X4427)+1,N($X4427)))</f>
        <v>0</v>
      </c>
      <c r="Z4428" t="str">
        <f t="shared" si="699"/>
        <v/>
      </c>
      <c r="AA4428">
        <f>IF($V4428="",N($AA4427),IF(MATCH($V4428,$V$6:$V$10005,0)=ROW()-5,N($AA4427)+1,N($AA4427)))</f>
        <v>0</v>
      </c>
    </row>
    <row r="4429" spans="1:27" ht="21" customHeight="1" x14ac:dyDescent="0.95">
      <c r="A4429" s="56"/>
      <c r="B4429" s="57"/>
      <c r="C4429" s="57"/>
      <c r="D4429" s="57"/>
      <c r="E4429" s="56"/>
      <c r="F4429" s="57"/>
      <c r="G4429" s="57"/>
      <c r="H4429" s="56"/>
      <c r="I4429" s="56"/>
      <c r="J4429" s="58"/>
      <c r="K4429" s="58"/>
      <c r="L4429" s="13" t="str">
        <f t="shared" si="690"/>
        <v/>
      </c>
      <c r="M4429" s="13" t="str">
        <f t="shared" si="691"/>
        <v/>
      </c>
      <c r="Q4429" t="str">
        <f t="shared" si="692"/>
        <v/>
      </c>
      <c r="R4429" t="str">
        <f t="shared" si="693"/>
        <v/>
      </c>
      <c r="S4429" t="str">
        <f t="shared" si="694"/>
        <v/>
      </c>
      <c r="T4429" t="str">
        <f t="shared" si="695"/>
        <v/>
      </c>
      <c r="U4429" t="str">
        <f t="shared" si="696"/>
        <v/>
      </c>
      <c r="V4429" t="str">
        <f t="shared" si="697"/>
        <v/>
      </c>
      <c r="W4429" t="str">
        <f t="shared" si="698"/>
        <v/>
      </c>
      <c r="X4429">
        <f>IF($T4429="",N($X4428),IF(MATCH($T4429,$T$6:$T$10005,0)=ROW()-5,N($X4428)+1,N($X4428)))</f>
        <v>0</v>
      </c>
      <c r="Z4429" t="str">
        <f t="shared" si="699"/>
        <v/>
      </c>
      <c r="AA4429">
        <f>IF($V4429="",N($AA4428),IF(MATCH($V4429,$V$6:$V$10005,0)=ROW()-5,N($AA4428)+1,N($AA4428)))</f>
        <v>0</v>
      </c>
    </row>
    <row r="4430" spans="1:27" ht="21" customHeight="1" x14ac:dyDescent="0.95">
      <c r="A4430" s="56"/>
      <c r="B4430" s="57"/>
      <c r="C4430" s="57"/>
      <c r="D4430" s="57"/>
      <c r="E4430" s="56"/>
      <c r="F4430" s="57"/>
      <c r="G4430" s="57"/>
      <c r="H4430" s="56"/>
      <c r="I4430" s="56"/>
      <c r="J4430" s="58"/>
      <c r="K4430" s="58"/>
      <c r="L4430" s="13" t="str">
        <f t="shared" si="690"/>
        <v/>
      </c>
      <c r="M4430" s="13" t="str">
        <f t="shared" si="691"/>
        <v/>
      </c>
      <c r="Q4430" t="str">
        <f t="shared" si="692"/>
        <v/>
      </c>
      <c r="R4430" t="str">
        <f t="shared" si="693"/>
        <v/>
      </c>
      <c r="S4430" t="str">
        <f t="shared" si="694"/>
        <v/>
      </c>
      <c r="T4430" t="str">
        <f t="shared" si="695"/>
        <v/>
      </c>
      <c r="U4430" t="str">
        <f t="shared" si="696"/>
        <v/>
      </c>
      <c r="V4430" t="str">
        <f t="shared" si="697"/>
        <v/>
      </c>
      <c r="W4430" t="str">
        <f t="shared" si="698"/>
        <v/>
      </c>
      <c r="X4430">
        <f>IF($T4430="",N($X4429),IF(MATCH($T4430,$T$6:$T$10005,0)=ROW()-5,N($X4429)+1,N($X4429)))</f>
        <v>0</v>
      </c>
      <c r="Z4430" t="str">
        <f t="shared" si="699"/>
        <v/>
      </c>
      <c r="AA4430">
        <f>IF($V4430="",N($AA4429),IF(MATCH($V4430,$V$6:$V$10005,0)=ROW()-5,N($AA4429)+1,N($AA4429)))</f>
        <v>0</v>
      </c>
    </row>
    <row r="4431" spans="1:27" ht="21" customHeight="1" x14ac:dyDescent="0.95">
      <c r="A4431" s="56"/>
      <c r="B4431" s="57"/>
      <c r="C4431" s="57"/>
      <c r="D4431" s="57"/>
      <c r="E4431" s="56"/>
      <c r="F4431" s="57"/>
      <c r="G4431" s="57"/>
      <c r="H4431" s="56"/>
      <c r="I4431" s="56"/>
      <c r="J4431" s="58"/>
      <c r="K4431" s="58"/>
      <c r="L4431" s="13" t="str">
        <f t="shared" si="690"/>
        <v/>
      </c>
      <c r="M4431" s="13" t="str">
        <f t="shared" si="691"/>
        <v/>
      </c>
      <c r="Q4431" t="str">
        <f t="shared" si="692"/>
        <v/>
      </c>
      <c r="R4431" t="str">
        <f t="shared" si="693"/>
        <v/>
      </c>
      <c r="S4431" t="str">
        <f t="shared" si="694"/>
        <v/>
      </c>
      <c r="T4431" t="str">
        <f t="shared" si="695"/>
        <v/>
      </c>
      <c r="U4431" t="str">
        <f t="shared" si="696"/>
        <v/>
      </c>
      <c r="V4431" t="str">
        <f t="shared" si="697"/>
        <v/>
      </c>
      <c r="W4431" t="str">
        <f t="shared" si="698"/>
        <v/>
      </c>
      <c r="X4431">
        <f>IF($T4431="",N($X4430),IF(MATCH($T4431,$T$6:$T$10005,0)=ROW()-5,N($X4430)+1,N($X4430)))</f>
        <v>0</v>
      </c>
      <c r="Z4431" t="str">
        <f t="shared" si="699"/>
        <v/>
      </c>
      <c r="AA4431">
        <f>IF($V4431="",N($AA4430),IF(MATCH($V4431,$V$6:$V$10005,0)=ROW()-5,N($AA4430)+1,N($AA4430)))</f>
        <v>0</v>
      </c>
    </row>
    <row r="4432" spans="1:27" ht="21" customHeight="1" x14ac:dyDescent="0.95">
      <c r="A4432" s="56"/>
      <c r="B4432" s="57"/>
      <c r="C4432" s="57"/>
      <c r="D4432" s="57"/>
      <c r="E4432" s="56"/>
      <c r="F4432" s="57"/>
      <c r="G4432" s="57"/>
      <c r="H4432" s="56"/>
      <c r="I4432" s="56"/>
      <c r="J4432" s="58"/>
      <c r="K4432" s="58"/>
      <c r="L4432" s="13" t="str">
        <f t="shared" si="690"/>
        <v/>
      </c>
      <c r="M4432" s="13" t="str">
        <f t="shared" si="691"/>
        <v/>
      </c>
      <c r="Q4432" t="str">
        <f t="shared" si="692"/>
        <v/>
      </c>
      <c r="R4432" t="str">
        <f t="shared" si="693"/>
        <v/>
      </c>
      <c r="S4432" t="str">
        <f t="shared" si="694"/>
        <v/>
      </c>
      <c r="T4432" t="str">
        <f t="shared" si="695"/>
        <v/>
      </c>
      <c r="U4432" t="str">
        <f t="shared" si="696"/>
        <v/>
      </c>
      <c r="V4432" t="str">
        <f t="shared" si="697"/>
        <v/>
      </c>
      <c r="W4432" t="str">
        <f t="shared" si="698"/>
        <v/>
      </c>
      <c r="X4432">
        <f>IF($T4432="",N($X4431),IF(MATCH($T4432,$T$6:$T$10005,0)=ROW()-5,N($X4431)+1,N($X4431)))</f>
        <v>0</v>
      </c>
      <c r="Z4432" t="str">
        <f t="shared" si="699"/>
        <v/>
      </c>
      <c r="AA4432">
        <f>IF($V4432="",N($AA4431),IF(MATCH($V4432,$V$6:$V$10005,0)=ROW()-5,N($AA4431)+1,N($AA4431)))</f>
        <v>0</v>
      </c>
    </row>
    <row r="4433" spans="1:27" ht="21" customHeight="1" x14ac:dyDescent="0.95">
      <c r="A4433" s="56"/>
      <c r="B4433" s="57"/>
      <c r="C4433" s="57"/>
      <c r="D4433" s="57"/>
      <c r="E4433" s="56"/>
      <c r="F4433" s="57"/>
      <c r="G4433" s="57"/>
      <c r="H4433" s="56"/>
      <c r="I4433" s="56"/>
      <c r="J4433" s="58"/>
      <c r="K4433" s="58"/>
      <c r="L4433" s="13" t="str">
        <f t="shared" si="690"/>
        <v/>
      </c>
      <c r="M4433" s="13" t="str">
        <f t="shared" si="691"/>
        <v/>
      </c>
      <c r="Q4433" t="str">
        <f t="shared" si="692"/>
        <v/>
      </c>
      <c r="R4433" t="str">
        <f t="shared" si="693"/>
        <v/>
      </c>
      <c r="S4433" t="str">
        <f t="shared" si="694"/>
        <v/>
      </c>
      <c r="T4433" t="str">
        <f t="shared" si="695"/>
        <v/>
      </c>
      <c r="U4433" t="str">
        <f t="shared" si="696"/>
        <v/>
      </c>
      <c r="V4433" t="str">
        <f t="shared" si="697"/>
        <v/>
      </c>
      <c r="W4433" t="str">
        <f t="shared" si="698"/>
        <v/>
      </c>
      <c r="X4433">
        <f>IF($T4433="",N($X4432),IF(MATCH($T4433,$T$6:$T$10005,0)=ROW()-5,N($X4432)+1,N($X4432)))</f>
        <v>0</v>
      </c>
      <c r="Z4433" t="str">
        <f t="shared" si="699"/>
        <v/>
      </c>
      <c r="AA4433">
        <f>IF($V4433="",N($AA4432),IF(MATCH($V4433,$V$6:$V$10005,0)=ROW()-5,N($AA4432)+1,N($AA4432)))</f>
        <v>0</v>
      </c>
    </row>
    <row r="4434" spans="1:27" ht="21" customHeight="1" x14ac:dyDescent="0.95">
      <c r="A4434" s="56"/>
      <c r="B4434" s="57"/>
      <c r="C4434" s="57"/>
      <c r="D4434" s="57"/>
      <c r="E4434" s="56"/>
      <c r="F4434" s="57"/>
      <c r="G4434" s="57"/>
      <c r="H4434" s="56"/>
      <c r="I4434" s="56"/>
      <c r="J4434" s="58"/>
      <c r="K4434" s="58"/>
      <c r="L4434" s="13" t="str">
        <f t="shared" si="690"/>
        <v/>
      </c>
      <c r="M4434" s="13" t="str">
        <f t="shared" si="691"/>
        <v/>
      </c>
      <c r="Q4434" t="str">
        <f t="shared" si="692"/>
        <v/>
      </c>
      <c r="R4434" t="str">
        <f t="shared" si="693"/>
        <v/>
      </c>
      <c r="S4434" t="str">
        <f t="shared" si="694"/>
        <v/>
      </c>
      <c r="T4434" t="str">
        <f t="shared" si="695"/>
        <v/>
      </c>
      <c r="U4434" t="str">
        <f t="shared" si="696"/>
        <v/>
      </c>
      <c r="V4434" t="str">
        <f t="shared" si="697"/>
        <v/>
      </c>
      <c r="W4434" t="str">
        <f t="shared" si="698"/>
        <v/>
      </c>
      <c r="X4434">
        <f>IF($T4434="",N($X4433),IF(MATCH($T4434,$T$6:$T$10005,0)=ROW()-5,N($X4433)+1,N($X4433)))</f>
        <v>0</v>
      </c>
      <c r="Z4434" t="str">
        <f t="shared" si="699"/>
        <v/>
      </c>
      <c r="AA4434">
        <f>IF($V4434="",N($AA4433),IF(MATCH($V4434,$V$6:$V$10005,0)=ROW()-5,N($AA4433)+1,N($AA4433)))</f>
        <v>0</v>
      </c>
    </row>
    <row r="4435" spans="1:27" ht="21" customHeight="1" x14ac:dyDescent="0.95">
      <c r="A4435" s="56"/>
      <c r="B4435" s="57"/>
      <c r="C4435" s="57"/>
      <c r="D4435" s="57"/>
      <c r="E4435" s="56"/>
      <c r="F4435" s="57"/>
      <c r="G4435" s="57"/>
      <c r="H4435" s="56"/>
      <c r="I4435" s="56"/>
      <c r="J4435" s="58"/>
      <c r="K4435" s="58"/>
      <c r="L4435" s="13" t="str">
        <f t="shared" si="690"/>
        <v/>
      </c>
      <c r="M4435" s="13" t="str">
        <f t="shared" si="691"/>
        <v/>
      </c>
      <c r="Q4435" t="str">
        <f t="shared" si="692"/>
        <v/>
      </c>
      <c r="R4435" t="str">
        <f t="shared" si="693"/>
        <v/>
      </c>
      <c r="S4435" t="str">
        <f t="shared" si="694"/>
        <v/>
      </c>
      <c r="T4435" t="str">
        <f t="shared" si="695"/>
        <v/>
      </c>
      <c r="U4435" t="str">
        <f t="shared" si="696"/>
        <v/>
      </c>
      <c r="V4435" t="str">
        <f t="shared" si="697"/>
        <v/>
      </c>
      <c r="W4435" t="str">
        <f t="shared" si="698"/>
        <v/>
      </c>
      <c r="X4435">
        <f>IF($T4435="",N($X4434),IF(MATCH($T4435,$T$6:$T$10005,0)=ROW()-5,N($X4434)+1,N($X4434)))</f>
        <v>0</v>
      </c>
      <c r="Z4435" t="str">
        <f t="shared" si="699"/>
        <v/>
      </c>
      <c r="AA4435">
        <f>IF($V4435="",N($AA4434),IF(MATCH($V4435,$V$6:$V$10005,0)=ROW()-5,N($AA4434)+1,N($AA4434)))</f>
        <v>0</v>
      </c>
    </row>
    <row r="4436" spans="1:27" ht="21" customHeight="1" x14ac:dyDescent="0.95">
      <c r="A4436" s="56"/>
      <c r="B4436" s="57"/>
      <c r="C4436" s="57"/>
      <c r="D4436" s="57"/>
      <c r="E4436" s="56"/>
      <c r="F4436" s="57"/>
      <c r="G4436" s="57"/>
      <c r="H4436" s="56"/>
      <c r="I4436" s="56"/>
      <c r="J4436" s="58"/>
      <c r="K4436" s="58"/>
      <c r="L4436" s="13" t="str">
        <f t="shared" si="690"/>
        <v/>
      </c>
      <c r="M4436" s="13" t="str">
        <f t="shared" si="691"/>
        <v/>
      </c>
      <c r="Q4436" t="str">
        <f t="shared" si="692"/>
        <v/>
      </c>
      <c r="R4436" t="str">
        <f t="shared" si="693"/>
        <v/>
      </c>
      <c r="S4436" t="str">
        <f t="shared" si="694"/>
        <v/>
      </c>
      <c r="T4436" t="str">
        <f t="shared" si="695"/>
        <v/>
      </c>
      <c r="U4436" t="str">
        <f t="shared" si="696"/>
        <v/>
      </c>
      <c r="V4436" t="str">
        <f t="shared" si="697"/>
        <v/>
      </c>
      <c r="W4436" t="str">
        <f t="shared" si="698"/>
        <v/>
      </c>
      <c r="X4436">
        <f>IF($T4436="",N($X4435),IF(MATCH($T4436,$T$6:$T$10005,0)=ROW()-5,N($X4435)+1,N($X4435)))</f>
        <v>0</v>
      </c>
      <c r="Z4436" t="str">
        <f t="shared" si="699"/>
        <v/>
      </c>
      <c r="AA4436">
        <f>IF($V4436="",N($AA4435),IF(MATCH($V4436,$V$6:$V$10005,0)=ROW()-5,N($AA4435)+1,N($AA4435)))</f>
        <v>0</v>
      </c>
    </row>
    <row r="4437" spans="1:27" ht="21" customHeight="1" x14ac:dyDescent="0.95">
      <c r="A4437" s="56"/>
      <c r="B4437" s="57"/>
      <c r="C4437" s="57"/>
      <c r="D4437" s="57"/>
      <c r="E4437" s="56"/>
      <c r="F4437" s="57"/>
      <c r="G4437" s="57"/>
      <c r="H4437" s="56"/>
      <c r="I4437" s="56"/>
      <c r="J4437" s="58"/>
      <c r="K4437" s="58"/>
      <c r="L4437" s="13" t="str">
        <f t="shared" si="690"/>
        <v/>
      </c>
      <c r="M4437" s="13" t="str">
        <f t="shared" si="691"/>
        <v/>
      </c>
      <c r="Q4437" t="str">
        <f t="shared" si="692"/>
        <v/>
      </c>
      <c r="R4437" t="str">
        <f t="shared" si="693"/>
        <v/>
      </c>
      <c r="S4437" t="str">
        <f t="shared" si="694"/>
        <v/>
      </c>
      <c r="T4437" t="str">
        <f t="shared" si="695"/>
        <v/>
      </c>
      <c r="U4437" t="str">
        <f t="shared" si="696"/>
        <v/>
      </c>
      <c r="V4437" t="str">
        <f t="shared" si="697"/>
        <v/>
      </c>
      <c r="W4437" t="str">
        <f t="shared" si="698"/>
        <v/>
      </c>
      <c r="X4437">
        <f>IF($T4437="",N($X4436),IF(MATCH($T4437,$T$6:$T$10005,0)=ROW()-5,N($X4436)+1,N($X4436)))</f>
        <v>0</v>
      </c>
      <c r="Z4437" t="str">
        <f t="shared" si="699"/>
        <v/>
      </c>
      <c r="AA4437">
        <f>IF($V4437="",N($AA4436),IF(MATCH($V4437,$V$6:$V$10005,0)=ROW()-5,N($AA4436)+1,N($AA4436)))</f>
        <v>0</v>
      </c>
    </row>
    <row r="4438" spans="1:27" ht="21" customHeight="1" x14ac:dyDescent="0.95">
      <c r="A4438" s="56"/>
      <c r="B4438" s="57"/>
      <c r="C4438" s="57"/>
      <c r="D4438" s="57"/>
      <c r="E4438" s="56"/>
      <c r="F4438" s="57"/>
      <c r="G4438" s="57"/>
      <c r="H4438" s="56"/>
      <c r="I4438" s="56"/>
      <c r="J4438" s="58"/>
      <c r="K4438" s="58"/>
      <c r="L4438" s="13" t="str">
        <f t="shared" si="690"/>
        <v/>
      </c>
      <c r="M4438" s="13" t="str">
        <f t="shared" si="691"/>
        <v/>
      </c>
      <c r="Q4438" t="str">
        <f t="shared" si="692"/>
        <v/>
      </c>
      <c r="R4438" t="str">
        <f t="shared" si="693"/>
        <v/>
      </c>
      <c r="S4438" t="str">
        <f t="shared" si="694"/>
        <v/>
      </c>
      <c r="T4438" t="str">
        <f t="shared" si="695"/>
        <v/>
      </c>
      <c r="U4438" t="str">
        <f t="shared" si="696"/>
        <v/>
      </c>
      <c r="V4438" t="str">
        <f t="shared" si="697"/>
        <v/>
      </c>
      <c r="W4438" t="str">
        <f t="shared" si="698"/>
        <v/>
      </c>
      <c r="X4438">
        <f>IF($T4438="",N($X4437),IF(MATCH($T4438,$T$6:$T$10005,0)=ROW()-5,N($X4437)+1,N($X4437)))</f>
        <v>0</v>
      </c>
      <c r="Z4438" t="str">
        <f t="shared" si="699"/>
        <v/>
      </c>
      <c r="AA4438">
        <f>IF($V4438="",N($AA4437),IF(MATCH($V4438,$V$6:$V$10005,0)=ROW()-5,N($AA4437)+1,N($AA4437)))</f>
        <v>0</v>
      </c>
    </row>
    <row r="4439" spans="1:27" ht="21" customHeight="1" x14ac:dyDescent="0.95">
      <c r="A4439" s="56"/>
      <c r="B4439" s="57"/>
      <c r="C4439" s="57"/>
      <c r="D4439" s="57"/>
      <c r="E4439" s="56"/>
      <c r="F4439" s="57"/>
      <c r="G4439" s="57"/>
      <c r="H4439" s="56"/>
      <c r="I4439" s="56"/>
      <c r="J4439" s="58"/>
      <c r="K4439" s="58"/>
      <c r="L4439" s="13" t="str">
        <f t="shared" si="690"/>
        <v/>
      </c>
      <c r="M4439" s="13" t="str">
        <f t="shared" si="691"/>
        <v/>
      </c>
      <c r="Q4439" t="str">
        <f t="shared" si="692"/>
        <v/>
      </c>
      <c r="R4439" t="str">
        <f t="shared" si="693"/>
        <v/>
      </c>
      <c r="S4439" t="str">
        <f t="shared" si="694"/>
        <v/>
      </c>
      <c r="T4439" t="str">
        <f t="shared" si="695"/>
        <v/>
      </c>
      <c r="U4439" t="str">
        <f t="shared" si="696"/>
        <v/>
      </c>
      <c r="V4439" t="str">
        <f t="shared" si="697"/>
        <v/>
      </c>
      <c r="W4439" t="str">
        <f t="shared" si="698"/>
        <v/>
      </c>
      <c r="X4439">
        <f>IF($T4439="",N($X4438),IF(MATCH($T4439,$T$6:$T$10005,0)=ROW()-5,N($X4438)+1,N($X4438)))</f>
        <v>0</v>
      </c>
      <c r="Z4439" t="str">
        <f t="shared" si="699"/>
        <v/>
      </c>
      <c r="AA4439">
        <f>IF($V4439="",N($AA4438),IF(MATCH($V4439,$V$6:$V$10005,0)=ROW()-5,N($AA4438)+1,N($AA4438)))</f>
        <v>0</v>
      </c>
    </row>
    <row r="4440" spans="1:27" ht="21" customHeight="1" x14ac:dyDescent="0.95">
      <c r="A4440" s="56"/>
      <c r="B4440" s="57"/>
      <c r="C4440" s="57"/>
      <c r="D4440" s="57"/>
      <c r="E4440" s="56"/>
      <c r="F4440" s="57"/>
      <c r="G4440" s="57"/>
      <c r="H4440" s="56"/>
      <c r="I4440" s="56"/>
      <c r="J4440" s="58"/>
      <c r="K4440" s="58"/>
      <c r="L4440" s="13" t="str">
        <f t="shared" si="690"/>
        <v/>
      </c>
      <c r="M4440" s="13" t="str">
        <f t="shared" si="691"/>
        <v/>
      </c>
      <c r="Q4440" t="str">
        <f t="shared" si="692"/>
        <v/>
      </c>
      <c r="R4440" t="str">
        <f t="shared" si="693"/>
        <v/>
      </c>
      <c r="S4440" t="str">
        <f t="shared" si="694"/>
        <v/>
      </c>
      <c r="T4440" t="str">
        <f t="shared" si="695"/>
        <v/>
      </c>
      <c r="U4440" t="str">
        <f t="shared" si="696"/>
        <v/>
      </c>
      <c r="V4440" t="str">
        <f t="shared" si="697"/>
        <v/>
      </c>
      <c r="W4440" t="str">
        <f t="shared" si="698"/>
        <v/>
      </c>
      <c r="X4440">
        <f>IF($T4440="",N($X4439),IF(MATCH($T4440,$T$6:$T$10005,0)=ROW()-5,N($X4439)+1,N($X4439)))</f>
        <v>0</v>
      </c>
      <c r="Z4440" t="str">
        <f t="shared" si="699"/>
        <v/>
      </c>
      <c r="AA4440">
        <f>IF($V4440="",N($AA4439),IF(MATCH($V4440,$V$6:$V$10005,0)=ROW()-5,N($AA4439)+1,N($AA4439)))</f>
        <v>0</v>
      </c>
    </row>
    <row r="4441" spans="1:27" ht="21" customHeight="1" x14ac:dyDescent="0.95">
      <c r="A4441" s="56"/>
      <c r="B4441" s="57"/>
      <c r="C4441" s="57"/>
      <c r="D4441" s="57"/>
      <c r="E4441" s="56"/>
      <c r="F4441" s="57"/>
      <c r="G4441" s="57"/>
      <c r="H4441" s="56"/>
      <c r="I4441" s="56"/>
      <c r="J4441" s="58"/>
      <c r="K4441" s="58"/>
      <c r="L4441" s="13" t="str">
        <f t="shared" si="690"/>
        <v/>
      </c>
      <c r="M4441" s="13" t="str">
        <f t="shared" si="691"/>
        <v/>
      </c>
      <c r="Q4441" t="str">
        <f t="shared" si="692"/>
        <v/>
      </c>
      <c r="R4441" t="str">
        <f t="shared" si="693"/>
        <v/>
      </c>
      <c r="S4441" t="str">
        <f t="shared" si="694"/>
        <v/>
      </c>
      <c r="T4441" t="str">
        <f t="shared" si="695"/>
        <v/>
      </c>
      <c r="U4441" t="str">
        <f t="shared" si="696"/>
        <v/>
      </c>
      <c r="V4441" t="str">
        <f t="shared" si="697"/>
        <v/>
      </c>
      <c r="W4441" t="str">
        <f t="shared" si="698"/>
        <v/>
      </c>
      <c r="X4441">
        <f>IF($T4441="",N($X4440),IF(MATCH($T4441,$T$6:$T$10005,0)=ROW()-5,N($X4440)+1,N($X4440)))</f>
        <v>0</v>
      </c>
      <c r="Z4441" t="str">
        <f t="shared" si="699"/>
        <v/>
      </c>
      <c r="AA4441">
        <f>IF($V4441="",N($AA4440),IF(MATCH($V4441,$V$6:$V$10005,0)=ROW()-5,N($AA4440)+1,N($AA4440)))</f>
        <v>0</v>
      </c>
    </row>
    <row r="4442" spans="1:27" ht="21" customHeight="1" x14ac:dyDescent="0.95">
      <c r="A4442" s="56"/>
      <c r="B4442" s="57"/>
      <c r="C4442" s="57"/>
      <c r="D4442" s="57"/>
      <c r="E4442" s="56"/>
      <c r="F4442" s="57"/>
      <c r="G4442" s="57"/>
      <c r="H4442" s="56"/>
      <c r="I4442" s="56"/>
      <c r="J4442" s="58"/>
      <c r="K4442" s="58"/>
      <c r="L4442" s="13" t="str">
        <f t="shared" si="690"/>
        <v/>
      </c>
      <c r="M4442" s="13" t="str">
        <f t="shared" si="691"/>
        <v/>
      </c>
      <c r="Q4442" t="str">
        <f t="shared" si="692"/>
        <v/>
      </c>
      <c r="R4442" t="str">
        <f t="shared" si="693"/>
        <v/>
      </c>
      <c r="S4442" t="str">
        <f t="shared" si="694"/>
        <v/>
      </c>
      <c r="T4442" t="str">
        <f t="shared" si="695"/>
        <v/>
      </c>
      <c r="U4442" t="str">
        <f t="shared" si="696"/>
        <v/>
      </c>
      <c r="V4442" t="str">
        <f t="shared" si="697"/>
        <v/>
      </c>
      <c r="W4442" t="str">
        <f t="shared" si="698"/>
        <v/>
      </c>
      <c r="X4442">
        <f>IF($T4442="",N($X4441),IF(MATCH($T4442,$T$6:$T$10005,0)=ROW()-5,N($X4441)+1,N($X4441)))</f>
        <v>0</v>
      </c>
      <c r="Z4442" t="str">
        <f t="shared" si="699"/>
        <v/>
      </c>
      <c r="AA4442">
        <f>IF($V4442="",N($AA4441),IF(MATCH($V4442,$V$6:$V$10005,0)=ROW()-5,N($AA4441)+1,N($AA4441)))</f>
        <v>0</v>
      </c>
    </row>
    <row r="4443" spans="1:27" ht="21" customHeight="1" x14ac:dyDescent="0.95">
      <c r="A4443" s="56"/>
      <c r="B4443" s="57"/>
      <c r="C4443" s="57"/>
      <c r="D4443" s="57"/>
      <c r="E4443" s="56"/>
      <c r="F4443" s="57"/>
      <c r="G4443" s="57"/>
      <c r="H4443" s="56"/>
      <c r="I4443" s="56"/>
      <c r="J4443" s="58"/>
      <c r="K4443" s="58"/>
      <c r="L4443" s="13" t="str">
        <f t="shared" si="690"/>
        <v/>
      </c>
      <c r="M4443" s="13" t="str">
        <f t="shared" si="691"/>
        <v/>
      </c>
      <c r="Q4443" t="str">
        <f t="shared" si="692"/>
        <v/>
      </c>
      <c r="R4443" t="str">
        <f t="shared" si="693"/>
        <v/>
      </c>
      <c r="S4443" t="str">
        <f t="shared" si="694"/>
        <v/>
      </c>
      <c r="T4443" t="str">
        <f t="shared" si="695"/>
        <v/>
      </c>
      <c r="U4443" t="str">
        <f t="shared" si="696"/>
        <v/>
      </c>
      <c r="V4443" t="str">
        <f t="shared" si="697"/>
        <v/>
      </c>
      <c r="W4443" t="str">
        <f t="shared" si="698"/>
        <v/>
      </c>
      <c r="X4443">
        <f>IF($T4443="",N($X4442),IF(MATCH($T4443,$T$6:$T$10005,0)=ROW()-5,N($X4442)+1,N($X4442)))</f>
        <v>0</v>
      </c>
      <c r="Z4443" t="str">
        <f t="shared" si="699"/>
        <v/>
      </c>
      <c r="AA4443">
        <f>IF($V4443="",N($AA4442),IF(MATCH($V4443,$V$6:$V$10005,0)=ROW()-5,N($AA4442)+1,N($AA4442)))</f>
        <v>0</v>
      </c>
    </row>
    <row r="4444" spans="1:27" ht="21" customHeight="1" x14ac:dyDescent="0.95">
      <c r="A4444" s="56"/>
      <c r="B4444" s="57"/>
      <c r="C4444" s="57"/>
      <c r="D4444" s="57"/>
      <c r="E4444" s="56"/>
      <c r="F4444" s="57"/>
      <c r="G4444" s="57"/>
      <c r="H4444" s="56"/>
      <c r="I4444" s="56"/>
      <c r="J4444" s="58"/>
      <c r="K4444" s="58"/>
      <c r="L4444" s="13" t="str">
        <f t="shared" si="690"/>
        <v/>
      </c>
      <c r="M4444" s="13" t="str">
        <f t="shared" si="691"/>
        <v/>
      </c>
      <c r="Q4444" t="str">
        <f t="shared" si="692"/>
        <v/>
      </c>
      <c r="R4444" t="str">
        <f t="shared" si="693"/>
        <v/>
      </c>
      <c r="S4444" t="str">
        <f t="shared" si="694"/>
        <v/>
      </c>
      <c r="T4444" t="str">
        <f t="shared" si="695"/>
        <v/>
      </c>
      <c r="U4444" t="str">
        <f t="shared" si="696"/>
        <v/>
      </c>
      <c r="V4444" t="str">
        <f t="shared" si="697"/>
        <v/>
      </c>
      <c r="W4444" t="str">
        <f t="shared" si="698"/>
        <v/>
      </c>
      <c r="X4444">
        <f>IF($T4444="",N($X4443),IF(MATCH($T4444,$T$6:$T$10005,0)=ROW()-5,N($X4443)+1,N($X4443)))</f>
        <v>0</v>
      </c>
      <c r="Z4444" t="str">
        <f t="shared" si="699"/>
        <v/>
      </c>
      <c r="AA4444">
        <f>IF($V4444="",N($AA4443),IF(MATCH($V4444,$V$6:$V$10005,0)=ROW()-5,N($AA4443)+1,N($AA4443)))</f>
        <v>0</v>
      </c>
    </row>
    <row r="4445" spans="1:27" ht="21" customHeight="1" x14ac:dyDescent="0.95">
      <c r="A4445" s="56"/>
      <c r="B4445" s="57"/>
      <c r="C4445" s="57"/>
      <c r="D4445" s="57"/>
      <c r="E4445" s="56"/>
      <c r="F4445" s="57"/>
      <c r="G4445" s="57"/>
      <c r="H4445" s="56"/>
      <c r="I4445" s="56"/>
      <c r="J4445" s="58"/>
      <c r="K4445" s="58"/>
      <c r="L4445" s="13" t="str">
        <f t="shared" si="690"/>
        <v/>
      </c>
      <c r="M4445" s="13" t="str">
        <f t="shared" si="691"/>
        <v/>
      </c>
      <c r="Q4445" t="str">
        <f t="shared" si="692"/>
        <v/>
      </c>
      <c r="R4445" t="str">
        <f t="shared" si="693"/>
        <v/>
      </c>
      <c r="S4445" t="str">
        <f t="shared" si="694"/>
        <v/>
      </c>
      <c r="T4445" t="str">
        <f t="shared" si="695"/>
        <v/>
      </c>
      <c r="U4445" t="str">
        <f t="shared" si="696"/>
        <v/>
      </c>
      <c r="V4445" t="str">
        <f t="shared" si="697"/>
        <v/>
      </c>
      <c r="W4445" t="str">
        <f t="shared" si="698"/>
        <v/>
      </c>
      <c r="X4445">
        <f>IF($T4445="",N($X4444),IF(MATCH($T4445,$T$6:$T$10005,0)=ROW()-5,N($X4444)+1,N($X4444)))</f>
        <v>0</v>
      </c>
      <c r="Z4445" t="str">
        <f t="shared" si="699"/>
        <v/>
      </c>
      <c r="AA4445">
        <f>IF($V4445="",N($AA4444),IF(MATCH($V4445,$V$6:$V$10005,0)=ROW()-5,N($AA4444)+1,N($AA4444)))</f>
        <v>0</v>
      </c>
    </row>
    <row r="4446" spans="1:27" ht="21" customHeight="1" x14ac:dyDescent="0.95">
      <c r="A4446" s="56"/>
      <c r="B4446" s="57"/>
      <c r="C4446" s="57"/>
      <c r="D4446" s="57"/>
      <c r="E4446" s="56"/>
      <c r="F4446" s="57"/>
      <c r="G4446" s="57"/>
      <c r="H4446" s="56"/>
      <c r="I4446" s="56"/>
      <c r="J4446" s="58"/>
      <c r="K4446" s="58"/>
      <c r="L4446" s="13" t="str">
        <f t="shared" si="690"/>
        <v/>
      </c>
      <c r="M4446" s="13" t="str">
        <f t="shared" si="691"/>
        <v/>
      </c>
      <c r="Q4446" t="str">
        <f t="shared" si="692"/>
        <v/>
      </c>
      <c r="R4446" t="str">
        <f t="shared" si="693"/>
        <v/>
      </c>
      <c r="S4446" t="str">
        <f t="shared" si="694"/>
        <v/>
      </c>
      <c r="T4446" t="str">
        <f t="shared" si="695"/>
        <v/>
      </c>
      <c r="U4446" t="str">
        <f t="shared" si="696"/>
        <v/>
      </c>
      <c r="V4446" t="str">
        <f t="shared" si="697"/>
        <v/>
      </c>
      <c r="W4446" t="str">
        <f t="shared" si="698"/>
        <v/>
      </c>
      <c r="X4446">
        <f>IF($T4446="",N($X4445),IF(MATCH($T4446,$T$6:$T$10005,0)=ROW()-5,N($X4445)+1,N($X4445)))</f>
        <v>0</v>
      </c>
      <c r="Z4446" t="str">
        <f t="shared" si="699"/>
        <v/>
      </c>
      <c r="AA4446">
        <f>IF($V4446="",N($AA4445),IF(MATCH($V4446,$V$6:$V$10005,0)=ROW()-5,N($AA4445)+1,N($AA4445)))</f>
        <v>0</v>
      </c>
    </row>
    <row r="4447" spans="1:27" ht="21" customHeight="1" x14ac:dyDescent="0.95">
      <c r="A4447" s="56"/>
      <c r="B4447" s="57"/>
      <c r="C4447" s="57"/>
      <c r="D4447" s="57"/>
      <c r="E4447" s="56"/>
      <c r="F4447" s="57"/>
      <c r="G4447" s="57"/>
      <c r="H4447" s="56"/>
      <c r="I4447" s="56"/>
      <c r="J4447" s="58"/>
      <c r="K4447" s="58"/>
      <c r="L4447" s="13" t="str">
        <f t="shared" si="690"/>
        <v/>
      </c>
      <c r="M4447" s="13" t="str">
        <f t="shared" si="691"/>
        <v/>
      </c>
      <c r="Q4447" t="str">
        <f t="shared" si="692"/>
        <v/>
      </c>
      <c r="R4447" t="str">
        <f t="shared" si="693"/>
        <v/>
      </c>
      <c r="S4447" t="str">
        <f t="shared" si="694"/>
        <v/>
      </c>
      <c r="T4447" t="str">
        <f t="shared" si="695"/>
        <v/>
      </c>
      <c r="U4447" t="str">
        <f t="shared" si="696"/>
        <v/>
      </c>
      <c r="V4447" t="str">
        <f t="shared" si="697"/>
        <v/>
      </c>
      <c r="W4447" t="str">
        <f t="shared" si="698"/>
        <v/>
      </c>
      <c r="X4447">
        <f>IF($T4447="",N($X4446),IF(MATCH($T4447,$T$6:$T$10005,0)=ROW()-5,N($X4446)+1,N($X4446)))</f>
        <v>0</v>
      </c>
      <c r="Z4447" t="str">
        <f t="shared" si="699"/>
        <v/>
      </c>
      <c r="AA4447">
        <f>IF($V4447="",N($AA4446),IF(MATCH($V4447,$V$6:$V$10005,0)=ROW()-5,N($AA4446)+1,N($AA4446)))</f>
        <v>0</v>
      </c>
    </row>
    <row r="4448" spans="1:27" ht="21" customHeight="1" x14ac:dyDescent="0.95">
      <c r="A4448" s="56"/>
      <c r="B4448" s="57"/>
      <c r="C4448" s="57"/>
      <c r="D4448" s="57"/>
      <c r="E4448" s="56"/>
      <c r="F4448" s="57"/>
      <c r="G4448" s="57"/>
      <c r="H4448" s="56"/>
      <c r="I4448" s="56"/>
      <c r="J4448" s="58"/>
      <c r="K4448" s="58"/>
      <c r="L4448" s="13" t="str">
        <f t="shared" si="690"/>
        <v/>
      </c>
      <c r="M4448" s="13" t="str">
        <f t="shared" si="691"/>
        <v/>
      </c>
      <c r="Q4448" t="str">
        <f t="shared" si="692"/>
        <v/>
      </c>
      <c r="R4448" t="str">
        <f t="shared" si="693"/>
        <v/>
      </c>
      <c r="S4448" t="str">
        <f t="shared" si="694"/>
        <v/>
      </c>
      <c r="T4448" t="str">
        <f t="shared" si="695"/>
        <v/>
      </c>
      <c r="U4448" t="str">
        <f t="shared" si="696"/>
        <v/>
      </c>
      <c r="V4448" t="str">
        <f t="shared" si="697"/>
        <v/>
      </c>
      <c r="W4448" t="str">
        <f t="shared" si="698"/>
        <v/>
      </c>
      <c r="X4448">
        <f>IF($T4448="",N($X4447),IF(MATCH($T4448,$T$6:$T$10005,0)=ROW()-5,N($X4447)+1,N($X4447)))</f>
        <v>0</v>
      </c>
      <c r="Z4448" t="str">
        <f t="shared" si="699"/>
        <v/>
      </c>
      <c r="AA4448">
        <f>IF($V4448="",N($AA4447),IF(MATCH($V4448,$V$6:$V$10005,0)=ROW()-5,N($AA4447)+1,N($AA4447)))</f>
        <v>0</v>
      </c>
    </row>
    <row r="4449" spans="1:27" ht="21" customHeight="1" x14ac:dyDescent="0.95">
      <c r="A4449" s="56"/>
      <c r="B4449" s="57"/>
      <c r="C4449" s="57"/>
      <c r="D4449" s="57"/>
      <c r="E4449" s="56"/>
      <c r="F4449" s="57"/>
      <c r="G4449" s="57"/>
      <c r="H4449" s="56"/>
      <c r="I4449" s="56"/>
      <c r="J4449" s="58"/>
      <c r="K4449" s="58"/>
      <c r="L4449" s="13" t="str">
        <f t="shared" si="690"/>
        <v/>
      </c>
      <c r="M4449" s="13" t="str">
        <f t="shared" si="691"/>
        <v/>
      </c>
      <c r="Q4449" t="str">
        <f t="shared" si="692"/>
        <v/>
      </c>
      <c r="R4449" t="str">
        <f t="shared" si="693"/>
        <v/>
      </c>
      <c r="S4449" t="str">
        <f t="shared" si="694"/>
        <v/>
      </c>
      <c r="T4449" t="str">
        <f t="shared" si="695"/>
        <v/>
      </c>
      <c r="U4449" t="str">
        <f t="shared" si="696"/>
        <v/>
      </c>
      <c r="V4449" t="str">
        <f t="shared" si="697"/>
        <v/>
      </c>
      <c r="W4449" t="str">
        <f t="shared" si="698"/>
        <v/>
      </c>
      <c r="X4449">
        <f>IF($T4449="",N($X4448),IF(MATCH($T4449,$T$6:$T$10005,0)=ROW()-5,N($X4448)+1,N($X4448)))</f>
        <v>0</v>
      </c>
      <c r="Z4449" t="str">
        <f t="shared" si="699"/>
        <v/>
      </c>
      <c r="AA4449">
        <f>IF($V4449="",N($AA4448),IF(MATCH($V4449,$V$6:$V$10005,0)=ROW()-5,N($AA4448)+1,N($AA4448)))</f>
        <v>0</v>
      </c>
    </row>
    <row r="4450" spans="1:27" ht="21" customHeight="1" x14ac:dyDescent="0.95">
      <c r="A4450" s="56"/>
      <c r="B4450" s="57"/>
      <c r="C4450" s="57"/>
      <c r="D4450" s="57"/>
      <c r="E4450" s="56"/>
      <c r="F4450" s="57"/>
      <c r="G4450" s="57"/>
      <c r="H4450" s="56"/>
      <c r="I4450" s="56"/>
      <c r="J4450" s="58"/>
      <c r="K4450" s="58"/>
      <c r="L4450" s="13" t="str">
        <f t="shared" si="690"/>
        <v/>
      </c>
      <c r="M4450" s="13" t="str">
        <f t="shared" si="691"/>
        <v/>
      </c>
      <c r="Q4450" t="str">
        <f t="shared" si="692"/>
        <v/>
      </c>
      <c r="R4450" t="str">
        <f t="shared" si="693"/>
        <v/>
      </c>
      <c r="S4450" t="str">
        <f t="shared" si="694"/>
        <v/>
      </c>
      <c r="T4450" t="str">
        <f t="shared" si="695"/>
        <v/>
      </c>
      <c r="U4450" t="str">
        <f t="shared" si="696"/>
        <v/>
      </c>
      <c r="V4450" t="str">
        <f t="shared" si="697"/>
        <v/>
      </c>
      <c r="W4450" t="str">
        <f t="shared" si="698"/>
        <v/>
      </c>
      <c r="X4450">
        <f>IF($T4450="",N($X4449),IF(MATCH($T4450,$T$6:$T$10005,0)=ROW()-5,N($X4449)+1,N($X4449)))</f>
        <v>0</v>
      </c>
      <c r="Z4450" t="str">
        <f t="shared" si="699"/>
        <v/>
      </c>
      <c r="AA4450">
        <f>IF($V4450="",N($AA4449),IF(MATCH($V4450,$V$6:$V$10005,0)=ROW()-5,N($AA4449)+1,N($AA4449)))</f>
        <v>0</v>
      </c>
    </row>
    <row r="4451" spans="1:27" ht="21" customHeight="1" x14ac:dyDescent="0.95">
      <c r="A4451" s="56"/>
      <c r="B4451" s="57"/>
      <c r="C4451" s="57"/>
      <c r="D4451" s="57"/>
      <c r="E4451" s="56"/>
      <c r="F4451" s="57"/>
      <c r="G4451" s="57"/>
      <c r="H4451" s="56"/>
      <c r="I4451" s="56"/>
      <c r="J4451" s="58"/>
      <c r="K4451" s="58"/>
      <c r="L4451" s="13" t="str">
        <f t="shared" si="690"/>
        <v/>
      </c>
      <c r="M4451" s="13" t="str">
        <f t="shared" si="691"/>
        <v/>
      </c>
      <c r="Q4451" t="str">
        <f t="shared" si="692"/>
        <v/>
      </c>
      <c r="R4451" t="str">
        <f t="shared" si="693"/>
        <v/>
      </c>
      <c r="S4451" t="str">
        <f t="shared" si="694"/>
        <v/>
      </c>
      <c r="T4451" t="str">
        <f t="shared" si="695"/>
        <v/>
      </c>
      <c r="U4451" t="str">
        <f t="shared" si="696"/>
        <v/>
      </c>
      <c r="V4451" t="str">
        <f t="shared" si="697"/>
        <v/>
      </c>
      <c r="W4451" t="str">
        <f t="shared" si="698"/>
        <v/>
      </c>
      <c r="X4451">
        <f>IF($T4451="",N($X4450),IF(MATCH($T4451,$T$6:$T$10005,0)=ROW()-5,N($X4450)+1,N($X4450)))</f>
        <v>0</v>
      </c>
      <c r="Z4451" t="str">
        <f t="shared" si="699"/>
        <v/>
      </c>
      <c r="AA4451">
        <f>IF($V4451="",N($AA4450),IF(MATCH($V4451,$V$6:$V$10005,0)=ROW()-5,N($AA4450)+1,N($AA4450)))</f>
        <v>0</v>
      </c>
    </row>
    <row r="4452" spans="1:27" ht="21" customHeight="1" x14ac:dyDescent="0.95">
      <c r="A4452" s="56"/>
      <c r="B4452" s="57"/>
      <c r="C4452" s="57"/>
      <c r="D4452" s="57"/>
      <c r="E4452" s="56"/>
      <c r="F4452" s="57"/>
      <c r="G4452" s="57"/>
      <c r="H4452" s="56"/>
      <c r="I4452" s="56"/>
      <c r="J4452" s="58"/>
      <c r="K4452" s="58"/>
      <c r="L4452" s="13" t="str">
        <f t="shared" si="690"/>
        <v/>
      </c>
      <c r="M4452" s="13" t="str">
        <f t="shared" si="691"/>
        <v/>
      </c>
      <c r="Q4452" t="str">
        <f t="shared" si="692"/>
        <v/>
      </c>
      <c r="R4452" t="str">
        <f t="shared" si="693"/>
        <v/>
      </c>
      <c r="S4452" t="str">
        <f t="shared" si="694"/>
        <v/>
      </c>
      <c r="T4452" t="str">
        <f t="shared" si="695"/>
        <v/>
      </c>
      <c r="U4452" t="str">
        <f t="shared" si="696"/>
        <v/>
      </c>
      <c r="V4452" t="str">
        <f t="shared" si="697"/>
        <v/>
      </c>
      <c r="W4452" t="str">
        <f t="shared" si="698"/>
        <v/>
      </c>
      <c r="X4452">
        <f>IF($T4452="",N($X4451),IF(MATCH($T4452,$T$6:$T$10005,0)=ROW()-5,N($X4451)+1,N($X4451)))</f>
        <v>0</v>
      </c>
      <c r="Z4452" t="str">
        <f t="shared" si="699"/>
        <v/>
      </c>
      <c r="AA4452">
        <f>IF($V4452="",N($AA4451),IF(MATCH($V4452,$V$6:$V$10005,0)=ROW()-5,N($AA4451)+1,N($AA4451)))</f>
        <v>0</v>
      </c>
    </row>
    <row r="4453" spans="1:27" ht="21" customHeight="1" x14ac:dyDescent="0.95">
      <c r="A4453" s="56"/>
      <c r="B4453" s="57"/>
      <c r="C4453" s="57"/>
      <c r="D4453" s="57"/>
      <c r="E4453" s="56"/>
      <c r="F4453" s="57"/>
      <c r="G4453" s="57"/>
      <c r="H4453" s="56"/>
      <c r="I4453" s="56"/>
      <c r="J4453" s="58"/>
      <c r="K4453" s="58"/>
      <c r="L4453" s="13" t="str">
        <f t="shared" si="690"/>
        <v/>
      </c>
      <c r="M4453" s="13" t="str">
        <f t="shared" si="691"/>
        <v/>
      </c>
      <c r="Q4453" t="str">
        <f t="shared" si="692"/>
        <v/>
      </c>
      <c r="R4453" t="str">
        <f t="shared" si="693"/>
        <v/>
      </c>
      <c r="S4453" t="str">
        <f t="shared" si="694"/>
        <v/>
      </c>
      <c r="T4453" t="str">
        <f t="shared" si="695"/>
        <v/>
      </c>
      <c r="U4453" t="str">
        <f t="shared" si="696"/>
        <v/>
      </c>
      <c r="V4453" t="str">
        <f t="shared" si="697"/>
        <v/>
      </c>
      <c r="W4453" t="str">
        <f t="shared" si="698"/>
        <v/>
      </c>
      <c r="X4453">
        <f>IF($T4453="",N($X4452),IF(MATCH($T4453,$T$6:$T$10005,0)=ROW()-5,N($X4452)+1,N($X4452)))</f>
        <v>0</v>
      </c>
      <c r="Z4453" t="str">
        <f t="shared" si="699"/>
        <v/>
      </c>
      <c r="AA4453">
        <f>IF($V4453="",N($AA4452),IF(MATCH($V4453,$V$6:$V$10005,0)=ROW()-5,N($AA4452)+1,N($AA4452)))</f>
        <v>0</v>
      </c>
    </row>
    <row r="4454" spans="1:27" ht="21" customHeight="1" x14ac:dyDescent="0.95">
      <c r="A4454" s="56"/>
      <c r="B4454" s="57"/>
      <c r="C4454" s="57"/>
      <c r="D4454" s="57"/>
      <c r="E4454" s="56"/>
      <c r="F4454" s="57"/>
      <c r="G4454" s="57"/>
      <c r="H4454" s="56"/>
      <c r="I4454" s="56"/>
      <c r="J4454" s="58"/>
      <c r="K4454" s="58"/>
      <c r="L4454" s="13" t="str">
        <f t="shared" si="690"/>
        <v/>
      </c>
      <c r="M4454" s="13" t="str">
        <f t="shared" si="691"/>
        <v/>
      </c>
      <c r="Q4454" t="str">
        <f t="shared" si="692"/>
        <v/>
      </c>
      <c r="R4454" t="str">
        <f t="shared" si="693"/>
        <v/>
      </c>
      <c r="S4454" t="str">
        <f t="shared" si="694"/>
        <v/>
      </c>
      <c r="T4454" t="str">
        <f t="shared" si="695"/>
        <v/>
      </c>
      <c r="U4454" t="str">
        <f t="shared" si="696"/>
        <v/>
      </c>
      <c r="V4454" t="str">
        <f t="shared" si="697"/>
        <v/>
      </c>
      <c r="W4454" t="str">
        <f t="shared" si="698"/>
        <v/>
      </c>
      <c r="X4454">
        <f>IF($T4454="",N($X4453),IF(MATCH($T4454,$T$6:$T$10005,0)=ROW()-5,N($X4453)+1,N($X4453)))</f>
        <v>0</v>
      </c>
      <c r="Z4454" t="str">
        <f t="shared" si="699"/>
        <v/>
      </c>
      <c r="AA4454">
        <f>IF($V4454="",N($AA4453),IF(MATCH($V4454,$V$6:$V$10005,0)=ROW()-5,N($AA4453)+1,N($AA4453)))</f>
        <v>0</v>
      </c>
    </row>
    <row r="4455" spans="1:27" ht="21" customHeight="1" x14ac:dyDescent="0.95">
      <c r="A4455" s="56"/>
      <c r="B4455" s="57"/>
      <c r="C4455" s="57"/>
      <c r="D4455" s="57"/>
      <c r="E4455" s="56"/>
      <c r="F4455" s="57"/>
      <c r="G4455" s="57"/>
      <c r="H4455" s="56"/>
      <c r="I4455" s="56"/>
      <c r="J4455" s="58"/>
      <c r="K4455" s="58"/>
      <c r="L4455" s="13" t="str">
        <f t="shared" si="690"/>
        <v/>
      </c>
      <c r="M4455" s="13" t="str">
        <f t="shared" si="691"/>
        <v/>
      </c>
      <c r="Q4455" t="str">
        <f t="shared" si="692"/>
        <v/>
      </c>
      <c r="R4455" t="str">
        <f t="shared" si="693"/>
        <v/>
      </c>
      <c r="S4455" t="str">
        <f t="shared" si="694"/>
        <v/>
      </c>
      <c r="T4455" t="str">
        <f t="shared" si="695"/>
        <v/>
      </c>
      <c r="U4455" t="str">
        <f t="shared" si="696"/>
        <v/>
      </c>
      <c r="V4455" t="str">
        <f t="shared" si="697"/>
        <v/>
      </c>
      <c r="W4455" t="str">
        <f t="shared" si="698"/>
        <v/>
      </c>
      <c r="X4455">
        <f>IF($T4455="",N($X4454),IF(MATCH($T4455,$T$6:$T$10005,0)=ROW()-5,N($X4454)+1,N($X4454)))</f>
        <v>0</v>
      </c>
      <c r="Z4455" t="str">
        <f t="shared" si="699"/>
        <v/>
      </c>
      <c r="AA4455">
        <f>IF($V4455="",N($AA4454),IF(MATCH($V4455,$V$6:$V$10005,0)=ROW()-5,N($AA4454)+1,N($AA4454)))</f>
        <v>0</v>
      </c>
    </row>
    <row r="4456" spans="1:27" ht="21" customHeight="1" x14ac:dyDescent="0.95">
      <c r="A4456" s="56"/>
      <c r="B4456" s="57"/>
      <c r="C4456" s="57"/>
      <c r="D4456" s="57"/>
      <c r="E4456" s="56"/>
      <c r="F4456" s="57"/>
      <c r="G4456" s="57"/>
      <c r="H4456" s="56"/>
      <c r="I4456" s="56"/>
      <c r="J4456" s="58"/>
      <c r="K4456" s="58"/>
      <c r="L4456" s="13" t="str">
        <f t="shared" si="690"/>
        <v/>
      </c>
      <c r="M4456" s="13" t="str">
        <f t="shared" si="691"/>
        <v/>
      </c>
      <c r="Q4456" t="str">
        <f t="shared" si="692"/>
        <v/>
      </c>
      <c r="R4456" t="str">
        <f t="shared" si="693"/>
        <v/>
      </c>
      <c r="S4456" t="str">
        <f t="shared" si="694"/>
        <v/>
      </c>
      <c r="T4456" t="str">
        <f t="shared" si="695"/>
        <v/>
      </c>
      <c r="U4456" t="str">
        <f t="shared" si="696"/>
        <v/>
      </c>
      <c r="V4456" t="str">
        <f t="shared" si="697"/>
        <v/>
      </c>
      <c r="W4456" t="str">
        <f t="shared" si="698"/>
        <v/>
      </c>
      <c r="X4456">
        <f>IF($T4456="",N($X4455),IF(MATCH($T4456,$T$6:$T$10005,0)=ROW()-5,N($X4455)+1,N($X4455)))</f>
        <v>0</v>
      </c>
      <c r="Z4456" t="str">
        <f t="shared" si="699"/>
        <v/>
      </c>
      <c r="AA4456">
        <f>IF($V4456="",N($AA4455),IF(MATCH($V4456,$V$6:$V$10005,0)=ROW()-5,N($AA4455)+1,N($AA4455)))</f>
        <v>0</v>
      </c>
    </row>
    <row r="4457" spans="1:27" ht="21" customHeight="1" x14ac:dyDescent="0.95">
      <c r="A4457" s="56"/>
      <c r="B4457" s="57"/>
      <c r="C4457" s="57"/>
      <c r="D4457" s="57"/>
      <c r="E4457" s="56"/>
      <c r="F4457" s="57"/>
      <c r="G4457" s="57"/>
      <c r="H4457" s="56"/>
      <c r="I4457" s="56"/>
      <c r="J4457" s="58"/>
      <c r="K4457" s="58"/>
      <c r="L4457" s="13" t="str">
        <f t="shared" si="690"/>
        <v/>
      </c>
      <c r="M4457" s="13" t="str">
        <f t="shared" si="691"/>
        <v/>
      </c>
      <c r="Q4457" t="str">
        <f t="shared" si="692"/>
        <v/>
      </c>
      <c r="R4457" t="str">
        <f t="shared" si="693"/>
        <v/>
      </c>
      <c r="S4457" t="str">
        <f t="shared" si="694"/>
        <v/>
      </c>
      <c r="T4457" t="str">
        <f t="shared" si="695"/>
        <v/>
      </c>
      <c r="U4457" t="str">
        <f t="shared" si="696"/>
        <v/>
      </c>
      <c r="V4457" t="str">
        <f t="shared" si="697"/>
        <v/>
      </c>
      <c r="W4457" t="str">
        <f t="shared" si="698"/>
        <v/>
      </c>
      <c r="X4457">
        <f>IF($T4457="",N($X4456),IF(MATCH($T4457,$T$6:$T$10005,0)=ROW()-5,N($X4456)+1,N($X4456)))</f>
        <v>0</v>
      </c>
      <c r="Z4457" t="str">
        <f t="shared" si="699"/>
        <v/>
      </c>
      <c r="AA4457">
        <f>IF($V4457="",N($AA4456),IF(MATCH($V4457,$V$6:$V$10005,0)=ROW()-5,N($AA4456)+1,N($AA4456)))</f>
        <v>0</v>
      </c>
    </row>
    <row r="4458" spans="1:27" ht="21" customHeight="1" x14ac:dyDescent="0.95">
      <c r="A4458" s="56"/>
      <c r="B4458" s="57"/>
      <c r="C4458" s="57"/>
      <c r="D4458" s="57"/>
      <c r="E4458" s="56"/>
      <c r="F4458" s="57"/>
      <c r="G4458" s="57"/>
      <c r="H4458" s="56"/>
      <c r="I4458" s="56"/>
      <c r="J4458" s="58"/>
      <c r="K4458" s="58"/>
      <c r="L4458" s="13" t="str">
        <f t="shared" si="690"/>
        <v/>
      </c>
      <c r="M4458" s="13" t="str">
        <f t="shared" si="691"/>
        <v/>
      </c>
      <c r="Q4458" t="str">
        <f t="shared" si="692"/>
        <v/>
      </c>
      <c r="R4458" t="str">
        <f t="shared" si="693"/>
        <v/>
      </c>
      <c r="S4458" t="str">
        <f t="shared" si="694"/>
        <v/>
      </c>
      <c r="T4458" t="str">
        <f t="shared" si="695"/>
        <v/>
      </c>
      <c r="U4458" t="str">
        <f t="shared" si="696"/>
        <v/>
      </c>
      <c r="V4458" t="str">
        <f t="shared" si="697"/>
        <v/>
      </c>
      <c r="W4458" t="str">
        <f t="shared" si="698"/>
        <v/>
      </c>
      <c r="X4458">
        <f>IF($T4458="",N($X4457),IF(MATCH($T4458,$T$6:$T$10005,0)=ROW()-5,N($X4457)+1,N($X4457)))</f>
        <v>0</v>
      </c>
      <c r="Z4458" t="str">
        <f t="shared" si="699"/>
        <v/>
      </c>
      <c r="AA4458">
        <f>IF($V4458="",N($AA4457),IF(MATCH($V4458,$V$6:$V$10005,0)=ROW()-5,N($AA4457)+1,N($AA4457)))</f>
        <v>0</v>
      </c>
    </row>
    <row r="4459" spans="1:27" ht="21" customHeight="1" x14ac:dyDescent="0.95">
      <c r="A4459" s="56"/>
      <c r="B4459" s="57"/>
      <c r="C4459" s="57"/>
      <c r="D4459" s="57"/>
      <c r="E4459" s="56"/>
      <c r="F4459" s="57"/>
      <c r="G4459" s="57"/>
      <c r="H4459" s="56"/>
      <c r="I4459" s="56"/>
      <c r="J4459" s="58"/>
      <c r="K4459" s="58"/>
      <c r="L4459" s="13" t="str">
        <f t="shared" si="690"/>
        <v/>
      </c>
      <c r="M4459" s="13" t="str">
        <f t="shared" si="691"/>
        <v/>
      </c>
      <c r="Q4459" t="str">
        <f t="shared" si="692"/>
        <v/>
      </c>
      <c r="R4459" t="str">
        <f t="shared" si="693"/>
        <v/>
      </c>
      <c r="S4459" t="str">
        <f t="shared" si="694"/>
        <v/>
      </c>
      <c r="T4459" t="str">
        <f t="shared" si="695"/>
        <v/>
      </c>
      <c r="U4459" t="str">
        <f t="shared" si="696"/>
        <v/>
      </c>
      <c r="V4459" t="str">
        <f t="shared" si="697"/>
        <v/>
      </c>
      <c r="W4459" t="str">
        <f t="shared" si="698"/>
        <v/>
      </c>
      <c r="X4459">
        <f>IF($T4459="",N($X4458),IF(MATCH($T4459,$T$6:$T$10005,0)=ROW()-5,N($X4458)+1,N($X4458)))</f>
        <v>0</v>
      </c>
      <c r="Z4459" t="str">
        <f t="shared" si="699"/>
        <v/>
      </c>
      <c r="AA4459">
        <f>IF($V4459="",N($AA4458),IF(MATCH($V4459,$V$6:$V$10005,0)=ROW()-5,N($AA4458)+1,N($AA4458)))</f>
        <v>0</v>
      </c>
    </row>
    <row r="4460" spans="1:27" ht="21" customHeight="1" x14ac:dyDescent="0.95">
      <c r="A4460" s="56"/>
      <c r="B4460" s="57"/>
      <c r="C4460" s="57"/>
      <c r="D4460" s="57"/>
      <c r="E4460" s="56"/>
      <c r="F4460" s="57"/>
      <c r="G4460" s="57"/>
      <c r="H4460" s="56"/>
      <c r="I4460" s="56"/>
      <c r="J4460" s="58"/>
      <c r="K4460" s="58"/>
      <c r="L4460" s="13" t="str">
        <f t="shared" si="690"/>
        <v/>
      </c>
      <c r="M4460" s="13" t="str">
        <f t="shared" si="691"/>
        <v/>
      </c>
      <c r="Q4460" t="str">
        <f t="shared" si="692"/>
        <v/>
      </c>
      <c r="R4460" t="str">
        <f t="shared" si="693"/>
        <v/>
      </c>
      <c r="S4460" t="str">
        <f t="shared" si="694"/>
        <v/>
      </c>
      <c r="T4460" t="str">
        <f t="shared" si="695"/>
        <v/>
      </c>
      <c r="U4460" t="str">
        <f t="shared" si="696"/>
        <v/>
      </c>
      <c r="V4460" t="str">
        <f t="shared" si="697"/>
        <v/>
      </c>
      <c r="W4460" t="str">
        <f t="shared" si="698"/>
        <v/>
      </c>
      <c r="X4460">
        <f>IF($T4460="",N($X4459),IF(MATCH($T4460,$T$6:$T$10005,0)=ROW()-5,N($X4459)+1,N($X4459)))</f>
        <v>0</v>
      </c>
      <c r="Z4460" t="str">
        <f t="shared" si="699"/>
        <v/>
      </c>
      <c r="AA4460">
        <f>IF($V4460="",N($AA4459),IF(MATCH($V4460,$V$6:$V$10005,0)=ROW()-5,N($AA4459)+1,N($AA4459)))</f>
        <v>0</v>
      </c>
    </row>
    <row r="4461" spans="1:27" ht="21" customHeight="1" x14ac:dyDescent="0.95">
      <c r="A4461" s="56"/>
      <c r="B4461" s="57"/>
      <c r="C4461" s="57"/>
      <c r="D4461" s="57"/>
      <c r="E4461" s="56"/>
      <c r="F4461" s="57"/>
      <c r="G4461" s="57"/>
      <c r="H4461" s="56"/>
      <c r="I4461" s="56"/>
      <c r="J4461" s="58"/>
      <c r="K4461" s="58"/>
      <c r="L4461" s="13" t="str">
        <f t="shared" si="690"/>
        <v/>
      </c>
      <c r="M4461" s="13" t="str">
        <f t="shared" si="691"/>
        <v/>
      </c>
      <c r="Q4461" t="str">
        <f t="shared" si="692"/>
        <v/>
      </c>
      <c r="R4461" t="str">
        <f t="shared" si="693"/>
        <v/>
      </c>
      <c r="S4461" t="str">
        <f t="shared" si="694"/>
        <v/>
      </c>
      <c r="T4461" t="str">
        <f t="shared" si="695"/>
        <v/>
      </c>
      <c r="U4461" t="str">
        <f t="shared" si="696"/>
        <v/>
      </c>
      <c r="V4461" t="str">
        <f t="shared" si="697"/>
        <v/>
      </c>
      <c r="W4461" t="str">
        <f t="shared" si="698"/>
        <v/>
      </c>
      <c r="X4461">
        <f>IF($T4461="",N($X4460),IF(MATCH($T4461,$T$6:$T$10005,0)=ROW()-5,N($X4460)+1,N($X4460)))</f>
        <v>0</v>
      </c>
      <c r="Z4461" t="str">
        <f t="shared" si="699"/>
        <v/>
      </c>
      <c r="AA4461">
        <f>IF($V4461="",N($AA4460),IF(MATCH($V4461,$V$6:$V$10005,0)=ROW()-5,N($AA4460)+1,N($AA4460)))</f>
        <v>0</v>
      </c>
    </row>
    <row r="4462" spans="1:27" ht="21" customHeight="1" x14ac:dyDescent="0.95">
      <c r="A4462" s="56"/>
      <c r="B4462" s="57"/>
      <c r="C4462" s="57"/>
      <c r="D4462" s="57"/>
      <c r="E4462" s="56"/>
      <c r="F4462" s="57"/>
      <c r="G4462" s="57"/>
      <c r="H4462" s="56"/>
      <c r="I4462" s="56"/>
      <c r="J4462" s="58"/>
      <c r="K4462" s="58"/>
      <c r="L4462" s="13" t="str">
        <f t="shared" si="690"/>
        <v/>
      </c>
      <c r="M4462" s="13" t="str">
        <f t="shared" si="691"/>
        <v/>
      </c>
      <c r="Q4462" t="str">
        <f t="shared" si="692"/>
        <v/>
      </c>
      <c r="R4462" t="str">
        <f t="shared" si="693"/>
        <v/>
      </c>
      <c r="S4462" t="str">
        <f t="shared" si="694"/>
        <v/>
      </c>
      <c r="T4462" t="str">
        <f t="shared" si="695"/>
        <v/>
      </c>
      <c r="U4462" t="str">
        <f t="shared" si="696"/>
        <v/>
      </c>
      <c r="V4462" t="str">
        <f t="shared" si="697"/>
        <v/>
      </c>
      <c r="W4462" t="str">
        <f t="shared" si="698"/>
        <v/>
      </c>
      <c r="X4462">
        <f>IF($T4462="",N($X4461),IF(MATCH($T4462,$T$6:$T$10005,0)=ROW()-5,N($X4461)+1,N($X4461)))</f>
        <v>0</v>
      </c>
      <c r="Z4462" t="str">
        <f t="shared" si="699"/>
        <v/>
      </c>
      <c r="AA4462">
        <f>IF($V4462="",N($AA4461),IF(MATCH($V4462,$V$6:$V$10005,0)=ROW()-5,N($AA4461)+1,N($AA4461)))</f>
        <v>0</v>
      </c>
    </row>
    <row r="4463" spans="1:27" ht="21" customHeight="1" x14ac:dyDescent="0.95">
      <c r="A4463" s="56"/>
      <c r="B4463" s="57"/>
      <c r="C4463" s="57"/>
      <c r="D4463" s="57"/>
      <c r="E4463" s="56"/>
      <c r="F4463" s="57"/>
      <c r="G4463" s="57"/>
      <c r="H4463" s="56"/>
      <c r="I4463" s="56"/>
      <c r="J4463" s="58"/>
      <c r="K4463" s="58"/>
      <c r="L4463" s="13" t="str">
        <f t="shared" si="690"/>
        <v/>
      </c>
      <c r="M4463" s="13" t="str">
        <f t="shared" si="691"/>
        <v/>
      </c>
      <c r="Q4463" t="str">
        <f t="shared" si="692"/>
        <v/>
      </c>
      <c r="R4463" t="str">
        <f t="shared" si="693"/>
        <v/>
      </c>
      <c r="S4463" t="str">
        <f t="shared" si="694"/>
        <v/>
      </c>
      <c r="T4463" t="str">
        <f t="shared" si="695"/>
        <v/>
      </c>
      <c r="U4463" t="str">
        <f t="shared" si="696"/>
        <v/>
      </c>
      <c r="V4463" t="str">
        <f t="shared" si="697"/>
        <v/>
      </c>
      <c r="W4463" t="str">
        <f t="shared" si="698"/>
        <v/>
      </c>
      <c r="X4463">
        <f>IF($T4463="",N($X4462),IF(MATCH($T4463,$T$6:$T$10005,0)=ROW()-5,N($X4462)+1,N($X4462)))</f>
        <v>0</v>
      </c>
      <c r="Z4463" t="str">
        <f t="shared" si="699"/>
        <v/>
      </c>
      <c r="AA4463">
        <f>IF($V4463="",N($AA4462),IF(MATCH($V4463,$V$6:$V$10005,0)=ROW()-5,N($AA4462)+1,N($AA4462)))</f>
        <v>0</v>
      </c>
    </row>
    <row r="4464" spans="1:27" ht="21" customHeight="1" x14ac:dyDescent="0.95">
      <c r="A4464" s="56"/>
      <c r="B4464" s="57"/>
      <c r="C4464" s="57"/>
      <c r="D4464" s="57"/>
      <c r="E4464" s="56"/>
      <c r="F4464" s="57"/>
      <c r="G4464" s="57"/>
      <c r="H4464" s="56"/>
      <c r="I4464" s="56"/>
      <c r="J4464" s="58"/>
      <c r="K4464" s="58"/>
      <c r="L4464" s="13" t="str">
        <f t="shared" si="690"/>
        <v/>
      </c>
      <c r="M4464" s="13" t="str">
        <f t="shared" si="691"/>
        <v/>
      </c>
      <c r="Q4464" t="str">
        <f t="shared" si="692"/>
        <v/>
      </c>
      <c r="R4464" t="str">
        <f t="shared" si="693"/>
        <v/>
      </c>
      <c r="S4464" t="str">
        <f t="shared" si="694"/>
        <v/>
      </c>
      <c r="T4464" t="str">
        <f t="shared" si="695"/>
        <v/>
      </c>
      <c r="U4464" t="str">
        <f t="shared" si="696"/>
        <v/>
      </c>
      <c r="V4464" t="str">
        <f t="shared" si="697"/>
        <v/>
      </c>
      <c r="W4464" t="str">
        <f t="shared" si="698"/>
        <v/>
      </c>
      <c r="X4464">
        <f>IF($T4464="",N($X4463),IF(MATCH($T4464,$T$6:$T$10005,0)=ROW()-5,N($X4463)+1,N($X4463)))</f>
        <v>0</v>
      </c>
      <c r="Z4464" t="str">
        <f t="shared" si="699"/>
        <v/>
      </c>
      <c r="AA4464">
        <f>IF($V4464="",N($AA4463),IF(MATCH($V4464,$V$6:$V$10005,0)=ROW()-5,N($AA4463)+1,N($AA4463)))</f>
        <v>0</v>
      </c>
    </row>
    <row r="4465" spans="1:27" ht="21" customHeight="1" x14ac:dyDescent="0.95">
      <c r="A4465" s="56"/>
      <c r="B4465" s="57"/>
      <c r="C4465" s="57"/>
      <c r="D4465" s="57"/>
      <c r="E4465" s="56"/>
      <c r="F4465" s="57"/>
      <c r="G4465" s="57"/>
      <c r="H4465" s="56"/>
      <c r="I4465" s="56"/>
      <c r="J4465" s="58"/>
      <c r="K4465" s="58"/>
      <c r="L4465" s="13" t="str">
        <f t="shared" si="690"/>
        <v/>
      </c>
      <c r="M4465" s="13" t="str">
        <f t="shared" si="691"/>
        <v/>
      </c>
      <c r="Q4465" t="str">
        <f t="shared" si="692"/>
        <v/>
      </c>
      <c r="R4465" t="str">
        <f t="shared" si="693"/>
        <v/>
      </c>
      <c r="S4465" t="str">
        <f t="shared" si="694"/>
        <v/>
      </c>
      <c r="T4465" t="str">
        <f t="shared" si="695"/>
        <v/>
      </c>
      <c r="U4465" t="str">
        <f t="shared" si="696"/>
        <v/>
      </c>
      <c r="V4465" t="str">
        <f t="shared" si="697"/>
        <v/>
      </c>
      <c r="W4465" t="str">
        <f t="shared" si="698"/>
        <v/>
      </c>
      <c r="X4465">
        <f>IF($T4465="",N($X4464),IF(MATCH($T4465,$T$6:$T$10005,0)=ROW()-5,N($X4464)+1,N($X4464)))</f>
        <v>0</v>
      </c>
      <c r="Z4465" t="str">
        <f t="shared" si="699"/>
        <v/>
      </c>
      <c r="AA4465">
        <f>IF($V4465="",N($AA4464),IF(MATCH($V4465,$V$6:$V$10005,0)=ROW()-5,N($AA4464)+1,N($AA4464)))</f>
        <v>0</v>
      </c>
    </row>
    <row r="4466" spans="1:27" ht="21" customHeight="1" x14ac:dyDescent="0.95">
      <c r="A4466" s="56"/>
      <c r="B4466" s="57"/>
      <c r="C4466" s="57"/>
      <c r="D4466" s="57"/>
      <c r="E4466" s="56"/>
      <c r="F4466" s="57"/>
      <c r="G4466" s="57"/>
      <c r="H4466" s="56"/>
      <c r="I4466" s="56"/>
      <c r="J4466" s="58"/>
      <c r="K4466" s="58"/>
      <c r="L4466" s="13" t="str">
        <f t="shared" si="690"/>
        <v/>
      </c>
      <c r="M4466" s="13" t="str">
        <f t="shared" si="691"/>
        <v/>
      </c>
      <c r="Q4466" t="str">
        <f t="shared" si="692"/>
        <v/>
      </c>
      <c r="R4466" t="str">
        <f t="shared" si="693"/>
        <v/>
      </c>
      <c r="S4466" t="str">
        <f t="shared" si="694"/>
        <v/>
      </c>
      <c r="T4466" t="str">
        <f t="shared" si="695"/>
        <v/>
      </c>
      <c r="U4466" t="str">
        <f t="shared" si="696"/>
        <v/>
      </c>
      <c r="V4466" t="str">
        <f t="shared" si="697"/>
        <v/>
      </c>
      <c r="W4466" t="str">
        <f t="shared" si="698"/>
        <v/>
      </c>
      <c r="X4466">
        <f>IF($T4466="",N($X4465),IF(MATCH($T4466,$T$6:$T$10005,0)=ROW()-5,N($X4465)+1,N($X4465)))</f>
        <v>0</v>
      </c>
      <c r="Z4466" t="str">
        <f t="shared" si="699"/>
        <v/>
      </c>
      <c r="AA4466">
        <f>IF($V4466="",N($AA4465),IF(MATCH($V4466,$V$6:$V$10005,0)=ROW()-5,N($AA4465)+1,N($AA4465)))</f>
        <v>0</v>
      </c>
    </row>
    <row r="4467" spans="1:27" ht="21" customHeight="1" x14ac:dyDescent="0.95">
      <c r="A4467" s="56"/>
      <c r="B4467" s="57"/>
      <c r="C4467" s="57"/>
      <c r="D4467" s="57"/>
      <c r="E4467" s="56"/>
      <c r="F4467" s="57"/>
      <c r="G4467" s="57"/>
      <c r="H4467" s="56"/>
      <c r="I4467" s="56"/>
      <c r="J4467" s="58"/>
      <c r="K4467" s="58"/>
      <c r="L4467" s="13" t="str">
        <f t="shared" si="690"/>
        <v/>
      </c>
      <c r="M4467" s="13" t="str">
        <f t="shared" si="691"/>
        <v/>
      </c>
      <c r="Q4467" t="str">
        <f t="shared" si="692"/>
        <v/>
      </c>
      <c r="R4467" t="str">
        <f t="shared" si="693"/>
        <v/>
      </c>
      <c r="S4467" t="str">
        <f t="shared" si="694"/>
        <v/>
      </c>
      <c r="T4467" t="str">
        <f t="shared" si="695"/>
        <v/>
      </c>
      <c r="U4467" t="str">
        <f t="shared" si="696"/>
        <v/>
      </c>
      <c r="V4467" t="str">
        <f t="shared" si="697"/>
        <v/>
      </c>
      <c r="W4467" t="str">
        <f t="shared" si="698"/>
        <v/>
      </c>
      <c r="X4467">
        <f>IF($T4467="",N($X4466),IF(MATCH($T4467,$T$6:$T$10005,0)=ROW()-5,N($X4466)+1,N($X4466)))</f>
        <v>0</v>
      </c>
      <c r="Z4467" t="str">
        <f t="shared" si="699"/>
        <v/>
      </c>
      <c r="AA4467">
        <f>IF($V4467="",N($AA4466),IF(MATCH($V4467,$V$6:$V$10005,0)=ROW()-5,N($AA4466)+1,N($AA4466)))</f>
        <v>0</v>
      </c>
    </row>
    <row r="4468" spans="1:27" ht="21" customHeight="1" x14ac:dyDescent="0.95">
      <c r="A4468" s="56"/>
      <c r="B4468" s="57"/>
      <c r="C4468" s="57"/>
      <c r="D4468" s="57"/>
      <c r="E4468" s="56"/>
      <c r="F4468" s="57"/>
      <c r="G4468" s="57"/>
      <c r="H4468" s="56"/>
      <c r="I4468" s="56"/>
      <c r="J4468" s="58"/>
      <c r="K4468" s="58"/>
      <c r="L4468" s="13" t="str">
        <f t="shared" si="690"/>
        <v/>
      </c>
      <c r="M4468" s="13" t="str">
        <f t="shared" si="691"/>
        <v/>
      </c>
      <c r="Q4468" t="str">
        <f t="shared" si="692"/>
        <v/>
      </c>
      <c r="R4468" t="str">
        <f t="shared" si="693"/>
        <v/>
      </c>
      <c r="S4468" t="str">
        <f t="shared" si="694"/>
        <v/>
      </c>
      <c r="T4468" t="str">
        <f t="shared" si="695"/>
        <v/>
      </c>
      <c r="U4468" t="str">
        <f t="shared" si="696"/>
        <v/>
      </c>
      <c r="V4468" t="str">
        <f t="shared" si="697"/>
        <v/>
      </c>
      <c r="W4468" t="str">
        <f t="shared" si="698"/>
        <v/>
      </c>
      <c r="X4468">
        <f>IF($T4468="",N($X4467),IF(MATCH($T4468,$T$6:$T$10005,0)=ROW()-5,N($X4467)+1,N($X4467)))</f>
        <v>0</v>
      </c>
      <c r="Z4468" t="str">
        <f t="shared" si="699"/>
        <v/>
      </c>
      <c r="AA4468">
        <f>IF($V4468="",N($AA4467),IF(MATCH($V4468,$V$6:$V$10005,0)=ROW()-5,N($AA4467)+1,N($AA4467)))</f>
        <v>0</v>
      </c>
    </row>
    <row r="4469" spans="1:27" ht="21" customHeight="1" x14ac:dyDescent="0.95">
      <c r="A4469" s="56"/>
      <c r="B4469" s="57"/>
      <c r="C4469" s="57"/>
      <c r="D4469" s="57"/>
      <c r="E4469" s="56"/>
      <c r="F4469" s="57"/>
      <c r="G4469" s="57"/>
      <c r="H4469" s="56"/>
      <c r="I4469" s="56"/>
      <c r="J4469" s="58"/>
      <c r="K4469" s="58"/>
      <c r="L4469" s="13" t="str">
        <f t="shared" si="690"/>
        <v/>
      </c>
      <c r="M4469" s="13" t="str">
        <f t="shared" si="691"/>
        <v/>
      </c>
      <c r="Q4469" t="str">
        <f t="shared" si="692"/>
        <v/>
      </c>
      <c r="R4469" t="str">
        <f t="shared" si="693"/>
        <v/>
      </c>
      <c r="S4469" t="str">
        <f t="shared" si="694"/>
        <v/>
      </c>
      <c r="T4469" t="str">
        <f t="shared" si="695"/>
        <v/>
      </c>
      <c r="U4469" t="str">
        <f t="shared" si="696"/>
        <v/>
      </c>
      <c r="V4469" t="str">
        <f t="shared" si="697"/>
        <v/>
      </c>
      <c r="W4469" t="str">
        <f t="shared" si="698"/>
        <v/>
      </c>
      <c r="X4469">
        <f>IF($T4469="",N($X4468),IF(MATCH($T4469,$T$6:$T$10005,0)=ROW()-5,N($X4468)+1,N($X4468)))</f>
        <v>0</v>
      </c>
      <c r="Z4469" t="str">
        <f t="shared" si="699"/>
        <v/>
      </c>
      <c r="AA4469">
        <f>IF($V4469="",N($AA4468),IF(MATCH($V4469,$V$6:$V$10005,0)=ROW()-5,N($AA4468)+1,N($AA4468)))</f>
        <v>0</v>
      </c>
    </row>
    <row r="4470" spans="1:27" ht="21" customHeight="1" x14ac:dyDescent="0.95">
      <c r="A4470" s="56"/>
      <c r="B4470" s="57"/>
      <c r="C4470" s="57"/>
      <c r="D4470" s="57"/>
      <c r="E4470" s="56"/>
      <c r="F4470" s="57"/>
      <c r="G4470" s="57"/>
      <c r="H4470" s="56"/>
      <c r="I4470" s="56"/>
      <c r="J4470" s="58"/>
      <c r="K4470" s="58"/>
      <c r="L4470" s="13" t="str">
        <f t="shared" si="690"/>
        <v/>
      </c>
      <c r="M4470" s="13" t="str">
        <f t="shared" si="691"/>
        <v/>
      </c>
      <c r="Q4470" t="str">
        <f t="shared" si="692"/>
        <v/>
      </c>
      <c r="R4470" t="str">
        <f t="shared" si="693"/>
        <v/>
      </c>
      <c r="S4470" t="str">
        <f t="shared" si="694"/>
        <v/>
      </c>
      <c r="T4470" t="str">
        <f t="shared" si="695"/>
        <v/>
      </c>
      <c r="U4470" t="str">
        <f t="shared" si="696"/>
        <v/>
      </c>
      <c r="V4470" t="str">
        <f t="shared" si="697"/>
        <v/>
      </c>
      <c r="W4470" t="str">
        <f t="shared" si="698"/>
        <v/>
      </c>
      <c r="X4470">
        <f>IF($T4470="",N($X4469),IF(MATCH($T4470,$T$6:$T$10005,0)=ROW()-5,N($X4469)+1,N($X4469)))</f>
        <v>0</v>
      </c>
      <c r="Z4470" t="str">
        <f t="shared" si="699"/>
        <v/>
      </c>
      <c r="AA4470">
        <f>IF($V4470="",N($AA4469),IF(MATCH($V4470,$V$6:$V$10005,0)=ROW()-5,N($AA4469)+1,N($AA4469)))</f>
        <v>0</v>
      </c>
    </row>
    <row r="4471" spans="1:27" ht="21" customHeight="1" x14ac:dyDescent="0.95">
      <c r="A4471" s="56"/>
      <c r="B4471" s="57"/>
      <c r="C4471" s="57"/>
      <c r="D4471" s="57"/>
      <c r="E4471" s="56"/>
      <c r="F4471" s="57"/>
      <c r="G4471" s="57"/>
      <c r="H4471" s="56"/>
      <c r="I4471" s="56"/>
      <c r="J4471" s="58"/>
      <c r="K4471" s="58"/>
      <c r="L4471" s="13" t="str">
        <f t="shared" si="690"/>
        <v/>
      </c>
      <c r="M4471" s="13" t="str">
        <f t="shared" si="691"/>
        <v/>
      </c>
      <c r="Q4471" t="str">
        <f t="shared" si="692"/>
        <v/>
      </c>
      <c r="R4471" t="str">
        <f t="shared" si="693"/>
        <v/>
      </c>
      <c r="S4471" t="str">
        <f t="shared" si="694"/>
        <v/>
      </c>
      <c r="T4471" t="str">
        <f t="shared" si="695"/>
        <v/>
      </c>
      <c r="U4471" t="str">
        <f t="shared" si="696"/>
        <v/>
      </c>
      <c r="V4471" t="str">
        <f t="shared" si="697"/>
        <v/>
      </c>
      <c r="W4471" t="str">
        <f t="shared" si="698"/>
        <v/>
      </c>
      <c r="X4471">
        <f>IF($T4471="",N($X4470),IF(MATCH($T4471,$T$6:$T$10005,0)=ROW()-5,N($X4470)+1,N($X4470)))</f>
        <v>0</v>
      </c>
      <c r="Z4471" t="str">
        <f t="shared" si="699"/>
        <v/>
      </c>
      <c r="AA4471">
        <f>IF($V4471="",N($AA4470),IF(MATCH($V4471,$V$6:$V$10005,0)=ROW()-5,N($AA4470)+1,N($AA4470)))</f>
        <v>0</v>
      </c>
    </row>
    <row r="4472" spans="1:27" ht="21" customHeight="1" x14ac:dyDescent="0.95">
      <c r="A4472" s="56"/>
      <c r="B4472" s="57"/>
      <c r="C4472" s="57"/>
      <c r="D4472" s="57"/>
      <c r="E4472" s="56"/>
      <c r="F4472" s="57"/>
      <c r="G4472" s="57"/>
      <c r="H4472" s="56"/>
      <c r="I4472" s="56"/>
      <c r="J4472" s="58"/>
      <c r="K4472" s="58"/>
      <c r="L4472" s="13" t="str">
        <f t="shared" si="690"/>
        <v/>
      </c>
      <c r="M4472" s="13" t="str">
        <f t="shared" si="691"/>
        <v/>
      </c>
      <c r="Q4472" t="str">
        <f t="shared" si="692"/>
        <v/>
      </c>
      <c r="R4472" t="str">
        <f t="shared" si="693"/>
        <v/>
      </c>
      <c r="S4472" t="str">
        <f t="shared" si="694"/>
        <v/>
      </c>
      <c r="T4472" t="str">
        <f t="shared" si="695"/>
        <v/>
      </c>
      <c r="U4472" t="str">
        <f t="shared" si="696"/>
        <v/>
      </c>
      <c r="V4472" t="str">
        <f t="shared" si="697"/>
        <v/>
      </c>
      <c r="W4472" t="str">
        <f t="shared" si="698"/>
        <v/>
      </c>
      <c r="X4472">
        <f>IF($T4472="",N($X4471),IF(MATCH($T4472,$T$6:$T$10005,0)=ROW()-5,N($X4471)+1,N($X4471)))</f>
        <v>0</v>
      </c>
      <c r="Z4472" t="str">
        <f t="shared" si="699"/>
        <v/>
      </c>
      <c r="AA4472">
        <f>IF($V4472="",N($AA4471),IF(MATCH($V4472,$V$6:$V$10005,0)=ROW()-5,N($AA4471)+1,N($AA4471)))</f>
        <v>0</v>
      </c>
    </row>
    <row r="4473" spans="1:27" ht="21" customHeight="1" x14ac:dyDescent="0.95">
      <c r="A4473" s="56"/>
      <c r="B4473" s="57"/>
      <c r="C4473" s="57"/>
      <c r="D4473" s="57"/>
      <c r="E4473" s="56"/>
      <c r="F4473" s="57"/>
      <c r="G4473" s="57"/>
      <c r="H4473" s="56"/>
      <c r="I4473" s="56"/>
      <c r="J4473" s="58"/>
      <c r="K4473" s="58"/>
      <c r="L4473" s="13" t="str">
        <f t="shared" si="690"/>
        <v/>
      </c>
      <c r="M4473" s="13" t="str">
        <f t="shared" si="691"/>
        <v/>
      </c>
      <c r="Q4473" t="str">
        <f t="shared" si="692"/>
        <v/>
      </c>
      <c r="R4473" t="str">
        <f t="shared" si="693"/>
        <v/>
      </c>
      <c r="S4473" t="str">
        <f t="shared" si="694"/>
        <v/>
      </c>
      <c r="T4473" t="str">
        <f t="shared" si="695"/>
        <v/>
      </c>
      <c r="U4473" t="str">
        <f t="shared" si="696"/>
        <v/>
      </c>
      <c r="V4473" t="str">
        <f t="shared" si="697"/>
        <v/>
      </c>
      <c r="W4473" t="str">
        <f t="shared" si="698"/>
        <v/>
      </c>
      <c r="X4473">
        <f>IF($T4473="",N($X4472),IF(MATCH($T4473,$T$6:$T$10005,0)=ROW()-5,N($X4472)+1,N($X4472)))</f>
        <v>0</v>
      </c>
      <c r="Z4473" t="str">
        <f t="shared" si="699"/>
        <v/>
      </c>
      <c r="AA4473">
        <f>IF($V4473="",N($AA4472),IF(MATCH($V4473,$V$6:$V$10005,0)=ROW()-5,N($AA4472)+1,N($AA4472)))</f>
        <v>0</v>
      </c>
    </row>
    <row r="4474" spans="1:27" ht="21" customHeight="1" x14ac:dyDescent="0.95">
      <c r="A4474" s="56"/>
      <c r="B4474" s="57"/>
      <c r="C4474" s="57"/>
      <c r="D4474" s="57"/>
      <c r="E4474" s="56"/>
      <c r="F4474" s="57"/>
      <c r="G4474" s="57"/>
      <c r="H4474" s="56"/>
      <c r="I4474" s="56"/>
      <c r="J4474" s="58"/>
      <c r="K4474" s="58"/>
      <c r="L4474" s="13" t="str">
        <f t="shared" si="690"/>
        <v/>
      </c>
      <c r="M4474" s="13" t="str">
        <f t="shared" si="691"/>
        <v/>
      </c>
      <c r="Q4474" t="str">
        <f t="shared" si="692"/>
        <v/>
      </c>
      <c r="R4474" t="str">
        <f t="shared" si="693"/>
        <v/>
      </c>
      <c r="S4474" t="str">
        <f t="shared" si="694"/>
        <v/>
      </c>
      <c r="T4474" t="str">
        <f t="shared" si="695"/>
        <v/>
      </c>
      <c r="U4474" t="str">
        <f t="shared" si="696"/>
        <v/>
      </c>
      <c r="V4474" t="str">
        <f t="shared" si="697"/>
        <v/>
      </c>
      <c r="W4474" t="str">
        <f t="shared" si="698"/>
        <v/>
      </c>
      <c r="X4474">
        <f>IF($T4474="",N($X4473),IF(MATCH($T4474,$T$6:$T$10005,0)=ROW()-5,N($X4473)+1,N($X4473)))</f>
        <v>0</v>
      </c>
      <c r="Z4474" t="str">
        <f t="shared" si="699"/>
        <v/>
      </c>
      <c r="AA4474">
        <f>IF($V4474="",N($AA4473),IF(MATCH($V4474,$V$6:$V$10005,0)=ROW()-5,N($AA4473)+1,N($AA4473)))</f>
        <v>0</v>
      </c>
    </row>
    <row r="4475" spans="1:27" ht="21" customHeight="1" x14ac:dyDescent="0.95">
      <c r="A4475" s="56"/>
      <c r="B4475" s="57"/>
      <c r="C4475" s="57"/>
      <c r="D4475" s="57"/>
      <c r="E4475" s="56"/>
      <c r="F4475" s="57"/>
      <c r="G4475" s="57"/>
      <c r="H4475" s="56"/>
      <c r="I4475" s="56"/>
      <c r="J4475" s="58"/>
      <c r="K4475" s="58"/>
      <c r="L4475" s="13" t="str">
        <f t="shared" si="690"/>
        <v/>
      </c>
      <c r="M4475" s="13" t="str">
        <f t="shared" si="691"/>
        <v/>
      </c>
      <c r="Q4475" t="str">
        <f t="shared" si="692"/>
        <v/>
      </c>
      <c r="R4475" t="str">
        <f t="shared" si="693"/>
        <v/>
      </c>
      <c r="S4475" t="str">
        <f t="shared" si="694"/>
        <v/>
      </c>
      <c r="T4475" t="str">
        <f t="shared" si="695"/>
        <v/>
      </c>
      <c r="U4475" t="str">
        <f t="shared" si="696"/>
        <v/>
      </c>
      <c r="V4475" t="str">
        <f t="shared" si="697"/>
        <v/>
      </c>
      <c r="W4475" t="str">
        <f t="shared" si="698"/>
        <v/>
      </c>
      <c r="X4475">
        <f>IF($T4475="",N($X4474),IF(MATCH($T4475,$T$6:$T$10005,0)=ROW()-5,N($X4474)+1,N($X4474)))</f>
        <v>0</v>
      </c>
      <c r="Z4475" t="str">
        <f t="shared" si="699"/>
        <v/>
      </c>
      <c r="AA4475">
        <f>IF($V4475="",N($AA4474),IF(MATCH($V4475,$V$6:$V$10005,0)=ROW()-5,N($AA4474)+1,N($AA4474)))</f>
        <v>0</v>
      </c>
    </row>
    <row r="4476" spans="1:27" ht="21" customHeight="1" x14ac:dyDescent="0.95">
      <c r="A4476" s="56"/>
      <c r="B4476" s="57"/>
      <c r="C4476" s="57"/>
      <c r="D4476" s="57"/>
      <c r="E4476" s="56"/>
      <c r="F4476" s="57"/>
      <c r="G4476" s="57"/>
      <c r="H4476" s="56"/>
      <c r="I4476" s="56"/>
      <c r="J4476" s="58"/>
      <c r="K4476" s="58"/>
      <c r="L4476" s="13" t="str">
        <f t="shared" si="690"/>
        <v/>
      </c>
      <c r="M4476" s="13" t="str">
        <f t="shared" si="691"/>
        <v/>
      </c>
      <c r="Q4476" t="str">
        <f t="shared" si="692"/>
        <v/>
      </c>
      <c r="R4476" t="str">
        <f t="shared" si="693"/>
        <v/>
      </c>
      <c r="S4476" t="str">
        <f t="shared" si="694"/>
        <v/>
      </c>
      <c r="T4476" t="str">
        <f t="shared" si="695"/>
        <v/>
      </c>
      <c r="U4476" t="str">
        <f t="shared" si="696"/>
        <v/>
      </c>
      <c r="V4476" t="str">
        <f t="shared" si="697"/>
        <v/>
      </c>
      <c r="W4476" t="str">
        <f t="shared" si="698"/>
        <v/>
      </c>
      <c r="X4476">
        <f>IF($T4476="",N($X4475),IF(MATCH($T4476,$T$6:$T$10005,0)=ROW()-5,N($X4475)+1,N($X4475)))</f>
        <v>0</v>
      </c>
      <c r="Z4476" t="str">
        <f t="shared" si="699"/>
        <v/>
      </c>
      <c r="AA4476">
        <f>IF($V4476="",N($AA4475),IF(MATCH($V4476,$V$6:$V$10005,0)=ROW()-5,N($AA4475)+1,N($AA4475)))</f>
        <v>0</v>
      </c>
    </row>
    <row r="4477" spans="1:27" ht="21" customHeight="1" x14ac:dyDescent="0.95">
      <c r="A4477" s="56"/>
      <c r="B4477" s="57"/>
      <c r="C4477" s="57"/>
      <c r="D4477" s="57"/>
      <c r="E4477" s="56"/>
      <c r="F4477" s="57"/>
      <c r="G4477" s="57"/>
      <c r="H4477" s="56"/>
      <c r="I4477" s="56"/>
      <c r="J4477" s="58"/>
      <c r="K4477" s="58"/>
      <c r="L4477" s="13" t="str">
        <f t="shared" si="690"/>
        <v/>
      </c>
      <c r="M4477" s="13" t="str">
        <f t="shared" si="691"/>
        <v/>
      </c>
      <c r="Q4477" t="str">
        <f t="shared" si="692"/>
        <v/>
      </c>
      <c r="R4477" t="str">
        <f t="shared" si="693"/>
        <v/>
      </c>
      <c r="S4477" t="str">
        <f t="shared" si="694"/>
        <v/>
      </c>
      <c r="T4477" t="str">
        <f t="shared" si="695"/>
        <v/>
      </c>
      <c r="U4477" t="str">
        <f t="shared" si="696"/>
        <v/>
      </c>
      <c r="V4477" t="str">
        <f t="shared" si="697"/>
        <v/>
      </c>
      <c r="W4477" t="str">
        <f t="shared" si="698"/>
        <v/>
      </c>
      <c r="X4477">
        <f>IF($T4477="",N($X4476),IF(MATCH($T4477,$T$6:$T$10005,0)=ROW()-5,N($X4476)+1,N($X4476)))</f>
        <v>0</v>
      </c>
      <c r="Z4477" t="str">
        <f t="shared" si="699"/>
        <v/>
      </c>
      <c r="AA4477">
        <f>IF($V4477="",N($AA4476),IF(MATCH($V4477,$V$6:$V$10005,0)=ROW()-5,N($AA4476)+1,N($AA4476)))</f>
        <v>0</v>
      </c>
    </row>
    <row r="4478" spans="1:27" ht="21" customHeight="1" x14ac:dyDescent="0.95">
      <c r="A4478" s="56"/>
      <c r="B4478" s="57"/>
      <c r="C4478" s="57"/>
      <c r="D4478" s="57"/>
      <c r="E4478" s="56"/>
      <c r="F4478" s="57"/>
      <c r="G4478" s="57"/>
      <c r="H4478" s="56"/>
      <c r="I4478" s="56"/>
      <c r="J4478" s="58"/>
      <c r="K4478" s="58"/>
      <c r="L4478" s="13" t="str">
        <f t="shared" si="690"/>
        <v/>
      </c>
      <c r="M4478" s="13" t="str">
        <f t="shared" si="691"/>
        <v/>
      </c>
      <c r="Q4478" t="str">
        <f t="shared" si="692"/>
        <v/>
      </c>
      <c r="R4478" t="str">
        <f t="shared" si="693"/>
        <v/>
      </c>
      <c r="S4478" t="str">
        <f t="shared" si="694"/>
        <v/>
      </c>
      <c r="T4478" t="str">
        <f t="shared" si="695"/>
        <v/>
      </c>
      <c r="U4478" t="str">
        <f t="shared" si="696"/>
        <v/>
      </c>
      <c r="V4478" t="str">
        <f t="shared" si="697"/>
        <v/>
      </c>
      <c r="W4478" t="str">
        <f t="shared" si="698"/>
        <v/>
      </c>
      <c r="X4478">
        <f>IF($T4478="",N($X4477),IF(MATCH($T4478,$T$6:$T$10005,0)=ROW()-5,N($X4477)+1,N($X4477)))</f>
        <v>0</v>
      </c>
      <c r="Z4478" t="str">
        <f t="shared" si="699"/>
        <v/>
      </c>
      <c r="AA4478">
        <f>IF($V4478="",N($AA4477),IF(MATCH($V4478,$V$6:$V$10005,0)=ROW()-5,N($AA4477)+1,N($AA4477)))</f>
        <v>0</v>
      </c>
    </row>
    <row r="4479" spans="1:27" ht="21" customHeight="1" x14ac:dyDescent="0.95">
      <c r="A4479" s="56"/>
      <c r="B4479" s="57"/>
      <c r="C4479" s="57"/>
      <c r="D4479" s="57"/>
      <c r="E4479" s="56"/>
      <c r="F4479" s="57"/>
      <c r="G4479" s="57"/>
      <c r="H4479" s="56"/>
      <c r="I4479" s="56"/>
      <c r="J4479" s="58"/>
      <c r="K4479" s="58"/>
      <c r="L4479" s="13" t="str">
        <f t="shared" si="690"/>
        <v/>
      </c>
      <c r="M4479" s="13" t="str">
        <f t="shared" si="691"/>
        <v/>
      </c>
      <c r="Q4479" t="str">
        <f t="shared" si="692"/>
        <v/>
      </c>
      <c r="R4479" t="str">
        <f t="shared" si="693"/>
        <v/>
      </c>
      <c r="S4479" t="str">
        <f t="shared" si="694"/>
        <v/>
      </c>
      <c r="T4479" t="str">
        <f t="shared" si="695"/>
        <v/>
      </c>
      <c r="U4479" t="str">
        <f t="shared" si="696"/>
        <v/>
      </c>
      <c r="V4479" t="str">
        <f t="shared" si="697"/>
        <v/>
      </c>
      <c r="W4479" t="str">
        <f t="shared" si="698"/>
        <v/>
      </c>
      <c r="X4479">
        <f>IF($T4479="",N($X4478),IF(MATCH($T4479,$T$6:$T$10005,0)=ROW()-5,N($X4478)+1,N($X4478)))</f>
        <v>0</v>
      </c>
      <c r="Z4479" t="str">
        <f t="shared" si="699"/>
        <v/>
      </c>
      <c r="AA4479">
        <f>IF($V4479="",N($AA4478),IF(MATCH($V4479,$V$6:$V$10005,0)=ROW()-5,N($AA4478)+1,N($AA4478)))</f>
        <v>0</v>
      </c>
    </row>
    <row r="4480" spans="1:27" ht="21" customHeight="1" x14ac:dyDescent="0.95">
      <c r="A4480" s="56"/>
      <c r="B4480" s="57"/>
      <c r="C4480" s="57"/>
      <c r="D4480" s="57"/>
      <c r="E4480" s="56"/>
      <c r="F4480" s="57"/>
      <c r="G4480" s="57"/>
      <c r="H4480" s="56"/>
      <c r="I4480" s="56"/>
      <c r="J4480" s="58"/>
      <c r="K4480" s="58"/>
      <c r="L4480" s="13" t="str">
        <f t="shared" si="690"/>
        <v/>
      </c>
      <c r="M4480" s="13" t="str">
        <f t="shared" si="691"/>
        <v/>
      </c>
      <c r="Q4480" t="str">
        <f t="shared" si="692"/>
        <v/>
      </c>
      <c r="R4480" t="str">
        <f t="shared" si="693"/>
        <v/>
      </c>
      <c r="S4480" t="str">
        <f t="shared" si="694"/>
        <v/>
      </c>
      <c r="T4480" t="str">
        <f t="shared" si="695"/>
        <v/>
      </c>
      <c r="U4480" t="str">
        <f t="shared" si="696"/>
        <v/>
      </c>
      <c r="V4480" t="str">
        <f t="shared" si="697"/>
        <v/>
      </c>
      <c r="W4480" t="str">
        <f t="shared" si="698"/>
        <v/>
      </c>
      <c r="X4480">
        <f>IF($T4480="",N($X4479),IF(MATCH($T4480,$T$6:$T$10005,0)=ROW()-5,N($X4479)+1,N($X4479)))</f>
        <v>0</v>
      </c>
      <c r="Z4480" t="str">
        <f t="shared" si="699"/>
        <v/>
      </c>
      <c r="AA4480">
        <f>IF($V4480="",N($AA4479),IF(MATCH($V4480,$V$6:$V$10005,0)=ROW()-5,N($AA4479)+1,N($AA4479)))</f>
        <v>0</v>
      </c>
    </row>
    <row r="4481" spans="1:27" ht="21" customHeight="1" x14ac:dyDescent="0.95">
      <c r="A4481" s="56"/>
      <c r="B4481" s="57"/>
      <c r="C4481" s="57"/>
      <c r="D4481" s="57"/>
      <c r="E4481" s="56"/>
      <c r="F4481" s="57"/>
      <c r="G4481" s="57"/>
      <c r="H4481" s="56"/>
      <c r="I4481" s="56"/>
      <c r="J4481" s="58"/>
      <c r="K4481" s="58"/>
      <c r="L4481" s="13" t="str">
        <f t="shared" si="690"/>
        <v/>
      </c>
      <c r="M4481" s="13" t="str">
        <f t="shared" si="691"/>
        <v/>
      </c>
      <c r="Q4481" t="str">
        <f t="shared" si="692"/>
        <v/>
      </c>
      <c r="R4481" t="str">
        <f t="shared" si="693"/>
        <v/>
      </c>
      <c r="S4481" t="str">
        <f t="shared" si="694"/>
        <v/>
      </c>
      <c r="T4481" t="str">
        <f t="shared" si="695"/>
        <v/>
      </c>
      <c r="U4481" t="str">
        <f t="shared" si="696"/>
        <v/>
      </c>
      <c r="V4481" t="str">
        <f t="shared" si="697"/>
        <v/>
      </c>
      <c r="W4481" t="str">
        <f t="shared" si="698"/>
        <v/>
      </c>
      <c r="X4481">
        <f>IF($T4481="",N($X4480),IF(MATCH($T4481,$T$6:$T$10005,0)=ROW()-5,N($X4480)+1,N($X4480)))</f>
        <v>0</v>
      </c>
      <c r="Z4481" t="str">
        <f t="shared" si="699"/>
        <v/>
      </c>
      <c r="AA4481">
        <f>IF($V4481="",N($AA4480),IF(MATCH($V4481,$V$6:$V$10005,0)=ROW()-5,N($AA4480)+1,N($AA4480)))</f>
        <v>0</v>
      </c>
    </row>
    <row r="4482" spans="1:27" ht="21" customHeight="1" x14ac:dyDescent="0.95">
      <c r="A4482" s="56"/>
      <c r="B4482" s="57"/>
      <c r="C4482" s="57"/>
      <c r="D4482" s="57"/>
      <c r="E4482" s="56"/>
      <c r="F4482" s="57"/>
      <c r="G4482" s="57"/>
      <c r="H4482" s="56"/>
      <c r="I4482" s="56"/>
      <c r="J4482" s="58"/>
      <c r="K4482" s="58"/>
      <c r="L4482" s="13" t="str">
        <f t="shared" si="690"/>
        <v/>
      </c>
      <c r="M4482" s="13" t="str">
        <f t="shared" si="691"/>
        <v/>
      </c>
      <c r="Q4482" t="str">
        <f t="shared" si="692"/>
        <v/>
      </c>
      <c r="R4482" t="str">
        <f t="shared" si="693"/>
        <v/>
      </c>
      <c r="S4482" t="str">
        <f t="shared" si="694"/>
        <v/>
      </c>
      <c r="T4482" t="str">
        <f t="shared" si="695"/>
        <v/>
      </c>
      <c r="U4482" t="str">
        <f t="shared" si="696"/>
        <v/>
      </c>
      <c r="V4482" t="str">
        <f t="shared" si="697"/>
        <v/>
      </c>
      <c r="W4482" t="str">
        <f t="shared" si="698"/>
        <v/>
      </c>
      <c r="X4482">
        <f>IF($T4482="",N($X4481),IF(MATCH($T4482,$T$6:$T$10005,0)=ROW()-5,N($X4481)+1,N($X4481)))</f>
        <v>0</v>
      </c>
      <c r="Z4482" t="str">
        <f t="shared" si="699"/>
        <v/>
      </c>
      <c r="AA4482">
        <f>IF($V4482="",N($AA4481),IF(MATCH($V4482,$V$6:$V$10005,0)=ROW()-5,N($AA4481)+1,N($AA4481)))</f>
        <v>0</v>
      </c>
    </row>
    <row r="4483" spans="1:27" ht="21" customHeight="1" x14ac:dyDescent="0.95">
      <c r="A4483" s="56"/>
      <c r="B4483" s="57"/>
      <c r="C4483" s="57"/>
      <c r="D4483" s="57"/>
      <c r="E4483" s="56"/>
      <c r="F4483" s="57"/>
      <c r="G4483" s="57"/>
      <c r="H4483" s="56"/>
      <c r="I4483" s="56"/>
      <c r="J4483" s="58"/>
      <c r="K4483" s="58"/>
      <c r="L4483" s="13" t="str">
        <f t="shared" si="690"/>
        <v/>
      </c>
      <c r="M4483" s="13" t="str">
        <f t="shared" si="691"/>
        <v/>
      </c>
      <c r="Q4483" t="str">
        <f t="shared" si="692"/>
        <v/>
      </c>
      <c r="R4483" t="str">
        <f t="shared" si="693"/>
        <v/>
      </c>
      <c r="S4483" t="str">
        <f t="shared" si="694"/>
        <v/>
      </c>
      <c r="T4483" t="str">
        <f t="shared" si="695"/>
        <v/>
      </c>
      <c r="U4483" t="str">
        <f t="shared" si="696"/>
        <v/>
      </c>
      <c r="V4483" t="str">
        <f t="shared" si="697"/>
        <v/>
      </c>
      <c r="W4483" t="str">
        <f t="shared" si="698"/>
        <v/>
      </c>
      <c r="X4483">
        <f>IF($T4483="",N($X4482),IF(MATCH($T4483,$T$6:$T$10005,0)=ROW()-5,N($X4482)+1,N($X4482)))</f>
        <v>0</v>
      </c>
      <c r="Z4483" t="str">
        <f t="shared" si="699"/>
        <v/>
      </c>
      <c r="AA4483">
        <f>IF($V4483="",N($AA4482),IF(MATCH($V4483,$V$6:$V$10005,0)=ROW()-5,N($AA4482)+1,N($AA4482)))</f>
        <v>0</v>
      </c>
    </row>
    <row r="4484" spans="1:27" ht="21" customHeight="1" x14ac:dyDescent="0.95">
      <c r="A4484" s="56"/>
      <c r="B4484" s="57"/>
      <c r="C4484" s="57"/>
      <c r="D4484" s="57"/>
      <c r="E4484" s="56"/>
      <c r="F4484" s="57"/>
      <c r="G4484" s="57"/>
      <c r="H4484" s="56"/>
      <c r="I4484" s="56"/>
      <c r="J4484" s="58"/>
      <c r="K4484" s="58"/>
      <c r="L4484" s="13" t="str">
        <f t="shared" si="690"/>
        <v/>
      </c>
      <c r="M4484" s="13" t="str">
        <f t="shared" si="691"/>
        <v/>
      </c>
      <c r="Q4484" t="str">
        <f t="shared" si="692"/>
        <v/>
      </c>
      <c r="R4484" t="str">
        <f t="shared" si="693"/>
        <v/>
      </c>
      <c r="S4484" t="str">
        <f t="shared" si="694"/>
        <v/>
      </c>
      <c r="T4484" t="str">
        <f t="shared" si="695"/>
        <v/>
      </c>
      <c r="U4484" t="str">
        <f t="shared" si="696"/>
        <v/>
      </c>
      <c r="V4484" t="str">
        <f t="shared" si="697"/>
        <v/>
      </c>
      <c r="W4484" t="str">
        <f t="shared" si="698"/>
        <v/>
      </c>
      <c r="X4484">
        <f>IF($T4484="",N($X4483),IF(MATCH($T4484,$T$6:$T$10005,0)=ROW()-5,N($X4483)+1,N($X4483)))</f>
        <v>0</v>
      </c>
      <c r="Z4484" t="str">
        <f t="shared" si="699"/>
        <v/>
      </c>
      <c r="AA4484">
        <f>IF($V4484="",N($AA4483),IF(MATCH($V4484,$V$6:$V$10005,0)=ROW()-5,N($AA4483)+1,N($AA4483)))</f>
        <v>0</v>
      </c>
    </row>
    <row r="4485" spans="1:27" ht="21" customHeight="1" x14ac:dyDescent="0.95">
      <c r="A4485" s="56"/>
      <c r="B4485" s="57"/>
      <c r="C4485" s="57"/>
      <c r="D4485" s="57"/>
      <c r="E4485" s="56"/>
      <c r="F4485" s="57"/>
      <c r="G4485" s="57"/>
      <c r="H4485" s="56"/>
      <c r="I4485" s="56"/>
      <c r="J4485" s="58"/>
      <c r="K4485" s="58"/>
      <c r="L4485" s="13" t="str">
        <f t="shared" si="690"/>
        <v/>
      </c>
      <c r="M4485" s="13" t="str">
        <f t="shared" si="691"/>
        <v/>
      </c>
      <c r="Q4485" t="str">
        <f t="shared" si="692"/>
        <v/>
      </c>
      <c r="R4485" t="str">
        <f t="shared" si="693"/>
        <v/>
      </c>
      <c r="S4485" t="str">
        <f t="shared" si="694"/>
        <v/>
      </c>
      <c r="T4485" t="str">
        <f t="shared" si="695"/>
        <v/>
      </c>
      <c r="U4485" t="str">
        <f t="shared" si="696"/>
        <v/>
      </c>
      <c r="V4485" t="str">
        <f t="shared" si="697"/>
        <v/>
      </c>
      <c r="W4485" t="str">
        <f t="shared" si="698"/>
        <v/>
      </c>
      <c r="X4485">
        <f>IF($T4485="",N($X4484),IF(MATCH($T4485,$T$6:$T$10005,0)=ROW()-5,N($X4484)+1,N($X4484)))</f>
        <v>0</v>
      </c>
      <c r="Z4485" t="str">
        <f t="shared" si="699"/>
        <v/>
      </c>
      <c r="AA4485">
        <f>IF($V4485="",N($AA4484),IF(MATCH($V4485,$V$6:$V$10005,0)=ROW()-5,N($AA4484)+1,N($AA4484)))</f>
        <v>0</v>
      </c>
    </row>
    <row r="4486" spans="1:27" ht="21" customHeight="1" x14ac:dyDescent="0.95">
      <c r="A4486" s="56"/>
      <c r="B4486" s="57"/>
      <c r="C4486" s="57"/>
      <c r="D4486" s="57"/>
      <c r="E4486" s="56"/>
      <c r="F4486" s="57"/>
      <c r="G4486" s="57"/>
      <c r="H4486" s="56"/>
      <c r="I4486" s="56"/>
      <c r="J4486" s="58"/>
      <c r="K4486" s="58"/>
      <c r="L4486" s="13" t="str">
        <f t="shared" ref="L4486:L4549" si="700">IF(OR($A4486="",AND($J4486="",$K4486="")),"",ROUND(N($J4486)-N($K4486),2))</f>
        <v/>
      </c>
      <c r="M4486" s="13" t="str">
        <f t="shared" ref="M4486:M4549" si="701">IF(OR($A4486="",AND($J4486="",$K4486="")),"",MIN($J4486,$K4486))</f>
        <v/>
      </c>
      <c r="Q4486" t="str">
        <f t="shared" ref="Q4486:Q4549" si="702">IF($A4486="","",$D4486&amp;"("&amp;SUBSTITUTE($E4486," ","")&amp;")")</f>
        <v/>
      </c>
      <c r="R4486" t="str">
        <f t="shared" ref="R4486:R4549" si="703">IF($A4486="","",$B4486&amp;" - "&amp;$C4486)</f>
        <v/>
      </c>
      <c r="S4486" t="str">
        <f t="shared" ref="S4486:S4549" si="704">IF($A4486="","",$R4486&amp;"|"&amp;$Q4486)</f>
        <v/>
      </c>
      <c r="T4486" t="str">
        <f t="shared" ref="T4486:T4549" si="705">IF($A4486="","",$S4486&amp;"|"&amp;$F4486)</f>
        <v/>
      </c>
      <c r="U4486" t="str">
        <f t="shared" ref="U4486:U4549" si="706">IF($A4486="","",$R4486&amp;"("&amp;$E4486&amp;")")</f>
        <v/>
      </c>
      <c r="V4486" t="str">
        <f t="shared" ref="V4486:V4549" si="707">IF($A4486="","",$F4486&amp;"|"&amp;$U4486&amp;"|"&amp;$D4486)</f>
        <v/>
      </c>
      <c r="W4486" t="str">
        <f t="shared" ref="W4486:W4549" si="708">IF($T4486="","",IF($X4486&gt;N($X4485),$X4486,""))</f>
        <v/>
      </c>
      <c r="X4486">
        <f>IF($T4486="",N($X4485),IF(MATCH($T4486,$T$6:$T$10005,0)=ROW()-5,N($X4485)+1,N($X4485)))</f>
        <v>0</v>
      </c>
      <c r="Z4486" t="str">
        <f t="shared" ref="Z4486:Z4549" si="709">IF($V4486="","",IF($AA4486&gt;N($AA4485),$AA4486,""))</f>
        <v/>
      </c>
      <c r="AA4486">
        <f>IF($V4486="",N($AA4485),IF(MATCH($V4486,$V$6:$V$10005,0)=ROW()-5,N($AA4485)+1,N($AA4485)))</f>
        <v>0</v>
      </c>
    </row>
    <row r="4487" spans="1:27" ht="21" customHeight="1" x14ac:dyDescent="0.95">
      <c r="A4487" s="56"/>
      <c r="B4487" s="57"/>
      <c r="C4487" s="57"/>
      <c r="D4487" s="57"/>
      <c r="E4487" s="56"/>
      <c r="F4487" s="57"/>
      <c r="G4487" s="57"/>
      <c r="H4487" s="56"/>
      <c r="I4487" s="56"/>
      <c r="J4487" s="58"/>
      <c r="K4487" s="58"/>
      <c r="L4487" s="13" t="str">
        <f t="shared" si="700"/>
        <v/>
      </c>
      <c r="M4487" s="13" t="str">
        <f t="shared" si="701"/>
        <v/>
      </c>
      <c r="Q4487" t="str">
        <f t="shared" si="702"/>
        <v/>
      </c>
      <c r="R4487" t="str">
        <f t="shared" si="703"/>
        <v/>
      </c>
      <c r="S4487" t="str">
        <f t="shared" si="704"/>
        <v/>
      </c>
      <c r="T4487" t="str">
        <f t="shared" si="705"/>
        <v/>
      </c>
      <c r="U4487" t="str">
        <f t="shared" si="706"/>
        <v/>
      </c>
      <c r="V4487" t="str">
        <f t="shared" si="707"/>
        <v/>
      </c>
      <c r="W4487" t="str">
        <f t="shared" si="708"/>
        <v/>
      </c>
      <c r="X4487">
        <f>IF($T4487="",N($X4486),IF(MATCH($T4487,$T$6:$T$10005,0)=ROW()-5,N($X4486)+1,N($X4486)))</f>
        <v>0</v>
      </c>
      <c r="Z4487" t="str">
        <f t="shared" si="709"/>
        <v/>
      </c>
      <c r="AA4487">
        <f>IF($V4487="",N($AA4486),IF(MATCH($V4487,$V$6:$V$10005,0)=ROW()-5,N($AA4486)+1,N($AA4486)))</f>
        <v>0</v>
      </c>
    </row>
    <row r="4488" spans="1:27" ht="21" customHeight="1" x14ac:dyDescent="0.95">
      <c r="A4488" s="56"/>
      <c r="B4488" s="57"/>
      <c r="C4488" s="57"/>
      <c r="D4488" s="57"/>
      <c r="E4488" s="56"/>
      <c r="F4488" s="57"/>
      <c r="G4488" s="57"/>
      <c r="H4488" s="56"/>
      <c r="I4488" s="56"/>
      <c r="J4488" s="58"/>
      <c r="K4488" s="58"/>
      <c r="L4488" s="13" t="str">
        <f t="shared" si="700"/>
        <v/>
      </c>
      <c r="M4488" s="13" t="str">
        <f t="shared" si="701"/>
        <v/>
      </c>
      <c r="Q4488" t="str">
        <f t="shared" si="702"/>
        <v/>
      </c>
      <c r="R4488" t="str">
        <f t="shared" si="703"/>
        <v/>
      </c>
      <c r="S4488" t="str">
        <f t="shared" si="704"/>
        <v/>
      </c>
      <c r="T4488" t="str">
        <f t="shared" si="705"/>
        <v/>
      </c>
      <c r="U4488" t="str">
        <f t="shared" si="706"/>
        <v/>
      </c>
      <c r="V4488" t="str">
        <f t="shared" si="707"/>
        <v/>
      </c>
      <c r="W4488" t="str">
        <f t="shared" si="708"/>
        <v/>
      </c>
      <c r="X4488">
        <f>IF($T4488="",N($X4487),IF(MATCH($T4488,$T$6:$T$10005,0)=ROW()-5,N($X4487)+1,N($X4487)))</f>
        <v>0</v>
      </c>
      <c r="Z4488" t="str">
        <f t="shared" si="709"/>
        <v/>
      </c>
      <c r="AA4488">
        <f>IF($V4488="",N($AA4487),IF(MATCH($V4488,$V$6:$V$10005,0)=ROW()-5,N($AA4487)+1,N($AA4487)))</f>
        <v>0</v>
      </c>
    </row>
    <row r="4489" spans="1:27" ht="21" customHeight="1" x14ac:dyDescent="0.95">
      <c r="A4489" s="56"/>
      <c r="B4489" s="57"/>
      <c r="C4489" s="57"/>
      <c r="D4489" s="57"/>
      <c r="E4489" s="56"/>
      <c r="F4489" s="57"/>
      <c r="G4489" s="57"/>
      <c r="H4489" s="56"/>
      <c r="I4489" s="56"/>
      <c r="J4489" s="58"/>
      <c r="K4489" s="58"/>
      <c r="L4489" s="13" t="str">
        <f t="shared" si="700"/>
        <v/>
      </c>
      <c r="M4489" s="13" t="str">
        <f t="shared" si="701"/>
        <v/>
      </c>
      <c r="Q4489" t="str">
        <f t="shared" si="702"/>
        <v/>
      </c>
      <c r="R4489" t="str">
        <f t="shared" si="703"/>
        <v/>
      </c>
      <c r="S4489" t="str">
        <f t="shared" si="704"/>
        <v/>
      </c>
      <c r="T4489" t="str">
        <f t="shared" si="705"/>
        <v/>
      </c>
      <c r="U4489" t="str">
        <f t="shared" si="706"/>
        <v/>
      </c>
      <c r="V4489" t="str">
        <f t="shared" si="707"/>
        <v/>
      </c>
      <c r="W4489" t="str">
        <f t="shared" si="708"/>
        <v/>
      </c>
      <c r="X4489">
        <f>IF($T4489="",N($X4488),IF(MATCH($T4489,$T$6:$T$10005,0)=ROW()-5,N($X4488)+1,N($X4488)))</f>
        <v>0</v>
      </c>
      <c r="Z4489" t="str">
        <f t="shared" si="709"/>
        <v/>
      </c>
      <c r="AA4489">
        <f>IF($V4489="",N($AA4488),IF(MATCH($V4489,$V$6:$V$10005,0)=ROW()-5,N($AA4488)+1,N($AA4488)))</f>
        <v>0</v>
      </c>
    </row>
    <row r="4490" spans="1:27" ht="21" customHeight="1" x14ac:dyDescent="0.95">
      <c r="A4490" s="56"/>
      <c r="B4490" s="57"/>
      <c r="C4490" s="57"/>
      <c r="D4490" s="57"/>
      <c r="E4490" s="56"/>
      <c r="F4490" s="57"/>
      <c r="G4490" s="57"/>
      <c r="H4490" s="56"/>
      <c r="I4490" s="56"/>
      <c r="J4490" s="58"/>
      <c r="K4490" s="58"/>
      <c r="L4490" s="13" t="str">
        <f t="shared" si="700"/>
        <v/>
      </c>
      <c r="M4490" s="13" t="str">
        <f t="shared" si="701"/>
        <v/>
      </c>
      <c r="Q4490" t="str">
        <f t="shared" si="702"/>
        <v/>
      </c>
      <c r="R4490" t="str">
        <f t="shared" si="703"/>
        <v/>
      </c>
      <c r="S4490" t="str">
        <f t="shared" si="704"/>
        <v/>
      </c>
      <c r="T4490" t="str">
        <f t="shared" si="705"/>
        <v/>
      </c>
      <c r="U4490" t="str">
        <f t="shared" si="706"/>
        <v/>
      </c>
      <c r="V4490" t="str">
        <f t="shared" si="707"/>
        <v/>
      </c>
      <c r="W4490" t="str">
        <f t="shared" si="708"/>
        <v/>
      </c>
      <c r="X4490">
        <f>IF($T4490="",N($X4489),IF(MATCH($T4490,$T$6:$T$10005,0)=ROW()-5,N($X4489)+1,N($X4489)))</f>
        <v>0</v>
      </c>
      <c r="Z4490" t="str">
        <f t="shared" si="709"/>
        <v/>
      </c>
      <c r="AA4490">
        <f>IF($V4490="",N($AA4489),IF(MATCH($V4490,$V$6:$V$10005,0)=ROW()-5,N($AA4489)+1,N($AA4489)))</f>
        <v>0</v>
      </c>
    </row>
    <row r="4491" spans="1:27" ht="21" customHeight="1" x14ac:dyDescent="0.95">
      <c r="A4491" s="56"/>
      <c r="B4491" s="57"/>
      <c r="C4491" s="57"/>
      <c r="D4491" s="57"/>
      <c r="E4491" s="56"/>
      <c r="F4491" s="57"/>
      <c r="G4491" s="57"/>
      <c r="H4491" s="56"/>
      <c r="I4491" s="56"/>
      <c r="J4491" s="58"/>
      <c r="K4491" s="58"/>
      <c r="L4491" s="13" t="str">
        <f t="shared" si="700"/>
        <v/>
      </c>
      <c r="M4491" s="13" t="str">
        <f t="shared" si="701"/>
        <v/>
      </c>
      <c r="Q4491" t="str">
        <f t="shared" si="702"/>
        <v/>
      </c>
      <c r="R4491" t="str">
        <f t="shared" si="703"/>
        <v/>
      </c>
      <c r="S4491" t="str">
        <f t="shared" si="704"/>
        <v/>
      </c>
      <c r="T4491" t="str">
        <f t="shared" si="705"/>
        <v/>
      </c>
      <c r="U4491" t="str">
        <f t="shared" si="706"/>
        <v/>
      </c>
      <c r="V4491" t="str">
        <f t="shared" si="707"/>
        <v/>
      </c>
      <c r="W4491" t="str">
        <f t="shared" si="708"/>
        <v/>
      </c>
      <c r="X4491">
        <f>IF($T4491="",N($X4490),IF(MATCH($T4491,$T$6:$T$10005,0)=ROW()-5,N($X4490)+1,N($X4490)))</f>
        <v>0</v>
      </c>
      <c r="Z4491" t="str">
        <f t="shared" si="709"/>
        <v/>
      </c>
      <c r="AA4491">
        <f>IF($V4491="",N($AA4490),IF(MATCH($V4491,$V$6:$V$10005,0)=ROW()-5,N($AA4490)+1,N($AA4490)))</f>
        <v>0</v>
      </c>
    </row>
    <row r="4492" spans="1:27" ht="21" customHeight="1" x14ac:dyDescent="0.95">
      <c r="A4492" s="56"/>
      <c r="B4492" s="57"/>
      <c r="C4492" s="57"/>
      <c r="D4492" s="57"/>
      <c r="E4492" s="56"/>
      <c r="F4492" s="57"/>
      <c r="G4492" s="57"/>
      <c r="H4492" s="56"/>
      <c r="I4492" s="56"/>
      <c r="J4492" s="58"/>
      <c r="K4492" s="58"/>
      <c r="L4492" s="13" t="str">
        <f t="shared" si="700"/>
        <v/>
      </c>
      <c r="M4492" s="13" t="str">
        <f t="shared" si="701"/>
        <v/>
      </c>
      <c r="Q4492" t="str">
        <f t="shared" si="702"/>
        <v/>
      </c>
      <c r="R4492" t="str">
        <f t="shared" si="703"/>
        <v/>
      </c>
      <c r="S4492" t="str">
        <f t="shared" si="704"/>
        <v/>
      </c>
      <c r="T4492" t="str">
        <f t="shared" si="705"/>
        <v/>
      </c>
      <c r="U4492" t="str">
        <f t="shared" si="706"/>
        <v/>
      </c>
      <c r="V4492" t="str">
        <f t="shared" si="707"/>
        <v/>
      </c>
      <c r="W4492" t="str">
        <f t="shared" si="708"/>
        <v/>
      </c>
      <c r="X4492">
        <f>IF($T4492="",N($X4491),IF(MATCH($T4492,$T$6:$T$10005,0)=ROW()-5,N($X4491)+1,N($X4491)))</f>
        <v>0</v>
      </c>
      <c r="Z4492" t="str">
        <f t="shared" si="709"/>
        <v/>
      </c>
      <c r="AA4492">
        <f>IF($V4492="",N($AA4491),IF(MATCH($V4492,$V$6:$V$10005,0)=ROW()-5,N($AA4491)+1,N($AA4491)))</f>
        <v>0</v>
      </c>
    </row>
    <row r="4493" spans="1:27" ht="21" customHeight="1" x14ac:dyDescent="0.95">
      <c r="A4493" s="56"/>
      <c r="B4493" s="57"/>
      <c r="C4493" s="57"/>
      <c r="D4493" s="57"/>
      <c r="E4493" s="56"/>
      <c r="F4493" s="57"/>
      <c r="G4493" s="57"/>
      <c r="H4493" s="56"/>
      <c r="I4493" s="56"/>
      <c r="J4493" s="58"/>
      <c r="K4493" s="58"/>
      <c r="L4493" s="13" t="str">
        <f t="shared" si="700"/>
        <v/>
      </c>
      <c r="M4493" s="13" t="str">
        <f t="shared" si="701"/>
        <v/>
      </c>
      <c r="Q4493" t="str">
        <f t="shared" si="702"/>
        <v/>
      </c>
      <c r="R4493" t="str">
        <f t="shared" si="703"/>
        <v/>
      </c>
      <c r="S4493" t="str">
        <f t="shared" si="704"/>
        <v/>
      </c>
      <c r="T4493" t="str">
        <f t="shared" si="705"/>
        <v/>
      </c>
      <c r="U4493" t="str">
        <f t="shared" si="706"/>
        <v/>
      </c>
      <c r="V4493" t="str">
        <f t="shared" si="707"/>
        <v/>
      </c>
      <c r="W4493" t="str">
        <f t="shared" si="708"/>
        <v/>
      </c>
      <c r="X4493">
        <f>IF($T4493="",N($X4492),IF(MATCH($T4493,$T$6:$T$10005,0)=ROW()-5,N($X4492)+1,N($X4492)))</f>
        <v>0</v>
      </c>
      <c r="Z4493" t="str">
        <f t="shared" si="709"/>
        <v/>
      </c>
      <c r="AA4493">
        <f>IF($V4493="",N($AA4492),IF(MATCH($V4493,$V$6:$V$10005,0)=ROW()-5,N($AA4492)+1,N($AA4492)))</f>
        <v>0</v>
      </c>
    </row>
    <row r="4494" spans="1:27" ht="21" customHeight="1" x14ac:dyDescent="0.95">
      <c r="A4494" s="56"/>
      <c r="B4494" s="57"/>
      <c r="C4494" s="57"/>
      <c r="D4494" s="57"/>
      <c r="E4494" s="56"/>
      <c r="F4494" s="57"/>
      <c r="G4494" s="57"/>
      <c r="H4494" s="56"/>
      <c r="I4494" s="56"/>
      <c r="J4494" s="58"/>
      <c r="K4494" s="58"/>
      <c r="L4494" s="13" t="str">
        <f t="shared" si="700"/>
        <v/>
      </c>
      <c r="M4494" s="13" t="str">
        <f t="shared" si="701"/>
        <v/>
      </c>
      <c r="Q4494" t="str">
        <f t="shared" si="702"/>
        <v/>
      </c>
      <c r="R4494" t="str">
        <f t="shared" si="703"/>
        <v/>
      </c>
      <c r="S4494" t="str">
        <f t="shared" si="704"/>
        <v/>
      </c>
      <c r="T4494" t="str">
        <f t="shared" si="705"/>
        <v/>
      </c>
      <c r="U4494" t="str">
        <f t="shared" si="706"/>
        <v/>
      </c>
      <c r="V4494" t="str">
        <f t="shared" si="707"/>
        <v/>
      </c>
      <c r="W4494" t="str">
        <f t="shared" si="708"/>
        <v/>
      </c>
      <c r="X4494">
        <f>IF($T4494="",N($X4493),IF(MATCH($T4494,$T$6:$T$10005,0)=ROW()-5,N($X4493)+1,N($X4493)))</f>
        <v>0</v>
      </c>
      <c r="Z4494" t="str">
        <f t="shared" si="709"/>
        <v/>
      </c>
      <c r="AA4494">
        <f>IF($V4494="",N($AA4493),IF(MATCH($V4494,$V$6:$V$10005,0)=ROW()-5,N($AA4493)+1,N($AA4493)))</f>
        <v>0</v>
      </c>
    </row>
    <row r="4495" spans="1:27" ht="21" customHeight="1" x14ac:dyDescent="0.95">
      <c r="A4495" s="56"/>
      <c r="B4495" s="57"/>
      <c r="C4495" s="57"/>
      <c r="D4495" s="57"/>
      <c r="E4495" s="56"/>
      <c r="F4495" s="57"/>
      <c r="G4495" s="57"/>
      <c r="H4495" s="56"/>
      <c r="I4495" s="56"/>
      <c r="J4495" s="58"/>
      <c r="K4495" s="58"/>
      <c r="L4495" s="13" t="str">
        <f t="shared" si="700"/>
        <v/>
      </c>
      <c r="M4495" s="13" t="str">
        <f t="shared" si="701"/>
        <v/>
      </c>
      <c r="Q4495" t="str">
        <f t="shared" si="702"/>
        <v/>
      </c>
      <c r="R4495" t="str">
        <f t="shared" si="703"/>
        <v/>
      </c>
      <c r="S4495" t="str">
        <f t="shared" si="704"/>
        <v/>
      </c>
      <c r="T4495" t="str">
        <f t="shared" si="705"/>
        <v/>
      </c>
      <c r="U4495" t="str">
        <f t="shared" si="706"/>
        <v/>
      </c>
      <c r="V4495" t="str">
        <f t="shared" si="707"/>
        <v/>
      </c>
      <c r="W4495" t="str">
        <f t="shared" si="708"/>
        <v/>
      </c>
      <c r="X4495">
        <f>IF($T4495="",N($X4494),IF(MATCH($T4495,$T$6:$T$10005,0)=ROW()-5,N($X4494)+1,N($X4494)))</f>
        <v>0</v>
      </c>
      <c r="Z4495" t="str">
        <f t="shared" si="709"/>
        <v/>
      </c>
      <c r="AA4495">
        <f>IF($V4495="",N($AA4494),IF(MATCH($V4495,$V$6:$V$10005,0)=ROW()-5,N($AA4494)+1,N($AA4494)))</f>
        <v>0</v>
      </c>
    </row>
    <row r="4496" spans="1:27" ht="21" customHeight="1" x14ac:dyDescent="0.95">
      <c r="A4496" s="56"/>
      <c r="B4496" s="57"/>
      <c r="C4496" s="57"/>
      <c r="D4496" s="57"/>
      <c r="E4496" s="56"/>
      <c r="F4496" s="57"/>
      <c r="G4496" s="57"/>
      <c r="H4496" s="56"/>
      <c r="I4496" s="56"/>
      <c r="J4496" s="58"/>
      <c r="K4496" s="58"/>
      <c r="L4496" s="13" t="str">
        <f t="shared" si="700"/>
        <v/>
      </c>
      <c r="M4496" s="13" t="str">
        <f t="shared" si="701"/>
        <v/>
      </c>
      <c r="Q4496" t="str">
        <f t="shared" si="702"/>
        <v/>
      </c>
      <c r="R4496" t="str">
        <f t="shared" si="703"/>
        <v/>
      </c>
      <c r="S4496" t="str">
        <f t="shared" si="704"/>
        <v/>
      </c>
      <c r="T4496" t="str">
        <f t="shared" si="705"/>
        <v/>
      </c>
      <c r="U4496" t="str">
        <f t="shared" si="706"/>
        <v/>
      </c>
      <c r="V4496" t="str">
        <f t="shared" si="707"/>
        <v/>
      </c>
      <c r="W4496" t="str">
        <f t="shared" si="708"/>
        <v/>
      </c>
      <c r="X4496">
        <f>IF($T4496="",N($X4495),IF(MATCH($T4496,$T$6:$T$10005,0)=ROW()-5,N($X4495)+1,N($X4495)))</f>
        <v>0</v>
      </c>
      <c r="Z4496" t="str">
        <f t="shared" si="709"/>
        <v/>
      </c>
      <c r="AA4496">
        <f>IF($V4496="",N($AA4495),IF(MATCH($V4496,$V$6:$V$10005,0)=ROW()-5,N($AA4495)+1,N($AA4495)))</f>
        <v>0</v>
      </c>
    </row>
    <row r="4497" spans="1:27" ht="21" customHeight="1" x14ac:dyDescent="0.95">
      <c r="A4497" s="56"/>
      <c r="B4497" s="57"/>
      <c r="C4497" s="57"/>
      <c r="D4497" s="57"/>
      <c r="E4497" s="56"/>
      <c r="F4497" s="57"/>
      <c r="G4497" s="57"/>
      <c r="H4497" s="56"/>
      <c r="I4497" s="56"/>
      <c r="J4497" s="58"/>
      <c r="K4497" s="58"/>
      <c r="L4497" s="13" t="str">
        <f t="shared" si="700"/>
        <v/>
      </c>
      <c r="M4497" s="13" t="str">
        <f t="shared" si="701"/>
        <v/>
      </c>
      <c r="Q4497" t="str">
        <f t="shared" si="702"/>
        <v/>
      </c>
      <c r="R4497" t="str">
        <f t="shared" si="703"/>
        <v/>
      </c>
      <c r="S4497" t="str">
        <f t="shared" si="704"/>
        <v/>
      </c>
      <c r="T4497" t="str">
        <f t="shared" si="705"/>
        <v/>
      </c>
      <c r="U4497" t="str">
        <f t="shared" si="706"/>
        <v/>
      </c>
      <c r="V4497" t="str">
        <f t="shared" si="707"/>
        <v/>
      </c>
      <c r="W4497" t="str">
        <f t="shared" si="708"/>
        <v/>
      </c>
      <c r="X4497">
        <f>IF($T4497="",N($X4496),IF(MATCH($T4497,$T$6:$T$10005,0)=ROW()-5,N($X4496)+1,N($X4496)))</f>
        <v>0</v>
      </c>
      <c r="Z4497" t="str">
        <f t="shared" si="709"/>
        <v/>
      </c>
      <c r="AA4497">
        <f>IF($V4497="",N($AA4496),IF(MATCH($V4497,$V$6:$V$10005,0)=ROW()-5,N($AA4496)+1,N($AA4496)))</f>
        <v>0</v>
      </c>
    </row>
    <row r="4498" spans="1:27" ht="21" customHeight="1" x14ac:dyDescent="0.95">
      <c r="A4498" s="56"/>
      <c r="B4498" s="57"/>
      <c r="C4498" s="57"/>
      <c r="D4498" s="57"/>
      <c r="E4498" s="56"/>
      <c r="F4498" s="57"/>
      <c r="G4498" s="57"/>
      <c r="H4498" s="56"/>
      <c r="I4498" s="56"/>
      <c r="J4498" s="58"/>
      <c r="K4498" s="58"/>
      <c r="L4498" s="13" t="str">
        <f t="shared" si="700"/>
        <v/>
      </c>
      <c r="M4498" s="13" t="str">
        <f t="shared" si="701"/>
        <v/>
      </c>
      <c r="Q4498" t="str">
        <f t="shared" si="702"/>
        <v/>
      </c>
      <c r="R4498" t="str">
        <f t="shared" si="703"/>
        <v/>
      </c>
      <c r="S4498" t="str">
        <f t="shared" si="704"/>
        <v/>
      </c>
      <c r="T4498" t="str">
        <f t="shared" si="705"/>
        <v/>
      </c>
      <c r="U4498" t="str">
        <f t="shared" si="706"/>
        <v/>
      </c>
      <c r="V4498" t="str">
        <f t="shared" si="707"/>
        <v/>
      </c>
      <c r="W4498" t="str">
        <f t="shared" si="708"/>
        <v/>
      </c>
      <c r="X4498">
        <f>IF($T4498="",N($X4497),IF(MATCH($T4498,$T$6:$T$10005,0)=ROW()-5,N($X4497)+1,N($X4497)))</f>
        <v>0</v>
      </c>
      <c r="Z4498" t="str">
        <f t="shared" si="709"/>
        <v/>
      </c>
      <c r="AA4498">
        <f>IF($V4498="",N($AA4497),IF(MATCH($V4498,$V$6:$V$10005,0)=ROW()-5,N($AA4497)+1,N($AA4497)))</f>
        <v>0</v>
      </c>
    </row>
    <row r="4499" spans="1:27" ht="21" customHeight="1" x14ac:dyDescent="0.95">
      <c r="A4499" s="56"/>
      <c r="B4499" s="57"/>
      <c r="C4499" s="57"/>
      <c r="D4499" s="57"/>
      <c r="E4499" s="56"/>
      <c r="F4499" s="57"/>
      <c r="G4499" s="57"/>
      <c r="H4499" s="56"/>
      <c r="I4499" s="56"/>
      <c r="J4499" s="58"/>
      <c r="K4499" s="58"/>
      <c r="L4499" s="13" t="str">
        <f t="shared" si="700"/>
        <v/>
      </c>
      <c r="M4499" s="13" t="str">
        <f t="shared" si="701"/>
        <v/>
      </c>
      <c r="Q4499" t="str">
        <f t="shared" si="702"/>
        <v/>
      </c>
      <c r="R4499" t="str">
        <f t="shared" si="703"/>
        <v/>
      </c>
      <c r="S4499" t="str">
        <f t="shared" si="704"/>
        <v/>
      </c>
      <c r="T4499" t="str">
        <f t="shared" si="705"/>
        <v/>
      </c>
      <c r="U4499" t="str">
        <f t="shared" si="706"/>
        <v/>
      </c>
      <c r="V4499" t="str">
        <f t="shared" si="707"/>
        <v/>
      </c>
      <c r="W4499" t="str">
        <f t="shared" si="708"/>
        <v/>
      </c>
      <c r="X4499">
        <f>IF($T4499="",N($X4498),IF(MATCH($T4499,$T$6:$T$10005,0)=ROW()-5,N($X4498)+1,N($X4498)))</f>
        <v>0</v>
      </c>
      <c r="Z4499" t="str">
        <f t="shared" si="709"/>
        <v/>
      </c>
      <c r="AA4499">
        <f>IF($V4499="",N($AA4498),IF(MATCH($V4499,$V$6:$V$10005,0)=ROW()-5,N($AA4498)+1,N($AA4498)))</f>
        <v>0</v>
      </c>
    </row>
    <row r="4500" spans="1:27" ht="21" customHeight="1" x14ac:dyDescent="0.95">
      <c r="A4500" s="56"/>
      <c r="B4500" s="57"/>
      <c r="C4500" s="57"/>
      <c r="D4500" s="57"/>
      <c r="E4500" s="56"/>
      <c r="F4500" s="57"/>
      <c r="G4500" s="57"/>
      <c r="H4500" s="56"/>
      <c r="I4500" s="56"/>
      <c r="J4500" s="58"/>
      <c r="K4500" s="58"/>
      <c r="L4500" s="13" t="str">
        <f t="shared" si="700"/>
        <v/>
      </c>
      <c r="M4500" s="13" t="str">
        <f t="shared" si="701"/>
        <v/>
      </c>
      <c r="Q4500" t="str">
        <f t="shared" si="702"/>
        <v/>
      </c>
      <c r="R4500" t="str">
        <f t="shared" si="703"/>
        <v/>
      </c>
      <c r="S4500" t="str">
        <f t="shared" si="704"/>
        <v/>
      </c>
      <c r="T4500" t="str">
        <f t="shared" si="705"/>
        <v/>
      </c>
      <c r="U4500" t="str">
        <f t="shared" si="706"/>
        <v/>
      </c>
      <c r="V4500" t="str">
        <f t="shared" si="707"/>
        <v/>
      </c>
      <c r="W4500" t="str">
        <f t="shared" si="708"/>
        <v/>
      </c>
      <c r="X4500">
        <f>IF($T4500="",N($X4499),IF(MATCH($T4500,$T$6:$T$10005,0)=ROW()-5,N($X4499)+1,N($X4499)))</f>
        <v>0</v>
      </c>
      <c r="Z4500" t="str">
        <f t="shared" si="709"/>
        <v/>
      </c>
      <c r="AA4500">
        <f>IF($V4500="",N($AA4499),IF(MATCH($V4500,$V$6:$V$10005,0)=ROW()-5,N($AA4499)+1,N($AA4499)))</f>
        <v>0</v>
      </c>
    </row>
    <row r="4501" spans="1:27" ht="21" customHeight="1" x14ac:dyDescent="0.95">
      <c r="A4501" s="56"/>
      <c r="B4501" s="57"/>
      <c r="C4501" s="57"/>
      <c r="D4501" s="57"/>
      <c r="E4501" s="56"/>
      <c r="F4501" s="57"/>
      <c r="G4501" s="57"/>
      <c r="H4501" s="56"/>
      <c r="I4501" s="56"/>
      <c r="J4501" s="58"/>
      <c r="K4501" s="58"/>
      <c r="L4501" s="13" t="str">
        <f t="shared" si="700"/>
        <v/>
      </c>
      <c r="M4501" s="13" t="str">
        <f t="shared" si="701"/>
        <v/>
      </c>
      <c r="Q4501" t="str">
        <f t="shared" si="702"/>
        <v/>
      </c>
      <c r="R4501" t="str">
        <f t="shared" si="703"/>
        <v/>
      </c>
      <c r="S4501" t="str">
        <f t="shared" si="704"/>
        <v/>
      </c>
      <c r="T4501" t="str">
        <f t="shared" si="705"/>
        <v/>
      </c>
      <c r="U4501" t="str">
        <f t="shared" si="706"/>
        <v/>
      </c>
      <c r="V4501" t="str">
        <f t="shared" si="707"/>
        <v/>
      </c>
      <c r="W4501" t="str">
        <f t="shared" si="708"/>
        <v/>
      </c>
      <c r="X4501">
        <f>IF($T4501="",N($X4500),IF(MATCH($T4501,$T$6:$T$10005,0)=ROW()-5,N($X4500)+1,N($X4500)))</f>
        <v>0</v>
      </c>
      <c r="Z4501" t="str">
        <f t="shared" si="709"/>
        <v/>
      </c>
      <c r="AA4501">
        <f>IF($V4501="",N($AA4500),IF(MATCH($V4501,$V$6:$V$10005,0)=ROW()-5,N($AA4500)+1,N($AA4500)))</f>
        <v>0</v>
      </c>
    </row>
    <row r="4502" spans="1:27" ht="21" customHeight="1" x14ac:dyDescent="0.95">
      <c r="A4502" s="56"/>
      <c r="B4502" s="57"/>
      <c r="C4502" s="57"/>
      <c r="D4502" s="57"/>
      <c r="E4502" s="56"/>
      <c r="F4502" s="57"/>
      <c r="G4502" s="57"/>
      <c r="H4502" s="56"/>
      <c r="I4502" s="56"/>
      <c r="J4502" s="58"/>
      <c r="K4502" s="58"/>
      <c r="L4502" s="13" t="str">
        <f t="shared" si="700"/>
        <v/>
      </c>
      <c r="M4502" s="13" t="str">
        <f t="shared" si="701"/>
        <v/>
      </c>
      <c r="Q4502" t="str">
        <f t="shared" si="702"/>
        <v/>
      </c>
      <c r="R4502" t="str">
        <f t="shared" si="703"/>
        <v/>
      </c>
      <c r="S4502" t="str">
        <f t="shared" si="704"/>
        <v/>
      </c>
      <c r="T4502" t="str">
        <f t="shared" si="705"/>
        <v/>
      </c>
      <c r="U4502" t="str">
        <f t="shared" si="706"/>
        <v/>
      </c>
      <c r="V4502" t="str">
        <f t="shared" si="707"/>
        <v/>
      </c>
      <c r="W4502" t="str">
        <f t="shared" si="708"/>
        <v/>
      </c>
      <c r="X4502">
        <f>IF($T4502="",N($X4501),IF(MATCH($T4502,$T$6:$T$10005,0)=ROW()-5,N($X4501)+1,N($X4501)))</f>
        <v>0</v>
      </c>
      <c r="Z4502" t="str">
        <f t="shared" si="709"/>
        <v/>
      </c>
      <c r="AA4502">
        <f>IF($V4502="",N($AA4501),IF(MATCH($V4502,$V$6:$V$10005,0)=ROW()-5,N($AA4501)+1,N($AA4501)))</f>
        <v>0</v>
      </c>
    </row>
    <row r="4503" spans="1:27" ht="21" customHeight="1" x14ac:dyDescent="0.95">
      <c r="A4503" s="56"/>
      <c r="B4503" s="57"/>
      <c r="C4503" s="57"/>
      <c r="D4503" s="57"/>
      <c r="E4503" s="56"/>
      <c r="F4503" s="57"/>
      <c r="G4503" s="57"/>
      <c r="H4503" s="56"/>
      <c r="I4503" s="56"/>
      <c r="J4503" s="58"/>
      <c r="K4503" s="58"/>
      <c r="L4503" s="13" t="str">
        <f t="shared" si="700"/>
        <v/>
      </c>
      <c r="M4503" s="13" t="str">
        <f t="shared" si="701"/>
        <v/>
      </c>
      <c r="Q4503" t="str">
        <f t="shared" si="702"/>
        <v/>
      </c>
      <c r="R4503" t="str">
        <f t="shared" si="703"/>
        <v/>
      </c>
      <c r="S4503" t="str">
        <f t="shared" si="704"/>
        <v/>
      </c>
      <c r="T4503" t="str">
        <f t="shared" si="705"/>
        <v/>
      </c>
      <c r="U4503" t="str">
        <f t="shared" si="706"/>
        <v/>
      </c>
      <c r="V4503" t="str">
        <f t="shared" si="707"/>
        <v/>
      </c>
      <c r="W4503" t="str">
        <f t="shared" si="708"/>
        <v/>
      </c>
      <c r="X4503">
        <f>IF($T4503="",N($X4502),IF(MATCH($T4503,$T$6:$T$10005,0)=ROW()-5,N($X4502)+1,N($X4502)))</f>
        <v>0</v>
      </c>
      <c r="Z4503" t="str">
        <f t="shared" si="709"/>
        <v/>
      </c>
      <c r="AA4503">
        <f>IF($V4503="",N($AA4502),IF(MATCH($V4503,$V$6:$V$10005,0)=ROW()-5,N($AA4502)+1,N($AA4502)))</f>
        <v>0</v>
      </c>
    </row>
    <row r="4504" spans="1:27" ht="21" customHeight="1" x14ac:dyDescent="0.95">
      <c r="A4504" s="56"/>
      <c r="B4504" s="57"/>
      <c r="C4504" s="57"/>
      <c r="D4504" s="57"/>
      <c r="E4504" s="56"/>
      <c r="F4504" s="57"/>
      <c r="G4504" s="57"/>
      <c r="H4504" s="56"/>
      <c r="I4504" s="56"/>
      <c r="J4504" s="58"/>
      <c r="K4504" s="58"/>
      <c r="L4504" s="13" t="str">
        <f t="shared" si="700"/>
        <v/>
      </c>
      <c r="M4504" s="13" t="str">
        <f t="shared" si="701"/>
        <v/>
      </c>
      <c r="Q4504" t="str">
        <f t="shared" si="702"/>
        <v/>
      </c>
      <c r="R4504" t="str">
        <f t="shared" si="703"/>
        <v/>
      </c>
      <c r="S4504" t="str">
        <f t="shared" si="704"/>
        <v/>
      </c>
      <c r="T4504" t="str">
        <f t="shared" si="705"/>
        <v/>
      </c>
      <c r="U4504" t="str">
        <f t="shared" si="706"/>
        <v/>
      </c>
      <c r="V4504" t="str">
        <f t="shared" si="707"/>
        <v/>
      </c>
      <c r="W4504" t="str">
        <f t="shared" si="708"/>
        <v/>
      </c>
      <c r="X4504">
        <f>IF($T4504="",N($X4503),IF(MATCH($T4504,$T$6:$T$10005,0)=ROW()-5,N($X4503)+1,N($X4503)))</f>
        <v>0</v>
      </c>
      <c r="Z4504" t="str">
        <f t="shared" si="709"/>
        <v/>
      </c>
      <c r="AA4504">
        <f>IF($V4504="",N($AA4503),IF(MATCH($V4504,$V$6:$V$10005,0)=ROW()-5,N($AA4503)+1,N($AA4503)))</f>
        <v>0</v>
      </c>
    </row>
    <row r="4505" spans="1:27" ht="21" customHeight="1" x14ac:dyDescent="0.95">
      <c r="A4505" s="56"/>
      <c r="B4505" s="57"/>
      <c r="C4505" s="57"/>
      <c r="D4505" s="57"/>
      <c r="E4505" s="56"/>
      <c r="F4505" s="57"/>
      <c r="G4505" s="57"/>
      <c r="H4505" s="56"/>
      <c r="I4505" s="56"/>
      <c r="J4505" s="58"/>
      <c r="K4505" s="58"/>
      <c r="L4505" s="13" t="str">
        <f t="shared" si="700"/>
        <v/>
      </c>
      <c r="M4505" s="13" t="str">
        <f t="shared" si="701"/>
        <v/>
      </c>
      <c r="Q4505" t="str">
        <f t="shared" si="702"/>
        <v/>
      </c>
      <c r="R4505" t="str">
        <f t="shared" si="703"/>
        <v/>
      </c>
      <c r="S4505" t="str">
        <f t="shared" si="704"/>
        <v/>
      </c>
      <c r="T4505" t="str">
        <f t="shared" si="705"/>
        <v/>
      </c>
      <c r="U4505" t="str">
        <f t="shared" si="706"/>
        <v/>
      </c>
      <c r="V4505" t="str">
        <f t="shared" si="707"/>
        <v/>
      </c>
      <c r="W4505" t="str">
        <f t="shared" si="708"/>
        <v/>
      </c>
      <c r="X4505">
        <f>IF($T4505="",N($X4504),IF(MATCH($T4505,$T$6:$T$10005,0)=ROW()-5,N($X4504)+1,N($X4504)))</f>
        <v>0</v>
      </c>
      <c r="Z4505" t="str">
        <f t="shared" si="709"/>
        <v/>
      </c>
      <c r="AA4505">
        <f>IF($V4505="",N($AA4504),IF(MATCH($V4505,$V$6:$V$10005,0)=ROW()-5,N($AA4504)+1,N($AA4504)))</f>
        <v>0</v>
      </c>
    </row>
    <row r="4506" spans="1:27" ht="21" customHeight="1" x14ac:dyDescent="0.95">
      <c r="A4506" s="56"/>
      <c r="B4506" s="57"/>
      <c r="C4506" s="57"/>
      <c r="D4506" s="57"/>
      <c r="E4506" s="56"/>
      <c r="F4506" s="57"/>
      <c r="G4506" s="57"/>
      <c r="H4506" s="56"/>
      <c r="I4506" s="56"/>
      <c r="J4506" s="58"/>
      <c r="K4506" s="58"/>
      <c r="L4506" s="13" t="str">
        <f t="shared" si="700"/>
        <v/>
      </c>
      <c r="M4506" s="13" t="str">
        <f t="shared" si="701"/>
        <v/>
      </c>
      <c r="Q4506" t="str">
        <f t="shared" si="702"/>
        <v/>
      </c>
      <c r="R4506" t="str">
        <f t="shared" si="703"/>
        <v/>
      </c>
      <c r="S4506" t="str">
        <f t="shared" si="704"/>
        <v/>
      </c>
      <c r="T4506" t="str">
        <f t="shared" si="705"/>
        <v/>
      </c>
      <c r="U4506" t="str">
        <f t="shared" si="706"/>
        <v/>
      </c>
      <c r="V4506" t="str">
        <f t="shared" si="707"/>
        <v/>
      </c>
      <c r="W4506" t="str">
        <f t="shared" si="708"/>
        <v/>
      </c>
      <c r="X4506">
        <f>IF($T4506="",N($X4505),IF(MATCH($T4506,$T$6:$T$10005,0)=ROW()-5,N($X4505)+1,N($X4505)))</f>
        <v>0</v>
      </c>
      <c r="Z4506" t="str">
        <f t="shared" si="709"/>
        <v/>
      </c>
      <c r="AA4506">
        <f>IF($V4506="",N($AA4505),IF(MATCH($V4506,$V$6:$V$10005,0)=ROW()-5,N($AA4505)+1,N($AA4505)))</f>
        <v>0</v>
      </c>
    </row>
    <row r="4507" spans="1:27" ht="21" customHeight="1" x14ac:dyDescent="0.95">
      <c r="A4507" s="56"/>
      <c r="B4507" s="57"/>
      <c r="C4507" s="57"/>
      <c r="D4507" s="57"/>
      <c r="E4507" s="56"/>
      <c r="F4507" s="57"/>
      <c r="G4507" s="57"/>
      <c r="H4507" s="56"/>
      <c r="I4507" s="56"/>
      <c r="J4507" s="58"/>
      <c r="K4507" s="58"/>
      <c r="L4507" s="13" t="str">
        <f t="shared" si="700"/>
        <v/>
      </c>
      <c r="M4507" s="13" t="str">
        <f t="shared" si="701"/>
        <v/>
      </c>
      <c r="Q4507" t="str">
        <f t="shared" si="702"/>
        <v/>
      </c>
      <c r="R4507" t="str">
        <f t="shared" si="703"/>
        <v/>
      </c>
      <c r="S4507" t="str">
        <f t="shared" si="704"/>
        <v/>
      </c>
      <c r="T4507" t="str">
        <f t="shared" si="705"/>
        <v/>
      </c>
      <c r="U4507" t="str">
        <f t="shared" si="706"/>
        <v/>
      </c>
      <c r="V4507" t="str">
        <f t="shared" si="707"/>
        <v/>
      </c>
      <c r="W4507" t="str">
        <f t="shared" si="708"/>
        <v/>
      </c>
      <c r="X4507">
        <f>IF($T4507="",N($X4506),IF(MATCH($T4507,$T$6:$T$10005,0)=ROW()-5,N($X4506)+1,N($X4506)))</f>
        <v>0</v>
      </c>
      <c r="Z4507" t="str">
        <f t="shared" si="709"/>
        <v/>
      </c>
      <c r="AA4507">
        <f>IF($V4507="",N($AA4506),IF(MATCH($V4507,$V$6:$V$10005,0)=ROW()-5,N($AA4506)+1,N($AA4506)))</f>
        <v>0</v>
      </c>
    </row>
    <row r="4508" spans="1:27" ht="21" customHeight="1" x14ac:dyDescent="0.95">
      <c r="A4508" s="56"/>
      <c r="B4508" s="57"/>
      <c r="C4508" s="57"/>
      <c r="D4508" s="57"/>
      <c r="E4508" s="56"/>
      <c r="F4508" s="57"/>
      <c r="G4508" s="57"/>
      <c r="H4508" s="56"/>
      <c r="I4508" s="56"/>
      <c r="J4508" s="58"/>
      <c r="K4508" s="58"/>
      <c r="L4508" s="13" t="str">
        <f t="shared" si="700"/>
        <v/>
      </c>
      <c r="M4508" s="13" t="str">
        <f t="shared" si="701"/>
        <v/>
      </c>
      <c r="Q4508" t="str">
        <f t="shared" si="702"/>
        <v/>
      </c>
      <c r="R4508" t="str">
        <f t="shared" si="703"/>
        <v/>
      </c>
      <c r="S4508" t="str">
        <f t="shared" si="704"/>
        <v/>
      </c>
      <c r="T4508" t="str">
        <f t="shared" si="705"/>
        <v/>
      </c>
      <c r="U4508" t="str">
        <f t="shared" si="706"/>
        <v/>
      </c>
      <c r="V4508" t="str">
        <f t="shared" si="707"/>
        <v/>
      </c>
      <c r="W4508" t="str">
        <f t="shared" si="708"/>
        <v/>
      </c>
      <c r="X4508">
        <f>IF($T4508="",N($X4507),IF(MATCH($T4508,$T$6:$T$10005,0)=ROW()-5,N($X4507)+1,N($X4507)))</f>
        <v>0</v>
      </c>
      <c r="Z4508" t="str">
        <f t="shared" si="709"/>
        <v/>
      </c>
      <c r="AA4508">
        <f>IF($V4508="",N($AA4507),IF(MATCH($V4508,$V$6:$V$10005,0)=ROW()-5,N($AA4507)+1,N($AA4507)))</f>
        <v>0</v>
      </c>
    </row>
    <row r="4509" spans="1:27" ht="21" customHeight="1" x14ac:dyDescent="0.95">
      <c r="A4509" s="56"/>
      <c r="B4509" s="57"/>
      <c r="C4509" s="57"/>
      <c r="D4509" s="57"/>
      <c r="E4509" s="56"/>
      <c r="F4509" s="57"/>
      <c r="G4509" s="57"/>
      <c r="H4509" s="56"/>
      <c r="I4509" s="56"/>
      <c r="J4509" s="58"/>
      <c r="K4509" s="58"/>
      <c r="L4509" s="13" t="str">
        <f t="shared" si="700"/>
        <v/>
      </c>
      <c r="M4509" s="13" t="str">
        <f t="shared" si="701"/>
        <v/>
      </c>
      <c r="Q4509" t="str">
        <f t="shared" si="702"/>
        <v/>
      </c>
      <c r="R4509" t="str">
        <f t="shared" si="703"/>
        <v/>
      </c>
      <c r="S4509" t="str">
        <f t="shared" si="704"/>
        <v/>
      </c>
      <c r="T4509" t="str">
        <f t="shared" si="705"/>
        <v/>
      </c>
      <c r="U4509" t="str">
        <f t="shared" si="706"/>
        <v/>
      </c>
      <c r="V4509" t="str">
        <f t="shared" si="707"/>
        <v/>
      </c>
      <c r="W4509" t="str">
        <f t="shared" si="708"/>
        <v/>
      </c>
      <c r="X4509">
        <f>IF($T4509="",N($X4508),IF(MATCH($T4509,$T$6:$T$10005,0)=ROW()-5,N($X4508)+1,N($X4508)))</f>
        <v>0</v>
      </c>
      <c r="Z4509" t="str">
        <f t="shared" si="709"/>
        <v/>
      </c>
      <c r="AA4509">
        <f>IF($V4509="",N($AA4508),IF(MATCH($V4509,$V$6:$V$10005,0)=ROW()-5,N($AA4508)+1,N($AA4508)))</f>
        <v>0</v>
      </c>
    </row>
    <row r="4510" spans="1:27" ht="21" customHeight="1" x14ac:dyDescent="0.95">
      <c r="A4510" s="56"/>
      <c r="B4510" s="57"/>
      <c r="C4510" s="57"/>
      <c r="D4510" s="57"/>
      <c r="E4510" s="56"/>
      <c r="F4510" s="57"/>
      <c r="G4510" s="57"/>
      <c r="H4510" s="56"/>
      <c r="I4510" s="56"/>
      <c r="J4510" s="58"/>
      <c r="K4510" s="58"/>
      <c r="L4510" s="13" t="str">
        <f t="shared" si="700"/>
        <v/>
      </c>
      <c r="M4510" s="13" t="str">
        <f t="shared" si="701"/>
        <v/>
      </c>
      <c r="Q4510" t="str">
        <f t="shared" si="702"/>
        <v/>
      </c>
      <c r="R4510" t="str">
        <f t="shared" si="703"/>
        <v/>
      </c>
      <c r="S4510" t="str">
        <f t="shared" si="704"/>
        <v/>
      </c>
      <c r="T4510" t="str">
        <f t="shared" si="705"/>
        <v/>
      </c>
      <c r="U4510" t="str">
        <f t="shared" si="706"/>
        <v/>
      </c>
      <c r="V4510" t="str">
        <f t="shared" si="707"/>
        <v/>
      </c>
      <c r="W4510" t="str">
        <f t="shared" si="708"/>
        <v/>
      </c>
      <c r="X4510">
        <f>IF($T4510="",N($X4509),IF(MATCH($T4510,$T$6:$T$10005,0)=ROW()-5,N($X4509)+1,N($X4509)))</f>
        <v>0</v>
      </c>
      <c r="Z4510" t="str">
        <f t="shared" si="709"/>
        <v/>
      </c>
      <c r="AA4510">
        <f>IF($V4510="",N($AA4509),IF(MATCH($V4510,$V$6:$V$10005,0)=ROW()-5,N($AA4509)+1,N($AA4509)))</f>
        <v>0</v>
      </c>
    </row>
    <row r="4511" spans="1:27" ht="21" customHeight="1" x14ac:dyDescent="0.95">
      <c r="A4511" s="56"/>
      <c r="B4511" s="57"/>
      <c r="C4511" s="57"/>
      <c r="D4511" s="57"/>
      <c r="E4511" s="56"/>
      <c r="F4511" s="57"/>
      <c r="G4511" s="57"/>
      <c r="H4511" s="56"/>
      <c r="I4511" s="56"/>
      <c r="J4511" s="58"/>
      <c r="K4511" s="58"/>
      <c r="L4511" s="13" t="str">
        <f t="shared" si="700"/>
        <v/>
      </c>
      <c r="M4511" s="13" t="str">
        <f t="shared" si="701"/>
        <v/>
      </c>
      <c r="Q4511" t="str">
        <f t="shared" si="702"/>
        <v/>
      </c>
      <c r="R4511" t="str">
        <f t="shared" si="703"/>
        <v/>
      </c>
      <c r="S4511" t="str">
        <f t="shared" si="704"/>
        <v/>
      </c>
      <c r="T4511" t="str">
        <f t="shared" si="705"/>
        <v/>
      </c>
      <c r="U4511" t="str">
        <f t="shared" si="706"/>
        <v/>
      </c>
      <c r="V4511" t="str">
        <f t="shared" si="707"/>
        <v/>
      </c>
      <c r="W4511" t="str">
        <f t="shared" si="708"/>
        <v/>
      </c>
      <c r="X4511">
        <f>IF($T4511="",N($X4510),IF(MATCH($T4511,$T$6:$T$10005,0)=ROW()-5,N($X4510)+1,N($X4510)))</f>
        <v>0</v>
      </c>
      <c r="Z4511" t="str">
        <f t="shared" si="709"/>
        <v/>
      </c>
      <c r="AA4511">
        <f>IF($V4511="",N($AA4510),IF(MATCH($V4511,$V$6:$V$10005,0)=ROW()-5,N($AA4510)+1,N($AA4510)))</f>
        <v>0</v>
      </c>
    </row>
    <row r="4512" spans="1:27" ht="21" customHeight="1" x14ac:dyDescent="0.95">
      <c r="A4512" s="56"/>
      <c r="B4512" s="57"/>
      <c r="C4512" s="57"/>
      <c r="D4512" s="57"/>
      <c r="E4512" s="56"/>
      <c r="F4512" s="57"/>
      <c r="G4512" s="57"/>
      <c r="H4512" s="56"/>
      <c r="I4512" s="56"/>
      <c r="J4512" s="58"/>
      <c r="K4512" s="58"/>
      <c r="L4512" s="13" t="str">
        <f t="shared" si="700"/>
        <v/>
      </c>
      <c r="M4512" s="13" t="str">
        <f t="shared" si="701"/>
        <v/>
      </c>
      <c r="Q4512" t="str">
        <f t="shared" si="702"/>
        <v/>
      </c>
      <c r="R4512" t="str">
        <f t="shared" si="703"/>
        <v/>
      </c>
      <c r="S4512" t="str">
        <f t="shared" si="704"/>
        <v/>
      </c>
      <c r="T4512" t="str">
        <f t="shared" si="705"/>
        <v/>
      </c>
      <c r="U4512" t="str">
        <f t="shared" si="706"/>
        <v/>
      </c>
      <c r="V4512" t="str">
        <f t="shared" si="707"/>
        <v/>
      </c>
      <c r="W4512" t="str">
        <f t="shared" si="708"/>
        <v/>
      </c>
      <c r="X4512">
        <f>IF($T4512="",N($X4511),IF(MATCH($T4512,$T$6:$T$10005,0)=ROW()-5,N($X4511)+1,N($X4511)))</f>
        <v>0</v>
      </c>
      <c r="Z4512" t="str">
        <f t="shared" si="709"/>
        <v/>
      </c>
      <c r="AA4512">
        <f>IF($V4512="",N($AA4511),IF(MATCH($V4512,$V$6:$V$10005,0)=ROW()-5,N($AA4511)+1,N($AA4511)))</f>
        <v>0</v>
      </c>
    </row>
    <row r="4513" spans="1:27" ht="21" customHeight="1" x14ac:dyDescent="0.95">
      <c r="A4513" s="56"/>
      <c r="B4513" s="57"/>
      <c r="C4513" s="57"/>
      <c r="D4513" s="57"/>
      <c r="E4513" s="56"/>
      <c r="F4513" s="57"/>
      <c r="G4513" s="57"/>
      <c r="H4513" s="56"/>
      <c r="I4513" s="56"/>
      <c r="J4513" s="58"/>
      <c r="K4513" s="58"/>
      <c r="L4513" s="13" t="str">
        <f t="shared" si="700"/>
        <v/>
      </c>
      <c r="M4513" s="13" t="str">
        <f t="shared" si="701"/>
        <v/>
      </c>
      <c r="Q4513" t="str">
        <f t="shared" si="702"/>
        <v/>
      </c>
      <c r="R4513" t="str">
        <f t="shared" si="703"/>
        <v/>
      </c>
      <c r="S4513" t="str">
        <f t="shared" si="704"/>
        <v/>
      </c>
      <c r="T4513" t="str">
        <f t="shared" si="705"/>
        <v/>
      </c>
      <c r="U4513" t="str">
        <f t="shared" si="706"/>
        <v/>
      </c>
      <c r="V4513" t="str">
        <f t="shared" si="707"/>
        <v/>
      </c>
      <c r="W4513" t="str">
        <f t="shared" si="708"/>
        <v/>
      </c>
      <c r="X4513">
        <f>IF($T4513="",N($X4512),IF(MATCH($T4513,$T$6:$T$10005,0)=ROW()-5,N($X4512)+1,N($X4512)))</f>
        <v>0</v>
      </c>
      <c r="Z4513" t="str">
        <f t="shared" si="709"/>
        <v/>
      </c>
      <c r="AA4513">
        <f>IF($V4513="",N($AA4512),IF(MATCH($V4513,$V$6:$V$10005,0)=ROW()-5,N($AA4512)+1,N($AA4512)))</f>
        <v>0</v>
      </c>
    </row>
    <row r="4514" spans="1:27" ht="21" customHeight="1" x14ac:dyDescent="0.95">
      <c r="A4514" s="56"/>
      <c r="B4514" s="57"/>
      <c r="C4514" s="57"/>
      <c r="D4514" s="57"/>
      <c r="E4514" s="56"/>
      <c r="F4514" s="57"/>
      <c r="G4514" s="57"/>
      <c r="H4514" s="56"/>
      <c r="I4514" s="56"/>
      <c r="J4514" s="58"/>
      <c r="K4514" s="58"/>
      <c r="L4514" s="13" t="str">
        <f t="shared" si="700"/>
        <v/>
      </c>
      <c r="M4514" s="13" t="str">
        <f t="shared" si="701"/>
        <v/>
      </c>
      <c r="Q4514" t="str">
        <f t="shared" si="702"/>
        <v/>
      </c>
      <c r="R4514" t="str">
        <f t="shared" si="703"/>
        <v/>
      </c>
      <c r="S4514" t="str">
        <f t="shared" si="704"/>
        <v/>
      </c>
      <c r="T4514" t="str">
        <f t="shared" si="705"/>
        <v/>
      </c>
      <c r="U4514" t="str">
        <f t="shared" si="706"/>
        <v/>
      </c>
      <c r="V4514" t="str">
        <f t="shared" si="707"/>
        <v/>
      </c>
      <c r="W4514" t="str">
        <f t="shared" si="708"/>
        <v/>
      </c>
      <c r="X4514">
        <f>IF($T4514="",N($X4513),IF(MATCH($T4514,$T$6:$T$10005,0)=ROW()-5,N($X4513)+1,N($X4513)))</f>
        <v>0</v>
      </c>
      <c r="Z4514" t="str">
        <f t="shared" si="709"/>
        <v/>
      </c>
      <c r="AA4514">
        <f>IF($V4514="",N($AA4513),IF(MATCH($V4514,$V$6:$V$10005,0)=ROW()-5,N($AA4513)+1,N($AA4513)))</f>
        <v>0</v>
      </c>
    </row>
    <row r="4515" spans="1:27" ht="21" customHeight="1" x14ac:dyDescent="0.95">
      <c r="A4515" s="56"/>
      <c r="B4515" s="57"/>
      <c r="C4515" s="57"/>
      <c r="D4515" s="57"/>
      <c r="E4515" s="56"/>
      <c r="F4515" s="57"/>
      <c r="G4515" s="57"/>
      <c r="H4515" s="56"/>
      <c r="I4515" s="56"/>
      <c r="J4515" s="58"/>
      <c r="K4515" s="58"/>
      <c r="L4515" s="13" t="str">
        <f t="shared" si="700"/>
        <v/>
      </c>
      <c r="M4515" s="13" t="str">
        <f t="shared" si="701"/>
        <v/>
      </c>
      <c r="Q4515" t="str">
        <f t="shared" si="702"/>
        <v/>
      </c>
      <c r="R4515" t="str">
        <f t="shared" si="703"/>
        <v/>
      </c>
      <c r="S4515" t="str">
        <f t="shared" si="704"/>
        <v/>
      </c>
      <c r="T4515" t="str">
        <f t="shared" si="705"/>
        <v/>
      </c>
      <c r="U4515" t="str">
        <f t="shared" si="706"/>
        <v/>
      </c>
      <c r="V4515" t="str">
        <f t="shared" si="707"/>
        <v/>
      </c>
      <c r="W4515" t="str">
        <f t="shared" si="708"/>
        <v/>
      </c>
      <c r="X4515">
        <f>IF($T4515="",N($X4514),IF(MATCH($T4515,$T$6:$T$10005,0)=ROW()-5,N($X4514)+1,N($X4514)))</f>
        <v>0</v>
      </c>
      <c r="Z4515" t="str">
        <f t="shared" si="709"/>
        <v/>
      </c>
      <c r="AA4515">
        <f>IF($V4515="",N($AA4514),IF(MATCH($V4515,$V$6:$V$10005,0)=ROW()-5,N($AA4514)+1,N($AA4514)))</f>
        <v>0</v>
      </c>
    </row>
    <row r="4516" spans="1:27" ht="21" customHeight="1" x14ac:dyDescent="0.95">
      <c r="A4516" s="56"/>
      <c r="B4516" s="57"/>
      <c r="C4516" s="57"/>
      <c r="D4516" s="57"/>
      <c r="E4516" s="56"/>
      <c r="F4516" s="57"/>
      <c r="G4516" s="57"/>
      <c r="H4516" s="56"/>
      <c r="I4516" s="56"/>
      <c r="J4516" s="58"/>
      <c r="K4516" s="58"/>
      <c r="L4516" s="13" t="str">
        <f t="shared" si="700"/>
        <v/>
      </c>
      <c r="M4516" s="13" t="str">
        <f t="shared" si="701"/>
        <v/>
      </c>
      <c r="Q4516" t="str">
        <f t="shared" si="702"/>
        <v/>
      </c>
      <c r="R4516" t="str">
        <f t="shared" si="703"/>
        <v/>
      </c>
      <c r="S4516" t="str">
        <f t="shared" si="704"/>
        <v/>
      </c>
      <c r="T4516" t="str">
        <f t="shared" si="705"/>
        <v/>
      </c>
      <c r="U4516" t="str">
        <f t="shared" si="706"/>
        <v/>
      </c>
      <c r="V4516" t="str">
        <f t="shared" si="707"/>
        <v/>
      </c>
      <c r="W4516" t="str">
        <f t="shared" si="708"/>
        <v/>
      </c>
      <c r="X4516">
        <f>IF($T4516="",N($X4515),IF(MATCH($T4516,$T$6:$T$10005,0)=ROW()-5,N($X4515)+1,N($X4515)))</f>
        <v>0</v>
      </c>
      <c r="Z4516" t="str">
        <f t="shared" si="709"/>
        <v/>
      </c>
      <c r="AA4516">
        <f>IF($V4516="",N($AA4515),IF(MATCH($V4516,$V$6:$V$10005,0)=ROW()-5,N($AA4515)+1,N($AA4515)))</f>
        <v>0</v>
      </c>
    </row>
    <row r="4517" spans="1:27" ht="21" customHeight="1" x14ac:dyDescent="0.95">
      <c r="A4517" s="56"/>
      <c r="B4517" s="57"/>
      <c r="C4517" s="57"/>
      <c r="D4517" s="57"/>
      <c r="E4517" s="56"/>
      <c r="F4517" s="57"/>
      <c r="G4517" s="57"/>
      <c r="H4517" s="56"/>
      <c r="I4517" s="56"/>
      <c r="J4517" s="58"/>
      <c r="K4517" s="58"/>
      <c r="L4517" s="13" t="str">
        <f t="shared" si="700"/>
        <v/>
      </c>
      <c r="M4517" s="13" t="str">
        <f t="shared" si="701"/>
        <v/>
      </c>
      <c r="Q4517" t="str">
        <f t="shared" si="702"/>
        <v/>
      </c>
      <c r="R4517" t="str">
        <f t="shared" si="703"/>
        <v/>
      </c>
      <c r="S4517" t="str">
        <f t="shared" si="704"/>
        <v/>
      </c>
      <c r="T4517" t="str">
        <f t="shared" si="705"/>
        <v/>
      </c>
      <c r="U4517" t="str">
        <f t="shared" si="706"/>
        <v/>
      </c>
      <c r="V4517" t="str">
        <f t="shared" si="707"/>
        <v/>
      </c>
      <c r="W4517" t="str">
        <f t="shared" si="708"/>
        <v/>
      </c>
      <c r="X4517">
        <f>IF($T4517="",N($X4516),IF(MATCH($T4517,$T$6:$T$10005,0)=ROW()-5,N($X4516)+1,N($X4516)))</f>
        <v>0</v>
      </c>
      <c r="Z4517" t="str">
        <f t="shared" si="709"/>
        <v/>
      </c>
      <c r="AA4517">
        <f>IF($V4517="",N($AA4516),IF(MATCH($V4517,$V$6:$V$10005,0)=ROW()-5,N($AA4516)+1,N($AA4516)))</f>
        <v>0</v>
      </c>
    </row>
    <row r="4518" spans="1:27" ht="21" customHeight="1" x14ac:dyDescent="0.95">
      <c r="A4518" s="56"/>
      <c r="B4518" s="57"/>
      <c r="C4518" s="57"/>
      <c r="D4518" s="57"/>
      <c r="E4518" s="56"/>
      <c r="F4518" s="57"/>
      <c r="G4518" s="57"/>
      <c r="H4518" s="56"/>
      <c r="I4518" s="56"/>
      <c r="J4518" s="58"/>
      <c r="K4518" s="58"/>
      <c r="L4518" s="13" t="str">
        <f t="shared" si="700"/>
        <v/>
      </c>
      <c r="M4518" s="13" t="str">
        <f t="shared" si="701"/>
        <v/>
      </c>
      <c r="Q4518" t="str">
        <f t="shared" si="702"/>
        <v/>
      </c>
      <c r="R4518" t="str">
        <f t="shared" si="703"/>
        <v/>
      </c>
      <c r="S4518" t="str">
        <f t="shared" si="704"/>
        <v/>
      </c>
      <c r="T4518" t="str">
        <f t="shared" si="705"/>
        <v/>
      </c>
      <c r="U4518" t="str">
        <f t="shared" si="706"/>
        <v/>
      </c>
      <c r="V4518" t="str">
        <f t="shared" si="707"/>
        <v/>
      </c>
      <c r="W4518" t="str">
        <f t="shared" si="708"/>
        <v/>
      </c>
      <c r="X4518">
        <f>IF($T4518="",N($X4517),IF(MATCH($T4518,$T$6:$T$10005,0)=ROW()-5,N($X4517)+1,N($X4517)))</f>
        <v>0</v>
      </c>
      <c r="Z4518" t="str">
        <f t="shared" si="709"/>
        <v/>
      </c>
      <c r="AA4518">
        <f>IF($V4518="",N($AA4517),IF(MATCH($V4518,$V$6:$V$10005,0)=ROW()-5,N($AA4517)+1,N($AA4517)))</f>
        <v>0</v>
      </c>
    </row>
    <row r="4519" spans="1:27" ht="21" customHeight="1" x14ac:dyDescent="0.95">
      <c r="A4519" s="56"/>
      <c r="B4519" s="57"/>
      <c r="C4519" s="57"/>
      <c r="D4519" s="57"/>
      <c r="E4519" s="56"/>
      <c r="F4519" s="57"/>
      <c r="G4519" s="57"/>
      <c r="H4519" s="56"/>
      <c r="I4519" s="56"/>
      <c r="J4519" s="58"/>
      <c r="K4519" s="58"/>
      <c r="L4519" s="13" t="str">
        <f t="shared" si="700"/>
        <v/>
      </c>
      <c r="M4519" s="13" t="str">
        <f t="shared" si="701"/>
        <v/>
      </c>
      <c r="Q4519" t="str">
        <f t="shared" si="702"/>
        <v/>
      </c>
      <c r="R4519" t="str">
        <f t="shared" si="703"/>
        <v/>
      </c>
      <c r="S4519" t="str">
        <f t="shared" si="704"/>
        <v/>
      </c>
      <c r="T4519" t="str">
        <f t="shared" si="705"/>
        <v/>
      </c>
      <c r="U4519" t="str">
        <f t="shared" si="706"/>
        <v/>
      </c>
      <c r="V4519" t="str">
        <f t="shared" si="707"/>
        <v/>
      </c>
      <c r="W4519" t="str">
        <f t="shared" si="708"/>
        <v/>
      </c>
      <c r="X4519">
        <f>IF($T4519="",N($X4518),IF(MATCH($T4519,$T$6:$T$10005,0)=ROW()-5,N($X4518)+1,N($X4518)))</f>
        <v>0</v>
      </c>
      <c r="Z4519" t="str">
        <f t="shared" si="709"/>
        <v/>
      </c>
      <c r="AA4519">
        <f>IF($V4519="",N($AA4518),IF(MATCH($V4519,$V$6:$V$10005,0)=ROW()-5,N($AA4518)+1,N($AA4518)))</f>
        <v>0</v>
      </c>
    </row>
    <row r="4520" spans="1:27" ht="21" customHeight="1" x14ac:dyDescent="0.95">
      <c r="A4520" s="56"/>
      <c r="B4520" s="57"/>
      <c r="C4520" s="57"/>
      <c r="D4520" s="57"/>
      <c r="E4520" s="56"/>
      <c r="F4520" s="57"/>
      <c r="G4520" s="57"/>
      <c r="H4520" s="56"/>
      <c r="I4520" s="56"/>
      <c r="J4520" s="58"/>
      <c r="K4520" s="58"/>
      <c r="L4520" s="13" t="str">
        <f t="shared" si="700"/>
        <v/>
      </c>
      <c r="M4520" s="13" t="str">
        <f t="shared" si="701"/>
        <v/>
      </c>
      <c r="Q4520" t="str">
        <f t="shared" si="702"/>
        <v/>
      </c>
      <c r="R4520" t="str">
        <f t="shared" si="703"/>
        <v/>
      </c>
      <c r="S4520" t="str">
        <f t="shared" si="704"/>
        <v/>
      </c>
      <c r="T4520" t="str">
        <f t="shared" si="705"/>
        <v/>
      </c>
      <c r="U4520" t="str">
        <f t="shared" si="706"/>
        <v/>
      </c>
      <c r="V4520" t="str">
        <f t="shared" si="707"/>
        <v/>
      </c>
      <c r="W4520" t="str">
        <f t="shared" si="708"/>
        <v/>
      </c>
      <c r="X4520">
        <f>IF($T4520="",N($X4519),IF(MATCH($T4520,$T$6:$T$10005,0)=ROW()-5,N($X4519)+1,N($X4519)))</f>
        <v>0</v>
      </c>
      <c r="Z4520" t="str">
        <f t="shared" si="709"/>
        <v/>
      </c>
      <c r="AA4520">
        <f>IF($V4520="",N($AA4519),IF(MATCH($V4520,$V$6:$V$10005,0)=ROW()-5,N($AA4519)+1,N($AA4519)))</f>
        <v>0</v>
      </c>
    </row>
    <row r="4521" spans="1:27" ht="21" customHeight="1" x14ac:dyDescent="0.95">
      <c r="A4521" s="56"/>
      <c r="B4521" s="57"/>
      <c r="C4521" s="57"/>
      <c r="D4521" s="57"/>
      <c r="E4521" s="56"/>
      <c r="F4521" s="57"/>
      <c r="G4521" s="57"/>
      <c r="H4521" s="56"/>
      <c r="I4521" s="56"/>
      <c r="J4521" s="58"/>
      <c r="K4521" s="58"/>
      <c r="L4521" s="13" t="str">
        <f t="shared" si="700"/>
        <v/>
      </c>
      <c r="M4521" s="13" t="str">
        <f t="shared" si="701"/>
        <v/>
      </c>
      <c r="Q4521" t="str">
        <f t="shared" si="702"/>
        <v/>
      </c>
      <c r="R4521" t="str">
        <f t="shared" si="703"/>
        <v/>
      </c>
      <c r="S4521" t="str">
        <f t="shared" si="704"/>
        <v/>
      </c>
      <c r="T4521" t="str">
        <f t="shared" si="705"/>
        <v/>
      </c>
      <c r="U4521" t="str">
        <f t="shared" si="706"/>
        <v/>
      </c>
      <c r="V4521" t="str">
        <f t="shared" si="707"/>
        <v/>
      </c>
      <c r="W4521" t="str">
        <f t="shared" si="708"/>
        <v/>
      </c>
      <c r="X4521">
        <f>IF($T4521="",N($X4520),IF(MATCH($T4521,$T$6:$T$10005,0)=ROW()-5,N($X4520)+1,N($X4520)))</f>
        <v>0</v>
      </c>
      <c r="Z4521" t="str">
        <f t="shared" si="709"/>
        <v/>
      </c>
      <c r="AA4521">
        <f>IF($V4521="",N($AA4520),IF(MATCH($V4521,$V$6:$V$10005,0)=ROW()-5,N($AA4520)+1,N($AA4520)))</f>
        <v>0</v>
      </c>
    </row>
    <row r="4522" spans="1:27" ht="21" customHeight="1" x14ac:dyDescent="0.95">
      <c r="A4522" s="56"/>
      <c r="B4522" s="57"/>
      <c r="C4522" s="57"/>
      <c r="D4522" s="57"/>
      <c r="E4522" s="56"/>
      <c r="F4522" s="57"/>
      <c r="G4522" s="57"/>
      <c r="H4522" s="56"/>
      <c r="I4522" s="56"/>
      <c r="J4522" s="58"/>
      <c r="K4522" s="58"/>
      <c r="L4522" s="13" t="str">
        <f t="shared" si="700"/>
        <v/>
      </c>
      <c r="M4522" s="13" t="str">
        <f t="shared" si="701"/>
        <v/>
      </c>
      <c r="Q4522" t="str">
        <f t="shared" si="702"/>
        <v/>
      </c>
      <c r="R4522" t="str">
        <f t="shared" si="703"/>
        <v/>
      </c>
      <c r="S4522" t="str">
        <f t="shared" si="704"/>
        <v/>
      </c>
      <c r="T4522" t="str">
        <f t="shared" si="705"/>
        <v/>
      </c>
      <c r="U4522" t="str">
        <f t="shared" si="706"/>
        <v/>
      </c>
      <c r="V4522" t="str">
        <f t="shared" si="707"/>
        <v/>
      </c>
      <c r="W4522" t="str">
        <f t="shared" si="708"/>
        <v/>
      </c>
      <c r="X4522">
        <f>IF($T4522="",N($X4521),IF(MATCH($T4522,$T$6:$T$10005,0)=ROW()-5,N($X4521)+1,N($X4521)))</f>
        <v>0</v>
      </c>
      <c r="Z4522" t="str">
        <f t="shared" si="709"/>
        <v/>
      </c>
      <c r="AA4522">
        <f>IF($V4522="",N($AA4521),IF(MATCH($V4522,$V$6:$V$10005,0)=ROW()-5,N($AA4521)+1,N($AA4521)))</f>
        <v>0</v>
      </c>
    </row>
    <row r="4523" spans="1:27" ht="21" customHeight="1" x14ac:dyDescent="0.95">
      <c r="A4523" s="56"/>
      <c r="B4523" s="57"/>
      <c r="C4523" s="57"/>
      <c r="D4523" s="57"/>
      <c r="E4523" s="56"/>
      <c r="F4523" s="57"/>
      <c r="G4523" s="57"/>
      <c r="H4523" s="56"/>
      <c r="I4523" s="56"/>
      <c r="J4523" s="58"/>
      <c r="K4523" s="58"/>
      <c r="L4523" s="13" t="str">
        <f t="shared" si="700"/>
        <v/>
      </c>
      <c r="M4523" s="13" t="str">
        <f t="shared" si="701"/>
        <v/>
      </c>
      <c r="Q4523" t="str">
        <f t="shared" si="702"/>
        <v/>
      </c>
      <c r="R4523" t="str">
        <f t="shared" si="703"/>
        <v/>
      </c>
      <c r="S4523" t="str">
        <f t="shared" si="704"/>
        <v/>
      </c>
      <c r="T4523" t="str">
        <f t="shared" si="705"/>
        <v/>
      </c>
      <c r="U4523" t="str">
        <f t="shared" si="706"/>
        <v/>
      </c>
      <c r="V4523" t="str">
        <f t="shared" si="707"/>
        <v/>
      </c>
      <c r="W4523" t="str">
        <f t="shared" si="708"/>
        <v/>
      </c>
      <c r="X4523">
        <f>IF($T4523="",N($X4522),IF(MATCH($T4523,$T$6:$T$10005,0)=ROW()-5,N($X4522)+1,N($X4522)))</f>
        <v>0</v>
      </c>
      <c r="Z4523" t="str">
        <f t="shared" si="709"/>
        <v/>
      </c>
      <c r="AA4523">
        <f>IF($V4523="",N($AA4522),IF(MATCH($V4523,$V$6:$V$10005,0)=ROW()-5,N($AA4522)+1,N($AA4522)))</f>
        <v>0</v>
      </c>
    </row>
    <row r="4524" spans="1:27" ht="21" customHeight="1" x14ac:dyDescent="0.95">
      <c r="A4524" s="56"/>
      <c r="B4524" s="57"/>
      <c r="C4524" s="57"/>
      <c r="D4524" s="57"/>
      <c r="E4524" s="56"/>
      <c r="F4524" s="57"/>
      <c r="G4524" s="57"/>
      <c r="H4524" s="56"/>
      <c r="I4524" s="56"/>
      <c r="J4524" s="58"/>
      <c r="K4524" s="58"/>
      <c r="L4524" s="13" t="str">
        <f t="shared" si="700"/>
        <v/>
      </c>
      <c r="M4524" s="13" t="str">
        <f t="shared" si="701"/>
        <v/>
      </c>
      <c r="Q4524" t="str">
        <f t="shared" si="702"/>
        <v/>
      </c>
      <c r="R4524" t="str">
        <f t="shared" si="703"/>
        <v/>
      </c>
      <c r="S4524" t="str">
        <f t="shared" si="704"/>
        <v/>
      </c>
      <c r="T4524" t="str">
        <f t="shared" si="705"/>
        <v/>
      </c>
      <c r="U4524" t="str">
        <f t="shared" si="706"/>
        <v/>
      </c>
      <c r="V4524" t="str">
        <f t="shared" si="707"/>
        <v/>
      </c>
      <c r="W4524" t="str">
        <f t="shared" si="708"/>
        <v/>
      </c>
      <c r="X4524">
        <f>IF($T4524="",N($X4523),IF(MATCH($T4524,$T$6:$T$10005,0)=ROW()-5,N($X4523)+1,N($X4523)))</f>
        <v>0</v>
      </c>
      <c r="Z4524" t="str">
        <f t="shared" si="709"/>
        <v/>
      </c>
      <c r="AA4524">
        <f>IF($V4524="",N($AA4523),IF(MATCH($V4524,$V$6:$V$10005,0)=ROW()-5,N($AA4523)+1,N($AA4523)))</f>
        <v>0</v>
      </c>
    </row>
    <row r="4525" spans="1:27" ht="21" customHeight="1" x14ac:dyDescent="0.95">
      <c r="A4525" s="56"/>
      <c r="B4525" s="57"/>
      <c r="C4525" s="57"/>
      <c r="D4525" s="57"/>
      <c r="E4525" s="56"/>
      <c r="F4525" s="57"/>
      <c r="G4525" s="57"/>
      <c r="H4525" s="56"/>
      <c r="I4525" s="56"/>
      <c r="J4525" s="58"/>
      <c r="K4525" s="58"/>
      <c r="L4525" s="13" t="str">
        <f t="shared" si="700"/>
        <v/>
      </c>
      <c r="M4525" s="13" t="str">
        <f t="shared" si="701"/>
        <v/>
      </c>
      <c r="Q4525" t="str">
        <f t="shared" si="702"/>
        <v/>
      </c>
      <c r="R4525" t="str">
        <f t="shared" si="703"/>
        <v/>
      </c>
      <c r="S4525" t="str">
        <f t="shared" si="704"/>
        <v/>
      </c>
      <c r="T4525" t="str">
        <f t="shared" si="705"/>
        <v/>
      </c>
      <c r="U4525" t="str">
        <f t="shared" si="706"/>
        <v/>
      </c>
      <c r="V4525" t="str">
        <f t="shared" si="707"/>
        <v/>
      </c>
      <c r="W4525" t="str">
        <f t="shared" si="708"/>
        <v/>
      </c>
      <c r="X4525">
        <f>IF($T4525="",N($X4524),IF(MATCH($T4525,$T$6:$T$10005,0)=ROW()-5,N($X4524)+1,N($X4524)))</f>
        <v>0</v>
      </c>
      <c r="Z4525" t="str">
        <f t="shared" si="709"/>
        <v/>
      </c>
      <c r="AA4525">
        <f>IF($V4525="",N($AA4524),IF(MATCH($V4525,$V$6:$V$10005,0)=ROW()-5,N($AA4524)+1,N($AA4524)))</f>
        <v>0</v>
      </c>
    </row>
    <row r="4526" spans="1:27" ht="21" customHeight="1" x14ac:dyDescent="0.95">
      <c r="A4526" s="56"/>
      <c r="B4526" s="57"/>
      <c r="C4526" s="57"/>
      <c r="D4526" s="57"/>
      <c r="E4526" s="56"/>
      <c r="F4526" s="57"/>
      <c r="G4526" s="57"/>
      <c r="H4526" s="56"/>
      <c r="I4526" s="56"/>
      <c r="J4526" s="58"/>
      <c r="K4526" s="58"/>
      <c r="L4526" s="13" t="str">
        <f t="shared" si="700"/>
        <v/>
      </c>
      <c r="M4526" s="13" t="str">
        <f t="shared" si="701"/>
        <v/>
      </c>
      <c r="Q4526" t="str">
        <f t="shared" si="702"/>
        <v/>
      </c>
      <c r="R4526" t="str">
        <f t="shared" si="703"/>
        <v/>
      </c>
      <c r="S4526" t="str">
        <f t="shared" si="704"/>
        <v/>
      </c>
      <c r="T4526" t="str">
        <f t="shared" si="705"/>
        <v/>
      </c>
      <c r="U4526" t="str">
        <f t="shared" si="706"/>
        <v/>
      </c>
      <c r="V4526" t="str">
        <f t="shared" si="707"/>
        <v/>
      </c>
      <c r="W4526" t="str">
        <f t="shared" si="708"/>
        <v/>
      </c>
      <c r="X4526">
        <f>IF($T4526="",N($X4525),IF(MATCH($T4526,$T$6:$T$10005,0)=ROW()-5,N($X4525)+1,N($X4525)))</f>
        <v>0</v>
      </c>
      <c r="Z4526" t="str">
        <f t="shared" si="709"/>
        <v/>
      </c>
      <c r="AA4526">
        <f>IF($V4526="",N($AA4525),IF(MATCH($V4526,$V$6:$V$10005,0)=ROW()-5,N($AA4525)+1,N($AA4525)))</f>
        <v>0</v>
      </c>
    </row>
    <row r="4527" spans="1:27" ht="21" customHeight="1" x14ac:dyDescent="0.95">
      <c r="A4527" s="56"/>
      <c r="B4527" s="57"/>
      <c r="C4527" s="57"/>
      <c r="D4527" s="57"/>
      <c r="E4527" s="56"/>
      <c r="F4527" s="57"/>
      <c r="G4527" s="57"/>
      <c r="H4527" s="56"/>
      <c r="I4527" s="56"/>
      <c r="J4527" s="58"/>
      <c r="K4527" s="58"/>
      <c r="L4527" s="13" t="str">
        <f t="shared" si="700"/>
        <v/>
      </c>
      <c r="M4527" s="13" t="str">
        <f t="shared" si="701"/>
        <v/>
      </c>
      <c r="Q4527" t="str">
        <f t="shared" si="702"/>
        <v/>
      </c>
      <c r="R4527" t="str">
        <f t="shared" si="703"/>
        <v/>
      </c>
      <c r="S4527" t="str">
        <f t="shared" si="704"/>
        <v/>
      </c>
      <c r="T4527" t="str">
        <f t="shared" si="705"/>
        <v/>
      </c>
      <c r="U4527" t="str">
        <f t="shared" si="706"/>
        <v/>
      </c>
      <c r="V4527" t="str">
        <f t="shared" si="707"/>
        <v/>
      </c>
      <c r="W4527" t="str">
        <f t="shared" si="708"/>
        <v/>
      </c>
      <c r="X4527">
        <f>IF($T4527="",N($X4526),IF(MATCH($T4527,$T$6:$T$10005,0)=ROW()-5,N($X4526)+1,N($X4526)))</f>
        <v>0</v>
      </c>
      <c r="Z4527" t="str">
        <f t="shared" si="709"/>
        <v/>
      </c>
      <c r="AA4527">
        <f>IF($V4527="",N($AA4526),IF(MATCH($V4527,$V$6:$V$10005,0)=ROW()-5,N($AA4526)+1,N($AA4526)))</f>
        <v>0</v>
      </c>
    </row>
    <row r="4528" spans="1:27" ht="21" customHeight="1" x14ac:dyDescent="0.95">
      <c r="A4528" s="56"/>
      <c r="B4528" s="57"/>
      <c r="C4528" s="57"/>
      <c r="D4528" s="57"/>
      <c r="E4528" s="56"/>
      <c r="F4528" s="57"/>
      <c r="G4528" s="57"/>
      <c r="H4528" s="56"/>
      <c r="I4528" s="56"/>
      <c r="J4528" s="58"/>
      <c r="K4528" s="58"/>
      <c r="L4528" s="13" t="str">
        <f t="shared" si="700"/>
        <v/>
      </c>
      <c r="M4528" s="13" t="str">
        <f t="shared" si="701"/>
        <v/>
      </c>
      <c r="Q4528" t="str">
        <f t="shared" si="702"/>
        <v/>
      </c>
      <c r="R4528" t="str">
        <f t="shared" si="703"/>
        <v/>
      </c>
      <c r="S4528" t="str">
        <f t="shared" si="704"/>
        <v/>
      </c>
      <c r="T4528" t="str">
        <f t="shared" si="705"/>
        <v/>
      </c>
      <c r="U4528" t="str">
        <f t="shared" si="706"/>
        <v/>
      </c>
      <c r="V4528" t="str">
        <f t="shared" si="707"/>
        <v/>
      </c>
      <c r="W4528" t="str">
        <f t="shared" si="708"/>
        <v/>
      </c>
      <c r="X4528">
        <f>IF($T4528="",N($X4527),IF(MATCH($T4528,$T$6:$T$10005,0)=ROW()-5,N($X4527)+1,N($X4527)))</f>
        <v>0</v>
      </c>
      <c r="Z4528" t="str">
        <f t="shared" si="709"/>
        <v/>
      </c>
      <c r="AA4528">
        <f>IF($V4528="",N($AA4527),IF(MATCH($V4528,$V$6:$V$10005,0)=ROW()-5,N($AA4527)+1,N($AA4527)))</f>
        <v>0</v>
      </c>
    </row>
    <row r="4529" spans="1:27" ht="21" customHeight="1" x14ac:dyDescent="0.95">
      <c r="A4529" s="56"/>
      <c r="B4529" s="57"/>
      <c r="C4529" s="57"/>
      <c r="D4529" s="57"/>
      <c r="E4529" s="56"/>
      <c r="F4529" s="57"/>
      <c r="G4529" s="57"/>
      <c r="H4529" s="56"/>
      <c r="I4529" s="56"/>
      <c r="J4529" s="58"/>
      <c r="K4529" s="58"/>
      <c r="L4529" s="13" t="str">
        <f t="shared" si="700"/>
        <v/>
      </c>
      <c r="M4529" s="13" t="str">
        <f t="shared" si="701"/>
        <v/>
      </c>
      <c r="Q4529" t="str">
        <f t="shared" si="702"/>
        <v/>
      </c>
      <c r="R4529" t="str">
        <f t="shared" si="703"/>
        <v/>
      </c>
      <c r="S4529" t="str">
        <f t="shared" si="704"/>
        <v/>
      </c>
      <c r="T4529" t="str">
        <f t="shared" si="705"/>
        <v/>
      </c>
      <c r="U4529" t="str">
        <f t="shared" si="706"/>
        <v/>
      </c>
      <c r="V4529" t="str">
        <f t="shared" si="707"/>
        <v/>
      </c>
      <c r="W4529" t="str">
        <f t="shared" si="708"/>
        <v/>
      </c>
      <c r="X4529">
        <f>IF($T4529="",N($X4528),IF(MATCH($T4529,$T$6:$T$10005,0)=ROW()-5,N($X4528)+1,N($X4528)))</f>
        <v>0</v>
      </c>
      <c r="Z4529" t="str">
        <f t="shared" si="709"/>
        <v/>
      </c>
      <c r="AA4529">
        <f>IF($V4529="",N($AA4528),IF(MATCH($V4529,$V$6:$V$10005,0)=ROW()-5,N($AA4528)+1,N($AA4528)))</f>
        <v>0</v>
      </c>
    </row>
    <row r="4530" spans="1:27" ht="21" customHeight="1" x14ac:dyDescent="0.95">
      <c r="A4530" s="56"/>
      <c r="B4530" s="57"/>
      <c r="C4530" s="57"/>
      <c r="D4530" s="57"/>
      <c r="E4530" s="56"/>
      <c r="F4530" s="57"/>
      <c r="G4530" s="57"/>
      <c r="H4530" s="56"/>
      <c r="I4530" s="56"/>
      <c r="J4530" s="58"/>
      <c r="K4530" s="58"/>
      <c r="L4530" s="13" t="str">
        <f t="shared" si="700"/>
        <v/>
      </c>
      <c r="M4530" s="13" t="str">
        <f t="shared" si="701"/>
        <v/>
      </c>
      <c r="Q4530" t="str">
        <f t="shared" si="702"/>
        <v/>
      </c>
      <c r="R4530" t="str">
        <f t="shared" si="703"/>
        <v/>
      </c>
      <c r="S4530" t="str">
        <f t="shared" si="704"/>
        <v/>
      </c>
      <c r="T4530" t="str">
        <f t="shared" si="705"/>
        <v/>
      </c>
      <c r="U4530" t="str">
        <f t="shared" si="706"/>
        <v/>
      </c>
      <c r="V4530" t="str">
        <f t="shared" si="707"/>
        <v/>
      </c>
      <c r="W4530" t="str">
        <f t="shared" si="708"/>
        <v/>
      </c>
      <c r="X4530">
        <f>IF($T4530="",N($X4529),IF(MATCH($T4530,$T$6:$T$10005,0)=ROW()-5,N($X4529)+1,N($X4529)))</f>
        <v>0</v>
      </c>
      <c r="Z4530" t="str">
        <f t="shared" si="709"/>
        <v/>
      </c>
      <c r="AA4530">
        <f>IF($V4530="",N($AA4529),IF(MATCH($V4530,$V$6:$V$10005,0)=ROW()-5,N($AA4529)+1,N($AA4529)))</f>
        <v>0</v>
      </c>
    </row>
    <row r="4531" spans="1:27" ht="21" customHeight="1" x14ac:dyDescent="0.95">
      <c r="A4531" s="56"/>
      <c r="B4531" s="57"/>
      <c r="C4531" s="57"/>
      <c r="D4531" s="57"/>
      <c r="E4531" s="56"/>
      <c r="F4531" s="57"/>
      <c r="G4531" s="57"/>
      <c r="H4531" s="56"/>
      <c r="I4531" s="56"/>
      <c r="J4531" s="58"/>
      <c r="K4531" s="58"/>
      <c r="L4531" s="13" t="str">
        <f t="shared" si="700"/>
        <v/>
      </c>
      <c r="M4531" s="13" t="str">
        <f t="shared" si="701"/>
        <v/>
      </c>
      <c r="Q4531" t="str">
        <f t="shared" si="702"/>
        <v/>
      </c>
      <c r="R4531" t="str">
        <f t="shared" si="703"/>
        <v/>
      </c>
      <c r="S4531" t="str">
        <f t="shared" si="704"/>
        <v/>
      </c>
      <c r="T4531" t="str">
        <f t="shared" si="705"/>
        <v/>
      </c>
      <c r="U4531" t="str">
        <f t="shared" si="706"/>
        <v/>
      </c>
      <c r="V4531" t="str">
        <f t="shared" si="707"/>
        <v/>
      </c>
      <c r="W4531" t="str">
        <f t="shared" si="708"/>
        <v/>
      </c>
      <c r="X4531">
        <f>IF($T4531="",N($X4530),IF(MATCH($T4531,$T$6:$T$10005,0)=ROW()-5,N($X4530)+1,N($X4530)))</f>
        <v>0</v>
      </c>
      <c r="Z4531" t="str">
        <f t="shared" si="709"/>
        <v/>
      </c>
      <c r="AA4531">
        <f>IF($V4531="",N($AA4530),IF(MATCH($V4531,$V$6:$V$10005,0)=ROW()-5,N($AA4530)+1,N($AA4530)))</f>
        <v>0</v>
      </c>
    </row>
    <row r="4532" spans="1:27" ht="21" customHeight="1" x14ac:dyDescent="0.95">
      <c r="A4532" s="56"/>
      <c r="B4532" s="57"/>
      <c r="C4532" s="57"/>
      <c r="D4532" s="57"/>
      <c r="E4532" s="56"/>
      <c r="F4532" s="57"/>
      <c r="G4532" s="57"/>
      <c r="H4532" s="56"/>
      <c r="I4532" s="56"/>
      <c r="J4532" s="58"/>
      <c r="K4532" s="58"/>
      <c r="L4532" s="13" t="str">
        <f t="shared" si="700"/>
        <v/>
      </c>
      <c r="M4532" s="13" t="str">
        <f t="shared" si="701"/>
        <v/>
      </c>
      <c r="Q4532" t="str">
        <f t="shared" si="702"/>
        <v/>
      </c>
      <c r="R4532" t="str">
        <f t="shared" si="703"/>
        <v/>
      </c>
      <c r="S4532" t="str">
        <f t="shared" si="704"/>
        <v/>
      </c>
      <c r="T4532" t="str">
        <f t="shared" si="705"/>
        <v/>
      </c>
      <c r="U4532" t="str">
        <f t="shared" si="706"/>
        <v/>
      </c>
      <c r="V4532" t="str">
        <f t="shared" si="707"/>
        <v/>
      </c>
      <c r="W4532" t="str">
        <f t="shared" si="708"/>
        <v/>
      </c>
      <c r="X4532">
        <f>IF($T4532="",N($X4531),IF(MATCH($T4532,$T$6:$T$10005,0)=ROW()-5,N($X4531)+1,N($X4531)))</f>
        <v>0</v>
      </c>
      <c r="Z4532" t="str">
        <f t="shared" si="709"/>
        <v/>
      </c>
      <c r="AA4532">
        <f>IF($V4532="",N($AA4531),IF(MATCH($V4532,$V$6:$V$10005,0)=ROW()-5,N($AA4531)+1,N($AA4531)))</f>
        <v>0</v>
      </c>
    </row>
    <row r="4533" spans="1:27" ht="21" customHeight="1" x14ac:dyDescent="0.95">
      <c r="A4533" s="56"/>
      <c r="B4533" s="57"/>
      <c r="C4533" s="57"/>
      <c r="D4533" s="57"/>
      <c r="E4533" s="56"/>
      <c r="F4533" s="57"/>
      <c r="G4533" s="57"/>
      <c r="H4533" s="56"/>
      <c r="I4533" s="56"/>
      <c r="J4533" s="58"/>
      <c r="K4533" s="58"/>
      <c r="L4533" s="13" t="str">
        <f t="shared" si="700"/>
        <v/>
      </c>
      <c r="M4533" s="13" t="str">
        <f t="shared" si="701"/>
        <v/>
      </c>
      <c r="Q4533" t="str">
        <f t="shared" si="702"/>
        <v/>
      </c>
      <c r="R4533" t="str">
        <f t="shared" si="703"/>
        <v/>
      </c>
      <c r="S4533" t="str">
        <f t="shared" si="704"/>
        <v/>
      </c>
      <c r="T4533" t="str">
        <f t="shared" si="705"/>
        <v/>
      </c>
      <c r="U4533" t="str">
        <f t="shared" si="706"/>
        <v/>
      </c>
      <c r="V4533" t="str">
        <f t="shared" si="707"/>
        <v/>
      </c>
      <c r="W4533" t="str">
        <f t="shared" si="708"/>
        <v/>
      </c>
      <c r="X4533">
        <f>IF($T4533="",N($X4532),IF(MATCH($T4533,$T$6:$T$10005,0)=ROW()-5,N($X4532)+1,N($X4532)))</f>
        <v>0</v>
      </c>
      <c r="Z4533" t="str">
        <f t="shared" si="709"/>
        <v/>
      </c>
      <c r="AA4533">
        <f>IF($V4533="",N($AA4532),IF(MATCH($V4533,$V$6:$V$10005,0)=ROW()-5,N($AA4532)+1,N($AA4532)))</f>
        <v>0</v>
      </c>
    </row>
    <row r="4534" spans="1:27" ht="21" customHeight="1" x14ac:dyDescent="0.95">
      <c r="A4534" s="56"/>
      <c r="B4534" s="57"/>
      <c r="C4534" s="57"/>
      <c r="D4534" s="57"/>
      <c r="E4534" s="56"/>
      <c r="F4534" s="57"/>
      <c r="G4534" s="57"/>
      <c r="H4534" s="56"/>
      <c r="I4534" s="56"/>
      <c r="J4534" s="58"/>
      <c r="K4534" s="58"/>
      <c r="L4534" s="13" t="str">
        <f t="shared" si="700"/>
        <v/>
      </c>
      <c r="M4534" s="13" t="str">
        <f t="shared" si="701"/>
        <v/>
      </c>
      <c r="Q4534" t="str">
        <f t="shared" si="702"/>
        <v/>
      </c>
      <c r="R4534" t="str">
        <f t="shared" si="703"/>
        <v/>
      </c>
      <c r="S4534" t="str">
        <f t="shared" si="704"/>
        <v/>
      </c>
      <c r="T4534" t="str">
        <f t="shared" si="705"/>
        <v/>
      </c>
      <c r="U4534" t="str">
        <f t="shared" si="706"/>
        <v/>
      </c>
      <c r="V4534" t="str">
        <f t="shared" si="707"/>
        <v/>
      </c>
      <c r="W4534" t="str">
        <f t="shared" si="708"/>
        <v/>
      </c>
      <c r="X4534">
        <f>IF($T4534="",N($X4533),IF(MATCH($T4534,$T$6:$T$10005,0)=ROW()-5,N($X4533)+1,N($X4533)))</f>
        <v>0</v>
      </c>
      <c r="Z4534" t="str">
        <f t="shared" si="709"/>
        <v/>
      </c>
      <c r="AA4534">
        <f>IF($V4534="",N($AA4533),IF(MATCH($V4534,$V$6:$V$10005,0)=ROW()-5,N($AA4533)+1,N($AA4533)))</f>
        <v>0</v>
      </c>
    </row>
    <row r="4535" spans="1:27" ht="21" customHeight="1" x14ac:dyDescent="0.95">
      <c r="A4535" s="56"/>
      <c r="B4535" s="57"/>
      <c r="C4535" s="57"/>
      <c r="D4535" s="57"/>
      <c r="E4535" s="56"/>
      <c r="F4535" s="57"/>
      <c r="G4535" s="57"/>
      <c r="H4535" s="56"/>
      <c r="I4535" s="56"/>
      <c r="J4535" s="58"/>
      <c r="K4535" s="58"/>
      <c r="L4535" s="13" t="str">
        <f t="shared" si="700"/>
        <v/>
      </c>
      <c r="M4535" s="13" t="str">
        <f t="shared" si="701"/>
        <v/>
      </c>
      <c r="Q4535" t="str">
        <f t="shared" si="702"/>
        <v/>
      </c>
      <c r="R4535" t="str">
        <f t="shared" si="703"/>
        <v/>
      </c>
      <c r="S4535" t="str">
        <f t="shared" si="704"/>
        <v/>
      </c>
      <c r="T4535" t="str">
        <f t="shared" si="705"/>
        <v/>
      </c>
      <c r="U4535" t="str">
        <f t="shared" si="706"/>
        <v/>
      </c>
      <c r="V4535" t="str">
        <f t="shared" si="707"/>
        <v/>
      </c>
      <c r="W4535" t="str">
        <f t="shared" si="708"/>
        <v/>
      </c>
      <c r="X4535">
        <f>IF($T4535="",N($X4534),IF(MATCH($T4535,$T$6:$T$10005,0)=ROW()-5,N($X4534)+1,N($X4534)))</f>
        <v>0</v>
      </c>
      <c r="Z4535" t="str">
        <f t="shared" si="709"/>
        <v/>
      </c>
      <c r="AA4535">
        <f>IF($V4535="",N($AA4534),IF(MATCH($V4535,$V$6:$V$10005,0)=ROW()-5,N($AA4534)+1,N($AA4534)))</f>
        <v>0</v>
      </c>
    </row>
    <row r="4536" spans="1:27" ht="21" customHeight="1" x14ac:dyDescent="0.95">
      <c r="A4536" s="56"/>
      <c r="B4536" s="57"/>
      <c r="C4536" s="57"/>
      <c r="D4536" s="57"/>
      <c r="E4536" s="56"/>
      <c r="F4536" s="57"/>
      <c r="G4536" s="57"/>
      <c r="H4536" s="56"/>
      <c r="I4536" s="56"/>
      <c r="J4536" s="58"/>
      <c r="K4536" s="58"/>
      <c r="L4536" s="13" t="str">
        <f t="shared" si="700"/>
        <v/>
      </c>
      <c r="M4536" s="13" t="str">
        <f t="shared" si="701"/>
        <v/>
      </c>
      <c r="Q4536" t="str">
        <f t="shared" si="702"/>
        <v/>
      </c>
      <c r="R4536" t="str">
        <f t="shared" si="703"/>
        <v/>
      </c>
      <c r="S4536" t="str">
        <f t="shared" si="704"/>
        <v/>
      </c>
      <c r="T4536" t="str">
        <f t="shared" si="705"/>
        <v/>
      </c>
      <c r="U4536" t="str">
        <f t="shared" si="706"/>
        <v/>
      </c>
      <c r="V4536" t="str">
        <f t="shared" si="707"/>
        <v/>
      </c>
      <c r="W4536" t="str">
        <f t="shared" si="708"/>
        <v/>
      </c>
      <c r="X4536">
        <f>IF($T4536="",N($X4535),IF(MATCH($T4536,$T$6:$T$10005,0)=ROW()-5,N($X4535)+1,N($X4535)))</f>
        <v>0</v>
      </c>
      <c r="Z4536" t="str">
        <f t="shared" si="709"/>
        <v/>
      </c>
      <c r="AA4536">
        <f>IF($V4536="",N($AA4535),IF(MATCH($V4536,$V$6:$V$10005,0)=ROW()-5,N($AA4535)+1,N($AA4535)))</f>
        <v>0</v>
      </c>
    </row>
    <row r="4537" spans="1:27" ht="21" customHeight="1" x14ac:dyDescent="0.95">
      <c r="A4537" s="56"/>
      <c r="B4537" s="57"/>
      <c r="C4537" s="57"/>
      <c r="D4537" s="57"/>
      <c r="E4537" s="56"/>
      <c r="F4537" s="57"/>
      <c r="G4537" s="57"/>
      <c r="H4537" s="56"/>
      <c r="I4537" s="56"/>
      <c r="J4537" s="58"/>
      <c r="K4537" s="58"/>
      <c r="L4537" s="13" t="str">
        <f t="shared" si="700"/>
        <v/>
      </c>
      <c r="M4537" s="13" t="str">
        <f t="shared" si="701"/>
        <v/>
      </c>
      <c r="Q4537" t="str">
        <f t="shared" si="702"/>
        <v/>
      </c>
      <c r="R4537" t="str">
        <f t="shared" si="703"/>
        <v/>
      </c>
      <c r="S4537" t="str">
        <f t="shared" si="704"/>
        <v/>
      </c>
      <c r="T4537" t="str">
        <f t="shared" si="705"/>
        <v/>
      </c>
      <c r="U4537" t="str">
        <f t="shared" si="706"/>
        <v/>
      </c>
      <c r="V4537" t="str">
        <f t="shared" si="707"/>
        <v/>
      </c>
      <c r="W4537" t="str">
        <f t="shared" si="708"/>
        <v/>
      </c>
      <c r="X4537">
        <f>IF($T4537="",N($X4536),IF(MATCH($T4537,$T$6:$T$10005,0)=ROW()-5,N($X4536)+1,N($X4536)))</f>
        <v>0</v>
      </c>
      <c r="Z4537" t="str">
        <f t="shared" si="709"/>
        <v/>
      </c>
      <c r="AA4537">
        <f>IF($V4537="",N($AA4536),IF(MATCH($V4537,$V$6:$V$10005,0)=ROW()-5,N($AA4536)+1,N($AA4536)))</f>
        <v>0</v>
      </c>
    </row>
    <row r="4538" spans="1:27" ht="21" customHeight="1" x14ac:dyDescent="0.95">
      <c r="A4538" s="56"/>
      <c r="B4538" s="57"/>
      <c r="C4538" s="57"/>
      <c r="D4538" s="57"/>
      <c r="E4538" s="56"/>
      <c r="F4538" s="57"/>
      <c r="G4538" s="57"/>
      <c r="H4538" s="56"/>
      <c r="I4538" s="56"/>
      <c r="J4538" s="58"/>
      <c r="K4538" s="58"/>
      <c r="L4538" s="13" t="str">
        <f t="shared" si="700"/>
        <v/>
      </c>
      <c r="M4538" s="13" t="str">
        <f t="shared" si="701"/>
        <v/>
      </c>
      <c r="Q4538" t="str">
        <f t="shared" si="702"/>
        <v/>
      </c>
      <c r="R4538" t="str">
        <f t="shared" si="703"/>
        <v/>
      </c>
      <c r="S4538" t="str">
        <f t="shared" si="704"/>
        <v/>
      </c>
      <c r="T4538" t="str">
        <f t="shared" si="705"/>
        <v/>
      </c>
      <c r="U4538" t="str">
        <f t="shared" si="706"/>
        <v/>
      </c>
      <c r="V4538" t="str">
        <f t="shared" si="707"/>
        <v/>
      </c>
      <c r="W4538" t="str">
        <f t="shared" si="708"/>
        <v/>
      </c>
      <c r="X4538">
        <f>IF($T4538="",N($X4537),IF(MATCH($T4538,$T$6:$T$10005,0)=ROW()-5,N($X4537)+1,N($X4537)))</f>
        <v>0</v>
      </c>
      <c r="Z4538" t="str">
        <f t="shared" si="709"/>
        <v/>
      </c>
      <c r="AA4538">
        <f>IF($V4538="",N($AA4537),IF(MATCH($V4538,$V$6:$V$10005,0)=ROW()-5,N($AA4537)+1,N($AA4537)))</f>
        <v>0</v>
      </c>
    </row>
    <row r="4539" spans="1:27" ht="21" customHeight="1" x14ac:dyDescent="0.95">
      <c r="A4539" s="56"/>
      <c r="B4539" s="57"/>
      <c r="C4539" s="57"/>
      <c r="D4539" s="57"/>
      <c r="E4539" s="56"/>
      <c r="F4539" s="57"/>
      <c r="G4539" s="57"/>
      <c r="H4539" s="56"/>
      <c r="I4539" s="56"/>
      <c r="J4539" s="58"/>
      <c r="K4539" s="58"/>
      <c r="L4539" s="13" t="str">
        <f t="shared" si="700"/>
        <v/>
      </c>
      <c r="M4539" s="13" t="str">
        <f t="shared" si="701"/>
        <v/>
      </c>
      <c r="Q4539" t="str">
        <f t="shared" si="702"/>
        <v/>
      </c>
      <c r="R4539" t="str">
        <f t="shared" si="703"/>
        <v/>
      </c>
      <c r="S4539" t="str">
        <f t="shared" si="704"/>
        <v/>
      </c>
      <c r="T4539" t="str">
        <f t="shared" si="705"/>
        <v/>
      </c>
      <c r="U4539" t="str">
        <f t="shared" si="706"/>
        <v/>
      </c>
      <c r="V4539" t="str">
        <f t="shared" si="707"/>
        <v/>
      </c>
      <c r="W4539" t="str">
        <f t="shared" si="708"/>
        <v/>
      </c>
      <c r="X4539">
        <f>IF($T4539="",N($X4538),IF(MATCH($T4539,$T$6:$T$10005,0)=ROW()-5,N($X4538)+1,N($X4538)))</f>
        <v>0</v>
      </c>
      <c r="Z4539" t="str">
        <f t="shared" si="709"/>
        <v/>
      </c>
      <c r="AA4539">
        <f>IF($V4539="",N($AA4538),IF(MATCH($V4539,$V$6:$V$10005,0)=ROW()-5,N($AA4538)+1,N($AA4538)))</f>
        <v>0</v>
      </c>
    </row>
    <row r="4540" spans="1:27" ht="21" customHeight="1" x14ac:dyDescent="0.95">
      <c r="A4540" s="56"/>
      <c r="B4540" s="57"/>
      <c r="C4540" s="57"/>
      <c r="D4540" s="57"/>
      <c r="E4540" s="56"/>
      <c r="F4540" s="57"/>
      <c r="G4540" s="57"/>
      <c r="H4540" s="56"/>
      <c r="I4540" s="56"/>
      <c r="J4540" s="58"/>
      <c r="K4540" s="58"/>
      <c r="L4540" s="13" t="str">
        <f t="shared" si="700"/>
        <v/>
      </c>
      <c r="M4540" s="13" t="str">
        <f t="shared" si="701"/>
        <v/>
      </c>
      <c r="Q4540" t="str">
        <f t="shared" si="702"/>
        <v/>
      </c>
      <c r="R4540" t="str">
        <f t="shared" si="703"/>
        <v/>
      </c>
      <c r="S4540" t="str">
        <f t="shared" si="704"/>
        <v/>
      </c>
      <c r="T4540" t="str">
        <f t="shared" si="705"/>
        <v/>
      </c>
      <c r="U4540" t="str">
        <f t="shared" si="706"/>
        <v/>
      </c>
      <c r="V4540" t="str">
        <f t="shared" si="707"/>
        <v/>
      </c>
      <c r="W4540" t="str">
        <f t="shared" si="708"/>
        <v/>
      </c>
      <c r="X4540">
        <f>IF($T4540="",N($X4539),IF(MATCH($T4540,$T$6:$T$10005,0)=ROW()-5,N($X4539)+1,N($X4539)))</f>
        <v>0</v>
      </c>
      <c r="Z4540" t="str">
        <f t="shared" si="709"/>
        <v/>
      </c>
      <c r="AA4540">
        <f>IF($V4540="",N($AA4539),IF(MATCH($V4540,$V$6:$V$10005,0)=ROW()-5,N($AA4539)+1,N($AA4539)))</f>
        <v>0</v>
      </c>
    </row>
    <row r="4541" spans="1:27" ht="21" customHeight="1" x14ac:dyDescent="0.95">
      <c r="A4541" s="56"/>
      <c r="B4541" s="57"/>
      <c r="C4541" s="57"/>
      <c r="D4541" s="57"/>
      <c r="E4541" s="56"/>
      <c r="F4541" s="57"/>
      <c r="G4541" s="57"/>
      <c r="H4541" s="56"/>
      <c r="I4541" s="56"/>
      <c r="J4541" s="58"/>
      <c r="K4541" s="58"/>
      <c r="L4541" s="13" t="str">
        <f t="shared" si="700"/>
        <v/>
      </c>
      <c r="M4541" s="13" t="str">
        <f t="shared" si="701"/>
        <v/>
      </c>
      <c r="Q4541" t="str">
        <f t="shared" si="702"/>
        <v/>
      </c>
      <c r="R4541" t="str">
        <f t="shared" si="703"/>
        <v/>
      </c>
      <c r="S4541" t="str">
        <f t="shared" si="704"/>
        <v/>
      </c>
      <c r="T4541" t="str">
        <f t="shared" si="705"/>
        <v/>
      </c>
      <c r="U4541" t="str">
        <f t="shared" si="706"/>
        <v/>
      </c>
      <c r="V4541" t="str">
        <f t="shared" si="707"/>
        <v/>
      </c>
      <c r="W4541" t="str">
        <f t="shared" si="708"/>
        <v/>
      </c>
      <c r="X4541">
        <f>IF($T4541="",N($X4540),IF(MATCH($T4541,$T$6:$T$10005,0)=ROW()-5,N($X4540)+1,N($X4540)))</f>
        <v>0</v>
      </c>
      <c r="Z4541" t="str">
        <f t="shared" si="709"/>
        <v/>
      </c>
      <c r="AA4541">
        <f>IF($V4541="",N($AA4540),IF(MATCH($V4541,$V$6:$V$10005,0)=ROW()-5,N($AA4540)+1,N($AA4540)))</f>
        <v>0</v>
      </c>
    </row>
    <row r="4542" spans="1:27" ht="21" customHeight="1" x14ac:dyDescent="0.95">
      <c r="A4542" s="56"/>
      <c r="B4542" s="57"/>
      <c r="C4542" s="57"/>
      <c r="D4542" s="57"/>
      <c r="E4542" s="56"/>
      <c r="F4542" s="57"/>
      <c r="G4542" s="57"/>
      <c r="H4542" s="56"/>
      <c r="I4542" s="56"/>
      <c r="J4542" s="58"/>
      <c r="K4542" s="58"/>
      <c r="L4542" s="13" t="str">
        <f t="shared" si="700"/>
        <v/>
      </c>
      <c r="M4542" s="13" t="str">
        <f t="shared" si="701"/>
        <v/>
      </c>
      <c r="Q4542" t="str">
        <f t="shared" si="702"/>
        <v/>
      </c>
      <c r="R4542" t="str">
        <f t="shared" si="703"/>
        <v/>
      </c>
      <c r="S4542" t="str">
        <f t="shared" si="704"/>
        <v/>
      </c>
      <c r="T4542" t="str">
        <f t="shared" si="705"/>
        <v/>
      </c>
      <c r="U4542" t="str">
        <f t="shared" si="706"/>
        <v/>
      </c>
      <c r="V4542" t="str">
        <f t="shared" si="707"/>
        <v/>
      </c>
      <c r="W4542" t="str">
        <f t="shared" si="708"/>
        <v/>
      </c>
      <c r="X4542">
        <f>IF($T4542="",N($X4541),IF(MATCH($T4542,$T$6:$T$10005,0)=ROW()-5,N($X4541)+1,N($X4541)))</f>
        <v>0</v>
      </c>
      <c r="Z4542" t="str">
        <f t="shared" si="709"/>
        <v/>
      </c>
      <c r="AA4542">
        <f>IF($V4542="",N($AA4541),IF(MATCH($V4542,$V$6:$V$10005,0)=ROW()-5,N($AA4541)+1,N($AA4541)))</f>
        <v>0</v>
      </c>
    </row>
    <row r="4543" spans="1:27" ht="21" customHeight="1" x14ac:dyDescent="0.95">
      <c r="A4543" s="56"/>
      <c r="B4543" s="57"/>
      <c r="C4543" s="57"/>
      <c r="D4543" s="57"/>
      <c r="E4543" s="56"/>
      <c r="F4543" s="57"/>
      <c r="G4543" s="57"/>
      <c r="H4543" s="56"/>
      <c r="I4543" s="56"/>
      <c r="J4543" s="58"/>
      <c r="K4543" s="58"/>
      <c r="L4543" s="13" t="str">
        <f t="shared" si="700"/>
        <v/>
      </c>
      <c r="M4543" s="13" t="str">
        <f t="shared" si="701"/>
        <v/>
      </c>
      <c r="Q4543" t="str">
        <f t="shared" si="702"/>
        <v/>
      </c>
      <c r="R4543" t="str">
        <f t="shared" si="703"/>
        <v/>
      </c>
      <c r="S4543" t="str">
        <f t="shared" si="704"/>
        <v/>
      </c>
      <c r="T4543" t="str">
        <f t="shared" si="705"/>
        <v/>
      </c>
      <c r="U4543" t="str">
        <f t="shared" si="706"/>
        <v/>
      </c>
      <c r="V4543" t="str">
        <f t="shared" si="707"/>
        <v/>
      </c>
      <c r="W4543" t="str">
        <f t="shared" si="708"/>
        <v/>
      </c>
      <c r="X4543">
        <f>IF($T4543="",N($X4542),IF(MATCH($T4543,$T$6:$T$10005,0)=ROW()-5,N($X4542)+1,N($X4542)))</f>
        <v>0</v>
      </c>
      <c r="Z4543" t="str">
        <f t="shared" si="709"/>
        <v/>
      </c>
      <c r="AA4543">
        <f>IF($V4543="",N($AA4542),IF(MATCH($V4543,$V$6:$V$10005,0)=ROW()-5,N($AA4542)+1,N($AA4542)))</f>
        <v>0</v>
      </c>
    </row>
    <row r="4544" spans="1:27" ht="21" customHeight="1" x14ac:dyDescent="0.95">
      <c r="A4544" s="56"/>
      <c r="B4544" s="57"/>
      <c r="C4544" s="57"/>
      <c r="D4544" s="57"/>
      <c r="E4544" s="56"/>
      <c r="F4544" s="57"/>
      <c r="G4544" s="57"/>
      <c r="H4544" s="56"/>
      <c r="I4544" s="56"/>
      <c r="J4544" s="58"/>
      <c r="K4544" s="58"/>
      <c r="L4544" s="13" t="str">
        <f t="shared" si="700"/>
        <v/>
      </c>
      <c r="M4544" s="13" t="str">
        <f t="shared" si="701"/>
        <v/>
      </c>
      <c r="Q4544" t="str">
        <f t="shared" si="702"/>
        <v/>
      </c>
      <c r="R4544" t="str">
        <f t="shared" si="703"/>
        <v/>
      </c>
      <c r="S4544" t="str">
        <f t="shared" si="704"/>
        <v/>
      </c>
      <c r="T4544" t="str">
        <f t="shared" si="705"/>
        <v/>
      </c>
      <c r="U4544" t="str">
        <f t="shared" si="706"/>
        <v/>
      </c>
      <c r="V4544" t="str">
        <f t="shared" si="707"/>
        <v/>
      </c>
      <c r="W4544" t="str">
        <f t="shared" si="708"/>
        <v/>
      </c>
      <c r="X4544">
        <f>IF($T4544="",N($X4543),IF(MATCH($T4544,$T$6:$T$10005,0)=ROW()-5,N($X4543)+1,N($X4543)))</f>
        <v>0</v>
      </c>
      <c r="Z4544" t="str">
        <f t="shared" si="709"/>
        <v/>
      </c>
      <c r="AA4544">
        <f>IF($V4544="",N($AA4543),IF(MATCH($V4544,$V$6:$V$10005,0)=ROW()-5,N($AA4543)+1,N($AA4543)))</f>
        <v>0</v>
      </c>
    </row>
    <row r="4545" spans="1:27" ht="21" customHeight="1" x14ac:dyDescent="0.95">
      <c r="A4545" s="56"/>
      <c r="B4545" s="57"/>
      <c r="C4545" s="57"/>
      <c r="D4545" s="57"/>
      <c r="E4545" s="56"/>
      <c r="F4545" s="57"/>
      <c r="G4545" s="57"/>
      <c r="H4545" s="56"/>
      <c r="I4545" s="56"/>
      <c r="J4545" s="58"/>
      <c r="K4545" s="58"/>
      <c r="L4545" s="13" t="str">
        <f t="shared" si="700"/>
        <v/>
      </c>
      <c r="M4545" s="13" t="str">
        <f t="shared" si="701"/>
        <v/>
      </c>
      <c r="Q4545" t="str">
        <f t="shared" si="702"/>
        <v/>
      </c>
      <c r="R4545" t="str">
        <f t="shared" si="703"/>
        <v/>
      </c>
      <c r="S4545" t="str">
        <f t="shared" si="704"/>
        <v/>
      </c>
      <c r="T4545" t="str">
        <f t="shared" si="705"/>
        <v/>
      </c>
      <c r="U4545" t="str">
        <f t="shared" si="706"/>
        <v/>
      </c>
      <c r="V4545" t="str">
        <f t="shared" si="707"/>
        <v/>
      </c>
      <c r="W4545" t="str">
        <f t="shared" si="708"/>
        <v/>
      </c>
      <c r="X4545">
        <f>IF($T4545="",N($X4544),IF(MATCH($T4545,$T$6:$T$10005,0)=ROW()-5,N($X4544)+1,N($X4544)))</f>
        <v>0</v>
      </c>
      <c r="Z4545" t="str">
        <f t="shared" si="709"/>
        <v/>
      </c>
      <c r="AA4545">
        <f>IF($V4545="",N($AA4544),IF(MATCH($V4545,$V$6:$V$10005,0)=ROW()-5,N($AA4544)+1,N($AA4544)))</f>
        <v>0</v>
      </c>
    </row>
    <row r="4546" spans="1:27" ht="21" customHeight="1" x14ac:dyDescent="0.95">
      <c r="A4546" s="56"/>
      <c r="B4546" s="57"/>
      <c r="C4546" s="57"/>
      <c r="D4546" s="57"/>
      <c r="E4546" s="56"/>
      <c r="F4546" s="57"/>
      <c r="G4546" s="57"/>
      <c r="H4546" s="56"/>
      <c r="I4546" s="56"/>
      <c r="J4546" s="58"/>
      <c r="K4546" s="58"/>
      <c r="L4546" s="13" t="str">
        <f t="shared" si="700"/>
        <v/>
      </c>
      <c r="M4546" s="13" t="str">
        <f t="shared" si="701"/>
        <v/>
      </c>
      <c r="Q4546" t="str">
        <f t="shared" si="702"/>
        <v/>
      </c>
      <c r="R4546" t="str">
        <f t="shared" si="703"/>
        <v/>
      </c>
      <c r="S4546" t="str">
        <f t="shared" si="704"/>
        <v/>
      </c>
      <c r="T4546" t="str">
        <f t="shared" si="705"/>
        <v/>
      </c>
      <c r="U4546" t="str">
        <f t="shared" si="706"/>
        <v/>
      </c>
      <c r="V4546" t="str">
        <f t="shared" si="707"/>
        <v/>
      </c>
      <c r="W4546" t="str">
        <f t="shared" si="708"/>
        <v/>
      </c>
      <c r="X4546">
        <f>IF($T4546="",N($X4545),IF(MATCH($T4546,$T$6:$T$10005,0)=ROW()-5,N($X4545)+1,N($X4545)))</f>
        <v>0</v>
      </c>
      <c r="Z4546" t="str">
        <f t="shared" si="709"/>
        <v/>
      </c>
      <c r="AA4546">
        <f>IF($V4546="",N($AA4545),IF(MATCH($V4546,$V$6:$V$10005,0)=ROW()-5,N($AA4545)+1,N($AA4545)))</f>
        <v>0</v>
      </c>
    </row>
    <row r="4547" spans="1:27" ht="21" customHeight="1" x14ac:dyDescent="0.95">
      <c r="A4547" s="56"/>
      <c r="B4547" s="57"/>
      <c r="C4547" s="57"/>
      <c r="D4547" s="57"/>
      <c r="E4547" s="56"/>
      <c r="F4547" s="57"/>
      <c r="G4547" s="57"/>
      <c r="H4547" s="56"/>
      <c r="I4547" s="56"/>
      <c r="J4547" s="58"/>
      <c r="K4547" s="58"/>
      <c r="L4547" s="13" t="str">
        <f t="shared" si="700"/>
        <v/>
      </c>
      <c r="M4547" s="13" t="str">
        <f t="shared" si="701"/>
        <v/>
      </c>
      <c r="Q4547" t="str">
        <f t="shared" si="702"/>
        <v/>
      </c>
      <c r="R4547" t="str">
        <f t="shared" si="703"/>
        <v/>
      </c>
      <c r="S4547" t="str">
        <f t="shared" si="704"/>
        <v/>
      </c>
      <c r="T4547" t="str">
        <f t="shared" si="705"/>
        <v/>
      </c>
      <c r="U4547" t="str">
        <f t="shared" si="706"/>
        <v/>
      </c>
      <c r="V4547" t="str">
        <f t="shared" si="707"/>
        <v/>
      </c>
      <c r="W4547" t="str">
        <f t="shared" si="708"/>
        <v/>
      </c>
      <c r="X4547">
        <f>IF($T4547="",N($X4546),IF(MATCH($T4547,$T$6:$T$10005,0)=ROW()-5,N($X4546)+1,N($X4546)))</f>
        <v>0</v>
      </c>
      <c r="Z4547" t="str">
        <f t="shared" si="709"/>
        <v/>
      </c>
      <c r="AA4547">
        <f>IF($V4547="",N($AA4546),IF(MATCH($V4547,$V$6:$V$10005,0)=ROW()-5,N($AA4546)+1,N($AA4546)))</f>
        <v>0</v>
      </c>
    </row>
    <row r="4548" spans="1:27" ht="21" customHeight="1" x14ac:dyDescent="0.95">
      <c r="A4548" s="56"/>
      <c r="B4548" s="57"/>
      <c r="C4548" s="57"/>
      <c r="D4548" s="57"/>
      <c r="E4548" s="56"/>
      <c r="F4548" s="57"/>
      <c r="G4548" s="57"/>
      <c r="H4548" s="56"/>
      <c r="I4548" s="56"/>
      <c r="J4548" s="58"/>
      <c r="K4548" s="58"/>
      <c r="L4548" s="13" t="str">
        <f t="shared" si="700"/>
        <v/>
      </c>
      <c r="M4548" s="13" t="str">
        <f t="shared" si="701"/>
        <v/>
      </c>
      <c r="Q4548" t="str">
        <f t="shared" si="702"/>
        <v/>
      </c>
      <c r="R4548" t="str">
        <f t="shared" si="703"/>
        <v/>
      </c>
      <c r="S4548" t="str">
        <f t="shared" si="704"/>
        <v/>
      </c>
      <c r="T4548" t="str">
        <f t="shared" si="705"/>
        <v/>
      </c>
      <c r="U4548" t="str">
        <f t="shared" si="706"/>
        <v/>
      </c>
      <c r="V4548" t="str">
        <f t="shared" si="707"/>
        <v/>
      </c>
      <c r="W4548" t="str">
        <f t="shared" si="708"/>
        <v/>
      </c>
      <c r="X4548">
        <f>IF($T4548="",N($X4547),IF(MATCH($T4548,$T$6:$T$10005,0)=ROW()-5,N($X4547)+1,N($X4547)))</f>
        <v>0</v>
      </c>
      <c r="Z4548" t="str">
        <f t="shared" si="709"/>
        <v/>
      </c>
      <c r="AA4548">
        <f>IF($V4548="",N($AA4547),IF(MATCH($V4548,$V$6:$V$10005,0)=ROW()-5,N($AA4547)+1,N($AA4547)))</f>
        <v>0</v>
      </c>
    </row>
    <row r="4549" spans="1:27" ht="21" customHeight="1" x14ac:dyDescent="0.95">
      <c r="A4549" s="56"/>
      <c r="B4549" s="57"/>
      <c r="C4549" s="57"/>
      <c r="D4549" s="57"/>
      <c r="E4549" s="56"/>
      <c r="F4549" s="57"/>
      <c r="G4549" s="57"/>
      <c r="H4549" s="56"/>
      <c r="I4549" s="56"/>
      <c r="J4549" s="58"/>
      <c r="K4549" s="58"/>
      <c r="L4549" s="13" t="str">
        <f t="shared" si="700"/>
        <v/>
      </c>
      <c r="M4549" s="13" t="str">
        <f t="shared" si="701"/>
        <v/>
      </c>
      <c r="Q4549" t="str">
        <f t="shared" si="702"/>
        <v/>
      </c>
      <c r="R4549" t="str">
        <f t="shared" si="703"/>
        <v/>
      </c>
      <c r="S4549" t="str">
        <f t="shared" si="704"/>
        <v/>
      </c>
      <c r="T4549" t="str">
        <f t="shared" si="705"/>
        <v/>
      </c>
      <c r="U4549" t="str">
        <f t="shared" si="706"/>
        <v/>
      </c>
      <c r="V4549" t="str">
        <f t="shared" si="707"/>
        <v/>
      </c>
      <c r="W4549" t="str">
        <f t="shared" si="708"/>
        <v/>
      </c>
      <c r="X4549">
        <f>IF($T4549="",N($X4548),IF(MATCH($T4549,$T$6:$T$10005,0)=ROW()-5,N($X4548)+1,N($X4548)))</f>
        <v>0</v>
      </c>
      <c r="Z4549" t="str">
        <f t="shared" si="709"/>
        <v/>
      </c>
      <c r="AA4549">
        <f>IF($V4549="",N($AA4548),IF(MATCH($V4549,$V$6:$V$10005,0)=ROW()-5,N($AA4548)+1,N($AA4548)))</f>
        <v>0</v>
      </c>
    </row>
    <row r="4550" spans="1:27" ht="21" customHeight="1" x14ac:dyDescent="0.95">
      <c r="A4550" s="56"/>
      <c r="B4550" s="57"/>
      <c r="C4550" s="57"/>
      <c r="D4550" s="57"/>
      <c r="E4550" s="56"/>
      <c r="F4550" s="57"/>
      <c r="G4550" s="57"/>
      <c r="H4550" s="56"/>
      <c r="I4550" s="56"/>
      <c r="J4550" s="58"/>
      <c r="K4550" s="58"/>
      <c r="L4550" s="13" t="str">
        <f t="shared" ref="L4550:L4613" si="710">IF(OR($A4550="",AND($J4550="",$K4550="")),"",ROUND(N($J4550)-N($K4550),2))</f>
        <v/>
      </c>
      <c r="M4550" s="13" t="str">
        <f t="shared" ref="M4550:M4613" si="711">IF(OR($A4550="",AND($J4550="",$K4550="")),"",MIN($J4550,$K4550))</f>
        <v/>
      </c>
      <c r="Q4550" t="str">
        <f t="shared" ref="Q4550:Q4613" si="712">IF($A4550="","",$D4550&amp;"("&amp;SUBSTITUTE($E4550," ","")&amp;")")</f>
        <v/>
      </c>
      <c r="R4550" t="str">
        <f t="shared" ref="R4550:R4613" si="713">IF($A4550="","",$B4550&amp;" - "&amp;$C4550)</f>
        <v/>
      </c>
      <c r="S4550" t="str">
        <f t="shared" ref="S4550:S4613" si="714">IF($A4550="","",$R4550&amp;"|"&amp;$Q4550)</f>
        <v/>
      </c>
      <c r="T4550" t="str">
        <f t="shared" ref="T4550:T4613" si="715">IF($A4550="","",$S4550&amp;"|"&amp;$F4550)</f>
        <v/>
      </c>
      <c r="U4550" t="str">
        <f t="shared" ref="U4550:U4613" si="716">IF($A4550="","",$R4550&amp;"("&amp;$E4550&amp;")")</f>
        <v/>
      </c>
      <c r="V4550" t="str">
        <f t="shared" ref="V4550:V4613" si="717">IF($A4550="","",$F4550&amp;"|"&amp;$U4550&amp;"|"&amp;$D4550)</f>
        <v/>
      </c>
      <c r="W4550" t="str">
        <f t="shared" ref="W4550:W4613" si="718">IF($T4550="","",IF($X4550&gt;N($X4549),$X4550,""))</f>
        <v/>
      </c>
      <c r="X4550">
        <f>IF($T4550="",N($X4549),IF(MATCH($T4550,$T$6:$T$10005,0)=ROW()-5,N($X4549)+1,N($X4549)))</f>
        <v>0</v>
      </c>
      <c r="Z4550" t="str">
        <f t="shared" ref="Z4550:Z4613" si="719">IF($V4550="","",IF($AA4550&gt;N($AA4549),$AA4550,""))</f>
        <v/>
      </c>
      <c r="AA4550">
        <f>IF($V4550="",N($AA4549),IF(MATCH($V4550,$V$6:$V$10005,0)=ROW()-5,N($AA4549)+1,N($AA4549)))</f>
        <v>0</v>
      </c>
    </row>
    <row r="4551" spans="1:27" ht="21" customHeight="1" x14ac:dyDescent="0.95">
      <c r="A4551" s="56"/>
      <c r="B4551" s="57"/>
      <c r="C4551" s="57"/>
      <c r="D4551" s="57"/>
      <c r="E4551" s="56"/>
      <c r="F4551" s="57"/>
      <c r="G4551" s="57"/>
      <c r="H4551" s="56"/>
      <c r="I4551" s="56"/>
      <c r="J4551" s="58"/>
      <c r="K4551" s="58"/>
      <c r="L4551" s="13" t="str">
        <f t="shared" si="710"/>
        <v/>
      </c>
      <c r="M4551" s="13" t="str">
        <f t="shared" si="711"/>
        <v/>
      </c>
      <c r="Q4551" t="str">
        <f t="shared" si="712"/>
        <v/>
      </c>
      <c r="R4551" t="str">
        <f t="shared" si="713"/>
        <v/>
      </c>
      <c r="S4551" t="str">
        <f t="shared" si="714"/>
        <v/>
      </c>
      <c r="T4551" t="str">
        <f t="shared" si="715"/>
        <v/>
      </c>
      <c r="U4551" t="str">
        <f t="shared" si="716"/>
        <v/>
      </c>
      <c r="V4551" t="str">
        <f t="shared" si="717"/>
        <v/>
      </c>
      <c r="W4551" t="str">
        <f t="shared" si="718"/>
        <v/>
      </c>
      <c r="X4551">
        <f>IF($T4551="",N($X4550),IF(MATCH($T4551,$T$6:$T$10005,0)=ROW()-5,N($X4550)+1,N($X4550)))</f>
        <v>0</v>
      </c>
      <c r="Z4551" t="str">
        <f t="shared" si="719"/>
        <v/>
      </c>
      <c r="AA4551">
        <f>IF($V4551="",N($AA4550),IF(MATCH($V4551,$V$6:$V$10005,0)=ROW()-5,N($AA4550)+1,N($AA4550)))</f>
        <v>0</v>
      </c>
    </row>
    <row r="4552" spans="1:27" ht="21" customHeight="1" x14ac:dyDescent="0.95">
      <c r="A4552" s="56"/>
      <c r="B4552" s="57"/>
      <c r="C4552" s="57"/>
      <c r="D4552" s="57"/>
      <c r="E4552" s="56"/>
      <c r="F4552" s="57"/>
      <c r="G4552" s="57"/>
      <c r="H4552" s="56"/>
      <c r="I4552" s="56"/>
      <c r="J4552" s="58"/>
      <c r="K4552" s="58"/>
      <c r="L4552" s="13" t="str">
        <f t="shared" si="710"/>
        <v/>
      </c>
      <c r="M4552" s="13" t="str">
        <f t="shared" si="711"/>
        <v/>
      </c>
      <c r="Q4552" t="str">
        <f t="shared" si="712"/>
        <v/>
      </c>
      <c r="R4552" t="str">
        <f t="shared" si="713"/>
        <v/>
      </c>
      <c r="S4552" t="str">
        <f t="shared" si="714"/>
        <v/>
      </c>
      <c r="T4552" t="str">
        <f t="shared" si="715"/>
        <v/>
      </c>
      <c r="U4552" t="str">
        <f t="shared" si="716"/>
        <v/>
      </c>
      <c r="V4552" t="str">
        <f t="shared" si="717"/>
        <v/>
      </c>
      <c r="W4552" t="str">
        <f t="shared" si="718"/>
        <v/>
      </c>
      <c r="X4552">
        <f>IF($T4552="",N($X4551),IF(MATCH($T4552,$T$6:$T$10005,0)=ROW()-5,N($X4551)+1,N($X4551)))</f>
        <v>0</v>
      </c>
      <c r="Z4552" t="str">
        <f t="shared" si="719"/>
        <v/>
      </c>
      <c r="AA4552">
        <f>IF($V4552="",N($AA4551),IF(MATCH($V4552,$V$6:$V$10005,0)=ROW()-5,N($AA4551)+1,N($AA4551)))</f>
        <v>0</v>
      </c>
    </row>
    <row r="4553" spans="1:27" ht="21" customHeight="1" x14ac:dyDescent="0.95">
      <c r="A4553" s="56"/>
      <c r="B4553" s="57"/>
      <c r="C4553" s="57"/>
      <c r="D4553" s="57"/>
      <c r="E4553" s="56"/>
      <c r="F4553" s="57"/>
      <c r="G4553" s="57"/>
      <c r="H4553" s="56"/>
      <c r="I4553" s="56"/>
      <c r="J4553" s="58"/>
      <c r="K4553" s="58"/>
      <c r="L4553" s="13" t="str">
        <f t="shared" si="710"/>
        <v/>
      </c>
      <c r="M4553" s="13" t="str">
        <f t="shared" si="711"/>
        <v/>
      </c>
      <c r="Q4553" t="str">
        <f t="shared" si="712"/>
        <v/>
      </c>
      <c r="R4553" t="str">
        <f t="shared" si="713"/>
        <v/>
      </c>
      <c r="S4553" t="str">
        <f t="shared" si="714"/>
        <v/>
      </c>
      <c r="T4553" t="str">
        <f t="shared" si="715"/>
        <v/>
      </c>
      <c r="U4553" t="str">
        <f t="shared" si="716"/>
        <v/>
      </c>
      <c r="V4553" t="str">
        <f t="shared" si="717"/>
        <v/>
      </c>
      <c r="W4553" t="str">
        <f t="shared" si="718"/>
        <v/>
      </c>
      <c r="X4553">
        <f>IF($T4553="",N($X4552),IF(MATCH($T4553,$T$6:$T$10005,0)=ROW()-5,N($X4552)+1,N($X4552)))</f>
        <v>0</v>
      </c>
      <c r="Z4553" t="str">
        <f t="shared" si="719"/>
        <v/>
      </c>
      <c r="AA4553">
        <f>IF($V4553="",N($AA4552),IF(MATCH($V4553,$V$6:$V$10005,0)=ROW()-5,N($AA4552)+1,N($AA4552)))</f>
        <v>0</v>
      </c>
    </row>
    <row r="4554" spans="1:27" ht="21" customHeight="1" x14ac:dyDescent="0.95">
      <c r="A4554" s="56"/>
      <c r="B4554" s="57"/>
      <c r="C4554" s="57"/>
      <c r="D4554" s="57"/>
      <c r="E4554" s="56"/>
      <c r="F4554" s="57"/>
      <c r="G4554" s="57"/>
      <c r="H4554" s="56"/>
      <c r="I4554" s="56"/>
      <c r="J4554" s="58"/>
      <c r="K4554" s="58"/>
      <c r="L4554" s="13" t="str">
        <f t="shared" si="710"/>
        <v/>
      </c>
      <c r="M4554" s="13" t="str">
        <f t="shared" si="711"/>
        <v/>
      </c>
      <c r="Q4554" t="str">
        <f t="shared" si="712"/>
        <v/>
      </c>
      <c r="R4554" t="str">
        <f t="shared" si="713"/>
        <v/>
      </c>
      <c r="S4554" t="str">
        <f t="shared" si="714"/>
        <v/>
      </c>
      <c r="T4554" t="str">
        <f t="shared" si="715"/>
        <v/>
      </c>
      <c r="U4554" t="str">
        <f t="shared" si="716"/>
        <v/>
      </c>
      <c r="V4554" t="str">
        <f t="shared" si="717"/>
        <v/>
      </c>
      <c r="W4554" t="str">
        <f t="shared" si="718"/>
        <v/>
      </c>
      <c r="X4554">
        <f>IF($T4554="",N($X4553),IF(MATCH($T4554,$T$6:$T$10005,0)=ROW()-5,N($X4553)+1,N($X4553)))</f>
        <v>0</v>
      </c>
      <c r="Z4554" t="str">
        <f t="shared" si="719"/>
        <v/>
      </c>
      <c r="AA4554">
        <f>IF($V4554="",N($AA4553),IF(MATCH($V4554,$V$6:$V$10005,0)=ROW()-5,N($AA4553)+1,N($AA4553)))</f>
        <v>0</v>
      </c>
    </row>
    <row r="4555" spans="1:27" ht="21" customHeight="1" x14ac:dyDescent="0.95">
      <c r="A4555" s="56"/>
      <c r="B4555" s="57"/>
      <c r="C4555" s="57"/>
      <c r="D4555" s="57"/>
      <c r="E4555" s="56"/>
      <c r="F4555" s="57"/>
      <c r="G4555" s="57"/>
      <c r="H4555" s="56"/>
      <c r="I4555" s="56"/>
      <c r="J4555" s="58"/>
      <c r="K4555" s="58"/>
      <c r="L4555" s="13" t="str">
        <f t="shared" si="710"/>
        <v/>
      </c>
      <c r="M4555" s="13" t="str">
        <f t="shared" si="711"/>
        <v/>
      </c>
      <c r="Q4555" t="str">
        <f t="shared" si="712"/>
        <v/>
      </c>
      <c r="R4555" t="str">
        <f t="shared" si="713"/>
        <v/>
      </c>
      <c r="S4555" t="str">
        <f t="shared" si="714"/>
        <v/>
      </c>
      <c r="T4555" t="str">
        <f t="shared" si="715"/>
        <v/>
      </c>
      <c r="U4555" t="str">
        <f t="shared" si="716"/>
        <v/>
      </c>
      <c r="V4555" t="str">
        <f t="shared" si="717"/>
        <v/>
      </c>
      <c r="W4555" t="str">
        <f t="shared" si="718"/>
        <v/>
      </c>
      <c r="X4555">
        <f>IF($T4555="",N($X4554),IF(MATCH($T4555,$T$6:$T$10005,0)=ROW()-5,N($X4554)+1,N($X4554)))</f>
        <v>0</v>
      </c>
      <c r="Z4555" t="str">
        <f t="shared" si="719"/>
        <v/>
      </c>
      <c r="AA4555">
        <f>IF($V4555="",N($AA4554),IF(MATCH($V4555,$V$6:$V$10005,0)=ROW()-5,N($AA4554)+1,N($AA4554)))</f>
        <v>0</v>
      </c>
    </row>
    <row r="4556" spans="1:27" ht="21" customHeight="1" x14ac:dyDescent="0.95">
      <c r="A4556" s="56"/>
      <c r="B4556" s="57"/>
      <c r="C4556" s="57"/>
      <c r="D4556" s="57"/>
      <c r="E4556" s="56"/>
      <c r="F4556" s="57"/>
      <c r="G4556" s="57"/>
      <c r="H4556" s="56"/>
      <c r="I4556" s="56"/>
      <c r="J4556" s="58"/>
      <c r="K4556" s="58"/>
      <c r="L4556" s="13" t="str">
        <f t="shared" si="710"/>
        <v/>
      </c>
      <c r="M4556" s="13" t="str">
        <f t="shared" si="711"/>
        <v/>
      </c>
      <c r="Q4556" t="str">
        <f t="shared" si="712"/>
        <v/>
      </c>
      <c r="R4556" t="str">
        <f t="shared" si="713"/>
        <v/>
      </c>
      <c r="S4556" t="str">
        <f t="shared" si="714"/>
        <v/>
      </c>
      <c r="T4556" t="str">
        <f t="shared" si="715"/>
        <v/>
      </c>
      <c r="U4556" t="str">
        <f t="shared" si="716"/>
        <v/>
      </c>
      <c r="V4556" t="str">
        <f t="shared" si="717"/>
        <v/>
      </c>
      <c r="W4556" t="str">
        <f t="shared" si="718"/>
        <v/>
      </c>
      <c r="X4556">
        <f>IF($T4556="",N($X4555),IF(MATCH($T4556,$T$6:$T$10005,0)=ROW()-5,N($X4555)+1,N($X4555)))</f>
        <v>0</v>
      </c>
      <c r="Z4556" t="str">
        <f t="shared" si="719"/>
        <v/>
      </c>
      <c r="AA4556">
        <f>IF($V4556="",N($AA4555),IF(MATCH($V4556,$V$6:$V$10005,0)=ROW()-5,N($AA4555)+1,N($AA4555)))</f>
        <v>0</v>
      </c>
    </row>
    <row r="4557" spans="1:27" ht="21" customHeight="1" x14ac:dyDescent="0.95">
      <c r="A4557" s="56"/>
      <c r="B4557" s="57"/>
      <c r="C4557" s="57"/>
      <c r="D4557" s="57"/>
      <c r="E4557" s="56"/>
      <c r="F4557" s="57"/>
      <c r="G4557" s="57"/>
      <c r="H4557" s="56"/>
      <c r="I4557" s="56"/>
      <c r="J4557" s="58"/>
      <c r="K4557" s="58"/>
      <c r="L4557" s="13" t="str">
        <f t="shared" si="710"/>
        <v/>
      </c>
      <c r="M4557" s="13" t="str">
        <f t="shared" si="711"/>
        <v/>
      </c>
      <c r="Q4557" t="str">
        <f t="shared" si="712"/>
        <v/>
      </c>
      <c r="R4557" t="str">
        <f t="shared" si="713"/>
        <v/>
      </c>
      <c r="S4557" t="str">
        <f t="shared" si="714"/>
        <v/>
      </c>
      <c r="T4557" t="str">
        <f t="shared" si="715"/>
        <v/>
      </c>
      <c r="U4557" t="str">
        <f t="shared" si="716"/>
        <v/>
      </c>
      <c r="V4557" t="str">
        <f t="shared" si="717"/>
        <v/>
      </c>
      <c r="W4557" t="str">
        <f t="shared" si="718"/>
        <v/>
      </c>
      <c r="X4557">
        <f>IF($T4557="",N($X4556),IF(MATCH($T4557,$T$6:$T$10005,0)=ROW()-5,N($X4556)+1,N($X4556)))</f>
        <v>0</v>
      </c>
      <c r="Z4557" t="str">
        <f t="shared" si="719"/>
        <v/>
      </c>
      <c r="AA4557">
        <f>IF($V4557="",N($AA4556),IF(MATCH($V4557,$V$6:$V$10005,0)=ROW()-5,N($AA4556)+1,N($AA4556)))</f>
        <v>0</v>
      </c>
    </row>
    <row r="4558" spans="1:27" ht="21" customHeight="1" x14ac:dyDescent="0.95">
      <c r="A4558" s="56"/>
      <c r="B4558" s="57"/>
      <c r="C4558" s="57"/>
      <c r="D4558" s="57"/>
      <c r="E4558" s="56"/>
      <c r="F4558" s="57"/>
      <c r="G4558" s="57"/>
      <c r="H4558" s="56"/>
      <c r="I4558" s="56"/>
      <c r="J4558" s="58"/>
      <c r="K4558" s="58"/>
      <c r="L4558" s="13" t="str">
        <f t="shared" si="710"/>
        <v/>
      </c>
      <c r="M4558" s="13" t="str">
        <f t="shared" si="711"/>
        <v/>
      </c>
      <c r="Q4558" t="str">
        <f t="shared" si="712"/>
        <v/>
      </c>
      <c r="R4558" t="str">
        <f t="shared" si="713"/>
        <v/>
      </c>
      <c r="S4558" t="str">
        <f t="shared" si="714"/>
        <v/>
      </c>
      <c r="T4558" t="str">
        <f t="shared" si="715"/>
        <v/>
      </c>
      <c r="U4558" t="str">
        <f t="shared" si="716"/>
        <v/>
      </c>
      <c r="V4558" t="str">
        <f t="shared" si="717"/>
        <v/>
      </c>
      <c r="W4558" t="str">
        <f t="shared" si="718"/>
        <v/>
      </c>
      <c r="X4558">
        <f>IF($T4558="",N($X4557),IF(MATCH($T4558,$T$6:$T$10005,0)=ROW()-5,N($X4557)+1,N($X4557)))</f>
        <v>0</v>
      </c>
      <c r="Z4558" t="str">
        <f t="shared" si="719"/>
        <v/>
      </c>
      <c r="AA4558">
        <f>IF($V4558="",N($AA4557),IF(MATCH($V4558,$V$6:$V$10005,0)=ROW()-5,N($AA4557)+1,N($AA4557)))</f>
        <v>0</v>
      </c>
    </row>
    <row r="4559" spans="1:27" ht="21" customHeight="1" x14ac:dyDescent="0.95">
      <c r="A4559" s="56"/>
      <c r="B4559" s="57"/>
      <c r="C4559" s="57"/>
      <c r="D4559" s="57"/>
      <c r="E4559" s="56"/>
      <c r="F4559" s="57"/>
      <c r="G4559" s="57"/>
      <c r="H4559" s="56"/>
      <c r="I4559" s="56"/>
      <c r="J4559" s="58"/>
      <c r="K4559" s="58"/>
      <c r="L4559" s="13" t="str">
        <f t="shared" si="710"/>
        <v/>
      </c>
      <c r="M4559" s="13" t="str">
        <f t="shared" si="711"/>
        <v/>
      </c>
      <c r="Q4559" t="str">
        <f t="shared" si="712"/>
        <v/>
      </c>
      <c r="R4559" t="str">
        <f t="shared" si="713"/>
        <v/>
      </c>
      <c r="S4559" t="str">
        <f t="shared" si="714"/>
        <v/>
      </c>
      <c r="T4559" t="str">
        <f t="shared" si="715"/>
        <v/>
      </c>
      <c r="U4559" t="str">
        <f t="shared" si="716"/>
        <v/>
      </c>
      <c r="V4559" t="str">
        <f t="shared" si="717"/>
        <v/>
      </c>
      <c r="W4559" t="str">
        <f t="shared" si="718"/>
        <v/>
      </c>
      <c r="X4559">
        <f>IF($T4559="",N($X4558),IF(MATCH($T4559,$T$6:$T$10005,0)=ROW()-5,N($X4558)+1,N($X4558)))</f>
        <v>0</v>
      </c>
      <c r="Z4559" t="str">
        <f t="shared" si="719"/>
        <v/>
      </c>
      <c r="AA4559">
        <f>IF($V4559="",N($AA4558),IF(MATCH($V4559,$V$6:$V$10005,0)=ROW()-5,N($AA4558)+1,N($AA4558)))</f>
        <v>0</v>
      </c>
    </row>
    <row r="4560" spans="1:27" ht="21" customHeight="1" x14ac:dyDescent="0.95">
      <c r="A4560" s="56"/>
      <c r="B4560" s="57"/>
      <c r="C4560" s="57"/>
      <c r="D4560" s="57"/>
      <c r="E4560" s="56"/>
      <c r="F4560" s="57"/>
      <c r="G4560" s="57"/>
      <c r="H4560" s="56"/>
      <c r="I4560" s="56"/>
      <c r="J4560" s="58"/>
      <c r="K4560" s="58"/>
      <c r="L4560" s="13" t="str">
        <f t="shared" si="710"/>
        <v/>
      </c>
      <c r="M4560" s="13" t="str">
        <f t="shared" si="711"/>
        <v/>
      </c>
      <c r="Q4560" t="str">
        <f t="shared" si="712"/>
        <v/>
      </c>
      <c r="R4560" t="str">
        <f t="shared" si="713"/>
        <v/>
      </c>
      <c r="S4560" t="str">
        <f t="shared" si="714"/>
        <v/>
      </c>
      <c r="T4560" t="str">
        <f t="shared" si="715"/>
        <v/>
      </c>
      <c r="U4560" t="str">
        <f t="shared" si="716"/>
        <v/>
      </c>
      <c r="V4560" t="str">
        <f t="shared" si="717"/>
        <v/>
      </c>
      <c r="W4560" t="str">
        <f t="shared" si="718"/>
        <v/>
      </c>
      <c r="X4560">
        <f>IF($T4560="",N($X4559),IF(MATCH($T4560,$T$6:$T$10005,0)=ROW()-5,N($X4559)+1,N($X4559)))</f>
        <v>0</v>
      </c>
      <c r="Z4560" t="str">
        <f t="shared" si="719"/>
        <v/>
      </c>
      <c r="AA4560">
        <f>IF($V4560="",N($AA4559),IF(MATCH($V4560,$V$6:$V$10005,0)=ROW()-5,N($AA4559)+1,N($AA4559)))</f>
        <v>0</v>
      </c>
    </row>
    <row r="4561" spans="1:27" ht="21" customHeight="1" x14ac:dyDescent="0.95">
      <c r="A4561" s="56"/>
      <c r="B4561" s="57"/>
      <c r="C4561" s="57"/>
      <c r="D4561" s="57"/>
      <c r="E4561" s="56"/>
      <c r="F4561" s="57"/>
      <c r="G4561" s="57"/>
      <c r="H4561" s="56"/>
      <c r="I4561" s="56"/>
      <c r="J4561" s="58"/>
      <c r="K4561" s="58"/>
      <c r="L4561" s="13" t="str">
        <f t="shared" si="710"/>
        <v/>
      </c>
      <c r="M4561" s="13" t="str">
        <f t="shared" si="711"/>
        <v/>
      </c>
      <c r="Q4561" t="str">
        <f t="shared" si="712"/>
        <v/>
      </c>
      <c r="R4561" t="str">
        <f t="shared" si="713"/>
        <v/>
      </c>
      <c r="S4561" t="str">
        <f t="shared" si="714"/>
        <v/>
      </c>
      <c r="T4561" t="str">
        <f t="shared" si="715"/>
        <v/>
      </c>
      <c r="U4561" t="str">
        <f t="shared" si="716"/>
        <v/>
      </c>
      <c r="V4561" t="str">
        <f t="shared" si="717"/>
        <v/>
      </c>
      <c r="W4561" t="str">
        <f t="shared" si="718"/>
        <v/>
      </c>
      <c r="X4561">
        <f>IF($T4561="",N($X4560),IF(MATCH($T4561,$T$6:$T$10005,0)=ROW()-5,N($X4560)+1,N($X4560)))</f>
        <v>0</v>
      </c>
      <c r="Z4561" t="str">
        <f t="shared" si="719"/>
        <v/>
      </c>
      <c r="AA4561">
        <f>IF($V4561="",N($AA4560),IF(MATCH($V4561,$V$6:$V$10005,0)=ROW()-5,N($AA4560)+1,N($AA4560)))</f>
        <v>0</v>
      </c>
    </row>
    <row r="4562" spans="1:27" ht="21" customHeight="1" x14ac:dyDescent="0.95">
      <c r="A4562" s="56"/>
      <c r="B4562" s="57"/>
      <c r="C4562" s="57"/>
      <c r="D4562" s="57"/>
      <c r="E4562" s="56"/>
      <c r="F4562" s="57"/>
      <c r="G4562" s="57"/>
      <c r="H4562" s="56"/>
      <c r="I4562" s="56"/>
      <c r="J4562" s="58"/>
      <c r="K4562" s="58"/>
      <c r="L4562" s="13" t="str">
        <f t="shared" si="710"/>
        <v/>
      </c>
      <c r="M4562" s="13" t="str">
        <f t="shared" si="711"/>
        <v/>
      </c>
      <c r="Q4562" t="str">
        <f t="shared" si="712"/>
        <v/>
      </c>
      <c r="R4562" t="str">
        <f t="shared" si="713"/>
        <v/>
      </c>
      <c r="S4562" t="str">
        <f t="shared" si="714"/>
        <v/>
      </c>
      <c r="T4562" t="str">
        <f t="shared" si="715"/>
        <v/>
      </c>
      <c r="U4562" t="str">
        <f t="shared" si="716"/>
        <v/>
      </c>
      <c r="V4562" t="str">
        <f t="shared" si="717"/>
        <v/>
      </c>
      <c r="W4562" t="str">
        <f t="shared" si="718"/>
        <v/>
      </c>
      <c r="X4562">
        <f>IF($T4562="",N($X4561),IF(MATCH($T4562,$T$6:$T$10005,0)=ROW()-5,N($X4561)+1,N($X4561)))</f>
        <v>0</v>
      </c>
      <c r="Z4562" t="str">
        <f t="shared" si="719"/>
        <v/>
      </c>
      <c r="AA4562">
        <f>IF($V4562="",N($AA4561),IF(MATCH($V4562,$V$6:$V$10005,0)=ROW()-5,N($AA4561)+1,N($AA4561)))</f>
        <v>0</v>
      </c>
    </row>
    <row r="4563" spans="1:27" ht="21" customHeight="1" x14ac:dyDescent="0.95">
      <c r="A4563" s="56"/>
      <c r="B4563" s="57"/>
      <c r="C4563" s="57"/>
      <c r="D4563" s="57"/>
      <c r="E4563" s="56"/>
      <c r="F4563" s="57"/>
      <c r="G4563" s="57"/>
      <c r="H4563" s="56"/>
      <c r="I4563" s="56"/>
      <c r="J4563" s="58"/>
      <c r="K4563" s="58"/>
      <c r="L4563" s="13" t="str">
        <f t="shared" si="710"/>
        <v/>
      </c>
      <c r="M4563" s="13" t="str">
        <f t="shared" si="711"/>
        <v/>
      </c>
      <c r="Q4563" t="str">
        <f t="shared" si="712"/>
        <v/>
      </c>
      <c r="R4563" t="str">
        <f t="shared" si="713"/>
        <v/>
      </c>
      <c r="S4563" t="str">
        <f t="shared" si="714"/>
        <v/>
      </c>
      <c r="T4563" t="str">
        <f t="shared" si="715"/>
        <v/>
      </c>
      <c r="U4563" t="str">
        <f t="shared" si="716"/>
        <v/>
      </c>
      <c r="V4563" t="str">
        <f t="shared" si="717"/>
        <v/>
      </c>
      <c r="W4563" t="str">
        <f t="shared" si="718"/>
        <v/>
      </c>
      <c r="X4563">
        <f>IF($T4563="",N($X4562),IF(MATCH($T4563,$T$6:$T$10005,0)=ROW()-5,N($X4562)+1,N($X4562)))</f>
        <v>0</v>
      </c>
      <c r="Z4563" t="str">
        <f t="shared" si="719"/>
        <v/>
      </c>
      <c r="AA4563">
        <f>IF($V4563="",N($AA4562),IF(MATCH($V4563,$V$6:$V$10005,0)=ROW()-5,N($AA4562)+1,N($AA4562)))</f>
        <v>0</v>
      </c>
    </row>
    <row r="4564" spans="1:27" ht="21" customHeight="1" x14ac:dyDescent="0.95">
      <c r="A4564" s="56"/>
      <c r="B4564" s="57"/>
      <c r="C4564" s="57"/>
      <c r="D4564" s="57"/>
      <c r="E4564" s="56"/>
      <c r="F4564" s="57"/>
      <c r="G4564" s="57"/>
      <c r="H4564" s="56"/>
      <c r="I4564" s="56"/>
      <c r="J4564" s="58"/>
      <c r="K4564" s="58"/>
      <c r="L4564" s="13" t="str">
        <f t="shared" si="710"/>
        <v/>
      </c>
      <c r="M4564" s="13" t="str">
        <f t="shared" si="711"/>
        <v/>
      </c>
      <c r="Q4564" t="str">
        <f t="shared" si="712"/>
        <v/>
      </c>
      <c r="R4564" t="str">
        <f t="shared" si="713"/>
        <v/>
      </c>
      <c r="S4564" t="str">
        <f t="shared" si="714"/>
        <v/>
      </c>
      <c r="T4564" t="str">
        <f t="shared" si="715"/>
        <v/>
      </c>
      <c r="U4564" t="str">
        <f t="shared" si="716"/>
        <v/>
      </c>
      <c r="V4564" t="str">
        <f t="shared" si="717"/>
        <v/>
      </c>
      <c r="W4564" t="str">
        <f t="shared" si="718"/>
        <v/>
      </c>
      <c r="X4564">
        <f>IF($T4564="",N($X4563),IF(MATCH($T4564,$T$6:$T$10005,0)=ROW()-5,N($X4563)+1,N($X4563)))</f>
        <v>0</v>
      </c>
      <c r="Z4564" t="str">
        <f t="shared" si="719"/>
        <v/>
      </c>
      <c r="AA4564">
        <f>IF($V4564="",N($AA4563),IF(MATCH($V4564,$V$6:$V$10005,0)=ROW()-5,N($AA4563)+1,N($AA4563)))</f>
        <v>0</v>
      </c>
    </row>
    <row r="4565" spans="1:27" ht="21" customHeight="1" x14ac:dyDescent="0.95">
      <c r="A4565" s="56"/>
      <c r="B4565" s="57"/>
      <c r="C4565" s="57"/>
      <c r="D4565" s="57"/>
      <c r="E4565" s="56"/>
      <c r="F4565" s="57"/>
      <c r="G4565" s="57"/>
      <c r="H4565" s="56"/>
      <c r="I4565" s="56"/>
      <c r="J4565" s="58"/>
      <c r="K4565" s="58"/>
      <c r="L4565" s="13" t="str">
        <f t="shared" si="710"/>
        <v/>
      </c>
      <c r="M4565" s="13" t="str">
        <f t="shared" si="711"/>
        <v/>
      </c>
      <c r="Q4565" t="str">
        <f t="shared" si="712"/>
        <v/>
      </c>
      <c r="R4565" t="str">
        <f t="shared" si="713"/>
        <v/>
      </c>
      <c r="S4565" t="str">
        <f t="shared" si="714"/>
        <v/>
      </c>
      <c r="T4565" t="str">
        <f t="shared" si="715"/>
        <v/>
      </c>
      <c r="U4565" t="str">
        <f t="shared" si="716"/>
        <v/>
      </c>
      <c r="V4565" t="str">
        <f t="shared" si="717"/>
        <v/>
      </c>
      <c r="W4565" t="str">
        <f t="shared" si="718"/>
        <v/>
      </c>
      <c r="X4565">
        <f>IF($T4565="",N($X4564),IF(MATCH($T4565,$T$6:$T$10005,0)=ROW()-5,N($X4564)+1,N($X4564)))</f>
        <v>0</v>
      </c>
      <c r="Z4565" t="str">
        <f t="shared" si="719"/>
        <v/>
      </c>
      <c r="AA4565">
        <f>IF($V4565="",N($AA4564),IF(MATCH($V4565,$V$6:$V$10005,0)=ROW()-5,N($AA4564)+1,N($AA4564)))</f>
        <v>0</v>
      </c>
    </row>
    <row r="4566" spans="1:27" ht="21" customHeight="1" x14ac:dyDescent="0.95">
      <c r="A4566" s="56"/>
      <c r="B4566" s="57"/>
      <c r="C4566" s="57"/>
      <c r="D4566" s="57"/>
      <c r="E4566" s="56"/>
      <c r="F4566" s="57"/>
      <c r="G4566" s="57"/>
      <c r="H4566" s="56"/>
      <c r="I4566" s="56"/>
      <c r="J4566" s="58"/>
      <c r="K4566" s="58"/>
      <c r="L4566" s="13" t="str">
        <f t="shared" si="710"/>
        <v/>
      </c>
      <c r="M4566" s="13" t="str">
        <f t="shared" si="711"/>
        <v/>
      </c>
      <c r="Q4566" t="str">
        <f t="shared" si="712"/>
        <v/>
      </c>
      <c r="R4566" t="str">
        <f t="shared" si="713"/>
        <v/>
      </c>
      <c r="S4566" t="str">
        <f t="shared" si="714"/>
        <v/>
      </c>
      <c r="T4566" t="str">
        <f t="shared" si="715"/>
        <v/>
      </c>
      <c r="U4566" t="str">
        <f t="shared" si="716"/>
        <v/>
      </c>
      <c r="V4566" t="str">
        <f t="shared" si="717"/>
        <v/>
      </c>
      <c r="W4566" t="str">
        <f t="shared" si="718"/>
        <v/>
      </c>
      <c r="X4566">
        <f>IF($T4566="",N($X4565),IF(MATCH($T4566,$T$6:$T$10005,0)=ROW()-5,N($X4565)+1,N($X4565)))</f>
        <v>0</v>
      </c>
      <c r="Z4566" t="str">
        <f t="shared" si="719"/>
        <v/>
      </c>
      <c r="AA4566">
        <f>IF($V4566="",N($AA4565),IF(MATCH($V4566,$V$6:$V$10005,0)=ROW()-5,N($AA4565)+1,N($AA4565)))</f>
        <v>0</v>
      </c>
    </row>
    <row r="4567" spans="1:27" ht="21" customHeight="1" x14ac:dyDescent="0.95">
      <c r="A4567" s="56"/>
      <c r="B4567" s="57"/>
      <c r="C4567" s="57"/>
      <c r="D4567" s="57"/>
      <c r="E4567" s="56"/>
      <c r="F4567" s="57"/>
      <c r="G4567" s="57"/>
      <c r="H4567" s="56"/>
      <c r="I4567" s="56"/>
      <c r="J4567" s="58"/>
      <c r="K4567" s="58"/>
      <c r="L4567" s="13" t="str">
        <f t="shared" si="710"/>
        <v/>
      </c>
      <c r="M4567" s="13" t="str">
        <f t="shared" si="711"/>
        <v/>
      </c>
      <c r="Q4567" t="str">
        <f t="shared" si="712"/>
        <v/>
      </c>
      <c r="R4567" t="str">
        <f t="shared" si="713"/>
        <v/>
      </c>
      <c r="S4567" t="str">
        <f t="shared" si="714"/>
        <v/>
      </c>
      <c r="T4567" t="str">
        <f t="shared" si="715"/>
        <v/>
      </c>
      <c r="U4567" t="str">
        <f t="shared" si="716"/>
        <v/>
      </c>
      <c r="V4567" t="str">
        <f t="shared" si="717"/>
        <v/>
      </c>
      <c r="W4567" t="str">
        <f t="shared" si="718"/>
        <v/>
      </c>
      <c r="X4567">
        <f>IF($T4567="",N($X4566),IF(MATCH($T4567,$T$6:$T$10005,0)=ROW()-5,N($X4566)+1,N($X4566)))</f>
        <v>0</v>
      </c>
      <c r="Z4567" t="str">
        <f t="shared" si="719"/>
        <v/>
      </c>
      <c r="AA4567">
        <f>IF($V4567="",N($AA4566),IF(MATCH($V4567,$V$6:$V$10005,0)=ROW()-5,N($AA4566)+1,N($AA4566)))</f>
        <v>0</v>
      </c>
    </row>
    <row r="4568" spans="1:27" ht="21" customHeight="1" x14ac:dyDescent="0.95">
      <c r="A4568" s="56"/>
      <c r="B4568" s="57"/>
      <c r="C4568" s="57"/>
      <c r="D4568" s="57"/>
      <c r="E4568" s="56"/>
      <c r="F4568" s="57"/>
      <c r="G4568" s="57"/>
      <c r="H4568" s="56"/>
      <c r="I4568" s="56"/>
      <c r="J4568" s="58"/>
      <c r="K4568" s="58"/>
      <c r="L4568" s="13" t="str">
        <f t="shared" si="710"/>
        <v/>
      </c>
      <c r="M4568" s="13" t="str">
        <f t="shared" si="711"/>
        <v/>
      </c>
      <c r="Q4568" t="str">
        <f t="shared" si="712"/>
        <v/>
      </c>
      <c r="R4568" t="str">
        <f t="shared" si="713"/>
        <v/>
      </c>
      <c r="S4568" t="str">
        <f t="shared" si="714"/>
        <v/>
      </c>
      <c r="T4568" t="str">
        <f t="shared" si="715"/>
        <v/>
      </c>
      <c r="U4568" t="str">
        <f t="shared" si="716"/>
        <v/>
      </c>
      <c r="V4568" t="str">
        <f t="shared" si="717"/>
        <v/>
      </c>
      <c r="W4568" t="str">
        <f t="shared" si="718"/>
        <v/>
      </c>
      <c r="X4568">
        <f>IF($T4568="",N($X4567),IF(MATCH($T4568,$T$6:$T$10005,0)=ROW()-5,N($X4567)+1,N($X4567)))</f>
        <v>0</v>
      </c>
      <c r="Z4568" t="str">
        <f t="shared" si="719"/>
        <v/>
      </c>
      <c r="AA4568">
        <f>IF($V4568="",N($AA4567),IF(MATCH($V4568,$V$6:$V$10005,0)=ROW()-5,N($AA4567)+1,N($AA4567)))</f>
        <v>0</v>
      </c>
    </row>
    <row r="4569" spans="1:27" ht="21" customHeight="1" x14ac:dyDescent="0.95">
      <c r="A4569" s="56"/>
      <c r="B4569" s="57"/>
      <c r="C4569" s="57"/>
      <c r="D4569" s="57"/>
      <c r="E4569" s="56"/>
      <c r="F4569" s="57"/>
      <c r="G4569" s="57"/>
      <c r="H4569" s="56"/>
      <c r="I4569" s="56"/>
      <c r="J4569" s="58"/>
      <c r="K4569" s="58"/>
      <c r="L4569" s="13" t="str">
        <f t="shared" si="710"/>
        <v/>
      </c>
      <c r="M4569" s="13" t="str">
        <f t="shared" si="711"/>
        <v/>
      </c>
      <c r="Q4569" t="str">
        <f t="shared" si="712"/>
        <v/>
      </c>
      <c r="R4569" t="str">
        <f t="shared" si="713"/>
        <v/>
      </c>
      <c r="S4569" t="str">
        <f t="shared" si="714"/>
        <v/>
      </c>
      <c r="T4569" t="str">
        <f t="shared" si="715"/>
        <v/>
      </c>
      <c r="U4569" t="str">
        <f t="shared" si="716"/>
        <v/>
      </c>
      <c r="V4569" t="str">
        <f t="shared" si="717"/>
        <v/>
      </c>
      <c r="W4569" t="str">
        <f t="shared" si="718"/>
        <v/>
      </c>
      <c r="X4569">
        <f>IF($T4569="",N($X4568),IF(MATCH($T4569,$T$6:$T$10005,0)=ROW()-5,N($X4568)+1,N($X4568)))</f>
        <v>0</v>
      </c>
      <c r="Z4569" t="str">
        <f t="shared" si="719"/>
        <v/>
      </c>
      <c r="AA4569">
        <f>IF($V4569="",N($AA4568),IF(MATCH($V4569,$V$6:$V$10005,0)=ROW()-5,N($AA4568)+1,N($AA4568)))</f>
        <v>0</v>
      </c>
    </row>
    <row r="4570" spans="1:27" ht="21" customHeight="1" x14ac:dyDescent="0.95">
      <c r="A4570" s="56"/>
      <c r="B4570" s="57"/>
      <c r="C4570" s="57"/>
      <c r="D4570" s="57"/>
      <c r="E4570" s="56"/>
      <c r="F4570" s="57"/>
      <c r="G4570" s="57"/>
      <c r="H4570" s="56"/>
      <c r="I4570" s="56"/>
      <c r="J4570" s="58"/>
      <c r="K4570" s="58"/>
      <c r="L4570" s="13" t="str">
        <f t="shared" si="710"/>
        <v/>
      </c>
      <c r="M4570" s="13" t="str">
        <f t="shared" si="711"/>
        <v/>
      </c>
      <c r="Q4570" t="str">
        <f t="shared" si="712"/>
        <v/>
      </c>
      <c r="R4570" t="str">
        <f t="shared" si="713"/>
        <v/>
      </c>
      <c r="S4570" t="str">
        <f t="shared" si="714"/>
        <v/>
      </c>
      <c r="T4570" t="str">
        <f t="shared" si="715"/>
        <v/>
      </c>
      <c r="U4570" t="str">
        <f t="shared" si="716"/>
        <v/>
      </c>
      <c r="V4570" t="str">
        <f t="shared" si="717"/>
        <v/>
      </c>
      <c r="W4570" t="str">
        <f t="shared" si="718"/>
        <v/>
      </c>
      <c r="X4570">
        <f>IF($T4570="",N($X4569),IF(MATCH($T4570,$T$6:$T$10005,0)=ROW()-5,N($X4569)+1,N($X4569)))</f>
        <v>0</v>
      </c>
      <c r="Z4570" t="str">
        <f t="shared" si="719"/>
        <v/>
      </c>
      <c r="AA4570">
        <f>IF($V4570="",N($AA4569),IF(MATCH($V4570,$V$6:$V$10005,0)=ROW()-5,N($AA4569)+1,N($AA4569)))</f>
        <v>0</v>
      </c>
    </row>
    <row r="4571" spans="1:27" ht="21" customHeight="1" x14ac:dyDescent="0.95">
      <c r="A4571" s="56"/>
      <c r="B4571" s="57"/>
      <c r="C4571" s="57"/>
      <c r="D4571" s="57"/>
      <c r="E4571" s="56"/>
      <c r="F4571" s="57"/>
      <c r="G4571" s="57"/>
      <c r="H4571" s="56"/>
      <c r="I4571" s="56"/>
      <c r="J4571" s="58"/>
      <c r="K4571" s="58"/>
      <c r="L4571" s="13" t="str">
        <f t="shared" si="710"/>
        <v/>
      </c>
      <c r="M4571" s="13" t="str">
        <f t="shared" si="711"/>
        <v/>
      </c>
      <c r="Q4571" t="str">
        <f t="shared" si="712"/>
        <v/>
      </c>
      <c r="R4571" t="str">
        <f t="shared" si="713"/>
        <v/>
      </c>
      <c r="S4571" t="str">
        <f t="shared" si="714"/>
        <v/>
      </c>
      <c r="T4571" t="str">
        <f t="shared" si="715"/>
        <v/>
      </c>
      <c r="U4571" t="str">
        <f t="shared" si="716"/>
        <v/>
      </c>
      <c r="V4571" t="str">
        <f t="shared" si="717"/>
        <v/>
      </c>
      <c r="W4571" t="str">
        <f t="shared" si="718"/>
        <v/>
      </c>
      <c r="X4571">
        <f>IF($T4571="",N($X4570),IF(MATCH($T4571,$T$6:$T$10005,0)=ROW()-5,N($X4570)+1,N($X4570)))</f>
        <v>0</v>
      </c>
      <c r="Z4571" t="str">
        <f t="shared" si="719"/>
        <v/>
      </c>
      <c r="AA4571">
        <f>IF($V4571="",N($AA4570),IF(MATCH($V4571,$V$6:$V$10005,0)=ROW()-5,N($AA4570)+1,N($AA4570)))</f>
        <v>0</v>
      </c>
    </row>
    <row r="4572" spans="1:27" ht="21" customHeight="1" x14ac:dyDescent="0.95">
      <c r="A4572" s="56"/>
      <c r="B4572" s="57"/>
      <c r="C4572" s="57"/>
      <c r="D4572" s="57"/>
      <c r="E4572" s="56"/>
      <c r="F4572" s="57"/>
      <c r="G4572" s="57"/>
      <c r="H4572" s="56"/>
      <c r="I4572" s="56"/>
      <c r="J4572" s="58"/>
      <c r="K4572" s="58"/>
      <c r="L4572" s="13" t="str">
        <f t="shared" si="710"/>
        <v/>
      </c>
      <c r="M4572" s="13" t="str">
        <f t="shared" si="711"/>
        <v/>
      </c>
      <c r="Q4572" t="str">
        <f t="shared" si="712"/>
        <v/>
      </c>
      <c r="R4572" t="str">
        <f t="shared" si="713"/>
        <v/>
      </c>
      <c r="S4572" t="str">
        <f t="shared" si="714"/>
        <v/>
      </c>
      <c r="T4572" t="str">
        <f t="shared" si="715"/>
        <v/>
      </c>
      <c r="U4572" t="str">
        <f t="shared" si="716"/>
        <v/>
      </c>
      <c r="V4572" t="str">
        <f t="shared" si="717"/>
        <v/>
      </c>
      <c r="W4572" t="str">
        <f t="shared" si="718"/>
        <v/>
      </c>
      <c r="X4572">
        <f>IF($T4572="",N($X4571),IF(MATCH($T4572,$T$6:$T$10005,0)=ROW()-5,N($X4571)+1,N($X4571)))</f>
        <v>0</v>
      </c>
      <c r="Z4572" t="str">
        <f t="shared" si="719"/>
        <v/>
      </c>
      <c r="AA4572">
        <f>IF($V4572="",N($AA4571),IF(MATCH($V4572,$V$6:$V$10005,0)=ROW()-5,N($AA4571)+1,N($AA4571)))</f>
        <v>0</v>
      </c>
    </row>
    <row r="4573" spans="1:27" ht="21" customHeight="1" x14ac:dyDescent="0.95">
      <c r="A4573" s="56"/>
      <c r="B4573" s="57"/>
      <c r="C4573" s="57"/>
      <c r="D4573" s="57"/>
      <c r="E4573" s="56"/>
      <c r="F4573" s="57"/>
      <c r="G4573" s="57"/>
      <c r="H4573" s="56"/>
      <c r="I4573" s="56"/>
      <c r="J4573" s="58"/>
      <c r="K4573" s="58"/>
      <c r="L4573" s="13" t="str">
        <f t="shared" si="710"/>
        <v/>
      </c>
      <c r="M4573" s="13" t="str">
        <f t="shared" si="711"/>
        <v/>
      </c>
      <c r="Q4573" t="str">
        <f t="shared" si="712"/>
        <v/>
      </c>
      <c r="R4573" t="str">
        <f t="shared" si="713"/>
        <v/>
      </c>
      <c r="S4573" t="str">
        <f t="shared" si="714"/>
        <v/>
      </c>
      <c r="T4573" t="str">
        <f t="shared" si="715"/>
        <v/>
      </c>
      <c r="U4573" t="str">
        <f t="shared" si="716"/>
        <v/>
      </c>
      <c r="V4573" t="str">
        <f t="shared" si="717"/>
        <v/>
      </c>
      <c r="W4573" t="str">
        <f t="shared" si="718"/>
        <v/>
      </c>
      <c r="X4573">
        <f>IF($T4573="",N($X4572),IF(MATCH($T4573,$T$6:$T$10005,0)=ROW()-5,N($X4572)+1,N($X4572)))</f>
        <v>0</v>
      </c>
      <c r="Z4573" t="str">
        <f t="shared" si="719"/>
        <v/>
      </c>
      <c r="AA4573">
        <f>IF($V4573="",N($AA4572),IF(MATCH($V4573,$V$6:$V$10005,0)=ROW()-5,N($AA4572)+1,N($AA4572)))</f>
        <v>0</v>
      </c>
    </row>
    <row r="4574" spans="1:27" ht="21" customHeight="1" x14ac:dyDescent="0.95">
      <c r="A4574" s="56"/>
      <c r="B4574" s="57"/>
      <c r="C4574" s="57"/>
      <c r="D4574" s="57"/>
      <c r="E4574" s="56"/>
      <c r="F4574" s="57"/>
      <c r="G4574" s="57"/>
      <c r="H4574" s="56"/>
      <c r="I4574" s="56"/>
      <c r="J4574" s="58"/>
      <c r="K4574" s="58"/>
      <c r="L4574" s="13" t="str">
        <f t="shared" si="710"/>
        <v/>
      </c>
      <c r="M4574" s="13" t="str">
        <f t="shared" si="711"/>
        <v/>
      </c>
      <c r="Q4574" t="str">
        <f t="shared" si="712"/>
        <v/>
      </c>
      <c r="R4574" t="str">
        <f t="shared" si="713"/>
        <v/>
      </c>
      <c r="S4574" t="str">
        <f t="shared" si="714"/>
        <v/>
      </c>
      <c r="T4574" t="str">
        <f t="shared" si="715"/>
        <v/>
      </c>
      <c r="U4574" t="str">
        <f t="shared" si="716"/>
        <v/>
      </c>
      <c r="V4574" t="str">
        <f t="shared" si="717"/>
        <v/>
      </c>
      <c r="W4574" t="str">
        <f t="shared" si="718"/>
        <v/>
      </c>
      <c r="X4574">
        <f>IF($T4574="",N($X4573),IF(MATCH($T4574,$T$6:$T$10005,0)=ROW()-5,N($X4573)+1,N($X4573)))</f>
        <v>0</v>
      </c>
      <c r="Z4574" t="str">
        <f t="shared" si="719"/>
        <v/>
      </c>
      <c r="AA4574">
        <f>IF($V4574="",N($AA4573),IF(MATCH($V4574,$V$6:$V$10005,0)=ROW()-5,N($AA4573)+1,N($AA4573)))</f>
        <v>0</v>
      </c>
    </row>
    <row r="4575" spans="1:27" ht="21" customHeight="1" x14ac:dyDescent="0.95">
      <c r="A4575" s="56"/>
      <c r="B4575" s="57"/>
      <c r="C4575" s="57"/>
      <c r="D4575" s="57"/>
      <c r="E4575" s="56"/>
      <c r="F4575" s="57"/>
      <c r="G4575" s="57"/>
      <c r="H4575" s="56"/>
      <c r="I4575" s="56"/>
      <c r="J4575" s="58"/>
      <c r="K4575" s="58"/>
      <c r="L4575" s="13" t="str">
        <f t="shared" si="710"/>
        <v/>
      </c>
      <c r="M4575" s="13" t="str">
        <f t="shared" si="711"/>
        <v/>
      </c>
      <c r="Q4575" t="str">
        <f t="shared" si="712"/>
        <v/>
      </c>
      <c r="R4575" t="str">
        <f t="shared" si="713"/>
        <v/>
      </c>
      <c r="S4575" t="str">
        <f t="shared" si="714"/>
        <v/>
      </c>
      <c r="T4575" t="str">
        <f t="shared" si="715"/>
        <v/>
      </c>
      <c r="U4575" t="str">
        <f t="shared" si="716"/>
        <v/>
      </c>
      <c r="V4575" t="str">
        <f t="shared" si="717"/>
        <v/>
      </c>
      <c r="W4575" t="str">
        <f t="shared" si="718"/>
        <v/>
      </c>
      <c r="X4575">
        <f>IF($T4575="",N($X4574),IF(MATCH($T4575,$T$6:$T$10005,0)=ROW()-5,N($X4574)+1,N($X4574)))</f>
        <v>0</v>
      </c>
      <c r="Z4575" t="str">
        <f t="shared" si="719"/>
        <v/>
      </c>
      <c r="AA4575">
        <f>IF($V4575="",N($AA4574),IF(MATCH($V4575,$V$6:$V$10005,0)=ROW()-5,N($AA4574)+1,N($AA4574)))</f>
        <v>0</v>
      </c>
    </row>
    <row r="4576" spans="1:27" ht="21" customHeight="1" x14ac:dyDescent="0.95">
      <c r="A4576" s="56"/>
      <c r="B4576" s="57"/>
      <c r="C4576" s="57"/>
      <c r="D4576" s="57"/>
      <c r="E4576" s="56"/>
      <c r="F4576" s="57"/>
      <c r="G4576" s="57"/>
      <c r="H4576" s="56"/>
      <c r="I4576" s="56"/>
      <c r="J4576" s="58"/>
      <c r="K4576" s="58"/>
      <c r="L4576" s="13" t="str">
        <f t="shared" si="710"/>
        <v/>
      </c>
      <c r="M4576" s="13" t="str">
        <f t="shared" si="711"/>
        <v/>
      </c>
      <c r="Q4576" t="str">
        <f t="shared" si="712"/>
        <v/>
      </c>
      <c r="R4576" t="str">
        <f t="shared" si="713"/>
        <v/>
      </c>
      <c r="S4576" t="str">
        <f t="shared" si="714"/>
        <v/>
      </c>
      <c r="T4576" t="str">
        <f t="shared" si="715"/>
        <v/>
      </c>
      <c r="U4576" t="str">
        <f t="shared" si="716"/>
        <v/>
      </c>
      <c r="V4576" t="str">
        <f t="shared" si="717"/>
        <v/>
      </c>
      <c r="W4576" t="str">
        <f t="shared" si="718"/>
        <v/>
      </c>
      <c r="X4576">
        <f>IF($T4576="",N($X4575),IF(MATCH($T4576,$T$6:$T$10005,0)=ROW()-5,N($X4575)+1,N($X4575)))</f>
        <v>0</v>
      </c>
      <c r="Z4576" t="str">
        <f t="shared" si="719"/>
        <v/>
      </c>
      <c r="AA4576">
        <f>IF($V4576="",N($AA4575),IF(MATCH($V4576,$V$6:$V$10005,0)=ROW()-5,N($AA4575)+1,N($AA4575)))</f>
        <v>0</v>
      </c>
    </row>
    <row r="4577" spans="1:27" ht="21" customHeight="1" x14ac:dyDescent="0.95">
      <c r="A4577" s="56"/>
      <c r="B4577" s="57"/>
      <c r="C4577" s="57"/>
      <c r="D4577" s="57"/>
      <c r="E4577" s="56"/>
      <c r="F4577" s="57"/>
      <c r="G4577" s="57"/>
      <c r="H4577" s="56"/>
      <c r="I4577" s="56"/>
      <c r="J4577" s="58"/>
      <c r="K4577" s="58"/>
      <c r="L4577" s="13" t="str">
        <f t="shared" si="710"/>
        <v/>
      </c>
      <c r="M4577" s="13" t="str">
        <f t="shared" si="711"/>
        <v/>
      </c>
      <c r="Q4577" t="str">
        <f t="shared" si="712"/>
        <v/>
      </c>
      <c r="R4577" t="str">
        <f t="shared" si="713"/>
        <v/>
      </c>
      <c r="S4577" t="str">
        <f t="shared" si="714"/>
        <v/>
      </c>
      <c r="T4577" t="str">
        <f t="shared" si="715"/>
        <v/>
      </c>
      <c r="U4577" t="str">
        <f t="shared" si="716"/>
        <v/>
      </c>
      <c r="V4577" t="str">
        <f t="shared" si="717"/>
        <v/>
      </c>
      <c r="W4577" t="str">
        <f t="shared" si="718"/>
        <v/>
      </c>
      <c r="X4577">
        <f>IF($T4577="",N($X4576),IF(MATCH($T4577,$T$6:$T$10005,0)=ROW()-5,N($X4576)+1,N($X4576)))</f>
        <v>0</v>
      </c>
      <c r="Z4577" t="str">
        <f t="shared" si="719"/>
        <v/>
      </c>
      <c r="AA4577">
        <f>IF($V4577="",N($AA4576),IF(MATCH($V4577,$V$6:$V$10005,0)=ROW()-5,N($AA4576)+1,N($AA4576)))</f>
        <v>0</v>
      </c>
    </row>
    <row r="4578" spans="1:27" ht="21" customHeight="1" x14ac:dyDescent="0.95">
      <c r="A4578" s="56"/>
      <c r="B4578" s="57"/>
      <c r="C4578" s="57"/>
      <c r="D4578" s="57"/>
      <c r="E4578" s="56"/>
      <c r="F4578" s="57"/>
      <c r="G4578" s="57"/>
      <c r="H4578" s="56"/>
      <c r="I4578" s="56"/>
      <c r="J4578" s="58"/>
      <c r="K4578" s="58"/>
      <c r="L4578" s="13" t="str">
        <f t="shared" si="710"/>
        <v/>
      </c>
      <c r="M4578" s="13" t="str">
        <f t="shared" si="711"/>
        <v/>
      </c>
      <c r="Q4578" t="str">
        <f t="shared" si="712"/>
        <v/>
      </c>
      <c r="R4578" t="str">
        <f t="shared" si="713"/>
        <v/>
      </c>
      <c r="S4578" t="str">
        <f t="shared" si="714"/>
        <v/>
      </c>
      <c r="T4578" t="str">
        <f t="shared" si="715"/>
        <v/>
      </c>
      <c r="U4578" t="str">
        <f t="shared" si="716"/>
        <v/>
      </c>
      <c r="V4578" t="str">
        <f t="shared" si="717"/>
        <v/>
      </c>
      <c r="W4578" t="str">
        <f t="shared" si="718"/>
        <v/>
      </c>
      <c r="X4578">
        <f>IF($T4578="",N($X4577),IF(MATCH($T4578,$T$6:$T$10005,0)=ROW()-5,N($X4577)+1,N($X4577)))</f>
        <v>0</v>
      </c>
      <c r="Z4578" t="str">
        <f t="shared" si="719"/>
        <v/>
      </c>
      <c r="AA4578">
        <f>IF($V4578="",N($AA4577),IF(MATCH($V4578,$V$6:$V$10005,0)=ROW()-5,N($AA4577)+1,N($AA4577)))</f>
        <v>0</v>
      </c>
    </row>
    <row r="4579" spans="1:27" ht="21" customHeight="1" x14ac:dyDescent="0.95">
      <c r="A4579" s="56"/>
      <c r="B4579" s="57"/>
      <c r="C4579" s="57"/>
      <c r="D4579" s="57"/>
      <c r="E4579" s="56"/>
      <c r="F4579" s="57"/>
      <c r="G4579" s="57"/>
      <c r="H4579" s="56"/>
      <c r="I4579" s="56"/>
      <c r="J4579" s="58"/>
      <c r="K4579" s="58"/>
      <c r="L4579" s="13" t="str">
        <f t="shared" si="710"/>
        <v/>
      </c>
      <c r="M4579" s="13" t="str">
        <f t="shared" si="711"/>
        <v/>
      </c>
      <c r="Q4579" t="str">
        <f t="shared" si="712"/>
        <v/>
      </c>
      <c r="R4579" t="str">
        <f t="shared" si="713"/>
        <v/>
      </c>
      <c r="S4579" t="str">
        <f t="shared" si="714"/>
        <v/>
      </c>
      <c r="T4579" t="str">
        <f t="shared" si="715"/>
        <v/>
      </c>
      <c r="U4579" t="str">
        <f t="shared" si="716"/>
        <v/>
      </c>
      <c r="V4579" t="str">
        <f t="shared" si="717"/>
        <v/>
      </c>
      <c r="W4579" t="str">
        <f t="shared" si="718"/>
        <v/>
      </c>
      <c r="X4579">
        <f>IF($T4579="",N($X4578),IF(MATCH($T4579,$T$6:$T$10005,0)=ROW()-5,N($X4578)+1,N($X4578)))</f>
        <v>0</v>
      </c>
      <c r="Z4579" t="str">
        <f t="shared" si="719"/>
        <v/>
      </c>
      <c r="AA4579">
        <f>IF($V4579="",N($AA4578),IF(MATCH($V4579,$V$6:$V$10005,0)=ROW()-5,N($AA4578)+1,N($AA4578)))</f>
        <v>0</v>
      </c>
    </row>
    <row r="4580" spans="1:27" ht="21" customHeight="1" x14ac:dyDescent="0.95">
      <c r="A4580" s="56"/>
      <c r="B4580" s="57"/>
      <c r="C4580" s="57"/>
      <c r="D4580" s="57"/>
      <c r="E4580" s="56"/>
      <c r="F4580" s="57"/>
      <c r="G4580" s="57"/>
      <c r="H4580" s="56"/>
      <c r="I4580" s="56"/>
      <c r="J4580" s="58"/>
      <c r="K4580" s="58"/>
      <c r="L4580" s="13" t="str">
        <f t="shared" si="710"/>
        <v/>
      </c>
      <c r="M4580" s="13" t="str">
        <f t="shared" si="711"/>
        <v/>
      </c>
      <c r="Q4580" t="str">
        <f t="shared" si="712"/>
        <v/>
      </c>
      <c r="R4580" t="str">
        <f t="shared" si="713"/>
        <v/>
      </c>
      <c r="S4580" t="str">
        <f t="shared" si="714"/>
        <v/>
      </c>
      <c r="T4580" t="str">
        <f t="shared" si="715"/>
        <v/>
      </c>
      <c r="U4580" t="str">
        <f t="shared" si="716"/>
        <v/>
      </c>
      <c r="V4580" t="str">
        <f t="shared" si="717"/>
        <v/>
      </c>
      <c r="W4580" t="str">
        <f t="shared" si="718"/>
        <v/>
      </c>
      <c r="X4580">
        <f>IF($T4580="",N($X4579),IF(MATCH($T4580,$T$6:$T$10005,0)=ROW()-5,N($X4579)+1,N($X4579)))</f>
        <v>0</v>
      </c>
      <c r="Z4580" t="str">
        <f t="shared" si="719"/>
        <v/>
      </c>
      <c r="AA4580">
        <f>IF($V4580="",N($AA4579),IF(MATCH($V4580,$V$6:$V$10005,0)=ROW()-5,N($AA4579)+1,N($AA4579)))</f>
        <v>0</v>
      </c>
    </row>
    <row r="4581" spans="1:27" ht="21" customHeight="1" x14ac:dyDescent="0.95">
      <c r="A4581" s="56"/>
      <c r="B4581" s="57"/>
      <c r="C4581" s="57"/>
      <c r="D4581" s="57"/>
      <c r="E4581" s="56"/>
      <c r="F4581" s="57"/>
      <c r="G4581" s="57"/>
      <c r="H4581" s="56"/>
      <c r="I4581" s="56"/>
      <c r="J4581" s="58"/>
      <c r="K4581" s="58"/>
      <c r="L4581" s="13" t="str">
        <f t="shared" si="710"/>
        <v/>
      </c>
      <c r="M4581" s="13" t="str">
        <f t="shared" si="711"/>
        <v/>
      </c>
      <c r="Q4581" t="str">
        <f t="shared" si="712"/>
        <v/>
      </c>
      <c r="R4581" t="str">
        <f t="shared" si="713"/>
        <v/>
      </c>
      <c r="S4581" t="str">
        <f t="shared" si="714"/>
        <v/>
      </c>
      <c r="T4581" t="str">
        <f t="shared" si="715"/>
        <v/>
      </c>
      <c r="U4581" t="str">
        <f t="shared" si="716"/>
        <v/>
      </c>
      <c r="V4581" t="str">
        <f t="shared" si="717"/>
        <v/>
      </c>
      <c r="W4581" t="str">
        <f t="shared" si="718"/>
        <v/>
      </c>
      <c r="X4581">
        <f>IF($T4581="",N($X4580),IF(MATCH($T4581,$T$6:$T$10005,0)=ROW()-5,N($X4580)+1,N($X4580)))</f>
        <v>0</v>
      </c>
      <c r="Z4581" t="str">
        <f t="shared" si="719"/>
        <v/>
      </c>
      <c r="AA4581">
        <f>IF($V4581="",N($AA4580),IF(MATCH($V4581,$V$6:$V$10005,0)=ROW()-5,N($AA4580)+1,N($AA4580)))</f>
        <v>0</v>
      </c>
    </row>
    <row r="4582" spans="1:27" ht="21" customHeight="1" x14ac:dyDescent="0.95">
      <c r="A4582" s="56"/>
      <c r="B4582" s="57"/>
      <c r="C4582" s="57"/>
      <c r="D4582" s="57"/>
      <c r="E4582" s="56"/>
      <c r="F4582" s="57"/>
      <c r="G4582" s="57"/>
      <c r="H4582" s="56"/>
      <c r="I4582" s="56"/>
      <c r="J4582" s="58"/>
      <c r="K4582" s="58"/>
      <c r="L4582" s="13" t="str">
        <f t="shared" si="710"/>
        <v/>
      </c>
      <c r="M4582" s="13" t="str">
        <f t="shared" si="711"/>
        <v/>
      </c>
      <c r="Q4582" t="str">
        <f t="shared" si="712"/>
        <v/>
      </c>
      <c r="R4582" t="str">
        <f t="shared" si="713"/>
        <v/>
      </c>
      <c r="S4582" t="str">
        <f t="shared" si="714"/>
        <v/>
      </c>
      <c r="T4582" t="str">
        <f t="shared" si="715"/>
        <v/>
      </c>
      <c r="U4582" t="str">
        <f t="shared" si="716"/>
        <v/>
      </c>
      <c r="V4582" t="str">
        <f t="shared" si="717"/>
        <v/>
      </c>
      <c r="W4582" t="str">
        <f t="shared" si="718"/>
        <v/>
      </c>
      <c r="X4582">
        <f>IF($T4582="",N($X4581),IF(MATCH($T4582,$T$6:$T$10005,0)=ROW()-5,N($X4581)+1,N($X4581)))</f>
        <v>0</v>
      </c>
      <c r="Z4582" t="str">
        <f t="shared" si="719"/>
        <v/>
      </c>
      <c r="AA4582">
        <f>IF($V4582="",N($AA4581),IF(MATCH($V4582,$V$6:$V$10005,0)=ROW()-5,N($AA4581)+1,N($AA4581)))</f>
        <v>0</v>
      </c>
    </row>
    <row r="4583" spans="1:27" ht="21" customHeight="1" x14ac:dyDescent="0.95">
      <c r="A4583" s="56"/>
      <c r="B4583" s="57"/>
      <c r="C4583" s="57"/>
      <c r="D4583" s="57"/>
      <c r="E4583" s="56"/>
      <c r="F4583" s="57"/>
      <c r="G4583" s="57"/>
      <c r="H4583" s="56"/>
      <c r="I4583" s="56"/>
      <c r="J4583" s="58"/>
      <c r="K4583" s="58"/>
      <c r="L4583" s="13" t="str">
        <f t="shared" si="710"/>
        <v/>
      </c>
      <c r="M4583" s="13" t="str">
        <f t="shared" si="711"/>
        <v/>
      </c>
      <c r="Q4583" t="str">
        <f t="shared" si="712"/>
        <v/>
      </c>
      <c r="R4583" t="str">
        <f t="shared" si="713"/>
        <v/>
      </c>
      <c r="S4583" t="str">
        <f t="shared" si="714"/>
        <v/>
      </c>
      <c r="T4583" t="str">
        <f t="shared" si="715"/>
        <v/>
      </c>
      <c r="U4583" t="str">
        <f t="shared" si="716"/>
        <v/>
      </c>
      <c r="V4583" t="str">
        <f t="shared" si="717"/>
        <v/>
      </c>
      <c r="W4583" t="str">
        <f t="shared" si="718"/>
        <v/>
      </c>
      <c r="X4583">
        <f>IF($T4583="",N($X4582),IF(MATCH($T4583,$T$6:$T$10005,0)=ROW()-5,N($X4582)+1,N($X4582)))</f>
        <v>0</v>
      </c>
      <c r="Z4583" t="str">
        <f t="shared" si="719"/>
        <v/>
      </c>
      <c r="AA4583">
        <f>IF($V4583="",N($AA4582),IF(MATCH($V4583,$V$6:$V$10005,0)=ROW()-5,N($AA4582)+1,N($AA4582)))</f>
        <v>0</v>
      </c>
    </row>
    <row r="4584" spans="1:27" ht="21" customHeight="1" x14ac:dyDescent="0.95">
      <c r="A4584" s="56"/>
      <c r="B4584" s="57"/>
      <c r="C4584" s="57"/>
      <c r="D4584" s="57"/>
      <c r="E4584" s="56"/>
      <c r="F4584" s="57"/>
      <c r="G4584" s="57"/>
      <c r="H4584" s="56"/>
      <c r="I4584" s="56"/>
      <c r="J4584" s="58"/>
      <c r="K4584" s="58"/>
      <c r="L4584" s="13" t="str">
        <f t="shared" si="710"/>
        <v/>
      </c>
      <c r="M4584" s="13" t="str">
        <f t="shared" si="711"/>
        <v/>
      </c>
      <c r="Q4584" t="str">
        <f t="shared" si="712"/>
        <v/>
      </c>
      <c r="R4584" t="str">
        <f t="shared" si="713"/>
        <v/>
      </c>
      <c r="S4584" t="str">
        <f t="shared" si="714"/>
        <v/>
      </c>
      <c r="T4584" t="str">
        <f t="shared" si="715"/>
        <v/>
      </c>
      <c r="U4584" t="str">
        <f t="shared" si="716"/>
        <v/>
      </c>
      <c r="V4584" t="str">
        <f t="shared" si="717"/>
        <v/>
      </c>
      <c r="W4584" t="str">
        <f t="shared" si="718"/>
        <v/>
      </c>
      <c r="X4584">
        <f>IF($T4584="",N($X4583),IF(MATCH($T4584,$T$6:$T$10005,0)=ROW()-5,N($X4583)+1,N($X4583)))</f>
        <v>0</v>
      </c>
      <c r="Z4584" t="str">
        <f t="shared" si="719"/>
        <v/>
      </c>
      <c r="AA4584">
        <f>IF($V4584="",N($AA4583),IF(MATCH($V4584,$V$6:$V$10005,0)=ROW()-5,N($AA4583)+1,N($AA4583)))</f>
        <v>0</v>
      </c>
    </row>
    <row r="4585" spans="1:27" ht="21" customHeight="1" x14ac:dyDescent="0.95">
      <c r="A4585" s="56"/>
      <c r="B4585" s="57"/>
      <c r="C4585" s="57"/>
      <c r="D4585" s="57"/>
      <c r="E4585" s="56"/>
      <c r="F4585" s="57"/>
      <c r="G4585" s="57"/>
      <c r="H4585" s="56"/>
      <c r="I4585" s="56"/>
      <c r="J4585" s="58"/>
      <c r="K4585" s="58"/>
      <c r="L4585" s="13" t="str">
        <f t="shared" si="710"/>
        <v/>
      </c>
      <c r="M4585" s="13" t="str">
        <f t="shared" si="711"/>
        <v/>
      </c>
      <c r="Q4585" t="str">
        <f t="shared" si="712"/>
        <v/>
      </c>
      <c r="R4585" t="str">
        <f t="shared" si="713"/>
        <v/>
      </c>
      <c r="S4585" t="str">
        <f t="shared" si="714"/>
        <v/>
      </c>
      <c r="T4585" t="str">
        <f t="shared" si="715"/>
        <v/>
      </c>
      <c r="U4585" t="str">
        <f t="shared" si="716"/>
        <v/>
      </c>
      <c r="V4585" t="str">
        <f t="shared" si="717"/>
        <v/>
      </c>
      <c r="W4585" t="str">
        <f t="shared" si="718"/>
        <v/>
      </c>
      <c r="X4585">
        <f>IF($T4585="",N($X4584),IF(MATCH($T4585,$T$6:$T$10005,0)=ROW()-5,N($X4584)+1,N($X4584)))</f>
        <v>0</v>
      </c>
      <c r="Z4585" t="str">
        <f t="shared" si="719"/>
        <v/>
      </c>
      <c r="AA4585">
        <f>IF($V4585="",N($AA4584),IF(MATCH($V4585,$V$6:$V$10005,0)=ROW()-5,N($AA4584)+1,N($AA4584)))</f>
        <v>0</v>
      </c>
    </row>
    <row r="4586" spans="1:27" ht="21" customHeight="1" x14ac:dyDescent="0.95">
      <c r="A4586" s="56"/>
      <c r="B4586" s="57"/>
      <c r="C4586" s="57"/>
      <c r="D4586" s="57"/>
      <c r="E4586" s="56"/>
      <c r="F4586" s="57"/>
      <c r="G4586" s="57"/>
      <c r="H4586" s="56"/>
      <c r="I4586" s="56"/>
      <c r="J4586" s="58"/>
      <c r="K4586" s="58"/>
      <c r="L4586" s="13" t="str">
        <f t="shared" si="710"/>
        <v/>
      </c>
      <c r="M4586" s="13" t="str">
        <f t="shared" si="711"/>
        <v/>
      </c>
      <c r="Q4586" t="str">
        <f t="shared" si="712"/>
        <v/>
      </c>
      <c r="R4586" t="str">
        <f t="shared" si="713"/>
        <v/>
      </c>
      <c r="S4586" t="str">
        <f t="shared" si="714"/>
        <v/>
      </c>
      <c r="T4586" t="str">
        <f t="shared" si="715"/>
        <v/>
      </c>
      <c r="U4586" t="str">
        <f t="shared" si="716"/>
        <v/>
      </c>
      <c r="V4586" t="str">
        <f t="shared" si="717"/>
        <v/>
      </c>
      <c r="W4586" t="str">
        <f t="shared" si="718"/>
        <v/>
      </c>
      <c r="X4586">
        <f>IF($T4586="",N($X4585),IF(MATCH($T4586,$T$6:$T$10005,0)=ROW()-5,N($X4585)+1,N($X4585)))</f>
        <v>0</v>
      </c>
      <c r="Z4586" t="str">
        <f t="shared" si="719"/>
        <v/>
      </c>
      <c r="AA4586">
        <f>IF($V4586="",N($AA4585),IF(MATCH($V4586,$V$6:$V$10005,0)=ROW()-5,N($AA4585)+1,N($AA4585)))</f>
        <v>0</v>
      </c>
    </row>
    <row r="4587" spans="1:27" ht="21" customHeight="1" x14ac:dyDescent="0.95">
      <c r="A4587" s="56"/>
      <c r="B4587" s="57"/>
      <c r="C4587" s="57"/>
      <c r="D4587" s="57"/>
      <c r="E4587" s="56"/>
      <c r="F4587" s="57"/>
      <c r="G4587" s="57"/>
      <c r="H4587" s="56"/>
      <c r="I4587" s="56"/>
      <c r="J4587" s="58"/>
      <c r="K4587" s="58"/>
      <c r="L4587" s="13" t="str">
        <f t="shared" si="710"/>
        <v/>
      </c>
      <c r="M4587" s="13" t="str">
        <f t="shared" si="711"/>
        <v/>
      </c>
      <c r="Q4587" t="str">
        <f t="shared" si="712"/>
        <v/>
      </c>
      <c r="R4587" t="str">
        <f t="shared" si="713"/>
        <v/>
      </c>
      <c r="S4587" t="str">
        <f t="shared" si="714"/>
        <v/>
      </c>
      <c r="T4587" t="str">
        <f t="shared" si="715"/>
        <v/>
      </c>
      <c r="U4587" t="str">
        <f t="shared" si="716"/>
        <v/>
      </c>
      <c r="V4587" t="str">
        <f t="shared" si="717"/>
        <v/>
      </c>
      <c r="W4587" t="str">
        <f t="shared" si="718"/>
        <v/>
      </c>
      <c r="X4587">
        <f>IF($T4587="",N($X4586),IF(MATCH($T4587,$T$6:$T$10005,0)=ROW()-5,N($X4586)+1,N($X4586)))</f>
        <v>0</v>
      </c>
      <c r="Z4587" t="str">
        <f t="shared" si="719"/>
        <v/>
      </c>
      <c r="AA4587">
        <f>IF($V4587="",N($AA4586),IF(MATCH($V4587,$V$6:$V$10005,0)=ROW()-5,N($AA4586)+1,N($AA4586)))</f>
        <v>0</v>
      </c>
    </row>
    <row r="4588" spans="1:27" ht="21" customHeight="1" x14ac:dyDescent="0.95">
      <c r="A4588" s="56"/>
      <c r="B4588" s="57"/>
      <c r="C4588" s="57"/>
      <c r="D4588" s="57"/>
      <c r="E4588" s="56"/>
      <c r="F4588" s="57"/>
      <c r="G4588" s="57"/>
      <c r="H4588" s="56"/>
      <c r="I4588" s="56"/>
      <c r="J4588" s="58"/>
      <c r="K4588" s="58"/>
      <c r="L4588" s="13" t="str">
        <f t="shared" si="710"/>
        <v/>
      </c>
      <c r="M4588" s="13" t="str">
        <f t="shared" si="711"/>
        <v/>
      </c>
      <c r="Q4588" t="str">
        <f t="shared" si="712"/>
        <v/>
      </c>
      <c r="R4588" t="str">
        <f t="shared" si="713"/>
        <v/>
      </c>
      <c r="S4588" t="str">
        <f t="shared" si="714"/>
        <v/>
      </c>
      <c r="T4588" t="str">
        <f t="shared" si="715"/>
        <v/>
      </c>
      <c r="U4588" t="str">
        <f t="shared" si="716"/>
        <v/>
      </c>
      <c r="V4588" t="str">
        <f t="shared" si="717"/>
        <v/>
      </c>
      <c r="W4588" t="str">
        <f t="shared" si="718"/>
        <v/>
      </c>
      <c r="X4588">
        <f>IF($T4588="",N($X4587),IF(MATCH($T4588,$T$6:$T$10005,0)=ROW()-5,N($X4587)+1,N($X4587)))</f>
        <v>0</v>
      </c>
      <c r="Z4588" t="str">
        <f t="shared" si="719"/>
        <v/>
      </c>
      <c r="AA4588">
        <f>IF($V4588="",N($AA4587),IF(MATCH($V4588,$V$6:$V$10005,0)=ROW()-5,N($AA4587)+1,N($AA4587)))</f>
        <v>0</v>
      </c>
    </row>
    <row r="4589" spans="1:27" ht="21" customHeight="1" x14ac:dyDescent="0.95">
      <c r="A4589" s="56"/>
      <c r="B4589" s="57"/>
      <c r="C4589" s="57"/>
      <c r="D4589" s="57"/>
      <c r="E4589" s="56"/>
      <c r="F4589" s="57"/>
      <c r="G4589" s="57"/>
      <c r="H4589" s="56"/>
      <c r="I4589" s="56"/>
      <c r="J4589" s="58"/>
      <c r="K4589" s="58"/>
      <c r="L4589" s="13" t="str">
        <f t="shared" si="710"/>
        <v/>
      </c>
      <c r="M4589" s="13" t="str">
        <f t="shared" si="711"/>
        <v/>
      </c>
      <c r="Q4589" t="str">
        <f t="shared" si="712"/>
        <v/>
      </c>
      <c r="R4589" t="str">
        <f t="shared" si="713"/>
        <v/>
      </c>
      <c r="S4589" t="str">
        <f t="shared" si="714"/>
        <v/>
      </c>
      <c r="T4589" t="str">
        <f t="shared" si="715"/>
        <v/>
      </c>
      <c r="U4589" t="str">
        <f t="shared" si="716"/>
        <v/>
      </c>
      <c r="V4589" t="str">
        <f t="shared" si="717"/>
        <v/>
      </c>
      <c r="W4589" t="str">
        <f t="shared" si="718"/>
        <v/>
      </c>
      <c r="X4589">
        <f>IF($T4589="",N($X4588),IF(MATCH($T4589,$T$6:$T$10005,0)=ROW()-5,N($X4588)+1,N($X4588)))</f>
        <v>0</v>
      </c>
      <c r="Z4589" t="str">
        <f t="shared" si="719"/>
        <v/>
      </c>
      <c r="AA4589">
        <f>IF($V4589="",N($AA4588),IF(MATCH($V4589,$V$6:$V$10005,0)=ROW()-5,N($AA4588)+1,N($AA4588)))</f>
        <v>0</v>
      </c>
    </row>
    <row r="4590" spans="1:27" ht="21" customHeight="1" x14ac:dyDescent="0.95">
      <c r="A4590" s="56"/>
      <c r="B4590" s="57"/>
      <c r="C4590" s="57"/>
      <c r="D4590" s="57"/>
      <c r="E4590" s="56"/>
      <c r="F4590" s="57"/>
      <c r="G4590" s="57"/>
      <c r="H4590" s="56"/>
      <c r="I4590" s="56"/>
      <c r="J4590" s="58"/>
      <c r="K4590" s="58"/>
      <c r="L4590" s="13" t="str">
        <f t="shared" si="710"/>
        <v/>
      </c>
      <c r="M4590" s="13" t="str">
        <f t="shared" si="711"/>
        <v/>
      </c>
      <c r="Q4590" t="str">
        <f t="shared" si="712"/>
        <v/>
      </c>
      <c r="R4590" t="str">
        <f t="shared" si="713"/>
        <v/>
      </c>
      <c r="S4590" t="str">
        <f t="shared" si="714"/>
        <v/>
      </c>
      <c r="T4590" t="str">
        <f t="shared" si="715"/>
        <v/>
      </c>
      <c r="U4590" t="str">
        <f t="shared" si="716"/>
        <v/>
      </c>
      <c r="V4590" t="str">
        <f t="shared" si="717"/>
        <v/>
      </c>
      <c r="W4590" t="str">
        <f t="shared" si="718"/>
        <v/>
      </c>
      <c r="X4590">
        <f>IF($T4590="",N($X4589),IF(MATCH($T4590,$T$6:$T$10005,0)=ROW()-5,N($X4589)+1,N($X4589)))</f>
        <v>0</v>
      </c>
      <c r="Z4590" t="str">
        <f t="shared" si="719"/>
        <v/>
      </c>
      <c r="AA4590">
        <f>IF($V4590="",N($AA4589),IF(MATCH($V4590,$V$6:$V$10005,0)=ROW()-5,N($AA4589)+1,N($AA4589)))</f>
        <v>0</v>
      </c>
    </row>
    <row r="4591" spans="1:27" ht="21" customHeight="1" x14ac:dyDescent="0.95">
      <c r="A4591" s="56"/>
      <c r="B4591" s="57"/>
      <c r="C4591" s="57"/>
      <c r="D4591" s="57"/>
      <c r="E4591" s="56"/>
      <c r="F4591" s="57"/>
      <c r="G4591" s="57"/>
      <c r="H4591" s="56"/>
      <c r="I4591" s="56"/>
      <c r="J4591" s="58"/>
      <c r="K4591" s="58"/>
      <c r="L4591" s="13" t="str">
        <f t="shared" si="710"/>
        <v/>
      </c>
      <c r="M4591" s="13" t="str">
        <f t="shared" si="711"/>
        <v/>
      </c>
      <c r="Q4591" t="str">
        <f t="shared" si="712"/>
        <v/>
      </c>
      <c r="R4591" t="str">
        <f t="shared" si="713"/>
        <v/>
      </c>
      <c r="S4591" t="str">
        <f t="shared" si="714"/>
        <v/>
      </c>
      <c r="T4591" t="str">
        <f t="shared" si="715"/>
        <v/>
      </c>
      <c r="U4591" t="str">
        <f t="shared" si="716"/>
        <v/>
      </c>
      <c r="V4591" t="str">
        <f t="shared" si="717"/>
        <v/>
      </c>
      <c r="W4591" t="str">
        <f t="shared" si="718"/>
        <v/>
      </c>
      <c r="X4591">
        <f>IF($T4591="",N($X4590),IF(MATCH($T4591,$T$6:$T$10005,0)=ROW()-5,N($X4590)+1,N($X4590)))</f>
        <v>0</v>
      </c>
      <c r="Z4591" t="str">
        <f t="shared" si="719"/>
        <v/>
      </c>
      <c r="AA4591">
        <f>IF($V4591="",N($AA4590),IF(MATCH($V4591,$V$6:$V$10005,0)=ROW()-5,N($AA4590)+1,N($AA4590)))</f>
        <v>0</v>
      </c>
    </row>
    <row r="4592" spans="1:27" ht="21" customHeight="1" x14ac:dyDescent="0.95">
      <c r="A4592" s="56"/>
      <c r="B4592" s="57"/>
      <c r="C4592" s="57"/>
      <c r="D4592" s="57"/>
      <c r="E4592" s="56"/>
      <c r="F4592" s="57"/>
      <c r="G4592" s="57"/>
      <c r="H4592" s="56"/>
      <c r="I4592" s="56"/>
      <c r="J4592" s="58"/>
      <c r="K4592" s="58"/>
      <c r="L4592" s="13" t="str">
        <f t="shared" si="710"/>
        <v/>
      </c>
      <c r="M4592" s="13" t="str">
        <f t="shared" si="711"/>
        <v/>
      </c>
      <c r="Q4592" t="str">
        <f t="shared" si="712"/>
        <v/>
      </c>
      <c r="R4592" t="str">
        <f t="shared" si="713"/>
        <v/>
      </c>
      <c r="S4592" t="str">
        <f t="shared" si="714"/>
        <v/>
      </c>
      <c r="T4592" t="str">
        <f t="shared" si="715"/>
        <v/>
      </c>
      <c r="U4592" t="str">
        <f t="shared" si="716"/>
        <v/>
      </c>
      <c r="V4592" t="str">
        <f t="shared" si="717"/>
        <v/>
      </c>
      <c r="W4592" t="str">
        <f t="shared" si="718"/>
        <v/>
      </c>
      <c r="X4592">
        <f>IF($T4592="",N($X4591),IF(MATCH($T4592,$T$6:$T$10005,0)=ROW()-5,N($X4591)+1,N($X4591)))</f>
        <v>0</v>
      </c>
      <c r="Z4592" t="str">
        <f t="shared" si="719"/>
        <v/>
      </c>
      <c r="AA4592">
        <f>IF($V4592="",N($AA4591),IF(MATCH($V4592,$V$6:$V$10005,0)=ROW()-5,N($AA4591)+1,N($AA4591)))</f>
        <v>0</v>
      </c>
    </row>
    <row r="4593" spans="1:27" ht="21" customHeight="1" x14ac:dyDescent="0.95">
      <c r="A4593" s="56"/>
      <c r="B4593" s="57"/>
      <c r="C4593" s="57"/>
      <c r="D4593" s="57"/>
      <c r="E4593" s="56"/>
      <c r="F4593" s="57"/>
      <c r="G4593" s="57"/>
      <c r="H4593" s="56"/>
      <c r="I4593" s="56"/>
      <c r="J4593" s="58"/>
      <c r="K4593" s="58"/>
      <c r="L4593" s="13" t="str">
        <f t="shared" si="710"/>
        <v/>
      </c>
      <c r="M4593" s="13" t="str">
        <f t="shared" si="711"/>
        <v/>
      </c>
      <c r="Q4593" t="str">
        <f t="shared" si="712"/>
        <v/>
      </c>
      <c r="R4593" t="str">
        <f t="shared" si="713"/>
        <v/>
      </c>
      <c r="S4593" t="str">
        <f t="shared" si="714"/>
        <v/>
      </c>
      <c r="T4593" t="str">
        <f t="shared" si="715"/>
        <v/>
      </c>
      <c r="U4593" t="str">
        <f t="shared" si="716"/>
        <v/>
      </c>
      <c r="V4593" t="str">
        <f t="shared" si="717"/>
        <v/>
      </c>
      <c r="W4593" t="str">
        <f t="shared" si="718"/>
        <v/>
      </c>
      <c r="X4593">
        <f>IF($T4593="",N($X4592),IF(MATCH($T4593,$T$6:$T$10005,0)=ROW()-5,N($X4592)+1,N($X4592)))</f>
        <v>0</v>
      </c>
      <c r="Z4593" t="str">
        <f t="shared" si="719"/>
        <v/>
      </c>
      <c r="AA4593">
        <f>IF($V4593="",N($AA4592),IF(MATCH($V4593,$V$6:$V$10005,0)=ROW()-5,N($AA4592)+1,N($AA4592)))</f>
        <v>0</v>
      </c>
    </row>
    <row r="4594" spans="1:27" ht="21" customHeight="1" x14ac:dyDescent="0.95">
      <c r="A4594" s="56"/>
      <c r="B4594" s="57"/>
      <c r="C4594" s="57"/>
      <c r="D4594" s="57"/>
      <c r="E4594" s="56"/>
      <c r="F4594" s="57"/>
      <c r="G4594" s="57"/>
      <c r="H4594" s="56"/>
      <c r="I4594" s="56"/>
      <c r="J4594" s="58"/>
      <c r="K4594" s="58"/>
      <c r="L4594" s="13" t="str">
        <f t="shared" si="710"/>
        <v/>
      </c>
      <c r="M4594" s="13" t="str">
        <f t="shared" si="711"/>
        <v/>
      </c>
      <c r="Q4594" t="str">
        <f t="shared" si="712"/>
        <v/>
      </c>
      <c r="R4594" t="str">
        <f t="shared" si="713"/>
        <v/>
      </c>
      <c r="S4594" t="str">
        <f t="shared" si="714"/>
        <v/>
      </c>
      <c r="T4594" t="str">
        <f t="shared" si="715"/>
        <v/>
      </c>
      <c r="U4594" t="str">
        <f t="shared" si="716"/>
        <v/>
      </c>
      <c r="V4594" t="str">
        <f t="shared" si="717"/>
        <v/>
      </c>
      <c r="W4594" t="str">
        <f t="shared" si="718"/>
        <v/>
      </c>
      <c r="X4594">
        <f>IF($T4594="",N($X4593),IF(MATCH($T4594,$T$6:$T$10005,0)=ROW()-5,N($X4593)+1,N($X4593)))</f>
        <v>0</v>
      </c>
      <c r="Z4594" t="str">
        <f t="shared" si="719"/>
        <v/>
      </c>
      <c r="AA4594">
        <f>IF($V4594="",N($AA4593),IF(MATCH($V4594,$V$6:$V$10005,0)=ROW()-5,N($AA4593)+1,N($AA4593)))</f>
        <v>0</v>
      </c>
    </row>
    <row r="4595" spans="1:27" ht="21" customHeight="1" x14ac:dyDescent="0.95">
      <c r="A4595" s="56"/>
      <c r="B4595" s="57"/>
      <c r="C4595" s="57"/>
      <c r="D4595" s="57"/>
      <c r="E4595" s="56"/>
      <c r="F4595" s="57"/>
      <c r="G4595" s="57"/>
      <c r="H4595" s="56"/>
      <c r="I4595" s="56"/>
      <c r="J4595" s="58"/>
      <c r="K4595" s="58"/>
      <c r="L4595" s="13" t="str">
        <f t="shared" si="710"/>
        <v/>
      </c>
      <c r="M4595" s="13" t="str">
        <f t="shared" si="711"/>
        <v/>
      </c>
      <c r="Q4595" t="str">
        <f t="shared" si="712"/>
        <v/>
      </c>
      <c r="R4595" t="str">
        <f t="shared" si="713"/>
        <v/>
      </c>
      <c r="S4595" t="str">
        <f t="shared" si="714"/>
        <v/>
      </c>
      <c r="T4595" t="str">
        <f t="shared" si="715"/>
        <v/>
      </c>
      <c r="U4595" t="str">
        <f t="shared" si="716"/>
        <v/>
      </c>
      <c r="V4595" t="str">
        <f t="shared" si="717"/>
        <v/>
      </c>
      <c r="W4595" t="str">
        <f t="shared" si="718"/>
        <v/>
      </c>
      <c r="X4595">
        <f>IF($T4595="",N($X4594),IF(MATCH($T4595,$T$6:$T$10005,0)=ROW()-5,N($X4594)+1,N($X4594)))</f>
        <v>0</v>
      </c>
      <c r="Z4595" t="str">
        <f t="shared" si="719"/>
        <v/>
      </c>
      <c r="AA4595">
        <f>IF($V4595="",N($AA4594),IF(MATCH($V4595,$V$6:$V$10005,0)=ROW()-5,N($AA4594)+1,N($AA4594)))</f>
        <v>0</v>
      </c>
    </row>
    <row r="4596" spans="1:27" ht="21" customHeight="1" x14ac:dyDescent="0.95">
      <c r="A4596" s="56"/>
      <c r="B4596" s="57"/>
      <c r="C4596" s="57"/>
      <c r="D4596" s="57"/>
      <c r="E4596" s="56"/>
      <c r="F4596" s="57"/>
      <c r="G4596" s="57"/>
      <c r="H4596" s="56"/>
      <c r="I4596" s="56"/>
      <c r="J4596" s="58"/>
      <c r="K4596" s="58"/>
      <c r="L4596" s="13" t="str">
        <f t="shared" si="710"/>
        <v/>
      </c>
      <c r="M4596" s="13" t="str">
        <f t="shared" si="711"/>
        <v/>
      </c>
      <c r="Q4596" t="str">
        <f t="shared" si="712"/>
        <v/>
      </c>
      <c r="R4596" t="str">
        <f t="shared" si="713"/>
        <v/>
      </c>
      <c r="S4596" t="str">
        <f t="shared" si="714"/>
        <v/>
      </c>
      <c r="T4596" t="str">
        <f t="shared" si="715"/>
        <v/>
      </c>
      <c r="U4596" t="str">
        <f t="shared" si="716"/>
        <v/>
      </c>
      <c r="V4596" t="str">
        <f t="shared" si="717"/>
        <v/>
      </c>
      <c r="W4596" t="str">
        <f t="shared" si="718"/>
        <v/>
      </c>
      <c r="X4596">
        <f>IF($T4596="",N($X4595),IF(MATCH($T4596,$T$6:$T$10005,0)=ROW()-5,N($X4595)+1,N($X4595)))</f>
        <v>0</v>
      </c>
      <c r="Z4596" t="str">
        <f t="shared" si="719"/>
        <v/>
      </c>
      <c r="AA4596">
        <f>IF($V4596="",N($AA4595),IF(MATCH($V4596,$V$6:$V$10005,0)=ROW()-5,N($AA4595)+1,N($AA4595)))</f>
        <v>0</v>
      </c>
    </row>
    <row r="4597" spans="1:27" ht="21" customHeight="1" x14ac:dyDescent="0.95">
      <c r="A4597" s="56"/>
      <c r="B4597" s="57"/>
      <c r="C4597" s="57"/>
      <c r="D4597" s="57"/>
      <c r="E4597" s="56"/>
      <c r="F4597" s="57"/>
      <c r="G4597" s="57"/>
      <c r="H4597" s="56"/>
      <c r="I4597" s="56"/>
      <c r="J4597" s="58"/>
      <c r="K4597" s="58"/>
      <c r="L4597" s="13" t="str">
        <f t="shared" si="710"/>
        <v/>
      </c>
      <c r="M4597" s="13" t="str">
        <f t="shared" si="711"/>
        <v/>
      </c>
      <c r="Q4597" t="str">
        <f t="shared" si="712"/>
        <v/>
      </c>
      <c r="R4597" t="str">
        <f t="shared" si="713"/>
        <v/>
      </c>
      <c r="S4597" t="str">
        <f t="shared" si="714"/>
        <v/>
      </c>
      <c r="T4597" t="str">
        <f t="shared" si="715"/>
        <v/>
      </c>
      <c r="U4597" t="str">
        <f t="shared" si="716"/>
        <v/>
      </c>
      <c r="V4597" t="str">
        <f t="shared" si="717"/>
        <v/>
      </c>
      <c r="W4597" t="str">
        <f t="shared" si="718"/>
        <v/>
      </c>
      <c r="X4597">
        <f>IF($T4597="",N($X4596),IF(MATCH($T4597,$T$6:$T$10005,0)=ROW()-5,N($X4596)+1,N($X4596)))</f>
        <v>0</v>
      </c>
      <c r="Z4597" t="str">
        <f t="shared" si="719"/>
        <v/>
      </c>
      <c r="AA4597">
        <f>IF($V4597="",N($AA4596),IF(MATCH($V4597,$V$6:$V$10005,0)=ROW()-5,N($AA4596)+1,N($AA4596)))</f>
        <v>0</v>
      </c>
    </row>
    <row r="4598" spans="1:27" ht="21" customHeight="1" x14ac:dyDescent="0.95">
      <c r="A4598" s="56"/>
      <c r="B4598" s="57"/>
      <c r="C4598" s="57"/>
      <c r="D4598" s="57"/>
      <c r="E4598" s="56"/>
      <c r="F4598" s="57"/>
      <c r="G4598" s="57"/>
      <c r="H4598" s="56"/>
      <c r="I4598" s="56"/>
      <c r="J4598" s="58"/>
      <c r="K4598" s="58"/>
      <c r="L4598" s="13" t="str">
        <f t="shared" si="710"/>
        <v/>
      </c>
      <c r="M4598" s="13" t="str">
        <f t="shared" si="711"/>
        <v/>
      </c>
      <c r="Q4598" t="str">
        <f t="shared" si="712"/>
        <v/>
      </c>
      <c r="R4598" t="str">
        <f t="shared" si="713"/>
        <v/>
      </c>
      <c r="S4598" t="str">
        <f t="shared" si="714"/>
        <v/>
      </c>
      <c r="T4598" t="str">
        <f t="shared" si="715"/>
        <v/>
      </c>
      <c r="U4598" t="str">
        <f t="shared" si="716"/>
        <v/>
      </c>
      <c r="V4598" t="str">
        <f t="shared" si="717"/>
        <v/>
      </c>
      <c r="W4598" t="str">
        <f t="shared" si="718"/>
        <v/>
      </c>
      <c r="X4598">
        <f>IF($T4598="",N($X4597),IF(MATCH($T4598,$T$6:$T$10005,0)=ROW()-5,N($X4597)+1,N($X4597)))</f>
        <v>0</v>
      </c>
      <c r="Z4598" t="str">
        <f t="shared" si="719"/>
        <v/>
      </c>
      <c r="AA4598">
        <f>IF($V4598="",N($AA4597),IF(MATCH($V4598,$V$6:$V$10005,0)=ROW()-5,N($AA4597)+1,N($AA4597)))</f>
        <v>0</v>
      </c>
    </row>
    <row r="4599" spans="1:27" ht="21" customHeight="1" x14ac:dyDescent="0.95">
      <c r="A4599" s="56"/>
      <c r="B4599" s="57"/>
      <c r="C4599" s="57"/>
      <c r="D4599" s="57"/>
      <c r="E4599" s="56"/>
      <c r="F4599" s="57"/>
      <c r="G4599" s="57"/>
      <c r="H4599" s="56"/>
      <c r="I4599" s="56"/>
      <c r="J4599" s="58"/>
      <c r="K4599" s="58"/>
      <c r="L4599" s="13" t="str">
        <f t="shared" si="710"/>
        <v/>
      </c>
      <c r="M4599" s="13" t="str">
        <f t="shared" si="711"/>
        <v/>
      </c>
      <c r="Q4599" t="str">
        <f t="shared" si="712"/>
        <v/>
      </c>
      <c r="R4599" t="str">
        <f t="shared" si="713"/>
        <v/>
      </c>
      <c r="S4599" t="str">
        <f t="shared" si="714"/>
        <v/>
      </c>
      <c r="T4599" t="str">
        <f t="shared" si="715"/>
        <v/>
      </c>
      <c r="U4599" t="str">
        <f t="shared" si="716"/>
        <v/>
      </c>
      <c r="V4599" t="str">
        <f t="shared" si="717"/>
        <v/>
      </c>
      <c r="W4599" t="str">
        <f t="shared" si="718"/>
        <v/>
      </c>
      <c r="X4599">
        <f>IF($T4599="",N($X4598),IF(MATCH($T4599,$T$6:$T$10005,0)=ROW()-5,N($X4598)+1,N($X4598)))</f>
        <v>0</v>
      </c>
      <c r="Z4599" t="str">
        <f t="shared" si="719"/>
        <v/>
      </c>
      <c r="AA4599">
        <f>IF($V4599="",N($AA4598),IF(MATCH($V4599,$V$6:$V$10005,0)=ROW()-5,N($AA4598)+1,N($AA4598)))</f>
        <v>0</v>
      </c>
    </row>
    <row r="4600" spans="1:27" ht="21" customHeight="1" x14ac:dyDescent="0.95">
      <c r="A4600" s="56"/>
      <c r="B4600" s="57"/>
      <c r="C4600" s="57"/>
      <c r="D4600" s="57"/>
      <c r="E4600" s="56"/>
      <c r="F4600" s="57"/>
      <c r="G4600" s="57"/>
      <c r="H4600" s="56"/>
      <c r="I4600" s="56"/>
      <c r="J4600" s="58"/>
      <c r="K4600" s="58"/>
      <c r="L4600" s="13" t="str">
        <f t="shared" si="710"/>
        <v/>
      </c>
      <c r="M4600" s="13" t="str">
        <f t="shared" si="711"/>
        <v/>
      </c>
      <c r="Q4600" t="str">
        <f t="shared" si="712"/>
        <v/>
      </c>
      <c r="R4600" t="str">
        <f t="shared" si="713"/>
        <v/>
      </c>
      <c r="S4600" t="str">
        <f t="shared" si="714"/>
        <v/>
      </c>
      <c r="T4600" t="str">
        <f t="shared" si="715"/>
        <v/>
      </c>
      <c r="U4600" t="str">
        <f t="shared" si="716"/>
        <v/>
      </c>
      <c r="V4600" t="str">
        <f t="shared" si="717"/>
        <v/>
      </c>
      <c r="W4600" t="str">
        <f t="shared" si="718"/>
        <v/>
      </c>
      <c r="X4600">
        <f>IF($T4600="",N($X4599),IF(MATCH($T4600,$T$6:$T$10005,0)=ROW()-5,N($X4599)+1,N($X4599)))</f>
        <v>0</v>
      </c>
      <c r="Z4600" t="str">
        <f t="shared" si="719"/>
        <v/>
      </c>
      <c r="AA4600">
        <f>IF($V4600="",N($AA4599),IF(MATCH($V4600,$V$6:$V$10005,0)=ROW()-5,N($AA4599)+1,N($AA4599)))</f>
        <v>0</v>
      </c>
    </row>
    <row r="4601" spans="1:27" ht="21" customHeight="1" x14ac:dyDescent="0.95">
      <c r="A4601" s="56"/>
      <c r="B4601" s="57"/>
      <c r="C4601" s="57"/>
      <c r="D4601" s="57"/>
      <c r="E4601" s="56"/>
      <c r="F4601" s="57"/>
      <c r="G4601" s="57"/>
      <c r="H4601" s="56"/>
      <c r="I4601" s="56"/>
      <c r="J4601" s="58"/>
      <c r="K4601" s="58"/>
      <c r="L4601" s="13" t="str">
        <f t="shared" si="710"/>
        <v/>
      </c>
      <c r="M4601" s="13" t="str">
        <f t="shared" si="711"/>
        <v/>
      </c>
      <c r="Q4601" t="str">
        <f t="shared" si="712"/>
        <v/>
      </c>
      <c r="R4601" t="str">
        <f t="shared" si="713"/>
        <v/>
      </c>
      <c r="S4601" t="str">
        <f t="shared" si="714"/>
        <v/>
      </c>
      <c r="T4601" t="str">
        <f t="shared" si="715"/>
        <v/>
      </c>
      <c r="U4601" t="str">
        <f t="shared" si="716"/>
        <v/>
      </c>
      <c r="V4601" t="str">
        <f t="shared" si="717"/>
        <v/>
      </c>
      <c r="W4601" t="str">
        <f t="shared" si="718"/>
        <v/>
      </c>
      <c r="X4601">
        <f>IF($T4601="",N($X4600),IF(MATCH($T4601,$T$6:$T$10005,0)=ROW()-5,N($X4600)+1,N($X4600)))</f>
        <v>0</v>
      </c>
      <c r="Z4601" t="str">
        <f t="shared" si="719"/>
        <v/>
      </c>
      <c r="AA4601">
        <f>IF($V4601="",N($AA4600),IF(MATCH($V4601,$V$6:$V$10005,0)=ROW()-5,N($AA4600)+1,N($AA4600)))</f>
        <v>0</v>
      </c>
    </row>
    <row r="4602" spans="1:27" ht="21" customHeight="1" x14ac:dyDescent="0.95">
      <c r="A4602" s="56"/>
      <c r="B4602" s="57"/>
      <c r="C4602" s="57"/>
      <c r="D4602" s="57"/>
      <c r="E4602" s="56"/>
      <c r="F4602" s="57"/>
      <c r="G4602" s="57"/>
      <c r="H4602" s="56"/>
      <c r="I4602" s="56"/>
      <c r="J4602" s="58"/>
      <c r="K4602" s="58"/>
      <c r="L4602" s="13" t="str">
        <f t="shared" si="710"/>
        <v/>
      </c>
      <c r="M4602" s="13" t="str">
        <f t="shared" si="711"/>
        <v/>
      </c>
      <c r="Q4602" t="str">
        <f t="shared" si="712"/>
        <v/>
      </c>
      <c r="R4602" t="str">
        <f t="shared" si="713"/>
        <v/>
      </c>
      <c r="S4602" t="str">
        <f t="shared" si="714"/>
        <v/>
      </c>
      <c r="T4602" t="str">
        <f t="shared" si="715"/>
        <v/>
      </c>
      <c r="U4602" t="str">
        <f t="shared" si="716"/>
        <v/>
      </c>
      <c r="V4602" t="str">
        <f t="shared" si="717"/>
        <v/>
      </c>
      <c r="W4602" t="str">
        <f t="shared" si="718"/>
        <v/>
      </c>
      <c r="X4602">
        <f>IF($T4602="",N($X4601),IF(MATCH($T4602,$T$6:$T$10005,0)=ROW()-5,N($X4601)+1,N($X4601)))</f>
        <v>0</v>
      </c>
      <c r="Z4602" t="str">
        <f t="shared" si="719"/>
        <v/>
      </c>
      <c r="AA4602">
        <f>IF($V4602="",N($AA4601),IF(MATCH($V4602,$V$6:$V$10005,0)=ROW()-5,N($AA4601)+1,N($AA4601)))</f>
        <v>0</v>
      </c>
    </row>
    <row r="4603" spans="1:27" ht="21" customHeight="1" x14ac:dyDescent="0.95">
      <c r="A4603" s="56"/>
      <c r="B4603" s="57"/>
      <c r="C4603" s="57"/>
      <c r="D4603" s="57"/>
      <c r="E4603" s="56"/>
      <c r="F4603" s="57"/>
      <c r="G4603" s="57"/>
      <c r="H4603" s="56"/>
      <c r="I4603" s="56"/>
      <c r="J4603" s="58"/>
      <c r="K4603" s="58"/>
      <c r="L4603" s="13" t="str">
        <f t="shared" si="710"/>
        <v/>
      </c>
      <c r="M4603" s="13" t="str">
        <f t="shared" si="711"/>
        <v/>
      </c>
      <c r="Q4603" t="str">
        <f t="shared" si="712"/>
        <v/>
      </c>
      <c r="R4603" t="str">
        <f t="shared" si="713"/>
        <v/>
      </c>
      <c r="S4603" t="str">
        <f t="shared" si="714"/>
        <v/>
      </c>
      <c r="T4603" t="str">
        <f t="shared" si="715"/>
        <v/>
      </c>
      <c r="U4603" t="str">
        <f t="shared" si="716"/>
        <v/>
      </c>
      <c r="V4603" t="str">
        <f t="shared" si="717"/>
        <v/>
      </c>
      <c r="W4603" t="str">
        <f t="shared" si="718"/>
        <v/>
      </c>
      <c r="X4603">
        <f>IF($T4603="",N($X4602),IF(MATCH($T4603,$T$6:$T$10005,0)=ROW()-5,N($X4602)+1,N($X4602)))</f>
        <v>0</v>
      </c>
      <c r="Z4603" t="str">
        <f t="shared" si="719"/>
        <v/>
      </c>
      <c r="AA4603">
        <f>IF($V4603="",N($AA4602),IF(MATCH($V4603,$V$6:$V$10005,0)=ROW()-5,N($AA4602)+1,N($AA4602)))</f>
        <v>0</v>
      </c>
    </row>
    <row r="4604" spans="1:27" ht="21" customHeight="1" x14ac:dyDescent="0.95">
      <c r="A4604" s="56"/>
      <c r="B4604" s="57"/>
      <c r="C4604" s="57"/>
      <c r="D4604" s="57"/>
      <c r="E4604" s="56"/>
      <c r="F4604" s="57"/>
      <c r="G4604" s="57"/>
      <c r="H4604" s="56"/>
      <c r="I4604" s="56"/>
      <c r="J4604" s="58"/>
      <c r="K4604" s="58"/>
      <c r="L4604" s="13" t="str">
        <f t="shared" si="710"/>
        <v/>
      </c>
      <c r="M4604" s="13" t="str">
        <f t="shared" si="711"/>
        <v/>
      </c>
      <c r="Q4604" t="str">
        <f t="shared" si="712"/>
        <v/>
      </c>
      <c r="R4604" t="str">
        <f t="shared" si="713"/>
        <v/>
      </c>
      <c r="S4604" t="str">
        <f t="shared" si="714"/>
        <v/>
      </c>
      <c r="T4604" t="str">
        <f t="shared" si="715"/>
        <v/>
      </c>
      <c r="U4604" t="str">
        <f t="shared" si="716"/>
        <v/>
      </c>
      <c r="V4604" t="str">
        <f t="shared" si="717"/>
        <v/>
      </c>
      <c r="W4604" t="str">
        <f t="shared" si="718"/>
        <v/>
      </c>
      <c r="X4604">
        <f>IF($T4604="",N($X4603),IF(MATCH($T4604,$T$6:$T$10005,0)=ROW()-5,N($X4603)+1,N($X4603)))</f>
        <v>0</v>
      </c>
      <c r="Z4604" t="str">
        <f t="shared" si="719"/>
        <v/>
      </c>
      <c r="AA4604">
        <f>IF($V4604="",N($AA4603),IF(MATCH($V4604,$V$6:$V$10005,0)=ROW()-5,N($AA4603)+1,N($AA4603)))</f>
        <v>0</v>
      </c>
    </row>
    <row r="4605" spans="1:27" ht="21" customHeight="1" x14ac:dyDescent="0.95">
      <c r="A4605" s="56"/>
      <c r="B4605" s="57"/>
      <c r="C4605" s="57"/>
      <c r="D4605" s="57"/>
      <c r="E4605" s="56"/>
      <c r="F4605" s="57"/>
      <c r="G4605" s="57"/>
      <c r="H4605" s="56"/>
      <c r="I4605" s="56"/>
      <c r="J4605" s="58"/>
      <c r="K4605" s="58"/>
      <c r="L4605" s="13" t="str">
        <f t="shared" si="710"/>
        <v/>
      </c>
      <c r="M4605" s="13" t="str">
        <f t="shared" si="711"/>
        <v/>
      </c>
      <c r="Q4605" t="str">
        <f t="shared" si="712"/>
        <v/>
      </c>
      <c r="R4605" t="str">
        <f t="shared" si="713"/>
        <v/>
      </c>
      <c r="S4605" t="str">
        <f t="shared" si="714"/>
        <v/>
      </c>
      <c r="T4605" t="str">
        <f t="shared" si="715"/>
        <v/>
      </c>
      <c r="U4605" t="str">
        <f t="shared" si="716"/>
        <v/>
      </c>
      <c r="V4605" t="str">
        <f t="shared" si="717"/>
        <v/>
      </c>
      <c r="W4605" t="str">
        <f t="shared" si="718"/>
        <v/>
      </c>
      <c r="X4605">
        <f>IF($T4605="",N($X4604),IF(MATCH($T4605,$T$6:$T$10005,0)=ROW()-5,N($X4604)+1,N($X4604)))</f>
        <v>0</v>
      </c>
      <c r="Z4605" t="str">
        <f t="shared" si="719"/>
        <v/>
      </c>
      <c r="AA4605">
        <f>IF($V4605="",N($AA4604),IF(MATCH($V4605,$V$6:$V$10005,0)=ROW()-5,N($AA4604)+1,N($AA4604)))</f>
        <v>0</v>
      </c>
    </row>
    <row r="4606" spans="1:27" ht="21" customHeight="1" x14ac:dyDescent="0.95">
      <c r="A4606" s="56"/>
      <c r="B4606" s="57"/>
      <c r="C4606" s="57"/>
      <c r="D4606" s="57"/>
      <c r="E4606" s="56"/>
      <c r="F4606" s="57"/>
      <c r="G4606" s="57"/>
      <c r="H4606" s="56"/>
      <c r="I4606" s="56"/>
      <c r="J4606" s="58"/>
      <c r="K4606" s="58"/>
      <c r="L4606" s="13" t="str">
        <f t="shared" si="710"/>
        <v/>
      </c>
      <c r="M4606" s="13" t="str">
        <f t="shared" si="711"/>
        <v/>
      </c>
      <c r="Q4606" t="str">
        <f t="shared" si="712"/>
        <v/>
      </c>
      <c r="R4606" t="str">
        <f t="shared" si="713"/>
        <v/>
      </c>
      <c r="S4606" t="str">
        <f t="shared" si="714"/>
        <v/>
      </c>
      <c r="T4606" t="str">
        <f t="shared" si="715"/>
        <v/>
      </c>
      <c r="U4606" t="str">
        <f t="shared" si="716"/>
        <v/>
      </c>
      <c r="V4606" t="str">
        <f t="shared" si="717"/>
        <v/>
      </c>
      <c r="W4606" t="str">
        <f t="shared" si="718"/>
        <v/>
      </c>
      <c r="X4606">
        <f>IF($T4606="",N($X4605),IF(MATCH($T4606,$T$6:$T$10005,0)=ROW()-5,N($X4605)+1,N($X4605)))</f>
        <v>0</v>
      </c>
      <c r="Z4606" t="str">
        <f t="shared" si="719"/>
        <v/>
      </c>
      <c r="AA4606">
        <f>IF($V4606="",N($AA4605),IF(MATCH($V4606,$V$6:$V$10005,0)=ROW()-5,N($AA4605)+1,N($AA4605)))</f>
        <v>0</v>
      </c>
    </row>
    <row r="4607" spans="1:27" ht="21" customHeight="1" x14ac:dyDescent="0.95">
      <c r="A4607" s="56"/>
      <c r="B4607" s="57"/>
      <c r="C4607" s="57"/>
      <c r="D4607" s="57"/>
      <c r="E4607" s="56"/>
      <c r="F4607" s="57"/>
      <c r="G4607" s="57"/>
      <c r="H4607" s="56"/>
      <c r="I4607" s="56"/>
      <c r="J4607" s="58"/>
      <c r="K4607" s="58"/>
      <c r="L4607" s="13" t="str">
        <f t="shared" si="710"/>
        <v/>
      </c>
      <c r="M4607" s="13" t="str">
        <f t="shared" si="711"/>
        <v/>
      </c>
      <c r="Q4607" t="str">
        <f t="shared" si="712"/>
        <v/>
      </c>
      <c r="R4607" t="str">
        <f t="shared" si="713"/>
        <v/>
      </c>
      <c r="S4607" t="str">
        <f t="shared" si="714"/>
        <v/>
      </c>
      <c r="T4607" t="str">
        <f t="shared" si="715"/>
        <v/>
      </c>
      <c r="U4607" t="str">
        <f t="shared" si="716"/>
        <v/>
      </c>
      <c r="V4607" t="str">
        <f t="shared" si="717"/>
        <v/>
      </c>
      <c r="W4607" t="str">
        <f t="shared" si="718"/>
        <v/>
      </c>
      <c r="X4607">
        <f>IF($T4607="",N($X4606),IF(MATCH($T4607,$T$6:$T$10005,0)=ROW()-5,N($X4606)+1,N($X4606)))</f>
        <v>0</v>
      </c>
      <c r="Z4607" t="str">
        <f t="shared" si="719"/>
        <v/>
      </c>
      <c r="AA4607">
        <f>IF($V4607="",N($AA4606),IF(MATCH($V4607,$V$6:$V$10005,0)=ROW()-5,N($AA4606)+1,N($AA4606)))</f>
        <v>0</v>
      </c>
    </row>
    <row r="4608" spans="1:27" ht="21" customHeight="1" x14ac:dyDescent="0.95">
      <c r="A4608" s="56"/>
      <c r="B4608" s="57"/>
      <c r="C4608" s="57"/>
      <c r="D4608" s="57"/>
      <c r="E4608" s="56"/>
      <c r="F4608" s="57"/>
      <c r="G4608" s="57"/>
      <c r="H4608" s="56"/>
      <c r="I4608" s="56"/>
      <c r="J4608" s="58"/>
      <c r="K4608" s="58"/>
      <c r="L4608" s="13" t="str">
        <f t="shared" si="710"/>
        <v/>
      </c>
      <c r="M4608" s="13" t="str">
        <f t="shared" si="711"/>
        <v/>
      </c>
      <c r="Q4608" t="str">
        <f t="shared" si="712"/>
        <v/>
      </c>
      <c r="R4608" t="str">
        <f t="shared" si="713"/>
        <v/>
      </c>
      <c r="S4608" t="str">
        <f t="shared" si="714"/>
        <v/>
      </c>
      <c r="T4608" t="str">
        <f t="shared" si="715"/>
        <v/>
      </c>
      <c r="U4608" t="str">
        <f t="shared" si="716"/>
        <v/>
      </c>
      <c r="V4608" t="str">
        <f t="shared" si="717"/>
        <v/>
      </c>
      <c r="W4608" t="str">
        <f t="shared" si="718"/>
        <v/>
      </c>
      <c r="X4608">
        <f>IF($T4608="",N($X4607),IF(MATCH($T4608,$T$6:$T$10005,0)=ROW()-5,N($X4607)+1,N($X4607)))</f>
        <v>0</v>
      </c>
      <c r="Z4608" t="str">
        <f t="shared" si="719"/>
        <v/>
      </c>
      <c r="AA4608">
        <f>IF($V4608="",N($AA4607),IF(MATCH($V4608,$V$6:$V$10005,0)=ROW()-5,N($AA4607)+1,N($AA4607)))</f>
        <v>0</v>
      </c>
    </row>
    <row r="4609" spans="1:27" ht="21" customHeight="1" x14ac:dyDescent="0.95">
      <c r="A4609" s="56"/>
      <c r="B4609" s="57"/>
      <c r="C4609" s="57"/>
      <c r="D4609" s="57"/>
      <c r="E4609" s="56"/>
      <c r="F4609" s="57"/>
      <c r="G4609" s="57"/>
      <c r="H4609" s="56"/>
      <c r="I4609" s="56"/>
      <c r="J4609" s="58"/>
      <c r="K4609" s="58"/>
      <c r="L4609" s="13" t="str">
        <f t="shared" si="710"/>
        <v/>
      </c>
      <c r="M4609" s="13" t="str">
        <f t="shared" si="711"/>
        <v/>
      </c>
      <c r="Q4609" t="str">
        <f t="shared" si="712"/>
        <v/>
      </c>
      <c r="R4609" t="str">
        <f t="shared" si="713"/>
        <v/>
      </c>
      <c r="S4609" t="str">
        <f t="shared" si="714"/>
        <v/>
      </c>
      <c r="T4609" t="str">
        <f t="shared" si="715"/>
        <v/>
      </c>
      <c r="U4609" t="str">
        <f t="shared" si="716"/>
        <v/>
      </c>
      <c r="V4609" t="str">
        <f t="shared" si="717"/>
        <v/>
      </c>
      <c r="W4609" t="str">
        <f t="shared" si="718"/>
        <v/>
      </c>
      <c r="X4609">
        <f>IF($T4609="",N($X4608),IF(MATCH($T4609,$T$6:$T$10005,0)=ROW()-5,N($X4608)+1,N($X4608)))</f>
        <v>0</v>
      </c>
      <c r="Z4609" t="str">
        <f t="shared" si="719"/>
        <v/>
      </c>
      <c r="AA4609">
        <f>IF($V4609="",N($AA4608),IF(MATCH($V4609,$V$6:$V$10005,0)=ROW()-5,N($AA4608)+1,N($AA4608)))</f>
        <v>0</v>
      </c>
    </row>
    <row r="4610" spans="1:27" ht="21" customHeight="1" x14ac:dyDescent="0.95">
      <c r="A4610" s="56"/>
      <c r="B4610" s="57"/>
      <c r="C4610" s="57"/>
      <c r="D4610" s="57"/>
      <c r="E4610" s="56"/>
      <c r="F4610" s="57"/>
      <c r="G4610" s="57"/>
      <c r="H4610" s="56"/>
      <c r="I4610" s="56"/>
      <c r="J4610" s="58"/>
      <c r="K4610" s="58"/>
      <c r="L4610" s="13" t="str">
        <f t="shared" si="710"/>
        <v/>
      </c>
      <c r="M4610" s="13" t="str">
        <f t="shared" si="711"/>
        <v/>
      </c>
      <c r="Q4610" t="str">
        <f t="shared" si="712"/>
        <v/>
      </c>
      <c r="R4610" t="str">
        <f t="shared" si="713"/>
        <v/>
      </c>
      <c r="S4610" t="str">
        <f t="shared" si="714"/>
        <v/>
      </c>
      <c r="T4610" t="str">
        <f t="shared" si="715"/>
        <v/>
      </c>
      <c r="U4610" t="str">
        <f t="shared" si="716"/>
        <v/>
      </c>
      <c r="V4610" t="str">
        <f t="shared" si="717"/>
        <v/>
      </c>
      <c r="W4610" t="str">
        <f t="shared" si="718"/>
        <v/>
      </c>
      <c r="X4610">
        <f>IF($T4610="",N($X4609),IF(MATCH($T4610,$T$6:$T$10005,0)=ROW()-5,N($X4609)+1,N($X4609)))</f>
        <v>0</v>
      </c>
      <c r="Z4610" t="str">
        <f t="shared" si="719"/>
        <v/>
      </c>
      <c r="AA4610">
        <f>IF($V4610="",N($AA4609),IF(MATCH($V4610,$V$6:$V$10005,0)=ROW()-5,N($AA4609)+1,N($AA4609)))</f>
        <v>0</v>
      </c>
    </row>
    <row r="4611" spans="1:27" ht="21" customHeight="1" x14ac:dyDescent="0.95">
      <c r="A4611" s="56"/>
      <c r="B4611" s="57"/>
      <c r="C4611" s="57"/>
      <c r="D4611" s="57"/>
      <c r="E4611" s="56"/>
      <c r="F4611" s="57"/>
      <c r="G4611" s="57"/>
      <c r="H4611" s="56"/>
      <c r="I4611" s="56"/>
      <c r="J4611" s="58"/>
      <c r="K4611" s="58"/>
      <c r="L4611" s="13" t="str">
        <f t="shared" si="710"/>
        <v/>
      </c>
      <c r="M4611" s="13" t="str">
        <f t="shared" si="711"/>
        <v/>
      </c>
      <c r="Q4611" t="str">
        <f t="shared" si="712"/>
        <v/>
      </c>
      <c r="R4611" t="str">
        <f t="shared" si="713"/>
        <v/>
      </c>
      <c r="S4611" t="str">
        <f t="shared" si="714"/>
        <v/>
      </c>
      <c r="T4611" t="str">
        <f t="shared" si="715"/>
        <v/>
      </c>
      <c r="U4611" t="str">
        <f t="shared" si="716"/>
        <v/>
      </c>
      <c r="V4611" t="str">
        <f t="shared" si="717"/>
        <v/>
      </c>
      <c r="W4611" t="str">
        <f t="shared" si="718"/>
        <v/>
      </c>
      <c r="X4611">
        <f>IF($T4611="",N($X4610),IF(MATCH($T4611,$T$6:$T$10005,0)=ROW()-5,N($X4610)+1,N($X4610)))</f>
        <v>0</v>
      </c>
      <c r="Z4611" t="str">
        <f t="shared" si="719"/>
        <v/>
      </c>
      <c r="AA4611">
        <f>IF($V4611="",N($AA4610),IF(MATCH($V4611,$V$6:$V$10005,0)=ROW()-5,N($AA4610)+1,N($AA4610)))</f>
        <v>0</v>
      </c>
    </row>
    <row r="4612" spans="1:27" ht="21" customHeight="1" x14ac:dyDescent="0.95">
      <c r="A4612" s="56"/>
      <c r="B4612" s="57"/>
      <c r="C4612" s="57"/>
      <c r="D4612" s="57"/>
      <c r="E4612" s="56"/>
      <c r="F4612" s="57"/>
      <c r="G4612" s="57"/>
      <c r="H4612" s="56"/>
      <c r="I4612" s="56"/>
      <c r="J4612" s="58"/>
      <c r="K4612" s="58"/>
      <c r="L4612" s="13" t="str">
        <f t="shared" si="710"/>
        <v/>
      </c>
      <c r="M4612" s="13" t="str">
        <f t="shared" si="711"/>
        <v/>
      </c>
      <c r="Q4612" t="str">
        <f t="shared" si="712"/>
        <v/>
      </c>
      <c r="R4612" t="str">
        <f t="shared" si="713"/>
        <v/>
      </c>
      <c r="S4612" t="str">
        <f t="shared" si="714"/>
        <v/>
      </c>
      <c r="T4612" t="str">
        <f t="shared" si="715"/>
        <v/>
      </c>
      <c r="U4612" t="str">
        <f t="shared" si="716"/>
        <v/>
      </c>
      <c r="V4612" t="str">
        <f t="shared" si="717"/>
        <v/>
      </c>
      <c r="W4612" t="str">
        <f t="shared" si="718"/>
        <v/>
      </c>
      <c r="X4612">
        <f>IF($T4612="",N($X4611),IF(MATCH($T4612,$T$6:$T$10005,0)=ROW()-5,N($X4611)+1,N($X4611)))</f>
        <v>0</v>
      </c>
      <c r="Z4612" t="str">
        <f t="shared" si="719"/>
        <v/>
      </c>
      <c r="AA4612">
        <f>IF($V4612="",N($AA4611),IF(MATCH($V4612,$V$6:$V$10005,0)=ROW()-5,N($AA4611)+1,N($AA4611)))</f>
        <v>0</v>
      </c>
    </row>
    <row r="4613" spans="1:27" ht="21" customHeight="1" x14ac:dyDescent="0.95">
      <c r="A4613" s="56"/>
      <c r="B4613" s="57"/>
      <c r="C4613" s="57"/>
      <c r="D4613" s="57"/>
      <c r="E4613" s="56"/>
      <c r="F4613" s="57"/>
      <c r="G4613" s="57"/>
      <c r="H4613" s="56"/>
      <c r="I4613" s="56"/>
      <c r="J4613" s="58"/>
      <c r="K4613" s="58"/>
      <c r="L4613" s="13" t="str">
        <f t="shared" si="710"/>
        <v/>
      </c>
      <c r="M4613" s="13" t="str">
        <f t="shared" si="711"/>
        <v/>
      </c>
      <c r="Q4613" t="str">
        <f t="shared" si="712"/>
        <v/>
      </c>
      <c r="R4613" t="str">
        <f t="shared" si="713"/>
        <v/>
      </c>
      <c r="S4613" t="str">
        <f t="shared" si="714"/>
        <v/>
      </c>
      <c r="T4613" t="str">
        <f t="shared" si="715"/>
        <v/>
      </c>
      <c r="U4613" t="str">
        <f t="shared" si="716"/>
        <v/>
      </c>
      <c r="V4613" t="str">
        <f t="shared" si="717"/>
        <v/>
      </c>
      <c r="W4613" t="str">
        <f t="shared" si="718"/>
        <v/>
      </c>
      <c r="X4613">
        <f>IF($T4613="",N($X4612),IF(MATCH($T4613,$T$6:$T$10005,0)=ROW()-5,N($X4612)+1,N($X4612)))</f>
        <v>0</v>
      </c>
      <c r="Z4613" t="str">
        <f t="shared" si="719"/>
        <v/>
      </c>
      <c r="AA4613">
        <f>IF($V4613="",N($AA4612),IF(MATCH($V4613,$V$6:$V$10005,0)=ROW()-5,N($AA4612)+1,N($AA4612)))</f>
        <v>0</v>
      </c>
    </row>
    <row r="4614" spans="1:27" ht="21" customHeight="1" x14ac:dyDescent="0.95">
      <c r="A4614" s="56"/>
      <c r="B4614" s="57"/>
      <c r="C4614" s="57"/>
      <c r="D4614" s="57"/>
      <c r="E4614" s="56"/>
      <c r="F4614" s="57"/>
      <c r="G4614" s="57"/>
      <c r="H4614" s="56"/>
      <c r="I4614" s="56"/>
      <c r="J4614" s="58"/>
      <c r="K4614" s="58"/>
      <c r="L4614" s="13" t="str">
        <f t="shared" ref="L4614:L4677" si="720">IF(OR($A4614="",AND($J4614="",$K4614="")),"",ROUND(N($J4614)-N($K4614),2))</f>
        <v/>
      </c>
      <c r="M4614" s="13" t="str">
        <f t="shared" ref="M4614:M4677" si="721">IF(OR($A4614="",AND($J4614="",$K4614="")),"",MIN($J4614,$K4614))</f>
        <v/>
      </c>
      <c r="Q4614" t="str">
        <f t="shared" ref="Q4614:Q4677" si="722">IF($A4614="","",$D4614&amp;"("&amp;SUBSTITUTE($E4614," ","")&amp;")")</f>
        <v/>
      </c>
      <c r="R4614" t="str">
        <f t="shared" ref="R4614:R4677" si="723">IF($A4614="","",$B4614&amp;" - "&amp;$C4614)</f>
        <v/>
      </c>
      <c r="S4614" t="str">
        <f t="shared" ref="S4614:S4677" si="724">IF($A4614="","",$R4614&amp;"|"&amp;$Q4614)</f>
        <v/>
      </c>
      <c r="T4614" t="str">
        <f t="shared" ref="T4614:T4677" si="725">IF($A4614="","",$S4614&amp;"|"&amp;$F4614)</f>
        <v/>
      </c>
      <c r="U4614" t="str">
        <f t="shared" ref="U4614:U4677" si="726">IF($A4614="","",$R4614&amp;"("&amp;$E4614&amp;")")</f>
        <v/>
      </c>
      <c r="V4614" t="str">
        <f t="shared" ref="V4614:V4677" si="727">IF($A4614="","",$F4614&amp;"|"&amp;$U4614&amp;"|"&amp;$D4614)</f>
        <v/>
      </c>
      <c r="W4614" t="str">
        <f t="shared" ref="W4614:W4677" si="728">IF($T4614="","",IF($X4614&gt;N($X4613),$X4614,""))</f>
        <v/>
      </c>
      <c r="X4614">
        <f>IF($T4614="",N($X4613),IF(MATCH($T4614,$T$6:$T$10005,0)=ROW()-5,N($X4613)+1,N($X4613)))</f>
        <v>0</v>
      </c>
      <c r="Z4614" t="str">
        <f t="shared" ref="Z4614:Z4677" si="729">IF($V4614="","",IF($AA4614&gt;N($AA4613),$AA4614,""))</f>
        <v/>
      </c>
      <c r="AA4614">
        <f>IF($V4614="",N($AA4613),IF(MATCH($V4614,$V$6:$V$10005,0)=ROW()-5,N($AA4613)+1,N($AA4613)))</f>
        <v>0</v>
      </c>
    </row>
    <row r="4615" spans="1:27" ht="21" customHeight="1" x14ac:dyDescent="0.95">
      <c r="A4615" s="56"/>
      <c r="B4615" s="57"/>
      <c r="C4615" s="57"/>
      <c r="D4615" s="57"/>
      <c r="E4615" s="56"/>
      <c r="F4615" s="57"/>
      <c r="G4615" s="57"/>
      <c r="H4615" s="56"/>
      <c r="I4615" s="56"/>
      <c r="J4615" s="58"/>
      <c r="K4615" s="58"/>
      <c r="L4615" s="13" t="str">
        <f t="shared" si="720"/>
        <v/>
      </c>
      <c r="M4615" s="13" t="str">
        <f t="shared" si="721"/>
        <v/>
      </c>
      <c r="Q4615" t="str">
        <f t="shared" si="722"/>
        <v/>
      </c>
      <c r="R4615" t="str">
        <f t="shared" si="723"/>
        <v/>
      </c>
      <c r="S4615" t="str">
        <f t="shared" si="724"/>
        <v/>
      </c>
      <c r="T4615" t="str">
        <f t="shared" si="725"/>
        <v/>
      </c>
      <c r="U4615" t="str">
        <f t="shared" si="726"/>
        <v/>
      </c>
      <c r="V4615" t="str">
        <f t="shared" si="727"/>
        <v/>
      </c>
      <c r="W4615" t="str">
        <f t="shared" si="728"/>
        <v/>
      </c>
      <c r="X4615">
        <f>IF($T4615="",N($X4614),IF(MATCH($T4615,$T$6:$T$10005,0)=ROW()-5,N($X4614)+1,N($X4614)))</f>
        <v>0</v>
      </c>
      <c r="Z4615" t="str">
        <f t="shared" si="729"/>
        <v/>
      </c>
      <c r="AA4615">
        <f>IF($V4615="",N($AA4614),IF(MATCH($V4615,$V$6:$V$10005,0)=ROW()-5,N($AA4614)+1,N($AA4614)))</f>
        <v>0</v>
      </c>
    </row>
    <row r="4616" spans="1:27" ht="21" customHeight="1" x14ac:dyDescent="0.95">
      <c r="A4616" s="56"/>
      <c r="B4616" s="57"/>
      <c r="C4616" s="57"/>
      <c r="D4616" s="57"/>
      <c r="E4616" s="56"/>
      <c r="F4616" s="57"/>
      <c r="G4616" s="57"/>
      <c r="H4616" s="56"/>
      <c r="I4616" s="56"/>
      <c r="J4616" s="58"/>
      <c r="K4616" s="58"/>
      <c r="L4616" s="13" t="str">
        <f t="shared" si="720"/>
        <v/>
      </c>
      <c r="M4616" s="13" t="str">
        <f t="shared" si="721"/>
        <v/>
      </c>
      <c r="Q4616" t="str">
        <f t="shared" si="722"/>
        <v/>
      </c>
      <c r="R4616" t="str">
        <f t="shared" si="723"/>
        <v/>
      </c>
      <c r="S4616" t="str">
        <f t="shared" si="724"/>
        <v/>
      </c>
      <c r="T4616" t="str">
        <f t="shared" si="725"/>
        <v/>
      </c>
      <c r="U4616" t="str">
        <f t="shared" si="726"/>
        <v/>
      </c>
      <c r="V4616" t="str">
        <f t="shared" si="727"/>
        <v/>
      </c>
      <c r="W4616" t="str">
        <f t="shared" si="728"/>
        <v/>
      </c>
      <c r="X4616">
        <f>IF($T4616="",N($X4615),IF(MATCH($T4616,$T$6:$T$10005,0)=ROW()-5,N($X4615)+1,N($X4615)))</f>
        <v>0</v>
      </c>
      <c r="Z4616" t="str">
        <f t="shared" si="729"/>
        <v/>
      </c>
      <c r="AA4616">
        <f>IF($V4616="",N($AA4615),IF(MATCH($V4616,$V$6:$V$10005,0)=ROW()-5,N($AA4615)+1,N($AA4615)))</f>
        <v>0</v>
      </c>
    </row>
    <row r="4617" spans="1:27" ht="21" customHeight="1" x14ac:dyDescent="0.95">
      <c r="A4617" s="56"/>
      <c r="B4617" s="57"/>
      <c r="C4617" s="57"/>
      <c r="D4617" s="57"/>
      <c r="E4617" s="56"/>
      <c r="F4617" s="57"/>
      <c r="G4617" s="57"/>
      <c r="H4617" s="56"/>
      <c r="I4617" s="56"/>
      <c r="J4617" s="58"/>
      <c r="K4617" s="58"/>
      <c r="L4617" s="13" t="str">
        <f t="shared" si="720"/>
        <v/>
      </c>
      <c r="M4617" s="13" t="str">
        <f t="shared" si="721"/>
        <v/>
      </c>
      <c r="Q4617" t="str">
        <f t="shared" si="722"/>
        <v/>
      </c>
      <c r="R4617" t="str">
        <f t="shared" si="723"/>
        <v/>
      </c>
      <c r="S4617" t="str">
        <f t="shared" si="724"/>
        <v/>
      </c>
      <c r="T4617" t="str">
        <f t="shared" si="725"/>
        <v/>
      </c>
      <c r="U4617" t="str">
        <f t="shared" si="726"/>
        <v/>
      </c>
      <c r="V4617" t="str">
        <f t="shared" si="727"/>
        <v/>
      </c>
      <c r="W4617" t="str">
        <f t="shared" si="728"/>
        <v/>
      </c>
      <c r="X4617">
        <f>IF($T4617="",N($X4616),IF(MATCH($T4617,$T$6:$T$10005,0)=ROW()-5,N($X4616)+1,N($X4616)))</f>
        <v>0</v>
      </c>
      <c r="Z4617" t="str">
        <f t="shared" si="729"/>
        <v/>
      </c>
      <c r="AA4617">
        <f>IF($V4617="",N($AA4616),IF(MATCH($V4617,$V$6:$V$10005,0)=ROW()-5,N($AA4616)+1,N($AA4616)))</f>
        <v>0</v>
      </c>
    </row>
    <row r="4618" spans="1:27" ht="21" customHeight="1" x14ac:dyDescent="0.95">
      <c r="A4618" s="56"/>
      <c r="B4618" s="57"/>
      <c r="C4618" s="57"/>
      <c r="D4618" s="57"/>
      <c r="E4618" s="56"/>
      <c r="F4618" s="57"/>
      <c r="G4618" s="57"/>
      <c r="H4618" s="56"/>
      <c r="I4618" s="56"/>
      <c r="J4618" s="58"/>
      <c r="K4618" s="58"/>
      <c r="L4618" s="13" t="str">
        <f t="shared" si="720"/>
        <v/>
      </c>
      <c r="M4618" s="13" t="str">
        <f t="shared" si="721"/>
        <v/>
      </c>
      <c r="Q4618" t="str">
        <f t="shared" si="722"/>
        <v/>
      </c>
      <c r="R4618" t="str">
        <f t="shared" si="723"/>
        <v/>
      </c>
      <c r="S4618" t="str">
        <f t="shared" si="724"/>
        <v/>
      </c>
      <c r="T4618" t="str">
        <f t="shared" si="725"/>
        <v/>
      </c>
      <c r="U4618" t="str">
        <f t="shared" si="726"/>
        <v/>
      </c>
      <c r="V4618" t="str">
        <f t="shared" si="727"/>
        <v/>
      </c>
      <c r="W4618" t="str">
        <f t="shared" si="728"/>
        <v/>
      </c>
      <c r="X4618">
        <f>IF($T4618="",N($X4617),IF(MATCH($T4618,$T$6:$T$10005,0)=ROW()-5,N($X4617)+1,N($X4617)))</f>
        <v>0</v>
      </c>
      <c r="Z4618" t="str">
        <f t="shared" si="729"/>
        <v/>
      </c>
      <c r="AA4618">
        <f>IF($V4618="",N($AA4617),IF(MATCH($V4618,$V$6:$V$10005,0)=ROW()-5,N($AA4617)+1,N($AA4617)))</f>
        <v>0</v>
      </c>
    </row>
    <row r="4619" spans="1:27" ht="21" customHeight="1" x14ac:dyDescent="0.95">
      <c r="A4619" s="56"/>
      <c r="B4619" s="57"/>
      <c r="C4619" s="57"/>
      <c r="D4619" s="57"/>
      <c r="E4619" s="56"/>
      <c r="F4619" s="57"/>
      <c r="G4619" s="57"/>
      <c r="H4619" s="56"/>
      <c r="I4619" s="56"/>
      <c r="J4619" s="58"/>
      <c r="K4619" s="58"/>
      <c r="L4619" s="13" t="str">
        <f t="shared" si="720"/>
        <v/>
      </c>
      <c r="M4619" s="13" t="str">
        <f t="shared" si="721"/>
        <v/>
      </c>
      <c r="Q4619" t="str">
        <f t="shared" si="722"/>
        <v/>
      </c>
      <c r="R4619" t="str">
        <f t="shared" si="723"/>
        <v/>
      </c>
      <c r="S4619" t="str">
        <f t="shared" si="724"/>
        <v/>
      </c>
      <c r="T4619" t="str">
        <f t="shared" si="725"/>
        <v/>
      </c>
      <c r="U4619" t="str">
        <f t="shared" si="726"/>
        <v/>
      </c>
      <c r="V4619" t="str">
        <f t="shared" si="727"/>
        <v/>
      </c>
      <c r="W4619" t="str">
        <f t="shared" si="728"/>
        <v/>
      </c>
      <c r="X4619">
        <f>IF($T4619="",N($X4618),IF(MATCH($T4619,$T$6:$T$10005,0)=ROW()-5,N($X4618)+1,N($X4618)))</f>
        <v>0</v>
      </c>
      <c r="Z4619" t="str">
        <f t="shared" si="729"/>
        <v/>
      </c>
      <c r="AA4619">
        <f>IF($V4619="",N($AA4618),IF(MATCH($V4619,$V$6:$V$10005,0)=ROW()-5,N($AA4618)+1,N($AA4618)))</f>
        <v>0</v>
      </c>
    </row>
    <row r="4620" spans="1:27" ht="21" customHeight="1" x14ac:dyDescent="0.95">
      <c r="A4620" s="56"/>
      <c r="B4620" s="57"/>
      <c r="C4620" s="57"/>
      <c r="D4620" s="57"/>
      <c r="E4620" s="56"/>
      <c r="F4620" s="57"/>
      <c r="G4620" s="57"/>
      <c r="H4620" s="56"/>
      <c r="I4620" s="56"/>
      <c r="J4620" s="58"/>
      <c r="K4620" s="58"/>
      <c r="L4620" s="13" t="str">
        <f t="shared" si="720"/>
        <v/>
      </c>
      <c r="M4620" s="13" t="str">
        <f t="shared" si="721"/>
        <v/>
      </c>
      <c r="Q4620" t="str">
        <f t="shared" si="722"/>
        <v/>
      </c>
      <c r="R4620" t="str">
        <f t="shared" si="723"/>
        <v/>
      </c>
      <c r="S4620" t="str">
        <f t="shared" si="724"/>
        <v/>
      </c>
      <c r="T4620" t="str">
        <f t="shared" si="725"/>
        <v/>
      </c>
      <c r="U4620" t="str">
        <f t="shared" si="726"/>
        <v/>
      </c>
      <c r="V4620" t="str">
        <f t="shared" si="727"/>
        <v/>
      </c>
      <c r="W4620" t="str">
        <f t="shared" si="728"/>
        <v/>
      </c>
      <c r="X4620">
        <f>IF($T4620="",N($X4619),IF(MATCH($T4620,$T$6:$T$10005,0)=ROW()-5,N($X4619)+1,N($X4619)))</f>
        <v>0</v>
      </c>
      <c r="Z4620" t="str">
        <f t="shared" si="729"/>
        <v/>
      </c>
      <c r="AA4620">
        <f>IF($V4620="",N($AA4619),IF(MATCH($V4620,$V$6:$V$10005,0)=ROW()-5,N($AA4619)+1,N($AA4619)))</f>
        <v>0</v>
      </c>
    </row>
    <row r="4621" spans="1:27" ht="21" customHeight="1" x14ac:dyDescent="0.95">
      <c r="A4621" s="56"/>
      <c r="B4621" s="57"/>
      <c r="C4621" s="57"/>
      <c r="D4621" s="57"/>
      <c r="E4621" s="56"/>
      <c r="F4621" s="57"/>
      <c r="G4621" s="57"/>
      <c r="H4621" s="56"/>
      <c r="I4621" s="56"/>
      <c r="J4621" s="58"/>
      <c r="K4621" s="58"/>
      <c r="L4621" s="13" t="str">
        <f t="shared" si="720"/>
        <v/>
      </c>
      <c r="M4621" s="13" t="str">
        <f t="shared" si="721"/>
        <v/>
      </c>
      <c r="Q4621" t="str">
        <f t="shared" si="722"/>
        <v/>
      </c>
      <c r="R4621" t="str">
        <f t="shared" si="723"/>
        <v/>
      </c>
      <c r="S4621" t="str">
        <f t="shared" si="724"/>
        <v/>
      </c>
      <c r="T4621" t="str">
        <f t="shared" si="725"/>
        <v/>
      </c>
      <c r="U4621" t="str">
        <f t="shared" si="726"/>
        <v/>
      </c>
      <c r="V4621" t="str">
        <f t="shared" si="727"/>
        <v/>
      </c>
      <c r="W4621" t="str">
        <f t="shared" si="728"/>
        <v/>
      </c>
      <c r="X4621">
        <f>IF($T4621="",N($X4620),IF(MATCH($T4621,$T$6:$T$10005,0)=ROW()-5,N($X4620)+1,N($X4620)))</f>
        <v>0</v>
      </c>
      <c r="Z4621" t="str">
        <f t="shared" si="729"/>
        <v/>
      </c>
      <c r="AA4621">
        <f>IF($V4621="",N($AA4620),IF(MATCH($V4621,$V$6:$V$10005,0)=ROW()-5,N($AA4620)+1,N($AA4620)))</f>
        <v>0</v>
      </c>
    </row>
    <row r="4622" spans="1:27" ht="21" customHeight="1" x14ac:dyDescent="0.95">
      <c r="A4622" s="56"/>
      <c r="B4622" s="57"/>
      <c r="C4622" s="57"/>
      <c r="D4622" s="57"/>
      <c r="E4622" s="56"/>
      <c r="F4622" s="57"/>
      <c r="G4622" s="57"/>
      <c r="H4622" s="56"/>
      <c r="I4622" s="56"/>
      <c r="J4622" s="58"/>
      <c r="K4622" s="58"/>
      <c r="L4622" s="13" t="str">
        <f t="shared" si="720"/>
        <v/>
      </c>
      <c r="M4622" s="13" t="str">
        <f t="shared" si="721"/>
        <v/>
      </c>
      <c r="Q4622" t="str">
        <f t="shared" si="722"/>
        <v/>
      </c>
      <c r="R4622" t="str">
        <f t="shared" si="723"/>
        <v/>
      </c>
      <c r="S4622" t="str">
        <f t="shared" si="724"/>
        <v/>
      </c>
      <c r="T4622" t="str">
        <f t="shared" si="725"/>
        <v/>
      </c>
      <c r="U4622" t="str">
        <f t="shared" si="726"/>
        <v/>
      </c>
      <c r="V4622" t="str">
        <f t="shared" si="727"/>
        <v/>
      </c>
      <c r="W4622" t="str">
        <f t="shared" si="728"/>
        <v/>
      </c>
      <c r="X4622">
        <f>IF($T4622="",N($X4621),IF(MATCH($T4622,$T$6:$T$10005,0)=ROW()-5,N($X4621)+1,N($X4621)))</f>
        <v>0</v>
      </c>
      <c r="Z4622" t="str">
        <f t="shared" si="729"/>
        <v/>
      </c>
      <c r="AA4622">
        <f>IF($V4622="",N($AA4621),IF(MATCH($V4622,$V$6:$V$10005,0)=ROW()-5,N($AA4621)+1,N($AA4621)))</f>
        <v>0</v>
      </c>
    </row>
    <row r="4623" spans="1:27" ht="21" customHeight="1" x14ac:dyDescent="0.95">
      <c r="A4623" s="56"/>
      <c r="B4623" s="57"/>
      <c r="C4623" s="57"/>
      <c r="D4623" s="57"/>
      <c r="E4623" s="56"/>
      <c r="F4623" s="57"/>
      <c r="G4623" s="57"/>
      <c r="H4623" s="56"/>
      <c r="I4623" s="56"/>
      <c r="J4623" s="58"/>
      <c r="K4623" s="58"/>
      <c r="L4623" s="13" t="str">
        <f t="shared" si="720"/>
        <v/>
      </c>
      <c r="M4623" s="13" t="str">
        <f t="shared" si="721"/>
        <v/>
      </c>
      <c r="Q4623" t="str">
        <f t="shared" si="722"/>
        <v/>
      </c>
      <c r="R4623" t="str">
        <f t="shared" si="723"/>
        <v/>
      </c>
      <c r="S4623" t="str">
        <f t="shared" si="724"/>
        <v/>
      </c>
      <c r="T4623" t="str">
        <f t="shared" si="725"/>
        <v/>
      </c>
      <c r="U4623" t="str">
        <f t="shared" si="726"/>
        <v/>
      </c>
      <c r="V4623" t="str">
        <f t="shared" si="727"/>
        <v/>
      </c>
      <c r="W4623" t="str">
        <f t="shared" si="728"/>
        <v/>
      </c>
      <c r="X4623">
        <f>IF($T4623="",N($X4622),IF(MATCH($T4623,$T$6:$T$10005,0)=ROW()-5,N($X4622)+1,N($X4622)))</f>
        <v>0</v>
      </c>
      <c r="Z4623" t="str">
        <f t="shared" si="729"/>
        <v/>
      </c>
      <c r="AA4623">
        <f>IF($V4623="",N($AA4622),IF(MATCH($V4623,$V$6:$V$10005,0)=ROW()-5,N($AA4622)+1,N($AA4622)))</f>
        <v>0</v>
      </c>
    </row>
    <row r="4624" spans="1:27" ht="21" customHeight="1" x14ac:dyDescent="0.95">
      <c r="A4624" s="56"/>
      <c r="B4624" s="57"/>
      <c r="C4624" s="57"/>
      <c r="D4624" s="57"/>
      <c r="E4624" s="56"/>
      <c r="F4624" s="57"/>
      <c r="G4624" s="57"/>
      <c r="H4624" s="56"/>
      <c r="I4624" s="56"/>
      <c r="J4624" s="58"/>
      <c r="K4624" s="58"/>
      <c r="L4624" s="13" t="str">
        <f t="shared" si="720"/>
        <v/>
      </c>
      <c r="M4624" s="13" t="str">
        <f t="shared" si="721"/>
        <v/>
      </c>
      <c r="Q4624" t="str">
        <f t="shared" si="722"/>
        <v/>
      </c>
      <c r="R4624" t="str">
        <f t="shared" si="723"/>
        <v/>
      </c>
      <c r="S4624" t="str">
        <f t="shared" si="724"/>
        <v/>
      </c>
      <c r="T4624" t="str">
        <f t="shared" si="725"/>
        <v/>
      </c>
      <c r="U4624" t="str">
        <f t="shared" si="726"/>
        <v/>
      </c>
      <c r="V4624" t="str">
        <f t="shared" si="727"/>
        <v/>
      </c>
      <c r="W4624" t="str">
        <f t="shared" si="728"/>
        <v/>
      </c>
      <c r="X4624">
        <f>IF($T4624="",N($X4623),IF(MATCH($T4624,$T$6:$T$10005,0)=ROW()-5,N($X4623)+1,N($X4623)))</f>
        <v>0</v>
      </c>
      <c r="Z4624" t="str">
        <f t="shared" si="729"/>
        <v/>
      </c>
      <c r="AA4624">
        <f>IF($V4624="",N($AA4623),IF(MATCH($V4624,$V$6:$V$10005,0)=ROW()-5,N($AA4623)+1,N($AA4623)))</f>
        <v>0</v>
      </c>
    </row>
    <row r="4625" spans="1:27" ht="21" customHeight="1" x14ac:dyDescent="0.95">
      <c r="A4625" s="56"/>
      <c r="B4625" s="57"/>
      <c r="C4625" s="57"/>
      <c r="D4625" s="57"/>
      <c r="E4625" s="56"/>
      <c r="F4625" s="57"/>
      <c r="G4625" s="57"/>
      <c r="H4625" s="56"/>
      <c r="I4625" s="56"/>
      <c r="J4625" s="58"/>
      <c r="K4625" s="58"/>
      <c r="L4625" s="13" t="str">
        <f t="shared" si="720"/>
        <v/>
      </c>
      <c r="M4625" s="13" t="str">
        <f t="shared" si="721"/>
        <v/>
      </c>
      <c r="Q4625" t="str">
        <f t="shared" si="722"/>
        <v/>
      </c>
      <c r="R4625" t="str">
        <f t="shared" si="723"/>
        <v/>
      </c>
      <c r="S4625" t="str">
        <f t="shared" si="724"/>
        <v/>
      </c>
      <c r="T4625" t="str">
        <f t="shared" si="725"/>
        <v/>
      </c>
      <c r="U4625" t="str">
        <f t="shared" si="726"/>
        <v/>
      </c>
      <c r="V4625" t="str">
        <f t="shared" si="727"/>
        <v/>
      </c>
      <c r="W4625" t="str">
        <f t="shared" si="728"/>
        <v/>
      </c>
      <c r="X4625">
        <f>IF($T4625="",N($X4624),IF(MATCH($T4625,$T$6:$T$10005,0)=ROW()-5,N($X4624)+1,N($X4624)))</f>
        <v>0</v>
      </c>
      <c r="Z4625" t="str">
        <f t="shared" si="729"/>
        <v/>
      </c>
      <c r="AA4625">
        <f>IF($V4625="",N($AA4624),IF(MATCH($V4625,$V$6:$V$10005,0)=ROW()-5,N($AA4624)+1,N($AA4624)))</f>
        <v>0</v>
      </c>
    </row>
    <row r="4626" spans="1:27" ht="21" customHeight="1" x14ac:dyDescent="0.95">
      <c r="A4626" s="56"/>
      <c r="B4626" s="57"/>
      <c r="C4626" s="57"/>
      <c r="D4626" s="57"/>
      <c r="E4626" s="56"/>
      <c r="F4626" s="57"/>
      <c r="G4626" s="57"/>
      <c r="H4626" s="56"/>
      <c r="I4626" s="56"/>
      <c r="J4626" s="58"/>
      <c r="K4626" s="58"/>
      <c r="L4626" s="13" t="str">
        <f t="shared" si="720"/>
        <v/>
      </c>
      <c r="M4626" s="13" t="str">
        <f t="shared" si="721"/>
        <v/>
      </c>
      <c r="Q4626" t="str">
        <f t="shared" si="722"/>
        <v/>
      </c>
      <c r="R4626" t="str">
        <f t="shared" si="723"/>
        <v/>
      </c>
      <c r="S4626" t="str">
        <f t="shared" si="724"/>
        <v/>
      </c>
      <c r="T4626" t="str">
        <f t="shared" si="725"/>
        <v/>
      </c>
      <c r="U4626" t="str">
        <f t="shared" si="726"/>
        <v/>
      </c>
      <c r="V4626" t="str">
        <f t="shared" si="727"/>
        <v/>
      </c>
      <c r="W4626" t="str">
        <f t="shared" si="728"/>
        <v/>
      </c>
      <c r="X4626">
        <f>IF($T4626="",N($X4625),IF(MATCH($T4626,$T$6:$T$10005,0)=ROW()-5,N($X4625)+1,N($X4625)))</f>
        <v>0</v>
      </c>
      <c r="Z4626" t="str">
        <f t="shared" si="729"/>
        <v/>
      </c>
      <c r="AA4626">
        <f>IF($V4626="",N($AA4625),IF(MATCH($V4626,$V$6:$V$10005,0)=ROW()-5,N($AA4625)+1,N($AA4625)))</f>
        <v>0</v>
      </c>
    </row>
    <row r="4627" spans="1:27" ht="21" customHeight="1" x14ac:dyDescent="0.95">
      <c r="A4627" s="56"/>
      <c r="B4627" s="57"/>
      <c r="C4627" s="57"/>
      <c r="D4627" s="57"/>
      <c r="E4627" s="56"/>
      <c r="F4627" s="57"/>
      <c r="G4627" s="57"/>
      <c r="H4627" s="56"/>
      <c r="I4627" s="56"/>
      <c r="J4627" s="58"/>
      <c r="K4627" s="58"/>
      <c r="L4627" s="13" t="str">
        <f t="shared" si="720"/>
        <v/>
      </c>
      <c r="M4627" s="13" t="str">
        <f t="shared" si="721"/>
        <v/>
      </c>
      <c r="Q4627" t="str">
        <f t="shared" si="722"/>
        <v/>
      </c>
      <c r="R4627" t="str">
        <f t="shared" si="723"/>
        <v/>
      </c>
      <c r="S4627" t="str">
        <f t="shared" si="724"/>
        <v/>
      </c>
      <c r="T4627" t="str">
        <f t="shared" si="725"/>
        <v/>
      </c>
      <c r="U4627" t="str">
        <f t="shared" si="726"/>
        <v/>
      </c>
      <c r="V4627" t="str">
        <f t="shared" si="727"/>
        <v/>
      </c>
      <c r="W4627" t="str">
        <f t="shared" si="728"/>
        <v/>
      </c>
      <c r="X4627">
        <f>IF($T4627="",N($X4626),IF(MATCH($T4627,$T$6:$T$10005,0)=ROW()-5,N($X4626)+1,N($X4626)))</f>
        <v>0</v>
      </c>
      <c r="Z4627" t="str">
        <f t="shared" si="729"/>
        <v/>
      </c>
      <c r="AA4627">
        <f>IF($V4627="",N($AA4626),IF(MATCH($V4627,$V$6:$V$10005,0)=ROW()-5,N($AA4626)+1,N($AA4626)))</f>
        <v>0</v>
      </c>
    </row>
    <row r="4628" spans="1:27" ht="21" customHeight="1" x14ac:dyDescent="0.95">
      <c r="A4628" s="56"/>
      <c r="B4628" s="57"/>
      <c r="C4628" s="57"/>
      <c r="D4628" s="57"/>
      <c r="E4628" s="56"/>
      <c r="F4628" s="57"/>
      <c r="G4628" s="57"/>
      <c r="H4628" s="56"/>
      <c r="I4628" s="56"/>
      <c r="J4628" s="58"/>
      <c r="K4628" s="58"/>
      <c r="L4628" s="13" t="str">
        <f t="shared" si="720"/>
        <v/>
      </c>
      <c r="M4628" s="13" t="str">
        <f t="shared" si="721"/>
        <v/>
      </c>
      <c r="Q4628" t="str">
        <f t="shared" si="722"/>
        <v/>
      </c>
      <c r="R4628" t="str">
        <f t="shared" si="723"/>
        <v/>
      </c>
      <c r="S4628" t="str">
        <f t="shared" si="724"/>
        <v/>
      </c>
      <c r="T4628" t="str">
        <f t="shared" si="725"/>
        <v/>
      </c>
      <c r="U4628" t="str">
        <f t="shared" si="726"/>
        <v/>
      </c>
      <c r="V4628" t="str">
        <f t="shared" si="727"/>
        <v/>
      </c>
      <c r="W4628" t="str">
        <f t="shared" si="728"/>
        <v/>
      </c>
      <c r="X4628">
        <f>IF($T4628="",N($X4627),IF(MATCH($T4628,$T$6:$T$10005,0)=ROW()-5,N($X4627)+1,N($X4627)))</f>
        <v>0</v>
      </c>
      <c r="Z4628" t="str">
        <f t="shared" si="729"/>
        <v/>
      </c>
      <c r="AA4628">
        <f>IF($V4628="",N($AA4627),IF(MATCH($V4628,$V$6:$V$10005,0)=ROW()-5,N($AA4627)+1,N($AA4627)))</f>
        <v>0</v>
      </c>
    </row>
    <row r="4629" spans="1:27" ht="21" customHeight="1" x14ac:dyDescent="0.95">
      <c r="A4629" s="56"/>
      <c r="B4629" s="57"/>
      <c r="C4629" s="57"/>
      <c r="D4629" s="57"/>
      <c r="E4629" s="56"/>
      <c r="F4629" s="57"/>
      <c r="G4629" s="57"/>
      <c r="H4629" s="56"/>
      <c r="I4629" s="56"/>
      <c r="J4629" s="58"/>
      <c r="K4629" s="58"/>
      <c r="L4629" s="13" t="str">
        <f t="shared" si="720"/>
        <v/>
      </c>
      <c r="M4629" s="13" t="str">
        <f t="shared" si="721"/>
        <v/>
      </c>
      <c r="Q4629" t="str">
        <f t="shared" si="722"/>
        <v/>
      </c>
      <c r="R4629" t="str">
        <f t="shared" si="723"/>
        <v/>
      </c>
      <c r="S4629" t="str">
        <f t="shared" si="724"/>
        <v/>
      </c>
      <c r="T4629" t="str">
        <f t="shared" si="725"/>
        <v/>
      </c>
      <c r="U4629" t="str">
        <f t="shared" si="726"/>
        <v/>
      </c>
      <c r="V4629" t="str">
        <f t="shared" si="727"/>
        <v/>
      </c>
      <c r="W4629" t="str">
        <f t="shared" si="728"/>
        <v/>
      </c>
      <c r="X4629">
        <f>IF($T4629="",N($X4628),IF(MATCH($T4629,$T$6:$T$10005,0)=ROW()-5,N($X4628)+1,N($X4628)))</f>
        <v>0</v>
      </c>
      <c r="Z4629" t="str">
        <f t="shared" si="729"/>
        <v/>
      </c>
      <c r="AA4629">
        <f>IF($V4629="",N($AA4628),IF(MATCH($V4629,$V$6:$V$10005,0)=ROW()-5,N($AA4628)+1,N($AA4628)))</f>
        <v>0</v>
      </c>
    </row>
    <row r="4630" spans="1:27" ht="21" customHeight="1" x14ac:dyDescent="0.95">
      <c r="A4630" s="56"/>
      <c r="B4630" s="57"/>
      <c r="C4630" s="57"/>
      <c r="D4630" s="57"/>
      <c r="E4630" s="56"/>
      <c r="F4630" s="57"/>
      <c r="G4630" s="57"/>
      <c r="H4630" s="56"/>
      <c r="I4630" s="56"/>
      <c r="J4630" s="58"/>
      <c r="K4630" s="58"/>
      <c r="L4630" s="13" t="str">
        <f t="shared" si="720"/>
        <v/>
      </c>
      <c r="M4630" s="13" t="str">
        <f t="shared" si="721"/>
        <v/>
      </c>
      <c r="Q4630" t="str">
        <f t="shared" si="722"/>
        <v/>
      </c>
      <c r="R4630" t="str">
        <f t="shared" si="723"/>
        <v/>
      </c>
      <c r="S4630" t="str">
        <f t="shared" si="724"/>
        <v/>
      </c>
      <c r="T4630" t="str">
        <f t="shared" si="725"/>
        <v/>
      </c>
      <c r="U4630" t="str">
        <f t="shared" si="726"/>
        <v/>
      </c>
      <c r="V4630" t="str">
        <f t="shared" si="727"/>
        <v/>
      </c>
      <c r="W4630" t="str">
        <f t="shared" si="728"/>
        <v/>
      </c>
      <c r="X4630">
        <f>IF($T4630="",N($X4629),IF(MATCH($T4630,$T$6:$T$10005,0)=ROW()-5,N($X4629)+1,N($X4629)))</f>
        <v>0</v>
      </c>
      <c r="Z4630" t="str">
        <f t="shared" si="729"/>
        <v/>
      </c>
      <c r="AA4630">
        <f>IF($V4630="",N($AA4629),IF(MATCH($V4630,$V$6:$V$10005,0)=ROW()-5,N($AA4629)+1,N($AA4629)))</f>
        <v>0</v>
      </c>
    </row>
    <row r="4631" spans="1:27" ht="21" customHeight="1" x14ac:dyDescent="0.95">
      <c r="A4631" s="56"/>
      <c r="B4631" s="57"/>
      <c r="C4631" s="57"/>
      <c r="D4631" s="57"/>
      <c r="E4631" s="56"/>
      <c r="F4631" s="57"/>
      <c r="G4631" s="57"/>
      <c r="H4631" s="56"/>
      <c r="I4631" s="56"/>
      <c r="J4631" s="58"/>
      <c r="K4631" s="58"/>
      <c r="L4631" s="13" t="str">
        <f t="shared" si="720"/>
        <v/>
      </c>
      <c r="M4631" s="13" t="str">
        <f t="shared" si="721"/>
        <v/>
      </c>
      <c r="Q4631" t="str">
        <f t="shared" si="722"/>
        <v/>
      </c>
      <c r="R4631" t="str">
        <f t="shared" si="723"/>
        <v/>
      </c>
      <c r="S4631" t="str">
        <f t="shared" si="724"/>
        <v/>
      </c>
      <c r="T4631" t="str">
        <f t="shared" si="725"/>
        <v/>
      </c>
      <c r="U4631" t="str">
        <f t="shared" si="726"/>
        <v/>
      </c>
      <c r="V4631" t="str">
        <f t="shared" si="727"/>
        <v/>
      </c>
      <c r="W4631" t="str">
        <f t="shared" si="728"/>
        <v/>
      </c>
      <c r="X4631">
        <f>IF($T4631="",N($X4630),IF(MATCH($T4631,$T$6:$T$10005,0)=ROW()-5,N($X4630)+1,N($X4630)))</f>
        <v>0</v>
      </c>
      <c r="Z4631" t="str">
        <f t="shared" si="729"/>
        <v/>
      </c>
      <c r="AA4631">
        <f>IF($V4631="",N($AA4630),IF(MATCH($V4631,$V$6:$V$10005,0)=ROW()-5,N($AA4630)+1,N($AA4630)))</f>
        <v>0</v>
      </c>
    </row>
    <row r="4632" spans="1:27" ht="21" customHeight="1" x14ac:dyDescent="0.95">
      <c r="A4632" s="56"/>
      <c r="B4632" s="57"/>
      <c r="C4632" s="57"/>
      <c r="D4632" s="57"/>
      <c r="E4632" s="56"/>
      <c r="F4632" s="57"/>
      <c r="G4632" s="57"/>
      <c r="H4632" s="56"/>
      <c r="I4632" s="56"/>
      <c r="J4632" s="58"/>
      <c r="K4632" s="58"/>
      <c r="L4632" s="13" t="str">
        <f t="shared" si="720"/>
        <v/>
      </c>
      <c r="M4632" s="13" t="str">
        <f t="shared" si="721"/>
        <v/>
      </c>
      <c r="Q4632" t="str">
        <f t="shared" si="722"/>
        <v/>
      </c>
      <c r="R4632" t="str">
        <f t="shared" si="723"/>
        <v/>
      </c>
      <c r="S4632" t="str">
        <f t="shared" si="724"/>
        <v/>
      </c>
      <c r="T4632" t="str">
        <f t="shared" si="725"/>
        <v/>
      </c>
      <c r="U4632" t="str">
        <f t="shared" si="726"/>
        <v/>
      </c>
      <c r="V4632" t="str">
        <f t="shared" si="727"/>
        <v/>
      </c>
      <c r="W4632" t="str">
        <f t="shared" si="728"/>
        <v/>
      </c>
      <c r="X4632">
        <f>IF($T4632="",N($X4631),IF(MATCH($T4632,$T$6:$T$10005,0)=ROW()-5,N($X4631)+1,N($X4631)))</f>
        <v>0</v>
      </c>
      <c r="Z4632" t="str">
        <f t="shared" si="729"/>
        <v/>
      </c>
      <c r="AA4632">
        <f>IF($V4632="",N($AA4631),IF(MATCH($V4632,$V$6:$V$10005,0)=ROW()-5,N($AA4631)+1,N($AA4631)))</f>
        <v>0</v>
      </c>
    </row>
    <row r="4633" spans="1:27" ht="21" customHeight="1" x14ac:dyDescent="0.95">
      <c r="A4633" s="56"/>
      <c r="B4633" s="57"/>
      <c r="C4633" s="57"/>
      <c r="D4633" s="57"/>
      <c r="E4633" s="56"/>
      <c r="F4633" s="57"/>
      <c r="G4633" s="57"/>
      <c r="H4633" s="56"/>
      <c r="I4633" s="56"/>
      <c r="J4633" s="58"/>
      <c r="K4633" s="58"/>
      <c r="L4633" s="13" t="str">
        <f t="shared" si="720"/>
        <v/>
      </c>
      <c r="M4633" s="13" t="str">
        <f t="shared" si="721"/>
        <v/>
      </c>
      <c r="Q4633" t="str">
        <f t="shared" si="722"/>
        <v/>
      </c>
      <c r="R4633" t="str">
        <f t="shared" si="723"/>
        <v/>
      </c>
      <c r="S4633" t="str">
        <f t="shared" si="724"/>
        <v/>
      </c>
      <c r="T4633" t="str">
        <f t="shared" si="725"/>
        <v/>
      </c>
      <c r="U4633" t="str">
        <f t="shared" si="726"/>
        <v/>
      </c>
      <c r="V4633" t="str">
        <f t="shared" si="727"/>
        <v/>
      </c>
      <c r="W4633" t="str">
        <f t="shared" si="728"/>
        <v/>
      </c>
      <c r="X4633">
        <f>IF($T4633="",N($X4632),IF(MATCH($T4633,$T$6:$T$10005,0)=ROW()-5,N($X4632)+1,N($X4632)))</f>
        <v>0</v>
      </c>
      <c r="Z4633" t="str">
        <f t="shared" si="729"/>
        <v/>
      </c>
      <c r="AA4633">
        <f>IF($V4633="",N($AA4632),IF(MATCH($V4633,$V$6:$V$10005,0)=ROW()-5,N($AA4632)+1,N($AA4632)))</f>
        <v>0</v>
      </c>
    </row>
    <row r="4634" spans="1:27" ht="21" customHeight="1" x14ac:dyDescent="0.95">
      <c r="A4634" s="56"/>
      <c r="B4634" s="57"/>
      <c r="C4634" s="57"/>
      <c r="D4634" s="57"/>
      <c r="E4634" s="56"/>
      <c r="F4634" s="57"/>
      <c r="G4634" s="57"/>
      <c r="H4634" s="56"/>
      <c r="I4634" s="56"/>
      <c r="J4634" s="58"/>
      <c r="K4634" s="58"/>
      <c r="L4634" s="13" t="str">
        <f t="shared" si="720"/>
        <v/>
      </c>
      <c r="M4634" s="13" t="str">
        <f t="shared" si="721"/>
        <v/>
      </c>
      <c r="Q4634" t="str">
        <f t="shared" si="722"/>
        <v/>
      </c>
      <c r="R4634" t="str">
        <f t="shared" si="723"/>
        <v/>
      </c>
      <c r="S4634" t="str">
        <f t="shared" si="724"/>
        <v/>
      </c>
      <c r="T4634" t="str">
        <f t="shared" si="725"/>
        <v/>
      </c>
      <c r="U4634" t="str">
        <f t="shared" si="726"/>
        <v/>
      </c>
      <c r="V4634" t="str">
        <f t="shared" si="727"/>
        <v/>
      </c>
      <c r="W4634" t="str">
        <f t="shared" si="728"/>
        <v/>
      </c>
      <c r="X4634">
        <f>IF($T4634="",N($X4633),IF(MATCH($T4634,$T$6:$T$10005,0)=ROW()-5,N($X4633)+1,N($X4633)))</f>
        <v>0</v>
      </c>
      <c r="Z4634" t="str">
        <f t="shared" si="729"/>
        <v/>
      </c>
      <c r="AA4634">
        <f>IF($V4634="",N($AA4633),IF(MATCH($V4634,$V$6:$V$10005,0)=ROW()-5,N($AA4633)+1,N($AA4633)))</f>
        <v>0</v>
      </c>
    </row>
    <row r="4635" spans="1:27" ht="21" customHeight="1" x14ac:dyDescent="0.95">
      <c r="A4635" s="56"/>
      <c r="B4635" s="57"/>
      <c r="C4635" s="57"/>
      <c r="D4635" s="57"/>
      <c r="E4635" s="56"/>
      <c r="F4635" s="57"/>
      <c r="G4635" s="57"/>
      <c r="H4635" s="56"/>
      <c r="I4635" s="56"/>
      <c r="J4635" s="58"/>
      <c r="K4635" s="58"/>
      <c r="L4635" s="13" t="str">
        <f t="shared" si="720"/>
        <v/>
      </c>
      <c r="M4635" s="13" t="str">
        <f t="shared" si="721"/>
        <v/>
      </c>
      <c r="Q4635" t="str">
        <f t="shared" si="722"/>
        <v/>
      </c>
      <c r="R4635" t="str">
        <f t="shared" si="723"/>
        <v/>
      </c>
      <c r="S4635" t="str">
        <f t="shared" si="724"/>
        <v/>
      </c>
      <c r="T4635" t="str">
        <f t="shared" si="725"/>
        <v/>
      </c>
      <c r="U4635" t="str">
        <f t="shared" si="726"/>
        <v/>
      </c>
      <c r="V4635" t="str">
        <f t="shared" si="727"/>
        <v/>
      </c>
      <c r="W4635" t="str">
        <f t="shared" si="728"/>
        <v/>
      </c>
      <c r="X4635">
        <f>IF($T4635="",N($X4634),IF(MATCH($T4635,$T$6:$T$10005,0)=ROW()-5,N($X4634)+1,N($X4634)))</f>
        <v>0</v>
      </c>
      <c r="Z4635" t="str">
        <f t="shared" si="729"/>
        <v/>
      </c>
      <c r="AA4635">
        <f>IF($V4635="",N($AA4634),IF(MATCH($V4635,$V$6:$V$10005,0)=ROW()-5,N($AA4634)+1,N($AA4634)))</f>
        <v>0</v>
      </c>
    </row>
    <row r="4636" spans="1:27" ht="21" customHeight="1" x14ac:dyDescent="0.95">
      <c r="A4636" s="56"/>
      <c r="B4636" s="57"/>
      <c r="C4636" s="57"/>
      <c r="D4636" s="57"/>
      <c r="E4636" s="56"/>
      <c r="F4636" s="57"/>
      <c r="G4636" s="57"/>
      <c r="H4636" s="56"/>
      <c r="I4636" s="56"/>
      <c r="J4636" s="58"/>
      <c r="K4636" s="58"/>
      <c r="L4636" s="13" t="str">
        <f t="shared" si="720"/>
        <v/>
      </c>
      <c r="M4636" s="13" t="str">
        <f t="shared" si="721"/>
        <v/>
      </c>
      <c r="Q4636" t="str">
        <f t="shared" si="722"/>
        <v/>
      </c>
      <c r="R4636" t="str">
        <f t="shared" si="723"/>
        <v/>
      </c>
      <c r="S4636" t="str">
        <f t="shared" si="724"/>
        <v/>
      </c>
      <c r="T4636" t="str">
        <f t="shared" si="725"/>
        <v/>
      </c>
      <c r="U4636" t="str">
        <f t="shared" si="726"/>
        <v/>
      </c>
      <c r="V4636" t="str">
        <f t="shared" si="727"/>
        <v/>
      </c>
      <c r="W4636" t="str">
        <f t="shared" si="728"/>
        <v/>
      </c>
      <c r="X4636">
        <f>IF($T4636="",N($X4635),IF(MATCH($T4636,$T$6:$T$10005,0)=ROW()-5,N($X4635)+1,N($X4635)))</f>
        <v>0</v>
      </c>
      <c r="Z4636" t="str">
        <f t="shared" si="729"/>
        <v/>
      </c>
      <c r="AA4636">
        <f>IF($V4636="",N($AA4635),IF(MATCH($V4636,$V$6:$V$10005,0)=ROW()-5,N($AA4635)+1,N($AA4635)))</f>
        <v>0</v>
      </c>
    </row>
    <row r="4637" spans="1:27" ht="21" customHeight="1" x14ac:dyDescent="0.95">
      <c r="A4637" s="56"/>
      <c r="B4637" s="57"/>
      <c r="C4637" s="57"/>
      <c r="D4637" s="57"/>
      <c r="E4637" s="56"/>
      <c r="F4637" s="57"/>
      <c r="G4637" s="57"/>
      <c r="H4637" s="56"/>
      <c r="I4637" s="56"/>
      <c r="J4637" s="58"/>
      <c r="K4637" s="58"/>
      <c r="L4637" s="13" t="str">
        <f t="shared" si="720"/>
        <v/>
      </c>
      <c r="M4637" s="13" t="str">
        <f t="shared" si="721"/>
        <v/>
      </c>
      <c r="Q4637" t="str">
        <f t="shared" si="722"/>
        <v/>
      </c>
      <c r="R4637" t="str">
        <f t="shared" si="723"/>
        <v/>
      </c>
      <c r="S4637" t="str">
        <f t="shared" si="724"/>
        <v/>
      </c>
      <c r="T4637" t="str">
        <f t="shared" si="725"/>
        <v/>
      </c>
      <c r="U4637" t="str">
        <f t="shared" si="726"/>
        <v/>
      </c>
      <c r="V4637" t="str">
        <f t="shared" si="727"/>
        <v/>
      </c>
      <c r="W4637" t="str">
        <f t="shared" si="728"/>
        <v/>
      </c>
      <c r="X4637">
        <f>IF($T4637="",N($X4636),IF(MATCH($T4637,$T$6:$T$10005,0)=ROW()-5,N($X4636)+1,N($X4636)))</f>
        <v>0</v>
      </c>
      <c r="Z4637" t="str">
        <f t="shared" si="729"/>
        <v/>
      </c>
      <c r="AA4637">
        <f>IF($V4637="",N($AA4636),IF(MATCH($V4637,$V$6:$V$10005,0)=ROW()-5,N($AA4636)+1,N($AA4636)))</f>
        <v>0</v>
      </c>
    </row>
    <row r="4638" spans="1:27" ht="21" customHeight="1" x14ac:dyDescent="0.95">
      <c r="A4638" s="56"/>
      <c r="B4638" s="57"/>
      <c r="C4638" s="57"/>
      <c r="D4638" s="57"/>
      <c r="E4638" s="56"/>
      <c r="F4638" s="57"/>
      <c r="G4638" s="57"/>
      <c r="H4638" s="56"/>
      <c r="I4638" s="56"/>
      <c r="J4638" s="58"/>
      <c r="K4638" s="58"/>
      <c r="L4638" s="13" t="str">
        <f t="shared" si="720"/>
        <v/>
      </c>
      <c r="M4638" s="13" t="str">
        <f t="shared" si="721"/>
        <v/>
      </c>
      <c r="Q4638" t="str">
        <f t="shared" si="722"/>
        <v/>
      </c>
      <c r="R4638" t="str">
        <f t="shared" si="723"/>
        <v/>
      </c>
      <c r="S4638" t="str">
        <f t="shared" si="724"/>
        <v/>
      </c>
      <c r="T4638" t="str">
        <f t="shared" si="725"/>
        <v/>
      </c>
      <c r="U4638" t="str">
        <f t="shared" si="726"/>
        <v/>
      </c>
      <c r="V4638" t="str">
        <f t="shared" si="727"/>
        <v/>
      </c>
      <c r="W4638" t="str">
        <f t="shared" si="728"/>
        <v/>
      </c>
      <c r="X4638">
        <f>IF($T4638="",N($X4637),IF(MATCH($T4638,$T$6:$T$10005,0)=ROW()-5,N($X4637)+1,N($X4637)))</f>
        <v>0</v>
      </c>
      <c r="Z4638" t="str">
        <f t="shared" si="729"/>
        <v/>
      </c>
      <c r="AA4638">
        <f>IF($V4638="",N($AA4637),IF(MATCH($V4638,$V$6:$V$10005,0)=ROW()-5,N($AA4637)+1,N($AA4637)))</f>
        <v>0</v>
      </c>
    </row>
    <row r="4639" spans="1:27" ht="21" customHeight="1" x14ac:dyDescent="0.95">
      <c r="A4639" s="56"/>
      <c r="B4639" s="57"/>
      <c r="C4639" s="57"/>
      <c r="D4639" s="57"/>
      <c r="E4639" s="56"/>
      <c r="F4639" s="57"/>
      <c r="G4639" s="57"/>
      <c r="H4639" s="56"/>
      <c r="I4639" s="56"/>
      <c r="J4639" s="58"/>
      <c r="K4639" s="58"/>
      <c r="L4639" s="13" t="str">
        <f t="shared" si="720"/>
        <v/>
      </c>
      <c r="M4639" s="13" t="str">
        <f t="shared" si="721"/>
        <v/>
      </c>
      <c r="Q4639" t="str">
        <f t="shared" si="722"/>
        <v/>
      </c>
      <c r="R4639" t="str">
        <f t="shared" si="723"/>
        <v/>
      </c>
      <c r="S4639" t="str">
        <f t="shared" si="724"/>
        <v/>
      </c>
      <c r="T4639" t="str">
        <f t="shared" si="725"/>
        <v/>
      </c>
      <c r="U4639" t="str">
        <f t="shared" si="726"/>
        <v/>
      </c>
      <c r="V4639" t="str">
        <f t="shared" si="727"/>
        <v/>
      </c>
      <c r="W4639" t="str">
        <f t="shared" si="728"/>
        <v/>
      </c>
      <c r="X4639">
        <f>IF($T4639="",N($X4638),IF(MATCH($T4639,$T$6:$T$10005,0)=ROW()-5,N($X4638)+1,N($X4638)))</f>
        <v>0</v>
      </c>
      <c r="Z4639" t="str">
        <f t="shared" si="729"/>
        <v/>
      </c>
      <c r="AA4639">
        <f>IF($V4639="",N($AA4638),IF(MATCH($V4639,$V$6:$V$10005,0)=ROW()-5,N($AA4638)+1,N($AA4638)))</f>
        <v>0</v>
      </c>
    </row>
    <row r="4640" spans="1:27" ht="21" customHeight="1" x14ac:dyDescent="0.95">
      <c r="A4640" s="56"/>
      <c r="B4640" s="57"/>
      <c r="C4640" s="57"/>
      <c r="D4640" s="57"/>
      <c r="E4640" s="56"/>
      <c r="F4640" s="57"/>
      <c r="G4640" s="57"/>
      <c r="H4640" s="56"/>
      <c r="I4640" s="56"/>
      <c r="J4640" s="58"/>
      <c r="K4640" s="58"/>
      <c r="L4640" s="13" t="str">
        <f t="shared" si="720"/>
        <v/>
      </c>
      <c r="M4640" s="13" t="str">
        <f t="shared" si="721"/>
        <v/>
      </c>
      <c r="Q4640" t="str">
        <f t="shared" si="722"/>
        <v/>
      </c>
      <c r="R4640" t="str">
        <f t="shared" si="723"/>
        <v/>
      </c>
      <c r="S4640" t="str">
        <f t="shared" si="724"/>
        <v/>
      </c>
      <c r="T4640" t="str">
        <f t="shared" si="725"/>
        <v/>
      </c>
      <c r="U4640" t="str">
        <f t="shared" si="726"/>
        <v/>
      </c>
      <c r="V4640" t="str">
        <f t="shared" si="727"/>
        <v/>
      </c>
      <c r="W4640" t="str">
        <f t="shared" si="728"/>
        <v/>
      </c>
      <c r="X4640">
        <f>IF($T4640="",N($X4639),IF(MATCH($T4640,$T$6:$T$10005,0)=ROW()-5,N($X4639)+1,N($X4639)))</f>
        <v>0</v>
      </c>
      <c r="Z4640" t="str">
        <f t="shared" si="729"/>
        <v/>
      </c>
      <c r="AA4640">
        <f>IF($V4640="",N($AA4639),IF(MATCH($V4640,$V$6:$V$10005,0)=ROW()-5,N($AA4639)+1,N($AA4639)))</f>
        <v>0</v>
      </c>
    </row>
    <row r="4641" spans="1:27" ht="21" customHeight="1" x14ac:dyDescent="0.95">
      <c r="A4641" s="56"/>
      <c r="B4641" s="57"/>
      <c r="C4641" s="57"/>
      <c r="D4641" s="57"/>
      <c r="E4641" s="56"/>
      <c r="F4641" s="57"/>
      <c r="G4641" s="57"/>
      <c r="H4641" s="56"/>
      <c r="I4641" s="56"/>
      <c r="J4641" s="58"/>
      <c r="K4641" s="58"/>
      <c r="L4641" s="13" t="str">
        <f t="shared" si="720"/>
        <v/>
      </c>
      <c r="M4641" s="13" t="str">
        <f t="shared" si="721"/>
        <v/>
      </c>
      <c r="Q4641" t="str">
        <f t="shared" si="722"/>
        <v/>
      </c>
      <c r="R4641" t="str">
        <f t="shared" si="723"/>
        <v/>
      </c>
      <c r="S4641" t="str">
        <f t="shared" si="724"/>
        <v/>
      </c>
      <c r="T4641" t="str">
        <f t="shared" si="725"/>
        <v/>
      </c>
      <c r="U4641" t="str">
        <f t="shared" si="726"/>
        <v/>
      </c>
      <c r="V4641" t="str">
        <f t="shared" si="727"/>
        <v/>
      </c>
      <c r="W4641" t="str">
        <f t="shared" si="728"/>
        <v/>
      </c>
      <c r="X4641">
        <f>IF($T4641="",N($X4640),IF(MATCH($T4641,$T$6:$T$10005,0)=ROW()-5,N($X4640)+1,N($X4640)))</f>
        <v>0</v>
      </c>
      <c r="Z4641" t="str">
        <f t="shared" si="729"/>
        <v/>
      </c>
      <c r="AA4641">
        <f>IF($V4641="",N($AA4640),IF(MATCH($V4641,$V$6:$V$10005,0)=ROW()-5,N($AA4640)+1,N($AA4640)))</f>
        <v>0</v>
      </c>
    </row>
    <row r="4642" spans="1:27" ht="21" customHeight="1" x14ac:dyDescent="0.95">
      <c r="A4642" s="56"/>
      <c r="B4642" s="57"/>
      <c r="C4642" s="57"/>
      <c r="D4642" s="57"/>
      <c r="E4642" s="56"/>
      <c r="F4642" s="57"/>
      <c r="G4642" s="57"/>
      <c r="H4642" s="56"/>
      <c r="I4642" s="56"/>
      <c r="J4642" s="58"/>
      <c r="K4642" s="58"/>
      <c r="L4642" s="13" t="str">
        <f t="shared" si="720"/>
        <v/>
      </c>
      <c r="M4642" s="13" t="str">
        <f t="shared" si="721"/>
        <v/>
      </c>
      <c r="Q4642" t="str">
        <f t="shared" si="722"/>
        <v/>
      </c>
      <c r="R4642" t="str">
        <f t="shared" si="723"/>
        <v/>
      </c>
      <c r="S4642" t="str">
        <f t="shared" si="724"/>
        <v/>
      </c>
      <c r="T4642" t="str">
        <f t="shared" si="725"/>
        <v/>
      </c>
      <c r="U4642" t="str">
        <f t="shared" si="726"/>
        <v/>
      </c>
      <c r="V4642" t="str">
        <f t="shared" si="727"/>
        <v/>
      </c>
      <c r="W4642" t="str">
        <f t="shared" si="728"/>
        <v/>
      </c>
      <c r="X4642">
        <f>IF($T4642="",N($X4641),IF(MATCH($T4642,$T$6:$T$10005,0)=ROW()-5,N($X4641)+1,N($X4641)))</f>
        <v>0</v>
      </c>
      <c r="Z4642" t="str">
        <f t="shared" si="729"/>
        <v/>
      </c>
      <c r="AA4642">
        <f>IF($V4642="",N($AA4641),IF(MATCH($V4642,$V$6:$V$10005,0)=ROW()-5,N($AA4641)+1,N($AA4641)))</f>
        <v>0</v>
      </c>
    </row>
    <row r="4643" spans="1:27" ht="21" customHeight="1" x14ac:dyDescent="0.95">
      <c r="A4643" s="56"/>
      <c r="B4643" s="57"/>
      <c r="C4643" s="57"/>
      <c r="D4643" s="57"/>
      <c r="E4643" s="56"/>
      <c r="F4643" s="57"/>
      <c r="G4643" s="57"/>
      <c r="H4643" s="56"/>
      <c r="I4643" s="56"/>
      <c r="J4643" s="58"/>
      <c r="K4643" s="58"/>
      <c r="L4643" s="13" t="str">
        <f t="shared" si="720"/>
        <v/>
      </c>
      <c r="M4643" s="13" t="str">
        <f t="shared" si="721"/>
        <v/>
      </c>
      <c r="Q4643" t="str">
        <f t="shared" si="722"/>
        <v/>
      </c>
      <c r="R4643" t="str">
        <f t="shared" si="723"/>
        <v/>
      </c>
      <c r="S4643" t="str">
        <f t="shared" si="724"/>
        <v/>
      </c>
      <c r="T4643" t="str">
        <f t="shared" si="725"/>
        <v/>
      </c>
      <c r="U4643" t="str">
        <f t="shared" si="726"/>
        <v/>
      </c>
      <c r="V4643" t="str">
        <f t="shared" si="727"/>
        <v/>
      </c>
      <c r="W4643" t="str">
        <f t="shared" si="728"/>
        <v/>
      </c>
      <c r="X4643">
        <f>IF($T4643="",N($X4642),IF(MATCH($T4643,$T$6:$T$10005,0)=ROW()-5,N($X4642)+1,N($X4642)))</f>
        <v>0</v>
      </c>
      <c r="Z4643" t="str">
        <f t="shared" si="729"/>
        <v/>
      </c>
      <c r="AA4643">
        <f>IF($V4643="",N($AA4642),IF(MATCH($V4643,$V$6:$V$10005,0)=ROW()-5,N($AA4642)+1,N($AA4642)))</f>
        <v>0</v>
      </c>
    </row>
    <row r="4644" spans="1:27" ht="21" customHeight="1" x14ac:dyDescent="0.95">
      <c r="A4644" s="56"/>
      <c r="B4644" s="57"/>
      <c r="C4644" s="57"/>
      <c r="D4644" s="57"/>
      <c r="E4644" s="56"/>
      <c r="F4644" s="57"/>
      <c r="G4644" s="57"/>
      <c r="H4644" s="56"/>
      <c r="I4644" s="56"/>
      <c r="J4644" s="58"/>
      <c r="K4644" s="58"/>
      <c r="L4644" s="13" t="str">
        <f t="shared" si="720"/>
        <v/>
      </c>
      <c r="M4644" s="13" t="str">
        <f t="shared" si="721"/>
        <v/>
      </c>
      <c r="Q4644" t="str">
        <f t="shared" si="722"/>
        <v/>
      </c>
      <c r="R4644" t="str">
        <f t="shared" si="723"/>
        <v/>
      </c>
      <c r="S4644" t="str">
        <f t="shared" si="724"/>
        <v/>
      </c>
      <c r="T4644" t="str">
        <f t="shared" si="725"/>
        <v/>
      </c>
      <c r="U4644" t="str">
        <f t="shared" si="726"/>
        <v/>
      </c>
      <c r="V4644" t="str">
        <f t="shared" si="727"/>
        <v/>
      </c>
      <c r="W4644" t="str">
        <f t="shared" si="728"/>
        <v/>
      </c>
      <c r="X4644">
        <f>IF($T4644="",N($X4643),IF(MATCH($T4644,$T$6:$T$10005,0)=ROW()-5,N($X4643)+1,N($X4643)))</f>
        <v>0</v>
      </c>
      <c r="Z4644" t="str">
        <f t="shared" si="729"/>
        <v/>
      </c>
      <c r="AA4644">
        <f>IF($V4644="",N($AA4643),IF(MATCH($V4644,$V$6:$V$10005,0)=ROW()-5,N($AA4643)+1,N($AA4643)))</f>
        <v>0</v>
      </c>
    </row>
    <row r="4645" spans="1:27" ht="21" customHeight="1" x14ac:dyDescent="0.95">
      <c r="A4645" s="56"/>
      <c r="B4645" s="57"/>
      <c r="C4645" s="57"/>
      <c r="D4645" s="57"/>
      <c r="E4645" s="56"/>
      <c r="F4645" s="57"/>
      <c r="G4645" s="57"/>
      <c r="H4645" s="56"/>
      <c r="I4645" s="56"/>
      <c r="J4645" s="58"/>
      <c r="K4645" s="58"/>
      <c r="L4645" s="13" t="str">
        <f t="shared" si="720"/>
        <v/>
      </c>
      <c r="M4645" s="13" t="str">
        <f t="shared" si="721"/>
        <v/>
      </c>
      <c r="Q4645" t="str">
        <f t="shared" si="722"/>
        <v/>
      </c>
      <c r="R4645" t="str">
        <f t="shared" si="723"/>
        <v/>
      </c>
      <c r="S4645" t="str">
        <f t="shared" si="724"/>
        <v/>
      </c>
      <c r="T4645" t="str">
        <f t="shared" si="725"/>
        <v/>
      </c>
      <c r="U4645" t="str">
        <f t="shared" si="726"/>
        <v/>
      </c>
      <c r="V4645" t="str">
        <f t="shared" si="727"/>
        <v/>
      </c>
      <c r="W4645" t="str">
        <f t="shared" si="728"/>
        <v/>
      </c>
      <c r="X4645">
        <f>IF($T4645="",N($X4644),IF(MATCH($T4645,$T$6:$T$10005,0)=ROW()-5,N($X4644)+1,N($X4644)))</f>
        <v>0</v>
      </c>
      <c r="Z4645" t="str">
        <f t="shared" si="729"/>
        <v/>
      </c>
      <c r="AA4645">
        <f>IF($V4645="",N($AA4644),IF(MATCH($V4645,$V$6:$V$10005,0)=ROW()-5,N($AA4644)+1,N($AA4644)))</f>
        <v>0</v>
      </c>
    </row>
    <row r="4646" spans="1:27" ht="21" customHeight="1" x14ac:dyDescent="0.95">
      <c r="A4646" s="56"/>
      <c r="B4646" s="57"/>
      <c r="C4646" s="57"/>
      <c r="D4646" s="57"/>
      <c r="E4646" s="56"/>
      <c r="F4646" s="57"/>
      <c r="G4646" s="57"/>
      <c r="H4646" s="56"/>
      <c r="I4646" s="56"/>
      <c r="J4646" s="58"/>
      <c r="K4646" s="58"/>
      <c r="L4646" s="13" t="str">
        <f t="shared" si="720"/>
        <v/>
      </c>
      <c r="M4646" s="13" t="str">
        <f t="shared" si="721"/>
        <v/>
      </c>
      <c r="Q4646" t="str">
        <f t="shared" si="722"/>
        <v/>
      </c>
      <c r="R4646" t="str">
        <f t="shared" si="723"/>
        <v/>
      </c>
      <c r="S4646" t="str">
        <f t="shared" si="724"/>
        <v/>
      </c>
      <c r="T4646" t="str">
        <f t="shared" si="725"/>
        <v/>
      </c>
      <c r="U4646" t="str">
        <f t="shared" si="726"/>
        <v/>
      </c>
      <c r="V4646" t="str">
        <f t="shared" si="727"/>
        <v/>
      </c>
      <c r="W4646" t="str">
        <f t="shared" si="728"/>
        <v/>
      </c>
      <c r="X4646">
        <f>IF($T4646="",N($X4645),IF(MATCH($T4646,$T$6:$T$10005,0)=ROW()-5,N($X4645)+1,N($X4645)))</f>
        <v>0</v>
      </c>
      <c r="Z4646" t="str">
        <f t="shared" si="729"/>
        <v/>
      </c>
      <c r="AA4646">
        <f>IF($V4646="",N($AA4645),IF(MATCH($V4646,$V$6:$V$10005,0)=ROW()-5,N($AA4645)+1,N($AA4645)))</f>
        <v>0</v>
      </c>
    </row>
    <row r="4647" spans="1:27" ht="21" customHeight="1" x14ac:dyDescent="0.95">
      <c r="A4647" s="56"/>
      <c r="B4647" s="57"/>
      <c r="C4647" s="57"/>
      <c r="D4647" s="57"/>
      <c r="E4647" s="56"/>
      <c r="F4647" s="57"/>
      <c r="G4647" s="57"/>
      <c r="H4647" s="56"/>
      <c r="I4647" s="56"/>
      <c r="J4647" s="58"/>
      <c r="K4647" s="58"/>
      <c r="L4647" s="13" t="str">
        <f t="shared" si="720"/>
        <v/>
      </c>
      <c r="M4647" s="13" t="str">
        <f t="shared" si="721"/>
        <v/>
      </c>
      <c r="Q4647" t="str">
        <f t="shared" si="722"/>
        <v/>
      </c>
      <c r="R4647" t="str">
        <f t="shared" si="723"/>
        <v/>
      </c>
      <c r="S4647" t="str">
        <f t="shared" si="724"/>
        <v/>
      </c>
      <c r="T4647" t="str">
        <f t="shared" si="725"/>
        <v/>
      </c>
      <c r="U4647" t="str">
        <f t="shared" si="726"/>
        <v/>
      </c>
      <c r="V4647" t="str">
        <f t="shared" si="727"/>
        <v/>
      </c>
      <c r="W4647" t="str">
        <f t="shared" si="728"/>
        <v/>
      </c>
      <c r="X4647">
        <f>IF($T4647="",N($X4646),IF(MATCH($T4647,$T$6:$T$10005,0)=ROW()-5,N($X4646)+1,N($X4646)))</f>
        <v>0</v>
      </c>
      <c r="Z4647" t="str">
        <f t="shared" si="729"/>
        <v/>
      </c>
      <c r="AA4647">
        <f>IF($V4647="",N($AA4646),IF(MATCH($V4647,$V$6:$V$10005,0)=ROW()-5,N($AA4646)+1,N($AA4646)))</f>
        <v>0</v>
      </c>
    </row>
    <row r="4648" spans="1:27" ht="21" customHeight="1" x14ac:dyDescent="0.95">
      <c r="A4648" s="56"/>
      <c r="B4648" s="57"/>
      <c r="C4648" s="57"/>
      <c r="D4648" s="57"/>
      <c r="E4648" s="56"/>
      <c r="F4648" s="57"/>
      <c r="G4648" s="57"/>
      <c r="H4648" s="56"/>
      <c r="I4648" s="56"/>
      <c r="J4648" s="58"/>
      <c r="K4648" s="58"/>
      <c r="L4648" s="13" t="str">
        <f t="shared" si="720"/>
        <v/>
      </c>
      <c r="M4648" s="13" t="str">
        <f t="shared" si="721"/>
        <v/>
      </c>
      <c r="Q4648" t="str">
        <f t="shared" si="722"/>
        <v/>
      </c>
      <c r="R4648" t="str">
        <f t="shared" si="723"/>
        <v/>
      </c>
      <c r="S4648" t="str">
        <f t="shared" si="724"/>
        <v/>
      </c>
      <c r="T4648" t="str">
        <f t="shared" si="725"/>
        <v/>
      </c>
      <c r="U4648" t="str">
        <f t="shared" si="726"/>
        <v/>
      </c>
      <c r="V4648" t="str">
        <f t="shared" si="727"/>
        <v/>
      </c>
      <c r="W4648" t="str">
        <f t="shared" si="728"/>
        <v/>
      </c>
      <c r="X4648">
        <f>IF($T4648="",N($X4647),IF(MATCH($T4648,$T$6:$T$10005,0)=ROW()-5,N($X4647)+1,N($X4647)))</f>
        <v>0</v>
      </c>
      <c r="Z4648" t="str">
        <f t="shared" si="729"/>
        <v/>
      </c>
      <c r="AA4648">
        <f>IF($V4648="",N($AA4647),IF(MATCH($V4648,$V$6:$V$10005,0)=ROW()-5,N($AA4647)+1,N($AA4647)))</f>
        <v>0</v>
      </c>
    </row>
    <row r="4649" spans="1:27" ht="21" customHeight="1" x14ac:dyDescent="0.95">
      <c r="A4649" s="56"/>
      <c r="B4649" s="57"/>
      <c r="C4649" s="57"/>
      <c r="D4649" s="57"/>
      <c r="E4649" s="56"/>
      <c r="F4649" s="57"/>
      <c r="G4649" s="57"/>
      <c r="H4649" s="56"/>
      <c r="I4649" s="56"/>
      <c r="J4649" s="58"/>
      <c r="K4649" s="58"/>
      <c r="L4649" s="13" t="str">
        <f t="shared" si="720"/>
        <v/>
      </c>
      <c r="M4649" s="13" t="str">
        <f t="shared" si="721"/>
        <v/>
      </c>
      <c r="Q4649" t="str">
        <f t="shared" si="722"/>
        <v/>
      </c>
      <c r="R4649" t="str">
        <f t="shared" si="723"/>
        <v/>
      </c>
      <c r="S4649" t="str">
        <f t="shared" si="724"/>
        <v/>
      </c>
      <c r="T4649" t="str">
        <f t="shared" si="725"/>
        <v/>
      </c>
      <c r="U4649" t="str">
        <f t="shared" si="726"/>
        <v/>
      </c>
      <c r="V4649" t="str">
        <f t="shared" si="727"/>
        <v/>
      </c>
      <c r="W4649" t="str">
        <f t="shared" si="728"/>
        <v/>
      </c>
      <c r="X4649">
        <f>IF($T4649="",N($X4648),IF(MATCH($T4649,$T$6:$T$10005,0)=ROW()-5,N($X4648)+1,N($X4648)))</f>
        <v>0</v>
      </c>
      <c r="Z4649" t="str">
        <f t="shared" si="729"/>
        <v/>
      </c>
      <c r="AA4649">
        <f>IF($V4649="",N($AA4648),IF(MATCH($V4649,$V$6:$V$10005,0)=ROW()-5,N($AA4648)+1,N($AA4648)))</f>
        <v>0</v>
      </c>
    </row>
    <row r="4650" spans="1:27" ht="21" customHeight="1" x14ac:dyDescent="0.95">
      <c r="A4650" s="56"/>
      <c r="B4650" s="57"/>
      <c r="C4650" s="57"/>
      <c r="D4650" s="57"/>
      <c r="E4650" s="56"/>
      <c r="F4650" s="57"/>
      <c r="G4650" s="57"/>
      <c r="H4650" s="56"/>
      <c r="I4650" s="56"/>
      <c r="J4650" s="58"/>
      <c r="K4650" s="58"/>
      <c r="L4650" s="13" t="str">
        <f t="shared" si="720"/>
        <v/>
      </c>
      <c r="M4650" s="13" t="str">
        <f t="shared" si="721"/>
        <v/>
      </c>
      <c r="Q4650" t="str">
        <f t="shared" si="722"/>
        <v/>
      </c>
      <c r="R4650" t="str">
        <f t="shared" si="723"/>
        <v/>
      </c>
      <c r="S4650" t="str">
        <f t="shared" si="724"/>
        <v/>
      </c>
      <c r="T4650" t="str">
        <f t="shared" si="725"/>
        <v/>
      </c>
      <c r="U4650" t="str">
        <f t="shared" si="726"/>
        <v/>
      </c>
      <c r="V4650" t="str">
        <f t="shared" si="727"/>
        <v/>
      </c>
      <c r="W4650" t="str">
        <f t="shared" si="728"/>
        <v/>
      </c>
      <c r="X4650">
        <f>IF($T4650="",N($X4649),IF(MATCH($T4650,$T$6:$T$10005,0)=ROW()-5,N($X4649)+1,N($X4649)))</f>
        <v>0</v>
      </c>
      <c r="Z4650" t="str">
        <f t="shared" si="729"/>
        <v/>
      </c>
      <c r="AA4650">
        <f>IF($V4650="",N($AA4649),IF(MATCH($V4650,$V$6:$V$10005,0)=ROW()-5,N($AA4649)+1,N($AA4649)))</f>
        <v>0</v>
      </c>
    </row>
    <row r="4651" spans="1:27" ht="21" customHeight="1" x14ac:dyDescent="0.95">
      <c r="A4651" s="56"/>
      <c r="B4651" s="57"/>
      <c r="C4651" s="57"/>
      <c r="D4651" s="57"/>
      <c r="E4651" s="56"/>
      <c r="F4651" s="57"/>
      <c r="G4651" s="57"/>
      <c r="H4651" s="56"/>
      <c r="I4651" s="56"/>
      <c r="J4651" s="58"/>
      <c r="K4651" s="58"/>
      <c r="L4651" s="13" t="str">
        <f t="shared" si="720"/>
        <v/>
      </c>
      <c r="M4651" s="13" t="str">
        <f t="shared" si="721"/>
        <v/>
      </c>
      <c r="Q4651" t="str">
        <f t="shared" si="722"/>
        <v/>
      </c>
      <c r="R4651" t="str">
        <f t="shared" si="723"/>
        <v/>
      </c>
      <c r="S4651" t="str">
        <f t="shared" si="724"/>
        <v/>
      </c>
      <c r="T4651" t="str">
        <f t="shared" si="725"/>
        <v/>
      </c>
      <c r="U4651" t="str">
        <f t="shared" si="726"/>
        <v/>
      </c>
      <c r="V4651" t="str">
        <f t="shared" si="727"/>
        <v/>
      </c>
      <c r="W4651" t="str">
        <f t="shared" si="728"/>
        <v/>
      </c>
      <c r="X4651">
        <f>IF($T4651="",N($X4650),IF(MATCH($T4651,$T$6:$T$10005,0)=ROW()-5,N($X4650)+1,N($X4650)))</f>
        <v>0</v>
      </c>
      <c r="Z4651" t="str">
        <f t="shared" si="729"/>
        <v/>
      </c>
      <c r="AA4651">
        <f>IF($V4651="",N($AA4650),IF(MATCH($V4651,$V$6:$V$10005,0)=ROW()-5,N($AA4650)+1,N($AA4650)))</f>
        <v>0</v>
      </c>
    </row>
    <row r="4652" spans="1:27" ht="21" customHeight="1" x14ac:dyDescent="0.95">
      <c r="A4652" s="56"/>
      <c r="B4652" s="57"/>
      <c r="C4652" s="57"/>
      <c r="D4652" s="57"/>
      <c r="E4652" s="56"/>
      <c r="F4652" s="57"/>
      <c r="G4652" s="57"/>
      <c r="H4652" s="56"/>
      <c r="I4652" s="56"/>
      <c r="J4652" s="58"/>
      <c r="K4652" s="58"/>
      <c r="L4652" s="13" t="str">
        <f t="shared" si="720"/>
        <v/>
      </c>
      <c r="M4652" s="13" t="str">
        <f t="shared" si="721"/>
        <v/>
      </c>
      <c r="Q4652" t="str">
        <f t="shared" si="722"/>
        <v/>
      </c>
      <c r="R4652" t="str">
        <f t="shared" si="723"/>
        <v/>
      </c>
      <c r="S4652" t="str">
        <f t="shared" si="724"/>
        <v/>
      </c>
      <c r="T4652" t="str">
        <f t="shared" si="725"/>
        <v/>
      </c>
      <c r="U4652" t="str">
        <f t="shared" si="726"/>
        <v/>
      </c>
      <c r="V4652" t="str">
        <f t="shared" si="727"/>
        <v/>
      </c>
      <c r="W4652" t="str">
        <f t="shared" si="728"/>
        <v/>
      </c>
      <c r="X4652">
        <f>IF($T4652="",N($X4651),IF(MATCH($T4652,$T$6:$T$10005,0)=ROW()-5,N($X4651)+1,N($X4651)))</f>
        <v>0</v>
      </c>
      <c r="Z4652" t="str">
        <f t="shared" si="729"/>
        <v/>
      </c>
      <c r="AA4652">
        <f>IF($V4652="",N($AA4651),IF(MATCH($V4652,$V$6:$V$10005,0)=ROW()-5,N($AA4651)+1,N($AA4651)))</f>
        <v>0</v>
      </c>
    </row>
    <row r="4653" spans="1:27" ht="21" customHeight="1" x14ac:dyDescent="0.95">
      <c r="A4653" s="56"/>
      <c r="B4653" s="57"/>
      <c r="C4653" s="57"/>
      <c r="D4653" s="57"/>
      <c r="E4653" s="56"/>
      <c r="F4653" s="57"/>
      <c r="G4653" s="57"/>
      <c r="H4653" s="56"/>
      <c r="I4653" s="56"/>
      <c r="J4653" s="58"/>
      <c r="K4653" s="58"/>
      <c r="L4653" s="13" t="str">
        <f t="shared" si="720"/>
        <v/>
      </c>
      <c r="M4653" s="13" t="str">
        <f t="shared" si="721"/>
        <v/>
      </c>
      <c r="Q4653" t="str">
        <f t="shared" si="722"/>
        <v/>
      </c>
      <c r="R4653" t="str">
        <f t="shared" si="723"/>
        <v/>
      </c>
      <c r="S4653" t="str">
        <f t="shared" si="724"/>
        <v/>
      </c>
      <c r="T4653" t="str">
        <f t="shared" si="725"/>
        <v/>
      </c>
      <c r="U4653" t="str">
        <f t="shared" si="726"/>
        <v/>
      </c>
      <c r="V4653" t="str">
        <f t="shared" si="727"/>
        <v/>
      </c>
      <c r="W4653" t="str">
        <f t="shared" si="728"/>
        <v/>
      </c>
      <c r="X4653">
        <f>IF($T4653="",N($X4652),IF(MATCH($T4653,$T$6:$T$10005,0)=ROW()-5,N($X4652)+1,N($X4652)))</f>
        <v>0</v>
      </c>
      <c r="Z4653" t="str">
        <f t="shared" si="729"/>
        <v/>
      </c>
      <c r="AA4653">
        <f>IF($V4653="",N($AA4652),IF(MATCH($V4653,$V$6:$V$10005,0)=ROW()-5,N($AA4652)+1,N($AA4652)))</f>
        <v>0</v>
      </c>
    </row>
    <row r="4654" spans="1:27" ht="21" customHeight="1" x14ac:dyDescent="0.95">
      <c r="A4654" s="56"/>
      <c r="B4654" s="57"/>
      <c r="C4654" s="57"/>
      <c r="D4654" s="57"/>
      <c r="E4654" s="56"/>
      <c r="F4654" s="57"/>
      <c r="G4654" s="57"/>
      <c r="H4654" s="56"/>
      <c r="I4654" s="56"/>
      <c r="J4654" s="58"/>
      <c r="K4654" s="58"/>
      <c r="L4654" s="13" t="str">
        <f t="shared" si="720"/>
        <v/>
      </c>
      <c r="M4654" s="13" t="str">
        <f t="shared" si="721"/>
        <v/>
      </c>
      <c r="Q4654" t="str">
        <f t="shared" si="722"/>
        <v/>
      </c>
      <c r="R4654" t="str">
        <f t="shared" si="723"/>
        <v/>
      </c>
      <c r="S4654" t="str">
        <f t="shared" si="724"/>
        <v/>
      </c>
      <c r="T4654" t="str">
        <f t="shared" si="725"/>
        <v/>
      </c>
      <c r="U4654" t="str">
        <f t="shared" si="726"/>
        <v/>
      </c>
      <c r="V4654" t="str">
        <f t="shared" si="727"/>
        <v/>
      </c>
      <c r="W4654" t="str">
        <f t="shared" si="728"/>
        <v/>
      </c>
      <c r="X4654">
        <f>IF($T4654="",N($X4653),IF(MATCH($T4654,$T$6:$T$10005,0)=ROW()-5,N($X4653)+1,N($X4653)))</f>
        <v>0</v>
      </c>
      <c r="Z4654" t="str">
        <f t="shared" si="729"/>
        <v/>
      </c>
      <c r="AA4654">
        <f>IF($V4654="",N($AA4653),IF(MATCH($V4654,$V$6:$V$10005,0)=ROW()-5,N($AA4653)+1,N($AA4653)))</f>
        <v>0</v>
      </c>
    </row>
    <row r="4655" spans="1:27" ht="21" customHeight="1" x14ac:dyDescent="0.95">
      <c r="A4655" s="56"/>
      <c r="B4655" s="57"/>
      <c r="C4655" s="57"/>
      <c r="D4655" s="57"/>
      <c r="E4655" s="56"/>
      <c r="F4655" s="57"/>
      <c r="G4655" s="57"/>
      <c r="H4655" s="56"/>
      <c r="I4655" s="56"/>
      <c r="J4655" s="58"/>
      <c r="K4655" s="58"/>
      <c r="L4655" s="13" t="str">
        <f t="shared" si="720"/>
        <v/>
      </c>
      <c r="M4655" s="13" t="str">
        <f t="shared" si="721"/>
        <v/>
      </c>
      <c r="Q4655" t="str">
        <f t="shared" si="722"/>
        <v/>
      </c>
      <c r="R4655" t="str">
        <f t="shared" si="723"/>
        <v/>
      </c>
      <c r="S4655" t="str">
        <f t="shared" si="724"/>
        <v/>
      </c>
      <c r="T4655" t="str">
        <f t="shared" si="725"/>
        <v/>
      </c>
      <c r="U4655" t="str">
        <f t="shared" si="726"/>
        <v/>
      </c>
      <c r="V4655" t="str">
        <f t="shared" si="727"/>
        <v/>
      </c>
      <c r="W4655" t="str">
        <f t="shared" si="728"/>
        <v/>
      </c>
      <c r="X4655">
        <f>IF($T4655="",N($X4654),IF(MATCH($T4655,$T$6:$T$10005,0)=ROW()-5,N($X4654)+1,N($X4654)))</f>
        <v>0</v>
      </c>
      <c r="Z4655" t="str">
        <f t="shared" si="729"/>
        <v/>
      </c>
      <c r="AA4655">
        <f>IF($V4655="",N($AA4654),IF(MATCH($V4655,$V$6:$V$10005,0)=ROW()-5,N($AA4654)+1,N($AA4654)))</f>
        <v>0</v>
      </c>
    </row>
    <row r="4656" spans="1:27" ht="21" customHeight="1" x14ac:dyDescent="0.95">
      <c r="A4656" s="56"/>
      <c r="B4656" s="57"/>
      <c r="C4656" s="57"/>
      <c r="D4656" s="57"/>
      <c r="E4656" s="56"/>
      <c r="F4656" s="57"/>
      <c r="G4656" s="57"/>
      <c r="H4656" s="56"/>
      <c r="I4656" s="56"/>
      <c r="J4656" s="58"/>
      <c r="K4656" s="58"/>
      <c r="L4656" s="13" t="str">
        <f t="shared" si="720"/>
        <v/>
      </c>
      <c r="M4656" s="13" t="str">
        <f t="shared" si="721"/>
        <v/>
      </c>
      <c r="Q4656" t="str">
        <f t="shared" si="722"/>
        <v/>
      </c>
      <c r="R4656" t="str">
        <f t="shared" si="723"/>
        <v/>
      </c>
      <c r="S4656" t="str">
        <f t="shared" si="724"/>
        <v/>
      </c>
      <c r="T4656" t="str">
        <f t="shared" si="725"/>
        <v/>
      </c>
      <c r="U4656" t="str">
        <f t="shared" si="726"/>
        <v/>
      </c>
      <c r="V4656" t="str">
        <f t="shared" si="727"/>
        <v/>
      </c>
      <c r="W4656" t="str">
        <f t="shared" si="728"/>
        <v/>
      </c>
      <c r="X4656">
        <f>IF($T4656="",N($X4655),IF(MATCH($T4656,$T$6:$T$10005,0)=ROW()-5,N($X4655)+1,N($X4655)))</f>
        <v>0</v>
      </c>
      <c r="Z4656" t="str">
        <f t="shared" si="729"/>
        <v/>
      </c>
      <c r="AA4656">
        <f>IF($V4656="",N($AA4655),IF(MATCH($V4656,$V$6:$V$10005,0)=ROW()-5,N($AA4655)+1,N($AA4655)))</f>
        <v>0</v>
      </c>
    </row>
    <row r="4657" spans="1:27" ht="21" customHeight="1" x14ac:dyDescent="0.95">
      <c r="A4657" s="56"/>
      <c r="B4657" s="57"/>
      <c r="C4657" s="57"/>
      <c r="D4657" s="57"/>
      <c r="E4657" s="56"/>
      <c r="F4657" s="57"/>
      <c r="G4657" s="57"/>
      <c r="H4657" s="56"/>
      <c r="I4657" s="56"/>
      <c r="J4657" s="58"/>
      <c r="K4657" s="58"/>
      <c r="L4657" s="13" t="str">
        <f t="shared" si="720"/>
        <v/>
      </c>
      <c r="M4657" s="13" t="str">
        <f t="shared" si="721"/>
        <v/>
      </c>
      <c r="Q4657" t="str">
        <f t="shared" si="722"/>
        <v/>
      </c>
      <c r="R4657" t="str">
        <f t="shared" si="723"/>
        <v/>
      </c>
      <c r="S4657" t="str">
        <f t="shared" si="724"/>
        <v/>
      </c>
      <c r="T4657" t="str">
        <f t="shared" si="725"/>
        <v/>
      </c>
      <c r="U4657" t="str">
        <f t="shared" si="726"/>
        <v/>
      </c>
      <c r="V4657" t="str">
        <f t="shared" si="727"/>
        <v/>
      </c>
      <c r="W4657" t="str">
        <f t="shared" si="728"/>
        <v/>
      </c>
      <c r="X4657">
        <f>IF($T4657="",N($X4656),IF(MATCH($T4657,$T$6:$T$10005,0)=ROW()-5,N($X4656)+1,N($X4656)))</f>
        <v>0</v>
      </c>
      <c r="Z4657" t="str">
        <f t="shared" si="729"/>
        <v/>
      </c>
      <c r="AA4657">
        <f>IF($V4657="",N($AA4656),IF(MATCH($V4657,$V$6:$V$10005,0)=ROW()-5,N($AA4656)+1,N($AA4656)))</f>
        <v>0</v>
      </c>
    </row>
    <row r="4658" spans="1:27" ht="21" customHeight="1" x14ac:dyDescent="0.95">
      <c r="A4658" s="56"/>
      <c r="B4658" s="57"/>
      <c r="C4658" s="57"/>
      <c r="D4658" s="57"/>
      <c r="E4658" s="56"/>
      <c r="F4658" s="57"/>
      <c r="G4658" s="57"/>
      <c r="H4658" s="56"/>
      <c r="I4658" s="56"/>
      <c r="J4658" s="58"/>
      <c r="K4658" s="58"/>
      <c r="L4658" s="13" t="str">
        <f t="shared" si="720"/>
        <v/>
      </c>
      <c r="M4658" s="13" t="str">
        <f t="shared" si="721"/>
        <v/>
      </c>
      <c r="Q4658" t="str">
        <f t="shared" si="722"/>
        <v/>
      </c>
      <c r="R4658" t="str">
        <f t="shared" si="723"/>
        <v/>
      </c>
      <c r="S4658" t="str">
        <f t="shared" si="724"/>
        <v/>
      </c>
      <c r="T4658" t="str">
        <f t="shared" si="725"/>
        <v/>
      </c>
      <c r="U4658" t="str">
        <f t="shared" si="726"/>
        <v/>
      </c>
      <c r="V4658" t="str">
        <f t="shared" si="727"/>
        <v/>
      </c>
      <c r="W4658" t="str">
        <f t="shared" si="728"/>
        <v/>
      </c>
      <c r="X4658">
        <f>IF($T4658="",N($X4657),IF(MATCH($T4658,$T$6:$T$10005,0)=ROW()-5,N($X4657)+1,N($X4657)))</f>
        <v>0</v>
      </c>
      <c r="Z4658" t="str">
        <f t="shared" si="729"/>
        <v/>
      </c>
      <c r="AA4658">
        <f>IF($V4658="",N($AA4657),IF(MATCH($V4658,$V$6:$V$10005,0)=ROW()-5,N($AA4657)+1,N($AA4657)))</f>
        <v>0</v>
      </c>
    </row>
    <row r="4659" spans="1:27" ht="21" customHeight="1" x14ac:dyDescent="0.95">
      <c r="A4659" s="56"/>
      <c r="B4659" s="57"/>
      <c r="C4659" s="57"/>
      <c r="D4659" s="57"/>
      <c r="E4659" s="56"/>
      <c r="F4659" s="57"/>
      <c r="G4659" s="57"/>
      <c r="H4659" s="56"/>
      <c r="I4659" s="56"/>
      <c r="J4659" s="58"/>
      <c r="K4659" s="58"/>
      <c r="L4659" s="13" t="str">
        <f t="shared" si="720"/>
        <v/>
      </c>
      <c r="M4659" s="13" t="str">
        <f t="shared" si="721"/>
        <v/>
      </c>
      <c r="Q4659" t="str">
        <f t="shared" si="722"/>
        <v/>
      </c>
      <c r="R4659" t="str">
        <f t="shared" si="723"/>
        <v/>
      </c>
      <c r="S4659" t="str">
        <f t="shared" si="724"/>
        <v/>
      </c>
      <c r="T4659" t="str">
        <f t="shared" si="725"/>
        <v/>
      </c>
      <c r="U4659" t="str">
        <f t="shared" si="726"/>
        <v/>
      </c>
      <c r="V4659" t="str">
        <f t="shared" si="727"/>
        <v/>
      </c>
      <c r="W4659" t="str">
        <f t="shared" si="728"/>
        <v/>
      </c>
      <c r="X4659">
        <f>IF($T4659="",N($X4658),IF(MATCH($T4659,$T$6:$T$10005,0)=ROW()-5,N($X4658)+1,N($X4658)))</f>
        <v>0</v>
      </c>
      <c r="Z4659" t="str">
        <f t="shared" si="729"/>
        <v/>
      </c>
      <c r="AA4659">
        <f>IF($V4659="",N($AA4658),IF(MATCH($V4659,$V$6:$V$10005,0)=ROW()-5,N($AA4658)+1,N($AA4658)))</f>
        <v>0</v>
      </c>
    </row>
    <row r="4660" spans="1:27" ht="21" customHeight="1" x14ac:dyDescent="0.95">
      <c r="A4660" s="56"/>
      <c r="B4660" s="57"/>
      <c r="C4660" s="57"/>
      <c r="D4660" s="57"/>
      <c r="E4660" s="56"/>
      <c r="F4660" s="57"/>
      <c r="G4660" s="57"/>
      <c r="H4660" s="56"/>
      <c r="I4660" s="56"/>
      <c r="J4660" s="58"/>
      <c r="K4660" s="58"/>
      <c r="L4660" s="13" t="str">
        <f t="shared" si="720"/>
        <v/>
      </c>
      <c r="M4660" s="13" t="str">
        <f t="shared" si="721"/>
        <v/>
      </c>
      <c r="Q4660" t="str">
        <f t="shared" si="722"/>
        <v/>
      </c>
      <c r="R4660" t="str">
        <f t="shared" si="723"/>
        <v/>
      </c>
      <c r="S4660" t="str">
        <f t="shared" si="724"/>
        <v/>
      </c>
      <c r="T4660" t="str">
        <f t="shared" si="725"/>
        <v/>
      </c>
      <c r="U4660" t="str">
        <f t="shared" si="726"/>
        <v/>
      </c>
      <c r="V4660" t="str">
        <f t="shared" si="727"/>
        <v/>
      </c>
      <c r="W4660" t="str">
        <f t="shared" si="728"/>
        <v/>
      </c>
      <c r="X4660">
        <f>IF($T4660="",N($X4659),IF(MATCH($T4660,$T$6:$T$10005,0)=ROW()-5,N($X4659)+1,N($X4659)))</f>
        <v>0</v>
      </c>
      <c r="Z4660" t="str">
        <f t="shared" si="729"/>
        <v/>
      </c>
      <c r="AA4660">
        <f>IF($V4660="",N($AA4659),IF(MATCH($V4660,$V$6:$V$10005,0)=ROW()-5,N($AA4659)+1,N($AA4659)))</f>
        <v>0</v>
      </c>
    </row>
    <row r="4661" spans="1:27" ht="21" customHeight="1" x14ac:dyDescent="0.95">
      <c r="A4661" s="56"/>
      <c r="B4661" s="57"/>
      <c r="C4661" s="57"/>
      <c r="D4661" s="57"/>
      <c r="E4661" s="56"/>
      <c r="F4661" s="57"/>
      <c r="G4661" s="57"/>
      <c r="H4661" s="56"/>
      <c r="I4661" s="56"/>
      <c r="J4661" s="58"/>
      <c r="K4661" s="58"/>
      <c r="L4661" s="13" t="str">
        <f t="shared" si="720"/>
        <v/>
      </c>
      <c r="M4661" s="13" t="str">
        <f t="shared" si="721"/>
        <v/>
      </c>
      <c r="Q4661" t="str">
        <f t="shared" si="722"/>
        <v/>
      </c>
      <c r="R4661" t="str">
        <f t="shared" si="723"/>
        <v/>
      </c>
      <c r="S4661" t="str">
        <f t="shared" si="724"/>
        <v/>
      </c>
      <c r="T4661" t="str">
        <f t="shared" si="725"/>
        <v/>
      </c>
      <c r="U4661" t="str">
        <f t="shared" si="726"/>
        <v/>
      </c>
      <c r="V4661" t="str">
        <f t="shared" si="727"/>
        <v/>
      </c>
      <c r="W4661" t="str">
        <f t="shared" si="728"/>
        <v/>
      </c>
      <c r="X4661">
        <f>IF($T4661="",N($X4660),IF(MATCH($T4661,$T$6:$T$10005,0)=ROW()-5,N($X4660)+1,N($X4660)))</f>
        <v>0</v>
      </c>
      <c r="Z4661" t="str">
        <f t="shared" si="729"/>
        <v/>
      </c>
      <c r="AA4661">
        <f>IF($V4661="",N($AA4660),IF(MATCH($V4661,$V$6:$V$10005,0)=ROW()-5,N($AA4660)+1,N($AA4660)))</f>
        <v>0</v>
      </c>
    </row>
    <row r="4662" spans="1:27" ht="21" customHeight="1" x14ac:dyDescent="0.95">
      <c r="A4662" s="56"/>
      <c r="B4662" s="57"/>
      <c r="C4662" s="57"/>
      <c r="D4662" s="57"/>
      <c r="E4662" s="56"/>
      <c r="F4662" s="57"/>
      <c r="G4662" s="57"/>
      <c r="H4662" s="56"/>
      <c r="I4662" s="56"/>
      <c r="J4662" s="58"/>
      <c r="K4662" s="58"/>
      <c r="L4662" s="13" t="str">
        <f t="shared" si="720"/>
        <v/>
      </c>
      <c r="M4662" s="13" t="str">
        <f t="shared" si="721"/>
        <v/>
      </c>
      <c r="Q4662" t="str">
        <f t="shared" si="722"/>
        <v/>
      </c>
      <c r="R4662" t="str">
        <f t="shared" si="723"/>
        <v/>
      </c>
      <c r="S4662" t="str">
        <f t="shared" si="724"/>
        <v/>
      </c>
      <c r="T4662" t="str">
        <f t="shared" si="725"/>
        <v/>
      </c>
      <c r="U4662" t="str">
        <f t="shared" si="726"/>
        <v/>
      </c>
      <c r="V4662" t="str">
        <f t="shared" si="727"/>
        <v/>
      </c>
      <c r="W4662" t="str">
        <f t="shared" si="728"/>
        <v/>
      </c>
      <c r="X4662">
        <f>IF($T4662="",N($X4661),IF(MATCH($T4662,$T$6:$T$10005,0)=ROW()-5,N($X4661)+1,N($X4661)))</f>
        <v>0</v>
      </c>
      <c r="Z4662" t="str">
        <f t="shared" si="729"/>
        <v/>
      </c>
      <c r="AA4662">
        <f>IF($V4662="",N($AA4661),IF(MATCH($V4662,$V$6:$V$10005,0)=ROW()-5,N($AA4661)+1,N($AA4661)))</f>
        <v>0</v>
      </c>
    </row>
    <row r="4663" spans="1:27" ht="21" customHeight="1" x14ac:dyDescent="0.95">
      <c r="A4663" s="56"/>
      <c r="B4663" s="57"/>
      <c r="C4663" s="57"/>
      <c r="D4663" s="57"/>
      <c r="E4663" s="56"/>
      <c r="F4663" s="57"/>
      <c r="G4663" s="57"/>
      <c r="H4663" s="56"/>
      <c r="I4663" s="56"/>
      <c r="J4663" s="58"/>
      <c r="K4663" s="58"/>
      <c r="L4663" s="13" t="str">
        <f t="shared" si="720"/>
        <v/>
      </c>
      <c r="M4663" s="13" t="str">
        <f t="shared" si="721"/>
        <v/>
      </c>
      <c r="Q4663" t="str">
        <f t="shared" si="722"/>
        <v/>
      </c>
      <c r="R4663" t="str">
        <f t="shared" si="723"/>
        <v/>
      </c>
      <c r="S4663" t="str">
        <f t="shared" si="724"/>
        <v/>
      </c>
      <c r="T4663" t="str">
        <f t="shared" si="725"/>
        <v/>
      </c>
      <c r="U4663" t="str">
        <f t="shared" si="726"/>
        <v/>
      </c>
      <c r="V4663" t="str">
        <f t="shared" si="727"/>
        <v/>
      </c>
      <c r="W4663" t="str">
        <f t="shared" si="728"/>
        <v/>
      </c>
      <c r="X4663">
        <f>IF($T4663="",N($X4662),IF(MATCH($T4663,$T$6:$T$10005,0)=ROW()-5,N($X4662)+1,N($X4662)))</f>
        <v>0</v>
      </c>
      <c r="Z4663" t="str">
        <f t="shared" si="729"/>
        <v/>
      </c>
      <c r="AA4663">
        <f>IF($V4663="",N($AA4662),IF(MATCH($V4663,$V$6:$V$10005,0)=ROW()-5,N($AA4662)+1,N($AA4662)))</f>
        <v>0</v>
      </c>
    </row>
    <row r="4664" spans="1:27" ht="21" customHeight="1" x14ac:dyDescent="0.95">
      <c r="A4664" s="56"/>
      <c r="B4664" s="57"/>
      <c r="C4664" s="57"/>
      <c r="D4664" s="57"/>
      <c r="E4664" s="56"/>
      <c r="F4664" s="57"/>
      <c r="G4664" s="57"/>
      <c r="H4664" s="56"/>
      <c r="I4664" s="56"/>
      <c r="J4664" s="58"/>
      <c r="K4664" s="58"/>
      <c r="L4664" s="13" t="str">
        <f t="shared" si="720"/>
        <v/>
      </c>
      <c r="M4664" s="13" t="str">
        <f t="shared" si="721"/>
        <v/>
      </c>
      <c r="Q4664" t="str">
        <f t="shared" si="722"/>
        <v/>
      </c>
      <c r="R4664" t="str">
        <f t="shared" si="723"/>
        <v/>
      </c>
      <c r="S4664" t="str">
        <f t="shared" si="724"/>
        <v/>
      </c>
      <c r="T4664" t="str">
        <f t="shared" si="725"/>
        <v/>
      </c>
      <c r="U4664" t="str">
        <f t="shared" si="726"/>
        <v/>
      </c>
      <c r="V4664" t="str">
        <f t="shared" si="727"/>
        <v/>
      </c>
      <c r="W4664" t="str">
        <f t="shared" si="728"/>
        <v/>
      </c>
      <c r="X4664">
        <f>IF($T4664="",N($X4663),IF(MATCH($T4664,$T$6:$T$10005,0)=ROW()-5,N($X4663)+1,N($X4663)))</f>
        <v>0</v>
      </c>
      <c r="Z4664" t="str">
        <f t="shared" si="729"/>
        <v/>
      </c>
      <c r="AA4664">
        <f>IF($V4664="",N($AA4663),IF(MATCH($V4664,$V$6:$V$10005,0)=ROW()-5,N($AA4663)+1,N($AA4663)))</f>
        <v>0</v>
      </c>
    </row>
    <row r="4665" spans="1:27" ht="21" customHeight="1" x14ac:dyDescent="0.95">
      <c r="A4665" s="56"/>
      <c r="B4665" s="57"/>
      <c r="C4665" s="57"/>
      <c r="D4665" s="57"/>
      <c r="E4665" s="56"/>
      <c r="F4665" s="57"/>
      <c r="G4665" s="57"/>
      <c r="H4665" s="56"/>
      <c r="I4665" s="56"/>
      <c r="J4665" s="58"/>
      <c r="K4665" s="58"/>
      <c r="L4665" s="13" t="str">
        <f t="shared" si="720"/>
        <v/>
      </c>
      <c r="M4665" s="13" t="str">
        <f t="shared" si="721"/>
        <v/>
      </c>
      <c r="Q4665" t="str">
        <f t="shared" si="722"/>
        <v/>
      </c>
      <c r="R4665" t="str">
        <f t="shared" si="723"/>
        <v/>
      </c>
      <c r="S4665" t="str">
        <f t="shared" si="724"/>
        <v/>
      </c>
      <c r="T4665" t="str">
        <f t="shared" si="725"/>
        <v/>
      </c>
      <c r="U4665" t="str">
        <f t="shared" si="726"/>
        <v/>
      </c>
      <c r="V4665" t="str">
        <f t="shared" si="727"/>
        <v/>
      </c>
      <c r="W4665" t="str">
        <f t="shared" si="728"/>
        <v/>
      </c>
      <c r="X4665">
        <f>IF($T4665="",N($X4664),IF(MATCH($T4665,$T$6:$T$10005,0)=ROW()-5,N($X4664)+1,N($X4664)))</f>
        <v>0</v>
      </c>
      <c r="Z4665" t="str">
        <f t="shared" si="729"/>
        <v/>
      </c>
      <c r="AA4665">
        <f>IF($V4665="",N($AA4664),IF(MATCH($V4665,$V$6:$V$10005,0)=ROW()-5,N($AA4664)+1,N($AA4664)))</f>
        <v>0</v>
      </c>
    </row>
    <row r="4666" spans="1:27" ht="21" customHeight="1" x14ac:dyDescent="0.95">
      <c r="A4666" s="56"/>
      <c r="B4666" s="57"/>
      <c r="C4666" s="57"/>
      <c r="D4666" s="57"/>
      <c r="E4666" s="56"/>
      <c r="F4666" s="57"/>
      <c r="G4666" s="57"/>
      <c r="H4666" s="56"/>
      <c r="I4666" s="56"/>
      <c r="J4666" s="58"/>
      <c r="K4666" s="58"/>
      <c r="L4666" s="13" t="str">
        <f t="shared" si="720"/>
        <v/>
      </c>
      <c r="M4666" s="13" t="str">
        <f t="shared" si="721"/>
        <v/>
      </c>
      <c r="Q4666" t="str">
        <f t="shared" si="722"/>
        <v/>
      </c>
      <c r="R4666" t="str">
        <f t="shared" si="723"/>
        <v/>
      </c>
      <c r="S4666" t="str">
        <f t="shared" si="724"/>
        <v/>
      </c>
      <c r="T4666" t="str">
        <f t="shared" si="725"/>
        <v/>
      </c>
      <c r="U4666" t="str">
        <f t="shared" si="726"/>
        <v/>
      </c>
      <c r="V4666" t="str">
        <f t="shared" si="727"/>
        <v/>
      </c>
      <c r="W4666" t="str">
        <f t="shared" si="728"/>
        <v/>
      </c>
      <c r="X4666">
        <f>IF($T4666="",N($X4665),IF(MATCH($T4666,$T$6:$T$10005,0)=ROW()-5,N($X4665)+1,N($X4665)))</f>
        <v>0</v>
      </c>
      <c r="Z4666" t="str">
        <f t="shared" si="729"/>
        <v/>
      </c>
      <c r="AA4666">
        <f>IF($V4666="",N($AA4665),IF(MATCH($V4666,$V$6:$V$10005,0)=ROW()-5,N($AA4665)+1,N($AA4665)))</f>
        <v>0</v>
      </c>
    </row>
    <row r="4667" spans="1:27" ht="21" customHeight="1" x14ac:dyDescent="0.95">
      <c r="A4667" s="56"/>
      <c r="B4667" s="57"/>
      <c r="C4667" s="57"/>
      <c r="D4667" s="57"/>
      <c r="E4667" s="56"/>
      <c r="F4667" s="57"/>
      <c r="G4667" s="57"/>
      <c r="H4667" s="56"/>
      <c r="I4667" s="56"/>
      <c r="J4667" s="58"/>
      <c r="K4667" s="58"/>
      <c r="L4667" s="13" t="str">
        <f t="shared" si="720"/>
        <v/>
      </c>
      <c r="M4667" s="13" t="str">
        <f t="shared" si="721"/>
        <v/>
      </c>
      <c r="Q4667" t="str">
        <f t="shared" si="722"/>
        <v/>
      </c>
      <c r="R4667" t="str">
        <f t="shared" si="723"/>
        <v/>
      </c>
      <c r="S4667" t="str">
        <f t="shared" si="724"/>
        <v/>
      </c>
      <c r="T4667" t="str">
        <f t="shared" si="725"/>
        <v/>
      </c>
      <c r="U4667" t="str">
        <f t="shared" si="726"/>
        <v/>
      </c>
      <c r="V4667" t="str">
        <f t="shared" si="727"/>
        <v/>
      </c>
      <c r="W4667" t="str">
        <f t="shared" si="728"/>
        <v/>
      </c>
      <c r="X4667">
        <f>IF($T4667="",N($X4666),IF(MATCH($T4667,$T$6:$T$10005,0)=ROW()-5,N($X4666)+1,N($X4666)))</f>
        <v>0</v>
      </c>
      <c r="Z4667" t="str">
        <f t="shared" si="729"/>
        <v/>
      </c>
      <c r="AA4667">
        <f>IF($V4667="",N($AA4666),IF(MATCH($V4667,$V$6:$V$10005,0)=ROW()-5,N($AA4666)+1,N($AA4666)))</f>
        <v>0</v>
      </c>
    </row>
    <row r="4668" spans="1:27" ht="21" customHeight="1" x14ac:dyDescent="0.95">
      <c r="A4668" s="56"/>
      <c r="B4668" s="57"/>
      <c r="C4668" s="57"/>
      <c r="D4668" s="57"/>
      <c r="E4668" s="56"/>
      <c r="F4668" s="57"/>
      <c r="G4668" s="57"/>
      <c r="H4668" s="56"/>
      <c r="I4668" s="56"/>
      <c r="J4668" s="58"/>
      <c r="K4668" s="58"/>
      <c r="L4668" s="13" t="str">
        <f t="shared" si="720"/>
        <v/>
      </c>
      <c r="M4668" s="13" t="str">
        <f t="shared" si="721"/>
        <v/>
      </c>
      <c r="Q4668" t="str">
        <f t="shared" si="722"/>
        <v/>
      </c>
      <c r="R4668" t="str">
        <f t="shared" si="723"/>
        <v/>
      </c>
      <c r="S4668" t="str">
        <f t="shared" si="724"/>
        <v/>
      </c>
      <c r="T4668" t="str">
        <f t="shared" si="725"/>
        <v/>
      </c>
      <c r="U4668" t="str">
        <f t="shared" si="726"/>
        <v/>
      </c>
      <c r="V4668" t="str">
        <f t="shared" si="727"/>
        <v/>
      </c>
      <c r="W4668" t="str">
        <f t="shared" si="728"/>
        <v/>
      </c>
      <c r="X4668">
        <f>IF($T4668="",N($X4667),IF(MATCH($T4668,$T$6:$T$10005,0)=ROW()-5,N($X4667)+1,N($X4667)))</f>
        <v>0</v>
      </c>
      <c r="Z4668" t="str">
        <f t="shared" si="729"/>
        <v/>
      </c>
      <c r="AA4668">
        <f>IF($V4668="",N($AA4667),IF(MATCH($V4668,$V$6:$V$10005,0)=ROW()-5,N($AA4667)+1,N($AA4667)))</f>
        <v>0</v>
      </c>
    </row>
    <row r="4669" spans="1:27" ht="21" customHeight="1" x14ac:dyDescent="0.95">
      <c r="A4669" s="56"/>
      <c r="B4669" s="57"/>
      <c r="C4669" s="57"/>
      <c r="D4669" s="57"/>
      <c r="E4669" s="56"/>
      <c r="F4669" s="57"/>
      <c r="G4669" s="57"/>
      <c r="H4669" s="56"/>
      <c r="I4669" s="56"/>
      <c r="J4669" s="58"/>
      <c r="K4669" s="58"/>
      <c r="L4669" s="13" t="str">
        <f t="shared" si="720"/>
        <v/>
      </c>
      <c r="M4669" s="13" t="str">
        <f t="shared" si="721"/>
        <v/>
      </c>
      <c r="Q4669" t="str">
        <f t="shared" si="722"/>
        <v/>
      </c>
      <c r="R4669" t="str">
        <f t="shared" si="723"/>
        <v/>
      </c>
      <c r="S4669" t="str">
        <f t="shared" si="724"/>
        <v/>
      </c>
      <c r="T4669" t="str">
        <f t="shared" si="725"/>
        <v/>
      </c>
      <c r="U4669" t="str">
        <f t="shared" si="726"/>
        <v/>
      </c>
      <c r="V4669" t="str">
        <f t="shared" si="727"/>
        <v/>
      </c>
      <c r="W4669" t="str">
        <f t="shared" si="728"/>
        <v/>
      </c>
      <c r="X4669">
        <f>IF($T4669="",N($X4668),IF(MATCH($T4669,$T$6:$T$10005,0)=ROW()-5,N($X4668)+1,N($X4668)))</f>
        <v>0</v>
      </c>
      <c r="Z4669" t="str">
        <f t="shared" si="729"/>
        <v/>
      </c>
      <c r="AA4669">
        <f>IF($V4669="",N($AA4668),IF(MATCH($V4669,$V$6:$V$10005,0)=ROW()-5,N($AA4668)+1,N($AA4668)))</f>
        <v>0</v>
      </c>
    </row>
    <row r="4670" spans="1:27" ht="21" customHeight="1" x14ac:dyDescent="0.95">
      <c r="A4670" s="56"/>
      <c r="B4670" s="57"/>
      <c r="C4670" s="57"/>
      <c r="D4670" s="57"/>
      <c r="E4670" s="56"/>
      <c r="F4670" s="57"/>
      <c r="G4670" s="57"/>
      <c r="H4670" s="56"/>
      <c r="I4670" s="56"/>
      <c r="J4670" s="58"/>
      <c r="K4670" s="58"/>
      <c r="L4670" s="13" t="str">
        <f t="shared" si="720"/>
        <v/>
      </c>
      <c r="M4670" s="13" t="str">
        <f t="shared" si="721"/>
        <v/>
      </c>
      <c r="Q4670" t="str">
        <f t="shared" si="722"/>
        <v/>
      </c>
      <c r="R4670" t="str">
        <f t="shared" si="723"/>
        <v/>
      </c>
      <c r="S4670" t="str">
        <f t="shared" si="724"/>
        <v/>
      </c>
      <c r="T4670" t="str">
        <f t="shared" si="725"/>
        <v/>
      </c>
      <c r="U4670" t="str">
        <f t="shared" si="726"/>
        <v/>
      </c>
      <c r="V4670" t="str">
        <f t="shared" si="727"/>
        <v/>
      </c>
      <c r="W4670" t="str">
        <f t="shared" si="728"/>
        <v/>
      </c>
      <c r="X4670">
        <f>IF($T4670="",N($X4669),IF(MATCH($T4670,$T$6:$T$10005,0)=ROW()-5,N($X4669)+1,N($X4669)))</f>
        <v>0</v>
      </c>
      <c r="Z4670" t="str">
        <f t="shared" si="729"/>
        <v/>
      </c>
      <c r="AA4670">
        <f>IF($V4670="",N($AA4669),IF(MATCH($V4670,$V$6:$V$10005,0)=ROW()-5,N($AA4669)+1,N($AA4669)))</f>
        <v>0</v>
      </c>
    </row>
    <row r="4671" spans="1:27" ht="21" customHeight="1" x14ac:dyDescent="0.95">
      <c r="A4671" s="56"/>
      <c r="B4671" s="57"/>
      <c r="C4671" s="57"/>
      <c r="D4671" s="57"/>
      <c r="E4671" s="56"/>
      <c r="F4671" s="57"/>
      <c r="G4671" s="57"/>
      <c r="H4671" s="56"/>
      <c r="I4671" s="56"/>
      <c r="J4671" s="58"/>
      <c r="K4671" s="58"/>
      <c r="L4671" s="13" t="str">
        <f t="shared" si="720"/>
        <v/>
      </c>
      <c r="M4671" s="13" t="str">
        <f t="shared" si="721"/>
        <v/>
      </c>
      <c r="Q4671" t="str">
        <f t="shared" si="722"/>
        <v/>
      </c>
      <c r="R4671" t="str">
        <f t="shared" si="723"/>
        <v/>
      </c>
      <c r="S4671" t="str">
        <f t="shared" si="724"/>
        <v/>
      </c>
      <c r="T4671" t="str">
        <f t="shared" si="725"/>
        <v/>
      </c>
      <c r="U4671" t="str">
        <f t="shared" si="726"/>
        <v/>
      </c>
      <c r="V4671" t="str">
        <f t="shared" si="727"/>
        <v/>
      </c>
      <c r="W4671" t="str">
        <f t="shared" si="728"/>
        <v/>
      </c>
      <c r="X4671">
        <f>IF($T4671="",N($X4670),IF(MATCH($T4671,$T$6:$T$10005,0)=ROW()-5,N($X4670)+1,N($X4670)))</f>
        <v>0</v>
      </c>
      <c r="Z4671" t="str">
        <f t="shared" si="729"/>
        <v/>
      </c>
      <c r="AA4671">
        <f>IF($V4671="",N($AA4670),IF(MATCH($V4671,$V$6:$V$10005,0)=ROW()-5,N($AA4670)+1,N($AA4670)))</f>
        <v>0</v>
      </c>
    </row>
    <row r="4672" spans="1:27" ht="21" customHeight="1" x14ac:dyDescent="0.95">
      <c r="A4672" s="56"/>
      <c r="B4672" s="57"/>
      <c r="C4672" s="57"/>
      <c r="D4672" s="57"/>
      <c r="E4672" s="56"/>
      <c r="F4672" s="57"/>
      <c r="G4672" s="57"/>
      <c r="H4672" s="56"/>
      <c r="I4672" s="56"/>
      <c r="J4672" s="58"/>
      <c r="K4672" s="58"/>
      <c r="L4672" s="13" t="str">
        <f t="shared" si="720"/>
        <v/>
      </c>
      <c r="M4672" s="13" t="str">
        <f t="shared" si="721"/>
        <v/>
      </c>
      <c r="Q4672" t="str">
        <f t="shared" si="722"/>
        <v/>
      </c>
      <c r="R4672" t="str">
        <f t="shared" si="723"/>
        <v/>
      </c>
      <c r="S4672" t="str">
        <f t="shared" si="724"/>
        <v/>
      </c>
      <c r="T4672" t="str">
        <f t="shared" si="725"/>
        <v/>
      </c>
      <c r="U4672" t="str">
        <f t="shared" si="726"/>
        <v/>
      </c>
      <c r="V4672" t="str">
        <f t="shared" si="727"/>
        <v/>
      </c>
      <c r="W4672" t="str">
        <f t="shared" si="728"/>
        <v/>
      </c>
      <c r="X4672">
        <f>IF($T4672="",N($X4671),IF(MATCH($T4672,$T$6:$T$10005,0)=ROW()-5,N($X4671)+1,N($X4671)))</f>
        <v>0</v>
      </c>
      <c r="Z4672" t="str">
        <f t="shared" si="729"/>
        <v/>
      </c>
      <c r="AA4672">
        <f>IF($V4672="",N($AA4671),IF(MATCH($V4672,$V$6:$V$10005,0)=ROW()-5,N($AA4671)+1,N($AA4671)))</f>
        <v>0</v>
      </c>
    </row>
    <row r="4673" spans="1:27" ht="21" customHeight="1" x14ac:dyDescent="0.95">
      <c r="A4673" s="56"/>
      <c r="B4673" s="57"/>
      <c r="C4673" s="57"/>
      <c r="D4673" s="57"/>
      <c r="E4673" s="56"/>
      <c r="F4673" s="57"/>
      <c r="G4673" s="57"/>
      <c r="H4673" s="56"/>
      <c r="I4673" s="56"/>
      <c r="J4673" s="58"/>
      <c r="K4673" s="58"/>
      <c r="L4673" s="13" t="str">
        <f t="shared" si="720"/>
        <v/>
      </c>
      <c r="M4673" s="13" t="str">
        <f t="shared" si="721"/>
        <v/>
      </c>
      <c r="Q4673" t="str">
        <f t="shared" si="722"/>
        <v/>
      </c>
      <c r="R4673" t="str">
        <f t="shared" si="723"/>
        <v/>
      </c>
      <c r="S4673" t="str">
        <f t="shared" si="724"/>
        <v/>
      </c>
      <c r="T4673" t="str">
        <f t="shared" si="725"/>
        <v/>
      </c>
      <c r="U4673" t="str">
        <f t="shared" si="726"/>
        <v/>
      </c>
      <c r="V4673" t="str">
        <f t="shared" si="727"/>
        <v/>
      </c>
      <c r="W4673" t="str">
        <f t="shared" si="728"/>
        <v/>
      </c>
      <c r="X4673">
        <f>IF($T4673="",N($X4672),IF(MATCH($T4673,$T$6:$T$10005,0)=ROW()-5,N($X4672)+1,N($X4672)))</f>
        <v>0</v>
      </c>
      <c r="Z4673" t="str">
        <f t="shared" si="729"/>
        <v/>
      </c>
      <c r="AA4673">
        <f>IF($V4673="",N($AA4672),IF(MATCH($V4673,$V$6:$V$10005,0)=ROW()-5,N($AA4672)+1,N($AA4672)))</f>
        <v>0</v>
      </c>
    </row>
    <row r="4674" spans="1:27" ht="21" customHeight="1" x14ac:dyDescent="0.95">
      <c r="A4674" s="56"/>
      <c r="B4674" s="57"/>
      <c r="C4674" s="57"/>
      <c r="D4674" s="57"/>
      <c r="E4674" s="56"/>
      <c r="F4674" s="57"/>
      <c r="G4674" s="57"/>
      <c r="H4674" s="56"/>
      <c r="I4674" s="56"/>
      <c r="J4674" s="58"/>
      <c r="K4674" s="58"/>
      <c r="L4674" s="13" t="str">
        <f t="shared" si="720"/>
        <v/>
      </c>
      <c r="M4674" s="13" t="str">
        <f t="shared" si="721"/>
        <v/>
      </c>
      <c r="Q4674" t="str">
        <f t="shared" si="722"/>
        <v/>
      </c>
      <c r="R4674" t="str">
        <f t="shared" si="723"/>
        <v/>
      </c>
      <c r="S4674" t="str">
        <f t="shared" si="724"/>
        <v/>
      </c>
      <c r="T4674" t="str">
        <f t="shared" si="725"/>
        <v/>
      </c>
      <c r="U4674" t="str">
        <f t="shared" si="726"/>
        <v/>
      </c>
      <c r="V4674" t="str">
        <f t="shared" si="727"/>
        <v/>
      </c>
      <c r="W4674" t="str">
        <f t="shared" si="728"/>
        <v/>
      </c>
      <c r="X4674">
        <f>IF($T4674="",N($X4673),IF(MATCH($T4674,$T$6:$T$10005,0)=ROW()-5,N($X4673)+1,N($X4673)))</f>
        <v>0</v>
      </c>
      <c r="Z4674" t="str">
        <f t="shared" si="729"/>
        <v/>
      </c>
      <c r="AA4674">
        <f>IF($V4674="",N($AA4673),IF(MATCH($V4674,$V$6:$V$10005,0)=ROW()-5,N($AA4673)+1,N($AA4673)))</f>
        <v>0</v>
      </c>
    </row>
    <row r="4675" spans="1:27" ht="21" customHeight="1" x14ac:dyDescent="0.95">
      <c r="A4675" s="56"/>
      <c r="B4675" s="57"/>
      <c r="C4675" s="57"/>
      <c r="D4675" s="57"/>
      <c r="E4675" s="56"/>
      <c r="F4675" s="57"/>
      <c r="G4675" s="57"/>
      <c r="H4675" s="56"/>
      <c r="I4675" s="56"/>
      <c r="J4675" s="58"/>
      <c r="K4675" s="58"/>
      <c r="L4675" s="13" t="str">
        <f t="shared" si="720"/>
        <v/>
      </c>
      <c r="M4675" s="13" t="str">
        <f t="shared" si="721"/>
        <v/>
      </c>
      <c r="Q4675" t="str">
        <f t="shared" si="722"/>
        <v/>
      </c>
      <c r="R4675" t="str">
        <f t="shared" si="723"/>
        <v/>
      </c>
      <c r="S4675" t="str">
        <f t="shared" si="724"/>
        <v/>
      </c>
      <c r="T4675" t="str">
        <f t="shared" si="725"/>
        <v/>
      </c>
      <c r="U4675" t="str">
        <f t="shared" si="726"/>
        <v/>
      </c>
      <c r="V4675" t="str">
        <f t="shared" si="727"/>
        <v/>
      </c>
      <c r="W4675" t="str">
        <f t="shared" si="728"/>
        <v/>
      </c>
      <c r="X4675">
        <f>IF($T4675="",N($X4674),IF(MATCH($T4675,$T$6:$T$10005,0)=ROW()-5,N($X4674)+1,N($X4674)))</f>
        <v>0</v>
      </c>
      <c r="Z4675" t="str">
        <f t="shared" si="729"/>
        <v/>
      </c>
      <c r="AA4675">
        <f>IF($V4675="",N($AA4674),IF(MATCH($V4675,$V$6:$V$10005,0)=ROW()-5,N($AA4674)+1,N($AA4674)))</f>
        <v>0</v>
      </c>
    </row>
    <row r="4676" spans="1:27" ht="21" customHeight="1" x14ac:dyDescent="0.95">
      <c r="A4676" s="56"/>
      <c r="B4676" s="57"/>
      <c r="C4676" s="57"/>
      <c r="D4676" s="57"/>
      <c r="E4676" s="56"/>
      <c r="F4676" s="57"/>
      <c r="G4676" s="57"/>
      <c r="H4676" s="56"/>
      <c r="I4676" s="56"/>
      <c r="J4676" s="58"/>
      <c r="K4676" s="58"/>
      <c r="L4676" s="13" t="str">
        <f t="shared" si="720"/>
        <v/>
      </c>
      <c r="M4676" s="13" t="str">
        <f t="shared" si="721"/>
        <v/>
      </c>
      <c r="Q4676" t="str">
        <f t="shared" si="722"/>
        <v/>
      </c>
      <c r="R4676" t="str">
        <f t="shared" si="723"/>
        <v/>
      </c>
      <c r="S4676" t="str">
        <f t="shared" si="724"/>
        <v/>
      </c>
      <c r="T4676" t="str">
        <f t="shared" si="725"/>
        <v/>
      </c>
      <c r="U4676" t="str">
        <f t="shared" si="726"/>
        <v/>
      </c>
      <c r="V4676" t="str">
        <f t="shared" si="727"/>
        <v/>
      </c>
      <c r="W4676" t="str">
        <f t="shared" si="728"/>
        <v/>
      </c>
      <c r="X4676">
        <f>IF($T4676="",N($X4675),IF(MATCH($T4676,$T$6:$T$10005,0)=ROW()-5,N($X4675)+1,N($X4675)))</f>
        <v>0</v>
      </c>
      <c r="Z4676" t="str">
        <f t="shared" si="729"/>
        <v/>
      </c>
      <c r="AA4676">
        <f>IF($V4676="",N($AA4675),IF(MATCH($V4676,$V$6:$V$10005,0)=ROW()-5,N($AA4675)+1,N($AA4675)))</f>
        <v>0</v>
      </c>
    </row>
    <row r="4677" spans="1:27" ht="21" customHeight="1" x14ac:dyDescent="0.95">
      <c r="A4677" s="56"/>
      <c r="B4677" s="57"/>
      <c r="C4677" s="57"/>
      <c r="D4677" s="57"/>
      <c r="E4677" s="56"/>
      <c r="F4677" s="57"/>
      <c r="G4677" s="57"/>
      <c r="H4677" s="56"/>
      <c r="I4677" s="56"/>
      <c r="J4677" s="58"/>
      <c r="K4677" s="58"/>
      <c r="L4677" s="13" t="str">
        <f t="shared" si="720"/>
        <v/>
      </c>
      <c r="M4677" s="13" t="str">
        <f t="shared" si="721"/>
        <v/>
      </c>
      <c r="Q4677" t="str">
        <f t="shared" si="722"/>
        <v/>
      </c>
      <c r="R4677" t="str">
        <f t="shared" si="723"/>
        <v/>
      </c>
      <c r="S4677" t="str">
        <f t="shared" si="724"/>
        <v/>
      </c>
      <c r="T4677" t="str">
        <f t="shared" si="725"/>
        <v/>
      </c>
      <c r="U4677" t="str">
        <f t="shared" si="726"/>
        <v/>
      </c>
      <c r="V4677" t="str">
        <f t="shared" si="727"/>
        <v/>
      </c>
      <c r="W4677" t="str">
        <f t="shared" si="728"/>
        <v/>
      </c>
      <c r="X4677">
        <f>IF($T4677="",N($X4676),IF(MATCH($T4677,$T$6:$T$10005,0)=ROW()-5,N($X4676)+1,N($X4676)))</f>
        <v>0</v>
      </c>
      <c r="Z4677" t="str">
        <f t="shared" si="729"/>
        <v/>
      </c>
      <c r="AA4677">
        <f>IF($V4677="",N($AA4676),IF(MATCH($V4677,$V$6:$V$10005,0)=ROW()-5,N($AA4676)+1,N($AA4676)))</f>
        <v>0</v>
      </c>
    </row>
    <row r="4678" spans="1:27" ht="21" customHeight="1" x14ac:dyDescent="0.95">
      <c r="A4678" s="56"/>
      <c r="B4678" s="57"/>
      <c r="C4678" s="57"/>
      <c r="D4678" s="57"/>
      <c r="E4678" s="56"/>
      <c r="F4678" s="57"/>
      <c r="G4678" s="57"/>
      <c r="H4678" s="56"/>
      <c r="I4678" s="56"/>
      <c r="J4678" s="58"/>
      <c r="K4678" s="58"/>
      <c r="L4678" s="13" t="str">
        <f t="shared" ref="L4678:L4741" si="730">IF(OR($A4678="",AND($J4678="",$K4678="")),"",ROUND(N($J4678)-N($K4678),2))</f>
        <v/>
      </c>
      <c r="M4678" s="13" t="str">
        <f t="shared" ref="M4678:M4741" si="731">IF(OR($A4678="",AND($J4678="",$K4678="")),"",MIN($J4678,$K4678))</f>
        <v/>
      </c>
      <c r="Q4678" t="str">
        <f t="shared" ref="Q4678:Q4741" si="732">IF($A4678="","",$D4678&amp;"("&amp;SUBSTITUTE($E4678," ","")&amp;")")</f>
        <v/>
      </c>
      <c r="R4678" t="str">
        <f t="shared" ref="R4678:R4741" si="733">IF($A4678="","",$B4678&amp;" - "&amp;$C4678)</f>
        <v/>
      </c>
      <c r="S4678" t="str">
        <f t="shared" ref="S4678:S4741" si="734">IF($A4678="","",$R4678&amp;"|"&amp;$Q4678)</f>
        <v/>
      </c>
      <c r="T4678" t="str">
        <f t="shared" ref="T4678:T4741" si="735">IF($A4678="","",$S4678&amp;"|"&amp;$F4678)</f>
        <v/>
      </c>
      <c r="U4678" t="str">
        <f t="shared" ref="U4678:U4741" si="736">IF($A4678="","",$R4678&amp;"("&amp;$E4678&amp;")")</f>
        <v/>
      </c>
      <c r="V4678" t="str">
        <f t="shared" ref="V4678:V4741" si="737">IF($A4678="","",$F4678&amp;"|"&amp;$U4678&amp;"|"&amp;$D4678)</f>
        <v/>
      </c>
      <c r="W4678" t="str">
        <f t="shared" ref="W4678:W4741" si="738">IF($T4678="","",IF($X4678&gt;N($X4677),$X4678,""))</f>
        <v/>
      </c>
      <c r="X4678">
        <f>IF($T4678="",N($X4677),IF(MATCH($T4678,$T$6:$T$10005,0)=ROW()-5,N($X4677)+1,N($X4677)))</f>
        <v>0</v>
      </c>
      <c r="Z4678" t="str">
        <f t="shared" ref="Z4678:Z4741" si="739">IF($V4678="","",IF($AA4678&gt;N($AA4677),$AA4678,""))</f>
        <v/>
      </c>
      <c r="AA4678">
        <f>IF($V4678="",N($AA4677),IF(MATCH($V4678,$V$6:$V$10005,0)=ROW()-5,N($AA4677)+1,N($AA4677)))</f>
        <v>0</v>
      </c>
    </row>
    <row r="4679" spans="1:27" ht="21" customHeight="1" x14ac:dyDescent="0.95">
      <c r="A4679" s="56"/>
      <c r="B4679" s="57"/>
      <c r="C4679" s="57"/>
      <c r="D4679" s="57"/>
      <c r="E4679" s="56"/>
      <c r="F4679" s="57"/>
      <c r="G4679" s="57"/>
      <c r="H4679" s="56"/>
      <c r="I4679" s="56"/>
      <c r="J4679" s="58"/>
      <c r="K4679" s="58"/>
      <c r="L4679" s="13" t="str">
        <f t="shared" si="730"/>
        <v/>
      </c>
      <c r="M4679" s="13" t="str">
        <f t="shared" si="731"/>
        <v/>
      </c>
      <c r="Q4679" t="str">
        <f t="shared" si="732"/>
        <v/>
      </c>
      <c r="R4679" t="str">
        <f t="shared" si="733"/>
        <v/>
      </c>
      <c r="S4679" t="str">
        <f t="shared" si="734"/>
        <v/>
      </c>
      <c r="T4679" t="str">
        <f t="shared" si="735"/>
        <v/>
      </c>
      <c r="U4679" t="str">
        <f t="shared" si="736"/>
        <v/>
      </c>
      <c r="V4679" t="str">
        <f t="shared" si="737"/>
        <v/>
      </c>
      <c r="W4679" t="str">
        <f t="shared" si="738"/>
        <v/>
      </c>
      <c r="X4679">
        <f>IF($T4679="",N($X4678),IF(MATCH($T4679,$T$6:$T$10005,0)=ROW()-5,N($X4678)+1,N($X4678)))</f>
        <v>0</v>
      </c>
      <c r="Z4679" t="str">
        <f t="shared" si="739"/>
        <v/>
      </c>
      <c r="AA4679">
        <f>IF($V4679="",N($AA4678),IF(MATCH($V4679,$V$6:$V$10005,0)=ROW()-5,N($AA4678)+1,N($AA4678)))</f>
        <v>0</v>
      </c>
    </row>
    <row r="4680" spans="1:27" ht="21" customHeight="1" x14ac:dyDescent="0.95">
      <c r="A4680" s="56"/>
      <c r="B4680" s="57"/>
      <c r="C4680" s="57"/>
      <c r="D4680" s="57"/>
      <c r="E4680" s="56"/>
      <c r="F4680" s="57"/>
      <c r="G4680" s="57"/>
      <c r="H4680" s="56"/>
      <c r="I4680" s="56"/>
      <c r="J4680" s="58"/>
      <c r="K4680" s="58"/>
      <c r="L4680" s="13" t="str">
        <f t="shared" si="730"/>
        <v/>
      </c>
      <c r="M4680" s="13" t="str">
        <f t="shared" si="731"/>
        <v/>
      </c>
      <c r="Q4680" t="str">
        <f t="shared" si="732"/>
        <v/>
      </c>
      <c r="R4680" t="str">
        <f t="shared" si="733"/>
        <v/>
      </c>
      <c r="S4680" t="str">
        <f t="shared" si="734"/>
        <v/>
      </c>
      <c r="T4680" t="str">
        <f t="shared" si="735"/>
        <v/>
      </c>
      <c r="U4680" t="str">
        <f t="shared" si="736"/>
        <v/>
      </c>
      <c r="V4680" t="str">
        <f t="shared" si="737"/>
        <v/>
      </c>
      <c r="W4680" t="str">
        <f t="shared" si="738"/>
        <v/>
      </c>
      <c r="X4680">
        <f>IF($T4680="",N($X4679),IF(MATCH($T4680,$T$6:$T$10005,0)=ROW()-5,N($X4679)+1,N($X4679)))</f>
        <v>0</v>
      </c>
      <c r="Z4680" t="str">
        <f t="shared" si="739"/>
        <v/>
      </c>
      <c r="AA4680">
        <f>IF($V4680="",N($AA4679),IF(MATCH($V4680,$V$6:$V$10005,0)=ROW()-5,N($AA4679)+1,N($AA4679)))</f>
        <v>0</v>
      </c>
    </row>
    <row r="4681" spans="1:27" ht="21" customHeight="1" x14ac:dyDescent="0.95">
      <c r="A4681" s="56"/>
      <c r="B4681" s="57"/>
      <c r="C4681" s="57"/>
      <c r="D4681" s="57"/>
      <c r="E4681" s="56"/>
      <c r="F4681" s="57"/>
      <c r="G4681" s="57"/>
      <c r="H4681" s="56"/>
      <c r="I4681" s="56"/>
      <c r="J4681" s="58"/>
      <c r="K4681" s="58"/>
      <c r="L4681" s="13" t="str">
        <f t="shared" si="730"/>
        <v/>
      </c>
      <c r="M4681" s="13" t="str">
        <f t="shared" si="731"/>
        <v/>
      </c>
      <c r="Q4681" t="str">
        <f t="shared" si="732"/>
        <v/>
      </c>
      <c r="R4681" t="str">
        <f t="shared" si="733"/>
        <v/>
      </c>
      <c r="S4681" t="str">
        <f t="shared" si="734"/>
        <v/>
      </c>
      <c r="T4681" t="str">
        <f t="shared" si="735"/>
        <v/>
      </c>
      <c r="U4681" t="str">
        <f t="shared" si="736"/>
        <v/>
      </c>
      <c r="V4681" t="str">
        <f t="shared" si="737"/>
        <v/>
      </c>
      <c r="W4681" t="str">
        <f t="shared" si="738"/>
        <v/>
      </c>
      <c r="X4681">
        <f>IF($T4681="",N($X4680),IF(MATCH($T4681,$T$6:$T$10005,0)=ROW()-5,N($X4680)+1,N($X4680)))</f>
        <v>0</v>
      </c>
      <c r="Z4681" t="str">
        <f t="shared" si="739"/>
        <v/>
      </c>
      <c r="AA4681">
        <f>IF($V4681="",N($AA4680),IF(MATCH($V4681,$V$6:$V$10005,0)=ROW()-5,N($AA4680)+1,N($AA4680)))</f>
        <v>0</v>
      </c>
    </row>
    <row r="4682" spans="1:27" ht="21" customHeight="1" x14ac:dyDescent="0.95">
      <c r="A4682" s="56"/>
      <c r="B4682" s="57"/>
      <c r="C4682" s="57"/>
      <c r="D4682" s="57"/>
      <c r="E4682" s="56"/>
      <c r="F4682" s="57"/>
      <c r="G4682" s="57"/>
      <c r="H4682" s="56"/>
      <c r="I4682" s="56"/>
      <c r="J4682" s="58"/>
      <c r="K4682" s="58"/>
      <c r="L4682" s="13" t="str">
        <f t="shared" si="730"/>
        <v/>
      </c>
      <c r="M4682" s="13" t="str">
        <f t="shared" si="731"/>
        <v/>
      </c>
      <c r="Q4682" t="str">
        <f t="shared" si="732"/>
        <v/>
      </c>
      <c r="R4682" t="str">
        <f t="shared" si="733"/>
        <v/>
      </c>
      <c r="S4682" t="str">
        <f t="shared" si="734"/>
        <v/>
      </c>
      <c r="T4682" t="str">
        <f t="shared" si="735"/>
        <v/>
      </c>
      <c r="U4682" t="str">
        <f t="shared" si="736"/>
        <v/>
      </c>
      <c r="V4682" t="str">
        <f t="shared" si="737"/>
        <v/>
      </c>
      <c r="W4682" t="str">
        <f t="shared" si="738"/>
        <v/>
      </c>
      <c r="X4682">
        <f>IF($T4682="",N($X4681),IF(MATCH($T4682,$T$6:$T$10005,0)=ROW()-5,N($X4681)+1,N($X4681)))</f>
        <v>0</v>
      </c>
      <c r="Z4682" t="str">
        <f t="shared" si="739"/>
        <v/>
      </c>
      <c r="AA4682">
        <f>IF($V4682="",N($AA4681),IF(MATCH($V4682,$V$6:$V$10005,0)=ROW()-5,N($AA4681)+1,N($AA4681)))</f>
        <v>0</v>
      </c>
    </row>
    <row r="4683" spans="1:27" ht="21" customHeight="1" x14ac:dyDescent="0.95">
      <c r="A4683" s="56"/>
      <c r="B4683" s="57"/>
      <c r="C4683" s="57"/>
      <c r="D4683" s="57"/>
      <c r="E4683" s="56"/>
      <c r="F4683" s="57"/>
      <c r="G4683" s="57"/>
      <c r="H4683" s="56"/>
      <c r="I4683" s="56"/>
      <c r="J4683" s="58"/>
      <c r="K4683" s="58"/>
      <c r="L4683" s="13" t="str">
        <f t="shared" si="730"/>
        <v/>
      </c>
      <c r="M4683" s="13" t="str">
        <f t="shared" si="731"/>
        <v/>
      </c>
      <c r="Q4683" t="str">
        <f t="shared" si="732"/>
        <v/>
      </c>
      <c r="R4683" t="str">
        <f t="shared" si="733"/>
        <v/>
      </c>
      <c r="S4683" t="str">
        <f t="shared" si="734"/>
        <v/>
      </c>
      <c r="T4683" t="str">
        <f t="shared" si="735"/>
        <v/>
      </c>
      <c r="U4683" t="str">
        <f t="shared" si="736"/>
        <v/>
      </c>
      <c r="V4683" t="str">
        <f t="shared" si="737"/>
        <v/>
      </c>
      <c r="W4683" t="str">
        <f t="shared" si="738"/>
        <v/>
      </c>
      <c r="X4683">
        <f>IF($T4683="",N($X4682),IF(MATCH($T4683,$T$6:$T$10005,0)=ROW()-5,N($X4682)+1,N($X4682)))</f>
        <v>0</v>
      </c>
      <c r="Z4683" t="str">
        <f t="shared" si="739"/>
        <v/>
      </c>
      <c r="AA4683">
        <f>IF($V4683="",N($AA4682),IF(MATCH($V4683,$V$6:$V$10005,0)=ROW()-5,N($AA4682)+1,N($AA4682)))</f>
        <v>0</v>
      </c>
    </row>
    <row r="4684" spans="1:27" ht="21" customHeight="1" x14ac:dyDescent="0.95">
      <c r="A4684" s="56"/>
      <c r="B4684" s="57"/>
      <c r="C4684" s="57"/>
      <c r="D4684" s="57"/>
      <c r="E4684" s="56"/>
      <c r="F4684" s="57"/>
      <c r="G4684" s="57"/>
      <c r="H4684" s="56"/>
      <c r="I4684" s="56"/>
      <c r="J4684" s="58"/>
      <c r="K4684" s="58"/>
      <c r="L4684" s="13" t="str">
        <f t="shared" si="730"/>
        <v/>
      </c>
      <c r="M4684" s="13" t="str">
        <f t="shared" si="731"/>
        <v/>
      </c>
      <c r="Q4684" t="str">
        <f t="shared" si="732"/>
        <v/>
      </c>
      <c r="R4684" t="str">
        <f t="shared" si="733"/>
        <v/>
      </c>
      <c r="S4684" t="str">
        <f t="shared" si="734"/>
        <v/>
      </c>
      <c r="T4684" t="str">
        <f t="shared" si="735"/>
        <v/>
      </c>
      <c r="U4684" t="str">
        <f t="shared" si="736"/>
        <v/>
      </c>
      <c r="V4684" t="str">
        <f t="shared" si="737"/>
        <v/>
      </c>
      <c r="W4684" t="str">
        <f t="shared" si="738"/>
        <v/>
      </c>
      <c r="X4684">
        <f>IF($T4684="",N($X4683),IF(MATCH($T4684,$T$6:$T$10005,0)=ROW()-5,N($X4683)+1,N($X4683)))</f>
        <v>0</v>
      </c>
      <c r="Z4684" t="str">
        <f t="shared" si="739"/>
        <v/>
      </c>
      <c r="AA4684">
        <f>IF($V4684="",N($AA4683),IF(MATCH($V4684,$V$6:$V$10005,0)=ROW()-5,N($AA4683)+1,N($AA4683)))</f>
        <v>0</v>
      </c>
    </row>
    <row r="4685" spans="1:27" ht="21" customHeight="1" x14ac:dyDescent="0.95">
      <c r="A4685" s="56"/>
      <c r="B4685" s="57"/>
      <c r="C4685" s="57"/>
      <c r="D4685" s="57"/>
      <c r="E4685" s="56"/>
      <c r="F4685" s="57"/>
      <c r="G4685" s="57"/>
      <c r="H4685" s="56"/>
      <c r="I4685" s="56"/>
      <c r="J4685" s="58"/>
      <c r="K4685" s="58"/>
      <c r="L4685" s="13" t="str">
        <f t="shared" si="730"/>
        <v/>
      </c>
      <c r="M4685" s="13" t="str">
        <f t="shared" si="731"/>
        <v/>
      </c>
      <c r="Q4685" t="str">
        <f t="shared" si="732"/>
        <v/>
      </c>
      <c r="R4685" t="str">
        <f t="shared" si="733"/>
        <v/>
      </c>
      <c r="S4685" t="str">
        <f t="shared" si="734"/>
        <v/>
      </c>
      <c r="T4685" t="str">
        <f t="shared" si="735"/>
        <v/>
      </c>
      <c r="U4685" t="str">
        <f t="shared" si="736"/>
        <v/>
      </c>
      <c r="V4685" t="str">
        <f t="shared" si="737"/>
        <v/>
      </c>
      <c r="W4685" t="str">
        <f t="shared" si="738"/>
        <v/>
      </c>
      <c r="X4685">
        <f>IF($T4685="",N($X4684),IF(MATCH($T4685,$T$6:$T$10005,0)=ROW()-5,N($X4684)+1,N($X4684)))</f>
        <v>0</v>
      </c>
      <c r="Z4685" t="str">
        <f t="shared" si="739"/>
        <v/>
      </c>
      <c r="AA4685">
        <f>IF($V4685="",N($AA4684),IF(MATCH($V4685,$V$6:$V$10005,0)=ROW()-5,N($AA4684)+1,N($AA4684)))</f>
        <v>0</v>
      </c>
    </row>
    <row r="4686" spans="1:27" ht="21" customHeight="1" x14ac:dyDescent="0.95">
      <c r="A4686" s="56"/>
      <c r="B4686" s="57"/>
      <c r="C4686" s="57"/>
      <c r="D4686" s="57"/>
      <c r="E4686" s="56"/>
      <c r="F4686" s="57"/>
      <c r="G4686" s="57"/>
      <c r="H4686" s="56"/>
      <c r="I4686" s="56"/>
      <c r="J4686" s="58"/>
      <c r="K4686" s="58"/>
      <c r="L4686" s="13" t="str">
        <f t="shared" si="730"/>
        <v/>
      </c>
      <c r="M4686" s="13" t="str">
        <f t="shared" si="731"/>
        <v/>
      </c>
      <c r="Q4686" t="str">
        <f t="shared" si="732"/>
        <v/>
      </c>
      <c r="R4686" t="str">
        <f t="shared" si="733"/>
        <v/>
      </c>
      <c r="S4686" t="str">
        <f t="shared" si="734"/>
        <v/>
      </c>
      <c r="T4686" t="str">
        <f t="shared" si="735"/>
        <v/>
      </c>
      <c r="U4686" t="str">
        <f t="shared" si="736"/>
        <v/>
      </c>
      <c r="V4686" t="str">
        <f t="shared" si="737"/>
        <v/>
      </c>
      <c r="W4686" t="str">
        <f t="shared" si="738"/>
        <v/>
      </c>
      <c r="X4686">
        <f>IF($T4686="",N($X4685),IF(MATCH($T4686,$T$6:$T$10005,0)=ROW()-5,N($X4685)+1,N($X4685)))</f>
        <v>0</v>
      </c>
      <c r="Z4686" t="str">
        <f t="shared" si="739"/>
        <v/>
      </c>
      <c r="AA4686">
        <f>IF($V4686="",N($AA4685),IF(MATCH($V4686,$V$6:$V$10005,0)=ROW()-5,N($AA4685)+1,N($AA4685)))</f>
        <v>0</v>
      </c>
    </row>
    <row r="4687" spans="1:27" ht="21" customHeight="1" x14ac:dyDescent="0.95">
      <c r="A4687" s="56"/>
      <c r="B4687" s="57"/>
      <c r="C4687" s="57"/>
      <c r="D4687" s="57"/>
      <c r="E4687" s="56"/>
      <c r="F4687" s="57"/>
      <c r="G4687" s="57"/>
      <c r="H4687" s="56"/>
      <c r="I4687" s="56"/>
      <c r="J4687" s="58"/>
      <c r="K4687" s="58"/>
      <c r="L4687" s="13" t="str">
        <f t="shared" si="730"/>
        <v/>
      </c>
      <c r="M4687" s="13" t="str">
        <f t="shared" si="731"/>
        <v/>
      </c>
      <c r="Q4687" t="str">
        <f t="shared" si="732"/>
        <v/>
      </c>
      <c r="R4687" t="str">
        <f t="shared" si="733"/>
        <v/>
      </c>
      <c r="S4687" t="str">
        <f t="shared" si="734"/>
        <v/>
      </c>
      <c r="T4687" t="str">
        <f t="shared" si="735"/>
        <v/>
      </c>
      <c r="U4687" t="str">
        <f t="shared" si="736"/>
        <v/>
      </c>
      <c r="V4687" t="str">
        <f t="shared" si="737"/>
        <v/>
      </c>
      <c r="W4687" t="str">
        <f t="shared" si="738"/>
        <v/>
      </c>
      <c r="X4687">
        <f>IF($T4687="",N($X4686),IF(MATCH($T4687,$T$6:$T$10005,0)=ROW()-5,N($X4686)+1,N($X4686)))</f>
        <v>0</v>
      </c>
      <c r="Z4687" t="str">
        <f t="shared" si="739"/>
        <v/>
      </c>
      <c r="AA4687">
        <f>IF($V4687="",N($AA4686),IF(MATCH($V4687,$V$6:$V$10005,0)=ROW()-5,N($AA4686)+1,N($AA4686)))</f>
        <v>0</v>
      </c>
    </row>
    <row r="4688" spans="1:27" ht="21" customHeight="1" x14ac:dyDescent="0.95">
      <c r="A4688" s="56"/>
      <c r="B4688" s="57"/>
      <c r="C4688" s="57"/>
      <c r="D4688" s="57"/>
      <c r="E4688" s="56"/>
      <c r="F4688" s="57"/>
      <c r="G4688" s="57"/>
      <c r="H4688" s="56"/>
      <c r="I4688" s="56"/>
      <c r="J4688" s="58"/>
      <c r="K4688" s="58"/>
      <c r="L4688" s="13" t="str">
        <f t="shared" si="730"/>
        <v/>
      </c>
      <c r="M4688" s="13" t="str">
        <f t="shared" si="731"/>
        <v/>
      </c>
      <c r="Q4688" t="str">
        <f t="shared" si="732"/>
        <v/>
      </c>
      <c r="R4688" t="str">
        <f t="shared" si="733"/>
        <v/>
      </c>
      <c r="S4688" t="str">
        <f t="shared" si="734"/>
        <v/>
      </c>
      <c r="T4688" t="str">
        <f t="shared" si="735"/>
        <v/>
      </c>
      <c r="U4688" t="str">
        <f t="shared" si="736"/>
        <v/>
      </c>
      <c r="V4688" t="str">
        <f t="shared" si="737"/>
        <v/>
      </c>
      <c r="W4688" t="str">
        <f t="shared" si="738"/>
        <v/>
      </c>
      <c r="X4688">
        <f>IF($T4688="",N($X4687),IF(MATCH($T4688,$T$6:$T$10005,0)=ROW()-5,N($X4687)+1,N($X4687)))</f>
        <v>0</v>
      </c>
      <c r="Z4688" t="str">
        <f t="shared" si="739"/>
        <v/>
      </c>
      <c r="AA4688">
        <f>IF($V4688="",N($AA4687),IF(MATCH($V4688,$V$6:$V$10005,0)=ROW()-5,N($AA4687)+1,N($AA4687)))</f>
        <v>0</v>
      </c>
    </row>
    <row r="4689" spans="1:27" ht="21" customHeight="1" x14ac:dyDescent="0.95">
      <c r="A4689" s="56"/>
      <c r="B4689" s="57"/>
      <c r="C4689" s="57"/>
      <c r="D4689" s="57"/>
      <c r="E4689" s="56"/>
      <c r="F4689" s="57"/>
      <c r="G4689" s="57"/>
      <c r="H4689" s="56"/>
      <c r="I4689" s="56"/>
      <c r="J4689" s="58"/>
      <c r="K4689" s="58"/>
      <c r="L4689" s="13" t="str">
        <f t="shared" si="730"/>
        <v/>
      </c>
      <c r="M4689" s="13" t="str">
        <f t="shared" si="731"/>
        <v/>
      </c>
      <c r="Q4689" t="str">
        <f t="shared" si="732"/>
        <v/>
      </c>
      <c r="R4689" t="str">
        <f t="shared" si="733"/>
        <v/>
      </c>
      <c r="S4689" t="str">
        <f t="shared" si="734"/>
        <v/>
      </c>
      <c r="T4689" t="str">
        <f t="shared" si="735"/>
        <v/>
      </c>
      <c r="U4689" t="str">
        <f t="shared" si="736"/>
        <v/>
      </c>
      <c r="V4689" t="str">
        <f t="shared" si="737"/>
        <v/>
      </c>
      <c r="W4689" t="str">
        <f t="shared" si="738"/>
        <v/>
      </c>
      <c r="X4689">
        <f>IF($T4689="",N($X4688),IF(MATCH($T4689,$T$6:$T$10005,0)=ROW()-5,N($X4688)+1,N($X4688)))</f>
        <v>0</v>
      </c>
      <c r="Z4689" t="str">
        <f t="shared" si="739"/>
        <v/>
      </c>
      <c r="AA4689">
        <f>IF($V4689="",N($AA4688),IF(MATCH($V4689,$V$6:$V$10005,0)=ROW()-5,N($AA4688)+1,N($AA4688)))</f>
        <v>0</v>
      </c>
    </row>
    <row r="4690" spans="1:27" ht="21" customHeight="1" x14ac:dyDescent="0.95">
      <c r="A4690" s="56"/>
      <c r="B4690" s="57"/>
      <c r="C4690" s="57"/>
      <c r="D4690" s="57"/>
      <c r="E4690" s="56"/>
      <c r="F4690" s="57"/>
      <c r="G4690" s="57"/>
      <c r="H4690" s="56"/>
      <c r="I4690" s="56"/>
      <c r="J4690" s="58"/>
      <c r="K4690" s="58"/>
      <c r="L4690" s="13" t="str">
        <f t="shared" si="730"/>
        <v/>
      </c>
      <c r="M4690" s="13" t="str">
        <f t="shared" si="731"/>
        <v/>
      </c>
      <c r="Q4690" t="str">
        <f t="shared" si="732"/>
        <v/>
      </c>
      <c r="R4690" t="str">
        <f t="shared" si="733"/>
        <v/>
      </c>
      <c r="S4690" t="str">
        <f t="shared" si="734"/>
        <v/>
      </c>
      <c r="T4690" t="str">
        <f t="shared" si="735"/>
        <v/>
      </c>
      <c r="U4690" t="str">
        <f t="shared" si="736"/>
        <v/>
      </c>
      <c r="V4690" t="str">
        <f t="shared" si="737"/>
        <v/>
      </c>
      <c r="W4690" t="str">
        <f t="shared" si="738"/>
        <v/>
      </c>
      <c r="X4690">
        <f>IF($T4690="",N($X4689),IF(MATCH($T4690,$T$6:$T$10005,0)=ROW()-5,N($X4689)+1,N($X4689)))</f>
        <v>0</v>
      </c>
      <c r="Z4690" t="str">
        <f t="shared" si="739"/>
        <v/>
      </c>
      <c r="AA4690">
        <f>IF($V4690="",N($AA4689),IF(MATCH($V4690,$V$6:$V$10005,0)=ROW()-5,N($AA4689)+1,N($AA4689)))</f>
        <v>0</v>
      </c>
    </row>
    <row r="4691" spans="1:27" ht="21" customHeight="1" x14ac:dyDescent="0.95">
      <c r="A4691" s="56"/>
      <c r="B4691" s="57"/>
      <c r="C4691" s="57"/>
      <c r="D4691" s="57"/>
      <c r="E4691" s="56"/>
      <c r="F4691" s="57"/>
      <c r="G4691" s="57"/>
      <c r="H4691" s="56"/>
      <c r="I4691" s="56"/>
      <c r="J4691" s="58"/>
      <c r="K4691" s="58"/>
      <c r="L4691" s="13" t="str">
        <f t="shared" si="730"/>
        <v/>
      </c>
      <c r="M4691" s="13" t="str">
        <f t="shared" si="731"/>
        <v/>
      </c>
      <c r="Q4691" t="str">
        <f t="shared" si="732"/>
        <v/>
      </c>
      <c r="R4691" t="str">
        <f t="shared" si="733"/>
        <v/>
      </c>
      <c r="S4691" t="str">
        <f t="shared" si="734"/>
        <v/>
      </c>
      <c r="T4691" t="str">
        <f t="shared" si="735"/>
        <v/>
      </c>
      <c r="U4691" t="str">
        <f t="shared" si="736"/>
        <v/>
      </c>
      <c r="V4691" t="str">
        <f t="shared" si="737"/>
        <v/>
      </c>
      <c r="W4691" t="str">
        <f t="shared" si="738"/>
        <v/>
      </c>
      <c r="X4691">
        <f>IF($T4691="",N($X4690),IF(MATCH($T4691,$T$6:$T$10005,0)=ROW()-5,N($X4690)+1,N($X4690)))</f>
        <v>0</v>
      </c>
      <c r="Z4691" t="str">
        <f t="shared" si="739"/>
        <v/>
      </c>
      <c r="AA4691">
        <f>IF($V4691="",N($AA4690),IF(MATCH($V4691,$V$6:$V$10005,0)=ROW()-5,N($AA4690)+1,N($AA4690)))</f>
        <v>0</v>
      </c>
    </row>
    <row r="4692" spans="1:27" ht="21" customHeight="1" x14ac:dyDescent="0.95">
      <c r="A4692" s="56"/>
      <c r="B4692" s="57"/>
      <c r="C4692" s="57"/>
      <c r="D4692" s="57"/>
      <c r="E4692" s="56"/>
      <c r="F4692" s="57"/>
      <c r="G4692" s="57"/>
      <c r="H4692" s="56"/>
      <c r="I4692" s="56"/>
      <c r="J4692" s="58"/>
      <c r="K4692" s="58"/>
      <c r="L4692" s="13" t="str">
        <f t="shared" si="730"/>
        <v/>
      </c>
      <c r="M4692" s="13" t="str">
        <f t="shared" si="731"/>
        <v/>
      </c>
      <c r="Q4692" t="str">
        <f t="shared" si="732"/>
        <v/>
      </c>
      <c r="R4692" t="str">
        <f t="shared" si="733"/>
        <v/>
      </c>
      <c r="S4692" t="str">
        <f t="shared" si="734"/>
        <v/>
      </c>
      <c r="T4692" t="str">
        <f t="shared" si="735"/>
        <v/>
      </c>
      <c r="U4692" t="str">
        <f t="shared" si="736"/>
        <v/>
      </c>
      <c r="V4692" t="str">
        <f t="shared" si="737"/>
        <v/>
      </c>
      <c r="W4692" t="str">
        <f t="shared" si="738"/>
        <v/>
      </c>
      <c r="X4692">
        <f>IF($T4692="",N($X4691),IF(MATCH($T4692,$T$6:$T$10005,0)=ROW()-5,N($X4691)+1,N($X4691)))</f>
        <v>0</v>
      </c>
      <c r="Z4692" t="str">
        <f t="shared" si="739"/>
        <v/>
      </c>
      <c r="AA4692">
        <f>IF($V4692="",N($AA4691),IF(MATCH($V4692,$V$6:$V$10005,0)=ROW()-5,N($AA4691)+1,N($AA4691)))</f>
        <v>0</v>
      </c>
    </row>
    <row r="4693" spans="1:27" ht="21" customHeight="1" x14ac:dyDescent="0.95">
      <c r="A4693" s="56"/>
      <c r="B4693" s="57"/>
      <c r="C4693" s="57"/>
      <c r="D4693" s="57"/>
      <c r="E4693" s="56"/>
      <c r="F4693" s="57"/>
      <c r="G4693" s="57"/>
      <c r="H4693" s="56"/>
      <c r="I4693" s="56"/>
      <c r="J4693" s="58"/>
      <c r="K4693" s="58"/>
      <c r="L4693" s="13" t="str">
        <f t="shared" si="730"/>
        <v/>
      </c>
      <c r="M4693" s="13" t="str">
        <f t="shared" si="731"/>
        <v/>
      </c>
      <c r="Q4693" t="str">
        <f t="shared" si="732"/>
        <v/>
      </c>
      <c r="R4693" t="str">
        <f t="shared" si="733"/>
        <v/>
      </c>
      <c r="S4693" t="str">
        <f t="shared" si="734"/>
        <v/>
      </c>
      <c r="T4693" t="str">
        <f t="shared" si="735"/>
        <v/>
      </c>
      <c r="U4693" t="str">
        <f t="shared" si="736"/>
        <v/>
      </c>
      <c r="V4693" t="str">
        <f t="shared" si="737"/>
        <v/>
      </c>
      <c r="W4693" t="str">
        <f t="shared" si="738"/>
        <v/>
      </c>
      <c r="X4693">
        <f>IF($T4693="",N($X4692),IF(MATCH($T4693,$T$6:$T$10005,0)=ROW()-5,N($X4692)+1,N($X4692)))</f>
        <v>0</v>
      </c>
      <c r="Z4693" t="str">
        <f t="shared" si="739"/>
        <v/>
      </c>
      <c r="AA4693">
        <f>IF($V4693="",N($AA4692),IF(MATCH($V4693,$V$6:$V$10005,0)=ROW()-5,N($AA4692)+1,N($AA4692)))</f>
        <v>0</v>
      </c>
    </row>
    <row r="4694" spans="1:27" ht="21" customHeight="1" x14ac:dyDescent="0.95">
      <c r="A4694" s="56"/>
      <c r="B4694" s="57"/>
      <c r="C4694" s="57"/>
      <c r="D4694" s="57"/>
      <c r="E4694" s="56"/>
      <c r="F4694" s="57"/>
      <c r="G4694" s="57"/>
      <c r="H4694" s="56"/>
      <c r="I4694" s="56"/>
      <c r="J4694" s="58"/>
      <c r="K4694" s="58"/>
      <c r="L4694" s="13" t="str">
        <f t="shared" si="730"/>
        <v/>
      </c>
      <c r="M4694" s="13" t="str">
        <f t="shared" si="731"/>
        <v/>
      </c>
      <c r="Q4694" t="str">
        <f t="shared" si="732"/>
        <v/>
      </c>
      <c r="R4694" t="str">
        <f t="shared" si="733"/>
        <v/>
      </c>
      <c r="S4694" t="str">
        <f t="shared" si="734"/>
        <v/>
      </c>
      <c r="T4694" t="str">
        <f t="shared" si="735"/>
        <v/>
      </c>
      <c r="U4694" t="str">
        <f t="shared" si="736"/>
        <v/>
      </c>
      <c r="V4694" t="str">
        <f t="shared" si="737"/>
        <v/>
      </c>
      <c r="W4694" t="str">
        <f t="shared" si="738"/>
        <v/>
      </c>
      <c r="X4694">
        <f>IF($T4694="",N($X4693),IF(MATCH($T4694,$T$6:$T$10005,0)=ROW()-5,N($X4693)+1,N($X4693)))</f>
        <v>0</v>
      </c>
      <c r="Z4694" t="str">
        <f t="shared" si="739"/>
        <v/>
      </c>
      <c r="AA4694">
        <f>IF($V4694="",N($AA4693),IF(MATCH($V4694,$V$6:$V$10005,0)=ROW()-5,N($AA4693)+1,N($AA4693)))</f>
        <v>0</v>
      </c>
    </row>
    <row r="4695" spans="1:27" ht="21" customHeight="1" x14ac:dyDescent="0.95">
      <c r="A4695" s="56"/>
      <c r="B4695" s="57"/>
      <c r="C4695" s="57"/>
      <c r="D4695" s="57"/>
      <c r="E4695" s="56"/>
      <c r="F4695" s="57"/>
      <c r="G4695" s="57"/>
      <c r="H4695" s="56"/>
      <c r="I4695" s="56"/>
      <c r="J4695" s="58"/>
      <c r="K4695" s="58"/>
      <c r="L4695" s="13" t="str">
        <f t="shared" si="730"/>
        <v/>
      </c>
      <c r="M4695" s="13" t="str">
        <f t="shared" si="731"/>
        <v/>
      </c>
      <c r="Q4695" t="str">
        <f t="shared" si="732"/>
        <v/>
      </c>
      <c r="R4695" t="str">
        <f t="shared" si="733"/>
        <v/>
      </c>
      <c r="S4695" t="str">
        <f t="shared" si="734"/>
        <v/>
      </c>
      <c r="T4695" t="str">
        <f t="shared" si="735"/>
        <v/>
      </c>
      <c r="U4695" t="str">
        <f t="shared" si="736"/>
        <v/>
      </c>
      <c r="V4695" t="str">
        <f t="shared" si="737"/>
        <v/>
      </c>
      <c r="W4695" t="str">
        <f t="shared" si="738"/>
        <v/>
      </c>
      <c r="X4695">
        <f>IF($T4695="",N($X4694),IF(MATCH($T4695,$T$6:$T$10005,0)=ROW()-5,N($X4694)+1,N($X4694)))</f>
        <v>0</v>
      </c>
      <c r="Z4695" t="str">
        <f t="shared" si="739"/>
        <v/>
      </c>
      <c r="AA4695">
        <f>IF($V4695="",N($AA4694),IF(MATCH($V4695,$V$6:$V$10005,0)=ROW()-5,N($AA4694)+1,N($AA4694)))</f>
        <v>0</v>
      </c>
    </row>
    <row r="4696" spans="1:27" ht="21" customHeight="1" x14ac:dyDescent="0.95">
      <c r="A4696" s="56"/>
      <c r="B4696" s="57"/>
      <c r="C4696" s="57"/>
      <c r="D4696" s="57"/>
      <c r="E4696" s="56"/>
      <c r="F4696" s="57"/>
      <c r="G4696" s="57"/>
      <c r="H4696" s="56"/>
      <c r="I4696" s="56"/>
      <c r="J4696" s="58"/>
      <c r="K4696" s="58"/>
      <c r="L4696" s="13" t="str">
        <f t="shared" si="730"/>
        <v/>
      </c>
      <c r="M4696" s="13" t="str">
        <f t="shared" si="731"/>
        <v/>
      </c>
      <c r="Q4696" t="str">
        <f t="shared" si="732"/>
        <v/>
      </c>
      <c r="R4696" t="str">
        <f t="shared" si="733"/>
        <v/>
      </c>
      <c r="S4696" t="str">
        <f t="shared" si="734"/>
        <v/>
      </c>
      <c r="T4696" t="str">
        <f t="shared" si="735"/>
        <v/>
      </c>
      <c r="U4696" t="str">
        <f t="shared" si="736"/>
        <v/>
      </c>
      <c r="V4696" t="str">
        <f t="shared" si="737"/>
        <v/>
      </c>
      <c r="W4696" t="str">
        <f t="shared" si="738"/>
        <v/>
      </c>
      <c r="X4696">
        <f>IF($T4696="",N($X4695),IF(MATCH($T4696,$T$6:$T$10005,0)=ROW()-5,N($X4695)+1,N($X4695)))</f>
        <v>0</v>
      </c>
      <c r="Z4696" t="str">
        <f t="shared" si="739"/>
        <v/>
      </c>
      <c r="AA4696">
        <f>IF($V4696="",N($AA4695),IF(MATCH($V4696,$V$6:$V$10005,0)=ROW()-5,N($AA4695)+1,N($AA4695)))</f>
        <v>0</v>
      </c>
    </row>
    <row r="4697" spans="1:27" ht="21" customHeight="1" x14ac:dyDescent="0.95">
      <c r="A4697" s="56"/>
      <c r="B4697" s="57"/>
      <c r="C4697" s="57"/>
      <c r="D4697" s="57"/>
      <c r="E4697" s="56"/>
      <c r="F4697" s="57"/>
      <c r="G4697" s="57"/>
      <c r="H4697" s="56"/>
      <c r="I4697" s="56"/>
      <c r="J4697" s="58"/>
      <c r="K4697" s="58"/>
      <c r="L4697" s="13" t="str">
        <f t="shared" si="730"/>
        <v/>
      </c>
      <c r="M4697" s="13" t="str">
        <f t="shared" si="731"/>
        <v/>
      </c>
      <c r="Q4697" t="str">
        <f t="shared" si="732"/>
        <v/>
      </c>
      <c r="R4697" t="str">
        <f t="shared" si="733"/>
        <v/>
      </c>
      <c r="S4697" t="str">
        <f t="shared" si="734"/>
        <v/>
      </c>
      <c r="T4697" t="str">
        <f t="shared" si="735"/>
        <v/>
      </c>
      <c r="U4697" t="str">
        <f t="shared" si="736"/>
        <v/>
      </c>
      <c r="V4697" t="str">
        <f t="shared" si="737"/>
        <v/>
      </c>
      <c r="W4697" t="str">
        <f t="shared" si="738"/>
        <v/>
      </c>
      <c r="X4697">
        <f>IF($T4697="",N($X4696),IF(MATCH($T4697,$T$6:$T$10005,0)=ROW()-5,N($X4696)+1,N($X4696)))</f>
        <v>0</v>
      </c>
      <c r="Z4697" t="str">
        <f t="shared" si="739"/>
        <v/>
      </c>
      <c r="AA4697">
        <f>IF($V4697="",N($AA4696),IF(MATCH($V4697,$V$6:$V$10005,0)=ROW()-5,N($AA4696)+1,N($AA4696)))</f>
        <v>0</v>
      </c>
    </row>
    <row r="4698" spans="1:27" ht="21" customHeight="1" x14ac:dyDescent="0.95">
      <c r="A4698" s="56"/>
      <c r="B4698" s="57"/>
      <c r="C4698" s="57"/>
      <c r="D4698" s="57"/>
      <c r="E4698" s="56"/>
      <c r="F4698" s="57"/>
      <c r="G4698" s="57"/>
      <c r="H4698" s="56"/>
      <c r="I4698" s="56"/>
      <c r="J4698" s="58"/>
      <c r="K4698" s="58"/>
      <c r="L4698" s="13" t="str">
        <f t="shared" si="730"/>
        <v/>
      </c>
      <c r="M4698" s="13" t="str">
        <f t="shared" si="731"/>
        <v/>
      </c>
      <c r="Q4698" t="str">
        <f t="shared" si="732"/>
        <v/>
      </c>
      <c r="R4698" t="str">
        <f t="shared" si="733"/>
        <v/>
      </c>
      <c r="S4698" t="str">
        <f t="shared" si="734"/>
        <v/>
      </c>
      <c r="T4698" t="str">
        <f t="shared" si="735"/>
        <v/>
      </c>
      <c r="U4698" t="str">
        <f t="shared" si="736"/>
        <v/>
      </c>
      <c r="V4698" t="str">
        <f t="shared" si="737"/>
        <v/>
      </c>
      <c r="W4698" t="str">
        <f t="shared" si="738"/>
        <v/>
      </c>
      <c r="X4698">
        <f>IF($T4698="",N($X4697),IF(MATCH($T4698,$T$6:$T$10005,0)=ROW()-5,N($X4697)+1,N($X4697)))</f>
        <v>0</v>
      </c>
      <c r="Z4698" t="str">
        <f t="shared" si="739"/>
        <v/>
      </c>
      <c r="AA4698">
        <f>IF($V4698="",N($AA4697),IF(MATCH($V4698,$V$6:$V$10005,0)=ROW()-5,N($AA4697)+1,N($AA4697)))</f>
        <v>0</v>
      </c>
    </row>
    <row r="4699" spans="1:27" ht="21" customHeight="1" x14ac:dyDescent="0.95">
      <c r="A4699" s="56"/>
      <c r="B4699" s="57"/>
      <c r="C4699" s="57"/>
      <c r="D4699" s="57"/>
      <c r="E4699" s="56"/>
      <c r="F4699" s="57"/>
      <c r="G4699" s="57"/>
      <c r="H4699" s="56"/>
      <c r="I4699" s="56"/>
      <c r="J4699" s="58"/>
      <c r="K4699" s="58"/>
      <c r="L4699" s="13" t="str">
        <f t="shared" si="730"/>
        <v/>
      </c>
      <c r="M4699" s="13" t="str">
        <f t="shared" si="731"/>
        <v/>
      </c>
      <c r="Q4699" t="str">
        <f t="shared" si="732"/>
        <v/>
      </c>
      <c r="R4699" t="str">
        <f t="shared" si="733"/>
        <v/>
      </c>
      <c r="S4699" t="str">
        <f t="shared" si="734"/>
        <v/>
      </c>
      <c r="T4699" t="str">
        <f t="shared" si="735"/>
        <v/>
      </c>
      <c r="U4699" t="str">
        <f t="shared" si="736"/>
        <v/>
      </c>
      <c r="V4699" t="str">
        <f t="shared" si="737"/>
        <v/>
      </c>
      <c r="W4699" t="str">
        <f t="shared" si="738"/>
        <v/>
      </c>
      <c r="X4699">
        <f>IF($T4699="",N($X4698),IF(MATCH($T4699,$T$6:$T$10005,0)=ROW()-5,N($X4698)+1,N($X4698)))</f>
        <v>0</v>
      </c>
      <c r="Z4699" t="str">
        <f t="shared" si="739"/>
        <v/>
      </c>
      <c r="AA4699">
        <f>IF($V4699="",N($AA4698),IF(MATCH($V4699,$V$6:$V$10005,0)=ROW()-5,N($AA4698)+1,N($AA4698)))</f>
        <v>0</v>
      </c>
    </row>
    <row r="4700" spans="1:27" ht="21" customHeight="1" x14ac:dyDescent="0.95">
      <c r="A4700" s="56"/>
      <c r="B4700" s="57"/>
      <c r="C4700" s="57"/>
      <c r="D4700" s="57"/>
      <c r="E4700" s="56"/>
      <c r="F4700" s="57"/>
      <c r="G4700" s="57"/>
      <c r="H4700" s="56"/>
      <c r="I4700" s="56"/>
      <c r="J4700" s="58"/>
      <c r="K4700" s="58"/>
      <c r="L4700" s="13" t="str">
        <f t="shared" si="730"/>
        <v/>
      </c>
      <c r="M4700" s="13" t="str">
        <f t="shared" si="731"/>
        <v/>
      </c>
      <c r="Q4700" t="str">
        <f t="shared" si="732"/>
        <v/>
      </c>
      <c r="R4700" t="str">
        <f t="shared" si="733"/>
        <v/>
      </c>
      <c r="S4700" t="str">
        <f t="shared" si="734"/>
        <v/>
      </c>
      <c r="T4700" t="str">
        <f t="shared" si="735"/>
        <v/>
      </c>
      <c r="U4700" t="str">
        <f t="shared" si="736"/>
        <v/>
      </c>
      <c r="V4700" t="str">
        <f t="shared" si="737"/>
        <v/>
      </c>
      <c r="W4700" t="str">
        <f t="shared" si="738"/>
        <v/>
      </c>
      <c r="X4700">
        <f>IF($T4700="",N($X4699),IF(MATCH($T4700,$T$6:$T$10005,0)=ROW()-5,N($X4699)+1,N($X4699)))</f>
        <v>0</v>
      </c>
      <c r="Z4700" t="str">
        <f t="shared" si="739"/>
        <v/>
      </c>
      <c r="AA4700">
        <f>IF($V4700="",N($AA4699),IF(MATCH($V4700,$V$6:$V$10005,0)=ROW()-5,N($AA4699)+1,N($AA4699)))</f>
        <v>0</v>
      </c>
    </row>
    <row r="4701" spans="1:27" ht="21" customHeight="1" x14ac:dyDescent="0.95">
      <c r="A4701" s="56"/>
      <c r="B4701" s="57"/>
      <c r="C4701" s="57"/>
      <c r="D4701" s="57"/>
      <c r="E4701" s="56"/>
      <c r="F4701" s="57"/>
      <c r="G4701" s="57"/>
      <c r="H4701" s="56"/>
      <c r="I4701" s="56"/>
      <c r="J4701" s="58"/>
      <c r="K4701" s="58"/>
      <c r="L4701" s="13" t="str">
        <f t="shared" si="730"/>
        <v/>
      </c>
      <c r="M4701" s="13" t="str">
        <f t="shared" si="731"/>
        <v/>
      </c>
      <c r="Q4701" t="str">
        <f t="shared" si="732"/>
        <v/>
      </c>
      <c r="R4701" t="str">
        <f t="shared" si="733"/>
        <v/>
      </c>
      <c r="S4701" t="str">
        <f t="shared" si="734"/>
        <v/>
      </c>
      <c r="T4701" t="str">
        <f t="shared" si="735"/>
        <v/>
      </c>
      <c r="U4701" t="str">
        <f t="shared" si="736"/>
        <v/>
      </c>
      <c r="V4701" t="str">
        <f t="shared" si="737"/>
        <v/>
      </c>
      <c r="W4701" t="str">
        <f t="shared" si="738"/>
        <v/>
      </c>
      <c r="X4701">
        <f>IF($T4701="",N($X4700),IF(MATCH($T4701,$T$6:$T$10005,0)=ROW()-5,N($X4700)+1,N($X4700)))</f>
        <v>0</v>
      </c>
      <c r="Z4701" t="str">
        <f t="shared" si="739"/>
        <v/>
      </c>
      <c r="AA4701">
        <f>IF($V4701="",N($AA4700),IF(MATCH($V4701,$V$6:$V$10005,0)=ROW()-5,N($AA4700)+1,N($AA4700)))</f>
        <v>0</v>
      </c>
    </row>
    <row r="4702" spans="1:27" ht="21" customHeight="1" x14ac:dyDescent="0.95">
      <c r="A4702" s="56"/>
      <c r="B4702" s="57"/>
      <c r="C4702" s="57"/>
      <c r="D4702" s="57"/>
      <c r="E4702" s="56"/>
      <c r="F4702" s="57"/>
      <c r="G4702" s="57"/>
      <c r="H4702" s="56"/>
      <c r="I4702" s="56"/>
      <c r="J4702" s="58"/>
      <c r="K4702" s="58"/>
      <c r="L4702" s="13" t="str">
        <f t="shared" si="730"/>
        <v/>
      </c>
      <c r="M4702" s="13" t="str">
        <f t="shared" si="731"/>
        <v/>
      </c>
      <c r="Q4702" t="str">
        <f t="shared" si="732"/>
        <v/>
      </c>
      <c r="R4702" t="str">
        <f t="shared" si="733"/>
        <v/>
      </c>
      <c r="S4702" t="str">
        <f t="shared" si="734"/>
        <v/>
      </c>
      <c r="T4702" t="str">
        <f t="shared" si="735"/>
        <v/>
      </c>
      <c r="U4702" t="str">
        <f t="shared" si="736"/>
        <v/>
      </c>
      <c r="V4702" t="str">
        <f t="shared" si="737"/>
        <v/>
      </c>
      <c r="W4702" t="str">
        <f t="shared" si="738"/>
        <v/>
      </c>
      <c r="X4702">
        <f>IF($T4702="",N($X4701),IF(MATCH($T4702,$T$6:$T$10005,0)=ROW()-5,N($X4701)+1,N($X4701)))</f>
        <v>0</v>
      </c>
      <c r="Z4702" t="str">
        <f t="shared" si="739"/>
        <v/>
      </c>
      <c r="AA4702">
        <f>IF($V4702="",N($AA4701),IF(MATCH($V4702,$V$6:$V$10005,0)=ROW()-5,N($AA4701)+1,N($AA4701)))</f>
        <v>0</v>
      </c>
    </row>
    <row r="4703" spans="1:27" ht="21" customHeight="1" x14ac:dyDescent="0.95">
      <c r="A4703" s="56"/>
      <c r="B4703" s="57"/>
      <c r="C4703" s="57"/>
      <c r="D4703" s="57"/>
      <c r="E4703" s="56"/>
      <c r="F4703" s="57"/>
      <c r="G4703" s="57"/>
      <c r="H4703" s="56"/>
      <c r="I4703" s="56"/>
      <c r="J4703" s="58"/>
      <c r="K4703" s="58"/>
      <c r="L4703" s="13" t="str">
        <f t="shared" si="730"/>
        <v/>
      </c>
      <c r="M4703" s="13" t="str">
        <f t="shared" si="731"/>
        <v/>
      </c>
      <c r="Q4703" t="str">
        <f t="shared" si="732"/>
        <v/>
      </c>
      <c r="R4703" t="str">
        <f t="shared" si="733"/>
        <v/>
      </c>
      <c r="S4703" t="str">
        <f t="shared" si="734"/>
        <v/>
      </c>
      <c r="T4703" t="str">
        <f t="shared" si="735"/>
        <v/>
      </c>
      <c r="U4703" t="str">
        <f t="shared" si="736"/>
        <v/>
      </c>
      <c r="V4703" t="str">
        <f t="shared" si="737"/>
        <v/>
      </c>
      <c r="W4703" t="str">
        <f t="shared" si="738"/>
        <v/>
      </c>
      <c r="X4703">
        <f>IF($T4703="",N($X4702),IF(MATCH($T4703,$T$6:$T$10005,0)=ROW()-5,N($X4702)+1,N($X4702)))</f>
        <v>0</v>
      </c>
      <c r="Z4703" t="str">
        <f t="shared" si="739"/>
        <v/>
      </c>
      <c r="AA4703">
        <f>IF($V4703="",N($AA4702),IF(MATCH($V4703,$V$6:$V$10005,0)=ROW()-5,N($AA4702)+1,N($AA4702)))</f>
        <v>0</v>
      </c>
    </row>
    <row r="4704" spans="1:27" ht="21" customHeight="1" x14ac:dyDescent="0.95">
      <c r="A4704" s="56"/>
      <c r="B4704" s="57"/>
      <c r="C4704" s="57"/>
      <c r="D4704" s="57"/>
      <c r="E4704" s="56"/>
      <c r="F4704" s="57"/>
      <c r="G4704" s="57"/>
      <c r="H4704" s="56"/>
      <c r="I4704" s="56"/>
      <c r="J4704" s="58"/>
      <c r="K4704" s="58"/>
      <c r="L4704" s="13" t="str">
        <f t="shared" si="730"/>
        <v/>
      </c>
      <c r="M4704" s="13" t="str">
        <f t="shared" si="731"/>
        <v/>
      </c>
      <c r="Q4704" t="str">
        <f t="shared" si="732"/>
        <v/>
      </c>
      <c r="R4704" t="str">
        <f t="shared" si="733"/>
        <v/>
      </c>
      <c r="S4704" t="str">
        <f t="shared" si="734"/>
        <v/>
      </c>
      <c r="T4704" t="str">
        <f t="shared" si="735"/>
        <v/>
      </c>
      <c r="U4704" t="str">
        <f t="shared" si="736"/>
        <v/>
      </c>
      <c r="V4704" t="str">
        <f t="shared" si="737"/>
        <v/>
      </c>
      <c r="W4704" t="str">
        <f t="shared" si="738"/>
        <v/>
      </c>
      <c r="X4704">
        <f>IF($T4704="",N($X4703),IF(MATCH($T4704,$T$6:$T$10005,0)=ROW()-5,N($X4703)+1,N($X4703)))</f>
        <v>0</v>
      </c>
      <c r="Z4704" t="str">
        <f t="shared" si="739"/>
        <v/>
      </c>
      <c r="AA4704">
        <f>IF($V4704="",N($AA4703),IF(MATCH($V4704,$V$6:$V$10005,0)=ROW()-5,N($AA4703)+1,N($AA4703)))</f>
        <v>0</v>
      </c>
    </row>
    <row r="4705" spans="1:27" ht="21" customHeight="1" x14ac:dyDescent="0.95">
      <c r="A4705" s="56"/>
      <c r="B4705" s="57"/>
      <c r="C4705" s="57"/>
      <c r="D4705" s="57"/>
      <c r="E4705" s="56"/>
      <c r="F4705" s="57"/>
      <c r="G4705" s="57"/>
      <c r="H4705" s="56"/>
      <c r="I4705" s="56"/>
      <c r="J4705" s="58"/>
      <c r="K4705" s="58"/>
      <c r="L4705" s="13" t="str">
        <f t="shared" si="730"/>
        <v/>
      </c>
      <c r="M4705" s="13" t="str">
        <f t="shared" si="731"/>
        <v/>
      </c>
      <c r="Q4705" t="str">
        <f t="shared" si="732"/>
        <v/>
      </c>
      <c r="R4705" t="str">
        <f t="shared" si="733"/>
        <v/>
      </c>
      <c r="S4705" t="str">
        <f t="shared" si="734"/>
        <v/>
      </c>
      <c r="T4705" t="str">
        <f t="shared" si="735"/>
        <v/>
      </c>
      <c r="U4705" t="str">
        <f t="shared" si="736"/>
        <v/>
      </c>
      <c r="V4705" t="str">
        <f t="shared" si="737"/>
        <v/>
      </c>
      <c r="W4705" t="str">
        <f t="shared" si="738"/>
        <v/>
      </c>
      <c r="X4705">
        <f>IF($T4705="",N($X4704),IF(MATCH($T4705,$T$6:$T$10005,0)=ROW()-5,N($X4704)+1,N($X4704)))</f>
        <v>0</v>
      </c>
      <c r="Z4705" t="str">
        <f t="shared" si="739"/>
        <v/>
      </c>
      <c r="AA4705">
        <f>IF($V4705="",N($AA4704),IF(MATCH($V4705,$V$6:$V$10005,0)=ROW()-5,N($AA4704)+1,N($AA4704)))</f>
        <v>0</v>
      </c>
    </row>
    <row r="4706" spans="1:27" ht="21" customHeight="1" x14ac:dyDescent="0.95">
      <c r="A4706" s="56"/>
      <c r="B4706" s="57"/>
      <c r="C4706" s="57"/>
      <c r="D4706" s="57"/>
      <c r="E4706" s="56"/>
      <c r="F4706" s="57"/>
      <c r="G4706" s="57"/>
      <c r="H4706" s="56"/>
      <c r="I4706" s="56"/>
      <c r="J4706" s="58"/>
      <c r="K4706" s="58"/>
      <c r="L4706" s="13" t="str">
        <f t="shared" si="730"/>
        <v/>
      </c>
      <c r="M4706" s="13" t="str">
        <f t="shared" si="731"/>
        <v/>
      </c>
      <c r="Q4706" t="str">
        <f t="shared" si="732"/>
        <v/>
      </c>
      <c r="R4706" t="str">
        <f t="shared" si="733"/>
        <v/>
      </c>
      <c r="S4706" t="str">
        <f t="shared" si="734"/>
        <v/>
      </c>
      <c r="T4706" t="str">
        <f t="shared" si="735"/>
        <v/>
      </c>
      <c r="U4706" t="str">
        <f t="shared" si="736"/>
        <v/>
      </c>
      <c r="V4706" t="str">
        <f t="shared" si="737"/>
        <v/>
      </c>
      <c r="W4706" t="str">
        <f t="shared" si="738"/>
        <v/>
      </c>
      <c r="X4706">
        <f>IF($T4706="",N($X4705),IF(MATCH($T4706,$T$6:$T$10005,0)=ROW()-5,N($X4705)+1,N($X4705)))</f>
        <v>0</v>
      </c>
      <c r="Z4706" t="str">
        <f t="shared" si="739"/>
        <v/>
      </c>
      <c r="AA4706">
        <f>IF($V4706="",N($AA4705),IF(MATCH($V4706,$V$6:$V$10005,0)=ROW()-5,N($AA4705)+1,N($AA4705)))</f>
        <v>0</v>
      </c>
    </row>
    <row r="4707" spans="1:27" ht="21" customHeight="1" x14ac:dyDescent="0.95">
      <c r="A4707" s="56"/>
      <c r="B4707" s="57"/>
      <c r="C4707" s="57"/>
      <c r="D4707" s="57"/>
      <c r="E4707" s="56"/>
      <c r="F4707" s="57"/>
      <c r="G4707" s="57"/>
      <c r="H4707" s="56"/>
      <c r="I4707" s="56"/>
      <c r="J4707" s="58"/>
      <c r="K4707" s="58"/>
      <c r="L4707" s="13" t="str">
        <f t="shared" si="730"/>
        <v/>
      </c>
      <c r="M4707" s="13" t="str">
        <f t="shared" si="731"/>
        <v/>
      </c>
      <c r="Q4707" t="str">
        <f t="shared" si="732"/>
        <v/>
      </c>
      <c r="R4707" t="str">
        <f t="shared" si="733"/>
        <v/>
      </c>
      <c r="S4707" t="str">
        <f t="shared" si="734"/>
        <v/>
      </c>
      <c r="T4707" t="str">
        <f t="shared" si="735"/>
        <v/>
      </c>
      <c r="U4707" t="str">
        <f t="shared" si="736"/>
        <v/>
      </c>
      <c r="V4707" t="str">
        <f t="shared" si="737"/>
        <v/>
      </c>
      <c r="W4707" t="str">
        <f t="shared" si="738"/>
        <v/>
      </c>
      <c r="X4707">
        <f>IF($T4707="",N($X4706),IF(MATCH($T4707,$T$6:$T$10005,0)=ROW()-5,N($X4706)+1,N($X4706)))</f>
        <v>0</v>
      </c>
      <c r="Z4707" t="str">
        <f t="shared" si="739"/>
        <v/>
      </c>
      <c r="AA4707">
        <f>IF($V4707="",N($AA4706),IF(MATCH($V4707,$V$6:$V$10005,0)=ROW()-5,N($AA4706)+1,N($AA4706)))</f>
        <v>0</v>
      </c>
    </row>
    <row r="4708" spans="1:27" ht="21" customHeight="1" x14ac:dyDescent="0.95">
      <c r="A4708" s="56"/>
      <c r="B4708" s="57"/>
      <c r="C4708" s="57"/>
      <c r="D4708" s="57"/>
      <c r="E4708" s="56"/>
      <c r="F4708" s="57"/>
      <c r="G4708" s="57"/>
      <c r="H4708" s="56"/>
      <c r="I4708" s="56"/>
      <c r="J4708" s="58"/>
      <c r="K4708" s="58"/>
      <c r="L4708" s="13" t="str">
        <f t="shared" si="730"/>
        <v/>
      </c>
      <c r="M4708" s="13" t="str">
        <f t="shared" si="731"/>
        <v/>
      </c>
      <c r="Q4708" t="str">
        <f t="shared" si="732"/>
        <v/>
      </c>
      <c r="R4708" t="str">
        <f t="shared" si="733"/>
        <v/>
      </c>
      <c r="S4708" t="str">
        <f t="shared" si="734"/>
        <v/>
      </c>
      <c r="T4708" t="str">
        <f t="shared" si="735"/>
        <v/>
      </c>
      <c r="U4708" t="str">
        <f t="shared" si="736"/>
        <v/>
      </c>
      <c r="V4708" t="str">
        <f t="shared" si="737"/>
        <v/>
      </c>
      <c r="W4708" t="str">
        <f t="shared" si="738"/>
        <v/>
      </c>
      <c r="X4708">
        <f>IF($T4708="",N($X4707),IF(MATCH($T4708,$T$6:$T$10005,0)=ROW()-5,N($X4707)+1,N($X4707)))</f>
        <v>0</v>
      </c>
      <c r="Z4708" t="str">
        <f t="shared" si="739"/>
        <v/>
      </c>
      <c r="AA4708">
        <f>IF($V4708="",N($AA4707),IF(MATCH($V4708,$V$6:$V$10005,0)=ROW()-5,N($AA4707)+1,N($AA4707)))</f>
        <v>0</v>
      </c>
    </row>
    <row r="4709" spans="1:27" ht="21" customHeight="1" x14ac:dyDescent="0.95">
      <c r="A4709" s="56"/>
      <c r="B4709" s="57"/>
      <c r="C4709" s="57"/>
      <c r="D4709" s="57"/>
      <c r="E4709" s="56"/>
      <c r="F4709" s="57"/>
      <c r="G4709" s="57"/>
      <c r="H4709" s="56"/>
      <c r="I4709" s="56"/>
      <c r="J4709" s="58"/>
      <c r="K4709" s="58"/>
      <c r="L4709" s="13" t="str">
        <f t="shared" si="730"/>
        <v/>
      </c>
      <c r="M4709" s="13" t="str">
        <f t="shared" si="731"/>
        <v/>
      </c>
      <c r="Q4709" t="str">
        <f t="shared" si="732"/>
        <v/>
      </c>
      <c r="R4709" t="str">
        <f t="shared" si="733"/>
        <v/>
      </c>
      <c r="S4709" t="str">
        <f t="shared" si="734"/>
        <v/>
      </c>
      <c r="T4709" t="str">
        <f t="shared" si="735"/>
        <v/>
      </c>
      <c r="U4709" t="str">
        <f t="shared" si="736"/>
        <v/>
      </c>
      <c r="V4709" t="str">
        <f t="shared" si="737"/>
        <v/>
      </c>
      <c r="W4709" t="str">
        <f t="shared" si="738"/>
        <v/>
      </c>
      <c r="X4709">
        <f>IF($T4709="",N($X4708),IF(MATCH($T4709,$T$6:$T$10005,0)=ROW()-5,N($X4708)+1,N($X4708)))</f>
        <v>0</v>
      </c>
      <c r="Z4709" t="str">
        <f t="shared" si="739"/>
        <v/>
      </c>
      <c r="AA4709">
        <f>IF($V4709="",N($AA4708),IF(MATCH($V4709,$V$6:$V$10005,0)=ROW()-5,N($AA4708)+1,N($AA4708)))</f>
        <v>0</v>
      </c>
    </row>
    <row r="4710" spans="1:27" ht="21" customHeight="1" x14ac:dyDescent="0.95">
      <c r="A4710" s="56"/>
      <c r="B4710" s="57"/>
      <c r="C4710" s="57"/>
      <c r="D4710" s="57"/>
      <c r="E4710" s="56"/>
      <c r="F4710" s="57"/>
      <c r="G4710" s="57"/>
      <c r="H4710" s="56"/>
      <c r="I4710" s="56"/>
      <c r="J4710" s="58"/>
      <c r="K4710" s="58"/>
      <c r="L4710" s="13" t="str">
        <f t="shared" si="730"/>
        <v/>
      </c>
      <c r="M4710" s="13" t="str">
        <f t="shared" si="731"/>
        <v/>
      </c>
      <c r="Q4710" t="str">
        <f t="shared" si="732"/>
        <v/>
      </c>
      <c r="R4710" t="str">
        <f t="shared" si="733"/>
        <v/>
      </c>
      <c r="S4710" t="str">
        <f t="shared" si="734"/>
        <v/>
      </c>
      <c r="T4710" t="str">
        <f t="shared" si="735"/>
        <v/>
      </c>
      <c r="U4710" t="str">
        <f t="shared" si="736"/>
        <v/>
      </c>
      <c r="V4710" t="str">
        <f t="shared" si="737"/>
        <v/>
      </c>
      <c r="W4710" t="str">
        <f t="shared" si="738"/>
        <v/>
      </c>
      <c r="X4710">
        <f>IF($T4710="",N($X4709),IF(MATCH($T4710,$T$6:$T$10005,0)=ROW()-5,N($X4709)+1,N($X4709)))</f>
        <v>0</v>
      </c>
      <c r="Z4710" t="str">
        <f t="shared" si="739"/>
        <v/>
      </c>
      <c r="AA4710">
        <f>IF($V4710="",N($AA4709),IF(MATCH($V4710,$V$6:$V$10005,0)=ROW()-5,N($AA4709)+1,N($AA4709)))</f>
        <v>0</v>
      </c>
    </row>
    <row r="4711" spans="1:27" ht="21" customHeight="1" x14ac:dyDescent="0.95">
      <c r="A4711" s="56"/>
      <c r="B4711" s="57"/>
      <c r="C4711" s="57"/>
      <c r="D4711" s="57"/>
      <c r="E4711" s="56"/>
      <c r="F4711" s="57"/>
      <c r="G4711" s="57"/>
      <c r="H4711" s="56"/>
      <c r="I4711" s="56"/>
      <c r="J4711" s="58"/>
      <c r="K4711" s="58"/>
      <c r="L4711" s="13" t="str">
        <f t="shared" si="730"/>
        <v/>
      </c>
      <c r="M4711" s="13" t="str">
        <f t="shared" si="731"/>
        <v/>
      </c>
      <c r="Q4711" t="str">
        <f t="shared" si="732"/>
        <v/>
      </c>
      <c r="R4711" t="str">
        <f t="shared" si="733"/>
        <v/>
      </c>
      <c r="S4711" t="str">
        <f t="shared" si="734"/>
        <v/>
      </c>
      <c r="T4711" t="str">
        <f t="shared" si="735"/>
        <v/>
      </c>
      <c r="U4711" t="str">
        <f t="shared" si="736"/>
        <v/>
      </c>
      <c r="V4711" t="str">
        <f t="shared" si="737"/>
        <v/>
      </c>
      <c r="W4711" t="str">
        <f t="shared" si="738"/>
        <v/>
      </c>
      <c r="X4711">
        <f>IF($T4711="",N($X4710),IF(MATCH($T4711,$T$6:$T$10005,0)=ROW()-5,N($X4710)+1,N($X4710)))</f>
        <v>0</v>
      </c>
      <c r="Z4711" t="str">
        <f t="shared" si="739"/>
        <v/>
      </c>
      <c r="AA4711">
        <f>IF($V4711="",N($AA4710),IF(MATCH($V4711,$V$6:$V$10005,0)=ROW()-5,N($AA4710)+1,N($AA4710)))</f>
        <v>0</v>
      </c>
    </row>
    <row r="4712" spans="1:27" ht="21" customHeight="1" x14ac:dyDescent="0.95">
      <c r="A4712" s="56"/>
      <c r="B4712" s="57"/>
      <c r="C4712" s="57"/>
      <c r="D4712" s="57"/>
      <c r="E4712" s="56"/>
      <c r="F4712" s="57"/>
      <c r="G4712" s="57"/>
      <c r="H4712" s="56"/>
      <c r="I4712" s="56"/>
      <c r="J4712" s="58"/>
      <c r="K4712" s="58"/>
      <c r="L4712" s="13" t="str">
        <f t="shared" si="730"/>
        <v/>
      </c>
      <c r="M4712" s="13" t="str">
        <f t="shared" si="731"/>
        <v/>
      </c>
      <c r="Q4712" t="str">
        <f t="shared" si="732"/>
        <v/>
      </c>
      <c r="R4712" t="str">
        <f t="shared" si="733"/>
        <v/>
      </c>
      <c r="S4712" t="str">
        <f t="shared" si="734"/>
        <v/>
      </c>
      <c r="T4712" t="str">
        <f t="shared" si="735"/>
        <v/>
      </c>
      <c r="U4712" t="str">
        <f t="shared" si="736"/>
        <v/>
      </c>
      <c r="V4712" t="str">
        <f t="shared" si="737"/>
        <v/>
      </c>
      <c r="W4712" t="str">
        <f t="shared" si="738"/>
        <v/>
      </c>
      <c r="X4712">
        <f>IF($T4712="",N($X4711),IF(MATCH($T4712,$T$6:$T$10005,0)=ROW()-5,N($X4711)+1,N($X4711)))</f>
        <v>0</v>
      </c>
      <c r="Z4712" t="str">
        <f t="shared" si="739"/>
        <v/>
      </c>
      <c r="AA4712">
        <f>IF($V4712="",N($AA4711),IF(MATCH($V4712,$V$6:$V$10005,0)=ROW()-5,N($AA4711)+1,N($AA4711)))</f>
        <v>0</v>
      </c>
    </row>
    <row r="4713" spans="1:27" ht="21" customHeight="1" x14ac:dyDescent="0.95">
      <c r="A4713" s="56"/>
      <c r="B4713" s="57"/>
      <c r="C4713" s="57"/>
      <c r="D4713" s="57"/>
      <c r="E4713" s="56"/>
      <c r="F4713" s="57"/>
      <c r="G4713" s="57"/>
      <c r="H4713" s="56"/>
      <c r="I4713" s="56"/>
      <c r="J4713" s="58"/>
      <c r="K4713" s="58"/>
      <c r="L4713" s="13" t="str">
        <f t="shared" si="730"/>
        <v/>
      </c>
      <c r="M4713" s="13" t="str">
        <f t="shared" si="731"/>
        <v/>
      </c>
      <c r="Q4713" t="str">
        <f t="shared" si="732"/>
        <v/>
      </c>
      <c r="R4713" t="str">
        <f t="shared" si="733"/>
        <v/>
      </c>
      <c r="S4713" t="str">
        <f t="shared" si="734"/>
        <v/>
      </c>
      <c r="T4713" t="str">
        <f t="shared" si="735"/>
        <v/>
      </c>
      <c r="U4713" t="str">
        <f t="shared" si="736"/>
        <v/>
      </c>
      <c r="V4713" t="str">
        <f t="shared" si="737"/>
        <v/>
      </c>
      <c r="W4713" t="str">
        <f t="shared" si="738"/>
        <v/>
      </c>
      <c r="X4713">
        <f>IF($T4713="",N($X4712),IF(MATCH($T4713,$T$6:$T$10005,0)=ROW()-5,N($X4712)+1,N($X4712)))</f>
        <v>0</v>
      </c>
      <c r="Z4713" t="str">
        <f t="shared" si="739"/>
        <v/>
      </c>
      <c r="AA4713">
        <f>IF($V4713="",N($AA4712),IF(MATCH($V4713,$V$6:$V$10005,0)=ROW()-5,N($AA4712)+1,N($AA4712)))</f>
        <v>0</v>
      </c>
    </row>
    <row r="4714" spans="1:27" ht="21" customHeight="1" x14ac:dyDescent="0.95">
      <c r="A4714" s="56"/>
      <c r="B4714" s="57"/>
      <c r="C4714" s="57"/>
      <c r="D4714" s="57"/>
      <c r="E4714" s="56"/>
      <c r="F4714" s="57"/>
      <c r="G4714" s="57"/>
      <c r="H4714" s="56"/>
      <c r="I4714" s="56"/>
      <c r="J4714" s="58"/>
      <c r="K4714" s="58"/>
      <c r="L4714" s="13" t="str">
        <f t="shared" si="730"/>
        <v/>
      </c>
      <c r="M4714" s="13" t="str">
        <f t="shared" si="731"/>
        <v/>
      </c>
      <c r="Q4714" t="str">
        <f t="shared" si="732"/>
        <v/>
      </c>
      <c r="R4714" t="str">
        <f t="shared" si="733"/>
        <v/>
      </c>
      <c r="S4714" t="str">
        <f t="shared" si="734"/>
        <v/>
      </c>
      <c r="T4714" t="str">
        <f t="shared" si="735"/>
        <v/>
      </c>
      <c r="U4714" t="str">
        <f t="shared" si="736"/>
        <v/>
      </c>
      <c r="V4714" t="str">
        <f t="shared" si="737"/>
        <v/>
      </c>
      <c r="W4714" t="str">
        <f t="shared" si="738"/>
        <v/>
      </c>
      <c r="X4714">
        <f>IF($T4714="",N($X4713),IF(MATCH($T4714,$T$6:$T$10005,0)=ROW()-5,N($X4713)+1,N($X4713)))</f>
        <v>0</v>
      </c>
      <c r="Z4714" t="str">
        <f t="shared" si="739"/>
        <v/>
      </c>
      <c r="AA4714">
        <f>IF($V4714="",N($AA4713),IF(MATCH($V4714,$V$6:$V$10005,0)=ROW()-5,N($AA4713)+1,N($AA4713)))</f>
        <v>0</v>
      </c>
    </row>
    <row r="4715" spans="1:27" ht="21" customHeight="1" x14ac:dyDescent="0.95">
      <c r="A4715" s="56"/>
      <c r="B4715" s="57"/>
      <c r="C4715" s="57"/>
      <c r="D4715" s="57"/>
      <c r="E4715" s="56"/>
      <c r="F4715" s="57"/>
      <c r="G4715" s="57"/>
      <c r="H4715" s="56"/>
      <c r="I4715" s="56"/>
      <c r="J4715" s="58"/>
      <c r="K4715" s="58"/>
      <c r="L4715" s="13" t="str">
        <f t="shared" si="730"/>
        <v/>
      </c>
      <c r="M4715" s="13" t="str">
        <f t="shared" si="731"/>
        <v/>
      </c>
      <c r="Q4715" t="str">
        <f t="shared" si="732"/>
        <v/>
      </c>
      <c r="R4715" t="str">
        <f t="shared" si="733"/>
        <v/>
      </c>
      <c r="S4715" t="str">
        <f t="shared" si="734"/>
        <v/>
      </c>
      <c r="T4715" t="str">
        <f t="shared" si="735"/>
        <v/>
      </c>
      <c r="U4715" t="str">
        <f t="shared" si="736"/>
        <v/>
      </c>
      <c r="V4715" t="str">
        <f t="shared" si="737"/>
        <v/>
      </c>
      <c r="W4715" t="str">
        <f t="shared" si="738"/>
        <v/>
      </c>
      <c r="X4715">
        <f>IF($T4715="",N($X4714),IF(MATCH($T4715,$T$6:$T$10005,0)=ROW()-5,N($X4714)+1,N($X4714)))</f>
        <v>0</v>
      </c>
      <c r="Z4715" t="str">
        <f t="shared" si="739"/>
        <v/>
      </c>
      <c r="AA4715">
        <f>IF($V4715="",N($AA4714),IF(MATCH($V4715,$V$6:$V$10005,0)=ROW()-5,N($AA4714)+1,N($AA4714)))</f>
        <v>0</v>
      </c>
    </row>
    <row r="4716" spans="1:27" ht="21" customHeight="1" x14ac:dyDescent="0.95">
      <c r="A4716" s="56"/>
      <c r="B4716" s="57"/>
      <c r="C4716" s="57"/>
      <c r="D4716" s="57"/>
      <c r="E4716" s="56"/>
      <c r="F4716" s="57"/>
      <c r="G4716" s="57"/>
      <c r="H4716" s="56"/>
      <c r="I4716" s="56"/>
      <c r="J4716" s="58"/>
      <c r="K4716" s="58"/>
      <c r="L4716" s="13" t="str">
        <f t="shared" si="730"/>
        <v/>
      </c>
      <c r="M4716" s="13" t="str">
        <f t="shared" si="731"/>
        <v/>
      </c>
      <c r="Q4716" t="str">
        <f t="shared" si="732"/>
        <v/>
      </c>
      <c r="R4716" t="str">
        <f t="shared" si="733"/>
        <v/>
      </c>
      <c r="S4716" t="str">
        <f t="shared" si="734"/>
        <v/>
      </c>
      <c r="T4716" t="str">
        <f t="shared" si="735"/>
        <v/>
      </c>
      <c r="U4716" t="str">
        <f t="shared" si="736"/>
        <v/>
      </c>
      <c r="V4716" t="str">
        <f t="shared" si="737"/>
        <v/>
      </c>
      <c r="W4716" t="str">
        <f t="shared" si="738"/>
        <v/>
      </c>
      <c r="X4716">
        <f>IF($T4716="",N($X4715),IF(MATCH($T4716,$T$6:$T$10005,0)=ROW()-5,N($X4715)+1,N($X4715)))</f>
        <v>0</v>
      </c>
      <c r="Z4716" t="str">
        <f t="shared" si="739"/>
        <v/>
      </c>
      <c r="AA4716">
        <f>IF($V4716="",N($AA4715),IF(MATCH($V4716,$V$6:$V$10005,0)=ROW()-5,N($AA4715)+1,N($AA4715)))</f>
        <v>0</v>
      </c>
    </row>
    <row r="4717" spans="1:27" ht="21" customHeight="1" x14ac:dyDescent="0.95">
      <c r="A4717" s="56"/>
      <c r="B4717" s="57"/>
      <c r="C4717" s="57"/>
      <c r="D4717" s="57"/>
      <c r="E4717" s="56"/>
      <c r="F4717" s="57"/>
      <c r="G4717" s="57"/>
      <c r="H4717" s="56"/>
      <c r="I4717" s="56"/>
      <c r="J4717" s="58"/>
      <c r="K4717" s="58"/>
      <c r="L4717" s="13" t="str">
        <f t="shared" si="730"/>
        <v/>
      </c>
      <c r="M4717" s="13" t="str">
        <f t="shared" si="731"/>
        <v/>
      </c>
      <c r="Q4717" t="str">
        <f t="shared" si="732"/>
        <v/>
      </c>
      <c r="R4717" t="str">
        <f t="shared" si="733"/>
        <v/>
      </c>
      <c r="S4717" t="str">
        <f t="shared" si="734"/>
        <v/>
      </c>
      <c r="T4717" t="str">
        <f t="shared" si="735"/>
        <v/>
      </c>
      <c r="U4717" t="str">
        <f t="shared" si="736"/>
        <v/>
      </c>
      <c r="V4717" t="str">
        <f t="shared" si="737"/>
        <v/>
      </c>
      <c r="W4717" t="str">
        <f t="shared" si="738"/>
        <v/>
      </c>
      <c r="X4717">
        <f>IF($T4717="",N($X4716),IF(MATCH($T4717,$T$6:$T$10005,0)=ROW()-5,N($X4716)+1,N($X4716)))</f>
        <v>0</v>
      </c>
      <c r="Z4717" t="str">
        <f t="shared" si="739"/>
        <v/>
      </c>
      <c r="AA4717">
        <f>IF($V4717="",N($AA4716),IF(MATCH($V4717,$V$6:$V$10005,0)=ROW()-5,N($AA4716)+1,N($AA4716)))</f>
        <v>0</v>
      </c>
    </row>
    <row r="4718" spans="1:27" ht="21" customHeight="1" x14ac:dyDescent="0.95">
      <c r="A4718" s="56"/>
      <c r="B4718" s="57"/>
      <c r="C4718" s="57"/>
      <c r="D4718" s="57"/>
      <c r="E4718" s="56"/>
      <c r="F4718" s="57"/>
      <c r="G4718" s="57"/>
      <c r="H4718" s="56"/>
      <c r="I4718" s="56"/>
      <c r="J4718" s="58"/>
      <c r="K4718" s="58"/>
      <c r="L4718" s="13" t="str">
        <f t="shared" si="730"/>
        <v/>
      </c>
      <c r="M4718" s="13" t="str">
        <f t="shared" si="731"/>
        <v/>
      </c>
      <c r="Q4718" t="str">
        <f t="shared" si="732"/>
        <v/>
      </c>
      <c r="R4718" t="str">
        <f t="shared" si="733"/>
        <v/>
      </c>
      <c r="S4718" t="str">
        <f t="shared" si="734"/>
        <v/>
      </c>
      <c r="T4718" t="str">
        <f t="shared" si="735"/>
        <v/>
      </c>
      <c r="U4718" t="str">
        <f t="shared" si="736"/>
        <v/>
      </c>
      <c r="V4718" t="str">
        <f t="shared" si="737"/>
        <v/>
      </c>
      <c r="W4718" t="str">
        <f t="shared" si="738"/>
        <v/>
      </c>
      <c r="X4718">
        <f>IF($T4718="",N($X4717),IF(MATCH($T4718,$T$6:$T$10005,0)=ROW()-5,N($X4717)+1,N($X4717)))</f>
        <v>0</v>
      </c>
      <c r="Z4718" t="str">
        <f t="shared" si="739"/>
        <v/>
      </c>
      <c r="AA4718">
        <f>IF($V4718="",N($AA4717),IF(MATCH($V4718,$V$6:$V$10005,0)=ROW()-5,N($AA4717)+1,N($AA4717)))</f>
        <v>0</v>
      </c>
    </row>
    <row r="4719" spans="1:27" ht="21" customHeight="1" x14ac:dyDescent="0.95">
      <c r="A4719" s="56"/>
      <c r="B4719" s="57"/>
      <c r="C4719" s="57"/>
      <c r="D4719" s="57"/>
      <c r="E4719" s="56"/>
      <c r="F4719" s="57"/>
      <c r="G4719" s="57"/>
      <c r="H4719" s="56"/>
      <c r="I4719" s="56"/>
      <c r="J4719" s="58"/>
      <c r="K4719" s="58"/>
      <c r="L4719" s="13" t="str">
        <f t="shared" si="730"/>
        <v/>
      </c>
      <c r="M4719" s="13" t="str">
        <f t="shared" si="731"/>
        <v/>
      </c>
      <c r="Q4719" t="str">
        <f t="shared" si="732"/>
        <v/>
      </c>
      <c r="R4719" t="str">
        <f t="shared" si="733"/>
        <v/>
      </c>
      <c r="S4719" t="str">
        <f t="shared" si="734"/>
        <v/>
      </c>
      <c r="T4719" t="str">
        <f t="shared" si="735"/>
        <v/>
      </c>
      <c r="U4719" t="str">
        <f t="shared" si="736"/>
        <v/>
      </c>
      <c r="V4719" t="str">
        <f t="shared" si="737"/>
        <v/>
      </c>
      <c r="W4719" t="str">
        <f t="shared" si="738"/>
        <v/>
      </c>
      <c r="X4719">
        <f>IF($T4719="",N($X4718),IF(MATCH($T4719,$T$6:$T$10005,0)=ROW()-5,N($X4718)+1,N($X4718)))</f>
        <v>0</v>
      </c>
      <c r="Z4719" t="str">
        <f t="shared" si="739"/>
        <v/>
      </c>
      <c r="AA4719">
        <f>IF($V4719="",N($AA4718),IF(MATCH($V4719,$V$6:$V$10005,0)=ROW()-5,N($AA4718)+1,N($AA4718)))</f>
        <v>0</v>
      </c>
    </row>
    <row r="4720" spans="1:27" ht="21" customHeight="1" x14ac:dyDescent="0.95">
      <c r="A4720" s="56"/>
      <c r="B4720" s="57"/>
      <c r="C4720" s="57"/>
      <c r="D4720" s="57"/>
      <c r="E4720" s="56"/>
      <c r="F4720" s="57"/>
      <c r="G4720" s="57"/>
      <c r="H4720" s="56"/>
      <c r="I4720" s="56"/>
      <c r="J4720" s="58"/>
      <c r="K4720" s="58"/>
      <c r="L4720" s="13" t="str">
        <f t="shared" si="730"/>
        <v/>
      </c>
      <c r="M4720" s="13" t="str">
        <f t="shared" si="731"/>
        <v/>
      </c>
      <c r="Q4720" t="str">
        <f t="shared" si="732"/>
        <v/>
      </c>
      <c r="R4720" t="str">
        <f t="shared" si="733"/>
        <v/>
      </c>
      <c r="S4720" t="str">
        <f t="shared" si="734"/>
        <v/>
      </c>
      <c r="T4720" t="str">
        <f t="shared" si="735"/>
        <v/>
      </c>
      <c r="U4720" t="str">
        <f t="shared" si="736"/>
        <v/>
      </c>
      <c r="V4720" t="str">
        <f t="shared" si="737"/>
        <v/>
      </c>
      <c r="W4720" t="str">
        <f t="shared" si="738"/>
        <v/>
      </c>
      <c r="X4720">
        <f>IF($T4720="",N($X4719),IF(MATCH($T4720,$T$6:$T$10005,0)=ROW()-5,N($X4719)+1,N($X4719)))</f>
        <v>0</v>
      </c>
      <c r="Z4720" t="str">
        <f t="shared" si="739"/>
        <v/>
      </c>
      <c r="AA4720">
        <f>IF($V4720="",N($AA4719),IF(MATCH($V4720,$V$6:$V$10005,0)=ROW()-5,N($AA4719)+1,N($AA4719)))</f>
        <v>0</v>
      </c>
    </row>
    <row r="4721" spans="1:27" ht="21" customHeight="1" x14ac:dyDescent="0.95">
      <c r="A4721" s="56"/>
      <c r="B4721" s="57"/>
      <c r="C4721" s="57"/>
      <c r="D4721" s="57"/>
      <c r="E4721" s="56"/>
      <c r="F4721" s="57"/>
      <c r="G4721" s="57"/>
      <c r="H4721" s="56"/>
      <c r="I4721" s="56"/>
      <c r="J4721" s="58"/>
      <c r="K4721" s="58"/>
      <c r="L4721" s="13" t="str">
        <f t="shared" si="730"/>
        <v/>
      </c>
      <c r="M4721" s="13" t="str">
        <f t="shared" si="731"/>
        <v/>
      </c>
      <c r="Q4721" t="str">
        <f t="shared" si="732"/>
        <v/>
      </c>
      <c r="R4721" t="str">
        <f t="shared" si="733"/>
        <v/>
      </c>
      <c r="S4721" t="str">
        <f t="shared" si="734"/>
        <v/>
      </c>
      <c r="T4721" t="str">
        <f t="shared" si="735"/>
        <v/>
      </c>
      <c r="U4721" t="str">
        <f t="shared" si="736"/>
        <v/>
      </c>
      <c r="V4721" t="str">
        <f t="shared" si="737"/>
        <v/>
      </c>
      <c r="W4721" t="str">
        <f t="shared" si="738"/>
        <v/>
      </c>
      <c r="X4721">
        <f>IF($T4721="",N($X4720),IF(MATCH($T4721,$T$6:$T$10005,0)=ROW()-5,N($X4720)+1,N($X4720)))</f>
        <v>0</v>
      </c>
      <c r="Z4721" t="str">
        <f t="shared" si="739"/>
        <v/>
      </c>
      <c r="AA4721">
        <f>IF($V4721="",N($AA4720),IF(MATCH($V4721,$V$6:$V$10005,0)=ROW()-5,N($AA4720)+1,N($AA4720)))</f>
        <v>0</v>
      </c>
    </row>
    <row r="4722" spans="1:27" ht="21" customHeight="1" x14ac:dyDescent="0.95">
      <c r="A4722" s="56"/>
      <c r="B4722" s="57"/>
      <c r="C4722" s="57"/>
      <c r="D4722" s="57"/>
      <c r="E4722" s="56"/>
      <c r="F4722" s="57"/>
      <c r="G4722" s="57"/>
      <c r="H4722" s="56"/>
      <c r="I4722" s="56"/>
      <c r="J4722" s="58"/>
      <c r="K4722" s="58"/>
      <c r="L4722" s="13" t="str">
        <f t="shared" si="730"/>
        <v/>
      </c>
      <c r="M4722" s="13" t="str">
        <f t="shared" si="731"/>
        <v/>
      </c>
      <c r="Q4722" t="str">
        <f t="shared" si="732"/>
        <v/>
      </c>
      <c r="R4722" t="str">
        <f t="shared" si="733"/>
        <v/>
      </c>
      <c r="S4722" t="str">
        <f t="shared" si="734"/>
        <v/>
      </c>
      <c r="T4722" t="str">
        <f t="shared" si="735"/>
        <v/>
      </c>
      <c r="U4722" t="str">
        <f t="shared" si="736"/>
        <v/>
      </c>
      <c r="V4722" t="str">
        <f t="shared" si="737"/>
        <v/>
      </c>
      <c r="W4722" t="str">
        <f t="shared" si="738"/>
        <v/>
      </c>
      <c r="X4722">
        <f>IF($T4722="",N($X4721),IF(MATCH($T4722,$T$6:$T$10005,0)=ROW()-5,N($X4721)+1,N($X4721)))</f>
        <v>0</v>
      </c>
      <c r="Z4722" t="str">
        <f t="shared" si="739"/>
        <v/>
      </c>
      <c r="AA4722">
        <f>IF($V4722="",N($AA4721),IF(MATCH($V4722,$V$6:$V$10005,0)=ROW()-5,N($AA4721)+1,N($AA4721)))</f>
        <v>0</v>
      </c>
    </row>
    <row r="4723" spans="1:27" ht="21" customHeight="1" x14ac:dyDescent="0.95">
      <c r="A4723" s="56"/>
      <c r="B4723" s="57"/>
      <c r="C4723" s="57"/>
      <c r="D4723" s="57"/>
      <c r="E4723" s="56"/>
      <c r="F4723" s="57"/>
      <c r="G4723" s="57"/>
      <c r="H4723" s="56"/>
      <c r="I4723" s="56"/>
      <c r="J4723" s="58"/>
      <c r="K4723" s="58"/>
      <c r="L4723" s="13" t="str">
        <f t="shared" si="730"/>
        <v/>
      </c>
      <c r="M4723" s="13" t="str">
        <f t="shared" si="731"/>
        <v/>
      </c>
      <c r="Q4723" t="str">
        <f t="shared" si="732"/>
        <v/>
      </c>
      <c r="R4723" t="str">
        <f t="shared" si="733"/>
        <v/>
      </c>
      <c r="S4723" t="str">
        <f t="shared" si="734"/>
        <v/>
      </c>
      <c r="T4723" t="str">
        <f t="shared" si="735"/>
        <v/>
      </c>
      <c r="U4723" t="str">
        <f t="shared" si="736"/>
        <v/>
      </c>
      <c r="V4723" t="str">
        <f t="shared" si="737"/>
        <v/>
      </c>
      <c r="W4723" t="str">
        <f t="shared" si="738"/>
        <v/>
      </c>
      <c r="X4723">
        <f>IF($T4723="",N($X4722),IF(MATCH($T4723,$T$6:$T$10005,0)=ROW()-5,N($X4722)+1,N($X4722)))</f>
        <v>0</v>
      </c>
      <c r="Z4723" t="str">
        <f t="shared" si="739"/>
        <v/>
      </c>
      <c r="AA4723">
        <f>IF($V4723="",N($AA4722),IF(MATCH($V4723,$V$6:$V$10005,0)=ROW()-5,N($AA4722)+1,N($AA4722)))</f>
        <v>0</v>
      </c>
    </row>
    <row r="4724" spans="1:27" ht="21" customHeight="1" x14ac:dyDescent="0.95">
      <c r="A4724" s="56"/>
      <c r="B4724" s="57"/>
      <c r="C4724" s="57"/>
      <c r="D4724" s="57"/>
      <c r="E4724" s="56"/>
      <c r="F4724" s="57"/>
      <c r="G4724" s="57"/>
      <c r="H4724" s="56"/>
      <c r="I4724" s="56"/>
      <c r="J4724" s="58"/>
      <c r="K4724" s="58"/>
      <c r="L4724" s="13" t="str">
        <f t="shared" si="730"/>
        <v/>
      </c>
      <c r="M4724" s="13" t="str">
        <f t="shared" si="731"/>
        <v/>
      </c>
      <c r="Q4724" t="str">
        <f t="shared" si="732"/>
        <v/>
      </c>
      <c r="R4724" t="str">
        <f t="shared" si="733"/>
        <v/>
      </c>
      <c r="S4724" t="str">
        <f t="shared" si="734"/>
        <v/>
      </c>
      <c r="T4724" t="str">
        <f t="shared" si="735"/>
        <v/>
      </c>
      <c r="U4724" t="str">
        <f t="shared" si="736"/>
        <v/>
      </c>
      <c r="V4724" t="str">
        <f t="shared" si="737"/>
        <v/>
      </c>
      <c r="W4724" t="str">
        <f t="shared" si="738"/>
        <v/>
      </c>
      <c r="X4724">
        <f>IF($T4724="",N($X4723),IF(MATCH($T4724,$T$6:$T$10005,0)=ROW()-5,N($X4723)+1,N($X4723)))</f>
        <v>0</v>
      </c>
      <c r="Z4724" t="str">
        <f t="shared" si="739"/>
        <v/>
      </c>
      <c r="AA4724">
        <f>IF($V4724="",N($AA4723),IF(MATCH($V4724,$V$6:$V$10005,0)=ROW()-5,N($AA4723)+1,N($AA4723)))</f>
        <v>0</v>
      </c>
    </row>
    <row r="4725" spans="1:27" ht="21" customHeight="1" x14ac:dyDescent="0.95">
      <c r="A4725" s="56"/>
      <c r="B4725" s="57"/>
      <c r="C4725" s="57"/>
      <c r="D4725" s="57"/>
      <c r="E4725" s="56"/>
      <c r="F4725" s="57"/>
      <c r="G4725" s="57"/>
      <c r="H4725" s="56"/>
      <c r="I4725" s="56"/>
      <c r="J4725" s="58"/>
      <c r="K4725" s="58"/>
      <c r="L4725" s="13" t="str">
        <f t="shared" si="730"/>
        <v/>
      </c>
      <c r="M4725" s="13" t="str">
        <f t="shared" si="731"/>
        <v/>
      </c>
      <c r="Q4725" t="str">
        <f t="shared" si="732"/>
        <v/>
      </c>
      <c r="R4725" t="str">
        <f t="shared" si="733"/>
        <v/>
      </c>
      <c r="S4725" t="str">
        <f t="shared" si="734"/>
        <v/>
      </c>
      <c r="T4725" t="str">
        <f t="shared" si="735"/>
        <v/>
      </c>
      <c r="U4725" t="str">
        <f t="shared" si="736"/>
        <v/>
      </c>
      <c r="V4725" t="str">
        <f t="shared" si="737"/>
        <v/>
      </c>
      <c r="W4725" t="str">
        <f t="shared" si="738"/>
        <v/>
      </c>
      <c r="X4725">
        <f>IF($T4725="",N($X4724),IF(MATCH($T4725,$T$6:$T$10005,0)=ROW()-5,N($X4724)+1,N($X4724)))</f>
        <v>0</v>
      </c>
      <c r="Z4725" t="str">
        <f t="shared" si="739"/>
        <v/>
      </c>
      <c r="AA4725">
        <f>IF($V4725="",N($AA4724),IF(MATCH($V4725,$V$6:$V$10005,0)=ROW()-5,N($AA4724)+1,N($AA4724)))</f>
        <v>0</v>
      </c>
    </row>
    <row r="4726" spans="1:27" ht="21" customHeight="1" x14ac:dyDescent="0.95">
      <c r="A4726" s="56"/>
      <c r="B4726" s="57"/>
      <c r="C4726" s="57"/>
      <c r="D4726" s="57"/>
      <c r="E4726" s="56"/>
      <c r="F4726" s="57"/>
      <c r="G4726" s="57"/>
      <c r="H4726" s="56"/>
      <c r="I4726" s="56"/>
      <c r="J4726" s="58"/>
      <c r="K4726" s="58"/>
      <c r="L4726" s="13" t="str">
        <f t="shared" si="730"/>
        <v/>
      </c>
      <c r="M4726" s="13" t="str">
        <f t="shared" si="731"/>
        <v/>
      </c>
      <c r="Q4726" t="str">
        <f t="shared" si="732"/>
        <v/>
      </c>
      <c r="R4726" t="str">
        <f t="shared" si="733"/>
        <v/>
      </c>
      <c r="S4726" t="str">
        <f t="shared" si="734"/>
        <v/>
      </c>
      <c r="T4726" t="str">
        <f t="shared" si="735"/>
        <v/>
      </c>
      <c r="U4726" t="str">
        <f t="shared" si="736"/>
        <v/>
      </c>
      <c r="V4726" t="str">
        <f t="shared" si="737"/>
        <v/>
      </c>
      <c r="W4726" t="str">
        <f t="shared" si="738"/>
        <v/>
      </c>
      <c r="X4726">
        <f>IF($T4726="",N($X4725),IF(MATCH($T4726,$T$6:$T$10005,0)=ROW()-5,N($X4725)+1,N($X4725)))</f>
        <v>0</v>
      </c>
      <c r="Z4726" t="str">
        <f t="shared" si="739"/>
        <v/>
      </c>
      <c r="AA4726">
        <f>IF($V4726="",N($AA4725),IF(MATCH($V4726,$V$6:$V$10005,0)=ROW()-5,N($AA4725)+1,N($AA4725)))</f>
        <v>0</v>
      </c>
    </row>
    <row r="4727" spans="1:27" ht="21" customHeight="1" x14ac:dyDescent="0.95">
      <c r="A4727" s="56"/>
      <c r="B4727" s="57"/>
      <c r="C4727" s="57"/>
      <c r="D4727" s="57"/>
      <c r="E4727" s="56"/>
      <c r="F4727" s="57"/>
      <c r="G4727" s="57"/>
      <c r="H4727" s="56"/>
      <c r="I4727" s="56"/>
      <c r="J4727" s="58"/>
      <c r="K4727" s="58"/>
      <c r="L4727" s="13" t="str">
        <f t="shared" si="730"/>
        <v/>
      </c>
      <c r="M4727" s="13" t="str">
        <f t="shared" si="731"/>
        <v/>
      </c>
      <c r="Q4727" t="str">
        <f t="shared" si="732"/>
        <v/>
      </c>
      <c r="R4727" t="str">
        <f t="shared" si="733"/>
        <v/>
      </c>
      <c r="S4727" t="str">
        <f t="shared" si="734"/>
        <v/>
      </c>
      <c r="T4727" t="str">
        <f t="shared" si="735"/>
        <v/>
      </c>
      <c r="U4727" t="str">
        <f t="shared" si="736"/>
        <v/>
      </c>
      <c r="V4727" t="str">
        <f t="shared" si="737"/>
        <v/>
      </c>
      <c r="W4727" t="str">
        <f t="shared" si="738"/>
        <v/>
      </c>
      <c r="X4727">
        <f>IF($T4727="",N($X4726),IF(MATCH($T4727,$T$6:$T$10005,0)=ROW()-5,N($X4726)+1,N($X4726)))</f>
        <v>0</v>
      </c>
      <c r="Z4727" t="str">
        <f t="shared" si="739"/>
        <v/>
      </c>
      <c r="AA4727">
        <f>IF($V4727="",N($AA4726),IF(MATCH($V4727,$V$6:$V$10005,0)=ROW()-5,N($AA4726)+1,N($AA4726)))</f>
        <v>0</v>
      </c>
    </row>
    <row r="4728" spans="1:27" ht="21" customHeight="1" x14ac:dyDescent="0.95">
      <c r="A4728" s="56"/>
      <c r="B4728" s="57"/>
      <c r="C4728" s="57"/>
      <c r="D4728" s="57"/>
      <c r="E4728" s="56"/>
      <c r="F4728" s="57"/>
      <c r="G4728" s="57"/>
      <c r="H4728" s="56"/>
      <c r="I4728" s="56"/>
      <c r="J4728" s="58"/>
      <c r="K4728" s="58"/>
      <c r="L4728" s="13" t="str">
        <f t="shared" si="730"/>
        <v/>
      </c>
      <c r="M4728" s="13" t="str">
        <f t="shared" si="731"/>
        <v/>
      </c>
      <c r="Q4728" t="str">
        <f t="shared" si="732"/>
        <v/>
      </c>
      <c r="R4728" t="str">
        <f t="shared" si="733"/>
        <v/>
      </c>
      <c r="S4728" t="str">
        <f t="shared" si="734"/>
        <v/>
      </c>
      <c r="T4728" t="str">
        <f t="shared" si="735"/>
        <v/>
      </c>
      <c r="U4728" t="str">
        <f t="shared" si="736"/>
        <v/>
      </c>
      <c r="V4728" t="str">
        <f t="shared" si="737"/>
        <v/>
      </c>
      <c r="W4728" t="str">
        <f t="shared" si="738"/>
        <v/>
      </c>
      <c r="X4728">
        <f>IF($T4728="",N($X4727),IF(MATCH($T4728,$T$6:$T$10005,0)=ROW()-5,N($X4727)+1,N($X4727)))</f>
        <v>0</v>
      </c>
      <c r="Z4728" t="str">
        <f t="shared" si="739"/>
        <v/>
      </c>
      <c r="AA4728">
        <f>IF($V4728="",N($AA4727),IF(MATCH($V4728,$V$6:$V$10005,0)=ROW()-5,N($AA4727)+1,N($AA4727)))</f>
        <v>0</v>
      </c>
    </row>
    <row r="4729" spans="1:27" ht="21" customHeight="1" x14ac:dyDescent="0.95">
      <c r="A4729" s="56"/>
      <c r="B4729" s="57"/>
      <c r="C4729" s="57"/>
      <c r="D4729" s="57"/>
      <c r="E4729" s="56"/>
      <c r="F4729" s="57"/>
      <c r="G4729" s="57"/>
      <c r="H4729" s="56"/>
      <c r="I4729" s="56"/>
      <c r="J4729" s="58"/>
      <c r="K4729" s="58"/>
      <c r="L4729" s="13" t="str">
        <f t="shared" si="730"/>
        <v/>
      </c>
      <c r="M4729" s="13" t="str">
        <f t="shared" si="731"/>
        <v/>
      </c>
      <c r="Q4729" t="str">
        <f t="shared" si="732"/>
        <v/>
      </c>
      <c r="R4729" t="str">
        <f t="shared" si="733"/>
        <v/>
      </c>
      <c r="S4729" t="str">
        <f t="shared" si="734"/>
        <v/>
      </c>
      <c r="T4729" t="str">
        <f t="shared" si="735"/>
        <v/>
      </c>
      <c r="U4729" t="str">
        <f t="shared" si="736"/>
        <v/>
      </c>
      <c r="V4729" t="str">
        <f t="shared" si="737"/>
        <v/>
      </c>
      <c r="W4729" t="str">
        <f t="shared" si="738"/>
        <v/>
      </c>
      <c r="X4729">
        <f>IF($T4729="",N($X4728),IF(MATCH($T4729,$T$6:$T$10005,0)=ROW()-5,N($X4728)+1,N($X4728)))</f>
        <v>0</v>
      </c>
      <c r="Z4729" t="str">
        <f t="shared" si="739"/>
        <v/>
      </c>
      <c r="AA4729">
        <f>IF($V4729="",N($AA4728),IF(MATCH($V4729,$V$6:$V$10005,0)=ROW()-5,N($AA4728)+1,N($AA4728)))</f>
        <v>0</v>
      </c>
    </row>
    <row r="4730" spans="1:27" ht="21" customHeight="1" x14ac:dyDescent="0.95">
      <c r="A4730" s="56"/>
      <c r="B4730" s="57"/>
      <c r="C4730" s="57"/>
      <c r="D4730" s="57"/>
      <c r="E4730" s="56"/>
      <c r="F4730" s="57"/>
      <c r="G4730" s="57"/>
      <c r="H4730" s="56"/>
      <c r="I4730" s="56"/>
      <c r="J4730" s="58"/>
      <c r="K4730" s="58"/>
      <c r="L4730" s="13" t="str">
        <f t="shared" si="730"/>
        <v/>
      </c>
      <c r="M4730" s="13" t="str">
        <f t="shared" si="731"/>
        <v/>
      </c>
      <c r="Q4730" t="str">
        <f t="shared" si="732"/>
        <v/>
      </c>
      <c r="R4730" t="str">
        <f t="shared" si="733"/>
        <v/>
      </c>
      <c r="S4730" t="str">
        <f t="shared" si="734"/>
        <v/>
      </c>
      <c r="T4730" t="str">
        <f t="shared" si="735"/>
        <v/>
      </c>
      <c r="U4730" t="str">
        <f t="shared" si="736"/>
        <v/>
      </c>
      <c r="V4730" t="str">
        <f t="shared" si="737"/>
        <v/>
      </c>
      <c r="W4730" t="str">
        <f t="shared" si="738"/>
        <v/>
      </c>
      <c r="X4730">
        <f>IF($T4730="",N($X4729),IF(MATCH($T4730,$T$6:$T$10005,0)=ROW()-5,N($X4729)+1,N($X4729)))</f>
        <v>0</v>
      </c>
      <c r="Z4730" t="str">
        <f t="shared" si="739"/>
        <v/>
      </c>
      <c r="AA4730">
        <f>IF($V4730="",N($AA4729),IF(MATCH($V4730,$V$6:$V$10005,0)=ROW()-5,N($AA4729)+1,N($AA4729)))</f>
        <v>0</v>
      </c>
    </row>
    <row r="4731" spans="1:27" ht="21" customHeight="1" x14ac:dyDescent="0.95">
      <c r="A4731" s="56"/>
      <c r="B4731" s="57"/>
      <c r="C4731" s="57"/>
      <c r="D4731" s="57"/>
      <c r="E4731" s="56"/>
      <c r="F4731" s="57"/>
      <c r="G4731" s="57"/>
      <c r="H4731" s="56"/>
      <c r="I4731" s="56"/>
      <c r="J4731" s="58"/>
      <c r="K4731" s="58"/>
      <c r="L4731" s="13" t="str">
        <f t="shared" si="730"/>
        <v/>
      </c>
      <c r="M4731" s="13" t="str">
        <f t="shared" si="731"/>
        <v/>
      </c>
      <c r="Q4731" t="str">
        <f t="shared" si="732"/>
        <v/>
      </c>
      <c r="R4731" t="str">
        <f t="shared" si="733"/>
        <v/>
      </c>
      <c r="S4731" t="str">
        <f t="shared" si="734"/>
        <v/>
      </c>
      <c r="T4731" t="str">
        <f t="shared" si="735"/>
        <v/>
      </c>
      <c r="U4731" t="str">
        <f t="shared" si="736"/>
        <v/>
      </c>
      <c r="V4731" t="str">
        <f t="shared" si="737"/>
        <v/>
      </c>
      <c r="W4731" t="str">
        <f t="shared" si="738"/>
        <v/>
      </c>
      <c r="X4731">
        <f>IF($T4731="",N($X4730),IF(MATCH($T4731,$T$6:$T$10005,0)=ROW()-5,N($X4730)+1,N($X4730)))</f>
        <v>0</v>
      </c>
      <c r="Z4731" t="str">
        <f t="shared" si="739"/>
        <v/>
      </c>
      <c r="AA4731">
        <f>IF($V4731="",N($AA4730),IF(MATCH($V4731,$V$6:$V$10005,0)=ROW()-5,N($AA4730)+1,N($AA4730)))</f>
        <v>0</v>
      </c>
    </row>
    <row r="4732" spans="1:27" ht="21" customHeight="1" x14ac:dyDescent="0.95">
      <c r="A4732" s="56"/>
      <c r="B4732" s="57"/>
      <c r="C4732" s="57"/>
      <c r="D4732" s="57"/>
      <c r="E4732" s="56"/>
      <c r="F4732" s="57"/>
      <c r="G4732" s="57"/>
      <c r="H4732" s="56"/>
      <c r="I4732" s="56"/>
      <c r="J4732" s="58"/>
      <c r="K4732" s="58"/>
      <c r="L4732" s="13" t="str">
        <f t="shared" si="730"/>
        <v/>
      </c>
      <c r="M4732" s="13" t="str">
        <f t="shared" si="731"/>
        <v/>
      </c>
      <c r="Q4732" t="str">
        <f t="shared" si="732"/>
        <v/>
      </c>
      <c r="R4732" t="str">
        <f t="shared" si="733"/>
        <v/>
      </c>
      <c r="S4732" t="str">
        <f t="shared" si="734"/>
        <v/>
      </c>
      <c r="T4732" t="str">
        <f t="shared" si="735"/>
        <v/>
      </c>
      <c r="U4732" t="str">
        <f t="shared" si="736"/>
        <v/>
      </c>
      <c r="V4732" t="str">
        <f t="shared" si="737"/>
        <v/>
      </c>
      <c r="W4732" t="str">
        <f t="shared" si="738"/>
        <v/>
      </c>
      <c r="X4732">
        <f>IF($T4732="",N($X4731),IF(MATCH($T4732,$T$6:$T$10005,0)=ROW()-5,N($X4731)+1,N($X4731)))</f>
        <v>0</v>
      </c>
      <c r="Z4732" t="str">
        <f t="shared" si="739"/>
        <v/>
      </c>
      <c r="AA4732">
        <f>IF($V4732="",N($AA4731),IF(MATCH($V4732,$V$6:$V$10005,0)=ROW()-5,N($AA4731)+1,N($AA4731)))</f>
        <v>0</v>
      </c>
    </row>
    <row r="4733" spans="1:27" ht="21" customHeight="1" x14ac:dyDescent="0.95">
      <c r="A4733" s="56"/>
      <c r="B4733" s="57"/>
      <c r="C4733" s="57"/>
      <c r="D4733" s="57"/>
      <c r="E4733" s="56"/>
      <c r="F4733" s="57"/>
      <c r="G4733" s="57"/>
      <c r="H4733" s="56"/>
      <c r="I4733" s="56"/>
      <c r="J4733" s="58"/>
      <c r="K4733" s="58"/>
      <c r="L4733" s="13" t="str">
        <f t="shared" si="730"/>
        <v/>
      </c>
      <c r="M4733" s="13" t="str">
        <f t="shared" si="731"/>
        <v/>
      </c>
      <c r="Q4733" t="str">
        <f t="shared" si="732"/>
        <v/>
      </c>
      <c r="R4733" t="str">
        <f t="shared" si="733"/>
        <v/>
      </c>
      <c r="S4733" t="str">
        <f t="shared" si="734"/>
        <v/>
      </c>
      <c r="T4733" t="str">
        <f t="shared" si="735"/>
        <v/>
      </c>
      <c r="U4733" t="str">
        <f t="shared" si="736"/>
        <v/>
      </c>
      <c r="V4733" t="str">
        <f t="shared" si="737"/>
        <v/>
      </c>
      <c r="W4733" t="str">
        <f t="shared" si="738"/>
        <v/>
      </c>
      <c r="X4733">
        <f>IF($T4733="",N($X4732),IF(MATCH($T4733,$T$6:$T$10005,0)=ROW()-5,N($X4732)+1,N($X4732)))</f>
        <v>0</v>
      </c>
      <c r="Z4733" t="str">
        <f t="shared" si="739"/>
        <v/>
      </c>
      <c r="AA4733">
        <f>IF($V4733="",N($AA4732),IF(MATCH($V4733,$V$6:$V$10005,0)=ROW()-5,N($AA4732)+1,N($AA4732)))</f>
        <v>0</v>
      </c>
    </row>
    <row r="4734" spans="1:27" ht="21" customHeight="1" x14ac:dyDescent="0.95">
      <c r="A4734" s="56"/>
      <c r="B4734" s="57"/>
      <c r="C4734" s="57"/>
      <c r="D4734" s="57"/>
      <c r="E4734" s="56"/>
      <c r="F4734" s="57"/>
      <c r="G4734" s="57"/>
      <c r="H4734" s="56"/>
      <c r="I4734" s="56"/>
      <c r="J4734" s="58"/>
      <c r="K4734" s="58"/>
      <c r="L4734" s="13" t="str">
        <f t="shared" si="730"/>
        <v/>
      </c>
      <c r="M4734" s="13" t="str">
        <f t="shared" si="731"/>
        <v/>
      </c>
      <c r="Q4734" t="str">
        <f t="shared" si="732"/>
        <v/>
      </c>
      <c r="R4734" t="str">
        <f t="shared" si="733"/>
        <v/>
      </c>
      <c r="S4734" t="str">
        <f t="shared" si="734"/>
        <v/>
      </c>
      <c r="T4734" t="str">
        <f t="shared" si="735"/>
        <v/>
      </c>
      <c r="U4734" t="str">
        <f t="shared" si="736"/>
        <v/>
      </c>
      <c r="V4734" t="str">
        <f t="shared" si="737"/>
        <v/>
      </c>
      <c r="W4734" t="str">
        <f t="shared" si="738"/>
        <v/>
      </c>
      <c r="X4734">
        <f>IF($T4734="",N($X4733),IF(MATCH($T4734,$T$6:$T$10005,0)=ROW()-5,N($X4733)+1,N($X4733)))</f>
        <v>0</v>
      </c>
      <c r="Z4734" t="str">
        <f t="shared" si="739"/>
        <v/>
      </c>
      <c r="AA4734">
        <f>IF($V4734="",N($AA4733),IF(MATCH($V4734,$V$6:$V$10005,0)=ROW()-5,N($AA4733)+1,N($AA4733)))</f>
        <v>0</v>
      </c>
    </row>
    <row r="4735" spans="1:27" ht="21" customHeight="1" x14ac:dyDescent="0.95">
      <c r="A4735" s="56"/>
      <c r="B4735" s="57"/>
      <c r="C4735" s="57"/>
      <c r="D4735" s="57"/>
      <c r="E4735" s="56"/>
      <c r="F4735" s="57"/>
      <c r="G4735" s="57"/>
      <c r="H4735" s="56"/>
      <c r="I4735" s="56"/>
      <c r="J4735" s="58"/>
      <c r="K4735" s="58"/>
      <c r="L4735" s="13" t="str">
        <f t="shared" si="730"/>
        <v/>
      </c>
      <c r="M4735" s="13" t="str">
        <f t="shared" si="731"/>
        <v/>
      </c>
      <c r="Q4735" t="str">
        <f t="shared" si="732"/>
        <v/>
      </c>
      <c r="R4735" t="str">
        <f t="shared" si="733"/>
        <v/>
      </c>
      <c r="S4735" t="str">
        <f t="shared" si="734"/>
        <v/>
      </c>
      <c r="T4735" t="str">
        <f t="shared" si="735"/>
        <v/>
      </c>
      <c r="U4735" t="str">
        <f t="shared" si="736"/>
        <v/>
      </c>
      <c r="V4735" t="str">
        <f t="shared" si="737"/>
        <v/>
      </c>
      <c r="W4735" t="str">
        <f t="shared" si="738"/>
        <v/>
      </c>
      <c r="X4735">
        <f>IF($T4735="",N($X4734),IF(MATCH($T4735,$T$6:$T$10005,0)=ROW()-5,N($X4734)+1,N($X4734)))</f>
        <v>0</v>
      </c>
      <c r="Z4735" t="str">
        <f t="shared" si="739"/>
        <v/>
      </c>
      <c r="AA4735">
        <f>IF($V4735="",N($AA4734),IF(MATCH($V4735,$V$6:$V$10005,0)=ROW()-5,N($AA4734)+1,N($AA4734)))</f>
        <v>0</v>
      </c>
    </row>
    <row r="4736" spans="1:27" ht="21" customHeight="1" x14ac:dyDescent="0.95">
      <c r="A4736" s="56"/>
      <c r="B4736" s="57"/>
      <c r="C4736" s="57"/>
      <c r="D4736" s="57"/>
      <c r="E4736" s="56"/>
      <c r="F4736" s="57"/>
      <c r="G4736" s="57"/>
      <c r="H4736" s="56"/>
      <c r="I4736" s="56"/>
      <c r="J4736" s="58"/>
      <c r="K4736" s="58"/>
      <c r="L4736" s="13" t="str">
        <f t="shared" si="730"/>
        <v/>
      </c>
      <c r="M4736" s="13" t="str">
        <f t="shared" si="731"/>
        <v/>
      </c>
      <c r="Q4736" t="str">
        <f t="shared" si="732"/>
        <v/>
      </c>
      <c r="R4736" t="str">
        <f t="shared" si="733"/>
        <v/>
      </c>
      <c r="S4736" t="str">
        <f t="shared" si="734"/>
        <v/>
      </c>
      <c r="T4736" t="str">
        <f t="shared" si="735"/>
        <v/>
      </c>
      <c r="U4736" t="str">
        <f t="shared" si="736"/>
        <v/>
      </c>
      <c r="V4736" t="str">
        <f t="shared" si="737"/>
        <v/>
      </c>
      <c r="W4736" t="str">
        <f t="shared" si="738"/>
        <v/>
      </c>
      <c r="X4736">
        <f>IF($T4736="",N($X4735),IF(MATCH($T4736,$T$6:$T$10005,0)=ROW()-5,N($X4735)+1,N($X4735)))</f>
        <v>0</v>
      </c>
      <c r="Z4736" t="str">
        <f t="shared" si="739"/>
        <v/>
      </c>
      <c r="AA4736">
        <f>IF($V4736="",N($AA4735),IF(MATCH($V4736,$V$6:$V$10005,0)=ROW()-5,N($AA4735)+1,N($AA4735)))</f>
        <v>0</v>
      </c>
    </row>
    <row r="4737" spans="1:27" ht="21" customHeight="1" x14ac:dyDescent="0.95">
      <c r="A4737" s="56"/>
      <c r="B4737" s="57"/>
      <c r="C4737" s="57"/>
      <c r="D4737" s="57"/>
      <c r="E4737" s="56"/>
      <c r="F4737" s="57"/>
      <c r="G4737" s="57"/>
      <c r="H4737" s="56"/>
      <c r="I4737" s="56"/>
      <c r="J4737" s="58"/>
      <c r="K4737" s="58"/>
      <c r="L4737" s="13" t="str">
        <f t="shared" si="730"/>
        <v/>
      </c>
      <c r="M4737" s="13" t="str">
        <f t="shared" si="731"/>
        <v/>
      </c>
      <c r="Q4737" t="str">
        <f t="shared" si="732"/>
        <v/>
      </c>
      <c r="R4737" t="str">
        <f t="shared" si="733"/>
        <v/>
      </c>
      <c r="S4737" t="str">
        <f t="shared" si="734"/>
        <v/>
      </c>
      <c r="T4737" t="str">
        <f t="shared" si="735"/>
        <v/>
      </c>
      <c r="U4737" t="str">
        <f t="shared" si="736"/>
        <v/>
      </c>
      <c r="V4737" t="str">
        <f t="shared" si="737"/>
        <v/>
      </c>
      <c r="W4737" t="str">
        <f t="shared" si="738"/>
        <v/>
      </c>
      <c r="X4737">
        <f>IF($T4737="",N($X4736),IF(MATCH($T4737,$T$6:$T$10005,0)=ROW()-5,N($X4736)+1,N($X4736)))</f>
        <v>0</v>
      </c>
      <c r="Z4737" t="str">
        <f t="shared" si="739"/>
        <v/>
      </c>
      <c r="AA4737">
        <f>IF($V4737="",N($AA4736),IF(MATCH($V4737,$V$6:$V$10005,0)=ROW()-5,N($AA4736)+1,N($AA4736)))</f>
        <v>0</v>
      </c>
    </row>
    <row r="4738" spans="1:27" ht="21" customHeight="1" x14ac:dyDescent="0.95">
      <c r="A4738" s="56"/>
      <c r="B4738" s="57"/>
      <c r="C4738" s="57"/>
      <c r="D4738" s="57"/>
      <c r="E4738" s="56"/>
      <c r="F4738" s="57"/>
      <c r="G4738" s="57"/>
      <c r="H4738" s="56"/>
      <c r="I4738" s="56"/>
      <c r="J4738" s="58"/>
      <c r="K4738" s="58"/>
      <c r="L4738" s="13" t="str">
        <f t="shared" si="730"/>
        <v/>
      </c>
      <c r="M4738" s="13" t="str">
        <f t="shared" si="731"/>
        <v/>
      </c>
      <c r="Q4738" t="str">
        <f t="shared" si="732"/>
        <v/>
      </c>
      <c r="R4738" t="str">
        <f t="shared" si="733"/>
        <v/>
      </c>
      <c r="S4738" t="str">
        <f t="shared" si="734"/>
        <v/>
      </c>
      <c r="T4738" t="str">
        <f t="shared" si="735"/>
        <v/>
      </c>
      <c r="U4738" t="str">
        <f t="shared" si="736"/>
        <v/>
      </c>
      <c r="V4738" t="str">
        <f t="shared" si="737"/>
        <v/>
      </c>
      <c r="W4738" t="str">
        <f t="shared" si="738"/>
        <v/>
      </c>
      <c r="X4738">
        <f>IF($T4738="",N($X4737),IF(MATCH($T4738,$T$6:$T$10005,0)=ROW()-5,N($X4737)+1,N($X4737)))</f>
        <v>0</v>
      </c>
      <c r="Z4738" t="str">
        <f t="shared" si="739"/>
        <v/>
      </c>
      <c r="AA4738">
        <f>IF($V4738="",N($AA4737),IF(MATCH($V4738,$V$6:$V$10005,0)=ROW()-5,N($AA4737)+1,N($AA4737)))</f>
        <v>0</v>
      </c>
    </row>
    <row r="4739" spans="1:27" ht="21" customHeight="1" x14ac:dyDescent="0.95">
      <c r="A4739" s="56"/>
      <c r="B4739" s="57"/>
      <c r="C4739" s="57"/>
      <c r="D4739" s="57"/>
      <c r="E4739" s="56"/>
      <c r="F4739" s="57"/>
      <c r="G4739" s="57"/>
      <c r="H4739" s="56"/>
      <c r="I4739" s="56"/>
      <c r="J4739" s="58"/>
      <c r="K4739" s="58"/>
      <c r="L4739" s="13" t="str">
        <f t="shared" si="730"/>
        <v/>
      </c>
      <c r="M4739" s="13" t="str">
        <f t="shared" si="731"/>
        <v/>
      </c>
      <c r="Q4739" t="str">
        <f t="shared" si="732"/>
        <v/>
      </c>
      <c r="R4739" t="str">
        <f t="shared" si="733"/>
        <v/>
      </c>
      <c r="S4739" t="str">
        <f t="shared" si="734"/>
        <v/>
      </c>
      <c r="T4739" t="str">
        <f t="shared" si="735"/>
        <v/>
      </c>
      <c r="U4739" t="str">
        <f t="shared" si="736"/>
        <v/>
      </c>
      <c r="V4739" t="str">
        <f t="shared" si="737"/>
        <v/>
      </c>
      <c r="W4739" t="str">
        <f t="shared" si="738"/>
        <v/>
      </c>
      <c r="X4739">
        <f>IF($T4739="",N($X4738),IF(MATCH($T4739,$T$6:$T$10005,0)=ROW()-5,N($X4738)+1,N($X4738)))</f>
        <v>0</v>
      </c>
      <c r="Z4739" t="str">
        <f t="shared" si="739"/>
        <v/>
      </c>
      <c r="AA4739">
        <f>IF($V4739="",N($AA4738),IF(MATCH($V4739,$V$6:$V$10005,0)=ROW()-5,N($AA4738)+1,N($AA4738)))</f>
        <v>0</v>
      </c>
    </row>
    <row r="4740" spans="1:27" ht="21" customHeight="1" x14ac:dyDescent="0.95">
      <c r="A4740" s="56"/>
      <c r="B4740" s="57"/>
      <c r="C4740" s="57"/>
      <c r="D4740" s="57"/>
      <c r="E4740" s="56"/>
      <c r="F4740" s="57"/>
      <c r="G4740" s="57"/>
      <c r="H4740" s="56"/>
      <c r="I4740" s="56"/>
      <c r="J4740" s="58"/>
      <c r="K4740" s="58"/>
      <c r="L4740" s="13" t="str">
        <f t="shared" si="730"/>
        <v/>
      </c>
      <c r="M4740" s="13" t="str">
        <f t="shared" si="731"/>
        <v/>
      </c>
      <c r="Q4740" t="str">
        <f t="shared" si="732"/>
        <v/>
      </c>
      <c r="R4740" t="str">
        <f t="shared" si="733"/>
        <v/>
      </c>
      <c r="S4740" t="str">
        <f t="shared" si="734"/>
        <v/>
      </c>
      <c r="T4740" t="str">
        <f t="shared" si="735"/>
        <v/>
      </c>
      <c r="U4740" t="str">
        <f t="shared" si="736"/>
        <v/>
      </c>
      <c r="V4740" t="str">
        <f t="shared" si="737"/>
        <v/>
      </c>
      <c r="W4740" t="str">
        <f t="shared" si="738"/>
        <v/>
      </c>
      <c r="X4740">
        <f>IF($T4740="",N($X4739),IF(MATCH($T4740,$T$6:$T$10005,0)=ROW()-5,N($X4739)+1,N($X4739)))</f>
        <v>0</v>
      </c>
      <c r="Z4740" t="str">
        <f t="shared" si="739"/>
        <v/>
      </c>
      <c r="AA4740">
        <f>IF($V4740="",N($AA4739),IF(MATCH($V4740,$V$6:$V$10005,0)=ROW()-5,N($AA4739)+1,N($AA4739)))</f>
        <v>0</v>
      </c>
    </row>
    <row r="4741" spans="1:27" ht="21" customHeight="1" x14ac:dyDescent="0.95">
      <c r="A4741" s="56"/>
      <c r="B4741" s="57"/>
      <c r="C4741" s="57"/>
      <c r="D4741" s="57"/>
      <c r="E4741" s="56"/>
      <c r="F4741" s="57"/>
      <c r="G4741" s="57"/>
      <c r="H4741" s="56"/>
      <c r="I4741" s="56"/>
      <c r="J4741" s="58"/>
      <c r="K4741" s="58"/>
      <c r="L4741" s="13" t="str">
        <f t="shared" si="730"/>
        <v/>
      </c>
      <c r="M4741" s="13" t="str">
        <f t="shared" si="731"/>
        <v/>
      </c>
      <c r="Q4741" t="str">
        <f t="shared" si="732"/>
        <v/>
      </c>
      <c r="R4741" t="str">
        <f t="shared" si="733"/>
        <v/>
      </c>
      <c r="S4741" t="str">
        <f t="shared" si="734"/>
        <v/>
      </c>
      <c r="T4741" t="str">
        <f t="shared" si="735"/>
        <v/>
      </c>
      <c r="U4741" t="str">
        <f t="shared" si="736"/>
        <v/>
      </c>
      <c r="V4741" t="str">
        <f t="shared" si="737"/>
        <v/>
      </c>
      <c r="W4741" t="str">
        <f t="shared" si="738"/>
        <v/>
      </c>
      <c r="X4741">
        <f>IF($T4741="",N($X4740),IF(MATCH($T4741,$T$6:$T$10005,0)=ROW()-5,N($X4740)+1,N($X4740)))</f>
        <v>0</v>
      </c>
      <c r="Z4741" t="str">
        <f t="shared" si="739"/>
        <v/>
      </c>
      <c r="AA4741">
        <f>IF($V4741="",N($AA4740),IF(MATCH($V4741,$V$6:$V$10005,0)=ROW()-5,N($AA4740)+1,N($AA4740)))</f>
        <v>0</v>
      </c>
    </row>
    <row r="4742" spans="1:27" ht="21" customHeight="1" x14ac:dyDescent="0.95">
      <c r="A4742" s="56"/>
      <c r="B4742" s="57"/>
      <c r="C4742" s="57"/>
      <c r="D4742" s="57"/>
      <c r="E4742" s="56"/>
      <c r="F4742" s="57"/>
      <c r="G4742" s="57"/>
      <c r="H4742" s="56"/>
      <c r="I4742" s="56"/>
      <c r="J4742" s="58"/>
      <c r="K4742" s="58"/>
      <c r="L4742" s="13" t="str">
        <f t="shared" ref="L4742:L4805" si="740">IF(OR($A4742="",AND($J4742="",$K4742="")),"",ROUND(N($J4742)-N($K4742),2))</f>
        <v/>
      </c>
      <c r="M4742" s="13" t="str">
        <f t="shared" ref="M4742:M4805" si="741">IF(OR($A4742="",AND($J4742="",$K4742="")),"",MIN($J4742,$K4742))</f>
        <v/>
      </c>
      <c r="Q4742" t="str">
        <f t="shared" ref="Q4742:Q4805" si="742">IF($A4742="","",$D4742&amp;"("&amp;SUBSTITUTE($E4742," ","")&amp;")")</f>
        <v/>
      </c>
      <c r="R4742" t="str">
        <f t="shared" ref="R4742:R4805" si="743">IF($A4742="","",$B4742&amp;" - "&amp;$C4742)</f>
        <v/>
      </c>
      <c r="S4742" t="str">
        <f t="shared" ref="S4742:S4805" si="744">IF($A4742="","",$R4742&amp;"|"&amp;$Q4742)</f>
        <v/>
      </c>
      <c r="T4742" t="str">
        <f t="shared" ref="T4742:T4805" si="745">IF($A4742="","",$S4742&amp;"|"&amp;$F4742)</f>
        <v/>
      </c>
      <c r="U4742" t="str">
        <f t="shared" ref="U4742:U4805" si="746">IF($A4742="","",$R4742&amp;"("&amp;$E4742&amp;")")</f>
        <v/>
      </c>
      <c r="V4742" t="str">
        <f t="shared" ref="V4742:V4805" si="747">IF($A4742="","",$F4742&amp;"|"&amp;$U4742&amp;"|"&amp;$D4742)</f>
        <v/>
      </c>
      <c r="W4742" t="str">
        <f t="shared" ref="W4742:W4805" si="748">IF($T4742="","",IF($X4742&gt;N($X4741),$X4742,""))</f>
        <v/>
      </c>
      <c r="X4742">
        <f>IF($T4742="",N($X4741),IF(MATCH($T4742,$T$6:$T$10005,0)=ROW()-5,N($X4741)+1,N($X4741)))</f>
        <v>0</v>
      </c>
      <c r="Z4742" t="str">
        <f t="shared" ref="Z4742:Z4805" si="749">IF($V4742="","",IF($AA4742&gt;N($AA4741),$AA4742,""))</f>
        <v/>
      </c>
      <c r="AA4742">
        <f>IF($V4742="",N($AA4741),IF(MATCH($V4742,$V$6:$V$10005,0)=ROW()-5,N($AA4741)+1,N($AA4741)))</f>
        <v>0</v>
      </c>
    </row>
    <row r="4743" spans="1:27" ht="21" customHeight="1" x14ac:dyDescent="0.95">
      <c r="A4743" s="56"/>
      <c r="B4743" s="57"/>
      <c r="C4743" s="57"/>
      <c r="D4743" s="57"/>
      <c r="E4743" s="56"/>
      <c r="F4743" s="57"/>
      <c r="G4743" s="57"/>
      <c r="H4743" s="56"/>
      <c r="I4743" s="56"/>
      <c r="J4743" s="58"/>
      <c r="K4743" s="58"/>
      <c r="L4743" s="13" t="str">
        <f t="shared" si="740"/>
        <v/>
      </c>
      <c r="M4743" s="13" t="str">
        <f t="shared" si="741"/>
        <v/>
      </c>
      <c r="Q4743" t="str">
        <f t="shared" si="742"/>
        <v/>
      </c>
      <c r="R4743" t="str">
        <f t="shared" si="743"/>
        <v/>
      </c>
      <c r="S4743" t="str">
        <f t="shared" si="744"/>
        <v/>
      </c>
      <c r="T4743" t="str">
        <f t="shared" si="745"/>
        <v/>
      </c>
      <c r="U4743" t="str">
        <f t="shared" si="746"/>
        <v/>
      </c>
      <c r="V4743" t="str">
        <f t="shared" si="747"/>
        <v/>
      </c>
      <c r="W4743" t="str">
        <f t="shared" si="748"/>
        <v/>
      </c>
      <c r="X4743">
        <f>IF($T4743="",N($X4742),IF(MATCH($T4743,$T$6:$T$10005,0)=ROW()-5,N($X4742)+1,N($X4742)))</f>
        <v>0</v>
      </c>
      <c r="Z4743" t="str">
        <f t="shared" si="749"/>
        <v/>
      </c>
      <c r="AA4743">
        <f>IF($V4743="",N($AA4742),IF(MATCH($V4743,$V$6:$V$10005,0)=ROW()-5,N($AA4742)+1,N($AA4742)))</f>
        <v>0</v>
      </c>
    </row>
    <row r="4744" spans="1:27" ht="21" customHeight="1" x14ac:dyDescent="0.95">
      <c r="A4744" s="56"/>
      <c r="B4744" s="57"/>
      <c r="C4744" s="57"/>
      <c r="D4744" s="57"/>
      <c r="E4744" s="56"/>
      <c r="F4744" s="57"/>
      <c r="G4744" s="57"/>
      <c r="H4744" s="56"/>
      <c r="I4744" s="56"/>
      <c r="J4744" s="58"/>
      <c r="K4744" s="58"/>
      <c r="L4744" s="13" t="str">
        <f t="shared" si="740"/>
        <v/>
      </c>
      <c r="M4744" s="13" t="str">
        <f t="shared" si="741"/>
        <v/>
      </c>
      <c r="Q4744" t="str">
        <f t="shared" si="742"/>
        <v/>
      </c>
      <c r="R4744" t="str">
        <f t="shared" si="743"/>
        <v/>
      </c>
      <c r="S4744" t="str">
        <f t="shared" si="744"/>
        <v/>
      </c>
      <c r="T4744" t="str">
        <f t="shared" si="745"/>
        <v/>
      </c>
      <c r="U4744" t="str">
        <f t="shared" si="746"/>
        <v/>
      </c>
      <c r="V4744" t="str">
        <f t="shared" si="747"/>
        <v/>
      </c>
      <c r="W4744" t="str">
        <f t="shared" si="748"/>
        <v/>
      </c>
      <c r="X4744">
        <f>IF($T4744="",N($X4743),IF(MATCH($T4744,$T$6:$T$10005,0)=ROW()-5,N($X4743)+1,N($X4743)))</f>
        <v>0</v>
      </c>
      <c r="Z4744" t="str">
        <f t="shared" si="749"/>
        <v/>
      </c>
      <c r="AA4744">
        <f>IF($V4744="",N($AA4743),IF(MATCH($V4744,$V$6:$V$10005,0)=ROW()-5,N($AA4743)+1,N($AA4743)))</f>
        <v>0</v>
      </c>
    </row>
    <row r="4745" spans="1:27" ht="21" customHeight="1" x14ac:dyDescent="0.95">
      <c r="A4745" s="56"/>
      <c r="B4745" s="57"/>
      <c r="C4745" s="57"/>
      <c r="D4745" s="57"/>
      <c r="E4745" s="56"/>
      <c r="F4745" s="57"/>
      <c r="G4745" s="57"/>
      <c r="H4745" s="56"/>
      <c r="I4745" s="56"/>
      <c r="J4745" s="58"/>
      <c r="K4745" s="58"/>
      <c r="L4745" s="13" t="str">
        <f t="shared" si="740"/>
        <v/>
      </c>
      <c r="M4745" s="13" t="str">
        <f t="shared" si="741"/>
        <v/>
      </c>
      <c r="Q4745" t="str">
        <f t="shared" si="742"/>
        <v/>
      </c>
      <c r="R4745" t="str">
        <f t="shared" si="743"/>
        <v/>
      </c>
      <c r="S4745" t="str">
        <f t="shared" si="744"/>
        <v/>
      </c>
      <c r="T4745" t="str">
        <f t="shared" si="745"/>
        <v/>
      </c>
      <c r="U4745" t="str">
        <f t="shared" si="746"/>
        <v/>
      </c>
      <c r="V4745" t="str">
        <f t="shared" si="747"/>
        <v/>
      </c>
      <c r="W4745" t="str">
        <f t="shared" si="748"/>
        <v/>
      </c>
      <c r="X4745">
        <f>IF($T4745="",N($X4744),IF(MATCH($T4745,$T$6:$T$10005,0)=ROW()-5,N($X4744)+1,N($X4744)))</f>
        <v>0</v>
      </c>
      <c r="Z4745" t="str">
        <f t="shared" si="749"/>
        <v/>
      </c>
      <c r="AA4745">
        <f>IF($V4745="",N($AA4744),IF(MATCH($V4745,$V$6:$V$10005,0)=ROW()-5,N($AA4744)+1,N($AA4744)))</f>
        <v>0</v>
      </c>
    </row>
    <row r="4746" spans="1:27" ht="21" customHeight="1" x14ac:dyDescent="0.95">
      <c r="A4746" s="56"/>
      <c r="B4746" s="57"/>
      <c r="C4746" s="57"/>
      <c r="D4746" s="57"/>
      <c r="E4746" s="56"/>
      <c r="F4746" s="57"/>
      <c r="G4746" s="57"/>
      <c r="H4746" s="56"/>
      <c r="I4746" s="56"/>
      <c r="J4746" s="58"/>
      <c r="K4746" s="58"/>
      <c r="L4746" s="13" t="str">
        <f t="shared" si="740"/>
        <v/>
      </c>
      <c r="M4746" s="13" t="str">
        <f t="shared" si="741"/>
        <v/>
      </c>
      <c r="Q4746" t="str">
        <f t="shared" si="742"/>
        <v/>
      </c>
      <c r="R4746" t="str">
        <f t="shared" si="743"/>
        <v/>
      </c>
      <c r="S4746" t="str">
        <f t="shared" si="744"/>
        <v/>
      </c>
      <c r="T4746" t="str">
        <f t="shared" si="745"/>
        <v/>
      </c>
      <c r="U4746" t="str">
        <f t="shared" si="746"/>
        <v/>
      </c>
      <c r="V4746" t="str">
        <f t="shared" si="747"/>
        <v/>
      </c>
      <c r="W4746" t="str">
        <f t="shared" si="748"/>
        <v/>
      </c>
      <c r="X4746">
        <f>IF($T4746="",N($X4745),IF(MATCH($T4746,$T$6:$T$10005,0)=ROW()-5,N($X4745)+1,N($X4745)))</f>
        <v>0</v>
      </c>
      <c r="Z4746" t="str">
        <f t="shared" si="749"/>
        <v/>
      </c>
      <c r="AA4746">
        <f>IF($V4746="",N($AA4745),IF(MATCH($V4746,$V$6:$V$10005,0)=ROW()-5,N($AA4745)+1,N($AA4745)))</f>
        <v>0</v>
      </c>
    </row>
    <row r="4747" spans="1:27" ht="21" customHeight="1" x14ac:dyDescent="0.95">
      <c r="A4747" s="56"/>
      <c r="B4747" s="57"/>
      <c r="C4747" s="57"/>
      <c r="D4747" s="57"/>
      <c r="E4747" s="56"/>
      <c r="F4747" s="57"/>
      <c r="G4747" s="57"/>
      <c r="H4747" s="56"/>
      <c r="I4747" s="56"/>
      <c r="J4747" s="58"/>
      <c r="K4747" s="58"/>
      <c r="L4747" s="13" t="str">
        <f t="shared" si="740"/>
        <v/>
      </c>
      <c r="M4747" s="13" t="str">
        <f t="shared" si="741"/>
        <v/>
      </c>
      <c r="Q4747" t="str">
        <f t="shared" si="742"/>
        <v/>
      </c>
      <c r="R4747" t="str">
        <f t="shared" si="743"/>
        <v/>
      </c>
      <c r="S4747" t="str">
        <f t="shared" si="744"/>
        <v/>
      </c>
      <c r="T4747" t="str">
        <f t="shared" si="745"/>
        <v/>
      </c>
      <c r="U4747" t="str">
        <f t="shared" si="746"/>
        <v/>
      </c>
      <c r="V4747" t="str">
        <f t="shared" si="747"/>
        <v/>
      </c>
      <c r="W4747" t="str">
        <f t="shared" si="748"/>
        <v/>
      </c>
      <c r="X4747">
        <f>IF($T4747="",N($X4746),IF(MATCH($T4747,$T$6:$T$10005,0)=ROW()-5,N($X4746)+1,N($X4746)))</f>
        <v>0</v>
      </c>
      <c r="Z4747" t="str">
        <f t="shared" si="749"/>
        <v/>
      </c>
      <c r="AA4747">
        <f>IF($V4747="",N($AA4746),IF(MATCH($V4747,$V$6:$V$10005,0)=ROW()-5,N($AA4746)+1,N($AA4746)))</f>
        <v>0</v>
      </c>
    </row>
    <row r="4748" spans="1:27" ht="21" customHeight="1" x14ac:dyDescent="0.95">
      <c r="A4748" s="56"/>
      <c r="B4748" s="57"/>
      <c r="C4748" s="57"/>
      <c r="D4748" s="57"/>
      <c r="E4748" s="56"/>
      <c r="F4748" s="57"/>
      <c r="G4748" s="57"/>
      <c r="H4748" s="56"/>
      <c r="I4748" s="56"/>
      <c r="J4748" s="58"/>
      <c r="K4748" s="58"/>
      <c r="L4748" s="13" t="str">
        <f t="shared" si="740"/>
        <v/>
      </c>
      <c r="M4748" s="13" t="str">
        <f t="shared" si="741"/>
        <v/>
      </c>
      <c r="Q4748" t="str">
        <f t="shared" si="742"/>
        <v/>
      </c>
      <c r="R4748" t="str">
        <f t="shared" si="743"/>
        <v/>
      </c>
      <c r="S4748" t="str">
        <f t="shared" si="744"/>
        <v/>
      </c>
      <c r="T4748" t="str">
        <f t="shared" si="745"/>
        <v/>
      </c>
      <c r="U4748" t="str">
        <f t="shared" si="746"/>
        <v/>
      </c>
      <c r="V4748" t="str">
        <f t="shared" si="747"/>
        <v/>
      </c>
      <c r="W4748" t="str">
        <f t="shared" si="748"/>
        <v/>
      </c>
      <c r="X4748">
        <f>IF($T4748="",N($X4747),IF(MATCH($T4748,$T$6:$T$10005,0)=ROW()-5,N($X4747)+1,N($X4747)))</f>
        <v>0</v>
      </c>
      <c r="Z4748" t="str">
        <f t="shared" si="749"/>
        <v/>
      </c>
      <c r="AA4748">
        <f>IF($V4748="",N($AA4747),IF(MATCH($V4748,$V$6:$V$10005,0)=ROW()-5,N($AA4747)+1,N($AA4747)))</f>
        <v>0</v>
      </c>
    </row>
    <row r="4749" spans="1:27" ht="21" customHeight="1" x14ac:dyDescent="0.95">
      <c r="A4749" s="56"/>
      <c r="B4749" s="57"/>
      <c r="C4749" s="57"/>
      <c r="D4749" s="57"/>
      <c r="E4749" s="56"/>
      <c r="F4749" s="57"/>
      <c r="G4749" s="57"/>
      <c r="H4749" s="56"/>
      <c r="I4749" s="56"/>
      <c r="J4749" s="58"/>
      <c r="K4749" s="58"/>
      <c r="L4749" s="13" t="str">
        <f t="shared" si="740"/>
        <v/>
      </c>
      <c r="M4749" s="13" t="str">
        <f t="shared" si="741"/>
        <v/>
      </c>
      <c r="Q4749" t="str">
        <f t="shared" si="742"/>
        <v/>
      </c>
      <c r="R4749" t="str">
        <f t="shared" si="743"/>
        <v/>
      </c>
      <c r="S4749" t="str">
        <f t="shared" si="744"/>
        <v/>
      </c>
      <c r="T4749" t="str">
        <f t="shared" si="745"/>
        <v/>
      </c>
      <c r="U4749" t="str">
        <f t="shared" si="746"/>
        <v/>
      </c>
      <c r="V4749" t="str">
        <f t="shared" si="747"/>
        <v/>
      </c>
      <c r="W4749" t="str">
        <f t="shared" si="748"/>
        <v/>
      </c>
      <c r="X4749">
        <f>IF($T4749="",N($X4748),IF(MATCH($T4749,$T$6:$T$10005,0)=ROW()-5,N($X4748)+1,N($X4748)))</f>
        <v>0</v>
      </c>
      <c r="Z4749" t="str">
        <f t="shared" si="749"/>
        <v/>
      </c>
      <c r="AA4749">
        <f>IF($V4749="",N($AA4748),IF(MATCH($V4749,$V$6:$V$10005,0)=ROW()-5,N($AA4748)+1,N($AA4748)))</f>
        <v>0</v>
      </c>
    </row>
    <row r="4750" spans="1:27" ht="21" customHeight="1" x14ac:dyDescent="0.95">
      <c r="A4750" s="56"/>
      <c r="B4750" s="57"/>
      <c r="C4750" s="57"/>
      <c r="D4750" s="57"/>
      <c r="E4750" s="56"/>
      <c r="F4750" s="57"/>
      <c r="G4750" s="57"/>
      <c r="H4750" s="56"/>
      <c r="I4750" s="56"/>
      <c r="J4750" s="58"/>
      <c r="K4750" s="58"/>
      <c r="L4750" s="13" t="str">
        <f t="shared" si="740"/>
        <v/>
      </c>
      <c r="M4750" s="13" t="str">
        <f t="shared" si="741"/>
        <v/>
      </c>
      <c r="Q4750" t="str">
        <f t="shared" si="742"/>
        <v/>
      </c>
      <c r="R4750" t="str">
        <f t="shared" si="743"/>
        <v/>
      </c>
      <c r="S4750" t="str">
        <f t="shared" si="744"/>
        <v/>
      </c>
      <c r="T4750" t="str">
        <f t="shared" si="745"/>
        <v/>
      </c>
      <c r="U4750" t="str">
        <f t="shared" si="746"/>
        <v/>
      </c>
      <c r="V4750" t="str">
        <f t="shared" si="747"/>
        <v/>
      </c>
      <c r="W4750" t="str">
        <f t="shared" si="748"/>
        <v/>
      </c>
      <c r="X4750">
        <f>IF($T4750="",N($X4749),IF(MATCH($T4750,$T$6:$T$10005,0)=ROW()-5,N($X4749)+1,N($X4749)))</f>
        <v>0</v>
      </c>
      <c r="Z4750" t="str">
        <f t="shared" si="749"/>
        <v/>
      </c>
      <c r="AA4750">
        <f>IF($V4750="",N($AA4749),IF(MATCH($V4750,$V$6:$V$10005,0)=ROW()-5,N($AA4749)+1,N($AA4749)))</f>
        <v>0</v>
      </c>
    </row>
    <row r="4751" spans="1:27" ht="21" customHeight="1" x14ac:dyDescent="0.95">
      <c r="A4751" s="56"/>
      <c r="B4751" s="57"/>
      <c r="C4751" s="57"/>
      <c r="D4751" s="57"/>
      <c r="E4751" s="56"/>
      <c r="F4751" s="57"/>
      <c r="G4751" s="57"/>
      <c r="H4751" s="56"/>
      <c r="I4751" s="56"/>
      <c r="J4751" s="58"/>
      <c r="K4751" s="58"/>
      <c r="L4751" s="13" t="str">
        <f t="shared" si="740"/>
        <v/>
      </c>
      <c r="M4751" s="13" t="str">
        <f t="shared" si="741"/>
        <v/>
      </c>
      <c r="Q4751" t="str">
        <f t="shared" si="742"/>
        <v/>
      </c>
      <c r="R4751" t="str">
        <f t="shared" si="743"/>
        <v/>
      </c>
      <c r="S4751" t="str">
        <f t="shared" si="744"/>
        <v/>
      </c>
      <c r="T4751" t="str">
        <f t="shared" si="745"/>
        <v/>
      </c>
      <c r="U4751" t="str">
        <f t="shared" si="746"/>
        <v/>
      </c>
      <c r="V4751" t="str">
        <f t="shared" si="747"/>
        <v/>
      </c>
      <c r="W4751" t="str">
        <f t="shared" si="748"/>
        <v/>
      </c>
      <c r="X4751">
        <f>IF($T4751="",N($X4750),IF(MATCH($T4751,$T$6:$T$10005,0)=ROW()-5,N($X4750)+1,N($X4750)))</f>
        <v>0</v>
      </c>
      <c r="Z4751" t="str">
        <f t="shared" si="749"/>
        <v/>
      </c>
      <c r="AA4751">
        <f>IF($V4751="",N($AA4750),IF(MATCH($V4751,$V$6:$V$10005,0)=ROW()-5,N($AA4750)+1,N($AA4750)))</f>
        <v>0</v>
      </c>
    </row>
    <row r="4752" spans="1:27" ht="21" customHeight="1" x14ac:dyDescent="0.95">
      <c r="A4752" s="56"/>
      <c r="B4752" s="57"/>
      <c r="C4752" s="57"/>
      <c r="D4752" s="57"/>
      <c r="E4752" s="56"/>
      <c r="F4752" s="57"/>
      <c r="G4752" s="57"/>
      <c r="H4752" s="56"/>
      <c r="I4752" s="56"/>
      <c r="J4752" s="58"/>
      <c r="K4752" s="58"/>
      <c r="L4752" s="13" t="str">
        <f t="shared" si="740"/>
        <v/>
      </c>
      <c r="M4752" s="13" t="str">
        <f t="shared" si="741"/>
        <v/>
      </c>
      <c r="Q4752" t="str">
        <f t="shared" si="742"/>
        <v/>
      </c>
      <c r="R4752" t="str">
        <f t="shared" si="743"/>
        <v/>
      </c>
      <c r="S4752" t="str">
        <f t="shared" si="744"/>
        <v/>
      </c>
      <c r="T4752" t="str">
        <f t="shared" si="745"/>
        <v/>
      </c>
      <c r="U4752" t="str">
        <f t="shared" si="746"/>
        <v/>
      </c>
      <c r="V4752" t="str">
        <f t="shared" si="747"/>
        <v/>
      </c>
      <c r="W4752" t="str">
        <f t="shared" si="748"/>
        <v/>
      </c>
      <c r="X4752">
        <f>IF($T4752="",N($X4751),IF(MATCH($T4752,$T$6:$T$10005,0)=ROW()-5,N($X4751)+1,N($X4751)))</f>
        <v>0</v>
      </c>
      <c r="Z4752" t="str">
        <f t="shared" si="749"/>
        <v/>
      </c>
      <c r="AA4752">
        <f>IF($V4752="",N($AA4751),IF(MATCH($V4752,$V$6:$V$10005,0)=ROW()-5,N($AA4751)+1,N($AA4751)))</f>
        <v>0</v>
      </c>
    </row>
    <row r="4753" spans="1:27" ht="21" customHeight="1" x14ac:dyDescent="0.95">
      <c r="A4753" s="56"/>
      <c r="B4753" s="57"/>
      <c r="C4753" s="57"/>
      <c r="D4753" s="57"/>
      <c r="E4753" s="56"/>
      <c r="F4753" s="57"/>
      <c r="G4753" s="57"/>
      <c r="H4753" s="56"/>
      <c r="I4753" s="56"/>
      <c r="J4753" s="58"/>
      <c r="K4753" s="58"/>
      <c r="L4753" s="13" t="str">
        <f t="shared" si="740"/>
        <v/>
      </c>
      <c r="M4753" s="13" t="str">
        <f t="shared" si="741"/>
        <v/>
      </c>
      <c r="Q4753" t="str">
        <f t="shared" si="742"/>
        <v/>
      </c>
      <c r="R4753" t="str">
        <f t="shared" si="743"/>
        <v/>
      </c>
      <c r="S4753" t="str">
        <f t="shared" si="744"/>
        <v/>
      </c>
      <c r="T4753" t="str">
        <f t="shared" si="745"/>
        <v/>
      </c>
      <c r="U4753" t="str">
        <f t="shared" si="746"/>
        <v/>
      </c>
      <c r="V4753" t="str">
        <f t="shared" si="747"/>
        <v/>
      </c>
      <c r="W4753" t="str">
        <f t="shared" si="748"/>
        <v/>
      </c>
      <c r="X4753">
        <f>IF($T4753="",N($X4752),IF(MATCH($T4753,$T$6:$T$10005,0)=ROW()-5,N($X4752)+1,N($X4752)))</f>
        <v>0</v>
      </c>
      <c r="Z4753" t="str">
        <f t="shared" si="749"/>
        <v/>
      </c>
      <c r="AA4753">
        <f>IF($V4753="",N($AA4752),IF(MATCH($V4753,$V$6:$V$10005,0)=ROW()-5,N($AA4752)+1,N($AA4752)))</f>
        <v>0</v>
      </c>
    </row>
    <row r="4754" spans="1:27" ht="21" customHeight="1" x14ac:dyDescent="0.95">
      <c r="A4754" s="56"/>
      <c r="B4754" s="57"/>
      <c r="C4754" s="57"/>
      <c r="D4754" s="57"/>
      <c r="E4754" s="56"/>
      <c r="F4754" s="57"/>
      <c r="G4754" s="57"/>
      <c r="H4754" s="56"/>
      <c r="I4754" s="56"/>
      <c r="J4754" s="58"/>
      <c r="K4754" s="58"/>
      <c r="L4754" s="13" t="str">
        <f t="shared" si="740"/>
        <v/>
      </c>
      <c r="M4754" s="13" t="str">
        <f t="shared" si="741"/>
        <v/>
      </c>
      <c r="Q4754" t="str">
        <f t="shared" si="742"/>
        <v/>
      </c>
      <c r="R4754" t="str">
        <f t="shared" si="743"/>
        <v/>
      </c>
      <c r="S4754" t="str">
        <f t="shared" si="744"/>
        <v/>
      </c>
      <c r="T4754" t="str">
        <f t="shared" si="745"/>
        <v/>
      </c>
      <c r="U4754" t="str">
        <f t="shared" si="746"/>
        <v/>
      </c>
      <c r="V4754" t="str">
        <f t="shared" si="747"/>
        <v/>
      </c>
      <c r="W4754" t="str">
        <f t="shared" si="748"/>
        <v/>
      </c>
      <c r="X4754">
        <f>IF($T4754="",N($X4753),IF(MATCH($T4754,$T$6:$T$10005,0)=ROW()-5,N($X4753)+1,N($X4753)))</f>
        <v>0</v>
      </c>
      <c r="Z4754" t="str">
        <f t="shared" si="749"/>
        <v/>
      </c>
      <c r="AA4754">
        <f>IF($V4754="",N($AA4753),IF(MATCH($V4754,$V$6:$V$10005,0)=ROW()-5,N($AA4753)+1,N($AA4753)))</f>
        <v>0</v>
      </c>
    </row>
    <row r="4755" spans="1:27" ht="21" customHeight="1" x14ac:dyDescent="0.95">
      <c r="A4755" s="56"/>
      <c r="B4755" s="57"/>
      <c r="C4755" s="57"/>
      <c r="D4755" s="57"/>
      <c r="E4755" s="56"/>
      <c r="F4755" s="57"/>
      <c r="G4755" s="57"/>
      <c r="H4755" s="56"/>
      <c r="I4755" s="56"/>
      <c r="J4755" s="58"/>
      <c r="K4755" s="58"/>
      <c r="L4755" s="13" t="str">
        <f t="shared" si="740"/>
        <v/>
      </c>
      <c r="M4755" s="13" t="str">
        <f t="shared" si="741"/>
        <v/>
      </c>
      <c r="Q4755" t="str">
        <f t="shared" si="742"/>
        <v/>
      </c>
      <c r="R4755" t="str">
        <f t="shared" si="743"/>
        <v/>
      </c>
      <c r="S4755" t="str">
        <f t="shared" si="744"/>
        <v/>
      </c>
      <c r="T4755" t="str">
        <f t="shared" si="745"/>
        <v/>
      </c>
      <c r="U4755" t="str">
        <f t="shared" si="746"/>
        <v/>
      </c>
      <c r="V4755" t="str">
        <f t="shared" si="747"/>
        <v/>
      </c>
      <c r="W4755" t="str">
        <f t="shared" si="748"/>
        <v/>
      </c>
      <c r="X4755">
        <f>IF($T4755="",N($X4754),IF(MATCH($T4755,$T$6:$T$10005,0)=ROW()-5,N($X4754)+1,N($X4754)))</f>
        <v>0</v>
      </c>
      <c r="Z4755" t="str">
        <f t="shared" si="749"/>
        <v/>
      </c>
      <c r="AA4755">
        <f>IF($V4755="",N($AA4754),IF(MATCH($V4755,$V$6:$V$10005,0)=ROW()-5,N($AA4754)+1,N($AA4754)))</f>
        <v>0</v>
      </c>
    </row>
    <row r="4756" spans="1:27" ht="21" customHeight="1" x14ac:dyDescent="0.95">
      <c r="A4756" s="56"/>
      <c r="B4756" s="57"/>
      <c r="C4756" s="57"/>
      <c r="D4756" s="57"/>
      <c r="E4756" s="56"/>
      <c r="F4756" s="57"/>
      <c r="G4756" s="57"/>
      <c r="H4756" s="56"/>
      <c r="I4756" s="56"/>
      <c r="J4756" s="58"/>
      <c r="K4756" s="58"/>
      <c r="L4756" s="13" t="str">
        <f t="shared" si="740"/>
        <v/>
      </c>
      <c r="M4756" s="13" t="str">
        <f t="shared" si="741"/>
        <v/>
      </c>
      <c r="Q4756" t="str">
        <f t="shared" si="742"/>
        <v/>
      </c>
      <c r="R4756" t="str">
        <f t="shared" si="743"/>
        <v/>
      </c>
      <c r="S4756" t="str">
        <f t="shared" si="744"/>
        <v/>
      </c>
      <c r="T4756" t="str">
        <f t="shared" si="745"/>
        <v/>
      </c>
      <c r="U4756" t="str">
        <f t="shared" si="746"/>
        <v/>
      </c>
      <c r="V4756" t="str">
        <f t="shared" si="747"/>
        <v/>
      </c>
      <c r="W4756" t="str">
        <f t="shared" si="748"/>
        <v/>
      </c>
      <c r="X4756">
        <f>IF($T4756="",N($X4755),IF(MATCH($T4756,$T$6:$T$10005,0)=ROW()-5,N($X4755)+1,N($X4755)))</f>
        <v>0</v>
      </c>
      <c r="Z4756" t="str">
        <f t="shared" si="749"/>
        <v/>
      </c>
      <c r="AA4756">
        <f>IF($V4756="",N($AA4755),IF(MATCH($V4756,$V$6:$V$10005,0)=ROW()-5,N($AA4755)+1,N($AA4755)))</f>
        <v>0</v>
      </c>
    </row>
    <row r="4757" spans="1:27" ht="21" customHeight="1" x14ac:dyDescent="0.95">
      <c r="A4757" s="56"/>
      <c r="B4757" s="57"/>
      <c r="C4757" s="57"/>
      <c r="D4757" s="57"/>
      <c r="E4757" s="56"/>
      <c r="F4757" s="57"/>
      <c r="G4757" s="57"/>
      <c r="H4757" s="56"/>
      <c r="I4757" s="56"/>
      <c r="J4757" s="58"/>
      <c r="K4757" s="58"/>
      <c r="L4757" s="13" t="str">
        <f t="shared" si="740"/>
        <v/>
      </c>
      <c r="M4757" s="13" t="str">
        <f t="shared" si="741"/>
        <v/>
      </c>
      <c r="Q4757" t="str">
        <f t="shared" si="742"/>
        <v/>
      </c>
      <c r="R4757" t="str">
        <f t="shared" si="743"/>
        <v/>
      </c>
      <c r="S4757" t="str">
        <f t="shared" si="744"/>
        <v/>
      </c>
      <c r="T4757" t="str">
        <f t="shared" si="745"/>
        <v/>
      </c>
      <c r="U4757" t="str">
        <f t="shared" si="746"/>
        <v/>
      </c>
      <c r="V4757" t="str">
        <f t="shared" si="747"/>
        <v/>
      </c>
      <c r="W4757" t="str">
        <f t="shared" si="748"/>
        <v/>
      </c>
      <c r="X4757">
        <f>IF($T4757="",N($X4756),IF(MATCH($T4757,$T$6:$T$10005,0)=ROW()-5,N($X4756)+1,N($X4756)))</f>
        <v>0</v>
      </c>
      <c r="Z4757" t="str">
        <f t="shared" si="749"/>
        <v/>
      </c>
      <c r="AA4757">
        <f>IF($V4757="",N($AA4756),IF(MATCH($V4757,$V$6:$V$10005,0)=ROW()-5,N($AA4756)+1,N($AA4756)))</f>
        <v>0</v>
      </c>
    </row>
    <row r="4758" spans="1:27" ht="21" customHeight="1" x14ac:dyDescent="0.95">
      <c r="A4758" s="56"/>
      <c r="B4758" s="57"/>
      <c r="C4758" s="57"/>
      <c r="D4758" s="57"/>
      <c r="E4758" s="56"/>
      <c r="F4758" s="57"/>
      <c r="G4758" s="57"/>
      <c r="H4758" s="56"/>
      <c r="I4758" s="56"/>
      <c r="J4758" s="58"/>
      <c r="K4758" s="58"/>
      <c r="L4758" s="13" t="str">
        <f t="shared" si="740"/>
        <v/>
      </c>
      <c r="M4758" s="13" t="str">
        <f t="shared" si="741"/>
        <v/>
      </c>
      <c r="Q4758" t="str">
        <f t="shared" si="742"/>
        <v/>
      </c>
      <c r="R4758" t="str">
        <f t="shared" si="743"/>
        <v/>
      </c>
      <c r="S4758" t="str">
        <f t="shared" si="744"/>
        <v/>
      </c>
      <c r="T4758" t="str">
        <f t="shared" si="745"/>
        <v/>
      </c>
      <c r="U4758" t="str">
        <f t="shared" si="746"/>
        <v/>
      </c>
      <c r="V4758" t="str">
        <f t="shared" si="747"/>
        <v/>
      </c>
      <c r="W4758" t="str">
        <f t="shared" si="748"/>
        <v/>
      </c>
      <c r="X4758">
        <f>IF($T4758="",N($X4757),IF(MATCH($T4758,$T$6:$T$10005,0)=ROW()-5,N($X4757)+1,N($X4757)))</f>
        <v>0</v>
      </c>
      <c r="Z4758" t="str">
        <f t="shared" si="749"/>
        <v/>
      </c>
      <c r="AA4758">
        <f>IF($V4758="",N($AA4757),IF(MATCH($V4758,$V$6:$V$10005,0)=ROW()-5,N($AA4757)+1,N($AA4757)))</f>
        <v>0</v>
      </c>
    </row>
    <row r="4759" spans="1:27" ht="21" customHeight="1" x14ac:dyDescent="0.95">
      <c r="A4759" s="56"/>
      <c r="B4759" s="57"/>
      <c r="C4759" s="57"/>
      <c r="D4759" s="57"/>
      <c r="E4759" s="56"/>
      <c r="F4759" s="57"/>
      <c r="G4759" s="57"/>
      <c r="H4759" s="56"/>
      <c r="I4759" s="56"/>
      <c r="J4759" s="58"/>
      <c r="K4759" s="58"/>
      <c r="L4759" s="13" t="str">
        <f t="shared" si="740"/>
        <v/>
      </c>
      <c r="M4759" s="13" t="str">
        <f t="shared" si="741"/>
        <v/>
      </c>
      <c r="Q4759" t="str">
        <f t="shared" si="742"/>
        <v/>
      </c>
      <c r="R4759" t="str">
        <f t="shared" si="743"/>
        <v/>
      </c>
      <c r="S4759" t="str">
        <f t="shared" si="744"/>
        <v/>
      </c>
      <c r="T4759" t="str">
        <f t="shared" si="745"/>
        <v/>
      </c>
      <c r="U4759" t="str">
        <f t="shared" si="746"/>
        <v/>
      </c>
      <c r="V4759" t="str">
        <f t="shared" si="747"/>
        <v/>
      </c>
      <c r="W4759" t="str">
        <f t="shared" si="748"/>
        <v/>
      </c>
      <c r="X4759">
        <f>IF($T4759="",N($X4758),IF(MATCH($T4759,$T$6:$T$10005,0)=ROW()-5,N($X4758)+1,N($X4758)))</f>
        <v>0</v>
      </c>
      <c r="Z4759" t="str">
        <f t="shared" si="749"/>
        <v/>
      </c>
      <c r="AA4759">
        <f>IF($V4759="",N($AA4758),IF(MATCH($V4759,$V$6:$V$10005,0)=ROW()-5,N($AA4758)+1,N($AA4758)))</f>
        <v>0</v>
      </c>
    </row>
    <row r="4760" spans="1:27" ht="21" customHeight="1" x14ac:dyDescent="0.95">
      <c r="A4760" s="56"/>
      <c r="B4760" s="57"/>
      <c r="C4760" s="57"/>
      <c r="D4760" s="57"/>
      <c r="E4760" s="56"/>
      <c r="F4760" s="57"/>
      <c r="G4760" s="57"/>
      <c r="H4760" s="56"/>
      <c r="I4760" s="56"/>
      <c r="J4760" s="58"/>
      <c r="K4760" s="58"/>
      <c r="L4760" s="13" t="str">
        <f t="shared" si="740"/>
        <v/>
      </c>
      <c r="M4760" s="13" t="str">
        <f t="shared" si="741"/>
        <v/>
      </c>
      <c r="Q4760" t="str">
        <f t="shared" si="742"/>
        <v/>
      </c>
      <c r="R4760" t="str">
        <f t="shared" si="743"/>
        <v/>
      </c>
      <c r="S4760" t="str">
        <f t="shared" si="744"/>
        <v/>
      </c>
      <c r="T4760" t="str">
        <f t="shared" si="745"/>
        <v/>
      </c>
      <c r="U4760" t="str">
        <f t="shared" si="746"/>
        <v/>
      </c>
      <c r="V4760" t="str">
        <f t="shared" si="747"/>
        <v/>
      </c>
      <c r="W4760" t="str">
        <f t="shared" si="748"/>
        <v/>
      </c>
      <c r="X4760">
        <f>IF($T4760="",N($X4759),IF(MATCH($T4760,$T$6:$T$10005,0)=ROW()-5,N($X4759)+1,N($X4759)))</f>
        <v>0</v>
      </c>
      <c r="Z4760" t="str">
        <f t="shared" si="749"/>
        <v/>
      </c>
      <c r="AA4760">
        <f>IF($V4760="",N($AA4759),IF(MATCH($V4760,$V$6:$V$10005,0)=ROW()-5,N($AA4759)+1,N($AA4759)))</f>
        <v>0</v>
      </c>
    </row>
    <row r="4761" spans="1:27" ht="21" customHeight="1" x14ac:dyDescent="0.95">
      <c r="A4761" s="56"/>
      <c r="B4761" s="57"/>
      <c r="C4761" s="57"/>
      <c r="D4761" s="57"/>
      <c r="E4761" s="56"/>
      <c r="F4761" s="57"/>
      <c r="G4761" s="57"/>
      <c r="H4761" s="56"/>
      <c r="I4761" s="56"/>
      <c r="J4761" s="58"/>
      <c r="K4761" s="58"/>
      <c r="L4761" s="13" t="str">
        <f t="shared" si="740"/>
        <v/>
      </c>
      <c r="M4761" s="13" t="str">
        <f t="shared" si="741"/>
        <v/>
      </c>
      <c r="Q4761" t="str">
        <f t="shared" si="742"/>
        <v/>
      </c>
      <c r="R4761" t="str">
        <f t="shared" si="743"/>
        <v/>
      </c>
      <c r="S4761" t="str">
        <f t="shared" si="744"/>
        <v/>
      </c>
      <c r="T4761" t="str">
        <f t="shared" si="745"/>
        <v/>
      </c>
      <c r="U4761" t="str">
        <f t="shared" si="746"/>
        <v/>
      </c>
      <c r="V4761" t="str">
        <f t="shared" si="747"/>
        <v/>
      </c>
      <c r="W4761" t="str">
        <f t="shared" si="748"/>
        <v/>
      </c>
      <c r="X4761">
        <f>IF($T4761="",N($X4760),IF(MATCH($T4761,$T$6:$T$10005,0)=ROW()-5,N($X4760)+1,N($X4760)))</f>
        <v>0</v>
      </c>
      <c r="Z4761" t="str">
        <f t="shared" si="749"/>
        <v/>
      </c>
      <c r="AA4761">
        <f>IF($V4761="",N($AA4760),IF(MATCH($V4761,$V$6:$V$10005,0)=ROW()-5,N($AA4760)+1,N($AA4760)))</f>
        <v>0</v>
      </c>
    </row>
    <row r="4762" spans="1:27" ht="21" customHeight="1" x14ac:dyDescent="0.95">
      <c r="A4762" s="56"/>
      <c r="B4762" s="57"/>
      <c r="C4762" s="57"/>
      <c r="D4762" s="57"/>
      <c r="E4762" s="56"/>
      <c r="F4762" s="57"/>
      <c r="G4762" s="57"/>
      <c r="H4762" s="56"/>
      <c r="I4762" s="56"/>
      <c r="J4762" s="58"/>
      <c r="K4762" s="58"/>
      <c r="L4762" s="13" t="str">
        <f t="shared" si="740"/>
        <v/>
      </c>
      <c r="M4762" s="13" t="str">
        <f t="shared" si="741"/>
        <v/>
      </c>
      <c r="Q4762" t="str">
        <f t="shared" si="742"/>
        <v/>
      </c>
      <c r="R4762" t="str">
        <f t="shared" si="743"/>
        <v/>
      </c>
      <c r="S4762" t="str">
        <f t="shared" si="744"/>
        <v/>
      </c>
      <c r="T4762" t="str">
        <f t="shared" si="745"/>
        <v/>
      </c>
      <c r="U4762" t="str">
        <f t="shared" si="746"/>
        <v/>
      </c>
      <c r="V4762" t="str">
        <f t="shared" si="747"/>
        <v/>
      </c>
      <c r="W4762" t="str">
        <f t="shared" si="748"/>
        <v/>
      </c>
      <c r="X4762">
        <f>IF($T4762="",N($X4761),IF(MATCH($T4762,$T$6:$T$10005,0)=ROW()-5,N($X4761)+1,N($X4761)))</f>
        <v>0</v>
      </c>
      <c r="Z4762" t="str">
        <f t="shared" si="749"/>
        <v/>
      </c>
      <c r="AA4762">
        <f>IF($V4762="",N($AA4761),IF(MATCH($V4762,$V$6:$V$10005,0)=ROW()-5,N($AA4761)+1,N($AA4761)))</f>
        <v>0</v>
      </c>
    </row>
    <row r="4763" spans="1:27" ht="21" customHeight="1" x14ac:dyDescent="0.95">
      <c r="A4763" s="56"/>
      <c r="B4763" s="57"/>
      <c r="C4763" s="57"/>
      <c r="D4763" s="57"/>
      <c r="E4763" s="56"/>
      <c r="F4763" s="57"/>
      <c r="G4763" s="57"/>
      <c r="H4763" s="56"/>
      <c r="I4763" s="56"/>
      <c r="J4763" s="58"/>
      <c r="K4763" s="58"/>
      <c r="L4763" s="13" t="str">
        <f t="shared" si="740"/>
        <v/>
      </c>
      <c r="M4763" s="13" t="str">
        <f t="shared" si="741"/>
        <v/>
      </c>
      <c r="Q4763" t="str">
        <f t="shared" si="742"/>
        <v/>
      </c>
      <c r="R4763" t="str">
        <f t="shared" si="743"/>
        <v/>
      </c>
      <c r="S4763" t="str">
        <f t="shared" si="744"/>
        <v/>
      </c>
      <c r="T4763" t="str">
        <f t="shared" si="745"/>
        <v/>
      </c>
      <c r="U4763" t="str">
        <f t="shared" si="746"/>
        <v/>
      </c>
      <c r="V4763" t="str">
        <f t="shared" si="747"/>
        <v/>
      </c>
      <c r="W4763" t="str">
        <f t="shared" si="748"/>
        <v/>
      </c>
      <c r="X4763">
        <f>IF($T4763="",N($X4762),IF(MATCH($T4763,$T$6:$T$10005,0)=ROW()-5,N($X4762)+1,N($X4762)))</f>
        <v>0</v>
      </c>
      <c r="Z4763" t="str">
        <f t="shared" si="749"/>
        <v/>
      </c>
      <c r="AA4763">
        <f>IF($V4763="",N($AA4762),IF(MATCH($V4763,$V$6:$V$10005,0)=ROW()-5,N($AA4762)+1,N($AA4762)))</f>
        <v>0</v>
      </c>
    </row>
    <row r="4764" spans="1:27" ht="21" customHeight="1" x14ac:dyDescent="0.95">
      <c r="A4764" s="56"/>
      <c r="B4764" s="57"/>
      <c r="C4764" s="57"/>
      <c r="D4764" s="57"/>
      <c r="E4764" s="56"/>
      <c r="F4764" s="57"/>
      <c r="G4764" s="57"/>
      <c r="H4764" s="56"/>
      <c r="I4764" s="56"/>
      <c r="J4764" s="58"/>
      <c r="K4764" s="58"/>
      <c r="L4764" s="13" t="str">
        <f t="shared" si="740"/>
        <v/>
      </c>
      <c r="M4764" s="13" t="str">
        <f t="shared" si="741"/>
        <v/>
      </c>
      <c r="Q4764" t="str">
        <f t="shared" si="742"/>
        <v/>
      </c>
      <c r="R4764" t="str">
        <f t="shared" si="743"/>
        <v/>
      </c>
      <c r="S4764" t="str">
        <f t="shared" si="744"/>
        <v/>
      </c>
      <c r="T4764" t="str">
        <f t="shared" si="745"/>
        <v/>
      </c>
      <c r="U4764" t="str">
        <f t="shared" si="746"/>
        <v/>
      </c>
      <c r="V4764" t="str">
        <f t="shared" si="747"/>
        <v/>
      </c>
      <c r="W4764" t="str">
        <f t="shared" si="748"/>
        <v/>
      </c>
      <c r="X4764">
        <f>IF($T4764="",N($X4763),IF(MATCH($T4764,$T$6:$T$10005,0)=ROW()-5,N($X4763)+1,N($X4763)))</f>
        <v>0</v>
      </c>
      <c r="Z4764" t="str">
        <f t="shared" si="749"/>
        <v/>
      </c>
      <c r="AA4764">
        <f>IF($V4764="",N($AA4763),IF(MATCH($V4764,$V$6:$V$10005,0)=ROW()-5,N($AA4763)+1,N($AA4763)))</f>
        <v>0</v>
      </c>
    </row>
    <row r="4765" spans="1:27" ht="21" customHeight="1" x14ac:dyDescent="0.95">
      <c r="A4765" s="56"/>
      <c r="B4765" s="57"/>
      <c r="C4765" s="57"/>
      <c r="D4765" s="57"/>
      <c r="E4765" s="56"/>
      <c r="F4765" s="57"/>
      <c r="G4765" s="57"/>
      <c r="H4765" s="56"/>
      <c r="I4765" s="56"/>
      <c r="J4765" s="58"/>
      <c r="K4765" s="58"/>
      <c r="L4765" s="13" t="str">
        <f t="shared" si="740"/>
        <v/>
      </c>
      <c r="M4765" s="13" t="str">
        <f t="shared" si="741"/>
        <v/>
      </c>
      <c r="Q4765" t="str">
        <f t="shared" si="742"/>
        <v/>
      </c>
      <c r="R4765" t="str">
        <f t="shared" si="743"/>
        <v/>
      </c>
      <c r="S4765" t="str">
        <f t="shared" si="744"/>
        <v/>
      </c>
      <c r="T4765" t="str">
        <f t="shared" si="745"/>
        <v/>
      </c>
      <c r="U4765" t="str">
        <f t="shared" si="746"/>
        <v/>
      </c>
      <c r="V4765" t="str">
        <f t="shared" si="747"/>
        <v/>
      </c>
      <c r="W4765" t="str">
        <f t="shared" si="748"/>
        <v/>
      </c>
      <c r="X4765">
        <f>IF($T4765="",N($X4764),IF(MATCH($T4765,$T$6:$T$10005,0)=ROW()-5,N($X4764)+1,N($X4764)))</f>
        <v>0</v>
      </c>
      <c r="Z4765" t="str">
        <f t="shared" si="749"/>
        <v/>
      </c>
      <c r="AA4765">
        <f>IF($V4765="",N($AA4764),IF(MATCH($V4765,$V$6:$V$10005,0)=ROW()-5,N($AA4764)+1,N($AA4764)))</f>
        <v>0</v>
      </c>
    </row>
    <row r="4766" spans="1:27" ht="21" customHeight="1" x14ac:dyDescent="0.95">
      <c r="A4766" s="56"/>
      <c r="B4766" s="57"/>
      <c r="C4766" s="57"/>
      <c r="D4766" s="57"/>
      <c r="E4766" s="56"/>
      <c r="F4766" s="57"/>
      <c r="G4766" s="57"/>
      <c r="H4766" s="56"/>
      <c r="I4766" s="56"/>
      <c r="J4766" s="58"/>
      <c r="K4766" s="58"/>
      <c r="L4766" s="13" t="str">
        <f t="shared" si="740"/>
        <v/>
      </c>
      <c r="M4766" s="13" t="str">
        <f t="shared" si="741"/>
        <v/>
      </c>
      <c r="Q4766" t="str">
        <f t="shared" si="742"/>
        <v/>
      </c>
      <c r="R4766" t="str">
        <f t="shared" si="743"/>
        <v/>
      </c>
      <c r="S4766" t="str">
        <f t="shared" si="744"/>
        <v/>
      </c>
      <c r="T4766" t="str">
        <f t="shared" si="745"/>
        <v/>
      </c>
      <c r="U4766" t="str">
        <f t="shared" si="746"/>
        <v/>
      </c>
      <c r="V4766" t="str">
        <f t="shared" si="747"/>
        <v/>
      </c>
      <c r="W4766" t="str">
        <f t="shared" si="748"/>
        <v/>
      </c>
      <c r="X4766">
        <f>IF($T4766="",N($X4765),IF(MATCH($T4766,$T$6:$T$10005,0)=ROW()-5,N($X4765)+1,N($X4765)))</f>
        <v>0</v>
      </c>
      <c r="Z4766" t="str">
        <f t="shared" si="749"/>
        <v/>
      </c>
      <c r="AA4766">
        <f>IF($V4766="",N($AA4765),IF(MATCH($V4766,$V$6:$V$10005,0)=ROW()-5,N($AA4765)+1,N($AA4765)))</f>
        <v>0</v>
      </c>
    </row>
    <row r="4767" spans="1:27" ht="21" customHeight="1" x14ac:dyDescent="0.95">
      <c r="A4767" s="56"/>
      <c r="B4767" s="57"/>
      <c r="C4767" s="57"/>
      <c r="D4767" s="57"/>
      <c r="E4767" s="56"/>
      <c r="F4767" s="57"/>
      <c r="G4767" s="57"/>
      <c r="H4767" s="56"/>
      <c r="I4767" s="56"/>
      <c r="J4767" s="58"/>
      <c r="K4767" s="58"/>
      <c r="L4767" s="13" t="str">
        <f t="shared" si="740"/>
        <v/>
      </c>
      <c r="M4767" s="13" t="str">
        <f t="shared" si="741"/>
        <v/>
      </c>
      <c r="Q4767" t="str">
        <f t="shared" si="742"/>
        <v/>
      </c>
      <c r="R4767" t="str">
        <f t="shared" si="743"/>
        <v/>
      </c>
      <c r="S4767" t="str">
        <f t="shared" si="744"/>
        <v/>
      </c>
      <c r="T4767" t="str">
        <f t="shared" si="745"/>
        <v/>
      </c>
      <c r="U4767" t="str">
        <f t="shared" si="746"/>
        <v/>
      </c>
      <c r="V4767" t="str">
        <f t="shared" si="747"/>
        <v/>
      </c>
      <c r="W4767" t="str">
        <f t="shared" si="748"/>
        <v/>
      </c>
      <c r="X4767">
        <f>IF($T4767="",N($X4766),IF(MATCH($T4767,$T$6:$T$10005,0)=ROW()-5,N($X4766)+1,N($X4766)))</f>
        <v>0</v>
      </c>
      <c r="Z4767" t="str">
        <f t="shared" si="749"/>
        <v/>
      </c>
      <c r="AA4767">
        <f>IF($V4767="",N($AA4766),IF(MATCH($V4767,$V$6:$V$10005,0)=ROW()-5,N($AA4766)+1,N($AA4766)))</f>
        <v>0</v>
      </c>
    </row>
    <row r="4768" spans="1:27" ht="21" customHeight="1" x14ac:dyDescent="0.95">
      <c r="A4768" s="56"/>
      <c r="B4768" s="57"/>
      <c r="C4768" s="57"/>
      <c r="D4768" s="57"/>
      <c r="E4768" s="56"/>
      <c r="F4768" s="57"/>
      <c r="G4768" s="57"/>
      <c r="H4768" s="56"/>
      <c r="I4768" s="56"/>
      <c r="J4768" s="58"/>
      <c r="K4768" s="58"/>
      <c r="L4768" s="13" t="str">
        <f t="shared" si="740"/>
        <v/>
      </c>
      <c r="M4768" s="13" t="str">
        <f t="shared" si="741"/>
        <v/>
      </c>
      <c r="Q4768" t="str">
        <f t="shared" si="742"/>
        <v/>
      </c>
      <c r="R4768" t="str">
        <f t="shared" si="743"/>
        <v/>
      </c>
      <c r="S4768" t="str">
        <f t="shared" si="744"/>
        <v/>
      </c>
      <c r="T4768" t="str">
        <f t="shared" si="745"/>
        <v/>
      </c>
      <c r="U4768" t="str">
        <f t="shared" si="746"/>
        <v/>
      </c>
      <c r="V4768" t="str">
        <f t="shared" si="747"/>
        <v/>
      </c>
      <c r="W4768" t="str">
        <f t="shared" si="748"/>
        <v/>
      </c>
      <c r="X4768">
        <f>IF($T4768="",N($X4767),IF(MATCH($T4768,$T$6:$T$10005,0)=ROW()-5,N($X4767)+1,N($X4767)))</f>
        <v>0</v>
      </c>
      <c r="Z4768" t="str">
        <f t="shared" si="749"/>
        <v/>
      </c>
      <c r="AA4768">
        <f>IF($V4768="",N($AA4767),IF(MATCH($V4768,$V$6:$V$10005,0)=ROW()-5,N($AA4767)+1,N($AA4767)))</f>
        <v>0</v>
      </c>
    </row>
    <row r="4769" spans="1:27" ht="21" customHeight="1" x14ac:dyDescent="0.95">
      <c r="A4769" s="56"/>
      <c r="B4769" s="57"/>
      <c r="C4769" s="57"/>
      <c r="D4769" s="57"/>
      <c r="E4769" s="56"/>
      <c r="F4769" s="57"/>
      <c r="G4769" s="57"/>
      <c r="H4769" s="56"/>
      <c r="I4769" s="56"/>
      <c r="J4769" s="58"/>
      <c r="K4769" s="58"/>
      <c r="L4769" s="13" t="str">
        <f t="shared" si="740"/>
        <v/>
      </c>
      <c r="M4769" s="13" t="str">
        <f t="shared" si="741"/>
        <v/>
      </c>
      <c r="Q4769" t="str">
        <f t="shared" si="742"/>
        <v/>
      </c>
      <c r="R4769" t="str">
        <f t="shared" si="743"/>
        <v/>
      </c>
      <c r="S4769" t="str">
        <f t="shared" si="744"/>
        <v/>
      </c>
      <c r="T4769" t="str">
        <f t="shared" si="745"/>
        <v/>
      </c>
      <c r="U4769" t="str">
        <f t="shared" si="746"/>
        <v/>
      </c>
      <c r="V4769" t="str">
        <f t="shared" si="747"/>
        <v/>
      </c>
      <c r="W4769" t="str">
        <f t="shared" si="748"/>
        <v/>
      </c>
      <c r="X4769">
        <f>IF($T4769="",N($X4768),IF(MATCH($T4769,$T$6:$T$10005,0)=ROW()-5,N($X4768)+1,N($X4768)))</f>
        <v>0</v>
      </c>
      <c r="Z4769" t="str">
        <f t="shared" si="749"/>
        <v/>
      </c>
      <c r="AA4769">
        <f>IF($V4769="",N($AA4768),IF(MATCH($V4769,$V$6:$V$10005,0)=ROW()-5,N($AA4768)+1,N($AA4768)))</f>
        <v>0</v>
      </c>
    </row>
    <row r="4770" spans="1:27" ht="21" customHeight="1" x14ac:dyDescent="0.95">
      <c r="A4770" s="56"/>
      <c r="B4770" s="57"/>
      <c r="C4770" s="57"/>
      <c r="D4770" s="57"/>
      <c r="E4770" s="56"/>
      <c r="F4770" s="57"/>
      <c r="G4770" s="57"/>
      <c r="H4770" s="56"/>
      <c r="I4770" s="56"/>
      <c r="J4770" s="58"/>
      <c r="K4770" s="58"/>
      <c r="L4770" s="13" t="str">
        <f t="shared" si="740"/>
        <v/>
      </c>
      <c r="M4770" s="13" t="str">
        <f t="shared" si="741"/>
        <v/>
      </c>
      <c r="Q4770" t="str">
        <f t="shared" si="742"/>
        <v/>
      </c>
      <c r="R4770" t="str">
        <f t="shared" si="743"/>
        <v/>
      </c>
      <c r="S4770" t="str">
        <f t="shared" si="744"/>
        <v/>
      </c>
      <c r="T4770" t="str">
        <f t="shared" si="745"/>
        <v/>
      </c>
      <c r="U4770" t="str">
        <f t="shared" si="746"/>
        <v/>
      </c>
      <c r="V4770" t="str">
        <f t="shared" si="747"/>
        <v/>
      </c>
      <c r="W4770" t="str">
        <f t="shared" si="748"/>
        <v/>
      </c>
      <c r="X4770">
        <f>IF($T4770="",N($X4769),IF(MATCH($T4770,$T$6:$T$10005,0)=ROW()-5,N($X4769)+1,N($X4769)))</f>
        <v>0</v>
      </c>
      <c r="Z4770" t="str">
        <f t="shared" si="749"/>
        <v/>
      </c>
      <c r="AA4770">
        <f>IF($V4770="",N($AA4769),IF(MATCH($V4770,$V$6:$V$10005,0)=ROW()-5,N($AA4769)+1,N($AA4769)))</f>
        <v>0</v>
      </c>
    </row>
    <row r="4771" spans="1:27" ht="21" customHeight="1" x14ac:dyDescent="0.95">
      <c r="A4771" s="56"/>
      <c r="B4771" s="57"/>
      <c r="C4771" s="57"/>
      <c r="D4771" s="57"/>
      <c r="E4771" s="56"/>
      <c r="F4771" s="57"/>
      <c r="G4771" s="57"/>
      <c r="H4771" s="56"/>
      <c r="I4771" s="56"/>
      <c r="J4771" s="58"/>
      <c r="K4771" s="58"/>
      <c r="L4771" s="13" t="str">
        <f t="shared" si="740"/>
        <v/>
      </c>
      <c r="M4771" s="13" t="str">
        <f t="shared" si="741"/>
        <v/>
      </c>
      <c r="Q4771" t="str">
        <f t="shared" si="742"/>
        <v/>
      </c>
      <c r="R4771" t="str">
        <f t="shared" si="743"/>
        <v/>
      </c>
      <c r="S4771" t="str">
        <f t="shared" si="744"/>
        <v/>
      </c>
      <c r="T4771" t="str">
        <f t="shared" si="745"/>
        <v/>
      </c>
      <c r="U4771" t="str">
        <f t="shared" si="746"/>
        <v/>
      </c>
      <c r="V4771" t="str">
        <f t="shared" si="747"/>
        <v/>
      </c>
      <c r="W4771" t="str">
        <f t="shared" si="748"/>
        <v/>
      </c>
      <c r="X4771">
        <f>IF($T4771="",N($X4770),IF(MATCH($T4771,$T$6:$T$10005,0)=ROW()-5,N($X4770)+1,N($X4770)))</f>
        <v>0</v>
      </c>
      <c r="Z4771" t="str">
        <f t="shared" si="749"/>
        <v/>
      </c>
      <c r="AA4771">
        <f>IF($V4771="",N($AA4770),IF(MATCH($V4771,$V$6:$V$10005,0)=ROW()-5,N($AA4770)+1,N($AA4770)))</f>
        <v>0</v>
      </c>
    </row>
    <row r="4772" spans="1:27" ht="21" customHeight="1" x14ac:dyDescent="0.95">
      <c r="A4772" s="56"/>
      <c r="B4772" s="57"/>
      <c r="C4772" s="57"/>
      <c r="D4772" s="57"/>
      <c r="E4772" s="56"/>
      <c r="F4772" s="57"/>
      <c r="G4772" s="57"/>
      <c r="H4772" s="56"/>
      <c r="I4772" s="56"/>
      <c r="J4772" s="58"/>
      <c r="K4772" s="58"/>
      <c r="L4772" s="13" t="str">
        <f t="shared" si="740"/>
        <v/>
      </c>
      <c r="M4772" s="13" t="str">
        <f t="shared" si="741"/>
        <v/>
      </c>
      <c r="Q4772" t="str">
        <f t="shared" si="742"/>
        <v/>
      </c>
      <c r="R4772" t="str">
        <f t="shared" si="743"/>
        <v/>
      </c>
      <c r="S4772" t="str">
        <f t="shared" si="744"/>
        <v/>
      </c>
      <c r="T4772" t="str">
        <f t="shared" si="745"/>
        <v/>
      </c>
      <c r="U4772" t="str">
        <f t="shared" si="746"/>
        <v/>
      </c>
      <c r="V4772" t="str">
        <f t="shared" si="747"/>
        <v/>
      </c>
      <c r="W4772" t="str">
        <f t="shared" si="748"/>
        <v/>
      </c>
      <c r="X4772">
        <f>IF($T4772="",N($X4771),IF(MATCH($T4772,$T$6:$T$10005,0)=ROW()-5,N($X4771)+1,N($X4771)))</f>
        <v>0</v>
      </c>
      <c r="Z4772" t="str">
        <f t="shared" si="749"/>
        <v/>
      </c>
      <c r="AA4772">
        <f>IF($V4772="",N($AA4771),IF(MATCH($V4772,$V$6:$V$10005,0)=ROW()-5,N($AA4771)+1,N($AA4771)))</f>
        <v>0</v>
      </c>
    </row>
    <row r="4773" spans="1:27" ht="21" customHeight="1" x14ac:dyDescent="0.95">
      <c r="A4773" s="56"/>
      <c r="B4773" s="57"/>
      <c r="C4773" s="57"/>
      <c r="D4773" s="57"/>
      <c r="E4773" s="56"/>
      <c r="F4773" s="57"/>
      <c r="G4773" s="57"/>
      <c r="H4773" s="56"/>
      <c r="I4773" s="56"/>
      <c r="J4773" s="58"/>
      <c r="K4773" s="58"/>
      <c r="L4773" s="13" t="str">
        <f t="shared" si="740"/>
        <v/>
      </c>
      <c r="M4773" s="13" t="str">
        <f t="shared" si="741"/>
        <v/>
      </c>
      <c r="Q4773" t="str">
        <f t="shared" si="742"/>
        <v/>
      </c>
      <c r="R4773" t="str">
        <f t="shared" si="743"/>
        <v/>
      </c>
      <c r="S4773" t="str">
        <f t="shared" si="744"/>
        <v/>
      </c>
      <c r="T4773" t="str">
        <f t="shared" si="745"/>
        <v/>
      </c>
      <c r="U4773" t="str">
        <f t="shared" si="746"/>
        <v/>
      </c>
      <c r="V4773" t="str">
        <f t="shared" si="747"/>
        <v/>
      </c>
      <c r="W4773" t="str">
        <f t="shared" si="748"/>
        <v/>
      </c>
      <c r="X4773">
        <f>IF($T4773="",N($X4772),IF(MATCH($T4773,$T$6:$T$10005,0)=ROW()-5,N($X4772)+1,N($X4772)))</f>
        <v>0</v>
      </c>
      <c r="Z4773" t="str">
        <f t="shared" si="749"/>
        <v/>
      </c>
      <c r="AA4773">
        <f>IF($V4773="",N($AA4772),IF(MATCH($V4773,$V$6:$V$10005,0)=ROW()-5,N($AA4772)+1,N($AA4772)))</f>
        <v>0</v>
      </c>
    </row>
    <row r="4774" spans="1:27" ht="21" customHeight="1" x14ac:dyDescent="0.95">
      <c r="A4774" s="56"/>
      <c r="B4774" s="57"/>
      <c r="C4774" s="57"/>
      <c r="D4774" s="57"/>
      <c r="E4774" s="56"/>
      <c r="F4774" s="57"/>
      <c r="G4774" s="57"/>
      <c r="H4774" s="56"/>
      <c r="I4774" s="56"/>
      <c r="J4774" s="58"/>
      <c r="K4774" s="58"/>
      <c r="L4774" s="13" t="str">
        <f t="shared" si="740"/>
        <v/>
      </c>
      <c r="M4774" s="13" t="str">
        <f t="shared" si="741"/>
        <v/>
      </c>
      <c r="Q4774" t="str">
        <f t="shared" si="742"/>
        <v/>
      </c>
      <c r="R4774" t="str">
        <f t="shared" si="743"/>
        <v/>
      </c>
      <c r="S4774" t="str">
        <f t="shared" si="744"/>
        <v/>
      </c>
      <c r="T4774" t="str">
        <f t="shared" si="745"/>
        <v/>
      </c>
      <c r="U4774" t="str">
        <f t="shared" si="746"/>
        <v/>
      </c>
      <c r="V4774" t="str">
        <f t="shared" si="747"/>
        <v/>
      </c>
      <c r="W4774" t="str">
        <f t="shared" si="748"/>
        <v/>
      </c>
      <c r="X4774">
        <f>IF($T4774="",N($X4773),IF(MATCH($T4774,$T$6:$T$10005,0)=ROW()-5,N($X4773)+1,N($X4773)))</f>
        <v>0</v>
      </c>
      <c r="Z4774" t="str">
        <f t="shared" si="749"/>
        <v/>
      </c>
      <c r="AA4774">
        <f>IF($V4774="",N($AA4773),IF(MATCH($V4774,$V$6:$V$10005,0)=ROW()-5,N($AA4773)+1,N($AA4773)))</f>
        <v>0</v>
      </c>
    </row>
    <row r="4775" spans="1:27" ht="21" customHeight="1" x14ac:dyDescent="0.95">
      <c r="A4775" s="56"/>
      <c r="B4775" s="57"/>
      <c r="C4775" s="57"/>
      <c r="D4775" s="57"/>
      <c r="E4775" s="56"/>
      <c r="F4775" s="57"/>
      <c r="G4775" s="57"/>
      <c r="H4775" s="56"/>
      <c r="I4775" s="56"/>
      <c r="J4775" s="58"/>
      <c r="K4775" s="58"/>
      <c r="L4775" s="13" t="str">
        <f t="shared" si="740"/>
        <v/>
      </c>
      <c r="M4775" s="13" t="str">
        <f t="shared" si="741"/>
        <v/>
      </c>
      <c r="Q4775" t="str">
        <f t="shared" si="742"/>
        <v/>
      </c>
      <c r="R4775" t="str">
        <f t="shared" si="743"/>
        <v/>
      </c>
      <c r="S4775" t="str">
        <f t="shared" si="744"/>
        <v/>
      </c>
      <c r="T4775" t="str">
        <f t="shared" si="745"/>
        <v/>
      </c>
      <c r="U4775" t="str">
        <f t="shared" si="746"/>
        <v/>
      </c>
      <c r="V4775" t="str">
        <f t="shared" si="747"/>
        <v/>
      </c>
      <c r="W4775" t="str">
        <f t="shared" si="748"/>
        <v/>
      </c>
      <c r="X4775">
        <f>IF($T4775="",N($X4774),IF(MATCH($T4775,$T$6:$T$10005,0)=ROW()-5,N($X4774)+1,N($X4774)))</f>
        <v>0</v>
      </c>
      <c r="Z4775" t="str">
        <f t="shared" si="749"/>
        <v/>
      </c>
      <c r="AA4775">
        <f>IF($V4775="",N($AA4774),IF(MATCH($V4775,$V$6:$V$10005,0)=ROW()-5,N($AA4774)+1,N($AA4774)))</f>
        <v>0</v>
      </c>
    </row>
    <row r="4776" spans="1:27" ht="21" customHeight="1" x14ac:dyDescent="0.95">
      <c r="A4776" s="56"/>
      <c r="B4776" s="57"/>
      <c r="C4776" s="57"/>
      <c r="D4776" s="57"/>
      <c r="E4776" s="56"/>
      <c r="F4776" s="57"/>
      <c r="G4776" s="57"/>
      <c r="H4776" s="56"/>
      <c r="I4776" s="56"/>
      <c r="J4776" s="58"/>
      <c r="K4776" s="58"/>
      <c r="L4776" s="13" t="str">
        <f t="shared" si="740"/>
        <v/>
      </c>
      <c r="M4776" s="13" t="str">
        <f t="shared" si="741"/>
        <v/>
      </c>
      <c r="Q4776" t="str">
        <f t="shared" si="742"/>
        <v/>
      </c>
      <c r="R4776" t="str">
        <f t="shared" si="743"/>
        <v/>
      </c>
      <c r="S4776" t="str">
        <f t="shared" si="744"/>
        <v/>
      </c>
      <c r="T4776" t="str">
        <f t="shared" si="745"/>
        <v/>
      </c>
      <c r="U4776" t="str">
        <f t="shared" si="746"/>
        <v/>
      </c>
      <c r="V4776" t="str">
        <f t="shared" si="747"/>
        <v/>
      </c>
      <c r="W4776" t="str">
        <f t="shared" si="748"/>
        <v/>
      </c>
      <c r="X4776">
        <f>IF($T4776="",N($X4775),IF(MATCH($T4776,$T$6:$T$10005,0)=ROW()-5,N($X4775)+1,N($X4775)))</f>
        <v>0</v>
      </c>
      <c r="Z4776" t="str">
        <f t="shared" si="749"/>
        <v/>
      </c>
      <c r="AA4776">
        <f>IF($V4776="",N($AA4775),IF(MATCH($V4776,$V$6:$V$10005,0)=ROW()-5,N($AA4775)+1,N($AA4775)))</f>
        <v>0</v>
      </c>
    </row>
    <row r="4777" spans="1:27" ht="21" customHeight="1" x14ac:dyDescent="0.95">
      <c r="A4777" s="56"/>
      <c r="B4777" s="57"/>
      <c r="C4777" s="57"/>
      <c r="D4777" s="57"/>
      <c r="E4777" s="56"/>
      <c r="F4777" s="57"/>
      <c r="G4777" s="57"/>
      <c r="H4777" s="56"/>
      <c r="I4777" s="56"/>
      <c r="J4777" s="58"/>
      <c r="K4777" s="58"/>
      <c r="L4777" s="13" t="str">
        <f t="shared" si="740"/>
        <v/>
      </c>
      <c r="M4777" s="13" t="str">
        <f t="shared" si="741"/>
        <v/>
      </c>
      <c r="Q4777" t="str">
        <f t="shared" si="742"/>
        <v/>
      </c>
      <c r="R4777" t="str">
        <f t="shared" si="743"/>
        <v/>
      </c>
      <c r="S4777" t="str">
        <f t="shared" si="744"/>
        <v/>
      </c>
      <c r="T4777" t="str">
        <f t="shared" si="745"/>
        <v/>
      </c>
      <c r="U4777" t="str">
        <f t="shared" si="746"/>
        <v/>
      </c>
      <c r="V4777" t="str">
        <f t="shared" si="747"/>
        <v/>
      </c>
      <c r="W4777" t="str">
        <f t="shared" si="748"/>
        <v/>
      </c>
      <c r="X4777">
        <f>IF($T4777="",N($X4776),IF(MATCH($T4777,$T$6:$T$10005,0)=ROW()-5,N($X4776)+1,N($X4776)))</f>
        <v>0</v>
      </c>
      <c r="Z4777" t="str">
        <f t="shared" si="749"/>
        <v/>
      </c>
      <c r="AA4777">
        <f>IF($V4777="",N($AA4776),IF(MATCH($V4777,$V$6:$V$10005,0)=ROW()-5,N($AA4776)+1,N($AA4776)))</f>
        <v>0</v>
      </c>
    </row>
    <row r="4778" spans="1:27" ht="21" customHeight="1" x14ac:dyDescent="0.95">
      <c r="A4778" s="56"/>
      <c r="B4778" s="57"/>
      <c r="C4778" s="57"/>
      <c r="D4778" s="57"/>
      <c r="E4778" s="56"/>
      <c r="F4778" s="57"/>
      <c r="G4778" s="57"/>
      <c r="H4778" s="56"/>
      <c r="I4778" s="56"/>
      <c r="J4778" s="58"/>
      <c r="K4778" s="58"/>
      <c r="L4778" s="13" t="str">
        <f t="shared" si="740"/>
        <v/>
      </c>
      <c r="M4778" s="13" t="str">
        <f t="shared" si="741"/>
        <v/>
      </c>
      <c r="Q4778" t="str">
        <f t="shared" si="742"/>
        <v/>
      </c>
      <c r="R4778" t="str">
        <f t="shared" si="743"/>
        <v/>
      </c>
      <c r="S4778" t="str">
        <f t="shared" si="744"/>
        <v/>
      </c>
      <c r="T4778" t="str">
        <f t="shared" si="745"/>
        <v/>
      </c>
      <c r="U4778" t="str">
        <f t="shared" si="746"/>
        <v/>
      </c>
      <c r="V4778" t="str">
        <f t="shared" si="747"/>
        <v/>
      </c>
      <c r="W4778" t="str">
        <f t="shared" si="748"/>
        <v/>
      </c>
      <c r="X4778">
        <f>IF($T4778="",N($X4777),IF(MATCH($T4778,$T$6:$T$10005,0)=ROW()-5,N($X4777)+1,N($X4777)))</f>
        <v>0</v>
      </c>
      <c r="Z4778" t="str">
        <f t="shared" si="749"/>
        <v/>
      </c>
      <c r="AA4778">
        <f>IF($V4778="",N($AA4777),IF(MATCH($V4778,$V$6:$V$10005,0)=ROW()-5,N($AA4777)+1,N($AA4777)))</f>
        <v>0</v>
      </c>
    </row>
    <row r="4779" spans="1:27" ht="21" customHeight="1" x14ac:dyDescent="0.95">
      <c r="A4779" s="56"/>
      <c r="B4779" s="57"/>
      <c r="C4779" s="57"/>
      <c r="D4779" s="57"/>
      <c r="E4779" s="56"/>
      <c r="F4779" s="57"/>
      <c r="G4779" s="57"/>
      <c r="H4779" s="56"/>
      <c r="I4779" s="56"/>
      <c r="J4779" s="58"/>
      <c r="K4779" s="58"/>
      <c r="L4779" s="13" t="str">
        <f t="shared" si="740"/>
        <v/>
      </c>
      <c r="M4779" s="13" t="str">
        <f t="shared" si="741"/>
        <v/>
      </c>
      <c r="Q4779" t="str">
        <f t="shared" si="742"/>
        <v/>
      </c>
      <c r="R4779" t="str">
        <f t="shared" si="743"/>
        <v/>
      </c>
      <c r="S4779" t="str">
        <f t="shared" si="744"/>
        <v/>
      </c>
      <c r="T4779" t="str">
        <f t="shared" si="745"/>
        <v/>
      </c>
      <c r="U4779" t="str">
        <f t="shared" si="746"/>
        <v/>
      </c>
      <c r="V4779" t="str">
        <f t="shared" si="747"/>
        <v/>
      </c>
      <c r="W4779" t="str">
        <f t="shared" si="748"/>
        <v/>
      </c>
      <c r="X4779">
        <f>IF($T4779="",N($X4778),IF(MATCH($T4779,$T$6:$T$10005,0)=ROW()-5,N($X4778)+1,N($X4778)))</f>
        <v>0</v>
      </c>
      <c r="Z4779" t="str">
        <f t="shared" si="749"/>
        <v/>
      </c>
      <c r="AA4779">
        <f>IF($V4779="",N($AA4778),IF(MATCH($V4779,$V$6:$V$10005,0)=ROW()-5,N($AA4778)+1,N($AA4778)))</f>
        <v>0</v>
      </c>
    </row>
    <row r="4780" spans="1:27" ht="21" customHeight="1" x14ac:dyDescent="0.95">
      <c r="A4780" s="56"/>
      <c r="B4780" s="57"/>
      <c r="C4780" s="57"/>
      <c r="D4780" s="57"/>
      <c r="E4780" s="56"/>
      <c r="F4780" s="57"/>
      <c r="G4780" s="57"/>
      <c r="H4780" s="56"/>
      <c r="I4780" s="56"/>
      <c r="J4780" s="58"/>
      <c r="K4780" s="58"/>
      <c r="L4780" s="13" t="str">
        <f t="shared" si="740"/>
        <v/>
      </c>
      <c r="M4780" s="13" t="str">
        <f t="shared" si="741"/>
        <v/>
      </c>
      <c r="Q4780" t="str">
        <f t="shared" si="742"/>
        <v/>
      </c>
      <c r="R4780" t="str">
        <f t="shared" si="743"/>
        <v/>
      </c>
      <c r="S4780" t="str">
        <f t="shared" si="744"/>
        <v/>
      </c>
      <c r="T4780" t="str">
        <f t="shared" si="745"/>
        <v/>
      </c>
      <c r="U4780" t="str">
        <f t="shared" si="746"/>
        <v/>
      </c>
      <c r="V4780" t="str">
        <f t="shared" si="747"/>
        <v/>
      </c>
      <c r="W4780" t="str">
        <f t="shared" si="748"/>
        <v/>
      </c>
      <c r="X4780">
        <f>IF($T4780="",N($X4779),IF(MATCH($T4780,$T$6:$T$10005,0)=ROW()-5,N($X4779)+1,N($X4779)))</f>
        <v>0</v>
      </c>
      <c r="Z4780" t="str">
        <f t="shared" si="749"/>
        <v/>
      </c>
      <c r="AA4780">
        <f>IF($V4780="",N($AA4779),IF(MATCH($V4780,$V$6:$V$10005,0)=ROW()-5,N($AA4779)+1,N($AA4779)))</f>
        <v>0</v>
      </c>
    </row>
    <row r="4781" spans="1:27" ht="21" customHeight="1" x14ac:dyDescent="0.95">
      <c r="A4781" s="56"/>
      <c r="B4781" s="57"/>
      <c r="C4781" s="57"/>
      <c r="D4781" s="57"/>
      <c r="E4781" s="56"/>
      <c r="F4781" s="57"/>
      <c r="G4781" s="57"/>
      <c r="H4781" s="56"/>
      <c r="I4781" s="56"/>
      <c r="J4781" s="58"/>
      <c r="K4781" s="58"/>
      <c r="L4781" s="13" t="str">
        <f t="shared" si="740"/>
        <v/>
      </c>
      <c r="M4781" s="13" t="str">
        <f t="shared" si="741"/>
        <v/>
      </c>
      <c r="Q4781" t="str">
        <f t="shared" si="742"/>
        <v/>
      </c>
      <c r="R4781" t="str">
        <f t="shared" si="743"/>
        <v/>
      </c>
      <c r="S4781" t="str">
        <f t="shared" si="744"/>
        <v/>
      </c>
      <c r="T4781" t="str">
        <f t="shared" si="745"/>
        <v/>
      </c>
      <c r="U4781" t="str">
        <f t="shared" si="746"/>
        <v/>
      </c>
      <c r="V4781" t="str">
        <f t="shared" si="747"/>
        <v/>
      </c>
      <c r="W4781" t="str">
        <f t="shared" si="748"/>
        <v/>
      </c>
      <c r="X4781">
        <f>IF($T4781="",N($X4780),IF(MATCH($T4781,$T$6:$T$10005,0)=ROW()-5,N($X4780)+1,N($X4780)))</f>
        <v>0</v>
      </c>
      <c r="Z4781" t="str">
        <f t="shared" si="749"/>
        <v/>
      </c>
      <c r="AA4781">
        <f>IF($V4781="",N($AA4780),IF(MATCH($V4781,$V$6:$V$10005,0)=ROW()-5,N($AA4780)+1,N($AA4780)))</f>
        <v>0</v>
      </c>
    </row>
    <row r="4782" spans="1:27" ht="21" customHeight="1" x14ac:dyDescent="0.95">
      <c r="A4782" s="56"/>
      <c r="B4782" s="57"/>
      <c r="C4782" s="57"/>
      <c r="D4782" s="57"/>
      <c r="E4782" s="56"/>
      <c r="F4782" s="57"/>
      <c r="G4782" s="57"/>
      <c r="H4782" s="56"/>
      <c r="I4782" s="56"/>
      <c r="J4782" s="58"/>
      <c r="K4782" s="58"/>
      <c r="L4782" s="13" t="str">
        <f t="shared" si="740"/>
        <v/>
      </c>
      <c r="M4782" s="13" t="str">
        <f t="shared" si="741"/>
        <v/>
      </c>
      <c r="Q4782" t="str">
        <f t="shared" si="742"/>
        <v/>
      </c>
      <c r="R4782" t="str">
        <f t="shared" si="743"/>
        <v/>
      </c>
      <c r="S4782" t="str">
        <f t="shared" si="744"/>
        <v/>
      </c>
      <c r="T4782" t="str">
        <f t="shared" si="745"/>
        <v/>
      </c>
      <c r="U4782" t="str">
        <f t="shared" si="746"/>
        <v/>
      </c>
      <c r="V4782" t="str">
        <f t="shared" si="747"/>
        <v/>
      </c>
      <c r="W4782" t="str">
        <f t="shared" si="748"/>
        <v/>
      </c>
      <c r="X4782">
        <f>IF($T4782="",N($X4781),IF(MATCH($T4782,$T$6:$T$10005,0)=ROW()-5,N($X4781)+1,N($X4781)))</f>
        <v>0</v>
      </c>
      <c r="Z4782" t="str">
        <f t="shared" si="749"/>
        <v/>
      </c>
      <c r="AA4782">
        <f>IF($V4782="",N($AA4781),IF(MATCH($V4782,$V$6:$V$10005,0)=ROW()-5,N($AA4781)+1,N($AA4781)))</f>
        <v>0</v>
      </c>
    </row>
    <row r="4783" spans="1:27" ht="21" customHeight="1" x14ac:dyDescent="0.95">
      <c r="A4783" s="56"/>
      <c r="B4783" s="57"/>
      <c r="C4783" s="57"/>
      <c r="D4783" s="57"/>
      <c r="E4783" s="56"/>
      <c r="F4783" s="57"/>
      <c r="G4783" s="57"/>
      <c r="H4783" s="56"/>
      <c r="I4783" s="56"/>
      <c r="J4783" s="58"/>
      <c r="K4783" s="58"/>
      <c r="L4783" s="13" t="str">
        <f t="shared" si="740"/>
        <v/>
      </c>
      <c r="M4783" s="13" t="str">
        <f t="shared" si="741"/>
        <v/>
      </c>
      <c r="Q4783" t="str">
        <f t="shared" si="742"/>
        <v/>
      </c>
      <c r="R4783" t="str">
        <f t="shared" si="743"/>
        <v/>
      </c>
      <c r="S4783" t="str">
        <f t="shared" si="744"/>
        <v/>
      </c>
      <c r="T4783" t="str">
        <f t="shared" si="745"/>
        <v/>
      </c>
      <c r="U4783" t="str">
        <f t="shared" si="746"/>
        <v/>
      </c>
      <c r="V4783" t="str">
        <f t="shared" si="747"/>
        <v/>
      </c>
      <c r="W4783" t="str">
        <f t="shared" si="748"/>
        <v/>
      </c>
      <c r="X4783">
        <f>IF($T4783="",N($X4782),IF(MATCH($T4783,$T$6:$T$10005,0)=ROW()-5,N($X4782)+1,N($X4782)))</f>
        <v>0</v>
      </c>
      <c r="Z4783" t="str">
        <f t="shared" si="749"/>
        <v/>
      </c>
      <c r="AA4783">
        <f>IF($V4783="",N($AA4782),IF(MATCH($V4783,$V$6:$V$10005,0)=ROW()-5,N($AA4782)+1,N($AA4782)))</f>
        <v>0</v>
      </c>
    </row>
    <row r="4784" spans="1:27" ht="21" customHeight="1" x14ac:dyDescent="0.95">
      <c r="A4784" s="56"/>
      <c r="B4784" s="57"/>
      <c r="C4784" s="57"/>
      <c r="D4784" s="57"/>
      <c r="E4784" s="56"/>
      <c r="F4784" s="57"/>
      <c r="G4784" s="57"/>
      <c r="H4784" s="56"/>
      <c r="I4784" s="56"/>
      <c r="J4784" s="58"/>
      <c r="K4784" s="58"/>
      <c r="L4784" s="13" t="str">
        <f t="shared" si="740"/>
        <v/>
      </c>
      <c r="M4784" s="13" t="str">
        <f t="shared" si="741"/>
        <v/>
      </c>
      <c r="Q4784" t="str">
        <f t="shared" si="742"/>
        <v/>
      </c>
      <c r="R4784" t="str">
        <f t="shared" si="743"/>
        <v/>
      </c>
      <c r="S4784" t="str">
        <f t="shared" si="744"/>
        <v/>
      </c>
      <c r="T4784" t="str">
        <f t="shared" si="745"/>
        <v/>
      </c>
      <c r="U4784" t="str">
        <f t="shared" si="746"/>
        <v/>
      </c>
      <c r="V4784" t="str">
        <f t="shared" si="747"/>
        <v/>
      </c>
      <c r="W4784" t="str">
        <f t="shared" si="748"/>
        <v/>
      </c>
      <c r="X4784">
        <f>IF($T4784="",N($X4783),IF(MATCH($T4784,$T$6:$T$10005,0)=ROW()-5,N($X4783)+1,N($X4783)))</f>
        <v>0</v>
      </c>
      <c r="Z4784" t="str">
        <f t="shared" si="749"/>
        <v/>
      </c>
      <c r="AA4784">
        <f>IF($V4784="",N($AA4783),IF(MATCH($V4784,$V$6:$V$10005,0)=ROW()-5,N($AA4783)+1,N($AA4783)))</f>
        <v>0</v>
      </c>
    </row>
    <row r="4785" spans="1:27" ht="21" customHeight="1" x14ac:dyDescent="0.95">
      <c r="A4785" s="56"/>
      <c r="B4785" s="57"/>
      <c r="C4785" s="57"/>
      <c r="D4785" s="57"/>
      <c r="E4785" s="56"/>
      <c r="F4785" s="57"/>
      <c r="G4785" s="57"/>
      <c r="H4785" s="56"/>
      <c r="I4785" s="56"/>
      <c r="J4785" s="58"/>
      <c r="K4785" s="58"/>
      <c r="L4785" s="13" t="str">
        <f t="shared" si="740"/>
        <v/>
      </c>
      <c r="M4785" s="13" t="str">
        <f t="shared" si="741"/>
        <v/>
      </c>
      <c r="Q4785" t="str">
        <f t="shared" si="742"/>
        <v/>
      </c>
      <c r="R4785" t="str">
        <f t="shared" si="743"/>
        <v/>
      </c>
      <c r="S4785" t="str">
        <f t="shared" si="744"/>
        <v/>
      </c>
      <c r="T4785" t="str">
        <f t="shared" si="745"/>
        <v/>
      </c>
      <c r="U4785" t="str">
        <f t="shared" si="746"/>
        <v/>
      </c>
      <c r="V4785" t="str">
        <f t="shared" si="747"/>
        <v/>
      </c>
      <c r="W4785" t="str">
        <f t="shared" si="748"/>
        <v/>
      </c>
      <c r="X4785">
        <f>IF($T4785="",N($X4784),IF(MATCH($T4785,$T$6:$T$10005,0)=ROW()-5,N($X4784)+1,N($X4784)))</f>
        <v>0</v>
      </c>
      <c r="Z4785" t="str">
        <f t="shared" si="749"/>
        <v/>
      </c>
      <c r="AA4785">
        <f>IF($V4785="",N($AA4784),IF(MATCH($V4785,$V$6:$V$10005,0)=ROW()-5,N($AA4784)+1,N($AA4784)))</f>
        <v>0</v>
      </c>
    </row>
    <row r="4786" spans="1:27" ht="21" customHeight="1" x14ac:dyDescent="0.95">
      <c r="A4786" s="56"/>
      <c r="B4786" s="57"/>
      <c r="C4786" s="57"/>
      <c r="D4786" s="57"/>
      <c r="E4786" s="56"/>
      <c r="F4786" s="57"/>
      <c r="G4786" s="57"/>
      <c r="H4786" s="56"/>
      <c r="I4786" s="56"/>
      <c r="J4786" s="58"/>
      <c r="K4786" s="58"/>
      <c r="L4786" s="13" t="str">
        <f t="shared" si="740"/>
        <v/>
      </c>
      <c r="M4786" s="13" t="str">
        <f t="shared" si="741"/>
        <v/>
      </c>
      <c r="Q4786" t="str">
        <f t="shared" si="742"/>
        <v/>
      </c>
      <c r="R4786" t="str">
        <f t="shared" si="743"/>
        <v/>
      </c>
      <c r="S4786" t="str">
        <f t="shared" si="744"/>
        <v/>
      </c>
      <c r="T4786" t="str">
        <f t="shared" si="745"/>
        <v/>
      </c>
      <c r="U4786" t="str">
        <f t="shared" si="746"/>
        <v/>
      </c>
      <c r="V4786" t="str">
        <f t="shared" si="747"/>
        <v/>
      </c>
      <c r="W4786" t="str">
        <f t="shared" si="748"/>
        <v/>
      </c>
      <c r="X4786">
        <f>IF($T4786="",N($X4785),IF(MATCH($T4786,$T$6:$T$10005,0)=ROW()-5,N($X4785)+1,N($X4785)))</f>
        <v>0</v>
      </c>
      <c r="Z4786" t="str">
        <f t="shared" si="749"/>
        <v/>
      </c>
      <c r="AA4786">
        <f>IF($V4786="",N($AA4785),IF(MATCH($V4786,$V$6:$V$10005,0)=ROW()-5,N($AA4785)+1,N($AA4785)))</f>
        <v>0</v>
      </c>
    </row>
    <row r="4787" spans="1:27" ht="21" customHeight="1" x14ac:dyDescent="0.95">
      <c r="A4787" s="56"/>
      <c r="B4787" s="57"/>
      <c r="C4787" s="57"/>
      <c r="D4787" s="57"/>
      <c r="E4787" s="56"/>
      <c r="F4787" s="57"/>
      <c r="G4787" s="57"/>
      <c r="H4787" s="56"/>
      <c r="I4787" s="56"/>
      <c r="J4787" s="58"/>
      <c r="K4787" s="58"/>
      <c r="L4787" s="13" t="str">
        <f t="shared" si="740"/>
        <v/>
      </c>
      <c r="M4787" s="13" t="str">
        <f t="shared" si="741"/>
        <v/>
      </c>
      <c r="Q4787" t="str">
        <f t="shared" si="742"/>
        <v/>
      </c>
      <c r="R4787" t="str">
        <f t="shared" si="743"/>
        <v/>
      </c>
      <c r="S4787" t="str">
        <f t="shared" si="744"/>
        <v/>
      </c>
      <c r="T4787" t="str">
        <f t="shared" si="745"/>
        <v/>
      </c>
      <c r="U4787" t="str">
        <f t="shared" si="746"/>
        <v/>
      </c>
      <c r="V4787" t="str">
        <f t="shared" si="747"/>
        <v/>
      </c>
      <c r="W4787" t="str">
        <f t="shared" si="748"/>
        <v/>
      </c>
      <c r="X4787">
        <f>IF($T4787="",N($X4786),IF(MATCH($T4787,$T$6:$T$10005,0)=ROW()-5,N($X4786)+1,N($X4786)))</f>
        <v>0</v>
      </c>
      <c r="Z4787" t="str">
        <f t="shared" si="749"/>
        <v/>
      </c>
      <c r="AA4787">
        <f>IF($V4787="",N($AA4786),IF(MATCH($V4787,$V$6:$V$10005,0)=ROW()-5,N($AA4786)+1,N($AA4786)))</f>
        <v>0</v>
      </c>
    </row>
    <row r="4788" spans="1:27" ht="21" customHeight="1" x14ac:dyDescent="0.95">
      <c r="A4788" s="56"/>
      <c r="B4788" s="57"/>
      <c r="C4788" s="57"/>
      <c r="D4788" s="57"/>
      <c r="E4788" s="56"/>
      <c r="F4788" s="57"/>
      <c r="G4788" s="57"/>
      <c r="H4788" s="56"/>
      <c r="I4788" s="56"/>
      <c r="J4788" s="58"/>
      <c r="K4788" s="58"/>
      <c r="L4788" s="13" t="str">
        <f t="shared" si="740"/>
        <v/>
      </c>
      <c r="M4788" s="13" t="str">
        <f t="shared" si="741"/>
        <v/>
      </c>
      <c r="Q4788" t="str">
        <f t="shared" si="742"/>
        <v/>
      </c>
      <c r="R4788" t="str">
        <f t="shared" si="743"/>
        <v/>
      </c>
      <c r="S4788" t="str">
        <f t="shared" si="744"/>
        <v/>
      </c>
      <c r="T4788" t="str">
        <f t="shared" si="745"/>
        <v/>
      </c>
      <c r="U4788" t="str">
        <f t="shared" si="746"/>
        <v/>
      </c>
      <c r="V4788" t="str">
        <f t="shared" si="747"/>
        <v/>
      </c>
      <c r="W4788" t="str">
        <f t="shared" si="748"/>
        <v/>
      </c>
      <c r="X4788">
        <f>IF($T4788="",N($X4787),IF(MATCH($T4788,$T$6:$T$10005,0)=ROW()-5,N($X4787)+1,N($X4787)))</f>
        <v>0</v>
      </c>
      <c r="Z4788" t="str">
        <f t="shared" si="749"/>
        <v/>
      </c>
      <c r="AA4788">
        <f>IF($V4788="",N($AA4787),IF(MATCH($V4788,$V$6:$V$10005,0)=ROW()-5,N($AA4787)+1,N($AA4787)))</f>
        <v>0</v>
      </c>
    </row>
    <row r="4789" spans="1:27" ht="21" customHeight="1" x14ac:dyDescent="0.95">
      <c r="A4789" s="56"/>
      <c r="B4789" s="57"/>
      <c r="C4789" s="57"/>
      <c r="D4789" s="57"/>
      <c r="E4789" s="56"/>
      <c r="F4789" s="57"/>
      <c r="G4789" s="57"/>
      <c r="H4789" s="56"/>
      <c r="I4789" s="56"/>
      <c r="J4789" s="58"/>
      <c r="K4789" s="58"/>
      <c r="L4789" s="13" t="str">
        <f t="shared" si="740"/>
        <v/>
      </c>
      <c r="M4789" s="13" t="str">
        <f t="shared" si="741"/>
        <v/>
      </c>
      <c r="Q4789" t="str">
        <f t="shared" si="742"/>
        <v/>
      </c>
      <c r="R4789" t="str">
        <f t="shared" si="743"/>
        <v/>
      </c>
      <c r="S4789" t="str">
        <f t="shared" si="744"/>
        <v/>
      </c>
      <c r="T4789" t="str">
        <f t="shared" si="745"/>
        <v/>
      </c>
      <c r="U4789" t="str">
        <f t="shared" si="746"/>
        <v/>
      </c>
      <c r="V4789" t="str">
        <f t="shared" si="747"/>
        <v/>
      </c>
      <c r="W4789" t="str">
        <f t="shared" si="748"/>
        <v/>
      </c>
      <c r="X4789">
        <f>IF($T4789="",N($X4788),IF(MATCH($T4789,$T$6:$T$10005,0)=ROW()-5,N($X4788)+1,N($X4788)))</f>
        <v>0</v>
      </c>
      <c r="Z4789" t="str">
        <f t="shared" si="749"/>
        <v/>
      </c>
      <c r="AA4789">
        <f>IF($V4789="",N($AA4788),IF(MATCH($V4789,$V$6:$V$10005,0)=ROW()-5,N($AA4788)+1,N($AA4788)))</f>
        <v>0</v>
      </c>
    </row>
    <row r="4790" spans="1:27" ht="21" customHeight="1" x14ac:dyDescent="0.95">
      <c r="A4790" s="56"/>
      <c r="B4790" s="57"/>
      <c r="C4790" s="57"/>
      <c r="D4790" s="57"/>
      <c r="E4790" s="56"/>
      <c r="F4790" s="57"/>
      <c r="G4790" s="57"/>
      <c r="H4790" s="56"/>
      <c r="I4790" s="56"/>
      <c r="J4790" s="58"/>
      <c r="K4790" s="58"/>
      <c r="L4790" s="13" t="str">
        <f t="shared" si="740"/>
        <v/>
      </c>
      <c r="M4790" s="13" t="str">
        <f t="shared" si="741"/>
        <v/>
      </c>
      <c r="Q4790" t="str">
        <f t="shared" si="742"/>
        <v/>
      </c>
      <c r="R4790" t="str">
        <f t="shared" si="743"/>
        <v/>
      </c>
      <c r="S4790" t="str">
        <f t="shared" si="744"/>
        <v/>
      </c>
      <c r="T4790" t="str">
        <f t="shared" si="745"/>
        <v/>
      </c>
      <c r="U4790" t="str">
        <f t="shared" si="746"/>
        <v/>
      </c>
      <c r="V4790" t="str">
        <f t="shared" si="747"/>
        <v/>
      </c>
      <c r="W4790" t="str">
        <f t="shared" si="748"/>
        <v/>
      </c>
      <c r="X4790">
        <f>IF($T4790="",N($X4789),IF(MATCH($T4790,$T$6:$T$10005,0)=ROW()-5,N($X4789)+1,N($X4789)))</f>
        <v>0</v>
      </c>
      <c r="Z4790" t="str">
        <f t="shared" si="749"/>
        <v/>
      </c>
      <c r="AA4790">
        <f>IF($V4790="",N($AA4789),IF(MATCH($V4790,$V$6:$V$10005,0)=ROW()-5,N($AA4789)+1,N($AA4789)))</f>
        <v>0</v>
      </c>
    </row>
    <row r="4791" spans="1:27" ht="21" customHeight="1" x14ac:dyDescent="0.95">
      <c r="A4791" s="56"/>
      <c r="B4791" s="57"/>
      <c r="C4791" s="57"/>
      <c r="D4791" s="57"/>
      <c r="E4791" s="56"/>
      <c r="F4791" s="57"/>
      <c r="G4791" s="57"/>
      <c r="H4791" s="56"/>
      <c r="I4791" s="56"/>
      <c r="J4791" s="58"/>
      <c r="K4791" s="58"/>
      <c r="L4791" s="13" t="str">
        <f t="shared" si="740"/>
        <v/>
      </c>
      <c r="M4791" s="13" t="str">
        <f t="shared" si="741"/>
        <v/>
      </c>
      <c r="Q4791" t="str">
        <f t="shared" si="742"/>
        <v/>
      </c>
      <c r="R4791" t="str">
        <f t="shared" si="743"/>
        <v/>
      </c>
      <c r="S4791" t="str">
        <f t="shared" si="744"/>
        <v/>
      </c>
      <c r="T4791" t="str">
        <f t="shared" si="745"/>
        <v/>
      </c>
      <c r="U4791" t="str">
        <f t="shared" si="746"/>
        <v/>
      </c>
      <c r="V4791" t="str">
        <f t="shared" si="747"/>
        <v/>
      </c>
      <c r="W4791" t="str">
        <f t="shared" si="748"/>
        <v/>
      </c>
      <c r="X4791">
        <f>IF($T4791="",N($X4790),IF(MATCH($T4791,$T$6:$T$10005,0)=ROW()-5,N($X4790)+1,N($X4790)))</f>
        <v>0</v>
      </c>
      <c r="Z4791" t="str">
        <f t="shared" si="749"/>
        <v/>
      </c>
      <c r="AA4791">
        <f>IF($V4791="",N($AA4790),IF(MATCH($V4791,$V$6:$V$10005,0)=ROW()-5,N($AA4790)+1,N($AA4790)))</f>
        <v>0</v>
      </c>
    </row>
    <row r="4792" spans="1:27" ht="21" customHeight="1" x14ac:dyDescent="0.95">
      <c r="A4792" s="56"/>
      <c r="B4792" s="57"/>
      <c r="C4792" s="57"/>
      <c r="D4792" s="57"/>
      <c r="E4792" s="56"/>
      <c r="F4792" s="57"/>
      <c r="G4792" s="57"/>
      <c r="H4792" s="56"/>
      <c r="I4792" s="56"/>
      <c r="J4792" s="58"/>
      <c r="K4792" s="58"/>
      <c r="L4792" s="13" t="str">
        <f t="shared" si="740"/>
        <v/>
      </c>
      <c r="M4792" s="13" t="str">
        <f t="shared" si="741"/>
        <v/>
      </c>
      <c r="Q4792" t="str">
        <f t="shared" si="742"/>
        <v/>
      </c>
      <c r="R4792" t="str">
        <f t="shared" si="743"/>
        <v/>
      </c>
      <c r="S4792" t="str">
        <f t="shared" si="744"/>
        <v/>
      </c>
      <c r="T4792" t="str">
        <f t="shared" si="745"/>
        <v/>
      </c>
      <c r="U4792" t="str">
        <f t="shared" si="746"/>
        <v/>
      </c>
      <c r="V4792" t="str">
        <f t="shared" si="747"/>
        <v/>
      </c>
      <c r="W4792" t="str">
        <f t="shared" si="748"/>
        <v/>
      </c>
      <c r="X4792">
        <f>IF($T4792="",N($X4791),IF(MATCH($T4792,$T$6:$T$10005,0)=ROW()-5,N($X4791)+1,N($X4791)))</f>
        <v>0</v>
      </c>
      <c r="Z4792" t="str">
        <f t="shared" si="749"/>
        <v/>
      </c>
      <c r="AA4792">
        <f>IF($V4792="",N($AA4791),IF(MATCH($V4792,$V$6:$V$10005,0)=ROW()-5,N($AA4791)+1,N($AA4791)))</f>
        <v>0</v>
      </c>
    </row>
    <row r="4793" spans="1:27" ht="21" customHeight="1" x14ac:dyDescent="0.95">
      <c r="A4793" s="56"/>
      <c r="B4793" s="57"/>
      <c r="C4793" s="57"/>
      <c r="D4793" s="57"/>
      <c r="E4793" s="56"/>
      <c r="F4793" s="57"/>
      <c r="G4793" s="57"/>
      <c r="H4793" s="56"/>
      <c r="I4793" s="56"/>
      <c r="J4793" s="58"/>
      <c r="K4793" s="58"/>
      <c r="L4793" s="13" t="str">
        <f t="shared" si="740"/>
        <v/>
      </c>
      <c r="M4793" s="13" t="str">
        <f t="shared" si="741"/>
        <v/>
      </c>
      <c r="Q4793" t="str">
        <f t="shared" si="742"/>
        <v/>
      </c>
      <c r="R4793" t="str">
        <f t="shared" si="743"/>
        <v/>
      </c>
      <c r="S4793" t="str">
        <f t="shared" si="744"/>
        <v/>
      </c>
      <c r="T4793" t="str">
        <f t="shared" si="745"/>
        <v/>
      </c>
      <c r="U4793" t="str">
        <f t="shared" si="746"/>
        <v/>
      </c>
      <c r="V4793" t="str">
        <f t="shared" si="747"/>
        <v/>
      </c>
      <c r="W4793" t="str">
        <f t="shared" si="748"/>
        <v/>
      </c>
      <c r="X4793">
        <f>IF($T4793="",N($X4792),IF(MATCH($T4793,$T$6:$T$10005,0)=ROW()-5,N($X4792)+1,N($X4792)))</f>
        <v>0</v>
      </c>
      <c r="Z4793" t="str">
        <f t="shared" si="749"/>
        <v/>
      </c>
      <c r="AA4793">
        <f>IF($V4793="",N($AA4792),IF(MATCH($V4793,$V$6:$V$10005,0)=ROW()-5,N($AA4792)+1,N($AA4792)))</f>
        <v>0</v>
      </c>
    </row>
    <row r="4794" spans="1:27" ht="21" customHeight="1" x14ac:dyDescent="0.95">
      <c r="A4794" s="56"/>
      <c r="B4794" s="57"/>
      <c r="C4794" s="57"/>
      <c r="D4794" s="57"/>
      <c r="E4794" s="56"/>
      <c r="F4794" s="57"/>
      <c r="G4794" s="57"/>
      <c r="H4794" s="56"/>
      <c r="I4794" s="56"/>
      <c r="J4794" s="58"/>
      <c r="K4794" s="58"/>
      <c r="L4794" s="13" t="str">
        <f t="shared" si="740"/>
        <v/>
      </c>
      <c r="M4794" s="13" t="str">
        <f t="shared" si="741"/>
        <v/>
      </c>
      <c r="Q4794" t="str">
        <f t="shared" si="742"/>
        <v/>
      </c>
      <c r="R4794" t="str">
        <f t="shared" si="743"/>
        <v/>
      </c>
      <c r="S4794" t="str">
        <f t="shared" si="744"/>
        <v/>
      </c>
      <c r="T4794" t="str">
        <f t="shared" si="745"/>
        <v/>
      </c>
      <c r="U4794" t="str">
        <f t="shared" si="746"/>
        <v/>
      </c>
      <c r="V4794" t="str">
        <f t="shared" si="747"/>
        <v/>
      </c>
      <c r="W4794" t="str">
        <f t="shared" si="748"/>
        <v/>
      </c>
      <c r="X4794">
        <f>IF($T4794="",N($X4793),IF(MATCH($T4794,$T$6:$T$10005,0)=ROW()-5,N($X4793)+1,N($X4793)))</f>
        <v>0</v>
      </c>
      <c r="Z4794" t="str">
        <f t="shared" si="749"/>
        <v/>
      </c>
      <c r="AA4794">
        <f>IF($V4794="",N($AA4793),IF(MATCH($V4794,$V$6:$V$10005,0)=ROW()-5,N($AA4793)+1,N($AA4793)))</f>
        <v>0</v>
      </c>
    </row>
    <row r="4795" spans="1:27" ht="21" customHeight="1" x14ac:dyDescent="0.95">
      <c r="A4795" s="56"/>
      <c r="B4795" s="57"/>
      <c r="C4795" s="57"/>
      <c r="D4795" s="57"/>
      <c r="E4795" s="56"/>
      <c r="F4795" s="57"/>
      <c r="G4795" s="57"/>
      <c r="H4795" s="56"/>
      <c r="I4795" s="56"/>
      <c r="J4795" s="58"/>
      <c r="K4795" s="58"/>
      <c r="L4795" s="13" t="str">
        <f t="shared" si="740"/>
        <v/>
      </c>
      <c r="M4795" s="13" t="str">
        <f t="shared" si="741"/>
        <v/>
      </c>
      <c r="Q4795" t="str">
        <f t="shared" si="742"/>
        <v/>
      </c>
      <c r="R4795" t="str">
        <f t="shared" si="743"/>
        <v/>
      </c>
      <c r="S4795" t="str">
        <f t="shared" si="744"/>
        <v/>
      </c>
      <c r="T4795" t="str">
        <f t="shared" si="745"/>
        <v/>
      </c>
      <c r="U4795" t="str">
        <f t="shared" si="746"/>
        <v/>
      </c>
      <c r="V4795" t="str">
        <f t="shared" si="747"/>
        <v/>
      </c>
      <c r="W4795" t="str">
        <f t="shared" si="748"/>
        <v/>
      </c>
      <c r="X4795">
        <f>IF($T4795="",N($X4794),IF(MATCH($T4795,$T$6:$T$10005,0)=ROW()-5,N($X4794)+1,N($X4794)))</f>
        <v>0</v>
      </c>
      <c r="Z4795" t="str">
        <f t="shared" si="749"/>
        <v/>
      </c>
      <c r="AA4795">
        <f>IF($V4795="",N($AA4794),IF(MATCH($V4795,$V$6:$V$10005,0)=ROW()-5,N($AA4794)+1,N($AA4794)))</f>
        <v>0</v>
      </c>
    </row>
    <row r="4796" spans="1:27" ht="21" customHeight="1" x14ac:dyDescent="0.95">
      <c r="A4796" s="56"/>
      <c r="B4796" s="57"/>
      <c r="C4796" s="57"/>
      <c r="D4796" s="57"/>
      <c r="E4796" s="56"/>
      <c r="F4796" s="57"/>
      <c r="G4796" s="57"/>
      <c r="H4796" s="56"/>
      <c r="I4796" s="56"/>
      <c r="J4796" s="58"/>
      <c r="K4796" s="58"/>
      <c r="L4796" s="13" t="str">
        <f t="shared" si="740"/>
        <v/>
      </c>
      <c r="M4796" s="13" t="str">
        <f t="shared" si="741"/>
        <v/>
      </c>
      <c r="Q4796" t="str">
        <f t="shared" si="742"/>
        <v/>
      </c>
      <c r="R4796" t="str">
        <f t="shared" si="743"/>
        <v/>
      </c>
      <c r="S4796" t="str">
        <f t="shared" si="744"/>
        <v/>
      </c>
      <c r="T4796" t="str">
        <f t="shared" si="745"/>
        <v/>
      </c>
      <c r="U4796" t="str">
        <f t="shared" si="746"/>
        <v/>
      </c>
      <c r="V4796" t="str">
        <f t="shared" si="747"/>
        <v/>
      </c>
      <c r="W4796" t="str">
        <f t="shared" si="748"/>
        <v/>
      </c>
      <c r="X4796">
        <f>IF($T4796="",N($X4795),IF(MATCH($T4796,$T$6:$T$10005,0)=ROW()-5,N($X4795)+1,N($X4795)))</f>
        <v>0</v>
      </c>
      <c r="Z4796" t="str">
        <f t="shared" si="749"/>
        <v/>
      </c>
      <c r="AA4796">
        <f>IF($V4796="",N($AA4795),IF(MATCH($V4796,$V$6:$V$10005,0)=ROW()-5,N($AA4795)+1,N($AA4795)))</f>
        <v>0</v>
      </c>
    </row>
    <row r="4797" spans="1:27" ht="21" customHeight="1" x14ac:dyDescent="0.95">
      <c r="A4797" s="56"/>
      <c r="B4797" s="57"/>
      <c r="C4797" s="57"/>
      <c r="D4797" s="57"/>
      <c r="E4797" s="56"/>
      <c r="F4797" s="57"/>
      <c r="G4797" s="57"/>
      <c r="H4797" s="56"/>
      <c r="I4797" s="56"/>
      <c r="J4797" s="58"/>
      <c r="K4797" s="58"/>
      <c r="L4797" s="13" t="str">
        <f t="shared" si="740"/>
        <v/>
      </c>
      <c r="M4797" s="13" t="str">
        <f t="shared" si="741"/>
        <v/>
      </c>
      <c r="Q4797" t="str">
        <f t="shared" si="742"/>
        <v/>
      </c>
      <c r="R4797" t="str">
        <f t="shared" si="743"/>
        <v/>
      </c>
      <c r="S4797" t="str">
        <f t="shared" si="744"/>
        <v/>
      </c>
      <c r="T4797" t="str">
        <f t="shared" si="745"/>
        <v/>
      </c>
      <c r="U4797" t="str">
        <f t="shared" si="746"/>
        <v/>
      </c>
      <c r="V4797" t="str">
        <f t="shared" si="747"/>
        <v/>
      </c>
      <c r="W4797" t="str">
        <f t="shared" si="748"/>
        <v/>
      </c>
      <c r="X4797">
        <f>IF($T4797="",N($X4796),IF(MATCH($T4797,$T$6:$T$10005,0)=ROW()-5,N($X4796)+1,N($X4796)))</f>
        <v>0</v>
      </c>
      <c r="Z4797" t="str">
        <f t="shared" si="749"/>
        <v/>
      </c>
      <c r="AA4797">
        <f>IF($V4797="",N($AA4796),IF(MATCH($V4797,$V$6:$V$10005,0)=ROW()-5,N($AA4796)+1,N($AA4796)))</f>
        <v>0</v>
      </c>
    </row>
    <row r="4798" spans="1:27" ht="21" customHeight="1" x14ac:dyDescent="0.95">
      <c r="A4798" s="56"/>
      <c r="B4798" s="57"/>
      <c r="C4798" s="57"/>
      <c r="D4798" s="57"/>
      <c r="E4798" s="56"/>
      <c r="F4798" s="57"/>
      <c r="G4798" s="57"/>
      <c r="H4798" s="56"/>
      <c r="I4798" s="56"/>
      <c r="J4798" s="58"/>
      <c r="K4798" s="58"/>
      <c r="L4798" s="13" t="str">
        <f t="shared" si="740"/>
        <v/>
      </c>
      <c r="M4798" s="13" t="str">
        <f t="shared" si="741"/>
        <v/>
      </c>
      <c r="Q4798" t="str">
        <f t="shared" si="742"/>
        <v/>
      </c>
      <c r="R4798" t="str">
        <f t="shared" si="743"/>
        <v/>
      </c>
      <c r="S4798" t="str">
        <f t="shared" si="744"/>
        <v/>
      </c>
      <c r="T4798" t="str">
        <f t="shared" si="745"/>
        <v/>
      </c>
      <c r="U4798" t="str">
        <f t="shared" si="746"/>
        <v/>
      </c>
      <c r="V4798" t="str">
        <f t="shared" si="747"/>
        <v/>
      </c>
      <c r="W4798" t="str">
        <f t="shared" si="748"/>
        <v/>
      </c>
      <c r="X4798">
        <f>IF($T4798="",N($X4797),IF(MATCH($T4798,$T$6:$T$10005,0)=ROW()-5,N($X4797)+1,N($X4797)))</f>
        <v>0</v>
      </c>
      <c r="Z4798" t="str">
        <f t="shared" si="749"/>
        <v/>
      </c>
      <c r="AA4798">
        <f>IF($V4798="",N($AA4797),IF(MATCH($V4798,$V$6:$V$10005,0)=ROW()-5,N($AA4797)+1,N($AA4797)))</f>
        <v>0</v>
      </c>
    </row>
    <row r="4799" spans="1:27" ht="21" customHeight="1" x14ac:dyDescent="0.95">
      <c r="A4799" s="56"/>
      <c r="B4799" s="57"/>
      <c r="C4799" s="57"/>
      <c r="D4799" s="57"/>
      <c r="E4799" s="56"/>
      <c r="F4799" s="57"/>
      <c r="G4799" s="57"/>
      <c r="H4799" s="56"/>
      <c r="I4799" s="56"/>
      <c r="J4799" s="58"/>
      <c r="K4799" s="58"/>
      <c r="L4799" s="13" t="str">
        <f t="shared" si="740"/>
        <v/>
      </c>
      <c r="M4799" s="13" t="str">
        <f t="shared" si="741"/>
        <v/>
      </c>
      <c r="Q4799" t="str">
        <f t="shared" si="742"/>
        <v/>
      </c>
      <c r="R4799" t="str">
        <f t="shared" si="743"/>
        <v/>
      </c>
      <c r="S4799" t="str">
        <f t="shared" si="744"/>
        <v/>
      </c>
      <c r="T4799" t="str">
        <f t="shared" si="745"/>
        <v/>
      </c>
      <c r="U4799" t="str">
        <f t="shared" si="746"/>
        <v/>
      </c>
      <c r="V4799" t="str">
        <f t="shared" si="747"/>
        <v/>
      </c>
      <c r="W4799" t="str">
        <f t="shared" si="748"/>
        <v/>
      </c>
      <c r="X4799">
        <f>IF($T4799="",N($X4798),IF(MATCH($T4799,$T$6:$T$10005,0)=ROW()-5,N($X4798)+1,N($X4798)))</f>
        <v>0</v>
      </c>
      <c r="Z4799" t="str">
        <f t="shared" si="749"/>
        <v/>
      </c>
      <c r="AA4799">
        <f>IF($V4799="",N($AA4798),IF(MATCH($V4799,$V$6:$V$10005,0)=ROW()-5,N($AA4798)+1,N($AA4798)))</f>
        <v>0</v>
      </c>
    </row>
    <row r="4800" spans="1:27" ht="21" customHeight="1" x14ac:dyDescent="0.95">
      <c r="A4800" s="56"/>
      <c r="B4800" s="57"/>
      <c r="C4800" s="57"/>
      <c r="D4800" s="57"/>
      <c r="E4800" s="56"/>
      <c r="F4800" s="57"/>
      <c r="G4800" s="57"/>
      <c r="H4800" s="56"/>
      <c r="I4800" s="56"/>
      <c r="J4800" s="58"/>
      <c r="K4800" s="58"/>
      <c r="L4800" s="13" t="str">
        <f t="shared" si="740"/>
        <v/>
      </c>
      <c r="M4800" s="13" t="str">
        <f t="shared" si="741"/>
        <v/>
      </c>
      <c r="Q4800" t="str">
        <f t="shared" si="742"/>
        <v/>
      </c>
      <c r="R4800" t="str">
        <f t="shared" si="743"/>
        <v/>
      </c>
      <c r="S4800" t="str">
        <f t="shared" si="744"/>
        <v/>
      </c>
      <c r="T4800" t="str">
        <f t="shared" si="745"/>
        <v/>
      </c>
      <c r="U4800" t="str">
        <f t="shared" si="746"/>
        <v/>
      </c>
      <c r="V4800" t="str">
        <f t="shared" si="747"/>
        <v/>
      </c>
      <c r="W4800" t="str">
        <f t="shared" si="748"/>
        <v/>
      </c>
      <c r="X4800">
        <f>IF($T4800="",N($X4799),IF(MATCH($T4800,$T$6:$T$10005,0)=ROW()-5,N($X4799)+1,N($X4799)))</f>
        <v>0</v>
      </c>
      <c r="Z4800" t="str">
        <f t="shared" si="749"/>
        <v/>
      </c>
      <c r="AA4800">
        <f>IF($V4800="",N($AA4799),IF(MATCH($V4800,$V$6:$V$10005,0)=ROW()-5,N($AA4799)+1,N($AA4799)))</f>
        <v>0</v>
      </c>
    </row>
    <row r="4801" spans="1:27" ht="21" customHeight="1" x14ac:dyDescent="0.95">
      <c r="A4801" s="56"/>
      <c r="B4801" s="57"/>
      <c r="C4801" s="57"/>
      <c r="D4801" s="57"/>
      <c r="E4801" s="56"/>
      <c r="F4801" s="57"/>
      <c r="G4801" s="57"/>
      <c r="H4801" s="56"/>
      <c r="I4801" s="56"/>
      <c r="J4801" s="58"/>
      <c r="K4801" s="58"/>
      <c r="L4801" s="13" t="str">
        <f t="shared" si="740"/>
        <v/>
      </c>
      <c r="M4801" s="13" t="str">
        <f t="shared" si="741"/>
        <v/>
      </c>
      <c r="Q4801" t="str">
        <f t="shared" si="742"/>
        <v/>
      </c>
      <c r="R4801" t="str">
        <f t="shared" si="743"/>
        <v/>
      </c>
      <c r="S4801" t="str">
        <f t="shared" si="744"/>
        <v/>
      </c>
      <c r="T4801" t="str">
        <f t="shared" si="745"/>
        <v/>
      </c>
      <c r="U4801" t="str">
        <f t="shared" si="746"/>
        <v/>
      </c>
      <c r="V4801" t="str">
        <f t="shared" si="747"/>
        <v/>
      </c>
      <c r="W4801" t="str">
        <f t="shared" si="748"/>
        <v/>
      </c>
      <c r="X4801">
        <f>IF($T4801="",N($X4800),IF(MATCH($T4801,$T$6:$T$10005,0)=ROW()-5,N($X4800)+1,N($X4800)))</f>
        <v>0</v>
      </c>
      <c r="Z4801" t="str">
        <f t="shared" si="749"/>
        <v/>
      </c>
      <c r="AA4801">
        <f>IF($V4801="",N($AA4800),IF(MATCH($V4801,$V$6:$V$10005,0)=ROW()-5,N($AA4800)+1,N($AA4800)))</f>
        <v>0</v>
      </c>
    </row>
    <row r="4802" spans="1:27" ht="21" customHeight="1" x14ac:dyDescent="0.95">
      <c r="A4802" s="56"/>
      <c r="B4802" s="57"/>
      <c r="C4802" s="57"/>
      <c r="D4802" s="57"/>
      <c r="E4802" s="56"/>
      <c r="F4802" s="57"/>
      <c r="G4802" s="57"/>
      <c r="H4802" s="56"/>
      <c r="I4802" s="56"/>
      <c r="J4802" s="58"/>
      <c r="K4802" s="58"/>
      <c r="L4802" s="13" t="str">
        <f t="shared" si="740"/>
        <v/>
      </c>
      <c r="M4802" s="13" t="str">
        <f t="shared" si="741"/>
        <v/>
      </c>
      <c r="Q4802" t="str">
        <f t="shared" si="742"/>
        <v/>
      </c>
      <c r="R4802" t="str">
        <f t="shared" si="743"/>
        <v/>
      </c>
      <c r="S4802" t="str">
        <f t="shared" si="744"/>
        <v/>
      </c>
      <c r="T4802" t="str">
        <f t="shared" si="745"/>
        <v/>
      </c>
      <c r="U4802" t="str">
        <f t="shared" si="746"/>
        <v/>
      </c>
      <c r="V4802" t="str">
        <f t="shared" si="747"/>
        <v/>
      </c>
      <c r="W4802" t="str">
        <f t="shared" si="748"/>
        <v/>
      </c>
      <c r="X4802">
        <f>IF($T4802="",N($X4801),IF(MATCH($T4802,$T$6:$T$10005,0)=ROW()-5,N($X4801)+1,N($X4801)))</f>
        <v>0</v>
      </c>
      <c r="Z4802" t="str">
        <f t="shared" si="749"/>
        <v/>
      </c>
      <c r="AA4802">
        <f>IF($V4802="",N($AA4801),IF(MATCH($V4802,$V$6:$V$10005,0)=ROW()-5,N($AA4801)+1,N($AA4801)))</f>
        <v>0</v>
      </c>
    </row>
    <row r="4803" spans="1:27" ht="21" customHeight="1" x14ac:dyDescent="0.95">
      <c r="A4803" s="56"/>
      <c r="B4803" s="57"/>
      <c r="C4803" s="57"/>
      <c r="D4803" s="57"/>
      <c r="E4803" s="56"/>
      <c r="F4803" s="57"/>
      <c r="G4803" s="57"/>
      <c r="H4803" s="56"/>
      <c r="I4803" s="56"/>
      <c r="J4803" s="58"/>
      <c r="K4803" s="58"/>
      <c r="L4803" s="13" t="str">
        <f t="shared" si="740"/>
        <v/>
      </c>
      <c r="M4803" s="13" t="str">
        <f t="shared" si="741"/>
        <v/>
      </c>
      <c r="Q4803" t="str">
        <f t="shared" si="742"/>
        <v/>
      </c>
      <c r="R4803" t="str">
        <f t="shared" si="743"/>
        <v/>
      </c>
      <c r="S4803" t="str">
        <f t="shared" si="744"/>
        <v/>
      </c>
      <c r="T4803" t="str">
        <f t="shared" si="745"/>
        <v/>
      </c>
      <c r="U4803" t="str">
        <f t="shared" si="746"/>
        <v/>
      </c>
      <c r="V4803" t="str">
        <f t="shared" si="747"/>
        <v/>
      </c>
      <c r="W4803" t="str">
        <f t="shared" si="748"/>
        <v/>
      </c>
      <c r="X4803">
        <f>IF($T4803="",N($X4802),IF(MATCH($T4803,$T$6:$T$10005,0)=ROW()-5,N($X4802)+1,N($X4802)))</f>
        <v>0</v>
      </c>
      <c r="Z4803" t="str">
        <f t="shared" si="749"/>
        <v/>
      </c>
      <c r="AA4803">
        <f>IF($V4803="",N($AA4802),IF(MATCH($V4803,$V$6:$V$10005,0)=ROW()-5,N($AA4802)+1,N($AA4802)))</f>
        <v>0</v>
      </c>
    </row>
    <row r="4804" spans="1:27" ht="21" customHeight="1" x14ac:dyDescent="0.95">
      <c r="A4804" s="56"/>
      <c r="B4804" s="57"/>
      <c r="C4804" s="57"/>
      <c r="D4804" s="57"/>
      <c r="E4804" s="56"/>
      <c r="F4804" s="57"/>
      <c r="G4804" s="57"/>
      <c r="H4804" s="56"/>
      <c r="I4804" s="56"/>
      <c r="J4804" s="58"/>
      <c r="K4804" s="58"/>
      <c r="L4804" s="13" t="str">
        <f t="shared" si="740"/>
        <v/>
      </c>
      <c r="M4804" s="13" t="str">
        <f t="shared" si="741"/>
        <v/>
      </c>
      <c r="Q4804" t="str">
        <f t="shared" si="742"/>
        <v/>
      </c>
      <c r="R4804" t="str">
        <f t="shared" si="743"/>
        <v/>
      </c>
      <c r="S4804" t="str">
        <f t="shared" si="744"/>
        <v/>
      </c>
      <c r="T4804" t="str">
        <f t="shared" si="745"/>
        <v/>
      </c>
      <c r="U4804" t="str">
        <f t="shared" si="746"/>
        <v/>
      </c>
      <c r="V4804" t="str">
        <f t="shared" si="747"/>
        <v/>
      </c>
      <c r="W4804" t="str">
        <f t="shared" si="748"/>
        <v/>
      </c>
      <c r="X4804">
        <f>IF($T4804="",N($X4803),IF(MATCH($T4804,$T$6:$T$10005,0)=ROW()-5,N($X4803)+1,N($X4803)))</f>
        <v>0</v>
      </c>
      <c r="Z4804" t="str">
        <f t="shared" si="749"/>
        <v/>
      </c>
      <c r="AA4804">
        <f>IF($V4804="",N($AA4803),IF(MATCH($V4804,$V$6:$V$10005,0)=ROW()-5,N($AA4803)+1,N($AA4803)))</f>
        <v>0</v>
      </c>
    </row>
    <row r="4805" spans="1:27" ht="21" customHeight="1" x14ac:dyDescent="0.95">
      <c r="A4805" s="56"/>
      <c r="B4805" s="57"/>
      <c r="C4805" s="57"/>
      <c r="D4805" s="57"/>
      <c r="E4805" s="56"/>
      <c r="F4805" s="57"/>
      <c r="G4805" s="57"/>
      <c r="H4805" s="56"/>
      <c r="I4805" s="56"/>
      <c r="J4805" s="58"/>
      <c r="K4805" s="58"/>
      <c r="L4805" s="13" t="str">
        <f t="shared" si="740"/>
        <v/>
      </c>
      <c r="M4805" s="13" t="str">
        <f t="shared" si="741"/>
        <v/>
      </c>
      <c r="Q4805" t="str">
        <f t="shared" si="742"/>
        <v/>
      </c>
      <c r="R4805" t="str">
        <f t="shared" si="743"/>
        <v/>
      </c>
      <c r="S4805" t="str">
        <f t="shared" si="744"/>
        <v/>
      </c>
      <c r="T4805" t="str">
        <f t="shared" si="745"/>
        <v/>
      </c>
      <c r="U4805" t="str">
        <f t="shared" si="746"/>
        <v/>
      </c>
      <c r="V4805" t="str">
        <f t="shared" si="747"/>
        <v/>
      </c>
      <c r="W4805" t="str">
        <f t="shared" si="748"/>
        <v/>
      </c>
      <c r="X4805">
        <f>IF($T4805="",N($X4804),IF(MATCH($T4805,$T$6:$T$10005,0)=ROW()-5,N($X4804)+1,N($X4804)))</f>
        <v>0</v>
      </c>
      <c r="Z4805" t="str">
        <f t="shared" si="749"/>
        <v/>
      </c>
      <c r="AA4805">
        <f>IF($V4805="",N($AA4804),IF(MATCH($V4805,$V$6:$V$10005,0)=ROW()-5,N($AA4804)+1,N($AA4804)))</f>
        <v>0</v>
      </c>
    </row>
    <row r="4806" spans="1:27" ht="21" customHeight="1" x14ac:dyDescent="0.95">
      <c r="A4806" s="56"/>
      <c r="B4806" s="57"/>
      <c r="C4806" s="57"/>
      <c r="D4806" s="57"/>
      <c r="E4806" s="56"/>
      <c r="F4806" s="57"/>
      <c r="G4806" s="57"/>
      <c r="H4806" s="56"/>
      <c r="I4806" s="56"/>
      <c r="J4806" s="58"/>
      <c r="K4806" s="58"/>
      <c r="L4806" s="13" t="str">
        <f t="shared" ref="L4806:L4869" si="750">IF(OR($A4806="",AND($J4806="",$K4806="")),"",ROUND(N($J4806)-N($K4806),2))</f>
        <v/>
      </c>
      <c r="M4806" s="13" t="str">
        <f t="shared" ref="M4806:M4869" si="751">IF(OR($A4806="",AND($J4806="",$K4806="")),"",MIN($J4806,$K4806))</f>
        <v/>
      </c>
      <c r="Q4806" t="str">
        <f t="shared" ref="Q4806:Q4869" si="752">IF($A4806="","",$D4806&amp;"("&amp;SUBSTITUTE($E4806," ","")&amp;")")</f>
        <v/>
      </c>
      <c r="R4806" t="str">
        <f t="shared" ref="R4806:R4869" si="753">IF($A4806="","",$B4806&amp;" - "&amp;$C4806)</f>
        <v/>
      </c>
      <c r="S4806" t="str">
        <f t="shared" ref="S4806:S4869" si="754">IF($A4806="","",$R4806&amp;"|"&amp;$Q4806)</f>
        <v/>
      </c>
      <c r="T4806" t="str">
        <f t="shared" ref="T4806:T4869" si="755">IF($A4806="","",$S4806&amp;"|"&amp;$F4806)</f>
        <v/>
      </c>
      <c r="U4806" t="str">
        <f t="shared" ref="U4806:U4869" si="756">IF($A4806="","",$R4806&amp;"("&amp;$E4806&amp;")")</f>
        <v/>
      </c>
      <c r="V4806" t="str">
        <f t="shared" ref="V4806:V4869" si="757">IF($A4806="","",$F4806&amp;"|"&amp;$U4806&amp;"|"&amp;$D4806)</f>
        <v/>
      </c>
      <c r="W4806" t="str">
        <f t="shared" ref="W4806:W4869" si="758">IF($T4806="","",IF($X4806&gt;N($X4805),$X4806,""))</f>
        <v/>
      </c>
      <c r="X4806">
        <f>IF($T4806="",N($X4805),IF(MATCH($T4806,$T$6:$T$10005,0)=ROW()-5,N($X4805)+1,N($X4805)))</f>
        <v>0</v>
      </c>
      <c r="Z4806" t="str">
        <f t="shared" ref="Z4806:Z4869" si="759">IF($V4806="","",IF($AA4806&gt;N($AA4805),$AA4806,""))</f>
        <v/>
      </c>
      <c r="AA4806">
        <f>IF($V4806="",N($AA4805),IF(MATCH($V4806,$V$6:$V$10005,0)=ROW()-5,N($AA4805)+1,N($AA4805)))</f>
        <v>0</v>
      </c>
    </row>
    <row r="4807" spans="1:27" ht="21" customHeight="1" x14ac:dyDescent="0.95">
      <c r="A4807" s="56"/>
      <c r="B4807" s="57"/>
      <c r="C4807" s="57"/>
      <c r="D4807" s="57"/>
      <c r="E4807" s="56"/>
      <c r="F4807" s="57"/>
      <c r="G4807" s="57"/>
      <c r="H4807" s="56"/>
      <c r="I4807" s="56"/>
      <c r="J4807" s="58"/>
      <c r="K4807" s="58"/>
      <c r="L4807" s="13" t="str">
        <f t="shared" si="750"/>
        <v/>
      </c>
      <c r="M4807" s="13" t="str">
        <f t="shared" si="751"/>
        <v/>
      </c>
      <c r="Q4807" t="str">
        <f t="shared" si="752"/>
        <v/>
      </c>
      <c r="R4807" t="str">
        <f t="shared" si="753"/>
        <v/>
      </c>
      <c r="S4807" t="str">
        <f t="shared" si="754"/>
        <v/>
      </c>
      <c r="T4807" t="str">
        <f t="shared" si="755"/>
        <v/>
      </c>
      <c r="U4807" t="str">
        <f t="shared" si="756"/>
        <v/>
      </c>
      <c r="V4807" t="str">
        <f t="shared" si="757"/>
        <v/>
      </c>
      <c r="W4807" t="str">
        <f t="shared" si="758"/>
        <v/>
      </c>
      <c r="X4807">
        <f>IF($T4807="",N($X4806),IF(MATCH($T4807,$T$6:$T$10005,0)=ROW()-5,N($X4806)+1,N($X4806)))</f>
        <v>0</v>
      </c>
      <c r="Z4807" t="str">
        <f t="shared" si="759"/>
        <v/>
      </c>
      <c r="AA4807">
        <f>IF($V4807="",N($AA4806),IF(MATCH($V4807,$V$6:$V$10005,0)=ROW()-5,N($AA4806)+1,N($AA4806)))</f>
        <v>0</v>
      </c>
    </row>
    <row r="4808" spans="1:27" ht="21" customHeight="1" x14ac:dyDescent="0.95">
      <c r="A4808" s="56"/>
      <c r="B4808" s="57"/>
      <c r="C4808" s="57"/>
      <c r="D4808" s="57"/>
      <c r="E4808" s="56"/>
      <c r="F4808" s="57"/>
      <c r="G4808" s="57"/>
      <c r="H4808" s="56"/>
      <c r="I4808" s="56"/>
      <c r="J4808" s="58"/>
      <c r="K4808" s="58"/>
      <c r="L4808" s="13" t="str">
        <f t="shared" si="750"/>
        <v/>
      </c>
      <c r="M4808" s="13" t="str">
        <f t="shared" si="751"/>
        <v/>
      </c>
      <c r="Q4808" t="str">
        <f t="shared" si="752"/>
        <v/>
      </c>
      <c r="R4808" t="str">
        <f t="shared" si="753"/>
        <v/>
      </c>
      <c r="S4808" t="str">
        <f t="shared" si="754"/>
        <v/>
      </c>
      <c r="T4808" t="str">
        <f t="shared" si="755"/>
        <v/>
      </c>
      <c r="U4808" t="str">
        <f t="shared" si="756"/>
        <v/>
      </c>
      <c r="V4808" t="str">
        <f t="shared" si="757"/>
        <v/>
      </c>
      <c r="W4808" t="str">
        <f t="shared" si="758"/>
        <v/>
      </c>
      <c r="X4808">
        <f>IF($T4808="",N($X4807),IF(MATCH($T4808,$T$6:$T$10005,0)=ROW()-5,N($X4807)+1,N($X4807)))</f>
        <v>0</v>
      </c>
      <c r="Z4808" t="str">
        <f t="shared" si="759"/>
        <v/>
      </c>
      <c r="AA4808">
        <f>IF($V4808="",N($AA4807),IF(MATCH($V4808,$V$6:$V$10005,0)=ROW()-5,N($AA4807)+1,N($AA4807)))</f>
        <v>0</v>
      </c>
    </row>
    <row r="4809" spans="1:27" ht="21" customHeight="1" x14ac:dyDescent="0.95">
      <c r="A4809" s="56"/>
      <c r="B4809" s="57"/>
      <c r="C4809" s="57"/>
      <c r="D4809" s="57"/>
      <c r="E4809" s="56"/>
      <c r="F4809" s="57"/>
      <c r="G4809" s="57"/>
      <c r="H4809" s="56"/>
      <c r="I4809" s="56"/>
      <c r="J4809" s="58"/>
      <c r="K4809" s="58"/>
      <c r="L4809" s="13" t="str">
        <f t="shared" si="750"/>
        <v/>
      </c>
      <c r="M4809" s="13" t="str">
        <f t="shared" si="751"/>
        <v/>
      </c>
      <c r="Q4809" t="str">
        <f t="shared" si="752"/>
        <v/>
      </c>
      <c r="R4809" t="str">
        <f t="shared" si="753"/>
        <v/>
      </c>
      <c r="S4809" t="str">
        <f t="shared" si="754"/>
        <v/>
      </c>
      <c r="T4809" t="str">
        <f t="shared" si="755"/>
        <v/>
      </c>
      <c r="U4809" t="str">
        <f t="shared" si="756"/>
        <v/>
      </c>
      <c r="V4809" t="str">
        <f t="shared" si="757"/>
        <v/>
      </c>
      <c r="W4809" t="str">
        <f t="shared" si="758"/>
        <v/>
      </c>
      <c r="X4809">
        <f>IF($T4809="",N($X4808),IF(MATCH($T4809,$T$6:$T$10005,0)=ROW()-5,N($X4808)+1,N($X4808)))</f>
        <v>0</v>
      </c>
      <c r="Z4809" t="str">
        <f t="shared" si="759"/>
        <v/>
      </c>
      <c r="AA4809">
        <f>IF($V4809="",N($AA4808),IF(MATCH($V4809,$V$6:$V$10005,0)=ROW()-5,N($AA4808)+1,N($AA4808)))</f>
        <v>0</v>
      </c>
    </row>
    <row r="4810" spans="1:27" ht="21" customHeight="1" x14ac:dyDescent="0.95">
      <c r="A4810" s="56"/>
      <c r="B4810" s="57"/>
      <c r="C4810" s="57"/>
      <c r="D4810" s="57"/>
      <c r="E4810" s="56"/>
      <c r="F4810" s="57"/>
      <c r="G4810" s="57"/>
      <c r="H4810" s="56"/>
      <c r="I4810" s="56"/>
      <c r="J4810" s="58"/>
      <c r="K4810" s="58"/>
      <c r="L4810" s="13" t="str">
        <f t="shared" si="750"/>
        <v/>
      </c>
      <c r="M4810" s="13" t="str">
        <f t="shared" si="751"/>
        <v/>
      </c>
      <c r="Q4810" t="str">
        <f t="shared" si="752"/>
        <v/>
      </c>
      <c r="R4810" t="str">
        <f t="shared" si="753"/>
        <v/>
      </c>
      <c r="S4810" t="str">
        <f t="shared" si="754"/>
        <v/>
      </c>
      <c r="T4810" t="str">
        <f t="shared" si="755"/>
        <v/>
      </c>
      <c r="U4810" t="str">
        <f t="shared" si="756"/>
        <v/>
      </c>
      <c r="V4810" t="str">
        <f t="shared" si="757"/>
        <v/>
      </c>
      <c r="W4810" t="str">
        <f t="shared" si="758"/>
        <v/>
      </c>
      <c r="X4810">
        <f>IF($T4810="",N($X4809),IF(MATCH($T4810,$T$6:$T$10005,0)=ROW()-5,N($X4809)+1,N($X4809)))</f>
        <v>0</v>
      </c>
      <c r="Z4810" t="str">
        <f t="shared" si="759"/>
        <v/>
      </c>
      <c r="AA4810">
        <f>IF($V4810="",N($AA4809),IF(MATCH($V4810,$V$6:$V$10005,0)=ROW()-5,N($AA4809)+1,N($AA4809)))</f>
        <v>0</v>
      </c>
    </row>
    <row r="4811" spans="1:27" ht="21" customHeight="1" x14ac:dyDescent="0.95">
      <c r="A4811" s="56"/>
      <c r="B4811" s="57"/>
      <c r="C4811" s="57"/>
      <c r="D4811" s="57"/>
      <c r="E4811" s="56"/>
      <c r="F4811" s="57"/>
      <c r="G4811" s="57"/>
      <c r="H4811" s="56"/>
      <c r="I4811" s="56"/>
      <c r="J4811" s="58"/>
      <c r="K4811" s="58"/>
      <c r="L4811" s="13" t="str">
        <f t="shared" si="750"/>
        <v/>
      </c>
      <c r="M4811" s="13" t="str">
        <f t="shared" si="751"/>
        <v/>
      </c>
      <c r="Q4811" t="str">
        <f t="shared" si="752"/>
        <v/>
      </c>
      <c r="R4811" t="str">
        <f t="shared" si="753"/>
        <v/>
      </c>
      <c r="S4811" t="str">
        <f t="shared" si="754"/>
        <v/>
      </c>
      <c r="T4811" t="str">
        <f t="shared" si="755"/>
        <v/>
      </c>
      <c r="U4811" t="str">
        <f t="shared" si="756"/>
        <v/>
      </c>
      <c r="V4811" t="str">
        <f t="shared" si="757"/>
        <v/>
      </c>
      <c r="W4811" t="str">
        <f t="shared" si="758"/>
        <v/>
      </c>
      <c r="X4811">
        <f>IF($T4811="",N($X4810),IF(MATCH($T4811,$T$6:$T$10005,0)=ROW()-5,N($X4810)+1,N($X4810)))</f>
        <v>0</v>
      </c>
      <c r="Z4811" t="str">
        <f t="shared" si="759"/>
        <v/>
      </c>
      <c r="AA4811">
        <f>IF($V4811="",N($AA4810),IF(MATCH($V4811,$V$6:$V$10005,0)=ROW()-5,N($AA4810)+1,N($AA4810)))</f>
        <v>0</v>
      </c>
    </row>
    <row r="4812" spans="1:27" ht="21" customHeight="1" x14ac:dyDescent="0.95">
      <c r="A4812" s="56"/>
      <c r="B4812" s="57"/>
      <c r="C4812" s="57"/>
      <c r="D4812" s="57"/>
      <c r="E4812" s="56"/>
      <c r="F4812" s="57"/>
      <c r="G4812" s="57"/>
      <c r="H4812" s="56"/>
      <c r="I4812" s="56"/>
      <c r="J4812" s="58"/>
      <c r="K4812" s="58"/>
      <c r="L4812" s="13" t="str">
        <f t="shared" si="750"/>
        <v/>
      </c>
      <c r="M4812" s="13" t="str">
        <f t="shared" si="751"/>
        <v/>
      </c>
      <c r="Q4812" t="str">
        <f t="shared" si="752"/>
        <v/>
      </c>
      <c r="R4812" t="str">
        <f t="shared" si="753"/>
        <v/>
      </c>
      <c r="S4812" t="str">
        <f t="shared" si="754"/>
        <v/>
      </c>
      <c r="T4812" t="str">
        <f t="shared" si="755"/>
        <v/>
      </c>
      <c r="U4812" t="str">
        <f t="shared" si="756"/>
        <v/>
      </c>
      <c r="V4812" t="str">
        <f t="shared" si="757"/>
        <v/>
      </c>
      <c r="W4812" t="str">
        <f t="shared" si="758"/>
        <v/>
      </c>
      <c r="X4812">
        <f>IF($T4812="",N($X4811),IF(MATCH($T4812,$T$6:$T$10005,0)=ROW()-5,N($X4811)+1,N($X4811)))</f>
        <v>0</v>
      </c>
      <c r="Z4812" t="str">
        <f t="shared" si="759"/>
        <v/>
      </c>
      <c r="AA4812">
        <f>IF($V4812="",N($AA4811),IF(MATCH($V4812,$V$6:$V$10005,0)=ROW()-5,N($AA4811)+1,N($AA4811)))</f>
        <v>0</v>
      </c>
    </row>
    <row r="4813" spans="1:27" ht="21" customHeight="1" x14ac:dyDescent="0.95">
      <c r="A4813" s="56"/>
      <c r="B4813" s="57"/>
      <c r="C4813" s="57"/>
      <c r="D4813" s="57"/>
      <c r="E4813" s="56"/>
      <c r="F4813" s="57"/>
      <c r="G4813" s="57"/>
      <c r="H4813" s="56"/>
      <c r="I4813" s="56"/>
      <c r="J4813" s="58"/>
      <c r="K4813" s="58"/>
      <c r="L4813" s="13" t="str">
        <f t="shared" si="750"/>
        <v/>
      </c>
      <c r="M4813" s="13" t="str">
        <f t="shared" si="751"/>
        <v/>
      </c>
      <c r="Q4813" t="str">
        <f t="shared" si="752"/>
        <v/>
      </c>
      <c r="R4813" t="str">
        <f t="shared" si="753"/>
        <v/>
      </c>
      <c r="S4813" t="str">
        <f t="shared" si="754"/>
        <v/>
      </c>
      <c r="T4813" t="str">
        <f t="shared" si="755"/>
        <v/>
      </c>
      <c r="U4813" t="str">
        <f t="shared" si="756"/>
        <v/>
      </c>
      <c r="V4813" t="str">
        <f t="shared" si="757"/>
        <v/>
      </c>
      <c r="W4813" t="str">
        <f t="shared" si="758"/>
        <v/>
      </c>
      <c r="X4813">
        <f>IF($T4813="",N($X4812),IF(MATCH($T4813,$T$6:$T$10005,0)=ROW()-5,N($X4812)+1,N($X4812)))</f>
        <v>0</v>
      </c>
      <c r="Z4813" t="str">
        <f t="shared" si="759"/>
        <v/>
      </c>
      <c r="AA4813">
        <f>IF($V4813="",N($AA4812),IF(MATCH($V4813,$V$6:$V$10005,0)=ROW()-5,N($AA4812)+1,N($AA4812)))</f>
        <v>0</v>
      </c>
    </row>
    <row r="4814" spans="1:27" ht="21" customHeight="1" x14ac:dyDescent="0.95">
      <c r="A4814" s="56"/>
      <c r="B4814" s="57"/>
      <c r="C4814" s="57"/>
      <c r="D4814" s="57"/>
      <c r="E4814" s="56"/>
      <c r="F4814" s="57"/>
      <c r="G4814" s="57"/>
      <c r="H4814" s="56"/>
      <c r="I4814" s="56"/>
      <c r="J4814" s="58"/>
      <c r="K4814" s="58"/>
      <c r="L4814" s="13" t="str">
        <f t="shared" si="750"/>
        <v/>
      </c>
      <c r="M4814" s="13" t="str">
        <f t="shared" si="751"/>
        <v/>
      </c>
      <c r="Q4814" t="str">
        <f t="shared" si="752"/>
        <v/>
      </c>
      <c r="R4814" t="str">
        <f t="shared" si="753"/>
        <v/>
      </c>
      <c r="S4814" t="str">
        <f t="shared" si="754"/>
        <v/>
      </c>
      <c r="T4814" t="str">
        <f t="shared" si="755"/>
        <v/>
      </c>
      <c r="U4814" t="str">
        <f t="shared" si="756"/>
        <v/>
      </c>
      <c r="V4814" t="str">
        <f t="shared" si="757"/>
        <v/>
      </c>
      <c r="W4814" t="str">
        <f t="shared" si="758"/>
        <v/>
      </c>
      <c r="X4814">
        <f>IF($T4814="",N($X4813),IF(MATCH($T4814,$T$6:$T$10005,0)=ROW()-5,N($X4813)+1,N($X4813)))</f>
        <v>0</v>
      </c>
      <c r="Z4814" t="str">
        <f t="shared" si="759"/>
        <v/>
      </c>
      <c r="AA4814">
        <f>IF($V4814="",N($AA4813),IF(MATCH($V4814,$V$6:$V$10005,0)=ROW()-5,N($AA4813)+1,N($AA4813)))</f>
        <v>0</v>
      </c>
    </row>
    <row r="4815" spans="1:27" ht="21" customHeight="1" x14ac:dyDescent="0.95">
      <c r="A4815" s="56"/>
      <c r="B4815" s="57"/>
      <c r="C4815" s="57"/>
      <c r="D4815" s="57"/>
      <c r="E4815" s="56"/>
      <c r="F4815" s="57"/>
      <c r="G4815" s="57"/>
      <c r="H4815" s="56"/>
      <c r="I4815" s="56"/>
      <c r="J4815" s="58"/>
      <c r="K4815" s="58"/>
      <c r="L4815" s="13" t="str">
        <f t="shared" si="750"/>
        <v/>
      </c>
      <c r="M4815" s="13" t="str">
        <f t="shared" si="751"/>
        <v/>
      </c>
      <c r="Q4815" t="str">
        <f t="shared" si="752"/>
        <v/>
      </c>
      <c r="R4815" t="str">
        <f t="shared" si="753"/>
        <v/>
      </c>
      <c r="S4815" t="str">
        <f t="shared" si="754"/>
        <v/>
      </c>
      <c r="T4815" t="str">
        <f t="shared" si="755"/>
        <v/>
      </c>
      <c r="U4815" t="str">
        <f t="shared" si="756"/>
        <v/>
      </c>
      <c r="V4815" t="str">
        <f t="shared" si="757"/>
        <v/>
      </c>
      <c r="W4815" t="str">
        <f t="shared" si="758"/>
        <v/>
      </c>
      <c r="X4815">
        <f>IF($T4815="",N($X4814),IF(MATCH($T4815,$T$6:$T$10005,0)=ROW()-5,N($X4814)+1,N($X4814)))</f>
        <v>0</v>
      </c>
      <c r="Z4815" t="str">
        <f t="shared" si="759"/>
        <v/>
      </c>
      <c r="AA4815">
        <f>IF($V4815="",N($AA4814),IF(MATCH($V4815,$V$6:$V$10005,0)=ROW()-5,N($AA4814)+1,N($AA4814)))</f>
        <v>0</v>
      </c>
    </row>
    <row r="4816" spans="1:27" ht="21" customHeight="1" x14ac:dyDescent="0.95">
      <c r="A4816" s="56"/>
      <c r="B4816" s="57"/>
      <c r="C4816" s="57"/>
      <c r="D4816" s="57"/>
      <c r="E4816" s="56"/>
      <c r="F4816" s="57"/>
      <c r="G4816" s="57"/>
      <c r="H4816" s="56"/>
      <c r="I4816" s="56"/>
      <c r="J4816" s="58"/>
      <c r="K4816" s="58"/>
      <c r="L4816" s="13" t="str">
        <f t="shared" si="750"/>
        <v/>
      </c>
      <c r="M4816" s="13" t="str">
        <f t="shared" si="751"/>
        <v/>
      </c>
      <c r="Q4816" t="str">
        <f t="shared" si="752"/>
        <v/>
      </c>
      <c r="R4816" t="str">
        <f t="shared" si="753"/>
        <v/>
      </c>
      <c r="S4816" t="str">
        <f t="shared" si="754"/>
        <v/>
      </c>
      <c r="T4816" t="str">
        <f t="shared" si="755"/>
        <v/>
      </c>
      <c r="U4816" t="str">
        <f t="shared" si="756"/>
        <v/>
      </c>
      <c r="V4816" t="str">
        <f t="shared" si="757"/>
        <v/>
      </c>
      <c r="W4816" t="str">
        <f t="shared" si="758"/>
        <v/>
      </c>
      <c r="X4816">
        <f>IF($T4816="",N($X4815),IF(MATCH($T4816,$T$6:$T$10005,0)=ROW()-5,N($X4815)+1,N($X4815)))</f>
        <v>0</v>
      </c>
      <c r="Z4816" t="str">
        <f t="shared" si="759"/>
        <v/>
      </c>
      <c r="AA4816">
        <f>IF($V4816="",N($AA4815),IF(MATCH($V4816,$V$6:$V$10005,0)=ROW()-5,N($AA4815)+1,N($AA4815)))</f>
        <v>0</v>
      </c>
    </row>
    <row r="4817" spans="1:27" ht="21" customHeight="1" x14ac:dyDescent="0.95">
      <c r="A4817" s="56"/>
      <c r="B4817" s="57"/>
      <c r="C4817" s="57"/>
      <c r="D4817" s="57"/>
      <c r="E4817" s="56"/>
      <c r="F4817" s="57"/>
      <c r="G4817" s="57"/>
      <c r="H4817" s="56"/>
      <c r="I4817" s="56"/>
      <c r="J4817" s="58"/>
      <c r="K4817" s="58"/>
      <c r="L4817" s="13" t="str">
        <f t="shared" si="750"/>
        <v/>
      </c>
      <c r="M4817" s="13" t="str">
        <f t="shared" si="751"/>
        <v/>
      </c>
      <c r="Q4817" t="str">
        <f t="shared" si="752"/>
        <v/>
      </c>
      <c r="R4817" t="str">
        <f t="shared" si="753"/>
        <v/>
      </c>
      <c r="S4817" t="str">
        <f t="shared" si="754"/>
        <v/>
      </c>
      <c r="T4817" t="str">
        <f t="shared" si="755"/>
        <v/>
      </c>
      <c r="U4817" t="str">
        <f t="shared" si="756"/>
        <v/>
      </c>
      <c r="V4817" t="str">
        <f t="shared" si="757"/>
        <v/>
      </c>
      <c r="W4817" t="str">
        <f t="shared" si="758"/>
        <v/>
      </c>
      <c r="X4817">
        <f>IF($T4817="",N($X4816),IF(MATCH($T4817,$T$6:$T$10005,0)=ROW()-5,N($X4816)+1,N($X4816)))</f>
        <v>0</v>
      </c>
      <c r="Z4817" t="str">
        <f t="shared" si="759"/>
        <v/>
      </c>
      <c r="AA4817">
        <f>IF($V4817="",N($AA4816),IF(MATCH($V4817,$V$6:$V$10005,0)=ROW()-5,N($AA4816)+1,N($AA4816)))</f>
        <v>0</v>
      </c>
    </row>
    <row r="4818" spans="1:27" ht="21" customHeight="1" x14ac:dyDescent="0.95">
      <c r="A4818" s="56"/>
      <c r="B4818" s="57"/>
      <c r="C4818" s="57"/>
      <c r="D4818" s="57"/>
      <c r="E4818" s="56"/>
      <c r="F4818" s="57"/>
      <c r="G4818" s="57"/>
      <c r="H4818" s="56"/>
      <c r="I4818" s="56"/>
      <c r="J4818" s="58"/>
      <c r="K4818" s="58"/>
      <c r="L4818" s="13" t="str">
        <f t="shared" si="750"/>
        <v/>
      </c>
      <c r="M4818" s="13" t="str">
        <f t="shared" si="751"/>
        <v/>
      </c>
      <c r="Q4818" t="str">
        <f t="shared" si="752"/>
        <v/>
      </c>
      <c r="R4818" t="str">
        <f t="shared" si="753"/>
        <v/>
      </c>
      <c r="S4818" t="str">
        <f t="shared" si="754"/>
        <v/>
      </c>
      <c r="T4818" t="str">
        <f t="shared" si="755"/>
        <v/>
      </c>
      <c r="U4818" t="str">
        <f t="shared" si="756"/>
        <v/>
      </c>
      <c r="V4818" t="str">
        <f t="shared" si="757"/>
        <v/>
      </c>
      <c r="W4818" t="str">
        <f t="shared" si="758"/>
        <v/>
      </c>
      <c r="X4818">
        <f>IF($T4818="",N($X4817),IF(MATCH($T4818,$T$6:$T$10005,0)=ROW()-5,N($X4817)+1,N($X4817)))</f>
        <v>0</v>
      </c>
      <c r="Z4818" t="str">
        <f t="shared" si="759"/>
        <v/>
      </c>
      <c r="AA4818">
        <f>IF($V4818="",N($AA4817),IF(MATCH($V4818,$V$6:$V$10005,0)=ROW()-5,N($AA4817)+1,N($AA4817)))</f>
        <v>0</v>
      </c>
    </row>
    <row r="4819" spans="1:27" ht="21" customHeight="1" x14ac:dyDescent="0.95">
      <c r="A4819" s="56"/>
      <c r="B4819" s="57"/>
      <c r="C4819" s="57"/>
      <c r="D4819" s="57"/>
      <c r="E4819" s="56"/>
      <c r="F4819" s="57"/>
      <c r="G4819" s="57"/>
      <c r="H4819" s="56"/>
      <c r="I4819" s="56"/>
      <c r="J4819" s="58"/>
      <c r="K4819" s="58"/>
      <c r="L4819" s="13" t="str">
        <f t="shared" si="750"/>
        <v/>
      </c>
      <c r="M4819" s="13" t="str">
        <f t="shared" si="751"/>
        <v/>
      </c>
      <c r="Q4819" t="str">
        <f t="shared" si="752"/>
        <v/>
      </c>
      <c r="R4819" t="str">
        <f t="shared" si="753"/>
        <v/>
      </c>
      <c r="S4819" t="str">
        <f t="shared" si="754"/>
        <v/>
      </c>
      <c r="T4819" t="str">
        <f t="shared" si="755"/>
        <v/>
      </c>
      <c r="U4819" t="str">
        <f t="shared" si="756"/>
        <v/>
      </c>
      <c r="V4819" t="str">
        <f t="shared" si="757"/>
        <v/>
      </c>
      <c r="W4819" t="str">
        <f t="shared" si="758"/>
        <v/>
      </c>
      <c r="X4819">
        <f>IF($T4819="",N($X4818),IF(MATCH($T4819,$T$6:$T$10005,0)=ROW()-5,N($X4818)+1,N($X4818)))</f>
        <v>0</v>
      </c>
      <c r="Z4819" t="str">
        <f t="shared" si="759"/>
        <v/>
      </c>
      <c r="AA4819">
        <f>IF($V4819="",N($AA4818),IF(MATCH($V4819,$V$6:$V$10005,0)=ROW()-5,N($AA4818)+1,N($AA4818)))</f>
        <v>0</v>
      </c>
    </row>
    <row r="4820" spans="1:27" ht="21" customHeight="1" x14ac:dyDescent="0.95">
      <c r="A4820" s="56"/>
      <c r="B4820" s="57"/>
      <c r="C4820" s="57"/>
      <c r="D4820" s="57"/>
      <c r="E4820" s="56"/>
      <c r="F4820" s="57"/>
      <c r="G4820" s="57"/>
      <c r="H4820" s="56"/>
      <c r="I4820" s="56"/>
      <c r="J4820" s="58"/>
      <c r="K4820" s="58"/>
      <c r="L4820" s="13" t="str">
        <f t="shared" si="750"/>
        <v/>
      </c>
      <c r="M4820" s="13" t="str">
        <f t="shared" si="751"/>
        <v/>
      </c>
      <c r="Q4820" t="str">
        <f t="shared" si="752"/>
        <v/>
      </c>
      <c r="R4820" t="str">
        <f t="shared" si="753"/>
        <v/>
      </c>
      <c r="S4820" t="str">
        <f t="shared" si="754"/>
        <v/>
      </c>
      <c r="T4820" t="str">
        <f t="shared" si="755"/>
        <v/>
      </c>
      <c r="U4820" t="str">
        <f t="shared" si="756"/>
        <v/>
      </c>
      <c r="V4820" t="str">
        <f t="shared" si="757"/>
        <v/>
      </c>
      <c r="W4820" t="str">
        <f t="shared" si="758"/>
        <v/>
      </c>
      <c r="X4820">
        <f>IF($T4820="",N($X4819),IF(MATCH($T4820,$T$6:$T$10005,0)=ROW()-5,N($X4819)+1,N($X4819)))</f>
        <v>0</v>
      </c>
      <c r="Z4820" t="str">
        <f t="shared" si="759"/>
        <v/>
      </c>
      <c r="AA4820">
        <f>IF($V4820="",N($AA4819),IF(MATCH($V4820,$V$6:$V$10005,0)=ROW()-5,N($AA4819)+1,N($AA4819)))</f>
        <v>0</v>
      </c>
    </row>
    <row r="4821" spans="1:27" ht="21" customHeight="1" x14ac:dyDescent="0.95">
      <c r="A4821" s="56"/>
      <c r="B4821" s="57"/>
      <c r="C4821" s="57"/>
      <c r="D4821" s="57"/>
      <c r="E4821" s="56"/>
      <c r="F4821" s="57"/>
      <c r="G4821" s="57"/>
      <c r="H4821" s="56"/>
      <c r="I4821" s="56"/>
      <c r="J4821" s="58"/>
      <c r="K4821" s="58"/>
      <c r="L4821" s="13" t="str">
        <f t="shared" si="750"/>
        <v/>
      </c>
      <c r="M4821" s="13" t="str">
        <f t="shared" si="751"/>
        <v/>
      </c>
      <c r="Q4821" t="str">
        <f t="shared" si="752"/>
        <v/>
      </c>
      <c r="R4821" t="str">
        <f t="shared" si="753"/>
        <v/>
      </c>
      <c r="S4821" t="str">
        <f t="shared" si="754"/>
        <v/>
      </c>
      <c r="T4821" t="str">
        <f t="shared" si="755"/>
        <v/>
      </c>
      <c r="U4821" t="str">
        <f t="shared" si="756"/>
        <v/>
      </c>
      <c r="V4821" t="str">
        <f t="shared" si="757"/>
        <v/>
      </c>
      <c r="W4821" t="str">
        <f t="shared" si="758"/>
        <v/>
      </c>
      <c r="X4821">
        <f>IF($T4821="",N($X4820),IF(MATCH($T4821,$T$6:$T$10005,0)=ROW()-5,N($X4820)+1,N($X4820)))</f>
        <v>0</v>
      </c>
      <c r="Z4821" t="str">
        <f t="shared" si="759"/>
        <v/>
      </c>
      <c r="AA4821">
        <f>IF($V4821="",N($AA4820),IF(MATCH($V4821,$V$6:$V$10005,0)=ROW()-5,N($AA4820)+1,N($AA4820)))</f>
        <v>0</v>
      </c>
    </row>
    <row r="4822" spans="1:27" ht="21" customHeight="1" x14ac:dyDescent="0.95">
      <c r="A4822" s="56"/>
      <c r="B4822" s="57"/>
      <c r="C4822" s="57"/>
      <c r="D4822" s="57"/>
      <c r="E4822" s="56"/>
      <c r="F4822" s="57"/>
      <c r="G4822" s="57"/>
      <c r="H4822" s="56"/>
      <c r="I4822" s="56"/>
      <c r="J4822" s="58"/>
      <c r="K4822" s="58"/>
      <c r="L4822" s="13" t="str">
        <f t="shared" si="750"/>
        <v/>
      </c>
      <c r="M4822" s="13" t="str">
        <f t="shared" si="751"/>
        <v/>
      </c>
      <c r="Q4822" t="str">
        <f t="shared" si="752"/>
        <v/>
      </c>
      <c r="R4822" t="str">
        <f t="shared" si="753"/>
        <v/>
      </c>
      <c r="S4822" t="str">
        <f t="shared" si="754"/>
        <v/>
      </c>
      <c r="T4822" t="str">
        <f t="shared" si="755"/>
        <v/>
      </c>
      <c r="U4822" t="str">
        <f t="shared" si="756"/>
        <v/>
      </c>
      <c r="V4822" t="str">
        <f t="shared" si="757"/>
        <v/>
      </c>
      <c r="W4822" t="str">
        <f t="shared" si="758"/>
        <v/>
      </c>
      <c r="X4822">
        <f>IF($T4822="",N($X4821),IF(MATCH($T4822,$T$6:$T$10005,0)=ROW()-5,N($X4821)+1,N($X4821)))</f>
        <v>0</v>
      </c>
      <c r="Z4822" t="str">
        <f t="shared" si="759"/>
        <v/>
      </c>
      <c r="AA4822">
        <f>IF($V4822="",N($AA4821),IF(MATCH($V4822,$V$6:$V$10005,0)=ROW()-5,N($AA4821)+1,N($AA4821)))</f>
        <v>0</v>
      </c>
    </row>
    <row r="4823" spans="1:27" ht="21" customHeight="1" x14ac:dyDescent="0.95">
      <c r="A4823" s="56"/>
      <c r="B4823" s="57"/>
      <c r="C4823" s="57"/>
      <c r="D4823" s="57"/>
      <c r="E4823" s="56"/>
      <c r="F4823" s="57"/>
      <c r="G4823" s="57"/>
      <c r="H4823" s="56"/>
      <c r="I4823" s="56"/>
      <c r="J4823" s="58"/>
      <c r="K4823" s="58"/>
      <c r="L4823" s="13" t="str">
        <f t="shared" si="750"/>
        <v/>
      </c>
      <c r="M4823" s="13" t="str">
        <f t="shared" si="751"/>
        <v/>
      </c>
      <c r="Q4823" t="str">
        <f t="shared" si="752"/>
        <v/>
      </c>
      <c r="R4823" t="str">
        <f t="shared" si="753"/>
        <v/>
      </c>
      <c r="S4823" t="str">
        <f t="shared" si="754"/>
        <v/>
      </c>
      <c r="T4823" t="str">
        <f t="shared" si="755"/>
        <v/>
      </c>
      <c r="U4823" t="str">
        <f t="shared" si="756"/>
        <v/>
      </c>
      <c r="V4823" t="str">
        <f t="shared" si="757"/>
        <v/>
      </c>
      <c r="W4823" t="str">
        <f t="shared" si="758"/>
        <v/>
      </c>
      <c r="X4823">
        <f>IF($T4823="",N($X4822),IF(MATCH($T4823,$T$6:$T$10005,0)=ROW()-5,N($X4822)+1,N($X4822)))</f>
        <v>0</v>
      </c>
      <c r="Z4823" t="str">
        <f t="shared" si="759"/>
        <v/>
      </c>
      <c r="AA4823">
        <f>IF($V4823="",N($AA4822),IF(MATCH($V4823,$V$6:$V$10005,0)=ROW()-5,N($AA4822)+1,N($AA4822)))</f>
        <v>0</v>
      </c>
    </row>
    <row r="4824" spans="1:27" ht="21" customHeight="1" x14ac:dyDescent="0.95">
      <c r="A4824" s="56"/>
      <c r="B4824" s="57"/>
      <c r="C4824" s="57"/>
      <c r="D4824" s="57"/>
      <c r="E4824" s="56"/>
      <c r="F4824" s="57"/>
      <c r="G4824" s="57"/>
      <c r="H4824" s="56"/>
      <c r="I4824" s="56"/>
      <c r="J4824" s="58"/>
      <c r="K4824" s="58"/>
      <c r="L4824" s="13" t="str">
        <f t="shared" si="750"/>
        <v/>
      </c>
      <c r="M4824" s="13" t="str">
        <f t="shared" si="751"/>
        <v/>
      </c>
      <c r="Q4824" t="str">
        <f t="shared" si="752"/>
        <v/>
      </c>
      <c r="R4824" t="str">
        <f t="shared" si="753"/>
        <v/>
      </c>
      <c r="S4824" t="str">
        <f t="shared" si="754"/>
        <v/>
      </c>
      <c r="T4824" t="str">
        <f t="shared" si="755"/>
        <v/>
      </c>
      <c r="U4824" t="str">
        <f t="shared" si="756"/>
        <v/>
      </c>
      <c r="V4824" t="str">
        <f t="shared" si="757"/>
        <v/>
      </c>
      <c r="W4824" t="str">
        <f t="shared" si="758"/>
        <v/>
      </c>
      <c r="X4824">
        <f>IF($T4824="",N($X4823),IF(MATCH($T4824,$T$6:$T$10005,0)=ROW()-5,N($X4823)+1,N($X4823)))</f>
        <v>0</v>
      </c>
      <c r="Z4824" t="str">
        <f t="shared" si="759"/>
        <v/>
      </c>
      <c r="AA4824">
        <f>IF($V4824="",N($AA4823),IF(MATCH($V4824,$V$6:$V$10005,0)=ROW()-5,N($AA4823)+1,N($AA4823)))</f>
        <v>0</v>
      </c>
    </row>
    <row r="4825" spans="1:27" ht="21" customHeight="1" x14ac:dyDescent="0.95">
      <c r="A4825" s="56"/>
      <c r="B4825" s="57"/>
      <c r="C4825" s="57"/>
      <c r="D4825" s="57"/>
      <c r="E4825" s="56"/>
      <c r="F4825" s="57"/>
      <c r="G4825" s="57"/>
      <c r="H4825" s="56"/>
      <c r="I4825" s="56"/>
      <c r="J4825" s="58"/>
      <c r="K4825" s="58"/>
      <c r="L4825" s="13" t="str">
        <f t="shared" si="750"/>
        <v/>
      </c>
      <c r="M4825" s="13" t="str">
        <f t="shared" si="751"/>
        <v/>
      </c>
      <c r="Q4825" t="str">
        <f t="shared" si="752"/>
        <v/>
      </c>
      <c r="R4825" t="str">
        <f t="shared" si="753"/>
        <v/>
      </c>
      <c r="S4825" t="str">
        <f t="shared" si="754"/>
        <v/>
      </c>
      <c r="T4825" t="str">
        <f t="shared" si="755"/>
        <v/>
      </c>
      <c r="U4825" t="str">
        <f t="shared" si="756"/>
        <v/>
      </c>
      <c r="V4825" t="str">
        <f t="shared" si="757"/>
        <v/>
      </c>
      <c r="W4825" t="str">
        <f t="shared" si="758"/>
        <v/>
      </c>
      <c r="X4825">
        <f>IF($T4825="",N($X4824),IF(MATCH($T4825,$T$6:$T$10005,0)=ROW()-5,N($X4824)+1,N($X4824)))</f>
        <v>0</v>
      </c>
      <c r="Z4825" t="str">
        <f t="shared" si="759"/>
        <v/>
      </c>
      <c r="AA4825">
        <f>IF($V4825="",N($AA4824),IF(MATCH($V4825,$V$6:$V$10005,0)=ROW()-5,N($AA4824)+1,N($AA4824)))</f>
        <v>0</v>
      </c>
    </row>
    <row r="4826" spans="1:27" ht="21" customHeight="1" x14ac:dyDescent="0.95">
      <c r="A4826" s="56"/>
      <c r="B4826" s="57"/>
      <c r="C4826" s="57"/>
      <c r="D4826" s="57"/>
      <c r="E4826" s="56"/>
      <c r="F4826" s="57"/>
      <c r="G4826" s="57"/>
      <c r="H4826" s="56"/>
      <c r="I4826" s="56"/>
      <c r="J4826" s="58"/>
      <c r="K4826" s="58"/>
      <c r="L4826" s="13" t="str">
        <f t="shared" si="750"/>
        <v/>
      </c>
      <c r="M4826" s="13" t="str">
        <f t="shared" si="751"/>
        <v/>
      </c>
      <c r="Q4826" t="str">
        <f t="shared" si="752"/>
        <v/>
      </c>
      <c r="R4826" t="str">
        <f t="shared" si="753"/>
        <v/>
      </c>
      <c r="S4826" t="str">
        <f t="shared" si="754"/>
        <v/>
      </c>
      <c r="T4826" t="str">
        <f t="shared" si="755"/>
        <v/>
      </c>
      <c r="U4826" t="str">
        <f t="shared" si="756"/>
        <v/>
      </c>
      <c r="V4826" t="str">
        <f t="shared" si="757"/>
        <v/>
      </c>
      <c r="W4826" t="str">
        <f t="shared" si="758"/>
        <v/>
      </c>
      <c r="X4826">
        <f>IF($T4826="",N($X4825),IF(MATCH($T4826,$T$6:$T$10005,0)=ROW()-5,N($X4825)+1,N($X4825)))</f>
        <v>0</v>
      </c>
      <c r="Z4826" t="str">
        <f t="shared" si="759"/>
        <v/>
      </c>
      <c r="AA4826">
        <f>IF($V4826="",N($AA4825),IF(MATCH($V4826,$V$6:$V$10005,0)=ROW()-5,N($AA4825)+1,N($AA4825)))</f>
        <v>0</v>
      </c>
    </row>
    <row r="4827" spans="1:27" ht="21" customHeight="1" x14ac:dyDescent="0.95">
      <c r="A4827" s="56"/>
      <c r="B4827" s="57"/>
      <c r="C4827" s="57"/>
      <c r="D4827" s="57"/>
      <c r="E4827" s="56"/>
      <c r="F4827" s="57"/>
      <c r="G4827" s="57"/>
      <c r="H4827" s="56"/>
      <c r="I4827" s="56"/>
      <c r="J4827" s="58"/>
      <c r="K4827" s="58"/>
      <c r="L4827" s="13" t="str">
        <f t="shared" si="750"/>
        <v/>
      </c>
      <c r="M4827" s="13" t="str">
        <f t="shared" si="751"/>
        <v/>
      </c>
      <c r="Q4827" t="str">
        <f t="shared" si="752"/>
        <v/>
      </c>
      <c r="R4827" t="str">
        <f t="shared" si="753"/>
        <v/>
      </c>
      <c r="S4827" t="str">
        <f t="shared" si="754"/>
        <v/>
      </c>
      <c r="T4827" t="str">
        <f t="shared" si="755"/>
        <v/>
      </c>
      <c r="U4827" t="str">
        <f t="shared" si="756"/>
        <v/>
      </c>
      <c r="V4827" t="str">
        <f t="shared" si="757"/>
        <v/>
      </c>
      <c r="W4827" t="str">
        <f t="shared" si="758"/>
        <v/>
      </c>
      <c r="X4827">
        <f>IF($T4827="",N($X4826),IF(MATCH($T4827,$T$6:$T$10005,0)=ROW()-5,N($X4826)+1,N($X4826)))</f>
        <v>0</v>
      </c>
      <c r="Z4827" t="str">
        <f t="shared" si="759"/>
        <v/>
      </c>
      <c r="AA4827">
        <f>IF($V4827="",N($AA4826),IF(MATCH($V4827,$V$6:$V$10005,0)=ROW()-5,N($AA4826)+1,N($AA4826)))</f>
        <v>0</v>
      </c>
    </row>
    <row r="4828" spans="1:27" ht="21" customHeight="1" x14ac:dyDescent="0.95">
      <c r="A4828" s="56"/>
      <c r="B4828" s="57"/>
      <c r="C4828" s="57"/>
      <c r="D4828" s="57"/>
      <c r="E4828" s="56"/>
      <c r="F4828" s="57"/>
      <c r="G4828" s="57"/>
      <c r="H4828" s="56"/>
      <c r="I4828" s="56"/>
      <c r="J4828" s="58"/>
      <c r="K4828" s="58"/>
      <c r="L4828" s="13" t="str">
        <f t="shared" si="750"/>
        <v/>
      </c>
      <c r="M4828" s="13" t="str">
        <f t="shared" si="751"/>
        <v/>
      </c>
      <c r="Q4828" t="str">
        <f t="shared" si="752"/>
        <v/>
      </c>
      <c r="R4828" t="str">
        <f t="shared" si="753"/>
        <v/>
      </c>
      <c r="S4828" t="str">
        <f t="shared" si="754"/>
        <v/>
      </c>
      <c r="T4828" t="str">
        <f t="shared" si="755"/>
        <v/>
      </c>
      <c r="U4828" t="str">
        <f t="shared" si="756"/>
        <v/>
      </c>
      <c r="V4828" t="str">
        <f t="shared" si="757"/>
        <v/>
      </c>
      <c r="W4828" t="str">
        <f t="shared" si="758"/>
        <v/>
      </c>
      <c r="X4828">
        <f>IF($T4828="",N($X4827),IF(MATCH($T4828,$T$6:$T$10005,0)=ROW()-5,N($X4827)+1,N($X4827)))</f>
        <v>0</v>
      </c>
      <c r="Z4828" t="str">
        <f t="shared" si="759"/>
        <v/>
      </c>
      <c r="AA4828">
        <f>IF($V4828="",N($AA4827),IF(MATCH($V4828,$V$6:$V$10005,0)=ROW()-5,N($AA4827)+1,N($AA4827)))</f>
        <v>0</v>
      </c>
    </row>
    <row r="4829" spans="1:27" ht="21" customHeight="1" x14ac:dyDescent="0.95">
      <c r="A4829" s="56"/>
      <c r="B4829" s="57"/>
      <c r="C4829" s="57"/>
      <c r="D4829" s="57"/>
      <c r="E4829" s="56"/>
      <c r="F4829" s="57"/>
      <c r="G4829" s="57"/>
      <c r="H4829" s="56"/>
      <c r="I4829" s="56"/>
      <c r="J4829" s="58"/>
      <c r="K4829" s="58"/>
      <c r="L4829" s="13" t="str">
        <f t="shared" si="750"/>
        <v/>
      </c>
      <c r="M4829" s="13" t="str">
        <f t="shared" si="751"/>
        <v/>
      </c>
      <c r="Q4829" t="str">
        <f t="shared" si="752"/>
        <v/>
      </c>
      <c r="R4829" t="str">
        <f t="shared" si="753"/>
        <v/>
      </c>
      <c r="S4829" t="str">
        <f t="shared" si="754"/>
        <v/>
      </c>
      <c r="T4829" t="str">
        <f t="shared" si="755"/>
        <v/>
      </c>
      <c r="U4829" t="str">
        <f t="shared" si="756"/>
        <v/>
      </c>
      <c r="V4829" t="str">
        <f t="shared" si="757"/>
        <v/>
      </c>
      <c r="W4829" t="str">
        <f t="shared" si="758"/>
        <v/>
      </c>
      <c r="X4829">
        <f>IF($T4829="",N($X4828),IF(MATCH($T4829,$T$6:$T$10005,0)=ROW()-5,N($X4828)+1,N($X4828)))</f>
        <v>0</v>
      </c>
      <c r="Z4829" t="str">
        <f t="shared" si="759"/>
        <v/>
      </c>
      <c r="AA4829">
        <f>IF($V4829="",N($AA4828),IF(MATCH($V4829,$V$6:$V$10005,0)=ROW()-5,N($AA4828)+1,N($AA4828)))</f>
        <v>0</v>
      </c>
    </row>
    <row r="4830" spans="1:27" ht="21" customHeight="1" x14ac:dyDescent="0.95">
      <c r="A4830" s="56"/>
      <c r="B4830" s="57"/>
      <c r="C4830" s="57"/>
      <c r="D4830" s="57"/>
      <c r="E4830" s="56"/>
      <c r="F4830" s="57"/>
      <c r="G4830" s="57"/>
      <c r="H4830" s="56"/>
      <c r="I4830" s="56"/>
      <c r="J4830" s="58"/>
      <c r="K4830" s="58"/>
      <c r="L4830" s="13" t="str">
        <f t="shared" si="750"/>
        <v/>
      </c>
      <c r="M4830" s="13" t="str">
        <f t="shared" si="751"/>
        <v/>
      </c>
      <c r="Q4830" t="str">
        <f t="shared" si="752"/>
        <v/>
      </c>
      <c r="R4830" t="str">
        <f t="shared" si="753"/>
        <v/>
      </c>
      <c r="S4830" t="str">
        <f t="shared" si="754"/>
        <v/>
      </c>
      <c r="T4830" t="str">
        <f t="shared" si="755"/>
        <v/>
      </c>
      <c r="U4830" t="str">
        <f t="shared" si="756"/>
        <v/>
      </c>
      <c r="V4830" t="str">
        <f t="shared" si="757"/>
        <v/>
      </c>
      <c r="W4830" t="str">
        <f t="shared" si="758"/>
        <v/>
      </c>
      <c r="X4830">
        <f>IF($T4830="",N($X4829),IF(MATCH($T4830,$T$6:$T$10005,0)=ROW()-5,N($X4829)+1,N($X4829)))</f>
        <v>0</v>
      </c>
      <c r="Z4830" t="str">
        <f t="shared" si="759"/>
        <v/>
      </c>
      <c r="AA4830">
        <f>IF($V4830="",N($AA4829),IF(MATCH($V4830,$V$6:$V$10005,0)=ROW()-5,N($AA4829)+1,N($AA4829)))</f>
        <v>0</v>
      </c>
    </row>
    <row r="4831" spans="1:27" ht="21" customHeight="1" x14ac:dyDescent="0.95">
      <c r="A4831" s="56"/>
      <c r="B4831" s="57"/>
      <c r="C4831" s="57"/>
      <c r="D4831" s="57"/>
      <c r="E4831" s="56"/>
      <c r="F4831" s="57"/>
      <c r="G4831" s="57"/>
      <c r="H4831" s="56"/>
      <c r="I4831" s="56"/>
      <c r="J4831" s="58"/>
      <c r="K4831" s="58"/>
      <c r="L4831" s="13" t="str">
        <f t="shared" si="750"/>
        <v/>
      </c>
      <c r="M4831" s="13" t="str">
        <f t="shared" si="751"/>
        <v/>
      </c>
      <c r="Q4831" t="str">
        <f t="shared" si="752"/>
        <v/>
      </c>
      <c r="R4831" t="str">
        <f t="shared" si="753"/>
        <v/>
      </c>
      <c r="S4831" t="str">
        <f t="shared" si="754"/>
        <v/>
      </c>
      <c r="T4831" t="str">
        <f t="shared" si="755"/>
        <v/>
      </c>
      <c r="U4831" t="str">
        <f t="shared" si="756"/>
        <v/>
      </c>
      <c r="V4831" t="str">
        <f t="shared" si="757"/>
        <v/>
      </c>
      <c r="W4831" t="str">
        <f t="shared" si="758"/>
        <v/>
      </c>
      <c r="X4831">
        <f>IF($T4831="",N($X4830),IF(MATCH($T4831,$T$6:$T$10005,0)=ROW()-5,N($X4830)+1,N($X4830)))</f>
        <v>0</v>
      </c>
      <c r="Z4831" t="str">
        <f t="shared" si="759"/>
        <v/>
      </c>
      <c r="AA4831">
        <f>IF($V4831="",N($AA4830),IF(MATCH($V4831,$V$6:$V$10005,0)=ROW()-5,N($AA4830)+1,N($AA4830)))</f>
        <v>0</v>
      </c>
    </row>
    <row r="4832" spans="1:27" ht="21" customHeight="1" x14ac:dyDescent="0.95">
      <c r="A4832" s="56"/>
      <c r="B4832" s="57"/>
      <c r="C4832" s="57"/>
      <c r="D4832" s="57"/>
      <c r="E4832" s="56"/>
      <c r="F4832" s="57"/>
      <c r="G4832" s="57"/>
      <c r="H4832" s="56"/>
      <c r="I4832" s="56"/>
      <c r="J4832" s="58"/>
      <c r="K4832" s="58"/>
      <c r="L4832" s="13" t="str">
        <f t="shared" si="750"/>
        <v/>
      </c>
      <c r="M4832" s="13" t="str">
        <f t="shared" si="751"/>
        <v/>
      </c>
      <c r="Q4832" t="str">
        <f t="shared" si="752"/>
        <v/>
      </c>
      <c r="R4832" t="str">
        <f t="shared" si="753"/>
        <v/>
      </c>
      <c r="S4832" t="str">
        <f t="shared" si="754"/>
        <v/>
      </c>
      <c r="T4832" t="str">
        <f t="shared" si="755"/>
        <v/>
      </c>
      <c r="U4832" t="str">
        <f t="shared" si="756"/>
        <v/>
      </c>
      <c r="V4832" t="str">
        <f t="shared" si="757"/>
        <v/>
      </c>
      <c r="W4832" t="str">
        <f t="shared" si="758"/>
        <v/>
      </c>
      <c r="X4832">
        <f>IF($T4832="",N($X4831),IF(MATCH($T4832,$T$6:$T$10005,0)=ROW()-5,N($X4831)+1,N($X4831)))</f>
        <v>0</v>
      </c>
      <c r="Z4832" t="str">
        <f t="shared" si="759"/>
        <v/>
      </c>
      <c r="AA4832">
        <f>IF($V4832="",N($AA4831),IF(MATCH($V4832,$V$6:$V$10005,0)=ROW()-5,N($AA4831)+1,N($AA4831)))</f>
        <v>0</v>
      </c>
    </row>
    <row r="4833" spans="1:27" ht="21" customHeight="1" x14ac:dyDescent="0.95">
      <c r="A4833" s="56"/>
      <c r="B4833" s="57"/>
      <c r="C4833" s="57"/>
      <c r="D4833" s="57"/>
      <c r="E4833" s="56"/>
      <c r="F4833" s="57"/>
      <c r="G4833" s="57"/>
      <c r="H4833" s="56"/>
      <c r="I4833" s="56"/>
      <c r="J4833" s="58"/>
      <c r="K4833" s="58"/>
      <c r="L4833" s="13" t="str">
        <f t="shared" si="750"/>
        <v/>
      </c>
      <c r="M4833" s="13" t="str">
        <f t="shared" si="751"/>
        <v/>
      </c>
      <c r="Q4833" t="str">
        <f t="shared" si="752"/>
        <v/>
      </c>
      <c r="R4833" t="str">
        <f t="shared" si="753"/>
        <v/>
      </c>
      <c r="S4833" t="str">
        <f t="shared" si="754"/>
        <v/>
      </c>
      <c r="T4833" t="str">
        <f t="shared" si="755"/>
        <v/>
      </c>
      <c r="U4833" t="str">
        <f t="shared" si="756"/>
        <v/>
      </c>
      <c r="V4833" t="str">
        <f t="shared" si="757"/>
        <v/>
      </c>
      <c r="W4833" t="str">
        <f t="shared" si="758"/>
        <v/>
      </c>
      <c r="X4833">
        <f>IF($T4833="",N($X4832),IF(MATCH($T4833,$T$6:$T$10005,0)=ROW()-5,N($X4832)+1,N($X4832)))</f>
        <v>0</v>
      </c>
      <c r="Z4833" t="str">
        <f t="shared" si="759"/>
        <v/>
      </c>
      <c r="AA4833">
        <f>IF($V4833="",N($AA4832),IF(MATCH($V4833,$V$6:$V$10005,0)=ROW()-5,N($AA4832)+1,N($AA4832)))</f>
        <v>0</v>
      </c>
    </row>
    <row r="4834" spans="1:27" ht="21" customHeight="1" x14ac:dyDescent="0.95">
      <c r="A4834" s="56"/>
      <c r="B4834" s="57"/>
      <c r="C4834" s="57"/>
      <c r="D4834" s="57"/>
      <c r="E4834" s="56"/>
      <c r="F4834" s="57"/>
      <c r="G4834" s="57"/>
      <c r="H4834" s="56"/>
      <c r="I4834" s="56"/>
      <c r="J4834" s="58"/>
      <c r="K4834" s="58"/>
      <c r="L4834" s="13" t="str">
        <f t="shared" si="750"/>
        <v/>
      </c>
      <c r="M4834" s="13" t="str">
        <f t="shared" si="751"/>
        <v/>
      </c>
      <c r="Q4834" t="str">
        <f t="shared" si="752"/>
        <v/>
      </c>
      <c r="R4834" t="str">
        <f t="shared" si="753"/>
        <v/>
      </c>
      <c r="S4834" t="str">
        <f t="shared" si="754"/>
        <v/>
      </c>
      <c r="T4834" t="str">
        <f t="shared" si="755"/>
        <v/>
      </c>
      <c r="U4834" t="str">
        <f t="shared" si="756"/>
        <v/>
      </c>
      <c r="V4834" t="str">
        <f t="shared" si="757"/>
        <v/>
      </c>
      <c r="W4834" t="str">
        <f t="shared" si="758"/>
        <v/>
      </c>
      <c r="X4834">
        <f>IF($T4834="",N($X4833),IF(MATCH($T4834,$T$6:$T$10005,0)=ROW()-5,N($X4833)+1,N($X4833)))</f>
        <v>0</v>
      </c>
      <c r="Z4834" t="str">
        <f t="shared" si="759"/>
        <v/>
      </c>
      <c r="AA4834">
        <f>IF($V4834="",N($AA4833),IF(MATCH($V4834,$V$6:$V$10005,0)=ROW()-5,N($AA4833)+1,N($AA4833)))</f>
        <v>0</v>
      </c>
    </row>
    <row r="4835" spans="1:27" ht="21" customHeight="1" x14ac:dyDescent="0.95">
      <c r="A4835" s="56"/>
      <c r="B4835" s="57"/>
      <c r="C4835" s="57"/>
      <c r="D4835" s="57"/>
      <c r="E4835" s="56"/>
      <c r="F4835" s="57"/>
      <c r="G4835" s="57"/>
      <c r="H4835" s="56"/>
      <c r="I4835" s="56"/>
      <c r="J4835" s="58"/>
      <c r="K4835" s="58"/>
      <c r="L4835" s="13" t="str">
        <f t="shared" si="750"/>
        <v/>
      </c>
      <c r="M4835" s="13" t="str">
        <f t="shared" si="751"/>
        <v/>
      </c>
      <c r="Q4835" t="str">
        <f t="shared" si="752"/>
        <v/>
      </c>
      <c r="R4835" t="str">
        <f t="shared" si="753"/>
        <v/>
      </c>
      <c r="S4835" t="str">
        <f t="shared" si="754"/>
        <v/>
      </c>
      <c r="T4835" t="str">
        <f t="shared" si="755"/>
        <v/>
      </c>
      <c r="U4835" t="str">
        <f t="shared" si="756"/>
        <v/>
      </c>
      <c r="V4835" t="str">
        <f t="shared" si="757"/>
        <v/>
      </c>
      <c r="W4835" t="str">
        <f t="shared" si="758"/>
        <v/>
      </c>
      <c r="X4835">
        <f>IF($T4835="",N($X4834),IF(MATCH($T4835,$T$6:$T$10005,0)=ROW()-5,N($X4834)+1,N($X4834)))</f>
        <v>0</v>
      </c>
      <c r="Z4835" t="str">
        <f t="shared" si="759"/>
        <v/>
      </c>
      <c r="AA4835">
        <f>IF($V4835="",N($AA4834),IF(MATCH($V4835,$V$6:$V$10005,0)=ROW()-5,N($AA4834)+1,N($AA4834)))</f>
        <v>0</v>
      </c>
    </row>
    <row r="4836" spans="1:27" ht="21" customHeight="1" x14ac:dyDescent="0.95">
      <c r="A4836" s="56"/>
      <c r="B4836" s="57"/>
      <c r="C4836" s="57"/>
      <c r="D4836" s="57"/>
      <c r="E4836" s="56"/>
      <c r="F4836" s="57"/>
      <c r="G4836" s="57"/>
      <c r="H4836" s="56"/>
      <c r="I4836" s="56"/>
      <c r="J4836" s="58"/>
      <c r="K4836" s="58"/>
      <c r="L4836" s="13" t="str">
        <f t="shared" si="750"/>
        <v/>
      </c>
      <c r="M4836" s="13" t="str">
        <f t="shared" si="751"/>
        <v/>
      </c>
      <c r="Q4836" t="str">
        <f t="shared" si="752"/>
        <v/>
      </c>
      <c r="R4836" t="str">
        <f t="shared" si="753"/>
        <v/>
      </c>
      <c r="S4836" t="str">
        <f t="shared" si="754"/>
        <v/>
      </c>
      <c r="T4836" t="str">
        <f t="shared" si="755"/>
        <v/>
      </c>
      <c r="U4836" t="str">
        <f t="shared" si="756"/>
        <v/>
      </c>
      <c r="V4836" t="str">
        <f t="shared" si="757"/>
        <v/>
      </c>
      <c r="W4836" t="str">
        <f t="shared" si="758"/>
        <v/>
      </c>
      <c r="X4836">
        <f>IF($T4836="",N($X4835),IF(MATCH($T4836,$T$6:$T$10005,0)=ROW()-5,N($X4835)+1,N($X4835)))</f>
        <v>0</v>
      </c>
      <c r="Z4836" t="str">
        <f t="shared" si="759"/>
        <v/>
      </c>
      <c r="AA4836">
        <f>IF($V4836="",N($AA4835),IF(MATCH($V4836,$V$6:$V$10005,0)=ROW()-5,N($AA4835)+1,N($AA4835)))</f>
        <v>0</v>
      </c>
    </row>
    <row r="4837" spans="1:27" ht="21" customHeight="1" x14ac:dyDescent="0.95">
      <c r="A4837" s="56"/>
      <c r="B4837" s="57"/>
      <c r="C4837" s="57"/>
      <c r="D4837" s="57"/>
      <c r="E4837" s="56"/>
      <c r="F4837" s="57"/>
      <c r="G4837" s="57"/>
      <c r="H4837" s="56"/>
      <c r="I4837" s="56"/>
      <c r="J4837" s="58"/>
      <c r="K4837" s="58"/>
      <c r="L4837" s="13" t="str">
        <f t="shared" si="750"/>
        <v/>
      </c>
      <c r="M4837" s="13" t="str">
        <f t="shared" si="751"/>
        <v/>
      </c>
      <c r="Q4837" t="str">
        <f t="shared" si="752"/>
        <v/>
      </c>
      <c r="R4837" t="str">
        <f t="shared" si="753"/>
        <v/>
      </c>
      <c r="S4837" t="str">
        <f t="shared" si="754"/>
        <v/>
      </c>
      <c r="T4837" t="str">
        <f t="shared" si="755"/>
        <v/>
      </c>
      <c r="U4837" t="str">
        <f t="shared" si="756"/>
        <v/>
      </c>
      <c r="V4837" t="str">
        <f t="shared" si="757"/>
        <v/>
      </c>
      <c r="W4837" t="str">
        <f t="shared" si="758"/>
        <v/>
      </c>
      <c r="X4837">
        <f>IF($T4837="",N($X4836),IF(MATCH($T4837,$T$6:$T$10005,0)=ROW()-5,N($X4836)+1,N($X4836)))</f>
        <v>0</v>
      </c>
      <c r="Z4837" t="str">
        <f t="shared" si="759"/>
        <v/>
      </c>
      <c r="AA4837">
        <f>IF($V4837="",N($AA4836),IF(MATCH($V4837,$V$6:$V$10005,0)=ROW()-5,N($AA4836)+1,N($AA4836)))</f>
        <v>0</v>
      </c>
    </row>
    <row r="4838" spans="1:27" ht="21" customHeight="1" x14ac:dyDescent="0.95">
      <c r="A4838" s="56"/>
      <c r="B4838" s="57"/>
      <c r="C4838" s="57"/>
      <c r="D4838" s="57"/>
      <c r="E4838" s="56"/>
      <c r="F4838" s="57"/>
      <c r="G4838" s="57"/>
      <c r="H4838" s="56"/>
      <c r="I4838" s="56"/>
      <c r="J4838" s="58"/>
      <c r="K4838" s="58"/>
      <c r="L4838" s="13" t="str">
        <f t="shared" si="750"/>
        <v/>
      </c>
      <c r="M4838" s="13" t="str">
        <f t="shared" si="751"/>
        <v/>
      </c>
      <c r="Q4838" t="str">
        <f t="shared" si="752"/>
        <v/>
      </c>
      <c r="R4838" t="str">
        <f t="shared" si="753"/>
        <v/>
      </c>
      <c r="S4838" t="str">
        <f t="shared" si="754"/>
        <v/>
      </c>
      <c r="T4838" t="str">
        <f t="shared" si="755"/>
        <v/>
      </c>
      <c r="U4838" t="str">
        <f t="shared" si="756"/>
        <v/>
      </c>
      <c r="V4838" t="str">
        <f t="shared" si="757"/>
        <v/>
      </c>
      <c r="W4838" t="str">
        <f t="shared" si="758"/>
        <v/>
      </c>
      <c r="X4838">
        <f>IF($T4838="",N($X4837),IF(MATCH($T4838,$T$6:$T$10005,0)=ROW()-5,N($X4837)+1,N($X4837)))</f>
        <v>0</v>
      </c>
      <c r="Z4838" t="str">
        <f t="shared" si="759"/>
        <v/>
      </c>
      <c r="AA4838">
        <f>IF($V4838="",N($AA4837),IF(MATCH($V4838,$V$6:$V$10005,0)=ROW()-5,N($AA4837)+1,N($AA4837)))</f>
        <v>0</v>
      </c>
    </row>
    <row r="4839" spans="1:27" ht="21" customHeight="1" x14ac:dyDescent="0.95">
      <c r="A4839" s="56"/>
      <c r="B4839" s="57"/>
      <c r="C4839" s="57"/>
      <c r="D4839" s="57"/>
      <c r="E4839" s="56"/>
      <c r="F4839" s="57"/>
      <c r="G4839" s="57"/>
      <c r="H4839" s="56"/>
      <c r="I4839" s="56"/>
      <c r="J4839" s="58"/>
      <c r="K4839" s="58"/>
      <c r="L4839" s="13" t="str">
        <f t="shared" si="750"/>
        <v/>
      </c>
      <c r="M4839" s="13" t="str">
        <f t="shared" si="751"/>
        <v/>
      </c>
      <c r="Q4839" t="str">
        <f t="shared" si="752"/>
        <v/>
      </c>
      <c r="R4839" t="str">
        <f t="shared" si="753"/>
        <v/>
      </c>
      <c r="S4839" t="str">
        <f t="shared" si="754"/>
        <v/>
      </c>
      <c r="T4839" t="str">
        <f t="shared" si="755"/>
        <v/>
      </c>
      <c r="U4839" t="str">
        <f t="shared" si="756"/>
        <v/>
      </c>
      <c r="V4839" t="str">
        <f t="shared" si="757"/>
        <v/>
      </c>
      <c r="W4839" t="str">
        <f t="shared" si="758"/>
        <v/>
      </c>
      <c r="X4839">
        <f>IF($T4839="",N($X4838),IF(MATCH($T4839,$T$6:$T$10005,0)=ROW()-5,N($X4838)+1,N($X4838)))</f>
        <v>0</v>
      </c>
      <c r="Z4839" t="str">
        <f t="shared" si="759"/>
        <v/>
      </c>
      <c r="AA4839">
        <f>IF($V4839="",N($AA4838),IF(MATCH($V4839,$V$6:$V$10005,0)=ROW()-5,N($AA4838)+1,N($AA4838)))</f>
        <v>0</v>
      </c>
    </row>
    <row r="4840" spans="1:27" ht="21" customHeight="1" x14ac:dyDescent="0.95">
      <c r="A4840" s="56"/>
      <c r="B4840" s="57"/>
      <c r="C4840" s="57"/>
      <c r="D4840" s="57"/>
      <c r="E4840" s="56"/>
      <c r="F4840" s="57"/>
      <c r="G4840" s="57"/>
      <c r="H4840" s="56"/>
      <c r="I4840" s="56"/>
      <c r="J4840" s="58"/>
      <c r="K4840" s="58"/>
      <c r="L4840" s="13" t="str">
        <f t="shared" si="750"/>
        <v/>
      </c>
      <c r="M4840" s="13" t="str">
        <f t="shared" si="751"/>
        <v/>
      </c>
      <c r="Q4840" t="str">
        <f t="shared" si="752"/>
        <v/>
      </c>
      <c r="R4840" t="str">
        <f t="shared" si="753"/>
        <v/>
      </c>
      <c r="S4840" t="str">
        <f t="shared" si="754"/>
        <v/>
      </c>
      <c r="T4840" t="str">
        <f t="shared" si="755"/>
        <v/>
      </c>
      <c r="U4840" t="str">
        <f t="shared" si="756"/>
        <v/>
      </c>
      <c r="V4840" t="str">
        <f t="shared" si="757"/>
        <v/>
      </c>
      <c r="W4840" t="str">
        <f t="shared" si="758"/>
        <v/>
      </c>
      <c r="X4840">
        <f>IF($T4840="",N($X4839),IF(MATCH($T4840,$T$6:$T$10005,0)=ROW()-5,N($X4839)+1,N($X4839)))</f>
        <v>0</v>
      </c>
      <c r="Z4840" t="str">
        <f t="shared" si="759"/>
        <v/>
      </c>
      <c r="AA4840">
        <f>IF($V4840="",N($AA4839),IF(MATCH($V4840,$V$6:$V$10005,0)=ROW()-5,N($AA4839)+1,N($AA4839)))</f>
        <v>0</v>
      </c>
    </row>
    <row r="4841" spans="1:27" ht="21" customHeight="1" x14ac:dyDescent="0.95">
      <c r="A4841" s="56"/>
      <c r="B4841" s="57"/>
      <c r="C4841" s="57"/>
      <c r="D4841" s="57"/>
      <c r="E4841" s="56"/>
      <c r="F4841" s="57"/>
      <c r="G4841" s="57"/>
      <c r="H4841" s="56"/>
      <c r="I4841" s="56"/>
      <c r="J4841" s="58"/>
      <c r="K4841" s="58"/>
      <c r="L4841" s="13" t="str">
        <f t="shared" si="750"/>
        <v/>
      </c>
      <c r="M4841" s="13" t="str">
        <f t="shared" si="751"/>
        <v/>
      </c>
      <c r="Q4841" t="str">
        <f t="shared" si="752"/>
        <v/>
      </c>
      <c r="R4841" t="str">
        <f t="shared" si="753"/>
        <v/>
      </c>
      <c r="S4841" t="str">
        <f t="shared" si="754"/>
        <v/>
      </c>
      <c r="T4841" t="str">
        <f t="shared" si="755"/>
        <v/>
      </c>
      <c r="U4841" t="str">
        <f t="shared" si="756"/>
        <v/>
      </c>
      <c r="V4841" t="str">
        <f t="shared" si="757"/>
        <v/>
      </c>
      <c r="W4841" t="str">
        <f t="shared" si="758"/>
        <v/>
      </c>
      <c r="X4841">
        <f>IF($T4841="",N($X4840),IF(MATCH($T4841,$T$6:$T$10005,0)=ROW()-5,N($X4840)+1,N($X4840)))</f>
        <v>0</v>
      </c>
      <c r="Z4841" t="str">
        <f t="shared" si="759"/>
        <v/>
      </c>
      <c r="AA4841">
        <f>IF($V4841="",N($AA4840),IF(MATCH($V4841,$V$6:$V$10005,0)=ROW()-5,N($AA4840)+1,N($AA4840)))</f>
        <v>0</v>
      </c>
    </row>
    <row r="4842" spans="1:27" ht="21" customHeight="1" x14ac:dyDescent="0.95">
      <c r="A4842" s="56"/>
      <c r="B4842" s="57"/>
      <c r="C4842" s="57"/>
      <c r="D4842" s="57"/>
      <c r="E4842" s="56"/>
      <c r="F4842" s="57"/>
      <c r="G4842" s="57"/>
      <c r="H4842" s="56"/>
      <c r="I4842" s="56"/>
      <c r="J4842" s="58"/>
      <c r="K4842" s="58"/>
      <c r="L4842" s="13" t="str">
        <f t="shared" si="750"/>
        <v/>
      </c>
      <c r="M4842" s="13" t="str">
        <f t="shared" si="751"/>
        <v/>
      </c>
      <c r="Q4842" t="str">
        <f t="shared" si="752"/>
        <v/>
      </c>
      <c r="R4842" t="str">
        <f t="shared" si="753"/>
        <v/>
      </c>
      <c r="S4842" t="str">
        <f t="shared" si="754"/>
        <v/>
      </c>
      <c r="T4842" t="str">
        <f t="shared" si="755"/>
        <v/>
      </c>
      <c r="U4842" t="str">
        <f t="shared" si="756"/>
        <v/>
      </c>
      <c r="V4842" t="str">
        <f t="shared" si="757"/>
        <v/>
      </c>
      <c r="W4842" t="str">
        <f t="shared" si="758"/>
        <v/>
      </c>
      <c r="X4842">
        <f>IF($T4842="",N($X4841),IF(MATCH($T4842,$T$6:$T$10005,0)=ROW()-5,N($X4841)+1,N($X4841)))</f>
        <v>0</v>
      </c>
      <c r="Z4842" t="str">
        <f t="shared" si="759"/>
        <v/>
      </c>
      <c r="AA4842">
        <f>IF($V4842="",N($AA4841),IF(MATCH($V4842,$V$6:$V$10005,0)=ROW()-5,N($AA4841)+1,N($AA4841)))</f>
        <v>0</v>
      </c>
    </row>
    <row r="4843" spans="1:27" ht="21" customHeight="1" x14ac:dyDescent="0.95">
      <c r="A4843" s="56"/>
      <c r="B4843" s="57"/>
      <c r="C4843" s="57"/>
      <c r="D4843" s="57"/>
      <c r="E4843" s="56"/>
      <c r="F4843" s="57"/>
      <c r="G4843" s="57"/>
      <c r="H4843" s="56"/>
      <c r="I4843" s="56"/>
      <c r="J4843" s="58"/>
      <c r="K4843" s="58"/>
      <c r="L4843" s="13" t="str">
        <f t="shared" si="750"/>
        <v/>
      </c>
      <c r="M4843" s="13" t="str">
        <f t="shared" si="751"/>
        <v/>
      </c>
      <c r="Q4843" t="str">
        <f t="shared" si="752"/>
        <v/>
      </c>
      <c r="R4843" t="str">
        <f t="shared" si="753"/>
        <v/>
      </c>
      <c r="S4843" t="str">
        <f t="shared" si="754"/>
        <v/>
      </c>
      <c r="T4843" t="str">
        <f t="shared" si="755"/>
        <v/>
      </c>
      <c r="U4843" t="str">
        <f t="shared" si="756"/>
        <v/>
      </c>
      <c r="V4843" t="str">
        <f t="shared" si="757"/>
        <v/>
      </c>
      <c r="W4843" t="str">
        <f t="shared" si="758"/>
        <v/>
      </c>
      <c r="X4843">
        <f>IF($T4843="",N($X4842),IF(MATCH($T4843,$T$6:$T$10005,0)=ROW()-5,N($X4842)+1,N($X4842)))</f>
        <v>0</v>
      </c>
      <c r="Z4843" t="str">
        <f t="shared" si="759"/>
        <v/>
      </c>
      <c r="AA4843">
        <f>IF($V4843="",N($AA4842),IF(MATCH($V4843,$V$6:$V$10005,0)=ROW()-5,N($AA4842)+1,N($AA4842)))</f>
        <v>0</v>
      </c>
    </row>
    <row r="4844" spans="1:27" ht="21" customHeight="1" x14ac:dyDescent="0.95">
      <c r="A4844" s="56"/>
      <c r="B4844" s="57"/>
      <c r="C4844" s="57"/>
      <c r="D4844" s="57"/>
      <c r="E4844" s="56"/>
      <c r="F4844" s="57"/>
      <c r="G4844" s="57"/>
      <c r="H4844" s="56"/>
      <c r="I4844" s="56"/>
      <c r="J4844" s="58"/>
      <c r="K4844" s="58"/>
      <c r="L4844" s="13" t="str">
        <f t="shared" si="750"/>
        <v/>
      </c>
      <c r="M4844" s="13" t="str">
        <f t="shared" si="751"/>
        <v/>
      </c>
      <c r="Q4844" t="str">
        <f t="shared" si="752"/>
        <v/>
      </c>
      <c r="R4844" t="str">
        <f t="shared" si="753"/>
        <v/>
      </c>
      <c r="S4844" t="str">
        <f t="shared" si="754"/>
        <v/>
      </c>
      <c r="T4844" t="str">
        <f t="shared" si="755"/>
        <v/>
      </c>
      <c r="U4844" t="str">
        <f t="shared" si="756"/>
        <v/>
      </c>
      <c r="V4844" t="str">
        <f t="shared" si="757"/>
        <v/>
      </c>
      <c r="W4844" t="str">
        <f t="shared" si="758"/>
        <v/>
      </c>
      <c r="X4844">
        <f>IF($T4844="",N($X4843),IF(MATCH($T4844,$T$6:$T$10005,0)=ROW()-5,N($X4843)+1,N($X4843)))</f>
        <v>0</v>
      </c>
      <c r="Z4844" t="str">
        <f t="shared" si="759"/>
        <v/>
      </c>
      <c r="AA4844">
        <f>IF($V4844="",N($AA4843),IF(MATCH($V4844,$V$6:$V$10005,0)=ROW()-5,N($AA4843)+1,N($AA4843)))</f>
        <v>0</v>
      </c>
    </row>
    <row r="4845" spans="1:27" ht="21" customHeight="1" x14ac:dyDescent="0.95">
      <c r="A4845" s="56"/>
      <c r="B4845" s="57"/>
      <c r="C4845" s="57"/>
      <c r="D4845" s="57"/>
      <c r="E4845" s="56"/>
      <c r="F4845" s="57"/>
      <c r="G4845" s="57"/>
      <c r="H4845" s="56"/>
      <c r="I4845" s="56"/>
      <c r="J4845" s="58"/>
      <c r="K4845" s="58"/>
      <c r="L4845" s="13" t="str">
        <f t="shared" si="750"/>
        <v/>
      </c>
      <c r="M4845" s="13" t="str">
        <f t="shared" si="751"/>
        <v/>
      </c>
      <c r="Q4845" t="str">
        <f t="shared" si="752"/>
        <v/>
      </c>
      <c r="R4845" t="str">
        <f t="shared" si="753"/>
        <v/>
      </c>
      <c r="S4845" t="str">
        <f t="shared" si="754"/>
        <v/>
      </c>
      <c r="T4845" t="str">
        <f t="shared" si="755"/>
        <v/>
      </c>
      <c r="U4845" t="str">
        <f t="shared" si="756"/>
        <v/>
      </c>
      <c r="V4845" t="str">
        <f t="shared" si="757"/>
        <v/>
      </c>
      <c r="W4845" t="str">
        <f t="shared" si="758"/>
        <v/>
      </c>
      <c r="X4845">
        <f>IF($T4845="",N($X4844),IF(MATCH($T4845,$T$6:$T$10005,0)=ROW()-5,N($X4844)+1,N($X4844)))</f>
        <v>0</v>
      </c>
      <c r="Z4845" t="str">
        <f t="shared" si="759"/>
        <v/>
      </c>
      <c r="AA4845">
        <f>IF($V4845="",N($AA4844),IF(MATCH($V4845,$V$6:$V$10005,0)=ROW()-5,N($AA4844)+1,N($AA4844)))</f>
        <v>0</v>
      </c>
    </row>
    <row r="4846" spans="1:27" ht="21" customHeight="1" x14ac:dyDescent="0.95">
      <c r="A4846" s="56"/>
      <c r="B4846" s="57"/>
      <c r="C4846" s="57"/>
      <c r="D4846" s="57"/>
      <c r="E4846" s="56"/>
      <c r="F4846" s="57"/>
      <c r="G4846" s="57"/>
      <c r="H4846" s="56"/>
      <c r="I4846" s="56"/>
      <c r="J4846" s="58"/>
      <c r="K4846" s="58"/>
      <c r="L4846" s="13" t="str">
        <f t="shared" si="750"/>
        <v/>
      </c>
      <c r="M4846" s="13" t="str">
        <f t="shared" si="751"/>
        <v/>
      </c>
      <c r="Q4846" t="str">
        <f t="shared" si="752"/>
        <v/>
      </c>
      <c r="R4846" t="str">
        <f t="shared" si="753"/>
        <v/>
      </c>
      <c r="S4846" t="str">
        <f t="shared" si="754"/>
        <v/>
      </c>
      <c r="T4846" t="str">
        <f t="shared" si="755"/>
        <v/>
      </c>
      <c r="U4846" t="str">
        <f t="shared" si="756"/>
        <v/>
      </c>
      <c r="V4846" t="str">
        <f t="shared" si="757"/>
        <v/>
      </c>
      <c r="W4846" t="str">
        <f t="shared" si="758"/>
        <v/>
      </c>
      <c r="X4846">
        <f>IF($T4846="",N($X4845),IF(MATCH($T4846,$T$6:$T$10005,0)=ROW()-5,N($X4845)+1,N($X4845)))</f>
        <v>0</v>
      </c>
      <c r="Z4846" t="str">
        <f t="shared" si="759"/>
        <v/>
      </c>
      <c r="AA4846">
        <f>IF($V4846="",N($AA4845),IF(MATCH($V4846,$V$6:$V$10005,0)=ROW()-5,N($AA4845)+1,N($AA4845)))</f>
        <v>0</v>
      </c>
    </row>
    <row r="4847" spans="1:27" ht="21" customHeight="1" x14ac:dyDescent="0.95">
      <c r="A4847" s="56"/>
      <c r="B4847" s="57"/>
      <c r="C4847" s="57"/>
      <c r="D4847" s="57"/>
      <c r="E4847" s="56"/>
      <c r="F4847" s="57"/>
      <c r="G4847" s="57"/>
      <c r="H4847" s="56"/>
      <c r="I4847" s="56"/>
      <c r="J4847" s="58"/>
      <c r="K4847" s="58"/>
      <c r="L4847" s="13" t="str">
        <f t="shared" si="750"/>
        <v/>
      </c>
      <c r="M4847" s="13" t="str">
        <f t="shared" si="751"/>
        <v/>
      </c>
      <c r="Q4847" t="str">
        <f t="shared" si="752"/>
        <v/>
      </c>
      <c r="R4847" t="str">
        <f t="shared" si="753"/>
        <v/>
      </c>
      <c r="S4847" t="str">
        <f t="shared" si="754"/>
        <v/>
      </c>
      <c r="T4847" t="str">
        <f t="shared" si="755"/>
        <v/>
      </c>
      <c r="U4847" t="str">
        <f t="shared" si="756"/>
        <v/>
      </c>
      <c r="V4847" t="str">
        <f t="shared" si="757"/>
        <v/>
      </c>
      <c r="W4847" t="str">
        <f t="shared" si="758"/>
        <v/>
      </c>
      <c r="X4847">
        <f>IF($T4847="",N($X4846),IF(MATCH($T4847,$T$6:$T$10005,0)=ROW()-5,N($X4846)+1,N($X4846)))</f>
        <v>0</v>
      </c>
      <c r="Z4847" t="str">
        <f t="shared" si="759"/>
        <v/>
      </c>
      <c r="AA4847">
        <f>IF($V4847="",N($AA4846),IF(MATCH($V4847,$V$6:$V$10005,0)=ROW()-5,N($AA4846)+1,N($AA4846)))</f>
        <v>0</v>
      </c>
    </row>
    <row r="4848" spans="1:27" ht="21" customHeight="1" x14ac:dyDescent="0.95">
      <c r="A4848" s="56"/>
      <c r="B4848" s="57"/>
      <c r="C4848" s="57"/>
      <c r="D4848" s="57"/>
      <c r="E4848" s="56"/>
      <c r="F4848" s="57"/>
      <c r="G4848" s="57"/>
      <c r="H4848" s="56"/>
      <c r="I4848" s="56"/>
      <c r="J4848" s="58"/>
      <c r="K4848" s="58"/>
      <c r="L4848" s="13" t="str">
        <f t="shared" si="750"/>
        <v/>
      </c>
      <c r="M4848" s="13" t="str">
        <f t="shared" si="751"/>
        <v/>
      </c>
      <c r="Q4848" t="str">
        <f t="shared" si="752"/>
        <v/>
      </c>
      <c r="R4848" t="str">
        <f t="shared" si="753"/>
        <v/>
      </c>
      <c r="S4848" t="str">
        <f t="shared" si="754"/>
        <v/>
      </c>
      <c r="T4848" t="str">
        <f t="shared" si="755"/>
        <v/>
      </c>
      <c r="U4848" t="str">
        <f t="shared" si="756"/>
        <v/>
      </c>
      <c r="V4848" t="str">
        <f t="shared" si="757"/>
        <v/>
      </c>
      <c r="W4848" t="str">
        <f t="shared" si="758"/>
        <v/>
      </c>
      <c r="X4848">
        <f>IF($T4848="",N($X4847),IF(MATCH($T4848,$T$6:$T$10005,0)=ROW()-5,N($X4847)+1,N($X4847)))</f>
        <v>0</v>
      </c>
      <c r="Z4848" t="str">
        <f t="shared" si="759"/>
        <v/>
      </c>
      <c r="AA4848">
        <f>IF($V4848="",N($AA4847),IF(MATCH($V4848,$V$6:$V$10005,0)=ROW()-5,N($AA4847)+1,N($AA4847)))</f>
        <v>0</v>
      </c>
    </row>
    <row r="4849" spans="1:27" ht="21" customHeight="1" x14ac:dyDescent="0.95">
      <c r="A4849" s="56"/>
      <c r="B4849" s="57"/>
      <c r="C4849" s="57"/>
      <c r="D4849" s="57"/>
      <c r="E4849" s="56"/>
      <c r="F4849" s="57"/>
      <c r="G4849" s="57"/>
      <c r="H4849" s="56"/>
      <c r="I4849" s="56"/>
      <c r="J4849" s="58"/>
      <c r="K4849" s="58"/>
      <c r="L4849" s="13" t="str">
        <f t="shared" si="750"/>
        <v/>
      </c>
      <c r="M4849" s="13" t="str">
        <f t="shared" si="751"/>
        <v/>
      </c>
      <c r="Q4849" t="str">
        <f t="shared" si="752"/>
        <v/>
      </c>
      <c r="R4849" t="str">
        <f t="shared" si="753"/>
        <v/>
      </c>
      <c r="S4849" t="str">
        <f t="shared" si="754"/>
        <v/>
      </c>
      <c r="T4849" t="str">
        <f t="shared" si="755"/>
        <v/>
      </c>
      <c r="U4849" t="str">
        <f t="shared" si="756"/>
        <v/>
      </c>
      <c r="V4849" t="str">
        <f t="shared" si="757"/>
        <v/>
      </c>
      <c r="W4849" t="str">
        <f t="shared" si="758"/>
        <v/>
      </c>
      <c r="X4849">
        <f>IF($T4849="",N($X4848),IF(MATCH($T4849,$T$6:$T$10005,0)=ROW()-5,N($X4848)+1,N($X4848)))</f>
        <v>0</v>
      </c>
      <c r="Z4849" t="str">
        <f t="shared" si="759"/>
        <v/>
      </c>
      <c r="AA4849">
        <f>IF($V4849="",N($AA4848),IF(MATCH($V4849,$V$6:$V$10005,0)=ROW()-5,N($AA4848)+1,N($AA4848)))</f>
        <v>0</v>
      </c>
    </row>
    <row r="4850" spans="1:27" ht="21" customHeight="1" x14ac:dyDescent="0.95">
      <c r="A4850" s="56"/>
      <c r="B4850" s="57"/>
      <c r="C4850" s="57"/>
      <c r="D4850" s="57"/>
      <c r="E4850" s="56"/>
      <c r="F4850" s="57"/>
      <c r="G4850" s="57"/>
      <c r="H4850" s="56"/>
      <c r="I4850" s="56"/>
      <c r="J4850" s="58"/>
      <c r="K4850" s="58"/>
      <c r="L4850" s="13" t="str">
        <f t="shared" si="750"/>
        <v/>
      </c>
      <c r="M4850" s="13" t="str">
        <f t="shared" si="751"/>
        <v/>
      </c>
      <c r="Q4850" t="str">
        <f t="shared" si="752"/>
        <v/>
      </c>
      <c r="R4850" t="str">
        <f t="shared" si="753"/>
        <v/>
      </c>
      <c r="S4850" t="str">
        <f t="shared" si="754"/>
        <v/>
      </c>
      <c r="T4850" t="str">
        <f t="shared" si="755"/>
        <v/>
      </c>
      <c r="U4850" t="str">
        <f t="shared" si="756"/>
        <v/>
      </c>
      <c r="V4850" t="str">
        <f t="shared" si="757"/>
        <v/>
      </c>
      <c r="W4850" t="str">
        <f t="shared" si="758"/>
        <v/>
      </c>
      <c r="X4850">
        <f>IF($T4850="",N($X4849),IF(MATCH($T4850,$T$6:$T$10005,0)=ROW()-5,N($X4849)+1,N($X4849)))</f>
        <v>0</v>
      </c>
      <c r="Z4850" t="str">
        <f t="shared" si="759"/>
        <v/>
      </c>
      <c r="AA4850">
        <f>IF($V4850="",N($AA4849),IF(MATCH($V4850,$V$6:$V$10005,0)=ROW()-5,N($AA4849)+1,N($AA4849)))</f>
        <v>0</v>
      </c>
    </row>
    <row r="4851" spans="1:27" ht="21" customHeight="1" x14ac:dyDescent="0.95">
      <c r="A4851" s="56"/>
      <c r="B4851" s="57"/>
      <c r="C4851" s="57"/>
      <c r="D4851" s="57"/>
      <c r="E4851" s="56"/>
      <c r="F4851" s="57"/>
      <c r="G4851" s="57"/>
      <c r="H4851" s="56"/>
      <c r="I4851" s="56"/>
      <c r="J4851" s="58"/>
      <c r="K4851" s="58"/>
      <c r="L4851" s="13" t="str">
        <f t="shared" si="750"/>
        <v/>
      </c>
      <c r="M4851" s="13" t="str">
        <f t="shared" si="751"/>
        <v/>
      </c>
      <c r="Q4851" t="str">
        <f t="shared" si="752"/>
        <v/>
      </c>
      <c r="R4851" t="str">
        <f t="shared" si="753"/>
        <v/>
      </c>
      <c r="S4851" t="str">
        <f t="shared" si="754"/>
        <v/>
      </c>
      <c r="T4851" t="str">
        <f t="shared" si="755"/>
        <v/>
      </c>
      <c r="U4851" t="str">
        <f t="shared" si="756"/>
        <v/>
      </c>
      <c r="V4851" t="str">
        <f t="shared" si="757"/>
        <v/>
      </c>
      <c r="W4851" t="str">
        <f t="shared" si="758"/>
        <v/>
      </c>
      <c r="X4851">
        <f>IF($T4851="",N($X4850),IF(MATCH($T4851,$T$6:$T$10005,0)=ROW()-5,N($X4850)+1,N($X4850)))</f>
        <v>0</v>
      </c>
      <c r="Z4851" t="str">
        <f t="shared" si="759"/>
        <v/>
      </c>
      <c r="AA4851">
        <f>IF($V4851="",N($AA4850),IF(MATCH($V4851,$V$6:$V$10005,0)=ROW()-5,N($AA4850)+1,N($AA4850)))</f>
        <v>0</v>
      </c>
    </row>
    <row r="4852" spans="1:27" ht="21" customHeight="1" x14ac:dyDescent="0.95">
      <c r="A4852" s="56"/>
      <c r="B4852" s="57"/>
      <c r="C4852" s="57"/>
      <c r="D4852" s="57"/>
      <c r="E4852" s="56"/>
      <c r="F4852" s="57"/>
      <c r="G4852" s="57"/>
      <c r="H4852" s="56"/>
      <c r="I4852" s="56"/>
      <c r="J4852" s="58"/>
      <c r="K4852" s="58"/>
      <c r="L4852" s="13" t="str">
        <f t="shared" si="750"/>
        <v/>
      </c>
      <c r="M4852" s="13" t="str">
        <f t="shared" si="751"/>
        <v/>
      </c>
      <c r="Q4852" t="str">
        <f t="shared" si="752"/>
        <v/>
      </c>
      <c r="R4852" t="str">
        <f t="shared" si="753"/>
        <v/>
      </c>
      <c r="S4852" t="str">
        <f t="shared" si="754"/>
        <v/>
      </c>
      <c r="T4852" t="str">
        <f t="shared" si="755"/>
        <v/>
      </c>
      <c r="U4852" t="str">
        <f t="shared" si="756"/>
        <v/>
      </c>
      <c r="V4852" t="str">
        <f t="shared" si="757"/>
        <v/>
      </c>
      <c r="W4852" t="str">
        <f t="shared" si="758"/>
        <v/>
      </c>
      <c r="X4852">
        <f>IF($T4852="",N($X4851),IF(MATCH($T4852,$T$6:$T$10005,0)=ROW()-5,N($X4851)+1,N($X4851)))</f>
        <v>0</v>
      </c>
      <c r="Z4852" t="str">
        <f t="shared" si="759"/>
        <v/>
      </c>
      <c r="AA4852">
        <f>IF($V4852="",N($AA4851),IF(MATCH($V4852,$V$6:$V$10005,0)=ROW()-5,N($AA4851)+1,N($AA4851)))</f>
        <v>0</v>
      </c>
    </row>
    <row r="4853" spans="1:27" ht="21" customHeight="1" x14ac:dyDescent="0.95">
      <c r="A4853" s="56"/>
      <c r="B4853" s="57"/>
      <c r="C4853" s="57"/>
      <c r="D4853" s="57"/>
      <c r="E4853" s="56"/>
      <c r="F4853" s="57"/>
      <c r="G4853" s="57"/>
      <c r="H4853" s="56"/>
      <c r="I4853" s="56"/>
      <c r="J4853" s="58"/>
      <c r="K4853" s="58"/>
      <c r="L4853" s="13" t="str">
        <f t="shared" si="750"/>
        <v/>
      </c>
      <c r="M4853" s="13" t="str">
        <f t="shared" si="751"/>
        <v/>
      </c>
      <c r="Q4853" t="str">
        <f t="shared" si="752"/>
        <v/>
      </c>
      <c r="R4853" t="str">
        <f t="shared" si="753"/>
        <v/>
      </c>
      <c r="S4853" t="str">
        <f t="shared" si="754"/>
        <v/>
      </c>
      <c r="T4853" t="str">
        <f t="shared" si="755"/>
        <v/>
      </c>
      <c r="U4853" t="str">
        <f t="shared" si="756"/>
        <v/>
      </c>
      <c r="V4853" t="str">
        <f t="shared" si="757"/>
        <v/>
      </c>
      <c r="W4853" t="str">
        <f t="shared" si="758"/>
        <v/>
      </c>
      <c r="X4853">
        <f>IF($T4853="",N($X4852),IF(MATCH($T4853,$T$6:$T$10005,0)=ROW()-5,N($X4852)+1,N($X4852)))</f>
        <v>0</v>
      </c>
      <c r="Z4853" t="str">
        <f t="shared" si="759"/>
        <v/>
      </c>
      <c r="AA4853">
        <f>IF($V4853="",N($AA4852),IF(MATCH($V4853,$V$6:$V$10005,0)=ROW()-5,N($AA4852)+1,N($AA4852)))</f>
        <v>0</v>
      </c>
    </row>
    <row r="4854" spans="1:27" ht="21" customHeight="1" x14ac:dyDescent="0.95">
      <c r="A4854" s="56"/>
      <c r="B4854" s="57"/>
      <c r="C4854" s="57"/>
      <c r="D4854" s="57"/>
      <c r="E4854" s="56"/>
      <c r="F4854" s="57"/>
      <c r="G4854" s="57"/>
      <c r="H4854" s="56"/>
      <c r="I4854" s="56"/>
      <c r="J4854" s="58"/>
      <c r="K4854" s="58"/>
      <c r="L4854" s="13" t="str">
        <f t="shared" si="750"/>
        <v/>
      </c>
      <c r="M4854" s="13" t="str">
        <f t="shared" si="751"/>
        <v/>
      </c>
      <c r="Q4854" t="str">
        <f t="shared" si="752"/>
        <v/>
      </c>
      <c r="R4854" t="str">
        <f t="shared" si="753"/>
        <v/>
      </c>
      <c r="S4854" t="str">
        <f t="shared" si="754"/>
        <v/>
      </c>
      <c r="T4854" t="str">
        <f t="shared" si="755"/>
        <v/>
      </c>
      <c r="U4854" t="str">
        <f t="shared" si="756"/>
        <v/>
      </c>
      <c r="V4854" t="str">
        <f t="shared" si="757"/>
        <v/>
      </c>
      <c r="W4854" t="str">
        <f t="shared" si="758"/>
        <v/>
      </c>
      <c r="X4854">
        <f>IF($T4854="",N($X4853),IF(MATCH($T4854,$T$6:$T$10005,0)=ROW()-5,N($X4853)+1,N($X4853)))</f>
        <v>0</v>
      </c>
      <c r="Z4854" t="str">
        <f t="shared" si="759"/>
        <v/>
      </c>
      <c r="AA4854">
        <f>IF($V4854="",N($AA4853),IF(MATCH($V4854,$V$6:$V$10005,0)=ROW()-5,N($AA4853)+1,N($AA4853)))</f>
        <v>0</v>
      </c>
    </row>
    <row r="4855" spans="1:27" ht="21" customHeight="1" x14ac:dyDescent="0.95">
      <c r="A4855" s="56"/>
      <c r="B4855" s="57"/>
      <c r="C4855" s="57"/>
      <c r="D4855" s="57"/>
      <c r="E4855" s="56"/>
      <c r="F4855" s="57"/>
      <c r="G4855" s="57"/>
      <c r="H4855" s="56"/>
      <c r="I4855" s="56"/>
      <c r="J4855" s="58"/>
      <c r="K4855" s="58"/>
      <c r="L4855" s="13" t="str">
        <f t="shared" si="750"/>
        <v/>
      </c>
      <c r="M4855" s="13" t="str">
        <f t="shared" si="751"/>
        <v/>
      </c>
      <c r="Q4855" t="str">
        <f t="shared" si="752"/>
        <v/>
      </c>
      <c r="R4855" t="str">
        <f t="shared" si="753"/>
        <v/>
      </c>
      <c r="S4855" t="str">
        <f t="shared" si="754"/>
        <v/>
      </c>
      <c r="T4855" t="str">
        <f t="shared" si="755"/>
        <v/>
      </c>
      <c r="U4855" t="str">
        <f t="shared" si="756"/>
        <v/>
      </c>
      <c r="V4855" t="str">
        <f t="shared" si="757"/>
        <v/>
      </c>
      <c r="W4855" t="str">
        <f t="shared" si="758"/>
        <v/>
      </c>
      <c r="X4855">
        <f>IF($T4855="",N($X4854),IF(MATCH($T4855,$T$6:$T$10005,0)=ROW()-5,N($X4854)+1,N($X4854)))</f>
        <v>0</v>
      </c>
      <c r="Z4855" t="str">
        <f t="shared" si="759"/>
        <v/>
      </c>
      <c r="AA4855">
        <f>IF($V4855="",N($AA4854),IF(MATCH($V4855,$V$6:$V$10005,0)=ROW()-5,N($AA4854)+1,N($AA4854)))</f>
        <v>0</v>
      </c>
    </row>
    <row r="4856" spans="1:27" ht="21" customHeight="1" x14ac:dyDescent="0.95">
      <c r="A4856" s="56"/>
      <c r="B4856" s="57"/>
      <c r="C4856" s="57"/>
      <c r="D4856" s="57"/>
      <c r="E4856" s="56"/>
      <c r="F4856" s="57"/>
      <c r="G4856" s="57"/>
      <c r="H4856" s="56"/>
      <c r="I4856" s="56"/>
      <c r="J4856" s="58"/>
      <c r="K4856" s="58"/>
      <c r="L4856" s="13" t="str">
        <f t="shared" si="750"/>
        <v/>
      </c>
      <c r="M4856" s="13" t="str">
        <f t="shared" si="751"/>
        <v/>
      </c>
      <c r="Q4856" t="str">
        <f t="shared" si="752"/>
        <v/>
      </c>
      <c r="R4856" t="str">
        <f t="shared" si="753"/>
        <v/>
      </c>
      <c r="S4856" t="str">
        <f t="shared" si="754"/>
        <v/>
      </c>
      <c r="T4856" t="str">
        <f t="shared" si="755"/>
        <v/>
      </c>
      <c r="U4856" t="str">
        <f t="shared" si="756"/>
        <v/>
      </c>
      <c r="V4856" t="str">
        <f t="shared" si="757"/>
        <v/>
      </c>
      <c r="W4856" t="str">
        <f t="shared" si="758"/>
        <v/>
      </c>
      <c r="X4856">
        <f>IF($T4856="",N($X4855),IF(MATCH($T4856,$T$6:$T$10005,0)=ROW()-5,N($X4855)+1,N($X4855)))</f>
        <v>0</v>
      </c>
      <c r="Z4856" t="str">
        <f t="shared" si="759"/>
        <v/>
      </c>
      <c r="AA4856">
        <f>IF($V4856="",N($AA4855),IF(MATCH($V4856,$V$6:$V$10005,0)=ROW()-5,N($AA4855)+1,N($AA4855)))</f>
        <v>0</v>
      </c>
    </row>
    <row r="4857" spans="1:27" ht="21" customHeight="1" x14ac:dyDescent="0.95">
      <c r="A4857" s="56"/>
      <c r="B4857" s="57"/>
      <c r="C4857" s="57"/>
      <c r="D4857" s="57"/>
      <c r="E4857" s="56"/>
      <c r="F4857" s="57"/>
      <c r="G4857" s="57"/>
      <c r="H4857" s="56"/>
      <c r="I4857" s="56"/>
      <c r="J4857" s="58"/>
      <c r="K4857" s="58"/>
      <c r="L4857" s="13" t="str">
        <f t="shared" si="750"/>
        <v/>
      </c>
      <c r="M4857" s="13" t="str">
        <f t="shared" si="751"/>
        <v/>
      </c>
      <c r="Q4857" t="str">
        <f t="shared" si="752"/>
        <v/>
      </c>
      <c r="R4857" t="str">
        <f t="shared" si="753"/>
        <v/>
      </c>
      <c r="S4857" t="str">
        <f t="shared" si="754"/>
        <v/>
      </c>
      <c r="T4857" t="str">
        <f t="shared" si="755"/>
        <v/>
      </c>
      <c r="U4857" t="str">
        <f t="shared" si="756"/>
        <v/>
      </c>
      <c r="V4857" t="str">
        <f t="shared" si="757"/>
        <v/>
      </c>
      <c r="W4857" t="str">
        <f t="shared" si="758"/>
        <v/>
      </c>
      <c r="X4857">
        <f>IF($T4857="",N($X4856),IF(MATCH($T4857,$T$6:$T$10005,0)=ROW()-5,N($X4856)+1,N($X4856)))</f>
        <v>0</v>
      </c>
      <c r="Z4857" t="str">
        <f t="shared" si="759"/>
        <v/>
      </c>
      <c r="AA4857">
        <f>IF($V4857="",N($AA4856),IF(MATCH($V4857,$V$6:$V$10005,0)=ROW()-5,N($AA4856)+1,N($AA4856)))</f>
        <v>0</v>
      </c>
    </row>
    <row r="4858" spans="1:27" ht="21" customHeight="1" x14ac:dyDescent="0.95">
      <c r="A4858" s="56"/>
      <c r="B4858" s="57"/>
      <c r="C4858" s="57"/>
      <c r="D4858" s="57"/>
      <c r="E4858" s="56"/>
      <c r="F4858" s="57"/>
      <c r="G4858" s="57"/>
      <c r="H4858" s="56"/>
      <c r="I4858" s="56"/>
      <c r="J4858" s="58"/>
      <c r="K4858" s="58"/>
      <c r="L4858" s="13" t="str">
        <f t="shared" si="750"/>
        <v/>
      </c>
      <c r="M4858" s="13" t="str">
        <f t="shared" si="751"/>
        <v/>
      </c>
      <c r="Q4858" t="str">
        <f t="shared" si="752"/>
        <v/>
      </c>
      <c r="R4858" t="str">
        <f t="shared" si="753"/>
        <v/>
      </c>
      <c r="S4858" t="str">
        <f t="shared" si="754"/>
        <v/>
      </c>
      <c r="T4858" t="str">
        <f t="shared" si="755"/>
        <v/>
      </c>
      <c r="U4858" t="str">
        <f t="shared" si="756"/>
        <v/>
      </c>
      <c r="V4858" t="str">
        <f t="shared" si="757"/>
        <v/>
      </c>
      <c r="W4858" t="str">
        <f t="shared" si="758"/>
        <v/>
      </c>
      <c r="X4858">
        <f>IF($T4858="",N($X4857),IF(MATCH($T4858,$T$6:$T$10005,0)=ROW()-5,N($X4857)+1,N($X4857)))</f>
        <v>0</v>
      </c>
      <c r="Z4858" t="str">
        <f t="shared" si="759"/>
        <v/>
      </c>
      <c r="AA4858">
        <f>IF($V4858="",N($AA4857),IF(MATCH($V4858,$V$6:$V$10005,0)=ROW()-5,N($AA4857)+1,N($AA4857)))</f>
        <v>0</v>
      </c>
    </row>
    <row r="4859" spans="1:27" ht="21" customHeight="1" x14ac:dyDescent="0.95">
      <c r="A4859" s="56"/>
      <c r="B4859" s="57"/>
      <c r="C4859" s="57"/>
      <c r="D4859" s="57"/>
      <c r="E4859" s="56"/>
      <c r="F4859" s="57"/>
      <c r="G4859" s="57"/>
      <c r="H4859" s="56"/>
      <c r="I4859" s="56"/>
      <c r="J4859" s="58"/>
      <c r="K4859" s="58"/>
      <c r="L4859" s="13" t="str">
        <f t="shared" si="750"/>
        <v/>
      </c>
      <c r="M4859" s="13" t="str">
        <f t="shared" si="751"/>
        <v/>
      </c>
      <c r="Q4859" t="str">
        <f t="shared" si="752"/>
        <v/>
      </c>
      <c r="R4859" t="str">
        <f t="shared" si="753"/>
        <v/>
      </c>
      <c r="S4859" t="str">
        <f t="shared" si="754"/>
        <v/>
      </c>
      <c r="T4859" t="str">
        <f t="shared" si="755"/>
        <v/>
      </c>
      <c r="U4859" t="str">
        <f t="shared" si="756"/>
        <v/>
      </c>
      <c r="V4859" t="str">
        <f t="shared" si="757"/>
        <v/>
      </c>
      <c r="W4859" t="str">
        <f t="shared" si="758"/>
        <v/>
      </c>
      <c r="X4859">
        <f>IF($T4859="",N($X4858),IF(MATCH($T4859,$T$6:$T$10005,0)=ROW()-5,N($X4858)+1,N($X4858)))</f>
        <v>0</v>
      </c>
      <c r="Z4859" t="str">
        <f t="shared" si="759"/>
        <v/>
      </c>
      <c r="AA4859">
        <f>IF($V4859="",N($AA4858),IF(MATCH($V4859,$V$6:$V$10005,0)=ROW()-5,N($AA4858)+1,N($AA4858)))</f>
        <v>0</v>
      </c>
    </row>
    <row r="4860" spans="1:27" ht="21" customHeight="1" x14ac:dyDescent="0.95">
      <c r="A4860" s="56"/>
      <c r="B4860" s="57"/>
      <c r="C4860" s="57"/>
      <c r="D4860" s="57"/>
      <c r="E4860" s="56"/>
      <c r="F4860" s="57"/>
      <c r="G4860" s="57"/>
      <c r="H4860" s="56"/>
      <c r="I4860" s="56"/>
      <c r="J4860" s="58"/>
      <c r="K4860" s="58"/>
      <c r="L4860" s="13" t="str">
        <f t="shared" si="750"/>
        <v/>
      </c>
      <c r="M4860" s="13" t="str">
        <f t="shared" si="751"/>
        <v/>
      </c>
      <c r="Q4860" t="str">
        <f t="shared" si="752"/>
        <v/>
      </c>
      <c r="R4860" t="str">
        <f t="shared" si="753"/>
        <v/>
      </c>
      <c r="S4860" t="str">
        <f t="shared" si="754"/>
        <v/>
      </c>
      <c r="T4860" t="str">
        <f t="shared" si="755"/>
        <v/>
      </c>
      <c r="U4860" t="str">
        <f t="shared" si="756"/>
        <v/>
      </c>
      <c r="V4860" t="str">
        <f t="shared" si="757"/>
        <v/>
      </c>
      <c r="W4860" t="str">
        <f t="shared" si="758"/>
        <v/>
      </c>
      <c r="X4860">
        <f>IF($T4860="",N($X4859),IF(MATCH($T4860,$T$6:$T$10005,0)=ROW()-5,N($X4859)+1,N($X4859)))</f>
        <v>0</v>
      </c>
      <c r="Z4860" t="str">
        <f t="shared" si="759"/>
        <v/>
      </c>
      <c r="AA4860">
        <f>IF($V4860="",N($AA4859),IF(MATCH($V4860,$V$6:$V$10005,0)=ROW()-5,N($AA4859)+1,N($AA4859)))</f>
        <v>0</v>
      </c>
    </row>
    <row r="4861" spans="1:27" ht="21" customHeight="1" x14ac:dyDescent="0.95">
      <c r="A4861" s="56"/>
      <c r="B4861" s="57"/>
      <c r="C4861" s="57"/>
      <c r="D4861" s="57"/>
      <c r="E4861" s="56"/>
      <c r="F4861" s="57"/>
      <c r="G4861" s="57"/>
      <c r="H4861" s="56"/>
      <c r="I4861" s="56"/>
      <c r="J4861" s="58"/>
      <c r="K4861" s="58"/>
      <c r="L4861" s="13" t="str">
        <f t="shared" si="750"/>
        <v/>
      </c>
      <c r="M4861" s="13" t="str">
        <f t="shared" si="751"/>
        <v/>
      </c>
      <c r="Q4861" t="str">
        <f t="shared" si="752"/>
        <v/>
      </c>
      <c r="R4861" t="str">
        <f t="shared" si="753"/>
        <v/>
      </c>
      <c r="S4861" t="str">
        <f t="shared" si="754"/>
        <v/>
      </c>
      <c r="T4861" t="str">
        <f t="shared" si="755"/>
        <v/>
      </c>
      <c r="U4861" t="str">
        <f t="shared" si="756"/>
        <v/>
      </c>
      <c r="V4861" t="str">
        <f t="shared" si="757"/>
        <v/>
      </c>
      <c r="W4861" t="str">
        <f t="shared" si="758"/>
        <v/>
      </c>
      <c r="X4861">
        <f>IF($T4861="",N($X4860),IF(MATCH($T4861,$T$6:$T$10005,0)=ROW()-5,N($X4860)+1,N($X4860)))</f>
        <v>0</v>
      </c>
      <c r="Z4861" t="str">
        <f t="shared" si="759"/>
        <v/>
      </c>
      <c r="AA4861">
        <f>IF($V4861="",N($AA4860),IF(MATCH($V4861,$V$6:$V$10005,0)=ROW()-5,N($AA4860)+1,N($AA4860)))</f>
        <v>0</v>
      </c>
    </row>
    <row r="4862" spans="1:27" ht="21" customHeight="1" x14ac:dyDescent="0.95">
      <c r="A4862" s="56"/>
      <c r="B4862" s="57"/>
      <c r="C4862" s="57"/>
      <c r="D4862" s="57"/>
      <c r="E4862" s="56"/>
      <c r="F4862" s="57"/>
      <c r="G4862" s="57"/>
      <c r="H4862" s="56"/>
      <c r="I4862" s="56"/>
      <c r="J4862" s="58"/>
      <c r="K4862" s="58"/>
      <c r="L4862" s="13" t="str">
        <f t="shared" si="750"/>
        <v/>
      </c>
      <c r="M4862" s="13" t="str">
        <f t="shared" si="751"/>
        <v/>
      </c>
      <c r="Q4862" t="str">
        <f t="shared" si="752"/>
        <v/>
      </c>
      <c r="R4862" t="str">
        <f t="shared" si="753"/>
        <v/>
      </c>
      <c r="S4862" t="str">
        <f t="shared" si="754"/>
        <v/>
      </c>
      <c r="T4862" t="str">
        <f t="shared" si="755"/>
        <v/>
      </c>
      <c r="U4862" t="str">
        <f t="shared" si="756"/>
        <v/>
      </c>
      <c r="V4862" t="str">
        <f t="shared" si="757"/>
        <v/>
      </c>
      <c r="W4862" t="str">
        <f t="shared" si="758"/>
        <v/>
      </c>
      <c r="X4862">
        <f>IF($T4862="",N($X4861),IF(MATCH($T4862,$T$6:$T$10005,0)=ROW()-5,N($X4861)+1,N($X4861)))</f>
        <v>0</v>
      </c>
      <c r="Z4862" t="str">
        <f t="shared" si="759"/>
        <v/>
      </c>
      <c r="AA4862">
        <f>IF($V4862="",N($AA4861),IF(MATCH($V4862,$V$6:$V$10005,0)=ROW()-5,N($AA4861)+1,N($AA4861)))</f>
        <v>0</v>
      </c>
    </row>
    <row r="4863" spans="1:27" ht="21" customHeight="1" x14ac:dyDescent="0.95">
      <c r="A4863" s="56"/>
      <c r="B4863" s="57"/>
      <c r="C4863" s="57"/>
      <c r="D4863" s="57"/>
      <c r="E4863" s="56"/>
      <c r="F4863" s="57"/>
      <c r="G4863" s="57"/>
      <c r="H4863" s="56"/>
      <c r="I4863" s="56"/>
      <c r="J4863" s="58"/>
      <c r="K4863" s="58"/>
      <c r="L4863" s="13" t="str">
        <f t="shared" si="750"/>
        <v/>
      </c>
      <c r="M4863" s="13" t="str">
        <f t="shared" si="751"/>
        <v/>
      </c>
      <c r="Q4863" t="str">
        <f t="shared" si="752"/>
        <v/>
      </c>
      <c r="R4863" t="str">
        <f t="shared" si="753"/>
        <v/>
      </c>
      <c r="S4863" t="str">
        <f t="shared" si="754"/>
        <v/>
      </c>
      <c r="T4863" t="str">
        <f t="shared" si="755"/>
        <v/>
      </c>
      <c r="U4863" t="str">
        <f t="shared" si="756"/>
        <v/>
      </c>
      <c r="V4863" t="str">
        <f t="shared" si="757"/>
        <v/>
      </c>
      <c r="W4863" t="str">
        <f t="shared" si="758"/>
        <v/>
      </c>
      <c r="X4863">
        <f>IF($T4863="",N($X4862),IF(MATCH($T4863,$T$6:$T$10005,0)=ROW()-5,N($X4862)+1,N($X4862)))</f>
        <v>0</v>
      </c>
      <c r="Z4863" t="str">
        <f t="shared" si="759"/>
        <v/>
      </c>
      <c r="AA4863">
        <f>IF($V4863="",N($AA4862),IF(MATCH($V4863,$V$6:$V$10005,0)=ROW()-5,N($AA4862)+1,N($AA4862)))</f>
        <v>0</v>
      </c>
    </row>
    <row r="4864" spans="1:27" ht="21" customHeight="1" x14ac:dyDescent="0.95">
      <c r="A4864" s="56"/>
      <c r="B4864" s="57"/>
      <c r="C4864" s="57"/>
      <c r="D4864" s="57"/>
      <c r="E4864" s="56"/>
      <c r="F4864" s="57"/>
      <c r="G4864" s="57"/>
      <c r="H4864" s="56"/>
      <c r="I4864" s="56"/>
      <c r="J4864" s="58"/>
      <c r="K4864" s="58"/>
      <c r="L4864" s="13" t="str">
        <f t="shared" si="750"/>
        <v/>
      </c>
      <c r="M4864" s="13" t="str">
        <f t="shared" si="751"/>
        <v/>
      </c>
      <c r="Q4864" t="str">
        <f t="shared" si="752"/>
        <v/>
      </c>
      <c r="R4864" t="str">
        <f t="shared" si="753"/>
        <v/>
      </c>
      <c r="S4864" t="str">
        <f t="shared" si="754"/>
        <v/>
      </c>
      <c r="T4864" t="str">
        <f t="shared" si="755"/>
        <v/>
      </c>
      <c r="U4864" t="str">
        <f t="shared" si="756"/>
        <v/>
      </c>
      <c r="V4864" t="str">
        <f t="shared" si="757"/>
        <v/>
      </c>
      <c r="W4864" t="str">
        <f t="shared" si="758"/>
        <v/>
      </c>
      <c r="X4864">
        <f>IF($T4864="",N($X4863),IF(MATCH($T4864,$T$6:$T$10005,0)=ROW()-5,N($X4863)+1,N($X4863)))</f>
        <v>0</v>
      </c>
      <c r="Z4864" t="str">
        <f t="shared" si="759"/>
        <v/>
      </c>
      <c r="AA4864">
        <f>IF($V4864="",N($AA4863),IF(MATCH($V4864,$V$6:$V$10005,0)=ROW()-5,N($AA4863)+1,N($AA4863)))</f>
        <v>0</v>
      </c>
    </row>
    <row r="4865" spans="1:27" ht="21" customHeight="1" x14ac:dyDescent="0.95">
      <c r="A4865" s="56"/>
      <c r="B4865" s="57"/>
      <c r="C4865" s="57"/>
      <c r="D4865" s="57"/>
      <c r="E4865" s="56"/>
      <c r="F4865" s="57"/>
      <c r="G4865" s="57"/>
      <c r="H4865" s="56"/>
      <c r="I4865" s="56"/>
      <c r="J4865" s="58"/>
      <c r="K4865" s="58"/>
      <c r="L4865" s="13" t="str">
        <f t="shared" si="750"/>
        <v/>
      </c>
      <c r="M4865" s="13" t="str">
        <f t="shared" si="751"/>
        <v/>
      </c>
      <c r="Q4865" t="str">
        <f t="shared" si="752"/>
        <v/>
      </c>
      <c r="R4865" t="str">
        <f t="shared" si="753"/>
        <v/>
      </c>
      <c r="S4865" t="str">
        <f t="shared" si="754"/>
        <v/>
      </c>
      <c r="T4865" t="str">
        <f t="shared" si="755"/>
        <v/>
      </c>
      <c r="U4865" t="str">
        <f t="shared" si="756"/>
        <v/>
      </c>
      <c r="V4865" t="str">
        <f t="shared" si="757"/>
        <v/>
      </c>
      <c r="W4865" t="str">
        <f t="shared" si="758"/>
        <v/>
      </c>
      <c r="X4865">
        <f>IF($T4865="",N($X4864),IF(MATCH($T4865,$T$6:$T$10005,0)=ROW()-5,N($X4864)+1,N($X4864)))</f>
        <v>0</v>
      </c>
      <c r="Z4865" t="str">
        <f t="shared" si="759"/>
        <v/>
      </c>
      <c r="AA4865">
        <f>IF($V4865="",N($AA4864),IF(MATCH($V4865,$V$6:$V$10005,0)=ROW()-5,N($AA4864)+1,N($AA4864)))</f>
        <v>0</v>
      </c>
    </row>
    <row r="4866" spans="1:27" ht="21" customHeight="1" x14ac:dyDescent="0.95">
      <c r="A4866" s="56"/>
      <c r="B4866" s="57"/>
      <c r="C4866" s="57"/>
      <c r="D4866" s="57"/>
      <c r="E4866" s="56"/>
      <c r="F4866" s="57"/>
      <c r="G4866" s="57"/>
      <c r="H4866" s="56"/>
      <c r="I4866" s="56"/>
      <c r="J4866" s="58"/>
      <c r="K4866" s="58"/>
      <c r="L4866" s="13" t="str">
        <f t="shared" si="750"/>
        <v/>
      </c>
      <c r="M4866" s="13" t="str">
        <f t="shared" si="751"/>
        <v/>
      </c>
      <c r="Q4866" t="str">
        <f t="shared" si="752"/>
        <v/>
      </c>
      <c r="R4866" t="str">
        <f t="shared" si="753"/>
        <v/>
      </c>
      <c r="S4866" t="str">
        <f t="shared" si="754"/>
        <v/>
      </c>
      <c r="T4866" t="str">
        <f t="shared" si="755"/>
        <v/>
      </c>
      <c r="U4866" t="str">
        <f t="shared" si="756"/>
        <v/>
      </c>
      <c r="V4866" t="str">
        <f t="shared" si="757"/>
        <v/>
      </c>
      <c r="W4866" t="str">
        <f t="shared" si="758"/>
        <v/>
      </c>
      <c r="X4866">
        <f>IF($T4866="",N($X4865),IF(MATCH($T4866,$T$6:$T$10005,0)=ROW()-5,N($X4865)+1,N($X4865)))</f>
        <v>0</v>
      </c>
      <c r="Z4866" t="str">
        <f t="shared" si="759"/>
        <v/>
      </c>
      <c r="AA4866">
        <f>IF($V4866="",N($AA4865),IF(MATCH($V4866,$V$6:$V$10005,0)=ROW()-5,N($AA4865)+1,N($AA4865)))</f>
        <v>0</v>
      </c>
    </row>
    <row r="4867" spans="1:27" ht="21" customHeight="1" x14ac:dyDescent="0.95">
      <c r="A4867" s="56"/>
      <c r="B4867" s="57"/>
      <c r="C4867" s="57"/>
      <c r="D4867" s="57"/>
      <c r="E4867" s="56"/>
      <c r="F4867" s="57"/>
      <c r="G4867" s="57"/>
      <c r="H4867" s="56"/>
      <c r="I4867" s="56"/>
      <c r="J4867" s="58"/>
      <c r="K4867" s="58"/>
      <c r="L4867" s="13" t="str">
        <f t="shared" si="750"/>
        <v/>
      </c>
      <c r="M4867" s="13" t="str">
        <f t="shared" si="751"/>
        <v/>
      </c>
      <c r="Q4867" t="str">
        <f t="shared" si="752"/>
        <v/>
      </c>
      <c r="R4867" t="str">
        <f t="shared" si="753"/>
        <v/>
      </c>
      <c r="S4867" t="str">
        <f t="shared" si="754"/>
        <v/>
      </c>
      <c r="T4867" t="str">
        <f t="shared" si="755"/>
        <v/>
      </c>
      <c r="U4867" t="str">
        <f t="shared" si="756"/>
        <v/>
      </c>
      <c r="V4867" t="str">
        <f t="shared" si="757"/>
        <v/>
      </c>
      <c r="W4867" t="str">
        <f t="shared" si="758"/>
        <v/>
      </c>
      <c r="X4867">
        <f>IF($T4867="",N($X4866),IF(MATCH($T4867,$T$6:$T$10005,0)=ROW()-5,N($X4866)+1,N($X4866)))</f>
        <v>0</v>
      </c>
      <c r="Z4867" t="str">
        <f t="shared" si="759"/>
        <v/>
      </c>
      <c r="AA4867">
        <f>IF($V4867="",N($AA4866),IF(MATCH($V4867,$V$6:$V$10005,0)=ROW()-5,N($AA4866)+1,N($AA4866)))</f>
        <v>0</v>
      </c>
    </row>
    <row r="4868" spans="1:27" ht="21" customHeight="1" x14ac:dyDescent="0.95">
      <c r="A4868" s="56"/>
      <c r="B4868" s="57"/>
      <c r="C4868" s="57"/>
      <c r="D4868" s="57"/>
      <c r="E4868" s="56"/>
      <c r="F4868" s="57"/>
      <c r="G4868" s="57"/>
      <c r="H4868" s="56"/>
      <c r="I4868" s="56"/>
      <c r="J4868" s="58"/>
      <c r="K4868" s="58"/>
      <c r="L4868" s="13" t="str">
        <f t="shared" si="750"/>
        <v/>
      </c>
      <c r="M4868" s="13" t="str">
        <f t="shared" si="751"/>
        <v/>
      </c>
      <c r="Q4868" t="str">
        <f t="shared" si="752"/>
        <v/>
      </c>
      <c r="R4868" t="str">
        <f t="shared" si="753"/>
        <v/>
      </c>
      <c r="S4868" t="str">
        <f t="shared" si="754"/>
        <v/>
      </c>
      <c r="T4868" t="str">
        <f t="shared" si="755"/>
        <v/>
      </c>
      <c r="U4868" t="str">
        <f t="shared" si="756"/>
        <v/>
      </c>
      <c r="V4868" t="str">
        <f t="shared" si="757"/>
        <v/>
      </c>
      <c r="W4868" t="str">
        <f t="shared" si="758"/>
        <v/>
      </c>
      <c r="X4868">
        <f>IF($T4868="",N($X4867),IF(MATCH($T4868,$T$6:$T$10005,0)=ROW()-5,N($X4867)+1,N($X4867)))</f>
        <v>0</v>
      </c>
      <c r="Z4868" t="str">
        <f t="shared" si="759"/>
        <v/>
      </c>
      <c r="AA4868">
        <f>IF($V4868="",N($AA4867),IF(MATCH($V4868,$V$6:$V$10005,0)=ROW()-5,N($AA4867)+1,N($AA4867)))</f>
        <v>0</v>
      </c>
    </row>
    <row r="4869" spans="1:27" ht="21" customHeight="1" x14ac:dyDescent="0.95">
      <c r="A4869" s="56"/>
      <c r="B4869" s="57"/>
      <c r="C4869" s="57"/>
      <c r="D4869" s="57"/>
      <c r="E4869" s="56"/>
      <c r="F4869" s="57"/>
      <c r="G4869" s="57"/>
      <c r="H4869" s="56"/>
      <c r="I4869" s="56"/>
      <c r="J4869" s="58"/>
      <c r="K4869" s="58"/>
      <c r="L4869" s="13" t="str">
        <f t="shared" si="750"/>
        <v/>
      </c>
      <c r="M4869" s="13" t="str">
        <f t="shared" si="751"/>
        <v/>
      </c>
      <c r="Q4869" t="str">
        <f t="shared" si="752"/>
        <v/>
      </c>
      <c r="R4869" t="str">
        <f t="shared" si="753"/>
        <v/>
      </c>
      <c r="S4869" t="str">
        <f t="shared" si="754"/>
        <v/>
      </c>
      <c r="T4869" t="str">
        <f t="shared" si="755"/>
        <v/>
      </c>
      <c r="U4869" t="str">
        <f t="shared" si="756"/>
        <v/>
      </c>
      <c r="V4869" t="str">
        <f t="shared" si="757"/>
        <v/>
      </c>
      <c r="W4869" t="str">
        <f t="shared" si="758"/>
        <v/>
      </c>
      <c r="X4869">
        <f>IF($T4869="",N($X4868),IF(MATCH($T4869,$T$6:$T$10005,0)=ROW()-5,N($X4868)+1,N($X4868)))</f>
        <v>0</v>
      </c>
      <c r="Z4869" t="str">
        <f t="shared" si="759"/>
        <v/>
      </c>
      <c r="AA4869">
        <f>IF($V4869="",N($AA4868),IF(MATCH($V4869,$V$6:$V$10005,0)=ROW()-5,N($AA4868)+1,N($AA4868)))</f>
        <v>0</v>
      </c>
    </row>
    <row r="4870" spans="1:27" ht="21" customHeight="1" x14ac:dyDescent="0.95">
      <c r="A4870" s="56"/>
      <c r="B4870" s="57"/>
      <c r="C4870" s="57"/>
      <c r="D4870" s="57"/>
      <c r="E4870" s="56"/>
      <c r="F4870" s="57"/>
      <c r="G4870" s="57"/>
      <c r="H4870" s="56"/>
      <c r="I4870" s="56"/>
      <c r="J4870" s="58"/>
      <c r="K4870" s="58"/>
      <c r="L4870" s="13" t="str">
        <f t="shared" ref="L4870:L4933" si="760">IF(OR($A4870="",AND($J4870="",$K4870="")),"",ROUND(N($J4870)-N($K4870),2))</f>
        <v/>
      </c>
      <c r="M4870" s="13" t="str">
        <f t="shared" ref="M4870:M4933" si="761">IF(OR($A4870="",AND($J4870="",$K4870="")),"",MIN($J4870,$K4870))</f>
        <v/>
      </c>
      <c r="Q4870" t="str">
        <f t="shared" ref="Q4870:Q4933" si="762">IF($A4870="","",$D4870&amp;"("&amp;SUBSTITUTE($E4870," ","")&amp;")")</f>
        <v/>
      </c>
      <c r="R4870" t="str">
        <f t="shared" ref="R4870:R4933" si="763">IF($A4870="","",$B4870&amp;" - "&amp;$C4870)</f>
        <v/>
      </c>
      <c r="S4870" t="str">
        <f t="shared" ref="S4870:S4933" si="764">IF($A4870="","",$R4870&amp;"|"&amp;$Q4870)</f>
        <v/>
      </c>
      <c r="T4870" t="str">
        <f t="shared" ref="T4870:T4933" si="765">IF($A4870="","",$S4870&amp;"|"&amp;$F4870)</f>
        <v/>
      </c>
      <c r="U4870" t="str">
        <f t="shared" ref="U4870:U4933" si="766">IF($A4870="","",$R4870&amp;"("&amp;$E4870&amp;")")</f>
        <v/>
      </c>
      <c r="V4870" t="str">
        <f t="shared" ref="V4870:V4933" si="767">IF($A4870="","",$F4870&amp;"|"&amp;$U4870&amp;"|"&amp;$D4870)</f>
        <v/>
      </c>
      <c r="W4870" t="str">
        <f t="shared" ref="W4870:W4933" si="768">IF($T4870="","",IF($X4870&gt;N($X4869),$X4870,""))</f>
        <v/>
      </c>
      <c r="X4870">
        <f>IF($T4870="",N($X4869),IF(MATCH($T4870,$T$6:$T$10005,0)=ROW()-5,N($X4869)+1,N($X4869)))</f>
        <v>0</v>
      </c>
      <c r="Z4870" t="str">
        <f t="shared" ref="Z4870:Z4933" si="769">IF($V4870="","",IF($AA4870&gt;N($AA4869),$AA4870,""))</f>
        <v/>
      </c>
      <c r="AA4870">
        <f>IF($V4870="",N($AA4869),IF(MATCH($V4870,$V$6:$V$10005,0)=ROW()-5,N($AA4869)+1,N($AA4869)))</f>
        <v>0</v>
      </c>
    </row>
    <row r="4871" spans="1:27" ht="21" customHeight="1" x14ac:dyDescent="0.95">
      <c r="A4871" s="56"/>
      <c r="B4871" s="57"/>
      <c r="C4871" s="57"/>
      <c r="D4871" s="57"/>
      <c r="E4871" s="56"/>
      <c r="F4871" s="57"/>
      <c r="G4871" s="57"/>
      <c r="H4871" s="56"/>
      <c r="I4871" s="56"/>
      <c r="J4871" s="58"/>
      <c r="K4871" s="58"/>
      <c r="L4871" s="13" t="str">
        <f t="shared" si="760"/>
        <v/>
      </c>
      <c r="M4871" s="13" t="str">
        <f t="shared" si="761"/>
        <v/>
      </c>
      <c r="Q4871" t="str">
        <f t="shared" si="762"/>
        <v/>
      </c>
      <c r="R4871" t="str">
        <f t="shared" si="763"/>
        <v/>
      </c>
      <c r="S4871" t="str">
        <f t="shared" si="764"/>
        <v/>
      </c>
      <c r="T4871" t="str">
        <f t="shared" si="765"/>
        <v/>
      </c>
      <c r="U4871" t="str">
        <f t="shared" si="766"/>
        <v/>
      </c>
      <c r="V4871" t="str">
        <f t="shared" si="767"/>
        <v/>
      </c>
      <c r="W4871" t="str">
        <f t="shared" si="768"/>
        <v/>
      </c>
      <c r="X4871">
        <f>IF($T4871="",N($X4870),IF(MATCH($T4871,$T$6:$T$10005,0)=ROW()-5,N($X4870)+1,N($X4870)))</f>
        <v>0</v>
      </c>
      <c r="Z4871" t="str">
        <f t="shared" si="769"/>
        <v/>
      </c>
      <c r="AA4871">
        <f>IF($V4871="",N($AA4870),IF(MATCH($V4871,$V$6:$V$10005,0)=ROW()-5,N($AA4870)+1,N($AA4870)))</f>
        <v>0</v>
      </c>
    </row>
    <row r="4872" spans="1:27" ht="21" customHeight="1" x14ac:dyDescent="0.95">
      <c r="A4872" s="56"/>
      <c r="B4872" s="57"/>
      <c r="C4872" s="57"/>
      <c r="D4872" s="57"/>
      <c r="E4872" s="56"/>
      <c r="F4872" s="57"/>
      <c r="G4872" s="57"/>
      <c r="H4872" s="56"/>
      <c r="I4872" s="56"/>
      <c r="J4872" s="58"/>
      <c r="K4872" s="58"/>
      <c r="L4872" s="13" t="str">
        <f t="shared" si="760"/>
        <v/>
      </c>
      <c r="M4872" s="13" t="str">
        <f t="shared" si="761"/>
        <v/>
      </c>
      <c r="Q4872" t="str">
        <f t="shared" si="762"/>
        <v/>
      </c>
      <c r="R4872" t="str">
        <f t="shared" si="763"/>
        <v/>
      </c>
      <c r="S4872" t="str">
        <f t="shared" si="764"/>
        <v/>
      </c>
      <c r="T4872" t="str">
        <f t="shared" si="765"/>
        <v/>
      </c>
      <c r="U4872" t="str">
        <f t="shared" si="766"/>
        <v/>
      </c>
      <c r="V4872" t="str">
        <f t="shared" si="767"/>
        <v/>
      </c>
      <c r="W4872" t="str">
        <f t="shared" si="768"/>
        <v/>
      </c>
      <c r="X4872">
        <f>IF($T4872="",N($X4871),IF(MATCH($T4872,$T$6:$T$10005,0)=ROW()-5,N($X4871)+1,N($X4871)))</f>
        <v>0</v>
      </c>
      <c r="Z4872" t="str">
        <f t="shared" si="769"/>
        <v/>
      </c>
      <c r="AA4872">
        <f>IF($V4872="",N($AA4871),IF(MATCH($V4872,$V$6:$V$10005,0)=ROW()-5,N($AA4871)+1,N($AA4871)))</f>
        <v>0</v>
      </c>
    </row>
    <row r="4873" spans="1:27" ht="21" customHeight="1" x14ac:dyDescent="0.95">
      <c r="A4873" s="56"/>
      <c r="B4873" s="57"/>
      <c r="C4873" s="57"/>
      <c r="D4873" s="57"/>
      <c r="E4873" s="56"/>
      <c r="F4873" s="57"/>
      <c r="G4873" s="57"/>
      <c r="H4873" s="56"/>
      <c r="I4873" s="56"/>
      <c r="J4873" s="58"/>
      <c r="K4873" s="58"/>
      <c r="L4873" s="13" t="str">
        <f t="shared" si="760"/>
        <v/>
      </c>
      <c r="M4873" s="13" t="str">
        <f t="shared" si="761"/>
        <v/>
      </c>
      <c r="Q4873" t="str">
        <f t="shared" si="762"/>
        <v/>
      </c>
      <c r="R4873" t="str">
        <f t="shared" si="763"/>
        <v/>
      </c>
      <c r="S4873" t="str">
        <f t="shared" si="764"/>
        <v/>
      </c>
      <c r="T4873" t="str">
        <f t="shared" si="765"/>
        <v/>
      </c>
      <c r="U4873" t="str">
        <f t="shared" si="766"/>
        <v/>
      </c>
      <c r="V4873" t="str">
        <f t="shared" si="767"/>
        <v/>
      </c>
      <c r="W4873" t="str">
        <f t="shared" si="768"/>
        <v/>
      </c>
      <c r="X4873">
        <f>IF($T4873="",N($X4872),IF(MATCH($T4873,$T$6:$T$10005,0)=ROW()-5,N($X4872)+1,N($X4872)))</f>
        <v>0</v>
      </c>
      <c r="Z4873" t="str">
        <f t="shared" si="769"/>
        <v/>
      </c>
      <c r="AA4873">
        <f>IF($V4873="",N($AA4872),IF(MATCH($V4873,$V$6:$V$10005,0)=ROW()-5,N($AA4872)+1,N($AA4872)))</f>
        <v>0</v>
      </c>
    </row>
    <row r="4874" spans="1:27" ht="21" customHeight="1" x14ac:dyDescent="0.95">
      <c r="A4874" s="56"/>
      <c r="B4874" s="57"/>
      <c r="C4874" s="57"/>
      <c r="D4874" s="57"/>
      <c r="E4874" s="56"/>
      <c r="F4874" s="57"/>
      <c r="G4874" s="57"/>
      <c r="H4874" s="56"/>
      <c r="I4874" s="56"/>
      <c r="J4874" s="58"/>
      <c r="K4874" s="58"/>
      <c r="L4874" s="13" t="str">
        <f t="shared" si="760"/>
        <v/>
      </c>
      <c r="M4874" s="13" t="str">
        <f t="shared" si="761"/>
        <v/>
      </c>
      <c r="Q4874" t="str">
        <f t="shared" si="762"/>
        <v/>
      </c>
      <c r="R4874" t="str">
        <f t="shared" si="763"/>
        <v/>
      </c>
      <c r="S4874" t="str">
        <f t="shared" si="764"/>
        <v/>
      </c>
      <c r="T4874" t="str">
        <f t="shared" si="765"/>
        <v/>
      </c>
      <c r="U4874" t="str">
        <f t="shared" si="766"/>
        <v/>
      </c>
      <c r="V4874" t="str">
        <f t="shared" si="767"/>
        <v/>
      </c>
      <c r="W4874" t="str">
        <f t="shared" si="768"/>
        <v/>
      </c>
      <c r="X4874">
        <f>IF($T4874="",N($X4873),IF(MATCH($T4874,$T$6:$T$10005,0)=ROW()-5,N($X4873)+1,N($X4873)))</f>
        <v>0</v>
      </c>
      <c r="Z4874" t="str">
        <f t="shared" si="769"/>
        <v/>
      </c>
      <c r="AA4874">
        <f>IF($V4874="",N($AA4873),IF(MATCH($V4874,$V$6:$V$10005,0)=ROW()-5,N($AA4873)+1,N($AA4873)))</f>
        <v>0</v>
      </c>
    </row>
    <row r="4875" spans="1:27" ht="21" customHeight="1" x14ac:dyDescent="0.95">
      <c r="A4875" s="56"/>
      <c r="B4875" s="57"/>
      <c r="C4875" s="57"/>
      <c r="D4875" s="57"/>
      <c r="E4875" s="56"/>
      <c r="F4875" s="57"/>
      <c r="G4875" s="57"/>
      <c r="H4875" s="56"/>
      <c r="I4875" s="56"/>
      <c r="J4875" s="58"/>
      <c r="K4875" s="58"/>
      <c r="L4875" s="13" t="str">
        <f t="shared" si="760"/>
        <v/>
      </c>
      <c r="M4875" s="13" t="str">
        <f t="shared" si="761"/>
        <v/>
      </c>
      <c r="Q4875" t="str">
        <f t="shared" si="762"/>
        <v/>
      </c>
      <c r="R4875" t="str">
        <f t="shared" si="763"/>
        <v/>
      </c>
      <c r="S4875" t="str">
        <f t="shared" si="764"/>
        <v/>
      </c>
      <c r="T4875" t="str">
        <f t="shared" si="765"/>
        <v/>
      </c>
      <c r="U4875" t="str">
        <f t="shared" si="766"/>
        <v/>
      </c>
      <c r="V4875" t="str">
        <f t="shared" si="767"/>
        <v/>
      </c>
      <c r="W4875" t="str">
        <f t="shared" si="768"/>
        <v/>
      </c>
      <c r="X4875">
        <f>IF($T4875="",N($X4874),IF(MATCH($T4875,$T$6:$T$10005,0)=ROW()-5,N($X4874)+1,N($X4874)))</f>
        <v>0</v>
      </c>
      <c r="Z4875" t="str">
        <f t="shared" si="769"/>
        <v/>
      </c>
      <c r="AA4875">
        <f>IF($V4875="",N($AA4874),IF(MATCH($V4875,$V$6:$V$10005,0)=ROW()-5,N($AA4874)+1,N($AA4874)))</f>
        <v>0</v>
      </c>
    </row>
    <row r="4876" spans="1:27" ht="21" customHeight="1" x14ac:dyDescent="0.95">
      <c r="A4876" s="56"/>
      <c r="B4876" s="57"/>
      <c r="C4876" s="57"/>
      <c r="D4876" s="57"/>
      <c r="E4876" s="56"/>
      <c r="F4876" s="57"/>
      <c r="G4876" s="57"/>
      <c r="H4876" s="56"/>
      <c r="I4876" s="56"/>
      <c r="J4876" s="58"/>
      <c r="K4876" s="58"/>
      <c r="L4876" s="13" t="str">
        <f t="shared" si="760"/>
        <v/>
      </c>
      <c r="M4876" s="13" t="str">
        <f t="shared" si="761"/>
        <v/>
      </c>
      <c r="Q4876" t="str">
        <f t="shared" si="762"/>
        <v/>
      </c>
      <c r="R4876" t="str">
        <f t="shared" si="763"/>
        <v/>
      </c>
      <c r="S4876" t="str">
        <f t="shared" si="764"/>
        <v/>
      </c>
      <c r="T4876" t="str">
        <f t="shared" si="765"/>
        <v/>
      </c>
      <c r="U4876" t="str">
        <f t="shared" si="766"/>
        <v/>
      </c>
      <c r="V4876" t="str">
        <f t="shared" si="767"/>
        <v/>
      </c>
      <c r="W4876" t="str">
        <f t="shared" si="768"/>
        <v/>
      </c>
      <c r="X4876">
        <f>IF($T4876="",N($X4875),IF(MATCH($T4876,$T$6:$T$10005,0)=ROW()-5,N($X4875)+1,N($X4875)))</f>
        <v>0</v>
      </c>
      <c r="Z4876" t="str">
        <f t="shared" si="769"/>
        <v/>
      </c>
      <c r="AA4876">
        <f>IF($V4876="",N($AA4875),IF(MATCH($V4876,$V$6:$V$10005,0)=ROW()-5,N($AA4875)+1,N($AA4875)))</f>
        <v>0</v>
      </c>
    </row>
    <row r="4877" spans="1:27" ht="21" customHeight="1" x14ac:dyDescent="0.95">
      <c r="A4877" s="56"/>
      <c r="B4877" s="57"/>
      <c r="C4877" s="57"/>
      <c r="D4877" s="57"/>
      <c r="E4877" s="56"/>
      <c r="F4877" s="57"/>
      <c r="G4877" s="57"/>
      <c r="H4877" s="56"/>
      <c r="I4877" s="56"/>
      <c r="J4877" s="58"/>
      <c r="K4877" s="58"/>
      <c r="L4877" s="13" t="str">
        <f t="shared" si="760"/>
        <v/>
      </c>
      <c r="M4877" s="13" t="str">
        <f t="shared" si="761"/>
        <v/>
      </c>
      <c r="Q4877" t="str">
        <f t="shared" si="762"/>
        <v/>
      </c>
      <c r="R4877" t="str">
        <f t="shared" si="763"/>
        <v/>
      </c>
      <c r="S4877" t="str">
        <f t="shared" si="764"/>
        <v/>
      </c>
      <c r="T4877" t="str">
        <f t="shared" si="765"/>
        <v/>
      </c>
      <c r="U4877" t="str">
        <f t="shared" si="766"/>
        <v/>
      </c>
      <c r="V4877" t="str">
        <f t="shared" si="767"/>
        <v/>
      </c>
      <c r="W4877" t="str">
        <f t="shared" si="768"/>
        <v/>
      </c>
      <c r="X4877">
        <f>IF($T4877="",N($X4876),IF(MATCH($T4877,$T$6:$T$10005,0)=ROW()-5,N($X4876)+1,N($X4876)))</f>
        <v>0</v>
      </c>
      <c r="Z4877" t="str">
        <f t="shared" si="769"/>
        <v/>
      </c>
      <c r="AA4877">
        <f>IF($V4877="",N($AA4876),IF(MATCH($V4877,$V$6:$V$10005,0)=ROW()-5,N($AA4876)+1,N($AA4876)))</f>
        <v>0</v>
      </c>
    </row>
    <row r="4878" spans="1:27" ht="21" customHeight="1" x14ac:dyDescent="0.95">
      <c r="A4878" s="56"/>
      <c r="B4878" s="57"/>
      <c r="C4878" s="57"/>
      <c r="D4878" s="57"/>
      <c r="E4878" s="56"/>
      <c r="F4878" s="57"/>
      <c r="G4878" s="57"/>
      <c r="H4878" s="56"/>
      <c r="I4878" s="56"/>
      <c r="J4878" s="58"/>
      <c r="K4878" s="58"/>
      <c r="L4878" s="13" t="str">
        <f t="shared" si="760"/>
        <v/>
      </c>
      <c r="M4878" s="13" t="str">
        <f t="shared" si="761"/>
        <v/>
      </c>
      <c r="Q4878" t="str">
        <f t="shared" si="762"/>
        <v/>
      </c>
      <c r="R4878" t="str">
        <f t="shared" si="763"/>
        <v/>
      </c>
      <c r="S4878" t="str">
        <f t="shared" si="764"/>
        <v/>
      </c>
      <c r="T4878" t="str">
        <f t="shared" si="765"/>
        <v/>
      </c>
      <c r="U4878" t="str">
        <f t="shared" si="766"/>
        <v/>
      </c>
      <c r="V4878" t="str">
        <f t="shared" si="767"/>
        <v/>
      </c>
      <c r="W4878" t="str">
        <f t="shared" si="768"/>
        <v/>
      </c>
      <c r="X4878">
        <f>IF($T4878="",N($X4877),IF(MATCH($T4878,$T$6:$T$10005,0)=ROW()-5,N($X4877)+1,N($X4877)))</f>
        <v>0</v>
      </c>
      <c r="Z4878" t="str">
        <f t="shared" si="769"/>
        <v/>
      </c>
      <c r="AA4878">
        <f>IF($V4878="",N($AA4877),IF(MATCH($V4878,$V$6:$V$10005,0)=ROW()-5,N($AA4877)+1,N($AA4877)))</f>
        <v>0</v>
      </c>
    </row>
    <row r="4879" spans="1:27" ht="21" customHeight="1" x14ac:dyDescent="0.95">
      <c r="A4879" s="56"/>
      <c r="B4879" s="57"/>
      <c r="C4879" s="57"/>
      <c r="D4879" s="57"/>
      <c r="E4879" s="56"/>
      <c r="F4879" s="57"/>
      <c r="G4879" s="57"/>
      <c r="H4879" s="56"/>
      <c r="I4879" s="56"/>
      <c r="J4879" s="58"/>
      <c r="K4879" s="58"/>
      <c r="L4879" s="13" t="str">
        <f t="shared" si="760"/>
        <v/>
      </c>
      <c r="M4879" s="13" t="str">
        <f t="shared" si="761"/>
        <v/>
      </c>
      <c r="Q4879" t="str">
        <f t="shared" si="762"/>
        <v/>
      </c>
      <c r="R4879" t="str">
        <f t="shared" si="763"/>
        <v/>
      </c>
      <c r="S4879" t="str">
        <f t="shared" si="764"/>
        <v/>
      </c>
      <c r="T4879" t="str">
        <f t="shared" si="765"/>
        <v/>
      </c>
      <c r="U4879" t="str">
        <f t="shared" si="766"/>
        <v/>
      </c>
      <c r="V4879" t="str">
        <f t="shared" si="767"/>
        <v/>
      </c>
      <c r="W4879" t="str">
        <f t="shared" si="768"/>
        <v/>
      </c>
      <c r="X4879">
        <f>IF($T4879="",N($X4878),IF(MATCH($T4879,$T$6:$T$10005,0)=ROW()-5,N($X4878)+1,N($X4878)))</f>
        <v>0</v>
      </c>
      <c r="Z4879" t="str">
        <f t="shared" si="769"/>
        <v/>
      </c>
      <c r="AA4879">
        <f>IF($V4879="",N($AA4878),IF(MATCH($V4879,$V$6:$V$10005,0)=ROW()-5,N($AA4878)+1,N($AA4878)))</f>
        <v>0</v>
      </c>
    </row>
    <row r="4880" spans="1:27" ht="21" customHeight="1" x14ac:dyDescent="0.95">
      <c r="A4880" s="56"/>
      <c r="B4880" s="57"/>
      <c r="C4880" s="57"/>
      <c r="D4880" s="57"/>
      <c r="E4880" s="56"/>
      <c r="F4880" s="57"/>
      <c r="G4880" s="57"/>
      <c r="H4880" s="56"/>
      <c r="I4880" s="56"/>
      <c r="J4880" s="58"/>
      <c r="K4880" s="58"/>
      <c r="L4880" s="13" t="str">
        <f t="shared" si="760"/>
        <v/>
      </c>
      <c r="M4880" s="13" t="str">
        <f t="shared" si="761"/>
        <v/>
      </c>
      <c r="Q4880" t="str">
        <f t="shared" si="762"/>
        <v/>
      </c>
      <c r="R4880" t="str">
        <f t="shared" si="763"/>
        <v/>
      </c>
      <c r="S4880" t="str">
        <f t="shared" si="764"/>
        <v/>
      </c>
      <c r="T4880" t="str">
        <f t="shared" si="765"/>
        <v/>
      </c>
      <c r="U4880" t="str">
        <f t="shared" si="766"/>
        <v/>
      </c>
      <c r="V4880" t="str">
        <f t="shared" si="767"/>
        <v/>
      </c>
      <c r="W4880" t="str">
        <f t="shared" si="768"/>
        <v/>
      </c>
      <c r="X4880">
        <f>IF($T4880="",N($X4879),IF(MATCH($T4880,$T$6:$T$10005,0)=ROW()-5,N($X4879)+1,N($X4879)))</f>
        <v>0</v>
      </c>
      <c r="Z4880" t="str">
        <f t="shared" si="769"/>
        <v/>
      </c>
      <c r="AA4880">
        <f>IF($V4880="",N($AA4879),IF(MATCH($V4880,$V$6:$V$10005,0)=ROW()-5,N($AA4879)+1,N($AA4879)))</f>
        <v>0</v>
      </c>
    </row>
    <row r="4881" spans="1:27" ht="21" customHeight="1" x14ac:dyDescent="0.95">
      <c r="A4881" s="56"/>
      <c r="B4881" s="57"/>
      <c r="C4881" s="57"/>
      <c r="D4881" s="57"/>
      <c r="E4881" s="56"/>
      <c r="F4881" s="57"/>
      <c r="G4881" s="57"/>
      <c r="H4881" s="56"/>
      <c r="I4881" s="56"/>
      <c r="J4881" s="58"/>
      <c r="K4881" s="58"/>
      <c r="L4881" s="13" t="str">
        <f t="shared" si="760"/>
        <v/>
      </c>
      <c r="M4881" s="13" t="str">
        <f t="shared" si="761"/>
        <v/>
      </c>
      <c r="Q4881" t="str">
        <f t="shared" si="762"/>
        <v/>
      </c>
      <c r="R4881" t="str">
        <f t="shared" si="763"/>
        <v/>
      </c>
      <c r="S4881" t="str">
        <f t="shared" si="764"/>
        <v/>
      </c>
      <c r="T4881" t="str">
        <f t="shared" si="765"/>
        <v/>
      </c>
      <c r="U4881" t="str">
        <f t="shared" si="766"/>
        <v/>
      </c>
      <c r="V4881" t="str">
        <f t="shared" si="767"/>
        <v/>
      </c>
      <c r="W4881" t="str">
        <f t="shared" si="768"/>
        <v/>
      </c>
      <c r="X4881">
        <f>IF($T4881="",N($X4880),IF(MATCH($T4881,$T$6:$T$10005,0)=ROW()-5,N($X4880)+1,N($X4880)))</f>
        <v>0</v>
      </c>
      <c r="Z4881" t="str">
        <f t="shared" si="769"/>
        <v/>
      </c>
      <c r="AA4881">
        <f>IF($V4881="",N($AA4880),IF(MATCH($V4881,$V$6:$V$10005,0)=ROW()-5,N($AA4880)+1,N($AA4880)))</f>
        <v>0</v>
      </c>
    </row>
    <row r="4882" spans="1:27" ht="21" customHeight="1" x14ac:dyDescent="0.95">
      <c r="A4882" s="56"/>
      <c r="B4882" s="57"/>
      <c r="C4882" s="57"/>
      <c r="D4882" s="57"/>
      <c r="E4882" s="56"/>
      <c r="F4882" s="57"/>
      <c r="G4882" s="57"/>
      <c r="H4882" s="56"/>
      <c r="I4882" s="56"/>
      <c r="J4882" s="58"/>
      <c r="K4882" s="58"/>
      <c r="L4882" s="13" t="str">
        <f t="shared" si="760"/>
        <v/>
      </c>
      <c r="M4882" s="13" t="str">
        <f t="shared" si="761"/>
        <v/>
      </c>
      <c r="Q4882" t="str">
        <f t="shared" si="762"/>
        <v/>
      </c>
      <c r="R4882" t="str">
        <f t="shared" si="763"/>
        <v/>
      </c>
      <c r="S4882" t="str">
        <f t="shared" si="764"/>
        <v/>
      </c>
      <c r="T4882" t="str">
        <f t="shared" si="765"/>
        <v/>
      </c>
      <c r="U4882" t="str">
        <f t="shared" si="766"/>
        <v/>
      </c>
      <c r="V4882" t="str">
        <f t="shared" si="767"/>
        <v/>
      </c>
      <c r="W4882" t="str">
        <f t="shared" si="768"/>
        <v/>
      </c>
      <c r="X4882">
        <f>IF($T4882="",N($X4881),IF(MATCH($T4882,$T$6:$T$10005,0)=ROW()-5,N($X4881)+1,N($X4881)))</f>
        <v>0</v>
      </c>
      <c r="Z4882" t="str">
        <f t="shared" si="769"/>
        <v/>
      </c>
      <c r="AA4882">
        <f>IF($V4882="",N($AA4881),IF(MATCH($V4882,$V$6:$V$10005,0)=ROW()-5,N($AA4881)+1,N($AA4881)))</f>
        <v>0</v>
      </c>
    </row>
    <row r="4883" spans="1:27" ht="21" customHeight="1" x14ac:dyDescent="0.95">
      <c r="A4883" s="56"/>
      <c r="B4883" s="57"/>
      <c r="C4883" s="57"/>
      <c r="D4883" s="57"/>
      <c r="E4883" s="56"/>
      <c r="F4883" s="57"/>
      <c r="G4883" s="57"/>
      <c r="H4883" s="56"/>
      <c r="I4883" s="56"/>
      <c r="J4883" s="58"/>
      <c r="K4883" s="58"/>
      <c r="L4883" s="13" t="str">
        <f t="shared" si="760"/>
        <v/>
      </c>
      <c r="M4883" s="13" t="str">
        <f t="shared" si="761"/>
        <v/>
      </c>
      <c r="Q4883" t="str">
        <f t="shared" si="762"/>
        <v/>
      </c>
      <c r="R4883" t="str">
        <f t="shared" si="763"/>
        <v/>
      </c>
      <c r="S4883" t="str">
        <f t="shared" si="764"/>
        <v/>
      </c>
      <c r="T4883" t="str">
        <f t="shared" si="765"/>
        <v/>
      </c>
      <c r="U4883" t="str">
        <f t="shared" si="766"/>
        <v/>
      </c>
      <c r="V4883" t="str">
        <f t="shared" si="767"/>
        <v/>
      </c>
      <c r="W4883" t="str">
        <f t="shared" si="768"/>
        <v/>
      </c>
      <c r="X4883">
        <f>IF($T4883="",N($X4882),IF(MATCH($T4883,$T$6:$T$10005,0)=ROW()-5,N($X4882)+1,N($X4882)))</f>
        <v>0</v>
      </c>
      <c r="Z4883" t="str">
        <f t="shared" si="769"/>
        <v/>
      </c>
      <c r="AA4883">
        <f>IF($V4883="",N($AA4882),IF(MATCH($V4883,$V$6:$V$10005,0)=ROW()-5,N($AA4882)+1,N($AA4882)))</f>
        <v>0</v>
      </c>
    </row>
    <row r="4884" spans="1:27" ht="21" customHeight="1" x14ac:dyDescent="0.95">
      <c r="A4884" s="56"/>
      <c r="B4884" s="57"/>
      <c r="C4884" s="57"/>
      <c r="D4884" s="57"/>
      <c r="E4884" s="56"/>
      <c r="F4884" s="57"/>
      <c r="G4884" s="57"/>
      <c r="H4884" s="56"/>
      <c r="I4884" s="56"/>
      <c r="J4884" s="58"/>
      <c r="K4884" s="58"/>
      <c r="L4884" s="13" t="str">
        <f t="shared" si="760"/>
        <v/>
      </c>
      <c r="M4884" s="13" t="str">
        <f t="shared" si="761"/>
        <v/>
      </c>
      <c r="Q4884" t="str">
        <f t="shared" si="762"/>
        <v/>
      </c>
      <c r="R4884" t="str">
        <f t="shared" si="763"/>
        <v/>
      </c>
      <c r="S4884" t="str">
        <f t="shared" si="764"/>
        <v/>
      </c>
      <c r="T4884" t="str">
        <f t="shared" si="765"/>
        <v/>
      </c>
      <c r="U4884" t="str">
        <f t="shared" si="766"/>
        <v/>
      </c>
      <c r="V4884" t="str">
        <f t="shared" si="767"/>
        <v/>
      </c>
      <c r="W4884" t="str">
        <f t="shared" si="768"/>
        <v/>
      </c>
      <c r="X4884">
        <f>IF($T4884="",N($X4883),IF(MATCH($T4884,$T$6:$T$10005,0)=ROW()-5,N($X4883)+1,N($X4883)))</f>
        <v>0</v>
      </c>
      <c r="Z4884" t="str">
        <f t="shared" si="769"/>
        <v/>
      </c>
      <c r="AA4884">
        <f>IF($V4884="",N($AA4883),IF(MATCH($V4884,$V$6:$V$10005,0)=ROW()-5,N($AA4883)+1,N($AA4883)))</f>
        <v>0</v>
      </c>
    </row>
    <row r="4885" spans="1:27" ht="21" customHeight="1" x14ac:dyDescent="0.95">
      <c r="A4885" s="56"/>
      <c r="B4885" s="57"/>
      <c r="C4885" s="57"/>
      <c r="D4885" s="57"/>
      <c r="E4885" s="56"/>
      <c r="F4885" s="57"/>
      <c r="G4885" s="57"/>
      <c r="H4885" s="56"/>
      <c r="I4885" s="56"/>
      <c r="J4885" s="58"/>
      <c r="K4885" s="58"/>
      <c r="L4885" s="13" t="str">
        <f t="shared" si="760"/>
        <v/>
      </c>
      <c r="M4885" s="13" t="str">
        <f t="shared" si="761"/>
        <v/>
      </c>
      <c r="Q4885" t="str">
        <f t="shared" si="762"/>
        <v/>
      </c>
      <c r="R4885" t="str">
        <f t="shared" si="763"/>
        <v/>
      </c>
      <c r="S4885" t="str">
        <f t="shared" si="764"/>
        <v/>
      </c>
      <c r="T4885" t="str">
        <f t="shared" si="765"/>
        <v/>
      </c>
      <c r="U4885" t="str">
        <f t="shared" si="766"/>
        <v/>
      </c>
      <c r="V4885" t="str">
        <f t="shared" si="767"/>
        <v/>
      </c>
      <c r="W4885" t="str">
        <f t="shared" si="768"/>
        <v/>
      </c>
      <c r="X4885">
        <f>IF($T4885="",N($X4884),IF(MATCH($T4885,$T$6:$T$10005,0)=ROW()-5,N($X4884)+1,N($X4884)))</f>
        <v>0</v>
      </c>
      <c r="Z4885" t="str">
        <f t="shared" si="769"/>
        <v/>
      </c>
      <c r="AA4885">
        <f>IF($V4885="",N($AA4884),IF(MATCH($V4885,$V$6:$V$10005,0)=ROW()-5,N($AA4884)+1,N($AA4884)))</f>
        <v>0</v>
      </c>
    </row>
    <row r="4886" spans="1:27" ht="21" customHeight="1" x14ac:dyDescent="0.95">
      <c r="A4886" s="56"/>
      <c r="B4886" s="57"/>
      <c r="C4886" s="57"/>
      <c r="D4886" s="57"/>
      <c r="E4886" s="56"/>
      <c r="F4886" s="57"/>
      <c r="G4886" s="57"/>
      <c r="H4886" s="56"/>
      <c r="I4886" s="56"/>
      <c r="J4886" s="58"/>
      <c r="K4886" s="58"/>
      <c r="L4886" s="13" t="str">
        <f t="shared" si="760"/>
        <v/>
      </c>
      <c r="M4886" s="13" t="str">
        <f t="shared" si="761"/>
        <v/>
      </c>
      <c r="Q4886" t="str">
        <f t="shared" si="762"/>
        <v/>
      </c>
      <c r="R4886" t="str">
        <f t="shared" si="763"/>
        <v/>
      </c>
      <c r="S4886" t="str">
        <f t="shared" si="764"/>
        <v/>
      </c>
      <c r="T4886" t="str">
        <f t="shared" si="765"/>
        <v/>
      </c>
      <c r="U4886" t="str">
        <f t="shared" si="766"/>
        <v/>
      </c>
      <c r="V4886" t="str">
        <f t="shared" si="767"/>
        <v/>
      </c>
      <c r="W4886" t="str">
        <f t="shared" si="768"/>
        <v/>
      </c>
      <c r="X4886">
        <f>IF($T4886="",N($X4885),IF(MATCH($T4886,$T$6:$T$10005,0)=ROW()-5,N($X4885)+1,N($X4885)))</f>
        <v>0</v>
      </c>
      <c r="Z4886" t="str">
        <f t="shared" si="769"/>
        <v/>
      </c>
      <c r="AA4886">
        <f>IF($V4886="",N($AA4885),IF(MATCH($V4886,$V$6:$V$10005,0)=ROW()-5,N($AA4885)+1,N($AA4885)))</f>
        <v>0</v>
      </c>
    </row>
    <row r="4887" spans="1:27" ht="21" customHeight="1" x14ac:dyDescent="0.95">
      <c r="A4887" s="56"/>
      <c r="B4887" s="57"/>
      <c r="C4887" s="57"/>
      <c r="D4887" s="57"/>
      <c r="E4887" s="56"/>
      <c r="F4887" s="57"/>
      <c r="G4887" s="57"/>
      <c r="H4887" s="56"/>
      <c r="I4887" s="56"/>
      <c r="J4887" s="58"/>
      <c r="K4887" s="58"/>
      <c r="L4887" s="13" t="str">
        <f t="shared" si="760"/>
        <v/>
      </c>
      <c r="M4887" s="13" t="str">
        <f t="shared" si="761"/>
        <v/>
      </c>
      <c r="Q4887" t="str">
        <f t="shared" si="762"/>
        <v/>
      </c>
      <c r="R4887" t="str">
        <f t="shared" si="763"/>
        <v/>
      </c>
      <c r="S4887" t="str">
        <f t="shared" si="764"/>
        <v/>
      </c>
      <c r="T4887" t="str">
        <f t="shared" si="765"/>
        <v/>
      </c>
      <c r="U4887" t="str">
        <f t="shared" si="766"/>
        <v/>
      </c>
      <c r="V4887" t="str">
        <f t="shared" si="767"/>
        <v/>
      </c>
      <c r="W4887" t="str">
        <f t="shared" si="768"/>
        <v/>
      </c>
      <c r="X4887">
        <f>IF($T4887="",N($X4886),IF(MATCH($T4887,$T$6:$T$10005,0)=ROW()-5,N($X4886)+1,N($X4886)))</f>
        <v>0</v>
      </c>
      <c r="Z4887" t="str">
        <f t="shared" si="769"/>
        <v/>
      </c>
      <c r="AA4887">
        <f>IF($V4887="",N($AA4886),IF(MATCH($V4887,$V$6:$V$10005,0)=ROW()-5,N($AA4886)+1,N($AA4886)))</f>
        <v>0</v>
      </c>
    </row>
    <row r="4888" spans="1:27" ht="21" customHeight="1" x14ac:dyDescent="0.95">
      <c r="A4888" s="56"/>
      <c r="B4888" s="57"/>
      <c r="C4888" s="57"/>
      <c r="D4888" s="57"/>
      <c r="E4888" s="56"/>
      <c r="F4888" s="57"/>
      <c r="G4888" s="57"/>
      <c r="H4888" s="56"/>
      <c r="I4888" s="56"/>
      <c r="J4888" s="58"/>
      <c r="K4888" s="58"/>
      <c r="L4888" s="13" t="str">
        <f t="shared" si="760"/>
        <v/>
      </c>
      <c r="M4888" s="13" t="str">
        <f t="shared" si="761"/>
        <v/>
      </c>
      <c r="Q4888" t="str">
        <f t="shared" si="762"/>
        <v/>
      </c>
      <c r="R4888" t="str">
        <f t="shared" si="763"/>
        <v/>
      </c>
      <c r="S4888" t="str">
        <f t="shared" si="764"/>
        <v/>
      </c>
      <c r="T4888" t="str">
        <f t="shared" si="765"/>
        <v/>
      </c>
      <c r="U4888" t="str">
        <f t="shared" si="766"/>
        <v/>
      </c>
      <c r="V4888" t="str">
        <f t="shared" si="767"/>
        <v/>
      </c>
      <c r="W4888" t="str">
        <f t="shared" si="768"/>
        <v/>
      </c>
      <c r="X4888">
        <f>IF($T4888="",N($X4887),IF(MATCH($T4888,$T$6:$T$10005,0)=ROW()-5,N($X4887)+1,N($X4887)))</f>
        <v>0</v>
      </c>
      <c r="Z4888" t="str">
        <f t="shared" si="769"/>
        <v/>
      </c>
      <c r="AA4888">
        <f>IF($V4888="",N($AA4887),IF(MATCH($V4888,$V$6:$V$10005,0)=ROW()-5,N($AA4887)+1,N($AA4887)))</f>
        <v>0</v>
      </c>
    </row>
    <row r="4889" spans="1:27" ht="21" customHeight="1" x14ac:dyDescent="0.95">
      <c r="A4889" s="56"/>
      <c r="B4889" s="57"/>
      <c r="C4889" s="57"/>
      <c r="D4889" s="57"/>
      <c r="E4889" s="56"/>
      <c r="F4889" s="57"/>
      <c r="G4889" s="57"/>
      <c r="H4889" s="56"/>
      <c r="I4889" s="56"/>
      <c r="J4889" s="58"/>
      <c r="K4889" s="58"/>
      <c r="L4889" s="13" t="str">
        <f t="shared" si="760"/>
        <v/>
      </c>
      <c r="M4889" s="13" t="str">
        <f t="shared" si="761"/>
        <v/>
      </c>
      <c r="Q4889" t="str">
        <f t="shared" si="762"/>
        <v/>
      </c>
      <c r="R4889" t="str">
        <f t="shared" si="763"/>
        <v/>
      </c>
      <c r="S4889" t="str">
        <f t="shared" si="764"/>
        <v/>
      </c>
      <c r="T4889" t="str">
        <f t="shared" si="765"/>
        <v/>
      </c>
      <c r="U4889" t="str">
        <f t="shared" si="766"/>
        <v/>
      </c>
      <c r="V4889" t="str">
        <f t="shared" si="767"/>
        <v/>
      </c>
      <c r="W4889" t="str">
        <f t="shared" si="768"/>
        <v/>
      </c>
      <c r="X4889">
        <f>IF($T4889="",N($X4888),IF(MATCH($T4889,$T$6:$T$10005,0)=ROW()-5,N($X4888)+1,N($X4888)))</f>
        <v>0</v>
      </c>
      <c r="Z4889" t="str">
        <f t="shared" si="769"/>
        <v/>
      </c>
      <c r="AA4889">
        <f>IF($V4889="",N($AA4888),IF(MATCH($V4889,$V$6:$V$10005,0)=ROW()-5,N($AA4888)+1,N($AA4888)))</f>
        <v>0</v>
      </c>
    </row>
    <row r="4890" spans="1:27" ht="21" customHeight="1" x14ac:dyDescent="0.95">
      <c r="A4890" s="56"/>
      <c r="B4890" s="57"/>
      <c r="C4890" s="57"/>
      <c r="D4890" s="57"/>
      <c r="E4890" s="56"/>
      <c r="F4890" s="57"/>
      <c r="G4890" s="57"/>
      <c r="H4890" s="56"/>
      <c r="I4890" s="56"/>
      <c r="J4890" s="58"/>
      <c r="K4890" s="58"/>
      <c r="L4890" s="13" t="str">
        <f t="shared" si="760"/>
        <v/>
      </c>
      <c r="M4890" s="13" t="str">
        <f t="shared" si="761"/>
        <v/>
      </c>
      <c r="Q4890" t="str">
        <f t="shared" si="762"/>
        <v/>
      </c>
      <c r="R4890" t="str">
        <f t="shared" si="763"/>
        <v/>
      </c>
      <c r="S4890" t="str">
        <f t="shared" si="764"/>
        <v/>
      </c>
      <c r="T4890" t="str">
        <f t="shared" si="765"/>
        <v/>
      </c>
      <c r="U4890" t="str">
        <f t="shared" si="766"/>
        <v/>
      </c>
      <c r="V4890" t="str">
        <f t="shared" si="767"/>
        <v/>
      </c>
      <c r="W4890" t="str">
        <f t="shared" si="768"/>
        <v/>
      </c>
      <c r="X4890">
        <f>IF($T4890="",N($X4889),IF(MATCH($T4890,$T$6:$T$10005,0)=ROW()-5,N($X4889)+1,N($X4889)))</f>
        <v>0</v>
      </c>
      <c r="Z4890" t="str">
        <f t="shared" si="769"/>
        <v/>
      </c>
      <c r="AA4890">
        <f>IF($V4890="",N($AA4889),IF(MATCH($V4890,$V$6:$V$10005,0)=ROW()-5,N($AA4889)+1,N($AA4889)))</f>
        <v>0</v>
      </c>
    </row>
    <row r="4891" spans="1:27" ht="21" customHeight="1" x14ac:dyDescent="0.95">
      <c r="A4891" s="56"/>
      <c r="B4891" s="57"/>
      <c r="C4891" s="57"/>
      <c r="D4891" s="57"/>
      <c r="E4891" s="56"/>
      <c r="F4891" s="57"/>
      <c r="G4891" s="57"/>
      <c r="H4891" s="56"/>
      <c r="I4891" s="56"/>
      <c r="J4891" s="58"/>
      <c r="K4891" s="58"/>
      <c r="L4891" s="13" t="str">
        <f t="shared" si="760"/>
        <v/>
      </c>
      <c r="M4891" s="13" t="str">
        <f t="shared" si="761"/>
        <v/>
      </c>
      <c r="Q4891" t="str">
        <f t="shared" si="762"/>
        <v/>
      </c>
      <c r="R4891" t="str">
        <f t="shared" si="763"/>
        <v/>
      </c>
      <c r="S4891" t="str">
        <f t="shared" si="764"/>
        <v/>
      </c>
      <c r="T4891" t="str">
        <f t="shared" si="765"/>
        <v/>
      </c>
      <c r="U4891" t="str">
        <f t="shared" si="766"/>
        <v/>
      </c>
      <c r="V4891" t="str">
        <f t="shared" si="767"/>
        <v/>
      </c>
      <c r="W4891" t="str">
        <f t="shared" si="768"/>
        <v/>
      </c>
      <c r="X4891">
        <f>IF($T4891="",N($X4890),IF(MATCH($T4891,$T$6:$T$10005,0)=ROW()-5,N($X4890)+1,N($X4890)))</f>
        <v>0</v>
      </c>
      <c r="Z4891" t="str">
        <f t="shared" si="769"/>
        <v/>
      </c>
      <c r="AA4891">
        <f>IF($V4891="",N($AA4890),IF(MATCH($V4891,$V$6:$V$10005,0)=ROW()-5,N($AA4890)+1,N($AA4890)))</f>
        <v>0</v>
      </c>
    </row>
    <row r="4892" spans="1:27" ht="21" customHeight="1" x14ac:dyDescent="0.95">
      <c r="A4892" s="56"/>
      <c r="B4892" s="57"/>
      <c r="C4892" s="57"/>
      <c r="D4892" s="57"/>
      <c r="E4892" s="56"/>
      <c r="F4892" s="57"/>
      <c r="G4892" s="57"/>
      <c r="H4892" s="56"/>
      <c r="I4892" s="56"/>
      <c r="J4892" s="58"/>
      <c r="K4892" s="58"/>
      <c r="L4892" s="13" t="str">
        <f t="shared" si="760"/>
        <v/>
      </c>
      <c r="M4892" s="13" t="str">
        <f t="shared" si="761"/>
        <v/>
      </c>
      <c r="Q4892" t="str">
        <f t="shared" si="762"/>
        <v/>
      </c>
      <c r="R4892" t="str">
        <f t="shared" si="763"/>
        <v/>
      </c>
      <c r="S4892" t="str">
        <f t="shared" si="764"/>
        <v/>
      </c>
      <c r="T4892" t="str">
        <f t="shared" si="765"/>
        <v/>
      </c>
      <c r="U4892" t="str">
        <f t="shared" si="766"/>
        <v/>
      </c>
      <c r="V4892" t="str">
        <f t="shared" si="767"/>
        <v/>
      </c>
      <c r="W4892" t="str">
        <f t="shared" si="768"/>
        <v/>
      </c>
      <c r="X4892">
        <f>IF($T4892="",N($X4891),IF(MATCH($T4892,$T$6:$T$10005,0)=ROW()-5,N($X4891)+1,N($X4891)))</f>
        <v>0</v>
      </c>
      <c r="Z4892" t="str">
        <f t="shared" si="769"/>
        <v/>
      </c>
      <c r="AA4892">
        <f>IF($V4892="",N($AA4891),IF(MATCH($V4892,$V$6:$V$10005,0)=ROW()-5,N($AA4891)+1,N($AA4891)))</f>
        <v>0</v>
      </c>
    </row>
    <row r="4893" spans="1:27" ht="21" customHeight="1" x14ac:dyDescent="0.95">
      <c r="A4893" s="56"/>
      <c r="B4893" s="57"/>
      <c r="C4893" s="57"/>
      <c r="D4893" s="57"/>
      <c r="E4893" s="56"/>
      <c r="F4893" s="57"/>
      <c r="G4893" s="57"/>
      <c r="H4893" s="56"/>
      <c r="I4893" s="56"/>
      <c r="J4893" s="58"/>
      <c r="K4893" s="58"/>
      <c r="L4893" s="13" t="str">
        <f t="shared" si="760"/>
        <v/>
      </c>
      <c r="M4893" s="13" t="str">
        <f t="shared" si="761"/>
        <v/>
      </c>
      <c r="Q4893" t="str">
        <f t="shared" si="762"/>
        <v/>
      </c>
      <c r="R4893" t="str">
        <f t="shared" si="763"/>
        <v/>
      </c>
      <c r="S4893" t="str">
        <f t="shared" si="764"/>
        <v/>
      </c>
      <c r="T4893" t="str">
        <f t="shared" si="765"/>
        <v/>
      </c>
      <c r="U4893" t="str">
        <f t="shared" si="766"/>
        <v/>
      </c>
      <c r="V4893" t="str">
        <f t="shared" si="767"/>
        <v/>
      </c>
      <c r="W4893" t="str">
        <f t="shared" si="768"/>
        <v/>
      </c>
      <c r="X4893">
        <f>IF($T4893="",N($X4892),IF(MATCH($T4893,$T$6:$T$10005,0)=ROW()-5,N($X4892)+1,N($X4892)))</f>
        <v>0</v>
      </c>
      <c r="Z4893" t="str">
        <f t="shared" si="769"/>
        <v/>
      </c>
      <c r="AA4893">
        <f>IF($V4893="",N($AA4892),IF(MATCH($V4893,$V$6:$V$10005,0)=ROW()-5,N($AA4892)+1,N($AA4892)))</f>
        <v>0</v>
      </c>
    </row>
    <row r="4894" spans="1:27" ht="21" customHeight="1" x14ac:dyDescent="0.95">
      <c r="A4894" s="56"/>
      <c r="B4894" s="57"/>
      <c r="C4894" s="57"/>
      <c r="D4894" s="57"/>
      <c r="E4894" s="56"/>
      <c r="F4894" s="57"/>
      <c r="G4894" s="57"/>
      <c r="H4894" s="56"/>
      <c r="I4894" s="56"/>
      <c r="J4894" s="58"/>
      <c r="K4894" s="58"/>
      <c r="L4894" s="13" t="str">
        <f t="shared" si="760"/>
        <v/>
      </c>
      <c r="M4894" s="13" t="str">
        <f t="shared" si="761"/>
        <v/>
      </c>
      <c r="Q4894" t="str">
        <f t="shared" si="762"/>
        <v/>
      </c>
      <c r="R4894" t="str">
        <f t="shared" si="763"/>
        <v/>
      </c>
      <c r="S4894" t="str">
        <f t="shared" si="764"/>
        <v/>
      </c>
      <c r="T4894" t="str">
        <f t="shared" si="765"/>
        <v/>
      </c>
      <c r="U4894" t="str">
        <f t="shared" si="766"/>
        <v/>
      </c>
      <c r="V4894" t="str">
        <f t="shared" si="767"/>
        <v/>
      </c>
      <c r="W4894" t="str">
        <f t="shared" si="768"/>
        <v/>
      </c>
      <c r="X4894">
        <f>IF($T4894="",N($X4893),IF(MATCH($T4894,$T$6:$T$10005,0)=ROW()-5,N($X4893)+1,N($X4893)))</f>
        <v>0</v>
      </c>
      <c r="Z4894" t="str">
        <f t="shared" si="769"/>
        <v/>
      </c>
      <c r="AA4894">
        <f>IF($V4894="",N($AA4893),IF(MATCH($V4894,$V$6:$V$10005,0)=ROW()-5,N($AA4893)+1,N($AA4893)))</f>
        <v>0</v>
      </c>
    </row>
    <row r="4895" spans="1:27" ht="21" customHeight="1" x14ac:dyDescent="0.95">
      <c r="A4895" s="56"/>
      <c r="B4895" s="57"/>
      <c r="C4895" s="57"/>
      <c r="D4895" s="57"/>
      <c r="E4895" s="56"/>
      <c r="F4895" s="57"/>
      <c r="G4895" s="57"/>
      <c r="H4895" s="56"/>
      <c r="I4895" s="56"/>
      <c r="J4895" s="58"/>
      <c r="K4895" s="58"/>
      <c r="L4895" s="13" t="str">
        <f t="shared" si="760"/>
        <v/>
      </c>
      <c r="M4895" s="13" t="str">
        <f t="shared" si="761"/>
        <v/>
      </c>
      <c r="Q4895" t="str">
        <f t="shared" si="762"/>
        <v/>
      </c>
      <c r="R4895" t="str">
        <f t="shared" si="763"/>
        <v/>
      </c>
      <c r="S4895" t="str">
        <f t="shared" si="764"/>
        <v/>
      </c>
      <c r="T4895" t="str">
        <f t="shared" si="765"/>
        <v/>
      </c>
      <c r="U4895" t="str">
        <f t="shared" si="766"/>
        <v/>
      </c>
      <c r="V4895" t="str">
        <f t="shared" si="767"/>
        <v/>
      </c>
      <c r="W4895" t="str">
        <f t="shared" si="768"/>
        <v/>
      </c>
      <c r="X4895">
        <f>IF($T4895="",N($X4894),IF(MATCH($T4895,$T$6:$T$10005,0)=ROW()-5,N($X4894)+1,N($X4894)))</f>
        <v>0</v>
      </c>
      <c r="Z4895" t="str">
        <f t="shared" si="769"/>
        <v/>
      </c>
      <c r="AA4895">
        <f>IF($V4895="",N($AA4894),IF(MATCH($V4895,$V$6:$V$10005,0)=ROW()-5,N($AA4894)+1,N($AA4894)))</f>
        <v>0</v>
      </c>
    </row>
    <row r="4896" spans="1:27" ht="21" customHeight="1" x14ac:dyDescent="0.95">
      <c r="A4896" s="56"/>
      <c r="B4896" s="57"/>
      <c r="C4896" s="57"/>
      <c r="D4896" s="57"/>
      <c r="E4896" s="56"/>
      <c r="F4896" s="57"/>
      <c r="G4896" s="57"/>
      <c r="H4896" s="56"/>
      <c r="I4896" s="56"/>
      <c r="J4896" s="58"/>
      <c r="K4896" s="58"/>
      <c r="L4896" s="13" t="str">
        <f t="shared" si="760"/>
        <v/>
      </c>
      <c r="M4896" s="13" t="str">
        <f t="shared" si="761"/>
        <v/>
      </c>
      <c r="Q4896" t="str">
        <f t="shared" si="762"/>
        <v/>
      </c>
      <c r="R4896" t="str">
        <f t="shared" si="763"/>
        <v/>
      </c>
      <c r="S4896" t="str">
        <f t="shared" si="764"/>
        <v/>
      </c>
      <c r="T4896" t="str">
        <f t="shared" si="765"/>
        <v/>
      </c>
      <c r="U4896" t="str">
        <f t="shared" si="766"/>
        <v/>
      </c>
      <c r="V4896" t="str">
        <f t="shared" si="767"/>
        <v/>
      </c>
      <c r="W4896" t="str">
        <f t="shared" si="768"/>
        <v/>
      </c>
      <c r="X4896">
        <f>IF($T4896="",N($X4895),IF(MATCH($T4896,$T$6:$T$10005,0)=ROW()-5,N($X4895)+1,N($X4895)))</f>
        <v>0</v>
      </c>
      <c r="Z4896" t="str">
        <f t="shared" si="769"/>
        <v/>
      </c>
      <c r="AA4896">
        <f>IF($V4896="",N($AA4895),IF(MATCH($V4896,$V$6:$V$10005,0)=ROW()-5,N($AA4895)+1,N($AA4895)))</f>
        <v>0</v>
      </c>
    </row>
    <row r="4897" spans="1:27" ht="21" customHeight="1" x14ac:dyDescent="0.95">
      <c r="A4897" s="56"/>
      <c r="B4897" s="57"/>
      <c r="C4897" s="57"/>
      <c r="D4897" s="57"/>
      <c r="E4897" s="56"/>
      <c r="F4897" s="57"/>
      <c r="G4897" s="57"/>
      <c r="H4897" s="56"/>
      <c r="I4897" s="56"/>
      <c r="J4897" s="58"/>
      <c r="K4897" s="58"/>
      <c r="L4897" s="13" t="str">
        <f t="shared" si="760"/>
        <v/>
      </c>
      <c r="M4897" s="13" t="str">
        <f t="shared" si="761"/>
        <v/>
      </c>
      <c r="Q4897" t="str">
        <f t="shared" si="762"/>
        <v/>
      </c>
      <c r="R4897" t="str">
        <f t="shared" si="763"/>
        <v/>
      </c>
      <c r="S4897" t="str">
        <f t="shared" si="764"/>
        <v/>
      </c>
      <c r="T4897" t="str">
        <f t="shared" si="765"/>
        <v/>
      </c>
      <c r="U4897" t="str">
        <f t="shared" si="766"/>
        <v/>
      </c>
      <c r="V4897" t="str">
        <f t="shared" si="767"/>
        <v/>
      </c>
      <c r="W4897" t="str">
        <f t="shared" si="768"/>
        <v/>
      </c>
      <c r="X4897">
        <f>IF($T4897="",N($X4896),IF(MATCH($T4897,$T$6:$T$10005,0)=ROW()-5,N($X4896)+1,N($X4896)))</f>
        <v>0</v>
      </c>
      <c r="Z4897" t="str">
        <f t="shared" si="769"/>
        <v/>
      </c>
      <c r="AA4897">
        <f>IF($V4897="",N($AA4896),IF(MATCH($V4897,$V$6:$V$10005,0)=ROW()-5,N($AA4896)+1,N($AA4896)))</f>
        <v>0</v>
      </c>
    </row>
    <row r="4898" spans="1:27" ht="21" customHeight="1" x14ac:dyDescent="0.95">
      <c r="A4898" s="56"/>
      <c r="B4898" s="57"/>
      <c r="C4898" s="57"/>
      <c r="D4898" s="57"/>
      <c r="E4898" s="56"/>
      <c r="F4898" s="57"/>
      <c r="G4898" s="57"/>
      <c r="H4898" s="56"/>
      <c r="I4898" s="56"/>
      <c r="J4898" s="58"/>
      <c r="K4898" s="58"/>
      <c r="L4898" s="13" t="str">
        <f t="shared" si="760"/>
        <v/>
      </c>
      <c r="M4898" s="13" t="str">
        <f t="shared" si="761"/>
        <v/>
      </c>
      <c r="Q4898" t="str">
        <f t="shared" si="762"/>
        <v/>
      </c>
      <c r="R4898" t="str">
        <f t="shared" si="763"/>
        <v/>
      </c>
      <c r="S4898" t="str">
        <f t="shared" si="764"/>
        <v/>
      </c>
      <c r="T4898" t="str">
        <f t="shared" si="765"/>
        <v/>
      </c>
      <c r="U4898" t="str">
        <f t="shared" si="766"/>
        <v/>
      </c>
      <c r="V4898" t="str">
        <f t="shared" si="767"/>
        <v/>
      </c>
      <c r="W4898" t="str">
        <f t="shared" si="768"/>
        <v/>
      </c>
      <c r="X4898">
        <f>IF($T4898="",N($X4897),IF(MATCH($T4898,$T$6:$T$10005,0)=ROW()-5,N($X4897)+1,N($X4897)))</f>
        <v>0</v>
      </c>
      <c r="Z4898" t="str">
        <f t="shared" si="769"/>
        <v/>
      </c>
      <c r="AA4898">
        <f>IF($V4898="",N($AA4897),IF(MATCH($V4898,$V$6:$V$10005,0)=ROW()-5,N($AA4897)+1,N($AA4897)))</f>
        <v>0</v>
      </c>
    </row>
    <row r="4899" spans="1:27" ht="21" customHeight="1" x14ac:dyDescent="0.95">
      <c r="A4899" s="56"/>
      <c r="B4899" s="57"/>
      <c r="C4899" s="57"/>
      <c r="D4899" s="57"/>
      <c r="E4899" s="56"/>
      <c r="F4899" s="57"/>
      <c r="G4899" s="57"/>
      <c r="H4899" s="56"/>
      <c r="I4899" s="56"/>
      <c r="J4899" s="58"/>
      <c r="K4899" s="58"/>
      <c r="L4899" s="13" t="str">
        <f t="shared" si="760"/>
        <v/>
      </c>
      <c r="M4899" s="13" t="str">
        <f t="shared" si="761"/>
        <v/>
      </c>
      <c r="Q4899" t="str">
        <f t="shared" si="762"/>
        <v/>
      </c>
      <c r="R4899" t="str">
        <f t="shared" si="763"/>
        <v/>
      </c>
      <c r="S4899" t="str">
        <f t="shared" si="764"/>
        <v/>
      </c>
      <c r="T4899" t="str">
        <f t="shared" si="765"/>
        <v/>
      </c>
      <c r="U4899" t="str">
        <f t="shared" si="766"/>
        <v/>
      </c>
      <c r="V4899" t="str">
        <f t="shared" si="767"/>
        <v/>
      </c>
      <c r="W4899" t="str">
        <f t="shared" si="768"/>
        <v/>
      </c>
      <c r="X4899">
        <f>IF($T4899="",N($X4898),IF(MATCH($T4899,$T$6:$T$10005,0)=ROW()-5,N($X4898)+1,N($X4898)))</f>
        <v>0</v>
      </c>
      <c r="Z4899" t="str">
        <f t="shared" si="769"/>
        <v/>
      </c>
      <c r="AA4899">
        <f>IF($V4899="",N($AA4898),IF(MATCH($V4899,$V$6:$V$10005,0)=ROW()-5,N($AA4898)+1,N($AA4898)))</f>
        <v>0</v>
      </c>
    </row>
    <row r="4900" spans="1:27" ht="21" customHeight="1" x14ac:dyDescent="0.95">
      <c r="A4900" s="56"/>
      <c r="B4900" s="57"/>
      <c r="C4900" s="57"/>
      <c r="D4900" s="57"/>
      <c r="E4900" s="56"/>
      <c r="F4900" s="57"/>
      <c r="G4900" s="57"/>
      <c r="H4900" s="56"/>
      <c r="I4900" s="56"/>
      <c r="J4900" s="58"/>
      <c r="K4900" s="58"/>
      <c r="L4900" s="13" t="str">
        <f t="shared" si="760"/>
        <v/>
      </c>
      <c r="M4900" s="13" t="str">
        <f t="shared" si="761"/>
        <v/>
      </c>
      <c r="Q4900" t="str">
        <f t="shared" si="762"/>
        <v/>
      </c>
      <c r="R4900" t="str">
        <f t="shared" si="763"/>
        <v/>
      </c>
      <c r="S4900" t="str">
        <f t="shared" si="764"/>
        <v/>
      </c>
      <c r="T4900" t="str">
        <f t="shared" si="765"/>
        <v/>
      </c>
      <c r="U4900" t="str">
        <f t="shared" si="766"/>
        <v/>
      </c>
      <c r="V4900" t="str">
        <f t="shared" si="767"/>
        <v/>
      </c>
      <c r="W4900" t="str">
        <f t="shared" si="768"/>
        <v/>
      </c>
      <c r="X4900">
        <f>IF($T4900="",N($X4899),IF(MATCH($T4900,$T$6:$T$10005,0)=ROW()-5,N($X4899)+1,N($X4899)))</f>
        <v>0</v>
      </c>
      <c r="Z4900" t="str">
        <f t="shared" si="769"/>
        <v/>
      </c>
      <c r="AA4900">
        <f>IF($V4900="",N($AA4899),IF(MATCH($V4900,$V$6:$V$10005,0)=ROW()-5,N($AA4899)+1,N($AA4899)))</f>
        <v>0</v>
      </c>
    </row>
    <row r="4901" spans="1:27" ht="21" customHeight="1" x14ac:dyDescent="0.95">
      <c r="A4901" s="56"/>
      <c r="B4901" s="57"/>
      <c r="C4901" s="57"/>
      <c r="D4901" s="57"/>
      <c r="E4901" s="56"/>
      <c r="F4901" s="57"/>
      <c r="G4901" s="57"/>
      <c r="H4901" s="56"/>
      <c r="I4901" s="56"/>
      <c r="J4901" s="58"/>
      <c r="K4901" s="58"/>
      <c r="L4901" s="13" t="str">
        <f t="shared" si="760"/>
        <v/>
      </c>
      <c r="M4901" s="13" t="str">
        <f t="shared" si="761"/>
        <v/>
      </c>
      <c r="Q4901" t="str">
        <f t="shared" si="762"/>
        <v/>
      </c>
      <c r="R4901" t="str">
        <f t="shared" si="763"/>
        <v/>
      </c>
      <c r="S4901" t="str">
        <f t="shared" si="764"/>
        <v/>
      </c>
      <c r="T4901" t="str">
        <f t="shared" si="765"/>
        <v/>
      </c>
      <c r="U4901" t="str">
        <f t="shared" si="766"/>
        <v/>
      </c>
      <c r="V4901" t="str">
        <f t="shared" si="767"/>
        <v/>
      </c>
      <c r="W4901" t="str">
        <f t="shared" si="768"/>
        <v/>
      </c>
      <c r="X4901">
        <f>IF($T4901="",N($X4900),IF(MATCH($T4901,$T$6:$T$10005,0)=ROW()-5,N($X4900)+1,N($X4900)))</f>
        <v>0</v>
      </c>
      <c r="Z4901" t="str">
        <f t="shared" si="769"/>
        <v/>
      </c>
      <c r="AA4901">
        <f>IF($V4901="",N($AA4900),IF(MATCH($V4901,$V$6:$V$10005,0)=ROW()-5,N($AA4900)+1,N($AA4900)))</f>
        <v>0</v>
      </c>
    </row>
    <row r="4902" spans="1:27" ht="21" customHeight="1" x14ac:dyDescent="0.95">
      <c r="A4902" s="56"/>
      <c r="B4902" s="57"/>
      <c r="C4902" s="57"/>
      <c r="D4902" s="57"/>
      <c r="E4902" s="56"/>
      <c r="F4902" s="57"/>
      <c r="G4902" s="57"/>
      <c r="H4902" s="56"/>
      <c r="I4902" s="56"/>
      <c r="J4902" s="58"/>
      <c r="K4902" s="58"/>
      <c r="L4902" s="13" t="str">
        <f t="shared" si="760"/>
        <v/>
      </c>
      <c r="M4902" s="13" t="str">
        <f t="shared" si="761"/>
        <v/>
      </c>
      <c r="Q4902" t="str">
        <f t="shared" si="762"/>
        <v/>
      </c>
      <c r="R4902" t="str">
        <f t="shared" si="763"/>
        <v/>
      </c>
      <c r="S4902" t="str">
        <f t="shared" si="764"/>
        <v/>
      </c>
      <c r="T4902" t="str">
        <f t="shared" si="765"/>
        <v/>
      </c>
      <c r="U4902" t="str">
        <f t="shared" si="766"/>
        <v/>
      </c>
      <c r="V4902" t="str">
        <f t="shared" si="767"/>
        <v/>
      </c>
      <c r="W4902" t="str">
        <f t="shared" si="768"/>
        <v/>
      </c>
      <c r="X4902">
        <f>IF($T4902="",N($X4901),IF(MATCH($T4902,$T$6:$T$10005,0)=ROW()-5,N($X4901)+1,N($X4901)))</f>
        <v>0</v>
      </c>
      <c r="Z4902" t="str">
        <f t="shared" si="769"/>
        <v/>
      </c>
      <c r="AA4902">
        <f>IF($V4902="",N($AA4901),IF(MATCH($V4902,$V$6:$V$10005,0)=ROW()-5,N($AA4901)+1,N($AA4901)))</f>
        <v>0</v>
      </c>
    </row>
    <row r="4903" spans="1:27" ht="21" customHeight="1" x14ac:dyDescent="0.95">
      <c r="A4903" s="56"/>
      <c r="B4903" s="57"/>
      <c r="C4903" s="57"/>
      <c r="D4903" s="57"/>
      <c r="E4903" s="56"/>
      <c r="F4903" s="57"/>
      <c r="G4903" s="57"/>
      <c r="H4903" s="56"/>
      <c r="I4903" s="56"/>
      <c r="J4903" s="58"/>
      <c r="K4903" s="58"/>
      <c r="L4903" s="13" t="str">
        <f t="shared" si="760"/>
        <v/>
      </c>
      <c r="M4903" s="13" t="str">
        <f t="shared" si="761"/>
        <v/>
      </c>
      <c r="Q4903" t="str">
        <f t="shared" si="762"/>
        <v/>
      </c>
      <c r="R4903" t="str">
        <f t="shared" si="763"/>
        <v/>
      </c>
      <c r="S4903" t="str">
        <f t="shared" si="764"/>
        <v/>
      </c>
      <c r="T4903" t="str">
        <f t="shared" si="765"/>
        <v/>
      </c>
      <c r="U4903" t="str">
        <f t="shared" si="766"/>
        <v/>
      </c>
      <c r="V4903" t="str">
        <f t="shared" si="767"/>
        <v/>
      </c>
      <c r="W4903" t="str">
        <f t="shared" si="768"/>
        <v/>
      </c>
      <c r="X4903">
        <f>IF($T4903="",N($X4902),IF(MATCH($T4903,$T$6:$T$10005,0)=ROW()-5,N($X4902)+1,N($X4902)))</f>
        <v>0</v>
      </c>
      <c r="Z4903" t="str">
        <f t="shared" si="769"/>
        <v/>
      </c>
      <c r="AA4903">
        <f>IF($V4903="",N($AA4902),IF(MATCH($V4903,$V$6:$V$10005,0)=ROW()-5,N($AA4902)+1,N($AA4902)))</f>
        <v>0</v>
      </c>
    </row>
    <row r="4904" spans="1:27" ht="21" customHeight="1" x14ac:dyDescent="0.95">
      <c r="A4904" s="56"/>
      <c r="B4904" s="57"/>
      <c r="C4904" s="57"/>
      <c r="D4904" s="57"/>
      <c r="E4904" s="56"/>
      <c r="F4904" s="57"/>
      <c r="G4904" s="57"/>
      <c r="H4904" s="56"/>
      <c r="I4904" s="56"/>
      <c r="J4904" s="58"/>
      <c r="K4904" s="58"/>
      <c r="L4904" s="13" t="str">
        <f t="shared" si="760"/>
        <v/>
      </c>
      <c r="M4904" s="13" t="str">
        <f t="shared" si="761"/>
        <v/>
      </c>
      <c r="Q4904" t="str">
        <f t="shared" si="762"/>
        <v/>
      </c>
      <c r="R4904" t="str">
        <f t="shared" si="763"/>
        <v/>
      </c>
      <c r="S4904" t="str">
        <f t="shared" si="764"/>
        <v/>
      </c>
      <c r="T4904" t="str">
        <f t="shared" si="765"/>
        <v/>
      </c>
      <c r="U4904" t="str">
        <f t="shared" si="766"/>
        <v/>
      </c>
      <c r="V4904" t="str">
        <f t="shared" si="767"/>
        <v/>
      </c>
      <c r="W4904" t="str">
        <f t="shared" si="768"/>
        <v/>
      </c>
      <c r="X4904">
        <f>IF($T4904="",N($X4903),IF(MATCH($T4904,$T$6:$T$10005,0)=ROW()-5,N($X4903)+1,N($X4903)))</f>
        <v>0</v>
      </c>
      <c r="Z4904" t="str">
        <f t="shared" si="769"/>
        <v/>
      </c>
      <c r="AA4904">
        <f>IF($V4904="",N($AA4903),IF(MATCH($V4904,$V$6:$V$10005,0)=ROW()-5,N($AA4903)+1,N($AA4903)))</f>
        <v>0</v>
      </c>
    </row>
    <row r="4905" spans="1:27" ht="21" customHeight="1" x14ac:dyDescent="0.95">
      <c r="A4905" s="56"/>
      <c r="B4905" s="57"/>
      <c r="C4905" s="57"/>
      <c r="D4905" s="57"/>
      <c r="E4905" s="56"/>
      <c r="F4905" s="57"/>
      <c r="G4905" s="57"/>
      <c r="H4905" s="56"/>
      <c r="I4905" s="56"/>
      <c r="J4905" s="58"/>
      <c r="K4905" s="58"/>
      <c r="L4905" s="13" t="str">
        <f t="shared" si="760"/>
        <v/>
      </c>
      <c r="M4905" s="13" t="str">
        <f t="shared" si="761"/>
        <v/>
      </c>
      <c r="Q4905" t="str">
        <f t="shared" si="762"/>
        <v/>
      </c>
      <c r="R4905" t="str">
        <f t="shared" si="763"/>
        <v/>
      </c>
      <c r="S4905" t="str">
        <f t="shared" si="764"/>
        <v/>
      </c>
      <c r="T4905" t="str">
        <f t="shared" si="765"/>
        <v/>
      </c>
      <c r="U4905" t="str">
        <f t="shared" si="766"/>
        <v/>
      </c>
      <c r="V4905" t="str">
        <f t="shared" si="767"/>
        <v/>
      </c>
      <c r="W4905" t="str">
        <f t="shared" si="768"/>
        <v/>
      </c>
      <c r="X4905">
        <f>IF($T4905="",N($X4904),IF(MATCH($T4905,$T$6:$T$10005,0)=ROW()-5,N($X4904)+1,N($X4904)))</f>
        <v>0</v>
      </c>
      <c r="Z4905" t="str">
        <f t="shared" si="769"/>
        <v/>
      </c>
      <c r="AA4905">
        <f>IF($V4905="",N($AA4904),IF(MATCH($V4905,$V$6:$V$10005,0)=ROW()-5,N($AA4904)+1,N($AA4904)))</f>
        <v>0</v>
      </c>
    </row>
    <row r="4906" spans="1:27" ht="21" customHeight="1" x14ac:dyDescent="0.95">
      <c r="A4906" s="56"/>
      <c r="B4906" s="57"/>
      <c r="C4906" s="57"/>
      <c r="D4906" s="57"/>
      <c r="E4906" s="56"/>
      <c r="F4906" s="57"/>
      <c r="G4906" s="57"/>
      <c r="H4906" s="56"/>
      <c r="I4906" s="56"/>
      <c r="J4906" s="58"/>
      <c r="K4906" s="58"/>
      <c r="L4906" s="13" t="str">
        <f t="shared" si="760"/>
        <v/>
      </c>
      <c r="M4906" s="13" t="str">
        <f t="shared" si="761"/>
        <v/>
      </c>
      <c r="Q4906" t="str">
        <f t="shared" si="762"/>
        <v/>
      </c>
      <c r="R4906" t="str">
        <f t="shared" si="763"/>
        <v/>
      </c>
      <c r="S4906" t="str">
        <f t="shared" si="764"/>
        <v/>
      </c>
      <c r="T4906" t="str">
        <f t="shared" si="765"/>
        <v/>
      </c>
      <c r="U4906" t="str">
        <f t="shared" si="766"/>
        <v/>
      </c>
      <c r="V4906" t="str">
        <f t="shared" si="767"/>
        <v/>
      </c>
      <c r="W4906" t="str">
        <f t="shared" si="768"/>
        <v/>
      </c>
      <c r="X4906">
        <f>IF($T4906="",N($X4905),IF(MATCH($T4906,$T$6:$T$10005,0)=ROW()-5,N($X4905)+1,N($X4905)))</f>
        <v>0</v>
      </c>
      <c r="Z4906" t="str">
        <f t="shared" si="769"/>
        <v/>
      </c>
      <c r="AA4906">
        <f>IF($V4906="",N($AA4905),IF(MATCH($V4906,$V$6:$V$10005,0)=ROW()-5,N($AA4905)+1,N($AA4905)))</f>
        <v>0</v>
      </c>
    </row>
    <row r="4907" spans="1:27" ht="21" customHeight="1" x14ac:dyDescent="0.95">
      <c r="A4907" s="56"/>
      <c r="B4907" s="57"/>
      <c r="C4907" s="57"/>
      <c r="D4907" s="57"/>
      <c r="E4907" s="56"/>
      <c r="F4907" s="57"/>
      <c r="G4907" s="57"/>
      <c r="H4907" s="56"/>
      <c r="I4907" s="56"/>
      <c r="J4907" s="58"/>
      <c r="K4907" s="58"/>
      <c r="L4907" s="13" t="str">
        <f t="shared" si="760"/>
        <v/>
      </c>
      <c r="M4907" s="13" t="str">
        <f t="shared" si="761"/>
        <v/>
      </c>
      <c r="Q4907" t="str">
        <f t="shared" si="762"/>
        <v/>
      </c>
      <c r="R4907" t="str">
        <f t="shared" si="763"/>
        <v/>
      </c>
      <c r="S4907" t="str">
        <f t="shared" si="764"/>
        <v/>
      </c>
      <c r="T4907" t="str">
        <f t="shared" si="765"/>
        <v/>
      </c>
      <c r="U4907" t="str">
        <f t="shared" si="766"/>
        <v/>
      </c>
      <c r="V4907" t="str">
        <f t="shared" si="767"/>
        <v/>
      </c>
      <c r="W4907" t="str">
        <f t="shared" si="768"/>
        <v/>
      </c>
      <c r="X4907">
        <f>IF($T4907="",N($X4906),IF(MATCH($T4907,$T$6:$T$10005,0)=ROW()-5,N($X4906)+1,N($X4906)))</f>
        <v>0</v>
      </c>
      <c r="Z4907" t="str">
        <f t="shared" si="769"/>
        <v/>
      </c>
      <c r="AA4907">
        <f>IF($V4907="",N($AA4906),IF(MATCH($V4907,$V$6:$V$10005,0)=ROW()-5,N($AA4906)+1,N($AA4906)))</f>
        <v>0</v>
      </c>
    </row>
    <row r="4908" spans="1:27" ht="21" customHeight="1" x14ac:dyDescent="0.95">
      <c r="A4908" s="56"/>
      <c r="B4908" s="57"/>
      <c r="C4908" s="57"/>
      <c r="D4908" s="57"/>
      <c r="E4908" s="56"/>
      <c r="F4908" s="57"/>
      <c r="G4908" s="57"/>
      <c r="H4908" s="56"/>
      <c r="I4908" s="56"/>
      <c r="J4908" s="58"/>
      <c r="K4908" s="58"/>
      <c r="L4908" s="13" t="str">
        <f t="shared" si="760"/>
        <v/>
      </c>
      <c r="M4908" s="13" t="str">
        <f t="shared" si="761"/>
        <v/>
      </c>
      <c r="Q4908" t="str">
        <f t="shared" si="762"/>
        <v/>
      </c>
      <c r="R4908" t="str">
        <f t="shared" si="763"/>
        <v/>
      </c>
      <c r="S4908" t="str">
        <f t="shared" si="764"/>
        <v/>
      </c>
      <c r="T4908" t="str">
        <f t="shared" si="765"/>
        <v/>
      </c>
      <c r="U4908" t="str">
        <f t="shared" si="766"/>
        <v/>
      </c>
      <c r="V4908" t="str">
        <f t="shared" si="767"/>
        <v/>
      </c>
      <c r="W4908" t="str">
        <f t="shared" si="768"/>
        <v/>
      </c>
      <c r="X4908">
        <f>IF($T4908="",N($X4907),IF(MATCH($T4908,$T$6:$T$10005,0)=ROW()-5,N($X4907)+1,N($X4907)))</f>
        <v>0</v>
      </c>
      <c r="Z4908" t="str">
        <f t="shared" si="769"/>
        <v/>
      </c>
      <c r="AA4908">
        <f>IF($V4908="",N($AA4907),IF(MATCH($V4908,$V$6:$V$10005,0)=ROW()-5,N($AA4907)+1,N($AA4907)))</f>
        <v>0</v>
      </c>
    </row>
    <row r="4909" spans="1:27" ht="21" customHeight="1" x14ac:dyDescent="0.95">
      <c r="A4909" s="56"/>
      <c r="B4909" s="57"/>
      <c r="C4909" s="57"/>
      <c r="D4909" s="57"/>
      <c r="E4909" s="56"/>
      <c r="F4909" s="57"/>
      <c r="G4909" s="57"/>
      <c r="H4909" s="56"/>
      <c r="I4909" s="56"/>
      <c r="J4909" s="58"/>
      <c r="K4909" s="58"/>
      <c r="L4909" s="13" t="str">
        <f t="shared" si="760"/>
        <v/>
      </c>
      <c r="M4909" s="13" t="str">
        <f t="shared" si="761"/>
        <v/>
      </c>
      <c r="Q4909" t="str">
        <f t="shared" si="762"/>
        <v/>
      </c>
      <c r="R4909" t="str">
        <f t="shared" si="763"/>
        <v/>
      </c>
      <c r="S4909" t="str">
        <f t="shared" si="764"/>
        <v/>
      </c>
      <c r="T4909" t="str">
        <f t="shared" si="765"/>
        <v/>
      </c>
      <c r="U4909" t="str">
        <f t="shared" si="766"/>
        <v/>
      </c>
      <c r="V4909" t="str">
        <f t="shared" si="767"/>
        <v/>
      </c>
      <c r="W4909" t="str">
        <f t="shared" si="768"/>
        <v/>
      </c>
      <c r="X4909">
        <f>IF($T4909="",N($X4908),IF(MATCH($T4909,$T$6:$T$10005,0)=ROW()-5,N($X4908)+1,N($X4908)))</f>
        <v>0</v>
      </c>
      <c r="Z4909" t="str">
        <f t="shared" si="769"/>
        <v/>
      </c>
      <c r="AA4909">
        <f>IF($V4909="",N($AA4908),IF(MATCH($V4909,$V$6:$V$10005,0)=ROW()-5,N($AA4908)+1,N($AA4908)))</f>
        <v>0</v>
      </c>
    </row>
    <row r="4910" spans="1:27" ht="21" customHeight="1" x14ac:dyDescent="0.95">
      <c r="A4910" s="56"/>
      <c r="B4910" s="57"/>
      <c r="C4910" s="57"/>
      <c r="D4910" s="57"/>
      <c r="E4910" s="56"/>
      <c r="F4910" s="57"/>
      <c r="G4910" s="57"/>
      <c r="H4910" s="56"/>
      <c r="I4910" s="56"/>
      <c r="J4910" s="58"/>
      <c r="K4910" s="58"/>
      <c r="L4910" s="13" t="str">
        <f t="shared" si="760"/>
        <v/>
      </c>
      <c r="M4910" s="13" t="str">
        <f t="shared" si="761"/>
        <v/>
      </c>
      <c r="Q4910" t="str">
        <f t="shared" si="762"/>
        <v/>
      </c>
      <c r="R4910" t="str">
        <f t="shared" si="763"/>
        <v/>
      </c>
      <c r="S4910" t="str">
        <f t="shared" si="764"/>
        <v/>
      </c>
      <c r="T4910" t="str">
        <f t="shared" si="765"/>
        <v/>
      </c>
      <c r="U4910" t="str">
        <f t="shared" si="766"/>
        <v/>
      </c>
      <c r="V4910" t="str">
        <f t="shared" si="767"/>
        <v/>
      </c>
      <c r="W4910" t="str">
        <f t="shared" si="768"/>
        <v/>
      </c>
      <c r="X4910">
        <f>IF($T4910="",N($X4909),IF(MATCH($T4910,$T$6:$T$10005,0)=ROW()-5,N($X4909)+1,N($X4909)))</f>
        <v>0</v>
      </c>
      <c r="Z4910" t="str">
        <f t="shared" si="769"/>
        <v/>
      </c>
      <c r="AA4910">
        <f>IF($V4910="",N($AA4909),IF(MATCH($V4910,$V$6:$V$10005,0)=ROW()-5,N($AA4909)+1,N($AA4909)))</f>
        <v>0</v>
      </c>
    </row>
    <row r="4911" spans="1:27" ht="21" customHeight="1" x14ac:dyDescent="0.95">
      <c r="A4911" s="56"/>
      <c r="B4911" s="57"/>
      <c r="C4911" s="57"/>
      <c r="D4911" s="57"/>
      <c r="E4911" s="56"/>
      <c r="F4911" s="57"/>
      <c r="G4911" s="57"/>
      <c r="H4911" s="56"/>
      <c r="I4911" s="56"/>
      <c r="J4911" s="58"/>
      <c r="K4911" s="58"/>
      <c r="L4911" s="13" t="str">
        <f t="shared" si="760"/>
        <v/>
      </c>
      <c r="M4911" s="13" t="str">
        <f t="shared" si="761"/>
        <v/>
      </c>
      <c r="Q4911" t="str">
        <f t="shared" si="762"/>
        <v/>
      </c>
      <c r="R4911" t="str">
        <f t="shared" si="763"/>
        <v/>
      </c>
      <c r="S4911" t="str">
        <f t="shared" si="764"/>
        <v/>
      </c>
      <c r="T4911" t="str">
        <f t="shared" si="765"/>
        <v/>
      </c>
      <c r="U4911" t="str">
        <f t="shared" si="766"/>
        <v/>
      </c>
      <c r="V4911" t="str">
        <f t="shared" si="767"/>
        <v/>
      </c>
      <c r="W4911" t="str">
        <f t="shared" si="768"/>
        <v/>
      </c>
      <c r="X4911">
        <f>IF($T4911="",N($X4910),IF(MATCH($T4911,$T$6:$T$10005,0)=ROW()-5,N($X4910)+1,N($X4910)))</f>
        <v>0</v>
      </c>
      <c r="Z4911" t="str">
        <f t="shared" si="769"/>
        <v/>
      </c>
      <c r="AA4911">
        <f>IF($V4911="",N($AA4910),IF(MATCH($V4911,$V$6:$V$10005,0)=ROW()-5,N($AA4910)+1,N($AA4910)))</f>
        <v>0</v>
      </c>
    </row>
    <row r="4912" spans="1:27" ht="21" customHeight="1" x14ac:dyDescent="0.95">
      <c r="A4912" s="56"/>
      <c r="B4912" s="57"/>
      <c r="C4912" s="57"/>
      <c r="D4912" s="57"/>
      <c r="E4912" s="56"/>
      <c r="F4912" s="57"/>
      <c r="G4912" s="57"/>
      <c r="H4912" s="56"/>
      <c r="I4912" s="56"/>
      <c r="J4912" s="58"/>
      <c r="K4912" s="58"/>
      <c r="L4912" s="13" t="str">
        <f t="shared" si="760"/>
        <v/>
      </c>
      <c r="M4912" s="13" t="str">
        <f t="shared" si="761"/>
        <v/>
      </c>
      <c r="Q4912" t="str">
        <f t="shared" si="762"/>
        <v/>
      </c>
      <c r="R4912" t="str">
        <f t="shared" si="763"/>
        <v/>
      </c>
      <c r="S4912" t="str">
        <f t="shared" si="764"/>
        <v/>
      </c>
      <c r="T4912" t="str">
        <f t="shared" si="765"/>
        <v/>
      </c>
      <c r="U4912" t="str">
        <f t="shared" si="766"/>
        <v/>
      </c>
      <c r="V4912" t="str">
        <f t="shared" si="767"/>
        <v/>
      </c>
      <c r="W4912" t="str">
        <f t="shared" si="768"/>
        <v/>
      </c>
      <c r="X4912">
        <f>IF($T4912="",N($X4911),IF(MATCH($T4912,$T$6:$T$10005,0)=ROW()-5,N($X4911)+1,N($X4911)))</f>
        <v>0</v>
      </c>
      <c r="Z4912" t="str">
        <f t="shared" si="769"/>
        <v/>
      </c>
      <c r="AA4912">
        <f>IF($V4912="",N($AA4911),IF(MATCH($V4912,$V$6:$V$10005,0)=ROW()-5,N($AA4911)+1,N($AA4911)))</f>
        <v>0</v>
      </c>
    </row>
    <row r="4913" spans="1:27" ht="21" customHeight="1" x14ac:dyDescent="0.95">
      <c r="A4913" s="56"/>
      <c r="B4913" s="57"/>
      <c r="C4913" s="57"/>
      <c r="D4913" s="57"/>
      <c r="E4913" s="56"/>
      <c r="F4913" s="57"/>
      <c r="G4913" s="57"/>
      <c r="H4913" s="56"/>
      <c r="I4913" s="56"/>
      <c r="J4913" s="58"/>
      <c r="K4913" s="58"/>
      <c r="L4913" s="13" t="str">
        <f t="shared" si="760"/>
        <v/>
      </c>
      <c r="M4913" s="13" t="str">
        <f t="shared" si="761"/>
        <v/>
      </c>
      <c r="Q4913" t="str">
        <f t="shared" si="762"/>
        <v/>
      </c>
      <c r="R4913" t="str">
        <f t="shared" si="763"/>
        <v/>
      </c>
      <c r="S4913" t="str">
        <f t="shared" si="764"/>
        <v/>
      </c>
      <c r="T4913" t="str">
        <f t="shared" si="765"/>
        <v/>
      </c>
      <c r="U4913" t="str">
        <f t="shared" si="766"/>
        <v/>
      </c>
      <c r="V4913" t="str">
        <f t="shared" si="767"/>
        <v/>
      </c>
      <c r="W4913" t="str">
        <f t="shared" si="768"/>
        <v/>
      </c>
      <c r="X4913">
        <f>IF($T4913="",N($X4912),IF(MATCH($T4913,$T$6:$T$10005,0)=ROW()-5,N($X4912)+1,N($X4912)))</f>
        <v>0</v>
      </c>
      <c r="Z4913" t="str">
        <f t="shared" si="769"/>
        <v/>
      </c>
      <c r="AA4913">
        <f>IF($V4913="",N($AA4912),IF(MATCH($V4913,$V$6:$V$10005,0)=ROW()-5,N($AA4912)+1,N($AA4912)))</f>
        <v>0</v>
      </c>
    </row>
    <row r="4914" spans="1:27" ht="21" customHeight="1" x14ac:dyDescent="0.95">
      <c r="A4914" s="56"/>
      <c r="B4914" s="57"/>
      <c r="C4914" s="57"/>
      <c r="D4914" s="57"/>
      <c r="E4914" s="56"/>
      <c r="F4914" s="57"/>
      <c r="G4914" s="57"/>
      <c r="H4914" s="56"/>
      <c r="I4914" s="56"/>
      <c r="J4914" s="58"/>
      <c r="K4914" s="58"/>
      <c r="L4914" s="13" t="str">
        <f t="shared" si="760"/>
        <v/>
      </c>
      <c r="M4914" s="13" t="str">
        <f t="shared" si="761"/>
        <v/>
      </c>
      <c r="Q4914" t="str">
        <f t="shared" si="762"/>
        <v/>
      </c>
      <c r="R4914" t="str">
        <f t="shared" si="763"/>
        <v/>
      </c>
      <c r="S4914" t="str">
        <f t="shared" si="764"/>
        <v/>
      </c>
      <c r="T4914" t="str">
        <f t="shared" si="765"/>
        <v/>
      </c>
      <c r="U4914" t="str">
        <f t="shared" si="766"/>
        <v/>
      </c>
      <c r="V4914" t="str">
        <f t="shared" si="767"/>
        <v/>
      </c>
      <c r="W4914" t="str">
        <f t="shared" si="768"/>
        <v/>
      </c>
      <c r="X4914">
        <f>IF($T4914="",N($X4913),IF(MATCH($T4914,$T$6:$T$10005,0)=ROW()-5,N($X4913)+1,N($X4913)))</f>
        <v>0</v>
      </c>
      <c r="Z4914" t="str">
        <f t="shared" si="769"/>
        <v/>
      </c>
      <c r="AA4914">
        <f>IF($V4914="",N($AA4913),IF(MATCH($V4914,$V$6:$V$10005,0)=ROW()-5,N($AA4913)+1,N($AA4913)))</f>
        <v>0</v>
      </c>
    </row>
    <row r="4915" spans="1:27" ht="21" customHeight="1" x14ac:dyDescent="0.95">
      <c r="A4915" s="56"/>
      <c r="B4915" s="57"/>
      <c r="C4915" s="57"/>
      <c r="D4915" s="57"/>
      <c r="E4915" s="56"/>
      <c r="F4915" s="57"/>
      <c r="G4915" s="57"/>
      <c r="H4915" s="56"/>
      <c r="I4915" s="56"/>
      <c r="J4915" s="58"/>
      <c r="K4915" s="58"/>
      <c r="L4915" s="13" t="str">
        <f t="shared" si="760"/>
        <v/>
      </c>
      <c r="M4915" s="13" t="str">
        <f t="shared" si="761"/>
        <v/>
      </c>
      <c r="Q4915" t="str">
        <f t="shared" si="762"/>
        <v/>
      </c>
      <c r="R4915" t="str">
        <f t="shared" si="763"/>
        <v/>
      </c>
      <c r="S4915" t="str">
        <f t="shared" si="764"/>
        <v/>
      </c>
      <c r="T4915" t="str">
        <f t="shared" si="765"/>
        <v/>
      </c>
      <c r="U4915" t="str">
        <f t="shared" si="766"/>
        <v/>
      </c>
      <c r="V4915" t="str">
        <f t="shared" si="767"/>
        <v/>
      </c>
      <c r="W4915" t="str">
        <f t="shared" si="768"/>
        <v/>
      </c>
      <c r="X4915">
        <f>IF($T4915="",N($X4914),IF(MATCH($T4915,$T$6:$T$10005,0)=ROW()-5,N($X4914)+1,N($X4914)))</f>
        <v>0</v>
      </c>
      <c r="Z4915" t="str">
        <f t="shared" si="769"/>
        <v/>
      </c>
      <c r="AA4915">
        <f>IF($V4915="",N($AA4914),IF(MATCH($V4915,$V$6:$V$10005,0)=ROW()-5,N($AA4914)+1,N($AA4914)))</f>
        <v>0</v>
      </c>
    </row>
    <row r="4916" spans="1:27" ht="21" customHeight="1" x14ac:dyDescent="0.95">
      <c r="A4916" s="56"/>
      <c r="B4916" s="57"/>
      <c r="C4916" s="57"/>
      <c r="D4916" s="57"/>
      <c r="E4916" s="56"/>
      <c r="F4916" s="57"/>
      <c r="G4916" s="57"/>
      <c r="H4916" s="56"/>
      <c r="I4916" s="56"/>
      <c r="J4916" s="58"/>
      <c r="K4916" s="58"/>
      <c r="L4916" s="13" t="str">
        <f t="shared" si="760"/>
        <v/>
      </c>
      <c r="M4916" s="13" t="str">
        <f t="shared" si="761"/>
        <v/>
      </c>
      <c r="Q4916" t="str">
        <f t="shared" si="762"/>
        <v/>
      </c>
      <c r="R4916" t="str">
        <f t="shared" si="763"/>
        <v/>
      </c>
      <c r="S4916" t="str">
        <f t="shared" si="764"/>
        <v/>
      </c>
      <c r="T4916" t="str">
        <f t="shared" si="765"/>
        <v/>
      </c>
      <c r="U4916" t="str">
        <f t="shared" si="766"/>
        <v/>
      </c>
      <c r="V4916" t="str">
        <f t="shared" si="767"/>
        <v/>
      </c>
      <c r="W4916" t="str">
        <f t="shared" si="768"/>
        <v/>
      </c>
      <c r="X4916">
        <f>IF($T4916="",N($X4915),IF(MATCH($T4916,$T$6:$T$10005,0)=ROW()-5,N($X4915)+1,N($X4915)))</f>
        <v>0</v>
      </c>
      <c r="Z4916" t="str">
        <f t="shared" si="769"/>
        <v/>
      </c>
      <c r="AA4916">
        <f>IF($V4916="",N($AA4915),IF(MATCH($V4916,$V$6:$V$10005,0)=ROW()-5,N($AA4915)+1,N($AA4915)))</f>
        <v>0</v>
      </c>
    </row>
    <row r="4917" spans="1:27" ht="21" customHeight="1" x14ac:dyDescent="0.95">
      <c r="A4917" s="56"/>
      <c r="B4917" s="57"/>
      <c r="C4917" s="57"/>
      <c r="D4917" s="57"/>
      <c r="E4917" s="56"/>
      <c r="F4917" s="57"/>
      <c r="G4917" s="57"/>
      <c r="H4917" s="56"/>
      <c r="I4917" s="56"/>
      <c r="J4917" s="58"/>
      <c r="K4917" s="58"/>
      <c r="L4917" s="13" t="str">
        <f t="shared" si="760"/>
        <v/>
      </c>
      <c r="M4917" s="13" t="str">
        <f t="shared" si="761"/>
        <v/>
      </c>
      <c r="Q4917" t="str">
        <f t="shared" si="762"/>
        <v/>
      </c>
      <c r="R4917" t="str">
        <f t="shared" si="763"/>
        <v/>
      </c>
      <c r="S4917" t="str">
        <f t="shared" si="764"/>
        <v/>
      </c>
      <c r="T4917" t="str">
        <f t="shared" si="765"/>
        <v/>
      </c>
      <c r="U4917" t="str">
        <f t="shared" si="766"/>
        <v/>
      </c>
      <c r="V4917" t="str">
        <f t="shared" si="767"/>
        <v/>
      </c>
      <c r="W4917" t="str">
        <f t="shared" si="768"/>
        <v/>
      </c>
      <c r="X4917">
        <f>IF($T4917="",N($X4916),IF(MATCH($T4917,$T$6:$T$10005,0)=ROW()-5,N($X4916)+1,N($X4916)))</f>
        <v>0</v>
      </c>
      <c r="Z4917" t="str">
        <f t="shared" si="769"/>
        <v/>
      </c>
      <c r="AA4917">
        <f>IF($V4917="",N($AA4916),IF(MATCH($V4917,$V$6:$V$10005,0)=ROW()-5,N($AA4916)+1,N($AA4916)))</f>
        <v>0</v>
      </c>
    </row>
    <row r="4918" spans="1:27" ht="21" customHeight="1" x14ac:dyDescent="0.95">
      <c r="A4918" s="56"/>
      <c r="B4918" s="57"/>
      <c r="C4918" s="57"/>
      <c r="D4918" s="57"/>
      <c r="E4918" s="56"/>
      <c r="F4918" s="57"/>
      <c r="G4918" s="57"/>
      <c r="H4918" s="56"/>
      <c r="I4918" s="56"/>
      <c r="J4918" s="58"/>
      <c r="K4918" s="58"/>
      <c r="L4918" s="13" t="str">
        <f t="shared" si="760"/>
        <v/>
      </c>
      <c r="M4918" s="13" t="str">
        <f t="shared" si="761"/>
        <v/>
      </c>
      <c r="Q4918" t="str">
        <f t="shared" si="762"/>
        <v/>
      </c>
      <c r="R4918" t="str">
        <f t="shared" si="763"/>
        <v/>
      </c>
      <c r="S4918" t="str">
        <f t="shared" si="764"/>
        <v/>
      </c>
      <c r="T4918" t="str">
        <f t="shared" si="765"/>
        <v/>
      </c>
      <c r="U4918" t="str">
        <f t="shared" si="766"/>
        <v/>
      </c>
      <c r="V4918" t="str">
        <f t="shared" si="767"/>
        <v/>
      </c>
      <c r="W4918" t="str">
        <f t="shared" si="768"/>
        <v/>
      </c>
      <c r="X4918">
        <f>IF($T4918="",N($X4917),IF(MATCH($T4918,$T$6:$T$10005,0)=ROW()-5,N($X4917)+1,N($X4917)))</f>
        <v>0</v>
      </c>
      <c r="Z4918" t="str">
        <f t="shared" si="769"/>
        <v/>
      </c>
      <c r="AA4918">
        <f>IF($V4918="",N($AA4917),IF(MATCH($V4918,$V$6:$V$10005,0)=ROW()-5,N($AA4917)+1,N($AA4917)))</f>
        <v>0</v>
      </c>
    </row>
    <row r="4919" spans="1:27" ht="21" customHeight="1" x14ac:dyDescent="0.95">
      <c r="A4919" s="56"/>
      <c r="B4919" s="57"/>
      <c r="C4919" s="57"/>
      <c r="D4919" s="57"/>
      <c r="E4919" s="56"/>
      <c r="F4919" s="57"/>
      <c r="G4919" s="57"/>
      <c r="H4919" s="56"/>
      <c r="I4919" s="56"/>
      <c r="J4919" s="58"/>
      <c r="K4919" s="58"/>
      <c r="L4919" s="13" t="str">
        <f t="shared" si="760"/>
        <v/>
      </c>
      <c r="M4919" s="13" t="str">
        <f t="shared" si="761"/>
        <v/>
      </c>
      <c r="Q4919" t="str">
        <f t="shared" si="762"/>
        <v/>
      </c>
      <c r="R4919" t="str">
        <f t="shared" si="763"/>
        <v/>
      </c>
      <c r="S4919" t="str">
        <f t="shared" si="764"/>
        <v/>
      </c>
      <c r="T4919" t="str">
        <f t="shared" si="765"/>
        <v/>
      </c>
      <c r="U4919" t="str">
        <f t="shared" si="766"/>
        <v/>
      </c>
      <c r="V4919" t="str">
        <f t="shared" si="767"/>
        <v/>
      </c>
      <c r="W4919" t="str">
        <f t="shared" si="768"/>
        <v/>
      </c>
      <c r="X4919">
        <f>IF($T4919="",N($X4918),IF(MATCH($T4919,$T$6:$T$10005,0)=ROW()-5,N($X4918)+1,N($X4918)))</f>
        <v>0</v>
      </c>
      <c r="Z4919" t="str">
        <f t="shared" si="769"/>
        <v/>
      </c>
      <c r="AA4919">
        <f>IF($V4919="",N($AA4918),IF(MATCH($V4919,$V$6:$V$10005,0)=ROW()-5,N($AA4918)+1,N($AA4918)))</f>
        <v>0</v>
      </c>
    </row>
    <row r="4920" spans="1:27" ht="21" customHeight="1" x14ac:dyDescent="0.95">
      <c r="A4920" s="56"/>
      <c r="B4920" s="57"/>
      <c r="C4920" s="57"/>
      <c r="D4920" s="57"/>
      <c r="E4920" s="56"/>
      <c r="F4920" s="57"/>
      <c r="G4920" s="57"/>
      <c r="H4920" s="56"/>
      <c r="I4920" s="56"/>
      <c r="J4920" s="58"/>
      <c r="K4920" s="58"/>
      <c r="L4920" s="13" t="str">
        <f t="shared" si="760"/>
        <v/>
      </c>
      <c r="M4920" s="13" t="str">
        <f t="shared" si="761"/>
        <v/>
      </c>
      <c r="Q4920" t="str">
        <f t="shared" si="762"/>
        <v/>
      </c>
      <c r="R4920" t="str">
        <f t="shared" si="763"/>
        <v/>
      </c>
      <c r="S4920" t="str">
        <f t="shared" si="764"/>
        <v/>
      </c>
      <c r="T4920" t="str">
        <f t="shared" si="765"/>
        <v/>
      </c>
      <c r="U4920" t="str">
        <f t="shared" si="766"/>
        <v/>
      </c>
      <c r="V4920" t="str">
        <f t="shared" si="767"/>
        <v/>
      </c>
      <c r="W4920" t="str">
        <f t="shared" si="768"/>
        <v/>
      </c>
      <c r="X4920">
        <f>IF($T4920="",N($X4919),IF(MATCH($T4920,$T$6:$T$10005,0)=ROW()-5,N($X4919)+1,N($X4919)))</f>
        <v>0</v>
      </c>
      <c r="Z4920" t="str">
        <f t="shared" si="769"/>
        <v/>
      </c>
      <c r="AA4920">
        <f>IF($V4920="",N($AA4919),IF(MATCH($V4920,$V$6:$V$10005,0)=ROW()-5,N($AA4919)+1,N($AA4919)))</f>
        <v>0</v>
      </c>
    </row>
    <row r="4921" spans="1:27" ht="21" customHeight="1" x14ac:dyDescent="0.95">
      <c r="A4921" s="56"/>
      <c r="B4921" s="57"/>
      <c r="C4921" s="57"/>
      <c r="D4921" s="57"/>
      <c r="E4921" s="56"/>
      <c r="F4921" s="57"/>
      <c r="G4921" s="57"/>
      <c r="H4921" s="56"/>
      <c r="I4921" s="56"/>
      <c r="J4921" s="58"/>
      <c r="K4921" s="58"/>
      <c r="L4921" s="13" t="str">
        <f t="shared" si="760"/>
        <v/>
      </c>
      <c r="M4921" s="13" t="str">
        <f t="shared" si="761"/>
        <v/>
      </c>
      <c r="Q4921" t="str">
        <f t="shared" si="762"/>
        <v/>
      </c>
      <c r="R4921" t="str">
        <f t="shared" si="763"/>
        <v/>
      </c>
      <c r="S4921" t="str">
        <f t="shared" si="764"/>
        <v/>
      </c>
      <c r="T4921" t="str">
        <f t="shared" si="765"/>
        <v/>
      </c>
      <c r="U4921" t="str">
        <f t="shared" si="766"/>
        <v/>
      </c>
      <c r="V4921" t="str">
        <f t="shared" si="767"/>
        <v/>
      </c>
      <c r="W4921" t="str">
        <f t="shared" si="768"/>
        <v/>
      </c>
      <c r="X4921">
        <f>IF($T4921="",N($X4920),IF(MATCH($T4921,$T$6:$T$10005,0)=ROW()-5,N($X4920)+1,N($X4920)))</f>
        <v>0</v>
      </c>
      <c r="Z4921" t="str">
        <f t="shared" si="769"/>
        <v/>
      </c>
      <c r="AA4921">
        <f>IF($V4921="",N($AA4920),IF(MATCH($V4921,$V$6:$V$10005,0)=ROW()-5,N($AA4920)+1,N($AA4920)))</f>
        <v>0</v>
      </c>
    </row>
    <row r="4922" spans="1:27" ht="21" customHeight="1" x14ac:dyDescent="0.95">
      <c r="A4922" s="56"/>
      <c r="B4922" s="57"/>
      <c r="C4922" s="57"/>
      <c r="D4922" s="57"/>
      <c r="E4922" s="56"/>
      <c r="F4922" s="57"/>
      <c r="G4922" s="57"/>
      <c r="H4922" s="56"/>
      <c r="I4922" s="56"/>
      <c r="J4922" s="58"/>
      <c r="K4922" s="58"/>
      <c r="L4922" s="13" t="str">
        <f t="shared" si="760"/>
        <v/>
      </c>
      <c r="M4922" s="13" t="str">
        <f t="shared" si="761"/>
        <v/>
      </c>
      <c r="Q4922" t="str">
        <f t="shared" si="762"/>
        <v/>
      </c>
      <c r="R4922" t="str">
        <f t="shared" si="763"/>
        <v/>
      </c>
      <c r="S4922" t="str">
        <f t="shared" si="764"/>
        <v/>
      </c>
      <c r="T4922" t="str">
        <f t="shared" si="765"/>
        <v/>
      </c>
      <c r="U4922" t="str">
        <f t="shared" si="766"/>
        <v/>
      </c>
      <c r="V4922" t="str">
        <f t="shared" si="767"/>
        <v/>
      </c>
      <c r="W4922" t="str">
        <f t="shared" si="768"/>
        <v/>
      </c>
      <c r="X4922">
        <f>IF($T4922="",N($X4921),IF(MATCH($T4922,$T$6:$T$10005,0)=ROW()-5,N($X4921)+1,N($X4921)))</f>
        <v>0</v>
      </c>
      <c r="Z4922" t="str">
        <f t="shared" si="769"/>
        <v/>
      </c>
      <c r="AA4922">
        <f>IF($V4922="",N($AA4921),IF(MATCH($V4922,$V$6:$V$10005,0)=ROW()-5,N($AA4921)+1,N($AA4921)))</f>
        <v>0</v>
      </c>
    </row>
    <row r="4923" spans="1:27" ht="21" customHeight="1" x14ac:dyDescent="0.95">
      <c r="A4923" s="56"/>
      <c r="B4923" s="57"/>
      <c r="C4923" s="57"/>
      <c r="D4923" s="57"/>
      <c r="E4923" s="56"/>
      <c r="F4923" s="57"/>
      <c r="G4923" s="57"/>
      <c r="H4923" s="56"/>
      <c r="I4923" s="56"/>
      <c r="J4923" s="58"/>
      <c r="K4923" s="58"/>
      <c r="L4923" s="13" t="str">
        <f t="shared" si="760"/>
        <v/>
      </c>
      <c r="M4923" s="13" t="str">
        <f t="shared" si="761"/>
        <v/>
      </c>
      <c r="Q4923" t="str">
        <f t="shared" si="762"/>
        <v/>
      </c>
      <c r="R4923" t="str">
        <f t="shared" si="763"/>
        <v/>
      </c>
      <c r="S4923" t="str">
        <f t="shared" si="764"/>
        <v/>
      </c>
      <c r="T4923" t="str">
        <f t="shared" si="765"/>
        <v/>
      </c>
      <c r="U4923" t="str">
        <f t="shared" si="766"/>
        <v/>
      </c>
      <c r="V4923" t="str">
        <f t="shared" si="767"/>
        <v/>
      </c>
      <c r="W4923" t="str">
        <f t="shared" si="768"/>
        <v/>
      </c>
      <c r="X4923">
        <f>IF($T4923="",N($X4922),IF(MATCH($T4923,$T$6:$T$10005,0)=ROW()-5,N($X4922)+1,N($X4922)))</f>
        <v>0</v>
      </c>
      <c r="Z4923" t="str">
        <f t="shared" si="769"/>
        <v/>
      </c>
      <c r="AA4923">
        <f>IF($V4923="",N($AA4922),IF(MATCH($V4923,$V$6:$V$10005,0)=ROW()-5,N($AA4922)+1,N($AA4922)))</f>
        <v>0</v>
      </c>
    </row>
    <row r="4924" spans="1:27" ht="21" customHeight="1" x14ac:dyDescent="0.95">
      <c r="A4924" s="56"/>
      <c r="B4924" s="57"/>
      <c r="C4924" s="57"/>
      <c r="D4924" s="57"/>
      <c r="E4924" s="56"/>
      <c r="F4924" s="57"/>
      <c r="G4924" s="57"/>
      <c r="H4924" s="56"/>
      <c r="I4924" s="56"/>
      <c r="J4924" s="58"/>
      <c r="K4924" s="58"/>
      <c r="L4924" s="13" t="str">
        <f t="shared" si="760"/>
        <v/>
      </c>
      <c r="M4924" s="13" t="str">
        <f t="shared" si="761"/>
        <v/>
      </c>
      <c r="Q4924" t="str">
        <f t="shared" si="762"/>
        <v/>
      </c>
      <c r="R4924" t="str">
        <f t="shared" si="763"/>
        <v/>
      </c>
      <c r="S4924" t="str">
        <f t="shared" si="764"/>
        <v/>
      </c>
      <c r="T4924" t="str">
        <f t="shared" si="765"/>
        <v/>
      </c>
      <c r="U4924" t="str">
        <f t="shared" si="766"/>
        <v/>
      </c>
      <c r="V4924" t="str">
        <f t="shared" si="767"/>
        <v/>
      </c>
      <c r="W4924" t="str">
        <f t="shared" si="768"/>
        <v/>
      </c>
      <c r="X4924">
        <f>IF($T4924="",N($X4923),IF(MATCH($T4924,$T$6:$T$10005,0)=ROW()-5,N($X4923)+1,N($X4923)))</f>
        <v>0</v>
      </c>
      <c r="Z4924" t="str">
        <f t="shared" si="769"/>
        <v/>
      </c>
      <c r="AA4924">
        <f>IF($V4924="",N($AA4923),IF(MATCH($V4924,$V$6:$V$10005,0)=ROW()-5,N($AA4923)+1,N($AA4923)))</f>
        <v>0</v>
      </c>
    </row>
    <row r="4925" spans="1:27" ht="21" customHeight="1" x14ac:dyDescent="0.95">
      <c r="A4925" s="56"/>
      <c r="B4925" s="57"/>
      <c r="C4925" s="57"/>
      <c r="D4925" s="57"/>
      <c r="E4925" s="56"/>
      <c r="F4925" s="57"/>
      <c r="G4925" s="57"/>
      <c r="H4925" s="56"/>
      <c r="I4925" s="56"/>
      <c r="J4925" s="58"/>
      <c r="K4925" s="58"/>
      <c r="L4925" s="13" t="str">
        <f t="shared" si="760"/>
        <v/>
      </c>
      <c r="M4925" s="13" t="str">
        <f t="shared" si="761"/>
        <v/>
      </c>
      <c r="Q4925" t="str">
        <f t="shared" si="762"/>
        <v/>
      </c>
      <c r="R4925" t="str">
        <f t="shared" si="763"/>
        <v/>
      </c>
      <c r="S4925" t="str">
        <f t="shared" si="764"/>
        <v/>
      </c>
      <c r="T4925" t="str">
        <f t="shared" si="765"/>
        <v/>
      </c>
      <c r="U4925" t="str">
        <f t="shared" si="766"/>
        <v/>
      </c>
      <c r="V4925" t="str">
        <f t="shared" si="767"/>
        <v/>
      </c>
      <c r="W4925" t="str">
        <f t="shared" si="768"/>
        <v/>
      </c>
      <c r="X4925">
        <f>IF($T4925="",N($X4924),IF(MATCH($T4925,$T$6:$T$10005,0)=ROW()-5,N($X4924)+1,N($X4924)))</f>
        <v>0</v>
      </c>
      <c r="Z4925" t="str">
        <f t="shared" si="769"/>
        <v/>
      </c>
      <c r="AA4925">
        <f>IF($V4925="",N($AA4924),IF(MATCH($V4925,$V$6:$V$10005,0)=ROW()-5,N($AA4924)+1,N($AA4924)))</f>
        <v>0</v>
      </c>
    </row>
    <row r="4926" spans="1:27" ht="21" customHeight="1" x14ac:dyDescent="0.95">
      <c r="A4926" s="56"/>
      <c r="B4926" s="57"/>
      <c r="C4926" s="57"/>
      <c r="D4926" s="57"/>
      <c r="E4926" s="56"/>
      <c r="F4926" s="57"/>
      <c r="G4926" s="57"/>
      <c r="H4926" s="56"/>
      <c r="I4926" s="56"/>
      <c r="J4926" s="58"/>
      <c r="K4926" s="58"/>
      <c r="L4926" s="13" t="str">
        <f t="shared" si="760"/>
        <v/>
      </c>
      <c r="M4926" s="13" t="str">
        <f t="shared" si="761"/>
        <v/>
      </c>
      <c r="Q4926" t="str">
        <f t="shared" si="762"/>
        <v/>
      </c>
      <c r="R4926" t="str">
        <f t="shared" si="763"/>
        <v/>
      </c>
      <c r="S4926" t="str">
        <f t="shared" si="764"/>
        <v/>
      </c>
      <c r="T4926" t="str">
        <f t="shared" si="765"/>
        <v/>
      </c>
      <c r="U4926" t="str">
        <f t="shared" si="766"/>
        <v/>
      </c>
      <c r="V4926" t="str">
        <f t="shared" si="767"/>
        <v/>
      </c>
      <c r="W4926" t="str">
        <f t="shared" si="768"/>
        <v/>
      </c>
      <c r="X4926">
        <f>IF($T4926="",N($X4925),IF(MATCH($T4926,$T$6:$T$10005,0)=ROW()-5,N($X4925)+1,N($X4925)))</f>
        <v>0</v>
      </c>
      <c r="Z4926" t="str">
        <f t="shared" si="769"/>
        <v/>
      </c>
      <c r="AA4926">
        <f>IF($V4926="",N($AA4925),IF(MATCH($V4926,$V$6:$V$10005,0)=ROW()-5,N($AA4925)+1,N($AA4925)))</f>
        <v>0</v>
      </c>
    </row>
    <row r="4927" spans="1:27" ht="21" customHeight="1" x14ac:dyDescent="0.95">
      <c r="A4927" s="56"/>
      <c r="B4927" s="57"/>
      <c r="C4927" s="57"/>
      <c r="D4927" s="57"/>
      <c r="E4927" s="56"/>
      <c r="F4927" s="57"/>
      <c r="G4927" s="57"/>
      <c r="H4927" s="56"/>
      <c r="I4927" s="56"/>
      <c r="J4927" s="58"/>
      <c r="K4927" s="58"/>
      <c r="L4927" s="13" t="str">
        <f t="shared" si="760"/>
        <v/>
      </c>
      <c r="M4927" s="13" t="str">
        <f t="shared" si="761"/>
        <v/>
      </c>
      <c r="Q4927" t="str">
        <f t="shared" si="762"/>
        <v/>
      </c>
      <c r="R4927" t="str">
        <f t="shared" si="763"/>
        <v/>
      </c>
      <c r="S4927" t="str">
        <f t="shared" si="764"/>
        <v/>
      </c>
      <c r="T4927" t="str">
        <f t="shared" si="765"/>
        <v/>
      </c>
      <c r="U4927" t="str">
        <f t="shared" si="766"/>
        <v/>
      </c>
      <c r="V4927" t="str">
        <f t="shared" si="767"/>
        <v/>
      </c>
      <c r="W4927" t="str">
        <f t="shared" si="768"/>
        <v/>
      </c>
      <c r="X4927">
        <f>IF($T4927="",N($X4926),IF(MATCH($T4927,$T$6:$T$10005,0)=ROW()-5,N($X4926)+1,N($X4926)))</f>
        <v>0</v>
      </c>
      <c r="Z4927" t="str">
        <f t="shared" si="769"/>
        <v/>
      </c>
      <c r="AA4927">
        <f>IF($V4927="",N($AA4926),IF(MATCH($V4927,$V$6:$V$10005,0)=ROW()-5,N($AA4926)+1,N($AA4926)))</f>
        <v>0</v>
      </c>
    </row>
    <row r="4928" spans="1:27" ht="21" customHeight="1" x14ac:dyDescent="0.95">
      <c r="A4928" s="56"/>
      <c r="B4928" s="57"/>
      <c r="C4928" s="57"/>
      <c r="D4928" s="57"/>
      <c r="E4928" s="56"/>
      <c r="F4928" s="57"/>
      <c r="G4928" s="57"/>
      <c r="H4928" s="56"/>
      <c r="I4928" s="56"/>
      <c r="J4928" s="58"/>
      <c r="K4928" s="58"/>
      <c r="L4928" s="13" t="str">
        <f t="shared" si="760"/>
        <v/>
      </c>
      <c r="M4928" s="13" t="str">
        <f t="shared" si="761"/>
        <v/>
      </c>
      <c r="Q4928" t="str">
        <f t="shared" si="762"/>
        <v/>
      </c>
      <c r="R4928" t="str">
        <f t="shared" si="763"/>
        <v/>
      </c>
      <c r="S4928" t="str">
        <f t="shared" si="764"/>
        <v/>
      </c>
      <c r="T4928" t="str">
        <f t="shared" si="765"/>
        <v/>
      </c>
      <c r="U4928" t="str">
        <f t="shared" si="766"/>
        <v/>
      </c>
      <c r="V4928" t="str">
        <f t="shared" si="767"/>
        <v/>
      </c>
      <c r="W4928" t="str">
        <f t="shared" si="768"/>
        <v/>
      </c>
      <c r="X4928">
        <f>IF($T4928="",N($X4927),IF(MATCH($T4928,$T$6:$T$10005,0)=ROW()-5,N($X4927)+1,N($X4927)))</f>
        <v>0</v>
      </c>
      <c r="Z4928" t="str">
        <f t="shared" si="769"/>
        <v/>
      </c>
      <c r="AA4928">
        <f>IF($V4928="",N($AA4927),IF(MATCH($V4928,$V$6:$V$10005,0)=ROW()-5,N($AA4927)+1,N($AA4927)))</f>
        <v>0</v>
      </c>
    </row>
    <row r="4929" spans="1:27" ht="21" customHeight="1" x14ac:dyDescent="0.95">
      <c r="A4929" s="56"/>
      <c r="B4929" s="57"/>
      <c r="C4929" s="57"/>
      <c r="D4929" s="57"/>
      <c r="E4929" s="56"/>
      <c r="F4929" s="57"/>
      <c r="G4929" s="57"/>
      <c r="H4929" s="56"/>
      <c r="I4929" s="56"/>
      <c r="J4929" s="58"/>
      <c r="K4929" s="58"/>
      <c r="L4929" s="13" t="str">
        <f t="shared" si="760"/>
        <v/>
      </c>
      <c r="M4929" s="13" t="str">
        <f t="shared" si="761"/>
        <v/>
      </c>
      <c r="Q4929" t="str">
        <f t="shared" si="762"/>
        <v/>
      </c>
      <c r="R4929" t="str">
        <f t="shared" si="763"/>
        <v/>
      </c>
      <c r="S4929" t="str">
        <f t="shared" si="764"/>
        <v/>
      </c>
      <c r="T4929" t="str">
        <f t="shared" si="765"/>
        <v/>
      </c>
      <c r="U4929" t="str">
        <f t="shared" si="766"/>
        <v/>
      </c>
      <c r="V4929" t="str">
        <f t="shared" si="767"/>
        <v/>
      </c>
      <c r="W4929" t="str">
        <f t="shared" si="768"/>
        <v/>
      </c>
      <c r="X4929">
        <f>IF($T4929="",N($X4928),IF(MATCH($T4929,$T$6:$T$10005,0)=ROW()-5,N($X4928)+1,N($X4928)))</f>
        <v>0</v>
      </c>
      <c r="Z4929" t="str">
        <f t="shared" si="769"/>
        <v/>
      </c>
      <c r="AA4929">
        <f>IF($V4929="",N($AA4928),IF(MATCH($V4929,$V$6:$V$10005,0)=ROW()-5,N($AA4928)+1,N($AA4928)))</f>
        <v>0</v>
      </c>
    </row>
    <row r="4930" spans="1:27" ht="21" customHeight="1" x14ac:dyDescent="0.95">
      <c r="A4930" s="56"/>
      <c r="B4930" s="57"/>
      <c r="C4930" s="57"/>
      <c r="D4930" s="57"/>
      <c r="E4930" s="56"/>
      <c r="F4930" s="57"/>
      <c r="G4930" s="57"/>
      <c r="H4930" s="56"/>
      <c r="I4930" s="56"/>
      <c r="J4930" s="58"/>
      <c r="K4930" s="58"/>
      <c r="L4930" s="13" t="str">
        <f t="shared" si="760"/>
        <v/>
      </c>
      <c r="M4930" s="13" t="str">
        <f t="shared" si="761"/>
        <v/>
      </c>
      <c r="Q4930" t="str">
        <f t="shared" si="762"/>
        <v/>
      </c>
      <c r="R4930" t="str">
        <f t="shared" si="763"/>
        <v/>
      </c>
      <c r="S4930" t="str">
        <f t="shared" si="764"/>
        <v/>
      </c>
      <c r="T4930" t="str">
        <f t="shared" si="765"/>
        <v/>
      </c>
      <c r="U4930" t="str">
        <f t="shared" si="766"/>
        <v/>
      </c>
      <c r="V4930" t="str">
        <f t="shared" si="767"/>
        <v/>
      </c>
      <c r="W4930" t="str">
        <f t="shared" si="768"/>
        <v/>
      </c>
      <c r="X4930">
        <f>IF($T4930="",N($X4929),IF(MATCH($T4930,$T$6:$T$10005,0)=ROW()-5,N($X4929)+1,N($X4929)))</f>
        <v>0</v>
      </c>
      <c r="Z4930" t="str">
        <f t="shared" si="769"/>
        <v/>
      </c>
      <c r="AA4930">
        <f>IF($V4930="",N($AA4929),IF(MATCH($V4930,$V$6:$V$10005,0)=ROW()-5,N($AA4929)+1,N($AA4929)))</f>
        <v>0</v>
      </c>
    </row>
    <row r="4931" spans="1:27" ht="21" customHeight="1" x14ac:dyDescent="0.95">
      <c r="A4931" s="56"/>
      <c r="B4931" s="57"/>
      <c r="C4931" s="57"/>
      <c r="D4931" s="57"/>
      <c r="E4931" s="56"/>
      <c r="F4931" s="57"/>
      <c r="G4931" s="57"/>
      <c r="H4931" s="56"/>
      <c r="I4931" s="56"/>
      <c r="J4931" s="58"/>
      <c r="K4931" s="58"/>
      <c r="L4931" s="13" t="str">
        <f t="shared" si="760"/>
        <v/>
      </c>
      <c r="M4931" s="13" t="str">
        <f t="shared" si="761"/>
        <v/>
      </c>
      <c r="Q4931" t="str">
        <f t="shared" si="762"/>
        <v/>
      </c>
      <c r="R4931" t="str">
        <f t="shared" si="763"/>
        <v/>
      </c>
      <c r="S4931" t="str">
        <f t="shared" si="764"/>
        <v/>
      </c>
      <c r="T4931" t="str">
        <f t="shared" si="765"/>
        <v/>
      </c>
      <c r="U4931" t="str">
        <f t="shared" si="766"/>
        <v/>
      </c>
      <c r="V4931" t="str">
        <f t="shared" si="767"/>
        <v/>
      </c>
      <c r="W4931" t="str">
        <f t="shared" si="768"/>
        <v/>
      </c>
      <c r="X4931">
        <f>IF($T4931="",N($X4930),IF(MATCH($T4931,$T$6:$T$10005,0)=ROW()-5,N($X4930)+1,N($X4930)))</f>
        <v>0</v>
      </c>
      <c r="Z4931" t="str">
        <f t="shared" si="769"/>
        <v/>
      </c>
      <c r="AA4931">
        <f>IF($V4931="",N($AA4930),IF(MATCH($V4931,$V$6:$V$10005,0)=ROW()-5,N($AA4930)+1,N($AA4930)))</f>
        <v>0</v>
      </c>
    </row>
    <row r="4932" spans="1:27" ht="21" customHeight="1" x14ac:dyDescent="0.95">
      <c r="A4932" s="56"/>
      <c r="B4932" s="57"/>
      <c r="C4932" s="57"/>
      <c r="D4932" s="57"/>
      <c r="E4932" s="56"/>
      <c r="F4932" s="57"/>
      <c r="G4932" s="57"/>
      <c r="H4932" s="56"/>
      <c r="I4932" s="56"/>
      <c r="J4932" s="58"/>
      <c r="K4932" s="58"/>
      <c r="L4932" s="13" t="str">
        <f t="shared" si="760"/>
        <v/>
      </c>
      <c r="M4932" s="13" t="str">
        <f t="shared" si="761"/>
        <v/>
      </c>
      <c r="Q4932" t="str">
        <f t="shared" si="762"/>
        <v/>
      </c>
      <c r="R4932" t="str">
        <f t="shared" si="763"/>
        <v/>
      </c>
      <c r="S4932" t="str">
        <f t="shared" si="764"/>
        <v/>
      </c>
      <c r="T4932" t="str">
        <f t="shared" si="765"/>
        <v/>
      </c>
      <c r="U4932" t="str">
        <f t="shared" si="766"/>
        <v/>
      </c>
      <c r="V4932" t="str">
        <f t="shared" si="767"/>
        <v/>
      </c>
      <c r="W4932" t="str">
        <f t="shared" si="768"/>
        <v/>
      </c>
      <c r="X4932">
        <f>IF($T4932="",N($X4931),IF(MATCH($T4932,$T$6:$T$10005,0)=ROW()-5,N($X4931)+1,N($X4931)))</f>
        <v>0</v>
      </c>
      <c r="Z4932" t="str">
        <f t="shared" si="769"/>
        <v/>
      </c>
      <c r="AA4932">
        <f>IF($V4932="",N($AA4931),IF(MATCH($V4932,$V$6:$V$10005,0)=ROW()-5,N($AA4931)+1,N($AA4931)))</f>
        <v>0</v>
      </c>
    </row>
    <row r="4933" spans="1:27" ht="21" customHeight="1" x14ac:dyDescent="0.95">
      <c r="A4933" s="56"/>
      <c r="B4933" s="57"/>
      <c r="C4933" s="57"/>
      <c r="D4933" s="57"/>
      <c r="E4933" s="56"/>
      <c r="F4933" s="57"/>
      <c r="G4933" s="57"/>
      <c r="H4933" s="56"/>
      <c r="I4933" s="56"/>
      <c r="J4933" s="58"/>
      <c r="K4933" s="58"/>
      <c r="L4933" s="13" t="str">
        <f t="shared" si="760"/>
        <v/>
      </c>
      <c r="M4933" s="13" t="str">
        <f t="shared" si="761"/>
        <v/>
      </c>
      <c r="Q4933" t="str">
        <f t="shared" si="762"/>
        <v/>
      </c>
      <c r="R4933" t="str">
        <f t="shared" si="763"/>
        <v/>
      </c>
      <c r="S4933" t="str">
        <f t="shared" si="764"/>
        <v/>
      </c>
      <c r="T4933" t="str">
        <f t="shared" si="765"/>
        <v/>
      </c>
      <c r="U4933" t="str">
        <f t="shared" si="766"/>
        <v/>
      </c>
      <c r="V4933" t="str">
        <f t="shared" si="767"/>
        <v/>
      </c>
      <c r="W4933" t="str">
        <f t="shared" si="768"/>
        <v/>
      </c>
      <c r="X4933">
        <f>IF($T4933="",N($X4932),IF(MATCH($T4933,$T$6:$T$10005,0)=ROW()-5,N($X4932)+1,N($X4932)))</f>
        <v>0</v>
      </c>
      <c r="Z4933" t="str">
        <f t="shared" si="769"/>
        <v/>
      </c>
      <c r="AA4933">
        <f>IF($V4933="",N($AA4932),IF(MATCH($V4933,$V$6:$V$10005,0)=ROW()-5,N($AA4932)+1,N($AA4932)))</f>
        <v>0</v>
      </c>
    </row>
    <row r="4934" spans="1:27" ht="21" customHeight="1" x14ac:dyDescent="0.95">
      <c r="A4934" s="56"/>
      <c r="B4934" s="57"/>
      <c r="C4934" s="57"/>
      <c r="D4934" s="57"/>
      <c r="E4934" s="56"/>
      <c r="F4934" s="57"/>
      <c r="G4934" s="57"/>
      <c r="H4934" s="56"/>
      <c r="I4934" s="56"/>
      <c r="J4934" s="58"/>
      <c r="K4934" s="58"/>
      <c r="L4934" s="13" t="str">
        <f t="shared" ref="L4934:L4997" si="770">IF(OR($A4934="",AND($J4934="",$K4934="")),"",ROUND(N($J4934)-N($K4934),2))</f>
        <v/>
      </c>
      <c r="M4934" s="13" t="str">
        <f t="shared" ref="M4934:M4997" si="771">IF(OR($A4934="",AND($J4934="",$K4934="")),"",MIN($J4934,$K4934))</f>
        <v/>
      </c>
      <c r="Q4934" t="str">
        <f t="shared" ref="Q4934:Q4997" si="772">IF($A4934="","",$D4934&amp;"("&amp;SUBSTITUTE($E4934," ","")&amp;")")</f>
        <v/>
      </c>
      <c r="R4934" t="str">
        <f t="shared" ref="R4934:R4997" si="773">IF($A4934="","",$B4934&amp;" - "&amp;$C4934)</f>
        <v/>
      </c>
      <c r="S4934" t="str">
        <f t="shared" ref="S4934:S4997" si="774">IF($A4934="","",$R4934&amp;"|"&amp;$Q4934)</f>
        <v/>
      </c>
      <c r="T4934" t="str">
        <f t="shared" ref="T4934:T4997" si="775">IF($A4934="","",$S4934&amp;"|"&amp;$F4934)</f>
        <v/>
      </c>
      <c r="U4934" t="str">
        <f t="shared" ref="U4934:U4997" si="776">IF($A4934="","",$R4934&amp;"("&amp;$E4934&amp;")")</f>
        <v/>
      </c>
      <c r="V4934" t="str">
        <f t="shared" ref="V4934:V4997" si="777">IF($A4934="","",$F4934&amp;"|"&amp;$U4934&amp;"|"&amp;$D4934)</f>
        <v/>
      </c>
      <c r="W4934" t="str">
        <f t="shared" ref="W4934:W4997" si="778">IF($T4934="","",IF($X4934&gt;N($X4933),$X4934,""))</f>
        <v/>
      </c>
      <c r="X4934">
        <f>IF($T4934="",N($X4933),IF(MATCH($T4934,$T$6:$T$10005,0)=ROW()-5,N($X4933)+1,N($X4933)))</f>
        <v>0</v>
      </c>
      <c r="Z4934" t="str">
        <f t="shared" ref="Z4934:Z4997" si="779">IF($V4934="","",IF($AA4934&gt;N($AA4933),$AA4934,""))</f>
        <v/>
      </c>
      <c r="AA4934">
        <f>IF($V4934="",N($AA4933),IF(MATCH($V4934,$V$6:$V$10005,0)=ROW()-5,N($AA4933)+1,N($AA4933)))</f>
        <v>0</v>
      </c>
    </row>
    <row r="4935" spans="1:27" ht="21" customHeight="1" x14ac:dyDescent="0.95">
      <c r="A4935" s="56"/>
      <c r="B4935" s="57"/>
      <c r="C4935" s="57"/>
      <c r="D4935" s="57"/>
      <c r="E4935" s="56"/>
      <c r="F4935" s="57"/>
      <c r="G4935" s="57"/>
      <c r="H4935" s="56"/>
      <c r="I4935" s="56"/>
      <c r="J4935" s="58"/>
      <c r="K4935" s="58"/>
      <c r="L4935" s="13" t="str">
        <f t="shared" si="770"/>
        <v/>
      </c>
      <c r="M4935" s="13" t="str">
        <f t="shared" si="771"/>
        <v/>
      </c>
      <c r="Q4935" t="str">
        <f t="shared" si="772"/>
        <v/>
      </c>
      <c r="R4935" t="str">
        <f t="shared" si="773"/>
        <v/>
      </c>
      <c r="S4935" t="str">
        <f t="shared" si="774"/>
        <v/>
      </c>
      <c r="T4935" t="str">
        <f t="shared" si="775"/>
        <v/>
      </c>
      <c r="U4935" t="str">
        <f t="shared" si="776"/>
        <v/>
      </c>
      <c r="V4935" t="str">
        <f t="shared" si="777"/>
        <v/>
      </c>
      <c r="W4935" t="str">
        <f t="shared" si="778"/>
        <v/>
      </c>
      <c r="X4935">
        <f>IF($T4935="",N($X4934),IF(MATCH($T4935,$T$6:$T$10005,0)=ROW()-5,N($X4934)+1,N($X4934)))</f>
        <v>0</v>
      </c>
      <c r="Z4935" t="str">
        <f t="shared" si="779"/>
        <v/>
      </c>
      <c r="AA4935">
        <f>IF($V4935="",N($AA4934),IF(MATCH($V4935,$V$6:$V$10005,0)=ROW()-5,N($AA4934)+1,N($AA4934)))</f>
        <v>0</v>
      </c>
    </row>
    <row r="4936" spans="1:27" ht="21" customHeight="1" x14ac:dyDescent="0.95">
      <c r="A4936" s="56"/>
      <c r="B4936" s="57"/>
      <c r="C4936" s="57"/>
      <c r="D4936" s="57"/>
      <c r="E4936" s="56"/>
      <c r="F4936" s="57"/>
      <c r="G4936" s="57"/>
      <c r="H4936" s="56"/>
      <c r="I4936" s="56"/>
      <c r="J4936" s="58"/>
      <c r="K4936" s="58"/>
      <c r="L4936" s="13" t="str">
        <f t="shared" si="770"/>
        <v/>
      </c>
      <c r="M4936" s="13" t="str">
        <f t="shared" si="771"/>
        <v/>
      </c>
      <c r="Q4936" t="str">
        <f t="shared" si="772"/>
        <v/>
      </c>
      <c r="R4936" t="str">
        <f t="shared" si="773"/>
        <v/>
      </c>
      <c r="S4936" t="str">
        <f t="shared" si="774"/>
        <v/>
      </c>
      <c r="T4936" t="str">
        <f t="shared" si="775"/>
        <v/>
      </c>
      <c r="U4936" t="str">
        <f t="shared" si="776"/>
        <v/>
      </c>
      <c r="V4936" t="str">
        <f t="shared" si="777"/>
        <v/>
      </c>
      <c r="W4936" t="str">
        <f t="shared" si="778"/>
        <v/>
      </c>
      <c r="X4936">
        <f>IF($T4936="",N($X4935),IF(MATCH($T4936,$T$6:$T$10005,0)=ROW()-5,N($X4935)+1,N($X4935)))</f>
        <v>0</v>
      </c>
      <c r="Z4936" t="str">
        <f t="shared" si="779"/>
        <v/>
      </c>
      <c r="AA4936">
        <f>IF($V4936="",N($AA4935),IF(MATCH($V4936,$V$6:$V$10005,0)=ROW()-5,N($AA4935)+1,N($AA4935)))</f>
        <v>0</v>
      </c>
    </row>
    <row r="4937" spans="1:27" ht="21" customHeight="1" x14ac:dyDescent="0.95">
      <c r="A4937" s="56"/>
      <c r="B4937" s="57"/>
      <c r="C4937" s="57"/>
      <c r="D4937" s="57"/>
      <c r="E4937" s="56"/>
      <c r="F4937" s="57"/>
      <c r="G4937" s="57"/>
      <c r="H4937" s="56"/>
      <c r="I4937" s="56"/>
      <c r="J4937" s="58"/>
      <c r="K4937" s="58"/>
      <c r="L4937" s="13" t="str">
        <f t="shared" si="770"/>
        <v/>
      </c>
      <c r="M4937" s="13" t="str">
        <f t="shared" si="771"/>
        <v/>
      </c>
      <c r="Q4937" t="str">
        <f t="shared" si="772"/>
        <v/>
      </c>
      <c r="R4937" t="str">
        <f t="shared" si="773"/>
        <v/>
      </c>
      <c r="S4937" t="str">
        <f t="shared" si="774"/>
        <v/>
      </c>
      <c r="T4937" t="str">
        <f t="shared" si="775"/>
        <v/>
      </c>
      <c r="U4937" t="str">
        <f t="shared" si="776"/>
        <v/>
      </c>
      <c r="V4937" t="str">
        <f t="shared" si="777"/>
        <v/>
      </c>
      <c r="W4937" t="str">
        <f t="shared" si="778"/>
        <v/>
      </c>
      <c r="X4937">
        <f>IF($T4937="",N($X4936),IF(MATCH($T4937,$T$6:$T$10005,0)=ROW()-5,N($X4936)+1,N($X4936)))</f>
        <v>0</v>
      </c>
      <c r="Z4937" t="str">
        <f t="shared" si="779"/>
        <v/>
      </c>
      <c r="AA4937">
        <f>IF($V4937="",N($AA4936),IF(MATCH($V4937,$V$6:$V$10005,0)=ROW()-5,N($AA4936)+1,N($AA4936)))</f>
        <v>0</v>
      </c>
    </row>
    <row r="4938" spans="1:27" ht="21" customHeight="1" x14ac:dyDescent="0.95">
      <c r="A4938" s="56"/>
      <c r="B4938" s="57"/>
      <c r="C4938" s="57"/>
      <c r="D4938" s="57"/>
      <c r="E4938" s="56"/>
      <c r="F4938" s="57"/>
      <c r="G4938" s="57"/>
      <c r="H4938" s="56"/>
      <c r="I4938" s="56"/>
      <c r="J4938" s="58"/>
      <c r="K4938" s="58"/>
      <c r="L4938" s="13" t="str">
        <f t="shared" si="770"/>
        <v/>
      </c>
      <c r="M4938" s="13" t="str">
        <f t="shared" si="771"/>
        <v/>
      </c>
      <c r="Q4938" t="str">
        <f t="shared" si="772"/>
        <v/>
      </c>
      <c r="R4938" t="str">
        <f t="shared" si="773"/>
        <v/>
      </c>
      <c r="S4938" t="str">
        <f t="shared" si="774"/>
        <v/>
      </c>
      <c r="T4938" t="str">
        <f t="shared" si="775"/>
        <v/>
      </c>
      <c r="U4938" t="str">
        <f t="shared" si="776"/>
        <v/>
      </c>
      <c r="V4938" t="str">
        <f t="shared" si="777"/>
        <v/>
      </c>
      <c r="W4938" t="str">
        <f t="shared" si="778"/>
        <v/>
      </c>
      <c r="X4938">
        <f>IF($T4938="",N($X4937),IF(MATCH($T4938,$T$6:$T$10005,0)=ROW()-5,N($X4937)+1,N($X4937)))</f>
        <v>0</v>
      </c>
      <c r="Z4938" t="str">
        <f t="shared" si="779"/>
        <v/>
      </c>
      <c r="AA4938">
        <f>IF($V4938="",N($AA4937),IF(MATCH($V4938,$V$6:$V$10005,0)=ROW()-5,N($AA4937)+1,N($AA4937)))</f>
        <v>0</v>
      </c>
    </row>
    <row r="4939" spans="1:27" ht="21" customHeight="1" x14ac:dyDescent="0.95">
      <c r="A4939" s="56"/>
      <c r="B4939" s="57"/>
      <c r="C4939" s="57"/>
      <c r="D4939" s="57"/>
      <c r="E4939" s="56"/>
      <c r="F4939" s="57"/>
      <c r="G4939" s="57"/>
      <c r="H4939" s="56"/>
      <c r="I4939" s="56"/>
      <c r="J4939" s="58"/>
      <c r="K4939" s="58"/>
      <c r="L4939" s="13" t="str">
        <f t="shared" si="770"/>
        <v/>
      </c>
      <c r="M4939" s="13" t="str">
        <f t="shared" si="771"/>
        <v/>
      </c>
      <c r="Q4939" t="str">
        <f t="shared" si="772"/>
        <v/>
      </c>
      <c r="R4939" t="str">
        <f t="shared" si="773"/>
        <v/>
      </c>
      <c r="S4939" t="str">
        <f t="shared" si="774"/>
        <v/>
      </c>
      <c r="T4939" t="str">
        <f t="shared" si="775"/>
        <v/>
      </c>
      <c r="U4939" t="str">
        <f t="shared" si="776"/>
        <v/>
      </c>
      <c r="V4939" t="str">
        <f t="shared" si="777"/>
        <v/>
      </c>
      <c r="W4939" t="str">
        <f t="shared" si="778"/>
        <v/>
      </c>
      <c r="X4939">
        <f>IF($T4939="",N($X4938),IF(MATCH($T4939,$T$6:$T$10005,0)=ROW()-5,N($X4938)+1,N($X4938)))</f>
        <v>0</v>
      </c>
      <c r="Z4939" t="str">
        <f t="shared" si="779"/>
        <v/>
      </c>
      <c r="AA4939">
        <f>IF($V4939="",N($AA4938),IF(MATCH($V4939,$V$6:$V$10005,0)=ROW()-5,N($AA4938)+1,N($AA4938)))</f>
        <v>0</v>
      </c>
    </row>
    <row r="4940" spans="1:27" ht="21" customHeight="1" x14ac:dyDescent="0.95">
      <c r="A4940" s="56"/>
      <c r="B4940" s="57"/>
      <c r="C4940" s="57"/>
      <c r="D4940" s="57"/>
      <c r="E4940" s="56"/>
      <c r="F4940" s="57"/>
      <c r="G4940" s="57"/>
      <c r="H4940" s="56"/>
      <c r="I4940" s="56"/>
      <c r="J4940" s="58"/>
      <c r="K4940" s="58"/>
      <c r="L4940" s="13" t="str">
        <f t="shared" si="770"/>
        <v/>
      </c>
      <c r="M4940" s="13" t="str">
        <f t="shared" si="771"/>
        <v/>
      </c>
      <c r="Q4940" t="str">
        <f t="shared" si="772"/>
        <v/>
      </c>
      <c r="R4940" t="str">
        <f t="shared" si="773"/>
        <v/>
      </c>
      <c r="S4940" t="str">
        <f t="shared" si="774"/>
        <v/>
      </c>
      <c r="T4940" t="str">
        <f t="shared" si="775"/>
        <v/>
      </c>
      <c r="U4940" t="str">
        <f t="shared" si="776"/>
        <v/>
      </c>
      <c r="V4940" t="str">
        <f t="shared" si="777"/>
        <v/>
      </c>
      <c r="W4940" t="str">
        <f t="shared" si="778"/>
        <v/>
      </c>
      <c r="X4940">
        <f>IF($T4940="",N($X4939),IF(MATCH($T4940,$T$6:$T$10005,0)=ROW()-5,N($X4939)+1,N($X4939)))</f>
        <v>0</v>
      </c>
      <c r="Z4940" t="str">
        <f t="shared" si="779"/>
        <v/>
      </c>
      <c r="AA4940">
        <f>IF($V4940="",N($AA4939),IF(MATCH($V4940,$V$6:$V$10005,0)=ROW()-5,N($AA4939)+1,N($AA4939)))</f>
        <v>0</v>
      </c>
    </row>
    <row r="4941" spans="1:27" ht="21" customHeight="1" x14ac:dyDescent="0.95">
      <c r="A4941" s="56"/>
      <c r="B4941" s="57"/>
      <c r="C4941" s="57"/>
      <c r="D4941" s="57"/>
      <c r="E4941" s="56"/>
      <c r="F4941" s="57"/>
      <c r="G4941" s="57"/>
      <c r="H4941" s="56"/>
      <c r="I4941" s="56"/>
      <c r="J4941" s="58"/>
      <c r="K4941" s="58"/>
      <c r="L4941" s="13" t="str">
        <f t="shared" si="770"/>
        <v/>
      </c>
      <c r="M4941" s="13" t="str">
        <f t="shared" si="771"/>
        <v/>
      </c>
      <c r="Q4941" t="str">
        <f t="shared" si="772"/>
        <v/>
      </c>
      <c r="R4941" t="str">
        <f t="shared" si="773"/>
        <v/>
      </c>
      <c r="S4941" t="str">
        <f t="shared" si="774"/>
        <v/>
      </c>
      <c r="T4941" t="str">
        <f t="shared" si="775"/>
        <v/>
      </c>
      <c r="U4941" t="str">
        <f t="shared" si="776"/>
        <v/>
      </c>
      <c r="V4941" t="str">
        <f t="shared" si="777"/>
        <v/>
      </c>
      <c r="W4941" t="str">
        <f t="shared" si="778"/>
        <v/>
      </c>
      <c r="X4941">
        <f>IF($T4941="",N($X4940),IF(MATCH($T4941,$T$6:$T$10005,0)=ROW()-5,N($X4940)+1,N($X4940)))</f>
        <v>0</v>
      </c>
      <c r="Z4941" t="str">
        <f t="shared" si="779"/>
        <v/>
      </c>
      <c r="AA4941">
        <f>IF($V4941="",N($AA4940),IF(MATCH($V4941,$V$6:$V$10005,0)=ROW()-5,N($AA4940)+1,N($AA4940)))</f>
        <v>0</v>
      </c>
    </row>
    <row r="4942" spans="1:27" ht="21" customHeight="1" x14ac:dyDescent="0.95">
      <c r="A4942" s="56"/>
      <c r="B4942" s="57"/>
      <c r="C4942" s="57"/>
      <c r="D4942" s="57"/>
      <c r="E4942" s="56"/>
      <c r="F4942" s="57"/>
      <c r="G4942" s="57"/>
      <c r="H4942" s="56"/>
      <c r="I4942" s="56"/>
      <c r="J4942" s="58"/>
      <c r="K4942" s="58"/>
      <c r="L4942" s="13" t="str">
        <f t="shared" si="770"/>
        <v/>
      </c>
      <c r="M4942" s="13" t="str">
        <f t="shared" si="771"/>
        <v/>
      </c>
      <c r="Q4942" t="str">
        <f t="shared" si="772"/>
        <v/>
      </c>
      <c r="R4942" t="str">
        <f t="shared" si="773"/>
        <v/>
      </c>
      <c r="S4942" t="str">
        <f t="shared" si="774"/>
        <v/>
      </c>
      <c r="T4942" t="str">
        <f t="shared" si="775"/>
        <v/>
      </c>
      <c r="U4942" t="str">
        <f t="shared" si="776"/>
        <v/>
      </c>
      <c r="V4942" t="str">
        <f t="shared" si="777"/>
        <v/>
      </c>
      <c r="W4942" t="str">
        <f t="shared" si="778"/>
        <v/>
      </c>
      <c r="X4942">
        <f>IF($T4942="",N($X4941),IF(MATCH($T4942,$T$6:$T$10005,0)=ROW()-5,N($X4941)+1,N($X4941)))</f>
        <v>0</v>
      </c>
      <c r="Z4942" t="str">
        <f t="shared" si="779"/>
        <v/>
      </c>
      <c r="AA4942">
        <f>IF($V4942="",N($AA4941),IF(MATCH($V4942,$V$6:$V$10005,0)=ROW()-5,N($AA4941)+1,N($AA4941)))</f>
        <v>0</v>
      </c>
    </row>
    <row r="4943" spans="1:27" ht="21" customHeight="1" x14ac:dyDescent="0.95">
      <c r="A4943" s="56"/>
      <c r="B4943" s="57"/>
      <c r="C4943" s="57"/>
      <c r="D4943" s="57"/>
      <c r="E4943" s="56"/>
      <c r="F4943" s="57"/>
      <c r="G4943" s="57"/>
      <c r="H4943" s="56"/>
      <c r="I4943" s="56"/>
      <c r="J4943" s="58"/>
      <c r="K4943" s="58"/>
      <c r="L4943" s="13" t="str">
        <f t="shared" si="770"/>
        <v/>
      </c>
      <c r="M4943" s="13" t="str">
        <f t="shared" si="771"/>
        <v/>
      </c>
      <c r="Q4943" t="str">
        <f t="shared" si="772"/>
        <v/>
      </c>
      <c r="R4943" t="str">
        <f t="shared" si="773"/>
        <v/>
      </c>
      <c r="S4943" t="str">
        <f t="shared" si="774"/>
        <v/>
      </c>
      <c r="T4943" t="str">
        <f t="shared" si="775"/>
        <v/>
      </c>
      <c r="U4943" t="str">
        <f t="shared" si="776"/>
        <v/>
      </c>
      <c r="V4943" t="str">
        <f t="shared" si="777"/>
        <v/>
      </c>
      <c r="W4943" t="str">
        <f t="shared" si="778"/>
        <v/>
      </c>
      <c r="X4943">
        <f>IF($T4943="",N($X4942),IF(MATCH($T4943,$T$6:$T$10005,0)=ROW()-5,N($X4942)+1,N($X4942)))</f>
        <v>0</v>
      </c>
      <c r="Z4943" t="str">
        <f t="shared" si="779"/>
        <v/>
      </c>
      <c r="AA4943">
        <f>IF($V4943="",N($AA4942),IF(MATCH($V4943,$V$6:$V$10005,0)=ROW()-5,N($AA4942)+1,N($AA4942)))</f>
        <v>0</v>
      </c>
    </row>
    <row r="4944" spans="1:27" ht="21" customHeight="1" x14ac:dyDescent="0.95">
      <c r="A4944" s="56"/>
      <c r="B4944" s="57"/>
      <c r="C4944" s="57"/>
      <c r="D4944" s="57"/>
      <c r="E4944" s="56"/>
      <c r="F4944" s="57"/>
      <c r="G4944" s="57"/>
      <c r="H4944" s="56"/>
      <c r="I4944" s="56"/>
      <c r="J4944" s="58"/>
      <c r="K4944" s="58"/>
      <c r="L4944" s="13" t="str">
        <f t="shared" si="770"/>
        <v/>
      </c>
      <c r="M4944" s="13" t="str">
        <f t="shared" si="771"/>
        <v/>
      </c>
      <c r="Q4944" t="str">
        <f t="shared" si="772"/>
        <v/>
      </c>
      <c r="R4944" t="str">
        <f t="shared" si="773"/>
        <v/>
      </c>
      <c r="S4944" t="str">
        <f t="shared" si="774"/>
        <v/>
      </c>
      <c r="T4944" t="str">
        <f t="shared" si="775"/>
        <v/>
      </c>
      <c r="U4944" t="str">
        <f t="shared" si="776"/>
        <v/>
      </c>
      <c r="V4944" t="str">
        <f t="shared" si="777"/>
        <v/>
      </c>
      <c r="W4944" t="str">
        <f t="shared" si="778"/>
        <v/>
      </c>
      <c r="X4944">
        <f>IF($T4944="",N($X4943),IF(MATCH($T4944,$T$6:$T$10005,0)=ROW()-5,N($X4943)+1,N($X4943)))</f>
        <v>0</v>
      </c>
      <c r="Z4944" t="str">
        <f t="shared" si="779"/>
        <v/>
      </c>
      <c r="AA4944">
        <f>IF($V4944="",N($AA4943),IF(MATCH($V4944,$V$6:$V$10005,0)=ROW()-5,N($AA4943)+1,N($AA4943)))</f>
        <v>0</v>
      </c>
    </row>
    <row r="4945" spans="1:27" ht="21" customHeight="1" x14ac:dyDescent="0.95">
      <c r="A4945" s="56"/>
      <c r="B4945" s="57"/>
      <c r="C4945" s="57"/>
      <c r="D4945" s="57"/>
      <c r="E4945" s="56"/>
      <c r="F4945" s="57"/>
      <c r="G4945" s="57"/>
      <c r="H4945" s="56"/>
      <c r="I4945" s="56"/>
      <c r="J4945" s="58"/>
      <c r="K4945" s="58"/>
      <c r="L4945" s="13" t="str">
        <f t="shared" si="770"/>
        <v/>
      </c>
      <c r="M4945" s="13" t="str">
        <f t="shared" si="771"/>
        <v/>
      </c>
      <c r="Q4945" t="str">
        <f t="shared" si="772"/>
        <v/>
      </c>
      <c r="R4945" t="str">
        <f t="shared" si="773"/>
        <v/>
      </c>
      <c r="S4945" t="str">
        <f t="shared" si="774"/>
        <v/>
      </c>
      <c r="T4945" t="str">
        <f t="shared" si="775"/>
        <v/>
      </c>
      <c r="U4945" t="str">
        <f t="shared" si="776"/>
        <v/>
      </c>
      <c r="V4945" t="str">
        <f t="shared" si="777"/>
        <v/>
      </c>
      <c r="W4945" t="str">
        <f t="shared" si="778"/>
        <v/>
      </c>
      <c r="X4945">
        <f>IF($T4945="",N($X4944),IF(MATCH($T4945,$T$6:$T$10005,0)=ROW()-5,N($X4944)+1,N($X4944)))</f>
        <v>0</v>
      </c>
      <c r="Z4945" t="str">
        <f t="shared" si="779"/>
        <v/>
      </c>
      <c r="AA4945">
        <f>IF($V4945="",N($AA4944),IF(MATCH($V4945,$V$6:$V$10005,0)=ROW()-5,N($AA4944)+1,N($AA4944)))</f>
        <v>0</v>
      </c>
    </row>
    <row r="4946" spans="1:27" ht="21" customHeight="1" x14ac:dyDescent="0.95">
      <c r="A4946" s="56"/>
      <c r="B4946" s="57"/>
      <c r="C4946" s="57"/>
      <c r="D4946" s="57"/>
      <c r="E4946" s="56"/>
      <c r="F4946" s="57"/>
      <c r="G4946" s="57"/>
      <c r="H4946" s="56"/>
      <c r="I4946" s="56"/>
      <c r="J4946" s="58"/>
      <c r="K4946" s="58"/>
      <c r="L4946" s="13" t="str">
        <f t="shared" si="770"/>
        <v/>
      </c>
      <c r="M4946" s="13" t="str">
        <f t="shared" si="771"/>
        <v/>
      </c>
      <c r="Q4946" t="str">
        <f t="shared" si="772"/>
        <v/>
      </c>
      <c r="R4946" t="str">
        <f t="shared" si="773"/>
        <v/>
      </c>
      <c r="S4946" t="str">
        <f t="shared" si="774"/>
        <v/>
      </c>
      <c r="T4946" t="str">
        <f t="shared" si="775"/>
        <v/>
      </c>
      <c r="U4946" t="str">
        <f t="shared" si="776"/>
        <v/>
      </c>
      <c r="V4946" t="str">
        <f t="shared" si="777"/>
        <v/>
      </c>
      <c r="W4946" t="str">
        <f t="shared" si="778"/>
        <v/>
      </c>
      <c r="X4946">
        <f>IF($T4946="",N($X4945),IF(MATCH($T4946,$T$6:$T$10005,0)=ROW()-5,N($X4945)+1,N($X4945)))</f>
        <v>0</v>
      </c>
      <c r="Z4946" t="str">
        <f t="shared" si="779"/>
        <v/>
      </c>
      <c r="AA4946">
        <f>IF($V4946="",N($AA4945),IF(MATCH($V4946,$V$6:$V$10005,0)=ROW()-5,N($AA4945)+1,N($AA4945)))</f>
        <v>0</v>
      </c>
    </row>
    <row r="4947" spans="1:27" ht="21" customHeight="1" x14ac:dyDescent="0.95">
      <c r="A4947" s="56"/>
      <c r="B4947" s="57"/>
      <c r="C4947" s="57"/>
      <c r="D4947" s="57"/>
      <c r="E4947" s="56"/>
      <c r="F4947" s="57"/>
      <c r="G4947" s="57"/>
      <c r="H4947" s="56"/>
      <c r="I4947" s="56"/>
      <c r="J4947" s="58"/>
      <c r="K4947" s="58"/>
      <c r="L4947" s="13" t="str">
        <f t="shared" si="770"/>
        <v/>
      </c>
      <c r="M4947" s="13" t="str">
        <f t="shared" si="771"/>
        <v/>
      </c>
      <c r="Q4947" t="str">
        <f t="shared" si="772"/>
        <v/>
      </c>
      <c r="R4947" t="str">
        <f t="shared" si="773"/>
        <v/>
      </c>
      <c r="S4947" t="str">
        <f t="shared" si="774"/>
        <v/>
      </c>
      <c r="T4947" t="str">
        <f t="shared" si="775"/>
        <v/>
      </c>
      <c r="U4947" t="str">
        <f t="shared" si="776"/>
        <v/>
      </c>
      <c r="V4947" t="str">
        <f t="shared" si="777"/>
        <v/>
      </c>
      <c r="W4947" t="str">
        <f t="shared" si="778"/>
        <v/>
      </c>
      <c r="X4947">
        <f>IF($T4947="",N($X4946),IF(MATCH($T4947,$T$6:$T$10005,0)=ROW()-5,N($X4946)+1,N($X4946)))</f>
        <v>0</v>
      </c>
      <c r="Z4947" t="str">
        <f t="shared" si="779"/>
        <v/>
      </c>
      <c r="AA4947">
        <f>IF($V4947="",N($AA4946),IF(MATCH($V4947,$V$6:$V$10005,0)=ROW()-5,N($AA4946)+1,N($AA4946)))</f>
        <v>0</v>
      </c>
    </row>
    <row r="4948" spans="1:27" ht="21" customHeight="1" x14ac:dyDescent="0.95">
      <c r="A4948" s="56"/>
      <c r="B4948" s="57"/>
      <c r="C4948" s="57"/>
      <c r="D4948" s="57"/>
      <c r="E4948" s="56"/>
      <c r="F4948" s="57"/>
      <c r="G4948" s="57"/>
      <c r="H4948" s="56"/>
      <c r="I4948" s="56"/>
      <c r="J4948" s="58"/>
      <c r="K4948" s="58"/>
      <c r="L4948" s="13" t="str">
        <f t="shared" si="770"/>
        <v/>
      </c>
      <c r="M4948" s="13" t="str">
        <f t="shared" si="771"/>
        <v/>
      </c>
      <c r="Q4948" t="str">
        <f t="shared" si="772"/>
        <v/>
      </c>
      <c r="R4948" t="str">
        <f t="shared" si="773"/>
        <v/>
      </c>
      <c r="S4948" t="str">
        <f t="shared" si="774"/>
        <v/>
      </c>
      <c r="T4948" t="str">
        <f t="shared" si="775"/>
        <v/>
      </c>
      <c r="U4948" t="str">
        <f t="shared" si="776"/>
        <v/>
      </c>
      <c r="V4948" t="str">
        <f t="shared" si="777"/>
        <v/>
      </c>
      <c r="W4948" t="str">
        <f t="shared" si="778"/>
        <v/>
      </c>
      <c r="X4948">
        <f>IF($T4948="",N($X4947),IF(MATCH($T4948,$T$6:$T$10005,0)=ROW()-5,N($X4947)+1,N($X4947)))</f>
        <v>0</v>
      </c>
      <c r="Z4948" t="str">
        <f t="shared" si="779"/>
        <v/>
      </c>
      <c r="AA4948">
        <f>IF($V4948="",N($AA4947),IF(MATCH($V4948,$V$6:$V$10005,0)=ROW()-5,N($AA4947)+1,N($AA4947)))</f>
        <v>0</v>
      </c>
    </row>
    <row r="4949" spans="1:27" ht="21" customHeight="1" x14ac:dyDescent="0.95">
      <c r="A4949" s="56"/>
      <c r="B4949" s="57"/>
      <c r="C4949" s="57"/>
      <c r="D4949" s="57"/>
      <c r="E4949" s="56"/>
      <c r="F4949" s="57"/>
      <c r="G4949" s="57"/>
      <c r="H4949" s="56"/>
      <c r="I4949" s="56"/>
      <c r="J4949" s="58"/>
      <c r="K4949" s="58"/>
      <c r="L4949" s="13" t="str">
        <f t="shared" si="770"/>
        <v/>
      </c>
      <c r="M4949" s="13" t="str">
        <f t="shared" si="771"/>
        <v/>
      </c>
      <c r="Q4949" t="str">
        <f t="shared" si="772"/>
        <v/>
      </c>
      <c r="R4949" t="str">
        <f t="shared" si="773"/>
        <v/>
      </c>
      <c r="S4949" t="str">
        <f t="shared" si="774"/>
        <v/>
      </c>
      <c r="T4949" t="str">
        <f t="shared" si="775"/>
        <v/>
      </c>
      <c r="U4949" t="str">
        <f t="shared" si="776"/>
        <v/>
      </c>
      <c r="V4949" t="str">
        <f t="shared" si="777"/>
        <v/>
      </c>
      <c r="W4949" t="str">
        <f t="shared" si="778"/>
        <v/>
      </c>
      <c r="X4949">
        <f>IF($T4949="",N($X4948),IF(MATCH($T4949,$T$6:$T$10005,0)=ROW()-5,N($X4948)+1,N($X4948)))</f>
        <v>0</v>
      </c>
      <c r="Z4949" t="str">
        <f t="shared" si="779"/>
        <v/>
      </c>
      <c r="AA4949">
        <f>IF($V4949="",N($AA4948),IF(MATCH($V4949,$V$6:$V$10005,0)=ROW()-5,N($AA4948)+1,N($AA4948)))</f>
        <v>0</v>
      </c>
    </row>
    <row r="4950" spans="1:27" ht="21" customHeight="1" x14ac:dyDescent="0.95">
      <c r="A4950" s="56"/>
      <c r="B4950" s="57"/>
      <c r="C4950" s="57"/>
      <c r="D4950" s="57"/>
      <c r="E4950" s="56"/>
      <c r="F4950" s="57"/>
      <c r="G4950" s="57"/>
      <c r="H4950" s="56"/>
      <c r="I4950" s="56"/>
      <c r="J4950" s="58"/>
      <c r="K4950" s="58"/>
      <c r="L4950" s="13" t="str">
        <f t="shared" si="770"/>
        <v/>
      </c>
      <c r="M4950" s="13" t="str">
        <f t="shared" si="771"/>
        <v/>
      </c>
      <c r="Q4950" t="str">
        <f t="shared" si="772"/>
        <v/>
      </c>
      <c r="R4950" t="str">
        <f t="shared" si="773"/>
        <v/>
      </c>
      <c r="S4950" t="str">
        <f t="shared" si="774"/>
        <v/>
      </c>
      <c r="T4950" t="str">
        <f t="shared" si="775"/>
        <v/>
      </c>
      <c r="U4950" t="str">
        <f t="shared" si="776"/>
        <v/>
      </c>
      <c r="V4950" t="str">
        <f t="shared" si="777"/>
        <v/>
      </c>
      <c r="W4950" t="str">
        <f t="shared" si="778"/>
        <v/>
      </c>
      <c r="X4950">
        <f>IF($T4950="",N($X4949),IF(MATCH($T4950,$T$6:$T$10005,0)=ROW()-5,N($X4949)+1,N($X4949)))</f>
        <v>0</v>
      </c>
      <c r="Z4950" t="str">
        <f t="shared" si="779"/>
        <v/>
      </c>
      <c r="AA4950">
        <f>IF($V4950="",N($AA4949),IF(MATCH($V4950,$V$6:$V$10005,0)=ROW()-5,N($AA4949)+1,N($AA4949)))</f>
        <v>0</v>
      </c>
    </row>
    <row r="4951" spans="1:27" ht="21" customHeight="1" x14ac:dyDescent="0.95">
      <c r="A4951" s="56"/>
      <c r="B4951" s="57"/>
      <c r="C4951" s="57"/>
      <c r="D4951" s="57"/>
      <c r="E4951" s="56"/>
      <c r="F4951" s="57"/>
      <c r="G4951" s="57"/>
      <c r="H4951" s="56"/>
      <c r="I4951" s="56"/>
      <c r="J4951" s="58"/>
      <c r="K4951" s="58"/>
      <c r="L4951" s="13" t="str">
        <f t="shared" si="770"/>
        <v/>
      </c>
      <c r="M4951" s="13" t="str">
        <f t="shared" si="771"/>
        <v/>
      </c>
      <c r="Q4951" t="str">
        <f t="shared" si="772"/>
        <v/>
      </c>
      <c r="R4951" t="str">
        <f t="shared" si="773"/>
        <v/>
      </c>
      <c r="S4951" t="str">
        <f t="shared" si="774"/>
        <v/>
      </c>
      <c r="T4951" t="str">
        <f t="shared" si="775"/>
        <v/>
      </c>
      <c r="U4951" t="str">
        <f t="shared" si="776"/>
        <v/>
      </c>
      <c r="V4951" t="str">
        <f t="shared" si="777"/>
        <v/>
      </c>
      <c r="W4951" t="str">
        <f t="shared" si="778"/>
        <v/>
      </c>
      <c r="X4951">
        <f>IF($T4951="",N($X4950),IF(MATCH($T4951,$T$6:$T$10005,0)=ROW()-5,N($X4950)+1,N($X4950)))</f>
        <v>0</v>
      </c>
      <c r="Z4951" t="str">
        <f t="shared" si="779"/>
        <v/>
      </c>
      <c r="AA4951">
        <f>IF($V4951="",N($AA4950),IF(MATCH($V4951,$V$6:$V$10005,0)=ROW()-5,N($AA4950)+1,N($AA4950)))</f>
        <v>0</v>
      </c>
    </row>
    <row r="4952" spans="1:27" ht="21" customHeight="1" x14ac:dyDescent="0.95">
      <c r="A4952" s="56"/>
      <c r="B4952" s="57"/>
      <c r="C4952" s="57"/>
      <c r="D4952" s="57"/>
      <c r="E4952" s="56"/>
      <c r="F4952" s="57"/>
      <c r="G4952" s="57"/>
      <c r="H4952" s="56"/>
      <c r="I4952" s="56"/>
      <c r="J4952" s="58"/>
      <c r="K4952" s="58"/>
      <c r="L4952" s="13" t="str">
        <f t="shared" si="770"/>
        <v/>
      </c>
      <c r="M4952" s="13" t="str">
        <f t="shared" si="771"/>
        <v/>
      </c>
      <c r="Q4952" t="str">
        <f t="shared" si="772"/>
        <v/>
      </c>
      <c r="R4952" t="str">
        <f t="shared" si="773"/>
        <v/>
      </c>
      <c r="S4952" t="str">
        <f t="shared" si="774"/>
        <v/>
      </c>
      <c r="T4952" t="str">
        <f t="shared" si="775"/>
        <v/>
      </c>
      <c r="U4952" t="str">
        <f t="shared" si="776"/>
        <v/>
      </c>
      <c r="V4952" t="str">
        <f t="shared" si="777"/>
        <v/>
      </c>
      <c r="W4952" t="str">
        <f t="shared" si="778"/>
        <v/>
      </c>
      <c r="X4952">
        <f>IF($T4952="",N($X4951),IF(MATCH($T4952,$T$6:$T$10005,0)=ROW()-5,N($X4951)+1,N($X4951)))</f>
        <v>0</v>
      </c>
      <c r="Z4952" t="str">
        <f t="shared" si="779"/>
        <v/>
      </c>
      <c r="AA4952">
        <f>IF($V4952="",N($AA4951),IF(MATCH($V4952,$V$6:$V$10005,0)=ROW()-5,N($AA4951)+1,N($AA4951)))</f>
        <v>0</v>
      </c>
    </row>
    <row r="4953" spans="1:27" ht="21" customHeight="1" x14ac:dyDescent="0.95">
      <c r="A4953" s="56"/>
      <c r="B4953" s="57"/>
      <c r="C4953" s="57"/>
      <c r="D4953" s="57"/>
      <c r="E4953" s="56"/>
      <c r="F4953" s="57"/>
      <c r="G4953" s="57"/>
      <c r="H4953" s="56"/>
      <c r="I4953" s="56"/>
      <c r="J4953" s="58"/>
      <c r="K4953" s="58"/>
      <c r="L4953" s="13" t="str">
        <f t="shared" si="770"/>
        <v/>
      </c>
      <c r="M4953" s="13" t="str">
        <f t="shared" si="771"/>
        <v/>
      </c>
      <c r="Q4953" t="str">
        <f t="shared" si="772"/>
        <v/>
      </c>
      <c r="R4953" t="str">
        <f t="shared" si="773"/>
        <v/>
      </c>
      <c r="S4953" t="str">
        <f t="shared" si="774"/>
        <v/>
      </c>
      <c r="T4953" t="str">
        <f t="shared" si="775"/>
        <v/>
      </c>
      <c r="U4953" t="str">
        <f t="shared" si="776"/>
        <v/>
      </c>
      <c r="V4953" t="str">
        <f t="shared" si="777"/>
        <v/>
      </c>
      <c r="W4953" t="str">
        <f t="shared" si="778"/>
        <v/>
      </c>
      <c r="X4953">
        <f>IF($T4953="",N($X4952),IF(MATCH($T4953,$T$6:$T$10005,0)=ROW()-5,N($X4952)+1,N($X4952)))</f>
        <v>0</v>
      </c>
      <c r="Z4953" t="str">
        <f t="shared" si="779"/>
        <v/>
      </c>
      <c r="AA4953">
        <f>IF($V4953="",N($AA4952),IF(MATCH($V4953,$V$6:$V$10005,0)=ROW()-5,N($AA4952)+1,N($AA4952)))</f>
        <v>0</v>
      </c>
    </row>
    <row r="4954" spans="1:27" ht="21" customHeight="1" x14ac:dyDescent="0.95">
      <c r="A4954" s="56"/>
      <c r="B4954" s="57"/>
      <c r="C4954" s="57"/>
      <c r="D4954" s="57"/>
      <c r="E4954" s="56"/>
      <c r="F4954" s="57"/>
      <c r="G4954" s="57"/>
      <c r="H4954" s="56"/>
      <c r="I4954" s="56"/>
      <c r="J4954" s="58"/>
      <c r="K4954" s="58"/>
      <c r="L4954" s="13" t="str">
        <f t="shared" si="770"/>
        <v/>
      </c>
      <c r="M4954" s="13" t="str">
        <f t="shared" si="771"/>
        <v/>
      </c>
      <c r="Q4954" t="str">
        <f t="shared" si="772"/>
        <v/>
      </c>
      <c r="R4954" t="str">
        <f t="shared" si="773"/>
        <v/>
      </c>
      <c r="S4954" t="str">
        <f t="shared" si="774"/>
        <v/>
      </c>
      <c r="T4954" t="str">
        <f t="shared" si="775"/>
        <v/>
      </c>
      <c r="U4954" t="str">
        <f t="shared" si="776"/>
        <v/>
      </c>
      <c r="V4954" t="str">
        <f t="shared" si="777"/>
        <v/>
      </c>
      <c r="W4954" t="str">
        <f t="shared" si="778"/>
        <v/>
      </c>
      <c r="X4954">
        <f>IF($T4954="",N($X4953),IF(MATCH($T4954,$T$6:$T$10005,0)=ROW()-5,N($X4953)+1,N($X4953)))</f>
        <v>0</v>
      </c>
      <c r="Z4954" t="str">
        <f t="shared" si="779"/>
        <v/>
      </c>
      <c r="AA4954">
        <f>IF($V4954="",N($AA4953),IF(MATCH($V4954,$V$6:$V$10005,0)=ROW()-5,N($AA4953)+1,N($AA4953)))</f>
        <v>0</v>
      </c>
    </row>
    <row r="4955" spans="1:27" ht="21" customHeight="1" x14ac:dyDescent="0.95">
      <c r="A4955" s="56"/>
      <c r="B4955" s="57"/>
      <c r="C4955" s="57"/>
      <c r="D4955" s="57"/>
      <c r="E4955" s="56"/>
      <c r="F4955" s="57"/>
      <c r="G4955" s="57"/>
      <c r="H4955" s="56"/>
      <c r="I4955" s="56"/>
      <c r="J4955" s="58"/>
      <c r="K4955" s="58"/>
      <c r="L4955" s="13" t="str">
        <f t="shared" si="770"/>
        <v/>
      </c>
      <c r="M4955" s="13" t="str">
        <f t="shared" si="771"/>
        <v/>
      </c>
      <c r="Q4955" t="str">
        <f t="shared" si="772"/>
        <v/>
      </c>
      <c r="R4955" t="str">
        <f t="shared" si="773"/>
        <v/>
      </c>
      <c r="S4955" t="str">
        <f t="shared" si="774"/>
        <v/>
      </c>
      <c r="T4955" t="str">
        <f t="shared" si="775"/>
        <v/>
      </c>
      <c r="U4955" t="str">
        <f t="shared" si="776"/>
        <v/>
      </c>
      <c r="V4955" t="str">
        <f t="shared" si="777"/>
        <v/>
      </c>
      <c r="W4955" t="str">
        <f t="shared" si="778"/>
        <v/>
      </c>
      <c r="X4955">
        <f>IF($T4955="",N($X4954),IF(MATCH($T4955,$T$6:$T$10005,0)=ROW()-5,N($X4954)+1,N($X4954)))</f>
        <v>0</v>
      </c>
      <c r="Z4955" t="str">
        <f t="shared" si="779"/>
        <v/>
      </c>
      <c r="AA4955">
        <f>IF($V4955="",N($AA4954),IF(MATCH($V4955,$V$6:$V$10005,0)=ROW()-5,N($AA4954)+1,N($AA4954)))</f>
        <v>0</v>
      </c>
    </row>
    <row r="4956" spans="1:27" ht="21" customHeight="1" x14ac:dyDescent="0.95">
      <c r="A4956" s="56"/>
      <c r="B4956" s="57"/>
      <c r="C4956" s="57"/>
      <c r="D4956" s="57"/>
      <c r="E4956" s="56"/>
      <c r="F4956" s="57"/>
      <c r="G4956" s="57"/>
      <c r="H4956" s="56"/>
      <c r="I4956" s="56"/>
      <c r="J4956" s="58"/>
      <c r="K4956" s="58"/>
      <c r="L4956" s="13" t="str">
        <f t="shared" si="770"/>
        <v/>
      </c>
      <c r="M4956" s="13" t="str">
        <f t="shared" si="771"/>
        <v/>
      </c>
      <c r="Q4956" t="str">
        <f t="shared" si="772"/>
        <v/>
      </c>
      <c r="R4956" t="str">
        <f t="shared" si="773"/>
        <v/>
      </c>
      <c r="S4956" t="str">
        <f t="shared" si="774"/>
        <v/>
      </c>
      <c r="T4956" t="str">
        <f t="shared" si="775"/>
        <v/>
      </c>
      <c r="U4956" t="str">
        <f t="shared" si="776"/>
        <v/>
      </c>
      <c r="V4956" t="str">
        <f t="shared" si="777"/>
        <v/>
      </c>
      <c r="W4956" t="str">
        <f t="shared" si="778"/>
        <v/>
      </c>
      <c r="X4956">
        <f>IF($T4956="",N($X4955),IF(MATCH($T4956,$T$6:$T$10005,0)=ROW()-5,N($X4955)+1,N($X4955)))</f>
        <v>0</v>
      </c>
      <c r="Z4956" t="str">
        <f t="shared" si="779"/>
        <v/>
      </c>
      <c r="AA4956">
        <f>IF($V4956="",N($AA4955),IF(MATCH($V4956,$V$6:$V$10005,0)=ROW()-5,N($AA4955)+1,N($AA4955)))</f>
        <v>0</v>
      </c>
    </row>
    <row r="4957" spans="1:27" ht="21" customHeight="1" x14ac:dyDescent="0.95">
      <c r="A4957" s="56"/>
      <c r="B4957" s="57"/>
      <c r="C4957" s="57"/>
      <c r="D4957" s="57"/>
      <c r="E4957" s="56"/>
      <c r="F4957" s="57"/>
      <c r="G4957" s="57"/>
      <c r="H4957" s="56"/>
      <c r="I4957" s="56"/>
      <c r="J4957" s="58"/>
      <c r="K4957" s="58"/>
      <c r="L4957" s="13" t="str">
        <f t="shared" si="770"/>
        <v/>
      </c>
      <c r="M4957" s="13" t="str">
        <f t="shared" si="771"/>
        <v/>
      </c>
      <c r="Q4957" t="str">
        <f t="shared" si="772"/>
        <v/>
      </c>
      <c r="R4957" t="str">
        <f t="shared" si="773"/>
        <v/>
      </c>
      <c r="S4957" t="str">
        <f t="shared" si="774"/>
        <v/>
      </c>
      <c r="T4957" t="str">
        <f t="shared" si="775"/>
        <v/>
      </c>
      <c r="U4957" t="str">
        <f t="shared" si="776"/>
        <v/>
      </c>
      <c r="V4957" t="str">
        <f t="shared" si="777"/>
        <v/>
      </c>
      <c r="W4957" t="str">
        <f t="shared" si="778"/>
        <v/>
      </c>
      <c r="X4957">
        <f>IF($T4957="",N($X4956),IF(MATCH($T4957,$T$6:$T$10005,0)=ROW()-5,N($X4956)+1,N($X4956)))</f>
        <v>0</v>
      </c>
      <c r="Z4957" t="str">
        <f t="shared" si="779"/>
        <v/>
      </c>
      <c r="AA4957">
        <f>IF($V4957="",N($AA4956),IF(MATCH($V4957,$V$6:$V$10005,0)=ROW()-5,N($AA4956)+1,N($AA4956)))</f>
        <v>0</v>
      </c>
    </row>
    <row r="4958" spans="1:27" ht="21" customHeight="1" x14ac:dyDescent="0.95">
      <c r="A4958" s="56"/>
      <c r="B4958" s="57"/>
      <c r="C4958" s="57"/>
      <c r="D4958" s="57"/>
      <c r="E4958" s="56"/>
      <c r="F4958" s="57"/>
      <c r="G4958" s="57"/>
      <c r="H4958" s="56"/>
      <c r="I4958" s="56"/>
      <c r="J4958" s="58"/>
      <c r="K4958" s="58"/>
      <c r="L4958" s="13" t="str">
        <f t="shared" si="770"/>
        <v/>
      </c>
      <c r="M4958" s="13" t="str">
        <f t="shared" si="771"/>
        <v/>
      </c>
      <c r="Q4958" t="str">
        <f t="shared" si="772"/>
        <v/>
      </c>
      <c r="R4958" t="str">
        <f t="shared" si="773"/>
        <v/>
      </c>
      <c r="S4958" t="str">
        <f t="shared" si="774"/>
        <v/>
      </c>
      <c r="T4958" t="str">
        <f t="shared" si="775"/>
        <v/>
      </c>
      <c r="U4958" t="str">
        <f t="shared" si="776"/>
        <v/>
      </c>
      <c r="V4958" t="str">
        <f t="shared" si="777"/>
        <v/>
      </c>
      <c r="W4958" t="str">
        <f t="shared" si="778"/>
        <v/>
      </c>
      <c r="X4958">
        <f>IF($T4958="",N($X4957),IF(MATCH($T4958,$T$6:$T$10005,0)=ROW()-5,N($X4957)+1,N($X4957)))</f>
        <v>0</v>
      </c>
      <c r="Z4958" t="str">
        <f t="shared" si="779"/>
        <v/>
      </c>
      <c r="AA4958">
        <f>IF($V4958="",N($AA4957),IF(MATCH($V4958,$V$6:$V$10005,0)=ROW()-5,N($AA4957)+1,N($AA4957)))</f>
        <v>0</v>
      </c>
    </row>
    <row r="4959" spans="1:27" ht="21" customHeight="1" x14ac:dyDescent="0.95">
      <c r="A4959" s="56"/>
      <c r="B4959" s="57"/>
      <c r="C4959" s="57"/>
      <c r="D4959" s="57"/>
      <c r="E4959" s="56"/>
      <c r="F4959" s="57"/>
      <c r="G4959" s="57"/>
      <c r="H4959" s="56"/>
      <c r="I4959" s="56"/>
      <c r="J4959" s="58"/>
      <c r="K4959" s="58"/>
      <c r="L4959" s="13" t="str">
        <f t="shared" si="770"/>
        <v/>
      </c>
      <c r="M4959" s="13" t="str">
        <f t="shared" si="771"/>
        <v/>
      </c>
      <c r="Q4959" t="str">
        <f t="shared" si="772"/>
        <v/>
      </c>
      <c r="R4959" t="str">
        <f t="shared" si="773"/>
        <v/>
      </c>
      <c r="S4959" t="str">
        <f t="shared" si="774"/>
        <v/>
      </c>
      <c r="T4959" t="str">
        <f t="shared" si="775"/>
        <v/>
      </c>
      <c r="U4959" t="str">
        <f t="shared" si="776"/>
        <v/>
      </c>
      <c r="V4959" t="str">
        <f t="shared" si="777"/>
        <v/>
      </c>
      <c r="W4959" t="str">
        <f t="shared" si="778"/>
        <v/>
      </c>
      <c r="X4959">
        <f>IF($T4959="",N($X4958),IF(MATCH($T4959,$T$6:$T$10005,0)=ROW()-5,N($X4958)+1,N($X4958)))</f>
        <v>0</v>
      </c>
      <c r="Z4959" t="str">
        <f t="shared" si="779"/>
        <v/>
      </c>
      <c r="AA4959">
        <f>IF($V4959="",N($AA4958),IF(MATCH($V4959,$V$6:$V$10005,0)=ROW()-5,N($AA4958)+1,N($AA4958)))</f>
        <v>0</v>
      </c>
    </row>
    <row r="4960" spans="1:27" ht="21" customHeight="1" x14ac:dyDescent="0.95">
      <c r="A4960" s="56"/>
      <c r="B4960" s="57"/>
      <c r="C4960" s="57"/>
      <c r="D4960" s="57"/>
      <c r="E4960" s="56"/>
      <c r="F4960" s="57"/>
      <c r="G4960" s="57"/>
      <c r="H4960" s="56"/>
      <c r="I4960" s="56"/>
      <c r="J4960" s="58"/>
      <c r="K4960" s="58"/>
      <c r="L4960" s="13" t="str">
        <f t="shared" si="770"/>
        <v/>
      </c>
      <c r="M4960" s="13" t="str">
        <f t="shared" si="771"/>
        <v/>
      </c>
      <c r="Q4960" t="str">
        <f t="shared" si="772"/>
        <v/>
      </c>
      <c r="R4960" t="str">
        <f t="shared" si="773"/>
        <v/>
      </c>
      <c r="S4960" t="str">
        <f t="shared" si="774"/>
        <v/>
      </c>
      <c r="T4960" t="str">
        <f t="shared" si="775"/>
        <v/>
      </c>
      <c r="U4960" t="str">
        <f t="shared" si="776"/>
        <v/>
      </c>
      <c r="V4960" t="str">
        <f t="shared" si="777"/>
        <v/>
      </c>
      <c r="W4960" t="str">
        <f t="shared" si="778"/>
        <v/>
      </c>
      <c r="X4960">
        <f>IF($T4960="",N($X4959),IF(MATCH($T4960,$T$6:$T$10005,0)=ROW()-5,N($X4959)+1,N($X4959)))</f>
        <v>0</v>
      </c>
      <c r="Z4960" t="str">
        <f t="shared" si="779"/>
        <v/>
      </c>
      <c r="AA4960">
        <f>IF($V4960="",N($AA4959),IF(MATCH($V4960,$V$6:$V$10005,0)=ROW()-5,N($AA4959)+1,N($AA4959)))</f>
        <v>0</v>
      </c>
    </row>
    <row r="4961" spans="1:27" ht="21" customHeight="1" x14ac:dyDescent="0.95">
      <c r="A4961" s="56"/>
      <c r="B4961" s="57"/>
      <c r="C4961" s="57"/>
      <c r="D4961" s="57"/>
      <c r="E4961" s="56"/>
      <c r="F4961" s="57"/>
      <c r="G4961" s="57"/>
      <c r="H4961" s="56"/>
      <c r="I4961" s="56"/>
      <c r="J4961" s="58"/>
      <c r="K4961" s="58"/>
      <c r="L4961" s="13" t="str">
        <f t="shared" si="770"/>
        <v/>
      </c>
      <c r="M4961" s="13" t="str">
        <f t="shared" si="771"/>
        <v/>
      </c>
      <c r="Q4961" t="str">
        <f t="shared" si="772"/>
        <v/>
      </c>
      <c r="R4961" t="str">
        <f t="shared" si="773"/>
        <v/>
      </c>
      <c r="S4961" t="str">
        <f t="shared" si="774"/>
        <v/>
      </c>
      <c r="T4961" t="str">
        <f t="shared" si="775"/>
        <v/>
      </c>
      <c r="U4961" t="str">
        <f t="shared" si="776"/>
        <v/>
      </c>
      <c r="V4961" t="str">
        <f t="shared" si="777"/>
        <v/>
      </c>
      <c r="W4961" t="str">
        <f t="shared" si="778"/>
        <v/>
      </c>
      <c r="X4961">
        <f>IF($T4961="",N($X4960),IF(MATCH($T4961,$T$6:$T$10005,0)=ROW()-5,N($X4960)+1,N($X4960)))</f>
        <v>0</v>
      </c>
      <c r="Z4961" t="str">
        <f t="shared" si="779"/>
        <v/>
      </c>
      <c r="AA4961">
        <f>IF($V4961="",N($AA4960),IF(MATCH($V4961,$V$6:$V$10005,0)=ROW()-5,N($AA4960)+1,N($AA4960)))</f>
        <v>0</v>
      </c>
    </row>
    <row r="4962" spans="1:27" ht="21" customHeight="1" x14ac:dyDescent="0.95">
      <c r="A4962" s="56"/>
      <c r="B4962" s="57"/>
      <c r="C4962" s="57"/>
      <c r="D4962" s="57"/>
      <c r="E4962" s="56"/>
      <c r="F4962" s="57"/>
      <c r="G4962" s="57"/>
      <c r="H4962" s="56"/>
      <c r="I4962" s="56"/>
      <c r="J4962" s="58"/>
      <c r="K4962" s="58"/>
      <c r="L4962" s="13" t="str">
        <f t="shared" si="770"/>
        <v/>
      </c>
      <c r="M4962" s="13" t="str">
        <f t="shared" si="771"/>
        <v/>
      </c>
      <c r="Q4962" t="str">
        <f t="shared" si="772"/>
        <v/>
      </c>
      <c r="R4962" t="str">
        <f t="shared" si="773"/>
        <v/>
      </c>
      <c r="S4962" t="str">
        <f t="shared" si="774"/>
        <v/>
      </c>
      <c r="T4962" t="str">
        <f t="shared" si="775"/>
        <v/>
      </c>
      <c r="U4962" t="str">
        <f t="shared" si="776"/>
        <v/>
      </c>
      <c r="V4962" t="str">
        <f t="shared" si="777"/>
        <v/>
      </c>
      <c r="W4962" t="str">
        <f t="shared" si="778"/>
        <v/>
      </c>
      <c r="X4962">
        <f>IF($T4962="",N($X4961),IF(MATCH($T4962,$T$6:$T$10005,0)=ROW()-5,N($X4961)+1,N($X4961)))</f>
        <v>0</v>
      </c>
      <c r="Z4962" t="str">
        <f t="shared" si="779"/>
        <v/>
      </c>
      <c r="AA4962">
        <f>IF($V4962="",N($AA4961),IF(MATCH($V4962,$V$6:$V$10005,0)=ROW()-5,N($AA4961)+1,N($AA4961)))</f>
        <v>0</v>
      </c>
    </row>
    <row r="4963" spans="1:27" ht="21" customHeight="1" x14ac:dyDescent="0.95">
      <c r="A4963" s="56"/>
      <c r="B4963" s="57"/>
      <c r="C4963" s="57"/>
      <c r="D4963" s="57"/>
      <c r="E4963" s="56"/>
      <c r="F4963" s="57"/>
      <c r="G4963" s="57"/>
      <c r="H4963" s="56"/>
      <c r="I4963" s="56"/>
      <c r="J4963" s="58"/>
      <c r="K4963" s="58"/>
      <c r="L4963" s="13" t="str">
        <f t="shared" si="770"/>
        <v/>
      </c>
      <c r="M4963" s="13" t="str">
        <f t="shared" si="771"/>
        <v/>
      </c>
      <c r="Q4963" t="str">
        <f t="shared" si="772"/>
        <v/>
      </c>
      <c r="R4963" t="str">
        <f t="shared" si="773"/>
        <v/>
      </c>
      <c r="S4963" t="str">
        <f t="shared" si="774"/>
        <v/>
      </c>
      <c r="T4963" t="str">
        <f t="shared" si="775"/>
        <v/>
      </c>
      <c r="U4963" t="str">
        <f t="shared" si="776"/>
        <v/>
      </c>
      <c r="V4963" t="str">
        <f t="shared" si="777"/>
        <v/>
      </c>
      <c r="W4963" t="str">
        <f t="shared" si="778"/>
        <v/>
      </c>
      <c r="X4963">
        <f>IF($T4963="",N($X4962),IF(MATCH($T4963,$T$6:$T$10005,0)=ROW()-5,N($X4962)+1,N($X4962)))</f>
        <v>0</v>
      </c>
      <c r="Z4963" t="str">
        <f t="shared" si="779"/>
        <v/>
      </c>
      <c r="AA4963">
        <f>IF($V4963="",N($AA4962),IF(MATCH($V4963,$V$6:$V$10005,0)=ROW()-5,N($AA4962)+1,N($AA4962)))</f>
        <v>0</v>
      </c>
    </row>
    <row r="4964" spans="1:27" ht="21" customHeight="1" x14ac:dyDescent="0.95">
      <c r="A4964" s="56"/>
      <c r="B4964" s="57"/>
      <c r="C4964" s="57"/>
      <c r="D4964" s="57"/>
      <c r="E4964" s="56"/>
      <c r="F4964" s="57"/>
      <c r="G4964" s="57"/>
      <c r="H4964" s="56"/>
      <c r="I4964" s="56"/>
      <c r="J4964" s="58"/>
      <c r="K4964" s="58"/>
      <c r="L4964" s="13" t="str">
        <f t="shared" si="770"/>
        <v/>
      </c>
      <c r="M4964" s="13" t="str">
        <f t="shared" si="771"/>
        <v/>
      </c>
      <c r="Q4964" t="str">
        <f t="shared" si="772"/>
        <v/>
      </c>
      <c r="R4964" t="str">
        <f t="shared" si="773"/>
        <v/>
      </c>
      <c r="S4964" t="str">
        <f t="shared" si="774"/>
        <v/>
      </c>
      <c r="T4964" t="str">
        <f t="shared" si="775"/>
        <v/>
      </c>
      <c r="U4964" t="str">
        <f t="shared" si="776"/>
        <v/>
      </c>
      <c r="V4964" t="str">
        <f t="shared" si="777"/>
        <v/>
      </c>
      <c r="W4964" t="str">
        <f t="shared" si="778"/>
        <v/>
      </c>
      <c r="X4964">
        <f>IF($T4964="",N($X4963),IF(MATCH($T4964,$T$6:$T$10005,0)=ROW()-5,N($X4963)+1,N($X4963)))</f>
        <v>0</v>
      </c>
      <c r="Z4964" t="str">
        <f t="shared" si="779"/>
        <v/>
      </c>
      <c r="AA4964">
        <f>IF($V4964="",N($AA4963),IF(MATCH($V4964,$V$6:$V$10005,0)=ROW()-5,N($AA4963)+1,N($AA4963)))</f>
        <v>0</v>
      </c>
    </row>
    <row r="4965" spans="1:27" ht="21" customHeight="1" x14ac:dyDescent="0.95">
      <c r="A4965" s="56"/>
      <c r="B4965" s="57"/>
      <c r="C4965" s="57"/>
      <c r="D4965" s="57"/>
      <c r="E4965" s="56"/>
      <c r="F4965" s="57"/>
      <c r="G4965" s="57"/>
      <c r="H4965" s="56"/>
      <c r="I4965" s="56"/>
      <c r="J4965" s="58"/>
      <c r="K4965" s="58"/>
      <c r="L4965" s="13" t="str">
        <f t="shared" si="770"/>
        <v/>
      </c>
      <c r="M4965" s="13" t="str">
        <f t="shared" si="771"/>
        <v/>
      </c>
      <c r="Q4965" t="str">
        <f t="shared" si="772"/>
        <v/>
      </c>
      <c r="R4965" t="str">
        <f t="shared" si="773"/>
        <v/>
      </c>
      <c r="S4965" t="str">
        <f t="shared" si="774"/>
        <v/>
      </c>
      <c r="T4965" t="str">
        <f t="shared" si="775"/>
        <v/>
      </c>
      <c r="U4965" t="str">
        <f t="shared" si="776"/>
        <v/>
      </c>
      <c r="V4965" t="str">
        <f t="shared" si="777"/>
        <v/>
      </c>
      <c r="W4965" t="str">
        <f t="shared" si="778"/>
        <v/>
      </c>
      <c r="X4965">
        <f>IF($T4965="",N($X4964),IF(MATCH($T4965,$T$6:$T$10005,0)=ROW()-5,N($X4964)+1,N($X4964)))</f>
        <v>0</v>
      </c>
      <c r="Z4965" t="str">
        <f t="shared" si="779"/>
        <v/>
      </c>
      <c r="AA4965">
        <f>IF($V4965="",N($AA4964),IF(MATCH($V4965,$V$6:$V$10005,0)=ROW()-5,N($AA4964)+1,N($AA4964)))</f>
        <v>0</v>
      </c>
    </row>
    <row r="4966" spans="1:27" ht="21" customHeight="1" x14ac:dyDescent="0.95">
      <c r="A4966" s="56"/>
      <c r="B4966" s="57"/>
      <c r="C4966" s="57"/>
      <c r="D4966" s="57"/>
      <c r="E4966" s="56"/>
      <c r="F4966" s="57"/>
      <c r="G4966" s="57"/>
      <c r="H4966" s="56"/>
      <c r="I4966" s="56"/>
      <c r="J4966" s="58"/>
      <c r="K4966" s="58"/>
      <c r="L4966" s="13" t="str">
        <f t="shared" si="770"/>
        <v/>
      </c>
      <c r="M4966" s="13" t="str">
        <f t="shared" si="771"/>
        <v/>
      </c>
      <c r="Q4966" t="str">
        <f t="shared" si="772"/>
        <v/>
      </c>
      <c r="R4966" t="str">
        <f t="shared" si="773"/>
        <v/>
      </c>
      <c r="S4966" t="str">
        <f t="shared" si="774"/>
        <v/>
      </c>
      <c r="T4966" t="str">
        <f t="shared" si="775"/>
        <v/>
      </c>
      <c r="U4966" t="str">
        <f t="shared" si="776"/>
        <v/>
      </c>
      <c r="V4966" t="str">
        <f t="shared" si="777"/>
        <v/>
      </c>
      <c r="W4966" t="str">
        <f t="shared" si="778"/>
        <v/>
      </c>
      <c r="X4966">
        <f>IF($T4966="",N($X4965),IF(MATCH($T4966,$T$6:$T$10005,0)=ROW()-5,N($X4965)+1,N($X4965)))</f>
        <v>0</v>
      </c>
      <c r="Z4966" t="str">
        <f t="shared" si="779"/>
        <v/>
      </c>
      <c r="AA4966">
        <f>IF($V4966="",N($AA4965),IF(MATCH($V4966,$V$6:$V$10005,0)=ROW()-5,N($AA4965)+1,N($AA4965)))</f>
        <v>0</v>
      </c>
    </row>
    <row r="4967" spans="1:27" ht="21" customHeight="1" x14ac:dyDescent="0.95">
      <c r="A4967" s="56"/>
      <c r="B4967" s="57"/>
      <c r="C4967" s="57"/>
      <c r="D4967" s="57"/>
      <c r="E4967" s="56"/>
      <c r="F4967" s="57"/>
      <c r="G4967" s="57"/>
      <c r="H4967" s="56"/>
      <c r="I4967" s="56"/>
      <c r="J4967" s="58"/>
      <c r="K4967" s="58"/>
      <c r="L4967" s="13" t="str">
        <f t="shared" si="770"/>
        <v/>
      </c>
      <c r="M4967" s="13" t="str">
        <f t="shared" si="771"/>
        <v/>
      </c>
      <c r="Q4967" t="str">
        <f t="shared" si="772"/>
        <v/>
      </c>
      <c r="R4967" t="str">
        <f t="shared" si="773"/>
        <v/>
      </c>
      <c r="S4967" t="str">
        <f t="shared" si="774"/>
        <v/>
      </c>
      <c r="T4967" t="str">
        <f t="shared" si="775"/>
        <v/>
      </c>
      <c r="U4967" t="str">
        <f t="shared" si="776"/>
        <v/>
      </c>
      <c r="V4967" t="str">
        <f t="shared" si="777"/>
        <v/>
      </c>
      <c r="W4967" t="str">
        <f t="shared" si="778"/>
        <v/>
      </c>
      <c r="X4967">
        <f>IF($T4967="",N($X4966),IF(MATCH($T4967,$T$6:$T$10005,0)=ROW()-5,N($X4966)+1,N($X4966)))</f>
        <v>0</v>
      </c>
      <c r="Z4967" t="str">
        <f t="shared" si="779"/>
        <v/>
      </c>
      <c r="AA4967">
        <f>IF($V4967="",N($AA4966),IF(MATCH($V4967,$V$6:$V$10005,0)=ROW()-5,N($AA4966)+1,N($AA4966)))</f>
        <v>0</v>
      </c>
    </row>
    <row r="4968" spans="1:27" ht="21" customHeight="1" x14ac:dyDescent="0.95">
      <c r="A4968" s="56"/>
      <c r="B4968" s="57"/>
      <c r="C4968" s="57"/>
      <c r="D4968" s="57"/>
      <c r="E4968" s="56"/>
      <c r="F4968" s="57"/>
      <c r="G4968" s="57"/>
      <c r="H4968" s="56"/>
      <c r="I4968" s="56"/>
      <c r="J4968" s="58"/>
      <c r="K4968" s="58"/>
      <c r="L4968" s="13" t="str">
        <f t="shared" si="770"/>
        <v/>
      </c>
      <c r="M4968" s="13" t="str">
        <f t="shared" si="771"/>
        <v/>
      </c>
      <c r="Q4968" t="str">
        <f t="shared" si="772"/>
        <v/>
      </c>
      <c r="R4968" t="str">
        <f t="shared" si="773"/>
        <v/>
      </c>
      <c r="S4968" t="str">
        <f t="shared" si="774"/>
        <v/>
      </c>
      <c r="T4968" t="str">
        <f t="shared" si="775"/>
        <v/>
      </c>
      <c r="U4968" t="str">
        <f t="shared" si="776"/>
        <v/>
      </c>
      <c r="V4968" t="str">
        <f t="shared" si="777"/>
        <v/>
      </c>
      <c r="W4968" t="str">
        <f t="shared" si="778"/>
        <v/>
      </c>
      <c r="X4968">
        <f>IF($T4968="",N($X4967),IF(MATCH($T4968,$T$6:$T$10005,0)=ROW()-5,N($X4967)+1,N($X4967)))</f>
        <v>0</v>
      </c>
      <c r="Z4968" t="str">
        <f t="shared" si="779"/>
        <v/>
      </c>
      <c r="AA4968">
        <f>IF($V4968="",N($AA4967),IF(MATCH($V4968,$V$6:$V$10005,0)=ROW()-5,N($AA4967)+1,N($AA4967)))</f>
        <v>0</v>
      </c>
    </row>
    <row r="4969" spans="1:27" ht="21" customHeight="1" x14ac:dyDescent="0.95">
      <c r="A4969" s="56"/>
      <c r="B4969" s="57"/>
      <c r="C4969" s="57"/>
      <c r="D4969" s="57"/>
      <c r="E4969" s="56"/>
      <c r="F4969" s="57"/>
      <c r="G4969" s="57"/>
      <c r="H4969" s="56"/>
      <c r="I4969" s="56"/>
      <c r="J4969" s="58"/>
      <c r="K4969" s="58"/>
      <c r="L4969" s="13" t="str">
        <f t="shared" si="770"/>
        <v/>
      </c>
      <c r="M4969" s="13" t="str">
        <f t="shared" si="771"/>
        <v/>
      </c>
      <c r="Q4969" t="str">
        <f t="shared" si="772"/>
        <v/>
      </c>
      <c r="R4969" t="str">
        <f t="shared" si="773"/>
        <v/>
      </c>
      <c r="S4969" t="str">
        <f t="shared" si="774"/>
        <v/>
      </c>
      <c r="T4969" t="str">
        <f t="shared" si="775"/>
        <v/>
      </c>
      <c r="U4969" t="str">
        <f t="shared" si="776"/>
        <v/>
      </c>
      <c r="V4969" t="str">
        <f t="shared" si="777"/>
        <v/>
      </c>
      <c r="W4969" t="str">
        <f t="shared" si="778"/>
        <v/>
      </c>
      <c r="X4969">
        <f>IF($T4969="",N($X4968),IF(MATCH($T4969,$T$6:$T$10005,0)=ROW()-5,N($X4968)+1,N($X4968)))</f>
        <v>0</v>
      </c>
      <c r="Z4969" t="str">
        <f t="shared" si="779"/>
        <v/>
      </c>
      <c r="AA4969">
        <f>IF($V4969="",N($AA4968),IF(MATCH($V4969,$V$6:$V$10005,0)=ROW()-5,N($AA4968)+1,N($AA4968)))</f>
        <v>0</v>
      </c>
    </row>
    <row r="4970" spans="1:27" ht="21" customHeight="1" x14ac:dyDescent="0.95">
      <c r="A4970" s="56"/>
      <c r="B4970" s="57"/>
      <c r="C4970" s="57"/>
      <c r="D4970" s="57"/>
      <c r="E4970" s="56"/>
      <c r="F4970" s="57"/>
      <c r="G4970" s="57"/>
      <c r="H4970" s="56"/>
      <c r="I4970" s="56"/>
      <c r="J4970" s="58"/>
      <c r="K4970" s="58"/>
      <c r="L4970" s="13" t="str">
        <f t="shared" si="770"/>
        <v/>
      </c>
      <c r="M4970" s="13" t="str">
        <f t="shared" si="771"/>
        <v/>
      </c>
      <c r="Q4970" t="str">
        <f t="shared" si="772"/>
        <v/>
      </c>
      <c r="R4970" t="str">
        <f t="shared" si="773"/>
        <v/>
      </c>
      <c r="S4970" t="str">
        <f t="shared" si="774"/>
        <v/>
      </c>
      <c r="T4970" t="str">
        <f t="shared" si="775"/>
        <v/>
      </c>
      <c r="U4970" t="str">
        <f t="shared" si="776"/>
        <v/>
      </c>
      <c r="V4970" t="str">
        <f t="shared" si="777"/>
        <v/>
      </c>
      <c r="W4970" t="str">
        <f t="shared" si="778"/>
        <v/>
      </c>
      <c r="X4970">
        <f>IF($T4970="",N($X4969),IF(MATCH($T4970,$T$6:$T$10005,0)=ROW()-5,N($X4969)+1,N($X4969)))</f>
        <v>0</v>
      </c>
      <c r="Z4970" t="str">
        <f t="shared" si="779"/>
        <v/>
      </c>
      <c r="AA4970">
        <f>IF($V4970="",N($AA4969),IF(MATCH($V4970,$V$6:$V$10005,0)=ROW()-5,N($AA4969)+1,N($AA4969)))</f>
        <v>0</v>
      </c>
    </row>
    <row r="4971" spans="1:27" ht="21" customHeight="1" x14ac:dyDescent="0.95">
      <c r="A4971" s="56"/>
      <c r="B4971" s="57"/>
      <c r="C4971" s="57"/>
      <c r="D4971" s="57"/>
      <c r="E4971" s="56"/>
      <c r="F4971" s="57"/>
      <c r="G4971" s="57"/>
      <c r="H4971" s="56"/>
      <c r="I4971" s="56"/>
      <c r="J4971" s="58"/>
      <c r="K4971" s="58"/>
      <c r="L4971" s="13" t="str">
        <f t="shared" si="770"/>
        <v/>
      </c>
      <c r="M4971" s="13" t="str">
        <f t="shared" si="771"/>
        <v/>
      </c>
      <c r="Q4971" t="str">
        <f t="shared" si="772"/>
        <v/>
      </c>
      <c r="R4971" t="str">
        <f t="shared" si="773"/>
        <v/>
      </c>
      <c r="S4971" t="str">
        <f t="shared" si="774"/>
        <v/>
      </c>
      <c r="T4971" t="str">
        <f t="shared" si="775"/>
        <v/>
      </c>
      <c r="U4971" t="str">
        <f t="shared" si="776"/>
        <v/>
      </c>
      <c r="V4971" t="str">
        <f t="shared" si="777"/>
        <v/>
      </c>
      <c r="W4971" t="str">
        <f t="shared" si="778"/>
        <v/>
      </c>
      <c r="X4971">
        <f>IF($T4971="",N($X4970),IF(MATCH($T4971,$T$6:$T$10005,0)=ROW()-5,N($X4970)+1,N($X4970)))</f>
        <v>0</v>
      </c>
      <c r="Z4971" t="str">
        <f t="shared" si="779"/>
        <v/>
      </c>
      <c r="AA4971">
        <f>IF($V4971="",N($AA4970),IF(MATCH($V4971,$V$6:$V$10005,0)=ROW()-5,N($AA4970)+1,N($AA4970)))</f>
        <v>0</v>
      </c>
    </row>
    <row r="4972" spans="1:27" ht="21" customHeight="1" x14ac:dyDescent="0.95">
      <c r="A4972" s="56"/>
      <c r="B4972" s="57"/>
      <c r="C4972" s="57"/>
      <c r="D4972" s="57"/>
      <c r="E4972" s="56"/>
      <c r="F4972" s="57"/>
      <c r="G4972" s="57"/>
      <c r="H4972" s="56"/>
      <c r="I4972" s="56"/>
      <c r="J4972" s="58"/>
      <c r="K4972" s="58"/>
      <c r="L4972" s="13" t="str">
        <f t="shared" si="770"/>
        <v/>
      </c>
      <c r="M4972" s="13" t="str">
        <f t="shared" si="771"/>
        <v/>
      </c>
      <c r="Q4972" t="str">
        <f t="shared" si="772"/>
        <v/>
      </c>
      <c r="R4972" t="str">
        <f t="shared" si="773"/>
        <v/>
      </c>
      <c r="S4972" t="str">
        <f t="shared" si="774"/>
        <v/>
      </c>
      <c r="T4972" t="str">
        <f t="shared" si="775"/>
        <v/>
      </c>
      <c r="U4972" t="str">
        <f t="shared" si="776"/>
        <v/>
      </c>
      <c r="V4972" t="str">
        <f t="shared" si="777"/>
        <v/>
      </c>
      <c r="W4972" t="str">
        <f t="shared" si="778"/>
        <v/>
      </c>
      <c r="X4972">
        <f>IF($T4972="",N($X4971),IF(MATCH($T4972,$T$6:$T$10005,0)=ROW()-5,N($X4971)+1,N($X4971)))</f>
        <v>0</v>
      </c>
      <c r="Z4972" t="str">
        <f t="shared" si="779"/>
        <v/>
      </c>
      <c r="AA4972">
        <f>IF($V4972="",N($AA4971),IF(MATCH($V4972,$V$6:$V$10005,0)=ROW()-5,N($AA4971)+1,N($AA4971)))</f>
        <v>0</v>
      </c>
    </row>
    <row r="4973" spans="1:27" ht="21" customHeight="1" x14ac:dyDescent="0.95">
      <c r="A4973" s="56"/>
      <c r="B4973" s="57"/>
      <c r="C4973" s="57"/>
      <c r="D4973" s="57"/>
      <c r="E4973" s="56"/>
      <c r="F4973" s="57"/>
      <c r="G4973" s="57"/>
      <c r="H4973" s="56"/>
      <c r="I4973" s="56"/>
      <c r="J4973" s="58"/>
      <c r="K4973" s="58"/>
      <c r="L4973" s="13" t="str">
        <f t="shared" si="770"/>
        <v/>
      </c>
      <c r="M4973" s="13" t="str">
        <f t="shared" si="771"/>
        <v/>
      </c>
      <c r="Q4973" t="str">
        <f t="shared" si="772"/>
        <v/>
      </c>
      <c r="R4973" t="str">
        <f t="shared" si="773"/>
        <v/>
      </c>
      <c r="S4973" t="str">
        <f t="shared" si="774"/>
        <v/>
      </c>
      <c r="T4973" t="str">
        <f t="shared" si="775"/>
        <v/>
      </c>
      <c r="U4973" t="str">
        <f t="shared" si="776"/>
        <v/>
      </c>
      <c r="V4973" t="str">
        <f t="shared" si="777"/>
        <v/>
      </c>
      <c r="W4973" t="str">
        <f t="shared" si="778"/>
        <v/>
      </c>
      <c r="X4973">
        <f>IF($T4973="",N($X4972),IF(MATCH($T4973,$T$6:$T$10005,0)=ROW()-5,N($X4972)+1,N($X4972)))</f>
        <v>0</v>
      </c>
      <c r="Z4973" t="str">
        <f t="shared" si="779"/>
        <v/>
      </c>
      <c r="AA4973">
        <f>IF($V4973="",N($AA4972),IF(MATCH($V4973,$V$6:$V$10005,0)=ROW()-5,N($AA4972)+1,N($AA4972)))</f>
        <v>0</v>
      </c>
    </row>
    <row r="4974" spans="1:27" ht="21" customHeight="1" x14ac:dyDescent="0.95">
      <c r="A4974" s="56"/>
      <c r="B4974" s="57"/>
      <c r="C4974" s="57"/>
      <c r="D4974" s="57"/>
      <c r="E4974" s="56"/>
      <c r="F4974" s="57"/>
      <c r="G4974" s="57"/>
      <c r="H4974" s="56"/>
      <c r="I4974" s="56"/>
      <c r="J4974" s="58"/>
      <c r="K4974" s="58"/>
      <c r="L4974" s="13" t="str">
        <f t="shared" si="770"/>
        <v/>
      </c>
      <c r="M4974" s="13" t="str">
        <f t="shared" si="771"/>
        <v/>
      </c>
      <c r="Q4974" t="str">
        <f t="shared" si="772"/>
        <v/>
      </c>
      <c r="R4974" t="str">
        <f t="shared" si="773"/>
        <v/>
      </c>
      <c r="S4974" t="str">
        <f t="shared" si="774"/>
        <v/>
      </c>
      <c r="T4974" t="str">
        <f t="shared" si="775"/>
        <v/>
      </c>
      <c r="U4974" t="str">
        <f t="shared" si="776"/>
        <v/>
      </c>
      <c r="V4974" t="str">
        <f t="shared" si="777"/>
        <v/>
      </c>
      <c r="W4974" t="str">
        <f t="shared" si="778"/>
        <v/>
      </c>
      <c r="X4974">
        <f>IF($T4974="",N($X4973),IF(MATCH($T4974,$T$6:$T$10005,0)=ROW()-5,N($X4973)+1,N($X4973)))</f>
        <v>0</v>
      </c>
      <c r="Z4974" t="str">
        <f t="shared" si="779"/>
        <v/>
      </c>
      <c r="AA4974">
        <f>IF($V4974="",N($AA4973),IF(MATCH($V4974,$V$6:$V$10005,0)=ROW()-5,N($AA4973)+1,N($AA4973)))</f>
        <v>0</v>
      </c>
    </row>
    <row r="4975" spans="1:27" ht="21" customHeight="1" x14ac:dyDescent="0.95">
      <c r="A4975" s="56"/>
      <c r="B4975" s="57"/>
      <c r="C4975" s="57"/>
      <c r="D4975" s="57"/>
      <c r="E4975" s="56"/>
      <c r="F4975" s="57"/>
      <c r="G4975" s="57"/>
      <c r="H4975" s="56"/>
      <c r="I4975" s="56"/>
      <c r="J4975" s="58"/>
      <c r="K4975" s="58"/>
      <c r="L4975" s="13" t="str">
        <f t="shared" si="770"/>
        <v/>
      </c>
      <c r="M4975" s="13" t="str">
        <f t="shared" si="771"/>
        <v/>
      </c>
      <c r="Q4975" t="str">
        <f t="shared" si="772"/>
        <v/>
      </c>
      <c r="R4975" t="str">
        <f t="shared" si="773"/>
        <v/>
      </c>
      <c r="S4975" t="str">
        <f t="shared" si="774"/>
        <v/>
      </c>
      <c r="T4975" t="str">
        <f t="shared" si="775"/>
        <v/>
      </c>
      <c r="U4975" t="str">
        <f t="shared" si="776"/>
        <v/>
      </c>
      <c r="V4975" t="str">
        <f t="shared" si="777"/>
        <v/>
      </c>
      <c r="W4975" t="str">
        <f t="shared" si="778"/>
        <v/>
      </c>
      <c r="X4975">
        <f>IF($T4975="",N($X4974),IF(MATCH($T4975,$T$6:$T$10005,0)=ROW()-5,N($X4974)+1,N($X4974)))</f>
        <v>0</v>
      </c>
      <c r="Z4975" t="str">
        <f t="shared" si="779"/>
        <v/>
      </c>
      <c r="AA4975">
        <f>IF($V4975="",N($AA4974),IF(MATCH($V4975,$V$6:$V$10005,0)=ROW()-5,N($AA4974)+1,N($AA4974)))</f>
        <v>0</v>
      </c>
    </row>
    <row r="4976" spans="1:27" ht="21" customHeight="1" x14ac:dyDescent="0.95">
      <c r="A4976" s="56"/>
      <c r="B4976" s="57"/>
      <c r="C4976" s="57"/>
      <c r="D4976" s="57"/>
      <c r="E4976" s="56"/>
      <c r="F4976" s="57"/>
      <c r="G4976" s="57"/>
      <c r="H4976" s="56"/>
      <c r="I4976" s="56"/>
      <c r="J4976" s="58"/>
      <c r="K4976" s="58"/>
      <c r="L4976" s="13" t="str">
        <f t="shared" si="770"/>
        <v/>
      </c>
      <c r="M4976" s="13" t="str">
        <f t="shared" si="771"/>
        <v/>
      </c>
      <c r="Q4976" t="str">
        <f t="shared" si="772"/>
        <v/>
      </c>
      <c r="R4976" t="str">
        <f t="shared" si="773"/>
        <v/>
      </c>
      <c r="S4976" t="str">
        <f t="shared" si="774"/>
        <v/>
      </c>
      <c r="T4976" t="str">
        <f t="shared" si="775"/>
        <v/>
      </c>
      <c r="U4976" t="str">
        <f t="shared" si="776"/>
        <v/>
      </c>
      <c r="V4976" t="str">
        <f t="shared" si="777"/>
        <v/>
      </c>
      <c r="W4976" t="str">
        <f t="shared" si="778"/>
        <v/>
      </c>
      <c r="X4976">
        <f>IF($T4976="",N($X4975),IF(MATCH($T4976,$T$6:$T$10005,0)=ROW()-5,N($X4975)+1,N($X4975)))</f>
        <v>0</v>
      </c>
      <c r="Z4976" t="str">
        <f t="shared" si="779"/>
        <v/>
      </c>
      <c r="AA4976">
        <f>IF($V4976="",N($AA4975),IF(MATCH($V4976,$V$6:$V$10005,0)=ROW()-5,N($AA4975)+1,N($AA4975)))</f>
        <v>0</v>
      </c>
    </row>
    <row r="4977" spans="1:27" ht="21" customHeight="1" x14ac:dyDescent="0.95">
      <c r="A4977" s="56"/>
      <c r="B4977" s="57"/>
      <c r="C4977" s="57"/>
      <c r="D4977" s="57"/>
      <c r="E4977" s="56"/>
      <c r="F4977" s="57"/>
      <c r="G4977" s="57"/>
      <c r="H4977" s="56"/>
      <c r="I4977" s="56"/>
      <c r="J4977" s="58"/>
      <c r="K4977" s="58"/>
      <c r="L4977" s="13" t="str">
        <f t="shared" si="770"/>
        <v/>
      </c>
      <c r="M4977" s="13" t="str">
        <f t="shared" si="771"/>
        <v/>
      </c>
      <c r="Q4977" t="str">
        <f t="shared" si="772"/>
        <v/>
      </c>
      <c r="R4977" t="str">
        <f t="shared" si="773"/>
        <v/>
      </c>
      <c r="S4977" t="str">
        <f t="shared" si="774"/>
        <v/>
      </c>
      <c r="T4977" t="str">
        <f t="shared" si="775"/>
        <v/>
      </c>
      <c r="U4977" t="str">
        <f t="shared" si="776"/>
        <v/>
      </c>
      <c r="V4977" t="str">
        <f t="shared" si="777"/>
        <v/>
      </c>
      <c r="W4977" t="str">
        <f t="shared" si="778"/>
        <v/>
      </c>
      <c r="X4977">
        <f>IF($T4977="",N($X4976),IF(MATCH($T4977,$T$6:$T$10005,0)=ROW()-5,N($X4976)+1,N($X4976)))</f>
        <v>0</v>
      </c>
      <c r="Z4977" t="str">
        <f t="shared" si="779"/>
        <v/>
      </c>
      <c r="AA4977">
        <f>IF($V4977="",N($AA4976),IF(MATCH($V4977,$V$6:$V$10005,0)=ROW()-5,N($AA4976)+1,N($AA4976)))</f>
        <v>0</v>
      </c>
    </row>
    <row r="4978" spans="1:27" ht="21" customHeight="1" x14ac:dyDescent="0.95">
      <c r="A4978" s="56"/>
      <c r="B4978" s="57"/>
      <c r="C4978" s="57"/>
      <c r="D4978" s="57"/>
      <c r="E4978" s="56"/>
      <c r="F4978" s="57"/>
      <c r="G4978" s="57"/>
      <c r="H4978" s="56"/>
      <c r="I4978" s="56"/>
      <c r="J4978" s="58"/>
      <c r="K4978" s="58"/>
      <c r="L4978" s="13" t="str">
        <f t="shared" si="770"/>
        <v/>
      </c>
      <c r="M4978" s="13" t="str">
        <f t="shared" si="771"/>
        <v/>
      </c>
      <c r="Q4978" t="str">
        <f t="shared" si="772"/>
        <v/>
      </c>
      <c r="R4978" t="str">
        <f t="shared" si="773"/>
        <v/>
      </c>
      <c r="S4978" t="str">
        <f t="shared" si="774"/>
        <v/>
      </c>
      <c r="T4978" t="str">
        <f t="shared" si="775"/>
        <v/>
      </c>
      <c r="U4978" t="str">
        <f t="shared" si="776"/>
        <v/>
      </c>
      <c r="V4978" t="str">
        <f t="shared" si="777"/>
        <v/>
      </c>
      <c r="W4978" t="str">
        <f t="shared" si="778"/>
        <v/>
      </c>
      <c r="X4978">
        <f>IF($T4978="",N($X4977),IF(MATCH($T4978,$T$6:$T$10005,0)=ROW()-5,N($X4977)+1,N($X4977)))</f>
        <v>0</v>
      </c>
      <c r="Z4978" t="str">
        <f t="shared" si="779"/>
        <v/>
      </c>
      <c r="AA4978">
        <f>IF($V4978="",N($AA4977),IF(MATCH($V4978,$V$6:$V$10005,0)=ROW()-5,N($AA4977)+1,N($AA4977)))</f>
        <v>0</v>
      </c>
    </row>
    <row r="4979" spans="1:27" ht="21" customHeight="1" x14ac:dyDescent="0.95">
      <c r="A4979" s="56"/>
      <c r="B4979" s="57"/>
      <c r="C4979" s="57"/>
      <c r="D4979" s="57"/>
      <c r="E4979" s="56"/>
      <c r="F4979" s="57"/>
      <c r="G4979" s="57"/>
      <c r="H4979" s="56"/>
      <c r="I4979" s="56"/>
      <c r="J4979" s="58"/>
      <c r="K4979" s="58"/>
      <c r="L4979" s="13" t="str">
        <f t="shared" si="770"/>
        <v/>
      </c>
      <c r="M4979" s="13" t="str">
        <f t="shared" si="771"/>
        <v/>
      </c>
      <c r="Q4979" t="str">
        <f t="shared" si="772"/>
        <v/>
      </c>
      <c r="R4979" t="str">
        <f t="shared" si="773"/>
        <v/>
      </c>
      <c r="S4979" t="str">
        <f t="shared" si="774"/>
        <v/>
      </c>
      <c r="T4979" t="str">
        <f t="shared" si="775"/>
        <v/>
      </c>
      <c r="U4979" t="str">
        <f t="shared" si="776"/>
        <v/>
      </c>
      <c r="V4979" t="str">
        <f t="shared" si="777"/>
        <v/>
      </c>
      <c r="W4979" t="str">
        <f t="shared" si="778"/>
        <v/>
      </c>
      <c r="X4979">
        <f>IF($T4979="",N($X4978),IF(MATCH($T4979,$T$6:$T$10005,0)=ROW()-5,N($X4978)+1,N($X4978)))</f>
        <v>0</v>
      </c>
      <c r="Z4979" t="str">
        <f t="shared" si="779"/>
        <v/>
      </c>
      <c r="AA4979">
        <f>IF($V4979="",N($AA4978),IF(MATCH($V4979,$V$6:$V$10005,0)=ROW()-5,N($AA4978)+1,N($AA4978)))</f>
        <v>0</v>
      </c>
    </row>
    <row r="4980" spans="1:27" ht="21" customHeight="1" x14ac:dyDescent="0.95">
      <c r="A4980" s="56"/>
      <c r="B4980" s="57"/>
      <c r="C4980" s="57"/>
      <c r="D4980" s="57"/>
      <c r="E4980" s="56"/>
      <c r="F4980" s="57"/>
      <c r="G4980" s="57"/>
      <c r="H4980" s="56"/>
      <c r="I4980" s="56"/>
      <c r="J4980" s="58"/>
      <c r="K4980" s="58"/>
      <c r="L4980" s="13" t="str">
        <f t="shared" si="770"/>
        <v/>
      </c>
      <c r="M4980" s="13" t="str">
        <f t="shared" si="771"/>
        <v/>
      </c>
      <c r="Q4980" t="str">
        <f t="shared" si="772"/>
        <v/>
      </c>
      <c r="R4980" t="str">
        <f t="shared" si="773"/>
        <v/>
      </c>
      <c r="S4980" t="str">
        <f t="shared" si="774"/>
        <v/>
      </c>
      <c r="T4980" t="str">
        <f t="shared" si="775"/>
        <v/>
      </c>
      <c r="U4980" t="str">
        <f t="shared" si="776"/>
        <v/>
      </c>
      <c r="V4980" t="str">
        <f t="shared" si="777"/>
        <v/>
      </c>
      <c r="W4980" t="str">
        <f t="shared" si="778"/>
        <v/>
      </c>
      <c r="X4980">
        <f>IF($T4980="",N($X4979),IF(MATCH($T4980,$T$6:$T$10005,0)=ROW()-5,N($X4979)+1,N($X4979)))</f>
        <v>0</v>
      </c>
      <c r="Z4980" t="str">
        <f t="shared" si="779"/>
        <v/>
      </c>
      <c r="AA4980">
        <f>IF($V4980="",N($AA4979),IF(MATCH($V4980,$V$6:$V$10005,0)=ROW()-5,N($AA4979)+1,N($AA4979)))</f>
        <v>0</v>
      </c>
    </row>
    <row r="4981" spans="1:27" ht="21" customHeight="1" x14ac:dyDescent="0.95">
      <c r="A4981" s="56"/>
      <c r="B4981" s="57"/>
      <c r="C4981" s="57"/>
      <c r="D4981" s="57"/>
      <c r="E4981" s="56"/>
      <c r="F4981" s="57"/>
      <c r="G4981" s="57"/>
      <c r="H4981" s="56"/>
      <c r="I4981" s="56"/>
      <c r="J4981" s="58"/>
      <c r="K4981" s="58"/>
      <c r="L4981" s="13" t="str">
        <f t="shared" si="770"/>
        <v/>
      </c>
      <c r="M4981" s="13" t="str">
        <f t="shared" si="771"/>
        <v/>
      </c>
      <c r="Q4981" t="str">
        <f t="shared" si="772"/>
        <v/>
      </c>
      <c r="R4981" t="str">
        <f t="shared" si="773"/>
        <v/>
      </c>
      <c r="S4981" t="str">
        <f t="shared" si="774"/>
        <v/>
      </c>
      <c r="T4981" t="str">
        <f t="shared" si="775"/>
        <v/>
      </c>
      <c r="U4981" t="str">
        <f t="shared" si="776"/>
        <v/>
      </c>
      <c r="V4981" t="str">
        <f t="shared" si="777"/>
        <v/>
      </c>
      <c r="W4981" t="str">
        <f t="shared" si="778"/>
        <v/>
      </c>
      <c r="X4981">
        <f>IF($T4981="",N($X4980),IF(MATCH($T4981,$T$6:$T$10005,0)=ROW()-5,N($X4980)+1,N($X4980)))</f>
        <v>0</v>
      </c>
      <c r="Z4981" t="str">
        <f t="shared" si="779"/>
        <v/>
      </c>
      <c r="AA4981">
        <f>IF($V4981="",N($AA4980),IF(MATCH($V4981,$V$6:$V$10005,0)=ROW()-5,N($AA4980)+1,N($AA4980)))</f>
        <v>0</v>
      </c>
    </row>
    <row r="4982" spans="1:27" ht="21" customHeight="1" x14ac:dyDescent="0.95">
      <c r="A4982" s="56"/>
      <c r="B4982" s="57"/>
      <c r="C4982" s="57"/>
      <c r="D4982" s="57"/>
      <c r="E4982" s="56"/>
      <c r="F4982" s="57"/>
      <c r="G4982" s="57"/>
      <c r="H4982" s="56"/>
      <c r="I4982" s="56"/>
      <c r="J4982" s="58"/>
      <c r="K4982" s="58"/>
      <c r="L4982" s="13" t="str">
        <f t="shared" si="770"/>
        <v/>
      </c>
      <c r="M4982" s="13" t="str">
        <f t="shared" si="771"/>
        <v/>
      </c>
      <c r="Q4982" t="str">
        <f t="shared" si="772"/>
        <v/>
      </c>
      <c r="R4982" t="str">
        <f t="shared" si="773"/>
        <v/>
      </c>
      <c r="S4982" t="str">
        <f t="shared" si="774"/>
        <v/>
      </c>
      <c r="T4982" t="str">
        <f t="shared" si="775"/>
        <v/>
      </c>
      <c r="U4982" t="str">
        <f t="shared" si="776"/>
        <v/>
      </c>
      <c r="V4982" t="str">
        <f t="shared" si="777"/>
        <v/>
      </c>
      <c r="W4982" t="str">
        <f t="shared" si="778"/>
        <v/>
      </c>
      <c r="X4982">
        <f>IF($T4982="",N($X4981),IF(MATCH($T4982,$T$6:$T$10005,0)=ROW()-5,N($X4981)+1,N($X4981)))</f>
        <v>0</v>
      </c>
      <c r="Z4982" t="str">
        <f t="shared" si="779"/>
        <v/>
      </c>
      <c r="AA4982">
        <f>IF($V4982="",N($AA4981),IF(MATCH($V4982,$V$6:$V$10005,0)=ROW()-5,N($AA4981)+1,N($AA4981)))</f>
        <v>0</v>
      </c>
    </row>
    <row r="4983" spans="1:27" ht="21" customHeight="1" x14ac:dyDescent="0.95">
      <c r="A4983" s="56"/>
      <c r="B4983" s="57"/>
      <c r="C4983" s="57"/>
      <c r="D4983" s="57"/>
      <c r="E4983" s="56"/>
      <c r="F4983" s="57"/>
      <c r="G4983" s="57"/>
      <c r="H4983" s="56"/>
      <c r="I4983" s="56"/>
      <c r="J4983" s="58"/>
      <c r="K4983" s="58"/>
      <c r="L4983" s="13" t="str">
        <f t="shared" si="770"/>
        <v/>
      </c>
      <c r="M4983" s="13" t="str">
        <f t="shared" si="771"/>
        <v/>
      </c>
      <c r="Q4983" t="str">
        <f t="shared" si="772"/>
        <v/>
      </c>
      <c r="R4983" t="str">
        <f t="shared" si="773"/>
        <v/>
      </c>
      <c r="S4983" t="str">
        <f t="shared" si="774"/>
        <v/>
      </c>
      <c r="T4983" t="str">
        <f t="shared" si="775"/>
        <v/>
      </c>
      <c r="U4983" t="str">
        <f t="shared" si="776"/>
        <v/>
      </c>
      <c r="V4983" t="str">
        <f t="shared" si="777"/>
        <v/>
      </c>
      <c r="W4983" t="str">
        <f t="shared" si="778"/>
        <v/>
      </c>
      <c r="X4983">
        <f>IF($T4983="",N($X4982),IF(MATCH($T4983,$T$6:$T$10005,0)=ROW()-5,N($X4982)+1,N($X4982)))</f>
        <v>0</v>
      </c>
      <c r="Z4983" t="str">
        <f t="shared" si="779"/>
        <v/>
      </c>
      <c r="AA4983">
        <f>IF($V4983="",N($AA4982),IF(MATCH($V4983,$V$6:$V$10005,0)=ROW()-5,N($AA4982)+1,N($AA4982)))</f>
        <v>0</v>
      </c>
    </row>
    <row r="4984" spans="1:27" ht="21" customHeight="1" x14ac:dyDescent="0.95">
      <c r="A4984" s="56"/>
      <c r="B4984" s="57"/>
      <c r="C4984" s="57"/>
      <c r="D4984" s="57"/>
      <c r="E4984" s="56"/>
      <c r="F4984" s="57"/>
      <c r="G4984" s="57"/>
      <c r="H4984" s="56"/>
      <c r="I4984" s="56"/>
      <c r="J4984" s="58"/>
      <c r="K4984" s="58"/>
      <c r="L4984" s="13" t="str">
        <f t="shared" si="770"/>
        <v/>
      </c>
      <c r="M4984" s="13" t="str">
        <f t="shared" si="771"/>
        <v/>
      </c>
      <c r="Q4984" t="str">
        <f t="shared" si="772"/>
        <v/>
      </c>
      <c r="R4984" t="str">
        <f t="shared" si="773"/>
        <v/>
      </c>
      <c r="S4984" t="str">
        <f t="shared" si="774"/>
        <v/>
      </c>
      <c r="T4984" t="str">
        <f t="shared" si="775"/>
        <v/>
      </c>
      <c r="U4984" t="str">
        <f t="shared" si="776"/>
        <v/>
      </c>
      <c r="V4984" t="str">
        <f t="shared" si="777"/>
        <v/>
      </c>
      <c r="W4984" t="str">
        <f t="shared" si="778"/>
        <v/>
      </c>
      <c r="X4984">
        <f>IF($T4984="",N($X4983),IF(MATCH($T4984,$T$6:$T$10005,0)=ROW()-5,N($X4983)+1,N($X4983)))</f>
        <v>0</v>
      </c>
      <c r="Z4984" t="str">
        <f t="shared" si="779"/>
        <v/>
      </c>
      <c r="AA4984">
        <f>IF($V4984="",N($AA4983),IF(MATCH($V4984,$V$6:$V$10005,0)=ROW()-5,N($AA4983)+1,N($AA4983)))</f>
        <v>0</v>
      </c>
    </row>
    <row r="4985" spans="1:27" ht="21" customHeight="1" x14ac:dyDescent="0.95">
      <c r="A4985" s="56"/>
      <c r="B4985" s="57"/>
      <c r="C4985" s="57"/>
      <c r="D4985" s="57"/>
      <c r="E4985" s="56"/>
      <c r="F4985" s="57"/>
      <c r="G4985" s="57"/>
      <c r="H4985" s="56"/>
      <c r="I4985" s="56"/>
      <c r="J4985" s="58"/>
      <c r="K4985" s="58"/>
      <c r="L4985" s="13" t="str">
        <f t="shared" si="770"/>
        <v/>
      </c>
      <c r="M4985" s="13" t="str">
        <f t="shared" si="771"/>
        <v/>
      </c>
      <c r="Q4985" t="str">
        <f t="shared" si="772"/>
        <v/>
      </c>
      <c r="R4985" t="str">
        <f t="shared" si="773"/>
        <v/>
      </c>
      <c r="S4985" t="str">
        <f t="shared" si="774"/>
        <v/>
      </c>
      <c r="T4985" t="str">
        <f t="shared" si="775"/>
        <v/>
      </c>
      <c r="U4985" t="str">
        <f t="shared" si="776"/>
        <v/>
      </c>
      <c r="V4985" t="str">
        <f t="shared" si="777"/>
        <v/>
      </c>
      <c r="W4985" t="str">
        <f t="shared" si="778"/>
        <v/>
      </c>
      <c r="X4985">
        <f>IF($T4985="",N($X4984),IF(MATCH($T4985,$T$6:$T$10005,0)=ROW()-5,N($X4984)+1,N($X4984)))</f>
        <v>0</v>
      </c>
      <c r="Z4985" t="str">
        <f t="shared" si="779"/>
        <v/>
      </c>
      <c r="AA4985">
        <f>IF($V4985="",N($AA4984),IF(MATCH($V4985,$V$6:$V$10005,0)=ROW()-5,N($AA4984)+1,N($AA4984)))</f>
        <v>0</v>
      </c>
    </row>
    <row r="4986" spans="1:27" ht="21" customHeight="1" x14ac:dyDescent="0.95">
      <c r="A4986" s="56"/>
      <c r="B4986" s="57"/>
      <c r="C4986" s="57"/>
      <c r="D4986" s="57"/>
      <c r="E4986" s="56"/>
      <c r="F4986" s="57"/>
      <c r="G4986" s="57"/>
      <c r="H4986" s="56"/>
      <c r="I4986" s="56"/>
      <c r="J4986" s="58"/>
      <c r="K4986" s="58"/>
      <c r="L4986" s="13" t="str">
        <f t="shared" si="770"/>
        <v/>
      </c>
      <c r="M4986" s="13" t="str">
        <f t="shared" si="771"/>
        <v/>
      </c>
      <c r="Q4986" t="str">
        <f t="shared" si="772"/>
        <v/>
      </c>
      <c r="R4986" t="str">
        <f t="shared" si="773"/>
        <v/>
      </c>
      <c r="S4986" t="str">
        <f t="shared" si="774"/>
        <v/>
      </c>
      <c r="T4986" t="str">
        <f t="shared" si="775"/>
        <v/>
      </c>
      <c r="U4986" t="str">
        <f t="shared" si="776"/>
        <v/>
      </c>
      <c r="V4986" t="str">
        <f t="shared" si="777"/>
        <v/>
      </c>
      <c r="W4986" t="str">
        <f t="shared" si="778"/>
        <v/>
      </c>
      <c r="X4986">
        <f>IF($T4986="",N($X4985),IF(MATCH($T4986,$T$6:$T$10005,0)=ROW()-5,N($X4985)+1,N($X4985)))</f>
        <v>0</v>
      </c>
      <c r="Z4986" t="str">
        <f t="shared" si="779"/>
        <v/>
      </c>
      <c r="AA4986">
        <f>IF($V4986="",N($AA4985),IF(MATCH($V4986,$V$6:$V$10005,0)=ROW()-5,N($AA4985)+1,N($AA4985)))</f>
        <v>0</v>
      </c>
    </row>
    <row r="4987" spans="1:27" ht="21" customHeight="1" x14ac:dyDescent="0.95">
      <c r="A4987" s="56"/>
      <c r="B4987" s="57"/>
      <c r="C4987" s="57"/>
      <c r="D4987" s="57"/>
      <c r="E4987" s="56"/>
      <c r="F4987" s="57"/>
      <c r="G4987" s="57"/>
      <c r="H4987" s="56"/>
      <c r="I4987" s="56"/>
      <c r="J4987" s="58"/>
      <c r="K4987" s="58"/>
      <c r="L4987" s="13" t="str">
        <f t="shared" si="770"/>
        <v/>
      </c>
      <c r="M4987" s="13" t="str">
        <f t="shared" si="771"/>
        <v/>
      </c>
      <c r="Q4987" t="str">
        <f t="shared" si="772"/>
        <v/>
      </c>
      <c r="R4987" t="str">
        <f t="shared" si="773"/>
        <v/>
      </c>
      <c r="S4987" t="str">
        <f t="shared" si="774"/>
        <v/>
      </c>
      <c r="T4987" t="str">
        <f t="shared" si="775"/>
        <v/>
      </c>
      <c r="U4987" t="str">
        <f t="shared" si="776"/>
        <v/>
      </c>
      <c r="V4987" t="str">
        <f t="shared" si="777"/>
        <v/>
      </c>
      <c r="W4987" t="str">
        <f t="shared" si="778"/>
        <v/>
      </c>
      <c r="X4987">
        <f>IF($T4987="",N($X4986),IF(MATCH($T4987,$T$6:$T$10005,0)=ROW()-5,N($X4986)+1,N($X4986)))</f>
        <v>0</v>
      </c>
      <c r="Z4987" t="str">
        <f t="shared" si="779"/>
        <v/>
      </c>
      <c r="AA4987">
        <f>IF($V4987="",N($AA4986),IF(MATCH($V4987,$V$6:$V$10005,0)=ROW()-5,N($AA4986)+1,N($AA4986)))</f>
        <v>0</v>
      </c>
    </row>
    <row r="4988" spans="1:27" ht="21" customHeight="1" x14ac:dyDescent="0.95">
      <c r="A4988" s="56"/>
      <c r="B4988" s="57"/>
      <c r="C4988" s="57"/>
      <c r="D4988" s="57"/>
      <c r="E4988" s="56"/>
      <c r="F4988" s="57"/>
      <c r="G4988" s="57"/>
      <c r="H4988" s="56"/>
      <c r="I4988" s="56"/>
      <c r="J4988" s="58"/>
      <c r="K4988" s="58"/>
      <c r="L4988" s="13" t="str">
        <f t="shared" si="770"/>
        <v/>
      </c>
      <c r="M4988" s="13" t="str">
        <f t="shared" si="771"/>
        <v/>
      </c>
      <c r="Q4988" t="str">
        <f t="shared" si="772"/>
        <v/>
      </c>
      <c r="R4988" t="str">
        <f t="shared" si="773"/>
        <v/>
      </c>
      <c r="S4988" t="str">
        <f t="shared" si="774"/>
        <v/>
      </c>
      <c r="T4988" t="str">
        <f t="shared" si="775"/>
        <v/>
      </c>
      <c r="U4988" t="str">
        <f t="shared" si="776"/>
        <v/>
      </c>
      <c r="V4988" t="str">
        <f t="shared" si="777"/>
        <v/>
      </c>
      <c r="W4988" t="str">
        <f t="shared" si="778"/>
        <v/>
      </c>
      <c r="X4988">
        <f>IF($T4988="",N($X4987),IF(MATCH($T4988,$T$6:$T$10005,0)=ROW()-5,N($X4987)+1,N($X4987)))</f>
        <v>0</v>
      </c>
      <c r="Z4988" t="str">
        <f t="shared" si="779"/>
        <v/>
      </c>
      <c r="AA4988">
        <f>IF($V4988="",N($AA4987),IF(MATCH($V4988,$V$6:$V$10005,0)=ROW()-5,N($AA4987)+1,N($AA4987)))</f>
        <v>0</v>
      </c>
    </row>
    <row r="4989" spans="1:27" ht="21" customHeight="1" x14ac:dyDescent="0.95">
      <c r="A4989" s="56"/>
      <c r="B4989" s="57"/>
      <c r="C4989" s="57"/>
      <c r="D4989" s="57"/>
      <c r="E4989" s="56"/>
      <c r="F4989" s="57"/>
      <c r="G4989" s="57"/>
      <c r="H4989" s="56"/>
      <c r="I4989" s="56"/>
      <c r="J4989" s="58"/>
      <c r="K4989" s="58"/>
      <c r="L4989" s="13" t="str">
        <f t="shared" si="770"/>
        <v/>
      </c>
      <c r="M4989" s="13" t="str">
        <f t="shared" si="771"/>
        <v/>
      </c>
      <c r="Q4989" t="str">
        <f t="shared" si="772"/>
        <v/>
      </c>
      <c r="R4989" t="str">
        <f t="shared" si="773"/>
        <v/>
      </c>
      <c r="S4989" t="str">
        <f t="shared" si="774"/>
        <v/>
      </c>
      <c r="T4989" t="str">
        <f t="shared" si="775"/>
        <v/>
      </c>
      <c r="U4989" t="str">
        <f t="shared" si="776"/>
        <v/>
      </c>
      <c r="V4989" t="str">
        <f t="shared" si="777"/>
        <v/>
      </c>
      <c r="W4989" t="str">
        <f t="shared" si="778"/>
        <v/>
      </c>
      <c r="X4989">
        <f>IF($T4989="",N($X4988),IF(MATCH($T4989,$T$6:$T$10005,0)=ROW()-5,N($X4988)+1,N($X4988)))</f>
        <v>0</v>
      </c>
      <c r="Z4989" t="str">
        <f t="shared" si="779"/>
        <v/>
      </c>
      <c r="AA4989">
        <f>IF($V4989="",N($AA4988),IF(MATCH($V4989,$V$6:$V$10005,0)=ROW()-5,N($AA4988)+1,N($AA4988)))</f>
        <v>0</v>
      </c>
    </row>
    <row r="4990" spans="1:27" ht="21" customHeight="1" x14ac:dyDescent="0.95">
      <c r="A4990" s="56"/>
      <c r="B4990" s="57"/>
      <c r="C4990" s="57"/>
      <c r="D4990" s="57"/>
      <c r="E4990" s="56"/>
      <c r="F4990" s="57"/>
      <c r="G4990" s="57"/>
      <c r="H4990" s="56"/>
      <c r="I4990" s="56"/>
      <c r="J4990" s="58"/>
      <c r="K4990" s="58"/>
      <c r="L4990" s="13" t="str">
        <f t="shared" si="770"/>
        <v/>
      </c>
      <c r="M4990" s="13" t="str">
        <f t="shared" si="771"/>
        <v/>
      </c>
      <c r="Q4990" t="str">
        <f t="shared" si="772"/>
        <v/>
      </c>
      <c r="R4990" t="str">
        <f t="shared" si="773"/>
        <v/>
      </c>
      <c r="S4990" t="str">
        <f t="shared" si="774"/>
        <v/>
      </c>
      <c r="T4990" t="str">
        <f t="shared" si="775"/>
        <v/>
      </c>
      <c r="U4990" t="str">
        <f t="shared" si="776"/>
        <v/>
      </c>
      <c r="V4990" t="str">
        <f t="shared" si="777"/>
        <v/>
      </c>
      <c r="W4990" t="str">
        <f t="shared" si="778"/>
        <v/>
      </c>
      <c r="X4990">
        <f>IF($T4990="",N($X4989),IF(MATCH($T4990,$T$6:$T$10005,0)=ROW()-5,N($X4989)+1,N($X4989)))</f>
        <v>0</v>
      </c>
      <c r="Z4990" t="str">
        <f t="shared" si="779"/>
        <v/>
      </c>
      <c r="AA4990">
        <f>IF($V4990="",N($AA4989),IF(MATCH($V4990,$V$6:$V$10005,0)=ROW()-5,N($AA4989)+1,N($AA4989)))</f>
        <v>0</v>
      </c>
    </row>
    <row r="4991" spans="1:27" ht="21" customHeight="1" x14ac:dyDescent="0.95">
      <c r="A4991" s="56"/>
      <c r="B4991" s="57"/>
      <c r="C4991" s="57"/>
      <c r="D4991" s="57"/>
      <c r="E4991" s="56"/>
      <c r="F4991" s="57"/>
      <c r="G4991" s="57"/>
      <c r="H4991" s="56"/>
      <c r="I4991" s="56"/>
      <c r="J4991" s="58"/>
      <c r="K4991" s="58"/>
      <c r="L4991" s="13" t="str">
        <f t="shared" si="770"/>
        <v/>
      </c>
      <c r="M4991" s="13" t="str">
        <f t="shared" si="771"/>
        <v/>
      </c>
      <c r="Q4991" t="str">
        <f t="shared" si="772"/>
        <v/>
      </c>
      <c r="R4991" t="str">
        <f t="shared" si="773"/>
        <v/>
      </c>
      <c r="S4991" t="str">
        <f t="shared" si="774"/>
        <v/>
      </c>
      <c r="T4991" t="str">
        <f t="shared" si="775"/>
        <v/>
      </c>
      <c r="U4991" t="str">
        <f t="shared" si="776"/>
        <v/>
      </c>
      <c r="V4991" t="str">
        <f t="shared" si="777"/>
        <v/>
      </c>
      <c r="W4991" t="str">
        <f t="shared" si="778"/>
        <v/>
      </c>
      <c r="X4991">
        <f>IF($T4991="",N($X4990),IF(MATCH($T4991,$T$6:$T$10005,0)=ROW()-5,N($X4990)+1,N($X4990)))</f>
        <v>0</v>
      </c>
      <c r="Z4991" t="str">
        <f t="shared" si="779"/>
        <v/>
      </c>
      <c r="AA4991">
        <f>IF($V4991="",N($AA4990),IF(MATCH($V4991,$V$6:$V$10005,0)=ROW()-5,N($AA4990)+1,N($AA4990)))</f>
        <v>0</v>
      </c>
    </row>
    <row r="4992" spans="1:27" ht="21" customHeight="1" x14ac:dyDescent="0.95">
      <c r="A4992" s="56"/>
      <c r="B4992" s="57"/>
      <c r="C4992" s="57"/>
      <c r="D4992" s="57"/>
      <c r="E4992" s="56"/>
      <c r="F4992" s="57"/>
      <c r="G4992" s="57"/>
      <c r="H4992" s="56"/>
      <c r="I4992" s="56"/>
      <c r="J4992" s="58"/>
      <c r="K4992" s="58"/>
      <c r="L4992" s="13" t="str">
        <f t="shared" si="770"/>
        <v/>
      </c>
      <c r="M4992" s="13" t="str">
        <f t="shared" si="771"/>
        <v/>
      </c>
      <c r="Q4992" t="str">
        <f t="shared" si="772"/>
        <v/>
      </c>
      <c r="R4992" t="str">
        <f t="shared" si="773"/>
        <v/>
      </c>
      <c r="S4992" t="str">
        <f t="shared" si="774"/>
        <v/>
      </c>
      <c r="T4992" t="str">
        <f t="shared" si="775"/>
        <v/>
      </c>
      <c r="U4992" t="str">
        <f t="shared" si="776"/>
        <v/>
      </c>
      <c r="V4992" t="str">
        <f t="shared" si="777"/>
        <v/>
      </c>
      <c r="W4992" t="str">
        <f t="shared" si="778"/>
        <v/>
      </c>
      <c r="X4992">
        <f>IF($T4992="",N($X4991),IF(MATCH($T4992,$T$6:$T$10005,0)=ROW()-5,N($X4991)+1,N($X4991)))</f>
        <v>0</v>
      </c>
      <c r="Z4992" t="str">
        <f t="shared" si="779"/>
        <v/>
      </c>
      <c r="AA4992">
        <f>IF($V4992="",N($AA4991),IF(MATCH($V4992,$V$6:$V$10005,0)=ROW()-5,N($AA4991)+1,N($AA4991)))</f>
        <v>0</v>
      </c>
    </row>
    <row r="4993" spans="1:27" ht="21" customHeight="1" x14ac:dyDescent="0.95">
      <c r="A4993" s="56"/>
      <c r="B4993" s="57"/>
      <c r="C4993" s="57"/>
      <c r="D4993" s="57"/>
      <c r="E4993" s="56"/>
      <c r="F4993" s="57"/>
      <c r="G4993" s="57"/>
      <c r="H4993" s="56"/>
      <c r="I4993" s="56"/>
      <c r="J4993" s="58"/>
      <c r="K4993" s="58"/>
      <c r="L4993" s="13" t="str">
        <f t="shared" si="770"/>
        <v/>
      </c>
      <c r="M4993" s="13" t="str">
        <f t="shared" si="771"/>
        <v/>
      </c>
      <c r="Q4993" t="str">
        <f t="shared" si="772"/>
        <v/>
      </c>
      <c r="R4993" t="str">
        <f t="shared" si="773"/>
        <v/>
      </c>
      <c r="S4993" t="str">
        <f t="shared" si="774"/>
        <v/>
      </c>
      <c r="T4993" t="str">
        <f t="shared" si="775"/>
        <v/>
      </c>
      <c r="U4993" t="str">
        <f t="shared" si="776"/>
        <v/>
      </c>
      <c r="V4993" t="str">
        <f t="shared" si="777"/>
        <v/>
      </c>
      <c r="W4993" t="str">
        <f t="shared" si="778"/>
        <v/>
      </c>
      <c r="X4993">
        <f>IF($T4993="",N($X4992),IF(MATCH($T4993,$T$6:$T$10005,0)=ROW()-5,N($X4992)+1,N($X4992)))</f>
        <v>0</v>
      </c>
      <c r="Z4993" t="str">
        <f t="shared" si="779"/>
        <v/>
      </c>
      <c r="AA4993">
        <f>IF($V4993="",N($AA4992),IF(MATCH($V4993,$V$6:$V$10005,0)=ROW()-5,N($AA4992)+1,N($AA4992)))</f>
        <v>0</v>
      </c>
    </row>
    <row r="4994" spans="1:27" ht="21" customHeight="1" x14ac:dyDescent="0.95">
      <c r="A4994" s="56"/>
      <c r="B4994" s="57"/>
      <c r="C4994" s="57"/>
      <c r="D4994" s="57"/>
      <c r="E4994" s="56"/>
      <c r="F4994" s="57"/>
      <c r="G4994" s="57"/>
      <c r="H4994" s="56"/>
      <c r="I4994" s="56"/>
      <c r="J4994" s="58"/>
      <c r="K4994" s="58"/>
      <c r="L4994" s="13" t="str">
        <f t="shared" si="770"/>
        <v/>
      </c>
      <c r="M4994" s="13" t="str">
        <f t="shared" si="771"/>
        <v/>
      </c>
      <c r="Q4994" t="str">
        <f t="shared" si="772"/>
        <v/>
      </c>
      <c r="R4994" t="str">
        <f t="shared" si="773"/>
        <v/>
      </c>
      <c r="S4994" t="str">
        <f t="shared" si="774"/>
        <v/>
      </c>
      <c r="T4994" t="str">
        <f t="shared" si="775"/>
        <v/>
      </c>
      <c r="U4994" t="str">
        <f t="shared" si="776"/>
        <v/>
      </c>
      <c r="V4994" t="str">
        <f t="shared" si="777"/>
        <v/>
      </c>
      <c r="W4994" t="str">
        <f t="shared" si="778"/>
        <v/>
      </c>
      <c r="X4994">
        <f>IF($T4994="",N($X4993),IF(MATCH($T4994,$T$6:$T$10005,0)=ROW()-5,N($X4993)+1,N($X4993)))</f>
        <v>0</v>
      </c>
      <c r="Z4994" t="str">
        <f t="shared" si="779"/>
        <v/>
      </c>
      <c r="AA4994">
        <f>IF($V4994="",N($AA4993),IF(MATCH($V4994,$V$6:$V$10005,0)=ROW()-5,N($AA4993)+1,N($AA4993)))</f>
        <v>0</v>
      </c>
    </row>
    <row r="4995" spans="1:27" ht="21" customHeight="1" x14ac:dyDescent="0.95">
      <c r="A4995" s="56"/>
      <c r="B4995" s="57"/>
      <c r="C4995" s="57"/>
      <c r="D4995" s="57"/>
      <c r="E4995" s="56"/>
      <c r="F4995" s="57"/>
      <c r="G4995" s="57"/>
      <c r="H4995" s="56"/>
      <c r="I4995" s="56"/>
      <c r="J4995" s="58"/>
      <c r="K4995" s="58"/>
      <c r="L4995" s="13" t="str">
        <f t="shared" si="770"/>
        <v/>
      </c>
      <c r="M4995" s="13" t="str">
        <f t="shared" si="771"/>
        <v/>
      </c>
      <c r="Q4995" t="str">
        <f t="shared" si="772"/>
        <v/>
      </c>
      <c r="R4995" t="str">
        <f t="shared" si="773"/>
        <v/>
      </c>
      <c r="S4995" t="str">
        <f t="shared" si="774"/>
        <v/>
      </c>
      <c r="T4995" t="str">
        <f t="shared" si="775"/>
        <v/>
      </c>
      <c r="U4995" t="str">
        <f t="shared" si="776"/>
        <v/>
      </c>
      <c r="V4995" t="str">
        <f t="shared" si="777"/>
        <v/>
      </c>
      <c r="W4995" t="str">
        <f t="shared" si="778"/>
        <v/>
      </c>
      <c r="X4995">
        <f>IF($T4995="",N($X4994),IF(MATCH($T4995,$T$6:$T$10005,0)=ROW()-5,N($X4994)+1,N($X4994)))</f>
        <v>0</v>
      </c>
      <c r="Z4995" t="str">
        <f t="shared" si="779"/>
        <v/>
      </c>
      <c r="AA4995">
        <f>IF($V4995="",N($AA4994),IF(MATCH($V4995,$V$6:$V$10005,0)=ROW()-5,N($AA4994)+1,N($AA4994)))</f>
        <v>0</v>
      </c>
    </row>
    <row r="4996" spans="1:27" ht="21" customHeight="1" x14ac:dyDescent="0.95">
      <c r="A4996" s="56"/>
      <c r="B4996" s="57"/>
      <c r="C4996" s="57"/>
      <c r="D4996" s="57"/>
      <c r="E4996" s="56"/>
      <c r="F4996" s="57"/>
      <c r="G4996" s="57"/>
      <c r="H4996" s="56"/>
      <c r="I4996" s="56"/>
      <c r="J4996" s="58"/>
      <c r="K4996" s="58"/>
      <c r="L4996" s="13" t="str">
        <f t="shared" si="770"/>
        <v/>
      </c>
      <c r="M4996" s="13" t="str">
        <f t="shared" si="771"/>
        <v/>
      </c>
      <c r="Q4996" t="str">
        <f t="shared" si="772"/>
        <v/>
      </c>
      <c r="R4996" t="str">
        <f t="shared" si="773"/>
        <v/>
      </c>
      <c r="S4996" t="str">
        <f t="shared" si="774"/>
        <v/>
      </c>
      <c r="T4996" t="str">
        <f t="shared" si="775"/>
        <v/>
      </c>
      <c r="U4996" t="str">
        <f t="shared" si="776"/>
        <v/>
      </c>
      <c r="V4996" t="str">
        <f t="shared" si="777"/>
        <v/>
      </c>
      <c r="W4996" t="str">
        <f t="shared" si="778"/>
        <v/>
      </c>
      <c r="X4996">
        <f>IF($T4996="",N($X4995),IF(MATCH($T4996,$T$6:$T$10005,0)=ROW()-5,N($X4995)+1,N($X4995)))</f>
        <v>0</v>
      </c>
      <c r="Z4996" t="str">
        <f t="shared" si="779"/>
        <v/>
      </c>
      <c r="AA4996">
        <f>IF($V4996="",N($AA4995),IF(MATCH($V4996,$V$6:$V$10005,0)=ROW()-5,N($AA4995)+1,N($AA4995)))</f>
        <v>0</v>
      </c>
    </row>
    <row r="4997" spans="1:27" ht="21" customHeight="1" x14ac:dyDescent="0.95">
      <c r="A4997" s="56"/>
      <c r="B4997" s="57"/>
      <c r="C4997" s="57"/>
      <c r="D4997" s="57"/>
      <c r="E4997" s="56"/>
      <c r="F4997" s="57"/>
      <c r="G4997" s="57"/>
      <c r="H4997" s="56"/>
      <c r="I4997" s="56"/>
      <c r="J4997" s="58"/>
      <c r="K4997" s="58"/>
      <c r="L4997" s="13" t="str">
        <f t="shared" si="770"/>
        <v/>
      </c>
      <c r="M4997" s="13" t="str">
        <f t="shared" si="771"/>
        <v/>
      </c>
      <c r="Q4997" t="str">
        <f t="shared" si="772"/>
        <v/>
      </c>
      <c r="R4997" t="str">
        <f t="shared" si="773"/>
        <v/>
      </c>
      <c r="S4997" t="str">
        <f t="shared" si="774"/>
        <v/>
      </c>
      <c r="T4997" t="str">
        <f t="shared" si="775"/>
        <v/>
      </c>
      <c r="U4997" t="str">
        <f t="shared" si="776"/>
        <v/>
      </c>
      <c r="V4997" t="str">
        <f t="shared" si="777"/>
        <v/>
      </c>
      <c r="W4997" t="str">
        <f t="shared" si="778"/>
        <v/>
      </c>
      <c r="X4997">
        <f>IF($T4997="",N($X4996),IF(MATCH($T4997,$T$6:$T$10005,0)=ROW()-5,N($X4996)+1,N($X4996)))</f>
        <v>0</v>
      </c>
      <c r="Z4997" t="str">
        <f t="shared" si="779"/>
        <v/>
      </c>
      <c r="AA4997">
        <f>IF($V4997="",N($AA4996),IF(MATCH($V4997,$V$6:$V$10005,0)=ROW()-5,N($AA4996)+1,N($AA4996)))</f>
        <v>0</v>
      </c>
    </row>
    <row r="4998" spans="1:27" ht="21" customHeight="1" x14ac:dyDescent="0.95">
      <c r="A4998" s="56"/>
      <c r="B4998" s="57"/>
      <c r="C4998" s="57"/>
      <c r="D4998" s="57"/>
      <c r="E4998" s="56"/>
      <c r="F4998" s="57"/>
      <c r="G4998" s="57"/>
      <c r="H4998" s="56"/>
      <c r="I4998" s="56"/>
      <c r="J4998" s="58"/>
      <c r="K4998" s="58"/>
      <c r="L4998" s="13" t="str">
        <f t="shared" ref="L4998:L5061" si="780">IF(OR($A4998="",AND($J4998="",$K4998="")),"",ROUND(N($J4998)-N($K4998),2))</f>
        <v/>
      </c>
      <c r="M4998" s="13" t="str">
        <f t="shared" ref="M4998:M5061" si="781">IF(OR($A4998="",AND($J4998="",$K4998="")),"",MIN($J4998,$K4998))</f>
        <v/>
      </c>
      <c r="Q4998" t="str">
        <f t="shared" ref="Q4998:Q5061" si="782">IF($A4998="","",$D4998&amp;"("&amp;SUBSTITUTE($E4998," ","")&amp;")")</f>
        <v/>
      </c>
      <c r="R4998" t="str">
        <f t="shared" ref="R4998:R5061" si="783">IF($A4998="","",$B4998&amp;" - "&amp;$C4998)</f>
        <v/>
      </c>
      <c r="S4998" t="str">
        <f t="shared" ref="S4998:S5061" si="784">IF($A4998="","",$R4998&amp;"|"&amp;$Q4998)</f>
        <v/>
      </c>
      <c r="T4998" t="str">
        <f t="shared" ref="T4998:T5061" si="785">IF($A4998="","",$S4998&amp;"|"&amp;$F4998)</f>
        <v/>
      </c>
      <c r="U4998" t="str">
        <f t="shared" ref="U4998:U5061" si="786">IF($A4998="","",$R4998&amp;"("&amp;$E4998&amp;")")</f>
        <v/>
      </c>
      <c r="V4998" t="str">
        <f t="shared" ref="V4998:V5061" si="787">IF($A4998="","",$F4998&amp;"|"&amp;$U4998&amp;"|"&amp;$D4998)</f>
        <v/>
      </c>
      <c r="W4998" t="str">
        <f t="shared" ref="W4998:W5061" si="788">IF($T4998="","",IF($X4998&gt;N($X4997),$X4998,""))</f>
        <v/>
      </c>
      <c r="X4998">
        <f>IF($T4998="",N($X4997),IF(MATCH($T4998,$T$6:$T$10005,0)=ROW()-5,N($X4997)+1,N($X4997)))</f>
        <v>0</v>
      </c>
      <c r="Z4998" t="str">
        <f t="shared" ref="Z4998:Z5061" si="789">IF($V4998="","",IF($AA4998&gt;N($AA4997),$AA4998,""))</f>
        <v/>
      </c>
      <c r="AA4998">
        <f>IF($V4998="",N($AA4997),IF(MATCH($V4998,$V$6:$V$10005,0)=ROW()-5,N($AA4997)+1,N($AA4997)))</f>
        <v>0</v>
      </c>
    </row>
    <row r="4999" spans="1:27" ht="21" customHeight="1" x14ac:dyDescent="0.95">
      <c r="A4999" s="56"/>
      <c r="B4999" s="57"/>
      <c r="C4999" s="57"/>
      <c r="D4999" s="57"/>
      <c r="E4999" s="56"/>
      <c r="F4999" s="57"/>
      <c r="G4999" s="57"/>
      <c r="H4999" s="56"/>
      <c r="I4999" s="56"/>
      <c r="J4999" s="58"/>
      <c r="K4999" s="58"/>
      <c r="L4999" s="13" t="str">
        <f t="shared" si="780"/>
        <v/>
      </c>
      <c r="M4999" s="13" t="str">
        <f t="shared" si="781"/>
        <v/>
      </c>
      <c r="Q4999" t="str">
        <f t="shared" si="782"/>
        <v/>
      </c>
      <c r="R4999" t="str">
        <f t="shared" si="783"/>
        <v/>
      </c>
      <c r="S4999" t="str">
        <f t="shared" si="784"/>
        <v/>
      </c>
      <c r="T4999" t="str">
        <f t="shared" si="785"/>
        <v/>
      </c>
      <c r="U4999" t="str">
        <f t="shared" si="786"/>
        <v/>
      </c>
      <c r="V4999" t="str">
        <f t="shared" si="787"/>
        <v/>
      </c>
      <c r="W4999" t="str">
        <f t="shared" si="788"/>
        <v/>
      </c>
      <c r="X4999">
        <f>IF($T4999="",N($X4998),IF(MATCH($T4999,$T$6:$T$10005,0)=ROW()-5,N($X4998)+1,N($X4998)))</f>
        <v>0</v>
      </c>
      <c r="Z4999" t="str">
        <f t="shared" si="789"/>
        <v/>
      </c>
      <c r="AA4999">
        <f>IF($V4999="",N($AA4998),IF(MATCH($V4999,$V$6:$V$10005,0)=ROW()-5,N($AA4998)+1,N($AA4998)))</f>
        <v>0</v>
      </c>
    </row>
    <row r="5000" spans="1:27" ht="21" customHeight="1" x14ac:dyDescent="0.95">
      <c r="A5000" s="56"/>
      <c r="B5000" s="57"/>
      <c r="C5000" s="57"/>
      <c r="D5000" s="57"/>
      <c r="E5000" s="56"/>
      <c r="F5000" s="57"/>
      <c r="G5000" s="57"/>
      <c r="H5000" s="56"/>
      <c r="I5000" s="56"/>
      <c r="J5000" s="58"/>
      <c r="K5000" s="58"/>
      <c r="L5000" s="13" t="str">
        <f t="shared" si="780"/>
        <v/>
      </c>
      <c r="M5000" s="13" t="str">
        <f t="shared" si="781"/>
        <v/>
      </c>
      <c r="Q5000" t="str">
        <f t="shared" si="782"/>
        <v/>
      </c>
      <c r="R5000" t="str">
        <f t="shared" si="783"/>
        <v/>
      </c>
      <c r="S5000" t="str">
        <f t="shared" si="784"/>
        <v/>
      </c>
      <c r="T5000" t="str">
        <f t="shared" si="785"/>
        <v/>
      </c>
      <c r="U5000" t="str">
        <f t="shared" si="786"/>
        <v/>
      </c>
      <c r="V5000" t="str">
        <f t="shared" si="787"/>
        <v/>
      </c>
      <c r="W5000" t="str">
        <f t="shared" si="788"/>
        <v/>
      </c>
      <c r="X5000">
        <f>IF($T5000="",N($X4999),IF(MATCH($T5000,$T$6:$T$10005,0)=ROW()-5,N($X4999)+1,N($X4999)))</f>
        <v>0</v>
      </c>
      <c r="Z5000" t="str">
        <f t="shared" si="789"/>
        <v/>
      </c>
      <c r="AA5000">
        <f>IF($V5000="",N($AA4999),IF(MATCH($V5000,$V$6:$V$10005,0)=ROW()-5,N($AA4999)+1,N($AA4999)))</f>
        <v>0</v>
      </c>
    </row>
    <row r="5001" spans="1:27" ht="21" customHeight="1" x14ac:dyDescent="0.95">
      <c r="A5001" s="56"/>
      <c r="B5001" s="57"/>
      <c r="C5001" s="57"/>
      <c r="D5001" s="57"/>
      <c r="E5001" s="56"/>
      <c r="F5001" s="57"/>
      <c r="G5001" s="57"/>
      <c r="H5001" s="56"/>
      <c r="I5001" s="56"/>
      <c r="J5001" s="58"/>
      <c r="K5001" s="58"/>
      <c r="L5001" s="13" t="str">
        <f t="shared" si="780"/>
        <v/>
      </c>
      <c r="M5001" s="13" t="str">
        <f t="shared" si="781"/>
        <v/>
      </c>
      <c r="Q5001" t="str">
        <f t="shared" si="782"/>
        <v/>
      </c>
      <c r="R5001" t="str">
        <f t="shared" si="783"/>
        <v/>
      </c>
      <c r="S5001" t="str">
        <f t="shared" si="784"/>
        <v/>
      </c>
      <c r="T5001" t="str">
        <f t="shared" si="785"/>
        <v/>
      </c>
      <c r="U5001" t="str">
        <f t="shared" si="786"/>
        <v/>
      </c>
      <c r="V5001" t="str">
        <f t="shared" si="787"/>
        <v/>
      </c>
      <c r="W5001" t="str">
        <f t="shared" si="788"/>
        <v/>
      </c>
      <c r="X5001">
        <f>IF($T5001="",N($X5000),IF(MATCH($T5001,$T$6:$T$10005,0)=ROW()-5,N($X5000)+1,N($X5000)))</f>
        <v>0</v>
      </c>
      <c r="Z5001" t="str">
        <f t="shared" si="789"/>
        <v/>
      </c>
      <c r="AA5001">
        <f>IF($V5001="",N($AA5000),IF(MATCH($V5001,$V$6:$V$10005,0)=ROW()-5,N($AA5000)+1,N($AA5000)))</f>
        <v>0</v>
      </c>
    </row>
    <row r="5002" spans="1:27" ht="21" customHeight="1" x14ac:dyDescent="0.95">
      <c r="A5002" s="56"/>
      <c r="B5002" s="57"/>
      <c r="C5002" s="57"/>
      <c r="D5002" s="57"/>
      <c r="E5002" s="56"/>
      <c r="F5002" s="57"/>
      <c r="G5002" s="57"/>
      <c r="H5002" s="56"/>
      <c r="I5002" s="56"/>
      <c r="J5002" s="58"/>
      <c r="K5002" s="58"/>
      <c r="L5002" s="13" t="str">
        <f t="shared" si="780"/>
        <v/>
      </c>
      <c r="M5002" s="13" t="str">
        <f t="shared" si="781"/>
        <v/>
      </c>
      <c r="Q5002" t="str">
        <f t="shared" si="782"/>
        <v/>
      </c>
      <c r="R5002" t="str">
        <f t="shared" si="783"/>
        <v/>
      </c>
      <c r="S5002" t="str">
        <f t="shared" si="784"/>
        <v/>
      </c>
      <c r="T5002" t="str">
        <f t="shared" si="785"/>
        <v/>
      </c>
      <c r="U5002" t="str">
        <f t="shared" si="786"/>
        <v/>
      </c>
      <c r="V5002" t="str">
        <f t="shared" si="787"/>
        <v/>
      </c>
      <c r="W5002" t="str">
        <f t="shared" si="788"/>
        <v/>
      </c>
      <c r="X5002">
        <f>IF($T5002="",N($X5001),IF(MATCH($T5002,$T$6:$T$10005,0)=ROW()-5,N($X5001)+1,N($X5001)))</f>
        <v>0</v>
      </c>
      <c r="Z5002" t="str">
        <f t="shared" si="789"/>
        <v/>
      </c>
      <c r="AA5002">
        <f>IF($V5002="",N($AA5001),IF(MATCH($V5002,$V$6:$V$10005,0)=ROW()-5,N($AA5001)+1,N($AA5001)))</f>
        <v>0</v>
      </c>
    </row>
    <row r="5003" spans="1:27" ht="21" customHeight="1" x14ac:dyDescent="0.95">
      <c r="A5003" s="56"/>
      <c r="B5003" s="57"/>
      <c r="C5003" s="57"/>
      <c r="D5003" s="57"/>
      <c r="E5003" s="56"/>
      <c r="F5003" s="57"/>
      <c r="G5003" s="57"/>
      <c r="H5003" s="56"/>
      <c r="I5003" s="56"/>
      <c r="J5003" s="58"/>
      <c r="K5003" s="58"/>
      <c r="L5003" s="13" t="str">
        <f t="shared" si="780"/>
        <v/>
      </c>
      <c r="M5003" s="13" t="str">
        <f t="shared" si="781"/>
        <v/>
      </c>
      <c r="Q5003" t="str">
        <f t="shared" si="782"/>
        <v/>
      </c>
      <c r="R5003" t="str">
        <f t="shared" si="783"/>
        <v/>
      </c>
      <c r="S5003" t="str">
        <f t="shared" si="784"/>
        <v/>
      </c>
      <c r="T5003" t="str">
        <f t="shared" si="785"/>
        <v/>
      </c>
      <c r="U5003" t="str">
        <f t="shared" si="786"/>
        <v/>
      </c>
      <c r="V5003" t="str">
        <f t="shared" si="787"/>
        <v/>
      </c>
      <c r="W5003" t="str">
        <f t="shared" si="788"/>
        <v/>
      </c>
      <c r="X5003">
        <f>IF($T5003="",N($X5002),IF(MATCH($T5003,$T$6:$T$10005,0)=ROW()-5,N($X5002)+1,N($X5002)))</f>
        <v>0</v>
      </c>
      <c r="Z5003" t="str">
        <f t="shared" si="789"/>
        <v/>
      </c>
      <c r="AA5003">
        <f>IF($V5003="",N($AA5002),IF(MATCH($V5003,$V$6:$V$10005,0)=ROW()-5,N($AA5002)+1,N($AA5002)))</f>
        <v>0</v>
      </c>
    </row>
    <row r="5004" spans="1:27" ht="21" customHeight="1" x14ac:dyDescent="0.95">
      <c r="A5004" s="56"/>
      <c r="B5004" s="57"/>
      <c r="C5004" s="57"/>
      <c r="D5004" s="57"/>
      <c r="E5004" s="56"/>
      <c r="F5004" s="57"/>
      <c r="G5004" s="57"/>
      <c r="H5004" s="56"/>
      <c r="I5004" s="56"/>
      <c r="J5004" s="58"/>
      <c r="K5004" s="58"/>
      <c r="L5004" s="13" t="str">
        <f t="shared" si="780"/>
        <v/>
      </c>
      <c r="M5004" s="13" t="str">
        <f t="shared" si="781"/>
        <v/>
      </c>
      <c r="Q5004" t="str">
        <f t="shared" si="782"/>
        <v/>
      </c>
      <c r="R5004" t="str">
        <f t="shared" si="783"/>
        <v/>
      </c>
      <c r="S5004" t="str">
        <f t="shared" si="784"/>
        <v/>
      </c>
      <c r="T5004" t="str">
        <f t="shared" si="785"/>
        <v/>
      </c>
      <c r="U5004" t="str">
        <f t="shared" si="786"/>
        <v/>
      </c>
      <c r="V5004" t="str">
        <f t="shared" si="787"/>
        <v/>
      </c>
      <c r="W5004" t="str">
        <f t="shared" si="788"/>
        <v/>
      </c>
      <c r="X5004">
        <f>IF($T5004="",N($X5003),IF(MATCH($T5004,$T$6:$T$10005,0)=ROW()-5,N($X5003)+1,N($X5003)))</f>
        <v>0</v>
      </c>
      <c r="Z5004" t="str">
        <f t="shared" si="789"/>
        <v/>
      </c>
      <c r="AA5004">
        <f>IF($V5004="",N($AA5003),IF(MATCH($V5004,$V$6:$V$10005,0)=ROW()-5,N($AA5003)+1,N($AA5003)))</f>
        <v>0</v>
      </c>
    </row>
    <row r="5005" spans="1:27" ht="21" customHeight="1" x14ac:dyDescent="0.95">
      <c r="A5005" s="56"/>
      <c r="B5005" s="57"/>
      <c r="C5005" s="57"/>
      <c r="D5005" s="57"/>
      <c r="E5005" s="56"/>
      <c r="F5005" s="57"/>
      <c r="G5005" s="57"/>
      <c r="H5005" s="56"/>
      <c r="I5005" s="56"/>
      <c r="J5005" s="58"/>
      <c r="K5005" s="58"/>
      <c r="L5005" s="13" t="str">
        <f t="shared" si="780"/>
        <v/>
      </c>
      <c r="M5005" s="13" t="str">
        <f t="shared" si="781"/>
        <v/>
      </c>
      <c r="Q5005" t="str">
        <f t="shared" si="782"/>
        <v/>
      </c>
      <c r="R5005" t="str">
        <f t="shared" si="783"/>
        <v/>
      </c>
      <c r="S5005" t="str">
        <f t="shared" si="784"/>
        <v/>
      </c>
      <c r="T5005" t="str">
        <f t="shared" si="785"/>
        <v/>
      </c>
      <c r="U5005" t="str">
        <f t="shared" si="786"/>
        <v/>
      </c>
      <c r="V5005" t="str">
        <f t="shared" si="787"/>
        <v/>
      </c>
      <c r="W5005" t="str">
        <f t="shared" si="788"/>
        <v/>
      </c>
      <c r="X5005">
        <f>IF($T5005="",N($X5004),IF(MATCH($T5005,$T$6:$T$10005,0)=ROW()-5,N($X5004)+1,N($X5004)))</f>
        <v>0</v>
      </c>
      <c r="Z5005" t="str">
        <f t="shared" si="789"/>
        <v/>
      </c>
      <c r="AA5005">
        <f>IF($V5005="",N($AA5004),IF(MATCH($V5005,$V$6:$V$10005,0)=ROW()-5,N($AA5004)+1,N($AA5004)))</f>
        <v>0</v>
      </c>
    </row>
    <row r="5006" spans="1:27" ht="21" customHeight="1" x14ac:dyDescent="0.95">
      <c r="A5006" s="56"/>
      <c r="B5006" s="57"/>
      <c r="C5006" s="57"/>
      <c r="D5006" s="57"/>
      <c r="E5006" s="56"/>
      <c r="F5006" s="57"/>
      <c r="G5006" s="57"/>
      <c r="H5006" s="56"/>
      <c r="I5006" s="56"/>
      <c r="J5006" s="58"/>
      <c r="K5006" s="58"/>
      <c r="L5006" s="13" t="str">
        <f t="shared" si="780"/>
        <v/>
      </c>
      <c r="M5006" s="13" t="str">
        <f t="shared" si="781"/>
        <v/>
      </c>
      <c r="Q5006" t="str">
        <f t="shared" si="782"/>
        <v/>
      </c>
      <c r="R5006" t="str">
        <f t="shared" si="783"/>
        <v/>
      </c>
      <c r="S5006" t="str">
        <f t="shared" si="784"/>
        <v/>
      </c>
      <c r="T5006" t="str">
        <f t="shared" si="785"/>
        <v/>
      </c>
      <c r="U5006" t="str">
        <f t="shared" si="786"/>
        <v/>
      </c>
      <c r="V5006" t="str">
        <f t="shared" si="787"/>
        <v/>
      </c>
      <c r="W5006" t="str">
        <f t="shared" si="788"/>
        <v/>
      </c>
      <c r="X5006">
        <f>IF($T5006="",N($X5005),IF(MATCH($T5006,$T$6:$T$10005,0)=ROW()-5,N($X5005)+1,N($X5005)))</f>
        <v>0</v>
      </c>
      <c r="Z5006" t="str">
        <f t="shared" si="789"/>
        <v/>
      </c>
      <c r="AA5006">
        <f>IF($V5006="",N($AA5005),IF(MATCH($V5006,$V$6:$V$10005,0)=ROW()-5,N($AA5005)+1,N($AA5005)))</f>
        <v>0</v>
      </c>
    </row>
    <row r="5007" spans="1:27" ht="21" customHeight="1" x14ac:dyDescent="0.95">
      <c r="A5007" s="56"/>
      <c r="B5007" s="57"/>
      <c r="C5007" s="57"/>
      <c r="D5007" s="57"/>
      <c r="E5007" s="56"/>
      <c r="F5007" s="57"/>
      <c r="G5007" s="57"/>
      <c r="H5007" s="56"/>
      <c r="I5007" s="56"/>
      <c r="J5007" s="58"/>
      <c r="K5007" s="58"/>
      <c r="L5007" s="13" t="str">
        <f t="shared" si="780"/>
        <v/>
      </c>
      <c r="M5007" s="13" t="str">
        <f t="shared" si="781"/>
        <v/>
      </c>
      <c r="Q5007" t="str">
        <f t="shared" si="782"/>
        <v/>
      </c>
      <c r="R5007" t="str">
        <f t="shared" si="783"/>
        <v/>
      </c>
      <c r="S5007" t="str">
        <f t="shared" si="784"/>
        <v/>
      </c>
      <c r="T5007" t="str">
        <f t="shared" si="785"/>
        <v/>
      </c>
      <c r="U5007" t="str">
        <f t="shared" si="786"/>
        <v/>
      </c>
      <c r="V5007" t="str">
        <f t="shared" si="787"/>
        <v/>
      </c>
      <c r="W5007" t="str">
        <f t="shared" si="788"/>
        <v/>
      </c>
      <c r="X5007">
        <f>IF($T5007="",N($X5006),IF(MATCH($T5007,$T$6:$T$10005,0)=ROW()-5,N($X5006)+1,N($X5006)))</f>
        <v>0</v>
      </c>
      <c r="Z5007" t="str">
        <f t="shared" si="789"/>
        <v/>
      </c>
      <c r="AA5007">
        <f>IF($V5007="",N($AA5006),IF(MATCH($V5007,$V$6:$V$10005,0)=ROW()-5,N($AA5006)+1,N($AA5006)))</f>
        <v>0</v>
      </c>
    </row>
    <row r="5008" spans="1:27" ht="21" customHeight="1" x14ac:dyDescent="0.95">
      <c r="A5008" s="56"/>
      <c r="B5008" s="57"/>
      <c r="C5008" s="57"/>
      <c r="D5008" s="57"/>
      <c r="E5008" s="56"/>
      <c r="F5008" s="57"/>
      <c r="G5008" s="57"/>
      <c r="H5008" s="56"/>
      <c r="I5008" s="56"/>
      <c r="J5008" s="58"/>
      <c r="K5008" s="58"/>
      <c r="L5008" s="13" t="str">
        <f t="shared" si="780"/>
        <v/>
      </c>
      <c r="M5008" s="13" t="str">
        <f t="shared" si="781"/>
        <v/>
      </c>
      <c r="Q5008" t="str">
        <f t="shared" si="782"/>
        <v/>
      </c>
      <c r="R5008" t="str">
        <f t="shared" si="783"/>
        <v/>
      </c>
      <c r="S5008" t="str">
        <f t="shared" si="784"/>
        <v/>
      </c>
      <c r="T5008" t="str">
        <f t="shared" si="785"/>
        <v/>
      </c>
      <c r="U5008" t="str">
        <f t="shared" si="786"/>
        <v/>
      </c>
      <c r="V5008" t="str">
        <f t="shared" si="787"/>
        <v/>
      </c>
      <c r="W5008" t="str">
        <f t="shared" si="788"/>
        <v/>
      </c>
      <c r="X5008">
        <f>IF($T5008="",N($X5007),IF(MATCH($T5008,$T$6:$T$10005,0)=ROW()-5,N($X5007)+1,N($X5007)))</f>
        <v>0</v>
      </c>
      <c r="Z5008" t="str">
        <f t="shared" si="789"/>
        <v/>
      </c>
      <c r="AA5008">
        <f>IF($V5008="",N($AA5007),IF(MATCH($V5008,$V$6:$V$10005,0)=ROW()-5,N($AA5007)+1,N($AA5007)))</f>
        <v>0</v>
      </c>
    </row>
    <row r="5009" spans="1:27" ht="21" customHeight="1" x14ac:dyDescent="0.95">
      <c r="A5009" s="56"/>
      <c r="B5009" s="57"/>
      <c r="C5009" s="57"/>
      <c r="D5009" s="57"/>
      <c r="E5009" s="56"/>
      <c r="F5009" s="57"/>
      <c r="G5009" s="57"/>
      <c r="H5009" s="56"/>
      <c r="I5009" s="56"/>
      <c r="J5009" s="58"/>
      <c r="K5009" s="58"/>
      <c r="L5009" s="13" t="str">
        <f t="shared" si="780"/>
        <v/>
      </c>
      <c r="M5009" s="13" t="str">
        <f t="shared" si="781"/>
        <v/>
      </c>
      <c r="Q5009" t="str">
        <f t="shared" si="782"/>
        <v/>
      </c>
      <c r="R5009" t="str">
        <f t="shared" si="783"/>
        <v/>
      </c>
      <c r="S5009" t="str">
        <f t="shared" si="784"/>
        <v/>
      </c>
      <c r="T5009" t="str">
        <f t="shared" si="785"/>
        <v/>
      </c>
      <c r="U5009" t="str">
        <f t="shared" si="786"/>
        <v/>
      </c>
      <c r="V5009" t="str">
        <f t="shared" si="787"/>
        <v/>
      </c>
      <c r="W5009" t="str">
        <f t="shared" si="788"/>
        <v/>
      </c>
      <c r="X5009">
        <f>IF($T5009="",N($X5008),IF(MATCH($T5009,$T$6:$T$10005,0)=ROW()-5,N($X5008)+1,N($X5008)))</f>
        <v>0</v>
      </c>
      <c r="Z5009" t="str">
        <f t="shared" si="789"/>
        <v/>
      </c>
      <c r="AA5009">
        <f>IF($V5009="",N($AA5008),IF(MATCH($V5009,$V$6:$V$10005,0)=ROW()-5,N($AA5008)+1,N($AA5008)))</f>
        <v>0</v>
      </c>
    </row>
    <row r="5010" spans="1:27" ht="21" customHeight="1" x14ac:dyDescent="0.95">
      <c r="A5010" s="56"/>
      <c r="B5010" s="57"/>
      <c r="C5010" s="57"/>
      <c r="D5010" s="57"/>
      <c r="E5010" s="56"/>
      <c r="F5010" s="57"/>
      <c r="G5010" s="57"/>
      <c r="H5010" s="56"/>
      <c r="I5010" s="56"/>
      <c r="J5010" s="58"/>
      <c r="K5010" s="58"/>
      <c r="L5010" s="13" t="str">
        <f t="shared" si="780"/>
        <v/>
      </c>
      <c r="M5010" s="13" t="str">
        <f t="shared" si="781"/>
        <v/>
      </c>
      <c r="Q5010" t="str">
        <f t="shared" si="782"/>
        <v/>
      </c>
      <c r="R5010" t="str">
        <f t="shared" si="783"/>
        <v/>
      </c>
      <c r="S5010" t="str">
        <f t="shared" si="784"/>
        <v/>
      </c>
      <c r="T5010" t="str">
        <f t="shared" si="785"/>
        <v/>
      </c>
      <c r="U5010" t="str">
        <f t="shared" si="786"/>
        <v/>
      </c>
      <c r="V5010" t="str">
        <f t="shared" si="787"/>
        <v/>
      </c>
      <c r="W5010" t="str">
        <f t="shared" si="788"/>
        <v/>
      </c>
      <c r="X5010">
        <f>IF($T5010="",N($X5009),IF(MATCH($T5010,$T$6:$T$10005,0)=ROW()-5,N($X5009)+1,N($X5009)))</f>
        <v>0</v>
      </c>
      <c r="Z5010" t="str">
        <f t="shared" si="789"/>
        <v/>
      </c>
      <c r="AA5010">
        <f>IF($V5010="",N($AA5009),IF(MATCH($V5010,$V$6:$V$10005,0)=ROW()-5,N($AA5009)+1,N($AA5009)))</f>
        <v>0</v>
      </c>
    </row>
    <row r="5011" spans="1:27" ht="21" customHeight="1" x14ac:dyDescent="0.95">
      <c r="A5011" s="56"/>
      <c r="B5011" s="57"/>
      <c r="C5011" s="57"/>
      <c r="D5011" s="57"/>
      <c r="E5011" s="56"/>
      <c r="F5011" s="57"/>
      <c r="G5011" s="57"/>
      <c r="H5011" s="56"/>
      <c r="I5011" s="56"/>
      <c r="J5011" s="58"/>
      <c r="K5011" s="58"/>
      <c r="L5011" s="13" t="str">
        <f t="shared" si="780"/>
        <v/>
      </c>
      <c r="M5011" s="13" t="str">
        <f t="shared" si="781"/>
        <v/>
      </c>
      <c r="Q5011" t="str">
        <f t="shared" si="782"/>
        <v/>
      </c>
      <c r="R5011" t="str">
        <f t="shared" si="783"/>
        <v/>
      </c>
      <c r="S5011" t="str">
        <f t="shared" si="784"/>
        <v/>
      </c>
      <c r="T5011" t="str">
        <f t="shared" si="785"/>
        <v/>
      </c>
      <c r="U5011" t="str">
        <f t="shared" si="786"/>
        <v/>
      </c>
      <c r="V5011" t="str">
        <f t="shared" si="787"/>
        <v/>
      </c>
      <c r="W5011" t="str">
        <f t="shared" si="788"/>
        <v/>
      </c>
      <c r="X5011">
        <f>IF($T5011="",N($X5010),IF(MATCH($T5011,$T$6:$T$10005,0)=ROW()-5,N($X5010)+1,N($X5010)))</f>
        <v>0</v>
      </c>
      <c r="Z5011" t="str">
        <f t="shared" si="789"/>
        <v/>
      </c>
      <c r="AA5011">
        <f>IF($V5011="",N($AA5010),IF(MATCH($V5011,$V$6:$V$10005,0)=ROW()-5,N($AA5010)+1,N($AA5010)))</f>
        <v>0</v>
      </c>
    </row>
    <row r="5012" spans="1:27" ht="21" customHeight="1" x14ac:dyDescent="0.95">
      <c r="A5012" s="56"/>
      <c r="B5012" s="57"/>
      <c r="C5012" s="57"/>
      <c r="D5012" s="57"/>
      <c r="E5012" s="56"/>
      <c r="F5012" s="57"/>
      <c r="G5012" s="57"/>
      <c r="H5012" s="56"/>
      <c r="I5012" s="56"/>
      <c r="J5012" s="58"/>
      <c r="K5012" s="58"/>
      <c r="L5012" s="13" t="str">
        <f t="shared" si="780"/>
        <v/>
      </c>
      <c r="M5012" s="13" t="str">
        <f t="shared" si="781"/>
        <v/>
      </c>
      <c r="Q5012" t="str">
        <f t="shared" si="782"/>
        <v/>
      </c>
      <c r="R5012" t="str">
        <f t="shared" si="783"/>
        <v/>
      </c>
      <c r="S5012" t="str">
        <f t="shared" si="784"/>
        <v/>
      </c>
      <c r="T5012" t="str">
        <f t="shared" si="785"/>
        <v/>
      </c>
      <c r="U5012" t="str">
        <f t="shared" si="786"/>
        <v/>
      </c>
      <c r="V5012" t="str">
        <f t="shared" si="787"/>
        <v/>
      </c>
      <c r="W5012" t="str">
        <f t="shared" si="788"/>
        <v/>
      </c>
      <c r="X5012">
        <f>IF($T5012="",N($X5011),IF(MATCH($T5012,$T$6:$T$10005,0)=ROW()-5,N($X5011)+1,N($X5011)))</f>
        <v>0</v>
      </c>
      <c r="Z5012" t="str">
        <f t="shared" si="789"/>
        <v/>
      </c>
      <c r="AA5012">
        <f>IF($V5012="",N($AA5011),IF(MATCH($V5012,$V$6:$V$10005,0)=ROW()-5,N($AA5011)+1,N($AA5011)))</f>
        <v>0</v>
      </c>
    </row>
    <row r="5013" spans="1:27" ht="21" customHeight="1" x14ac:dyDescent="0.95">
      <c r="A5013" s="56"/>
      <c r="B5013" s="57"/>
      <c r="C5013" s="57"/>
      <c r="D5013" s="57"/>
      <c r="E5013" s="56"/>
      <c r="F5013" s="57"/>
      <c r="G5013" s="57"/>
      <c r="H5013" s="56"/>
      <c r="I5013" s="56"/>
      <c r="J5013" s="58"/>
      <c r="K5013" s="58"/>
      <c r="L5013" s="13" t="str">
        <f t="shared" si="780"/>
        <v/>
      </c>
      <c r="M5013" s="13" t="str">
        <f t="shared" si="781"/>
        <v/>
      </c>
      <c r="Q5013" t="str">
        <f t="shared" si="782"/>
        <v/>
      </c>
      <c r="R5013" t="str">
        <f t="shared" si="783"/>
        <v/>
      </c>
      <c r="S5013" t="str">
        <f t="shared" si="784"/>
        <v/>
      </c>
      <c r="T5013" t="str">
        <f t="shared" si="785"/>
        <v/>
      </c>
      <c r="U5013" t="str">
        <f t="shared" si="786"/>
        <v/>
      </c>
      <c r="V5013" t="str">
        <f t="shared" si="787"/>
        <v/>
      </c>
      <c r="W5013" t="str">
        <f t="shared" si="788"/>
        <v/>
      </c>
      <c r="X5013">
        <f>IF($T5013="",N($X5012),IF(MATCH($T5013,$T$6:$T$10005,0)=ROW()-5,N($X5012)+1,N($X5012)))</f>
        <v>0</v>
      </c>
      <c r="Z5013" t="str">
        <f t="shared" si="789"/>
        <v/>
      </c>
      <c r="AA5013">
        <f>IF($V5013="",N($AA5012),IF(MATCH($V5013,$V$6:$V$10005,0)=ROW()-5,N($AA5012)+1,N($AA5012)))</f>
        <v>0</v>
      </c>
    </row>
    <row r="5014" spans="1:27" ht="21" customHeight="1" x14ac:dyDescent="0.95">
      <c r="A5014" s="56"/>
      <c r="B5014" s="57"/>
      <c r="C5014" s="57"/>
      <c r="D5014" s="57"/>
      <c r="E5014" s="56"/>
      <c r="F5014" s="57"/>
      <c r="G5014" s="57"/>
      <c r="H5014" s="56"/>
      <c r="I5014" s="56"/>
      <c r="J5014" s="58"/>
      <c r="K5014" s="58"/>
      <c r="L5014" s="13" t="str">
        <f t="shared" si="780"/>
        <v/>
      </c>
      <c r="M5014" s="13" t="str">
        <f t="shared" si="781"/>
        <v/>
      </c>
      <c r="Q5014" t="str">
        <f t="shared" si="782"/>
        <v/>
      </c>
      <c r="R5014" t="str">
        <f t="shared" si="783"/>
        <v/>
      </c>
      <c r="S5014" t="str">
        <f t="shared" si="784"/>
        <v/>
      </c>
      <c r="T5014" t="str">
        <f t="shared" si="785"/>
        <v/>
      </c>
      <c r="U5014" t="str">
        <f t="shared" si="786"/>
        <v/>
      </c>
      <c r="V5014" t="str">
        <f t="shared" si="787"/>
        <v/>
      </c>
      <c r="W5014" t="str">
        <f t="shared" si="788"/>
        <v/>
      </c>
      <c r="X5014">
        <f>IF($T5014="",N($X5013),IF(MATCH($T5014,$T$6:$T$10005,0)=ROW()-5,N($X5013)+1,N($X5013)))</f>
        <v>0</v>
      </c>
      <c r="Z5014" t="str">
        <f t="shared" si="789"/>
        <v/>
      </c>
      <c r="AA5014">
        <f>IF($V5014="",N($AA5013),IF(MATCH($V5014,$V$6:$V$10005,0)=ROW()-5,N($AA5013)+1,N($AA5013)))</f>
        <v>0</v>
      </c>
    </row>
    <row r="5015" spans="1:27" ht="21" customHeight="1" x14ac:dyDescent="0.95">
      <c r="A5015" s="56"/>
      <c r="B5015" s="57"/>
      <c r="C5015" s="57"/>
      <c r="D5015" s="57"/>
      <c r="E5015" s="56"/>
      <c r="F5015" s="57"/>
      <c r="G5015" s="57"/>
      <c r="H5015" s="56"/>
      <c r="I5015" s="56"/>
      <c r="J5015" s="58"/>
      <c r="K5015" s="58"/>
      <c r="L5015" s="13" t="str">
        <f t="shared" si="780"/>
        <v/>
      </c>
      <c r="M5015" s="13" t="str">
        <f t="shared" si="781"/>
        <v/>
      </c>
      <c r="Q5015" t="str">
        <f t="shared" si="782"/>
        <v/>
      </c>
      <c r="R5015" t="str">
        <f t="shared" si="783"/>
        <v/>
      </c>
      <c r="S5015" t="str">
        <f t="shared" si="784"/>
        <v/>
      </c>
      <c r="T5015" t="str">
        <f t="shared" si="785"/>
        <v/>
      </c>
      <c r="U5015" t="str">
        <f t="shared" si="786"/>
        <v/>
      </c>
      <c r="V5015" t="str">
        <f t="shared" si="787"/>
        <v/>
      </c>
      <c r="W5015" t="str">
        <f t="shared" si="788"/>
        <v/>
      </c>
      <c r="X5015">
        <f>IF($T5015="",N($X5014),IF(MATCH($T5015,$T$6:$T$10005,0)=ROW()-5,N($X5014)+1,N($X5014)))</f>
        <v>0</v>
      </c>
      <c r="Z5015" t="str">
        <f t="shared" si="789"/>
        <v/>
      </c>
      <c r="AA5015">
        <f>IF($V5015="",N($AA5014),IF(MATCH($V5015,$V$6:$V$10005,0)=ROW()-5,N($AA5014)+1,N($AA5014)))</f>
        <v>0</v>
      </c>
    </row>
    <row r="5016" spans="1:27" ht="21" customHeight="1" x14ac:dyDescent="0.95">
      <c r="A5016" s="56"/>
      <c r="B5016" s="57"/>
      <c r="C5016" s="57"/>
      <c r="D5016" s="57"/>
      <c r="E5016" s="56"/>
      <c r="F5016" s="57"/>
      <c r="G5016" s="57"/>
      <c r="H5016" s="56"/>
      <c r="I5016" s="56"/>
      <c r="J5016" s="58"/>
      <c r="K5016" s="58"/>
      <c r="L5016" s="13" t="str">
        <f t="shared" si="780"/>
        <v/>
      </c>
      <c r="M5016" s="13" t="str">
        <f t="shared" si="781"/>
        <v/>
      </c>
      <c r="Q5016" t="str">
        <f t="shared" si="782"/>
        <v/>
      </c>
      <c r="R5016" t="str">
        <f t="shared" si="783"/>
        <v/>
      </c>
      <c r="S5016" t="str">
        <f t="shared" si="784"/>
        <v/>
      </c>
      <c r="T5016" t="str">
        <f t="shared" si="785"/>
        <v/>
      </c>
      <c r="U5016" t="str">
        <f t="shared" si="786"/>
        <v/>
      </c>
      <c r="V5016" t="str">
        <f t="shared" si="787"/>
        <v/>
      </c>
      <c r="W5016" t="str">
        <f t="shared" si="788"/>
        <v/>
      </c>
      <c r="X5016">
        <f>IF($T5016="",N($X5015),IF(MATCH($T5016,$T$6:$T$10005,0)=ROW()-5,N($X5015)+1,N($X5015)))</f>
        <v>0</v>
      </c>
      <c r="Z5016" t="str">
        <f t="shared" si="789"/>
        <v/>
      </c>
      <c r="AA5016">
        <f>IF($V5016="",N($AA5015),IF(MATCH($V5016,$V$6:$V$10005,0)=ROW()-5,N($AA5015)+1,N($AA5015)))</f>
        <v>0</v>
      </c>
    </row>
    <row r="5017" spans="1:27" ht="21" customHeight="1" x14ac:dyDescent="0.95">
      <c r="A5017" s="56"/>
      <c r="B5017" s="57"/>
      <c r="C5017" s="57"/>
      <c r="D5017" s="57"/>
      <c r="E5017" s="56"/>
      <c r="F5017" s="57"/>
      <c r="G5017" s="57"/>
      <c r="H5017" s="56"/>
      <c r="I5017" s="56"/>
      <c r="J5017" s="58"/>
      <c r="K5017" s="58"/>
      <c r="L5017" s="13" t="str">
        <f t="shared" si="780"/>
        <v/>
      </c>
      <c r="M5017" s="13" t="str">
        <f t="shared" si="781"/>
        <v/>
      </c>
      <c r="Q5017" t="str">
        <f t="shared" si="782"/>
        <v/>
      </c>
      <c r="R5017" t="str">
        <f t="shared" si="783"/>
        <v/>
      </c>
      <c r="S5017" t="str">
        <f t="shared" si="784"/>
        <v/>
      </c>
      <c r="T5017" t="str">
        <f t="shared" si="785"/>
        <v/>
      </c>
      <c r="U5017" t="str">
        <f t="shared" si="786"/>
        <v/>
      </c>
      <c r="V5017" t="str">
        <f t="shared" si="787"/>
        <v/>
      </c>
      <c r="W5017" t="str">
        <f t="shared" si="788"/>
        <v/>
      </c>
      <c r="X5017">
        <f>IF($T5017="",N($X5016),IF(MATCH($T5017,$T$6:$T$10005,0)=ROW()-5,N($X5016)+1,N($X5016)))</f>
        <v>0</v>
      </c>
      <c r="Z5017" t="str">
        <f t="shared" si="789"/>
        <v/>
      </c>
      <c r="AA5017">
        <f>IF($V5017="",N($AA5016),IF(MATCH($V5017,$V$6:$V$10005,0)=ROW()-5,N($AA5016)+1,N($AA5016)))</f>
        <v>0</v>
      </c>
    </row>
    <row r="5018" spans="1:27" ht="21" customHeight="1" x14ac:dyDescent="0.95">
      <c r="A5018" s="56"/>
      <c r="B5018" s="57"/>
      <c r="C5018" s="57"/>
      <c r="D5018" s="57"/>
      <c r="E5018" s="56"/>
      <c r="F5018" s="57"/>
      <c r="G5018" s="57"/>
      <c r="H5018" s="56"/>
      <c r="I5018" s="56"/>
      <c r="J5018" s="58"/>
      <c r="K5018" s="58"/>
      <c r="L5018" s="13" t="str">
        <f t="shared" si="780"/>
        <v/>
      </c>
      <c r="M5018" s="13" t="str">
        <f t="shared" si="781"/>
        <v/>
      </c>
      <c r="Q5018" t="str">
        <f t="shared" si="782"/>
        <v/>
      </c>
      <c r="R5018" t="str">
        <f t="shared" si="783"/>
        <v/>
      </c>
      <c r="S5018" t="str">
        <f t="shared" si="784"/>
        <v/>
      </c>
      <c r="T5018" t="str">
        <f t="shared" si="785"/>
        <v/>
      </c>
      <c r="U5018" t="str">
        <f t="shared" si="786"/>
        <v/>
      </c>
      <c r="V5018" t="str">
        <f t="shared" si="787"/>
        <v/>
      </c>
      <c r="W5018" t="str">
        <f t="shared" si="788"/>
        <v/>
      </c>
      <c r="X5018">
        <f>IF($T5018="",N($X5017),IF(MATCH($T5018,$T$6:$T$10005,0)=ROW()-5,N($X5017)+1,N($X5017)))</f>
        <v>0</v>
      </c>
      <c r="Z5018" t="str">
        <f t="shared" si="789"/>
        <v/>
      </c>
      <c r="AA5018">
        <f>IF($V5018="",N($AA5017),IF(MATCH($V5018,$V$6:$V$10005,0)=ROW()-5,N($AA5017)+1,N($AA5017)))</f>
        <v>0</v>
      </c>
    </row>
    <row r="5019" spans="1:27" ht="21" customHeight="1" x14ac:dyDescent="0.95">
      <c r="A5019" s="56"/>
      <c r="B5019" s="57"/>
      <c r="C5019" s="57"/>
      <c r="D5019" s="57"/>
      <c r="E5019" s="56"/>
      <c r="F5019" s="57"/>
      <c r="G5019" s="57"/>
      <c r="H5019" s="56"/>
      <c r="I5019" s="56"/>
      <c r="J5019" s="58"/>
      <c r="K5019" s="58"/>
      <c r="L5019" s="13" t="str">
        <f t="shared" si="780"/>
        <v/>
      </c>
      <c r="M5019" s="13" t="str">
        <f t="shared" si="781"/>
        <v/>
      </c>
      <c r="Q5019" t="str">
        <f t="shared" si="782"/>
        <v/>
      </c>
      <c r="R5019" t="str">
        <f t="shared" si="783"/>
        <v/>
      </c>
      <c r="S5019" t="str">
        <f t="shared" si="784"/>
        <v/>
      </c>
      <c r="T5019" t="str">
        <f t="shared" si="785"/>
        <v/>
      </c>
      <c r="U5019" t="str">
        <f t="shared" si="786"/>
        <v/>
      </c>
      <c r="V5019" t="str">
        <f t="shared" si="787"/>
        <v/>
      </c>
      <c r="W5019" t="str">
        <f t="shared" si="788"/>
        <v/>
      </c>
      <c r="X5019">
        <f>IF($T5019="",N($X5018),IF(MATCH($T5019,$T$6:$T$10005,0)=ROW()-5,N($X5018)+1,N($X5018)))</f>
        <v>0</v>
      </c>
      <c r="Z5019" t="str">
        <f t="shared" si="789"/>
        <v/>
      </c>
      <c r="AA5019">
        <f>IF($V5019="",N($AA5018),IF(MATCH($V5019,$V$6:$V$10005,0)=ROW()-5,N($AA5018)+1,N($AA5018)))</f>
        <v>0</v>
      </c>
    </row>
    <row r="5020" spans="1:27" ht="21" customHeight="1" x14ac:dyDescent="0.95">
      <c r="A5020" s="56"/>
      <c r="B5020" s="57"/>
      <c r="C5020" s="57"/>
      <c r="D5020" s="57"/>
      <c r="E5020" s="56"/>
      <c r="F5020" s="57"/>
      <c r="G5020" s="57"/>
      <c r="H5020" s="56"/>
      <c r="I5020" s="56"/>
      <c r="J5020" s="58"/>
      <c r="K5020" s="58"/>
      <c r="L5020" s="13" t="str">
        <f t="shared" si="780"/>
        <v/>
      </c>
      <c r="M5020" s="13" t="str">
        <f t="shared" si="781"/>
        <v/>
      </c>
      <c r="Q5020" t="str">
        <f t="shared" si="782"/>
        <v/>
      </c>
      <c r="R5020" t="str">
        <f t="shared" si="783"/>
        <v/>
      </c>
      <c r="S5020" t="str">
        <f t="shared" si="784"/>
        <v/>
      </c>
      <c r="T5020" t="str">
        <f t="shared" si="785"/>
        <v/>
      </c>
      <c r="U5020" t="str">
        <f t="shared" si="786"/>
        <v/>
      </c>
      <c r="V5020" t="str">
        <f t="shared" si="787"/>
        <v/>
      </c>
      <c r="W5020" t="str">
        <f t="shared" si="788"/>
        <v/>
      </c>
      <c r="X5020">
        <f>IF($T5020="",N($X5019),IF(MATCH($T5020,$T$6:$T$10005,0)=ROW()-5,N($X5019)+1,N($X5019)))</f>
        <v>0</v>
      </c>
      <c r="Z5020" t="str">
        <f t="shared" si="789"/>
        <v/>
      </c>
      <c r="AA5020">
        <f>IF($V5020="",N($AA5019),IF(MATCH($V5020,$V$6:$V$10005,0)=ROW()-5,N($AA5019)+1,N($AA5019)))</f>
        <v>0</v>
      </c>
    </row>
    <row r="5021" spans="1:27" ht="21" customHeight="1" x14ac:dyDescent="0.95">
      <c r="A5021" s="56"/>
      <c r="B5021" s="57"/>
      <c r="C5021" s="57"/>
      <c r="D5021" s="57"/>
      <c r="E5021" s="56"/>
      <c r="F5021" s="57"/>
      <c r="G5021" s="57"/>
      <c r="H5021" s="56"/>
      <c r="I5021" s="56"/>
      <c r="J5021" s="58"/>
      <c r="K5021" s="58"/>
      <c r="L5021" s="13" t="str">
        <f t="shared" si="780"/>
        <v/>
      </c>
      <c r="M5021" s="13" t="str">
        <f t="shared" si="781"/>
        <v/>
      </c>
      <c r="Q5021" t="str">
        <f t="shared" si="782"/>
        <v/>
      </c>
      <c r="R5021" t="str">
        <f t="shared" si="783"/>
        <v/>
      </c>
      <c r="S5021" t="str">
        <f t="shared" si="784"/>
        <v/>
      </c>
      <c r="T5021" t="str">
        <f t="shared" si="785"/>
        <v/>
      </c>
      <c r="U5021" t="str">
        <f t="shared" si="786"/>
        <v/>
      </c>
      <c r="V5021" t="str">
        <f t="shared" si="787"/>
        <v/>
      </c>
      <c r="W5021" t="str">
        <f t="shared" si="788"/>
        <v/>
      </c>
      <c r="X5021">
        <f>IF($T5021="",N($X5020),IF(MATCH($T5021,$T$6:$T$10005,0)=ROW()-5,N($X5020)+1,N($X5020)))</f>
        <v>0</v>
      </c>
      <c r="Z5021" t="str">
        <f t="shared" si="789"/>
        <v/>
      </c>
      <c r="AA5021">
        <f>IF($V5021="",N($AA5020),IF(MATCH($V5021,$V$6:$V$10005,0)=ROW()-5,N($AA5020)+1,N($AA5020)))</f>
        <v>0</v>
      </c>
    </row>
    <row r="5022" spans="1:27" ht="21" customHeight="1" x14ac:dyDescent="0.95">
      <c r="A5022" s="56"/>
      <c r="B5022" s="57"/>
      <c r="C5022" s="57"/>
      <c r="D5022" s="57"/>
      <c r="E5022" s="56"/>
      <c r="F5022" s="57"/>
      <c r="G5022" s="57"/>
      <c r="H5022" s="56"/>
      <c r="I5022" s="56"/>
      <c r="J5022" s="58"/>
      <c r="K5022" s="58"/>
      <c r="L5022" s="13" t="str">
        <f t="shared" si="780"/>
        <v/>
      </c>
      <c r="M5022" s="13" t="str">
        <f t="shared" si="781"/>
        <v/>
      </c>
      <c r="Q5022" t="str">
        <f t="shared" si="782"/>
        <v/>
      </c>
      <c r="R5022" t="str">
        <f t="shared" si="783"/>
        <v/>
      </c>
      <c r="S5022" t="str">
        <f t="shared" si="784"/>
        <v/>
      </c>
      <c r="T5022" t="str">
        <f t="shared" si="785"/>
        <v/>
      </c>
      <c r="U5022" t="str">
        <f t="shared" si="786"/>
        <v/>
      </c>
      <c r="V5022" t="str">
        <f t="shared" si="787"/>
        <v/>
      </c>
      <c r="W5022" t="str">
        <f t="shared" si="788"/>
        <v/>
      </c>
      <c r="X5022">
        <f>IF($T5022="",N($X5021),IF(MATCH($T5022,$T$6:$T$10005,0)=ROW()-5,N($X5021)+1,N($X5021)))</f>
        <v>0</v>
      </c>
      <c r="Z5022" t="str">
        <f t="shared" si="789"/>
        <v/>
      </c>
      <c r="AA5022">
        <f>IF($V5022="",N($AA5021),IF(MATCH($V5022,$V$6:$V$10005,0)=ROW()-5,N($AA5021)+1,N($AA5021)))</f>
        <v>0</v>
      </c>
    </row>
    <row r="5023" spans="1:27" ht="21" customHeight="1" x14ac:dyDescent="0.95">
      <c r="A5023" s="56"/>
      <c r="B5023" s="57"/>
      <c r="C5023" s="57"/>
      <c r="D5023" s="57"/>
      <c r="E5023" s="56"/>
      <c r="F5023" s="57"/>
      <c r="G5023" s="57"/>
      <c r="H5023" s="56"/>
      <c r="I5023" s="56"/>
      <c r="J5023" s="58"/>
      <c r="K5023" s="58"/>
      <c r="L5023" s="13" t="str">
        <f t="shared" si="780"/>
        <v/>
      </c>
      <c r="M5023" s="13" t="str">
        <f t="shared" si="781"/>
        <v/>
      </c>
      <c r="Q5023" t="str">
        <f t="shared" si="782"/>
        <v/>
      </c>
      <c r="R5023" t="str">
        <f t="shared" si="783"/>
        <v/>
      </c>
      <c r="S5023" t="str">
        <f t="shared" si="784"/>
        <v/>
      </c>
      <c r="T5023" t="str">
        <f t="shared" si="785"/>
        <v/>
      </c>
      <c r="U5023" t="str">
        <f t="shared" si="786"/>
        <v/>
      </c>
      <c r="V5023" t="str">
        <f t="shared" si="787"/>
        <v/>
      </c>
      <c r="W5023" t="str">
        <f t="shared" si="788"/>
        <v/>
      </c>
      <c r="X5023">
        <f>IF($T5023="",N($X5022),IF(MATCH($T5023,$T$6:$T$10005,0)=ROW()-5,N($X5022)+1,N($X5022)))</f>
        <v>0</v>
      </c>
      <c r="Z5023" t="str">
        <f t="shared" si="789"/>
        <v/>
      </c>
      <c r="AA5023">
        <f>IF($V5023="",N($AA5022),IF(MATCH($V5023,$V$6:$V$10005,0)=ROW()-5,N($AA5022)+1,N($AA5022)))</f>
        <v>0</v>
      </c>
    </row>
    <row r="5024" spans="1:27" ht="21" customHeight="1" x14ac:dyDescent="0.95">
      <c r="A5024" s="56"/>
      <c r="B5024" s="57"/>
      <c r="C5024" s="57"/>
      <c r="D5024" s="57"/>
      <c r="E5024" s="56"/>
      <c r="F5024" s="57"/>
      <c r="G5024" s="57"/>
      <c r="H5024" s="56"/>
      <c r="I5024" s="56"/>
      <c r="J5024" s="58"/>
      <c r="K5024" s="58"/>
      <c r="L5024" s="13" t="str">
        <f t="shared" si="780"/>
        <v/>
      </c>
      <c r="M5024" s="13" t="str">
        <f t="shared" si="781"/>
        <v/>
      </c>
      <c r="Q5024" t="str">
        <f t="shared" si="782"/>
        <v/>
      </c>
      <c r="R5024" t="str">
        <f t="shared" si="783"/>
        <v/>
      </c>
      <c r="S5024" t="str">
        <f t="shared" si="784"/>
        <v/>
      </c>
      <c r="T5024" t="str">
        <f t="shared" si="785"/>
        <v/>
      </c>
      <c r="U5024" t="str">
        <f t="shared" si="786"/>
        <v/>
      </c>
      <c r="V5024" t="str">
        <f t="shared" si="787"/>
        <v/>
      </c>
      <c r="W5024" t="str">
        <f t="shared" si="788"/>
        <v/>
      </c>
      <c r="X5024">
        <f>IF($T5024="",N($X5023),IF(MATCH($T5024,$T$6:$T$10005,0)=ROW()-5,N($X5023)+1,N($X5023)))</f>
        <v>0</v>
      </c>
      <c r="Z5024" t="str">
        <f t="shared" si="789"/>
        <v/>
      </c>
      <c r="AA5024">
        <f>IF($V5024="",N($AA5023),IF(MATCH($V5024,$V$6:$V$10005,0)=ROW()-5,N($AA5023)+1,N($AA5023)))</f>
        <v>0</v>
      </c>
    </row>
    <row r="5025" spans="1:27" ht="21" customHeight="1" x14ac:dyDescent="0.95">
      <c r="A5025" s="56"/>
      <c r="B5025" s="57"/>
      <c r="C5025" s="57"/>
      <c r="D5025" s="57"/>
      <c r="E5025" s="56"/>
      <c r="F5025" s="57"/>
      <c r="G5025" s="57"/>
      <c r="H5025" s="56"/>
      <c r="I5025" s="56"/>
      <c r="J5025" s="58"/>
      <c r="K5025" s="58"/>
      <c r="L5025" s="13" t="str">
        <f t="shared" si="780"/>
        <v/>
      </c>
      <c r="M5025" s="13" t="str">
        <f t="shared" si="781"/>
        <v/>
      </c>
      <c r="Q5025" t="str">
        <f t="shared" si="782"/>
        <v/>
      </c>
      <c r="R5025" t="str">
        <f t="shared" si="783"/>
        <v/>
      </c>
      <c r="S5025" t="str">
        <f t="shared" si="784"/>
        <v/>
      </c>
      <c r="T5025" t="str">
        <f t="shared" si="785"/>
        <v/>
      </c>
      <c r="U5025" t="str">
        <f t="shared" si="786"/>
        <v/>
      </c>
      <c r="V5025" t="str">
        <f t="shared" si="787"/>
        <v/>
      </c>
      <c r="W5025" t="str">
        <f t="shared" si="788"/>
        <v/>
      </c>
      <c r="X5025">
        <f>IF($T5025="",N($X5024),IF(MATCH($T5025,$T$6:$T$10005,0)=ROW()-5,N($X5024)+1,N($X5024)))</f>
        <v>0</v>
      </c>
      <c r="Z5025" t="str">
        <f t="shared" si="789"/>
        <v/>
      </c>
      <c r="AA5025">
        <f>IF($V5025="",N($AA5024),IF(MATCH($V5025,$V$6:$V$10005,0)=ROW()-5,N($AA5024)+1,N($AA5024)))</f>
        <v>0</v>
      </c>
    </row>
    <row r="5026" spans="1:27" ht="21" customHeight="1" x14ac:dyDescent="0.95">
      <c r="A5026" s="56"/>
      <c r="B5026" s="57"/>
      <c r="C5026" s="57"/>
      <c r="D5026" s="57"/>
      <c r="E5026" s="56"/>
      <c r="F5026" s="57"/>
      <c r="G5026" s="57"/>
      <c r="H5026" s="56"/>
      <c r="I5026" s="56"/>
      <c r="J5026" s="58"/>
      <c r="K5026" s="58"/>
      <c r="L5026" s="13" t="str">
        <f t="shared" si="780"/>
        <v/>
      </c>
      <c r="M5026" s="13" t="str">
        <f t="shared" si="781"/>
        <v/>
      </c>
      <c r="Q5026" t="str">
        <f t="shared" si="782"/>
        <v/>
      </c>
      <c r="R5026" t="str">
        <f t="shared" si="783"/>
        <v/>
      </c>
      <c r="S5026" t="str">
        <f t="shared" si="784"/>
        <v/>
      </c>
      <c r="T5026" t="str">
        <f t="shared" si="785"/>
        <v/>
      </c>
      <c r="U5026" t="str">
        <f t="shared" si="786"/>
        <v/>
      </c>
      <c r="V5026" t="str">
        <f t="shared" si="787"/>
        <v/>
      </c>
      <c r="W5026" t="str">
        <f t="shared" si="788"/>
        <v/>
      </c>
      <c r="X5026">
        <f>IF($T5026="",N($X5025),IF(MATCH($T5026,$T$6:$T$10005,0)=ROW()-5,N($X5025)+1,N($X5025)))</f>
        <v>0</v>
      </c>
      <c r="Z5026" t="str">
        <f t="shared" si="789"/>
        <v/>
      </c>
      <c r="AA5026">
        <f>IF($V5026="",N($AA5025),IF(MATCH($V5026,$V$6:$V$10005,0)=ROW()-5,N($AA5025)+1,N($AA5025)))</f>
        <v>0</v>
      </c>
    </row>
    <row r="5027" spans="1:27" ht="21" customHeight="1" x14ac:dyDescent="0.95">
      <c r="A5027" s="56"/>
      <c r="B5027" s="57"/>
      <c r="C5027" s="57"/>
      <c r="D5027" s="57"/>
      <c r="E5027" s="56"/>
      <c r="F5027" s="57"/>
      <c r="G5027" s="57"/>
      <c r="H5027" s="56"/>
      <c r="I5027" s="56"/>
      <c r="J5027" s="58"/>
      <c r="K5027" s="58"/>
      <c r="L5027" s="13" t="str">
        <f t="shared" si="780"/>
        <v/>
      </c>
      <c r="M5027" s="13" t="str">
        <f t="shared" si="781"/>
        <v/>
      </c>
      <c r="Q5027" t="str">
        <f t="shared" si="782"/>
        <v/>
      </c>
      <c r="R5027" t="str">
        <f t="shared" si="783"/>
        <v/>
      </c>
      <c r="S5027" t="str">
        <f t="shared" si="784"/>
        <v/>
      </c>
      <c r="T5027" t="str">
        <f t="shared" si="785"/>
        <v/>
      </c>
      <c r="U5027" t="str">
        <f t="shared" si="786"/>
        <v/>
      </c>
      <c r="V5027" t="str">
        <f t="shared" si="787"/>
        <v/>
      </c>
      <c r="W5027" t="str">
        <f t="shared" si="788"/>
        <v/>
      </c>
      <c r="X5027">
        <f>IF($T5027="",N($X5026),IF(MATCH($T5027,$T$6:$T$10005,0)=ROW()-5,N($X5026)+1,N($X5026)))</f>
        <v>0</v>
      </c>
      <c r="Z5027" t="str">
        <f t="shared" si="789"/>
        <v/>
      </c>
      <c r="AA5027">
        <f>IF($V5027="",N($AA5026),IF(MATCH($V5027,$V$6:$V$10005,0)=ROW()-5,N($AA5026)+1,N($AA5026)))</f>
        <v>0</v>
      </c>
    </row>
    <row r="5028" spans="1:27" ht="21" customHeight="1" x14ac:dyDescent="0.95">
      <c r="A5028" s="56"/>
      <c r="B5028" s="57"/>
      <c r="C5028" s="57"/>
      <c r="D5028" s="57"/>
      <c r="E5028" s="56"/>
      <c r="F5028" s="57"/>
      <c r="G5028" s="57"/>
      <c r="H5028" s="56"/>
      <c r="I5028" s="56"/>
      <c r="J5028" s="58"/>
      <c r="K5028" s="58"/>
      <c r="L5028" s="13" t="str">
        <f t="shared" si="780"/>
        <v/>
      </c>
      <c r="M5028" s="13" t="str">
        <f t="shared" si="781"/>
        <v/>
      </c>
      <c r="Q5028" t="str">
        <f t="shared" si="782"/>
        <v/>
      </c>
      <c r="R5028" t="str">
        <f t="shared" si="783"/>
        <v/>
      </c>
      <c r="S5028" t="str">
        <f t="shared" si="784"/>
        <v/>
      </c>
      <c r="T5028" t="str">
        <f t="shared" si="785"/>
        <v/>
      </c>
      <c r="U5028" t="str">
        <f t="shared" si="786"/>
        <v/>
      </c>
      <c r="V5028" t="str">
        <f t="shared" si="787"/>
        <v/>
      </c>
      <c r="W5028" t="str">
        <f t="shared" si="788"/>
        <v/>
      </c>
      <c r="X5028">
        <f>IF($T5028="",N($X5027),IF(MATCH($T5028,$T$6:$T$10005,0)=ROW()-5,N($X5027)+1,N($X5027)))</f>
        <v>0</v>
      </c>
      <c r="Z5028" t="str">
        <f t="shared" si="789"/>
        <v/>
      </c>
      <c r="AA5028">
        <f>IF($V5028="",N($AA5027),IF(MATCH($V5028,$V$6:$V$10005,0)=ROW()-5,N($AA5027)+1,N($AA5027)))</f>
        <v>0</v>
      </c>
    </row>
    <row r="5029" spans="1:27" ht="21" customHeight="1" x14ac:dyDescent="0.95">
      <c r="A5029" s="56"/>
      <c r="B5029" s="57"/>
      <c r="C5029" s="57"/>
      <c r="D5029" s="57"/>
      <c r="E5029" s="56"/>
      <c r="F5029" s="57"/>
      <c r="G5029" s="57"/>
      <c r="H5029" s="56"/>
      <c r="I5029" s="56"/>
      <c r="J5029" s="58"/>
      <c r="K5029" s="58"/>
      <c r="L5029" s="13" t="str">
        <f t="shared" si="780"/>
        <v/>
      </c>
      <c r="M5029" s="13" t="str">
        <f t="shared" si="781"/>
        <v/>
      </c>
      <c r="Q5029" t="str">
        <f t="shared" si="782"/>
        <v/>
      </c>
      <c r="R5029" t="str">
        <f t="shared" si="783"/>
        <v/>
      </c>
      <c r="S5029" t="str">
        <f t="shared" si="784"/>
        <v/>
      </c>
      <c r="T5029" t="str">
        <f t="shared" si="785"/>
        <v/>
      </c>
      <c r="U5029" t="str">
        <f t="shared" si="786"/>
        <v/>
      </c>
      <c r="V5029" t="str">
        <f t="shared" si="787"/>
        <v/>
      </c>
      <c r="W5029" t="str">
        <f t="shared" si="788"/>
        <v/>
      </c>
      <c r="X5029">
        <f>IF($T5029="",N($X5028),IF(MATCH($T5029,$T$6:$T$10005,0)=ROW()-5,N($X5028)+1,N($X5028)))</f>
        <v>0</v>
      </c>
      <c r="Z5029" t="str">
        <f t="shared" si="789"/>
        <v/>
      </c>
      <c r="AA5029">
        <f>IF($V5029="",N($AA5028),IF(MATCH($V5029,$V$6:$V$10005,0)=ROW()-5,N($AA5028)+1,N($AA5028)))</f>
        <v>0</v>
      </c>
    </row>
    <row r="5030" spans="1:27" ht="21" customHeight="1" x14ac:dyDescent="0.95">
      <c r="A5030" s="56"/>
      <c r="B5030" s="57"/>
      <c r="C5030" s="57"/>
      <c r="D5030" s="57"/>
      <c r="E5030" s="56"/>
      <c r="F5030" s="57"/>
      <c r="G5030" s="57"/>
      <c r="H5030" s="56"/>
      <c r="I5030" s="56"/>
      <c r="J5030" s="58"/>
      <c r="K5030" s="58"/>
      <c r="L5030" s="13" t="str">
        <f t="shared" si="780"/>
        <v/>
      </c>
      <c r="M5030" s="13" t="str">
        <f t="shared" si="781"/>
        <v/>
      </c>
      <c r="Q5030" t="str">
        <f t="shared" si="782"/>
        <v/>
      </c>
      <c r="R5030" t="str">
        <f t="shared" si="783"/>
        <v/>
      </c>
      <c r="S5030" t="str">
        <f t="shared" si="784"/>
        <v/>
      </c>
      <c r="T5030" t="str">
        <f t="shared" si="785"/>
        <v/>
      </c>
      <c r="U5030" t="str">
        <f t="shared" si="786"/>
        <v/>
      </c>
      <c r="V5030" t="str">
        <f t="shared" si="787"/>
        <v/>
      </c>
      <c r="W5030" t="str">
        <f t="shared" si="788"/>
        <v/>
      </c>
      <c r="X5030">
        <f>IF($T5030="",N($X5029),IF(MATCH($T5030,$T$6:$T$10005,0)=ROW()-5,N($X5029)+1,N($X5029)))</f>
        <v>0</v>
      </c>
      <c r="Z5030" t="str">
        <f t="shared" si="789"/>
        <v/>
      </c>
      <c r="AA5030">
        <f>IF($V5030="",N($AA5029),IF(MATCH($V5030,$V$6:$V$10005,0)=ROW()-5,N($AA5029)+1,N($AA5029)))</f>
        <v>0</v>
      </c>
    </row>
    <row r="5031" spans="1:27" ht="21" customHeight="1" x14ac:dyDescent="0.95">
      <c r="A5031" s="56"/>
      <c r="B5031" s="57"/>
      <c r="C5031" s="57"/>
      <c r="D5031" s="57"/>
      <c r="E5031" s="56"/>
      <c r="F5031" s="57"/>
      <c r="G5031" s="57"/>
      <c r="H5031" s="56"/>
      <c r="I5031" s="56"/>
      <c r="J5031" s="58"/>
      <c r="K5031" s="58"/>
      <c r="L5031" s="13" t="str">
        <f t="shared" si="780"/>
        <v/>
      </c>
      <c r="M5031" s="13" t="str">
        <f t="shared" si="781"/>
        <v/>
      </c>
      <c r="Q5031" t="str">
        <f t="shared" si="782"/>
        <v/>
      </c>
      <c r="R5031" t="str">
        <f t="shared" si="783"/>
        <v/>
      </c>
      <c r="S5031" t="str">
        <f t="shared" si="784"/>
        <v/>
      </c>
      <c r="T5031" t="str">
        <f t="shared" si="785"/>
        <v/>
      </c>
      <c r="U5031" t="str">
        <f t="shared" si="786"/>
        <v/>
      </c>
      <c r="V5031" t="str">
        <f t="shared" si="787"/>
        <v/>
      </c>
      <c r="W5031" t="str">
        <f t="shared" si="788"/>
        <v/>
      </c>
      <c r="X5031">
        <f>IF($T5031="",N($X5030),IF(MATCH($T5031,$T$6:$T$10005,0)=ROW()-5,N($X5030)+1,N($X5030)))</f>
        <v>0</v>
      </c>
      <c r="Z5031" t="str">
        <f t="shared" si="789"/>
        <v/>
      </c>
      <c r="AA5031">
        <f>IF($V5031="",N($AA5030),IF(MATCH($V5031,$V$6:$V$10005,0)=ROW()-5,N($AA5030)+1,N($AA5030)))</f>
        <v>0</v>
      </c>
    </row>
    <row r="5032" spans="1:27" ht="21" customHeight="1" x14ac:dyDescent="0.95">
      <c r="A5032" s="56"/>
      <c r="B5032" s="57"/>
      <c r="C5032" s="57"/>
      <c r="D5032" s="57"/>
      <c r="E5032" s="56"/>
      <c r="F5032" s="57"/>
      <c r="G5032" s="57"/>
      <c r="H5032" s="56"/>
      <c r="I5032" s="56"/>
      <c r="J5032" s="58"/>
      <c r="K5032" s="58"/>
      <c r="L5032" s="13" t="str">
        <f t="shared" si="780"/>
        <v/>
      </c>
      <c r="M5032" s="13" t="str">
        <f t="shared" si="781"/>
        <v/>
      </c>
      <c r="Q5032" t="str">
        <f t="shared" si="782"/>
        <v/>
      </c>
      <c r="R5032" t="str">
        <f t="shared" si="783"/>
        <v/>
      </c>
      <c r="S5032" t="str">
        <f t="shared" si="784"/>
        <v/>
      </c>
      <c r="T5032" t="str">
        <f t="shared" si="785"/>
        <v/>
      </c>
      <c r="U5032" t="str">
        <f t="shared" si="786"/>
        <v/>
      </c>
      <c r="V5032" t="str">
        <f t="shared" si="787"/>
        <v/>
      </c>
      <c r="W5032" t="str">
        <f t="shared" si="788"/>
        <v/>
      </c>
      <c r="X5032">
        <f>IF($T5032="",N($X5031),IF(MATCH($T5032,$T$6:$T$10005,0)=ROW()-5,N($X5031)+1,N($X5031)))</f>
        <v>0</v>
      </c>
      <c r="Z5032" t="str">
        <f t="shared" si="789"/>
        <v/>
      </c>
      <c r="AA5032">
        <f>IF($V5032="",N($AA5031),IF(MATCH($V5032,$V$6:$V$10005,0)=ROW()-5,N($AA5031)+1,N($AA5031)))</f>
        <v>0</v>
      </c>
    </row>
    <row r="5033" spans="1:27" ht="21" customHeight="1" x14ac:dyDescent="0.95">
      <c r="A5033" s="56"/>
      <c r="B5033" s="57"/>
      <c r="C5033" s="57"/>
      <c r="D5033" s="57"/>
      <c r="E5033" s="56"/>
      <c r="F5033" s="57"/>
      <c r="G5033" s="57"/>
      <c r="H5033" s="56"/>
      <c r="I5033" s="56"/>
      <c r="J5033" s="58"/>
      <c r="K5033" s="58"/>
      <c r="L5033" s="13" t="str">
        <f t="shared" si="780"/>
        <v/>
      </c>
      <c r="M5033" s="13" t="str">
        <f t="shared" si="781"/>
        <v/>
      </c>
      <c r="Q5033" t="str">
        <f t="shared" si="782"/>
        <v/>
      </c>
      <c r="R5033" t="str">
        <f t="shared" si="783"/>
        <v/>
      </c>
      <c r="S5033" t="str">
        <f t="shared" si="784"/>
        <v/>
      </c>
      <c r="T5033" t="str">
        <f t="shared" si="785"/>
        <v/>
      </c>
      <c r="U5033" t="str">
        <f t="shared" si="786"/>
        <v/>
      </c>
      <c r="V5033" t="str">
        <f t="shared" si="787"/>
        <v/>
      </c>
      <c r="W5033" t="str">
        <f t="shared" si="788"/>
        <v/>
      </c>
      <c r="X5033">
        <f>IF($T5033="",N($X5032),IF(MATCH($T5033,$T$6:$T$10005,0)=ROW()-5,N($X5032)+1,N($X5032)))</f>
        <v>0</v>
      </c>
      <c r="Z5033" t="str">
        <f t="shared" si="789"/>
        <v/>
      </c>
      <c r="AA5033">
        <f>IF($V5033="",N($AA5032),IF(MATCH($V5033,$V$6:$V$10005,0)=ROW()-5,N($AA5032)+1,N($AA5032)))</f>
        <v>0</v>
      </c>
    </row>
    <row r="5034" spans="1:27" ht="21" customHeight="1" x14ac:dyDescent="0.95">
      <c r="A5034" s="56"/>
      <c r="B5034" s="57"/>
      <c r="C5034" s="57"/>
      <c r="D5034" s="57"/>
      <c r="E5034" s="56"/>
      <c r="F5034" s="57"/>
      <c r="G5034" s="57"/>
      <c r="H5034" s="56"/>
      <c r="I5034" s="56"/>
      <c r="J5034" s="58"/>
      <c r="K5034" s="58"/>
      <c r="L5034" s="13" t="str">
        <f t="shared" si="780"/>
        <v/>
      </c>
      <c r="M5034" s="13" t="str">
        <f t="shared" si="781"/>
        <v/>
      </c>
      <c r="Q5034" t="str">
        <f t="shared" si="782"/>
        <v/>
      </c>
      <c r="R5034" t="str">
        <f t="shared" si="783"/>
        <v/>
      </c>
      <c r="S5034" t="str">
        <f t="shared" si="784"/>
        <v/>
      </c>
      <c r="T5034" t="str">
        <f t="shared" si="785"/>
        <v/>
      </c>
      <c r="U5034" t="str">
        <f t="shared" si="786"/>
        <v/>
      </c>
      <c r="V5034" t="str">
        <f t="shared" si="787"/>
        <v/>
      </c>
      <c r="W5034" t="str">
        <f t="shared" si="788"/>
        <v/>
      </c>
      <c r="X5034">
        <f>IF($T5034="",N($X5033),IF(MATCH($T5034,$T$6:$T$10005,0)=ROW()-5,N($X5033)+1,N($X5033)))</f>
        <v>0</v>
      </c>
      <c r="Z5034" t="str">
        <f t="shared" si="789"/>
        <v/>
      </c>
      <c r="AA5034">
        <f>IF($V5034="",N($AA5033),IF(MATCH($V5034,$V$6:$V$10005,0)=ROW()-5,N($AA5033)+1,N($AA5033)))</f>
        <v>0</v>
      </c>
    </row>
    <row r="5035" spans="1:27" ht="21" customHeight="1" x14ac:dyDescent="0.95">
      <c r="A5035" s="56"/>
      <c r="B5035" s="57"/>
      <c r="C5035" s="57"/>
      <c r="D5035" s="57"/>
      <c r="E5035" s="56"/>
      <c r="F5035" s="57"/>
      <c r="G5035" s="57"/>
      <c r="H5035" s="56"/>
      <c r="I5035" s="56"/>
      <c r="J5035" s="58"/>
      <c r="K5035" s="58"/>
      <c r="L5035" s="13" t="str">
        <f t="shared" si="780"/>
        <v/>
      </c>
      <c r="M5035" s="13" t="str">
        <f t="shared" si="781"/>
        <v/>
      </c>
      <c r="Q5035" t="str">
        <f t="shared" si="782"/>
        <v/>
      </c>
      <c r="R5035" t="str">
        <f t="shared" si="783"/>
        <v/>
      </c>
      <c r="S5035" t="str">
        <f t="shared" si="784"/>
        <v/>
      </c>
      <c r="T5035" t="str">
        <f t="shared" si="785"/>
        <v/>
      </c>
      <c r="U5035" t="str">
        <f t="shared" si="786"/>
        <v/>
      </c>
      <c r="V5035" t="str">
        <f t="shared" si="787"/>
        <v/>
      </c>
      <c r="W5035" t="str">
        <f t="shared" si="788"/>
        <v/>
      </c>
      <c r="X5035">
        <f>IF($T5035="",N($X5034),IF(MATCH($T5035,$T$6:$T$10005,0)=ROW()-5,N($X5034)+1,N($X5034)))</f>
        <v>0</v>
      </c>
      <c r="Z5035" t="str">
        <f t="shared" si="789"/>
        <v/>
      </c>
      <c r="AA5035">
        <f>IF($V5035="",N($AA5034),IF(MATCH($V5035,$V$6:$V$10005,0)=ROW()-5,N($AA5034)+1,N($AA5034)))</f>
        <v>0</v>
      </c>
    </row>
    <row r="5036" spans="1:27" ht="21" customHeight="1" x14ac:dyDescent="0.95">
      <c r="A5036" s="56"/>
      <c r="B5036" s="57"/>
      <c r="C5036" s="57"/>
      <c r="D5036" s="57"/>
      <c r="E5036" s="56"/>
      <c r="F5036" s="57"/>
      <c r="G5036" s="57"/>
      <c r="H5036" s="56"/>
      <c r="I5036" s="56"/>
      <c r="J5036" s="58"/>
      <c r="K5036" s="58"/>
      <c r="L5036" s="13" t="str">
        <f t="shared" si="780"/>
        <v/>
      </c>
      <c r="M5036" s="13" t="str">
        <f t="shared" si="781"/>
        <v/>
      </c>
      <c r="Q5036" t="str">
        <f t="shared" si="782"/>
        <v/>
      </c>
      <c r="R5036" t="str">
        <f t="shared" si="783"/>
        <v/>
      </c>
      <c r="S5036" t="str">
        <f t="shared" si="784"/>
        <v/>
      </c>
      <c r="T5036" t="str">
        <f t="shared" si="785"/>
        <v/>
      </c>
      <c r="U5036" t="str">
        <f t="shared" si="786"/>
        <v/>
      </c>
      <c r="V5036" t="str">
        <f t="shared" si="787"/>
        <v/>
      </c>
      <c r="W5036" t="str">
        <f t="shared" si="788"/>
        <v/>
      </c>
      <c r="X5036">
        <f>IF($T5036="",N($X5035),IF(MATCH($T5036,$T$6:$T$10005,0)=ROW()-5,N($X5035)+1,N($X5035)))</f>
        <v>0</v>
      </c>
      <c r="Z5036" t="str">
        <f t="shared" si="789"/>
        <v/>
      </c>
      <c r="AA5036">
        <f>IF($V5036="",N($AA5035),IF(MATCH($V5036,$V$6:$V$10005,0)=ROW()-5,N($AA5035)+1,N($AA5035)))</f>
        <v>0</v>
      </c>
    </row>
    <row r="5037" spans="1:27" ht="21" customHeight="1" x14ac:dyDescent="0.95">
      <c r="A5037" s="56"/>
      <c r="B5037" s="57"/>
      <c r="C5037" s="57"/>
      <c r="D5037" s="57"/>
      <c r="E5037" s="56"/>
      <c r="F5037" s="57"/>
      <c r="G5037" s="57"/>
      <c r="H5037" s="56"/>
      <c r="I5037" s="56"/>
      <c r="J5037" s="58"/>
      <c r="K5037" s="58"/>
      <c r="L5037" s="13" t="str">
        <f t="shared" si="780"/>
        <v/>
      </c>
      <c r="M5037" s="13" t="str">
        <f t="shared" si="781"/>
        <v/>
      </c>
      <c r="Q5037" t="str">
        <f t="shared" si="782"/>
        <v/>
      </c>
      <c r="R5037" t="str">
        <f t="shared" si="783"/>
        <v/>
      </c>
      <c r="S5037" t="str">
        <f t="shared" si="784"/>
        <v/>
      </c>
      <c r="T5037" t="str">
        <f t="shared" si="785"/>
        <v/>
      </c>
      <c r="U5037" t="str">
        <f t="shared" si="786"/>
        <v/>
      </c>
      <c r="V5037" t="str">
        <f t="shared" si="787"/>
        <v/>
      </c>
      <c r="W5037" t="str">
        <f t="shared" si="788"/>
        <v/>
      </c>
      <c r="X5037">
        <f>IF($T5037="",N($X5036),IF(MATCH($T5037,$T$6:$T$10005,0)=ROW()-5,N($X5036)+1,N($X5036)))</f>
        <v>0</v>
      </c>
      <c r="Z5037" t="str">
        <f t="shared" si="789"/>
        <v/>
      </c>
      <c r="AA5037">
        <f>IF($V5037="",N($AA5036),IF(MATCH($V5037,$V$6:$V$10005,0)=ROW()-5,N($AA5036)+1,N($AA5036)))</f>
        <v>0</v>
      </c>
    </row>
    <row r="5038" spans="1:27" ht="21" customHeight="1" x14ac:dyDescent="0.95">
      <c r="A5038" s="56"/>
      <c r="B5038" s="57"/>
      <c r="C5038" s="57"/>
      <c r="D5038" s="57"/>
      <c r="E5038" s="56"/>
      <c r="F5038" s="57"/>
      <c r="G5038" s="57"/>
      <c r="H5038" s="56"/>
      <c r="I5038" s="56"/>
      <c r="J5038" s="58"/>
      <c r="K5038" s="58"/>
      <c r="L5038" s="13" t="str">
        <f t="shared" si="780"/>
        <v/>
      </c>
      <c r="M5038" s="13" t="str">
        <f t="shared" si="781"/>
        <v/>
      </c>
      <c r="Q5038" t="str">
        <f t="shared" si="782"/>
        <v/>
      </c>
      <c r="R5038" t="str">
        <f t="shared" si="783"/>
        <v/>
      </c>
      <c r="S5038" t="str">
        <f t="shared" si="784"/>
        <v/>
      </c>
      <c r="T5038" t="str">
        <f t="shared" si="785"/>
        <v/>
      </c>
      <c r="U5038" t="str">
        <f t="shared" si="786"/>
        <v/>
      </c>
      <c r="V5038" t="str">
        <f t="shared" si="787"/>
        <v/>
      </c>
      <c r="W5038" t="str">
        <f t="shared" si="788"/>
        <v/>
      </c>
      <c r="X5038">
        <f>IF($T5038="",N($X5037),IF(MATCH($T5038,$T$6:$T$10005,0)=ROW()-5,N($X5037)+1,N($X5037)))</f>
        <v>0</v>
      </c>
      <c r="Z5038" t="str">
        <f t="shared" si="789"/>
        <v/>
      </c>
      <c r="AA5038">
        <f>IF($V5038="",N($AA5037),IF(MATCH($V5038,$V$6:$V$10005,0)=ROW()-5,N($AA5037)+1,N($AA5037)))</f>
        <v>0</v>
      </c>
    </row>
    <row r="5039" spans="1:27" ht="21" customHeight="1" x14ac:dyDescent="0.95">
      <c r="A5039" s="56"/>
      <c r="B5039" s="57"/>
      <c r="C5039" s="57"/>
      <c r="D5039" s="57"/>
      <c r="E5039" s="56"/>
      <c r="F5039" s="57"/>
      <c r="G5039" s="57"/>
      <c r="H5039" s="56"/>
      <c r="I5039" s="56"/>
      <c r="J5039" s="58"/>
      <c r="K5039" s="58"/>
      <c r="L5039" s="13" t="str">
        <f t="shared" si="780"/>
        <v/>
      </c>
      <c r="M5039" s="13" t="str">
        <f t="shared" si="781"/>
        <v/>
      </c>
      <c r="Q5039" t="str">
        <f t="shared" si="782"/>
        <v/>
      </c>
      <c r="R5039" t="str">
        <f t="shared" si="783"/>
        <v/>
      </c>
      <c r="S5039" t="str">
        <f t="shared" si="784"/>
        <v/>
      </c>
      <c r="T5039" t="str">
        <f t="shared" si="785"/>
        <v/>
      </c>
      <c r="U5039" t="str">
        <f t="shared" si="786"/>
        <v/>
      </c>
      <c r="V5039" t="str">
        <f t="shared" si="787"/>
        <v/>
      </c>
      <c r="W5039" t="str">
        <f t="shared" si="788"/>
        <v/>
      </c>
      <c r="X5039">
        <f>IF($T5039="",N($X5038),IF(MATCH($T5039,$T$6:$T$10005,0)=ROW()-5,N($X5038)+1,N($X5038)))</f>
        <v>0</v>
      </c>
      <c r="Z5039" t="str">
        <f t="shared" si="789"/>
        <v/>
      </c>
      <c r="AA5039">
        <f>IF($V5039="",N($AA5038),IF(MATCH($V5039,$V$6:$V$10005,0)=ROW()-5,N($AA5038)+1,N($AA5038)))</f>
        <v>0</v>
      </c>
    </row>
    <row r="5040" spans="1:27" ht="21" customHeight="1" x14ac:dyDescent="0.95">
      <c r="A5040" s="56"/>
      <c r="B5040" s="57"/>
      <c r="C5040" s="57"/>
      <c r="D5040" s="57"/>
      <c r="E5040" s="56"/>
      <c r="F5040" s="57"/>
      <c r="G5040" s="57"/>
      <c r="H5040" s="56"/>
      <c r="I5040" s="56"/>
      <c r="J5040" s="58"/>
      <c r="K5040" s="58"/>
      <c r="L5040" s="13" t="str">
        <f t="shared" si="780"/>
        <v/>
      </c>
      <c r="M5040" s="13" t="str">
        <f t="shared" si="781"/>
        <v/>
      </c>
      <c r="Q5040" t="str">
        <f t="shared" si="782"/>
        <v/>
      </c>
      <c r="R5040" t="str">
        <f t="shared" si="783"/>
        <v/>
      </c>
      <c r="S5040" t="str">
        <f t="shared" si="784"/>
        <v/>
      </c>
      <c r="T5040" t="str">
        <f t="shared" si="785"/>
        <v/>
      </c>
      <c r="U5040" t="str">
        <f t="shared" si="786"/>
        <v/>
      </c>
      <c r="V5040" t="str">
        <f t="shared" si="787"/>
        <v/>
      </c>
      <c r="W5040" t="str">
        <f t="shared" si="788"/>
        <v/>
      </c>
      <c r="X5040">
        <f>IF($T5040="",N($X5039),IF(MATCH($T5040,$T$6:$T$10005,0)=ROW()-5,N($X5039)+1,N($X5039)))</f>
        <v>0</v>
      </c>
      <c r="Z5040" t="str">
        <f t="shared" si="789"/>
        <v/>
      </c>
      <c r="AA5040">
        <f>IF($V5040="",N($AA5039),IF(MATCH($V5040,$V$6:$V$10005,0)=ROW()-5,N($AA5039)+1,N($AA5039)))</f>
        <v>0</v>
      </c>
    </row>
    <row r="5041" spans="1:27" ht="21" customHeight="1" x14ac:dyDescent="0.95">
      <c r="A5041" s="56"/>
      <c r="B5041" s="57"/>
      <c r="C5041" s="57"/>
      <c r="D5041" s="57"/>
      <c r="E5041" s="56"/>
      <c r="F5041" s="57"/>
      <c r="G5041" s="57"/>
      <c r="H5041" s="56"/>
      <c r="I5041" s="56"/>
      <c r="J5041" s="58"/>
      <c r="K5041" s="58"/>
      <c r="L5041" s="13" t="str">
        <f t="shared" si="780"/>
        <v/>
      </c>
      <c r="M5041" s="13" t="str">
        <f t="shared" si="781"/>
        <v/>
      </c>
      <c r="Q5041" t="str">
        <f t="shared" si="782"/>
        <v/>
      </c>
      <c r="R5041" t="str">
        <f t="shared" si="783"/>
        <v/>
      </c>
      <c r="S5041" t="str">
        <f t="shared" si="784"/>
        <v/>
      </c>
      <c r="T5041" t="str">
        <f t="shared" si="785"/>
        <v/>
      </c>
      <c r="U5041" t="str">
        <f t="shared" si="786"/>
        <v/>
      </c>
      <c r="V5041" t="str">
        <f t="shared" si="787"/>
        <v/>
      </c>
      <c r="W5041" t="str">
        <f t="shared" si="788"/>
        <v/>
      </c>
      <c r="X5041">
        <f>IF($T5041="",N($X5040),IF(MATCH($T5041,$T$6:$T$10005,0)=ROW()-5,N($X5040)+1,N($X5040)))</f>
        <v>0</v>
      </c>
      <c r="Z5041" t="str">
        <f t="shared" si="789"/>
        <v/>
      </c>
      <c r="AA5041">
        <f>IF($V5041="",N($AA5040),IF(MATCH($V5041,$V$6:$V$10005,0)=ROW()-5,N($AA5040)+1,N($AA5040)))</f>
        <v>0</v>
      </c>
    </row>
    <row r="5042" spans="1:27" ht="21" customHeight="1" x14ac:dyDescent="0.95">
      <c r="A5042" s="56"/>
      <c r="B5042" s="57"/>
      <c r="C5042" s="57"/>
      <c r="D5042" s="57"/>
      <c r="E5042" s="56"/>
      <c r="F5042" s="57"/>
      <c r="G5042" s="57"/>
      <c r="H5042" s="56"/>
      <c r="I5042" s="56"/>
      <c r="J5042" s="58"/>
      <c r="K5042" s="58"/>
      <c r="L5042" s="13" t="str">
        <f t="shared" si="780"/>
        <v/>
      </c>
      <c r="M5042" s="13" t="str">
        <f t="shared" si="781"/>
        <v/>
      </c>
      <c r="Q5042" t="str">
        <f t="shared" si="782"/>
        <v/>
      </c>
      <c r="R5042" t="str">
        <f t="shared" si="783"/>
        <v/>
      </c>
      <c r="S5042" t="str">
        <f t="shared" si="784"/>
        <v/>
      </c>
      <c r="T5042" t="str">
        <f t="shared" si="785"/>
        <v/>
      </c>
      <c r="U5042" t="str">
        <f t="shared" si="786"/>
        <v/>
      </c>
      <c r="V5042" t="str">
        <f t="shared" si="787"/>
        <v/>
      </c>
      <c r="W5042" t="str">
        <f t="shared" si="788"/>
        <v/>
      </c>
      <c r="X5042">
        <f>IF($T5042="",N($X5041),IF(MATCH($T5042,$T$6:$T$10005,0)=ROW()-5,N($X5041)+1,N($X5041)))</f>
        <v>0</v>
      </c>
      <c r="Z5042" t="str">
        <f t="shared" si="789"/>
        <v/>
      </c>
      <c r="AA5042">
        <f>IF($V5042="",N($AA5041),IF(MATCH($V5042,$V$6:$V$10005,0)=ROW()-5,N($AA5041)+1,N($AA5041)))</f>
        <v>0</v>
      </c>
    </row>
    <row r="5043" spans="1:27" ht="21" customHeight="1" x14ac:dyDescent="0.95">
      <c r="A5043" s="56"/>
      <c r="B5043" s="57"/>
      <c r="C5043" s="57"/>
      <c r="D5043" s="57"/>
      <c r="E5043" s="56"/>
      <c r="F5043" s="57"/>
      <c r="G5043" s="57"/>
      <c r="H5043" s="56"/>
      <c r="I5043" s="56"/>
      <c r="J5043" s="58"/>
      <c r="K5043" s="58"/>
      <c r="L5043" s="13" t="str">
        <f t="shared" si="780"/>
        <v/>
      </c>
      <c r="M5043" s="13" t="str">
        <f t="shared" si="781"/>
        <v/>
      </c>
      <c r="Q5043" t="str">
        <f t="shared" si="782"/>
        <v/>
      </c>
      <c r="R5043" t="str">
        <f t="shared" si="783"/>
        <v/>
      </c>
      <c r="S5043" t="str">
        <f t="shared" si="784"/>
        <v/>
      </c>
      <c r="T5043" t="str">
        <f t="shared" si="785"/>
        <v/>
      </c>
      <c r="U5043" t="str">
        <f t="shared" si="786"/>
        <v/>
      </c>
      <c r="V5043" t="str">
        <f t="shared" si="787"/>
        <v/>
      </c>
      <c r="W5043" t="str">
        <f t="shared" si="788"/>
        <v/>
      </c>
      <c r="X5043">
        <f>IF($T5043="",N($X5042),IF(MATCH($T5043,$T$6:$T$10005,0)=ROW()-5,N($X5042)+1,N($X5042)))</f>
        <v>0</v>
      </c>
      <c r="Z5043" t="str">
        <f t="shared" si="789"/>
        <v/>
      </c>
      <c r="AA5043">
        <f>IF($V5043="",N($AA5042),IF(MATCH($V5043,$V$6:$V$10005,0)=ROW()-5,N($AA5042)+1,N($AA5042)))</f>
        <v>0</v>
      </c>
    </row>
    <row r="5044" spans="1:27" ht="21" customHeight="1" x14ac:dyDescent="0.95">
      <c r="A5044" s="56"/>
      <c r="B5044" s="57"/>
      <c r="C5044" s="57"/>
      <c r="D5044" s="57"/>
      <c r="E5044" s="56"/>
      <c r="F5044" s="57"/>
      <c r="G5044" s="57"/>
      <c r="H5044" s="56"/>
      <c r="I5044" s="56"/>
      <c r="J5044" s="58"/>
      <c r="K5044" s="58"/>
      <c r="L5044" s="13" t="str">
        <f t="shared" si="780"/>
        <v/>
      </c>
      <c r="M5044" s="13" t="str">
        <f t="shared" si="781"/>
        <v/>
      </c>
      <c r="Q5044" t="str">
        <f t="shared" si="782"/>
        <v/>
      </c>
      <c r="R5044" t="str">
        <f t="shared" si="783"/>
        <v/>
      </c>
      <c r="S5044" t="str">
        <f t="shared" si="784"/>
        <v/>
      </c>
      <c r="T5044" t="str">
        <f t="shared" si="785"/>
        <v/>
      </c>
      <c r="U5044" t="str">
        <f t="shared" si="786"/>
        <v/>
      </c>
      <c r="V5044" t="str">
        <f t="shared" si="787"/>
        <v/>
      </c>
      <c r="W5044" t="str">
        <f t="shared" si="788"/>
        <v/>
      </c>
      <c r="X5044">
        <f>IF($T5044="",N($X5043),IF(MATCH($T5044,$T$6:$T$10005,0)=ROW()-5,N($X5043)+1,N($X5043)))</f>
        <v>0</v>
      </c>
      <c r="Z5044" t="str">
        <f t="shared" si="789"/>
        <v/>
      </c>
      <c r="AA5044">
        <f>IF($V5044="",N($AA5043),IF(MATCH($V5044,$V$6:$V$10005,0)=ROW()-5,N($AA5043)+1,N($AA5043)))</f>
        <v>0</v>
      </c>
    </row>
    <row r="5045" spans="1:27" ht="21" customHeight="1" x14ac:dyDescent="0.95">
      <c r="A5045" s="56"/>
      <c r="B5045" s="57"/>
      <c r="C5045" s="57"/>
      <c r="D5045" s="57"/>
      <c r="E5045" s="56"/>
      <c r="F5045" s="57"/>
      <c r="G5045" s="57"/>
      <c r="H5045" s="56"/>
      <c r="I5045" s="56"/>
      <c r="J5045" s="58"/>
      <c r="K5045" s="58"/>
      <c r="L5045" s="13" t="str">
        <f t="shared" si="780"/>
        <v/>
      </c>
      <c r="M5045" s="13" t="str">
        <f t="shared" si="781"/>
        <v/>
      </c>
      <c r="Q5045" t="str">
        <f t="shared" si="782"/>
        <v/>
      </c>
      <c r="R5045" t="str">
        <f t="shared" si="783"/>
        <v/>
      </c>
      <c r="S5045" t="str">
        <f t="shared" si="784"/>
        <v/>
      </c>
      <c r="T5045" t="str">
        <f t="shared" si="785"/>
        <v/>
      </c>
      <c r="U5045" t="str">
        <f t="shared" si="786"/>
        <v/>
      </c>
      <c r="V5045" t="str">
        <f t="shared" si="787"/>
        <v/>
      </c>
      <c r="W5045" t="str">
        <f t="shared" si="788"/>
        <v/>
      </c>
      <c r="X5045">
        <f>IF($T5045="",N($X5044),IF(MATCH($T5045,$T$6:$T$10005,0)=ROW()-5,N($X5044)+1,N($X5044)))</f>
        <v>0</v>
      </c>
      <c r="Z5045" t="str">
        <f t="shared" si="789"/>
        <v/>
      </c>
      <c r="AA5045">
        <f>IF($V5045="",N($AA5044),IF(MATCH($V5045,$V$6:$V$10005,0)=ROW()-5,N($AA5044)+1,N($AA5044)))</f>
        <v>0</v>
      </c>
    </row>
    <row r="5046" spans="1:27" ht="21" customHeight="1" x14ac:dyDescent="0.95">
      <c r="A5046" s="56"/>
      <c r="B5046" s="57"/>
      <c r="C5046" s="57"/>
      <c r="D5046" s="57"/>
      <c r="E5046" s="56"/>
      <c r="F5046" s="57"/>
      <c r="G5046" s="57"/>
      <c r="H5046" s="56"/>
      <c r="I5046" s="56"/>
      <c r="J5046" s="58"/>
      <c r="K5046" s="58"/>
      <c r="L5046" s="13" t="str">
        <f t="shared" si="780"/>
        <v/>
      </c>
      <c r="M5046" s="13" t="str">
        <f t="shared" si="781"/>
        <v/>
      </c>
      <c r="Q5046" t="str">
        <f t="shared" si="782"/>
        <v/>
      </c>
      <c r="R5046" t="str">
        <f t="shared" si="783"/>
        <v/>
      </c>
      <c r="S5046" t="str">
        <f t="shared" si="784"/>
        <v/>
      </c>
      <c r="T5046" t="str">
        <f t="shared" si="785"/>
        <v/>
      </c>
      <c r="U5046" t="str">
        <f t="shared" si="786"/>
        <v/>
      </c>
      <c r="V5046" t="str">
        <f t="shared" si="787"/>
        <v/>
      </c>
      <c r="W5046" t="str">
        <f t="shared" si="788"/>
        <v/>
      </c>
      <c r="X5046">
        <f>IF($T5046="",N($X5045),IF(MATCH($T5046,$T$6:$T$10005,0)=ROW()-5,N($X5045)+1,N($X5045)))</f>
        <v>0</v>
      </c>
      <c r="Z5046" t="str">
        <f t="shared" si="789"/>
        <v/>
      </c>
      <c r="AA5046">
        <f>IF($V5046="",N($AA5045),IF(MATCH($V5046,$V$6:$V$10005,0)=ROW()-5,N($AA5045)+1,N($AA5045)))</f>
        <v>0</v>
      </c>
    </row>
    <row r="5047" spans="1:27" ht="21" customHeight="1" x14ac:dyDescent="0.95">
      <c r="A5047" s="56"/>
      <c r="B5047" s="57"/>
      <c r="C5047" s="57"/>
      <c r="D5047" s="57"/>
      <c r="E5047" s="56"/>
      <c r="F5047" s="57"/>
      <c r="G5047" s="57"/>
      <c r="H5047" s="56"/>
      <c r="I5047" s="56"/>
      <c r="J5047" s="58"/>
      <c r="K5047" s="58"/>
      <c r="L5047" s="13" t="str">
        <f t="shared" si="780"/>
        <v/>
      </c>
      <c r="M5047" s="13" t="str">
        <f t="shared" si="781"/>
        <v/>
      </c>
      <c r="Q5047" t="str">
        <f t="shared" si="782"/>
        <v/>
      </c>
      <c r="R5047" t="str">
        <f t="shared" si="783"/>
        <v/>
      </c>
      <c r="S5047" t="str">
        <f t="shared" si="784"/>
        <v/>
      </c>
      <c r="T5047" t="str">
        <f t="shared" si="785"/>
        <v/>
      </c>
      <c r="U5047" t="str">
        <f t="shared" si="786"/>
        <v/>
      </c>
      <c r="V5047" t="str">
        <f t="shared" si="787"/>
        <v/>
      </c>
      <c r="W5047" t="str">
        <f t="shared" si="788"/>
        <v/>
      </c>
      <c r="X5047">
        <f>IF($T5047="",N($X5046),IF(MATCH($T5047,$T$6:$T$10005,0)=ROW()-5,N($X5046)+1,N($X5046)))</f>
        <v>0</v>
      </c>
      <c r="Z5047" t="str">
        <f t="shared" si="789"/>
        <v/>
      </c>
      <c r="AA5047">
        <f>IF($V5047="",N($AA5046),IF(MATCH($V5047,$V$6:$V$10005,0)=ROW()-5,N($AA5046)+1,N($AA5046)))</f>
        <v>0</v>
      </c>
    </row>
    <row r="5048" spans="1:27" ht="21" customHeight="1" x14ac:dyDescent="0.95">
      <c r="A5048" s="56"/>
      <c r="B5048" s="57"/>
      <c r="C5048" s="57"/>
      <c r="D5048" s="57"/>
      <c r="E5048" s="56"/>
      <c r="F5048" s="57"/>
      <c r="G5048" s="57"/>
      <c r="H5048" s="56"/>
      <c r="I5048" s="56"/>
      <c r="J5048" s="58"/>
      <c r="K5048" s="58"/>
      <c r="L5048" s="13" t="str">
        <f t="shared" si="780"/>
        <v/>
      </c>
      <c r="M5048" s="13" t="str">
        <f t="shared" si="781"/>
        <v/>
      </c>
      <c r="Q5048" t="str">
        <f t="shared" si="782"/>
        <v/>
      </c>
      <c r="R5048" t="str">
        <f t="shared" si="783"/>
        <v/>
      </c>
      <c r="S5048" t="str">
        <f t="shared" si="784"/>
        <v/>
      </c>
      <c r="T5048" t="str">
        <f t="shared" si="785"/>
        <v/>
      </c>
      <c r="U5048" t="str">
        <f t="shared" si="786"/>
        <v/>
      </c>
      <c r="V5048" t="str">
        <f t="shared" si="787"/>
        <v/>
      </c>
      <c r="W5048" t="str">
        <f t="shared" si="788"/>
        <v/>
      </c>
      <c r="X5048">
        <f>IF($T5048="",N($X5047),IF(MATCH($T5048,$T$6:$T$10005,0)=ROW()-5,N($X5047)+1,N($X5047)))</f>
        <v>0</v>
      </c>
      <c r="Z5048" t="str">
        <f t="shared" si="789"/>
        <v/>
      </c>
      <c r="AA5048">
        <f>IF($V5048="",N($AA5047),IF(MATCH($V5048,$V$6:$V$10005,0)=ROW()-5,N($AA5047)+1,N($AA5047)))</f>
        <v>0</v>
      </c>
    </row>
    <row r="5049" spans="1:27" ht="21" customHeight="1" x14ac:dyDescent="0.95">
      <c r="A5049" s="56"/>
      <c r="B5049" s="57"/>
      <c r="C5049" s="57"/>
      <c r="D5049" s="57"/>
      <c r="E5049" s="56"/>
      <c r="F5049" s="57"/>
      <c r="G5049" s="57"/>
      <c r="H5049" s="56"/>
      <c r="I5049" s="56"/>
      <c r="J5049" s="58"/>
      <c r="K5049" s="58"/>
      <c r="L5049" s="13" t="str">
        <f t="shared" si="780"/>
        <v/>
      </c>
      <c r="M5049" s="13" t="str">
        <f t="shared" si="781"/>
        <v/>
      </c>
      <c r="Q5049" t="str">
        <f t="shared" si="782"/>
        <v/>
      </c>
      <c r="R5049" t="str">
        <f t="shared" si="783"/>
        <v/>
      </c>
      <c r="S5049" t="str">
        <f t="shared" si="784"/>
        <v/>
      </c>
      <c r="T5049" t="str">
        <f t="shared" si="785"/>
        <v/>
      </c>
      <c r="U5049" t="str">
        <f t="shared" si="786"/>
        <v/>
      </c>
      <c r="V5049" t="str">
        <f t="shared" si="787"/>
        <v/>
      </c>
      <c r="W5049" t="str">
        <f t="shared" si="788"/>
        <v/>
      </c>
      <c r="X5049">
        <f>IF($T5049="",N($X5048),IF(MATCH($T5049,$T$6:$T$10005,0)=ROW()-5,N($X5048)+1,N($X5048)))</f>
        <v>0</v>
      </c>
      <c r="Z5049" t="str">
        <f t="shared" si="789"/>
        <v/>
      </c>
      <c r="AA5049">
        <f>IF($V5049="",N($AA5048),IF(MATCH($V5049,$V$6:$V$10005,0)=ROW()-5,N($AA5048)+1,N($AA5048)))</f>
        <v>0</v>
      </c>
    </row>
    <row r="5050" spans="1:27" ht="21" customHeight="1" x14ac:dyDescent="0.95">
      <c r="A5050" s="56"/>
      <c r="B5050" s="57"/>
      <c r="C5050" s="57"/>
      <c r="D5050" s="57"/>
      <c r="E5050" s="56"/>
      <c r="F5050" s="57"/>
      <c r="G5050" s="57"/>
      <c r="H5050" s="56"/>
      <c r="I5050" s="56"/>
      <c r="J5050" s="58"/>
      <c r="K5050" s="58"/>
      <c r="L5050" s="13" t="str">
        <f t="shared" si="780"/>
        <v/>
      </c>
      <c r="M5050" s="13" t="str">
        <f t="shared" si="781"/>
        <v/>
      </c>
      <c r="Q5050" t="str">
        <f t="shared" si="782"/>
        <v/>
      </c>
      <c r="R5050" t="str">
        <f t="shared" si="783"/>
        <v/>
      </c>
      <c r="S5050" t="str">
        <f t="shared" si="784"/>
        <v/>
      </c>
      <c r="T5050" t="str">
        <f t="shared" si="785"/>
        <v/>
      </c>
      <c r="U5050" t="str">
        <f t="shared" si="786"/>
        <v/>
      </c>
      <c r="V5050" t="str">
        <f t="shared" si="787"/>
        <v/>
      </c>
      <c r="W5050" t="str">
        <f t="shared" si="788"/>
        <v/>
      </c>
      <c r="X5050">
        <f>IF($T5050="",N($X5049),IF(MATCH($T5050,$T$6:$T$10005,0)=ROW()-5,N($X5049)+1,N($X5049)))</f>
        <v>0</v>
      </c>
      <c r="Z5050" t="str">
        <f t="shared" si="789"/>
        <v/>
      </c>
      <c r="AA5050">
        <f>IF($V5050="",N($AA5049),IF(MATCH($V5050,$V$6:$V$10005,0)=ROW()-5,N($AA5049)+1,N($AA5049)))</f>
        <v>0</v>
      </c>
    </row>
    <row r="5051" spans="1:27" ht="21" customHeight="1" x14ac:dyDescent="0.95">
      <c r="A5051" s="56"/>
      <c r="B5051" s="57"/>
      <c r="C5051" s="57"/>
      <c r="D5051" s="57"/>
      <c r="E5051" s="56"/>
      <c r="F5051" s="57"/>
      <c r="G5051" s="57"/>
      <c r="H5051" s="56"/>
      <c r="I5051" s="56"/>
      <c r="J5051" s="58"/>
      <c r="K5051" s="58"/>
      <c r="L5051" s="13" t="str">
        <f t="shared" si="780"/>
        <v/>
      </c>
      <c r="M5051" s="13" t="str">
        <f t="shared" si="781"/>
        <v/>
      </c>
      <c r="Q5051" t="str">
        <f t="shared" si="782"/>
        <v/>
      </c>
      <c r="R5051" t="str">
        <f t="shared" si="783"/>
        <v/>
      </c>
      <c r="S5051" t="str">
        <f t="shared" si="784"/>
        <v/>
      </c>
      <c r="T5051" t="str">
        <f t="shared" si="785"/>
        <v/>
      </c>
      <c r="U5051" t="str">
        <f t="shared" si="786"/>
        <v/>
      </c>
      <c r="V5051" t="str">
        <f t="shared" si="787"/>
        <v/>
      </c>
      <c r="W5051" t="str">
        <f t="shared" si="788"/>
        <v/>
      </c>
      <c r="X5051">
        <f>IF($T5051="",N($X5050),IF(MATCH($T5051,$T$6:$T$10005,0)=ROW()-5,N($X5050)+1,N($X5050)))</f>
        <v>0</v>
      </c>
      <c r="Z5051" t="str">
        <f t="shared" si="789"/>
        <v/>
      </c>
      <c r="AA5051">
        <f>IF($V5051="",N($AA5050),IF(MATCH($V5051,$V$6:$V$10005,0)=ROW()-5,N($AA5050)+1,N($AA5050)))</f>
        <v>0</v>
      </c>
    </row>
    <row r="5052" spans="1:27" ht="21" customHeight="1" x14ac:dyDescent="0.95">
      <c r="A5052" s="56"/>
      <c r="B5052" s="57"/>
      <c r="C5052" s="57"/>
      <c r="D5052" s="57"/>
      <c r="E5052" s="56"/>
      <c r="F5052" s="57"/>
      <c r="G5052" s="57"/>
      <c r="H5052" s="56"/>
      <c r="I5052" s="56"/>
      <c r="J5052" s="58"/>
      <c r="K5052" s="58"/>
      <c r="L5052" s="13" t="str">
        <f t="shared" si="780"/>
        <v/>
      </c>
      <c r="M5052" s="13" t="str">
        <f t="shared" si="781"/>
        <v/>
      </c>
      <c r="Q5052" t="str">
        <f t="shared" si="782"/>
        <v/>
      </c>
      <c r="R5052" t="str">
        <f t="shared" si="783"/>
        <v/>
      </c>
      <c r="S5052" t="str">
        <f t="shared" si="784"/>
        <v/>
      </c>
      <c r="T5052" t="str">
        <f t="shared" si="785"/>
        <v/>
      </c>
      <c r="U5052" t="str">
        <f t="shared" si="786"/>
        <v/>
      </c>
      <c r="V5052" t="str">
        <f t="shared" si="787"/>
        <v/>
      </c>
      <c r="W5052" t="str">
        <f t="shared" si="788"/>
        <v/>
      </c>
      <c r="X5052">
        <f>IF($T5052="",N($X5051),IF(MATCH($T5052,$T$6:$T$10005,0)=ROW()-5,N($X5051)+1,N($X5051)))</f>
        <v>0</v>
      </c>
      <c r="Z5052" t="str">
        <f t="shared" si="789"/>
        <v/>
      </c>
      <c r="AA5052">
        <f>IF($V5052="",N($AA5051),IF(MATCH($V5052,$V$6:$V$10005,0)=ROW()-5,N($AA5051)+1,N($AA5051)))</f>
        <v>0</v>
      </c>
    </row>
    <row r="5053" spans="1:27" ht="21" customHeight="1" x14ac:dyDescent="0.95">
      <c r="A5053" s="56"/>
      <c r="B5053" s="57"/>
      <c r="C5053" s="57"/>
      <c r="D5053" s="57"/>
      <c r="E5053" s="56"/>
      <c r="F5053" s="57"/>
      <c r="G5053" s="57"/>
      <c r="H5053" s="56"/>
      <c r="I5053" s="56"/>
      <c r="J5053" s="58"/>
      <c r="K5053" s="58"/>
      <c r="L5053" s="13" t="str">
        <f t="shared" si="780"/>
        <v/>
      </c>
      <c r="M5053" s="13" t="str">
        <f t="shared" si="781"/>
        <v/>
      </c>
      <c r="Q5053" t="str">
        <f t="shared" si="782"/>
        <v/>
      </c>
      <c r="R5053" t="str">
        <f t="shared" si="783"/>
        <v/>
      </c>
      <c r="S5053" t="str">
        <f t="shared" si="784"/>
        <v/>
      </c>
      <c r="T5053" t="str">
        <f t="shared" si="785"/>
        <v/>
      </c>
      <c r="U5053" t="str">
        <f t="shared" si="786"/>
        <v/>
      </c>
      <c r="V5053" t="str">
        <f t="shared" si="787"/>
        <v/>
      </c>
      <c r="W5053" t="str">
        <f t="shared" si="788"/>
        <v/>
      </c>
      <c r="X5053">
        <f>IF($T5053="",N($X5052),IF(MATCH($T5053,$T$6:$T$10005,0)=ROW()-5,N($X5052)+1,N($X5052)))</f>
        <v>0</v>
      </c>
      <c r="Z5053" t="str">
        <f t="shared" si="789"/>
        <v/>
      </c>
      <c r="AA5053">
        <f>IF($V5053="",N($AA5052),IF(MATCH($V5053,$V$6:$V$10005,0)=ROW()-5,N($AA5052)+1,N($AA5052)))</f>
        <v>0</v>
      </c>
    </row>
    <row r="5054" spans="1:27" ht="21" customHeight="1" x14ac:dyDescent="0.95">
      <c r="A5054" s="56"/>
      <c r="B5054" s="57"/>
      <c r="C5054" s="57"/>
      <c r="D5054" s="57"/>
      <c r="E5054" s="56"/>
      <c r="F5054" s="57"/>
      <c r="G5054" s="57"/>
      <c r="H5054" s="56"/>
      <c r="I5054" s="56"/>
      <c r="J5054" s="58"/>
      <c r="K5054" s="58"/>
      <c r="L5054" s="13" t="str">
        <f t="shared" si="780"/>
        <v/>
      </c>
      <c r="M5054" s="13" t="str">
        <f t="shared" si="781"/>
        <v/>
      </c>
      <c r="Q5054" t="str">
        <f t="shared" si="782"/>
        <v/>
      </c>
      <c r="R5054" t="str">
        <f t="shared" si="783"/>
        <v/>
      </c>
      <c r="S5054" t="str">
        <f t="shared" si="784"/>
        <v/>
      </c>
      <c r="T5054" t="str">
        <f t="shared" si="785"/>
        <v/>
      </c>
      <c r="U5054" t="str">
        <f t="shared" si="786"/>
        <v/>
      </c>
      <c r="V5054" t="str">
        <f t="shared" si="787"/>
        <v/>
      </c>
      <c r="W5054" t="str">
        <f t="shared" si="788"/>
        <v/>
      </c>
      <c r="X5054">
        <f>IF($T5054="",N($X5053),IF(MATCH($T5054,$T$6:$T$10005,0)=ROW()-5,N($X5053)+1,N($X5053)))</f>
        <v>0</v>
      </c>
      <c r="Z5054" t="str">
        <f t="shared" si="789"/>
        <v/>
      </c>
      <c r="AA5054">
        <f>IF($V5054="",N($AA5053),IF(MATCH($V5054,$V$6:$V$10005,0)=ROW()-5,N($AA5053)+1,N($AA5053)))</f>
        <v>0</v>
      </c>
    </row>
    <row r="5055" spans="1:27" ht="21" customHeight="1" x14ac:dyDescent="0.95">
      <c r="A5055" s="56"/>
      <c r="B5055" s="57"/>
      <c r="C5055" s="57"/>
      <c r="D5055" s="57"/>
      <c r="E5055" s="56"/>
      <c r="F5055" s="57"/>
      <c r="G5055" s="57"/>
      <c r="H5055" s="56"/>
      <c r="I5055" s="56"/>
      <c r="J5055" s="58"/>
      <c r="K5055" s="58"/>
      <c r="L5055" s="13" t="str">
        <f t="shared" si="780"/>
        <v/>
      </c>
      <c r="M5055" s="13" t="str">
        <f t="shared" si="781"/>
        <v/>
      </c>
      <c r="Q5055" t="str">
        <f t="shared" si="782"/>
        <v/>
      </c>
      <c r="R5055" t="str">
        <f t="shared" si="783"/>
        <v/>
      </c>
      <c r="S5055" t="str">
        <f t="shared" si="784"/>
        <v/>
      </c>
      <c r="T5055" t="str">
        <f t="shared" si="785"/>
        <v/>
      </c>
      <c r="U5055" t="str">
        <f t="shared" si="786"/>
        <v/>
      </c>
      <c r="V5055" t="str">
        <f t="shared" si="787"/>
        <v/>
      </c>
      <c r="W5055" t="str">
        <f t="shared" si="788"/>
        <v/>
      </c>
      <c r="X5055">
        <f>IF($T5055="",N($X5054),IF(MATCH($T5055,$T$6:$T$10005,0)=ROW()-5,N($X5054)+1,N($X5054)))</f>
        <v>0</v>
      </c>
      <c r="Z5055" t="str">
        <f t="shared" si="789"/>
        <v/>
      </c>
      <c r="AA5055">
        <f>IF($V5055="",N($AA5054),IF(MATCH($V5055,$V$6:$V$10005,0)=ROW()-5,N($AA5054)+1,N($AA5054)))</f>
        <v>0</v>
      </c>
    </row>
    <row r="5056" spans="1:27" ht="21" customHeight="1" x14ac:dyDescent="0.95">
      <c r="A5056" s="56"/>
      <c r="B5056" s="57"/>
      <c r="C5056" s="57"/>
      <c r="D5056" s="57"/>
      <c r="E5056" s="56"/>
      <c r="F5056" s="57"/>
      <c r="G5056" s="57"/>
      <c r="H5056" s="56"/>
      <c r="I5056" s="56"/>
      <c r="J5056" s="58"/>
      <c r="K5056" s="58"/>
      <c r="L5056" s="13" t="str">
        <f t="shared" si="780"/>
        <v/>
      </c>
      <c r="M5056" s="13" t="str">
        <f t="shared" si="781"/>
        <v/>
      </c>
      <c r="Q5056" t="str">
        <f t="shared" si="782"/>
        <v/>
      </c>
      <c r="R5056" t="str">
        <f t="shared" si="783"/>
        <v/>
      </c>
      <c r="S5056" t="str">
        <f t="shared" si="784"/>
        <v/>
      </c>
      <c r="T5056" t="str">
        <f t="shared" si="785"/>
        <v/>
      </c>
      <c r="U5056" t="str">
        <f t="shared" si="786"/>
        <v/>
      </c>
      <c r="V5056" t="str">
        <f t="shared" si="787"/>
        <v/>
      </c>
      <c r="W5056" t="str">
        <f t="shared" si="788"/>
        <v/>
      </c>
      <c r="X5056">
        <f>IF($T5056="",N($X5055),IF(MATCH($T5056,$T$6:$T$10005,0)=ROW()-5,N($X5055)+1,N($X5055)))</f>
        <v>0</v>
      </c>
      <c r="Z5056" t="str">
        <f t="shared" si="789"/>
        <v/>
      </c>
      <c r="AA5056">
        <f>IF($V5056="",N($AA5055),IF(MATCH($V5056,$V$6:$V$10005,0)=ROW()-5,N($AA5055)+1,N($AA5055)))</f>
        <v>0</v>
      </c>
    </row>
    <row r="5057" spans="1:27" ht="21" customHeight="1" x14ac:dyDescent="0.95">
      <c r="A5057" s="56"/>
      <c r="B5057" s="57"/>
      <c r="C5057" s="57"/>
      <c r="D5057" s="57"/>
      <c r="E5057" s="56"/>
      <c r="F5057" s="57"/>
      <c r="G5057" s="57"/>
      <c r="H5057" s="56"/>
      <c r="I5057" s="56"/>
      <c r="J5057" s="58"/>
      <c r="K5057" s="58"/>
      <c r="L5057" s="13" t="str">
        <f t="shared" si="780"/>
        <v/>
      </c>
      <c r="M5057" s="13" t="str">
        <f t="shared" si="781"/>
        <v/>
      </c>
      <c r="Q5057" t="str">
        <f t="shared" si="782"/>
        <v/>
      </c>
      <c r="R5057" t="str">
        <f t="shared" si="783"/>
        <v/>
      </c>
      <c r="S5057" t="str">
        <f t="shared" si="784"/>
        <v/>
      </c>
      <c r="T5057" t="str">
        <f t="shared" si="785"/>
        <v/>
      </c>
      <c r="U5057" t="str">
        <f t="shared" si="786"/>
        <v/>
      </c>
      <c r="V5057" t="str">
        <f t="shared" si="787"/>
        <v/>
      </c>
      <c r="W5057" t="str">
        <f t="shared" si="788"/>
        <v/>
      </c>
      <c r="X5057">
        <f>IF($T5057="",N($X5056),IF(MATCH($T5057,$T$6:$T$10005,0)=ROW()-5,N($X5056)+1,N($X5056)))</f>
        <v>0</v>
      </c>
      <c r="Z5057" t="str">
        <f t="shared" si="789"/>
        <v/>
      </c>
      <c r="AA5057">
        <f>IF($V5057="",N($AA5056),IF(MATCH($V5057,$V$6:$V$10005,0)=ROW()-5,N($AA5056)+1,N($AA5056)))</f>
        <v>0</v>
      </c>
    </row>
    <row r="5058" spans="1:27" ht="21" customHeight="1" x14ac:dyDescent="0.95">
      <c r="A5058" s="56"/>
      <c r="B5058" s="57"/>
      <c r="C5058" s="57"/>
      <c r="D5058" s="57"/>
      <c r="E5058" s="56"/>
      <c r="F5058" s="57"/>
      <c r="G5058" s="57"/>
      <c r="H5058" s="56"/>
      <c r="I5058" s="56"/>
      <c r="J5058" s="58"/>
      <c r="K5058" s="58"/>
      <c r="L5058" s="13" t="str">
        <f t="shared" si="780"/>
        <v/>
      </c>
      <c r="M5058" s="13" t="str">
        <f t="shared" si="781"/>
        <v/>
      </c>
      <c r="Q5058" t="str">
        <f t="shared" si="782"/>
        <v/>
      </c>
      <c r="R5058" t="str">
        <f t="shared" si="783"/>
        <v/>
      </c>
      <c r="S5058" t="str">
        <f t="shared" si="784"/>
        <v/>
      </c>
      <c r="T5058" t="str">
        <f t="shared" si="785"/>
        <v/>
      </c>
      <c r="U5058" t="str">
        <f t="shared" si="786"/>
        <v/>
      </c>
      <c r="V5058" t="str">
        <f t="shared" si="787"/>
        <v/>
      </c>
      <c r="W5058" t="str">
        <f t="shared" si="788"/>
        <v/>
      </c>
      <c r="X5058">
        <f>IF($T5058="",N($X5057),IF(MATCH($T5058,$T$6:$T$10005,0)=ROW()-5,N($X5057)+1,N($X5057)))</f>
        <v>0</v>
      </c>
      <c r="Z5058" t="str">
        <f t="shared" si="789"/>
        <v/>
      </c>
      <c r="AA5058">
        <f>IF($V5058="",N($AA5057),IF(MATCH($V5058,$V$6:$V$10005,0)=ROW()-5,N($AA5057)+1,N($AA5057)))</f>
        <v>0</v>
      </c>
    </row>
    <row r="5059" spans="1:27" ht="21" customHeight="1" x14ac:dyDescent="0.95">
      <c r="A5059" s="56"/>
      <c r="B5059" s="57"/>
      <c r="C5059" s="57"/>
      <c r="D5059" s="57"/>
      <c r="E5059" s="56"/>
      <c r="F5059" s="57"/>
      <c r="G5059" s="57"/>
      <c r="H5059" s="56"/>
      <c r="I5059" s="56"/>
      <c r="J5059" s="58"/>
      <c r="K5059" s="58"/>
      <c r="L5059" s="13" t="str">
        <f t="shared" si="780"/>
        <v/>
      </c>
      <c r="M5059" s="13" t="str">
        <f t="shared" si="781"/>
        <v/>
      </c>
      <c r="Q5059" t="str">
        <f t="shared" si="782"/>
        <v/>
      </c>
      <c r="R5059" t="str">
        <f t="shared" si="783"/>
        <v/>
      </c>
      <c r="S5059" t="str">
        <f t="shared" si="784"/>
        <v/>
      </c>
      <c r="T5059" t="str">
        <f t="shared" si="785"/>
        <v/>
      </c>
      <c r="U5059" t="str">
        <f t="shared" si="786"/>
        <v/>
      </c>
      <c r="V5059" t="str">
        <f t="shared" si="787"/>
        <v/>
      </c>
      <c r="W5059" t="str">
        <f t="shared" si="788"/>
        <v/>
      </c>
      <c r="X5059">
        <f>IF($T5059="",N($X5058),IF(MATCH($T5059,$T$6:$T$10005,0)=ROW()-5,N($X5058)+1,N($X5058)))</f>
        <v>0</v>
      </c>
      <c r="Z5059" t="str">
        <f t="shared" si="789"/>
        <v/>
      </c>
      <c r="AA5059">
        <f>IF($V5059="",N($AA5058),IF(MATCH($V5059,$V$6:$V$10005,0)=ROW()-5,N($AA5058)+1,N($AA5058)))</f>
        <v>0</v>
      </c>
    </row>
    <row r="5060" spans="1:27" ht="21" customHeight="1" x14ac:dyDescent="0.95">
      <c r="A5060" s="56"/>
      <c r="B5060" s="57"/>
      <c r="C5060" s="57"/>
      <c r="D5060" s="57"/>
      <c r="E5060" s="56"/>
      <c r="F5060" s="57"/>
      <c r="G5060" s="57"/>
      <c r="H5060" s="56"/>
      <c r="I5060" s="56"/>
      <c r="J5060" s="58"/>
      <c r="K5060" s="58"/>
      <c r="L5060" s="13" t="str">
        <f t="shared" si="780"/>
        <v/>
      </c>
      <c r="M5060" s="13" t="str">
        <f t="shared" si="781"/>
        <v/>
      </c>
      <c r="Q5060" t="str">
        <f t="shared" si="782"/>
        <v/>
      </c>
      <c r="R5060" t="str">
        <f t="shared" si="783"/>
        <v/>
      </c>
      <c r="S5060" t="str">
        <f t="shared" si="784"/>
        <v/>
      </c>
      <c r="T5060" t="str">
        <f t="shared" si="785"/>
        <v/>
      </c>
      <c r="U5060" t="str">
        <f t="shared" si="786"/>
        <v/>
      </c>
      <c r="V5060" t="str">
        <f t="shared" si="787"/>
        <v/>
      </c>
      <c r="W5060" t="str">
        <f t="shared" si="788"/>
        <v/>
      </c>
      <c r="X5060">
        <f>IF($T5060="",N($X5059),IF(MATCH($T5060,$T$6:$T$10005,0)=ROW()-5,N($X5059)+1,N($X5059)))</f>
        <v>0</v>
      </c>
      <c r="Z5060" t="str">
        <f t="shared" si="789"/>
        <v/>
      </c>
      <c r="AA5060">
        <f>IF($V5060="",N($AA5059),IF(MATCH($V5060,$V$6:$V$10005,0)=ROW()-5,N($AA5059)+1,N($AA5059)))</f>
        <v>0</v>
      </c>
    </row>
    <row r="5061" spans="1:27" ht="21" customHeight="1" x14ac:dyDescent="0.95">
      <c r="A5061" s="56"/>
      <c r="B5061" s="57"/>
      <c r="C5061" s="57"/>
      <c r="D5061" s="57"/>
      <c r="E5061" s="56"/>
      <c r="F5061" s="57"/>
      <c r="G5061" s="57"/>
      <c r="H5061" s="56"/>
      <c r="I5061" s="56"/>
      <c r="J5061" s="58"/>
      <c r="K5061" s="58"/>
      <c r="L5061" s="13" t="str">
        <f t="shared" si="780"/>
        <v/>
      </c>
      <c r="M5061" s="13" t="str">
        <f t="shared" si="781"/>
        <v/>
      </c>
      <c r="Q5061" t="str">
        <f t="shared" si="782"/>
        <v/>
      </c>
      <c r="R5061" t="str">
        <f t="shared" si="783"/>
        <v/>
      </c>
      <c r="S5061" t="str">
        <f t="shared" si="784"/>
        <v/>
      </c>
      <c r="T5061" t="str">
        <f t="shared" si="785"/>
        <v/>
      </c>
      <c r="U5061" t="str">
        <f t="shared" si="786"/>
        <v/>
      </c>
      <c r="V5061" t="str">
        <f t="shared" si="787"/>
        <v/>
      </c>
      <c r="W5061" t="str">
        <f t="shared" si="788"/>
        <v/>
      </c>
      <c r="X5061">
        <f>IF($T5061="",N($X5060),IF(MATCH($T5061,$T$6:$T$10005,0)=ROW()-5,N($X5060)+1,N($X5060)))</f>
        <v>0</v>
      </c>
      <c r="Z5061" t="str">
        <f t="shared" si="789"/>
        <v/>
      </c>
      <c r="AA5061">
        <f>IF($V5061="",N($AA5060),IF(MATCH($V5061,$V$6:$V$10005,0)=ROW()-5,N($AA5060)+1,N($AA5060)))</f>
        <v>0</v>
      </c>
    </row>
    <row r="5062" spans="1:27" ht="21" customHeight="1" x14ac:dyDescent="0.95">
      <c r="A5062" s="56"/>
      <c r="B5062" s="57"/>
      <c r="C5062" s="57"/>
      <c r="D5062" s="57"/>
      <c r="E5062" s="56"/>
      <c r="F5062" s="57"/>
      <c r="G5062" s="57"/>
      <c r="H5062" s="56"/>
      <c r="I5062" s="56"/>
      <c r="J5062" s="58"/>
      <c r="K5062" s="58"/>
      <c r="L5062" s="13" t="str">
        <f t="shared" ref="L5062:L5125" si="790">IF(OR($A5062="",AND($J5062="",$K5062="")),"",ROUND(N($J5062)-N($K5062),2))</f>
        <v/>
      </c>
      <c r="M5062" s="13" t="str">
        <f t="shared" ref="M5062:M5125" si="791">IF(OR($A5062="",AND($J5062="",$K5062="")),"",MIN($J5062,$K5062))</f>
        <v/>
      </c>
      <c r="Q5062" t="str">
        <f t="shared" ref="Q5062:Q5125" si="792">IF($A5062="","",$D5062&amp;"("&amp;SUBSTITUTE($E5062," ","")&amp;")")</f>
        <v/>
      </c>
      <c r="R5062" t="str">
        <f t="shared" ref="R5062:R5125" si="793">IF($A5062="","",$B5062&amp;" - "&amp;$C5062)</f>
        <v/>
      </c>
      <c r="S5062" t="str">
        <f t="shared" ref="S5062:S5125" si="794">IF($A5062="","",$R5062&amp;"|"&amp;$Q5062)</f>
        <v/>
      </c>
      <c r="T5062" t="str">
        <f t="shared" ref="T5062:T5125" si="795">IF($A5062="","",$S5062&amp;"|"&amp;$F5062)</f>
        <v/>
      </c>
      <c r="U5062" t="str">
        <f t="shared" ref="U5062:U5125" si="796">IF($A5062="","",$R5062&amp;"("&amp;$E5062&amp;")")</f>
        <v/>
      </c>
      <c r="V5062" t="str">
        <f t="shared" ref="V5062:V5125" si="797">IF($A5062="","",$F5062&amp;"|"&amp;$U5062&amp;"|"&amp;$D5062)</f>
        <v/>
      </c>
      <c r="W5062" t="str">
        <f t="shared" ref="W5062:W5125" si="798">IF($T5062="","",IF($X5062&gt;N($X5061),$X5062,""))</f>
        <v/>
      </c>
      <c r="X5062">
        <f>IF($T5062="",N($X5061),IF(MATCH($T5062,$T$6:$T$10005,0)=ROW()-5,N($X5061)+1,N($X5061)))</f>
        <v>0</v>
      </c>
      <c r="Z5062" t="str">
        <f t="shared" ref="Z5062:Z5125" si="799">IF($V5062="","",IF($AA5062&gt;N($AA5061),$AA5062,""))</f>
        <v/>
      </c>
      <c r="AA5062">
        <f>IF($V5062="",N($AA5061),IF(MATCH($V5062,$V$6:$V$10005,0)=ROW()-5,N($AA5061)+1,N($AA5061)))</f>
        <v>0</v>
      </c>
    </row>
    <row r="5063" spans="1:27" ht="21" customHeight="1" x14ac:dyDescent="0.95">
      <c r="A5063" s="56"/>
      <c r="B5063" s="57"/>
      <c r="C5063" s="57"/>
      <c r="D5063" s="57"/>
      <c r="E5063" s="56"/>
      <c r="F5063" s="57"/>
      <c r="G5063" s="57"/>
      <c r="H5063" s="56"/>
      <c r="I5063" s="56"/>
      <c r="J5063" s="58"/>
      <c r="K5063" s="58"/>
      <c r="L5063" s="13" t="str">
        <f t="shared" si="790"/>
        <v/>
      </c>
      <c r="M5063" s="13" t="str">
        <f t="shared" si="791"/>
        <v/>
      </c>
      <c r="Q5063" t="str">
        <f t="shared" si="792"/>
        <v/>
      </c>
      <c r="R5063" t="str">
        <f t="shared" si="793"/>
        <v/>
      </c>
      <c r="S5063" t="str">
        <f t="shared" si="794"/>
        <v/>
      </c>
      <c r="T5063" t="str">
        <f t="shared" si="795"/>
        <v/>
      </c>
      <c r="U5063" t="str">
        <f t="shared" si="796"/>
        <v/>
      </c>
      <c r="V5063" t="str">
        <f t="shared" si="797"/>
        <v/>
      </c>
      <c r="W5063" t="str">
        <f t="shared" si="798"/>
        <v/>
      </c>
      <c r="X5063">
        <f>IF($T5063="",N($X5062),IF(MATCH($T5063,$T$6:$T$10005,0)=ROW()-5,N($X5062)+1,N($X5062)))</f>
        <v>0</v>
      </c>
      <c r="Z5063" t="str">
        <f t="shared" si="799"/>
        <v/>
      </c>
      <c r="AA5063">
        <f>IF($V5063="",N($AA5062),IF(MATCH($V5063,$V$6:$V$10005,0)=ROW()-5,N($AA5062)+1,N($AA5062)))</f>
        <v>0</v>
      </c>
    </row>
    <row r="5064" spans="1:27" ht="21" customHeight="1" x14ac:dyDescent="0.95">
      <c r="A5064" s="56"/>
      <c r="B5064" s="57"/>
      <c r="C5064" s="57"/>
      <c r="D5064" s="57"/>
      <c r="E5064" s="56"/>
      <c r="F5064" s="57"/>
      <c r="G5064" s="57"/>
      <c r="H5064" s="56"/>
      <c r="I5064" s="56"/>
      <c r="J5064" s="58"/>
      <c r="K5064" s="58"/>
      <c r="L5064" s="13" t="str">
        <f t="shared" si="790"/>
        <v/>
      </c>
      <c r="M5064" s="13" t="str">
        <f t="shared" si="791"/>
        <v/>
      </c>
      <c r="Q5064" t="str">
        <f t="shared" si="792"/>
        <v/>
      </c>
      <c r="R5064" t="str">
        <f t="shared" si="793"/>
        <v/>
      </c>
      <c r="S5064" t="str">
        <f t="shared" si="794"/>
        <v/>
      </c>
      <c r="T5064" t="str">
        <f t="shared" si="795"/>
        <v/>
      </c>
      <c r="U5064" t="str">
        <f t="shared" si="796"/>
        <v/>
      </c>
      <c r="V5064" t="str">
        <f t="shared" si="797"/>
        <v/>
      </c>
      <c r="W5064" t="str">
        <f t="shared" si="798"/>
        <v/>
      </c>
      <c r="X5064">
        <f>IF($T5064="",N($X5063),IF(MATCH($T5064,$T$6:$T$10005,0)=ROW()-5,N($X5063)+1,N($X5063)))</f>
        <v>0</v>
      </c>
      <c r="Z5064" t="str">
        <f t="shared" si="799"/>
        <v/>
      </c>
      <c r="AA5064">
        <f>IF($V5064="",N($AA5063),IF(MATCH($V5064,$V$6:$V$10005,0)=ROW()-5,N($AA5063)+1,N($AA5063)))</f>
        <v>0</v>
      </c>
    </row>
    <row r="5065" spans="1:27" ht="21" customHeight="1" x14ac:dyDescent="0.95">
      <c r="A5065" s="56"/>
      <c r="B5065" s="57"/>
      <c r="C5065" s="57"/>
      <c r="D5065" s="57"/>
      <c r="E5065" s="56"/>
      <c r="F5065" s="57"/>
      <c r="G5065" s="57"/>
      <c r="H5065" s="56"/>
      <c r="I5065" s="56"/>
      <c r="J5065" s="58"/>
      <c r="K5065" s="58"/>
      <c r="L5065" s="13" t="str">
        <f t="shared" si="790"/>
        <v/>
      </c>
      <c r="M5065" s="13" t="str">
        <f t="shared" si="791"/>
        <v/>
      </c>
      <c r="Q5065" t="str">
        <f t="shared" si="792"/>
        <v/>
      </c>
      <c r="R5065" t="str">
        <f t="shared" si="793"/>
        <v/>
      </c>
      <c r="S5065" t="str">
        <f t="shared" si="794"/>
        <v/>
      </c>
      <c r="T5065" t="str">
        <f t="shared" si="795"/>
        <v/>
      </c>
      <c r="U5065" t="str">
        <f t="shared" si="796"/>
        <v/>
      </c>
      <c r="V5065" t="str">
        <f t="shared" si="797"/>
        <v/>
      </c>
      <c r="W5065" t="str">
        <f t="shared" si="798"/>
        <v/>
      </c>
      <c r="X5065">
        <f>IF($T5065="",N($X5064),IF(MATCH($T5065,$T$6:$T$10005,0)=ROW()-5,N($X5064)+1,N($X5064)))</f>
        <v>0</v>
      </c>
      <c r="Z5065" t="str">
        <f t="shared" si="799"/>
        <v/>
      </c>
      <c r="AA5065">
        <f>IF($V5065="",N($AA5064),IF(MATCH($V5065,$V$6:$V$10005,0)=ROW()-5,N($AA5064)+1,N($AA5064)))</f>
        <v>0</v>
      </c>
    </row>
    <row r="5066" spans="1:27" ht="21" customHeight="1" x14ac:dyDescent="0.95">
      <c r="A5066" s="56"/>
      <c r="B5066" s="57"/>
      <c r="C5066" s="57"/>
      <c r="D5066" s="57"/>
      <c r="E5066" s="56"/>
      <c r="F5066" s="57"/>
      <c r="G5066" s="57"/>
      <c r="H5066" s="56"/>
      <c r="I5066" s="56"/>
      <c r="J5066" s="58"/>
      <c r="K5066" s="58"/>
      <c r="L5066" s="13" t="str">
        <f t="shared" si="790"/>
        <v/>
      </c>
      <c r="M5066" s="13" t="str">
        <f t="shared" si="791"/>
        <v/>
      </c>
      <c r="Q5066" t="str">
        <f t="shared" si="792"/>
        <v/>
      </c>
      <c r="R5066" t="str">
        <f t="shared" si="793"/>
        <v/>
      </c>
      <c r="S5066" t="str">
        <f t="shared" si="794"/>
        <v/>
      </c>
      <c r="T5066" t="str">
        <f t="shared" si="795"/>
        <v/>
      </c>
      <c r="U5066" t="str">
        <f t="shared" si="796"/>
        <v/>
      </c>
      <c r="V5066" t="str">
        <f t="shared" si="797"/>
        <v/>
      </c>
      <c r="W5066" t="str">
        <f t="shared" si="798"/>
        <v/>
      </c>
      <c r="X5066">
        <f>IF($T5066="",N($X5065),IF(MATCH($T5066,$T$6:$T$10005,0)=ROW()-5,N($X5065)+1,N($X5065)))</f>
        <v>0</v>
      </c>
      <c r="Z5066" t="str">
        <f t="shared" si="799"/>
        <v/>
      </c>
      <c r="AA5066">
        <f>IF($V5066="",N($AA5065),IF(MATCH($V5066,$V$6:$V$10005,0)=ROW()-5,N($AA5065)+1,N($AA5065)))</f>
        <v>0</v>
      </c>
    </row>
    <row r="5067" spans="1:27" ht="21" customHeight="1" x14ac:dyDescent="0.95">
      <c r="A5067" s="56"/>
      <c r="B5067" s="57"/>
      <c r="C5067" s="57"/>
      <c r="D5067" s="57"/>
      <c r="E5067" s="56"/>
      <c r="F5067" s="57"/>
      <c r="G5067" s="57"/>
      <c r="H5067" s="56"/>
      <c r="I5067" s="56"/>
      <c r="J5067" s="58"/>
      <c r="K5067" s="58"/>
      <c r="L5067" s="13" t="str">
        <f t="shared" si="790"/>
        <v/>
      </c>
      <c r="M5067" s="13" t="str">
        <f t="shared" si="791"/>
        <v/>
      </c>
      <c r="Q5067" t="str">
        <f t="shared" si="792"/>
        <v/>
      </c>
      <c r="R5067" t="str">
        <f t="shared" si="793"/>
        <v/>
      </c>
      <c r="S5067" t="str">
        <f t="shared" si="794"/>
        <v/>
      </c>
      <c r="T5067" t="str">
        <f t="shared" si="795"/>
        <v/>
      </c>
      <c r="U5067" t="str">
        <f t="shared" si="796"/>
        <v/>
      </c>
      <c r="V5067" t="str">
        <f t="shared" si="797"/>
        <v/>
      </c>
      <c r="W5067" t="str">
        <f t="shared" si="798"/>
        <v/>
      </c>
      <c r="X5067">
        <f>IF($T5067="",N($X5066),IF(MATCH($T5067,$T$6:$T$10005,0)=ROW()-5,N($X5066)+1,N($X5066)))</f>
        <v>0</v>
      </c>
      <c r="Z5067" t="str">
        <f t="shared" si="799"/>
        <v/>
      </c>
      <c r="AA5067">
        <f>IF($V5067="",N($AA5066),IF(MATCH($V5067,$V$6:$V$10005,0)=ROW()-5,N($AA5066)+1,N($AA5066)))</f>
        <v>0</v>
      </c>
    </row>
    <row r="5068" spans="1:27" ht="21" customHeight="1" x14ac:dyDescent="0.95">
      <c r="A5068" s="56"/>
      <c r="B5068" s="57"/>
      <c r="C5068" s="57"/>
      <c r="D5068" s="57"/>
      <c r="E5068" s="56"/>
      <c r="F5068" s="57"/>
      <c r="G5068" s="57"/>
      <c r="H5068" s="56"/>
      <c r="I5068" s="56"/>
      <c r="J5068" s="58"/>
      <c r="K5068" s="58"/>
      <c r="L5068" s="13" t="str">
        <f t="shared" si="790"/>
        <v/>
      </c>
      <c r="M5068" s="13" t="str">
        <f t="shared" si="791"/>
        <v/>
      </c>
      <c r="Q5068" t="str">
        <f t="shared" si="792"/>
        <v/>
      </c>
      <c r="R5068" t="str">
        <f t="shared" si="793"/>
        <v/>
      </c>
      <c r="S5068" t="str">
        <f t="shared" si="794"/>
        <v/>
      </c>
      <c r="T5068" t="str">
        <f t="shared" si="795"/>
        <v/>
      </c>
      <c r="U5068" t="str">
        <f t="shared" si="796"/>
        <v/>
      </c>
      <c r="V5068" t="str">
        <f t="shared" si="797"/>
        <v/>
      </c>
      <c r="W5068" t="str">
        <f t="shared" si="798"/>
        <v/>
      </c>
      <c r="X5068">
        <f>IF($T5068="",N($X5067),IF(MATCH($T5068,$T$6:$T$10005,0)=ROW()-5,N($X5067)+1,N($X5067)))</f>
        <v>0</v>
      </c>
      <c r="Z5068" t="str">
        <f t="shared" si="799"/>
        <v/>
      </c>
      <c r="AA5068">
        <f>IF($V5068="",N($AA5067),IF(MATCH($V5068,$V$6:$V$10005,0)=ROW()-5,N($AA5067)+1,N($AA5067)))</f>
        <v>0</v>
      </c>
    </row>
    <row r="5069" spans="1:27" ht="21" customHeight="1" x14ac:dyDescent="0.95">
      <c r="A5069" s="56"/>
      <c r="B5069" s="57"/>
      <c r="C5069" s="57"/>
      <c r="D5069" s="57"/>
      <c r="E5069" s="56"/>
      <c r="F5069" s="57"/>
      <c r="G5069" s="57"/>
      <c r="H5069" s="56"/>
      <c r="I5069" s="56"/>
      <c r="J5069" s="58"/>
      <c r="K5069" s="58"/>
      <c r="L5069" s="13" t="str">
        <f t="shared" si="790"/>
        <v/>
      </c>
      <c r="M5069" s="13" t="str">
        <f t="shared" si="791"/>
        <v/>
      </c>
      <c r="Q5069" t="str">
        <f t="shared" si="792"/>
        <v/>
      </c>
      <c r="R5069" t="str">
        <f t="shared" si="793"/>
        <v/>
      </c>
      <c r="S5069" t="str">
        <f t="shared" si="794"/>
        <v/>
      </c>
      <c r="T5069" t="str">
        <f t="shared" si="795"/>
        <v/>
      </c>
      <c r="U5069" t="str">
        <f t="shared" si="796"/>
        <v/>
      </c>
      <c r="V5069" t="str">
        <f t="shared" si="797"/>
        <v/>
      </c>
      <c r="W5069" t="str">
        <f t="shared" si="798"/>
        <v/>
      </c>
      <c r="X5069">
        <f>IF($T5069="",N($X5068),IF(MATCH($T5069,$T$6:$T$10005,0)=ROW()-5,N($X5068)+1,N($X5068)))</f>
        <v>0</v>
      </c>
      <c r="Z5069" t="str">
        <f t="shared" si="799"/>
        <v/>
      </c>
      <c r="AA5069">
        <f>IF($V5069="",N($AA5068),IF(MATCH($V5069,$V$6:$V$10005,0)=ROW()-5,N($AA5068)+1,N($AA5068)))</f>
        <v>0</v>
      </c>
    </row>
    <row r="5070" spans="1:27" ht="21" customHeight="1" x14ac:dyDescent="0.95">
      <c r="A5070" s="56"/>
      <c r="B5070" s="57"/>
      <c r="C5070" s="57"/>
      <c r="D5070" s="57"/>
      <c r="E5070" s="56"/>
      <c r="F5070" s="57"/>
      <c r="G5070" s="57"/>
      <c r="H5070" s="56"/>
      <c r="I5070" s="56"/>
      <c r="J5070" s="58"/>
      <c r="K5070" s="58"/>
      <c r="L5070" s="13" t="str">
        <f t="shared" si="790"/>
        <v/>
      </c>
      <c r="M5070" s="13" t="str">
        <f t="shared" si="791"/>
        <v/>
      </c>
      <c r="Q5070" t="str">
        <f t="shared" si="792"/>
        <v/>
      </c>
      <c r="R5070" t="str">
        <f t="shared" si="793"/>
        <v/>
      </c>
      <c r="S5070" t="str">
        <f t="shared" si="794"/>
        <v/>
      </c>
      <c r="T5070" t="str">
        <f t="shared" si="795"/>
        <v/>
      </c>
      <c r="U5070" t="str">
        <f t="shared" si="796"/>
        <v/>
      </c>
      <c r="V5070" t="str">
        <f t="shared" si="797"/>
        <v/>
      </c>
      <c r="W5070" t="str">
        <f t="shared" si="798"/>
        <v/>
      </c>
      <c r="X5070">
        <f>IF($T5070="",N($X5069),IF(MATCH($T5070,$T$6:$T$10005,0)=ROW()-5,N($X5069)+1,N($X5069)))</f>
        <v>0</v>
      </c>
      <c r="Z5070" t="str">
        <f t="shared" si="799"/>
        <v/>
      </c>
      <c r="AA5070">
        <f>IF($V5070="",N($AA5069),IF(MATCH($V5070,$V$6:$V$10005,0)=ROW()-5,N($AA5069)+1,N($AA5069)))</f>
        <v>0</v>
      </c>
    </row>
    <row r="5071" spans="1:27" ht="21" customHeight="1" x14ac:dyDescent="0.95">
      <c r="A5071" s="56"/>
      <c r="B5071" s="57"/>
      <c r="C5071" s="57"/>
      <c r="D5071" s="57"/>
      <c r="E5071" s="56"/>
      <c r="F5071" s="57"/>
      <c r="G5071" s="57"/>
      <c r="H5071" s="56"/>
      <c r="I5071" s="56"/>
      <c r="J5071" s="58"/>
      <c r="K5071" s="58"/>
      <c r="L5071" s="13" t="str">
        <f t="shared" si="790"/>
        <v/>
      </c>
      <c r="M5071" s="13" t="str">
        <f t="shared" si="791"/>
        <v/>
      </c>
      <c r="Q5071" t="str">
        <f t="shared" si="792"/>
        <v/>
      </c>
      <c r="R5071" t="str">
        <f t="shared" si="793"/>
        <v/>
      </c>
      <c r="S5071" t="str">
        <f t="shared" si="794"/>
        <v/>
      </c>
      <c r="T5071" t="str">
        <f t="shared" si="795"/>
        <v/>
      </c>
      <c r="U5071" t="str">
        <f t="shared" si="796"/>
        <v/>
      </c>
      <c r="V5071" t="str">
        <f t="shared" si="797"/>
        <v/>
      </c>
      <c r="W5071" t="str">
        <f t="shared" si="798"/>
        <v/>
      </c>
      <c r="X5071">
        <f>IF($T5071="",N($X5070),IF(MATCH($T5071,$T$6:$T$10005,0)=ROW()-5,N($X5070)+1,N($X5070)))</f>
        <v>0</v>
      </c>
      <c r="Z5071" t="str">
        <f t="shared" si="799"/>
        <v/>
      </c>
      <c r="AA5071">
        <f>IF($V5071="",N($AA5070),IF(MATCH($V5071,$V$6:$V$10005,0)=ROW()-5,N($AA5070)+1,N($AA5070)))</f>
        <v>0</v>
      </c>
    </row>
    <row r="5072" spans="1:27" ht="21" customHeight="1" x14ac:dyDescent="0.95">
      <c r="A5072" s="56"/>
      <c r="B5072" s="57"/>
      <c r="C5072" s="57"/>
      <c r="D5072" s="57"/>
      <c r="E5072" s="56"/>
      <c r="F5072" s="57"/>
      <c r="G5072" s="57"/>
      <c r="H5072" s="56"/>
      <c r="I5072" s="56"/>
      <c r="J5072" s="58"/>
      <c r="K5072" s="58"/>
      <c r="L5072" s="13" t="str">
        <f t="shared" si="790"/>
        <v/>
      </c>
      <c r="M5072" s="13" t="str">
        <f t="shared" si="791"/>
        <v/>
      </c>
      <c r="Q5072" t="str">
        <f t="shared" si="792"/>
        <v/>
      </c>
      <c r="R5072" t="str">
        <f t="shared" si="793"/>
        <v/>
      </c>
      <c r="S5072" t="str">
        <f t="shared" si="794"/>
        <v/>
      </c>
      <c r="T5072" t="str">
        <f t="shared" si="795"/>
        <v/>
      </c>
      <c r="U5072" t="str">
        <f t="shared" si="796"/>
        <v/>
      </c>
      <c r="V5072" t="str">
        <f t="shared" si="797"/>
        <v/>
      </c>
      <c r="W5072" t="str">
        <f t="shared" si="798"/>
        <v/>
      </c>
      <c r="X5072">
        <f>IF($T5072="",N($X5071),IF(MATCH($T5072,$T$6:$T$10005,0)=ROW()-5,N($X5071)+1,N($X5071)))</f>
        <v>0</v>
      </c>
      <c r="Z5072" t="str">
        <f t="shared" si="799"/>
        <v/>
      </c>
      <c r="AA5072">
        <f>IF($V5072="",N($AA5071),IF(MATCH($V5072,$V$6:$V$10005,0)=ROW()-5,N($AA5071)+1,N($AA5071)))</f>
        <v>0</v>
      </c>
    </row>
    <row r="5073" spans="1:27" ht="21" customHeight="1" x14ac:dyDescent="0.95">
      <c r="A5073" s="56"/>
      <c r="B5073" s="57"/>
      <c r="C5073" s="57"/>
      <c r="D5073" s="57"/>
      <c r="E5073" s="56"/>
      <c r="F5073" s="57"/>
      <c r="G5073" s="57"/>
      <c r="H5073" s="56"/>
      <c r="I5073" s="56"/>
      <c r="J5073" s="58"/>
      <c r="K5073" s="58"/>
      <c r="L5073" s="13" t="str">
        <f t="shared" si="790"/>
        <v/>
      </c>
      <c r="M5073" s="13" t="str">
        <f t="shared" si="791"/>
        <v/>
      </c>
      <c r="Q5073" t="str">
        <f t="shared" si="792"/>
        <v/>
      </c>
      <c r="R5073" t="str">
        <f t="shared" si="793"/>
        <v/>
      </c>
      <c r="S5073" t="str">
        <f t="shared" si="794"/>
        <v/>
      </c>
      <c r="T5073" t="str">
        <f t="shared" si="795"/>
        <v/>
      </c>
      <c r="U5073" t="str">
        <f t="shared" si="796"/>
        <v/>
      </c>
      <c r="V5073" t="str">
        <f t="shared" si="797"/>
        <v/>
      </c>
      <c r="W5073" t="str">
        <f t="shared" si="798"/>
        <v/>
      </c>
      <c r="X5073">
        <f>IF($T5073="",N($X5072),IF(MATCH($T5073,$T$6:$T$10005,0)=ROW()-5,N($X5072)+1,N($X5072)))</f>
        <v>0</v>
      </c>
      <c r="Z5073" t="str">
        <f t="shared" si="799"/>
        <v/>
      </c>
      <c r="AA5073">
        <f>IF($V5073="",N($AA5072),IF(MATCH($V5073,$V$6:$V$10005,0)=ROW()-5,N($AA5072)+1,N($AA5072)))</f>
        <v>0</v>
      </c>
    </row>
    <row r="5074" spans="1:27" ht="21" customHeight="1" x14ac:dyDescent="0.95">
      <c r="A5074" s="56"/>
      <c r="B5074" s="57"/>
      <c r="C5074" s="57"/>
      <c r="D5074" s="57"/>
      <c r="E5074" s="56"/>
      <c r="F5074" s="57"/>
      <c r="G5074" s="57"/>
      <c r="H5074" s="56"/>
      <c r="I5074" s="56"/>
      <c r="J5074" s="58"/>
      <c r="K5074" s="58"/>
      <c r="L5074" s="13" t="str">
        <f t="shared" si="790"/>
        <v/>
      </c>
      <c r="M5074" s="13" t="str">
        <f t="shared" si="791"/>
        <v/>
      </c>
      <c r="Q5074" t="str">
        <f t="shared" si="792"/>
        <v/>
      </c>
      <c r="R5074" t="str">
        <f t="shared" si="793"/>
        <v/>
      </c>
      <c r="S5074" t="str">
        <f t="shared" si="794"/>
        <v/>
      </c>
      <c r="T5074" t="str">
        <f t="shared" si="795"/>
        <v/>
      </c>
      <c r="U5074" t="str">
        <f t="shared" si="796"/>
        <v/>
      </c>
      <c r="V5074" t="str">
        <f t="shared" si="797"/>
        <v/>
      </c>
      <c r="W5074" t="str">
        <f t="shared" si="798"/>
        <v/>
      </c>
      <c r="X5074">
        <f>IF($T5074="",N($X5073),IF(MATCH($T5074,$T$6:$T$10005,0)=ROW()-5,N($X5073)+1,N($X5073)))</f>
        <v>0</v>
      </c>
      <c r="Z5074" t="str">
        <f t="shared" si="799"/>
        <v/>
      </c>
      <c r="AA5074">
        <f>IF($V5074="",N($AA5073),IF(MATCH($V5074,$V$6:$V$10005,0)=ROW()-5,N($AA5073)+1,N($AA5073)))</f>
        <v>0</v>
      </c>
    </row>
    <row r="5075" spans="1:27" ht="21" customHeight="1" x14ac:dyDescent="0.95">
      <c r="A5075" s="56"/>
      <c r="B5075" s="57"/>
      <c r="C5075" s="57"/>
      <c r="D5075" s="57"/>
      <c r="E5075" s="56"/>
      <c r="F5075" s="57"/>
      <c r="G5075" s="57"/>
      <c r="H5075" s="56"/>
      <c r="I5075" s="56"/>
      <c r="J5075" s="58"/>
      <c r="K5075" s="58"/>
      <c r="L5075" s="13" t="str">
        <f t="shared" si="790"/>
        <v/>
      </c>
      <c r="M5075" s="13" t="str">
        <f t="shared" si="791"/>
        <v/>
      </c>
      <c r="Q5075" t="str">
        <f t="shared" si="792"/>
        <v/>
      </c>
      <c r="R5075" t="str">
        <f t="shared" si="793"/>
        <v/>
      </c>
      <c r="S5075" t="str">
        <f t="shared" si="794"/>
        <v/>
      </c>
      <c r="T5075" t="str">
        <f t="shared" si="795"/>
        <v/>
      </c>
      <c r="U5075" t="str">
        <f t="shared" si="796"/>
        <v/>
      </c>
      <c r="V5075" t="str">
        <f t="shared" si="797"/>
        <v/>
      </c>
      <c r="W5075" t="str">
        <f t="shared" si="798"/>
        <v/>
      </c>
      <c r="X5075">
        <f>IF($T5075="",N($X5074),IF(MATCH($T5075,$T$6:$T$10005,0)=ROW()-5,N($X5074)+1,N($X5074)))</f>
        <v>0</v>
      </c>
      <c r="Z5075" t="str">
        <f t="shared" si="799"/>
        <v/>
      </c>
      <c r="AA5075">
        <f>IF($V5075="",N($AA5074),IF(MATCH($V5075,$V$6:$V$10005,0)=ROW()-5,N($AA5074)+1,N($AA5074)))</f>
        <v>0</v>
      </c>
    </row>
    <row r="5076" spans="1:27" ht="21" customHeight="1" x14ac:dyDescent="0.95">
      <c r="A5076" s="56"/>
      <c r="B5076" s="57"/>
      <c r="C5076" s="57"/>
      <c r="D5076" s="57"/>
      <c r="E5076" s="56"/>
      <c r="F5076" s="57"/>
      <c r="G5076" s="57"/>
      <c r="H5076" s="56"/>
      <c r="I5076" s="56"/>
      <c r="J5076" s="58"/>
      <c r="K5076" s="58"/>
      <c r="L5076" s="13" t="str">
        <f t="shared" si="790"/>
        <v/>
      </c>
      <c r="M5076" s="13" t="str">
        <f t="shared" si="791"/>
        <v/>
      </c>
      <c r="Q5076" t="str">
        <f t="shared" si="792"/>
        <v/>
      </c>
      <c r="R5076" t="str">
        <f t="shared" si="793"/>
        <v/>
      </c>
      <c r="S5076" t="str">
        <f t="shared" si="794"/>
        <v/>
      </c>
      <c r="T5076" t="str">
        <f t="shared" si="795"/>
        <v/>
      </c>
      <c r="U5076" t="str">
        <f t="shared" si="796"/>
        <v/>
      </c>
      <c r="V5076" t="str">
        <f t="shared" si="797"/>
        <v/>
      </c>
      <c r="W5076" t="str">
        <f t="shared" si="798"/>
        <v/>
      </c>
      <c r="X5076">
        <f>IF($T5076="",N($X5075),IF(MATCH($T5076,$T$6:$T$10005,0)=ROW()-5,N($X5075)+1,N($X5075)))</f>
        <v>0</v>
      </c>
      <c r="Z5076" t="str">
        <f t="shared" si="799"/>
        <v/>
      </c>
      <c r="AA5076">
        <f>IF($V5076="",N($AA5075),IF(MATCH($V5076,$V$6:$V$10005,0)=ROW()-5,N($AA5075)+1,N($AA5075)))</f>
        <v>0</v>
      </c>
    </row>
    <row r="5077" spans="1:27" ht="21" customHeight="1" x14ac:dyDescent="0.95">
      <c r="A5077" s="56"/>
      <c r="B5077" s="57"/>
      <c r="C5077" s="57"/>
      <c r="D5077" s="57"/>
      <c r="E5077" s="56"/>
      <c r="F5077" s="57"/>
      <c r="G5077" s="57"/>
      <c r="H5077" s="56"/>
      <c r="I5077" s="56"/>
      <c r="J5077" s="58"/>
      <c r="K5077" s="58"/>
      <c r="L5077" s="13" t="str">
        <f t="shared" si="790"/>
        <v/>
      </c>
      <c r="M5077" s="13" t="str">
        <f t="shared" si="791"/>
        <v/>
      </c>
      <c r="Q5077" t="str">
        <f t="shared" si="792"/>
        <v/>
      </c>
      <c r="R5077" t="str">
        <f t="shared" si="793"/>
        <v/>
      </c>
      <c r="S5077" t="str">
        <f t="shared" si="794"/>
        <v/>
      </c>
      <c r="T5077" t="str">
        <f t="shared" si="795"/>
        <v/>
      </c>
      <c r="U5077" t="str">
        <f t="shared" si="796"/>
        <v/>
      </c>
      <c r="V5077" t="str">
        <f t="shared" si="797"/>
        <v/>
      </c>
      <c r="W5077" t="str">
        <f t="shared" si="798"/>
        <v/>
      </c>
      <c r="X5077">
        <f>IF($T5077="",N($X5076),IF(MATCH($T5077,$T$6:$T$10005,0)=ROW()-5,N($X5076)+1,N($X5076)))</f>
        <v>0</v>
      </c>
      <c r="Z5077" t="str">
        <f t="shared" si="799"/>
        <v/>
      </c>
      <c r="AA5077">
        <f>IF($V5077="",N($AA5076),IF(MATCH($V5077,$V$6:$V$10005,0)=ROW()-5,N($AA5076)+1,N($AA5076)))</f>
        <v>0</v>
      </c>
    </row>
    <row r="5078" spans="1:27" ht="21" customHeight="1" x14ac:dyDescent="0.95">
      <c r="A5078" s="56"/>
      <c r="B5078" s="57"/>
      <c r="C5078" s="57"/>
      <c r="D5078" s="57"/>
      <c r="E5078" s="56"/>
      <c r="F5078" s="57"/>
      <c r="G5078" s="57"/>
      <c r="H5078" s="56"/>
      <c r="I5078" s="56"/>
      <c r="J5078" s="58"/>
      <c r="K5078" s="58"/>
      <c r="L5078" s="13" t="str">
        <f t="shared" si="790"/>
        <v/>
      </c>
      <c r="M5078" s="13" t="str">
        <f t="shared" si="791"/>
        <v/>
      </c>
      <c r="Q5078" t="str">
        <f t="shared" si="792"/>
        <v/>
      </c>
      <c r="R5078" t="str">
        <f t="shared" si="793"/>
        <v/>
      </c>
      <c r="S5078" t="str">
        <f t="shared" si="794"/>
        <v/>
      </c>
      <c r="T5078" t="str">
        <f t="shared" si="795"/>
        <v/>
      </c>
      <c r="U5078" t="str">
        <f t="shared" si="796"/>
        <v/>
      </c>
      <c r="V5078" t="str">
        <f t="shared" si="797"/>
        <v/>
      </c>
      <c r="W5078" t="str">
        <f t="shared" si="798"/>
        <v/>
      </c>
      <c r="X5078">
        <f>IF($T5078="",N($X5077),IF(MATCH($T5078,$T$6:$T$10005,0)=ROW()-5,N($X5077)+1,N($X5077)))</f>
        <v>0</v>
      </c>
      <c r="Z5078" t="str">
        <f t="shared" si="799"/>
        <v/>
      </c>
      <c r="AA5078">
        <f>IF($V5078="",N($AA5077),IF(MATCH($V5078,$V$6:$V$10005,0)=ROW()-5,N($AA5077)+1,N($AA5077)))</f>
        <v>0</v>
      </c>
    </row>
    <row r="5079" spans="1:27" ht="21" customHeight="1" x14ac:dyDescent="0.95">
      <c r="A5079" s="56"/>
      <c r="B5079" s="57"/>
      <c r="C5079" s="57"/>
      <c r="D5079" s="57"/>
      <c r="E5079" s="56"/>
      <c r="F5079" s="57"/>
      <c r="G5079" s="57"/>
      <c r="H5079" s="56"/>
      <c r="I5079" s="56"/>
      <c r="J5079" s="58"/>
      <c r="K5079" s="58"/>
      <c r="L5079" s="13" t="str">
        <f t="shared" si="790"/>
        <v/>
      </c>
      <c r="M5079" s="13" t="str">
        <f t="shared" si="791"/>
        <v/>
      </c>
      <c r="Q5079" t="str">
        <f t="shared" si="792"/>
        <v/>
      </c>
      <c r="R5079" t="str">
        <f t="shared" si="793"/>
        <v/>
      </c>
      <c r="S5079" t="str">
        <f t="shared" si="794"/>
        <v/>
      </c>
      <c r="T5079" t="str">
        <f t="shared" si="795"/>
        <v/>
      </c>
      <c r="U5079" t="str">
        <f t="shared" si="796"/>
        <v/>
      </c>
      <c r="V5079" t="str">
        <f t="shared" si="797"/>
        <v/>
      </c>
      <c r="W5079" t="str">
        <f t="shared" si="798"/>
        <v/>
      </c>
      <c r="X5079">
        <f>IF($T5079="",N($X5078),IF(MATCH($T5079,$T$6:$T$10005,0)=ROW()-5,N($X5078)+1,N($X5078)))</f>
        <v>0</v>
      </c>
      <c r="Z5079" t="str">
        <f t="shared" si="799"/>
        <v/>
      </c>
      <c r="AA5079">
        <f>IF($V5079="",N($AA5078),IF(MATCH($V5079,$V$6:$V$10005,0)=ROW()-5,N($AA5078)+1,N($AA5078)))</f>
        <v>0</v>
      </c>
    </row>
    <row r="5080" spans="1:27" ht="21" customHeight="1" x14ac:dyDescent="0.95">
      <c r="A5080" s="56"/>
      <c r="B5080" s="57"/>
      <c r="C5080" s="57"/>
      <c r="D5080" s="57"/>
      <c r="E5080" s="56"/>
      <c r="F5080" s="57"/>
      <c r="G5080" s="57"/>
      <c r="H5080" s="56"/>
      <c r="I5080" s="56"/>
      <c r="J5080" s="58"/>
      <c r="K5080" s="58"/>
      <c r="L5080" s="13" t="str">
        <f t="shared" si="790"/>
        <v/>
      </c>
      <c r="M5080" s="13" t="str">
        <f t="shared" si="791"/>
        <v/>
      </c>
      <c r="Q5080" t="str">
        <f t="shared" si="792"/>
        <v/>
      </c>
      <c r="R5080" t="str">
        <f t="shared" si="793"/>
        <v/>
      </c>
      <c r="S5080" t="str">
        <f t="shared" si="794"/>
        <v/>
      </c>
      <c r="T5080" t="str">
        <f t="shared" si="795"/>
        <v/>
      </c>
      <c r="U5080" t="str">
        <f t="shared" si="796"/>
        <v/>
      </c>
      <c r="V5080" t="str">
        <f t="shared" si="797"/>
        <v/>
      </c>
      <c r="W5080" t="str">
        <f t="shared" si="798"/>
        <v/>
      </c>
      <c r="X5080">
        <f>IF($T5080="",N($X5079),IF(MATCH($T5080,$T$6:$T$10005,0)=ROW()-5,N($X5079)+1,N($X5079)))</f>
        <v>0</v>
      </c>
      <c r="Z5080" t="str">
        <f t="shared" si="799"/>
        <v/>
      </c>
      <c r="AA5080">
        <f>IF($V5080="",N($AA5079),IF(MATCH($V5080,$V$6:$V$10005,0)=ROW()-5,N($AA5079)+1,N($AA5079)))</f>
        <v>0</v>
      </c>
    </row>
    <row r="5081" spans="1:27" ht="21" customHeight="1" x14ac:dyDescent="0.95">
      <c r="A5081" s="56"/>
      <c r="B5081" s="57"/>
      <c r="C5081" s="57"/>
      <c r="D5081" s="57"/>
      <c r="E5081" s="56"/>
      <c r="F5081" s="57"/>
      <c r="G5081" s="57"/>
      <c r="H5081" s="56"/>
      <c r="I5081" s="56"/>
      <c r="J5081" s="58"/>
      <c r="K5081" s="58"/>
      <c r="L5081" s="13" t="str">
        <f t="shared" si="790"/>
        <v/>
      </c>
      <c r="M5081" s="13" t="str">
        <f t="shared" si="791"/>
        <v/>
      </c>
      <c r="Q5081" t="str">
        <f t="shared" si="792"/>
        <v/>
      </c>
      <c r="R5081" t="str">
        <f t="shared" si="793"/>
        <v/>
      </c>
      <c r="S5081" t="str">
        <f t="shared" si="794"/>
        <v/>
      </c>
      <c r="T5081" t="str">
        <f t="shared" si="795"/>
        <v/>
      </c>
      <c r="U5081" t="str">
        <f t="shared" si="796"/>
        <v/>
      </c>
      <c r="V5081" t="str">
        <f t="shared" si="797"/>
        <v/>
      </c>
      <c r="W5081" t="str">
        <f t="shared" si="798"/>
        <v/>
      </c>
      <c r="X5081">
        <f>IF($T5081="",N($X5080),IF(MATCH($T5081,$T$6:$T$10005,0)=ROW()-5,N($X5080)+1,N($X5080)))</f>
        <v>0</v>
      </c>
      <c r="Z5081" t="str">
        <f t="shared" si="799"/>
        <v/>
      </c>
      <c r="AA5081">
        <f>IF($V5081="",N($AA5080),IF(MATCH($V5081,$V$6:$V$10005,0)=ROW()-5,N($AA5080)+1,N($AA5080)))</f>
        <v>0</v>
      </c>
    </row>
    <row r="5082" spans="1:27" ht="21" customHeight="1" x14ac:dyDescent="0.95">
      <c r="A5082" s="56"/>
      <c r="B5082" s="57"/>
      <c r="C5082" s="57"/>
      <c r="D5082" s="57"/>
      <c r="E5082" s="56"/>
      <c r="F5082" s="57"/>
      <c r="G5082" s="57"/>
      <c r="H5082" s="56"/>
      <c r="I5082" s="56"/>
      <c r="J5082" s="58"/>
      <c r="K5082" s="58"/>
      <c r="L5082" s="13" t="str">
        <f t="shared" si="790"/>
        <v/>
      </c>
      <c r="M5082" s="13" t="str">
        <f t="shared" si="791"/>
        <v/>
      </c>
      <c r="Q5082" t="str">
        <f t="shared" si="792"/>
        <v/>
      </c>
      <c r="R5082" t="str">
        <f t="shared" si="793"/>
        <v/>
      </c>
      <c r="S5082" t="str">
        <f t="shared" si="794"/>
        <v/>
      </c>
      <c r="T5082" t="str">
        <f t="shared" si="795"/>
        <v/>
      </c>
      <c r="U5082" t="str">
        <f t="shared" si="796"/>
        <v/>
      </c>
      <c r="V5082" t="str">
        <f t="shared" si="797"/>
        <v/>
      </c>
      <c r="W5082" t="str">
        <f t="shared" si="798"/>
        <v/>
      </c>
      <c r="X5082">
        <f>IF($T5082="",N($X5081),IF(MATCH($T5082,$T$6:$T$10005,0)=ROW()-5,N($X5081)+1,N($X5081)))</f>
        <v>0</v>
      </c>
      <c r="Z5082" t="str">
        <f t="shared" si="799"/>
        <v/>
      </c>
      <c r="AA5082">
        <f>IF($V5082="",N($AA5081),IF(MATCH($V5082,$V$6:$V$10005,0)=ROW()-5,N($AA5081)+1,N($AA5081)))</f>
        <v>0</v>
      </c>
    </row>
    <row r="5083" spans="1:27" ht="21" customHeight="1" x14ac:dyDescent="0.95">
      <c r="A5083" s="56"/>
      <c r="B5083" s="57"/>
      <c r="C5083" s="57"/>
      <c r="D5083" s="57"/>
      <c r="E5083" s="56"/>
      <c r="F5083" s="57"/>
      <c r="G5083" s="57"/>
      <c r="H5083" s="56"/>
      <c r="I5083" s="56"/>
      <c r="J5083" s="58"/>
      <c r="K5083" s="58"/>
      <c r="L5083" s="13" t="str">
        <f t="shared" si="790"/>
        <v/>
      </c>
      <c r="M5083" s="13" t="str">
        <f t="shared" si="791"/>
        <v/>
      </c>
      <c r="Q5083" t="str">
        <f t="shared" si="792"/>
        <v/>
      </c>
      <c r="R5083" t="str">
        <f t="shared" si="793"/>
        <v/>
      </c>
      <c r="S5083" t="str">
        <f t="shared" si="794"/>
        <v/>
      </c>
      <c r="T5083" t="str">
        <f t="shared" si="795"/>
        <v/>
      </c>
      <c r="U5083" t="str">
        <f t="shared" si="796"/>
        <v/>
      </c>
      <c r="V5083" t="str">
        <f t="shared" si="797"/>
        <v/>
      </c>
      <c r="W5083" t="str">
        <f t="shared" si="798"/>
        <v/>
      </c>
      <c r="X5083">
        <f>IF($T5083="",N($X5082),IF(MATCH($T5083,$T$6:$T$10005,0)=ROW()-5,N($X5082)+1,N($X5082)))</f>
        <v>0</v>
      </c>
      <c r="Z5083" t="str">
        <f t="shared" si="799"/>
        <v/>
      </c>
      <c r="AA5083">
        <f>IF($V5083="",N($AA5082),IF(MATCH($V5083,$V$6:$V$10005,0)=ROW()-5,N($AA5082)+1,N($AA5082)))</f>
        <v>0</v>
      </c>
    </row>
    <row r="5084" spans="1:27" ht="21" customHeight="1" x14ac:dyDescent="0.95">
      <c r="A5084" s="56"/>
      <c r="B5084" s="57"/>
      <c r="C5084" s="57"/>
      <c r="D5084" s="57"/>
      <c r="E5084" s="56"/>
      <c r="F5084" s="57"/>
      <c r="G5084" s="57"/>
      <c r="H5084" s="56"/>
      <c r="I5084" s="56"/>
      <c r="J5084" s="58"/>
      <c r="K5084" s="58"/>
      <c r="L5084" s="13" t="str">
        <f t="shared" si="790"/>
        <v/>
      </c>
      <c r="M5084" s="13" t="str">
        <f t="shared" si="791"/>
        <v/>
      </c>
      <c r="Q5084" t="str">
        <f t="shared" si="792"/>
        <v/>
      </c>
      <c r="R5084" t="str">
        <f t="shared" si="793"/>
        <v/>
      </c>
      <c r="S5084" t="str">
        <f t="shared" si="794"/>
        <v/>
      </c>
      <c r="T5084" t="str">
        <f t="shared" si="795"/>
        <v/>
      </c>
      <c r="U5084" t="str">
        <f t="shared" si="796"/>
        <v/>
      </c>
      <c r="V5084" t="str">
        <f t="shared" si="797"/>
        <v/>
      </c>
      <c r="W5084" t="str">
        <f t="shared" si="798"/>
        <v/>
      </c>
      <c r="X5084">
        <f>IF($T5084="",N($X5083),IF(MATCH($T5084,$T$6:$T$10005,0)=ROW()-5,N($X5083)+1,N($X5083)))</f>
        <v>0</v>
      </c>
      <c r="Z5084" t="str">
        <f t="shared" si="799"/>
        <v/>
      </c>
      <c r="AA5084">
        <f>IF($V5084="",N($AA5083),IF(MATCH($V5084,$V$6:$V$10005,0)=ROW()-5,N($AA5083)+1,N($AA5083)))</f>
        <v>0</v>
      </c>
    </row>
    <row r="5085" spans="1:27" ht="21" customHeight="1" x14ac:dyDescent="0.95">
      <c r="A5085" s="56"/>
      <c r="B5085" s="57"/>
      <c r="C5085" s="57"/>
      <c r="D5085" s="57"/>
      <c r="E5085" s="56"/>
      <c r="F5085" s="57"/>
      <c r="G5085" s="57"/>
      <c r="H5085" s="56"/>
      <c r="I5085" s="56"/>
      <c r="J5085" s="58"/>
      <c r="K5085" s="58"/>
      <c r="L5085" s="13" t="str">
        <f t="shared" si="790"/>
        <v/>
      </c>
      <c r="M5085" s="13" t="str">
        <f t="shared" si="791"/>
        <v/>
      </c>
      <c r="Q5085" t="str">
        <f t="shared" si="792"/>
        <v/>
      </c>
      <c r="R5085" t="str">
        <f t="shared" si="793"/>
        <v/>
      </c>
      <c r="S5085" t="str">
        <f t="shared" si="794"/>
        <v/>
      </c>
      <c r="T5085" t="str">
        <f t="shared" si="795"/>
        <v/>
      </c>
      <c r="U5085" t="str">
        <f t="shared" si="796"/>
        <v/>
      </c>
      <c r="V5085" t="str">
        <f t="shared" si="797"/>
        <v/>
      </c>
      <c r="W5085" t="str">
        <f t="shared" si="798"/>
        <v/>
      </c>
      <c r="X5085">
        <f>IF($T5085="",N($X5084),IF(MATCH($T5085,$T$6:$T$10005,0)=ROW()-5,N($X5084)+1,N($X5084)))</f>
        <v>0</v>
      </c>
      <c r="Z5085" t="str">
        <f t="shared" si="799"/>
        <v/>
      </c>
      <c r="AA5085">
        <f>IF($V5085="",N($AA5084),IF(MATCH($V5085,$V$6:$V$10005,0)=ROW()-5,N($AA5084)+1,N($AA5084)))</f>
        <v>0</v>
      </c>
    </row>
    <row r="5086" spans="1:27" ht="21" customHeight="1" x14ac:dyDescent="0.95">
      <c r="A5086" s="56"/>
      <c r="B5086" s="57"/>
      <c r="C5086" s="57"/>
      <c r="D5086" s="57"/>
      <c r="E5086" s="56"/>
      <c r="F5086" s="57"/>
      <c r="G5086" s="57"/>
      <c r="H5086" s="56"/>
      <c r="I5086" s="56"/>
      <c r="J5086" s="58"/>
      <c r="K5086" s="58"/>
      <c r="L5086" s="13" t="str">
        <f t="shared" si="790"/>
        <v/>
      </c>
      <c r="M5086" s="13" t="str">
        <f t="shared" si="791"/>
        <v/>
      </c>
      <c r="Q5086" t="str">
        <f t="shared" si="792"/>
        <v/>
      </c>
      <c r="R5086" t="str">
        <f t="shared" si="793"/>
        <v/>
      </c>
      <c r="S5086" t="str">
        <f t="shared" si="794"/>
        <v/>
      </c>
      <c r="T5086" t="str">
        <f t="shared" si="795"/>
        <v/>
      </c>
      <c r="U5086" t="str">
        <f t="shared" si="796"/>
        <v/>
      </c>
      <c r="V5086" t="str">
        <f t="shared" si="797"/>
        <v/>
      </c>
      <c r="W5086" t="str">
        <f t="shared" si="798"/>
        <v/>
      </c>
      <c r="X5086">
        <f>IF($T5086="",N($X5085),IF(MATCH($T5086,$T$6:$T$10005,0)=ROW()-5,N($X5085)+1,N($X5085)))</f>
        <v>0</v>
      </c>
      <c r="Z5086" t="str">
        <f t="shared" si="799"/>
        <v/>
      </c>
      <c r="AA5086">
        <f>IF($V5086="",N($AA5085),IF(MATCH($V5086,$V$6:$V$10005,0)=ROW()-5,N($AA5085)+1,N($AA5085)))</f>
        <v>0</v>
      </c>
    </row>
    <row r="5087" spans="1:27" ht="21" customHeight="1" x14ac:dyDescent="0.95">
      <c r="A5087" s="56"/>
      <c r="B5087" s="57"/>
      <c r="C5087" s="57"/>
      <c r="D5087" s="57"/>
      <c r="E5087" s="56"/>
      <c r="F5087" s="57"/>
      <c r="G5087" s="57"/>
      <c r="H5087" s="56"/>
      <c r="I5087" s="56"/>
      <c r="J5087" s="58"/>
      <c r="K5087" s="58"/>
      <c r="L5087" s="13" t="str">
        <f t="shared" si="790"/>
        <v/>
      </c>
      <c r="M5087" s="13" t="str">
        <f t="shared" si="791"/>
        <v/>
      </c>
      <c r="Q5087" t="str">
        <f t="shared" si="792"/>
        <v/>
      </c>
      <c r="R5087" t="str">
        <f t="shared" si="793"/>
        <v/>
      </c>
      <c r="S5087" t="str">
        <f t="shared" si="794"/>
        <v/>
      </c>
      <c r="T5087" t="str">
        <f t="shared" si="795"/>
        <v/>
      </c>
      <c r="U5087" t="str">
        <f t="shared" si="796"/>
        <v/>
      </c>
      <c r="V5087" t="str">
        <f t="shared" si="797"/>
        <v/>
      </c>
      <c r="W5087" t="str">
        <f t="shared" si="798"/>
        <v/>
      </c>
      <c r="X5087">
        <f>IF($T5087="",N($X5086),IF(MATCH($T5087,$T$6:$T$10005,0)=ROW()-5,N($X5086)+1,N($X5086)))</f>
        <v>0</v>
      </c>
      <c r="Z5087" t="str">
        <f t="shared" si="799"/>
        <v/>
      </c>
      <c r="AA5087">
        <f>IF($V5087="",N($AA5086),IF(MATCH($V5087,$V$6:$V$10005,0)=ROW()-5,N($AA5086)+1,N($AA5086)))</f>
        <v>0</v>
      </c>
    </row>
    <row r="5088" spans="1:27" ht="21" customHeight="1" x14ac:dyDescent="0.95">
      <c r="A5088" s="56"/>
      <c r="B5088" s="57"/>
      <c r="C5088" s="57"/>
      <c r="D5088" s="57"/>
      <c r="E5088" s="56"/>
      <c r="F5088" s="57"/>
      <c r="G5088" s="57"/>
      <c r="H5088" s="56"/>
      <c r="I5088" s="56"/>
      <c r="J5088" s="58"/>
      <c r="K5088" s="58"/>
      <c r="L5088" s="13" t="str">
        <f t="shared" si="790"/>
        <v/>
      </c>
      <c r="M5088" s="13" t="str">
        <f t="shared" si="791"/>
        <v/>
      </c>
      <c r="Q5088" t="str">
        <f t="shared" si="792"/>
        <v/>
      </c>
      <c r="R5088" t="str">
        <f t="shared" si="793"/>
        <v/>
      </c>
      <c r="S5088" t="str">
        <f t="shared" si="794"/>
        <v/>
      </c>
      <c r="T5088" t="str">
        <f t="shared" si="795"/>
        <v/>
      </c>
      <c r="U5088" t="str">
        <f t="shared" si="796"/>
        <v/>
      </c>
      <c r="V5088" t="str">
        <f t="shared" si="797"/>
        <v/>
      </c>
      <c r="W5088" t="str">
        <f t="shared" si="798"/>
        <v/>
      </c>
      <c r="X5088">
        <f>IF($T5088="",N($X5087),IF(MATCH($T5088,$T$6:$T$10005,0)=ROW()-5,N($X5087)+1,N($X5087)))</f>
        <v>0</v>
      </c>
      <c r="Z5088" t="str">
        <f t="shared" si="799"/>
        <v/>
      </c>
      <c r="AA5088">
        <f>IF($V5088="",N($AA5087),IF(MATCH($V5088,$V$6:$V$10005,0)=ROW()-5,N($AA5087)+1,N($AA5087)))</f>
        <v>0</v>
      </c>
    </row>
    <row r="5089" spans="1:27" ht="21" customHeight="1" x14ac:dyDescent="0.95">
      <c r="A5089" s="56"/>
      <c r="B5089" s="57"/>
      <c r="C5089" s="57"/>
      <c r="D5089" s="57"/>
      <c r="E5089" s="56"/>
      <c r="F5089" s="57"/>
      <c r="G5089" s="57"/>
      <c r="H5089" s="56"/>
      <c r="I5089" s="56"/>
      <c r="J5089" s="58"/>
      <c r="K5089" s="58"/>
      <c r="L5089" s="13" t="str">
        <f t="shared" si="790"/>
        <v/>
      </c>
      <c r="M5089" s="13" t="str">
        <f t="shared" si="791"/>
        <v/>
      </c>
      <c r="Q5089" t="str">
        <f t="shared" si="792"/>
        <v/>
      </c>
      <c r="R5089" t="str">
        <f t="shared" si="793"/>
        <v/>
      </c>
      <c r="S5089" t="str">
        <f t="shared" si="794"/>
        <v/>
      </c>
      <c r="T5089" t="str">
        <f t="shared" si="795"/>
        <v/>
      </c>
      <c r="U5089" t="str">
        <f t="shared" si="796"/>
        <v/>
      </c>
      <c r="V5089" t="str">
        <f t="shared" si="797"/>
        <v/>
      </c>
      <c r="W5089" t="str">
        <f t="shared" si="798"/>
        <v/>
      </c>
      <c r="X5089">
        <f>IF($T5089="",N($X5088),IF(MATCH($T5089,$T$6:$T$10005,0)=ROW()-5,N($X5088)+1,N($X5088)))</f>
        <v>0</v>
      </c>
      <c r="Z5089" t="str">
        <f t="shared" si="799"/>
        <v/>
      </c>
      <c r="AA5089">
        <f>IF($V5089="",N($AA5088),IF(MATCH($V5089,$V$6:$V$10005,0)=ROW()-5,N($AA5088)+1,N($AA5088)))</f>
        <v>0</v>
      </c>
    </row>
    <row r="5090" spans="1:27" ht="21" customHeight="1" x14ac:dyDescent="0.95">
      <c r="A5090" s="56"/>
      <c r="B5090" s="57"/>
      <c r="C5090" s="57"/>
      <c r="D5090" s="57"/>
      <c r="E5090" s="56"/>
      <c r="F5090" s="57"/>
      <c r="G5090" s="57"/>
      <c r="H5090" s="56"/>
      <c r="I5090" s="56"/>
      <c r="J5090" s="58"/>
      <c r="K5090" s="58"/>
      <c r="L5090" s="13" t="str">
        <f t="shared" si="790"/>
        <v/>
      </c>
      <c r="M5090" s="13" t="str">
        <f t="shared" si="791"/>
        <v/>
      </c>
      <c r="Q5090" t="str">
        <f t="shared" si="792"/>
        <v/>
      </c>
      <c r="R5090" t="str">
        <f t="shared" si="793"/>
        <v/>
      </c>
      <c r="S5090" t="str">
        <f t="shared" si="794"/>
        <v/>
      </c>
      <c r="T5090" t="str">
        <f t="shared" si="795"/>
        <v/>
      </c>
      <c r="U5090" t="str">
        <f t="shared" si="796"/>
        <v/>
      </c>
      <c r="V5090" t="str">
        <f t="shared" si="797"/>
        <v/>
      </c>
      <c r="W5090" t="str">
        <f t="shared" si="798"/>
        <v/>
      </c>
      <c r="X5090">
        <f>IF($T5090="",N($X5089),IF(MATCH($T5090,$T$6:$T$10005,0)=ROW()-5,N($X5089)+1,N($X5089)))</f>
        <v>0</v>
      </c>
      <c r="Z5090" t="str">
        <f t="shared" si="799"/>
        <v/>
      </c>
      <c r="AA5090">
        <f>IF($V5090="",N($AA5089),IF(MATCH($V5090,$V$6:$V$10005,0)=ROW()-5,N($AA5089)+1,N($AA5089)))</f>
        <v>0</v>
      </c>
    </row>
    <row r="5091" spans="1:27" ht="21" customHeight="1" x14ac:dyDescent="0.95">
      <c r="A5091" s="56"/>
      <c r="B5091" s="57"/>
      <c r="C5091" s="57"/>
      <c r="D5091" s="57"/>
      <c r="E5091" s="56"/>
      <c r="F5091" s="57"/>
      <c r="G5091" s="57"/>
      <c r="H5091" s="56"/>
      <c r="I5091" s="56"/>
      <c r="J5091" s="58"/>
      <c r="K5091" s="58"/>
      <c r="L5091" s="13" t="str">
        <f t="shared" si="790"/>
        <v/>
      </c>
      <c r="M5091" s="13" t="str">
        <f t="shared" si="791"/>
        <v/>
      </c>
      <c r="Q5091" t="str">
        <f t="shared" si="792"/>
        <v/>
      </c>
      <c r="R5091" t="str">
        <f t="shared" si="793"/>
        <v/>
      </c>
      <c r="S5091" t="str">
        <f t="shared" si="794"/>
        <v/>
      </c>
      <c r="T5091" t="str">
        <f t="shared" si="795"/>
        <v/>
      </c>
      <c r="U5091" t="str">
        <f t="shared" si="796"/>
        <v/>
      </c>
      <c r="V5091" t="str">
        <f t="shared" si="797"/>
        <v/>
      </c>
      <c r="W5091" t="str">
        <f t="shared" si="798"/>
        <v/>
      </c>
      <c r="X5091">
        <f>IF($T5091="",N($X5090),IF(MATCH($T5091,$T$6:$T$10005,0)=ROW()-5,N($X5090)+1,N($X5090)))</f>
        <v>0</v>
      </c>
      <c r="Z5091" t="str">
        <f t="shared" si="799"/>
        <v/>
      </c>
      <c r="AA5091">
        <f>IF($V5091="",N($AA5090),IF(MATCH($V5091,$V$6:$V$10005,0)=ROW()-5,N($AA5090)+1,N($AA5090)))</f>
        <v>0</v>
      </c>
    </row>
    <row r="5092" spans="1:27" ht="21" customHeight="1" x14ac:dyDescent="0.95">
      <c r="A5092" s="56"/>
      <c r="B5092" s="57"/>
      <c r="C5092" s="57"/>
      <c r="D5092" s="57"/>
      <c r="E5092" s="56"/>
      <c r="F5092" s="57"/>
      <c r="G5092" s="57"/>
      <c r="H5092" s="56"/>
      <c r="I5092" s="56"/>
      <c r="J5092" s="58"/>
      <c r="K5092" s="58"/>
      <c r="L5092" s="13" t="str">
        <f t="shared" si="790"/>
        <v/>
      </c>
      <c r="M5092" s="13" t="str">
        <f t="shared" si="791"/>
        <v/>
      </c>
      <c r="Q5092" t="str">
        <f t="shared" si="792"/>
        <v/>
      </c>
      <c r="R5092" t="str">
        <f t="shared" si="793"/>
        <v/>
      </c>
      <c r="S5092" t="str">
        <f t="shared" si="794"/>
        <v/>
      </c>
      <c r="T5092" t="str">
        <f t="shared" si="795"/>
        <v/>
      </c>
      <c r="U5092" t="str">
        <f t="shared" si="796"/>
        <v/>
      </c>
      <c r="V5092" t="str">
        <f t="shared" si="797"/>
        <v/>
      </c>
      <c r="W5092" t="str">
        <f t="shared" si="798"/>
        <v/>
      </c>
      <c r="X5092">
        <f>IF($T5092="",N($X5091),IF(MATCH($T5092,$T$6:$T$10005,0)=ROW()-5,N($X5091)+1,N($X5091)))</f>
        <v>0</v>
      </c>
      <c r="Z5092" t="str">
        <f t="shared" si="799"/>
        <v/>
      </c>
      <c r="AA5092">
        <f>IF($V5092="",N($AA5091),IF(MATCH($V5092,$V$6:$V$10005,0)=ROW()-5,N($AA5091)+1,N($AA5091)))</f>
        <v>0</v>
      </c>
    </row>
    <row r="5093" spans="1:27" ht="21" customHeight="1" x14ac:dyDescent="0.95">
      <c r="A5093" s="56"/>
      <c r="B5093" s="57"/>
      <c r="C5093" s="57"/>
      <c r="D5093" s="57"/>
      <c r="E5093" s="56"/>
      <c r="F5093" s="57"/>
      <c r="G5093" s="57"/>
      <c r="H5093" s="56"/>
      <c r="I5093" s="56"/>
      <c r="J5093" s="58"/>
      <c r="K5093" s="58"/>
      <c r="L5093" s="13" t="str">
        <f t="shared" si="790"/>
        <v/>
      </c>
      <c r="M5093" s="13" t="str">
        <f t="shared" si="791"/>
        <v/>
      </c>
      <c r="Q5093" t="str">
        <f t="shared" si="792"/>
        <v/>
      </c>
      <c r="R5093" t="str">
        <f t="shared" si="793"/>
        <v/>
      </c>
      <c r="S5093" t="str">
        <f t="shared" si="794"/>
        <v/>
      </c>
      <c r="T5093" t="str">
        <f t="shared" si="795"/>
        <v/>
      </c>
      <c r="U5093" t="str">
        <f t="shared" si="796"/>
        <v/>
      </c>
      <c r="V5093" t="str">
        <f t="shared" si="797"/>
        <v/>
      </c>
      <c r="W5093" t="str">
        <f t="shared" si="798"/>
        <v/>
      </c>
      <c r="X5093">
        <f>IF($T5093="",N($X5092),IF(MATCH($T5093,$T$6:$T$10005,0)=ROW()-5,N($X5092)+1,N($X5092)))</f>
        <v>0</v>
      </c>
      <c r="Z5093" t="str">
        <f t="shared" si="799"/>
        <v/>
      </c>
      <c r="AA5093">
        <f>IF($V5093="",N($AA5092),IF(MATCH($V5093,$V$6:$V$10005,0)=ROW()-5,N($AA5092)+1,N($AA5092)))</f>
        <v>0</v>
      </c>
    </row>
    <row r="5094" spans="1:27" ht="21" customHeight="1" x14ac:dyDescent="0.95">
      <c r="A5094" s="56"/>
      <c r="B5094" s="57"/>
      <c r="C5094" s="57"/>
      <c r="D5094" s="57"/>
      <c r="E5094" s="56"/>
      <c r="F5094" s="57"/>
      <c r="G5094" s="57"/>
      <c r="H5094" s="56"/>
      <c r="I5094" s="56"/>
      <c r="J5094" s="58"/>
      <c r="K5094" s="58"/>
      <c r="L5094" s="13" t="str">
        <f t="shared" si="790"/>
        <v/>
      </c>
      <c r="M5094" s="13" t="str">
        <f t="shared" si="791"/>
        <v/>
      </c>
      <c r="Q5094" t="str">
        <f t="shared" si="792"/>
        <v/>
      </c>
      <c r="R5094" t="str">
        <f t="shared" si="793"/>
        <v/>
      </c>
      <c r="S5094" t="str">
        <f t="shared" si="794"/>
        <v/>
      </c>
      <c r="T5094" t="str">
        <f t="shared" si="795"/>
        <v/>
      </c>
      <c r="U5094" t="str">
        <f t="shared" si="796"/>
        <v/>
      </c>
      <c r="V5094" t="str">
        <f t="shared" si="797"/>
        <v/>
      </c>
      <c r="W5094" t="str">
        <f t="shared" si="798"/>
        <v/>
      </c>
      <c r="X5094">
        <f>IF($T5094="",N($X5093),IF(MATCH($T5094,$T$6:$T$10005,0)=ROW()-5,N($X5093)+1,N($X5093)))</f>
        <v>0</v>
      </c>
      <c r="Z5094" t="str">
        <f t="shared" si="799"/>
        <v/>
      </c>
      <c r="AA5094">
        <f>IF($V5094="",N($AA5093),IF(MATCH($V5094,$V$6:$V$10005,0)=ROW()-5,N($AA5093)+1,N($AA5093)))</f>
        <v>0</v>
      </c>
    </row>
    <row r="5095" spans="1:27" ht="21" customHeight="1" x14ac:dyDescent="0.95">
      <c r="A5095" s="56"/>
      <c r="B5095" s="57"/>
      <c r="C5095" s="57"/>
      <c r="D5095" s="57"/>
      <c r="E5095" s="56"/>
      <c r="F5095" s="57"/>
      <c r="G5095" s="57"/>
      <c r="H5095" s="56"/>
      <c r="I5095" s="56"/>
      <c r="J5095" s="58"/>
      <c r="K5095" s="58"/>
      <c r="L5095" s="13" t="str">
        <f t="shared" si="790"/>
        <v/>
      </c>
      <c r="M5095" s="13" t="str">
        <f t="shared" si="791"/>
        <v/>
      </c>
      <c r="Q5095" t="str">
        <f t="shared" si="792"/>
        <v/>
      </c>
      <c r="R5095" t="str">
        <f t="shared" si="793"/>
        <v/>
      </c>
      <c r="S5095" t="str">
        <f t="shared" si="794"/>
        <v/>
      </c>
      <c r="T5095" t="str">
        <f t="shared" si="795"/>
        <v/>
      </c>
      <c r="U5095" t="str">
        <f t="shared" si="796"/>
        <v/>
      </c>
      <c r="V5095" t="str">
        <f t="shared" si="797"/>
        <v/>
      </c>
      <c r="W5095" t="str">
        <f t="shared" si="798"/>
        <v/>
      </c>
      <c r="X5095">
        <f>IF($T5095="",N($X5094),IF(MATCH($T5095,$T$6:$T$10005,0)=ROW()-5,N($X5094)+1,N($X5094)))</f>
        <v>0</v>
      </c>
      <c r="Z5095" t="str">
        <f t="shared" si="799"/>
        <v/>
      </c>
      <c r="AA5095">
        <f>IF($V5095="",N($AA5094),IF(MATCH($V5095,$V$6:$V$10005,0)=ROW()-5,N($AA5094)+1,N($AA5094)))</f>
        <v>0</v>
      </c>
    </row>
    <row r="5096" spans="1:27" ht="21" customHeight="1" x14ac:dyDescent="0.95">
      <c r="A5096" s="56"/>
      <c r="B5096" s="57"/>
      <c r="C5096" s="57"/>
      <c r="D5096" s="57"/>
      <c r="E5096" s="56"/>
      <c r="F5096" s="57"/>
      <c r="G5096" s="57"/>
      <c r="H5096" s="56"/>
      <c r="I5096" s="56"/>
      <c r="J5096" s="58"/>
      <c r="K5096" s="58"/>
      <c r="L5096" s="13" t="str">
        <f t="shared" si="790"/>
        <v/>
      </c>
      <c r="M5096" s="13" t="str">
        <f t="shared" si="791"/>
        <v/>
      </c>
      <c r="Q5096" t="str">
        <f t="shared" si="792"/>
        <v/>
      </c>
      <c r="R5096" t="str">
        <f t="shared" si="793"/>
        <v/>
      </c>
      <c r="S5096" t="str">
        <f t="shared" si="794"/>
        <v/>
      </c>
      <c r="T5096" t="str">
        <f t="shared" si="795"/>
        <v/>
      </c>
      <c r="U5096" t="str">
        <f t="shared" si="796"/>
        <v/>
      </c>
      <c r="V5096" t="str">
        <f t="shared" si="797"/>
        <v/>
      </c>
      <c r="W5096" t="str">
        <f t="shared" si="798"/>
        <v/>
      </c>
      <c r="X5096">
        <f>IF($T5096="",N($X5095),IF(MATCH($T5096,$T$6:$T$10005,0)=ROW()-5,N($X5095)+1,N($X5095)))</f>
        <v>0</v>
      </c>
      <c r="Z5096" t="str">
        <f t="shared" si="799"/>
        <v/>
      </c>
      <c r="AA5096">
        <f>IF($V5096="",N($AA5095),IF(MATCH($V5096,$V$6:$V$10005,0)=ROW()-5,N($AA5095)+1,N($AA5095)))</f>
        <v>0</v>
      </c>
    </row>
    <row r="5097" spans="1:27" ht="21" customHeight="1" x14ac:dyDescent="0.95">
      <c r="A5097" s="56"/>
      <c r="B5097" s="57"/>
      <c r="C5097" s="57"/>
      <c r="D5097" s="57"/>
      <c r="E5097" s="56"/>
      <c r="F5097" s="57"/>
      <c r="G5097" s="57"/>
      <c r="H5097" s="56"/>
      <c r="I5097" s="56"/>
      <c r="J5097" s="58"/>
      <c r="K5097" s="58"/>
      <c r="L5097" s="13" t="str">
        <f t="shared" si="790"/>
        <v/>
      </c>
      <c r="M5097" s="13" t="str">
        <f t="shared" si="791"/>
        <v/>
      </c>
      <c r="Q5097" t="str">
        <f t="shared" si="792"/>
        <v/>
      </c>
      <c r="R5097" t="str">
        <f t="shared" si="793"/>
        <v/>
      </c>
      <c r="S5097" t="str">
        <f t="shared" si="794"/>
        <v/>
      </c>
      <c r="T5097" t="str">
        <f t="shared" si="795"/>
        <v/>
      </c>
      <c r="U5097" t="str">
        <f t="shared" si="796"/>
        <v/>
      </c>
      <c r="V5097" t="str">
        <f t="shared" si="797"/>
        <v/>
      </c>
      <c r="W5097" t="str">
        <f t="shared" si="798"/>
        <v/>
      </c>
      <c r="X5097">
        <f>IF($T5097="",N($X5096),IF(MATCH($T5097,$T$6:$T$10005,0)=ROW()-5,N($X5096)+1,N($X5096)))</f>
        <v>0</v>
      </c>
      <c r="Z5097" t="str">
        <f t="shared" si="799"/>
        <v/>
      </c>
      <c r="AA5097">
        <f>IF($V5097="",N($AA5096),IF(MATCH($V5097,$V$6:$V$10005,0)=ROW()-5,N($AA5096)+1,N($AA5096)))</f>
        <v>0</v>
      </c>
    </row>
    <row r="5098" spans="1:27" ht="21" customHeight="1" x14ac:dyDescent="0.95">
      <c r="A5098" s="56"/>
      <c r="B5098" s="57"/>
      <c r="C5098" s="57"/>
      <c r="D5098" s="57"/>
      <c r="E5098" s="56"/>
      <c r="F5098" s="57"/>
      <c r="G5098" s="57"/>
      <c r="H5098" s="56"/>
      <c r="I5098" s="56"/>
      <c r="J5098" s="58"/>
      <c r="K5098" s="58"/>
      <c r="L5098" s="13" t="str">
        <f t="shared" si="790"/>
        <v/>
      </c>
      <c r="M5098" s="13" t="str">
        <f t="shared" si="791"/>
        <v/>
      </c>
      <c r="Q5098" t="str">
        <f t="shared" si="792"/>
        <v/>
      </c>
      <c r="R5098" t="str">
        <f t="shared" si="793"/>
        <v/>
      </c>
      <c r="S5098" t="str">
        <f t="shared" si="794"/>
        <v/>
      </c>
      <c r="T5098" t="str">
        <f t="shared" si="795"/>
        <v/>
      </c>
      <c r="U5098" t="str">
        <f t="shared" si="796"/>
        <v/>
      </c>
      <c r="V5098" t="str">
        <f t="shared" si="797"/>
        <v/>
      </c>
      <c r="W5098" t="str">
        <f t="shared" si="798"/>
        <v/>
      </c>
      <c r="X5098">
        <f>IF($T5098="",N($X5097),IF(MATCH($T5098,$T$6:$T$10005,0)=ROW()-5,N($X5097)+1,N($X5097)))</f>
        <v>0</v>
      </c>
      <c r="Z5098" t="str">
        <f t="shared" si="799"/>
        <v/>
      </c>
      <c r="AA5098">
        <f>IF($V5098="",N($AA5097),IF(MATCH($V5098,$V$6:$V$10005,0)=ROW()-5,N($AA5097)+1,N($AA5097)))</f>
        <v>0</v>
      </c>
    </row>
    <row r="5099" spans="1:27" ht="21" customHeight="1" x14ac:dyDescent="0.95">
      <c r="A5099" s="56"/>
      <c r="B5099" s="57"/>
      <c r="C5099" s="57"/>
      <c r="D5099" s="57"/>
      <c r="E5099" s="56"/>
      <c r="F5099" s="57"/>
      <c r="G5099" s="57"/>
      <c r="H5099" s="56"/>
      <c r="I5099" s="56"/>
      <c r="J5099" s="58"/>
      <c r="K5099" s="58"/>
      <c r="L5099" s="13" t="str">
        <f t="shared" si="790"/>
        <v/>
      </c>
      <c r="M5099" s="13" t="str">
        <f t="shared" si="791"/>
        <v/>
      </c>
      <c r="Q5099" t="str">
        <f t="shared" si="792"/>
        <v/>
      </c>
      <c r="R5099" t="str">
        <f t="shared" si="793"/>
        <v/>
      </c>
      <c r="S5099" t="str">
        <f t="shared" si="794"/>
        <v/>
      </c>
      <c r="T5099" t="str">
        <f t="shared" si="795"/>
        <v/>
      </c>
      <c r="U5099" t="str">
        <f t="shared" si="796"/>
        <v/>
      </c>
      <c r="V5099" t="str">
        <f t="shared" si="797"/>
        <v/>
      </c>
      <c r="W5099" t="str">
        <f t="shared" si="798"/>
        <v/>
      </c>
      <c r="X5099">
        <f>IF($T5099="",N($X5098),IF(MATCH($T5099,$T$6:$T$10005,0)=ROW()-5,N($X5098)+1,N($X5098)))</f>
        <v>0</v>
      </c>
      <c r="Z5099" t="str">
        <f t="shared" si="799"/>
        <v/>
      </c>
      <c r="AA5099">
        <f>IF($V5099="",N($AA5098),IF(MATCH($V5099,$V$6:$V$10005,0)=ROW()-5,N($AA5098)+1,N($AA5098)))</f>
        <v>0</v>
      </c>
    </row>
    <row r="5100" spans="1:27" ht="21" customHeight="1" x14ac:dyDescent="0.95">
      <c r="A5100" s="56"/>
      <c r="B5100" s="57"/>
      <c r="C5100" s="57"/>
      <c r="D5100" s="57"/>
      <c r="E5100" s="56"/>
      <c r="F5100" s="57"/>
      <c r="G5100" s="57"/>
      <c r="H5100" s="56"/>
      <c r="I5100" s="56"/>
      <c r="J5100" s="58"/>
      <c r="K5100" s="58"/>
      <c r="L5100" s="13" t="str">
        <f t="shared" si="790"/>
        <v/>
      </c>
      <c r="M5100" s="13" t="str">
        <f t="shared" si="791"/>
        <v/>
      </c>
      <c r="Q5100" t="str">
        <f t="shared" si="792"/>
        <v/>
      </c>
      <c r="R5100" t="str">
        <f t="shared" si="793"/>
        <v/>
      </c>
      <c r="S5100" t="str">
        <f t="shared" si="794"/>
        <v/>
      </c>
      <c r="T5100" t="str">
        <f t="shared" si="795"/>
        <v/>
      </c>
      <c r="U5100" t="str">
        <f t="shared" si="796"/>
        <v/>
      </c>
      <c r="V5100" t="str">
        <f t="shared" si="797"/>
        <v/>
      </c>
      <c r="W5100" t="str">
        <f t="shared" si="798"/>
        <v/>
      </c>
      <c r="X5100">
        <f>IF($T5100="",N($X5099),IF(MATCH($T5100,$T$6:$T$10005,0)=ROW()-5,N($X5099)+1,N($X5099)))</f>
        <v>0</v>
      </c>
      <c r="Z5100" t="str">
        <f t="shared" si="799"/>
        <v/>
      </c>
      <c r="AA5100">
        <f>IF($V5100="",N($AA5099),IF(MATCH($V5100,$V$6:$V$10005,0)=ROW()-5,N($AA5099)+1,N($AA5099)))</f>
        <v>0</v>
      </c>
    </row>
    <row r="5101" spans="1:27" ht="21" customHeight="1" x14ac:dyDescent="0.95">
      <c r="A5101" s="56"/>
      <c r="B5101" s="57"/>
      <c r="C5101" s="57"/>
      <c r="D5101" s="57"/>
      <c r="E5101" s="56"/>
      <c r="F5101" s="57"/>
      <c r="G5101" s="57"/>
      <c r="H5101" s="56"/>
      <c r="I5101" s="56"/>
      <c r="J5101" s="58"/>
      <c r="K5101" s="58"/>
      <c r="L5101" s="13" t="str">
        <f t="shared" si="790"/>
        <v/>
      </c>
      <c r="M5101" s="13" t="str">
        <f t="shared" si="791"/>
        <v/>
      </c>
      <c r="Q5101" t="str">
        <f t="shared" si="792"/>
        <v/>
      </c>
      <c r="R5101" t="str">
        <f t="shared" si="793"/>
        <v/>
      </c>
      <c r="S5101" t="str">
        <f t="shared" si="794"/>
        <v/>
      </c>
      <c r="T5101" t="str">
        <f t="shared" si="795"/>
        <v/>
      </c>
      <c r="U5101" t="str">
        <f t="shared" si="796"/>
        <v/>
      </c>
      <c r="V5101" t="str">
        <f t="shared" si="797"/>
        <v/>
      </c>
      <c r="W5101" t="str">
        <f t="shared" si="798"/>
        <v/>
      </c>
      <c r="X5101">
        <f>IF($T5101="",N($X5100),IF(MATCH($T5101,$T$6:$T$10005,0)=ROW()-5,N($X5100)+1,N($X5100)))</f>
        <v>0</v>
      </c>
      <c r="Z5101" t="str">
        <f t="shared" si="799"/>
        <v/>
      </c>
      <c r="AA5101">
        <f>IF($V5101="",N($AA5100),IF(MATCH($V5101,$V$6:$V$10005,0)=ROW()-5,N($AA5100)+1,N($AA5100)))</f>
        <v>0</v>
      </c>
    </row>
    <row r="5102" spans="1:27" ht="21" customHeight="1" x14ac:dyDescent="0.95">
      <c r="A5102" s="56"/>
      <c r="B5102" s="57"/>
      <c r="C5102" s="57"/>
      <c r="D5102" s="57"/>
      <c r="E5102" s="56"/>
      <c r="F5102" s="57"/>
      <c r="G5102" s="57"/>
      <c r="H5102" s="56"/>
      <c r="I5102" s="56"/>
      <c r="J5102" s="58"/>
      <c r="K5102" s="58"/>
      <c r="L5102" s="13" t="str">
        <f t="shared" si="790"/>
        <v/>
      </c>
      <c r="M5102" s="13" t="str">
        <f t="shared" si="791"/>
        <v/>
      </c>
      <c r="Q5102" t="str">
        <f t="shared" si="792"/>
        <v/>
      </c>
      <c r="R5102" t="str">
        <f t="shared" si="793"/>
        <v/>
      </c>
      <c r="S5102" t="str">
        <f t="shared" si="794"/>
        <v/>
      </c>
      <c r="T5102" t="str">
        <f t="shared" si="795"/>
        <v/>
      </c>
      <c r="U5102" t="str">
        <f t="shared" si="796"/>
        <v/>
      </c>
      <c r="V5102" t="str">
        <f t="shared" si="797"/>
        <v/>
      </c>
      <c r="W5102" t="str">
        <f t="shared" si="798"/>
        <v/>
      </c>
      <c r="X5102">
        <f>IF($T5102="",N($X5101),IF(MATCH($T5102,$T$6:$T$10005,0)=ROW()-5,N($X5101)+1,N($X5101)))</f>
        <v>0</v>
      </c>
      <c r="Z5102" t="str">
        <f t="shared" si="799"/>
        <v/>
      </c>
      <c r="AA5102">
        <f>IF($V5102="",N($AA5101),IF(MATCH($V5102,$V$6:$V$10005,0)=ROW()-5,N($AA5101)+1,N($AA5101)))</f>
        <v>0</v>
      </c>
    </row>
    <row r="5103" spans="1:27" ht="21" customHeight="1" x14ac:dyDescent="0.95">
      <c r="A5103" s="56"/>
      <c r="B5103" s="57"/>
      <c r="C5103" s="57"/>
      <c r="D5103" s="57"/>
      <c r="E5103" s="56"/>
      <c r="F5103" s="57"/>
      <c r="G5103" s="57"/>
      <c r="H5103" s="56"/>
      <c r="I5103" s="56"/>
      <c r="J5103" s="58"/>
      <c r="K5103" s="58"/>
      <c r="L5103" s="13" t="str">
        <f t="shared" si="790"/>
        <v/>
      </c>
      <c r="M5103" s="13" t="str">
        <f t="shared" si="791"/>
        <v/>
      </c>
      <c r="Q5103" t="str">
        <f t="shared" si="792"/>
        <v/>
      </c>
      <c r="R5103" t="str">
        <f t="shared" si="793"/>
        <v/>
      </c>
      <c r="S5103" t="str">
        <f t="shared" si="794"/>
        <v/>
      </c>
      <c r="T5103" t="str">
        <f t="shared" si="795"/>
        <v/>
      </c>
      <c r="U5103" t="str">
        <f t="shared" si="796"/>
        <v/>
      </c>
      <c r="V5103" t="str">
        <f t="shared" si="797"/>
        <v/>
      </c>
      <c r="W5103" t="str">
        <f t="shared" si="798"/>
        <v/>
      </c>
      <c r="X5103">
        <f>IF($T5103="",N($X5102),IF(MATCH($T5103,$T$6:$T$10005,0)=ROW()-5,N($X5102)+1,N($X5102)))</f>
        <v>0</v>
      </c>
      <c r="Z5103" t="str">
        <f t="shared" si="799"/>
        <v/>
      </c>
      <c r="AA5103">
        <f>IF($V5103="",N($AA5102),IF(MATCH($V5103,$V$6:$V$10005,0)=ROW()-5,N($AA5102)+1,N($AA5102)))</f>
        <v>0</v>
      </c>
    </row>
    <row r="5104" spans="1:27" ht="21" customHeight="1" x14ac:dyDescent="0.95">
      <c r="A5104" s="56"/>
      <c r="B5104" s="57"/>
      <c r="C5104" s="57"/>
      <c r="D5104" s="57"/>
      <c r="E5104" s="56"/>
      <c r="F5104" s="57"/>
      <c r="G5104" s="57"/>
      <c r="H5104" s="56"/>
      <c r="I5104" s="56"/>
      <c r="J5104" s="58"/>
      <c r="K5104" s="58"/>
      <c r="L5104" s="13" t="str">
        <f t="shared" si="790"/>
        <v/>
      </c>
      <c r="M5104" s="13" t="str">
        <f t="shared" si="791"/>
        <v/>
      </c>
      <c r="Q5104" t="str">
        <f t="shared" si="792"/>
        <v/>
      </c>
      <c r="R5104" t="str">
        <f t="shared" si="793"/>
        <v/>
      </c>
      <c r="S5104" t="str">
        <f t="shared" si="794"/>
        <v/>
      </c>
      <c r="T5104" t="str">
        <f t="shared" si="795"/>
        <v/>
      </c>
      <c r="U5104" t="str">
        <f t="shared" si="796"/>
        <v/>
      </c>
      <c r="V5104" t="str">
        <f t="shared" si="797"/>
        <v/>
      </c>
      <c r="W5104" t="str">
        <f t="shared" si="798"/>
        <v/>
      </c>
      <c r="X5104">
        <f>IF($T5104="",N($X5103),IF(MATCH($T5104,$T$6:$T$10005,0)=ROW()-5,N($X5103)+1,N($X5103)))</f>
        <v>0</v>
      </c>
      <c r="Z5104" t="str">
        <f t="shared" si="799"/>
        <v/>
      </c>
      <c r="AA5104">
        <f>IF($V5104="",N($AA5103),IF(MATCH($V5104,$V$6:$V$10005,0)=ROW()-5,N($AA5103)+1,N($AA5103)))</f>
        <v>0</v>
      </c>
    </row>
    <row r="5105" spans="1:27" ht="21" customHeight="1" x14ac:dyDescent="0.95">
      <c r="A5105" s="56"/>
      <c r="B5105" s="57"/>
      <c r="C5105" s="57"/>
      <c r="D5105" s="57"/>
      <c r="E5105" s="56"/>
      <c r="F5105" s="57"/>
      <c r="G5105" s="57"/>
      <c r="H5105" s="56"/>
      <c r="I5105" s="56"/>
      <c r="J5105" s="58"/>
      <c r="K5105" s="58"/>
      <c r="L5105" s="13" t="str">
        <f t="shared" si="790"/>
        <v/>
      </c>
      <c r="M5105" s="13" t="str">
        <f t="shared" si="791"/>
        <v/>
      </c>
      <c r="Q5105" t="str">
        <f t="shared" si="792"/>
        <v/>
      </c>
      <c r="R5105" t="str">
        <f t="shared" si="793"/>
        <v/>
      </c>
      <c r="S5105" t="str">
        <f t="shared" si="794"/>
        <v/>
      </c>
      <c r="T5105" t="str">
        <f t="shared" si="795"/>
        <v/>
      </c>
      <c r="U5105" t="str">
        <f t="shared" si="796"/>
        <v/>
      </c>
      <c r="V5105" t="str">
        <f t="shared" si="797"/>
        <v/>
      </c>
      <c r="W5105" t="str">
        <f t="shared" si="798"/>
        <v/>
      </c>
      <c r="X5105">
        <f>IF($T5105="",N($X5104),IF(MATCH($T5105,$T$6:$T$10005,0)=ROW()-5,N($X5104)+1,N($X5104)))</f>
        <v>0</v>
      </c>
      <c r="Z5105" t="str">
        <f t="shared" si="799"/>
        <v/>
      </c>
      <c r="AA5105">
        <f>IF($V5105="",N($AA5104),IF(MATCH($V5105,$V$6:$V$10005,0)=ROW()-5,N($AA5104)+1,N($AA5104)))</f>
        <v>0</v>
      </c>
    </row>
    <row r="5106" spans="1:27" ht="21" customHeight="1" x14ac:dyDescent="0.95">
      <c r="A5106" s="56"/>
      <c r="B5106" s="57"/>
      <c r="C5106" s="57"/>
      <c r="D5106" s="57"/>
      <c r="E5106" s="56"/>
      <c r="F5106" s="57"/>
      <c r="G5106" s="57"/>
      <c r="H5106" s="56"/>
      <c r="I5106" s="56"/>
      <c r="J5106" s="58"/>
      <c r="K5106" s="58"/>
      <c r="L5106" s="13" t="str">
        <f t="shared" si="790"/>
        <v/>
      </c>
      <c r="M5106" s="13" t="str">
        <f t="shared" si="791"/>
        <v/>
      </c>
      <c r="Q5106" t="str">
        <f t="shared" si="792"/>
        <v/>
      </c>
      <c r="R5106" t="str">
        <f t="shared" si="793"/>
        <v/>
      </c>
      <c r="S5106" t="str">
        <f t="shared" si="794"/>
        <v/>
      </c>
      <c r="T5106" t="str">
        <f t="shared" si="795"/>
        <v/>
      </c>
      <c r="U5106" t="str">
        <f t="shared" si="796"/>
        <v/>
      </c>
      <c r="V5106" t="str">
        <f t="shared" si="797"/>
        <v/>
      </c>
      <c r="W5106" t="str">
        <f t="shared" si="798"/>
        <v/>
      </c>
      <c r="X5106">
        <f>IF($T5106="",N($X5105),IF(MATCH($T5106,$T$6:$T$10005,0)=ROW()-5,N($X5105)+1,N($X5105)))</f>
        <v>0</v>
      </c>
      <c r="Z5106" t="str">
        <f t="shared" si="799"/>
        <v/>
      </c>
      <c r="AA5106">
        <f>IF($V5106="",N($AA5105),IF(MATCH($V5106,$V$6:$V$10005,0)=ROW()-5,N($AA5105)+1,N($AA5105)))</f>
        <v>0</v>
      </c>
    </row>
    <row r="5107" spans="1:27" ht="21" customHeight="1" x14ac:dyDescent="0.95">
      <c r="A5107" s="56"/>
      <c r="B5107" s="57"/>
      <c r="C5107" s="57"/>
      <c r="D5107" s="57"/>
      <c r="E5107" s="56"/>
      <c r="F5107" s="57"/>
      <c r="G5107" s="57"/>
      <c r="H5107" s="56"/>
      <c r="I5107" s="56"/>
      <c r="J5107" s="58"/>
      <c r="K5107" s="58"/>
      <c r="L5107" s="13" t="str">
        <f t="shared" si="790"/>
        <v/>
      </c>
      <c r="M5107" s="13" t="str">
        <f t="shared" si="791"/>
        <v/>
      </c>
      <c r="Q5107" t="str">
        <f t="shared" si="792"/>
        <v/>
      </c>
      <c r="R5107" t="str">
        <f t="shared" si="793"/>
        <v/>
      </c>
      <c r="S5107" t="str">
        <f t="shared" si="794"/>
        <v/>
      </c>
      <c r="T5107" t="str">
        <f t="shared" si="795"/>
        <v/>
      </c>
      <c r="U5107" t="str">
        <f t="shared" si="796"/>
        <v/>
      </c>
      <c r="V5107" t="str">
        <f t="shared" si="797"/>
        <v/>
      </c>
      <c r="W5107" t="str">
        <f t="shared" si="798"/>
        <v/>
      </c>
      <c r="X5107">
        <f>IF($T5107="",N($X5106),IF(MATCH($T5107,$T$6:$T$10005,0)=ROW()-5,N($X5106)+1,N($X5106)))</f>
        <v>0</v>
      </c>
      <c r="Z5107" t="str">
        <f t="shared" si="799"/>
        <v/>
      </c>
      <c r="AA5107">
        <f>IF($V5107="",N($AA5106),IF(MATCH($V5107,$V$6:$V$10005,0)=ROW()-5,N($AA5106)+1,N($AA5106)))</f>
        <v>0</v>
      </c>
    </row>
    <row r="5108" spans="1:27" ht="21" customHeight="1" x14ac:dyDescent="0.95">
      <c r="A5108" s="56"/>
      <c r="B5108" s="57"/>
      <c r="C5108" s="57"/>
      <c r="D5108" s="57"/>
      <c r="E5108" s="56"/>
      <c r="F5108" s="57"/>
      <c r="G5108" s="57"/>
      <c r="H5108" s="56"/>
      <c r="I5108" s="56"/>
      <c r="J5108" s="58"/>
      <c r="K5108" s="58"/>
      <c r="L5108" s="13" t="str">
        <f t="shared" si="790"/>
        <v/>
      </c>
      <c r="M5108" s="13" t="str">
        <f t="shared" si="791"/>
        <v/>
      </c>
      <c r="Q5108" t="str">
        <f t="shared" si="792"/>
        <v/>
      </c>
      <c r="R5108" t="str">
        <f t="shared" si="793"/>
        <v/>
      </c>
      <c r="S5108" t="str">
        <f t="shared" si="794"/>
        <v/>
      </c>
      <c r="T5108" t="str">
        <f t="shared" si="795"/>
        <v/>
      </c>
      <c r="U5108" t="str">
        <f t="shared" si="796"/>
        <v/>
      </c>
      <c r="V5108" t="str">
        <f t="shared" si="797"/>
        <v/>
      </c>
      <c r="W5108" t="str">
        <f t="shared" si="798"/>
        <v/>
      </c>
      <c r="X5108">
        <f>IF($T5108="",N($X5107),IF(MATCH($T5108,$T$6:$T$10005,0)=ROW()-5,N($X5107)+1,N($X5107)))</f>
        <v>0</v>
      </c>
      <c r="Z5108" t="str">
        <f t="shared" si="799"/>
        <v/>
      </c>
      <c r="AA5108">
        <f>IF($V5108="",N($AA5107),IF(MATCH($V5108,$V$6:$V$10005,0)=ROW()-5,N($AA5107)+1,N($AA5107)))</f>
        <v>0</v>
      </c>
    </row>
    <row r="5109" spans="1:27" ht="21" customHeight="1" x14ac:dyDescent="0.95">
      <c r="A5109" s="56"/>
      <c r="B5109" s="57"/>
      <c r="C5109" s="57"/>
      <c r="D5109" s="57"/>
      <c r="E5109" s="56"/>
      <c r="F5109" s="57"/>
      <c r="G5109" s="57"/>
      <c r="H5109" s="56"/>
      <c r="I5109" s="56"/>
      <c r="J5109" s="58"/>
      <c r="K5109" s="58"/>
      <c r="L5109" s="13" t="str">
        <f t="shared" si="790"/>
        <v/>
      </c>
      <c r="M5109" s="13" t="str">
        <f t="shared" si="791"/>
        <v/>
      </c>
      <c r="Q5109" t="str">
        <f t="shared" si="792"/>
        <v/>
      </c>
      <c r="R5109" t="str">
        <f t="shared" si="793"/>
        <v/>
      </c>
      <c r="S5109" t="str">
        <f t="shared" si="794"/>
        <v/>
      </c>
      <c r="T5109" t="str">
        <f t="shared" si="795"/>
        <v/>
      </c>
      <c r="U5109" t="str">
        <f t="shared" si="796"/>
        <v/>
      </c>
      <c r="V5109" t="str">
        <f t="shared" si="797"/>
        <v/>
      </c>
      <c r="W5109" t="str">
        <f t="shared" si="798"/>
        <v/>
      </c>
      <c r="X5109">
        <f>IF($T5109="",N($X5108),IF(MATCH($T5109,$T$6:$T$10005,0)=ROW()-5,N($X5108)+1,N($X5108)))</f>
        <v>0</v>
      </c>
      <c r="Z5109" t="str">
        <f t="shared" si="799"/>
        <v/>
      </c>
      <c r="AA5109">
        <f>IF($V5109="",N($AA5108),IF(MATCH($V5109,$V$6:$V$10005,0)=ROW()-5,N($AA5108)+1,N($AA5108)))</f>
        <v>0</v>
      </c>
    </row>
    <row r="5110" spans="1:27" ht="21" customHeight="1" x14ac:dyDescent="0.95">
      <c r="A5110" s="56"/>
      <c r="B5110" s="57"/>
      <c r="C5110" s="57"/>
      <c r="D5110" s="57"/>
      <c r="E5110" s="56"/>
      <c r="F5110" s="57"/>
      <c r="G5110" s="57"/>
      <c r="H5110" s="56"/>
      <c r="I5110" s="56"/>
      <c r="J5110" s="58"/>
      <c r="K5110" s="58"/>
      <c r="L5110" s="13" t="str">
        <f t="shared" si="790"/>
        <v/>
      </c>
      <c r="M5110" s="13" t="str">
        <f t="shared" si="791"/>
        <v/>
      </c>
      <c r="Q5110" t="str">
        <f t="shared" si="792"/>
        <v/>
      </c>
      <c r="R5110" t="str">
        <f t="shared" si="793"/>
        <v/>
      </c>
      <c r="S5110" t="str">
        <f t="shared" si="794"/>
        <v/>
      </c>
      <c r="T5110" t="str">
        <f t="shared" si="795"/>
        <v/>
      </c>
      <c r="U5110" t="str">
        <f t="shared" si="796"/>
        <v/>
      </c>
      <c r="V5110" t="str">
        <f t="shared" si="797"/>
        <v/>
      </c>
      <c r="W5110" t="str">
        <f t="shared" si="798"/>
        <v/>
      </c>
      <c r="X5110">
        <f>IF($T5110="",N($X5109),IF(MATCH($T5110,$T$6:$T$10005,0)=ROW()-5,N($X5109)+1,N($X5109)))</f>
        <v>0</v>
      </c>
      <c r="Z5110" t="str">
        <f t="shared" si="799"/>
        <v/>
      </c>
      <c r="AA5110">
        <f>IF($V5110="",N($AA5109),IF(MATCH($V5110,$V$6:$V$10005,0)=ROW()-5,N($AA5109)+1,N($AA5109)))</f>
        <v>0</v>
      </c>
    </row>
    <row r="5111" spans="1:27" ht="21" customHeight="1" x14ac:dyDescent="0.95">
      <c r="A5111" s="56"/>
      <c r="B5111" s="57"/>
      <c r="C5111" s="57"/>
      <c r="D5111" s="57"/>
      <c r="E5111" s="56"/>
      <c r="F5111" s="57"/>
      <c r="G5111" s="57"/>
      <c r="H5111" s="56"/>
      <c r="I5111" s="56"/>
      <c r="J5111" s="58"/>
      <c r="K5111" s="58"/>
      <c r="L5111" s="13" t="str">
        <f t="shared" si="790"/>
        <v/>
      </c>
      <c r="M5111" s="13" t="str">
        <f t="shared" si="791"/>
        <v/>
      </c>
      <c r="Q5111" t="str">
        <f t="shared" si="792"/>
        <v/>
      </c>
      <c r="R5111" t="str">
        <f t="shared" si="793"/>
        <v/>
      </c>
      <c r="S5111" t="str">
        <f t="shared" si="794"/>
        <v/>
      </c>
      <c r="T5111" t="str">
        <f t="shared" si="795"/>
        <v/>
      </c>
      <c r="U5111" t="str">
        <f t="shared" si="796"/>
        <v/>
      </c>
      <c r="V5111" t="str">
        <f t="shared" si="797"/>
        <v/>
      </c>
      <c r="W5111" t="str">
        <f t="shared" si="798"/>
        <v/>
      </c>
      <c r="X5111">
        <f>IF($T5111="",N($X5110),IF(MATCH($T5111,$T$6:$T$10005,0)=ROW()-5,N($X5110)+1,N($X5110)))</f>
        <v>0</v>
      </c>
      <c r="Z5111" t="str">
        <f t="shared" si="799"/>
        <v/>
      </c>
      <c r="AA5111">
        <f>IF($V5111="",N($AA5110),IF(MATCH($V5111,$V$6:$V$10005,0)=ROW()-5,N($AA5110)+1,N($AA5110)))</f>
        <v>0</v>
      </c>
    </row>
    <row r="5112" spans="1:27" ht="21" customHeight="1" x14ac:dyDescent="0.95">
      <c r="A5112" s="56"/>
      <c r="B5112" s="57"/>
      <c r="C5112" s="57"/>
      <c r="D5112" s="57"/>
      <c r="E5112" s="56"/>
      <c r="F5112" s="57"/>
      <c r="G5112" s="57"/>
      <c r="H5112" s="56"/>
      <c r="I5112" s="56"/>
      <c r="J5112" s="58"/>
      <c r="K5112" s="58"/>
      <c r="L5112" s="13" t="str">
        <f t="shared" si="790"/>
        <v/>
      </c>
      <c r="M5112" s="13" t="str">
        <f t="shared" si="791"/>
        <v/>
      </c>
      <c r="Q5112" t="str">
        <f t="shared" si="792"/>
        <v/>
      </c>
      <c r="R5112" t="str">
        <f t="shared" si="793"/>
        <v/>
      </c>
      <c r="S5112" t="str">
        <f t="shared" si="794"/>
        <v/>
      </c>
      <c r="T5112" t="str">
        <f t="shared" si="795"/>
        <v/>
      </c>
      <c r="U5112" t="str">
        <f t="shared" si="796"/>
        <v/>
      </c>
      <c r="V5112" t="str">
        <f t="shared" si="797"/>
        <v/>
      </c>
      <c r="W5112" t="str">
        <f t="shared" si="798"/>
        <v/>
      </c>
      <c r="X5112">
        <f>IF($T5112="",N($X5111),IF(MATCH($T5112,$T$6:$T$10005,0)=ROW()-5,N($X5111)+1,N($X5111)))</f>
        <v>0</v>
      </c>
      <c r="Z5112" t="str">
        <f t="shared" si="799"/>
        <v/>
      </c>
      <c r="AA5112">
        <f>IF($V5112="",N($AA5111),IF(MATCH($V5112,$V$6:$V$10005,0)=ROW()-5,N($AA5111)+1,N($AA5111)))</f>
        <v>0</v>
      </c>
    </row>
    <row r="5113" spans="1:27" ht="21" customHeight="1" x14ac:dyDescent="0.95">
      <c r="A5113" s="56"/>
      <c r="B5113" s="57"/>
      <c r="C5113" s="57"/>
      <c r="D5113" s="57"/>
      <c r="E5113" s="56"/>
      <c r="F5113" s="57"/>
      <c r="G5113" s="57"/>
      <c r="H5113" s="56"/>
      <c r="I5113" s="56"/>
      <c r="J5113" s="58"/>
      <c r="K5113" s="58"/>
      <c r="L5113" s="13" t="str">
        <f t="shared" si="790"/>
        <v/>
      </c>
      <c r="M5113" s="13" t="str">
        <f t="shared" si="791"/>
        <v/>
      </c>
      <c r="Q5113" t="str">
        <f t="shared" si="792"/>
        <v/>
      </c>
      <c r="R5113" t="str">
        <f t="shared" si="793"/>
        <v/>
      </c>
      <c r="S5113" t="str">
        <f t="shared" si="794"/>
        <v/>
      </c>
      <c r="T5113" t="str">
        <f t="shared" si="795"/>
        <v/>
      </c>
      <c r="U5113" t="str">
        <f t="shared" si="796"/>
        <v/>
      </c>
      <c r="V5113" t="str">
        <f t="shared" si="797"/>
        <v/>
      </c>
      <c r="W5113" t="str">
        <f t="shared" si="798"/>
        <v/>
      </c>
      <c r="X5113">
        <f>IF($T5113="",N($X5112),IF(MATCH($T5113,$T$6:$T$10005,0)=ROW()-5,N($X5112)+1,N($X5112)))</f>
        <v>0</v>
      </c>
      <c r="Z5113" t="str">
        <f t="shared" si="799"/>
        <v/>
      </c>
      <c r="AA5113">
        <f>IF($V5113="",N($AA5112),IF(MATCH($V5113,$V$6:$V$10005,0)=ROW()-5,N($AA5112)+1,N($AA5112)))</f>
        <v>0</v>
      </c>
    </row>
    <row r="5114" spans="1:27" ht="21" customHeight="1" x14ac:dyDescent="0.95">
      <c r="A5114" s="56"/>
      <c r="B5114" s="57"/>
      <c r="C5114" s="57"/>
      <c r="D5114" s="57"/>
      <c r="E5114" s="56"/>
      <c r="F5114" s="57"/>
      <c r="G5114" s="57"/>
      <c r="H5114" s="56"/>
      <c r="I5114" s="56"/>
      <c r="J5114" s="58"/>
      <c r="K5114" s="58"/>
      <c r="L5114" s="13" t="str">
        <f t="shared" si="790"/>
        <v/>
      </c>
      <c r="M5114" s="13" t="str">
        <f t="shared" si="791"/>
        <v/>
      </c>
      <c r="Q5114" t="str">
        <f t="shared" si="792"/>
        <v/>
      </c>
      <c r="R5114" t="str">
        <f t="shared" si="793"/>
        <v/>
      </c>
      <c r="S5114" t="str">
        <f t="shared" si="794"/>
        <v/>
      </c>
      <c r="T5114" t="str">
        <f t="shared" si="795"/>
        <v/>
      </c>
      <c r="U5114" t="str">
        <f t="shared" si="796"/>
        <v/>
      </c>
      <c r="V5114" t="str">
        <f t="shared" si="797"/>
        <v/>
      </c>
      <c r="W5114" t="str">
        <f t="shared" si="798"/>
        <v/>
      </c>
      <c r="X5114">
        <f>IF($T5114="",N($X5113),IF(MATCH($T5114,$T$6:$T$10005,0)=ROW()-5,N($X5113)+1,N($X5113)))</f>
        <v>0</v>
      </c>
      <c r="Z5114" t="str">
        <f t="shared" si="799"/>
        <v/>
      </c>
      <c r="AA5114">
        <f>IF($V5114="",N($AA5113),IF(MATCH($V5114,$V$6:$V$10005,0)=ROW()-5,N($AA5113)+1,N($AA5113)))</f>
        <v>0</v>
      </c>
    </row>
    <row r="5115" spans="1:27" ht="21" customHeight="1" x14ac:dyDescent="0.95">
      <c r="A5115" s="56"/>
      <c r="B5115" s="57"/>
      <c r="C5115" s="57"/>
      <c r="D5115" s="57"/>
      <c r="E5115" s="56"/>
      <c r="F5115" s="57"/>
      <c r="G5115" s="57"/>
      <c r="H5115" s="56"/>
      <c r="I5115" s="56"/>
      <c r="J5115" s="58"/>
      <c r="K5115" s="58"/>
      <c r="L5115" s="13" t="str">
        <f t="shared" si="790"/>
        <v/>
      </c>
      <c r="M5115" s="13" t="str">
        <f t="shared" si="791"/>
        <v/>
      </c>
      <c r="Q5115" t="str">
        <f t="shared" si="792"/>
        <v/>
      </c>
      <c r="R5115" t="str">
        <f t="shared" si="793"/>
        <v/>
      </c>
      <c r="S5115" t="str">
        <f t="shared" si="794"/>
        <v/>
      </c>
      <c r="T5115" t="str">
        <f t="shared" si="795"/>
        <v/>
      </c>
      <c r="U5115" t="str">
        <f t="shared" si="796"/>
        <v/>
      </c>
      <c r="V5115" t="str">
        <f t="shared" si="797"/>
        <v/>
      </c>
      <c r="W5115" t="str">
        <f t="shared" si="798"/>
        <v/>
      </c>
      <c r="X5115">
        <f>IF($T5115="",N($X5114),IF(MATCH($T5115,$T$6:$T$10005,0)=ROW()-5,N($X5114)+1,N($X5114)))</f>
        <v>0</v>
      </c>
      <c r="Z5115" t="str">
        <f t="shared" si="799"/>
        <v/>
      </c>
      <c r="AA5115">
        <f>IF($V5115="",N($AA5114),IF(MATCH($V5115,$V$6:$V$10005,0)=ROW()-5,N($AA5114)+1,N($AA5114)))</f>
        <v>0</v>
      </c>
    </row>
    <row r="5116" spans="1:27" ht="21" customHeight="1" x14ac:dyDescent="0.95">
      <c r="A5116" s="56"/>
      <c r="B5116" s="57"/>
      <c r="C5116" s="57"/>
      <c r="D5116" s="57"/>
      <c r="E5116" s="56"/>
      <c r="F5116" s="57"/>
      <c r="G5116" s="57"/>
      <c r="H5116" s="56"/>
      <c r="I5116" s="56"/>
      <c r="J5116" s="58"/>
      <c r="K5116" s="58"/>
      <c r="L5116" s="13" t="str">
        <f t="shared" si="790"/>
        <v/>
      </c>
      <c r="M5116" s="13" t="str">
        <f t="shared" si="791"/>
        <v/>
      </c>
      <c r="Q5116" t="str">
        <f t="shared" si="792"/>
        <v/>
      </c>
      <c r="R5116" t="str">
        <f t="shared" si="793"/>
        <v/>
      </c>
      <c r="S5116" t="str">
        <f t="shared" si="794"/>
        <v/>
      </c>
      <c r="T5116" t="str">
        <f t="shared" si="795"/>
        <v/>
      </c>
      <c r="U5116" t="str">
        <f t="shared" si="796"/>
        <v/>
      </c>
      <c r="V5116" t="str">
        <f t="shared" si="797"/>
        <v/>
      </c>
      <c r="W5116" t="str">
        <f t="shared" si="798"/>
        <v/>
      </c>
      <c r="X5116">
        <f>IF($T5116="",N($X5115),IF(MATCH($T5116,$T$6:$T$10005,0)=ROW()-5,N($X5115)+1,N($X5115)))</f>
        <v>0</v>
      </c>
      <c r="Z5116" t="str">
        <f t="shared" si="799"/>
        <v/>
      </c>
      <c r="AA5116">
        <f>IF($V5116="",N($AA5115),IF(MATCH($V5116,$V$6:$V$10005,0)=ROW()-5,N($AA5115)+1,N($AA5115)))</f>
        <v>0</v>
      </c>
    </row>
    <row r="5117" spans="1:27" ht="21" customHeight="1" x14ac:dyDescent="0.95">
      <c r="A5117" s="56"/>
      <c r="B5117" s="57"/>
      <c r="C5117" s="57"/>
      <c r="D5117" s="57"/>
      <c r="E5117" s="56"/>
      <c r="F5117" s="57"/>
      <c r="G5117" s="57"/>
      <c r="H5117" s="56"/>
      <c r="I5117" s="56"/>
      <c r="J5117" s="58"/>
      <c r="K5117" s="58"/>
      <c r="L5117" s="13" t="str">
        <f t="shared" si="790"/>
        <v/>
      </c>
      <c r="M5117" s="13" t="str">
        <f t="shared" si="791"/>
        <v/>
      </c>
      <c r="Q5117" t="str">
        <f t="shared" si="792"/>
        <v/>
      </c>
      <c r="R5117" t="str">
        <f t="shared" si="793"/>
        <v/>
      </c>
      <c r="S5117" t="str">
        <f t="shared" si="794"/>
        <v/>
      </c>
      <c r="T5117" t="str">
        <f t="shared" si="795"/>
        <v/>
      </c>
      <c r="U5117" t="str">
        <f t="shared" si="796"/>
        <v/>
      </c>
      <c r="V5117" t="str">
        <f t="shared" si="797"/>
        <v/>
      </c>
      <c r="W5117" t="str">
        <f t="shared" si="798"/>
        <v/>
      </c>
      <c r="X5117">
        <f>IF($T5117="",N($X5116),IF(MATCH($T5117,$T$6:$T$10005,0)=ROW()-5,N($X5116)+1,N($X5116)))</f>
        <v>0</v>
      </c>
      <c r="Z5117" t="str">
        <f t="shared" si="799"/>
        <v/>
      </c>
      <c r="AA5117">
        <f>IF($V5117="",N($AA5116),IF(MATCH($V5117,$V$6:$V$10005,0)=ROW()-5,N($AA5116)+1,N($AA5116)))</f>
        <v>0</v>
      </c>
    </row>
    <row r="5118" spans="1:27" ht="21" customHeight="1" x14ac:dyDescent="0.95">
      <c r="A5118" s="56"/>
      <c r="B5118" s="57"/>
      <c r="C5118" s="57"/>
      <c r="D5118" s="57"/>
      <c r="E5118" s="56"/>
      <c r="F5118" s="57"/>
      <c r="G5118" s="57"/>
      <c r="H5118" s="56"/>
      <c r="I5118" s="56"/>
      <c r="J5118" s="58"/>
      <c r="K5118" s="58"/>
      <c r="L5118" s="13" t="str">
        <f t="shared" si="790"/>
        <v/>
      </c>
      <c r="M5118" s="13" t="str">
        <f t="shared" si="791"/>
        <v/>
      </c>
      <c r="Q5118" t="str">
        <f t="shared" si="792"/>
        <v/>
      </c>
      <c r="R5118" t="str">
        <f t="shared" si="793"/>
        <v/>
      </c>
      <c r="S5118" t="str">
        <f t="shared" si="794"/>
        <v/>
      </c>
      <c r="T5118" t="str">
        <f t="shared" si="795"/>
        <v/>
      </c>
      <c r="U5118" t="str">
        <f t="shared" si="796"/>
        <v/>
      </c>
      <c r="V5118" t="str">
        <f t="shared" si="797"/>
        <v/>
      </c>
      <c r="W5118" t="str">
        <f t="shared" si="798"/>
        <v/>
      </c>
      <c r="X5118">
        <f>IF($T5118="",N($X5117),IF(MATCH($T5118,$T$6:$T$10005,0)=ROW()-5,N($X5117)+1,N($X5117)))</f>
        <v>0</v>
      </c>
      <c r="Z5118" t="str">
        <f t="shared" si="799"/>
        <v/>
      </c>
      <c r="AA5118">
        <f>IF($V5118="",N($AA5117),IF(MATCH($V5118,$V$6:$V$10005,0)=ROW()-5,N($AA5117)+1,N($AA5117)))</f>
        <v>0</v>
      </c>
    </row>
    <row r="5119" spans="1:27" ht="21" customHeight="1" x14ac:dyDescent="0.95">
      <c r="A5119" s="56"/>
      <c r="B5119" s="57"/>
      <c r="C5119" s="57"/>
      <c r="D5119" s="57"/>
      <c r="E5119" s="56"/>
      <c r="F5119" s="57"/>
      <c r="G5119" s="57"/>
      <c r="H5119" s="56"/>
      <c r="I5119" s="56"/>
      <c r="J5119" s="58"/>
      <c r="K5119" s="58"/>
      <c r="L5119" s="13" t="str">
        <f t="shared" si="790"/>
        <v/>
      </c>
      <c r="M5119" s="13" t="str">
        <f t="shared" si="791"/>
        <v/>
      </c>
      <c r="Q5119" t="str">
        <f t="shared" si="792"/>
        <v/>
      </c>
      <c r="R5119" t="str">
        <f t="shared" si="793"/>
        <v/>
      </c>
      <c r="S5119" t="str">
        <f t="shared" si="794"/>
        <v/>
      </c>
      <c r="T5119" t="str">
        <f t="shared" si="795"/>
        <v/>
      </c>
      <c r="U5119" t="str">
        <f t="shared" si="796"/>
        <v/>
      </c>
      <c r="V5119" t="str">
        <f t="shared" si="797"/>
        <v/>
      </c>
      <c r="W5119" t="str">
        <f t="shared" si="798"/>
        <v/>
      </c>
      <c r="X5119">
        <f>IF($T5119="",N($X5118),IF(MATCH($T5119,$T$6:$T$10005,0)=ROW()-5,N($X5118)+1,N($X5118)))</f>
        <v>0</v>
      </c>
      <c r="Z5119" t="str">
        <f t="shared" si="799"/>
        <v/>
      </c>
      <c r="AA5119">
        <f>IF($V5119="",N($AA5118),IF(MATCH($V5119,$V$6:$V$10005,0)=ROW()-5,N($AA5118)+1,N($AA5118)))</f>
        <v>0</v>
      </c>
    </row>
    <row r="5120" spans="1:27" ht="21" customHeight="1" x14ac:dyDescent="0.95">
      <c r="A5120" s="56"/>
      <c r="B5120" s="57"/>
      <c r="C5120" s="57"/>
      <c r="D5120" s="57"/>
      <c r="E5120" s="56"/>
      <c r="F5120" s="57"/>
      <c r="G5120" s="57"/>
      <c r="H5120" s="56"/>
      <c r="I5120" s="56"/>
      <c r="J5120" s="58"/>
      <c r="K5120" s="58"/>
      <c r="L5120" s="13" t="str">
        <f t="shared" si="790"/>
        <v/>
      </c>
      <c r="M5120" s="13" t="str">
        <f t="shared" si="791"/>
        <v/>
      </c>
      <c r="Q5120" t="str">
        <f t="shared" si="792"/>
        <v/>
      </c>
      <c r="R5120" t="str">
        <f t="shared" si="793"/>
        <v/>
      </c>
      <c r="S5120" t="str">
        <f t="shared" si="794"/>
        <v/>
      </c>
      <c r="T5120" t="str">
        <f t="shared" si="795"/>
        <v/>
      </c>
      <c r="U5120" t="str">
        <f t="shared" si="796"/>
        <v/>
      </c>
      <c r="V5120" t="str">
        <f t="shared" si="797"/>
        <v/>
      </c>
      <c r="W5120" t="str">
        <f t="shared" si="798"/>
        <v/>
      </c>
      <c r="X5120">
        <f>IF($T5120="",N($X5119),IF(MATCH($T5120,$T$6:$T$10005,0)=ROW()-5,N($X5119)+1,N($X5119)))</f>
        <v>0</v>
      </c>
      <c r="Z5120" t="str">
        <f t="shared" si="799"/>
        <v/>
      </c>
      <c r="AA5120">
        <f>IF($V5120="",N($AA5119),IF(MATCH($V5120,$V$6:$V$10005,0)=ROW()-5,N($AA5119)+1,N($AA5119)))</f>
        <v>0</v>
      </c>
    </row>
    <row r="5121" spans="1:27" ht="21" customHeight="1" x14ac:dyDescent="0.95">
      <c r="A5121" s="56"/>
      <c r="B5121" s="57"/>
      <c r="C5121" s="57"/>
      <c r="D5121" s="57"/>
      <c r="E5121" s="56"/>
      <c r="F5121" s="57"/>
      <c r="G5121" s="57"/>
      <c r="H5121" s="56"/>
      <c r="I5121" s="56"/>
      <c r="J5121" s="58"/>
      <c r="K5121" s="58"/>
      <c r="L5121" s="13" t="str">
        <f t="shared" si="790"/>
        <v/>
      </c>
      <c r="M5121" s="13" t="str">
        <f t="shared" si="791"/>
        <v/>
      </c>
      <c r="Q5121" t="str">
        <f t="shared" si="792"/>
        <v/>
      </c>
      <c r="R5121" t="str">
        <f t="shared" si="793"/>
        <v/>
      </c>
      <c r="S5121" t="str">
        <f t="shared" si="794"/>
        <v/>
      </c>
      <c r="T5121" t="str">
        <f t="shared" si="795"/>
        <v/>
      </c>
      <c r="U5121" t="str">
        <f t="shared" si="796"/>
        <v/>
      </c>
      <c r="V5121" t="str">
        <f t="shared" si="797"/>
        <v/>
      </c>
      <c r="W5121" t="str">
        <f t="shared" si="798"/>
        <v/>
      </c>
      <c r="X5121">
        <f>IF($T5121="",N($X5120),IF(MATCH($T5121,$T$6:$T$10005,0)=ROW()-5,N($X5120)+1,N($X5120)))</f>
        <v>0</v>
      </c>
      <c r="Z5121" t="str">
        <f t="shared" si="799"/>
        <v/>
      </c>
      <c r="AA5121">
        <f>IF($V5121="",N($AA5120),IF(MATCH($V5121,$V$6:$V$10005,0)=ROW()-5,N($AA5120)+1,N($AA5120)))</f>
        <v>0</v>
      </c>
    </row>
    <row r="5122" spans="1:27" ht="21" customHeight="1" x14ac:dyDescent="0.95">
      <c r="A5122" s="56"/>
      <c r="B5122" s="57"/>
      <c r="C5122" s="57"/>
      <c r="D5122" s="57"/>
      <c r="E5122" s="56"/>
      <c r="F5122" s="57"/>
      <c r="G5122" s="57"/>
      <c r="H5122" s="56"/>
      <c r="I5122" s="56"/>
      <c r="J5122" s="58"/>
      <c r="K5122" s="58"/>
      <c r="L5122" s="13" t="str">
        <f t="shared" si="790"/>
        <v/>
      </c>
      <c r="M5122" s="13" t="str">
        <f t="shared" si="791"/>
        <v/>
      </c>
      <c r="Q5122" t="str">
        <f t="shared" si="792"/>
        <v/>
      </c>
      <c r="R5122" t="str">
        <f t="shared" si="793"/>
        <v/>
      </c>
      <c r="S5122" t="str">
        <f t="shared" si="794"/>
        <v/>
      </c>
      <c r="T5122" t="str">
        <f t="shared" si="795"/>
        <v/>
      </c>
      <c r="U5122" t="str">
        <f t="shared" si="796"/>
        <v/>
      </c>
      <c r="V5122" t="str">
        <f t="shared" si="797"/>
        <v/>
      </c>
      <c r="W5122" t="str">
        <f t="shared" si="798"/>
        <v/>
      </c>
      <c r="X5122">
        <f>IF($T5122="",N($X5121),IF(MATCH($T5122,$T$6:$T$10005,0)=ROW()-5,N($X5121)+1,N($X5121)))</f>
        <v>0</v>
      </c>
      <c r="Z5122" t="str">
        <f t="shared" si="799"/>
        <v/>
      </c>
      <c r="AA5122">
        <f>IF($V5122="",N($AA5121),IF(MATCH($V5122,$V$6:$V$10005,0)=ROW()-5,N($AA5121)+1,N($AA5121)))</f>
        <v>0</v>
      </c>
    </row>
    <row r="5123" spans="1:27" ht="21" customHeight="1" x14ac:dyDescent="0.95">
      <c r="A5123" s="56"/>
      <c r="B5123" s="57"/>
      <c r="C5123" s="57"/>
      <c r="D5123" s="57"/>
      <c r="E5123" s="56"/>
      <c r="F5123" s="57"/>
      <c r="G5123" s="57"/>
      <c r="H5123" s="56"/>
      <c r="I5123" s="56"/>
      <c r="J5123" s="58"/>
      <c r="K5123" s="58"/>
      <c r="L5123" s="13" t="str">
        <f t="shared" si="790"/>
        <v/>
      </c>
      <c r="M5123" s="13" t="str">
        <f t="shared" si="791"/>
        <v/>
      </c>
      <c r="Q5123" t="str">
        <f t="shared" si="792"/>
        <v/>
      </c>
      <c r="R5123" t="str">
        <f t="shared" si="793"/>
        <v/>
      </c>
      <c r="S5123" t="str">
        <f t="shared" si="794"/>
        <v/>
      </c>
      <c r="T5123" t="str">
        <f t="shared" si="795"/>
        <v/>
      </c>
      <c r="U5123" t="str">
        <f t="shared" si="796"/>
        <v/>
      </c>
      <c r="V5123" t="str">
        <f t="shared" si="797"/>
        <v/>
      </c>
      <c r="W5123" t="str">
        <f t="shared" si="798"/>
        <v/>
      </c>
      <c r="X5123">
        <f>IF($T5123="",N($X5122),IF(MATCH($T5123,$T$6:$T$10005,0)=ROW()-5,N($X5122)+1,N($X5122)))</f>
        <v>0</v>
      </c>
      <c r="Z5123" t="str">
        <f t="shared" si="799"/>
        <v/>
      </c>
      <c r="AA5123">
        <f>IF($V5123="",N($AA5122),IF(MATCH($V5123,$V$6:$V$10005,0)=ROW()-5,N($AA5122)+1,N($AA5122)))</f>
        <v>0</v>
      </c>
    </row>
    <row r="5124" spans="1:27" ht="21" customHeight="1" x14ac:dyDescent="0.95">
      <c r="A5124" s="56"/>
      <c r="B5124" s="57"/>
      <c r="C5124" s="57"/>
      <c r="D5124" s="57"/>
      <c r="E5124" s="56"/>
      <c r="F5124" s="57"/>
      <c r="G5124" s="57"/>
      <c r="H5124" s="56"/>
      <c r="I5124" s="56"/>
      <c r="J5124" s="58"/>
      <c r="K5124" s="58"/>
      <c r="L5124" s="13" t="str">
        <f t="shared" si="790"/>
        <v/>
      </c>
      <c r="M5124" s="13" t="str">
        <f t="shared" si="791"/>
        <v/>
      </c>
      <c r="Q5124" t="str">
        <f t="shared" si="792"/>
        <v/>
      </c>
      <c r="R5124" t="str">
        <f t="shared" si="793"/>
        <v/>
      </c>
      <c r="S5124" t="str">
        <f t="shared" si="794"/>
        <v/>
      </c>
      <c r="T5124" t="str">
        <f t="shared" si="795"/>
        <v/>
      </c>
      <c r="U5124" t="str">
        <f t="shared" si="796"/>
        <v/>
      </c>
      <c r="V5124" t="str">
        <f t="shared" si="797"/>
        <v/>
      </c>
      <c r="W5124" t="str">
        <f t="shared" si="798"/>
        <v/>
      </c>
      <c r="X5124">
        <f>IF($T5124="",N($X5123),IF(MATCH($T5124,$T$6:$T$10005,0)=ROW()-5,N($X5123)+1,N($X5123)))</f>
        <v>0</v>
      </c>
      <c r="Z5124" t="str">
        <f t="shared" si="799"/>
        <v/>
      </c>
      <c r="AA5124">
        <f>IF($V5124="",N($AA5123),IF(MATCH($V5124,$V$6:$V$10005,0)=ROW()-5,N($AA5123)+1,N($AA5123)))</f>
        <v>0</v>
      </c>
    </row>
    <row r="5125" spans="1:27" ht="21" customHeight="1" x14ac:dyDescent="0.95">
      <c r="A5125" s="56"/>
      <c r="B5125" s="57"/>
      <c r="C5125" s="57"/>
      <c r="D5125" s="57"/>
      <c r="E5125" s="56"/>
      <c r="F5125" s="57"/>
      <c r="G5125" s="57"/>
      <c r="H5125" s="56"/>
      <c r="I5125" s="56"/>
      <c r="J5125" s="58"/>
      <c r="K5125" s="58"/>
      <c r="L5125" s="13" t="str">
        <f t="shared" si="790"/>
        <v/>
      </c>
      <c r="M5125" s="13" t="str">
        <f t="shared" si="791"/>
        <v/>
      </c>
      <c r="Q5125" t="str">
        <f t="shared" si="792"/>
        <v/>
      </c>
      <c r="R5125" t="str">
        <f t="shared" si="793"/>
        <v/>
      </c>
      <c r="S5125" t="str">
        <f t="shared" si="794"/>
        <v/>
      </c>
      <c r="T5125" t="str">
        <f t="shared" si="795"/>
        <v/>
      </c>
      <c r="U5125" t="str">
        <f t="shared" si="796"/>
        <v/>
      </c>
      <c r="V5125" t="str">
        <f t="shared" si="797"/>
        <v/>
      </c>
      <c r="W5125" t="str">
        <f t="shared" si="798"/>
        <v/>
      </c>
      <c r="X5125">
        <f>IF($T5125="",N($X5124),IF(MATCH($T5125,$T$6:$T$10005,0)=ROW()-5,N($X5124)+1,N($X5124)))</f>
        <v>0</v>
      </c>
      <c r="Z5125" t="str">
        <f t="shared" si="799"/>
        <v/>
      </c>
      <c r="AA5125">
        <f>IF($V5125="",N($AA5124),IF(MATCH($V5125,$V$6:$V$10005,0)=ROW()-5,N($AA5124)+1,N($AA5124)))</f>
        <v>0</v>
      </c>
    </row>
    <row r="5126" spans="1:27" ht="21" customHeight="1" x14ac:dyDescent="0.95">
      <c r="A5126" s="56"/>
      <c r="B5126" s="57"/>
      <c r="C5126" s="57"/>
      <c r="D5126" s="57"/>
      <c r="E5126" s="56"/>
      <c r="F5126" s="57"/>
      <c r="G5126" s="57"/>
      <c r="H5126" s="56"/>
      <c r="I5126" s="56"/>
      <c r="J5126" s="58"/>
      <c r="K5126" s="58"/>
      <c r="L5126" s="13" t="str">
        <f t="shared" ref="L5126:L5189" si="800">IF(OR($A5126="",AND($J5126="",$K5126="")),"",ROUND(N($J5126)-N($K5126),2))</f>
        <v/>
      </c>
      <c r="M5126" s="13" t="str">
        <f t="shared" ref="M5126:M5189" si="801">IF(OR($A5126="",AND($J5126="",$K5126="")),"",MIN($J5126,$K5126))</f>
        <v/>
      </c>
      <c r="Q5126" t="str">
        <f t="shared" ref="Q5126:Q5189" si="802">IF($A5126="","",$D5126&amp;"("&amp;SUBSTITUTE($E5126," ","")&amp;")")</f>
        <v/>
      </c>
      <c r="R5126" t="str">
        <f t="shared" ref="R5126:R5189" si="803">IF($A5126="","",$B5126&amp;" - "&amp;$C5126)</f>
        <v/>
      </c>
      <c r="S5126" t="str">
        <f t="shared" ref="S5126:S5189" si="804">IF($A5126="","",$R5126&amp;"|"&amp;$Q5126)</f>
        <v/>
      </c>
      <c r="T5126" t="str">
        <f t="shared" ref="T5126:T5189" si="805">IF($A5126="","",$S5126&amp;"|"&amp;$F5126)</f>
        <v/>
      </c>
      <c r="U5126" t="str">
        <f t="shared" ref="U5126:U5189" si="806">IF($A5126="","",$R5126&amp;"("&amp;$E5126&amp;")")</f>
        <v/>
      </c>
      <c r="V5126" t="str">
        <f t="shared" ref="V5126:V5189" si="807">IF($A5126="","",$F5126&amp;"|"&amp;$U5126&amp;"|"&amp;$D5126)</f>
        <v/>
      </c>
      <c r="W5126" t="str">
        <f t="shared" ref="W5126:W5189" si="808">IF($T5126="","",IF($X5126&gt;N($X5125),$X5126,""))</f>
        <v/>
      </c>
      <c r="X5126">
        <f>IF($T5126="",N($X5125),IF(MATCH($T5126,$T$6:$T$10005,0)=ROW()-5,N($X5125)+1,N($X5125)))</f>
        <v>0</v>
      </c>
      <c r="Z5126" t="str">
        <f t="shared" ref="Z5126:Z5189" si="809">IF($V5126="","",IF($AA5126&gt;N($AA5125),$AA5126,""))</f>
        <v/>
      </c>
      <c r="AA5126">
        <f>IF($V5126="",N($AA5125),IF(MATCH($V5126,$V$6:$V$10005,0)=ROW()-5,N($AA5125)+1,N($AA5125)))</f>
        <v>0</v>
      </c>
    </row>
    <row r="5127" spans="1:27" ht="21" customHeight="1" x14ac:dyDescent="0.95">
      <c r="A5127" s="56"/>
      <c r="B5127" s="57"/>
      <c r="C5127" s="57"/>
      <c r="D5127" s="57"/>
      <c r="E5127" s="56"/>
      <c r="F5127" s="57"/>
      <c r="G5127" s="57"/>
      <c r="H5127" s="56"/>
      <c r="I5127" s="56"/>
      <c r="J5127" s="58"/>
      <c r="K5127" s="58"/>
      <c r="L5127" s="13" t="str">
        <f t="shared" si="800"/>
        <v/>
      </c>
      <c r="M5127" s="13" t="str">
        <f t="shared" si="801"/>
        <v/>
      </c>
      <c r="Q5127" t="str">
        <f t="shared" si="802"/>
        <v/>
      </c>
      <c r="R5127" t="str">
        <f t="shared" si="803"/>
        <v/>
      </c>
      <c r="S5127" t="str">
        <f t="shared" si="804"/>
        <v/>
      </c>
      <c r="T5127" t="str">
        <f t="shared" si="805"/>
        <v/>
      </c>
      <c r="U5127" t="str">
        <f t="shared" si="806"/>
        <v/>
      </c>
      <c r="V5127" t="str">
        <f t="shared" si="807"/>
        <v/>
      </c>
      <c r="W5127" t="str">
        <f t="shared" si="808"/>
        <v/>
      </c>
      <c r="X5127">
        <f>IF($T5127="",N($X5126),IF(MATCH($T5127,$T$6:$T$10005,0)=ROW()-5,N($X5126)+1,N($X5126)))</f>
        <v>0</v>
      </c>
      <c r="Z5127" t="str">
        <f t="shared" si="809"/>
        <v/>
      </c>
      <c r="AA5127">
        <f>IF($V5127="",N($AA5126),IF(MATCH($V5127,$V$6:$V$10005,0)=ROW()-5,N($AA5126)+1,N($AA5126)))</f>
        <v>0</v>
      </c>
    </row>
    <row r="5128" spans="1:27" ht="21" customHeight="1" x14ac:dyDescent="0.95">
      <c r="A5128" s="56"/>
      <c r="B5128" s="57"/>
      <c r="C5128" s="57"/>
      <c r="D5128" s="57"/>
      <c r="E5128" s="56"/>
      <c r="F5128" s="57"/>
      <c r="G5128" s="57"/>
      <c r="H5128" s="56"/>
      <c r="I5128" s="56"/>
      <c r="J5128" s="58"/>
      <c r="K5128" s="58"/>
      <c r="L5128" s="13" t="str">
        <f t="shared" si="800"/>
        <v/>
      </c>
      <c r="M5128" s="13" t="str">
        <f t="shared" si="801"/>
        <v/>
      </c>
      <c r="Q5128" t="str">
        <f t="shared" si="802"/>
        <v/>
      </c>
      <c r="R5128" t="str">
        <f t="shared" si="803"/>
        <v/>
      </c>
      <c r="S5128" t="str">
        <f t="shared" si="804"/>
        <v/>
      </c>
      <c r="T5128" t="str">
        <f t="shared" si="805"/>
        <v/>
      </c>
      <c r="U5128" t="str">
        <f t="shared" si="806"/>
        <v/>
      </c>
      <c r="V5128" t="str">
        <f t="shared" si="807"/>
        <v/>
      </c>
      <c r="W5128" t="str">
        <f t="shared" si="808"/>
        <v/>
      </c>
      <c r="X5128">
        <f>IF($T5128="",N($X5127),IF(MATCH($T5128,$T$6:$T$10005,0)=ROW()-5,N($X5127)+1,N($X5127)))</f>
        <v>0</v>
      </c>
      <c r="Z5128" t="str">
        <f t="shared" si="809"/>
        <v/>
      </c>
      <c r="AA5128">
        <f>IF($V5128="",N($AA5127),IF(MATCH($V5128,$V$6:$V$10005,0)=ROW()-5,N($AA5127)+1,N($AA5127)))</f>
        <v>0</v>
      </c>
    </row>
    <row r="5129" spans="1:27" ht="21" customHeight="1" x14ac:dyDescent="0.95">
      <c r="A5129" s="56"/>
      <c r="B5129" s="57"/>
      <c r="C5129" s="57"/>
      <c r="D5129" s="57"/>
      <c r="E5129" s="56"/>
      <c r="F5129" s="57"/>
      <c r="G5129" s="57"/>
      <c r="H5129" s="56"/>
      <c r="I5129" s="56"/>
      <c r="J5129" s="58"/>
      <c r="K5129" s="58"/>
      <c r="L5129" s="13" t="str">
        <f t="shared" si="800"/>
        <v/>
      </c>
      <c r="M5129" s="13" t="str">
        <f t="shared" si="801"/>
        <v/>
      </c>
      <c r="Q5129" t="str">
        <f t="shared" si="802"/>
        <v/>
      </c>
      <c r="R5129" t="str">
        <f t="shared" si="803"/>
        <v/>
      </c>
      <c r="S5129" t="str">
        <f t="shared" si="804"/>
        <v/>
      </c>
      <c r="T5129" t="str">
        <f t="shared" si="805"/>
        <v/>
      </c>
      <c r="U5129" t="str">
        <f t="shared" si="806"/>
        <v/>
      </c>
      <c r="V5129" t="str">
        <f t="shared" si="807"/>
        <v/>
      </c>
      <c r="W5129" t="str">
        <f t="shared" si="808"/>
        <v/>
      </c>
      <c r="X5129">
        <f>IF($T5129="",N($X5128),IF(MATCH($T5129,$T$6:$T$10005,0)=ROW()-5,N($X5128)+1,N($X5128)))</f>
        <v>0</v>
      </c>
      <c r="Z5129" t="str">
        <f t="shared" si="809"/>
        <v/>
      </c>
      <c r="AA5129">
        <f>IF($V5129="",N($AA5128),IF(MATCH($V5129,$V$6:$V$10005,0)=ROW()-5,N($AA5128)+1,N($AA5128)))</f>
        <v>0</v>
      </c>
    </row>
    <row r="5130" spans="1:27" ht="21" customHeight="1" x14ac:dyDescent="0.95">
      <c r="A5130" s="56"/>
      <c r="B5130" s="57"/>
      <c r="C5130" s="57"/>
      <c r="D5130" s="57"/>
      <c r="E5130" s="56"/>
      <c r="F5130" s="57"/>
      <c r="G5130" s="57"/>
      <c r="H5130" s="56"/>
      <c r="I5130" s="56"/>
      <c r="J5130" s="58"/>
      <c r="K5130" s="58"/>
      <c r="L5130" s="13" t="str">
        <f t="shared" si="800"/>
        <v/>
      </c>
      <c r="M5130" s="13" t="str">
        <f t="shared" si="801"/>
        <v/>
      </c>
      <c r="Q5130" t="str">
        <f t="shared" si="802"/>
        <v/>
      </c>
      <c r="R5130" t="str">
        <f t="shared" si="803"/>
        <v/>
      </c>
      <c r="S5130" t="str">
        <f t="shared" si="804"/>
        <v/>
      </c>
      <c r="T5130" t="str">
        <f t="shared" si="805"/>
        <v/>
      </c>
      <c r="U5130" t="str">
        <f t="shared" si="806"/>
        <v/>
      </c>
      <c r="V5130" t="str">
        <f t="shared" si="807"/>
        <v/>
      </c>
      <c r="W5130" t="str">
        <f t="shared" si="808"/>
        <v/>
      </c>
      <c r="X5130">
        <f>IF($T5130="",N($X5129),IF(MATCH($T5130,$T$6:$T$10005,0)=ROW()-5,N($X5129)+1,N($X5129)))</f>
        <v>0</v>
      </c>
      <c r="Z5130" t="str">
        <f t="shared" si="809"/>
        <v/>
      </c>
      <c r="AA5130">
        <f>IF($V5130="",N($AA5129),IF(MATCH($V5130,$V$6:$V$10005,0)=ROW()-5,N($AA5129)+1,N($AA5129)))</f>
        <v>0</v>
      </c>
    </row>
    <row r="5131" spans="1:27" ht="21" customHeight="1" x14ac:dyDescent="0.95">
      <c r="A5131" s="56"/>
      <c r="B5131" s="57"/>
      <c r="C5131" s="57"/>
      <c r="D5131" s="57"/>
      <c r="E5131" s="56"/>
      <c r="F5131" s="57"/>
      <c r="G5131" s="57"/>
      <c r="H5131" s="56"/>
      <c r="I5131" s="56"/>
      <c r="J5131" s="58"/>
      <c r="K5131" s="58"/>
      <c r="L5131" s="13" t="str">
        <f t="shared" si="800"/>
        <v/>
      </c>
      <c r="M5131" s="13" t="str">
        <f t="shared" si="801"/>
        <v/>
      </c>
      <c r="Q5131" t="str">
        <f t="shared" si="802"/>
        <v/>
      </c>
      <c r="R5131" t="str">
        <f t="shared" si="803"/>
        <v/>
      </c>
      <c r="S5131" t="str">
        <f t="shared" si="804"/>
        <v/>
      </c>
      <c r="T5131" t="str">
        <f t="shared" si="805"/>
        <v/>
      </c>
      <c r="U5131" t="str">
        <f t="shared" si="806"/>
        <v/>
      </c>
      <c r="V5131" t="str">
        <f t="shared" si="807"/>
        <v/>
      </c>
      <c r="W5131" t="str">
        <f t="shared" si="808"/>
        <v/>
      </c>
      <c r="X5131">
        <f>IF($T5131="",N($X5130),IF(MATCH($T5131,$T$6:$T$10005,0)=ROW()-5,N($X5130)+1,N($X5130)))</f>
        <v>0</v>
      </c>
      <c r="Z5131" t="str">
        <f t="shared" si="809"/>
        <v/>
      </c>
      <c r="AA5131">
        <f>IF($V5131="",N($AA5130),IF(MATCH($V5131,$V$6:$V$10005,0)=ROW()-5,N($AA5130)+1,N($AA5130)))</f>
        <v>0</v>
      </c>
    </row>
    <row r="5132" spans="1:27" ht="21" customHeight="1" x14ac:dyDescent="0.95">
      <c r="A5132" s="56"/>
      <c r="B5132" s="57"/>
      <c r="C5132" s="57"/>
      <c r="D5132" s="57"/>
      <c r="E5132" s="56"/>
      <c r="F5132" s="57"/>
      <c r="G5132" s="57"/>
      <c r="H5132" s="56"/>
      <c r="I5132" s="56"/>
      <c r="J5132" s="58"/>
      <c r="K5132" s="58"/>
      <c r="L5132" s="13" t="str">
        <f t="shared" si="800"/>
        <v/>
      </c>
      <c r="M5132" s="13" t="str">
        <f t="shared" si="801"/>
        <v/>
      </c>
      <c r="Q5132" t="str">
        <f t="shared" si="802"/>
        <v/>
      </c>
      <c r="R5132" t="str">
        <f t="shared" si="803"/>
        <v/>
      </c>
      <c r="S5132" t="str">
        <f t="shared" si="804"/>
        <v/>
      </c>
      <c r="T5132" t="str">
        <f t="shared" si="805"/>
        <v/>
      </c>
      <c r="U5132" t="str">
        <f t="shared" si="806"/>
        <v/>
      </c>
      <c r="V5132" t="str">
        <f t="shared" si="807"/>
        <v/>
      </c>
      <c r="W5132" t="str">
        <f t="shared" si="808"/>
        <v/>
      </c>
      <c r="X5132">
        <f>IF($T5132="",N($X5131),IF(MATCH($T5132,$T$6:$T$10005,0)=ROW()-5,N($X5131)+1,N($X5131)))</f>
        <v>0</v>
      </c>
      <c r="Z5132" t="str">
        <f t="shared" si="809"/>
        <v/>
      </c>
      <c r="AA5132">
        <f>IF($V5132="",N($AA5131),IF(MATCH($V5132,$V$6:$V$10005,0)=ROW()-5,N($AA5131)+1,N($AA5131)))</f>
        <v>0</v>
      </c>
    </row>
    <row r="5133" spans="1:27" ht="21" customHeight="1" x14ac:dyDescent="0.95">
      <c r="A5133" s="56"/>
      <c r="B5133" s="57"/>
      <c r="C5133" s="57"/>
      <c r="D5133" s="57"/>
      <c r="E5133" s="56"/>
      <c r="F5133" s="57"/>
      <c r="G5133" s="57"/>
      <c r="H5133" s="56"/>
      <c r="I5133" s="56"/>
      <c r="J5133" s="58"/>
      <c r="K5133" s="58"/>
      <c r="L5133" s="13" t="str">
        <f t="shared" si="800"/>
        <v/>
      </c>
      <c r="M5133" s="13" t="str">
        <f t="shared" si="801"/>
        <v/>
      </c>
      <c r="Q5133" t="str">
        <f t="shared" si="802"/>
        <v/>
      </c>
      <c r="R5133" t="str">
        <f t="shared" si="803"/>
        <v/>
      </c>
      <c r="S5133" t="str">
        <f t="shared" si="804"/>
        <v/>
      </c>
      <c r="T5133" t="str">
        <f t="shared" si="805"/>
        <v/>
      </c>
      <c r="U5133" t="str">
        <f t="shared" si="806"/>
        <v/>
      </c>
      <c r="V5133" t="str">
        <f t="shared" si="807"/>
        <v/>
      </c>
      <c r="W5133" t="str">
        <f t="shared" si="808"/>
        <v/>
      </c>
      <c r="X5133">
        <f>IF($T5133="",N($X5132),IF(MATCH($T5133,$T$6:$T$10005,0)=ROW()-5,N($X5132)+1,N($X5132)))</f>
        <v>0</v>
      </c>
      <c r="Z5133" t="str">
        <f t="shared" si="809"/>
        <v/>
      </c>
      <c r="AA5133">
        <f>IF($V5133="",N($AA5132),IF(MATCH($V5133,$V$6:$V$10005,0)=ROW()-5,N($AA5132)+1,N($AA5132)))</f>
        <v>0</v>
      </c>
    </row>
    <row r="5134" spans="1:27" ht="21" customHeight="1" x14ac:dyDescent="0.95">
      <c r="A5134" s="56"/>
      <c r="B5134" s="57"/>
      <c r="C5134" s="57"/>
      <c r="D5134" s="57"/>
      <c r="E5134" s="56"/>
      <c r="F5134" s="57"/>
      <c r="G5134" s="57"/>
      <c r="H5134" s="56"/>
      <c r="I5134" s="56"/>
      <c r="J5134" s="58"/>
      <c r="K5134" s="58"/>
      <c r="L5134" s="13" t="str">
        <f t="shared" si="800"/>
        <v/>
      </c>
      <c r="M5134" s="13" t="str">
        <f t="shared" si="801"/>
        <v/>
      </c>
      <c r="Q5134" t="str">
        <f t="shared" si="802"/>
        <v/>
      </c>
      <c r="R5134" t="str">
        <f t="shared" si="803"/>
        <v/>
      </c>
      <c r="S5134" t="str">
        <f t="shared" si="804"/>
        <v/>
      </c>
      <c r="T5134" t="str">
        <f t="shared" si="805"/>
        <v/>
      </c>
      <c r="U5134" t="str">
        <f t="shared" si="806"/>
        <v/>
      </c>
      <c r="V5134" t="str">
        <f t="shared" si="807"/>
        <v/>
      </c>
      <c r="W5134" t="str">
        <f t="shared" si="808"/>
        <v/>
      </c>
      <c r="X5134">
        <f>IF($T5134="",N($X5133),IF(MATCH($T5134,$T$6:$T$10005,0)=ROW()-5,N($X5133)+1,N($X5133)))</f>
        <v>0</v>
      </c>
      <c r="Z5134" t="str">
        <f t="shared" si="809"/>
        <v/>
      </c>
      <c r="AA5134">
        <f>IF($V5134="",N($AA5133),IF(MATCH($V5134,$V$6:$V$10005,0)=ROW()-5,N($AA5133)+1,N($AA5133)))</f>
        <v>0</v>
      </c>
    </row>
    <row r="5135" spans="1:27" ht="21" customHeight="1" x14ac:dyDescent="0.95">
      <c r="A5135" s="56"/>
      <c r="B5135" s="57"/>
      <c r="C5135" s="57"/>
      <c r="D5135" s="57"/>
      <c r="E5135" s="56"/>
      <c r="F5135" s="57"/>
      <c r="G5135" s="57"/>
      <c r="H5135" s="56"/>
      <c r="I5135" s="56"/>
      <c r="J5135" s="58"/>
      <c r="K5135" s="58"/>
      <c r="L5135" s="13" t="str">
        <f t="shared" si="800"/>
        <v/>
      </c>
      <c r="M5135" s="13" t="str">
        <f t="shared" si="801"/>
        <v/>
      </c>
      <c r="Q5135" t="str">
        <f t="shared" si="802"/>
        <v/>
      </c>
      <c r="R5135" t="str">
        <f t="shared" si="803"/>
        <v/>
      </c>
      <c r="S5135" t="str">
        <f t="shared" si="804"/>
        <v/>
      </c>
      <c r="T5135" t="str">
        <f t="shared" si="805"/>
        <v/>
      </c>
      <c r="U5135" t="str">
        <f t="shared" si="806"/>
        <v/>
      </c>
      <c r="V5135" t="str">
        <f t="shared" si="807"/>
        <v/>
      </c>
      <c r="W5135" t="str">
        <f t="shared" si="808"/>
        <v/>
      </c>
      <c r="X5135">
        <f>IF($T5135="",N($X5134),IF(MATCH($T5135,$T$6:$T$10005,0)=ROW()-5,N($X5134)+1,N($X5134)))</f>
        <v>0</v>
      </c>
      <c r="Z5135" t="str">
        <f t="shared" si="809"/>
        <v/>
      </c>
      <c r="AA5135">
        <f>IF($V5135="",N($AA5134),IF(MATCH($V5135,$V$6:$V$10005,0)=ROW()-5,N($AA5134)+1,N($AA5134)))</f>
        <v>0</v>
      </c>
    </row>
    <row r="5136" spans="1:27" ht="21" customHeight="1" x14ac:dyDescent="0.95">
      <c r="A5136" s="56"/>
      <c r="B5136" s="57"/>
      <c r="C5136" s="57"/>
      <c r="D5136" s="57"/>
      <c r="E5136" s="56"/>
      <c r="F5136" s="57"/>
      <c r="G5136" s="57"/>
      <c r="H5136" s="56"/>
      <c r="I5136" s="56"/>
      <c r="J5136" s="58"/>
      <c r="K5136" s="58"/>
      <c r="L5136" s="13" t="str">
        <f t="shared" si="800"/>
        <v/>
      </c>
      <c r="M5136" s="13" t="str">
        <f t="shared" si="801"/>
        <v/>
      </c>
      <c r="Q5136" t="str">
        <f t="shared" si="802"/>
        <v/>
      </c>
      <c r="R5136" t="str">
        <f t="shared" si="803"/>
        <v/>
      </c>
      <c r="S5136" t="str">
        <f t="shared" si="804"/>
        <v/>
      </c>
      <c r="T5136" t="str">
        <f t="shared" si="805"/>
        <v/>
      </c>
      <c r="U5136" t="str">
        <f t="shared" si="806"/>
        <v/>
      </c>
      <c r="V5136" t="str">
        <f t="shared" si="807"/>
        <v/>
      </c>
      <c r="W5136" t="str">
        <f t="shared" si="808"/>
        <v/>
      </c>
      <c r="X5136">
        <f>IF($T5136="",N($X5135),IF(MATCH($T5136,$T$6:$T$10005,0)=ROW()-5,N($X5135)+1,N($X5135)))</f>
        <v>0</v>
      </c>
      <c r="Z5136" t="str">
        <f t="shared" si="809"/>
        <v/>
      </c>
      <c r="AA5136">
        <f>IF($V5136="",N($AA5135),IF(MATCH($V5136,$V$6:$V$10005,0)=ROW()-5,N($AA5135)+1,N($AA5135)))</f>
        <v>0</v>
      </c>
    </row>
    <row r="5137" spans="1:27" ht="21" customHeight="1" x14ac:dyDescent="0.95">
      <c r="A5137" s="56"/>
      <c r="B5137" s="57"/>
      <c r="C5137" s="57"/>
      <c r="D5137" s="57"/>
      <c r="E5137" s="56"/>
      <c r="F5137" s="57"/>
      <c r="G5137" s="57"/>
      <c r="H5137" s="56"/>
      <c r="I5137" s="56"/>
      <c r="J5137" s="58"/>
      <c r="K5137" s="58"/>
      <c r="L5137" s="13" t="str">
        <f t="shared" si="800"/>
        <v/>
      </c>
      <c r="M5137" s="13" t="str">
        <f t="shared" si="801"/>
        <v/>
      </c>
      <c r="Q5137" t="str">
        <f t="shared" si="802"/>
        <v/>
      </c>
      <c r="R5137" t="str">
        <f t="shared" si="803"/>
        <v/>
      </c>
      <c r="S5137" t="str">
        <f t="shared" si="804"/>
        <v/>
      </c>
      <c r="T5137" t="str">
        <f t="shared" si="805"/>
        <v/>
      </c>
      <c r="U5137" t="str">
        <f t="shared" si="806"/>
        <v/>
      </c>
      <c r="V5137" t="str">
        <f t="shared" si="807"/>
        <v/>
      </c>
      <c r="W5137" t="str">
        <f t="shared" si="808"/>
        <v/>
      </c>
      <c r="X5137">
        <f>IF($T5137="",N($X5136),IF(MATCH($T5137,$T$6:$T$10005,0)=ROW()-5,N($X5136)+1,N($X5136)))</f>
        <v>0</v>
      </c>
      <c r="Z5137" t="str">
        <f t="shared" si="809"/>
        <v/>
      </c>
      <c r="AA5137">
        <f>IF($V5137="",N($AA5136),IF(MATCH($V5137,$V$6:$V$10005,0)=ROW()-5,N($AA5136)+1,N($AA5136)))</f>
        <v>0</v>
      </c>
    </row>
    <row r="5138" spans="1:27" ht="21" customHeight="1" x14ac:dyDescent="0.95">
      <c r="A5138" s="56"/>
      <c r="B5138" s="57"/>
      <c r="C5138" s="57"/>
      <c r="D5138" s="57"/>
      <c r="E5138" s="56"/>
      <c r="F5138" s="57"/>
      <c r="G5138" s="57"/>
      <c r="H5138" s="56"/>
      <c r="I5138" s="56"/>
      <c r="J5138" s="58"/>
      <c r="K5138" s="58"/>
      <c r="L5138" s="13" t="str">
        <f t="shared" si="800"/>
        <v/>
      </c>
      <c r="M5138" s="13" t="str">
        <f t="shared" si="801"/>
        <v/>
      </c>
      <c r="Q5138" t="str">
        <f t="shared" si="802"/>
        <v/>
      </c>
      <c r="R5138" t="str">
        <f t="shared" si="803"/>
        <v/>
      </c>
      <c r="S5138" t="str">
        <f t="shared" si="804"/>
        <v/>
      </c>
      <c r="T5138" t="str">
        <f t="shared" si="805"/>
        <v/>
      </c>
      <c r="U5138" t="str">
        <f t="shared" si="806"/>
        <v/>
      </c>
      <c r="V5138" t="str">
        <f t="shared" si="807"/>
        <v/>
      </c>
      <c r="W5138" t="str">
        <f t="shared" si="808"/>
        <v/>
      </c>
      <c r="X5138">
        <f>IF($T5138="",N($X5137),IF(MATCH($T5138,$T$6:$T$10005,0)=ROW()-5,N($X5137)+1,N($X5137)))</f>
        <v>0</v>
      </c>
      <c r="Z5138" t="str">
        <f t="shared" si="809"/>
        <v/>
      </c>
      <c r="AA5138">
        <f>IF($V5138="",N($AA5137),IF(MATCH($V5138,$V$6:$V$10005,0)=ROW()-5,N($AA5137)+1,N($AA5137)))</f>
        <v>0</v>
      </c>
    </row>
    <row r="5139" spans="1:27" ht="21" customHeight="1" x14ac:dyDescent="0.95">
      <c r="A5139" s="56"/>
      <c r="B5139" s="57"/>
      <c r="C5139" s="57"/>
      <c r="D5139" s="57"/>
      <c r="E5139" s="56"/>
      <c r="F5139" s="57"/>
      <c r="G5139" s="57"/>
      <c r="H5139" s="56"/>
      <c r="I5139" s="56"/>
      <c r="J5139" s="58"/>
      <c r="K5139" s="58"/>
      <c r="L5139" s="13" t="str">
        <f t="shared" si="800"/>
        <v/>
      </c>
      <c r="M5139" s="13" t="str">
        <f t="shared" si="801"/>
        <v/>
      </c>
      <c r="Q5139" t="str">
        <f t="shared" si="802"/>
        <v/>
      </c>
      <c r="R5139" t="str">
        <f t="shared" si="803"/>
        <v/>
      </c>
      <c r="S5139" t="str">
        <f t="shared" si="804"/>
        <v/>
      </c>
      <c r="T5139" t="str">
        <f t="shared" si="805"/>
        <v/>
      </c>
      <c r="U5139" t="str">
        <f t="shared" si="806"/>
        <v/>
      </c>
      <c r="V5139" t="str">
        <f t="shared" si="807"/>
        <v/>
      </c>
      <c r="W5139" t="str">
        <f t="shared" si="808"/>
        <v/>
      </c>
      <c r="X5139">
        <f>IF($T5139="",N($X5138),IF(MATCH($T5139,$T$6:$T$10005,0)=ROW()-5,N($X5138)+1,N($X5138)))</f>
        <v>0</v>
      </c>
      <c r="Z5139" t="str">
        <f t="shared" si="809"/>
        <v/>
      </c>
      <c r="AA5139">
        <f>IF($V5139="",N($AA5138),IF(MATCH($V5139,$V$6:$V$10005,0)=ROW()-5,N($AA5138)+1,N($AA5138)))</f>
        <v>0</v>
      </c>
    </row>
    <row r="5140" spans="1:27" ht="21" customHeight="1" x14ac:dyDescent="0.95">
      <c r="A5140" s="56"/>
      <c r="B5140" s="57"/>
      <c r="C5140" s="57"/>
      <c r="D5140" s="57"/>
      <c r="E5140" s="56"/>
      <c r="F5140" s="57"/>
      <c r="G5140" s="57"/>
      <c r="H5140" s="56"/>
      <c r="I5140" s="56"/>
      <c r="J5140" s="58"/>
      <c r="K5140" s="58"/>
      <c r="L5140" s="13" t="str">
        <f t="shared" si="800"/>
        <v/>
      </c>
      <c r="M5140" s="13" t="str">
        <f t="shared" si="801"/>
        <v/>
      </c>
      <c r="Q5140" t="str">
        <f t="shared" si="802"/>
        <v/>
      </c>
      <c r="R5140" t="str">
        <f t="shared" si="803"/>
        <v/>
      </c>
      <c r="S5140" t="str">
        <f t="shared" si="804"/>
        <v/>
      </c>
      <c r="T5140" t="str">
        <f t="shared" si="805"/>
        <v/>
      </c>
      <c r="U5140" t="str">
        <f t="shared" si="806"/>
        <v/>
      </c>
      <c r="V5140" t="str">
        <f t="shared" si="807"/>
        <v/>
      </c>
      <c r="W5140" t="str">
        <f t="shared" si="808"/>
        <v/>
      </c>
      <c r="X5140">
        <f>IF($T5140="",N($X5139),IF(MATCH($T5140,$T$6:$T$10005,0)=ROW()-5,N($X5139)+1,N($X5139)))</f>
        <v>0</v>
      </c>
      <c r="Z5140" t="str">
        <f t="shared" si="809"/>
        <v/>
      </c>
      <c r="AA5140">
        <f>IF($V5140="",N($AA5139),IF(MATCH($V5140,$V$6:$V$10005,0)=ROW()-5,N($AA5139)+1,N($AA5139)))</f>
        <v>0</v>
      </c>
    </row>
    <row r="5141" spans="1:27" ht="21" customHeight="1" x14ac:dyDescent="0.95">
      <c r="A5141" s="56"/>
      <c r="B5141" s="57"/>
      <c r="C5141" s="57"/>
      <c r="D5141" s="57"/>
      <c r="E5141" s="56"/>
      <c r="F5141" s="57"/>
      <c r="G5141" s="57"/>
      <c r="H5141" s="56"/>
      <c r="I5141" s="56"/>
      <c r="J5141" s="58"/>
      <c r="K5141" s="58"/>
      <c r="L5141" s="13" t="str">
        <f t="shared" si="800"/>
        <v/>
      </c>
      <c r="M5141" s="13" t="str">
        <f t="shared" si="801"/>
        <v/>
      </c>
      <c r="Q5141" t="str">
        <f t="shared" si="802"/>
        <v/>
      </c>
      <c r="R5141" t="str">
        <f t="shared" si="803"/>
        <v/>
      </c>
      <c r="S5141" t="str">
        <f t="shared" si="804"/>
        <v/>
      </c>
      <c r="T5141" t="str">
        <f t="shared" si="805"/>
        <v/>
      </c>
      <c r="U5141" t="str">
        <f t="shared" si="806"/>
        <v/>
      </c>
      <c r="V5141" t="str">
        <f t="shared" si="807"/>
        <v/>
      </c>
      <c r="W5141" t="str">
        <f t="shared" si="808"/>
        <v/>
      </c>
      <c r="X5141">
        <f>IF($T5141="",N($X5140),IF(MATCH($T5141,$T$6:$T$10005,0)=ROW()-5,N($X5140)+1,N($X5140)))</f>
        <v>0</v>
      </c>
      <c r="Z5141" t="str">
        <f t="shared" si="809"/>
        <v/>
      </c>
      <c r="AA5141">
        <f>IF($V5141="",N($AA5140),IF(MATCH($V5141,$V$6:$V$10005,0)=ROW()-5,N($AA5140)+1,N($AA5140)))</f>
        <v>0</v>
      </c>
    </row>
    <row r="5142" spans="1:27" ht="21" customHeight="1" x14ac:dyDescent="0.95">
      <c r="A5142" s="56"/>
      <c r="B5142" s="57"/>
      <c r="C5142" s="57"/>
      <c r="D5142" s="57"/>
      <c r="E5142" s="56"/>
      <c r="F5142" s="57"/>
      <c r="G5142" s="57"/>
      <c r="H5142" s="56"/>
      <c r="I5142" s="56"/>
      <c r="J5142" s="58"/>
      <c r="K5142" s="58"/>
      <c r="L5142" s="13" t="str">
        <f t="shared" si="800"/>
        <v/>
      </c>
      <c r="M5142" s="13" t="str">
        <f t="shared" si="801"/>
        <v/>
      </c>
      <c r="Q5142" t="str">
        <f t="shared" si="802"/>
        <v/>
      </c>
      <c r="R5142" t="str">
        <f t="shared" si="803"/>
        <v/>
      </c>
      <c r="S5142" t="str">
        <f t="shared" si="804"/>
        <v/>
      </c>
      <c r="T5142" t="str">
        <f t="shared" si="805"/>
        <v/>
      </c>
      <c r="U5142" t="str">
        <f t="shared" si="806"/>
        <v/>
      </c>
      <c r="V5142" t="str">
        <f t="shared" si="807"/>
        <v/>
      </c>
      <c r="W5142" t="str">
        <f t="shared" si="808"/>
        <v/>
      </c>
      <c r="X5142">
        <f>IF($T5142="",N($X5141),IF(MATCH($T5142,$T$6:$T$10005,0)=ROW()-5,N($X5141)+1,N($X5141)))</f>
        <v>0</v>
      </c>
      <c r="Z5142" t="str">
        <f t="shared" si="809"/>
        <v/>
      </c>
      <c r="AA5142">
        <f>IF($V5142="",N($AA5141),IF(MATCH($V5142,$V$6:$V$10005,0)=ROW()-5,N($AA5141)+1,N($AA5141)))</f>
        <v>0</v>
      </c>
    </row>
    <row r="5143" spans="1:27" ht="21" customHeight="1" x14ac:dyDescent="0.95">
      <c r="A5143" s="56"/>
      <c r="B5143" s="57"/>
      <c r="C5143" s="57"/>
      <c r="D5143" s="57"/>
      <c r="E5143" s="56"/>
      <c r="F5143" s="57"/>
      <c r="G5143" s="57"/>
      <c r="H5143" s="56"/>
      <c r="I5143" s="56"/>
      <c r="J5143" s="58"/>
      <c r="K5143" s="58"/>
      <c r="L5143" s="13" t="str">
        <f t="shared" si="800"/>
        <v/>
      </c>
      <c r="M5143" s="13" t="str">
        <f t="shared" si="801"/>
        <v/>
      </c>
      <c r="Q5143" t="str">
        <f t="shared" si="802"/>
        <v/>
      </c>
      <c r="R5143" t="str">
        <f t="shared" si="803"/>
        <v/>
      </c>
      <c r="S5143" t="str">
        <f t="shared" si="804"/>
        <v/>
      </c>
      <c r="T5143" t="str">
        <f t="shared" si="805"/>
        <v/>
      </c>
      <c r="U5143" t="str">
        <f t="shared" si="806"/>
        <v/>
      </c>
      <c r="V5143" t="str">
        <f t="shared" si="807"/>
        <v/>
      </c>
      <c r="W5143" t="str">
        <f t="shared" si="808"/>
        <v/>
      </c>
      <c r="X5143">
        <f>IF($T5143="",N($X5142),IF(MATCH($T5143,$T$6:$T$10005,0)=ROW()-5,N($X5142)+1,N($X5142)))</f>
        <v>0</v>
      </c>
      <c r="Z5143" t="str">
        <f t="shared" si="809"/>
        <v/>
      </c>
      <c r="AA5143">
        <f>IF($V5143="",N($AA5142),IF(MATCH($V5143,$V$6:$V$10005,0)=ROW()-5,N($AA5142)+1,N($AA5142)))</f>
        <v>0</v>
      </c>
    </row>
    <row r="5144" spans="1:27" ht="21" customHeight="1" x14ac:dyDescent="0.95">
      <c r="A5144" s="56"/>
      <c r="B5144" s="57"/>
      <c r="C5144" s="57"/>
      <c r="D5144" s="57"/>
      <c r="E5144" s="56"/>
      <c r="F5144" s="57"/>
      <c r="G5144" s="57"/>
      <c r="H5144" s="56"/>
      <c r="I5144" s="56"/>
      <c r="J5144" s="58"/>
      <c r="K5144" s="58"/>
      <c r="L5144" s="13" t="str">
        <f t="shared" si="800"/>
        <v/>
      </c>
      <c r="M5144" s="13" t="str">
        <f t="shared" si="801"/>
        <v/>
      </c>
      <c r="Q5144" t="str">
        <f t="shared" si="802"/>
        <v/>
      </c>
      <c r="R5144" t="str">
        <f t="shared" si="803"/>
        <v/>
      </c>
      <c r="S5144" t="str">
        <f t="shared" si="804"/>
        <v/>
      </c>
      <c r="T5144" t="str">
        <f t="shared" si="805"/>
        <v/>
      </c>
      <c r="U5144" t="str">
        <f t="shared" si="806"/>
        <v/>
      </c>
      <c r="V5144" t="str">
        <f t="shared" si="807"/>
        <v/>
      </c>
      <c r="W5144" t="str">
        <f t="shared" si="808"/>
        <v/>
      </c>
      <c r="X5144">
        <f>IF($T5144="",N($X5143),IF(MATCH($T5144,$T$6:$T$10005,0)=ROW()-5,N($X5143)+1,N($X5143)))</f>
        <v>0</v>
      </c>
      <c r="Z5144" t="str">
        <f t="shared" si="809"/>
        <v/>
      </c>
      <c r="AA5144">
        <f>IF($V5144="",N($AA5143),IF(MATCH($V5144,$V$6:$V$10005,0)=ROW()-5,N($AA5143)+1,N($AA5143)))</f>
        <v>0</v>
      </c>
    </row>
    <row r="5145" spans="1:27" ht="21" customHeight="1" x14ac:dyDescent="0.95">
      <c r="A5145" s="56"/>
      <c r="B5145" s="57"/>
      <c r="C5145" s="57"/>
      <c r="D5145" s="57"/>
      <c r="E5145" s="56"/>
      <c r="F5145" s="57"/>
      <c r="G5145" s="57"/>
      <c r="H5145" s="56"/>
      <c r="I5145" s="56"/>
      <c r="J5145" s="58"/>
      <c r="K5145" s="58"/>
      <c r="L5145" s="13" t="str">
        <f t="shared" si="800"/>
        <v/>
      </c>
      <c r="M5145" s="13" t="str">
        <f t="shared" si="801"/>
        <v/>
      </c>
      <c r="Q5145" t="str">
        <f t="shared" si="802"/>
        <v/>
      </c>
      <c r="R5145" t="str">
        <f t="shared" si="803"/>
        <v/>
      </c>
      <c r="S5145" t="str">
        <f t="shared" si="804"/>
        <v/>
      </c>
      <c r="T5145" t="str">
        <f t="shared" si="805"/>
        <v/>
      </c>
      <c r="U5145" t="str">
        <f t="shared" si="806"/>
        <v/>
      </c>
      <c r="V5145" t="str">
        <f t="shared" si="807"/>
        <v/>
      </c>
      <c r="W5145" t="str">
        <f t="shared" si="808"/>
        <v/>
      </c>
      <c r="X5145">
        <f>IF($T5145="",N($X5144),IF(MATCH($T5145,$T$6:$T$10005,0)=ROW()-5,N($X5144)+1,N($X5144)))</f>
        <v>0</v>
      </c>
      <c r="Z5145" t="str">
        <f t="shared" si="809"/>
        <v/>
      </c>
      <c r="AA5145">
        <f>IF($V5145="",N($AA5144),IF(MATCH($V5145,$V$6:$V$10005,0)=ROW()-5,N($AA5144)+1,N($AA5144)))</f>
        <v>0</v>
      </c>
    </row>
    <row r="5146" spans="1:27" ht="21" customHeight="1" x14ac:dyDescent="0.95">
      <c r="A5146" s="56"/>
      <c r="B5146" s="57"/>
      <c r="C5146" s="57"/>
      <c r="D5146" s="57"/>
      <c r="E5146" s="56"/>
      <c r="F5146" s="57"/>
      <c r="G5146" s="57"/>
      <c r="H5146" s="56"/>
      <c r="I5146" s="56"/>
      <c r="J5146" s="58"/>
      <c r="K5146" s="58"/>
      <c r="L5146" s="13" t="str">
        <f t="shared" si="800"/>
        <v/>
      </c>
      <c r="M5146" s="13" t="str">
        <f t="shared" si="801"/>
        <v/>
      </c>
      <c r="Q5146" t="str">
        <f t="shared" si="802"/>
        <v/>
      </c>
      <c r="R5146" t="str">
        <f t="shared" si="803"/>
        <v/>
      </c>
      <c r="S5146" t="str">
        <f t="shared" si="804"/>
        <v/>
      </c>
      <c r="T5146" t="str">
        <f t="shared" si="805"/>
        <v/>
      </c>
      <c r="U5146" t="str">
        <f t="shared" si="806"/>
        <v/>
      </c>
      <c r="V5146" t="str">
        <f t="shared" si="807"/>
        <v/>
      </c>
      <c r="W5146" t="str">
        <f t="shared" si="808"/>
        <v/>
      </c>
      <c r="X5146">
        <f>IF($T5146="",N($X5145),IF(MATCH($T5146,$T$6:$T$10005,0)=ROW()-5,N($X5145)+1,N($X5145)))</f>
        <v>0</v>
      </c>
      <c r="Z5146" t="str">
        <f t="shared" si="809"/>
        <v/>
      </c>
      <c r="AA5146">
        <f>IF($V5146="",N($AA5145),IF(MATCH($V5146,$V$6:$V$10005,0)=ROW()-5,N($AA5145)+1,N($AA5145)))</f>
        <v>0</v>
      </c>
    </row>
    <row r="5147" spans="1:27" ht="21" customHeight="1" x14ac:dyDescent="0.95">
      <c r="A5147" s="56"/>
      <c r="B5147" s="57"/>
      <c r="C5147" s="57"/>
      <c r="D5147" s="57"/>
      <c r="E5147" s="56"/>
      <c r="F5147" s="57"/>
      <c r="G5147" s="57"/>
      <c r="H5147" s="56"/>
      <c r="I5147" s="56"/>
      <c r="J5147" s="58"/>
      <c r="K5147" s="58"/>
      <c r="L5147" s="13" t="str">
        <f t="shared" si="800"/>
        <v/>
      </c>
      <c r="M5147" s="13" t="str">
        <f t="shared" si="801"/>
        <v/>
      </c>
      <c r="Q5147" t="str">
        <f t="shared" si="802"/>
        <v/>
      </c>
      <c r="R5147" t="str">
        <f t="shared" si="803"/>
        <v/>
      </c>
      <c r="S5147" t="str">
        <f t="shared" si="804"/>
        <v/>
      </c>
      <c r="T5147" t="str">
        <f t="shared" si="805"/>
        <v/>
      </c>
      <c r="U5147" t="str">
        <f t="shared" si="806"/>
        <v/>
      </c>
      <c r="V5147" t="str">
        <f t="shared" si="807"/>
        <v/>
      </c>
      <c r="W5147" t="str">
        <f t="shared" si="808"/>
        <v/>
      </c>
      <c r="X5147">
        <f>IF($T5147="",N($X5146),IF(MATCH($T5147,$T$6:$T$10005,0)=ROW()-5,N($X5146)+1,N($X5146)))</f>
        <v>0</v>
      </c>
      <c r="Z5147" t="str">
        <f t="shared" si="809"/>
        <v/>
      </c>
      <c r="AA5147">
        <f>IF($V5147="",N($AA5146),IF(MATCH($V5147,$V$6:$V$10005,0)=ROW()-5,N($AA5146)+1,N($AA5146)))</f>
        <v>0</v>
      </c>
    </row>
    <row r="5148" spans="1:27" ht="21" customHeight="1" x14ac:dyDescent="0.95">
      <c r="A5148" s="56"/>
      <c r="B5148" s="57"/>
      <c r="C5148" s="57"/>
      <c r="D5148" s="57"/>
      <c r="E5148" s="56"/>
      <c r="F5148" s="57"/>
      <c r="G5148" s="57"/>
      <c r="H5148" s="56"/>
      <c r="I5148" s="56"/>
      <c r="J5148" s="58"/>
      <c r="K5148" s="58"/>
      <c r="L5148" s="13" t="str">
        <f t="shared" si="800"/>
        <v/>
      </c>
      <c r="M5148" s="13" t="str">
        <f t="shared" si="801"/>
        <v/>
      </c>
      <c r="Q5148" t="str">
        <f t="shared" si="802"/>
        <v/>
      </c>
      <c r="R5148" t="str">
        <f t="shared" si="803"/>
        <v/>
      </c>
      <c r="S5148" t="str">
        <f t="shared" si="804"/>
        <v/>
      </c>
      <c r="T5148" t="str">
        <f t="shared" si="805"/>
        <v/>
      </c>
      <c r="U5148" t="str">
        <f t="shared" si="806"/>
        <v/>
      </c>
      <c r="V5148" t="str">
        <f t="shared" si="807"/>
        <v/>
      </c>
      <c r="W5148" t="str">
        <f t="shared" si="808"/>
        <v/>
      </c>
      <c r="X5148">
        <f>IF($T5148="",N($X5147),IF(MATCH($T5148,$T$6:$T$10005,0)=ROW()-5,N($X5147)+1,N($X5147)))</f>
        <v>0</v>
      </c>
      <c r="Z5148" t="str">
        <f t="shared" si="809"/>
        <v/>
      </c>
      <c r="AA5148">
        <f>IF($V5148="",N($AA5147),IF(MATCH($V5148,$V$6:$V$10005,0)=ROW()-5,N($AA5147)+1,N($AA5147)))</f>
        <v>0</v>
      </c>
    </row>
    <row r="5149" spans="1:27" ht="21" customHeight="1" x14ac:dyDescent="0.95">
      <c r="A5149" s="56"/>
      <c r="B5149" s="57"/>
      <c r="C5149" s="57"/>
      <c r="D5149" s="57"/>
      <c r="E5149" s="56"/>
      <c r="F5149" s="57"/>
      <c r="G5149" s="57"/>
      <c r="H5149" s="56"/>
      <c r="I5149" s="56"/>
      <c r="J5149" s="58"/>
      <c r="K5149" s="58"/>
      <c r="L5149" s="13" t="str">
        <f t="shared" si="800"/>
        <v/>
      </c>
      <c r="M5149" s="13" t="str">
        <f t="shared" si="801"/>
        <v/>
      </c>
      <c r="Q5149" t="str">
        <f t="shared" si="802"/>
        <v/>
      </c>
      <c r="R5149" t="str">
        <f t="shared" si="803"/>
        <v/>
      </c>
      <c r="S5149" t="str">
        <f t="shared" si="804"/>
        <v/>
      </c>
      <c r="T5149" t="str">
        <f t="shared" si="805"/>
        <v/>
      </c>
      <c r="U5149" t="str">
        <f t="shared" si="806"/>
        <v/>
      </c>
      <c r="V5149" t="str">
        <f t="shared" si="807"/>
        <v/>
      </c>
      <c r="W5149" t="str">
        <f t="shared" si="808"/>
        <v/>
      </c>
      <c r="X5149">
        <f>IF($T5149="",N($X5148),IF(MATCH($T5149,$T$6:$T$10005,0)=ROW()-5,N($X5148)+1,N($X5148)))</f>
        <v>0</v>
      </c>
      <c r="Z5149" t="str">
        <f t="shared" si="809"/>
        <v/>
      </c>
      <c r="AA5149">
        <f>IF($V5149="",N($AA5148),IF(MATCH($V5149,$V$6:$V$10005,0)=ROW()-5,N($AA5148)+1,N($AA5148)))</f>
        <v>0</v>
      </c>
    </row>
    <row r="5150" spans="1:27" ht="21" customHeight="1" x14ac:dyDescent="0.95">
      <c r="A5150" s="56"/>
      <c r="B5150" s="57"/>
      <c r="C5150" s="57"/>
      <c r="D5150" s="57"/>
      <c r="E5150" s="56"/>
      <c r="F5150" s="57"/>
      <c r="G5150" s="57"/>
      <c r="H5150" s="56"/>
      <c r="I5150" s="56"/>
      <c r="J5150" s="58"/>
      <c r="K5150" s="58"/>
      <c r="L5150" s="13" t="str">
        <f t="shared" si="800"/>
        <v/>
      </c>
      <c r="M5150" s="13" t="str">
        <f t="shared" si="801"/>
        <v/>
      </c>
      <c r="Q5150" t="str">
        <f t="shared" si="802"/>
        <v/>
      </c>
      <c r="R5150" t="str">
        <f t="shared" si="803"/>
        <v/>
      </c>
      <c r="S5150" t="str">
        <f t="shared" si="804"/>
        <v/>
      </c>
      <c r="T5150" t="str">
        <f t="shared" si="805"/>
        <v/>
      </c>
      <c r="U5150" t="str">
        <f t="shared" si="806"/>
        <v/>
      </c>
      <c r="V5150" t="str">
        <f t="shared" si="807"/>
        <v/>
      </c>
      <c r="W5150" t="str">
        <f t="shared" si="808"/>
        <v/>
      </c>
      <c r="X5150">
        <f>IF($T5150="",N($X5149),IF(MATCH($T5150,$T$6:$T$10005,0)=ROW()-5,N($X5149)+1,N($X5149)))</f>
        <v>0</v>
      </c>
      <c r="Z5150" t="str">
        <f t="shared" si="809"/>
        <v/>
      </c>
      <c r="AA5150">
        <f>IF($V5150="",N($AA5149),IF(MATCH($V5150,$V$6:$V$10005,0)=ROW()-5,N($AA5149)+1,N($AA5149)))</f>
        <v>0</v>
      </c>
    </row>
    <row r="5151" spans="1:27" ht="21" customHeight="1" x14ac:dyDescent="0.95">
      <c r="A5151" s="56"/>
      <c r="B5151" s="57"/>
      <c r="C5151" s="57"/>
      <c r="D5151" s="57"/>
      <c r="E5151" s="56"/>
      <c r="F5151" s="57"/>
      <c r="G5151" s="57"/>
      <c r="H5151" s="56"/>
      <c r="I5151" s="56"/>
      <c r="J5151" s="58"/>
      <c r="K5151" s="58"/>
      <c r="L5151" s="13" t="str">
        <f t="shared" si="800"/>
        <v/>
      </c>
      <c r="M5151" s="13" t="str">
        <f t="shared" si="801"/>
        <v/>
      </c>
      <c r="Q5151" t="str">
        <f t="shared" si="802"/>
        <v/>
      </c>
      <c r="R5151" t="str">
        <f t="shared" si="803"/>
        <v/>
      </c>
      <c r="S5151" t="str">
        <f t="shared" si="804"/>
        <v/>
      </c>
      <c r="T5151" t="str">
        <f t="shared" si="805"/>
        <v/>
      </c>
      <c r="U5151" t="str">
        <f t="shared" si="806"/>
        <v/>
      </c>
      <c r="V5151" t="str">
        <f t="shared" si="807"/>
        <v/>
      </c>
      <c r="W5151" t="str">
        <f t="shared" si="808"/>
        <v/>
      </c>
      <c r="X5151">
        <f>IF($T5151="",N($X5150),IF(MATCH($T5151,$T$6:$T$10005,0)=ROW()-5,N($X5150)+1,N($X5150)))</f>
        <v>0</v>
      </c>
      <c r="Z5151" t="str">
        <f t="shared" si="809"/>
        <v/>
      </c>
      <c r="AA5151">
        <f>IF($V5151="",N($AA5150),IF(MATCH($V5151,$V$6:$V$10005,0)=ROW()-5,N($AA5150)+1,N($AA5150)))</f>
        <v>0</v>
      </c>
    </row>
    <row r="5152" spans="1:27" ht="21" customHeight="1" x14ac:dyDescent="0.95">
      <c r="A5152" s="56"/>
      <c r="B5152" s="57"/>
      <c r="C5152" s="57"/>
      <c r="D5152" s="57"/>
      <c r="E5152" s="56"/>
      <c r="F5152" s="57"/>
      <c r="G5152" s="57"/>
      <c r="H5152" s="56"/>
      <c r="I5152" s="56"/>
      <c r="J5152" s="58"/>
      <c r="K5152" s="58"/>
      <c r="L5152" s="13" t="str">
        <f t="shared" si="800"/>
        <v/>
      </c>
      <c r="M5152" s="13" t="str">
        <f t="shared" si="801"/>
        <v/>
      </c>
      <c r="Q5152" t="str">
        <f t="shared" si="802"/>
        <v/>
      </c>
      <c r="R5152" t="str">
        <f t="shared" si="803"/>
        <v/>
      </c>
      <c r="S5152" t="str">
        <f t="shared" si="804"/>
        <v/>
      </c>
      <c r="T5152" t="str">
        <f t="shared" si="805"/>
        <v/>
      </c>
      <c r="U5152" t="str">
        <f t="shared" si="806"/>
        <v/>
      </c>
      <c r="V5152" t="str">
        <f t="shared" si="807"/>
        <v/>
      </c>
      <c r="W5152" t="str">
        <f t="shared" si="808"/>
        <v/>
      </c>
      <c r="X5152">
        <f>IF($T5152="",N($X5151),IF(MATCH($T5152,$T$6:$T$10005,0)=ROW()-5,N($X5151)+1,N($X5151)))</f>
        <v>0</v>
      </c>
      <c r="Z5152" t="str">
        <f t="shared" si="809"/>
        <v/>
      </c>
      <c r="AA5152">
        <f>IF($V5152="",N($AA5151),IF(MATCH($V5152,$V$6:$V$10005,0)=ROW()-5,N($AA5151)+1,N($AA5151)))</f>
        <v>0</v>
      </c>
    </row>
    <row r="5153" spans="1:27" ht="21" customHeight="1" x14ac:dyDescent="0.95">
      <c r="A5153" s="56"/>
      <c r="B5153" s="57"/>
      <c r="C5153" s="57"/>
      <c r="D5153" s="57"/>
      <c r="E5153" s="56"/>
      <c r="F5153" s="57"/>
      <c r="G5153" s="57"/>
      <c r="H5153" s="56"/>
      <c r="I5153" s="56"/>
      <c r="J5153" s="58"/>
      <c r="K5153" s="58"/>
      <c r="L5153" s="13" t="str">
        <f t="shared" si="800"/>
        <v/>
      </c>
      <c r="M5153" s="13" t="str">
        <f t="shared" si="801"/>
        <v/>
      </c>
      <c r="Q5153" t="str">
        <f t="shared" si="802"/>
        <v/>
      </c>
      <c r="R5153" t="str">
        <f t="shared" si="803"/>
        <v/>
      </c>
      <c r="S5153" t="str">
        <f t="shared" si="804"/>
        <v/>
      </c>
      <c r="T5153" t="str">
        <f t="shared" si="805"/>
        <v/>
      </c>
      <c r="U5153" t="str">
        <f t="shared" si="806"/>
        <v/>
      </c>
      <c r="V5153" t="str">
        <f t="shared" si="807"/>
        <v/>
      </c>
      <c r="W5153" t="str">
        <f t="shared" si="808"/>
        <v/>
      </c>
      <c r="X5153">
        <f>IF($T5153="",N($X5152),IF(MATCH($T5153,$T$6:$T$10005,0)=ROW()-5,N($X5152)+1,N($X5152)))</f>
        <v>0</v>
      </c>
      <c r="Z5153" t="str">
        <f t="shared" si="809"/>
        <v/>
      </c>
      <c r="AA5153">
        <f>IF($V5153="",N($AA5152),IF(MATCH($V5153,$V$6:$V$10005,0)=ROW()-5,N($AA5152)+1,N($AA5152)))</f>
        <v>0</v>
      </c>
    </row>
    <row r="5154" spans="1:27" ht="21" customHeight="1" x14ac:dyDescent="0.95">
      <c r="A5154" s="56"/>
      <c r="B5154" s="57"/>
      <c r="C5154" s="57"/>
      <c r="D5154" s="57"/>
      <c r="E5154" s="56"/>
      <c r="F5154" s="57"/>
      <c r="G5154" s="57"/>
      <c r="H5154" s="56"/>
      <c r="I5154" s="56"/>
      <c r="J5154" s="58"/>
      <c r="K5154" s="58"/>
      <c r="L5154" s="13" t="str">
        <f t="shared" si="800"/>
        <v/>
      </c>
      <c r="M5154" s="13" t="str">
        <f t="shared" si="801"/>
        <v/>
      </c>
      <c r="Q5154" t="str">
        <f t="shared" si="802"/>
        <v/>
      </c>
      <c r="R5154" t="str">
        <f t="shared" si="803"/>
        <v/>
      </c>
      <c r="S5154" t="str">
        <f t="shared" si="804"/>
        <v/>
      </c>
      <c r="T5154" t="str">
        <f t="shared" si="805"/>
        <v/>
      </c>
      <c r="U5154" t="str">
        <f t="shared" si="806"/>
        <v/>
      </c>
      <c r="V5154" t="str">
        <f t="shared" si="807"/>
        <v/>
      </c>
      <c r="W5154" t="str">
        <f t="shared" si="808"/>
        <v/>
      </c>
      <c r="X5154">
        <f>IF($T5154="",N($X5153),IF(MATCH($T5154,$T$6:$T$10005,0)=ROW()-5,N($X5153)+1,N($X5153)))</f>
        <v>0</v>
      </c>
      <c r="Z5154" t="str">
        <f t="shared" si="809"/>
        <v/>
      </c>
      <c r="AA5154">
        <f>IF($V5154="",N($AA5153),IF(MATCH($V5154,$V$6:$V$10005,0)=ROW()-5,N($AA5153)+1,N($AA5153)))</f>
        <v>0</v>
      </c>
    </row>
    <row r="5155" spans="1:27" ht="21" customHeight="1" x14ac:dyDescent="0.95">
      <c r="A5155" s="56"/>
      <c r="B5155" s="57"/>
      <c r="C5155" s="57"/>
      <c r="D5155" s="57"/>
      <c r="E5155" s="56"/>
      <c r="F5155" s="57"/>
      <c r="G5155" s="57"/>
      <c r="H5155" s="56"/>
      <c r="I5155" s="56"/>
      <c r="J5155" s="58"/>
      <c r="K5155" s="58"/>
      <c r="L5155" s="13" t="str">
        <f t="shared" si="800"/>
        <v/>
      </c>
      <c r="M5155" s="13" t="str">
        <f t="shared" si="801"/>
        <v/>
      </c>
      <c r="Q5155" t="str">
        <f t="shared" si="802"/>
        <v/>
      </c>
      <c r="R5155" t="str">
        <f t="shared" si="803"/>
        <v/>
      </c>
      <c r="S5155" t="str">
        <f t="shared" si="804"/>
        <v/>
      </c>
      <c r="T5155" t="str">
        <f t="shared" si="805"/>
        <v/>
      </c>
      <c r="U5155" t="str">
        <f t="shared" si="806"/>
        <v/>
      </c>
      <c r="V5155" t="str">
        <f t="shared" si="807"/>
        <v/>
      </c>
      <c r="W5155" t="str">
        <f t="shared" si="808"/>
        <v/>
      </c>
      <c r="X5155">
        <f>IF($T5155="",N($X5154),IF(MATCH($T5155,$T$6:$T$10005,0)=ROW()-5,N($X5154)+1,N($X5154)))</f>
        <v>0</v>
      </c>
      <c r="Z5155" t="str">
        <f t="shared" si="809"/>
        <v/>
      </c>
      <c r="AA5155">
        <f>IF($V5155="",N($AA5154),IF(MATCH($V5155,$V$6:$V$10005,0)=ROW()-5,N($AA5154)+1,N($AA5154)))</f>
        <v>0</v>
      </c>
    </row>
    <row r="5156" spans="1:27" ht="21" customHeight="1" x14ac:dyDescent="0.95">
      <c r="A5156" s="56"/>
      <c r="B5156" s="57"/>
      <c r="C5156" s="57"/>
      <c r="D5156" s="57"/>
      <c r="E5156" s="56"/>
      <c r="F5156" s="57"/>
      <c r="G5156" s="57"/>
      <c r="H5156" s="56"/>
      <c r="I5156" s="56"/>
      <c r="J5156" s="58"/>
      <c r="K5156" s="58"/>
      <c r="L5156" s="13" t="str">
        <f t="shared" si="800"/>
        <v/>
      </c>
      <c r="M5156" s="13" t="str">
        <f t="shared" si="801"/>
        <v/>
      </c>
      <c r="Q5156" t="str">
        <f t="shared" si="802"/>
        <v/>
      </c>
      <c r="R5156" t="str">
        <f t="shared" si="803"/>
        <v/>
      </c>
      <c r="S5156" t="str">
        <f t="shared" si="804"/>
        <v/>
      </c>
      <c r="T5156" t="str">
        <f t="shared" si="805"/>
        <v/>
      </c>
      <c r="U5156" t="str">
        <f t="shared" si="806"/>
        <v/>
      </c>
      <c r="V5156" t="str">
        <f t="shared" si="807"/>
        <v/>
      </c>
      <c r="W5156" t="str">
        <f t="shared" si="808"/>
        <v/>
      </c>
      <c r="X5156">
        <f>IF($T5156="",N($X5155),IF(MATCH($T5156,$T$6:$T$10005,0)=ROW()-5,N($X5155)+1,N($X5155)))</f>
        <v>0</v>
      </c>
      <c r="Z5156" t="str">
        <f t="shared" si="809"/>
        <v/>
      </c>
      <c r="AA5156">
        <f>IF($V5156="",N($AA5155),IF(MATCH($V5156,$V$6:$V$10005,0)=ROW()-5,N($AA5155)+1,N($AA5155)))</f>
        <v>0</v>
      </c>
    </row>
    <row r="5157" spans="1:27" ht="21" customHeight="1" x14ac:dyDescent="0.95">
      <c r="A5157" s="56"/>
      <c r="B5157" s="57"/>
      <c r="C5157" s="57"/>
      <c r="D5157" s="57"/>
      <c r="E5157" s="56"/>
      <c r="F5157" s="57"/>
      <c r="G5157" s="57"/>
      <c r="H5157" s="56"/>
      <c r="I5157" s="56"/>
      <c r="J5157" s="58"/>
      <c r="K5157" s="58"/>
      <c r="L5157" s="13" t="str">
        <f t="shared" si="800"/>
        <v/>
      </c>
      <c r="M5157" s="13" t="str">
        <f t="shared" si="801"/>
        <v/>
      </c>
      <c r="Q5157" t="str">
        <f t="shared" si="802"/>
        <v/>
      </c>
      <c r="R5157" t="str">
        <f t="shared" si="803"/>
        <v/>
      </c>
      <c r="S5157" t="str">
        <f t="shared" si="804"/>
        <v/>
      </c>
      <c r="T5157" t="str">
        <f t="shared" si="805"/>
        <v/>
      </c>
      <c r="U5157" t="str">
        <f t="shared" si="806"/>
        <v/>
      </c>
      <c r="V5157" t="str">
        <f t="shared" si="807"/>
        <v/>
      </c>
      <c r="W5157" t="str">
        <f t="shared" si="808"/>
        <v/>
      </c>
      <c r="X5157">
        <f>IF($T5157="",N($X5156),IF(MATCH($T5157,$T$6:$T$10005,0)=ROW()-5,N($X5156)+1,N($X5156)))</f>
        <v>0</v>
      </c>
      <c r="Z5157" t="str">
        <f t="shared" si="809"/>
        <v/>
      </c>
      <c r="AA5157">
        <f>IF($V5157="",N($AA5156),IF(MATCH($V5157,$V$6:$V$10005,0)=ROW()-5,N($AA5156)+1,N($AA5156)))</f>
        <v>0</v>
      </c>
    </row>
    <row r="5158" spans="1:27" ht="21" customHeight="1" x14ac:dyDescent="0.95">
      <c r="A5158" s="56"/>
      <c r="B5158" s="57"/>
      <c r="C5158" s="57"/>
      <c r="D5158" s="57"/>
      <c r="E5158" s="56"/>
      <c r="F5158" s="57"/>
      <c r="G5158" s="57"/>
      <c r="H5158" s="56"/>
      <c r="I5158" s="56"/>
      <c r="J5158" s="58"/>
      <c r="K5158" s="58"/>
      <c r="L5158" s="13" t="str">
        <f t="shared" si="800"/>
        <v/>
      </c>
      <c r="M5158" s="13" t="str">
        <f t="shared" si="801"/>
        <v/>
      </c>
      <c r="Q5158" t="str">
        <f t="shared" si="802"/>
        <v/>
      </c>
      <c r="R5158" t="str">
        <f t="shared" si="803"/>
        <v/>
      </c>
      <c r="S5158" t="str">
        <f t="shared" si="804"/>
        <v/>
      </c>
      <c r="T5158" t="str">
        <f t="shared" si="805"/>
        <v/>
      </c>
      <c r="U5158" t="str">
        <f t="shared" si="806"/>
        <v/>
      </c>
      <c r="V5158" t="str">
        <f t="shared" si="807"/>
        <v/>
      </c>
      <c r="W5158" t="str">
        <f t="shared" si="808"/>
        <v/>
      </c>
      <c r="X5158">
        <f>IF($T5158="",N($X5157),IF(MATCH($T5158,$T$6:$T$10005,0)=ROW()-5,N($X5157)+1,N($X5157)))</f>
        <v>0</v>
      </c>
      <c r="Z5158" t="str">
        <f t="shared" si="809"/>
        <v/>
      </c>
      <c r="AA5158">
        <f>IF($V5158="",N($AA5157),IF(MATCH($V5158,$V$6:$V$10005,0)=ROW()-5,N($AA5157)+1,N($AA5157)))</f>
        <v>0</v>
      </c>
    </row>
    <row r="5159" spans="1:27" ht="21" customHeight="1" x14ac:dyDescent="0.95">
      <c r="A5159" s="56"/>
      <c r="B5159" s="57"/>
      <c r="C5159" s="57"/>
      <c r="D5159" s="57"/>
      <c r="E5159" s="56"/>
      <c r="F5159" s="57"/>
      <c r="G5159" s="57"/>
      <c r="H5159" s="56"/>
      <c r="I5159" s="56"/>
      <c r="J5159" s="58"/>
      <c r="K5159" s="58"/>
      <c r="L5159" s="13" t="str">
        <f t="shared" si="800"/>
        <v/>
      </c>
      <c r="M5159" s="13" t="str">
        <f t="shared" si="801"/>
        <v/>
      </c>
      <c r="Q5159" t="str">
        <f t="shared" si="802"/>
        <v/>
      </c>
      <c r="R5159" t="str">
        <f t="shared" si="803"/>
        <v/>
      </c>
      <c r="S5159" t="str">
        <f t="shared" si="804"/>
        <v/>
      </c>
      <c r="T5159" t="str">
        <f t="shared" si="805"/>
        <v/>
      </c>
      <c r="U5159" t="str">
        <f t="shared" si="806"/>
        <v/>
      </c>
      <c r="V5159" t="str">
        <f t="shared" si="807"/>
        <v/>
      </c>
      <c r="W5159" t="str">
        <f t="shared" si="808"/>
        <v/>
      </c>
      <c r="X5159">
        <f>IF($T5159="",N($X5158),IF(MATCH($T5159,$T$6:$T$10005,0)=ROW()-5,N($X5158)+1,N($X5158)))</f>
        <v>0</v>
      </c>
      <c r="Z5159" t="str">
        <f t="shared" si="809"/>
        <v/>
      </c>
      <c r="AA5159">
        <f>IF($V5159="",N($AA5158),IF(MATCH($V5159,$V$6:$V$10005,0)=ROW()-5,N($AA5158)+1,N($AA5158)))</f>
        <v>0</v>
      </c>
    </row>
    <row r="5160" spans="1:27" ht="21" customHeight="1" x14ac:dyDescent="0.95">
      <c r="A5160" s="56"/>
      <c r="B5160" s="57"/>
      <c r="C5160" s="57"/>
      <c r="D5160" s="57"/>
      <c r="E5160" s="56"/>
      <c r="F5160" s="57"/>
      <c r="G5160" s="57"/>
      <c r="H5160" s="56"/>
      <c r="I5160" s="56"/>
      <c r="J5160" s="58"/>
      <c r="K5160" s="58"/>
      <c r="L5160" s="13" t="str">
        <f t="shared" si="800"/>
        <v/>
      </c>
      <c r="M5160" s="13" t="str">
        <f t="shared" si="801"/>
        <v/>
      </c>
      <c r="Q5160" t="str">
        <f t="shared" si="802"/>
        <v/>
      </c>
      <c r="R5160" t="str">
        <f t="shared" si="803"/>
        <v/>
      </c>
      <c r="S5160" t="str">
        <f t="shared" si="804"/>
        <v/>
      </c>
      <c r="T5160" t="str">
        <f t="shared" si="805"/>
        <v/>
      </c>
      <c r="U5160" t="str">
        <f t="shared" si="806"/>
        <v/>
      </c>
      <c r="V5160" t="str">
        <f t="shared" si="807"/>
        <v/>
      </c>
      <c r="W5160" t="str">
        <f t="shared" si="808"/>
        <v/>
      </c>
      <c r="X5160">
        <f>IF($T5160="",N($X5159),IF(MATCH($T5160,$T$6:$T$10005,0)=ROW()-5,N($X5159)+1,N($X5159)))</f>
        <v>0</v>
      </c>
      <c r="Z5160" t="str">
        <f t="shared" si="809"/>
        <v/>
      </c>
      <c r="AA5160">
        <f>IF($V5160="",N($AA5159),IF(MATCH($V5160,$V$6:$V$10005,0)=ROW()-5,N($AA5159)+1,N($AA5159)))</f>
        <v>0</v>
      </c>
    </row>
    <row r="5161" spans="1:27" ht="21" customHeight="1" x14ac:dyDescent="0.95">
      <c r="A5161" s="56"/>
      <c r="B5161" s="57"/>
      <c r="C5161" s="57"/>
      <c r="D5161" s="57"/>
      <c r="E5161" s="56"/>
      <c r="F5161" s="57"/>
      <c r="G5161" s="57"/>
      <c r="H5161" s="56"/>
      <c r="I5161" s="56"/>
      <c r="J5161" s="58"/>
      <c r="K5161" s="58"/>
      <c r="L5161" s="13" t="str">
        <f t="shared" si="800"/>
        <v/>
      </c>
      <c r="M5161" s="13" t="str">
        <f t="shared" si="801"/>
        <v/>
      </c>
      <c r="Q5161" t="str">
        <f t="shared" si="802"/>
        <v/>
      </c>
      <c r="R5161" t="str">
        <f t="shared" si="803"/>
        <v/>
      </c>
      <c r="S5161" t="str">
        <f t="shared" si="804"/>
        <v/>
      </c>
      <c r="T5161" t="str">
        <f t="shared" si="805"/>
        <v/>
      </c>
      <c r="U5161" t="str">
        <f t="shared" si="806"/>
        <v/>
      </c>
      <c r="V5161" t="str">
        <f t="shared" si="807"/>
        <v/>
      </c>
      <c r="W5161" t="str">
        <f t="shared" si="808"/>
        <v/>
      </c>
      <c r="X5161">
        <f>IF($T5161="",N($X5160),IF(MATCH($T5161,$T$6:$T$10005,0)=ROW()-5,N($X5160)+1,N($X5160)))</f>
        <v>0</v>
      </c>
      <c r="Z5161" t="str">
        <f t="shared" si="809"/>
        <v/>
      </c>
      <c r="AA5161">
        <f>IF($V5161="",N($AA5160),IF(MATCH($V5161,$V$6:$V$10005,0)=ROW()-5,N($AA5160)+1,N($AA5160)))</f>
        <v>0</v>
      </c>
    </row>
    <row r="5162" spans="1:27" ht="21" customHeight="1" x14ac:dyDescent="0.95">
      <c r="A5162" s="56"/>
      <c r="B5162" s="57"/>
      <c r="C5162" s="57"/>
      <c r="D5162" s="57"/>
      <c r="E5162" s="56"/>
      <c r="F5162" s="57"/>
      <c r="G5162" s="57"/>
      <c r="H5162" s="56"/>
      <c r="I5162" s="56"/>
      <c r="J5162" s="58"/>
      <c r="K5162" s="58"/>
      <c r="L5162" s="13" t="str">
        <f t="shared" si="800"/>
        <v/>
      </c>
      <c r="M5162" s="13" t="str">
        <f t="shared" si="801"/>
        <v/>
      </c>
      <c r="Q5162" t="str">
        <f t="shared" si="802"/>
        <v/>
      </c>
      <c r="R5162" t="str">
        <f t="shared" si="803"/>
        <v/>
      </c>
      <c r="S5162" t="str">
        <f t="shared" si="804"/>
        <v/>
      </c>
      <c r="T5162" t="str">
        <f t="shared" si="805"/>
        <v/>
      </c>
      <c r="U5162" t="str">
        <f t="shared" si="806"/>
        <v/>
      </c>
      <c r="V5162" t="str">
        <f t="shared" si="807"/>
        <v/>
      </c>
      <c r="W5162" t="str">
        <f t="shared" si="808"/>
        <v/>
      </c>
      <c r="X5162">
        <f>IF($T5162="",N($X5161),IF(MATCH($T5162,$T$6:$T$10005,0)=ROW()-5,N($X5161)+1,N($X5161)))</f>
        <v>0</v>
      </c>
      <c r="Z5162" t="str">
        <f t="shared" si="809"/>
        <v/>
      </c>
      <c r="AA5162">
        <f>IF($V5162="",N($AA5161),IF(MATCH($V5162,$V$6:$V$10005,0)=ROW()-5,N($AA5161)+1,N($AA5161)))</f>
        <v>0</v>
      </c>
    </row>
    <row r="5163" spans="1:27" ht="21" customHeight="1" x14ac:dyDescent="0.95">
      <c r="A5163" s="56"/>
      <c r="B5163" s="57"/>
      <c r="C5163" s="57"/>
      <c r="D5163" s="57"/>
      <c r="E5163" s="56"/>
      <c r="F5163" s="57"/>
      <c r="G5163" s="57"/>
      <c r="H5163" s="56"/>
      <c r="I5163" s="56"/>
      <c r="J5163" s="58"/>
      <c r="K5163" s="58"/>
      <c r="L5163" s="13" t="str">
        <f t="shared" si="800"/>
        <v/>
      </c>
      <c r="M5163" s="13" t="str">
        <f t="shared" si="801"/>
        <v/>
      </c>
      <c r="Q5163" t="str">
        <f t="shared" si="802"/>
        <v/>
      </c>
      <c r="R5163" t="str">
        <f t="shared" si="803"/>
        <v/>
      </c>
      <c r="S5163" t="str">
        <f t="shared" si="804"/>
        <v/>
      </c>
      <c r="T5163" t="str">
        <f t="shared" si="805"/>
        <v/>
      </c>
      <c r="U5163" t="str">
        <f t="shared" si="806"/>
        <v/>
      </c>
      <c r="V5163" t="str">
        <f t="shared" si="807"/>
        <v/>
      </c>
      <c r="W5163" t="str">
        <f t="shared" si="808"/>
        <v/>
      </c>
      <c r="X5163">
        <f>IF($T5163="",N($X5162),IF(MATCH($T5163,$T$6:$T$10005,0)=ROW()-5,N($X5162)+1,N($X5162)))</f>
        <v>0</v>
      </c>
      <c r="Z5163" t="str">
        <f t="shared" si="809"/>
        <v/>
      </c>
      <c r="AA5163">
        <f>IF($V5163="",N($AA5162),IF(MATCH($V5163,$V$6:$V$10005,0)=ROW()-5,N($AA5162)+1,N($AA5162)))</f>
        <v>0</v>
      </c>
    </row>
    <row r="5164" spans="1:27" ht="21" customHeight="1" x14ac:dyDescent="0.95">
      <c r="A5164" s="56"/>
      <c r="B5164" s="57"/>
      <c r="C5164" s="57"/>
      <c r="D5164" s="57"/>
      <c r="E5164" s="56"/>
      <c r="F5164" s="57"/>
      <c r="G5164" s="57"/>
      <c r="H5164" s="56"/>
      <c r="I5164" s="56"/>
      <c r="J5164" s="58"/>
      <c r="K5164" s="58"/>
      <c r="L5164" s="13" t="str">
        <f t="shared" si="800"/>
        <v/>
      </c>
      <c r="M5164" s="13" t="str">
        <f t="shared" si="801"/>
        <v/>
      </c>
      <c r="Q5164" t="str">
        <f t="shared" si="802"/>
        <v/>
      </c>
      <c r="R5164" t="str">
        <f t="shared" si="803"/>
        <v/>
      </c>
      <c r="S5164" t="str">
        <f t="shared" si="804"/>
        <v/>
      </c>
      <c r="T5164" t="str">
        <f t="shared" si="805"/>
        <v/>
      </c>
      <c r="U5164" t="str">
        <f t="shared" si="806"/>
        <v/>
      </c>
      <c r="V5164" t="str">
        <f t="shared" si="807"/>
        <v/>
      </c>
      <c r="W5164" t="str">
        <f t="shared" si="808"/>
        <v/>
      </c>
      <c r="X5164">
        <f>IF($T5164="",N($X5163),IF(MATCH($T5164,$T$6:$T$10005,0)=ROW()-5,N($X5163)+1,N($X5163)))</f>
        <v>0</v>
      </c>
      <c r="Z5164" t="str">
        <f t="shared" si="809"/>
        <v/>
      </c>
      <c r="AA5164">
        <f>IF($V5164="",N($AA5163),IF(MATCH($V5164,$V$6:$V$10005,0)=ROW()-5,N($AA5163)+1,N($AA5163)))</f>
        <v>0</v>
      </c>
    </row>
    <row r="5165" spans="1:27" ht="21" customHeight="1" x14ac:dyDescent="0.95">
      <c r="A5165" s="56"/>
      <c r="B5165" s="57"/>
      <c r="C5165" s="57"/>
      <c r="D5165" s="57"/>
      <c r="E5165" s="56"/>
      <c r="F5165" s="57"/>
      <c r="G5165" s="57"/>
      <c r="H5165" s="56"/>
      <c r="I5165" s="56"/>
      <c r="J5165" s="58"/>
      <c r="K5165" s="58"/>
      <c r="L5165" s="13" t="str">
        <f t="shared" si="800"/>
        <v/>
      </c>
      <c r="M5165" s="13" t="str">
        <f t="shared" si="801"/>
        <v/>
      </c>
      <c r="Q5165" t="str">
        <f t="shared" si="802"/>
        <v/>
      </c>
      <c r="R5165" t="str">
        <f t="shared" si="803"/>
        <v/>
      </c>
      <c r="S5165" t="str">
        <f t="shared" si="804"/>
        <v/>
      </c>
      <c r="T5165" t="str">
        <f t="shared" si="805"/>
        <v/>
      </c>
      <c r="U5165" t="str">
        <f t="shared" si="806"/>
        <v/>
      </c>
      <c r="V5165" t="str">
        <f t="shared" si="807"/>
        <v/>
      </c>
      <c r="W5165" t="str">
        <f t="shared" si="808"/>
        <v/>
      </c>
      <c r="X5165">
        <f>IF($T5165="",N($X5164),IF(MATCH($T5165,$T$6:$T$10005,0)=ROW()-5,N($X5164)+1,N($X5164)))</f>
        <v>0</v>
      </c>
      <c r="Z5165" t="str">
        <f t="shared" si="809"/>
        <v/>
      </c>
      <c r="AA5165">
        <f>IF($V5165="",N($AA5164),IF(MATCH($V5165,$V$6:$V$10005,0)=ROW()-5,N($AA5164)+1,N($AA5164)))</f>
        <v>0</v>
      </c>
    </row>
    <row r="5166" spans="1:27" ht="21" customHeight="1" x14ac:dyDescent="0.95">
      <c r="A5166" s="56"/>
      <c r="B5166" s="57"/>
      <c r="C5166" s="57"/>
      <c r="D5166" s="57"/>
      <c r="E5166" s="56"/>
      <c r="F5166" s="57"/>
      <c r="G5166" s="57"/>
      <c r="H5166" s="56"/>
      <c r="I5166" s="56"/>
      <c r="J5166" s="58"/>
      <c r="K5166" s="58"/>
      <c r="L5166" s="13" t="str">
        <f t="shared" si="800"/>
        <v/>
      </c>
      <c r="M5166" s="13" t="str">
        <f t="shared" si="801"/>
        <v/>
      </c>
      <c r="Q5166" t="str">
        <f t="shared" si="802"/>
        <v/>
      </c>
      <c r="R5166" t="str">
        <f t="shared" si="803"/>
        <v/>
      </c>
      <c r="S5166" t="str">
        <f t="shared" si="804"/>
        <v/>
      </c>
      <c r="T5166" t="str">
        <f t="shared" si="805"/>
        <v/>
      </c>
      <c r="U5166" t="str">
        <f t="shared" si="806"/>
        <v/>
      </c>
      <c r="V5166" t="str">
        <f t="shared" si="807"/>
        <v/>
      </c>
      <c r="W5166" t="str">
        <f t="shared" si="808"/>
        <v/>
      </c>
      <c r="X5166">
        <f>IF($T5166="",N($X5165),IF(MATCH($T5166,$T$6:$T$10005,0)=ROW()-5,N($X5165)+1,N($X5165)))</f>
        <v>0</v>
      </c>
      <c r="Z5166" t="str">
        <f t="shared" si="809"/>
        <v/>
      </c>
      <c r="AA5166">
        <f>IF($V5166="",N($AA5165),IF(MATCH($V5166,$V$6:$V$10005,0)=ROW()-5,N($AA5165)+1,N($AA5165)))</f>
        <v>0</v>
      </c>
    </row>
    <row r="5167" spans="1:27" ht="21" customHeight="1" x14ac:dyDescent="0.95">
      <c r="A5167" s="56"/>
      <c r="B5167" s="57"/>
      <c r="C5167" s="57"/>
      <c r="D5167" s="57"/>
      <c r="E5167" s="56"/>
      <c r="F5167" s="57"/>
      <c r="G5167" s="57"/>
      <c r="H5167" s="56"/>
      <c r="I5167" s="56"/>
      <c r="J5167" s="58"/>
      <c r="K5167" s="58"/>
      <c r="L5167" s="13" t="str">
        <f t="shared" si="800"/>
        <v/>
      </c>
      <c r="M5167" s="13" t="str">
        <f t="shared" si="801"/>
        <v/>
      </c>
      <c r="Q5167" t="str">
        <f t="shared" si="802"/>
        <v/>
      </c>
      <c r="R5167" t="str">
        <f t="shared" si="803"/>
        <v/>
      </c>
      <c r="S5167" t="str">
        <f t="shared" si="804"/>
        <v/>
      </c>
      <c r="T5167" t="str">
        <f t="shared" si="805"/>
        <v/>
      </c>
      <c r="U5167" t="str">
        <f t="shared" si="806"/>
        <v/>
      </c>
      <c r="V5167" t="str">
        <f t="shared" si="807"/>
        <v/>
      </c>
      <c r="W5167" t="str">
        <f t="shared" si="808"/>
        <v/>
      </c>
      <c r="X5167">
        <f>IF($T5167="",N($X5166),IF(MATCH($T5167,$T$6:$T$10005,0)=ROW()-5,N($X5166)+1,N($X5166)))</f>
        <v>0</v>
      </c>
      <c r="Z5167" t="str">
        <f t="shared" si="809"/>
        <v/>
      </c>
      <c r="AA5167">
        <f>IF($V5167="",N($AA5166),IF(MATCH($V5167,$V$6:$V$10005,0)=ROW()-5,N($AA5166)+1,N($AA5166)))</f>
        <v>0</v>
      </c>
    </row>
    <row r="5168" spans="1:27" ht="21" customHeight="1" x14ac:dyDescent="0.95">
      <c r="A5168" s="56"/>
      <c r="B5168" s="57"/>
      <c r="C5168" s="57"/>
      <c r="D5168" s="57"/>
      <c r="E5168" s="56"/>
      <c r="F5168" s="57"/>
      <c r="G5168" s="57"/>
      <c r="H5168" s="56"/>
      <c r="I5168" s="56"/>
      <c r="J5168" s="58"/>
      <c r="K5168" s="58"/>
      <c r="L5168" s="13" t="str">
        <f t="shared" si="800"/>
        <v/>
      </c>
      <c r="M5168" s="13" t="str">
        <f t="shared" si="801"/>
        <v/>
      </c>
      <c r="Q5168" t="str">
        <f t="shared" si="802"/>
        <v/>
      </c>
      <c r="R5168" t="str">
        <f t="shared" si="803"/>
        <v/>
      </c>
      <c r="S5168" t="str">
        <f t="shared" si="804"/>
        <v/>
      </c>
      <c r="T5168" t="str">
        <f t="shared" si="805"/>
        <v/>
      </c>
      <c r="U5168" t="str">
        <f t="shared" si="806"/>
        <v/>
      </c>
      <c r="V5168" t="str">
        <f t="shared" si="807"/>
        <v/>
      </c>
      <c r="W5168" t="str">
        <f t="shared" si="808"/>
        <v/>
      </c>
      <c r="X5168">
        <f>IF($T5168="",N($X5167),IF(MATCH($T5168,$T$6:$T$10005,0)=ROW()-5,N($X5167)+1,N($X5167)))</f>
        <v>0</v>
      </c>
      <c r="Z5168" t="str">
        <f t="shared" si="809"/>
        <v/>
      </c>
      <c r="AA5168">
        <f>IF($V5168="",N($AA5167),IF(MATCH($V5168,$V$6:$V$10005,0)=ROW()-5,N($AA5167)+1,N($AA5167)))</f>
        <v>0</v>
      </c>
    </row>
    <row r="5169" spans="1:27" ht="21" customHeight="1" x14ac:dyDescent="0.95">
      <c r="A5169" s="56"/>
      <c r="B5169" s="57"/>
      <c r="C5169" s="57"/>
      <c r="D5169" s="57"/>
      <c r="E5169" s="56"/>
      <c r="F5169" s="57"/>
      <c r="G5169" s="57"/>
      <c r="H5169" s="56"/>
      <c r="I5169" s="56"/>
      <c r="J5169" s="58"/>
      <c r="K5169" s="58"/>
      <c r="L5169" s="13" t="str">
        <f t="shared" si="800"/>
        <v/>
      </c>
      <c r="M5169" s="13" t="str">
        <f t="shared" si="801"/>
        <v/>
      </c>
      <c r="Q5169" t="str">
        <f t="shared" si="802"/>
        <v/>
      </c>
      <c r="R5169" t="str">
        <f t="shared" si="803"/>
        <v/>
      </c>
      <c r="S5169" t="str">
        <f t="shared" si="804"/>
        <v/>
      </c>
      <c r="T5169" t="str">
        <f t="shared" si="805"/>
        <v/>
      </c>
      <c r="U5169" t="str">
        <f t="shared" si="806"/>
        <v/>
      </c>
      <c r="V5169" t="str">
        <f t="shared" si="807"/>
        <v/>
      </c>
      <c r="W5169" t="str">
        <f t="shared" si="808"/>
        <v/>
      </c>
      <c r="X5169">
        <f>IF($T5169="",N($X5168),IF(MATCH($T5169,$T$6:$T$10005,0)=ROW()-5,N($X5168)+1,N($X5168)))</f>
        <v>0</v>
      </c>
      <c r="Z5169" t="str">
        <f t="shared" si="809"/>
        <v/>
      </c>
      <c r="AA5169">
        <f>IF($V5169="",N($AA5168),IF(MATCH($V5169,$V$6:$V$10005,0)=ROW()-5,N($AA5168)+1,N($AA5168)))</f>
        <v>0</v>
      </c>
    </row>
    <row r="5170" spans="1:27" ht="21" customHeight="1" x14ac:dyDescent="0.95">
      <c r="A5170" s="56"/>
      <c r="B5170" s="57"/>
      <c r="C5170" s="57"/>
      <c r="D5170" s="57"/>
      <c r="E5170" s="56"/>
      <c r="F5170" s="57"/>
      <c r="G5170" s="57"/>
      <c r="H5170" s="56"/>
      <c r="I5170" s="56"/>
      <c r="J5170" s="58"/>
      <c r="K5170" s="58"/>
      <c r="L5170" s="13" t="str">
        <f t="shared" si="800"/>
        <v/>
      </c>
      <c r="M5170" s="13" t="str">
        <f t="shared" si="801"/>
        <v/>
      </c>
      <c r="Q5170" t="str">
        <f t="shared" si="802"/>
        <v/>
      </c>
      <c r="R5170" t="str">
        <f t="shared" si="803"/>
        <v/>
      </c>
      <c r="S5170" t="str">
        <f t="shared" si="804"/>
        <v/>
      </c>
      <c r="T5170" t="str">
        <f t="shared" si="805"/>
        <v/>
      </c>
      <c r="U5170" t="str">
        <f t="shared" si="806"/>
        <v/>
      </c>
      <c r="V5170" t="str">
        <f t="shared" si="807"/>
        <v/>
      </c>
      <c r="W5170" t="str">
        <f t="shared" si="808"/>
        <v/>
      </c>
      <c r="X5170">
        <f>IF($T5170="",N($X5169),IF(MATCH($T5170,$T$6:$T$10005,0)=ROW()-5,N($X5169)+1,N($X5169)))</f>
        <v>0</v>
      </c>
      <c r="Z5170" t="str">
        <f t="shared" si="809"/>
        <v/>
      </c>
      <c r="AA5170">
        <f>IF($V5170="",N($AA5169),IF(MATCH($V5170,$V$6:$V$10005,0)=ROW()-5,N($AA5169)+1,N($AA5169)))</f>
        <v>0</v>
      </c>
    </row>
    <row r="5171" spans="1:27" ht="21" customHeight="1" x14ac:dyDescent="0.95">
      <c r="A5171" s="56"/>
      <c r="B5171" s="57"/>
      <c r="C5171" s="57"/>
      <c r="D5171" s="57"/>
      <c r="E5171" s="56"/>
      <c r="F5171" s="57"/>
      <c r="G5171" s="57"/>
      <c r="H5171" s="56"/>
      <c r="I5171" s="56"/>
      <c r="J5171" s="58"/>
      <c r="K5171" s="58"/>
      <c r="L5171" s="13" t="str">
        <f t="shared" si="800"/>
        <v/>
      </c>
      <c r="M5171" s="13" t="str">
        <f t="shared" si="801"/>
        <v/>
      </c>
      <c r="Q5171" t="str">
        <f t="shared" si="802"/>
        <v/>
      </c>
      <c r="R5171" t="str">
        <f t="shared" si="803"/>
        <v/>
      </c>
      <c r="S5171" t="str">
        <f t="shared" si="804"/>
        <v/>
      </c>
      <c r="T5171" t="str">
        <f t="shared" si="805"/>
        <v/>
      </c>
      <c r="U5171" t="str">
        <f t="shared" si="806"/>
        <v/>
      </c>
      <c r="V5171" t="str">
        <f t="shared" si="807"/>
        <v/>
      </c>
      <c r="W5171" t="str">
        <f t="shared" si="808"/>
        <v/>
      </c>
      <c r="X5171">
        <f>IF($T5171="",N($X5170),IF(MATCH($T5171,$T$6:$T$10005,0)=ROW()-5,N($X5170)+1,N($X5170)))</f>
        <v>0</v>
      </c>
      <c r="Z5171" t="str">
        <f t="shared" si="809"/>
        <v/>
      </c>
      <c r="AA5171">
        <f>IF($V5171="",N($AA5170),IF(MATCH($V5171,$V$6:$V$10005,0)=ROW()-5,N($AA5170)+1,N($AA5170)))</f>
        <v>0</v>
      </c>
    </row>
    <row r="5172" spans="1:27" ht="21" customHeight="1" x14ac:dyDescent="0.95">
      <c r="A5172" s="56"/>
      <c r="B5172" s="57"/>
      <c r="C5172" s="57"/>
      <c r="D5172" s="57"/>
      <c r="E5172" s="56"/>
      <c r="F5172" s="57"/>
      <c r="G5172" s="57"/>
      <c r="H5172" s="56"/>
      <c r="I5172" s="56"/>
      <c r="J5172" s="58"/>
      <c r="K5172" s="58"/>
      <c r="L5172" s="13" t="str">
        <f t="shared" si="800"/>
        <v/>
      </c>
      <c r="M5172" s="13" t="str">
        <f t="shared" si="801"/>
        <v/>
      </c>
      <c r="Q5172" t="str">
        <f t="shared" si="802"/>
        <v/>
      </c>
      <c r="R5172" t="str">
        <f t="shared" si="803"/>
        <v/>
      </c>
      <c r="S5172" t="str">
        <f t="shared" si="804"/>
        <v/>
      </c>
      <c r="T5172" t="str">
        <f t="shared" si="805"/>
        <v/>
      </c>
      <c r="U5172" t="str">
        <f t="shared" si="806"/>
        <v/>
      </c>
      <c r="V5172" t="str">
        <f t="shared" si="807"/>
        <v/>
      </c>
      <c r="W5172" t="str">
        <f t="shared" si="808"/>
        <v/>
      </c>
      <c r="X5172">
        <f>IF($T5172="",N($X5171),IF(MATCH($T5172,$T$6:$T$10005,0)=ROW()-5,N($X5171)+1,N($X5171)))</f>
        <v>0</v>
      </c>
      <c r="Z5172" t="str">
        <f t="shared" si="809"/>
        <v/>
      </c>
      <c r="AA5172">
        <f>IF($V5172="",N($AA5171),IF(MATCH($V5172,$V$6:$V$10005,0)=ROW()-5,N($AA5171)+1,N($AA5171)))</f>
        <v>0</v>
      </c>
    </row>
    <row r="5173" spans="1:27" ht="21" customHeight="1" x14ac:dyDescent="0.95">
      <c r="A5173" s="56"/>
      <c r="B5173" s="57"/>
      <c r="C5173" s="57"/>
      <c r="D5173" s="57"/>
      <c r="E5173" s="56"/>
      <c r="F5173" s="57"/>
      <c r="G5173" s="57"/>
      <c r="H5173" s="56"/>
      <c r="I5173" s="56"/>
      <c r="J5173" s="58"/>
      <c r="K5173" s="58"/>
      <c r="L5173" s="13" t="str">
        <f t="shared" si="800"/>
        <v/>
      </c>
      <c r="M5173" s="13" t="str">
        <f t="shared" si="801"/>
        <v/>
      </c>
      <c r="Q5173" t="str">
        <f t="shared" si="802"/>
        <v/>
      </c>
      <c r="R5173" t="str">
        <f t="shared" si="803"/>
        <v/>
      </c>
      <c r="S5173" t="str">
        <f t="shared" si="804"/>
        <v/>
      </c>
      <c r="T5173" t="str">
        <f t="shared" si="805"/>
        <v/>
      </c>
      <c r="U5173" t="str">
        <f t="shared" si="806"/>
        <v/>
      </c>
      <c r="V5173" t="str">
        <f t="shared" si="807"/>
        <v/>
      </c>
      <c r="W5173" t="str">
        <f t="shared" si="808"/>
        <v/>
      </c>
      <c r="X5173">
        <f>IF($T5173="",N($X5172),IF(MATCH($T5173,$T$6:$T$10005,0)=ROW()-5,N($X5172)+1,N($X5172)))</f>
        <v>0</v>
      </c>
      <c r="Z5173" t="str">
        <f t="shared" si="809"/>
        <v/>
      </c>
      <c r="AA5173">
        <f>IF($V5173="",N($AA5172),IF(MATCH($V5173,$V$6:$V$10005,0)=ROW()-5,N($AA5172)+1,N($AA5172)))</f>
        <v>0</v>
      </c>
    </row>
    <row r="5174" spans="1:27" ht="21" customHeight="1" x14ac:dyDescent="0.95">
      <c r="A5174" s="56"/>
      <c r="B5174" s="57"/>
      <c r="C5174" s="57"/>
      <c r="D5174" s="57"/>
      <c r="E5174" s="56"/>
      <c r="F5174" s="57"/>
      <c r="G5174" s="57"/>
      <c r="H5174" s="56"/>
      <c r="I5174" s="56"/>
      <c r="J5174" s="58"/>
      <c r="K5174" s="58"/>
      <c r="L5174" s="13" t="str">
        <f t="shared" si="800"/>
        <v/>
      </c>
      <c r="M5174" s="13" t="str">
        <f t="shared" si="801"/>
        <v/>
      </c>
      <c r="Q5174" t="str">
        <f t="shared" si="802"/>
        <v/>
      </c>
      <c r="R5174" t="str">
        <f t="shared" si="803"/>
        <v/>
      </c>
      <c r="S5174" t="str">
        <f t="shared" si="804"/>
        <v/>
      </c>
      <c r="T5174" t="str">
        <f t="shared" si="805"/>
        <v/>
      </c>
      <c r="U5174" t="str">
        <f t="shared" si="806"/>
        <v/>
      </c>
      <c r="V5174" t="str">
        <f t="shared" si="807"/>
        <v/>
      </c>
      <c r="W5174" t="str">
        <f t="shared" si="808"/>
        <v/>
      </c>
      <c r="X5174">
        <f>IF($T5174="",N($X5173),IF(MATCH($T5174,$T$6:$T$10005,0)=ROW()-5,N($X5173)+1,N($X5173)))</f>
        <v>0</v>
      </c>
      <c r="Z5174" t="str">
        <f t="shared" si="809"/>
        <v/>
      </c>
      <c r="AA5174">
        <f>IF($V5174="",N($AA5173),IF(MATCH($V5174,$V$6:$V$10005,0)=ROW()-5,N($AA5173)+1,N($AA5173)))</f>
        <v>0</v>
      </c>
    </row>
    <row r="5175" spans="1:27" ht="21" customHeight="1" x14ac:dyDescent="0.95">
      <c r="A5175" s="56"/>
      <c r="B5175" s="57"/>
      <c r="C5175" s="57"/>
      <c r="D5175" s="57"/>
      <c r="E5175" s="56"/>
      <c r="F5175" s="57"/>
      <c r="G5175" s="57"/>
      <c r="H5175" s="56"/>
      <c r="I5175" s="56"/>
      <c r="J5175" s="58"/>
      <c r="K5175" s="58"/>
      <c r="L5175" s="13" t="str">
        <f t="shared" si="800"/>
        <v/>
      </c>
      <c r="M5175" s="13" t="str">
        <f t="shared" si="801"/>
        <v/>
      </c>
      <c r="Q5175" t="str">
        <f t="shared" si="802"/>
        <v/>
      </c>
      <c r="R5175" t="str">
        <f t="shared" si="803"/>
        <v/>
      </c>
      <c r="S5175" t="str">
        <f t="shared" si="804"/>
        <v/>
      </c>
      <c r="T5175" t="str">
        <f t="shared" si="805"/>
        <v/>
      </c>
      <c r="U5175" t="str">
        <f t="shared" si="806"/>
        <v/>
      </c>
      <c r="V5175" t="str">
        <f t="shared" si="807"/>
        <v/>
      </c>
      <c r="W5175" t="str">
        <f t="shared" si="808"/>
        <v/>
      </c>
      <c r="X5175">
        <f>IF($T5175="",N($X5174),IF(MATCH($T5175,$T$6:$T$10005,0)=ROW()-5,N($X5174)+1,N($X5174)))</f>
        <v>0</v>
      </c>
      <c r="Z5175" t="str">
        <f t="shared" si="809"/>
        <v/>
      </c>
      <c r="AA5175">
        <f>IF($V5175="",N($AA5174),IF(MATCH($V5175,$V$6:$V$10005,0)=ROW()-5,N($AA5174)+1,N($AA5174)))</f>
        <v>0</v>
      </c>
    </row>
    <row r="5176" spans="1:27" ht="21" customHeight="1" x14ac:dyDescent="0.95">
      <c r="A5176" s="56"/>
      <c r="B5176" s="57"/>
      <c r="C5176" s="57"/>
      <c r="D5176" s="57"/>
      <c r="E5176" s="56"/>
      <c r="F5176" s="57"/>
      <c r="G5176" s="57"/>
      <c r="H5176" s="56"/>
      <c r="I5176" s="56"/>
      <c r="J5176" s="58"/>
      <c r="K5176" s="58"/>
      <c r="L5176" s="13" t="str">
        <f t="shared" si="800"/>
        <v/>
      </c>
      <c r="M5176" s="13" t="str">
        <f t="shared" si="801"/>
        <v/>
      </c>
      <c r="Q5176" t="str">
        <f t="shared" si="802"/>
        <v/>
      </c>
      <c r="R5176" t="str">
        <f t="shared" si="803"/>
        <v/>
      </c>
      <c r="S5176" t="str">
        <f t="shared" si="804"/>
        <v/>
      </c>
      <c r="T5176" t="str">
        <f t="shared" si="805"/>
        <v/>
      </c>
      <c r="U5176" t="str">
        <f t="shared" si="806"/>
        <v/>
      </c>
      <c r="V5176" t="str">
        <f t="shared" si="807"/>
        <v/>
      </c>
      <c r="W5176" t="str">
        <f t="shared" si="808"/>
        <v/>
      </c>
      <c r="X5176">
        <f>IF($T5176="",N($X5175),IF(MATCH($T5176,$T$6:$T$10005,0)=ROW()-5,N($X5175)+1,N($X5175)))</f>
        <v>0</v>
      </c>
      <c r="Z5176" t="str">
        <f t="shared" si="809"/>
        <v/>
      </c>
      <c r="AA5176">
        <f>IF($V5176="",N($AA5175),IF(MATCH($V5176,$V$6:$V$10005,0)=ROW()-5,N($AA5175)+1,N($AA5175)))</f>
        <v>0</v>
      </c>
    </row>
    <row r="5177" spans="1:27" ht="21" customHeight="1" x14ac:dyDescent="0.95">
      <c r="A5177" s="56"/>
      <c r="B5177" s="57"/>
      <c r="C5177" s="57"/>
      <c r="D5177" s="57"/>
      <c r="E5177" s="56"/>
      <c r="F5177" s="57"/>
      <c r="G5177" s="57"/>
      <c r="H5177" s="56"/>
      <c r="I5177" s="56"/>
      <c r="J5177" s="58"/>
      <c r="K5177" s="58"/>
      <c r="L5177" s="13" t="str">
        <f t="shared" si="800"/>
        <v/>
      </c>
      <c r="M5177" s="13" t="str">
        <f t="shared" si="801"/>
        <v/>
      </c>
      <c r="Q5177" t="str">
        <f t="shared" si="802"/>
        <v/>
      </c>
      <c r="R5177" t="str">
        <f t="shared" si="803"/>
        <v/>
      </c>
      <c r="S5177" t="str">
        <f t="shared" si="804"/>
        <v/>
      </c>
      <c r="T5177" t="str">
        <f t="shared" si="805"/>
        <v/>
      </c>
      <c r="U5177" t="str">
        <f t="shared" si="806"/>
        <v/>
      </c>
      <c r="V5177" t="str">
        <f t="shared" si="807"/>
        <v/>
      </c>
      <c r="W5177" t="str">
        <f t="shared" si="808"/>
        <v/>
      </c>
      <c r="X5177">
        <f>IF($T5177="",N($X5176),IF(MATCH($T5177,$T$6:$T$10005,0)=ROW()-5,N($X5176)+1,N($X5176)))</f>
        <v>0</v>
      </c>
      <c r="Z5177" t="str">
        <f t="shared" si="809"/>
        <v/>
      </c>
      <c r="AA5177">
        <f>IF($V5177="",N($AA5176),IF(MATCH($V5177,$V$6:$V$10005,0)=ROW()-5,N($AA5176)+1,N($AA5176)))</f>
        <v>0</v>
      </c>
    </row>
    <row r="5178" spans="1:27" ht="21" customHeight="1" x14ac:dyDescent="0.95">
      <c r="A5178" s="56"/>
      <c r="B5178" s="57"/>
      <c r="C5178" s="57"/>
      <c r="D5178" s="57"/>
      <c r="E5178" s="56"/>
      <c r="F5178" s="57"/>
      <c r="G5178" s="57"/>
      <c r="H5178" s="56"/>
      <c r="I5178" s="56"/>
      <c r="J5178" s="58"/>
      <c r="K5178" s="58"/>
      <c r="L5178" s="13" t="str">
        <f t="shared" si="800"/>
        <v/>
      </c>
      <c r="M5178" s="13" t="str">
        <f t="shared" si="801"/>
        <v/>
      </c>
      <c r="Q5178" t="str">
        <f t="shared" si="802"/>
        <v/>
      </c>
      <c r="R5178" t="str">
        <f t="shared" si="803"/>
        <v/>
      </c>
      <c r="S5178" t="str">
        <f t="shared" si="804"/>
        <v/>
      </c>
      <c r="T5178" t="str">
        <f t="shared" si="805"/>
        <v/>
      </c>
      <c r="U5178" t="str">
        <f t="shared" si="806"/>
        <v/>
      </c>
      <c r="V5178" t="str">
        <f t="shared" si="807"/>
        <v/>
      </c>
      <c r="W5178" t="str">
        <f t="shared" si="808"/>
        <v/>
      </c>
      <c r="X5178">
        <f>IF($T5178="",N($X5177),IF(MATCH($T5178,$T$6:$T$10005,0)=ROW()-5,N($X5177)+1,N($X5177)))</f>
        <v>0</v>
      </c>
      <c r="Z5178" t="str">
        <f t="shared" si="809"/>
        <v/>
      </c>
      <c r="AA5178">
        <f>IF($V5178="",N($AA5177),IF(MATCH($V5178,$V$6:$V$10005,0)=ROW()-5,N($AA5177)+1,N($AA5177)))</f>
        <v>0</v>
      </c>
    </row>
    <row r="5179" spans="1:27" ht="21" customHeight="1" x14ac:dyDescent="0.95">
      <c r="A5179" s="56"/>
      <c r="B5179" s="57"/>
      <c r="C5179" s="57"/>
      <c r="D5179" s="57"/>
      <c r="E5179" s="56"/>
      <c r="F5179" s="57"/>
      <c r="G5179" s="57"/>
      <c r="H5179" s="56"/>
      <c r="I5179" s="56"/>
      <c r="J5179" s="58"/>
      <c r="K5179" s="58"/>
      <c r="L5179" s="13" t="str">
        <f t="shared" si="800"/>
        <v/>
      </c>
      <c r="M5179" s="13" t="str">
        <f t="shared" si="801"/>
        <v/>
      </c>
      <c r="Q5179" t="str">
        <f t="shared" si="802"/>
        <v/>
      </c>
      <c r="R5179" t="str">
        <f t="shared" si="803"/>
        <v/>
      </c>
      <c r="S5179" t="str">
        <f t="shared" si="804"/>
        <v/>
      </c>
      <c r="T5179" t="str">
        <f t="shared" si="805"/>
        <v/>
      </c>
      <c r="U5179" t="str">
        <f t="shared" si="806"/>
        <v/>
      </c>
      <c r="V5179" t="str">
        <f t="shared" si="807"/>
        <v/>
      </c>
      <c r="W5179" t="str">
        <f t="shared" si="808"/>
        <v/>
      </c>
      <c r="X5179">
        <f>IF($T5179="",N($X5178),IF(MATCH($T5179,$T$6:$T$10005,0)=ROW()-5,N($X5178)+1,N($X5178)))</f>
        <v>0</v>
      </c>
      <c r="Z5179" t="str">
        <f t="shared" si="809"/>
        <v/>
      </c>
      <c r="AA5179">
        <f>IF($V5179="",N($AA5178),IF(MATCH($V5179,$V$6:$V$10005,0)=ROW()-5,N($AA5178)+1,N($AA5178)))</f>
        <v>0</v>
      </c>
    </row>
    <row r="5180" spans="1:27" ht="21" customHeight="1" x14ac:dyDescent="0.95">
      <c r="A5180" s="56"/>
      <c r="B5180" s="57"/>
      <c r="C5180" s="57"/>
      <c r="D5180" s="57"/>
      <c r="E5180" s="56"/>
      <c r="F5180" s="57"/>
      <c r="G5180" s="57"/>
      <c r="H5180" s="56"/>
      <c r="I5180" s="56"/>
      <c r="J5180" s="58"/>
      <c r="K5180" s="58"/>
      <c r="L5180" s="13" t="str">
        <f t="shared" si="800"/>
        <v/>
      </c>
      <c r="M5180" s="13" t="str">
        <f t="shared" si="801"/>
        <v/>
      </c>
      <c r="Q5180" t="str">
        <f t="shared" si="802"/>
        <v/>
      </c>
      <c r="R5180" t="str">
        <f t="shared" si="803"/>
        <v/>
      </c>
      <c r="S5180" t="str">
        <f t="shared" si="804"/>
        <v/>
      </c>
      <c r="T5180" t="str">
        <f t="shared" si="805"/>
        <v/>
      </c>
      <c r="U5180" t="str">
        <f t="shared" si="806"/>
        <v/>
      </c>
      <c r="V5180" t="str">
        <f t="shared" si="807"/>
        <v/>
      </c>
      <c r="W5180" t="str">
        <f t="shared" si="808"/>
        <v/>
      </c>
      <c r="X5180">
        <f>IF($T5180="",N($X5179),IF(MATCH($T5180,$T$6:$T$10005,0)=ROW()-5,N($X5179)+1,N($X5179)))</f>
        <v>0</v>
      </c>
      <c r="Z5180" t="str">
        <f t="shared" si="809"/>
        <v/>
      </c>
      <c r="AA5180">
        <f>IF($V5180="",N($AA5179),IF(MATCH($V5180,$V$6:$V$10005,0)=ROW()-5,N($AA5179)+1,N($AA5179)))</f>
        <v>0</v>
      </c>
    </row>
    <row r="5181" spans="1:27" ht="21" customHeight="1" x14ac:dyDescent="0.95">
      <c r="A5181" s="56"/>
      <c r="B5181" s="57"/>
      <c r="C5181" s="57"/>
      <c r="D5181" s="57"/>
      <c r="E5181" s="56"/>
      <c r="F5181" s="57"/>
      <c r="G5181" s="57"/>
      <c r="H5181" s="56"/>
      <c r="I5181" s="56"/>
      <c r="J5181" s="58"/>
      <c r="K5181" s="58"/>
      <c r="L5181" s="13" t="str">
        <f t="shared" si="800"/>
        <v/>
      </c>
      <c r="M5181" s="13" t="str">
        <f t="shared" si="801"/>
        <v/>
      </c>
      <c r="Q5181" t="str">
        <f t="shared" si="802"/>
        <v/>
      </c>
      <c r="R5181" t="str">
        <f t="shared" si="803"/>
        <v/>
      </c>
      <c r="S5181" t="str">
        <f t="shared" si="804"/>
        <v/>
      </c>
      <c r="T5181" t="str">
        <f t="shared" si="805"/>
        <v/>
      </c>
      <c r="U5181" t="str">
        <f t="shared" si="806"/>
        <v/>
      </c>
      <c r="V5181" t="str">
        <f t="shared" si="807"/>
        <v/>
      </c>
      <c r="W5181" t="str">
        <f t="shared" si="808"/>
        <v/>
      </c>
      <c r="X5181">
        <f>IF($T5181="",N($X5180),IF(MATCH($T5181,$T$6:$T$10005,0)=ROW()-5,N($X5180)+1,N($X5180)))</f>
        <v>0</v>
      </c>
      <c r="Z5181" t="str">
        <f t="shared" si="809"/>
        <v/>
      </c>
      <c r="AA5181">
        <f>IF($V5181="",N($AA5180),IF(MATCH($V5181,$V$6:$V$10005,0)=ROW()-5,N($AA5180)+1,N($AA5180)))</f>
        <v>0</v>
      </c>
    </row>
    <row r="5182" spans="1:27" ht="21" customHeight="1" x14ac:dyDescent="0.95">
      <c r="A5182" s="56"/>
      <c r="B5182" s="57"/>
      <c r="C5182" s="57"/>
      <c r="D5182" s="57"/>
      <c r="E5182" s="56"/>
      <c r="F5182" s="57"/>
      <c r="G5182" s="57"/>
      <c r="H5182" s="56"/>
      <c r="I5182" s="56"/>
      <c r="J5182" s="58"/>
      <c r="K5182" s="58"/>
      <c r="L5182" s="13" t="str">
        <f t="shared" si="800"/>
        <v/>
      </c>
      <c r="M5182" s="13" t="str">
        <f t="shared" si="801"/>
        <v/>
      </c>
      <c r="Q5182" t="str">
        <f t="shared" si="802"/>
        <v/>
      </c>
      <c r="R5182" t="str">
        <f t="shared" si="803"/>
        <v/>
      </c>
      <c r="S5182" t="str">
        <f t="shared" si="804"/>
        <v/>
      </c>
      <c r="T5182" t="str">
        <f t="shared" si="805"/>
        <v/>
      </c>
      <c r="U5182" t="str">
        <f t="shared" si="806"/>
        <v/>
      </c>
      <c r="V5182" t="str">
        <f t="shared" si="807"/>
        <v/>
      </c>
      <c r="W5182" t="str">
        <f t="shared" si="808"/>
        <v/>
      </c>
      <c r="X5182">
        <f>IF($T5182="",N($X5181),IF(MATCH($T5182,$T$6:$T$10005,0)=ROW()-5,N($X5181)+1,N($X5181)))</f>
        <v>0</v>
      </c>
      <c r="Z5182" t="str">
        <f t="shared" si="809"/>
        <v/>
      </c>
      <c r="AA5182">
        <f>IF($V5182="",N($AA5181),IF(MATCH($V5182,$V$6:$V$10005,0)=ROW()-5,N($AA5181)+1,N($AA5181)))</f>
        <v>0</v>
      </c>
    </row>
    <row r="5183" spans="1:27" ht="21" customHeight="1" x14ac:dyDescent="0.95">
      <c r="A5183" s="56"/>
      <c r="B5183" s="57"/>
      <c r="C5183" s="57"/>
      <c r="D5183" s="57"/>
      <c r="E5183" s="56"/>
      <c r="F5183" s="57"/>
      <c r="G5183" s="57"/>
      <c r="H5183" s="56"/>
      <c r="I5183" s="56"/>
      <c r="J5183" s="58"/>
      <c r="K5183" s="58"/>
      <c r="L5183" s="13" t="str">
        <f t="shared" si="800"/>
        <v/>
      </c>
      <c r="M5183" s="13" t="str">
        <f t="shared" si="801"/>
        <v/>
      </c>
      <c r="Q5183" t="str">
        <f t="shared" si="802"/>
        <v/>
      </c>
      <c r="R5183" t="str">
        <f t="shared" si="803"/>
        <v/>
      </c>
      <c r="S5183" t="str">
        <f t="shared" si="804"/>
        <v/>
      </c>
      <c r="T5183" t="str">
        <f t="shared" si="805"/>
        <v/>
      </c>
      <c r="U5183" t="str">
        <f t="shared" si="806"/>
        <v/>
      </c>
      <c r="V5183" t="str">
        <f t="shared" si="807"/>
        <v/>
      </c>
      <c r="W5183" t="str">
        <f t="shared" si="808"/>
        <v/>
      </c>
      <c r="X5183">
        <f>IF($T5183="",N($X5182),IF(MATCH($T5183,$T$6:$T$10005,0)=ROW()-5,N($X5182)+1,N($X5182)))</f>
        <v>0</v>
      </c>
      <c r="Z5183" t="str">
        <f t="shared" si="809"/>
        <v/>
      </c>
      <c r="AA5183">
        <f>IF($V5183="",N($AA5182),IF(MATCH($V5183,$V$6:$V$10005,0)=ROW()-5,N($AA5182)+1,N($AA5182)))</f>
        <v>0</v>
      </c>
    </row>
    <row r="5184" spans="1:27" ht="21" customHeight="1" x14ac:dyDescent="0.95">
      <c r="A5184" s="56"/>
      <c r="B5184" s="57"/>
      <c r="C5184" s="57"/>
      <c r="D5184" s="57"/>
      <c r="E5184" s="56"/>
      <c r="F5184" s="57"/>
      <c r="G5184" s="57"/>
      <c r="H5184" s="56"/>
      <c r="I5184" s="56"/>
      <c r="J5184" s="58"/>
      <c r="K5184" s="58"/>
      <c r="L5184" s="13" t="str">
        <f t="shared" si="800"/>
        <v/>
      </c>
      <c r="M5184" s="13" t="str">
        <f t="shared" si="801"/>
        <v/>
      </c>
      <c r="Q5184" t="str">
        <f t="shared" si="802"/>
        <v/>
      </c>
      <c r="R5184" t="str">
        <f t="shared" si="803"/>
        <v/>
      </c>
      <c r="S5184" t="str">
        <f t="shared" si="804"/>
        <v/>
      </c>
      <c r="T5184" t="str">
        <f t="shared" si="805"/>
        <v/>
      </c>
      <c r="U5184" t="str">
        <f t="shared" si="806"/>
        <v/>
      </c>
      <c r="V5184" t="str">
        <f t="shared" si="807"/>
        <v/>
      </c>
      <c r="W5184" t="str">
        <f t="shared" si="808"/>
        <v/>
      </c>
      <c r="X5184">
        <f>IF($T5184="",N($X5183),IF(MATCH($T5184,$T$6:$T$10005,0)=ROW()-5,N($X5183)+1,N($X5183)))</f>
        <v>0</v>
      </c>
      <c r="Z5184" t="str">
        <f t="shared" si="809"/>
        <v/>
      </c>
      <c r="AA5184">
        <f>IF($V5184="",N($AA5183),IF(MATCH($V5184,$V$6:$V$10005,0)=ROW()-5,N($AA5183)+1,N($AA5183)))</f>
        <v>0</v>
      </c>
    </row>
    <row r="5185" spans="1:27" ht="21" customHeight="1" x14ac:dyDescent="0.95">
      <c r="A5185" s="56"/>
      <c r="B5185" s="57"/>
      <c r="C5185" s="57"/>
      <c r="D5185" s="57"/>
      <c r="E5185" s="56"/>
      <c r="F5185" s="57"/>
      <c r="G5185" s="57"/>
      <c r="H5185" s="56"/>
      <c r="I5185" s="56"/>
      <c r="J5185" s="58"/>
      <c r="K5185" s="58"/>
      <c r="L5185" s="13" t="str">
        <f t="shared" si="800"/>
        <v/>
      </c>
      <c r="M5185" s="13" t="str">
        <f t="shared" si="801"/>
        <v/>
      </c>
      <c r="Q5185" t="str">
        <f t="shared" si="802"/>
        <v/>
      </c>
      <c r="R5185" t="str">
        <f t="shared" si="803"/>
        <v/>
      </c>
      <c r="S5185" t="str">
        <f t="shared" si="804"/>
        <v/>
      </c>
      <c r="T5185" t="str">
        <f t="shared" si="805"/>
        <v/>
      </c>
      <c r="U5185" t="str">
        <f t="shared" si="806"/>
        <v/>
      </c>
      <c r="V5185" t="str">
        <f t="shared" si="807"/>
        <v/>
      </c>
      <c r="W5185" t="str">
        <f t="shared" si="808"/>
        <v/>
      </c>
      <c r="X5185">
        <f>IF($T5185="",N($X5184),IF(MATCH($T5185,$T$6:$T$10005,0)=ROW()-5,N($X5184)+1,N($X5184)))</f>
        <v>0</v>
      </c>
      <c r="Z5185" t="str">
        <f t="shared" si="809"/>
        <v/>
      </c>
      <c r="AA5185">
        <f>IF($V5185="",N($AA5184),IF(MATCH($V5185,$V$6:$V$10005,0)=ROW()-5,N($AA5184)+1,N($AA5184)))</f>
        <v>0</v>
      </c>
    </row>
    <row r="5186" spans="1:27" ht="21" customHeight="1" x14ac:dyDescent="0.95">
      <c r="A5186" s="56"/>
      <c r="B5186" s="57"/>
      <c r="C5186" s="57"/>
      <c r="D5186" s="57"/>
      <c r="E5186" s="56"/>
      <c r="F5186" s="57"/>
      <c r="G5186" s="57"/>
      <c r="H5186" s="56"/>
      <c r="I5186" s="56"/>
      <c r="J5186" s="58"/>
      <c r="K5186" s="58"/>
      <c r="L5186" s="13" t="str">
        <f t="shared" si="800"/>
        <v/>
      </c>
      <c r="M5186" s="13" t="str">
        <f t="shared" si="801"/>
        <v/>
      </c>
      <c r="Q5186" t="str">
        <f t="shared" si="802"/>
        <v/>
      </c>
      <c r="R5186" t="str">
        <f t="shared" si="803"/>
        <v/>
      </c>
      <c r="S5186" t="str">
        <f t="shared" si="804"/>
        <v/>
      </c>
      <c r="T5186" t="str">
        <f t="shared" si="805"/>
        <v/>
      </c>
      <c r="U5186" t="str">
        <f t="shared" si="806"/>
        <v/>
      </c>
      <c r="V5186" t="str">
        <f t="shared" si="807"/>
        <v/>
      </c>
      <c r="W5186" t="str">
        <f t="shared" si="808"/>
        <v/>
      </c>
      <c r="X5186">
        <f>IF($T5186="",N($X5185),IF(MATCH($T5186,$T$6:$T$10005,0)=ROW()-5,N($X5185)+1,N($X5185)))</f>
        <v>0</v>
      </c>
      <c r="Z5186" t="str">
        <f t="shared" si="809"/>
        <v/>
      </c>
      <c r="AA5186">
        <f>IF($V5186="",N($AA5185),IF(MATCH($V5186,$V$6:$V$10005,0)=ROW()-5,N($AA5185)+1,N($AA5185)))</f>
        <v>0</v>
      </c>
    </row>
    <row r="5187" spans="1:27" ht="21" customHeight="1" x14ac:dyDescent="0.95">
      <c r="A5187" s="56"/>
      <c r="B5187" s="57"/>
      <c r="C5187" s="57"/>
      <c r="D5187" s="57"/>
      <c r="E5187" s="56"/>
      <c r="F5187" s="57"/>
      <c r="G5187" s="57"/>
      <c r="H5187" s="56"/>
      <c r="I5187" s="56"/>
      <c r="J5187" s="58"/>
      <c r="K5187" s="58"/>
      <c r="L5187" s="13" t="str">
        <f t="shared" si="800"/>
        <v/>
      </c>
      <c r="M5187" s="13" t="str">
        <f t="shared" si="801"/>
        <v/>
      </c>
      <c r="Q5187" t="str">
        <f t="shared" si="802"/>
        <v/>
      </c>
      <c r="R5187" t="str">
        <f t="shared" si="803"/>
        <v/>
      </c>
      <c r="S5187" t="str">
        <f t="shared" si="804"/>
        <v/>
      </c>
      <c r="T5187" t="str">
        <f t="shared" si="805"/>
        <v/>
      </c>
      <c r="U5187" t="str">
        <f t="shared" si="806"/>
        <v/>
      </c>
      <c r="V5187" t="str">
        <f t="shared" si="807"/>
        <v/>
      </c>
      <c r="W5187" t="str">
        <f t="shared" si="808"/>
        <v/>
      </c>
      <c r="X5187">
        <f>IF($T5187="",N($X5186),IF(MATCH($T5187,$T$6:$T$10005,0)=ROW()-5,N($X5186)+1,N($X5186)))</f>
        <v>0</v>
      </c>
      <c r="Z5187" t="str">
        <f t="shared" si="809"/>
        <v/>
      </c>
      <c r="AA5187">
        <f>IF($V5187="",N($AA5186),IF(MATCH($V5187,$V$6:$V$10005,0)=ROW()-5,N($AA5186)+1,N($AA5186)))</f>
        <v>0</v>
      </c>
    </row>
    <row r="5188" spans="1:27" ht="21" customHeight="1" x14ac:dyDescent="0.95">
      <c r="A5188" s="56"/>
      <c r="B5188" s="57"/>
      <c r="C5188" s="57"/>
      <c r="D5188" s="57"/>
      <c r="E5188" s="56"/>
      <c r="F5188" s="57"/>
      <c r="G5188" s="57"/>
      <c r="H5188" s="56"/>
      <c r="I5188" s="56"/>
      <c r="J5188" s="58"/>
      <c r="K5188" s="58"/>
      <c r="L5188" s="13" t="str">
        <f t="shared" si="800"/>
        <v/>
      </c>
      <c r="M5188" s="13" t="str">
        <f t="shared" si="801"/>
        <v/>
      </c>
      <c r="Q5188" t="str">
        <f t="shared" si="802"/>
        <v/>
      </c>
      <c r="R5188" t="str">
        <f t="shared" si="803"/>
        <v/>
      </c>
      <c r="S5188" t="str">
        <f t="shared" si="804"/>
        <v/>
      </c>
      <c r="T5188" t="str">
        <f t="shared" si="805"/>
        <v/>
      </c>
      <c r="U5188" t="str">
        <f t="shared" si="806"/>
        <v/>
      </c>
      <c r="V5188" t="str">
        <f t="shared" si="807"/>
        <v/>
      </c>
      <c r="W5188" t="str">
        <f t="shared" si="808"/>
        <v/>
      </c>
      <c r="X5188">
        <f>IF($T5188="",N($X5187),IF(MATCH($T5188,$T$6:$T$10005,0)=ROW()-5,N($X5187)+1,N($X5187)))</f>
        <v>0</v>
      </c>
      <c r="Z5188" t="str">
        <f t="shared" si="809"/>
        <v/>
      </c>
      <c r="AA5188">
        <f>IF($V5188="",N($AA5187),IF(MATCH($V5188,$V$6:$V$10005,0)=ROW()-5,N($AA5187)+1,N($AA5187)))</f>
        <v>0</v>
      </c>
    </row>
    <row r="5189" spans="1:27" ht="21" customHeight="1" x14ac:dyDescent="0.95">
      <c r="A5189" s="56"/>
      <c r="B5189" s="57"/>
      <c r="C5189" s="57"/>
      <c r="D5189" s="57"/>
      <c r="E5189" s="56"/>
      <c r="F5189" s="57"/>
      <c r="G5189" s="57"/>
      <c r="H5189" s="56"/>
      <c r="I5189" s="56"/>
      <c r="J5189" s="58"/>
      <c r="K5189" s="58"/>
      <c r="L5189" s="13" t="str">
        <f t="shared" si="800"/>
        <v/>
      </c>
      <c r="M5189" s="13" t="str">
        <f t="shared" si="801"/>
        <v/>
      </c>
      <c r="Q5189" t="str">
        <f t="shared" si="802"/>
        <v/>
      </c>
      <c r="R5189" t="str">
        <f t="shared" si="803"/>
        <v/>
      </c>
      <c r="S5189" t="str">
        <f t="shared" si="804"/>
        <v/>
      </c>
      <c r="T5189" t="str">
        <f t="shared" si="805"/>
        <v/>
      </c>
      <c r="U5189" t="str">
        <f t="shared" si="806"/>
        <v/>
      </c>
      <c r="V5189" t="str">
        <f t="shared" si="807"/>
        <v/>
      </c>
      <c r="W5189" t="str">
        <f t="shared" si="808"/>
        <v/>
      </c>
      <c r="X5189">
        <f>IF($T5189="",N($X5188),IF(MATCH($T5189,$T$6:$T$10005,0)=ROW()-5,N($X5188)+1,N($X5188)))</f>
        <v>0</v>
      </c>
      <c r="Z5189" t="str">
        <f t="shared" si="809"/>
        <v/>
      </c>
      <c r="AA5189">
        <f>IF($V5189="",N($AA5188),IF(MATCH($V5189,$V$6:$V$10005,0)=ROW()-5,N($AA5188)+1,N($AA5188)))</f>
        <v>0</v>
      </c>
    </row>
    <row r="5190" spans="1:27" ht="21" customHeight="1" x14ac:dyDescent="0.95">
      <c r="A5190" s="56"/>
      <c r="B5190" s="57"/>
      <c r="C5190" s="57"/>
      <c r="D5190" s="57"/>
      <c r="E5190" s="56"/>
      <c r="F5190" s="57"/>
      <c r="G5190" s="57"/>
      <c r="H5190" s="56"/>
      <c r="I5190" s="56"/>
      <c r="J5190" s="58"/>
      <c r="K5190" s="58"/>
      <c r="L5190" s="13" t="str">
        <f t="shared" ref="L5190:L5253" si="810">IF(OR($A5190="",AND($J5190="",$K5190="")),"",ROUND(N($J5190)-N($K5190),2))</f>
        <v/>
      </c>
      <c r="M5190" s="13" t="str">
        <f t="shared" ref="M5190:M5253" si="811">IF(OR($A5190="",AND($J5190="",$K5190="")),"",MIN($J5190,$K5190))</f>
        <v/>
      </c>
      <c r="Q5190" t="str">
        <f t="shared" ref="Q5190:Q5253" si="812">IF($A5190="","",$D5190&amp;"("&amp;SUBSTITUTE($E5190," ","")&amp;")")</f>
        <v/>
      </c>
      <c r="R5190" t="str">
        <f t="shared" ref="R5190:R5253" si="813">IF($A5190="","",$B5190&amp;" - "&amp;$C5190)</f>
        <v/>
      </c>
      <c r="S5190" t="str">
        <f t="shared" ref="S5190:S5253" si="814">IF($A5190="","",$R5190&amp;"|"&amp;$Q5190)</f>
        <v/>
      </c>
      <c r="T5190" t="str">
        <f t="shared" ref="T5190:T5253" si="815">IF($A5190="","",$S5190&amp;"|"&amp;$F5190)</f>
        <v/>
      </c>
      <c r="U5190" t="str">
        <f t="shared" ref="U5190:U5253" si="816">IF($A5190="","",$R5190&amp;"("&amp;$E5190&amp;")")</f>
        <v/>
      </c>
      <c r="V5190" t="str">
        <f t="shared" ref="V5190:V5253" si="817">IF($A5190="","",$F5190&amp;"|"&amp;$U5190&amp;"|"&amp;$D5190)</f>
        <v/>
      </c>
      <c r="W5190" t="str">
        <f t="shared" ref="W5190:W5253" si="818">IF($T5190="","",IF($X5190&gt;N($X5189),$X5190,""))</f>
        <v/>
      </c>
      <c r="X5190">
        <f>IF($T5190="",N($X5189),IF(MATCH($T5190,$T$6:$T$10005,0)=ROW()-5,N($X5189)+1,N($X5189)))</f>
        <v>0</v>
      </c>
      <c r="Z5190" t="str">
        <f t="shared" ref="Z5190:Z5253" si="819">IF($V5190="","",IF($AA5190&gt;N($AA5189),$AA5190,""))</f>
        <v/>
      </c>
      <c r="AA5190">
        <f>IF($V5190="",N($AA5189),IF(MATCH($V5190,$V$6:$V$10005,0)=ROW()-5,N($AA5189)+1,N($AA5189)))</f>
        <v>0</v>
      </c>
    </row>
    <row r="5191" spans="1:27" ht="21" customHeight="1" x14ac:dyDescent="0.95">
      <c r="A5191" s="56"/>
      <c r="B5191" s="57"/>
      <c r="C5191" s="57"/>
      <c r="D5191" s="57"/>
      <c r="E5191" s="56"/>
      <c r="F5191" s="57"/>
      <c r="G5191" s="57"/>
      <c r="H5191" s="56"/>
      <c r="I5191" s="56"/>
      <c r="J5191" s="58"/>
      <c r="K5191" s="58"/>
      <c r="L5191" s="13" t="str">
        <f t="shared" si="810"/>
        <v/>
      </c>
      <c r="M5191" s="13" t="str">
        <f t="shared" si="811"/>
        <v/>
      </c>
      <c r="Q5191" t="str">
        <f t="shared" si="812"/>
        <v/>
      </c>
      <c r="R5191" t="str">
        <f t="shared" si="813"/>
        <v/>
      </c>
      <c r="S5191" t="str">
        <f t="shared" si="814"/>
        <v/>
      </c>
      <c r="T5191" t="str">
        <f t="shared" si="815"/>
        <v/>
      </c>
      <c r="U5191" t="str">
        <f t="shared" si="816"/>
        <v/>
      </c>
      <c r="V5191" t="str">
        <f t="shared" si="817"/>
        <v/>
      </c>
      <c r="W5191" t="str">
        <f t="shared" si="818"/>
        <v/>
      </c>
      <c r="X5191">
        <f>IF($T5191="",N($X5190),IF(MATCH($T5191,$T$6:$T$10005,0)=ROW()-5,N($X5190)+1,N($X5190)))</f>
        <v>0</v>
      </c>
      <c r="Z5191" t="str">
        <f t="shared" si="819"/>
        <v/>
      </c>
      <c r="AA5191">
        <f>IF($V5191="",N($AA5190),IF(MATCH($V5191,$V$6:$V$10005,0)=ROW()-5,N($AA5190)+1,N($AA5190)))</f>
        <v>0</v>
      </c>
    </row>
    <row r="5192" spans="1:27" ht="21" customHeight="1" x14ac:dyDescent="0.95">
      <c r="A5192" s="56"/>
      <c r="B5192" s="57"/>
      <c r="C5192" s="57"/>
      <c r="D5192" s="57"/>
      <c r="E5192" s="56"/>
      <c r="F5192" s="57"/>
      <c r="G5192" s="57"/>
      <c r="H5192" s="56"/>
      <c r="I5192" s="56"/>
      <c r="J5192" s="58"/>
      <c r="K5192" s="58"/>
      <c r="L5192" s="13" t="str">
        <f t="shared" si="810"/>
        <v/>
      </c>
      <c r="M5192" s="13" t="str">
        <f t="shared" si="811"/>
        <v/>
      </c>
      <c r="Q5192" t="str">
        <f t="shared" si="812"/>
        <v/>
      </c>
      <c r="R5192" t="str">
        <f t="shared" si="813"/>
        <v/>
      </c>
      <c r="S5192" t="str">
        <f t="shared" si="814"/>
        <v/>
      </c>
      <c r="T5192" t="str">
        <f t="shared" si="815"/>
        <v/>
      </c>
      <c r="U5192" t="str">
        <f t="shared" si="816"/>
        <v/>
      </c>
      <c r="V5192" t="str">
        <f t="shared" si="817"/>
        <v/>
      </c>
      <c r="W5192" t="str">
        <f t="shared" si="818"/>
        <v/>
      </c>
      <c r="X5192">
        <f>IF($T5192="",N($X5191),IF(MATCH($T5192,$T$6:$T$10005,0)=ROW()-5,N($X5191)+1,N($X5191)))</f>
        <v>0</v>
      </c>
      <c r="Z5192" t="str">
        <f t="shared" si="819"/>
        <v/>
      </c>
      <c r="AA5192">
        <f>IF($V5192="",N($AA5191),IF(MATCH($V5192,$V$6:$V$10005,0)=ROW()-5,N($AA5191)+1,N($AA5191)))</f>
        <v>0</v>
      </c>
    </row>
    <row r="5193" spans="1:27" ht="21" customHeight="1" x14ac:dyDescent="0.95">
      <c r="A5193" s="56"/>
      <c r="B5193" s="57"/>
      <c r="C5193" s="57"/>
      <c r="D5193" s="57"/>
      <c r="E5193" s="56"/>
      <c r="F5193" s="57"/>
      <c r="G5193" s="57"/>
      <c r="H5193" s="56"/>
      <c r="I5193" s="56"/>
      <c r="J5193" s="58"/>
      <c r="K5193" s="58"/>
      <c r="L5193" s="13" t="str">
        <f t="shared" si="810"/>
        <v/>
      </c>
      <c r="M5193" s="13" t="str">
        <f t="shared" si="811"/>
        <v/>
      </c>
      <c r="Q5193" t="str">
        <f t="shared" si="812"/>
        <v/>
      </c>
      <c r="R5193" t="str">
        <f t="shared" si="813"/>
        <v/>
      </c>
      <c r="S5193" t="str">
        <f t="shared" si="814"/>
        <v/>
      </c>
      <c r="T5193" t="str">
        <f t="shared" si="815"/>
        <v/>
      </c>
      <c r="U5193" t="str">
        <f t="shared" si="816"/>
        <v/>
      </c>
      <c r="V5193" t="str">
        <f t="shared" si="817"/>
        <v/>
      </c>
      <c r="W5193" t="str">
        <f t="shared" si="818"/>
        <v/>
      </c>
      <c r="X5193">
        <f>IF($T5193="",N($X5192),IF(MATCH($T5193,$T$6:$T$10005,0)=ROW()-5,N($X5192)+1,N($X5192)))</f>
        <v>0</v>
      </c>
      <c r="Z5193" t="str">
        <f t="shared" si="819"/>
        <v/>
      </c>
      <c r="AA5193">
        <f>IF($V5193="",N($AA5192),IF(MATCH($V5193,$V$6:$V$10005,0)=ROW()-5,N($AA5192)+1,N($AA5192)))</f>
        <v>0</v>
      </c>
    </row>
    <row r="5194" spans="1:27" ht="21" customHeight="1" x14ac:dyDescent="0.95">
      <c r="A5194" s="56"/>
      <c r="B5194" s="57"/>
      <c r="C5194" s="57"/>
      <c r="D5194" s="57"/>
      <c r="E5194" s="56"/>
      <c r="F5194" s="57"/>
      <c r="G5194" s="57"/>
      <c r="H5194" s="56"/>
      <c r="I5194" s="56"/>
      <c r="J5194" s="58"/>
      <c r="K5194" s="58"/>
      <c r="L5194" s="13" t="str">
        <f t="shared" si="810"/>
        <v/>
      </c>
      <c r="M5194" s="13" t="str">
        <f t="shared" si="811"/>
        <v/>
      </c>
      <c r="Q5194" t="str">
        <f t="shared" si="812"/>
        <v/>
      </c>
      <c r="R5194" t="str">
        <f t="shared" si="813"/>
        <v/>
      </c>
      <c r="S5194" t="str">
        <f t="shared" si="814"/>
        <v/>
      </c>
      <c r="T5194" t="str">
        <f t="shared" si="815"/>
        <v/>
      </c>
      <c r="U5194" t="str">
        <f t="shared" si="816"/>
        <v/>
      </c>
      <c r="V5194" t="str">
        <f t="shared" si="817"/>
        <v/>
      </c>
      <c r="W5194" t="str">
        <f t="shared" si="818"/>
        <v/>
      </c>
      <c r="X5194">
        <f>IF($T5194="",N($X5193),IF(MATCH($T5194,$T$6:$T$10005,0)=ROW()-5,N($X5193)+1,N($X5193)))</f>
        <v>0</v>
      </c>
      <c r="Z5194" t="str">
        <f t="shared" si="819"/>
        <v/>
      </c>
      <c r="AA5194">
        <f>IF($V5194="",N($AA5193),IF(MATCH($V5194,$V$6:$V$10005,0)=ROW()-5,N($AA5193)+1,N($AA5193)))</f>
        <v>0</v>
      </c>
    </row>
    <row r="5195" spans="1:27" ht="21" customHeight="1" x14ac:dyDescent="0.95">
      <c r="A5195" s="56"/>
      <c r="B5195" s="57"/>
      <c r="C5195" s="57"/>
      <c r="D5195" s="57"/>
      <c r="E5195" s="56"/>
      <c r="F5195" s="57"/>
      <c r="G5195" s="57"/>
      <c r="H5195" s="56"/>
      <c r="I5195" s="56"/>
      <c r="J5195" s="58"/>
      <c r="K5195" s="58"/>
      <c r="L5195" s="13" t="str">
        <f t="shared" si="810"/>
        <v/>
      </c>
      <c r="M5195" s="13" t="str">
        <f t="shared" si="811"/>
        <v/>
      </c>
      <c r="Q5195" t="str">
        <f t="shared" si="812"/>
        <v/>
      </c>
      <c r="R5195" t="str">
        <f t="shared" si="813"/>
        <v/>
      </c>
      <c r="S5195" t="str">
        <f t="shared" si="814"/>
        <v/>
      </c>
      <c r="T5195" t="str">
        <f t="shared" si="815"/>
        <v/>
      </c>
      <c r="U5195" t="str">
        <f t="shared" si="816"/>
        <v/>
      </c>
      <c r="V5195" t="str">
        <f t="shared" si="817"/>
        <v/>
      </c>
      <c r="W5195" t="str">
        <f t="shared" si="818"/>
        <v/>
      </c>
      <c r="X5195">
        <f>IF($T5195="",N($X5194),IF(MATCH($T5195,$T$6:$T$10005,0)=ROW()-5,N($X5194)+1,N($X5194)))</f>
        <v>0</v>
      </c>
      <c r="Z5195" t="str">
        <f t="shared" si="819"/>
        <v/>
      </c>
      <c r="AA5195">
        <f>IF($V5195="",N($AA5194),IF(MATCH($V5195,$V$6:$V$10005,0)=ROW()-5,N($AA5194)+1,N($AA5194)))</f>
        <v>0</v>
      </c>
    </row>
    <row r="5196" spans="1:27" ht="21" customHeight="1" x14ac:dyDescent="0.95">
      <c r="A5196" s="56"/>
      <c r="B5196" s="57"/>
      <c r="C5196" s="57"/>
      <c r="D5196" s="57"/>
      <c r="E5196" s="56"/>
      <c r="F5196" s="57"/>
      <c r="G5196" s="57"/>
      <c r="H5196" s="56"/>
      <c r="I5196" s="56"/>
      <c r="J5196" s="58"/>
      <c r="K5196" s="58"/>
      <c r="L5196" s="13" t="str">
        <f t="shared" si="810"/>
        <v/>
      </c>
      <c r="M5196" s="13" t="str">
        <f t="shared" si="811"/>
        <v/>
      </c>
      <c r="Q5196" t="str">
        <f t="shared" si="812"/>
        <v/>
      </c>
      <c r="R5196" t="str">
        <f t="shared" si="813"/>
        <v/>
      </c>
      <c r="S5196" t="str">
        <f t="shared" si="814"/>
        <v/>
      </c>
      <c r="T5196" t="str">
        <f t="shared" si="815"/>
        <v/>
      </c>
      <c r="U5196" t="str">
        <f t="shared" si="816"/>
        <v/>
      </c>
      <c r="V5196" t="str">
        <f t="shared" si="817"/>
        <v/>
      </c>
      <c r="W5196" t="str">
        <f t="shared" si="818"/>
        <v/>
      </c>
      <c r="X5196">
        <f>IF($T5196="",N($X5195),IF(MATCH($T5196,$T$6:$T$10005,0)=ROW()-5,N($X5195)+1,N($X5195)))</f>
        <v>0</v>
      </c>
      <c r="Z5196" t="str">
        <f t="shared" si="819"/>
        <v/>
      </c>
      <c r="AA5196">
        <f>IF($V5196="",N($AA5195),IF(MATCH($V5196,$V$6:$V$10005,0)=ROW()-5,N($AA5195)+1,N($AA5195)))</f>
        <v>0</v>
      </c>
    </row>
    <row r="5197" spans="1:27" ht="21" customHeight="1" x14ac:dyDescent="0.95">
      <c r="A5197" s="56"/>
      <c r="B5197" s="57"/>
      <c r="C5197" s="57"/>
      <c r="D5197" s="57"/>
      <c r="E5197" s="56"/>
      <c r="F5197" s="57"/>
      <c r="G5197" s="57"/>
      <c r="H5197" s="56"/>
      <c r="I5197" s="56"/>
      <c r="J5197" s="58"/>
      <c r="K5197" s="58"/>
      <c r="L5197" s="13" t="str">
        <f t="shared" si="810"/>
        <v/>
      </c>
      <c r="M5197" s="13" t="str">
        <f t="shared" si="811"/>
        <v/>
      </c>
      <c r="Q5197" t="str">
        <f t="shared" si="812"/>
        <v/>
      </c>
      <c r="R5197" t="str">
        <f t="shared" si="813"/>
        <v/>
      </c>
      <c r="S5197" t="str">
        <f t="shared" si="814"/>
        <v/>
      </c>
      <c r="T5197" t="str">
        <f t="shared" si="815"/>
        <v/>
      </c>
      <c r="U5197" t="str">
        <f t="shared" si="816"/>
        <v/>
      </c>
      <c r="V5197" t="str">
        <f t="shared" si="817"/>
        <v/>
      </c>
      <c r="W5197" t="str">
        <f t="shared" si="818"/>
        <v/>
      </c>
      <c r="X5197">
        <f>IF($T5197="",N($X5196),IF(MATCH($T5197,$T$6:$T$10005,0)=ROW()-5,N($X5196)+1,N($X5196)))</f>
        <v>0</v>
      </c>
      <c r="Z5197" t="str">
        <f t="shared" si="819"/>
        <v/>
      </c>
      <c r="AA5197">
        <f>IF($V5197="",N($AA5196),IF(MATCH($V5197,$V$6:$V$10005,0)=ROW()-5,N($AA5196)+1,N($AA5196)))</f>
        <v>0</v>
      </c>
    </row>
    <row r="5198" spans="1:27" ht="21" customHeight="1" x14ac:dyDescent="0.95">
      <c r="A5198" s="56"/>
      <c r="B5198" s="57"/>
      <c r="C5198" s="57"/>
      <c r="D5198" s="57"/>
      <c r="E5198" s="56"/>
      <c r="F5198" s="57"/>
      <c r="G5198" s="57"/>
      <c r="H5198" s="56"/>
      <c r="I5198" s="56"/>
      <c r="J5198" s="58"/>
      <c r="K5198" s="58"/>
      <c r="L5198" s="13" t="str">
        <f t="shared" si="810"/>
        <v/>
      </c>
      <c r="M5198" s="13" t="str">
        <f t="shared" si="811"/>
        <v/>
      </c>
      <c r="Q5198" t="str">
        <f t="shared" si="812"/>
        <v/>
      </c>
      <c r="R5198" t="str">
        <f t="shared" si="813"/>
        <v/>
      </c>
      <c r="S5198" t="str">
        <f t="shared" si="814"/>
        <v/>
      </c>
      <c r="T5198" t="str">
        <f t="shared" si="815"/>
        <v/>
      </c>
      <c r="U5198" t="str">
        <f t="shared" si="816"/>
        <v/>
      </c>
      <c r="V5198" t="str">
        <f t="shared" si="817"/>
        <v/>
      </c>
      <c r="W5198" t="str">
        <f t="shared" si="818"/>
        <v/>
      </c>
      <c r="X5198">
        <f>IF($T5198="",N($X5197),IF(MATCH($T5198,$T$6:$T$10005,0)=ROW()-5,N($X5197)+1,N($X5197)))</f>
        <v>0</v>
      </c>
      <c r="Z5198" t="str">
        <f t="shared" si="819"/>
        <v/>
      </c>
      <c r="AA5198">
        <f>IF($V5198="",N($AA5197),IF(MATCH($V5198,$V$6:$V$10005,0)=ROW()-5,N($AA5197)+1,N($AA5197)))</f>
        <v>0</v>
      </c>
    </row>
    <row r="5199" spans="1:27" ht="21" customHeight="1" x14ac:dyDescent="0.95">
      <c r="A5199" s="56"/>
      <c r="B5199" s="57"/>
      <c r="C5199" s="57"/>
      <c r="D5199" s="57"/>
      <c r="E5199" s="56"/>
      <c r="F5199" s="57"/>
      <c r="G5199" s="57"/>
      <c r="H5199" s="56"/>
      <c r="I5199" s="56"/>
      <c r="J5199" s="58"/>
      <c r="K5199" s="58"/>
      <c r="L5199" s="13" t="str">
        <f t="shared" si="810"/>
        <v/>
      </c>
      <c r="M5199" s="13" t="str">
        <f t="shared" si="811"/>
        <v/>
      </c>
      <c r="Q5199" t="str">
        <f t="shared" si="812"/>
        <v/>
      </c>
      <c r="R5199" t="str">
        <f t="shared" si="813"/>
        <v/>
      </c>
      <c r="S5199" t="str">
        <f t="shared" si="814"/>
        <v/>
      </c>
      <c r="T5199" t="str">
        <f t="shared" si="815"/>
        <v/>
      </c>
      <c r="U5199" t="str">
        <f t="shared" si="816"/>
        <v/>
      </c>
      <c r="V5199" t="str">
        <f t="shared" si="817"/>
        <v/>
      </c>
      <c r="W5199" t="str">
        <f t="shared" si="818"/>
        <v/>
      </c>
      <c r="X5199">
        <f>IF($T5199="",N($X5198),IF(MATCH($T5199,$T$6:$T$10005,0)=ROW()-5,N($X5198)+1,N($X5198)))</f>
        <v>0</v>
      </c>
      <c r="Z5199" t="str">
        <f t="shared" si="819"/>
        <v/>
      </c>
      <c r="AA5199">
        <f>IF($V5199="",N($AA5198),IF(MATCH($V5199,$V$6:$V$10005,0)=ROW()-5,N($AA5198)+1,N($AA5198)))</f>
        <v>0</v>
      </c>
    </row>
    <row r="5200" spans="1:27" ht="21" customHeight="1" x14ac:dyDescent="0.95">
      <c r="A5200" s="56"/>
      <c r="B5200" s="57"/>
      <c r="C5200" s="57"/>
      <c r="D5200" s="57"/>
      <c r="E5200" s="56"/>
      <c r="F5200" s="57"/>
      <c r="G5200" s="57"/>
      <c r="H5200" s="56"/>
      <c r="I5200" s="56"/>
      <c r="J5200" s="58"/>
      <c r="K5200" s="58"/>
      <c r="L5200" s="13" t="str">
        <f t="shared" si="810"/>
        <v/>
      </c>
      <c r="M5200" s="13" t="str">
        <f t="shared" si="811"/>
        <v/>
      </c>
      <c r="Q5200" t="str">
        <f t="shared" si="812"/>
        <v/>
      </c>
      <c r="R5200" t="str">
        <f t="shared" si="813"/>
        <v/>
      </c>
      <c r="S5200" t="str">
        <f t="shared" si="814"/>
        <v/>
      </c>
      <c r="T5200" t="str">
        <f t="shared" si="815"/>
        <v/>
      </c>
      <c r="U5200" t="str">
        <f t="shared" si="816"/>
        <v/>
      </c>
      <c r="V5200" t="str">
        <f t="shared" si="817"/>
        <v/>
      </c>
      <c r="W5200" t="str">
        <f t="shared" si="818"/>
        <v/>
      </c>
      <c r="X5200">
        <f>IF($T5200="",N($X5199),IF(MATCH($T5200,$T$6:$T$10005,0)=ROW()-5,N($X5199)+1,N($X5199)))</f>
        <v>0</v>
      </c>
      <c r="Z5200" t="str">
        <f t="shared" si="819"/>
        <v/>
      </c>
      <c r="AA5200">
        <f>IF($V5200="",N($AA5199),IF(MATCH($V5200,$V$6:$V$10005,0)=ROW()-5,N($AA5199)+1,N($AA5199)))</f>
        <v>0</v>
      </c>
    </row>
    <row r="5201" spans="1:27" ht="21" customHeight="1" x14ac:dyDescent="0.95">
      <c r="A5201" s="56"/>
      <c r="B5201" s="57"/>
      <c r="C5201" s="57"/>
      <c r="D5201" s="57"/>
      <c r="E5201" s="56"/>
      <c r="F5201" s="57"/>
      <c r="G5201" s="57"/>
      <c r="H5201" s="56"/>
      <c r="I5201" s="56"/>
      <c r="J5201" s="58"/>
      <c r="K5201" s="58"/>
      <c r="L5201" s="13" t="str">
        <f t="shared" si="810"/>
        <v/>
      </c>
      <c r="M5201" s="13" t="str">
        <f t="shared" si="811"/>
        <v/>
      </c>
      <c r="Q5201" t="str">
        <f t="shared" si="812"/>
        <v/>
      </c>
      <c r="R5201" t="str">
        <f t="shared" si="813"/>
        <v/>
      </c>
      <c r="S5201" t="str">
        <f t="shared" si="814"/>
        <v/>
      </c>
      <c r="T5201" t="str">
        <f t="shared" si="815"/>
        <v/>
      </c>
      <c r="U5201" t="str">
        <f t="shared" si="816"/>
        <v/>
      </c>
      <c r="V5201" t="str">
        <f t="shared" si="817"/>
        <v/>
      </c>
      <c r="W5201" t="str">
        <f t="shared" si="818"/>
        <v/>
      </c>
      <c r="X5201">
        <f>IF($T5201="",N($X5200),IF(MATCH($T5201,$T$6:$T$10005,0)=ROW()-5,N($X5200)+1,N($X5200)))</f>
        <v>0</v>
      </c>
      <c r="Z5201" t="str">
        <f t="shared" si="819"/>
        <v/>
      </c>
      <c r="AA5201">
        <f>IF($V5201="",N($AA5200),IF(MATCH($V5201,$V$6:$V$10005,0)=ROW()-5,N($AA5200)+1,N($AA5200)))</f>
        <v>0</v>
      </c>
    </row>
    <row r="5202" spans="1:27" ht="21" customHeight="1" x14ac:dyDescent="0.95">
      <c r="A5202" s="56"/>
      <c r="B5202" s="57"/>
      <c r="C5202" s="57"/>
      <c r="D5202" s="57"/>
      <c r="E5202" s="56"/>
      <c r="F5202" s="57"/>
      <c r="G5202" s="57"/>
      <c r="H5202" s="56"/>
      <c r="I5202" s="56"/>
      <c r="J5202" s="58"/>
      <c r="K5202" s="58"/>
      <c r="L5202" s="13" t="str">
        <f t="shared" si="810"/>
        <v/>
      </c>
      <c r="M5202" s="13" t="str">
        <f t="shared" si="811"/>
        <v/>
      </c>
      <c r="Q5202" t="str">
        <f t="shared" si="812"/>
        <v/>
      </c>
      <c r="R5202" t="str">
        <f t="shared" si="813"/>
        <v/>
      </c>
      <c r="S5202" t="str">
        <f t="shared" si="814"/>
        <v/>
      </c>
      <c r="T5202" t="str">
        <f t="shared" si="815"/>
        <v/>
      </c>
      <c r="U5202" t="str">
        <f t="shared" si="816"/>
        <v/>
      </c>
      <c r="V5202" t="str">
        <f t="shared" si="817"/>
        <v/>
      </c>
      <c r="W5202" t="str">
        <f t="shared" si="818"/>
        <v/>
      </c>
      <c r="X5202">
        <f>IF($T5202="",N($X5201),IF(MATCH($T5202,$T$6:$T$10005,0)=ROW()-5,N($X5201)+1,N($X5201)))</f>
        <v>0</v>
      </c>
      <c r="Z5202" t="str">
        <f t="shared" si="819"/>
        <v/>
      </c>
      <c r="AA5202">
        <f>IF($V5202="",N($AA5201),IF(MATCH($V5202,$V$6:$V$10005,0)=ROW()-5,N($AA5201)+1,N($AA5201)))</f>
        <v>0</v>
      </c>
    </row>
    <row r="5203" spans="1:27" ht="21" customHeight="1" x14ac:dyDescent="0.95">
      <c r="A5203" s="56"/>
      <c r="B5203" s="57"/>
      <c r="C5203" s="57"/>
      <c r="D5203" s="57"/>
      <c r="E5203" s="56"/>
      <c r="F5203" s="57"/>
      <c r="G5203" s="57"/>
      <c r="H5203" s="56"/>
      <c r="I5203" s="56"/>
      <c r="J5203" s="58"/>
      <c r="K5203" s="58"/>
      <c r="L5203" s="13" t="str">
        <f t="shared" si="810"/>
        <v/>
      </c>
      <c r="M5203" s="13" t="str">
        <f t="shared" si="811"/>
        <v/>
      </c>
      <c r="Q5203" t="str">
        <f t="shared" si="812"/>
        <v/>
      </c>
      <c r="R5203" t="str">
        <f t="shared" si="813"/>
        <v/>
      </c>
      <c r="S5203" t="str">
        <f t="shared" si="814"/>
        <v/>
      </c>
      <c r="T5203" t="str">
        <f t="shared" si="815"/>
        <v/>
      </c>
      <c r="U5203" t="str">
        <f t="shared" si="816"/>
        <v/>
      </c>
      <c r="V5203" t="str">
        <f t="shared" si="817"/>
        <v/>
      </c>
      <c r="W5203" t="str">
        <f t="shared" si="818"/>
        <v/>
      </c>
      <c r="X5203">
        <f>IF($T5203="",N($X5202),IF(MATCH($T5203,$T$6:$T$10005,0)=ROW()-5,N($X5202)+1,N($X5202)))</f>
        <v>0</v>
      </c>
      <c r="Z5203" t="str">
        <f t="shared" si="819"/>
        <v/>
      </c>
      <c r="AA5203">
        <f>IF($V5203="",N($AA5202),IF(MATCH($V5203,$V$6:$V$10005,0)=ROW()-5,N($AA5202)+1,N($AA5202)))</f>
        <v>0</v>
      </c>
    </row>
    <row r="5204" spans="1:27" ht="21" customHeight="1" x14ac:dyDescent="0.95">
      <c r="A5204" s="56"/>
      <c r="B5204" s="57"/>
      <c r="C5204" s="57"/>
      <c r="D5204" s="57"/>
      <c r="E5204" s="56"/>
      <c r="F5204" s="57"/>
      <c r="G5204" s="57"/>
      <c r="H5204" s="56"/>
      <c r="I5204" s="56"/>
      <c r="J5204" s="58"/>
      <c r="K5204" s="58"/>
      <c r="L5204" s="13" t="str">
        <f t="shared" si="810"/>
        <v/>
      </c>
      <c r="M5204" s="13" t="str">
        <f t="shared" si="811"/>
        <v/>
      </c>
      <c r="Q5204" t="str">
        <f t="shared" si="812"/>
        <v/>
      </c>
      <c r="R5204" t="str">
        <f t="shared" si="813"/>
        <v/>
      </c>
      <c r="S5204" t="str">
        <f t="shared" si="814"/>
        <v/>
      </c>
      <c r="T5204" t="str">
        <f t="shared" si="815"/>
        <v/>
      </c>
      <c r="U5204" t="str">
        <f t="shared" si="816"/>
        <v/>
      </c>
      <c r="V5204" t="str">
        <f t="shared" si="817"/>
        <v/>
      </c>
      <c r="W5204" t="str">
        <f t="shared" si="818"/>
        <v/>
      </c>
      <c r="X5204">
        <f>IF($T5204="",N($X5203),IF(MATCH($T5204,$T$6:$T$10005,0)=ROW()-5,N($X5203)+1,N($X5203)))</f>
        <v>0</v>
      </c>
      <c r="Z5204" t="str">
        <f t="shared" si="819"/>
        <v/>
      </c>
      <c r="AA5204">
        <f>IF($V5204="",N($AA5203),IF(MATCH($V5204,$V$6:$V$10005,0)=ROW()-5,N($AA5203)+1,N($AA5203)))</f>
        <v>0</v>
      </c>
    </row>
    <row r="5205" spans="1:27" ht="21" customHeight="1" x14ac:dyDescent="0.95">
      <c r="A5205" s="56"/>
      <c r="B5205" s="57"/>
      <c r="C5205" s="57"/>
      <c r="D5205" s="57"/>
      <c r="E5205" s="56"/>
      <c r="F5205" s="57"/>
      <c r="G5205" s="57"/>
      <c r="H5205" s="56"/>
      <c r="I5205" s="56"/>
      <c r="J5205" s="58"/>
      <c r="K5205" s="58"/>
      <c r="L5205" s="13" t="str">
        <f t="shared" si="810"/>
        <v/>
      </c>
      <c r="M5205" s="13" t="str">
        <f t="shared" si="811"/>
        <v/>
      </c>
      <c r="Q5205" t="str">
        <f t="shared" si="812"/>
        <v/>
      </c>
      <c r="R5205" t="str">
        <f t="shared" si="813"/>
        <v/>
      </c>
      <c r="S5205" t="str">
        <f t="shared" si="814"/>
        <v/>
      </c>
      <c r="T5205" t="str">
        <f t="shared" si="815"/>
        <v/>
      </c>
      <c r="U5205" t="str">
        <f t="shared" si="816"/>
        <v/>
      </c>
      <c r="V5205" t="str">
        <f t="shared" si="817"/>
        <v/>
      </c>
      <c r="W5205" t="str">
        <f t="shared" si="818"/>
        <v/>
      </c>
      <c r="X5205">
        <f>IF($T5205="",N($X5204),IF(MATCH($T5205,$T$6:$T$10005,0)=ROW()-5,N($X5204)+1,N($X5204)))</f>
        <v>0</v>
      </c>
      <c r="Z5205" t="str">
        <f t="shared" si="819"/>
        <v/>
      </c>
      <c r="AA5205">
        <f>IF($V5205="",N($AA5204),IF(MATCH($V5205,$V$6:$V$10005,0)=ROW()-5,N($AA5204)+1,N($AA5204)))</f>
        <v>0</v>
      </c>
    </row>
    <row r="5206" spans="1:27" ht="21" customHeight="1" x14ac:dyDescent="0.95">
      <c r="A5206" s="56"/>
      <c r="B5206" s="57"/>
      <c r="C5206" s="57"/>
      <c r="D5206" s="57"/>
      <c r="E5206" s="56"/>
      <c r="F5206" s="57"/>
      <c r="G5206" s="57"/>
      <c r="H5206" s="56"/>
      <c r="I5206" s="56"/>
      <c r="J5206" s="58"/>
      <c r="K5206" s="58"/>
      <c r="L5206" s="13" t="str">
        <f t="shared" si="810"/>
        <v/>
      </c>
      <c r="M5206" s="13" t="str">
        <f t="shared" si="811"/>
        <v/>
      </c>
      <c r="Q5206" t="str">
        <f t="shared" si="812"/>
        <v/>
      </c>
      <c r="R5206" t="str">
        <f t="shared" si="813"/>
        <v/>
      </c>
      <c r="S5206" t="str">
        <f t="shared" si="814"/>
        <v/>
      </c>
      <c r="T5206" t="str">
        <f t="shared" si="815"/>
        <v/>
      </c>
      <c r="U5206" t="str">
        <f t="shared" si="816"/>
        <v/>
      </c>
      <c r="V5206" t="str">
        <f t="shared" si="817"/>
        <v/>
      </c>
      <c r="W5206" t="str">
        <f t="shared" si="818"/>
        <v/>
      </c>
      <c r="X5206">
        <f>IF($T5206="",N($X5205),IF(MATCH($T5206,$T$6:$T$10005,0)=ROW()-5,N($X5205)+1,N($X5205)))</f>
        <v>0</v>
      </c>
      <c r="Z5206" t="str">
        <f t="shared" si="819"/>
        <v/>
      </c>
      <c r="AA5206">
        <f>IF($V5206="",N($AA5205),IF(MATCH($V5206,$V$6:$V$10005,0)=ROW()-5,N($AA5205)+1,N($AA5205)))</f>
        <v>0</v>
      </c>
    </row>
    <row r="5207" spans="1:27" ht="21" customHeight="1" x14ac:dyDescent="0.95">
      <c r="A5207" s="56"/>
      <c r="B5207" s="57"/>
      <c r="C5207" s="57"/>
      <c r="D5207" s="57"/>
      <c r="E5207" s="56"/>
      <c r="F5207" s="57"/>
      <c r="G5207" s="57"/>
      <c r="H5207" s="56"/>
      <c r="I5207" s="56"/>
      <c r="J5207" s="58"/>
      <c r="K5207" s="58"/>
      <c r="L5207" s="13" t="str">
        <f t="shared" si="810"/>
        <v/>
      </c>
      <c r="M5207" s="13" t="str">
        <f t="shared" si="811"/>
        <v/>
      </c>
      <c r="Q5207" t="str">
        <f t="shared" si="812"/>
        <v/>
      </c>
      <c r="R5207" t="str">
        <f t="shared" si="813"/>
        <v/>
      </c>
      <c r="S5207" t="str">
        <f t="shared" si="814"/>
        <v/>
      </c>
      <c r="T5207" t="str">
        <f t="shared" si="815"/>
        <v/>
      </c>
      <c r="U5207" t="str">
        <f t="shared" si="816"/>
        <v/>
      </c>
      <c r="V5207" t="str">
        <f t="shared" si="817"/>
        <v/>
      </c>
      <c r="W5207" t="str">
        <f t="shared" si="818"/>
        <v/>
      </c>
      <c r="X5207">
        <f>IF($T5207="",N($X5206),IF(MATCH($T5207,$T$6:$T$10005,0)=ROW()-5,N($X5206)+1,N($X5206)))</f>
        <v>0</v>
      </c>
      <c r="Z5207" t="str">
        <f t="shared" si="819"/>
        <v/>
      </c>
      <c r="AA5207">
        <f>IF($V5207="",N($AA5206),IF(MATCH($V5207,$V$6:$V$10005,0)=ROW()-5,N($AA5206)+1,N($AA5206)))</f>
        <v>0</v>
      </c>
    </row>
    <row r="5208" spans="1:27" ht="21" customHeight="1" x14ac:dyDescent="0.95">
      <c r="A5208" s="56"/>
      <c r="B5208" s="57"/>
      <c r="C5208" s="57"/>
      <c r="D5208" s="57"/>
      <c r="E5208" s="56"/>
      <c r="F5208" s="57"/>
      <c r="G5208" s="57"/>
      <c r="H5208" s="56"/>
      <c r="I5208" s="56"/>
      <c r="J5208" s="58"/>
      <c r="K5208" s="58"/>
      <c r="L5208" s="13" t="str">
        <f t="shared" si="810"/>
        <v/>
      </c>
      <c r="M5208" s="13" t="str">
        <f t="shared" si="811"/>
        <v/>
      </c>
      <c r="Q5208" t="str">
        <f t="shared" si="812"/>
        <v/>
      </c>
      <c r="R5208" t="str">
        <f t="shared" si="813"/>
        <v/>
      </c>
      <c r="S5208" t="str">
        <f t="shared" si="814"/>
        <v/>
      </c>
      <c r="T5208" t="str">
        <f t="shared" si="815"/>
        <v/>
      </c>
      <c r="U5208" t="str">
        <f t="shared" si="816"/>
        <v/>
      </c>
      <c r="V5208" t="str">
        <f t="shared" si="817"/>
        <v/>
      </c>
      <c r="W5208" t="str">
        <f t="shared" si="818"/>
        <v/>
      </c>
      <c r="X5208">
        <f>IF($T5208="",N($X5207),IF(MATCH($T5208,$T$6:$T$10005,0)=ROW()-5,N($X5207)+1,N($X5207)))</f>
        <v>0</v>
      </c>
      <c r="Z5208" t="str">
        <f t="shared" si="819"/>
        <v/>
      </c>
      <c r="AA5208">
        <f>IF($V5208="",N($AA5207),IF(MATCH($V5208,$V$6:$V$10005,0)=ROW()-5,N($AA5207)+1,N($AA5207)))</f>
        <v>0</v>
      </c>
    </row>
    <row r="5209" spans="1:27" ht="21" customHeight="1" x14ac:dyDescent="0.95">
      <c r="A5209" s="56"/>
      <c r="B5209" s="57"/>
      <c r="C5209" s="57"/>
      <c r="D5209" s="57"/>
      <c r="E5209" s="56"/>
      <c r="F5209" s="57"/>
      <c r="G5209" s="57"/>
      <c r="H5209" s="56"/>
      <c r="I5209" s="56"/>
      <c r="J5209" s="58"/>
      <c r="K5209" s="58"/>
      <c r="L5209" s="13" t="str">
        <f t="shared" si="810"/>
        <v/>
      </c>
      <c r="M5209" s="13" t="str">
        <f t="shared" si="811"/>
        <v/>
      </c>
      <c r="Q5209" t="str">
        <f t="shared" si="812"/>
        <v/>
      </c>
      <c r="R5209" t="str">
        <f t="shared" si="813"/>
        <v/>
      </c>
      <c r="S5209" t="str">
        <f t="shared" si="814"/>
        <v/>
      </c>
      <c r="T5209" t="str">
        <f t="shared" si="815"/>
        <v/>
      </c>
      <c r="U5209" t="str">
        <f t="shared" si="816"/>
        <v/>
      </c>
      <c r="V5209" t="str">
        <f t="shared" si="817"/>
        <v/>
      </c>
      <c r="W5209" t="str">
        <f t="shared" si="818"/>
        <v/>
      </c>
      <c r="X5209">
        <f>IF($T5209="",N($X5208),IF(MATCH($T5209,$T$6:$T$10005,0)=ROW()-5,N($X5208)+1,N($X5208)))</f>
        <v>0</v>
      </c>
      <c r="Z5209" t="str">
        <f t="shared" si="819"/>
        <v/>
      </c>
      <c r="AA5209">
        <f>IF($V5209="",N($AA5208),IF(MATCH($V5209,$V$6:$V$10005,0)=ROW()-5,N($AA5208)+1,N($AA5208)))</f>
        <v>0</v>
      </c>
    </row>
    <row r="5210" spans="1:27" ht="21" customHeight="1" x14ac:dyDescent="0.95">
      <c r="A5210" s="56"/>
      <c r="B5210" s="57"/>
      <c r="C5210" s="57"/>
      <c r="D5210" s="57"/>
      <c r="E5210" s="56"/>
      <c r="F5210" s="57"/>
      <c r="G5210" s="57"/>
      <c r="H5210" s="56"/>
      <c r="I5210" s="56"/>
      <c r="J5210" s="58"/>
      <c r="K5210" s="58"/>
      <c r="L5210" s="13" t="str">
        <f t="shared" si="810"/>
        <v/>
      </c>
      <c r="M5210" s="13" t="str">
        <f t="shared" si="811"/>
        <v/>
      </c>
      <c r="Q5210" t="str">
        <f t="shared" si="812"/>
        <v/>
      </c>
      <c r="R5210" t="str">
        <f t="shared" si="813"/>
        <v/>
      </c>
      <c r="S5210" t="str">
        <f t="shared" si="814"/>
        <v/>
      </c>
      <c r="T5210" t="str">
        <f t="shared" si="815"/>
        <v/>
      </c>
      <c r="U5210" t="str">
        <f t="shared" si="816"/>
        <v/>
      </c>
      <c r="V5210" t="str">
        <f t="shared" si="817"/>
        <v/>
      </c>
      <c r="W5210" t="str">
        <f t="shared" si="818"/>
        <v/>
      </c>
      <c r="X5210">
        <f>IF($T5210="",N($X5209),IF(MATCH($T5210,$T$6:$T$10005,0)=ROW()-5,N($X5209)+1,N($X5209)))</f>
        <v>0</v>
      </c>
      <c r="Z5210" t="str">
        <f t="shared" si="819"/>
        <v/>
      </c>
      <c r="AA5210">
        <f>IF($V5210="",N($AA5209),IF(MATCH($V5210,$V$6:$V$10005,0)=ROW()-5,N($AA5209)+1,N($AA5209)))</f>
        <v>0</v>
      </c>
    </row>
    <row r="5211" spans="1:27" ht="21" customHeight="1" x14ac:dyDescent="0.95">
      <c r="A5211" s="56"/>
      <c r="B5211" s="57"/>
      <c r="C5211" s="57"/>
      <c r="D5211" s="57"/>
      <c r="E5211" s="56"/>
      <c r="F5211" s="57"/>
      <c r="G5211" s="57"/>
      <c r="H5211" s="56"/>
      <c r="I5211" s="56"/>
      <c r="J5211" s="58"/>
      <c r="K5211" s="58"/>
      <c r="L5211" s="13" t="str">
        <f t="shared" si="810"/>
        <v/>
      </c>
      <c r="M5211" s="13" t="str">
        <f t="shared" si="811"/>
        <v/>
      </c>
      <c r="Q5211" t="str">
        <f t="shared" si="812"/>
        <v/>
      </c>
      <c r="R5211" t="str">
        <f t="shared" si="813"/>
        <v/>
      </c>
      <c r="S5211" t="str">
        <f t="shared" si="814"/>
        <v/>
      </c>
      <c r="T5211" t="str">
        <f t="shared" si="815"/>
        <v/>
      </c>
      <c r="U5211" t="str">
        <f t="shared" si="816"/>
        <v/>
      </c>
      <c r="V5211" t="str">
        <f t="shared" si="817"/>
        <v/>
      </c>
      <c r="W5211" t="str">
        <f t="shared" si="818"/>
        <v/>
      </c>
      <c r="X5211">
        <f>IF($T5211="",N($X5210),IF(MATCH($T5211,$T$6:$T$10005,0)=ROW()-5,N($X5210)+1,N($X5210)))</f>
        <v>0</v>
      </c>
      <c r="Z5211" t="str">
        <f t="shared" si="819"/>
        <v/>
      </c>
      <c r="AA5211">
        <f>IF($V5211="",N($AA5210),IF(MATCH($V5211,$V$6:$V$10005,0)=ROW()-5,N($AA5210)+1,N($AA5210)))</f>
        <v>0</v>
      </c>
    </row>
    <row r="5212" spans="1:27" ht="21" customHeight="1" x14ac:dyDescent="0.95">
      <c r="A5212" s="56"/>
      <c r="B5212" s="57"/>
      <c r="C5212" s="57"/>
      <c r="D5212" s="57"/>
      <c r="E5212" s="56"/>
      <c r="F5212" s="57"/>
      <c r="G5212" s="57"/>
      <c r="H5212" s="56"/>
      <c r="I5212" s="56"/>
      <c r="J5212" s="58"/>
      <c r="K5212" s="58"/>
      <c r="L5212" s="13" t="str">
        <f t="shared" si="810"/>
        <v/>
      </c>
      <c r="M5212" s="13" t="str">
        <f t="shared" si="811"/>
        <v/>
      </c>
      <c r="Q5212" t="str">
        <f t="shared" si="812"/>
        <v/>
      </c>
      <c r="R5212" t="str">
        <f t="shared" si="813"/>
        <v/>
      </c>
      <c r="S5212" t="str">
        <f t="shared" si="814"/>
        <v/>
      </c>
      <c r="T5212" t="str">
        <f t="shared" si="815"/>
        <v/>
      </c>
      <c r="U5212" t="str">
        <f t="shared" si="816"/>
        <v/>
      </c>
      <c r="V5212" t="str">
        <f t="shared" si="817"/>
        <v/>
      </c>
      <c r="W5212" t="str">
        <f t="shared" si="818"/>
        <v/>
      </c>
      <c r="X5212">
        <f>IF($T5212="",N($X5211),IF(MATCH($T5212,$T$6:$T$10005,0)=ROW()-5,N($X5211)+1,N($X5211)))</f>
        <v>0</v>
      </c>
      <c r="Z5212" t="str">
        <f t="shared" si="819"/>
        <v/>
      </c>
      <c r="AA5212">
        <f>IF($V5212="",N($AA5211),IF(MATCH($V5212,$V$6:$V$10005,0)=ROW()-5,N($AA5211)+1,N($AA5211)))</f>
        <v>0</v>
      </c>
    </row>
    <row r="5213" spans="1:27" ht="21" customHeight="1" x14ac:dyDescent="0.95">
      <c r="A5213" s="56"/>
      <c r="B5213" s="57"/>
      <c r="C5213" s="57"/>
      <c r="D5213" s="57"/>
      <c r="E5213" s="56"/>
      <c r="F5213" s="57"/>
      <c r="G5213" s="57"/>
      <c r="H5213" s="56"/>
      <c r="I5213" s="56"/>
      <c r="J5213" s="58"/>
      <c r="K5213" s="58"/>
      <c r="L5213" s="13" t="str">
        <f t="shared" si="810"/>
        <v/>
      </c>
      <c r="M5213" s="13" t="str">
        <f t="shared" si="811"/>
        <v/>
      </c>
      <c r="Q5213" t="str">
        <f t="shared" si="812"/>
        <v/>
      </c>
      <c r="R5213" t="str">
        <f t="shared" si="813"/>
        <v/>
      </c>
      <c r="S5213" t="str">
        <f t="shared" si="814"/>
        <v/>
      </c>
      <c r="T5213" t="str">
        <f t="shared" si="815"/>
        <v/>
      </c>
      <c r="U5213" t="str">
        <f t="shared" si="816"/>
        <v/>
      </c>
      <c r="V5213" t="str">
        <f t="shared" si="817"/>
        <v/>
      </c>
      <c r="W5213" t="str">
        <f t="shared" si="818"/>
        <v/>
      </c>
      <c r="X5213">
        <f>IF($T5213="",N($X5212),IF(MATCH($T5213,$T$6:$T$10005,0)=ROW()-5,N($X5212)+1,N($X5212)))</f>
        <v>0</v>
      </c>
      <c r="Z5213" t="str">
        <f t="shared" si="819"/>
        <v/>
      </c>
      <c r="AA5213">
        <f>IF($V5213="",N($AA5212),IF(MATCH($V5213,$V$6:$V$10005,0)=ROW()-5,N($AA5212)+1,N($AA5212)))</f>
        <v>0</v>
      </c>
    </row>
    <row r="5214" spans="1:27" ht="21" customHeight="1" x14ac:dyDescent="0.95">
      <c r="A5214" s="56"/>
      <c r="B5214" s="57"/>
      <c r="C5214" s="57"/>
      <c r="D5214" s="57"/>
      <c r="E5214" s="56"/>
      <c r="F5214" s="57"/>
      <c r="G5214" s="57"/>
      <c r="H5214" s="56"/>
      <c r="I5214" s="56"/>
      <c r="J5214" s="58"/>
      <c r="K5214" s="58"/>
      <c r="L5214" s="13" t="str">
        <f t="shared" si="810"/>
        <v/>
      </c>
      <c r="M5214" s="13" t="str">
        <f t="shared" si="811"/>
        <v/>
      </c>
      <c r="Q5214" t="str">
        <f t="shared" si="812"/>
        <v/>
      </c>
      <c r="R5214" t="str">
        <f t="shared" si="813"/>
        <v/>
      </c>
      <c r="S5214" t="str">
        <f t="shared" si="814"/>
        <v/>
      </c>
      <c r="T5214" t="str">
        <f t="shared" si="815"/>
        <v/>
      </c>
      <c r="U5214" t="str">
        <f t="shared" si="816"/>
        <v/>
      </c>
      <c r="V5214" t="str">
        <f t="shared" si="817"/>
        <v/>
      </c>
      <c r="W5214" t="str">
        <f t="shared" si="818"/>
        <v/>
      </c>
      <c r="X5214">
        <f>IF($T5214="",N($X5213),IF(MATCH($T5214,$T$6:$T$10005,0)=ROW()-5,N($X5213)+1,N($X5213)))</f>
        <v>0</v>
      </c>
      <c r="Z5214" t="str">
        <f t="shared" si="819"/>
        <v/>
      </c>
      <c r="AA5214">
        <f>IF($V5214="",N($AA5213),IF(MATCH($V5214,$V$6:$V$10005,0)=ROW()-5,N($AA5213)+1,N($AA5213)))</f>
        <v>0</v>
      </c>
    </row>
    <row r="5215" spans="1:27" ht="21" customHeight="1" x14ac:dyDescent="0.95">
      <c r="A5215" s="56"/>
      <c r="B5215" s="57"/>
      <c r="C5215" s="57"/>
      <c r="D5215" s="57"/>
      <c r="E5215" s="56"/>
      <c r="F5215" s="57"/>
      <c r="G5215" s="57"/>
      <c r="H5215" s="56"/>
      <c r="I5215" s="56"/>
      <c r="J5215" s="58"/>
      <c r="K5215" s="58"/>
      <c r="L5215" s="13" t="str">
        <f t="shared" si="810"/>
        <v/>
      </c>
      <c r="M5215" s="13" t="str">
        <f t="shared" si="811"/>
        <v/>
      </c>
      <c r="Q5215" t="str">
        <f t="shared" si="812"/>
        <v/>
      </c>
      <c r="R5215" t="str">
        <f t="shared" si="813"/>
        <v/>
      </c>
      <c r="S5215" t="str">
        <f t="shared" si="814"/>
        <v/>
      </c>
      <c r="T5215" t="str">
        <f t="shared" si="815"/>
        <v/>
      </c>
      <c r="U5215" t="str">
        <f t="shared" si="816"/>
        <v/>
      </c>
      <c r="V5215" t="str">
        <f t="shared" si="817"/>
        <v/>
      </c>
      <c r="W5215" t="str">
        <f t="shared" si="818"/>
        <v/>
      </c>
      <c r="X5215">
        <f>IF($T5215="",N($X5214),IF(MATCH($T5215,$T$6:$T$10005,0)=ROW()-5,N($X5214)+1,N($X5214)))</f>
        <v>0</v>
      </c>
      <c r="Z5215" t="str">
        <f t="shared" si="819"/>
        <v/>
      </c>
      <c r="AA5215">
        <f>IF($V5215="",N($AA5214),IF(MATCH($V5215,$V$6:$V$10005,0)=ROW()-5,N($AA5214)+1,N($AA5214)))</f>
        <v>0</v>
      </c>
    </row>
    <row r="5216" spans="1:27" ht="21" customHeight="1" x14ac:dyDescent="0.95">
      <c r="A5216" s="56"/>
      <c r="B5216" s="57"/>
      <c r="C5216" s="57"/>
      <c r="D5216" s="57"/>
      <c r="E5216" s="56"/>
      <c r="F5216" s="57"/>
      <c r="G5216" s="57"/>
      <c r="H5216" s="56"/>
      <c r="I5216" s="56"/>
      <c r="J5216" s="58"/>
      <c r="K5216" s="58"/>
      <c r="L5216" s="13" t="str">
        <f t="shared" si="810"/>
        <v/>
      </c>
      <c r="M5216" s="13" t="str">
        <f t="shared" si="811"/>
        <v/>
      </c>
      <c r="Q5216" t="str">
        <f t="shared" si="812"/>
        <v/>
      </c>
      <c r="R5216" t="str">
        <f t="shared" si="813"/>
        <v/>
      </c>
      <c r="S5216" t="str">
        <f t="shared" si="814"/>
        <v/>
      </c>
      <c r="T5216" t="str">
        <f t="shared" si="815"/>
        <v/>
      </c>
      <c r="U5216" t="str">
        <f t="shared" si="816"/>
        <v/>
      </c>
      <c r="V5216" t="str">
        <f t="shared" si="817"/>
        <v/>
      </c>
      <c r="W5216" t="str">
        <f t="shared" si="818"/>
        <v/>
      </c>
      <c r="X5216">
        <f>IF($T5216="",N($X5215),IF(MATCH($T5216,$T$6:$T$10005,0)=ROW()-5,N($X5215)+1,N($X5215)))</f>
        <v>0</v>
      </c>
      <c r="Z5216" t="str">
        <f t="shared" si="819"/>
        <v/>
      </c>
      <c r="AA5216">
        <f>IF($V5216="",N($AA5215),IF(MATCH($V5216,$V$6:$V$10005,0)=ROW()-5,N($AA5215)+1,N($AA5215)))</f>
        <v>0</v>
      </c>
    </row>
    <row r="5217" spans="1:27" ht="21" customHeight="1" x14ac:dyDescent="0.95">
      <c r="A5217" s="56"/>
      <c r="B5217" s="57"/>
      <c r="C5217" s="57"/>
      <c r="D5217" s="57"/>
      <c r="E5217" s="56"/>
      <c r="F5217" s="57"/>
      <c r="G5217" s="57"/>
      <c r="H5217" s="56"/>
      <c r="I5217" s="56"/>
      <c r="J5217" s="58"/>
      <c r="K5217" s="58"/>
      <c r="L5217" s="13" t="str">
        <f t="shared" si="810"/>
        <v/>
      </c>
      <c r="M5217" s="13" t="str">
        <f t="shared" si="811"/>
        <v/>
      </c>
      <c r="Q5217" t="str">
        <f t="shared" si="812"/>
        <v/>
      </c>
      <c r="R5217" t="str">
        <f t="shared" si="813"/>
        <v/>
      </c>
      <c r="S5217" t="str">
        <f t="shared" si="814"/>
        <v/>
      </c>
      <c r="T5217" t="str">
        <f t="shared" si="815"/>
        <v/>
      </c>
      <c r="U5217" t="str">
        <f t="shared" si="816"/>
        <v/>
      </c>
      <c r="V5217" t="str">
        <f t="shared" si="817"/>
        <v/>
      </c>
      <c r="W5217" t="str">
        <f t="shared" si="818"/>
        <v/>
      </c>
      <c r="X5217">
        <f>IF($T5217="",N($X5216),IF(MATCH($T5217,$T$6:$T$10005,0)=ROW()-5,N($X5216)+1,N($X5216)))</f>
        <v>0</v>
      </c>
      <c r="Z5217" t="str">
        <f t="shared" si="819"/>
        <v/>
      </c>
      <c r="AA5217">
        <f>IF($V5217="",N($AA5216),IF(MATCH($V5217,$V$6:$V$10005,0)=ROW()-5,N($AA5216)+1,N($AA5216)))</f>
        <v>0</v>
      </c>
    </row>
    <row r="5218" spans="1:27" ht="21" customHeight="1" x14ac:dyDescent="0.95">
      <c r="A5218" s="56"/>
      <c r="B5218" s="57"/>
      <c r="C5218" s="57"/>
      <c r="D5218" s="57"/>
      <c r="E5218" s="56"/>
      <c r="F5218" s="57"/>
      <c r="G5218" s="57"/>
      <c r="H5218" s="56"/>
      <c r="I5218" s="56"/>
      <c r="J5218" s="58"/>
      <c r="K5218" s="58"/>
      <c r="L5218" s="13" t="str">
        <f t="shared" si="810"/>
        <v/>
      </c>
      <c r="M5218" s="13" t="str">
        <f t="shared" si="811"/>
        <v/>
      </c>
      <c r="Q5218" t="str">
        <f t="shared" si="812"/>
        <v/>
      </c>
      <c r="R5218" t="str">
        <f t="shared" si="813"/>
        <v/>
      </c>
      <c r="S5218" t="str">
        <f t="shared" si="814"/>
        <v/>
      </c>
      <c r="T5218" t="str">
        <f t="shared" si="815"/>
        <v/>
      </c>
      <c r="U5218" t="str">
        <f t="shared" si="816"/>
        <v/>
      </c>
      <c r="V5218" t="str">
        <f t="shared" si="817"/>
        <v/>
      </c>
      <c r="W5218" t="str">
        <f t="shared" si="818"/>
        <v/>
      </c>
      <c r="X5218">
        <f>IF($T5218="",N($X5217),IF(MATCH($T5218,$T$6:$T$10005,0)=ROW()-5,N($X5217)+1,N($X5217)))</f>
        <v>0</v>
      </c>
      <c r="Z5218" t="str">
        <f t="shared" si="819"/>
        <v/>
      </c>
      <c r="AA5218">
        <f>IF($V5218="",N($AA5217),IF(MATCH($V5218,$V$6:$V$10005,0)=ROW()-5,N($AA5217)+1,N($AA5217)))</f>
        <v>0</v>
      </c>
    </row>
    <row r="5219" spans="1:27" ht="21" customHeight="1" x14ac:dyDescent="0.95">
      <c r="A5219" s="56"/>
      <c r="B5219" s="57"/>
      <c r="C5219" s="57"/>
      <c r="D5219" s="57"/>
      <c r="E5219" s="56"/>
      <c r="F5219" s="57"/>
      <c r="G5219" s="57"/>
      <c r="H5219" s="56"/>
      <c r="I5219" s="56"/>
      <c r="J5219" s="58"/>
      <c r="K5219" s="58"/>
      <c r="L5219" s="13" t="str">
        <f t="shared" si="810"/>
        <v/>
      </c>
      <c r="M5219" s="13" t="str">
        <f t="shared" si="811"/>
        <v/>
      </c>
      <c r="Q5219" t="str">
        <f t="shared" si="812"/>
        <v/>
      </c>
      <c r="R5219" t="str">
        <f t="shared" si="813"/>
        <v/>
      </c>
      <c r="S5219" t="str">
        <f t="shared" si="814"/>
        <v/>
      </c>
      <c r="T5219" t="str">
        <f t="shared" si="815"/>
        <v/>
      </c>
      <c r="U5219" t="str">
        <f t="shared" si="816"/>
        <v/>
      </c>
      <c r="V5219" t="str">
        <f t="shared" si="817"/>
        <v/>
      </c>
      <c r="W5219" t="str">
        <f t="shared" si="818"/>
        <v/>
      </c>
      <c r="X5219">
        <f>IF($T5219="",N($X5218),IF(MATCH($T5219,$T$6:$T$10005,0)=ROW()-5,N($X5218)+1,N($X5218)))</f>
        <v>0</v>
      </c>
      <c r="Z5219" t="str">
        <f t="shared" si="819"/>
        <v/>
      </c>
      <c r="AA5219">
        <f>IF($V5219="",N($AA5218),IF(MATCH($V5219,$V$6:$V$10005,0)=ROW()-5,N($AA5218)+1,N($AA5218)))</f>
        <v>0</v>
      </c>
    </row>
    <row r="5220" spans="1:27" ht="21" customHeight="1" x14ac:dyDescent="0.95">
      <c r="A5220" s="56"/>
      <c r="B5220" s="57"/>
      <c r="C5220" s="57"/>
      <c r="D5220" s="57"/>
      <c r="E5220" s="56"/>
      <c r="F5220" s="57"/>
      <c r="G5220" s="57"/>
      <c r="H5220" s="56"/>
      <c r="I5220" s="56"/>
      <c r="J5220" s="58"/>
      <c r="K5220" s="58"/>
      <c r="L5220" s="13" t="str">
        <f t="shared" si="810"/>
        <v/>
      </c>
      <c r="M5220" s="13" t="str">
        <f t="shared" si="811"/>
        <v/>
      </c>
      <c r="Q5220" t="str">
        <f t="shared" si="812"/>
        <v/>
      </c>
      <c r="R5220" t="str">
        <f t="shared" si="813"/>
        <v/>
      </c>
      <c r="S5220" t="str">
        <f t="shared" si="814"/>
        <v/>
      </c>
      <c r="T5220" t="str">
        <f t="shared" si="815"/>
        <v/>
      </c>
      <c r="U5220" t="str">
        <f t="shared" si="816"/>
        <v/>
      </c>
      <c r="V5220" t="str">
        <f t="shared" si="817"/>
        <v/>
      </c>
      <c r="W5220" t="str">
        <f t="shared" si="818"/>
        <v/>
      </c>
      <c r="X5220">
        <f>IF($T5220="",N($X5219),IF(MATCH($T5220,$T$6:$T$10005,0)=ROW()-5,N($X5219)+1,N($X5219)))</f>
        <v>0</v>
      </c>
      <c r="Z5220" t="str">
        <f t="shared" si="819"/>
        <v/>
      </c>
      <c r="AA5220">
        <f>IF($V5220="",N($AA5219),IF(MATCH($V5220,$V$6:$V$10005,0)=ROW()-5,N($AA5219)+1,N($AA5219)))</f>
        <v>0</v>
      </c>
    </row>
    <row r="5221" spans="1:27" ht="21" customHeight="1" x14ac:dyDescent="0.95">
      <c r="A5221" s="56"/>
      <c r="B5221" s="57"/>
      <c r="C5221" s="57"/>
      <c r="D5221" s="57"/>
      <c r="E5221" s="56"/>
      <c r="F5221" s="57"/>
      <c r="G5221" s="57"/>
      <c r="H5221" s="56"/>
      <c r="I5221" s="56"/>
      <c r="J5221" s="58"/>
      <c r="K5221" s="58"/>
      <c r="L5221" s="13" t="str">
        <f t="shared" si="810"/>
        <v/>
      </c>
      <c r="M5221" s="13" t="str">
        <f t="shared" si="811"/>
        <v/>
      </c>
      <c r="Q5221" t="str">
        <f t="shared" si="812"/>
        <v/>
      </c>
      <c r="R5221" t="str">
        <f t="shared" si="813"/>
        <v/>
      </c>
      <c r="S5221" t="str">
        <f t="shared" si="814"/>
        <v/>
      </c>
      <c r="T5221" t="str">
        <f t="shared" si="815"/>
        <v/>
      </c>
      <c r="U5221" t="str">
        <f t="shared" si="816"/>
        <v/>
      </c>
      <c r="V5221" t="str">
        <f t="shared" si="817"/>
        <v/>
      </c>
      <c r="W5221" t="str">
        <f t="shared" si="818"/>
        <v/>
      </c>
      <c r="X5221">
        <f>IF($T5221="",N($X5220),IF(MATCH($T5221,$T$6:$T$10005,0)=ROW()-5,N($X5220)+1,N($X5220)))</f>
        <v>0</v>
      </c>
      <c r="Z5221" t="str">
        <f t="shared" si="819"/>
        <v/>
      </c>
      <c r="AA5221">
        <f>IF($V5221="",N($AA5220),IF(MATCH($V5221,$V$6:$V$10005,0)=ROW()-5,N($AA5220)+1,N($AA5220)))</f>
        <v>0</v>
      </c>
    </row>
    <row r="5222" spans="1:27" ht="21" customHeight="1" x14ac:dyDescent="0.95">
      <c r="A5222" s="56"/>
      <c r="B5222" s="57"/>
      <c r="C5222" s="57"/>
      <c r="D5222" s="57"/>
      <c r="E5222" s="56"/>
      <c r="F5222" s="57"/>
      <c r="G5222" s="57"/>
      <c r="H5222" s="56"/>
      <c r="I5222" s="56"/>
      <c r="J5222" s="58"/>
      <c r="K5222" s="58"/>
      <c r="L5222" s="13" t="str">
        <f t="shared" si="810"/>
        <v/>
      </c>
      <c r="M5222" s="13" t="str">
        <f t="shared" si="811"/>
        <v/>
      </c>
      <c r="Q5222" t="str">
        <f t="shared" si="812"/>
        <v/>
      </c>
      <c r="R5222" t="str">
        <f t="shared" si="813"/>
        <v/>
      </c>
      <c r="S5222" t="str">
        <f t="shared" si="814"/>
        <v/>
      </c>
      <c r="T5222" t="str">
        <f t="shared" si="815"/>
        <v/>
      </c>
      <c r="U5222" t="str">
        <f t="shared" si="816"/>
        <v/>
      </c>
      <c r="V5222" t="str">
        <f t="shared" si="817"/>
        <v/>
      </c>
      <c r="W5222" t="str">
        <f t="shared" si="818"/>
        <v/>
      </c>
      <c r="X5222">
        <f>IF($T5222="",N($X5221),IF(MATCH($T5222,$T$6:$T$10005,0)=ROW()-5,N($X5221)+1,N($X5221)))</f>
        <v>0</v>
      </c>
      <c r="Z5222" t="str">
        <f t="shared" si="819"/>
        <v/>
      </c>
      <c r="AA5222">
        <f>IF($V5222="",N($AA5221),IF(MATCH($V5222,$V$6:$V$10005,0)=ROW()-5,N($AA5221)+1,N($AA5221)))</f>
        <v>0</v>
      </c>
    </row>
    <row r="5223" spans="1:27" ht="21" customHeight="1" x14ac:dyDescent="0.95">
      <c r="A5223" s="56"/>
      <c r="B5223" s="57"/>
      <c r="C5223" s="57"/>
      <c r="D5223" s="57"/>
      <c r="E5223" s="56"/>
      <c r="F5223" s="57"/>
      <c r="G5223" s="57"/>
      <c r="H5223" s="56"/>
      <c r="I5223" s="56"/>
      <c r="J5223" s="58"/>
      <c r="K5223" s="58"/>
      <c r="L5223" s="13" t="str">
        <f t="shared" si="810"/>
        <v/>
      </c>
      <c r="M5223" s="13" t="str">
        <f t="shared" si="811"/>
        <v/>
      </c>
      <c r="Q5223" t="str">
        <f t="shared" si="812"/>
        <v/>
      </c>
      <c r="R5223" t="str">
        <f t="shared" si="813"/>
        <v/>
      </c>
      <c r="S5223" t="str">
        <f t="shared" si="814"/>
        <v/>
      </c>
      <c r="T5223" t="str">
        <f t="shared" si="815"/>
        <v/>
      </c>
      <c r="U5223" t="str">
        <f t="shared" si="816"/>
        <v/>
      </c>
      <c r="V5223" t="str">
        <f t="shared" si="817"/>
        <v/>
      </c>
      <c r="W5223" t="str">
        <f t="shared" si="818"/>
        <v/>
      </c>
      <c r="X5223">
        <f>IF($T5223="",N($X5222),IF(MATCH($T5223,$T$6:$T$10005,0)=ROW()-5,N($X5222)+1,N($X5222)))</f>
        <v>0</v>
      </c>
      <c r="Z5223" t="str">
        <f t="shared" si="819"/>
        <v/>
      </c>
      <c r="AA5223">
        <f>IF($V5223="",N($AA5222),IF(MATCH($V5223,$V$6:$V$10005,0)=ROW()-5,N($AA5222)+1,N($AA5222)))</f>
        <v>0</v>
      </c>
    </row>
    <row r="5224" spans="1:27" ht="21" customHeight="1" x14ac:dyDescent="0.95">
      <c r="A5224" s="56"/>
      <c r="B5224" s="57"/>
      <c r="C5224" s="57"/>
      <c r="D5224" s="57"/>
      <c r="E5224" s="56"/>
      <c r="F5224" s="57"/>
      <c r="G5224" s="57"/>
      <c r="H5224" s="56"/>
      <c r="I5224" s="56"/>
      <c r="J5224" s="58"/>
      <c r="K5224" s="58"/>
      <c r="L5224" s="13" t="str">
        <f t="shared" si="810"/>
        <v/>
      </c>
      <c r="M5224" s="13" t="str">
        <f t="shared" si="811"/>
        <v/>
      </c>
      <c r="Q5224" t="str">
        <f t="shared" si="812"/>
        <v/>
      </c>
      <c r="R5224" t="str">
        <f t="shared" si="813"/>
        <v/>
      </c>
      <c r="S5224" t="str">
        <f t="shared" si="814"/>
        <v/>
      </c>
      <c r="T5224" t="str">
        <f t="shared" si="815"/>
        <v/>
      </c>
      <c r="U5224" t="str">
        <f t="shared" si="816"/>
        <v/>
      </c>
      <c r="V5224" t="str">
        <f t="shared" si="817"/>
        <v/>
      </c>
      <c r="W5224" t="str">
        <f t="shared" si="818"/>
        <v/>
      </c>
      <c r="X5224">
        <f>IF($T5224="",N($X5223),IF(MATCH($T5224,$T$6:$T$10005,0)=ROW()-5,N($X5223)+1,N($X5223)))</f>
        <v>0</v>
      </c>
      <c r="Z5224" t="str">
        <f t="shared" si="819"/>
        <v/>
      </c>
      <c r="AA5224">
        <f>IF($V5224="",N($AA5223),IF(MATCH($V5224,$V$6:$V$10005,0)=ROW()-5,N($AA5223)+1,N($AA5223)))</f>
        <v>0</v>
      </c>
    </row>
    <row r="5225" spans="1:27" ht="21" customHeight="1" x14ac:dyDescent="0.95">
      <c r="A5225" s="56"/>
      <c r="B5225" s="57"/>
      <c r="C5225" s="57"/>
      <c r="D5225" s="57"/>
      <c r="E5225" s="56"/>
      <c r="F5225" s="57"/>
      <c r="G5225" s="57"/>
      <c r="H5225" s="56"/>
      <c r="I5225" s="56"/>
      <c r="J5225" s="58"/>
      <c r="K5225" s="58"/>
      <c r="L5225" s="13" t="str">
        <f t="shared" si="810"/>
        <v/>
      </c>
      <c r="M5225" s="13" t="str">
        <f t="shared" si="811"/>
        <v/>
      </c>
      <c r="Q5225" t="str">
        <f t="shared" si="812"/>
        <v/>
      </c>
      <c r="R5225" t="str">
        <f t="shared" si="813"/>
        <v/>
      </c>
      <c r="S5225" t="str">
        <f t="shared" si="814"/>
        <v/>
      </c>
      <c r="T5225" t="str">
        <f t="shared" si="815"/>
        <v/>
      </c>
      <c r="U5225" t="str">
        <f t="shared" si="816"/>
        <v/>
      </c>
      <c r="V5225" t="str">
        <f t="shared" si="817"/>
        <v/>
      </c>
      <c r="W5225" t="str">
        <f t="shared" si="818"/>
        <v/>
      </c>
      <c r="X5225">
        <f>IF($T5225="",N($X5224),IF(MATCH($T5225,$T$6:$T$10005,0)=ROW()-5,N($X5224)+1,N($X5224)))</f>
        <v>0</v>
      </c>
      <c r="Z5225" t="str">
        <f t="shared" si="819"/>
        <v/>
      </c>
      <c r="AA5225">
        <f>IF($V5225="",N($AA5224),IF(MATCH($V5225,$V$6:$V$10005,0)=ROW()-5,N($AA5224)+1,N($AA5224)))</f>
        <v>0</v>
      </c>
    </row>
    <row r="5226" spans="1:27" ht="21" customHeight="1" x14ac:dyDescent="0.95">
      <c r="A5226" s="56"/>
      <c r="B5226" s="57"/>
      <c r="C5226" s="57"/>
      <c r="D5226" s="57"/>
      <c r="E5226" s="56"/>
      <c r="F5226" s="57"/>
      <c r="G5226" s="57"/>
      <c r="H5226" s="56"/>
      <c r="I5226" s="56"/>
      <c r="J5226" s="58"/>
      <c r="K5226" s="58"/>
      <c r="L5226" s="13" t="str">
        <f t="shared" si="810"/>
        <v/>
      </c>
      <c r="M5226" s="13" t="str">
        <f t="shared" si="811"/>
        <v/>
      </c>
      <c r="Q5226" t="str">
        <f t="shared" si="812"/>
        <v/>
      </c>
      <c r="R5226" t="str">
        <f t="shared" si="813"/>
        <v/>
      </c>
      <c r="S5226" t="str">
        <f t="shared" si="814"/>
        <v/>
      </c>
      <c r="T5226" t="str">
        <f t="shared" si="815"/>
        <v/>
      </c>
      <c r="U5226" t="str">
        <f t="shared" si="816"/>
        <v/>
      </c>
      <c r="V5226" t="str">
        <f t="shared" si="817"/>
        <v/>
      </c>
      <c r="W5226" t="str">
        <f t="shared" si="818"/>
        <v/>
      </c>
      <c r="X5226">
        <f>IF($T5226="",N($X5225),IF(MATCH($T5226,$T$6:$T$10005,0)=ROW()-5,N($X5225)+1,N($X5225)))</f>
        <v>0</v>
      </c>
      <c r="Z5226" t="str">
        <f t="shared" si="819"/>
        <v/>
      </c>
      <c r="AA5226">
        <f>IF($V5226="",N($AA5225),IF(MATCH($V5226,$V$6:$V$10005,0)=ROW()-5,N($AA5225)+1,N($AA5225)))</f>
        <v>0</v>
      </c>
    </row>
    <row r="5227" spans="1:27" ht="21" customHeight="1" x14ac:dyDescent="0.95">
      <c r="A5227" s="56"/>
      <c r="B5227" s="57"/>
      <c r="C5227" s="57"/>
      <c r="D5227" s="57"/>
      <c r="E5227" s="56"/>
      <c r="F5227" s="57"/>
      <c r="G5227" s="57"/>
      <c r="H5227" s="56"/>
      <c r="I5227" s="56"/>
      <c r="J5227" s="58"/>
      <c r="K5227" s="58"/>
      <c r="L5227" s="13" t="str">
        <f t="shared" si="810"/>
        <v/>
      </c>
      <c r="M5227" s="13" t="str">
        <f t="shared" si="811"/>
        <v/>
      </c>
      <c r="Q5227" t="str">
        <f t="shared" si="812"/>
        <v/>
      </c>
      <c r="R5227" t="str">
        <f t="shared" si="813"/>
        <v/>
      </c>
      <c r="S5227" t="str">
        <f t="shared" si="814"/>
        <v/>
      </c>
      <c r="T5227" t="str">
        <f t="shared" si="815"/>
        <v/>
      </c>
      <c r="U5227" t="str">
        <f t="shared" si="816"/>
        <v/>
      </c>
      <c r="V5227" t="str">
        <f t="shared" si="817"/>
        <v/>
      </c>
      <c r="W5227" t="str">
        <f t="shared" si="818"/>
        <v/>
      </c>
      <c r="X5227">
        <f>IF($T5227="",N($X5226),IF(MATCH($T5227,$T$6:$T$10005,0)=ROW()-5,N($X5226)+1,N($X5226)))</f>
        <v>0</v>
      </c>
      <c r="Z5227" t="str">
        <f t="shared" si="819"/>
        <v/>
      </c>
      <c r="AA5227">
        <f>IF($V5227="",N($AA5226),IF(MATCH($V5227,$V$6:$V$10005,0)=ROW()-5,N($AA5226)+1,N($AA5226)))</f>
        <v>0</v>
      </c>
    </row>
    <row r="5228" spans="1:27" ht="21" customHeight="1" x14ac:dyDescent="0.95">
      <c r="A5228" s="56"/>
      <c r="B5228" s="57"/>
      <c r="C5228" s="57"/>
      <c r="D5228" s="57"/>
      <c r="E5228" s="56"/>
      <c r="F5228" s="57"/>
      <c r="G5228" s="57"/>
      <c r="H5228" s="56"/>
      <c r="I5228" s="56"/>
      <c r="J5228" s="58"/>
      <c r="K5228" s="58"/>
      <c r="L5228" s="13" t="str">
        <f t="shared" si="810"/>
        <v/>
      </c>
      <c r="M5228" s="13" t="str">
        <f t="shared" si="811"/>
        <v/>
      </c>
      <c r="Q5228" t="str">
        <f t="shared" si="812"/>
        <v/>
      </c>
      <c r="R5228" t="str">
        <f t="shared" si="813"/>
        <v/>
      </c>
      <c r="S5228" t="str">
        <f t="shared" si="814"/>
        <v/>
      </c>
      <c r="T5228" t="str">
        <f t="shared" si="815"/>
        <v/>
      </c>
      <c r="U5228" t="str">
        <f t="shared" si="816"/>
        <v/>
      </c>
      <c r="V5228" t="str">
        <f t="shared" si="817"/>
        <v/>
      </c>
      <c r="W5228" t="str">
        <f t="shared" si="818"/>
        <v/>
      </c>
      <c r="X5228">
        <f>IF($T5228="",N($X5227),IF(MATCH($T5228,$T$6:$T$10005,0)=ROW()-5,N($X5227)+1,N($X5227)))</f>
        <v>0</v>
      </c>
      <c r="Z5228" t="str">
        <f t="shared" si="819"/>
        <v/>
      </c>
      <c r="AA5228">
        <f>IF($V5228="",N($AA5227),IF(MATCH($V5228,$V$6:$V$10005,0)=ROW()-5,N($AA5227)+1,N($AA5227)))</f>
        <v>0</v>
      </c>
    </row>
    <row r="5229" spans="1:27" ht="21" customHeight="1" x14ac:dyDescent="0.95">
      <c r="A5229" s="56"/>
      <c r="B5229" s="57"/>
      <c r="C5229" s="57"/>
      <c r="D5229" s="57"/>
      <c r="E5229" s="56"/>
      <c r="F5229" s="57"/>
      <c r="G5229" s="57"/>
      <c r="H5229" s="56"/>
      <c r="I5229" s="56"/>
      <c r="J5229" s="58"/>
      <c r="K5229" s="58"/>
      <c r="L5229" s="13" t="str">
        <f t="shared" si="810"/>
        <v/>
      </c>
      <c r="M5229" s="13" t="str">
        <f t="shared" si="811"/>
        <v/>
      </c>
      <c r="Q5229" t="str">
        <f t="shared" si="812"/>
        <v/>
      </c>
      <c r="R5229" t="str">
        <f t="shared" si="813"/>
        <v/>
      </c>
      <c r="S5229" t="str">
        <f t="shared" si="814"/>
        <v/>
      </c>
      <c r="T5229" t="str">
        <f t="shared" si="815"/>
        <v/>
      </c>
      <c r="U5229" t="str">
        <f t="shared" si="816"/>
        <v/>
      </c>
      <c r="V5229" t="str">
        <f t="shared" si="817"/>
        <v/>
      </c>
      <c r="W5229" t="str">
        <f t="shared" si="818"/>
        <v/>
      </c>
      <c r="X5229">
        <f>IF($T5229="",N($X5228),IF(MATCH($T5229,$T$6:$T$10005,0)=ROW()-5,N($X5228)+1,N($X5228)))</f>
        <v>0</v>
      </c>
      <c r="Z5229" t="str">
        <f t="shared" si="819"/>
        <v/>
      </c>
      <c r="AA5229">
        <f>IF($V5229="",N($AA5228),IF(MATCH($V5229,$V$6:$V$10005,0)=ROW()-5,N($AA5228)+1,N($AA5228)))</f>
        <v>0</v>
      </c>
    </row>
    <row r="5230" spans="1:27" ht="21" customHeight="1" x14ac:dyDescent="0.95">
      <c r="A5230" s="56"/>
      <c r="B5230" s="57"/>
      <c r="C5230" s="57"/>
      <c r="D5230" s="57"/>
      <c r="E5230" s="56"/>
      <c r="F5230" s="57"/>
      <c r="G5230" s="57"/>
      <c r="H5230" s="56"/>
      <c r="I5230" s="56"/>
      <c r="J5230" s="58"/>
      <c r="K5230" s="58"/>
      <c r="L5230" s="13" t="str">
        <f t="shared" si="810"/>
        <v/>
      </c>
      <c r="M5230" s="13" t="str">
        <f t="shared" si="811"/>
        <v/>
      </c>
      <c r="Q5230" t="str">
        <f t="shared" si="812"/>
        <v/>
      </c>
      <c r="R5230" t="str">
        <f t="shared" si="813"/>
        <v/>
      </c>
      <c r="S5230" t="str">
        <f t="shared" si="814"/>
        <v/>
      </c>
      <c r="T5230" t="str">
        <f t="shared" si="815"/>
        <v/>
      </c>
      <c r="U5230" t="str">
        <f t="shared" si="816"/>
        <v/>
      </c>
      <c r="V5230" t="str">
        <f t="shared" si="817"/>
        <v/>
      </c>
      <c r="W5230" t="str">
        <f t="shared" si="818"/>
        <v/>
      </c>
      <c r="X5230">
        <f>IF($T5230="",N($X5229),IF(MATCH($T5230,$T$6:$T$10005,0)=ROW()-5,N($X5229)+1,N($X5229)))</f>
        <v>0</v>
      </c>
      <c r="Z5230" t="str">
        <f t="shared" si="819"/>
        <v/>
      </c>
      <c r="AA5230">
        <f>IF($V5230="",N($AA5229),IF(MATCH($V5230,$V$6:$V$10005,0)=ROW()-5,N($AA5229)+1,N($AA5229)))</f>
        <v>0</v>
      </c>
    </row>
    <row r="5231" spans="1:27" ht="21" customHeight="1" x14ac:dyDescent="0.95">
      <c r="A5231" s="56"/>
      <c r="B5231" s="57"/>
      <c r="C5231" s="57"/>
      <c r="D5231" s="57"/>
      <c r="E5231" s="56"/>
      <c r="F5231" s="57"/>
      <c r="G5231" s="57"/>
      <c r="H5231" s="56"/>
      <c r="I5231" s="56"/>
      <c r="J5231" s="58"/>
      <c r="K5231" s="58"/>
      <c r="L5231" s="13" t="str">
        <f t="shared" si="810"/>
        <v/>
      </c>
      <c r="M5231" s="13" t="str">
        <f t="shared" si="811"/>
        <v/>
      </c>
      <c r="Q5231" t="str">
        <f t="shared" si="812"/>
        <v/>
      </c>
      <c r="R5231" t="str">
        <f t="shared" si="813"/>
        <v/>
      </c>
      <c r="S5231" t="str">
        <f t="shared" si="814"/>
        <v/>
      </c>
      <c r="T5231" t="str">
        <f t="shared" si="815"/>
        <v/>
      </c>
      <c r="U5231" t="str">
        <f t="shared" si="816"/>
        <v/>
      </c>
      <c r="V5231" t="str">
        <f t="shared" si="817"/>
        <v/>
      </c>
      <c r="W5231" t="str">
        <f t="shared" si="818"/>
        <v/>
      </c>
      <c r="X5231">
        <f>IF($T5231="",N($X5230),IF(MATCH($T5231,$T$6:$T$10005,0)=ROW()-5,N($X5230)+1,N($X5230)))</f>
        <v>0</v>
      </c>
      <c r="Z5231" t="str">
        <f t="shared" si="819"/>
        <v/>
      </c>
      <c r="AA5231">
        <f>IF($V5231="",N($AA5230),IF(MATCH($V5231,$V$6:$V$10005,0)=ROW()-5,N($AA5230)+1,N($AA5230)))</f>
        <v>0</v>
      </c>
    </row>
    <row r="5232" spans="1:27" ht="21" customHeight="1" x14ac:dyDescent="0.95">
      <c r="A5232" s="56"/>
      <c r="B5232" s="57"/>
      <c r="C5232" s="57"/>
      <c r="D5232" s="57"/>
      <c r="E5232" s="56"/>
      <c r="F5232" s="57"/>
      <c r="G5232" s="57"/>
      <c r="H5232" s="56"/>
      <c r="I5232" s="56"/>
      <c r="J5232" s="58"/>
      <c r="K5232" s="58"/>
      <c r="L5232" s="13" t="str">
        <f t="shared" si="810"/>
        <v/>
      </c>
      <c r="M5232" s="13" t="str">
        <f t="shared" si="811"/>
        <v/>
      </c>
      <c r="Q5232" t="str">
        <f t="shared" si="812"/>
        <v/>
      </c>
      <c r="R5232" t="str">
        <f t="shared" si="813"/>
        <v/>
      </c>
      <c r="S5232" t="str">
        <f t="shared" si="814"/>
        <v/>
      </c>
      <c r="T5232" t="str">
        <f t="shared" si="815"/>
        <v/>
      </c>
      <c r="U5232" t="str">
        <f t="shared" si="816"/>
        <v/>
      </c>
      <c r="V5232" t="str">
        <f t="shared" si="817"/>
        <v/>
      </c>
      <c r="W5232" t="str">
        <f t="shared" si="818"/>
        <v/>
      </c>
      <c r="X5232">
        <f>IF($T5232="",N($X5231),IF(MATCH($T5232,$T$6:$T$10005,0)=ROW()-5,N($X5231)+1,N($X5231)))</f>
        <v>0</v>
      </c>
      <c r="Z5232" t="str">
        <f t="shared" si="819"/>
        <v/>
      </c>
      <c r="AA5232">
        <f>IF($V5232="",N($AA5231),IF(MATCH($V5232,$V$6:$V$10005,0)=ROW()-5,N($AA5231)+1,N($AA5231)))</f>
        <v>0</v>
      </c>
    </row>
    <row r="5233" spans="1:27" ht="21" customHeight="1" x14ac:dyDescent="0.95">
      <c r="A5233" s="56"/>
      <c r="B5233" s="57"/>
      <c r="C5233" s="57"/>
      <c r="D5233" s="57"/>
      <c r="E5233" s="56"/>
      <c r="F5233" s="57"/>
      <c r="G5233" s="57"/>
      <c r="H5233" s="56"/>
      <c r="I5233" s="56"/>
      <c r="J5233" s="58"/>
      <c r="K5233" s="58"/>
      <c r="L5233" s="13" t="str">
        <f t="shared" si="810"/>
        <v/>
      </c>
      <c r="M5233" s="13" t="str">
        <f t="shared" si="811"/>
        <v/>
      </c>
      <c r="Q5233" t="str">
        <f t="shared" si="812"/>
        <v/>
      </c>
      <c r="R5233" t="str">
        <f t="shared" si="813"/>
        <v/>
      </c>
      <c r="S5233" t="str">
        <f t="shared" si="814"/>
        <v/>
      </c>
      <c r="T5233" t="str">
        <f t="shared" si="815"/>
        <v/>
      </c>
      <c r="U5233" t="str">
        <f t="shared" si="816"/>
        <v/>
      </c>
      <c r="V5233" t="str">
        <f t="shared" si="817"/>
        <v/>
      </c>
      <c r="W5233" t="str">
        <f t="shared" si="818"/>
        <v/>
      </c>
      <c r="X5233">
        <f>IF($T5233="",N($X5232),IF(MATCH($T5233,$T$6:$T$10005,0)=ROW()-5,N($X5232)+1,N($X5232)))</f>
        <v>0</v>
      </c>
      <c r="Z5233" t="str">
        <f t="shared" si="819"/>
        <v/>
      </c>
      <c r="AA5233">
        <f>IF($V5233="",N($AA5232),IF(MATCH($V5233,$V$6:$V$10005,0)=ROW()-5,N($AA5232)+1,N($AA5232)))</f>
        <v>0</v>
      </c>
    </row>
    <row r="5234" spans="1:27" ht="21" customHeight="1" x14ac:dyDescent="0.95">
      <c r="A5234" s="56"/>
      <c r="B5234" s="57"/>
      <c r="C5234" s="57"/>
      <c r="D5234" s="57"/>
      <c r="E5234" s="56"/>
      <c r="F5234" s="57"/>
      <c r="G5234" s="57"/>
      <c r="H5234" s="56"/>
      <c r="I5234" s="56"/>
      <c r="J5234" s="58"/>
      <c r="K5234" s="58"/>
      <c r="L5234" s="13" t="str">
        <f t="shared" si="810"/>
        <v/>
      </c>
      <c r="M5234" s="13" t="str">
        <f t="shared" si="811"/>
        <v/>
      </c>
      <c r="Q5234" t="str">
        <f t="shared" si="812"/>
        <v/>
      </c>
      <c r="R5234" t="str">
        <f t="shared" si="813"/>
        <v/>
      </c>
      <c r="S5234" t="str">
        <f t="shared" si="814"/>
        <v/>
      </c>
      <c r="T5234" t="str">
        <f t="shared" si="815"/>
        <v/>
      </c>
      <c r="U5234" t="str">
        <f t="shared" si="816"/>
        <v/>
      </c>
      <c r="V5234" t="str">
        <f t="shared" si="817"/>
        <v/>
      </c>
      <c r="W5234" t="str">
        <f t="shared" si="818"/>
        <v/>
      </c>
      <c r="X5234">
        <f>IF($T5234="",N($X5233),IF(MATCH($T5234,$T$6:$T$10005,0)=ROW()-5,N($X5233)+1,N($X5233)))</f>
        <v>0</v>
      </c>
      <c r="Z5234" t="str">
        <f t="shared" si="819"/>
        <v/>
      </c>
      <c r="AA5234">
        <f>IF($V5234="",N($AA5233),IF(MATCH($V5234,$V$6:$V$10005,0)=ROW()-5,N($AA5233)+1,N($AA5233)))</f>
        <v>0</v>
      </c>
    </row>
    <row r="5235" spans="1:27" ht="21" customHeight="1" x14ac:dyDescent="0.95">
      <c r="A5235" s="56"/>
      <c r="B5235" s="57"/>
      <c r="C5235" s="57"/>
      <c r="D5235" s="57"/>
      <c r="E5235" s="56"/>
      <c r="F5235" s="57"/>
      <c r="G5235" s="57"/>
      <c r="H5235" s="56"/>
      <c r="I5235" s="56"/>
      <c r="J5235" s="58"/>
      <c r="K5235" s="58"/>
      <c r="L5235" s="13" t="str">
        <f t="shared" si="810"/>
        <v/>
      </c>
      <c r="M5235" s="13" t="str">
        <f t="shared" si="811"/>
        <v/>
      </c>
      <c r="Q5235" t="str">
        <f t="shared" si="812"/>
        <v/>
      </c>
      <c r="R5235" t="str">
        <f t="shared" si="813"/>
        <v/>
      </c>
      <c r="S5235" t="str">
        <f t="shared" si="814"/>
        <v/>
      </c>
      <c r="T5235" t="str">
        <f t="shared" si="815"/>
        <v/>
      </c>
      <c r="U5235" t="str">
        <f t="shared" si="816"/>
        <v/>
      </c>
      <c r="V5235" t="str">
        <f t="shared" si="817"/>
        <v/>
      </c>
      <c r="W5235" t="str">
        <f t="shared" si="818"/>
        <v/>
      </c>
      <c r="X5235">
        <f>IF($T5235="",N($X5234),IF(MATCH($T5235,$T$6:$T$10005,0)=ROW()-5,N($X5234)+1,N($X5234)))</f>
        <v>0</v>
      </c>
      <c r="Z5235" t="str">
        <f t="shared" si="819"/>
        <v/>
      </c>
      <c r="AA5235">
        <f>IF($V5235="",N($AA5234),IF(MATCH($V5235,$V$6:$V$10005,0)=ROW()-5,N($AA5234)+1,N($AA5234)))</f>
        <v>0</v>
      </c>
    </row>
    <row r="5236" spans="1:27" ht="21" customHeight="1" x14ac:dyDescent="0.95">
      <c r="A5236" s="56"/>
      <c r="B5236" s="57"/>
      <c r="C5236" s="57"/>
      <c r="D5236" s="57"/>
      <c r="E5236" s="56"/>
      <c r="F5236" s="57"/>
      <c r="G5236" s="57"/>
      <c r="H5236" s="56"/>
      <c r="I5236" s="56"/>
      <c r="J5236" s="58"/>
      <c r="K5236" s="58"/>
      <c r="L5236" s="13" t="str">
        <f t="shared" si="810"/>
        <v/>
      </c>
      <c r="M5236" s="13" t="str">
        <f t="shared" si="811"/>
        <v/>
      </c>
      <c r="Q5236" t="str">
        <f t="shared" si="812"/>
        <v/>
      </c>
      <c r="R5236" t="str">
        <f t="shared" si="813"/>
        <v/>
      </c>
      <c r="S5236" t="str">
        <f t="shared" si="814"/>
        <v/>
      </c>
      <c r="T5236" t="str">
        <f t="shared" si="815"/>
        <v/>
      </c>
      <c r="U5236" t="str">
        <f t="shared" si="816"/>
        <v/>
      </c>
      <c r="V5236" t="str">
        <f t="shared" si="817"/>
        <v/>
      </c>
      <c r="W5236" t="str">
        <f t="shared" si="818"/>
        <v/>
      </c>
      <c r="X5236">
        <f>IF($T5236="",N($X5235),IF(MATCH($T5236,$T$6:$T$10005,0)=ROW()-5,N($X5235)+1,N($X5235)))</f>
        <v>0</v>
      </c>
      <c r="Z5236" t="str">
        <f t="shared" si="819"/>
        <v/>
      </c>
      <c r="AA5236">
        <f>IF($V5236="",N($AA5235),IF(MATCH($V5236,$V$6:$V$10005,0)=ROW()-5,N($AA5235)+1,N($AA5235)))</f>
        <v>0</v>
      </c>
    </row>
    <row r="5237" spans="1:27" ht="21" customHeight="1" x14ac:dyDescent="0.95">
      <c r="A5237" s="56"/>
      <c r="B5237" s="57"/>
      <c r="C5237" s="57"/>
      <c r="D5237" s="57"/>
      <c r="E5237" s="56"/>
      <c r="F5237" s="57"/>
      <c r="G5237" s="57"/>
      <c r="H5237" s="56"/>
      <c r="I5237" s="56"/>
      <c r="J5237" s="58"/>
      <c r="K5237" s="58"/>
      <c r="L5237" s="13" t="str">
        <f t="shared" si="810"/>
        <v/>
      </c>
      <c r="M5237" s="13" t="str">
        <f t="shared" si="811"/>
        <v/>
      </c>
      <c r="Q5237" t="str">
        <f t="shared" si="812"/>
        <v/>
      </c>
      <c r="R5237" t="str">
        <f t="shared" si="813"/>
        <v/>
      </c>
      <c r="S5237" t="str">
        <f t="shared" si="814"/>
        <v/>
      </c>
      <c r="T5237" t="str">
        <f t="shared" si="815"/>
        <v/>
      </c>
      <c r="U5237" t="str">
        <f t="shared" si="816"/>
        <v/>
      </c>
      <c r="V5237" t="str">
        <f t="shared" si="817"/>
        <v/>
      </c>
      <c r="W5237" t="str">
        <f t="shared" si="818"/>
        <v/>
      </c>
      <c r="X5237">
        <f>IF($T5237="",N($X5236),IF(MATCH($T5237,$T$6:$T$10005,0)=ROW()-5,N($X5236)+1,N($X5236)))</f>
        <v>0</v>
      </c>
      <c r="Z5237" t="str">
        <f t="shared" si="819"/>
        <v/>
      </c>
      <c r="AA5237">
        <f>IF($V5237="",N($AA5236),IF(MATCH($V5237,$V$6:$V$10005,0)=ROW()-5,N($AA5236)+1,N($AA5236)))</f>
        <v>0</v>
      </c>
    </row>
    <row r="5238" spans="1:27" ht="21" customHeight="1" x14ac:dyDescent="0.95">
      <c r="A5238" s="56"/>
      <c r="B5238" s="57"/>
      <c r="C5238" s="57"/>
      <c r="D5238" s="57"/>
      <c r="E5238" s="56"/>
      <c r="F5238" s="57"/>
      <c r="G5238" s="57"/>
      <c r="H5238" s="56"/>
      <c r="I5238" s="56"/>
      <c r="J5238" s="58"/>
      <c r="K5238" s="58"/>
      <c r="L5238" s="13" t="str">
        <f t="shared" si="810"/>
        <v/>
      </c>
      <c r="M5238" s="13" t="str">
        <f t="shared" si="811"/>
        <v/>
      </c>
      <c r="Q5238" t="str">
        <f t="shared" si="812"/>
        <v/>
      </c>
      <c r="R5238" t="str">
        <f t="shared" si="813"/>
        <v/>
      </c>
      <c r="S5238" t="str">
        <f t="shared" si="814"/>
        <v/>
      </c>
      <c r="T5238" t="str">
        <f t="shared" si="815"/>
        <v/>
      </c>
      <c r="U5238" t="str">
        <f t="shared" si="816"/>
        <v/>
      </c>
      <c r="V5238" t="str">
        <f t="shared" si="817"/>
        <v/>
      </c>
      <c r="W5238" t="str">
        <f t="shared" si="818"/>
        <v/>
      </c>
      <c r="X5238">
        <f>IF($T5238="",N($X5237),IF(MATCH($T5238,$T$6:$T$10005,0)=ROW()-5,N($X5237)+1,N($X5237)))</f>
        <v>0</v>
      </c>
      <c r="Z5238" t="str">
        <f t="shared" si="819"/>
        <v/>
      </c>
      <c r="AA5238">
        <f>IF($V5238="",N($AA5237),IF(MATCH($V5238,$V$6:$V$10005,0)=ROW()-5,N($AA5237)+1,N($AA5237)))</f>
        <v>0</v>
      </c>
    </row>
    <row r="5239" spans="1:27" ht="21" customHeight="1" x14ac:dyDescent="0.95">
      <c r="A5239" s="56"/>
      <c r="B5239" s="57"/>
      <c r="C5239" s="57"/>
      <c r="D5239" s="57"/>
      <c r="E5239" s="56"/>
      <c r="F5239" s="57"/>
      <c r="G5239" s="57"/>
      <c r="H5239" s="56"/>
      <c r="I5239" s="56"/>
      <c r="J5239" s="58"/>
      <c r="K5239" s="58"/>
      <c r="L5239" s="13" t="str">
        <f t="shared" si="810"/>
        <v/>
      </c>
      <c r="M5239" s="13" t="str">
        <f t="shared" si="811"/>
        <v/>
      </c>
      <c r="Q5239" t="str">
        <f t="shared" si="812"/>
        <v/>
      </c>
      <c r="R5239" t="str">
        <f t="shared" si="813"/>
        <v/>
      </c>
      <c r="S5239" t="str">
        <f t="shared" si="814"/>
        <v/>
      </c>
      <c r="T5239" t="str">
        <f t="shared" si="815"/>
        <v/>
      </c>
      <c r="U5239" t="str">
        <f t="shared" si="816"/>
        <v/>
      </c>
      <c r="V5239" t="str">
        <f t="shared" si="817"/>
        <v/>
      </c>
      <c r="W5239" t="str">
        <f t="shared" si="818"/>
        <v/>
      </c>
      <c r="X5239">
        <f>IF($T5239="",N($X5238),IF(MATCH($T5239,$T$6:$T$10005,0)=ROW()-5,N($X5238)+1,N($X5238)))</f>
        <v>0</v>
      </c>
      <c r="Z5239" t="str">
        <f t="shared" si="819"/>
        <v/>
      </c>
      <c r="AA5239">
        <f>IF($V5239="",N($AA5238),IF(MATCH($V5239,$V$6:$V$10005,0)=ROW()-5,N($AA5238)+1,N($AA5238)))</f>
        <v>0</v>
      </c>
    </row>
    <row r="5240" spans="1:27" ht="21" customHeight="1" x14ac:dyDescent="0.95">
      <c r="A5240" s="56"/>
      <c r="B5240" s="57"/>
      <c r="C5240" s="57"/>
      <c r="D5240" s="57"/>
      <c r="E5240" s="56"/>
      <c r="F5240" s="57"/>
      <c r="G5240" s="57"/>
      <c r="H5240" s="56"/>
      <c r="I5240" s="56"/>
      <c r="J5240" s="58"/>
      <c r="K5240" s="58"/>
      <c r="L5240" s="13" t="str">
        <f t="shared" si="810"/>
        <v/>
      </c>
      <c r="M5240" s="13" t="str">
        <f t="shared" si="811"/>
        <v/>
      </c>
      <c r="Q5240" t="str">
        <f t="shared" si="812"/>
        <v/>
      </c>
      <c r="R5240" t="str">
        <f t="shared" si="813"/>
        <v/>
      </c>
      <c r="S5240" t="str">
        <f t="shared" si="814"/>
        <v/>
      </c>
      <c r="T5240" t="str">
        <f t="shared" si="815"/>
        <v/>
      </c>
      <c r="U5240" t="str">
        <f t="shared" si="816"/>
        <v/>
      </c>
      <c r="V5240" t="str">
        <f t="shared" si="817"/>
        <v/>
      </c>
      <c r="W5240" t="str">
        <f t="shared" si="818"/>
        <v/>
      </c>
      <c r="X5240">
        <f>IF($T5240="",N($X5239),IF(MATCH($T5240,$T$6:$T$10005,0)=ROW()-5,N($X5239)+1,N($X5239)))</f>
        <v>0</v>
      </c>
      <c r="Z5240" t="str">
        <f t="shared" si="819"/>
        <v/>
      </c>
      <c r="AA5240">
        <f>IF($V5240="",N($AA5239),IF(MATCH($V5240,$V$6:$V$10005,0)=ROW()-5,N($AA5239)+1,N($AA5239)))</f>
        <v>0</v>
      </c>
    </row>
    <row r="5241" spans="1:27" ht="21" customHeight="1" x14ac:dyDescent="0.95">
      <c r="A5241" s="56"/>
      <c r="B5241" s="57"/>
      <c r="C5241" s="57"/>
      <c r="D5241" s="57"/>
      <c r="E5241" s="56"/>
      <c r="F5241" s="57"/>
      <c r="G5241" s="57"/>
      <c r="H5241" s="56"/>
      <c r="I5241" s="56"/>
      <c r="J5241" s="58"/>
      <c r="K5241" s="58"/>
      <c r="L5241" s="13" t="str">
        <f t="shared" si="810"/>
        <v/>
      </c>
      <c r="M5241" s="13" t="str">
        <f t="shared" si="811"/>
        <v/>
      </c>
      <c r="Q5241" t="str">
        <f t="shared" si="812"/>
        <v/>
      </c>
      <c r="R5241" t="str">
        <f t="shared" si="813"/>
        <v/>
      </c>
      <c r="S5241" t="str">
        <f t="shared" si="814"/>
        <v/>
      </c>
      <c r="T5241" t="str">
        <f t="shared" si="815"/>
        <v/>
      </c>
      <c r="U5241" t="str">
        <f t="shared" si="816"/>
        <v/>
      </c>
      <c r="V5241" t="str">
        <f t="shared" si="817"/>
        <v/>
      </c>
      <c r="W5241" t="str">
        <f t="shared" si="818"/>
        <v/>
      </c>
      <c r="X5241">
        <f>IF($T5241="",N($X5240),IF(MATCH($T5241,$T$6:$T$10005,0)=ROW()-5,N($X5240)+1,N($X5240)))</f>
        <v>0</v>
      </c>
      <c r="Z5241" t="str">
        <f t="shared" si="819"/>
        <v/>
      </c>
      <c r="AA5241">
        <f>IF($V5241="",N($AA5240),IF(MATCH($V5241,$V$6:$V$10005,0)=ROW()-5,N($AA5240)+1,N($AA5240)))</f>
        <v>0</v>
      </c>
    </row>
    <row r="5242" spans="1:27" ht="21" customHeight="1" x14ac:dyDescent="0.95">
      <c r="A5242" s="56"/>
      <c r="B5242" s="57"/>
      <c r="C5242" s="57"/>
      <c r="D5242" s="57"/>
      <c r="E5242" s="56"/>
      <c r="F5242" s="57"/>
      <c r="G5242" s="57"/>
      <c r="H5242" s="56"/>
      <c r="I5242" s="56"/>
      <c r="J5242" s="58"/>
      <c r="K5242" s="58"/>
      <c r="L5242" s="13" t="str">
        <f t="shared" si="810"/>
        <v/>
      </c>
      <c r="M5242" s="13" t="str">
        <f t="shared" si="811"/>
        <v/>
      </c>
      <c r="Q5242" t="str">
        <f t="shared" si="812"/>
        <v/>
      </c>
      <c r="R5242" t="str">
        <f t="shared" si="813"/>
        <v/>
      </c>
      <c r="S5242" t="str">
        <f t="shared" si="814"/>
        <v/>
      </c>
      <c r="T5242" t="str">
        <f t="shared" si="815"/>
        <v/>
      </c>
      <c r="U5242" t="str">
        <f t="shared" si="816"/>
        <v/>
      </c>
      <c r="V5242" t="str">
        <f t="shared" si="817"/>
        <v/>
      </c>
      <c r="W5242" t="str">
        <f t="shared" si="818"/>
        <v/>
      </c>
      <c r="X5242">
        <f>IF($T5242="",N($X5241),IF(MATCH($T5242,$T$6:$T$10005,0)=ROW()-5,N($X5241)+1,N($X5241)))</f>
        <v>0</v>
      </c>
      <c r="Z5242" t="str">
        <f t="shared" si="819"/>
        <v/>
      </c>
      <c r="AA5242">
        <f>IF($V5242="",N($AA5241),IF(MATCH($V5242,$V$6:$V$10005,0)=ROW()-5,N($AA5241)+1,N($AA5241)))</f>
        <v>0</v>
      </c>
    </row>
    <row r="5243" spans="1:27" ht="21" customHeight="1" x14ac:dyDescent="0.95">
      <c r="A5243" s="56"/>
      <c r="B5243" s="57"/>
      <c r="C5243" s="57"/>
      <c r="D5243" s="57"/>
      <c r="E5243" s="56"/>
      <c r="F5243" s="57"/>
      <c r="G5243" s="57"/>
      <c r="H5243" s="56"/>
      <c r="I5243" s="56"/>
      <c r="J5243" s="58"/>
      <c r="K5243" s="58"/>
      <c r="L5243" s="13" t="str">
        <f t="shared" si="810"/>
        <v/>
      </c>
      <c r="M5243" s="13" t="str">
        <f t="shared" si="811"/>
        <v/>
      </c>
      <c r="Q5243" t="str">
        <f t="shared" si="812"/>
        <v/>
      </c>
      <c r="R5243" t="str">
        <f t="shared" si="813"/>
        <v/>
      </c>
      <c r="S5243" t="str">
        <f t="shared" si="814"/>
        <v/>
      </c>
      <c r="T5243" t="str">
        <f t="shared" si="815"/>
        <v/>
      </c>
      <c r="U5243" t="str">
        <f t="shared" si="816"/>
        <v/>
      </c>
      <c r="V5243" t="str">
        <f t="shared" si="817"/>
        <v/>
      </c>
      <c r="W5243" t="str">
        <f t="shared" si="818"/>
        <v/>
      </c>
      <c r="X5243">
        <f>IF($T5243="",N($X5242),IF(MATCH($T5243,$T$6:$T$10005,0)=ROW()-5,N($X5242)+1,N($X5242)))</f>
        <v>0</v>
      </c>
      <c r="Z5243" t="str">
        <f t="shared" si="819"/>
        <v/>
      </c>
      <c r="AA5243">
        <f>IF($V5243="",N($AA5242),IF(MATCH($V5243,$V$6:$V$10005,0)=ROW()-5,N($AA5242)+1,N($AA5242)))</f>
        <v>0</v>
      </c>
    </row>
    <row r="5244" spans="1:27" ht="21" customHeight="1" x14ac:dyDescent="0.95">
      <c r="A5244" s="56"/>
      <c r="B5244" s="57"/>
      <c r="C5244" s="57"/>
      <c r="D5244" s="57"/>
      <c r="E5244" s="56"/>
      <c r="F5244" s="57"/>
      <c r="G5244" s="57"/>
      <c r="H5244" s="56"/>
      <c r="I5244" s="56"/>
      <c r="J5244" s="58"/>
      <c r="K5244" s="58"/>
      <c r="L5244" s="13" t="str">
        <f t="shared" si="810"/>
        <v/>
      </c>
      <c r="M5244" s="13" t="str">
        <f t="shared" si="811"/>
        <v/>
      </c>
      <c r="Q5244" t="str">
        <f t="shared" si="812"/>
        <v/>
      </c>
      <c r="R5244" t="str">
        <f t="shared" si="813"/>
        <v/>
      </c>
      <c r="S5244" t="str">
        <f t="shared" si="814"/>
        <v/>
      </c>
      <c r="T5244" t="str">
        <f t="shared" si="815"/>
        <v/>
      </c>
      <c r="U5244" t="str">
        <f t="shared" si="816"/>
        <v/>
      </c>
      <c r="V5244" t="str">
        <f t="shared" si="817"/>
        <v/>
      </c>
      <c r="W5244" t="str">
        <f t="shared" si="818"/>
        <v/>
      </c>
      <c r="X5244">
        <f>IF($T5244="",N($X5243),IF(MATCH($T5244,$T$6:$T$10005,0)=ROW()-5,N($X5243)+1,N($X5243)))</f>
        <v>0</v>
      </c>
      <c r="Z5244" t="str">
        <f t="shared" si="819"/>
        <v/>
      </c>
      <c r="AA5244">
        <f>IF($V5244="",N($AA5243),IF(MATCH($V5244,$V$6:$V$10005,0)=ROW()-5,N($AA5243)+1,N($AA5243)))</f>
        <v>0</v>
      </c>
    </row>
    <row r="5245" spans="1:27" ht="21" customHeight="1" x14ac:dyDescent="0.95">
      <c r="A5245" s="56"/>
      <c r="B5245" s="57"/>
      <c r="C5245" s="57"/>
      <c r="D5245" s="57"/>
      <c r="E5245" s="56"/>
      <c r="F5245" s="57"/>
      <c r="G5245" s="57"/>
      <c r="H5245" s="56"/>
      <c r="I5245" s="56"/>
      <c r="J5245" s="58"/>
      <c r="K5245" s="58"/>
      <c r="L5245" s="13" t="str">
        <f t="shared" si="810"/>
        <v/>
      </c>
      <c r="M5245" s="13" t="str">
        <f t="shared" si="811"/>
        <v/>
      </c>
      <c r="Q5245" t="str">
        <f t="shared" si="812"/>
        <v/>
      </c>
      <c r="R5245" t="str">
        <f t="shared" si="813"/>
        <v/>
      </c>
      <c r="S5245" t="str">
        <f t="shared" si="814"/>
        <v/>
      </c>
      <c r="T5245" t="str">
        <f t="shared" si="815"/>
        <v/>
      </c>
      <c r="U5245" t="str">
        <f t="shared" si="816"/>
        <v/>
      </c>
      <c r="V5245" t="str">
        <f t="shared" si="817"/>
        <v/>
      </c>
      <c r="W5245" t="str">
        <f t="shared" si="818"/>
        <v/>
      </c>
      <c r="X5245">
        <f>IF($T5245="",N($X5244),IF(MATCH($T5245,$T$6:$T$10005,0)=ROW()-5,N($X5244)+1,N($X5244)))</f>
        <v>0</v>
      </c>
      <c r="Z5245" t="str">
        <f t="shared" si="819"/>
        <v/>
      </c>
      <c r="AA5245">
        <f>IF($V5245="",N($AA5244),IF(MATCH($V5245,$V$6:$V$10005,0)=ROW()-5,N($AA5244)+1,N($AA5244)))</f>
        <v>0</v>
      </c>
    </row>
    <row r="5246" spans="1:27" ht="21" customHeight="1" x14ac:dyDescent="0.95">
      <c r="A5246" s="56"/>
      <c r="B5246" s="57"/>
      <c r="C5246" s="57"/>
      <c r="D5246" s="57"/>
      <c r="E5246" s="56"/>
      <c r="F5246" s="57"/>
      <c r="G5246" s="57"/>
      <c r="H5246" s="56"/>
      <c r="I5246" s="56"/>
      <c r="J5246" s="58"/>
      <c r="K5246" s="58"/>
      <c r="L5246" s="13" t="str">
        <f t="shared" si="810"/>
        <v/>
      </c>
      <c r="M5246" s="13" t="str">
        <f t="shared" si="811"/>
        <v/>
      </c>
      <c r="Q5246" t="str">
        <f t="shared" si="812"/>
        <v/>
      </c>
      <c r="R5246" t="str">
        <f t="shared" si="813"/>
        <v/>
      </c>
      <c r="S5246" t="str">
        <f t="shared" si="814"/>
        <v/>
      </c>
      <c r="T5246" t="str">
        <f t="shared" si="815"/>
        <v/>
      </c>
      <c r="U5246" t="str">
        <f t="shared" si="816"/>
        <v/>
      </c>
      <c r="V5246" t="str">
        <f t="shared" si="817"/>
        <v/>
      </c>
      <c r="W5246" t="str">
        <f t="shared" si="818"/>
        <v/>
      </c>
      <c r="X5246">
        <f>IF($T5246="",N($X5245),IF(MATCH($T5246,$T$6:$T$10005,0)=ROW()-5,N($X5245)+1,N($X5245)))</f>
        <v>0</v>
      </c>
      <c r="Z5246" t="str">
        <f t="shared" si="819"/>
        <v/>
      </c>
      <c r="AA5246">
        <f>IF($V5246="",N($AA5245),IF(MATCH($V5246,$V$6:$V$10005,0)=ROW()-5,N($AA5245)+1,N($AA5245)))</f>
        <v>0</v>
      </c>
    </row>
    <row r="5247" spans="1:27" ht="21" customHeight="1" x14ac:dyDescent="0.95">
      <c r="A5247" s="56"/>
      <c r="B5247" s="57"/>
      <c r="C5247" s="57"/>
      <c r="D5247" s="57"/>
      <c r="E5247" s="56"/>
      <c r="F5247" s="57"/>
      <c r="G5247" s="57"/>
      <c r="H5247" s="56"/>
      <c r="I5247" s="56"/>
      <c r="J5247" s="58"/>
      <c r="K5247" s="58"/>
      <c r="L5247" s="13" t="str">
        <f t="shared" si="810"/>
        <v/>
      </c>
      <c r="M5247" s="13" t="str">
        <f t="shared" si="811"/>
        <v/>
      </c>
      <c r="Q5247" t="str">
        <f t="shared" si="812"/>
        <v/>
      </c>
      <c r="R5247" t="str">
        <f t="shared" si="813"/>
        <v/>
      </c>
      <c r="S5247" t="str">
        <f t="shared" si="814"/>
        <v/>
      </c>
      <c r="T5247" t="str">
        <f t="shared" si="815"/>
        <v/>
      </c>
      <c r="U5247" t="str">
        <f t="shared" si="816"/>
        <v/>
      </c>
      <c r="V5247" t="str">
        <f t="shared" si="817"/>
        <v/>
      </c>
      <c r="W5247" t="str">
        <f t="shared" si="818"/>
        <v/>
      </c>
      <c r="X5247">
        <f>IF($T5247="",N($X5246),IF(MATCH($T5247,$T$6:$T$10005,0)=ROW()-5,N($X5246)+1,N($X5246)))</f>
        <v>0</v>
      </c>
      <c r="Z5247" t="str">
        <f t="shared" si="819"/>
        <v/>
      </c>
      <c r="AA5247">
        <f>IF($V5247="",N($AA5246),IF(MATCH($V5247,$V$6:$V$10005,0)=ROW()-5,N($AA5246)+1,N($AA5246)))</f>
        <v>0</v>
      </c>
    </row>
    <row r="5248" spans="1:27" ht="21" customHeight="1" x14ac:dyDescent="0.95">
      <c r="A5248" s="56"/>
      <c r="B5248" s="57"/>
      <c r="C5248" s="57"/>
      <c r="D5248" s="57"/>
      <c r="E5248" s="56"/>
      <c r="F5248" s="57"/>
      <c r="G5248" s="57"/>
      <c r="H5248" s="56"/>
      <c r="I5248" s="56"/>
      <c r="J5248" s="58"/>
      <c r="K5248" s="58"/>
      <c r="L5248" s="13" t="str">
        <f t="shared" si="810"/>
        <v/>
      </c>
      <c r="M5248" s="13" t="str">
        <f t="shared" si="811"/>
        <v/>
      </c>
      <c r="Q5248" t="str">
        <f t="shared" si="812"/>
        <v/>
      </c>
      <c r="R5248" t="str">
        <f t="shared" si="813"/>
        <v/>
      </c>
      <c r="S5248" t="str">
        <f t="shared" si="814"/>
        <v/>
      </c>
      <c r="T5248" t="str">
        <f t="shared" si="815"/>
        <v/>
      </c>
      <c r="U5248" t="str">
        <f t="shared" si="816"/>
        <v/>
      </c>
      <c r="V5248" t="str">
        <f t="shared" si="817"/>
        <v/>
      </c>
      <c r="W5248" t="str">
        <f t="shared" si="818"/>
        <v/>
      </c>
      <c r="X5248">
        <f>IF($T5248="",N($X5247),IF(MATCH($T5248,$T$6:$T$10005,0)=ROW()-5,N($X5247)+1,N($X5247)))</f>
        <v>0</v>
      </c>
      <c r="Z5248" t="str">
        <f t="shared" si="819"/>
        <v/>
      </c>
      <c r="AA5248">
        <f>IF($V5248="",N($AA5247),IF(MATCH($V5248,$V$6:$V$10005,0)=ROW()-5,N($AA5247)+1,N($AA5247)))</f>
        <v>0</v>
      </c>
    </row>
    <row r="5249" spans="1:27" ht="21" customHeight="1" x14ac:dyDescent="0.95">
      <c r="A5249" s="56"/>
      <c r="B5249" s="57"/>
      <c r="C5249" s="57"/>
      <c r="D5249" s="57"/>
      <c r="E5249" s="56"/>
      <c r="F5249" s="57"/>
      <c r="G5249" s="57"/>
      <c r="H5249" s="56"/>
      <c r="I5249" s="56"/>
      <c r="J5249" s="58"/>
      <c r="K5249" s="58"/>
      <c r="L5249" s="13" t="str">
        <f t="shared" si="810"/>
        <v/>
      </c>
      <c r="M5249" s="13" t="str">
        <f t="shared" si="811"/>
        <v/>
      </c>
      <c r="Q5249" t="str">
        <f t="shared" si="812"/>
        <v/>
      </c>
      <c r="R5249" t="str">
        <f t="shared" si="813"/>
        <v/>
      </c>
      <c r="S5249" t="str">
        <f t="shared" si="814"/>
        <v/>
      </c>
      <c r="T5249" t="str">
        <f t="shared" si="815"/>
        <v/>
      </c>
      <c r="U5249" t="str">
        <f t="shared" si="816"/>
        <v/>
      </c>
      <c r="V5249" t="str">
        <f t="shared" si="817"/>
        <v/>
      </c>
      <c r="W5249" t="str">
        <f t="shared" si="818"/>
        <v/>
      </c>
      <c r="X5249">
        <f>IF($T5249="",N($X5248),IF(MATCH($T5249,$T$6:$T$10005,0)=ROW()-5,N($X5248)+1,N($X5248)))</f>
        <v>0</v>
      </c>
      <c r="Z5249" t="str">
        <f t="shared" si="819"/>
        <v/>
      </c>
      <c r="AA5249">
        <f>IF($V5249="",N($AA5248),IF(MATCH($V5249,$V$6:$V$10005,0)=ROW()-5,N($AA5248)+1,N($AA5248)))</f>
        <v>0</v>
      </c>
    </row>
    <row r="5250" spans="1:27" ht="21" customHeight="1" x14ac:dyDescent="0.95">
      <c r="A5250" s="56"/>
      <c r="B5250" s="57"/>
      <c r="C5250" s="57"/>
      <c r="D5250" s="57"/>
      <c r="E5250" s="56"/>
      <c r="F5250" s="57"/>
      <c r="G5250" s="57"/>
      <c r="H5250" s="56"/>
      <c r="I5250" s="56"/>
      <c r="J5250" s="58"/>
      <c r="K5250" s="58"/>
      <c r="L5250" s="13" t="str">
        <f t="shared" si="810"/>
        <v/>
      </c>
      <c r="M5250" s="13" t="str">
        <f t="shared" si="811"/>
        <v/>
      </c>
      <c r="Q5250" t="str">
        <f t="shared" si="812"/>
        <v/>
      </c>
      <c r="R5250" t="str">
        <f t="shared" si="813"/>
        <v/>
      </c>
      <c r="S5250" t="str">
        <f t="shared" si="814"/>
        <v/>
      </c>
      <c r="T5250" t="str">
        <f t="shared" si="815"/>
        <v/>
      </c>
      <c r="U5250" t="str">
        <f t="shared" si="816"/>
        <v/>
      </c>
      <c r="V5250" t="str">
        <f t="shared" si="817"/>
        <v/>
      </c>
      <c r="W5250" t="str">
        <f t="shared" si="818"/>
        <v/>
      </c>
      <c r="X5250">
        <f>IF($T5250="",N($X5249),IF(MATCH($T5250,$T$6:$T$10005,0)=ROW()-5,N($X5249)+1,N($X5249)))</f>
        <v>0</v>
      </c>
      <c r="Z5250" t="str">
        <f t="shared" si="819"/>
        <v/>
      </c>
      <c r="AA5250">
        <f>IF($V5250="",N($AA5249),IF(MATCH($V5250,$V$6:$V$10005,0)=ROW()-5,N($AA5249)+1,N($AA5249)))</f>
        <v>0</v>
      </c>
    </row>
    <row r="5251" spans="1:27" ht="21" customHeight="1" x14ac:dyDescent="0.95">
      <c r="A5251" s="56"/>
      <c r="B5251" s="57"/>
      <c r="C5251" s="57"/>
      <c r="D5251" s="57"/>
      <c r="E5251" s="56"/>
      <c r="F5251" s="57"/>
      <c r="G5251" s="57"/>
      <c r="H5251" s="56"/>
      <c r="I5251" s="56"/>
      <c r="J5251" s="58"/>
      <c r="K5251" s="58"/>
      <c r="L5251" s="13" t="str">
        <f t="shared" si="810"/>
        <v/>
      </c>
      <c r="M5251" s="13" t="str">
        <f t="shared" si="811"/>
        <v/>
      </c>
      <c r="Q5251" t="str">
        <f t="shared" si="812"/>
        <v/>
      </c>
      <c r="R5251" t="str">
        <f t="shared" si="813"/>
        <v/>
      </c>
      <c r="S5251" t="str">
        <f t="shared" si="814"/>
        <v/>
      </c>
      <c r="T5251" t="str">
        <f t="shared" si="815"/>
        <v/>
      </c>
      <c r="U5251" t="str">
        <f t="shared" si="816"/>
        <v/>
      </c>
      <c r="V5251" t="str">
        <f t="shared" si="817"/>
        <v/>
      </c>
      <c r="W5251" t="str">
        <f t="shared" si="818"/>
        <v/>
      </c>
      <c r="X5251">
        <f>IF($T5251="",N($X5250),IF(MATCH($T5251,$T$6:$T$10005,0)=ROW()-5,N($X5250)+1,N($X5250)))</f>
        <v>0</v>
      </c>
      <c r="Z5251" t="str">
        <f t="shared" si="819"/>
        <v/>
      </c>
      <c r="AA5251">
        <f>IF($V5251="",N($AA5250),IF(MATCH($V5251,$V$6:$V$10005,0)=ROW()-5,N($AA5250)+1,N($AA5250)))</f>
        <v>0</v>
      </c>
    </row>
    <row r="5252" spans="1:27" ht="21" customHeight="1" x14ac:dyDescent="0.95">
      <c r="A5252" s="56"/>
      <c r="B5252" s="57"/>
      <c r="C5252" s="57"/>
      <c r="D5252" s="57"/>
      <c r="E5252" s="56"/>
      <c r="F5252" s="57"/>
      <c r="G5252" s="57"/>
      <c r="H5252" s="56"/>
      <c r="I5252" s="56"/>
      <c r="J5252" s="58"/>
      <c r="K5252" s="58"/>
      <c r="L5252" s="13" t="str">
        <f t="shared" si="810"/>
        <v/>
      </c>
      <c r="M5252" s="13" t="str">
        <f t="shared" si="811"/>
        <v/>
      </c>
      <c r="Q5252" t="str">
        <f t="shared" si="812"/>
        <v/>
      </c>
      <c r="R5252" t="str">
        <f t="shared" si="813"/>
        <v/>
      </c>
      <c r="S5252" t="str">
        <f t="shared" si="814"/>
        <v/>
      </c>
      <c r="T5252" t="str">
        <f t="shared" si="815"/>
        <v/>
      </c>
      <c r="U5252" t="str">
        <f t="shared" si="816"/>
        <v/>
      </c>
      <c r="V5252" t="str">
        <f t="shared" si="817"/>
        <v/>
      </c>
      <c r="W5252" t="str">
        <f t="shared" si="818"/>
        <v/>
      </c>
      <c r="X5252">
        <f>IF($T5252="",N($X5251),IF(MATCH($T5252,$T$6:$T$10005,0)=ROW()-5,N($X5251)+1,N($X5251)))</f>
        <v>0</v>
      </c>
      <c r="Z5252" t="str">
        <f t="shared" si="819"/>
        <v/>
      </c>
      <c r="AA5252">
        <f>IF($V5252="",N($AA5251),IF(MATCH($V5252,$V$6:$V$10005,0)=ROW()-5,N($AA5251)+1,N($AA5251)))</f>
        <v>0</v>
      </c>
    </row>
    <row r="5253" spans="1:27" ht="21" customHeight="1" x14ac:dyDescent="0.95">
      <c r="A5253" s="56"/>
      <c r="B5253" s="57"/>
      <c r="C5253" s="57"/>
      <c r="D5253" s="57"/>
      <c r="E5253" s="56"/>
      <c r="F5253" s="57"/>
      <c r="G5253" s="57"/>
      <c r="H5253" s="56"/>
      <c r="I5253" s="56"/>
      <c r="J5253" s="58"/>
      <c r="K5253" s="58"/>
      <c r="L5253" s="13" t="str">
        <f t="shared" si="810"/>
        <v/>
      </c>
      <c r="M5253" s="13" t="str">
        <f t="shared" si="811"/>
        <v/>
      </c>
      <c r="Q5253" t="str">
        <f t="shared" si="812"/>
        <v/>
      </c>
      <c r="R5253" t="str">
        <f t="shared" si="813"/>
        <v/>
      </c>
      <c r="S5253" t="str">
        <f t="shared" si="814"/>
        <v/>
      </c>
      <c r="T5253" t="str">
        <f t="shared" si="815"/>
        <v/>
      </c>
      <c r="U5253" t="str">
        <f t="shared" si="816"/>
        <v/>
      </c>
      <c r="V5253" t="str">
        <f t="shared" si="817"/>
        <v/>
      </c>
      <c r="W5253" t="str">
        <f t="shared" si="818"/>
        <v/>
      </c>
      <c r="X5253">
        <f>IF($T5253="",N($X5252),IF(MATCH($T5253,$T$6:$T$10005,0)=ROW()-5,N($X5252)+1,N($X5252)))</f>
        <v>0</v>
      </c>
      <c r="Z5253" t="str">
        <f t="shared" si="819"/>
        <v/>
      </c>
      <c r="AA5253">
        <f>IF($V5253="",N($AA5252),IF(MATCH($V5253,$V$6:$V$10005,0)=ROW()-5,N($AA5252)+1,N($AA5252)))</f>
        <v>0</v>
      </c>
    </row>
    <row r="5254" spans="1:27" ht="21" customHeight="1" x14ac:dyDescent="0.95">
      <c r="A5254" s="56"/>
      <c r="B5254" s="57"/>
      <c r="C5254" s="57"/>
      <c r="D5254" s="57"/>
      <c r="E5254" s="56"/>
      <c r="F5254" s="57"/>
      <c r="G5254" s="57"/>
      <c r="H5254" s="56"/>
      <c r="I5254" s="56"/>
      <c r="J5254" s="58"/>
      <c r="K5254" s="58"/>
      <c r="L5254" s="13" t="str">
        <f t="shared" ref="L5254:L5317" si="820">IF(OR($A5254="",AND($J5254="",$K5254="")),"",ROUND(N($J5254)-N($K5254),2))</f>
        <v/>
      </c>
      <c r="M5254" s="13" t="str">
        <f t="shared" ref="M5254:M5317" si="821">IF(OR($A5254="",AND($J5254="",$K5254="")),"",MIN($J5254,$K5254))</f>
        <v/>
      </c>
      <c r="Q5254" t="str">
        <f t="shared" ref="Q5254:Q5317" si="822">IF($A5254="","",$D5254&amp;"("&amp;SUBSTITUTE($E5254," ","")&amp;")")</f>
        <v/>
      </c>
      <c r="R5254" t="str">
        <f t="shared" ref="R5254:R5317" si="823">IF($A5254="","",$B5254&amp;" - "&amp;$C5254)</f>
        <v/>
      </c>
      <c r="S5254" t="str">
        <f t="shared" ref="S5254:S5317" si="824">IF($A5254="","",$R5254&amp;"|"&amp;$Q5254)</f>
        <v/>
      </c>
      <c r="T5254" t="str">
        <f t="shared" ref="T5254:T5317" si="825">IF($A5254="","",$S5254&amp;"|"&amp;$F5254)</f>
        <v/>
      </c>
      <c r="U5254" t="str">
        <f t="shared" ref="U5254:U5317" si="826">IF($A5254="","",$R5254&amp;"("&amp;$E5254&amp;")")</f>
        <v/>
      </c>
      <c r="V5254" t="str">
        <f t="shared" ref="V5254:V5317" si="827">IF($A5254="","",$F5254&amp;"|"&amp;$U5254&amp;"|"&amp;$D5254)</f>
        <v/>
      </c>
      <c r="W5254" t="str">
        <f t="shared" ref="W5254:W5317" si="828">IF($T5254="","",IF($X5254&gt;N($X5253),$X5254,""))</f>
        <v/>
      </c>
      <c r="X5254">
        <f>IF($T5254="",N($X5253),IF(MATCH($T5254,$T$6:$T$10005,0)=ROW()-5,N($X5253)+1,N($X5253)))</f>
        <v>0</v>
      </c>
      <c r="Z5254" t="str">
        <f t="shared" ref="Z5254:Z5317" si="829">IF($V5254="","",IF($AA5254&gt;N($AA5253),$AA5254,""))</f>
        <v/>
      </c>
      <c r="AA5254">
        <f>IF($V5254="",N($AA5253),IF(MATCH($V5254,$V$6:$V$10005,0)=ROW()-5,N($AA5253)+1,N($AA5253)))</f>
        <v>0</v>
      </c>
    </row>
    <row r="5255" spans="1:27" ht="21" customHeight="1" x14ac:dyDescent="0.95">
      <c r="A5255" s="56"/>
      <c r="B5255" s="57"/>
      <c r="C5255" s="57"/>
      <c r="D5255" s="57"/>
      <c r="E5255" s="56"/>
      <c r="F5255" s="57"/>
      <c r="G5255" s="57"/>
      <c r="H5255" s="56"/>
      <c r="I5255" s="56"/>
      <c r="J5255" s="58"/>
      <c r="K5255" s="58"/>
      <c r="L5255" s="13" t="str">
        <f t="shared" si="820"/>
        <v/>
      </c>
      <c r="M5255" s="13" t="str">
        <f t="shared" si="821"/>
        <v/>
      </c>
      <c r="Q5255" t="str">
        <f t="shared" si="822"/>
        <v/>
      </c>
      <c r="R5255" t="str">
        <f t="shared" si="823"/>
        <v/>
      </c>
      <c r="S5255" t="str">
        <f t="shared" si="824"/>
        <v/>
      </c>
      <c r="T5255" t="str">
        <f t="shared" si="825"/>
        <v/>
      </c>
      <c r="U5255" t="str">
        <f t="shared" si="826"/>
        <v/>
      </c>
      <c r="V5255" t="str">
        <f t="shared" si="827"/>
        <v/>
      </c>
      <c r="W5255" t="str">
        <f t="shared" si="828"/>
        <v/>
      </c>
      <c r="X5255">
        <f>IF($T5255="",N($X5254),IF(MATCH($T5255,$T$6:$T$10005,0)=ROW()-5,N($X5254)+1,N($X5254)))</f>
        <v>0</v>
      </c>
      <c r="Z5255" t="str">
        <f t="shared" si="829"/>
        <v/>
      </c>
      <c r="AA5255">
        <f>IF($V5255="",N($AA5254),IF(MATCH($V5255,$V$6:$V$10005,0)=ROW()-5,N($AA5254)+1,N($AA5254)))</f>
        <v>0</v>
      </c>
    </row>
    <row r="5256" spans="1:27" ht="21" customHeight="1" x14ac:dyDescent="0.95">
      <c r="A5256" s="56"/>
      <c r="B5256" s="57"/>
      <c r="C5256" s="57"/>
      <c r="D5256" s="57"/>
      <c r="E5256" s="56"/>
      <c r="F5256" s="57"/>
      <c r="G5256" s="57"/>
      <c r="H5256" s="56"/>
      <c r="I5256" s="56"/>
      <c r="J5256" s="58"/>
      <c r="K5256" s="58"/>
      <c r="L5256" s="13" t="str">
        <f t="shared" si="820"/>
        <v/>
      </c>
      <c r="M5256" s="13" t="str">
        <f t="shared" si="821"/>
        <v/>
      </c>
      <c r="Q5256" t="str">
        <f t="shared" si="822"/>
        <v/>
      </c>
      <c r="R5256" t="str">
        <f t="shared" si="823"/>
        <v/>
      </c>
      <c r="S5256" t="str">
        <f t="shared" si="824"/>
        <v/>
      </c>
      <c r="T5256" t="str">
        <f t="shared" si="825"/>
        <v/>
      </c>
      <c r="U5256" t="str">
        <f t="shared" si="826"/>
        <v/>
      </c>
      <c r="V5256" t="str">
        <f t="shared" si="827"/>
        <v/>
      </c>
      <c r="W5256" t="str">
        <f t="shared" si="828"/>
        <v/>
      </c>
      <c r="X5256">
        <f>IF($T5256="",N($X5255),IF(MATCH($T5256,$T$6:$T$10005,0)=ROW()-5,N($X5255)+1,N($X5255)))</f>
        <v>0</v>
      </c>
      <c r="Z5256" t="str">
        <f t="shared" si="829"/>
        <v/>
      </c>
      <c r="AA5256">
        <f>IF($V5256="",N($AA5255),IF(MATCH($V5256,$V$6:$V$10005,0)=ROW()-5,N($AA5255)+1,N($AA5255)))</f>
        <v>0</v>
      </c>
    </row>
    <row r="5257" spans="1:27" ht="21" customHeight="1" x14ac:dyDescent="0.95">
      <c r="A5257" s="56"/>
      <c r="B5257" s="57"/>
      <c r="C5257" s="57"/>
      <c r="D5257" s="57"/>
      <c r="E5257" s="56"/>
      <c r="F5257" s="57"/>
      <c r="G5257" s="57"/>
      <c r="H5257" s="56"/>
      <c r="I5257" s="56"/>
      <c r="J5257" s="58"/>
      <c r="K5257" s="58"/>
      <c r="L5257" s="13" t="str">
        <f t="shared" si="820"/>
        <v/>
      </c>
      <c r="M5257" s="13" t="str">
        <f t="shared" si="821"/>
        <v/>
      </c>
      <c r="Q5257" t="str">
        <f t="shared" si="822"/>
        <v/>
      </c>
      <c r="R5257" t="str">
        <f t="shared" si="823"/>
        <v/>
      </c>
      <c r="S5257" t="str">
        <f t="shared" si="824"/>
        <v/>
      </c>
      <c r="T5257" t="str">
        <f t="shared" si="825"/>
        <v/>
      </c>
      <c r="U5257" t="str">
        <f t="shared" si="826"/>
        <v/>
      </c>
      <c r="V5257" t="str">
        <f t="shared" si="827"/>
        <v/>
      </c>
      <c r="W5257" t="str">
        <f t="shared" si="828"/>
        <v/>
      </c>
      <c r="X5257">
        <f>IF($T5257="",N($X5256),IF(MATCH($T5257,$T$6:$T$10005,0)=ROW()-5,N($X5256)+1,N($X5256)))</f>
        <v>0</v>
      </c>
      <c r="Z5257" t="str">
        <f t="shared" si="829"/>
        <v/>
      </c>
      <c r="AA5257">
        <f>IF($V5257="",N($AA5256),IF(MATCH($V5257,$V$6:$V$10005,0)=ROW()-5,N($AA5256)+1,N($AA5256)))</f>
        <v>0</v>
      </c>
    </row>
    <row r="5258" spans="1:27" ht="21" customHeight="1" x14ac:dyDescent="0.95">
      <c r="A5258" s="56"/>
      <c r="B5258" s="57"/>
      <c r="C5258" s="57"/>
      <c r="D5258" s="57"/>
      <c r="E5258" s="56"/>
      <c r="F5258" s="57"/>
      <c r="G5258" s="57"/>
      <c r="H5258" s="56"/>
      <c r="I5258" s="56"/>
      <c r="J5258" s="58"/>
      <c r="K5258" s="58"/>
      <c r="L5258" s="13" t="str">
        <f t="shared" si="820"/>
        <v/>
      </c>
      <c r="M5258" s="13" t="str">
        <f t="shared" si="821"/>
        <v/>
      </c>
      <c r="Q5258" t="str">
        <f t="shared" si="822"/>
        <v/>
      </c>
      <c r="R5258" t="str">
        <f t="shared" si="823"/>
        <v/>
      </c>
      <c r="S5258" t="str">
        <f t="shared" si="824"/>
        <v/>
      </c>
      <c r="T5258" t="str">
        <f t="shared" si="825"/>
        <v/>
      </c>
      <c r="U5258" t="str">
        <f t="shared" si="826"/>
        <v/>
      </c>
      <c r="V5258" t="str">
        <f t="shared" si="827"/>
        <v/>
      </c>
      <c r="W5258" t="str">
        <f t="shared" si="828"/>
        <v/>
      </c>
      <c r="X5258">
        <f>IF($T5258="",N($X5257),IF(MATCH($T5258,$T$6:$T$10005,0)=ROW()-5,N($X5257)+1,N($X5257)))</f>
        <v>0</v>
      </c>
      <c r="Z5258" t="str">
        <f t="shared" si="829"/>
        <v/>
      </c>
      <c r="AA5258">
        <f>IF($V5258="",N($AA5257),IF(MATCH($V5258,$V$6:$V$10005,0)=ROW()-5,N($AA5257)+1,N($AA5257)))</f>
        <v>0</v>
      </c>
    </row>
    <row r="5259" spans="1:27" ht="21" customHeight="1" x14ac:dyDescent="0.95">
      <c r="A5259" s="56"/>
      <c r="B5259" s="57"/>
      <c r="C5259" s="57"/>
      <c r="D5259" s="57"/>
      <c r="E5259" s="56"/>
      <c r="F5259" s="57"/>
      <c r="G5259" s="57"/>
      <c r="H5259" s="56"/>
      <c r="I5259" s="56"/>
      <c r="J5259" s="58"/>
      <c r="K5259" s="58"/>
      <c r="L5259" s="13" t="str">
        <f t="shared" si="820"/>
        <v/>
      </c>
      <c r="M5259" s="13" t="str">
        <f t="shared" si="821"/>
        <v/>
      </c>
      <c r="Q5259" t="str">
        <f t="shared" si="822"/>
        <v/>
      </c>
      <c r="R5259" t="str">
        <f t="shared" si="823"/>
        <v/>
      </c>
      <c r="S5259" t="str">
        <f t="shared" si="824"/>
        <v/>
      </c>
      <c r="T5259" t="str">
        <f t="shared" si="825"/>
        <v/>
      </c>
      <c r="U5259" t="str">
        <f t="shared" si="826"/>
        <v/>
      </c>
      <c r="V5259" t="str">
        <f t="shared" si="827"/>
        <v/>
      </c>
      <c r="W5259" t="str">
        <f t="shared" si="828"/>
        <v/>
      </c>
      <c r="X5259">
        <f>IF($T5259="",N($X5258),IF(MATCH($T5259,$T$6:$T$10005,0)=ROW()-5,N($X5258)+1,N($X5258)))</f>
        <v>0</v>
      </c>
      <c r="Z5259" t="str">
        <f t="shared" si="829"/>
        <v/>
      </c>
      <c r="AA5259">
        <f>IF($V5259="",N($AA5258),IF(MATCH($V5259,$V$6:$V$10005,0)=ROW()-5,N($AA5258)+1,N($AA5258)))</f>
        <v>0</v>
      </c>
    </row>
    <row r="5260" spans="1:27" ht="21" customHeight="1" x14ac:dyDescent="0.95">
      <c r="A5260" s="56"/>
      <c r="B5260" s="57"/>
      <c r="C5260" s="57"/>
      <c r="D5260" s="57"/>
      <c r="E5260" s="56"/>
      <c r="F5260" s="57"/>
      <c r="G5260" s="57"/>
      <c r="H5260" s="56"/>
      <c r="I5260" s="56"/>
      <c r="J5260" s="58"/>
      <c r="K5260" s="58"/>
      <c r="L5260" s="13" t="str">
        <f t="shared" si="820"/>
        <v/>
      </c>
      <c r="M5260" s="13" t="str">
        <f t="shared" si="821"/>
        <v/>
      </c>
      <c r="Q5260" t="str">
        <f t="shared" si="822"/>
        <v/>
      </c>
      <c r="R5260" t="str">
        <f t="shared" si="823"/>
        <v/>
      </c>
      <c r="S5260" t="str">
        <f t="shared" si="824"/>
        <v/>
      </c>
      <c r="T5260" t="str">
        <f t="shared" si="825"/>
        <v/>
      </c>
      <c r="U5260" t="str">
        <f t="shared" si="826"/>
        <v/>
      </c>
      <c r="V5260" t="str">
        <f t="shared" si="827"/>
        <v/>
      </c>
      <c r="W5260" t="str">
        <f t="shared" si="828"/>
        <v/>
      </c>
      <c r="X5260">
        <f>IF($T5260="",N($X5259),IF(MATCH($T5260,$T$6:$T$10005,0)=ROW()-5,N($X5259)+1,N($X5259)))</f>
        <v>0</v>
      </c>
      <c r="Z5260" t="str">
        <f t="shared" si="829"/>
        <v/>
      </c>
      <c r="AA5260">
        <f>IF($V5260="",N($AA5259),IF(MATCH($V5260,$V$6:$V$10005,0)=ROW()-5,N($AA5259)+1,N($AA5259)))</f>
        <v>0</v>
      </c>
    </row>
    <row r="5261" spans="1:27" ht="21" customHeight="1" x14ac:dyDescent="0.95">
      <c r="A5261" s="56"/>
      <c r="B5261" s="57"/>
      <c r="C5261" s="57"/>
      <c r="D5261" s="57"/>
      <c r="E5261" s="56"/>
      <c r="F5261" s="57"/>
      <c r="G5261" s="57"/>
      <c r="H5261" s="56"/>
      <c r="I5261" s="56"/>
      <c r="J5261" s="58"/>
      <c r="K5261" s="58"/>
      <c r="L5261" s="13" t="str">
        <f t="shared" si="820"/>
        <v/>
      </c>
      <c r="M5261" s="13" t="str">
        <f t="shared" si="821"/>
        <v/>
      </c>
      <c r="Q5261" t="str">
        <f t="shared" si="822"/>
        <v/>
      </c>
      <c r="R5261" t="str">
        <f t="shared" si="823"/>
        <v/>
      </c>
      <c r="S5261" t="str">
        <f t="shared" si="824"/>
        <v/>
      </c>
      <c r="T5261" t="str">
        <f t="shared" si="825"/>
        <v/>
      </c>
      <c r="U5261" t="str">
        <f t="shared" si="826"/>
        <v/>
      </c>
      <c r="V5261" t="str">
        <f t="shared" si="827"/>
        <v/>
      </c>
      <c r="W5261" t="str">
        <f t="shared" si="828"/>
        <v/>
      </c>
      <c r="X5261">
        <f>IF($T5261="",N($X5260),IF(MATCH($T5261,$T$6:$T$10005,0)=ROW()-5,N($X5260)+1,N($X5260)))</f>
        <v>0</v>
      </c>
      <c r="Z5261" t="str">
        <f t="shared" si="829"/>
        <v/>
      </c>
      <c r="AA5261">
        <f>IF($V5261="",N($AA5260),IF(MATCH($V5261,$V$6:$V$10005,0)=ROW()-5,N($AA5260)+1,N($AA5260)))</f>
        <v>0</v>
      </c>
    </row>
    <row r="5262" spans="1:27" ht="21" customHeight="1" x14ac:dyDescent="0.95">
      <c r="A5262" s="56"/>
      <c r="B5262" s="57"/>
      <c r="C5262" s="57"/>
      <c r="D5262" s="57"/>
      <c r="E5262" s="56"/>
      <c r="F5262" s="57"/>
      <c r="G5262" s="57"/>
      <c r="H5262" s="56"/>
      <c r="I5262" s="56"/>
      <c r="J5262" s="58"/>
      <c r="K5262" s="58"/>
      <c r="L5262" s="13" t="str">
        <f t="shared" si="820"/>
        <v/>
      </c>
      <c r="M5262" s="13" t="str">
        <f t="shared" si="821"/>
        <v/>
      </c>
      <c r="Q5262" t="str">
        <f t="shared" si="822"/>
        <v/>
      </c>
      <c r="R5262" t="str">
        <f t="shared" si="823"/>
        <v/>
      </c>
      <c r="S5262" t="str">
        <f t="shared" si="824"/>
        <v/>
      </c>
      <c r="T5262" t="str">
        <f t="shared" si="825"/>
        <v/>
      </c>
      <c r="U5262" t="str">
        <f t="shared" si="826"/>
        <v/>
      </c>
      <c r="V5262" t="str">
        <f t="shared" si="827"/>
        <v/>
      </c>
      <c r="W5262" t="str">
        <f t="shared" si="828"/>
        <v/>
      </c>
      <c r="X5262">
        <f>IF($T5262="",N($X5261),IF(MATCH($T5262,$T$6:$T$10005,0)=ROW()-5,N($X5261)+1,N($X5261)))</f>
        <v>0</v>
      </c>
      <c r="Z5262" t="str">
        <f t="shared" si="829"/>
        <v/>
      </c>
      <c r="AA5262">
        <f>IF($V5262="",N($AA5261),IF(MATCH($V5262,$V$6:$V$10005,0)=ROW()-5,N($AA5261)+1,N($AA5261)))</f>
        <v>0</v>
      </c>
    </row>
    <row r="5263" spans="1:27" ht="21" customHeight="1" x14ac:dyDescent="0.95">
      <c r="A5263" s="56"/>
      <c r="B5263" s="57"/>
      <c r="C5263" s="57"/>
      <c r="D5263" s="57"/>
      <c r="E5263" s="56"/>
      <c r="F5263" s="57"/>
      <c r="G5263" s="57"/>
      <c r="H5263" s="56"/>
      <c r="I5263" s="56"/>
      <c r="J5263" s="58"/>
      <c r="K5263" s="58"/>
      <c r="L5263" s="13" t="str">
        <f t="shared" si="820"/>
        <v/>
      </c>
      <c r="M5263" s="13" t="str">
        <f t="shared" si="821"/>
        <v/>
      </c>
      <c r="Q5263" t="str">
        <f t="shared" si="822"/>
        <v/>
      </c>
      <c r="R5263" t="str">
        <f t="shared" si="823"/>
        <v/>
      </c>
      <c r="S5263" t="str">
        <f t="shared" si="824"/>
        <v/>
      </c>
      <c r="T5263" t="str">
        <f t="shared" si="825"/>
        <v/>
      </c>
      <c r="U5263" t="str">
        <f t="shared" si="826"/>
        <v/>
      </c>
      <c r="V5263" t="str">
        <f t="shared" si="827"/>
        <v/>
      </c>
      <c r="W5263" t="str">
        <f t="shared" si="828"/>
        <v/>
      </c>
      <c r="X5263">
        <f>IF($T5263="",N($X5262),IF(MATCH($T5263,$T$6:$T$10005,0)=ROW()-5,N($X5262)+1,N($X5262)))</f>
        <v>0</v>
      </c>
      <c r="Z5263" t="str">
        <f t="shared" si="829"/>
        <v/>
      </c>
      <c r="AA5263">
        <f>IF($V5263="",N($AA5262),IF(MATCH($V5263,$V$6:$V$10005,0)=ROW()-5,N($AA5262)+1,N($AA5262)))</f>
        <v>0</v>
      </c>
    </row>
    <row r="5264" spans="1:27" ht="21" customHeight="1" x14ac:dyDescent="0.95">
      <c r="A5264" s="56"/>
      <c r="B5264" s="57"/>
      <c r="C5264" s="57"/>
      <c r="D5264" s="57"/>
      <c r="E5264" s="56"/>
      <c r="F5264" s="57"/>
      <c r="G5264" s="57"/>
      <c r="H5264" s="56"/>
      <c r="I5264" s="56"/>
      <c r="J5264" s="58"/>
      <c r="K5264" s="58"/>
      <c r="L5264" s="13" t="str">
        <f t="shared" si="820"/>
        <v/>
      </c>
      <c r="M5264" s="13" t="str">
        <f t="shared" si="821"/>
        <v/>
      </c>
      <c r="Q5264" t="str">
        <f t="shared" si="822"/>
        <v/>
      </c>
      <c r="R5264" t="str">
        <f t="shared" si="823"/>
        <v/>
      </c>
      <c r="S5264" t="str">
        <f t="shared" si="824"/>
        <v/>
      </c>
      <c r="T5264" t="str">
        <f t="shared" si="825"/>
        <v/>
      </c>
      <c r="U5264" t="str">
        <f t="shared" si="826"/>
        <v/>
      </c>
      <c r="V5264" t="str">
        <f t="shared" si="827"/>
        <v/>
      </c>
      <c r="W5264" t="str">
        <f t="shared" si="828"/>
        <v/>
      </c>
      <c r="X5264">
        <f>IF($T5264="",N($X5263),IF(MATCH($T5264,$T$6:$T$10005,0)=ROW()-5,N($X5263)+1,N($X5263)))</f>
        <v>0</v>
      </c>
      <c r="Z5264" t="str">
        <f t="shared" si="829"/>
        <v/>
      </c>
      <c r="AA5264">
        <f>IF($V5264="",N($AA5263),IF(MATCH($V5264,$V$6:$V$10005,0)=ROW()-5,N($AA5263)+1,N($AA5263)))</f>
        <v>0</v>
      </c>
    </row>
    <row r="5265" spans="1:27" ht="21" customHeight="1" x14ac:dyDescent="0.95">
      <c r="A5265" s="56"/>
      <c r="B5265" s="57"/>
      <c r="C5265" s="57"/>
      <c r="D5265" s="57"/>
      <c r="E5265" s="56"/>
      <c r="F5265" s="57"/>
      <c r="G5265" s="57"/>
      <c r="H5265" s="56"/>
      <c r="I5265" s="56"/>
      <c r="J5265" s="58"/>
      <c r="K5265" s="58"/>
      <c r="L5265" s="13" t="str">
        <f t="shared" si="820"/>
        <v/>
      </c>
      <c r="M5265" s="13" t="str">
        <f t="shared" si="821"/>
        <v/>
      </c>
      <c r="Q5265" t="str">
        <f t="shared" si="822"/>
        <v/>
      </c>
      <c r="R5265" t="str">
        <f t="shared" si="823"/>
        <v/>
      </c>
      <c r="S5265" t="str">
        <f t="shared" si="824"/>
        <v/>
      </c>
      <c r="T5265" t="str">
        <f t="shared" si="825"/>
        <v/>
      </c>
      <c r="U5265" t="str">
        <f t="shared" si="826"/>
        <v/>
      </c>
      <c r="V5265" t="str">
        <f t="shared" si="827"/>
        <v/>
      </c>
      <c r="W5265" t="str">
        <f t="shared" si="828"/>
        <v/>
      </c>
      <c r="X5265">
        <f>IF($T5265="",N($X5264),IF(MATCH($T5265,$T$6:$T$10005,0)=ROW()-5,N($X5264)+1,N($X5264)))</f>
        <v>0</v>
      </c>
      <c r="Z5265" t="str">
        <f t="shared" si="829"/>
        <v/>
      </c>
      <c r="AA5265">
        <f>IF($V5265="",N($AA5264),IF(MATCH($V5265,$V$6:$V$10005,0)=ROW()-5,N($AA5264)+1,N($AA5264)))</f>
        <v>0</v>
      </c>
    </row>
    <row r="5266" spans="1:27" ht="21" customHeight="1" x14ac:dyDescent="0.95">
      <c r="A5266" s="56"/>
      <c r="B5266" s="57"/>
      <c r="C5266" s="57"/>
      <c r="D5266" s="57"/>
      <c r="E5266" s="56"/>
      <c r="F5266" s="57"/>
      <c r="G5266" s="57"/>
      <c r="H5266" s="56"/>
      <c r="I5266" s="56"/>
      <c r="J5266" s="58"/>
      <c r="K5266" s="58"/>
      <c r="L5266" s="13" t="str">
        <f t="shared" si="820"/>
        <v/>
      </c>
      <c r="M5266" s="13" t="str">
        <f t="shared" si="821"/>
        <v/>
      </c>
      <c r="Q5266" t="str">
        <f t="shared" si="822"/>
        <v/>
      </c>
      <c r="R5266" t="str">
        <f t="shared" si="823"/>
        <v/>
      </c>
      <c r="S5266" t="str">
        <f t="shared" si="824"/>
        <v/>
      </c>
      <c r="T5266" t="str">
        <f t="shared" si="825"/>
        <v/>
      </c>
      <c r="U5266" t="str">
        <f t="shared" si="826"/>
        <v/>
      </c>
      <c r="V5266" t="str">
        <f t="shared" si="827"/>
        <v/>
      </c>
      <c r="W5266" t="str">
        <f t="shared" si="828"/>
        <v/>
      </c>
      <c r="X5266">
        <f>IF($T5266="",N($X5265),IF(MATCH($T5266,$T$6:$T$10005,0)=ROW()-5,N($X5265)+1,N($X5265)))</f>
        <v>0</v>
      </c>
      <c r="Z5266" t="str">
        <f t="shared" si="829"/>
        <v/>
      </c>
      <c r="AA5266">
        <f>IF($V5266="",N($AA5265),IF(MATCH($V5266,$V$6:$V$10005,0)=ROW()-5,N($AA5265)+1,N($AA5265)))</f>
        <v>0</v>
      </c>
    </row>
    <row r="5267" spans="1:27" ht="21" customHeight="1" x14ac:dyDescent="0.95">
      <c r="A5267" s="56"/>
      <c r="B5267" s="57"/>
      <c r="C5267" s="57"/>
      <c r="D5267" s="57"/>
      <c r="E5267" s="56"/>
      <c r="F5267" s="57"/>
      <c r="G5267" s="57"/>
      <c r="H5267" s="56"/>
      <c r="I5267" s="56"/>
      <c r="J5267" s="58"/>
      <c r="K5267" s="58"/>
      <c r="L5267" s="13" t="str">
        <f t="shared" si="820"/>
        <v/>
      </c>
      <c r="M5267" s="13" t="str">
        <f t="shared" si="821"/>
        <v/>
      </c>
      <c r="Q5267" t="str">
        <f t="shared" si="822"/>
        <v/>
      </c>
      <c r="R5267" t="str">
        <f t="shared" si="823"/>
        <v/>
      </c>
      <c r="S5267" t="str">
        <f t="shared" si="824"/>
        <v/>
      </c>
      <c r="T5267" t="str">
        <f t="shared" si="825"/>
        <v/>
      </c>
      <c r="U5267" t="str">
        <f t="shared" si="826"/>
        <v/>
      </c>
      <c r="V5267" t="str">
        <f t="shared" si="827"/>
        <v/>
      </c>
      <c r="W5267" t="str">
        <f t="shared" si="828"/>
        <v/>
      </c>
      <c r="X5267">
        <f>IF($T5267="",N($X5266),IF(MATCH($T5267,$T$6:$T$10005,0)=ROW()-5,N($X5266)+1,N($X5266)))</f>
        <v>0</v>
      </c>
      <c r="Z5267" t="str">
        <f t="shared" si="829"/>
        <v/>
      </c>
      <c r="AA5267">
        <f>IF($V5267="",N($AA5266),IF(MATCH($V5267,$V$6:$V$10005,0)=ROW()-5,N($AA5266)+1,N($AA5266)))</f>
        <v>0</v>
      </c>
    </row>
    <row r="5268" spans="1:27" ht="21" customHeight="1" x14ac:dyDescent="0.95">
      <c r="A5268" s="56"/>
      <c r="B5268" s="57"/>
      <c r="C5268" s="57"/>
      <c r="D5268" s="57"/>
      <c r="E5268" s="56"/>
      <c r="F5268" s="57"/>
      <c r="G5268" s="57"/>
      <c r="H5268" s="56"/>
      <c r="I5268" s="56"/>
      <c r="J5268" s="58"/>
      <c r="K5268" s="58"/>
      <c r="L5268" s="13" t="str">
        <f t="shared" si="820"/>
        <v/>
      </c>
      <c r="M5268" s="13" t="str">
        <f t="shared" si="821"/>
        <v/>
      </c>
      <c r="Q5268" t="str">
        <f t="shared" si="822"/>
        <v/>
      </c>
      <c r="R5268" t="str">
        <f t="shared" si="823"/>
        <v/>
      </c>
      <c r="S5268" t="str">
        <f t="shared" si="824"/>
        <v/>
      </c>
      <c r="T5268" t="str">
        <f t="shared" si="825"/>
        <v/>
      </c>
      <c r="U5268" t="str">
        <f t="shared" si="826"/>
        <v/>
      </c>
      <c r="V5268" t="str">
        <f t="shared" si="827"/>
        <v/>
      </c>
      <c r="W5268" t="str">
        <f t="shared" si="828"/>
        <v/>
      </c>
      <c r="X5268">
        <f>IF($T5268="",N($X5267),IF(MATCH($T5268,$T$6:$T$10005,0)=ROW()-5,N($X5267)+1,N($X5267)))</f>
        <v>0</v>
      </c>
      <c r="Z5268" t="str">
        <f t="shared" si="829"/>
        <v/>
      </c>
      <c r="AA5268">
        <f>IF($V5268="",N($AA5267),IF(MATCH($V5268,$V$6:$V$10005,0)=ROW()-5,N($AA5267)+1,N($AA5267)))</f>
        <v>0</v>
      </c>
    </row>
    <row r="5269" spans="1:27" ht="21" customHeight="1" x14ac:dyDescent="0.95">
      <c r="A5269" s="56"/>
      <c r="B5269" s="57"/>
      <c r="C5269" s="57"/>
      <c r="D5269" s="57"/>
      <c r="E5269" s="56"/>
      <c r="F5269" s="57"/>
      <c r="G5269" s="57"/>
      <c r="H5269" s="56"/>
      <c r="I5269" s="56"/>
      <c r="J5269" s="58"/>
      <c r="K5269" s="58"/>
      <c r="L5269" s="13" t="str">
        <f t="shared" si="820"/>
        <v/>
      </c>
      <c r="M5269" s="13" t="str">
        <f t="shared" si="821"/>
        <v/>
      </c>
      <c r="Q5269" t="str">
        <f t="shared" si="822"/>
        <v/>
      </c>
      <c r="R5269" t="str">
        <f t="shared" si="823"/>
        <v/>
      </c>
      <c r="S5269" t="str">
        <f t="shared" si="824"/>
        <v/>
      </c>
      <c r="T5269" t="str">
        <f t="shared" si="825"/>
        <v/>
      </c>
      <c r="U5269" t="str">
        <f t="shared" si="826"/>
        <v/>
      </c>
      <c r="V5269" t="str">
        <f t="shared" si="827"/>
        <v/>
      </c>
      <c r="W5269" t="str">
        <f t="shared" si="828"/>
        <v/>
      </c>
      <c r="X5269">
        <f>IF($T5269="",N($X5268),IF(MATCH($T5269,$T$6:$T$10005,0)=ROW()-5,N($X5268)+1,N($X5268)))</f>
        <v>0</v>
      </c>
      <c r="Z5269" t="str">
        <f t="shared" si="829"/>
        <v/>
      </c>
      <c r="AA5269">
        <f>IF($V5269="",N($AA5268),IF(MATCH($V5269,$V$6:$V$10005,0)=ROW()-5,N($AA5268)+1,N($AA5268)))</f>
        <v>0</v>
      </c>
    </row>
    <row r="5270" spans="1:27" ht="21" customHeight="1" x14ac:dyDescent="0.95">
      <c r="A5270" s="56"/>
      <c r="B5270" s="57"/>
      <c r="C5270" s="57"/>
      <c r="D5270" s="57"/>
      <c r="E5270" s="56"/>
      <c r="F5270" s="57"/>
      <c r="G5270" s="57"/>
      <c r="H5270" s="56"/>
      <c r="I5270" s="56"/>
      <c r="J5270" s="58"/>
      <c r="K5270" s="58"/>
      <c r="L5270" s="13" t="str">
        <f t="shared" si="820"/>
        <v/>
      </c>
      <c r="M5270" s="13" t="str">
        <f t="shared" si="821"/>
        <v/>
      </c>
      <c r="Q5270" t="str">
        <f t="shared" si="822"/>
        <v/>
      </c>
      <c r="R5270" t="str">
        <f t="shared" si="823"/>
        <v/>
      </c>
      <c r="S5270" t="str">
        <f t="shared" si="824"/>
        <v/>
      </c>
      <c r="T5270" t="str">
        <f t="shared" si="825"/>
        <v/>
      </c>
      <c r="U5270" t="str">
        <f t="shared" si="826"/>
        <v/>
      </c>
      <c r="V5270" t="str">
        <f t="shared" si="827"/>
        <v/>
      </c>
      <c r="W5270" t="str">
        <f t="shared" si="828"/>
        <v/>
      </c>
      <c r="X5270">
        <f>IF($T5270="",N($X5269),IF(MATCH($T5270,$T$6:$T$10005,0)=ROW()-5,N($X5269)+1,N($X5269)))</f>
        <v>0</v>
      </c>
      <c r="Z5270" t="str">
        <f t="shared" si="829"/>
        <v/>
      </c>
      <c r="AA5270">
        <f>IF($V5270="",N($AA5269),IF(MATCH($V5270,$V$6:$V$10005,0)=ROW()-5,N($AA5269)+1,N($AA5269)))</f>
        <v>0</v>
      </c>
    </row>
    <row r="5271" spans="1:27" ht="21" customHeight="1" x14ac:dyDescent="0.95">
      <c r="A5271" s="56"/>
      <c r="B5271" s="57"/>
      <c r="C5271" s="57"/>
      <c r="D5271" s="57"/>
      <c r="E5271" s="56"/>
      <c r="F5271" s="57"/>
      <c r="G5271" s="57"/>
      <c r="H5271" s="56"/>
      <c r="I5271" s="56"/>
      <c r="J5271" s="58"/>
      <c r="K5271" s="58"/>
      <c r="L5271" s="13" t="str">
        <f t="shared" si="820"/>
        <v/>
      </c>
      <c r="M5271" s="13" t="str">
        <f t="shared" si="821"/>
        <v/>
      </c>
      <c r="Q5271" t="str">
        <f t="shared" si="822"/>
        <v/>
      </c>
      <c r="R5271" t="str">
        <f t="shared" si="823"/>
        <v/>
      </c>
      <c r="S5271" t="str">
        <f t="shared" si="824"/>
        <v/>
      </c>
      <c r="T5271" t="str">
        <f t="shared" si="825"/>
        <v/>
      </c>
      <c r="U5271" t="str">
        <f t="shared" si="826"/>
        <v/>
      </c>
      <c r="V5271" t="str">
        <f t="shared" si="827"/>
        <v/>
      </c>
      <c r="W5271" t="str">
        <f t="shared" si="828"/>
        <v/>
      </c>
      <c r="X5271">
        <f>IF($T5271="",N($X5270),IF(MATCH($T5271,$T$6:$T$10005,0)=ROW()-5,N($X5270)+1,N($X5270)))</f>
        <v>0</v>
      </c>
      <c r="Z5271" t="str">
        <f t="shared" si="829"/>
        <v/>
      </c>
      <c r="AA5271">
        <f>IF($V5271="",N($AA5270),IF(MATCH($V5271,$V$6:$V$10005,0)=ROW()-5,N($AA5270)+1,N($AA5270)))</f>
        <v>0</v>
      </c>
    </row>
    <row r="5272" spans="1:27" ht="21" customHeight="1" x14ac:dyDescent="0.95">
      <c r="A5272" s="56"/>
      <c r="B5272" s="57"/>
      <c r="C5272" s="57"/>
      <c r="D5272" s="57"/>
      <c r="E5272" s="56"/>
      <c r="F5272" s="57"/>
      <c r="G5272" s="57"/>
      <c r="H5272" s="56"/>
      <c r="I5272" s="56"/>
      <c r="J5272" s="58"/>
      <c r="K5272" s="58"/>
      <c r="L5272" s="13" t="str">
        <f t="shared" si="820"/>
        <v/>
      </c>
      <c r="M5272" s="13" t="str">
        <f t="shared" si="821"/>
        <v/>
      </c>
      <c r="Q5272" t="str">
        <f t="shared" si="822"/>
        <v/>
      </c>
      <c r="R5272" t="str">
        <f t="shared" si="823"/>
        <v/>
      </c>
      <c r="S5272" t="str">
        <f t="shared" si="824"/>
        <v/>
      </c>
      <c r="T5272" t="str">
        <f t="shared" si="825"/>
        <v/>
      </c>
      <c r="U5272" t="str">
        <f t="shared" si="826"/>
        <v/>
      </c>
      <c r="V5272" t="str">
        <f t="shared" si="827"/>
        <v/>
      </c>
      <c r="W5272" t="str">
        <f t="shared" si="828"/>
        <v/>
      </c>
      <c r="X5272">
        <f>IF($T5272="",N($X5271),IF(MATCH($T5272,$T$6:$T$10005,0)=ROW()-5,N($X5271)+1,N($X5271)))</f>
        <v>0</v>
      </c>
      <c r="Z5272" t="str">
        <f t="shared" si="829"/>
        <v/>
      </c>
      <c r="AA5272">
        <f>IF($V5272="",N($AA5271),IF(MATCH($V5272,$V$6:$V$10005,0)=ROW()-5,N($AA5271)+1,N($AA5271)))</f>
        <v>0</v>
      </c>
    </row>
    <row r="5273" spans="1:27" ht="21" customHeight="1" x14ac:dyDescent="0.95">
      <c r="A5273" s="56"/>
      <c r="B5273" s="57"/>
      <c r="C5273" s="57"/>
      <c r="D5273" s="57"/>
      <c r="E5273" s="56"/>
      <c r="F5273" s="57"/>
      <c r="G5273" s="57"/>
      <c r="H5273" s="56"/>
      <c r="I5273" s="56"/>
      <c r="J5273" s="58"/>
      <c r="K5273" s="58"/>
      <c r="L5273" s="13" t="str">
        <f t="shared" si="820"/>
        <v/>
      </c>
      <c r="M5273" s="13" t="str">
        <f t="shared" si="821"/>
        <v/>
      </c>
      <c r="Q5273" t="str">
        <f t="shared" si="822"/>
        <v/>
      </c>
      <c r="R5273" t="str">
        <f t="shared" si="823"/>
        <v/>
      </c>
      <c r="S5273" t="str">
        <f t="shared" si="824"/>
        <v/>
      </c>
      <c r="T5273" t="str">
        <f t="shared" si="825"/>
        <v/>
      </c>
      <c r="U5273" t="str">
        <f t="shared" si="826"/>
        <v/>
      </c>
      <c r="V5273" t="str">
        <f t="shared" si="827"/>
        <v/>
      </c>
      <c r="W5273" t="str">
        <f t="shared" si="828"/>
        <v/>
      </c>
      <c r="X5273">
        <f>IF($T5273="",N($X5272),IF(MATCH($T5273,$T$6:$T$10005,0)=ROW()-5,N($X5272)+1,N($X5272)))</f>
        <v>0</v>
      </c>
      <c r="Z5273" t="str">
        <f t="shared" si="829"/>
        <v/>
      </c>
      <c r="AA5273">
        <f>IF($V5273="",N($AA5272),IF(MATCH($V5273,$V$6:$V$10005,0)=ROW()-5,N($AA5272)+1,N($AA5272)))</f>
        <v>0</v>
      </c>
    </row>
    <row r="5274" spans="1:27" ht="21" customHeight="1" x14ac:dyDescent="0.95">
      <c r="A5274" s="56"/>
      <c r="B5274" s="57"/>
      <c r="C5274" s="57"/>
      <c r="D5274" s="57"/>
      <c r="E5274" s="56"/>
      <c r="F5274" s="57"/>
      <c r="G5274" s="57"/>
      <c r="H5274" s="56"/>
      <c r="I5274" s="56"/>
      <c r="J5274" s="58"/>
      <c r="K5274" s="58"/>
      <c r="L5274" s="13" t="str">
        <f t="shared" si="820"/>
        <v/>
      </c>
      <c r="M5274" s="13" t="str">
        <f t="shared" si="821"/>
        <v/>
      </c>
      <c r="Q5274" t="str">
        <f t="shared" si="822"/>
        <v/>
      </c>
      <c r="R5274" t="str">
        <f t="shared" si="823"/>
        <v/>
      </c>
      <c r="S5274" t="str">
        <f t="shared" si="824"/>
        <v/>
      </c>
      <c r="T5274" t="str">
        <f t="shared" si="825"/>
        <v/>
      </c>
      <c r="U5274" t="str">
        <f t="shared" si="826"/>
        <v/>
      </c>
      <c r="V5274" t="str">
        <f t="shared" si="827"/>
        <v/>
      </c>
      <c r="W5274" t="str">
        <f t="shared" si="828"/>
        <v/>
      </c>
      <c r="X5274">
        <f>IF($T5274="",N($X5273),IF(MATCH($T5274,$T$6:$T$10005,0)=ROW()-5,N($X5273)+1,N($X5273)))</f>
        <v>0</v>
      </c>
      <c r="Z5274" t="str">
        <f t="shared" si="829"/>
        <v/>
      </c>
      <c r="AA5274">
        <f>IF($V5274="",N($AA5273),IF(MATCH($V5274,$V$6:$V$10005,0)=ROW()-5,N($AA5273)+1,N($AA5273)))</f>
        <v>0</v>
      </c>
    </row>
    <row r="5275" spans="1:27" ht="21" customHeight="1" x14ac:dyDescent="0.95">
      <c r="A5275" s="56"/>
      <c r="B5275" s="57"/>
      <c r="C5275" s="57"/>
      <c r="D5275" s="57"/>
      <c r="E5275" s="56"/>
      <c r="F5275" s="57"/>
      <c r="G5275" s="57"/>
      <c r="H5275" s="56"/>
      <c r="I5275" s="56"/>
      <c r="J5275" s="58"/>
      <c r="K5275" s="58"/>
      <c r="L5275" s="13" t="str">
        <f t="shared" si="820"/>
        <v/>
      </c>
      <c r="M5275" s="13" t="str">
        <f t="shared" si="821"/>
        <v/>
      </c>
      <c r="Q5275" t="str">
        <f t="shared" si="822"/>
        <v/>
      </c>
      <c r="R5275" t="str">
        <f t="shared" si="823"/>
        <v/>
      </c>
      <c r="S5275" t="str">
        <f t="shared" si="824"/>
        <v/>
      </c>
      <c r="T5275" t="str">
        <f t="shared" si="825"/>
        <v/>
      </c>
      <c r="U5275" t="str">
        <f t="shared" si="826"/>
        <v/>
      </c>
      <c r="V5275" t="str">
        <f t="shared" si="827"/>
        <v/>
      </c>
      <c r="W5275" t="str">
        <f t="shared" si="828"/>
        <v/>
      </c>
      <c r="X5275">
        <f>IF($T5275="",N($X5274),IF(MATCH($T5275,$T$6:$T$10005,0)=ROW()-5,N($X5274)+1,N($X5274)))</f>
        <v>0</v>
      </c>
      <c r="Z5275" t="str">
        <f t="shared" si="829"/>
        <v/>
      </c>
      <c r="AA5275">
        <f>IF($V5275="",N($AA5274),IF(MATCH($V5275,$V$6:$V$10005,0)=ROW()-5,N($AA5274)+1,N($AA5274)))</f>
        <v>0</v>
      </c>
    </row>
    <row r="5276" spans="1:27" ht="21" customHeight="1" x14ac:dyDescent="0.95">
      <c r="A5276" s="56"/>
      <c r="B5276" s="57"/>
      <c r="C5276" s="57"/>
      <c r="D5276" s="57"/>
      <c r="E5276" s="56"/>
      <c r="F5276" s="57"/>
      <c r="G5276" s="57"/>
      <c r="H5276" s="56"/>
      <c r="I5276" s="56"/>
      <c r="J5276" s="58"/>
      <c r="K5276" s="58"/>
      <c r="L5276" s="13" t="str">
        <f t="shared" si="820"/>
        <v/>
      </c>
      <c r="M5276" s="13" t="str">
        <f t="shared" si="821"/>
        <v/>
      </c>
      <c r="Q5276" t="str">
        <f t="shared" si="822"/>
        <v/>
      </c>
      <c r="R5276" t="str">
        <f t="shared" si="823"/>
        <v/>
      </c>
      <c r="S5276" t="str">
        <f t="shared" si="824"/>
        <v/>
      </c>
      <c r="T5276" t="str">
        <f t="shared" si="825"/>
        <v/>
      </c>
      <c r="U5276" t="str">
        <f t="shared" si="826"/>
        <v/>
      </c>
      <c r="V5276" t="str">
        <f t="shared" si="827"/>
        <v/>
      </c>
      <c r="W5276" t="str">
        <f t="shared" si="828"/>
        <v/>
      </c>
      <c r="X5276">
        <f>IF($T5276="",N($X5275),IF(MATCH($T5276,$T$6:$T$10005,0)=ROW()-5,N($X5275)+1,N($X5275)))</f>
        <v>0</v>
      </c>
      <c r="Z5276" t="str">
        <f t="shared" si="829"/>
        <v/>
      </c>
      <c r="AA5276">
        <f>IF($V5276="",N($AA5275),IF(MATCH($V5276,$V$6:$V$10005,0)=ROW()-5,N($AA5275)+1,N($AA5275)))</f>
        <v>0</v>
      </c>
    </row>
    <row r="5277" spans="1:27" ht="21" customHeight="1" x14ac:dyDescent="0.95">
      <c r="A5277" s="56"/>
      <c r="B5277" s="57"/>
      <c r="C5277" s="57"/>
      <c r="D5277" s="57"/>
      <c r="E5277" s="56"/>
      <c r="F5277" s="57"/>
      <c r="G5277" s="57"/>
      <c r="H5277" s="56"/>
      <c r="I5277" s="56"/>
      <c r="J5277" s="58"/>
      <c r="K5277" s="58"/>
      <c r="L5277" s="13" t="str">
        <f t="shared" si="820"/>
        <v/>
      </c>
      <c r="M5277" s="13" t="str">
        <f t="shared" si="821"/>
        <v/>
      </c>
      <c r="Q5277" t="str">
        <f t="shared" si="822"/>
        <v/>
      </c>
      <c r="R5277" t="str">
        <f t="shared" si="823"/>
        <v/>
      </c>
      <c r="S5277" t="str">
        <f t="shared" si="824"/>
        <v/>
      </c>
      <c r="T5277" t="str">
        <f t="shared" si="825"/>
        <v/>
      </c>
      <c r="U5277" t="str">
        <f t="shared" si="826"/>
        <v/>
      </c>
      <c r="V5277" t="str">
        <f t="shared" si="827"/>
        <v/>
      </c>
      <c r="W5277" t="str">
        <f t="shared" si="828"/>
        <v/>
      </c>
      <c r="X5277">
        <f>IF($T5277="",N($X5276),IF(MATCH($T5277,$T$6:$T$10005,0)=ROW()-5,N($X5276)+1,N($X5276)))</f>
        <v>0</v>
      </c>
      <c r="Z5277" t="str">
        <f t="shared" si="829"/>
        <v/>
      </c>
      <c r="AA5277">
        <f>IF($V5277="",N($AA5276),IF(MATCH($V5277,$V$6:$V$10005,0)=ROW()-5,N($AA5276)+1,N($AA5276)))</f>
        <v>0</v>
      </c>
    </row>
    <row r="5278" spans="1:27" ht="21" customHeight="1" x14ac:dyDescent="0.95">
      <c r="A5278" s="56"/>
      <c r="B5278" s="57"/>
      <c r="C5278" s="57"/>
      <c r="D5278" s="57"/>
      <c r="E5278" s="56"/>
      <c r="F5278" s="57"/>
      <c r="G5278" s="57"/>
      <c r="H5278" s="56"/>
      <c r="I5278" s="56"/>
      <c r="J5278" s="58"/>
      <c r="K5278" s="58"/>
      <c r="L5278" s="13" t="str">
        <f t="shared" si="820"/>
        <v/>
      </c>
      <c r="M5278" s="13" t="str">
        <f t="shared" si="821"/>
        <v/>
      </c>
      <c r="Q5278" t="str">
        <f t="shared" si="822"/>
        <v/>
      </c>
      <c r="R5278" t="str">
        <f t="shared" si="823"/>
        <v/>
      </c>
      <c r="S5278" t="str">
        <f t="shared" si="824"/>
        <v/>
      </c>
      <c r="T5278" t="str">
        <f t="shared" si="825"/>
        <v/>
      </c>
      <c r="U5278" t="str">
        <f t="shared" si="826"/>
        <v/>
      </c>
      <c r="V5278" t="str">
        <f t="shared" si="827"/>
        <v/>
      </c>
      <c r="W5278" t="str">
        <f t="shared" si="828"/>
        <v/>
      </c>
      <c r="X5278">
        <f>IF($T5278="",N($X5277),IF(MATCH($T5278,$T$6:$T$10005,0)=ROW()-5,N($X5277)+1,N($X5277)))</f>
        <v>0</v>
      </c>
      <c r="Z5278" t="str">
        <f t="shared" si="829"/>
        <v/>
      </c>
      <c r="AA5278">
        <f>IF($V5278="",N($AA5277),IF(MATCH($V5278,$V$6:$V$10005,0)=ROW()-5,N($AA5277)+1,N($AA5277)))</f>
        <v>0</v>
      </c>
    </row>
    <row r="5279" spans="1:27" ht="21" customHeight="1" x14ac:dyDescent="0.95">
      <c r="A5279" s="56"/>
      <c r="B5279" s="57"/>
      <c r="C5279" s="57"/>
      <c r="D5279" s="57"/>
      <c r="E5279" s="56"/>
      <c r="F5279" s="57"/>
      <c r="G5279" s="57"/>
      <c r="H5279" s="56"/>
      <c r="I5279" s="56"/>
      <c r="J5279" s="58"/>
      <c r="K5279" s="58"/>
      <c r="L5279" s="13" t="str">
        <f t="shared" si="820"/>
        <v/>
      </c>
      <c r="M5279" s="13" t="str">
        <f t="shared" si="821"/>
        <v/>
      </c>
      <c r="Q5279" t="str">
        <f t="shared" si="822"/>
        <v/>
      </c>
      <c r="R5279" t="str">
        <f t="shared" si="823"/>
        <v/>
      </c>
      <c r="S5279" t="str">
        <f t="shared" si="824"/>
        <v/>
      </c>
      <c r="T5279" t="str">
        <f t="shared" si="825"/>
        <v/>
      </c>
      <c r="U5279" t="str">
        <f t="shared" si="826"/>
        <v/>
      </c>
      <c r="V5279" t="str">
        <f t="shared" si="827"/>
        <v/>
      </c>
      <c r="W5279" t="str">
        <f t="shared" si="828"/>
        <v/>
      </c>
      <c r="X5279">
        <f>IF($T5279="",N($X5278),IF(MATCH($T5279,$T$6:$T$10005,0)=ROW()-5,N($X5278)+1,N($X5278)))</f>
        <v>0</v>
      </c>
      <c r="Z5279" t="str">
        <f t="shared" si="829"/>
        <v/>
      </c>
      <c r="AA5279">
        <f>IF($V5279="",N($AA5278),IF(MATCH($V5279,$V$6:$V$10005,0)=ROW()-5,N($AA5278)+1,N($AA5278)))</f>
        <v>0</v>
      </c>
    </row>
    <row r="5280" spans="1:27" ht="21" customHeight="1" x14ac:dyDescent="0.95">
      <c r="A5280" s="56"/>
      <c r="B5280" s="57"/>
      <c r="C5280" s="57"/>
      <c r="D5280" s="57"/>
      <c r="E5280" s="56"/>
      <c r="F5280" s="57"/>
      <c r="G5280" s="57"/>
      <c r="H5280" s="56"/>
      <c r="I5280" s="56"/>
      <c r="J5280" s="58"/>
      <c r="K5280" s="58"/>
      <c r="L5280" s="13" t="str">
        <f t="shared" si="820"/>
        <v/>
      </c>
      <c r="M5280" s="13" t="str">
        <f t="shared" si="821"/>
        <v/>
      </c>
      <c r="Q5280" t="str">
        <f t="shared" si="822"/>
        <v/>
      </c>
      <c r="R5280" t="str">
        <f t="shared" si="823"/>
        <v/>
      </c>
      <c r="S5280" t="str">
        <f t="shared" si="824"/>
        <v/>
      </c>
      <c r="T5280" t="str">
        <f t="shared" si="825"/>
        <v/>
      </c>
      <c r="U5280" t="str">
        <f t="shared" si="826"/>
        <v/>
      </c>
      <c r="V5280" t="str">
        <f t="shared" si="827"/>
        <v/>
      </c>
      <c r="W5280" t="str">
        <f t="shared" si="828"/>
        <v/>
      </c>
      <c r="X5280">
        <f>IF($T5280="",N($X5279),IF(MATCH($T5280,$T$6:$T$10005,0)=ROW()-5,N($X5279)+1,N($X5279)))</f>
        <v>0</v>
      </c>
      <c r="Z5280" t="str">
        <f t="shared" si="829"/>
        <v/>
      </c>
      <c r="AA5280">
        <f>IF($V5280="",N($AA5279),IF(MATCH($V5280,$V$6:$V$10005,0)=ROW()-5,N($AA5279)+1,N($AA5279)))</f>
        <v>0</v>
      </c>
    </row>
    <row r="5281" spans="1:27" ht="21" customHeight="1" x14ac:dyDescent="0.95">
      <c r="A5281" s="56"/>
      <c r="B5281" s="57"/>
      <c r="C5281" s="57"/>
      <c r="D5281" s="57"/>
      <c r="E5281" s="56"/>
      <c r="F5281" s="57"/>
      <c r="G5281" s="57"/>
      <c r="H5281" s="56"/>
      <c r="I5281" s="56"/>
      <c r="J5281" s="58"/>
      <c r="K5281" s="58"/>
      <c r="L5281" s="13" t="str">
        <f t="shared" si="820"/>
        <v/>
      </c>
      <c r="M5281" s="13" t="str">
        <f t="shared" si="821"/>
        <v/>
      </c>
      <c r="Q5281" t="str">
        <f t="shared" si="822"/>
        <v/>
      </c>
      <c r="R5281" t="str">
        <f t="shared" si="823"/>
        <v/>
      </c>
      <c r="S5281" t="str">
        <f t="shared" si="824"/>
        <v/>
      </c>
      <c r="T5281" t="str">
        <f t="shared" si="825"/>
        <v/>
      </c>
      <c r="U5281" t="str">
        <f t="shared" si="826"/>
        <v/>
      </c>
      <c r="V5281" t="str">
        <f t="shared" si="827"/>
        <v/>
      </c>
      <c r="W5281" t="str">
        <f t="shared" si="828"/>
        <v/>
      </c>
      <c r="X5281">
        <f>IF($T5281="",N($X5280),IF(MATCH($T5281,$T$6:$T$10005,0)=ROW()-5,N($X5280)+1,N($X5280)))</f>
        <v>0</v>
      </c>
      <c r="Z5281" t="str">
        <f t="shared" si="829"/>
        <v/>
      </c>
      <c r="AA5281">
        <f>IF($V5281="",N($AA5280),IF(MATCH($V5281,$V$6:$V$10005,0)=ROW()-5,N($AA5280)+1,N($AA5280)))</f>
        <v>0</v>
      </c>
    </row>
    <row r="5282" spans="1:27" ht="21" customHeight="1" x14ac:dyDescent="0.95">
      <c r="A5282" s="56"/>
      <c r="B5282" s="57"/>
      <c r="C5282" s="57"/>
      <c r="D5282" s="57"/>
      <c r="E5282" s="56"/>
      <c r="F5282" s="57"/>
      <c r="G5282" s="57"/>
      <c r="H5282" s="56"/>
      <c r="I5282" s="56"/>
      <c r="J5282" s="58"/>
      <c r="K5282" s="58"/>
      <c r="L5282" s="13" t="str">
        <f t="shared" si="820"/>
        <v/>
      </c>
      <c r="M5282" s="13" t="str">
        <f t="shared" si="821"/>
        <v/>
      </c>
      <c r="Q5282" t="str">
        <f t="shared" si="822"/>
        <v/>
      </c>
      <c r="R5282" t="str">
        <f t="shared" si="823"/>
        <v/>
      </c>
      <c r="S5282" t="str">
        <f t="shared" si="824"/>
        <v/>
      </c>
      <c r="T5282" t="str">
        <f t="shared" si="825"/>
        <v/>
      </c>
      <c r="U5282" t="str">
        <f t="shared" si="826"/>
        <v/>
      </c>
      <c r="V5282" t="str">
        <f t="shared" si="827"/>
        <v/>
      </c>
      <c r="W5282" t="str">
        <f t="shared" si="828"/>
        <v/>
      </c>
      <c r="X5282">
        <f>IF($T5282="",N($X5281),IF(MATCH($T5282,$T$6:$T$10005,0)=ROW()-5,N($X5281)+1,N($X5281)))</f>
        <v>0</v>
      </c>
      <c r="Z5282" t="str">
        <f t="shared" si="829"/>
        <v/>
      </c>
      <c r="AA5282">
        <f>IF($V5282="",N($AA5281),IF(MATCH($V5282,$V$6:$V$10005,0)=ROW()-5,N($AA5281)+1,N($AA5281)))</f>
        <v>0</v>
      </c>
    </row>
    <row r="5283" spans="1:27" ht="21" customHeight="1" x14ac:dyDescent="0.95">
      <c r="A5283" s="56"/>
      <c r="B5283" s="57"/>
      <c r="C5283" s="57"/>
      <c r="D5283" s="57"/>
      <c r="E5283" s="56"/>
      <c r="F5283" s="57"/>
      <c r="G5283" s="57"/>
      <c r="H5283" s="56"/>
      <c r="I5283" s="56"/>
      <c r="J5283" s="58"/>
      <c r="K5283" s="58"/>
      <c r="L5283" s="13" t="str">
        <f t="shared" si="820"/>
        <v/>
      </c>
      <c r="M5283" s="13" t="str">
        <f t="shared" si="821"/>
        <v/>
      </c>
      <c r="Q5283" t="str">
        <f t="shared" si="822"/>
        <v/>
      </c>
      <c r="R5283" t="str">
        <f t="shared" si="823"/>
        <v/>
      </c>
      <c r="S5283" t="str">
        <f t="shared" si="824"/>
        <v/>
      </c>
      <c r="T5283" t="str">
        <f t="shared" si="825"/>
        <v/>
      </c>
      <c r="U5283" t="str">
        <f t="shared" si="826"/>
        <v/>
      </c>
      <c r="V5283" t="str">
        <f t="shared" si="827"/>
        <v/>
      </c>
      <c r="W5283" t="str">
        <f t="shared" si="828"/>
        <v/>
      </c>
      <c r="X5283">
        <f>IF($T5283="",N($X5282),IF(MATCH($T5283,$T$6:$T$10005,0)=ROW()-5,N($X5282)+1,N($X5282)))</f>
        <v>0</v>
      </c>
      <c r="Z5283" t="str">
        <f t="shared" si="829"/>
        <v/>
      </c>
      <c r="AA5283">
        <f>IF($V5283="",N($AA5282),IF(MATCH($V5283,$V$6:$V$10005,0)=ROW()-5,N($AA5282)+1,N($AA5282)))</f>
        <v>0</v>
      </c>
    </row>
    <row r="5284" spans="1:27" ht="21" customHeight="1" x14ac:dyDescent="0.95">
      <c r="A5284" s="56"/>
      <c r="B5284" s="57"/>
      <c r="C5284" s="57"/>
      <c r="D5284" s="57"/>
      <c r="E5284" s="56"/>
      <c r="F5284" s="57"/>
      <c r="G5284" s="57"/>
      <c r="H5284" s="56"/>
      <c r="I5284" s="56"/>
      <c r="J5284" s="58"/>
      <c r="K5284" s="58"/>
      <c r="L5284" s="13" t="str">
        <f t="shared" si="820"/>
        <v/>
      </c>
      <c r="M5284" s="13" t="str">
        <f t="shared" si="821"/>
        <v/>
      </c>
      <c r="Q5284" t="str">
        <f t="shared" si="822"/>
        <v/>
      </c>
      <c r="R5284" t="str">
        <f t="shared" si="823"/>
        <v/>
      </c>
      <c r="S5284" t="str">
        <f t="shared" si="824"/>
        <v/>
      </c>
      <c r="T5284" t="str">
        <f t="shared" si="825"/>
        <v/>
      </c>
      <c r="U5284" t="str">
        <f t="shared" si="826"/>
        <v/>
      </c>
      <c r="V5284" t="str">
        <f t="shared" si="827"/>
        <v/>
      </c>
      <c r="W5284" t="str">
        <f t="shared" si="828"/>
        <v/>
      </c>
      <c r="X5284">
        <f>IF($T5284="",N($X5283),IF(MATCH($T5284,$T$6:$T$10005,0)=ROW()-5,N($X5283)+1,N($X5283)))</f>
        <v>0</v>
      </c>
      <c r="Z5284" t="str">
        <f t="shared" si="829"/>
        <v/>
      </c>
      <c r="AA5284">
        <f>IF($V5284="",N($AA5283),IF(MATCH($V5284,$V$6:$V$10005,0)=ROW()-5,N($AA5283)+1,N($AA5283)))</f>
        <v>0</v>
      </c>
    </row>
    <row r="5285" spans="1:27" ht="21" customHeight="1" x14ac:dyDescent="0.95">
      <c r="A5285" s="56"/>
      <c r="B5285" s="57"/>
      <c r="C5285" s="57"/>
      <c r="D5285" s="57"/>
      <c r="E5285" s="56"/>
      <c r="F5285" s="57"/>
      <c r="G5285" s="57"/>
      <c r="H5285" s="56"/>
      <c r="I5285" s="56"/>
      <c r="J5285" s="58"/>
      <c r="K5285" s="58"/>
      <c r="L5285" s="13" t="str">
        <f t="shared" si="820"/>
        <v/>
      </c>
      <c r="M5285" s="13" t="str">
        <f t="shared" si="821"/>
        <v/>
      </c>
      <c r="Q5285" t="str">
        <f t="shared" si="822"/>
        <v/>
      </c>
      <c r="R5285" t="str">
        <f t="shared" si="823"/>
        <v/>
      </c>
      <c r="S5285" t="str">
        <f t="shared" si="824"/>
        <v/>
      </c>
      <c r="T5285" t="str">
        <f t="shared" si="825"/>
        <v/>
      </c>
      <c r="U5285" t="str">
        <f t="shared" si="826"/>
        <v/>
      </c>
      <c r="V5285" t="str">
        <f t="shared" si="827"/>
        <v/>
      </c>
      <c r="W5285" t="str">
        <f t="shared" si="828"/>
        <v/>
      </c>
      <c r="X5285">
        <f>IF($T5285="",N($X5284),IF(MATCH($T5285,$T$6:$T$10005,0)=ROW()-5,N($X5284)+1,N($X5284)))</f>
        <v>0</v>
      </c>
      <c r="Z5285" t="str">
        <f t="shared" si="829"/>
        <v/>
      </c>
      <c r="AA5285">
        <f>IF($V5285="",N($AA5284),IF(MATCH($V5285,$V$6:$V$10005,0)=ROW()-5,N($AA5284)+1,N($AA5284)))</f>
        <v>0</v>
      </c>
    </row>
    <row r="5286" spans="1:27" ht="21" customHeight="1" x14ac:dyDescent="0.95">
      <c r="A5286" s="56"/>
      <c r="B5286" s="57"/>
      <c r="C5286" s="57"/>
      <c r="D5286" s="57"/>
      <c r="E5286" s="56"/>
      <c r="F5286" s="57"/>
      <c r="G5286" s="57"/>
      <c r="H5286" s="56"/>
      <c r="I5286" s="56"/>
      <c r="J5286" s="58"/>
      <c r="K5286" s="58"/>
      <c r="L5286" s="13" t="str">
        <f t="shared" si="820"/>
        <v/>
      </c>
      <c r="M5286" s="13" t="str">
        <f t="shared" si="821"/>
        <v/>
      </c>
      <c r="Q5286" t="str">
        <f t="shared" si="822"/>
        <v/>
      </c>
      <c r="R5286" t="str">
        <f t="shared" si="823"/>
        <v/>
      </c>
      <c r="S5286" t="str">
        <f t="shared" si="824"/>
        <v/>
      </c>
      <c r="T5286" t="str">
        <f t="shared" si="825"/>
        <v/>
      </c>
      <c r="U5286" t="str">
        <f t="shared" si="826"/>
        <v/>
      </c>
      <c r="V5286" t="str">
        <f t="shared" si="827"/>
        <v/>
      </c>
      <c r="W5286" t="str">
        <f t="shared" si="828"/>
        <v/>
      </c>
      <c r="X5286">
        <f>IF($T5286="",N($X5285),IF(MATCH($T5286,$T$6:$T$10005,0)=ROW()-5,N($X5285)+1,N($X5285)))</f>
        <v>0</v>
      </c>
      <c r="Z5286" t="str">
        <f t="shared" si="829"/>
        <v/>
      </c>
      <c r="AA5286">
        <f>IF($V5286="",N($AA5285),IF(MATCH($V5286,$V$6:$V$10005,0)=ROW()-5,N($AA5285)+1,N($AA5285)))</f>
        <v>0</v>
      </c>
    </row>
    <row r="5287" spans="1:27" ht="21" customHeight="1" x14ac:dyDescent="0.95">
      <c r="A5287" s="56"/>
      <c r="B5287" s="57"/>
      <c r="C5287" s="57"/>
      <c r="D5287" s="57"/>
      <c r="E5287" s="56"/>
      <c r="F5287" s="57"/>
      <c r="G5287" s="57"/>
      <c r="H5287" s="56"/>
      <c r="I5287" s="56"/>
      <c r="J5287" s="58"/>
      <c r="K5287" s="58"/>
      <c r="L5287" s="13" t="str">
        <f t="shared" si="820"/>
        <v/>
      </c>
      <c r="M5287" s="13" t="str">
        <f t="shared" si="821"/>
        <v/>
      </c>
      <c r="Q5287" t="str">
        <f t="shared" si="822"/>
        <v/>
      </c>
      <c r="R5287" t="str">
        <f t="shared" si="823"/>
        <v/>
      </c>
      <c r="S5287" t="str">
        <f t="shared" si="824"/>
        <v/>
      </c>
      <c r="T5287" t="str">
        <f t="shared" si="825"/>
        <v/>
      </c>
      <c r="U5287" t="str">
        <f t="shared" si="826"/>
        <v/>
      </c>
      <c r="V5287" t="str">
        <f t="shared" si="827"/>
        <v/>
      </c>
      <c r="W5287" t="str">
        <f t="shared" si="828"/>
        <v/>
      </c>
      <c r="X5287">
        <f>IF($T5287="",N($X5286),IF(MATCH($T5287,$T$6:$T$10005,0)=ROW()-5,N($X5286)+1,N($X5286)))</f>
        <v>0</v>
      </c>
      <c r="Z5287" t="str">
        <f t="shared" si="829"/>
        <v/>
      </c>
      <c r="AA5287">
        <f>IF($V5287="",N($AA5286),IF(MATCH($V5287,$V$6:$V$10005,0)=ROW()-5,N($AA5286)+1,N($AA5286)))</f>
        <v>0</v>
      </c>
    </row>
    <row r="5288" spans="1:27" ht="21" customHeight="1" x14ac:dyDescent="0.95">
      <c r="A5288" s="56"/>
      <c r="B5288" s="57"/>
      <c r="C5288" s="57"/>
      <c r="D5288" s="57"/>
      <c r="E5288" s="56"/>
      <c r="F5288" s="57"/>
      <c r="G5288" s="57"/>
      <c r="H5288" s="56"/>
      <c r="I5288" s="56"/>
      <c r="J5288" s="58"/>
      <c r="K5288" s="58"/>
      <c r="L5288" s="13" t="str">
        <f t="shared" si="820"/>
        <v/>
      </c>
      <c r="M5288" s="13" t="str">
        <f t="shared" si="821"/>
        <v/>
      </c>
      <c r="Q5288" t="str">
        <f t="shared" si="822"/>
        <v/>
      </c>
      <c r="R5288" t="str">
        <f t="shared" si="823"/>
        <v/>
      </c>
      <c r="S5288" t="str">
        <f t="shared" si="824"/>
        <v/>
      </c>
      <c r="T5288" t="str">
        <f t="shared" si="825"/>
        <v/>
      </c>
      <c r="U5288" t="str">
        <f t="shared" si="826"/>
        <v/>
      </c>
      <c r="V5288" t="str">
        <f t="shared" si="827"/>
        <v/>
      </c>
      <c r="W5288" t="str">
        <f t="shared" si="828"/>
        <v/>
      </c>
      <c r="X5288">
        <f>IF($T5288="",N($X5287),IF(MATCH($T5288,$T$6:$T$10005,0)=ROW()-5,N($X5287)+1,N($X5287)))</f>
        <v>0</v>
      </c>
      <c r="Z5288" t="str">
        <f t="shared" si="829"/>
        <v/>
      </c>
      <c r="AA5288">
        <f>IF($V5288="",N($AA5287),IF(MATCH($V5288,$V$6:$V$10005,0)=ROW()-5,N($AA5287)+1,N($AA5287)))</f>
        <v>0</v>
      </c>
    </row>
    <row r="5289" spans="1:27" ht="21" customHeight="1" x14ac:dyDescent="0.95">
      <c r="A5289" s="56"/>
      <c r="B5289" s="57"/>
      <c r="C5289" s="57"/>
      <c r="D5289" s="57"/>
      <c r="E5289" s="56"/>
      <c r="F5289" s="57"/>
      <c r="G5289" s="57"/>
      <c r="H5289" s="56"/>
      <c r="I5289" s="56"/>
      <c r="J5289" s="58"/>
      <c r="K5289" s="58"/>
      <c r="L5289" s="13" t="str">
        <f t="shared" si="820"/>
        <v/>
      </c>
      <c r="M5289" s="13" t="str">
        <f t="shared" si="821"/>
        <v/>
      </c>
      <c r="Q5289" t="str">
        <f t="shared" si="822"/>
        <v/>
      </c>
      <c r="R5289" t="str">
        <f t="shared" si="823"/>
        <v/>
      </c>
      <c r="S5289" t="str">
        <f t="shared" si="824"/>
        <v/>
      </c>
      <c r="T5289" t="str">
        <f t="shared" si="825"/>
        <v/>
      </c>
      <c r="U5289" t="str">
        <f t="shared" si="826"/>
        <v/>
      </c>
      <c r="V5289" t="str">
        <f t="shared" si="827"/>
        <v/>
      </c>
      <c r="W5289" t="str">
        <f t="shared" si="828"/>
        <v/>
      </c>
      <c r="X5289">
        <f>IF($T5289="",N($X5288),IF(MATCH($T5289,$T$6:$T$10005,0)=ROW()-5,N($X5288)+1,N($X5288)))</f>
        <v>0</v>
      </c>
      <c r="Z5289" t="str">
        <f t="shared" si="829"/>
        <v/>
      </c>
      <c r="AA5289">
        <f>IF($V5289="",N($AA5288),IF(MATCH($V5289,$V$6:$V$10005,0)=ROW()-5,N($AA5288)+1,N($AA5288)))</f>
        <v>0</v>
      </c>
    </row>
    <row r="5290" spans="1:27" ht="21" customHeight="1" x14ac:dyDescent="0.95">
      <c r="A5290" s="56"/>
      <c r="B5290" s="57"/>
      <c r="C5290" s="57"/>
      <c r="D5290" s="57"/>
      <c r="E5290" s="56"/>
      <c r="F5290" s="57"/>
      <c r="G5290" s="57"/>
      <c r="H5290" s="56"/>
      <c r="I5290" s="56"/>
      <c r="J5290" s="58"/>
      <c r="K5290" s="58"/>
      <c r="L5290" s="13" t="str">
        <f t="shared" si="820"/>
        <v/>
      </c>
      <c r="M5290" s="13" t="str">
        <f t="shared" si="821"/>
        <v/>
      </c>
      <c r="Q5290" t="str">
        <f t="shared" si="822"/>
        <v/>
      </c>
      <c r="R5290" t="str">
        <f t="shared" si="823"/>
        <v/>
      </c>
      <c r="S5290" t="str">
        <f t="shared" si="824"/>
        <v/>
      </c>
      <c r="T5290" t="str">
        <f t="shared" si="825"/>
        <v/>
      </c>
      <c r="U5290" t="str">
        <f t="shared" si="826"/>
        <v/>
      </c>
      <c r="V5290" t="str">
        <f t="shared" si="827"/>
        <v/>
      </c>
      <c r="W5290" t="str">
        <f t="shared" si="828"/>
        <v/>
      </c>
      <c r="X5290">
        <f>IF($T5290="",N($X5289),IF(MATCH($T5290,$T$6:$T$10005,0)=ROW()-5,N($X5289)+1,N($X5289)))</f>
        <v>0</v>
      </c>
      <c r="Z5290" t="str">
        <f t="shared" si="829"/>
        <v/>
      </c>
      <c r="AA5290">
        <f>IF($V5290="",N($AA5289),IF(MATCH($V5290,$V$6:$V$10005,0)=ROW()-5,N($AA5289)+1,N($AA5289)))</f>
        <v>0</v>
      </c>
    </row>
    <row r="5291" spans="1:27" ht="21" customHeight="1" x14ac:dyDescent="0.95">
      <c r="A5291" s="56"/>
      <c r="B5291" s="57"/>
      <c r="C5291" s="57"/>
      <c r="D5291" s="57"/>
      <c r="E5291" s="56"/>
      <c r="F5291" s="57"/>
      <c r="G5291" s="57"/>
      <c r="H5291" s="56"/>
      <c r="I5291" s="56"/>
      <c r="J5291" s="58"/>
      <c r="K5291" s="58"/>
      <c r="L5291" s="13" t="str">
        <f t="shared" si="820"/>
        <v/>
      </c>
      <c r="M5291" s="13" t="str">
        <f t="shared" si="821"/>
        <v/>
      </c>
      <c r="Q5291" t="str">
        <f t="shared" si="822"/>
        <v/>
      </c>
      <c r="R5291" t="str">
        <f t="shared" si="823"/>
        <v/>
      </c>
      <c r="S5291" t="str">
        <f t="shared" si="824"/>
        <v/>
      </c>
      <c r="T5291" t="str">
        <f t="shared" si="825"/>
        <v/>
      </c>
      <c r="U5291" t="str">
        <f t="shared" si="826"/>
        <v/>
      </c>
      <c r="V5291" t="str">
        <f t="shared" si="827"/>
        <v/>
      </c>
      <c r="W5291" t="str">
        <f t="shared" si="828"/>
        <v/>
      </c>
      <c r="X5291">
        <f>IF($T5291="",N($X5290),IF(MATCH($T5291,$T$6:$T$10005,0)=ROW()-5,N($X5290)+1,N($X5290)))</f>
        <v>0</v>
      </c>
      <c r="Z5291" t="str">
        <f t="shared" si="829"/>
        <v/>
      </c>
      <c r="AA5291">
        <f>IF($V5291="",N($AA5290),IF(MATCH($V5291,$V$6:$V$10005,0)=ROW()-5,N($AA5290)+1,N($AA5290)))</f>
        <v>0</v>
      </c>
    </row>
    <row r="5292" spans="1:27" ht="21" customHeight="1" x14ac:dyDescent="0.95">
      <c r="A5292" s="56"/>
      <c r="B5292" s="57"/>
      <c r="C5292" s="57"/>
      <c r="D5292" s="57"/>
      <c r="E5292" s="56"/>
      <c r="F5292" s="57"/>
      <c r="G5292" s="57"/>
      <c r="H5292" s="56"/>
      <c r="I5292" s="56"/>
      <c r="J5292" s="58"/>
      <c r="K5292" s="58"/>
      <c r="L5292" s="13" t="str">
        <f t="shared" si="820"/>
        <v/>
      </c>
      <c r="M5292" s="13" t="str">
        <f t="shared" si="821"/>
        <v/>
      </c>
      <c r="Q5292" t="str">
        <f t="shared" si="822"/>
        <v/>
      </c>
      <c r="R5292" t="str">
        <f t="shared" si="823"/>
        <v/>
      </c>
      <c r="S5292" t="str">
        <f t="shared" si="824"/>
        <v/>
      </c>
      <c r="T5292" t="str">
        <f t="shared" si="825"/>
        <v/>
      </c>
      <c r="U5292" t="str">
        <f t="shared" si="826"/>
        <v/>
      </c>
      <c r="V5292" t="str">
        <f t="shared" si="827"/>
        <v/>
      </c>
      <c r="W5292" t="str">
        <f t="shared" si="828"/>
        <v/>
      </c>
      <c r="X5292">
        <f>IF($T5292="",N($X5291),IF(MATCH($T5292,$T$6:$T$10005,0)=ROW()-5,N($X5291)+1,N($X5291)))</f>
        <v>0</v>
      </c>
      <c r="Z5292" t="str">
        <f t="shared" si="829"/>
        <v/>
      </c>
      <c r="AA5292">
        <f>IF($V5292="",N($AA5291),IF(MATCH($V5292,$V$6:$V$10005,0)=ROW()-5,N($AA5291)+1,N($AA5291)))</f>
        <v>0</v>
      </c>
    </row>
    <row r="5293" spans="1:27" ht="21" customHeight="1" x14ac:dyDescent="0.95">
      <c r="A5293" s="56"/>
      <c r="B5293" s="57"/>
      <c r="C5293" s="57"/>
      <c r="D5293" s="57"/>
      <c r="E5293" s="56"/>
      <c r="F5293" s="57"/>
      <c r="G5293" s="57"/>
      <c r="H5293" s="56"/>
      <c r="I5293" s="56"/>
      <c r="J5293" s="58"/>
      <c r="K5293" s="58"/>
      <c r="L5293" s="13" t="str">
        <f t="shared" si="820"/>
        <v/>
      </c>
      <c r="M5293" s="13" t="str">
        <f t="shared" si="821"/>
        <v/>
      </c>
      <c r="Q5293" t="str">
        <f t="shared" si="822"/>
        <v/>
      </c>
      <c r="R5293" t="str">
        <f t="shared" si="823"/>
        <v/>
      </c>
      <c r="S5293" t="str">
        <f t="shared" si="824"/>
        <v/>
      </c>
      <c r="T5293" t="str">
        <f t="shared" si="825"/>
        <v/>
      </c>
      <c r="U5293" t="str">
        <f t="shared" si="826"/>
        <v/>
      </c>
      <c r="V5293" t="str">
        <f t="shared" si="827"/>
        <v/>
      </c>
      <c r="W5293" t="str">
        <f t="shared" si="828"/>
        <v/>
      </c>
      <c r="X5293">
        <f>IF($T5293="",N($X5292),IF(MATCH($T5293,$T$6:$T$10005,0)=ROW()-5,N($X5292)+1,N($X5292)))</f>
        <v>0</v>
      </c>
      <c r="Z5293" t="str">
        <f t="shared" si="829"/>
        <v/>
      </c>
      <c r="AA5293">
        <f>IF($V5293="",N($AA5292),IF(MATCH($V5293,$V$6:$V$10005,0)=ROW()-5,N($AA5292)+1,N($AA5292)))</f>
        <v>0</v>
      </c>
    </row>
    <row r="5294" spans="1:27" ht="21" customHeight="1" x14ac:dyDescent="0.95">
      <c r="A5294" s="56"/>
      <c r="B5294" s="57"/>
      <c r="C5294" s="57"/>
      <c r="D5294" s="57"/>
      <c r="E5294" s="56"/>
      <c r="F5294" s="57"/>
      <c r="G5294" s="57"/>
      <c r="H5294" s="56"/>
      <c r="I5294" s="56"/>
      <c r="J5294" s="58"/>
      <c r="K5294" s="58"/>
      <c r="L5294" s="13" t="str">
        <f t="shared" si="820"/>
        <v/>
      </c>
      <c r="M5294" s="13" t="str">
        <f t="shared" si="821"/>
        <v/>
      </c>
      <c r="Q5294" t="str">
        <f t="shared" si="822"/>
        <v/>
      </c>
      <c r="R5294" t="str">
        <f t="shared" si="823"/>
        <v/>
      </c>
      <c r="S5294" t="str">
        <f t="shared" si="824"/>
        <v/>
      </c>
      <c r="T5294" t="str">
        <f t="shared" si="825"/>
        <v/>
      </c>
      <c r="U5294" t="str">
        <f t="shared" si="826"/>
        <v/>
      </c>
      <c r="V5294" t="str">
        <f t="shared" si="827"/>
        <v/>
      </c>
      <c r="W5294" t="str">
        <f t="shared" si="828"/>
        <v/>
      </c>
      <c r="X5294">
        <f>IF($T5294="",N($X5293),IF(MATCH($T5294,$T$6:$T$10005,0)=ROW()-5,N($X5293)+1,N($X5293)))</f>
        <v>0</v>
      </c>
      <c r="Z5294" t="str">
        <f t="shared" si="829"/>
        <v/>
      </c>
      <c r="AA5294">
        <f>IF($V5294="",N($AA5293),IF(MATCH($V5294,$V$6:$V$10005,0)=ROW()-5,N($AA5293)+1,N($AA5293)))</f>
        <v>0</v>
      </c>
    </row>
    <row r="5295" spans="1:27" ht="21" customHeight="1" x14ac:dyDescent="0.95">
      <c r="A5295" s="56"/>
      <c r="B5295" s="57"/>
      <c r="C5295" s="57"/>
      <c r="D5295" s="57"/>
      <c r="E5295" s="56"/>
      <c r="F5295" s="57"/>
      <c r="G5295" s="57"/>
      <c r="H5295" s="56"/>
      <c r="I5295" s="56"/>
      <c r="J5295" s="58"/>
      <c r="K5295" s="58"/>
      <c r="L5295" s="13" t="str">
        <f t="shared" si="820"/>
        <v/>
      </c>
      <c r="M5295" s="13" t="str">
        <f t="shared" si="821"/>
        <v/>
      </c>
      <c r="Q5295" t="str">
        <f t="shared" si="822"/>
        <v/>
      </c>
      <c r="R5295" t="str">
        <f t="shared" si="823"/>
        <v/>
      </c>
      <c r="S5295" t="str">
        <f t="shared" si="824"/>
        <v/>
      </c>
      <c r="T5295" t="str">
        <f t="shared" si="825"/>
        <v/>
      </c>
      <c r="U5295" t="str">
        <f t="shared" si="826"/>
        <v/>
      </c>
      <c r="V5295" t="str">
        <f t="shared" si="827"/>
        <v/>
      </c>
      <c r="W5295" t="str">
        <f t="shared" si="828"/>
        <v/>
      </c>
      <c r="X5295">
        <f>IF($T5295="",N($X5294),IF(MATCH($T5295,$T$6:$T$10005,0)=ROW()-5,N($X5294)+1,N($X5294)))</f>
        <v>0</v>
      </c>
      <c r="Z5295" t="str">
        <f t="shared" si="829"/>
        <v/>
      </c>
      <c r="AA5295">
        <f>IF($V5295="",N($AA5294),IF(MATCH($V5295,$V$6:$V$10005,0)=ROW()-5,N($AA5294)+1,N($AA5294)))</f>
        <v>0</v>
      </c>
    </row>
    <row r="5296" spans="1:27" ht="21" customHeight="1" x14ac:dyDescent="0.95">
      <c r="A5296" s="56"/>
      <c r="B5296" s="57"/>
      <c r="C5296" s="57"/>
      <c r="D5296" s="57"/>
      <c r="E5296" s="56"/>
      <c r="F5296" s="57"/>
      <c r="G5296" s="57"/>
      <c r="H5296" s="56"/>
      <c r="I5296" s="56"/>
      <c r="J5296" s="58"/>
      <c r="K5296" s="58"/>
      <c r="L5296" s="13" t="str">
        <f t="shared" si="820"/>
        <v/>
      </c>
      <c r="M5296" s="13" t="str">
        <f t="shared" si="821"/>
        <v/>
      </c>
      <c r="Q5296" t="str">
        <f t="shared" si="822"/>
        <v/>
      </c>
      <c r="R5296" t="str">
        <f t="shared" si="823"/>
        <v/>
      </c>
      <c r="S5296" t="str">
        <f t="shared" si="824"/>
        <v/>
      </c>
      <c r="T5296" t="str">
        <f t="shared" si="825"/>
        <v/>
      </c>
      <c r="U5296" t="str">
        <f t="shared" si="826"/>
        <v/>
      </c>
      <c r="V5296" t="str">
        <f t="shared" si="827"/>
        <v/>
      </c>
      <c r="W5296" t="str">
        <f t="shared" si="828"/>
        <v/>
      </c>
      <c r="X5296">
        <f>IF($T5296="",N($X5295),IF(MATCH($T5296,$T$6:$T$10005,0)=ROW()-5,N($X5295)+1,N($X5295)))</f>
        <v>0</v>
      </c>
      <c r="Z5296" t="str">
        <f t="shared" si="829"/>
        <v/>
      </c>
      <c r="AA5296">
        <f>IF($V5296="",N($AA5295),IF(MATCH($V5296,$V$6:$V$10005,0)=ROW()-5,N($AA5295)+1,N($AA5295)))</f>
        <v>0</v>
      </c>
    </row>
    <row r="5297" spans="1:27" ht="21" customHeight="1" x14ac:dyDescent="0.95">
      <c r="A5297" s="56"/>
      <c r="B5297" s="57"/>
      <c r="C5297" s="57"/>
      <c r="D5297" s="57"/>
      <c r="E5297" s="56"/>
      <c r="F5297" s="57"/>
      <c r="G5297" s="57"/>
      <c r="H5297" s="56"/>
      <c r="I5297" s="56"/>
      <c r="J5297" s="58"/>
      <c r="K5297" s="58"/>
      <c r="L5297" s="13" t="str">
        <f t="shared" si="820"/>
        <v/>
      </c>
      <c r="M5297" s="13" t="str">
        <f t="shared" si="821"/>
        <v/>
      </c>
      <c r="Q5297" t="str">
        <f t="shared" si="822"/>
        <v/>
      </c>
      <c r="R5297" t="str">
        <f t="shared" si="823"/>
        <v/>
      </c>
      <c r="S5297" t="str">
        <f t="shared" si="824"/>
        <v/>
      </c>
      <c r="T5297" t="str">
        <f t="shared" si="825"/>
        <v/>
      </c>
      <c r="U5297" t="str">
        <f t="shared" si="826"/>
        <v/>
      </c>
      <c r="V5297" t="str">
        <f t="shared" si="827"/>
        <v/>
      </c>
      <c r="W5297" t="str">
        <f t="shared" si="828"/>
        <v/>
      </c>
      <c r="X5297">
        <f>IF($T5297="",N($X5296),IF(MATCH($T5297,$T$6:$T$10005,0)=ROW()-5,N($X5296)+1,N($X5296)))</f>
        <v>0</v>
      </c>
      <c r="Z5297" t="str">
        <f t="shared" si="829"/>
        <v/>
      </c>
      <c r="AA5297">
        <f>IF($V5297="",N($AA5296),IF(MATCH($V5297,$V$6:$V$10005,0)=ROW()-5,N($AA5296)+1,N($AA5296)))</f>
        <v>0</v>
      </c>
    </row>
    <row r="5298" spans="1:27" ht="21" customHeight="1" x14ac:dyDescent="0.95">
      <c r="A5298" s="56"/>
      <c r="B5298" s="57"/>
      <c r="C5298" s="57"/>
      <c r="D5298" s="57"/>
      <c r="E5298" s="56"/>
      <c r="F5298" s="57"/>
      <c r="G5298" s="57"/>
      <c r="H5298" s="56"/>
      <c r="I5298" s="56"/>
      <c r="J5298" s="58"/>
      <c r="K5298" s="58"/>
      <c r="L5298" s="13" t="str">
        <f t="shared" si="820"/>
        <v/>
      </c>
      <c r="M5298" s="13" t="str">
        <f t="shared" si="821"/>
        <v/>
      </c>
      <c r="Q5298" t="str">
        <f t="shared" si="822"/>
        <v/>
      </c>
      <c r="R5298" t="str">
        <f t="shared" si="823"/>
        <v/>
      </c>
      <c r="S5298" t="str">
        <f t="shared" si="824"/>
        <v/>
      </c>
      <c r="T5298" t="str">
        <f t="shared" si="825"/>
        <v/>
      </c>
      <c r="U5298" t="str">
        <f t="shared" si="826"/>
        <v/>
      </c>
      <c r="V5298" t="str">
        <f t="shared" si="827"/>
        <v/>
      </c>
      <c r="W5298" t="str">
        <f t="shared" si="828"/>
        <v/>
      </c>
      <c r="X5298">
        <f>IF($T5298="",N($X5297),IF(MATCH($T5298,$T$6:$T$10005,0)=ROW()-5,N($X5297)+1,N($X5297)))</f>
        <v>0</v>
      </c>
      <c r="Z5298" t="str">
        <f t="shared" si="829"/>
        <v/>
      </c>
      <c r="AA5298">
        <f>IF($V5298="",N($AA5297),IF(MATCH($V5298,$V$6:$V$10005,0)=ROW()-5,N($AA5297)+1,N($AA5297)))</f>
        <v>0</v>
      </c>
    </row>
    <row r="5299" spans="1:27" ht="21" customHeight="1" x14ac:dyDescent="0.95">
      <c r="A5299" s="56"/>
      <c r="B5299" s="57"/>
      <c r="C5299" s="57"/>
      <c r="D5299" s="57"/>
      <c r="E5299" s="56"/>
      <c r="F5299" s="57"/>
      <c r="G5299" s="57"/>
      <c r="H5299" s="56"/>
      <c r="I5299" s="56"/>
      <c r="J5299" s="58"/>
      <c r="K5299" s="58"/>
      <c r="L5299" s="13" t="str">
        <f t="shared" si="820"/>
        <v/>
      </c>
      <c r="M5299" s="13" t="str">
        <f t="shared" si="821"/>
        <v/>
      </c>
      <c r="Q5299" t="str">
        <f t="shared" si="822"/>
        <v/>
      </c>
      <c r="R5299" t="str">
        <f t="shared" si="823"/>
        <v/>
      </c>
      <c r="S5299" t="str">
        <f t="shared" si="824"/>
        <v/>
      </c>
      <c r="T5299" t="str">
        <f t="shared" si="825"/>
        <v/>
      </c>
      <c r="U5299" t="str">
        <f t="shared" si="826"/>
        <v/>
      </c>
      <c r="V5299" t="str">
        <f t="shared" si="827"/>
        <v/>
      </c>
      <c r="W5299" t="str">
        <f t="shared" si="828"/>
        <v/>
      </c>
      <c r="X5299">
        <f>IF($T5299="",N($X5298),IF(MATCH($T5299,$T$6:$T$10005,0)=ROW()-5,N($X5298)+1,N($X5298)))</f>
        <v>0</v>
      </c>
      <c r="Z5299" t="str">
        <f t="shared" si="829"/>
        <v/>
      </c>
      <c r="AA5299">
        <f>IF($V5299="",N($AA5298),IF(MATCH($V5299,$V$6:$V$10005,0)=ROW()-5,N($AA5298)+1,N($AA5298)))</f>
        <v>0</v>
      </c>
    </row>
    <row r="5300" spans="1:27" ht="21" customHeight="1" x14ac:dyDescent="0.95">
      <c r="A5300" s="56"/>
      <c r="B5300" s="57"/>
      <c r="C5300" s="57"/>
      <c r="D5300" s="57"/>
      <c r="E5300" s="56"/>
      <c r="F5300" s="57"/>
      <c r="G5300" s="57"/>
      <c r="H5300" s="56"/>
      <c r="I5300" s="56"/>
      <c r="J5300" s="58"/>
      <c r="K5300" s="58"/>
      <c r="L5300" s="13" t="str">
        <f t="shared" si="820"/>
        <v/>
      </c>
      <c r="M5300" s="13" t="str">
        <f t="shared" si="821"/>
        <v/>
      </c>
      <c r="Q5300" t="str">
        <f t="shared" si="822"/>
        <v/>
      </c>
      <c r="R5300" t="str">
        <f t="shared" si="823"/>
        <v/>
      </c>
      <c r="S5300" t="str">
        <f t="shared" si="824"/>
        <v/>
      </c>
      <c r="T5300" t="str">
        <f t="shared" si="825"/>
        <v/>
      </c>
      <c r="U5300" t="str">
        <f t="shared" si="826"/>
        <v/>
      </c>
      <c r="V5300" t="str">
        <f t="shared" si="827"/>
        <v/>
      </c>
      <c r="W5300" t="str">
        <f t="shared" si="828"/>
        <v/>
      </c>
      <c r="X5300">
        <f>IF($T5300="",N($X5299),IF(MATCH($T5300,$T$6:$T$10005,0)=ROW()-5,N($X5299)+1,N($X5299)))</f>
        <v>0</v>
      </c>
      <c r="Z5300" t="str">
        <f t="shared" si="829"/>
        <v/>
      </c>
      <c r="AA5300">
        <f>IF($V5300="",N($AA5299),IF(MATCH($V5300,$V$6:$V$10005,0)=ROW()-5,N($AA5299)+1,N($AA5299)))</f>
        <v>0</v>
      </c>
    </row>
    <row r="5301" spans="1:27" ht="21" customHeight="1" x14ac:dyDescent="0.95">
      <c r="A5301" s="56"/>
      <c r="B5301" s="57"/>
      <c r="C5301" s="57"/>
      <c r="D5301" s="57"/>
      <c r="E5301" s="56"/>
      <c r="F5301" s="57"/>
      <c r="G5301" s="57"/>
      <c r="H5301" s="56"/>
      <c r="I5301" s="56"/>
      <c r="J5301" s="58"/>
      <c r="K5301" s="58"/>
      <c r="L5301" s="13" t="str">
        <f t="shared" si="820"/>
        <v/>
      </c>
      <c r="M5301" s="13" t="str">
        <f t="shared" si="821"/>
        <v/>
      </c>
      <c r="Q5301" t="str">
        <f t="shared" si="822"/>
        <v/>
      </c>
      <c r="R5301" t="str">
        <f t="shared" si="823"/>
        <v/>
      </c>
      <c r="S5301" t="str">
        <f t="shared" si="824"/>
        <v/>
      </c>
      <c r="T5301" t="str">
        <f t="shared" si="825"/>
        <v/>
      </c>
      <c r="U5301" t="str">
        <f t="shared" si="826"/>
        <v/>
      </c>
      <c r="V5301" t="str">
        <f t="shared" si="827"/>
        <v/>
      </c>
      <c r="W5301" t="str">
        <f t="shared" si="828"/>
        <v/>
      </c>
      <c r="X5301">
        <f>IF($T5301="",N($X5300),IF(MATCH($T5301,$T$6:$T$10005,0)=ROW()-5,N($X5300)+1,N($X5300)))</f>
        <v>0</v>
      </c>
      <c r="Z5301" t="str">
        <f t="shared" si="829"/>
        <v/>
      </c>
      <c r="AA5301">
        <f>IF($V5301="",N($AA5300),IF(MATCH($V5301,$V$6:$V$10005,0)=ROW()-5,N($AA5300)+1,N($AA5300)))</f>
        <v>0</v>
      </c>
    </row>
    <row r="5302" spans="1:27" ht="21" customHeight="1" x14ac:dyDescent="0.95">
      <c r="A5302" s="56"/>
      <c r="B5302" s="57"/>
      <c r="C5302" s="57"/>
      <c r="D5302" s="57"/>
      <c r="E5302" s="56"/>
      <c r="F5302" s="57"/>
      <c r="G5302" s="57"/>
      <c r="H5302" s="56"/>
      <c r="I5302" s="56"/>
      <c r="J5302" s="58"/>
      <c r="K5302" s="58"/>
      <c r="L5302" s="13" t="str">
        <f t="shared" si="820"/>
        <v/>
      </c>
      <c r="M5302" s="13" t="str">
        <f t="shared" si="821"/>
        <v/>
      </c>
      <c r="Q5302" t="str">
        <f t="shared" si="822"/>
        <v/>
      </c>
      <c r="R5302" t="str">
        <f t="shared" si="823"/>
        <v/>
      </c>
      <c r="S5302" t="str">
        <f t="shared" si="824"/>
        <v/>
      </c>
      <c r="T5302" t="str">
        <f t="shared" si="825"/>
        <v/>
      </c>
      <c r="U5302" t="str">
        <f t="shared" si="826"/>
        <v/>
      </c>
      <c r="V5302" t="str">
        <f t="shared" si="827"/>
        <v/>
      </c>
      <c r="W5302" t="str">
        <f t="shared" si="828"/>
        <v/>
      </c>
      <c r="X5302">
        <f>IF($T5302="",N($X5301),IF(MATCH($T5302,$T$6:$T$10005,0)=ROW()-5,N($X5301)+1,N($X5301)))</f>
        <v>0</v>
      </c>
      <c r="Z5302" t="str">
        <f t="shared" si="829"/>
        <v/>
      </c>
      <c r="AA5302">
        <f>IF($V5302="",N($AA5301),IF(MATCH($V5302,$V$6:$V$10005,0)=ROW()-5,N($AA5301)+1,N($AA5301)))</f>
        <v>0</v>
      </c>
    </row>
    <row r="5303" spans="1:27" ht="21" customHeight="1" x14ac:dyDescent="0.95">
      <c r="A5303" s="56"/>
      <c r="B5303" s="57"/>
      <c r="C5303" s="57"/>
      <c r="D5303" s="57"/>
      <c r="E5303" s="56"/>
      <c r="F5303" s="57"/>
      <c r="G5303" s="57"/>
      <c r="H5303" s="56"/>
      <c r="I5303" s="56"/>
      <c r="J5303" s="58"/>
      <c r="K5303" s="58"/>
      <c r="L5303" s="13" t="str">
        <f t="shared" si="820"/>
        <v/>
      </c>
      <c r="M5303" s="13" t="str">
        <f t="shared" si="821"/>
        <v/>
      </c>
      <c r="Q5303" t="str">
        <f t="shared" si="822"/>
        <v/>
      </c>
      <c r="R5303" t="str">
        <f t="shared" si="823"/>
        <v/>
      </c>
      <c r="S5303" t="str">
        <f t="shared" si="824"/>
        <v/>
      </c>
      <c r="T5303" t="str">
        <f t="shared" si="825"/>
        <v/>
      </c>
      <c r="U5303" t="str">
        <f t="shared" si="826"/>
        <v/>
      </c>
      <c r="V5303" t="str">
        <f t="shared" si="827"/>
        <v/>
      </c>
      <c r="W5303" t="str">
        <f t="shared" si="828"/>
        <v/>
      </c>
      <c r="X5303">
        <f>IF($T5303="",N($X5302),IF(MATCH($T5303,$T$6:$T$10005,0)=ROW()-5,N($X5302)+1,N($X5302)))</f>
        <v>0</v>
      </c>
      <c r="Z5303" t="str">
        <f t="shared" si="829"/>
        <v/>
      </c>
      <c r="AA5303">
        <f>IF($V5303="",N($AA5302),IF(MATCH($V5303,$V$6:$V$10005,0)=ROW()-5,N($AA5302)+1,N($AA5302)))</f>
        <v>0</v>
      </c>
    </row>
    <row r="5304" spans="1:27" ht="21" customHeight="1" x14ac:dyDescent="0.95">
      <c r="A5304" s="56"/>
      <c r="B5304" s="57"/>
      <c r="C5304" s="57"/>
      <c r="D5304" s="57"/>
      <c r="E5304" s="56"/>
      <c r="F5304" s="57"/>
      <c r="G5304" s="57"/>
      <c r="H5304" s="56"/>
      <c r="I5304" s="56"/>
      <c r="J5304" s="58"/>
      <c r="K5304" s="58"/>
      <c r="L5304" s="13" t="str">
        <f t="shared" si="820"/>
        <v/>
      </c>
      <c r="M5304" s="13" t="str">
        <f t="shared" si="821"/>
        <v/>
      </c>
      <c r="Q5304" t="str">
        <f t="shared" si="822"/>
        <v/>
      </c>
      <c r="R5304" t="str">
        <f t="shared" si="823"/>
        <v/>
      </c>
      <c r="S5304" t="str">
        <f t="shared" si="824"/>
        <v/>
      </c>
      <c r="T5304" t="str">
        <f t="shared" si="825"/>
        <v/>
      </c>
      <c r="U5304" t="str">
        <f t="shared" si="826"/>
        <v/>
      </c>
      <c r="V5304" t="str">
        <f t="shared" si="827"/>
        <v/>
      </c>
      <c r="W5304" t="str">
        <f t="shared" si="828"/>
        <v/>
      </c>
      <c r="X5304">
        <f>IF($T5304="",N($X5303),IF(MATCH($T5304,$T$6:$T$10005,0)=ROW()-5,N($X5303)+1,N($X5303)))</f>
        <v>0</v>
      </c>
      <c r="Z5304" t="str">
        <f t="shared" si="829"/>
        <v/>
      </c>
      <c r="AA5304">
        <f>IF($V5304="",N($AA5303),IF(MATCH($V5304,$V$6:$V$10005,0)=ROW()-5,N($AA5303)+1,N($AA5303)))</f>
        <v>0</v>
      </c>
    </row>
    <row r="5305" spans="1:27" ht="21" customHeight="1" x14ac:dyDescent="0.95">
      <c r="A5305" s="56"/>
      <c r="B5305" s="57"/>
      <c r="C5305" s="57"/>
      <c r="D5305" s="57"/>
      <c r="E5305" s="56"/>
      <c r="F5305" s="57"/>
      <c r="G5305" s="57"/>
      <c r="H5305" s="56"/>
      <c r="I5305" s="56"/>
      <c r="J5305" s="58"/>
      <c r="K5305" s="58"/>
      <c r="L5305" s="13" t="str">
        <f t="shared" si="820"/>
        <v/>
      </c>
      <c r="M5305" s="13" t="str">
        <f t="shared" si="821"/>
        <v/>
      </c>
      <c r="Q5305" t="str">
        <f t="shared" si="822"/>
        <v/>
      </c>
      <c r="R5305" t="str">
        <f t="shared" si="823"/>
        <v/>
      </c>
      <c r="S5305" t="str">
        <f t="shared" si="824"/>
        <v/>
      </c>
      <c r="T5305" t="str">
        <f t="shared" si="825"/>
        <v/>
      </c>
      <c r="U5305" t="str">
        <f t="shared" si="826"/>
        <v/>
      </c>
      <c r="V5305" t="str">
        <f t="shared" si="827"/>
        <v/>
      </c>
      <c r="W5305" t="str">
        <f t="shared" si="828"/>
        <v/>
      </c>
      <c r="X5305">
        <f>IF($T5305="",N($X5304),IF(MATCH($T5305,$T$6:$T$10005,0)=ROW()-5,N($X5304)+1,N($X5304)))</f>
        <v>0</v>
      </c>
      <c r="Z5305" t="str">
        <f t="shared" si="829"/>
        <v/>
      </c>
      <c r="AA5305">
        <f>IF($V5305="",N($AA5304),IF(MATCH($V5305,$V$6:$V$10005,0)=ROW()-5,N($AA5304)+1,N($AA5304)))</f>
        <v>0</v>
      </c>
    </row>
    <row r="5306" spans="1:27" ht="21" customHeight="1" x14ac:dyDescent="0.95">
      <c r="A5306" s="56"/>
      <c r="B5306" s="57"/>
      <c r="C5306" s="57"/>
      <c r="D5306" s="57"/>
      <c r="E5306" s="56"/>
      <c r="F5306" s="57"/>
      <c r="G5306" s="57"/>
      <c r="H5306" s="56"/>
      <c r="I5306" s="56"/>
      <c r="J5306" s="58"/>
      <c r="K5306" s="58"/>
      <c r="L5306" s="13" t="str">
        <f t="shared" si="820"/>
        <v/>
      </c>
      <c r="M5306" s="13" t="str">
        <f t="shared" si="821"/>
        <v/>
      </c>
      <c r="Q5306" t="str">
        <f t="shared" si="822"/>
        <v/>
      </c>
      <c r="R5306" t="str">
        <f t="shared" si="823"/>
        <v/>
      </c>
      <c r="S5306" t="str">
        <f t="shared" si="824"/>
        <v/>
      </c>
      <c r="T5306" t="str">
        <f t="shared" si="825"/>
        <v/>
      </c>
      <c r="U5306" t="str">
        <f t="shared" si="826"/>
        <v/>
      </c>
      <c r="V5306" t="str">
        <f t="shared" si="827"/>
        <v/>
      </c>
      <c r="W5306" t="str">
        <f t="shared" si="828"/>
        <v/>
      </c>
      <c r="X5306">
        <f>IF($T5306="",N($X5305),IF(MATCH($T5306,$T$6:$T$10005,0)=ROW()-5,N($X5305)+1,N($X5305)))</f>
        <v>0</v>
      </c>
      <c r="Z5306" t="str">
        <f t="shared" si="829"/>
        <v/>
      </c>
      <c r="AA5306">
        <f>IF($V5306="",N($AA5305),IF(MATCH($V5306,$V$6:$V$10005,0)=ROW()-5,N($AA5305)+1,N($AA5305)))</f>
        <v>0</v>
      </c>
    </row>
    <row r="5307" spans="1:27" ht="21" customHeight="1" x14ac:dyDescent="0.95">
      <c r="A5307" s="56"/>
      <c r="B5307" s="57"/>
      <c r="C5307" s="57"/>
      <c r="D5307" s="57"/>
      <c r="E5307" s="56"/>
      <c r="F5307" s="57"/>
      <c r="G5307" s="57"/>
      <c r="H5307" s="56"/>
      <c r="I5307" s="56"/>
      <c r="J5307" s="58"/>
      <c r="K5307" s="58"/>
      <c r="L5307" s="13" t="str">
        <f t="shared" si="820"/>
        <v/>
      </c>
      <c r="M5307" s="13" t="str">
        <f t="shared" si="821"/>
        <v/>
      </c>
      <c r="Q5307" t="str">
        <f t="shared" si="822"/>
        <v/>
      </c>
      <c r="R5307" t="str">
        <f t="shared" si="823"/>
        <v/>
      </c>
      <c r="S5307" t="str">
        <f t="shared" si="824"/>
        <v/>
      </c>
      <c r="T5307" t="str">
        <f t="shared" si="825"/>
        <v/>
      </c>
      <c r="U5307" t="str">
        <f t="shared" si="826"/>
        <v/>
      </c>
      <c r="V5307" t="str">
        <f t="shared" si="827"/>
        <v/>
      </c>
      <c r="W5307" t="str">
        <f t="shared" si="828"/>
        <v/>
      </c>
      <c r="X5307">
        <f>IF($T5307="",N($X5306),IF(MATCH($T5307,$T$6:$T$10005,0)=ROW()-5,N($X5306)+1,N($X5306)))</f>
        <v>0</v>
      </c>
      <c r="Z5307" t="str">
        <f t="shared" si="829"/>
        <v/>
      </c>
      <c r="AA5307">
        <f>IF($V5307="",N($AA5306),IF(MATCH($V5307,$V$6:$V$10005,0)=ROW()-5,N($AA5306)+1,N($AA5306)))</f>
        <v>0</v>
      </c>
    </row>
    <row r="5308" spans="1:27" ht="21" customHeight="1" x14ac:dyDescent="0.95">
      <c r="A5308" s="56"/>
      <c r="B5308" s="57"/>
      <c r="C5308" s="57"/>
      <c r="D5308" s="57"/>
      <c r="E5308" s="56"/>
      <c r="F5308" s="57"/>
      <c r="G5308" s="57"/>
      <c r="H5308" s="56"/>
      <c r="I5308" s="56"/>
      <c r="J5308" s="58"/>
      <c r="K5308" s="58"/>
      <c r="L5308" s="13" t="str">
        <f t="shared" si="820"/>
        <v/>
      </c>
      <c r="M5308" s="13" t="str">
        <f t="shared" si="821"/>
        <v/>
      </c>
      <c r="Q5308" t="str">
        <f t="shared" si="822"/>
        <v/>
      </c>
      <c r="R5308" t="str">
        <f t="shared" si="823"/>
        <v/>
      </c>
      <c r="S5308" t="str">
        <f t="shared" si="824"/>
        <v/>
      </c>
      <c r="T5308" t="str">
        <f t="shared" si="825"/>
        <v/>
      </c>
      <c r="U5308" t="str">
        <f t="shared" si="826"/>
        <v/>
      </c>
      <c r="V5308" t="str">
        <f t="shared" si="827"/>
        <v/>
      </c>
      <c r="W5308" t="str">
        <f t="shared" si="828"/>
        <v/>
      </c>
      <c r="X5308">
        <f>IF($T5308="",N($X5307),IF(MATCH($T5308,$T$6:$T$10005,0)=ROW()-5,N($X5307)+1,N($X5307)))</f>
        <v>0</v>
      </c>
      <c r="Z5308" t="str">
        <f t="shared" si="829"/>
        <v/>
      </c>
      <c r="AA5308">
        <f>IF($V5308="",N($AA5307),IF(MATCH($V5308,$V$6:$V$10005,0)=ROW()-5,N($AA5307)+1,N($AA5307)))</f>
        <v>0</v>
      </c>
    </row>
    <row r="5309" spans="1:27" ht="21" customHeight="1" x14ac:dyDescent="0.95">
      <c r="A5309" s="56"/>
      <c r="B5309" s="57"/>
      <c r="C5309" s="57"/>
      <c r="D5309" s="57"/>
      <c r="E5309" s="56"/>
      <c r="F5309" s="57"/>
      <c r="G5309" s="57"/>
      <c r="H5309" s="56"/>
      <c r="I5309" s="56"/>
      <c r="J5309" s="58"/>
      <c r="K5309" s="58"/>
      <c r="L5309" s="13" t="str">
        <f t="shared" si="820"/>
        <v/>
      </c>
      <c r="M5309" s="13" t="str">
        <f t="shared" si="821"/>
        <v/>
      </c>
      <c r="Q5309" t="str">
        <f t="shared" si="822"/>
        <v/>
      </c>
      <c r="R5309" t="str">
        <f t="shared" si="823"/>
        <v/>
      </c>
      <c r="S5309" t="str">
        <f t="shared" si="824"/>
        <v/>
      </c>
      <c r="T5309" t="str">
        <f t="shared" si="825"/>
        <v/>
      </c>
      <c r="U5309" t="str">
        <f t="shared" si="826"/>
        <v/>
      </c>
      <c r="V5309" t="str">
        <f t="shared" si="827"/>
        <v/>
      </c>
      <c r="W5309" t="str">
        <f t="shared" si="828"/>
        <v/>
      </c>
      <c r="X5309">
        <f>IF($T5309="",N($X5308),IF(MATCH($T5309,$T$6:$T$10005,0)=ROW()-5,N($X5308)+1,N($X5308)))</f>
        <v>0</v>
      </c>
      <c r="Z5309" t="str">
        <f t="shared" si="829"/>
        <v/>
      </c>
      <c r="AA5309">
        <f>IF($V5309="",N($AA5308),IF(MATCH($V5309,$V$6:$V$10005,0)=ROW()-5,N($AA5308)+1,N($AA5308)))</f>
        <v>0</v>
      </c>
    </row>
    <row r="5310" spans="1:27" ht="21" customHeight="1" x14ac:dyDescent="0.95">
      <c r="A5310" s="56"/>
      <c r="B5310" s="57"/>
      <c r="C5310" s="57"/>
      <c r="D5310" s="57"/>
      <c r="E5310" s="56"/>
      <c r="F5310" s="57"/>
      <c r="G5310" s="57"/>
      <c r="H5310" s="56"/>
      <c r="I5310" s="56"/>
      <c r="J5310" s="58"/>
      <c r="K5310" s="58"/>
      <c r="L5310" s="13" t="str">
        <f t="shared" si="820"/>
        <v/>
      </c>
      <c r="M5310" s="13" t="str">
        <f t="shared" si="821"/>
        <v/>
      </c>
      <c r="Q5310" t="str">
        <f t="shared" si="822"/>
        <v/>
      </c>
      <c r="R5310" t="str">
        <f t="shared" si="823"/>
        <v/>
      </c>
      <c r="S5310" t="str">
        <f t="shared" si="824"/>
        <v/>
      </c>
      <c r="T5310" t="str">
        <f t="shared" si="825"/>
        <v/>
      </c>
      <c r="U5310" t="str">
        <f t="shared" si="826"/>
        <v/>
      </c>
      <c r="V5310" t="str">
        <f t="shared" si="827"/>
        <v/>
      </c>
      <c r="W5310" t="str">
        <f t="shared" si="828"/>
        <v/>
      </c>
      <c r="X5310">
        <f>IF($T5310="",N($X5309),IF(MATCH($T5310,$T$6:$T$10005,0)=ROW()-5,N($X5309)+1,N($X5309)))</f>
        <v>0</v>
      </c>
      <c r="Z5310" t="str">
        <f t="shared" si="829"/>
        <v/>
      </c>
      <c r="AA5310">
        <f>IF($V5310="",N($AA5309),IF(MATCH($V5310,$V$6:$V$10005,0)=ROW()-5,N($AA5309)+1,N($AA5309)))</f>
        <v>0</v>
      </c>
    </row>
    <row r="5311" spans="1:27" ht="21" customHeight="1" x14ac:dyDescent="0.95">
      <c r="A5311" s="56"/>
      <c r="B5311" s="57"/>
      <c r="C5311" s="57"/>
      <c r="D5311" s="57"/>
      <c r="E5311" s="56"/>
      <c r="F5311" s="57"/>
      <c r="G5311" s="57"/>
      <c r="H5311" s="56"/>
      <c r="I5311" s="56"/>
      <c r="J5311" s="58"/>
      <c r="K5311" s="58"/>
      <c r="L5311" s="13" t="str">
        <f t="shared" si="820"/>
        <v/>
      </c>
      <c r="M5311" s="13" t="str">
        <f t="shared" si="821"/>
        <v/>
      </c>
      <c r="Q5311" t="str">
        <f t="shared" si="822"/>
        <v/>
      </c>
      <c r="R5311" t="str">
        <f t="shared" si="823"/>
        <v/>
      </c>
      <c r="S5311" t="str">
        <f t="shared" si="824"/>
        <v/>
      </c>
      <c r="T5311" t="str">
        <f t="shared" si="825"/>
        <v/>
      </c>
      <c r="U5311" t="str">
        <f t="shared" si="826"/>
        <v/>
      </c>
      <c r="V5311" t="str">
        <f t="shared" si="827"/>
        <v/>
      </c>
      <c r="W5311" t="str">
        <f t="shared" si="828"/>
        <v/>
      </c>
      <c r="X5311">
        <f>IF($T5311="",N($X5310),IF(MATCH($T5311,$T$6:$T$10005,0)=ROW()-5,N($X5310)+1,N($X5310)))</f>
        <v>0</v>
      </c>
      <c r="Z5311" t="str">
        <f t="shared" si="829"/>
        <v/>
      </c>
      <c r="AA5311">
        <f>IF($V5311="",N($AA5310),IF(MATCH($V5311,$V$6:$V$10005,0)=ROW()-5,N($AA5310)+1,N($AA5310)))</f>
        <v>0</v>
      </c>
    </row>
    <row r="5312" spans="1:27" ht="21" customHeight="1" x14ac:dyDescent="0.95">
      <c r="A5312" s="56"/>
      <c r="B5312" s="57"/>
      <c r="C5312" s="57"/>
      <c r="D5312" s="57"/>
      <c r="E5312" s="56"/>
      <c r="F5312" s="57"/>
      <c r="G5312" s="57"/>
      <c r="H5312" s="56"/>
      <c r="I5312" s="56"/>
      <c r="J5312" s="58"/>
      <c r="K5312" s="58"/>
      <c r="L5312" s="13" t="str">
        <f t="shared" si="820"/>
        <v/>
      </c>
      <c r="M5312" s="13" t="str">
        <f t="shared" si="821"/>
        <v/>
      </c>
      <c r="Q5312" t="str">
        <f t="shared" si="822"/>
        <v/>
      </c>
      <c r="R5312" t="str">
        <f t="shared" si="823"/>
        <v/>
      </c>
      <c r="S5312" t="str">
        <f t="shared" si="824"/>
        <v/>
      </c>
      <c r="T5312" t="str">
        <f t="shared" si="825"/>
        <v/>
      </c>
      <c r="U5312" t="str">
        <f t="shared" si="826"/>
        <v/>
      </c>
      <c r="V5312" t="str">
        <f t="shared" si="827"/>
        <v/>
      </c>
      <c r="W5312" t="str">
        <f t="shared" si="828"/>
        <v/>
      </c>
      <c r="X5312">
        <f>IF($T5312="",N($X5311),IF(MATCH($T5312,$T$6:$T$10005,0)=ROW()-5,N($X5311)+1,N($X5311)))</f>
        <v>0</v>
      </c>
      <c r="Z5312" t="str">
        <f t="shared" si="829"/>
        <v/>
      </c>
      <c r="AA5312">
        <f>IF($V5312="",N($AA5311),IF(MATCH($V5312,$V$6:$V$10005,0)=ROW()-5,N($AA5311)+1,N($AA5311)))</f>
        <v>0</v>
      </c>
    </row>
    <row r="5313" spans="1:27" ht="21" customHeight="1" x14ac:dyDescent="0.95">
      <c r="A5313" s="56"/>
      <c r="B5313" s="57"/>
      <c r="C5313" s="57"/>
      <c r="D5313" s="57"/>
      <c r="E5313" s="56"/>
      <c r="F5313" s="57"/>
      <c r="G5313" s="57"/>
      <c r="H5313" s="56"/>
      <c r="I5313" s="56"/>
      <c r="J5313" s="58"/>
      <c r="K5313" s="58"/>
      <c r="L5313" s="13" t="str">
        <f t="shared" si="820"/>
        <v/>
      </c>
      <c r="M5313" s="13" t="str">
        <f t="shared" si="821"/>
        <v/>
      </c>
      <c r="Q5313" t="str">
        <f t="shared" si="822"/>
        <v/>
      </c>
      <c r="R5313" t="str">
        <f t="shared" si="823"/>
        <v/>
      </c>
      <c r="S5313" t="str">
        <f t="shared" si="824"/>
        <v/>
      </c>
      <c r="T5313" t="str">
        <f t="shared" si="825"/>
        <v/>
      </c>
      <c r="U5313" t="str">
        <f t="shared" si="826"/>
        <v/>
      </c>
      <c r="V5313" t="str">
        <f t="shared" si="827"/>
        <v/>
      </c>
      <c r="W5313" t="str">
        <f t="shared" si="828"/>
        <v/>
      </c>
      <c r="X5313">
        <f>IF($T5313="",N($X5312),IF(MATCH($T5313,$T$6:$T$10005,0)=ROW()-5,N($X5312)+1,N($X5312)))</f>
        <v>0</v>
      </c>
      <c r="Z5313" t="str">
        <f t="shared" si="829"/>
        <v/>
      </c>
      <c r="AA5313">
        <f>IF($V5313="",N($AA5312),IF(MATCH($V5313,$V$6:$V$10005,0)=ROW()-5,N($AA5312)+1,N($AA5312)))</f>
        <v>0</v>
      </c>
    </row>
    <row r="5314" spans="1:27" ht="21" customHeight="1" x14ac:dyDescent="0.95">
      <c r="A5314" s="56"/>
      <c r="B5314" s="57"/>
      <c r="C5314" s="57"/>
      <c r="D5314" s="57"/>
      <c r="E5314" s="56"/>
      <c r="F5314" s="57"/>
      <c r="G5314" s="57"/>
      <c r="H5314" s="56"/>
      <c r="I5314" s="56"/>
      <c r="J5314" s="58"/>
      <c r="K5314" s="58"/>
      <c r="L5314" s="13" t="str">
        <f t="shared" si="820"/>
        <v/>
      </c>
      <c r="M5314" s="13" t="str">
        <f t="shared" si="821"/>
        <v/>
      </c>
      <c r="Q5314" t="str">
        <f t="shared" si="822"/>
        <v/>
      </c>
      <c r="R5314" t="str">
        <f t="shared" si="823"/>
        <v/>
      </c>
      <c r="S5314" t="str">
        <f t="shared" si="824"/>
        <v/>
      </c>
      <c r="T5314" t="str">
        <f t="shared" si="825"/>
        <v/>
      </c>
      <c r="U5314" t="str">
        <f t="shared" si="826"/>
        <v/>
      </c>
      <c r="V5314" t="str">
        <f t="shared" si="827"/>
        <v/>
      </c>
      <c r="W5314" t="str">
        <f t="shared" si="828"/>
        <v/>
      </c>
      <c r="X5314">
        <f>IF($T5314="",N($X5313),IF(MATCH($T5314,$T$6:$T$10005,0)=ROW()-5,N($X5313)+1,N($X5313)))</f>
        <v>0</v>
      </c>
      <c r="Z5314" t="str">
        <f t="shared" si="829"/>
        <v/>
      </c>
      <c r="AA5314">
        <f>IF($V5314="",N($AA5313),IF(MATCH($V5314,$V$6:$V$10005,0)=ROW()-5,N($AA5313)+1,N($AA5313)))</f>
        <v>0</v>
      </c>
    </row>
    <row r="5315" spans="1:27" ht="21" customHeight="1" x14ac:dyDescent="0.95">
      <c r="A5315" s="56"/>
      <c r="B5315" s="57"/>
      <c r="C5315" s="57"/>
      <c r="D5315" s="57"/>
      <c r="E5315" s="56"/>
      <c r="F5315" s="57"/>
      <c r="G5315" s="57"/>
      <c r="H5315" s="56"/>
      <c r="I5315" s="56"/>
      <c r="J5315" s="58"/>
      <c r="K5315" s="58"/>
      <c r="L5315" s="13" t="str">
        <f t="shared" si="820"/>
        <v/>
      </c>
      <c r="M5315" s="13" t="str">
        <f t="shared" si="821"/>
        <v/>
      </c>
      <c r="Q5315" t="str">
        <f t="shared" si="822"/>
        <v/>
      </c>
      <c r="R5315" t="str">
        <f t="shared" si="823"/>
        <v/>
      </c>
      <c r="S5315" t="str">
        <f t="shared" si="824"/>
        <v/>
      </c>
      <c r="T5315" t="str">
        <f t="shared" si="825"/>
        <v/>
      </c>
      <c r="U5315" t="str">
        <f t="shared" si="826"/>
        <v/>
      </c>
      <c r="V5315" t="str">
        <f t="shared" si="827"/>
        <v/>
      </c>
      <c r="W5315" t="str">
        <f t="shared" si="828"/>
        <v/>
      </c>
      <c r="X5315">
        <f>IF($T5315="",N($X5314),IF(MATCH($T5315,$T$6:$T$10005,0)=ROW()-5,N($X5314)+1,N($X5314)))</f>
        <v>0</v>
      </c>
      <c r="Z5315" t="str">
        <f t="shared" si="829"/>
        <v/>
      </c>
      <c r="AA5315">
        <f>IF($V5315="",N($AA5314),IF(MATCH($V5315,$V$6:$V$10005,0)=ROW()-5,N($AA5314)+1,N($AA5314)))</f>
        <v>0</v>
      </c>
    </row>
    <row r="5316" spans="1:27" ht="21" customHeight="1" x14ac:dyDescent="0.95">
      <c r="A5316" s="56"/>
      <c r="B5316" s="57"/>
      <c r="C5316" s="57"/>
      <c r="D5316" s="57"/>
      <c r="E5316" s="56"/>
      <c r="F5316" s="57"/>
      <c r="G5316" s="57"/>
      <c r="H5316" s="56"/>
      <c r="I5316" s="56"/>
      <c r="J5316" s="58"/>
      <c r="K5316" s="58"/>
      <c r="L5316" s="13" t="str">
        <f t="shared" si="820"/>
        <v/>
      </c>
      <c r="M5316" s="13" t="str">
        <f t="shared" si="821"/>
        <v/>
      </c>
      <c r="Q5316" t="str">
        <f t="shared" si="822"/>
        <v/>
      </c>
      <c r="R5316" t="str">
        <f t="shared" si="823"/>
        <v/>
      </c>
      <c r="S5316" t="str">
        <f t="shared" si="824"/>
        <v/>
      </c>
      <c r="T5316" t="str">
        <f t="shared" si="825"/>
        <v/>
      </c>
      <c r="U5316" t="str">
        <f t="shared" si="826"/>
        <v/>
      </c>
      <c r="V5316" t="str">
        <f t="shared" si="827"/>
        <v/>
      </c>
      <c r="W5316" t="str">
        <f t="shared" si="828"/>
        <v/>
      </c>
      <c r="X5316">
        <f>IF($T5316="",N($X5315),IF(MATCH($T5316,$T$6:$T$10005,0)=ROW()-5,N($X5315)+1,N($X5315)))</f>
        <v>0</v>
      </c>
      <c r="Z5316" t="str">
        <f t="shared" si="829"/>
        <v/>
      </c>
      <c r="AA5316">
        <f>IF($V5316="",N($AA5315),IF(MATCH($V5316,$V$6:$V$10005,0)=ROW()-5,N($AA5315)+1,N($AA5315)))</f>
        <v>0</v>
      </c>
    </row>
    <row r="5317" spans="1:27" ht="21" customHeight="1" x14ac:dyDescent="0.95">
      <c r="A5317" s="56"/>
      <c r="B5317" s="57"/>
      <c r="C5317" s="57"/>
      <c r="D5317" s="57"/>
      <c r="E5317" s="56"/>
      <c r="F5317" s="57"/>
      <c r="G5317" s="57"/>
      <c r="H5317" s="56"/>
      <c r="I5317" s="56"/>
      <c r="J5317" s="58"/>
      <c r="K5317" s="58"/>
      <c r="L5317" s="13" t="str">
        <f t="shared" si="820"/>
        <v/>
      </c>
      <c r="M5317" s="13" t="str">
        <f t="shared" si="821"/>
        <v/>
      </c>
      <c r="Q5317" t="str">
        <f t="shared" si="822"/>
        <v/>
      </c>
      <c r="R5317" t="str">
        <f t="shared" si="823"/>
        <v/>
      </c>
      <c r="S5317" t="str">
        <f t="shared" si="824"/>
        <v/>
      </c>
      <c r="T5317" t="str">
        <f t="shared" si="825"/>
        <v/>
      </c>
      <c r="U5317" t="str">
        <f t="shared" si="826"/>
        <v/>
      </c>
      <c r="V5317" t="str">
        <f t="shared" si="827"/>
        <v/>
      </c>
      <c r="W5317" t="str">
        <f t="shared" si="828"/>
        <v/>
      </c>
      <c r="X5317">
        <f>IF($T5317="",N($X5316),IF(MATCH($T5317,$T$6:$T$10005,0)=ROW()-5,N($X5316)+1,N($X5316)))</f>
        <v>0</v>
      </c>
      <c r="Z5317" t="str">
        <f t="shared" si="829"/>
        <v/>
      </c>
      <c r="AA5317">
        <f>IF($V5317="",N($AA5316),IF(MATCH($V5317,$V$6:$V$10005,0)=ROW()-5,N($AA5316)+1,N($AA5316)))</f>
        <v>0</v>
      </c>
    </row>
    <row r="5318" spans="1:27" ht="21" customHeight="1" x14ac:dyDescent="0.95">
      <c r="A5318" s="56"/>
      <c r="B5318" s="57"/>
      <c r="C5318" s="57"/>
      <c r="D5318" s="57"/>
      <c r="E5318" s="56"/>
      <c r="F5318" s="57"/>
      <c r="G5318" s="57"/>
      <c r="H5318" s="56"/>
      <c r="I5318" s="56"/>
      <c r="J5318" s="58"/>
      <c r="K5318" s="58"/>
      <c r="L5318" s="13" t="str">
        <f t="shared" ref="L5318:L5381" si="830">IF(OR($A5318="",AND($J5318="",$K5318="")),"",ROUND(N($J5318)-N($K5318),2))</f>
        <v/>
      </c>
      <c r="M5318" s="13" t="str">
        <f t="shared" ref="M5318:M5381" si="831">IF(OR($A5318="",AND($J5318="",$K5318="")),"",MIN($J5318,$K5318))</f>
        <v/>
      </c>
      <c r="Q5318" t="str">
        <f t="shared" ref="Q5318:Q5381" si="832">IF($A5318="","",$D5318&amp;"("&amp;SUBSTITUTE($E5318," ","")&amp;")")</f>
        <v/>
      </c>
      <c r="R5318" t="str">
        <f t="shared" ref="R5318:R5381" si="833">IF($A5318="","",$B5318&amp;" - "&amp;$C5318)</f>
        <v/>
      </c>
      <c r="S5318" t="str">
        <f t="shared" ref="S5318:S5381" si="834">IF($A5318="","",$R5318&amp;"|"&amp;$Q5318)</f>
        <v/>
      </c>
      <c r="T5318" t="str">
        <f t="shared" ref="T5318:T5381" si="835">IF($A5318="","",$S5318&amp;"|"&amp;$F5318)</f>
        <v/>
      </c>
      <c r="U5318" t="str">
        <f t="shared" ref="U5318:U5381" si="836">IF($A5318="","",$R5318&amp;"("&amp;$E5318&amp;")")</f>
        <v/>
      </c>
      <c r="V5318" t="str">
        <f t="shared" ref="V5318:V5381" si="837">IF($A5318="","",$F5318&amp;"|"&amp;$U5318&amp;"|"&amp;$D5318)</f>
        <v/>
      </c>
      <c r="W5318" t="str">
        <f t="shared" ref="W5318:W5381" si="838">IF($T5318="","",IF($X5318&gt;N($X5317),$X5318,""))</f>
        <v/>
      </c>
      <c r="X5318">
        <f>IF($T5318="",N($X5317),IF(MATCH($T5318,$T$6:$T$10005,0)=ROW()-5,N($X5317)+1,N($X5317)))</f>
        <v>0</v>
      </c>
      <c r="Z5318" t="str">
        <f t="shared" ref="Z5318:Z5381" si="839">IF($V5318="","",IF($AA5318&gt;N($AA5317),$AA5318,""))</f>
        <v/>
      </c>
      <c r="AA5318">
        <f>IF($V5318="",N($AA5317),IF(MATCH($V5318,$V$6:$V$10005,0)=ROW()-5,N($AA5317)+1,N($AA5317)))</f>
        <v>0</v>
      </c>
    </row>
    <row r="5319" spans="1:27" ht="21" customHeight="1" x14ac:dyDescent="0.95">
      <c r="A5319" s="56"/>
      <c r="B5319" s="57"/>
      <c r="C5319" s="57"/>
      <c r="D5319" s="57"/>
      <c r="E5319" s="56"/>
      <c r="F5319" s="57"/>
      <c r="G5319" s="57"/>
      <c r="H5319" s="56"/>
      <c r="I5319" s="56"/>
      <c r="J5319" s="58"/>
      <c r="K5319" s="58"/>
      <c r="L5319" s="13" t="str">
        <f t="shared" si="830"/>
        <v/>
      </c>
      <c r="M5319" s="13" t="str">
        <f t="shared" si="831"/>
        <v/>
      </c>
      <c r="Q5319" t="str">
        <f t="shared" si="832"/>
        <v/>
      </c>
      <c r="R5319" t="str">
        <f t="shared" si="833"/>
        <v/>
      </c>
      <c r="S5319" t="str">
        <f t="shared" si="834"/>
        <v/>
      </c>
      <c r="T5319" t="str">
        <f t="shared" si="835"/>
        <v/>
      </c>
      <c r="U5319" t="str">
        <f t="shared" si="836"/>
        <v/>
      </c>
      <c r="V5319" t="str">
        <f t="shared" si="837"/>
        <v/>
      </c>
      <c r="W5319" t="str">
        <f t="shared" si="838"/>
        <v/>
      </c>
      <c r="X5319">
        <f>IF($T5319="",N($X5318),IF(MATCH($T5319,$T$6:$T$10005,0)=ROW()-5,N($X5318)+1,N($X5318)))</f>
        <v>0</v>
      </c>
      <c r="Z5319" t="str">
        <f t="shared" si="839"/>
        <v/>
      </c>
      <c r="AA5319">
        <f>IF($V5319="",N($AA5318),IF(MATCH($V5319,$V$6:$V$10005,0)=ROW()-5,N($AA5318)+1,N($AA5318)))</f>
        <v>0</v>
      </c>
    </row>
    <row r="5320" spans="1:27" ht="21" customHeight="1" x14ac:dyDescent="0.95">
      <c r="A5320" s="56"/>
      <c r="B5320" s="57"/>
      <c r="C5320" s="57"/>
      <c r="D5320" s="57"/>
      <c r="E5320" s="56"/>
      <c r="F5320" s="57"/>
      <c r="G5320" s="57"/>
      <c r="H5320" s="56"/>
      <c r="I5320" s="56"/>
      <c r="J5320" s="58"/>
      <c r="K5320" s="58"/>
      <c r="L5320" s="13" t="str">
        <f t="shared" si="830"/>
        <v/>
      </c>
      <c r="M5320" s="13" t="str">
        <f t="shared" si="831"/>
        <v/>
      </c>
      <c r="Q5320" t="str">
        <f t="shared" si="832"/>
        <v/>
      </c>
      <c r="R5320" t="str">
        <f t="shared" si="833"/>
        <v/>
      </c>
      <c r="S5320" t="str">
        <f t="shared" si="834"/>
        <v/>
      </c>
      <c r="T5320" t="str">
        <f t="shared" si="835"/>
        <v/>
      </c>
      <c r="U5320" t="str">
        <f t="shared" si="836"/>
        <v/>
      </c>
      <c r="V5320" t="str">
        <f t="shared" si="837"/>
        <v/>
      </c>
      <c r="W5320" t="str">
        <f t="shared" si="838"/>
        <v/>
      </c>
      <c r="X5320">
        <f>IF($T5320="",N($X5319),IF(MATCH($T5320,$T$6:$T$10005,0)=ROW()-5,N($X5319)+1,N($X5319)))</f>
        <v>0</v>
      </c>
      <c r="Z5320" t="str">
        <f t="shared" si="839"/>
        <v/>
      </c>
      <c r="AA5320">
        <f>IF($V5320="",N($AA5319),IF(MATCH($V5320,$V$6:$V$10005,0)=ROW()-5,N($AA5319)+1,N($AA5319)))</f>
        <v>0</v>
      </c>
    </row>
    <row r="5321" spans="1:27" ht="21" customHeight="1" x14ac:dyDescent="0.95">
      <c r="A5321" s="56"/>
      <c r="B5321" s="57"/>
      <c r="C5321" s="57"/>
      <c r="D5321" s="57"/>
      <c r="E5321" s="56"/>
      <c r="F5321" s="57"/>
      <c r="G5321" s="57"/>
      <c r="H5321" s="56"/>
      <c r="I5321" s="56"/>
      <c r="J5321" s="58"/>
      <c r="K5321" s="58"/>
      <c r="L5321" s="13" t="str">
        <f t="shared" si="830"/>
        <v/>
      </c>
      <c r="M5321" s="13" t="str">
        <f t="shared" si="831"/>
        <v/>
      </c>
      <c r="Q5321" t="str">
        <f t="shared" si="832"/>
        <v/>
      </c>
      <c r="R5321" t="str">
        <f t="shared" si="833"/>
        <v/>
      </c>
      <c r="S5321" t="str">
        <f t="shared" si="834"/>
        <v/>
      </c>
      <c r="T5321" t="str">
        <f t="shared" si="835"/>
        <v/>
      </c>
      <c r="U5321" t="str">
        <f t="shared" si="836"/>
        <v/>
      </c>
      <c r="V5321" t="str">
        <f t="shared" si="837"/>
        <v/>
      </c>
      <c r="W5321" t="str">
        <f t="shared" si="838"/>
        <v/>
      </c>
      <c r="X5321">
        <f>IF($T5321="",N($X5320),IF(MATCH($T5321,$T$6:$T$10005,0)=ROW()-5,N($X5320)+1,N($X5320)))</f>
        <v>0</v>
      </c>
      <c r="Z5321" t="str">
        <f t="shared" si="839"/>
        <v/>
      </c>
      <c r="AA5321">
        <f>IF($V5321="",N($AA5320),IF(MATCH($V5321,$V$6:$V$10005,0)=ROW()-5,N($AA5320)+1,N($AA5320)))</f>
        <v>0</v>
      </c>
    </row>
    <row r="5322" spans="1:27" ht="21" customHeight="1" x14ac:dyDescent="0.95">
      <c r="A5322" s="56"/>
      <c r="B5322" s="57"/>
      <c r="C5322" s="57"/>
      <c r="D5322" s="57"/>
      <c r="E5322" s="56"/>
      <c r="F5322" s="57"/>
      <c r="G5322" s="57"/>
      <c r="H5322" s="56"/>
      <c r="I5322" s="56"/>
      <c r="J5322" s="58"/>
      <c r="K5322" s="58"/>
      <c r="L5322" s="13" t="str">
        <f t="shared" si="830"/>
        <v/>
      </c>
      <c r="M5322" s="13" t="str">
        <f t="shared" si="831"/>
        <v/>
      </c>
      <c r="Q5322" t="str">
        <f t="shared" si="832"/>
        <v/>
      </c>
      <c r="R5322" t="str">
        <f t="shared" si="833"/>
        <v/>
      </c>
      <c r="S5322" t="str">
        <f t="shared" si="834"/>
        <v/>
      </c>
      <c r="T5322" t="str">
        <f t="shared" si="835"/>
        <v/>
      </c>
      <c r="U5322" t="str">
        <f t="shared" si="836"/>
        <v/>
      </c>
      <c r="V5322" t="str">
        <f t="shared" si="837"/>
        <v/>
      </c>
      <c r="W5322" t="str">
        <f t="shared" si="838"/>
        <v/>
      </c>
      <c r="X5322">
        <f>IF($T5322="",N($X5321),IF(MATCH($T5322,$T$6:$T$10005,0)=ROW()-5,N($X5321)+1,N($X5321)))</f>
        <v>0</v>
      </c>
      <c r="Z5322" t="str">
        <f t="shared" si="839"/>
        <v/>
      </c>
      <c r="AA5322">
        <f>IF($V5322="",N($AA5321),IF(MATCH($V5322,$V$6:$V$10005,0)=ROW()-5,N($AA5321)+1,N($AA5321)))</f>
        <v>0</v>
      </c>
    </row>
    <row r="5323" spans="1:27" ht="21" customHeight="1" x14ac:dyDescent="0.95">
      <c r="A5323" s="56"/>
      <c r="B5323" s="57"/>
      <c r="C5323" s="57"/>
      <c r="D5323" s="57"/>
      <c r="E5323" s="56"/>
      <c r="F5323" s="57"/>
      <c r="G5323" s="57"/>
      <c r="H5323" s="56"/>
      <c r="I5323" s="56"/>
      <c r="J5323" s="58"/>
      <c r="K5323" s="58"/>
      <c r="L5323" s="13" t="str">
        <f t="shared" si="830"/>
        <v/>
      </c>
      <c r="M5323" s="13" t="str">
        <f t="shared" si="831"/>
        <v/>
      </c>
      <c r="Q5323" t="str">
        <f t="shared" si="832"/>
        <v/>
      </c>
      <c r="R5323" t="str">
        <f t="shared" si="833"/>
        <v/>
      </c>
      <c r="S5323" t="str">
        <f t="shared" si="834"/>
        <v/>
      </c>
      <c r="T5323" t="str">
        <f t="shared" si="835"/>
        <v/>
      </c>
      <c r="U5323" t="str">
        <f t="shared" si="836"/>
        <v/>
      </c>
      <c r="V5323" t="str">
        <f t="shared" si="837"/>
        <v/>
      </c>
      <c r="W5323" t="str">
        <f t="shared" si="838"/>
        <v/>
      </c>
      <c r="X5323">
        <f>IF($T5323="",N($X5322),IF(MATCH($T5323,$T$6:$T$10005,0)=ROW()-5,N($X5322)+1,N($X5322)))</f>
        <v>0</v>
      </c>
      <c r="Z5323" t="str">
        <f t="shared" si="839"/>
        <v/>
      </c>
      <c r="AA5323">
        <f>IF($V5323="",N($AA5322),IF(MATCH($V5323,$V$6:$V$10005,0)=ROW()-5,N($AA5322)+1,N($AA5322)))</f>
        <v>0</v>
      </c>
    </row>
    <row r="5324" spans="1:27" ht="21" customHeight="1" x14ac:dyDescent="0.95">
      <c r="A5324" s="56"/>
      <c r="B5324" s="57"/>
      <c r="C5324" s="57"/>
      <c r="D5324" s="57"/>
      <c r="E5324" s="56"/>
      <c r="F5324" s="57"/>
      <c r="G5324" s="57"/>
      <c r="H5324" s="56"/>
      <c r="I5324" s="56"/>
      <c r="J5324" s="58"/>
      <c r="K5324" s="58"/>
      <c r="L5324" s="13" t="str">
        <f t="shared" si="830"/>
        <v/>
      </c>
      <c r="M5324" s="13" t="str">
        <f t="shared" si="831"/>
        <v/>
      </c>
      <c r="Q5324" t="str">
        <f t="shared" si="832"/>
        <v/>
      </c>
      <c r="R5324" t="str">
        <f t="shared" si="833"/>
        <v/>
      </c>
      <c r="S5324" t="str">
        <f t="shared" si="834"/>
        <v/>
      </c>
      <c r="T5324" t="str">
        <f t="shared" si="835"/>
        <v/>
      </c>
      <c r="U5324" t="str">
        <f t="shared" si="836"/>
        <v/>
      </c>
      <c r="V5324" t="str">
        <f t="shared" si="837"/>
        <v/>
      </c>
      <c r="W5324" t="str">
        <f t="shared" si="838"/>
        <v/>
      </c>
      <c r="X5324">
        <f>IF($T5324="",N($X5323),IF(MATCH($T5324,$T$6:$T$10005,0)=ROW()-5,N($X5323)+1,N($X5323)))</f>
        <v>0</v>
      </c>
      <c r="Z5324" t="str">
        <f t="shared" si="839"/>
        <v/>
      </c>
      <c r="AA5324">
        <f>IF($V5324="",N($AA5323),IF(MATCH($V5324,$V$6:$V$10005,0)=ROW()-5,N($AA5323)+1,N($AA5323)))</f>
        <v>0</v>
      </c>
    </row>
    <row r="5325" spans="1:27" ht="21" customHeight="1" x14ac:dyDescent="0.95">
      <c r="A5325" s="56"/>
      <c r="B5325" s="57"/>
      <c r="C5325" s="57"/>
      <c r="D5325" s="57"/>
      <c r="E5325" s="56"/>
      <c r="F5325" s="57"/>
      <c r="G5325" s="57"/>
      <c r="H5325" s="56"/>
      <c r="I5325" s="56"/>
      <c r="J5325" s="58"/>
      <c r="K5325" s="58"/>
      <c r="L5325" s="13" t="str">
        <f t="shared" si="830"/>
        <v/>
      </c>
      <c r="M5325" s="13" t="str">
        <f t="shared" si="831"/>
        <v/>
      </c>
      <c r="Q5325" t="str">
        <f t="shared" si="832"/>
        <v/>
      </c>
      <c r="R5325" t="str">
        <f t="shared" si="833"/>
        <v/>
      </c>
      <c r="S5325" t="str">
        <f t="shared" si="834"/>
        <v/>
      </c>
      <c r="T5325" t="str">
        <f t="shared" si="835"/>
        <v/>
      </c>
      <c r="U5325" t="str">
        <f t="shared" si="836"/>
        <v/>
      </c>
      <c r="V5325" t="str">
        <f t="shared" si="837"/>
        <v/>
      </c>
      <c r="W5325" t="str">
        <f t="shared" si="838"/>
        <v/>
      </c>
      <c r="X5325">
        <f>IF($T5325="",N($X5324),IF(MATCH($T5325,$T$6:$T$10005,0)=ROW()-5,N($X5324)+1,N($X5324)))</f>
        <v>0</v>
      </c>
      <c r="Z5325" t="str">
        <f t="shared" si="839"/>
        <v/>
      </c>
      <c r="AA5325">
        <f>IF($V5325="",N($AA5324),IF(MATCH($V5325,$V$6:$V$10005,0)=ROW()-5,N($AA5324)+1,N($AA5324)))</f>
        <v>0</v>
      </c>
    </row>
    <row r="5326" spans="1:27" ht="21" customHeight="1" x14ac:dyDescent="0.95">
      <c r="A5326" s="56"/>
      <c r="B5326" s="57"/>
      <c r="C5326" s="57"/>
      <c r="D5326" s="57"/>
      <c r="E5326" s="56"/>
      <c r="F5326" s="57"/>
      <c r="G5326" s="57"/>
      <c r="H5326" s="56"/>
      <c r="I5326" s="56"/>
      <c r="J5326" s="58"/>
      <c r="K5326" s="58"/>
      <c r="L5326" s="13" t="str">
        <f t="shared" si="830"/>
        <v/>
      </c>
      <c r="M5326" s="13" t="str">
        <f t="shared" si="831"/>
        <v/>
      </c>
      <c r="Q5326" t="str">
        <f t="shared" si="832"/>
        <v/>
      </c>
      <c r="R5326" t="str">
        <f t="shared" si="833"/>
        <v/>
      </c>
      <c r="S5326" t="str">
        <f t="shared" si="834"/>
        <v/>
      </c>
      <c r="T5326" t="str">
        <f t="shared" si="835"/>
        <v/>
      </c>
      <c r="U5326" t="str">
        <f t="shared" si="836"/>
        <v/>
      </c>
      <c r="V5326" t="str">
        <f t="shared" si="837"/>
        <v/>
      </c>
      <c r="W5326" t="str">
        <f t="shared" si="838"/>
        <v/>
      </c>
      <c r="X5326">
        <f>IF($T5326="",N($X5325),IF(MATCH($T5326,$T$6:$T$10005,0)=ROW()-5,N($X5325)+1,N($X5325)))</f>
        <v>0</v>
      </c>
      <c r="Z5326" t="str">
        <f t="shared" si="839"/>
        <v/>
      </c>
      <c r="AA5326">
        <f>IF($V5326="",N($AA5325),IF(MATCH($V5326,$V$6:$V$10005,0)=ROW()-5,N($AA5325)+1,N($AA5325)))</f>
        <v>0</v>
      </c>
    </row>
    <row r="5327" spans="1:27" ht="21" customHeight="1" x14ac:dyDescent="0.95">
      <c r="A5327" s="56"/>
      <c r="B5327" s="57"/>
      <c r="C5327" s="57"/>
      <c r="D5327" s="57"/>
      <c r="E5327" s="56"/>
      <c r="F5327" s="57"/>
      <c r="G5327" s="57"/>
      <c r="H5327" s="56"/>
      <c r="I5327" s="56"/>
      <c r="J5327" s="58"/>
      <c r="K5327" s="58"/>
      <c r="L5327" s="13" t="str">
        <f t="shared" si="830"/>
        <v/>
      </c>
      <c r="M5327" s="13" t="str">
        <f t="shared" si="831"/>
        <v/>
      </c>
      <c r="Q5327" t="str">
        <f t="shared" si="832"/>
        <v/>
      </c>
      <c r="R5327" t="str">
        <f t="shared" si="833"/>
        <v/>
      </c>
      <c r="S5327" t="str">
        <f t="shared" si="834"/>
        <v/>
      </c>
      <c r="T5327" t="str">
        <f t="shared" si="835"/>
        <v/>
      </c>
      <c r="U5327" t="str">
        <f t="shared" si="836"/>
        <v/>
      </c>
      <c r="V5327" t="str">
        <f t="shared" si="837"/>
        <v/>
      </c>
      <c r="W5327" t="str">
        <f t="shared" si="838"/>
        <v/>
      </c>
      <c r="X5327">
        <f>IF($T5327="",N($X5326),IF(MATCH($T5327,$T$6:$T$10005,0)=ROW()-5,N($X5326)+1,N($X5326)))</f>
        <v>0</v>
      </c>
      <c r="Z5327" t="str">
        <f t="shared" si="839"/>
        <v/>
      </c>
      <c r="AA5327">
        <f>IF($V5327="",N($AA5326),IF(MATCH($V5327,$V$6:$V$10005,0)=ROW()-5,N($AA5326)+1,N($AA5326)))</f>
        <v>0</v>
      </c>
    </row>
    <row r="5328" spans="1:27" ht="21" customHeight="1" x14ac:dyDescent="0.95">
      <c r="A5328" s="56"/>
      <c r="B5328" s="57"/>
      <c r="C5328" s="57"/>
      <c r="D5328" s="57"/>
      <c r="E5328" s="56"/>
      <c r="F5328" s="57"/>
      <c r="G5328" s="57"/>
      <c r="H5328" s="56"/>
      <c r="I5328" s="56"/>
      <c r="J5328" s="58"/>
      <c r="K5328" s="58"/>
      <c r="L5328" s="13" t="str">
        <f t="shared" si="830"/>
        <v/>
      </c>
      <c r="M5328" s="13" t="str">
        <f t="shared" si="831"/>
        <v/>
      </c>
      <c r="Q5328" t="str">
        <f t="shared" si="832"/>
        <v/>
      </c>
      <c r="R5328" t="str">
        <f t="shared" si="833"/>
        <v/>
      </c>
      <c r="S5328" t="str">
        <f t="shared" si="834"/>
        <v/>
      </c>
      <c r="T5328" t="str">
        <f t="shared" si="835"/>
        <v/>
      </c>
      <c r="U5328" t="str">
        <f t="shared" si="836"/>
        <v/>
      </c>
      <c r="V5328" t="str">
        <f t="shared" si="837"/>
        <v/>
      </c>
      <c r="W5328" t="str">
        <f t="shared" si="838"/>
        <v/>
      </c>
      <c r="X5328">
        <f>IF($T5328="",N($X5327),IF(MATCH($T5328,$T$6:$T$10005,0)=ROW()-5,N($X5327)+1,N($X5327)))</f>
        <v>0</v>
      </c>
      <c r="Z5328" t="str">
        <f t="shared" si="839"/>
        <v/>
      </c>
      <c r="AA5328">
        <f>IF($V5328="",N($AA5327),IF(MATCH($V5328,$V$6:$V$10005,0)=ROW()-5,N($AA5327)+1,N($AA5327)))</f>
        <v>0</v>
      </c>
    </row>
    <row r="5329" spans="1:27" ht="21" customHeight="1" x14ac:dyDescent="0.95">
      <c r="A5329" s="56"/>
      <c r="B5329" s="57"/>
      <c r="C5329" s="57"/>
      <c r="D5329" s="57"/>
      <c r="E5329" s="56"/>
      <c r="F5329" s="57"/>
      <c r="G5329" s="57"/>
      <c r="H5329" s="56"/>
      <c r="I5329" s="56"/>
      <c r="J5329" s="58"/>
      <c r="K5329" s="58"/>
      <c r="L5329" s="13" t="str">
        <f t="shared" si="830"/>
        <v/>
      </c>
      <c r="M5329" s="13" t="str">
        <f t="shared" si="831"/>
        <v/>
      </c>
      <c r="Q5329" t="str">
        <f t="shared" si="832"/>
        <v/>
      </c>
      <c r="R5329" t="str">
        <f t="shared" si="833"/>
        <v/>
      </c>
      <c r="S5329" t="str">
        <f t="shared" si="834"/>
        <v/>
      </c>
      <c r="T5329" t="str">
        <f t="shared" si="835"/>
        <v/>
      </c>
      <c r="U5329" t="str">
        <f t="shared" si="836"/>
        <v/>
      </c>
      <c r="V5329" t="str">
        <f t="shared" si="837"/>
        <v/>
      </c>
      <c r="W5329" t="str">
        <f t="shared" si="838"/>
        <v/>
      </c>
      <c r="X5329">
        <f>IF($T5329="",N($X5328),IF(MATCH($T5329,$T$6:$T$10005,0)=ROW()-5,N($X5328)+1,N($X5328)))</f>
        <v>0</v>
      </c>
      <c r="Z5329" t="str">
        <f t="shared" si="839"/>
        <v/>
      </c>
      <c r="AA5329">
        <f>IF($V5329="",N($AA5328),IF(MATCH($V5329,$V$6:$V$10005,0)=ROW()-5,N($AA5328)+1,N($AA5328)))</f>
        <v>0</v>
      </c>
    </row>
    <row r="5330" spans="1:27" ht="21" customHeight="1" x14ac:dyDescent="0.95">
      <c r="A5330" s="56"/>
      <c r="B5330" s="57"/>
      <c r="C5330" s="57"/>
      <c r="D5330" s="57"/>
      <c r="E5330" s="56"/>
      <c r="F5330" s="57"/>
      <c r="G5330" s="57"/>
      <c r="H5330" s="56"/>
      <c r="I5330" s="56"/>
      <c r="J5330" s="58"/>
      <c r="K5330" s="58"/>
      <c r="L5330" s="13" t="str">
        <f t="shared" si="830"/>
        <v/>
      </c>
      <c r="M5330" s="13" t="str">
        <f t="shared" si="831"/>
        <v/>
      </c>
      <c r="Q5330" t="str">
        <f t="shared" si="832"/>
        <v/>
      </c>
      <c r="R5330" t="str">
        <f t="shared" si="833"/>
        <v/>
      </c>
      <c r="S5330" t="str">
        <f t="shared" si="834"/>
        <v/>
      </c>
      <c r="T5330" t="str">
        <f t="shared" si="835"/>
        <v/>
      </c>
      <c r="U5330" t="str">
        <f t="shared" si="836"/>
        <v/>
      </c>
      <c r="V5330" t="str">
        <f t="shared" si="837"/>
        <v/>
      </c>
      <c r="W5330" t="str">
        <f t="shared" si="838"/>
        <v/>
      </c>
      <c r="X5330">
        <f>IF($T5330="",N($X5329),IF(MATCH($T5330,$T$6:$T$10005,0)=ROW()-5,N($X5329)+1,N($X5329)))</f>
        <v>0</v>
      </c>
      <c r="Z5330" t="str">
        <f t="shared" si="839"/>
        <v/>
      </c>
      <c r="AA5330">
        <f>IF($V5330="",N($AA5329),IF(MATCH($V5330,$V$6:$V$10005,0)=ROW()-5,N($AA5329)+1,N($AA5329)))</f>
        <v>0</v>
      </c>
    </row>
    <row r="5331" spans="1:27" ht="21" customHeight="1" x14ac:dyDescent="0.95">
      <c r="A5331" s="56"/>
      <c r="B5331" s="57"/>
      <c r="C5331" s="57"/>
      <c r="D5331" s="57"/>
      <c r="E5331" s="56"/>
      <c r="F5331" s="57"/>
      <c r="G5331" s="57"/>
      <c r="H5331" s="56"/>
      <c r="I5331" s="56"/>
      <c r="J5331" s="58"/>
      <c r="K5331" s="58"/>
      <c r="L5331" s="13" t="str">
        <f t="shared" si="830"/>
        <v/>
      </c>
      <c r="M5331" s="13" t="str">
        <f t="shared" si="831"/>
        <v/>
      </c>
      <c r="Q5331" t="str">
        <f t="shared" si="832"/>
        <v/>
      </c>
      <c r="R5331" t="str">
        <f t="shared" si="833"/>
        <v/>
      </c>
      <c r="S5331" t="str">
        <f t="shared" si="834"/>
        <v/>
      </c>
      <c r="T5331" t="str">
        <f t="shared" si="835"/>
        <v/>
      </c>
      <c r="U5331" t="str">
        <f t="shared" si="836"/>
        <v/>
      </c>
      <c r="V5331" t="str">
        <f t="shared" si="837"/>
        <v/>
      </c>
      <c r="W5331" t="str">
        <f t="shared" si="838"/>
        <v/>
      </c>
      <c r="X5331">
        <f>IF($T5331="",N($X5330),IF(MATCH($T5331,$T$6:$T$10005,0)=ROW()-5,N($X5330)+1,N($X5330)))</f>
        <v>0</v>
      </c>
      <c r="Z5331" t="str">
        <f t="shared" si="839"/>
        <v/>
      </c>
      <c r="AA5331">
        <f>IF($V5331="",N($AA5330),IF(MATCH($V5331,$V$6:$V$10005,0)=ROW()-5,N($AA5330)+1,N($AA5330)))</f>
        <v>0</v>
      </c>
    </row>
    <row r="5332" spans="1:27" ht="21" customHeight="1" x14ac:dyDescent="0.95">
      <c r="A5332" s="56"/>
      <c r="B5332" s="57"/>
      <c r="C5332" s="57"/>
      <c r="D5332" s="57"/>
      <c r="E5332" s="56"/>
      <c r="F5332" s="57"/>
      <c r="G5332" s="57"/>
      <c r="H5332" s="56"/>
      <c r="I5332" s="56"/>
      <c r="J5332" s="58"/>
      <c r="K5332" s="58"/>
      <c r="L5332" s="13" t="str">
        <f t="shared" si="830"/>
        <v/>
      </c>
      <c r="M5332" s="13" t="str">
        <f t="shared" si="831"/>
        <v/>
      </c>
      <c r="Q5332" t="str">
        <f t="shared" si="832"/>
        <v/>
      </c>
      <c r="R5332" t="str">
        <f t="shared" si="833"/>
        <v/>
      </c>
      <c r="S5332" t="str">
        <f t="shared" si="834"/>
        <v/>
      </c>
      <c r="T5332" t="str">
        <f t="shared" si="835"/>
        <v/>
      </c>
      <c r="U5332" t="str">
        <f t="shared" si="836"/>
        <v/>
      </c>
      <c r="V5332" t="str">
        <f t="shared" si="837"/>
        <v/>
      </c>
      <c r="W5332" t="str">
        <f t="shared" si="838"/>
        <v/>
      </c>
      <c r="X5332">
        <f>IF($T5332="",N($X5331),IF(MATCH($T5332,$T$6:$T$10005,0)=ROW()-5,N($X5331)+1,N($X5331)))</f>
        <v>0</v>
      </c>
      <c r="Z5332" t="str">
        <f t="shared" si="839"/>
        <v/>
      </c>
      <c r="AA5332">
        <f>IF($V5332="",N($AA5331),IF(MATCH($V5332,$V$6:$V$10005,0)=ROW()-5,N($AA5331)+1,N($AA5331)))</f>
        <v>0</v>
      </c>
    </row>
    <row r="5333" spans="1:27" ht="21" customHeight="1" x14ac:dyDescent="0.95">
      <c r="A5333" s="56"/>
      <c r="B5333" s="57"/>
      <c r="C5333" s="57"/>
      <c r="D5333" s="57"/>
      <c r="E5333" s="56"/>
      <c r="F5333" s="57"/>
      <c r="G5333" s="57"/>
      <c r="H5333" s="56"/>
      <c r="I5333" s="56"/>
      <c r="J5333" s="58"/>
      <c r="K5333" s="58"/>
      <c r="L5333" s="13" t="str">
        <f t="shared" si="830"/>
        <v/>
      </c>
      <c r="M5333" s="13" t="str">
        <f t="shared" si="831"/>
        <v/>
      </c>
      <c r="Q5333" t="str">
        <f t="shared" si="832"/>
        <v/>
      </c>
      <c r="R5333" t="str">
        <f t="shared" si="833"/>
        <v/>
      </c>
      <c r="S5333" t="str">
        <f t="shared" si="834"/>
        <v/>
      </c>
      <c r="T5333" t="str">
        <f t="shared" si="835"/>
        <v/>
      </c>
      <c r="U5333" t="str">
        <f t="shared" si="836"/>
        <v/>
      </c>
      <c r="V5333" t="str">
        <f t="shared" si="837"/>
        <v/>
      </c>
      <c r="W5333" t="str">
        <f t="shared" si="838"/>
        <v/>
      </c>
      <c r="X5333">
        <f>IF($T5333="",N($X5332),IF(MATCH($T5333,$T$6:$T$10005,0)=ROW()-5,N($X5332)+1,N($X5332)))</f>
        <v>0</v>
      </c>
      <c r="Z5333" t="str">
        <f t="shared" si="839"/>
        <v/>
      </c>
      <c r="AA5333">
        <f>IF($V5333="",N($AA5332),IF(MATCH($V5333,$V$6:$V$10005,0)=ROW()-5,N($AA5332)+1,N($AA5332)))</f>
        <v>0</v>
      </c>
    </row>
    <row r="5334" spans="1:27" ht="21" customHeight="1" x14ac:dyDescent="0.95">
      <c r="A5334" s="56"/>
      <c r="B5334" s="57"/>
      <c r="C5334" s="57"/>
      <c r="D5334" s="57"/>
      <c r="E5334" s="56"/>
      <c r="F5334" s="57"/>
      <c r="G5334" s="57"/>
      <c r="H5334" s="56"/>
      <c r="I5334" s="56"/>
      <c r="J5334" s="58"/>
      <c r="K5334" s="58"/>
      <c r="L5334" s="13" t="str">
        <f t="shared" si="830"/>
        <v/>
      </c>
      <c r="M5334" s="13" t="str">
        <f t="shared" si="831"/>
        <v/>
      </c>
      <c r="Q5334" t="str">
        <f t="shared" si="832"/>
        <v/>
      </c>
      <c r="R5334" t="str">
        <f t="shared" si="833"/>
        <v/>
      </c>
      <c r="S5334" t="str">
        <f t="shared" si="834"/>
        <v/>
      </c>
      <c r="T5334" t="str">
        <f t="shared" si="835"/>
        <v/>
      </c>
      <c r="U5334" t="str">
        <f t="shared" si="836"/>
        <v/>
      </c>
      <c r="V5334" t="str">
        <f t="shared" si="837"/>
        <v/>
      </c>
      <c r="W5334" t="str">
        <f t="shared" si="838"/>
        <v/>
      </c>
      <c r="X5334">
        <f>IF($T5334="",N($X5333),IF(MATCH($T5334,$T$6:$T$10005,0)=ROW()-5,N($X5333)+1,N($X5333)))</f>
        <v>0</v>
      </c>
      <c r="Z5334" t="str">
        <f t="shared" si="839"/>
        <v/>
      </c>
      <c r="AA5334">
        <f>IF($V5334="",N($AA5333),IF(MATCH($V5334,$V$6:$V$10005,0)=ROW()-5,N($AA5333)+1,N($AA5333)))</f>
        <v>0</v>
      </c>
    </row>
    <row r="5335" spans="1:27" ht="21" customHeight="1" x14ac:dyDescent="0.95">
      <c r="A5335" s="56"/>
      <c r="B5335" s="57"/>
      <c r="C5335" s="57"/>
      <c r="D5335" s="57"/>
      <c r="E5335" s="56"/>
      <c r="F5335" s="57"/>
      <c r="G5335" s="57"/>
      <c r="H5335" s="56"/>
      <c r="I5335" s="56"/>
      <c r="J5335" s="58"/>
      <c r="K5335" s="58"/>
      <c r="L5335" s="13" t="str">
        <f t="shared" si="830"/>
        <v/>
      </c>
      <c r="M5335" s="13" t="str">
        <f t="shared" si="831"/>
        <v/>
      </c>
      <c r="Q5335" t="str">
        <f t="shared" si="832"/>
        <v/>
      </c>
      <c r="R5335" t="str">
        <f t="shared" si="833"/>
        <v/>
      </c>
      <c r="S5335" t="str">
        <f t="shared" si="834"/>
        <v/>
      </c>
      <c r="T5335" t="str">
        <f t="shared" si="835"/>
        <v/>
      </c>
      <c r="U5335" t="str">
        <f t="shared" si="836"/>
        <v/>
      </c>
      <c r="V5335" t="str">
        <f t="shared" si="837"/>
        <v/>
      </c>
      <c r="W5335" t="str">
        <f t="shared" si="838"/>
        <v/>
      </c>
      <c r="X5335">
        <f>IF($T5335="",N($X5334),IF(MATCH($T5335,$T$6:$T$10005,0)=ROW()-5,N($X5334)+1,N($X5334)))</f>
        <v>0</v>
      </c>
      <c r="Z5335" t="str">
        <f t="shared" si="839"/>
        <v/>
      </c>
      <c r="AA5335">
        <f>IF($V5335="",N($AA5334),IF(MATCH($V5335,$V$6:$V$10005,0)=ROW()-5,N($AA5334)+1,N($AA5334)))</f>
        <v>0</v>
      </c>
    </row>
    <row r="5336" spans="1:27" ht="21" customHeight="1" x14ac:dyDescent="0.95">
      <c r="A5336" s="56"/>
      <c r="B5336" s="57"/>
      <c r="C5336" s="57"/>
      <c r="D5336" s="57"/>
      <c r="E5336" s="56"/>
      <c r="F5336" s="57"/>
      <c r="G5336" s="57"/>
      <c r="H5336" s="56"/>
      <c r="I5336" s="56"/>
      <c r="J5336" s="58"/>
      <c r="K5336" s="58"/>
      <c r="L5336" s="13" t="str">
        <f t="shared" si="830"/>
        <v/>
      </c>
      <c r="M5336" s="13" t="str">
        <f t="shared" si="831"/>
        <v/>
      </c>
      <c r="Q5336" t="str">
        <f t="shared" si="832"/>
        <v/>
      </c>
      <c r="R5336" t="str">
        <f t="shared" si="833"/>
        <v/>
      </c>
      <c r="S5336" t="str">
        <f t="shared" si="834"/>
        <v/>
      </c>
      <c r="T5336" t="str">
        <f t="shared" si="835"/>
        <v/>
      </c>
      <c r="U5336" t="str">
        <f t="shared" si="836"/>
        <v/>
      </c>
      <c r="V5336" t="str">
        <f t="shared" si="837"/>
        <v/>
      </c>
      <c r="W5336" t="str">
        <f t="shared" si="838"/>
        <v/>
      </c>
      <c r="X5336">
        <f>IF($T5336="",N($X5335),IF(MATCH($T5336,$T$6:$T$10005,0)=ROW()-5,N($X5335)+1,N($X5335)))</f>
        <v>0</v>
      </c>
      <c r="Z5336" t="str">
        <f t="shared" si="839"/>
        <v/>
      </c>
      <c r="AA5336">
        <f>IF($V5336="",N($AA5335),IF(MATCH($V5336,$V$6:$V$10005,0)=ROW()-5,N($AA5335)+1,N($AA5335)))</f>
        <v>0</v>
      </c>
    </row>
    <row r="5337" spans="1:27" ht="21" customHeight="1" x14ac:dyDescent="0.95">
      <c r="A5337" s="56"/>
      <c r="B5337" s="57"/>
      <c r="C5337" s="57"/>
      <c r="D5337" s="57"/>
      <c r="E5337" s="56"/>
      <c r="F5337" s="57"/>
      <c r="G5337" s="57"/>
      <c r="H5337" s="56"/>
      <c r="I5337" s="56"/>
      <c r="J5337" s="58"/>
      <c r="K5337" s="58"/>
      <c r="L5337" s="13" t="str">
        <f t="shared" si="830"/>
        <v/>
      </c>
      <c r="M5337" s="13" t="str">
        <f t="shared" si="831"/>
        <v/>
      </c>
      <c r="Q5337" t="str">
        <f t="shared" si="832"/>
        <v/>
      </c>
      <c r="R5337" t="str">
        <f t="shared" si="833"/>
        <v/>
      </c>
      <c r="S5337" t="str">
        <f t="shared" si="834"/>
        <v/>
      </c>
      <c r="T5337" t="str">
        <f t="shared" si="835"/>
        <v/>
      </c>
      <c r="U5337" t="str">
        <f t="shared" si="836"/>
        <v/>
      </c>
      <c r="V5337" t="str">
        <f t="shared" si="837"/>
        <v/>
      </c>
      <c r="W5337" t="str">
        <f t="shared" si="838"/>
        <v/>
      </c>
      <c r="X5337">
        <f>IF($T5337="",N($X5336),IF(MATCH($T5337,$T$6:$T$10005,0)=ROW()-5,N($X5336)+1,N($X5336)))</f>
        <v>0</v>
      </c>
      <c r="Z5337" t="str">
        <f t="shared" si="839"/>
        <v/>
      </c>
      <c r="AA5337">
        <f>IF($V5337="",N($AA5336),IF(MATCH($V5337,$V$6:$V$10005,0)=ROW()-5,N($AA5336)+1,N($AA5336)))</f>
        <v>0</v>
      </c>
    </row>
    <row r="5338" spans="1:27" ht="21" customHeight="1" x14ac:dyDescent="0.95">
      <c r="A5338" s="56"/>
      <c r="B5338" s="57"/>
      <c r="C5338" s="57"/>
      <c r="D5338" s="57"/>
      <c r="E5338" s="56"/>
      <c r="F5338" s="57"/>
      <c r="G5338" s="57"/>
      <c r="H5338" s="56"/>
      <c r="I5338" s="56"/>
      <c r="J5338" s="58"/>
      <c r="K5338" s="58"/>
      <c r="L5338" s="13" t="str">
        <f t="shared" si="830"/>
        <v/>
      </c>
      <c r="M5338" s="13" t="str">
        <f t="shared" si="831"/>
        <v/>
      </c>
      <c r="Q5338" t="str">
        <f t="shared" si="832"/>
        <v/>
      </c>
      <c r="R5338" t="str">
        <f t="shared" si="833"/>
        <v/>
      </c>
      <c r="S5338" t="str">
        <f t="shared" si="834"/>
        <v/>
      </c>
      <c r="T5338" t="str">
        <f t="shared" si="835"/>
        <v/>
      </c>
      <c r="U5338" t="str">
        <f t="shared" si="836"/>
        <v/>
      </c>
      <c r="V5338" t="str">
        <f t="shared" si="837"/>
        <v/>
      </c>
      <c r="W5338" t="str">
        <f t="shared" si="838"/>
        <v/>
      </c>
      <c r="X5338">
        <f>IF($T5338="",N($X5337),IF(MATCH($T5338,$T$6:$T$10005,0)=ROW()-5,N($X5337)+1,N($X5337)))</f>
        <v>0</v>
      </c>
      <c r="Z5338" t="str">
        <f t="shared" si="839"/>
        <v/>
      </c>
      <c r="AA5338">
        <f>IF($V5338="",N($AA5337),IF(MATCH($V5338,$V$6:$V$10005,0)=ROW()-5,N($AA5337)+1,N($AA5337)))</f>
        <v>0</v>
      </c>
    </row>
    <row r="5339" spans="1:27" ht="21" customHeight="1" x14ac:dyDescent="0.95">
      <c r="A5339" s="56"/>
      <c r="B5339" s="57"/>
      <c r="C5339" s="57"/>
      <c r="D5339" s="57"/>
      <c r="E5339" s="56"/>
      <c r="F5339" s="57"/>
      <c r="G5339" s="57"/>
      <c r="H5339" s="56"/>
      <c r="I5339" s="56"/>
      <c r="J5339" s="58"/>
      <c r="K5339" s="58"/>
      <c r="L5339" s="13" t="str">
        <f t="shared" si="830"/>
        <v/>
      </c>
      <c r="M5339" s="13" t="str">
        <f t="shared" si="831"/>
        <v/>
      </c>
      <c r="Q5339" t="str">
        <f t="shared" si="832"/>
        <v/>
      </c>
      <c r="R5339" t="str">
        <f t="shared" si="833"/>
        <v/>
      </c>
      <c r="S5339" t="str">
        <f t="shared" si="834"/>
        <v/>
      </c>
      <c r="T5339" t="str">
        <f t="shared" si="835"/>
        <v/>
      </c>
      <c r="U5339" t="str">
        <f t="shared" si="836"/>
        <v/>
      </c>
      <c r="V5339" t="str">
        <f t="shared" si="837"/>
        <v/>
      </c>
      <c r="W5339" t="str">
        <f t="shared" si="838"/>
        <v/>
      </c>
      <c r="X5339">
        <f>IF($T5339="",N($X5338),IF(MATCH($T5339,$T$6:$T$10005,0)=ROW()-5,N($X5338)+1,N($X5338)))</f>
        <v>0</v>
      </c>
      <c r="Z5339" t="str">
        <f t="shared" si="839"/>
        <v/>
      </c>
      <c r="AA5339">
        <f>IF($V5339="",N($AA5338),IF(MATCH($V5339,$V$6:$V$10005,0)=ROW()-5,N($AA5338)+1,N($AA5338)))</f>
        <v>0</v>
      </c>
    </row>
    <row r="5340" spans="1:27" ht="21" customHeight="1" x14ac:dyDescent="0.95">
      <c r="A5340" s="56"/>
      <c r="B5340" s="57"/>
      <c r="C5340" s="57"/>
      <c r="D5340" s="57"/>
      <c r="E5340" s="56"/>
      <c r="F5340" s="57"/>
      <c r="G5340" s="57"/>
      <c r="H5340" s="56"/>
      <c r="I5340" s="56"/>
      <c r="J5340" s="58"/>
      <c r="K5340" s="58"/>
      <c r="L5340" s="13" t="str">
        <f t="shared" si="830"/>
        <v/>
      </c>
      <c r="M5340" s="13" t="str">
        <f t="shared" si="831"/>
        <v/>
      </c>
      <c r="Q5340" t="str">
        <f t="shared" si="832"/>
        <v/>
      </c>
      <c r="R5340" t="str">
        <f t="shared" si="833"/>
        <v/>
      </c>
      <c r="S5340" t="str">
        <f t="shared" si="834"/>
        <v/>
      </c>
      <c r="T5340" t="str">
        <f t="shared" si="835"/>
        <v/>
      </c>
      <c r="U5340" t="str">
        <f t="shared" si="836"/>
        <v/>
      </c>
      <c r="V5340" t="str">
        <f t="shared" si="837"/>
        <v/>
      </c>
      <c r="W5340" t="str">
        <f t="shared" si="838"/>
        <v/>
      </c>
      <c r="X5340">
        <f>IF($T5340="",N($X5339),IF(MATCH($T5340,$T$6:$T$10005,0)=ROW()-5,N($X5339)+1,N($X5339)))</f>
        <v>0</v>
      </c>
      <c r="Z5340" t="str">
        <f t="shared" si="839"/>
        <v/>
      </c>
      <c r="AA5340">
        <f>IF($V5340="",N($AA5339),IF(MATCH($V5340,$V$6:$V$10005,0)=ROW()-5,N($AA5339)+1,N($AA5339)))</f>
        <v>0</v>
      </c>
    </row>
    <row r="5341" spans="1:27" ht="21" customHeight="1" x14ac:dyDescent="0.95">
      <c r="A5341" s="56"/>
      <c r="B5341" s="57"/>
      <c r="C5341" s="57"/>
      <c r="D5341" s="57"/>
      <c r="E5341" s="56"/>
      <c r="F5341" s="57"/>
      <c r="G5341" s="57"/>
      <c r="H5341" s="56"/>
      <c r="I5341" s="56"/>
      <c r="J5341" s="58"/>
      <c r="K5341" s="58"/>
      <c r="L5341" s="13" t="str">
        <f t="shared" si="830"/>
        <v/>
      </c>
      <c r="M5341" s="13" t="str">
        <f t="shared" si="831"/>
        <v/>
      </c>
      <c r="Q5341" t="str">
        <f t="shared" si="832"/>
        <v/>
      </c>
      <c r="R5341" t="str">
        <f t="shared" si="833"/>
        <v/>
      </c>
      <c r="S5341" t="str">
        <f t="shared" si="834"/>
        <v/>
      </c>
      <c r="T5341" t="str">
        <f t="shared" si="835"/>
        <v/>
      </c>
      <c r="U5341" t="str">
        <f t="shared" si="836"/>
        <v/>
      </c>
      <c r="V5341" t="str">
        <f t="shared" si="837"/>
        <v/>
      </c>
      <c r="W5341" t="str">
        <f t="shared" si="838"/>
        <v/>
      </c>
      <c r="X5341">
        <f>IF($T5341="",N($X5340),IF(MATCH($T5341,$T$6:$T$10005,0)=ROW()-5,N($X5340)+1,N($X5340)))</f>
        <v>0</v>
      </c>
      <c r="Z5341" t="str">
        <f t="shared" si="839"/>
        <v/>
      </c>
      <c r="AA5341">
        <f>IF($V5341="",N($AA5340),IF(MATCH($V5341,$V$6:$V$10005,0)=ROW()-5,N($AA5340)+1,N($AA5340)))</f>
        <v>0</v>
      </c>
    </row>
    <row r="5342" spans="1:27" ht="21" customHeight="1" x14ac:dyDescent="0.95">
      <c r="A5342" s="56"/>
      <c r="B5342" s="57"/>
      <c r="C5342" s="57"/>
      <c r="D5342" s="57"/>
      <c r="E5342" s="56"/>
      <c r="F5342" s="57"/>
      <c r="G5342" s="57"/>
      <c r="H5342" s="56"/>
      <c r="I5342" s="56"/>
      <c r="J5342" s="58"/>
      <c r="K5342" s="58"/>
      <c r="L5342" s="13" t="str">
        <f t="shared" si="830"/>
        <v/>
      </c>
      <c r="M5342" s="13" t="str">
        <f t="shared" si="831"/>
        <v/>
      </c>
      <c r="Q5342" t="str">
        <f t="shared" si="832"/>
        <v/>
      </c>
      <c r="R5342" t="str">
        <f t="shared" si="833"/>
        <v/>
      </c>
      <c r="S5342" t="str">
        <f t="shared" si="834"/>
        <v/>
      </c>
      <c r="T5342" t="str">
        <f t="shared" si="835"/>
        <v/>
      </c>
      <c r="U5342" t="str">
        <f t="shared" si="836"/>
        <v/>
      </c>
      <c r="V5342" t="str">
        <f t="shared" si="837"/>
        <v/>
      </c>
      <c r="W5342" t="str">
        <f t="shared" si="838"/>
        <v/>
      </c>
      <c r="X5342">
        <f>IF($T5342="",N($X5341),IF(MATCH($T5342,$T$6:$T$10005,0)=ROW()-5,N($X5341)+1,N($X5341)))</f>
        <v>0</v>
      </c>
      <c r="Z5342" t="str">
        <f t="shared" si="839"/>
        <v/>
      </c>
      <c r="AA5342">
        <f>IF($V5342="",N($AA5341),IF(MATCH($V5342,$V$6:$V$10005,0)=ROW()-5,N($AA5341)+1,N($AA5341)))</f>
        <v>0</v>
      </c>
    </row>
    <row r="5343" spans="1:27" ht="21" customHeight="1" x14ac:dyDescent="0.95">
      <c r="A5343" s="56"/>
      <c r="B5343" s="57"/>
      <c r="C5343" s="57"/>
      <c r="D5343" s="57"/>
      <c r="E5343" s="56"/>
      <c r="F5343" s="57"/>
      <c r="G5343" s="57"/>
      <c r="H5343" s="56"/>
      <c r="I5343" s="56"/>
      <c r="J5343" s="58"/>
      <c r="K5343" s="58"/>
      <c r="L5343" s="13" t="str">
        <f t="shared" si="830"/>
        <v/>
      </c>
      <c r="M5343" s="13" t="str">
        <f t="shared" si="831"/>
        <v/>
      </c>
      <c r="Q5343" t="str">
        <f t="shared" si="832"/>
        <v/>
      </c>
      <c r="R5343" t="str">
        <f t="shared" si="833"/>
        <v/>
      </c>
      <c r="S5343" t="str">
        <f t="shared" si="834"/>
        <v/>
      </c>
      <c r="T5343" t="str">
        <f t="shared" si="835"/>
        <v/>
      </c>
      <c r="U5343" t="str">
        <f t="shared" si="836"/>
        <v/>
      </c>
      <c r="V5343" t="str">
        <f t="shared" si="837"/>
        <v/>
      </c>
      <c r="W5343" t="str">
        <f t="shared" si="838"/>
        <v/>
      </c>
      <c r="X5343">
        <f>IF($T5343="",N($X5342),IF(MATCH($T5343,$T$6:$T$10005,0)=ROW()-5,N($X5342)+1,N($X5342)))</f>
        <v>0</v>
      </c>
      <c r="Z5343" t="str">
        <f t="shared" si="839"/>
        <v/>
      </c>
      <c r="AA5343">
        <f>IF($V5343="",N($AA5342),IF(MATCH($V5343,$V$6:$V$10005,0)=ROW()-5,N($AA5342)+1,N($AA5342)))</f>
        <v>0</v>
      </c>
    </row>
    <row r="5344" spans="1:27" ht="21" customHeight="1" x14ac:dyDescent="0.95">
      <c r="A5344" s="56"/>
      <c r="B5344" s="57"/>
      <c r="C5344" s="57"/>
      <c r="D5344" s="57"/>
      <c r="E5344" s="56"/>
      <c r="F5344" s="57"/>
      <c r="G5344" s="57"/>
      <c r="H5344" s="56"/>
      <c r="I5344" s="56"/>
      <c r="J5344" s="58"/>
      <c r="K5344" s="58"/>
      <c r="L5344" s="13" t="str">
        <f t="shared" si="830"/>
        <v/>
      </c>
      <c r="M5344" s="13" t="str">
        <f t="shared" si="831"/>
        <v/>
      </c>
      <c r="Q5344" t="str">
        <f t="shared" si="832"/>
        <v/>
      </c>
      <c r="R5344" t="str">
        <f t="shared" si="833"/>
        <v/>
      </c>
      <c r="S5344" t="str">
        <f t="shared" si="834"/>
        <v/>
      </c>
      <c r="T5344" t="str">
        <f t="shared" si="835"/>
        <v/>
      </c>
      <c r="U5344" t="str">
        <f t="shared" si="836"/>
        <v/>
      </c>
      <c r="V5344" t="str">
        <f t="shared" si="837"/>
        <v/>
      </c>
      <c r="W5344" t="str">
        <f t="shared" si="838"/>
        <v/>
      </c>
      <c r="X5344">
        <f>IF($T5344="",N($X5343),IF(MATCH($T5344,$T$6:$T$10005,0)=ROW()-5,N($X5343)+1,N($X5343)))</f>
        <v>0</v>
      </c>
      <c r="Z5344" t="str">
        <f t="shared" si="839"/>
        <v/>
      </c>
      <c r="AA5344">
        <f>IF($V5344="",N($AA5343),IF(MATCH($V5344,$V$6:$V$10005,0)=ROW()-5,N($AA5343)+1,N($AA5343)))</f>
        <v>0</v>
      </c>
    </row>
    <row r="5345" spans="1:27" ht="21" customHeight="1" x14ac:dyDescent="0.95">
      <c r="A5345" s="56"/>
      <c r="B5345" s="57"/>
      <c r="C5345" s="57"/>
      <c r="D5345" s="57"/>
      <c r="E5345" s="56"/>
      <c r="F5345" s="57"/>
      <c r="G5345" s="57"/>
      <c r="H5345" s="56"/>
      <c r="I5345" s="56"/>
      <c r="J5345" s="58"/>
      <c r="K5345" s="58"/>
      <c r="L5345" s="13" t="str">
        <f t="shared" si="830"/>
        <v/>
      </c>
      <c r="M5345" s="13" t="str">
        <f t="shared" si="831"/>
        <v/>
      </c>
      <c r="Q5345" t="str">
        <f t="shared" si="832"/>
        <v/>
      </c>
      <c r="R5345" t="str">
        <f t="shared" si="833"/>
        <v/>
      </c>
      <c r="S5345" t="str">
        <f t="shared" si="834"/>
        <v/>
      </c>
      <c r="T5345" t="str">
        <f t="shared" si="835"/>
        <v/>
      </c>
      <c r="U5345" t="str">
        <f t="shared" si="836"/>
        <v/>
      </c>
      <c r="V5345" t="str">
        <f t="shared" si="837"/>
        <v/>
      </c>
      <c r="W5345" t="str">
        <f t="shared" si="838"/>
        <v/>
      </c>
      <c r="X5345">
        <f>IF($T5345="",N($X5344),IF(MATCH($T5345,$T$6:$T$10005,0)=ROW()-5,N($X5344)+1,N($X5344)))</f>
        <v>0</v>
      </c>
      <c r="Z5345" t="str">
        <f t="shared" si="839"/>
        <v/>
      </c>
      <c r="AA5345">
        <f>IF($V5345="",N($AA5344),IF(MATCH($V5345,$V$6:$V$10005,0)=ROW()-5,N($AA5344)+1,N($AA5344)))</f>
        <v>0</v>
      </c>
    </row>
    <row r="5346" spans="1:27" ht="21" customHeight="1" x14ac:dyDescent="0.95">
      <c r="A5346" s="56"/>
      <c r="B5346" s="57"/>
      <c r="C5346" s="57"/>
      <c r="D5346" s="57"/>
      <c r="E5346" s="56"/>
      <c r="F5346" s="57"/>
      <c r="G5346" s="57"/>
      <c r="H5346" s="56"/>
      <c r="I5346" s="56"/>
      <c r="J5346" s="58"/>
      <c r="K5346" s="58"/>
      <c r="L5346" s="13" t="str">
        <f t="shared" si="830"/>
        <v/>
      </c>
      <c r="M5346" s="13" t="str">
        <f t="shared" si="831"/>
        <v/>
      </c>
      <c r="Q5346" t="str">
        <f t="shared" si="832"/>
        <v/>
      </c>
      <c r="R5346" t="str">
        <f t="shared" si="833"/>
        <v/>
      </c>
      <c r="S5346" t="str">
        <f t="shared" si="834"/>
        <v/>
      </c>
      <c r="T5346" t="str">
        <f t="shared" si="835"/>
        <v/>
      </c>
      <c r="U5346" t="str">
        <f t="shared" si="836"/>
        <v/>
      </c>
      <c r="V5346" t="str">
        <f t="shared" si="837"/>
        <v/>
      </c>
      <c r="W5346" t="str">
        <f t="shared" si="838"/>
        <v/>
      </c>
      <c r="X5346">
        <f>IF($T5346="",N($X5345),IF(MATCH($T5346,$T$6:$T$10005,0)=ROW()-5,N($X5345)+1,N($X5345)))</f>
        <v>0</v>
      </c>
      <c r="Z5346" t="str">
        <f t="shared" si="839"/>
        <v/>
      </c>
      <c r="AA5346">
        <f>IF($V5346="",N($AA5345),IF(MATCH($V5346,$V$6:$V$10005,0)=ROW()-5,N($AA5345)+1,N($AA5345)))</f>
        <v>0</v>
      </c>
    </row>
    <row r="5347" spans="1:27" ht="21" customHeight="1" x14ac:dyDescent="0.95">
      <c r="A5347" s="56"/>
      <c r="B5347" s="57"/>
      <c r="C5347" s="57"/>
      <c r="D5347" s="57"/>
      <c r="E5347" s="56"/>
      <c r="F5347" s="57"/>
      <c r="G5347" s="57"/>
      <c r="H5347" s="56"/>
      <c r="I5347" s="56"/>
      <c r="J5347" s="58"/>
      <c r="K5347" s="58"/>
      <c r="L5347" s="13" t="str">
        <f t="shared" si="830"/>
        <v/>
      </c>
      <c r="M5347" s="13" t="str">
        <f t="shared" si="831"/>
        <v/>
      </c>
      <c r="Q5347" t="str">
        <f t="shared" si="832"/>
        <v/>
      </c>
      <c r="R5347" t="str">
        <f t="shared" si="833"/>
        <v/>
      </c>
      <c r="S5347" t="str">
        <f t="shared" si="834"/>
        <v/>
      </c>
      <c r="T5347" t="str">
        <f t="shared" si="835"/>
        <v/>
      </c>
      <c r="U5347" t="str">
        <f t="shared" si="836"/>
        <v/>
      </c>
      <c r="V5347" t="str">
        <f t="shared" si="837"/>
        <v/>
      </c>
      <c r="W5347" t="str">
        <f t="shared" si="838"/>
        <v/>
      </c>
      <c r="X5347">
        <f>IF($T5347="",N($X5346),IF(MATCH($T5347,$T$6:$T$10005,0)=ROW()-5,N($X5346)+1,N($X5346)))</f>
        <v>0</v>
      </c>
      <c r="Z5347" t="str">
        <f t="shared" si="839"/>
        <v/>
      </c>
      <c r="AA5347">
        <f>IF($V5347="",N($AA5346),IF(MATCH($V5347,$V$6:$V$10005,0)=ROW()-5,N($AA5346)+1,N($AA5346)))</f>
        <v>0</v>
      </c>
    </row>
    <row r="5348" spans="1:27" ht="21" customHeight="1" x14ac:dyDescent="0.95">
      <c r="A5348" s="56"/>
      <c r="B5348" s="57"/>
      <c r="C5348" s="57"/>
      <c r="D5348" s="57"/>
      <c r="E5348" s="56"/>
      <c r="F5348" s="57"/>
      <c r="G5348" s="57"/>
      <c r="H5348" s="56"/>
      <c r="I5348" s="56"/>
      <c r="J5348" s="58"/>
      <c r="K5348" s="58"/>
      <c r="L5348" s="13" t="str">
        <f t="shared" si="830"/>
        <v/>
      </c>
      <c r="M5348" s="13" t="str">
        <f t="shared" si="831"/>
        <v/>
      </c>
      <c r="Q5348" t="str">
        <f t="shared" si="832"/>
        <v/>
      </c>
      <c r="R5348" t="str">
        <f t="shared" si="833"/>
        <v/>
      </c>
      <c r="S5348" t="str">
        <f t="shared" si="834"/>
        <v/>
      </c>
      <c r="T5348" t="str">
        <f t="shared" si="835"/>
        <v/>
      </c>
      <c r="U5348" t="str">
        <f t="shared" si="836"/>
        <v/>
      </c>
      <c r="V5348" t="str">
        <f t="shared" si="837"/>
        <v/>
      </c>
      <c r="W5348" t="str">
        <f t="shared" si="838"/>
        <v/>
      </c>
      <c r="X5348">
        <f>IF($T5348="",N($X5347),IF(MATCH($T5348,$T$6:$T$10005,0)=ROW()-5,N($X5347)+1,N($X5347)))</f>
        <v>0</v>
      </c>
      <c r="Z5348" t="str">
        <f t="shared" si="839"/>
        <v/>
      </c>
      <c r="AA5348">
        <f>IF($V5348="",N($AA5347),IF(MATCH($V5348,$V$6:$V$10005,0)=ROW()-5,N($AA5347)+1,N($AA5347)))</f>
        <v>0</v>
      </c>
    </row>
    <row r="5349" spans="1:27" ht="21" customHeight="1" x14ac:dyDescent="0.95">
      <c r="A5349" s="56"/>
      <c r="B5349" s="57"/>
      <c r="C5349" s="57"/>
      <c r="D5349" s="57"/>
      <c r="E5349" s="56"/>
      <c r="F5349" s="57"/>
      <c r="G5349" s="57"/>
      <c r="H5349" s="56"/>
      <c r="I5349" s="56"/>
      <c r="J5349" s="58"/>
      <c r="K5349" s="58"/>
      <c r="L5349" s="13" t="str">
        <f t="shared" si="830"/>
        <v/>
      </c>
      <c r="M5349" s="13" t="str">
        <f t="shared" si="831"/>
        <v/>
      </c>
      <c r="Q5349" t="str">
        <f t="shared" si="832"/>
        <v/>
      </c>
      <c r="R5349" t="str">
        <f t="shared" si="833"/>
        <v/>
      </c>
      <c r="S5349" t="str">
        <f t="shared" si="834"/>
        <v/>
      </c>
      <c r="T5349" t="str">
        <f t="shared" si="835"/>
        <v/>
      </c>
      <c r="U5349" t="str">
        <f t="shared" si="836"/>
        <v/>
      </c>
      <c r="V5349" t="str">
        <f t="shared" si="837"/>
        <v/>
      </c>
      <c r="W5349" t="str">
        <f t="shared" si="838"/>
        <v/>
      </c>
      <c r="X5349">
        <f>IF($T5349="",N($X5348),IF(MATCH($T5349,$T$6:$T$10005,0)=ROW()-5,N($X5348)+1,N($X5348)))</f>
        <v>0</v>
      </c>
      <c r="Z5349" t="str">
        <f t="shared" si="839"/>
        <v/>
      </c>
      <c r="AA5349">
        <f>IF($V5349="",N($AA5348),IF(MATCH($V5349,$V$6:$V$10005,0)=ROW()-5,N($AA5348)+1,N($AA5348)))</f>
        <v>0</v>
      </c>
    </row>
    <row r="5350" spans="1:27" ht="21" customHeight="1" x14ac:dyDescent="0.95">
      <c r="A5350" s="56"/>
      <c r="B5350" s="57"/>
      <c r="C5350" s="57"/>
      <c r="D5350" s="57"/>
      <c r="E5350" s="56"/>
      <c r="F5350" s="57"/>
      <c r="G5350" s="57"/>
      <c r="H5350" s="56"/>
      <c r="I5350" s="56"/>
      <c r="J5350" s="58"/>
      <c r="K5350" s="58"/>
      <c r="L5350" s="13" t="str">
        <f t="shared" si="830"/>
        <v/>
      </c>
      <c r="M5350" s="13" t="str">
        <f t="shared" si="831"/>
        <v/>
      </c>
      <c r="Q5350" t="str">
        <f t="shared" si="832"/>
        <v/>
      </c>
      <c r="R5350" t="str">
        <f t="shared" si="833"/>
        <v/>
      </c>
      <c r="S5350" t="str">
        <f t="shared" si="834"/>
        <v/>
      </c>
      <c r="T5350" t="str">
        <f t="shared" si="835"/>
        <v/>
      </c>
      <c r="U5350" t="str">
        <f t="shared" si="836"/>
        <v/>
      </c>
      <c r="V5350" t="str">
        <f t="shared" si="837"/>
        <v/>
      </c>
      <c r="W5350" t="str">
        <f t="shared" si="838"/>
        <v/>
      </c>
      <c r="X5350">
        <f>IF($T5350="",N($X5349),IF(MATCH($T5350,$T$6:$T$10005,0)=ROW()-5,N($X5349)+1,N($X5349)))</f>
        <v>0</v>
      </c>
      <c r="Z5350" t="str">
        <f t="shared" si="839"/>
        <v/>
      </c>
      <c r="AA5350">
        <f>IF($V5350="",N($AA5349),IF(MATCH($V5350,$V$6:$V$10005,0)=ROW()-5,N($AA5349)+1,N($AA5349)))</f>
        <v>0</v>
      </c>
    </row>
    <row r="5351" spans="1:27" ht="21" customHeight="1" x14ac:dyDescent="0.95">
      <c r="A5351" s="56"/>
      <c r="B5351" s="57"/>
      <c r="C5351" s="57"/>
      <c r="D5351" s="57"/>
      <c r="E5351" s="56"/>
      <c r="F5351" s="57"/>
      <c r="G5351" s="57"/>
      <c r="H5351" s="56"/>
      <c r="I5351" s="56"/>
      <c r="J5351" s="58"/>
      <c r="K5351" s="58"/>
      <c r="L5351" s="13" t="str">
        <f t="shared" si="830"/>
        <v/>
      </c>
      <c r="M5351" s="13" t="str">
        <f t="shared" si="831"/>
        <v/>
      </c>
      <c r="Q5351" t="str">
        <f t="shared" si="832"/>
        <v/>
      </c>
      <c r="R5351" t="str">
        <f t="shared" si="833"/>
        <v/>
      </c>
      <c r="S5351" t="str">
        <f t="shared" si="834"/>
        <v/>
      </c>
      <c r="T5351" t="str">
        <f t="shared" si="835"/>
        <v/>
      </c>
      <c r="U5351" t="str">
        <f t="shared" si="836"/>
        <v/>
      </c>
      <c r="V5351" t="str">
        <f t="shared" si="837"/>
        <v/>
      </c>
      <c r="W5351" t="str">
        <f t="shared" si="838"/>
        <v/>
      </c>
      <c r="X5351">
        <f>IF($T5351="",N($X5350),IF(MATCH($T5351,$T$6:$T$10005,0)=ROW()-5,N($X5350)+1,N($X5350)))</f>
        <v>0</v>
      </c>
      <c r="Z5351" t="str">
        <f t="shared" si="839"/>
        <v/>
      </c>
      <c r="AA5351">
        <f>IF($V5351="",N($AA5350),IF(MATCH($V5351,$V$6:$V$10005,0)=ROW()-5,N($AA5350)+1,N($AA5350)))</f>
        <v>0</v>
      </c>
    </row>
    <row r="5352" spans="1:27" ht="21" customHeight="1" x14ac:dyDescent="0.95">
      <c r="A5352" s="56"/>
      <c r="B5352" s="57"/>
      <c r="C5352" s="57"/>
      <c r="D5352" s="57"/>
      <c r="E5352" s="56"/>
      <c r="F5352" s="57"/>
      <c r="G5352" s="57"/>
      <c r="H5352" s="56"/>
      <c r="I5352" s="56"/>
      <c r="J5352" s="58"/>
      <c r="K5352" s="58"/>
      <c r="L5352" s="13" t="str">
        <f t="shared" si="830"/>
        <v/>
      </c>
      <c r="M5352" s="13" t="str">
        <f t="shared" si="831"/>
        <v/>
      </c>
      <c r="Q5352" t="str">
        <f t="shared" si="832"/>
        <v/>
      </c>
      <c r="R5352" t="str">
        <f t="shared" si="833"/>
        <v/>
      </c>
      <c r="S5352" t="str">
        <f t="shared" si="834"/>
        <v/>
      </c>
      <c r="T5352" t="str">
        <f t="shared" si="835"/>
        <v/>
      </c>
      <c r="U5352" t="str">
        <f t="shared" si="836"/>
        <v/>
      </c>
      <c r="V5352" t="str">
        <f t="shared" si="837"/>
        <v/>
      </c>
      <c r="W5352" t="str">
        <f t="shared" si="838"/>
        <v/>
      </c>
      <c r="X5352">
        <f>IF($T5352="",N($X5351),IF(MATCH($T5352,$T$6:$T$10005,0)=ROW()-5,N($X5351)+1,N($X5351)))</f>
        <v>0</v>
      </c>
      <c r="Z5352" t="str">
        <f t="shared" si="839"/>
        <v/>
      </c>
      <c r="AA5352">
        <f>IF($V5352="",N($AA5351),IF(MATCH($V5352,$V$6:$V$10005,0)=ROW()-5,N($AA5351)+1,N($AA5351)))</f>
        <v>0</v>
      </c>
    </row>
    <row r="5353" spans="1:27" ht="21" customHeight="1" x14ac:dyDescent="0.95">
      <c r="A5353" s="56"/>
      <c r="B5353" s="57"/>
      <c r="C5353" s="57"/>
      <c r="D5353" s="57"/>
      <c r="E5353" s="56"/>
      <c r="F5353" s="57"/>
      <c r="G5353" s="57"/>
      <c r="H5353" s="56"/>
      <c r="I5353" s="56"/>
      <c r="J5353" s="58"/>
      <c r="K5353" s="58"/>
      <c r="L5353" s="13" t="str">
        <f t="shared" si="830"/>
        <v/>
      </c>
      <c r="M5353" s="13" t="str">
        <f t="shared" si="831"/>
        <v/>
      </c>
      <c r="Q5353" t="str">
        <f t="shared" si="832"/>
        <v/>
      </c>
      <c r="R5353" t="str">
        <f t="shared" si="833"/>
        <v/>
      </c>
      <c r="S5353" t="str">
        <f t="shared" si="834"/>
        <v/>
      </c>
      <c r="T5353" t="str">
        <f t="shared" si="835"/>
        <v/>
      </c>
      <c r="U5353" t="str">
        <f t="shared" si="836"/>
        <v/>
      </c>
      <c r="V5353" t="str">
        <f t="shared" si="837"/>
        <v/>
      </c>
      <c r="W5353" t="str">
        <f t="shared" si="838"/>
        <v/>
      </c>
      <c r="X5353">
        <f>IF($T5353="",N($X5352),IF(MATCH($T5353,$T$6:$T$10005,0)=ROW()-5,N($X5352)+1,N($X5352)))</f>
        <v>0</v>
      </c>
      <c r="Z5353" t="str">
        <f t="shared" si="839"/>
        <v/>
      </c>
      <c r="AA5353">
        <f>IF($V5353="",N($AA5352),IF(MATCH($V5353,$V$6:$V$10005,0)=ROW()-5,N($AA5352)+1,N($AA5352)))</f>
        <v>0</v>
      </c>
    </row>
    <row r="5354" spans="1:27" ht="21" customHeight="1" x14ac:dyDescent="0.95">
      <c r="A5354" s="56"/>
      <c r="B5354" s="57"/>
      <c r="C5354" s="57"/>
      <c r="D5354" s="57"/>
      <c r="E5354" s="56"/>
      <c r="F5354" s="57"/>
      <c r="G5354" s="57"/>
      <c r="H5354" s="56"/>
      <c r="I5354" s="56"/>
      <c r="J5354" s="58"/>
      <c r="K5354" s="58"/>
      <c r="L5354" s="13" t="str">
        <f t="shared" si="830"/>
        <v/>
      </c>
      <c r="M5354" s="13" t="str">
        <f t="shared" si="831"/>
        <v/>
      </c>
      <c r="Q5354" t="str">
        <f t="shared" si="832"/>
        <v/>
      </c>
      <c r="R5354" t="str">
        <f t="shared" si="833"/>
        <v/>
      </c>
      <c r="S5354" t="str">
        <f t="shared" si="834"/>
        <v/>
      </c>
      <c r="T5354" t="str">
        <f t="shared" si="835"/>
        <v/>
      </c>
      <c r="U5354" t="str">
        <f t="shared" si="836"/>
        <v/>
      </c>
      <c r="V5354" t="str">
        <f t="shared" si="837"/>
        <v/>
      </c>
      <c r="W5354" t="str">
        <f t="shared" si="838"/>
        <v/>
      </c>
      <c r="X5354">
        <f>IF($T5354="",N($X5353),IF(MATCH($T5354,$T$6:$T$10005,0)=ROW()-5,N($X5353)+1,N($X5353)))</f>
        <v>0</v>
      </c>
      <c r="Z5354" t="str">
        <f t="shared" si="839"/>
        <v/>
      </c>
      <c r="AA5354">
        <f>IF($V5354="",N($AA5353),IF(MATCH($V5354,$V$6:$V$10005,0)=ROW()-5,N($AA5353)+1,N($AA5353)))</f>
        <v>0</v>
      </c>
    </row>
    <row r="5355" spans="1:27" ht="21" customHeight="1" x14ac:dyDescent="0.95">
      <c r="A5355" s="56"/>
      <c r="B5355" s="57"/>
      <c r="C5355" s="57"/>
      <c r="D5355" s="57"/>
      <c r="E5355" s="56"/>
      <c r="F5355" s="57"/>
      <c r="G5355" s="57"/>
      <c r="H5355" s="56"/>
      <c r="I5355" s="56"/>
      <c r="J5355" s="58"/>
      <c r="K5355" s="58"/>
      <c r="L5355" s="13" t="str">
        <f t="shared" si="830"/>
        <v/>
      </c>
      <c r="M5355" s="13" t="str">
        <f t="shared" si="831"/>
        <v/>
      </c>
      <c r="Q5355" t="str">
        <f t="shared" si="832"/>
        <v/>
      </c>
      <c r="R5355" t="str">
        <f t="shared" si="833"/>
        <v/>
      </c>
      <c r="S5355" t="str">
        <f t="shared" si="834"/>
        <v/>
      </c>
      <c r="T5355" t="str">
        <f t="shared" si="835"/>
        <v/>
      </c>
      <c r="U5355" t="str">
        <f t="shared" si="836"/>
        <v/>
      </c>
      <c r="V5355" t="str">
        <f t="shared" si="837"/>
        <v/>
      </c>
      <c r="W5355" t="str">
        <f t="shared" si="838"/>
        <v/>
      </c>
      <c r="X5355">
        <f>IF($T5355="",N($X5354),IF(MATCH($T5355,$T$6:$T$10005,0)=ROW()-5,N($X5354)+1,N($X5354)))</f>
        <v>0</v>
      </c>
      <c r="Z5355" t="str">
        <f t="shared" si="839"/>
        <v/>
      </c>
      <c r="AA5355">
        <f>IF($V5355="",N($AA5354),IF(MATCH($V5355,$V$6:$V$10005,0)=ROW()-5,N($AA5354)+1,N($AA5354)))</f>
        <v>0</v>
      </c>
    </row>
    <row r="5356" spans="1:27" ht="21" customHeight="1" x14ac:dyDescent="0.95">
      <c r="A5356" s="56"/>
      <c r="B5356" s="57"/>
      <c r="C5356" s="57"/>
      <c r="D5356" s="57"/>
      <c r="E5356" s="56"/>
      <c r="F5356" s="57"/>
      <c r="G5356" s="57"/>
      <c r="H5356" s="56"/>
      <c r="I5356" s="56"/>
      <c r="J5356" s="58"/>
      <c r="K5356" s="58"/>
      <c r="L5356" s="13" t="str">
        <f t="shared" si="830"/>
        <v/>
      </c>
      <c r="M5356" s="13" t="str">
        <f t="shared" si="831"/>
        <v/>
      </c>
      <c r="Q5356" t="str">
        <f t="shared" si="832"/>
        <v/>
      </c>
      <c r="R5356" t="str">
        <f t="shared" si="833"/>
        <v/>
      </c>
      <c r="S5356" t="str">
        <f t="shared" si="834"/>
        <v/>
      </c>
      <c r="T5356" t="str">
        <f t="shared" si="835"/>
        <v/>
      </c>
      <c r="U5356" t="str">
        <f t="shared" si="836"/>
        <v/>
      </c>
      <c r="V5356" t="str">
        <f t="shared" si="837"/>
        <v/>
      </c>
      <c r="W5356" t="str">
        <f t="shared" si="838"/>
        <v/>
      </c>
      <c r="X5356">
        <f>IF($T5356="",N($X5355),IF(MATCH($T5356,$T$6:$T$10005,0)=ROW()-5,N($X5355)+1,N($X5355)))</f>
        <v>0</v>
      </c>
      <c r="Z5356" t="str">
        <f t="shared" si="839"/>
        <v/>
      </c>
      <c r="AA5356">
        <f>IF($V5356="",N($AA5355),IF(MATCH($V5356,$V$6:$V$10005,0)=ROW()-5,N($AA5355)+1,N($AA5355)))</f>
        <v>0</v>
      </c>
    </row>
    <row r="5357" spans="1:27" ht="21" customHeight="1" x14ac:dyDescent="0.95">
      <c r="A5357" s="56"/>
      <c r="B5357" s="57"/>
      <c r="C5357" s="57"/>
      <c r="D5357" s="57"/>
      <c r="E5357" s="56"/>
      <c r="F5357" s="57"/>
      <c r="G5357" s="57"/>
      <c r="H5357" s="56"/>
      <c r="I5357" s="56"/>
      <c r="J5357" s="58"/>
      <c r="K5357" s="58"/>
      <c r="L5357" s="13" t="str">
        <f t="shared" si="830"/>
        <v/>
      </c>
      <c r="M5357" s="13" t="str">
        <f t="shared" si="831"/>
        <v/>
      </c>
      <c r="Q5357" t="str">
        <f t="shared" si="832"/>
        <v/>
      </c>
      <c r="R5357" t="str">
        <f t="shared" si="833"/>
        <v/>
      </c>
      <c r="S5357" t="str">
        <f t="shared" si="834"/>
        <v/>
      </c>
      <c r="T5357" t="str">
        <f t="shared" si="835"/>
        <v/>
      </c>
      <c r="U5357" t="str">
        <f t="shared" si="836"/>
        <v/>
      </c>
      <c r="V5357" t="str">
        <f t="shared" si="837"/>
        <v/>
      </c>
      <c r="W5357" t="str">
        <f t="shared" si="838"/>
        <v/>
      </c>
      <c r="X5357">
        <f>IF($T5357="",N($X5356),IF(MATCH($T5357,$T$6:$T$10005,0)=ROW()-5,N($X5356)+1,N($X5356)))</f>
        <v>0</v>
      </c>
      <c r="Z5357" t="str">
        <f t="shared" si="839"/>
        <v/>
      </c>
      <c r="AA5357">
        <f>IF($V5357="",N($AA5356),IF(MATCH($V5357,$V$6:$V$10005,0)=ROW()-5,N($AA5356)+1,N($AA5356)))</f>
        <v>0</v>
      </c>
    </row>
    <row r="5358" spans="1:27" ht="21" customHeight="1" x14ac:dyDescent="0.95">
      <c r="A5358" s="56"/>
      <c r="B5358" s="57"/>
      <c r="C5358" s="57"/>
      <c r="D5358" s="57"/>
      <c r="E5358" s="56"/>
      <c r="F5358" s="57"/>
      <c r="G5358" s="57"/>
      <c r="H5358" s="56"/>
      <c r="I5358" s="56"/>
      <c r="J5358" s="58"/>
      <c r="K5358" s="58"/>
      <c r="L5358" s="13" t="str">
        <f t="shared" si="830"/>
        <v/>
      </c>
      <c r="M5358" s="13" t="str">
        <f t="shared" si="831"/>
        <v/>
      </c>
      <c r="Q5358" t="str">
        <f t="shared" si="832"/>
        <v/>
      </c>
      <c r="R5358" t="str">
        <f t="shared" si="833"/>
        <v/>
      </c>
      <c r="S5358" t="str">
        <f t="shared" si="834"/>
        <v/>
      </c>
      <c r="T5358" t="str">
        <f t="shared" si="835"/>
        <v/>
      </c>
      <c r="U5358" t="str">
        <f t="shared" si="836"/>
        <v/>
      </c>
      <c r="V5358" t="str">
        <f t="shared" si="837"/>
        <v/>
      </c>
      <c r="W5358" t="str">
        <f t="shared" si="838"/>
        <v/>
      </c>
      <c r="X5358">
        <f>IF($T5358="",N($X5357),IF(MATCH($T5358,$T$6:$T$10005,0)=ROW()-5,N($X5357)+1,N($X5357)))</f>
        <v>0</v>
      </c>
      <c r="Z5358" t="str">
        <f t="shared" si="839"/>
        <v/>
      </c>
      <c r="AA5358">
        <f>IF($V5358="",N($AA5357),IF(MATCH($V5358,$V$6:$V$10005,0)=ROW()-5,N($AA5357)+1,N($AA5357)))</f>
        <v>0</v>
      </c>
    </row>
    <row r="5359" spans="1:27" ht="21" customHeight="1" x14ac:dyDescent="0.95">
      <c r="A5359" s="56"/>
      <c r="B5359" s="57"/>
      <c r="C5359" s="57"/>
      <c r="D5359" s="57"/>
      <c r="E5359" s="56"/>
      <c r="F5359" s="57"/>
      <c r="G5359" s="57"/>
      <c r="H5359" s="56"/>
      <c r="I5359" s="56"/>
      <c r="J5359" s="58"/>
      <c r="K5359" s="58"/>
      <c r="L5359" s="13" t="str">
        <f t="shared" si="830"/>
        <v/>
      </c>
      <c r="M5359" s="13" t="str">
        <f t="shared" si="831"/>
        <v/>
      </c>
      <c r="Q5359" t="str">
        <f t="shared" si="832"/>
        <v/>
      </c>
      <c r="R5359" t="str">
        <f t="shared" si="833"/>
        <v/>
      </c>
      <c r="S5359" t="str">
        <f t="shared" si="834"/>
        <v/>
      </c>
      <c r="T5359" t="str">
        <f t="shared" si="835"/>
        <v/>
      </c>
      <c r="U5359" t="str">
        <f t="shared" si="836"/>
        <v/>
      </c>
      <c r="V5359" t="str">
        <f t="shared" si="837"/>
        <v/>
      </c>
      <c r="W5359" t="str">
        <f t="shared" si="838"/>
        <v/>
      </c>
      <c r="X5359">
        <f>IF($T5359="",N($X5358),IF(MATCH($T5359,$T$6:$T$10005,0)=ROW()-5,N($X5358)+1,N($X5358)))</f>
        <v>0</v>
      </c>
      <c r="Z5359" t="str">
        <f t="shared" si="839"/>
        <v/>
      </c>
      <c r="AA5359">
        <f>IF($V5359="",N($AA5358),IF(MATCH($V5359,$V$6:$V$10005,0)=ROW()-5,N($AA5358)+1,N($AA5358)))</f>
        <v>0</v>
      </c>
    </row>
    <row r="5360" spans="1:27" ht="21" customHeight="1" x14ac:dyDescent="0.95">
      <c r="A5360" s="56"/>
      <c r="B5360" s="57"/>
      <c r="C5360" s="57"/>
      <c r="D5360" s="57"/>
      <c r="E5360" s="56"/>
      <c r="F5360" s="57"/>
      <c r="G5360" s="57"/>
      <c r="H5360" s="56"/>
      <c r="I5360" s="56"/>
      <c r="J5360" s="58"/>
      <c r="K5360" s="58"/>
      <c r="L5360" s="13" t="str">
        <f t="shared" si="830"/>
        <v/>
      </c>
      <c r="M5360" s="13" t="str">
        <f t="shared" si="831"/>
        <v/>
      </c>
      <c r="Q5360" t="str">
        <f t="shared" si="832"/>
        <v/>
      </c>
      <c r="R5360" t="str">
        <f t="shared" si="833"/>
        <v/>
      </c>
      <c r="S5360" t="str">
        <f t="shared" si="834"/>
        <v/>
      </c>
      <c r="T5360" t="str">
        <f t="shared" si="835"/>
        <v/>
      </c>
      <c r="U5360" t="str">
        <f t="shared" si="836"/>
        <v/>
      </c>
      <c r="V5360" t="str">
        <f t="shared" si="837"/>
        <v/>
      </c>
      <c r="W5360" t="str">
        <f t="shared" si="838"/>
        <v/>
      </c>
      <c r="X5360">
        <f>IF($T5360="",N($X5359),IF(MATCH($T5360,$T$6:$T$10005,0)=ROW()-5,N($X5359)+1,N($X5359)))</f>
        <v>0</v>
      </c>
      <c r="Z5360" t="str">
        <f t="shared" si="839"/>
        <v/>
      </c>
      <c r="AA5360">
        <f>IF($V5360="",N($AA5359),IF(MATCH($V5360,$V$6:$V$10005,0)=ROW()-5,N($AA5359)+1,N($AA5359)))</f>
        <v>0</v>
      </c>
    </row>
    <row r="5361" spans="1:27" ht="21" customHeight="1" x14ac:dyDescent="0.95">
      <c r="A5361" s="56"/>
      <c r="B5361" s="57"/>
      <c r="C5361" s="57"/>
      <c r="D5361" s="57"/>
      <c r="E5361" s="56"/>
      <c r="F5361" s="57"/>
      <c r="G5361" s="57"/>
      <c r="H5361" s="56"/>
      <c r="I5361" s="56"/>
      <c r="J5361" s="58"/>
      <c r="K5361" s="58"/>
      <c r="L5361" s="13" t="str">
        <f t="shared" si="830"/>
        <v/>
      </c>
      <c r="M5361" s="13" t="str">
        <f t="shared" si="831"/>
        <v/>
      </c>
      <c r="Q5361" t="str">
        <f t="shared" si="832"/>
        <v/>
      </c>
      <c r="R5361" t="str">
        <f t="shared" si="833"/>
        <v/>
      </c>
      <c r="S5361" t="str">
        <f t="shared" si="834"/>
        <v/>
      </c>
      <c r="T5361" t="str">
        <f t="shared" si="835"/>
        <v/>
      </c>
      <c r="U5361" t="str">
        <f t="shared" si="836"/>
        <v/>
      </c>
      <c r="V5361" t="str">
        <f t="shared" si="837"/>
        <v/>
      </c>
      <c r="W5361" t="str">
        <f t="shared" si="838"/>
        <v/>
      </c>
      <c r="X5361">
        <f>IF($T5361="",N($X5360),IF(MATCH($T5361,$T$6:$T$10005,0)=ROW()-5,N($X5360)+1,N($X5360)))</f>
        <v>0</v>
      </c>
      <c r="Z5361" t="str">
        <f t="shared" si="839"/>
        <v/>
      </c>
      <c r="AA5361">
        <f>IF($V5361="",N($AA5360),IF(MATCH($V5361,$V$6:$V$10005,0)=ROW()-5,N($AA5360)+1,N($AA5360)))</f>
        <v>0</v>
      </c>
    </row>
    <row r="5362" spans="1:27" ht="21" customHeight="1" x14ac:dyDescent="0.95">
      <c r="A5362" s="56"/>
      <c r="B5362" s="57"/>
      <c r="C5362" s="57"/>
      <c r="D5362" s="57"/>
      <c r="E5362" s="56"/>
      <c r="F5362" s="57"/>
      <c r="G5362" s="57"/>
      <c r="H5362" s="56"/>
      <c r="I5362" s="56"/>
      <c r="J5362" s="58"/>
      <c r="K5362" s="58"/>
      <c r="L5362" s="13" t="str">
        <f t="shared" si="830"/>
        <v/>
      </c>
      <c r="M5362" s="13" t="str">
        <f t="shared" si="831"/>
        <v/>
      </c>
      <c r="Q5362" t="str">
        <f t="shared" si="832"/>
        <v/>
      </c>
      <c r="R5362" t="str">
        <f t="shared" si="833"/>
        <v/>
      </c>
      <c r="S5362" t="str">
        <f t="shared" si="834"/>
        <v/>
      </c>
      <c r="T5362" t="str">
        <f t="shared" si="835"/>
        <v/>
      </c>
      <c r="U5362" t="str">
        <f t="shared" si="836"/>
        <v/>
      </c>
      <c r="V5362" t="str">
        <f t="shared" si="837"/>
        <v/>
      </c>
      <c r="W5362" t="str">
        <f t="shared" si="838"/>
        <v/>
      </c>
      <c r="X5362">
        <f>IF($T5362="",N($X5361),IF(MATCH($T5362,$T$6:$T$10005,0)=ROW()-5,N($X5361)+1,N($X5361)))</f>
        <v>0</v>
      </c>
      <c r="Z5362" t="str">
        <f t="shared" si="839"/>
        <v/>
      </c>
      <c r="AA5362">
        <f>IF($V5362="",N($AA5361),IF(MATCH($V5362,$V$6:$V$10005,0)=ROW()-5,N($AA5361)+1,N($AA5361)))</f>
        <v>0</v>
      </c>
    </row>
    <row r="5363" spans="1:27" ht="21" customHeight="1" x14ac:dyDescent="0.95">
      <c r="A5363" s="56"/>
      <c r="B5363" s="57"/>
      <c r="C5363" s="57"/>
      <c r="D5363" s="57"/>
      <c r="E5363" s="56"/>
      <c r="F5363" s="57"/>
      <c r="G5363" s="57"/>
      <c r="H5363" s="56"/>
      <c r="I5363" s="56"/>
      <c r="J5363" s="58"/>
      <c r="K5363" s="58"/>
      <c r="L5363" s="13" t="str">
        <f t="shared" si="830"/>
        <v/>
      </c>
      <c r="M5363" s="13" t="str">
        <f t="shared" si="831"/>
        <v/>
      </c>
      <c r="Q5363" t="str">
        <f t="shared" si="832"/>
        <v/>
      </c>
      <c r="R5363" t="str">
        <f t="shared" si="833"/>
        <v/>
      </c>
      <c r="S5363" t="str">
        <f t="shared" si="834"/>
        <v/>
      </c>
      <c r="T5363" t="str">
        <f t="shared" si="835"/>
        <v/>
      </c>
      <c r="U5363" t="str">
        <f t="shared" si="836"/>
        <v/>
      </c>
      <c r="V5363" t="str">
        <f t="shared" si="837"/>
        <v/>
      </c>
      <c r="W5363" t="str">
        <f t="shared" si="838"/>
        <v/>
      </c>
      <c r="X5363">
        <f>IF($T5363="",N($X5362),IF(MATCH($T5363,$T$6:$T$10005,0)=ROW()-5,N($X5362)+1,N($X5362)))</f>
        <v>0</v>
      </c>
      <c r="Z5363" t="str">
        <f t="shared" si="839"/>
        <v/>
      </c>
      <c r="AA5363">
        <f>IF($V5363="",N($AA5362),IF(MATCH($V5363,$V$6:$V$10005,0)=ROW()-5,N($AA5362)+1,N($AA5362)))</f>
        <v>0</v>
      </c>
    </row>
    <row r="5364" spans="1:27" ht="21" customHeight="1" x14ac:dyDescent="0.95">
      <c r="A5364" s="56"/>
      <c r="B5364" s="57"/>
      <c r="C5364" s="57"/>
      <c r="D5364" s="57"/>
      <c r="E5364" s="56"/>
      <c r="F5364" s="57"/>
      <c r="G5364" s="57"/>
      <c r="H5364" s="56"/>
      <c r="I5364" s="56"/>
      <c r="J5364" s="58"/>
      <c r="K5364" s="58"/>
      <c r="L5364" s="13" t="str">
        <f t="shared" si="830"/>
        <v/>
      </c>
      <c r="M5364" s="13" t="str">
        <f t="shared" si="831"/>
        <v/>
      </c>
      <c r="Q5364" t="str">
        <f t="shared" si="832"/>
        <v/>
      </c>
      <c r="R5364" t="str">
        <f t="shared" si="833"/>
        <v/>
      </c>
      <c r="S5364" t="str">
        <f t="shared" si="834"/>
        <v/>
      </c>
      <c r="T5364" t="str">
        <f t="shared" si="835"/>
        <v/>
      </c>
      <c r="U5364" t="str">
        <f t="shared" si="836"/>
        <v/>
      </c>
      <c r="V5364" t="str">
        <f t="shared" si="837"/>
        <v/>
      </c>
      <c r="W5364" t="str">
        <f t="shared" si="838"/>
        <v/>
      </c>
      <c r="X5364">
        <f>IF($T5364="",N($X5363),IF(MATCH($T5364,$T$6:$T$10005,0)=ROW()-5,N($X5363)+1,N($X5363)))</f>
        <v>0</v>
      </c>
      <c r="Z5364" t="str">
        <f t="shared" si="839"/>
        <v/>
      </c>
      <c r="AA5364">
        <f>IF($V5364="",N($AA5363),IF(MATCH($V5364,$V$6:$V$10005,0)=ROW()-5,N($AA5363)+1,N($AA5363)))</f>
        <v>0</v>
      </c>
    </row>
    <row r="5365" spans="1:27" ht="21" customHeight="1" x14ac:dyDescent="0.95">
      <c r="A5365" s="56"/>
      <c r="B5365" s="57"/>
      <c r="C5365" s="57"/>
      <c r="D5365" s="57"/>
      <c r="E5365" s="56"/>
      <c r="F5365" s="57"/>
      <c r="G5365" s="57"/>
      <c r="H5365" s="56"/>
      <c r="I5365" s="56"/>
      <c r="J5365" s="58"/>
      <c r="K5365" s="58"/>
      <c r="L5365" s="13" t="str">
        <f t="shared" si="830"/>
        <v/>
      </c>
      <c r="M5365" s="13" t="str">
        <f t="shared" si="831"/>
        <v/>
      </c>
      <c r="Q5365" t="str">
        <f t="shared" si="832"/>
        <v/>
      </c>
      <c r="R5365" t="str">
        <f t="shared" si="833"/>
        <v/>
      </c>
      <c r="S5365" t="str">
        <f t="shared" si="834"/>
        <v/>
      </c>
      <c r="T5365" t="str">
        <f t="shared" si="835"/>
        <v/>
      </c>
      <c r="U5365" t="str">
        <f t="shared" si="836"/>
        <v/>
      </c>
      <c r="V5365" t="str">
        <f t="shared" si="837"/>
        <v/>
      </c>
      <c r="W5365" t="str">
        <f t="shared" si="838"/>
        <v/>
      </c>
      <c r="X5365">
        <f>IF($T5365="",N($X5364),IF(MATCH($T5365,$T$6:$T$10005,0)=ROW()-5,N($X5364)+1,N($X5364)))</f>
        <v>0</v>
      </c>
      <c r="Z5365" t="str">
        <f t="shared" si="839"/>
        <v/>
      </c>
      <c r="AA5365">
        <f>IF($V5365="",N($AA5364),IF(MATCH($V5365,$V$6:$V$10005,0)=ROW()-5,N($AA5364)+1,N($AA5364)))</f>
        <v>0</v>
      </c>
    </row>
    <row r="5366" spans="1:27" ht="21" customHeight="1" x14ac:dyDescent="0.95">
      <c r="A5366" s="56"/>
      <c r="B5366" s="57"/>
      <c r="C5366" s="57"/>
      <c r="D5366" s="57"/>
      <c r="E5366" s="56"/>
      <c r="F5366" s="57"/>
      <c r="G5366" s="57"/>
      <c r="H5366" s="56"/>
      <c r="I5366" s="56"/>
      <c r="J5366" s="58"/>
      <c r="K5366" s="58"/>
      <c r="L5366" s="13" t="str">
        <f t="shared" si="830"/>
        <v/>
      </c>
      <c r="M5366" s="13" t="str">
        <f t="shared" si="831"/>
        <v/>
      </c>
      <c r="Q5366" t="str">
        <f t="shared" si="832"/>
        <v/>
      </c>
      <c r="R5366" t="str">
        <f t="shared" si="833"/>
        <v/>
      </c>
      <c r="S5366" t="str">
        <f t="shared" si="834"/>
        <v/>
      </c>
      <c r="T5366" t="str">
        <f t="shared" si="835"/>
        <v/>
      </c>
      <c r="U5366" t="str">
        <f t="shared" si="836"/>
        <v/>
      </c>
      <c r="V5366" t="str">
        <f t="shared" si="837"/>
        <v/>
      </c>
      <c r="W5366" t="str">
        <f t="shared" si="838"/>
        <v/>
      </c>
      <c r="X5366">
        <f>IF($T5366="",N($X5365),IF(MATCH($T5366,$T$6:$T$10005,0)=ROW()-5,N($X5365)+1,N($X5365)))</f>
        <v>0</v>
      </c>
      <c r="Z5366" t="str">
        <f t="shared" si="839"/>
        <v/>
      </c>
      <c r="AA5366">
        <f>IF($V5366="",N($AA5365),IF(MATCH($V5366,$V$6:$V$10005,0)=ROW()-5,N($AA5365)+1,N($AA5365)))</f>
        <v>0</v>
      </c>
    </row>
    <row r="5367" spans="1:27" ht="21" customHeight="1" x14ac:dyDescent="0.95">
      <c r="A5367" s="56"/>
      <c r="B5367" s="57"/>
      <c r="C5367" s="57"/>
      <c r="D5367" s="57"/>
      <c r="E5367" s="56"/>
      <c r="F5367" s="57"/>
      <c r="G5367" s="57"/>
      <c r="H5367" s="56"/>
      <c r="I5367" s="56"/>
      <c r="J5367" s="58"/>
      <c r="K5367" s="58"/>
      <c r="L5367" s="13" t="str">
        <f t="shared" si="830"/>
        <v/>
      </c>
      <c r="M5367" s="13" t="str">
        <f t="shared" si="831"/>
        <v/>
      </c>
      <c r="Q5367" t="str">
        <f t="shared" si="832"/>
        <v/>
      </c>
      <c r="R5367" t="str">
        <f t="shared" si="833"/>
        <v/>
      </c>
      <c r="S5367" t="str">
        <f t="shared" si="834"/>
        <v/>
      </c>
      <c r="T5367" t="str">
        <f t="shared" si="835"/>
        <v/>
      </c>
      <c r="U5367" t="str">
        <f t="shared" si="836"/>
        <v/>
      </c>
      <c r="V5367" t="str">
        <f t="shared" si="837"/>
        <v/>
      </c>
      <c r="W5367" t="str">
        <f t="shared" si="838"/>
        <v/>
      </c>
      <c r="X5367">
        <f>IF($T5367="",N($X5366),IF(MATCH($T5367,$T$6:$T$10005,0)=ROW()-5,N($X5366)+1,N($X5366)))</f>
        <v>0</v>
      </c>
      <c r="Z5367" t="str">
        <f t="shared" si="839"/>
        <v/>
      </c>
      <c r="AA5367">
        <f>IF($V5367="",N($AA5366),IF(MATCH($V5367,$V$6:$V$10005,0)=ROW()-5,N($AA5366)+1,N($AA5366)))</f>
        <v>0</v>
      </c>
    </row>
    <row r="5368" spans="1:27" ht="21" customHeight="1" x14ac:dyDescent="0.95">
      <c r="A5368" s="56"/>
      <c r="B5368" s="57"/>
      <c r="C5368" s="57"/>
      <c r="D5368" s="57"/>
      <c r="E5368" s="56"/>
      <c r="F5368" s="57"/>
      <c r="G5368" s="57"/>
      <c r="H5368" s="56"/>
      <c r="I5368" s="56"/>
      <c r="J5368" s="58"/>
      <c r="K5368" s="58"/>
      <c r="L5368" s="13" t="str">
        <f t="shared" si="830"/>
        <v/>
      </c>
      <c r="M5368" s="13" t="str">
        <f t="shared" si="831"/>
        <v/>
      </c>
      <c r="Q5368" t="str">
        <f t="shared" si="832"/>
        <v/>
      </c>
      <c r="R5368" t="str">
        <f t="shared" si="833"/>
        <v/>
      </c>
      <c r="S5368" t="str">
        <f t="shared" si="834"/>
        <v/>
      </c>
      <c r="T5368" t="str">
        <f t="shared" si="835"/>
        <v/>
      </c>
      <c r="U5368" t="str">
        <f t="shared" si="836"/>
        <v/>
      </c>
      <c r="V5368" t="str">
        <f t="shared" si="837"/>
        <v/>
      </c>
      <c r="W5368" t="str">
        <f t="shared" si="838"/>
        <v/>
      </c>
      <c r="X5368">
        <f>IF($T5368="",N($X5367),IF(MATCH($T5368,$T$6:$T$10005,0)=ROW()-5,N($X5367)+1,N($X5367)))</f>
        <v>0</v>
      </c>
      <c r="Z5368" t="str">
        <f t="shared" si="839"/>
        <v/>
      </c>
      <c r="AA5368">
        <f>IF($V5368="",N($AA5367),IF(MATCH($V5368,$V$6:$V$10005,0)=ROW()-5,N($AA5367)+1,N($AA5367)))</f>
        <v>0</v>
      </c>
    </row>
    <row r="5369" spans="1:27" ht="21" customHeight="1" x14ac:dyDescent="0.95">
      <c r="A5369" s="56"/>
      <c r="B5369" s="57"/>
      <c r="C5369" s="57"/>
      <c r="D5369" s="57"/>
      <c r="E5369" s="56"/>
      <c r="F5369" s="57"/>
      <c r="G5369" s="57"/>
      <c r="H5369" s="56"/>
      <c r="I5369" s="56"/>
      <c r="J5369" s="58"/>
      <c r="K5369" s="58"/>
      <c r="L5369" s="13" t="str">
        <f t="shared" si="830"/>
        <v/>
      </c>
      <c r="M5369" s="13" t="str">
        <f t="shared" si="831"/>
        <v/>
      </c>
      <c r="Q5369" t="str">
        <f t="shared" si="832"/>
        <v/>
      </c>
      <c r="R5369" t="str">
        <f t="shared" si="833"/>
        <v/>
      </c>
      <c r="S5369" t="str">
        <f t="shared" si="834"/>
        <v/>
      </c>
      <c r="T5369" t="str">
        <f t="shared" si="835"/>
        <v/>
      </c>
      <c r="U5369" t="str">
        <f t="shared" si="836"/>
        <v/>
      </c>
      <c r="V5369" t="str">
        <f t="shared" si="837"/>
        <v/>
      </c>
      <c r="W5369" t="str">
        <f t="shared" si="838"/>
        <v/>
      </c>
      <c r="X5369">
        <f>IF($T5369="",N($X5368),IF(MATCH($T5369,$T$6:$T$10005,0)=ROW()-5,N($X5368)+1,N($X5368)))</f>
        <v>0</v>
      </c>
      <c r="Z5369" t="str">
        <f t="shared" si="839"/>
        <v/>
      </c>
      <c r="AA5369">
        <f>IF($V5369="",N($AA5368),IF(MATCH($V5369,$V$6:$V$10005,0)=ROW()-5,N($AA5368)+1,N($AA5368)))</f>
        <v>0</v>
      </c>
    </row>
    <row r="5370" spans="1:27" ht="21" customHeight="1" x14ac:dyDescent="0.95">
      <c r="A5370" s="56"/>
      <c r="B5370" s="57"/>
      <c r="C5370" s="57"/>
      <c r="D5370" s="57"/>
      <c r="E5370" s="56"/>
      <c r="F5370" s="57"/>
      <c r="G5370" s="57"/>
      <c r="H5370" s="56"/>
      <c r="I5370" s="56"/>
      <c r="J5370" s="58"/>
      <c r="K5370" s="58"/>
      <c r="L5370" s="13" t="str">
        <f t="shared" si="830"/>
        <v/>
      </c>
      <c r="M5370" s="13" t="str">
        <f t="shared" si="831"/>
        <v/>
      </c>
      <c r="Q5370" t="str">
        <f t="shared" si="832"/>
        <v/>
      </c>
      <c r="R5370" t="str">
        <f t="shared" si="833"/>
        <v/>
      </c>
      <c r="S5370" t="str">
        <f t="shared" si="834"/>
        <v/>
      </c>
      <c r="T5370" t="str">
        <f t="shared" si="835"/>
        <v/>
      </c>
      <c r="U5370" t="str">
        <f t="shared" si="836"/>
        <v/>
      </c>
      <c r="V5370" t="str">
        <f t="shared" si="837"/>
        <v/>
      </c>
      <c r="W5370" t="str">
        <f t="shared" si="838"/>
        <v/>
      </c>
      <c r="X5370">
        <f>IF($T5370="",N($X5369),IF(MATCH($T5370,$T$6:$T$10005,0)=ROW()-5,N($X5369)+1,N($X5369)))</f>
        <v>0</v>
      </c>
      <c r="Z5370" t="str">
        <f t="shared" si="839"/>
        <v/>
      </c>
      <c r="AA5370">
        <f>IF($V5370="",N($AA5369),IF(MATCH($V5370,$V$6:$V$10005,0)=ROW()-5,N($AA5369)+1,N($AA5369)))</f>
        <v>0</v>
      </c>
    </row>
    <row r="5371" spans="1:27" ht="21" customHeight="1" x14ac:dyDescent="0.95">
      <c r="A5371" s="56"/>
      <c r="B5371" s="57"/>
      <c r="C5371" s="57"/>
      <c r="D5371" s="57"/>
      <c r="E5371" s="56"/>
      <c r="F5371" s="57"/>
      <c r="G5371" s="57"/>
      <c r="H5371" s="56"/>
      <c r="I5371" s="56"/>
      <c r="J5371" s="58"/>
      <c r="K5371" s="58"/>
      <c r="L5371" s="13" t="str">
        <f t="shared" si="830"/>
        <v/>
      </c>
      <c r="M5371" s="13" t="str">
        <f t="shared" si="831"/>
        <v/>
      </c>
      <c r="Q5371" t="str">
        <f t="shared" si="832"/>
        <v/>
      </c>
      <c r="R5371" t="str">
        <f t="shared" si="833"/>
        <v/>
      </c>
      <c r="S5371" t="str">
        <f t="shared" si="834"/>
        <v/>
      </c>
      <c r="T5371" t="str">
        <f t="shared" si="835"/>
        <v/>
      </c>
      <c r="U5371" t="str">
        <f t="shared" si="836"/>
        <v/>
      </c>
      <c r="V5371" t="str">
        <f t="shared" si="837"/>
        <v/>
      </c>
      <c r="W5371" t="str">
        <f t="shared" si="838"/>
        <v/>
      </c>
      <c r="X5371">
        <f>IF($T5371="",N($X5370),IF(MATCH($T5371,$T$6:$T$10005,0)=ROW()-5,N($X5370)+1,N($X5370)))</f>
        <v>0</v>
      </c>
      <c r="Z5371" t="str">
        <f t="shared" si="839"/>
        <v/>
      </c>
      <c r="AA5371">
        <f>IF($V5371="",N($AA5370),IF(MATCH($V5371,$V$6:$V$10005,0)=ROW()-5,N($AA5370)+1,N($AA5370)))</f>
        <v>0</v>
      </c>
    </row>
    <row r="5372" spans="1:27" ht="21" customHeight="1" x14ac:dyDescent="0.95">
      <c r="A5372" s="56"/>
      <c r="B5372" s="57"/>
      <c r="C5372" s="57"/>
      <c r="D5372" s="57"/>
      <c r="E5372" s="56"/>
      <c r="F5372" s="57"/>
      <c r="G5372" s="57"/>
      <c r="H5372" s="56"/>
      <c r="I5372" s="56"/>
      <c r="J5372" s="58"/>
      <c r="K5372" s="58"/>
      <c r="L5372" s="13" t="str">
        <f t="shared" si="830"/>
        <v/>
      </c>
      <c r="M5372" s="13" t="str">
        <f t="shared" si="831"/>
        <v/>
      </c>
      <c r="Q5372" t="str">
        <f t="shared" si="832"/>
        <v/>
      </c>
      <c r="R5372" t="str">
        <f t="shared" si="833"/>
        <v/>
      </c>
      <c r="S5372" t="str">
        <f t="shared" si="834"/>
        <v/>
      </c>
      <c r="T5372" t="str">
        <f t="shared" si="835"/>
        <v/>
      </c>
      <c r="U5372" t="str">
        <f t="shared" si="836"/>
        <v/>
      </c>
      <c r="V5372" t="str">
        <f t="shared" si="837"/>
        <v/>
      </c>
      <c r="W5372" t="str">
        <f t="shared" si="838"/>
        <v/>
      </c>
      <c r="X5372">
        <f>IF($T5372="",N($X5371),IF(MATCH($T5372,$T$6:$T$10005,0)=ROW()-5,N($X5371)+1,N($X5371)))</f>
        <v>0</v>
      </c>
      <c r="Z5372" t="str">
        <f t="shared" si="839"/>
        <v/>
      </c>
      <c r="AA5372">
        <f>IF($V5372="",N($AA5371),IF(MATCH($V5372,$V$6:$V$10005,0)=ROW()-5,N($AA5371)+1,N($AA5371)))</f>
        <v>0</v>
      </c>
    </row>
    <row r="5373" spans="1:27" ht="21" customHeight="1" x14ac:dyDescent="0.95">
      <c r="A5373" s="56"/>
      <c r="B5373" s="57"/>
      <c r="C5373" s="57"/>
      <c r="D5373" s="57"/>
      <c r="E5373" s="56"/>
      <c r="F5373" s="57"/>
      <c r="G5373" s="57"/>
      <c r="H5373" s="56"/>
      <c r="I5373" s="56"/>
      <c r="J5373" s="58"/>
      <c r="K5373" s="58"/>
      <c r="L5373" s="13" t="str">
        <f t="shared" si="830"/>
        <v/>
      </c>
      <c r="M5373" s="13" t="str">
        <f t="shared" si="831"/>
        <v/>
      </c>
      <c r="Q5373" t="str">
        <f t="shared" si="832"/>
        <v/>
      </c>
      <c r="R5373" t="str">
        <f t="shared" si="833"/>
        <v/>
      </c>
      <c r="S5373" t="str">
        <f t="shared" si="834"/>
        <v/>
      </c>
      <c r="T5373" t="str">
        <f t="shared" si="835"/>
        <v/>
      </c>
      <c r="U5373" t="str">
        <f t="shared" si="836"/>
        <v/>
      </c>
      <c r="V5373" t="str">
        <f t="shared" si="837"/>
        <v/>
      </c>
      <c r="W5373" t="str">
        <f t="shared" si="838"/>
        <v/>
      </c>
      <c r="X5373">
        <f>IF($T5373="",N($X5372),IF(MATCH($T5373,$T$6:$T$10005,0)=ROW()-5,N($X5372)+1,N($X5372)))</f>
        <v>0</v>
      </c>
      <c r="Z5373" t="str">
        <f t="shared" si="839"/>
        <v/>
      </c>
      <c r="AA5373">
        <f>IF($V5373="",N($AA5372),IF(MATCH($V5373,$V$6:$V$10005,0)=ROW()-5,N($AA5372)+1,N($AA5372)))</f>
        <v>0</v>
      </c>
    </row>
    <row r="5374" spans="1:27" ht="21" customHeight="1" x14ac:dyDescent="0.95">
      <c r="A5374" s="56"/>
      <c r="B5374" s="57"/>
      <c r="C5374" s="57"/>
      <c r="D5374" s="57"/>
      <c r="E5374" s="56"/>
      <c r="F5374" s="57"/>
      <c r="G5374" s="57"/>
      <c r="H5374" s="56"/>
      <c r="I5374" s="56"/>
      <c r="J5374" s="58"/>
      <c r="K5374" s="58"/>
      <c r="L5374" s="13" t="str">
        <f t="shared" si="830"/>
        <v/>
      </c>
      <c r="M5374" s="13" t="str">
        <f t="shared" si="831"/>
        <v/>
      </c>
      <c r="Q5374" t="str">
        <f t="shared" si="832"/>
        <v/>
      </c>
      <c r="R5374" t="str">
        <f t="shared" si="833"/>
        <v/>
      </c>
      <c r="S5374" t="str">
        <f t="shared" si="834"/>
        <v/>
      </c>
      <c r="T5374" t="str">
        <f t="shared" si="835"/>
        <v/>
      </c>
      <c r="U5374" t="str">
        <f t="shared" si="836"/>
        <v/>
      </c>
      <c r="V5374" t="str">
        <f t="shared" si="837"/>
        <v/>
      </c>
      <c r="W5374" t="str">
        <f t="shared" si="838"/>
        <v/>
      </c>
      <c r="X5374">
        <f>IF($T5374="",N($X5373),IF(MATCH($T5374,$T$6:$T$10005,0)=ROW()-5,N($X5373)+1,N($X5373)))</f>
        <v>0</v>
      </c>
      <c r="Z5374" t="str">
        <f t="shared" si="839"/>
        <v/>
      </c>
      <c r="AA5374">
        <f>IF($V5374="",N($AA5373),IF(MATCH($V5374,$V$6:$V$10005,0)=ROW()-5,N($AA5373)+1,N($AA5373)))</f>
        <v>0</v>
      </c>
    </row>
    <row r="5375" spans="1:27" ht="21" customHeight="1" x14ac:dyDescent="0.95">
      <c r="A5375" s="56"/>
      <c r="B5375" s="57"/>
      <c r="C5375" s="57"/>
      <c r="D5375" s="57"/>
      <c r="E5375" s="56"/>
      <c r="F5375" s="57"/>
      <c r="G5375" s="57"/>
      <c r="H5375" s="56"/>
      <c r="I5375" s="56"/>
      <c r="J5375" s="58"/>
      <c r="K5375" s="58"/>
      <c r="L5375" s="13" t="str">
        <f t="shared" si="830"/>
        <v/>
      </c>
      <c r="M5375" s="13" t="str">
        <f t="shared" si="831"/>
        <v/>
      </c>
      <c r="Q5375" t="str">
        <f t="shared" si="832"/>
        <v/>
      </c>
      <c r="R5375" t="str">
        <f t="shared" si="833"/>
        <v/>
      </c>
      <c r="S5375" t="str">
        <f t="shared" si="834"/>
        <v/>
      </c>
      <c r="T5375" t="str">
        <f t="shared" si="835"/>
        <v/>
      </c>
      <c r="U5375" t="str">
        <f t="shared" si="836"/>
        <v/>
      </c>
      <c r="V5375" t="str">
        <f t="shared" si="837"/>
        <v/>
      </c>
      <c r="W5375" t="str">
        <f t="shared" si="838"/>
        <v/>
      </c>
      <c r="X5375">
        <f>IF($T5375="",N($X5374),IF(MATCH($T5375,$T$6:$T$10005,0)=ROW()-5,N($X5374)+1,N($X5374)))</f>
        <v>0</v>
      </c>
      <c r="Z5375" t="str">
        <f t="shared" si="839"/>
        <v/>
      </c>
      <c r="AA5375">
        <f>IF($V5375="",N($AA5374),IF(MATCH($V5375,$V$6:$V$10005,0)=ROW()-5,N($AA5374)+1,N($AA5374)))</f>
        <v>0</v>
      </c>
    </row>
    <row r="5376" spans="1:27" ht="21" customHeight="1" x14ac:dyDescent="0.95">
      <c r="A5376" s="56"/>
      <c r="B5376" s="57"/>
      <c r="C5376" s="57"/>
      <c r="D5376" s="57"/>
      <c r="E5376" s="56"/>
      <c r="F5376" s="57"/>
      <c r="G5376" s="57"/>
      <c r="H5376" s="56"/>
      <c r="I5376" s="56"/>
      <c r="J5376" s="58"/>
      <c r="K5376" s="58"/>
      <c r="L5376" s="13" t="str">
        <f t="shared" si="830"/>
        <v/>
      </c>
      <c r="M5376" s="13" t="str">
        <f t="shared" si="831"/>
        <v/>
      </c>
      <c r="Q5376" t="str">
        <f t="shared" si="832"/>
        <v/>
      </c>
      <c r="R5376" t="str">
        <f t="shared" si="833"/>
        <v/>
      </c>
      <c r="S5376" t="str">
        <f t="shared" si="834"/>
        <v/>
      </c>
      <c r="T5376" t="str">
        <f t="shared" si="835"/>
        <v/>
      </c>
      <c r="U5376" t="str">
        <f t="shared" si="836"/>
        <v/>
      </c>
      <c r="V5376" t="str">
        <f t="shared" si="837"/>
        <v/>
      </c>
      <c r="W5376" t="str">
        <f t="shared" si="838"/>
        <v/>
      </c>
      <c r="X5376">
        <f>IF($T5376="",N($X5375),IF(MATCH($T5376,$T$6:$T$10005,0)=ROW()-5,N($X5375)+1,N($X5375)))</f>
        <v>0</v>
      </c>
      <c r="Z5376" t="str">
        <f t="shared" si="839"/>
        <v/>
      </c>
      <c r="AA5376">
        <f>IF($V5376="",N($AA5375),IF(MATCH($V5376,$V$6:$V$10005,0)=ROW()-5,N($AA5375)+1,N($AA5375)))</f>
        <v>0</v>
      </c>
    </row>
    <row r="5377" spans="1:27" ht="21" customHeight="1" x14ac:dyDescent="0.95">
      <c r="A5377" s="56"/>
      <c r="B5377" s="57"/>
      <c r="C5377" s="57"/>
      <c r="D5377" s="57"/>
      <c r="E5377" s="56"/>
      <c r="F5377" s="57"/>
      <c r="G5377" s="57"/>
      <c r="H5377" s="56"/>
      <c r="I5377" s="56"/>
      <c r="J5377" s="58"/>
      <c r="K5377" s="58"/>
      <c r="L5377" s="13" t="str">
        <f t="shared" si="830"/>
        <v/>
      </c>
      <c r="M5377" s="13" t="str">
        <f t="shared" si="831"/>
        <v/>
      </c>
      <c r="Q5377" t="str">
        <f t="shared" si="832"/>
        <v/>
      </c>
      <c r="R5377" t="str">
        <f t="shared" si="833"/>
        <v/>
      </c>
      <c r="S5377" t="str">
        <f t="shared" si="834"/>
        <v/>
      </c>
      <c r="T5377" t="str">
        <f t="shared" si="835"/>
        <v/>
      </c>
      <c r="U5377" t="str">
        <f t="shared" si="836"/>
        <v/>
      </c>
      <c r="V5377" t="str">
        <f t="shared" si="837"/>
        <v/>
      </c>
      <c r="W5377" t="str">
        <f t="shared" si="838"/>
        <v/>
      </c>
      <c r="X5377">
        <f>IF($T5377="",N($X5376),IF(MATCH($T5377,$T$6:$T$10005,0)=ROW()-5,N($X5376)+1,N($X5376)))</f>
        <v>0</v>
      </c>
      <c r="Z5377" t="str">
        <f t="shared" si="839"/>
        <v/>
      </c>
      <c r="AA5377">
        <f>IF($V5377="",N($AA5376),IF(MATCH($V5377,$V$6:$V$10005,0)=ROW()-5,N($AA5376)+1,N($AA5376)))</f>
        <v>0</v>
      </c>
    </row>
    <row r="5378" spans="1:27" ht="21" customHeight="1" x14ac:dyDescent="0.95">
      <c r="A5378" s="56"/>
      <c r="B5378" s="57"/>
      <c r="C5378" s="57"/>
      <c r="D5378" s="57"/>
      <c r="E5378" s="56"/>
      <c r="F5378" s="57"/>
      <c r="G5378" s="57"/>
      <c r="H5378" s="56"/>
      <c r="I5378" s="56"/>
      <c r="J5378" s="58"/>
      <c r="K5378" s="58"/>
      <c r="L5378" s="13" t="str">
        <f t="shared" si="830"/>
        <v/>
      </c>
      <c r="M5378" s="13" t="str">
        <f t="shared" si="831"/>
        <v/>
      </c>
      <c r="Q5378" t="str">
        <f t="shared" si="832"/>
        <v/>
      </c>
      <c r="R5378" t="str">
        <f t="shared" si="833"/>
        <v/>
      </c>
      <c r="S5378" t="str">
        <f t="shared" si="834"/>
        <v/>
      </c>
      <c r="T5378" t="str">
        <f t="shared" si="835"/>
        <v/>
      </c>
      <c r="U5378" t="str">
        <f t="shared" si="836"/>
        <v/>
      </c>
      <c r="V5378" t="str">
        <f t="shared" si="837"/>
        <v/>
      </c>
      <c r="W5378" t="str">
        <f t="shared" si="838"/>
        <v/>
      </c>
      <c r="X5378">
        <f>IF($T5378="",N($X5377),IF(MATCH($T5378,$T$6:$T$10005,0)=ROW()-5,N($X5377)+1,N($X5377)))</f>
        <v>0</v>
      </c>
      <c r="Z5378" t="str">
        <f t="shared" si="839"/>
        <v/>
      </c>
      <c r="AA5378">
        <f>IF($V5378="",N($AA5377),IF(MATCH($V5378,$V$6:$V$10005,0)=ROW()-5,N($AA5377)+1,N($AA5377)))</f>
        <v>0</v>
      </c>
    </row>
    <row r="5379" spans="1:27" ht="21" customHeight="1" x14ac:dyDescent="0.95">
      <c r="A5379" s="56"/>
      <c r="B5379" s="57"/>
      <c r="C5379" s="57"/>
      <c r="D5379" s="57"/>
      <c r="E5379" s="56"/>
      <c r="F5379" s="57"/>
      <c r="G5379" s="57"/>
      <c r="H5379" s="56"/>
      <c r="I5379" s="56"/>
      <c r="J5379" s="58"/>
      <c r="K5379" s="58"/>
      <c r="L5379" s="13" t="str">
        <f t="shared" si="830"/>
        <v/>
      </c>
      <c r="M5379" s="13" t="str">
        <f t="shared" si="831"/>
        <v/>
      </c>
      <c r="Q5379" t="str">
        <f t="shared" si="832"/>
        <v/>
      </c>
      <c r="R5379" t="str">
        <f t="shared" si="833"/>
        <v/>
      </c>
      <c r="S5379" t="str">
        <f t="shared" si="834"/>
        <v/>
      </c>
      <c r="T5379" t="str">
        <f t="shared" si="835"/>
        <v/>
      </c>
      <c r="U5379" t="str">
        <f t="shared" si="836"/>
        <v/>
      </c>
      <c r="V5379" t="str">
        <f t="shared" si="837"/>
        <v/>
      </c>
      <c r="W5379" t="str">
        <f t="shared" si="838"/>
        <v/>
      </c>
      <c r="X5379">
        <f>IF($T5379="",N($X5378),IF(MATCH($T5379,$T$6:$T$10005,0)=ROW()-5,N($X5378)+1,N($X5378)))</f>
        <v>0</v>
      </c>
      <c r="Z5379" t="str">
        <f t="shared" si="839"/>
        <v/>
      </c>
      <c r="AA5379">
        <f>IF($V5379="",N($AA5378),IF(MATCH($V5379,$V$6:$V$10005,0)=ROW()-5,N($AA5378)+1,N($AA5378)))</f>
        <v>0</v>
      </c>
    </row>
    <row r="5380" spans="1:27" ht="21" customHeight="1" x14ac:dyDescent="0.95">
      <c r="A5380" s="56"/>
      <c r="B5380" s="57"/>
      <c r="C5380" s="57"/>
      <c r="D5380" s="57"/>
      <c r="E5380" s="56"/>
      <c r="F5380" s="57"/>
      <c r="G5380" s="57"/>
      <c r="H5380" s="56"/>
      <c r="I5380" s="56"/>
      <c r="J5380" s="58"/>
      <c r="K5380" s="58"/>
      <c r="L5380" s="13" t="str">
        <f t="shared" si="830"/>
        <v/>
      </c>
      <c r="M5380" s="13" t="str">
        <f t="shared" si="831"/>
        <v/>
      </c>
      <c r="Q5380" t="str">
        <f t="shared" si="832"/>
        <v/>
      </c>
      <c r="R5380" t="str">
        <f t="shared" si="833"/>
        <v/>
      </c>
      <c r="S5380" t="str">
        <f t="shared" si="834"/>
        <v/>
      </c>
      <c r="T5380" t="str">
        <f t="shared" si="835"/>
        <v/>
      </c>
      <c r="U5380" t="str">
        <f t="shared" si="836"/>
        <v/>
      </c>
      <c r="V5380" t="str">
        <f t="shared" si="837"/>
        <v/>
      </c>
      <c r="W5380" t="str">
        <f t="shared" si="838"/>
        <v/>
      </c>
      <c r="X5380">
        <f>IF($T5380="",N($X5379),IF(MATCH($T5380,$T$6:$T$10005,0)=ROW()-5,N($X5379)+1,N($X5379)))</f>
        <v>0</v>
      </c>
      <c r="Z5380" t="str">
        <f t="shared" si="839"/>
        <v/>
      </c>
      <c r="AA5380">
        <f>IF($V5380="",N($AA5379),IF(MATCH($V5380,$V$6:$V$10005,0)=ROW()-5,N($AA5379)+1,N($AA5379)))</f>
        <v>0</v>
      </c>
    </row>
    <row r="5381" spans="1:27" ht="21" customHeight="1" x14ac:dyDescent="0.95">
      <c r="A5381" s="56"/>
      <c r="B5381" s="57"/>
      <c r="C5381" s="57"/>
      <c r="D5381" s="57"/>
      <c r="E5381" s="56"/>
      <c r="F5381" s="57"/>
      <c r="G5381" s="57"/>
      <c r="H5381" s="56"/>
      <c r="I5381" s="56"/>
      <c r="J5381" s="58"/>
      <c r="K5381" s="58"/>
      <c r="L5381" s="13" t="str">
        <f t="shared" si="830"/>
        <v/>
      </c>
      <c r="M5381" s="13" t="str">
        <f t="shared" si="831"/>
        <v/>
      </c>
      <c r="Q5381" t="str">
        <f t="shared" si="832"/>
        <v/>
      </c>
      <c r="R5381" t="str">
        <f t="shared" si="833"/>
        <v/>
      </c>
      <c r="S5381" t="str">
        <f t="shared" si="834"/>
        <v/>
      </c>
      <c r="T5381" t="str">
        <f t="shared" si="835"/>
        <v/>
      </c>
      <c r="U5381" t="str">
        <f t="shared" si="836"/>
        <v/>
      </c>
      <c r="V5381" t="str">
        <f t="shared" si="837"/>
        <v/>
      </c>
      <c r="W5381" t="str">
        <f t="shared" si="838"/>
        <v/>
      </c>
      <c r="X5381">
        <f>IF($T5381="",N($X5380),IF(MATCH($T5381,$T$6:$T$10005,0)=ROW()-5,N($X5380)+1,N($X5380)))</f>
        <v>0</v>
      </c>
      <c r="Z5381" t="str">
        <f t="shared" si="839"/>
        <v/>
      </c>
      <c r="AA5381">
        <f>IF($V5381="",N($AA5380),IF(MATCH($V5381,$V$6:$V$10005,0)=ROW()-5,N($AA5380)+1,N($AA5380)))</f>
        <v>0</v>
      </c>
    </row>
    <row r="5382" spans="1:27" ht="21" customHeight="1" x14ac:dyDescent="0.95">
      <c r="A5382" s="56"/>
      <c r="B5382" s="57"/>
      <c r="C5382" s="57"/>
      <c r="D5382" s="57"/>
      <c r="E5382" s="56"/>
      <c r="F5382" s="57"/>
      <c r="G5382" s="57"/>
      <c r="H5382" s="56"/>
      <c r="I5382" s="56"/>
      <c r="J5382" s="58"/>
      <c r="K5382" s="58"/>
      <c r="L5382" s="13" t="str">
        <f t="shared" ref="L5382:L5445" si="840">IF(OR($A5382="",AND($J5382="",$K5382="")),"",ROUND(N($J5382)-N($K5382),2))</f>
        <v/>
      </c>
      <c r="M5382" s="13" t="str">
        <f t="shared" ref="M5382:M5445" si="841">IF(OR($A5382="",AND($J5382="",$K5382="")),"",MIN($J5382,$K5382))</f>
        <v/>
      </c>
      <c r="Q5382" t="str">
        <f t="shared" ref="Q5382:Q5445" si="842">IF($A5382="","",$D5382&amp;"("&amp;SUBSTITUTE($E5382," ","")&amp;")")</f>
        <v/>
      </c>
      <c r="R5382" t="str">
        <f t="shared" ref="R5382:R5445" si="843">IF($A5382="","",$B5382&amp;" - "&amp;$C5382)</f>
        <v/>
      </c>
      <c r="S5382" t="str">
        <f t="shared" ref="S5382:S5445" si="844">IF($A5382="","",$R5382&amp;"|"&amp;$Q5382)</f>
        <v/>
      </c>
      <c r="T5382" t="str">
        <f t="shared" ref="T5382:T5445" si="845">IF($A5382="","",$S5382&amp;"|"&amp;$F5382)</f>
        <v/>
      </c>
      <c r="U5382" t="str">
        <f t="shared" ref="U5382:U5445" si="846">IF($A5382="","",$R5382&amp;"("&amp;$E5382&amp;")")</f>
        <v/>
      </c>
      <c r="V5382" t="str">
        <f t="shared" ref="V5382:V5445" si="847">IF($A5382="","",$F5382&amp;"|"&amp;$U5382&amp;"|"&amp;$D5382)</f>
        <v/>
      </c>
      <c r="W5382" t="str">
        <f t="shared" ref="W5382:W5445" si="848">IF($T5382="","",IF($X5382&gt;N($X5381),$X5382,""))</f>
        <v/>
      </c>
      <c r="X5382">
        <f>IF($T5382="",N($X5381),IF(MATCH($T5382,$T$6:$T$10005,0)=ROW()-5,N($X5381)+1,N($X5381)))</f>
        <v>0</v>
      </c>
      <c r="Z5382" t="str">
        <f t="shared" ref="Z5382:Z5445" si="849">IF($V5382="","",IF($AA5382&gt;N($AA5381),$AA5382,""))</f>
        <v/>
      </c>
      <c r="AA5382">
        <f>IF($V5382="",N($AA5381),IF(MATCH($V5382,$V$6:$V$10005,0)=ROW()-5,N($AA5381)+1,N($AA5381)))</f>
        <v>0</v>
      </c>
    </row>
    <row r="5383" spans="1:27" ht="21" customHeight="1" x14ac:dyDescent="0.95">
      <c r="A5383" s="56"/>
      <c r="B5383" s="57"/>
      <c r="C5383" s="57"/>
      <c r="D5383" s="57"/>
      <c r="E5383" s="56"/>
      <c r="F5383" s="57"/>
      <c r="G5383" s="57"/>
      <c r="H5383" s="56"/>
      <c r="I5383" s="56"/>
      <c r="J5383" s="58"/>
      <c r="K5383" s="58"/>
      <c r="L5383" s="13" t="str">
        <f t="shared" si="840"/>
        <v/>
      </c>
      <c r="M5383" s="13" t="str">
        <f t="shared" si="841"/>
        <v/>
      </c>
      <c r="Q5383" t="str">
        <f t="shared" si="842"/>
        <v/>
      </c>
      <c r="R5383" t="str">
        <f t="shared" si="843"/>
        <v/>
      </c>
      <c r="S5383" t="str">
        <f t="shared" si="844"/>
        <v/>
      </c>
      <c r="T5383" t="str">
        <f t="shared" si="845"/>
        <v/>
      </c>
      <c r="U5383" t="str">
        <f t="shared" si="846"/>
        <v/>
      </c>
      <c r="V5383" t="str">
        <f t="shared" si="847"/>
        <v/>
      </c>
      <c r="W5383" t="str">
        <f t="shared" si="848"/>
        <v/>
      </c>
      <c r="X5383">
        <f>IF($T5383="",N($X5382),IF(MATCH($T5383,$T$6:$T$10005,0)=ROW()-5,N($X5382)+1,N($X5382)))</f>
        <v>0</v>
      </c>
      <c r="Z5383" t="str">
        <f t="shared" si="849"/>
        <v/>
      </c>
      <c r="AA5383">
        <f>IF($V5383="",N($AA5382),IF(MATCH($V5383,$V$6:$V$10005,0)=ROW()-5,N($AA5382)+1,N($AA5382)))</f>
        <v>0</v>
      </c>
    </row>
    <row r="5384" spans="1:27" ht="21" customHeight="1" x14ac:dyDescent="0.95">
      <c r="A5384" s="56"/>
      <c r="B5384" s="57"/>
      <c r="C5384" s="57"/>
      <c r="D5384" s="57"/>
      <c r="E5384" s="56"/>
      <c r="F5384" s="57"/>
      <c r="G5384" s="57"/>
      <c r="H5384" s="56"/>
      <c r="I5384" s="56"/>
      <c r="J5384" s="58"/>
      <c r="K5384" s="58"/>
      <c r="L5384" s="13" t="str">
        <f t="shared" si="840"/>
        <v/>
      </c>
      <c r="M5384" s="13" t="str">
        <f t="shared" si="841"/>
        <v/>
      </c>
      <c r="Q5384" t="str">
        <f t="shared" si="842"/>
        <v/>
      </c>
      <c r="R5384" t="str">
        <f t="shared" si="843"/>
        <v/>
      </c>
      <c r="S5384" t="str">
        <f t="shared" si="844"/>
        <v/>
      </c>
      <c r="T5384" t="str">
        <f t="shared" si="845"/>
        <v/>
      </c>
      <c r="U5384" t="str">
        <f t="shared" si="846"/>
        <v/>
      </c>
      <c r="V5384" t="str">
        <f t="shared" si="847"/>
        <v/>
      </c>
      <c r="W5384" t="str">
        <f t="shared" si="848"/>
        <v/>
      </c>
      <c r="X5384">
        <f>IF($T5384="",N($X5383),IF(MATCH($T5384,$T$6:$T$10005,0)=ROW()-5,N($X5383)+1,N($X5383)))</f>
        <v>0</v>
      </c>
      <c r="Z5384" t="str">
        <f t="shared" si="849"/>
        <v/>
      </c>
      <c r="AA5384">
        <f>IF($V5384="",N($AA5383),IF(MATCH($V5384,$V$6:$V$10005,0)=ROW()-5,N($AA5383)+1,N($AA5383)))</f>
        <v>0</v>
      </c>
    </row>
    <row r="5385" spans="1:27" ht="21" customHeight="1" x14ac:dyDescent="0.95">
      <c r="A5385" s="56"/>
      <c r="B5385" s="57"/>
      <c r="C5385" s="57"/>
      <c r="D5385" s="57"/>
      <c r="E5385" s="56"/>
      <c r="F5385" s="57"/>
      <c r="G5385" s="57"/>
      <c r="H5385" s="56"/>
      <c r="I5385" s="56"/>
      <c r="J5385" s="58"/>
      <c r="K5385" s="58"/>
      <c r="L5385" s="13" t="str">
        <f t="shared" si="840"/>
        <v/>
      </c>
      <c r="M5385" s="13" t="str">
        <f t="shared" si="841"/>
        <v/>
      </c>
      <c r="Q5385" t="str">
        <f t="shared" si="842"/>
        <v/>
      </c>
      <c r="R5385" t="str">
        <f t="shared" si="843"/>
        <v/>
      </c>
      <c r="S5385" t="str">
        <f t="shared" si="844"/>
        <v/>
      </c>
      <c r="T5385" t="str">
        <f t="shared" si="845"/>
        <v/>
      </c>
      <c r="U5385" t="str">
        <f t="shared" si="846"/>
        <v/>
      </c>
      <c r="V5385" t="str">
        <f t="shared" si="847"/>
        <v/>
      </c>
      <c r="W5385" t="str">
        <f t="shared" si="848"/>
        <v/>
      </c>
      <c r="X5385">
        <f>IF($T5385="",N($X5384),IF(MATCH($T5385,$T$6:$T$10005,0)=ROW()-5,N($X5384)+1,N($X5384)))</f>
        <v>0</v>
      </c>
      <c r="Z5385" t="str">
        <f t="shared" si="849"/>
        <v/>
      </c>
      <c r="AA5385">
        <f>IF($V5385="",N($AA5384),IF(MATCH($V5385,$V$6:$V$10005,0)=ROW()-5,N($AA5384)+1,N($AA5384)))</f>
        <v>0</v>
      </c>
    </row>
    <row r="5386" spans="1:27" ht="21" customHeight="1" x14ac:dyDescent="0.95">
      <c r="A5386" s="56"/>
      <c r="B5386" s="57"/>
      <c r="C5386" s="57"/>
      <c r="D5386" s="57"/>
      <c r="E5386" s="56"/>
      <c r="F5386" s="57"/>
      <c r="G5386" s="57"/>
      <c r="H5386" s="56"/>
      <c r="I5386" s="56"/>
      <c r="J5386" s="58"/>
      <c r="K5386" s="58"/>
      <c r="L5386" s="13" t="str">
        <f t="shared" si="840"/>
        <v/>
      </c>
      <c r="M5386" s="13" t="str">
        <f t="shared" si="841"/>
        <v/>
      </c>
      <c r="Q5386" t="str">
        <f t="shared" si="842"/>
        <v/>
      </c>
      <c r="R5386" t="str">
        <f t="shared" si="843"/>
        <v/>
      </c>
      <c r="S5386" t="str">
        <f t="shared" si="844"/>
        <v/>
      </c>
      <c r="T5386" t="str">
        <f t="shared" si="845"/>
        <v/>
      </c>
      <c r="U5386" t="str">
        <f t="shared" si="846"/>
        <v/>
      </c>
      <c r="V5386" t="str">
        <f t="shared" si="847"/>
        <v/>
      </c>
      <c r="W5386" t="str">
        <f t="shared" si="848"/>
        <v/>
      </c>
      <c r="X5386">
        <f>IF($T5386="",N($X5385),IF(MATCH($T5386,$T$6:$T$10005,0)=ROW()-5,N($X5385)+1,N($X5385)))</f>
        <v>0</v>
      </c>
      <c r="Z5386" t="str">
        <f t="shared" si="849"/>
        <v/>
      </c>
      <c r="AA5386">
        <f>IF($V5386="",N($AA5385),IF(MATCH($V5386,$V$6:$V$10005,0)=ROW()-5,N($AA5385)+1,N($AA5385)))</f>
        <v>0</v>
      </c>
    </row>
    <row r="5387" spans="1:27" ht="21" customHeight="1" x14ac:dyDescent="0.95">
      <c r="A5387" s="56"/>
      <c r="B5387" s="57"/>
      <c r="C5387" s="57"/>
      <c r="D5387" s="57"/>
      <c r="E5387" s="56"/>
      <c r="F5387" s="57"/>
      <c r="G5387" s="57"/>
      <c r="H5387" s="56"/>
      <c r="I5387" s="56"/>
      <c r="J5387" s="58"/>
      <c r="K5387" s="58"/>
      <c r="L5387" s="13" t="str">
        <f t="shared" si="840"/>
        <v/>
      </c>
      <c r="M5387" s="13" t="str">
        <f t="shared" si="841"/>
        <v/>
      </c>
      <c r="Q5387" t="str">
        <f t="shared" si="842"/>
        <v/>
      </c>
      <c r="R5387" t="str">
        <f t="shared" si="843"/>
        <v/>
      </c>
      <c r="S5387" t="str">
        <f t="shared" si="844"/>
        <v/>
      </c>
      <c r="T5387" t="str">
        <f t="shared" si="845"/>
        <v/>
      </c>
      <c r="U5387" t="str">
        <f t="shared" si="846"/>
        <v/>
      </c>
      <c r="V5387" t="str">
        <f t="shared" si="847"/>
        <v/>
      </c>
      <c r="W5387" t="str">
        <f t="shared" si="848"/>
        <v/>
      </c>
      <c r="X5387">
        <f>IF($T5387="",N($X5386),IF(MATCH($T5387,$T$6:$T$10005,0)=ROW()-5,N($X5386)+1,N($X5386)))</f>
        <v>0</v>
      </c>
      <c r="Z5387" t="str">
        <f t="shared" si="849"/>
        <v/>
      </c>
      <c r="AA5387">
        <f>IF($V5387="",N($AA5386),IF(MATCH($V5387,$V$6:$V$10005,0)=ROW()-5,N($AA5386)+1,N($AA5386)))</f>
        <v>0</v>
      </c>
    </row>
    <row r="5388" spans="1:27" ht="21" customHeight="1" x14ac:dyDescent="0.95">
      <c r="A5388" s="56"/>
      <c r="B5388" s="57"/>
      <c r="C5388" s="57"/>
      <c r="D5388" s="57"/>
      <c r="E5388" s="56"/>
      <c r="F5388" s="57"/>
      <c r="G5388" s="57"/>
      <c r="H5388" s="56"/>
      <c r="I5388" s="56"/>
      <c r="J5388" s="58"/>
      <c r="K5388" s="58"/>
      <c r="L5388" s="13" t="str">
        <f t="shared" si="840"/>
        <v/>
      </c>
      <c r="M5388" s="13" t="str">
        <f t="shared" si="841"/>
        <v/>
      </c>
      <c r="Q5388" t="str">
        <f t="shared" si="842"/>
        <v/>
      </c>
      <c r="R5388" t="str">
        <f t="shared" si="843"/>
        <v/>
      </c>
      <c r="S5388" t="str">
        <f t="shared" si="844"/>
        <v/>
      </c>
      <c r="T5388" t="str">
        <f t="shared" si="845"/>
        <v/>
      </c>
      <c r="U5388" t="str">
        <f t="shared" si="846"/>
        <v/>
      </c>
      <c r="V5388" t="str">
        <f t="shared" si="847"/>
        <v/>
      </c>
      <c r="W5388" t="str">
        <f t="shared" si="848"/>
        <v/>
      </c>
      <c r="X5388">
        <f>IF($T5388="",N($X5387),IF(MATCH($T5388,$T$6:$T$10005,0)=ROW()-5,N($X5387)+1,N($X5387)))</f>
        <v>0</v>
      </c>
      <c r="Z5388" t="str">
        <f t="shared" si="849"/>
        <v/>
      </c>
      <c r="AA5388">
        <f>IF($V5388="",N($AA5387),IF(MATCH($V5388,$V$6:$V$10005,0)=ROW()-5,N($AA5387)+1,N($AA5387)))</f>
        <v>0</v>
      </c>
    </row>
    <row r="5389" spans="1:27" ht="21" customHeight="1" x14ac:dyDescent="0.95">
      <c r="A5389" s="56"/>
      <c r="B5389" s="57"/>
      <c r="C5389" s="57"/>
      <c r="D5389" s="57"/>
      <c r="E5389" s="56"/>
      <c r="F5389" s="57"/>
      <c r="G5389" s="57"/>
      <c r="H5389" s="56"/>
      <c r="I5389" s="56"/>
      <c r="J5389" s="58"/>
      <c r="K5389" s="58"/>
      <c r="L5389" s="13" t="str">
        <f t="shared" si="840"/>
        <v/>
      </c>
      <c r="M5389" s="13" t="str">
        <f t="shared" si="841"/>
        <v/>
      </c>
      <c r="Q5389" t="str">
        <f t="shared" si="842"/>
        <v/>
      </c>
      <c r="R5389" t="str">
        <f t="shared" si="843"/>
        <v/>
      </c>
      <c r="S5389" t="str">
        <f t="shared" si="844"/>
        <v/>
      </c>
      <c r="T5389" t="str">
        <f t="shared" si="845"/>
        <v/>
      </c>
      <c r="U5389" t="str">
        <f t="shared" si="846"/>
        <v/>
      </c>
      <c r="V5389" t="str">
        <f t="shared" si="847"/>
        <v/>
      </c>
      <c r="W5389" t="str">
        <f t="shared" si="848"/>
        <v/>
      </c>
      <c r="X5389">
        <f>IF($T5389="",N($X5388),IF(MATCH($T5389,$T$6:$T$10005,0)=ROW()-5,N($X5388)+1,N($X5388)))</f>
        <v>0</v>
      </c>
      <c r="Z5389" t="str">
        <f t="shared" si="849"/>
        <v/>
      </c>
      <c r="AA5389">
        <f>IF($V5389="",N($AA5388),IF(MATCH($V5389,$V$6:$V$10005,0)=ROW()-5,N($AA5388)+1,N($AA5388)))</f>
        <v>0</v>
      </c>
    </row>
    <row r="5390" spans="1:27" ht="21" customHeight="1" x14ac:dyDescent="0.95">
      <c r="A5390" s="56"/>
      <c r="B5390" s="57"/>
      <c r="C5390" s="57"/>
      <c r="D5390" s="57"/>
      <c r="E5390" s="56"/>
      <c r="F5390" s="57"/>
      <c r="G5390" s="57"/>
      <c r="H5390" s="56"/>
      <c r="I5390" s="56"/>
      <c r="J5390" s="58"/>
      <c r="K5390" s="58"/>
      <c r="L5390" s="13" t="str">
        <f t="shared" si="840"/>
        <v/>
      </c>
      <c r="M5390" s="13" t="str">
        <f t="shared" si="841"/>
        <v/>
      </c>
      <c r="Q5390" t="str">
        <f t="shared" si="842"/>
        <v/>
      </c>
      <c r="R5390" t="str">
        <f t="shared" si="843"/>
        <v/>
      </c>
      <c r="S5390" t="str">
        <f t="shared" si="844"/>
        <v/>
      </c>
      <c r="T5390" t="str">
        <f t="shared" si="845"/>
        <v/>
      </c>
      <c r="U5390" t="str">
        <f t="shared" si="846"/>
        <v/>
      </c>
      <c r="V5390" t="str">
        <f t="shared" si="847"/>
        <v/>
      </c>
      <c r="W5390" t="str">
        <f t="shared" si="848"/>
        <v/>
      </c>
      <c r="X5390">
        <f>IF($T5390="",N($X5389),IF(MATCH($T5390,$T$6:$T$10005,0)=ROW()-5,N($X5389)+1,N($X5389)))</f>
        <v>0</v>
      </c>
      <c r="Z5390" t="str">
        <f t="shared" si="849"/>
        <v/>
      </c>
      <c r="AA5390">
        <f>IF($V5390="",N($AA5389),IF(MATCH($V5390,$V$6:$V$10005,0)=ROW()-5,N($AA5389)+1,N($AA5389)))</f>
        <v>0</v>
      </c>
    </row>
    <row r="5391" spans="1:27" ht="21" customHeight="1" x14ac:dyDescent="0.95">
      <c r="A5391" s="56"/>
      <c r="B5391" s="57"/>
      <c r="C5391" s="57"/>
      <c r="D5391" s="57"/>
      <c r="E5391" s="56"/>
      <c r="F5391" s="57"/>
      <c r="G5391" s="57"/>
      <c r="H5391" s="56"/>
      <c r="I5391" s="56"/>
      <c r="J5391" s="58"/>
      <c r="K5391" s="58"/>
      <c r="L5391" s="13" t="str">
        <f t="shared" si="840"/>
        <v/>
      </c>
      <c r="M5391" s="13" t="str">
        <f t="shared" si="841"/>
        <v/>
      </c>
      <c r="Q5391" t="str">
        <f t="shared" si="842"/>
        <v/>
      </c>
      <c r="R5391" t="str">
        <f t="shared" si="843"/>
        <v/>
      </c>
      <c r="S5391" t="str">
        <f t="shared" si="844"/>
        <v/>
      </c>
      <c r="T5391" t="str">
        <f t="shared" si="845"/>
        <v/>
      </c>
      <c r="U5391" t="str">
        <f t="shared" si="846"/>
        <v/>
      </c>
      <c r="V5391" t="str">
        <f t="shared" si="847"/>
        <v/>
      </c>
      <c r="W5391" t="str">
        <f t="shared" si="848"/>
        <v/>
      </c>
      <c r="X5391">
        <f>IF($T5391="",N($X5390),IF(MATCH($T5391,$T$6:$T$10005,0)=ROW()-5,N($X5390)+1,N($X5390)))</f>
        <v>0</v>
      </c>
      <c r="Z5391" t="str">
        <f t="shared" si="849"/>
        <v/>
      </c>
      <c r="AA5391">
        <f>IF($V5391="",N($AA5390),IF(MATCH($V5391,$V$6:$V$10005,0)=ROW()-5,N($AA5390)+1,N($AA5390)))</f>
        <v>0</v>
      </c>
    </row>
    <row r="5392" spans="1:27" ht="21" customHeight="1" x14ac:dyDescent="0.95">
      <c r="A5392" s="56"/>
      <c r="B5392" s="57"/>
      <c r="C5392" s="57"/>
      <c r="D5392" s="57"/>
      <c r="E5392" s="56"/>
      <c r="F5392" s="57"/>
      <c r="G5392" s="57"/>
      <c r="H5392" s="56"/>
      <c r="I5392" s="56"/>
      <c r="J5392" s="58"/>
      <c r="K5392" s="58"/>
      <c r="L5392" s="13" t="str">
        <f t="shared" si="840"/>
        <v/>
      </c>
      <c r="M5392" s="13" t="str">
        <f t="shared" si="841"/>
        <v/>
      </c>
      <c r="Q5392" t="str">
        <f t="shared" si="842"/>
        <v/>
      </c>
      <c r="R5392" t="str">
        <f t="shared" si="843"/>
        <v/>
      </c>
      <c r="S5392" t="str">
        <f t="shared" si="844"/>
        <v/>
      </c>
      <c r="T5392" t="str">
        <f t="shared" si="845"/>
        <v/>
      </c>
      <c r="U5392" t="str">
        <f t="shared" si="846"/>
        <v/>
      </c>
      <c r="V5392" t="str">
        <f t="shared" si="847"/>
        <v/>
      </c>
      <c r="W5392" t="str">
        <f t="shared" si="848"/>
        <v/>
      </c>
      <c r="X5392">
        <f>IF($T5392="",N($X5391),IF(MATCH($T5392,$T$6:$T$10005,0)=ROW()-5,N($X5391)+1,N($X5391)))</f>
        <v>0</v>
      </c>
      <c r="Z5392" t="str">
        <f t="shared" si="849"/>
        <v/>
      </c>
      <c r="AA5392">
        <f>IF($V5392="",N($AA5391),IF(MATCH($V5392,$V$6:$V$10005,0)=ROW()-5,N($AA5391)+1,N($AA5391)))</f>
        <v>0</v>
      </c>
    </row>
    <row r="5393" spans="1:27" ht="21" customHeight="1" x14ac:dyDescent="0.95">
      <c r="A5393" s="56"/>
      <c r="B5393" s="57"/>
      <c r="C5393" s="57"/>
      <c r="D5393" s="57"/>
      <c r="E5393" s="56"/>
      <c r="F5393" s="57"/>
      <c r="G5393" s="57"/>
      <c r="H5393" s="56"/>
      <c r="I5393" s="56"/>
      <c r="J5393" s="58"/>
      <c r="K5393" s="58"/>
      <c r="L5393" s="13" t="str">
        <f t="shared" si="840"/>
        <v/>
      </c>
      <c r="M5393" s="13" t="str">
        <f t="shared" si="841"/>
        <v/>
      </c>
      <c r="Q5393" t="str">
        <f t="shared" si="842"/>
        <v/>
      </c>
      <c r="R5393" t="str">
        <f t="shared" si="843"/>
        <v/>
      </c>
      <c r="S5393" t="str">
        <f t="shared" si="844"/>
        <v/>
      </c>
      <c r="T5393" t="str">
        <f t="shared" si="845"/>
        <v/>
      </c>
      <c r="U5393" t="str">
        <f t="shared" si="846"/>
        <v/>
      </c>
      <c r="V5393" t="str">
        <f t="shared" si="847"/>
        <v/>
      </c>
      <c r="W5393" t="str">
        <f t="shared" si="848"/>
        <v/>
      </c>
      <c r="X5393">
        <f>IF($T5393="",N($X5392),IF(MATCH($T5393,$T$6:$T$10005,0)=ROW()-5,N($X5392)+1,N($X5392)))</f>
        <v>0</v>
      </c>
      <c r="Z5393" t="str">
        <f t="shared" si="849"/>
        <v/>
      </c>
      <c r="AA5393">
        <f>IF($V5393="",N($AA5392),IF(MATCH($V5393,$V$6:$V$10005,0)=ROW()-5,N($AA5392)+1,N($AA5392)))</f>
        <v>0</v>
      </c>
    </row>
    <row r="5394" spans="1:27" ht="21" customHeight="1" x14ac:dyDescent="0.95">
      <c r="A5394" s="56"/>
      <c r="B5394" s="57"/>
      <c r="C5394" s="57"/>
      <c r="D5394" s="57"/>
      <c r="E5394" s="56"/>
      <c r="F5394" s="57"/>
      <c r="G5394" s="57"/>
      <c r="H5394" s="56"/>
      <c r="I5394" s="56"/>
      <c r="J5394" s="58"/>
      <c r="K5394" s="58"/>
      <c r="L5394" s="13" t="str">
        <f t="shared" si="840"/>
        <v/>
      </c>
      <c r="M5394" s="13" t="str">
        <f t="shared" si="841"/>
        <v/>
      </c>
      <c r="Q5394" t="str">
        <f t="shared" si="842"/>
        <v/>
      </c>
      <c r="R5394" t="str">
        <f t="shared" si="843"/>
        <v/>
      </c>
      <c r="S5394" t="str">
        <f t="shared" si="844"/>
        <v/>
      </c>
      <c r="T5394" t="str">
        <f t="shared" si="845"/>
        <v/>
      </c>
      <c r="U5394" t="str">
        <f t="shared" si="846"/>
        <v/>
      </c>
      <c r="V5394" t="str">
        <f t="shared" si="847"/>
        <v/>
      </c>
      <c r="W5394" t="str">
        <f t="shared" si="848"/>
        <v/>
      </c>
      <c r="X5394">
        <f>IF($T5394="",N($X5393),IF(MATCH($T5394,$T$6:$T$10005,0)=ROW()-5,N($X5393)+1,N($X5393)))</f>
        <v>0</v>
      </c>
      <c r="Z5394" t="str">
        <f t="shared" si="849"/>
        <v/>
      </c>
      <c r="AA5394">
        <f>IF($V5394="",N($AA5393),IF(MATCH($V5394,$V$6:$V$10005,0)=ROW()-5,N($AA5393)+1,N($AA5393)))</f>
        <v>0</v>
      </c>
    </row>
    <row r="5395" spans="1:27" ht="21" customHeight="1" x14ac:dyDescent="0.95">
      <c r="A5395" s="56"/>
      <c r="B5395" s="57"/>
      <c r="C5395" s="57"/>
      <c r="D5395" s="57"/>
      <c r="E5395" s="56"/>
      <c r="F5395" s="57"/>
      <c r="G5395" s="57"/>
      <c r="H5395" s="56"/>
      <c r="I5395" s="56"/>
      <c r="J5395" s="58"/>
      <c r="K5395" s="58"/>
      <c r="L5395" s="13" t="str">
        <f t="shared" si="840"/>
        <v/>
      </c>
      <c r="M5395" s="13" t="str">
        <f t="shared" si="841"/>
        <v/>
      </c>
      <c r="Q5395" t="str">
        <f t="shared" si="842"/>
        <v/>
      </c>
      <c r="R5395" t="str">
        <f t="shared" si="843"/>
        <v/>
      </c>
      <c r="S5395" t="str">
        <f t="shared" si="844"/>
        <v/>
      </c>
      <c r="T5395" t="str">
        <f t="shared" si="845"/>
        <v/>
      </c>
      <c r="U5395" t="str">
        <f t="shared" si="846"/>
        <v/>
      </c>
      <c r="V5395" t="str">
        <f t="shared" si="847"/>
        <v/>
      </c>
      <c r="W5395" t="str">
        <f t="shared" si="848"/>
        <v/>
      </c>
      <c r="X5395">
        <f>IF($T5395="",N($X5394),IF(MATCH($T5395,$T$6:$T$10005,0)=ROW()-5,N($X5394)+1,N($X5394)))</f>
        <v>0</v>
      </c>
      <c r="Z5395" t="str">
        <f t="shared" si="849"/>
        <v/>
      </c>
      <c r="AA5395">
        <f>IF($V5395="",N($AA5394),IF(MATCH($V5395,$V$6:$V$10005,0)=ROW()-5,N($AA5394)+1,N($AA5394)))</f>
        <v>0</v>
      </c>
    </row>
    <row r="5396" spans="1:27" ht="21" customHeight="1" x14ac:dyDescent="0.95">
      <c r="A5396" s="56"/>
      <c r="B5396" s="57"/>
      <c r="C5396" s="57"/>
      <c r="D5396" s="57"/>
      <c r="E5396" s="56"/>
      <c r="F5396" s="57"/>
      <c r="G5396" s="57"/>
      <c r="H5396" s="56"/>
      <c r="I5396" s="56"/>
      <c r="J5396" s="58"/>
      <c r="K5396" s="58"/>
      <c r="L5396" s="13" t="str">
        <f t="shared" si="840"/>
        <v/>
      </c>
      <c r="M5396" s="13" t="str">
        <f t="shared" si="841"/>
        <v/>
      </c>
      <c r="Q5396" t="str">
        <f t="shared" si="842"/>
        <v/>
      </c>
      <c r="R5396" t="str">
        <f t="shared" si="843"/>
        <v/>
      </c>
      <c r="S5396" t="str">
        <f t="shared" si="844"/>
        <v/>
      </c>
      <c r="T5396" t="str">
        <f t="shared" si="845"/>
        <v/>
      </c>
      <c r="U5396" t="str">
        <f t="shared" si="846"/>
        <v/>
      </c>
      <c r="V5396" t="str">
        <f t="shared" si="847"/>
        <v/>
      </c>
      <c r="W5396" t="str">
        <f t="shared" si="848"/>
        <v/>
      </c>
      <c r="X5396">
        <f>IF($T5396="",N($X5395),IF(MATCH($T5396,$T$6:$T$10005,0)=ROW()-5,N($X5395)+1,N($X5395)))</f>
        <v>0</v>
      </c>
      <c r="Z5396" t="str">
        <f t="shared" si="849"/>
        <v/>
      </c>
      <c r="AA5396">
        <f>IF($V5396="",N($AA5395),IF(MATCH($V5396,$V$6:$V$10005,0)=ROW()-5,N($AA5395)+1,N($AA5395)))</f>
        <v>0</v>
      </c>
    </row>
    <row r="5397" spans="1:27" ht="21" customHeight="1" x14ac:dyDescent="0.95">
      <c r="A5397" s="56"/>
      <c r="B5397" s="57"/>
      <c r="C5397" s="57"/>
      <c r="D5397" s="57"/>
      <c r="E5397" s="56"/>
      <c r="F5397" s="57"/>
      <c r="G5397" s="57"/>
      <c r="H5397" s="56"/>
      <c r="I5397" s="56"/>
      <c r="J5397" s="58"/>
      <c r="K5397" s="58"/>
      <c r="L5397" s="13" t="str">
        <f t="shared" si="840"/>
        <v/>
      </c>
      <c r="M5397" s="13" t="str">
        <f t="shared" si="841"/>
        <v/>
      </c>
      <c r="Q5397" t="str">
        <f t="shared" si="842"/>
        <v/>
      </c>
      <c r="R5397" t="str">
        <f t="shared" si="843"/>
        <v/>
      </c>
      <c r="S5397" t="str">
        <f t="shared" si="844"/>
        <v/>
      </c>
      <c r="T5397" t="str">
        <f t="shared" si="845"/>
        <v/>
      </c>
      <c r="U5397" t="str">
        <f t="shared" si="846"/>
        <v/>
      </c>
      <c r="V5397" t="str">
        <f t="shared" si="847"/>
        <v/>
      </c>
      <c r="W5397" t="str">
        <f t="shared" si="848"/>
        <v/>
      </c>
      <c r="X5397">
        <f>IF($T5397="",N($X5396),IF(MATCH($T5397,$T$6:$T$10005,0)=ROW()-5,N($X5396)+1,N($X5396)))</f>
        <v>0</v>
      </c>
      <c r="Z5397" t="str">
        <f t="shared" si="849"/>
        <v/>
      </c>
      <c r="AA5397">
        <f>IF($V5397="",N($AA5396),IF(MATCH($V5397,$V$6:$V$10005,0)=ROW()-5,N($AA5396)+1,N($AA5396)))</f>
        <v>0</v>
      </c>
    </row>
    <row r="5398" spans="1:27" ht="21" customHeight="1" x14ac:dyDescent="0.95">
      <c r="A5398" s="56"/>
      <c r="B5398" s="57"/>
      <c r="C5398" s="57"/>
      <c r="D5398" s="57"/>
      <c r="E5398" s="56"/>
      <c r="F5398" s="57"/>
      <c r="G5398" s="57"/>
      <c r="H5398" s="56"/>
      <c r="I5398" s="56"/>
      <c r="J5398" s="58"/>
      <c r="K5398" s="58"/>
      <c r="L5398" s="13" t="str">
        <f t="shared" si="840"/>
        <v/>
      </c>
      <c r="M5398" s="13" t="str">
        <f t="shared" si="841"/>
        <v/>
      </c>
      <c r="Q5398" t="str">
        <f t="shared" si="842"/>
        <v/>
      </c>
      <c r="R5398" t="str">
        <f t="shared" si="843"/>
        <v/>
      </c>
      <c r="S5398" t="str">
        <f t="shared" si="844"/>
        <v/>
      </c>
      <c r="T5398" t="str">
        <f t="shared" si="845"/>
        <v/>
      </c>
      <c r="U5398" t="str">
        <f t="shared" si="846"/>
        <v/>
      </c>
      <c r="V5398" t="str">
        <f t="shared" si="847"/>
        <v/>
      </c>
      <c r="W5398" t="str">
        <f t="shared" si="848"/>
        <v/>
      </c>
      <c r="X5398">
        <f>IF($T5398="",N($X5397),IF(MATCH($T5398,$T$6:$T$10005,0)=ROW()-5,N($X5397)+1,N($X5397)))</f>
        <v>0</v>
      </c>
      <c r="Z5398" t="str">
        <f t="shared" si="849"/>
        <v/>
      </c>
      <c r="AA5398">
        <f>IF($V5398="",N($AA5397),IF(MATCH($V5398,$V$6:$V$10005,0)=ROW()-5,N($AA5397)+1,N($AA5397)))</f>
        <v>0</v>
      </c>
    </row>
    <row r="5399" spans="1:27" ht="21" customHeight="1" x14ac:dyDescent="0.95">
      <c r="A5399" s="56"/>
      <c r="B5399" s="57"/>
      <c r="C5399" s="57"/>
      <c r="D5399" s="57"/>
      <c r="E5399" s="56"/>
      <c r="F5399" s="57"/>
      <c r="G5399" s="57"/>
      <c r="H5399" s="56"/>
      <c r="I5399" s="56"/>
      <c r="J5399" s="58"/>
      <c r="K5399" s="58"/>
      <c r="L5399" s="13" t="str">
        <f t="shared" si="840"/>
        <v/>
      </c>
      <c r="M5399" s="13" t="str">
        <f t="shared" si="841"/>
        <v/>
      </c>
      <c r="Q5399" t="str">
        <f t="shared" si="842"/>
        <v/>
      </c>
      <c r="R5399" t="str">
        <f t="shared" si="843"/>
        <v/>
      </c>
      <c r="S5399" t="str">
        <f t="shared" si="844"/>
        <v/>
      </c>
      <c r="T5399" t="str">
        <f t="shared" si="845"/>
        <v/>
      </c>
      <c r="U5399" t="str">
        <f t="shared" si="846"/>
        <v/>
      </c>
      <c r="V5399" t="str">
        <f t="shared" si="847"/>
        <v/>
      </c>
      <c r="W5399" t="str">
        <f t="shared" si="848"/>
        <v/>
      </c>
      <c r="X5399">
        <f>IF($T5399="",N($X5398),IF(MATCH($T5399,$T$6:$T$10005,0)=ROW()-5,N($X5398)+1,N($X5398)))</f>
        <v>0</v>
      </c>
      <c r="Z5399" t="str">
        <f t="shared" si="849"/>
        <v/>
      </c>
      <c r="AA5399">
        <f>IF($V5399="",N($AA5398),IF(MATCH($V5399,$V$6:$V$10005,0)=ROW()-5,N($AA5398)+1,N($AA5398)))</f>
        <v>0</v>
      </c>
    </row>
    <row r="5400" spans="1:27" ht="21" customHeight="1" x14ac:dyDescent="0.95">
      <c r="A5400" s="56"/>
      <c r="B5400" s="57"/>
      <c r="C5400" s="57"/>
      <c r="D5400" s="57"/>
      <c r="E5400" s="56"/>
      <c r="F5400" s="57"/>
      <c r="G5400" s="57"/>
      <c r="H5400" s="56"/>
      <c r="I5400" s="56"/>
      <c r="J5400" s="58"/>
      <c r="K5400" s="58"/>
      <c r="L5400" s="13" t="str">
        <f t="shared" si="840"/>
        <v/>
      </c>
      <c r="M5400" s="13" t="str">
        <f t="shared" si="841"/>
        <v/>
      </c>
      <c r="Q5400" t="str">
        <f t="shared" si="842"/>
        <v/>
      </c>
      <c r="R5400" t="str">
        <f t="shared" si="843"/>
        <v/>
      </c>
      <c r="S5400" t="str">
        <f t="shared" si="844"/>
        <v/>
      </c>
      <c r="T5400" t="str">
        <f t="shared" si="845"/>
        <v/>
      </c>
      <c r="U5400" t="str">
        <f t="shared" si="846"/>
        <v/>
      </c>
      <c r="V5400" t="str">
        <f t="shared" si="847"/>
        <v/>
      </c>
      <c r="W5400" t="str">
        <f t="shared" si="848"/>
        <v/>
      </c>
      <c r="X5400">
        <f>IF($T5400="",N($X5399),IF(MATCH($T5400,$T$6:$T$10005,0)=ROW()-5,N($X5399)+1,N($X5399)))</f>
        <v>0</v>
      </c>
      <c r="Z5400" t="str">
        <f t="shared" si="849"/>
        <v/>
      </c>
      <c r="AA5400">
        <f>IF($V5400="",N($AA5399),IF(MATCH($V5400,$V$6:$V$10005,0)=ROW()-5,N($AA5399)+1,N($AA5399)))</f>
        <v>0</v>
      </c>
    </row>
    <row r="5401" spans="1:27" ht="21" customHeight="1" x14ac:dyDescent="0.95">
      <c r="A5401" s="56"/>
      <c r="B5401" s="57"/>
      <c r="C5401" s="57"/>
      <c r="D5401" s="57"/>
      <c r="E5401" s="56"/>
      <c r="F5401" s="57"/>
      <c r="G5401" s="57"/>
      <c r="H5401" s="56"/>
      <c r="I5401" s="56"/>
      <c r="J5401" s="58"/>
      <c r="K5401" s="58"/>
      <c r="L5401" s="13" t="str">
        <f t="shared" si="840"/>
        <v/>
      </c>
      <c r="M5401" s="13" t="str">
        <f t="shared" si="841"/>
        <v/>
      </c>
      <c r="Q5401" t="str">
        <f t="shared" si="842"/>
        <v/>
      </c>
      <c r="R5401" t="str">
        <f t="shared" si="843"/>
        <v/>
      </c>
      <c r="S5401" t="str">
        <f t="shared" si="844"/>
        <v/>
      </c>
      <c r="T5401" t="str">
        <f t="shared" si="845"/>
        <v/>
      </c>
      <c r="U5401" t="str">
        <f t="shared" si="846"/>
        <v/>
      </c>
      <c r="V5401" t="str">
        <f t="shared" si="847"/>
        <v/>
      </c>
      <c r="W5401" t="str">
        <f t="shared" si="848"/>
        <v/>
      </c>
      <c r="X5401">
        <f>IF($T5401="",N($X5400),IF(MATCH($T5401,$T$6:$T$10005,0)=ROW()-5,N($X5400)+1,N($X5400)))</f>
        <v>0</v>
      </c>
      <c r="Z5401" t="str">
        <f t="shared" si="849"/>
        <v/>
      </c>
      <c r="AA5401">
        <f>IF($V5401="",N($AA5400),IF(MATCH($V5401,$V$6:$V$10005,0)=ROW()-5,N($AA5400)+1,N($AA5400)))</f>
        <v>0</v>
      </c>
    </row>
    <row r="5402" spans="1:27" ht="21" customHeight="1" x14ac:dyDescent="0.95">
      <c r="A5402" s="56"/>
      <c r="B5402" s="57"/>
      <c r="C5402" s="57"/>
      <c r="D5402" s="57"/>
      <c r="E5402" s="56"/>
      <c r="F5402" s="57"/>
      <c r="G5402" s="57"/>
      <c r="H5402" s="56"/>
      <c r="I5402" s="56"/>
      <c r="J5402" s="58"/>
      <c r="K5402" s="58"/>
      <c r="L5402" s="13" t="str">
        <f t="shared" si="840"/>
        <v/>
      </c>
      <c r="M5402" s="13" t="str">
        <f t="shared" si="841"/>
        <v/>
      </c>
      <c r="Q5402" t="str">
        <f t="shared" si="842"/>
        <v/>
      </c>
      <c r="R5402" t="str">
        <f t="shared" si="843"/>
        <v/>
      </c>
      <c r="S5402" t="str">
        <f t="shared" si="844"/>
        <v/>
      </c>
      <c r="T5402" t="str">
        <f t="shared" si="845"/>
        <v/>
      </c>
      <c r="U5402" t="str">
        <f t="shared" si="846"/>
        <v/>
      </c>
      <c r="V5402" t="str">
        <f t="shared" si="847"/>
        <v/>
      </c>
      <c r="W5402" t="str">
        <f t="shared" si="848"/>
        <v/>
      </c>
      <c r="X5402">
        <f>IF($T5402="",N($X5401),IF(MATCH($T5402,$T$6:$T$10005,0)=ROW()-5,N($X5401)+1,N($X5401)))</f>
        <v>0</v>
      </c>
      <c r="Z5402" t="str">
        <f t="shared" si="849"/>
        <v/>
      </c>
      <c r="AA5402">
        <f>IF($V5402="",N($AA5401),IF(MATCH($V5402,$V$6:$V$10005,0)=ROW()-5,N($AA5401)+1,N($AA5401)))</f>
        <v>0</v>
      </c>
    </row>
    <row r="5403" spans="1:27" ht="21" customHeight="1" x14ac:dyDescent="0.95">
      <c r="A5403" s="56"/>
      <c r="B5403" s="57"/>
      <c r="C5403" s="57"/>
      <c r="D5403" s="57"/>
      <c r="E5403" s="56"/>
      <c r="F5403" s="57"/>
      <c r="G5403" s="57"/>
      <c r="H5403" s="56"/>
      <c r="I5403" s="56"/>
      <c r="J5403" s="58"/>
      <c r="K5403" s="58"/>
      <c r="L5403" s="13" t="str">
        <f t="shared" si="840"/>
        <v/>
      </c>
      <c r="M5403" s="13" t="str">
        <f t="shared" si="841"/>
        <v/>
      </c>
      <c r="Q5403" t="str">
        <f t="shared" si="842"/>
        <v/>
      </c>
      <c r="R5403" t="str">
        <f t="shared" si="843"/>
        <v/>
      </c>
      <c r="S5403" t="str">
        <f t="shared" si="844"/>
        <v/>
      </c>
      <c r="T5403" t="str">
        <f t="shared" si="845"/>
        <v/>
      </c>
      <c r="U5403" t="str">
        <f t="shared" si="846"/>
        <v/>
      </c>
      <c r="V5403" t="str">
        <f t="shared" si="847"/>
        <v/>
      </c>
      <c r="W5403" t="str">
        <f t="shared" si="848"/>
        <v/>
      </c>
      <c r="X5403">
        <f>IF($T5403="",N($X5402),IF(MATCH($T5403,$T$6:$T$10005,0)=ROW()-5,N($X5402)+1,N($X5402)))</f>
        <v>0</v>
      </c>
      <c r="Z5403" t="str">
        <f t="shared" si="849"/>
        <v/>
      </c>
      <c r="AA5403">
        <f>IF($V5403="",N($AA5402),IF(MATCH($V5403,$V$6:$V$10005,0)=ROW()-5,N($AA5402)+1,N($AA5402)))</f>
        <v>0</v>
      </c>
    </row>
    <row r="5404" spans="1:27" ht="21" customHeight="1" x14ac:dyDescent="0.95">
      <c r="A5404" s="56"/>
      <c r="B5404" s="57"/>
      <c r="C5404" s="57"/>
      <c r="D5404" s="57"/>
      <c r="E5404" s="56"/>
      <c r="F5404" s="57"/>
      <c r="G5404" s="57"/>
      <c r="H5404" s="56"/>
      <c r="I5404" s="56"/>
      <c r="J5404" s="58"/>
      <c r="K5404" s="58"/>
      <c r="L5404" s="13" t="str">
        <f t="shared" si="840"/>
        <v/>
      </c>
      <c r="M5404" s="13" t="str">
        <f t="shared" si="841"/>
        <v/>
      </c>
      <c r="Q5404" t="str">
        <f t="shared" si="842"/>
        <v/>
      </c>
      <c r="R5404" t="str">
        <f t="shared" si="843"/>
        <v/>
      </c>
      <c r="S5404" t="str">
        <f t="shared" si="844"/>
        <v/>
      </c>
      <c r="T5404" t="str">
        <f t="shared" si="845"/>
        <v/>
      </c>
      <c r="U5404" t="str">
        <f t="shared" si="846"/>
        <v/>
      </c>
      <c r="V5404" t="str">
        <f t="shared" si="847"/>
        <v/>
      </c>
      <c r="W5404" t="str">
        <f t="shared" si="848"/>
        <v/>
      </c>
      <c r="X5404">
        <f>IF($T5404="",N($X5403),IF(MATCH($T5404,$T$6:$T$10005,0)=ROW()-5,N($X5403)+1,N($X5403)))</f>
        <v>0</v>
      </c>
      <c r="Z5404" t="str">
        <f t="shared" si="849"/>
        <v/>
      </c>
      <c r="AA5404">
        <f>IF($V5404="",N($AA5403),IF(MATCH($V5404,$V$6:$V$10005,0)=ROW()-5,N($AA5403)+1,N($AA5403)))</f>
        <v>0</v>
      </c>
    </row>
    <row r="5405" spans="1:27" ht="21" customHeight="1" x14ac:dyDescent="0.95">
      <c r="A5405" s="56"/>
      <c r="B5405" s="57"/>
      <c r="C5405" s="57"/>
      <c r="D5405" s="57"/>
      <c r="E5405" s="56"/>
      <c r="F5405" s="57"/>
      <c r="G5405" s="57"/>
      <c r="H5405" s="56"/>
      <c r="I5405" s="56"/>
      <c r="J5405" s="58"/>
      <c r="K5405" s="58"/>
      <c r="L5405" s="13" t="str">
        <f t="shared" si="840"/>
        <v/>
      </c>
      <c r="M5405" s="13" t="str">
        <f t="shared" si="841"/>
        <v/>
      </c>
      <c r="Q5405" t="str">
        <f t="shared" si="842"/>
        <v/>
      </c>
      <c r="R5405" t="str">
        <f t="shared" si="843"/>
        <v/>
      </c>
      <c r="S5405" t="str">
        <f t="shared" si="844"/>
        <v/>
      </c>
      <c r="T5405" t="str">
        <f t="shared" si="845"/>
        <v/>
      </c>
      <c r="U5405" t="str">
        <f t="shared" si="846"/>
        <v/>
      </c>
      <c r="V5405" t="str">
        <f t="shared" si="847"/>
        <v/>
      </c>
      <c r="W5405" t="str">
        <f t="shared" si="848"/>
        <v/>
      </c>
      <c r="X5405">
        <f>IF($T5405="",N($X5404),IF(MATCH($T5405,$T$6:$T$10005,0)=ROW()-5,N($X5404)+1,N($X5404)))</f>
        <v>0</v>
      </c>
      <c r="Z5405" t="str">
        <f t="shared" si="849"/>
        <v/>
      </c>
      <c r="AA5405">
        <f>IF($V5405="",N($AA5404),IF(MATCH($V5405,$V$6:$V$10005,0)=ROW()-5,N($AA5404)+1,N($AA5404)))</f>
        <v>0</v>
      </c>
    </row>
    <row r="5406" spans="1:27" ht="21" customHeight="1" x14ac:dyDescent="0.95">
      <c r="A5406" s="56"/>
      <c r="B5406" s="57"/>
      <c r="C5406" s="57"/>
      <c r="D5406" s="57"/>
      <c r="E5406" s="56"/>
      <c r="F5406" s="57"/>
      <c r="G5406" s="57"/>
      <c r="H5406" s="56"/>
      <c r="I5406" s="56"/>
      <c r="J5406" s="58"/>
      <c r="K5406" s="58"/>
      <c r="L5406" s="13" t="str">
        <f t="shared" si="840"/>
        <v/>
      </c>
      <c r="M5406" s="13" t="str">
        <f t="shared" si="841"/>
        <v/>
      </c>
      <c r="Q5406" t="str">
        <f t="shared" si="842"/>
        <v/>
      </c>
      <c r="R5406" t="str">
        <f t="shared" si="843"/>
        <v/>
      </c>
      <c r="S5406" t="str">
        <f t="shared" si="844"/>
        <v/>
      </c>
      <c r="T5406" t="str">
        <f t="shared" si="845"/>
        <v/>
      </c>
      <c r="U5406" t="str">
        <f t="shared" si="846"/>
        <v/>
      </c>
      <c r="V5406" t="str">
        <f t="shared" si="847"/>
        <v/>
      </c>
      <c r="W5406" t="str">
        <f t="shared" si="848"/>
        <v/>
      </c>
      <c r="X5406">
        <f>IF($T5406="",N($X5405),IF(MATCH($T5406,$T$6:$T$10005,0)=ROW()-5,N($X5405)+1,N($X5405)))</f>
        <v>0</v>
      </c>
      <c r="Z5406" t="str">
        <f t="shared" si="849"/>
        <v/>
      </c>
      <c r="AA5406">
        <f>IF($V5406="",N($AA5405),IF(MATCH($V5406,$V$6:$V$10005,0)=ROW()-5,N($AA5405)+1,N($AA5405)))</f>
        <v>0</v>
      </c>
    </row>
    <row r="5407" spans="1:27" ht="21" customHeight="1" x14ac:dyDescent="0.95">
      <c r="A5407" s="56"/>
      <c r="B5407" s="57"/>
      <c r="C5407" s="57"/>
      <c r="D5407" s="57"/>
      <c r="E5407" s="56"/>
      <c r="F5407" s="57"/>
      <c r="G5407" s="57"/>
      <c r="H5407" s="56"/>
      <c r="I5407" s="56"/>
      <c r="J5407" s="58"/>
      <c r="K5407" s="58"/>
      <c r="L5407" s="13" t="str">
        <f t="shared" si="840"/>
        <v/>
      </c>
      <c r="M5407" s="13" t="str">
        <f t="shared" si="841"/>
        <v/>
      </c>
      <c r="Q5407" t="str">
        <f t="shared" si="842"/>
        <v/>
      </c>
      <c r="R5407" t="str">
        <f t="shared" si="843"/>
        <v/>
      </c>
      <c r="S5407" t="str">
        <f t="shared" si="844"/>
        <v/>
      </c>
      <c r="T5407" t="str">
        <f t="shared" si="845"/>
        <v/>
      </c>
      <c r="U5407" t="str">
        <f t="shared" si="846"/>
        <v/>
      </c>
      <c r="V5407" t="str">
        <f t="shared" si="847"/>
        <v/>
      </c>
      <c r="W5407" t="str">
        <f t="shared" si="848"/>
        <v/>
      </c>
      <c r="X5407">
        <f>IF($T5407="",N($X5406),IF(MATCH($T5407,$T$6:$T$10005,0)=ROW()-5,N($X5406)+1,N($X5406)))</f>
        <v>0</v>
      </c>
      <c r="Z5407" t="str">
        <f t="shared" si="849"/>
        <v/>
      </c>
      <c r="AA5407">
        <f>IF($V5407="",N($AA5406),IF(MATCH($V5407,$V$6:$V$10005,0)=ROW()-5,N($AA5406)+1,N($AA5406)))</f>
        <v>0</v>
      </c>
    </row>
    <row r="5408" spans="1:27" ht="21" customHeight="1" x14ac:dyDescent="0.95">
      <c r="A5408" s="56"/>
      <c r="B5408" s="57"/>
      <c r="C5408" s="57"/>
      <c r="D5408" s="57"/>
      <c r="E5408" s="56"/>
      <c r="F5408" s="57"/>
      <c r="G5408" s="57"/>
      <c r="H5408" s="56"/>
      <c r="I5408" s="56"/>
      <c r="J5408" s="58"/>
      <c r="K5408" s="58"/>
      <c r="L5408" s="13" t="str">
        <f t="shared" si="840"/>
        <v/>
      </c>
      <c r="M5408" s="13" t="str">
        <f t="shared" si="841"/>
        <v/>
      </c>
      <c r="Q5408" t="str">
        <f t="shared" si="842"/>
        <v/>
      </c>
      <c r="R5408" t="str">
        <f t="shared" si="843"/>
        <v/>
      </c>
      <c r="S5408" t="str">
        <f t="shared" si="844"/>
        <v/>
      </c>
      <c r="T5408" t="str">
        <f t="shared" si="845"/>
        <v/>
      </c>
      <c r="U5408" t="str">
        <f t="shared" si="846"/>
        <v/>
      </c>
      <c r="V5408" t="str">
        <f t="shared" si="847"/>
        <v/>
      </c>
      <c r="W5408" t="str">
        <f t="shared" si="848"/>
        <v/>
      </c>
      <c r="X5408">
        <f>IF($T5408="",N($X5407),IF(MATCH($T5408,$T$6:$T$10005,0)=ROW()-5,N($X5407)+1,N($X5407)))</f>
        <v>0</v>
      </c>
      <c r="Z5408" t="str">
        <f t="shared" si="849"/>
        <v/>
      </c>
      <c r="AA5408">
        <f>IF($V5408="",N($AA5407),IF(MATCH($V5408,$V$6:$V$10005,0)=ROW()-5,N($AA5407)+1,N($AA5407)))</f>
        <v>0</v>
      </c>
    </row>
    <row r="5409" spans="1:27" ht="21" customHeight="1" x14ac:dyDescent="0.95">
      <c r="A5409" s="56"/>
      <c r="B5409" s="57"/>
      <c r="C5409" s="57"/>
      <c r="D5409" s="57"/>
      <c r="E5409" s="56"/>
      <c r="F5409" s="57"/>
      <c r="G5409" s="57"/>
      <c r="H5409" s="56"/>
      <c r="I5409" s="56"/>
      <c r="J5409" s="58"/>
      <c r="K5409" s="58"/>
      <c r="L5409" s="13" t="str">
        <f t="shared" si="840"/>
        <v/>
      </c>
      <c r="M5409" s="13" t="str">
        <f t="shared" si="841"/>
        <v/>
      </c>
      <c r="Q5409" t="str">
        <f t="shared" si="842"/>
        <v/>
      </c>
      <c r="R5409" t="str">
        <f t="shared" si="843"/>
        <v/>
      </c>
      <c r="S5409" t="str">
        <f t="shared" si="844"/>
        <v/>
      </c>
      <c r="T5409" t="str">
        <f t="shared" si="845"/>
        <v/>
      </c>
      <c r="U5409" t="str">
        <f t="shared" si="846"/>
        <v/>
      </c>
      <c r="V5409" t="str">
        <f t="shared" si="847"/>
        <v/>
      </c>
      <c r="W5409" t="str">
        <f t="shared" si="848"/>
        <v/>
      </c>
      <c r="X5409">
        <f>IF($T5409="",N($X5408),IF(MATCH($T5409,$T$6:$T$10005,0)=ROW()-5,N($X5408)+1,N($X5408)))</f>
        <v>0</v>
      </c>
      <c r="Z5409" t="str">
        <f t="shared" si="849"/>
        <v/>
      </c>
      <c r="AA5409">
        <f>IF($V5409="",N($AA5408),IF(MATCH($V5409,$V$6:$V$10005,0)=ROW()-5,N($AA5408)+1,N($AA5408)))</f>
        <v>0</v>
      </c>
    </row>
    <row r="5410" spans="1:27" ht="21" customHeight="1" x14ac:dyDescent="0.95">
      <c r="A5410" s="56"/>
      <c r="B5410" s="57"/>
      <c r="C5410" s="57"/>
      <c r="D5410" s="57"/>
      <c r="E5410" s="56"/>
      <c r="F5410" s="57"/>
      <c r="G5410" s="57"/>
      <c r="H5410" s="56"/>
      <c r="I5410" s="56"/>
      <c r="J5410" s="58"/>
      <c r="K5410" s="58"/>
      <c r="L5410" s="13" t="str">
        <f t="shared" si="840"/>
        <v/>
      </c>
      <c r="M5410" s="13" t="str">
        <f t="shared" si="841"/>
        <v/>
      </c>
      <c r="Q5410" t="str">
        <f t="shared" si="842"/>
        <v/>
      </c>
      <c r="R5410" t="str">
        <f t="shared" si="843"/>
        <v/>
      </c>
      <c r="S5410" t="str">
        <f t="shared" si="844"/>
        <v/>
      </c>
      <c r="T5410" t="str">
        <f t="shared" si="845"/>
        <v/>
      </c>
      <c r="U5410" t="str">
        <f t="shared" si="846"/>
        <v/>
      </c>
      <c r="V5410" t="str">
        <f t="shared" si="847"/>
        <v/>
      </c>
      <c r="W5410" t="str">
        <f t="shared" si="848"/>
        <v/>
      </c>
      <c r="X5410">
        <f>IF($T5410="",N($X5409),IF(MATCH($T5410,$T$6:$T$10005,0)=ROW()-5,N($X5409)+1,N($X5409)))</f>
        <v>0</v>
      </c>
      <c r="Z5410" t="str">
        <f t="shared" si="849"/>
        <v/>
      </c>
      <c r="AA5410">
        <f>IF($V5410="",N($AA5409),IF(MATCH($V5410,$V$6:$V$10005,0)=ROW()-5,N($AA5409)+1,N($AA5409)))</f>
        <v>0</v>
      </c>
    </row>
    <row r="5411" spans="1:27" ht="21" customHeight="1" x14ac:dyDescent="0.95">
      <c r="A5411" s="56"/>
      <c r="B5411" s="57"/>
      <c r="C5411" s="57"/>
      <c r="D5411" s="57"/>
      <c r="E5411" s="56"/>
      <c r="F5411" s="57"/>
      <c r="G5411" s="57"/>
      <c r="H5411" s="56"/>
      <c r="I5411" s="56"/>
      <c r="J5411" s="58"/>
      <c r="K5411" s="58"/>
      <c r="L5411" s="13" t="str">
        <f t="shared" si="840"/>
        <v/>
      </c>
      <c r="M5411" s="13" t="str">
        <f t="shared" si="841"/>
        <v/>
      </c>
      <c r="Q5411" t="str">
        <f t="shared" si="842"/>
        <v/>
      </c>
      <c r="R5411" t="str">
        <f t="shared" si="843"/>
        <v/>
      </c>
      <c r="S5411" t="str">
        <f t="shared" si="844"/>
        <v/>
      </c>
      <c r="T5411" t="str">
        <f t="shared" si="845"/>
        <v/>
      </c>
      <c r="U5411" t="str">
        <f t="shared" si="846"/>
        <v/>
      </c>
      <c r="V5411" t="str">
        <f t="shared" si="847"/>
        <v/>
      </c>
      <c r="W5411" t="str">
        <f t="shared" si="848"/>
        <v/>
      </c>
      <c r="X5411">
        <f>IF($T5411="",N($X5410),IF(MATCH($T5411,$T$6:$T$10005,0)=ROW()-5,N($X5410)+1,N($X5410)))</f>
        <v>0</v>
      </c>
      <c r="Z5411" t="str">
        <f t="shared" si="849"/>
        <v/>
      </c>
      <c r="AA5411">
        <f>IF($V5411="",N($AA5410),IF(MATCH($V5411,$V$6:$V$10005,0)=ROW()-5,N($AA5410)+1,N($AA5410)))</f>
        <v>0</v>
      </c>
    </row>
    <row r="5412" spans="1:27" ht="21" customHeight="1" x14ac:dyDescent="0.95">
      <c r="A5412" s="56"/>
      <c r="B5412" s="57"/>
      <c r="C5412" s="57"/>
      <c r="D5412" s="57"/>
      <c r="E5412" s="56"/>
      <c r="F5412" s="57"/>
      <c r="G5412" s="57"/>
      <c r="H5412" s="56"/>
      <c r="I5412" s="56"/>
      <c r="J5412" s="58"/>
      <c r="K5412" s="58"/>
      <c r="L5412" s="13" t="str">
        <f t="shared" si="840"/>
        <v/>
      </c>
      <c r="M5412" s="13" t="str">
        <f t="shared" si="841"/>
        <v/>
      </c>
      <c r="Q5412" t="str">
        <f t="shared" si="842"/>
        <v/>
      </c>
      <c r="R5412" t="str">
        <f t="shared" si="843"/>
        <v/>
      </c>
      <c r="S5412" t="str">
        <f t="shared" si="844"/>
        <v/>
      </c>
      <c r="T5412" t="str">
        <f t="shared" si="845"/>
        <v/>
      </c>
      <c r="U5412" t="str">
        <f t="shared" si="846"/>
        <v/>
      </c>
      <c r="V5412" t="str">
        <f t="shared" si="847"/>
        <v/>
      </c>
      <c r="W5412" t="str">
        <f t="shared" si="848"/>
        <v/>
      </c>
      <c r="X5412">
        <f>IF($T5412="",N($X5411),IF(MATCH($T5412,$T$6:$T$10005,0)=ROW()-5,N($X5411)+1,N($X5411)))</f>
        <v>0</v>
      </c>
      <c r="Z5412" t="str">
        <f t="shared" si="849"/>
        <v/>
      </c>
      <c r="AA5412">
        <f>IF($V5412="",N($AA5411),IF(MATCH($V5412,$V$6:$V$10005,0)=ROW()-5,N($AA5411)+1,N($AA5411)))</f>
        <v>0</v>
      </c>
    </row>
    <row r="5413" spans="1:27" ht="21" customHeight="1" x14ac:dyDescent="0.95">
      <c r="A5413" s="56"/>
      <c r="B5413" s="57"/>
      <c r="C5413" s="57"/>
      <c r="D5413" s="57"/>
      <c r="E5413" s="56"/>
      <c r="F5413" s="57"/>
      <c r="G5413" s="57"/>
      <c r="H5413" s="56"/>
      <c r="I5413" s="56"/>
      <c r="J5413" s="58"/>
      <c r="K5413" s="58"/>
      <c r="L5413" s="13" t="str">
        <f t="shared" si="840"/>
        <v/>
      </c>
      <c r="M5413" s="13" t="str">
        <f t="shared" si="841"/>
        <v/>
      </c>
      <c r="Q5413" t="str">
        <f t="shared" si="842"/>
        <v/>
      </c>
      <c r="R5413" t="str">
        <f t="shared" si="843"/>
        <v/>
      </c>
      <c r="S5413" t="str">
        <f t="shared" si="844"/>
        <v/>
      </c>
      <c r="T5413" t="str">
        <f t="shared" si="845"/>
        <v/>
      </c>
      <c r="U5413" t="str">
        <f t="shared" si="846"/>
        <v/>
      </c>
      <c r="V5413" t="str">
        <f t="shared" si="847"/>
        <v/>
      </c>
      <c r="W5413" t="str">
        <f t="shared" si="848"/>
        <v/>
      </c>
      <c r="X5413">
        <f>IF($T5413="",N($X5412),IF(MATCH($T5413,$T$6:$T$10005,0)=ROW()-5,N($X5412)+1,N($X5412)))</f>
        <v>0</v>
      </c>
      <c r="Z5413" t="str">
        <f t="shared" si="849"/>
        <v/>
      </c>
      <c r="AA5413">
        <f>IF($V5413="",N($AA5412),IF(MATCH($V5413,$V$6:$V$10005,0)=ROW()-5,N($AA5412)+1,N($AA5412)))</f>
        <v>0</v>
      </c>
    </row>
    <row r="5414" spans="1:27" ht="21" customHeight="1" x14ac:dyDescent="0.95">
      <c r="A5414" s="56"/>
      <c r="B5414" s="57"/>
      <c r="C5414" s="57"/>
      <c r="D5414" s="57"/>
      <c r="E5414" s="56"/>
      <c r="F5414" s="57"/>
      <c r="G5414" s="57"/>
      <c r="H5414" s="56"/>
      <c r="I5414" s="56"/>
      <c r="J5414" s="58"/>
      <c r="K5414" s="58"/>
      <c r="L5414" s="13" t="str">
        <f t="shared" si="840"/>
        <v/>
      </c>
      <c r="M5414" s="13" t="str">
        <f t="shared" si="841"/>
        <v/>
      </c>
      <c r="Q5414" t="str">
        <f t="shared" si="842"/>
        <v/>
      </c>
      <c r="R5414" t="str">
        <f t="shared" si="843"/>
        <v/>
      </c>
      <c r="S5414" t="str">
        <f t="shared" si="844"/>
        <v/>
      </c>
      <c r="T5414" t="str">
        <f t="shared" si="845"/>
        <v/>
      </c>
      <c r="U5414" t="str">
        <f t="shared" si="846"/>
        <v/>
      </c>
      <c r="V5414" t="str">
        <f t="shared" si="847"/>
        <v/>
      </c>
      <c r="W5414" t="str">
        <f t="shared" si="848"/>
        <v/>
      </c>
      <c r="X5414">
        <f>IF($T5414="",N($X5413),IF(MATCH($T5414,$T$6:$T$10005,0)=ROW()-5,N($X5413)+1,N($X5413)))</f>
        <v>0</v>
      </c>
      <c r="Z5414" t="str">
        <f t="shared" si="849"/>
        <v/>
      </c>
      <c r="AA5414">
        <f>IF($V5414="",N($AA5413),IF(MATCH($V5414,$V$6:$V$10005,0)=ROW()-5,N($AA5413)+1,N($AA5413)))</f>
        <v>0</v>
      </c>
    </row>
    <row r="5415" spans="1:27" ht="21" customHeight="1" x14ac:dyDescent="0.95">
      <c r="A5415" s="56"/>
      <c r="B5415" s="57"/>
      <c r="C5415" s="57"/>
      <c r="D5415" s="57"/>
      <c r="E5415" s="56"/>
      <c r="F5415" s="57"/>
      <c r="G5415" s="57"/>
      <c r="H5415" s="56"/>
      <c r="I5415" s="56"/>
      <c r="J5415" s="58"/>
      <c r="K5415" s="58"/>
      <c r="L5415" s="13" t="str">
        <f t="shared" si="840"/>
        <v/>
      </c>
      <c r="M5415" s="13" t="str">
        <f t="shared" si="841"/>
        <v/>
      </c>
      <c r="Q5415" t="str">
        <f t="shared" si="842"/>
        <v/>
      </c>
      <c r="R5415" t="str">
        <f t="shared" si="843"/>
        <v/>
      </c>
      <c r="S5415" t="str">
        <f t="shared" si="844"/>
        <v/>
      </c>
      <c r="T5415" t="str">
        <f t="shared" si="845"/>
        <v/>
      </c>
      <c r="U5415" t="str">
        <f t="shared" si="846"/>
        <v/>
      </c>
      <c r="V5415" t="str">
        <f t="shared" si="847"/>
        <v/>
      </c>
      <c r="W5415" t="str">
        <f t="shared" si="848"/>
        <v/>
      </c>
      <c r="X5415">
        <f>IF($T5415="",N($X5414),IF(MATCH($T5415,$T$6:$T$10005,0)=ROW()-5,N($X5414)+1,N($X5414)))</f>
        <v>0</v>
      </c>
      <c r="Z5415" t="str">
        <f t="shared" si="849"/>
        <v/>
      </c>
      <c r="AA5415">
        <f>IF($V5415="",N($AA5414),IF(MATCH($V5415,$V$6:$V$10005,0)=ROW()-5,N($AA5414)+1,N($AA5414)))</f>
        <v>0</v>
      </c>
    </row>
    <row r="5416" spans="1:27" ht="21" customHeight="1" x14ac:dyDescent="0.95">
      <c r="A5416" s="56"/>
      <c r="B5416" s="57"/>
      <c r="C5416" s="57"/>
      <c r="D5416" s="57"/>
      <c r="E5416" s="56"/>
      <c r="F5416" s="57"/>
      <c r="G5416" s="57"/>
      <c r="H5416" s="56"/>
      <c r="I5416" s="56"/>
      <c r="J5416" s="58"/>
      <c r="K5416" s="58"/>
      <c r="L5416" s="13" t="str">
        <f t="shared" si="840"/>
        <v/>
      </c>
      <c r="M5416" s="13" t="str">
        <f t="shared" si="841"/>
        <v/>
      </c>
      <c r="Q5416" t="str">
        <f t="shared" si="842"/>
        <v/>
      </c>
      <c r="R5416" t="str">
        <f t="shared" si="843"/>
        <v/>
      </c>
      <c r="S5416" t="str">
        <f t="shared" si="844"/>
        <v/>
      </c>
      <c r="T5416" t="str">
        <f t="shared" si="845"/>
        <v/>
      </c>
      <c r="U5416" t="str">
        <f t="shared" si="846"/>
        <v/>
      </c>
      <c r="V5416" t="str">
        <f t="shared" si="847"/>
        <v/>
      </c>
      <c r="W5416" t="str">
        <f t="shared" si="848"/>
        <v/>
      </c>
      <c r="X5416">
        <f>IF($T5416="",N($X5415),IF(MATCH($T5416,$T$6:$T$10005,0)=ROW()-5,N($X5415)+1,N($X5415)))</f>
        <v>0</v>
      </c>
      <c r="Z5416" t="str">
        <f t="shared" si="849"/>
        <v/>
      </c>
      <c r="AA5416">
        <f>IF($V5416="",N($AA5415),IF(MATCH($V5416,$V$6:$V$10005,0)=ROW()-5,N($AA5415)+1,N($AA5415)))</f>
        <v>0</v>
      </c>
    </row>
    <row r="5417" spans="1:27" ht="21" customHeight="1" x14ac:dyDescent="0.95">
      <c r="A5417" s="56"/>
      <c r="B5417" s="57"/>
      <c r="C5417" s="57"/>
      <c r="D5417" s="57"/>
      <c r="E5417" s="56"/>
      <c r="F5417" s="57"/>
      <c r="G5417" s="57"/>
      <c r="H5417" s="56"/>
      <c r="I5417" s="56"/>
      <c r="J5417" s="58"/>
      <c r="K5417" s="58"/>
      <c r="L5417" s="13" t="str">
        <f t="shared" si="840"/>
        <v/>
      </c>
      <c r="M5417" s="13" t="str">
        <f t="shared" si="841"/>
        <v/>
      </c>
      <c r="Q5417" t="str">
        <f t="shared" si="842"/>
        <v/>
      </c>
      <c r="R5417" t="str">
        <f t="shared" si="843"/>
        <v/>
      </c>
      <c r="S5417" t="str">
        <f t="shared" si="844"/>
        <v/>
      </c>
      <c r="T5417" t="str">
        <f t="shared" si="845"/>
        <v/>
      </c>
      <c r="U5417" t="str">
        <f t="shared" si="846"/>
        <v/>
      </c>
      <c r="V5417" t="str">
        <f t="shared" si="847"/>
        <v/>
      </c>
      <c r="W5417" t="str">
        <f t="shared" si="848"/>
        <v/>
      </c>
      <c r="X5417">
        <f>IF($T5417="",N($X5416),IF(MATCH($T5417,$T$6:$T$10005,0)=ROW()-5,N($X5416)+1,N($X5416)))</f>
        <v>0</v>
      </c>
      <c r="Z5417" t="str">
        <f t="shared" si="849"/>
        <v/>
      </c>
      <c r="AA5417">
        <f>IF($V5417="",N($AA5416),IF(MATCH($V5417,$V$6:$V$10005,0)=ROW()-5,N($AA5416)+1,N($AA5416)))</f>
        <v>0</v>
      </c>
    </row>
    <row r="5418" spans="1:27" ht="21" customHeight="1" x14ac:dyDescent="0.95">
      <c r="A5418" s="56"/>
      <c r="B5418" s="57"/>
      <c r="C5418" s="57"/>
      <c r="D5418" s="57"/>
      <c r="E5418" s="56"/>
      <c r="F5418" s="57"/>
      <c r="G5418" s="57"/>
      <c r="H5418" s="56"/>
      <c r="I5418" s="56"/>
      <c r="J5418" s="58"/>
      <c r="K5418" s="58"/>
      <c r="L5418" s="13" t="str">
        <f t="shared" si="840"/>
        <v/>
      </c>
      <c r="M5418" s="13" t="str">
        <f t="shared" si="841"/>
        <v/>
      </c>
      <c r="Q5418" t="str">
        <f t="shared" si="842"/>
        <v/>
      </c>
      <c r="R5418" t="str">
        <f t="shared" si="843"/>
        <v/>
      </c>
      <c r="S5418" t="str">
        <f t="shared" si="844"/>
        <v/>
      </c>
      <c r="T5418" t="str">
        <f t="shared" si="845"/>
        <v/>
      </c>
      <c r="U5418" t="str">
        <f t="shared" si="846"/>
        <v/>
      </c>
      <c r="V5418" t="str">
        <f t="shared" si="847"/>
        <v/>
      </c>
      <c r="W5418" t="str">
        <f t="shared" si="848"/>
        <v/>
      </c>
      <c r="X5418">
        <f>IF($T5418="",N($X5417),IF(MATCH($T5418,$T$6:$T$10005,0)=ROW()-5,N($X5417)+1,N($X5417)))</f>
        <v>0</v>
      </c>
      <c r="Z5418" t="str">
        <f t="shared" si="849"/>
        <v/>
      </c>
      <c r="AA5418">
        <f>IF($V5418="",N($AA5417),IF(MATCH($V5418,$V$6:$V$10005,0)=ROW()-5,N($AA5417)+1,N($AA5417)))</f>
        <v>0</v>
      </c>
    </row>
    <row r="5419" spans="1:27" ht="21" customHeight="1" x14ac:dyDescent="0.95">
      <c r="A5419" s="56"/>
      <c r="B5419" s="57"/>
      <c r="C5419" s="57"/>
      <c r="D5419" s="57"/>
      <c r="E5419" s="56"/>
      <c r="F5419" s="57"/>
      <c r="G5419" s="57"/>
      <c r="H5419" s="56"/>
      <c r="I5419" s="56"/>
      <c r="J5419" s="58"/>
      <c r="K5419" s="58"/>
      <c r="L5419" s="13" t="str">
        <f t="shared" si="840"/>
        <v/>
      </c>
      <c r="M5419" s="13" t="str">
        <f t="shared" si="841"/>
        <v/>
      </c>
      <c r="Q5419" t="str">
        <f t="shared" si="842"/>
        <v/>
      </c>
      <c r="R5419" t="str">
        <f t="shared" si="843"/>
        <v/>
      </c>
      <c r="S5419" t="str">
        <f t="shared" si="844"/>
        <v/>
      </c>
      <c r="T5419" t="str">
        <f t="shared" si="845"/>
        <v/>
      </c>
      <c r="U5419" t="str">
        <f t="shared" si="846"/>
        <v/>
      </c>
      <c r="V5419" t="str">
        <f t="shared" si="847"/>
        <v/>
      </c>
      <c r="W5419" t="str">
        <f t="shared" si="848"/>
        <v/>
      </c>
      <c r="X5419">
        <f>IF($T5419="",N($X5418),IF(MATCH($T5419,$T$6:$T$10005,0)=ROW()-5,N($X5418)+1,N($X5418)))</f>
        <v>0</v>
      </c>
      <c r="Z5419" t="str">
        <f t="shared" si="849"/>
        <v/>
      </c>
      <c r="AA5419">
        <f>IF($V5419="",N($AA5418),IF(MATCH($V5419,$V$6:$V$10005,0)=ROW()-5,N($AA5418)+1,N($AA5418)))</f>
        <v>0</v>
      </c>
    </row>
    <row r="5420" spans="1:27" ht="21" customHeight="1" x14ac:dyDescent="0.95">
      <c r="A5420" s="56"/>
      <c r="B5420" s="57"/>
      <c r="C5420" s="57"/>
      <c r="D5420" s="57"/>
      <c r="E5420" s="56"/>
      <c r="F5420" s="57"/>
      <c r="G5420" s="57"/>
      <c r="H5420" s="56"/>
      <c r="I5420" s="56"/>
      <c r="J5420" s="58"/>
      <c r="K5420" s="58"/>
      <c r="L5420" s="13" t="str">
        <f t="shared" si="840"/>
        <v/>
      </c>
      <c r="M5420" s="13" t="str">
        <f t="shared" si="841"/>
        <v/>
      </c>
      <c r="Q5420" t="str">
        <f t="shared" si="842"/>
        <v/>
      </c>
      <c r="R5420" t="str">
        <f t="shared" si="843"/>
        <v/>
      </c>
      <c r="S5420" t="str">
        <f t="shared" si="844"/>
        <v/>
      </c>
      <c r="T5420" t="str">
        <f t="shared" si="845"/>
        <v/>
      </c>
      <c r="U5420" t="str">
        <f t="shared" si="846"/>
        <v/>
      </c>
      <c r="V5420" t="str">
        <f t="shared" si="847"/>
        <v/>
      </c>
      <c r="W5420" t="str">
        <f t="shared" si="848"/>
        <v/>
      </c>
      <c r="X5420">
        <f>IF($T5420="",N($X5419),IF(MATCH($T5420,$T$6:$T$10005,0)=ROW()-5,N($X5419)+1,N($X5419)))</f>
        <v>0</v>
      </c>
      <c r="Z5420" t="str">
        <f t="shared" si="849"/>
        <v/>
      </c>
      <c r="AA5420">
        <f>IF($V5420="",N($AA5419),IF(MATCH($V5420,$V$6:$V$10005,0)=ROW()-5,N($AA5419)+1,N($AA5419)))</f>
        <v>0</v>
      </c>
    </row>
    <row r="5421" spans="1:27" ht="21" customHeight="1" x14ac:dyDescent="0.95">
      <c r="A5421" s="56"/>
      <c r="B5421" s="57"/>
      <c r="C5421" s="57"/>
      <c r="D5421" s="57"/>
      <c r="E5421" s="56"/>
      <c r="F5421" s="57"/>
      <c r="G5421" s="57"/>
      <c r="H5421" s="56"/>
      <c r="I5421" s="56"/>
      <c r="J5421" s="58"/>
      <c r="K5421" s="58"/>
      <c r="L5421" s="13" t="str">
        <f t="shared" si="840"/>
        <v/>
      </c>
      <c r="M5421" s="13" t="str">
        <f t="shared" si="841"/>
        <v/>
      </c>
      <c r="Q5421" t="str">
        <f t="shared" si="842"/>
        <v/>
      </c>
      <c r="R5421" t="str">
        <f t="shared" si="843"/>
        <v/>
      </c>
      <c r="S5421" t="str">
        <f t="shared" si="844"/>
        <v/>
      </c>
      <c r="T5421" t="str">
        <f t="shared" si="845"/>
        <v/>
      </c>
      <c r="U5421" t="str">
        <f t="shared" si="846"/>
        <v/>
      </c>
      <c r="V5421" t="str">
        <f t="shared" si="847"/>
        <v/>
      </c>
      <c r="W5421" t="str">
        <f t="shared" si="848"/>
        <v/>
      </c>
      <c r="X5421">
        <f>IF($T5421="",N($X5420),IF(MATCH($T5421,$T$6:$T$10005,0)=ROW()-5,N($X5420)+1,N($X5420)))</f>
        <v>0</v>
      </c>
      <c r="Z5421" t="str">
        <f t="shared" si="849"/>
        <v/>
      </c>
      <c r="AA5421">
        <f>IF($V5421="",N($AA5420),IF(MATCH($V5421,$V$6:$V$10005,0)=ROW()-5,N($AA5420)+1,N($AA5420)))</f>
        <v>0</v>
      </c>
    </row>
    <row r="5422" spans="1:27" ht="21" customHeight="1" x14ac:dyDescent="0.95">
      <c r="A5422" s="56"/>
      <c r="B5422" s="57"/>
      <c r="C5422" s="57"/>
      <c r="D5422" s="57"/>
      <c r="E5422" s="56"/>
      <c r="F5422" s="57"/>
      <c r="G5422" s="57"/>
      <c r="H5422" s="56"/>
      <c r="I5422" s="56"/>
      <c r="J5422" s="58"/>
      <c r="K5422" s="58"/>
      <c r="L5422" s="13" t="str">
        <f t="shared" si="840"/>
        <v/>
      </c>
      <c r="M5422" s="13" t="str">
        <f t="shared" si="841"/>
        <v/>
      </c>
      <c r="Q5422" t="str">
        <f t="shared" si="842"/>
        <v/>
      </c>
      <c r="R5422" t="str">
        <f t="shared" si="843"/>
        <v/>
      </c>
      <c r="S5422" t="str">
        <f t="shared" si="844"/>
        <v/>
      </c>
      <c r="T5422" t="str">
        <f t="shared" si="845"/>
        <v/>
      </c>
      <c r="U5422" t="str">
        <f t="shared" si="846"/>
        <v/>
      </c>
      <c r="V5422" t="str">
        <f t="shared" si="847"/>
        <v/>
      </c>
      <c r="W5422" t="str">
        <f t="shared" si="848"/>
        <v/>
      </c>
      <c r="X5422">
        <f>IF($T5422="",N($X5421),IF(MATCH($T5422,$T$6:$T$10005,0)=ROW()-5,N($X5421)+1,N($X5421)))</f>
        <v>0</v>
      </c>
      <c r="Z5422" t="str">
        <f t="shared" si="849"/>
        <v/>
      </c>
      <c r="AA5422">
        <f>IF($V5422="",N($AA5421),IF(MATCH($V5422,$V$6:$V$10005,0)=ROW()-5,N($AA5421)+1,N($AA5421)))</f>
        <v>0</v>
      </c>
    </row>
    <row r="5423" spans="1:27" ht="21" customHeight="1" x14ac:dyDescent="0.95">
      <c r="A5423" s="56"/>
      <c r="B5423" s="57"/>
      <c r="C5423" s="57"/>
      <c r="D5423" s="57"/>
      <c r="E5423" s="56"/>
      <c r="F5423" s="57"/>
      <c r="G5423" s="57"/>
      <c r="H5423" s="56"/>
      <c r="I5423" s="56"/>
      <c r="J5423" s="58"/>
      <c r="K5423" s="58"/>
      <c r="L5423" s="13" t="str">
        <f t="shared" si="840"/>
        <v/>
      </c>
      <c r="M5423" s="13" t="str">
        <f t="shared" si="841"/>
        <v/>
      </c>
      <c r="Q5423" t="str">
        <f t="shared" si="842"/>
        <v/>
      </c>
      <c r="R5423" t="str">
        <f t="shared" si="843"/>
        <v/>
      </c>
      <c r="S5423" t="str">
        <f t="shared" si="844"/>
        <v/>
      </c>
      <c r="T5423" t="str">
        <f t="shared" si="845"/>
        <v/>
      </c>
      <c r="U5423" t="str">
        <f t="shared" si="846"/>
        <v/>
      </c>
      <c r="V5423" t="str">
        <f t="shared" si="847"/>
        <v/>
      </c>
      <c r="W5423" t="str">
        <f t="shared" si="848"/>
        <v/>
      </c>
      <c r="X5423">
        <f>IF($T5423="",N($X5422),IF(MATCH($T5423,$T$6:$T$10005,0)=ROW()-5,N($X5422)+1,N($X5422)))</f>
        <v>0</v>
      </c>
      <c r="Z5423" t="str">
        <f t="shared" si="849"/>
        <v/>
      </c>
      <c r="AA5423">
        <f>IF($V5423="",N($AA5422),IF(MATCH($V5423,$V$6:$V$10005,0)=ROW()-5,N($AA5422)+1,N($AA5422)))</f>
        <v>0</v>
      </c>
    </row>
    <row r="5424" spans="1:27" ht="21" customHeight="1" x14ac:dyDescent="0.95">
      <c r="A5424" s="56"/>
      <c r="B5424" s="57"/>
      <c r="C5424" s="57"/>
      <c r="D5424" s="57"/>
      <c r="E5424" s="56"/>
      <c r="F5424" s="57"/>
      <c r="G5424" s="57"/>
      <c r="H5424" s="56"/>
      <c r="I5424" s="56"/>
      <c r="J5424" s="58"/>
      <c r="K5424" s="58"/>
      <c r="L5424" s="13" t="str">
        <f t="shared" si="840"/>
        <v/>
      </c>
      <c r="M5424" s="13" t="str">
        <f t="shared" si="841"/>
        <v/>
      </c>
      <c r="Q5424" t="str">
        <f t="shared" si="842"/>
        <v/>
      </c>
      <c r="R5424" t="str">
        <f t="shared" si="843"/>
        <v/>
      </c>
      <c r="S5424" t="str">
        <f t="shared" si="844"/>
        <v/>
      </c>
      <c r="T5424" t="str">
        <f t="shared" si="845"/>
        <v/>
      </c>
      <c r="U5424" t="str">
        <f t="shared" si="846"/>
        <v/>
      </c>
      <c r="V5424" t="str">
        <f t="shared" si="847"/>
        <v/>
      </c>
      <c r="W5424" t="str">
        <f t="shared" si="848"/>
        <v/>
      </c>
      <c r="X5424">
        <f>IF($T5424="",N($X5423),IF(MATCH($T5424,$T$6:$T$10005,0)=ROW()-5,N($X5423)+1,N($X5423)))</f>
        <v>0</v>
      </c>
      <c r="Z5424" t="str">
        <f t="shared" si="849"/>
        <v/>
      </c>
      <c r="AA5424">
        <f>IF($V5424="",N($AA5423),IF(MATCH($V5424,$V$6:$V$10005,0)=ROW()-5,N($AA5423)+1,N($AA5423)))</f>
        <v>0</v>
      </c>
    </row>
    <row r="5425" spans="1:27" ht="21" customHeight="1" x14ac:dyDescent="0.95">
      <c r="A5425" s="56"/>
      <c r="B5425" s="57"/>
      <c r="C5425" s="57"/>
      <c r="D5425" s="57"/>
      <c r="E5425" s="56"/>
      <c r="F5425" s="57"/>
      <c r="G5425" s="57"/>
      <c r="H5425" s="56"/>
      <c r="I5425" s="56"/>
      <c r="J5425" s="58"/>
      <c r="K5425" s="58"/>
      <c r="L5425" s="13" t="str">
        <f t="shared" si="840"/>
        <v/>
      </c>
      <c r="M5425" s="13" t="str">
        <f t="shared" si="841"/>
        <v/>
      </c>
      <c r="Q5425" t="str">
        <f t="shared" si="842"/>
        <v/>
      </c>
      <c r="R5425" t="str">
        <f t="shared" si="843"/>
        <v/>
      </c>
      <c r="S5425" t="str">
        <f t="shared" si="844"/>
        <v/>
      </c>
      <c r="T5425" t="str">
        <f t="shared" si="845"/>
        <v/>
      </c>
      <c r="U5425" t="str">
        <f t="shared" si="846"/>
        <v/>
      </c>
      <c r="V5425" t="str">
        <f t="shared" si="847"/>
        <v/>
      </c>
      <c r="W5425" t="str">
        <f t="shared" si="848"/>
        <v/>
      </c>
      <c r="X5425">
        <f>IF($T5425="",N($X5424),IF(MATCH($T5425,$T$6:$T$10005,0)=ROW()-5,N($X5424)+1,N($X5424)))</f>
        <v>0</v>
      </c>
      <c r="Z5425" t="str">
        <f t="shared" si="849"/>
        <v/>
      </c>
      <c r="AA5425">
        <f>IF($V5425="",N($AA5424),IF(MATCH($V5425,$V$6:$V$10005,0)=ROW()-5,N($AA5424)+1,N($AA5424)))</f>
        <v>0</v>
      </c>
    </row>
    <row r="5426" spans="1:27" ht="21" customHeight="1" x14ac:dyDescent="0.95">
      <c r="A5426" s="56"/>
      <c r="B5426" s="57"/>
      <c r="C5426" s="57"/>
      <c r="D5426" s="57"/>
      <c r="E5426" s="56"/>
      <c r="F5426" s="57"/>
      <c r="G5426" s="57"/>
      <c r="H5426" s="56"/>
      <c r="I5426" s="56"/>
      <c r="J5426" s="58"/>
      <c r="K5426" s="58"/>
      <c r="L5426" s="13" t="str">
        <f t="shared" si="840"/>
        <v/>
      </c>
      <c r="M5426" s="13" t="str">
        <f t="shared" si="841"/>
        <v/>
      </c>
      <c r="Q5426" t="str">
        <f t="shared" si="842"/>
        <v/>
      </c>
      <c r="R5426" t="str">
        <f t="shared" si="843"/>
        <v/>
      </c>
      <c r="S5426" t="str">
        <f t="shared" si="844"/>
        <v/>
      </c>
      <c r="T5426" t="str">
        <f t="shared" si="845"/>
        <v/>
      </c>
      <c r="U5426" t="str">
        <f t="shared" si="846"/>
        <v/>
      </c>
      <c r="V5426" t="str">
        <f t="shared" si="847"/>
        <v/>
      </c>
      <c r="W5426" t="str">
        <f t="shared" si="848"/>
        <v/>
      </c>
      <c r="X5426">
        <f>IF($T5426="",N($X5425),IF(MATCH($T5426,$T$6:$T$10005,0)=ROW()-5,N($X5425)+1,N($X5425)))</f>
        <v>0</v>
      </c>
      <c r="Z5426" t="str">
        <f t="shared" si="849"/>
        <v/>
      </c>
      <c r="AA5426">
        <f>IF($V5426="",N($AA5425),IF(MATCH($V5426,$V$6:$V$10005,0)=ROW()-5,N($AA5425)+1,N($AA5425)))</f>
        <v>0</v>
      </c>
    </row>
    <row r="5427" spans="1:27" ht="21" customHeight="1" x14ac:dyDescent="0.95">
      <c r="A5427" s="56"/>
      <c r="B5427" s="57"/>
      <c r="C5427" s="57"/>
      <c r="D5427" s="57"/>
      <c r="E5427" s="56"/>
      <c r="F5427" s="57"/>
      <c r="G5427" s="57"/>
      <c r="H5427" s="56"/>
      <c r="I5427" s="56"/>
      <c r="J5427" s="58"/>
      <c r="K5427" s="58"/>
      <c r="L5427" s="13" t="str">
        <f t="shared" si="840"/>
        <v/>
      </c>
      <c r="M5427" s="13" t="str">
        <f t="shared" si="841"/>
        <v/>
      </c>
      <c r="Q5427" t="str">
        <f t="shared" si="842"/>
        <v/>
      </c>
      <c r="R5427" t="str">
        <f t="shared" si="843"/>
        <v/>
      </c>
      <c r="S5427" t="str">
        <f t="shared" si="844"/>
        <v/>
      </c>
      <c r="T5427" t="str">
        <f t="shared" si="845"/>
        <v/>
      </c>
      <c r="U5427" t="str">
        <f t="shared" si="846"/>
        <v/>
      </c>
      <c r="V5427" t="str">
        <f t="shared" si="847"/>
        <v/>
      </c>
      <c r="W5427" t="str">
        <f t="shared" si="848"/>
        <v/>
      </c>
      <c r="X5427">
        <f>IF($T5427="",N($X5426),IF(MATCH($T5427,$T$6:$T$10005,0)=ROW()-5,N($X5426)+1,N($X5426)))</f>
        <v>0</v>
      </c>
      <c r="Z5427" t="str">
        <f t="shared" si="849"/>
        <v/>
      </c>
      <c r="AA5427">
        <f>IF($V5427="",N($AA5426),IF(MATCH($V5427,$V$6:$V$10005,0)=ROW()-5,N($AA5426)+1,N($AA5426)))</f>
        <v>0</v>
      </c>
    </row>
    <row r="5428" spans="1:27" ht="21" customHeight="1" x14ac:dyDescent="0.95">
      <c r="A5428" s="56"/>
      <c r="B5428" s="57"/>
      <c r="C5428" s="57"/>
      <c r="D5428" s="57"/>
      <c r="E5428" s="56"/>
      <c r="F5428" s="57"/>
      <c r="G5428" s="57"/>
      <c r="H5428" s="56"/>
      <c r="I5428" s="56"/>
      <c r="J5428" s="58"/>
      <c r="K5428" s="58"/>
      <c r="L5428" s="13" t="str">
        <f t="shared" si="840"/>
        <v/>
      </c>
      <c r="M5428" s="13" t="str">
        <f t="shared" si="841"/>
        <v/>
      </c>
      <c r="Q5428" t="str">
        <f t="shared" si="842"/>
        <v/>
      </c>
      <c r="R5428" t="str">
        <f t="shared" si="843"/>
        <v/>
      </c>
      <c r="S5428" t="str">
        <f t="shared" si="844"/>
        <v/>
      </c>
      <c r="T5428" t="str">
        <f t="shared" si="845"/>
        <v/>
      </c>
      <c r="U5428" t="str">
        <f t="shared" si="846"/>
        <v/>
      </c>
      <c r="V5428" t="str">
        <f t="shared" si="847"/>
        <v/>
      </c>
      <c r="W5428" t="str">
        <f t="shared" si="848"/>
        <v/>
      </c>
      <c r="X5428">
        <f>IF($T5428="",N($X5427),IF(MATCH($T5428,$T$6:$T$10005,0)=ROW()-5,N($X5427)+1,N($X5427)))</f>
        <v>0</v>
      </c>
      <c r="Z5428" t="str">
        <f t="shared" si="849"/>
        <v/>
      </c>
      <c r="AA5428">
        <f>IF($V5428="",N($AA5427),IF(MATCH($V5428,$V$6:$V$10005,0)=ROW()-5,N($AA5427)+1,N($AA5427)))</f>
        <v>0</v>
      </c>
    </row>
    <row r="5429" spans="1:27" ht="21" customHeight="1" x14ac:dyDescent="0.95">
      <c r="A5429" s="56"/>
      <c r="B5429" s="57"/>
      <c r="C5429" s="57"/>
      <c r="D5429" s="57"/>
      <c r="E5429" s="56"/>
      <c r="F5429" s="57"/>
      <c r="G5429" s="57"/>
      <c r="H5429" s="56"/>
      <c r="I5429" s="56"/>
      <c r="J5429" s="58"/>
      <c r="K5429" s="58"/>
      <c r="L5429" s="13" t="str">
        <f t="shared" si="840"/>
        <v/>
      </c>
      <c r="M5429" s="13" t="str">
        <f t="shared" si="841"/>
        <v/>
      </c>
      <c r="Q5429" t="str">
        <f t="shared" si="842"/>
        <v/>
      </c>
      <c r="R5429" t="str">
        <f t="shared" si="843"/>
        <v/>
      </c>
      <c r="S5429" t="str">
        <f t="shared" si="844"/>
        <v/>
      </c>
      <c r="T5429" t="str">
        <f t="shared" si="845"/>
        <v/>
      </c>
      <c r="U5429" t="str">
        <f t="shared" si="846"/>
        <v/>
      </c>
      <c r="V5429" t="str">
        <f t="shared" si="847"/>
        <v/>
      </c>
      <c r="W5429" t="str">
        <f t="shared" si="848"/>
        <v/>
      </c>
      <c r="X5429">
        <f>IF($T5429="",N($X5428),IF(MATCH($T5429,$T$6:$T$10005,0)=ROW()-5,N($X5428)+1,N($X5428)))</f>
        <v>0</v>
      </c>
      <c r="Z5429" t="str">
        <f t="shared" si="849"/>
        <v/>
      </c>
      <c r="AA5429">
        <f>IF($V5429="",N($AA5428),IF(MATCH($V5429,$V$6:$V$10005,0)=ROW()-5,N($AA5428)+1,N($AA5428)))</f>
        <v>0</v>
      </c>
    </row>
    <row r="5430" spans="1:27" ht="21" customHeight="1" x14ac:dyDescent="0.95">
      <c r="A5430" s="56"/>
      <c r="B5430" s="57"/>
      <c r="C5430" s="57"/>
      <c r="D5430" s="57"/>
      <c r="E5430" s="56"/>
      <c r="F5430" s="57"/>
      <c r="G5430" s="57"/>
      <c r="H5430" s="56"/>
      <c r="I5430" s="56"/>
      <c r="J5430" s="58"/>
      <c r="K5430" s="58"/>
      <c r="L5430" s="13" t="str">
        <f t="shared" si="840"/>
        <v/>
      </c>
      <c r="M5430" s="13" t="str">
        <f t="shared" si="841"/>
        <v/>
      </c>
      <c r="Q5430" t="str">
        <f t="shared" si="842"/>
        <v/>
      </c>
      <c r="R5430" t="str">
        <f t="shared" si="843"/>
        <v/>
      </c>
      <c r="S5430" t="str">
        <f t="shared" si="844"/>
        <v/>
      </c>
      <c r="T5430" t="str">
        <f t="shared" si="845"/>
        <v/>
      </c>
      <c r="U5430" t="str">
        <f t="shared" si="846"/>
        <v/>
      </c>
      <c r="V5430" t="str">
        <f t="shared" si="847"/>
        <v/>
      </c>
      <c r="W5430" t="str">
        <f t="shared" si="848"/>
        <v/>
      </c>
      <c r="X5430">
        <f>IF($T5430="",N($X5429),IF(MATCH($T5430,$T$6:$T$10005,0)=ROW()-5,N($X5429)+1,N($X5429)))</f>
        <v>0</v>
      </c>
      <c r="Z5430" t="str">
        <f t="shared" si="849"/>
        <v/>
      </c>
      <c r="AA5430">
        <f>IF($V5430="",N($AA5429),IF(MATCH($V5430,$V$6:$V$10005,0)=ROW()-5,N($AA5429)+1,N($AA5429)))</f>
        <v>0</v>
      </c>
    </row>
    <row r="5431" spans="1:27" ht="21" customHeight="1" x14ac:dyDescent="0.95">
      <c r="A5431" s="56"/>
      <c r="B5431" s="57"/>
      <c r="C5431" s="57"/>
      <c r="D5431" s="57"/>
      <c r="E5431" s="56"/>
      <c r="F5431" s="57"/>
      <c r="G5431" s="57"/>
      <c r="H5431" s="56"/>
      <c r="I5431" s="56"/>
      <c r="J5431" s="58"/>
      <c r="K5431" s="58"/>
      <c r="L5431" s="13" t="str">
        <f t="shared" si="840"/>
        <v/>
      </c>
      <c r="M5431" s="13" t="str">
        <f t="shared" si="841"/>
        <v/>
      </c>
      <c r="Q5431" t="str">
        <f t="shared" si="842"/>
        <v/>
      </c>
      <c r="R5431" t="str">
        <f t="shared" si="843"/>
        <v/>
      </c>
      <c r="S5431" t="str">
        <f t="shared" si="844"/>
        <v/>
      </c>
      <c r="T5431" t="str">
        <f t="shared" si="845"/>
        <v/>
      </c>
      <c r="U5431" t="str">
        <f t="shared" si="846"/>
        <v/>
      </c>
      <c r="V5431" t="str">
        <f t="shared" si="847"/>
        <v/>
      </c>
      <c r="W5431" t="str">
        <f t="shared" si="848"/>
        <v/>
      </c>
      <c r="X5431">
        <f>IF($T5431="",N($X5430),IF(MATCH($T5431,$T$6:$T$10005,0)=ROW()-5,N($X5430)+1,N($X5430)))</f>
        <v>0</v>
      </c>
      <c r="Z5431" t="str">
        <f t="shared" si="849"/>
        <v/>
      </c>
      <c r="AA5431">
        <f>IF($V5431="",N($AA5430),IF(MATCH($V5431,$V$6:$V$10005,0)=ROW()-5,N($AA5430)+1,N($AA5430)))</f>
        <v>0</v>
      </c>
    </row>
    <row r="5432" spans="1:27" ht="21" customHeight="1" x14ac:dyDescent="0.95">
      <c r="A5432" s="56"/>
      <c r="B5432" s="57"/>
      <c r="C5432" s="57"/>
      <c r="D5432" s="57"/>
      <c r="E5432" s="56"/>
      <c r="F5432" s="57"/>
      <c r="G5432" s="57"/>
      <c r="H5432" s="56"/>
      <c r="I5432" s="56"/>
      <c r="J5432" s="58"/>
      <c r="K5432" s="58"/>
      <c r="L5432" s="13" t="str">
        <f t="shared" si="840"/>
        <v/>
      </c>
      <c r="M5432" s="13" t="str">
        <f t="shared" si="841"/>
        <v/>
      </c>
      <c r="Q5432" t="str">
        <f t="shared" si="842"/>
        <v/>
      </c>
      <c r="R5432" t="str">
        <f t="shared" si="843"/>
        <v/>
      </c>
      <c r="S5432" t="str">
        <f t="shared" si="844"/>
        <v/>
      </c>
      <c r="T5432" t="str">
        <f t="shared" si="845"/>
        <v/>
      </c>
      <c r="U5432" t="str">
        <f t="shared" si="846"/>
        <v/>
      </c>
      <c r="V5432" t="str">
        <f t="shared" si="847"/>
        <v/>
      </c>
      <c r="W5432" t="str">
        <f t="shared" si="848"/>
        <v/>
      </c>
      <c r="X5432">
        <f>IF($T5432="",N($X5431),IF(MATCH($T5432,$T$6:$T$10005,0)=ROW()-5,N($X5431)+1,N($X5431)))</f>
        <v>0</v>
      </c>
      <c r="Z5432" t="str">
        <f t="shared" si="849"/>
        <v/>
      </c>
      <c r="AA5432">
        <f>IF($V5432="",N($AA5431),IF(MATCH($V5432,$V$6:$V$10005,0)=ROW()-5,N($AA5431)+1,N($AA5431)))</f>
        <v>0</v>
      </c>
    </row>
    <row r="5433" spans="1:27" ht="21" customHeight="1" x14ac:dyDescent="0.95">
      <c r="A5433" s="56"/>
      <c r="B5433" s="57"/>
      <c r="C5433" s="57"/>
      <c r="D5433" s="57"/>
      <c r="E5433" s="56"/>
      <c r="F5433" s="57"/>
      <c r="G5433" s="57"/>
      <c r="H5433" s="56"/>
      <c r="I5433" s="56"/>
      <c r="J5433" s="58"/>
      <c r="K5433" s="58"/>
      <c r="L5433" s="13" t="str">
        <f t="shared" si="840"/>
        <v/>
      </c>
      <c r="M5433" s="13" t="str">
        <f t="shared" si="841"/>
        <v/>
      </c>
      <c r="Q5433" t="str">
        <f t="shared" si="842"/>
        <v/>
      </c>
      <c r="R5433" t="str">
        <f t="shared" si="843"/>
        <v/>
      </c>
      <c r="S5433" t="str">
        <f t="shared" si="844"/>
        <v/>
      </c>
      <c r="T5433" t="str">
        <f t="shared" si="845"/>
        <v/>
      </c>
      <c r="U5433" t="str">
        <f t="shared" si="846"/>
        <v/>
      </c>
      <c r="V5433" t="str">
        <f t="shared" si="847"/>
        <v/>
      </c>
      <c r="W5433" t="str">
        <f t="shared" si="848"/>
        <v/>
      </c>
      <c r="X5433">
        <f>IF($T5433="",N($X5432),IF(MATCH($T5433,$T$6:$T$10005,0)=ROW()-5,N($X5432)+1,N($X5432)))</f>
        <v>0</v>
      </c>
      <c r="Z5433" t="str">
        <f t="shared" si="849"/>
        <v/>
      </c>
      <c r="AA5433">
        <f>IF($V5433="",N($AA5432),IF(MATCH($V5433,$V$6:$V$10005,0)=ROW()-5,N($AA5432)+1,N($AA5432)))</f>
        <v>0</v>
      </c>
    </row>
    <row r="5434" spans="1:27" ht="21" customHeight="1" x14ac:dyDescent="0.95">
      <c r="A5434" s="56"/>
      <c r="B5434" s="57"/>
      <c r="C5434" s="57"/>
      <c r="D5434" s="57"/>
      <c r="E5434" s="56"/>
      <c r="F5434" s="57"/>
      <c r="G5434" s="57"/>
      <c r="H5434" s="56"/>
      <c r="I5434" s="56"/>
      <c r="J5434" s="58"/>
      <c r="K5434" s="58"/>
      <c r="L5434" s="13" t="str">
        <f t="shared" si="840"/>
        <v/>
      </c>
      <c r="M5434" s="13" t="str">
        <f t="shared" si="841"/>
        <v/>
      </c>
      <c r="Q5434" t="str">
        <f t="shared" si="842"/>
        <v/>
      </c>
      <c r="R5434" t="str">
        <f t="shared" si="843"/>
        <v/>
      </c>
      <c r="S5434" t="str">
        <f t="shared" si="844"/>
        <v/>
      </c>
      <c r="T5434" t="str">
        <f t="shared" si="845"/>
        <v/>
      </c>
      <c r="U5434" t="str">
        <f t="shared" si="846"/>
        <v/>
      </c>
      <c r="V5434" t="str">
        <f t="shared" si="847"/>
        <v/>
      </c>
      <c r="W5434" t="str">
        <f t="shared" si="848"/>
        <v/>
      </c>
      <c r="X5434">
        <f>IF($T5434="",N($X5433),IF(MATCH($T5434,$T$6:$T$10005,0)=ROW()-5,N($X5433)+1,N($X5433)))</f>
        <v>0</v>
      </c>
      <c r="Z5434" t="str">
        <f t="shared" si="849"/>
        <v/>
      </c>
      <c r="AA5434">
        <f>IF($V5434="",N($AA5433),IF(MATCH($V5434,$V$6:$V$10005,0)=ROW()-5,N($AA5433)+1,N($AA5433)))</f>
        <v>0</v>
      </c>
    </row>
    <row r="5435" spans="1:27" ht="21" customHeight="1" x14ac:dyDescent="0.95">
      <c r="A5435" s="56"/>
      <c r="B5435" s="57"/>
      <c r="C5435" s="57"/>
      <c r="D5435" s="57"/>
      <c r="E5435" s="56"/>
      <c r="F5435" s="57"/>
      <c r="G5435" s="57"/>
      <c r="H5435" s="56"/>
      <c r="I5435" s="56"/>
      <c r="J5435" s="58"/>
      <c r="K5435" s="58"/>
      <c r="L5435" s="13" t="str">
        <f t="shared" si="840"/>
        <v/>
      </c>
      <c r="M5435" s="13" t="str">
        <f t="shared" si="841"/>
        <v/>
      </c>
      <c r="Q5435" t="str">
        <f t="shared" si="842"/>
        <v/>
      </c>
      <c r="R5435" t="str">
        <f t="shared" si="843"/>
        <v/>
      </c>
      <c r="S5435" t="str">
        <f t="shared" si="844"/>
        <v/>
      </c>
      <c r="T5435" t="str">
        <f t="shared" si="845"/>
        <v/>
      </c>
      <c r="U5435" t="str">
        <f t="shared" si="846"/>
        <v/>
      </c>
      <c r="V5435" t="str">
        <f t="shared" si="847"/>
        <v/>
      </c>
      <c r="W5435" t="str">
        <f t="shared" si="848"/>
        <v/>
      </c>
      <c r="X5435">
        <f>IF($T5435="",N($X5434),IF(MATCH($T5435,$T$6:$T$10005,0)=ROW()-5,N($X5434)+1,N($X5434)))</f>
        <v>0</v>
      </c>
      <c r="Z5435" t="str">
        <f t="shared" si="849"/>
        <v/>
      </c>
      <c r="AA5435">
        <f>IF($V5435="",N($AA5434),IF(MATCH($V5435,$V$6:$V$10005,0)=ROW()-5,N($AA5434)+1,N($AA5434)))</f>
        <v>0</v>
      </c>
    </row>
    <row r="5436" spans="1:27" ht="21" customHeight="1" x14ac:dyDescent="0.95">
      <c r="A5436" s="56"/>
      <c r="B5436" s="57"/>
      <c r="C5436" s="57"/>
      <c r="D5436" s="57"/>
      <c r="E5436" s="56"/>
      <c r="F5436" s="57"/>
      <c r="G5436" s="57"/>
      <c r="H5436" s="56"/>
      <c r="I5436" s="56"/>
      <c r="J5436" s="58"/>
      <c r="K5436" s="58"/>
      <c r="L5436" s="13" t="str">
        <f t="shared" si="840"/>
        <v/>
      </c>
      <c r="M5436" s="13" t="str">
        <f t="shared" si="841"/>
        <v/>
      </c>
      <c r="Q5436" t="str">
        <f t="shared" si="842"/>
        <v/>
      </c>
      <c r="R5436" t="str">
        <f t="shared" si="843"/>
        <v/>
      </c>
      <c r="S5436" t="str">
        <f t="shared" si="844"/>
        <v/>
      </c>
      <c r="T5436" t="str">
        <f t="shared" si="845"/>
        <v/>
      </c>
      <c r="U5436" t="str">
        <f t="shared" si="846"/>
        <v/>
      </c>
      <c r="V5436" t="str">
        <f t="shared" si="847"/>
        <v/>
      </c>
      <c r="W5436" t="str">
        <f t="shared" si="848"/>
        <v/>
      </c>
      <c r="X5436">
        <f>IF($T5436="",N($X5435),IF(MATCH($T5436,$T$6:$T$10005,0)=ROW()-5,N($X5435)+1,N($X5435)))</f>
        <v>0</v>
      </c>
      <c r="Z5436" t="str">
        <f t="shared" si="849"/>
        <v/>
      </c>
      <c r="AA5436">
        <f>IF($V5436="",N($AA5435),IF(MATCH($V5436,$V$6:$V$10005,0)=ROW()-5,N($AA5435)+1,N($AA5435)))</f>
        <v>0</v>
      </c>
    </row>
    <row r="5437" spans="1:27" ht="21" customHeight="1" x14ac:dyDescent="0.95">
      <c r="A5437" s="56"/>
      <c r="B5437" s="57"/>
      <c r="C5437" s="57"/>
      <c r="D5437" s="57"/>
      <c r="E5437" s="56"/>
      <c r="F5437" s="57"/>
      <c r="G5437" s="57"/>
      <c r="H5437" s="56"/>
      <c r="I5437" s="56"/>
      <c r="J5437" s="58"/>
      <c r="K5437" s="58"/>
      <c r="L5437" s="13" t="str">
        <f t="shared" si="840"/>
        <v/>
      </c>
      <c r="M5437" s="13" t="str">
        <f t="shared" si="841"/>
        <v/>
      </c>
      <c r="Q5437" t="str">
        <f t="shared" si="842"/>
        <v/>
      </c>
      <c r="R5437" t="str">
        <f t="shared" si="843"/>
        <v/>
      </c>
      <c r="S5437" t="str">
        <f t="shared" si="844"/>
        <v/>
      </c>
      <c r="T5437" t="str">
        <f t="shared" si="845"/>
        <v/>
      </c>
      <c r="U5437" t="str">
        <f t="shared" si="846"/>
        <v/>
      </c>
      <c r="V5437" t="str">
        <f t="shared" si="847"/>
        <v/>
      </c>
      <c r="W5437" t="str">
        <f t="shared" si="848"/>
        <v/>
      </c>
      <c r="X5437">
        <f>IF($T5437="",N($X5436),IF(MATCH($T5437,$T$6:$T$10005,0)=ROW()-5,N($X5436)+1,N($X5436)))</f>
        <v>0</v>
      </c>
      <c r="Z5437" t="str">
        <f t="shared" si="849"/>
        <v/>
      </c>
      <c r="AA5437">
        <f>IF($V5437="",N($AA5436),IF(MATCH($V5437,$V$6:$V$10005,0)=ROW()-5,N($AA5436)+1,N($AA5436)))</f>
        <v>0</v>
      </c>
    </row>
    <row r="5438" spans="1:27" ht="21" customHeight="1" x14ac:dyDescent="0.95">
      <c r="A5438" s="56"/>
      <c r="B5438" s="57"/>
      <c r="C5438" s="57"/>
      <c r="D5438" s="57"/>
      <c r="E5438" s="56"/>
      <c r="F5438" s="57"/>
      <c r="G5438" s="57"/>
      <c r="H5438" s="56"/>
      <c r="I5438" s="56"/>
      <c r="J5438" s="58"/>
      <c r="K5438" s="58"/>
      <c r="L5438" s="13" t="str">
        <f t="shared" si="840"/>
        <v/>
      </c>
      <c r="M5438" s="13" t="str">
        <f t="shared" si="841"/>
        <v/>
      </c>
      <c r="Q5438" t="str">
        <f t="shared" si="842"/>
        <v/>
      </c>
      <c r="R5438" t="str">
        <f t="shared" si="843"/>
        <v/>
      </c>
      <c r="S5438" t="str">
        <f t="shared" si="844"/>
        <v/>
      </c>
      <c r="T5438" t="str">
        <f t="shared" si="845"/>
        <v/>
      </c>
      <c r="U5438" t="str">
        <f t="shared" si="846"/>
        <v/>
      </c>
      <c r="V5438" t="str">
        <f t="shared" si="847"/>
        <v/>
      </c>
      <c r="W5438" t="str">
        <f t="shared" si="848"/>
        <v/>
      </c>
      <c r="X5438">
        <f>IF($T5438="",N($X5437),IF(MATCH($T5438,$T$6:$T$10005,0)=ROW()-5,N($X5437)+1,N($X5437)))</f>
        <v>0</v>
      </c>
      <c r="Z5438" t="str">
        <f t="shared" si="849"/>
        <v/>
      </c>
      <c r="AA5438">
        <f>IF($V5438="",N($AA5437),IF(MATCH($V5438,$V$6:$V$10005,0)=ROW()-5,N($AA5437)+1,N($AA5437)))</f>
        <v>0</v>
      </c>
    </row>
    <row r="5439" spans="1:27" ht="21" customHeight="1" x14ac:dyDescent="0.95">
      <c r="A5439" s="56"/>
      <c r="B5439" s="57"/>
      <c r="C5439" s="57"/>
      <c r="D5439" s="57"/>
      <c r="E5439" s="56"/>
      <c r="F5439" s="57"/>
      <c r="G5439" s="57"/>
      <c r="H5439" s="56"/>
      <c r="I5439" s="56"/>
      <c r="J5439" s="58"/>
      <c r="K5439" s="58"/>
      <c r="L5439" s="13" t="str">
        <f t="shared" si="840"/>
        <v/>
      </c>
      <c r="M5439" s="13" t="str">
        <f t="shared" si="841"/>
        <v/>
      </c>
      <c r="Q5439" t="str">
        <f t="shared" si="842"/>
        <v/>
      </c>
      <c r="R5439" t="str">
        <f t="shared" si="843"/>
        <v/>
      </c>
      <c r="S5439" t="str">
        <f t="shared" si="844"/>
        <v/>
      </c>
      <c r="T5439" t="str">
        <f t="shared" si="845"/>
        <v/>
      </c>
      <c r="U5439" t="str">
        <f t="shared" si="846"/>
        <v/>
      </c>
      <c r="V5439" t="str">
        <f t="shared" si="847"/>
        <v/>
      </c>
      <c r="W5439" t="str">
        <f t="shared" si="848"/>
        <v/>
      </c>
      <c r="X5439">
        <f>IF($T5439="",N($X5438),IF(MATCH($T5439,$T$6:$T$10005,0)=ROW()-5,N($X5438)+1,N($X5438)))</f>
        <v>0</v>
      </c>
      <c r="Z5439" t="str">
        <f t="shared" si="849"/>
        <v/>
      </c>
      <c r="AA5439">
        <f>IF($V5439="",N($AA5438),IF(MATCH($V5439,$V$6:$V$10005,0)=ROW()-5,N($AA5438)+1,N($AA5438)))</f>
        <v>0</v>
      </c>
    </row>
    <row r="5440" spans="1:27" ht="21" customHeight="1" x14ac:dyDescent="0.95">
      <c r="A5440" s="56"/>
      <c r="B5440" s="57"/>
      <c r="C5440" s="57"/>
      <c r="D5440" s="57"/>
      <c r="E5440" s="56"/>
      <c r="F5440" s="57"/>
      <c r="G5440" s="57"/>
      <c r="H5440" s="56"/>
      <c r="I5440" s="56"/>
      <c r="J5440" s="58"/>
      <c r="K5440" s="58"/>
      <c r="L5440" s="13" t="str">
        <f t="shared" si="840"/>
        <v/>
      </c>
      <c r="M5440" s="13" t="str">
        <f t="shared" si="841"/>
        <v/>
      </c>
      <c r="Q5440" t="str">
        <f t="shared" si="842"/>
        <v/>
      </c>
      <c r="R5440" t="str">
        <f t="shared" si="843"/>
        <v/>
      </c>
      <c r="S5440" t="str">
        <f t="shared" si="844"/>
        <v/>
      </c>
      <c r="T5440" t="str">
        <f t="shared" si="845"/>
        <v/>
      </c>
      <c r="U5440" t="str">
        <f t="shared" si="846"/>
        <v/>
      </c>
      <c r="V5440" t="str">
        <f t="shared" si="847"/>
        <v/>
      </c>
      <c r="W5440" t="str">
        <f t="shared" si="848"/>
        <v/>
      </c>
      <c r="X5440">
        <f>IF($T5440="",N($X5439),IF(MATCH($T5440,$T$6:$T$10005,0)=ROW()-5,N($X5439)+1,N($X5439)))</f>
        <v>0</v>
      </c>
      <c r="Z5440" t="str">
        <f t="shared" si="849"/>
        <v/>
      </c>
      <c r="AA5440">
        <f>IF($V5440="",N($AA5439),IF(MATCH($V5440,$V$6:$V$10005,0)=ROW()-5,N($AA5439)+1,N($AA5439)))</f>
        <v>0</v>
      </c>
    </row>
    <row r="5441" spans="1:27" ht="21" customHeight="1" x14ac:dyDescent="0.95">
      <c r="A5441" s="56"/>
      <c r="B5441" s="57"/>
      <c r="C5441" s="57"/>
      <c r="D5441" s="57"/>
      <c r="E5441" s="56"/>
      <c r="F5441" s="57"/>
      <c r="G5441" s="57"/>
      <c r="H5441" s="56"/>
      <c r="I5441" s="56"/>
      <c r="J5441" s="58"/>
      <c r="K5441" s="58"/>
      <c r="L5441" s="13" t="str">
        <f t="shared" si="840"/>
        <v/>
      </c>
      <c r="M5441" s="13" t="str">
        <f t="shared" si="841"/>
        <v/>
      </c>
      <c r="Q5441" t="str">
        <f t="shared" si="842"/>
        <v/>
      </c>
      <c r="R5441" t="str">
        <f t="shared" si="843"/>
        <v/>
      </c>
      <c r="S5441" t="str">
        <f t="shared" si="844"/>
        <v/>
      </c>
      <c r="T5441" t="str">
        <f t="shared" si="845"/>
        <v/>
      </c>
      <c r="U5441" t="str">
        <f t="shared" si="846"/>
        <v/>
      </c>
      <c r="V5441" t="str">
        <f t="shared" si="847"/>
        <v/>
      </c>
      <c r="W5441" t="str">
        <f t="shared" si="848"/>
        <v/>
      </c>
      <c r="X5441">
        <f>IF($T5441="",N($X5440),IF(MATCH($T5441,$T$6:$T$10005,0)=ROW()-5,N($X5440)+1,N($X5440)))</f>
        <v>0</v>
      </c>
      <c r="Z5441" t="str">
        <f t="shared" si="849"/>
        <v/>
      </c>
      <c r="AA5441">
        <f>IF($V5441="",N($AA5440),IF(MATCH($V5441,$V$6:$V$10005,0)=ROW()-5,N($AA5440)+1,N($AA5440)))</f>
        <v>0</v>
      </c>
    </row>
    <row r="5442" spans="1:27" ht="21" customHeight="1" x14ac:dyDescent="0.95">
      <c r="A5442" s="56"/>
      <c r="B5442" s="57"/>
      <c r="C5442" s="57"/>
      <c r="D5442" s="57"/>
      <c r="E5442" s="56"/>
      <c r="F5442" s="57"/>
      <c r="G5442" s="57"/>
      <c r="H5442" s="56"/>
      <c r="I5442" s="56"/>
      <c r="J5442" s="58"/>
      <c r="K5442" s="58"/>
      <c r="L5442" s="13" t="str">
        <f t="shared" si="840"/>
        <v/>
      </c>
      <c r="M5442" s="13" t="str">
        <f t="shared" si="841"/>
        <v/>
      </c>
      <c r="Q5442" t="str">
        <f t="shared" si="842"/>
        <v/>
      </c>
      <c r="R5442" t="str">
        <f t="shared" si="843"/>
        <v/>
      </c>
      <c r="S5442" t="str">
        <f t="shared" si="844"/>
        <v/>
      </c>
      <c r="T5442" t="str">
        <f t="shared" si="845"/>
        <v/>
      </c>
      <c r="U5442" t="str">
        <f t="shared" si="846"/>
        <v/>
      </c>
      <c r="V5442" t="str">
        <f t="shared" si="847"/>
        <v/>
      </c>
      <c r="W5442" t="str">
        <f t="shared" si="848"/>
        <v/>
      </c>
      <c r="X5442">
        <f>IF($T5442="",N($X5441),IF(MATCH($T5442,$T$6:$T$10005,0)=ROW()-5,N($X5441)+1,N($X5441)))</f>
        <v>0</v>
      </c>
      <c r="Z5442" t="str">
        <f t="shared" si="849"/>
        <v/>
      </c>
      <c r="AA5442">
        <f>IF($V5442="",N($AA5441),IF(MATCH($V5442,$V$6:$V$10005,0)=ROW()-5,N($AA5441)+1,N($AA5441)))</f>
        <v>0</v>
      </c>
    </row>
    <row r="5443" spans="1:27" ht="21" customHeight="1" x14ac:dyDescent="0.95">
      <c r="A5443" s="56"/>
      <c r="B5443" s="57"/>
      <c r="C5443" s="57"/>
      <c r="D5443" s="57"/>
      <c r="E5443" s="56"/>
      <c r="F5443" s="57"/>
      <c r="G5443" s="57"/>
      <c r="H5443" s="56"/>
      <c r="I5443" s="56"/>
      <c r="J5443" s="58"/>
      <c r="K5443" s="58"/>
      <c r="L5443" s="13" t="str">
        <f t="shared" si="840"/>
        <v/>
      </c>
      <c r="M5443" s="13" t="str">
        <f t="shared" si="841"/>
        <v/>
      </c>
      <c r="Q5443" t="str">
        <f t="shared" si="842"/>
        <v/>
      </c>
      <c r="R5443" t="str">
        <f t="shared" si="843"/>
        <v/>
      </c>
      <c r="S5443" t="str">
        <f t="shared" si="844"/>
        <v/>
      </c>
      <c r="T5443" t="str">
        <f t="shared" si="845"/>
        <v/>
      </c>
      <c r="U5443" t="str">
        <f t="shared" si="846"/>
        <v/>
      </c>
      <c r="V5443" t="str">
        <f t="shared" si="847"/>
        <v/>
      </c>
      <c r="W5443" t="str">
        <f t="shared" si="848"/>
        <v/>
      </c>
      <c r="X5443">
        <f>IF($T5443="",N($X5442),IF(MATCH($T5443,$T$6:$T$10005,0)=ROW()-5,N($X5442)+1,N($X5442)))</f>
        <v>0</v>
      </c>
      <c r="Z5443" t="str">
        <f t="shared" si="849"/>
        <v/>
      </c>
      <c r="AA5443">
        <f>IF($V5443="",N($AA5442),IF(MATCH($V5443,$V$6:$V$10005,0)=ROW()-5,N($AA5442)+1,N($AA5442)))</f>
        <v>0</v>
      </c>
    </row>
    <row r="5444" spans="1:27" ht="21" customHeight="1" x14ac:dyDescent="0.95">
      <c r="A5444" s="56"/>
      <c r="B5444" s="57"/>
      <c r="C5444" s="57"/>
      <c r="D5444" s="57"/>
      <c r="E5444" s="56"/>
      <c r="F5444" s="57"/>
      <c r="G5444" s="57"/>
      <c r="H5444" s="56"/>
      <c r="I5444" s="56"/>
      <c r="J5444" s="58"/>
      <c r="K5444" s="58"/>
      <c r="L5444" s="13" t="str">
        <f t="shared" si="840"/>
        <v/>
      </c>
      <c r="M5444" s="13" t="str">
        <f t="shared" si="841"/>
        <v/>
      </c>
      <c r="Q5444" t="str">
        <f t="shared" si="842"/>
        <v/>
      </c>
      <c r="R5444" t="str">
        <f t="shared" si="843"/>
        <v/>
      </c>
      <c r="S5444" t="str">
        <f t="shared" si="844"/>
        <v/>
      </c>
      <c r="T5444" t="str">
        <f t="shared" si="845"/>
        <v/>
      </c>
      <c r="U5444" t="str">
        <f t="shared" si="846"/>
        <v/>
      </c>
      <c r="V5444" t="str">
        <f t="shared" si="847"/>
        <v/>
      </c>
      <c r="W5444" t="str">
        <f t="shared" si="848"/>
        <v/>
      </c>
      <c r="X5444">
        <f>IF($T5444="",N($X5443),IF(MATCH($T5444,$T$6:$T$10005,0)=ROW()-5,N($X5443)+1,N($X5443)))</f>
        <v>0</v>
      </c>
      <c r="Z5444" t="str">
        <f t="shared" si="849"/>
        <v/>
      </c>
      <c r="AA5444">
        <f>IF($V5444="",N($AA5443),IF(MATCH($V5444,$V$6:$V$10005,0)=ROW()-5,N($AA5443)+1,N($AA5443)))</f>
        <v>0</v>
      </c>
    </row>
    <row r="5445" spans="1:27" ht="21" customHeight="1" x14ac:dyDescent="0.95">
      <c r="A5445" s="56"/>
      <c r="B5445" s="57"/>
      <c r="C5445" s="57"/>
      <c r="D5445" s="57"/>
      <c r="E5445" s="56"/>
      <c r="F5445" s="57"/>
      <c r="G5445" s="57"/>
      <c r="H5445" s="56"/>
      <c r="I5445" s="56"/>
      <c r="J5445" s="58"/>
      <c r="K5445" s="58"/>
      <c r="L5445" s="13" t="str">
        <f t="shared" si="840"/>
        <v/>
      </c>
      <c r="M5445" s="13" t="str">
        <f t="shared" si="841"/>
        <v/>
      </c>
      <c r="Q5445" t="str">
        <f t="shared" si="842"/>
        <v/>
      </c>
      <c r="R5445" t="str">
        <f t="shared" si="843"/>
        <v/>
      </c>
      <c r="S5445" t="str">
        <f t="shared" si="844"/>
        <v/>
      </c>
      <c r="T5445" t="str">
        <f t="shared" si="845"/>
        <v/>
      </c>
      <c r="U5445" t="str">
        <f t="shared" si="846"/>
        <v/>
      </c>
      <c r="V5445" t="str">
        <f t="shared" si="847"/>
        <v/>
      </c>
      <c r="W5445" t="str">
        <f t="shared" si="848"/>
        <v/>
      </c>
      <c r="X5445">
        <f>IF($T5445="",N($X5444),IF(MATCH($T5445,$T$6:$T$10005,0)=ROW()-5,N($X5444)+1,N($X5444)))</f>
        <v>0</v>
      </c>
      <c r="Z5445" t="str">
        <f t="shared" si="849"/>
        <v/>
      </c>
      <c r="AA5445">
        <f>IF($V5445="",N($AA5444),IF(MATCH($V5445,$V$6:$V$10005,0)=ROW()-5,N($AA5444)+1,N($AA5444)))</f>
        <v>0</v>
      </c>
    </row>
    <row r="5446" spans="1:27" ht="21" customHeight="1" x14ac:dyDescent="0.95">
      <c r="A5446" s="56"/>
      <c r="B5446" s="57"/>
      <c r="C5446" s="57"/>
      <c r="D5446" s="57"/>
      <c r="E5446" s="56"/>
      <c r="F5446" s="57"/>
      <c r="G5446" s="57"/>
      <c r="H5446" s="56"/>
      <c r="I5446" s="56"/>
      <c r="J5446" s="58"/>
      <c r="K5446" s="58"/>
      <c r="L5446" s="13" t="str">
        <f t="shared" ref="L5446:L5509" si="850">IF(OR($A5446="",AND($J5446="",$K5446="")),"",ROUND(N($J5446)-N($K5446),2))</f>
        <v/>
      </c>
      <c r="M5446" s="13" t="str">
        <f t="shared" ref="M5446:M5509" si="851">IF(OR($A5446="",AND($J5446="",$K5446="")),"",MIN($J5446,$K5446))</f>
        <v/>
      </c>
      <c r="Q5446" t="str">
        <f t="shared" ref="Q5446:Q5509" si="852">IF($A5446="","",$D5446&amp;"("&amp;SUBSTITUTE($E5446," ","")&amp;")")</f>
        <v/>
      </c>
      <c r="R5446" t="str">
        <f t="shared" ref="R5446:R5509" si="853">IF($A5446="","",$B5446&amp;" - "&amp;$C5446)</f>
        <v/>
      </c>
      <c r="S5446" t="str">
        <f t="shared" ref="S5446:S5509" si="854">IF($A5446="","",$R5446&amp;"|"&amp;$Q5446)</f>
        <v/>
      </c>
      <c r="T5446" t="str">
        <f t="shared" ref="T5446:T5509" si="855">IF($A5446="","",$S5446&amp;"|"&amp;$F5446)</f>
        <v/>
      </c>
      <c r="U5446" t="str">
        <f t="shared" ref="U5446:U5509" si="856">IF($A5446="","",$R5446&amp;"("&amp;$E5446&amp;")")</f>
        <v/>
      </c>
      <c r="V5446" t="str">
        <f t="shared" ref="V5446:V5509" si="857">IF($A5446="","",$F5446&amp;"|"&amp;$U5446&amp;"|"&amp;$D5446)</f>
        <v/>
      </c>
      <c r="W5446" t="str">
        <f t="shared" ref="W5446:W5509" si="858">IF($T5446="","",IF($X5446&gt;N($X5445),$X5446,""))</f>
        <v/>
      </c>
      <c r="X5446">
        <f>IF($T5446="",N($X5445),IF(MATCH($T5446,$T$6:$T$10005,0)=ROW()-5,N($X5445)+1,N($X5445)))</f>
        <v>0</v>
      </c>
      <c r="Z5446" t="str">
        <f t="shared" ref="Z5446:Z5509" si="859">IF($V5446="","",IF($AA5446&gt;N($AA5445),$AA5446,""))</f>
        <v/>
      </c>
      <c r="AA5446">
        <f>IF($V5446="",N($AA5445),IF(MATCH($V5446,$V$6:$V$10005,0)=ROW()-5,N($AA5445)+1,N($AA5445)))</f>
        <v>0</v>
      </c>
    </row>
    <row r="5447" spans="1:27" ht="21" customHeight="1" x14ac:dyDescent="0.95">
      <c r="A5447" s="56"/>
      <c r="B5447" s="57"/>
      <c r="C5447" s="57"/>
      <c r="D5447" s="57"/>
      <c r="E5447" s="56"/>
      <c r="F5447" s="57"/>
      <c r="G5447" s="57"/>
      <c r="H5447" s="56"/>
      <c r="I5447" s="56"/>
      <c r="J5447" s="58"/>
      <c r="K5447" s="58"/>
      <c r="L5447" s="13" t="str">
        <f t="shared" si="850"/>
        <v/>
      </c>
      <c r="M5447" s="13" t="str">
        <f t="shared" si="851"/>
        <v/>
      </c>
      <c r="Q5447" t="str">
        <f t="shared" si="852"/>
        <v/>
      </c>
      <c r="R5447" t="str">
        <f t="shared" si="853"/>
        <v/>
      </c>
      <c r="S5447" t="str">
        <f t="shared" si="854"/>
        <v/>
      </c>
      <c r="T5447" t="str">
        <f t="shared" si="855"/>
        <v/>
      </c>
      <c r="U5447" t="str">
        <f t="shared" si="856"/>
        <v/>
      </c>
      <c r="V5447" t="str">
        <f t="shared" si="857"/>
        <v/>
      </c>
      <c r="W5447" t="str">
        <f t="shared" si="858"/>
        <v/>
      </c>
      <c r="X5447">
        <f>IF($T5447="",N($X5446),IF(MATCH($T5447,$T$6:$T$10005,0)=ROW()-5,N($X5446)+1,N($X5446)))</f>
        <v>0</v>
      </c>
      <c r="Z5447" t="str">
        <f t="shared" si="859"/>
        <v/>
      </c>
      <c r="AA5447">
        <f>IF($V5447="",N($AA5446),IF(MATCH($V5447,$V$6:$V$10005,0)=ROW()-5,N($AA5446)+1,N($AA5446)))</f>
        <v>0</v>
      </c>
    </row>
    <row r="5448" spans="1:27" ht="21" customHeight="1" x14ac:dyDescent="0.95">
      <c r="A5448" s="56"/>
      <c r="B5448" s="57"/>
      <c r="C5448" s="57"/>
      <c r="D5448" s="57"/>
      <c r="E5448" s="56"/>
      <c r="F5448" s="57"/>
      <c r="G5448" s="57"/>
      <c r="H5448" s="56"/>
      <c r="I5448" s="56"/>
      <c r="J5448" s="58"/>
      <c r="K5448" s="58"/>
      <c r="L5448" s="13" t="str">
        <f t="shared" si="850"/>
        <v/>
      </c>
      <c r="M5448" s="13" t="str">
        <f t="shared" si="851"/>
        <v/>
      </c>
      <c r="Q5448" t="str">
        <f t="shared" si="852"/>
        <v/>
      </c>
      <c r="R5448" t="str">
        <f t="shared" si="853"/>
        <v/>
      </c>
      <c r="S5448" t="str">
        <f t="shared" si="854"/>
        <v/>
      </c>
      <c r="T5448" t="str">
        <f t="shared" si="855"/>
        <v/>
      </c>
      <c r="U5448" t="str">
        <f t="shared" si="856"/>
        <v/>
      </c>
      <c r="V5448" t="str">
        <f t="shared" si="857"/>
        <v/>
      </c>
      <c r="W5448" t="str">
        <f t="shared" si="858"/>
        <v/>
      </c>
      <c r="X5448">
        <f>IF($T5448="",N($X5447),IF(MATCH($T5448,$T$6:$T$10005,0)=ROW()-5,N($X5447)+1,N($X5447)))</f>
        <v>0</v>
      </c>
      <c r="Z5448" t="str">
        <f t="shared" si="859"/>
        <v/>
      </c>
      <c r="AA5448">
        <f>IF($V5448="",N($AA5447),IF(MATCH($V5448,$V$6:$V$10005,0)=ROW()-5,N($AA5447)+1,N($AA5447)))</f>
        <v>0</v>
      </c>
    </row>
    <row r="5449" spans="1:27" ht="21" customHeight="1" x14ac:dyDescent="0.95">
      <c r="A5449" s="56"/>
      <c r="B5449" s="57"/>
      <c r="C5449" s="57"/>
      <c r="D5449" s="57"/>
      <c r="E5449" s="56"/>
      <c r="F5449" s="57"/>
      <c r="G5449" s="57"/>
      <c r="H5449" s="56"/>
      <c r="I5449" s="56"/>
      <c r="J5449" s="58"/>
      <c r="K5449" s="58"/>
      <c r="L5449" s="13" t="str">
        <f t="shared" si="850"/>
        <v/>
      </c>
      <c r="M5449" s="13" t="str">
        <f t="shared" si="851"/>
        <v/>
      </c>
      <c r="Q5449" t="str">
        <f t="shared" si="852"/>
        <v/>
      </c>
      <c r="R5449" t="str">
        <f t="shared" si="853"/>
        <v/>
      </c>
      <c r="S5449" t="str">
        <f t="shared" si="854"/>
        <v/>
      </c>
      <c r="T5449" t="str">
        <f t="shared" si="855"/>
        <v/>
      </c>
      <c r="U5449" t="str">
        <f t="shared" si="856"/>
        <v/>
      </c>
      <c r="V5449" t="str">
        <f t="shared" si="857"/>
        <v/>
      </c>
      <c r="W5449" t="str">
        <f t="shared" si="858"/>
        <v/>
      </c>
      <c r="X5449">
        <f>IF($T5449="",N($X5448),IF(MATCH($T5449,$T$6:$T$10005,0)=ROW()-5,N($X5448)+1,N($X5448)))</f>
        <v>0</v>
      </c>
      <c r="Z5449" t="str">
        <f t="shared" si="859"/>
        <v/>
      </c>
      <c r="AA5449">
        <f>IF($V5449="",N($AA5448),IF(MATCH($V5449,$V$6:$V$10005,0)=ROW()-5,N($AA5448)+1,N($AA5448)))</f>
        <v>0</v>
      </c>
    </row>
    <row r="5450" spans="1:27" ht="21" customHeight="1" x14ac:dyDescent="0.95">
      <c r="A5450" s="56"/>
      <c r="B5450" s="57"/>
      <c r="C5450" s="57"/>
      <c r="D5450" s="57"/>
      <c r="E5450" s="56"/>
      <c r="F5450" s="57"/>
      <c r="G5450" s="57"/>
      <c r="H5450" s="56"/>
      <c r="I5450" s="56"/>
      <c r="J5450" s="58"/>
      <c r="K5450" s="58"/>
      <c r="L5450" s="13" t="str">
        <f t="shared" si="850"/>
        <v/>
      </c>
      <c r="M5450" s="13" t="str">
        <f t="shared" si="851"/>
        <v/>
      </c>
      <c r="Q5450" t="str">
        <f t="shared" si="852"/>
        <v/>
      </c>
      <c r="R5450" t="str">
        <f t="shared" si="853"/>
        <v/>
      </c>
      <c r="S5450" t="str">
        <f t="shared" si="854"/>
        <v/>
      </c>
      <c r="T5450" t="str">
        <f t="shared" si="855"/>
        <v/>
      </c>
      <c r="U5450" t="str">
        <f t="shared" si="856"/>
        <v/>
      </c>
      <c r="V5450" t="str">
        <f t="shared" si="857"/>
        <v/>
      </c>
      <c r="W5450" t="str">
        <f t="shared" si="858"/>
        <v/>
      </c>
      <c r="X5450">
        <f>IF($T5450="",N($X5449),IF(MATCH($T5450,$T$6:$T$10005,0)=ROW()-5,N($X5449)+1,N($X5449)))</f>
        <v>0</v>
      </c>
      <c r="Z5450" t="str">
        <f t="shared" si="859"/>
        <v/>
      </c>
      <c r="AA5450">
        <f>IF($V5450="",N($AA5449),IF(MATCH($V5450,$V$6:$V$10005,0)=ROW()-5,N($AA5449)+1,N($AA5449)))</f>
        <v>0</v>
      </c>
    </row>
    <row r="5451" spans="1:27" ht="21" customHeight="1" x14ac:dyDescent="0.95">
      <c r="A5451" s="56"/>
      <c r="B5451" s="57"/>
      <c r="C5451" s="57"/>
      <c r="D5451" s="57"/>
      <c r="E5451" s="56"/>
      <c r="F5451" s="57"/>
      <c r="G5451" s="57"/>
      <c r="H5451" s="56"/>
      <c r="I5451" s="56"/>
      <c r="J5451" s="58"/>
      <c r="K5451" s="58"/>
      <c r="L5451" s="13" t="str">
        <f t="shared" si="850"/>
        <v/>
      </c>
      <c r="M5451" s="13" t="str">
        <f t="shared" si="851"/>
        <v/>
      </c>
      <c r="Q5451" t="str">
        <f t="shared" si="852"/>
        <v/>
      </c>
      <c r="R5451" t="str">
        <f t="shared" si="853"/>
        <v/>
      </c>
      <c r="S5451" t="str">
        <f t="shared" si="854"/>
        <v/>
      </c>
      <c r="T5451" t="str">
        <f t="shared" si="855"/>
        <v/>
      </c>
      <c r="U5451" t="str">
        <f t="shared" si="856"/>
        <v/>
      </c>
      <c r="V5451" t="str">
        <f t="shared" si="857"/>
        <v/>
      </c>
      <c r="W5451" t="str">
        <f t="shared" si="858"/>
        <v/>
      </c>
      <c r="X5451">
        <f>IF($T5451="",N($X5450),IF(MATCH($T5451,$T$6:$T$10005,0)=ROW()-5,N($X5450)+1,N($X5450)))</f>
        <v>0</v>
      </c>
      <c r="Z5451" t="str">
        <f t="shared" si="859"/>
        <v/>
      </c>
      <c r="AA5451">
        <f>IF($V5451="",N($AA5450),IF(MATCH($V5451,$V$6:$V$10005,0)=ROW()-5,N($AA5450)+1,N($AA5450)))</f>
        <v>0</v>
      </c>
    </row>
    <row r="5452" spans="1:27" ht="21" customHeight="1" x14ac:dyDescent="0.95">
      <c r="A5452" s="56"/>
      <c r="B5452" s="57"/>
      <c r="C5452" s="57"/>
      <c r="D5452" s="57"/>
      <c r="E5452" s="56"/>
      <c r="F5452" s="57"/>
      <c r="G5452" s="57"/>
      <c r="H5452" s="56"/>
      <c r="I5452" s="56"/>
      <c r="J5452" s="58"/>
      <c r="K5452" s="58"/>
      <c r="L5452" s="13" t="str">
        <f t="shared" si="850"/>
        <v/>
      </c>
      <c r="M5452" s="13" t="str">
        <f t="shared" si="851"/>
        <v/>
      </c>
      <c r="Q5452" t="str">
        <f t="shared" si="852"/>
        <v/>
      </c>
      <c r="R5452" t="str">
        <f t="shared" si="853"/>
        <v/>
      </c>
      <c r="S5452" t="str">
        <f t="shared" si="854"/>
        <v/>
      </c>
      <c r="T5452" t="str">
        <f t="shared" si="855"/>
        <v/>
      </c>
      <c r="U5452" t="str">
        <f t="shared" si="856"/>
        <v/>
      </c>
      <c r="V5452" t="str">
        <f t="shared" si="857"/>
        <v/>
      </c>
      <c r="W5452" t="str">
        <f t="shared" si="858"/>
        <v/>
      </c>
      <c r="X5452">
        <f>IF($T5452="",N($X5451),IF(MATCH($T5452,$T$6:$T$10005,0)=ROW()-5,N($X5451)+1,N($X5451)))</f>
        <v>0</v>
      </c>
      <c r="Z5452" t="str">
        <f t="shared" si="859"/>
        <v/>
      </c>
      <c r="AA5452">
        <f>IF($V5452="",N($AA5451),IF(MATCH($V5452,$V$6:$V$10005,0)=ROW()-5,N($AA5451)+1,N($AA5451)))</f>
        <v>0</v>
      </c>
    </row>
    <row r="5453" spans="1:27" ht="21" customHeight="1" x14ac:dyDescent="0.95">
      <c r="A5453" s="56"/>
      <c r="B5453" s="57"/>
      <c r="C5453" s="57"/>
      <c r="D5453" s="57"/>
      <c r="E5453" s="56"/>
      <c r="F5453" s="57"/>
      <c r="G5453" s="57"/>
      <c r="H5453" s="56"/>
      <c r="I5453" s="56"/>
      <c r="J5453" s="58"/>
      <c r="K5453" s="58"/>
      <c r="L5453" s="13" t="str">
        <f t="shared" si="850"/>
        <v/>
      </c>
      <c r="M5453" s="13" t="str">
        <f t="shared" si="851"/>
        <v/>
      </c>
      <c r="Q5453" t="str">
        <f t="shared" si="852"/>
        <v/>
      </c>
      <c r="R5453" t="str">
        <f t="shared" si="853"/>
        <v/>
      </c>
      <c r="S5453" t="str">
        <f t="shared" si="854"/>
        <v/>
      </c>
      <c r="T5453" t="str">
        <f t="shared" si="855"/>
        <v/>
      </c>
      <c r="U5453" t="str">
        <f t="shared" si="856"/>
        <v/>
      </c>
      <c r="V5453" t="str">
        <f t="shared" si="857"/>
        <v/>
      </c>
      <c r="W5453" t="str">
        <f t="shared" si="858"/>
        <v/>
      </c>
      <c r="X5453">
        <f>IF($T5453="",N($X5452),IF(MATCH($T5453,$T$6:$T$10005,0)=ROW()-5,N($X5452)+1,N($X5452)))</f>
        <v>0</v>
      </c>
      <c r="Z5453" t="str">
        <f t="shared" si="859"/>
        <v/>
      </c>
      <c r="AA5453">
        <f>IF($V5453="",N($AA5452),IF(MATCH($V5453,$V$6:$V$10005,0)=ROW()-5,N($AA5452)+1,N($AA5452)))</f>
        <v>0</v>
      </c>
    </row>
    <row r="5454" spans="1:27" ht="21" customHeight="1" x14ac:dyDescent="0.95">
      <c r="A5454" s="56"/>
      <c r="B5454" s="57"/>
      <c r="C5454" s="57"/>
      <c r="D5454" s="57"/>
      <c r="E5454" s="56"/>
      <c r="F5454" s="57"/>
      <c r="G5454" s="57"/>
      <c r="H5454" s="56"/>
      <c r="I5454" s="56"/>
      <c r="J5454" s="58"/>
      <c r="K5454" s="58"/>
      <c r="L5454" s="13" t="str">
        <f t="shared" si="850"/>
        <v/>
      </c>
      <c r="M5454" s="13" t="str">
        <f t="shared" si="851"/>
        <v/>
      </c>
      <c r="Q5454" t="str">
        <f t="shared" si="852"/>
        <v/>
      </c>
      <c r="R5454" t="str">
        <f t="shared" si="853"/>
        <v/>
      </c>
      <c r="S5454" t="str">
        <f t="shared" si="854"/>
        <v/>
      </c>
      <c r="T5454" t="str">
        <f t="shared" si="855"/>
        <v/>
      </c>
      <c r="U5454" t="str">
        <f t="shared" si="856"/>
        <v/>
      </c>
      <c r="V5454" t="str">
        <f t="shared" si="857"/>
        <v/>
      </c>
      <c r="W5454" t="str">
        <f t="shared" si="858"/>
        <v/>
      </c>
      <c r="X5454">
        <f>IF($T5454="",N($X5453),IF(MATCH($T5454,$T$6:$T$10005,0)=ROW()-5,N($X5453)+1,N($X5453)))</f>
        <v>0</v>
      </c>
      <c r="Z5454" t="str">
        <f t="shared" si="859"/>
        <v/>
      </c>
      <c r="AA5454">
        <f>IF($V5454="",N($AA5453),IF(MATCH($V5454,$V$6:$V$10005,0)=ROW()-5,N($AA5453)+1,N($AA5453)))</f>
        <v>0</v>
      </c>
    </row>
    <row r="5455" spans="1:27" ht="21" customHeight="1" x14ac:dyDescent="0.95">
      <c r="A5455" s="56"/>
      <c r="B5455" s="57"/>
      <c r="C5455" s="57"/>
      <c r="D5455" s="57"/>
      <c r="E5455" s="56"/>
      <c r="F5455" s="57"/>
      <c r="G5455" s="57"/>
      <c r="H5455" s="56"/>
      <c r="I5455" s="56"/>
      <c r="J5455" s="58"/>
      <c r="K5455" s="58"/>
      <c r="L5455" s="13" t="str">
        <f t="shared" si="850"/>
        <v/>
      </c>
      <c r="M5455" s="13" t="str">
        <f t="shared" si="851"/>
        <v/>
      </c>
      <c r="Q5455" t="str">
        <f t="shared" si="852"/>
        <v/>
      </c>
      <c r="R5455" t="str">
        <f t="shared" si="853"/>
        <v/>
      </c>
      <c r="S5455" t="str">
        <f t="shared" si="854"/>
        <v/>
      </c>
      <c r="T5455" t="str">
        <f t="shared" si="855"/>
        <v/>
      </c>
      <c r="U5455" t="str">
        <f t="shared" si="856"/>
        <v/>
      </c>
      <c r="V5455" t="str">
        <f t="shared" si="857"/>
        <v/>
      </c>
      <c r="W5455" t="str">
        <f t="shared" si="858"/>
        <v/>
      </c>
      <c r="X5455">
        <f>IF($T5455="",N($X5454),IF(MATCH($T5455,$T$6:$T$10005,0)=ROW()-5,N($X5454)+1,N($X5454)))</f>
        <v>0</v>
      </c>
      <c r="Z5455" t="str">
        <f t="shared" si="859"/>
        <v/>
      </c>
      <c r="AA5455">
        <f>IF($V5455="",N($AA5454),IF(MATCH($V5455,$V$6:$V$10005,0)=ROW()-5,N($AA5454)+1,N($AA5454)))</f>
        <v>0</v>
      </c>
    </row>
    <row r="5456" spans="1:27" ht="21" customHeight="1" x14ac:dyDescent="0.95">
      <c r="A5456" s="56"/>
      <c r="B5456" s="57"/>
      <c r="C5456" s="57"/>
      <c r="D5456" s="57"/>
      <c r="E5456" s="56"/>
      <c r="F5456" s="57"/>
      <c r="G5456" s="57"/>
      <c r="H5456" s="56"/>
      <c r="I5456" s="56"/>
      <c r="J5456" s="58"/>
      <c r="K5456" s="58"/>
      <c r="L5456" s="13" t="str">
        <f t="shared" si="850"/>
        <v/>
      </c>
      <c r="M5456" s="13" t="str">
        <f t="shared" si="851"/>
        <v/>
      </c>
      <c r="Q5456" t="str">
        <f t="shared" si="852"/>
        <v/>
      </c>
      <c r="R5456" t="str">
        <f t="shared" si="853"/>
        <v/>
      </c>
      <c r="S5456" t="str">
        <f t="shared" si="854"/>
        <v/>
      </c>
      <c r="T5456" t="str">
        <f t="shared" si="855"/>
        <v/>
      </c>
      <c r="U5456" t="str">
        <f t="shared" si="856"/>
        <v/>
      </c>
      <c r="V5456" t="str">
        <f t="shared" si="857"/>
        <v/>
      </c>
      <c r="W5456" t="str">
        <f t="shared" si="858"/>
        <v/>
      </c>
      <c r="X5456">
        <f>IF($T5456="",N($X5455),IF(MATCH($T5456,$T$6:$T$10005,0)=ROW()-5,N($X5455)+1,N($X5455)))</f>
        <v>0</v>
      </c>
      <c r="Z5456" t="str">
        <f t="shared" si="859"/>
        <v/>
      </c>
      <c r="AA5456">
        <f>IF($V5456="",N($AA5455),IF(MATCH($V5456,$V$6:$V$10005,0)=ROW()-5,N($AA5455)+1,N($AA5455)))</f>
        <v>0</v>
      </c>
    </row>
    <row r="5457" spans="1:27" ht="21" customHeight="1" x14ac:dyDescent="0.95">
      <c r="A5457" s="56"/>
      <c r="B5457" s="57"/>
      <c r="C5457" s="57"/>
      <c r="D5457" s="57"/>
      <c r="E5457" s="56"/>
      <c r="F5457" s="57"/>
      <c r="G5457" s="57"/>
      <c r="H5457" s="56"/>
      <c r="I5457" s="56"/>
      <c r="J5457" s="58"/>
      <c r="K5457" s="58"/>
      <c r="L5457" s="13" t="str">
        <f t="shared" si="850"/>
        <v/>
      </c>
      <c r="M5457" s="13" t="str">
        <f t="shared" si="851"/>
        <v/>
      </c>
      <c r="Q5457" t="str">
        <f t="shared" si="852"/>
        <v/>
      </c>
      <c r="R5457" t="str">
        <f t="shared" si="853"/>
        <v/>
      </c>
      <c r="S5457" t="str">
        <f t="shared" si="854"/>
        <v/>
      </c>
      <c r="T5457" t="str">
        <f t="shared" si="855"/>
        <v/>
      </c>
      <c r="U5457" t="str">
        <f t="shared" si="856"/>
        <v/>
      </c>
      <c r="V5457" t="str">
        <f t="shared" si="857"/>
        <v/>
      </c>
      <c r="W5457" t="str">
        <f t="shared" si="858"/>
        <v/>
      </c>
      <c r="X5457">
        <f>IF($T5457="",N($X5456),IF(MATCH($T5457,$T$6:$T$10005,0)=ROW()-5,N($X5456)+1,N($X5456)))</f>
        <v>0</v>
      </c>
      <c r="Z5457" t="str">
        <f t="shared" si="859"/>
        <v/>
      </c>
      <c r="AA5457">
        <f>IF($V5457="",N($AA5456),IF(MATCH($V5457,$V$6:$V$10005,0)=ROW()-5,N($AA5456)+1,N($AA5456)))</f>
        <v>0</v>
      </c>
    </row>
    <row r="5458" spans="1:27" ht="21" customHeight="1" x14ac:dyDescent="0.95">
      <c r="A5458" s="56"/>
      <c r="B5458" s="57"/>
      <c r="C5458" s="57"/>
      <c r="D5458" s="57"/>
      <c r="E5458" s="56"/>
      <c r="F5458" s="57"/>
      <c r="G5458" s="57"/>
      <c r="H5458" s="56"/>
      <c r="I5458" s="56"/>
      <c r="J5458" s="58"/>
      <c r="K5458" s="58"/>
      <c r="L5458" s="13" t="str">
        <f t="shared" si="850"/>
        <v/>
      </c>
      <c r="M5458" s="13" t="str">
        <f t="shared" si="851"/>
        <v/>
      </c>
      <c r="Q5458" t="str">
        <f t="shared" si="852"/>
        <v/>
      </c>
      <c r="R5458" t="str">
        <f t="shared" si="853"/>
        <v/>
      </c>
      <c r="S5458" t="str">
        <f t="shared" si="854"/>
        <v/>
      </c>
      <c r="T5458" t="str">
        <f t="shared" si="855"/>
        <v/>
      </c>
      <c r="U5458" t="str">
        <f t="shared" si="856"/>
        <v/>
      </c>
      <c r="V5458" t="str">
        <f t="shared" si="857"/>
        <v/>
      </c>
      <c r="W5458" t="str">
        <f t="shared" si="858"/>
        <v/>
      </c>
      <c r="X5458">
        <f>IF($T5458="",N($X5457),IF(MATCH($T5458,$T$6:$T$10005,0)=ROW()-5,N($X5457)+1,N($X5457)))</f>
        <v>0</v>
      </c>
      <c r="Z5458" t="str">
        <f t="shared" si="859"/>
        <v/>
      </c>
      <c r="AA5458">
        <f>IF($V5458="",N($AA5457),IF(MATCH($V5458,$V$6:$V$10005,0)=ROW()-5,N($AA5457)+1,N($AA5457)))</f>
        <v>0</v>
      </c>
    </row>
    <row r="5459" spans="1:27" ht="21" customHeight="1" x14ac:dyDescent="0.95">
      <c r="A5459" s="56"/>
      <c r="B5459" s="57"/>
      <c r="C5459" s="57"/>
      <c r="D5459" s="57"/>
      <c r="E5459" s="56"/>
      <c r="F5459" s="57"/>
      <c r="G5459" s="57"/>
      <c r="H5459" s="56"/>
      <c r="I5459" s="56"/>
      <c r="J5459" s="58"/>
      <c r="K5459" s="58"/>
      <c r="L5459" s="13" t="str">
        <f t="shared" si="850"/>
        <v/>
      </c>
      <c r="M5459" s="13" t="str">
        <f t="shared" si="851"/>
        <v/>
      </c>
      <c r="Q5459" t="str">
        <f t="shared" si="852"/>
        <v/>
      </c>
      <c r="R5459" t="str">
        <f t="shared" si="853"/>
        <v/>
      </c>
      <c r="S5459" t="str">
        <f t="shared" si="854"/>
        <v/>
      </c>
      <c r="T5459" t="str">
        <f t="shared" si="855"/>
        <v/>
      </c>
      <c r="U5459" t="str">
        <f t="shared" si="856"/>
        <v/>
      </c>
      <c r="V5459" t="str">
        <f t="shared" si="857"/>
        <v/>
      </c>
      <c r="W5459" t="str">
        <f t="shared" si="858"/>
        <v/>
      </c>
      <c r="X5459">
        <f>IF($T5459="",N($X5458),IF(MATCH($T5459,$T$6:$T$10005,0)=ROW()-5,N($X5458)+1,N($X5458)))</f>
        <v>0</v>
      </c>
      <c r="Z5459" t="str">
        <f t="shared" si="859"/>
        <v/>
      </c>
      <c r="AA5459">
        <f>IF($V5459="",N($AA5458),IF(MATCH($V5459,$V$6:$V$10005,0)=ROW()-5,N($AA5458)+1,N($AA5458)))</f>
        <v>0</v>
      </c>
    </row>
    <row r="5460" spans="1:27" ht="21" customHeight="1" x14ac:dyDescent="0.95">
      <c r="A5460" s="56"/>
      <c r="B5460" s="57"/>
      <c r="C5460" s="57"/>
      <c r="D5460" s="57"/>
      <c r="E5460" s="56"/>
      <c r="F5460" s="57"/>
      <c r="G5460" s="57"/>
      <c r="H5460" s="56"/>
      <c r="I5460" s="56"/>
      <c r="J5460" s="58"/>
      <c r="K5460" s="58"/>
      <c r="L5460" s="13" t="str">
        <f t="shared" si="850"/>
        <v/>
      </c>
      <c r="M5460" s="13" t="str">
        <f t="shared" si="851"/>
        <v/>
      </c>
      <c r="Q5460" t="str">
        <f t="shared" si="852"/>
        <v/>
      </c>
      <c r="R5460" t="str">
        <f t="shared" si="853"/>
        <v/>
      </c>
      <c r="S5460" t="str">
        <f t="shared" si="854"/>
        <v/>
      </c>
      <c r="T5460" t="str">
        <f t="shared" si="855"/>
        <v/>
      </c>
      <c r="U5460" t="str">
        <f t="shared" si="856"/>
        <v/>
      </c>
      <c r="V5460" t="str">
        <f t="shared" si="857"/>
        <v/>
      </c>
      <c r="W5460" t="str">
        <f t="shared" si="858"/>
        <v/>
      </c>
      <c r="X5460">
        <f>IF($T5460="",N($X5459),IF(MATCH($T5460,$T$6:$T$10005,0)=ROW()-5,N($X5459)+1,N($X5459)))</f>
        <v>0</v>
      </c>
      <c r="Z5460" t="str">
        <f t="shared" si="859"/>
        <v/>
      </c>
      <c r="AA5460">
        <f>IF($V5460="",N($AA5459),IF(MATCH($V5460,$V$6:$V$10005,0)=ROW()-5,N($AA5459)+1,N($AA5459)))</f>
        <v>0</v>
      </c>
    </row>
    <row r="5461" spans="1:27" ht="21" customHeight="1" x14ac:dyDescent="0.95">
      <c r="A5461" s="56"/>
      <c r="B5461" s="57"/>
      <c r="C5461" s="57"/>
      <c r="D5461" s="57"/>
      <c r="E5461" s="56"/>
      <c r="F5461" s="57"/>
      <c r="G5461" s="57"/>
      <c r="H5461" s="56"/>
      <c r="I5461" s="56"/>
      <c r="J5461" s="58"/>
      <c r="K5461" s="58"/>
      <c r="L5461" s="13" t="str">
        <f t="shared" si="850"/>
        <v/>
      </c>
      <c r="M5461" s="13" t="str">
        <f t="shared" si="851"/>
        <v/>
      </c>
      <c r="Q5461" t="str">
        <f t="shared" si="852"/>
        <v/>
      </c>
      <c r="R5461" t="str">
        <f t="shared" si="853"/>
        <v/>
      </c>
      <c r="S5461" t="str">
        <f t="shared" si="854"/>
        <v/>
      </c>
      <c r="T5461" t="str">
        <f t="shared" si="855"/>
        <v/>
      </c>
      <c r="U5461" t="str">
        <f t="shared" si="856"/>
        <v/>
      </c>
      <c r="V5461" t="str">
        <f t="shared" si="857"/>
        <v/>
      </c>
      <c r="W5461" t="str">
        <f t="shared" si="858"/>
        <v/>
      </c>
      <c r="X5461">
        <f>IF($T5461="",N($X5460),IF(MATCH($T5461,$T$6:$T$10005,0)=ROW()-5,N($X5460)+1,N($X5460)))</f>
        <v>0</v>
      </c>
      <c r="Z5461" t="str">
        <f t="shared" si="859"/>
        <v/>
      </c>
      <c r="AA5461">
        <f>IF($V5461="",N($AA5460),IF(MATCH($V5461,$V$6:$V$10005,0)=ROW()-5,N($AA5460)+1,N($AA5460)))</f>
        <v>0</v>
      </c>
    </row>
    <row r="5462" spans="1:27" ht="21" customHeight="1" x14ac:dyDescent="0.95">
      <c r="A5462" s="56"/>
      <c r="B5462" s="57"/>
      <c r="C5462" s="57"/>
      <c r="D5462" s="57"/>
      <c r="E5462" s="56"/>
      <c r="F5462" s="57"/>
      <c r="G5462" s="57"/>
      <c r="H5462" s="56"/>
      <c r="I5462" s="56"/>
      <c r="J5462" s="58"/>
      <c r="K5462" s="58"/>
      <c r="L5462" s="13" t="str">
        <f t="shared" si="850"/>
        <v/>
      </c>
      <c r="M5462" s="13" t="str">
        <f t="shared" si="851"/>
        <v/>
      </c>
      <c r="Q5462" t="str">
        <f t="shared" si="852"/>
        <v/>
      </c>
      <c r="R5462" t="str">
        <f t="shared" si="853"/>
        <v/>
      </c>
      <c r="S5462" t="str">
        <f t="shared" si="854"/>
        <v/>
      </c>
      <c r="T5462" t="str">
        <f t="shared" si="855"/>
        <v/>
      </c>
      <c r="U5462" t="str">
        <f t="shared" si="856"/>
        <v/>
      </c>
      <c r="V5462" t="str">
        <f t="shared" si="857"/>
        <v/>
      </c>
      <c r="W5462" t="str">
        <f t="shared" si="858"/>
        <v/>
      </c>
      <c r="X5462">
        <f>IF($T5462="",N($X5461),IF(MATCH($T5462,$T$6:$T$10005,0)=ROW()-5,N($X5461)+1,N($X5461)))</f>
        <v>0</v>
      </c>
      <c r="Z5462" t="str">
        <f t="shared" si="859"/>
        <v/>
      </c>
      <c r="AA5462">
        <f>IF($V5462="",N($AA5461),IF(MATCH($V5462,$V$6:$V$10005,0)=ROW()-5,N($AA5461)+1,N($AA5461)))</f>
        <v>0</v>
      </c>
    </row>
    <row r="5463" spans="1:27" ht="21" customHeight="1" x14ac:dyDescent="0.95">
      <c r="A5463" s="56"/>
      <c r="B5463" s="57"/>
      <c r="C5463" s="57"/>
      <c r="D5463" s="57"/>
      <c r="E5463" s="56"/>
      <c r="F5463" s="57"/>
      <c r="G5463" s="57"/>
      <c r="H5463" s="56"/>
      <c r="I5463" s="56"/>
      <c r="J5463" s="58"/>
      <c r="K5463" s="58"/>
      <c r="L5463" s="13" t="str">
        <f t="shared" si="850"/>
        <v/>
      </c>
      <c r="M5463" s="13" t="str">
        <f t="shared" si="851"/>
        <v/>
      </c>
      <c r="Q5463" t="str">
        <f t="shared" si="852"/>
        <v/>
      </c>
      <c r="R5463" t="str">
        <f t="shared" si="853"/>
        <v/>
      </c>
      <c r="S5463" t="str">
        <f t="shared" si="854"/>
        <v/>
      </c>
      <c r="T5463" t="str">
        <f t="shared" si="855"/>
        <v/>
      </c>
      <c r="U5463" t="str">
        <f t="shared" si="856"/>
        <v/>
      </c>
      <c r="V5463" t="str">
        <f t="shared" si="857"/>
        <v/>
      </c>
      <c r="W5463" t="str">
        <f t="shared" si="858"/>
        <v/>
      </c>
      <c r="X5463">
        <f>IF($T5463="",N($X5462),IF(MATCH($T5463,$T$6:$T$10005,0)=ROW()-5,N($X5462)+1,N($X5462)))</f>
        <v>0</v>
      </c>
      <c r="Z5463" t="str">
        <f t="shared" si="859"/>
        <v/>
      </c>
      <c r="AA5463">
        <f>IF($V5463="",N($AA5462),IF(MATCH($V5463,$V$6:$V$10005,0)=ROW()-5,N($AA5462)+1,N($AA5462)))</f>
        <v>0</v>
      </c>
    </row>
    <row r="5464" spans="1:27" ht="21" customHeight="1" x14ac:dyDescent="0.95">
      <c r="A5464" s="56"/>
      <c r="B5464" s="57"/>
      <c r="C5464" s="57"/>
      <c r="D5464" s="57"/>
      <c r="E5464" s="56"/>
      <c r="F5464" s="57"/>
      <c r="G5464" s="57"/>
      <c r="H5464" s="56"/>
      <c r="I5464" s="56"/>
      <c r="J5464" s="58"/>
      <c r="K5464" s="58"/>
      <c r="L5464" s="13" t="str">
        <f t="shared" si="850"/>
        <v/>
      </c>
      <c r="M5464" s="13" t="str">
        <f t="shared" si="851"/>
        <v/>
      </c>
      <c r="Q5464" t="str">
        <f t="shared" si="852"/>
        <v/>
      </c>
      <c r="R5464" t="str">
        <f t="shared" si="853"/>
        <v/>
      </c>
      <c r="S5464" t="str">
        <f t="shared" si="854"/>
        <v/>
      </c>
      <c r="T5464" t="str">
        <f t="shared" si="855"/>
        <v/>
      </c>
      <c r="U5464" t="str">
        <f t="shared" si="856"/>
        <v/>
      </c>
      <c r="V5464" t="str">
        <f t="shared" si="857"/>
        <v/>
      </c>
      <c r="W5464" t="str">
        <f t="shared" si="858"/>
        <v/>
      </c>
      <c r="X5464">
        <f>IF($T5464="",N($X5463),IF(MATCH($T5464,$T$6:$T$10005,0)=ROW()-5,N($X5463)+1,N($X5463)))</f>
        <v>0</v>
      </c>
      <c r="Z5464" t="str">
        <f t="shared" si="859"/>
        <v/>
      </c>
      <c r="AA5464">
        <f>IF($V5464="",N($AA5463),IF(MATCH($V5464,$V$6:$V$10005,0)=ROW()-5,N($AA5463)+1,N($AA5463)))</f>
        <v>0</v>
      </c>
    </row>
    <row r="5465" spans="1:27" ht="21" customHeight="1" x14ac:dyDescent="0.95">
      <c r="A5465" s="56"/>
      <c r="B5465" s="57"/>
      <c r="C5465" s="57"/>
      <c r="D5465" s="57"/>
      <c r="E5465" s="56"/>
      <c r="F5465" s="57"/>
      <c r="G5465" s="57"/>
      <c r="H5465" s="56"/>
      <c r="I5465" s="56"/>
      <c r="J5465" s="58"/>
      <c r="K5465" s="58"/>
      <c r="L5465" s="13" t="str">
        <f t="shared" si="850"/>
        <v/>
      </c>
      <c r="M5465" s="13" t="str">
        <f t="shared" si="851"/>
        <v/>
      </c>
      <c r="Q5465" t="str">
        <f t="shared" si="852"/>
        <v/>
      </c>
      <c r="R5465" t="str">
        <f t="shared" si="853"/>
        <v/>
      </c>
      <c r="S5465" t="str">
        <f t="shared" si="854"/>
        <v/>
      </c>
      <c r="T5465" t="str">
        <f t="shared" si="855"/>
        <v/>
      </c>
      <c r="U5465" t="str">
        <f t="shared" si="856"/>
        <v/>
      </c>
      <c r="V5465" t="str">
        <f t="shared" si="857"/>
        <v/>
      </c>
      <c r="W5465" t="str">
        <f t="shared" si="858"/>
        <v/>
      </c>
      <c r="X5465">
        <f>IF($T5465="",N($X5464),IF(MATCH($T5465,$T$6:$T$10005,0)=ROW()-5,N($X5464)+1,N($X5464)))</f>
        <v>0</v>
      </c>
      <c r="Z5465" t="str">
        <f t="shared" si="859"/>
        <v/>
      </c>
      <c r="AA5465">
        <f>IF($V5465="",N($AA5464),IF(MATCH($V5465,$V$6:$V$10005,0)=ROW()-5,N($AA5464)+1,N($AA5464)))</f>
        <v>0</v>
      </c>
    </row>
    <row r="5466" spans="1:27" ht="21" customHeight="1" x14ac:dyDescent="0.95">
      <c r="A5466" s="56"/>
      <c r="B5466" s="57"/>
      <c r="C5466" s="57"/>
      <c r="D5466" s="57"/>
      <c r="E5466" s="56"/>
      <c r="F5466" s="57"/>
      <c r="G5466" s="57"/>
      <c r="H5466" s="56"/>
      <c r="I5466" s="56"/>
      <c r="J5466" s="58"/>
      <c r="K5466" s="58"/>
      <c r="L5466" s="13" t="str">
        <f t="shared" si="850"/>
        <v/>
      </c>
      <c r="M5466" s="13" t="str">
        <f t="shared" si="851"/>
        <v/>
      </c>
      <c r="Q5466" t="str">
        <f t="shared" si="852"/>
        <v/>
      </c>
      <c r="R5466" t="str">
        <f t="shared" si="853"/>
        <v/>
      </c>
      <c r="S5466" t="str">
        <f t="shared" si="854"/>
        <v/>
      </c>
      <c r="T5466" t="str">
        <f t="shared" si="855"/>
        <v/>
      </c>
      <c r="U5466" t="str">
        <f t="shared" si="856"/>
        <v/>
      </c>
      <c r="V5466" t="str">
        <f t="shared" si="857"/>
        <v/>
      </c>
      <c r="W5466" t="str">
        <f t="shared" si="858"/>
        <v/>
      </c>
      <c r="X5466">
        <f>IF($T5466="",N($X5465),IF(MATCH($T5466,$T$6:$T$10005,0)=ROW()-5,N($X5465)+1,N($X5465)))</f>
        <v>0</v>
      </c>
      <c r="Z5466" t="str">
        <f t="shared" si="859"/>
        <v/>
      </c>
      <c r="AA5466">
        <f>IF($V5466="",N($AA5465),IF(MATCH($V5466,$V$6:$V$10005,0)=ROW()-5,N($AA5465)+1,N($AA5465)))</f>
        <v>0</v>
      </c>
    </row>
    <row r="5467" spans="1:27" ht="21" customHeight="1" x14ac:dyDescent="0.95">
      <c r="A5467" s="56"/>
      <c r="B5467" s="57"/>
      <c r="C5467" s="57"/>
      <c r="D5467" s="57"/>
      <c r="E5467" s="56"/>
      <c r="F5467" s="57"/>
      <c r="G5467" s="57"/>
      <c r="H5467" s="56"/>
      <c r="I5467" s="56"/>
      <c r="J5467" s="58"/>
      <c r="K5467" s="58"/>
      <c r="L5467" s="13" t="str">
        <f t="shared" si="850"/>
        <v/>
      </c>
      <c r="M5467" s="13" t="str">
        <f t="shared" si="851"/>
        <v/>
      </c>
      <c r="Q5467" t="str">
        <f t="shared" si="852"/>
        <v/>
      </c>
      <c r="R5467" t="str">
        <f t="shared" si="853"/>
        <v/>
      </c>
      <c r="S5467" t="str">
        <f t="shared" si="854"/>
        <v/>
      </c>
      <c r="T5467" t="str">
        <f t="shared" si="855"/>
        <v/>
      </c>
      <c r="U5467" t="str">
        <f t="shared" si="856"/>
        <v/>
      </c>
      <c r="V5467" t="str">
        <f t="shared" si="857"/>
        <v/>
      </c>
      <c r="W5467" t="str">
        <f t="shared" si="858"/>
        <v/>
      </c>
      <c r="X5467">
        <f>IF($T5467="",N($X5466),IF(MATCH($T5467,$T$6:$T$10005,0)=ROW()-5,N($X5466)+1,N($X5466)))</f>
        <v>0</v>
      </c>
      <c r="Z5467" t="str">
        <f t="shared" si="859"/>
        <v/>
      </c>
      <c r="AA5467">
        <f>IF($V5467="",N($AA5466),IF(MATCH($V5467,$V$6:$V$10005,0)=ROW()-5,N($AA5466)+1,N($AA5466)))</f>
        <v>0</v>
      </c>
    </row>
    <row r="5468" spans="1:27" ht="21" customHeight="1" x14ac:dyDescent="0.95">
      <c r="A5468" s="56"/>
      <c r="B5468" s="57"/>
      <c r="C5468" s="57"/>
      <c r="D5468" s="57"/>
      <c r="E5468" s="56"/>
      <c r="F5468" s="57"/>
      <c r="G5468" s="57"/>
      <c r="H5468" s="56"/>
      <c r="I5468" s="56"/>
      <c r="J5468" s="58"/>
      <c r="K5468" s="58"/>
      <c r="L5468" s="13" t="str">
        <f t="shared" si="850"/>
        <v/>
      </c>
      <c r="M5468" s="13" t="str">
        <f t="shared" si="851"/>
        <v/>
      </c>
      <c r="Q5468" t="str">
        <f t="shared" si="852"/>
        <v/>
      </c>
      <c r="R5468" t="str">
        <f t="shared" si="853"/>
        <v/>
      </c>
      <c r="S5468" t="str">
        <f t="shared" si="854"/>
        <v/>
      </c>
      <c r="T5468" t="str">
        <f t="shared" si="855"/>
        <v/>
      </c>
      <c r="U5468" t="str">
        <f t="shared" si="856"/>
        <v/>
      </c>
      <c r="V5468" t="str">
        <f t="shared" si="857"/>
        <v/>
      </c>
      <c r="W5468" t="str">
        <f t="shared" si="858"/>
        <v/>
      </c>
      <c r="X5468">
        <f>IF($T5468="",N($X5467),IF(MATCH($T5468,$T$6:$T$10005,0)=ROW()-5,N($X5467)+1,N($X5467)))</f>
        <v>0</v>
      </c>
      <c r="Z5468" t="str">
        <f t="shared" si="859"/>
        <v/>
      </c>
      <c r="AA5468">
        <f>IF($V5468="",N($AA5467),IF(MATCH($V5468,$V$6:$V$10005,0)=ROW()-5,N($AA5467)+1,N($AA5467)))</f>
        <v>0</v>
      </c>
    </row>
    <row r="5469" spans="1:27" ht="21" customHeight="1" x14ac:dyDescent="0.95">
      <c r="A5469" s="56"/>
      <c r="B5469" s="57"/>
      <c r="C5469" s="57"/>
      <c r="D5469" s="57"/>
      <c r="E5469" s="56"/>
      <c r="F5469" s="57"/>
      <c r="G5469" s="57"/>
      <c r="H5469" s="56"/>
      <c r="I5469" s="56"/>
      <c r="J5469" s="58"/>
      <c r="K5469" s="58"/>
      <c r="L5469" s="13" t="str">
        <f t="shared" si="850"/>
        <v/>
      </c>
      <c r="M5469" s="13" t="str">
        <f t="shared" si="851"/>
        <v/>
      </c>
      <c r="Q5469" t="str">
        <f t="shared" si="852"/>
        <v/>
      </c>
      <c r="R5469" t="str">
        <f t="shared" si="853"/>
        <v/>
      </c>
      <c r="S5469" t="str">
        <f t="shared" si="854"/>
        <v/>
      </c>
      <c r="T5469" t="str">
        <f t="shared" si="855"/>
        <v/>
      </c>
      <c r="U5469" t="str">
        <f t="shared" si="856"/>
        <v/>
      </c>
      <c r="V5469" t="str">
        <f t="shared" si="857"/>
        <v/>
      </c>
      <c r="W5469" t="str">
        <f t="shared" si="858"/>
        <v/>
      </c>
      <c r="X5469">
        <f>IF($T5469="",N($X5468),IF(MATCH($T5469,$T$6:$T$10005,0)=ROW()-5,N($X5468)+1,N($X5468)))</f>
        <v>0</v>
      </c>
      <c r="Z5469" t="str">
        <f t="shared" si="859"/>
        <v/>
      </c>
      <c r="AA5469">
        <f>IF($V5469="",N($AA5468),IF(MATCH($V5469,$V$6:$V$10005,0)=ROW()-5,N($AA5468)+1,N($AA5468)))</f>
        <v>0</v>
      </c>
    </row>
    <row r="5470" spans="1:27" ht="21" customHeight="1" x14ac:dyDescent="0.95">
      <c r="A5470" s="56"/>
      <c r="B5470" s="57"/>
      <c r="C5470" s="57"/>
      <c r="D5470" s="57"/>
      <c r="E5470" s="56"/>
      <c r="F5470" s="57"/>
      <c r="G5470" s="57"/>
      <c r="H5470" s="56"/>
      <c r="I5470" s="56"/>
      <c r="J5470" s="58"/>
      <c r="K5470" s="58"/>
      <c r="L5470" s="13" t="str">
        <f t="shared" si="850"/>
        <v/>
      </c>
      <c r="M5470" s="13" t="str">
        <f t="shared" si="851"/>
        <v/>
      </c>
      <c r="Q5470" t="str">
        <f t="shared" si="852"/>
        <v/>
      </c>
      <c r="R5470" t="str">
        <f t="shared" si="853"/>
        <v/>
      </c>
      <c r="S5470" t="str">
        <f t="shared" si="854"/>
        <v/>
      </c>
      <c r="T5470" t="str">
        <f t="shared" si="855"/>
        <v/>
      </c>
      <c r="U5470" t="str">
        <f t="shared" si="856"/>
        <v/>
      </c>
      <c r="V5470" t="str">
        <f t="shared" si="857"/>
        <v/>
      </c>
      <c r="W5470" t="str">
        <f t="shared" si="858"/>
        <v/>
      </c>
      <c r="X5470">
        <f>IF($T5470="",N($X5469),IF(MATCH($T5470,$T$6:$T$10005,0)=ROW()-5,N($X5469)+1,N($X5469)))</f>
        <v>0</v>
      </c>
      <c r="Z5470" t="str">
        <f t="shared" si="859"/>
        <v/>
      </c>
      <c r="AA5470">
        <f>IF($V5470="",N($AA5469),IF(MATCH($V5470,$V$6:$V$10005,0)=ROW()-5,N($AA5469)+1,N($AA5469)))</f>
        <v>0</v>
      </c>
    </row>
    <row r="5471" spans="1:27" ht="21" customHeight="1" x14ac:dyDescent="0.95">
      <c r="A5471" s="56"/>
      <c r="B5471" s="57"/>
      <c r="C5471" s="57"/>
      <c r="D5471" s="57"/>
      <c r="E5471" s="56"/>
      <c r="F5471" s="57"/>
      <c r="G5471" s="57"/>
      <c r="H5471" s="56"/>
      <c r="I5471" s="56"/>
      <c r="J5471" s="58"/>
      <c r="K5471" s="58"/>
      <c r="L5471" s="13" t="str">
        <f t="shared" si="850"/>
        <v/>
      </c>
      <c r="M5471" s="13" t="str">
        <f t="shared" si="851"/>
        <v/>
      </c>
      <c r="Q5471" t="str">
        <f t="shared" si="852"/>
        <v/>
      </c>
      <c r="R5471" t="str">
        <f t="shared" si="853"/>
        <v/>
      </c>
      <c r="S5471" t="str">
        <f t="shared" si="854"/>
        <v/>
      </c>
      <c r="T5471" t="str">
        <f t="shared" si="855"/>
        <v/>
      </c>
      <c r="U5471" t="str">
        <f t="shared" si="856"/>
        <v/>
      </c>
      <c r="V5471" t="str">
        <f t="shared" si="857"/>
        <v/>
      </c>
      <c r="W5471" t="str">
        <f t="shared" si="858"/>
        <v/>
      </c>
      <c r="X5471">
        <f>IF($T5471="",N($X5470),IF(MATCH($T5471,$T$6:$T$10005,0)=ROW()-5,N($X5470)+1,N($X5470)))</f>
        <v>0</v>
      </c>
      <c r="Z5471" t="str">
        <f t="shared" si="859"/>
        <v/>
      </c>
      <c r="AA5471">
        <f>IF($V5471="",N($AA5470),IF(MATCH($V5471,$V$6:$V$10005,0)=ROW()-5,N($AA5470)+1,N($AA5470)))</f>
        <v>0</v>
      </c>
    </row>
    <row r="5472" spans="1:27" ht="21" customHeight="1" x14ac:dyDescent="0.95">
      <c r="A5472" s="56"/>
      <c r="B5472" s="57"/>
      <c r="C5472" s="57"/>
      <c r="D5472" s="57"/>
      <c r="E5472" s="56"/>
      <c r="F5472" s="57"/>
      <c r="G5472" s="57"/>
      <c r="H5472" s="56"/>
      <c r="I5472" s="56"/>
      <c r="J5472" s="58"/>
      <c r="K5472" s="58"/>
      <c r="L5472" s="13" t="str">
        <f t="shared" si="850"/>
        <v/>
      </c>
      <c r="M5472" s="13" t="str">
        <f t="shared" si="851"/>
        <v/>
      </c>
      <c r="Q5472" t="str">
        <f t="shared" si="852"/>
        <v/>
      </c>
      <c r="R5472" t="str">
        <f t="shared" si="853"/>
        <v/>
      </c>
      <c r="S5472" t="str">
        <f t="shared" si="854"/>
        <v/>
      </c>
      <c r="T5472" t="str">
        <f t="shared" si="855"/>
        <v/>
      </c>
      <c r="U5472" t="str">
        <f t="shared" si="856"/>
        <v/>
      </c>
      <c r="V5472" t="str">
        <f t="shared" si="857"/>
        <v/>
      </c>
      <c r="W5472" t="str">
        <f t="shared" si="858"/>
        <v/>
      </c>
      <c r="X5472">
        <f>IF($T5472="",N($X5471),IF(MATCH($T5472,$T$6:$T$10005,0)=ROW()-5,N($X5471)+1,N($X5471)))</f>
        <v>0</v>
      </c>
      <c r="Z5472" t="str">
        <f t="shared" si="859"/>
        <v/>
      </c>
      <c r="AA5472">
        <f>IF($V5472="",N($AA5471),IF(MATCH($V5472,$V$6:$V$10005,0)=ROW()-5,N($AA5471)+1,N($AA5471)))</f>
        <v>0</v>
      </c>
    </row>
    <row r="5473" spans="1:27" ht="21" customHeight="1" x14ac:dyDescent="0.95">
      <c r="A5473" s="56"/>
      <c r="B5473" s="57"/>
      <c r="C5473" s="57"/>
      <c r="D5473" s="57"/>
      <c r="E5473" s="56"/>
      <c r="F5473" s="57"/>
      <c r="G5473" s="57"/>
      <c r="H5473" s="56"/>
      <c r="I5473" s="56"/>
      <c r="J5473" s="58"/>
      <c r="K5473" s="58"/>
      <c r="L5473" s="13" t="str">
        <f t="shared" si="850"/>
        <v/>
      </c>
      <c r="M5473" s="13" t="str">
        <f t="shared" si="851"/>
        <v/>
      </c>
      <c r="Q5473" t="str">
        <f t="shared" si="852"/>
        <v/>
      </c>
      <c r="R5473" t="str">
        <f t="shared" si="853"/>
        <v/>
      </c>
      <c r="S5473" t="str">
        <f t="shared" si="854"/>
        <v/>
      </c>
      <c r="T5473" t="str">
        <f t="shared" si="855"/>
        <v/>
      </c>
      <c r="U5473" t="str">
        <f t="shared" si="856"/>
        <v/>
      </c>
      <c r="V5473" t="str">
        <f t="shared" si="857"/>
        <v/>
      </c>
      <c r="W5473" t="str">
        <f t="shared" si="858"/>
        <v/>
      </c>
      <c r="X5473">
        <f>IF($T5473="",N($X5472),IF(MATCH($T5473,$T$6:$T$10005,0)=ROW()-5,N($X5472)+1,N($X5472)))</f>
        <v>0</v>
      </c>
      <c r="Z5473" t="str">
        <f t="shared" si="859"/>
        <v/>
      </c>
      <c r="AA5473">
        <f>IF($V5473="",N($AA5472),IF(MATCH($V5473,$V$6:$V$10005,0)=ROW()-5,N($AA5472)+1,N($AA5472)))</f>
        <v>0</v>
      </c>
    </row>
    <row r="5474" spans="1:27" ht="21" customHeight="1" x14ac:dyDescent="0.95">
      <c r="A5474" s="56"/>
      <c r="B5474" s="57"/>
      <c r="C5474" s="57"/>
      <c r="D5474" s="57"/>
      <c r="E5474" s="56"/>
      <c r="F5474" s="57"/>
      <c r="G5474" s="57"/>
      <c r="H5474" s="56"/>
      <c r="I5474" s="56"/>
      <c r="J5474" s="58"/>
      <c r="K5474" s="58"/>
      <c r="L5474" s="13" t="str">
        <f t="shared" si="850"/>
        <v/>
      </c>
      <c r="M5474" s="13" t="str">
        <f t="shared" si="851"/>
        <v/>
      </c>
      <c r="Q5474" t="str">
        <f t="shared" si="852"/>
        <v/>
      </c>
      <c r="R5474" t="str">
        <f t="shared" si="853"/>
        <v/>
      </c>
      <c r="S5474" t="str">
        <f t="shared" si="854"/>
        <v/>
      </c>
      <c r="T5474" t="str">
        <f t="shared" si="855"/>
        <v/>
      </c>
      <c r="U5474" t="str">
        <f t="shared" si="856"/>
        <v/>
      </c>
      <c r="V5474" t="str">
        <f t="shared" si="857"/>
        <v/>
      </c>
      <c r="W5474" t="str">
        <f t="shared" si="858"/>
        <v/>
      </c>
      <c r="X5474">
        <f>IF($T5474="",N($X5473),IF(MATCH($T5474,$T$6:$T$10005,0)=ROW()-5,N($X5473)+1,N($X5473)))</f>
        <v>0</v>
      </c>
      <c r="Z5474" t="str">
        <f t="shared" si="859"/>
        <v/>
      </c>
      <c r="AA5474">
        <f>IF($V5474="",N($AA5473),IF(MATCH($V5474,$V$6:$V$10005,0)=ROW()-5,N($AA5473)+1,N($AA5473)))</f>
        <v>0</v>
      </c>
    </row>
    <row r="5475" spans="1:27" ht="21" customHeight="1" x14ac:dyDescent="0.95">
      <c r="A5475" s="56"/>
      <c r="B5475" s="57"/>
      <c r="C5475" s="57"/>
      <c r="D5475" s="57"/>
      <c r="E5475" s="56"/>
      <c r="F5475" s="57"/>
      <c r="G5475" s="57"/>
      <c r="H5475" s="56"/>
      <c r="I5475" s="56"/>
      <c r="J5475" s="58"/>
      <c r="K5475" s="58"/>
      <c r="L5475" s="13" t="str">
        <f t="shared" si="850"/>
        <v/>
      </c>
      <c r="M5475" s="13" t="str">
        <f t="shared" si="851"/>
        <v/>
      </c>
      <c r="Q5475" t="str">
        <f t="shared" si="852"/>
        <v/>
      </c>
      <c r="R5475" t="str">
        <f t="shared" si="853"/>
        <v/>
      </c>
      <c r="S5475" t="str">
        <f t="shared" si="854"/>
        <v/>
      </c>
      <c r="T5475" t="str">
        <f t="shared" si="855"/>
        <v/>
      </c>
      <c r="U5475" t="str">
        <f t="shared" si="856"/>
        <v/>
      </c>
      <c r="V5475" t="str">
        <f t="shared" si="857"/>
        <v/>
      </c>
      <c r="W5475" t="str">
        <f t="shared" si="858"/>
        <v/>
      </c>
      <c r="X5475">
        <f>IF($T5475="",N($X5474),IF(MATCH($T5475,$T$6:$T$10005,0)=ROW()-5,N($X5474)+1,N($X5474)))</f>
        <v>0</v>
      </c>
      <c r="Z5475" t="str">
        <f t="shared" si="859"/>
        <v/>
      </c>
      <c r="AA5475">
        <f>IF($V5475="",N($AA5474),IF(MATCH($V5475,$V$6:$V$10005,0)=ROW()-5,N($AA5474)+1,N($AA5474)))</f>
        <v>0</v>
      </c>
    </row>
    <row r="5476" spans="1:27" ht="21" customHeight="1" x14ac:dyDescent="0.95">
      <c r="A5476" s="56"/>
      <c r="B5476" s="57"/>
      <c r="C5476" s="57"/>
      <c r="D5476" s="57"/>
      <c r="E5476" s="56"/>
      <c r="F5476" s="57"/>
      <c r="G5476" s="57"/>
      <c r="H5476" s="56"/>
      <c r="I5476" s="56"/>
      <c r="J5476" s="58"/>
      <c r="K5476" s="58"/>
      <c r="L5476" s="13" t="str">
        <f t="shared" si="850"/>
        <v/>
      </c>
      <c r="M5476" s="13" t="str">
        <f t="shared" si="851"/>
        <v/>
      </c>
      <c r="Q5476" t="str">
        <f t="shared" si="852"/>
        <v/>
      </c>
      <c r="R5476" t="str">
        <f t="shared" si="853"/>
        <v/>
      </c>
      <c r="S5476" t="str">
        <f t="shared" si="854"/>
        <v/>
      </c>
      <c r="T5476" t="str">
        <f t="shared" si="855"/>
        <v/>
      </c>
      <c r="U5476" t="str">
        <f t="shared" si="856"/>
        <v/>
      </c>
      <c r="V5476" t="str">
        <f t="shared" si="857"/>
        <v/>
      </c>
      <c r="W5476" t="str">
        <f t="shared" si="858"/>
        <v/>
      </c>
      <c r="X5476">
        <f>IF($T5476="",N($X5475),IF(MATCH($T5476,$T$6:$T$10005,0)=ROW()-5,N($X5475)+1,N($X5475)))</f>
        <v>0</v>
      </c>
      <c r="Z5476" t="str">
        <f t="shared" si="859"/>
        <v/>
      </c>
      <c r="AA5476">
        <f>IF($V5476="",N($AA5475),IF(MATCH($V5476,$V$6:$V$10005,0)=ROW()-5,N($AA5475)+1,N($AA5475)))</f>
        <v>0</v>
      </c>
    </row>
    <row r="5477" spans="1:27" ht="21" customHeight="1" x14ac:dyDescent="0.95">
      <c r="A5477" s="56"/>
      <c r="B5477" s="57"/>
      <c r="C5477" s="57"/>
      <c r="D5477" s="57"/>
      <c r="E5477" s="56"/>
      <c r="F5477" s="57"/>
      <c r="G5477" s="57"/>
      <c r="H5477" s="56"/>
      <c r="I5477" s="56"/>
      <c r="J5477" s="58"/>
      <c r="K5477" s="58"/>
      <c r="L5477" s="13" t="str">
        <f t="shared" si="850"/>
        <v/>
      </c>
      <c r="M5477" s="13" t="str">
        <f t="shared" si="851"/>
        <v/>
      </c>
      <c r="Q5477" t="str">
        <f t="shared" si="852"/>
        <v/>
      </c>
      <c r="R5477" t="str">
        <f t="shared" si="853"/>
        <v/>
      </c>
      <c r="S5477" t="str">
        <f t="shared" si="854"/>
        <v/>
      </c>
      <c r="T5477" t="str">
        <f t="shared" si="855"/>
        <v/>
      </c>
      <c r="U5477" t="str">
        <f t="shared" si="856"/>
        <v/>
      </c>
      <c r="V5477" t="str">
        <f t="shared" si="857"/>
        <v/>
      </c>
      <c r="W5477" t="str">
        <f t="shared" si="858"/>
        <v/>
      </c>
      <c r="X5477">
        <f>IF($T5477="",N($X5476),IF(MATCH($T5477,$T$6:$T$10005,0)=ROW()-5,N($X5476)+1,N($X5476)))</f>
        <v>0</v>
      </c>
      <c r="Z5477" t="str">
        <f t="shared" si="859"/>
        <v/>
      </c>
      <c r="AA5477">
        <f>IF($V5477="",N($AA5476),IF(MATCH($V5477,$V$6:$V$10005,0)=ROW()-5,N($AA5476)+1,N($AA5476)))</f>
        <v>0</v>
      </c>
    </row>
    <row r="5478" spans="1:27" ht="21" customHeight="1" x14ac:dyDescent="0.95">
      <c r="A5478" s="56"/>
      <c r="B5478" s="57"/>
      <c r="C5478" s="57"/>
      <c r="D5478" s="57"/>
      <c r="E5478" s="56"/>
      <c r="F5478" s="57"/>
      <c r="G5478" s="57"/>
      <c r="H5478" s="56"/>
      <c r="I5478" s="56"/>
      <c r="J5478" s="58"/>
      <c r="K5478" s="58"/>
      <c r="L5478" s="13" t="str">
        <f t="shared" si="850"/>
        <v/>
      </c>
      <c r="M5478" s="13" t="str">
        <f t="shared" si="851"/>
        <v/>
      </c>
      <c r="Q5478" t="str">
        <f t="shared" si="852"/>
        <v/>
      </c>
      <c r="R5478" t="str">
        <f t="shared" si="853"/>
        <v/>
      </c>
      <c r="S5478" t="str">
        <f t="shared" si="854"/>
        <v/>
      </c>
      <c r="T5478" t="str">
        <f t="shared" si="855"/>
        <v/>
      </c>
      <c r="U5478" t="str">
        <f t="shared" si="856"/>
        <v/>
      </c>
      <c r="V5478" t="str">
        <f t="shared" si="857"/>
        <v/>
      </c>
      <c r="W5478" t="str">
        <f t="shared" si="858"/>
        <v/>
      </c>
      <c r="X5478">
        <f>IF($T5478="",N($X5477),IF(MATCH($T5478,$T$6:$T$10005,0)=ROW()-5,N($X5477)+1,N($X5477)))</f>
        <v>0</v>
      </c>
      <c r="Z5478" t="str">
        <f t="shared" si="859"/>
        <v/>
      </c>
      <c r="AA5478">
        <f>IF($V5478="",N($AA5477),IF(MATCH($V5478,$V$6:$V$10005,0)=ROW()-5,N($AA5477)+1,N($AA5477)))</f>
        <v>0</v>
      </c>
    </row>
    <row r="5479" spans="1:27" ht="21" customHeight="1" x14ac:dyDescent="0.95">
      <c r="A5479" s="56"/>
      <c r="B5479" s="57"/>
      <c r="C5479" s="57"/>
      <c r="D5479" s="57"/>
      <c r="E5479" s="56"/>
      <c r="F5479" s="57"/>
      <c r="G5479" s="57"/>
      <c r="H5479" s="56"/>
      <c r="I5479" s="56"/>
      <c r="J5479" s="58"/>
      <c r="K5479" s="58"/>
      <c r="L5479" s="13" t="str">
        <f t="shared" si="850"/>
        <v/>
      </c>
      <c r="M5479" s="13" t="str">
        <f t="shared" si="851"/>
        <v/>
      </c>
      <c r="Q5479" t="str">
        <f t="shared" si="852"/>
        <v/>
      </c>
      <c r="R5479" t="str">
        <f t="shared" si="853"/>
        <v/>
      </c>
      <c r="S5479" t="str">
        <f t="shared" si="854"/>
        <v/>
      </c>
      <c r="T5479" t="str">
        <f t="shared" si="855"/>
        <v/>
      </c>
      <c r="U5479" t="str">
        <f t="shared" si="856"/>
        <v/>
      </c>
      <c r="V5479" t="str">
        <f t="shared" si="857"/>
        <v/>
      </c>
      <c r="W5479" t="str">
        <f t="shared" si="858"/>
        <v/>
      </c>
      <c r="X5479">
        <f>IF($T5479="",N($X5478),IF(MATCH($T5479,$T$6:$T$10005,0)=ROW()-5,N($X5478)+1,N($X5478)))</f>
        <v>0</v>
      </c>
      <c r="Z5479" t="str">
        <f t="shared" si="859"/>
        <v/>
      </c>
      <c r="AA5479">
        <f>IF($V5479="",N($AA5478),IF(MATCH($V5479,$V$6:$V$10005,0)=ROW()-5,N($AA5478)+1,N($AA5478)))</f>
        <v>0</v>
      </c>
    </row>
    <row r="5480" spans="1:27" ht="21" customHeight="1" x14ac:dyDescent="0.95">
      <c r="A5480" s="56"/>
      <c r="B5480" s="57"/>
      <c r="C5480" s="57"/>
      <c r="D5480" s="57"/>
      <c r="E5480" s="56"/>
      <c r="F5480" s="57"/>
      <c r="G5480" s="57"/>
      <c r="H5480" s="56"/>
      <c r="I5480" s="56"/>
      <c r="J5480" s="58"/>
      <c r="K5480" s="58"/>
      <c r="L5480" s="13" t="str">
        <f t="shared" si="850"/>
        <v/>
      </c>
      <c r="M5480" s="13" t="str">
        <f t="shared" si="851"/>
        <v/>
      </c>
      <c r="Q5480" t="str">
        <f t="shared" si="852"/>
        <v/>
      </c>
      <c r="R5480" t="str">
        <f t="shared" si="853"/>
        <v/>
      </c>
      <c r="S5480" t="str">
        <f t="shared" si="854"/>
        <v/>
      </c>
      <c r="T5480" t="str">
        <f t="shared" si="855"/>
        <v/>
      </c>
      <c r="U5480" t="str">
        <f t="shared" si="856"/>
        <v/>
      </c>
      <c r="V5480" t="str">
        <f t="shared" si="857"/>
        <v/>
      </c>
      <c r="W5480" t="str">
        <f t="shared" si="858"/>
        <v/>
      </c>
      <c r="X5480">
        <f>IF($T5480="",N($X5479),IF(MATCH($T5480,$T$6:$T$10005,0)=ROW()-5,N($X5479)+1,N($X5479)))</f>
        <v>0</v>
      </c>
      <c r="Z5480" t="str">
        <f t="shared" si="859"/>
        <v/>
      </c>
      <c r="AA5480">
        <f>IF($V5480="",N($AA5479),IF(MATCH($V5480,$V$6:$V$10005,0)=ROW()-5,N($AA5479)+1,N($AA5479)))</f>
        <v>0</v>
      </c>
    </row>
    <row r="5481" spans="1:27" ht="21" customHeight="1" x14ac:dyDescent="0.95">
      <c r="A5481" s="56"/>
      <c r="B5481" s="57"/>
      <c r="C5481" s="57"/>
      <c r="D5481" s="57"/>
      <c r="E5481" s="56"/>
      <c r="F5481" s="57"/>
      <c r="G5481" s="57"/>
      <c r="H5481" s="56"/>
      <c r="I5481" s="56"/>
      <c r="J5481" s="58"/>
      <c r="K5481" s="58"/>
      <c r="L5481" s="13" t="str">
        <f t="shared" si="850"/>
        <v/>
      </c>
      <c r="M5481" s="13" t="str">
        <f t="shared" si="851"/>
        <v/>
      </c>
      <c r="Q5481" t="str">
        <f t="shared" si="852"/>
        <v/>
      </c>
      <c r="R5481" t="str">
        <f t="shared" si="853"/>
        <v/>
      </c>
      <c r="S5481" t="str">
        <f t="shared" si="854"/>
        <v/>
      </c>
      <c r="T5481" t="str">
        <f t="shared" si="855"/>
        <v/>
      </c>
      <c r="U5481" t="str">
        <f t="shared" si="856"/>
        <v/>
      </c>
      <c r="V5481" t="str">
        <f t="shared" si="857"/>
        <v/>
      </c>
      <c r="W5481" t="str">
        <f t="shared" si="858"/>
        <v/>
      </c>
      <c r="X5481">
        <f>IF($T5481="",N($X5480),IF(MATCH($T5481,$T$6:$T$10005,0)=ROW()-5,N($X5480)+1,N($X5480)))</f>
        <v>0</v>
      </c>
      <c r="Z5481" t="str">
        <f t="shared" si="859"/>
        <v/>
      </c>
      <c r="AA5481">
        <f>IF($V5481="",N($AA5480),IF(MATCH($V5481,$V$6:$V$10005,0)=ROW()-5,N($AA5480)+1,N($AA5480)))</f>
        <v>0</v>
      </c>
    </row>
    <row r="5482" spans="1:27" ht="21" customHeight="1" x14ac:dyDescent="0.95">
      <c r="A5482" s="56"/>
      <c r="B5482" s="57"/>
      <c r="C5482" s="57"/>
      <c r="D5482" s="57"/>
      <c r="E5482" s="56"/>
      <c r="F5482" s="57"/>
      <c r="G5482" s="57"/>
      <c r="H5482" s="56"/>
      <c r="I5482" s="56"/>
      <c r="J5482" s="58"/>
      <c r="K5482" s="58"/>
      <c r="L5482" s="13" t="str">
        <f t="shared" si="850"/>
        <v/>
      </c>
      <c r="M5482" s="13" t="str">
        <f t="shared" si="851"/>
        <v/>
      </c>
      <c r="Q5482" t="str">
        <f t="shared" si="852"/>
        <v/>
      </c>
      <c r="R5482" t="str">
        <f t="shared" si="853"/>
        <v/>
      </c>
      <c r="S5482" t="str">
        <f t="shared" si="854"/>
        <v/>
      </c>
      <c r="T5482" t="str">
        <f t="shared" si="855"/>
        <v/>
      </c>
      <c r="U5482" t="str">
        <f t="shared" si="856"/>
        <v/>
      </c>
      <c r="V5482" t="str">
        <f t="shared" si="857"/>
        <v/>
      </c>
      <c r="W5482" t="str">
        <f t="shared" si="858"/>
        <v/>
      </c>
      <c r="X5482">
        <f>IF($T5482="",N($X5481),IF(MATCH($T5482,$T$6:$T$10005,0)=ROW()-5,N($X5481)+1,N($X5481)))</f>
        <v>0</v>
      </c>
      <c r="Z5482" t="str">
        <f t="shared" si="859"/>
        <v/>
      </c>
      <c r="AA5482">
        <f>IF($V5482="",N($AA5481),IF(MATCH($V5482,$V$6:$V$10005,0)=ROW()-5,N($AA5481)+1,N($AA5481)))</f>
        <v>0</v>
      </c>
    </row>
    <row r="5483" spans="1:27" ht="21" customHeight="1" x14ac:dyDescent="0.95">
      <c r="A5483" s="56"/>
      <c r="B5483" s="57"/>
      <c r="C5483" s="57"/>
      <c r="D5483" s="57"/>
      <c r="E5483" s="56"/>
      <c r="F5483" s="57"/>
      <c r="G5483" s="57"/>
      <c r="H5483" s="56"/>
      <c r="I5483" s="56"/>
      <c r="J5483" s="58"/>
      <c r="K5483" s="58"/>
      <c r="L5483" s="13" t="str">
        <f t="shared" si="850"/>
        <v/>
      </c>
      <c r="M5483" s="13" t="str">
        <f t="shared" si="851"/>
        <v/>
      </c>
      <c r="Q5483" t="str">
        <f t="shared" si="852"/>
        <v/>
      </c>
      <c r="R5483" t="str">
        <f t="shared" si="853"/>
        <v/>
      </c>
      <c r="S5483" t="str">
        <f t="shared" si="854"/>
        <v/>
      </c>
      <c r="T5483" t="str">
        <f t="shared" si="855"/>
        <v/>
      </c>
      <c r="U5483" t="str">
        <f t="shared" si="856"/>
        <v/>
      </c>
      <c r="V5483" t="str">
        <f t="shared" si="857"/>
        <v/>
      </c>
      <c r="W5483" t="str">
        <f t="shared" si="858"/>
        <v/>
      </c>
      <c r="X5483">
        <f>IF($T5483="",N($X5482),IF(MATCH($T5483,$T$6:$T$10005,0)=ROW()-5,N($X5482)+1,N($X5482)))</f>
        <v>0</v>
      </c>
      <c r="Z5483" t="str">
        <f t="shared" si="859"/>
        <v/>
      </c>
      <c r="AA5483">
        <f>IF($V5483="",N($AA5482),IF(MATCH($V5483,$V$6:$V$10005,0)=ROW()-5,N($AA5482)+1,N($AA5482)))</f>
        <v>0</v>
      </c>
    </row>
    <row r="5484" spans="1:27" ht="21" customHeight="1" x14ac:dyDescent="0.95">
      <c r="A5484" s="56"/>
      <c r="B5484" s="57"/>
      <c r="C5484" s="57"/>
      <c r="D5484" s="57"/>
      <c r="E5484" s="56"/>
      <c r="F5484" s="57"/>
      <c r="G5484" s="57"/>
      <c r="H5484" s="56"/>
      <c r="I5484" s="56"/>
      <c r="J5484" s="58"/>
      <c r="K5484" s="58"/>
      <c r="L5484" s="13" t="str">
        <f t="shared" si="850"/>
        <v/>
      </c>
      <c r="M5484" s="13" t="str">
        <f t="shared" si="851"/>
        <v/>
      </c>
      <c r="Q5484" t="str">
        <f t="shared" si="852"/>
        <v/>
      </c>
      <c r="R5484" t="str">
        <f t="shared" si="853"/>
        <v/>
      </c>
      <c r="S5484" t="str">
        <f t="shared" si="854"/>
        <v/>
      </c>
      <c r="T5484" t="str">
        <f t="shared" si="855"/>
        <v/>
      </c>
      <c r="U5484" t="str">
        <f t="shared" si="856"/>
        <v/>
      </c>
      <c r="V5484" t="str">
        <f t="shared" si="857"/>
        <v/>
      </c>
      <c r="W5484" t="str">
        <f t="shared" si="858"/>
        <v/>
      </c>
      <c r="X5484">
        <f>IF($T5484="",N($X5483),IF(MATCH($T5484,$T$6:$T$10005,0)=ROW()-5,N($X5483)+1,N($X5483)))</f>
        <v>0</v>
      </c>
      <c r="Z5484" t="str">
        <f t="shared" si="859"/>
        <v/>
      </c>
      <c r="AA5484">
        <f>IF($V5484="",N($AA5483),IF(MATCH($V5484,$V$6:$V$10005,0)=ROW()-5,N($AA5483)+1,N($AA5483)))</f>
        <v>0</v>
      </c>
    </row>
    <row r="5485" spans="1:27" ht="21" customHeight="1" x14ac:dyDescent="0.95">
      <c r="A5485" s="56"/>
      <c r="B5485" s="57"/>
      <c r="C5485" s="57"/>
      <c r="D5485" s="57"/>
      <c r="E5485" s="56"/>
      <c r="F5485" s="57"/>
      <c r="G5485" s="57"/>
      <c r="H5485" s="56"/>
      <c r="I5485" s="56"/>
      <c r="J5485" s="58"/>
      <c r="K5485" s="58"/>
      <c r="L5485" s="13" t="str">
        <f t="shared" si="850"/>
        <v/>
      </c>
      <c r="M5485" s="13" t="str">
        <f t="shared" si="851"/>
        <v/>
      </c>
      <c r="Q5485" t="str">
        <f t="shared" si="852"/>
        <v/>
      </c>
      <c r="R5485" t="str">
        <f t="shared" si="853"/>
        <v/>
      </c>
      <c r="S5485" t="str">
        <f t="shared" si="854"/>
        <v/>
      </c>
      <c r="T5485" t="str">
        <f t="shared" si="855"/>
        <v/>
      </c>
      <c r="U5485" t="str">
        <f t="shared" si="856"/>
        <v/>
      </c>
      <c r="V5485" t="str">
        <f t="shared" si="857"/>
        <v/>
      </c>
      <c r="W5485" t="str">
        <f t="shared" si="858"/>
        <v/>
      </c>
      <c r="X5485">
        <f>IF($T5485="",N($X5484),IF(MATCH($T5485,$T$6:$T$10005,0)=ROW()-5,N($X5484)+1,N($X5484)))</f>
        <v>0</v>
      </c>
      <c r="Z5485" t="str">
        <f t="shared" si="859"/>
        <v/>
      </c>
      <c r="AA5485">
        <f>IF($V5485="",N($AA5484),IF(MATCH($V5485,$V$6:$V$10005,0)=ROW()-5,N($AA5484)+1,N($AA5484)))</f>
        <v>0</v>
      </c>
    </row>
    <row r="5486" spans="1:27" ht="21" customHeight="1" x14ac:dyDescent="0.95">
      <c r="A5486" s="56"/>
      <c r="B5486" s="57"/>
      <c r="C5486" s="57"/>
      <c r="D5486" s="57"/>
      <c r="E5486" s="56"/>
      <c r="F5486" s="57"/>
      <c r="G5486" s="57"/>
      <c r="H5486" s="56"/>
      <c r="I5486" s="56"/>
      <c r="J5486" s="58"/>
      <c r="K5486" s="58"/>
      <c r="L5486" s="13" t="str">
        <f t="shared" si="850"/>
        <v/>
      </c>
      <c r="M5486" s="13" t="str">
        <f t="shared" si="851"/>
        <v/>
      </c>
      <c r="Q5486" t="str">
        <f t="shared" si="852"/>
        <v/>
      </c>
      <c r="R5486" t="str">
        <f t="shared" si="853"/>
        <v/>
      </c>
      <c r="S5486" t="str">
        <f t="shared" si="854"/>
        <v/>
      </c>
      <c r="T5486" t="str">
        <f t="shared" si="855"/>
        <v/>
      </c>
      <c r="U5486" t="str">
        <f t="shared" si="856"/>
        <v/>
      </c>
      <c r="V5486" t="str">
        <f t="shared" si="857"/>
        <v/>
      </c>
      <c r="W5486" t="str">
        <f t="shared" si="858"/>
        <v/>
      </c>
      <c r="X5486">
        <f>IF($T5486="",N($X5485),IF(MATCH($T5486,$T$6:$T$10005,0)=ROW()-5,N($X5485)+1,N($X5485)))</f>
        <v>0</v>
      </c>
      <c r="Z5486" t="str">
        <f t="shared" si="859"/>
        <v/>
      </c>
      <c r="AA5486">
        <f>IF($V5486="",N($AA5485),IF(MATCH($V5486,$V$6:$V$10005,0)=ROW()-5,N($AA5485)+1,N($AA5485)))</f>
        <v>0</v>
      </c>
    </row>
    <row r="5487" spans="1:27" ht="21" customHeight="1" x14ac:dyDescent="0.95">
      <c r="A5487" s="56"/>
      <c r="B5487" s="57"/>
      <c r="C5487" s="57"/>
      <c r="D5487" s="57"/>
      <c r="E5487" s="56"/>
      <c r="F5487" s="57"/>
      <c r="G5487" s="57"/>
      <c r="H5487" s="56"/>
      <c r="I5487" s="56"/>
      <c r="J5487" s="58"/>
      <c r="K5487" s="58"/>
      <c r="L5487" s="13" t="str">
        <f t="shared" si="850"/>
        <v/>
      </c>
      <c r="M5487" s="13" t="str">
        <f t="shared" si="851"/>
        <v/>
      </c>
      <c r="Q5487" t="str">
        <f t="shared" si="852"/>
        <v/>
      </c>
      <c r="R5487" t="str">
        <f t="shared" si="853"/>
        <v/>
      </c>
      <c r="S5487" t="str">
        <f t="shared" si="854"/>
        <v/>
      </c>
      <c r="T5487" t="str">
        <f t="shared" si="855"/>
        <v/>
      </c>
      <c r="U5487" t="str">
        <f t="shared" si="856"/>
        <v/>
      </c>
      <c r="V5487" t="str">
        <f t="shared" si="857"/>
        <v/>
      </c>
      <c r="W5487" t="str">
        <f t="shared" si="858"/>
        <v/>
      </c>
      <c r="X5487">
        <f>IF($T5487="",N($X5486),IF(MATCH($T5487,$T$6:$T$10005,0)=ROW()-5,N($X5486)+1,N($X5486)))</f>
        <v>0</v>
      </c>
      <c r="Z5487" t="str">
        <f t="shared" si="859"/>
        <v/>
      </c>
      <c r="AA5487">
        <f>IF($V5487="",N($AA5486),IF(MATCH($V5487,$V$6:$V$10005,0)=ROW()-5,N($AA5486)+1,N($AA5486)))</f>
        <v>0</v>
      </c>
    </row>
    <row r="5488" spans="1:27" ht="21" customHeight="1" x14ac:dyDescent="0.95">
      <c r="A5488" s="56"/>
      <c r="B5488" s="57"/>
      <c r="C5488" s="57"/>
      <c r="D5488" s="57"/>
      <c r="E5488" s="56"/>
      <c r="F5488" s="57"/>
      <c r="G5488" s="57"/>
      <c r="H5488" s="56"/>
      <c r="I5488" s="56"/>
      <c r="J5488" s="58"/>
      <c r="K5488" s="58"/>
      <c r="L5488" s="13" t="str">
        <f t="shared" si="850"/>
        <v/>
      </c>
      <c r="M5488" s="13" t="str">
        <f t="shared" si="851"/>
        <v/>
      </c>
      <c r="Q5488" t="str">
        <f t="shared" si="852"/>
        <v/>
      </c>
      <c r="R5488" t="str">
        <f t="shared" si="853"/>
        <v/>
      </c>
      <c r="S5488" t="str">
        <f t="shared" si="854"/>
        <v/>
      </c>
      <c r="T5488" t="str">
        <f t="shared" si="855"/>
        <v/>
      </c>
      <c r="U5488" t="str">
        <f t="shared" si="856"/>
        <v/>
      </c>
      <c r="V5488" t="str">
        <f t="shared" si="857"/>
        <v/>
      </c>
      <c r="W5488" t="str">
        <f t="shared" si="858"/>
        <v/>
      </c>
      <c r="X5488">
        <f>IF($T5488="",N($X5487),IF(MATCH($T5488,$T$6:$T$10005,0)=ROW()-5,N($X5487)+1,N($X5487)))</f>
        <v>0</v>
      </c>
      <c r="Z5488" t="str">
        <f t="shared" si="859"/>
        <v/>
      </c>
      <c r="AA5488">
        <f>IF($V5488="",N($AA5487),IF(MATCH($V5488,$V$6:$V$10005,0)=ROW()-5,N($AA5487)+1,N($AA5487)))</f>
        <v>0</v>
      </c>
    </row>
    <row r="5489" spans="1:27" ht="21" customHeight="1" x14ac:dyDescent="0.95">
      <c r="A5489" s="56"/>
      <c r="B5489" s="57"/>
      <c r="C5489" s="57"/>
      <c r="D5489" s="57"/>
      <c r="E5489" s="56"/>
      <c r="F5489" s="57"/>
      <c r="G5489" s="57"/>
      <c r="H5489" s="56"/>
      <c r="I5489" s="56"/>
      <c r="J5489" s="58"/>
      <c r="K5489" s="58"/>
      <c r="L5489" s="13" t="str">
        <f t="shared" si="850"/>
        <v/>
      </c>
      <c r="M5489" s="13" t="str">
        <f t="shared" si="851"/>
        <v/>
      </c>
      <c r="Q5489" t="str">
        <f t="shared" si="852"/>
        <v/>
      </c>
      <c r="R5489" t="str">
        <f t="shared" si="853"/>
        <v/>
      </c>
      <c r="S5489" t="str">
        <f t="shared" si="854"/>
        <v/>
      </c>
      <c r="T5489" t="str">
        <f t="shared" si="855"/>
        <v/>
      </c>
      <c r="U5489" t="str">
        <f t="shared" si="856"/>
        <v/>
      </c>
      <c r="V5489" t="str">
        <f t="shared" si="857"/>
        <v/>
      </c>
      <c r="W5489" t="str">
        <f t="shared" si="858"/>
        <v/>
      </c>
      <c r="X5489">
        <f>IF($T5489="",N($X5488),IF(MATCH($T5489,$T$6:$T$10005,0)=ROW()-5,N($X5488)+1,N($X5488)))</f>
        <v>0</v>
      </c>
      <c r="Z5489" t="str">
        <f t="shared" si="859"/>
        <v/>
      </c>
      <c r="AA5489">
        <f>IF($V5489="",N($AA5488),IF(MATCH($V5489,$V$6:$V$10005,0)=ROW()-5,N($AA5488)+1,N($AA5488)))</f>
        <v>0</v>
      </c>
    </row>
    <row r="5490" spans="1:27" ht="21" customHeight="1" x14ac:dyDescent="0.95">
      <c r="A5490" s="56"/>
      <c r="B5490" s="57"/>
      <c r="C5490" s="57"/>
      <c r="D5490" s="57"/>
      <c r="E5490" s="56"/>
      <c r="F5490" s="57"/>
      <c r="G5490" s="57"/>
      <c r="H5490" s="56"/>
      <c r="I5490" s="56"/>
      <c r="J5490" s="58"/>
      <c r="K5490" s="58"/>
      <c r="L5490" s="13" t="str">
        <f t="shared" si="850"/>
        <v/>
      </c>
      <c r="M5490" s="13" t="str">
        <f t="shared" si="851"/>
        <v/>
      </c>
      <c r="Q5490" t="str">
        <f t="shared" si="852"/>
        <v/>
      </c>
      <c r="R5490" t="str">
        <f t="shared" si="853"/>
        <v/>
      </c>
      <c r="S5490" t="str">
        <f t="shared" si="854"/>
        <v/>
      </c>
      <c r="T5490" t="str">
        <f t="shared" si="855"/>
        <v/>
      </c>
      <c r="U5490" t="str">
        <f t="shared" si="856"/>
        <v/>
      </c>
      <c r="V5490" t="str">
        <f t="shared" si="857"/>
        <v/>
      </c>
      <c r="W5490" t="str">
        <f t="shared" si="858"/>
        <v/>
      </c>
      <c r="X5490">
        <f>IF($T5490="",N($X5489),IF(MATCH($T5490,$T$6:$T$10005,0)=ROW()-5,N($X5489)+1,N($X5489)))</f>
        <v>0</v>
      </c>
      <c r="Z5490" t="str">
        <f t="shared" si="859"/>
        <v/>
      </c>
      <c r="AA5490">
        <f>IF($V5490="",N($AA5489),IF(MATCH($V5490,$V$6:$V$10005,0)=ROW()-5,N($AA5489)+1,N($AA5489)))</f>
        <v>0</v>
      </c>
    </row>
    <row r="5491" spans="1:27" ht="21" customHeight="1" x14ac:dyDescent="0.95">
      <c r="A5491" s="56"/>
      <c r="B5491" s="57"/>
      <c r="C5491" s="57"/>
      <c r="D5491" s="57"/>
      <c r="E5491" s="56"/>
      <c r="F5491" s="57"/>
      <c r="G5491" s="57"/>
      <c r="H5491" s="56"/>
      <c r="I5491" s="56"/>
      <c r="J5491" s="58"/>
      <c r="K5491" s="58"/>
      <c r="L5491" s="13" t="str">
        <f t="shared" si="850"/>
        <v/>
      </c>
      <c r="M5491" s="13" t="str">
        <f t="shared" si="851"/>
        <v/>
      </c>
      <c r="Q5491" t="str">
        <f t="shared" si="852"/>
        <v/>
      </c>
      <c r="R5491" t="str">
        <f t="shared" si="853"/>
        <v/>
      </c>
      <c r="S5491" t="str">
        <f t="shared" si="854"/>
        <v/>
      </c>
      <c r="T5491" t="str">
        <f t="shared" si="855"/>
        <v/>
      </c>
      <c r="U5491" t="str">
        <f t="shared" si="856"/>
        <v/>
      </c>
      <c r="V5491" t="str">
        <f t="shared" si="857"/>
        <v/>
      </c>
      <c r="W5491" t="str">
        <f t="shared" si="858"/>
        <v/>
      </c>
      <c r="X5491">
        <f>IF($T5491="",N($X5490),IF(MATCH($T5491,$T$6:$T$10005,0)=ROW()-5,N($X5490)+1,N($X5490)))</f>
        <v>0</v>
      </c>
      <c r="Z5491" t="str">
        <f t="shared" si="859"/>
        <v/>
      </c>
      <c r="AA5491">
        <f>IF($V5491="",N($AA5490),IF(MATCH($V5491,$V$6:$V$10005,0)=ROW()-5,N($AA5490)+1,N($AA5490)))</f>
        <v>0</v>
      </c>
    </row>
    <row r="5492" spans="1:27" ht="21" customHeight="1" x14ac:dyDescent="0.95">
      <c r="A5492" s="56"/>
      <c r="B5492" s="57"/>
      <c r="C5492" s="57"/>
      <c r="D5492" s="57"/>
      <c r="E5492" s="56"/>
      <c r="F5492" s="57"/>
      <c r="G5492" s="57"/>
      <c r="H5492" s="56"/>
      <c r="I5492" s="56"/>
      <c r="J5492" s="58"/>
      <c r="K5492" s="58"/>
      <c r="L5492" s="13" t="str">
        <f t="shared" si="850"/>
        <v/>
      </c>
      <c r="M5492" s="13" t="str">
        <f t="shared" si="851"/>
        <v/>
      </c>
      <c r="Q5492" t="str">
        <f t="shared" si="852"/>
        <v/>
      </c>
      <c r="R5492" t="str">
        <f t="shared" si="853"/>
        <v/>
      </c>
      <c r="S5492" t="str">
        <f t="shared" si="854"/>
        <v/>
      </c>
      <c r="T5492" t="str">
        <f t="shared" si="855"/>
        <v/>
      </c>
      <c r="U5492" t="str">
        <f t="shared" si="856"/>
        <v/>
      </c>
      <c r="V5492" t="str">
        <f t="shared" si="857"/>
        <v/>
      </c>
      <c r="W5492" t="str">
        <f t="shared" si="858"/>
        <v/>
      </c>
      <c r="X5492">
        <f>IF($T5492="",N($X5491),IF(MATCH($T5492,$T$6:$T$10005,0)=ROW()-5,N($X5491)+1,N($X5491)))</f>
        <v>0</v>
      </c>
      <c r="Z5492" t="str">
        <f t="shared" si="859"/>
        <v/>
      </c>
      <c r="AA5492">
        <f>IF($V5492="",N($AA5491),IF(MATCH($V5492,$V$6:$V$10005,0)=ROW()-5,N($AA5491)+1,N($AA5491)))</f>
        <v>0</v>
      </c>
    </row>
    <row r="5493" spans="1:27" ht="21" customHeight="1" x14ac:dyDescent="0.95">
      <c r="A5493" s="56"/>
      <c r="B5493" s="57"/>
      <c r="C5493" s="57"/>
      <c r="D5493" s="57"/>
      <c r="E5493" s="56"/>
      <c r="F5493" s="57"/>
      <c r="G5493" s="57"/>
      <c r="H5493" s="56"/>
      <c r="I5493" s="56"/>
      <c r="J5493" s="58"/>
      <c r="K5493" s="58"/>
      <c r="L5493" s="13" t="str">
        <f t="shared" si="850"/>
        <v/>
      </c>
      <c r="M5493" s="13" t="str">
        <f t="shared" si="851"/>
        <v/>
      </c>
      <c r="Q5493" t="str">
        <f t="shared" si="852"/>
        <v/>
      </c>
      <c r="R5493" t="str">
        <f t="shared" si="853"/>
        <v/>
      </c>
      <c r="S5493" t="str">
        <f t="shared" si="854"/>
        <v/>
      </c>
      <c r="T5493" t="str">
        <f t="shared" si="855"/>
        <v/>
      </c>
      <c r="U5493" t="str">
        <f t="shared" si="856"/>
        <v/>
      </c>
      <c r="V5493" t="str">
        <f t="shared" si="857"/>
        <v/>
      </c>
      <c r="W5493" t="str">
        <f t="shared" si="858"/>
        <v/>
      </c>
      <c r="X5493">
        <f>IF($T5493="",N($X5492),IF(MATCH($T5493,$T$6:$T$10005,0)=ROW()-5,N($X5492)+1,N($X5492)))</f>
        <v>0</v>
      </c>
      <c r="Z5493" t="str">
        <f t="shared" si="859"/>
        <v/>
      </c>
      <c r="AA5493">
        <f>IF($V5493="",N($AA5492),IF(MATCH($V5493,$V$6:$V$10005,0)=ROW()-5,N($AA5492)+1,N($AA5492)))</f>
        <v>0</v>
      </c>
    </row>
    <row r="5494" spans="1:27" ht="21" customHeight="1" x14ac:dyDescent="0.95">
      <c r="A5494" s="56"/>
      <c r="B5494" s="57"/>
      <c r="C5494" s="57"/>
      <c r="D5494" s="57"/>
      <c r="E5494" s="56"/>
      <c r="F5494" s="57"/>
      <c r="G5494" s="57"/>
      <c r="H5494" s="56"/>
      <c r="I5494" s="56"/>
      <c r="J5494" s="58"/>
      <c r="K5494" s="58"/>
      <c r="L5494" s="13" t="str">
        <f t="shared" si="850"/>
        <v/>
      </c>
      <c r="M5494" s="13" t="str">
        <f t="shared" si="851"/>
        <v/>
      </c>
      <c r="Q5494" t="str">
        <f t="shared" si="852"/>
        <v/>
      </c>
      <c r="R5494" t="str">
        <f t="shared" si="853"/>
        <v/>
      </c>
      <c r="S5494" t="str">
        <f t="shared" si="854"/>
        <v/>
      </c>
      <c r="T5494" t="str">
        <f t="shared" si="855"/>
        <v/>
      </c>
      <c r="U5494" t="str">
        <f t="shared" si="856"/>
        <v/>
      </c>
      <c r="V5494" t="str">
        <f t="shared" si="857"/>
        <v/>
      </c>
      <c r="W5494" t="str">
        <f t="shared" si="858"/>
        <v/>
      </c>
      <c r="X5494">
        <f>IF($T5494="",N($X5493),IF(MATCH($T5494,$T$6:$T$10005,0)=ROW()-5,N($X5493)+1,N($X5493)))</f>
        <v>0</v>
      </c>
      <c r="Z5494" t="str">
        <f t="shared" si="859"/>
        <v/>
      </c>
      <c r="AA5494">
        <f>IF($V5494="",N($AA5493),IF(MATCH($V5494,$V$6:$V$10005,0)=ROW()-5,N($AA5493)+1,N($AA5493)))</f>
        <v>0</v>
      </c>
    </row>
    <row r="5495" spans="1:27" ht="21" customHeight="1" x14ac:dyDescent="0.95">
      <c r="A5495" s="56"/>
      <c r="B5495" s="57"/>
      <c r="C5495" s="57"/>
      <c r="D5495" s="57"/>
      <c r="E5495" s="56"/>
      <c r="F5495" s="57"/>
      <c r="G5495" s="57"/>
      <c r="H5495" s="56"/>
      <c r="I5495" s="56"/>
      <c r="J5495" s="58"/>
      <c r="K5495" s="58"/>
      <c r="L5495" s="13" t="str">
        <f t="shared" si="850"/>
        <v/>
      </c>
      <c r="M5495" s="13" t="str">
        <f t="shared" si="851"/>
        <v/>
      </c>
      <c r="Q5495" t="str">
        <f t="shared" si="852"/>
        <v/>
      </c>
      <c r="R5495" t="str">
        <f t="shared" si="853"/>
        <v/>
      </c>
      <c r="S5495" t="str">
        <f t="shared" si="854"/>
        <v/>
      </c>
      <c r="T5495" t="str">
        <f t="shared" si="855"/>
        <v/>
      </c>
      <c r="U5495" t="str">
        <f t="shared" si="856"/>
        <v/>
      </c>
      <c r="V5495" t="str">
        <f t="shared" si="857"/>
        <v/>
      </c>
      <c r="W5495" t="str">
        <f t="shared" si="858"/>
        <v/>
      </c>
      <c r="X5495">
        <f>IF($T5495="",N($X5494),IF(MATCH($T5495,$T$6:$T$10005,0)=ROW()-5,N($X5494)+1,N($X5494)))</f>
        <v>0</v>
      </c>
      <c r="Z5495" t="str">
        <f t="shared" si="859"/>
        <v/>
      </c>
      <c r="AA5495">
        <f>IF($V5495="",N($AA5494),IF(MATCH($V5495,$V$6:$V$10005,0)=ROW()-5,N($AA5494)+1,N($AA5494)))</f>
        <v>0</v>
      </c>
    </row>
    <row r="5496" spans="1:27" ht="21" customHeight="1" x14ac:dyDescent="0.95">
      <c r="A5496" s="56"/>
      <c r="B5496" s="57"/>
      <c r="C5496" s="57"/>
      <c r="D5496" s="57"/>
      <c r="E5496" s="56"/>
      <c r="F5496" s="57"/>
      <c r="G5496" s="57"/>
      <c r="H5496" s="56"/>
      <c r="I5496" s="56"/>
      <c r="J5496" s="58"/>
      <c r="K5496" s="58"/>
      <c r="L5496" s="13" t="str">
        <f t="shared" si="850"/>
        <v/>
      </c>
      <c r="M5496" s="13" t="str">
        <f t="shared" si="851"/>
        <v/>
      </c>
      <c r="Q5496" t="str">
        <f t="shared" si="852"/>
        <v/>
      </c>
      <c r="R5496" t="str">
        <f t="shared" si="853"/>
        <v/>
      </c>
      <c r="S5496" t="str">
        <f t="shared" si="854"/>
        <v/>
      </c>
      <c r="T5496" t="str">
        <f t="shared" si="855"/>
        <v/>
      </c>
      <c r="U5496" t="str">
        <f t="shared" si="856"/>
        <v/>
      </c>
      <c r="V5496" t="str">
        <f t="shared" si="857"/>
        <v/>
      </c>
      <c r="W5496" t="str">
        <f t="shared" si="858"/>
        <v/>
      </c>
      <c r="X5496">
        <f>IF($T5496="",N($X5495),IF(MATCH($T5496,$T$6:$T$10005,0)=ROW()-5,N($X5495)+1,N($X5495)))</f>
        <v>0</v>
      </c>
      <c r="Z5496" t="str">
        <f t="shared" si="859"/>
        <v/>
      </c>
      <c r="AA5496">
        <f>IF($V5496="",N($AA5495),IF(MATCH($V5496,$V$6:$V$10005,0)=ROW()-5,N($AA5495)+1,N($AA5495)))</f>
        <v>0</v>
      </c>
    </row>
    <row r="5497" spans="1:27" ht="21" customHeight="1" x14ac:dyDescent="0.95">
      <c r="A5497" s="56"/>
      <c r="B5497" s="57"/>
      <c r="C5497" s="57"/>
      <c r="D5497" s="57"/>
      <c r="E5497" s="56"/>
      <c r="F5497" s="57"/>
      <c r="G5497" s="57"/>
      <c r="H5497" s="56"/>
      <c r="I5497" s="56"/>
      <c r="J5497" s="58"/>
      <c r="K5497" s="58"/>
      <c r="L5497" s="13" t="str">
        <f t="shared" si="850"/>
        <v/>
      </c>
      <c r="M5497" s="13" t="str">
        <f t="shared" si="851"/>
        <v/>
      </c>
      <c r="Q5497" t="str">
        <f t="shared" si="852"/>
        <v/>
      </c>
      <c r="R5497" t="str">
        <f t="shared" si="853"/>
        <v/>
      </c>
      <c r="S5497" t="str">
        <f t="shared" si="854"/>
        <v/>
      </c>
      <c r="T5497" t="str">
        <f t="shared" si="855"/>
        <v/>
      </c>
      <c r="U5497" t="str">
        <f t="shared" si="856"/>
        <v/>
      </c>
      <c r="V5497" t="str">
        <f t="shared" si="857"/>
        <v/>
      </c>
      <c r="W5497" t="str">
        <f t="shared" si="858"/>
        <v/>
      </c>
      <c r="X5497">
        <f>IF($T5497="",N($X5496),IF(MATCH($T5497,$T$6:$T$10005,0)=ROW()-5,N($X5496)+1,N($X5496)))</f>
        <v>0</v>
      </c>
      <c r="Z5497" t="str">
        <f t="shared" si="859"/>
        <v/>
      </c>
      <c r="AA5497">
        <f>IF($V5497="",N($AA5496),IF(MATCH($V5497,$V$6:$V$10005,0)=ROW()-5,N($AA5496)+1,N($AA5496)))</f>
        <v>0</v>
      </c>
    </row>
    <row r="5498" spans="1:27" ht="21" customHeight="1" x14ac:dyDescent="0.95">
      <c r="A5498" s="56"/>
      <c r="B5498" s="57"/>
      <c r="C5498" s="57"/>
      <c r="D5498" s="57"/>
      <c r="E5498" s="56"/>
      <c r="F5498" s="57"/>
      <c r="G5498" s="57"/>
      <c r="H5498" s="56"/>
      <c r="I5498" s="56"/>
      <c r="J5498" s="58"/>
      <c r="K5498" s="58"/>
      <c r="L5498" s="13" t="str">
        <f t="shared" si="850"/>
        <v/>
      </c>
      <c r="M5498" s="13" t="str">
        <f t="shared" si="851"/>
        <v/>
      </c>
      <c r="Q5498" t="str">
        <f t="shared" si="852"/>
        <v/>
      </c>
      <c r="R5498" t="str">
        <f t="shared" si="853"/>
        <v/>
      </c>
      <c r="S5498" t="str">
        <f t="shared" si="854"/>
        <v/>
      </c>
      <c r="T5498" t="str">
        <f t="shared" si="855"/>
        <v/>
      </c>
      <c r="U5498" t="str">
        <f t="shared" si="856"/>
        <v/>
      </c>
      <c r="V5498" t="str">
        <f t="shared" si="857"/>
        <v/>
      </c>
      <c r="W5498" t="str">
        <f t="shared" si="858"/>
        <v/>
      </c>
      <c r="X5498">
        <f>IF($T5498="",N($X5497),IF(MATCH($T5498,$T$6:$T$10005,0)=ROW()-5,N($X5497)+1,N($X5497)))</f>
        <v>0</v>
      </c>
      <c r="Z5498" t="str">
        <f t="shared" si="859"/>
        <v/>
      </c>
      <c r="AA5498">
        <f>IF($V5498="",N($AA5497),IF(MATCH($V5498,$V$6:$V$10005,0)=ROW()-5,N($AA5497)+1,N($AA5497)))</f>
        <v>0</v>
      </c>
    </row>
    <row r="5499" spans="1:27" ht="21" customHeight="1" x14ac:dyDescent="0.95">
      <c r="A5499" s="56"/>
      <c r="B5499" s="57"/>
      <c r="C5499" s="57"/>
      <c r="D5499" s="57"/>
      <c r="E5499" s="56"/>
      <c r="F5499" s="57"/>
      <c r="G5499" s="57"/>
      <c r="H5499" s="56"/>
      <c r="I5499" s="56"/>
      <c r="J5499" s="58"/>
      <c r="K5499" s="58"/>
      <c r="L5499" s="13" t="str">
        <f t="shared" si="850"/>
        <v/>
      </c>
      <c r="M5499" s="13" t="str">
        <f t="shared" si="851"/>
        <v/>
      </c>
      <c r="Q5499" t="str">
        <f t="shared" si="852"/>
        <v/>
      </c>
      <c r="R5499" t="str">
        <f t="shared" si="853"/>
        <v/>
      </c>
      <c r="S5499" t="str">
        <f t="shared" si="854"/>
        <v/>
      </c>
      <c r="T5499" t="str">
        <f t="shared" si="855"/>
        <v/>
      </c>
      <c r="U5499" t="str">
        <f t="shared" si="856"/>
        <v/>
      </c>
      <c r="V5499" t="str">
        <f t="shared" si="857"/>
        <v/>
      </c>
      <c r="W5499" t="str">
        <f t="shared" si="858"/>
        <v/>
      </c>
      <c r="X5499">
        <f>IF($T5499="",N($X5498),IF(MATCH($T5499,$T$6:$T$10005,0)=ROW()-5,N($X5498)+1,N($X5498)))</f>
        <v>0</v>
      </c>
      <c r="Z5499" t="str">
        <f t="shared" si="859"/>
        <v/>
      </c>
      <c r="AA5499">
        <f>IF($V5499="",N($AA5498),IF(MATCH($V5499,$V$6:$V$10005,0)=ROW()-5,N($AA5498)+1,N($AA5498)))</f>
        <v>0</v>
      </c>
    </row>
    <row r="5500" spans="1:27" ht="21" customHeight="1" x14ac:dyDescent="0.95">
      <c r="A5500" s="56"/>
      <c r="B5500" s="57"/>
      <c r="C5500" s="57"/>
      <c r="D5500" s="57"/>
      <c r="E5500" s="56"/>
      <c r="F5500" s="57"/>
      <c r="G5500" s="57"/>
      <c r="H5500" s="56"/>
      <c r="I5500" s="56"/>
      <c r="J5500" s="58"/>
      <c r="K5500" s="58"/>
      <c r="L5500" s="13" t="str">
        <f t="shared" si="850"/>
        <v/>
      </c>
      <c r="M5500" s="13" t="str">
        <f t="shared" si="851"/>
        <v/>
      </c>
      <c r="Q5500" t="str">
        <f t="shared" si="852"/>
        <v/>
      </c>
      <c r="R5500" t="str">
        <f t="shared" si="853"/>
        <v/>
      </c>
      <c r="S5500" t="str">
        <f t="shared" si="854"/>
        <v/>
      </c>
      <c r="T5500" t="str">
        <f t="shared" si="855"/>
        <v/>
      </c>
      <c r="U5500" t="str">
        <f t="shared" si="856"/>
        <v/>
      </c>
      <c r="V5500" t="str">
        <f t="shared" si="857"/>
        <v/>
      </c>
      <c r="W5500" t="str">
        <f t="shared" si="858"/>
        <v/>
      </c>
      <c r="X5500">
        <f>IF($T5500="",N($X5499),IF(MATCH($T5500,$T$6:$T$10005,0)=ROW()-5,N($X5499)+1,N($X5499)))</f>
        <v>0</v>
      </c>
      <c r="Z5500" t="str">
        <f t="shared" si="859"/>
        <v/>
      </c>
      <c r="AA5500">
        <f>IF($V5500="",N($AA5499),IF(MATCH($V5500,$V$6:$V$10005,0)=ROW()-5,N($AA5499)+1,N($AA5499)))</f>
        <v>0</v>
      </c>
    </row>
    <row r="5501" spans="1:27" ht="21" customHeight="1" x14ac:dyDescent="0.95">
      <c r="A5501" s="56"/>
      <c r="B5501" s="57"/>
      <c r="C5501" s="57"/>
      <c r="D5501" s="57"/>
      <c r="E5501" s="56"/>
      <c r="F5501" s="57"/>
      <c r="G5501" s="57"/>
      <c r="H5501" s="56"/>
      <c r="I5501" s="56"/>
      <c r="J5501" s="58"/>
      <c r="K5501" s="58"/>
      <c r="L5501" s="13" t="str">
        <f t="shared" si="850"/>
        <v/>
      </c>
      <c r="M5501" s="13" t="str">
        <f t="shared" si="851"/>
        <v/>
      </c>
      <c r="Q5501" t="str">
        <f t="shared" si="852"/>
        <v/>
      </c>
      <c r="R5501" t="str">
        <f t="shared" si="853"/>
        <v/>
      </c>
      <c r="S5501" t="str">
        <f t="shared" si="854"/>
        <v/>
      </c>
      <c r="T5501" t="str">
        <f t="shared" si="855"/>
        <v/>
      </c>
      <c r="U5501" t="str">
        <f t="shared" si="856"/>
        <v/>
      </c>
      <c r="V5501" t="str">
        <f t="shared" si="857"/>
        <v/>
      </c>
      <c r="W5501" t="str">
        <f t="shared" si="858"/>
        <v/>
      </c>
      <c r="X5501">
        <f>IF($T5501="",N($X5500),IF(MATCH($T5501,$T$6:$T$10005,0)=ROW()-5,N($X5500)+1,N($X5500)))</f>
        <v>0</v>
      </c>
      <c r="Z5501" t="str">
        <f t="shared" si="859"/>
        <v/>
      </c>
      <c r="AA5501">
        <f>IF($V5501="",N($AA5500),IF(MATCH($V5501,$V$6:$V$10005,0)=ROW()-5,N($AA5500)+1,N($AA5500)))</f>
        <v>0</v>
      </c>
    </row>
    <row r="5502" spans="1:27" ht="21" customHeight="1" x14ac:dyDescent="0.95">
      <c r="A5502" s="56"/>
      <c r="B5502" s="57"/>
      <c r="C5502" s="57"/>
      <c r="D5502" s="57"/>
      <c r="E5502" s="56"/>
      <c r="F5502" s="57"/>
      <c r="G5502" s="57"/>
      <c r="H5502" s="56"/>
      <c r="I5502" s="56"/>
      <c r="J5502" s="58"/>
      <c r="K5502" s="58"/>
      <c r="L5502" s="13" t="str">
        <f t="shared" si="850"/>
        <v/>
      </c>
      <c r="M5502" s="13" t="str">
        <f t="shared" si="851"/>
        <v/>
      </c>
      <c r="Q5502" t="str">
        <f t="shared" si="852"/>
        <v/>
      </c>
      <c r="R5502" t="str">
        <f t="shared" si="853"/>
        <v/>
      </c>
      <c r="S5502" t="str">
        <f t="shared" si="854"/>
        <v/>
      </c>
      <c r="T5502" t="str">
        <f t="shared" si="855"/>
        <v/>
      </c>
      <c r="U5502" t="str">
        <f t="shared" si="856"/>
        <v/>
      </c>
      <c r="V5502" t="str">
        <f t="shared" si="857"/>
        <v/>
      </c>
      <c r="W5502" t="str">
        <f t="shared" si="858"/>
        <v/>
      </c>
      <c r="X5502">
        <f>IF($T5502="",N($X5501),IF(MATCH($T5502,$T$6:$T$10005,0)=ROW()-5,N($X5501)+1,N($X5501)))</f>
        <v>0</v>
      </c>
      <c r="Z5502" t="str">
        <f t="shared" si="859"/>
        <v/>
      </c>
      <c r="AA5502">
        <f>IF($V5502="",N($AA5501),IF(MATCH($V5502,$V$6:$V$10005,0)=ROW()-5,N($AA5501)+1,N($AA5501)))</f>
        <v>0</v>
      </c>
    </row>
    <row r="5503" spans="1:27" ht="21" customHeight="1" x14ac:dyDescent="0.95">
      <c r="A5503" s="56"/>
      <c r="B5503" s="57"/>
      <c r="C5503" s="57"/>
      <c r="D5503" s="57"/>
      <c r="E5503" s="56"/>
      <c r="F5503" s="57"/>
      <c r="G5503" s="57"/>
      <c r="H5503" s="56"/>
      <c r="I5503" s="56"/>
      <c r="J5503" s="58"/>
      <c r="K5503" s="58"/>
      <c r="L5503" s="13" t="str">
        <f t="shared" si="850"/>
        <v/>
      </c>
      <c r="M5503" s="13" t="str">
        <f t="shared" si="851"/>
        <v/>
      </c>
      <c r="Q5503" t="str">
        <f t="shared" si="852"/>
        <v/>
      </c>
      <c r="R5503" t="str">
        <f t="shared" si="853"/>
        <v/>
      </c>
      <c r="S5503" t="str">
        <f t="shared" si="854"/>
        <v/>
      </c>
      <c r="T5503" t="str">
        <f t="shared" si="855"/>
        <v/>
      </c>
      <c r="U5503" t="str">
        <f t="shared" si="856"/>
        <v/>
      </c>
      <c r="V5503" t="str">
        <f t="shared" si="857"/>
        <v/>
      </c>
      <c r="W5503" t="str">
        <f t="shared" si="858"/>
        <v/>
      </c>
      <c r="X5503">
        <f>IF($T5503="",N($X5502),IF(MATCH($T5503,$T$6:$T$10005,0)=ROW()-5,N($X5502)+1,N($X5502)))</f>
        <v>0</v>
      </c>
      <c r="Z5503" t="str">
        <f t="shared" si="859"/>
        <v/>
      </c>
      <c r="AA5503">
        <f>IF($V5503="",N($AA5502),IF(MATCH($V5503,$V$6:$V$10005,0)=ROW()-5,N($AA5502)+1,N($AA5502)))</f>
        <v>0</v>
      </c>
    </row>
    <row r="5504" spans="1:27" ht="21" customHeight="1" x14ac:dyDescent="0.95">
      <c r="A5504" s="56"/>
      <c r="B5504" s="57"/>
      <c r="C5504" s="57"/>
      <c r="D5504" s="57"/>
      <c r="E5504" s="56"/>
      <c r="F5504" s="57"/>
      <c r="G5504" s="57"/>
      <c r="H5504" s="56"/>
      <c r="I5504" s="56"/>
      <c r="J5504" s="58"/>
      <c r="K5504" s="58"/>
      <c r="L5504" s="13" t="str">
        <f t="shared" si="850"/>
        <v/>
      </c>
      <c r="M5504" s="13" t="str">
        <f t="shared" si="851"/>
        <v/>
      </c>
      <c r="Q5504" t="str">
        <f t="shared" si="852"/>
        <v/>
      </c>
      <c r="R5504" t="str">
        <f t="shared" si="853"/>
        <v/>
      </c>
      <c r="S5504" t="str">
        <f t="shared" si="854"/>
        <v/>
      </c>
      <c r="T5504" t="str">
        <f t="shared" si="855"/>
        <v/>
      </c>
      <c r="U5504" t="str">
        <f t="shared" si="856"/>
        <v/>
      </c>
      <c r="V5504" t="str">
        <f t="shared" si="857"/>
        <v/>
      </c>
      <c r="W5504" t="str">
        <f t="shared" si="858"/>
        <v/>
      </c>
      <c r="X5504">
        <f>IF($T5504="",N($X5503),IF(MATCH($T5504,$T$6:$T$10005,0)=ROW()-5,N($X5503)+1,N($X5503)))</f>
        <v>0</v>
      </c>
      <c r="Z5504" t="str">
        <f t="shared" si="859"/>
        <v/>
      </c>
      <c r="AA5504">
        <f>IF($V5504="",N($AA5503),IF(MATCH($V5504,$V$6:$V$10005,0)=ROW()-5,N($AA5503)+1,N($AA5503)))</f>
        <v>0</v>
      </c>
    </row>
    <row r="5505" spans="1:27" ht="21" customHeight="1" x14ac:dyDescent="0.95">
      <c r="A5505" s="56"/>
      <c r="B5505" s="57"/>
      <c r="C5505" s="57"/>
      <c r="D5505" s="57"/>
      <c r="E5505" s="56"/>
      <c r="F5505" s="57"/>
      <c r="G5505" s="57"/>
      <c r="H5505" s="56"/>
      <c r="I5505" s="56"/>
      <c r="J5505" s="58"/>
      <c r="K5505" s="58"/>
      <c r="L5505" s="13" t="str">
        <f t="shared" si="850"/>
        <v/>
      </c>
      <c r="M5505" s="13" t="str">
        <f t="shared" si="851"/>
        <v/>
      </c>
      <c r="Q5505" t="str">
        <f t="shared" si="852"/>
        <v/>
      </c>
      <c r="R5505" t="str">
        <f t="shared" si="853"/>
        <v/>
      </c>
      <c r="S5505" t="str">
        <f t="shared" si="854"/>
        <v/>
      </c>
      <c r="T5505" t="str">
        <f t="shared" si="855"/>
        <v/>
      </c>
      <c r="U5505" t="str">
        <f t="shared" si="856"/>
        <v/>
      </c>
      <c r="V5505" t="str">
        <f t="shared" si="857"/>
        <v/>
      </c>
      <c r="W5505" t="str">
        <f t="shared" si="858"/>
        <v/>
      </c>
      <c r="X5505">
        <f>IF($T5505="",N($X5504),IF(MATCH($T5505,$T$6:$T$10005,0)=ROW()-5,N($X5504)+1,N($X5504)))</f>
        <v>0</v>
      </c>
      <c r="Z5505" t="str">
        <f t="shared" si="859"/>
        <v/>
      </c>
      <c r="AA5505">
        <f>IF($V5505="",N($AA5504),IF(MATCH($V5505,$V$6:$V$10005,0)=ROW()-5,N($AA5504)+1,N($AA5504)))</f>
        <v>0</v>
      </c>
    </row>
    <row r="5506" spans="1:27" ht="21" customHeight="1" x14ac:dyDescent="0.95">
      <c r="A5506" s="56"/>
      <c r="B5506" s="57"/>
      <c r="C5506" s="57"/>
      <c r="D5506" s="57"/>
      <c r="E5506" s="56"/>
      <c r="F5506" s="57"/>
      <c r="G5506" s="57"/>
      <c r="H5506" s="56"/>
      <c r="I5506" s="56"/>
      <c r="J5506" s="58"/>
      <c r="K5506" s="58"/>
      <c r="L5506" s="13" t="str">
        <f t="shared" si="850"/>
        <v/>
      </c>
      <c r="M5506" s="13" t="str">
        <f t="shared" si="851"/>
        <v/>
      </c>
      <c r="Q5506" t="str">
        <f t="shared" si="852"/>
        <v/>
      </c>
      <c r="R5506" t="str">
        <f t="shared" si="853"/>
        <v/>
      </c>
      <c r="S5506" t="str">
        <f t="shared" si="854"/>
        <v/>
      </c>
      <c r="T5506" t="str">
        <f t="shared" si="855"/>
        <v/>
      </c>
      <c r="U5506" t="str">
        <f t="shared" si="856"/>
        <v/>
      </c>
      <c r="V5506" t="str">
        <f t="shared" si="857"/>
        <v/>
      </c>
      <c r="W5506" t="str">
        <f t="shared" si="858"/>
        <v/>
      </c>
      <c r="X5506">
        <f>IF($T5506="",N($X5505),IF(MATCH($T5506,$T$6:$T$10005,0)=ROW()-5,N($X5505)+1,N($X5505)))</f>
        <v>0</v>
      </c>
      <c r="Z5506" t="str">
        <f t="shared" si="859"/>
        <v/>
      </c>
      <c r="AA5506">
        <f>IF($V5506="",N($AA5505),IF(MATCH($V5506,$V$6:$V$10005,0)=ROW()-5,N($AA5505)+1,N($AA5505)))</f>
        <v>0</v>
      </c>
    </row>
    <row r="5507" spans="1:27" ht="21" customHeight="1" x14ac:dyDescent="0.95">
      <c r="A5507" s="56"/>
      <c r="B5507" s="57"/>
      <c r="C5507" s="57"/>
      <c r="D5507" s="57"/>
      <c r="E5507" s="56"/>
      <c r="F5507" s="57"/>
      <c r="G5507" s="57"/>
      <c r="H5507" s="56"/>
      <c r="I5507" s="56"/>
      <c r="J5507" s="58"/>
      <c r="K5507" s="58"/>
      <c r="L5507" s="13" t="str">
        <f t="shared" si="850"/>
        <v/>
      </c>
      <c r="M5507" s="13" t="str">
        <f t="shared" si="851"/>
        <v/>
      </c>
      <c r="Q5507" t="str">
        <f t="shared" si="852"/>
        <v/>
      </c>
      <c r="R5507" t="str">
        <f t="shared" si="853"/>
        <v/>
      </c>
      <c r="S5507" t="str">
        <f t="shared" si="854"/>
        <v/>
      </c>
      <c r="T5507" t="str">
        <f t="shared" si="855"/>
        <v/>
      </c>
      <c r="U5507" t="str">
        <f t="shared" si="856"/>
        <v/>
      </c>
      <c r="V5507" t="str">
        <f t="shared" si="857"/>
        <v/>
      </c>
      <c r="W5507" t="str">
        <f t="shared" si="858"/>
        <v/>
      </c>
      <c r="X5507">
        <f>IF($T5507="",N($X5506),IF(MATCH($T5507,$T$6:$T$10005,0)=ROW()-5,N($X5506)+1,N($X5506)))</f>
        <v>0</v>
      </c>
      <c r="Z5507" t="str">
        <f t="shared" si="859"/>
        <v/>
      </c>
      <c r="AA5507">
        <f>IF($V5507="",N($AA5506),IF(MATCH($V5507,$V$6:$V$10005,0)=ROW()-5,N($AA5506)+1,N($AA5506)))</f>
        <v>0</v>
      </c>
    </row>
    <row r="5508" spans="1:27" ht="21" customHeight="1" x14ac:dyDescent="0.95">
      <c r="A5508" s="56"/>
      <c r="B5508" s="57"/>
      <c r="C5508" s="57"/>
      <c r="D5508" s="57"/>
      <c r="E5508" s="56"/>
      <c r="F5508" s="57"/>
      <c r="G5508" s="57"/>
      <c r="H5508" s="56"/>
      <c r="I5508" s="56"/>
      <c r="J5508" s="58"/>
      <c r="K5508" s="58"/>
      <c r="L5508" s="13" t="str">
        <f t="shared" si="850"/>
        <v/>
      </c>
      <c r="M5508" s="13" t="str">
        <f t="shared" si="851"/>
        <v/>
      </c>
      <c r="Q5508" t="str">
        <f t="shared" si="852"/>
        <v/>
      </c>
      <c r="R5508" t="str">
        <f t="shared" si="853"/>
        <v/>
      </c>
      <c r="S5508" t="str">
        <f t="shared" si="854"/>
        <v/>
      </c>
      <c r="T5508" t="str">
        <f t="shared" si="855"/>
        <v/>
      </c>
      <c r="U5508" t="str">
        <f t="shared" si="856"/>
        <v/>
      </c>
      <c r="V5508" t="str">
        <f t="shared" si="857"/>
        <v/>
      </c>
      <c r="W5508" t="str">
        <f t="shared" si="858"/>
        <v/>
      </c>
      <c r="X5508">
        <f>IF($T5508="",N($X5507),IF(MATCH($T5508,$T$6:$T$10005,0)=ROW()-5,N($X5507)+1,N($X5507)))</f>
        <v>0</v>
      </c>
      <c r="Z5508" t="str">
        <f t="shared" si="859"/>
        <v/>
      </c>
      <c r="AA5508">
        <f>IF($V5508="",N($AA5507),IF(MATCH($V5508,$V$6:$V$10005,0)=ROW()-5,N($AA5507)+1,N($AA5507)))</f>
        <v>0</v>
      </c>
    </row>
    <row r="5509" spans="1:27" ht="21" customHeight="1" x14ac:dyDescent="0.95">
      <c r="A5509" s="56"/>
      <c r="B5509" s="57"/>
      <c r="C5509" s="57"/>
      <c r="D5509" s="57"/>
      <c r="E5509" s="56"/>
      <c r="F5509" s="57"/>
      <c r="G5509" s="57"/>
      <c r="H5509" s="56"/>
      <c r="I5509" s="56"/>
      <c r="J5509" s="58"/>
      <c r="K5509" s="58"/>
      <c r="L5509" s="13" t="str">
        <f t="shared" si="850"/>
        <v/>
      </c>
      <c r="M5509" s="13" t="str">
        <f t="shared" si="851"/>
        <v/>
      </c>
      <c r="Q5509" t="str">
        <f t="shared" si="852"/>
        <v/>
      </c>
      <c r="R5509" t="str">
        <f t="shared" si="853"/>
        <v/>
      </c>
      <c r="S5509" t="str">
        <f t="shared" si="854"/>
        <v/>
      </c>
      <c r="T5509" t="str">
        <f t="shared" si="855"/>
        <v/>
      </c>
      <c r="U5509" t="str">
        <f t="shared" si="856"/>
        <v/>
      </c>
      <c r="V5509" t="str">
        <f t="shared" si="857"/>
        <v/>
      </c>
      <c r="W5509" t="str">
        <f t="shared" si="858"/>
        <v/>
      </c>
      <c r="X5509">
        <f>IF($T5509="",N($X5508),IF(MATCH($T5509,$T$6:$T$10005,0)=ROW()-5,N($X5508)+1,N($X5508)))</f>
        <v>0</v>
      </c>
      <c r="Z5509" t="str">
        <f t="shared" si="859"/>
        <v/>
      </c>
      <c r="AA5509">
        <f>IF($V5509="",N($AA5508),IF(MATCH($V5509,$V$6:$V$10005,0)=ROW()-5,N($AA5508)+1,N($AA5508)))</f>
        <v>0</v>
      </c>
    </row>
    <row r="5510" spans="1:27" ht="21" customHeight="1" x14ac:dyDescent="0.95">
      <c r="A5510" s="56"/>
      <c r="B5510" s="57"/>
      <c r="C5510" s="57"/>
      <c r="D5510" s="57"/>
      <c r="E5510" s="56"/>
      <c r="F5510" s="57"/>
      <c r="G5510" s="57"/>
      <c r="H5510" s="56"/>
      <c r="I5510" s="56"/>
      <c r="J5510" s="58"/>
      <c r="K5510" s="58"/>
      <c r="L5510" s="13" t="str">
        <f t="shared" ref="L5510:L5573" si="860">IF(OR($A5510="",AND($J5510="",$K5510="")),"",ROUND(N($J5510)-N($K5510),2))</f>
        <v/>
      </c>
      <c r="M5510" s="13" t="str">
        <f t="shared" ref="M5510:M5573" si="861">IF(OR($A5510="",AND($J5510="",$K5510="")),"",MIN($J5510,$K5510))</f>
        <v/>
      </c>
      <c r="Q5510" t="str">
        <f t="shared" ref="Q5510:Q5573" si="862">IF($A5510="","",$D5510&amp;"("&amp;SUBSTITUTE($E5510," ","")&amp;")")</f>
        <v/>
      </c>
      <c r="R5510" t="str">
        <f t="shared" ref="R5510:R5573" si="863">IF($A5510="","",$B5510&amp;" - "&amp;$C5510)</f>
        <v/>
      </c>
      <c r="S5510" t="str">
        <f t="shared" ref="S5510:S5573" si="864">IF($A5510="","",$R5510&amp;"|"&amp;$Q5510)</f>
        <v/>
      </c>
      <c r="T5510" t="str">
        <f t="shared" ref="T5510:T5573" si="865">IF($A5510="","",$S5510&amp;"|"&amp;$F5510)</f>
        <v/>
      </c>
      <c r="U5510" t="str">
        <f t="shared" ref="U5510:U5573" si="866">IF($A5510="","",$R5510&amp;"("&amp;$E5510&amp;")")</f>
        <v/>
      </c>
      <c r="V5510" t="str">
        <f t="shared" ref="V5510:V5573" si="867">IF($A5510="","",$F5510&amp;"|"&amp;$U5510&amp;"|"&amp;$D5510)</f>
        <v/>
      </c>
      <c r="W5510" t="str">
        <f t="shared" ref="W5510:W5573" si="868">IF($T5510="","",IF($X5510&gt;N($X5509),$X5510,""))</f>
        <v/>
      </c>
      <c r="X5510">
        <f>IF($T5510="",N($X5509),IF(MATCH($T5510,$T$6:$T$10005,0)=ROW()-5,N($X5509)+1,N($X5509)))</f>
        <v>0</v>
      </c>
      <c r="Z5510" t="str">
        <f t="shared" ref="Z5510:Z5573" si="869">IF($V5510="","",IF($AA5510&gt;N($AA5509),$AA5510,""))</f>
        <v/>
      </c>
      <c r="AA5510">
        <f>IF($V5510="",N($AA5509),IF(MATCH($V5510,$V$6:$V$10005,0)=ROW()-5,N($AA5509)+1,N($AA5509)))</f>
        <v>0</v>
      </c>
    </row>
    <row r="5511" spans="1:27" ht="21" customHeight="1" x14ac:dyDescent="0.95">
      <c r="A5511" s="56"/>
      <c r="B5511" s="57"/>
      <c r="C5511" s="57"/>
      <c r="D5511" s="57"/>
      <c r="E5511" s="56"/>
      <c r="F5511" s="57"/>
      <c r="G5511" s="57"/>
      <c r="H5511" s="56"/>
      <c r="I5511" s="56"/>
      <c r="J5511" s="58"/>
      <c r="K5511" s="58"/>
      <c r="L5511" s="13" t="str">
        <f t="shared" si="860"/>
        <v/>
      </c>
      <c r="M5511" s="13" t="str">
        <f t="shared" si="861"/>
        <v/>
      </c>
      <c r="Q5511" t="str">
        <f t="shared" si="862"/>
        <v/>
      </c>
      <c r="R5511" t="str">
        <f t="shared" si="863"/>
        <v/>
      </c>
      <c r="S5511" t="str">
        <f t="shared" si="864"/>
        <v/>
      </c>
      <c r="T5511" t="str">
        <f t="shared" si="865"/>
        <v/>
      </c>
      <c r="U5511" t="str">
        <f t="shared" si="866"/>
        <v/>
      </c>
      <c r="V5511" t="str">
        <f t="shared" si="867"/>
        <v/>
      </c>
      <c r="W5511" t="str">
        <f t="shared" si="868"/>
        <v/>
      </c>
      <c r="X5511">
        <f>IF($T5511="",N($X5510),IF(MATCH($T5511,$T$6:$T$10005,0)=ROW()-5,N($X5510)+1,N($X5510)))</f>
        <v>0</v>
      </c>
      <c r="Z5511" t="str">
        <f t="shared" si="869"/>
        <v/>
      </c>
      <c r="AA5511">
        <f>IF($V5511="",N($AA5510),IF(MATCH($V5511,$V$6:$V$10005,0)=ROW()-5,N($AA5510)+1,N($AA5510)))</f>
        <v>0</v>
      </c>
    </row>
    <row r="5512" spans="1:27" ht="21" customHeight="1" x14ac:dyDescent="0.95">
      <c r="A5512" s="56"/>
      <c r="B5512" s="57"/>
      <c r="C5512" s="57"/>
      <c r="D5512" s="57"/>
      <c r="E5512" s="56"/>
      <c r="F5512" s="57"/>
      <c r="G5512" s="57"/>
      <c r="H5512" s="56"/>
      <c r="I5512" s="56"/>
      <c r="J5512" s="58"/>
      <c r="K5512" s="58"/>
      <c r="L5512" s="13" t="str">
        <f t="shared" si="860"/>
        <v/>
      </c>
      <c r="M5512" s="13" t="str">
        <f t="shared" si="861"/>
        <v/>
      </c>
      <c r="Q5512" t="str">
        <f t="shared" si="862"/>
        <v/>
      </c>
      <c r="R5512" t="str">
        <f t="shared" si="863"/>
        <v/>
      </c>
      <c r="S5512" t="str">
        <f t="shared" si="864"/>
        <v/>
      </c>
      <c r="T5512" t="str">
        <f t="shared" si="865"/>
        <v/>
      </c>
      <c r="U5512" t="str">
        <f t="shared" si="866"/>
        <v/>
      </c>
      <c r="V5512" t="str">
        <f t="shared" si="867"/>
        <v/>
      </c>
      <c r="W5512" t="str">
        <f t="shared" si="868"/>
        <v/>
      </c>
      <c r="X5512">
        <f>IF($T5512="",N($X5511),IF(MATCH($T5512,$T$6:$T$10005,0)=ROW()-5,N($X5511)+1,N($X5511)))</f>
        <v>0</v>
      </c>
      <c r="Z5512" t="str">
        <f t="shared" si="869"/>
        <v/>
      </c>
      <c r="AA5512">
        <f>IF($V5512="",N($AA5511),IF(MATCH($V5512,$V$6:$V$10005,0)=ROW()-5,N($AA5511)+1,N($AA5511)))</f>
        <v>0</v>
      </c>
    </row>
    <row r="5513" spans="1:27" ht="21" customHeight="1" x14ac:dyDescent="0.95">
      <c r="A5513" s="56"/>
      <c r="B5513" s="57"/>
      <c r="C5513" s="57"/>
      <c r="D5513" s="57"/>
      <c r="E5513" s="56"/>
      <c r="F5513" s="57"/>
      <c r="G5513" s="57"/>
      <c r="H5513" s="56"/>
      <c r="I5513" s="56"/>
      <c r="J5513" s="58"/>
      <c r="K5513" s="58"/>
      <c r="L5513" s="13" t="str">
        <f t="shared" si="860"/>
        <v/>
      </c>
      <c r="M5513" s="13" t="str">
        <f t="shared" si="861"/>
        <v/>
      </c>
      <c r="Q5513" t="str">
        <f t="shared" si="862"/>
        <v/>
      </c>
      <c r="R5513" t="str">
        <f t="shared" si="863"/>
        <v/>
      </c>
      <c r="S5513" t="str">
        <f t="shared" si="864"/>
        <v/>
      </c>
      <c r="T5513" t="str">
        <f t="shared" si="865"/>
        <v/>
      </c>
      <c r="U5513" t="str">
        <f t="shared" si="866"/>
        <v/>
      </c>
      <c r="V5513" t="str">
        <f t="shared" si="867"/>
        <v/>
      </c>
      <c r="W5513" t="str">
        <f t="shared" si="868"/>
        <v/>
      </c>
      <c r="X5513">
        <f>IF($T5513="",N($X5512),IF(MATCH($T5513,$T$6:$T$10005,0)=ROW()-5,N($X5512)+1,N($X5512)))</f>
        <v>0</v>
      </c>
      <c r="Z5513" t="str">
        <f t="shared" si="869"/>
        <v/>
      </c>
      <c r="AA5513">
        <f>IF($V5513="",N($AA5512),IF(MATCH($V5513,$V$6:$V$10005,0)=ROW()-5,N($AA5512)+1,N($AA5512)))</f>
        <v>0</v>
      </c>
    </row>
    <row r="5514" spans="1:27" ht="21" customHeight="1" x14ac:dyDescent="0.95">
      <c r="A5514" s="56"/>
      <c r="B5514" s="57"/>
      <c r="C5514" s="57"/>
      <c r="D5514" s="57"/>
      <c r="E5514" s="56"/>
      <c r="F5514" s="57"/>
      <c r="G5514" s="57"/>
      <c r="H5514" s="56"/>
      <c r="I5514" s="56"/>
      <c r="J5514" s="58"/>
      <c r="K5514" s="58"/>
      <c r="L5514" s="13" t="str">
        <f t="shared" si="860"/>
        <v/>
      </c>
      <c r="M5514" s="13" t="str">
        <f t="shared" si="861"/>
        <v/>
      </c>
      <c r="Q5514" t="str">
        <f t="shared" si="862"/>
        <v/>
      </c>
      <c r="R5514" t="str">
        <f t="shared" si="863"/>
        <v/>
      </c>
      <c r="S5514" t="str">
        <f t="shared" si="864"/>
        <v/>
      </c>
      <c r="T5514" t="str">
        <f t="shared" si="865"/>
        <v/>
      </c>
      <c r="U5514" t="str">
        <f t="shared" si="866"/>
        <v/>
      </c>
      <c r="V5514" t="str">
        <f t="shared" si="867"/>
        <v/>
      </c>
      <c r="W5514" t="str">
        <f t="shared" si="868"/>
        <v/>
      </c>
      <c r="X5514">
        <f>IF($T5514="",N($X5513),IF(MATCH($T5514,$T$6:$T$10005,0)=ROW()-5,N($X5513)+1,N($X5513)))</f>
        <v>0</v>
      </c>
      <c r="Z5514" t="str">
        <f t="shared" si="869"/>
        <v/>
      </c>
      <c r="AA5514">
        <f>IF($V5514="",N($AA5513),IF(MATCH($V5514,$V$6:$V$10005,0)=ROW()-5,N($AA5513)+1,N($AA5513)))</f>
        <v>0</v>
      </c>
    </row>
    <row r="5515" spans="1:27" ht="21" customHeight="1" x14ac:dyDescent="0.95">
      <c r="A5515" s="56"/>
      <c r="B5515" s="57"/>
      <c r="C5515" s="57"/>
      <c r="D5515" s="57"/>
      <c r="E5515" s="56"/>
      <c r="F5515" s="57"/>
      <c r="G5515" s="57"/>
      <c r="H5515" s="56"/>
      <c r="I5515" s="56"/>
      <c r="J5515" s="58"/>
      <c r="K5515" s="58"/>
      <c r="L5515" s="13" t="str">
        <f t="shared" si="860"/>
        <v/>
      </c>
      <c r="M5515" s="13" t="str">
        <f t="shared" si="861"/>
        <v/>
      </c>
      <c r="Q5515" t="str">
        <f t="shared" si="862"/>
        <v/>
      </c>
      <c r="R5515" t="str">
        <f t="shared" si="863"/>
        <v/>
      </c>
      <c r="S5515" t="str">
        <f t="shared" si="864"/>
        <v/>
      </c>
      <c r="T5515" t="str">
        <f t="shared" si="865"/>
        <v/>
      </c>
      <c r="U5515" t="str">
        <f t="shared" si="866"/>
        <v/>
      </c>
      <c r="V5515" t="str">
        <f t="shared" si="867"/>
        <v/>
      </c>
      <c r="W5515" t="str">
        <f t="shared" si="868"/>
        <v/>
      </c>
      <c r="X5515">
        <f>IF($T5515="",N($X5514),IF(MATCH($T5515,$T$6:$T$10005,0)=ROW()-5,N($X5514)+1,N($X5514)))</f>
        <v>0</v>
      </c>
      <c r="Z5515" t="str">
        <f t="shared" si="869"/>
        <v/>
      </c>
      <c r="AA5515">
        <f>IF($V5515="",N($AA5514),IF(MATCH($V5515,$V$6:$V$10005,0)=ROW()-5,N($AA5514)+1,N($AA5514)))</f>
        <v>0</v>
      </c>
    </row>
    <row r="5516" spans="1:27" ht="21" customHeight="1" x14ac:dyDescent="0.95">
      <c r="A5516" s="56"/>
      <c r="B5516" s="57"/>
      <c r="C5516" s="57"/>
      <c r="D5516" s="57"/>
      <c r="E5516" s="56"/>
      <c r="F5516" s="57"/>
      <c r="G5516" s="57"/>
      <c r="H5516" s="56"/>
      <c r="I5516" s="56"/>
      <c r="J5516" s="58"/>
      <c r="K5516" s="58"/>
      <c r="L5516" s="13" t="str">
        <f t="shared" si="860"/>
        <v/>
      </c>
      <c r="M5516" s="13" t="str">
        <f t="shared" si="861"/>
        <v/>
      </c>
      <c r="Q5516" t="str">
        <f t="shared" si="862"/>
        <v/>
      </c>
      <c r="R5516" t="str">
        <f t="shared" si="863"/>
        <v/>
      </c>
      <c r="S5516" t="str">
        <f t="shared" si="864"/>
        <v/>
      </c>
      <c r="T5516" t="str">
        <f t="shared" si="865"/>
        <v/>
      </c>
      <c r="U5516" t="str">
        <f t="shared" si="866"/>
        <v/>
      </c>
      <c r="V5516" t="str">
        <f t="shared" si="867"/>
        <v/>
      </c>
      <c r="W5516" t="str">
        <f t="shared" si="868"/>
        <v/>
      </c>
      <c r="X5516">
        <f>IF($T5516="",N($X5515),IF(MATCH($T5516,$T$6:$T$10005,0)=ROW()-5,N($X5515)+1,N($X5515)))</f>
        <v>0</v>
      </c>
      <c r="Z5516" t="str">
        <f t="shared" si="869"/>
        <v/>
      </c>
      <c r="AA5516">
        <f>IF($V5516="",N($AA5515),IF(MATCH($V5516,$V$6:$V$10005,0)=ROW()-5,N($AA5515)+1,N($AA5515)))</f>
        <v>0</v>
      </c>
    </row>
    <row r="5517" spans="1:27" ht="21" customHeight="1" x14ac:dyDescent="0.95">
      <c r="A5517" s="56"/>
      <c r="B5517" s="57"/>
      <c r="C5517" s="57"/>
      <c r="D5517" s="57"/>
      <c r="E5517" s="56"/>
      <c r="F5517" s="57"/>
      <c r="G5517" s="57"/>
      <c r="H5517" s="56"/>
      <c r="I5517" s="56"/>
      <c r="J5517" s="58"/>
      <c r="K5517" s="58"/>
      <c r="L5517" s="13" t="str">
        <f t="shared" si="860"/>
        <v/>
      </c>
      <c r="M5517" s="13" t="str">
        <f t="shared" si="861"/>
        <v/>
      </c>
      <c r="Q5517" t="str">
        <f t="shared" si="862"/>
        <v/>
      </c>
      <c r="R5517" t="str">
        <f t="shared" si="863"/>
        <v/>
      </c>
      <c r="S5517" t="str">
        <f t="shared" si="864"/>
        <v/>
      </c>
      <c r="T5517" t="str">
        <f t="shared" si="865"/>
        <v/>
      </c>
      <c r="U5517" t="str">
        <f t="shared" si="866"/>
        <v/>
      </c>
      <c r="V5517" t="str">
        <f t="shared" si="867"/>
        <v/>
      </c>
      <c r="W5517" t="str">
        <f t="shared" si="868"/>
        <v/>
      </c>
      <c r="X5517">
        <f>IF($T5517="",N($X5516),IF(MATCH($T5517,$T$6:$T$10005,0)=ROW()-5,N($X5516)+1,N($X5516)))</f>
        <v>0</v>
      </c>
      <c r="Z5517" t="str">
        <f t="shared" si="869"/>
        <v/>
      </c>
      <c r="AA5517">
        <f>IF($V5517="",N($AA5516),IF(MATCH($V5517,$V$6:$V$10005,0)=ROW()-5,N($AA5516)+1,N($AA5516)))</f>
        <v>0</v>
      </c>
    </row>
    <row r="5518" spans="1:27" ht="21" customHeight="1" x14ac:dyDescent="0.95">
      <c r="A5518" s="56"/>
      <c r="B5518" s="57"/>
      <c r="C5518" s="57"/>
      <c r="D5518" s="57"/>
      <c r="E5518" s="56"/>
      <c r="F5518" s="57"/>
      <c r="G5518" s="57"/>
      <c r="H5518" s="56"/>
      <c r="I5518" s="56"/>
      <c r="J5518" s="58"/>
      <c r="K5518" s="58"/>
      <c r="L5518" s="13" t="str">
        <f t="shared" si="860"/>
        <v/>
      </c>
      <c r="M5518" s="13" t="str">
        <f t="shared" si="861"/>
        <v/>
      </c>
      <c r="Q5518" t="str">
        <f t="shared" si="862"/>
        <v/>
      </c>
      <c r="R5518" t="str">
        <f t="shared" si="863"/>
        <v/>
      </c>
      <c r="S5518" t="str">
        <f t="shared" si="864"/>
        <v/>
      </c>
      <c r="T5518" t="str">
        <f t="shared" si="865"/>
        <v/>
      </c>
      <c r="U5518" t="str">
        <f t="shared" si="866"/>
        <v/>
      </c>
      <c r="V5518" t="str">
        <f t="shared" si="867"/>
        <v/>
      </c>
      <c r="W5518" t="str">
        <f t="shared" si="868"/>
        <v/>
      </c>
      <c r="X5518">
        <f>IF($T5518="",N($X5517),IF(MATCH($T5518,$T$6:$T$10005,0)=ROW()-5,N($X5517)+1,N($X5517)))</f>
        <v>0</v>
      </c>
      <c r="Z5518" t="str">
        <f t="shared" si="869"/>
        <v/>
      </c>
      <c r="AA5518">
        <f>IF($V5518="",N($AA5517),IF(MATCH($V5518,$V$6:$V$10005,0)=ROW()-5,N($AA5517)+1,N($AA5517)))</f>
        <v>0</v>
      </c>
    </row>
    <row r="5519" spans="1:27" ht="21" customHeight="1" x14ac:dyDescent="0.95">
      <c r="A5519" s="56"/>
      <c r="B5519" s="57"/>
      <c r="C5519" s="57"/>
      <c r="D5519" s="57"/>
      <c r="E5519" s="56"/>
      <c r="F5519" s="57"/>
      <c r="G5519" s="57"/>
      <c r="H5519" s="56"/>
      <c r="I5519" s="56"/>
      <c r="J5519" s="58"/>
      <c r="K5519" s="58"/>
      <c r="L5519" s="13" t="str">
        <f t="shared" si="860"/>
        <v/>
      </c>
      <c r="M5519" s="13" t="str">
        <f t="shared" si="861"/>
        <v/>
      </c>
      <c r="Q5519" t="str">
        <f t="shared" si="862"/>
        <v/>
      </c>
      <c r="R5519" t="str">
        <f t="shared" si="863"/>
        <v/>
      </c>
      <c r="S5519" t="str">
        <f t="shared" si="864"/>
        <v/>
      </c>
      <c r="T5519" t="str">
        <f t="shared" si="865"/>
        <v/>
      </c>
      <c r="U5519" t="str">
        <f t="shared" si="866"/>
        <v/>
      </c>
      <c r="V5519" t="str">
        <f t="shared" si="867"/>
        <v/>
      </c>
      <c r="W5519" t="str">
        <f t="shared" si="868"/>
        <v/>
      </c>
      <c r="X5519">
        <f>IF($T5519="",N($X5518),IF(MATCH($T5519,$T$6:$T$10005,0)=ROW()-5,N($X5518)+1,N($X5518)))</f>
        <v>0</v>
      </c>
      <c r="Z5519" t="str">
        <f t="shared" si="869"/>
        <v/>
      </c>
      <c r="AA5519">
        <f>IF($V5519="",N($AA5518),IF(MATCH($V5519,$V$6:$V$10005,0)=ROW()-5,N($AA5518)+1,N($AA5518)))</f>
        <v>0</v>
      </c>
    </row>
    <row r="5520" spans="1:27" ht="21" customHeight="1" x14ac:dyDescent="0.95">
      <c r="A5520" s="56"/>
      <c r="B5520" s="57"/>
      <c r="C5520" s="57"/>
      <c r="D5520" s="57"/>
      <c r="E5520" s="56"/>
      <c r="F5520" s="57"/>
      <c r="G5520" s="57"/>
      <c r="H5520" s="56"/>
      <c r="I5520" s="56"/>
      <c r="J5520" s="58"/>
      <c r="K5520" s="58"/>
      <c r="L5520" s="13" t="str">
        <f t="shared" si="860"/>
        <v/>
      </c>
      <c r="M5520" s="13" t="str">
        <f t="shared" si="861"/>
        <v/>
      </c>
      <c r="Q5520" t="str">
        <f t="shared" si="862"/>
        <v/>
      </c>
      <c r="R5520" t="str">
        <f t="shared" si="863"/>
        <v/>
      </c>
      <c r="S5520" t="str">
        <f t="shared" si="864"/>
        <v/>
      </c>
      <c r="T5520" t="str">
        <f t="shared" si="865"/>
        <v/>
      </c>
      <c r="U5520" t="str">
        <f t="shared" si="866"/>
        <v/>
      </c>
      <c r="V5520" t="str">
        <f t="shared" si="867"/>
        <v/>
      </c>
      <c r="W5520" t="str">
        <f t="shared" si="868"/>
        <v/>
      </c>
      <c r="X5520">
        <f>IF($T5520="",N($X5519),IF(MATCH($T5520,$T$6:$T$10005,0)=ROW()-5,N($X5519)+1,N($X5519)))</f>
        <v>0</v>
      </c>
      <c r="Z5520" t="str">
        <f t="shared" si="869"/>
        <v/>
      </c>
      <c r="AA5520">
        <f>IF($V5520="",N($AA5519),IF(MATCH($V5520,$V$6:$V$10005,0)=ROW()-5,N($AA5519)+1,N($AA5519)))</f>
        <v>0</v>
      </c>
    </row>
    <row r="5521" spans="1:27" ht="21" customHeight="1" x14ac:dyDescent="0.95">
      <c r="A5521" s="56"/>
      <c r="B5521" s="57"/>
      <c r="C5521" s="57"/>
      <c r="D5521" s="57"/>
      <c r="E5521" s="56"/>
      <c r="F5521" s="57"/>
      <c r="G5521" s="57"/>
      <c r="H5521" s="56"/>
      <c r="I5521" s="56"/>
      <c r="J5521" s="58"/>
      <c r="K5521" s="58"/>
      <c r="L5521" s="13" t="str">
        <f t="shared" si="860"/>
        <v/>
      </c>
      <c r="M5521" s="13" t="str">
        <f t="shared" si="861"/>
        <v/>
      </c>
      <c r="Q5521" t="str">
        <f t="shared" si="862"/>
        <v/>
      </c>
      <c r="R5521" t="str">
        <f t="shared" si="863"/>
        <v/>
      </c>
      <c r="S5521" t="str">
        <f t="shared" si="864"/>
        <v/>
      </c>
      <c r="T5521" t="str">
        <f t="shared" si="865"/>
        <v/>
      </c>
      <c r="U5521" t="str">
        <f t="shared" si="866"/>
        <v/>
      </c>
      <c r="V5521" t="str">
        <f t="shared" si="867"/>
        <v/>
      </c>
      <c r="W5521" t="str">
        <f t="shared" si="868"/>
        <v/>
      </c>
      <c r="X5521">
        <f>IF($T5521="",N($X5520),IF(MATCH($T5521,$T$6:$T$10005,0)=ROW()-5,N($X5520)+1,N($X5520)))</f>
        <v>0</v>
      </c>
      <c r="Z5521" t="str">
        <f t="shared" si="869"/>
        <v/>
      </c>
      <c r="AA5521">
        <f>IF($V5521="",N($AA5520),IF(MATCH($V5521,$V$6:$V$10005,0)=ROW()-5,N($AA5520)+1,N($AA5520)))</f>
        <v>0</v>
      </c>
    </row>
    <row r="5522" spans="1:27" ht="21" customHeight="1" x14ac:dyDescent="0.95">
      <c r="A5522" s="56"/>
      <c r="B5522" s="57"/>
      <c r="C5522" s="57"/>
      <c r="D5522" s="57"/>
      <c r="E5522" s="56"/>
      <c r="F5522" s="57"/>
      <c r="G5522" s="57"/>
      <c r="H5522" s="56"/>
      <c r="I5522" s="56"/>
      <c r="J5522" s="58"/>
      <c r="K5522" s="58"/>
      <c r="L5522" s="13" t="str">
        <f t="shared" si="860"/>
        <v/>
      </c>
      <c r="M5522" s="13" t="str">
        <f t="shared" si="861"/>
        <v/>
      </c>
      <c r="Q5522" t="str">
        <f t="shared" si="862"/>
        <v/>
      </c>
      <c r="R5522" t="str">
        <f t="shared" si="863"/>
        <v/>
      </c>
      <c r="S5522" t="str">
        <f t="shared" si="864"/>
        <v/>
      </c>
      <c r="T5522" t="str">
        <f t="shared" si="865"/>
        <v/>
      </c>
      <c r="U5522" t="str">
        <f t="shared" si="866"/>
        <v/>
      </c>
      <c r="V5522" t="str">
        <f t="shared" si="867"/>
        <v/>
      </c>
      <c r="W5522" t="str">
        <f t="shared" si="868"/>
        <v/>
      </c>
      <c r="X5522">
        <f>IF($T5522="",N($X5521),IF(MATCH($T5522,$T$6:$T$10005,0)=ROW()-5,N($X5521)+1,N($X5521)))</f>
        <v>0</v>
      </c>
      <c r="Z5522" t="str">
        <f t="shared" si="869"/>
        <v/>
      </c>
      <c r="AA5522">
        <f>IF($V5522="",N($AA5521),IF(MATCH($V5522,$V$6:$V$10005,0)=ROW()-5,N($AA5521)+1,N($AA5521)))</f>
        <v>0</v>
      </c>
    </row>
    <row r="5523" spans="1:27" ht="21" customHeight="1" x14ac:dyDescent="0.95">
      <c r="A5523" s="56"/>
      <c r="B5523" s="57"/>
      <c r="C5523" s="57"/>
      <c r="D5523" s="57"/>
      <c r="E5523" s="56"/>
      <c r="F5523" s="57"/>
      <c r="G5523" s="57"/>
      <c r="H5523" s="56"/>
      <c r="I5523" s="56"/>
      <c r="J5523" s="58"/>
      <c r="K5523" s="58"/>
      <c r="L5523" s="13" t="str">
        <f t="shared" si="860"/>
        <v/>
      </c>
      <c r="M5523" s="13" t="str">
        <f t="shared" si="861"/>
        <v/>
      </c>
      <c r="Q5523" t="str">
        <f t="shared" si="862"/>
        <v/>
      </c>
      <c r="R5523" t="str">
        <f t="shared" si="863"/>
        <v/>
      </c>
      <c r="S5523" t="str">
        <f t="shared" si="864"/>
        <v/>
      </c>
      <c r="T5523" t="str">
        <f t="shared" si="865"/>
        <v/>
      </c>
      <c r="U5523" t="str">
        <f t="shared" si="866"/>
        <v/>
      </c>
      <c r="V5523" t="str">
        <f t="shared" si="867"/>
        <v/>
      </c>
      <c r="W5523" t="str">
        <f t="shared" si="868"/>
        <v/>
      </c>
      <c r="X5523">
        <f>IF($T5523="",N($X5522),IF(MATCH($T5523,$T$6:$T$10005,0)=ROW()-5,N($X5522)+1,N($X5522)))</f>
        <v>0</v>
      </c>
      <c r="Z5523" t="str">
        <f t="shared" si="869"/>
        <v/>
      </c>
      <c r="AA5523">
        <f>IF($V5523="",N($AA5522),IF(MATCH($V5523,$V$6:$V$10005,0)=ROW()-5,N($AA5522)+1,N($AA5522)))</f>
        <v>0</v>
      </c>
    </row>
    <row r="5524" spans="1:27" ht="21" customHeight="1" x14ac:dyDescent="0.95">
      <c r="A5524" s="56"/>
      <c r="B5524" s="57"/>
      <c r="C5524" s="57"/>
      <c r="D5524" s="57"/>
      <c r="E5524" s="56"/>
      <c r="F5524" s="57"/>
      <c r="G5524" s="57"/>
      <c r="H5524" s="56"/>
      <c r="I5524" s="56"/>
      <c r="J5524" s="58"/>
      <c r="K5524" s="58"/>
      <c r="L5524" s="13" t="str">
        <f t="shared" si="860"/>
        <v/>
      </c>
      <c r="M5524" s="13" t="str">
        <f t="shared" si="861"/>
        <v/>
      </c>
      <c r="Q5524" t="str">
        <f t="shared" si="862"/>
        <v/>
      </c>
      <c r="R5524" t="str">
        <f t="shared" si="863"/>
        <v/>
      </c>
      <c r="S5524" t="str">
        <f t="shared" si="864"/>
        <v/>
      </c>
      <c r="T5524" t="str">
        <f t="shared" si="865"/>
        <v/>
      </c>
      <c r="U5524" t="str">
        <f t="shared" si="866"/>
        <v/>
      </c>
      <c r="V5524" t="str">
        <f t="shared" si="867"/>
        <v/>
      </c>
      <c r="W5524" t="str">
        <f t="shared" si="868"/>
        <v/>
      </c>
      <c r="X5524">
        <f>IF($T5524="",N($X5523),IF(MATCH($T5524,$T$6:$T$10005,0)=ROW()-5,N($X5523)+1,N($X5523)))</f>
        <v>0</v>
      </c>
      <c r="Z5524" t="str">
        <f t="shared" si="869"/>
        <v/>
      </c>
      <c r="AA5524">
        <f>IF($V5524="",N($AA5523),IF(MATCH($V5524,$V$6:$V$10005,0)=ROW()-5,N($AA5523)+1,N($AA5523)))</f>
        <v>0</v>
      </c>
    </row>
    <row r="5525" spans="1:27" ht="21" customHeight="1" x14ac:dyDescent="0.95">
      <c r="A5525" s="56"/>
      <c r="B5525" s="57"/>
      <c r="C5525" s="57"/>
      <c r="D5525" s="57"/>
      <c r="E5525" s="56"/>
      <c r="F5525" s="57"/>
      <c r="G5525" s="57"/>
      <c r="H5525" s="56"/>
      <c r="I5525" s="56"/>
      <c r="J5525" s="58"/>
      <c r="K5525" s="58"/>
      <c r="L5525" s="13" t="str">
        <f t="shared" si="860"/>
        <v/>
      </c>
      <c r="M5525" s="13" t="str">
        <f t="shared" si="861"/>
        <v/>
      </c>
      <c r="Q5525" t="str">
        <f t="shared" si="862"/>
        <v/>
      </c>
      <c r="R5525" t="str">
        <f t="shared" si="863"/>
        <v/>
      </c>
      <c r="S5525" t="str">
        <f t="shared" si="864"/>
        <v/>
      </c>
      <c r="T5525" t="str">
        <f t="shared" si="865"/>
        <v/>
      </c>
      <c r="U5525" t="str">
        <f t="shared" si="866"/>
        <v/>
      </c>
      <c r="V5525" t="str">
        <f t="shared" si="867"/>
        <v/>
      </c>
      <c r="W5525" t="str">
        <f t="shared" si="868"/>
        <v/>
      </c>
      <c r="X5525">
        <f>IF($T5525="",N($X5524),IF(MATCH($T5525,$T$6:$T$10005,0)=ROW()-5,N($X5524)+1,N($X5524)))</f>
        <v>0</v>
      </c>
      <c r="Z5525" t="str">
        <f t="shared" si="869"/>
        <v/>
      </c>
      <c r="AA5525">
        <f>IF($V5525="",N($AA5524),IF(MATCH($V5525,$V$6:$V$10005,0)=ROW()-5,N($AA5524)+1,N($AA5524)))</f>
        <v>0</v>
      </c>
    </row>
    <row r="5526" spans="1:27" ht="21" customHeight="1" x14ac:dyDescent="0.95">
      <c r="A5526" s="56"/>
      <c r="B5526" s="57"/>
      <c r="C5526" s="57"/>
      <c r="D5526" s="57"/>
      <c r="E5526" s="56"/>
      <c r="F5526" s="57"/>
      <c r="G5526" s="57"/>
      <c r="H5526" s="56"/>
      <c r="I5526" s="56"/>
      <c r="J5526" s="58"/>
      <c r="K5526" s="58"/>
      <c r="L5526" s="13" t="str">
        <f t="shared" si="860"/>
        <v/>
      </c>
      <c r="M5526" s="13" t="str">
        <f t="shared" si="861"/>
        <v/>
      </c>
      <c r="Q5526" t="str">
        <f t="shared" si="862"/>
        <v/>
      </c>
      <c r="R5526" t="str">
        <f t="shared" si="863"/>
        <v/>
      </c>
      <c r="S5526" t="str">
        <f t="shared" si="864"/>
        <v/>
      </c>
      <c r="T5526" t="str">
        <f t="shared" si="865"/>
        <v/>
      </c>
      <c r="U5526" t="str">
        <f t="shared" si="866"/>
        <v/>
      </c>
      <c r="V5526" t="str">
        <f t="shared" si="867"/>
        <v/>
      </c>
      <c r="W5526" t="str">
        <f t="shared" si="868"/>
        <v/>
      </c>
      <c r="X5526">
        <f>IF($T5526="",N($X5525),IF(MATCH($T5526,$T$6:$T$10005,0)=ROW()-5,N($X5525)+1,N($X5525)))</f>
        <v>0</v>
      </c>
      <c r="Z5526" t="str">
        <f t="shared" si="869"/>
        <v/>
      </c>
      <c r="AA5526">
        <f>IF($V5526="",N($AA5525),IF(MATCH($V5526,$V$6:$V$10005,0)=ROW()-5,N($AA5525)+1,N($AA5525)))</f>
        <v>0</v>
      </c>
    </row>
    <row r="5527" spans="1:27" ht="21" customHeight="1" x14ac:dyDescent="0.95">
      <c r="A5527" s="56"/>
      <c r="B5527" s="57"/>
      <c r="C5527" s="57"/>
      <c r="D5527" s="57"/>
      <c r="E5527" s="56"/>
      <c r="F5527" s="57"/>
      <c r="G5527" s="57"/>
      <c r="H5527" s="56"/>
      <c r="I5527" s="56"/>
      <c r="J5527" s="58"/>
      <c r="K5527" s="58"/>
      <c r="L5527" s="13" t="str">
        <f t="shared" si="860"/>
        <v/>
      </c>
      <c r="M5527" s="13" t="str">
        <f t="shared" si="861"/>
        <v/>
      </c>
      <c r="Q5527" t="str">
        <f t="shared" si="862"/>
        <v/>
      </c>
      <c r="R5527" t="str">
        <f t="shared" si="863"/>
        <v/>
      </c>
      <c r="S5527" t="str">
        <f t="shared" si="864"/>
        <v/>
      </c>
      <c r="T5527" t="str">
        <f t="shared" si="865"/>
        <v/>
      </c>
      <c r="U5527" t="str">
        <f t="shared" si="866"/>
        <v/>
      </c>
      <c r="V5527" t="str">
        <f t="shared" si="867"/>
        <v/>
      </c>
      <c r="W5527" t="str">
        <f t="shared" si="868"/>
        <v/>
      </c>
      <c r="X5527">
        <f>IF($T5527="",N($X5526),IF(MATCH($T5527,$T$6:$T$10005,0)=ROW()-5,N($X5526)+1,N($X5526)))</f>
        <v>0</v>
      </c>
      <c r="Z5527" t="str">
        <f t="shared" si="869"/>
        <v/>
      </c>
      <c r="AA5527">
        <f>IF($V5527="",N($AA5526),IF(MATCH($V5527,$V$6:$V$10005,0)=ROW()-5,N($AA5526)+1,N($AA5526)))</f>
        <v>0</v>
      </c>
    </row>
    <row r="5528" spans="1:27" ht="21" customHeight="1" x14ac:dyDescent="0.95">
      <c r="A5528" s="56"/>
      <c r="B5528" s="57"/>
      <c r="C5528" s="57"/>
      <c r="D5528" s="57"/>
      <c r="E5528" s="56"/>
      <c r="F5528" s="57"/>
      <c r="G5528" s="57"/>
      <c r="H5528" s="56"/>
      <c r="I5528" s="56"/>
      <c r="J5528" s="58"/>
      <c r="K5528" s="58"/>
      <c r="L5528" s="13" t="str">
        <f t="shared" si="860"/>
        <v/>
      </c>
      <c r="M5528" s="13" t="str">
        <f t="shared" si="861"/>
        <v/>
      </c>
      <c r="Q5528" t="str">
        <f t="shared" si="862"/>
        <v/>
      </c>
      <c r="R5528" t="str">
        <f t="shared" si="863"/>
        <v/>
      </c>
      <c r="S5528" t="str">
        <f t="shared" si="864"/>
        <v/>
      </c>
      <c r="T5528" t="str">
        <f t="shared" si="865"/>
        <v/>
      </c>
      <c r="U5528" t="str">
        <f t="shared" si="866"/>
        <v/>
      </c>
      <c r="V5528" t="str">
        <f t="shared" si="867"/>
        <v/>
      </c>
      <c r="W5528" t="str">
        <f t="shared" si="868"/>
        <v/>
      </c>
      <c r="X5528">
        <f>IF($T5528="",N($X5527),IF(MATCH($T5528,$T$6:$T$10005,0)=ROW()-5,N($X5527)+1,N($X5527)))</f>
        <v>0</v>
      </c>
      <c r="Z5528" t="str">
        <f t="shared" si="869"/>
        <v/>
      </c>
      <c r="AA5528">
        <f>IF($V5528="",N($AA5527),IF(MATCH($V5528,$V$6:$V$10005,0)=ROW()-5,N($AA5527)+1,N($AA5527)))</f>
        <v>0</v>
      </c>
    </row>
    <row r="5529" spans="1:27" ht="21" customHeight="1" x14ac:dyDescent="0.95">
      <c r="A5529" s="56"/>
      <c r="B5529" s="57"/>
      <c r="C5529" s="57"/>
      <c r="D5529" s="57"/>
      <c r="E5529" s="56"/>
      <c r="F5529" s="57"/>
      <c r="G5529" s="57"/>
      <c r="H5529" s="56"/>
      <c r="I5529" s="56"/>
      <c r="J5529" s="58"/>
      <c r="K5529" s="58"/>
      <c r="L5529" s="13" t="str">
        <f t="shared" si="860"/>
        <v/>
      </c>
      <c r="M5529" s="13" t="str">
        <f t="shared" si="861"/>
        <v/>
      </c>
      <c r="Q5529" t="str">
        <f t="shared" si="862"/>
        <v/>
      </c>
      <c r="R5529" t="str">
        <f t="shared" si="863"/>
        <v/>
      </c>
      <c r="S5529" t="str">
        <f t="shared" si="864"/>
        <v/>
      </c>
      <c r="T5529" t="str">
        <f t="shared" si="865"/>
        <v/>
      </c>
      <c r="U5529" t="str">
        <f t="shared" si="866"/>
        <v/>
      </c>
      <c r="V5529" t="str">
        <f t="shared" si="867"/>
        <v/>
      </c>
      <c r="W5529" t="str">
        <f t="shared" si="868"/>
        <v/>
      </c>
      <c r="X5529">
        <f>IF($T5529="",N($X5528),IF(MATCH($T5529,$T$6:$T$10005,0)=ROW()-5,N($X5528)+1,N($X5528)))</f>
        <v>0</v>
      </c>
      <c r="Z5529" t="str">
        <f t="shared" si="869"/>
        <v/>
      </c>
      <c r="AA5529">
        <f>IF($V5529="",N($AA5528),IF(MATCH($V5529,$V$6:$V$10005,0)=ROW()-5,N($AA5528)+1,N($AA5528)))</f>
        <v>0</v>
      </c>
    </row>
    <row r="5530" spans="1:27" ht="21" customHeight="1" x14ac:dyDescent="0.95">
      <c r="A5530" s="56"/>
      <c r="B5530" s="57"/>
      <c r="C5530" s="57"/>
      <c r="D5530" s="57"/>
      <c r="E5530" s="56"/>
      <c r="F5530" s="57"/>
      <c r="G5530" s="57"/>
      <c r="H5530" s="56"/>
      <c r="I5530" s="56"/>
      <c r="J5530" s="58"/>
      <c r="K5530" s="58"/>
      <c r="L5530" s="13" t="str">
        <f t="shared" si="860"/>
        <v/>
      </c>
      <c r="M5530" s="13" t="str">
        <f t="shared" si="861"/>
        <v/>
      </c>
      <c r="Q5530" t="str">
        <f t="shared" si="862"/>
        <v/>
      </c>
      <c r="R5530" t="str">
        <f t="shared" si="863"/>
        <v/>
      </c>
      <c r="S5530" t="str">
        <f t="shared" si="864"/>
        <v/>
      </c>
      <c r="T5530" t="str">
        <f t="shared" si="865"/>
        <v/>
      </c>
      <c r="U5530" t="str">
        <f t="shared" si="866"/>
        <v/>
      </c>
      <c r="V5530" t="str">
        <f t="shared" si="867"/>
        <v/>
      </c>
      <c r="W5530" t="str">
        <f t="shared" si="868"/>
        <v/>
      </c>
      <c r="X5530">
        <f>IF($T5530="",N($X5529),IF(MATCH($T5530,$T$6:$T$10005,0)=ROW()-5,N($X5529)+1,N($X5529)))</f>
        <v>0</v>
      </c>
      <c r="Z5530" t="str">
        <f t="shared" si="869"/>
        <v/>
      </c>
      <c r="AA5530">
        <f>IF($V5530="",N($AA5529),IF(MATCH($V5530,$V$6:$V$10005,0)=ROW()-5,N($AA5529)+1,N($AA5529)))</f>
        <v>0</v>
      </c>
    </row>
    <row r="5531" spans="1:27" ht="21" customHeight="1" x14ac:dyDescent="0.95">
      <c r="A5531" s="56"/>
      <c r="B5531" s="57"/>
      <c r="C5531" s="57"/>
      <c r="D5531" s="57"/>
      <c r="E5531" s="56"/>
      <c r="F5531" s="57"/>
      <c r="G5531" s="57"/>
      <c r="H5531" s="56"/>
      <c r="I5531" s="56"/>
      <c r="J5531" s="58"/>
      <c r="K5531" s="58"/>
      <c r="L5531" s="13" t="str">
        <f t="shared" si="860"/>
        <v/>
      </c>
      <c r="M5531" s="13" t="str">
        <f t="shared" si="861"/>
        <v/>
      </c>
      <c r="Q5531" t="str">
        <f t="shared" si="862"/>
        <v/>
      </c>
      <c r="R5531" t="str">
        <f t="shared" si="863"/>
        <v/>
      </c>
      <c r="S5531" t="str">
        <f t="shared" si="864"/>
        <v/>
      </c>
      <c r="T5531" t="str">
        <f t="shared" si="865"/>
        <v/>
      </c>
      <c r="U5531" t="str">
        <f t="shared" si="866"/>
        <v/>
      </c>
      <c r="V5531" t="str">
        <f t="shared" si="867"/>
        <v/>
      </c>
      <c r="W5531" t="str">
        <f t="shared" si="868"/>
        <v/>
      </c>
      <c r="X5531">
        <f>IF($T5531="",N($X5530),IF(MATCH($T5531,$T$6:$T$10005,0)=ROW()-5,N($X5530)+1,N($X5530)))</f>
        <v>0</v>
      </c>
      <c r="Z5531" t="str">
        <f t="shared" si="869"/>
        <v/>
      </c>
      <c r="AA5531">
        <f>IF($V5531="",N($AA5530),IF(MATCH($V5531,$V$6:$V$10005,0)=ROW()-5,N($AA5530)+1,N($AA5530)))</f>
        <v>0</v>
      </c>
    </row>
    <row r="5532" spans="1:27" ht="21" customHeight="1" x14ac:dyDescent="0.95">
      <c r="A5532" s="56"/>
      <c r="B5532" s="57"/>
      <c r="C5532" s="57"/>
      <c r="D5532" s="57"/>
      <c r="E5532" s="56"/>
      <c r="F5532" s="57"/>
      <c r="G5532" s="57"/>
      <c r="H5532" s="56"/>
      <c r="I5532" s="56"/>
      <c r="J5532" s="58"/>
      <c r="K5532" s="58"/>
      <c r="L5532" s="13" t="str">
        <f t="shared" si="860"/>
        <v/>
      </c>
      <c r="M5532" s="13" t="str">
        <f t="shared" si="861"/>
        <v/>
      </c>
      <c r="Q5532" t="str">
        <f t="shared" si="862"/>
        <v/>
      </c>
      <c r="R5532" t="str">
        <f t="shared" si="863"/>
        <v/>
      </c>
      <c r="S5532" t="str">
        <f t="shared" si="864"/>
        <v/>
      </c>
      <c r="T5532" t="str">
        <f t="shared" si="865"/>
        <v/>
      </c>
      <c r="U5532" t="str">
        <f t="shared" si="866"/>
        <v/>
      </c>
      <c r="V5532" t="str">
        <f t="shared" si="867"/>
        <v/>
      </c>
      <c r="W5532" t="str">
        <f t="shared" si="868"/>
        <v/>
      </c>
      <c r="X5532">
        <f>IF($T5532="",N($X5531),IF(MATCH($T5532,$T$6:$T$10005,0)=ROW()-5,N($X5531)+1,N($X5531)))</f>
        <v>0</v>
      </c>
      <c r="Z5532" t="str">
        <f t="shared" si="869"/>
        <v/>
      </c>
      <c r="AA5532">
        <f>IF($V5532="",N($AA5531),IF(MATCH($V5532,$V$6:$V$10005,0)=ROW()-5,N($AA5531)+1,N($AA5531)))</f>
        <v>0</v>
      </c>
    </row>
    <row r="5533" spans="1:27" ht="21" customHeight="1" x14ac:dyDescent="0.95">
      <c r="A5533" s="56"/>
      <c r="B5533" s="57"/>
      <c r="C5533" s="57"/>
      <c r="D5533" s="57"/>
      <c r="E5533" s="56"/>
      <c r="F5533" s="57"/>
      <c r="G5533" s="57"/>
      <c r="H5533" s="56"/>
      <c r="I5533" s="56"/>
      <c r="J5533" s="58"/>
      <c r="K5533" s="58"/>
      <c r="L5533" s="13" t="str">
        <f t="shared" si="860"/>
        <v/>
      </c>
      <c r="M5533" s="13" t="str">
        <f t="shared" si="861"/>
        <v/>
      </c>
      <c r="Q5533" t="str">
        <f t="shared" si="862"/>
        <v/>
      </c>
      <c r="R5533" t="str">
        <f t="shared" si="863"/>
        <v/>
      </c>
      <c r="S5533" t="str">
        <f t="shared" si="864"/>
        <v/>
      </c>
      <c r="T5533" t="str">
        <f t="shared" si="865"/>
        <v/>
      </c>
      <c r="U5533" t="str">
        <f t="shared" si="866"/>
        <v/>
      </c>
      <c r="V5533" t="str">
        <f t="shared" si="867"/>
        <v/>
      </c>
      <c r="W5533" t="str">
        <f t="shared" si="868"/>
        <v/>
      </c>
      <c r="X5533">
        <f>IF($T5533="",N($X5532),IF(MATCH($T5533,$T$6:$T$10005,0)=ROW()-5,N($X5532)+1,N($X5532)))</f>
        <v>0</v>
      </c>
      <c r="Z5533" t="str">
        <f t="shared" si="869"/>
        <v/>
      </c>
      <c r="AA5533">
        <f>IF($V5533="",N($AA5532),IF(MATCH($V5533,$V$6:$V$10005,0)=ROW()-5,N($AA5532)+1,N($AA5532)))</f>
        <v>0</v>
      </c>
    </row>
    <row r="5534" spans="1:27" ht="21" customHeight="1" x14ac:dyDescent="0.95">
      <c r="A5534" s="56"/>
      <c r="B5534" s="57"/>
      <c r="C5534" s="57"/>
      <c r="D5534" s="57"/>
      <c r="E5534" s="56"/>
      <c r="F5534" s="57"/>
      <c r="G5534" s="57"/>
      <c r="H5534" s="56"/>
      <c r="I5534" s="56"/>
      <c r="J5534" s="58"/>
      <c r="K5534" s="58"/>
      <c r="L5534" s="13" t="str">
        <f t="shared" si="860"/>
        <v/>
      </c>
      <c r="M5534" s="13" t="str">
        <f t="shared" si="861"/>
        <v/>
      </c>
      <c r="Q5534" t="str">
        <f t="shared" si="862"/>
        <v/>
      </c>
      <c r="R5534" t="str">
        <f t="shared" si="863"/>
        <v/>
      </c>
      <c r="S5534" t="str">
        <f t="shared" si="864"/>
        <v/>
      </c>
      <c r="T5534" t="str">
        <f t="shared" si="865"/>
        <v/>
      </c>
      <c r="U5534" t="str">
        <f t="shared" si="866"/>
        <v/>
      </c>
      <c r="V5534" t="str">
        <f t="shared" si="867"/>
        <v/>
      </c>
      <c r="W5534" t="str">
        <f t="shared" si="868"/>
        <v/>
      </c>
      <c r="X5534">
        <f>IF($T5534="",N($X5533),IF(MATCH($T5534,$T$6:$T$10005,0)=ROW()-5,N($X5533)+1,N($X5533)))</f>
        <v>0</v>
      </c>
      <c r="Z5534" t="str">
        <f t="shared" si="869"/>
        <v/>
      </c>
      <c r="AA5534">
        <f>IF($V5534="",N($AA5533),IF(MATCH($V5534,$V$6:$V$10005,0)=ROW()-5,N($AA5533)+1,N($AA5533)))</f>
        <v>0</v>
      </c>
    </row>
    <row r="5535" spans="1:27" ht="21" customHeight="1" x14ac:dyDescent="0.95">
      <c r="A5535" s="56"/>
      <c r="B5535" s="57"/>
      <c r="C5535" s="57"/>
      <c r="D5535" s="57"/>
      <c r="E5535" s="56"/>
      <c r="F5535" s="57"/>
      <c r="G5535" s="57"/>
      <c r="H5535" s="56"/>
      <c r="I5535" s="56"/>
      <c r="J5535" s="58"/>
      <c r="K5535" s="58"/>
      <c r="L5535" s="13" t="str">
        <f t="shared" si="860"/>
        <v/>
      </c>
      <c r="M5535" s="13" t="str">
        <f t="shared" si="861"/>
        <v/>
      </c>
      <c r="Q5535" t="str">
        <f t="shared" si="862"/>
        <v/>
      </c>
      <c r="R5535" t="str">
        <f t="shared" si="863"/>
        <v/>
      </c>
      <c r="S5535" t="str">
        <f t="shared" si="864"/>
        <v/>
      </c>
      <c r="T5535" t="str">
        <f t="shared" si="865"/>
        <v/>
      </c>
      <c r="U5535" t="str">
        <f t="shared" si="866"/>
        <v/>
      </c>
      <c r="V5535" t="str">
        <f t="shared" si="867"/>
        <v/>
      </c>
      <c r="W5535" t="str">
        <f t="shared" si="868"/>
        <v/>
      </c>
      <c r="X5535">
        <f>IF($T5535="",N($X5534),IF(MATCH($T5535,$T$6:$T$10005,0)=ROW()-5,N($X5534)+1,N($X5534)))</f>
        <v>0</v>
      </c>
      <c r="Z5535" t="str">
        <f t="shared" si="869"/>
        <v/>
      </c>
      <c r="AA5535">
        <f>IF($V5535="",N($AA5534),IF(MATCH($V5535,$V$6:$V$10005,0)=ROW()-5,N($AA5534)+1,N($AA5534)))</f>
        <v>0</v>
      </c>
    </row>
    <row r="5536" spans="1:27" ht="21" customHeight="1" x14ac:dyDescent="0.95">
      <c r="A5536" s="56"/>
      <c r="B5536" s="57"/>
      <c r="C5536" s="57"/>
      <c r="D5536" s="57"/>
      <c r="E5536" s="56"/>
      <c r="F5536" s="57"/>
      <c r="G5536" s="57"/>
      <c r="H5536" s="56"/>
      <c r="I5536" s="56"/>
      <c r="J5536" s="58"/>
      <c r="K5536" s="58"/>
      <c r="L5536" s="13" t="str">
        <f t="shared" si="860"/>
        <v/>
      </c>
      <c r="M5536" s="13" t="str">
        <f t="shared" si="861"/>
        <v/>
      </c>
      <c r="Q5536" t="str">
        <f t="shared" si="862"/>
        <v/>
      </c>
      <c r="R5536" t="str">
        <f t="shared" si="863"/>
        <v/>
      </c>
      <c r="S5536" t="str">
        <f t="shared" si="864"/>
        <v/>
      </c>
      <c r="T5536" t="str">
        <f t="shared" si="865"/>
        <v/>
      </c>
      <c r="U5536" t="str">
        <f t="shared" si="866"/>
        <v/>
      </c>
      <c r="V5536" t="str">
        <f t="shared" si="867"/>
        <v/>
      </c>
      <c r="W5536" t="str">
        <f t="shared" si="868"/>
        <v/>
      </c>
      <c r="X5536">
        <f>IF($T5536="",N($X5535),IF(MATCH($T5536,$T$6:$T$10005,0)=ROW()-5,N($X5535)+1,N($X5535)))</f>
        <v>0</v>
      </c>
      <c r="Z5536" t="str">
        <f t="shared" si="869"/>
        <v/>
      </c>
      <c r="AA5536">
        <f>IF($V5536="",N($AA5535),IF(MATCH($V5536,$V$6:$V$10005,0)=ROW()-5,N($AA5535)+1,N($AA5535)))</f>
        <v>0</v>
      </c>
    </row>
    <row r="5537" spans="1:27" ht="21" customHeight="1" x14ac:dyDescent="0.95">
      <c r="A5537" s="56"/>
      <c r="B5537" s="57"/>
      <c r="C5537" s="57"/>
      <c r="D5537" s="57"/>
      <c r="E5537" s="56"/>
      <c r="F5537" s="57"/>
      <c r="G5537" s="57"/>
      <c r="H5537" s="56"/>
      <c r="I5537" s="56"/>
      <c r="J5537" s="58"/>
      <c r="K5537" s="58"/>
      <c r="L5537" s="13" t="str">
        <f t="shared" si="860"/>
        <v/>
      </c>
      <c r="M5537" s="13" t="str">
        <f t="shared" si="861"/>
        <v/>
      </c>
      <c r="Q5537" t="str">
        <f t="shared" si="862"/>
        <v/>
      </c>
      <c r="R5537" t="str">
        <f t="shared" si="863"/>
        <v/>
      </c>
      <c r="S5537" t="str">
        <f t="shared" si="864"/>
        <v/>
      </c>
      <c r="T5537" t="str">
        <f t="shared" si="865"/>
        <v/>
      </c>
      <c r="U5537" t="str">
        <f t="shared" si="866"/>
        <v/>
      </c>
      <c r="V5537" t="str">
        <f t="shared" si="867"/>
        <v/>
      </c>
      <c r="W5537" t="str">
        <f t="shared" si="868"/>
        <v/>
      </c>
      <c r="X5537">
        <f>IF($T5537="",N($X5536),IF(MATCH($T5537,$T$6:$T$10005,0)=ROW()-5,N($X5536)+1,N($X5536)))</f>
        <v>0</v>
      </c>
      <c r="Z5537" t="str">
        <f t="shared" si="869"/>
        <v/>
      </c>
      <c r="AA5537">
        <f>IF($V5537="",N($AA5536),IF(MATCH($V5537,$V$6:$V$10005,0)=ROW()-5,N($AA5536)+1,N($AA5536)))</f>
        <v>0</v>
      </c>
    </row>
    <row r="5538" spans="1:27" ht="21" customHeight="1" x14ac:dyDescent="0.95">
      <c r="A5538" s="56"/>
      <c r="B5538" s="57"/>
      <c r="C5538" s="57"/>
      <c r="D5538" s="57"/>
      <c r="E5538" s="56"/>
      <c r="F5538" s="57"/>
      <c r="G5538" s="57"/>
      <c r="H5538" s="56"/>
      <c r="I5538" s="56"/>
      <c r="J5538" s="58"/>
      <c r="K5538" s="58"/>
      <c r="L5538" s="13" t="str">
        <f t="shared" si="860"/>
        <v/>
      </c>
      <c r="M5538" s="13" t="str">
        <f t="shared" si="861"/>
        <v/>
      </c>
      <c r="Q5538" t="str">
        <f t="shared" si="862"/>
        <v/>
      </c>
      <c r="R5538" t="str">
        <f t="shared" si="863"/>
        <v/>
      </c>
      <c r="S5538" t="str">
        <f t="shared" si="864"/>
        <v/>
      </c>
      <c r="T5538" t="str">
        <f t="shared" si="865"/>
        <v/>
      </c>
      <c r="U5538" t="str">
        <f t="shared" si="866"/>
        <v/>
      </c>
      <c r="V5538" t="str">
        <f t="shared" si="867"/>
        <v/>
      </c>
      <c r="W5538" t="str">
        <f t="shared" si="868"/>
        <v/>
      </c>
      <c r="X5538">
        <f>IF($T5538="",N($X5537),IF(MATCH($T5538,$T$6:$T$10005,0)=ROW()-5,N($X5537)+1,N($X5537)))</f>
        <v>0</v>
      </c>
      <c r="Z5538" t="str">
        <f t="shared" si="869"/>
        <v/>
      </c>
      <c r="AA5538">
        <f>IF($V5538="",N($AA5537),IF(MATCH($V5538,$V$6:$V$10005,0)=ROW()-5,N($AA5537)+1,N($AA5537)))</f>
        <v>0</v>
      </c>
    </row>
    <row r="5539" spans="1:27" ht="21" customHeight="1" x14ac:dyDescent="0.95">
      <c r="A5539" s="56"/>
      <c r="B5539" s="57"/>
      <c r="C5539" s="57"/>
      <c r="D5539" s="57"/>
      <c r="E5539" s="56"/>
      <c r="F5539" s="57"/>
      <c r="G5539" s="57"/>
      <c r="H5539" s="56"/>
      <c r="I5539" s="56"/>
      <c r="J5539" s="58"/>
      <c r="K5539" s="58"/>
      <c r="L5539" s="13" t="str">
        <f t="shared" si="860"/>
        <v/>
      </c>
      <c r="M5539" s="13" t="str">
        <f t="shared" si="861"/>
        <v/>
      </c>
      <c r="Q5539" t="str">
        <f t="shared" si="862"/>
        <v/>
      </c>
      <c r="R5539" t="str">
        <f t="shared" si="863"/>
        <v/>
      </c>
      <c r="S5539" t="str">
        <f t="shared" si="864"/>
        <v/>
      </c>
      <c r="T5539" t="str">
        <f t="shared" si="865"/>
        <v/>
      </c>
      <c r="U5539" t="str">
        <f t="shared" si="866"/>
        <v/>
      </c>
      <c r="V5539" t="str">
        <f t="shared" si="867"/>
        <v/>
      </c>
      <c r="W5539" t="str">
        <f t="shared" si="868"/>
        <v/>
      </c>
      <c r="X5539">
        <f>IF($T5539="",N($X5538),IF(MATCH($T5539,$T$6:$T$10005,0)=ROW()-5,N($X5538)+1,N($X5538)))</f>
        <v>0</v>
      </c>
      <c r="Z5539" t="str">
        <f t="shared" si="869"/>
        <v/>
      </c>
      <c r="AA5539">
        <f>IF($V5539="",N($AA5538),IF(MATCH($V5539,$V$6:$V$10005,0)=ROW()-5,N($AA5538)+1,N($AA5538)))</f>
        <v>0</v>
      </c>
    </row>
    <row r="5540" spans="1:27" ht="21" customHeight="1" x14ac:dyDescent="0.95">
      <c r="A5540" s="56"/>
      <c r="B5540" s="57"/>
      <c r="C5540" s="57"/>
      <c r="D5540" s="57"/>
      <c r="E5540" s="56"/>
      <c r="F5540" s="57"/>
      <c r="G5540" s="57"/>
      <c r="H5540" s="56"/>
      <c r="I5540" s="56"/>
      <c r="J5540" s="58"/>
      <c r="K5540" s="58"/>
      <c r="L5540" s="13" t="str">
        <f t="shared" si="860"/>
        <v/>
      </c>
      <c r="M5540" s="13" t="str">
        <f t="shared" si="861"/>
        <v/>
      </c>
      <c r="Q5540" t="str">
        <f t="shared" si="862"/>
        <v/>
      </c>
      <c r="R5540" t="str">
        <f t="shared" si="863"/>
        <v/>
      </c>
      <c r="S5540" t="str">
        <f t="shared" si="864"/>
        <v/>
      </c>
      <c r="T5540" t="str">
        <f t="shared" si="865"/>
        <v/>
      </c>
      <c r="U5540" t="str">
        <f t="shared" si="866"/>
        <v/>
      </c>
      <c r="V5540" t="str">
        <f t="shared" si="867"/>
        <v/>
      </c>
      <c r="W5540" t="str">
        <f t="shared" si="868"/>
        <v/>
      </c>
      <c r="X5540">
        <f>IF($T5540="",N($X5539),IF(MATCH($T5540,$T$6:$T$10005,0)=ROW()-5,N($X5539)+1,N($X5539)))</f>
        <v>0</v>
      </c>
      <c r="Z5540" t="str">
        <f t="shared" si="869"/>
        <v/>
      </c>
      <c r="AA5540">
        <f>IF($V5540="",N($AA5539),IF(MATCH($V5540,$V$6:$V$10005,0)=ROW()-5,N($AA5539)+1,N($AA5539)))</f>
        <v>0</v>
      </c>
    </row>
    <row r="5541" spans="1:27" ht="21" customHeight="1" x14ac:dyDescent="0.95">
      <c r="A5541" s="56"/>
      <c r="B5541" s="57"/>
      <c r="C5541" s="57"/>
      <c r="D5541" s="57"/>
      <c r="E5541" s="56"/>
      <c r="F5541" s="57"/>
      <c r="G5541" s="57"/>
      <c r="H5541" s="56"/>
      <c r="I5541" s="56"/>
      <c r="J5541" s="58"/>
      <c r="K5541" s="58"/>
      <c r="L5541" s="13" t="str">
        <f t="shared" si="860"/>
        <v/>
      </c>
      <c r="M5541" s="13" t="str">
        <f t="shared" si="861"/>
        <v/>
      </c>
      <c r="Q5541" t="str">
        <f t="shared" si="862"/>
        <v/>
      </c>
      <c r="R5541" t="str">
        <f t="shared" si="863"/>
        <v/>
      </c>
      <c r="S5541" t="str">
        <f t="shared" si="864"/>
        <v/>
      </c>
      <c r="T5541" t="str">
        <f t="shared" si="865"/>
        <v/>
      </c>
      <c r="U5541" t="str">
        <f t="shared" si="866"/>
        <v/>
      </c>
      <c r="V5541" t="str">
        <f t="shared" si="867"/>
        <v/>
      </c>
      <c r="W5541" t="str">
        <f t="shared" si="868"/>
        <v/>
      </c>
      <c r="X5541">
        <f>IF($T5541="",N($X5540),IF(MATCH($T5541,$T$6:$T$10005,0)=ROW()-5,N($X5540)+1,N($X5540)))</f>
        <v>0</v>
      </c>
      <c r="Z5541" t="str">
        <f t="shared" si="869"/>
        <v/>
      </c>
      <c r="AA5541">
        <f>IF($V5541="",N($AA5540),IF(MATCH($V5541,$V$6:$V$10005,0)=ROW()-5,N($AA5540)+1,N($AA5540)))</f>
        <v>0</v>
      </c>
    </row>
    <row r="5542" spans="1:27" ht="21" customHeight="1" x14ac:dyDescent="0.95">
      <c r="A5542" s="56"/>
      <c r="B5542" s="57"/>
      <c r="C5542" s="57"/>
      <c r="D5542" s="57"/>
      <c r="E5542" s="56"/>
      <c r="F5542" s="57"/>
      <c r="G5542" s="57"/>
      <c r="H5542" s="56"/>
      <c r="I5542" s="56"/>
      <c r="J5542" s="58"/>
      <c r="K5542" s="58"/>
      <c r="L5542" s="13" t="str">
        <f t="shared" si="860"/>
        <v/>
      </c>
      <c r="M5542" s="13" t="str">
        <f t="shared" si="861"/>
        <v/>
      </c>
      <c r="Q5542" t="str">
        <f t="shared" si="862"/>
        <v/>
      </c>
      <c r="R5542" t="str">
        <f t="shared" si="863"/>
        <v/>
      </c>
      <c r="S5542" t="str">
        <f t="shared" si="864"/>
        <v/>
      </c>
      <c r="T5542" t="str">
        <f t="shared" si="865"/>
        <v/>
      </c>
      <c r="U5542" t="str">
        <f t="shared" si="866"/>
        <v/>
      </c>
      <c r="V5542" t="str">
        <f t="shared" si="867"/>
        <v/>
      </c>
      <c r="W5542" t="str">
        <f t="shared" si="868"/>
        <v/>
      </c>
      <c r="X5542">
        <f>IF($T5542="",N($X5541),IF(MATCH($T5542,$T$6:$T$10005,0)=ROW()-5,N($X5541)+1,N($X5541)))</f>
        <v>0</v>
      </c>
      <c r="Z5542" t="str">
        <f t="shared" si="869"/>
        <v/>
      </c>
      <c r="AA5542">
        <f>IF($V5542="",N($AA5541),IF(MATCH($V5542,$V$6:$V$10005,0)=ROW()-5,N($AA5541)+1,N($AA5541)))</f>
        <v>0</v>
      </c>
    </row>
    <row r="5543" spans="1:27" ht="21" customHeight="1" x14ac:dyDescent="0.95">
      <c r="A5543" s="56"/>
      <c r="B5543" s="57"/>
      <c r="C5543" s="57"/>
      <c r="D5543" s="57"/>
      <c r="E5543" s="56"/>
      <c r="F5543" s="57"/>
      <c r="G5543" s="57"/>
      <c r="H5543" s="56"/>
      <c r="I5543" s="56"/>
      <c r="J5543" s="58"/>
      <c r="K5543" s="58"/>
      <c r="L5543" s="13" t="str">
        <f t="shared" si="860"/>
        <v/>
      </c>
      <c r="M5543" s="13" t="str">
        <f t="shared" si="861"/>
        <v/>
      </c>
      <c r="Q5543" t="str">
        <f t="shared" si="862"/>
        <v/>
      </c>
      <c r="R5543" t="str">
        <f t="shared" si="863"/>
        <v/>
      </c>
      <c r="S5543" t="str">
        <f t="shared" si="864"/>
        <v/>
      </c>
      <c r="T5543" t="str">
        <f t="shared" si="865"/>
        <v/>
      </c>
      <c r="U5543" t="str">
        <f t="shared" si="866"/>
        <v/>
      </c>
      <c r="V5543" t="str">
        <f t="shared" si="867"/>
        <v/>
      </c>
      <c r="W5543" t="str">
        <f t="shared" si="868"/>
        <v/>
      </c>
      <c r="X5543">
        <f>IF($T5543="",N($X5542),IF(MATCH($T5543,$T$6:$T$10005,0)=ROW()-5,N($X5542)+1,N($X5542)))</f>
        <v>0</v>
      </c>
      <c r="Z5543" t="str">
        <f t="shared" si="869"/>
        <v/>
      </c>
      <c r="AA5543">
        <f>IF($V5543="",N($AA5542),IF(MATCH($V5543,$V$6:$V$10005,0)=ROW()-5,N($AA5542)+1,N($AA5542)))</f>
        <v>0</v>
      </c>
    </row>
    <row r="5544" spans="1:27" ht="21" customHeight="1" x14ac:dyDescent="0.95">
      <c r="A5544" s="56"/>
      <c r="B5544" s="57"/>
      <c r="C5544" s="57"/>
      <c r="D5544" s="57"/>
      <c r="E5544" s="56"/>
      <c r="F5544" s="57"/>
      <c r="G5544" s="57"/>
      <c r="H5544" s="56"/>
      <c r="I5544" s="56"/>
      <c r="J5544" s="58"/>
      <c r="K5544" s="58"/>
      <c r="L5544" s="13" t="str">
        <f t="shared" si="860"/>
        <v/>
      </c>
      <c r="M5544" s="13" t="str">
        <f t="shared" si="861"/>
        <v/>
      </c>
      <c r="Q5544" t="str">
        <f t="shared" si="862"/>
        <v/>
      </c>
      <c r="R5544" t="str">
        <f t="shared" si="863"/>
        <v/>
      </c>
      <c r="S5544" t="str">
        <f t="shared" si="864"/>
        <v/>
      </c>
      <c r="T5544" t="str">
        <f t="shared" si="865"/>
        <v/>
      </c>
      <c r="U5544" t="str">
        <f t="shared" si="866"/>
        <v/>
      </c>
      <c r="V5544" t="str">
        <f t="shared" si="867"/>
        <v/>
      </c>
      <c r="W5544" t="str">
        <f t="shared" si="868"/>
        <v/>
      </c>
      <c r="X5544">
        <f>IF($T5544="",N($X5543),IF(MATCH($T5544,$T$6:$T$10005,0)=ROW()-5,N($X5543)+1,N($X5543)))</f>
        <v>0</v>
      </c>
      <c r="Z5544" t="str">
        <f t="shared" si="869"/>
        <v/>
      </c>
      <c r="AA5544">
        <f>IF($V5544="",N($AA5543),IF(MATCH($V5544,$V$6:$V$10005,0)=ROW()-5,N($AA5543)+1,N($AA5543)))</f>
        <v>0</v>
      </c>
    </row>
    <row r="5545" spans="1:27" ht="21" customHeight="1" x14ac:dyDescent="0.95">
      <c r="A5545" s="56"/>
      <c r="B5545" s="57"/>
      <c r="C5545" s="57"/>
      <c r="D5545" s="57"/>
      <c r="E5545" s="56"/>
      <c r="F5545" s="57"/>
      <c r="G5545" s="57"/>
      <c r="H5545" s="56"/>
      <c r="I5545" s="56"/>
      <c r="J5545" s="58"/>
      <c r="K5545" s="58"/>
      <c r="L5545" s="13" t="str">
        <f t="shared" si="860"/>
        <v/>
      </c>
      <c r="M5545" s="13" t="str">
        <f t="shared" si="861"/>
        <v/>
      </c>
      <c r="Q5545" t="str">
        <f t="shared" si="862"/>
        <v/>
      </c>
      <c r="R5545" t="str">
        <f t="shared" si="863"/>
        <v/>
      </c>
      <c r="S5545" t="str">
        <f t="shared" si="864"/>
        <v/>
      </c>
      <c r="T5545" t="str">
        <f t="shared" si="865"/>
        <v/>
      </c>
      <c r="U5545" t="str">
        <f t="shared" si="866"/>
        <v/>
      </c>
      <c r="V5545" t="str">
        <f t="shared" si="867"/>
        <v/>
      </c>
      <c r="W5545" t="str">
        <f t="shared" si="868"/>
        <v/>
      </c>
      <c r="X5545">
        <f>IF($T5545="",N($X5544),IF(MATCH($T5545,$T$6:$T$10005,0)=ROW()-5,N($X5544)+1,N($X5544)))</f>
        <v>0</v>
      </c>
      <c r="Z5545" t="str">
        <f t="shared" si="869"/>
        <v/>
      </c>
      <c r="AA5545">
        <f>IF($V5545="",N($AA5544),IF(MATCH($V5545,$V$6:$V$10005,0)=ROW()-5,N($AA5544)+1,N($AA5544)))</f>
        <v>0</v>
      </c>
    </row>
    <row r="5546" spans="1:27" ht="21" customHeight="1" x14ac:dyDescent="0.95">
      <c r="A5546" s="56"/>
      <c r="B5546" s="57"/>
      <c r="C5546" s="57"/>
      <c r="D5546" s="57"/>
      <c r="E5546" s="56"/>
      <c r="F5546" s="57"/>
      <c r="G5546" s="57"/>
      <c r="H5546" s="56"/>
      <c r="I5546" s="56"/>
      <c r="J5546" s="58"/>
      <c r="K5546" s="58"/>
      <c r="L5546" s="13" t="str">
        <f t="shared" si="860"/>
        <v/>
      </c>
      <c r="M5546" s="13" t="str">
        <f t="shared" si="861"/>
        <v/>
      </c>
      <c r="Q5546" t="str">
        <f t="shared" si="862"/>
        <v/>
      </c>
      <c r="R5546" t="str">
        <f t="shared" si="863"/>
        <v/>
      </c>
      <c r="S5546" t="str">
        <f t="shared" si="864"/>
        <v/>
      </c>
      <c r="T5546" t="str">
        <f t="shared" si="865"/>
        <v/>
      </c>
      <c r="U5546" t="str">
        <f t="shared" si="866"/>
        <v/>
      </c>
      <c r="V5546" t="str">
        <f t="shared" si="867"/>
        <v/>
      </c>
      <c r="W5546" t="str">
        <f t="shared" si="868"/>
        <v/>
      </c>
      <c r="X5546">
        <f>IF($T5546="",N($X5545),IF(MATCH($T5546,$T$6:$T$10005,0)=ROW()-5,N($X5545)+1,N($X5545)))</f>
        <v>0</v>
      </c>
      <c r="Z5546" t="str">
        <f t="shared" si="869"/>
        <v/>
      </c>
      <c r="AA5546">
        <f>IF($V5546="",N($AA5545),IF(MATCH($V5546,$V$6:$V$10005,0)=ROW()-5,N($AA5545)+1,N($AA5545)))</f>
        <v>0</v>
      </c>
    </row>
    <row r="5547" spans="1:27" ht="21" customHeight="1" x14ac:dyDescent="0.95">
      <c r="A5547" s="56"/>
      <c r="B5547" s="57"/>
      <c r="C5547" s="57"/>
      <c r="D5547" s="57"/>
      <c r="E5547" s="56"/>
      <c r="F5547" s="57"/>
      <c r="G5547" s="57"/>
      <c r="H5547" s="56"/>
      <c r="I5547" s="56"/>
      <c r="J5547" s="58"/>
      <c r="K5547" s="58"/>
      <c r="L5547" s="13" t="str">
        <f t="shared" si="860"/>
        <v/>
      </c>
      <c r="M5547" s="13" t="str">
        <f t="shared" si="861"/>
        <v/>
      </c>
      <c r="Q5547" t="str">
        <f t="shared" si="862"/>
        <v/>
      </c>
      <c r="R5547" t="str">
        <f t="shared" si="863"/>
        <v/>
      </c>
      <c r="S5547" t="str">
        <f t="shared" si="864"/>
        <v/>
      </c>
      <c r="T5547" t="str">
        <f t="shared" si="865"/>
        <v/>
      </c>
      <c r="U5547" t="str">
        <f t="shared" si="866"/>
        <v/>
      </c>
      <c r="V5547" t="str">
        <f t="shared" si="867"/>
        <v/>
      </c>
      <c r="W5547" t="str">
        <f t="shared" si="868"/>
        <v/>
      </c>
      <c r="X5547">
        <f>IF($T5547="",N($X5546),IF(MATCH($T5547,$T$6:$T$10005,0)=ROW()-5,N($X5546)+1,N($X5546)))</f>
        <v>0</v>
      </c>
      <c r="Z5547" t="str">
        <f t="shared" si="869"/>
        <v/>
      </c>
      <c r="AA5547">
        <f>IF($V5547="",N($AA5546),IF(MATCH($V5547,$V$6:$V$10005,0)=ROW()-5,N($AA5546)+1,N($AA5546)))</f>
        <v>0</v>
      </c>
    </row>
    <row r="5548" spans="1:27" ht="21" customHeight="1" x14ac:dyDescent="0.95">
      <c r="A5548" s="56"/>
      <c r="B5548" s="57"/>
      <c r="C5548" s="57"/>
      <c r="D5548" s="57"/>
      <c r="E5548" s="56"/>
      <c r="F5548" s="57"/>
      <c r="G5548" s="57"/>
      <c r="H5548" s="56"/>
      <c r="I5548" s="56"/>
      <c r="J5548" s="58"/>
      <c r="K5548" s="58"/>
      <c r="L5548" s="13" t="str">
        <f t="shared" si="860"/>
        <v/>
      </c>
      <c r="M5548" s="13" t="str">
        <f t="shared" si="861"/>
        <v/>
      </c>
      <c r="Q5548" t="str">
        <f t="shared" si="862"/>
        <v/>
      </c>
      <c r="R5548" t="str">
        <f t="shared" si="863"/>
        <v/>
      </c>
      <c r="S5548" t="str">
        <f t="shared" si="864"/>
        <v/>
      </c>
      <c r="T5548" t="str">
        <f t="shared" si="865"/>
        <v/>
      </c>
      <c r="U5548" t="str">
        <f t="shared" si="866"/>
        <v/>
      </c>
      <c r="V5548" t="str">
        <f t="shared" si="867"/>
        <v/>
      </c>
      <c r="W5548" t="str">
        <f t="shared" si="868"/>
        <v/>
      </c>
      <c r="X5548">
        <f>IF($T5548="",N($X5547),IF(MATCH($T5548,$T$6:$T$10005,0)=ROW()-5,N($X5547)+1,N($X5547)))</f>
        <v>0</v>
      </c>
      <c r="Z5548" t="str">
        <f t="shared" si="869"/>
        <v/>
      </c>
      <c r="AA5548">
        <f>IF($V5548="",N($AA5547),IF(MATCH($V5548,$V$6:$V$10005,0)=ROW()-5,N($AA5547)+1,N($AA5547)))</f>
        <v>0</v>
      </c>
    </row>
    <row r="5549" spans="1:27" ht="21" customHeight="1" x14ac:dyDescent="0.95">
      <c r="A5549" s="56"/>
      <c r="B5549" s="57"/>
      <c r="C5549" s="57"/>
      <c r="D5549" s="57"/>
      <c r="E5549" s="56"/>
      <c r="F5549" s="57"/>
      <c r="G5549" s="57"/>
      <c r="H5549" s="56"/>
      <c r="I5549" s="56"/>
      <c r="J5549" s="58"/>
      <c r="K5549" s="58"/>
      <c r="L5549" s="13" t="str">
        <f t="shared" si="860"/>
        <v/>
      </c>
      <c r="M5549" s="13" t="str">
        <f t="shared" si="861"/>
        <v/>
      </c>
      <c r="Q5549" t="str">
        <f t="shared" si="862"/>
        <v/>
      </c>
      <c r="R5549" t="str">
        <f t="shared" si="863"/>
        <v/>
      </c>
      <c r="S5549" t="str">
        <f t="shared" si="864"/>
        <v/>
      </c>
      <c r="T5549" t="str">
        <f t="shared" si="865"/>
        <v/>
      </c>
      <c r="U5549" t="str">
        <f t="shared" si="866"/>
        <v/>
      </c>
      <c r="V5549" t="str">
        <f t="shared" si="867"/>
        <v/>
      </c>
      <c r="W5549" t="str">
        <f t="shared" si="868"/>
        <v/>
      </c>
      <c r="X5549">
        <f>IF($T5549="",N($X5548),IF(MATCH($T5549,$T$6:$T$10005,0)=ROW()-5,N($X5548)+1,N($X5548)))</f>
        <v>0</v>
      </c>
      <c r="Z5549" t="str">
        <f t="shared" si="869"/>
        <v/>
      </c>
      <c r="AA5549">
        <f>IF($V5549="",N($AA5548),IF(MATCH($V5549,$V$6:$V$10005,0)=ROW()-5,N($AA5548)+1,N($AA5548)))</f>
        <v>0</v>
      </c>
    </row>
    <row r="5550" spans="1:27" ht="21" customHeight="1" x14ac:dyDescent="0.95">
      <c r="A5550" s="56"/>
      <c r="B5550" s="57"/>
      <c r="C5550" s="57"/>
      <c r="D5550" s="57"/>
      <c r="E5550" s="56"/>
      <c r="F5550" s="57"/>
      <c r="G5550" s="57"/>
      <c r="H5550" s="56"/>
      <c r="I5550" s="56"/>
      <c r="J5550" s="58"/>
      <c r="K5550" s="58"/>
      <c r="L5550" s="13" t="str">
        <f t="shared" si="860"/>
        <v/>
      </c>
      <c r="M5550" s="13" t="str">
        <f t="shared" si="861"/>
        <v/>
      </c>
      <c r="Q5550" t="str">
        <f t="shared" si="862"/>
        <v/>
      </c>
      <c r="R5550" t="str">
        <f t="shared" si="863"/>
        <v/>
      </c>
      <c r="S5550" t="str">
        <f t="shared" si="864"/>
        <v/>
      </c>
      <c r="T5550" t="str">
        <f t="shared" si="865"/>
        <v/>
      </c>
      <c r="U5550" t="str">
        <f t="shared" si="866"/>
        <v/>
      </c>
      <c r="V5550" t="str">
        <f t="shared" si="867"/>
        <v/>
      </c>
      <c r="W5550" t="str">
        <f t="shared" si="868"/>
        <v/>
      </c>
      <c r="X5550">
        <f>IF($T5550="",N($X5549),IF(MATCH($T5550,$T$6:$T$10005,0)=ROW()-5,N($X5549)+1,N($X5549)))</f>
        <v>0</v>
      </c>
      <c r="Z5550" t="str">
        <f t="shared" si="869"/>
        <v/>
      </c>
      <c r="AA5550">
        <f>IF($V5550="",N($AA5549),IF(MATCH($V5550,$V$6:$V$10005,0)=ROW()-5,N($AA5549)+1,N($AA5549)))</f>
        <v>0</v>
      </c>
    </row>
    <row r="5551" spans="1:27" ht="21" customHeight="1" x14ac:dyDescent="0.95">
      <c r="A5551" s="56"/>
      <c r="B5551" s="57"/>
      <c r="C5551" s="57"/>
      <c r="D5551" s="57"/>
      <c r="E5551" s="56"/>
      <c r="F5551" s="57"/>
      <c r="G5551" s="57"/>
      <c r="H5551" s="56"/>
      <c r="I5551" s="56"/>
      <c r="J5551" s="58"/>
      <c r="K5551" s="58"/>
      <c r="L5551" s="13" t="str">
        <f t="shared" si="860"/>
        <v/>
      </c>
      <c r="M5551" s="13" t="str">
        <f t="shared" si="861"/>
        <v/>
      </c>
      <c r="Q5551" t="str">
        <f t="shared" si="862"/>
        <v/>
      </c>
      <c r="R5551" t="str">
        <f t="shared" si="863"/>
        <v/>
      </c>
      <c r="S5551" t="str">
        <f t="shared" si="864"/>
        <v/>
      </c>
      <c r="T5551" t="str">
        <f t="shared" si="865"/>
        <v/>
      </c>
      <c r="U5551" t="str">
        <f t="shared" si="866"/>
        <v/>
      </c>
      <c r="V5551" t="str">
        <f t="shared" si="867"/>
        <v/>
      </c>
      <c r="W5551" t="str">
        <f t="shared" si="868"/>
        <v/>
      </c>
      <c r="X5551">
        <f>IF($T5551="",N($X5550),IF(MATCH($T5551,$T$6:$T$10005,0)=ROW()-5,N($X5550)+1,N($X5550)))</f>
        <v>0</v>
      </c>
      <c r="Z5551" t="str">
        <f t="shared" si="869"/>
        <v/>
      </c>
      <c r="AA5551">
        <f>IF($V5551="",N($AA5550),IF(MATCH($V5551,$V$6:$V$10005,0)=ROW()-5,N($AA5550)+1,N($AA5550)))</f>
        <v>0</v>
      </c>
    </row>
    <row r="5552" spans="1:27" ht="21" customHeight="1" x14ac:dyDescent="0.95">
      <c r="A5552" s="56"/>
      <c r="B5552" s="57"/>
      <c r="C5552" s="57"/>
      <c r="D5552" s="57"/>
      <c r="E5552" s="56"/>
      <c r="F5552" s="57"/>
      <c r="G5552" s="57"/>
      <c r="H5552" s="56"/>
      <c r="I5552" s="56"/>
      <c r="J5552" s="58"/>
      <c r="K5552" s="58"/>
      <c r="L5552" s="13" t="str">
        <f t="shared" si="860"/>
        <v/>
      </c>
      <c r="M5552" s="13" t="str">
        <f t="shared" si="861"/>
        <v/>
      </c>
      <c r="Q5552" t="str">
        <f t="shared" si="862"/>
        <v/>
      </c>
      <c r="R5552" t="str">
        <f t="shared" si="863"/>
        <v/>
      </c>
      <c r="S5552" t="str">
        <f t="shared" si="864"/>
        <v/>
      </c>
      <c r="T5552" t="str">
        <f t="shared" si="865"/>
        <v/>
      </c>
      <c r="U5552" t="str">
        <f t="shared" si="866"/>
        <v/>
      </c>
      <c r="V5552" t="str">
        <f t="shared" si="867"/>
        <v/>
      </c>
      <c r="W5552" t="str">
        <f t="shared" si="868"/>
        <v/>
      </c>
      <c r="X5552">
        <f>IF($T5552="",N($X5551),IF(MATCH($T5552,$T$6:$T$10005,0)=ROW()-5,N($X5551)+1,N($X5551)))</f>
        <v>0</v>
      </c>
      <c r="Z5552" t="str">
        <f t="shared" si="869"/>
        <v/>
      </c>
      <c r="AA5552">
        <f>IF($V5552="",N($AA5551),IF(MATCH($V5552,$V$6:$V$10005,0)=ROW()-5,N($AA5551)+1,N($AA5551)))</f>
        <v>0</v>
      </c>
    </row>
    <row r="5553" spans="1:27" ht="21" customHeight="1" x14ac:dyDescent="0.95">
      <c r="A5553" s="56"/>
      <c r="B5553" s="57"/>
      <c r="C5553" s="57"/>
      <c r="D5553" s="57"/>
      <c r="E5553" s="56"/>
      <c r="F5553" s="57"/>
      <c r="G5553" s="57"/>
      <c r="H5553" s="56"/>
      <c r="I5553" s="56"/>
      <c r="J5553" s="58"/>
      <c r="K5553" s="58"/>
      <c r="L5553" s="13" t="str">
        <f t="shared" si="860"/>
        <v/>
      </c>
      <c r="M5553" s="13" t="str">
        <f t="shared" si="861"/>
        <v/>
      </c>
      <c r="Q5553" t="str">
        <f t="shared" si="862"/>
        <v/>
      </c>
      <c r="R5553" t="str">
        <f t="shared" si="863"/>
        <v/>
      </c>
      <c r="S5553" t="str">
        <f t="shared" si="864"/>
        <v/>
      </c>
      <c r="T5553" t="str">
        <f t="shared" si="865"/>
        <v/>
      </c>
      <c r="U5553" t="str">
        <f t="shared" si="866"/>
        <v/>
      </c>
      <c r="V5553" t="str">
        <f t="shared" si="867"/>
        <v/>
      </c>
      <c r="W5553" t="str">
        <f t="shared" si="868"/>
        <v/>
      </c>
      <c r="X5553">
        <f>IF($T5553="",N($X5552),IF(MATCH($T5553,$T$6:$T$10005,0)=ROW()-5,N($X5552)+1,N($X5552)))</f>
        <v>0</v>
      </c>
      <c r="Z5553" t="str">
        <f t="shared" si="869"/>
        <v/>
      </c>
      <c r="AA5553">
        <f>IF($V5553="",N($AA5552),IF(MATCH($V5553,$V$6:$V$10005,0)=ROW()-5,N($AA5552)+1,N($AA5552)))</f>
        <v>0</v>
      </c>
    </row>
    <row r="5554" spans="1:27" ht="21" customHeight="1" x14ac:dyDescent="0.95">
      <c r="A5554" s="56"/>
      <c r="B5554" s="57"/>
      <c r="C5554" s="57"/>
      <c r="D5554" s="57"/>
      <c r="E5554" s="56"/>
      <c r="F5554" s="57"/>
      <c r="G5554" s="57"/>
      <c r="H5554" s="56"/>
      <c r="I5554" s="56"/>
      <c r="J5554" s="58"/>
      <c r="K5554" s="58"/>
      <c r="L5554" s="13" t="str">
        <f t="shared" si="860"/>
        <v/>
      </c>
      <c r="M5554" s="13" t="str">
        <f t="shared" si="861"/>
        <v/>
      </c>
      <c r="Q5554" t="str">
        <f t="shared" si="862"/>
        <v/>
      </c>
      <c r="R5554" t="str">
        <f t="shared" si="863"/>
        <v/>
      </c>
      <c r="S5554" t="str">
        <f t="shared" si="864"/>
        <v/>
      </c>
      <c r="T5554" t="str">
        <f t="shared" si="865"/>
        <v/>
      </c>
      <c r="U5554" t="str">
        <f t="shared" si="866"/>
        <v/>
      </c>
      <c r="V5554" t="str">
        <f t="shared" si="867"/>
        <v/>
      </c>
      <c r="W5554" t="str">
        <f t="shared" si="868"/>
        <v/>
      </c>
      <c r="X5554">
        <f>IF($T5554="",N($X5553),IF(MATCH($T5554,$T$6:$T$10005,0)=ROW()-5,N($X5553)+1,N($X5553)))</f>
        <v>0</v>
      </c>
      <c r="Z5554" t="str">
        <f t="shared" si="869"/>
        <v/>
      </c>
      <c r="AA5554">
        <f>IF($V5554="",N($AA5553),IF(MATCH($V5554,$V$6:$V$10005,0)=ROW()-5,N($AA5553)+1,N($AA5553)))</f>
        <v>0</v>
      </c>
    </row>
    <row r="5555" spans="1:27" ht="21" customHeight="1" x14ac:dyDescent="0.95">
      <c r="A5555" s="56"/>
      <c r="B5555" s="57"/>
      <c r="C5555" s="57"/>
      <c r="D5555" s="57"/>
      <c r="E5555" s="56"/>
      <c r="F5555" s="57"/>
      <c r="G5555" s="57"/>
      <c r="H5555" s="56"/>
      <c r="I5555" s="56"/>
      <c r="J5555" s="58"/>
      <c r="K5555" s="58"/>
      <c r="L5555" s="13" t="str">
        <f t="shared" si="860"/>
        <v/>
      </c>
      <c r="M5555" s="13" t="str">
        <f t="shared" si="861"/>
        <v/>
      </c>
      <c r="Q5555" t="str">
        <f t="shared" si="862"/>
        <v/>
      </c>
      <c r="R5555" t="str">
        <f t="shared" si="863"/>
        <v/>
      </c>
      <c r="S5555" t="str">
        <f t="shared" si="864"/>
        <v/>
      </c>
      <c r="T5555" t="str">
        <f t="shared" si="865"/>
        <v/>
      </c>
      <c r="U5555" t="str">
        <f t="shared" si="866"/>
        <v/>
      </c>
      <c r="V5555" t="str">
        <f t="shared" si="867"/>
        <v/>
      </c>
      <c r="W5555" t="str">
        <f t="shared" si="868"/>
        <v/>
      </c>
      <c r="X5555">
        <f>IF($T5555="",N($X5554),IF(MATCH($T5555,$T$6:$T$10005,0)=ROW()-5,N($X5554)+1,N($X5554)))</f>
        <v>0</v>
      </c>
      <c r="Z5555" t="str">
        <f t="shared" si="869"/>
        <v/>
      </c>
      <c r="AA5555">
        <f>IF($V5555="",N($AA5554),IF(MATCH($V5555,$V$6:$V$10005,0)=ROW()-5,N($AA5554)+1,N($AA5554)))</f>
        <v>0</v>
      </c>
    </row>
    <row r="5556" spans="1:27" ht="21" customHeight="1" x14ac:dyDescent="0.95">
      <c r="A5556" s="56"/>
      <c r="B5556" s="57"/>
      <c r="C5556" s="57"/>
      <c r="D5556" s="57"/>
      <c r="E5556" s="56"/>
      <c r="F5556" s="57"/>
      <c r="G5556" s="57"/>
      <c r="H5556" s="56"/>
      <c r="I5556" s="56"/>
      <c r="J5556" s="58"/>
      <c r="K5556" s="58"/>
      <c r="L5556" s="13" t="str">
        <f t="shared" si="860"/>
        <v/>
      </c>
      <c r="M5556" s="13" t="str">
        <f t="shared" si="861"/>
        <v/>
      </c>
      <c r="Q5556" t="str">
        <f t="shared" si="862"/>
        <v/>
      </c>
      <c r="R5556" t="str">
        <f t="shared" si="863"/>
        <v/>
      </c>
      <c r="S5556" t="str">
        <f t="shared" si="864"/>
        <v/>
      </c>
      <c r="T5556" t="str">
        <f t="shared" si="865"/>
        <v/>
      </c>
      <c r="U5556" t="str">
        <f t="shared" si="866"/>
        <v/>
      </c>
      <c r="V5556" t="str">
        <f t="shared" si="867"/>
        <v/>
      </c>
      <c r="W5556" t="str">
        <f t="shared" si="868"/>
        <v/>
      </c>
      <c r="X5556">
        <f>IF($T5556="",N($X5555),IF(MATCH($T5556,$T$6:$T$10005,0)=ROW()-5,N($X5555)+1,N($X5555)))</f>
        <v>0</v>
      </c>
      <c r="Z5556" t="str">
        <f t="shared" si="869"/>
        <v/>
      </c>
      <c r="AA5556">
        <f>IF($V5556="",N($AA5555),IF(MATCH($V5556,$V$6:$V$10005,0)=ROW()-5,N($AA5555)+1,N($AA5555)))</f>
        <v>0</v>
      </c>
    </row>
    <row r="5557" spans="1:27" ht="21" customHeight="1" x14ac:dyDescent="0.95">
      <c r="A5557" s="56"/>
      <c r="B5557" s="57"/>
      <c r="C5557" s="57"/>
      <c r="D5557" s="57"/>
      <c r="E5557" s="56"/>
      <c r="F5557" s="57"/>
      <c r="G5557" s="57"/>
      <c r="H5557" s="56"/>
      <c r="I5557" s="56"/>
      <c r="J5557" s="58"/>
      <c r="K5557" s="58"/>
      <c r="L5557" s="13" t="str">
        <f t="shared" si="860"/>
        <v/>
      </c>
      <c r="M5557" s="13" t="str">
        <f t="shared" si="861"/>
        <v/>
      </c>
      <c r="Q5557" t="str">
        <f t="shared" si="862"/>
        <v/>
      </c>
      <c r="R5557" t="str">
        <f t="shared" si="863"/>
        <v/>
      </c>
      <c r="S5557" t="str">
        <f t="shared" si="864"/>
        <v/>
      </c>
      <c r="T5557" t="str">
        <f t="shared" si="865"/>
        <v/>
      </c>
      <c r="U5557" t="str">
        <f t="shared" si="866"/>
        <v/>
      </c>
      <c r="V5557" t="str">
        <f t="shared" si="867"/>
        <v/>
      </c>
      <c r="W5557" t="str">
        <f t="shared" si="868"/>
        <v/>
      </c>
      <c r="X5557">
        <f>IF($T5557="",N($X5556),IF(MATCH($T5557,$T$6:$T$10005,0)=ROW()-5,N($X5556)+1,N($X5556)))</f>
        <v>0</v>
      </c>
      <c r="Z5557" t="str">
        <f t="shared" si="869"/>
        <v/>
      </c>
      <c r="AA5557">
        <f>IF($V5557="",N($AA5556),IF(MATCH($V5557,$V$6:$V$10005,0)=ROW()-5,N($AA5556)+1,N($AA5556)))</f>
        <v>0</v>
      </c>
    </row>
    <row r="5558" spans="1:27" ht="21" customHeight="1" x14ac:dyDescent="0.95">
      <c r="A5558" s="56"/>
      <c r="B5558" s="57"/>
      <c r="C5558" s="57"/>
      <c r="D5558" s="57"/>
      <c r="E5558" s="56"/>
      <c r="F5558" s="57"/>
      <c r="G5558" s="57"/>
      <c r="H5558" s="56"/>
      <c r="I5558" s="56"/>
      <c r="J5558" s="58"/>
      <c r="K5558" s="58"/>
      <c r="L5558" s="13" t="str">
        <f t="shared" si="860"/>
        <v/>
      </c>
      <c r="M5558" s="13" t="str">
        <f t="shared" si="861"/>
        <v/>
      </c>
      <c r="Q5558" t="str">
        <f t="shared" si="862"/>
        <v/>
      </c>
      <c r="R5558" t="str">
        <f t="shared" si="863"/>
        <v/>
      </c>
      <c r="S5558" t="str">
        <f t="shared" si="864"/>
        <v/>
      </c>
      <c r="T5558" t="str">
        <f t="shared" si="865"/>
        <v/>
      </c>
      <c r="U5558" t="str">
        <f t="shared" si="866"/>
        <v/>
      </c>
      <c r="V5558" t="str">
        <f t="shared" si="867"/>
        <v/>
      </c>
      <c r="W5558" t="str">
        <f t="shared" si="868"/>
        <v/>
      </c>
      <c r="X5558">
        <f>IF($T5558="",N($X5557),IF(MATCH($T5558,$T$6:$T$10005,0)=ROW()-5,N($X5557)+1,N($X5557)))</f>
        <v>0</v>
      </c>
      <c r="Z5558" t="str">
        <f t="shared" si="869"/>
        <v/>
      </c>
      <c r="AA5558">
        <f>IF($V5558="",N($AA5557),IF(MATCH($V5558,$V$6:$V$10005,0)=ROW()-5,N($AA5557)+1,N($AA5557)))</f>
        <v>0</v>
      </c>
    </row>
    <row r="5559" spans="1:27" ht="21" customHeight="1" x14ac:dyDescent="0.95">
      <c r="A5559" s="56"/>
      <c r="B5559" s="57"/>
      <c r="C5559" s="57"/>
      <c r="D5559" s="57"/>
      <c r="E5559" s="56"/>
      <c r="F5559" s="57"/>
      <c r="G5559" s="57"/>
      <c r="H5559" s="56"/>
      <c r="I5559" s="56"/>
      <c r="J5559" s="58"/>
      <c r="K5559" s="58"/>
      <c r="L5559" s="13" t="str">
        <f t="shared" si="860"/>
        <v/>
      </c>
      <c r="M5559" s="13" t="str">
        <f t="shared" si="861"/>
        <v/>
      </c>
      <c r="Q5559" t="str">
        <f t="shared" si="862"/>
        <v/>
      </c>
      <c r="R5559" t="str">
        <f t="shared" si="863"/>
        <v/>
      </c>
      <c r="S5559" t="str">
        <f t="shared" si="864"/>
        <v/>
      </c>
      <c r="T5559" t="str">
        <f t="shared" si="865"/>
        <v/>
      </c>
      <c r="U5559" t="str">
        <f t="shared" si="866"/>
        <v/>
      </c>
      <c r="V5559" t="str">
        <f t="shared" si="867"/>
        <v/>
      </c>
      <c r="W5559" t="str">
        <f t="shared" si="868"/>
        <v/>
      </c>
      <c r="X5559">
        <f>IF($T5559="",N($X5558),IF(MATCH($T5559,$T$6:$T$10005,0)=ROW()-5,N($X5558)+1,N($X5558)))</f>
        <v>0</v>
      </c>
      <c r="Z5559" t="str">
        <f t="shared" si="869"/>
        <v/>
      </c>
      <c r="AA5559">
        <f>IF($V5559="",N($AA5558),IF(MATCH($V5559,$V$6:$V$10005,0)=ROW()-5,N($AA5558)+1,N($AA5558)))</f>
        <v>0</v>
      </c>
    </row>
    <row r="5560" spans="1:27" ht="21" customHeight="1" x14ac:dyDescent="0.95">
      <c r="A5560" s="56"/>
      <c r="B5560" s="57"/>
      <c r="C5560" s="57"/>
      <c r="D5560" s="57"/>
      <c r="E5560" s="56"/>
      <c r="F5560" s="57"/>
      <c r="G5560" s="57"/>
      <c r="H5560" s="56"/>
      <c r="I5560" s="56"/>
      <c r="J5560" s="58"/>
      <c r="K5560" s="58"/>
      <c r="L5560" s="13" t="str">
        <f t="shared" si="860"/>
        <v/>
      </c>
      <c r="M5560" s="13" t="str">
        <f t="shared" si="861"/>
        <v/>
      </c>
      <c r="Q5560" t="str">
        <f t="shared" si="862"/>
        <v/>
      </c>
      <c r="R5560" t="str">
        <f t="shared" si="863"/>
        <v/>
      </c>
      <c r="S5560" t="str">
        <f t="shared" si="864"/>
        <v/>
      </c>
      <c r="T5560" t="str">
        <f t="shared" si="865"/>
        <v/>
      </c>
      <c r="U5560" t="str">
        <f t="shared" si="866"/>
        <v/>
      </c>
      <c r="V5560" t="str">
        <f t="shared" si="867"/>
        <v/>
      </c>
      <c r="W5560" t="str">
        <f t="shared" si="868"/>
        <v/>
      </c>
      <c r="X5560">
        <f>IF($T5560="",N($X5559),IF(MATCH($T5560,$T$6:$T$10005,0)=ROW()-5,N($X5559)+1,N($X5559)))</f>
        <v>0</v>
      </c>
      <c r="Z5560" t="str">
        <f t="shared" si="869"/>
        <v/>
      </c>
      <c r="AA5560">
        <f>IF($V5560="",N($AA5559),IF(MATCH($V5560,$V$6:$V$10005,0)=ROW()-5,N($AA5559)+1,N($AA5559)))</f>
        <v>0</v>
      </c>
    </row>
    <row r="5561" spans="1:27" ht="21" customHeight="1" x14ac:dyDescent="0.95">
      <c r="A5561" s="56"/>
      <c r="B5561" s="57"/>
      <c r="C5561" s="57"/>
      <c r="D5561" s="57"/>
      <c r="E5561" s="56"/>
      <c r="F5561" s="57"/>
      <c r="G5561" s="57"/>
      <c r="H5561" s="56"/>
      <c r="I5561" s="56"/>
      <c r="J5561" s="58"/>
      <c r="K5561" s="58"/>
      <c r="L5561" s="13" t="str">
        <f t="shared" si="860"/>
        <v/>
      </c>
      <c r="M5561" s="13" t="str">
        <f t="shared" si="861"/>
        <v/>
      </c>
      <c r="Q5561" t="str">
        <f t="shared" si="862"/>
        <v/>
      </c>
      <c r="R5561" t="str">
        <f t="shared" si="863"/>
        <v/>
      </c>
      <c r="S5561" t="str">
        <f t="shared" si="864"/>
        <v/>
      </c>
      <c r="T5561" t="str">
        <f t="shared" si="865"/>
        <v/>
      </c>
      <c r="U5561" t="str">
        <f t="shared" si="866"/>
        <v/>
      </c>
      <c r="V5561" t="str">
        <f t="shared" si="867"/>
        <v/>
      </c>
      <c r="W5561" t="str">
        <f t="shared" si="868"/>
        <v/>
      </c>
      <c r="X5561">
        <f>IF($T5561="",N($X5560),IF(MATCH($T5561,$T$6:$T$10005,0)=ROW()-5,N($X5560)+1,N($X5560)))</f>
        <v>0</v>
      </c>
      <c r="Z5561" t="str">
        <f t="shared" si="869"/>
        <v/>
      </c>
      <c r="AA5561">
        <f>IF($V5561="",N($AA5560),IF(MATCH($V5561,$V$6:$V$10005,0)=ROW()-5,N($AA5560)+1,N($AA5560)))</f>
        <v>0</v>
      </c>
    </row>
    <row r="5562" spans="1:27" ht="21" customHeight="1" x14ac:dyDescent="0.95">
      <c r="A5562" s="56"/>
      <c r="B5562" s="57"/>
      <c r="C5562" s="57"/>
      <c r="D5562" s="57"/>
      <c r="E5562" s="56"/>
      <c r="F5562" s="57"/>
      <c r="G5562" s="57"/>
      <c r="H5562" s="56"/>
      <c r="I5562" s="56"/>
      <c r="J5562" s="58"/>
      <c r="K5562" s="58"/>
      <c r="L5562" s="13" t="str">
        <f t="shared" si="860"/>
        <v/>
      </c>
      <c r="M5562" s="13" t="str">
        <f t="shared" si="861"/>
        <v/>
      </c>
      <c r="Q5562" t="str">
        <f t="shared" si="862"/>
        <v/>
      </c>
      <c r="R5562" t="str">
        <f t="shared" si="863"/>
        <v/>
      </c>
      <c r="S5562" t="str">
        <f t="shared" si="864"/>
        <v/>
      </c>
      <c r="T5562" t="str">
        <f t="shared" si="865"/>
        <v/>
      </c>
      <c r="U5562" t="str">
        <f t="shared" si="866"/>
        <v/>
      </c>
      <c r="V5562" t="str">
        <f t="shared" si="867"/>
        <v/>
      </c>
      <c r="W5562" t="str">
        <f t="shared" si="868"/>
        <v/>
      </c>
      <c r="X5562">
        <f>IF($T5562="",N($X5561),IF(MATCH($T5562,$T$6:$T$10005,0)=ROW()-5,N($X5561)+1,N($X5561)))</f>
        <v>0</v>
      </c>
      <c r="Z5562" t="str">
        <f t="shared" si="869"/>
        <v/>
      </c>
      <c r="AA5562">
        <f>IF($V5562="",N($AA5561),IF(MATCH($V5562,$V$6:$V$10005,0)=ROW()-5,N($AA5561)+1,N($AA5561)))</f>
        <v>0</v>
      </c>
    </row>
    <row r="5563" spans="1:27" ht="21" customHeight="1" x14ac:dyDescent="0.95">
      <c r="A5563" s="56"/>
      <c r="B5563" s="57"/>
      <c r="C5563" s="57"/>
      <c r="D5563" s="57"/>
      <c r="E5563" s="56"/>
      <c r="F5563" s="57"/>
      <c r="G5563" s="57"/>
      <c r="H5563" s="56"/>
      <c r="I5563" s="56"/>
      <c r="J5563" s="58"/>
      <c r="K5563" s="58"/>
      <c r="L5563" s="13" t="str">
        <f t="shared" si="860"/>
        <v/>
      </c>
      <c r="M5563" s="13" t="str">
        <f t="shared" si="861"/>
        <v/>
      </c>
      <c r="Q5563" t="str">
        <f t="shared" si="862"/>
        <v/>
      </c>
      <c r="R5563" t="str">
        <f t="shared" si="863"/>
        <v/>
      </c>
      <c r="S5563" t="str">
        <f t="shared" si="864"/>
        <v/>
      </c>
      <c r="T5563" t="str">
        <f t="shared" si="865"/>
        <v/>
      </c>
      <c r="U5563" t="str">
        <f t="shared" si="866"/>
        <v/>
      </c>
      <c r="V5563" t="str">
        <f t="shared" si="867"/>
        <v/>
      </c>
      <c r="W5563" t="str">
        <f t="shared" si="868"/>
        <v/>
      </c>
      <c r="X5563">
        <f>IF($T5563="",N($X5562),IF(MATCH($T5563,$T$6:$T$10005,0)=ROW()-5,N($X5562)+1,N($X5562)))</f>
        <v>0</v>
      </c>
      <c r="Z5563" t="str">
        <f t="shared" si="869"/>
        <v/>
      </c>
      <c r="AA5563">
        <f>IF($V5563="",N($AA5562),IF(MATCH($V5563,$V$6:$V$10005,0)=ROW()-5,N($AA5562)+1,N($AA5562)))</f>
        <v>0</v>
      </c>
    </row>
    <row r="5564" spans="1:27" ht="21" customHeight="1" x14ac:dyDescent="0.95">
      <c r="A5564" s="56"/>
      <c r="B5564" s="57"/>
      <c r="C5564" s="57"/>
      <c r="D5564" s="57"/>
      <c r="E5564" s="56"/>
      <c r="F5564" s="57"/>
      <c r="G5564" s="57"/>
      <c r="H5564" s="56"/>
      <c r="I5564" s="56"/>
      <c r="J5564" s="58"/>
      <c r="K5564" s="58"/>
      <c r="L5564" s="13" t="str">
        <f t="shared" si="860"/>
        <v/>
      </c>
      <c r="M5564" s="13" t="str">
        <f t="shared" si="861"/>
        <v/>
      </c>
      <c r="Q5564" t="str">
        <f t="shared" si="862"/>
        <v/>
      </c>
      <c r="R5564" t="str">
        <f t="shared" si="863"/>
        <v/>
      </c>
      <c r="S5564" t="str">
        <f t="shared" si="864"/>
        <v/>
      </c>
      <c r="T5564" t="str">
        <f t="shared" si="865"/>
        <v/>
      </c>
      <c r="U5564" t="str">
        <f t="shared" si="866"/>
        <v/>
      </c>
      <c r="V5564" t="str">
        <f t="shared" si="867"/>
        <v/>
      </c>
      <c r="W5564" t="str">
        <f t="shared" si="868"/>
        <v/>
      </c>
      <c r="X5564">
        <f>IF($T5564="",N($X5563),IF(MATCH($T5564,$T$6:$T$10005,0)=ROW()-5,N($X5563)+1,N($X5563)))</f>
        <v>0</v>
      </c>
      <c r="Z5564" t="str">
        <f t="shared" si="869"/>
        <v/>
      </c>
      <c r="AA5564">
        <f>IF($V5564="",N($AA5563),IF(MATCH($V5564,$V$6:$V$10005,0)=ROW()-5,N($AA5563)+1,N($AA5563)))</f>
        <v>0</v>
      </c>
    </row>
    <row r="5565" spans="1:27" ht="21" customHeight="1" x14ac:dyDescent="0.95">
      <c r="A5565" s="56"/>
      <c r="B5565" s="57"/>
      <c r="C5565" s="57"/>
      <c r="D5565" s="57"/>
      <c r="E5565" s="56"/>
      <c r="F5565" s="57"/>
      <c r="G5565" s="57"/>
      <c r="H5565" s="56"/>
      <c r="I5565" s="56"/>
      <c r="J5565" s="58"/>
      <c r="K5565" s="58"/>
      <c r="L5565" s="13" t="str">
        <f t="shared" si="860"/>
        <v/>
      </c>
      <c r="M5565" s="13" t="str">
        <f t="shared" si="861"/>
        <v/>
      </c>
      <c r="Q5565" t="str">
        <f t="shared" si="862"/>
        <v/>
      </c>
      <c r="R5565" t="str">
        <f t="shared" si="863"/>
        <v/>
      </c>
      <c r="S5565" t="str">
        <f t="shared" si="864"/>
        <v/>
      </c>
      <c r="T5565" t="str">
        <f t="shared" si="865"/>
        <v/>
      </c>
      <c r="U5565" t="str">
        <f t="shared" si="866"/>
        <v/>
      </c>
      <c r="V5565" t="str">
        <f t="shared" si="867"/>
        <v/>
      </c>
      <c r="W5565" t="str">
        <f t="shared" si="868"/>
        <v/>
      </c>
      <c r="X5565">
        <f>IF($T5565="",N($X5564),IF(MATCH($T5565,$T$6:$T$10005,0)=ROW()-5,N($X5564)+1,N($X5564)))</f>
        <v>0</v>
      </c>
      <c r="Z5565" t="str">
        <f t="shared" si="869"/>
        <v/>
      </c>
      <c r="AA5565">
        <f>IF($V5565="",N($AA5564),IF(MATCH($V5565,$V$6:$V$10005,0)=ROW()-5,N($AA5564)+1,N($AA5564)))</f>
        <v>0</v>
      </c>
    </row>
    <row r="5566" spans="1:27" ht="21" customHeight="1" x14ac:dyDescent="0.95">
      <c r="A5566" s="56"/>
      <c r="B5566" s="57"/>
      <c r="C5566" s="57"/>
      <c r="D5566" s="57"/>
      <c r="E5566" s="56"/>
      <c r="F5566" s="57"/>
      <c r="G5566" s="57"/>
      <c r="H5566" s="56"/>
      <c r="I5566" s="56"/>
      <c r="J5566" s="58"/>
      <c r="K5566" s="58"/>
      <c r="L5566" s="13" t="str">
        <f t="shared" si="860"/>
        <v/>
      </c>
      <c r="M5566" s="13" t="str">
        <f t="shared" si="861"/>
        <v/>
      </c>
      <c r="Q5566" t="str">
        <f t="shared" si="862"/>
        <v/>
      </c>
      <c r="R5566" t="str">
        <f t="shared" si="863"/>
        <v/>
      </c>
      <c r="S5566" t="str">
        <f t="shared" si="864"/>
        <v/>
      </c>
      <c r="T5566" t="str">
        <f t="shared" si="865"/>
        <v/>
      </c>
      <c r="U5566" t="str">
        <f t="shared" si="866"/>
        <v/>
      </c>
      <c r="V5566" t="str">
        <f t="shared" si="867"/>
        <v/>
      </c>
      <c r="W5566" t="str">
        <f t="shared" si="868"/>
        <v/>
      </c>
      <c r="X5566">
        <f>IF($T5566="",N($X5565),IF(MATCH($T5566,$T$6:$T$10005,0)=ROW()-5,N($X5565)+1,N($X5565)))</f>
        <v>0</v>
      </c>
      <c r="Z5566" t="str">
        <f t="shared" si="869"/>
        <v/>
      </c>
      <c r="AA5566">
        <f>IF($V5566="",N($AA5565),IF(MATCH($V5566,$V$6:$V$10005,0)=ROW()-5,N($AA5565)+1,N($AA5565)))</f>
        <v>0</v>
      </c>
    </row>
    <row r="5567" spans="1:27" ht="21" customHeight="1" x14ac:dyDescent="0.95">
      <c r="A5567" s="56"/>
      <c r="B5567" s="57"/>
      <c r="C5567" s="57"/>
      <c r="D5567" s="57"/>
      <c r="E5567" s="56"/>
      <c r="F5567" s="57"/>
      <c r="G5567" s="57"/>
      <c r="H5567" s="56"/>
      <c r="I5567" s="56"/>
      <c r="J5567" s="58"/>
      <c r="K5567" s="58"/>
      <c r="L5567" s="13" t="str">
        <f t="shared" si="860"/>
        <v/>
      </c>
      <c r="M5567" s="13" t="str">
        <f t="shared" si="861"/>
        <v/>
      </c>
      <c r="Q5567" t="str">
        <f t="shared" si="862"/>
        <v/>
      </c>
      <c r="R5567" t="str">
        <f t="shared" si="863"/>
        <v/>
      </c>
      <c r="S5567" t="str">
        <f t="shared" si="864"/>
        <v/>
      </c>
      <c r="T5567" t="str">
        <f t="shared" si="865"/>
        <v/>
      </c>
      <c r="U5567" t="str">
        <f t="shared" si="866"/>
        <v/>
      </c>
      <c r="V5567" t="str">
        <f t="shared" si="867"/>
        <v/>
      </c>
      <c r="W5567" t="str">
        <f t="shared" si="868"/>
        <v/>
      </c>
      <c r="X5567">
        <f>IF($T5567="",N($X5566),IF(MATCH($T5567,$T$6:$T$10005,0)=ROW()-5,N($X5566)+1,N($X5566)))</f>
        <v>0</v>
      </c>
      <c r="Z5567" t="str">
        <f t="shared" si="869"/>
        <v/>
      </c>
      <c r="AA5567">
        <f>IF($V5567="",N($AA5566),IF(MATCH($V5567,$V$6:$V$10005,0)=ROW()-5,N($AA5566)+1,N($AA5566)))</f>
        <v>0</v>
      </c>
    </row>
    <row r="5568" spans="1:27" ht="21" customHeight="1" x14ac:dyDescent="0.95">
      <c r="A5568" s="56"/>
      <c r="B5568" s="57"/>
      <c r="C5568" s="57"/>
      <c r="D5568" s="57"/>
      <c r="E5568" s="56"/>
      <c r="F5568" s="57"/>
      <c r="G5568" s="57"/>
      <c r="H5568" s="56"/>
      <c r="I5568" s="56"/>
      <c r="J5568" s="58"/>
      <c r="K5568" s="58"/>
      <c r="L5568" s="13" t="str">
        <f t="shared" si="860"/>
        <v/>
      </c>
      <c r="M5568" s="13" t="str">
        <f t="shared" si="861"/>
        <v/>
      </c>
      <c r="Q5568" t="str">
        <f t="shared" si="862"/>
        <v/>
      </c>
      <c r="R5568" t="str">
        <f t="shared" si="863"/>
        <v/>
      </c>
      <c r="S5568" t="str">
        <f t="shared" si="864"/>
        <v/>
      </c>
      <c r="T5568" t="str">
        <f t="shared" si="865"/>
        <v/>
      </c>
      <c r="U5568" t="str">
        <f t="shared" si="866"/>
        <v/>
      </c>
      <c r="V5568" t="str">
        <f t="shared" si="867"/>
        <v/>
      </c>
      <c r="W5568" t="str">
        <f t="shared" si="868"/>
        <v/>
      </c>
      <c r="X5568">
        <f>IF($T5568="",N($X5567),IF(MATCH($T5568,$T$6:$T$10005,0)=ROW()-5,N($X5567)+1,N($X5567)))</f>
        <v>0</v>
      </c>
      <c r="Z5568" t="str">
        <f t="shared" si="869"/>
        <v/>
      </c>
      <c r="AA5568">
        <f>IF($V5568="",N($AA5567),IF(MATCH($V5568,$V$6:$V$10005,0)=ROW()-5,N($AA5567)+1,N($AA5567)))</f>
        <v>0</v>
      </c>
    </row>
    <row r="5569" spans="1:27" ht="21" customHeight="1" x14ac:dyDescent="0.95">
      <c r="A5569" s="56"/>
      <c r="B5569" s="57"/>
      <c r="C5569" s="57"/>
      <c r="D5569" s="57"/>
      <c r="E5569" s="56"/>
      <c r="F5569" s="57"/>
      <c r="G5569" s="57"/>
      <c r="H5569" s="56"/>
      <c r="I5569" s="56"/>
      <c r="J5569" s="58"/>
      <c r="K5569" s="58"/>
      <c r="L5569" s="13" t="str">
        <f t="shared" si="860"/>
        <v/>
      </c>
      <c r="M5569" s="13" t="str">
        <f t="shared" si="861"/>
        <v/>
      </c>
      <c r="Q5569" t="str">
        <f t="shared" si="862"/>
        <v/>
      </c>
      <c r="R5569" t="str">
        <f t="shared" si="863"/>
        <v/>
      </c>
      <c r="S5569" t="str">
        <f t="shared" si="864"/>
        <v/>
      </c>
      <c r="T5569" t="str">
        <f t="shared" si="865"/>
        <v/>
      </c>
      <c r="U5569" t="str">
        <f t="shared" si="866"/>
        <v/>
      </c>
      <c r="V5569" t="str">
        <f t="shared" si="867"/>
        <v/>
      </c>
      <c r="W5569" t="str">
        <f t="shared" si="868"/>
        <v/>
      </c>
      <c r="X5569">
        <f>IF($T5569="",N($X5568),IF(MATCH($T5569,$T$6:$T$10005,0)=ROW()-5,N($X5568)+1,N($X5568)))</f>
        <v>0</v>
      </c>
      <c r="Z5569" t="str">
        <f t="shared" si="869"/>
        <v/>
      </c>
      <c r="AA5569">
        <f>IF($V5569="",N($AA5568),IF(MATCH($V5569,$V$6:$V$10005,0)=ROW()-5,N($AA5568)+1,N($AA5568)))</f>
        <v>0</v>
      </c>
    </row>
    <row r="5570" spans="1:27" ht="21" customHeight="1" x14ac:dyDescent="0.95">
      <c r="A5570" s="56"/>
      <c r="B5570" s="57"/>
      <c r="C5570" s="57"/>
      <c r="D5570" s="57"/>
      <c r="E5570" s="56"/>
      <c r="F5570" s="57"/>
      <c r="G5570" s="57"/>
      <c r="H5570" s="56"/>
      <c r="I5570" s="56"/>
      <c r="J5570" s="58"/>
      <c r="K5570" s="58"/>
      <c r="L5570" s="13" t="str">
        <f t="shared" si="860"/>
        <v/>
      </c>
      <c r="M5570" s="13" t="str">
        <f t="shared" si="861"/>
        <v/>
      </c>
      <c r="Q5570" t="str">
        <f t="shared" si="862"/>
        <v/>
      </c>
      <c r="R5570" t="str">
        <f t="shared" si="863"/>
        <v/>
      </c>
      <c r="S5570" t="str">
        <f t="shared" si="864"/>
        <v/>
      </c>
      <c r="T5570" t="str">
        <f t="shared" si="865"/>
        <v/>
      </c>
      <c r="U5570" t="str">
        <f t="shared" si="866"/>
        <v/>
      </c>
      <c r="V5570" t="str">
        <f t="shared" si="867"/>
        <v/>
      </c>
      <c r="W5570" t="str">
        <f t="shared" si="868"/>
        <v/>
      </c>
      <c r="X5570">
        <f>IF($T5570="",N($X5569),IF(MATCH($T5570,$T$6:$T$10005,0)=ROW()-5,N($X5569)+1,N($X5569)))</f>
        <v>0</v>
      </c>
      <c r="Z5570" t="str">
        <f t="shared" si="869"/>
        <v/>
      </c>
      <c r="AA5570">
        <f>IF($V5570="",N($AA5569),IF(MATCH($V5570,$V$6:$V$10005,0)=ROW()-5,N($AA5569)+1,N($AA5569)))</f>
        <v>0</v>
      </c>
    </row>
    <row r="5571" spans="1:27" ht="21" customHeight="1" x14ac:dyDescent="0.95">
      <c r="A5571" s="56"/>
      <c r="B5571" s="57"/>
      <c r="C5571" s="57"/>
      <c r="D5571" s="57"/>
      <c r="E5571" s="56"/>
      <c r="F5571" s="57"/>
      <c r="G5571" s="57"/>
      <c r="H5571" s="56"/>
      <c r="I5571" s="56"/>
      <c r="J5571" s="58"/>
      <c r="K5571" s="58"/>
      <c r="L5571" s="13" t="str">
        <f t="shared" si="860"/>
        <v/>
      </c>
      <c r="M5571" s="13" t="str">
        <f t="shared" si="861"/>
        <v/>
      </c>
      <c r="Q5571" t="str">
        <f t="shared" si="862"/>
        <v/>
      </c>
      <c r="R5571" t="str">
        <f t="shared" si="863"/>
        <v/>
      </c>
      <c r="S5571" t="str">
        <f t="shared" si="864"/>
        <v/>
      </c>
      <c r="T5571" t="str">
        <f t="shared" si="865"/>
        <v/>
      </c>
      <c r="U5571" t="str">
        <f t="shared" si="866"/>
        <v/>
      </c>
      <c r="V5571" t="str">
        <f t="shared" si="867"/>
        <v/>
      </c>
      <c r="W5571" t="str">
        <f t="shared" si="868"/>
        <v/>
      </c>
      <c r="X5571">
        <f>IF($T5571="",N($X5570),IF(MATCH($T5571,$T$6:$T$10005,0)=ROW()-5,N($X5570)+1,N($X5570)))</f>
        <v>0</v>
      </c>
      <c r="Z5571" t="str">
        <f t="shared" si="869"/>
        <v/>
      </c>
      <c r="AA5571">
        <f>IF($V5571="",N($AA5570),IF(MATCH($V5571,$V$6:$V$10005,0)=ROW()-5,N($AA5570)+1,N($AA5570)))</f>
        <v>0</v>
      </c>
    </row>
    <row r="5572" spans="1:27" ht="21" customHeight="1" x14ac:dyDescent="0.95">
      <c r="A5572" s="56"/>
      <c r="B5572" s="57"/>
      <c r="C5572" s="57"/>
      <c r="D5572" s="57"/>
      <c r="E5572" s="56"/>
      <c r="F5572" s="57"/>
      <c r="G5572" s="57"/>
      <c r="H5572" s="56"/>
      <c r="I5572" s="56"/>
      <c r="J5572" s="58"/>
      <c r="K5572" s="58"/>
      <c r="L5572" s="13" t="str">
        <f t="shared" si="860"/>
        <v/>
      </c>
      <c r="M5572" s="13" t="str">
        <f t="shared" si="861"/>
        <v/>
      </c>
      <c r="Q5572" t="str">
        <f t="shared" si="862"/>
        <v/>
      </c>
      <c r="R5572" t="str">
        <f t="shared" si="863"/>
        <v/>
      </c>
      <c r="S5572" t="str">
        <f t="shared" si="864"/>
        <v/>
      </c>
      <c r="T5572" t="str">
        <f t="shared" si="865"/>
        <v/>
      </c>
      <c r="U5572" t="str">
        <f t="shared" si="866"/>
        <v/>
      </c>
      <c r="V5572" t="str">
        <f t="shared" si="867"/>
        <v/>
      </c>
      <c r="W5572" t="str">
        <f t="shared" si="868"/>
        <v/>
      </c>
      <c r="X5572">
        <f>IF($T5572="",N($X5571),IF(MATCH($T5572,$T$6:$T$10005,0)=ROW()-5,N($X5571)+1,N($X5571)))</f>
        <v>0</v>
      </c>
      <c r="Z5572" t="str">
        <f t="shared" si="869"/>
        <v/>
      </c>
      <c r="AA5572">
        <f>IF($V5572="",N($AA5571),IF(MATCH($V5572,$V$6:$V$10005,0)=ROW()-5,N($AA5571)+1,N($AA5571)))</f>
        <v>0</v>
      </c>
    </row>
    <row r="5573" spans="1:27" ht="21" customHeight="1" x14ac:dyDescent="0.95">
      <c r="A5573" s="56"/>
      <c r="B5573" s="57"/>
      <c r="C5573" s="57"/>
      <c r="D5573" s="57"/>
      <c r="E5573" s="56"/>
      <c r="F5573" s="57"/>
      <c r="G5573" s="57"/>
      <c r="H5573" s="56"/>
      <c r="I5573" s="56"/>
      <c r="J5573" s="58"/>
      <c r="K5573" s="58"/>
      <c r="L5573" s="13" t="str">
        <f t="shared" si="860"/>
        <v/>
      </c>
      <c r="M5573" s="13" t="str">
        <f t="shared" si="861"/>
        <v/>
      </c>
      <c r="Q5573" t="str">
        <f t="shared" si="862"/>
        <v/>
      </c>
      <c r="R5573" t="str">
        <f t="shared" si="863"/>
        <v/>
      </c>
      <c r="S5573" t="str">
        <f t="shared" si="864"/>
        <v/>
      </c>
      <c r="T5573" t="str">
        <f t="shared" si="865"/>
        <v/>
      </c>
      <c r="U5573" t="str">
        <f t="shared" si="866"/>
        <v/>
      </c>
      <c r="V5573" t="str">
        <f t="shared" si="867"/>
        <v/>
      </c>
      <c r="W5573" t="str">
        <f t="shared" si="868"/>
        <v/>
      </c>
      <c r="X5573">
        <f>IF($T5573="",N($X5572),IF(MATCH($T5573,$T$6:$T$10005,0)=ROW()-5,N($X5572)+1,N($X5572)))</f>
        <v>0</v>
      </c>
      <c r="Z5573" t="str">
        <f t="shared" si="869"/>
        <v/>
      </c>
      <c r="AA5573">
        <f>IF($V5573="",N($AA5572),IF(MATCH($V5573,$V$6:$V$10005,0)=ROW()-5,N($AA5572)+1,N($AA5572)))</f>
        <v>0</v>
      </c>
    </row>
    <row r="5574" spans="1:27" ht="21" customHeight="1" x14ac:dyDescent="0.95">
      <c r="A5574" s="56"/>
      <c r="B5574" s="57"/>
      <c r="C5574" s="57"/>
      <c r="D5574" s="57"/>
      <c r="E5574" s="56"/>
      <c r="F5574" s="57"/>
      <c r="G5574" s="57"/>
      <c r="H5574" s="56"/>
      <c r="I5574" s="56"/>
      <c r="J5574" s="58"/>
      <c r="K5574" s="58"/>
      <c r="L5574" s="13" t="str">
        <f t="shared" ref="L5574:L5637" si="870">IF(OR($A5574="",AND($J5574="",$K5574="")),"",ROUND(N($J5574)-N($K5574),2))</f>
        <v/>
      </c>
      <c r="M5574" s="13" t="str">
        <f t="shared" ref="M5574:M5637" si="871">IF(OR($A5574="",AND($J5574="",$K5574="")),"",MIN($J5574,$K5574))</f>
        <v/>
      </c>
      <c r="Q5574" t="str">
        <f t="shared" ref="Q5574:Q5637" si="872">IF($A5574="","",$D5574&amp;"("&amp;SUBSTITUTE($E5574," ","")&amp;")")</f>
        <v/>
      </c>
      <c r="R5574" t="str">
        <f t="shared" ref="R5574:R5637" si="873">IF($A5574="","",$B5574&amp;" - "&amp;$C5574)</f>
        <v/>
      </c>
      <c r="S5574" t="str">
        <f t="shared" ref="S5574:S5637" si="874">IF($A5574="","",$R5574&amp;"|"&amp;$Q5574)</f>
        <v/>
      </c>
      <c r="T5574" t="str">
        <f t="shared" ref="T5574:T5637" si="875">IF($A5574="","",$S5574&amp;"|"&amp;$F5574)</f>
        <v/>
      </c>
      <c r="U5574" t="str">
        <f t="shared" ref="U5574:U5637" si="876">IF($A5574="","",$R5574&amp;"("&amp;$E5574&amp;")")</f>
        <v/>
      </c>
      <c r="V5574" t="str">
        <f t="shared" ref="V5574:V5637" si="877">IF($A5574="","",$F5574&amp;"|"&amp;$U5574&amp;"|"&amp;$D5574)</f>
        <v/>
      </c>
      <c r="W5574" t="str">
        <f t="shared" ref="W5574:W5637" si="878">IF($T5574="","",IF($X5574&gt;N($X5573),$X5574,""))</f>
        <v/>
      </c>
      <c r="X5574">
        <f>IF($T5574="",N($X5573),IF(MATCH($T5574,$T$6:$T$10005,0)=ROW()-5,N($X5573)+1,N($X5573)))</f>
        <v>0</v>
      </c>
      <c r="Z5574" t="str">
        <f t="shared" ref="Z5574:Z5637" si="879">IF($V5574="","",IF($AA5574&gt;N($AA5573),$AA5574,""))</f>
        <v/>
      </c>
      <c r="AA5574">
        <f>IF($V5574="",N($AA5573),IF(MATCH($V5574,$V$6:$V$10005,0)=ROW()-5,N($AA5573)+1,N($AA5573)))</f>
        <v>0</v>
      </c>
    </row>
    <row r="5575" spans="1:27" ht="21" customHeight="1" x14ac:dyDescent="0.95">
      <c r="A5575" s="56"/>
      <c r="B5575" s="57"/>
      <c r="C5575" s="57"/>
      <c r="D5575" s="57"/>
      <c r="E5575" s="56"/>
      <c r="F5575" s="57"/>
      <c r="G5575" s="57"/>
      <c r="H5575" s="56"/>
      <c r="I5575" s="56"/>
      <c r="J5575" s="58"/>
      <c r="K5575" s="58"/>
      <c r="L5575" s="13" t="str">
        <f t="shared" si="870"/>
        <v/>
      </c>
      <c r="M5575" s="13" t="str">
        <f t="shared" si="871"/>
        <v/>
      </c>
      <c r="Q5575" t="str">
        <f t="shared" si="872"/>
        <v/>
      </c>
      <c r="R5575" t="str">
        <f t="shared" si="873"/>
        <v/>
      </c>
      <c r="S5575" t="str">
        <f t="shared" si="874"/>
        <v/>
      </c>
      <c r="T5575" t="str">
        <f t="shared" si="875"/>
        <v/>
      </c>
      <c r="U5575" t="str">
        <f t="shared" si="876"/>
        <v/>
      </c>
      <c r="V5575" t="str">
        <f t="shared" si="877"/>
        <v/>
      </c>
      <c r="W5575" t="str">
        <f t="shared" si="878"/>
        <v/>
      </c>
      <c r="X5575">
        <f>IF($T5575="",N($X5574),IF(MATCH($T5575,$T$6:$T$10005,0)=ROW()-5,N($X5574)+1,N($X5574)))</f>
        <v>0</v>
      </c>
      <c r="Z5575" t="str">
        <f t="shared" si="879"/>
        <v/>
      </c>
      <c r="AA5575">
        <f>IF($V5575="",N($AA5574),IF(MATCH($V5575,$V$6:$V$10005,0)=ROW()-5,N($AA5574)+1,N($AA5574)))</f>
        <v>0</v>
      </c>
    </row>
    <row r="5576" spans="1:27" ht="21" customHeight="1" x14ac:dyDescent="0.95">
      <c r="A5576" s="56"/>
      <c r="B5576" s="57"/>
      <c r="C5576" s="57"/>
      <c r="D5576" s="57"/>
      <c r="E5576" s="56"/>
      <c r="F5576" s="57"/>
      <c r="G5576" s="57"/>
      <c r="H5576" s="56"/>
      <c r="I5576" s="56"/>
      <c r="J5576" s="58"/>
      <c r="K5576" s="58"/>
      <c r="L5576" s="13" t="str">
        <f t="shared" si="870"/>
        <v/>
      </c>
      <c r="M5576" s="13" t="str">
        <f t="shared" si="871"/>
        <v/>
      </c>
      <c r="Q5576" t="str">
        <f t="shared" si="872"/>
        <v/>
      </c>
      <c r="R5576" t="str">
        <f t="shared" si="873"/>
        <v/>
      </c>
      <c r="S5576" t="str">
        <f t="shared" si="874"/>
        <v/>
      </c>
      <c r="T5576" t="str">
        <f t="shared" si="875"/>
        <v/>
      </c>
      <c r="U5576" t="str">
        <f t="shared" si="876"/>
        <v/>
      </c>
      <c r="V5576" t="str">
        <f t="shared" si="877"/>
        <v/>
      </c>
      <c r="W5576" t="str">
        <f t="shared" si="878"/>
        <v/>
      </c>
      <c r="X5576">
        <f>IF($T5576="",N($X5575),IF(MATCH($T5576,$T$6:$T$10005,0)=ROW()-5,N($X5575)+1,N($X5575)))</f>
        <v>0</v>
      </c>
      <c r="Z5576" t="str">
        <f t="shared" si="879"/>
        <v/>
      </c>
      <c r="AA5576">
        <f>IF($V5576="",N($AA5575),IF(MATCH($V5576,$V$6:$V$10005,0)=ROW()-5,N($AA5575)+1,N($AA5575)))</f>
        <v>0</v>
      </c>
    </row>
    <row r="5577" spans="1:27" ht="21" customHeight="1" x14ac:dyDescent="0.95">
      <c r="A5577" s="56"/>
      <c r="B5577" s="57"/>
      <c r="C5577" s="57"/>
      <c r="D5577" s="57"/>
      <c r="E5577" s="56"/>
      <c r="F5577" s="57"/>
      <c r="G5577" s="57"/>
      <c r="H5577" s="56"/>
      <c r="I5577" s="56"/>
      <c r="J5577" s="58"/>
      <c r="K5577" s="58"/>
      <c r="L5577" s="13" t="str">
        <f t="shared" si="870"/>
        <v/>
      </c>
      <c r="M5577" s="13" t="str">
        <f t="shared" si="871"/>
        <v/>
      </c>
      <c r="Q5577" t="str">
        <f t="shared" si="872"/>
        <v/>
      </c>
      <c r="R5577" t="str">
        <f t="shared" si="873"/>
        <v/>
      </c>
      <c r="S5577" t="str">
        <f t="shared" si="874"/>
        <v/>
      </c>
      <c r="T5577" t="str">
        <f t="shared" si="875"/>
        <v/>
      </c>
      <c r="U5577" t="str">
        <f t="shared" si="876"/>
        <v/>
      </c>
      <c r="V5577" t="str">
        <f t="shared" si="877"/>
        <v/>
      </c>
      <c r="W5577" t="str">
        <f t="shared" si="878"/>
        <v/>
      </c>
      <c r="X5577">
        <f>IF($T5577="",N($X5576),IF(MATCH($T5577,$T$6:$T$10005,0)=ROW()-5,N($X5576)+1,N($X5576)))</f>
        <v>0</v>
      </c>
      <c r="Z5577" t="str">
        <f t="shared" si="879"/>
        <v/>
      </c>
      <c r="AA5577">
        <f>IF($V5577="",N($AA5576),IF(MATCH($V5577,$V$6:$V$10005,0)=ROW()-5,N($AA5576)+1,N($AA5576)))</f>
        <v>0</v>
      </c>
    </row>
    <row r="5578" spans="1:27" ht="21" customHeight="1" x14ac:dyDescent="0.95">
      <c r="A5578" s="56"/>
      <c r="B5578" s="57"/>
      <c r="C5578" s="57"/>
      <c r="D5578" s="57"/>
      <c r="E5578" s="56"/>
      <c r="F5578" s="57"/>
      <c r="G5578" s="57"/>
      <c r="H5578" s="56"/>
      <c r="I5578" s="56"/>
      <c r="J5578" s="58"/>
      <c r="K5578" s="58"/>
      <c r="L5578" s="13" t="str">
        <f t="shared" si="870"/>
        <v/>
      </c>
      <c r="M5578" s="13" t="str">
        <f t="shared" si="871"/>
        <v/>
      </c>
      <c r="Q5578" t="str">
        <f t="shared" si="872"/>
        <v/>
      </c>
      <c r="R5578" t="str">
        <f t="shared" si="873"/>
        <v/>
      </c>
      <c r="S5578" t="str">
        <f t="shared" si="874"/>
        <v/>
      </c>
      <c r="T5578" t="str">
        <f t="shared" si="875"/>
        <v/>
      </c>
      <c r="U5578" t="str">
        <f t="shared" si="876"/>
        <v/>
      </c>
      <c r="V5578" t="str">
        <f t="shared" si="877"/>
        <v/>
      </c>
      <c r="W5578" t="str">
        <f t="shared" si="878"/>
        <v/>
      </c>
      <c r="X5578">
        <f>IF($T5578="",N($X5577),IF(MATCH($T5578,$T$6:$T$10005,0)=ROW()-5,N($X5577)+1,N($X5577)))</f>
        <v>0</v>
      </c>
      <c r="Z5578" t="str">
        <f t="shared" si="879"/>
        <v/>
      </c>
      <c r="AA5578">
        <f>IF($V5578="",N($AA5577),IF(MATCH($V5578,$V$6:$V$10005,0)=ROW()-5,N($AA5577)+1,N($AA5577)))</f>
        <v>0</v>
      </c>
    </row>
    <row r="5579" spans="1:27" ht="21" customHeight="1" x14ac:dyDescent="0.95">
      <c r="A5579" s="56"/>
      <c r="B5579" s="57"/>
      <c r="C5579" s="57"/>
      <c r="D5579" s="57"/>
      <c r="E5579" s="56"/>
      <c r="F5579" s="57"/>
      <c r="G5579" s="57"/>
      <c r="H5579" s="56"/>
      <c r="I5579" s="56"/>
      <c r="J5579" s="58"/>
      <c r="K5579" s="58"/>
      <c r="L5579" s="13" t="str">
        <f t="shared" si="870"/>
        <v/>
      </c>
      <c r="M5579" s="13" t="str">
        <f t="shared" si="871"/>
        <v/>
      </c>
      <c r="Q5579" t="str">
        <f t="shared" si="872"/>
        <v/>
      </c>
      <c r="R5579" t="str">
        <f t="shared" si="873"/>
        <v/>
      </c>
      <c r="S5579" t="str">
        <f t="shared" si="874"/>
        <v/>
      </c>
      <c r="T5579" t="str">
        <f t="shared" si="875"/>
        <v/>
      </c>
      <c r="U5579" t="str">
        <f t="shared" si="876"/>
        <v/>
      </c>
      <c r="V5579" t="str">
        <f t="shared" si="877"/>
        <v/>
      </c>
      <c r="W5579" t="str">
        <f t="shared" si="878"/>
        <v/>
      </c>
      <c r="X5579">
        <f>IF($T5579="",N($X5578),IF(MATCH($T5579,$T$6:$T$10005,0)=ROW()-5,N($X5578)+1,N($X5578)))</f>
        <v>0</v>
      </c>
      <c r="Z5579" t="str">
        <f t="shared" si="879"/>
        <v/>
      </c>
      <c r="AA5579">
        <f>IF($V5579="",N($AA5578),IF(MATCH($V5579,$V$6:$V$10005,0)=ROW()-5,N($AA5578)+1,N($AA5578)))</f>
        <v>0</v>
      </c>
    </row>
    <row r="5580" spans="1:27" ht="21" customHeight="1" x14ac:dyDescent="0.95">
      <c r="A5580" s="56"/>
      <c r="B5580" s="57"/>
      <c r="C5580" s="57"/>
      <c r="D5580" s="57"/>
      <c r="E5580" s="56"/>
      <c r="F5580" s="57"/>
      <c r="G5580" s="57"/>
      <c r="H5580" s="56"/>
      <c r="I5580" s="56"/>
      <c r="J5580" s="58"/>
      <c r="K5580" s="58"/>
      <c r="L5580" s="13" t="str">
        <f t="shared" si="870"/>
        <v/>
      </c>
      <c r="M5580" s="13" t="str">
        <f t="shared" si="871"/>
        <v/>
      </c>
      <c r="Q5580" t="str">
        <f t="shared" si="872"/>
        <v/>
      </c>
      <c r="R5580" t="str">
        <f t="shared" si="873"/>
        <v/>
      </c>
      <c r="S5580" t="str">
        <f t="shared" si="874"/>
        <v/>
      </c>
      <c r="T5580" t="str">
        <f t="shared" si="875"/>
        <v/>
      </c>
      <c r="U5580" t="str">
        <f t="shared" si="876"/>
        <v/>
      </c>
      <c r="V5580" t="str">
        <f t="shared" si="877"/>
        <v/>
      </c>
      <c r="W5580" t="str">
        <f t="shared" si="878"/>
        <v/>
      </c>
      <c r="X5580">
        <f>IF($T5580="",N($X5579),IF(MATCH($T5580,$T$6:$T$10005,0)=ROW()-5,N($X5579)+1,N($X5579)))</f>
        <v>0</v>
      </c>
      <c r="Z5580" t="str">
        <f t="shared" si="879"/>
        <v/>
      </c>
      <c r="AA5580">
        <f>IF($V5580="",N($AA5579),IF(MATCH($V5580,$V$6:$V$10005,0)=ROW()-5,N($AA5579)+1,N($AA5579)))</f>
        <v>0</v>
      </c>
    </row>
    <row r="5581" spans="1:27" ht="21" customHeight="1" x14ac:dyDescent="0.95">
      <c r="A5581" s="56"/>
      <c r="B5581" s="57"/>
      <c r="C5581" s="57"/>
      <c r="D5581" s="57"/>
      <c r="E5581" s="56"/>
      <c r="F5581" s="57"/>
      <c r="G5581" s="57"/>
      <c r="H5581" s="56"/>
      <c r="I5581" s="56"/>
      <c r="J5581" s="58"/>
      <c r="K5581" s="58"/>
      <c r="L5581" s="13" t="str">
        <f t="shared" si="870"/>
        <v/>
      </c>
      <c r="M5581" s="13" t="str">
        <f t="shared" si="871"/>
        <v/>
      </c>
      <c r="Q5581" t="str">
        <f t="shared" si="872"/>
        <v/>
      </c>
      <c r="R5581" t="str">
        <f t="shared" si="873"/>
        <v/>
      </c>
      <c r="S5581" t="str">
        <f t="shared" si="874"/>
        <v/>
      </c>
      <c r="T5581" t="str">
        <f t="shared" si="875"/>
        <v/>
      </c>
      <c r="U5581" t="str">
        <f t="shared" si="876"/>
        <v/>
      </c>
      <c r="V5581" t="str">
        <f t="shared" si="877"/>
        <v/>
      </c>
      <c r="W5581" t="str">
        <f t="shared" si="878"/>
        <v/>
      </c>
      <c r="X5581">
        <f>IF($T5581="",N($X5580),IF(MATCH($T5581,$T$6:$T$10005,0)=ROW()-5,N($X5580)+1,N($X5580)))</f>
        <v>0</v>
      </c>
      <c r="Z5581" t="str">
        <f t="shared" si="879"/>
        <v/>
      </c>
      <c r="AA5581">
        <f>IF($V5581="",N($AA5580),IF(MATCH($V5581,$V$6:$V$10005,0)=ROW()-5,N($AA5580)+1,N($AA5580)))</f>
        <v>0</v>
      </c>
    </row>
    <row r="5582" spans="1:27" ht="21" customHeight="1" x14ac:dyDescent="0.95">
      <c r="A5582" s="56"/>
      <c r="B5582" s="57"/>
      <c r="C5582" s="57"/>
      <c r="D5582" s="57"/>
      <c r="E5582" s="56"/>
      <c r="F5582" s="57"/>
      <c r="G5582" s="57"/>
      <c r="H5582" s="56"/>
      <c r="I5582" s="56"/>
      <c r="J5582" s="58"/>
      <c r="K5582" s="58"/>
      <c r="L5582" s="13" t="str">
        <f t="shared" si="870"/>
        <v/>
      </c>
      <c r="M5582" s="13" t="str">
        <f t="shared" si="871"/>
        <v/>
      </c>
      <c r="Q5582" t="str">
        <f t="shared" si="872"/>
        <v/>
      </c>
      <c r="R5582" t="str">
        <f t="shared" si="873"/>
        <v/>
      </c>
      <c r="S5582" t="str">
        <f t="shared" si="874"/>
        <v/>
      </c>
      <c r="T5582" t="str">
        <f t="shared" si="875"/>
        <v/>
      </c>
      <c r="U5582" t="str">
        <f t="shared" si="876"/>
        <v/>
      </c>
      <c r="V5582" t="str">
        <f t="shared" si="877"/>
        <v/>
      </c>
      <c r="W5582" t="str">
        <f t="shared" si="878"/>
        <v/>
      </c>
      <c r="X5582">
        <f>IF($T5582="",N($X5581),IF(MATCH($T5582,$T$6:$T$10005,0)=ROW()-5,N($X5581)+1,N($X5581)))</f>
        <v>0</v>
      </c>
      <c r="Z5582" t="str">
        <f t="shared" si="879"/>
        <v/>
      </c>
      <c r="AA5582">
        <f>IF($V5582="",N($AA5581),IF(MATCH($V5582,$V$6:$V$10005,0)=ROW()-5,N($AA5581)+1,N($AA5581)))</f>
        <v>0</v>
      </c>
    </row>
    <row r="5583" spans="1:27" ht="21" customHeight="1" x14ac:dyDescent="0.95">
      <c r="A5583" s="56"/>
      <c r="B5583" s="57"/>
      <c r="C5583" s="57"/>
      <c r="D5583" s="57"/>
      <c r="E5583" s="56"/>
      <c r="F5583" s="57"/>
      <c r="G5583" s="57"/>
      <c r="H5583" s="56"/>
      <c r="I5583" s="56"/>
      <c r="J5583" s="58"/>
      <c r="K5583" s="58"/>
      <c r="L5583" s="13" t="str">
        <f t="shared" si="870"/>
        <v/>
      </c>
      <c r="M5583" s="13" t="str">
        <f t="shared" si="871"/>
        <v/>
      </c>
      <c r="Q5583" t="str">
        <f t="shared" si="872"/>
        <v/>
      </c>
      <c r="R5583" t="str">
        <f t="shared" si="873"/>
        <v/>
      </c>
      <c r="S5583" t="str">
        <f t="shared" si="874"/>
        <v/>
      </c>
      <c r="T5583" t="str">
        <f t="shared" si="875"/>
        <v/>
      </c>
      <c r="U5583" t="str">
        <f t="shared" si="876"/>
        <v/>
      </c>
      <c r="V5583" t="str">
        <f t="shared" si="877"/>
        <v/>
      </c>
      <c r="W5583" t="str">
        <f t="shared" si="878"/>
        <v/>
      </c>
      <c r="X5583">
        <f>IF($T5583="",N($X5582),IF(MATCH($T5583,$T$6:$T$10005,0)=ROW()-5,N($X5582)+1,N($X5582)))</f>
        <v>0</v>
      </c>
      <c r="Z5583" t="str">
        <f t="shared" si="879"/>
        <v/>
      </c>
      <c r="AA5583">
        <f>IF($V5583="",N($AA5582),IF(MATCH($V5583,$V$6:$V$10005,0)=ROW()-5,N($AA5582)+1,N($AA5582)))</f>
        <v>0</v>
      </c>
    </row>
    <row r="5584" spans="1:27" ht="21" customHeight="1" x14ac:dyDescent="0.95">
      <c r="A5584" s="56"/>
      <c r="B5584" s="57"/>
      <c r="C5584" s="57"/>
      <c r="D5584" s="57"/>
      <c r="E5584" s="56"/>
      <c r="F5584" s="57"/>
      <c r="G5584" s="57"/>
      <c r="H5584" s="56"/>
      <c r="I5584" s="56"/>
      <c r="J5584" s="58"/>
      <c r="K5584" s="58"/>
      <c r="L5584" s="13" t="str">
        <f t="shared" si="870"/>
        <v/>
      </c>
      <c r="M5584" s="13" t="str">
        <f t="shared" si="871"/>
        <v/>
      </c>
      <c r="Q5584" t="str">
        <f t="shared" si="872"/>
        <v/>
      </c>
      <c r="R5584" t="str">
        <f t="shared" si="873"/>
        <v/>
      </c>
      <c r="S5584" t="str">
        <f t="shared" si="874"/>
        <v/>
      </c>
      <c r="T5584" t="str">
        <f t="shared" si="875"/>
        <v/>
      </c>
      <c r="U5584" t="str">
        <f t="shared" si="876"/>
        <v/>
      </c>
      <c r="V5584" t="str">
        <f t="shared" si="877"/>
        <v/>
      </c>
      <c r="W5584" t="str">
        <f t="shared" si="878"/>
        <v/>
      </c>
      <c r="X5584">
        <f>IF($T5584="",N($X5583),IF(MATCH($T5584,$T$6:$T$10005,0)=ROW()-5,N($X5583)+1,N($X5583)))</f>
        <v>0</v>
      </c>
      <c r="Z5584" t="str">
        <f t="shared" si="879"/>
        <v/>
      </c>
      <c r="AA5584">
        <f>IF($V5584="",N($AA5583),IF(MATCH($V5584,$V$6:$V$10005,0)=ROW()-5,N($AA5583)+1,N($AA5583)))</f>
        <v>0</v>
      </c>
    </row>
    <row r="5585" spans="1:27" ht="21" customHeight="1" x14ac:dyDescent="0.95">
      <c r="A5585" s="56"/>
      <c r="B5585" s="57"/>
      <c r="C5585" s="57"/>
      <c r="D5585" s="57"/>
      <c r="E5585" s="56"/>
      <c r="F5585" s="57"/>
      <c r="G5585" s="57"/>
      <c r="H5585" s="56"/>
      <c r="I5585" s="56"/>
      <c r="J5585" s="58"/>
      <c r="K5585" s="58"/>
      <c r="L5585" s="13" t="str">
        <f t="shared" si="870"/>
        <v/>
      </c>
      <c r="M5585" s="13" t="str">
        <f t="shared" si="871"/>
        <v/>
      </c>
      <c r="Q5585" t="str">
        <f t="shared" si="872"/>
        <v/>
      </c>
      <c r="R5585" t="str">
        <f t="shared" si="873"/>
        <v/>
      </c>
      <c r="S5585" t="str">
        <f t="shared" si="874"/>
        <v/>
      </c>
      <c r="T5585" t="str">
        <f t="shared" si="875"/>
        <v/>
      </c>
      <c r="U5585" t="str">
        <f t="shared" si="876"/>
        <v/>
      </c>
      <c r="V5585" t="str">
        <f t="shared" si="877"/>
        <v/>
      </c>
      <c r="W5585" t="str">
        <f t="shared" si="878"/>
        <v/>
      </c>
      <c r="X5585">
        <f>IF($T5585="",N($X5584),IF(MATCH($T5585,$T$6:$T$10005,0)=ROW()-5,N($X5584)+1,N($X5584)))</f>
        <v>0</v>
      </c>
      <c r="Z5585" t="str">
        <f t="shared" si="879"/>
        <v/>
      </c>
      <c r="AA5585">
        <f>IF($V5585="",N($AA5584),IF(MATCH($V5585,$V$6:$V$10005,0)=ROW()-5,N($AA5584)+1,N($AA5584)))</f>
        <v>0</v>
      </c>
    </row>
    <row r="5586" spans="1:27" ht="21" customHeight="1" x14ac:dyDescent="0.95">
      <c r="A5586" s="56"/>
      <c r="B5586" s="57"/>
      <c r="C5586" s="57"/>
      <c r="D5586" s="57"/>
      <c r="E5586" s="56"/>
      <c r="F5586" s="57"/>
      <c r="G5586" s="57"/>
      <c r="H5586" s="56"/>
      <c r="I5586" s="56"/>
      <c r="J5586" s="58"/>
      <c r="K5586" s="58"/>
      <c r="L5586" s="13" t="str">
        <f t="shared" si="870"/>
        <v/>
      </c>
      <c r="M5586" s="13" t="str">
        <f t="shared" si="871"/>
        <v/>
      </c>
      <c r="Q5586" t="str">
        <f t="shared" si="872"/>
        <v/>
      </c>
      <c r="R5586" t="str">
        <f t="shared" si="873"/>
        <v/>
      </c>
      <c r="S5586" t="str">
        <f t="shared" si="874"/>
        <v/>
      </c>
      <c r="T5586" t="str">
        <f t="shared" si="875"/>
        <v/>
      </c>
      <c r="U5586" t="str">
        <f t="shared" si="876"/>
        <v/>
      </c>
      <c r="V5586" t="str">
        <f t="shared" si="877"/>
        <v/>
      </c>
      <c r="W5586" t="str">
        <f t="shared" si="878"/>
        <v/>
      </c>
      <c r="X5586">
        <f>IF($T5586="",N($X5585),IF(MATCH($T5586,$T$6:$T$10005,0)=ROW()-5,N($X5585)+1,N($X5585)))</f>
        <v>0</v>
      </c>
      <c r="Z5586" t="str">
        <f t="shared" si="879"/>
        <v/>
      </c>
      <c r="AA5586">
        <f>IF($V5586="",N($AA5585),IF(MATCH($V5586,$V$6:$V$10005,0)=ROW()-5,N($AA5585)+1,N($AA5585)))</f>
        <v>0</v>
      </c>
    </row>
    <row r="5587" spans="1:27" ht="21" customHeight="1" x14ac:dyDescent="0.95">
      <c r="A5587" s="56"/>
      <c r="B5587" s="57"/>
      <c r="C5587" s="57"/>
      <c r="D5587" s="57"/>
      <c r="E5587" s="56"/>
      <c r="F5587" s="57"/>
      <c r="G5587" s="57"/>
      <c r="H5587" s="56"/>
      <c r="I5587" s="56"/>
      <c r="J5587" s="58"/>
      <c r="K5587" s="58"/>
      <c r="L5587" s="13" t="str">
        <f t="shared" si="870"/>
        <v/>
      </c>
      <c r="M5587" s="13" t="str">
        <f t="shared" si="871"/>
        <v/>
      </c>
      <c r="Q5587" t="str">
        <f t="shared" si="872"/>
        <v/>
      </c>
      <c r="R5587" t="str">
        <f t="shared" si="873"/>
        <v/>
      </c>
      <c r="S5587" t="str">
        <f t="shared" si="874"/>
        <v/>
      </c>
      <c r="T5587" t="str">
        <f t="shared" si="875"/>
        <v/>
      </c>
      <c r="U5587" t="str">
        <f t="shared" si="876"/>
        <v/>
      </c>
      <c r="V5587" t="str">
        <f t="shared" si="877"/>
        <v/>
      </c>
      <c r="W5587" t="str">
        <f t="shared" si="878"/>
        <v/>
      </c>
      <c r="X5587">
        <f>IF($T5587="",N($X5586),IF(MATCH($T5587,$T$6:$T$10005,0)=ROW()-5,N($X5586)+1,N($X5586)))</f>
        <v>0</v>
      </c>
      <c r="Z5587" t="str">
        <f t="shared" si="879"/>
        <v/>
      </c>
      <c r="AA5587">
        <f>IF($V5587="",N($AA5586),IF(MATCH($V5587,$V$6:$V$10005,0)=ROW()-5,N($AA5586)+1,N($AA5586)))</f>
        <v>0</v>
      </c>
    </row>
    <row r="5588" spans="1:27" ht="21" customHeight="1" x14ac:dyDescent="0.95">
      <c r="A5588" s="56"/>
      <c r="B5588" s="57"/>
      <c r="C5588" s="57"/>
      <c r="D5588" s="57"/>
      <c r="E5588" s="56"/>
      <c r="F5588" s="57"/>
      <c r="G5588" s="57"/>
      <c r="H5588" s="56"/>
      <c r="I5588" s="56"/>
      <c r="J5588" s="58"/>
      <c r="K5588" s="58"/>
      <c r="L5588" s="13" t="str">
        <f t="shared" si="870"/>
        <v/>
      </c>
      <c r="M5588" s="13" t="str">
        <f t="shared" si="871"/>
        <v/>
      </c>
      <c r="Q5588" t="str">
        <f t="shared" si="872"/>
        <v/>
      </c>
      <c r="R5588" t="str">
        <f t="shared" si="873"/>
        <v/>
      </c>
      <c r="S5588" t="str">
        <f t="shared" si="874"/>
        <v/>
      </c>
      <c r="T5588" t="str">
        <f t="shared" si="875"/>
        <v/>
      </c>
      <c r="U5588" t="str">
        <f t="shared" si="876"/>
        <v/>
      </c>
      <c r="V5588" t="str">
        <f t="shared" si="877"/>
        <v/>
      </c>
      <c r="W5588" t="str">
        <f t="shared" si="878"/>
        <v/>
      </c>
      <c r="X5588">
        <f>IF($T5588="",N($X5587),IF(MATCH($T5588,$T$6:$T$10005,0)=ROW()-5,N($X5587)+1,N($X5587)))</f>
        <v>0</v>
      </c>
      <c r="Z5588" t="str">
        <f t="shared" si="879"/>
        <v/>
      </c>
      <c r="AA5588">
        <f>IF($V5588="",N($AA5587),IF(MATCH($V5588,$V$6:$V$10005,0)=ROW()-5,N($AA5587)+1,N($AA5587)))</f>
        <v>0</v>
      </c>
    </row>
    <row r="5589" spans="1:27" ht="21" customHeight="1" x14ac:dyDescent="0.95">
      <c r="A5589" s="56"/>
      <c r="B5589" s="57"/>
      <c r="C5589" s="57"/>
      <c r="D5589" s="57"/>
      <c r="E5589" s="56"/>
      <c r="F5589" s="57"/>
      <c r="G5589" s="57"/>
      <c r="H5589" s="56"/>
      <c r="I5589" s="56"/>
      <c r="J5589" s="58"/>
      <c r="K5589" s="58"/>
      <c r="L5589" s="13" t="str">
        <f t="shared" si="870"/>
        <v/>
      </c>
      <c r="M5589" s="13" t="str">
        <f t="shared" si="871"/>
        <v/>
      </c>
      <c r="Q5589" t="str">
        <f t="shared" si="872"/>
        <v/>
      </c>
      <c r="R5589" t="str">
        <f t="shared" si="873"/>
        <v/>
      </c>
      <c r="S5589" t="str">
        <f t="shared" si="874"/>
        <v/>
      </c>
      <c r="T5589" t="str">
        <f t="shared" si="875"/>
        <v/>
      </c>
      <c r="U5589" t="str">
        <f t="shared" si="876"/>
        <v/>
      </c>
      <c r="V5589" t="str">
        <f t="shared" si="877"/>
        <v/>
      </c>
      <c r="W5589" t="str">
        <f t="shared" si="878"/>
        <v/>
      </c>
      <c r="X5589">
        <f>IF($T5589="",N($X5588),IF(MATCH($T5589,$T$6:$T$10005,0)=ROW()-5,N($X5588)+1,N($X5588)))</f>
        <v>0</v>
      </c>
      <c r="Z5589" t="str">
        <f t="shared" si="879"/>
        <v/>
      </c>
      <c r="AA5589">
        <f>IF($V5589="",N($AA5588),IF(MATCH($V5589,$V$6:$V$10005,0)=ROW()-5,N($AA5588)+1,N($AA5588)))</f>
        <v>0</v>
      </c>
    </row>
    <row r="5590" spans="1:27" ht="21" customHeight="1" x14ac:dyDescent="0.95">
      <c r="A5590" s="56"/>
      <c r="B5590" s="57"/>
      <c r="C5590" s="57"/>
      <c r="D5590" s="57"/>
      <c r="E5590" s="56"/>
      <c r="F5590" s="57"/>
      <c r="G5590" s="57"/>
      <c r="H5590" s="56"/>
      <c r="I5590" s="56"/>
      <c r="J5590" s="58"/>
      <c r="K5590" s="58"/>
      <c r="L5590" s="13" t="str">
        <f t="shared" si="870"/>
        <v/>
      </c>
      <c r="M5590" s="13" t="str">
        <f t="shared" si="871"/>
        <v/>
      </c>
      <c r="Q5590" t="str">
        <f t="shared" si="872"/>
        <v/>
      </c>
      <c r="R5590" t="str">
        <f t="shared" si="873"/>
        <v/>
      </c>
      <c r="S5590" t="str">
        <f t="shared" si="874"/>
        <v/>
      </c>
      <c r="T5590" t="str">
        <f t="shared" si="875"/>
        <v/>
      </c>
      <c r="U5590" t="str">
        <f t="shared" si="876"/>
        <v/>
      </c>
      <c r="V5590" t="str">
        <f t="shared" si="877"/>
        <v/>
      </c>
      <c r="W5590" t="str">
        <f t="shared" si="878"/>
        <v/>
      </c>
      <c r="X5590">
        <f>IF($T5590="",N($X5589),IF(MATCH($T5590,$T$6:$T$10005,0)=ROW()-5,N($X5589)+1,N($X5589)))</f>
        <v>0</v>
      </c>
      <c r="Z5590" t="str">
        <f t="shared" si="879"/>
        <v/>
      </c>
      <c r="AA5590">
        <f>IF($V5590="",N($AA5589),IF(MATCH($V5590,$V$6:$V$10005,0)=ROW()-5,N($AA5589)+1,N($AA5589)))</f>
        <v>0</v>
      </c>
    </row>
    <row r="5591" spans="1:27" ht="21" customHeight="1" x14ac:dyDescent="0.95">
      <c r="A5591" s="56"/>
      <c r="B5591" s="57"/>
      <c r="C5591" s="57"/>
      <c r="D5591" s="57"/>
      <c r="E5591" s="56"/>
      <c r="F5591" s="57"/>
      <c r="G5591" s="57"/>
      <c r="H5591" s="56"/>
      <c r="I5591" s="56"/>
      <c r="J5591" s="58"/>
      <c r="K5591" s="58"/>
      <c r="L5591" s="13" t="str">
        <f t="shared" si="870"/>
        <v/>
      </c>
      <c r="M5591" s="13" t="str">
        <f t="shared" si="871"/>
        <v/>
      </c>
      <c r="Q5591" t="str">
        <f t="shared" si="872"/>
        <v/>
      </c>
      <c r="R5591" t="str">
        <f t="shared" si="873"/>
        <v/>
      </c>
      <c r="S5591" t="str">
        <f t="shared" si="874"/>
        <v/>
      </c>
      <c r="T5591" t="str">
        <f t="shared" si="875"/>
        <v/>
      </c>
      <c r="U5591" t="str">
        <f t="shared" si="876"/>
        <v/>
      </c>
      <c r="V5591" t="str">
        <f t="shared" si="877"/>
        <v/>
      </c>
      <c r="W5591" t="str">
        <f t="shared" si="878"/>
        <v/>
      </c>
      <c r="X5591">
        <f>IF($T5591="",N($X5590),IF(MATCH($T5591,$T$6:$T$10005,0)=ROW()-5,N($X5590)+1,N($X5590)))</f>
        <v>0</v>
      </c>
      <c r="Z5591" t="str">
        <f t="shared" si="879"/>
        <v/>
      </c>
      <c r="AA5591">
        <f>IF($V5591="",N($AA5590),IF(MATCH($V5591,$V$6:$V$10005,0)=ROW()-5,N($AA5590)+1,N($AA5590)))</f>
        <v>0</v>
      </c>
    </row>
    <row r="5592" spans="1:27" ht="21" customHeight="1" x14ac:dyDescent="0.95">
      <c r="A5592" s="56"/>
      <c r="B5592" s="57"/>
      <c r="C5592" s="57"/>
      <c r="D5592" s="57"/>
      <c r="E5592" s="56"/>
      <c r="F5592" s="57"/>
      <c r="G5592" s="57"/>
      <c r="H5592" s="56"/>
      <c r="I5592" s="56"/>
      <c r="J5592" s="58"/>
      <c r="K5592" s="58"/>
      <c r="L5592" s="13" t="str">
        <f t="shared" si="870"/>
        <v/>
      </c>
      <c r="M5592" s="13" t="str">
        <f t="shared" si="871"/>
        <v/>
      </c>
      <c r="Q5592" t="str">
        <f t="shared" si="872"/>
        <v/>
      </c>
      <c r="R5592" t="str">
        <f t="shared" si="873"/>
        <v/>
      </c>
      <c r="S5592" t="str">
        <f t="shared" si="874"/>
        <v/>
      </c>
      <c r="T5592" t="str">
        <f t="shared" si="875"/>
        <v/>
      </c>
      <c r="U5592" t="str">
        <f t="shared" si="876"/>
        <v/>
      </c>
      <c r="V5592" t="str">
        <f t="shared" si="877"/>
        <v/>
      </c>
      <c r="W5592" t="str">
        <f t="shared" si="878"/>
        <v/>
      </c>
      <c r="X5592">
        <f>IF($T5592="",N($X5591),IF(MATCH($T5592,$T$6:$T$10005,0)=ROW()-5,N($X5591)+1,N($X5591)))</f>
        <v>0</v>
      </c>
      <c r="Z5592" t="str">
        <f t="shared" si="879"/>
        <v/>
      </c>
      <c r="AA5592">
        <f>IF($V5592="",N($AA5591),IF(MATCH($V5592,$V$6:$V$10005,0)=ROW()-5,N($AA5591)+1,N($AA5591)))</f>
        <v>0</v>
      </c>
    </row>
    <row r="5593" spans="1:27" ht="21" customHeight="1" x14ac:dyDescent="0.95">
      <c r="A5593" s="56"/>
      <c r="B5593" s="57"/>
      <c r="C5593" s="57"/>
      <c r="D5593" s="57"/>
      <c r="E5593" s="56"/>
      <c r="F5593" s="57"/>
      <c r="G5593" s="57"/>
      <c r="H5593" s="56"/>
      <c r="I5593" s="56"/>
      <c r="J5593" s="58"/>
      <c r="K5593" s="58"/>
      <c r="L5593" s="13" t="str">
        <f t="shared" si="870"/>
        <v/>
      </c>
      <c r="M5593" s="13" t="str">
        <f t="shared" si="871"/>
        <v/>
      </c>
      <c r="Q5593" t="str">
        <f t="shared" si="872"/>
        <v/>
      </c>
      <c r="R5593" t="str">
        <f t="shared" si="873"/>
        <v/>
      </c>
      <c r="S5593" t="str">
        <f t="shared" si="874"/>
        <v/>
      </c>
      <c r="T5593" t="str">
        <f t="shared" si="875"/>
        <v/>
      </c>
      <c r="U5593" t="str">
        <f t="shared" si="876"/>
        <v/>
      </c>
      <c r="V5593" t="str">
        <f t="shared" si="877"/>
        <v/>
      </c>
      <c r="W5593" t="str">
        <f t="shared" si="878"/>
        <v/>
      </c>
      <c r="X5593">
        <f>IF($T5593="",N($X5592),IF(MATCH($T5593,$T$6:$T$10005,0)=ROW()-5,N($X5592)+1,N($X5592)))</f>
        <v>0</v>
      </c>
      <c r="Z5593" t="str">
        <f t="shared" si="879"/>
        <v/>
      </c>
      <c r="AA5593">
        <f>IF($V5593="",N($AA5592),IF(MATCH($V5593,$V$6:$V$10005,0)=ROW()-5,N($AA5592)+1,N($AA5592)))</f>
        <v>0</v>
      </c>
    </row>
    <row r="5594" spans="1:27" ht="21" customHeight="1" x14ac:dyDescent="0.95">
      <c r="A5594" s="56"/>
      <c r="B5594" s="57"/>
      <c r="C5594" s="57"/>
      <c r="D5594" s="57"/>
      <c r="E5594" s="56"/>
      <c r="F5594" s="57"/>
      <c r="G5594" s="57"/>
      <c r="H5594" s="56"/>
      <c r="I5594" s="56"/>
      <c r="J5594" s="58"/>
      <c r="K5594" s="58"/>
      <c r="L5594" s="13" t="str">
        <f t="shared" si="870"/>
        <v/>
      </c>
      <c r="M5594" s="13" t="str">
        <f t="shared" si="871"/>
        <v/>
      </c>
      <c r="Q5594" t="str">
        <f t="shared" si="872"/>
        <v/>
      </c>
      <c r="R5594" t="str">
        <f t="shared" si="873"/>
        <v/>
      </c>
      <c r="S5594" t="str">
        <f t="shared" si="874"/>
        <v/>
      </c>
      <c r="T5594" t="str">
        <f t="shared" si="875"/>
        <v/>
      </c>
      <c r="U5594" t="str">
        <f t="shared" si="876"/>
        <v/>
      </c>
      <c r="V5594" t="str">
        <f t="shared" si="877"/>
        <v/>
      </c>
      <c r="W5594" t="str">
        <f t="shared" si="878"/>
        <v/>
      </c>
      <c r="X5594">
        <f>IF($T5594="",N($X5593),IF(MATCH($T5594,$T$6:$T$10005,0)=ROW()-5,N($X5593)+1,N($X5593)))</f>
        <v>0</v>
      </c>
      <c r="Z5594" t="str">
        <f t="shared" si="879"/>
        <v/>
      </c>
      <c r="AA5594">
        <f>IF($V5594="",N($AA5593),IF(MATCH($V5594,$V$6:$V$10005,0)=ROW()-5,N($AA5593)+1,N($AA5593)))</f>
        <v>0</v>
      </c>
    </row>
    <row r="5595" spans="1:27" ht="21" customHeight="1" x14ac:dyDescent="0.95">
      <c r="A5595" s="56"/>
      <c r="B5595" s="57"/>
      <c r="C5595" s="57"/>
      <c r="D5595" s="57"/>
      <c r="E5595" s="56"/>
      <c r="F5595" s="57"/>
      <c r="G5595" s="57"/>
      <c r="H5595" s="56"/>
      <c r="I5595" s="56"/>
      <c r="J5595" s="58"/>
      <c r="K5595" s="58"/>
      <c r="L5595" s="13" t="str">
        <f t="shared" si="870"/>
        <v/>
      </c>
      <c r="M5595" s="13" t="str">
        <f t="shared" si="871"/>
        <v/>
      </c>
      <c r="Q5595" t="str">
        <f t="shared" si="872"/>
        <v/>
      </c>
      <c r="R5595" t="str">
        <f t="shared" si="873"/>
        <v/>
      </c>
      <c r="S5595" t="str">
        <f t="shared" si="874"/>
        <v/>
      </c>
      <c r="T5595" t="str">
        <f t="shared" si="875"/>
        <v/>
      </c>
      <c r="U5595" t="str">
        <f t="shared" si="876"/>
        <v/>
      </c>
      <c r="V5595" t="str">
        <f t="shared" si="877"/>
        <v/>
      </c>
      <c r="W5595" t="str">
        <f t="shared" si="878"/>
        <v/>
      </c>
      <c r="X5595">
        <f>IF($T5595="",N($X5594),IF(MATCH($T5595,$T$6:$T$10005,0)=ROW()-5,N($X5594)+1,N($X5594)))</f>
        <v>0</v>
      </c>
      <c r="Z5595" t="str">
        <f t="shared" si="879"/>
        <v/>
      </c>
      <c r="AA5595">
        <f>IF($V5595="",N($AA5594),IF(MATCH($V5595,$V$6:$V$10005,0)=ROW()-5,N($AA5594)+1,N($AA5594)))</f>
        <v>0</v>
      </c>
    </row>
    <row r="5596" spans="1:27" ht="21" customHeight="1" x14ac:dyDescent="0.95">
      <c r="A5596" s="56"/>
      <c r="B5596" s="57"/>
      <c r="C5596" s="57"/>
      <c r="D5596" s="57"/>
      <c r="E5596" s="56"/>
      <c r="F5596" s="57"/>
      <c r="G5596" s="57"/>
      <c r="H5596" s="56"/>
      <c r="I5596" s="56"/>
      <c r="J5596" s="58"/>
      <c r="K5596" s="58"/>
      <c r="L5596" s="13" t="str">
        <f t="shared" si="870"/>
        <v/>
      </c>
      <c r="M5596" s="13" t="str">
        <f t="shared" si="871"/>
        <v/>
      </c>
      <c r="Q5596" t="str">
        <f t="shared" si="872"/>
        <v/>
      </c>
      <c r="R5596" t="str">
        <f t="shared" si="873"/>
        <v/>
      </c>
      <c r="S5596" t="str">
        <f t="shared" si="874"/>
        <v/>
      </c>
      <c r="T5596" t="str">
        <f t="shared" si="875"/>
        <v/>
      </c>
      <c r="U5596" t="str">
        <f t="shared" si="876"/>
        <v/>
      </c>
      <c r="V5596" t="str">
        <f t="shared" si="877"/>
        <v/>
      </c>
      <c r="W5596" t="str">
        <f t="shared" si="878"/>
        <v/>
      </c>
      <c r="X5596">
        <f>IF($T5596="",N($X5595),IF(MATCH($T5596,$T$6:$T$10005,0)=ROW()-5,N($X5595)+1,N($X5595)))</f>
        <v>0</v>
      </c>
      <c r="Z5596" t="str">
        <f t="shared" si="879"/>
        <v/>
      </c>
      <c r="AA5596">
        <f>IF($V5596="",N($AA5595),IF(MATCH($V5596,$V$6:$V$10005,0)=ROW()-5,N($AA5595)+1,N($AA5595)))</f>
        <v>0</v>
      </c>
    </row>
    <row r="5597" spans="1:27" ht="21" customHeight="1" x14ac:dyDescent="0.95">
      <c r="A5597" s="56"/>
      <c r="B5597" s="57"/>
      <c r="C5597" s="57"/>
      <c r="D5597" s="57"/>
      <c r="E5597" s="56"/>
      <c r="F5597" s="57"/>
      <c r="G5597" s="57"/>
      <c r="H5597" s="56"/>
      <c r="I5597" s="56"/>
      <c r="J5597" s="58"/>
      <c r="K5597" s="58"/>
      <c r="L5597" s="13" t="str">
        <f t="shared" si="870"/>
        <v/>
      </c>
      <c r="M5597" s="13" t="str">
        <f t="shared" si="871"/>
        <v/>
      </c>
      <c r="Q5597" t="str">
        <f t="shared" si="872"/>
        <v/>
      </c>
      <c r="R5597" t="str">
        <f t="shared" si="873"/>
        <v/>
      </c>
      <c r="S5597" t="str">
        <f t="shared" si="874"/>
        <v/>
      </c>
      <c r="T5597" t="str">
        <f t="shared" si="875"/>
        <v/>
      </c>
      <c r="U5597" t="str">
        <f t="shared" si="876"/>
        <v/>
      </c>
      <c r="V5597" t="str">
        <f t="shared" si="877"/>
        <v/>
      </c>
      <c r="W5597" t="str">
        <f t="shared" si="878"/>
        <v/>
      </c>
      <c r="X5597">
        <f>IF($T5597="",N($X5596),IF(MATCH($T5597,$T$6:$T$10005,0)=ROW()-5,N($X5596)+1,N($X5596)))</f>
        <v>0</v>
      </c>
      <c r="Z5597" t="str">
        <f t="shared" si="879"/>
        <v/>
      </c>
      <c r="AA5597">
        <f>IF($V5597="",N($AA5596),IF(MATCH($V5597,$V$6:$V$10005,0)=ROW()-5,N($AA5596)+1,N($AA5596)))</f>
        <v>0</v>
      </c>
    </row>
    <row r="5598" spans="1:27" ht="21" customHeight="1" x14ac:dyDescent="0.95">
      <c r="A5598" s="56"/>
      <c r="B5598" s="57"/>
      <c r="C5598" s="57"/>
      <c r="D5598" s="57"/>
      <c r="E5598" s="56"/>
      <c r="F5598" s="57"/>
      <c r="G5598" s="57"/>
      <c r="H5598" s="56"/>
      <c r="I5598" s="56"/>
      <c r="J5598" s="58"/>
      <c r="K5598" s="58"/>
      <c r="L5598" s="13" t="str">
        <f t="shared" si="870"/>
        <v/>
      </c>
      <c r="M5598" s="13" t="str">
        <f t="shared" si="871"/>
        <v/>
      </c>
      <c r="Q5598" t="str">
        <f t="shared" si="872"/>
        <v/>
      </c>
      <c r="R5598" t="str">
        <f t="shared" si="873"/>
        <v/>
      </c>
      <c r="S5598" t="str">
        <f t="shared" si="874"/>
        <v/>
      </c>
      <c r="T5598" t="str">
        <f t="shared" si="875"/>
        <v/>
      </c>
      <c r="U5598" t="str">
        <f t="shared" si="876"/>
        <v/>
      </c>
      <c r="V5598" t="str">
        <f t="shared" si="877"/>
        <v/>
      </c>
      <c r="W5598" t="str">
        <f t="shared" si="878"/>
        <v/>
      </c>
      <c r="X5598">
        <f>IF($T5598="",N($X5597),IF(MATCH($T5598,$T$6:$T$10005,0)=ROW()-5,N($X5597)+1,N($X5597)))</f>
        <v>0</v>
      </c>
      <c r="Z5598" t="str">
        <f t="shared" si="879"/>
        <v/>
      </c>
      <c r="AA5598">
        <f>IF($V5598="",N($AA5597),IF(MATCH($V5598,$V$6:$V$10005,0)=ROW()-5,N($AA5597)+1,N($AA5597)))</f>
        <v>0</v>
      </c>
    </row>
    <row r="5599" spans="1:27" ht="21" customHeight="1" x14ac:dyDescent="0.95">
      <c r="A5599" s="56"/>
      <c r="B5599" s="57"/>
      <c r="C5599" s="57"/>
      <c r="D5599" s="57"/>
      <c r="E5599" s="56"/>
      <c r="F5599" s="57"/>
      <c r="G5599" s="57"/>
      <c r="H5599" s="56"/>
      <c r="I5599" s="56"/>
      <c r="J5599" s="58"/>
      <c r="K5599" s="58"/>
      <c r="L5599" s="13" t="str">
        <f t="shared" si="870"/>
        <v/>
      </c>
      <c r="M5599" s="13" t="str">
        <f t="shared" si="871"/>
        <v/>
      </c>
      <c r="Q5599" t="str">
        <f t="shared" si="872"/>
        <v/>
      </c>
      <c r="R5599" t="str">
        <f t="shared" si="873"/>
        <v/>
      </c>
      <c r="S5599" t="str">
        <f t="shared" si="874"/>
        <v/>
      </c>
      <c r="T5599" t="str">
        <f t="shared" si="875"/>
        <v/>
      </c>
      <c r="U5599" t="str">
        <f t="shared" si="876"/>
        <v/>
      </c>
      <c r="V5599" t="str">
        <f t="shared" si="877"/>
        <v/>
      </c>
      <c r="W5599" t="str">
        <f t="shared" si="878"/>
        <v/>
      </c>
      <c r="X5599">
        <f>IF($T5599="",N($X5598),IF(MATCH($T5599,$T$6:$T$10005,0)=ROW()-5,N($X5598)+1,N($X5598)))</f>
        <v>0</v>
      </c>
      <c r="Z5599" t="str">
        <f t="shared" si="879"/>
        <v/>
      </c>
      <c r="AA5599">
        <f>IF($V5599="",N($AA5598),IF(MATCH($V5599,$V$6:$V$10005,0)=ROW()-5,N($AA5598)+1,N($AA5598)))</f>
        <v>0</v>
      </c>
    </row>
    <row r="5600" spans="1:27" ht="21" customHeight="1" x14ac:dyDescent="0.95">
      <c r="A5600" s="56"/>
      <c r="B5600" s="57"/>
      <c r="C5600" s="57"/>
      <c r="D5600" s="57"/>
      <c r="E5600" s="56"/>
      <c r="F5600" s="57"/>
      <c r="G5600" s="57"/>
      <c r="H5600" s="56"/>
      <c r="I5600" s="56"/>
      <c r="J5600" s="58"/>
      <c r="K5600" s="58"/>
      <c r="L5600" s="13" t="str">
        <f t="shared" si="870"/>
        <v/>
      </c>
      <c r="M5600" s="13" t="str">
        <f t="shared" si="871"/>
        <v/>
      </c>
      <c r="Q5600" t="str">
        <f t="shared" si="872"/>
        <v/>
      </c>
      <c r="R5600" t="str">
        <f t="shared" si="873"/>
        <v/>
      </c>
      <c r="S5600" t="str">
        <f t="shared" si="874"/>
        <v/>
      </c>
      <c r="T5600" t="str">
        <f t="shared" si="875"/>
        <v/>
      </c>
      <c r="U5600" t="str">
        <f t="shared" si="876"/>
        <v/>
      </c>
      <c r="V5600" t="str">
        <f t="shared" si="877"/>
        <v/>
      </c>
      <c r="W5600" t="str">
        <f t="shared" si="878"/>
        <v/>
      </c>
      <c r="X5600">
        <f>IF($T5600="",N($X5599),IF(MATCH($T5600,$T$6:$T$10005,0)=ROW()-5,N($X5599)+1,N($X5599)))</f>
        <v>0</v>
      </c>
      <c r="Z5600" t="str">
        <f t="shared" si="879"/>
        <v/>
      </c>
      <c r="AA5600">
        <f>IF($V5600="",N($AA5599),IF(MATCH($V5600,$V$6:$V$10005,0)=ROW()-5,N($AA5599)+1,N($AA5599)))</f>
        <v>0</v>
      </c>
    </row>
    <row r="5601" spans="1:27" ht="21" customHeight="1" x14ac:dyDescent="0.95">
      <c r="A5601" s="56"/>
      <c r="B5601" s="57"/>
      <c r="C5601" s="57"/>
      <c r="D5601" s="57"/>
      <c r="E5601" s="56"/>
      <c r="F5601" s="57"/>
      <c r="G5601" s="57"/>
      <c r="H5601" s="56"/>
      <c r="I5601" s="56"/>
      <c r="J5601" s="58"/>
      <c r="K5601" s="58"/>
      <c r="L5601" s="13" t="str">
        <f t="shared" si="870"/>
        <v/>
      </c>
      <c r="M5601" s="13" t="str">
        <f t="shared" si="871"/>
        <v/>
      </c>
      <c r="Q5601" t="str">
        <f t="shared" si="872"/>
        <v/>
      </c>
      <c r="R5601" t="str">
        <f t="shared" si="873"/>
        <v/>
      </c>
      <c r="S5601" t="str">
        <f t="shared" si="874"/>
        <v/>
      </c>
      <c r="T5601" t="str">
        <f t="shared" si="875"/>
        <v/>
      </c>
      <c r="U5601" t="str">
        <f t="shared" si="876"/>
        <v/>
      </c>
      <c r="V5601" t="str">
        <f t="shared" si="877"/>
        <v/>
      </c>
      <c r="W5601" t="str">
        <f t="shared" si="878"/>
        <v/>
      </c>
      <c r="X5601">
        <f>IF($T5601="",N($X5600),IF(MATCH($T5601,$T$6:$T$10005,0)=ROW()-5,N($X5600)+1,N($X5600)))</f>
        <v>0</v>
      </c>
      <c r="Z5601" t="str">
        <f t="shared" si="879"/>
        <v/>
      </c>
      <c r="AA5601">
        <f>IF($V5601="",N($AA5600),IF(MATCH($V5601,$V$6:$V$10005,0)=ROW()-5,N($AA5600)+1,N($AA5600)))</f>
        <v>0</v>
      </c>
    </row>
    <row r="5602" spans="1:27" ht="21" customHeight="1" x14ac:dyDescent="0.95">
      <c r="A5602" s="56"/>
      <c r="B5602" s="57"/>
      <c r="C5602" s="57"/>
      <c r="D5602" s="57"/>
      <c r="E5602" s="56"/>
      <c r="F5602" s="57"/>
      <c r="G5602" s="57"/>
      <c r="H5602" s="56"/>
      <c r="I5602" s="56"/>
      <c r="J5602" s="58"/>
      <c r="K5602" s="58"/>
      <c r="L5602" s="13" t="str">
        <f t="shared" si="870"/>
        <v/>
      </c>
      <c r="M5602" s="13" t="str">
        <f t="shared" si="871"/>
        <v/>
      </c>
      <c r="Q5602" t="str">
        <f t="shared" si="872"/>
        <v/>
      </c>
      <c r="R5602" t="str">
        <f t="shared" si="873"/>
        <v/>
      </c>
      <c r="S5602" t="str">
        <f t="shared" si="874"/>
        <v/>
      </c>
      <c r="T5602" t="str">
        <f t="shared" si="875"/>
        <v/>
      </c>
      <c r="U5602" t="str">
        <f t="shared" si="876"/>
        <v/>
      </c>
      <c r="V5602" t="str">
        <f t="shared" si="877"/>
        <v/>
      </c>
      <c r="W5602" t="str">
        <f t="shared" si="878"/>
        <v/>
      </c>
      <c r="X5602">
        <f>IF($T5602="",N($X5601),IF(MATCH($T5602,$T$6:$T$10005,0)=ROW()-5,N($X5601)+1,N($X5601)))</f>
        <v>0</v>
      </c>
      <c r="Z5602" t="str">
        <f t="shared" si="879"/>
        <v/>
      </c>
      <c r="AA5602">
        <f>IF($V5602="",N($AA5601),IF(MATCH($V5602,$V$6:$V$10005,0)=ROW()-5,N($AA5601)+1,N($AA5601)))</f>
        <v>0</v>
      </c>
    </row>
    <row r="5603" spans="1:27" ht="21" customHeight="1" x14ac:dyDescent="0.95">
      <c r="A5603" s="56"/>
      <c r="B5603" s="57"/>
      <c r="C5603" s="57"/>
      <c r="D5603" s="57"/>
      <c r="E5603" s="56"/>
      <c r="F5603" s="57"/>
      <c r="G5603" s="57"/>
      <c r="H5603" s="56"/>
      <c r="I5603" s="56"/>
      <c r="J5603" s="58"/>
      <c r="K5603" s="58"/>
      <c r="L5603" s="13" t="str">
        <f t="shared" si="870"/>
        <v/>
      </c>
      <c r="M5603" s="13" t="str">
        <f t="shared" si="871"/>
        <v/>
      </c>
      <c r="Q5603" t="str">
        <f t="shared" si="872"/>
        <v/>
      </c>
      <c r="R5603" t="str">
        <f t="shared" si="873"/>
        <v/>
      </c>
      <c r="S5603" t="str">
        <f t="shared" si="874"/>
        <v/>
      </c>
      <c r="T5603" t="str">
        <f t="shared" si="875"/>
        <v/>
      </c>
      <c r="U5603" t="str">
        <f t="shared" si="876"/>
        <v/>
      </c>
      <c r="V5603" t="str">
        <f t="shared" si="877"/>
        <v/>
      </c>
      <c r="W5603" t="str">
        <f t="shared" si="878"/>
        <v/>
      </c>
      <c r="X5603">
        <f>IF($T5603="",N($X5602),IF(MATCH($T5603,$T$6:$T$10005,0)=ROW()-5,N($X5602)+1,N($X5602)))</f>
        <v>0</v>
      </c>
      <c r="Z5603" t="str">
        <f t="shared" si="879"/>
        <v/>
      </c>
      <c r="AA5603">
        <f>IF($V5603="",N($AA5602),IF(MATCH($V5603,$V$6:$V$10005,0)=ROW()-5,N($AA5602)+1,N($AA5602)))</f>
        <v>0</v>
      </c>
    </row>
    <row r="5604" spans="1:27" ht="21" customHeight="1" x14ac:dyDescent="0.95">
      <c r="A5604" s="56"/>
      <c r="B5604" s="57"/>
      <c r="C5604" s="57"/>
      <c r="D5604" s="57"/>
      <c r="E5604" s="56"/>
      <c r="F5604" s="57"/>
      <c r="G5604" s="57"/>
      <c r="H5604" s="56"/>
      <c r="I5604" s="56"/>
      <c r="J5604" s="58"/>
      <c r="K5604" s="58"/>
      <c r="L5604" s="13" t="str">
        <f t="shared" si="870"/>
        <v/>
      </c>
      <c r="M5604" s="13" t="str">
        <f t="shared" si="871"/>
        <v/>
      </c>
      <c r="Q5604" t="str">
        <f t="shared" si="872"/>
        <v/>
      </c>
      <c r="R5604" t="str">
        <f t="shared" si="873"/>
        <v/>
      </c>
      <c r="S5604" t="str">
        <f t="shared" si="874"/>
        <v/>
      </c>
      <c r="T5604" t="str">
        <f t="shared" si="875"/>
        <v/>
      </c>
      <c r="U5604" t="str">
        <f t="shared" si="876"/>
        <v/>
      </c>
      <c r="V5604" t="str">
        <f t="shared" si="877"/>
        <v/>
      </c>
      <c r="W5604" t="str">
        <f t="shared" si="878"/>
        <v/>
      </c>
      <c r="X5604">
        <f>IF($T5604="",N($X5603),IF(MATCH($T5604,$T$6:$T$10005,0)=ROW()-5,N($X5603)+1,N($X5603)))</f>
        <v>0</v>
      </c>
      <c r="Z5604" t="str">
        <f t="shared" si="879"/>
        <v/>
      </c>
      <c r="AA5604">
        <f>IF($V5604="",N($AA5603),IF(MATCH($V5604,$V$6:$V$10005,0)=ROW()-5,N($AA5603)+1,N($AA5603)))</f>
        <v>0</v>
      </c>
    </row>
    <row r="5605" spans="1:27" ht="21" customHeight="1" x14ac:dyDescent="0.95">
      <c r="A5605" s="56"/>
      <c r="B5605" s="57"/>
      <c r="C5605" s="57"/>
      <c r="D5605" s="57"/>
      <c r="E5605" s="56"/>
      <c r="F5605" s="57"/>
      <c r="G5605" s="57"/>
      <c r="H5605" s="56"/>
      <c r="I5605" s="56"/>
      <c r="J5605" s="58"/>
      <c r="K5605" s="58"/>
      <c r="L5605" s="13" t="str">
        <f t="shared" si="870"/>
        <v/>
      </c>
      <c r="M5605" s="13" t="str">
        <f t="shared" si="871"/>
        <v/>
      </c>
      <c r="Q5605" t="str">
        <f t="shared" si="872"/>
        <v/>
      </c>
      <c r="R5605" t="str">
        <f t="shared" si="873"/>
        <v/>
      </c>
      <c r="S5605" t="str">
        <f t="shared" si="874"/>
        <v/>
      </c>
      <c r="T5605" t="str">
        <f t="shared" si="875"/>
        <v/>
      </c>
      <c r="U5605" t="str">
        <f t="shared" si="876"/>
        <v/>
      </c>
      <c r="V5605" t="str">
        <f t="shared" si="877"/>
        <v/>
      </c>
      <c r="W5605" t="str">
        <f t="shared" si="878"/>
        <v/>
      </c>
      <c r="X5605">
        <f>IF($T5605="",N($X5604),IF(MATCH($T5605,$T$6:$T$10005,0)=ROW()-5,N($X5604)+1,N($X5604)))</f>
        <v>0</v>
      </c>
      <c r="Z5605" t="str">
        <f t="shared" si="879"/>
        <v/>
      </c>
      <c r="AA5605">
        <f>IF($V5605="",N($AA5604),IF(MATCH($V5605,$V$6:$V$10005,0)=ROW()-5,N($AA5604)+1,N($AA5604)))</f>
        <v>0</v>
      </c>
    </row>
    <row r="5606" spans="1:27" ht="21" customHeight="1" x14ac:dyDescent="0.95">
      <c r="A5606" s="56"/>
      <c r="B5606" s="57"/>
      <c r="C5606" s="57"/>
      <c r="D5606" s="57"/>
      <c r="E5606" s="56"/>
      <c r="F5606" s="57"/>
      <c r="G5606" s="57"/>
      <c r="H5606" s="56"/>
      <c r="I5606" s="56"/>
      <c r="J5606" s="58"/>
      <c r="K5606" s="58"/>
      <c r="L5606" s="13" t="str">
        <f t="shared" si="870"/>
        <v/>
      </c>
      <c r="M5606" s="13" t="str">
        <f t="shared" si="871"/>
        <v/>
      </c>
      <c r="Q5606" t="str">
        <f t="shared" si="872"/>
        <v/>
      </c>
      <c r="R5606" t="str">
        <f t="shared" si="873"/>
        <v/>
      </c>
      <c r="S5606" t="str">
        <f t="shared" si="874"/>
        <v/>
      </c>
      <c r="T5606" t="str">
        <f t="shared" si="875"/>
        <v/>
      </c>
      <c r="U5606" t="str">
        <f t="shared" si="876"/>
        <v/>
      </c>
      <c r="V5606" t="str">
        <f t="shared" si="877"/>
        <v/>
      </c>
      <c r="W5606" t="str">
        <f t="shared" si="878"/>
        <v/>
      </c>
      <c r="X5606">
        <f>IF($T5606="",N($X5605),IF(MATCH($T5606,$T$6:$T$10005,0)=ROW()-5,N($X5605)+1,N($X5605)))</f>
        <v>0</v>
      </c>
      <c r="Z5606" t="str">
        <f t="shared" si="879"/>
        <v/>
      </c>
      <c r="AA5606">
        <f>IF($V5606="",N($AA5605),IF(MATCH($V5606,$V$6:$V$10005,0)=ROW()-5,N($AA5605)+1,N($AA5605)))</f>
        <v>0</v>
      </c>
    </row>
    <row r="5607" spans="1:27" ht="21" customHeight="1" x14ac:dyDescent="0.95">
      <c r="A5607" s="56"/>
      <c r="B5607" s="57"/>
      <c r="C5607" s="57"/>
      <c r="D5607" s="57"/>
      <c r="E5607" s="56"/>
      <c r="F5607" s="57"/>
      <c r="G5607" s="57"/>
      <c r="H5607" s="56"/>
      <c r="I5607" s="56"/>
      <c r="J5607" s="58"/>
      <c r="K5607" s="58"/>
      <c r="L5607" s="13" t="str">
        <f t="shared" si="870"/>
        <v/>
      </c>
      <c r="M5607" s="13" t="str">
        <f t="shared" si="871"/>
        <v/>
      </c>
      <c r="Q5607" t="str">
        <f t="shared" si="872"/>
        <v/>
      </c>
      <c r="R5607" t="str">
        <f t="shared" si="873"/>
        <v/>
      </c>
      <c r="S5607" t="str">
        <f t="shared" si="874"/>
        <v/>
      </c>
      <c r="T5607" t="str">
        <f t="shared" si="875"/>
        <v/>
      </c>
      <c r="U5607" t="str">
        <f t="shared" si="876"/>
        <v/>
      </c>
      <c r="V5607" t="str">
        <f t="shared" si="877"/>
        <v/>
      </c>
      <c r="W5607" t="str">
        <f t="shared" si="878"/>
        <v/>
      </c>
      <c r="X5607">
        <f>IF($T5607="",N($X5606),IF(MATCH($T5607,$T$6:$T$10005,0)=ROW()-5,N($X5606)+1,N($X5606)))</f>
        <v>0</v>
      </c>
      <c r="Z5607" t="str">
        <f t="shared" si="879"/>
        <v/>
      </c>
      <c r="AA5607">
        <f>IF($V5607="",N($AA5606),IF(MATCH($V5607,$V$6:$V$10005,0)=ROW()-5,N($AA5606)+1,N($AA5606)))</f>
        <v>0</v>
      </c>
    </row>
    <row r="5608" spans="1:27" ht="21" customHeight="1" x14ac:dyDescent="0.95">
      <c r="A5608" s="56"/>
      <c r="B5608" s="57"/>
      <c r="C5608" s="57"/>
      <c r="D5608" s="57"/>
      <c r="E5608" s="56"/>
      <c r="F5608" s="57"/>
      <c r="G5608" s="57"/>
      <c r="H5608" s="56"/>
      <c r="I5608" s="56"/>
      <c r="J5608" s="58"/>
      <c r="K5608" s="58"/>
      <c r="L5608" s="13" t="str">
        <f t="shared" si="870"/>
        <v/>
      </c>
      <c r="M5608" s="13" t="str">
        <f t="shared" si="871"/>
        <v/>
      </c>
      <c r="Q5608" t="str">
        <f t="shared" si="872"/>
        <v/>
      </c>
      <c r="R5608" t="str">
        <f t="shared" si="873"/>
        <v/>
      </c>
      <c r="S5608" t="str">
        <f t="shared" si="874"/>
        <v/>
      </c>
      <c r="T5608" t="str">
        <f t="shared" si="875"/>
        <v/>
      </c>
      <c r="U5608" t="str">
        <f t="shared" si="876"/>
        <v/>
      </c>
      <c r="V5608" t="str">
        <f t="shared" si="877"/>
        <v/>
      </c>
      <c r="W5608" t="str">
        <f t="shared" si="878"/>
        <v/>
      </c>
      <c r="X5608">
        <f>IF($T5608="",N($X5607),IF(MATCH($T5608,$T$6:$T$10005,0)=ROW()-5,N($X5607)+1,N($X5607)))</f>
        <v>0</v>
      </c>
      <c r="Z5608" t="str">
        <f t="shared" si="879"/>
        <v/>
      </c>
      <c r="AA5608">
        <f>IF($V5608="",N($AA5607),IF(MATCH($V5608,$V$6:$V$10005,0)=ROW()-5,N($AA5607)+1,N($AA5607)))</f>
        <v>0</v>
      </c>
    </row>
    <row r="5609" spans="1:27" ht="21" customHeight="1" x14ac:dyDescent="0.95">
      <c r="A5609" s="56"/>
      <c r="B5609" s="57"/>
      <c r="C5609" s="57"/>
      <c r="D5609" s="57"/>
      <c r="E5609" s="56"/>
      <c r="F5609" s="57"/>
      <c r="G5609" s="57"/>
      <c r="H5609" s="56"/>
      <c r="I5609" s="56"/>
      <c r="J5609" s="58"/>
      <c r="K5609" s="58"/>
      <c r="L5609" s="13" t="str">
        <f t="shared" si="870"/>
        <v/>
      </c>
      <c r="M5609" s="13" t="str">
        <f t="shared" si="871"/>
        <v/>
      </c>
      <c r="Q5609" t="str">
        <f t="shared" si="872"/>
        <v/>
      </c>
      <c r="R5609" t="str">
        <f t="shared" si="873"/>
        <v/>
      </c>
      <c r="S5609" t="str">
        <f t="shared" si="874"/>
        <v/>
      </c>
      <c r="T5609" t="str">
        <f t="shared" si="875"/>
        <v/>
      </c>
      <c r="U5609" t="str">
        <f t="shared" si="876"/>
        <v/>
      </c>
      <c r="V5609" t="str">
        <f t="shared" si="877"/>
        <v/>
      </c>
      <c r="W5609" t="str">
        <f t="shared" si="878"/>
        <v/>
      </c>
      <c r="X5609">
        <f>IF($T5609="",N($X5608),IF(MATCH($T5609,$T$6:$T$10005,0)=ROW()-5,N($X5608)+1,N($X5608)))</f>
        <v>0</v>
      </c>
      <c r="Z5609" t="str">
        <f t="shared" si="879"/>
        <v/>
      </c>
      <c r="AA5609">
        <f>IF($V5609="",N($AA5608),IF(MATCH($V5609,$V$6:$V$10005,0)=ROW()-5,N($AA5608)+1,N($AA5608)))</f>
        <v>0</v>
      </c>
    </row>
    <row r="5610" spans="1:27" ht="21" customHeight="1" x14ac:dyDescent="0.95">
      <c r="A5610" s="56"/>
      <c r="B5610" s="57"/>
      <c r="C5610" s="57"/>
      <c r="D5610" s="57"/>
      <c r="E5610" s="56"/>
      <c r="F5610" s="57"/>
      <c r="G5610" s="57"/>
      <c r="H5610" s="56"/>
      <c r="I5610" s="56"/>
      <c r="J5610" s="58"/>
      <c r="K5610" s="58"/>
      <c r="L5610" s="13" t="str">
        <f t="shared" si="870"/>
        <v/>
      </c>
      <c r="M5610" s="13" t="str">
        <f t="shared" si="871"/>
        <v/>
      </c>
      <c r="Q5610" t="str">
        <f t="shared" si="872"/>
        <v/>
      </c>
      <c r="R5610" t="str">
        <f t="shared" si="873"/>
        <v/>
      </c>
      <c r="S5610" t="str">
        <f t="shared" si="874"/>
        <v/>
      </c>
      <c r="T5610" t="str">
        <f t="shared" si="875"/>
        <v/>
      </c>
      <c r="U5610" t="str">
        <f t="shared" si="876"/>
        <v/>
      </c>
      <c r="V5610" t="str">
        <f t="shared" si="877"/>
        <v/>
      </c>
      <c r="W5610" t="str">
        <f t="shared" si="878"/>
        <v/>
      </c>
      <c r="X5610">
        <f>IF($T5610="",N($X5609),IF(MATCH($T5610,$T$6:$T$10005,0)=ROW()-5,N($X5609)+1,N($X5609)))</f>
        <v>0</v>
      </c>
      <c r="Z5610" t="str">
        <f t="shared" si="879"/>
        <v/>
      </c>
      <c r="AA5610">
        <f>IF($V5610="",N($AA5609),IF(MATCH($V5610,$V$6:$V$10005,0)=ROW()-5,N($AA5609)+1,N($AA5609)))</f>
        <v>0</v>
      </c>
    </row>
    <row r="5611" spans="1:27" ht="21" customHeight="1" x14ac:dyDescent="0.95">
      <c r="A5611" s="56"/>
      <c r="B5611" s="57"/>
      <c r="C5611" s="57"/>
      <c r="D5611" s="57"/>
      <c r="E5611" s="56"/>
      <c r="F5611" s="57"/>
      <c r="G5611" s="57"/>
      <c r="H5611" s="56"/>
      <c r="I5611" s="56"/>
      <c r="J5611" s="58"/>
      <c r="K5611" s="58"/>
      <c r="L5611" s="13" t="str">
        <f t="shared" si="870"/>
        <v/>
      </c>
      <c r="M5611" s="13" t="str">
        <f t="shared" si="871"/>
        <v/>
      </c>
      <c r="Q5611" t="str">
        <f t="shared" si="872"/>
        <v/>
      </c>
      <c r="R5611" t="str">
        <f t="shared" si="873"/>
        <v/>
      </c>
      <c r="S5611" t="str">
        <f t="shared" si="874"/>
        <v/>
      </c>
      <c r="T5611" t="str">
        <f t="shared" si="875"/>
        <v/>
      </c>
      <c r="U5611" t="str">
        <f t="shared" si="876"/>
        <v/>
      </c>
      <c r="V5611" t="str">
        <f t="shared" si="877"/>
        <v/>
      </c>
      <c r="W5611" t="str">
        <f t="shared" si="878"/>
        <v/>
      </c>
      <c r="X5611">
        <f>IF($T5611="",N($X5610),IF(MATCH($T5611,$T$6:$T$10005,0)=ROW()-5,N($X5610)+1,N($X5610)))</f>
        <v>0</v>
      </c>
      <c r="Z5611" t="str">
        <f t="shared" si="879"/>
        <v/>
      </c>
      <c r="AA5611">
        <f>IF($V5611="",N($AA5610),IF(MATCH($V5611,$V$6:$V$10005,0)=ROW()-5,N($AA5610)+1,N($AA5610)))</f>
        <v>0</v>
      </c>
    </row>
    <row r="5612" spans="1:27" ht="21" customHeight="1" x14ac:dyDescent="0.95">
      <c r="A5612" s="56"/>
      <c r="B5612" s="57"/>
      <c r="C5612" s="57"/>
      <c r="D5612" s="57"/>
      <c r="E5612" s="56"/>
      <c r="F5612" s="57"/>
      <c r="G5612" s="57"/>
      <c r="H5612" s="56"/>
      <c r="I5612" s="56"/>
      <c r="J5612" s="58"/>
      <c r="K5612" s="58"/>
      <c r="L5612" s="13" t="str">
        <f t="shared" si="870"/>
        <v/>
      </c>
      <c r="M5612" s="13" t="str">
        <f t="shared" si="871"/>
        <v/>
      </c>
      <c r="Q5612" t="str">
        <f t="shared" si="872"/>
        <v/>
      </c>
      <c r="R5612" t="str">
        <f t="shared" si="873"/>
        <v/>
      </c>
      <c r="S5612" t="str">
        <f t="shared" si="874"/>
        <v/>
      </c>
      <c r="T5612" t="str">
        <f t="shared" si="875"/>
        <v/>
      </c>
      <c r="U5612" t="str">
        <f t="shared" si="876"/>
        <v/>
      </c>
      <c r="V5612" t="str">
        <f t="shared" si="877"/>
        <v/>
      </c>
      <c r="W5612" t="str">
        <f t="shared" si="878"/>
        <v/>
      </c>
      <c r="X5612">
        <f>IF($T5612="",N($X5611),IF(MATCH($T5612,$T$6:$T$10005,0)=ROW()-5,N($X5611)+1,N($X5611)))</f>
        <v>0</v>
      </c>
      <c r="Z5612" t="str">
        <f t="shared" si="879"/>
        <v/>
      </c>
      <c r="AA5612">
        <f>IF($V5612="",N($AA5611),IF(MATCH($V5612,$V$6:$V$10005,0)=ROW()-5,N($AA5611)+1,N($AA5611)))</f>
        <v>0</v>
      </c>
    </row>
    <row r="5613" spans="1:27" ht="21" customHeight="1" x14ac:dyDescent="0.95">
      <c r="A5613" s="56"/>
      <c r="B5613" s="57"/>
      <c r="C5613" s="57"/>
      <c r="D5613" s="57"/>
      <c r="E5613" s="56"/>
      <c r="F5613" s="57"/>
      <c r="G5613" s="57"/>
      <c r="H5613" s="56"/>
      <c r="I5613" s="56"/>
      <c r="J5613" s="58"/>
      <c r="K5613" s="58"/>
      <c r="L5613" s="13" t="str">
        <f t="shared" si="870"/>
        <v/>
      </c>
      <c r="M5613" s="13" t="str">
        <f t="shared" si="871"/>
        <v/>
      </c>
      <c r="Q5613" t="str">
        <f t="shared" si="872"/>
        <v/>
      </c>
      <c r="R5613" t="str">
        <f t="shared" si="873"/>
        <v/>
      </c>
      <c r="S5613" t="str">
        <f t="shared" si="874"/>
        <v/>
      </c>
      <c r="T5613" t="str">
        <f t="shared" si="875"/>
        <v/>
      </c>
      <c r="U5613" t="str">
        <f t="shared" si="876"/>
        <v/>
      </c>
      <c r="V5613" t="str">
        <f t="shared" si="877"/>
        <v/>
      </c>
      <c r="W5613" t="str">
        <f t="shared" si="878"/>
        <v/>
      </c>
      <c r="X5613">
        <f>IF($T5613="",N($X5612),IF(MATCH($T5613,$T$6:$T$10005,0)=ROW()-5,N($X5612)+1,N($X5612)))</f>
        <v>0</v>
      </c>
      <c r="Z5613" t="str">
        <f t="shared" si="879"/>
        <v/>
      </c>
      <c r="AA5613">
        <f>IF($V5613="",N($AA5612),IF(MATCH($V5613,$V$6:$V$10005,0)=ROW()-5,N($AA5612)+1,N($AA5612)))</f>
        <v>0</v>
      </c>
    </row>
    <row r="5614" spans="1:27" ht="21" customHeight="1" x14ac:dyDescent="0.95">
      <c r="A5614" s="56"/>
      <c r="B5614" s="57"/>
      <c r="C5614" s="57"/>
      <c r="D5614" s="57"/>
      <c r="E5614" s="56"/>
      <c r="F5614" s="57"/>
      <c r="G5614" s="57"/>
      <c r="H5614" s="56"/>
      <c r="I5614" s="56"/>
      <c r="J5614" s="58"/>
      <c r="K5614" s="58"/>
      <c r="L5614" s="13" t="str">
        <f t="shared" si="870"/>
        <v/>
      </c>
      <c r="M5614" s="13" t="str">
        <f t="shared" si="871"/>
        <v/>
      </c>
      <c r="Q5614" t="str">
        <f t="shared" si="872"/>
        <v/>
      </c>
      <c r="R5614" t="str">
        <f t="shared" si="873"/>
        <v/>
      </c>
      <c r="S5614" t="str">
        <f t="shared" si="874"/>
        <v/>
      </c>
      <c r="T5614" t="str">
        <f t="shared" si="875"/>
        <v/>
      </c>
      <c r="U5614" t="str">
        <f t="shared" si="876"/>
        <v/>
      </c>
      <c r="V5614" t="str">
        <f t="shared" si="877"/>
        <v/>
      </c>
      <c r="W5614" t="str">
        <f t="shared" si="878"/>
        <v/>
      </c>
      <c r="X5614">
        <f>IF($T5614="",N($X5613),IF(MATCH($T5614,$T$6:$T$10005,0)=ROW()-5,N($X5613)+1,N($X5613)))</f>
        <v>0</v>
      </c>
      <c r="Z5614" t="str">
        <f t="shared" si="879"/>
        <v/>
      </c>
      <c r="AA5614">
        <f>IF($V5614="",N($AA5613),IF(MATCH($V5614,$V$6:$V$10005,0)=ROW()-5,N($AA5613)+1,N($AA5613)))</f>
        <v>0</v>
      </c>
    </row>
    <row r="5615" spans="1:27" ht="21" customHeight="1" x14ac:dyDescent="0.95">
      <c r="A5615" s="56"/>
      <c r="B5615" s="57"/>
      <c r="C5615" s="57"/>
      <c r="D5615" s="57"/>
      <c r="E5615" s="56"/>
      <c r="F5615" s="57"/>
      <c r="G5615" s="57"/>
      <c r="H5615" s="56"/>
      <c r="I5615" s="56"/>
      <c r="J5615" s="58"/>
      <c r="K5615" s="58"/>
      <c r="L5615" s="13" t="str">
        <f t="shared" si="870"/>
        <v/>
      </c>
      <c r="M5615" s="13" t="str">
        <f t="shared" si="871"/>
        <v/>
      </c>
      <c r="Q5615" t="str">
        <f t="shared" si="872"/>
        <v/>
      </c>
      <c r="R5615" t="str">
        <f t="shared" si="873"/>
        <v/>
      </c>
      <c r="S5615" t="str">
        <f t="shared" si="874"/>
        <v/>
      </c>
      <c r="T5615" t="str">
        <f t="shared" si="875"/>
        <v/>
      </c>
      <c r="U5615" t="str">
        <f t="shared" si="876"/>
        <v/>
      </c>
      <c r="V5615" t="str">
        <f t="shared" si="877"/>
        <v/>
      </c>
      <c r="W5615" t="str">
        <f t="shared" si="878"/>
        <v/>
      </c>
      <c r="X5615">
        <f>IF($T5615="",N($X5614),IF(MATCH($T5615,$T$6:$T$10005,0)=ROW()-5,N($X5614)+1,N($X5614)))</f>
        <v>0</v>
      </c>
      <c r="Z5615" t="str">
        <f t="shared" si="879"/>
        <v/>
      </c>
      <c r="AA5615">
        <f>IF($V5615="",N($AA5614),IF(MATCH($V5615,$V$6:$V$10005,0)=ROW()-5,N($AA5614)+1,N($AA5614)))</f>
        <v>0</v>
      </c>
    </row>
    <row r="5616" spans="1:27" ht="21" customHeight="1" x14ac:dyDescent="0.95">
      <c r="A5616" s="56"/>
      <c r="B5616" s="57"/>
      <c r="C5616" s="57"/>
      <c r="D5616" s="57"/>
      <c r="E5616" s="56"/>
      <c r="F5616" s="57"/>
      <c r="G5616" s="57"/>
      <c r="H5616" s="56"/>
      <c r="I5616" s="56"/>
      <c r="J5616" s="58"/>
      <c r="K5616" s="58"/>
      <c r="L5616" s="13" t="str">
        <f t="shared" si="870"/>
        <v/>
      </c>
      <c r="M5616" s="13" t="str">
        <f t="shared" si="871"/>
        <v/>
      </c>
      <c r="Q5616" t="str">
        <f t="shared" si="872"/>
        <v/>
      </c>
      <c r="R5616" t="str">
        <f t="shared" si="873"/>
        <v/>
      </c>
      <c r="S5616" t="str">
        <f t="shared" si="874"/>
        <v/>
      </c>
      <c r="T5616" t="str">
        <f t="shared" si="875"/>
        <v/>
      </c>
      <c r="U5616" t="str">
        <f t="shared" si="876"/>
        <v/>
      </c>
      <c r="V5616" t="str">
        <f t="shared" si="877"/>
        <v/>
      </c>
      <c r="W5616" t="str">
        <f t="shared" si="878"/>
        <v/>
      </c>
      <c r="X5616">
        <f>IF($T5616="",N($X5615),IF(MATCH($T5616,$T$6:$T$10005,0)=ROW()-5,N($X5615)+1,N($X5615)))</f>
        <v>0</v>
      </c>
      <c r="Z5616" t="str">
        <f t="shared" si="879"/>
        <v/>
      </c>
      <c r="AA5616">
        <f>IF($V5616="",N($AA5615),IF(MATCH($V5616,$V$6:$V$10005,0)=ROW()-5,N($AA5615)+1,N($AA5615)))</f>
        <v>0</v>
      </c>
    </row>
    <row r="5617" spans="1:27" ht="21" customHeight="1" x14ac:dyDescent="0.95">
      <c r="A5617" s="56"/>
      <c r="B5617" s="57"/>
      <c r="C5617" s="57"/>
      <c r="D5617" s="57"/>
      <c r="E5617" s="56"/>
      <c r="F5617" s="57"/>
      <c r="G5617" s="57"/>
      <c r="H5617" s="56"/>
      <c r="I5617" s="56"/>
      <c r="J5617" s="58"/>
      <c r="K5617" s="58"/>
      <c r="L5617" s="13" t="str">
        <f t="shared" si="870"/>
        <v/>
      </c>
      <c r="M5617" s="13" t="str">
        <f t="shared" si="871"/>
        <v/>
      </c>
      <c r="Q5617" t="str">
        <f t="shared" si="872"/>
        <v/>
      </c>
      <c r="R5617" t="str">
        <f t="shared" si="873"/>
        <v/>
      </c>
      <c r="S5617" t="str">
        <f t="shared" si="874"/>
        <v/>
      </c>
      <c r="T5617" t="str">
        <f t="shared" si="875"/>
        <v/>
      </c>
      <c r="U5617" t="str">
        <f t="shared" si="876"/>
        <v/>
      </c>
      <c r="V5617" t="str">
        <f t="shared" si="877"/>
        <v/>
      </c>
      <c r="W5617" t="str">
        <f t="shared" si="878"/>
        <v/>
      </c>
      <c r="X5617">
        <f>IF($T5617="",N($X5616),IF(MATCH($T5617,$T$6:$T$10005,0)=ROW()-5,N($X5616)+1,N($X5616)))</f>
        <v>0</v>
      </c>
      <c r="Z5617" t="str">
        <f t="shared" si="879"/>
        <v/>
      </c>
      <c r="AA5617">
        <f>IF($V5617="",N($AA5616),IF(MATCH($V5617,$V$6:$V$10005,0)=ROW()-5,N($AA5616)+1,N($AA5616)))</f>
        <v>0</v>
      </c>
    </row>
    <row r="5618" spans="1:27" ht="21" customHeight="1" x14ac:dyDescent="0.95">
      <c r="A5618" s="56"/>
      <c r="B5618" s="57"/>
      <c r="C5618" s="57"/>
      <c r="D5618" s="57"/>
      <c r="E5618" s="56"/>
      <c r="F5618" s="57"/>
      <c r="G5618" s="57"/>
      <c r="H5618" s="56"/>
      <c r="I5618" s="56"/>
      <c r="J5618" s="58"/>
      <c r="K5618" s="58"/>
      <c r="L5618" s="13" t="str">
        <f t="shared" si="870"/>
        <v/>
      </c>
      <c r="M5618" s="13" t="str">
        <f t="shared" si="871"/>
        <v/>
      </c>
      <c r="Q5618" t="str">
        <f t="shared" si="872"/>
        <v/>
      </c>
      <c r="R5618" t="str">
        <f t="shared" si="873"/>
        <v/>
      </c>
      <c r="S5618" t="str">
        <f t="shared" si="874"/>
        <v/>
      </c>
      <c r="T5618" t="str">
        <f t="shared" si="875"/>
        <v/>
      </c>
      <c r="U5618" t="str">
        <f t="shared" si="876"/>
        <v/>
      </c>
      <c r="V5618" t="str">
        <f t="shared" si="877"/>
        <v/>
      </c>
      <c r="W5618" t="str">
        <f t="shared" si="878"/>
        <v/>
      </c>
      <c r="X5618">
        <f>IF($T5618="",N($X5617),IF(MATCH($T5618,$T$6:$T$10005,0)=ROW()-5,N($X5617)+1,N($X5617)))</f>
        <v>0</v>
      </c>
      <c r="Z5618" t="str">
        <f t="shared" si="879"/>
        <v/>
      </c>
      <c r="AA5618">
        <f>IF($V5618="",N($AA5617),IF(MATCH($V5618,$V$6:$V$10005,0)=ROW()-5,N($AA5617)+1,N($AA5617)))</f>
        <v>0</v>
      </c>
    </row>
    <row r="5619" spans="1:27" ht="21" customHeight="1" x14ac:dyDescent="0.95">
      <c r="A5619" s="56"/>
      <c r="B5619" s="57"/>
      <c r="C5619" s="57"/>
      <c r="D5619" s="57"/>
      <c r="E5619" s="56"/>
      <c r="F5619" s="57"/>
      <c r="G5619" s="57"/>
      <c r="H5619" s="56"/>
      <c r="I5619" s="56"/>
      <c r="J5619" s="58"/>
      <c r="K5619" s="58"/>
      <c r="L5619" s="13" t="str">
        <f t="shared" si="870"/>
        <v/>
      </c>
      <c r="M5619" s="13" t="str">
        <f t="shared" si="871"/>
        <v/>
      </c>
      <c r="Q5619" t="str">
        <f t="shared" si="872"/>
        <v/>
      </c>
      <c r="R5619" t="str">
        <f t="shared" si="873"/>
        <v/>
      </c>
      <c r="S5619" t="str">
        <f t="shared" si="874"/>
        <v/>
      </c>
      <c r="T5619" t="str">
        <f t="shared" si="875"/>
        <v/>
      </c>
      <c r="U5619" t="str">
        <f t="shared" si="876"/>
        <v/>
      </c>
      <c r="V5619" t="str">
        <f t="shared" si="877"/>
        <v/>
      </c>
      <c r="W5619" t="str">
        <f t="shared" si="878"/>
        <v/>
      </c>
      <c r="X5619">
        <f>IF($T5619="",N($X5618),IF(MATCH($T5619,$T$6:$T$10005,0)=ROW()-5,N($X5618)+1,N($X5618)))</f>
        <v>0</v>
      </c>
      <c r="Z5619" t="str">
        <f t="shared" si="879"/>
        <v/>
      </c>
      <c r="AA5619">
        <f>IF($V5619="",N($AA5618),IF(MATCH($V5619,$V$6:$V$10005,0)=ROW()-5,N($AA5618)+1,N($AA5618)))</f>
        <v>0</v>
      </c>
    </row>
    <row r="5620" spans="1:27" ht="21" customHeight="1" x14ac:dyDescent="0.95">
      <c r="A5620" s="56"/>
      <c r="B5620" s="57"/>
      <c r="C5620" s="57"/>
      <c r="D5620" s="57"/>
      <c r="E5620" s="56"/>
      <c r="F5620" s="57"/>
      <c r="G5620" s="57"/>
      <c r="H5620" s="56"/>
      <c r="I5620" s="56"/>
      <c r="J5620" s="58"/>
      <c r="K5620" s="58"/>
      <c r="L5620" s="13" t="str">
        <f t="shared" si="870"/>
        <v/>
      </c>
      <c r="M5620" s="13" t="str">
        <f t="shared" si="871"/>
        <v/>
      </c>
      <c r="Q5620" t="str">
        <f t="shared" si="872"/>
        <v/>
      </c>
      <c r="R5620" t="str">
        <f t="shared" si="873"/>
        <v/>
      </c>
      <c r="S5620" t="str">
        <f t="shared" si="874"/>
        <v/>
      </c>
      <c r="T5620" t="str">
        <f t="shared" si="875"/>
        <v/>
      </c>
      <c r="U5620" t="str">
        <f t="shared" si="876"/>
        <v/>
      </c>
      <c r="V5620" t="str">
        <f t="shared" si="877"/>
        <v/>
      </c>
      <c r="W5620" t="str">
        <f t="shared" si="878"/>
        <v/>
      </c>
      <c r="X5620">
        <f>IF($T5620="",N($X5619),IF(MATCH($T5620,$T$6:$T$10005,0)=ROW()-5,N($X5619)+1,N($X5619)))</f>
        <v>0</v>
      </c>
      <c r="Z5620" t="str">
        <f t="shared" si="879"/>
        <v/>
      </c>
      <c r="AA5620">
        <f>IF($V5620="",N($AA5619),IF(MATCH($V5620,$V$6:$V$10005,0)=ROW()-5,N($AA5619)+1,N($AA5619)))</f>
        <v>0</v>
      </c>
    </row>
    <row r="5621" spans="1:27" ht="21" customHeight="1" x14ac:dyDescent="0.95">
      <c r="A5621" s="56"/>
      <c r="B5621" s="57"/>
      <c r="C5621" s="57"/>
      <c r="D5621" s="57"/>
      <c r="E5621" s="56"/>
      <c r="F5621" s="57"/>
      <c r="G5621" s="57"/>
      <c r="H5621" s="56"/>
      <c r="I5621" s="56"/>
      <c r="J5621" s="58"/>
      <c r="K5621" s="58"/>
      <c r="L5621" s="13" t="str">
        <f t="shared" si="870"/>
        <v/>
      </c>
      <c r="M5621" s="13" t="str">
        <f t="shared" si="871"/>
        <v/>
      </c>
      <c r="Q5621" t="str">
        <f t="shared" si="872"/>
        <v/>
      </c>
      <c r="R5621" t="str">
        <f t="shared" si="873"/>
        <v/>
      </c>
      <c r="S5621" t="str">
        <f t="shared" si="874"/>
        <v/>
      </c>
      <c r="T5621" t="str">
        <f t="shared" si="875"/>
        <v/>
      </c>
      <c r="U5621" t="str">
        <f t="shared" si="876"/>
        <v/>
      </c>
      <c r="V5621" t="str">
        <f t="shared" si="877"/>
        <v/>
      </c>
      <c r="W5621" t="str">
        <f t="shared" si="878"/>
        <v/>
      </c>
      <c r="X5621">
        <f>IF($T5621="",N($X5620),IF(MATCH($T5621,$T$6:$T$10005,0)=ROW()-5,N($X5620)+1,N($X5620)))</f>
        <v>0</v>
      </c>
      <c r="Z5621" t="str">
        <f t="shared" si="879"/>
        <v/>
      </c>
      <c r="AA5621">
        <f>IF($V5621="",N($AA5620),IF(MATCH($V5621,$V$6:$V$10005,0)=ROW()-5,N($AA5620)+1,N($AA5620)))</f>
        <v>0</v>
      </c>
    </row>
    <row r="5622" spans="1:27" ht="21" customHeight="1" x14ac:dyDescent="0.95">
      <c r="A5622" s="56"/>
      <c r="B5622" s="57"/>
      <c r="C5622" s="57"/>
      <c r="D5622" s="57"/>
      <c r="E5622" s="56"/>
      <c r="F5622" s="57"/>
      <c r="G5622" s="57"/>
      <c r="H5622" s="56"/>
      <c r="I5622" s="56"/>
      <c r="J5622" s="58"/>
      <c r="K5622" s="58"/>
      <c r="L5622" s="13" t="str">
        <f t="shared" si="870"/>
        <v/>
      </c>
      <c r="M5622" s="13" t="str">
        <f t="shared" si="871"/>
        <v/>
      </c>
      <c r="Q5622" t="str">
        <f t="shared" si="872"/>
        <v/>
      </c>
      <c r="R5622" t="str">
        <f t="shared" si="873"/>
        <v/>
      </c>
      <c r="S5622" t="str">
        <f t="shared" si="874"/>
        <v/>
      </c>
      <c r="T5622" t="str">
        <f t="shared" si="875"/>
        <v/>
      </c>
      <c r="U5622" t="str">
        <f t="shared" si="876"/>
        <v/>
      </c>
      <c r="V5622" t="str">
        <f t="shared" si="877"/>
        <v/>
      </c>
      <c r="W5622" t="str">
        <f t="shared" si="878"/>
        <v/>
      </c>
      <c r="X5622">
        <f>IF($T5622="",N($X5621),IF(MATCH($T5622,$T$6:$T$10005,0)=ROW()-5,N($X5621)+1,N($X5621)))</f>
        <v>0</v>
      </c>
      <c r="Z5622" t="str">
        <f t="shared" si="879"/>
        <v/>
      </c>
      <c r="AA5622">
        <f>IF($V5622="",N($AA5621),IF(MATCH($V5622,$V$6:$V$10005,0)=ROW()-5,N($AA5621)+1,N($AA5621)))</f>
        <v>0</v>
      </c>
    </row>
    <row r="5623" spans="1:27" ht="21" customHeight="1" x14ac:dyDescent="0.95">
      <c r="A5623" s="56"/>
      <c r="B5623" s="57"/>
      <c r="C5623" s="57"/>
      <c r="D5623" s="57"/>
      <c r="E5623" s="56"/>
      <c r="F5623" s="57"/>
      <c r="G5623" s="57"/>
      <c r="H5623" s="56"/>
      <c r="I5623" s="56"/>
      <c r="J5623" s="58"/>
      <c r="K5623" s="58"/>
      <c r="L5623" s="13" t="str">
        <f t="shared" si="870"/>
        <v/>
      </c>
      <c r="M5623" s="13" t="str">
        <f t="shared" si="871"/>
        <v/>
      </c>
      <c r="Q5623" t="str">
        <f t="shared" si="872"/>
        <v/>
      </c>
      <c r="R5623" t="str">
        <f t="shared" si="873"/>
        <v/>
      </c>
      <c r="S5623" t="str">
        <f t="shared" si="874"/>
        <v/>
      </c>
      <c r="T5623" t="str">
        <f t="shared" si="875"/>
        <v/>
      </c>
      <c r="U5623" t="str">
        <f t="shared" si="876"/>
        <v/>
      </c>
      <c r="V5623" t="str">
        <f t="shared" si="877"/>
        <v/>
      </c>
      <c r="W5623" t="str">
        <f t="shared" si="878"/>
        <v/>
      </c>
      <c r="X5623">
        <f>IF($T5623="",N($X5622),IF(MATCH($T5623,$T$6:$T$10005,0)=ROW()-5,N($X5622)+1,N($X5622)))</f>
        <v>0</v>
      </c>
      <c r="Z5623" t="str">
        <f t="shared" si="879"/>
        <v/>
      </c>
      <c r="AA5623">
        <f>IF($V5623="",N($AA5622),IF(MATCH($V5623,$V$6:$V$10005,0)=ROW()-5,N($AA5622)+1,N($AA5622)))</f>
        <v>0</v>
      </c>
    </row>
    <row r="5624" spans="1:27" ht="21" customHeight="1" x14ac:dyDescent="0.95">
      <c r="A5624" s="56"/>
      <c r="B5624" s="57"/>
      <c r="C5624" s="57"/>
      <c r="D5624" s="57"/>
      <c r="E5624" s="56"/>
      <c r="F5624" s="57"/>
      <c r="G5624" s="57"/>
      <c r="H5624" s="56"/>
      <c r="I5624" s="56"/>
      <c r="J5624" s="58"/>
      <c r="K5624" s="58"/>
      <c r="L5624" s="13" t="str">
        <f t="shared" si="870"/>
        <v/>
      </c>
      <c r="M5624" s="13" t="str">
        <f t="shared" si="871"/>
        <v/>
      </c>
      <c r="Q5624" t="str">
        <f t="shared" si="872"/>
        <v/>
      </c>
      <c r="R5624" t="str">
        <f t="shared" si="873"/>
        <v/>
      </c>
      <c r="S5624" t="str">
        <f t="shared" si="874"/>
        <v/>
      </c>
      <c r="T5624" t="str">
        <f t="shared" si="875"/>
        <v/>
      </c>
      <c r="U5624" t="str">
        <f t="shared" si="876"/>
        <v/>
      </c>
      <c r="V5624" t="str">
        <f t="shared" si="877"/>
        <v/>
      </c>
      <c r="W5624" t="str">
        <f t="shared" si="878"/>
        <v/>
      </c>
      <c r="X5624">
        <f>IF($T5624="",N($X5623),IF(MATCH($T5624,$T$6:$T$10005,0)=ROW()-5,N($X5623)+1,N($X5623)))</f>
        <v>0</v>
      </c>
      <c r="Z5624" t="str">
        <f t="shared" si="879"/>
        <v/>
      </c>
      <c r="AA5624">
        <f>IF($V5624="",N($AA5623),IF(MATCH($V5624,$V$6:$V$10005,0)=ROW()-5,N($AA5623)+1,N($AA5623)))</f>
        <v>0</v>
      </c>
    </row>
    <row r="5625" spans="1:27" ht="21" customHeight="1" x14ac:dyDescent="0.95">
      <c r="A5625" s="56"/>
      <c r="B5625" s="57"/>
      <c r="C5625" s="57"/>
      <c r="D5625" s="57"/>
      <c r="E5625" s="56"/>
      <c r="F5625" s="57"/>
      <c r="G5625" s="57"/>
      <c r="H5625" s="56"/>
      <c r="I5625" s="56"/>
      <c r="J5625" s="58"/>
      <c r="K5625" s="58"/>
      <c r="L5625" s="13" t="str">
        <f t="shared" si="870"/>
        <v/>
      </c>
      <c r="M5625" s="13" t="str">
        <f t="shared" si="871"/>
        <v/>
      </c>
      <c r="Q5625" t="str">
        <f t="shared" si="872"/>
        <v/>
      </c>
      <c r="R5625" t="str">
        <f t="shared" si="873"/>
        <v/>
      </c>
      <c r="S5625" t="str">
        <f t="shared" si="874"/>
        <v/>
      </c>
      <c r="T5625" t="str">
        <f t="shared" si="875"/>
        <v/>
      </c>
      <c r="U5625" t="str">
        <f t="shared" si="876"/>
        <v/>
      </c>
      <c r="V5625" t="str">
        <f t="shared" si="877"/>
        <v/>
      </c>
      <c r="W5625" t="str">
        <f t="shared" si="878"/>
        <v/>
      </c>
      <c r="X5625">
        <f>IF($T5625="",N($X5624),IF(MATCH($T5625,$T$6:$T$10005,0)=ROW()-5,N($X5624)+1,N($X5624)))</f>
        <v>0</v>
      </c>
      <c r="Z5625" t="str">
        <f t="shared" si="879"/>
        <v/>
      </c>
      <c r="AA5625">
        <f>IF($V5625="",N($AA5624),IF(MATCH($V5625,$V$6:$V$10005,0)=ROW()-5,N($AA5624)+1,N($AA5624)))</f>
        <v>0</v>
      </c>
    </row>
    <row r="5626" spans="1:27" ht="21" customHeight="1" x14ac:dyDescent="0.95">
      <c r="A5626" s="56"/>
      <c r="B5626" s="57"/>
      <c r="C5626" s="57"/>
      <c r="D5626" s="57"/>
      <c r="E5626" s="56"/>
      <c r="F5626" s="57"/>
      <c r="G5626" s="57"/>
      <c r="H5626" s="56"/>
      <c r="I5626" s="56"/>
      <c r="J5626" s="58"/>
      <c r="K5626" s="58"/>
      <c r="L5626" s="13" t="str">
        <f t="shared" si="870"/>
        <v/>
      </c>
      <c r="M5626" s="13" t="str">
        <f t="shared" si="871"/>
        <v/>
      </c>
      <c r="Q5626" t="str">
        <f t="shared" si="872"/>
        <v/>
      </c>
      <c r="R5626" t="str">
        <f t="shared" si="873"/>
        <v/>
      </c>
      <c r="S5626" t="str">
        <f t="shared" si="874"/>
        <v/>
      </c>
      <c r="T5626" t="str">
        <f t="shared" si="875"/>
        <v/>
      </c>
      <c r="U5626" t="str">
        <f t="shared" si="876"/>
        <v/>
      </c>
      <c r="V5626" t="str">
        <f t="shared" si="877"/>
        <v/>
      </c>
      <c r="W5626" t="str">
        <f t="shared" si="878"/>
        <v/>
      </c>
      <c r="X5626">
        <f>IF($T5626="",N($X5625),IF(MATCH($T5626,$T$6:$T$10005,0)=ROW()-5,N($X5625)+1,N($X5625)))</f>
        <v>0</v>
      </c>
      <c r="Z5626" t="str">
        <f t="shared" si="879"/>
        <v/>
      </c>
      <c r="AA5626">
        <f>IF($V5626="",N($AA5625),IF(MATCH($V5626,$V$6:$V$10005,0)=ROW()-5,N($AA5625)+1,N($AA5625)))</f>
        <v>0</v>
      </c>
    </row>
    <row r="5627" spans="1:27" ht="21" customHeight="1" x14ac:dyDescent="0.95">
      <c r="A5627" s="56"/>
      <c r="B5627" s="57"/>
      <c r="C5627" s="57"/>
      <c r="D5627" s="57"/>
      <c r="E5627" s="56"/>
      <c r="F5627" s="57"/>
      <c r="G5627" s="57"/>
      <c r="H5627" s="56"/>
      <c r="I5627" s="56"/>
      <c r="J5627" s="58"/>
      <c r="K5627" s="58"/>
      <c r="L5627" s="13" t="str">
        <f t="shared" si="870"/>
        <v/>
      </c>
      <c r="M5627" s="13" t="str">
        <f t="shared" si="871"/>
        <v/>
      </c>
      <c r="Q5627" t="str">
        <f t="shared" si="872"/>
        <v/>
      </c>
      <c r="R5627" t="str">
        <f t="shared" si="873"/>
        <v/>
      </c>
      <c r="S5627" t="str">
        <f t="shared" si="874"/>
        <v/>
      </c>
      <c r="T5627" t="str">
        <f t="shared" si="875"/>
        <v/>
      </c>
      <c r="U5627" t="str">
        <f t="shared" si="876"/>
        <v/>
      </c>
      <c r="V5627" t="str">
        <f t="shared" si="877"/>
        <v/>
      </c>
      <c r="W5627" t="str">
        <f t="shared" si="878"/>
        <v/>
      </c>
      <c r="X5627">
        <f>IF($T5627="",N($X5626),IF(MATCH($T5627,$T$6:$T$10005,0)=ROW()-5,N($X5626)+1,N($X5626)))</f>
        <v>0</v>
      </c>
      <c r="Z5627" t="str">
        <f t="shared" si="879"/>
        <v/>
      </c>
      <c r="AA5627">
        <f>IF($V5627="",N($AA5626),IF(MATCH($V5627,$V$6:$V$10005,0)=ROW()-5,N($AA5626)+1,N($AA5626)))</f>
        <v>0</v>
      </c>
    </row>
    <row r="5628" spans="1:27" ht="21" customHeight="1" x14ac:dyDescent="0.95">
      <c r="A5628" s="56"/>
      <c r="B5628" s="57"/>
      <c r="C5628" s="57"/>
      <c r="D5628" s="57"/>
      <c r="E5628" s="56"/>
      <c r="F5628" s="57"/>
      <c r="G5628" s="57"/>
      <c r="H5628" s="56"/>
      <c r="I5628" s="56"/>
      <c r="J5628" s="58"/>
      <c r="K5628" s="58"/>
      <c r="L5628" s="13" t="str">
        <f t="shared" si="870"/>
        <v/>
      </c>
      <c r="M5628" s="13" t="str">
        <f t="shared" si="871"/>
        <v/>
      </c>
      <c r="Q5628" t="str">
        <f t="shared" si="872"/>
        <v/>
      </c>
      <c r="R5628" t="str">
        <f t="shared" si="873"/>
        <v/>
      </c>
      <c r="S5628" t="str">
        <f t="shared" si="874"/>
        <v/>
      </c>
      <c r="T5628" t="str">
        <f t="shared" si="875"/>
        <v/>
      </c>
      <c r="U5628" t="str">
        <f t="shared" si="876"/>
        <v/>
      </c>
      <c r="V5628" t="str">
        <f t="shared" si="877"/>
        <v/>
      </c>
      <c r="W5628" t="str">
        <f t="shared" si="878"/>
        <v/>
      </c>
      <c r="X5628">
        <f>IF($T5628="",N($X5627),IF(MATCH($T5628,$T$6:$T$10005,0)=ROW()-5,N($X5627)+1,N($X5627)))</f>
        <v>0</v>
      </c>
      <c r="Z5628" t="str">
        <f t="shared" si="879"/>
        <v/>
      </c>
      <c r="AA5628">
        <f>IF($V5628="",N($AA5627),IF(MATCH($V5628,$V$6:$V$10005,0)=ROW()-5,N($AA5627)+1,N($AA5627)))</f>
        <v>0</v>
      </c>
    </row>
    <row r="5629" spans="1:27" ht="21" customHeight="1" x14ac:dyDescent="0.95">
      <c r="A5629" s="56"/>
      <c r="B5629" s="57"/>
      <c r="C5629" s="57"/>
      <c r="D5629" s="57"/>
      <c r="E5629" s="56"/>
      <c r="F5629" s="57"/>
      <c r="G5629" s="57"/>
      <c r="H5629" s="56"/>
      <c r="I5629" s="56"/>
      <c r="J5629" s="58"/>
      <c r="K5629" s="58"/>
      <c r="L5629" s="13" t="str">
        <f t="shared" si="870"/>
        <v/>
      </c>
      <c r="M5629" s="13" t="str">
        <f t="shared" si="871"/>
        <v/>
      </c>
      <c r="Q5629" t="str">
        <f t="shared" si="872"/>
        <v/>
      </c>
      <c r="R5629" t="str">
        <f t="shared" si="873"/>
        <v/>
      </c>
      <c r="S5629" t="str">
        <f t="shared" si="874"/>
        <v/>
      </c>
      <c r="T5629" t="str">
        <f t="shared" si="875"/>
        <v/>
      </c>
      <c r="U5629" t="str">
        <f t="shared" si="876"/>
        <v/>
      </c>
      <c r="V5629" t="str">
        <f t="shared" si="877"/>
        <v/>
      </c>
      <c r="W5629" t="str">
        <f t="shared" si="878"/>
        <v/>
      </c>
      <c r="X5629">
        <f>IF($T5629="",N($X5628),IF(MATCH($T5629,$T$6:$T$10005,0)=ROW()-5,N($X5628)+1,N($X5628)))</f>
        <v>0</v>
      </c>
      <c r="Z5629" t="str">
        <f t="shared" si="879"/>
        <v/>
      </c>
      <c r="AA5629">
        <f>IF($V5629="",N($AA5628),IF(MATCH($V5629,$V$6:$V$10005,0)=ROW()-5,N($AA5628)+1,N($AA5628)))</f>
        <v>0</v>
      </c>
    </row>
    <row r="5630" spans="1:27" ht="21" customHeight="1" x14ac:dyDescent="0.95">
      <c r="A5630" s="56"/>
      <c r="B5630" s="57"/>
      <c r="C5630" s="57"/>
      <c r="D5630" s="57"/>
      <c r="E5630" s="56"/>
      <c r="F5630" s="57"/>
      <c r="G5630" s="57"/>
      <c r="H5630" s="56"/>
      <c r="I5630" s="56"/>
      <c r="J5630" s="58"/>
      <c r="K5630" s="58"/>
      <c r="L5630" s="13" t="str">
        <f t="shared" si="870"/>
        <v/>
      </c>
      <c r="M5630" s="13" t="str">
        <f t="shared" si="871"/>
        <v/>
      </c>
      <c r="Q5630" t="str">
        <f t="shared" si="872"/>
        <v/>
      </c>
      <c r="R5630" t="str">
        <f t="shared" si="873"/>
        <v/>
      </c>
      <c r="S5630" t="str">
        <f t="shared" si="874"/>
        <v/>
      </c>
      <c r="T5630" t="str">
        <f t="shared" si="875"/>
        <v/>
      </c>
      <c r="U5630" t="str">
        <f t="shared" si="876"/>
        <v/>
      </c>
      <c r="V5630" t="str">
        <f t="shared" si="877"/>
        <v/>
      </c>
      <c r="W5630" t="str">
        <f t="shared" si="878"/>
        <v/>
      </c>
      <c r="X5630">
        <f>IF($T5630="",N($X5629),IF(MATCH($T5630,$T$6:$T$10005,0)=ROW()-5,N($X5629)+1,N($X5629)))</f>
        <v>0</v>
      </c>
      <c r="Z5630" t="str">
        <f t="shared" si="879"/>
        <v/>
      </c>
      <c r="AA5630">
        <f>IF($V5630="",N($AA5629),IF(MATCH($V5630,$V$6:$V$10005,0)=ROW()-5,N($AA5629)+1,N($AA5629)))</f>
        <v>0</v>
      </c>
    </row>
    <row r="5631" spans="1:27" ht="21" customHeight="1" x14ac:dyDescent="0.95">
      <c r="A5631" s="56"/>
      <c r="B5631" s="57"/>
      <c r="C5631" s="57"/>
      <c r="D5631" s="57"/>
      <c r="E5631" s="56"/>
      <c r="F5631" s="57"/>
      <c r="G5631" s="57"/>
      <c r="H5631" s="56"/>
      <c r="I5631" s="56"/>
      <c r="J5631" s="58"/>
      <c r="K5631" s="58"/>
      <c r="L5631" s="13" t="str">
        <f t="shared" si="870"/>
        <v/>
      </c>
      <c r="M5631" s="13" t="str">
        <f t="shared" si="871"/>
        <v/>
      </c>
      <c r="Q5631" t="str">
        <f t="shared" si="872"/>
        <v/>
      </c>
      <c r="R5631" t="str">
        <f t="shared" si="873"/>
        <v/>
      </c>
      <c r="S5631" t="str">
        <f t="shared" si="874"/>
        <v/>
      </c>
      <c r="T5631" t="str">
        <f t="shared" si="875"/>
        <v/>
      </c>
      <c r="U5631" t="str">
        <f t="shared" si="876"/>
        <v/>
      </c>
      <c r="V5631" t="str">
        <f t="shared" si="877"/>
        <v/>
      </c>
      <c r="W5631" t="str">
        <f t="shared" si="878"/>
        <v/>
      </c>
      <c r="X5631">
        <f>IF($T5631="",N($X5630),IF(MATCH($T5631,$T$6:$T$10005,0)=ROW()-5,N($X5630)+1,N($X5630)))</f>
        <v>0</v>
      </c>
      <c r="Z5631" t="str">
        <f t="shared" si="879"/>
        <v/>
      </c>
      <c r="AA5631">
        <f>IF($V5631="",N($AA5630),IF(MATCH($V5631,$V$6:$V$10005,0)=ROW()-5,N($AA5630)+1,N($AA5630)))</f>
        <v>0</v>
      </c>
    </row>
    <row r="5632" spans="1:27" ht="21" customHeight="1" x14ac:dyDescent="0.95">
      <c r="A5632" s="56"/>
      <c r="B5632" s="57"/>
      <c r="C5632" s="57"/>
      <c r="D5632" s="57"/>
      <c r="E5632" s="56"/>
      <c r="F5632" s="57"/>
      <c r="G5632" s="57"/>
      <c r="H5632" s="56"/>
      <c r="I5632" s="56"/>
      <c r="J5632" s="58"/>
      <c r="K5632" s="58"/>
      <c r="L5632" s="13" t="str">
        <f t="shared" si="870"/>
        <v/>
      </c>
      <c r="M5632" s="13" t="str">
        <f t="shared" si="871"/>
        <v/>
      </c>
      <c r="Q5632" t="str">
        <f t="shared" si="872"/>
        <v/>
      </c>
      <c r="R5632" t="str">
        <f t="shared" si="873"/>
        <v/>
      </c>
      <c r="S5632" t="str">
        <f t="shared" si="874"/>
        <v/>
      </c>
      <c r="T5632" t="str">
        <f t="shared" si="875"/>
        <v/>
      </c>
      <c r="U5632" t="str">
        <f t="shared" si="876"/>
        <v/>
      </c>
      <c r="V5632" t="str">
        <f t="shared" si="877"/>
        <v/>
      </c>
      <c r="W5632" t="str">
        <f t="shared" si="878"/>
        <v/>
      </c>
      <c r="X5632">
        <f>IF($T5632="",N($X5631),IF(MATCH($T5632,$T$6:$T$10005,0)=ROW()-5,N($X5631)+1,N($X5631)))</f>
        <v>0</v>
      </c>
      <c r="Z5632" t="str">
        <f t="shared" si="879"/>
        <v/>
      </c>
      <c r="AA5632">
        <f>IF($V5632="",N($AA5631),IF(MATCH($V5632,$V$6:$V$10005,0)=ROW()-5,N($AA5631)+1,N($AA5631)))</f>
        <v>0</v>
      </c>
    </row>
    <row r="5633" spans="1:27" ht="21" customHeight="1" x14ac:dyDescent="0.95">
      <c r="A5633" s="56"/>
      <c r="B5633" s="57"/>
      <c r="C5633" s="57"/>
      <c r="D5633" s="57"/>
      <c r="E5633" s="56"/>
      <c r="F5633" s="57"/>
      <c r="G5633" s="57"/>
      <c r="H5633" s="56"/>
      <c r="I5633" s="56"/>
      <c r="J5633" s="58"/>
      <c r="K5633" s="58"/>
      <c r="L5633" s="13" t="str">
        <f t="shared" si="870"/>
        <v/>
      </c>
      <c r="M5633" s="13" t="str">
        <f t="shared" si="871"/>
        <v/>
      </c>
      <c r="Q5633" t="str">
        <f t="shared" si="872"/>
        <v/>
      </c>
      <c r="R5633" t="str">
        <f t="shared" si="873"/>
        <v/>
      </c>
      <c r="S5633" t="str">
        <f t="shared" si="874"/>
        <v/>
      </c>
      <c r="T5633" t="str">
        <f t="shared" si="875"/>
        <v/>
      </c>
      <c r="U5633" t="str">
        <f t="shared" si="876"/>
        <v/>
      </c>
      <c r="V5633" t="str">
        <f t="shared" si="877"/>
        <v/>
      </c>
      <c r="W5633" t="str">
        <f t="shared" si="878"/>
        <v/>
      </c>
      <c r="X5633">
        <f>IF($T5633="",N($X5632),IF(MATCH($T5633,$T$6:$T$10005,0)=ROW()-5,N($X5632)+1,N($X5632)))</f>
        <v>0</v>
      </c>
      <c r="Z5633" t="str">
        <f t="shared" si="879"/>
        <v/>
      </c>
      <c r="AA5633">
        <f>IF($V5633="",N($AA5632),IF(MATCH($V5633,$V$6:$V$10005,0)=ROW()-5,N($AA5632)+1,N($AA5632)))</f>
        <v>0</v>
      </c>
    </row>
    <row r="5634" spans="1:27" ht="21" customHeight="1" x14ac:dyDescent="0.95">
      <c r="A5634" s="56"/>
      <c r="B5634" s="57"/>
      <c r="C5634" s="57"/>
      <c r="D5634" s="57"/>
      <c r="E5634" s="56"/>
      <c r="F5634" s="57"/>
      <c r="G5634" s="57"/>
      <c r="H5634" s="56"/>
      <c r="I5634" s="56"/>
      <c r="J5634" s="58"/>
      <c r="K5634" s="58"/>
      <c r="L5634" s="13" t="str">
        <f t="shared" si="870"/>
        <v/>
      </c>
      <c r="M5634" s="13" t="str">
        <f t="shared" si="871"/>
        <v/>
      </c>
      <c r="Q5634" t="str">
        <f t="shared" si="872"/>
        <v/>
      </c>
      <c r="R5634" t="str">
        <f t="shared" si="873"/>
        <v/>
      </c>
      <c r="S5634" t="str">
        <f t="shared" si="874"/>
        <v/>
      </c>
      <c r="T5634" t="str">
        <f t="shared" si="875"/>
        <v/>
      </c>
      <c r="U5634" t="str">
        <f t="shared" si="876"/>
        <v/>
      </c>
      <c r="V5634" t="str">
        <f t="shared" si="877"/>
        <v/>
      </c>
      <c r="W5634" t="str">
        <f t="shared" si="878"/>
        <v/>
      </c>
      <c r="X5634">
        <f>IF($T5634="",N($X5633),IF(MATCH($T5634,$T$6:$T$10005,0)=ROW()-5,N($X5633)+1,N($X5633)))</f>
        <v>0</v>
      </c>
      <c r="Z5634" t="str">
        <f t="shared" si="879"/>
        <v/>
      </c>
      <c r="AA5634">
        <f>IF($V5634="",N($AA5633),IF(MATCH($V5634,$V$6:$V$10005,0)=ROW()-5,N($AA5633)+1,N($AA5633)))</f>
        <v>0</v>
      </c>
    </row>
    <row r="5635" spans="1:27" ht="21" customHeight="1" x14ac:dyDescent="0.95">
      <c r="A5635" s="56"/>
      <c r="B5635" s="57"/>
      <c r="C5635" s="57"/>
      <c r="D5635" s="57"/>
      <c r="E5635" s="56"/>
      <c r="F5635" s="57"/>
      <c r="G5635" s="57"/>
      <c r="H5635" s="56"/>
      <c r="I5635" s="56"/>
      <c r="J5635" s="58"/>
      <c r="K5635" s="58"/>
      <c r="L5635" s="13" t="str">
        <f t="shared" si="870"/>
        <v/>
      </c>
      <c r="M5635" s="13" t="str">
        <f t="shared" si="871"/>
        <v/>
      </c>
      <c r="Q5635" t="str">
        <f t="shared" si="872"/>
        <v/>
      </c>
      <c r="R5635" t="str">
        <f t="shared" si="873"/>
        <v/>
      </c>
      <c r="S5635" t="str">
        <f t="shared" si="874"/>
        <v/>
      </c>
      <c r="T5635" t="str">
        <f t="shared" si="875"/>
        <v/>
      </c>
      <c r="U5635" t="str">
        <f t="shared" si="876"/>
        <v/>
      </c>
      <c r="V5635" t="str">
        <f t="shared" si="877"/>
        <v/>
      </c>
      <c r="W5635" t="str">
        <f t="shared" si="878"/>
        <v/>
      </c>
      <c r="X5635">
        <f>IF($T5635="",N($X5634),IF(MATCH($T5635,$T$6:$T$10005,0)=ROW()-5,N($X5634)+1,N($X5634)))</f>
        <v>0</v>
      </c>
      <c r="Z5635" t="str">
        <f t="shared" si="879"/>
        <v/>
      </c>
      <c r="AA5635">
        <f>IF($V5635="",N($AA5634),IF(MATCH($V5635,$V$6:$V$10005,0)=ROW()-5,N($AA5634)+1,N($AA5634)))</f>
        <v>0</v>
      </c>
    </row>
    <row r="5636" spans="1:27" ht="21" customHeight="1" x14ac:dyDescent="0.95">
      <c r="A5636" s="56"/>
      <c r="B5636" s="57"/>
      <c r="C5636" s="57"/>
      <c r="D5636" s="57"/>
      <c r="E5636" s="56"/>
      <c r="F5636" s="57"/>
      <c r="G5636" s="57"/>
      <c r="H5636" s="56"/>
      <c r="I5636" s="56"/>
      <c r="J5636" s="58"/>
      <c r="K5636" s="58"/>
      <c r="L5636" s="13" t="str">
        <f t="shared" si="870"/>
        <v/>
      </c>
      <c r="M5636" s="13" t="str">
        <f t="shared" si="871"/>
        <v/>
      </c>
      <c r="Q5636" t="str">
        <f t="shared" si="872"/>
        <v/>
      </c>
      <c r="R5636" t="str">
        <f t="shared" si="873"/>
        <v/>
      </c>
      <c r="S5636" t="str">
        <f t="shared" si="874"/>
        <v/>
      </c>
      <c r="T5636" t="str">
        <f t="shared" si="875"/>
        <v/>
      </c>
      <c r="U5636" t="str">
        <f t="shared" si="876"/>
        <v/>
      </c>
      <c r="V5636" t="str">
        <f t="shared" si="877"/>
        <v/>
      </c>
      <c r="W5636" t="str">
        <f t="shared" si="878"/>
        <v/>
      </c>
      <c r="X5636">
        <f>IF($T5636="",N($X5635),IF(MATCH($T5636,$T$6:$T$10005,0)=ROW()-5,N($X5635)+1,N($X5635)))</f>
        <v>0</v>
      </c>
      <c r="Z5636" t="str">
        <f t="shared" si="879"/>
        <v/>
      </c>
      <c r="AA5636">
        <f>IF($V5636="",N($AA5635),IF(MATCH($V5636,$V$6:$V$10005,0)=ROW()-5,N($AA5635)+1,N($AA5635)))</f>
        <v>0</v>
      </c>
    </row>
    <row r="5637" spans="1:27" ht="21" customHeight="1" x14ac:dyDescent="0.95">
      <c r="A5637" s="56"/>
      <c r="B5637" s="57"/>
      <c r="C5637" s="57"/>
      <c r="D5637" s="57"/>
      <c r="E5637" s="56"/>
      <c r="F5637" s="57"/>
      <c r="G5637" s="57"/>
      <c r="H5637" s="56"/>
      <c r="I5637" s="56"/>
      <c r="J5637" s="58"/>
      <c r="K5637" s="58"/>
      <c r="L5637" s="13" t="str">
        <f t="shared" si="870"/>
        <v/>
      </c>
      <c r="M5637" s="13" t="str">
        <f t="shared" si="871"/>
        <v/>
      </c>
      <c r="Q5637" t="str">
        <f t="shared" si="872"/>
        <v/>
      </c>
      <c r="R5637" t="str">
        <f t="shared" si="873"/>
        <v/>
      </c>
      <c r="S5637" t="str">
        <f t="shared" si="874"/>
        <v/>
      </c>
      <c r="T5637" t="str">
        <f t="shared" si="875"/>
        <v/>
      </c>
      <c r="U5637" t="str">
        <f t="shared" si="876"/>
        <v/>
      </c>
      <c r="V5637" t="str">
        <f t="shared" si="877"/>
        <v/>
      </c>
      <c r="W5637" t="str">
        <f t="shared" si="878"/>
        <v/>
      </c>
      <c r="X5637">
        <f>IF($T5637="",N($X5636),IF(MATCH($T5637,$T$6:$T$10005,0)=ROW()-5,N($X5636)+1,N($X5636)))</f>
        <v>0</v>
      </c>
      <c r="Z5637" t="str">
        <f t="shared" si="879"/>
        <v/>
      </c>
      <c r="AA5637">
        <f>IF($V5637="",N($AA5636),IF(MATCH($V5637,$V$6:$V$10005,0)=ROW()-5,N($AA5636)+1,N($AA5636)))</f>
        <v>0</v>
      </c>
    </row>
    <row r="5638" spans="1:27" ht="21" customHeight="1" x14ac:dyDescent="0.95">
      <c r="A5638" s="56"/>
      <c r="B5638" s="57"/>
      <c r="C5638" s="57"/>
      <c r="D5638" s="57"/>
      <c r="E5638" s="56"/>
      <c r="F5638" s="57"/>
      <c r="G5638" s="57"/>
      <c r="H5638" s="56"/>
      <c r="I5638" s="56"/>
      <c r="J5638" s="58"/>
      <c r="K5638" s="58"/>
      <c r="L5638" s="13" t="str">
        <f t="shared" ref="L5638:L5701" si="880">IF(OR($A5638="",AND($J5638="",$K5638="")),"",ROUND(N($J5638)-N($K5638),2))</f>
        <v/>
      </c>
      <c r="M5638" s="13" t="str">
        <f t="shared" ref="M5638:M5701" si="881">IF(OR($A5638="",AND($J5638="",$K5638="")),"",MIN($J5638,$K5638))</f>
        <v/>
      </c>
      <c r="Q5638" t="str">
        <f t="shared" ref="Q5638:Q5701" si="882">IF($A5638="","",$D5638&amp;"("&amp;SUBSTITUTE($E5638," ","")&amp;")")</f>
        <v/>
      </c>
      <c r="R5638" t="str">
        <f t="shared" ref="R5638:R5701" si="883">IF($A5638="","",$B5638&amp;" - "&amp;$C5638)</f>
        <v/>
      </c>
      <c r="S5638" t="str">
        <f t="shared" ref="S5638:S5701" si="884">IF($A5638="","",$R5638&amp;"|"&amp;$Q5638)</f>
        <v/>
      </c>
      <c r="T5638" t="str">
        <f t="shared" ref="T5638:T5701" si="885">IF($A5638="","",$S5638&amp;"|"&amp;$F5638)</f>
        <v/>
      </c>
      <c r="U5638" t="str">
        <f t="shared" ref="U5638:U5701" si="886">IF($A5638="","",$R5638&amp;"("&amp;$E5638&amp;")")</f>
        <v/>
      </c>
      <c r="V5638" t="str">
        <f t="shared" ref="V5638:V5701" si="887">IF($A5638="","",$F5638&amp;"|"&amp;$U5638&amp;"|"&amp;$D5638)</f>
        <v/>
      </c>
      <c r="W5638" t="str">
        <f t="shared" ref="W5638:W5701" si="888">IF($T5638="","",IF($X5638&gt;N($X5637),$X5638,""))</f>
        <v/>
      </c>
      <c r="X5638">
        <f>IF($T5638="",N($X5637),IF(MATCH($T5638,$T$6:$T$10005,0)=ROW()-5,N($X5637)+1,N($X5637)))</f>
        <v>0</v>
      </c>
      <c r="Z5638" t="str">
        <f t="shared" ref="Z5638:Z5701" si="889">IF($V5638="","",IF($AA5638&gt;N($AA5637),$AA5638,""))</f>
        <v/>
      </c>
      <c r="AA5638">
        <f>IF($V5638="",N($AA5637),IF(MATCH($V5638,$V$6:$V$10005,0)=ROW()-5,N($AA5637)+1,N($AA5637)))</f>
        <v>0</v>
      </c>
    </row>
    <row r="5639" spans="1:27" ht="21" customHeight="1" x14ac:dyDescent="0.95">
      <c r="A5639" s="56"/>
      <c r="B5639" s="57"/>
      <c r="C5639" s="57"/>
      <c r="D5639" s="57"/>
      <c r="E5639" s="56"/>
      <c r="F5639" s="57"/>
      <c r="G5639" s="57"/>
      <c r="H5639" s="56"/>
      <c r="I5639" s="56"/>
      <c r="J5639" s="58"/>
      <c r="K5639" s="58"/>
      <c r="L5639" s="13" t="str">
        <f t="shared" si="880"/>
        <v/>
      </c>
      <c r="M5639" s="13" t="str">
        <f t="shared" si="881"/>
        <v/>
      </c>
      <c r="Q5639" t="str">
        <f t="shared" si="882"/>
        <v/>
      </c>
      <c r="R5639" t="str">
        <f t="shared" si="883"/>
        <v/>
      </c>
      <c r="S5639" t="str">
        <f t="shared" si="884"/>
        <v/>
      </c>
      <c r="T5639" t="str">
        <f t="shared" si="885"/>
        <v/>
      </c>
      <c r="U5639" t="str">
        <f t="shared" si="886"/>
        <v/>
      </c>
      <c r="V5639" t="str">
        <f t="shared" si="887"/>
        <v/>
      </c>
      <c r="W5639" t="str">
        <f t="shared" si="888"/>
        <v/>
      </c>
      <c r="X5639">
        <f>IF($T5639="",N($X5638),IF(MATCH($T5639,$T$6:$T$10005,0)=ROW()-5,N($X5638)+1,N($X5638)))</f>
        <v>0</v>
      </c>
      <c r="Z5639" t="str">
        <f t="shared" si="889"/>
        <v/>
      </c>
      <c r="AA5639">
        <f>IF($V5639="",N($AA5638),IF(MATCH($V5639,$V$6:$V$10005,0)=ROW()-5,N($AA5638)+1,N($AA5638)))</f>
        <v>0</v>
      </c>
    </row>
    <row r="5640" spans="1:27" ht="21" customHeight="1" x14ac:dyDescent="0.95">
      <c r="A5640" s="56"/>
      <c r="B5640" s="57"/>
      <c r="C5640" s="57"/>
      <c r="D5640" s="57"/>
      <c r="E5640" s="56"/>
      <c r="F5640" s="57"/>
      <c r="G5640" s="57"/>
      <c r="H5640" s="56"/>
      <c r="I5640" s="56"/>
      <c r="J5640" s="58"/>
      <c r="K5640" s="58"/>
      <c r="L5640" s="13" t="str">
        <f t="shared" si="880"/>
        <v/>
      </c>
      <c r="M5640" s="13" t="str">
        <f t="shared" si="881"/>
        <v/>
      </c>
      <c r="Q5640" t="str">
        <f t="shared" si="882"/>
        <v/>
      </c>
      <c r="R5640" t="str">
        <f t="shared" si="883"/>
        <v/>
      </c>
      <c r="S5640" t="str">
        <f t="shared" si="884"/>
        <v/>
      </c>
      <c r="T5640" t="str">
        <f t="shared" si="885"/>
        <v/>
      </c>
      <c r="U5640" t="str">
        <f t="shared" si="886"/>
        <v/>
      </c>
      <c r="V5640" t="str">
        <f t="shared" si="887"/>
        <v/>
      </c>
      <c r="W5640" t="str">
        <f t="shared" si="888"/>
        <v/>
      </c>
      <c r="X5640">
        <f>IF($T5640="",N($X5639),IF(MATCH($T5640,$T$6:$T$10005,0)=ROW()-5,N($X5639)+1,N($X5639)))</f>
        <v>0</v>
      </c>
      <c r="Z5640" t="str">
        <f t="shared" si="889"/>
        <v/>
      </c>
      <c r="AA5640">
        <f>IF($V5640="",N($AA5639),IF(MATCH($V5640,$V$6:$V$10005,0)=ROW()-5,N($AA5639)+1,N($AA5639)))</f>
        <v>0</v>
      </c>
    </row>
    <row r="5641" spans="1:27" ht="21" customHeight="1" x14ac:dyDescent="0.95">
      <c r="A5641" s="56"/>
      <c r="B5641" s="57"/>
      <c r="C5641" s="57"/>
      <c r="D5641" s="57"/>
      <c r="E5641" s="56"/>
      <c r="F5641" s="57"/>
      <c r="G5641" s="57"/>
      <c r="H5641" s="56"/>
      <c r="I5641" s="56"/>
      <c r="J5641" s="58"/>
      <c r="K5641" s="58"/>
      <c r="L5641" s="13" t="str">
        <f t="shared" si="880"/>
        <v/>
      </c>
      <c r="M5641" s="13" t="str">
        <f t="shared" si="881"/>
        <v/>
      </c>
      <c r="Q5641" t="str">
        <f t="shared" si="882"/>
        <v/>
      </c>
      <c r="R5641" t="str">
        <f t="shared" si="883"/>
        <v/>
      </c>
      <c r="S5641" t="str">
        <f t="shared" si="884"/>
        <v/>
      </c>
      <c r="T5641" t="str">
        <f t="shared" si="885"/>
        <v/>
      </c>
      <c r="U5641" t="str">
        <f t="shared" si="886"/>
        <v/>
      </c>
      <c r="V5641" t="str">
        <f t="shared" si="887"/>
        <v/>
      </c>
      <c r="W5641" t="str">
        <f t="shared" si="888"/>
        <v/>
      </c>
      <c r="X5641">
        <f>IF($T5641="",N($X5640),IF(MATCH($T5641,$T$6:$T$10005,0)=ROW()-5,N($X5640)+1,N($X5640)))</f>
        <v>0</v>
      </c>
      <c r="Z5641" t="str">
        <f t="shared" si="889"/>
        <v/>
      </c>
      <c r="AA5641">
        <f>IF($V5641="",N($AA5640),IF(MATCH($V5641,$V$6:$V$10005,0)=ROW()-5,N($AA5640)+1,N($AA5640)))</f>
        <v>0</v>
      </c>
    </row>
    <row r="5642" spans="1:27" ht="21" customHeight="1" x14ac:dyDescent="0.95">
      <c r="A5642" s="56"/>
      <c r="B5642" s="57"/>
      <c r="C5642" s="57"/>
      <c r="D5642" s="57"/>
      <c r="E5642" s="56"/>
      <c r="F5642" s="57"/>
      <c r="G5642" s="57"/>
      <c r="H5642" s="56"/>
      <c r="I5642" s="56"/>
      <c r="J5642" s="58"/>
      <c r="K5642" s="58"/>
      <c r="L5642" s="13" t="str">
        <f t="shared" si="880"/>
        <v/>
      </c>
      <c r="M5642" s="13" t="str">
        <f t="shared" si="881"/>
        <v/>
      </c>
      <c r="Q5642" t="str">
        <f t="shared" si="882"/>
        <v/>
      </c>
      <c r="R5642" t="str">
        <f t="shared" si="883"/>
        <v/>
      </c>
      <c r="S5642" t="str">
        <f t="shared" si="884"/>
        <v/>
      </c>
      <c r="T5642" t="str">
        <f t="shared" si="885"/>
        <v/>
      </c>
      <c r="U5642" t="str">
        <f t="shared" si="886"/>
        <v/>
      </c>
      <c r="V5642" t="str">
        <f t="shared" si="887"/>
        <v/>
      </c>
      <c r="W5642" t="str">
        <f t="shared" si="888"/>
        <v/>
      </c>
      <c r="X5642">
        <f>IF($T5642="",N($X5641),IF(MATCH($T5642,$T$6:$T$10005,0)=ROW()-5,N($X5641)+1,N($X5641)))</f>
        <v>0</v>
      </c>
      <c r="Z5642" t="str">
        <f t="shared" si="889"/>
        <v/>
      </c>
      <c r="AA5642">
        <f>IF($V5642="",N($AA5641),IF(MATCH($V5642,$V$6:$V$10005,0)=ROW()-5,N($AA5641)+1,N($AA5641)))</f>
        <v>0</v>
      </c>
    </row>
    <row r="5643" spans="1:27" ht="21" customHeight="1" x14ac:dyDescent="0.95">
      <c r="A5643" s="56"/>
      <c r="B5643" s="57"/>
      <c r="C5643" s="57"/>
      <c r="D5643" s="57"/>
      <c r="E5643" s="56"/>
      <c r="F5643" s="57"/>
      <c r="G5643" s="57"/>
      <c r="H5643" s="56"/>
      <c r="I5643" s="56"/>
      <c r="J5643" s="58"/>
      <c r="K5643" s="58"/>
      <c r="L5643" s="13" t="str">
        <f t="shared" si="880"/>
        <v/>
      </c>
      <c r="M5643" s="13" t="str">
        <f t="shared" si="881"/>
        <v/>
      </c>
      <c r="Q5643" t="str">
        <f t="shared" si="882"/>
        <v/>
      </c>
      <c r="R5643" t="str">
        <f t="shared" si="883"/>
        <v/>
      </c>
      <c r="S5643" t="str">
        <f t="shared" si="884"/>
        <v/>
      </c>
      <c r="T5643" t="str">
        <f t="shared" si="885"/>
        <v/>
      </c>
      <c r="U5643" t="str">
        <f t="shared" si="886"/>
        <v/>
      </c>
      <c r="V5643" t="str">
        <f t="shared" si="887"/>
        <v/>
      </c>
      <c r="W5643" t="str">
        <f t="shared" si="888"/>
        <v/>
      </c>
      <c r="X5643">
        <f>IF($T5643="",N($X5642),IF(MATCH($T5643,$T$6:$T$10005,0)=ROW()-5,N($X5642)+1,N($X5642)))</f>
        <v>0</v>
      </c>
      <c r="Z5643" t="str">
        <f t="shared" si="889"/>
        <v/>
      </c>
      <c r="AA5643">
        <f>IF($V5643="",N($AA5642),IF(MATCH($V5643,$V$6:$V$10005,0)=ROW()-5,N($AA5642)+1,N($AA5642)))</f>
        <v>0</v>
      </c>
    </row>
    <row r="5644" spans="1:27" ht="21" customHeight="1" x14ac:dyDescent="0.95">
      <c r="A5644" s="56"/>
      <c r="B5644" s="57"/>
      <c r="C5644" s="57"/>
      <c r="D5644" s="57"/>
      <c r="E5644" s="56"/>
      <c r="F5644" s="57"/>
      <c r="G5644" s="57"/>
      <c r="H5644" s="56"/>
      <c r="I5644" s="56"/>
      <c r="J5644" s="58"/>
      <c r="K5644" s="58"/>
      <c r="L5644" s="13" t="str">
        <f t="shared" si="880"/>
        <v/>
      </c>
      <c r="M5644" s="13" t="str">
        <f t="shared" si="881"/>
        <v/>
      </c>
      <c r="Q5644" t="str">
        <f t="shared" si="882"/>
        <v/>
      </c>
      <c r="R5644" t="str">
        <f t="shared" si="883"/>
        <v/>
      </c>
      <c r="S5644" t="str">
        <f t="shared" si="884"/>
        <v/>
      </c>
      <c r="T5644" t="str">
        <f t="shared" si="885"/>
        <v/>
      </c>
      <c r="U5644" t="str">
        <f t="shared" si="886"/>
        <v/>
      </c>
      <c r="V5644" t="str">
        <f t="shared" si="887"/>
        <v/>
      </c>
      <c r="W5644" t="str">
        <f t="shared" si="888"/>
        <v/>
      </c>
      <c r="X5644">
        <f>IF($T5644="",N($X5643),IF(MATCH($T5644,$T$6:$T$10005,0)=ROW()-5,N($X5643)+1,N($X5643)))</f>
        <v>0</v>
      </c>
      <c r="Z5644" t="str">
        <f t="shared" si="889"/>
        <v/>
      </c>
      <c r="AA5644">
        <f>IF($V5644="",N($AA5643),IF(MATCH($V5644,$V$6:$V$10005,0)=ROW()-5,N($AA5643)+1,N($AA5643)))</f>
        <v>0</v>
      </c>
    </row>
    <row r="5645" spans="1:27" ht="21" customHeight="1" x14ac:dyDescent="0.95">
      <c r="A5645" s="56"/>
      <c r="B5645" s="57"/>
      <c r="C5645" s="57"/>
      <c r="D5645" s="57"/>
      <c r="E5645" s="56"/>
      <c r="F5645" s="57"/>
      <c r="G5645" s="57"/>
      <c r="H5645" s="56"/>
      <c r="I5645" s="56"/>
      <c r="J5645" s="58"/>
      <c r="K5645" s="58"/>
      <c r="L5645" s="13" t="str">
        <f t="shared" si="880"/>
        <v/>
      </c>
      <c r="M5645" s="13" t="str">
        <f t="shared" si="881"/>
        <v/>
      </c>
      <c r="Q5645" t="str">
        <f t="shared" si="882"/>
        <v/>
      </c>
      <c r="R5645" t="str">
        <f t="shared" si="883"/>
        <v/>
      </c>
      <c r="S5645" t="str">
        <f t="shared" si="884"/>
        <v/>
      </c>
      <c r="T5645" t="str">
        <f t="shared" si="885"/>
        <v/>
      </c>
      <c r="U5645" t="str">
        <f t="shared" si="886"/>
        <v/>
      </c>
      <c r="V5645" t="str">
        <f t="shared" si="887"/>
        <v/>
      </c>
      <c r="W5645" t="str">
        <f t="shared" si="888"/>
        <v/>
      </c>
      <c r="X5645">
        <f>IF($T5645="",N($X5644),IF(MATCH($T5645,$T$6:$T$10005,0)=ROW()-5,N($X5644)+1,N($X5644)))</f>
        <v>0</v>
      </c>
      <c r="Z5645" t="str">
        <f t="shared" si="889"/>
        <v/>
      </c>
      <c r="AA5645">
        <f>IF($V5645="",N($AA5644),IF(MATCH($V5645,$V$6:$V$10005,0)=ROW()-5,N($AA5644)+1,N($AA5644)))</f>
        <v>0</v>
      </c>
    </row>
    <row r="5646" spans="1:27" ht="21" customHeight="1" x14ac:dyDescent="0.95">
      <c r="A5646" s="56"/>
      <c r="B5646" s="57"/>
      <c r="C5646" s="57"/>
      <c r="D5646" s="57"/>
      <c r="E5646" s="56"/>
      <c r="F5646" s="57"/>
      <c r="G5646" s="57"/>
      <c r="H5646" s="56"/>
      <c r="I5646" s="56"/>
      <c r="J5646" s="58"/>
      <c r="K5646" s="58"/>
      <c r="L5646" s="13" t="str">
        <f t="shared" si="880"/>
        <v/>
      </c>
      <c r="M5646" s="13" t="str">
        <f t="shared" si="881"/>
        <v/>
      </c>
      <c r="Q5646" t="str">
        <f t="shared" si="882"/>
        <v/>
      </c>
      <c r="R5646" t="str">
        <f t="shared" si="883"/>
        <v/>
      </c>
      <c r="S5646" t="str">
        <f t="shared" si="884"/>
        <v/>
      </c>
      <c r="T5646" t="str">
        <f t="shared" si="885"/>
        <v/>
      </c>
      <c r="U5646" t="str">
        <f t="shared" si="886"/>
        <v/>
      </c>
      <c r="V5646" t="str">
        <f t="shared" si="887"/>
        <v/>
      </c>
      <c r="W5646" t="str">
        <f t="shared" si="888"/>
        <v/>
      </c>
      <c r="X5646">
        <f>IF($T5646="",N($X5645),IF(MATCH($T5646,$T$6:$T$10005,0)=ROW()-5,N($X5645)+1,N($X5645)))</f>
        <v>0</v>
      </c>
      <c r="Z5646" t="str">
        <f t="shared" si="889"/>
        <v/>
      </c>
      <c r="AA5646">
        <f>IF($V5646="",N($AA5645),IF(MATCH($V5646,$V$6:$V$10005,0)=ROW()-5,N($AA5645)+1,N($AA5645)))</f>
        <v>0</v>
      </c>
    </row>
    <row r="5647" spans="1:27" ht="21" customHeight="1" x14ac:dyDescent="0.95">
      <c r="A5647" s="56"/>
      <c r="B5647" s="57"/>
      <c r="C5647" s="57"/>
      <c r="D5647" s="57"/>
      <c r="E5647" s="56"/>
      <c r="F5647" s="57"/>
      <c r="G5647" s="57"/>
      <c r="H5647" s="56"/>
      <c r="I5647" s="56"/>
      <c r="J5647" s="58"/>
      <c r="K5647" s="58"/>
      <c r="L5647" s="13" t="str">
        <f t="shared" si="880"/>
        <v/>
      </c>
      <c r="M5647" s="13" t="str">
        <f t="shared" si="881"/>
        <v/>
      </c>
      <c r="Q5647" t="str">
        <f t="shared" si="882"/>
        <v/>
      </c>
      <c r="R5647" t="str">
        <f t="shared" si="883"/>
        <v/>
      </c>
      <c r="S5647" t="str">
        <f t="shared" si="884"/>
        <v/>
      </c>
      <c r="T5647" t="str">
        <f t="shared" si="885"/>
        <v/>
      </c>
      <c r="U5647" t="str">
        <f t="shared" si="886"/>
        <v/>
      </c>
      <c r="V5647" t="str">
        <f t="shared" si="887"/>
        <v/>
      </c>
      <c r="W5647" t="str">
        <f t="shared" si="888"/>
        <v/>
      </c>
      <c r="X5647">
        <f>IF($T5647="",N($X5646),IF(MATCH($T5647,$T$6:$T$10005,0)=ROW()-5,N($X5646)+1,N($X5646)))</f>
        <v>0</v>
      </c>
      <c r="Z5647" t="str">
        <f t="shared" si="889"/>
        <v/>
      </c>
      <c r="AA5647">
        <f>IF($V5647="",N($AA5646),IF(MATCH($V5647,$V$6:$V$10005,0)=ROW()-5,N($AA5646)+1,N($AA5646)))</f>
        <v>0</v>
      </c>
    </row>
    <row r="5648" spans="1:27" ht="21" customHeight="1" x14ac:dyDescent="0.95">
      <c r="A5648" s="56"/>
      <c r="B5648" s="57"/>
      <c r="C5648" s="57"/>
      <c r="D5648" s="57"/>
      <c r="E5648" s="56"/>
      <c r="F5648" s="57"/>
      <c r="G5648" s="57"/>
      <c r="H5648" s="56"/>
      <c r="I5648" s="56"/>
      <c r="J5648" s="58"/>
      <c r="K5648" s="58"/>
      <c r="L5648" s="13" t="str">
        <f t="shared" si="880"/>
        <v/>
      </c>
      <c r="M5648" s="13" t="str">
        <f t="shared" si="881"/>
        <v/>
      </c>
      <c r="Q5648" t="str">
        <f t="shared" si="882"/>
        <v/>
      </c>
      <c r="R5648" t="str">
        <f t="shared" si="883"/>
        <v/>
      </c>
      <c r="S5648" t="str">
        <f t="shared" si="884"/>
        <v/>
      </c>
      <c r="T5648" t="str">
        <f t="shared" si="885"/>
        <v/>
      </c>
      <c r="U5648" t="str">
        <f t="shared" si="886"/>
        <v/>
      </c>
      <c r="V5648" t="str">
        <f t="shared" si="887"/>
        <v/>
      </c>
      <c r="W5648" t="str">
        <f t="shared" si="888"/>
        <v/>
      </c>
      <c r="X5648">
        <f>IF($T5648="",N($X5647),IF(MATCH($T5648,$T$6:$T$10005,0)=ROW()-5,N($X5647)+1,N($X5647)))</f>
        <v>0</v>
      </c>
      <c r="Z5648" t="str">
        <f t="shared" si="889"/>
        <v/>
      </c>
      <c r="AA5648">
        <f>IF($V5648="",N($AA5647),IF(MATCH($V5648,$V$6:$V$10005,0)=ROW()-5,N($AA5647)+1,N($AA5647)))</f>
        <v>0</v>
      </c>
    </row>
    <row r="5649" spans="1:27" ht="21" customHeight="1" x14ac:dyDescent="0.95">
      <c r="A5649" s="56"/>
      <c r="B5649" s="57"/>
      <c r="C5649" s="57"/>
      <c r="D5649" s="57"/>
      <c r="E5649" s="56"/>
      <c r="F5649" s="57"/>
      <c r="G5649" s="57"/>
      <c r="H5649" s="56"/>
      <c r="I5649" s="56"/>
      <c r="J5649" s="58"/>
      <c r="K5649" s="58"/>
      <c r="L5649" s="13" t="str">
        <f t="shared" si="880"/>
        <v/>
      </c>
      <c r="M5649" s="13" t="str">
        <f t="shared" si="881"/>
        <v/>
      </c>
      <c r="Q5649" t="str">
        <f t="shared" si="882"/>
        <v/>
      </c>
      <c r="R5649" t="str">
        <f t="shared" si="883"/>
        <v/>
      </c>
      <c r="S5649" t="str">
        <f t="shared" si="884"/>
        <v/>
      </c>
      <c r="T5649" t="str">
        <f t="shared" si="885"/>
        <v/>
      </c>
      <c r="U5649" t="str">
        <f t="shared" si="886"/>
        <v/>
      </c>
      <c r="V5649" t="str">
        <f t="shared" si="887"/>
        <v/>
      </c>
      <c r="W5649" t="str">
        <f t="shared" si="888"/>
        <v/>
      </c>
      <c r="X5649">
        <f>IF($T5649="",N($X5648),IF(MATCH($T5649,$T$6:$T$10005,0)=ROW()-5,N($X5648)+1,N($X5648)))</f>
        <v>0</v>
      </c>
      <c r="Z5649" t="str">
        <f t="shared" si="889"/>
        <v/>
      </c>
      <c r="AA5649">
        <f>IF($V5649="",N($AA5648),IF(MATCH($V5649,$V$6:$V$10005,0)=ROW()-5,N($AA5648)+1,N($AA5648)))</f>
        <v>0</v>
      </c>
    </row>
    <row r="5650" spans="1:27" ht="21" customHeight="1" x14ac:dyDescent="0.95">
      <c r="A5650" s="56"/>
      <c r="B5650" s="57"/>
      <c r="C5650" s="57"/>
      <c r="D5650" s="57"/>
      <c r="E5650" s="56"/>
      <c r="F5650" s="57"/>
      <c r="G5650" s="57"/>
      <c r="H5650" s="56"/>
      <c r="I5650" s="56"/>
      <c r="J5650" s="58"/>
      <c r="K5650" s="58"/>
      <c r="L5650" s="13" t="str">
        <f t="shared" si="880"/>
        <v/>
      </c>
      <c r="M5650" s="13" t="str">
        <f t="shared" si="881"/>
        <v/>
      </c>
      <c r="Q5650" t="str">
        <f t="shared" si="882"/>
        <v/>
      </c>
      <c r="R5650" t="str">
        <f t="shared" si="883"/>
        <v/>
      </c>
      <c r="S5650" t="str">
        <f t="shared" si="884"/>
        <v/>
      </c>
      <c r="T5650" t="str">
        <f t="shared" si="885"/>
        <v/>
      </c>
      <c r="U5650" t="str">
        <f t="shared" si="886"/>
        <v/>
      </c>
      <c r="V5650" t="str">
        <f t="shared" si="887"/>
        <v/>
      </c>
      <c r="W5650" t="str">
        <f t="shared" si="888"/>
        <v/>
      </c>
      <c r="X5650">
        <f>IF($T5650="",N($X5649),IF(MATCH($T5650,$T$6:$T$10005,0)=ROW()-5,N($X5649)+1,N($X5649)))</f>
        <v>0</v>
      </c>
      <c r="Z5650" t="str">
        <f t="shared" si="889"/>
        <v/>
      </c>
      <c r="AA5650">
        <f>IF($V5650="",N($AA5649),IF(MATCH($V5650,$V$6:$V$10005,0)=ROW()-5,N($AA5649)+1,N($AA5649)))</f>
        <v>0</v>
      </c>
    </row>
    <row r="5651" spans="1:27" ht="21" customHeight="1" x14ac:dyDescent="0.95">
      <c r="A5651" s="56"/>
      <c r="B5651" s="57"/>
      <c r="C5651" s="57"/>
      <c r="D5651" s="57"/>
      <c r="E5651" s="56"/>
      <c r="F5651" s="57"/>
      <c r="G5651" s="57"/>
      <c r="H5651" s="56"/>
      <c r="I5651" s="56"/>
      <c r="J5651" s="58"/>
      <c r="K5651" s="58"/>
      <c r="L5651" s="13" t="str">
        <f t="shared" si="880"/>
        <v/>
      </c>
      <c r="M5651" s="13" t="str">
        <f t="shared" si="881"/>
        <v/>
      </c>
      <c r="Q5651" t="str">
        <f t="shared" si="882"/>
        <v/>
      </c>
      <c r="R5651" t="str">
        <f t="shared" si="883"/>
        <v/>
      </c>
      <c r="S5651" t="str">
        <f t="shared" si="884"/>
        <v/>
      </c>
      <c r="T5651" t="str">
        <f t="shared" si="885"/>
        <v/>
      </c>
      <c r="U5651" t="str">
        <f t="shared" si="886"/>
        <v/>
      </c>
      <c r="V5651" t="str">
        <f t="shared" si="887"/>
        <v/>
      </c>
      <c r="W5651" t="str">
        <f t="shared" si="888"/>
        <v/>
      </c>
      <c r="X5651">
        <f>IF($T5651="",N($X5650),IF(MATCH($T5651,$T$6:$T$10005,0)=ROW()-5,N($X5650)+1,N($X5650)))</f>
        <v>0</v>
      </c>
      <c r="Z5651" t="str">
        <f t="shared" si="889"/>
        <v/>
      </c>
      <c r="AA5651">
        <f>IF($V5651="",N($AA5650),IF(MATCH($V5651,$V$6:$V$10005,0)=ROW()-5,N($AA5650)+1,N($AA5650)))</f>
        <v>0</v>
      </c>
    </row>
    <row r="5652" spans="1:27" ht="21" customHeight="1" x14ac:dyDescent="0.95">
      <c r="A5652" s="56"/>
      <c r="B5652" s="57"/>
      <c r="C5652" s="57"/>
      <c r="D5652" s="57"/>
      <c r="E5652" s="56"/>
      <c r="F5652" s="57"/>
      <c r="G5652" s="57"/>
      <c r="H5652" s="56"/>
      <c r="I5652" s="56"/>
      <c r="J5652" s="58"/>
      <c r="K5652" s="58"/>
      <c r="L5652" s="13" t="str">
        <f t="shared" si="880"/>
        <v/>
      </c>
      <c r="M5652" s="13" t="str">
        <f t="shared" si="881"/>
        <v/>
      </c>
      <c r="Q5652" t="str">
        <f t="shared" si="882"/>
        <v/>
      </c>
      <c r="R5652" t="str">
        <f t="shared" si="883"/>
        <v/>
      </c>
      <c r="S5652" t="str">
        <f t="shared" si="884"/>
        <v/>
      </c>
      <c r="T5652" t="str">
        <f t="shared" si="885"/>
        <v/>
      </c>
      <c r="U5652" t="str">
        <f t="shared" si="886"/>
        <v/>
      </c>
      <c r="V5652" t="str">
        <f t="shared" si="887"/>
        <v/>
      </c>
      <c r="W5652" t="str">
        <f t="shared" si="888"/>
        <v/>
      </c>
      <c r="X5652">
        <f>IF($T5652="",N($X5651),IF(MATCH($T5652,$T$6:$T$10005,0)=ROW()-5,N($X5651)+1,N($X5651)))</f>
        <v>0</v>
      </c>
      <c r="Z5652" t="str">
        <f t="shared" si="889"/>
        <v/>
      </c>
      <c r="AA5652">
        <f>IF($V5652="",N($AA5651),IF(MATCH($V5652,$V$6:$V$10005,0)=ROW()-5,N($AA5651)+1,N($AA5651)))</f>
        <v>0</v>
      </c>
    </row>
    <row r="5653" spans="1:27" ht="21" customHeight="1" x14ac:dyDescent="0.95">
      <c r="A5653" s="56"/>
      <c r="B5653" s="57"/>
      <c r="C5653" s="57"/>
      <c r="D5653" s="57"/>
      <c r="E5653" s="56"/>
      <c r="F5653" s="57"/>
      <c r="G5653" s="57"/>
      <c r="H5653" s="56"/>
      <c r="I5653" s="56"/>
      <c r="J5653" s="58"/>
      <c r="K5653" s="58"/>
      <c r="L5653" s="13" t="str">
        <f t="shared" si="880"/>
        <v/>
      </c>
      <c r="M5653" s="13" t="str">
        <f t="shared" si="881"/>
        <v/>
      </c>
      <c r="Q5653" t="str">
        <f t="shared" si="882"/>
        <v/>
      </c>
      <c r="R5653" t="str">
        <f t="shared" si="883"/>
        <v/>
      </c>
      <c r="S5653" t="str">
        <f t="shared" si="884"/>
        <v/>
      </c>
      <c r="T5653" t="str">
        <f t="shared" si="885"/>
        <v/>
      </c>
      <c r="U5653" t="str">
        <f t="shared" si="886"/>
        <v/>
      </c>
      <c r="V5653" t="str">
        <f t="shared" si="887"/>
        <v/>
      </c>
      <c r="W5653" t="str">
        <f t="shared" si="888"/>
        <v/>
      </c>
      <c r="X5653">
        <f>IF($T5653="",N($X5652),IF(MATCH($T5653,$T$6:$T$10005,0)=ROW()-5,N($X5652)+1,N($X5652)))</f>
        <v>0</v>
      </c>
      <c r="Z5653" t="str">
        <f t="shared" si="889"/>
        <v/>
      </c>
      <c r="AA5653">
        <f>IF($V5653="",N($AA5652),IF(MATCH($V5653,$V$6:$V$10005,0)=ROW()-5,N($AA5652)+1,N($AA5652)))</f>
        <v>0</v>
      </c>
    </row>
    <row r="5654" spans="1:27" ht="21" customHeight="1" x14ac:dyDescent="0.95">
      <c r="A5654" s="56"/>
      <c r="B5654" s="57"/>
      <c r="C5654" s="57"/>
      <c r="D5654" s="57"/>
      <c r="E5654" s="56"/>
      <c r="F5654" s="57"/>
      <c r="G5654" s="57"/>
      <c r="H5654" s="56"/>
      <c r="I5654" s="56"/>
      <c r="J5654" s="58"/>
      <c r="K5654" s="58"/>
      <c r="L5654" s="13" t="str">
        <f t="shared" si="880"/>
        <v/>
      </c>
      <c r="M5654" s="13" t="str">
        <f t="shared" si="881"/>
        <v/>
      </c>
      <c r="Q5654" t="str">
        <f t="shared" si="882"/>
        <v/>
      </c>
      <c r="R5654" t="str">
        <f t="shared" si="883"/>
        <v/>
      </c>
      <c r="S5654" t="str">
        <f t="shared" si="884"/>
        <v/>
      </c>
      <c r="T5654" t="str">
        <f t="shared" si="885"/>
        <v/>
      </c>
      <c r="U5654" t="str">
        <f t="shared" si="886"/>
        <v/>
      </c>
      <c r="V5654" t="str">
        <f t="shared" si="887"/>
        <v/>
      </c>
      <c r="W5654" t="str">
        <f t="shared" si="888"/>
        <v/>
      </c>
      <c r="X5654">
        <f>IF($T5654="",N($X5653),IF(MATCH($T5654,$T$6:$T$10005,0)=ROW()-5,N($X5653)+1,N($X5653)))</f>
        <v>0</v>
      </c>
      <c r="Z5654" t="str">
        <f t="shared" si="889"/>
        <v/>
      </c>
      <c r="AA5654">
        <f>IF($V5654="",N($AA5653),IF(MATCH($V5654,$V$6:$V$10005,0)=ROW()-5,N($AA5653)+1,N($AA5653)))</f>
        <v>0</v>
      </c>
    </row>
    <row r="5655" spans="1:27" ht="21" customHeight="1" x14ac:dyDescent="0.95">
      <c r="A5655" s="56"/>
      <c r="B5655" s="57"/>
      <c r="C5655" s="57"/>
      <c r="D5655" s="57"/>
      <c r="E5655" s="56"/>
      <c r="F5655" s="57"/>
      <c r="G5655" s="57"/>
      <c r="H5655" s="56"/>
      <c r="I5655" s="56"/>
      <c r="J5655" s="58"/>
      <c r="K5655" s="58"/>
      <c r="L5655" s="13" t="str">
        <f t="shared" si="880"/>
        <v/>
      </c>
      <c r="M5655" s="13" t="str">
        <f t="shared" si="881"/>
        <v/>
      </c>
      <c r="Q5655" t="str">
        <f t="shared" si="882"/>
        <v/>
      </c>
      <c r="R5655" t="str">
        <f t="shared" si="883"/>
        <v/>
      </c>
      <c r="S5655" t="str">
        <f t="shared" si="884"/>
        <v/>
      </c>
      <c r="T5655" t="str">
        <f t="shared" si="885"/>
        <v/>
      </c>
      <c r="U5655" t="str">
        <f t="shared" si="886"/>
        <v/>
      </c>
      <c r="V5655" t="str">
        <f t="shared" si="887"/>
        <v/>
      </c>
      <c r="W5655" t="str">
        <f t="shared" si="888"/>
        <v/>
      </c>
      <c r="X5655">
        <f>IF($T5655="",N($X5654),IF(MATCH($T5655,$T$6:$T$10005,0)=ROW()-5,N($X5654)+1,N($X5654)))</f>
        <v>0</v>
      </c>
      <c r="Z5655" t="str">
        <f t="shared" si="889"/>
        <v/>
      </c>
      <c r="AA5655">
        <f>IF($V5655="",N($AA5654),IF(MATCH($V5655,$V$6:$V$10005,0)=ROW()-5,N($AA5654)+1,N($AA5654)))</f>
        <v>0</v>
      </c>
    </row>
    <row r="5656" spans="1:27" ht="21" customHeight="1" x14ac:dyDescent="0.95">
      <c r="A5656" s="56"/>
      <c r="B5656" s="57"/>
      <c r="C5656" s="57"/>
      <c r="D5656" s="57"/>
      <c r="E5656" s="56"/>
      <c r="F5656" s="57"/>
      <c r="G5656" s="57"/>
      <c r="H5656" s="56"/>
      <c r="I5656" s="56"/>
      <c r="J5656" s="58"/>
      <c r="K5656" s="58"/>
      <c r="L5656" s="13" t="str">
        <f t="shared" si="880"/>
        <v/>
      </c>
      <c r="M5656" s="13" t="str">
        <f t="shared" si="881"/>
        <v/>
      </c>
      <c r="Q5656" t="str">
        <f t="shared" si="882"/>
        <v/>
      </c>
      <c r="R5656" t="str">
        <f t="shared" si="883"/>
        <v/>
      </c>
      <c r="S5656" t="str">
        <f t="shared" si="884"/>
        <v/>
      </c>
      <c r="T5656" t="str">
        <f t="shared" si="885"/>
        <v/>
      </c>
      <c r="U5656" t="str">
        <f t="shared" si="886"/>
        <v/>
      </c>
      <c r="V5656" t="str">
        <f t="shared" si="887"/>
        <v/>
      </c>
      <c r="W5656" t="str">
        <f t="shared" si="888"/>
        <v/>
      </c>
      <c r="X5656">
        <f>IF($T5656="",N($X5655),IF(MATCH($T5656,$T$6:$T$10005,0)=ROW()-5,N($X5655)+1,N($X5655)))</f>
        <v>0</v>
      </c>
      <c r="Z5656" t="str">
        <f t="shared" si="889"/>
        <v/>
      </c>
      <c r="AA5656">
        <f>IF($V5656="",N($AA5655),IF(MATCH($V5656,$V$6:$V$10005,0)=ROW()-5,N($AA5655)+1,N($AA5655)))</f>
        <v>0</v>
      </c>
    </row>
    <row r="5657" spans="1:27" ht="21" customHeight="1" x14ac:dyDescent="0.95">
      <c r="A5657" s="56"/>
      <c r="B5657" s="57"/>
      <c r="C5657" s="57"/>
      <c r="D5657" s="57"/>
      <c r="E5657" s="56"/>
      <c r="F5657" s="57"/>
      <c r="G5657" s="57"/>
      <c r="H5657" s="56"/>
      <c r="I5657" s="56"/>
      <c r="J5657" s="58"/>
      <c r="K5657" s="58"/>
      <c r="L5657" s="13" t="str">
        <f t="shared" si="880"/>
        <v/>
      </c>
      <c r="M5657" s="13" t="str">
        <f t="shared" si="881"/>
        <v/>
      </c>
      <c r="Q5657" t="str">
        <f t="shared" si="882"/>
        <v/>
      </c>
      <c r="R5657" t="str">
        <f t="shared" si="883"/>
        <v/>
      </c>
      <c r="S5657" t="str">
        <f t="shared" si="884"/>
        <v/>
      </c>
      <c r="T5657" t="str">
        <f t="shared" si="885"/>
        <v/>
      </c>
      <c r="U5657" t="str">
        <f t="shared" si="886"/>
        <v/>
      </c>
      <c r="V5657" t="str">
        <f t="shared" si="887"/>
        <v/>
      </c>
      <c r="W5657" t="str">
        <f t="shared" si="888"/>
        <v/>
      </c>
      <c r="X5657">
        <f>IF($T5657="",N($X5656),IF(MATCH($T5657,$T$6:$T$10005,0)=ROW()-5,N($X5656)+1,N($X5656)))</f>
        <v>0</v>
      </c>
      <c r="Z5657" t="str">
        <f t="shared" si="889"/>
        <v/>
      </c>
      <c r="AA5657">
        <f>IF($V5657="",N($AA5656),IF(MATCH($V5657,$V$6:$V$10005,0)=ROW()-5,N($AA5656)+1,N($AA5656)))</f>
        <v>0</v>
      </c>
    </row>
    <row r="5658" spans="1:27" ht="21" customHeight="1" x14ac:dyDescent="0.95">
      <c r="A5658" s="56"/>
      <c r="B5658" s="57"/>
      <c r="C5658" s="57"/>
      <c r="D5658" s="57"/>
      <c r="E5658" s="56"/>
      <c r="F5658" s="57"/>
      <c r="G5658" s="57"/>
      <c r="H5658" s="56"/>
      <c r="I5658" s="56"/>
      <c r="J5658" s="58"/>
      <c r="K5658" s="58"/>
      <c r="L5658" s="13" t="str">
        <f t="shared" si="880"/>
        <v/>
      </c>
      <c r="M5658" s="13" t="str">
        <f t="shared" si="881"/>
        <v/>
      </c>
      <c r="Q5658" t="str">
        <f t="shared" si="882"/>
        <v/>
      </c>
      <c r="R5658" t="str">
        <f t="shared" si="883"/>
        <v/>
      </c>
      <c r="S5658" t="str">
        <f t="shared" si="884"/>
        <v/>
      </c>
      <c r="T5658" t="str">
        <f t="shared" si="885"/>
        <v/>
      </c>
      <c r="U5658" t="str">
        <f t="shared" si="886"/>
        <v/>
      </c>
      <c r="V5658" t="str">
        <f t="shared" si="887"/>
        <v/>
      </c>
      <c r="W5658" t="str">
        <f t="shared" si="888"/>
        <v/>
      </c>
      <c r="X5658">
        <f>IF($T5658="",N($X5657),IF(MATCH($T5658,$T$6:$T$10005,0)=ROW()-5,N($X5657)+1,N($X5657)))</f>
        <v>0</v>
      </c>
      <c r="Z5658" t="str">
        <f t="shared" si="889"/>
        <v/>
      </c>
      <c r="AA5658">
        <f>IF($V5658="",N($AA5657),IF(MATCH($V5658,$V$6:$V$10005,0)=ROW()-5,N($AA5657)+1,N($AA5657)))</f>
        <v>0</v>
      </c>
    </row>
    <row r="5659" spans="1:27" ht="21" customHeight="1" x14ac:dyDescent="0.95">
      <c r="A5659" s="56"/>
      <c r="B5659" s="57"/>
      <c r="C5659" s="57"/>
      <c r="D5659" s="57"/>
      <c r="E5659" s="56"/>
      <c r="F5659" s="57"/>
      <c r="G5659" s="57"/>
      <c r="H5659" s="56"/>
      <c r="I5659" s="56"/>
      <c r="J5659" s="58"/>
      <c r="K5659" s="58"/>
      <c r="L5659" s="13" t="str">
        <f t="shared" si="880"/>
        <v/>
      </c>
      <c r="M5659" s="13" t="str">
        <f t="shared" si="881"/>
        <v/>
      </c>
      <c r="Q5659" t="str">
        <f t="shared" si="882"/>
        <v/>
      </c>
      <c r="R5659" t="str">
        <f t="shared" si="883"/>
        <v/>
      </c>
      <c r="S5659" t="str">
        <f t="shared" si="884"/>
        <v/>
      </c>
      <c r="T5659" t="str">
        <f t="shared" si="885"/>
        <v/>
      </c>
      <c r="U5659" t="str">
        <f t="shared" si="886"/>
        <v/>
      </c>
      <c r="V5659" t="str">
        <f t="shared" si="887"/>
        <v/>
      </c>
      <c r="W5659" t="str">
        <f t="shared" si="888"/>
        <v/>
      </c>
      <c r="X5659">
        <f>IF($T5659="",N($X5658),IF(MATCH($T5659,$T$6:$T$10005,0)=ROW()-5,N($X5658)+1,N($X5658)))</f>
        <v>0</v>
      </c>
      <c r="Z5659" t="str">
        <f t="shared" si="889"/>
        <v/>
      </c>
      <c r="AA5659">
        <f>IF($V5659="",N($AA5658),IF(MATCH($V5659,$V$6:$V$10005,0)=ROW()-5,N($AA5658)+1,N($AA5658)))</f>
        <v>0</v>
      </c>
    </row>
    <row r="5660" spans="1:27" ht="21" customHeight="1" x14ac:dyDescent="0.95">
      <c r="A5660" s="56"/>
      <c r="B5660" s="57"/>
      <c r="C5660" s="57"/>
      <c r="D5660" s="57"/>
      <c r="E5660" s="56"/>
      <c r="F5660" s="57"/>
      <c r="G5660" s="57"/>
      <c r="H5660" s="56"/>
      <c r="I5660" s="56"/>
      <c r="J5660" s="58"/>
      <c r="K5660" s="58"/>
      <c r="L5660" s="13" t="str">
        <f t="shared" si="880"/>
        <v/>
      </c>
      <c r="M5660" s="13" t="str">
        <f t="shared" si="881"/>
        <v/>
      </c>
      <c r="Q5660" t="str">
        <f t="shared" si="882"/>
        <v/>
      </c>
      <c r="R5660" t="str">
        <f t="shared" si="883"/>
        <v/>
      </c>
      <c r="S5660" t="str">
        <f t="shared" si="884"/>
        <v/>
      </c>
      <c r="T5660" t="str">
        <f t="shared" si="885"/>
        <v/>
      </c>
      <c r="U5660" t="str">
        <f t="shared" si="886"/>
        <v/>
      </c>
      <c r="V5660" t="str">
        <f t="shared" si="887"/>
        <v/>
      </c>
      <c r="W5660" t="str">
        <f t="shared" si="888"/>
        <v/>
      </c>
      <c r="X5660">
        <f>IF($T5660="",N($X5659),IF(MATCH($T5660,$T$6:$T$10005,0)=ROW()-5,N($X5659)+1,N($X5659)))</f>
        <v>0</v>
      </c>
      <c r="Z5660" t="str">
        <f t="shared" si="889"/>
        <v/>
      </c>
      <c r="AA5660">
        <f>IF($V5660="",N($AA5659),IF(MATCH($V5660,$V$6:$V$10005,0)=ROW()-5,N($AA5659)+1,N($AA5659)))</f>
        <v>0</v>
      </c>
    </row>
    <row r="5661" spans="1:27" ht="21" customHeight="1" x14ac:dyDescent="0.95">
      <c r="A5661" s="56"/>
      <c r="B5661" s="57"/>
      <c r="C5661" s="57"/>
      <c r="D5661" s="57"/>
      <c r="E5661" s="56"/>
      <c r="F5661" s="57"/>
      <c r="G5661" s="57"/>
      <c r="H5661" s="56"/>
      <c r="I5661" s="56"/>
      <c r="J5661" s="58"/>
      <c r="K5661" s="58"/>
      <c r="L5661" s="13" t="str">
        <f t="shared" si="880"/>
        <v/>
      </c>
      <c r="M5661" s="13" t="str">
        <f t="shared" si="881"/>
        <v/>
      </c>
      <c r="Q5661" t="str">
        <f t="shared" si="882"/>
        <v/>
      </c>
      <c r="R5661" t="str">
        <f t="shared" si="883"/>
        <v/>
      </c>
      <c r="S5661" t="str">
        <f t="shared" si="884"/>
        <v/>
      </c>
      <c r="T5661" t="str">
        <f t="shared" si="885"/>
        <v/>
      </c>
      <c r="U5661" t="str">
        <f t="shared" si="886"/>
        <v/>
      </c>
      <c r="V5661" t="str">
        <f t="shared" si="887"/>
        <v/>
      </c>
      <c r="W5661" t="str">
        <f t="shared" si="888"/>
        <v/>
      </c>
      <c r="X5661">
        <f>IF($T5661="",N($X5660),IF(MATCH($T5661,$T$6:$T$10005,0)=ROW()-5,N($X5660)+1,N($X5660)))</f>
        <v>0</v>
      </c>
      <c r="Z5661" t="str">
        <f t="shared" si="889"/>
        <v/>
      </c>
      <c r="AA5661">
        <f>IF($V5661="",N($AA5660),IF(MATCH($V5661,$V$6:$V$10005,0)=ROW()-5,N($AA5660)+1,N($AA5660)))</f>
        <v>0</v>
      </c>
    </row>
    <row r="5662" spans="1:27" ht="21" customHeight="1" x14ac:dyDescent="0.95">
      <c r="A5662" s="56"/>
      <c r="B5662" s="57"/>
      <c r="C5662" s="57"/>
      <c r="D5662" s="57"/>
      <c r="E5662" s="56"/>
      <c r="F5662" s="57"/>
      <c r="G5662" s="57"/>
      <c r="H5662" s="56"/>
      <c r="I5662" s="56"/>
      <c r="J5662" s="58"/>
      <c r="K5662" s="58"/>
      <c r="L5662" s="13" t="str">
        <f t="shared" si="880"/>
        <v/>
      </c>
      <c r="M5662" s="13" t="str">
        <f t="shared" si="881"/>
        <v/>
      </c>
      <c r="Q5662" t="str">
        <f t="shared" si="882"/>
        <v/>
      </c>
      <c r="R5662" t="str">
        <f t="shared" si="883"/>
        <v/>
      </c>
      <c r="S5662" t="str">
        <f t="shared" si="884"/>
        <v/>
      </c>
      <c r="T5662" t="str">
        <f t="shared" si="885"/>
        <v/>
      </c>
      <c r="U5662" t="str">
        <f t="shared" si="886"/>
        <v/>
      </c>
      <c r="V5662" t="str">
        <f t="shared" si="887"/>
        <v/>
      </c>
      <c r="W5662" t="str">
        <f t="shared" si="888"/>
        <v/>
      </c>
      <c r="X5662">
        <f>IF($T5662="",N($X5661),IF(MATCH($T5662,$T$6:$T$10005,0)=ROW()-5,N($X5661)+1,N($X5661)))</f>
        <v>0</v>
      </c>
      <c r="Z5662" t="str">
        <f t="shared" si="889"/>
        <v/>
      </c>
      <c r="AA5662">
        <f>IF($V5662="",N($AA5661),IF(MATCH($V5662,$V$6:$V$10005,0)=ROW()-5,N($AA5661)+1,N($AA5661)))</f>
        <v>0</v>
      </c>
    </row>
    <row r="5663" spans="1:27" ht="21" customHeight="1" x14ac:dyDescent="0.95">
      <c r="A5663" s="56"/>
      <c r="B5663" s="57"/>
      <c r="C5663" s="57"/>
      <c r="D5663" s="57"/>
      <c r="E5663" s="56"/>
      <c r="F5663" s="57"/>
      <c r="G5663" s="57"/>
      <c r="H5663" s="56"/>
      <c r="I5663" s="56"/>
      <c r="J5663" s="58"/>
      <c r="K5663" s="58"/>
      <c r="L5663" s="13" t="str">
        <f t="shared" si="880"/>
        <v/>
      </c>
      <c r="M5663" s="13" t="str">
        <f t="shared" si="881"/>
        <v/>
      </c>
      <c r="Q5663" t="str">
        <f t="shared" si="882"/>
        <v/>
      </c>
      <c r="R5663" t="str">
        <f t="shared" si="883"/>
        <v/>
      </c>
      <c r="S5663" t="str">
        <f t="shared" si="884"/>
        <v/>
      </c>
      <c r="T5663" t="str">
        <f t="shared" si="885"/>
        <v/>
      </c>
      <c r="U5663" t="str">
        <f t="shared" si="886"/>
        <v/>
      </c>
      <c r="V5663" t="str">
        <f t="shared" si="887"/>
        <v/>
      </c>
      <c r="W5663" t="str">
        <f t="shared" si="888"/>
        <v/>
      </c>
      <c r="X5663">
        <f>IF($T5663="",N($X5662),IF(MATCH($T5663,$T$6:$T$10005,0)=ROW()-5,N($X5662)+1,N($X5662)))</f>
        <v>0</v>
      </c>
      <c r="Z5663" t="str">
        <f t="shared" si="889"/>
        <v/>
      </c>
      <c r="AA5663">
        <f>IF($V5663="",N($AA5662),IF(MATCH($V5663,$V$6:$V$10005,0)=ROW()-5,N($AA5662)+1,N($AA5662)))</f>
        <v>0</v>
      </c>
    </row>
    <row r="5664" spans="1:27" ht="21" customHeight="1" x14ac:dyDescent="0.95">
      <c r="A5664" s="56"/>
      <c r="B5664" s="57"/>
      <c r="C5664" s="57"/>
      <c r="D5664" s="57"/>
      <c r="E5664" s="56"/>
      <c r="F5664" s="57"/>
      <c r="G5664" s="57"/>
      <c r="H5664" s="56"/>
      <c r="I5664" s="56"/>
      <c r="J5664" s="58"/>
      <c r="K5664" s="58"/>
      <c r="L5664" s="13" t="str">
        <f t="shared" si="880"/>
        <v/>
      </c>
      <c r="M5664" s="13" t="str">
        <f t="shared" si="881"/>
        <v/>
      </c>
      <c r="Q5664" t="str">
        <f t="shared" si="882"/>
        <v/>
      </c>
      <c r="R5664" t="str">
        <f t="shared" si="883"/>
        <v/>
      </c>
      <c r="S5664" t="str">
        <f t="shared" si="884"/>
        <v/>
      </c>
      <c r="T5664" t="str">
        <f t="shared" si="885"/>
        <v/>
      </c>
      <c r="U5664" t="str">
        <f t="shared" si="886"/>
        <v/>
      </c>
      <c r="V5664" t="str">
        <f t="shared" si="887"/>
        <v/>
      </c>
      <c r="W5664" t="str">
        <f t="shared" si="888"/>
        <v/>
      </c>
      <c r="X5664">
        <f>IF($T5664="",N($X5663),IF(MATCH($T5664,$T$6:$T$10005,0)=ROW()-5,N($X5663)+1,N($X5663)))</f>
        <v>0</v>
      </c>
      <c r="Z5664" t="str">
        <f t="shared" si="889"/>
        <v/>
      </c>
      <c r="AA5664">
        <f>IF($V5664="",N($AA5663),IF(MATCH($V5664,$V$6:$V$10005,0)=ROW()-5,N($AA5663)+1,N($AA5663)))</f>
        <v>0</v>
      </c>
    </row>
    <row r="5665" spans="1:27" ht="21" customHeight="1" x14ac:dyDescent="0.95">
      <c r="A5665" s="56"/>
      <c r="B5665" s="57"/>
      <c r="C5665" s="57"/>
      <c r="D5665" s="57"/>
      <c r="E5665" s="56"/>
      <c r="F5665" s="57"/>
      <c r="G5665" s="57"/>
      <c r="H5665" s="56"/>
      <c r="I5665" s="56"/>
      <c r="J5665" s="58"/>
      <c r="K5665" s="58"/>
      <c r="L5665" s="13" t="str">
        <f t="shared" si="880"/>
        <v/>
      </c>
      <c r="M5665" s="13" t="str">
        <f t="shared" si="881"/>
        <v/>
      </c>
      <c r="Q5665" t="str">
        <f t="shared" si="882"/>
        <v/>
      </c>
      <c r="R5665" t="str">
        <f t="shared" si="883"/>
        <v/>
      </c>
      <c r="S5665" t="str">
        <f t="shared" si="884"/>
        <v/>
      </c>
      <c r="T5665" t="str">
        <f t="shared" si="885"/>
        <v/>
      </c>
      <c r="U5665" t="str">
        <f t="shared" si="886"/>
        <v/>
      </c>
      <c r="V5665" t="str">
        <f t="shared" si="887"/>
        <v/>
      </c>
      <c r="W5665" t="str">
        <f t="shared" si="888"/>
        <v/>
      </c>
      <c r="X5665">
        <f>IF($T5665="",N($X5664),IF(MATCH($T5665,$T$6:$T$10005,0)=ROW()-5,N($X5664)+1,N($X5664)))</f>
        <v>0</v>
      </c>
      <c r="Z5665" t="str">
        <f t="shared" si="889"/>
        <v/>
      </c>
      <c r="AA5665">
        <f>IF($V5665="",N($AA5664),IF(MATCH($V5665,$V$6:$V$10005,0)=ROW()-5,N($AA5664)+1,N($AA5664)))</f>
        <v>0</v>
      </c>
    </row>
    <row r="5666" spans="1:27" ht="21" customHeight="1" x14ac:dyDescent="0.95">
      <c r="A5666" s="56"/>
      <c r="B5666" s="57"/>
      <c r="C5666" s="57"/>
      <c r="D5666" s="57"/>
      <c r="E5666" s="56"/>
      <c r="F5666" s="57"/>
      <c r="G5666" s="57"/>
      <c r="H5666" s="56"/>
      <c r="I5666" s="56"/>
      <c r="J5666" s="58"/>
      <c r="K5666" s="58"/>
      <c r="L5666" s="13" t="str">
        <f t="shared" si="880"/>
        <v/>
      </c>
      <c r="M5666" s="13" t="str">
        <f t="shared" si="881"/>
        <v/>
      </c>
      <c r="Q5666" t="str">
        <f t="shared" si="882"/>
        <v/>
      </c>
      <c r="R5666" t="str">
        <f t="shared" si="883"/>
        <v/>
      </c>
      <c r="S5666" t="str">
        <f t="shared" si="884"/>
        <v/>
      </c>
      <c r="T5666" t="str">
        <f t="shared" si="885"/>
        <v/>
      </c>
      <c r="U5666" t="str">
        <f t="shared" si="886"/>
        <v/>
      </c>
      <c r="V5666" t="str">
        <f t="shared" si="887"/>
        <v/>
      </c>
      <c r="W5666" t="str">
        <f t="shared" si="888"/>
        <v/>
      </c>
      <c r="X5666">
        <f>IF($T5666="",N($X5665),IF(MATCH($T5666,$T$6:$T$10005,0)=ROW()-5,N($X5665)+1,N($X5665)))</f>
        <v>0</v>
      </c>
      <c r="Z5666" t="str">
        <f t="shared" si="889"/>
        <v/>
      </c>
      <c r="AA5666">
        <f>IF($V5666="",N($AA5665),IF(MATCH($V5666,$V$6:$V$10005,0)=ROW()-5,N($AA5665)+1,N($AA5665)))</f>
        <v>0</v>
      </c>
    </row>
    <row r="5667" spans="1:27" ht="21" customHeight="1" x14ac:dyDescent="0.95">
      <c r="A5667" s="56"/>
      <c r="B5667" s="57"/>
      <c r="C5667" s="57"/>
      <c r="D5667" s="57"/>
      <c r="E5667" s="56"/>
      <c r="F5667" s="57"/>
      <c r="G5667" s="57"/>
      <c r="H5667" s="56"/>
      <c r="I5667" s="56"/>
      <c r="J5667" s="58"/>
      <c r="K5667" s="58"/>
      <c r="L5667" s="13" t="str">
        <f t="shared" si="880"/>
        <v/>
      </c>
      <c r="M5667" s="13" t="str">
        <f t="shared" si="881"/>
        <v/>
      </c>
      <c r="Q5667" t="str">
        <f t="shared" si="882"/>
        <v/>
      </c>
      <c r="R5667" t="str">
        <f t="shared" si="883"/>
        <v/>
      </c>
      <c r="S5667" t="str">
        <f t="shared" si="884"/>
        <v/>
      </c>
      <c r="T5667" t="str">
        <f t="shared" si="885"/>
        <v/>
      </c>
      <c r="U5667" t="str">
        <f t="shared" si="886"/>
        <v/>
      </c>
      <c r="V5667" t="str">
        <f t="shared" si="887"/>
        <v/>
      </c>
      <c r="W5667" t="str">
        <f t="shared" si="888"/>
        <v/>
      </c>
      <c r="X5667">
        <f>IF($T5667="",N($X5666),IF(MATCH($T5667,$T$6:$T$10005,0)=ROW()-5,N($X5666)+1,N($X5666)))</f>
        <v>0</v>
      </c>
      <c r="Z5667" t="str">
        <f t="shared" si="889"/>
        <v/>
      </c>
      <c r="AA5667">
        <f>IF($V5667="",N($AA5666),IF(MATCH($V5667,$V$6:$V$10005,0)=ROW()-5,N($AA5666)+1,N($AA5666)))</f>
        <v>0</v>
      </c>
    </row>
    <row r="5668" spans="1:27" ht="21" customHeight="1" x14ac:dyDescent="0.95">
      <c r="A5668" s="56"/>
      <c r="B5668" s="57"/>
      <c r="C5668" s="57"/>
      <c r="D5668" s="57"/>
      <c r="E5668" s="56"/>
      <c r="F5668" s="57"/>
      <c r="G5668" s="57"/>
      <c r="H5668" s="56"/>
      <c r="I5668" s="56"/>
      <c r="J5668" s="58"/>
      <c r="K5668" s="58"/>
      <c r="L5668" s="13" t="str">
        <f t="shared" si="880"/>
        <v/>
      </c>
      <c r="M5668" s="13" t="str">
        <f t="shared" si="881"/>
        <v/>
      </c>
      <c r="Q5668" t="str">
        <f t="shared" si="882"/>
        <v/>
      </c>
      <c r="R5668" t="str">
        <f t="shared" si="883"/>
        <v/>
      </c>
      <c r="S5668" t="str">
        <f t="shared" si="884"/>
        <v/>
      </c>
      <c r="T5668" t="str">
        <f t="shared" si="885"/>
        <v/>
      </c>
      <c r="U5668" t="str">
        <f t="shared" si="886"/>
        <v/>
      </c>
      <c r="V5668" t="str">
        <f t="shared" si="887"/>
        <v/>
      </c>
      <c r="W5668" t="str">
        <f t="shared" si="888"/>
        <v/>
      </c>
      <c r="X5668">
        <f>IF($T5668="",N($X5667),IF(MATCH($T5668,$T$6:$T$10005,0)=ROW()-5,N($X5667)+1,N($X5667)))</f>
        <v>0</v>
      </c>
      <c r="Z5668" t="str">
        <f t="shared" si="889"/>
        <v/>
      </c>
      <c r="AA5668">
        <f>IF($V5668="",N($AA5667),IF(MATCH($V5668,$V$6:$V$10005,0)=ROW()-5,N($AA5667)+1,N($AA5667)))</f>
        <v>0</v>
      </c>
    </row>
    <row r="5669" spans="1:27" ht="21" customHeight="1" x14ac:dyDescent="0.95">
      <c r="A5669" s="56"/>
      <c r="B5669" s="57"/>
      <c r="C5669" s="57"/>
      <c r="D5669" s="57"/>
      <c r="E5669" s="56"/>
      <c r="F5669" s="57"/>
      <c r="G5669" s="57"/>
      <c r="H5669" s="56"/>
      <c r="I5669" s="56"/>
      <c r="J5669" s="58"/>
      <c r="K5669" s="58"/>
      <c r="L5669" s="13" t="str">
        <f t="shared" si="880"/>
        <v/>
      </c>
      <c r="M5669" s="13" t="str">
        <f t="shared" si="881"/>
        <v/>
      </c>
      <c r="Q5669" t="str">
        <f t="shared" si="882"/>
        <v/>
      </c>
      <c r="R5669" t="str">
        <f t="shared" si="883"/>
        <v/>
      </c>
      <c r="S5669" t="str">
        <f t="shared" si="884"/>
        <v/>
      </c>
      <c r="T5669" t="str">
        <f t="shared" si="885"/>
        <v/>
      </c>
      <c r="U5669" t="str">
        <f t="shared" si="886"/>
        <v/>
      </c>
      <c r="V5669" t="str">
        <f t="shared" si="887"/>
        <v/>
      </c>
      <c r="W5669" t="str">
        <f t="shared" si="888"/>
        <v/>
      </c>
      <c r="X5669">
        <f>IF($T5669="",N($X5668),IF(MATCH($T5669,$T$6:$T$10005,0)=ROW()-5,N($X5668)+1,N($X5668)))</f>
        <v>0</v>
      </c>
      <c r="Z5669" t="str">
        <f t="shared" si="889"/>
        <v/>
      </c>
      <c r="AA5669">
        <f>IF($V5669="",N($AA5668),IF(MATCH($V5669,$V$6:$V$10005,0)=ROW()-5,N($AA5668)+1,N($AA5668)))</f>
        <v>0</v>
      </c>
    </row>
    <row r="5670" spans="1:27" ht="21" customHeight="1" x14ac:dyDescent="0.95">
      <c r="A5670" s="56"/>
      <c r="B5670" s="57"/>
      <c r="C5670" s="57"/>
      <c r="D5670" s="57"/>
      <c r="E5670" s="56"/>
      <c r="F5670" s="57"/>
      <c r="G5670" s="57"/>
      <c r="H5670" s="56"/>
      <c r="I5670" s="56"/>
      <c r="J5670" s="58"/>
      <c r="K5670" s="58"/>
      <c r="L5670" s="13" t="str">
        <f t="shared" si="880"/>
        <v/>
      </c>
      <c r="M5670" s="13" t="str">
        <f t="shared" si="881"/>
        <v/>
      </c>
      <c r="Q5670" t="str">
        <f t="shared" si="882"/>
        <v/>
      </c>
      <c r="R5670" t="str">
        <f t="shared" si="883"/>
        <v/>
      </c>
      <c r="S5670" t="str">
        <f t="shared" si="884"/>
        <v/>
      </c>
      <c r="T5670" t="str">
        <f t="shared" si="885"/>
        <v/>
      </c>
      <c r="U5670" t="str">
        <f t="shared" si="886"/>
        <v/>
      </c>
      <c r="V5670" t="str">
        <f t="shared" si="887"/>
        <v/>
      </c>
      <c r="W5670" t="str">
        <f t="shared" si="888"/>
        <v/>
      </c>
      <c r="X5670">
        <f>IF($T5670="",N($X5669),IF(MATCH($T5670,$T$6:$T$10005,0)=ROW()-5,N($X5669)+1,N($X5669)))</f>
        <v>0</v>
      </c>
      <c r="Z5670" t="str">
        <f t="shared" si="889"/>
        <v/>
      </c>
      <c r="AA5670">
        <f>IF($V5670="",N($AA5669),IF(MATCH($V5670,$V$6:$V$10005,0)=ROW()-5,N($AA5669)+1,N($AA5669)))</f>
        <v>0</v>
      </c>
    </row>
    <row r="5671" spans="1:27" ht="21" customHeight="1" x14ac:dyDescent="0.95">
      <c r="A5671" s="56"/>
      <c r="B5671" s="57"/>
      <c r="C5671" s="57"/>
      <c r="D5671" s="57"/>
      <c r="E5671" s="56"/>
      <c r="F5671" s="57"/>
      <c r="G5671" s="57"/>
      <c r="H5671" s="56"/>
      <c r="I5671" s="56"/>
      <c r="J5671" s="58"/>
      <c r="K5671" s="58"/>
      <c r="L5671" s="13" t="str">
        <f t="shared" si="880"/>
        <v/>
      </c>
      <c r="M5671" s="13" t="str">
        <f t="shared" si="881"/>
        <v/>
      </c>
      <c r="Q5671" t="str">
        <f t="shared" si="882"/>
        <v/>
      </c>
      <c r="R5671" t="str">
        <f t="shared" si="883"/>
        <v/>
      </c>
      <c r="S5671" t="str">
        <f t="shared" si="884"/>
        <v/>
      </c>
      <c r="T5671" t="str">
        <f t="shared" si="885"/>
        <v/>
      </c>
      <c r="U5671" t="str">
        <f t="shared" si="886"/>
        <v/>
      </c>
      <c r="V5671" t="str">
        <f t="shared" si="887"/>
        <v/>
      </c>
      <c r="W5671" t="str">
        <f t="shared" si="888"/>
        <v/>
      </c>
      <c r="X5671">
        <f>IF($T5671="",N($X5670),IF(MATCH($T5671,$T$6:$T$10005,0)=ROW()-5,N($X5670)+1,N($X5670)))</f>
        <v>0</v>
      </c>
      <c r="Z5671" t="str">
        <f t="shared" si="889"/>
        <v/>
      </c>
      <c r="AA5671">
        <f>IF($V5671="",N($AA5670),IF(MATCH($V5671,$V$6:$V$10005,0)=ROW()-5,N($AA5670)+1,N($AA5670)))</f>
        <v>0</v>
      </c>
    </row>
    <row r="5672" spans="1:27" ht="21" customHeight="1" x14ac:dyDescent="0.95">
      <c r="A5672" s="56"/>
      <c r="B5672" s="57"/>
      <c r="C5672" s="57"/>
      <c r="D5672" s="57"/>
      <c r="E5672" s="56"/>
      <c r="F5672" s="57"/>
      <c r="G5672" s="57"/>
      <c r="H5672" s="56"/>
      <c r="I5672" s="56"/>
      <c r="J5672" s="58"/>
      <c r="K5672" s="58"/>
      <c r="L5672" s="13" t="str">
        <f t="shared" si="880"/>
        <v/>
      </c>
      <c r="M5672" s="13" t="str">
        <f t="shared" si="881"/>
        <v/>
      </c>
      <c r="Q5672" t="str">
        <f t="shared" si="882"/>
        <v/>
      </c>
      <c r="R5672" t="str">
        <f t="shared" si="883"/>
        <v/>
      </c>
      <c r="S5672" t="str">
        <f t="shared" si="884"/>
        <v/>
      </c>
      <c r="T5672" t="str">
        <f t="shared" si="885"/>
        <v/>
      </c>
      <c r="U5672" t="str">
        <f t="shared" si="886"/>
        <v/>
      </c>
      <c r="V5672" t="str">
        <f t="shared" si="887"/>
        <v/>
      </c>
      <c r="W5672" t="str">
        <f t="shared" si="888"/>
        <v/>
      </c>
      <c r="X5672">
        <f>IF($T5672="",N($X5671),IF(MATCH($T5672,$T$6:$T$10005,0)=ROW()-5,N($X5671)+1,N($X5671)))</f>
        <v>0</v>
      </c>
      <c r="Z5672" t="str">
        <f t="shared" si="889"/>
        <v/>
      </c>
      <c r="AA5672">
        <f>IF($V5672="",N($AA5671),IF(MATCH($V5672,$V$6:$V$10005,0)=ROW()-5,N($AA5671)+1,N($AA5671)))</f>
        <v>0</v>
      </c>
    </row>
    <row r="5673" spans="1:27" ht="21" customHeight="1" x14ac:dyDescent="0.95">
      <c r="A5673" s="56"/>
      <c r="B5673" s="57"/>
      <c r="C5673" s="57"/>
      <c r="D5673" s="57"/>
      <c r="E5673" s="56"/>
      <c r="F5673" s="57"/>
      <c r="G5673" s="57"/>
      <c r="H5673" s="56"/>
      <c r="I5673" s="56"/>
      <c r="J5673" s="58"/>
      <c r="K5673" s="58"/>
      <c r="L5673" s="13" t="str">
        <f t="shared" si="880"/>
        <v/>
      </c>
      <c r="M5673" s="13" t="str">
        <f t="shared" si="881"/>
        <v/>
      </c>
      <c r="Q5673" t="str">
        <f t="shared" si="882"/>
        <v/>
      </c>
      <c r="R5673" t="str">
        <f t="shared" si="883"/>
        <v/>
      </c>
      <c r="S5673" t="str">
        <f t="shared" si="884"/>
        <v/>
      </c>
      <c r="T5673" t="str">
        <f t="shared" si="885"/>
        <v/>
      </c>
      <c r="U5673" t="str">
        <f t="shared" si="886"/>
        <v/>
      </c>
      <c r="V5673" t="str">
        <f t="shared" si="887"/>
        <v/>
      </c>
      <c r="W5673" t="str">
        <f t="shared" si="888"/>
        <v/>
      </c>
      <c r="X5673">
        <f>IF($T5673="",N($X5672),IF(MATCH($T5673,$T$6:$T$10005,0)=ROW()-5,N($X5672)+1,N($X5672)))</f>
        <v>0</v>
      </c>
      <c r="Z5673" t="str">
        <f t="shared" si="889"/>
        <v/>
      </c>
      <c r="AA5673">
        <f>IF($V5673="",N($AA5672),IF(MATCH($V5673,$V$6:$V$10005,0)=ROW()-5,N($AA5672)+1,N($AA5672)))</f>
        <v>0</v>
      </c>
    </row>
    <row r="5674" spans="1:27" ht="21" customHeight="1" x14ac:dyDescent="0.95">
      <c r="A5674" s="56"/>
      <c r="B5674" s="57"/>
      <c r="C5674" s="57"/>
      <c r="D5674" s="57"/>
      <c r="E5674" s="56"/>
      <c r="F5674" s="57"/>
      <c r="G5674" s="57"/>
      <c r="H5674" s="56"/>
      <c r="I5674" s="56"/>
      <c r="J5674" s="58"/>
      <c r="K5674" s="58"/>
      <c r="L5674" s="13" t="str">
        <f t="shared" si="880"/>
        <v/>
      </c>
      <c r="M5674" s="13" t="str">
        <f t="shared" si="881"/>
        <v/>
      </c>
      <c r="Q5674" t="str">
        <f t="shared" si="882"/>
        <v/>
      </c>
      <c r="R5674" t="str">
        <f t="shared" si="883"/>
        <v/>
      </c>
      <c r="S5674" t="str">
        <f t="shared" si="884"/>
        <v/>
      </c>
      <c r="T5674" t="str">
        <f t="shared" si="885"/>
        <v/>
      </c>
      <c r="U5674" t="str">
        <f t="shared" si="886"/>
        <v/>
      </c>
      <c r="V5674" t="str">
        <f t="shared" si="887"/>
        <v/>
      </c>
      <c r="W5674" t="str">
        <f t="shared" si="888"/>
        <v/>
      </c>
      <c r="X5674">
        <f>IF($T5674="",N($X5673),IF(MATCH($T5674,$T$6:$T$10005,0)=ROW()-5,N($X5673)+1,N($X5673)))</f>
        <v>0</v>
      </c>
      <c r="Z5674" t="str">
        <f t="shared" si="889"/>
        <v/>
      </c>
      <c r="AA5674">
        <f>IF($V5674="",N($AA5673),IF(MATCH($V5674,$V$6:$V$10005,0)=ROW()-5,N($AA5673)+1,N($AA5673)))</f>
        <v>0</v>
      </c>
    </row>
    <row r="5675" spans="1:27" ht="21" customHeight="1" x14ac:dyDescent="0.95">
      <c r="A5675" s="56"/>
      <c r="B5675" s="57"/>
      <c r="C5675" s="57"/>
      <c r="D5675" s="57"/>
      <c r="E5675" s="56"/>
      <c r="F5675" s="57"/>
      <c r="G5675" s="57"/>
      <c r="H5675" s="56"/>
      <c r="I5675" s="56"/>
      <c r="J5675" s="58"/>
      <c r="K5675" s="58"/>
      <c r="L5675" s="13" t="str">
        <f t="shared" si="880"/>
        <v/>
      </c>
      <c r="M5675" s="13" t="str">
        <f t="shared" si="881"/>
        <v/>
      </c>
      <c r="Q5675" t="str">
        <f t="shared" si="882"/>
        <v/>
      </c>
      <c r="R5675" t="str">
        <f t="shared" si="883"/>
        <v/>
      </c>
      <c r="S5675" t="str">
        <f t="shared" si="884"/>
        <v/>
      </c>
      <c r="T5675" t="str">
        <f t="shared" si="885"/>
        <v/>
      </c>
      <c r="U5675" t="str">
        <f t="shared" si="886"/>
        <v/>
      </c>
      <c r="V5675" t="str">
        <f t="shared" si="887"/>
        <v/>
      </c>
      <c r="W5675" t="str">
        <f t="shared" si="888"/>
        <v/>
      </c>
      <c r="X5675">
        <f>IF($T5675="",N($X5674),IF(MATCH($T5675,$T$6:$T$10005,0)=ROW()-5,N($X5674)+1,N($X5674)))</f>
        <v>0</v>
      </c>
      <c r="Z5675" t="str">
        <f t="shared" si="889"/>
        <v/>
      </c>
      <c r="AA5675">
        <f>IF($V5675="",N($AA5674),IF(MATCH($V5675,$V$6:$V$10005,0)=ROW()-5,N($AA5674)+1,N($AA5674)))</f>
        <v>0</v>
      </c>
    </row>
    <row r="5676" spans="1:27" ht="21" customHeight="1" x14ac:dyDescent="0.95">
      <c r="A5676" s="56"/>
      <c r="B5676" s="57"/>
      <c r="C5676" s="57"/>
      <c r="D5676" s="57"/>
      <c r="E5676" s="56"/>
      <c r="F5676" s="57"/>
      <c r="G5676" s="57"/>
      <c r="H5676" s="56"/>
      <c r="I5676" s="56"/>
      <c r="J5676" s="58"/>
      <c r="K5676" s="58"/>
      <c r="L5676" s="13" t="str">
        <f t="shared" si="880"/>
        <v/>
      </c>
      <c r="M5676" s="13" t="str">
        <f t="shared" si="881"/>
        <v/>
      </c>
      <c r="Q5676" t="str">
        <f t="shared" si="882"/>
        <v/>
      </c>
      <c r="R5676" t="str">
        <f t="shared" si="883"/>
        <v/>
      </c>
      <c r="S5676" t="str">
        <f t="shared" si="884"/>
        <v/>
      </c>
      <c r="T5676" t="str">
        <f t="shared" si="885"/>
        <v/>
      </c>
      <c r="U5676" t="str">
        <f t="shared" si="886"/>
        <v/>
      </c>
      <c r="V5676" t="str">
        <f t="shared" si="887"/>
        <v/>
      </c>
      <c r="W5676" t="str">
        <f t="shared" si="888"/>
        <v/>
      </c>
      <c r="X5676">
        <f>IF($T5676="",N($X5675),IF(MATCH($T5676,$T$6:$T$10005,0)=ROW()-5,N($X5675)+1,N($X5675)))</f>
        <v>0</v>
      </c>
      <c r="Z5676" t="str">
        <f t="shared" si="889"/>
        <v/>
      </c>
      <c r="AA5676">
        <f>IF($V5676="",N($AA5675),IF(MATCH($V5676,$V$6:$V$10005,0)=ROW()-5,N($AA5675)+1,N($AA5675)))</f>
        <v>0</v>
      </c>
    </row>
    <row r="5677" spans="1:27" ht="21" customHeight="1" x14ac:dyDescent="0.95">
      <c r="A5677" s="56"/>
      <c r="B5677" s="57"/>
      <c r="C5677" s="57"/>
      <c r="D5677" s="57"/>
      <c r="E5677" s="56"/>
      <c r="F5677" s="57"/>
      <c r="G5677" s="57"/>
      <c r="H5677" s="56"/>
      <c r="I5677" s="56"/>
      <c r="J5677" s="58"/>
      <c r="K5677" s="58"/>
      <c r="L5677" s="13" t="str">
        <f t="shared" si="880"/>
        <v/>
      </c>
      <c r="M5677" s="13" t="str">
        <f t="shared" si="881"/>
        <v/>
      </c>
      <c r="Q5677" t="str">
        <f t="shared" si="882"/>
        <v/>
      </c>
      <c r="R5677" t="str">
        <f t="shared" si="883"/>
        <v/>
      </c>
      <c r="S5677" t="str">
        <f t="shared" si="884"/>
        <v/>
      </c>
      <c r="T5677" t="str">
        <f t="shared" si="885"/>
        <v/>
      </c>
      <c r="U5677" t="str">
        <f t="shared" si="886"/>
        <v/>
      </c>
      <c r="V5677" t="str">
        <f t="shared" si="887"/>
        <v/>
      </c>
      <c r="W5677" t="str">
        <f t="shared" si="888"/>
        <v/>
      </c>
      <c r="X5677">
        <f>IF($T5677="",N($X5676),IF(MATCH($T5677,$T$6:$T$10005,0)=ROW()-5,N($X5676)+1,N($X5676)))</f>
        <v>0</v>
      </c>
      <c r="Z5677" t="str">
        <f t="shared" si="889"/>
        <v/>
      </c>
      <c r="AA5677">
        <f>IF($V5677="",N($AA5676),IF(MATCH($V5677,$V$6:$V$10005,0)=ROW()-5,N($AA5676)+1,N($AA5676)))</f>
        <v>0</v>
      </c>
    </row>
    <row r="5678" spans="1:27" ht="21" customHeight="1" x14ac:dyDescent="0.95">
      <c r="A5678" s="56"/>
      <c r="B5678" s="57"/>
      <c r="C5678" s="57"/>
      <c r="D5678" s="57"/>
      <c r="E5678" s="56"/>
      <c r="F5678" s="57"/>
      <c r="G5678" s="57"/>
      <c r="H5678" s="56"/>
      <c r="I5678" s="56"/>
      <c r="J5678" s="58"/>
      <c r="K5678" s="58"/>
      <c r="L5678" s="13" t="str">
        <f t="shared" si="880"/>
        <v/>
      </c>
      <c r="M5678" s="13" t="str">
        <f t="shared" si="881"/>
        <v/>
      </c>
      <c r="Q5678" t="str">
        <f t="shared" si="882"/>
        <v/>
      </c>
      <c r="R5678" t="str">
        <f t="shared" si="883"/>
        <v/>
      </c>
      <c r="S5678" t="str">
        <f t="shared" si="884"/>
        <v/>
      </c>
      <c r="T5678" t="str">
        <f t="shared" si="885"/>
        <v/>
      </c>
      <c r="U5678" t="str">
        <f t="shared" si="886"/>
        <v/>
      </c>
      <c r="V5678" t="str">
        <f t="shared" si="887"/>
        <v/>
      </c>
      <c r="W5678" t="str">
        <f t="shared" si="888"/>
        <v/>
      </c>
      <c r="X5678">
        <f>IF($T5678="",N($X5677),IF(MATCH($T5678,$T$6:$T$10005,0)=ROW()-5,N($X5677)+1,N($X5677)))</f>
        <v>0</v>
      </c>
      <c r="Z5678" t="str">
        <f t="shared" si="889"/>
        <v/>
      </c>
      <c r="AA5678">
        <f>IF($V5678="",N($AA5677),IF(MATCH($V5678,$V$6:$V$10005,0)=ROW()-5,N($AA5677)+1,N($AA5677)))</f>
        <v>0</v>
      </c>
    </row>
    <row r="5679" spans="1:27" ht="21" customHeight="1" x14ac:dyDescent="0.95">
      <c r="A5679" s="56"/>
      <c r="B5679" s="57"/>
      <c r="C5679" s="57"/>
      <c r="D5679" s="57"/>
      <c r="E5679" s="56"/>
      <c r="F5679" s="57"/>
      <c r="G5679" s="57"/>
      <c r="H5679" s="56"/>
      <c r="I5679" s="56"/>
      <c r="J5679" s="58"/>
      <c r="K5679" s="58"/>
      <c r="L5679" s="13" t="str">
        <f t="shared" si="880"/>
        <v/>
      </c>
      <c r="M5679" s="13" t="str">
        <f t="shared" si="881"/>
        <v/>
      </c>
      <c r="Q5679" t="str">
        <f t="shared" si="882"/>
        <v/>
      </c>
      <c r="R5679" t="str">
        <f t="shared" si="883"/>
        <v/>
      </c>
      <c r="S5679" t="str">
        <f t="shared" si="884"/>
        <v/>
      </c>
      <c r="T5679" t="str">
        <f t="shared" si="885"/>
        <v/>
      </c>
      <c r="U5679" t="str">
        <f t="shared" si="886"/>
        <v/>
      </c>
      <c r="V5679" t="str">
        <f t="shared" si="887"/>
        <v/>
      </c>
      <c r="W5679" t="str">
        <f t="shared" si="888"/>
        <v/>
      </c>
      <c r="X5679">
        <f>IF($T5679="",N($X5678),IF(MATCH($T5679,$T$6:$T$10005,0)=ROW()-5,N($X5678)+1,N($X5678)))</f>
        <v>0</v>
      </c>
      <c r="Z5679" t="str">
        <f t="shared" si="889"/>
        <v/>
      </c>
      <c r="AA5679">
        <f>IF($V5679="",N($AA5678),IF(MATCH($V5679,$V$6:$V$10005,0)=ROW()-5,N($AA5678)+1,N($AA5678)))</f>
        <v>0</v>
      </c>
    </row>
    <row r="5680" spans="1:27" ht="21" customHeight="1" x14ac:dyDescent="0.95">
      <c r="A5680" s="56"/>
      <c r="B5680" s="57"/>
      <c r="C5680" s="57"/>
      <c r="D5680" s="57"/>
      <c r="E5680" s="56"/>
      <c r="F5680" s="57"/>
      <c r="G5680" s="57"/>
      <c r="H5680" s="56"/>
      <c r="I5680" s="56"/>
      <c r="J5680" s="58"/>
      <c r="K5680" s="58"/>
      <c r="L5680" s="13" t="str">
        <f t="shared" si="880"/>
        <v/>
      </c>
      <c r="M5680" s="13" t="str">
        <f t="shared" si="881"/>
        <v/>
      </c>
      <c r="Q5680" t="str">
        <f t="shared" si="882"/>
        <v/>
      </c>
      <c r="R5680" t="str">
        <f t="shared" si="883"/>
        <v/>
      </c>
      <c r="S5680" t="str">
        <f t="shared" si="884"/>
        <v/>
      </c>
      <c r="T5680" t="str">
        <f t="shared" si="885"/>
        <v/>
      </c>
      <c r="U5680" t="str">
        <f t="shared" si="886"/>
        <v/>
      </c>
      <c r="V5680" t="str">
        <f t="shared" si="887"/>
        <v/>
      </c>
      <c r="W5680" t="str">
        <f t="shared" si="888"/>
        <v/>
      </c>
      <c r="X5680">
        <f>IF($T5680="",N($X5679),IF(MATCH($T5680,$T$6:$T$10005,0)=ROW()-5,N($X5679)+1,N($X5679)))</f>
        <v>0</v>
      </c>
      <c r="Z5680" t="str">
        <f t="shared" si="889"/>
        <v/>
      </c>
      <c r="AA5680">
        <f>IF($V5680="",N($AA5679),IF(MATCH($V5680,$V$6:$V$10005,0)=ROW()-5,N($AA5679)+1,N($AA5679)))</f>
        <v>0</v>
      </c>
    </row>
    <row r="5681" spans="1:27" ht="21" customHeight="1" x14ac:dyDescent="0.95">
      <c r="A5681" s="56"/>
      <c r="B5681" s="57"/>
      <c r="C5681" s="57"/>
      <c r="D5681" s="57"/>
      <c r="E5681" s="56"/>
      <c r="F5681" s="57"/>
      <c r="G5681" s="57"/>
      <c r="H5681" s="56"/>
      <c r="I5681" s="56"/>
      <c r="J5681" s="58"/>
      <c r="K5681" s="58"/>
      <c r="L5681" s="13" t="str">
        <f t="shared" si="880"/>
        <v/>
      </c>
      <c r="M5681" s="13" t="str">
        <f t="shared" si="881"/>
        <v/>
      </c>
      <c r="Q5681" t="str">
        <f t="shared" si="882"/>
        <v/>
      </c>
      <c r="R5681" t="str">
        <f t="shared" si="883"/>
        <v/>
      </c>
      <c r="S5681" t="str">
        <f t="shared" si="884"/>
        <v/>
      </c>
      <c r="T5681" t="str">
        <f t="shared" si="885"/>
        <v/>
      </c>
      <c r="U5681" t="str">
        <f t="shared" si="886"/>
        <v/>
      </c>
      <c r="V5681" t="str">
        <f t="shared" si="887"/>
        <v/>
      </c>
      <c r="W5681" t="str">
        <f t="shared" si="888"/>
        <v/>
      </c>
      <c r="X5681">
        <f>IF($T5681="",N($X5680),IF(MATCH($T5681,$T$6:$T$10005,0)=ROW()-5,N($X5680)+1,N($X5680)))</f>
        <v>0</v>
      </c>
      <c r="Z5681" t="str">
        <f t="shared" si="889"/>
        <v/>
      </c>
      <c r="AA5681">
        <f>IF($V5681="",N($AA5680),IF(MATCH($V5681,$V$6:$V$10005,0)=ROW()-5,N($AA5680)+1,N($AA5680)))</f>
        <v>0</v>
      </c>
    </row>
    <row r="5682" spans="1:27" ht="21" customHeight="1" x14ac:dyDescent="0.95">
      <c r="A5682" s="56"/>
      <c r="B5682" s="57"/>
      <c r="C5682" s="57"/>
      <c r="D5682" s="57"/>
      <c r="E5682" s="56"/>
      <c r="F5682" s="57"/>
      <c r="G5682" s="57"/>
      <c r="H5682" s="56"/>
      <c r="I5682" s="56"/>
      <c r="J5682" s="58"/>
      <c r="K5682" s="58"/>
      <c r="L5682" s="13" t="str">
        <f t="shared" si="880"/>
        <v/>
      </c>
      <c r="M5682" s="13" t="str">
        <f t="shared" si="881"/>
        <v/>
      </c>
      <c r="Q5682" t="str">
        <f t="shared" si="882"/>
        <v/>
      </c>
      <c r="R5682" t="str">
        <f t="shared" si="883"/>
        <v/>
      </c>
      <c r="S5682" t="str">
        <f t="shared" si="884"/>
        <v/>
      </c>
      <c r="T5682" t="str">
        <f t="shared" si="885"/>
        <v/>
      </c>
      <c r="U5682" t="str">
        <f t="shared" si="886"/>
        <v/>
      </c>
      <c r="V5682" t="str">
        <f t="shared" si="887"/>
        <v/>
      </c>
      <c r="W5682" t="str">
        <f t="shared" si="888"/>
        <v/>
      </c>
      <c r="X5682">
        <f>IF($T5682="",N($X5681),IF(MATCH($T5682,$T$6:$T$10005,0)=ROW()-5,N($X5681)+1,N($X5681)))</f>
        <v>0</v>
      </c>
      <c r="Z5682" t="str">
        <f t="shared" si="889"/>
        <v/>
      </c>
      <c r="AA5682">
        <f>IF($V5682="",N($AA5681),IF(MATCH($V5682,$V$6:$V$10005,0)=ROW()-5,N($AA5681)+1,N($AA5681)))</f>
        <v>0</v>
      </c>
    </row>
    <row r="5683" spans="1:27" ht="21" customHeight="1" x14ac:dyDescent="0.95">
      <c r="A5683" s="56"/>
      <c r="B5683" s="57"/>
      <c r="C5683" s="57"/>
      <c r="D5683" s="57"/>
      <c r="E5683" s="56"/>
      <c r="F5683" s="57"/>
      <c r="G5683" s="57"/>
      <c r="H5683" s="56"/>
      <c r="I5683" s="56"/>
      <c r="J5683" s="58"/>
      <c r="K5683" s="58"/>
      <c r="L5683" s="13" t="str">
        <f t="shared" si="880"/>
        <v/>
      </c>
      <c r="M5683" s="13" t="str">
        <f t="shared" si="881"/>
        <v/>
      </c>
      <c r="Q5683" t="str">
        <f t="shared" si="882"/>
        <v/>
      </c>
      <c r="R5683" t="str">
        <f t="shared" si="883"/>
        <v/>
      </c>
      <c r="S5683" t="str">
        <f t="shared" si="884"/>
        <v/>
      </c>
      <c r="T5683" t="str">
        <f t="shared" si="885"/>
        <v/>
      </c>
      <c r="U5683" t="str">
        <f t="shared" si="886"/>
        <v/>
      </c>
      <c r="V5683" t="str">
        <f t="shared" si="887"/>
        <v/>
      </c>
      <c r="W5683" t="str">
        <f t="shared" si="888"/>
        <v/>
      </c>
      <c r="X5683">
        <f>IF($T5683="",N($X5682),IF(MATCH($T5683,$T$6:$T$10005,0)=ROW()-5,N($X5682)+1,N($X5682)))</f>
        <v>0</v>
      </c>
      <c r="Z5683" t="str">
        <f t="shared" si="889"/>
        <v/>
      </c>
      <c r="AA5683">
        <f>IF($V5683="",N($AA5682),IF(MATCH($V5683,$V$6:$V$10005,0)=ROW()-5,N($AA5682)+1,N($AA5682)))</f>
        <v>0</v>
      </c>
    </row>
    <row r="5684" spans="1:27" ht="21" customHeight="1" x14ac:dyDescent="0.95">
      <c r="A5684" s="56"/>
      <c r="B5684" s="57"/>
      <c r="C5684" s="57"/>
      <c r="D5684" s="57"/>
      <c r="E5684" s="56"/>
      <c r="F5684" s="57"/>
      <c r="G5684" s="57"/>
      <c r="H5684" s="56"/>
      <c r="I5684" s="56"/>
      <c r="J5684" s="58"/>
      <c r="K5684" s="58"/>
      <c r="L5684" s="13" t="str">
        <f t="shared" si="880"/>
        <v/>
      </c>
      <c r="M5684" s="13" t="str">
        <f t="shared" si="881"/>
        <v/>
      </c>
      <c r="Q5684" t="str">
        <f t="shared" si="882"/>
        <v/>
      </c>
      <c r="R5684" t="str">
        <f t="shared" si="883"/>
        <v/>
      </c>
      <c r="S5684" t="str">
        <f t="shared" si="884"/>
        <v/>
      </c>
      <c r="T5684" t="str">
        <f t="shared" si="885"/>
        <v/>
      </c>
      <c r="U5684" t="str">
        <f t="shared" si="886"/>
        <v/>
      </c>
      <c r="V5684" t="str">
        <f t="shared" si="887"/>
        <v/>
      </c>
      <c r="W5684" t="str">
        <f t="shared" si="888"/>
        <v/>
      </c>
      <c r="X5684">
        <f>IF($T5684="",N($X5683),IF(MATCH($T5684,$T$6:$T$10005,0)=ROW()-5,N($X5683)+1,N($X5683)))</f>
        <v>0</v>
      </c>
      <c r="Z5684" t="str">
        <f t="shared" si="889"/>
        <v/>
      </c>
      <c r="AA5684">
        <f>IF($V5684="",N($AA5683),IF(MATCH($V5684,$V$6:$V$10005,0)=ROW()-5,N($AA5683)+1,N($AA5683)))</f>
        <v>0</v>
      </c>
    </row>
    <row r="5685" spans="1:27" ht="21" customHeight="1" x14ac:dyDescent="0.95">
      <c r="A5685" s="56"/>
      <c r="B5685" s="57"/>
      <c r="C5685" s="57"/>
      <c r="D5685" s="57"/>
      <c r="E5685" s="56"/>
      <c r="F5685" s="57"/>
      <c r="G5685" s="57"/>
      <c r="H5685" s="56"/>
      <c r="I5685" s="56"/>
      <c r="J5685" s="58"/>
      <c r="K5685" s="58"/>
      <c r="L5685" s="13" t="str">
        <f t="shared" si="880"/>
        <v/>
      </c>
      <c r="M5685" s="13" t="str">
        <f t="shared" si="881"/>
        <v/>
      </c>
      <c r="Q5685" t="str">
        <f t="shared" si="882"/>
        <v/>
      </c>
      <c r="R5685" t="str">
        <f t="shared" si="883"/>
        <v/>
      </c>
      <c r="S5685" t="str">
        <f t="shared" si="884"/>
        <v/>
      </c>
      <c r="T5685" t="str">
        <f t="shared" si="885"/>
        <v/>
      </c>
      <c r="U5685" t="str">
        <f t="shared" si="886"/>
        <v/>
      </c>
      <c r="V5685" t="str">
        <f t="shared" si="887"/>
        <v/>
      </c>
      <c r="W5685" t="str">
        <f t="shared" si="888"/>
        <v/>
      </c>
      <c r="X5685">
        <f>IF($T5685="",N($X5684),IF(MATCH($T5685,$T$6:$T$10005,0)=ROW()-5,N($X5684)+1,N($X5684)))</f>
        <v>0</v>
      </c>
      <c r="Z5685" t="str">
        <f t="shared" si="889"/>
        <v/>
      </c>
      <c r="AA5685">
        <f>IF($V5685="",N($AA5684),IF(MATCH($V5685,$V$6:$V$10005,0)=ROW()-5,N($AA5684)+1,N($AA5684)))</f>
        <v>0</v>
      </c>
    </row>
    <row r="5686" spans="1:27" ht="21" customHeight="1" x14ac:dyDescent="0.95">
      <c r="A5686" s="56"/>
      <c r="B5686" s="57"/>
      <c r="C5686" s="57"/>
      <c r="D5686" s="57"/>
      <c r="E5686" s="56"/>
      <c r="F5686" s="57"/>
      <c r="G5686" s="57"/>
      <c r="H5686" s="56"/>
      <c r="I5686" s="56"/>
      <c r="J5686" s="58"/>
      <c r="K5686" s="58"/>
      <c r="L5686" s="13" t="str">
        <f t="shared" si="880"/>
        <v/>
      </c>
      <c r="M5686" s="13" t="str">
        <f t="shared" si="881"/>
        <v/>
      </c>
      <c r="Q5686" t="str">
        <f t="shared" si="882"/>
        <v/>
      </c>
      <c r="R5686" t="str">
        <f t="shared" si="883"/>
        <v/>
      </c>
      <c r="S5686" t="str">
        <f t="shared" si="884"/>
        <v/>
      </c>
      <c r="T5686" t="str">
        <f t="shared" si="885"/>
        <v/>
      </c>
      <c r="U5686" t="str">
        <f t="shared" si="886"/>
        <v/>
      </c>
      <c r="V5686" t="str">
        <f t="shared" si="887"/>
        <v/>
      </c>
      <c r="W5686" t="str">
        <f t="shared" si="888"/>
        <v/>
      </c>
      <c r="X5686">
        <f>IF($T5686="",N($X5685),IF(MATCH($T5686,$T$6:$T$10005,0)=ROW()-5,N($X5685)+1,N($X5685)))</f>
        <v>0</v>
      </c>
      <c r="Z5686" t="str">
        <f t="shared" si="889"/>
        <v/>
      </c>
      <c r="AA5686">
        <f>IF($V5686="",N($AA5685),IF(MATCH($V5686,$V$6:$V$10005,0)=ROW()-5,N($AA5685)+1,N($AA5685)))</f>
        <v>0</v>
      </c>
    </row>
    <row r="5687" spans="1:27" ht="21" customHeight="1" x14ac:dyDescent="0.95">
      <c r="A5687" s="56"/>
      <c r="B5687" s="57"/>
      <c r="C5687" s="57"/>
      <c r="D5687" s="57"/>
      <c r="E5687" s="56"/>
      <c r="F5687" s="57"/>
      <c r="G5687" s="57"/>
      <c r="H5687" s="56"/>
      <c r="I5687" s="56"/>
      <c r="J5687" s="58"/>
      <c r="K5687" s="58"/>
      <c r="L5687" s="13" t="str">
        <f t="shared" si="880"/>
        <v/>
      </c>
      <c r="M5687" s="13" t="str">
        <f t="shared" si="881"/>
        <v/>
      </c>
      <c r="Q5687" t="str">
        <f t="shared" si="882"/>
        <v/>
      </c>
      <c r="R5687" t="str">
        <f t="shared" si="883"/>
        <v/>
      </c>
      <c r="S5687" t="str">
        <f t="shared" si="884"/>
        <v/>
      </c>
      <c r="T5687" t="str">
        <f t="shared" si="885"/>
        <v/>
      </c>
      <c r="U5687" t="str">
        <f t="shared" si="886"/>
        <v/>
      </c>
      <c r="V5687" t="str">
        <f t="shared" si="887"/>
        <v/>
      </c>
      <c r="W5687" t="str">
        <f t="shared" si="888"/>
        <v/>
      </c>
      <c r="X5687">
        <f>IF($T5687="",N($X5686),IF(MATCH($T5687,$T$6:$T$10005,0)=ROW()-5,N($X5686)+1,N($X5686)))</f>
        <v>0</v>
      </c>
      <c r="Z5687" t="str">
        <f t="shared" si="889"/>
        <v/>
      </c>
      <c r="AA5687">
        <f>IF($V5687="",N($AA5686),IF(MATCH($V5687,$V$6:$V$10005,0)=ROW()-5,N($AA5686)+1,N($AA5686)))</f>
        <v>0</v>
      </c>
    </row>
    <row r="5688" spans="1:27" ht="21" customHeight="1" x14ac:dyDescent="0.95">
      <c r="A5688" s="56"/>
      <c r="B5688" s="57"/>
      <c r="C5688" s="57"/>
      <c r="D5688" s="57"/>
      <c r="E5688" s="56"/>
      <c r="F5688" s="57"/>
      <c r="G5688" s="57"/>
      <c r="H5688" s="56"/>
      <c r="I5688" s="56"/>
      <c r="J5688" s="58"/>
      <c r="K5688" s="58"/>
      <c r="L5688" s="13" t="str">
        <f t="shared" si="880"/>
        <v/>
      </c>
      <c r="M5688" s="13" t="str">
        <f t="shared" si="881"/>
        <v/>
      </c>
      <c r="Q5688" t="str">
        <f t="shared" si="882"/>
        <v/>
      </c>
      <c r="R5688" t="str">
        <f t="shared" si="883"/>
        <v/>
      </c>
      <c r="S5688" t="str">
        <f t="shared" si="884"/>
        <v/>
      </c>
      <c r="T5688" t="str">
        <f t="shared" si="885"/>
        <v/>
      </c>
      <c r="U5688" t="str">
        <f t="shared" si="886"/>
        <v/>
      </c>
      <c r="V5688" t="str">
        <f t="shared" si="887"/>
        <v/>
      </c>
      <c r="W5688" t="str">
        <f t="shared" si="888"/>
        <v/>
      </c>
      <c r="X5688">
        <f>IF($T5688="",N($X5687),IF(MATCH($T5688,$T$6:$T$10005,0)=ROW()-5,N($X5687)+1,N($X5687)))</f>
        <v>0</v>
      </c>
      <c r="Z5688" t="str">
        <f t="shared" si="889"/>
        <v/>
      </c>
      <c r="AA5688">
        <f>IF($V5688="",N($AA5687),IF(MATCH($V5688,$V$6:$V$10005,0)=ROW()-5,N($AA5687)+1,N($AA5687)))</f>
        <v>0</v>
      </c>
    </row>
    <row r="5689" spans="1:27" ht="21" customHeight="1" x14ac:dyDescent="0.95">
      <c r="A5689" s="56"/>
      <c r="B5689" s="57"/>
      <c r="C5689" s="57"/>
      <c r="D5689" s="57"/>
      <c r="E5689" s="56"/>
      <c r="F5689" s="57"/>
      <c r="G5689" s="57"/>
      <c r="H5689" s="56"/>
      <c r="I5689" s="56"/>
      <c r="J5689" s="58"/>
      <c r="K5689" s="58"/>
      <c r="L5689" s="13" t="str">
        <f t="shared" si="880"/>
        <v/>
      </c>
      <c r="M5689" s="13" t="str">
        <f t="shared" si="881"/>
        <v/>
      </c>
      <c r="Q5689" t="str">
        <f t="shared" si="882"/>
        <v/>
      </c>
      <c r="R5689" t="str">
        <f t="shared" si="883"/>
        <v/>
      </c>
      <c r="S5689" t="str">
        <f t="shared" si="884"/>
        <v/>
      </c>
      <c r="T5689" t="str">
        <f t="shared" si="885"/>
        <v/>
      </c>
      <c r="U5689" t="str">
        <f t="shared" si="886"/>
        <v/>
      </c>
      <c r="V5689" t="str">
        <f t="shared" si="887"/>
        <v/>
      </c>
      <c r="W5689" t="str">
        <f t="shared" si="888"/>
        <v/>
      </c>
      <c r="X5689">
        <f>IF($T5689="",N($X5688),IF(MATCH($T5689,$T$6:$T$10005,0)=ROW()-5,N($X5688)+1,N($X5688)))</f>
        <v>0</v>
      </c>
      <c r="Z5689" t="str">
        <f t="shared" si="889"/>
        <v/>
      </c>
      <c r="AA5689">
        <f>IF($V5689="",N($AA5688),IF(MATCH($V5689,$V$6:$V$10005,0)=ROW()-5,N($AA5688)+1,N($AA5688)))</f>
        <v>0</v>
      </c>
    </row>
    <row r="5690" spans="1:27" ht="21" customHeight="1" x14ac:dyDescent="0.95">
      <c r="A5690" s="56"/>
      <c r="B5690" s="57"/>
      <c r="C5690" s="57"/>
      <c r="D5690" s="57"/>
      <c r="E5690" s="56"/>
      <c r="F5690" s="57"/>
      <c r="G5690" s="57"/>
      <c r="H5690" s="56"/>
      <c r="I5690" s="56"/>
      <c r="J5690" s="58"/>
      <c r="K5690" s="58"/>
      <c r="L5690" s="13" t="str">
        <f t="shared" si="880"/>
        <v/>
      </c>
      <c r="M5690" s="13" t="str">
        <f t="shared" si="881"/>
        <v/>
      </c>
      <c r="Q5690" t="str">
        <f t="shared" si="882"/>
        <v/>
      </c>
      <c r="R5690" t="str">
        <f t="shared" si="883"/>
        <v/>
      </c>
      <c r="S5690" t="str">
        <f t="shared" si="884"/>
        <v/>
      </c>
      <c r="T5690" t="str">
        <f t="shared" si="885"/>
        <v/>
      </c>
      <c r="U5690" t="str">
        <f t="shared" si="886"/>
        <v/>
      </c>
      <c r="V5690" t="str">
        <f t="shared" si="887"/>
        <v/>
      </c>
      <c r="W5690" t="str">
        <f t="shared" si="888"/>
        <v/>
      </c>
      <c r="X5690">
        <f>IF($T5690="",N($X5689),IF(MATCH($T5690,$T$6:$T$10005,0)=ROW()-5,N($X5689)+1,N($X5689)))</f>
        <v>0</v>
      </c>
      <c r="Z5690" t="str">
        <f t="shared" si="889"/>
        <v/>
      </c>
      <c r="AA5690">
        <f>IF($V5690="",N($AA5689),IF(MATCH($V5690,$V$6:$V$10005,0)=ROW()-5,N($AA5689)+1,N($AA5689)))</f>
        <v>0</v>
      </c>
    </row>
    <row r="5691" spans="1:27" ht="21" customHeight="1" x14ac:dyDescent="0.95">
      <c r="A5691" s="56"/>
      <c r="B5691" s="57"/>
      <c r="C5691" s="57"/>
      <c r="D5691" s="57"/>
      <c r="E5691" s="56"/>
      <c r="F5691" s="57"/>
      <c r="G5691" s="57"/>
      <c r="H5691" s="56"/>
      <c r="I5691" s="56"/>
      <c r="J5691" s="58"/>
      <c r="K5691" s="58"/>
      <c r="L5691" s="13" t="str">
        <f t="shared" si="880"/>
        <v/>
      </c>
      <c r="M5691" s="13" t="str">
        <f t="shared" si="881"/>
        <v/>
      </c>
      <c r="Q5691" t="str">
        <f t="shared" si="882"/>
        <v/>
      </c>
      <c r="R5691" t="str">
        <f t="shared" si="883"/>
        <v/>
      </c>
      <c r="S5691" t="str">
        <f t="shared" si="884"/>
        <v/>
      </c>
      <c r="T5691" t="str">
        <f t="shared" si="885"/>
        <v/>
      </c>
      <c r="U5691" t="str">
        <f t="shared" si="886"/>
        <v/>
      </c>
      <c r="V5691" t="str">
        <f t="shared" si="887"/>
        <v/>
      </c>
      <c r="W5691" t="str">
        <f t="shared" si="888"/>
        <v/>
      </c>
      <c r="X5691">
        <f>IF($T5691="",N($X5690),IF(MATCH($T5691,$T$6:$T$10005,0)=ROW()-5,N($X5690)+1,N($X5690)))</f>
        <v>0</v>
      </c>
      <c r="Z5691" t="str">
        <f t="shared" si="889"/>
        <v/>
      </c>
      <c r="AA5691">
        <f>IF($V5691="",N($AA5690),IF(MATCH($V5691,$V$6:$V$10005,0)=ROW()-5,N($AA5690)+1,N($AA5690)))</f>
        <v>0</v>
      </c>
    </row>
    <row r="5692" spans="1:27" ht="21" customHeight="1" x14ac:dyDescent="0.95">
      <c r="A5692" s="56"/>
      <c r="B5692" s="57"/>
      <c r="C5692" s="57"/>
      <c r="D5692" s="57"/>
      <c r="E5692" s="56"/>
      <c r="F5692" s="57"/>
      <c r="G5692" s="57"/>
      <c r="H5692" s="56"/>
      <c r="I5692" s="56"/>
      <c r="J5692" s="58"/>
      <c r="K5692" s="58"/>
      <c r="L5692" s="13" t="str">
        <f t="shared" si="880"/>
        <v/>
      </c>
      <c r="M5692" s="13" t="str">
        <f t="shared" si="881"/>
        <v/>
      </c>
      <c r="Q5692" t="str">
        <f t="shared" si="882"/>
        <v/>
      </c>
      <c r="R5692" t="str">
        <f t="shared" si="883"/>
        <v/>
      </c>
      <c r="S5692" t="str">
        <f t="shared" si="884"/>
        <v/>
      </c>
      <c r="T5692" t="str">
        <f t="shared" si="885"/>
        <v/>
      </c>
      <c r="U5692" t="str">
        <f t="shared" si="886"/>
        <v/>
      </c>
      <c r="V5692" t="str">
        <f t="shared" si="887"/>
        <v/>
      </c>
      <c r="W5692" t="str">
        <f t="shared" si="888"/>
        <v/>
      </c>
      <c r="X5692">
        <f>IF($T5692="",N($X5691),IF(MATCH($T5692,$T$6:$T$10005,0)=ROW()-5,N($X5691)+1,N($X5691)))</f>
        <v>0</v>
      </c>
      <c r="Z5692" t="str">
        <f t="shared" si="889"/>
        <v/>
      </c>
      <c r="AA5692">
        <f>IF($V5692="",N($AA5691),IF(MATCH($V5692,$V$6:$V$10005,0)=ROW()-5,N($AA5691)+1,N($AA5691)))</f>
        <v>0</v>
      </c>
    </row>
    <row r="5693" spans="1:27" ht="21" customHeight="1" x14ac:dyDescent="0.95">
      <c r="A5693" s="56"/>
      <c r="B5693" s="57"/>
      <c r="C5693" s="57"/>
      <c r="D5693" s="57"/>
      <c r="E5693" s="56"/>
      <c r="F5693" s="57"/>
      <c r="G5693" s="57"/>
      <c r="H5693" s="56"/>
      <c r="I5693" s="56"/>
      <c r="J5693" s="58"/>
      <c r="K5693" s="58"/>
      <c r="L5693" s="13" t="str">
        <f t="shared" si="880"/>
        <v/>
      </c>
      <c r="M5693" s="13" t="str">
        <f t="shared" si="881"/>
        <v/>
      </c>
      <c r="Q5693" t="str">
        <f t="shared" si="882"/>
        <v/>
      </c>
      <c r="R5693" t="str">
        <f t="shared" si="883"/>
        <v/>
      </c>
      <c r="S5693" t="str">
        <f t="shared" si="884"/>
        <v/>
      </c>
      <c r="T5693" t="str">
        <f t="shared" si="885"/>
        <v/>
      </c>
      <c r="U5693" t="str">
        <f t="shared" si="886"/>
        <v/>
      </c>
      <c r="V5693" t="str">
        <f t="shared" si="887"/>
        <v/>
      </c>
      <c r="W5693" t="str">
        <f t="shared" si="888"/>
        <v/>
      </c>
      <c r="X5693">
        <f>IF($T5693="",N($X5692),IF(MATCH($T5693,$T$6:$T$10005,0)=ROW()-5,N($X5692)+1,N($X5692)))</f>
        <v>0</v>
      </c>
      <c r="Z5693" t="str">
        <f t="shared" si="889"/>
        <v/>
      </c>
      <c r="AA5693">
        <f>IF($V5693="",N($AA5692),IF(MATCH($V5693,$V$6:$V$10005,0)=ROW()-5,N($AA5692)+1,N($AA5692)))</f>
        <v>0</v>
      </c>
    </row>
    <row r="5694" spans="1:27" ht="21" customHeight="1" x14ac:dyDescent="0.95">
      <c r="A5694" s="56"/>
      <c r="B5694" s="57"/>
      <c r="C5694" s="57"/>
      <c r="D5694" s="57"/>
      <c r="E5694" s="56"/>
      <c r="F5694" s="57"/>
      <c r="G5694" s="57"/>
      <c r="H5694" s="56"/>
      <c r="I5694" s="56"/>
      <c r="J5694" s="58"/>
      <c r="K5694" s="58"/>
      <c r="L5694" s="13" t="str">
        <f t="shared" si="880"/>
        <v/>
      </c>
      <c r="M5694" s="13" t="str">
        <f t="shared" si="881"/>
        <v/>
      </c>
      <c r="Q5694" t="str">
        <f t="shared" si="882"/>
        <v/>
      </c>
      <c r="R5694" t="str">
        <f t="shared" si="883"/>
        <v/>
      </c>
      <c r="S5694" t="str">
        <f t="shared" si="884"/>
        <v/>
      </c>
      <c r="T5694" t="str">
        <f t="shared" si="885"/>
        <v/>
      </c>
      <c r="U5694" t="str">
        <f t="shared" si="886"/>
        <v/>
      </c>
      <c r="V5694" t="str">
        <f t="shared" si="887"/>
        <v/>
      </c>
      <c r="W5694" t="str">
        <f t="shared" si="888"/>
        <v/>
      </c>
      <c r="X5694">
        <f>IF($T5694="",N($X5693),IF(MATCH($T5694,$T$6:$T$10005,0)=ROW()-5,N($X5693)+1,N($X5693)))</f>
        <v>0</v>
      </c>
      <c r="Z5694" t="str">
        <f t="shared" si="889"/>
        <v/>
      </c>
      <c r="AA5694">
        <f>IF($V5694="",N($AA5693),IF(MATCH($V5694,$V$6:$V$10005,0)=ROW()-5,N($AA5693)+1,N($AA5693)))</f>
        <v>0</v>
      </c>
    </row>
    <row r="5695" spans="1:27" ht="21" customHeight="1" x14ac:dyDescent="0.95">
      <c r="A5695" s="56"/>
      <c r="B5695" s="57"/>
      <c r="C5695" s="57"/>
      <c r="D5695" s="57"/>
      <c r="E5695" s="56"/>
      <c r="F5695" s="57"/>
      <c r="G5695" s="57"/>
      <c r="H5695" s="56"/>
      <c r="I5695" s="56"/>
      <c r="J5695" s="58"/>
      <c r="K5695" s="58"/>
      <c r="L5695" s="13" t="str">
        <f t="shared" si="880"/>
        <v/>
      </c>
      <c r="M5695" s="13" t="str">
        <f t="shared" si="881"/>
        <v/>
      </c>
      <c r="Q5695" t="str">
        <f t="shared" si="882"/>
        <v/>
      </c>
      <c r="R5695" t="str">
        <f t="shared" si="883"/>
        <v/>
      </c>
      <c r="S5695" t="str">
        <f t="shared" si="884"/>
        <v/>
      </c>
      <c r="T5695" t="str">
        <f t="shared" si="885"/>
        <v/>
      </c>
      <c r="U5695" t="str">
        <f t="shared" si="886"/>
        <v/>
      </c>
      <c r="V5695" t="str">
        <f t="shared" si="887"/>
        <v/>
      </c>
      <c r="W5695" t="str">
        <f t="shared" si="888"/>
        <v/>
      </c>
      <c r="X5695">
        <f>IF($T5695="",N($X5694),IF(MATCH($T5695,$T$6:$T$10005,0)=ROW()-5,N($X5694)+1,N($X5694)))</f>
        <v>0</v>
      </c>
      <c r="Z5695" t="str">
        <f t="shared" si="889"/>
        <v/>
      </c>
      <c r="AA5695">
        <f>IF($V5695="",N($AA5694),IF(MATCH($V5695,$V$6:$V$10005,0)=ROW()-5,N($AA5694)+1,N($AA5694)))</f>
        <v>0</v>
      </c>
    </row>
    <row r="5696" spans="1:27" ht="21" customHeight="1" x14ac:dyDescent="0.95">
      <c r="A5696" s="56"/>
      <c r="B5696" s="57"/>
      <c r="C5696" s="57"/>
      <c r="D5696" s="57"/>
      <c r="E5696" s="56"/>
      <c r="F5696" s="57"/>
      <c r="G5696" s="57"/>
      <c r="H5696" s="56"/>
      <c r="I5696" s="56"/>
      <c r="J5696" s="58"/>
      <c r="K5696" s="58"/>
      <c r="L5696" s="13" t="str">
        <f t="shared" si="880"/>
        <v/>
      </c>
      <c r="M5696" s="13" t="str">
        <f t="shared" si="881"/>
        <v/>
      </c>
      <c r="Q5696" t="str">
        <f t="shared" si="882"/>
        <v/>
      </c>
      <c r="R5696" t="str">
        <f t="shared" si="883"/>
        <v/>
      </c>
      <c r="S5696" t="str">
        <f t="shared" si="884"/>
        <v/>
      </c>
      <c r="T5696" t="str">
        <f t="shared" si="885"/>
        <v/>
      </c>
      <c r="U5696" t="str">
        <f t="shared" si="886"/>
        <v/>
      </c>
      <c r="V5696" t="str">
        <f t="shared" si="887"/>
        <v/>
      </c>
      <c r="W5696" t="str">
        <f t="shared" si="888"/>
        <v/>
      </c>
      <c r="X5696">
        <f>IF($T5696="",N($X5695),IF(MATCH($T5696,$T$6:$T$10005,0)=ROW()-5,N($X5695)+1,N($X5695)))</f>
        <v>0</v>
      </c>
      <c r="Z5696" t="str">
        <f t="shared" si="889"/>
        <v/>
      </c>
      <c r="AA5696">
        <f>IF($V5696="",N($AA5695),IF(MATCH($V5696,$V$6:$V$10005,0)=ROW()-5,N($AA5695)+1,N($AA5695)))</f>
        <v>0</v>
      </c>
    </row>
    <row r="5697" spans="1:27" ht="21" customHeight="1" x14ac:dyDescent="0.95">
      <c r="A5697" s="56"/>
      <c r="B5697" s="57"/>
      <c r="C5697" s="57"/>
      <c r="D5697" s="57"/>
      <c r="E5697" s="56"/>
      <c r="F5697" s="57"/>
      <c r="G5697" s="57"/>
      <c r="H5697" s="56"/>
      <c r="I5697" s="56"/>
      <c r="J5697" s="58"/>
      <c r="K5697" s="58"/>
      <c r="L5697" s="13" t="str">
        <f t="shared" si="880"/>
        <v/>
      </c>
      <c r="M5697" s="13" t="str">
        <f t="shared" si="881"/>
        <v/>
      </c>
      <c r="Q5697" t="str">
        <f t="shared" si="882"/>
        <v/>
      </c>
      <c r="R5697" t="str">
        <f t="shared" si="883"/>
        <v/>
      </c>
      <c r="S5697" t="str">
        <f t="shared" si="884"/>
        <v/>
      </c>
      <c r="T5697" t="str">
        <f t="shared" si="885"/>
        <v/>
      </c>
      <c r="U5697" t="str">
        <f t="shared" si="886"/>
        <v/>
      </c>
      <c r="V5697" t="str">
        <f t="shared" si="887"/>
        <v/>
      </c>
      <c r="W5697" t="str">
        <f t="shared" si="888"/>
        <v/>
      </c>
      <c r="X5697">
        <f>IF($T5697="",N($X5696),IF(MATCH($T5697,$T$6:$T$10005,0)=ROW()-5,N($X5696)+1,N($X5696)))</f>
        <v>0</v>
      </c>
      <c r="Z5697" t="str">
        <f t="shared" si="889"/>
        <v/>
      </c>
      <c r="AA5697">
        <f>IF($V5697="",N($AA5696),IF(MATCH($V5697,$V$6:$V$10005,0)=ROW()-5,N($AA5696)+1,N($AA5696)))</f>
        <v>0</v>
      </c>
    </row>
    <row r="5698" spans="1:27" ht="21" customHeight="1" x14ac:dyDescent="0.95">
      <c r="A5698" s="56"/>
      <c r="B5698" s="57"/>
      <c r="C5698" s="57"/>
      <c r="D5698" s="57"/>
      <c r="E5698" s="56"/>
      <c r="F5698" s="57"/>
      <c r="G5698" s="57"/>
      <c r="H5698" s="56"/>
      <c r="I5698" s="56"/>
      <c r="J5698" s="58"/>
      <c r="K5698" s="58"/>
      <c r="L5698" s="13" t="str">
        <f t="shared" si="880"/>
        <v/>
      </c>
      <c r="M5698" s="13" t="str">
        <f t="shared" si="881"/>
        <v/>
      </c>
      <c r="Q5698" t="str">
        <f t="shared" si="882"/>
        <v/>
      </c>
      <c r="R5698" t="str">
        <f t="shared" si="883"/>
        <v/>
      </c>
      <c r="S5698" t="str">
        <f t="shared" si="884"/>
        <v/>
      </c>
      <c r="T5698" t="str">
        <f t="shared" si="885"/>
        <v/>
      </c>
      <c r="U5698" t="str">
        <f t="shared" si="886"/>
        <v/>
      </c>
      <c r="V5698" t="str">
        <f t="shared" si="887"/>
        <v/>
      </c>
      <c r="W5698" t="str">
        <f t="shared" si="888"/>
        <v/>
      </c>
      <c r="X5698">
        <f>IF($T5698="",N($X5697),IF(MATCH($T5698,$T$6:$T$10005,0)=ROW()-5,N($X5697)+1,N($X5697)))</f>
        <v>0</v>
      </c>
      <c r="Z5698" t="str">
        <f t="shared" si="889"/>
        <v/>
      </c>
      <c r="AA5698">
        <f>IF($V5698="",N($AA5697),IF(MATCH($V5698,$V$6:$V$10005,0)=ROW()-5,N($AA5697)+1,N($AA5697)))</f>
        <v>0</v>
      </c>
    </row>
    <row r="5699" spans="1:27" ht="21" customHeight="1" x14ac:dyDescent="0.95">
      <c r="A5699" s="56"/>
      <c r="B5699" s="57"/>
      <c r="C5699" s="57"/>
      <c r="D5699" s="57"/>
      <c r="E5699" s="56"/>
      <c r="F5699" s="57"/>
      <c r="G5699" s="57"/>
      <c r="H5699" s="56"/>
      <c r="I5699" s="56"/>
      <c r="J5699" s="58"/>
      <c r="K5699" s="58"/>
      <c r="L5699" s="13" t="str">
        <f t="shared" si="880"/>
        <v/>
      </c>
      <c r="M5699" s="13" t="str">
        <f t="shared" si="881"/>
        <v/>
      </c>
      <c r="Q5699" t="str">
        <f t="shared" si="882"/>
        <v/>
      </c>
      <c r="R5699" t="str">
        <f t="shared" si="883"/>
        <v/>
      </c>
      <c r="S5699" t="str">
        <f t="shared" si="884"/>
        <v/>
      </c>
      <c r="T5699" t="str">
        <f t="shared" si="885"/>
        <v/>
      </c>
      <c r="U5699" t="str">
        <f t="shared" si="886"/>
        <v/>
      </c>
      <c r="V5699" t="str">
        <f t="shared" si="887"/>
        <v/>
      </c>
      <c r="W5699" t="str">
        <f t="shared" si="888"/>
        <v/>
      </c>
      <c r="X5699">
        <f>IF($T5699="",N($X5698),IF(MATCH($T5699,$T$6:$T$10005,0)=ROW()-5,N($X5698)+1,N($X5698)))</f>
        <v>0</v>
      </c>
      <c r="Z5699" t="str">
        <f t="shared" si="889"/>
        <v/>
      </c>
      <c r="AA5699">
        <f>IF($V5699="",N($AA5698),IF(MATCH($V5699,$V$6:$V$10005,0)=ROW()-5,N($AA5698)+1,N($AA5698)))</f>
        <v>0</v>
      </c>
    </row>
    <row r="5700" spans="1:27" ht="21" customHeight="1" x14ac:dyDescent="0.95">
      <c r="A5700" s="56"/>
      <c r="B5700" s="57"/>
      <c r="C5700" s="57"/>
      <c r="D5700" s="57"/>
      <c r="E5700" s="56"/>
      <c r="F5700" s="57"/>
      <c r="G5700" s="57"/>
      <c r="H5700" s="56"/>
      <c r="I5700" s="56"/>
      <c r="J5700" s="58"/>
      <c r="K5700" s="58"/>
      <c r="L5700" s="13" t="str">
        <f t="shared" si="880"/>
        <v/>
      </c>
      <c r="M5700" s="13" t="str">
        <f t="shared" si="881"/>
        <v/>
      </c>
      <c r="Q5700" t="str">
        <f t="shared" si="882"/>
        <v/>
      </c>
      <c r="R5700" t="str">
        <f t="shared" si="883"/>
        <v/>
      </c>
      <c r="S5700" t="str">
        <f t="shared" si="884"/>
        <v/>
      </c>
      <c r="T5700" t="str">
        <f t="shared" si="885"/>
        <v/>
      </c>
      <c r="U5700" t="str">
        <f t="shared" si="886"/>
        <v/>
      </c>
      <c r="V5700" t="str">
        <f t="shared" si="887"/>
        <v/>
      </c>
      <c r="W5700" t="str">
        <f t="shared" si="888"/>
        <v/>
      </c>
      <c r="X5700">
        <f>IF($T5700="",N($X5699),IF(MATCH($T5700,$T$6:$T$10005,0)=ROW()-5,N($X5699)+1,N($X5699)))</f>
        <v>0</v>
      </c>
      <c r="Z5700" t="str">
        <f t="shared" si="889"/>
        <v/>
      </c>
      <c r="AA5700">
        <f>IF($V5700="",N($AA5699),IF(MATCH($V5700,$V$6:$V$10005,0)=ROW()-5,N($AA5699)+1,N($AA5699)))</f>
        <v>0</v>
      </c>
    </row>
    <row r="5701" spans="1:27" ht="21" customHeight="1" x14ac:dyDescent="0.95">
      <c r="A5701" s="56"/>
      <c r="B5701" s="57"/>
      <c r="C5701" s="57"/>
      <c r="D5701" s="57"/>
      <c r="E5701" s="56"/>
      <c r="F5701" s="57"/>
      <c r="G5701" s="57"/>
      <c r="H5701" s="56"/>
      <c r="I5701" s="56"/>
      <c r="J5701" s="58"/>
      <c r="K5701" s="58"/>
      <c r="L5701" s="13" t="str">
        <f t="shared" si="880"/>
        <v/>
      </c>
      <c r="M5701" s="13" t="str">
        <f t="shared" si="881"/>
        <v/>
      </c>
      <c r="Q5701" t="str">
        <f t="shared" si="882"/>
        <v/>
      </c>
      <c r="R5701" t="str">
        <f t="shared" si="883"/>
        <v/>
      </c>
      <c r="S5701" t="str">
        <f t="shared" si="884"/>
        <v/>
      </c>
      <c r="T5701" t="str">
        <f t="shared" si="885"/>
        <v/>
      </c>
      <c r="U5701" t="str">
        <f t="shared" si="886"/>
        <v/>
      </c>
      <c r="V5701" t="str">
        <f t="shared" si="887"/>
        <v/>
      </c>
      <c r="W5701" t="str">
        <f t="shared" si="888"/>
        <v/>
      </c>
      <c r="X5701">
        <f>IF($T5701="",N($X5700),IF(MATCH($T5701,$T$6:$T$10005,0)=ROW()-5,N($X5700)+1,N($X5700)))</f>
        <v>0</v>
      </c>
      <c r="Z5701" t="str">
        <f t="shared" si="889"/>
        <v/>
      </c>
      <c r="AA5701">
        <f>IF($V5701="",N($AA5700),IF(MATCH($V5701,$V$6:$V$10005,0)=ROW()-5,N($AA5700)+1,N($AA5700)))</f>
        <v>0</v>
      </c>
    </row>
    <row r="5702" spans="1:27" ht="21" customHeight="1" x14ac:dyDescent="0.95">
      <c r="A5702" s="56"/>
      <c r="B5702" s="57"/>
      <c r="C5702" s="57"/>
      <c r="D5702" s="57"/>
      <c r="E5702" s="56"/>
      <c r="F5702" s="57"/>
      <c r="G5702" s="57"/>
      <c r="H5702" s="56"/>
      <c r="I5702" s="56"/>
      <c r="J5702" s="58"/>
      <c r="K5702" s="58"/>
      <c r="L5702" s="13" t="str">
        <f t="shared" ref="L5702:L5765" si="890">IF(OR($A5702="",AND($J5702="",$K5702="")),"",ROUND(N($J5702)-N($K5702),2))</f>
        <v/>
      </c>
      <c r="M5702" s="13" t="str">
        <f t="shared" ref="M5702:M5765" si="891">IF(OR($A5702="",AND($J5702="",$K5702="")),"",MIN($J5702,$K5702))</f>
        <v/>
      </c>
      <c r="Q5702" t="str">
        <f t="shared" ref="Q5702:Q5765" si="892">IF($A5702="","",$D5702&amp;"("&amp;SUBSTITUTE($E5702," ","")&amp;")")</f>
        <v/>
      </c>
      <c r="R5702" t="str">
        <f t="shared" ref="R5702:R5765" si="893">IF($A5702="","",$B5702&amp;" - "&amp;$C5702)</f>
        <v/>
      </c>
      <c r="S5702" t="str">
        <f t="shared" ref="S5702:S5765" si="894">IF($A5702="","",$R5702&amp;"|"&amp;$Q5702)</f>
        <v/>
      </c>
      <c r="T5702" t="str">
        <f t="shared" ref="T5702:T5765" si="895">IF($A5702="","",$S5702&amp;"|"&amp;$F5702)</f>
        <v/>
      </c>
      <c r="U5702" t="str">
        <f t="shared" ref="U5702:U5765" si="896">IF($A5702="","",$R5702&amp;"("&amp;$E5702&amp;")")</f>
        <v/>
      </c>
      <c r="V5702" t="str">
        <f t="shared" ref="V5702:V5765" si="897">IF($A5702="","",$F5702&amp;"|"&amp;$U5702&amp;"|"&amp;$D5702)</f>
        <v/>
      </c>
      <c r="W5702" t="str">
        <f t="shared" ref="W5702:W5765" si="898">IF($T5702="","",IF($X5702&gt;N($X5701),$X5702,""))</f>
        <v/>
      </c>
      <c r="X5702">
        <f>IF($T5702="",N($X5701),IF(MATCH($T5702,$T$6:$T$10005,0)=ROW()-5,N($X5701)+1,N($X5701)))</f>
        <v>0</v>
      </c>
      <c r="Z5702" t="str">
        <f t="shared" ref="Z5702:Z5765" si="899">IF($V5702="","",IF($AA5702&gt;N($AA5701),$AA5702,""))</f>
        <v/>
      </c>
      <c r="AA5702">
        <f>IF($V5702="",N($AA5701),IF(MATCH($V5702,$V$6:$V$10005,0)=ROW()-5,N($AA5701)+1,N($AA5701)))</f>
        <v>0</v>
      </c>
    </row>
    <row r="5703" spans="1:27" ht="21" customHeight="1" x14ac:dyDescent="0.95">
      <c r="A5703" s="56"/>
      <c r="B5703" s="57"/>
      <c r="C5703" s="57"/>
      <c r="D5703" s="57"/>
      <c r="E5703" s="56"/>
      <c r="F5703" s="57"/>
      <c r="G5703" s="57"/>
      <c r="H5703" s="56"/>
      <c r="I5703" s="56"/>
      <c r="J5703" s="58"/>
      <c r="K5703" s="58"/>
      <c r="L5703" s="13" t="str">
        <f t="shared" si="890"/>
        <v/>
      </c>
      <c r="M5703" s="13" t="str">
        <f t="shared" si="891"/>
        <v/>
      </c>
      <c r="Q5703" t="str">
        <f t="shared" si="892"/>
        <v/>
      </c>
      <c r="R5703" t="str">
        <f t="shared" si="893"/>
        <v/>
      </c>
      <c r="S5703" t="str">
        <f t="shared" si="894"/>
        <v/>
      </c>
      <c r="T5703" t="str">
        <f t="shared" si="895"/>
        <v/>
      </c>
      <c r="U5703" t="str">
        <f t="shared" si="896"/>
        <v/>
      </c>
      <c r="V5703" t="str">
        <f t="shared" si="897"/>
        <v/>
      </c>
      <c r="W5703" t="str">
        <f t="shared" si="898"/>
        <v/>
      </c>
      <c r="X5703">
        <f>IF($T5703="",N($X5702),IF(MATCH($T5703,$T$6:$T$10005,0)=ROW()-5,N($X5702)+1,N($X5702)))</f>
        <v>0</v>
      </c>
      <c r="Z5703" t="str">
        <f t="shared" si="899"/>
        <v/>
      </c>
      <c r="AA5703">
        <f>IF($V5703="",N($AA5702),IF(MATCH($V5703,$V$6:$V$10005,0)=ROW()-5,N($AA5702)+1,N($AA5702)))</f>
        <v>0</v>
      </c>
    </row>
    <row r="5704" spans="1:27" ht="21" customHeight="1" x14ac:dyDescent="0.95">
      <c r="A5704" s="56"/>
      <c r="B5704" s="57"/>
      <c r="C5704" s="57"/>
      <c r="D5704" s="57"/>
      <c r="E5704" s="56"/>
      <c r="F5704" s="57"/>
      <c r="G5704" s="57"/>
      <c r="H5704" s="56"/>
      <c r="I5704" s="56"/>
      <c r="J5704" s="58"/>
      <c r="K5704" s="58"/>
      <c r="L5704" s="13" t="str">
        <f t="shared" si="890"/>
        <v/>
      </c>
      <c r="M5704" s="13" t="str">
        <f t="shared" si="891"/>
        <v/>
      </c>
      <c r="Q5704" t="str">
        <f t="shared" si="892"/>
        <v/>
      </c>
      <c r="R5704" t="str">
        <f t="shared" si="893"/>
        <v/>
      </c>
      <c r="S5704" t="str">
        <f t="shared" si="894"/>
        <v/>
      </c>
      <c r="T5704" t="str">
        <f t="shared" si="895"/>
        <v/>
      </c>
      <c r="U5704" t="str">
        <f t="shared" si="896"/>
        <v/>
      </c>
      <c r="V5704" t="str">
        <f t="shared" si="897"/>
        <v/>
      </c>
      <c r="W5704" t="str">
        <f t="shared" si="898"/>
        <v/>
      </c>
      <c r="X5704">
        <f>IF($T5704="",N($X5703),IF(MATCH($T5704,$T$6:$T$10005,0)=ROW()-5,N($X5703)+1,N($X5703)))</f>
        <v>0</v>
      </c>
      <c r="Z5704" t="str">
        <f t="shared" si="899"/>
        <v/>
      </c>
      <c r="AA5704">
        <f>IF($V5704="",N($AA5703),IF(MATCH($V5704,$V$6:$V$10005,0)=ROW()-5,N($AA5703)+1,N($AA5703)))</f>
        <v>0</v>
      </c>
    </row>
    <row r="5705" spans="1:27" ht="21" customHeight="1" x14ac:dyDescent="0.95">
      <c r="A5705" s="56"/>
      <c r="B5705" s="57"/>
      <c r="C5705" s="57"/>
      <c r="D5705" s="57"/>
      <c r="E5705" s="56"/>
      <c r="F5705" s="57"/>
      <c r="G5705" s="57"/>
      <c r="H5705" s="56"/>
      <c r="I5705" s="56"/>
      <c r="J5705" s="58"/>
      <c r="K5705" s="58"/>
      <c r="L5705" s="13" t="str">
        <f t="shared" si="890"/>
        <v/>
      </c>
      <c r="M5705" s="13" t="str">
        <f t="shared" si="891"/>
        <v/>
      </c>
      <c r="Q5705" t="str">
        <f t="shared" si="892"/>
        <v/>
      </c>
      <c r="R5705" t="str">
        <f t="shared" si="893"/>
        <v/>
      </c>
      <c r="S5705" t="str">
        <f t="shared" si="894"/>
        <v/>
      </c>
      <c r="T5705" t="str">
        <f t="shared" si="895"/>
        <v/>
      </c>
      <c r="U5705" t="str">
        <f t="shared" si="896"/>
        <v/>
      </c>
      <c r="V5705" t="str">
        <f t="shared" si="897"/>
        <v/>
      </c>
      <c r="W5705" t="str">
        <f t="shared" si="898"/>
        <v/>
      </c>
      <c r="X5705">
        <f>IF($T5705="",N($X5704),IF(MATCH($T5705,$T$6:$T$10005,0)=ROW()-5,N($X5704)+1,N($X5704)))</f>
        <v>0</v>
      </c>
      <c r="Z5705" t="str">
        <f t="shared" si="899"/>
        <v/>
      </c>
      <c r="AA5705">
        <f>IF($V5705="",N($AA5704),IF(MATCH($V5705,$V$6:$V$10005,0)=ROW()-5,N($AA5704)+1,N($AA5704)))</f>
        <v>0</v>
      </c>
    </row>
    <row r="5706" spans="1:27" ht="21" customHeight="1" x14ac:dyDescent="0.95">
      <c r="A5706" s="56"/>
      <c r="B5706" s="57"/>
      <c r="C5706" s="57"/>
      <c r="D5706" s="57"/>
      <c r="E5706" s="56"/>
      <c r="F5706" s="57"/>
      <c r="G5706" s="57"/>
      <c r="H5706" s="56"/>
      <c r="I5706" s="56"/>
      <c r="J5706" s="58"/>
      <c r="K5706" s="58"/>
      <c r="L5706" s="13" t="str">
        <f t="shared" si="890"/>
        <v/>
      </c>
      <c r="M5706" s="13" t="str">
        <f t="shared" si="891"/>
        <v/>
      </c>
      <c r="Q5706" t="str">
        <f t="shared" si="892"/>
        <v/>
      </c>
      <c r="R5706" t="str">
        <f t="shared" si="893"/>
        <v/>
      </c>
      <c r="S5706" t="str">
        <f t="shared" si="894"/>
        <v/>
      </c>
      <c r="T5706" t="str">
        <f t="shared" si="895"/>
        <v/>
      </c>
      <c r="U5706" t="str">
        <f t="shared" si="896"/>
        <v/>
      </c>
      <c r="V5706" t="str">
        <f t="shared" si="897"/>
        <v/>
      </c>
      <c r="W5706" t="str">
        <f t="shared" si="898"/>
        <v/>
      </c>
      <c r="X5706">
        <f>IF($T5706="",N($X5705),IF(MATCH($T5706,$T$6:$T$10005,0)=ROW()-5,N($X5705)+1,N($X5705)))</f>
        <v>0</v>
      </c>
      <c r="Z5706" t="str">
        <f t="shared" si="899"/>
        <v/>
      </c>
      <c r="AA5706">
        <f>IF($V5706="",N($AA5705),IF(MATCH($V5706,$V$6:$V$10005,0)=ROW()-5,N($AA5705)+1,N($AA5705)))</f>
        <v>0</v>
      </c>
    </row>
    <row r="5707" spans="1:27" ht="21" customHeight="1" x14ac:dyDescent="0.95">
      <c r="A5707" s="56"/>
      <c r="B5707" s="57"/>
      <c r="C5707" s="57"/>
      <c r="D5707" s="57"/>
      <c r="E5707" s="56"/>
      <c r="F5707" s="57"/>
      <c r="G5707" s="57"/>
      <c r="H5707" s="56"/>
      <c r="I5707" s="56"/>
      <c r="J5707" s="58"/>
      <c r="K5707" s="58"/>
      <c r="L5707" s="13" t="str">
        <f t="shared" si="890"/>
        <v/>
      </c>
      <c r="M5707" s="13" t="str">
        <f t="shared" si="891"/>
        <v/>
      </c>
      <c r="Q5707" t="str">
        <f t="shared" si="892"/>
        <v/>
      </c>
      <c r="R5707" t="str">
        <f t="shared" si="893"/>
        <v/>
      </c>
      <c r="S5707" t="str">
        <f t="shared" si="894"/>
        <v/>
      </c>
      <c r="T5707" t="str">
        <f t="shared" si="895"/>
        <v/>
      </c>
      <c r="U5707" t="str">
        <f t="shared" si="896"/>
        <v/>
      </c>
      <c r="V5707" t="str">
        <f t="shared" si="897"/>
        <v/>
      </c>
      <c r="W5707" t="str">
        <f t="shared" si="898"/>
        <v/>
      </c>
      <c r="X5707">
        <f>IF($T5707="",N($X5706),IF(MATCH($T5707,$T$6:$T$10005,0)=ROW()-5,N($X5706)+1,N($X5706)))</f>
        <v>0</v>
      </c>
      <c r="Z5707" t="str">
        <f t="shared" si="899"/>
        <v/>
      </c>
      <c r="AA5707">
        <f>IF($V5707="",N($AA5706),IF(MATCH($V5707,$V$6:$V$10005,0)=ROW()-5,N($AA5706)+1,N($AA5706)))</f>
        <v>0</v>
      </c>
    </row>
    <row r="5708" spans="1:27" ht="21" customHeight="1" x14ac:dyDescent="0.95">
      <c r="A5708" s="56"/>
      <c r="B5708" s="57"/>
      <c r="C5708" s="57"/>
      <c r="D5708" s="57"/>
      <c r="E5708" s="56"/>
      <c r="F5708" s="57"/>
      <c r="G5708" s="57"/>
      <c r="H5708" s="56"/>
      <c r="I5708" s="56"/>
      <c r="J5708" s="58"/>
      <c r="K5708" s="58"/>
      <c r="L5708" s="13" t="str">
        <f t="shared" si="890"/>
        <v/>
      </c>
      <c r="M5708" s="13" t="str">
        <f t="shared" si="891"/>
        <v/>
      </c>
      <c r="Q5708" t="str">
        <f t="shared" si="892"/>
        <v/>
      </c>
      <c r="R5708" t="str">
        <f t="shared" si="893"/>
        <v/>
      </c>
      <c r="S5708" t="str">
        <f t="shared" si="894"/>
        <v/>
      </c>
      <c r="T5708" t="str">
        <f t="shared" si="895"/>
        <v/>
      </c>
      <c r="U5708" t="str">
        <f t="shared" si="896"/>
        <v/>
      </c>
      <c r="V5708" t="str">
        <f t="shared" si="897"/>
        <v/>
      </c>
      <c r="W5708" t="str">
        <f t="shared" si="898"/>
        <v/>
      </c>
      <c r="X5708">
        <f>IF($T5708="",N($X5707),IF(MATCH($T5708,$T$6:$T$10005,0)=ROW()-5,N($X5707)+1,N($X5707)))</f>
        <v>0</v>
      </c>
      <c r="Z5708" t="str">
        <f t="shared" si="899"/>
        <v/>
      </c>
      <c r="AA5708">
        <f>IF($V5708="",N($AA5707),IF(MATCH($V5708,$V$6:$V$10005,0)=ROW()-5,N($AA5707)+1,N($AA5707)))</f>
        <v>0</v>
      </c>
    </row>
    <row r="5709" spans="1:27" ht="21" customHeight="1" x14ac:dyDescent="0.95">
      <c r="A5709" s="56"/>
      <c r="B5709" s="57"/>
      <c r="C5709" s="57"/>
      <c r="D5709" s="57"/>
      <c r="E5709" s="56"/>
      <c r="F5709" s="57"/>
      <c r="G5709" s="57"/>
      <c r="H5709" s="56"/>
      <c r="I5709" s="56"/>
      <c r="J5709" s="58"/>
      <c r="K5709" s="58"/>
      <c r="L5709" s="13" t="str">
        <f t="shared" si="890"/>
        <v/>
      </c>
      <c r="M5709" s="13" t="str">
        <f t="shared" si="891"/>
        <v/>
      </c>
      <c r="Q5709" t="str">
        <f t="shared" si="892"/>
        <v/>
      </c>
      <c r="R5709" t="str">
        <f t="shared" si="893"/>
        <v/>
      </c>
      <c r="S5709" t="str">
        <f t="shared" si="894"/>
        <v/>
      </c>
      <c r="T5709" t="str">
        <f t="shared" si="895"/>
        <v/>
      </c>
      <c r="U5709" t="str">
        <f t="shared" si="896"/>
        <v/>
      </c>
      <c r="V5709" t="str">
        <f t="shared" si="897"/>
        <v/>
      </c>
      <c r="W5709" t="str">
        <f t="shared" si="898"/>
        <v/>
      </c>
      <c r="X5709">
        <f>IF($T5709="",N($X5708),IF(MATCH($T5709,$T$6:$T$10005,0)=ROW()-5,N($X5708)+1,N($X5708)))</f>
        <v>0</v>
      </c>
      <c r="Z5709" t="str">
        <f t="shared" si="899"/>
        <v/>
      </c>
      <c r="AA5709">
        <f>IF($V5709="",N($AA5708),IF(MATCH($V5709,$V$6:$V$10005,0)=ROW()-5,N($AA5708)+1,N($AA5708)))</f>
        <v>0</v>
      </c>
    </row>
    <row r="5710" spans="1:27" ht="21" customHeight="1" x14ac:dyDescent="0.95">
      <c r="A5710" s="56"/>
      <c r="B5710" s="57"/>
      <c r="C5710" s="57"/>
      <c r="D5710" s="57"/>
      <c r="E5710" s="56"/>
      <c r="F5710" s="57"/>
      <c r="G5710" s="57"/>
      <c r="H5710" s="56"/>
      <c r="I5710" s="56"/>
      <c r="J5710" s="58"/>
      <c r="K5710" s="58"/>
      <c r="L5710" s="13" t="str">
        <f t="shared" si="890"/>
        <v/>
      </c>
      <c r="M5710" s="13" t="str">
        <f t="shared" si="891"/>
        <v/>
      </c>
      <c r="Q5710" t="str">
        <f t="shared" si="892"/>
        <v/>
      </c>
      <c r="R5710" t="str">
        <f t="shared" si="893"/>
        <v/>
      </c>
      <c r="S5710" t="str">
        <f t="shared" si="894"/>
        <v/>
      </c>
      <c r="T5710" t="str">
        <f t="shared" si="895"/>
        <v/>
      </c>
      <c r="U5710" t="str">
        <f t="shared" si="896"/>
        <v/>
      </c>
      <c r="V5710" t="str">
        <f t="shared" si="897"/>
        <v/>
      </c>
      <c r="W5710" t="str">
        <f t="shared" si="898"/>
        <v/>
      </c>
      <c r="X5710">
        <f>IF($T5710="",N($X5709),IF(MATCH($T5710,$T$6:$T$10005,0)=ROW()-5,N($X5709)+1,N($X5709)))</f>
        <v>0</v>
      </c>
      <c r="Z5710" t="str">
        <f t="shared" si="899"/>
        <v/>
      </c>
      <c r="AA5710">
        <f>IF($V5710="",N($AA5709),IF(MATCH($V5710,$V$6:$V$10005,0)=ROW()-5,N($AA5709)+1,N($AA5709)))</f>
        <v>0</v>
      </c>
    </row>
    <row r="5711" spans="1:27" ht="21" customHeight="1" x14ac:dyDescent="0.95">
      <c r="A5711" s="56"/>
      <c r="B5711" s="57"/>
      <c r="C5711" s="57"/>
      <c r="D5711" s="57"/>
      <c r="E5711" s="56"/>
      <c r="F5711" s="57"/>
      <c r="G5711" s="57"/>
      <c r="H5711" s="56"/>
      <c r="I5711" s="56"/>
      <c r="J5711" s="58"/>
      <c r="K5711" s="58"/>
      <c r="L5711" s="13" t="str">
        <f t="shared" si="890"/>
        <v/>
      </c>
      <c r="M5711" s="13" t="str">
        <f t="shared" si="891"/>
        <v/>
      </c>
      <c r="Q5711" t="str">
        <f t="shared" si="892"/>
        <v/>
      </c>
      <c r="R5711" t="str">
        <f t="shared" si="893"/>
        <v/>
      </c>
      <c r="S5711" t="str">
        <f t="shared" si="894"/>
        <v/>
      </c>
      <c r="T5711" t="str">
        <f t="shared" si="895"/>
        <v/>
      </c>
      <c r="U5711" t="str">
        <f t="shared" si="896"/>
        <v/>
      </c>
      <c r="V5711" t="str">
        <f t="shared" si="897"/>
        <v/>
      </c>
      <c r="W5711" t="str">
        <f t="shared" si="898"/>
        <v/>
      </c>
      <c r="X5711">
        <f>IF($T5711="",N($X5710),IF(MATCH($T5711,$T$6:$T$10005,0)=ROW()-5,N($X5710)+1,N($X5710)))</f>
        <v>0</v>
      </c>
      <c r="Z5711" t="str">
        <f t="shared" si="899"/>
        <v/>
      </c>
      <c r="AA5711">
        <f>IF($V5711="",N($AA5710),IF(MATCH($V5711,$V$6:$V$10005,0)=ROW()-5,N($AA5710)+1,N($AA5710)))</f>
        <v>0</v>
      </c>
    </row>
    <row r="5712" spans="1:27" ht="21" customHeight="1" x14ac:dyDescent="0.95">
      <c r="A5712" s="56"/>
      <c r="B5712" s="57"/>
      <c r="C5712" s="57"/>
      <c r="D5712" s="57"/>
      <c r="E5712" s="56"/>
      <c r="F5712" s="57"/>
      <c r="G5712" s="57"/>
      <c r="H5712" s="56"/>
      <c r="I5712" s="56"/>
      <c r="J5712" s="58"/>
      <c r="K5712" s="58"/>
      <c r="L5712" s="13" t="str">
        <f t="shared" si="890"/>
        <v/>
      </c>
      <c r="M5712" s="13" t="str">
        <f t="shared" si="891"/>
        <v/>
      </c>
      <c r="Q5712" t="str">
        <f t="shared" si="892"/>
        <v/>
      </c>
      <c r="R5712" t="str">
        <f t="shared" si="893"/>
        <v/>
      </c>
      <c r="S5712" t="str">
        <f t="shared" si="894"/>
        <v/>
      </c>
      <c r="T5712" t="str">
        <f t="shared" si="895"/>
        <v/>
      </c>
      <c r="U5712" t="str">
        <f t="shared" si="896"/>
        <v/>
      </c>
      <c r="V5712" t="str">
        <f t="shared" si="897"/>
        <v/>
      </c>
      <c r="W5712" t="str">
        <f t="shared" si="898"/>
        <v/>
      </c>
      <c r="X5712">
        <f>IF($T5712="",N($X5711),IF(MATCH($T5712,$T$6:$T$10005,0)=ROW()-5,N($X5711)+1,N($X5711)))</f>
        <v>0</v>
      </c>
      <c r="Z5712" t="str">
        <f t="shared" si="899"/>
        <v/>
      </c>
      <c r="AA5712">
        <f>IF($V5712="",N($AA5711),IF(MATCH($V5712,$V$6:$V$10005,0)=ROW()-5,N($AA5711)+1,N($AA5711)))</f>
        <v>0</v>
      </c>
    </row>
    <row r="5713" spans="1:27" ht="21" customHeight="1" x14ac:dyDescent="0.95">
      <c r="A5713" s="56"/>
      <c r="B5713" s="57"/>
      <c r="C5713" s="57"/>
      <c r="D5713" s="57"/>
      <c r="E5713" s="56"/>
      <c r="F5713" s="57"/>
      <c r="G5713" s="57"/>
      <c r="H5713" s="56"/>
      <c r="I5713" s="56"/>
      <c r="J5713" s="58"/>
      <c r="K5713" s="58"/>
      <c r="L5713" s="13" t="str">
        <f t="shared" si="890"/>
        <v/>
      </c>
      <c r="M5713" s="13" t="str">
        <f t="shared" si="891"/>
        <v/>
      </c>
      <c r="Q5713" t="str">
        <f t="shared" si="892"/>
        <v/>
      </c>
      <c r="R5713" t="str">
        <f t="shared" si="893"/>
        <v/>
      </c>
      <c r="S5713" t="str">
        <f t="shared" si="894"/>
        <v/>
      </c>
      <c r="T5713" t="str">
        <f t="shared" si="895"/>
        <v/>
      </c>
      <c r="U5713" t="str">
        <f t="shared" si="896"/>
        <v/>
      </c>
      <c r="V5713" t="str">
        <f t="shared" si="897"/>
        <v/>
      </c>
      <c r="W5713" t="str">
        <f t="shared" si="898"/>
        <v/>
      </c>
      <c r="X5713">
        <f>IF($T5713="",N($X5712),IF(MATCH($T5713,$T$6:$T$10005,0)=ROW()-5,N($X5712)+1,N($X5712)))</f>
        <v>0</v>
      </c>
      <c r="Z5713" t="str">
        <f t="shared" si="899"/>
        <v/>
      </c>
      <c r="AA5713">
        <f>IF($V5713="",N($AA5712),IF(MATCH($V5713,$V$6:$V$10005,0)=ROW()-5,N($AA5712)+1,N($AA5712)))</f>
        <v>0</v>
      </c>
    </row>
    <row r="5714" spans="1:27" ht="21" customHeight="1" x14ac:dyDescent="0.95">
      <c r="A5714" s="56"/>
      <c r="B5714" s="57"/>
      <c r="C5714" s="57"/>
      <c r="D5714" s="57"/>
      <c r="E5714" s="56"/>
      <c r="F5714" s="57"/>
      <c r="G5714" s="57"/>
      <c r="H5714" s="56"/>
      <c r="I5714" s="56"/>
      <c r="J5714" s="58"/>
      <c r="K5714" s="58"/>
      <c r="L5714" s="13" t="str">
        <f t="shared" si="890"/>
        <v/>
      </c>
      <c r="M5714" s="13" t="str">
        <f t="shared" si="891"/>
        <v/>
      </c>
      <c r="Q5714" t="str">
        <f t="shared" si="892"/>
        <v/>
      </c>
      <c r="R5714" t="str">
        <f t="shared" si="893"/>
        <v/>
      </c>
      <c r="S5714" t="str">
        <f t="shared" si="894"/>
        <v/>
      </c>
      <c r="T5714" t="str">
        <f t="shared" si="895"/>
        <v/>
      </c>
      <c r="U5714" t="str">
        <f t="shared" si="896"/>
        <v/>
      </c>
      <c r="V5714" t="str">
        <f t="shared" si="897"/>
        <v/>
      </c>
      <c r="W5714" t="str">
        <f t="shared" si="898"/>
        <v/>
      </c>
      <c r="X5714">
        <f>IF($T5714="",N($X5713),IF(MATCH($T5714,$T$6:$T$10005,0)=ROW()-5,N($X5713)+1,N($X5713)))</f>
        <v>0</v>
      </c>
      <c r="Z5714" t="str">
        <f t="shared" si="899"/>
        <v/>
      </c>
      <c r="AA5714">
        <f>IF($V5714="",N($AA5713),IF(MATCH($V5714,$V$6:$V$10005,0)=ROW()-5,N($AA5713)+1,N($AA5713)))</f>
        <v>0</v>
      </c>
    </row>
    <row r="5715" spans="1:27" ht="21" customHeight="1" x14ac:dyDescent="0.95">
      <c r="A5715" s="56"/>
      <c r="B5715" s="57"/>
      <c r="C5715" s="57"/>
      <c r="D5715" s="57"/>
      <c r="E5715" s="56"/>
      <c r="F5715" s="57"/>
      <c r="G5715" s="57"/>
      <c r="H5715" s="56"/>
      <c r="I5715" s="56"/>
      <c r="J5715" s="58"/>
      <c r="K5715" s="58"/>
      <c r="L5715" s="13" t="str">
        <f t="shared" si="890"/>
        <v/>
      </c>
      <c r="M5715" s="13" t="str">
        <f t="shared" si="891"/>
        <v/>
      </c>
      <c r="Q5715" t="str">
        <f t="shared" si="892"/>
        <v/>
      </c>
      <c r="R5715" t="str">
        <f t="shared" si="893"/>
        <v/>
      </c>
      <c r="S5715" t="str">
        <f t="shared" si="894"/>
        <v/>
      </c>
      <c r="T5715" t="str">
        <f t="shared" si="895"/>
        <v/>
      </c>
      <c r="U5715" t="str">
        <f t="shared" si="896"/>
        <v/>
      </c>
      <c r="V5715" t="str">
        <f t="shared" si="897"/>
        <v/>
      </c>
      <c r="W5715" t="str">
        <f t="shared" si="898"/>
        <v/>
      </c>
      <c r="X5715">
        <f>IF($T5715="",N($X5714),IF(MATCH($T5715,$T$6:$T$10005,0)=ROW()-5,N($X5714)+1,N($X5714)))</f>
        <v>0</v>
      </c>
      <c r="Z5715" t="str">
        <f t="shared" si="899"/>
        <v/>
      </c>
      <c r="AA5715">
        <f>IF($V5715="",N($AA5714),IF(MATCH($V5715,$V$6:$V$10005,0)=ROW()-5,N($AA5714)+1,N($AA5714)))</f>
        <v>0</v>
      </c>
    </row>
    <row r="5716" spans="1:27" ht="21" customHeight="1" x14ac:dyDescent="0.95">
      <c r="A5716" s="56"/>
      <c r="B5716" s="57"/>
      <c r="C5716" s="57"/>
      <c r="D5716" s="57"/>
      <c r="E5716" s="56"/>
      <c r="F5716" s="57"/>
      <c r="G5716" s="57"/>
      <c r="H5716" s="56"/>
      <c r="I5716" s="56"/>
      <c r="J5716" s="58"/>
      <c r="K5716" s="58"/>
      <c r="L5716" s="13" t="str">
        <f t="shared" si="890"/>
        <v/>
      </c>
      <c r="M5716" s="13" t="str">
        <f t="shared" si="891"/>
        <v/>
      </c>
      <c r="Q5716" t="str">
        <f t="shared" si="892"/>
        <v/>
      </c>
      <c r="R5716" t="str">
        <f t="shared" si="893"/>
        <v/>
      </c>
      <c r="S5716" t="str">
        <f t="shared" si="894"/>
        <v/>
      </c>
      <c r="T5716" t="str">
        <f t="shared" si="895"/>
        <v/>
      </c>
      <c r="U5716" t="str">
        <f t="shared" si="896"/>
        <v/>
      </c>
      <c r="V5716" t="str">
        <f t="shared" si="897"/>
        <v/>
      </c>
      <c r="W5716" t="str">
        <f t="shared" si="898"/>
        <v/>
      </c>
      <c r="X5716">
        <f>IF($T5716="",N($X5715),IF(MATCH($T5716,$T$6:$T$10005,0)=ROW()-5,N($X5715)+1,N($X5715)))</f>
        <v>0</v>
      </c>
      <c r="Z5716" t="str">
        <f t="shared" si="899"/>
        <v/>
      </c>
      <c r="AA5716">
        <f>IF($V5716="",N($AA5715),IF(MATCH($V5716,$V$6:$V$10005,0)=ROW()-5,N($AA5715)+1,N($AA5715)))</f>
        <v>0</v>
      </c>
    </row>
    <row r="5717" spans="1:27" ht="21" customHeight="1" x14ac:dyDescent="0.95">
      <c r="A5717" s="56"/>
      <c r="B5717" s="57"/>
      <c r="C5717" s="57"/>
      <c r="D5717" s="57"/>
      <c r="E5717" s="56"/>
      <c r="F5717" s="57"/>
      <c r="G5717" s="57"/>
      <c r="H5717" s="56"/>
      <c r="I5717" s="56"/>
      <c r="J5717" s="58"/>
      <c r="K5717" s="58"/>
      <c r="L5717" s="13" t="str">
        <f t="shared" si="890"/>
        <v/>
      </c>
      <c r="M5717" s="13" t="str">
        <f t="shared" si="891"/>
        <v/>
      </c>
      <c r="Q5717" t="str">
        <f t="shared" si="892"/>
        <v/>
      </c>
      <c r="R5717" t="str">
        <f t="shared" si="893"/>
        <v/>
      </c>
      <c r="S5717" t="str">
        <f t="shared" si="894"/>
        <v/>
      </c>
      <c r="T5717" t="str">
        <f t="shared" si="895"/>
        <v/>
      </c>
      <c r="U5717" t="str">
        <f t="shared" si="896"/>
        <v/>
      </c>
      <c r="V5717" t="str">
        <f t="shared" si="897"/>
        <v/>
      </c>
      <c r="W5717" t="str">
        <f t="shared" si="898"/>
        <v/>
      </c>
      <c r="X5717">
        <f>IF($T5717="",N($X5716),IF(MATCH($T5717,$T$6:$T$10005,0)=ROW()-5,N($X5716)+1,N($X5716)))</f>
        <v>0</v>
      </c>
      <c r="Z5717" t="str">
        <f t="shared" si="899"/>
        <v/>
      </c>
      <c r="AA5717">
        <f>IF($V5717="",N($AA5716),IF(MATCH($V5717,$V$6:$V$10005,0)=ROW()-5,N($AA5716)+1,N($AA5716)))</f>
        <v>0</v>
      </c>
    </row>
    <row r="5718" spans="1:27" ht="21" customHeight="1" x14ac:dyDescent="0.95">
      <c r="A5718" s="56"/>
      <c r="B5718" s="57"/>
      <c r="C5718" s="57"/>
      <c r="D5718" s="57"/>
      <c r="E5718" s="56"/>
      <c r="F5718" s="57"/>
      <c r="G5718" s="57"/>
      <c r="H5718" s="56"/>
      <c r="I5718" s="56"/>
      <c r="J5718" s="58"/>
      <c r="K5718" s="58"/>
      <c r="L5718" s="13" t="str">
        <f t="shared" si="890"/>
        <v/>
      </c>
      <c r="M5718" s="13" t="str">
        <f t="shared" si="891"/>
        <v/>
      </c>
      <c r="Q5718" t="str">
        <f t="shared" si="892"/>
        <v/>
      </c>
      <c r="R5718" t="str">
        <f t="shared" si="893"/>
        <v/>
      </c>
      <c r="S5718" t="str">
        <f t="shared" si="894"/>
        <v/>
      </c>
      <c r="T5718" t="str">
        <f t="shared" si="895"/>
        <v/>
      </c>
      <c r="U5718" t="str">
        <f t="shared" si="896"/>
        <v/>
      </c>
      <c r="V5718" t="str">
        <f t="shared" si="897"/>
        <v/>
      </c>
      <c r="W5718" t="str">
        <f t="shared" si="898"/>
        <v/>
      </c>
      <c r="X5718">
        <f>IF($T5718="",N($X5717),IF(MATCH($T5718,$T$6:$T$10005,0)=ROW()-5,N($X5717)+1,N($X5717)))</f>
        <v>0</v>
      </c>
      <c r="Z5718" t="str">
        <f t="shared" si="899"/>
        <v/>
      </c>
      <c r="AA5718">
        <f>IF($V5718="",N($AA5717),IF(MATCH($V5718,$V$6:$V$10005,0)=ROW()-5,N($AA5717)+1,N($AA5717)))</f>
        <v>0</v>
      </c>
    </row>
    <row r="5719" spans="1:27" ht="21" customHeight="1" x14ac:dyDescent="0.95">
      <c r="A5719" s="56"/>
      <c r="B5719" s="57"/>
      <c r="C5719" s="57"/>
      <c r="D5719" s="57"/>
      <c r="E5719" s="56"/>
      <c r="F5719" s="57"/>
      <c r="G5719" s="57"/>
      <c r="H5719" s="56"/>
      <c r="I5719" s="56"/>
      <c r="J5719" s="58"/>
      <c r="K5719" s="58"/>
      <c r="L5719" s="13" t="str">
        <f t="shared" si="890"/>
        <v/>
      </c>
      <c r="M5719" s="13" t="str">
        <f t="shared" si="891"/>
        <v/>
      </c>
      <c r="Q5719" t="str">
        <f t="shared" si="892"/>
        <v/>
      </c>
      <c r="R5719" t="str">
        <f t="shared" si="893"/>
        <v/>
      </c>
      <c r="S5719" t="str">
        <f t="shared" si="894"/>
        <v/>
      </c>
      <c r="T5719" t="str">
        <f t="shared" si="895"/>
        <v/>
      </c>
      <c r="U5719" t="str">
        <f t="shared" si="896"/>
        <v/>
      </c>
      <c r="V5719" t="str">
        <f t="shared" si="897"/>
        <v/>
      </c>
      <c r="W5719" t="str">
        <f t="shared" si="898"/>
        <v/>
      </c>
      <c r="X5719">
        <f>IF($T5719="",N($X5718),IF(MATCH($T5719,$T$6:$T$10005,0)=ROW()-5,N($X5718)+1,N($X5718)))</f>
        <v>0</v>
      </c>
      <c r="Z5719" t="str">
        <f t="shared" si="899"/>
        <v/>
      </c>
      <c r="AA5719">
        <f>IF($V5719="",N($AA5718),IF(MATCH($V5719,$V$6:$V$10005,0)=ROW()-5,N($AA5718)+1,N($AA5718)))</f>
        <v>0</v>
      </c>
    </row>
    <row r="5720" spans="1:27" ht="21" customHeight="1" x14ac:dyDescent="0.95">
      <c r="A5720" s="56"/>
      <c r="B5720" s="57"/>
      <c r="C5720" s="57"/>
      <c r="D5720" s="57"/>
      <c r="E5720" s="56"/>
      <c r="F5720" s="57"/>
      <c r="G5720" s="57"/>
      <c r="H5720" s="56"/>
      <c r="I5720" s="56"/>
      <c r="J5720" s="58"/>
      <c r="K5720" s="58"/>
      <c r="L5720" s="13" t="str">
        <f t="shared" si="890"/>
        <v/>
      </c>
      <c r="M5720" s="13" t="str">
        <f t="shared" si="891"/>
        <v/>
      </c>
      <c r="Q5720" t="str">
        <f t="shared" si="892"/>
        <v/>
      </c>
      <c r="R5720" t="str">
        <f t="shared" si="893"/>
        <v/>
      </c>
      <c r="S5720" t="str">
        <f t="shared" si="894"/>
        <v/>
      </c>
      <c r="T5720" t="str">
        <f t="shared" si="895"/>
        <v/>
      </c>
      <c r="U5720" t="str">
        <f t="shared" si="896"/>
        <v/>
      </c>
      <c r="V5720" t="str">
        <f t="shared" si="897"/>
        <v/>
      </c>
      <c r="W5720" t="str">
        <f t="shared" si="898"/>
        <v/>
      </c>
      <c r="X5720">
        <f>IF($T5720="",N($X5719),IF(MATCH($T5720,$T$6:$T$10005,0)=ROW()-5,N($X5719)+1,N($X5719)))</f>
        <v>0</v>
      </c>
      <c r="Z5720" t="str">
        <f t="shared" si="899"/>
        <v/>
      </c>
      <c r="AA5720">
        <f>IF($V5720="",N($AA5719),IF(MATCH($V5720,$V$6:$V$10005,0)=ROW()-5,N($AA5719)+1,N($AA5719)))</f>
        <v>0</v>
      </c>
    </row>
    <row r="5721" spans="1:27" ht="21" customHeight="1" x14ac:dyDescent="0.95">
      <c r="A5721" s="56"/>
      <c r="B5721" s="57"/>
      <c r="C5721" s="57"/>
      <c r="D5721" s="57"/>
      <c r="E5721" s="56"/>
      <c r="F5721" s="57"/>
      <c r="G5721" s="57"/>
      <c r="H5721" s="56"/>
      <c r="I5721" s="56"/>
      <c r="J5721" s="58"/>
      <c r="K5721" s="58"/>
      <c r="L5721" s="13" t="str">
        <f t="shared" si="890"/>
        <v/>
      </c>
      <c r="M5721" s="13" t="str">
        <f t="shared" si="891"/>
        <v/>
      </c>
      <c r="Q5721" t="str">
        <f t="shared" si="892"/>
        <v/>
      </c>
      <c r="R5721" t="str">
        <f t="shared" si="893"/>
        <v/>
      </c>
      <c r="S5721" t="str">
        <f t="shared" si="894"/>
        <v/>
      </c>
      <c r="T5721" t="str">
        <f t="shared" si="895"/>
        <v/>
      </c>
      <c r="U5721" t="str">
        <f t="shared" si="896"/>
        <v/>
      </c>
      <c r="V5721" t="str">
        <f t="shared" si="897"/>
        <v/>
      </c>
      <c r="W5721" t="str">
        <f t="shared" si="898"/>
        <v/>
      </c>
      <c r="X5721">
        <f>IF($T5721="",N($X5720),IF(MATCH($T5721,$T$6:$T$10005,0)=ROW()-5,N($X5720)+1,N($X5720)))</f>
        <v>0</v>
      </c>
      <c r="Z5721" t="str">
        <f t="shared" si="899"/>
        <v/>
      </c>
      <c r="AA5721">
        <f>IF($V5721="",N($AA5720),IF(MATCH($V5721,$V$6:$V$10005,0)=ROW()-5,N($AA5720)+1,N($AA5720)))</f>
        <v>0</v>
      </c>
    </row>
    <row r="5722" spans="1:27" ht="21" customHeight="1" x14ac:dyDescent="0.95">
      <c r="A5722" s="56"/>
      <c r="B5722" s="57"/>
      <c r="C5722" s="57"/>
      <c r="D5722" s="57"/>
      <c r="E5722" s="56"/>
      <c r="F5722" s="57"/>
      <c r="G5722" s="57"/>
      <c r="H5722" s="56"/>
      <c r="I5722" s="56"/>
      <c r="J5722" s="58"/>
      <c r="K5722" s="58"/>
      <c r="L5722" s="13" t="str">
        <f t="shared" si="890"/>
        <v/>
      </c>
      <c r="M5722" s="13" t="str">
        <f t="shared" si="891"/>
        <v/>
      </c>
      <c r="Q5722" t="str">
        <f t="shared" si="892"/>
        <v/>
      </c>
      <c r="R5722" t="str">
        <f t="shared" si="893"/>
        <v/>
      </c>
      <c r="S5722" t="str">
        <f t="shared" si="894"/>
        <v/>
      </c>
      <c r="T5722" t="str">
        <f t="shared" si="895"/>
        <v/>
      </c>
      <c r="U5722" t="str">
        <f t="shared" si="896"/>
        <v/>
      </c>
      <c r="V5722" t="str">
        <f t="shared" si="897"/>
        <v/>
      </c>
      <c r="W5722" t="str">
        <f t="shared" si="898"/>
        <v/>
      </c>
      <c r="X5722">
        <f>IF($T5722="",N($X5721),IF(MATCH($T5722,$T$6:$T$10005,0)=ROW()-5,N($X5721)+1,N($X5721)))</f>
        <v>0</v>
      </c>
      <c r="Z5722" t="str">
        <f t="shared" si="899"/>
        <v/>
      </c>
      <c r="AA5722">
        <f>IF($V5722="",N($AA5721),IF(MATCH($V5722,$V$6:$V$10005,0)=ROW()-5,N($AA5721)+1,N($AA5721)))</f>
        <v>0</v>
      </c>
    </row>
    <row r="5723" spans="1:27" ht="21" customHeight="1" x14ac:dyDescent="0.95">
      <c r="A5723" s="56"/>
      <c r="B5723" s="57"/>
      <c r="C5723" s="57"/>
      <c r="D5723" s="57"/>
      <c r="E5723" s="56"/>
      <c r="F5723" s="57"/>
      <c r="G5723" s="57"/>
      <c r="H5723" s="56"/>
      <c r="I5723" s="56"/>
      <c r="J5723" s="58"/>
      <c r="K5723" s="58"/>
      <c r="L5723" s="13" t="str">
        <f t="shared" si="890"/>
        <v/>
      </c>
      <c r="M5723" s="13" t="str">
        <f t="shared" si="891"/>
        <v/>
      </c>
      <c r="Q5723" t="str">
        <f t="shared" si="892"/>
        <v/>
      </c>
      <c r="R5723" t="str">
        <f t="shared" si="893"/>
        <v/>
      </c>
      <c r="S5723" t="str">
        <f t="shared" si="894"/>
        <v/>
      </c>
      <c r="T5723" t="str">
        <f t="shared" si="895"/>
        <v/>
      </c>
      <c r="U5723" t="str">
        <f t="shared" si="896"/>
        <v/>
      </c>
      <c r="V5723" t="str">
        <f t="shared" si="897"/>
        <v/>
      </c>
      <c r="W5723" t="str">
        <f t="shared" si="898"/>
        <v/>
      </c>
      <c r="X5723">
        <f>IF($T5723="",N($X5722),IF(MATCH($T5723,$T$6:$T$10005,0)=ROW()-5,N($X5722)+1,N($X5722)))</f>
        <v>0</v>
      </c>
      <c r="Z5723" t="str">
        <f t="shared" si="899"/>
        <v/>
      </c>
      <c r="AA5723">
        <f>IF($V5723="",N($AA5722),IF(MATCH($V5723,$V$6:$V$10005,0)=ROW()-5,N($AA5722)+1,N($AA5722)))</f>
        <v>0</v>
      </c>
    </row>
    <row r="5724" spans="1:27" ht="21" customHeight="1" x14ac:dyDescent="0.95">
      <c r="A5724" s="56"/>
      <c r="B5724" s="57"/>
      <c r="C5724" s="57"/>
      <c r="D5724" s="57"/>
      <c r="E5724" s="56"/>
      <c r="F5724" s="57"/>
      <c r="G5724" s="57"/>
      <c r="H5724" s="56"/>
      <c r="I5724" s="56"/>
      <c r="J5724" s="58"/>
      <c r="K5724" s="58"/>
      <c r="L5724" s="13" t="str">
        <f t="shared" si="890"/>
        <v/>
      </c>
      <c r="M5724" s="13" t="str">
        <f t="shared" si="891"/>
        <v/>
      </c>
      <c r="Q5724" t="str">
        <f t="shared" si="892"/>
        <v/>
      </c>
      <c r="R5724" t="str">
        <f t="shared" si="893"/>
        <v/>
      </c>
      <c r="S5724" t="str">
        <f t="shared" si="894"/>
        <v/>
      </c>
      <c r="T5724" t="str">
        <f t="shared" si="895"/>
        <v/>
      </c>
      <c r="U5724" t="str">
        <f t="shared" si="896"/>
        <v/>
      </c>
      <c r="V5724" t="str">
        <f t="shared" si="897"/>
        <v/>
      </c>
      <c r="W5724" t="str">
        <f t="shared" si="898"/>
        <v/>
      </c>
      <c r="X5724">
        <f>IF($T5724="",N($X5723),IF(MATCH($T5724,$T$6:$T$10005,0)=ROW()-5,N($X5723)+1,N($X5723)))</f>
        <v>0</v>
      </c>
      <c r="Z5724" t="str">
        <f t="shared" si="899"/>
        <v/>
      </c>
      <c r="AA5724">
        <f>IF($V5724="",N($AA5723),IF(MATCH($V5724,$V$6:$V$10005,0)=ROW()-5,N($AA5723)+1,N($AA5723)))</f>
        <v>0</v>
      </c>
    </row>
    <row r="5725" spans="1:27" ht="21" customHeight="1" x14ac:dyDescent="0.95">
      <c r="A5725" s="56"/>
      <c r="B5725" s="57"/>
      <c r="C5725" s="57"/>
      <c r="D5725" s="57"/>
      <c r="E5725" s="56"/>
      <c r="F5725" s="57"/>
      <c r="G5725" s="57"/>
      <c r="H5725" s="56"/>
      <c r="I5725" s="56"/>
      <c r="J5725" s="58"/>
      <c r="K5725" s="58"/>
      <c r="L5725" s="13" t="str">
        <f t="shared" si="890"/>
        <v/>
      </c>
      <c r="M5725" s="13" t="str">
        <f t="shared" si="891"/>
        <v/>
      </c>
      <c r="Q5725" t="str">
        <f t="shared" si="892"/>
        <v/>
      </c>
      <c r="R5725" t="str">
        <f t="shared" si="893"/>
        <v/>
      </c>
      <c r="S5725" t="str">
        <f t="shared" si="894"/>
        <v/>
      </c>
      <c r="T5725" t="str">
        <f t="shared" si="895"/>
        <v/>
      </c>
      <c r="U5725" t="str">
        <f t="shared" si="896"/>
        <v/>
      </c>
      <c r="V5725" t="str">
        <f t="shared" si="897"/>
        <v/>
      </c>
      <c r="W5725" t="str">
        <f t="shared" si="898"/>
        <v/>
      </c>
      <c r="X5725">
        <f>IF($T5725="",N($X5724),IF(MATCH($T5725,$T$6:$T$10005,0)=ROW()-5,N($X5724)+1,N($X5724)))</f>
        <v>0</v>
      </c>
      <c r="Z5725" t="str">
        <f t="shared" si="899"/>
        <v/>
      </c>
      <c r="AA5725">
        <f>IF($V5725="",N($AA5724),IF(MATCH($V5725,$V$6:$V$10005,0)=ROW()-5,N($AA5724)+1,N($AA5724)))</f>
        <v>0</v>
      </c>
    </row>
    <row r="5726" spans="1:27" ht="21" customHeight="1" x14ac:dyDescent="0.95">
      <c r="A5726" s="56"/>
      <c r="B5726" s="57"/>
      <c r="C5726" s="57"/>
      <c r="D5726" s="57"/>
      <c r="E5726" s="56"/>
      <c r="F5726" s="57"/>
      <c r="G5726" s="57"/>
      <c r="H5726" s="56"/>
      <c r="I5726" s="56"/>
      <c r="J5726" s="58"/>
      <c r="K5726" s="58"/>
      <c r="L5726" s="13" t="str">
        <f t="shared" si="890"/>
        <v/>
      </c>
      <c r="M5726" s="13" t="str">
        <f t="shared" si="891"/>
        <v/>
      </c>
      <c r="Q5726" t="str">
        <f t="shared" si="892"/>
        <v/>
      </c>
      <c r="R5726" t="str">
        <f t="shared" si="893"/>
        <v/>
      </c>
      <c r="S5726" t="str">
        <f t="shared" si="894"/>
        <v/>
      </c>
      <c r="T5726" t="str">
        <f t="shared" si="895"/>
        <v/>
      </c>
      <c r="U5726" t="str">
        <f t="shared" si="896"/>
        <v/>
      </c>
      <c r="V5726" t="str">
        <f t="shared" si="897"/>
        <v/>
      </c>
      <c r="W5726" t="str">
        <f t="shared" si="898"/>
        <v/>
      </c>
      <c r="X5726">
        <f>IF($T5726="",N($X5725),IF(MATCH($T5726,$T$6:$T$10005,0)=ROW()-5,N($X5725)+1,N($X5725)))</f>
        <v>0</v>
      </c>
      <c r="Z5726" t="str">
        <f t="shared" si="899"/>
        <v/>
      </c>
      <c r="AA5726">
        <f>IF($V5726="",N($AA5725),IF(MATCH($V5726,$V$6:$V$10005,0)=ROW()-5,N($AA5725)+1,N($AA5725)))</f>
        <v>0</v>
      </c>
    </row>
    <row r="5727" spans="1:27" ht="21" customHeight="1" x14ac:dyDescent="0.95">
      <c r="A5727" s="56"/>
      <c r="B5727" s="57"/>
      <c r="C5727" s="57"/>
      <c r="D5727" s="57"/>
      <c r="E5727" s="56"/>
      <c r="F5727" s="57"/>
      <c r="G5727" s="57"/>
      <c r="H5727" s="56"/>
      <c r="I5727" s="56"/>
      <c r="J5727" s="58"/>
      <c r="K5727" s="58"/>
      <c r="L5727" s="13" t="str">
        <f t="shared" si="890"/>
        <v/>
      </c>
      <c r="M5727" s="13" t="str">
        <f t="shared" si="891"/>
        <v/>
      </c>
      <c r="Q5727" t="str">
        <f t="shared" si="892"/>
        <v/>
      </c>
      <c r="R5727" t="str">
        <f t="shared" si="893"/>
        <v/>
      </c>
      <c r="S5727" t="str">
        <f t="shared" si="894"/>
        <v/>
      </c>
      <c r="T5727" t="str">
        <f t="shared" si="895"/>
        <v/>
      </c>
      <c r="U5727" t="str">
        <f t="shared" si="896"/>
        <v/>
      </c>
      <c r="V5727" t="str">
        <f t="shared" si="897"/>
        <v/>
      </c>
      <c r="W5727" t="str">
        <f t="shared" si="898"/>
        <v/>
      </c>
      <c r="X5727">
        <f>IF($T5727="",N($X5726),IF(MATCH($T5727,$T$6:$T$10005,0)=ROW()-5,N($X5726)+1,N($X5726)))</f>
        <v>0</v>
      </c>
      <c r="Z5727" t="str">
        <f t="shared" si="899"/>
        <v/>
      </c>
      <c r="AA5727">
        <f>IF($V5727="",N($AA5726),IF(MATCH($V5727,$V$6:$V$10005,0)=ROW()-5,N($AA5726)+1,N($AA5726)))</f>
        <v>0</v>
      </c>
    </row>
    <row r="5728" spans="1:27" ht="21" customHeight="1" x14ac:dyDescent="0.95">
      <c r="A5728" s="56"/>
      <c r="B5728" s="57"/>
      <c r="C5728" s="57"/>
      <c r="D5728" s="57"/>
      <c r="E5728" s="56"/>
      <c r="F5728" s="57"/>
      <c r="G5728" s="57"/>
      <c r="H5728" s="56"/>
      <c r="I5728" s="56"/>
      <c r="J5728" s="58"/>
      <c r="K5728" s="58"/>
      <c r="L5728" s="13" t="str">
        <f t="shared" si="890"/>
        <v/>
      </c>
      <c r="M5728" s="13" t="str">
        <f t="shared" si="891"/>
        <v/>
      </c>
      <c r="Q5728" t="str">
        <f t="shared" si="892"/>
        <v/>
      </c>
      <c r="R5728" t="str">
        <f t="shared" si="893"/>
        <v/>
      </c>
      <c r="S5728" t="str">
        <f t="shared" si="894"/>
        <v/>
      </c>
      <c r="T5728" t="str">
        <f t="shared" si="895"/>
        <v/>
      </c>
      <c r="U5728" t="str">
        <f t="shared" si="896"/>
        <v/>
      </c>
      <c r="V5728" t="str">
        <f t="shared" si="897"/>
        <v/>
      </c>
      <c r="W5728" t="str">
        <f t="shared" si="898"/>
        <v/>
      </c>
      <c r="X5728">
        <f>IF($T5728="",N($X5727),IF(MATCH($T5728,$T$6:$T$10005,0)=ROW()-5,N($X5727)+1,N($X5727)))</f>
        <v>0</v>
      </c>
      <c r="Z5728" t="str">
        <f t="shared" si="899"/>
        <v/>
      </c>
      <c r="AA5728">
        <f>IF($V5728="",N($AA5727),IF(MATCH($V5728,$V$6:$V$10005,0)=ROW()-5,N($AA5727)+1,N($AA5727)))</f>
        <v>0</v>
      </c>
    </row>
    <row r="5729" spans="1:27" ht="21" customHeight="1" x14ac:dyDescent="0.95">
      <c r="A5729" s="56"/>
      <c r="B5729" s="57"/>
      <c r="C5729" s="57"/>
      <c r="D5729" s="57"/>
      <c r="E5729" s="56"/>
      <c r="F5729" s="57"/>
      <c r="G5729" s="57"/>
      <c r="H5729" s="56"/>
      <c r="I5729" s="56"/>
      <c r="J5729" s="58"/>
      <c r="K5729" s="58"/>
      <c r="L5729" s="13" t="str">
        <f t="shared" si="890"/>
        <v/>
      </c>
      <c r="M5729" s="13" t="str">
        <f t="shared" si="891"/>
        <v/>
      </c>
      <c r="Q5729" t="str">
        <f t="shared" si="892"/>
        <v/>
      </c>
      <c r="R5729" t="str">
        <f t="shared" si="893"/>
        <v/>
      </c>
      <c r="S5729" t="str">
        <f t="shared" si="894"/>
        <v/>
      </c>
      <c r="T5729" t="str">
        <f t="shared" si="895"/>
        <v/>
      </c>
      <c r="U5729" t="str">
        <f t="shared" si="896"/>
        <v/>
      </c>
      <c r="V5729" t="str">
        <f t="shared" si="897"/>
        <v/>
      </c>
      <c r="W5729" t="str">
        <f t="shared" si="898"/>
        <v/>
      </c>
      <c r="X5729">
        <f>IF($T5729="",N($X5728),IF(MATCH($T5729,$T$6:$T$10005,0)=ROW()-5,N($X5728)+1,N($X5728)))</f>
        <v>0</v>
      </c>
      <c r="Z5729" t="str">
        <f t="shared" si="899"/>
        <v/>
      </c>
      <c r="AA5729">
        <f>IF($V5729="",N($AA5728),IF(MATCH($V5729,$V$6:$V$10005,0)=ROW()-5,N($AA5728)+1,N($AA5728)))</f>
        <v>0</v>
      </c>
    </row>
    <row r="5730" spans="1:27" ht="21" customHeight="1" x14ac:dyDescent="0.95">
      <c r="A5730" s="56"/>
      <c r="B5730" s="57"/>
      <c r="C5730" s="57"/>
      <c r="D5730" s="57"/>
      <c r="E5730" s="56"/>
      <c r="F5730" s="57"/>
      <c r="G5730" s="57"/>
      <c r="H5730" s="56"/>
      <c r="I5730" s="56"/>
      <c r="J5730" s="58"/>
      <c r="K5730" s="58"/>
      <c r="L5730" s="13" t="str">
        <f t="shared" si="890"/>
        <v/>
      </c>
      <c r="M5730" s="13" t="str">
        <f t="shared" si="891"/>
        <v/>
      </c>
      <c r="Q5730" t="str">
        <f t="shared" si="892"/>
        <v/>
      </c>
      <c r="R5730" t="str">
        <f t="shared" si="893"/>
        <v/>
      </c>
      <c r="S5730" t="str">
        <f t="shared" si="894"/>
        <v/>
      </c>
      <c r="T5730" t="str">
        <f t="shared" si="895"/>
        <v/>
      </c>
      <c r="U5730" t="str">
        <f t="shared" si="896"/>
        <v/>
      </c>
      <c r="V5730" t="str">
        <f t="shared" si="897"/>
        <v/>
      </c>
      <c r="W5730" t="str">
        <f t="shared" si="898"/>
        <v/>
      </c>
      <c r="X5730">
        <f>IF($T5730="",N($X5729),IF(MATCH($T5730,$T$6:$T$10005,0)=ROW()-5,N($X5729)+1,N($X5729)))</f>
        <v>0</v>
      </c>
      <c r="Z5730" t="str">
        <f t="shared" si="899"/>
        <v/>
      </c>
      <c r="AA5730">
        <f>IF($V5730="",N($AA5729),IF(MATCH($V5730,$V$6:$V$10005,0)=ROW()-5,N($AA5729)+1,N($AA5729)))</f>
        <v>0</v>
      </c>
    </row>
    <row r="5731" spans="1:27" ht="21" customHeight="1" x14ac:dyDescent="0.95">
      <c r="A5731" s="56"/>
      <c r="B5731" s="57"/>
      <c r="C5731" s="57"/>
      <c r="D5731" s="57"/>
      <c r="E5731" s="56"/>
      <c r="F5731" s="57"/>
      <c r="G5731" s="57"/>
      <c r="H5731" s="56"/>
      <c r="I5731" s="56"/>
      <c r="J5731" s="58"/>
      <c r="K5731" s="58"/>
      <c r="L5731" s="13" t="str">
        <f t="shared" si="890"/>
        <v/>
      </c>
      <c r="M5731" s="13" t="str">
        <f t="shared" si="891"/>
        <v/>
      </c>
      <c r="Q5731" t="str">
        <f t="shared" si="892"/>
        <v/>
      </c>
      <c r="R5731" t="str">
        <f t="shared" si="893"/>
        <v/>
      </c>
      <c r="S5731" t="str">
        <f t="shared" si="894"/>
        <v/>
      </c>
      <c r="T5731" t="str">
        <f t="shared" si="895"/>
        <v/>
      </c>
      <c r="U5731" t="str">
        <f t="shared" si="896"/>
        <v/>
      </c>
      <c r="V5731" t="str">
        <f t="shared" si="897"/>
        <v/>
      </c>
      <c r="W5731" t="str">
        <f t="shared" si="898"/>
        <v/>
      </c>
      <c r="X5731">
        <f>IF($T5731="",N($X5730),IF(MATCH($T5731,$T$6:$T$10005,0)=ROW()-5,N($X5730)+1,N($X5730)))</f>
        <v>0</v>
      </c>
      <c r="Z5731" t="str">
        <f t="shared" si="899"/>
        <v/>
      </c>
      <c r="AA5731">
        <f>IF($V5731="",N($AA5730),IF(MATCH($V5731,$V$6:$V$10005,0)=ROW()-5,N($AA5730)+1,N($AA5730)))</f>
        <v>0</v>
      </c>
    </row>
    <row r="5732" spans="1:27" ht="21" customHeight="1" x14ac:dyDescent="0.95">
      <c r="A5732" s="56"/>
      <c r="B5732" s="57"/>
      <c r="C5732" s="57"/>
      <c r="D5732" s="57"/>
      <c r="E5732" s="56"/>
      <c r="F5732" s="57"/>
      <c r="G5732" s="57"/>
      <c r="H5732" s="56"/>
      <c r="I5732" s="56"/>
      <c r="J5732" s="58"/>
      <c r="K5732" s="58"/>
      <c r="L5732" s="13" t="str">
        <f t="shared" si="890"/>
        <v/>
      </c>
      <c r="M5732" s="13" t="str">
        <f t="shared" si="891"/>
        <v/>
      </c>
      <c r="Q5732" t="str">
        <f t="shared" si="892"/>
        <v/>
      </c>
      <c r="R5732" t="str">
        <f t="shared" si="893"/>
        <v/>
      </c>
      <c r="S5732" t="str">
        <f t="shared" si="894"/>
        <v/>
      </c>
      <c r="T5732" t="str">
        <f t="shared" si="895"/>
        <v/>
      </c>
      <c r="U5732" t="str">
        <f t="shared" si="896"/>
        <v/>
      </c>
      <c r="V5732" t="str">
        <f t="shared" si="897"/>
        <v/>
      </c>
      <c r="W5732" t="str">
        <f t="shared" si="898"/>
        <v/>
      </c>
      <c r="X5732">
        <f>IF($T5732="",N($X5731),IF(MATCH($T5732,$T$6:$T$10005,0)=ROW()-5,N($X5731)+1,N($X5731)))</f>
        <v>0</v>
      </c>
      <c r="Z5732" t="str">
        <f t="shared" si="899"/>
        <v/>
      </c>
      <c r="AA5732">
        <f>IF($V5732="",N($AA5731),IF(MATCH($V5732,$V$6:$V$10005,0)=ROW()-5,N($AA5731)+1,N($AA5731)))</f>
        <v>0</v>
      </c>
    </row>
    <row r="5733" spans="1:27" ht="21" customHeight="1" x14ac:dyDescent="0.95">
      <c r="A5733" s="56"/>
      <c r="B5733" s="57"/>
      <c r="C5733" s="57"/>
      <c r="D5733" s="57"/>
      <c r="E5733" s="56"/>
      <c r="F5733" s="57"/>
      <c r="G5733" s="57"/>
      <c r="H5733" s="56"/>
      <c r="I5733" s="56"/>
      <c r="J5733" s="58"/>
      <c r="K5733" s="58"/>
      <c r="L5733" s="13" t="str">
        <f t="shared" si="890"/>
        <v/>
      </c>
      <c r="M5733" s="13" t="str">
        <f t="shared" si="891"/>
        <v/>
      </c>
      <c r="Q5733" t="str">
        <f t="shared" si="892"/>
        <v/>
      </c>
      <c r="R5733" t="str">
        <f t="shared" si="893"/>
        <v/>
      </c>
      <c r="S5733" t="str">
        <f t="shared" si="894"/>
        <v/>
      </c>
      <c r="T5733" t="str">
        <f t="shared" si="895"/>
        <v/>
      </c>
      <c r="U5733" t="str">
        <f t="shared" si="896"/>
        <v/>
      </c>
      <c r="V5733" t="str">
        <f t="shared" si="897"/>
        <v/>
      </c>
      <c r="W5733" t="str">
        <f t="shared" si="898"/>
        <v/>
      </c>
      <c r="X5733">
        <f>IF($T5733="",N($X5732),IF(MATCH($T5733,$T$6:$T$10005,0)=ROW()-5,N($X5732)+1,N($X5732)))</f>
        <v>0</v>
      </c>
      <c r="Z5733" t="str">
        <f t="shared" si="899"/>
        <v/>
      </c>
      <c r="AA5733">
        <f>IF($V5733="",N($AA5732),IF(MATCH($V5733,$V$6:$V$10005,0)=ROW()-5,N($AA5732)+1,N($AA5732)))</f>
        <v>0</v>
      </c>
    </row>
    <row r="5734" spans="1:27" ht="21" customHeight="1" x14ac:dyDescent="0.95">
      <c r="A5734" s="56"/>
      <c r="B5734" s="57"/>
      <c r="C5734" s="57"/>
      <c r="D5734" s="57"/>
      <c r="E5734" s="56"/>
      <c r="F5734" s="57"/>
      <c r="G5734" s="57"/>
      <c r="H5734" s="56"/>
      <c r="I5734" s="56"/>
      <c r="J5734" s="58"/>
      <c r="K5734" s="58"/>
      <c r="L5734" s="13" t="str">
        <f t="shared" si="890"/>
        <v/>
      </c>
      <c r="M5734" s="13" t="str">
        <f t="shared" si="891"/>
        <v/>
      </c>
      <c r="Q5734" t="str">
        <f t="shared" si="892"/>
        <v/>
      </c>
      <c r="R5734" t="str">
        <f t="shared" si="893"/>
        <v/>
      </c>
      <c r="S5734" t="str">
        <f t="shared" si="894"/>
        <v/>
      </c>
      <c r="T5734" t="str">
        <f t="shared" si="895"/>
        <v/>
      </c>
      <c r="U5734" t="str">
        <f t="shared" si="896"/>
        <v/>
      </c>
      <c r="V5734" t="str">
        <f t="shared" si="897"/>
        <v/>
      </c>
      <c r="W5734" t="str">
        <f t="shared" si="898"/>
        <v/>
      </c>
      <c r="X5734">
        <f>IF($T5734="",N($X5733),IF(MATCH($T5734,$T$6:$T$10005,0)=ROW()-5,N($X5733)+1,N($X5733)))</f>
        <v>0</v>
      </c>
      <c r="Z5734" t="str">
        <f t="shared" si="899"/>
        <v/>
      </c>
      <c r="AA5734">
        <f>IF($V5734="",N($AA5733),IF(MATCH($V5734,$V$6:$V$10005,0)=ROW()-5,N($AA5733)+1,N($AA5733)))</f>
        <v>0</v>
      </c>
    </row>
    <row r="5735" spans="1:27" ht="21" customHeight="1" x14ac:dyDescent="0.95">
      <c r="A5735" s="56"/>
      <c r="B5735" s="57"/>
      <c r="C5735" s="57"/>
      <c r="D5735" s="57"/>
      <c r="E5735" s="56"/>
      <c r="F5735" s="57"/>
      <c r="G5735" s="57"/>
      <c r="H5735" s="56"/>
      <c r="I5735" s="56"/>
      <c r="J5735" s="58"/>
      <c r="K5735" s="58"/>
      <c r="L5735" s="13" t="str">
        <f t="shared" si="890"/>
        <v/>
      </c>
      <c r="M5735" s="13" t="str">
        <f t="shared" si="891"/>
        <v/>
      </c>
      <c r="Q5735" t="str">
        <f t="shared" si="892"/>
        <v/>
      </c>
      <c r="R5735" t="str">
        <f t="shared" si="893"/>
        <v/>
      </c>
      <c r="S5735" t="str">
        <f t="shared" si="894"/>
        <v/>
      </c>
      <c r="T5735" t="str">
        <f t="shared" si="895"/>
        <v/>
      </c>
      <c r="U5735" t="str">
        <f t="shared" si="896"/>
        <v/>
      </c>
      <c r="V5735" t="str">
        <f t="shared" si="897"/>
        <v/>
      </c>
      <c r="W5735" t="str">
        <f t="shared" si="898"/>
        <v/>
      </c>
      <c r="X5735">
        <f>IF($T5735="",N($X5734),IF(MATCH($T5735,$T$6:$T$10005,0)=ROW()-5,N($X5734)+1,N($X5734)))</f>
        <v>0</v>
      </c>
      <c r="Z5735" t="str">
        <f t="shared" si="899"/>
        <v/>
      </c>
      <c r="AA5735">
        <f>IF($V5735="",N($AA5734),IF(MATCH($V5735,$V$6:$V$10005,0)=ROW()-5,N($AA5734)+1,N($AA5734)))</f>
        <v>0</v>
      </c>
    </row>
    <row r="5736" spans="1:27" ht="21" customHeight="1" x14ac:dyDescent="0.95">
      <c r="A5736" s="56"/>
      <c r="B5736" s="57"/>
      <c r="C5736" s="57"/>
      <c r="D5736" s="57"/>
      <c r="E5736" s="56"/>
      <c r="F5736" s="57"/>
      <c r="G5736" s="57"/>
      <c r="H5736" s="56"/>
      <c r="I5736" s="56"/>
      <c r="J5736" s="58"/>
      <c r="K5736" s="58"/>
      <c r="L5736" s="13" t="str">
        <f t="shared" si="890"/>
        <v/>
      </c>
      <c r="M5736" s="13" t="str">
        <f t="shared" si="891"/>
        <v/>
      </c>
      <c r="Q5736" t="str">
        <f t="shared" si="892"/>
        <v/>
      </c>
      <c r="R5736" t="str">
        <f t="shared" si="893"/>
        <v/>
      </c>
      <c r="S5736" t="str">
        <f t="shared" si="894"/>
        <v/>
      </c>
      <c r="T5736" t="str">
        <f t="shared" si="895"/>
        <v/>
      </c>
      <c r="U5736" t="str">
        <f t="shared" si="896"/>
        <v/>
      </c>
      <c r="V5736" t="str">
        <f t="shared" si="897"/>
        <v/>
      </c>
      <c r="W5736" t="str">
        <f t="shared" si="898"/>
        <v/>
      </c>
      <c r="X5736">
        <f>IF($T5736="",N($X5735),IF(MATCH($T5736,$T$6:$T$10005,0)=ROW()-5,N($X5735)+1,N($X5735)))</f>
        <v>0</v>
      </c>
      <c r="Z5736" t="str">
        <f t="shared" si="899"/>
        <v/>
      </c>
      <c r="AA5736">
        <f>IF($V5736="",N($AA5735),IF(MATCH($V5736,$V$6:$V$10005,0)=ROW()-5,N($AA5735)+1,N($AA5735)))</f>
        <v>0</v>
      </c>
    </row>
    <row r="5737" spans="1:27" ht="21" customHeight="1" x14ac:dyDescent="0.95">
      <c r="A5737" s="56"/>
      <c r="B5737" s="57"/>
      <c r="C5737" s="57"/>
      <c r="D5737" s="57"/>
      <c r="E5737" s="56"/>
      <c r="F5737" s="57"/>
      <c r="G5737" s="57"/>
      <c r="H5737" s="56"/>
      <c r="I5737" s="56"/>
      <c r="J5737" s="58"/>
      <c r="K5737" s="58"/>
      <c r="L5737" s="13" t="str">
        <f t="shared" si="890"/>
        <v/>
      </c>
      <c r="M5737" s="13" t="str">
        <f t="shared" si="891"/>
        <v/>
      </c>
      <c r="Q5737" t="str">
        <f t="shared" si="892"/>
        <v/>
      </c>
      <c r="R5737" t="str">
        <f t="shared" si="893"/>
        <v/>
      </c>
      <c r="S5737" t="str">
        <f t="shared" si="894"/>
        <v/>
      </c>
      <c r="T5737" t="str">
        <f t="shared" si="895"/>
        <v/>
      </c>
      <c r="U5737" t="str">
        <f t="shared" si="896"/>
        <v/>
      </c>
      <c r="V5737" t="str">
        <f t="shared" si="897"/>
        <v/>
      </c>
      <c r="W5737" t="str">
        <f t="shared" si="898"/>
        <v/>
      </c>
      <c r="X5737">
        <f>IF($T5737="",N($X5736),IF(MATCH($T5737,$T$6:$T$10005,0)=ROW()-5,N($X5736)+1,N($X5736)))</f>
        <v>0</v>
      </c>
      <c r="Z5737" t="str">
        <f t="shared" si="899"/>
        <v/>
      </c>
      <c r="AA5737">
        <f>IF($V5737="",N($AA5736),IF(MATCH($V5737,$V$6:$V$10005,0)=ROW()-5,N($AA5736)+1,N($AA5736)))</f>
        <v>0</v>
      </c>
    </row>
    <row r="5738" spans="1:27" ht="21" customHeight="1" x14ac:dyDescent="0.95">
      <c r="A5738" s="56"/>
      <c r="B5738" s="57"/>
      <c r="C5738" s="57"/>
      <c r="D5738" s="57"/>
      <c r="E5738" s="56"/>
      <c r="F5738" s="57"/>
      <c r="G5738" s="57"/>
      <c r="H5738" s="56"/>
      <c r="I5738" s="56"/>
      <c r="J5738" s="58"/>
      <c r="K5738" s="58"/>
      <c r="L5738" s="13" t="str">
        <f t="shared" si="890"/>
        <v/>
      </c>
      <c r="M5738" s="13" t="str">
        <f t="shared" si="891"/>
        <v/>
      </c>
      <c r="Q5738" t="str">
        <f t="shared" si="892"/>
        <v/>
      </c>
      <c r="R5738" t="str">
        <f t="shared" si="893"/>
        <v/>
      </c>
      <c r="S5738" t="str">
        <f t="shared" si="894"/>
        <v/>
      </c>
      <c r="T5738" t="str">
        <f t="shared" si="895"/>
        <v/>
      </c>
      <c r="U5738" t="str">
        <f t="shared" si="896"/>
        <v/>
      </c>
      <c r="V5738" t="str">
        <f t="shared" si="897"/>
        <v/>
      </c>
      <c r="W5738" t="str">
        <f t="shared" si="898"/>
        <v/>
      </c>
      <c r="X5738">
        <f>IF($T5738="",N($X5737),IF(MATCH($T5738,$T$6:$T$10005,0)=ROW()-5,N($X5737)+1,N($X5737)))</f>
        <v>0</v>
      </c>
      <c r="Z5738" t="str">
        <f t="shared" si="899"/>
        <v/>
      </c>
      <c r="AA5738">
        <f>IF($V5738="",N($AA5737),IF(MATCH($V5738,$V$6:$V$10005,0)=ROW()-5,N($AA5737)+1,N($AA5737)))</f>
        <v>0</v>
      </c>
    </row>
    <row r="5739" spans="1:27" ht="21" customHeight="1" x14ac:dyDescent="0.95">
      <c r="A5739" s="56"/>
      <c r="B5739" s="57"/>
      <c r="C5739" s="57"/>
      <c r="D5739" s="57"/>
      <c r="E5739" s="56"/>
      <c r="F5739" s="57"/>
      <c r="G5739" s="57"/>
      <c r="H5739" s="56"/>
      <c r="I5739" s="56"/>
      <c r="J5739" s="58"/>
      <c r="K5739" s="58"/>
      <c r="L5739" s="13" t="str">
        <f t="shared" si="890"/>
        <v/>
      </c>
      <c r="M5739" s="13" t="str">
        <f t="shared" si="891"/>
        <v/>
      </c>
      <c r="Q5739" t="str">
        <f t="shared" si="892"/>
        <v/>
      </c>
      <c r="R5739" t="str">
        <f t="shared" si="893"/>
        <v/>
      </c>
      <c r="S5739" t="str">
        <f t="shared" si="894"/>
        <v/>
      </c>
      <c r="T5739" t="str">
        <f t="shared" si="895"/>
        <v/>
      </c>
      <c r="U5739" t="str">
        <f t="shared" si="896"/>
        <v/>
      </c>
      <c r="V5739" t="str">
        <f t="shared" si="897"/>
        <v/>
      </c>
      <c r="W5739" t="str">
        <f t="shared" si="898"/>
        <v/>
      </c>
      <c r="X5739">
        <f>IF($T5739="",N($X5738),IF(MATCH($T5739,$T$6:$T$10005,0)=ROW()-5,N($X5738)+1,N($X5738)))</f>
        <v>0</v>
      </c>
      <c r="Z5739" t="str">
        <f t="shared" si="899"/>
        <v/>
      </c>
      <c r="AA5739">
        <f>IF($V5739="",N($AA5738),IF(MATCH($V5739,$V$6:$V$10005,0)=ROW()-5,N($AA5738)+1,N($AA5738)))</f>
        <v>0</v>
      </c>
    </row>
    <row r="5740" spans="1:27" ht="21" customHeight="1" x14ac:dyDescent="0.95">
      <c r="A5740" s="56"/>
      <c r="B5740" s="57"/>
      <c r="C5740" s="57"/>
      <c r="D5740" s="57"/>
      <c r="E5740" s="56"/>
      <c r="F5740" s="57"/>
      <c r="G5740" s="57"/>
      <c r="H5740" s="56"/>
      <c r="I5740" s="56"/>
      <c r="J5740" s="58"/>
      <c r="K5740" s="58"/>
      <c r="L5740" s="13" t="str">
        <f t="shared" si="890"/>
        <v/>
      </c>
      <c r="M5740" s="13" t="str">
        <f t="shared" si="891"/>
        <v/>
      </c>
      <c r="Q5740" t="str">
        <f t="shared" si="892"/>
        <v/>
      </c>
      <c r="R5740" t="str">
        <f t="shared" si="893"/>
        <v/>
      </c>
      <c r="S5740" t="str">
        <f t="shared" si="894"/>
        <v/>
      </c>
      <c r="T5740" t="str">
        <f t="shared" si="895"/>
        <v/>
      </c>
      <c r="U5740" t="str">
        <f t="shared" si="896"/>
        <v/>
      </c>
      <c r="V5740" t="str">
        <f t="shared" si="897"/>
        <v/>
      </c>
      <c r="W5740" t="str">
        <f t="shared" si="898"/>
        <v/>
      </c>
      <c r="X5740">
        <f>IF($T5740="",N($X5739),IF(MATCH($T5740,$T$6:$T$10005,0)=ROW()-5,N($X5739)+1,N($X5739)))</f>
        <v>0</v>
      </c>
      <c r="Z5740" t="str">
        <f t="shared" si="899"/>
        <v/>
      </c>
      <c r="AA5740">
        <f>IF($V5740="",N($AA5739),IF(MATCH($V5740,$V$6:$V$10005,0)=ROW()-5,N($AA5739)+1,N($AA5739)))</f>
        <v>0</v>
      </c>
    </row>
    <row r="5741" spans="1:27" ht="21" customHeight="1" x14ac:dyDescent="0.95">
      <c r="A5741" s="56"/>
      <c r="B5741" s="57"/>
      <c r="C5741" s="57"/>
      <c r="D5741" s="57"/>
      <c r="E5741" s="56"/>
      <c r="F5741" s="57"/>
      <c r="G5741" s="57"/>
      <c r="H5741" s="56"/>
      <c r="I5741" s="56"/>
      <c r="J5741" s="58"/>
      <c r="K5741" s="58"/>
      <c r="L5741" s="13" t="str">
        <f t="shared" si="890"/>
        <v/>
      </c>
      <c r="M5741" s="13" t="str">
        <f t="shared" si="891"/>
        <v/>
      </c>
      <c r="Q5741" t="str">
        <f t="shared" si="892"/>
        <v/>
      </c>
      <c r="R5741" t="str">
        <f t="shared" si="893"/>
        <v/>
      </c>
      <c r="S5741" t="str">
        <f t="shared" si="894"/>
        <v/>
      </c>
      <c r="T5741" t="str">
        <f t="shared" si="895"/>
        <v/>
      </c>
      <c r="U5741" t="str">
        <f t="shared" si="896"/>
        <v/>
      </c>
      <c r="V5741" t="str">
        <f t="shared" si="897"/>
        <v/>
      </c>
      <c r="W5741" t="str">
        <f t="shared" si="898"/>
        <v/>
      </c>
      <c r="X5741">
        <f>IF($T5741="",N($X5740),IF(MATCH($T5741,$T$6:$T$10005,0)=ROW()-5,N($X5740)+1,N($X5740)))</f>
        <v>0</v>
      </c>
      <c r="Z5741" t="str">
        <f t="shared" si="899"/>
        <v/>
      </c>
      <c r="AA5741">
        <f>IF($V5741="",N($AA5740),IF(MATCH($V5741,$V$6:$V$10005,0)=ROW()-5,N($AA5740)+1,N($AA5740)))</f>
        <v>0</v>
      </c>
    </row>
    <row r="5742" spans="1:27" ht="21" customHeight="1" x14ac:dyDescent="0.95">
      <c r="A5742" s="56"/>
      <c r="B5742" s="57"/>
      <c r="C5742" s="57"/>
      <c r="D5742" s="57"/>
      <c r="E5742" s="56"/>
      <c r="F5742" s="57"/>
      <c r="G5742" s="57"/>
      <c r="H5742" s="56"/>
      <c r="I5742" s="56"/>
      <c r="J5742" s="58"/>
      <c r="K5742" s="58"/>
      <c r="L5742" s="13" t="str">
        <f t="shared" si="890"/>
        <v/>
      </c>
      <c r="M5742" s="13" t="str">
        <f t="shared" si="891"/>
        <v/>
      </c>
      <c r="Q5742" t="str">
        <f t="shared" si="892"/>
        <v/>
      </c>
      <c r="R5742" t="str">
        <f t="shared" si="893"/>
        <v/>
      </c>
      <c r="S5742" t="str">
        <f t="shared" si="894"/>
        <v/>
      </c>
      <c r="T5742" t="str">
        <f t="shared" si="895"/>
        <v/>
      </c>
      <c r="U5742" t="str">
        <f t="shared" si="896"/>
        <v/>
      </c>
      <c r="V5742" t="str">
        <f t="shared" si="897"/>
        <v/>
      </c>
      <c r="W5742" t="str">
        <f t="shared" si="898"/>
        <v/>
      </c>
      <c r="X5742">
        <f>IF($T5742="",N($X5741),IF(MATCH($T5742,$T$6:$T$10005,0)=ROW()-5,N($X5741)+1,N($X5741)))</f>
        <v>0</v>
      </c>
      <c r="Z5742" t="str">
        <f t="shared" si="899"/>
        <v/>
      </c>
      <c r="AA5742">
        <f>IF($V5742="",N($AA5741),IF(MATCH($V5742,$V$6:$V$10005,0)=ROW()-5,N($AA5741)+1,N($AA5741)))</f>
        <v>0</v>
      </c>
    </row>
    <row r="5743" spans="1:27" ht="21" customHeight="1" x14ac:dyDescent="0.95">
      <c r="A5743" s="56"/>
      <c r="B5743" s="57"/>
      <c r="C5743" s="57"/>
      <c r="D5743" s="57"/>
      <c r="E5743" s="56"/>
      <c r="F5743" s="57"/>
      <c r="G5743" s="57"/>
      <c r="H5743" s="56"/>
      <c r="I5743" s="56"/>
      <c r="J5743" s="58"/>
      <c r="K5743" s="58"/>
      <c r="L5743" s="13" t="str">
        <f t="shared" si="890"/>
        <v/>
      </c>
      <c r="M5743" s="13" t="str">
        <f t="shared" si="891"/>
        <v/>
      </c>
      <c r="Q5743" t="str">
        <f t="shared" si="892"/>
        <v/>
      </c>
      <c r="R5743" t="str">
        <f t="shared" si="893"/>
        <v/>
      </c>
      <c r="S5743" t="str">
        <f t="shared" si="894"/>
        <v/>
      </c>
      <c r="T5743" t="str">
        <f t="shared" si="895"/>
        <v/>
      </c>
      <c r="U5743" t="str">
        <f t="shared" si="896"/>
        <v/>
      </c>
      <c r="V5743" t="str">
        <f t="shared" si="897"/>
        <v/>
      </c>
      <c r="W5743" t="str">
        <f t="shared" si="898"/>
        <v/>
      </c>
      <c r="X5743">
        <f>IF($T5743="",N($X5742),IF(MATCH($T5743,$T$6:$T$10005,0)=ROW()-5,N($X5742)+1,N($X5742)))</f>
        <v>0</v>
      </c>
      <c r="Z5743" t="str">
        <f t="shared" si="899"/>
        <v/>
      </c>
      <c r="AA5743">
        <f>IF($V5743="",N($AA5742),IF(MATCH($V5743,$V$6:$V$10005,0)=ROW()-5,N($AA5742)+1,N($AA5742)))</f>
        <v>0</v>
      </c>
    </row>
    <row r="5744" spans="1:27" ht="21" customHeight="1" x14ac:dyDescent="0.95">
      <c r="A5744" s="56"/>
      <c r="B5744" s="57"/>
      <c r="C5744" s="57"/>
      <c r="D5744" s="57"/>
      <c r="E5744" s="56"/>
      <c r="F5744" s="57"/>
      <c r="G5744" s="57"/>
      <c r="H5744" s="56"/>
      <c r="I5744" s="56"/>
      <c r="J5744" s="58"/>
      <c r="K5744" s="58"/>
      <c r="L5744" s="13" t="str">
        <f t="shared" si="890"/>
        <v/>
      </c>
      <c r="M5744" s="13" t="str">
        <f t="shared" si="891"/>
        <v/>
      </c>
      <c r="Q5744" t="str">
        <f t="shared" si="892"/>
        <v/>
      </c>
      <c r="R5744" t="str">
        <f t="shared" si="893"/>
        <v/>
      </c>
      <c r="S5744" t="str">
        <f t="shared" si="894"/>
        <v/>
      </c>
      <c r="T5744" t="str">
        <f t="shared" si="895"/>
        <v/>
      </c>
      <c r="U5744" t="str">
        <f t="shared" si="896"/>
        <v/>
      </c>
      <c r="V5744" t="str">
        <f t="shared" si="897"/>
        <v/>
      </c>
      <c r="W5744" t="str">
        <f t="shared" si="898"/>
        <v/>
      </c>
      <c r="X5744">
        <f>IF($T5744="",N($X5743),IF(MATCH($T5744,$T$6:$T$10005,0)=ROW()-5,N($X5743)+1,N($X5743)))</f>
        <v>0</v>
      </c>
      <c r="Z5744" t="str">
        <f t="shared" si="899"/>
        <v/>
      </c>
      <c r="AA5744">
        <f>IF($V5744="",N($AA5743),IF(MATCH($V5744,$V$6:$V$10005,0)=ROW()-5,N($AA5743)+1,N($AA5743)))</f>
        <v>0</v>
      </c>
    </row>
    <row r="5745" spans="1:27" ht="21" customHeight="1" x14ac:dyDescent="0.95">
      <c r="A5745" s="56"/>
      <c r="B5745" s="57"/>
      <c r="C5745" s="57"/>
      <c r="D5745" s="57"/>
      <c r="E5745" s="56"/>
      <c r="F5745" s="57"/>
      <c r="G5745" s="57"/>
      <c r="H5745" s="56"/>
      <c r="I5745" s="56"/>
      <c r="J5745" s="58"/>
      <c r="K5745" s="58"/>
      <c r="L5745" s="13" t="str">
        <f t="shared" si="890"/>
        <v/>
      </c>
      <c r="M5745" s="13" t="str">
        <f t="shared" si="891"/>
        <v/>
      </c>
      <c r="Q5745" t="str">
        <f t="shared" si="892"/>
        <v/>
      </c>
      <c r="R5745" t="str">
        <f t="shared" si="893"/>
        <v/>
      </c>
      <c r="S5745" t="str">
        <f t="shared" si="894"/>
        <v/>
      </c>
      <c r="T5745" t="str">
        <f t="shared" si="895"/>
        <v/>
      </c>
      <c r="U5745" t="str">
        <f t="shared" si="896"/>
        <v/>
      </c>
      <c r="V5745" t="str">
        <f t="shared" si="897"/>
        <v/>
      </c>
      <c r="W5745" t="str">
        <f t="shared" si="898"/>
        <v/>
      </c>
      <c r="X5745">
        <f>IF($T5745="",N($X5744),IF(MATCH($T5745,$T$6:$T$10005,0)=ROW()-5,N($X5744)+1,N($X5744)))</f>
        <v>0</v>
      </c>
      <c r="Z5745" t="str">
        <f t="shared" si="899"/>
        <v/>
      </c>
      <c r="AA5745">
        <f>IF($V5745="",N($AA5744),IF(MATCH($V5745,$V$6:$V$10005,0)=ROW()-5,N($AA5744)+1,N($AA5744)))</f>
        <v>0</v>
      </c>
    </row>
    <row r="5746" spans="1:27" ht="21" customHeight="1" x14ac:dyDescent="0.95">
      <c r="A5746" s="56"/>
      <c r="B5746" s="57"/>
      <c r="C5746" s="57"/>
      <c r="D5746" s="57"/>
      <c r="E5746" s="56"/>
      <c r="F5746" s="57"/>
      <c r="G5746" s="57"/>
      <c r="H5746" s="56"/>
      <c r="I5746" s="56"/>
      <c r="J5746" s="58"/>
      <c r="K5746" s="58"/>
      <c r="L5746" s="13" t="str">
        <f t="shared" si="890"/>
        <v/>
      </c>
      <c r="M5746" s="13" t="str">
        <f t="shared" si="891"/>
        <v/>
      </c>
      <c r="Q5746" t="str">
        <f t="shared" si="892"/>
        <v/>
      </c>
      <c r="R5746" t="str">
        <f t="shared" si="893"/>
        <v/>
      </c>
      <c r="S5746" t="str">
        <f t="shared" si="894"/>
        <v/>
      </c>
      <c r="T5746" t="str">
        <f t="shared" si="895"/>
        <v/>
      </c>
      <c r="U5746" t="str">
        <f t="shared" si="896"/>
        <v/>
      </c>
      <c r="V5746" t="str">
        <f t="shared" si="897"/>
        <v/>
      </c>
      <c r="W5746" t="str">
        <f t="shared" si="898"/>
        <v/>
      </c>
      <c r="X5746">
        <f>IF($T5746="",N($X5745),IF(MATCH($T5746,$T$6:$T$10005,0)=ROW()-5,N($X5745)+1,N($X5745)))</f>
        <v>0</v>
      </c>
      <c r="Z5746" t="str">
        <f t="shared" si="899"/>
        <v/>
      </c>
      <c r="AA5746">
        <f>IF($V5746="",N($AA5745),IF(MATCH($V5746,$V$6:$V$10005,0)=ROW()-5,N($AA5745)+1,N($AA5745)))</f>
        <v>0</v>
      </c>
    </row>
    <row r="5747" spans="1:27" ht="21" customHeight="1" x14ac:dyDescent="0.95">
      <c r="A5747" s="56"/>
      <c r="B5747" s="57"/>
      <c r="C5747" s="57"/>
      <c r="D5747" s="57"/>
      <c r="E5747" s="56"/>
      <c r="F5747" s="57"/>
      <c r="G5747" s="57"/>
      <c r="H5747" s="56"/>
      <c r="I5747" s="56"/>
      <c r="J5747" s="58"/>
      <c r="K5747" s="58"/>
      <c r="L5747" s="13" t="str">
        <f t="shared" si="890"/>
        <v/>
      </c>
      <c r="M5747" s="13" t="str">
        <f t="shared" si="891"/>
        <v/>
      </c>
      <c r="Q5747" t="str">
        <f t="shared" si="892"/>
        <v/>
      </c>
      <c r="R5747" t="str">
        <f t="shared" si="893"/>
        <v/>
      </c>
      <c r="S5747" t="str">
        <f t="shared" si="894"/>
        <v/>
      </c>
      <c r="T5747" t="str">
        <f t="shared" si="895"/>
        <v/>
      </c>
      <c r="U5747" t="str">
        <f t="shared" si="896"/>
        <v/>
      </c>
      <c r="V5747" t="str">
        <f t="shared" si="897"/>
        <v/>
      </c>
      <c r="W5747" t="str">
        <f t="shared" si="898"/>
        <v/>
      </c>
      <c r="X5747">
        <f>IF($T5747="",N($X5746),IF(MATCH($T5747,$T$6:$T$10005,0)=ROW()-5,N($X5746)+1,N($X5746)))</f>
        <v>0</v>
      </c>
      <c r="Z5747" t="str">
        <f t="shared" si="899"/>
        <v/>
      </c>
      <c r="AA5747">
        <f>IF($V5747="",N($AA5746),IF(MATCH($V5747,$V$6:$V$10005,0)=ROW()-5,N($AA5746)+1,N($AA5746)))</f>
        <v>0</v>
      </c>
    </row>
    <row r="5748" spans="1:27" ht="21" customHeight="1" x14ac:dyDescent="0.95">
      <c r="A5748" s="56"/>
      <c r="B5748" s="57"/>
      <c r="C5748" s="57"/>
      <c r="D5748" s="57"/>
      <c r="E5748" s="56"/>
      <c r="F5748" s="57"/>
      <c r="G5748" s="57"/>
      <c r="H5748" s="56"/>
      <c r="I5748" s="56"/>
      <c r="J5748" s="58"/>
      <c r="K5748" s="58"/>
      <c r="L5748" s="13" t="str">
        <f t="shared" si="890"/>
        <v/>
      </c>
      <c r="M5748" s="13" t="str">
        <f t="shared" si="891"/>
        <v/>
      </c>
      <c r="Q5748" t="str">
        <f t="shared" si="892"/>
        <v/>
      </c>
      <c r="R5748" t="str">
        <f t="shared" si="893"/>
        <v/>
      </c>
      <c r="S5748" t="str">
        <f t="shared" si="894"/>
        <v/>
      </c>
      <c r="T5748" t="str">
        <f t="shared" si="895"/>
        <v/>
      </c>
      <c r="U5748" t="str">
        <f t="shared" si="896"/>
        <v/>
      </c>
      <c r="V5748" t="str">
        <f t="shared" si="897"/>
        <v/>
      </c>
      <c r="W5748" t="str">
        <f t="shared" si="898"/>
        <v/>
      </c>
      <c r="X5748">
        <f>IF($T5748="",N($X5747),IF(MATCH($T5748,$T$6:$T$10005,0)=ROW()-5,N($X5747)+1,N($X5747)))</f>
        <v>0</v>
      </c>
      <c r="Z5748" t="str">
        <f t="shared" si="899"/>
        <v/>
      </c>
      <c r="AA5748">
        <f>IF($V5748="",N($AA5747),IF(MATCH($V5748,$V$6:$V$10005,0)=ROW()-5,N($AA5747)+1,N($AA5747)))</f>
        <v>0</v>
      </c>
    </row>
    <row r="5749" spans="1:27" ht="21" customHeight="1" x14ac:dyDescent="0.95">
      <c r="A5749" s="56"/>
      <c r="B5749" s="57"/>
      <c r="C5749" s="57"/>
      <c r="D5749" s="57"/>
      <c r="E5749" s="56"/>
      <c r="F5749" s="57"/>
      <c r="G5749" s="57"/>
      <c r="H5749" s="56"/>
      <c r="I5749" s="56"/>
      <c r="J5749" s="58"/>
      <c r="K5749" s="58"/>
      <c r="L5749" s="13" t="str">
        <f t="shared" si="890"/>
        <v/>
      </c>
      <c r="M5749" s="13" t="str">
        <f t="shared" si="891"/>
        <v/>
      </c>
      <c r="Q5749" t="str">
        <f t="shared" si="892"/>
        <v/>
      </c>
      <c r="R5749" t="str">
        <f t="shared" si="893"/>
        <v/>
      </c>
      <c r="S5749" t="str">
        <f t="shared" si="894"/>
        <v/>
      </c>
      <c r="T5749" t="str">
        <f t="shared" si="895"/>
        <v/>
      </c>
      <c r="U5749" t="str">
        <f t="shared" si="896"/>
        <v/>
      </c>
      <c r="V5749" t="str">
        <f t="shared" si="897"/>
        <v/>
      </c>
      <c r="W5749" t="str">
        <f t="shared" si="898"/>
        <v/>
      </c>
      <c r="X5749">
        <f>IF($T5749="",N($X5748),IF(MATCH($T5749,$T$6:$T$10005,0)=ROW()-5,N($X5748)+1,N($X5748)))</f>
        <v>0</v>
      </c>
      <c r="Z5749" t="str">
        <f t="shared" si="899"/>
        <v/>
      </c>
      <c r="AA5749">
        <f>IF($V5749="",N($AA5748),IF(MATCH($V5749,$V$6:$V$10005,0)=ROW()-5,N($AA5748)+1,N($AA5748)))</f>
        <v>0</v>
      </c>
    </row>
    <row r="5750" spans="1:27" ht="21" customHeight="1" x14ac:dyDescent="0.95">
      <c r="A5750" s="56"/>
      <c r="B5750" s="57"/>
      <c r="C5750" s="57"/>
      <c r="D5750" s="57"/>
      <c r="E5750" s="56"/>
      <c r="F5750" s="57"/>
      <c r="G5750" s="57"/>
      <c r="H5750" s="56"/>
      <c r="I5750" s="56"/>
      <c r="J5750" s="58"/>
      <c r="K5750" s="58"/>
      <c r="L5750" s="13" t="str">
        <f t="shared" si="890"/>
        <v/>
      </c>
      <c r="M5750" s="13" t="str">
        <f t="shared" si="891"/>
        <v/>
      </c>
      <c r="Q5750" t="str">
        <f t="shared" si="892"/>
        <v/>
      </c>
      <c r="R5750" t="str">
        <f t="shared" si="893"/>
        <v/>
      </c>
      <c r="S5750" t="str">
        <f t="shared" si="894"/>
        <v/>
      </c>
      <c r="T5750" t="str">
        <f t="shared" si="895"/>
        <v/>
      </c>
      <c r="U5750" t="str">
        <f t="shared" si="896"/>
        <v/>
      </c>
      <c r="V5750" t="str">
        <f t="shared" si="897"/>
        <v/>
      </c>
      <c r="W5750" t="str">
        <f t="shared" si="898"/>
        <v/>
      </c>
      <c r="X5750">
        <f>IF($T5750="",N($X5749),IF(MATCH($T5750,$T$6:$T$10005,0)=ROW()-5,N($X5749)+1,N($X5749)))</f>
        <v>0</v>
      </c>
      <c r="Z5750" t="str">
        <f t="shared" si="899"/>
        <v/>
      </c>
      <c r="AA5750">
        <f>IF($V5750="",N($AA5749),IF(MATCH($V5750,$V$6:$V$10005,0)=ROW()-5,N($AA5749)+1,N($AA5749)))</f>
        <v>0</v>
      </c>
    </row>
    <row r="5751" spans="1:27" ht="21" customHeight="1" x14ac:dyDescent="0.95">
      <c r="A5751" s="56"/>
      <c r="B5751" s="57"/>
      <c r="C5751" s="57"/>
      <c r="D5751" s="57"/>
      <c r="E5751" s="56"/>
      <c r="F5751" s="57"/>
      <c r="G5751" s="57"/>
      <c r="H5751" s="56"/>
      <c r="I5751" s="56"/>
      <c r="J5751" s="58"/>
      <c r="K5751" s="58"/>
      <c r="L5751" s="13" t="str">
        <f t="shared" si="890"/>
        <v/>
      </c>
      <c r="M5751" s="13" t="str">
        <f t="shared" si="891"/>
        <v/>
      </c>
      <c r="Q5751" t="str">
        <f t="shared" si="892"/>
        <v/>
      </c>
      <c r="R5751" t="str">
        <f t="shared" si="893"/>
        <v/>
      </c>
      <c r="S5751" t="str">
        <f t="shared" si="894"/>
        <v/>
      </c>
      <c r="T5751" t="str">
        <f t="shared" si="895"/>
        <v/>
      </c>
      <c r="U5751" t="str">
        <f t="shared" si="896"/>
        <v/>
      </c>
      <c r="V5751" t="str">
        <f t="shared" si="897"/>
        <v/>
      </c>
      <c r="W5751" t="str">
        <f t="shared" si="898"/>
        <v/>
      </c>
      <c r="X5751">
        <f>IF($T5751="",N($X5750),IF(MATCH($T5751,$T$6:$T$10005,0)=ROW()-5,N($X5750)+1,N($X5750)))</f>
        <v>0</v>
      </c>
      <c r="Z5751" t="str">
        <f t="shared" si="899"/>
        <v/>
      </c>
      <c r="AA5751">
        <f>IF($V5751="",N($AA5750),IF(MATCH($V5751,$V$6:$V$10005,0)=ROW()-5,N($AA5750)+1,N($AA5750)))</f>
        <v>0</v>
      </c>
    </row>
    <row r="5752" spans="1:27" ht="21" customHeight="1" x14ac:dyDescent="0.95">
      <c r="A5752" s="56"/>
      <c r="B5752" s="57"/>
      <c r="C5752" s="57"/>
      <c r="D5752" s="57"/>
      <c r="E5752" s="56"/>
      <c r="F5752" s="57"/>
      <c r="G5752" s="57"/>
      <c r="H5752" s="56"/>
      <c r="I5752" s="56"/>
      <c r="J5752" s="58"/>
      <c r="K5752" s="58"/>
      <c r="L5752" s="13" t="str">
        <f t="shared" si="890"/>
        <v/>
      </c>
      <c r="M5752" s="13" t="str">
        <f t="shared" si="891"/>
        <v/>
      </c>
      <c r="Q5752" t="str">
        <f t="shared" si="892"/>
        <v/>
      </c>
      <c r="R5752" t="str">
        <f t="shared" si="893"/>
        <v/>
      </c>
      <c r="S5752" t="str">
        <f t="shared" si="894"/>
        <v/>
      </c>
      <c r="T5752" t="str">
        <f t="shared" si="895"/>
        <v/>
      </c>
      <c r="U5752" t="str">
        <f t="shared" si="896"/>
        <v/>
      </c>
      <c r="V5752" t="str">
        <f t="shared" si="897"/>
        <v/>
      </c>
      <c r="W5752" t="str">
        <f t="shared" si="898"/>
        <v/>
      </c>
      <c r="X5752">
        <f>IF($T5752="",N($X5751),IF(MATCH($T5752,$T$6:$T$10005,0)=ROW()-5,N($X5751)+1,N($X5751)))</f>
        <v>0</v>
      </c>
      <c r="Z5752" t="str">
        <f t="shared" si="899"/>
        <v/>
      </c>
      <c r="AA5752">
        <f>IF($V5752="",N($AA5751),IF(MATCH($V5752,$V$6:$V$10005,0)=ROW()-5,N($AA5751)+1,N($AA5751)))</f>
        <v>0</v>
      </c>
    </row>
    <row r="5753" spans="1:27" ht="21" customHeight="1" x14ac:dyDescent="0.95">
      <c r="A5753" s="56"/>
      <c r="B5753" s="57"/>
      <c r="C5753" s="57"/>
      <c r="D5753" s="57"/>
      <c r="E5753" s="56"/>
      <c r="F5753" s="57"/>
      <c r="G5753" s="57"/>
      <c r="H5753" s="56"/>
      <c r="I5753" s="56"/>
      <c r="J5753" s="58"/>
      <c r="K5753" s="58"/>
      <c r="L5753" s="13" t="str">
        <f t="shared" si="890"/>
        <v/>
      </c>
      <c r="M5753" s="13" t="str">
        <f t="shared" si="891"/>
        <v/>
      </c>
      <c r="Q5753" t="str">
        <f t="shared" si="892"/>
        <v/>
      </c>
      <c r="R5753" t="str">
        <f t="shared" si="893"/>
        <v/>
      </c>
      <c r="S5753" t="str">
        <f t="shared" si="894"/>
        <v/>
      </c>
      <c r="T5753" t="str">
        <f t="shared" si="895"/>
        <v/>
      </c>
      <c r="U5753" t="str">
        <f t="shared" si="896"/>
        <v/>
      </c>
      <c r="V5753" t="str">
        <f t="shared" si="897"/>
        <v/>
      </c>
      <c r="W5753" t="str">
        <f t="shared" si="898"/>
        <v/>
      </c>
      <c r="X5753">
        <f>IF($T5753="",N($X5752),IF(MATCH($T5753,$T$6:$T$10005,0)=ROW()-5,N($X5752)+1,N($X5752)))</f>
        <v>0</v>
      </c>
      <c r="Z5753" t="str">
        <f t="shared" si="899"/>
        <v/>
      </c>
      <c r="AA5753">
        <f>IF($V5753="",N($AA5752),IF(MATCH($V5753,$V$6:$V$10005,0)=ROW()-5,N($AA5752)+1,N($AA5752)))</f>
        <v>0</v>
      </c>
    </row>
    <row r="5754" spans="1:27" ht="21" customHeight="1" x14ac:dyDescent="0.95">
      <c r="A5754" s="56"/>
      <c r="B5754" s="57"/>
      <c r="C5754" s="57"/>
      <c r="D5754" s="57"/>
      <c r="E5754" s="56"/>
      <c r="F5754" s="57"/>
      <c r="G5754" s="57"/>
      <c r="H5754" s="56"/>
      <c r="I5754" s="56"/>
      <c r="J5754" s="58"/>
      <c r="K5754" s="58"/>
      <c r="L5754" s="13" t="str">
        <f t="shared" si="890"/>
        <v/>
      </c>
      <c r="M5754" s="13" t="str">
        <f t="shared" si="891"/>
        <v/>
      </c>
      <c r="Q5754" t="str">
        <f t="shared" si="892"/>
        <v/>
      </c>
      <c r="R5754" t="str">
        <f t="shared" si="893"/>
        <v/>
      </c>
      <c r="S5754" t="str">
        <f t="shared" si="894"/>
        <v/>
      </c>
      <c r="T5754" t="str">
        <f t="shared" si="895"/>
        <v/>
      </c>
      <c r="U5754" t="str">
        <f t="shared" si="896"/>
        <v/>
      </c>
      <c r="V5754" t="str">
        <f t="shared" si="897"/>
        <v/>
      </c>
      <c r="W5754" t="str">
        <f t="shared" si="898"/>
        <v/>
      </c>
      <c r="X5754">
        <f>IF($T5754="",N($X5753),IF(MATCH($T5754,$T$6:$T$10005,0)=ROW()-5,N($X5753)+1,N($X5753)))</f>
        <v>0</v>
      </c>
      <c r="Z5754" t="str">
        <f t="shared" si="899"/>
        <v/>
      </c>
      <c r="AA5754">
        <f>IF($V5754="",N($AA5753),IF(MATCH($V5754,$V$6:$V$10005,0)=ROW()-5,N($AA5753)+1,N($AA5753)))</f>
        <v>0</v>
      </c>
    </row>
    <row r="5755" spans="1:27" ht="21" customHeight="1" x14ac:dyDescent="0.95">
      <c r="A5755" s="56"/>
      <c r="B5755" s="57"/>
      <c r="C5755" s="57"/>
      <c r="D5755" s="57"/>
      <c r="E5755" s="56"/>
      <c r="F5755" s="57"/>
      <c r="G5755" s="57"/>
      <c r="H5755" s="56"/>
      <c r="I5755" s="56"/>
      <c r="J5755" s="58"/>
      <c r="K5755" s="58"/>
      <c r="L5755" s="13" t="str">
        <f t="shared" si="890"/>
        <v/>
      </c>
      <c r="M5755" s="13" t="str">
        <f t="shared" si="891"/>
        <v/>
      </c>
      <c r="Q5755" t="str">
        <f t="shared" si="892"/>
        <v/>
      </c>
      <c r="R5755" t="str">
        <f t="shared" si="893"/>
        <v/>
      </c>
      <c r="S5755" t="str">
        <f t="shared" si="894"/>
        <v/>
      </c>
      <c r="T5755" t="str">
        <f t="shared" si="895"/>
        <v/>
      </c>
      <c r="U5755" t="str">
        <f t="shared" si="896"/>
        <v/>
      </c>
      <c r="V5755" t="str">
        <f t="shared" si="897"/>
        <v/>
      </c>
      <c r="W5755" t="str">
        <f t="shared" si="898"/>
        <v/>
      </c>
      <c r="X5755">
        <f>IF($T5755="",N($X5754),IF(MATCH($T5755,$T$6:$T$10005,0)=ROW()-5,N($X5754)+1,N($X5754)))</f>
        <v>0</v>
      </c>
      <c r="Z5755" t="str">
        <f t="shared" si="899"/>
        <v/>
      </c>
      <c r="AA5755">
        <f>IF($V5755="",N($AA5754),IF(MATCH($V5755,$V$6:$V$10005,0)=ROW()-5,N($AA5754)+1,N($AA5754)))</f>
        <v>0</v>
      </c>
    </row>
    <row r="5756" spans="1:27" ht="21" customHeight="1" x14ac:dyDescent="0.95">
      <c r="A5756" s="56"/>
      <c r="B5756" s="57"/>
      <c r="C5756" s="57"/>
      <c r="D5756" s="57"/>
      <c r="E5756" s="56"/>
      <c r="F5756" s="57"/>
      <c r="G5756" s="57"/>
      <c r="H5756" s="56"/>
      <c r="I5756" s="56"/>
      <c r="J5756" s="58"/>
      <c r="K5756" s="58"/>
      <c r="L5756" s="13" t="str">
        <f t="shared" si="890"/>
        <v/>
      </c>
      <c r="M5756" s="13" t="str">
        <f t="shared" si="891"/>
        <v/>
      </c>
      <c r="Q5756" t="str">
        <f t="shared" si="892"/>
        <v/>
      </c>
      <c r="R5756" t="str">
        <f t="shared" si="893"/>
        <v/>
      </c>
      <c r="S5756" t="str">
        <f t="shared" si="894"/>
        <v/>
      </c>
      <c r="T5756" t="str">
        <f t="shared" si="895"/>
        <v/>
      </c>
      <c r="U5756" t="str">
        <f t="shared" si="896"/>
        <v/>
      </c>
      <c r="V5756" t="str">
        <f t="shared" si="897"/>
        <v/>
      </c>
      <c r="W5756" t="str">
        <f t="shared" si="898"/>
        <v/>
      </c>
      <c r="X5756">
        <f>IF($T5756="",N($X5755),IF(MATCH($T5756,$T$6:$T$10005,0)=ROW()-5,N($X5755)+1,N($X5755)))</f>
        <v>0</v>
      </c>
      <c r="Z5756" t="str">
        <f t="shared" si="899"/>
        <v/>
      </c>
      <c r="AA5756">
        <f>IF($V5756="",N($AA5755),IF(MATCH($V5756,$V$6:$V$10005,0)=ROW()-5,N($AA5755)+1,N($AA5755)))</f>
        <v>0</v>
      </c>
    </row>
    <row r="5757" spans="1:27" ht="21" customHeight="1" x14ac:dyDescent="0.95">
      <c r="A5757" s="56"/>
      <c r="B5757" s="57"/>
      <c r="C5757" s="57"/>
      <c r="D5757" s="57"/>
      <c r="E5757" s="56"/>
      <c r="F5757" s="57"/>
      <c r="G5757" s="57"/>
      <c r="H5757" s="56"/>
      <c r="I5757" s="56"/>
      <c r="J5757" s="58"/>
      <c r="K5757" s="58"/>
      <c r="L5757" s="13" t="str">
        <f t="shared" si="890"/>
        <v/>
      </c>
      <c r="M5757" s="13" t="str">
        <f t="shared" si="891"/>
        <v/>
      </c>
      <c r="Q5757" t="str">
        <f t="shared" si="892"/>
        <v/>
      </c>
      <c r="R5757" t="str">
        <f t="shared" si="893"/>
        <v/>
      </c>
      <c r="S5757" t="str">
        <f t="shared" si="894"/>
        <v/>
      </c>
      <c r="T5757" t="str">
        <f t="shared" si="895"/>
        <v/>
      </c>
      <c r="U5757" t="str">
        <f t="shared" si="896"/>
        <v/>
      </c>
      <c r="V5757" t="str">
        <f t="shared" si="897"/>
        <v/>
      </c>
      <c r="W5757" t="str">
        <f t="shared" si="898"/>
        <v/>
      </c>
      <c r="X5757">
        <f>IF($T5757="",N($X5756),IF(MATCH($T5757,$T$6:$T$10005,0)=ROW()-5,N($X5756)+1,N($X5756)))</f>
        <v>0</v>
      </c>
      <c r="Z5757" t="str">
        <f t="shared" si="899"/>
        <v/>
      </c>
      <c r="AA5757">
        <f>IF($V5757="",N($AA5756),IF(MATCH($V5757,$V$6:$V$10005,0)=ROW()-5,N($AA5756)+1,N($AA5756)))</f>
        <v>0</v>
      </c>
    </row>
    <row r="5758" spans="1:27" ht="21" customHeight="1" x14ac:dyDescent="0.95">
      <c r="A5758" s="56"/>
      <c r="B5758" s="57"/>
      <c r="C5758" s="57"/>
      <c r="D5758" s="57"/>
      <c r="E5758" s="56"/>
      <c r="F5758" s="57"/>
      <c r="G5758" s="57"/>
      <c r="H5758" s="56"/>
      <c r="I5758" s="56"/>
      <c r="J5758" s="58"/>
      <c r="K5758" s="58"/>
      <c r="L5758" s="13" t="str">
        <f t="shared" si="890"/>
        <v/>
      </c>
      <c r="M5758" s="13" t="str">
        <f t="shared" si="891"/>
        <v/>
      </c>
      <c r="Q5758" t="str">
        <f t="shared" si="892"/>
        <v/>
      </c>
      <c r="R5758" t="str">
        <f t="shared" si="893"/>
        <v/>
      </c>
      <c r="S5758" t="str">
        <f t="shared" si="894"/>
        <v/>
      </c>
      <c r="T5758" t="str">
        <f t="shared" si="895"/>
        <v/>
      </c>
      <c r="U5758" t="str">
        <f t="shared" si="896"/>
        <v/>
      </c>
      <c r="V5758" t="str">
        <f t="shared" si="897"/>
        <v/>
      </c>
      <c r="W5758" t="str">
        <f t="shared" si="898"/>
        <v/>
      </c>
      <c r="X5758">
        <f>IF($T5758="",N($X5757),IF(MATCH($T5758,$T$6:$T$10005,0)=ROW()-5,N($X5757)+1,N($X5757)))</f>
        <v>0</v>
      </c>
      <c r="Z5758" t="str">
        <f t="shared" si="899"/>
        <v/>
      </c>
      <c r="AA5758">
        <f>IF($V5758="",N($AA5757),IF(MATCH($V5758,$V$6:$V$10005,0)=ROW()-5,N($AA5757)+1,N($AA5757)))</f>
        <v>0</v>
      </c>
    </row>
    <row r="5759" spans="1:27" ht="21" customHeight="1" x14ac:dyDescent="0.95">
      <c r="A5759" s="56"/>
      <c r="B5759" s="57"/>
      <c r="C5759" s="57"/>
      <c r="D5759" s="57"/>
      <c r="E5759" s="56"/>
      <c r="F5759" s="57"/>
      <c r="G5759" s="57"/>
      <c r="H5759" s="56"/>
      <c r="I5759" s="56"/>
      <c r="J5759" s="58"/>
      <c r="K5759" s="58"/>
      <c r="L5759" s="13" t="str">
        <f t="shared" si="890"/>
        <v/>
      </c>
      <c r="M5759" s="13" t="str">
        <f t="shared" si="891"/>
        <v/>
      </c>
      <c r="Q5759" t="str">
        <f t="shared" si="892"/>
        <v/>
      </c>
      <c r="R5759" t="str">
        <f t="shared" si="893"/>
        <v/>
      </c>
      <c r="S5759" t="str">
        <f t="shared" si="894"/>
        <v/>
      </c>
      <c r="T5759" t="str">
        <f t="shared" si="895"/>
        <v/>
      </c>
      <c r="U5759" t="str">
        <f t="shared" si="896"/>
        <v/>
      </c>
      <c r="V5759" t="str">
        <f t="shared" si="897"/>
        <v/>
      </c>
      <c r="W5759" t="str">
        <f t="shared" si="898"/>
        <v/>
      </c>
      <c r="X5759">
        <f>IF($T5759="",N($X5758),IF(MATCH($T5759,$T$6:$T$10005,0)=ROW()-5,N($X5758)+1,N($X5758)))</f>
        <v>0</v>
      </c>
      <c r="Z5759" t="str">
        <f t="shared" si="899"/>
        <v/>
      </c>
      <c r="AA5759">
        <f>IF($V5759="",N($AA5758),IF(MATCH($V5759,$V$6:$V$10005,0)=ROW()-5,N($AA5758)+1,N($AA5758)))</f>
        <v>0</v>
      </c>
    </row>
    <row r="5760" spans="1:27" ht="21" customHeight="1" x14ac:dyDescent="0.95">
      <c r="A5760" s="56"/>
      <c r="B5760" s="57"/>
      <c r="C5760" s="57"/>
      <c r="D5760" s="57"/>
      <c r="E5760" s="56"/>
      <c r="F5760" s="57"/>
      <c r="G5760" s="57"/>
      <c r="H5760" s="56"/>
      <c r="I5760" s="56"/>
      <c r="J5760" s="58"/>
      <c r="K5760" s="58"/>
      <c r="L5760" s="13" t="str">
        <f t="shared" si="890"/>
        <v/>
      </c>
      <c r="M5760" s="13" t="str">
        <f t="shared" si="891"/>
        <v/>
      </c>
      <c r="Q5760" t="str">
        <f t="shared" si="892"/>
        <v/>
      </c>
      <c r="R5760" t="str">
        <f t="shared" si="893"/>
        <v/>
      </c>
      <c r="S5760" t="str">
        <f t="shared" si="894"/>
        <v/>
      </c>
      <c r="T5760" t="str">
        <f t="shared" si="895"/>
        <v/>
      </c>
      <c r="U5760" t="str">
        <f t="shared" si="896"/>
        <v/>
      </c>
      <c r="V5760" t="str">
        <f t="shared" si="897"/>
        <v/>
      </c>
      <c r="W5760" t="str">
        <f t="shared" si="898"/>
        <v/>
      </c>
      <c r="X5760">
        <f>IF($T5760="",N($X5759),IF(MATCH($T5760,$T$6:$T$10005,0)=ROW()-5,N($X5759)+1,N($X5759)))</f>
        <v>0</v>
      </c>
      <c r="Z5760" t="str">
        <f t="shared" si="899"/>
        <v/>
      </c>
      <c r="AA5760">
        <f>IF($V5760="",N($AA5759),IF(MATCH($V5760,$V$6:$V$10005,0)=ROW()-5,N($AA5759)+1,N($AA5759)))</f>
        <v>0</v>
      </c>
    </row>
    <row r="5761" spans="1:27" ht="21" customHeight="1" x14ac:dyDescent="0.95">
      <c r="A5761" s="56"/>
      <c r="B5761" s="57"/>
      <c r="C5761" s="57"/>
      <c r="D5761" s="57"/>
      <c r="E5761" s="56"/>
      <c r="F5761" s="57"/>
      <c r="G5761" s="57"/>
      <c r="H5761" s="56"/>
      <c r="I5761" s="56"/>
      <c r="J5761" s="58"/>
      <c r="K5761" s="58"/>
      <c r="L5761" s="13" t="str">
        <f t="shared" si="890"/>
        <v/>
      </c>
      <c r="M5761" s="13" t="str">
        <f t="shared" si="891"/>
        <v/>
      </c>
      <c r="Q5761" t="str">
        <f t="shared" si="892"/>
        <v/>
      </c>
      <c r="R5761" t="str">
        <f t="shared" si="893"/>
        <v/>
      </c>
      <c r="S5761" t="str">
        <f t="shared" si="894"/>
        <v/>
      </c>
      <c r="T5761" t="str">
        <f t="shared" si="895"/>
        <v/>
      </c>
      <c r="U5761" t="str">
        <f t="shared" si="896"/>
        <v/>
      </c>
      <c r="V5761" t="str">
        <f t="shared" si="897"/>
        <v/>
      </c>
      <c r="W5761" t="str">
        <f t="shared" si="898"/>
        <v/>
      </c>
      <c r="X5761">
        <f>IF($T5761="",N($X5760),IF(MATCH($T5761,$T$6:$T$10005,0)=ROW()-5,N($X5760)+1,N($X5760)))</f>
        <v>0</v>
      </c>
      <c r="Z5761" t="str">
        <f t="shared" si="899"/>
        <v/>
      </c>
      <c r="AA5761">
        <f>IF($V5761="",N($AA5760),IF(MATCH($V5761,$V$6:$V$10005,0)=ROW()-5,N($AA5760)+1,N($AA5760)))</f>
        <v>0</v>
      </c>
    </row>
    <row r="5762" spans="1:27" ht="21" customHeight="1" x14ac:dyDescent="0.95">
      <c r="A5762" s="56"/>
      <c r="B5762" s="57"/>
      <c r="C5762" s="57"/>
      <c r="D5762" s="57"/>
      <c r="E5762" s="56"/>
      <c r="F5762" s="57"/>
      <c r="G5762" s="57"/>
      <c r="H5762" s="56"/>
      <c r="I5762" s="56"/>
      <c r="J5762" s="58"/>
      <c r="K5762" s="58"/>
      <c r="L5762" s="13" t="str">
        <f t="shared" si="890"/>
        <v/>
      </c>
      <c r="M5762" s="13" t="str">
        <f t="shared" si="891"/>
        <v/>
      </c>
      <c r="Q5762" t="str">
        <f t="shared" si="892"/>
        <v/>
      </c>
      <c r="R5762" t="str">
        <f t="shared" si="893"/>
        <v/>
      </c>
      <c r="S5762" t="str">
        <f t="shared" si="894"/>
        <v/>
      </c>
      <c r="T5762" t="str">
        <f t="shared" si="895"/>
        <v/>
      </c>
      <c r="U5762" t="str">
        <f t="shared" si="896"/>
        <v/>
      </c>
      <c r="V5762" t="str">
        <f t="shared" si="897"/>
        <v/>
      </c>
      <c r="W5762" t="str">
        <f t="shared" si="898"/>
        <v/>
      </c>
      <c r="X5762">
        <f>IF($T5762="",N($X5761),IF(MATCH($T5762,$T$6:$T$10005,0)=ROW()-5,N($X5761)+1,N($X5761)))</f>
        <v>0</v>
      </c>
      <c r="Z5762" t="str">
        <f t="shared" si="899"/>
        <v/>
      </c>
      <c r="AA5762">
        <f>IF($V5762="",N($AA5761),IF(MATCH($V5762,$V$6:$V$10005,0)=ROW()-5,N($AA5761)+1,N($AA5761)))</f>
        <v>0</v>
      </c>
    </row>
    <row r="5763" spans="1:27" ht="21" customHeight="1" x14ac:dyDescent="0.95">
      <c r="A5763" s="56"/>
      <c r="B5763" s="57"/>
      <c r="C5763" s="57"/>
      <c r="D5763" s="57"/>
      <c r="E5763" s="56"/>
      <c r="F5763" s="57"/>
      <c r="G5763" s="57"/>
      <c r="H5763" s="56"/>
      <c r="I5763" s="56"/>
      <c r="J5763" s="58"/>
      <c r="K5763" s="58"/>
      <c r="L5763" s="13" t="str">
        <f t="shared" si="890"/>
        <v/>
      </c>
      <c r="M5763" s="13" t="str">
        <f t="shared" si="891"/>
        <v/>
      </c>
      <c r="Q5763" t="str">
        <f t="shared" si="892"/>
        <v/>
      </c>
      <c r="R5763" t="str">
        <f t="shared" si="893"/>
        <v/>
      </c>
      <c r="S5763" t="str">
        <f t="shared" si="894"/>
        <v/>
      </c>
      <c r="T5763" t="str">
        <f t="shared" si="895"/>
        <v/>
      </c>
      <c r="U5763" t="str">
        <f t="shared" si="896"/>
        <v/>
      </c>
      <c r="V5763" t="str">
        <f t="shared" si="897"/>
        <v/>
      </c>
      <c r="W5763" t="str">
        <f t="shared" si="898"/>
        <v/>
      </c>
      <c r="X5763">
        <f>IF($T5763="",N($X5762),IF(MATCH($T5763,$T$6:$T$10005,0)=ROW()-5,N($X5762)+1,N($X5762)))</f>
        <v>0</v>
      </c>
      <c r="Z5763" t="str">
        <f t="shared" si="899"/>
        <v/>
      </c>
      <c r="AA5763">
        <f>IF($V5763="",N($AA5762),IF(MATCH($V5763,$V$6:$V$10005,0)=ROW()-5,N($AA5762)+1,N($AA5762)))</f>
        <v>0</v>
      </c>
    </row>
    <row r="5764" spans="1:27" ht="21" customHeight="1" x14ac:dyDescent="0.95">
      <c r="A5764" s="56"/>
      <c r="B5764" s="57"/>
      <c r="C5764" s="57"/>
      <c r="D5764" s="57"/>
      <c r="E5764" s="56"/>
      <c r="F5764" s="57"/>
      <c r="G5764" s="57"/>
      <c r="H5764" s="56"/>
      <c r="I5764" s="56"/>
      <c r="J5764" s="58"/>
      <c r="K5764" s="58"/>
      <c r="L5764" s="13" t="str">
        <f t="shared" si="890"/>
        <v/>
      </c>
      <c r="M5764" s="13" t="str">
        <f t="shared" si="891"/>
        <v/>
      </c>
      <c r="Q5764" t="str">
        <f t="shared" si="892"/>
        <v/>
      </c>
      <c r="R5764" t="str">
        <f t="shared" si="893"/>
        <v/>
      </c>
      <c r="S5764" t="str">
        <f t="shared" si="894"/>
        <v/>
      </c>
      <c r="T5764" t="str">
        <f t="shared" si="895"/>
        <v/>
      </c>
      <c r="U5764" t="str">
        <f t="shared" si="896"/>
        <v/>
      </c>
      <c r="V5764" t="str">
        <f t="shared" si="897"/>
        <v/>
      </c>
      <c r="W5764" t="str">
        <f t="shared" si="898"/>
        <v/>
      </c>
      <c r="X5764">
        <f>IF($T5764="",N($X5763),IF(MATCH($T5764,$T$6:$T$10005,0)=ROW()-5,N($X5763)+1,N($X5763)))</f>
        <v>0</v>
      </c>
      <c r="Z5764" t="str">
        <f t="shared" si="899"/>
        <v/>
      </c>
      <c r="AA5764">
        <f>IF($V5764="",N($AA5763),IF(MATCH($V5764,$V$6:$V$10005,0)=ROW()-5,N($AA5763)+1,N($AA5763)))</f>
        <v>0</v>
      </c>
    </row>
    <row r="5765" spans="1:27" ht="21" customHeight="1" x14ac:dyDescent="0.95">
      <c r="A5765" s="56"/>
      <c r="B5765" s="57"/>
      <c r="C5765" s="57"/>
      <c r="D5765" s="57"/>
      <c r="E5765" s="56"/>
      <c r="F5765" s="57"/>
      <c r="G5765" s="57"/>
      <c r="H5765" s="56"/>
      <c r="I5765" s="56"/>
      <c r="J5765" s="58"/>
      <c r="K5765" s="58"/>
      <c r="L5765" s="13" t="str">
        <f t="shared" si="890"/>
        <v/>
      </c>
      <c r="M5765" s="13" t="str">
        <f t="shared" si="891"/>
        <v/>
      </c>
      <c r="Q5765" t="str">
        <f t="shared" si="892"/>
        <v/>
      </c>
      <c r="R5765" t="str">
        <f t="shared" si="893"/>
        <v/>
      </c>
      <c r="S5765" t="str">
        <f t="shared" si="894"/>
        <v/>
      </c>
      <c r="T5765" t="str">
        <f t="shared" si="895"/>
        <v/>
      </c>
      <c r="U5765" t="str">
        <f t="shared" si="896"/>
        <v/>
      </c>
      <c r="V5765" t="str">
        <f t="shared" si="897"/>
        <v/>
      </c>
      <c r="W5765" t="str">
        <f t="shared" si="898"/>
        <v/>
      </c>
      <c r="X5765">
        <f>IF($T5765="",N($X5764),IF(MATCH($T5765,$T$6:$T$10005,0)=ROW()-5,N($X5764)+1,N($X5764)))</f>
        <v>0</v>
      </c>
      <c r="Z5765" t="str">
        <f t="shared" si="899"/>
        <v/>
      </c>
      <c r="AA5765">
        <f>IF($V5765="",N($AA5764),IF(MATCH($V5765,$V$6:$V$10005,0)=ROW()-5,N($AA5764)+1,N($AA5764)))</f>
        <v>0</v>
      </c>
    </row>
    <row r="5766" spans="1:27" ht="21" customHeight="1" x14ac:dyDescent="0.95">
      <c r="A5766" s="56"/>
      <c r="B5766" s="57"/>
      <c r="C5766" s="57"/>
      <c r="D5766" s="57"/>
      <c r="E5766" s="56"/>
      <c r="F5766" s="57"/>
      <c r="G5766" s="57"/>
      <c r="H5766" s="56"/>
      <c r="I5766" s="56"/>
      <c r="J5766" s="58"/>
      <c r="K5766" s="58"/>
      <c r="L5766" s="13" t="str">
        <f t="shared" ref="L5766:L5829" si="900">IF(OR($A5766="",AND($J5766="",$K5766="")),"",ROUND(N($J5766)-N($K5766),2))</f>
        <v/>
      </c>
      <c r="M5766" s="13" t="str">
        <f t="shared" ref="M5766:M5829" si="901">IF(OR($A5766="",AND($J5766="",$K5766="")),"",MIN($J5766,$K5766))</f>
        <v/>
      </c>
      <c r="Q5766" t="str">
        <f t="shared" ref="Q5766:Q5829" si="902">IF($A5766="","",$D5766&amp;"("&amp;SUBSTITUTE($E5766," ","")&amp;")")</f>
        <v/>
      </c>
      <c r="R5766" t="str">
        <f t="shared" ref="R5766:R5829" si="903">IF($A5766="","",$B5766&amp;" - "&amp;$C5766)</f>
        <v/>
      </c>
      <c r="S5766" t="str">
        <f t="shared" ref="S5766:S5829" si="904">IF($A5766="","",$R5766&amp;"|"&amp;$Q5766)</f>
        <v/>
      </c>
      <c r="T5766" t="str">
        <f t="shared" ref="T5766:T5829" si="905">IF($A5766="","",$S5766&amp;"|"&amp;$F5766)</f>
        <v/>
      </c>
      <c r="U5766" t="str">
        <f t="shared" ref="U5766:U5829" si="906">IF($A5766="","",$R5766&amp;"("&amp;$E5766&amp;")")</f>
        <v/>
      </c>
      <c r="V5766" t="str">
        <f t="shared" ref="V5766:V5829" si="907">IF($A5766="","",$F5766&amp;"|"&amp;$U5766&amp;"|"&amp;$D5766)</f>
        <v/>
      </c>
      <c r="W5766" t="str">
        <f t="shared" ref="W5766:W5829" si="908">IF($T5766="","",IF($X5766&gt;N($X5765),$X5766,""))</f>
        <v/>
      </c>
      <c r="X5766">
        <f>IF($T5766="",N($X5765),IF(MATCH($T5766,$T$6:$T$10005,0)=ROW()-5,N($X5765)+1,N($X5765)))</f>
        <v>0</v>
      </c>
      <c r="Z5766" t="str">
        <f t="shared" ref="Z5766:Z5829" si="909">IF($V5766="","",IF($AA5766&gt;N($AA5765),$AA5766,""))</f>
        <v/>
      </c>
      <c r="AA5766">
        <f>IF($V5766="",N($AA5765),IF(MATCH($V5766,$V$6:$V$10005,0)=ROW()-5,N($AA5765)+1,N($AA5765)))</f>
        <v>0</v>
      </c>
    </row>
    <row r="5767" spans="1:27" ht="21" customHeight="1" x14ac:dyDescent="0.95">
      <c r="A5767" s="56"/>
      <c r="B5767" s="57"/>
      <c r="C5767" s="57"/>
      <c r="D5767" s="57"/>
      <c r="E5767" s="56"/>
      <c r="F5767" s="57"/>
      <c r="G5767" s="57"/>
      <c r="H5767" s="56"/>
      <c r="I5767" s="56"/>
      <c r="J5767" s="58"/>
      <c r="K5767" s="58"/>
      <c r="L5767" s="13" t="str">
        <f t="shared" si="900"/>
        <v/>
      </c>
      <c r="M5767" s="13" t="str">
        <f t="shared" si="901"/>
        <v/>
      </c>
      <c r="Q5767" t="str">
        <f t="shared" si="902"/>
        <v/>
      </c>
      <c r="R5767" t="str">
        <f t="shared" si="903"/>
        <v/>
      </c>
      <c r="S5767" t="str">
        <f t="shared" si="904"/>
        <v/>
      </c>
      <c r="T5767" t="str">
        <f t="shared" si="905"/>
        <v/>
      </c>
      <c r="U5767" t="str">
        <f t="shared" si="906"/>
        <v/>
      </c>
      <c r="V5767" t="str">
        <f t="shared" si="907"/>
        <v/>
      </c>
      <c r="W5767" t="str">
        <f t="shared" si="908"/>
        <v/>
      </c>
      <c r="X5767">
        <f>IF($T5767="",N($X5766),IF(MATCH($T5767,$T$6:$T$10005,0)=ROW()-5,N($X5766)+1,N($X5766)))</f>
        <v>0</v>
      </c>
      <c r="Z5767" t="str">
        <f t="shared" si="909"/>
        <v/>
      </c>
      <c r="AA5767">
        <f>IF($V5767="",N($AA5766),IF(MATCH($V5767,$V$6:$V$10005,0)=ROW()-5,N($AA5766)+1,N($AA5766)))</f>
        <v>0</v>
      </c>
    </row>
    <row r="5768" spans="1:27" ht="21" customHeight="1" x14ac:dyDescent="0.95">
      <c r="A5768" s="56"/>
      <c r="B5768" s="57"/>
      <c r="C5768" s="57"/>
      <c r="D5768" s="57"/>
      <c r="E5768" s="56"/>
      <c r="F5768" s="57"/>
      <c r="G5768" s="57"/>
      <c r="H5768" s="56"/>
      <c r="I5768" s="56"/>
      <c r="J5768" s="58"/>
      <c r="K5768" s="58"/>
      <c r="L5768" s="13" t="str">
        <f t="shared" si="900"/>
        <v/>
      </c>
      <c r="M5768" s="13" t="str">
        <f t="shared" si="901"/>
        <v/>
      </c>
      <c r="Q5768" t="str">
        <f t="shared" si="902"/>
        <v/>
      </c>
      <c r="R5768" t="str">
        <f t="shared" si="903"/>
        <v/>
      </c>
      <c r="S5768" t="str">
        <f t="shared" si="904"/>
        <v/>
      </c>
      <c r="T5768" t="str">
        <f t="shared" si="905"/>
        <v/>
      </c>
      <c r="U5768" t="str">
        <f t="shared" si="906"/>
        <v/>
      </c>
      <c r="V5768" t="str">
        <f t="shared" si="907"/>
        <v/>
      </c>
      <c r="W5768" t="str">
        <f t="shared" si="908"/>
        <v/>
      </c>
      <c r="X5768">
        <f>IF($T5768="",N($X5767),IF(MATCH($T5768,$T$6:$T$10005,0)=ROW()-5,N($X5767)+1,N($X5767)))</f>
        <v>0</v>
      </c>
      <c r="Z5768" t="str">
        <f t="shared" si="909"/>
        <v/>
      </c>
      <c r="AA5768">
        <f>IF($V5768="",N($AA5767),IF(MATCH($V5768,$V$6:$V$10005,0)=ROW()-5,N($AA5767)+1,N($AA5767)))</f>
        <v>0</v>
      </c>
    </row>
    <row r="5769" spans="1:27" ht="21" customHeight="1" x14ac:dyDescent="0.95">
      <c r="A5769" s="56"/>
      <c r="B5769" s="57"/>
      <c r="C5769" s="57"/>
      <c r="D5769" s="57"/>
      <c r="E5769" s="56"/>
      <c r="F5769" s="57"/>
      <c r="G5769" s="57"/>
      <c r="H5769" s="56"/>
      <c r="I5769" s="56"/>
      <c r="J5769" s="58"/>
      <c r="K5769" s="58"/>
      <c r="L5769" s="13" t="str">
        <f t="shared" si="900"/>
        <v/>
      </c>
      <c r="M5769" s="13" t="str">
        <f t="shared" si="901"/>
        <v/>
      </c>
      <c r="Q5769" t="str">
        <f t="shared" si="902"/>
        <v/>
      </c>
      <c r="R5769" t="str">
        <f t="shared" si="903"/>
        <v/>
      </c>
      <c r="S5769" t="str">
        <f t="shared" si="904"/>
        <v/>
      </c>
      <c r="T5769" t="str">
        <f t="shared" si="905"/>
        <v/>
      </c>
      <c r="U5769" t="str">
        <f t="shared" si="906"/>
        <v/>
      </c>
      <c r="V5769" t="str">
        <f t="shared" si="907"/>
        <v/>
      </c>
      <c r="W5769" t="str">
        <f t="shared" si="908"/>
        <v/>
      </c>
      <c r="X5769">
        <f>IF($T5769="",N($X5768),IF(MATCH($T5769,$T$6:$T$10005,0)=ROW()-5,N($X5768)+1,N($X5768)))</f>
        <v>0</v>
      </c>
      <c r="Z5769" t="str">
        <f t="shared" si="909"/>
        <v/>
      </c>
      <c r="AA5769">
        <f>IF($V5769="",N($AA5768),IF(MATCH($V5769,$V$6:$V$10005,0)=ROW()-5,N($AA5768)+1,N($AA5768)))</f>
        <v>0</v>
      </c>
    </row>
    <row r="5770" spans="1:27" ht="21" customHeight="1" x14ac:dyDescent="0.95">
      <c r="A5770" s="56"/>
      <c r="B5770" s="57"/>
      <c r="C5770" s="57"/>
      <c r="D5770" s="57"/>
      <c r="E5770" s="56"/>
      <c r="F5770" s="57"/>
      <c r="G5770" s="57"/>
      <c r="H5770" s="56"/>
      <c r="I5770" s="56"/>
      <c r="J5770" s="58"/>
      <c r="K5770" s="58"/>
      <c r="L5770" s="13" t="str">
        <f t="shared" si="900"/>
        <v/>
      </c>
      <c r="M5770" s="13" t="str">
        <f t="shared" si="901"/>
        <v/>
      </c>
      <c r="Q5770" t="str">
        <f t="shared" si="902"/>
        <v/>
      </c>
      <c r="R5770" t="str">
        <f t="shared" si="903"/>
        <v/>
      </c>
      <c r="S5770" t="str">
        <f t="shared" si="904"/>
        <v/>
      </c>
      <c r="T5770" t="str">
        <f t="shared" si="905"/>
        <v/>
      </c>
      <c r="U5770" t="str">
        <f t="shared" si="906"/>
        <v/>
      </c>
      <c r="V5770" t="str">
        <f t="shared" si="907"/>
        <v/>
      </c>
      <c r="W5770" t="str">
        <f t="shared" si="908"/>
        <v/>
      </c>
      <c r="X5770">
        <f>IF($T5770="",N($X5769),IF(MATCH($T5770,$T$6:$T$10005,0)=ROW()-5,N($X5769)+1,N($X5769)))</f>
        <v>0</v>
      </c>
      <c r="Z5770" t="str">
        <f t="shared" si="909"/>
        <v/>
      </c>
      <c r="AA5770">
        <f>IF($V5770="",N($AA5769),IF(MATCH($V5770,$V$6:$V$10005,0)=ROW()-5,N($AA5769)+1,N($AA5769)))</f>
        <v>0</v>
      </c>
    </row>
    <row r="5771" spans="1:27" ht="21" customHeight="1" x14ac:dyDescent="0.95">
      <c r="A5771" s="56"/>
      <c r="B5771" s="57"/>
      <c r="C5771" s="57"/>
      <c r="D5771" s="57"/>
      <c r="E5771" s="56"/>
      <c r="F5771" s="57"/>
      <c r="G5771" s="57"/>
      <c r="H5771" s="56"/>
      <c r="I5771" s="56"/>
      <c r="J5771" s="58"/>
      <c r="K5771" s="58"/>
      <c r="L5771" s="13" t="str">
        <f t="shared" si="900"/>
        <v/>
      </c>
      <c r="M5771" s="13" t="str">
        <f t="shared" si="901"/>
        <v/>
      </c>
      <c r="Q5771" t="str">
        <f t="shared" si="902"/>
        <v/>
      </c>
      <c r="R5771" t="str">
        <f t="shared" si="903"/>
        <v/>
      </c>
      <c r="S5771" t="str">
        <f t="shared" si="904"/>
        <v/>
      </c>
      <c r="T5771" t="str">
        <f t="shared" si="905"/>
        <v/>
      </c>
      <c r="U5771" t="str">
        <f t="shared" si="906"/>
        <v/>
      </c>
      <c r="V5771" t="str">
        <f t="shared" si="907"/>
        <v/>
      </c>
      <c r="W5771" t="str">
        <f t="shared" si="908"/>
        <v/>
      </c>
      <c r="X5771">
        <f>IF($T5771="",N($X5770),IF(MATCH($T5771,$T$6:$T$10005,0)=ROW()-5,N($X5770)+1,N($X5770)))</f>
        <v>0</v>
      </c>
      <c r="Z5771" t="str">
        <f t="shared" si="909"/>
        <v/>
      </c>
      <c r="AA5771">
        <f>IF($V5771="",N($AA5770),IF(MATCH($V5771,$V$6:$V$10005,0)=ROW()-5,N($AA5770)+1,N($AA5770)))</f>
        <v>0</v>
      </c>
    </row>
    <row r="5772" spans="1:27" ht="21" customHeight="1" x14ac:dyDescent="0.95">
      <c r="A5772" s="56"/>
      <c r="B5772" s="57"/>
      <c r="C5772" s="57"/>
      <c r="D5772" s="57"/>
      <c r="E5772" s="56"/>
      <c r="F5772" s="57"/>
      <c r="G5772" s="57"/>
      <c r="H5772" s="56"/>
      <c r="I5772" s="56"/>
      <c r="J5772" s="58"/>
      <c r="K5772" s="58"/>
      <c r="L5772" s="13" t="str">
        <f t="shared" si="900"/>
        <v/>
      </c>
      <c r="M5772" s="13" t="str">
        <f t="shared" si="901"/>
        <v/>
      </c>
      <c r="Q5772" t="str">
        <f t="shared" si="902"/>
        <v/>
      </c>
      <c r="R5772" t="str">
        <f t="shared" si="903"/>
        <v/>
      </c>
      <c r="S5772" t="str">
        <f t="shared" si="904"/>
        <v/>
      </c>
      <c r="T5772" t="str">
        <f t="shared" si="905"/>
        <v/>
      </c>
      <c r="U5772" t="str">
        <f t="shared" si="906"/>
        <v/>
      </c>
      <c r="V5772" t="str">
        <f t="shared" si="907"/>
        <v/>
      </c>
      <c r="W5772" t="str">
        <f t="shared" si="908"/>
        <v/>
      </c>
      <c r="X5772">
        <f>IF($T5772="",N($X5771),IF(MATCH($T5772,$T$6:$T$10005,0)=ROW()-5,N($X5771)+1,N($X5771)))</f>
        <v>0</v>
      </c>
      <c r="Z5772" t="str">
        <f t="shared" si="909"/>
        <v/>
      </c>
      <c r="AA5772">
        <f>IF($V5772="",N($AA5771),IF(MATCH($V5772,$V$6:$V$10005,0)=ROW()-5,N($AA5771)+1,N($AA5771)))</f>
        <v>0</v>
      </c>
    </row>
    <row r="5773" spans="1:27" ht="21" customHeight="1" x14ac:dyDescent="0.95">
      <c r="A5773" s="56"/>
      <c r="B5773" s="57"/>
      <c r="C5773" s="57"/>
      <c r="D5773" s="57"/>
      <c r="E5773" s="56"/>
      <c r="F5773" s="57"/>
      <c r="G5773" s="57"/>
      <c r="H5773" s="56"/>
      <c r="I5773" s="56"/>
      <c r="J5773" s="58"/>
      <c r="K5773" s="58"/>
      <c r="L5773" s="13" t="str">
        <f t="shared" si="900"/>
        <v/>
      </c>
      <c r="M5773" s="13" t="str">
        <f t="shared" si="901"/>
        <v/>
      </c>
      <c r="Q5773" t="str">
        <f t="shared" si="902"/>
        <v/>
      </c>
      <c r="R5773" t="str">
        <f t="shared" si="903"/>
        <v/>
      </c>
      <c r="S5773" t="str">
        <f t="shared" si="904"/>
        <v/>
      </c>
      <c r="T5773" t="str">
        <f t="shared" si="905"/>
        <v/>
      </c>
      <c r="U5773" t="str">
        <f t="shared" si="906"/>
        <v/>
      </c>
      <c r="V5773" t="str">
        <f t="shared" si="907"/>
        <v/>
      </c>
      <c r="W5773" t="str">
        <f t="shared" si="908"/>
        <v/>
      </c>
      <c r="X5773">
        <f>IF($T5773="",N($X5772),IF(MATCH($T5773,$T$6:$T$10005,0)=ROW()-5,N($X5772)+1,N($X5772)))</f>
        <v>0</v>
      </c>
      <c r="Z5773" t="str">
        <f t="shared" si="909"/>
        <v/>
      </c>
      <c r="AA5773">
        <f>IF($V5773="",N($AA5772),IF(MATCH($V5773,$V$6:$V$10005,0)=ROW()-5,N($AA5772)+1,N($AA5772)))</f>
        <v>0</v>
      </c>
    </row>
    <row r="5774" spans="1:27" ht="21" customHeight="1" x14ac:dyDescent="0.95">
      <c r="A5774" s="56"/>
      <c r="B5774" s="57"/>
      <c r="C5774" s="57"/>
      <c r="D5774" s="57"/>
      <c r="E5774" s="56"/>
      <c r="F5774" s="57"/>
      <c r="G5774" s="57"/>
      <c r="H5774" s="56"/>
      <c r="I5774" s="56"/>
      <c r="J5774" s="58"/>
      <c r="K5774" s="58"/>
      <c r="L5774" s="13" t="str">
        <f t="shared" si="900"/>
        <v/>
      </c>
      <c r="M5774" s="13" t="str">
        <f t="shared" si="901"/>
        <v/>
      </c>
      <c r="Q5774" t="str">
        <f t="shared" si="902"/>
        <v/>
      </c>
      <c r="R5774" t="str">
        <f t="shared" si="903"/>
        <v/>
      </c>
      <c r="S5774" t="str">
        <f t="shared" si="904"/>
        <v/>
      </c>
      <c r="T5774" t="str">
        <f t="shared" si="905"/>
        <v/>
      </c>
      <c r="U5774" t="str">
        <f t="shared" si="906"/>
        <v/>
      </c>
      <c r="V5774" t="str">
        <f t="shared" si="907"/>
        <v/>
      </c>
      <c r="W5774" t="str">
        <f t="shared" si="908"/>
        <v/>
      </c>
      <c r="X5774">
        <f>IF($T5774="",N($X5773),IF(MATCH($T5774,$T$6:$T$10005,0)=ROW()-5,N($X5773)+1,N($X5773)))</f>
        <v>0</v>
      </c>
      <c r="Z5774" t="str">
        <f t="shared" si="909"/>
        <v/>
      </c>
      <c r="AA5774">
        <f>IF($V5774="",N($AA5773),IF(MATCH($V5774,$V$6:$V$10005,0)=ROW()-5,N($AA5773)+1,N($AA5773)))</f>
        <v>0</v>
      </c>
    </row>
    <row r="5775" spans="1:27" ht="21" customHeight="1" x14ac:dyDescent="0.95">
      <c r="A5775" s="56"/>
      <c r="B5775" s="57"/>
      <c r="C5775" s="57"/>
      <c r="D5775" s="57"/>
      <c r="E5775" s="56"/>
      <c r="F5775" s="57"/>
      <c r="G5775" s="57"/>
      <c r="H5775" s="56"/>
      <c r="I5775" s="56"/>
      <c r="J5775" s="58"/>
      <c r="K5775" s="58"/>
      <c r="L5775" s="13" t="str">
        <f t="shared" si="900"/>
        <v/>
      </c>
      <c r="M5775" s="13" t="str">
        <f t="shared" si="901"/>
        <v/>
      </c>
      <c r="Q5775" t="str">
        <f t="shared" si="902"/>
        <v/>
      </c>
      <c r="R5775" t="str">
        <f t="shared" si="903"/>
        <v/>
      </c>
      <c r="S5775" t="str">
        <f t="shared" si="904"/>
        <v/>
      </c>
      <c r="T5775" t="str">
        <f t="shared" si="905"/>
        <v/>
      </c>
      <c r="U5775" t="str">
        <f t="shared" si="906"/>
        <v/>
      </c>
      <c r="V5775" t="str">
        <f t="shared" si="907"/>
        <v/>
      </c>
      <c r="W5775" t="str">
        <f t="shared" si="908"/>
        <v/>
      </c>
      <c r="X5775">
        <f>IF($T5775="",N($X5774),IF(MATCH($T5775,$T$6:$T$10005,0)=ROW()-5,N($X5774)+1,N($X5774)))</f>
        <v>0</v>
      </c>
      <c r="Z5775" t="str">
        <f t="shared" si="909"/>
        <v/>
      </c>
      <c r="AA5775">
        <f>IF($V5775="",N($AA5774),IF(MATCH($V5775,$V$6:$V$10005,0)=ROW()-5,N($AA5774)+1,N($AA5774)))</f>
        <v>0</v>
      </c>
    </row>
    <row r="5776" spans="1:27" ht="21" customHeight="1" x14ac:dyDescent="0.95">
      <c r="A5776" s="56"/>
      <c r="B5776" s="57"/>
      <c r="C5776" s="57"/>
      <c r="D5776" s="57"/>
      <c r="E5776" s="56"/>
      <c r="F5776" s="57"/>
      <c r="G5776" s="57"/>
      <c r="H5776" s="56"/>
      <c r="I5776" s="56"/>
      <c r="J5776" s="58"/>
      <c r="K5776" s="58"/>
      <c r="L5776" s="13" t="str">
        <f t="shared" si="900"/>
        <v/>
      </c>
      <c r="M5776" s="13" t="str">
        <f t="shared" si="901"/>
        <v/>
      </c>
      <c r="Q5776" t="str">
        <f t="shared" si="902"/>
        <v/>
      </c>
      <c r="R5776" t="str">
        <f t="shared" si="903"/>
        <v/>
      </c>
      <c r="S5776" t="str">
        <f t="shared" si="904"/>
        <v/>
      </c>
      <c r="T5776" t="str">
        <f t="shared" si="905"/>
        <v/>
      </c>
      <c r="U5776" t="str">
        <f t="shared" si="906"/>
        <v/>
      </c>
      <c r="V5776" t="str">
        <f t="shared" si="907"/>
        <v/>
      </c>
      <c r="W5776" t="str">
        <f t="shared" si="908"/>
        <v/>
      </c>
      <c r="X5776">
        <f>IF($T5776="",N($X5775),IF(MATCH($T5776,$T$6:$T$10005,0)=ROW()-5,N($X5775)+1,N($X5775)))</f>
        <v>0</v>
      </c>
      <c r="Z5776" t="str">
        <f t="shared" si="909"/>
        <v/>
      </c>
      <c r="AA5776">
        <f>IF($V5776="",N($AA5775),IF(MATCH($V5776,$V$6:$V$10005,0)=ROW()-5,N($AA5775)+1,N($AA5775)))</f>
        <v>0</v>
      </c>
    </row>
    <row r="5777" spans="1:27" ht="21" customHeight="1" x14ac:dyDescent="0.95">
      <c r="A5777" s="56"/>
      <c r="B5777" s="57"/>
      <c r="C5777" s="57"/>
      <c r="D5777" s="57"/>
      <c r="E5777" s="56"/>
      <c r="F5777" s="57"/>
      <c r="G5777" s="57"/>
      <c r="H5777" s="56"/>
      <c r="I5777" s="56"/>
      <c r="J5777" s="58"/>
      <c r="K5777" s="58"/>
      <c r="L5777" s="13" t="str">
        <f t="shared" si="900"/>
        <v/>
      </c>
      <c r="M5777" s="13" t="str">
        <f t="shared" si="901"/>
        <v/>
      </c>
      <c r="Q5777" t="str">
        <f t="shared" si="902"/>
        <v/>
      </c>
      <c r="R5777" t="str">
        <f t="shared" si="903"/>
        <v/>
      </c>
      <c r="S5777" t="str">
        <f t="shared" si="904"/>
        <v/>
      </c>
      <c r="T5777" t="str">
        <f t="shared" si="905"/>
        <v/>
      </c>
      <c r="U5777" t="str">
        <f t="shared" si="906"/>
        <v/>
      </c>
      <c r="V5777" t="str">
        <f t="shared" si="907"/>
        <v/>
      </c>
      <c r="W5777" t="str">
        <f t="shared" si="908"/>
        <v/>
      </c>
      <c r="X5777">
        <f>IF($T5777="",N($X5776),IF(MATCH($T5777,$T$6:$T$10005,0)=ROW()-5,N($X5776)+1,N($X5776)))</f>
        <v>0</v>
      </c>
      <c r="Z5777" t="str">
        <f t="shared" si="909"/>
        <v/>
      </c>
      <c r="AA5777">
        <f>IF($V5777="",N($AA5776),IF(MATCH($V5777,$V$6:$V$10005,0)=ROW()-5,N($AA5776)+1,N($AA5776)))</f>
        <v>0</v>
      </c>
    </row>
    <row r="5778" spans="1:27" ht="21" customHeight="1" x14ac:dyDescent="0.95">
      <c r="A5778" s="56"/>
      <c r="B5778" s="57"/>
      <c r="C5778" s="57"/>
      <c r="D5778" s="57"/>
      <c r="E5778" s="56"/>
      <c r="F5778" s="57"/>
      <c r="G5778" s="57"/>
      <c r="H5778" s="56"/>
      <c r="I5778" s="56"/>
      <c r="J5778" s="58"/>
      <c r="K5778" s="58"/>
      <c r="L5778" s="13" t="str">
        <f t="shared" si="900"/>
        <v/>
      </c>
      <c r="M5778" s="13" t="str">
        <f t="shared" si="901"/>
        <v/>
      </c>
      <c r="Q5778" t="str">
        <f t="shared" si="902"/>
        <v/>
      </c>
      <c r="R5778" t="str">
        <f t="shared" si="903"/>
        <v/>
      </c>
      <c r="S5778" t="str">
        <f t="shared" si="904"/>
        <v/>
      </c>
      <c r="T5778" t="str">
        <f t="shared" si="905"/>
        <v/>
      </c>
      <c r="U5778" t="str">
        <f t="shared" si="906"/>
        <v/>
      </c>
      <c r="V5778" t="str">
        <f t="shared" si="907"/>
        <v/>
      </c>
      <c r="W5778" t="str">
        <f t="shared" si="908"/>
        <v/>
      </c>
      <c r="X5778">
        <f>IF($T5778="",N($X5777),IF(MATCH($T5778,$T$6:$T$10005,0)=ROW()-5,N($X5777)+1,N($X5777)))</f>
        <v>0</v>
      </c>
      <c r="Z5778" t="str">
        <f t="shared" si="909"/>
        <v/>
      </c>
      <c r="AA5778">
        <f>IF($V5778="",N($AA5777),IF(MATCH($V5778,$V$6:$V$10005,0)=ROW()-5,N($AA5777)+1,N($AA5777)))</f>
        <v>0</v>
      </c>
    </row>
    <row r="5779" spans="1:27" ht="21" customHeight="1" x14ac:dyDescent="0.95">
      <c r="A5779" s="56"/>
      <c r="B5779" s="57"/>
      <c r="C5779" s="57"/>
      <c r="D5779" s="57"/>
      <c r="E5779" s="56"/>
      <c r="F5779" s="57"/>
      <c r="G5779" s="57"/>
      <c r="H5779" s="56"/>
      <c r="I5779" s="56"/>
      <c r="J5779" s="58"/>
      <c r="K5779" s="58"/>
      <c r="L5779" s="13" t="str">
        <f t="shared" si="900"/>
        <v/>
      </c>
      <c r="M5779" s="13" t="str">
        <f t="shared" si="901"/>
        <v/>
      </c>
      <c r="Q5779" t="str">
        <f t="shared" si="902"/>
        <v/>
      </c>
      <c r="R5779" t="str">
        <f t="shared" si="903"/>
        <v/>
      </c>
      <c r="S5779" t="str">
        <f t="shared" si="904"/>
        <v/>
      </c>
      <c r="T5779" t="str">
        <f t="shared" si="905"/>
        <v/>
      </c>
      <c r="U5779" t="str">
        <f t="shared" si="906"/>
        <v/>
      </c>
      <c r="V5779" t="str">
        <f t="shared" si="907"/>
        <v/>
      </c>
      <c r="W5779" t="str">
        <f t="shared" si="908"/>
        <v/>
      </c>
      <c r="X5779">
        <f>IF($T5779="",N($X5778),IF(MATCH($T5779,$T$6:$T$10005,0)=ROW()-5,N($X5778)+1,N($X5778)))</f>
        <v>0</v>
      </c>
      <c r="Z5779" t="str">
        <f t="shared" si="909"/>
        <v/>
      </c>
      <c r="AA5779">
        <f>IF($V5779="",N($AA5778),IF(MATCH($V5779,$V$6:$V$10005,0)=ROW()-5,N($AA5778)+1,N($AA5778)))</f>
        <v>0</v>
      </c>
    </row>
    <row r="5780" spans="1:27" ht="21" customHeight="1" x14ac:dyDescent="0.95">
      <c r="A5780" s="56"/>
      <c r="B5780" s="57"/>
      <c r="C5780" s="57"/>
      <c r="D5780" s="57"/>
      <c r="E5780" s="56"/>
      <c r="F5780" s="57"/>
      <c r="G5780" s="57"/>
      <c r="H5780" s="56"/>
      <c r="I5780" s="56"/>
      <c r="J5780" s="58"/>
      <c r="K5780" s="58"/>
      <c r="L5780" s="13" t="str">
        <f t="shared" si="900"/>
        <v/>
      </c>
      <c r="M5780" s="13" t="str">
        <f t="shared" si="901"/>
        <v/>
      </c>
      <c r="Q5780" t="str">
        <f t="shared" si="902"/>
        <v/>
      </c>
      <c r="R5780" t="str">
        <f t="shared" si="903"/>
        <v/>
      </c>
      <c r="S5780" t="str">
        <f t="shared" si="904"/>
        <v/>
      </c>
      <c r="T5780" t="str">
        <f t="shared" si="905"/>
        <v/>
      </c>
      <c r="U5780" t="str">
        <f t="shared" si="906"/>
        <v/>
      </c>
      <c r="V5780" t="str">
        <f t="shared" si="907"/>
        <v/>
      </c>
      <c r="W5780" t="str">
        <f t="shared" si="908"/>
        <v/>
      </c>
      <c r="X5780">
        <f>IF($T5780="",N($X5779),IF(MATCH($T5780,$T$6:$T$10005,0)=ROW()-5,N($X5779)+1,N($X5779)))</f>
        <v>0</v>
      </c>
      <c r="Z5780" t="str">
        <f t="shared" si="909"/>
        <v/>
      </c>
      <c r="AA5780">
        <f>IF($V5780="",N($AA5779),IF(MATCH($V5780,$V$6:$V$10005,0)=ROW()-5,N($AA5779)+1,N($AA5779)))</f>
        <v>0</v>
      </c>
    </row>
    <row r="5781" spans="1:27" ht="21" customHeight="1" x14ac:dyDescent="0.95">
      <c r="A5781" s="56"/>
      <c r="B5781" s="57"/>
      <c r="C5781" s="57"/>
      <c r="D5781" s="57"/>
      <c r="E5781" s="56"/>
      <c r="F5781" s="57"/>
      <c r="G5781" s="57"/>
      <c r="H5781" s="56"/>
      <c r="I5781" s="56"/>
      <c r="J5781" s="58"/>
      <c r="K5781" s="58"/>
      <c r="L5781" s="13" t="str">
        <f t="shared" si="900"/>
        <v/>
      </c>
      <c r="M5781" s="13" t="str">
        <f t="shared" si="901"/>
        <v/>
      </c>
      <c r="Q5781" t="str">
        <f t="shared" si="902"/>
        <v/>
      </c>
      <c r="R5781" t="str">
        <f t="shared" si="903"/>
        <v/>
      </c>
      <c r="S5781" t="str">
        <f t="shared" si="904"/>
        <v/>
      </c>
      <c r="T5781" t="str">
        <f t="shared" si="905"/>
        <v/>
      </c>
      <c r="U5781" t="str">
        <f t="shared" si="906"/>
        <v/>
      </c>
      <c r="V5781" t="str">
        <f t="shared" si="907"/>
        <v/>
      </c>
      <c r="W5781" t="str">
        <f t="shared" si="908"/>
        <v/>
      </c>
      <c r="X5781">
        <f>IF($T5781="",N($X5780),IF(MATCH($T5781,$T$6:$T$10005,0)=ROW()-5,N($X5780)+1,N($X5780)))</f>
        <v>0</v>
      </c>
      <c r="Z5781" t="str">
        <f t="shared" si="909"/>
        <v/>
      </c>
      <c r="AA5781">
        <f>IF($V5781="",N($AA5780),IF(MATCH($V5781,$V$6:$V$10005,0)=ROW()-5,N($AA5780)+1,N($AA5780)))</f>
        <v>0</v>
      </c>
    </row>
    <row r="5782" spans="1:27" ht="21" customHeight="1" x14ac:dyDescent="0.95">
      <c r="A5782" s="56"/>
      <c r="B5782" s="57"/>
      <c r="C5782" s="57"/>
      <c r="D5782" s="57"/>
      <c r="E5782" s="56"/>
      <c r="F5782" s="57"/>
      <c r="G5782" s="57"/>
      <c r="H5782" s="56"/>
      <c r="I5782" s="56"/>
      <c r="J5782" s="58"/>
      <c r="K5782" s="58"/>
      <c r="L5782" s="13" t="str">
        <f t="shared" si="900"/>
        <v/>
      </c>
      <c r="M5782" s="13" t="str">
        <f t="shared" si="901"/>
        <v/>
      </c>
      <c r="Q5782" t="str">
        <f t="shared" si="902"/>
        <v/>
      </c>
      <c r="R5782" t="str">
        <f t="shared" si="903"/>
        <v/>
      </c>
      <c r="S5782" t="str">
        <f t="shared" si="904"/>
        <v/>
      </c>
      <c r="T5782" t="str">
        <f t="shared" si="905"/>
        <v/>
      </c>
      <c r="U5782" t="str">
        <f t="shared" si="906"/>
        <v/>
      </c>
      <c r="V5782" t="str">
        <f t="shared" si="907"/>
        <v/>
      </c>
      <c r="W5782" t="str">
        <f t="shared" si="908"/>
        <v/>
      </c>
      <c r="X5782">
        <f>IF($T5782="",N($X5781),IF(MATCH($T5782,$T$6:$T$10005,0)=ROW()-5,N($X5781)+1,N($X5781)))</f>
        <v>0</v>
      </c>
      <c r="Z5782" t="str">
        <f t="shared" si="909"/>
        <v/>
      </c>
      <c r="AA5782">
        <f>IF($V5782="",N($AA5781),IF(MATCH($V5782,$V$6:$V$10005,0)=ROW()-5,N($AA5781)+1,N($AA5781)))</f>
        <v>0</v>
      </c>
    </row>
    <row r="5783" spans="1:27" ht="21" customHeight="1" x14ac:dyDescent="0.95">
      <c r="A5783" s="56"/>
      <c r="B5783" s="57"/>
      <c r="C5783" s="57"/>
      <c r="D5783" s="57"/>
      <c r="E5783" s="56"/>
      <c r="F5783" s="57"/>
      <c r="G5783" s="57"/>
      <c r="H5783" s="56"/>
      <c r="I5783" s="56"/>
      <c r="J5783" s="58"/>
      <c r="K5783" s="58"/>
      <c r="L5783" s="13" t="str">
        <f t="shared" si="900"/>
        <v/>
      </c>
      <c r="M5783" s="13" t="str">
        <f t="shared" si="901"/>
        <v/>
      </c>
      <c r="Q5783" t="str">
        <f t="shared" si="902"/>
        <v/>
      </c>
      <c r="R5783" t="str">
        <f t="shared" si="903"/>
        <v/>
      </c>
      <c r="S5783" t="str">
        <f t="shared" si="904"/>
        <v/>
      </c>
      <c r="T5783" t="str">
        <f t="shared" si="905"/>
        <v/>
      </c>
      <c r="U5783" t="str">
        <f t="shared" si="906"/>
        <v/>
      </c>
      <c r="V5783" t="str">
        <f t="shared" si="907"/>
        <v/>
      </c>
      <c r="W5783" t="str">
        <f t="shared" si="908"/>
        <v/>
      </c>
      <c r="X5783">
        <f>IF($T5783="",N($X5782),IF(MATCH($T5783,$T$6:$T$10005,0)=ROW()-5,N($X5782)+1,N($X5782)))</f>
        <v>0</v>
      </c>
      <c r="Z5783" t="str">
        <f t="shared" si="909"/>
        <v/>
      </c>
      <c r="AA5783">
        <f>IF($V5783="",N($AA5782),IF(MATCH($V5783,$V$6:$V$10005,0)=ROW()-5,N($AA5782)+1,N($AA5782)))</f>
        <v>0</v>
      </c>
    </row>
    <row r="5784" spans="1:27" ht="21" customHeight="1" x14ac:dyDescent="0.95">
      <c r="A5784" s="56"/>
      <c r="B5784" s="57"/>
      <c r="C5784" s="57"/>
      <c r="D5784" s="57"/>
      <c r="E5784" s="56"/>
      <c r="F5784" s="57"/>
      <c r="G5784" s="57"/>
      <c r="H5784" s="56"/>
      <c r="I5784" s="56"/>
      <c r="J5784" s="58"/>
      <c r="K5784" s="58"/>
      <c r="L5784" s="13" t="str">
        <f t="shared" si="900"/>
        <v/>
      </c>
      <c r="M5784" s="13" t="str">
        <f t="shared" si="901"/>
        <v/>
      </c>
      <c r="Q5784" t="str">
        <f t="shared" si="902"/>
        <v/>
      </c>
      <c r="R5784" t="str">
        <f t="shared" si="903"/>
        <v/>
      </c>
      <c r="S5784" t="str">
        <f t="shared" si="904"/>
        <v/>
      </c>
      <c r="T5784" t="str">
        <f t="shared" si="905"/>
        <v/>
      </c>
      <c r="U5784" t="str">
        <f t="shared" si="906"/>
        <v/>
      </c>
      <c r="V5784" t="str">
        <f t="shared" si="907"/>
        <v/>
      </c>
      <c r="W5784" t="str">
        <f t="shared" si="908"/>
        <v/>
      </c>
      <c r="X5784">
        <f>IF($T5784="",N($X5783),IF(MATCH($T5784,$T$6:$T$10005,0)=ROW()-5,N($X5783)+1,N($X5783)))</f>
        <v>0</v>
      </c>
      <c r="Z5784" t="str">
        <f t="shared" si="909"/>
        <v/>
      </c>
      <c r="AA5784">
        <f>IF($V5784="",N($AA5783),IF(MATCH($V5784,$V$6:$V$10005,0)=ROW()-5,N($AA5783)+1,N($AA5783)))</f>
        <v>0</v>
      </c>
    </row>
    <row r="5785" spans="1:27" ht="21" customHeight="1" x14ac:dyDescent="0.95">
      <c r="A5785" s="56"/>
      <c r="B5785" s="57"/>
      <c r="C5785" s="57"/>
      <c r="D5785" s="57"/>
      <c r="E5785" s="56"/>
      <c r="F5785" s="57"/>
      <c r="G5785" s="57"/>
      <c r="H5785" s="56"/>
      <c r="I5785" s="56"/>
      <c r="J5785" s="58"/>
      <c r="K5785" s="58"/>
      <c r="L5785" s="13" t="str">
        <f t="shared" si="900"/>
        <v/>
      </c>
      <c r="M5785" s="13" t="str">
        <f t="shared" si="901"/>
        <v/>
      </c>
      <c r="Q5785" t="str">
        <f t="shared" si="902"/>
        <v/>
      </c>
      <c r="R5785" t="str">
        <f t="shared" si="903"/>
        <v/>
      </c>
      <c r="S5785" t="str">
        <f t="shared" si="904"/>
        <v/>
      </c>
      <c r="T5785" t="str">
        <f t="shared" si="905"/>
        <v/>
      </c>
      <c r="U5785" t="str">
        <f t="shared" si="906"/>
        <v/>
      </c>
      <c r="V5785" t="str">
        <f t="shared" si="907"/>
        <v/>
      </c>
      <c r="W5785" t="str">
        <f t="shared" si="908"/>
        <v/>
      </c>
      <c r="X5785">
        <f>IF($T5785="",N($X5784),IF(MATCH($T5785,$T$6:$T$10005,0)=ROW()-5,N($X5784)+1,N($X5784)))</f>
        <v>0</v>
      </c>
      <c r="Z5785" t="str">
        <f t="shared" si="909"/>
        <v/>
      </c>
      <c r="AA5785">
        <f>IF($V5785="",N($AA5784),IF(MATCH($V5785,$V$6:$V$10005,0)=ROW()-5,N($AA5784)+1,N($AA5784)))</f>
        <v>0</v>
      </c>
    </row>
    <row r="5786" spans="1:27" ht="21" customHeight="1" x14ac:dyDescent="0.95">
      <c r="A5786" s="56"/>
      <c r="B5786" s="57"/>
      <c r="C5786" s="57"/>
      <c r="D5786" s="57"/>
      <c r="E5786" s="56"/>
      <c r="F5786" s="57"/>
      <c r="G5786" s="57"/>
      <c r="H5786" s="56"/>
      <c r="I5786" s="56"/>
      <c r="J5786" s="58"/>
      <c r="K5786" s="58"/>
      <c r="L5786" s="13" t="str">
        <f t="shared" si="900"/>
        <v/>
      </c>
      <c r="M5786" s="13" t="str">
        <f t="shared" si="901"/>
        <v/>
      </c>
      <c r="Q5786" t="str">
        <f t="shared" si="902"/>
        <v/>
      </c>
      <c r="R5786" t="str">
        <f t="shared" si="903"/>
        <v/>
      </c>
      <c r="S5786" t="str">
        <f t="shared" si="904"/>
        <v/>
      </c>
      <c r="T5786" t="str">
        <f t="shared" si="905"/>
        <v/>
      </c>
      <c r="U5786" t="str">
        <f t="shared" si="906"/>
        <v/>
      </c>
      <c r="V5786" t="str">
        <f t="shared" si="907"/>
        <v/>
      </c>
      <c r="W5786" t="str">
        <f t="shared" si="908"/>
        <v/>
      </c>
      <c r="X5786">
        <f>IF($T5786="",N($X5785),IF(MATCH($T5786,$T$6:$T$10005,0)=ROW()-5,N($X5785)+1,N($X5785)))</f>
        <v>0</v>
      </c>
      <c r="Z5786" t="str">
        <f t="shared" si="909"/>
        <v/>
      </c>
      <c r="AA5786">
        <f>IF($V5786="",N($AA5785),IF(MATCH($V5786,$V$6:$V$10005,0)=ROW()-5,N($AA5785)+1,N($AA5785)))</f>
        <v>0</v>
      </c>
    </row>
    <row r="5787" spans="1:27" ht="21" customHeight="1" x14ac:dyDescent="0.95">
      <c r="A5787" s="56"/>
      <c r="B5787" s="57"/>
      <c r="C5787" s="57"/>
      <c r="D5787" s="57"/>
      <c r="E5787" s="56"/>
      <c r="F5787" s="57"/>
      <c r="G5787" s="57"/>
      <c r="H5787" s="56"/>
      <c r="I5787" s="56"/>
      <c r="J5787" s="58"/>
      <c r="K5787" s="58"/>
      <c r="L5787" s="13" t="str">
        <f t="shared" si="900"/>
        <v/>
      </c>
      <c r="M5787" s="13" t="str">
        <f t="shared" si="901"/>
        <v/>
      </c>
      <c r="Q5787" t="str">
        <f t="shared" si="902"/>
        <v/>
      </c>
      <c r="R5787" t="str">
        <f t="shared" si="903"/>
        <v/>
      </c>
      <c r="S5787" t="str">
        <f t="shared" si="904"/>
        <v/>
      </c>
      <c r="T5787" t="str">
        <f t="shared" si="905"/>
        <v/>
      </c>
      <c r="U5787" t="str">
        <f t="shared" si="906"/>
        <v/>
      </c>
      <c r="V5787" t="str">
        <f t="shared" si="907"/>
        <v/>
      </c>
      <c r="W5787" t="str">
        <f t="shared" si="908"/>
        <v/>
      </c>
      <c r="X5787">
        <f>IF($T5787="",N($X5786),IF(MATCH($T5787,$T$6:$T$10005,0)=ROW()-5,N($X5786)+1,N($X5786)))</f>
        <v>0</v>
      </c>
      <c r="Z5787" t="str">
        <f t="shared" si="909"/>
        <v/>
      </c>
      <c r="AA5787">
        <f>IF($V5787="",N($AA5786),IF(MATCH($V5787,$V$6:$V$10005,0)=ROW()-5,N($AA5786)+1,N($AA5786)))</f>
        <v>0</v>
      </c>
    </row>
    <row r="5788" spans="1:27" ht="21" customHeight="1" x14ac:dyDescent="0.95">
      <c r="A5788" s="56"/>
      <c r="B5788" s="57"/>
      <c r="C5788" s="57"/>
      <c r="D5788" s="57"/>
      <c r="E5788" s="56"/>
      <c r="F5788" s="57"/>
      <c r="G5788" s="57"/>
      <c r="H5788" s="56"/>
      <c r="I5788" s="56"/>
      <c r="J5788" s="58"/>
      <c r="K5788" s="58"/>
      <c r="L5788" s="13" t="str">
        <f t="shared" si="900"/>
        <v/>
      </c>
      <c r="M5788" s="13" t="str">
        <f t="shared" si="901"/>
        <v/>
      </c>
      <c r="Q5788" t="str">
        <f t="shared" si="902"/>
        <v/>
      </c>
      <c r="R5788" t="str">
        <f t="shared" si="903"/>
        <v/>
      </c>
      <c r="S5788" t="str">
        <f t="shared" si="904"/>
        <v/>
      </c>
      <c r="T5788" t="str">
        <f t="shared" si="905"/>
        <v/>
      </c>
      <c r="U5788" t="str">
        <f t="shared" si="906"/>
        <v/>
      </c>
      <c r="V5788" t="str">
        <f t="shared" si="907"/>
        <v/>
      </c>
      <c r="W5788" t="str">
        <f t="shared" si="908"/>
        <v/>
      </c>
      <c r="X5788">
        <f>IF($T5788="",N($X5787),IF(MATCH($T5788,$T$6:$T$10005,0)=ROW()-5,N($X5787)+1,N($X5787)))</f>
        <v>0</v>
      </c>
      <c r="Z5788" t="str">
        <f t="shared" si="909"/>
        <v/>
      </c>
      <c r="AA5788">
        <f>IF($V5788="",N($AA5787),IF(MATCH($V5788,$V$6:$V$10005,0)=ROW()-5,N($AA5787)+1,N($AA5787)))</f>
        <v>0</v>
      </c>
    </row>
    <row r="5789" spans="1:27" ht="21" customHeight="1" x14ac:dyDescent="0.95">
      <c r="A5789" s="56"/>
      <c r="B5789" s="57"/>
      <c r="C5789" s="57"/>
      <c r="D5789" s="57"/>
      <c r="E5789" s="56"/>
      <c r="F5789" s="57"/>
      <c r="G5789" s="57"/>
      <c r="H5789" s="56"/>
      <c r="I5789" s="56"/>
      <c r="J5789" s="58"/>
      <c r="K5789" s="58"/>
      <c r="L5789" s="13" t="str">
        <f t="shared" si="900"/>
        <v/>
      </c>
      <c r="M5789" s="13" t="str">
        <f t="shared" si="901"/>
        <v/>
      </c>
      <c r="Q5789" t="str">
        <f t="shared" si="902"/>
        <v/>
      </c>
      <c r="R5789" t="str">
        <f t="shared" si="903"/>
        <v/>
      </c>
      <c r="S5789" t="str">
        <f t="shared" si="904"/>
        <v/>
      </c>
      <c r="T5789" t="str">
        <f t="shared" si="905"/>
        <v/>
      </c>
      <c r="U5789" t="str">
        <f t="shared" si="906"/>
        <v/>
      </c>
      <c r="V5789" t="str">
        <f t="shared" si="907"/>
        <v/>
      </c>
      <c r="W5789" t="str">
        <f t="shared" si="908"/>
        <v/>
      </c>
      <c r="X5789">
        <f>IF($T5789="",N($X5788),IF(MATCH($T5789,$T$6:$T$10005,0)=ROW()-5,N($X5788)+1,N($X5788)))</f>
        <v>0</v>
      </c>
      <c r="Z5789" t="str">
        <f t="shared" si="909"/>
        <v/>
      </c>
      <c r="AA5789">
        <f>IF($V5789="",N($AA5788),IF(MATCH($V5789,$V$6:$V$10005,0)=ROW()-5,N($AA5788)+1,N($AA5788)))</f>
        <v>0</v>
      </c>
    </row>
    <row r="5790" spans="1:27" ht="21" customHeight="1" x14ac:dyDescent="0.95">
      <c r="A5790" s="56"/>
      <c r="B5790" s="57"/>
      <c r="C5790" s="57"/>
      <c r="D5790" s="57"/>
      <c r="E5790" s="56"/>
      <c r="F5790" s="57"/>
      <c r="G5790" s="57"/>
      <c r="H5790" s="56"/>
      <c r="I5790" s="56"/>
      <c r="J5790" s="58"/>
      <c r="K5790" s="58"/>
      <c r="L5790" s="13" t="str">
        <f t="shared" si="900"/>
        <v/>
      </c>
      <c r="M5790" s="13" t="str">
        <f t="shared" si="901"/>
        <v/>
      </c>
      <c r="Q5790" t="str">
        <f t="shared" si="902"/>
        <v/>
      </c>
      <c r="R5790" t="str">
        <f t="shared" si="903"/>
        <v/>
      </c>
      <c r="S5790" t="str">
        <f t="shared" si="904"/>
        <v/>
      </c>
      <c r="T5790" t="str">
        <f t="shared" si="905"/>
        <v/>
      </c>
      <c r="U5790" t="str">
        <f t="shared" si="906"/>
        <v/>
      </c>
      <c r="V5790" t="str">
        <f t="shared" si="907"/>
        <v/>
      </c>
      <c r="W5790" t="str">
        <f t="shared" si="908"/>
        <v/>
      </c>
      <c r="X5790">
        <f>IF($T5790="",N($X5789),IF(MATCH($T5790,$T$6:$T$10005,0)=ROW()-5,N($X5789)+1,N($X5789)))</f>
        <v>0</v>
      </c>
      <c r="Z5790" t="str">
        <f t="shared" si="909"/>
        <v/>
      </c>
      <c r="AA5790">
        <f>IF($V5790="",N($AA5789),IF(MATCH($V5790,$V$6:$V$10005,0)=ROW()-5,N($AA5789)+1,N($AA5789)))</f>
        <v>0</v>
      </c>
    </row>
    <row r="5791" spans="1:27" ht="21" customHeight="1" x14ac:dyDescent="0.95">
      <c r="A5791" s="56"/>
      <c r="B5791" s="57"/>
      <c r="C5791" s="57"/>
      <c r="D5791" s="57"/>
      <c r="E5791" s="56"/>
      <c r="F5791" s="57"/>
      <c r="G5791" s="57"/>
      <c r="H5791" s="56"/>
      <c r="I5791" s="56"/>
      <c r="J5791" s="58"/>
      <c r="K5791" s="58"/>
      <c r="L5791" s="13" t="str">
        <f t="shared" si="900"/>
        <v/>
      </c>
      <c r="M5791" s="13" t="str">
        <f t="shared" si="901"/>
        <v/>
      </c>
      <c r="Q5791" t="str">
        <f t="shared" si="902"/>
        <v/>
      </c>
      <c r="R5791" t="str">
        <f t="shared" si="903"/>
        <v/>
      </c>
      <c r="S5791" t="str">
        <f t="shared" si="904"/>
        <v/>
      </c>
      <c r="T5791" t="str">
        <f t="shared" si="905"/>
        <v/>
      </c>
      <c r="U5791" t="str">
        <f t="shared" si="906"/>
        <v/>
      </c>
      <c r="V5791" t="str">
        <f t="shared" si="907"/>
        <v/>
      </c>
      <c r="W5791" t="str">
        <f t="shared" si="908"/>
        <v/>
      </c>
      <c r="X5791">
        <f>IF($T5791="",N($X5790),IF(MATCH($T5791,$T$6:$T$10005,0)=ROW()-5,N($X5790)+1,N($X5790)))</f>
        <v>0</v>
      </c>
      <c r="Z5791" t="str">
        <f t="shared" si="909"/>
        <v/>
      </c>
      <c r="AA5791">
        <f>IF($V5791="",N($AA5790),IF(MATCH($V5791,$V$6:$V$10005,0)=ROW()-5,N($AA5790)+1,N($AA5790)))</f>
        <v>0</v>
      </c>
    </row>
    <row r="5792" spans="1:27" ht="21" customHeight="1" x14ac:dyDescent="0.95">
      <c r="A5792" s="56"/>
      <c r="B5792" s="57"/>
      <c r="C5792" s="57"/>
      <c r="D5792" s="57"/>
      <c r="E5792" s="56"/>
      <c r="F5792" s="57"/>
      <c r="G5792" s="57"/>
      <c r="H5792" s="56"/>
      <c r="I5792" s="56"/>
      <c r="J5792" s="58"/>
      <c r="K5792" s="58"/>
      <c r="L5792" s="13" t="str">
        <f t="shared" si="900"/>
        <v/>
      </c>
      <c r="M5792" s="13" t="str">
        <f t="shared" si="901"/>
        <v/>
      </c>
      <c r="Q5792" t="str">
        <f t="shared" si="902"/>
        <v/>
      </c>
      <c r="R5792" t="str">
        <f t="shared" si="903"/>
        <v/>
      </c>
      <c r="S5792" t="str">
        <f t="shared" si="904"/>
        <v/>
      </c>
      <c r="T5792" t="str">
        <f t="shared" si="905"/>
        <v/>
      </c>
      <c r="U5792" t="str">
        <f t="shared" si="906"/>
        <v/>
      </c>
      <c r="V5792" t="str">
        <f t="shared" si="907"/>
        <v/>
      </c>
      <c r="W5792" t="str">
        <f t="shared" si="908"/>
        <v/>
      </c>
      <c r="X5792">
        <f>IF($T5792="",N($X5791),IF(MATCH($T5792,$T$6:$T$10005,0)=ROW()-5,N($X5791)+1,N($X5791)))</f>
        <v>0</v>
      </c>
      <c r="Z5792" t="str">
        <f t="shared" si="909"/>
        <v/>
      </c>
      <c r="AA5792">
        <f>IF($V5792="",N($AA5791),IF(MATCH($V5792,$V$6:$V$10005,0)=ROW()-5,N($AA5791)+1,N($AA5791)))</f>
        <v>0</v>
      </c>
    </row>
    <row r="5793" spans="1:27" ht="21" customHeight="1" x14ac:dyDescent="0.95">
      <c r="A5793" s="56"/>
      <c r="B5793" s="57"/>
      <c r="C5793" s="57"/>
      <c r="D5793" s="57"/>
      <c r="E5793" s="56"/>
      <c r="F5793" s="57"/>
      <c r="G5793" s="57"/>
      <c r="H5793" s="56"/>
      <c r="I5793" s="56"/>
      <c r="J5793" s="58"/>
      <c r="K5793" s="58"/>
      <c r="L5793" s="13" t="str">
        <f t="shared" si="900"/>
        <v/>
      </c>
      <c r="M5793" s="13" t="str">
        <f t="shared" si="901"/>
        <v/>
      </c>
      <c r="Q5793" t="str">
        <f t="shared" si="902"/>
        <v/>
      </c>
      <c r="R5793" t="str">
        <f t="shared" si="903"/>
        <v/>
      </c>
      <c r="S5793" t="str">
        <f t="shared" si="904"/>
        <v/>
      </c>
      <c r="T5793" t="str">
        <f t="shared" si="905"/>
        <v/>
      </c>
      <c r="U5793" t="str">
        <f t="shared" si="906"/>
        <v/>
      </c>
      <c r="V5793" t="str">
        <f t="shared" si="907"/>
        <v/>
      </c>
      <c r="W5793" t="str">
        <f t="shared" si="908"/>
        <v/>
      </c>
      <c r="X5793">
        <f>IF($T5793="",N($X5792),IF(MATCH($T5793,$T$6:$T$10005,0)=ROW()-5,N($X5792)+1,N($X5792)))</f>
        <v>0</v>
      </c>
      <c r="Z5793" t="str">
        <f t="shared" si="909"/>
        <v/>
      </c>
      <c r="AA5793">
        <f>IF($V5793="",N($AA5792),IF(MATCH($V5793,$V$6:$V$10005,0)=ROW()-5,N($AA5792)+1,N($AA5792)))</f>
        <v>0</v>
      </c>
    </row>
    <row r="5794" spans="1:27" ht="21" customHeight="1" x14ac:dyDescent="0.95">
      <c r="A5794" s="56"/>
      <c r="B5794" s="57"/>
      <c r="C5794" s="57"/>
      <c r="D5794" s="57"/>
      <c r="E5794" s="56"/>
      <c r="F5794" s="57"/>
      <c r="G5794" s="57"/>
      <c r="H5794" s="56"/>
      <c r="I5794" s="56"/>
      <c r="J5794" s="58"/>
      <c r="K5794" s="58"/>
      <c r="L5794" s="13" t="str">
        <f t="shared" si="900"/>
        <v/>
      </c>
      <c r="M5794" s="13" t="str">
        <f t="shared" si="901"/>
        <v/>
      </c>
      <c r="Q5794" t="str">
        <f t="shared" si="902"/>
        <v/>
      </c>
      <c r="R5794" t="str">
        <f t="shared" si="903"/>
        <v/>
      </c>
      <c r="S5794" t="str">
        <f t="shared" si="904"/>
        <v/>
      </c>
      <c r="T5794" t="str">
        <f t="shared" si="905"/>
        <v/>
      </c>
      <c r="U5794" t="str">
        <f t="shared" si="906"/>
        <v/>
      </c>
      <c r="V5794" t="str">
        <f t="shared" si="907"/>
        <v/>
      </c>
      <c r="W5794" t="str">
        <f t="shared" si="908"/>
        <v/>
      </c>
      <c r="X5794">
        <f>IF($T5794="",N($X5793),IF(MATCH($T5794,$T$6:$T$10005,0)=ROW()-5,N($X5793)+1,N($X5793)))</f>
        <v>0</v>
      </c>
      <c r="Z5794" t="str">
        <f t="shared" si="909"/>
        <v/>
      </c>
      <c r="AA5794">
        <f>IF($V5794="",N($AA5793),IF(MATCH($V5794,$V$6:$V$10005,0)=ROW()-5,N($AA5793)+1,N($AA5793)))</f>
        <v>0</v>
      </c>
    </row>
    <row r="5795" spans="1:27" ht="21" customHeight="1" x14ac:dyDescent="0.95">
      <c r="A5795" s="56"/>
      <c r="B5795" s="57"/>
      <c r="C5795" s="57"/>
      <c r="D5795" s="57"/>
      <c r="E5795" s="56"/>
      <c r="F5795" s="57"/>
      <c r="G5795" s="57"/>
      <c r="H5795" s="56"/>
      <c r="I5795" s="56"/>
      <c r="J5795" s="58"/>
      <c r="K5795" s="58"/>
      <c r="L5795" s="13" t="str">
        <f t="shared" si="900"/>
        <v/>
      </c>
      <c r="M5795" s="13" t="str">
        <f t="shared" si="901"/>
        <v/>
      </c>
      <c r="Q5795" t="str">
        <f t="shared" si="902"/>
        <v/>
      </c>
      <c r="R5795" t="str">
        <f t="shared" si="903"/>
        <v/>
      </c>
      <c r="S5795" t="str">
        <f t="shared" si="904"/>
        <v/>
      </c>
      <c r="T5795" t="str">
        <f t="shared" si="905"/>
        <v/>
      </c>
      <c r="U5795" t="str">
        <f t="shared" si="906"/>
        <v/>
      </c>
      <c r="V5795" t="str">
        <f t="shared" si="907"/>
        <v/>
      </c>
      <c r="W5795" t="str">
        <f t="shared" si="908"/>
        <v/>
      </c>
      <c r="X5795">
        <f>IF($T5795="",N($X5794),IF(MATCH($T5795,$T$6:$T$10005,0)=ROW()-5,N($X5794)+1,N($X5794)))</f>
        <v>0</v>
      </c>
      <c r="Z5795" t="str">
        <f t="shared" si="909"/>
        <v/>
      </c>
      <c r="AA5795">
        <f>IF($V5795="",N($AA5794),IF(MATCH($V5795,$V$6:$V$10005,0)=ROW()-5,N($AA5794)+1,N($AA5794)))</f>
        <v>0</v>
      </c>
    </row>
    <row r="5796" spans="1:27" ht="21" customHeight="1" x14ac:dyDescent="0.95">
      <c r="A5796" s="56"/>
      <c r="B5796" s="57"/>
      <c r="C5796" s="57"/>
      <c r="D5796" s="57"/>
      <c r="E5796" s="56"/>
      <c r="F5796" s="57"/>
      <c r="G5796" s="57"/>
      <c r="H5796" s="56"/>
      <c r="I5796" s="56"/>
      <c r="J5796" s="58"/>
      <c r="K5796" s="58"/>
      <c r="L5796" s="13" t="str">
        <f t="shared" si="900"/>
        <v/>
      </c>
      <c r="M5796" s="13" t="str">
        <f t="shared" si="901"/>
        <v/>
      </c>
      <c r="Q5796" t="str">
        <f t="shared" si="902"/>
        <v/>
      </c>
      <c r="R5796" t="str">
        <f t="shared" si="903"/>
        <v/>
      </c>
      <c r="S5796" t="str">
        <f t="shared" si="904"/>
        <v/>
      </c>
      <c r="T5796" t="str">
        <f t="shared" si="905"/>
        <v/>
      </c>
      <c r="U5796" t="str">
        <f t="shared" si="906"/>
        <v/>
      </c>
      <c r="V5796" t="str">
        <f t="shared" si="907"/>
        <v/>
      </c>
      <c r="W5796" t="str">
        <f t="shared" si="908"/>
        <v/>
      </c>
      <c r="X5796">
        <f>IF($T5796="",N($X5795),IF(MATCH($T5796,$T$6:$T$10005,0)=ROW()-5,N($X5795)+1,N($X5795)))</f>
        <v>0</v>
      </c>
      <c r="Z5796" t="str">
        <f t="shared" si="909"/>
        <v/>
      </c>
      <c r="AA5796">
        <f>IF($V5796="",N($AA5795),IF(MATCH($V5796,$V$6:$V$10005,0)=ROW()-5,N($AA5795)+1,N($AA5795)))</f>
        <v>0</v>
      </c>
    </row>
    <row r="5797" spans="1:27" ht="21" customHeight="1" x14ac:dyDescent="0.95">
      <c r="A5797" s="56"/>
      <c r="B5797" s="57"/>
      <c r="C5797" s="57"/>
      <c r="D5797" s="57"/>
      <c r="E5797" s="56"/>
      <c r="F5797" s="57"/>
      <c r="G5797" s="57"/>
      <c r="H5797" s="56"/>
      <c r="I5797" s="56"/>
      <c r="J5797" s="58"/>
      <c r="K5797" s="58"/>
      <c r="L5797" s="13" t="str">
        <f t="shared" si="900"/>
        <v/>
      </c>
      <c r="M5797" s="13" t="str">
        <f t="shared" si="901"/>
        <v/>
      </c>
      <c r="Q5797" t="str">
        <f t="shared" si="902"/>
        <v/>
      </c>
      <c r="R5797" t="str">
        <f t="shared" si="903"/>
        <v/>
      </c>
      <c r="S5797" t="str">
        <f t="shared" si="904"/>
        <v/>
      </c>
      <c r="T5797" t="str">
        <f t="shared" si="905"/>
        <v/>
      </c>
      <c r="U5797" t="str">
        <f t="shared" si="906"/>
        <v/>
      </c>
      <c r="V5797" t="str">
        <f t="shared" si="907"/>
        <v/>
      </c>
      <c r="W5797" t="str">
        <f t="shared" si="908"/>
        <v/>
      </c>
      <c r="X5797">
        <f>IF($T5797="",N($X5796),IF(MATCH($T5797,$T$6:$T$10005,0)=ROW()-5,N($X5796)+1,N($X5796)))</f>
        <v>0</v>
      </c>
      <c r="Z5797" t="str">
        <f t="shared" si="909"/>
        <v/>
      </c>
      <c r="AA5797">
        <f>IF($V5797="",N($AA5796),IF(MATCH($V5797,$V$6:$V$10005,0)=ROW()-5,N($AA5796)+1,N($AA5796)))</f>
        <v>0</v>
      </c>
    </row>
    <row r="5798" spans="1:27" ht="21" customHeight="1" x14ac:dyDescent="0.95">
      <c r="A5798" s="56"/>
      <c r="B5798" s="57"/>
      <c r="C5798" s="57"/>
      <c r="D5798" s="57"/>
      <c r="E5798" s="56"/>
      <c r="F5798" s="57"/>
      <c r="G5798" s="57"/>
      <c r="H5798" s="56"/>
      <c r="I5798" s="56"/>
      <c r="J5798" s="58"/>
      <c r="K5798" s="58"/>
      <c r="L5798" s="13" t="str">
        <f t="shared" si="900"/>
        <v/>
      </c>
      <c r="M5798" s="13" t="str">
        <f t="shared" si="901"/>
        <v/>
      </c>
      <c r="Q5798" t="str">
        <f t="shared" si="902"/>
        <v/>
      </c>
      <c r="R5798" t="str">
        <f t="shared" si="903"/>
        <v/>
      </c>
      <c r="S5798" t="str">
        <f t="shared" si="904"/>
        <v/>
      </c>
      <c r="T5798" t="str">
        <f t="shared" si="905"/>
        <v/>
      </c>
      <c r="U5798" t="str">
        <f t="shared" si="906"/>
        <v/>
      </c>
      <c r="V5798" t="str">
        <f t="shared" si="907"/>
        <v/>
      </c>
      <c r="W5798" t="str">
        <f t="shared" si="908"/>
        <v/>
      </c>
      <c r="X5798">
        <f>IF($T5798="",N($X5797),IF(MATCH($T5798,$T$6:$T$10005,0)=ROW()-5,N($X5797)+1,N($X5797)))</f>
        <v>0</v>
      </c>
      <c r="Z5798" t="str">
        <f t="shared" si="909"/>
        <v/>
      </c>
      <c r="AA5798">
        <f>IF($V5798="",N($AA5797),IF(MATCH($V5798,$V$6:$V$10005,0)=ROW()-5,N($AA5797)+1,N($AA5797)))</f>
        <v>0</v>
      </c>
    </row>
    <row r="5799" spans="1:27" ht="21" customHeight="1" x14ac:dyDescent="0.95">
      <c r="A5799" s="56"/>
      <c r="B5799" s="57"/>
      <c r="C5799" s="57"/>
      <c r="D5799" s="57"/>
      <c r="E5799" s="56"/>
      <c r="F5799" s="57"/>
      <c r="G5799" s="57"/>
      <c r="H5799" s="56"/>
      <c r="I5799" s="56"/>
      <c r="J5799" s="58"/>
      <c r="K5799" s="58"/>
      <c r="L5799" s="13" t="str">
        <f t="shared" si="900"/>
        <v/>
      </c>
      <c r="M5799" s="13" t="str">
        <f t="shared" si="901"/>
        <v/>
      </c>
      <c r="Q5799" t="str">
        <f t="shared" si="902"/>
        <v/>
      </c>
      <c r="R5799" t="str">
        <f t="shared" si="903"/>
        <v/>
      </c>
      <c r="S5799" t="str">
        <f t="shared" si="904"/>
        <v/>
      </c>
      <c r="T5799" t="str">
        <f t="shared" si="905"/>
        <v/>
      </c>
      <c r="U5799" t="str">
        <f t="shared" si="906"/>
        <v/>
      </c>
      <c r="V5799" t="str">
        <f t="shared" si="907"/>
        <v/>
      </c>
      <c r="W5799" t="str">
        <f t="shared" si="908"/>
        <v/>
      </c>
      <c r="X5799">
        <f>IF($T5799="",N($X5798),IF(MATCH($T5799,$T$6:$T$10005,0)=ROW()-5,N($X5798)+1,N($X5798)))</f>
        <v>0</v>
      </c>
      <c r="Z5799" t="str">
        <f t="shared" si="909"/>
        <v/>
      </c>
      <c r="AA5799">
        <f>IF($V5799="",N($AA5798),IF(MATCH($V5799,$V$6:$V$10005,0)=ROW()-5,N($AA5798)+1,N($AA5798)))</f>
        <v>0</v>
      </c>
    </row>
    <row r="5800" spans="1:27" ht="21" customHeight="1" x14ac:dyDescent="0.95">
      <c r="A5800" s="56"/>
      <c r="B5800" s="57"/>
      <c r="C5800" s="57"/>
      <c r="D5800" s="57"/>
      <c r="E5800" s="56"/>
      <c r="F5800" s="57"/>
      <c r="G5800" s="57"/>
      <c r="H5800" s="56"/>
      <c r="I5800" s="56"/>
      <c r="J5800" s="58"/>
      <c r="K5800" s="58"/>
      <c r="L5800" s="13" t="str">
        <f t="shared" si="900"/>
        <v/>
      </c>
      <c r="M5800" s="13" t="str">
        <f t="shared" si="901"/>
        <v/>
      </c>
      <c r="Q5800" t="str">
        <f t="shared" si="902"/>
        <v/>
      </c>
      <c r="R5800" t="str">
        <f t="shared" si="903"/>
        <v/>
      </c>
      <c r="S5800" t="str">
        <f t="shared" si="904"/>
        <v/>
      </c>
      <c r="T5800" t="str">
        <f t="shared" si="905"/>
        <v/>
      </c>
      <c r="U5800" t="str">
        <f t="shared" si="906"/>
        <v/>
      </c>
      <c r="V5800" t="str">
        <f t="shared" si="907"/>
        <v/>
      </c>
      <c r="W5800" t="str">
        <f t="shared" si="908"/>
        <v/>
      </c>
      <c r="X5800">
        <f>IF($T5800="",N($X5799),IF(MATCH($T5800,$T$6:$T$10005,0)=ROW()-5,N($X5799)+1,N($X5799)))</f>
        <v>0</v>
      </c>
      <c r="Z5800" t="str">
        <f t="shared" si="909"/>
        <v/>
      </c>
      <c r="AA5800">
        <f>IF($V5800="",N($AA5799),IF(MATCH($V5800,$V$6:$V$10005,0)=ROW()-5,N($AA5799)+1,N($AA5799)))</f>
        <v>0</v>
      </c>
    </row>
    <row r="5801" spans="1:27" ht="21" customHeight="1" x14ac:dyDescent="0.95">
      <c r="A5801" s="56"/>
      <c r="B5801" s="57"/>
      <c r="C5801" s="57"/>
      <c r="D5801" s="57"/>
      <c r="E5801" s="56"/>
      <c r="F5801" s="57"/>
      <c r="G5801" s="57"/>
      <c r="H5801" s="56"/>
      <c r="I5801" s="56"/>
      <c r="J5801" s="58"/>
      <c r="K5801" s="58"/>
      <c r="L5801" s="13" t="str">
        <f t="shared" si="900"/>
        <v/>
      </c>
      <c r="M5801" s="13" t="str">
        <f t="shared" si="901"/>
        <v/>
      </c>
      <c r="Q5801" t="str">
        <f t="shared" si="902"/>
        <v/>
      </c>
      <c r="R5801" t="str">
        <f t="shared" si="903"/>
        <v/>
      </c>
      <c r="S5801" t="str">
        <f t="shared" si="904"/>
        <v/>
      </c>
      <c r="T5801" t="str">
        <f t="shared" si="905"/>
        <v/>
      </c>
      <c r="U5801" t="str">
        <f t="shared" si="906"/>
        <v/>
      </c>
      <c r="V5801" t="str">
        <f t="shared" si="907"/>
        <v/>
      </c>
      <c r="W5801" t="str">
        <f t="shared" si="908"/>
        <v/>
      </c>
      <c r="X5801">
        <f>IF($T5801="",N($X5800),IF(MATCH($T5801,$T$6:$T$10005,0)=ROW()-5,N($X5800)+1,N($X5800)))</f>
        <v>0</v>
      </c>
      <c r="Z5801" t="str">
        <f t="shared" si="909"/>
        <v/>
      </c>
      <c r="AA5801">
        <f>IF($V5801="",N($AA5800),IF(MATCH($V5801,$V$6:$V$10005,0)=ROW()-5,N($AA5800)+1,N($AA5800)))</f>
        <v>0</v>
      </c>
    </row>
    <row r="5802" spans="1:27" ht="21" customHeight="1" x14ac:dyDescent="0.95">
      <c r="A5802" s="56"/>
      <c r="B5802" s="57"/>
      <c r="C5802" s="57"/>
      <c r="D5802" s="57"/>
      <c r="E5802" s="56"/>
      <c r="F5802" s="57"/>
      <c r="G5802" s="57"/>
      <c r="H5802" s="56"/>
      <c r="I5802" s="56"/>
      <c r="J5802" s="58"/>
      <c r="K5802" s="58"/>
      <c r="L5802" s="13" t="str">
        <f t="shared" si="900"/>
        <v/>
      </c>
      <c r="M5802" s="13" t="str">
        <f t="shared" si="901"/>
        <v/>
      </c>
      <c r="Q5802" t="str">
        <f t="shared" si="902"/>
        <v/>
      </c>
      <c r="R5802" t="str">
        <f t="shared" si="903"/>
        <v/>
      </c>
      <c r="S5802" t="str">
        <f t="shared" si="904"/>
        <v/>
      </c>
      <c r="T5802" t="str">
        <f t="shared" si="905"/>
        <v/>
      </c>
      <c r="U5802" t="str">
        <f t="shared" si="906"/>
        <v/>
      </c>
      <c r="V5802" t="str">
        <f t="shared" si="907"/>
        <v/>
      </c>
      <c r="W5802" t="str">
        <f t="shared" si="908"/>
        <v/>
      </c>
      <c r="X5802">
        <f>IF($T5802="",N($X5801),IF(MATCH($T5802,$T$6:$T$10005,0)=ROW()-5,N($X5801)+1,N($X5801)))</f>
        <v>0</v>
      </c>
      <c r="Z5802" t="str">
        <f t="shared" si="909"/>
        <v/>
      </c>
      <c r="AA5802">
        <f>IF($V5802="",N($AA5801),IF(MATCH($V5802,$V$6:$V$10005,0)=ROW()-5,N($AA5801)+1,N($AA5801)))</f>
        <v>0</v>
      </c>
    </row>
    <row r="5803" spans="1:27" ht="21" customHeight="1" x14ac:dyDescent="0.95">
      <c r="A5803" s="56"/>
      <c r="B5803" s="57"/>
      <c r="C5803" s="57"/>
      <c r="D5803" s="57"/>
      <c r="E5803" s="56"/>
      <c r="F5803" s="57"/>
      <c r="G5803" s="57"/>
      <c r="H5803" s="56"/>
      <c r="I5803" s="56"/>
      <c r="J5803" s="58"/>
      <c r="K5803" s="58"/>
      <c r="L5803" s="13" t="str">
        <f t="shared" si="900"/>
        <v/>
      </c>
      <c r="M5803" s="13" t="str">
        <f t="shared" si="901"/>
        <v/>
      </c>
      <c r="Q5803" t="str">
        <f t="shared" si="902"/>
        <v/>
      </c>
      <c r="R5803" t="str">
        <f t="shared" si="903"/>
        <v/>
      </c>
      <c r="S5803" t="str">
        <f t="shared" si="904"/>
        <v/>
      </c>
      <c r="T5803" t="str">
        <f t="shared" si="905"/>
        <v/>
      </c>
      <c r="U5803" t="str">
        <f t="shared" si="906"/>
        <v/>
      </c>
      <c r="V5803" t="str">
        <f t="shared" si="907"/>
        <v/>
      </c>
      <c r="W5803" t="str">
        <f t="shared" si="908"/>
        <v/>
      </c>
      <c r="X5803">
        <f>IF($T5803="",N($X5802),IF(MATCH($T5803,$T$6:$T$10005,0)=ROW()-5,N($X5802)+1,N($X5802)))</f>
        <v>0</v>
      </c>
      <c r="Z5803" t="str">
        <f t="shared" si="909"/>
        <v/>
      </c>
      <c r="AA5803">
        <f>IF($V5803="",N($AA5802),IF(MATCH($V5803,$V$6:$V$10005,0)=ROW()-5,N($AA5802)+1,N($AA5802)))</f>
        <v>0</v>
      </c>
    </row>
    <row r="5804" spans="1:27" ht="21" customHeight="1" x14ac:dyDescent="0.95">
      <c r="A5804" s="56"/>
      <c r="B5804" s="57"/>
      <c r="C5804" s="57"/>
      <c r="D5804" s="57"/>
      <c r="E5804" s="56"/>
      <c r="F5804" s="57"/>
      <c r="G5804" s="57"/>
      <c r="H5804" s="56"/>
      <c r="I5804" s="56"/>
      <c r="J5804" s="58"/>
      <c r="K5804" s="58"/>
      <c r="L5804" s="13" t="str">
        <f t="shared" si="900"/>
        <v/>
      </c>
      <c r="M5804" s="13" t="str">
        <f t="shared" si="901"/>
        <v/>
      </c>
      <c r="Q5804" t="str">
        <f t="shared" si="902"/>
        <v/>
      </c>
      <c r="R5804" t="str">
        <f t="shared" si="903"/>
        <v/>
      </c>
      <c r="S5804" t="str">
        <f t="shared" si="904"/>
        <v/>
      </c>
      <c r="T5804" t="str">
        <f t="shared" si="905"/>
        <v/>
      </c>
      <c r="U5804" t="str">
        <f t="shared" si="906"/>
        <v/>
      </c>
      <c r="V5804" t="str">
        <f t="shared" si="907"/>
        <v/>
      </c>
      <c r="W5804" t="str">
        <f t="shared" si="908"/>
        <v/>
      </c>
      <c r="X5804">
        <f>IF($T5804="",N($X5803),IF(MATCH($T5804,$T$6:$T$10005,0)=ROW()-5,N($X5803)+1,N($X5803)))</f>
        <v>0</v>
      </c>
      <c r="Z5804" t="str">
        <f t="shared" si="909"/>
        <v/>
      </c>
      <c r="AA5804">
        <f>IF($V5804="",N($AA5803),IF(MATCH($V5804,$V$6:$V$10005,0)=ROW()-5,N($AA5803)+1,N($AA5803)))</f>
        <v>0</v>
      </c>
    </row>
    <row r="5805" spans="1:27" ht="21" customHeight="1" x14ac:dyDescent="0.95">
      <c r="A5805" s="56"/>
      <c r="B5805" s="57"/>
      <c r="C5805" s="57"/>
      <c r="D5805" s="57"/>
      <c r="E5805" s="56"/>
      <c r="F5805" s="57"/>
      <c r="G5805" s="57"/>
      <c r="H5805" s="56"/>
      <c r="I5805" s="56"/>
      <c r="J5805" s="58"/>
      <c r="K5805" s="58"/>
      <c r="L5805" s="13" t="str">
        <f t="shared" si="900"/>
        <v/>
      </c>
      <c r="M5805" s="13" t="str">
        <f t="shared" si="901"/>
        <v/>
      </c>
      <c r="Q5805" t="str">
        <f t="shared" si="902"/>
        <v/>
      </c>
      <c r="R5805" t="str">
        <f t="shared" si="903"/>
        <v/>
      </c>
      <c r="S5805" t="str">
        <f t="shared" si="904"/>
        <v/>
      </c>
      <c r="T5805" t="str">
        <f t="shared" si="905"/>
        <v/>
      </c>
      <c r="U5805" t="str">
        <f t="shared" si="906"/>
        <v/>
      </c>
      <c r="V5805" t="str">
        <f t="shared" si="907"/>
        <v/>
      </c>
      <c r="W5805" t="str">
        <f t="shared" si="908"/>
        <v/>
      </c>
      <c r="X5805">
        <f>IF($T5805="",N($X5804),IF(MATCH($T5805,$T$6:$T$10005,0)=ROW()-5,N($X5804)+1,N($X5804)))</f>
        <v>0</v>
      </c>
      <c r="Z5805" t="str">
        <f t="shared" si="909"/>
        <v/>
      </c>
      <c r="AA5805">
        <f>IF($V5805="",N($AA5804),IF(MATCH($V5805,$V$6:$V$10005,0)=ROW()-5,N($AA5804)+1,N($AA5804)))</f>
        <v>0</v>
      </c>
    </row>
    <row r="5806" spans="1:27" ht="21" customHeight="1" x14ac:dyDescent="0.95">
      <c r="A5806" s="56"/>
      <c r="B5806" s="57"/>
      <c r="C5806" s="57"/>
      <c r="D5806" s="57"/>
      <c r="E5806" s="56"/>
      <c r="F5806" s="57"/>
      <c r="G5806" s="57"/>
      <c r="H5806" s="56"/>
      <c r="I5806" s="56"/>
      <c r="J5806" s="58"/>
      <c r="K5806" s="58"/>
      <c r="L5806" s="13" t="str">
        <f t="shared" si="900"/>
        <v/>
      </c>
      <c r="M5806" s="13" t="str">
        <f t="shared" si="901"/>
        <v/>
      </c>
      <c r="Q5806" t="str">
        <f t="shared" si="902"/>
        <v/>
      </c>
      <c r="R5806" t="str">
        <f t="shared" si="903"/>
        <v/>
      </c>
      <c r="S5806" t="str">
        <f t="shared" si="904"/>
        <v/>
      </c>
      <c r="T5806" t="str">
        <f t="shared" si="905"/>
        <v/>
      </c>
      <c r="U5806" t="str">
        <f t="shared" si="906"/>
        <v/>
      </c>
      <c r="V5806" t="str">
        <f t="shared" si="907"/>
        <v/>
      </c>
      <c r="W5806" t="str">
        <f t="shared" si="908"/>
        <v/>
      </c>
      <c r="X5806">
        <f>IF($T5806="",N($X5805),IF(MATCH($T5806,$T$6:$T$10005,0)=ROW()-5,N($X5805)+1,N($X5805)))</f>
        <v>0</v>
      </c>
      <c r="Z5806" t="str">
        <f t="shared" si="909"/>
        <v/>
      </c>
      <c r="AA5806">
        <f>IF($V5806="",N($AA5805),IF(MATCH($V5806,$V$6:$V$10005,0)=ROW()-5,N($AA5805)+1,N($AA5805)))</f>
        <v>0</v>
      </c>
    </row>
    <row r="5807" spans="1:27" ht="21" customHeight="1" x14ac:dyDescent="0.95">
      <c r="A5807" s="56"/>
      <c r="B5807" s="57"/>
      <c r="C5807" s="57"/>
      <c r="D5807" s="57"/>
      <c r="E5807" s="56"/>
      <c r="F5807" s="57"/>
      <c r="G5807" s="57"/>
      <c r="H5807" s="56"/>
      <c r="I5807" s="56"/>
      <c r="J5807" s="58"/>
      <c r="K5807" s="58"/>
      <c r="L5807" s="13" t="str">
        <f t="shared" si="900"/>
        <v/>
      </c>
      <c r="M5807" s="13" t="str">
        <f t="shared" si="901"/>
        <v/>
      </c>
      <c r="Q5807" t="str">
        <f t="shared" si="902"/>
        <v/>
      </c>
      <c r="R5807" t="str">
        <f t="shared" si="903"/>
        <v/>
      </c>
      <c r="S5807" t="str">
        <f t="shared" si="904"/>
        <v/>
      </c>
      <c r="T5807" t="str">
        <f t="shared" si="905"/>
        <v/>
      </c>
      <c r="U5807" t="str">
        <f t="shared" si="906"/>
        <v/>
      </c>
      <c r="V5807" t="str">
        <f t="shared" si="907"/>
        <v/>
      </c>
      <c r="W5807" t="str">
        <f t="shared" si="908"/>
        <v/>
      </c>
      <c r="X5807">
        <f>IF($T5807="",N($X5806),IF(MATCH($T5807,$T$6:$T$10005,0)=ROW()-5,N($X5806)+1,N($X5806)))</f>
        <v>0</v>
      </c>
      <c r="Z5807" t="str">
        <f t="shared" si="909"/>
        <v/>
      </c>
      <c r="AA5807">
        <f>IF($V5807="",N($AA5806),IF(MATCH($V5807,$V$6:$V$10005,0)=ROW()-5,N($AA5806)+1,N($AA5806)))</f>
        <v>0</v>
      </c>
    </row>
    <row r="5808" spans="1:27" ht="21" customHeight="1" x14ac:dyDescent="0.95">
      <c r="A5808" s="56"/>
      <c r="B5808" s="57"/>
      <c r="C5808" s="57"/>
      <c r="D5808" s="57"/>
      <c r="E5808" s="56"/>
      <c r="F5808" s="57"/>
      <c r="G5808" s="57"/>
      <c r="H5808" s="56"/>
      <c r="I5808" s="56"/>
      <c r="J5808" s="58"/>
      <c r="K5808" s="58"/>
      <c r="L5808" s="13" t="str">
        <f t="shared" si="900"/>
        <v/>
      </c>
      <c r="M5808" s="13" t="str">
        <f t="shared" si="901"/>
        <v/>
      </c>
      <c r="Q5808" t="str">
        <f t="shared" si="902"/>
        <v/>
      </c>
      <c r="R5808" t="str">
        <f t="shared" si="903"/>
        <v/>
      </c>
      <c r="S5808" t="str">
        <f t="shared" si="904"/>
        <v/>
      </c>
      <c r="T5808" t="str">
        <f t="shared" si="905"/>
        <v/>
      </c>
      <c r="U5808" t="str">
        <f t="shared" si="906"/>
        <v/>
      </c>
      <c r="V5808" t="str">
        <f t="shared" si="907"/>
        <v/>
      </c>
      <c r="W5808" t="str">
        <f t="shared" si="908"/>
        <v/>
      </c>
      <c r="X5808">
        <f>IF($T5808="",N($X5807),IF(MATCH($T5808,$T$6:$T$10005,0)=ROW()-5,N($X5807)+1,N($X5807)))</f>
        <v>0</v>
      </c>
      <c r="Z5808" t="str">
        <f t="shared" si="909"/>
        <v/>
      </c>
      <c r="AA5808">
        <f>IF($V5808="",N($AA5807),IF(MATCH($V5808,$V$6:$V$10005,0)=ROW()-5,N($AA5807)+1,N($AA5807)))</f>
        <v>0</v>
      </c>
    </row>
    <row r="5809" spans="1:27" ht="21" customHeight="1" x14ac:dyDescent="0.95">
      <c r="A5809" s="56"/>
      <c r="B5809" s="57"/>
      <c r="C5809" s="57"/>
      <c r="D5809" s="57"/>
      <c r="E5809" s="56"/>
      <c r="F5809" s="57"/>
      <c r="G5809" s="57"/>
      <c r="H5809" s="56"/>
      <c r="I5809" s="56"/>
      <c r="J5809" s="58"/>
      <c r="K5809" s="58"/>
      <c r="L5809" s="13" t="str">
        <f t="shared" si="900"/>
        <v/>
      </c>
      <c r="M5809" s="13" t="str">
        <f t="shared" si="901"/>
        <v/>
      </c>
      <c r="Q5809" t="str">
        <f t="shared" si="902"/>
        <v/>
      </c>
      <c r="R5809" t="str">
        <f t="shared" si="903"/>
        <v/>
      </c>
      <c r="S5809" t="str">
        <f t="shared" si="904"/>
        <v/>
      </c>
      <c r="T5809" t="str">
        <f t="shared" si="905"/>
        <v/>
      </c>
      <c r="U5809" t="str">
        <f t="shared" si="906"/>
        <v/>
      </c>
      <c r="V5809" t="str">
        <f t="shared" si="907"/>
        <v/>
      </c>
      <c r="W5809" t="str">
        <f t="shared" si="908"/>
        <v/>
      </c>
      <c r="X5809">
        <f>IF($T5809="",N($X5808),IF(MATCH($T5809,$T$6:$T$10005,0)=ROW()-5,N($X5808)+1,N($X5808)))</f>
        <v>0</v>
      </c>
      <c r="Z5809" t="str">
        <f t="shared" si="909"/>
        <v/>
      </c>
      <c r="AA5809">
        <f>IF($V5809="",N($AA5808),IF(MATCH($V5809,$V$6:$V$10005,0)=ROW()-5,N($AA5808)+1,N($AA5808)))</f>
        <v>0</v>
      </c>
    </row>
    <row r="5810" spans="1:27" ht="21" customHeight="1" x14ac:dyDescent="0.95">
      <c r="A5810" s="56"/>
      <c r="B5810" s="57"/>
      <c r="C5810" s="57"/>
      <c r="D5810" s="57"/>
      <c r="E5810" s="56"/>
      <c r="F5810" s="57"/>
      <c r="G5810" s="57"/>
      <c r="H5810" s="56"/>
      <c r="I5810" s="56"/>
      <c r="J5810" s="58"/>
      <c r="K5810" s="58"/>
      <c r="L5810" s="13" t="str">
        <f t="shared" si="900"/>
        <v/>
      </c>
      <c r="M5810" s="13" t="str">
        <f t="shared" si="901"/>
        <v/>
      </c>
      <c r="Q5810" t="str">
        <f t="shared" si="902"/>
        <v/>
      </c>
      <c r="R5810" t="str">
        <f t="shared" si="903"/>
        <v/>
      </c>
      <c r="S5810" t="str">
        <f t="shared" si="904"/>
        <v/>
      </c>
      <c r="T5810" t="str">
        <f t="shared" si="905"/>
        <v/>
      </c>
      <c r="U5810" t="str">
        <f t="shared" si="906"/>
        <v/>
      </c>
      <c r="V5810" t="str">
        <f t="shared" si="907"/>
        <v/>
      </c>
      <c r="W5810" t="str">
        <f t="shared" si="908"/>
        <v/>
      </c>
      <c r="X5810">
        <f>IF($T5810="",N($X5809),IF(MATCH($T5810,$T$6:$T$10005,0)=ROW()-5,N($X5809)+1,N($X5809)))</f>
        <v>0</v>
      </c>
      <c r="Z5810" t="str">
        <f t="shared" si="909"/>
        <v/>
      </c>
      <c r="AA5810">
        <f>IF($V5810="",N($AA5809),IF(MATCH($V5810,$V$6:$V$10005,0)=ROW()-5,N($AA5809)+1,N($AA5809)))</f>
        <v>0</v>
      </c>
    </row>
    <row r="5811" spans="1:27" ht="21" customHeight="1" x14ac:dyDescent="0.95">
      <c r="A5811" s="56"/>
      <c r="B5811" s="57"/>
      <c r="C5811" s="57"/>
      <c r="D5811" s="57"/>
      <c r="E5811" s="56"/>
      <c r="F5811" s="57"/>
      <c r="G5811" s="57"/>
      <c r="H5811" s="56"/>
      <c r="I5811" s="56"/>
      <c r="J5811" s="58"/>
      <c r="K5811" s="58"/>
      <c r="L5811" s="13" t="str">
        <f t="shared" si="900"/>
        <v/>
      </c>
      <c r="M5811" s="13" t="str">
        <f t="shared" si="901"/>
        <v/>
      </c>
      <c r="Q5811" t="str">
        <f t="shared" si="902"/>
        <v/>
      </c>
      <c r="R5811" t="str">
        <f t="shared" si="903"/>
        <v/>
      </c>
      <c r="S5811" t="str">
        <f t="shared" si="904"/>
        <v/>
      </c>
      <c r="T5811" t="str">
        <f t="shared" si="905"/>
        <v/>
      </c>
      <c r="U5811" t="str">
        <f t="shared" si="906"/>
        <v/>
      </c>
      <c r="V5811" t="str">
        <f t="shared" si="907"/>
        <v/>
      </c>
      <c r="W5811" t="str">
        <f t="shared" si="908"/>
        <v/>
      </c>
      <c r="X5811">
        <f>IF($T5811="",N($X5810),IF(MATCH($T5811,$T$6:$T$10005,0)=ROW()-5,N($X5810)+1,N($X5810)))</f>
        <v>0</v>
      </c>
      <c r="Z5811" t="str">
        <f t="shared" si="909"/>
        <v/>
      </c>
      <c r="AA5811">
        <f>IF($V5811="",N($AA5810),IF(MATCH($V5811,$V$6:$V$10005,0)=ROW()-5,N($AA5810)+1,N($AA5810)))</f>
        <v>0</v>
      </c>
    </row>
    <row r="5812" spans="1:27" ht="21" customHeight="1" x14ac:dyDescent="0.95">
      <c r="A5812" s="56"/>
      <c r="B5812" s="57"/>
      <c r="C5812" s="57"/>
      <c r="D5812" s="57"/>
      <c r="E5812" s="56"/>
      <c r="F5812" s="57"/>
      <c r="G5812" s="57"/>
      <c r="H5812" s="56"/>
      <c r="I5812" s="56"/>
      <c r="J5812" s="58"/>
      <c r="K5812" s="58"/>
      <c r="L5812" s="13" t="str">
        <f t="shared" si="900"/>
        <v/>
      </c>
      <c r="M5812" s="13" t="str">
        <f t="shared" si="901"/>
        <v/>
      </c>
      <c r="Q5812" t="str">
        <f t="shared" si="902"/>
        <v/>
      </c>
      <c r="R5812" t="str">
        <f t="shared" si="903"/>
        <v/>
      </c>
      <c r="S5812" t="str">
        <f t="shared" si="904"/>
        <v/>
      </c>
      <c r="T5812" t="str">
        <f t="shared" si="905"/>
        <v/>
      </c>
      <c r="U5812" t="str">
        <f t="shared" si="906"/>
        <v/>
      </c>
      <c r="V5812" t="str">
        <f t="shared" si="907"/>
        <v/>
      </c>
      <c r="W5812" t="str">
        <f t="shared" si="908"/>
        <v/>
      </c>
      <c r="X5812">
        <f>IF($T5812="",N($X5811),IF(MATCH($T5812,$T$6:$T$10005,0)=ROW()-5,N($X5811)+1,N($X5811)))</f>
        <v>0</v>
      </c>
      <c r="Z5812" t="str">
        <f t="shared" si="909"/>
        <v/>
      </c>
      <c r="AA5812">
        <f>IF($V5812="",N($AA5811),IF(MATCH($V5812,$V$6:$V$10005,0)=ROW()-5,N($AA5811)+1,N($AA5811)))</f>
        <v>0</v>
      </c>
    </row>
    <row r="5813" spans="1:27" ht="21" customHeight="1" x14ac:dyDescent="0.95">
      <c r="A5813" s="56"/>
      <c r="B5813" s="57"/>
      <c r="C5813" s="57"/>
      <c r="D5813" s="57"/>
      <c r="E5813" s="56"/>
      <c r="F5813" s="57"/>
      <c r="G5813" s="57"/>
      <c r="H5813" s="56"/>
      <c r="I5813" s="56"/>
      <c r="J5813" s="58"/>
      <c r="K5813" s="58"/>
      <c r="L5813" s="13" t="str">
        <f t="shared" si="900"/>
        <v/>
      </c>
      <c r="M5813" s="13" t="str">
        <f t="shared" si="901"/>
        <v/>
      </c>
      <c r="Q5813" t="str">
        <f t="shared" si="902"/>
        <v/>
      </c>
      <c r="R5813" t="str">
        <f t="shared" si="903"/>
        <v/>
      </c>
      <c r="S5813" t="str">
        <f t="shared" si="904"/>
        <v/>
      </c>
      <c r="T5813" t="str">
        <f t="shared" si="905"/>
        <v/>
      </c>
      <c r="U5813" t="str">
        <f t="shared" si="906"/>
        <v/>
      </c>
      <c r="V5813" t="str">
        <f t="shared" si="907"/>
        <v/>
      </c>
      <c r="W5813" t="str">
        <f t="shared" si="908"/>
        <v/>
      </c>
      <c r="X5813">
        <f>IF($T5813="",N($X5812),IF(MATCH($T5813,$T$6:$T$10005,0)=ROW()-5,N($X5812)+1,N($X5812)))</f>
        <v>0</v>
      </c>
      <c r="Z5813" t="str">
        <f t="shared" si="909"/>
        <v/>
      </c>
      <c r="AA5813">
        <f>IF($V5813="",N($AA5812),IF(MATCH($V5813,$V$6:$V$10005,0)=ROW()-5,N($AA5812)+1,N($AA5812)))</f>
        <v>0</v>
      </c>
    </row>
    <row r="5814" spans="1:27" ht="21" customHeight="1" x14ac:dyDescent="0.95">
      <c r="A5814" s="56"/>
      <c r="B5814" s="57"/>
      <c r="C5814" s="57"/>
      <c r="D5814" s="57"/>
      <c r="E5814" s="56"/>
      <c r="F5814" s="57"/>
      <c r="G5814" s="57"/>
      <c r="H5814" s="56"/>
      <c r="I5814" s="56"/>
      <c r="J5814" s="58"/>
      <c r="K5814" s="58"/>
      <c r="L5814" s="13" t="str">
        <f t="shared" si="900"/>
        <v/>
      </c>
      <c r="M5814" s="13" t="str">
        <f t="shared" si="901"/>
        <v/>
      </c>
      <c r="Q5814" t="str">
        <f t="shared" si="902"/>
        <v/>
      </c>
      <c r="R5814" t="str">
        <f t="shared" si="903"/>
        <v/>
      </c>
      <c r="S5814" t="str">
        <f t="shared" si="904"/>
        <v/>
      </c>
      <c r="T5814" t="str">
        <f t="shared" si="905"/>
        <v/>
      </c>
      <c r="U5814" t="str">
        <f t="shared" si="906"/>
        <v/>
      </c>
      <c r="V5814" t="str">
        <f t="shared" si="907"/>
        <v/>
      </c>
      <c r="W5814" t="str">
        <f t="shared" si="908"/>
        <v/>
      </c>
      <c r="X5814">
        <f>IF($T5814="",N($X5813),IF(MATCH($T5814,$T$6:$T$10005,0)=ROW()-5,N($X5813)+1,N($X5813)))</f>
        <v>0</v>
      </c>
      <c r="Z5814" t="str">
        <f t="shared" si="909"/>
        <v/>
      </c>
      <c r="AA5814">
        <f>IF($V5814="",N($AA5813),IF(MATCH($V5814,$V$6:$V$10005,0)=ROW()-5,N($AA5813)+1,N($AA5813)))</f>
        <v>0</v>
      </c>
    </row>
    <row r="5815" spans="1:27" ht="21" customHeight="1" x14ac:dyDescent="0.95">
      <c r="A5815" s="56"/>
      <c r="B5815" s="57"/>
      <c r="C5815" s="57"/>
      <c r="D5815" s="57"/>
      <c r="E5815" s="56"/>
      <c r="F5815" s="57"/>
      <c r="G5815" s="57"/>
      <c r="H5815" s="56"/>
      <c r="I5815" s="56"/>
      <c r="J5815" s="58"/>
      <c r="K5815" s="58"/>
      <c r="L5815" s="13" t="str">
        <f t="shared" si="900"/>
        <v/>
      </c>
      <c r="M5815" s="13" t="str">
        <f t="shared" si="901"/>
        <v/>
      </c>
      <c r="Q5815" t="str">
        <f t="shared" si="902"/>
        <v/>
      </c>
      <c r="R5815" t="str">
        <f t="shared" si="903"/>
        <v/>
      </c>
      <c r="S5815" t="str">
        <f t="shared" si="904"/>
        <v/>
      </c>
      <c r="T5815" t="str">
        <f t="shared" si="905"/>
        <v/>
      </c>
      <c r="U5815" t="str">
        <f t="shared" si="906"/>
        <v/>
      </c>
      <c r="V5815" t="str">
        <f t="shared" si="907"/>
        <v/>
      </c>
      <c r="W5815" t="str">
        <f t="shared" si="908"/>
        <v/>
      </c>
      <c r="X5815">
        <f>IF($T5815="",N($X5814),IF(MATCH($T5815,$T$6:$T$10005,0)=ROW()-5,N($X5814)+1,N($X5814)))</f>
        <v>0</v>
      </c>
      <c r="Z5815" t="str">
        <f t="shared" si="909"/>
        <v/>
      </c>
      <c r="AA5815">
        <f>IF($V5815="",N($AA5814),IF(MATCH($V5815,$V$6:$V$10005,0)=ROW()-5,N($AA5814)+1,N($AA5814)))</f>
        <v>0</v>
      </c>
    </row>
    <row r="5816" spans="1:27" ht="21" customHeight="1" x14ac:dyDescent="0.95">
      <c r="A5816" s="56"/>
      <c r="B5816" s="57"/>
      <c r="C5816" s="57"/>
      <c r="D5816" s="57"/>
      <c r="E5816" s="56"/>
      <c r="F5816" s="57"/>
      <c r="G5816" s="57"/>
      <c r="H5816" s="56"/>
      <c r="I5816" s="56"/>
      <c r="J5816" s="58"/>
      <c r="K5816" s="58"/>
      <c r="L5816" s="13" t="str">
        <f t="shared" si="900"/>
        <v/>
      </c>
      <c r="M5816" s="13" t="str">
        <f t="shared" si="901"/>
        <v/>
      </c>
      <c r="Q5816" t="str">
        <f t="shared" si="902"/>
        <v/>
      </c>
      <c r="R5816" t="str">
        <f t="shared" si="903"/>
        <v/>
      </c>
      <c r="S5816" t="str">
        <f t="shared" si="904"/>
        <v/>
      </c>
      <c r="T5816" t="str">
        <f t="shared" si="905"/>
        <v/>
      </c>
      <c r="U5816" t="str">
        <f t="shared" si="906"/>
        <v/>
      </c>
      <c r="V5816" t="str">
        <f t="shared" si="907"/>
        <v/>
      </c>
      <c r="W5816" t="str">
        <f t="shared" si="908"/>
        <v/>
      </c>
      <c r="X5816">
        <f>IF($T5816="",N($X5815),IF(MATCH($T5816,$T$6:$T$10005,0)=ROW()-5,N($X5815)+1,N($X5815)))</f>
        <v>0</v>
      </c>
      <c r="Z5816" t="str">
        <f t="shared" si="909"/>
        <v/>
      </c>
      <c r="AA5816">
        <f>IF($V5816="",N($AA5815),IF(MATCH($V5816,$V$6:$V$10005,0)=ROW()-5,N($AA5815)+1,N($AA5815)))</f>
        <v>0</v>
      </c>
    </row>
    <row r="5817" spans="1:27" ht="21" customHeight="1" x14ac:dyDescent="0.95">
      <c r="A5817" s="56"/>
      <c r="B5817" s="57"/>
      <c r="C5817" s="57"/>
      <c r="D5817" s="57"/>
      <c r="E5817" s="56"/>
      <c r="F5817" s="57"/>
      <c r="G5817" s="57"/>
      <c r="H5817" s="56"/>
      <c r="I5817" s="56"/>
      <c r="J5817" s="58"/>
      <c r="K5817" s="58"/>
      <c r="L5817" s="13" t="str">
        <f t="shared" si="900"/>
        <v/>
      </c>
      <c r="M5817" s="13" t="str">
        <f t="shared" si="901"/>
        <v/>
      </c>
      <c r="Q5817" t="str">
        <f t="shared" si="902"/>
        <v/>
      </c>
      <c r="R5817" t="str">
        <f t="shared" si="903"/>
        <v/>
      </c>
      <c r="S5817" t="str">
        <f t="shared" si="904"/>
        <v/>
      </c>
      <c r="T5817" t="str">
        <f t="shared" si="905"/>
        <v/>
      </c>
      <c r="U5817" t="str">
        <f t="shared" si="906"/>
        <v/>
      </c>
      <c r="V5817" t="str">
        <f t="shared" si="907"/>
        <v/>
      </c>
      <c r="W5817" t="str">
        <f t="shared" si="908"/>
        <v/>
      </c>
      <c r="X5817">
        <f>IF($T5817="",N($X5816),IF(MATCH($T5817,$T$6:$T$10005,0)=ROW()-5,N($X5816)+1,N($X5816)))</f>
        <v>0</v>
      </c>
      <c r="Z5817" t="str">
        <f t="shared" si="909"/>
        <v/>
      </c>
      <c r="AA5817">
        <f>IF($V5817="",N($AA5816),IF(MATCH($V5817,$V$6:$V$10005,0)=ROW()-5,N($AA5816)+1,N($AA5816)))</f>
        <v>0</v>
      </c>
    </row>
    <row r="5818" spans="1:27" ht="21" customHeight="1" x14ac:dyDescent="0.95">
      <c r="A5818" s="56"/>
      <c r="B5818" s="57"/>
      <c r="C5818" s="57"/>
      <c r="D5818" s="57"/>
      <c r="E5818" s="56"/>
      <c r="F5818" s="57"/>
      <c r="G5818" s="57"/>
      <c r="H5818" s="56"/>
      <c r="I5818" s="56"/>
      <c r="J5818" s="58"/>
      <c r="K5818" s="58"/>
      <c r="L5818" s="13" t="str">
        <f t="shared" si="900"/>
        <v/>
      </c>
      <c r="M5818" s="13" t="str">
        <f t="shared" si="901"/>
        <v/>
      </c>
      <c r="Q5818" t="str">
        <f t="shared" si="902"/>
        <v/>
      </c>
      <c r="R5818" t="str">
        <f t="shared" si="903"/>
        <v/>
      </c>
      <c r="S5818" t="str">
        <f t="shared" si="904"/>
        <v/>
      </c>
      <c r="T5818" t="str">
        <f t="shared" si="905"/>
        <v/>
      </c>
      <c r="U5818" t="str">
        <f t="shared" si="906"/>
        <v/>
      </c>
      <c r="V5818" t="str">
        <f t="shared" si="907"/>
        <v/>
      </c>
      <c r="W5818" t="str">
        <f t="shared" si="908"/>
        <v/>
      </c>
      <c r="X5818">
        <f>IF($T5818="",N($X5817),IF(MATCH($T5818,$T$6:$T$10005,0)=ROW()-5,N($X5817)+1,N($X5817)))</f>
        <v>0</v>
      </c>
      <c r="Z5818" t="str">
        <f t="shared" si="909"/>
        <v/>
      </c>
      <c r="AA5818">
        <f>IF($V5818="",N($AA5817),IF(MATCH($V5818,$V$6:$V$10005,0)=ROW()-5,N($AA5817)+1,N($AA5817)))</f>
        <v>0</v>
      </c>
    </row>
    <row r="5819" spans="1:27" ht="21" customHeight="1" x14ac:dyDescent="0.95">
      <c r="A5819" s="56"/>
      <c r="B5819" s="57"/>
      <c r="C5819" s="57"/>
      <c r="D5819" s="57"/>
      <c r="E5819" s="56"/>
      <c r="F5819" s="57"/>
      <c r="G5819" s="57"/>
      <c r="H5819" s="56"/>
      <c r="I5819" s="56"/>
      <c r="J5819" s="58"/>
      <c r="K5819" s="58"/>
      <c r="L5819" s="13" t="str">
        <f t="shared" si="900"/>
        <v/>
      </c>
      <c r="M5819" s="13" t="str">
        <f t="shared" si="901"/>
        <v/>
      </c>
      <c r="Q5819" t="str">
        <f t="shared" si="902"/>
        <v/>
      </c>
      <c r="R5819" t="str">
        <f t="shared" si="903"/>
        <v/>
      </c>
      <c r="S5819" t="str">
        <f t="shared" si="904"/>
        <v/>
      </c>
      <c r="T5819" t="str">
        <f t="shared" si="905"/>
        <v/>
      </c>
      <c r="U5819" t="str">
        <f t="shared" si="906"/>
        <v/>
      </c>
      <c r="V5819" t="str">
        <f t="shared" si="907"/>
        <v/>
      </c>
      <c r="W5819" t="str">
        <f t="shared" si="908"/>
        <v/>
      </c>
      <c r="X5819">
        <f>IF($T5819="",N($X5818),IF(MATCH($T5819,$T$6:$T$10005,0)=ROW()-5,N($X5818)+1,N($X5818)))</f>
        <v>0</v>
      </c>
      <c r="Z5819" t="str">
        <f t="shared" si="909"/>
        <v/>
      </c>
      <c r="AA5819">
        <f>IF($V5819="",N($AA5818),IF(MATCH($V5819,$V$6:$V$10005,0)=ROW()-5,N($AA5818)+1,N($AA5818)))</f>
        <v>0</v>
      </c>
    </row>
    <row r="5820" spans="1:27" ht="21" customHeight="1" x14ac:dyDescent="0.95">
      <c r="A5820" s="56"/>
      <c r="B5820" s="57"/>
      <c r="C5820" s="57"/>
      <c r="D5820" s="57"/>
      <c r="E5820" s="56"/>
      <c r="F5820" s="57"/>
      <c r="G5820" s="57"/>
      <c r="H5820" s="56"/>
      <c r="I5820" s="56"/>
      <c r="J5820" s="58"/>
      <c r="K5820" s="58"/>
      <c r="L5820" s="13" t="str">
        <f t="shared" si="900"/>
        <v/>
      </c>
      <c r="M5820" s="13" t="str">
        <f t="shared" si="901"/>
        <v/>
      </c>
      <c r="Q5820" t="str">
        <f t="shared" si="902"/>
        <v/>
      </c>
      <c r="R5820" t="str">
        <f t="shared" si="903"/>
        <v/>
      </c>
      <c r="S5820" t="str">
        <f t="shared" si="904"/>
        <v/>
      </c>
      <c r="T5820" t="str">
        <f t="shared" si="905"/>
        <v/>
      </c>
      <c r="U5820" t="str">
        <f t="shared" si="906"/>
        <v/>
      </c>
      <c r="V5820" t="str">
        <f t="shared" si="907"/>
        <v/>
      </c>
      <c r="W5820" t="str">
        <f t="shared" si="908"/>
        <v/>
      </c>
      <c r="X5820">
        <f>IF($T5820="",N($X5819),IF(MATCH($T5820,$T$6:$T$10005,0)=ROW()-5,N($X5819)+1,N($X5819)))</f>
        <v>0</v>
      </c>
      <c r="Z5820" t="str">
        <f t="shared" si="909"/>
        <v/>
      </c>
      <c r="AA5820">
        <f>IF($V5820="",N($AA5819),IF(MATCH($V5820,$V$6:$V$10005,0)=ROW()-5,N($AA5819)+1,N($AA5819)))</f>
        <v>0</v>
      </c>
    </row>
    <row r="5821" spans="1:27" ht="21" customHeight="1" x14ac:dyDescent="0.95">
      <c r="A5821" s="56"/>
      <c r="B5821" s="57"/>
      <c r="C5821" s="57"/>
      <c r="D5821" s="57"/>
      <c r="E5821" s="56"/>
      <c r="F5821" s="57"/>
      <c r="G5821" s="57"/>
      <c r="H5821" s="56"/>
      <c r="I5821" s="56"/>
      <c r="J5821" s="58"/>
      <c r="K5821" s="58"/>
      <c r="L5821" s="13" t="str">
        <f t="shared" si="900"/>
        <v/>
      </c>
      <c r="M5821" s="13" t="str">
        <f t="shared" si="901"/>
        <v/>
      </c>
      <c r="Q5821" t="str">
        <f t="shared" si="902"/>
        <v/>
      </c>
      <c r="R5821" t="str">
        <f t="shared" si="903"/>
        <v/>
      </c>
      <c r="S5821" t="str">
        <f t="shared" si="904"/>
        <v/>
      </c>
      <c r="T5821" t="str">
        <f t="shared" si="905"/>
        <v/>
      </c>
      <c r="U5821" t="str">
        <f t="shared" si="906"/>
        <v/>
      </c>
      <c r="V5821" t="str">
        <f t="shared" si="907"/>
        <v/>
      </c>
      <c r="W5821" t="str">
        <f t="shared" si="908"/>
        <v/>
      </c>
      <c r="X5821">
        <f>IF($T5821="",N($X5820),IF(MATCH($T5821,$T$6:$T$10005,0)=ROW()-5,N($X5820)+1,N($X5820)))</f>
        <v>0</v>
      </c>
      <c r="Z5821" t="str">
        <f t="shared" si="909"/>
        <v/>
      </c>
      <c r="AA5821">
        <f>IF($V5821="",N($AA5820),IF(MATCH($V5821,$V$6:$V$10005,0)=ROW()-5,N($AA5820)+1,N($AA5820)))</f>
        <v>0</v>
      </c>
    </row>
    <row r="5822" spans="1:27" ht="21" customHeight="1" x14ac:dyDescent="0.95">
      <c r="A5822" s="56"/>
      <c r="B5822" s="57"/>
      <c r="C5822" s="57"/>
      <c r="D5822" s="57"/>
      <c r="E5822" s="56"/>
      <c r="F5822" s="57"/>
      <c r="G5822" s="57"/>
      <c r="H5822" s="56"/>
      <c r="I5822" s="56"/>
      <c r="J5822" s="58"/>
      <c r="K5822" s="58"/>
      <c r="L5822" s="13" t="str">
        <f t="shared" si="900"/>
        <v/>
      </c>
      <c r="M5822" s="13" t="str">
        <f t="shared" si="901"/>
        <v/>
      </c>
      <c r="Q5822" t="str">
        <f t="shared" si="902"/>
        <v/>
      </c>
      <c r="R5822" t="str">
        <f t="shared" si="903"/>
        <v/>
      </c>
      <c r="S5822" t="str">
        <f t="shared" si="904"/>
        <v/>
      </c>
      <c r="T5822" t="str">
        <f t="shared" si="905"/>
        <v/>
      </c>
      <c r="U5822" t="str">
        <f t="shared" si="906"/>
        <v/>
      </c>
      <c r="V5822" t="str">
        <f t="shared" si="907"/>
        <v/>
      </c>
      <c r="W5822" t="str">
        <f t="shared" si="908"/>
        <v/>
      </c>
      <c r="X5822">
        <f>IF($T5822="",N($X5821),IF(MATCH($T5822,$T$6:$T$10005,0)=ROW()-5,N($X5821)+1,N($X5821)))</f>
        <v>0</v>
      </c>
      <c r="Z5822" t="str">
        <f t="shared" si="909"/>
        <v/>
      </c>
      <c r="AA5822">
        <f>IF($V5822="",N($AA5821),IF(MATCH($V5822,$V$6:$V$10005,0)=ROW()-5,N($AA5821)+1,N($AA5821)))</f>
        <v>0</v>
      </c>
    </row>
    <row r="5823" spans="1:27" ht="21" customHeight="1" x14ac:dyDescent="0.95">
      <c r="A5823" s="56"/>
      <c r="B5823" s="57"/>
      <c r="C5823" s="57"/>
      <c r="D5823" s="57"/>
      <c r="E5823" s="56"/>
      <c r="F5823" s="57"/>
      <c r="G5823" s="57"/>
      <c r="H5823" s="56"/>
      <c r="I5823" s="56"/>
      <c r="J5823" s="58"/>
      <c r="K5823" s="58"/>
      <c r="L5823" s="13" t="str">
        <f t="shared" si="900"/>
        <v/>
      </c>
      <c r="M5823" s="13" t="str">
        <f t="shared" si="901"/>
        <v/>
      </c>
      <c r="Q5823" t="str">
        <f t="shared" si="902"/>
        <v/>
      </c>
      <c r="R5823" t="str">
        <f t="shared" si="903"/>
        <v/>
      </c>
      <c r="S5823" t="str">
        <f t="shared" si="904"/>
        <v/>
      </c>
      <c r="T5823" t="str">
        <f t="shared" si="905"/>
        <v/>
      </c>
      <c r="U5823" t="str">
        <f t="shared" si="906"/>
        <v/>
      </c>
      <c r="V5823" t="str">
        <f t="shared" si="907"/>
        <v/>
      </c>
      <c r="W5823" t="str">
        <f t="shared" si="908"/>
        <v/>
      </c>
      <c r="X5823">
        <f>IF($T5823="",N($X5822),IF(MATCH($T5823,$T$6:$T$10005,0)=ROW()-5,N($X5822)+1,N($X5822)))</f>
        <v>0</v>
      </c>
      <c r="Z5823" t="str">
        <f t="shared" si="909"/>
        <v/>
      </c>
      <c r="AA5823">
        <f>IF($V5823="",N($AA5822),IF(MATCH($V5823,$V$6:$V$10005,0)=ROW()-5,N($AA5822)+1,N($AA5822)))</f>
        <v>0</v>
      </c>
    </row>
    <row r="5824" spans="1:27" ht="21" customHeight="1" x14ac:dyDescent="0.95">
      <c r="A5824" s="56"/>
      <c r="B5824" s="57"/>
      <c r="C5824" s="57"/>
      <c r="D5824" s="57"/>
      <c r="E5824" s="56"/>
      <c r="F5824" s="57"/>
      <c r="G5824" s="57"/>
      <c r="H5824" s="56"/>
      <c r="I5824" s="56"/>
      <c r="J5824" s="58"/>
      <c r="K5824" s="58"/>
      <c r="L5824" s="13" t="str">
        <f t="shared" si="900"/>
        <v/>
      </c>
      <c r="M5824" s="13" t="str">
        <f t="shared" si="901"/>
        <v/>
      </c>
      <c r="Q5824" t="str">
        <f t="shared" si="902"/>
        <v/>
      </c>
      <c r="R5824" t="str">
        <f t="shared" si="903"/>
        <v/>
      </c>
      <c r="S5824" t="str">
        <f t="shared" si="904"/>
        <v/>
      </c>
      <c r="T5824" t="str">
        <f t="shared" si="905"/>
        <v/>
      </c>
      <c r="U5824" t="str">
        <f t="shared" si="906"/>
        <v/>
      </c>
      <c r="V5824" t="str">
        <f t="shared" si="907"/>
        <v/>
      </c>
      <c r="W5824" t="str">
        <f t="shared" si="908"/>
        <v/>
      </c>
      <c r="X5824">
        <f>IF($T5824="",N($X5823),IF(MATCH($T5824,$T$6:$T$10005,0)=ROW()-5,N($X5823)+1,N($X5823)))</f>
        <v>0</v>
      </c>
      <c r="Z5824" t="str">
        <f t="shared" si="909"/>
        <v/>
      </c>
      <c r="AA5824">
        <f>IF($V5824="",N($AA5823),IF(MATCH($V5824,$V$6:$V$10005,0)=ROW()-5,N($AA5823)+1,N($AA5823)))</f>
        <v>0</v>
      </c>
    </row>
    <row r="5825" spans="1:27" ht="21" customHeight="1" x14ac:dyDescent="0.95">
      <c r="A5825" s="56"/>
      <c r="B5825" s="57"/>
      <c r="C5825" s="57"/>
      <c r="D5825" s="57"/>
      <c r="E5825" s="56"/>
      <c r="F5825" s="57"/>
      <c r="G5825" s="57"/>
      <c r="H5825" s="56"/>
      <c r="I5825" s="56"/>
      <c r="J5825" s="58"/>
      <c r="K5825" s="58"/>
      <c r="L5825" s="13" t="str">
        <f t="shared" si="900"/>
        <v/>
      </c>
      <c r="M5825" s="13" t="str">
        <f t="shared" si="901"/>
        <v/>
      </c>
      <c r="Q5825" t="str">
        <f t="shared" si="902"/>
        <v/>
      </c>
      <c r="R5825" t="str">
        <f t="shared" si="903"/>
        <v/>
      </c>
      <c r="S5825" t="str">
        <f t="shared" si="904"/>
        <v/>
      </c>
      <c r="T5825" t="str">
        <f t="shared" si="905"/>
        <v/>
      </c>
      <c r="U5825" t="str">
        <f t="shared" si="906"/>
        <v/>
      </c>
      <c r="V5825" t="str">
        <f t="shared" si="907"/>
        <v/>
      </c>
      <c r="W5825" t="str">
        <f t="shared" si="908"/>
        <v/>
      </c>
      <c r="X5825">
        <f>IF($T5825="",N($X5824),IF(MATCH($T5825,$T$6:$T$10005,0)=ROW()-5,N($X5824)+1,N($X5824)))</f>
        <v>0</v>
      </c>
      <c r="Z5825" t="str">
        <f t="shared" si="909"/>
        <v/>
      </c>
      <c r="AA5825">
        <f>IF($V5825="",N($AA5824),IF(MATCH($V5825,$V$6:$V$10005,0)=ROW()-5,N($AA5824)+1,N($AA5824)))</f>
        <v>0</v>
      </c>
    </row>
    <row r="5826" spans="1:27" ht="21" customHeight="1" x14ac:dyDescent="0.95">
      <c r="A5826" s="56"/>
      <c r="B5826" s="57"/>
      <c r="C5826" s="57"/>
      <c r="D5826" s="57"/>
      <c r="E5826" s="56"/>
      <c r="F5826" s="57"/>
      <c r="G5826" s="57"/>
      <c r="H5826" s="56"/>
      <c r="I5826" s="56"/>
      <c r="J5826" s="58"/>
      <c r="K5826" s="58"/>
      <c r="L5826" s="13" t="str">
        <f t="shared" si="900"/>
        <v/>
      </c>
      <c r="M5826" s="13" t="str">
        <f t="shared" si="901"/>
        <v/>
      </c>
      <c r="Q5826" t="str">
        <f t="shared" si="902"/>
        <v/>
      </c>
      <c r="R5826" t="str">
        <f t="shared" si="903"/>
        <v/>
      </c>
      <c r="S5826" t="str">
        <f t="shared" si="904"/>
        <v/>
      </c>
      <c r="T5826" t="str">
        <f t="shared" si="905"/>
        <v/>
      </c>
      <c r="U5826" t="str">
        <f t="shared" si="906"/>
        <v/>
      </c>
      <c r="V5826" t="str">
        <f t="shared" si="907"/>
        <v/>
      </c>
      <c r="W5826" t="str">
        <f t="shared" si="908"/>
        <v/>
      </c>
      <c r="X5826">
        <f>IF($T5826="",N($X5825),IF(MATCH($T5826,$T$6:$T$10005,0)=ROW()-5,N($X5825)+1,N($X5825)))</f>
        <v>0</v>
      </c>
      <c r="Z5826" t="str">
        <f t="shared" si="909"/>
        <v/>
      </c>
      <c r="AA5826">
        <f>IF($V5826="",N($AA5825),IF(MATCH($V5826,$V$6:$V$10005,0)=ROW()-5,N($AA5825)+1,N($AA5825)))</f>
        <v>0</v>
      </c>
    </row>
    <row r="5827" spans="1:27" ht="21" customHeight="1" x14ac:dyDescent="0.95">
      <c r="A5827" s="56"/>
      <c r="B5827" s="57"/>
      <c r="C5827" s="57"/>
      <c r="D5827" s="57"/>
      <c r="E5827" s="56"/>
      <c r="F5827" s="57"/>
      <c r="G5827" s="57"/>
      <c r="H5827" s="56"/>
      <c r="I5827" s="56"/>
      <c r="J5827" s="58"/>
      <c r="K5827" s="58"/>
      <c r="L5827" s="13" t="str">
        <f t="shared" si="900"/>
        <v/>
      </c>
      <c r="M5827" s="13" t="str">
        <f t="shared" si="901"/>
        <v/>
      </c>
      <c r="Q5827" t="str">
        <f t="shared" si="902"/>
        <v/>
      </c>
      <c r="R5827" t="str">
        <f t="shared" si="903"/>
        <v/>
      </c>
      <c r="S5827" t="str">
        <f t="shared" si="904"/>
        <v/>
      </c>
      <c r="T5827" t="str">
        <f t="shared" si="905"/>
        <v/>
      </c>
      <c r="U5827" t="str">
        <f t="shared" si="906"/>
        <v/>
      </c>
      <c r="V5827" t="str">
        <f t="shared" si="907"/>
        <v/>
      </c>
      <c r="W5827" t="str">
        <f t="shared" si="908"/>
        <v/>
      </c>
      <c r="X5827">
        <f>IF($T5827="",N($X5826),IF(MATCH($T5827,$T$6:$T$10005,0)=ROW()-5,N($X5826)+1,N($X5826)))</f>
        <v>0</v>
      </c>
      <c r="Z5827" t="str">
        <f t="shared" si="909"/>
        <v/>
      </c>
      <c r="AA5827">
        <f>IF($V5827="",N($AA5826),IF(MATCH($V5827,$V$6:$V$10005,0)=ROW()-5,N($AA5826)+1,N($AA5826)))</f>
        <v>0</v>
      </c>
    </row>
    <row r="5828" spans="1:27" ht="21" customHeight="1" x14ac:dyDescent="0.95">
      <c r="A5828" s="56"/>
      <c r="B5828" s="57"/>
      <c r="C5828" s="57"/>
      <c r="D5828" s="57"/>
      <c r="E5828" s="56"/>
      <c r="F5828" s="57"/>
      <c r="G5828" s="57"/>
      <c r="H5828" s="56"/>
      <c r="I5828" s="56"/>
      <c r="J5828" s="58"/>
      <c r="K5828" s="58"/>
      <c r="L5828" s="13" t="str">
        <f t="shared" si="900"/>
        <v/>
      </c>
      <c r="M5828" s="13" t="str">
        <f t="shared" si="901"/>
        <v/>
      </c>
      <c r="Q5828" t="str">
        <f t="shared" si="902"/>
        <v/>
      </c>
      <c r="R5828" t="str">
        <f t="shared" si="903"/>
        <v/>
      </c>
      <c r="S5828" t="str">
        <f t="shared" si="904"/>
        <v/>
      </c>
      <c r="T5828" t="str">
        <f t="shared" si="905"/>
        <v/>
      </c>
      <c r="U5828" t="str">
        <f t="shared" si="906"/>
        <v/>
      </c>
      <c r="V5828" t="str">
        <f t="shared" si="907"/>
        <v/>
      </c>
      <c r="W5828" t="str">
        <f t="shared" si="908"/>
        <v/>
      </c>
      <c r="X5828">
        <f>IF($T5828="",N($X5827),IF(MATCH($T5828,$T$6:$T$10005,0)=ROW()-5,N($X5827)+1,N($X5827)))</f>
        <v>0</v>
      </c>
      <c r="Z5828" t="str">
        <f t="shared" si="909"/>
        <v/>
      </c>
      <c r="AA5828">
        <f>IF($V5828="",N($AA5827),IF(MATCH($V5828,$V$6:$V$10005,0)=ROW()-5,N($AA5827)+1,N($AA5827)))</f>
        <v>0</v>
      </c>
    </row>
    <row r="5829" spans="1:27" ht="21" customHeight="1" x14ac:dyDescent="0.95">
      <c r="A5829" s="56"/>
      <c r="B5829" s="57"/>
      <c r="C5829" s="57"/>
      <c r="D5829" s="57"/>
      <c r="E5829" s="56"/>
      <c r="F5829" s="57"/>
      <c r="G5829" s="57"/>
      <c r="H5829" s="56"/>
      <c r="I5829" s="56"/>
      <c r="J5829" s="58"/>
      <c r="K5829" s="58"/>
      <c r="L5829" s="13" t="str">
        <f t="shared" si="900"/>
        <v/>
      </c>
      <c r="M5829" s="13" t="str">
        <f t="shared" si="901"/>
        <v/>
      </c>
      <c r="Q5829" t="str">
        <f t="shared" si="902"/>
        <v/>
      </c>
      <c r="R5829" t="str">
        <f t="shared" si="903"/>
        <v/>
      </c>
      <c r="S5829" t="str">
        <f t="shared" si="904"/>
        <v/>
      </c>
      <c r="T5829" t="str">
        <f t="shared" si="905"/>
        <v/>
      </c>
      <c r="U5829" t="str">
        <f t="shared" si="906"/>
        <v/>
      </c>
      <c r="V5829" t="str">
        <f t="shared" si="907"/>
        <v/>
      </c>
      <c r="W5829" t="str">
        <f t="shared" si="908"/>
        <v/>
      </c>
      <c r="X5829">
        <f>IF($T5829="",N($X5828),IF(MATCH($T5829,$T$6:$T$10005,0)=ROW()-5,N($X5828)+1,N($X5828)))</f>
        <v>0</v>
      </c>
      <c r="Z5829" t="str">
        <f t="shared" si="909"/>
        <v/>
      </c>
      <c r="AA5829">
        <f>IF($V5829="",N($AA5828),IF(MATCH($V5829,$V$6:$V$10005,0)=ROW()-5,N($AA5828)+1,N($AA5828)))</f>
        <v>0</v>
      </c>
    </row>
    <row r="5830" spans="1:27" ht="21" customHeight="1" x14ac:dyDescent="0.95">
      <c r="A5830" s="56"/>
      <c r="B5830" s="57"/>
      <c r="C5830" s="57"/>
      <c r="D5830" s="57"/>
      <c r="E5830" s="56"/>
      <c r="F5830" s="57"/>
      <c r="G5830" s="57"/>
      <c r="H5830" s="56"/>
      <c r="I5830" s="56"/>
      <c r="J5830" s="58"/>
      <c r="K5830" s="58"/>
      <c r="L5830" s="13" t="str">
        <f t="shared" ref="L5830:L5893" si="910">IF(OR($A5830="",AND($J5830="",$K5830="")),"",ROUND(N($J5830)-N($K5830),2))</f>
        <v/>
      </c>
      <c r="M5830" s="13" t="str">
        <f t="shared" ref="M5830:M5893" si="911">IF(OR($A5830="",AND($J5830="",$K5830="")),"",MIN($J5830,$K5830))</f>
        <v/>
      </c>
      <c r="Q5830" t="str">
        <f t="shared" ref="Q5830:Q5893" si="912">IF($A5830="","",$D5830&amp;"("&amp;SUBSTITUTE($E5830," ","")&amp;")")</f>
        <v/>
      </c>
      <c r="R5830" t="str">
        <f t="shared" ref="R5830:R5893" si="913">IF($A5830="","",$B5830&amp;" - "&amp;$C5830)</f>
        <v/>
      </c>
      <c r="S5830" t="str">
        <f t="shared" ref="S5830:S5893" si="914">IF($A5830="","",$R5830&amp;"|"&amp;$Q5830)</f>
        <v/>
      </c>
      <c r="T5830" t="str">
        <f t="shared" ref="T5830:T5893" si="915">IF($A5830="","",$S5830&amp;"|"&amp;$F5830)</f>
        <v/>
      </c>
      <c r="U5830" t="str">
        <f t="shared" ref="U5830:U5893" si="916">IF($A5830="","",$R5830&amp;"("&amp;$E5830&amp;")")</f>
        <v/>
      </c>
      <c r="V5830" t="str">
        <f t="shared" ref="V5830:V5893" si="917">IF($A5830="","",$F5830&amp;"|"&amp;$U5830&amp;"|"&amp;$D5830)</f>
        <v/>
      </c>
      <c r="W5830" t="str">
        <f t="shared" ref="W5830:W5893" si="918">IF($T5830="","",IF($X5830&gt;N($X5829),$X5830,""))</f>
        <v/>
      </c>
      <c r="X5830">
        <f>IF($T5830="",N($X5829),IF(MATCH($T5830,$T$6:$T$10005,0)=ROW()-5,N($X5829)+1,N($X5829)))</f>
        <v>0</v>
      </c>
      <c r="Z5830" t="str">
        <f t="shared" ref="Z5830:Z5893" si="919">IF($V5830="","",IF($AA5830&gt;N($AA5829),$AA5830,""))</f>
        <v/>
      </c>
      <c r="AA5830">
        <f>IF($V5830="",N($AA5829),IF(MATCH($V5830,$V$6:$V$10005,0)=ROW()-5,N($AA5829)+1,N($AA5829)))</f>
        <v>0</v>
      </c>
    </row>
    <row r="5831" spans="1:27" ht="21" customHeight="1" x14ac:dyDescent="0.95">
      <c r="A5831" s="56"/>
      <c r="B5831" s="57"/>
      <c r="C5831" s="57"/>
      <c r="D5831" s="57"/>
      <c r="E5831" s="56"/>
      <c r="F5831" s="57"/>
      <c r="G5831" s="57"/>
      <c r="H5831" s="56"/>
      <c r="I5831" s="56"/>
      <c r="J5831" s="58"/>
      <c r="K5831" s="58"/>
      <c r="L5831" s="13" t="str">
        <f t="shared" si="910"/>
        <v/>
      </c>
      <c r="M5831" s="13" t="str">
        <f t="shared" si="911"/>
        <v/>
      </c>
      <c r="Q5831" t="str">
        <f t="shared" si="912"/>
        <v/>
      </c>
      <c r="R5831" t="str">
        <f t="shared" si="913"/>
        <v/>
      </c>
      <c r="S5831" t="str">
        <f t="shared" si="914"/>
        <v/>
      </c>
      <c r="T5831" t="str">
        <f t="shared" si="915"/>
        <v/>
      </c>
      <c r="U5831" t="str">
        <f t="shared" si="916"/>
        <v/>
      </c>
      <c r="V5831" t="str">
        <f t="shared" si="917"/>
        <v/>
      </c>
      <c r="W5831" t="str">
        <f t="shared" si="918"/>
        <v/>
      </c>
      <c r="X5831">
        <f>IF($T5831="",N($X5830),IF(MATCH($T5831,$T$6:$T$10005,0)=ROW()-5,N($X5830)+1,N($X5830)))</f>
        <v>0</v>
      </c>
      <c r="Z5831" t="str">
        <f t="shared" si="919"/>
        <v/>
      </c>
      <c r="AA5831">
        <f>IF($V5831="",N($AA5830),IF(MATCH($V5831,$V$6:$V$10005,0)=ROW()-5,N($AA5830)+1,N($AA5830)))</f>
        <v>0</v>
      </c>
    </row>
    <row r="5832" spans="1:27" ht="21" customHeight="1" x14ac:dyDescent="0.95">
      <c r="A5832" s="56"/>
      <c r="B5832" s="57"/>
      <c r="C5832" s="57"/>
      <c r="D5832" s="57"/>
      <c r="E5832" s="56"/>
      <c r="F5832" s="57"/>
      <c r="G5832" s="57"/>
      <c r="H5832" s="56"/>
      <c r="I5832" s="56"/>
      <c r="J5832" s="58"/>
      <c r="K5832" s="58"/>
      <c r="L5832" s="13" t="str">
        <f t="shared" si="910"/>
        <v/>
      </c>
      <c r="M5832" s="13" t="str">
        <f t="shared" si="911"/>
        <v/>
      </c>
      <c r="Q5832" t="str">
        <f t="shared" si="912"/>
        <v/>
      </c>
      <c r="R5832" t="str">
        <f t="shared" si="913"/>
        <v/>
      </c>
      <c r="S5832" t="str">
        <f t="shared" si="914"/>
        <v/>
      </c>
      <c r="T5832" t="str">
        <f t="shared" si="915"/>
        <v/>
      </c>
      <c r="U5832" t="str">
        <f t="shared" si="916"/>
        <v/>
      </c>
      <c r="V5832" t="str">
        <f t="shared" si="917"/>
        <v/>
      </c>
      <c r="W5832" t="str">
        <f t="shared" si="918"/>
        <v/>
      </c>
      <c r="X5832">
        <f>IF($T5832="",N($X5831),IF(MATCH($T5832,$T$6:$T$10005,0)=ROW()-5,N($X5831)+1,N($X5831)))</f>
        <v>0</v>
      </c>
      <c r="Z5832" t="str">
        <f t="shared" si="919"/>
        <v/>
      </c>
      <c r="AA5832">
        <f>IF($V5832="",N($AA5831),IF(MATCH($V5832,$V$6:$V$10005,0)=ROW()-5,N($AA5831)+1,N($AA5831)))</f>
        <v>0</v>
      </c>
    </row>
    <row r="5833" spans="1:27" ht="21" customHeight="1" x14ac:dyDescent="0.95">
      <c r="A5833" s="56"/>
      <c r="B5833" s="57"/>
      <c r="C5833" s="57"/>
      <c r="D5833" s="57"/>
      <c r="E5833" s="56"/>
      <c r="F5833" s="57"/>
      <c r="G5833" s="57"/>
      <c r="H5833" s="56"/>
      <c r="I5833" s="56"/>
      <c r="J5833" s="58"/>
      <c r="K5833" s="58"/>
      <c r="L5833" s="13" t="str">
        <f t="shared" si="910"/>
        <v/>
      </c>
      <c r="M5833" s="13" t="str">
        <f t="shared" si="911"/>
        <v/>
      </c>
      <c r="Q5833" t="str">
        <f t="shared" si="912"/>
        <v/>
      </c>
      <c r="R5833" t="str">
        <f t="shared" si="913"/>
        <v/>
      </c>
      <c r="S5833" t="str">
        <f t="shared" si="914"/>
        <v/>
      </c>
      <c r="T5833" t="str">
        <f t="shared" si="915"/>
        <v/>
      </c>
      <c r="U5833" t="str">
        <f t="shared" si="916"/>
        <v/>
      </c>
      <c r="V5833" t="str">
        <f t="shared" si="917"/>
        <v/>
      </c>
      <c r="W5833" t="str">
        <f t="shared" si="918"/>
        <v/>
      </c>
      <c r="X5833">
        <f>IF($T5833="",N($X5832),IF(MATCH($T5833,$T$6:$T$10005,0)=ROW()-5,N($X5832)+1,N($X5832)))</f>
        <v>0</v>
      </c>
      <c r="Z5833" t="str">
        <f t="shared" si="919"/>
        <v/>
      </c>
      <c r="AA5833">
        <f>IF($V5833="",N($AA5832),IF(MATCH($V5833,$V$6:$V$10005,0)=ROW()-5,N($AA5832)+1,N($AA5832)))</f>
        <v>0</v>
      </c>
    </row>
    <row r="5834" spans="1:27" ht="21" customHeight="1" x14ac:dyDescent="0.95">
      <c r="A5834" s="56"/>
      <c r="B5834" s="57"/>
      <c r="C5834" s="57"/>
      <c r="D5834" s="57"/>
      <c r="E5834" s="56"/>
      <c r="F5834" s="57"/>
      <c r="G5834" s="57"/>
      <c r="H5834" s="56"/>
      <c r="I5834" s="56"/>
      <c r="J5834" s="58"/>
      <c r="K5834" s="58"/>
      <c r="L5834" s="13" t="str">
        <f t="shared" si="910"/>
        <v/>
      </c>
      <c r="M5834" s="13" t="str">
        <f t="shared" si="911"/>
        <v/>
      </c>
      <c r="Q5834" t="str">
        <f t="shared" si="912"/>
        <v/>
      </c>
      <c r="R5834" t="str">
        <f t="shared" si="913"/>
        <v/>
      </c>
      <c r="S5834" t="str">
        <f t="shared" si="914"/>
        <v/>
      </c>
      <c r="T5834" t="str">
        <f t="shared" si="915"/>
        <v/>
      </c>
      <c r="U5834" t="str">
        <f t="shared" si="916"/>
        <v/>
      </c>
      <c r="V5834" t="str">
        <f t="shared" si="917"/>
        <v/>
      </c>
      <c r="W5834" t="str">
        <f t="shared" si="918"/>
        <v/>
      </c>
      <c r="X5834">
        <f>IF($T5834="",N($X5833),IF(MATCH($T5834,$T$6:$T$10005,0)=ROW()-5,N($X5833)+1,N($X5833)))</f>
        <v>0</v>
      </c>
      <c r="Z5834" t="str">
        <f t="shared" si="919"/>
        <v/>
      </c>
      <c r="AA5834">
        <f>IF($V5834="",N($AA5833),IF(MATCH($V5834,$V$6:$V$10005,0)=ROW()-5,N($AA5833)+1,N($AA5833)))</f>
        <v>0</v>
      </c>
    </row>
    <row r="5835" spans="1:27" ht="21" customHeight="1" x14ac:dyDescent="0.95">
      <c r="A5835" s="56"/>
      <c r="B5835" s="57"/>
      <c r="C5835" s="57"/>
      <c r="D5835" s="57"/>
      <c r="E5835" s="56"/>
      <c r="F5835" s="57"/>
      <c r="G5835" s="57"/>
      <c r="H5835" s="56"/>
      <c r="I5835" s="56"/>
      <c r="J5835" s="58"/>
      <c r="K5835" s="58"/>
      <c r="L5835" s="13" t="str">
        <f t="shared" si="910"/>
        <v/>
      </c>
      <c r="M5835" s="13" t="str">
        <f t="shared" si="911"/>
        <v/>
      </c>
      <c r="Q5835" t="str">
        <f t="shared" si="912"/>
        <v/>
      </c>
      <c r="R5835" t="str">
        <f t="shared" si="913"/>
        <v/>
      </c>
      <c r="S5835" t="str">
        <f t="shared" si="914"/>
        <v/>
      </c>
      <c r="T5835" t="str">
        <f t="shared" si="915"/>
        <v/>
      </c>
      <c r="U5835" t="str">
        <f t="shared" si="916"/>
        <v/>
      </c>
      <c r="V5835" t="str">
        <f t="shared" si="917"/>
        <v/>
      </c>
      <c r="W5835" t="str">
        <f t="shared" si="918"/>
        <v/>
      </c>
      <c r="X5835">
        <f>IF($T5835="",N($X5834),IF(MATCH($T5835,$T$6:$T$10005,0)=ROW()-5,N($X5834)+1,N($X5834)))</f>
        <v>0</v>
      </c>
      <c r="Z5835" t="str">
        <f t="shared" si="919"/>
        <v/>
      </c>
      <c r="AA5835">
        <f>IF($V5835="",N($AA5834),IF(MATCH($V5835,$V$6:$V$10005,0)=ROW()-5,N($AA5834)+1,N($AA5834)))</f>
        <v>0</v>
      </c>
    </row>
    <row r="5836" spans="1:27" ht="21" customHeight="1" x14ac:dyDescent="0.95">
      <c r="A5836" s="56"/>
      <c r="B5836" s="57"/>
      <c r="C5836" s="57"/>
      <c r="D5836" s="57"/>
      <c r="E5836" s="56"/>
      <c r="F5836" s="57"/>
      <c r="G5836" s="57"/>
      <c r="H5836" s="56"/>
      <c r="I5836" s="56"/>
      <c r="J5836" s="58"/>
      <c r="K5836" s="58"/>
      <c r="L5836" s="13" t="str">
        <f t="shared" si="910"/>
        <v/>
      </c>
      <c r="M5836" s="13" t="str">
        <f t="shared" si="911"/>
        <v/>
      </c>
      <c r="Q5836" t="str">
        <f t="shared" si="912"/>
        <v/>
      </c>
      <c r="R5836" t="str">
        <f t="shared" si="913"/>
        <v/>
      </c>
      <c r="S5836" t="str">
        <f t="shared" si="914"/>
        <v/>
      </c>
      <c r="T5836" t="str">
        <f t="shared" si="915"/>
        <v/>
      </c>
      <c r="U5836" t="str">
        <f t="shared" si="916"/>
        <v/>
      </c>
      <c r="V5836" t="str">
        <f t="shared" si="917"/>
        <v/>
      </c>
      <c r="W5836" t="str">
        <f t="shared" si="918"/>
        <v/>
      </c>
      <c r="X5836">
        <f>IF($T5836="",N($X5835),IF(MATCH($T5836,$T$6:$T$10005,0)=ROW()-5,N($X5835)+1,N($X5835)))</f>
        <v>0</v>
      </c>
      <c r="Z5836" t="str">
        <f t="shared" si="919"/>
        <v/>
      </c>
      <c r="AA5836">
        <f>IF($V5836="",N($AA5835),IF(MATCH($V5836,$V$6:$V$10005,0)=ROW()-5,N($AA5835)+1,N($AA5835)))</f>
        <v>0</v>
      </c>
    </row>
    <row r="5837" spans="1:27" ht="21" customHeight="1" x14ac:dyDescent="0.95">
      <c r="A5837" s="56"/>
      <c r="B5837" s="57"/>
      <c r="C5837" s="57"/>
      <c r="D5837" s="57"/>
      <c r="E5837" s="56"/>
      <c r="F5837" s="57"/>
      <c r="G5837" s="57"/>
      <c r="H5837" s="56"/>
      <c r="I5837" s="56"/>
      <c r="J5837" s="58"/>
      <c r="K5837" s="58"/>
      <c r="L5837" s="13" t="str">
        <f t="shared" si="910"/>
        <v/>
      </c>
      <c r="M5837" s="13" t="str">
        <f t="shared" si="911"/>
        <v/>
      </c>
      <c r="Q5837" t="str">
        <f t="shared" si="912"/>
        <v/>
      </c>
      <c r="R5837" t="str">
        <f t="shared" si="913"/>
        <v/>
      </c>
      <c r="S5837" t="str">
        <f t="shared" si="914"/>
        <v/>
      </c>
      <c r="T5837" t="str">
        <f t="shared" si="915"/>
        <v/>
      </c>
      <c r="U5837" t="str">
        <f t="shared" si="916"/>
        <v/>
      </c>
      <c r="V5837" t="str">
        <f t="shared" si="917"/>
        <v/>
      </c>
      <c r="W5837" t="str">
        <f t="shared" si="918"/>
        <v/>
      </c>
      <c r="X5837">
        <f>IF($T5837="",N($X5836),IF(MATCH($T5837,$T$6:$T$10005,0)=ROW()-5,N($X5836)+1,N($X5836)))</f>
        <v>0</v>
      </c>
      <c r="Z5837" t="str">
        <f t="shared" si="919"/>
        <v/>
      </c>
      <c r="AA5837">
        <f>IF($V5837="",N($AA5836),IF(MATCH($V5837,$V$6:$V$10005,0)=ROW()-5,N($AA5836)+1,N($AA5836)))</f>
        <v>0</v>
      </c>
    </row>
    <row r="5838" spans="1:27" ht="21" customHeight="1" x14ac:dyDescent="0.95">
      <c r="A5838" s="56"/>
      <c r="B5838" s="57"/>
      <c r="C5838" s="57"/>
      <c r="D5838" s="57"/>
      <c r="E5838" s="56"/>
      <c r="F5838" s="57"/>
      <c r="G5838" s="57"/>
      <c r="H5838" s="56"/>
      <c r="I5838" s="56"/>
      <c r="J5838" s="58"/>
      <c r="K5838" s="58"/>
      <c r="L5838" s="13" t="str">
        <f t="shared" si="910"/>
        <v/>
      </c>
      <c r="M5838" s="13" t="str">
        <f t="shared" si="911"/>
        <v/>
      </c>
      <c r="Q5838" t="str">
        <f t="shared" si="912"/>
        <v/>
      </c>
      <c r="R5838" t="str">
        <f t="shared" si="913"/>
        <v/>
      </c>
      <c r="S5838" t="str">
        <f t="shared" si="914"/>
        <v/>
      </c>
      <c r="T5838" t="str">
        <f t="shared" si="915"/>
        <v/>
      </c>
      <c r="U5838" t="str">
        <f t="shared" si="916"/>
        <v/>
      </c>
      <c r="V5838" t="str">
        <f t="shared" si="917"/>
        <v/>
      </c>
      <c r="W5838" t="str">
        <f t="shared" si="918"/>
        <v/>
      </c>
      <c r="X5838">
        <f>IF($T5838="",N($X5837),IF(MATCH($T5838,$T$6:$T$10005,0)=ROW()-5,N($X5837)+1,N($X5837)))</f>
        <v>0</v>
      </c>
      <c r="Z5838" t="str">
        <f t="shared" si="919"/>
        <v/>
      </c>
      <c r="AA5838">
        <f>IF($V5838="",N($AA5837),IF(MATCH($V5838,$V$6:$V$10005,0)=ROW()-5,N($AA5837)+1,N($AA5837)))</f>
        <v>0</v>
      </c>
    </row>
    <row r="5839" spans="1:27" ht="21" customHeight="1" x14ac:dyDescent="0.95">
      <c r="A5839" s="56"/>
      <c r="B5839" s="57"/>
      <c r="C5839" s="57"/>
      <c r="D5839" s="57"/>
      <c r="E5839" s="56"/>
      <c r="F5839" s="57"/>
      <c r="G5839" s="57"/>
      <c r="H5839" s="56"/>
      <c r="I5839" s="56"/>
      <c r="J5839" s="58"/>
      <c r="K5839" s="58"/>
      <c r="L5839" s="13" t="str">
        <f t="shared" si="910"/>
        <v/>
      </c>
      <c r="M5839" s="13" t="str">
        <f t="shared" si="911"/>
        <v/>
      </c>
      <c r="Q5839" t="str">
        <f t="shared" si="912"/>
        <v/>
      </c>
      <c r="R5839" t="str">
        <f t="shared" si="913"/>
        <v/>
      </c>
      <c r="S5839" t="str">
        <f t="shared" si="914"/>
        <v/>
      </c>
      <c r="T5839" t="str">
        <f t="shared" si="915"/>
        <v/>
      </c>
      <c r="U5839" t="str">
        <f t="shared" si="916"/>
        <v/>
      </c>
      <c r="V5839" t="str">
        <f t="shared" si="917"/>
        <v/>
      </c>
      <c r="W5839" t="str">
        <f t="shared" si="918"/>
        <v/>
      </c>
      <c r="X5839">
        <f>IF($T5839="",N($X5838),IF(MATCH($T5839,$T$6:$T$10005,0)=ROW()-5,N($X5838)+1,N($X5838)))</f>
        <v>0</v>
      </c>
      <c r="Z5839" t="str">
        <f t="shared" si="919"/>
        <v/>
      </c>
      <c r="AA5839">
        <f>IF($V5839="",N($AA5838),IF(MATCH($V5839,$V$6:$V$10005,0)=ROW()-5,N($AA5838)+1,N($AA5838)))</f>
        <v>0</v>
      </c>
    </row>
    <row r="5840" spans="1:27" ht="21" customHeight="1" x14ac:dyDescent="0.95">
      <c r="A5840" s="56"/>
      <c r="B5840" s="57"/>
      <c r="C5840" s="57"/>
      <c r="D5840" s="57"/>
      <c r="E5840" s="56"/>
      <c r="F5840" s="57"/>
      <c r="G5840" s="57"/>
      <c r="H5840" s="56"/>
      <c r="I5840" s="56"/>
      <c r="J5840" s="58"/>
      <c r="K5840" s="58"/>
      <c r="L5840" s="13" t="str">
        <f t="shared" si="910"/>
        <v/>
      </c>
      <c r="M5840" s="13" t="str">
        <f t="shared" si="911"/>
        <v/>
      </c>
      <c r="Q5840" t="str">
        <f t="shared" si="912"/>
        <v/>
      </c>
      <c r="R5840" t="str">
        <f t="shared" si="913"/>
        <v/>
      </c>
      <c r="S5840" t="str">
        <f t="shared" si="914"/>
        <v/>
      </c>
      <c r="T5840" t="str">
        <f t="shared" si="915"/>
        <v/>
      </c>
      <c r="U5840" t="str">
        <f t="shared" si="916"/>
        <v/>
      </c>
      <c r="V5840" t="str">
        <f t="shared" si="917"/>
        <v/>
      </c>
      <c r="W5840" t="str">
        <f t="shared" si="918"/>
        <v/>
      </c>
      <c r="X5840">
        <f>IF($T5840="",N($X5839),IF(MATCH($T5840,$T$6:$T$10005,0)=ROW()-5,N($X5839)+1,N($X5839)))</f>
        <v>0</v>
      </c>
      <c r="Z5840" t="str">
        <f t="shared" si="919"/>
        <v/>
      </c>
      <c r="AA5840">
        <f>IF($V5840="",N($AA5839),IF(MATCH($V5840,$V$6:$V$10005,0)=ROW()-5,N($AA5839)+1,N($AA5839)))</f>
        <v>0</v>
      </c>
    </row>
    <row r="5841" spans="1:27" ht="21" customHeight="1" x14ac:dyDescent="0.95">
      <c r="A5841" s="56"/>
      <c r="B5841" s="57"/>
      <c r="C5841" s="57"/>
      <c r="D5841" s="57"/>
      <c r="E5841" s="56"/>
      <c r="F5841" s="57"/>
      <c r="G5841" s="57"/>
      <c r="H5841" s="56"/>
      <c r="I5841" s="56"/>
      <c r="J5841" s="58"/>
      <c r="K5841" s="58"/>
      <c r="L5841" s="13" t="str">
        <f t="shared" si="910"/>
        <v/>
      </c>
      <c r="M5841" s="13" t="str">
        <f t="shared" si="911"/>
        <v/>
      </c>
      <c r="Q5841" t="str">
        <f t="shared" si="912"/>
        <v/>
      </c>
      <c r="R5841" t="str">
        <f t="shared" si="913"/>
        <v/>
      </c>
      <c r="S5841" t="str">
        <f t="shared" si="914"/>
        <v/>
      </c>
      <c r="T5841" t="str">
        <f t="shared" si="915"/>
        <v/>
      </c>
      <c r="U5841" t="str">
        <f t="shared" si="916"/>
        <v/>
      </c>
      <c r="V5841" t="str">
        <f t="shared" si="917"/>
        <v/>
      </c>
      <c r="W5841" t="str">
        <f t="shared" si="918"/>
        <v/>
      </c>
      <c r="X5841">
        <f>IF($T5841="",N($X5840),IF(MATCH($T5841,$T$6:$T$10005,0)=ROW()-5,N($X5840)+1,N($X5840)))</f>
        <v>0</v>
      </c>
      <c r="Z5841" t="str">
        <f t="shared" si="919"/>
        <v/>
      </c>
      <c r="AA5841">
        <f>IF($V5841="",N($AA5840),IF(MATCH($V5841,$V$6:$V$10005,0)=ROW()-5,N($AA5840)+1,N($AA5840)))</f>
        <v>0</v>
      </c>
    </row>
    <row r="5842" spans="1:27" ht="21" customHeight="1" x14ac:dyDescent="0.95">
      <c r="A5842" s="56"/>
      <c r="B5842" s="57"/>
      <c r="C5842" s="57"/>
      <c r="D5842" s="57"/>
      <c r="E5842" s="56"/>
      <c r="F5842" s="57"/>
      <c r="G5842" s="57"/>
      <c r="H5842" s="56"/>
      <c r="I5842" s="56"/>
      <c r="J5842" s="58"/>
      <c r="K5842" s="58"/>
      <c r="L5842" s="13" t="str">
        <f t="shared" si="910"/>
        <v/>
      </c>
      <c r="M5842" s="13" t="str">
        <f t="shared" si="911"/>
        <v/>
      </c>
      <c r="Q5842" t="str">
        <f t="shared" si="912"/>
        <v/>
      </c>
      <c r="R5842" t="str">
        <f t="shared" si="913"/>
        <v/>
      </c>
      <c r="S5842" t="str">
        <f t="shared" si="914"/>
        <v/>
      </c>
      <c r="T5842" t="str">
        <f t="shared" si="915"/>
        <v/>
      </c>
      <c r="U5842" t="str">
        <f t="shared" si="916"/>
        <v/>
      </c>
      <c r="V5842" t="str">
        <f t="shared" si="917"/>
        <v/>
      </c>
      <c r="W5842" t="str">
        <f t="shared" si="918"/>
        <v/>
      </c>
      <c r="X5842">
        <f>IF($T5842="",N($X5841),IF(MATCH($T5842,$T$6:$T$10005,0)=ROW()-5,N($X5841)+1,N($X5841)))</f>
        <v>0</v>
      </c>
      <c r="Z5842" t="str">
        <f t="shared" si="919"/>
        <v/>
      </c>
      <c r="AA5842">
        <f>IF($V5842="",N($AA5841),IF(MATCH($V5842,$V$6:$V$10005,0)=ROW()-5,N($AA5841)+1,N($AA5841)))</f>
        <v>0</v>
      </c>
    </row>
    <row r="5843" spans="1:27" ht="21" customHeight="1" x14ac:dyDescent="0.95">
      <c r="A5843" s="56"/>
      <c r="B5843" s="57"/>
      <c r="C5843" s="57"/>
      <c r="D5843" s="57"/>
      <c r="E5843" s="56"/>
      <c r="F5843" s="57"/>
      <c r="G5843" s="57"/>
      <c r="H5843" s="56"/>
      <c r="I5843" s="56"/>
      <c r="J5843" s="58"/>
      <c r="K5843" s="58"/>
      <c r="L5843" s="13" t="str">
        <f t="shared" si="910"/>
        <v/>
      </c>
      <c r="M5843" s="13" t="str">
        <f t="shared" si="911"/>
        <v/>
      </c>
      <c r="Q5843" t="str">
        <f t="shared" si="912"/>
        <v/>
      </c>
      <c r="R5843" t="str">
        <f t="shared" si="913"/>
        <v/>
      </c>
      <c r="S5843" t="str">
        <f t="shared" si="914"/>
        <v/>
      </c>
      <c r="T5843" t="str">
        <f t="shared" si="915"/>
        <v/>
      </c>
      <c r="U5843" t="str">
        <f t="shared" si="916"/>
        <v/>
      </c>
      <c r="V5843" t="str">
        <f t="shared" si="917"/>
        <v/>
      </c>
      <c r="W5843" t="str">
        <f t="shared" si="918"/>
        <v/>
      </c>
      <c r="X5843">
        <f>IF($T5843="",N($X5842),IF(MATCH($T5843,$T$6:$T$10005,0)=ROW()-5,N($X5842)+1,N($X5842)))</f>
        <v>0</v>
      </c>
      <c r="Z5843" t="str">
        <f t="shared" si="919"/>
        <v/>
      </c>
      <c r="AA5843">
        <f>IF($V5843="",N($AA5842),IF(MATCH($V5843,$V$6:$V$10005,0)=ROW()-5,N($AA5842)+1,N($AA5842)))</f>
        <v>0</v>
      </c>
    </row>
    <row r="5844" spans="1:27" ht="21" customHeight="1" x14ac:dyDescent="0.95">
      <c r="A5844" s="56"/>
      <c r="B5844" s="57"/>
      <c r="C5844" s="57"/>
      <c r="D5844" s="57"/>
      <c r="E5844" s="56"/>
      <c r="F5844" s="57"/>
      <c r="G5844" s="57"/>
      <c r="H5844" s="56"/>
      <c r="I5844" s="56"/>
      <c r="J5844" s="58"/>
      <c r="K5844" s="58"/>
      <c r="L5844" s="13" t="str">
        <f t="shared" si="910"/>
        <v/>
      </c>
      <c r="M5844" s="13" t="str">
        <f t="shared" si="911"/>
        <v/>
      </c>
      <c r="Q5844" t="str">
        <f t="shared" si="912"/>
        <v/>
      </c>
      <c r="R5844" t="str">
        <f t="shared" si="913"/>
        <v/>
      </c>
      <c r="S5844" t="str">
        <f t="shared" si="914"/>
        <v/>
      </c>
      <c r="T5844" t="str">
        <f t="shared" si="915"/>
        <v/>
      </c>
      <c r="U5844" t="str">
        <f t="shared" si="916"/>
        <v/>
      </c>
      <c r="V5844" t="str">
        <f t="shared" si="917"/>
        <v/>
      </c>
      <c r="W5844" t="str">
        <f t="shared" si="918"/>
        <v/>
      </c>
      <c r="X5844">
        <f>IF($T5844="",N($X5843),IF(MATCH($T5844,$T$6:$T$10005,0)=ROW()-5,N($X5843)+1,N($X5843)))</f>
        <v>0</v>
      </c>
      <c r="Z5844" t="str">
        <f t="shared" si="919"/>
        <v/>
      </c>
      <c r="AA5844">
        <f>IF($V5844="",N($AA5843),IF(MATCH($V5844,$V$6:$V$10005,0)=ROW()-5,N($AA5843)+1,N($AA5843)))</f>
        <v>0</v>
      </c>
    </row>
    <row r="5845" spans="1:27" ht="21" customHeight="1" x14ac:dyDescent="0.95">
      <c r="A5845" s="56"/>
      <c r="B5845" s="57"/>
      <c r="C5845" s="57"/>
      <c r="D5845" s="57"/>
      <c r="E5845" s="56"/>
      <c r="F5845" s="57"/>
      <c r="G5845" s="57"/>
      <c r="H5845" s="56"/>
      <c r="I5845" s="56"/>
      <c r="J5845" s="58"/>
      <c r="K5845" s="58"/>
      <c r="L5845" s="13" t="str">
        <f t="shared" si="910"/>
        <v/>
      </c>
      <c r="M5845" s="13" t="str">
        <f t="shared" si="911"/>
        <v/>
      </c>
      <c r="Q5845" t="str">
        <f t="shared" si="912"/>
        <v/>
      </c>
      <c r="R5845" t="str">
        <f t="shared" si="913"/>
        <v/>
      </c>
      <c r="S5845" t="str">
        <f t="shared" si="914"/>
        <v/>
      </c>
      <c r="T5845" t="str">
        <f t="shared" si="915"/>
        <v/>
      </c>
      <c r="U5845" t="str">
        <f t="shared" si="916"/>
        <v/>
      </c>
      <c r="V5845" t="str">
        <f t="shared" si="917"/>
        <v/>
      </c>
      <c r="W5845" t="str">
        <f t="shared" si="918"/>
        <v/>
      </c>
      <c r="X5845">
        <f>IF($T5845="",N($X5844),IF(MATCH($T5845,$T$6:$T$10005,0)=ROW()-5,N($X5844)+1,N($X5844)))</f>
        <v>0</v>
      </c>
      <c r="Z5845" t="str">
        <f t="shared" si="919"/>
        <v/>
      </c>
      <c r="AA5845">
        <f>IF($V5845="",N($AA5844),IF(MATCH($V5845,$V$6:$V$10005,0)=ROW()-5,N($AA5844)+1,N($AA5844)))</f>
        <v>0</v>
      </c>
    </row>
    <row r="5846" spans="1:27" ht="21" customHeight="1" x14ac:dyDescent="0.95">
      <c r="A5846" s="56"/>
      <c r="B5846" s="57"/>
      <c r="C5846" s="57"/>
      <c r="D5846" s="57"/>
      <c r="E5846" s="56"/>
      <c r="F5846" s="57"/>
      <c r="G5846" s="57"/>
      <c r="H5846" s="56"/>
      <c r="I5846" s="56"/>
      <c r="J5846" s="58"/>
      <c r="K5846" s="58"/>
      <c r="L5846" s="13" t="str">
        <f t="shared" si="910"/>
        <v/>
      </c>
      <c r="M5846" s="13" t="str">
        <f t="shared" si="911"/>
        <v/>
      </c>
      <c r="Q5846" t="str">
        <f t="shared" si="912"/>
        <v/>
      </c>
      <c r="R5846" t="str">
        <f t="shared" si="913"/>
        <v/>
      </c>
      <c r="S5846" t="str">
        <f t="shared" si="914"/>
        <v/>
      </c>
      <c r="T5846" t="str">
        <f t="shared" si="915"/>
        <v/>
      </c>
      <c r="U5846" t="str">
        <f t="shared" si="916"/>
        <v/>
      </c>
      <c r="V5846" t="str">
        <f t="shared" si="917"/>
        <v/>
      </c>
      <c r="W5846" t="str">
        <f t="shared" si="918"/>
        <v/>
      </c>
      <c r="X5846">
        <f>IF($T5846="",N($X5845),IF(MATCH($T5846,$T$6:$T$10005,0)=ROW()-5,N($X5845)+1,N($X5845)))</f>
        <v>0</v>
      </c>
      <c r="Z5846" t="str">
        <f t="shared" si="919"/>
        <v/>
      </c>
      <c r="AA5846">
        <f>IF($V5846="",N($AA5845),IF(MATCH($V5846,$V$6:$V$10005,0)=ROW()-5,N($AA5845)+1,N($AA5845)))</f>
        <v>0</v>
      </c>
    </row>
    <row r="5847" spans="1:27" ht="21" customHeight="1" x14ac:dyDescent="0.95">
      <c r="A5847" s="56"/>
      <c r="B5847" s="57"/>
      <c r="C5847" s="57"/>
      <c r="D5847" s="57"/>
      <c r="E5847" s="56"/>
      <c r="F5847" s="57"/>
      <c r="G5847" s="57"/>
      <c r="H5847" s="56"/>
      <c r="I5847" s="56"/>
      <c r="J5847" s="58"/>
      <c r="K5847" s="58"/>
      <c r="L5847" s="13" t="str">
        <f t="shared" si="910"/>
        <v/>
      </c>
      <c r="M5847" s="13" t="str">
        <f t="shared" si="911"/>
        <v/>
      </c>
      <c r="Q5847" t="str">
        <f t="shared" si="912"/>
        <v/>
      </c>
      <c r="R5847" t="str">
        <f t="shared" si="913"/>
        <v/>
      </c>
      <c r="S5847" t="str">
        <f t="shared" si="914"/>
        <v/>
      </c>
      <c r="T5847" t="str">
        <f t="shared" si="915"/>
        <v/>
      </c>
      <c r="U5847" t="str">
        <f t="shared" si="916"/>
        <v/>
      </c>
      <c r="V5847" t="str">
        <f t="shared" si="917"/>
        <v/>
      </c>
      <c r="W5847" t="str">
        <f t="shared" si="918"/>
        <v/>
      </c>
      <c r="X5847">
        <f>IF($T5847="",N($X5846),IF(MATCH($T5847,$T$6:$T$10005,0)=ROW()-5,N($X5846)+1,N($X5846)))</f>
        <v>0</v>
      </c>
      <c r="Z5847" t="str">
        <f t="shared" si="919"/>
        <v/>
      </c>
      <c r="AA5847">
        <f>IF($V5847="",N($AA5846),IF(MATCH($V5847,$V$6:$V$10005,0)=ROW()-5,N($AA5846)+1,N($AA5846)))</f>
        <v>0</v>
      </c>
    </row>
    <row r="5848" spans="1:27" ht="21" customHeight="1" x14ac:dyDescent="0.95">
      <c r="A5848" s="56"/>
      <c r="B5848" s="57"/>
      <c r="C5848" s="57"/>
      <c r="D5848" s="57"/>
      <c r="E5848" s="56"/>
      <c r="F5848" s="57"/>
      <c r="G5848" s="57"/>
      <c r="H5848" s="56"/>
      <c r="I5848" s="56"/>
      <c r="J5848" s="58"/>
      <c r="K5848" s="58"/>
      <c r="L5848" s="13" t="str">
        <f t="shared" si="910"/>
        <v/>
      </c>
      <c r="M5848" s="13" t="str">
        <f t="shared" si="911"/>
        <v/>
      </c>
      <c r="Q5848" t="str">
        <f t="shared" si="912"/>
        <v/>
      </c>
      <c r="R5848" t="str">
        <f t="shared" si="913"/>
        <v/>
      </c>
      <c r="S5848" t="str">
        <f t="shared" si="914"/>
        <v/>
      </c>
      <c r="T5848" t="str">
        <f t="shared" si="915"/>
        <v/>
      </c>
      <c r="U5848" t="str">
        <f t="shared" si="916"/>
        <v/>
      </c>
      <c r="V5848" t="str">
        <f t="shared" si="917"/>
        <v/>
      </c>
      <c r="W5848" t="str">
        <f t="shared" si="918"/>
        <v/>
      </c>
      <c r="X5848">
        <f>IF($T5848="",N($X5847),IF(MATCH($T5848,$T$6:$T$10005,0)=ROW()-5,N($X5847)+1,N($X5847)))</f>
        <v>0</v>
      </c>
      <c r="Z5848" t="str">
        <f t="shared" si="919"/>
        <v/>
      </c>
      <c r="AA5848">
        <f>IF($V5848="",N($AA5847),IF(MATCH($V5848,$V$6:$V$10005,0)=ROW()-5,N($AA5847)+1,N($AA5847)))</f>
        <v>0</v>
      </c>
    </row>
    <row r="5849" spans="1:27" ht="21" customHeight="1" x14ac:dyDescent="0.95">
      <c r="A5849" s="56"/>
      <c r="B5849" s="57"/>
      <c r="C5849" s="57"/>
      <c r="D5849" s="57"/>
      <c r="E5849" s="56"/>
      <c r="F5849" s="57"/>
      <c r="G5849" s="57"/>
      <c r="H5849" s="56"/>
      <c r="I5849" s="56"/>
      <c r="J5849" s="58"/>
      <c r="K5849" s="58"/>
      <c r="L5849" s="13" t="str">
        <f t="shared" si="910"/>
        <v/>
      </c>
      <c r="M5849" s="13" t="str">
        <f t="shared" si="911"/>
        <v/>
      </c>
      <c r="Q5849" t="str">
        <f t="shared" si="912"/>
        <v/>
      </c>
      <c r="R5849" t="str">
        <f t="shared" si="913"/>
        <v/>
      </c>
      <c r="S5849" t="str">
        <f t="shared" si="914"/>
        <v/>
      </c>
      <c r="T5849" t="str">
        <f t="shared" si="915"/>
        <v/>
      </c>
      <c r="U5849" t="str">
        <f t="shared" si="916"/>
        <v/>
      </c>
      <c r="V5849" t="str">
        <f t="shared" si="917"/>
        <v/>
      </c>
      <c r="W5849" t="str">
        <f t="shared" si="918"/>
        <v/>
      </c>
      <c r="X5849">
        <f>IF($T5849="",N($X5848),IF(MATCH($T5849,$T$6:$T$10005,0)=ROW()-5,N($X5848)+1,N($X5848)))</f>
        <v>0</v>
      </c>
      <c r="Z5849" t="str">
        <f t="shared" si="919"/>
        <v/>
      </c>
      <c r="AA5849">
        <f>IF($V5849="",N($AA5848),IF(MATCH($V5849,$V$6:$V$10005,0)=ROW()-5,N($AA5848)+1,N($AA5848)))</f>
        <v>0</v>
      </c>
    </row>
    <row r="5850" spans="1:27" ht="21" customHeight="1" x14ac:dyDescent="0.95">
      <c r="A5850" s="56"/>
      <c r="B5850" s="57"/>
      <c r="C5850" s="57"/>
      <c r="D5850" s="57"/>
      <c r="E5850" s="56"/>
      <c r="F5850" s="57"/>
      <c r="G5850" s="57"/>
      <c r="H5850" s="56"/>
      <c r="I5850" s="56"/>
      <c r="J5850" s="58"/>
      <c r="K5850" s="58"/>
      <c r="L5850" s="13" t="str">
        <f t="shared" si="910"/>
        <v/>
      </c>
      <c r="M5850" s="13" t="str">
        <f t="shared" si="911"/>
        <v/>
      </c>
      <c r="Q5850" t="str">
        <f t="shared" si="912"/>
        <v/>
      </c>
      <c r="R5850" t="str">
        <f t="shared" si="913"/>
        <v/>
      </c>
      <c r="S5850" t="str">
        <f t="shared" si="914"/>
        <v/>
      </c>
      <c r="T5850" t="str">
        <f t="shared" si="915"/>
        <v/>
      </c>
      <c r="U5850" t="str">
        <f t="shared" si="916"/>
        <v/>
      </c>
      <c r="V5850" t="str">
        <f t="shared" si="917"/>
        <v/>
      </c>
      <c r="W5850" t="str">
        <f t="shared" si="918"/>
        <v/>
      </c>
      <c r="X5850">
        <f>IF($T5850="",N($X5849),IF(MATCH($T5850,$T$6:$T$10005,0)=ROW()-5,N($X5849)+1,N($X5849)))</f>
        <v>0</v>
      </c>
      <c r="Z5850" t="str">
        <f t="shared" si="919"/>
        <v/>
      </c>
      <c r="AA5850">
        <f>IF($V5850="",N($AA5849),IF(MATCH($V5850,$V$6:$V$10005,0)=ROW()-5,N($AA5849)+1,N($AA5849)))</f>
        <v>0</v>
      </c>
    </row>
    <row r="5851" spans="1:27" ht="21" customHeight="1" x14ac:dyDescent="0.95">
      <c r="A5851" s="56"/>
      <c r="B5851" s="57"/>
      <c r="C5851" s="57"/>
      <c r="D5851" s="57"/>
      <c r="E5851" s="56"/>
      <c r="F5851" s="57"/>
      <c r="G5851" s="57"/>
      <c r="H5851" s="56"/>
      <c r="I5851" s="56"/>
      <c r="J5851" s="58"/>
      <c r="K5851" s="58"/>
      <c r="L5851" s="13" t="str">
        <f t="shared" si="910"/>
        <v/>
      </c>
      <c r="M5851" s="13" t="str">
        <f t="shared" si="911"/>
        <v/>
      </c>
      <c r="Q5851" t="str">
        <f t="shared" si="912"/>
        <v/>
      </c>
      <c r="R5851" t="str">
        <f t="shared" si="913"/>
        <v/>
      </c>
      <c r="S5851" t="str">
        <f t="shared" si="914"/>
        <v/>
      </c>
      <c r="T5851" t="str">
        <f t="shared" si="915"/>
        <v/>
      </c>
      <c r="U5851" t="str">
        <f t="shared" si="916"/>
        <v/>
      </c>
      <c r="V5851" t="str">
        <f t="shared" si="917"/>
        <v/>
      </c>
      <c r="W5851" t="str">
        <f t="shared" si="918"/>
        <v/>
      </c>
      <c r="X5851">
        <f>IF($T5851="",N($X5850),IF(MATCH($T5851,$T$6:$T$10005,0)=ROW()-5,N($X5850)+1,N($X5850)))</f>
        <v>0</v>
      </c>
      <c r="Z5851" t="str">
        <f t="shared" si="919"/>
        <v/>
      </c>
      <c r="AA5851">
        <f>IF($V5851="",N($AA5850),IF(MATCH($V5851,$V$6:$V$10005,0)=ROW()-5,N($AA5850)+1,N($AA5850)))</f>
        <v>0</v>
      </c>
    </row>
    <row r="5852" spans="1:27" ht="21" customHeight="1" x14ac:dyDescent="0.95">
      <c r="A5852" s="56"/>
      <c r="B5852" s="57"/>
      <c r="C5852" s="57"/>
      <c r="D5852" s="57"/>
      <c r="E5852" s="56"/>
      <c r="F5852" s="57"/>
      <c r="G5852" s="57"/>
      <c r="H5852" s="56"/>
      <c r="I5852" s="56"/>
      <c r="J5852" s="58"/>
      <c r="K5852" s="58"/>
      <c r="L5852" s="13" t="str">
        <f t="shared" si="910"/>
        <v/>
      </c>
      <c r="M5852" s="13" t="str">
        <f t="shared" si="911"/>
        <v/>
      </c>
      <c r="Q5852" t="str">
        <f t="shared" si="912"/>
        <v/>
      </c>
      <c r="R5852" t="str">
        <f t="shared" si="913"/>
        <v/>
      </c>
      <c r="S5852" t="str">
        <f t="shared" si="914"/>
        <v/>
      </c>
      <c r="T5852" t="str">
        <f t="shared" si="915"/>
        <v/>
      </c>
      <c r="U5852" t="str">
        <f t="shared" si="916"/>
        <v/>
      </c>
      <c r="V5852" t="str">
        <f t="shared" si="917"/>
        <v/>
      </c>
      <c r="W5852" t="str">
        <f t="shared" si="918"/>
        <v/>
      </c>
      <c r="X5852">
        <f>IF($T5852="",N($X5851),IF(MATCH($T5852,$T$6:$T$10005,0)=ROW()-5,N($X5851)+1,N($X5851)))</f>
        <v>0</v>
      </c>
      <c r="Z5852" t="str">
        <f t="shared" si="919"/>
        <v/>
      </c>
      <c r="AA5852">
        <f>IF($V5852="",N($AA5851),IF(MATCH($V5852,$V$6:$V$10005,0)=ROW()-5,N($AA5851)+1,N($AA5851)))</f>
        <v>0</v>
      </c>
    </row>
    <row r="5853" spans="1:27" ht="21" customHeight="1" x14ac:dyDescent="0.95">
      <c r="A5853" s="56"/>
      <c r="B5853" s="57"/>
      <c r="C5853" s="57"/>
      <c r="D5853" s="57"/>
      <c r="E5853" s="56"/>
      <c r="F5853" s="57"/>
      <c r="G5853" s="57"/>
      <c r="H5853" s="56"/>
      <c r="I5853" s="56"/>
      <c r="J5853" s="58"/>
      <c r="K5853" s="58"/>
      <c r="L5853" s="13" t="str">
        <f t="shared" si="910"/>
        <v/>
      </c>
      <c r="M5853" s="13" t="str">
        <f t="shared" si="911"/>
        <v/>
      </c>
      <c r="Q5853" t="str">
        <f t="shared" si="912"/>
        <v/>
      </c>
      <c r="R5853" t="str">
        <f t="shared" si="913"/>
        <v/>
      </c>
      <c r="S5853" t="str">
        <f t="shared" si="914"/>
        <v/>
      </c>
      <c r="T5853" t="str">
        <f t="shared" si="915"/>
        <v/>
      </c>
      <c r="U5853" t="str">
        <f t="shared" si="916"/>
        <v/>
      </c>
      <c r="V5853" t="str">
        <f t="shared" si="917"/>
        <v/>
      </c>
      <c r="W5853" t="str">
        <f t="shared" si="918"/>
        <v/>
      </c>
      <c r="X5853">
        <f>IF($T5853="",N($X5852),IF(MATCH($T5853,$T$6:$T$10005,0)=ROW()-5,N($X5852)+1,N($X5852)))</f>
        <v>0</v>
      </c>
      <c r="Z5853" t="str">
        <f t="shared" si="919"/>
        <v/>
      </c>
      <c r="AA5853">
        <f>IF($V5853="",N($AA5852),IF(MATCH($V5853,$V$6:$V$10005,0)=ROW()-5,N($AA5852)+1,N($AA5852)))</f>
        <v>0</v>
      </c>
    </row>
    <row r="5854" spans="1:27" ht="21" customHeight="1" x14ac:dyDescent="0.95">
      <c r="A5854" s="56"/>
      <c r="B5854" s="57"/>
      <c r="C5854" s="57"/>
      <c r="D5854" s="57"/>
      <c r="E5854" s="56"/>
      <c r="F5854" s="57"/>
      <c r="G5854" s="57"/>
      <c r="H5854" s="56"/>
      <c r="I5854" s="56"/>
      <c r="J5854" s="58"/>
      <c r="K5854" s="58"/>
      <c r="L5854" s="13" t="str">
        <f t="shared" si="910"/>
        <v/>
      </c>
      <c r="M5854" s="13" t="str">
        <f t="shared" si="911"/>
        <v/>
      </c>
      <c r="Q5854" t="str">
        <f t="shared" si="912"/>
        <v/>
      </c>
      <c r="R5854" t="str">
        <f t="shared" si="913"/>
        <v/>
      </c>
      <c r="S5854" t="str">
        <f t="shared" si="914"/>
        <v/>
      </c>
      <c r="T5854" t="str">
        <f t="shared" si="915"/>
        <v/>
      </c>
      <c r="U5854" t="str">
        <f t="shared" si="916"/>
        <v/>
      </c>
      <c r="V5854" t="str">
        <f t="shared" si="917"/>
        <v/>
      </c>
      <c r="W5854" t="str">
        <f t="shared" si="918"/>
        <v/>
      </c>
      <c r="X5854">
        <f>IF($T5854="",N($X5853),IF(MATCH($T5854,$T$6:$T$10005,0)=ROW()-5,N($X5853)+1,N($X5853)))</f>
        <v>0</v>
      </c>
      <c r="Z5854" t="str">
        <f t="shared" si="919"/>
        <v/>
      </c>
      <c r="AA5854">
        <f>IF($V5854="",N($AA5853),IF(MATCH($V5854,$V$6:$V$10005,0)=ROW()-5,N($AA5853)+1,N($AA5853)))</f>
        <v>0</v>
      </c>
    </row>
    <row r="5855" spans="1:27" ht="21" customHeight="1" x14ac:dyDescent="0.95">
      <c r="A5855" s="56"/>
      <c r="B5855" s="57"/>
      <c r="C5855" s="57"/>
      <c r="D5855" s="57"/>
      <c r="E5855" s="56"/>
      <c r="F5855" s="57"/>
      <c r="G5855" s="57"/>
      <c r="H5855" s="56"/>
      <c r="I5855" s="56"/>
      <c r="J5855" s="58"/>
      <c r="K5855" s="58"/>
      <c r="L5855" s="13" t="str">
        <f t="shared" si="910"/>
        <v/>
      </c>
      <c r="M5855" s="13" t="str">
        <f t="shared" si="911"/>
        <v/>
      </c>
      <c r="Q5855" t="str">
        <f t="shared" si="912"/>
        <v/>
      </c>
      <c r="R5855" t="str">
        <f t="shared" si="913"/>
        <v/>
      </c>
      <c r="S5855" t="str">
        <f t="shared" si="914"/>
        <v/>
      </c>
      <c r="T5855" t="str">
        <f t="shared" si="915"/>
        <v/>
      </c>
      <c r="U5855" t="str">
        <f t="shared" si="916"/>
        <v/>
      </c>
      <c r="V5855" t="str">
        <f t="shared" si="917"/>
        <v/>
      </c>
      <c r="W5855" t="str">
        <f t="shared" si="918"/>
        <v/>
      </c>
      <c r="X5855">
        <f>IF($T5855="",N($X5854),IF(MATCH($T5855,$T$6:$T$10005,0)=ROW()-5,N($X5854)+1,N($X5854)))</f>
        <v>0</v>
      </c>
      <c r="Z5855" t="str">
        <f t="shared" si="919"/>
        <v/>
      </c>
      <c r="AA5855">
        <f>IF($V5855="",N($AA5854),IF(MATCH($V5855,$V$6:$V$10005,0)=ROW()-5,N($AA5854)+1,N($AA5854)))</f>
        <v>0</v>
      </c>
    </row>
    <row r="5856" spans="1:27" ht="21" customHeight="1" x14ac:dyDescent="0.95">
      <c r="A5856" s="56"/>
      <c r="B5856" s="57"/>
      <c r="C5856" s="57"/>
      <c r="D5856" s="57"/>
      <c r="E5856" s="56"/>
      <c r="F5856" s="57"/>
      <c r="G5856" s="57"/>
      <c r="H5856" s="56"/>
      <c r="I5856" s="56"/>
      <c r="J5856" s="58"/>
      <c r="K5856" s="58"/>
      <c r="L5856" s="13" t="str">
        <f t="shared" si="910"/>
        <v/>
      </c>
      <c r="M5856" s="13" t="str">
        <f t="shared" si="911"/>
        <v/>
      </c>
      <c r="Q5856" t="str">
        <f t="shared" si="912"/>
        <v/>
      </c>
      <c r="R5856" t="str">
        <f t="shared" si="913"/>
        <v/>
      </c>
      <c r="S5856" t="str">
        <f t="shared" si="914"/>
        <v/>
      </c>
      <c r="T5856" t="str">
        <f t="shared" si="915"/>
        <v/>
      </c>
      <c r="U5856" t="str">
        <f t="shared" si="916"/>
        <v/>
      </c>
      <c r="V5856" t="str">
        <f t="shared" si="917"/>
        <v/>
      </c>
      <c r="W5856" t="str">
        <f t="shared" si="918"/>
        <v/>
      </c>
      <c r="X5856">
        <f>IF($T5856="",N($X5855),IF(MATCH($T5856,$T$6:$T$10005,0)=ROW()-5,N($X5855)+1,N($X5855)))</f>
        <v>0</v>
      </c>
      <c r="Z5856" t="str">
        <f t="shared" si="919"/>
        <v/>
      </c>
      <c r="AA5856">
        <f>IF($V5856="",N($AA5855),IF(MATCH($V5856,$V$6:$V$10005,0)=ROW()-5,N($AA5855)+1,N($AA5855)))</f>
        <v>0</v>
      </c>
    </row>
    <row r="5857" spans="1:27" ht="21" customHeight="1" x14ac:dyDescent="0.95">
      <c r="A5857" s="56"/>
      <c r="B5857" s="57"/>
      <c r="C5857" s="57"/>
      <c r="D5857" s="57"/>
      <c r="E5857" s="56"/>
      <c r="F5857" s="57"/>
      <c r="G5857" s="57"/>
      <c r="H5857" s="56"/>
      <c r="I5857" s="56"/>
      <c r="J5857" s="58"/>
      <c r="K5857" s="58"/>
      <c r="L5857" s="13" t="str">
        <f t="shared" si="910"/>
        <v/>
      </c>
      <c r="M5857" s="13" t="str">
        <f t="shared" si="911"/>
        <v/>
      </c>
      <c r="Q5857" t="str">
        <f t="shared" si="912"/>
        <v/>
      </c>
      <c r="R5857" t="str">
        <f t="shared" si="913"/>
        <v/>
      </c>
      <c r="S5857" t="str">
        <f t="shared" si="914"/>
        <v/>
      </c>
      <c r="T5857" t="str">
        <f t="shared" si="915"/>
        <v/>
      </c>
      <c r="U5857" t="str">
        <f t="shared" si="916"/>
        <v/>
      </c>
      <c r="V5857" t="str">
        <f t="shared" si="917"/>
        <v/>
      </c>
      <c r="W5857" t="str">
        <f t="shared" si="918"/>
        <v/>
      </c>
      <c r="X5857">
        <f>IF($T5857="",N($X5856),IF(MATCH($T5857,$T$6:$T$10005,0)=ROW()-5,N($X5856)+1,N($X5856)))</f>
        <v>0</v>
      </c>
      <c r="Z5857" t="str">
        <f t="shared" si="919"/>
        <v/>
      </c>
      <c r="AA5857">
        <f>IF($V5857="",N($AA5856),IF(MATCH($V5857,$V$6:$V$10005,0)=ROW()-5,N($AA5856)+1,N($AA5856)))</f>
        <v>0</v>
      </c>
    </row>
    <row r="5858" spans="1:27" ht="21" customHeight="1" x14ac:dyDescent="0.95">
      <c r="A5858" s="56"/>
      <c r="B5858" s="57"/>
      <c r="C5858" s="57"/>
      <c r="D5858" s="57"/>
      <c r="E5858" s="56"/>
      <c r="F5858" s="57"/>
      <c r="G5858" s="57"/>
      <c r="H5858" s="56"/>
      <c r="I5858" s="56"/>
      <c r="J5858" s="58"/>
      <c r="K5858" s="58"/>
      <c r="L5858" s="13" t="str">
        <f t="shared" si="910"/>
        <v/>
      </c>
      <c r="M5858" s="13" t="str">
        <f t="shared" si="911"/>
        <v/>
      </c>
      <c r="Q5858" t="str">
        <f t="shared" si="912"/>
        <v/>
      </c>
      <c r="R5858" t="str">
        <f t="shared" si="913"/>
        <v/>
      </c>
      <c r="S5858" t="str">
        <f t="shared" si="914"/>
        <v/>
      </c>
      <c r="T5858" t="str">
        <f t="shared" si="915"/>
        <v/>
      </c>
      <c r="U5858" t="str">
        <f t="shared" si="916"/>
        <v/>
      </c>
      <c r="V5858" t="str">
        <f t="shared" si="917"/>
        <v/>
      </c>
      <c r="W5858" t="str">
        <f t="shared" si="918"/>
        <v/>
      </c>
      <c r="X5858">
        <f>IF($T5858="",N($X5857),IF(MATCH($T5858,$T$6:$T$10005,0)=ROW()-5,N($X5857)+1,N($X5857)))</f>
        <v>0</v>
      </c>
      <c r="Z5858" t="str">
        <f t="shared" si="919"/>
        <v/>
      </c>
      <c r="AA5858">
        <f>IF($V5858="",N($AA5857),IF(MATCH($V5858,$V$6:$V$10005,0)=ROW()-5,N($AA5857)+1,N($AA5857)))</f>
        <v>0</v>
      </c>
    </row>
    <row r="5859" spans="1:27" ht="21" customHeight="1" x14ac:dyDescent="0.95">
      <c r="A5859" s="56"/>
      <c r="B5859" s="57"/>
      <c r="C5859" s="57"/>
      <c r="D5859" s="57"/>
      <c r="E5859" s="56"/>
      <c r="F5859" s="57"/>
      <c r="G5859" s="57"/>
      <c r="H5859" s="56"/>
      <c r="I5859" s="56"/>
      <c r="J5859" s="58"/>
      <c r="K5859" s="58"/>
      <c r="L5859" s="13" t="str">
        <f t="shared" si="910"/>
        <v/>
      </c>
      <c r="M5859" s="13" t="str">
        <f t="shared" si="911"/>
        <v/>
      </c>
      <c r="Q5859" t="str">
        <f t="shared" si="912"/>
        <v/>
      </c>
      <c r="R5859" t="str">
        <f t="shared" si="913"/>
        <v/>
      </c>
      <c r="S5859" t="str">
        <f t="shared" si="914"/>
        <v/>
      </c>
      <c r="T5859" t="str">
        <f t="shared" si="915"/>
        <v/>
      </c>
      <c r="U5859" t="str">
        <f t="shared" si="916"/>
        <v/>
      </c>
      <c r="V5859" t="str">
        <f t="shared" si="917"/>
        <v/>
      </c>
      <c r="W5859" t="str">
        <f t="shared" si="918"/>
        <v/>
      </c>
      <c r="X5859">
        <f>IF($T5859="",N($X5858),IF(MATCH($T5859,$T$6:$T$10005,0)=ROW()-5,N($X5858)+1,N($X5858)))</f>
        <v>0</v>
      </c>
      <c r="Z5859" t="str">
        <f t="shared" si="919"/>
        <v/>
      </c>
      <c r="AA5859">
        <f>IF($V5859="",N($AA5858),IF(MATCH($V5859,$V$6:$V$10005,0)=ROW()-5,N($AA5858)+1,N($AA5858)))</f>
        <v>0</v>
      </c>
    </row>
    <row r="5860" spans="1:27" ht="21" customHeight="1" x14ac:dyDescent="0.95">
      <c r="A5860" s="56"/>
      <c r="B5860" s="57"/>
      <c r="C5860" s="57"/>
      <c r="D5860" s="57"/>
      <c r="E5860" s="56"/>
      <c r="F5860" s="57"/>
      <c r="G5860" s="57"/>
      <c r="H5860" s="56"/>
      <c r="I5860" s="56"/>
      <c r="J5860" s="58"/>
      <c r="K5860" s="58"/>
      <c r="L5860" s="13" t="str">
        <f t="shared" si="910"/>
        <v/>
      </c>
      <c r="M5860" s="13" t="str">
        <f t="shared" si="911"/>
        <v/>
      </c>
      <c r="Q5860" t="str">
        <f t="shared" si="912"/>
        <v/>
      </c>
      <c r="R5860" t="str">
        <f t="shared" si="913"/>
        <v/>
      </c>
      <c r="S5860" t="str">
        <f t="shared" si="914"/>
        <v/>
      </c>
      <c r="T5860" t="str">
        <f t="shared" si="915"/>
        <v/>
      </c>
      <c r="U5860" t="str">
        <f t="shared" si="916"/>
        <v/>
      </c>
      <c r="V5860" t="str">
        <f t="shared" si="917"/>
        <v/>
      </c>
      <c r="W5860" t="str">
        <f t="shared" si="918"/>
        <v/>
      </c>
      <c r="X5860">
        <f>IF($T5860="",N($X5859),IF(MATCH($T5860,$T$6:$T$10005,0)=ROW()-5,N($X5859)+1,N($X5859)))</f>
        <v>0</v>
      </c>
      <c r="Z5860" t="str">
        <f t="shared" si="919"/>
        <v/>
      </c>
      <c r="AA5860">
        <f>IF($V5860="",N($AA5859),IF(MATCH($V5860,$V$6:$V$10005,0)=ROW()-5,N($AA5859)+1,N($AA5859)))</f>
        <v>0</v>
      </c>
    </row>
    <row r="5861" spans="1:27" ht="21" customHeight="1" x14ac:dyDescent="0.95">
      <c r="A5861" s="56"/>
      <c r="B5861" s="57"/>
      <c r="C5861" s="57"/>
      <c r="D5861" s="57"/>
      <c r="E5861" s="56"/>
      <c r="F5861" s="57"/>
      <c r="G5861" s="57"/>
      <c r="H5861" s="56"/>
      <c r="I5861" s="56"/>
      <c r="J5861" s="58"/>
      <c r="K5861" s="58"/>
      <c r="L5861" s="13" t="str">
        <f t="shared" si="910"/>
        <v/>
      </c>
      <c r="M5861" s="13" t="str">
        <f t="shared" si="911"/>
        <v/>
      </c>
      <c r="Q5861" t="str">
        <f t="shared" si="912"/>
        <v/>
      </c>
      <c r="R5861" t="str">
        <f t="shared" si="913"/>
        <v/>
      </c>
      <c r="S5861" t="str">
        <f t="shared" si="914"/>
        <v/>
      </c>
      <c r="T5861" t="str">
        <f t="shared" si="915"/>
        <v/>
      </c>
      <c r="U5861" t="str">
        <f t="shared" si="916"/>
        <v/>
      </c>
      <c r="V5861" t="str">
        <f t="shared" si="917"/>
        <v/>
      </c>
      <c r="W5861" t="str">
        <f t="shared" si="918"/>
        <v/>
      </c>
      <c r="X5861">
        <f>IF($T5861="",N($X5860),IF(MATCH($T5861,$T$6:$T$10005,0)=ROW()-5,N($X5860)+1,N($X5860)))</f>
        <v>0</v>
      </c>
      <c r="Z5861" t="str">
        <f t="shared" si="919"/>
        <v/>
      </c>
      <c r="AA5861">
        <f>IF($V5861="",N($AA5860),IF(MATCH($V5861,$V$6:$V$10005,0)=ROW()-5,N($AA5860)+1,N($AA5860)))</f>
        <v>0</v>
      </c>
    </row>
    <row r="5862" spans="1:27" ht="21" customHeight="1" x14ac:dyDescent="0.95">
      <c r="A5862" s="56"/>
      <c r="B5862" s="57"/>
      <c r="C5862" s="57"/>
      <c r="D5862" s="57"/>
      <c r="E5862" s="56"/>
      <c r="F5862" s="57"/>
      <c r="G5862" s="57"/>
      <c r="H5862" s="56"/>
      <c r="I5862" s="56"/>
      <c r="J5862" s="58"/>
      <c r="K5862" s="58"/>
      <c r="L5862" s="13" t="str">
        <f t="shared" si="910"/>
        <v/>
      </c>
      <c r="M5862" s="13" t="str">
        <f t="shared" si="911"/>
        <v/>
      </c>
      <c r="Q5862" t="str">
        <f t="shared" si="912"/>
        <v/>
      </c>
      <c r="R5862" t="str">
        <f t="shared" si="913"/>
        <v/>
      </c>
      <c r="S5862" t="str">
        <f t="shared" si="914"/>
        <v/>
      </c>
      <c r="T5862" t="str">
        <f t="shared" si="915"/>
        <v/>
      </c>
      <c r="U5862" t="str">
        <f t="shared" si="916"/>
        <v/>
      </c>
      <c r="V5862" t="str">
        <f t="shared" si="917"/>
        <v/>
      </c>
      <c r="W5862" t="str">
        <f t="shared" si="918"/>
        <v/>
      </c>
      <c r="X5862">
        <f>IF($T5862="",N($X5861),IF(MATCH($T5862,$T$6:$T$10005,0)=ROW()-5,N($X5861)+1,N($X5861)))</f>
        <v>0</v>
      </c>
      <c r="Z5862" t="str">
        <f t="shared" si="919"/>
        <v/>
      </c>
      <c r="AA5862">
        <f>IF($V5862="",N($AA5861),IF(MATCH($V5862,$V$6:$V$10005,0)=ROW()-5,N($AA5861)+1,N($AA5861)))</f>
        <v>0</v>
      </c>
    </row>
    <row r="5863" spans="1:27" ht="21" customHeight="1" x14ac:dyDescent="0.95">
      <c r="A5863" s="56"/>
      <c r="B5863" s="57"/>
      <c r="C5863" s="57"/>
      <c r="D5863" s="57"/>
      <c r="E5863" s="56"/>
      <c r="F5863" s="57"/>
      <c r="G5863" s="57"/>
      <c r="H5863" s="56"/>
      <c r="I5863" s="56"/>
      <c r="J5863" s="58"/>
      <c r="K5863" s="58"/>
      <c r="L5863" s="13" t="str">
        <f t="shared" si="910"/>
        <v/>
      </c>
      <c r="M5863" s="13" t="str">
        <f t="shared" si="911"/>
        <v/>
      </c>
      <c r="Q5863" t="str">
        <f t="shared" si="912"/>
        <v/>
      </c>
      <c r="R5863" t="str">
        <f t="shared" si="913"/>
        <v/>
      </c>
      <c r="S5863" t="str">
        <f t="shared" si="914"/>
        <v/>
      </c>
      <c r="T5863" t="str">
        <f t="shared" si="915"/>
        <v/>
      </c>
      <c r="U5863" t="str">
        <f t="shared" si="916"/>
        <v/>
      </c>
      <c r="V5863" t="str">
        <f t="shared" si="917"/>
        <v/>
      </c>
      <c r="W5863" t="str">
        <f t="shared" si="918"/>
        <v/>
      </c>
      <c r="X5863">
        <f>IF($T5863="",N($X5862),IF(MATCH($T5863,$T$6:$T$10005,0)=ROW()-5,N($X5862)+1,N($X5862)))</f>
        <v>0</v>
      </c>
      <c r="Z5863" t="str">
        <f t="shared" si="919"/>
        <v/>
      </c>
      <c r="AA5863">
        <f>IF($V5863="",N($AA5862),IF(MATCH($V5863,$V$6:$V$10005,0)=ROW()-5,N($AA5862)+1,N($AA5862)))</f>
        <v>0</v>
      </c>
    </row>
    <row r="5864" spans="1:27" ht="21" customHeight="1" x14ac:dyDescent="0.95">
      <c r="A5864" s="56"/>
      <c r="B5864" s="57"/>
      <c r="C5864" s="57"/>
      <c r="D5864" s="57"/>
      <c r="E5864" s="56"/>
      <c r="F5864" s="57"/>
      <c r="G5864" s="57"/>
      <c r="H5864" s="56"/>
      <c r="I5864" s="56"/>
      <c r="J5864" s="58"/>
      <c r="K5864" s="58"/>
      <c r="L5864" s="13" t="str">
        <f t="shared" si="910"/>
        <v/>
      </c>
      <c r="M5864" s="13" t="str">
        <f t="shared" si="911"/>
        <v/>
      </c>
      <c r="Q5864" t="str">
        <f t="shared" si="912"/>
        <v/>
      </c>
      <c r="R5864" t="str">
        <f t="shared" si="913"/>
        <v/>
      </c>
      <c r="S5864" t="str">
        <f t="shared" si="914"/>
        <v/>
      </c>
      <c r="T5864" t="str">
        <f t="shared" si="915"/>
        <v/>
      </c>
      <c r="U5864" t="str">
        <f t="shared" si="916"/>
        <v/>
      </c>
      <c r="V5864" t="str">
        <f t="shared" si="917"/>
        <v/>
      </c>
      <c r="W5864" t="str">
        <f t="shared" si="918"/>
        <v/>
      </c>
      <c r="X5864">
        <f>IF($T5864="",N($X5863),IF(MATCH($T5864,$T$6:$T$10005,0)=ROW()-5,N($X5863)+1,N($X5863)))</f>
        <v>0</v>
      </c>
      <c r="Z5864" t="str">
        <f t="shared" si="919"/>
        <v/>
      </c>
      <c r="AA5864">
        <f>IF($V5864="",N($AA5863),IF(MATCH($V5864,$V$6:$V$10005,0)=ROW()-5,N($AA5863)+1,N($AA5863)))</f>
        <v>0</v>
      </c>
    </row>
    <row r="5865" spans="1:27" ht="21" customHeight="1" x14ac:dyDescent="0.95">
      <c r="A5865" s="56"/>
      <c r="B5865" s="57"/>
      <c r="C5865" s="57"/>
      <c r="D5865" s="57"/>
      <c r="E5865" s="56"/>
      <c r="F5865" s="57"/>
      <c r="G5865" s="57"/>
      <c r="H5865" s="56"/>
      <c r="I5865" s="56"/>
      <c r="J5865" s="58"/>
      <c r="K5865" s="58"/>
      <c r="L5865" s="13" t="str">
        <f t="shared" si="910"/>
        <v/>
      </c>
      <c r="M5865" s="13" t="str">
        <f t="shared" si="911"/>
        <v/>
      </c>
      <c r="Q5865" t="str">
        <f t="shared" si="912"/>
        <v/>
      </c>
      <c r="R5865" t="str">
        <f t="shared" si="913"/>
        <v/>
      </c>
      <c r="S5865" t="str">
        <f t="shared" si="914"/>
        <v/>
      </c>
      <c r="T5865" t="str">
        <f t="shared" si="915"/>
        <v/>
      </c>
      <c r="U5865" t="str">
        <f t="shared" si="916"/>
        <v/>
      </c>
      <c r="V5865" t="str">
        <f t="shared" si="917"/>
        <v/>
      </c>
      <c r="W5865" t="str">
        <f t="shared" si="918"/>
        <v/>
      </c>
      <c r="X5865">
        <f>IF($T5865="",N($X5864),IF(MATCH($T5865,$T$6:$T$10005,0)=ROW()-5,N($X5864)+1,N($X5864)))</f>
        <v>0</v>
      </c>
      <c r="Z5865" t="str">
        <f t="shared" si="919"/>
        <v/>
      </c>
      <c r="AA5865">
        <f>IF($V5865="",N($AA5864),IF(MATCH($V5865,$V$6:$V$10005,0)=ROW()-5,N($AA5864)+1,N($AA5864)))</f>
        <v>0</v>
      </c>
    </row>
    <row r="5866" spans="1:27" ht="21" customHeight="1" x14ac:dyDescent="0.95">
      <c r="A5866" s="56"/>
      <c r="B5866" s="57"/>
      <c r="C5866" s="57"/>
      <c r="D5866" s="57"/>
      <c r="E5866" s="56"/>
      <c r="F5866" s="57"/>
      <c r="G5866" s="57"/>
      <c r="H5866" s="56"/>
      <c r="I5866" s="56"/>
      <c r="J5866" s="58"/>
      <c r="K5866" s="58"/>
      <c r="L5866" s="13" t="str">
        <f t="shared" si="910"/>
        <v/>
      </c>
      <c r="M5866" s="13" t="str">
        <f t="shared" si="911"/>
        <v/>
      </c>
      <c r="Q5866" t="str">
        <f t="shared" si="912"/>
        <v/>
      </c>
      <c r="R5866" t="str">
        <f t="shared" si="913"/>
        <v/>
      </c>
      <c r="S5866" t="str">
        <f t="shared" si="914"/>
        <v/>
      </c>
      <c r="T5866" t="str">
        <f t="shared" si="915"/>
        <v/>
      </c>
      <c r="U5866" t="str">
        <f t="shared" si="916"/>
        <v/>
      </c>
      <c r="V5866" t="str">
        <f t="shared" si="917"/>
        <v/>
      </c>
      <c r="W5866" t="str">
        <f t="shared" si="918"/>
        <v/>
      </c>
      <c r="X5866">
        <f>IF($T5866="",N($X5865),IF(MATCH($T5866,$T$6:$T$10005,0)=ROW()-5,N($X5865)+1,N($X5865)))</f>
        <v>0</v>
      </c>
      <c r="Z5866" t="str">
        <f t="shared" si="919"/>
        <v/>
      </c>
      <c r="AA5866">
        <f>IF($V5866="",N($AA5865),IF(MATCH($V5866,$V$6:$V$10005,0)=ROW()-5,N($AA5865)+1,N($AA5865)))</f>
        <v>0</v>
      </c>
    </row>
    <row r="5867" spans="1:27" ht="21" customHeight="1" x14ac:dyDescent="0.95">
      <c r="A5867" s="56"/>
      <c r="B5867" s="57"/>
      <c r="C5867" s="57"/>
      <c r="D5867" s="57"/>
      <c r="E5867" s="56"/>
      <c r="F5867" s="57"/>
      <c r="G5867" s="57"/>
      <c r="H5867" s="56"/>
      <c r="I5867" s="56"/>
      <c r="J5867" s="58"/>
      <c r="K5867" s="58"/>
      <c r="L5867" s="13" t="str">
        <f t="shared" si="910"/>
        <v/>
      </c>
      <c r="M5867" s="13" t="str">
        <f t="shared" si="911"/>
        <v/>
      </c>
      <c r="Q5867" t="str">
        <f t="shared" si="912"/>
        <v/>
      </c>
      <c r="R5867" t="str">
        <f t="shared" si="913"/>
        <v/>
      </c>
      <c r="S5867" t="str">
        <f t="shared" si="914"/>
        <v/>
      </c>
      <c r="T5867" t="str">
        <f t="shared" si="915"/>
        <v/>
      </c>
      <c r="U5867" t="str">
        <f t="shared" si="916"/>
        <v/>
      </c>
      <c r="V5867" t="str">
        <f t="shared" si="917"/>
        <v/>
      </c>
      <c r="W5867" t="str">
        <f t="shared" si="918"/>
        <v/>
      </c>
      <c r="X5867">
        <f>IF($T5867="",N($X5866),IF(MATCH($T5867,$T$6:$T$10005,0)=ROW()-5,N($X5866)+1,N($X5866)))</f>
        <v>0</v>
      </c>
      <c r="Z5867" t="str">
        <f t="shared" si="919"/>
        <v/>
      </c>
      <c r="AA5867">
        <f>IF($V5867="",N($AA5866),IF(MATCH($V5867,$V$6:$V$10005,0)=ROW()-5,N($AA5866)+1,N($AA5866)))</f>
        <v>0</v>
      </c>
    </row>
    <row r="5868" spans="1:27" ht="21" customHeight="1" x14ac:dyDescent="0.95">
      <c r="A5868" s="56"/>
      <c r="B5868" s="57"/>
      <c r="C5868" s="57"/>
      <c r="D5868" s="57"/>
      <c r="E5868" s="56"/>
      <c r="F5868" s="57"/>
      <c r="G5868" s="57"/>
      <c r="H5868" s="56"/>
      <c r="I5868" s="56"/>
      <c r="J5868" s="58"/>
      <c r="K5868" s="58"/>
      <c r="L5868" s="13" t="str">
        <f t="shared" si="910"/>
        <v/>
      </c>
      <c r="M5868" s="13" t="str">
        <f t="shared" si="911"/>
        <v/>
      </c>
      <c r="Q5868" t="str">
        <f t="shared" si="912"/>
        <v/>
      </c>
      <c r="R5868" t="str">
        <f t="shared" si="913"/>
        <v/>
      </c>
      <c r="S5868" t="str">
        <f t="shared" si="914"/>
        <v/>
      </c>
      <c r="T5868" t="str">
        <f t="shared" si="915"/>
        <v/>
      </c>
      <c r="U5868" t="str">
        <f t="shared" si="916"/>
        <v/>
      </c>
      <c r="V5868" t="str">
        <f t="shared" si="917"/>
        <v/>
      </c>
      <c r="W5868" t="str">
        <f t="shared" si="918"/>
        <v/>
      </c>
      <c r="X5868">
        <f>IF($T5868="",N($X5867),IF(MATCH($T5868,$T$6:$T$10005,0)=ROW()-5,N($X5867)+1,N($X5867)))</f>
        <v>0</v>
      </c>
      <c r="Z5868" t="str">
        <f t="shared" si="919"/>
        <v/>
      </c>
      <c r="AA5868">
        <f>IF($V5868="",N($AA5867),IF(MATCH($V5868,$V$6:$V$10005,0)=ROW()-5,N($AA5867)+1,N($AA5867)))</f>
        <v>0</v>
      </c>
    </row>
    <row r="5869" spans="1:27" ht="21" customHeight="1" x14ac:dyDescent="0.95">
      <c r="A5869" s="56"/>
      <c r="B5869" s="57"/>
      <c r="C5869" s="57"/>
      <c r="D5869" s="57"/>
      <c r="E5869" s="56"/>
      <c r="F5869" s="57"/>
      <c r="G5869" s="57"/>
      <c r="H5869" s="56"/>
      <c r="I5869" s="56"/>
      <c r="J5869" s="58"/>
      <c r="K5869" s="58"/>
      <c r="L5869" s="13" t="str">
        <f t="shared" si="910"/>
        <v/>
      </c>
      <c r="M5869" s="13" t="str">
        <f t="shared" si="911"/>
        <v/>
      </c>
      <c r="Q5869" t="str">
        <f t="shared" si="912"/>
        <v/>
      </c>
      <c r="R5869" t="str">
        <f t="shared" si="913"/>
        <v/>
      </c>
      <c r="S5869" t="str">
        <f t="shared" si="914"/>
        <v/>
      </c>
      <c r="T5869" t="str">
        <f t="shared" si="915"/>
        <v/>
      </c>
      <c r="U5869" t="str">
        <f t="shared" si="916"/>
        <v/>
      </c>
      <c r="V5869" t="str">
        <f t="shared" si="917"/>
        <v/>
      </c>
      <c r="W5869" t="str">
        <f t="shared" si="918"/>
        <v/>
      </c>
      <c r="X5869">
        <f>IF($T5869="",N($X5868),IF(MATCH($T5869,$T$6:$T$10005,0)=ROW()-5,N($X5868)+1,N($X5868)))</f>
        <v>0</v>
      </c>
      <c r="Z5869" t="str">
        <f t="shared" si="919"/>
        <v/>
      </c>
      <c r="AA5869">
        <f>IF($V5869="",N($AA5868),IF(MATCH($V5869,$V$6:$V$10005,0)=ROW()-5,N($AA5868)+1,N($AA5868)))</f>
        <v>0</v>
      </c>
    </row>
    <row r="5870" spans="1:27" ht="21" customHeight="1" x14ac:dyDescent="0.95">
      <c r="A5870" s="56"/>
      <c r="B5870" s="57"/>
      <c r="C5870" s="57"/>
      <c r="D5870" s="57"/>
      <c r="E5870" s="56"/>
      <c r="F5870" s="57"/>
      <c r="G5870" s="57"/>
      <c r="H5870" s="56"/>
      <c r="I5870" s="56"/>
      <c r="J5870" s="58"/>
      <c r="K5870" s="58"/>
      <c r="L5870" s="13" t="str">
        <f t="shared" si="910"/>
        <v/>
      </c>
      <c r="M5870" s="13" t="str">
        <f t="shared" si="911"/>
        <v/>
      </c>
      <c r="Q5870" t="str">
        <f t="shared" si="912"/>
        <v/>
      </c>
      <c r="R5870" t="str">
        <f t="shared" si="913"/>
        <v/>
      </c>
      <c r="S5870" t="str">
        <f t="shared" si="914"/>
        <v/>
      </c>
      <c r="T5870" t="str">
        <f t="shared" si="915"/>
        <v/>
      </c>
      <c r="U5870" t="str">
        <f t="shared" si="916"/>
        <v/>
      </c>
      <c r="V5870" t="str">
        <f t="shared" si="917"/>
        <v/>
      </c>
      <c r="W5870" t="str">
        <f t="shared" si="918"/>
        <v/>
      </c>
      <c r="X5870">
        <f>IF($T5870="",N($X5869),IF(MATCH($T5870,$T$6:$T$10005,0)=ROW()-5,N($X5869)+1,N($X5869)))</f>
        <v>0</v>
      </c>
      <c r="Z5870" t="str">
        <f t="shared" si="919"/>
        <v/>
      </c>
      <c r="AA5870">
        <f>IF($V5870="",N($AA5869),IF(MATCH($V5870,$V$6:$V$10005,0)=ROW()-5,N($AA5869)+1,N($AA5869)))</f>
        <v>0</v>
      </c>
    </row>
    <row r="5871" spans="1:27" ht="21" customHeight="1" x14ac:dyDescent="0.95">
      <c r="A5871" s="56"/>
      <c r="B5871" s="57"/>
      <c r="C5871" s="57"/>
      <c r="D5871" s="57"/>
      <c r="E5871" s="56"/>
      <c r="F5871" s="57"/>
      <c r="G5871" s="57"/>
      <c r="H5871" s="56"/>
      <c r="I5871" s="56"/>
      <c r="J5871" s="58"/>
      <c r="K5871" s="58"/>
      <c r="L5871" s="13" t="str">
        <f t="shared" si="910"/>
        <v/>
      </c>
      <c r="M5871" s="13" t="str">
        <f t="shared" si="911"/>
        <v/>
      </c>
      <c r="Q5871" t="str">
        <f t="shared" si="912"/>
        <v/>
      </c>
      <c r="R5871" t="str">
        <f t="shared" si="913"/>
        <v/>
      </c>
      <c r="S5871" t="str">
        <f t="shared" si="914"/>
        <v/>
      </c>
      <c r="T5871" t="str">
        <f t="shared" si="915"/>
        <v/>
      </c>
      <c r="U5871" t="str">
        <f t="shared" si="916"/>
        <v/>
      </c>
      <c r="V5871" t="str">
        <f t="shared" si="917"/>
        <v/>
      </c>
      <c r="W5871" t="str">
        <f t="shared" si="918"/>
        <v/>
      </c>
      <c r="X5871">
        <f>IF($T5871="",N($X5870),IF(MATCH($T5871,$T$6:$T$10005,0)=ROW()-5,N($X5870)+1,N($X5870)))</f>
        <v>0</v>
      </c>
      <c r="Z5871" t="str">
        <f t="shared" si="919"/>
        <v/>
      </c>
      <c r="AA5871">
        <f>IF($V5871="",N($AA5870),IF(MATCH($V5871,$V$6:$V$10005,0)=ROW()-5,N($AA5870)+1,N($AA5870)))</f>
        <v>0</v>
      </c>
    </row>
    <row r="5872" spans="1:27" ht="21" customHeight="1" x14ac:dyDescent="0.95">
      <c r="A5872" s="56"/>
      <c r="B5872" s="57"/>
      <c r="C5872" s="57"/>
      <c r="D5872" s="57"/>
      <c r="E5872" s="56"/>
      <c r="F5872" s="57"/>
      <c r="G5872" s="57"/>
      <c r="H5872" s="56"/>
      <c r="I5872" s="56"/>
      <c r="J5872" s="58"/>
      <c r="K5872" s="58"/>
      <c r="L5872" s="13" t="str">
        <f t="shared" si="910"/>
        <v/>
      </c>
      <c r="M5872" s="13" t="str">
        <f t="shared" si="911"/>
        <v/>
      </c>
      <c r="Q5872" t="str">
        <f t="shared" si="912"/>
        <v/>
      </c>
      <c r="R5872" t="str">
        <f t="shared" si="913"/>
        <v/>
      </c>
      <c r="S5872" t="str">
        <f t="shared" si="914"/>
        <v/>
      </c>
      <c r="T5872" t="str">
        <f t="shared" si="915"/>
        <v/>
      </c>
      <c r="U5872" t="str">
        <f t="shared" si="916"/>
        <v/>
      </c>
      <c r="V5872" t="str">
        <f t="shared" si="917"/>
        <v/>
      </c>
      <c r="W5872" t="str">
        <f t="shared" si="918"/>
        <v/>
      </c>
      <c r="X5872">
        <f>IF($T5872="",N($X5871),IF(MATCH($T5872,$T$6:$T$10005,0)=ROW()-5,N($X5871)+1,N($X5871)))</f>
        <v>0</v>
      </c>
      <c r="Z5872" t="str">
        <f t="shared" si="919"/>
        <v/>
      </c>
      <c r="AA5872">
        <f>IF($V5872="",N($AA5871),IF(MATCH($V5872,$V$6:$V$10005,0)=ROW()-5,N($AA5871)+1,N($AA5871)))</f>
        <v>0</v>
      </c>
    </row>
    <row r="5873" spans="1:27" ht="21" customHeight="1" x14ac:dyDescent="0.95">
      <c r="A5873" s="56"/>
      <c r="B5873" s="57"/>
      <c r="C5873" s="57"/>
      <c r="D5873" s="57"/>
      <c r="E5873" s="56"/>
      <c r="F5873" s="57"/>
      <c r="G5873" s="57"/>
      <c r="H5873" s="56"/>
      <c r="I5873" s="56"/>
      <c r="J5873" s="58"/>
      <c r="K5873" s="58"/>
      <c r="L5873" s="13" t="str">
        <f t="shared" si="910"/>
        <v/>
      </c>
      <c r="M5873" s="13" t="str">
        <f t="shared" si="911"/>
        <v/>
      </c>
      <c r="Q5873" t="str">
        <f t="shared" si="912"/>
        <v/>
      </c>
      <c r="R5873" t="str">
        <f t="shared" si="913"/>
        <v/>
      </c>
      <c r="S5873" t="str">
        <f t="shared" si="914"/>
        <v/>
      </c>
      <c r="T5873" t="str">
        <f t="shared" si="915"/>
        <v/>
      </c>
      <c r="U5873" t="str">
        <f t="shared" si="916"/>
        <v/>
      </c>
      <c r="V5873" t="str">
        <f t="shared" si="917"/>
        <v/>
      </c>
      <c r="W5873" t="str">
        <f t="shared" si="918"/>
        <v/>
      </c>
      <c r="X5873">
        <f>IF($T5873="",N($X5872),IF(MATCH($T5873,$T$6:$T$10005,0)=ROW()-5,N($X5872)+1,N($X5872)))</f>
        <v>0</v>
      </c>
      <c r="Z5873" t="str">
        <f t="shared" si="919"/>
        <v/>
      </c>
      <c r="AA5873">
        <f>IF($V5873="",N($AA5872),IF(MATCH($V5873,$V$6:$V$10005,0)=ROW()-5,N($AA5872)+1,N($AA5872)))</f>
        <v>0</v>
      </c>
    </row>
    <row r="5874" spans="1:27" ht="21" customHeight="1" x14ac:dyDescent="0.95">
      <c r="A5874" s="56"/>
      <c r="B5874" s="57"/>
      <c r="C5874" s="57"/>
      <c r="D5874" s="57"/>
      <c r="E5874" s="56"/>
      <c r="F5874" s="57"/>
      <c r="G5874" s="57"/>
      <c r="H5874" s="56"/>
      <c r="I5874" s="56"/>
      <c r="J5874" s="58"/>
      <c r="K5874" s="58"/>
      <c r="L5874" s="13" t="str">
        <f t="shared" si="910"/>
        <v/>
      </c>
      <c r="M5874" s="13" t="str">
        <f t="shared" si="911"/>
        <v/>
      </c>
      <c r="Q5874" t="str">
        <f t="shared" si="912"/>
        <v/>
      </c>
      <c r="R5874" t="str">
        <f t="shared" si="913"/>
        <v/>
      </c>
      <c r="S5874" t="str">
        <f t="shared" si="914"/>
        <v/>
      </c>
      <c r="T5874" t="str">
        <f t="shared" si="915"/>
        <v/>
      </c>
      <c r="U5874" t="str">
        <f t="shared" si="916"/>
        <v/>
      </c>
      <c r="V5874" t="str">
        <f t="shared" si="917"/>
        <v/>
      </c>
      <c r="W5874" t="str">
        <f t="shared" si="918"/>
        <v/>
      </c>
      <c r="X5874">
        <f>IF($T5874="",N($X5873),IF(MATCH($T5874,$T$6:$T$10005,0)=ROW()-5,N($X5873)+1,N($X5873)))</f>
        <v>0</v>
      </c>
      <c r="Z5874" t="str">
        <f t="shared" si="919"/>
        <v/>
      </c>
      <c r="AA5874">
        <f>IF($V5874="",N($AA5873),IF(MATCH($V5874,$V$6:$V$10005,0)=ROW()-5,N($AA5873)+1,N($AA5873)))</f>
        <v>0</v>
      </c>
    </row>
    <row r="5875" spans="1:27" ht="21" customHeight="1" x14ac:dyDescent="0.95">
      <c r="A5875" s="56"/>
      <c r="B5875" s="57"/>
      <c r="C5875" s="57"/>
      <c r="D5875" s="57"/>
      <c r="E5875" s="56"/>
      <c r="F5875" s="57"/>
      <c r="G5875" s="57"/>
      <c r="H5875" s="56"/>
      <c r="I5875" s="56"/>
      <c r="J5875" s="58"/>
      <c r="K5875" s="58"/>
      <c r="L5875" s="13" t="str">
        <f t="shared" si="910"/>
        <v/>
      </c>
      <c r="M5875" s="13" t="str">
        <f t="shared" si="911"/>
        <v/>
      </c>
      <c r="Q5875" t="str">
        <f t="shared" si="912"/>
        <v/>
      </c>
      <c r="R5875" t="str">
        <f t="shared" si="913"/>
        <v/>
      </c>
      <c r="S5875" t="str">
        <f t="shared" si="914"/>
        <v/>
      </c>
      <c r="T5875" t="str">
        <f t="shared" si="915"/>
        <v/>
      </c>
      <c r="U5875" t="str">
        <f t="shared" si="916"/>
        <v/>
      </c>
      <c r="V5875" t="str">
        <f t="shared" si="917"/>
        <v/>
      </c>
      <c r="W5875" t="str">
        <f t="shared" si="918"/>
        <v/>
      </c>
      <c r="X5875">
        <f>IF($T5875="",N($X5874),IF(MATCH($T5875,$T$6:$T$10005,0)=ROW()-5,N($X5874)+1,N($X5874)))</f>
        <v>0</v>
      </c>
      <c r="Z5875" t="str">
        <f t="shared" si="919"/>
        <v/>
      </c>
      <c r="AA5875">
        <f>IF($V5875="",N($AA5874),IF(MATCH($V5875,$V$6:$V$10005,0)=ROW()-5,N($AA5874)+1,N($AA5874)))</f>
        <v>0</v>
      </c>
    </row>
    <row r="5876" spans="1:27" ht="21" customHeight="1" x14ac:dyDescent="0.95">
      <c r="A5876" s="56"/>
      <c r="B5876" s="57"/>
      <c r="C5876" s="57"/>
      <c r="D5876" s="57"/>
      <c r="E5876" s="56"/>
      <c r="F5876" s="57"/>
      <c r="G5876" s="57"/>
      <c r="H5876" s="56"/>
      <c r="I5876" s="56"/>
      <c r="J5876" s="58"/>
      <c r="K5876" s="58"/>
      <c r="L5876" s="13" t="str">
        <f t="shared" si="910"/>
        <v/>
      </c>
      <c r="M5876" s="13" t="str">
        <f t="shared" si="911"/>
        <v/>
      </c>
      <c r="Q5876" t="str">
        <f t="shared" si="912"/>
        <v/>
      </c>
      <c r="R5876" t="str">
        <f t="shared" si="913"/>
        <v/>
      </c>
      <c r="S5876" t="str">
        <f t="shared" si="914"/>
        <v/>
      </c>
      <c r="T5876" t="str">
        <f t="shared" si="915"/>
        <v/>
      </c>
      <c r="U5876" t="str">
        <f t="shared" si="916"/>
        <v/>
      </c>
      <c r="V5876" t="str">
        <f t="shared" si="917"/>
        <v/>
      </c>
      <c r="W5876" t="str">
        <f t="shared" si="918"/>
        <v/>
      </c>
      <c r="X5876">
        <f>IF($T5876="",N($X5875),IF(MATCH($T5876,$T$6:$T$10005,0)=ROW()-5,N($X5875)+1,N($X5875)))</f>
        <v>0</v>
      </c>
      <c r="Z5876" t="str">
        <f t="shared" si="919"/>
        <v/>
      </c>
      <c r="AA5876">
        <f>IF($V5876="",N($AA5875),IF(MATCH($V5876,$V$6:$V$10005,0)=ROW()-5,N($AA5875)+1,N($AA5875)))</f>
        <v>0</v>
      </c>
    </row>
    <row r="5877" spans="1:27" ht="21" customHeight="1" x14ac:dyDescent="0.95">
      <c r="A5877" s="56"/>
      <c r="B5877" s="57"/>
      <c r="C5877" s="57"/>
      <c r="D5877" s="57"/>
      <c r="E5877" s="56"/>
      <c r="F5877" s="57"/>
      <c r="G5877" s="57"/>
      <c r="H5877" s="56"/>
      <c r="I5877" s="56"/>
      <c r="J5877" s="58"/>
      <c r="K5877" s="58"/>
      <c r="L5877" s="13" t="str">
        <f t="shared" si="910"/>
        <v/>
      </c>
      <c r="M5877" s="13" t="str">
        <f t="shared" si="911"/>
        <v/>
      </c>
      <c r="Q5877" t="str">
        <f t="shared" si="912"/>
        <v/>
      </c>
      <c r="R5877" t="str">
        <f t="shared" si="913"/>
        <v/>
      </c>
      <c r="S5877" t="str">
        <f t="shared" si="914"/>
        <v/>
      </c>
      <c r="T5877" t="str">
        <f t="shared" si="915"/>
        <v/>
      </c>
      <c r="U5877" t="str">
        <f t="shared" si="916"/>
        <v/>
      </c>
      <c r="V5877" t="str">
        <f t="shared" si="917"/>
        <v/>
      </c>
      <c r="W5877" t="str">
        <f t="shared" si="918"/>
        <v/>
      </c>
      <c r="X5877">
        <f>IF($T5877="",N($X5876),IF(MATCH($T5877,$T$6:$T$10005,0)=ROW()-5,N($X5876)+1,N($X5876)))</f>
        <v>0</v>
      </c>
      <c r="Z5877" t="str">
        <f t="shared" si="919"/>
        <v/>
      </c>
      <c r="AA5877">
        <f>IF($V5877="",N($AA5876),IF(MATCH($V5877,$V$6:$V$10005,0)=ROW()-5,N($AA5876)+1,N($AA5876)))</f>
        <v>0</v>
      </c>
    </row>
    <row r="5878" spans="1:27" ht="21" customHeight="1" x14ac:dyDescent="0.95">
      <c r="A5878" s="56"/>
      <c r="B5878" s="57"/>
      <c r="C5878" s="57"/>
      <c r="D5878" s="57"/>
      <c r="E5878" s="56"/>
      <c r="F5878" s="57"/>
      <c r="G5878" s="57"/>
      <c r="H5878" s="56"/>
      <c r="I5878" s="56"/>
      <c r="J5878" s="58"/>
      <c r="K5878" s="58"/>
      <c r="L5878" s="13" t="str">
        <f t="shared" si="910"/>
        <v/>
      </c>
      <c r="M5878" s="13" t="str">
        <f t="shared" si="911"/>
        <v/>
      </c>
      <c r="Q5878" t="str">
        <f t="shared" si="912"/>
        <v/>
      </c>
      <c r="R5878" t="str">
        <f t="shared" si="913"/>
        <v/>
      </c>
      <c r="S5878" t="str">
        <f t="shared" si="914"/>
        <v/>
      </c>
      <c r="T5878" t="str">
        <f t="shared" si="915"/>
        <v/>
      </c>
      <c r="U5878" t="str">
        <f t="shared" si="916"/>
        <v/>
      </c>
      <c r="V5878" t="str">
        <f t="shared" si="917"/>
        <v/>
      </c>
      <c r="W5878" t="str">
        <f t="shared" si="918"/>
        <v/>
      </c>
      <c r="X5878">
        <f>IF($T5878="",N($X5877),IF(MATCH($T5878,$T$6:$T$10005,0)=ROW()-5,N($X5877)+1,N($X5877)))</f>
        <v>0</v>
      </c>
      <c r="Z5878" t="str">
        <f t="shared" si="919"/>
        <v/>
      </c>
      <c r="AA5878">
        <f>IF($V5878="",N($AA5877),IF(MATCH($V5878,$V$6:$V$10005,0)=ROW()-5,N($AA5877)+1,N($AA5877)))</f>
        <v>0</v>
      </c>
    </row>
    <row r="5879" spans="1:27" ht="21" customHeight="1" x14ac:dyDescent="0.95">
      <c r="A5879" s="56"/>
      <c r="B5879" s="57"/>
      <c r="C5879" s="57"/>
      <c r="D5879" s="57"/>
      <c r="E5879" s="56"/>
      <c r="F5879" s="57"/>
      <c r="G5879" s="57"/>
      <c r="H5879" s="56"/>
      <c r="I5879" s="56"/>
      <c r="J5879" s="58"/>
      <c r="K5879" s="58"/>
      <c r="L5879" s="13" t="str">
        <f t="shared" si="910"/>
        <v/>
      </c>
      <c r="M5879" s="13" t="str">
        <f t="shared" si="911"/>
        <v/>
      </c>
      <c r="Q5879" t="str">
        <f t="shared" si="912"/>
        <v/>
      </c>
      <c r="R5879" t="str">
        <f t="shared" si="913"/>
        <v/>
      </c>
      <c r="S5879" t="str">
        <f t="shared" si="914"/>
        <v/>
      </c>
      <c r="T5879" t="str">
        <f t="shared" si="915"/>
        <v/>
      </c>
      <c r="U5879" t="str">
        <f t="shared" si="916"/>
        <v/>
      </c>
      <c r="V5879" t="str">
        <f t="shared" si="917"/>
        <v/>
      </c>
      <c r="W5879" t="str">
        <f t="shared" si="918"/>
        <v/>
      </c>
      <c r="X5879">
        <f>IF($T5879="",N($X5878),IF(MATCH($T5879,$T$6:$T$10005,0)=ROW()-5,N($X5878)+1,N($X5878)))</f>
        <v>0</v>
      </c>
      <c r="Z5879" t="str">
        <f t="shared" si="919"/>
        <v/>
      </c>
      <c r="AA5879">
        <f>IF($V5879="",N($AA5878),IF(MATCH($V5879,$V$6:$V$10005,0)=ROW()-5,N($AA5878)+1,N($AA5878)))</f>
        <v>0</v>
      </c>
    </row>
    <row r="5880" spans="1:27" ht="21" customHeight="1" x14ac:dyDescent="0.95">
      <c r="A5880" s="56"/>
      <c r="B5880" s="57"/>
      <c r="C5880" s="57"/>
      <c r="D5880" s="57"/>
      <c r="E5880" s="56"/>
      <c r="F5880" s="57"/>
      <c r="G5880" s="57"/>
      <c r="H5880" s="56"/>
      <c r="I5880" s="56"/>
      <c r="J5880" s="58"/>
      <c r="K5880" s="58"/>
      <c r="L5880" s="13" t="str">
        <f t="shared" si="910"/>
        <v/>
      </c>
      <c r="M5880" s="13" t="str">
        <f t="shared" si="911"/>
        <v/>
      </c>
      <c r="Q5880" t="str">
        <f t="shared" si="912"/>
        <v/>
      </c>
      <c r="R5880" t="str">
        <f t="shared" si="913"/>
        <v/>
      </c>
      <c r="S5880" t="str">
        <f t="shared" si="914"/>
        <v/>
      </c>
      <c r="T5880" t="str">
        <f t="shared" si="915"/>
        <v/>
      </c>
      <c r="U5880" t="str">
        <f t="shared" si="916"/>
        <v/>
      </c>
      <c r="V5880" t="str">
        <f t="shared" si="917"/>
        <v/>
      </c>
      <c r="W5880" t="str">
        <f t="shared" si="918"/>
        <v/>
      </c>
      <c r="X5880">
        <f>IF($T5880="",N($X5879),IF(MATCH($T5880,$T$6:$T$10005,0)=ROW()-5,N($X5879)+1,N($X5879)))</f>
        <v>0</v>
      </c>
      <c r="Z5880" t="str">
        <f t="shared" si="919"/>
        <v/>
      </c>
      <c r="AA5880">
        <f>IF($V5880="",N($AA5879),IF(MATCH($V5880,$V$6:$V$10005,0)=ROW()-5,N($AA5879)+1,N($AA5879)))</f>
        <v>0</v>
      </c>
    </row>
    <row r="5881" spans="1:27" ht="21" customHeight="1" x14ac:dyDescent="0.95">
      <c r="A5881" s="56"/>
      <c r="B5881" s="57"/>
      <c r="C5881" s="57"/>
      <c r="D5881" s="57"/>
      <c r="E5881" s="56"/>
      <c r="F5881" s="57"/>
      <c r="G5881" s="57"/>
      <c r="H5881" s="56"/>
      <c r="I5881" s="56"/>
      <c r="J5881" s="58"/>
      <c r="K5881" s="58"/>
      <c r="L5881" s="13" t="str">
        <f t="shared" si="910"/>
        <v/>
      </c>
      <c r="M5881" s="13" t="str">
        <f t="shared" si="911"/>
        <v/>
      </c>
      <c r="Q5881" t="str">
        <f t="shared" si="912"/>
        <v/>
      </c>
      <c r="R5881" t="str">
        <f t="shared" si="913"/>
        <v/>
      </c>
      <c r="S5881" t="str">
        <f t="shared" si="914"/>
        <v/>
      </c>
      <c r="T5881" t="str">
        <f t="shared" si="915"/>
        <v/>
      </c>
      <c r="U5881" t="str">
        <f t="shared" si="916"/>
        <v/>
      </c>
      <c r="V5881" t="str">
        <f t="shared" si="917"/>
        <v/>
      </c>
      <c r="W5881" t="str">
        <f t="shared" si="918"/>
        <v/>
      </c>
      <c r="X5881">
        <f>IF($T5881="",N($X5880),IF(MATCH($T5881,$T$6:$T$10005,0)=ROW()-5,N($X5880)+1,N($X5880)))</f>
        <v>0</v>
      </c>
      <c r="Z5881" t="str">
        <f t="shared" si="919"/>
        <v/>
      </c>
      <c r="AA5881">
        <f>IF($V5881="",N($AA5880),IF(MATCH($V5881,$V$6:$V$10005,0)=ROW()-5,N($AA5880)+1,N($AA5880)))</f>
        <v>0</v>
      </c>
    </row>
    <row r="5882" spans="1:27" ht="21" customHeight="1" x14ac:dyDescent="0.95">
      <c r="A5882" s="56"/>
      <c r="B5882" s="57"/>
      <c r="C5882" s="57"/>
      <c r="D5882" s="57"/>
      <c r="E5882" s="56"/>
      <c r="F5882" s="57"/>
      <c r="G5882" s="57"/>
      <c r="H5882" s="56"/>
      <c r="I5882" s="56"/>
      <c r="J5882" s="58"/>
      <c r="K5882" s="58"/>
      <c r="L5882" s="13" t="str">
        <f t="shared" si="910"/>
        <v/>
      </c>
      <c r="M5882" s="13" t="str">
        <f t="shared" si="911"/>
        <v/>
      </c>
      <c r="Q5882" t="str">
        <f t="shared" si="912"/>
        <v/>
      </c>
      <c r="R5882" t="str">
        <f t="shared" si="913"/>
        <v/>
      </c>
      <c r="S5882" t="str">
        <f t="shared" si="914"/>
        <v/>
      </c>
      <c r="T5882" t="str">
        <f t="shared" si="915"/>
        <v/>
      </c>
      <c r="U5882" t="str">
        <f t="shared" si="916"/>
        <v/>
      </c>
      <c r="V5882" t="str">
        <f t="shared" si="917"/>
        <v/>
      </c>
      <c r="W5882" t="str">
        <f t="shared" si="918"/>
        <v/>
      </c>
      <c r="X5882">
        <f>IF($T5882="",N($X5881),IF(MATCH($T5882,$T$6:$T$10005,0)=ROW()-5,N($X5881)+1,N($X5881)))</f>
        <v>0</v>
      </c>
      <c r="Z5882" t="str">
        <f t="shared" si="919"/>
        <v/>
      </c>
      <c r="AA5882">
        <f>IF($V5882="",N($AA5881),IF(MATCH($V5882,$V$6:$V$10005,0)=ROW()-5,N($AA5881)+1,N($AA5881)))</f>
        <v>0</v>
      </c>
    </row>
    <row r="5883" spans="1:27" ht="21" customHeight="1" x14ac:dyDescent="0.95">
      <c r="A5883" s="56"/>
      <c r="B5883" s="57"/>
      <c r="C5883" s="57"/>
      <c r="D5883" s="57"/>
      <c r="E5883" s="56"/>
      <c r="F5883" s="57"/>
      <c r="G5883" s="57"/>
      <c r="H5883" s="56"/>
      <c r="I5883" s="56"/>
      <c r="J5883" s="58"/>
      <c r="K5883" s="58"/>
      <c r="L5883" s="13" t="str">
        <f t="shared" si="910"/>
        <v/>
      </c>
      <c r="M5883" s="13" t="str">
        <f t="shared" si="911"/>
        <v/>
      </c>
      <c r="Q5883" t="str">
        <f t="shared" si="912"/>
        <v/>
      </c>
      <c r="R5883" t="str">
        <f t="shared" si="913"/>
        <v/>
      </c>
      <c r="S5883" t="str">
        <f t="shared" si="914"/>
        <v/>
      </c>
      <c r="T5883" t="str">
        <f t="shared" si="915"/>
        <v/>
      </c>
      <c r="U5883" t="str">
        <f t="shared" si="916"/>
        <v/>
      </c>
      <c r="V5883" t="str">
        <f t="shared" si="917"/>
        <v/>
      </c>
      <c r="W5883" t="str">
        <f t="shared" si="918"/>
        <v/>
      </c>
      <c r="X5883">
        <f>IF($T5883="",N($X5882),IF(MATCH($T5883,$T$6:$T$10005,0)=ROW()-5,N($X5882)+1,N($X5882)))</f>
        <v>0</v>
      </c>
      <c r="Z5883" t="str">
        <f t="shared" si="919"/>
        <v/>
      </c>
      <c r="AA5883">
        <f>IF($V5883="",N($AA5882),IF(MATCH($V5883,$V$6:$V$10005,0)=ROW()-5,N($AA5882)+1,N($AA5882)))</f>
        <v>0</v>
      </c>
    </row>
    <row r="5884" spans="1:27" ht="21" customHeight="1" x14ac:dyDescent="0.95">
      <c r="A5884" s="56"/>
      <c r="B5884" s="57"/>
      <c r="C5884" s="57"/>
      <c r="D5884" s="57"/>
      <c r="E5884" s="56"/>
      <c r="F5884" s="57"/>
      <c r="G5884" s="57"/>
      <c r="H5884" s="56"/>
      <c r="I5884" s="56"/>
      <c r="J5884" s="58"/>
      <c r="K5884" s="58"/>
      <c r="L5884" s="13" t="str">
        <f t="shared" si="910"/>
        <v/>
      </c>
      <c r="M5884" s="13" t="str">
        <f t="shared" si="911"/>
        <v/>
      </c>
      <c r="Q5884" t="str">
        <f t="shared" si="912"/>
        <v/>
      </c>
      <c r="R5884" t="str">
        <f t="shared" si="913"/>
        <v/>
      </c>
      <c r="S5884" t="str">
        <f t="shared" si="914"/>
        <v/>
      </c>
      <c r="T5884" t="str">
        <f t="shared" si="915"/>
        <v/>
      </c>
      <c r="U5884" t="str">
        <f t="shared" si="916"/>
        <v/>
      </c>
      <c r="V5884" t="str">
        <f t="shared" si="917"/>
        <v/>
      </c>
      <c r="W5884" t="str">
        <f t="shared" si="918"/>
        <v/>
      </c>
      <c r="X5884">
        <f>IF($T5884="",N($X5883),IF(MATCH($T5884,$T$6:$T$10005,0)=ROW()-5,N($X5883)+1,N($X5883)))</f>
        <v>0</v>
      </c>
      <c r="Z5884" t="str">
        <f t="shared" si="919"/>
        <v/>
      </c>
      <c r="AA5884">
        <f>IF($V5884="",N($AA5883),IF(MATCH($V5884,$V$6:$V$10005,0)=ROW()-5,N($AA5883)+1,N($AA5883)))</f>
        <v>0</v>
      </c>
    </row>
    <row r="5885" spans="1:27" ht="21" customHeight="1" x14ac:dyDescent="0.95">
      <c r="A5885" s="56"/>
      <c r="B5885" s="57"/>
      <c r="C5885" s="57"/>
      <c r="D5885" s="57"/>
      <c r="E5885" s="56"/>
      <c r="F5885" s="57"/>
      <c r="G5885" s="57"/>
      <c r="H5885" s="56"/>
      <c r="I5885" s="56"/>
      <c r="J5885" s="58"/>
      <c r="K5885" s="58"/>
      <c r="L5885" s="13" t="str">
        <f t="shared" si="910"/>
        <v/>
      </c>
      <c r="M5885" s="13" t="str">
        <f t="shared" si="911"/>
        <v/>
      </c>
      <c r="Q5885" t="str">
        <f t="shared" si="912"/>
        <v/>
      </c>
      <c r="R5885" t="str">
        <f t="shared" si="913"/>
        <v/>
      </c>
      <c r="S5885" t="str">
        <f t="shared" si="914"/>
        <v/>
      </c>
      <c r="T5885" t="str">
        <f t="shared" si="915"/>
        <v/>
      </c>
      <c r="U5885" t="str">
        <f t="shared" si="916"/>
        <v/>
      </c>
      <c r="V5885" t="str">
        <f t="shared" si="917"/>
        <v/>
      </c>
      <c r="W5885" t="str">
        <f t="shared" si="918"/>
        <v/>
      </c>
      <c r="X5885">
        <f>IF($T5885="",N($X5884),IF(MATCH($T5885,$T$6:$T$10005,0)=ROW()-5,N($X5884)+1,N($X5884)))</f>
        <v>0</v>
      </c>
      <c r="Z5885" t="str">
        <f t="shared" si="919"/>
        <v/>
      </c>
      <c r="AA5885">
        <f>IF($V5885="",N($AA5884),IF(MATCH($V5885,$V$6:$V$10005,0)=ROW()-5,N($AA5884)+1,N($AA5884)))</f>
        <v>0</v>
      </c>
    </row>
    <row r="5886" spans="1:27" ht="21" customHeight="1" x14ac:dyDescent="0.95">
      <c r="A5886" s="56"/>
      <c r="B5886" s="57"/>
      <c r="C5886" s="57"/>
      <c r="D5886" s="57"/>
      <c r="E5886" s="56"/>
      <c r="F5886" s="57"/>
      <c r="G5886" s="57"/>
      <c r="H5886" s="56"/>
      <c r="I5886" s="56"/>
      <c r="J5886" s="58"/>
      <c r="K5886" s="58"/>
      <c r="L5886" s="13" t="str">
        <f t="shared" si="910"/>
        <v/>
      </c>
      <c r="M5886" s="13" t="str">
        <f t="shared" si="911"/>
        <v/>
      </c>
      <c r="Q5886" t="str">
        <f t="shared" si="912"/>
        <v/>
      </c>
      <c r="R5886" t="str">
        <f t="shared" si="913"/>
        <v/>
      </c>
      <c r="S5886" t="str">
        <f t="shared" si="914"/>
        <v/>
      </c>
      <c r="T5886" t="str">
        <f t="shared" si="915"/>
        <v/>
      </c>
      <c r="U5886" t="str">
        <f t="shared" si="916"/>
        <v/>
      </c>
      <c r="V5886" t="str">
        <f t="shared" si="917"/>
        <v/>
      </c>
      <c r="W5886" t="str">
        <f t="shared" si="918"/>
        <v/>
      </c>
      <c r="X5886">
        <f>IF($T5886="",N($X5885),IF(MATCH($T5886,$T$6:$T$10005,0)=ROW()-5,N($X5885)+1,N($X5885)))</f>
        <v>0</v>
      </c>
      <c r="Z5886" t="str">
        <f t="shared" si="919"/>
        <v/>
      </c>
      <c r="AA5886">
        <f>IF($V5886="",N($AA5885),IF(MATCH($V5886,$V$6:$V$10005,0)=ROW()-5,N($AA5885)+1,N($AA5885)))</f>
        <v>0</v>
      </c>
    </row>
    <row r="5887" spans="1:27" ht="21" customHeight="1" x14ac:dyDescent="0.95">
      <c r="A5887" s="56"/>
      <c r="B5887" s="57"/>
      <c r="C5887" s="57"/>
      <c r="D5887" s="57"/>
      <c r="E5887" s="56"/>
      <c r="F5887" s="57"/>
      <c r="G5887" s="57"/>
      <c r="H5887" s="56"/>
      <c r="I5887" s="56"/>
      <c r="J5887" s="58"/>
      <c r="K5887" s="58"/>
      <c r="L5887" s="13" t="str">
        <f t="shared" si="910"/>
        <v/>
      </c>
      <c r="M5887" s="13" t="str">
        <f t="shared" si="911"/>
        <v/>
      </c>
      <c r="Q5887" t="str">
        <f t="shared" si="912"/>
        <v/>
      </c>
      <c r="R5887" t="str">
        <f t="shared" si="913"/>
        <v/>
      </c>
      <c r="S5887" t="str">
        <f t="shared" si="914"/>
        <v/>
      </c>
      <c r="T5887" t="str">
        <f t="shared" si="915"/>
        <v/>
      </c>
      <c r="U5887" t="str">
        <f t="shared" si="916"/>
        <v/>
      </c>
      <c r="V5887" t="str">
        <f t="shared" si="917"/>
        <v/>
      </c>
      <c r="W5887" t="str">
        <f t="shared" si="918"/>
        <v/>
      </c>
      <c r="X5887">
        <f>IF($T5887="",N($X5886),IF(MATCH($T5887,$T$6:$T$10005,0)=ROW()-5,N($X5886)+1,N($X5886)))</f>
        <v>0</v>
      </c>
      <c r="Z5887" t="str">
        <f t="shared" si="919"/>
        <v/>
      </c>
      <c r="AA5887">
        <f>IF($V5887="",N($AA5886),IF(MATCH($V5887,$V$6:$V$10005,0)=ROW()-5,N($AA5886)+1,N($AA5886)))</f>
        <v>0</v>
      </c>
    </row>
    <row r="5888" spans="1:27" ht="21" customHeight="1" x14ac:dyDescent="0.95">
      <c r="A5888" s="56"/>
      <c r="B5888" s="57"/>
      <c r="C5888" s="57"/>
      <c r="D5888" s="57"/>
      <c r="E5888" s="56"/>
      <c r="F5888" s="57"/>
      <c r="G5888" s="57"/>
      <c r="H5888" s="56"/>
      <c r="I5888" s="56"/>
      <c r="J5888" s="58"/>
      <c r="K5888" s="58"/>
      <c r="L5888" s="13" t="str">
        <f t="shared" si="910"/>
        <v/>
      </c>
      <c r="M5888" s="13" t="str">
        <f t="shared" si="911"/>
        <v/>
      </c>
      <c r="Q5888" t="str">
        <f t="shared" si="912"/>
        <v/>
      </c>
      <c r="R5888" t="str">
        <f t="shared" si="913"/>
        <v/>
      </c>
      <c r="S5888" t="str">
        <f t="shared" si="914"/>
        <v/>
      </c>
      <c r="T5888" t="str">
        <f t="shared" si="915"/>
        <v/>
      </c>
      <c r="U5888" t="str">
        <f t="shared" si="916"/>
        <v/>
      </c>
      <c r="V5888" t="str">
        <f t="shared" si="917"/>
        <v/>
      </c>
      <c r="W5888" t="str">
        <f t="shared" si="918"/>
        <v/>
      </c>
      <c r="X5888">
        <f>IF($T5888="",N($X5887),IF(MATCH($T5888,$T$6:$T$10005,0)=ROW()-5,N($X5887)+1,N($X5887)))</f>
        <v>0</v>
      </c>
      <c r="Z5888" t="str">
        <f t="shared" si="919"/>
        <v/>
      </c>
      <c r="AA5888">
        <f>IF($V5888="",N($AA5887),IF(MATCH($V5888,$V$6:$V$10005,0)=ROW()-5,N($AA5887)+1,N($AA5887)))</f>
        <v>0</v>
      </c>
    </row>
    <row r="5889" spans="1:27" ht="21" customHeight="1" x14ac:dyDescent="0.95">
      <c r="A5889" s="56"/>
      <c r="B5889" s="57"/>
      <c r="C5889" s="57"/>
      <c r="D5889" s="57"/>
      <c r="E5889" s="56"/>
      <c r="F5889" s="57"/>
      <c r="G5889" s="57"/>
      <c r="H5889" s="56"/>
      <c r="I5889" s="56"/>
      <c r="J5889" s="58"/>
      <c r="K5889" s="58"/>
      <c r="L5889" s="13" t="str">
        <f t="shared" si="910"/>
        <v/>
      </c>
      <c r="M5889" s="13" t="str">
        <f t="shared" si="911"/>
        <v/>
      </c>
      <c r="Q5889" t="str">
        <f t="shared" si="912"/>
        <v/>
      </c>
      <c r="R5889" t="str">
        <f t="shared" si="913"/>
        <v/>
      </c>
      <c r="S5889" t="str">
        <f t="shared" si="914"/>
        <v/>
      </c>
      <c r="T5889" t="str">
        <f t="shared" si="915"/>
        <v/>
      </c>
      <c r="U5889" t="str">
        <f t="shared" si="916"/>
        <v/>
      </c>
      <c r="V5889" t="str">
        <f t="shared" si="917"/>
        <v/>
      </c>
      <c r="W5889" t="str">
        <f t="shared" si="918"/>
        <v/>
      </c>
      <c r="X5889">
        <f>IF($T5889="",N($X5888),IF(MATCH($T5889,$T$6:$T$10005,0)=ROW()-5,N($X5888)+1,N($X5888)))</f>
        <v>0</v>
      </c>
      <c r="Z5889" t="str">
        <f t="shared" si="919"/>
        <v/>
      </c>
      <c r="AA5889">
        <f>IF($V5889="",N($AA5888),IF(MATCH($V5889,$V$6:$V$10005,0)=ROW()-5,N($AA5888)+1,N($AA5888)))</f>
        <v>0</v>
      </c>
    </row>
    <row r="5890" spans="1:27" ht="21" customHeight="1" x14ac:dyDescent="0.95">
      <c r="A5890" s="56"/>
      <c r="B5890" s="57"/>
      <c r="C5890" s="57"/>
      <c r="D5890" s="57"/>
      <c r="E5890" s="56"/>
      <c r="F5890" s="57"/>
      <c r="G5890" s="57"/>
      <c r="H5890" s="56"/>
      <c r="I5890" s="56"/>
      <c r="J5890" s="58"/>
      <c r="K5890" s="58"/>
      <c r="L5890" s="13" t="str">
        <f t="shared" si="910"/>
        <v/>
      </c>
      <c r="M5890" s="13" t="str">
        <f t="shared" si="911"/>
        <v/>
      </c>
      <c r="Q5890" t="str">
        <f t="shared" si="912"/>
        <v/>
      </c>
      <c r="R5890" t="str">
        <f t="shared" si="913"/>
        <v/>
      </c>
      <c r="S5890" t="str">
        <f t="shared" si="914"/>
        <v/>
      </c>
      <c r="T5890" t="str">
        <f t="shared" si="915"/>
        <v/>
      </c>
      <c r="U5890" t="str">
        <f t="shared" si="916"/>
        <v/>
      </c>
      <c r="V5890" t="str">
        <f t="shared" si="917"/>
        <v/>
      </c>
      <c r="W5890" t="str">
        <f t="shared" si="918"/>
        <v/>
      </c>
      <c r="X5890">
        <f>IF($T5890="",N($X5889),IF(MATCH($T5890,$T$6:$T$10005,0)=ROW()-5,N($X5889)+1,N($X5889)))</f>
        <v>0</v>
      </c>
      <c r="Z5890" t="str">
        <f t="shared" si="919"/>
        <v/>
      </c>
      <c r="AA5890">
        <f>IF($V5890="",N($AA5889),IF(MATCH($V5890,$V$6:$V$10005,0)=ROW()-5,N($AA5889)+1,N($AA5889)))</f>
        <v>0</v>
      </c>
    </row>
    <row r="5891" spans="1:27" ht="21" customHeight="1" x14ac:dyDescent="0.95">
      <c r="A5891" s="56"/>
      <c r="B5891" s="57"/>
      <c r="C5891" s="57"/>
      <c r="D5891" s="57"/>
      <c r="E5891" s="56"/>
      <c r="F5891" s="57"/>
      <c r="G5891" s="57"/>
      <c r="H5891" s="56"/>
      <c r="I5891" s="56"/>
      <c r="J5891" s="58"/>
      <c r="K5891" s="58"/>
      <c r="L5891" s="13" t="str">
        <f t="shared" si="910"/>
        <v/>
      </c>
      <c r="M5891" s="13" t="str">
        <f t="shared" si="911"/>
        <v/>
      </c>
      <c r="Q5891" t="str">
        <f t="shared" si="912"/>
        <v/>
      </c>
      <c r="R5891" t="str">
        <f t="shared" si="913"/>
        <v/>
      </c>
      <c r="S5891" t="str">
        <f t="shared" si="914"/>
        <v/>
      </c>
      <c r="T5891" t="str">
        <f t="shared" si="915"/>
        <v/>
      </c>
      <c r="U5891" t="str">
        <f t="shared" si="916"/>
        <v/>
      </c>
      <c r="V5891" t="str">
        <f t="shared" si="917"/>
        <v/>
      </c>
      <c r="W5891" t="str">
        <f t="shared" si="918"/>
        <v/>
      </c>
      <c r="X5891">
        <f>IF($T5891="",N($X5890),IF(MATCH($T5891,$T$6:$T$10005,0)=ROW()-5,N($X5890)+1,N($X5890)))</f>
        <v>0</v>
      </c>
      <c r="Z5891" t="str">
        <f t="shared" si="919"/>
        <v/>
      </c>
      <c r="AA5891">
        <f>IF($V5891="",N($AA5890),IF(MATCH($V5891,$V$6:$V$10005,0)=ROW()-5,N($AA5890)+1,N($AA5890)))</f>
        <v>0</v>
      </c>
    </row>
    <row r="5892" spans="1:27" ht="21" customHeight="1" x14ac:dyDescent="0.95">
      <c r="A5892" s="56"/>
      <c r="B5892" s="57"/>
      <c r="C5892" s="57"/>
      <c r="D5892" s="57"/>
      <c r="E5892" s="56"/>
      <c r="F5892" s="57"/>
      <c r="G5892" s="57"/>
      <c r="H5892" s="56"/>
      <c r="I5892" s="56"/>
      <c r="J5892" s="58"/>
      <c r="K5892" s="58"/>
      <c r="L5892" s="13" t="str">
        <f t="shared" si="910"/>
        <v/>
      </c>
      <c r="M5892" s="13" t="str">
        <f t="shared" si="911"/>
        <v/>
      </c>
      <c r="Q5892" t="str">
        <f t="shared" si="912"/>
        <v/>
      </c>
      <c r="R5892" t="str">
        <f t="shared" si="913"/>
        <v/>
      </c>
      <c r="S5892" t="str">
        <f t="shared" si="914"/>
        <v/>
      </c>
      <c r="T5892" t="str">
        <f t="shared" si="915"/>
        <v/>
      </c>
      <c r="U5892" t="str">
        <f t="shared" si="916"/>
        <v/>
      </c>
      <c r="V5892" t="str">
        <f t="shared" si="917"/>
        <v/>
      </c>
      <c r="W5892" t="str">
        <f t="shared" si="918"/>
        <v/>
      </c>
      <c r="X5892">
        <f>IF($T5892="",N($X5891),IF(MATCH($T5892,$T$6:$T$10005,0)=ROW()-5,N($X5891)+1,N($X5891)))</f>
        <v>0</v>
      </c>
      <c r="Z5892" t="str">
        <f t="shared" si="919"/>
        <v/>
      </c>
      <c r="AA5892">
        <f>IF($V5892="",N($AA5891),IF(MATCH($V5892,$V$6:$V$10005,0)=ROW()-5,N($AA5891)+1,N($AA5891)))</f>
        <v>0</v>
      </c>
    </row>
    <row r="5893" spans="1:27" ht="21" customHeight="1" x14ac:dyDescent="0.95">
      <c r="A5893" s="56"/>
      <c r="B5893" s="57"/>
      <c r="C5893" s="57"/>
      <c r="D5893" s="57"/>
      <c r="E5893" s="56"/>
      <c r="F5893" s="57"/>
      <c r="G5893" s="57"/>
      <c r="H5893" s="56"/>
      <c r="I5893" s="56"/>
      <c r="J5893" s="58"/>
      <c r="K5893" s="58"/>
      <c r="L5893" s="13" t="str">
        <f t="shared" si="910"/>
        <v/>
      </c>
      <c r="M5893" s="13" t="str">
        <f t="shared" si="911"/>
        <v/>
      </c>
      <c r="Q5893" t="str">
        <f t="shared" si="912"/>
        <v/>
      </c>
      <c r="R5893" t="str">
        <f t="shared" si="913"/>
        <v/>
      </c>
      <c r="S5893" t="str">
        <f t="shared" si="914"/>
        <v/>
      </c>
      <c r="T5893" t="str">
        <f t="shared" si="915"/>
        <v/>
      </c>
      <c r="U5893" t="str">
        <f t="shared" si="916"/>
        <v/>
      </c>
      <c r="V5893" t="str">
        <f t="shared" si="917"/>
        <v/>
      </c>
      <c r="W5893" t="str">
        <f t="shared" si="918"/>
        <v/>
      </c>
      <c r="X5893">
        <f>IF($T5893="",N($X5892),IF(MATCH($T5893,$T$6:$T$10005,0)=ROW()-5,N($X5892)+1,N($X5892)))</f>
        <v>0</v>
      </c>
      <c r="Z5893" t="str">
        <f t="shared" si="919"/>
        <v/>
      </c>
      <c r="AA5893">
        <f>IF($V5893="",N($AA5892),IF(MATCH($V5893,$V$6:$V$10005,0)=ROW()-5,N($AA5892)+1,N($AA5892)))</f>
        <v>0</v>
      </c>
    </row>
    <row r="5894" spans="1:27" ht="21" customHeight="1" x14ac:dyDescent="0.95">
      <c r="A5894" s="56"/>
      <c r="B5894" s="57"/>
      <c r="C5894" s="57"/>
      <c r="D5894" s="57"/>
      <c r="E5894" s="56"/>
      <c r="F5894" s="57"/>
      <c r="G5894" s="57"/>
      <c r="H5894" s="56"/>
      <c r="I5894" s="56"/>
      <c r="J5894" s="58"/>
      <c r="K5894" s="58"/>
      <c r="L5894" s="13" t="str">
        <f t="shared" ref="L5894:L5957" si="920">IF(OR($A5894="",AND($J5894="",$K5894="")),"",ROUND(N($J5894)-N($K5894),2))</f>
        <v/>
      </c>
      <c r="M5894" s="13" t="str">
        <f t="shared" ref="M5894:M5957" si="921">IF(OR($A5894="",AND($J5894="",$K5894="")),"",MIN($J5894,$K5894))</f>
        <v/>
      </c>
      <c r="Q5894" t="str">
        <f t="shared" ref="Q5894:Q5957" si="922">IF($A5894="","",$D5894&amp;"("&amp;SUBSTITUTE($E5894," ","")&amp;")")</f>
        <v/>
      </c>
      <c r="R5894" t="str">
        <f t="shared" ref="R5894:R5957" si="923">IF($A5894="","",$B5894&amp;" - "&amp;$C5894)</f>
        <v/>
      </c>
      <c r="S5894" t="str">
        <f t="shared" ref="S5894:S5957" si="924">IF($A5894="","",$R5894&amp;"|"&amp;$Q5894)</f>
        <v/>
      </c>
      <c r="T5894" t="str">
        <f t="shared" ref="T5894:T5957" si="925">IF($A5894="","",$S5894&amp;"|"&amp;$F5894)</f>
        <v/>
      </c>
      <c r="U5894" t="str">
        <f t="shared" ref="U5894:U5957" si="926">IF($A5894="","",$R5894&amp;"("&amp;$E5894&amp;")")</f>
        <v/>
      </c>
      <c r="V5894" t="str">
        <f t="shared" ref="V5894:V5957" si="927">IF($A5894="","",$F5894&amp;"|"&amp;$U5894&amp;"|"&amp;$D5894)</f>
        <v/>
      </c>
      <c r="W5894" t="str">
        <f t="shared" ref="W5894:W5957" si="928">IF($T5894="","",IF($X5894&gt;N($X5893),$X5894,""))</f>
        <v/>
      </c>
      <c r="X5894">
        <f>IF($T5894="",N($X5893),IF(MATCH($T5894,$T$6:$T$10005,0)=ROW()-5,N($X5893)+1,N($X5893)))</f>
        <v>0</v>
      </c>
      <c r="Z5894" t="str">
        <f t="shared" ref="Z5894:Z5957" si="929">IF($V5894="","",IF($AA5894&gt;N($AA5893),$AA5894,""))</f>
        <v/>
      </c>
      <c r="AA5894">
        <f>IF($V5894="",N($AA5893),IF(MATCH($V5894,$V$6:$V$10005,0)=ROW()-5,N($AA5893)+1,N($AA5893)))</f>
        <v>0</v>
      </c>
    </row>
    <row r="5895" spans="1:27" ht="21" customHeight="1" x14ac:dyDescent="0.95">
      <c r="A5895" s="56"/>
      <c r="B5895" s="57"/>
      <c r="C5895" s="57"/>
      <c r="D5895" s="57"/>
      <c r="E5895" s="56"/>
      <c r="F5895" s="57"/>
      <c r="G5895" s="57"/>
      <c r="H5895" s="56"/>
      <c r="I5895" s="56"/>
      <c r="J5895" s="58"/>
      <c r="K5895" s="58"/>
      <c r="L5895" s="13" t="str">
        <f t="shared" si="920"/>
        <v/>
      </c>
      <c r="M5895" s="13" t="str">
        <f t="shared" si="921"/>
        <v/>
      </c>
      <c r="Q5895" t="str">
        <f t="shared" si="922"/>
        <v/>
      </c>
      <c r="R5895" t="str">
        <f t="shared" si="923"/>
        <v/>
      </c>
      <c r="S5895" t="str">
        <f t="shared" si="924"/>
        <v/>
      </c>
      <c r="T5895" t="str">
        <f t="shared" si="925"/>
        <v/>
      </c>
      <c r="U5895" t="str">
        <f t="shared" si="926"/>
        <v/>
      </c>
      <c r="V5895" t="str">
        <f t="shared" si="927"/>
        <v/>
      </c>
      <c r="W5895" t="str">
        <f t="shared" si="928"/>
        <v/>
      </c>
      <c r="X5895">
        <f>IF($T5895="",N($X5894),IF(MATCH($T5895,$T$6:$T$10005,0)=ROW()-5,N($X5894)+1,N($X5894)))</f>
        <v>0</v>
      </c>
      <c r="Z5895" t="str">
        <f t="shared" si="929"/>
        <v/>
      </c>
      <c r="AA5895">
        <f>IF($V5895="",N($AA5894),IF(MATCH($V5895,$V$6:$V$10005,0)=ROW()-5,N($AA5894)+1,N($AA5894)))</f>
        <v>0</v>
      </c>
    </row>
    <row r="5896" spans="1:27" ht="21" customHeight="1" x14ac:dyDescent="0.95">
      <c r="A5896" s="56"/>
      <c r="B5896" s="57"/>
      <c r="C5896" s="57"/>
      <c r="D5896" s="57"/>
      <c r="E5896" s="56"/>
      <c r="F5896" s="57"/>
      <c r="G5896" s="57"/>
      <c r="H5896" s="56"/>
      <c r="I5896" s="56"/>
      <c r="J5896" s="58"/>
      <c r="K5896" s="58"/>
      <c r="L5896" s="13" t="str">
        <f t="shared" si="920"/>
        <v/>
      </c>
      <c r="M5896" s="13" t="str">
        <f t="shared" si="921"/>
        <v/>
      </c>
      <c r="Q5896" t="str">
        <f t="shared" si="922"/>
        <v/>
      </c>
      <c r="R5896" t="str">
        <f t="shared" si="923"/>
        <v/>
      </c>
      <c r="S5896" t="str">
        <f t="shared" si="924"/>
        <v/>
      </c>
      <c r="T5896" t="str">
        <f t="shared" si="925"/>
        <v/>
      </c>
      <c r="U5896" t="str">
        <f t="shared" si="926"/>
        <v/>
      </c>
      <c r="V5896" t="str">
        <f t="shared" si="927"/>
        <v/>
      </c>
      <c r="W5896" t="str">
        <f t="shared" si="928"/>
        <v/>
      </c>
      <c r="X5896">
        <f>IF($T5896="",N($X5895),IF(MATCH($T5896,$T$6:$T$10005,0)=ROW()-5,N($X5895)+1,N($X5895)))</f>
        <v>0</v>
      </c>
      <c r="Z5896" t="str">
        <f t="shared" si="929"/>
        <v/>
      </c>
      <c r="AA5896">
        <f>IF($V5896="",N($AA5895),IF(MATCH($V5896,$V$6:$V$10005,0)=ROW()-5,N($AA5895)+1,N($AA5895)))</f>
        <v>0</v>
      </c>
    </row>
    <row r="5897" spans="1:27" ht="21" customHeight="1" x14ac:dyDescent="0.95">
      <c r="A5897" s="56"/>
      <c r="B5897" s="57"/>
      <c r="C5897" s="57"/>
      <c r="D5897" s="57"/>
      <c r="E5897" s="56"/>
      <c r="F5897" s="57"/>
      <c r="G5897" s="57"/>
      <c r="H5897" s="56"/>
      <c r="I5897" s="56"/>
      <c r="J5897" s="58"/>
      <c r="K5897" s="58"/>
      <c r="L5897" s="13" t="str">
        <f t="shared" si="920"/>
        <v/>
      </c>
      <c r="M5897" s="13" t="str">
        <f t="shared" si="921"/>
        <v/>
      </c>
      <c r="Q5897" t="str">
        <f t="shared" si="922"/>
        <v/>
      </c>
      <c r="R5897" t="str">
        <f t="shared" si="923"/>
        <v/>
      </c>
      <c r="S5897" t="str">
        <f t="shared" si="924"/>
        <v/>
      </c>
      <c r="T5897" t="str">
        <f t="shared" si="925"/>
        <v/>
      </c>
      <c r="U5897" t="str">
        <f t="shared" si="926"/>
        <v/>
      </c>
      <c r="V5897" t="str">
        <f t="shared" si="927"/>
        <v/>
      </c>
      <c r="W5897" t="str">
        <f t="shared" si="928"/>
        <v/>
      </c>
      <c r="X5897">
        <f>IF($T5897="",N($X5896),IF(MATCH($T5897,$T$6:$T$10005,0)=ROW()-5,N($X5896)+1,N($X5896)))</f>
        <v>0</v>
      </c>
      <c r="Z5897" t="str">
        <f t="shared" si="929"/>
        <v/>
      </c>
      <c r="AA5897">
        <f>IF($V5897="",N($AA5896),IF(MATCH($V5897,$V$6:$V$10005,0)=ROW()-5,N($AA5896)+1,N($AA5896)))</f>
        <v>0</v>
      </c>
    </row>
    <row r="5898" spans="1:27" ht="21" customHeight="1" x14ac:dyDescent="0.95">
      <c r="A5898" s="56"/>
      <c r="B5898" s="57"/>
      <c r="C5898" s="57"/>
      <c r="D5898" s="57"/>
      <c r="E5898" s="56"/>
      <c r="F5898" s="57"/>
      <c r="G5898" s="57"/>
      <c r="H5898" s="56"/>
      <c r="I5898" s="56"/>
      <c r="J5898" s="58"/>
      <c r="K5898" s="58"/>
      <c r="L5898" s="13" t="str">
        <f t="shared" si="920"/>
        <v/>
      </c>
      <c r="M5898" s="13" t="str">
        <f t="shared" si="921"/>
        <v/>
      </c>
      <c r="Q5898" t="str">
        <f t="shared" si="922"/>
        <v/>
      </c>
      <c r="R5898" t="str">
        <f t="shared" si="923"/>
        <v/>
      </c>
      <c r="S5898" t="str">
        <f t="shared" si="924"/>
        <v/>
      </c>
      <c r="T5898" t="str">
        <f t="shared" si="925"/>
        <v/>
      </c>
      <c r="U5898" t="str">
        <f t="shared" si="926"/>
        <v/>
      </c>
      <c r="V5898" t="str">
        <f t="shared" si="927"/>
        <v/>
      </c>
      <c r="W5898" t="str">
        <f t="shared" si="928"/>
        <v/>
      </c>
      <c r="X5898">
        <f>IF($T5898="",N($X5897),IF(MATCH($T5898,$T$6:$T$10005,0)=ROW()-5,N($X5897)+1,N($X5897)))</f>
        <v>0</v>
      </c>
      <c r="Z5898" t="str">
        <f t="shared" si="929"/>
        <v/>
      </c>
      <c r="AA5898">
        <f>IF($V5898="",N($AA5897),IF(MATCH($V5898,$V$6:$V$10005,0)=ROW()-5,N($AA5897)+1,N($AA5897)))</f>
        <v>0</v>
      </c>
    </row>
    <row r="5899" spans="1:27" ht="21" customHeight="1" x14ac:dyDescent="0.95">
      <c r="A5899" s="56"/>
      <c r="B5899" s="57"/>
      <c r="C5899" s="57"/>
      <c r="D5899" s="57"/>
      <c r="E5899" s="56"/>
      <c r="F5899" s="57"/>
      <c r="G5899" s="57"/>
      <c r="H5899" s="56"/>
      <c r="I5899" s="56"/>
      <c r="J5899" s="58"/>
      <c r="K5899" s="58"/>
      <c r="L5899" s="13" t="str">
        <f t="shared" si="920"/>
        <v/>
      </c>
      <c r="M5899" s="13" t="str">
        <f t="shared" si="921"/>
        <v/>
      </c>
      <c r="Q5899" t="str">
        <f t="shared" si="922"/>
        <v/>
      </c>
      <c r="R5899" t="str">
        <f t="shared" si="923"/>
        <v/>
      </c>
      <c r="S5899" t="str">
        <f t="shared" si="924"/>
        <v/>
      </c>
      <c r="T5899" t="str">
        <f t="shared" si="925"/>
        <v/>
      </c>
      <c r="U5899" t="str">
        <f t="shared" si="926"/>
        <v/>
      </c>
      <c r="V5899" t="str">
        <f t="shared" si="927"/>
        <v/>
      </c>
      <c r="W5899" t="str">
        <f t="shared" si="928"/>
        <v/>
      </c>
      <c r="X5899">
        <f>IF($T5899="",N($X5898),IF(MATCH($T5899,$T$6:$T$10005,0)=ROW()-5,N($X5898)+1,N($X5898)))</f>
        <v>0</v>
      </c>
      <c r="Z5899" t="str">
        <f t="shared" si="929"/>
        <v/>
      </c>
      <c r="AA5899">
        <f>IF($V5899="",N($AA5898),IF(MATCH($V5899,$V$6:$V$10005,0)=ROW()-5,N($AA5898)+1,N($AA5898)))</f>
        <v>0</v>
      </c>
    </row>
    <row r="5900" spans="1:27" ht="21" customHeight="1" x14ac:dyDescent="0.95">
      <c r="A5900" s="56"/>
      <c r="B5900" s="57"/>
      <c r="C5900" s="57"/>
      <c r="D5900" s="57"/>
      <c r="E5900" s="56"/>
      <c r="F5900" s="57"/>
      <c r="G5900" s="57"/>
      <c r="H5900" s="56"/>
      <c r="I5900" s="56"/>
      <c r="J5900" s="58"/>
      <c r="K5900" s="58"/>
      <c r="L5900" s="13" t="str">
        <f t="shared" si="920"/>
        <v/>
      </c>
      <c r="M5900" s="13" t="str">
        <f t="shared" si="921"/>
        <v/>
      </c>
      <c r="Q5900" t="str">
        <f t="shared" si="922"/>
        <v/>
      </c>
      <c r="R5900" t="str">
        <f t="shared" si="923"/>
        <v/>
      </c>
      <c r="S5900" t="str">
        <f t="shared" si="924"/>
        <v/>
      </c>
      <c r="T5900" t="str">
        <f t="shared" si="925"/>
        <v/>
      </c>
      <c r="U5900" t="str">
        <f t="shared" si="926"/>
        <v/>
      </c>
      <c r="V5900" t="str">
        <f t="shared" si="927"/>
        <v/>
      </c>
      <c r="W5900" t="str">
        <f t="shared" si="928"/>
        <v/>
      </c>
      <c r="X5900">
        <f>IF($T5900="",N($X5899),IF(MATCH($T5900,$T$6:$T$10005,0)=ROW()-5,N($X5899)+1,N($X5899)))</f>
        <v>0</v>
      </c>
      <c r="Z5900" t="str">
        <f t="shared" si="929"/>
        <v/>
      </c>
      <c r="AA5900">
        <f>IF($V5900="",N($AA5899),IF(MATCH($V5900,$V$6:$V$10005,0)=ROW()-5,N($AA5899)+1,N($AA5899)))</f>
        <v>0</v>
      </c>
    </row>
    <row r="5901" spans="1:27" ht="21" customHeight="1" x14ac:dyDescent="0.95">
      <c r="A5901" s="56"/>
      <c r="B5901" s="57"/>
      <c r="C5901" s="57"/>
      <c r="D5901" s="57"/>
      <c r="E5901" s="56"/>
      <c r="F5901" s="57"/>
      <c r="G5901" s="57"/>
      <c r="H5901" s="56"/>
      <c r="I5901" s="56"/>
      <c r="J5901" s="58"/>
      <c r="K5901" s="58"/>
      <c r="L5901" s="13" t="str">
        <f t="shared" si="920"/>
        <v/>
      </c>
      <c r="M5901" s="13" t="str">
        <f t="shared" si="921"/>
        <v/>
      </c>
      <c r="Q5901" t="str">
        <f t="shared" si="922"/>
        <v/>
      </c>
      <c r="R5901" t="str">
        <f t="shared" si="923"/>
        <v/>
      </c>
      <c r="S5901" t="str">
        <f t="shared" si="924"/>
        <v/>
      </c>
      <c r="T5901" t="str">
        <f t="shared" si="925"/>
        <v/>
      </c>
      <c r="U5901" t="str">
        <f t="shared" si="926"/>
        <v/>
      </c>
      <c r="V5901" t="str">
        <f t="shared" si="927"/>
        <v/>
      </c>
      <c r="W5901" t="str">
        <f t="shared" si="928"/>
        <v/>
      </c>
      <c r="X5901">
        <f>IF($T5901="",N($X5900),IF(MATCH($T5901,$T$6:$T$10005,0)=ROW()-5,N($X5900)+1,N($X5900)))</f>
        <v>0</v>
      </c>
      <c r="Z5901" t="str">
        <f t="shared" si="929"/>
        <v/>
      </c>
      <c r="AA5901">
        <f>IF($V5901="",N($AA5900),IF(MATCH($V5901,$V$6:$V$10005,0)=ROW()-5,N($AA5900)+1,N($AA5900)))</f>
        <v>0</v>
      </c>
    </row>
    <row r="5902" spans="1:27" ht="21" customHeight="1" x14ac:dyDescent="0.95">
      <c r="A5902" s="56"/>
      <c r="B5902" s="57"/>
      <c r="C5902" s="57"/>
      <c r="D5902" s="57"/>
      <c r="E5902" s="56"/>
      <c r="F5902" s="57"/>
      <c r="G5902" s="57"/>
      <c r="H5902" s="56"/>
      <c r="I5902" s="56"/>
      <c r="J5902" s="58"/>
      <c r="K5902" s="58"/>
      <c r="L5902" s="13" t="str">
        <f t="shared" si="920"/>
        <v/>
      </c>
      <c r="M5902" s="13" t="str">
        <f t="shared" si="921"/>
        <v/>
      </c>
      <c r="Q5902" t="str">
        <f t="shared" si="922"/>
        <v/>
      </c>
      <c r="R5902" t="str">
        <f t="shared" si="923"/>
        <v/>
      </c>
      <c r="S5902" t="str">
        <f t="shared" si="924"/>
        <v/>
      </c>
      <c r="T5902" t="str">
        <f t="shared" si="925"/>
        <v/>
      </c>
      <c r="U5902" t="str">
        <f t="shared" si="926"/>
        <v/>
      </c>
      <c r="V5902" t="str">
        <f t="shared" si="927"/>
        <v/>
      </c>
      <c r="W5902" t="str">
        <f t="shared" si="928"/>
        <v/>
      </c>
      <c r="X5902">
        <f>IF($T5902="",N($X5901),IF(MATCH($T5902,$T$6:$T$10005,0)=ROW()-5,N($X5901)+1,N($X5901)))</f>
        <v>0</v>
      </c>
      <c r="Z5902" t="str">
        <f t="shared" si="929"/>
        <v/>
      </c>
      <c r="AA5902">
        <f>IF($V5902="",N($AA5901),IF(MATCH($V5902,$V$6:$V$10005,0)=ROW()-5,N($AA5901)+1,N($AA5901)))</f>
        <v>0</v>
      </c>
    </row>
    <row r="5903" spans="1:27" ht="21" customHeight="1" x14ac:dyDescent="0.95">
      <c r="A5903" s="56"/>
      <c r="B5903" s="57"/>
      <c r="C5903" s="57"/>
      <c r="D5903" s="57"/>
      <c r="E5903" s="56"/>
      <c r="F5903" s="57"/>
      <c r="G5903" s="57"/>
      <c r="H5903" s="56"/>
      <c r="I5903" s="56"/>
      <c r="J5903" s="58"/>
      <c r="K5903" s="58"/>
      <c r="L5903" s="13" t="str">
        <f t="shared" si="920"/>
        <v/>
      </c>
      <c r="M5903" s="13" t="str">
        <f t="shared" si="921"/>
        <v/>
      </c>
      <c r="Q5903" t="str">
        <f t="shared" si="922"/>
        <v/>
      </c>
      <c r="R5903" t="str">
        <f t="shared" si="923"/>
        <v/>
      </c>
      <c r="S5903" t="str">
        <f t="shared" si="924"/>
        <v/>
      </c>
      <c r="T5903" t="str">
        <f t="shared" si="925"/>
        <v/>
      </c>
      <c r="U5903" t="str">
        <f t="shared" si="926"/>
        <v/>
      </c>
      <c r="V5903" t="str">
        <f t="shared" si="927"/>
        <v/>
      </c>
      <c r="W5903" t="str">
        <f t="shared" si="928"/>
        <v/>
      </c>
      <c r="X5903">
        <f>IF($T5903="",N($X5902),IF(MATCH($T5903,$T$6:$T$10005,0)=ROW()-5,N($X5902)+1,N($X5902)))</f>
        <v>0</v>
      </c>
      <c r="Z5903" t="str">
        <f t="shared" si="929"/>
        <v/>
      </c>
      <c r="AA5903">
        <f>IF($V5903="",N($AA5902),IF(MATCH($V5903,$V$6:$V$10005,0)=ROW()-5,N($AA5902)+1,N($AA5902)))</f>
        <v>0</v>
      </c>
    </row>
    <row r="5904" spans="1:27" ht="21" customHeight="1" x14ac:dyDescent="0.95">
      <c r="A5904" s="56"/>
      <c r="B5904" s="57"/>
      <c r="C5904" s="57"/>
      <c r="D5904" s="57"/>
      <c r="E5904" s="56"/>
      <c r="F5904" s="57"/>
      <c r="G5904" s="57"/>
      <c r="H5904" s="56"/>
      <c r="I5904" s="56"/>
      <c r="J5904" s="58"/>
      <c r="K5904" s="58"/>
      <c r="L5904" s="13" t="str">
        <f t="shared" si="920"/>
        <v/>
      </c>
      <c r="M5904" s="13" t="str">
        <f t="shared" si="921"/>
        <v/>
      </c>
      <c r="Q5904" t="str">
        <f t="shared" si="922"/>
        <v/>
      </c>
      <c r="R5904" t="str">
        <f t="shared" si="923"/>
        <v/>
      </c>
      <c r="S5904" t="str">
        <f t="shared" si="924"/>
        <v/>
      </c>
      <c r="T5904" t="str">
        <f t="shared" si="925"/>
        <v/>
      </c>
      <c r="U5904" t="str">
        <f t="shared" si="926"/>
        <v/>
      </c>
      <c r="V5904" t="str">
        <f t="shared" si="927"/>
        <v/>
      </c>
      <c r="W5904" t="str">
        <f t="shared" si="928"/>
        <v/>
      </c>
      <c r="X5904">
        <f>IF($T5904="",N($X5903),IF(MATCH($T5904,$T$6:$T$10005,0)=ROW()-5,N($X5903)+1,N($X5903)))</f>
        <v>0</v>
      </c>
      <c r="Z5904" t="str">
        <f t="shared" si="929"/>
        <v/>
      </c>
      <c r="AA5904">
        <f>IF($V5904="",N($AA5903),IF(MATCH($V5904,$V$6:$V$10005,0)=ROW()-5,N($AA5903)+1,N($AA5903)))</f>
        <v>0</v>
      </c>
    </row>
    <row r="5905" spans="1:27" ht="21" customHeight="1" x14ac:dyDescent="0.95">
      <c r="A5905" s="56"/>
      <c r="B5905" s="57"/>
      <c r="C5905" s="57"/>
      <c r="D5905" s="57"/>
      <c r="E5905" s="56"/>
      <c r="F5905" s="57"/>
      <c r="G5905" s="57"/>
      <c r="H5905" s="56"/>
      <c r="I5905" s="56"/>
      <c r="J5905" s="58"/>
      <c r="K5905" s="58"/>
      <c r="L5905" s="13" t="str">
        <f t="shared" si="920"/>
        <v/>
      </c>
      <c r="M5905" s="13" t="str">
        <f t="shared" si="921"/>
        <v/>
      </c>
      <c r="Q5905" t="str">
        <f t="shared" si="922"/>
        <v/>
      </c>
      <c r="R5905" t="str">
        <f t="shared" si="923"/>
        <v/>
      </c>
      <c r="S5905" t="str">
        <f t="shared" si="924"/>
        <v/>
      </c>
      <c r="T5905" t="str">
        <f t="shared" si="925"/>
        <v/>
      </c>
      <c r="U5905" t="str">
        <f t="shared" si="926"/>
        <v/>
      </c>
      <c r="V5905" t="str">
        <f t="shared" si="927"/>
        <v/>
      </c>
      <c r="W5905" t="str">
        <f t="shared" si="928"/>
        <v/>
      </c>
      <c r="X5905">
        <f>IF($T5905="",N($X5904),IF(MATCH($T5905,$T$6:$T$10005,0)=ROW()-5,N($X5904)+1,N($X5904)))</f>
        <v>0</v>
      </c>
      <c r="Z5905" t="str">
        <f t="shared" si="929"/>
        <v/>
      </c>
      <c r="AA5905">
        <f>IF($V5905="",N($AA5904),IF(MATCH($V5905,$V$6:$V$10005,0)=ROW()-5,N($AA5904)+1,N($AA5904)))</f>
        <v>0</v>
      </c>
    </row>
    <row r="5906" spans="1:27" ht="21" customHeight="1" x14ac:dyDescent="0.95">
      <c r="A5906" s="56"/>
      <c r="B5906" s="57"/>
      <c r="C5906" s="57"/>
      <c r="D5906" s="57"/>
      <c r="E5906" s="56"/>
      <c r="F5906" s="57"/>
      <c r="G5906" s="57"/>
      <c r="H5906" s="56"/>
      <c r="I5906" s="56"/>
      <c r="J5906" s="58"/>
      <c r="K5906" s="58"/>
      <c r="L5906" s="13" t="str">
        <f t="shared" si="920"/>
        <v/>
      </c>
      <c r="M5906" s="13" t="str">
        <f t="shared" si="921"/>
        <v/>
      </c>
      <c r="Q5906" t="str">
        <f t="shared" si="922"/>
        <v/>
      </c>
      <c r="R5906" t="str">
        <f t="shared" si="923"/>
        <v/>
      </c>
      <c r="S5906" t="str">
        <f t="shared" si="924"/>
        <v/>
      </c>
      <c r="T5906" t="str">
        <f t="shared" si="925"/>
        <v/>
      </c>
      <c r="U5906" t="str">
        <f t="shared" si="926"/>
        <v/>
      </c>
      <c r="V5906" t="str">
        <f t="shared" si="927"/>
        <v/>
      </c>
      <c r="W5906" t="str">
        <f t="shared" si="928"/>
        <v/>
      </c>
      <c r="X5906">
        <f>IF($T5906="",N($X5905),IF(MATCH($T5906,$T$6:$T$10005,0)=ROW()-5,N($X5905)+1,N($X5905)))</f>
        <v>0</v>
      </c>
      <c r="Z5906" t="str">
        <f t="shared" si="929"/>
        <v/>
      </c>
      <c r="AA5906">
        <f>IF($V5906="",N($AA5905),IF(MATCH($V5906,$V$6:$V$10005,0)=ROW()-5,N($AA5905)+1,N($AA5905)))</f>
        <v>0</v>
      </c>
    </row>
    <row r="5907" spans="1:27" ht="21" customHeight="1" x14ac:dyDescent="0.95">
      <c r="A5907" s="56"/>
      <c r="B5907" s="57"/>
      <c r="C5907" s="57"/>
      <c r="D5907" s="57"/>
      <c r="E5907" s="56"/>
      <c r="F5907" s="57"/>
      <c r="G5907" s="57"/>
      <c r="H5907" s="56"/>
      <c r="I5907" s="56"/>
      <c r="J5907" s="58"/>
      <c r="K5907" s="58"/>
      <c r="L5907" s="13" t="str">
        <f t="shared" si="920"/>
        <v/>
      </c>
      <c r="M5907" s="13" t="str">
        <f t="shared" si="921"/>
        <v/>
      </c>
      <c r="Q5907" t="str">
        <f t="shared" si="922"/>
        <v/>
      </c>
      <c r="R5907" t="str">
        <f t="shared" si="923"/>
        <v/>
      </c>
      <c r="S5907" t="str">
        <f t="shared" si="924"/>
        <v/>
      </c>
      <c r="T5907" t="str">
        <f t="shared" si="925"/>
        <v/>
      </c>
      <c r="U5907" t="str">
        <f t="shared" si="926"/>
        <v/>
      </c>
      <c r="V5907" t="str">
        <f t="shared" si="927"/>
        <v/>
      </c>
      <c r="W5907" t="str">
        <f t="shared" si="928"/>
        <v/>
      </c>
      <c r="X5907">
        <f>IF($T5907="",N($X5906),IF(MATCH($T5907,$T$6:$T$10005,0)=ROW()-5,N($X5906)+1,N($X5906)))</f>
        <v>0</v>
      </c>
      <c r="Z5907" t="str">
        <f t="shared" si="929"/>
        <v/>
      </c>
      <c r="AA5907">
        <f>IF($V5907="",N($AA5906),IF(MATCH($V5907,$V$6:$V$10005,0)=ROW()-5,N($AA5906)+1,N($AA5906)))</f>
        <v>0</v>
      </c>
    </row>
    <row r="5908" spans="1:27" ht="21" customHeight="1" x14ac:dyDescent="0.95">
      <c r="A5908" s="56"/>
      <c r="B5908" s="57"/>
      <c r="C5908" s="57"/>
      <c r="D5908" s="57"/>
      <c r="E5908" s="56"/>
      <c r="F5908" s="57"/>
      <c r="G5908" s="57"/>
      <c r="H5908" s="56"/>
      <c r="I5908" s="56"/>
      <c r="J5908" s="58"/>
      <c r="K5908" s="58"/>
      <c r="L5908" s="13" t="str">
        <f t="shared" si="920"/>
        <v/>
      </c>
      <c r="M5908" s="13" t="str">
        <f t="shared" si="921"/>
        <v/>
      </c>
      <c r="Q5908" t="str">
        <f t="shared" si="922"/>
        <v/>
      </c>
      <c r="R5908" t="str">
        <f t="shared" si="923"/>
        <v/>
      </c>
      <c r="S5908" t="str">
        <f t="shared" si="924"/>
        <v/>
      </c>
      <c r="T5908" t="str">
        <f t="shared" si="925"/>
        <v/>
      </c>
      <c r="U5908" t="str">
        <f t="shared" si="926"/>
        <v/>
      </c>
      <c r="V5908" t="str">
        <f t="shared" si="927"/>
        <v/>
      </c>
      <c r="W5908" t="str">
        <f t="shared" si="928"/>
        <v/>
      </c>
      <c r="X5908">
        <f>IF($T5908="",N($X5907),IF(MATCH($T5908,$T$6:$T$10005,0)=ROW()-5,N($X5907)+1,N($X5907)))</f>
        <v>0</v>
      </c>
      <c r="Z5908" t="str">
        <f t="shared" si="929"/>
        <v/>
      </c>
      <c r="AA5908">
        <f>IF($V5908="",N($AA5907),IF(MATCH($V5908,$V$6:$V$10005,0)=ROW()-5,N($AA5907)+1,N($AA5907)))</f>
        <v>0</v>
      </c>
    </row>
    <row r="5909" spans="1:27" ht="21" customHeight="1" x14ac:dyDescent="0.95">
      <c r="A5909" s="56"/>
      <c r="B5909" s="57"/>
      <c r="C5909" s="57"/>
      <c r="D5909" s="57"/>
      <c r="E5909" s="56"/>
      <c r="F5909" s="57"/>
      <c r="G5909" s="57"/>
      <c r="H5909" s="56"/>
      <c r="I5909" s="56"/>
      <c r="J5909" s="58"/>
      <c r="K5909" s="58"/>
      <c r="L5909" s="13" t="str">
        <f t="shared" si="920"/>
        <v/>
      </c>
      <c r="M5909" s="13" t="str">
        <f t="shared" si="921"/>
        <v/>
      </c>
      <c r="Q5909" t="str">
        <f t="shared" si="922"/>
        <v/>
      </c>
      <c r="R5909" t="str">
        <f t="shared" si="923"/>
        <v/>
      </c>
      <c r="S5909" t="str">
        <f t="shared" si="924"/>
        <v/>
      </c>
      <c r="T5909" t="str">
        <f t="shared" si="925"/>
        <v/>
      </c>
      <c r="U5909" t="str">
        <f t="shared" si="926"/>
        <v/>
      </c>
      <c r="V5909" t="str">
        <f t="shared" si="927"/>
        <v/>
      </c>
      <c r="W5909" t="str">
        <f t="shared" si="928"/>
        <v/>
      </c>
      <c r="X5909">
        <f>IF($T5909="",N($X5908),IF(MATCH($T5909,$T$6:$T$10005,0)=ROW()-5,N($X5908)+1,N($X5908)))</f>
        <v>0</v>
      </c>
      <c r="Z5909" t="str">
        <f t="shared" si="929"/>
        <v/>
      </c>
      <c r="AA5909">
        <f>IF($V5909="",N($AA5908),IF(MATCH($V5909,$V$6:$V$10005,0)=ROW()-5,N($AA5908)+1,N($AA5908)))</f>
        <v>0</v>
      </c>
    </row>
    <row r="5910" spans="1:27" ht="21" customHeight="1" x14ac:dyDescent="0.95">
      <c r="A5910" s="56"/>
      <c r="B5910" s="57"/>
      <c r="C5910" s="57"/>
      <c r="D5910" s="57"/>
      <c r="E5910" s="56"/>
      <c r="F5910" s="57"/>
      <c r="G5910" s="57"/>
      <c r="H5910" s="56"/>
      <c r="I5910" s="56"/>
      <c r="J5910" s="58"/>
      <c r="K5910" s="58"/>
      <c r="L5910" s="13" t="str">
        <f t="shared" si="920"/>
        <v/>
      </c>
      <c r="M5910" s="13" t="str">
        <f t="shared" si="921"/>
        <v/>
      </c>
      <c r="Q5910" t="str">
        <f t="shared" si="922"/>
        <v/>
      </c>
      <c r="R5910" t="str">
        <f t="shared" si="923"/>
        <v/>
      </c>
      <c r="S5910" t="str">
        <f t="shared" si="924"/>
        <v/>
      </c>
      <c r="T5910" t="str">
        <f t="shared" si="925"/>
        <v/>
      </c>
      <c r="U5910" t="str">
        <f t="shared" si="926"/>
        <v/>
      </c>
      <c r="V5910" t="str">
        <f t="shared" si="927"/>
        <v/>
      </c>
      <c r="W5910" t="str">
        <f t="shared" si="928"/>
        <v/>
      </c>
      <c r="X5910">
        <f>IF($T5910="",N($X5909),IF(MATCH($T5910,$T$6:$T$10005,0)=ROW()-5,N($X5909)+1,N($X5909)))</f>
        <v>0</v>
      </c>
      <c r="Z5910" t="str">
        <f t="shared" si="929"/>
        <v/>
      </c>
      <c r="AA5910">
        <f>IF($V5910="",N($AA5909),IF(MATCH($V5910,$V$6:$V$10005,0)=ROW()-5,N($AA5909)+1,N($AA5909)))</f>
        <v>0</v>
      </c>
    </row>
    <row r="5911" spans="1:27" ht="21" customHeight="1" x14ac:dyDescent="0.95">
      <c r="A5911" s="56"/>
      <c r="B5911" s="57"/>
      <c r="C5911" s="57"/>
      <c r="D5911" s="57"/>
      <c r="E5911" s="56"/>
      <c r="F5911" s="57"/>
      <c r="G5911" s="57"/>
      <c r="H5911" s="56"/>
      <c r="I5911" s="56"/>
      <c r="J5911" s="58"/>
      <c r="K5911" s="58"/>
      <c r="L5911" s="13" t="str">
        <f t="shared" si="920"/>
        <v/>
      </c>
      <c r="M5911" s="13" t="str">
        <f t="shared" si="921"/>
        <v/>
      </c>
      <c r="Q5911" t="str">
        <f t="shared" si="922"/>
        <v/>
      </c>
      <c r="R5911" t="str">
        <f t="shared" si="923"/>
        <v/>
      </c>
      <c r="S5911" t="str">
        <f t="shared" si="924"/>
        <v/>
      </c>
      <c r="T5911" t="str">
        <f t="shared" si="925"/>
        <v/>
      </c>
      <c r="U5911" t="str">
        <f t="shared" si="926"/>
        <v/>
      </c>
      <c r="V5911" t="str">
        <f t="shared" si="927"/>
        <v/>
      </c>
      <c r="W5911" t="str">
        <f t="shared" si="928"/>
        <v/>
      </c>
      <c r="X5911">
        <f>IF($T5911="",N($X5910),IF(MATCH($T5911,$T$6:$T$10005,0)=ROW()-5,N($X5910)+1,N($X5910)))</f>
        <v>0</v>
      </c>
      <c r="Z5911" t="str">
        <f t="shared" si="929"/>
        <v/>
      </c>
      <c r="AA5911">
        <f>IF($V5911="",N($AA5910),IF(MATCH($V5911,$V$6:$V$10005,0)=ROW()-5,N($AA5910)+1,N($AA5910)))</f>
        <v>0</v>
      </c>
    </row>
    <row r="5912" spans="1:27" ht="21" customHeight="1" x14ac:dyDescent="0.95">
      <c r="A5912" s="56"/>
      <c r="B5912" s="57"/>
      <c r="C5912" s="57"/>
      <c r="D5912" s="57"/>
      <c r="E5912" s="56"/>
      <c r="F5912" s="57"/>
      <c r="G5912" s="57"/>
      <c r="H5912" s="56"/>
      <c r="I5912" s="56"/>
      <c r="J5912" s="58"/>
      <c r="K5912" s="58"/>
      <c r="L5912" s="13" t="str">
        <f t="shared" si="920"/>
        <v/>
      </c>
      <c r="M5912" s="13" t="str">
        <f t="shared" si="921"/>
        <v/>
      </c>
      <c r="Q5912" t="str">
        <f t="shared" si="922"/>
        <v/>
      </c>
      <c r="R5912" t="str">
        <f t="shared" si="923"/>
        <v/>
      </c>
      <c r="S5912" t="str">
        <f t="shared" si="924"/>
        <v/>
      </c>
      <c r="T5912" t="str">
        <f t="shared" si="925"/>
        <v/>
      </c>
      <c r="U5912" t="str">
        <f t="shared" si="926"/>
        <v/>
      </c>
      <c r="V5912" t="str">
        <f t="shared" si="927"/>
        <v/>
      </c>
      <c r="W5912" t="str">
        <f t="shared" si="928"/>
        <v/>
      </c>
      <c r="X5912">
        <f>IF($T5912="",N($X5911),IF(MATCH($T5912,$T$6:$T$10005,0)=ROW()-5,N($X5911)+1,N($X5911)))</f>
        <v>0</v>
      </c>
      <c r="Z5912" t="str">
        <f t="shared" si="929"/>
        <v/>
      </c>
      <c r="AA5912">
        <f>IF($V5912="",N($AA5911),IF(MATCH($V5912,$V$6:$V$10005,0)=ROW()-5,N($AA5911)+1,N($AA5911)))</f>
        <v>0</v>
      </c>
    </row>
    <row r="5913" spans="1:27" ht="21" customHeight="1" x14ac:dyDescent="0.95">
      <c r="A5913" s="56"/>
      <c r="B5913" s="57"/>
      <c r="C5913" s="57"/>
      <c r="D5913" s="57"/>
      <c r="E5913" s="56"/>
      <c r="F5913" s="57"/>
      <c r="G5913" s="57"/>
      <c r="H5913" s="56"/>
      <c r="I5913" s="56"/>
      <c r="J5913" s="58"/>
      <c r="K5913" s="58"/>
      <c r="L5913" s="13" t="str">
        <f t="shared" si="920"/>
        <v/>
      </c>
      <c r="M5913" s="13" t="str">
        <f t="shared" si="921"/>
        <v/>
      </c>
      <c r="Q5913" t="str">
        <f t="shared" si="922"/>
        <v/>
      </c>
      <c r="R5913" t="str">
        <f t="shared" si="923"/>
        <v/>
      </c>
      <c r="S5913" t="str">
        <f t="shared" si="924"/>
        <v/>
      </c>
      <c r="T5913" t="str">
        <f t="shared" si="925"/>
        <v/>
      </c>
      <c r="U5913" t="str">
        <f t="shared" si="926"/>
        <v/>
      </c>
      <c r="V5913" t="str">
        <f t="shared" si="927"/>
        <v/>
      </c>
      <c r="W5913" t="str">
        <f t="shared" si="928"/>
        <v/>
      </c>
      <c r="X5913">
        <f>IF($T5913="",N($X5912),IF(MATCH($T5913,$T$6:$T$10005,0)=ROW()-5,N($X5912)+1,N($X5912)))</f>
        <v>0</v>
      </c>
      <c r="Z5913" t="str">
        <f t="shared" si="929"/>
        <v/>
      </c>
      <c r="AA5913">
        <f>IF($V5913="",N($AA5912),IF(MATCH($V5913,$V$6:$V$10005,0)=ROW()-5,N($AA5912)+1,N($AA5912)))</f>
        <v>0</v>
      </c>
    </row>
    <row r="5914" spans="1:27" ht="21" customHeight="1" x14ac:dyDescent="0.95">
      <c r="A5914" s="56"/>
      <c r="B5914" s="57"/>
      <c r="C5914" s="57"/>
      <c r="D5914" s="57"/>
      <c r="E5914" s="56"/>
      <c r="F5914" s="57"/>
      <c r="G5914" s="57"/>
      <c r="H5914" s="56"/>
      <c r="I5914" s="56"/>
      <c r="J5914" s="58"/>
      <c r="K5914" s="58"/>
      <c r="L5914" s="13" t="str">
        <f t="shared" si="920"/>
        <v/>
      </c>
      <c r="M5914" s="13" t="str">
        <f t="shared" si="921"/>
        <v/>
      </c>
      <c r="Q5914" t="str">
        <f t="shared" si="922"/>
        <v/>
      </c>
      <c r="R5914" t="str">
        <f t="shared" si="923"/>
        <v/>
      </c>
      <c r="S5914" t="str">
        <f t="shared" si="924"/>
        <v/>
      </c>
      <c r="T5914" t="str">
        <f t="shared" si="925"/>
        <v/>
      </c>
      <c r="U5914" t="str">
        <f t="shared" si="926"/>
        <v/>
      </c>
      <c r="V5914" t="str">
        <f t="shared" si="927"/>
        <v/>
      </c>
      <c r="W5914" t="str">
        <f t="shared" si="928"/>
        <v/>
      </c>
      <c r="X5914">
        <f>IF($T5914="",N($X5913),IF(MATCH($T5914,$T$6:$T$10005,0)=ROW()-5,N($X5913)+1,N($X5913)))</f>
        <v>0</v>
      </c>
      <c r="Z5914" t="str">
        <f t="shared" si="929"/>
        <v/>
      </c>
      <c r="AA5914">
        <f>IF($V5914="",N($AA5913),IF(MATCH($V5914,$V$6:$V$10005,0)=ROW()-5,N($AA5913)+1,N($AA5913)))</f>
        <v>0</v>
      </c>
    </row>
    <row r="5915" spans="1:27" ht="21" customHeight="1" x14ac:dyDescent="0.95">
      <c r="A5915" s="56"/>
      <c r="B5915" s="57"/>
      <c r="C5915" s="57"/>
      <c r="D5915" s="57"/>
      <c r="E5915" s="56"/>
      <c r="F5915" s="57"/>
      <c r="G5915" s="57"/>
      <c r="H5915" s="56"/>
      <c r="I5915" s="56"/>
      <c r="J5915" s="58"/>
      <c r="K5915" s="58"/>
      <c r="L5915" s="13" t="str">
        <f t="shared" si="920"/>
        <v/>
      </c>
      <c r="M5915" s="13" t="str">
        <f t="shared" si="921"/>
        <v/>
      </c>
      <c r="Q5915" t="str">
        <f t="shared" si="922"/>
        <v/>
      </c>
      <c r="R5915" t="str">
        <f t="shared" si="923"/>
        <v/>
      </c>
      <c r="S5915" t="str">
        <f t="shared" si="924"/>
        <v/>
      </c>
      <c r="T5915" t="str">
        <f t="shared" si="925"/>
        <v/>
      </c>
      <c r="U5915" t="str">
        <f t="shared" si="926"/>
        <v/>
      </c>
      <c r="V5915" t="str">
        <f t="shared" si="927"/>
        <v/>
      </c>
      <c r="W5915" t="str">
        <f t="shared" si="928"/>
        <v/>
      </c>
      <c r="X5915">
        <f>IF($T5915="",N($X5914),IF(MATCH($T5915,$T$6:$T$10005,0)=ROW()-5,N($X5914)+1,N($X5914)))</f>
        <v>0</v>
      </c>
      <c r="Z5915" t="str">
        <f t="shared" si="929"/>
        <v/>
      </c>
      <c r="AA5915">
        <f>IF($V5915="",N($AA5914),IF(MATCH($V5915,$V$6:$V$10005,0)=ROW()-5,N($AA5914)+1,N($AA5914)))</f>
        <v>0</v>
      </c>
    </row>
    <row r="5916" spans="1:27" ht="21" customHeight="1" x14ac:dyDescent="0.95">
      <c r="A5916" s="56"/>
      <c r="B5916" s="57"/>
      <c r="C5916" s="57"/>
      <c r="D5916" s="57"/>
      <c r="E5916" s="56"/>
      <c r="F5916" s="57"/>
      <c r="G5916" s="57"/>
      <c r="H5916" s="56"/>
      <c r="I5916" s="56"/>
      <c r="J5916" s="58"/>
      <c r="K5916" s="58"/>
      <c r="L5916" s="13" t="str">
        <f t="shared" si="920"/>
        <v/>
      </c>
      <c r="M5916" s="13" t="str">
        <f t="shared" si="921"/>
        <v/>
      </c>
      <c r="Q5916" t="str">
        <f t="shared" si="922"/>
        <v/>
      </c>
      <c r="R5916" t="str">
        <f t="shared" si="923"/>
        <v/>
      </c>
      <c r="S5916" t="str">
        <f t="shared" si="924"/>
        <v/>
      </c>
      <c r="T5916" t="str">
        <f t="shared" si="925"/>
        <v/>
      </c>
      <c r="U5916" t="str">
        <f t="shared" si="926"/>
        <v/>
      </c>
      <c r="V5916" t="str">
        <f t="shared" si="927"/>
        <v/>
      </c>
      <c r="W5916" t="str">
        <f t="shared" si="928"/>
        <v/>
      </c>
      <c r="X5916">
        <f>IF($T5916="",N($X5915),IF(MATCH($T5916,$T$6:$T$10005,0)=ROW()-5,N($X5915)+1,N($X5915)))</f>
        <v>0</v>
      </c>
      <c r="Z5916" t="str">
        <f t="shared" si="929"/>
        <v/>
      </c>
      <c r="AA5916">
        <f>IF($V5916="",N($AA5915),IF(MATCH($V5916,$V$6:$V$10005,0)=ROW()-5,N($AA5915)+1,N($AA5915)))</f>
        <v>0</v>
      </c>
    </row>
    <row r="5917" spans="1:27" ht="21" customHeight="1" x14ac:dyDescent="0.95">
      <c r="A5917" s="56"/>
      <c r="B5917" s="57"/>
      <c r="C5917" s="57"/>
      <c r="D5917" s="57"/>
      <c r="E5917" s="56"/>
      <c r="F5917" s="57"/>
      <c r="G5917" s="57"/>
      <c r="H5917" s="56"/>
      <c r="I5917" s="56"/>
      <c r="J5917" s="58"/>
      <c r="K5917" s="58"/>
      <c r="L5917" s="13" t="str">
        <f t="shared" si="920"/>
        <v/>
      </c>
      <c r="M5917" s="13" t="str">
        <f t="shared" si="921"/>
        <v/>
      </c>
      <c r="Q5917" t="str">
        <f t="shared" si="922"/>
        <v/>
      </c>
      <c r="R5917" t="str">
        <f t="shared" si="923"/>
        <v/>
      </c>
      <c r="S5917" t="str">
        <f t="shared" si="924"/>
        <v/>
      </c>
      <c r="T5917" t="str">
        <f t="shared" si="925"/>
        <v/>
      </c>
      <c r="U5917" t="str">
        <f t="shared" si="926"/>
        <v/>
      </c>
      <c r="V5917" t="str">
        <f t="shared" si="927"/>
        <v/>
      </c>
      <c r="W5917" t="str">
        <f t="shared" si="928"/>
        <v/>
      </c>
      <c r="X5917">
        <f>IF($T5917="",N($X5916),IF(MATCH($T5917,$T$6:$T$10005,0)=ROW()-5,N($X5916)+1,N($X5916)))</f>
        <v>0</v>
      </c>
      <c r="Z5917" t="str">
        <f t="shared" si="929"/>
        <v/>
      </c>
      <c r="AA5917">
        <f>IF($V5917="",N($AA5916),IF(MATCH($V5917,$V$6:$V$10005,0)=ROW()-5,N($AA5916)+1,N($AA5916)))</f>
        <v>0</v>
      </c>
    </row>
    <row r="5918" spans="1:27" ht="21" customHeight="1" x14ac:dyDescent="0.95">
      <c r="A5918" s="56"/>
      <c r="B5918" s="57"/>
      <c r="C5918" s="57"/>
      <c r="D5918" s="57"/>
      <c r="E5918" s="56"/>
      <c r="F5918" s="57"/>
      <c r="G5918" s="57"/>
      <c r="H5918" s="56"/>
      <c r="I5918" s="56"/>
      <c r="J5918" s="58"/>
      <c r="K5918" s="58"/>
      <c r="L5918" s="13" t="str">
        <f t="shared" si="920"/>
        <v/>
      </c>
      <c r="M5918" s="13" t="str">
        <f t="shared" si="921"/>
        <v/>
      </c>
      <c r="Q5918" t="str">
        <f t="shared" si="922"/>
        <v/>
      </c>
      <c r="R5918" t="str">
        <f t="shared" si="923"/>
        <v/>
      </c>
      <c r="S5918" t="str">
        <f t="shared" si="924"/>
        <v/>
      </c>
      <c r="T5918" t="str">
        <f t="shared" si="925"/>
        <v/>
      </c>
      <c r="U5918" t="str">
        <f t="shared" si="926"/>
        <v/>
      </c>
      <c r="V5918" t="str">
        <f t="shared" si="927"/>
        <v/>
      </c>
      <c r="W5918" t="str">
        <f t="shared" si="928"/>
        <v/>
      </c>
      <c r="X5918">
        <f>IF($T5918="",N($X5917),IF(MATCH($T5918,$T$6:$T$10005,0)=ROW()-5,N($X5917)+1,N($X5917)))</f>
        <v>0</v>
      </c>
      <c r="Z5918" t="str">
        <f t="shared" si="929"/>
        <v/>
      </c>
      <c r="AA5918">
        <f>IF($V5918="",N($AA5917),IF(MATCH($V5918,$V$6:$V$10005,0)=ROW()-5,N($AA5917)+1,N($AA5917)))</f>
        <v>0</v>
      </c>
    </row>
    <row r="5919" spans="1:27" ht="21" customHeight="1" x14ac:dyDescent="0.95">
      <c r="A5919" s="56"/>
      <c r="B5919" s="57"/>
      <c r="C5919" s="57"/>
      <c r="D5919" s="57"/>
      <c r="E5919" s="56"/>
      <c r="F5919" s="57"/>
      <c r="G5919" s="57"/>
      <c r="H5919" s="56"/>
      <c r="I5919" s="56"/>
      <c r="J5919" s="58"/>
      <c r="K5919" s="58"/>
      <c r="L5919" s="13" t="str">
        <f t="shared" si="920"/>
        <v/>
      </c>
      <c r="M5919" s="13" t="str">
        <f t="shared" si="921"/>
        <v/>
      </c>
      <c r="Q5919" t="str">
        <f t="shared" si="922"/>
        <v/>
      </c>
      <c r="R5919" t="str">
        <f t="shared" si="923"/>
        <v/>
      </c>
      <c r="S5919" t="str">
        <f t="shared" si="924"/>
        <v/>
      </c>
      <c r="T5919" t="str">
        <f t="shared" si="925"/>
        <v/>
      </c>
      <c r="U5919" t="str">
        <f t="shared" si="926"/>
        <v/>
      </c>
      <c r="V5919" t="str">
        <f t="shared" si="927"/>
        <v/>
      </c>
      <c r="W5919" t="str">
        <f t="shared" si="928"/>
        <v/>
      </c>
      <c r="X5919">
        <f>IF($T5919="",N($X5918),IF(MATCH($T5919,$T$6:$T$10005,0)=ROW()-5,N($X5918)+1,N($X5918)))</f>
        <v>0</v>
      </c>
      <c r="Z5919" t="str">
        <f t="shared" si="929"/>
        <v/>
      </c>
      <c r="AA5919">
        <f>IF($V5919="",N($AA5918),IF(MATCH($V5919,$V$6:$V$10005,0)=ROW()-5,N($AA5918)+1,N($AA5918)))</f>
        <v>0</v>
      </c>
    </row>
    <row r="5920" spans="1:27" ht="21" customHeight="1" x14ac:dyDescent="0.95">
      <c r="A5920" s="56"/>
      <c r="B5920" s="57"/>
      <c r="C5920" s="57"/>
      <c r="D5920" s="57"/>
      <c r="E5920" s="56"/>
      <c r="F5920" s="57"/>
      <c r="G5920" s="57"/>
      <c r="H5920" s="56"/>
      <c r="I5920" s="56"/>
      <c r="J5920" s="58"/>
      <c r="K5920" s="58"/>
      <c r="L5920" s="13" t="str">
        <f t="shared" si="920"/>
        <v/>
      </c>
      <c r="M5920" s="13" t="str">
        <f t="shared" si="921"/>
        <v/>
      </c>
      <c r="Q5920" t="str">
        <f t="shared" si="922"/>
        <v/>
      </c>
      <c r="R5920" t="str">
        <f t="shared" si="923"/>
        <v/>
      </c>
      <c r="S5920" t="str">
        <f t="shared" si="924"/>
        <v/>
      </c>
      <c r="T5920" t="str">
        <f t="shared" si="925"/>
        <v/>
      </c>
      <c r="U5920" t="str">
        <f t="shared" si="926"/>
        <v/>
      </c>
      <c r="V5920" t="str">
        <f t="shared" si="927"/>
        <v/>
      </c>
      <c r="W5920" t="str">
        <f t="shared" si="928"/>
        <v/>
      </c>
      <c r="X5920">
        <f>IF($T5920="",N($X5919),IF(MATCH($T5920,$T$6:$T$10005,0)=ROW()-5,N($X5919)+1,N($X5919)))</f>
        <v>0</v>
      </c>
      <c r="Z5920" t="str">
        <f t="shared" si="929"/>
        <v/>
      </c>
      <c r="AA5920">
        <f>IF($V5920="",N($AA5919),IF(MATCH($V5920,$V$6:$V$10005,0)=ROW()-5,N($AA5919)+1,N($AA5919)))</f>
        <v>0</v>
      </c>
    </row>
    <row r="5921" spans="1:27" ht="21" customHeight="1" x14ac:dyDescent="0.95">
      <c r="A5921" s="56"/>
      <c r="B5921" s="57"/>
      <c r="C5921" s="57"/>
      <c r="D5921" s="57"/>
      <c r="E5921" s="56"/>
      <c r="F5921" s="57"/>
      <c r="G5921" s="57"/>
      <c r="H5921" s="56"/>
      <c r="I5921" s="56"/>
      <c r="J5921" s="58"/>
      <c r="K5921" s="58"/>
      <c r="L5921" s="13" t="str">
        <f t="shared" si="920"/>
        <v/>
      </c>
      <c r="M5921" s="13" t="str">
        <f t="shared" si="921"/>
        <v/>
      </c>
      <c r="Q5921" t="str">
        <f t="shared" si="922"/>
        <v/>
      </c>
      <c r="R5921" t="str">
        <f t="shared" si="923"/>
        <v/>
      </c>
      <c r="S5921" t="str">
        <f t="shared" si="924"/>
        <v/>
      </c>
      <c r="T5921" t="str">
        <f t="shared" si="925"/>
        <v/>
      </c>
      <c r="U5921" t="str">
        <f t="shared" si="926"/>
        <v/>
      </c>
      <c r="V5921" t="str">
        <f t="shared" si="927"/>
        <v/>
      </c>
      <c r="W5921" t="str">
        <f t="shared" si="928"/>
        <v/>
      </c>
      <c r="X5921">
        <f>IF($T5921="",N($X5920),IF(MATCH($T5921,$T$6:$T$10005,0)=ROW()-5,N($X5920)+1,N($X5920)))</f>
        <v>0</v>
      </c>
      <c r="Z5921" t="str">
        <f t="shared" si="929"/>
        <v/>
      </c>
      <c r="AA5921">
        <f>IF($V5921="",N($AA5920),IF(MATCH($V5921,$V$6:$V$10005,0)=ROW()-5,N($AA5920)+1,N($AA5920)))</f>
        <v>0</v>
      </c>
    </row>
    <row r="5922" spans="1:27" ht="21" customHeight="1" x14ac:dyDescent="0.95">
      <c r="A5922" s="56"/>
      <c r="B5922" s="57"/>
      <c r="C5922" s="57"/>
      <c r="D5922" s="57"/>
      <c r="E5922" s="56"/>
      <c r="F5922" s="57"/>
      <c r="G5922" s="57"/>
      <c r="H5922" s="56"/>
      <c r="I5922" s="56"/>
      <c r="J5922" s="58"/>
      <c r="K5922" s="58"/>
      <c r="L5922" s="13" t="str">
        <f t="shared" si="920"/>
        <v/>
      </c>
      <c r="M5922" s="13" t="str">
        <f t="shared" si="921"/>
        <v/>
      </c>
      <c r="Q5922" t="str">
        <f t="shared" si="922"/>
        <v/>
      </c>
      <c r="R5922" t="str">
        <f t="shared" si="923"/>
        <v/>
      </c>
      <c r="S5922" t="str">
        <f t="shared" si="924"/>
        <v/>
      </c>
      <c r="T5922" t="str">
        <f t="shared" si="925"/>
        <v/>
      </c>
      <c r="U5922" t="str">
        <f t="shared" si="926"/>
        <v/>
      </c>
      <c r="V5922" t="str">
        <f t="shared" si="927"/>
        <v/>
      </c>
      <c r="W5922" t="str">
        <f t="shared" si="928"/>
        <v/>
      </c>
      <c r="X5922">
        <f>IF($T5922="",N($X5921),IF(MATCH($T5922,$T$6:$T$10005,0)=ROW()-5,N($X5921)+1,N($X5921)))</f>
        <v>0</v>
      </c>
      <c r="Z5922" t="str">
        <f t="shared" si="929"/>
        <v/>
      </c>
      <c r="AA5922">
        <f>IF($V5922="",N($AA5921),IF(MATCH($V5922,$V$6:$V$10005,0)=ROW()-5,N($AA5921)+1,N($AA5921)))</f>
        <v>0</v>
      </c>
    </row>
    <row r="5923" spans="1:27" ht="21" customHeight="1" x14ac:dyDescent="0.95">
      <c r="A5923" s="56"/>
      <c r="B5923" s="57"/>
      <c r="C5923" s="57"/>
      <c r="D5923" s="57"/>
      <c r="E5923" s="56"/>
      <c r="F5923" s="57"/>
      <c r="G5923" s="57"/>
      <c r="H5923" s="56"/>
      <c r="I5923" s="56"/>
      <c r="J5923" s="58"/>
      <c r="K5923" s="58"/>
      <c r="L5923" s="13" t="str">
        <f t="shared" si="920"/>
        <v/>
      </c>
      <c r="M5923" s="13" t="str">
        <f t="shared" si="921"/>
        <v/>
      </c>
      <c r="Q5923" t="str">
        <f t="shared" si="922"/>
        <v/>
      </c>
      <c r="R5923" t="str">
        <f t="shared" si="923"/>
        <v/>
      </c>
      <c r="S5923" t="str">
        <f t="shared" si="924"/>
        <v/>
      </c>
      <c r="T5923" t="str">
        <f t="shared" si="925"/>
        <v/>
      </c>
      <c r="U5923" t="str">
        <f t="shared" si="926"/>
        <v/>
      </c>
      <c r="V5923" t="str">
        <f t="shared" si="927"/>
        <v/>
      </c>
      <c r="W5923" t="str">
        <f t="shared" si="928"/>
        <v/>
      </c>
      <c r="X5923">
        <f>IF($T5923="",N($X5922),IF(MATCH($T5923,$T$6:$T$10005,0)=ROW()-5,N($X5922)+1,N($X5922)))</f>
        <v>0</v>
      </c>
      <c r="Z5923" t="str">
        <f t="shared" si="929"/>
        <v/>
      </c>
      <c r="AA5923">
        <f>IF($V5923="",N($AA5922),IF(MATCH($V5923,$V$6:$V$10005,0)=ROW()-5,N($AA5922)+1,N($AA5922)))</f>
        <v>0</v>
      </c>
    </row>
    <row r="5924" spans="1:27" ht="21" customHeight="1" x14ac:dyDescent="0.95">
      <c r="A5924" s="56"/>
      <c r="B5924" s="57"/>
      <c r="C5924" s="57"/>
      <c r="D5924" s="57"/>
      <c r="E5924" s="56"/>
      <c r="F5924" s="57"/>
      <c r="G5924" s="57"/>
      <c r="H5924" s="56"/>
      <c r="I5924" s="56"/>
      <c r="J5924" s="58"/>
      <c r="K5924" s="58"/>
      <c r="L5924" s="13" t="str">
        <f t="shared" si="920"/>
        <v/>
      </c>
      <c r="M5924" s="13" t="str">
        <f t="shared" si="921"/>
        <v/>
      </c>
      <c r="Q5924" t="str">
        <f t="shared" si="922"/>
        <v/>
      </c>
      <c r="R5924" t="str">
        <f t="shared" si="923"/>
        <v/>
      </c>
      <c r="S5924" t="str">
        <f t="shared" si="924"/>
        <v/>
      </c>
      <c r="T5924" t="str">
        <f t="shared" si="925"/>
        <v/>
      </c>
      <c r="U5924" t="str">
        <f t="shared" si="926"/>
        <v/>
      </c>
      <c r="V5924" t="str">
        <f t="shared" si="927"/>
        <v/>
      </c>
      <c r="W5924" t="str">
        <f t="shared" si="928"/>
        <v/>
      </c>
      <c r="X5924">
        <f>IF($T5924="",N($X5923),IF(MATCH($T5924,$T$6:$T$10005,0)=ROW()-5,N($X5923)+1,N($X5923)))</f>
        <v>0</v>
      </c>
      <c r="Z5924" t="str">
        <f t="shared" si="929"/>
        <v/>
      </c>
      <c r="AA5924">
        <f>IF($V5924="",N($AA5923),IF(MATCH($V5924,$V$6:$V$10005,0)=ROW()-5,N($AA5923)+1,N($AA5923)))</f>
        <v>0</v>
      </c>
    </row>
    <row r="5925" spans="1:27" ht="21" customHeight="1" x14ac:dyDescent="0.95">
      <c r="A5925" s="56"/>
      <c r="B5925" s="57"/>
      <c r="C5925" s="57"/>
      <c r="D5925" s="57"/>
      <c r="E5925" s="56"/>
      <c r="F5925" s="57"/>
      <c r="G5925" s="57"/>
      <c r="H5925" s="56"/>
      <c r="I5925" s="56"/>
      <c r="J5925" s="58"/>
      <c r="K5925" s="58"/>
      <c r="L5925" s="13" t="str">
        <f t="shared" si="920"/>
        <v/>
      </c>
      <c r="M5925" s="13" t="str">
        <f t="shared" si="921"/>
        <v/>
      </c>
      <c r="Q5925" t="str">
        <f t="shared" si="922"/>
        <v/>
      </c>
      <c r="R5925" t="str">
        <f t="shared" si="923"/>
        <v/>
      </c>
      <c r="S5925" t="str">
        <f t="shared" si="924"/>
        <v/>
      </c>
      <c r="T5925" t="str">
        <f t="shared" si="925"/>
        <v/>
      </c>
      <c r="U5925" t="str">
        <f t="shared" si="926"/>
        <v/>
      </c>
      <c r="V5925" t="str">
        <f t="shared" si="927"/>
        <v/>
      </c>
      <c r="W5925" t="str">
        <f t="shared" si="928"/>
        <v/>
      </c>
      <c r="X5925">
        <f>IF($T5925="",N($X5924),IF(MATCH($T5925,$T$6:$T$10005,0)=ROW()-5,N($X5924)+1,N($X5924)))</f>
        <v>0</v>
      </c>
      <c r="Z5925" t="str">
        <f t="shared" si="929"/>
        <v/>
      </c>
      <c r="AA5925">
        <f>IF($V5925="",N($AA5924),IF(MATCH($V5925,$V$6:$V$10005,0)=ROW()-5,N($AA5924)+1,N($AA5924)))</f>
        <v>0</v>
      </c>
    </row>
    <row r="5926" spans="1:27" ht="21" customHeight="1" x14ac:dyDescent="0.95">
      <c r="A5926" s="56"/>
      <c r="B5926" s="57"/>
      <c r="C5926" s="57"/>
      <c r="D5926" s="57"/>
      <c r="E5926" s="56"/>
      <c r="F5926" s="57"/>
      <c r="G5926" s="57"/>
      <c r="H5926" s="56"/>
      <c r="I5926" s="56"/>
      <c r="J5926" s="58"/>
      <c r="K5926" s="58"/>
      <c r="L5926" s="13" t="str">
        <f t="shared" si="920"/>
        <v/>
      </c>
      <c r="M5926" s="13" t="str">
        <f t="shared" si="921"/>
        <v/>
      </c>
      <c r="Q5926" t="str">
        <f t="shared" si="922"/>
        <v/>
      </c>
      <c r="R5926" t="str">
        <f t="shared" si="923"/>
        <v/>
      </c>
      <c r="S5926" t="str">
        <f t="shared" si="924"/>
        <v/>
      </c>
      <c r="T5926" t="str">
        <f t="shared" si="925"/>
        <v/>
      </c>
      <c r="U5926" t="str">
        <f t="shared" si="926"/>
        <v/>
      </c>
      <c r="V5926" t="str">
        <f t="shared" si="927"/>
        <v/>
      </c>
      <c r="W5926" t="str">
        <f t="shared" si="928"/>
        <v/>
      </c>
      <c r="X5926">
        <f>IF($T5926="",N($X5925),IF(MATCH($T5926,$T$6:$T$10005,0)=ROW()-5,N($X5925)+1,N($X5925)))</f>
        <v>0</v>
      </c>
      <c r="Z5926" t="str">
        <f t="shared" si="929"/>
        <v/>
      </c>
      <c r="AA5926">
        <f>IF($V5926="",N($AA5925),IF(MATCH($V5926,$V$6:$V$10005,0)=ROW()-5,N($AA5925)+1,N($AA5925)))</f>
        <v>0</v>
      </c>
    </row>
    <row r="5927" spans="1:27" ht="21" customHeight="1" x14ac:dyDescent="0.95">
      <c r="A5927" s="56"/>
      <c r="B5927" s="57"/>
      <c r="C5927" s="57"/>
      <c r="D5927" s="57"/>
      <c r="E5927" s="56"/>
      <c r="F5927" s="57"/>
      <c r="G5927" s="57"/>
      <c r="H5927" s="56"/>
      <c r="I5927" s="56"/>
      <c r="J5927" s="58"/>
      <c r="K5927" s="58"/>
      <c r="L5927" s="13" t="str">
        <f t="shared" si="920"/>
        <v/>
      </c>
      <c r="M5927" s="13" t="str">
        <f t="shared" si="921"/>
        <v/>
      </c>
      <c r="Q5927" t="str">
        <f t="shared" si="922"/>
        <v/>
      </c>
      <c r="R5927" t="str">
        <f t="shared" si="923"/>
        <v/>
      </c>
      <c r="S5927" t="str">
        <f t="shared" si="924"/>
        <v/>
      </c>
      <c r="T5927" t="str">
        <f t="shared" si="925"/>
        <v/>
      </c>
      <c r="U5927" t="str">
        <f t="shared" si="926"/>
        <v/>
      </c>
      <c r="V5927" t="str">
        <f t="shared" si="927"/>
        <v/>
      </c>
      <c r="W5927" t="str">
        <f t="shared" si="928"/>
        <v/>
      </c>
      <c r="X5927">
        <f>IF($T5927="",N($X5926),IF(MATCH($T5927,$T$6:$T$10005,0)=ROW()-5,N($X5926)+1,N($X5926)))</f>
        <v>0</v>
      </c>
      <c r="Z5927" t="str">
        <f t="shared" si="929"/>
        <v/>
      </c>
      <c r="AA5927">
        <f>IF($V5927="",N($AA5926),IF(MATCH($V5927,$V$6:$V$10005,0)=ROW()-5,N($AA5926)+1,N($AA5926)))</f>
        <v>0</v>
      </c>
    </row>
    <row r="5928" spans="1:27" ht="21" customHeight="1" x14ac:dyDescent="0.95">
      <c r="A5928" s="56"/>
      <c r="B5928" s="57"/>
      <c r="C5928" s="57"/>
      <c r="D5928" s="57"/>
      <c r="E5928" s="56"/>
      <c r="F5928" s="57"/>
      <c r="G5928" s="57"/>
      <c r="H5928" s="56"/>
      <c r="I5928" s="56"/>
      <c r="J5928" s="58"/>
      <c r="K5928" s="58"/>
      <c r="L5928" s="13" t="str">
        <f t="shared" si="920"/>
        <v/>
      </c>
      <c r="M5928" s="13" t="str">
        <f t="shared" si="921"/>
        <v/>
      </c>
      <c r="Q5928" t="str">
        <f t="shared" si="922"/>
        <v/>
      </c>
      <c r="R5928" t="str">
        <f t="shared" si="923"/>
        <v/>
      </c>
      <c r="S5928" t="str">
        <f t="shared" si="924"/>
        <v/>
      </c>
      <c r="T5928" t="str">
        <f t="shared" si="925"/>
        <v/>
      </c>
      <c r="U5928" t="str">
        <f t="shared" si="926"/>
        <v/>
      </c>
      <c r="V5928" t="str">
        <f t="shared" si="927"/>
        <v/>
      </c>
      <c r="W5928" t="str">
        <f t="shared" si="928"/>
        <v/>
      </c>
      <c r="X5928">
        <f>IF($T5928="",N($X5927),IF(MATCH($T5928,$T$6:$T$10005,0)=ROW()-5,N($X5927)+1,N($X5927)))</f>
        <v>0</v>
      </c>
      <c r="Z5928" t="str">
        <f t="shared" si="929"/>
        <v/>
      </c>
      <c r="AA5928">
        <f>IF($V5928="",N($AA5927),IF(MATCH($V5928,$V$6:$V$10005,0)=ROW()-5,N($AA5927)+1,N($AA5927)))</f>
        <v>0</v>
      </c>
    </row>
    <row r="5929" spans="1:27" ht="21" customHeight="1" x14ac:dyDescent="0.95">
      <c r="A5929" s="56"/>
      <c r="B5929" s="57"/>
      <c r="C5929" s="57"/>
      <c r="D5929" s="57"/>
      <c r="E5929" s="56"/>
      <c r="F5929" s="57"/>
      <c r="G5929" s="57"/>
      <c r="H5929" s="56"/>
      <c r="I5929" s="56"/>
      <c r="J5929" s="58"/>
      <c r="K5929" s="58"/>
      <c r="L5929" s="13" t="str">
        <f t="shared" si="920"/>
        <v/>
      </c>
      <c r="M5929" s="13" t="str">
        <f t="shared" si="921"/>
        <v/>
      </c>
      <c r="Q5929" t="str">
        <f t="shared" si="922"/>
        <v/>
      </c>
      <c r="R5929" t="str">
        <f t="shared" si="923"/>
        <v/>
      </c>
      <c r="S5929" t="str">
        <f t="shared" si="924"/>
        <v/>
      </c>
      <c r="T5929" t="str">
        <f t="shared" si="925"/>
        <v/>
      </c>
      <c r="U5929" t="str">
        <f t="shared" si="926"/>
        <v/>
      </c>
      <c r="V5929" t="str">
        <f t="shared" si="927"/>
        <v/>
      </c>
      <c r="W5929" t="str">
        <f t="shared" si="928"/>
        <v/>
      </c>
      <c r="X5929">
        <f>IF($T5929="",N($X5928),IF(MATCH($T5929,$T$6:$T$10005,0)=ROW()-5,N($X5928)+1,N($X5928)))</f>
        <v>0</v>
      </c>
      <c r="Z5929" t="str">
        <f t="shared" si="929"/>
        <v/>
      </c>
      <c r="AA5929">
        <f>IF($V5929="",N($AA5928),IF(MATCH($V5929,$V$6:$V$10005,0)=ROW()-5,N($AA5928)+1,N($AA5928)))</f>
        <v>0</v>
      </c>
    </row>
    <row r="5930" spans="1:27" ht="21" customHeight="1" x14ac:dyDescent="0.95">
      <c r="A5930" s="56"/>
      <c r="B5930" s="57"/>
      <c r="C5930" s="57"/>
      <c r="D5930" s="57"/>
      <c r="E5930" s="56"/>
      <c r="F5930" s="57"/>
      <c r="G5930" s="57"/>
      <c r="H5930" s="56"/>
      <c r="I5930" s="56"/>
      <c r="J5930" s="58"/>
      <c r="K5930" s="58"/>
      <c r="L5930" s="13" t="str">
        <f t="shared" si="920"/>
        <v/>
      </c>
      <c r="M5930" s="13" t="str">
        <f t="shared" si="921"/>
        <v/>
      </c>
      <c r="Q5930" t="str">
        <f t="shared" si="922"/>
        <v/>
      </c>
      <c r="R5930" t="str">
        <f t="shared" si="923"/>
        <v/>
      </c>
      <c r="S5930" t="str">
        <f t="shared" si="924"/>
        <v/>
      </c>
      <c r="T5930" t="str">
        <f t="shared" si="925"/>
        <v/>
      </c>
      <c r="U5930" t="str">
        <f t="shared" si="926"/>
        <v/>
      </c>
      <c r="V5930" t="str">
        <f t="shared" si="927"/>
        <v/>
      </c>
      <c r="W5930" t="str">
        <f t="shared" si="928"/>
        <v/>
      </c>
      <c r="X5930">
        <f>IF($T5930="",N($X5929),IF(MATCH($T5930,$T$6:$T$10005,0)=ROW()-5,N($X5929)+1,N($X5929)))</f>
        <v>0</v>
      </c>
      <c r="Z5930" t="str">
        <f t="shared" si="929"/>
        <v/>
      </c>
      <c r="AA5930">
        <f>IF($V5930="",N($AA5929),IF(MATCH($V5930,$V$6:$V$10005,0)=ROW()-5,N($AA5929)+1,N($AA5929)))</f>
        <v>0</v>
      </c>
    </row>
    <row r="5931" spans="1:27" ht="21" customHeight="1" x14ac:dyDescent="0.95">
      <c r="A5931" s="56"/>
      <c r="B5931" s="57"/>
      <c r="C5931" s="57"/>
      <c r="D5931" s="57"/>
      <c r="E5931" s="56"/>
      <c r="F5931" s="57"/>
      <c r="G5931" s="57"/>
      <c r="H5931" s="56"/>
      <c r="I5931" s="56"/>
      <c r="J5931" s="58"/>
      <c r="K5931" s="58"/>
      <c r="L5931" s="13" t="str">
        <f t="shared" si="920"/>
        <v/>
      </c>
      <c r="M5931" s="13" t="str">
        <f t="shared" si="921"/>
        <v/>
      </c>
      <c r="Q5931" t="str">
        <f t="shared" si="922"/>
        <v/>
      </c>
      <c r="R5931" t="str">
        <f t="shared" si="923"/>
        <v/>
      </c>
      <c r="S5931" t="str">
        <f t="shared" si="924"/>
        <v/>
      </c>
      <c r="T5931" t="str">
        <f t="shared" si="925"/>
        <v/>
      </c>
      <c r="U5931" t="str">
        <f t="shared" si="926"/>
        <v/>
      </c>
      <c r="V5931" t="str">
        <f t="shared" si="927"/>
        <v/>
      </c>
      <c r="W5931" t="str">
        <f t="shared" si="928"/>
        <v/>
      </c>
      <c r="X5931">
        <f>IF($T5931="",N($X5930),IF(MATCH($T5931,$T$6:$T$10005,0)=ROW()-5,N($X5930)+1,N($X5930)))</f>
        <v>0</v>
      </c>
      <c r="Z5931" t="str">
        <f t="shared" si="929"/>
        <v/>
      </c>
      <c r="AA5931">
        <f>IF($V5931="",N($AA5930),IF(MATCH($V5931,$V$6:$V$10005,0)=ROW()-5,N($AA5930)+1,N($AA5930)))</f>
        <v>0</v>
      </c>
    </row>
    <row r="5932" spans="1:27" ht="21" customHeight="1" x14ac:dyDescent="0.95">
      <c r="A5932" s="56"/>
      <c r="B5932" s="57"/>
      <c r="C5932" s="57"/>
      <c r="D5932" s="57"/>
      <c r="E5932" s="56"/>
      <c r="F5932" s="57"/>
      <c r="G5932" s="57"/>
      <c r="H5932" s="56"/>
      <c r="I5932" s="56"/>
      <c r="J5932" s="58"/>
      <c r="K5932" s="58"/>
      <c r="L5932" s="13" t="str">
        <f t="shared" si="920"/>
        <v/>
      </c>
      <c r="M5932" s="13" t="str">
        <f t="shared" si="921"/>
        <v/>
      </c>
      <c r="Q5932" t="str">
        <f t="shared" si="922"/>
        <v/>
      </c>
      <c r="R5932" t="str">
        <f t="shared" si="923"/>
        <v/>
      </c>
      <c r="S5932" t="str">
        <f t="shared" si="924"/>
        <v/>
      </c>
      <c r="T5932" t="str">
        <f t="shared" si="925"/>
        <v/>
      </c>
      <c r="U5932" t="str">
        <f t="shared" si="926"/>
        <v/>
      </c>
      <c r="V5932" t="str">
        <f t="shared" si="927"/>
        <v/>
      </c>
      <c r="W5932" t="str">
        <f t="shared" si="928"/>
        <v/>
      </c>
      <c r="X5932">
        <f>IF($T5932="",N($X5931),IF(MATCH($T5932,$T$6:$T$10005,0)=ROW()-5,N($X5931)+1,N($X5931)))</f>
        <v>0</v>
      </c>
      <c r="Z5932" t="str">
        <f t="shared" si="929"/>
        <v/>
      </c>
      <c r="AA5932">
        <f>IF($V5932="",N($AA5931),IF(MATCH($V5932,$V$6:$V$10005,0)=ROW()-5,N($AA5931)+1,N($AA5931)))</f>
        <v>0</v>
      </c>
    </row>
    <row r="5933" spans="1:27" ht="21" customHeight="1" x14ac:dyDescent="0.95">
      <c r="A5933" s="56"/>
      <c r="B5933" s="57"/>
      <c r="C5933" s="57"/>
      <c r="D5933" s="57"/>
      <c r="E5933" s="56"/>
      <c r="F5933" s="57"/>
      <c r="G5933" s="57"/>
      <c r="H5933" s="56"/>
      <c r="I5933" s="56"/>
      <c r="J5933" s="58"/>
      <c r="K5933" s="58"/>
      <c r="L5933" s="13" t="str">
        <f t="shared" si="920"/>
        <v/>
      </c>
      <c r="M5933" s="13" t="str">
        <f t="shared" si="921"/>
        <v/>
      </c>
      <c r="Q5933" t="str">
        <f t="shared" si="922"/>
        <v/>
      </c>
      <c r="R5933" t="str">
        <f t="shared" si="923"/>
        <v/>
      </c>
      <c r="S5933" t="str">
        <f t="shared" si="924"/>
        <v/>
      </c>
      <c r="T5933" t="str">
        <f t="shared" si="925"/>
        <v/>
      </c>
      <c r="U5933" t="str">
        <f t="shared" si="926"/>
        <v/>
      </c>
      <c r="V5933" t="str">
        <f t="shared" si="927"/>
        <v/>
      </c>
      <c r="W5933" t="str">
        <f t="shared" si="928"/>
        <v/>
      </c>
      <c r="X5933">
        <f>IF($T5933="",N($X5932),IF(MATCH($T5933,$T$6:$T$10005,0)=ROW()-5,N($X5932)+1,N($X5932)))</f>
        <v>0</v>
      </c>
      <c r="Z5933" t="str">
        <f t="shared" si="929"/>
        <v/>
      </c>
      <c r="AA5933">
        <f>IF($V5933="",N($AA5932),IF(MATCH($V5933,$V$6:$V$10005,0)=ROW()-5,N($AA5932)+1,N($AA5932)))</f>
        <v>0</v>
      </c>
    </row>
    <row r="5934" spans="1:27" ht="21" customHeight="1" x14ac:dyDescent="0.95">
      <c r="A5934" s="56"/>
      <c r="B5934" s="57"/>
      <c r="C5934" s="57"/>
      <c r="D5934" s="57"/>
      <c r="E5934" s="56"/>
      <c r="F5934" s="57"/>
      <c r="G5934" s="57"/>
      <c r="H5934" s="56"/>
      <c r="I5934" s="56"/>
      <c r="J5934" s="58"/>
      <c r="K5934" s="58"/>
      <c r="L5934" s="13" t="str">
        <f t="shared" si="920"/>
        <v/>
      </c>
      <c r="M5934" s="13" t="str">
        <f t="shared" si="921"/>
        <v/>
      </c>
      <c r="Q5934" t="str">
        <f t="shared" si="922"/>
        <v/>
      </c>
      <c r="R5934" t="str">
        <f t="shared" si="923"/>
        <v/>
      </c>
      <c r="S5934" t="str">
        <f t="shared" si="924"/>
        <v/>
      </c>
      <c r="T5934" t="str">
        <f t="shared" si="925"/>
        <v/>
      </c>
      <c r="U5934" t="str">
        <f t="shared" si="926"/>
        <v/>
      </c>
      <c r="V5934" t="str">
        <f t="shared" si="927"/>
        <v/>
      </c>
      <c r="W5934" t="str">
        <f t="shared" si="928"/>
        <v/>
      </c>
      <c r="X5934">
        <f>IF($T5934="",N($X5933),IF(MATCH($T5934,$T$6:$T$10005,0)=ROW()-5,N($X5933)+1,N($X5933)))</f>
        <v>0</v>
      </c>
      <c r="Z5934" t="str">
        <f t="shared" si="929"/>
        <v/>
      </c>
      <c r="AA5934">
        <f>IF($V5934="",N($AA5933),IF(MATCH($V5934,$V$6:$V$10005,0)=ROW()-5,N($AA5933)+1,N($AA5933)))</f>
        <v>0</v>
      </c>
    </row>
    <row r="5935" spans="1:27" ht="21" customHeight="1" x14ac:dyDescent="0.95">
      <c r="A5935" s="56"/>
      <c r="B5935" s="57"/>
      <c r="C5935" s="57"/>
      <c r="D5935" s="57"/>
      <c r="E5935" s="56"/>
      <c r="F5935" s="57"/>
      <c r="G5935" s="57"/>
      <c r="H5935" s="56"/>
      <c r="I5935" s="56"/>
      <c r="J5935" s="58"/>
      <c r="K5935" s="58"/>
      <c r="L5935" s="13" t="str">
        <f t="shared" si="920"/>
        <v/>
      </c>
      <c r="M5935" s="13" t="str">
        <f t="shared" si="921"/>
        <v/>
      </c>
      <c r="Q5935" t="str">
        <f t="shared" si="922"/>
        <v/>
      </c>
      <c r="R5935" t="str">
        <f t="shared" si="923"/>
        <v/>
      </c>
      <c r="S5935" t="str">
        <f t="shared" si="924"/>
        <v/>
      </c>
      <c r="T5935" t="str">
        <f t="shared" si="925"/>
        <v/>
      </c>
      <c r="U5935" t="str">
        <f t="shared" si="926"/>
        <v/>
      </c>
      <c r="V5935" t="str">
        <f t="shared" si="927"/>
        <v/>
      </c>
      <c r="W5935" t="str">
        <f t="shared" si="928"/>
        <v/>
      </c>
      <c r="X5935">
        <f>IF($T5935="",N($X5934),IF(MATCH($T5935,$T$6:$T$10005,0)=ROW()-5,N($X5934)+1,N($X5934)))</f>
        <v>0</v>
      </c>
      <c r="Z5935" t="str">
        <f t="shared" si="929"/>
        <v/>
      </c>
      <c r="AA5935">
        <f>IF($V5935="",N($AA5934),IF(MATCH($V5935,$V$6:$V$10005,0)=ROW()-5,N($AA5934)+1,N($AA5934)))</f>
        <v>0</v>
      </c>
    </row>
    <row r="5936" spans="1:27" ht="21" customHeight="1" x14ac:dyDescent="0.95">
      <c r="A5936" s="56"/>
      <c r="B5936" s="57"/>
      <c r="C5936" s="57"/>
      <c r="D5936" s="57"/>
      <c r="E5936" s="56"/>
      <c r="F5936" s="57"/>
      <c r="G5936" s="57"/>
      <c r="H5936" s="56"/>
      <c r="I5936" s="56"/>
      <c r="J5936" s="58"/>
      <c r="K5936" s="58"/>
      <c r="L5936" s="13" t="str">
        <f t="shared" si="920"/>
        <v/>
      </c>
      <c r="M5936" s="13" t="str">
        <f t="shared" si="921"/>
        <v/>
      </c>
      <c r="Q5936" t="str">
        <f t="shared" si="922"/>
        <v/>
      </c>
      <c r="R5936" t="str">
        <f t="shared" si="923"/>
        <v/>
      </c>
      <c r="S5936" t="str">
        <f t="shared" si="924"/>
        <v/>
      </c>
      <c r="T5936" t="str">
        <f t="shared" si="925"/>
        <v/>
      </c>
      <c r="U5936" t="str">
        <f t="shared" si="926"/>
        <v/>
      </c>
      <c r="V5936" t="str">
        <f t="shared" si="927"/>
        <v/>
      </c>
      <c r="W5936" t="str">
        <f t="shared" si="928"/>
        <v/>
      </c>
      <c r="X5936">
        <f>IF($T5936="",N($X5935),IF(MATCH($T5936,$T$6:$T$10005,0)=ROW()-5,N($X5935)+1,N($X5935)))</f>
        <v>0</v>
      </c>
      <c r="Z5936" t="str">
        <f t="shared" si="929"/>
        <v/>
      </c>
      <c r="AA5936">
        <f>IF($V5936="",N($AA5935),IF(MATCH($V5936,$V$6:$V$10005,0)=ROW()-5,N($AA5935)+1,N($AA5935)))</f>
        <v>0</v>
      </c>
    </row>
    <row r="5937" spans="1:27" ht="21" customHeight="1" x14ac:dyDescent="0.95">
      <c r="A5937" s="56"/>
      <c r="B5937" s="57"/>
      <c r="C5937" s="57"/>
      <c r="D5937" s="57"/>
      <c r="E5937" s="56"/>
      <c r="F5937" s="57"/>
      <c r="G5937" s="57"/>
      <c r="H5937" s="56"/>
      <c r="I5937" s="56"/>
      <c r="J5937" s="58"/>
      <c r="K5937" s="58"/>
      <c r="L5937" s="13" t="str">
        <f t="shared" si="920"/>
        <v/>
      </c>
      <c r="M5937" s="13" t="str">
        <f t="shared" si="921"/>
        <v/>
      </c>
      <c r="Q5937" t="str">
        <f t="shared" si="922"/>
        <v/>
      </c>
      <c r="R5937" t="str">
        <f t="shared" si="923"/>
        <v/>
      </c>
      <c r="S5937" t="str">
        <f t="shared" si="924"/>
        <v/>
      </c>
      <c r="T5937" t="str">
        <f t="shared" si="925"/>
        <v/>
      </c>
      <c r="U5937" t="str">
        <f t="shared" si="926"/>
        <v/>
      </c>
      <c r="V5937" t="str">
        <f t="shared" si="927"/>
        <v/>
      </c>
      <c r="W5937" t="str">
        <f t="shared" si="928"/>
        <v/>
      </c>
      <c r="X5937">
        <f>IF($T5937="",N($X5936),IF(MATCH($T5937,$T$6:$T$10005,0)=ROW()-5,N($X5936)+1,N($X5936)))</f>
        <v>0</v>
      </c>
      <c r="Z5937" t="str">
        <f t="shared" si="929"/>
        <v/>
      </c>
      <c r="AA5937">
        <f>IF($V5937="",N($AA5936),IF(MATCH($V5937,$V$6:$V$10005,0)=ROW()-5,N($AA5936)+1,N($AA5936)))</f>
        <v>0</v>
      </c>
    </row>
    <row r="5938" spans="1:27" ht="21" customHeight="1" x14ac:dyDescent="0.95">
      <c r="A5938" s="56"/>
      <c r="B5938" s="57"/>
      <c r="C5938" s="57"/>
      <c r="D5938" s="57"/>
      <c r="E5938" s="56"/>
      <c r="F5938" s="57"/>
      <c r="G5938" s="57"/>
      <c r="H5938" s="56"/>
      <c r="I5938" s="56"/>
      <c r="J5938" s="58"/>
      <c r="K5938" s="58"/>
      <c r="L5938" s="13" t="str">
        <f t="shared" si="920"/>
        <v/>
      </c>
      <c r="M5938" s="13" t="str">
        <f t="shared" si="921"/>
        <v/>
      </c>
      <c r="Q5938" t="str">
        <f t="shared" si="922"/>
        <v/>
      </c>
      <c r="R5938" t="str">
        <f t="shared" si="923"/>
        <v/>
      </c>
      <c r="S5938" t="str">
        <f t="shared" si="924"/>
        <v/>
      </c>
      <c r="T5938" t="str">
        <f t="shared" si="925"/>
        <v/>
      </c>
      <c r="U5938" t="str">
        <f t="shared" si="926"/>
        <v/>
      </c>
      <c r="V5938" t="str">
        <f t="shared" si="927"/>
        <v/>
      </c>
      <c r="W5938" t="str">
        <f t="shared" si="928"/>
        <v/>
      </c>
      <c r="X5938">
        <f>IF($T5938="",N($X5937),IF(MATCH($T5938,$T$6:$T$10005,0)=ROW()-5,N($X5937)+1,N($X5937)))</f>
        <v>0</v>
      </c>
      <c r="Z5938" t="str">
        <f t="shared" si="929"/>
        <v/>
      </c>
      <c r="AA5938">
        <f>IF($V5938="",N($AA5937),IF(MATCH($V5938,$V$6:$V$10005,0)=ROW()-5,N($AA5937)+1,N($AA5937)))</f>
        <v>0</v>
      </c>
    </row>
    <row r="5939" spans="1:27" ht="21" customHeight="1" x14ac:dyDescent="0.95">
      <c r="A5939" s="56"/>
      <c r="B5939" s="57"/>
      <c r="C5939" s="57"/>
      <c r="D5939" s="57"/>
      <c r="E5939" s="56"/>
      <c r="F5939" s="57"/>
      <c r="G5939" s="57"/>
      <c r="H5939" s="56"/>
      <c r="I5939" s="56"/>
      <c r="J5939" s="58"/>
      <c r="K5939" s="58"/>
      <c r="L5939" s="13" t="str">
        <f t="shared" si="920"/>
        <v/>
      </c>
      <c r="M5939" s="13" t="str">
        <f t="shared" si="921"/>
        <v/>
      </c>
      <c r="Q5939" t="str">
        <f t="shared" si="922"/>
        <v/>
      </c>
      <c r="R5939" t="str">
        <f t="shared" si="923"/>
        <v/>
      </c>
      <c r="S5939" t="str">
        <f t="shared" si="924"/>
        <v/>
      </c>
      <c r="T5939" t="str">
        <f t="shared" si="925"/>
        <v/>
      </c>
      <c r="U5939" t="str">
        <f t="shared" si="926"/>
        <v/>
      </c>
      <c r="V5939" t="str">
        <f t="shared" si="927"/>
        <v/>
      </c>
      <c r="W5939" t="str">
        <f t="shared" si="928"/>
        <v/>
      </c>
      <c r="X5939">
        <f>IF($T5939="",N($X5938),IF(MATCH($T5939,$T$6:$T$10005,0)=ROW()-5,N($X5938)+1,N($X5938)))</f>
        <v>0</v>
      </c>
      <c r="Z5939" t="str">
        <f t="shared" si="929"/>
        <v/>
      </c>
      <c r="AA5939">
        <f>IF($V5939="",N($AA5938),IF(MATCH($V5939,$V$6:$V$10005,0)=ROW()-5,N($AA5938)+1,N($AA5938)))</f>
        <v>0</v>
      </c>
    </row>
    <row r="5940" spans="1:27" ht="21" customHeight="1" x14ac:dyDescent="0.95">
      <c r="A5940" s="56"/>
      <c r="B5940" s="57"/>
      <c r="C5940" s="57"/>
      <c r="D5940" s="57"/>
      <c r="E5940" s="56"/>
      <c r="F5940" s="57"/>
      <c r="G5940" s="57"/>
      <c r="H5940" s="56"/>
      <c r="I5940" s="56"/>
      <c r="J5940" s="58"/>
      <c r="K5940" s="58"/>
      <c r="L5940" s="13" t="str">
        <f t="shared" si="920"/>
        <v/>
      </c>
      <c r="M5940" s="13" t="str">
        <f t="shared" si="921"/>
        <v/>
      </c>
      <c r="Q5940" t="str">
        <f t="shared" si="922"/>
        <v/>
      </c>
      <c r="R5940" t="str">
        <f t="shared" si="923"/>
        <v/>
      </c>
      <c r="S5940" t="str">
        <f t="shared" si="924"/>
        <v/>
      </c>
      <c r="T5940" t="str">
        <f t="shared" si="925"/>
        <v/>
      </c>
      <c r="U5940" t="str">
        <f t="shared" si="926"/>
        <v/>
      </c>
      <c r="V5940" t="str">
        <f t="shared" si="927"/>
        <v/>
      </c>
      <c r="W5940" t="str">
        <f t="shared" si="928"/>
        <v/>
      </c>
      <c r="X5940">
        <f>IF($T5940="",N($X5939),IF(MATCH($T5940,$T$6:$T$10005,0)=ROW()-5,N($X5939)+1,N($X5939)))</f>
        <v>0</v>
      </c>
      <c r="Z5940" t="str">
        <f t="shared" si="929"/>
        <v/>
      </c>
      <c r="AA5940">
        <f>IF($V5940="",N($AA5939),IF(MATCH($V5940,$V$6:$V$10005,0)=ROW()-5,N($AA5939)+1,N($AA5939)))</f>
        <v>0</v>
      </c>
    </row>
    <row r="5941" spans="1:27" ht="21" customHeight="1" x14ac:dyDescent="0.95">
      <c r="A5941" s="56"/>
      <c r="B5941" s="57"/>
      <c r="C5941" s="57"/>
      <c r="D5941" s="57"/>
      <c r="E5941" s="56"/>
      <c r="F5941" s="57"/>
      <c r="G5941" s="57"/>
      <c r="H5941" s="56"/>
      <c r="I5941" s="56"/>
      <c r="J5941" s="58"/>
      <c r="K5941" s="58"/>
      <c r="L5941" s="13" t="str">
        <f t="shared" si="920"/>
        <v/>
      </c>
      <c r="M5941" s="13" t="str">
        <f t="shared" si="921"/>
        <v/>
      </c>
      <c r="Q5941" t="str">
        <f t="shared" si="922"/>
        <v/>
      </c>
      <c r="R5941" t="str">
        <f t="shared" si="923"/>
        <v/>
      </c>
      <c r="S5941" t="str">
        <f t="shared" si="924"/>
        <v/>
      </c>
      <c r="T5941" t="str">
        <f t="shared" si="925"/>
        <v/>
      </c>
      <c r="U5941" t="str">
        <f t="shared" si="926"/>
        <v/>
      </c>
      <c r="V5941" t="str">
        <f t="shared" si="927"/>
        <v/>
      </c>
      <c r="W5941" t="str">
        <f t="shared" si="928"/>
        <v/>
      </c>
      <c r="X5941">
        <f>IF($T5941="",N($X5940),IF(MATCH($T5941,$T$6:$T$10005,0)=ROW()-5,N($X5940)+1,N($X5940)))</f>
        <v>0</v>
      </c>
      <c r="Z5941" t="str">
        <f t="shared" si="929"/>
        <v/>
      </c>
      <c r="AA5941">
        <f>IF($V5941="",N($AA5940),IF(MATCH($V5941,$V$6:$V$10005,0)=ROW()-5,N($AA5940)+1,N($AA5940)))</f>
        <v>0</v>
      </c>
    </row>
    <row r="5942" spans="1:27" ht="21" customHeight="1" x14ac:dyDescent="0.95">
      <c r="A5942" s="56"/>
      <c r="B5942" s="57"/>
      <c r="C5942" s="57"/>
      <c r="D5942" s="57"/>
      <c r="E5942" s="56"/>
      <c r="F5942" s="57"/>
      <c r="G5942" s="57"/>
      <c r="H5942" s="56"/>
      <c r="I5942" s="56"/>
      <c r="J5942" s="58"/>
      <c r="K5942" s="58"/>
      <c r="L5942" s="13" t="str">
        <f t="shared" si="920"/>
        <v/>
      </c>
      <c r="M5942" s="13" t="str">
        <f t="shared" si="921"/>
        <v/>
      </c>
      <c r="Q5942" t="str">
        <f t="shared" si="922"/>
        <v/>
      </c>
      <c r="R5942" t="str">
        <f t="shared" si="923"/>
        <v/>
      </c>
      <c r="S5942" t="str">
        <f t="shared" si="924"/>
        <v/>
      </c>
      <c r="T5942" t="str">
        <f t="shared" si="925"/>
        <v/>
      </c>
      <c r="U5942" t="str">
        <f t="shared" si="926"/>
        <v/>
      </c>
      <c r="V5942" t="str">
        <f t="shared" si="927"/>
        <v/>
      </c>
      <c r="W5942" t="str">
        <f t="shared" si="928"/>
        <v/>
      </c>
      <c r="X5942">
        <f>IF($T5942="",N($X5941),IF(MATCH($T5942,$T$6:$T$10005,0)=ROW()-5,N($X5941)+1,N($X5941)))</f>
        <v>0</v>
      </c>
      <c r="Z5942" t="str">
        <f t="shared" si="929"/>
        <v/>
      </c>
      <c r="AA5942">
        <f>IF($V5942="",N($AA5941),IF(MATCH($V5942,$V$6:$V$10005,0)=ROW()-5,N($AA5941)+1,N($AA5941)))</f>
        <v>0</v>
      </c>
    </row>
    <row r="5943" spans="1:27" ht="21" customHeight="1" x14ac:dyDescent="0.95">
      <c r="A5943" s="56"/>
      <c r="B5943" s="57"/>
      <c r="C5943" s="57"/>
      <c r="D5943" s="57"/>
      <c r="E5943" s="56"/>
      <c r="F5943" s="57"/>
      <c r="G5943" s="57"/>
      <c r="H5943" s="56"/>
      <c r="I5943" s="56"/>
      <c r="J5943" s="58"/>
      <c r="K5943" s="58"/>
      <c r="L5943" s="13" t="str">
        <f t="shared" si="920"/>
        <v/>
      </c>
      <c r="M5943" s="13" t="str">
        <f t="shared" si="921"/>
        <v/>
      </c>
      <c r="Q5943" t="str">
        <f t="shared" si="922"/>
        <v/>
      </c>
      <c r="R5943" t="str">
        <f t="shared" si="923"/>
        <v/>
      </c>
      <c r="S5943" t="str">
        <f t="shared" si="924"/>
        <v/>
      </c>
      <c r="T5943" t="str">
        <f t="shared" si="925"/>
        <v/>
      </c>
      <c r="U5943" t="str">
        <f t="shared" si="926"/>
        <v/>
      </c>
      <c r="V5943" t="str">
        <f t="shared" si="927"/>
        <v/>
      </c>
      <c r="W5943" t="str">
        <f t="shared" si="928"/>
        <v/>
      </c>
      <c r="X5943">
        <f>IF($T5943="",N($X5942),IF(MATCH($T5943,$T$6:$T$10005,0)=ROW()-5,N($X5942)+1,N($X5942)))</f>
        <v>0</v>
      </c>
      <c r="Z5943" t="str">
        <f t="shared" si="929"/>
        <v/>
      </c>
      <c r="AA5943">
        <f>IF($V5943="",N($AA5942),IF(MATCH($V5943,$V$6:$V$10005,0)=ROW()-5,N($AA5942)+1,N($AA5942)))</f>
        <v>0</v>
      </c>
    </row>
    <row r="5944" spans="1:27" ht="21" customHeight="1" x14ac:dyDescent="0.95">
      <c r="A5944" s="56"/>
      <c r="B5944" s="57"/>
      <c r="C5944" s="57"/>
      <c r="D5944" s="57"/>
      <c r="E5944" s="56"/>
      <c r="F5944" s="57"/>
      <c r="G5944" s="57"/>
      <c r="H5944" s="56"/>
      <c r="I5944" s="56"/>
      <c r="J5944" s="58"/>
      <c r="K5944" s="58"/>
      <c r="L5944" s="13" t="str">
        <f t="shared" si="920"/>
        <v/>
      </c>
      <c r="M5944" s="13" t="str">
        <f t="shared" si="921"/>
        <v/>
      </c>
      <c r="Q5944" t="str">
        <f t="shared" si="922"/>
        <v/>
      </c>
      <c r="R5944" t="str">
        <f t="shared" si="923"/>
        <v/>
      </c>
      <c r="S5944" t="str">
        <f t="shared" si="924"/>
        <v/>
      </c>
      <c r="T5944" t="str">
        <f t="shared" si="925"/>
        <v/>
      </c>
      <c r="U5944" t="str">
        <f t="shared" si="926"/>
        <v/>
      </c>
      <c r="V5944" t="str">
        <f t="shared" si="927"/>
        <v/>
      </c>
      <c r="W5944" t="str">
        <f t="shared" si="928"/>
        <v/>
      </c>
      <c r="X5944">
        <f>IF($T5944="",N($X5943),IF(MATCH($T5944,$T$6:$T$10005,0)=ROW()-5,N($X5943)+1,N($X5943)))</f>
        <v>0</v>
      </c>
      <c r="Z5944" t="str">
        <f t="shared" si="929"/>
        <v/>
      </c>
      <c r="AA5944">
        <f>IF($V5944="",N($AA5943),IF(MATCH($V5944,$V$6:$V$10005,0)=ROW()-5,N($AA5943)+1,N($AA5943)))</f>
        <v>0</v>
      </c>
    </row>
    <row r="5945" spans="1:27" ht="21" customHeight="1" x14ac:dyDescent="0.95">
      <c r="A5945" s="56"/>
      <c r="B5945" s="57"/>
      <c r="C5945" s="57"/>
      <c r="D5945" s="57"/>
      <c r="E5945" s="56"/>
      <c r="F5945" s="57"/>
      <c r="G5945" s="57"/>
      <c r="H5945" s="56"/>
      <c r="I5945" s="56"/>
      <c r="J5945" s="58"/>
      <c r="K5945" s="58"/>
      <c r="L5945" s="13" t="str">
        <f t="shared" si="920"/>
        <v/>
      </c>
      <c r="M5945" s="13" t="str">
        <f t="shared" si="921"/>
        <v/>
      </c>
      <c r="Q5945" t="str">
        <f t="shared" si="922"/>
        <v/>
      </c>
      <c r="R5945" t="str">
        <f t="shared" si="923"/>
        <v/>
      </c>
      <c r="S5945" t="str">
        <f t="shared" si="924"/>
        <v/>
      </c>
      <c r="T5945" t="str">
        <f t="shared" si="925"/>
        <v/>
      </c>
      <c r="U5945" t="str">
        <f t="shared" si="926"/>
        <v/>
      </c>
      <c r="V5945" t="str">
        <f t="shared" si="927"/>
        <v/>
      </c>
      <c r="W5945" t="str">
        <f t="shared" si="928"/>
        <v/>
      </c>
      <c r="X5945">
        <f>IF($T5945="",N($X5944),IF(MATCH($T5945,$T$6:$T$10005,0)=ROW()-5,N($X5944)+1,N($X5944)))</f>
        <v>0</v>
      </c>
      <c r="Z5945" t="str">
        <f t="shared" si="929"/>
        <v/>
      </c>
      <c r="AA5945">
        <f>IF($V5945="",N($AA5944),IF(MATCH($V5945,$V$6:$V$10005,0)=ROW()-5,N($AA5944)+1,N($AA5944)))</f>
        <v>0</v>
      </c>
    </row>
    <row r="5946" spans="1:27" ht="21" customHeight="1" x14ac:dyDescent="0.95">
      <c r="A5946" s="56"/>
      <c r="B5946" s="57"/>
      <c r="C5946" s="57"/>
      <c r="D5946" s="57"/>
      <c r="E5946" s="56"/>
      <c r="F5946" s="57"/>
      <c r="G5946" s="57"/>
      <c r="H5946" s="56"/>
      <c r="I5946" s="56"/>
      <c r="J5946" s="58"/>
      <c r="K5946" s="58"/>
      <c r="L5946" s="13" t="str">
        <f t="shared" si="920"/>
        <v/>
      </c>
      <c r="M5946" s="13" t="str">
        <f t="shared" si="921"/>
        <v/>
      </c>
      <c r="Q5946" t="str">
        <f t="shared" si="922"/>
        <v/>
      </c>
      <c r="R5946" t="str">
        <f t="shared" si="923"/>
        <v/>
      </c>
      <c r="S5946" t="str">
        <f t="shared" si="924"/>
        <v/>
      </c>
      <c r="T5946" t="str">
        <f t="shared" si="925"/>
        <v/>
      </c>
      <c r="U5946" t="str">
        <f t="shared" si="926"/>
        <v/>
      </c>
      <c r="V5946" t="str">
        <f t="shared" si="927"/>
        <v/>
      </c>
      <c r="W5946" t="str">
        <f t="shared" si="928"/>
        <v/>
      </c>
      <c r="X5946">
        <f>IF($T5946="",N($X5945),IF(MATCH($T5946,$T$6:$T$10005,0)=ROW()-5,N($X5945)+1,N($X5945)))</f>
        <v>0</v>
      </c>
      <c r="Z5946" t="str">
        <f t="shared" si="929"/>
        <v/>
      </c>
      <c r="AA5946">
        <f>IF($V5946="",N($AA5945),IF(MATCH($V5946,$V$6:$V$10005,0)=ROW()-5,N($AA5945)+1,N($AA5945)))</f>
        <v>0</v>
      </c>
    </row>
    <row r="5947" spans="1:27" ht="21" customHeight="1" x14ac:dyDescent="0.95">
      <c r="A5947" s="56"/>
      <c r="B5947" s="57"/>
      <c r="C5947" s="57"/>
      <c r="D5947" s="57"/>
      <c r="E5947" s="56"/>
      <c r="F5947" s="57"/>
      <c r="G5947" s="57"/>
      <c r="H5947" s="56"/>
      <c r="I5947" s="56"/>
      <c r="J5947" s="58"/>
      <c r="K5947" s="58"/>
      <c r="L5947" s="13" t="str">
        <f t="shared" si="920"/>
        <v/>
      </c>
      <c r="M5947" s="13" t="str">
        <f t="shared" si="921"/>
        <v/>
      </c>
      <c r="Q5947" t="str">
        <f t="shared" si="922"/>
        <v/>
      </c>
      <c r="R5947" t="str">
        <f t="shared" si="923"/>
        <v/>
      </c>
      <c r="S5947" t="str">
        <f t="shared" si="924"/>
        <v/>
      </c>
      <c r="T5947" t="str">
        <f t="shared" si="925"/>
        <v/>
      </c>
      <c r="U5947" t="str">
        <f t="shared" si="926"/>
        <v/>
      </c>
      <c r="V5947" t="str">
        <f t="shared" si="927"/>
        <v/>
      </c>
      <c r="W5947" t="str">
        <f t="shared" si="928"/>
        <v/>
      </c>
      <c r="X5947">
        <f>IF($T5947="",N($X5946),IF(MATCH($T5947,$T$6:$T$10005,0)=ROW()-5,N($X5946)+1,N($X5946)))</f>
        <v>0</v>
      </c>
      <c r="Z5947" t="str">
        <f t="shared" si="929"/>
        <v/>
      </c>
      <c r="AA5947">
        <f>IF($V5947="",N($AA5946),IF(MATCH($V5947,$V$6:$V$10005,0)=ROW()-5,N($AA5946)+1,N($AA5946)))</f>
        <v>0</v>
      </c>
    </row>
    <row r="5948" spans="1:27" ht="21" customHeight="1" x14ac:dyDescent="0.95">
      <c r="A5948" s="56"/>
      <c r="B5948" s="57"/>
      <c r="C5948" s="57"/>
      <c r="D5948" s="57"/>
      <c r="E5948" s="56"/>
      <c r="F5948" s="57"/>
      <c r="G5948" s="57"/>
      <c r="H5948" s="56"/>
      <c r="I5948" s="56"/>
      <c r="J5948" s="58"/>
      <c r="K5948" s="58"/>
      <c r="L5948" s="13" t="str">
        <f t="shared" si="920"/>
        <v/>
      </c>
      <c r="M5948" s="13" t="str">
        <f t="shared" si="921"/>
        <v/>
      </c>
      <c r="Q5948" t="str">
        <f t="shared" si="922"/>
        <v/>
      </c>
      <c r="R5948" t="str">
        <f t="shared" si="923"/>
        <v/>
      </c>
      <c r="S5948" t="str">
        <f t="shared" si="924"/>
        <v/>
      </c>
      <c r="T5948" t="str">
        <f t="shared" si="925"/>
        <v/>
      </c>
      <c r="U5948" t="str">
        <f t="shared" si="926"/>
        <v/>
      </c>
      <c r="V5948" t="str">
        <f t="shared" si="927"/>
        <v/>
      </c>
      <c r="W5948" t="str">
        <f t="shared" si="928"/>
        <v/>
      </c>
      <c r="X5948">
        <f>IF($T5948="",N($X5947),IF(MATCH($T5948,$T$6:$T$10005,0)=ROW()-5,N($X5947)+1,N($X5947)))</f>
        <v>0</v>
      </c>
      <c r="Z5948" t="str">
        <f t="shared" si="929"/>
        <v/>
      </c>
      <c r="AA5948">
        <f>IF($V5948="",N($AA5947),IF(MATCH($V5948,$V$6:$V$10005,0)=ROW()-5,N($AA5947)+1,N($AA5947)))</f>
        <v>0</v>
      </c>
    </row>
    <row r="5949" spans="1:27" ht="21" customHeight="1" x14ac:dyDescent="0.95">
      <c r="A5949" s="56"/>
      <c r="B5949" s="57"/>
      <c r="C5949" s="57"/>
      <c r="D5949" s="57"/>
      <c r="E5949" s="56"/>
      <c r="F5949" s="57"/>
      <c r="G5949" s="57"/>
      <c r="H5949" s="56"/>
      <c r="I5949" s="56"/>
      <c r="J5949" s="58"/>
      <c r="K5949" s="58"/>
      <c r="L5949" s="13" t="str">
        <f t="shared" si="920"/>
        <v/>
      </c>
      <c r="M5949" s="13" t="str">
        <f t="shared" si="921"/>
        <v/>
      </c>
      <c r="Q5949" t="str">
        <f t="shared" si="922"/>
        <v/>
      </c>
      <c r="R5949" t="str">
        <f t="shared" si="923"/>
        <v/>
      </c>
      <c r="S5949" t="str">
        <f t="shared" si="924"/>
        <v/>
      </c>
      <c r="T5949" t="str">
        <f t="shared" si="925"/>
        <v/>
      </c>
      <c r="U5949" t="str">
        <f t="shared" si="926"/>
        <v/>
      </c>
      <c r="V5949" t="str">
        <f t="shared" si="927"/>
        <v/>
      </c>
      <c r="W5949" t="str">
        <f t="shared" si="928"/>
        <v/>
      </c>
      <c r="X5949">
        <f>IF($T5949="",N($X5948),IF(MATCH($T5949,$T$6:$T$10005,0)=ROW()-5,N($X5948)+1,N($X5948)))</f>
        <v>0</v>
      </c>
      <c r="Z5949" t="str">
        <f t="shared" si="929"/>
        <v/>
      </c>
      <c r="AA5949">
        <f>IF($V5949="",N($AA5948),IF(MATCH($V5949,$V$6:$V$10005,0)=ROW()-5,N($AA5948)+1,N($AA5948)))</f>
        <v>0</v>
      </c>
    </row>
    <row r="5950" spans="1:27" ht="21" customHeight="1" x14ac:dyDescent="0.95">
      <c r="A5950" s="56"/>
      <c r="B5950" s="57"/>
      <c r="C5950" s="57"/>
      <c r="D5950" s="57"/>
      <c r="E5950" s="56"/>
      <c r="F5950" s="57"/>
      <c r="G5950" s="57"/>
      <c r="H5950" s="56"/>
      <c r="I5950" s="56"/>
      <c r="J5950" s="58"/>
      <c r="K5950" s="58"/>
      <c r="L5950" s="13" t="str">
        <f t="shared" si="920"/>
        <v/>
      </c>
      <c r="M5950" s="13" t="str">
        <f t="shared" si="921"/>
        <v/>
      </c>
      <c r="Q5950" t="str">
        <f t="shared" si="922"/>
        <v/>
      </c>
      <c r="R5950" t="str">
        <f t="shared" si="923"/>
        <v/>
      </c>
      <c r="S5950" t="str">
        <f t="shared" si="924"/>
        <v/>
      </c>
      <c r="T5950" t="str">
        <f t="shared" si="925"/>
        <v/>
      </c>
      <c r="U5950" t="str">
        <f t="shared" si="926"/>
        <v/>
      </c>
      <c r="V5950" t="str">
        <f t="shared" si="927"/>
        <v/>
      </c>
      <c r="W5950" t="str">
        <f t="shared" si="928"/>
        <v/>
      </c>
      <c r="X5950">
        <f>IF($T5950="",N($X5949),IF(MATCH($T5950,$T$6:$T$10005,0)=ROW()-5,N($X5949)+1,N($X5949)))</f>
        <v>0</v>
      </c>
      <c r="Z5950" t="str">
        <f t="shared" si="929"/>
        <v/>
      </c>
      <c r="AA5950">
        <f>IF($V5950="",N($AA5949),IF(MATCH($V5950,$V$6:$V$10005,0)=ROW()-5,N($AA5949)+1,N($AA5949)))</f>
        <v>0</v>
      </c>
    </row>
    <row r="5951" spans="1:27" ht="21" customHeight="1" x14ac:dyDescent="0.95">
      <c r="A5951" s="56"/>
      <c r="B5951" s="57"/>
      <c r="C5951" s="57"/>
      <c r="D5951" s="57"/>
      <c r="E5951" s="56"/>
      <c r="F5951" s="57"/>
      <c r="G5951" s="57"/>
      <c r="H5951" s="56"/>
      <c r="I5951" s="56"/>
      <c r="J5951" s="58"/>
      <c r="K5951" s="58"/>
      <c r="L5951" s="13" t="str">
        <f t="shared" si="920"/>
        <v/>
      </c>
      <c r="M5951" s="13" t="str">
        <f t="shared" si="921"/>
        <v/>
      </c>
      <c r="Q5951" t="str">
        <f t="shared" si="922"/>
        <v/>
      </c>
      <c r="R5951" t="str">
        <f t="shared" si="923"/>
        <v/>
      </c>
      <c r="S5951" t="str">
        <f t="shared" si="924"/>
        <v/>
      </c>
      <c r="T5951" t="str">
        <f t="shared" si="925"/>
        <v/>
      </c>
      <c r="U5951" t="str">
        <f t="shared" si="926"/>
        <v/>
      </c>
      <c r="V5951" t="str">
        <f t="shared" si="927"/>
        <v/>
      </c>
      <c r="W5951" t="str">
        <f t="shared" si="928"/>
        <v/>
      </c>
      <c r="X5951">
        <f>IF($T5951="",N($X5950),IF(MATCH($T5951,$T$6:$T$10005,0)=ROW()-5,N($X5950)+1,N($X5950)))</f>
        <v>0</v>
      </c>
      <c r="Z5951" t="str">
        <f t="shared" si="929"/>
        <v/>
      </c>
      <c r="AA5951">
        <f>IF($V5951="",N($AA5950),IF(MATCH($V5951,$V$6:$V$10005,0)=ROW()-5,N($AA5950)+1,N($AA5950)))</f>
        <v>0</v>
      </c>
    </row>
    <row r="5952" spans="1:27" ht="21" customHeight="1" x14ac:dyDescent="0.95">
      <c r="A5952" s="56"/>
      <c r="B5952" s="57"/>
      <c r="C5952" s="57"/>
      <c r="D5952" s="57"/>
      <c r="E5952" s="56"/>
      <c r="F5952" s="57"/>
      <c r="G5952" s="57"/>
      <c r="H5952" s="56"/>
      <c r="I5952" s="56"/>
      <c r="J5952" s="58"/>
      <c r="K5952" s="58"/>
      <c r="L5952" s="13" t="str">
        <f t="shared" si="920"/>
        <v/>
      </c>
      <c r="M5952" s="13" t="str">
        <f t="shared" si="921"/>
        <v/>
      </c>
      <c r="Q5952" t="str">
        <f t="shared" si="922"/>
        <v/>
      </c>
      <c r="R5952" t="str">
        <f t="shared" si="923"/>
        <v/>
      </c>
      <c r="S5952" t="str">
        <f t="shared" si="924"/>
        <v/>
      </c>
      <c r="T5952" t="str">
        <f t="shared" si="925"/>
        <v/>
      </c>
      <c r="U5952" t="str">
        <f t="shared" si="926"/>
        <v/>
      </c>
      <c r="V5952" t="str">
        <f t="shared" si="927"/>
        <v/>
      </c>
      <c r="W5952" t="str">
        <f t="shared" si="928"/>
        <v/>
      </c>
      <c r="X5952">
        <f>IF($T5952="",N($X5951),IF(MATCH($T5952,$T$6:$T$10005,0)=ROW()-5,N($X5951)+1,N($X5951)))</f>
        <v>0</v>
      </c>
      <c r="Z5952" t="str">
        <f t="shared" si="929"/>
        <v/>
      </c>
      <c r="AA5952">
        <f>IF($V5952="",N($AA5951),IF(MATCH($V5952,$V$6:$V$10005,0)=ROW()-5,N($AA5951)+1,N($AA5951)))</f>
        <v>0</v>
      </c>
    </row>
    <row r="5953" spans="1:27" ht="21" customHeight="1" x14ac:dyDescent="0.95">
      <c r="A5953" s="56"/>
      <c r="B5953" s="57"/>
      <c r="C5953" s="57"/>
      <c r="D5953" s="57"/>
      <c r="E5953" s="56"/>
      <c r="F5953" s="57"/>
      <c r="G5953" s="57"/>
      <c r="H5953" s="56"/>
      <c r="I5953" s="56"/>
      <c r="J5953" s="58"/>
      <c r="K5953" s="58"/>
      <c r="L5953" s="13" t="str">
        <f t="shared" si="920"/>
        <v/>
      </c>
      <c r="M5953" s="13" t="str">
        <f t="shared" si="921"/>
        <v/>
      </c>
      <c r="Q5953" t="str">
        <f t="shared" si="922"/>
        <v/>
      </c>
      <c r="R5953" t="str">
        <f t="shared" si="923"/>
        <v/>
      </c>
      <c r="S5953" t="str">
        <f t="shared" si="924"/>
        <v/>
      </c>
      <c r="T5953" t="str">
        <f t="shared" si="925"/>
        <v/>
      </c>
      <c r="U5953" t="str">
        <f t="shared" si="926"/>
        <v/>
      </c>
      <c r="V5953" t="str">
        <f t="shared" si="927"/>
        <v/>
      </c>
      <c r="W5953" t="str">
        <f t="shared" si="928"/>
        <v/>
      </c>
      <c r="X5953">
        <f>IF($T5953="",N($X5952),IF(MATCH($T5953,$T$6:$T$10005,0)=ROW()-5,N($X5952)+1,N($X5952)))</f>
        <v>0</v>
      </c>
      <c r="Z5953" t="str">
        <f t="shared" si="929"/>
        <v/>
      </c>
      <c r="AA5953">
        <f>IF($V5953="",N($AA5952),IF(MATCH($V5953,$V$6:$V$10005,0)=ROW()-5,N($AA5952)+1,N($AA5952)))</f>
        <v>0</v>
      </c>
    </row>
    <row r="5954" spans="1:27" ht="21" customHeight="1" x14ac:dyDescent="0.95">
      <c r="A5954" s="56"/>
      <c r="B5954" s="57"/>
      <c r="C5954" s="57"/>
      <c r="D5954" s="57"/>
      <c r="E5954" s="56"/>
      <c r="F5954" s="57"/>
      <c r="G5954" s="57"/>
      <c r="H5954" s="56"/>
      <c r="I5954" s="56"/>
      <c r="J5954" s="58"/>
      <c r="K5954" s="58"/>
      <c r="L5954" s="13" t="str">
        <f t="shared" si="920"/>
        <v/>
      </c>
      <c r="M5954" s="13" t="str">
        <f t="shared" si="921"/>
        <v/>
      </c>
      <c r="Q5954" t="str">
        <f t="shared" si="922"/>
        <v/>
      </c>
      <c r="R5954" t="str">
        <f t="shared" si="923"/>
        <v/>
      </c>
      <c r="S5954" t="str">
        <f t="shared" si="924"/>
        <v/>
      </c>
      <c r="T5954" t="str">
        <f t="shared" si="925"/>
        <v/>
      </c>
      <c r="U5954" t="str">
        <f t="shared" si="926"/>
        <v/>
      </c>
      <c r="V5954" t="str">
        <f t="shared" si="927"/>
        <v/>
      </c>
      <c r="W5954" t="str">
        <f t="shared" si="928"/>
        <v/>
      </c>
      <c r="X5954">
        <f>IF($T5954="",N($X5953),IF(MATCH($T5954,$T$6:$T$10005,0)=ROW()-5,N($X5953)+1,N($X5953)))</f>
        <v>0</v>
      </c>
      <c r="Z5954" t="str">
        <f t="shared" si="929"/>
        <v/>
      </c>
      <c r="AA5954">
        <f>IF($V5954="",N($AA5953),IF(MATCH($V5954,$V$6:$V$10005,0)=ROW()-5,N($AA5953)+1,N($AA5953)))</f>
        <v>0</v>
      </c>
    </row>
    <row r="5955" spans="1:27" ht="21" customHeight="1" x14ac:dyDescent="0.95">
      <c r="A5955" s="56"/>
      <c r="B5955" s="57"/>
      <c r="C5955" s="57"/>
      <c r="D5955" s="57"/>
      <c r="E5955" s="56"/>
      <c r="F5955" s="57"/>
      <c r="G5955" s="57"/>
      <c r="H5955" s="56"/>
      <c r="I5955" s="56"/>
      <c r="J5955" s="58"/>
      <c r="K5955" s="58"/>
      <c r="L5955" s="13" t="str">
        <f t="shared" si="920"/>
        <v/>
      </c>
      <c r="M5955" s="13" t="str">
        <f t="shared" si="921"/>
        <v/>
      </c>
      <c r="Q5955" t="str">
        <f t="shared" si="922"/>
        <v/>
      </c>
      <c r="R5955" t="str">
        <f t="shared" si="923"/>
        <v/>
      </c>
      <c r="S5955" t="str">
        <f t="shared" si="924"/>
        <v/>
      </c>
      <c r="T5955" t="str">
        <f t="shared" si="925"/>
        <v/>
      </c>
      <c r="U5955" t="str">
        <f t="shared" si="926"/>
        <v/>
      </c>
      <c r="V5955" t="str">
        <f t="shared" si="927"/>
        <v/>
      </c>
      <c r="W5955" t="str">
        <f t="shared" si="928"/>
        <v/>
      </c>
      <c r="X5955">
        <f>IF($T5955="",N($X5954),IF(MATCH($T5955,$T$6:$T$10005,0)=ROW()-5,N($X5954)+1,N($X5954)))</f>
        <v>0</v>
      </c>
      <c r="Z5955" t="str">
        <f t="shared" si="929"/>
        <v/>
      </c>
      <c r="AA5955">
        <f>IF($V5955="",N($AA5954),IF(MATCH($V5955,$V$6:$V$10005,0)=ROW()-5,N($AA5954)+1,N($AA5954)))</f>
        <v>0</v>
      </c>
    </row>
    <row r="5956" spans="1:27" ht="21" customHeight="1" x14ac:dyDescent="0.95">
      <c r="A5956" s="56"/>
      <c r="B5956" s="57"/>
      <c r="C5956" s="57"/>
      <c r="D5956" s="57"/>
      <c r="E5956" s="56"/>
      <c r="F5956" s="57"/>
      <c r="G5956" s="57"/>
      <c r="H5956" s="56"/>
      <c r="I5956" s="56"/>
      <c r="J5956" s="58"/>
      <c r="K5956" s="58"/>
      <c r="L5956" s="13" t="str">
        <f t="shared" si="920"/>
        <v/>
      </c>
      <c r="M5956" s="13" t="str">
        <f t="shared" si="921"/>
        <v/>
      </c>
      <c r="Q5956" t="str">
        <f t="shared" si="922"/>
        <v/>
      </c>
      <c r="R5956" t="str">
        <f t="shared" si="923"/>
        <v/>
      </c>
      <c r="S5956" t="str">
        <f t="shared" si="924"/>
        <v/>
      </c>
      <c r="T5956" t="str">
        <f t="shared" si="925"/>
        <v/>
      </c>
      <c r="U5956" t="str">
        <f t="shared" si="926"/>
        <v/>
      </c>
      <c r="V5956" t="str">
        <f t="shared" si="927"/>
        <v/>
      </c>
      <c r="W5956" t="str">
        <f t="shared" si="928"/>
        <v/>
      </c>
      <c r="X5956">
        <f>IF($T5956="",N($X5955),IF(MATCH($T5956,$T$6:$T$10005,0)=ROW()-5,N($X5955)+1,N($X5955)))</f>
        <v>0</v>
      </c>
      <c r="Z5956" t="str">
        <f t="shared" si="929"/>
        <v/>
      </c>
      <c r="AA5956">
        <f>IF($V5956="",N($AA5955),IF(MATCH($V5956,$V$6:$V$10005,0)=ROW()-5,N($AA5955)+1,N($AA5955)))</f>
        <v>0</v>
      </c>
    </row>
    <row r="5957" spans="1:27" ht="21" customHeight="1" x14ac:dyDescent="0.95">
      <c r="A5957" s="56"/>
      <c r="B5957" s="57"/>
      <c r="C5957" s="57"/>
      <c r="D5957" s="57"/>
      <c r="E5957" s="56"/>
      <c r="F5957" s="57"/>
      <c r="G5957" s="57"/>
      <c r="H5957" s="56"/>
      <c r="I5957" s="56"/>
      <c r="J5957" s="58"/>
      <c r="K5957" s="58"/>
      <c r="L5957" s="13" t="str">
        <f t="shared" si="920"/>
        <v/>
      </c>
      <c r="M5957" s="13" t="str">
        <f t="shared" si="921"/>
        <v/>
      </c>
      <c r="Q5957" t="str">
        <f t="shared" si="922"/>
        <v/>
      </c>
      <c r="R5957" t="str">
        <f t="shared" si="923"/>
        <v/>
      </c>
      <c r="S5957" t="str">
        <f t="shared" si="924"/>
        <v/>
      </c>
      <c r="T5957" t="str">
        <f t="shared" si="925"/>
        <v/>
      </c>
      <c r="U5957" t="str">
        <f t="shared" si="926"/>
        <v/>
      </c>
      <c r="V5957" t="str">
        <f t="shared" si="927"/>
        <v/>
      </c>
      <c r="W5957" t="str">
        <f t="shared" si="928"/>
        <v/>
      </c>
      <c r="X5957">
        <f>IF($T5957="",N($X5956),IF(MATCH($T5957,$T$6:$T$10005,0)=ROW()-5,N($X5956)+1,N($X5956)))</f>
        <v>0</v>
      </c>
      <c r="Z5957" t="str">
        <f t="shared" si="929"/>
        <v/>
      </c>
      <c r="AA5957">
        <f>IF($V5957="",N($AA5956),IF(MATCH($V5957,$V$6:$V$10005,0)=ROW()-5,N($AA5956)+1,N($AA5956)))</f>
        <v>0</v>
      </c>
    </row>
    <row r="5958" spans="1:27" ht="21" customHeight="1" x14ac:dyDescent="0.95">
      <c r="A5958" s="56"/>
      <c r="B5958" s="57"/>
      <c r="C5958" s="57"/>
      <c r="D5958" s="57"/>
      <c r="E5958" s="56"/>
      <c r="F5958" s="57"/>
      <c r="G5958" s="57"/>
      <c r="H5958" s="56"/>
      <c r="I5958" s="56"/>
      <c r="J5958" s="58"/>
      <c r="K5958" s="58"/>
      <c r="L5958" s="13" t="str">
        <f t="shared" ref="L5958:L10005" si="930">IF(OR($A5958="",AND($J5958="",$K5958="")),"",ROUND(N($J5958)-N($K5958),2))</f>
        <v/>
      </c>
      <c r="M5958" s="13" t="str">
        <f t="shared" ref="M5958:M10005" si="931">IF(OR($A5958="",AND($J5958="",$K5958="")),"",MIN($J5958,$K5958))</f>
        <v/>
      </c>
      <c r="Q5958" t="str">
        <f t="shared" ref="Q5958:Q10005" si="932">IF($A5958="","",$D5958&amp;"("&amp;SUBSTITUTE($E5958," ","")&amp;")")</f>
        <v/>
      </c>
      <c r="R5958" t="str">
        <f t="shared" ref="R5958:R10005" si="933">IF($A5958="","",$B5958&amp;" - "&amp;$C5958)</f>
        <v/>
      </c>
      <c r="S5958" t="str">
        <f t="shared" ref="S5958:S10005" si="934">IF($A5958="","",$R5958&amp;"|"&amp;$Q5958)</f>
        <v/>
      </c>
      <c r="T5958" t="str">
        <f t="shared" ref="T5958:T10005" si="935">IF($A5958="","",$S5958&amp;"|"&amp;$F5958)</f>
        <v/>
      </c>
      <c r="U5958" t="str">
        <f t="shared" ref="U5958:U10005" si="936">IF($A5958="","",$R5958&amp;"("&amp;$E5958&amp;")")</f>
        <v/>
      </c>
      <c r="V5958" t="str">
        <f t="shared" ref="V5958:V10005" si="937">IF($A5958="","",$F5958&amp;"|"&amp;$U5958&amp;"|"&amp;$D5958)</f>
        <v/>
      </c>
      <c r="W5958" t="str">
        <f t="shared" ref="W5958:W6021" si="938">IF($T5958="","",IF($X5958&gt;N($X5957),$X5958,""))</f>
        <v/>
      </c>
      <c r="X5958">
        <f>IF($T5958="",N($X5957),IF(MATCH($T5958,$T$6:$T$10005,0)=ROW()-5,N($X5957)+1,N($X5957)))</f>
        <v>0</v>
      </c>
      <c r="Z5958" t="str">
        <f t="shared" ref="Z5958:Z6021" si="939">IF($V5958="","",IF($AA5958&gt;N($AA5957),$AA5958,""))</f>
        <v/>
      </c>
      <c r="AA5958">
        <f>IF($V5958="",N($AA5957),IF(MATCH($V5958,$V$6:$V$10005,0)=ROW()-5,N($AA5957)+1,N($AA5957)))</f>
        <v>0</v>
      </c>
    </row>
    <row r="5959" spans="1:27" ht="21" customHeight="1" x14ac:dyDescent="0.95">
      <c r="A5959" s="56"/>
      <c r="B5959" s="57"/>
      <c r="C5959" s="57"/>
      <c r="D5959" s="57"/>
      <c r="E5959" s="56"/>
      <c r="F5959" s="57"/>
      <c r="G5959" s="57"/>
      <c r="H5959" s="56"/>
      <c r="I5959" s="56"/>
      <c r="J5959" s="58"/>
      <c r="K5959" s="58"/>
      <c r="L5959" s="13" t="str">
        <f t="shared" si="930"/>
        <v/>
      </c>
      <c r="M5959" s="13" t="str">
        <f t="shared" si="931"/>
        <v/>
      </c>
      <c r="Q5959" t="str">
        <f t="shared" si="932"/>
        <v/>
      </c>
      <c r="R5959" t="str">
        <f t="shared" si="933"/>
        <v/>
      </c>
      <c r="S5959" t="str">
        <f t="shared" si="934"/>
        <v/>
      </c>
      <c r="T5959" t="str">
        <f t="shared" si="935"/>
        <v/>
      </c>
      <c r="U5959" t="str">
        <f t="shared" si="936"/>
        <v/>
      </c>
      <c r="V5959" t="str">
        <f t="shared" si="937"/>
        <v/>
      </c>
      <c r="W5959" t="str">
        <f t="shared" si="938"/>
        <v/>
      </c>
      <c r="X5959">
        <f>IF($T5959="",N($X5958),IF(MATCH($T5959,$T$6:$T$10005,0)=ROW()-5,N($X5958)+1,N($X5958)))</f>
        <v>0</v>
      </c>
      <c r="Z5959" t="str">
        <f t="shared" si="939"/>
        <v/>
      </c>
      <c r="AA5959">
        <f>IF($V5959="",N($AA5958),IF(MATCH($V5959,$V$6:$V$10005,0)=ROW()-5,N($AA5958)+1,N($AA5958)))</f>
        <v>0</v>
      </c>
    </row>
    <row r="5960" spans="1:27" ht="21" customHeight="1" x14ac:dyDescent="0.95">
      <c r="A5960" s="56"/>
      <c r="B5960" s="57"/>
      <c r="C5960" s="57"/>
      <c r="D5960" s="57"/>
      <c r="E5960" s="56"/>
      <c r="F5960" s="57"/>
      <c r="G5960" s="57"/>
      <c r="H5960" s="56"/>
      <c r="I5960" s="56"/>
      <c r="J5960" s="58"/>
      <c r="K5960" s="58"/>
      <c r="L5960" s="13" t="str">
        <f t="shared" si="930"/>
        <v/>
      </c>
      <c r="M5960" s="13" t="str">
        <f t="shared" si="931"/>
        <v/>
      </c>
      <c r="Q5960" t="str">
        <f t="shared" si="932"/>
        <v/>
      </c>
      <c r="R5960" t="str">
        <f t="shared" si="933"/>
        <v/>
      </c>
      <c r="S5960" t="str">
        <f t="shared" si="934"/>
        <v/>
      </c>
      <c r="T5960" t="str">
        <f t="shared" si="935"/>
        <v/>
      </c>
      <c r="U5960" t="str">
        <f t="shared" si="936"/>
        <v/>
      </c>
      <c r="V5960" t="str">
        <f t="shared" si="937"/>
        <v/>
      </c>
      <c r="W5960" t="str">
        <f t="shared" si="938"/>
        <v/>
      </c>
      <c r="X5960">
        <f>IF($T5960="",N($X5959),IF(MATCH($T5960,$T$6:$T$10005,0)=ROW()-5,N($X5959)+1,N($X5959)))</f>
        <v>0</v>
      </c>
      <c r="Z5960" t="str">
        <f t="shared" si="939"/>
        <v/>
      </c>
      <c r="AA5960">
        <f>IF($V5960="",N($AA5959),IF(MATCH($V5960,$V$6:$V$10005,0)=ROW()-5,N($AA5959)+1,N($AA5959)))</f>
        <v>0</v>
      </c>
    </row>
    <row r="5961" spans="1:27" ht="21" customHeight="1" x14ac:dyDescent="0.95">
      <c r="A5961" s="56"/>
      <c r="B5961" s="57"/>
      <c r="C5961" s="57"/>
      <c r="D5961" s="57"/>
      <c r="E5961" s="56"/>
      <c r="F5961" s="57"/>
      <c r="G5961" s="57"/>
      <c r="H5961" s="56"/>
      <c r="I5961" s="56"/>
      <c r="J5961" s="58"/>
      <c r="K5961" s="58"/>
      <c r="L5961" s="13" t="str">
        <f t="shared" si="930"/>
        <v/>
      </c>
      <c r="M5961" s="13" t="str">
        <f t="shared" si="931"/>
        <v/>
      </c>
      <c r="Q5961" t="str">
        <f t="shared" si="932"/>
        <v/>
      </c>
      <c r="R5961" t="str">
        <f t="shared" si="933"/>
        <v/>
      </c>
      <c r="S5961" t="str">
        <f t="shared" si="934"/>
        <v/>
      </c>
      <c r="T5961" t="str">
        <f t="shared" si="935"/>
        <v/>
      </c>
      <c r="U5961" t="str">
        <f t="shared" si="936"/>
        <v/>
      </c>
      <c r="V5961" t="str">
        <f t="shared" si="937"/>
        <v/>
      </c>
      <c r="W5961" t="str">
        <f t="shared" si="938"/>
        <v/>
      </c>
      <c r="X5961">
        <f>IF($T5961="",N($X5960),IF(MATCH($T5961,$T$6:$T$10005,0)=ROW()-5,N($X5960)+1,N($X5960)))</f>
        <v>0</v>
      </c>
      <c r="Z5961" t="str">
        <f t="shared" si="939"/>
        <v/>
      </c>
      <c r="AA5961">
        <f>IF($V5961="",N($AA5960),IF(MATCH($V5961,$V$6:$V$10005,0)=ROW()-5,N($AA5960)+1,N($AA5960)))</f>
        <v>0</v>
      </c>
    </row>
    <row r="5962" spans="1:27" ht="21" customHeight="1" x14ac:dyDescent="0.95">
      <c r="A5962" s="56"/>
      <c r="B5962" s="57"/>
      <c r="C5962" s="57"/>
      <c r="D5962" s="57"/>
      <c r="E5962" s="56"/>
      <c r="F5962" s="57"/>
      <c r="G5962" s="57"/>
      <c r="H5962" s="56"/>
      <c r="I5962" s="56"/>
      <c r="J5962" s="58"/>
      <c r="K5962" s="58"/>
      <c r="L5962" s="13" t="str">
        <f t="shared" si="930"/>
        <v/>
      </c>
      <c r="M5962" s="13" t="str">
        <f t="shared" si="931"/>
        <v/>
      </c>
      <c r="Q5962" t="str">
        <f t="shared" si="932"/>
        <v/>
      </c>
      <c r="R5962" t="str">
        <f t="shared" si="933"/>
        <v/>
      </c>
      <c r="S5962" t="str">
        <f t="shared" si="934"/>
        <v/>
      </c>
      <c r="T5962" t="str">
        <f t="shared" si="935"/>
        <v/>
      </c>
      <c r="U5962" t="str">
        <f t="shared" si="936"/>
        <v/>
      </c>
      <c r="V5962" t="str">
        <f t="shared" si="937"/>
        <v/>
      </c>
      <c r="W5962" t="str">
        <f t="shared" si="938"/>
        <v/>
      </c>
      <c r="X5962">
        <f>IF($T5962="",N($X5961),IF(MATCH($T5962,$T$6:$T$10005,0)=ROW()-5,N($X5961)+1,N($X5961)))</f>
        <v>0</v>
      </c>
      <c r="Z5962" t="str">
        <f t="shared" si="939"/>
        <v/>
      </c>
      <c r="AA5962">
        <f>IF($V5962="",N($AA5961),IF(MATCH($V5962,$V$6:$V$10005,0)=ROW()-5,N($AA5961)+1,N($AA5961)))</f>
        <v>0</v>
      </c>
    </row>
    <row r="5963" spans="1:27" ht="21" customHeight="1" x14ac:dyDescent="0.95">
      <c r="A5963" s="56"/>
      <c r="B5963" s="57"/>
      <c r="C5963" s="57"/>
      <c r="D5963" s="57"/>
      <c r="E5963" s="56"/>
      <c r="F5963" s="57"/>
      <c r="G5963" s="57"/>
      <c r="H5963" s="56"/>
      <c r="I5963" s="56"/>
      <c r="J5963" s="58"/>
      <c r="K5963" s="58"/>
      <c r="L5963" s="13" t="str">
        <f t="shared" si="930"/>
        <v/>
      </c>
      <c r="M5963" s="13" t="str">
        <f t="shared" si="931"/>
        <v/>
      </c>
      <c r="Q5963" t="str">
        <f t="shared" si="932"/>
        <v/>
      </c>
      <c r="R5963" t="str">
        <f t="shared" si="933"/>
        <v/>
      </c>
      <c r="S5963" t="str">
        <f t="shared" si="934"/>
        <v/>
      </c>
      <c r="T5963" t="str">
        <f t="shared" si="935"/>
        <v/>
      </c>
      <c r="U5963" t="str">
        <f t="shared" si="936"/>
        <v/>
      </c>
      <c r="V5963" t="str">
        <f t="shared" si="937"/>
        <v/>
      </c>
      <c r="W5963" t="str">
        <f t="shared" si="938"/>
        <v/>
      </c>
      <c r="X5963">
        <f>IF($T5963="",N($X5962),IF(MATCH($T5963,$T$6:$T$10005,0)=ROW()-5,N($X5962)+1,N($X5962)))</f>
        <v>0</v>
      </c>
      <c r="Z5963" t="str">
        <f t="shared" si="939"/>
        <v/>
      </c>
      <c r="AA5963">
        <f>IF($V5963="",N($AA5962),IF(MATCH($V5963,$V$6:$V$10005,0)=ROW()-5,N($AA5962)+1,N($AA5962)))</f>
        <v>0</v>
      </c>
    </row>
    <row r="5964" spans="1:27" ht="21" customHeight="1" x14ac:dyDescent="0.95">
      <c r="A5964" s="56"/>
      <c r="B5964" s="57"/>
      <c r="C5964" s="57"/>
      <c r="D5964" s="57"/>
      <c r="E5964" s="56"/>
      <c r="F5964" s="57"/>
      <c r="G5964" s="57"/>
      <c r="H5964" s="56"/>
      <c r="I5964" s="56"/>
      <c r="J5964" s="58"/>
      <c r="K5964" s="58"/>
      <c r="L5964" s="13" t="str">
        <f t="shared" si="930"/>
        <v/>
      </c>
      <c r="M5964" s="13" t="str">
        <f t="shared" si="931"/>
        <v/>
      </c>
      <c r="Q5964" t="str">
        <f t="shared" si="932"/>
        <v/>
      </c>
      <c r="R5964" t="str">
        <f t="shared" si="933"/>
        <v/>
      </c>
      <c r="S5964" t="str">
        <f t="shared" si="934"/>
        <v/>
      </c>
      <c r="T5964" t="str">
        <f t="shared" si="935"/>
        <v/>
      </c>
      <c r="U5964" t="str">
        <f t="shared" si="936"/>
        <v/>
      </c>
      <c r="V5964" t="str">
        <f t="shared" si="937"/>
        <v/>
      </c>
      <c r="W5964" t="str">
        <f t="shared" si="938"/>
        <v/>
      </c>
      <c r="X5964">
        <f>IF($T5964="",N($X5963),IF(MATCH($T5964,$T$6:$T$10005,0)=ROW()-5,N($X5963)+1,N($X5963)))</f>
        <v>0</v>
      </c>
      <c r="Z5964" t="str">
        <f t="shared" si="939"/>
        <v/>
      </c>
      <c r="AA5964">
        <f>IF($V5964="",N($AA5963),IF(MATCH($V5964,$V$6:$V$10005,0)=ROW()-5,N($AA5963)+1,N($AA5963)))</f>
        <v>0</v>
      </c>
    </row>
    <row r="5965" spans="1:27" ht="21" customHeight="1" x14ac:dyDescent="0.95">
      <c r="A5965" s="56"/>
      <c r="B5965" s="57"/>
      <c r="C5965" s="57"/>
      <c r="D5965" s="57"/>
      <c r="E5965" s="56"/>
      <c r="F5965" s="57"/>
      <c r="G5965" s="57"/>
      <c r="H5965" s="56"/>
      <c r="I5965" s="56"/>
      <c r="J5965" s="58"/>
      <c r="K5965" s="58"/>
      <c r="L5965" s="13" t="str">
        <f t="shared" si="930"/>
        <v/>
      </c>
      <c r="M5965" s="13" t="str">
        <f t="shared" si="931"/>
        <v/>
      </c>
      <c r="Q5965" t="str">
        <f t="shared" si="932"/>
        <v/>
      </c>
      <c r="R5965" t="str">
        <f t="shared" si="933"/>
        <v/>
      </c>
      <c r="S5965" t="str">
        <f t="shared" si="934"/>
        <v/>
      </c>
      <c r="T5965" t="str">
        <f t="shared" si="935"/>
        <v/>
      </c>
      <c r="U5965" t="str">
        <f t="shared" si="936"/>
        <v/>
      </c>
      <c r="V5965" t="str">
        <f t="shared" si="937"/>
        <v/>
      </c>
      <c r="W5965" t="str">
        <f t="shared" si="938"/>
        <v/>
      </c>
      <c r="X5965">
        <f>IF($T5965="",N($X5964),IF(MATCH($T5965,$T$6:$T$10005,0)=ROW()-5,N($X5964)+1,N($X5964)))</f>
        <v>0</v>
      </c>
      <c r="Z5965" t="str">
        <f t="shared" si="939"/>
        <v/>
      </c>
      <c r="AA5965">
        <f>IF($V5965="",N($AA5964),IF(MATCH($V5965,$V$6:$V$10005,0)=ROW()-5,N($AA5964)+1,N($AA5964)))</f>
        <v>0</v>
      </c>
    </row>
    <row r="5966" spans="1:27" ht="21" customHeight="1" x14ac:dyDescent="0.95">
      <c r="A5966" s="56"/>
      <c r="B5966" s="57"/>
      <c r="C5966" s="57"/>
      <c r="D5966" s="57"/>
      <c r="E5966" s="56"/>
      <c r="F5966" s="57"/>
      <c r="G5966" s="57"/>
      <c r="H5966" s="56"/>
      <c r="I5966" s="56"/>
      <c r="J5966" s="58"/>
      <c r="K5966" s="58"/>
      <c r="L5966" s="13" t="str">
        <f t="shared" si="930"/>
        <v/>
      </c>
      <c r="M5966" s="13" t="str">
        <f t="shared" si="931"/>
        <v/>
      </c>
      <c r="Q5966" t="str">
        <f t="shared" si="932"/>
        <v/>
      </c>
      <c r="R5966" t="str">
        <f t="shared" si="933"/>
        <v/>
      </c>
      <c r="S5966" t="str">
        <f t="shared" si="934"/>
        <v/>
      </c>
      <c r="T5966" t="str">
        <f t="shared" si="935"/>
        <v/>
      </c>
      <c r="U5966" t="str">
        <f t="shared" si="936"/>
        <v/>
      </c>
      <c r="V5966" t="str">
        <f t="shared" si="937"/>
        <v/>
      </c>
      <c r="W5966" t="str">
        <f t="shared" si="938"/>
        <v/>
      </c>
      <c r="X5966">
        <f>IF($T5966="",N($X5965),IF(MATCH($T5966,$T$6:$T$10005,0)=ROW()-5,N($X5965)+1,N($X5965)))</f>
        <v>0</v>
      </c>
      <c r="Z5966" t="str">
        <f t="shared" si="939"/>
        <v/>
      </c>
      <c r="AA5966">
        <f>IF($V5966="",N($AA5965),IF(MATCH($V5966,$V$6:$V$10005,0)=ROW()-5,N($AA5965)+1,N($AA5965)))</f>
        <v>0</v>
      </c>
    </row>
    <row r="5967" spans="1:27" ht="21" customHeight="1" x14ac:dyDescent="0.95">
      <c r="A5967" s="56"/>
      <c r="B5967" s="57"/>
      <c r="C5967" s="57"/>
      <c r="D5967" s="57"/>
      <c r="E5967" s="56"/>
      <c r="F5967" s="57"/>
      <c r="G5967" s="57"/>
      <c r="H5967" s="56"/>
      <c r="I5967" s="56"/>
      <c r="J5967" s="58"/>
      <c r="K5967" s="58"/>
      <c r="L5967" s="13" t="str">
        <f t="shared" si="930"/>
        <v/>
      </c>
      <c r="M5967" s="13" t="str">
        <f t="shared" si="931"/>
        <v/>
      </c>
      <c r="Q5967" t="str">
        <f t="shared" si="932"/>
        <v/>
      </c>
      <c r="R5967" t="str">
        <f t="shared" si="933"/>
        <v/>
      </c>
      <c r="S5967" t="str">
        <f t="shared" si="934"/>
        <v/>
      </c>
      <c r="T5967" t="str">
        <f t="shared" si="935"/>
        <v/>
      </c>
      <c r="U5967" t="str">
        <f t="shared" si="936"/>
        <v/>
      </c>
      <c r="V5967" t="str">
        <f t="shared" si="937"/>
        <v/>
      </c>
      <c r="W5967" t="str">
        <f t="shared" si="938"/>
        <v/>
      </c>
      <c r="X5967">
        <f>IF($T5967="",N($X5966),IF(MATCH($T5967,$T$6:$T$10005,0)=ROW()-5,N($X5966)+1,N($X5966)))</f>
        <v>0</v>
      </c>
      <c r="Z5967" t="str">
        <f t="shared" si="939"/>
        <v/>
      </c>
      <c r="AA5967">
        <f>IF($V5967="",N($AA5966),IF(MATCH($V5967,$V$6:$V$10005,0)=ROW()-5,N($AA5966)+1,N($AA5966)))</f>
        <v>0</v>
      </c>
    </row>
    <row r="5968" spans="1:27" ht="21" customHeight="1" x14ac:dyDescent="0.95">
      <c r="A5968" s="56"/>
      <c r="B5968" s="57"/>
      <c r="C5968" s="57"/>
      <c r="D5968" s="57"/>
      <c r="E5968" s="56"/>
      <c r="F5968" s="57"/>
      <c r="G5968" s="57"/>
      <c r="H5968" s="56"/>
      <c r="I5968" s="56"/>
      <c r="J5968" s="58"/>
      <c r="K5968" s="58"/>
      <c r="L5968" s="13" t="str">
        <f t="shared" si="930"/>
        <v/>
      </c>
      <c r="M5968" s="13" t="str">
        <f t="shared" si="931"/>
        <v/>
      </c>
      <c r="Q5968" t="str">
        <f t="shared" si="932"/>
        <v/>
      </c>
      <c r="R5968" t="str">
        <f t="shared" si="933"/>
        <v/>
      </c>
      <c r="S5968" t="str">
        <f t="shared" si="934"/>
        <v/>
      </c>
      <c r="T5968" t="str">
        <f t="shared" si="935"/>
        <v/>
      </c>
      <c r="U5968" t="str">
        <f t="shared" si="936"/>
        <v/>
      </c>
      <c r="V5968" t="str">
        <f t="shared" si="937"/>
        <v/>
      </c>
      <c r="W5968" t="str">
        <f t="shared" si="938"/>
        <v/>
      </c>
      <c r="X5968">
        <f>IF($T5968="",N($X5967),IF(MATCH($T5968,$T$6:$T$10005,0)=ROW()-5,N($X5967)+1,N($X5967)))</f>
        <v>0</v>
      </c>
      <c r="Z5968" t="str">
        <f t="shared" si="939"/>
        <v/>
      </c>
      <c r="AA5968">
        <f>IF($V5968="",N($AA5967),IF(MATCH($V5968,$V$6:$V$10005,0)=ROW()-5,N($AA5967)+1,N($AA5967)))</f>
        <v>0</v>
      </c>
    </row>
    <row r="5969" spans="1:27" ht="21" customHeight="1" x14ac:dyDescent="0.95">
      <c r="A5969" s="56"/>
      <c r="B5969" s="57"/>
      <c r="C5969" s="57"/>
      <c r="D5969" s="57"/>
      <c r="E5969" s="56"/>
      <c r="F5969" s="57"/>
      <c r="G5969" s="57"/>
      <c r="H5969" s="56"/>
      <c r="I5969" s="56"/>
      <c r="J5969" s="58"/>
      <c r="K5969" s="58"/>
      <c r="L5969" s="13" t="str">
        <f t="shared" si="930"/>
        <v/>
      </c>
      <c r="M5969" s="13" t="str">
        <f t="shared" si="931"/>
        <v/>
      </c>
      <c r="Q5969" t="str">
        <f t="shared" si="932"/>
        <v/>
      </c>
      <c r="R5969" t="str">
        <f t="shared" si="933"/>
        <v/>
      </c>
      <c r="S5969" t="str">
        <f t="shared" si="934"/>
        <v/>
      </c>
      <c r="T5969" t="str">
        <f t="shared" si="935"/>
        <v/>
      </c>
      <c r="U5969" t="str">
        <f t="shared" si="936"/>
        <v/>
      </c>
      <c r="V5969" t="str">
        <f t="shared" si="937"/>
        <v/>
      </c>
      <c r="W5969" t="str">
        <f t="shared" si="938"/>
        <v/>
      </c>
      <c r="X5969">
        <f>IF($T5969="",N($X5968),IF(MATCH($T5969,$T$6:$T$10005,0)=ROW()-5,N($X5968)+1,N($X5968)))</f>
        <v>0</v>
      </c>
      <c r="Z5969" t="str">
        <f t="shared" si="939"/>
        <v/>
      </c>
      <c r="AA5969">
        <f>IF($V5969="",N($AA5968),IF(MATCH($V5969,$V$6:$V$10005,0)=ROW()-5,N($AA5968)+1,N($AA5968)))</f>
        <v>0</v>
      </c>
    </row>
    <row r="5970" spans="1:27" ht="21" customHeight="1" x14ac:dyDescent="0.95">
      <c r="A5970" s="56"/>
      <c r="B5970" s="57"/>
      <c r="C5970" s="57"/>
      <c r="D5970" s="57"/>
      <c r="E5970" s="56"/>
      <c r="F5970" s="57"/>
      <c r="G5970" s="57"/>
      <c r="H5970" s="56"/>
      <c r="I5970" s="56"/>
      <c r="J5970" s="58"/>
      <c r="K5970" s="58"/>
      <c r="L5970" s="13" t="str">
        <f t="shared" si="930"/>
        <v/>
      </c>
      <c r="M5970" s="13" t="str">
        <f t="shared" si="931"/>
        <v/>
      </c>
      <c r="Q5970" t="str">
        <f t="shared" si="932"/>
        <v/>
      </c>
      <c r="R5970" t="str">
        <f t="shared" si="933"/>
        <v/>
      </c>
      <c r="S5970" t="str">
        <f t="shared" si="934"/>
        <v/>
      </c>
      <c r="T5970" t="str">
        <f t="shared" si="935"/>
        <v/>
      </c>
      <c r="U5970" t="str">
        <f t="shared" si="936"/>
        <v/>
      </c>
      <c r="V5970" t="str">
        <f t="shared" si="937"/>
        <v/>
      </c>
      <c r="W5970" t="str">
        <f t="shared" si="938"/>
        <v/>
      </c>
      <c r="X5970">
        <f>IF($T5970="",N($X5969),IF(MATCH($T5970,$T$6:$T$10005,0)=ROW()-5,N($X5969)+1,N($X5969)))</f>
        <v>0</v>
      </c>
      <c r="Z5970" t="str">
        <f t="shared" si="939"/>
        <v/>
      </c>
      <c r="AA5970">
        <f>IF($V5970="",N($AA5969),IF(MATCH($V5970,$V$6:$V$10005,0)=ROW()-5,N($AA5969)+1,N($AA5969)))</f>
        <v>0</v>
      </c>
    </row>
    <row r="5971" spans="1:27" ht="21" customHeight="1" x14ac:dyDescent="0.95">
      <c r="A5971" s="56"/>
      <c r="B5971" s="57"/>
      <c r="C5971" s="57"/>
      <c r="D5971" s="57"/>
      <c r="E5971" s="56"/>
      <c r="F5971" s="57"/>
      <c r="G5971" s="57"/>
      <c r="H5971" s="56"/>
      <c r="I5971" s="56"/>
      <c r="J5971" s="58"/>
      <c r="K5971" s="58"/>
      <c r="L5971" s="13" t="str">
        <f t="shared" si="930"/>
        <v/>
      </c>
      <c r="M5971" s="13" t="str">
        <f t="shared" si="931"/>
        <v/>
      </c>
      <c r="Q5971" t="str">
        <f t="shared" si="932"/>
        <v/>
      </c>
      <c r="R5971" t="str">
        <f t="shared" si="933"/>
        <v/>
      </c>
      <c r="S5971" t="str">
        <f t="shared" si="934"/>
        <v/>
      </c>
      <c r="T5971" t="str">
        <f t="shared" si="935"/>
        <v/>
      </c>
      <c r="U5971" t="str">
        <f t="shared" si="936"/>
        <v/>
      </c>
      <c r="V5971" t="str">
        <f t="shared" si="937"/>
        <v/>
      </c>
      <c r="W5971" t="str">
        <f t="shared" si="938"/>
        <v/>
      </c>
      <c r="X5971">
        <f>IF($T5971="",N($X5970),IF(MATCH($T5971,$T$6:$T$10005,0)=ROW()-5,N($X5970)+1,N($X5970)))</f>
        <v>0</v>
      </c>
      <c r="Z5971" t="str">
        <f t="shared" si="939"/>
        <v/>
      </c>
      <c r="AA5971">
        <f>IF($V5971="",N($AA5970),IF(MATCH($V5971,$V$6:$V$10005,0)=ROW()-5,N($AA5970)+1,N($AA5970)))</f>
        <v>0</v>
      </c>
    </row>
    <row r="5972" spans="1:27" ht="21" customHeight="1" x14ac:dyDescent="0.95">
      <c r="A5972" s="56"/>
      <c r="B5972" s="57"/>
      <c r="C5972" s="57"/>
      <c r="D5972" s="57"/>
      <c r="E5972" s="56"/>
      <c r="F5972" s="57"/>
      <c r="G5972" s="57"/>
      <c r="H5972" s="56"/>
      <c r="I5972" s="56"/>
      <c r="J5972" s="58"/>
      <c r="K5972" s="58"/>
      <c r="L5972" s="13" t="str">
        <f t="shared" si="930"/>
        <v/>
      </c>
      <c r="M5972" s="13" t="str">
        <f t="shared" si="931"/>
        <v/>
      </c>
      <c r="Q5972" t="str">
        <f t="shared" si="932"/>
        <v/>
      </c>
      <c r="R5972" t="str">
        <f t="shared" si="933"/>
        <v/>
      </c>
      <c r="S5972" t="str">
        <f t="shared" si="934"/>
        <v/>
      </c>
      <c r="T5972" t="str">
        <f t="shared" si="935"/>
        <v/>
      </c>
      <c r="U5972" t="str">
        <f t="shared" si="936"/>
        <v/>
      </c>
      <c r="V5972" t="str">
        <f t="shared" si="937"/>
        <v/>
      </c>
      <c r="W5972" t="str">
        <f t="shared" si="938"/>
        <v/>
      </c>
      <c r="X5972">
        <f>IF($T5972="",N($X5971),IF(MATCH($T5972,$T$6:$T$10005,0)=ROW()-5,N($X5971)+1,N($X5971)))</f>
        <v>0</v>
      </c>
      <c r="Z5972" t="str">
        <f t="shared" si="939"/>
        <v/>
      </c>
      <c r="AA5972">
        <f>IF($V5972="",N($AA5971),IF(MATCH($V5972,$V$6:$V$10005,0)=ROW()-5,N($AA5971)+1,N($AA5971)))</f>
        <v>0</v>
      </c>
    </row>
    <row r="5973" spans="1:27" ht="21" customHeight="1" x14ac:dyDescent="0.95">
      <c r="A5973" s="56"/>
      <c r="B5973" s="57"/>
      <c r="C5973" s="57"/>
      <c r="D5973" s="57"/>
      <c r="E5973" s="56"/>
      <c r="F5973" s="57"/>
      <c r="G5973" s="57"/>
      <c r="H5973" s="56"/>
      <c r="I5973" s="56"/>
      <c r="J5973" s="58"/>
      <c r="K5973" s="58"/>
      <c r="L5973" s="13" t="str">
        <f t="shared" si="930"/>
        <v/>
      </c>
      <c r="M5973" s="13" t="str">
        <f t="shared" si="931"/>
        <v/>
      </c>
      <c r="Q5973" t="str">
        <f t="shared" si="932"/>
        <v/>
      </c>
      <c r="R5973" t="str">
        <f t="shared" si="933"/>
        <v/>
      </c>
      <c r="S5973" t="str">
        <f t="shared" si="934"/>
        <v/>
      </c>
      <c r="T5973" t="str">
        <f t="shared" si="935"/>
        <v/>
      </c>
      <c r="U5973" t="str">
        <f t="shared" si="936"/>
        <v/>
      </c>
      <c r="V5973" t="str">
        <f t="shared" si="937"/>
        <v/>
      </c>
      <c r="W5973" t="str">
        <f t="shared" si="938"/>
        <v/>
      </c>
      <c r="X5973">
        <f>IF($T5973="",N($X5972),IF(MATCH($T5973,$T$6:$T$10005,0)=ROW()-5,N($X5972)+1,N($X5972)))</f>
        <v>0</v>
      </c>
      <c r="Z5973" t="str">
        <f t="shared" si="939"/>
        <v/>
      </c>
      <c r="AA5973">
        <f>IF($V5973="",N($AA5972),IF(MATCH($V5973,$V$6:$V$10005,0)=ROW()-5,N($AA5972)+1,N($AA5972)))</f>
        <v>0</v>
      </c>
    </row>
    <row r="5974" spans="1:27" ht="21" customHeight="1" x14ac:dyDescent="0.95">
      <c r="A5974" s="56"/>
      <c r="B5974" s="57"/>
      <c r="C5974" s="57"/>
      <c r="D5974" s="57"/>
      <c r="E5974" s="56"/>
      <c r="F5974" s="57"/>
      <c r="G5974" s="57"/>
      <c r="H5974" s="56"/>
      <c r="I5974" s="56"/>
      <c r="J5974" s="58"/>
      <c r="K5974" s="58"/>
      <c r="L5974" s="13" t="str">
        <f t="shared" si="930"/>
        <v/>
      </c>
      <c r="M5974" s="13" t="str">
        <f t="shared" si="931"/>
        <v/>
      </c>
      <c r="Q5974" t="str">
        <f t="shared" si="932"/>
        <v/>
      </c>
      <c r="R5974" t="str">
        <f t="shared" si="933"/>
        <v/>
      </c>
      <c r="S5974" t="str">
        <f t="shared" si="934"/>
        <v/>
      </c>
      <c r="T5974" t="str">
        <f t="shared" si="935"/>
        <v/>
      </c>
      <c r="U5974" t="str">
        <f t="shared" si="936"/>
        <v/>
      </c>
      <c r="V5974" t="str">
        <f t="shared" si="937"/>
        <v/>
      </c>
      <c r="W5974" t="str">
        <f t="shared" si="938"/>
        <v/>
      </c>
      <c r="X5974">
        <f>IF($T5974="",N($X5973),IF(MATCH($T5974,$T$6:$T$10005,0)=ROW()-5,N($X5973)+1,N($X5973)))</f>
        <v>0</v>
      </c>
      <c r="Z5974" t="str">
        <f t="shared" si="939"/>
        <v/>
      </c>
      <c r="AA5974">
        <f>IF($V5974="",N($AA5973),IF(MATCH($V5974,$V$6:$V$10005,0)=ROW()-5,N($AA5973)+1,N($AA5973)))</f>
        <v>0</v>
      </c>
    </row>
    <row r="5975" spans="1:27" ht="21" customHeight="1" x14ac:dyDescent="0.95">
      <c r="A5975" s="56"/>
      <c r="B5975" s="57"/>
      <c r="C5975" s="57"/>
      <c r="D5975" s="57"/>
      <c r="E5975" s="56"/>
      <c r="F5975" s="57"/>
      <c r="G5975" s="57"/>
      <c r="H5975" s="56"/>
      <c r="I5975" s="56"/>
      <c r="J5975" s="58"/>
      <c r="K5975" s="58"/>
      <c r="L5975" s="13" t="str">
        <f t="shared" si="930"/>
        <v/>
      </c>
      <c r="M5975" s="13" t="str">
        <f t="shared" si="931"/>
        <v/>
      </c>
      <c r="Q5975" t="str">
        <f t="shared" si="932"/>
        <v/>
      </c>
      <c r="R5975" t="str">
        <f t="shared" si="933"/>
        <v/>
      </c>
      <c r="S5975" t="str">
        <f t="shared" si="934"/>
        <v/>
      </c>
      <c r="T5975" t="str">
        <f t="shared" si="935"/>
        <v/>
      </c>
      <c r="U5975" t="str">
        <f t="shared" si="936"/>
        <v/>
      </c>
      <c r="V5975" t="str">
        <f t="shared" si="937"/>
        <v/>
      </c>
      <c r="W5975" t="str">
        <f t="shared" si="938"/>
        <v/>
      </c>
      <c r="X5975">
        <f>IF($T5975="",N($X5974),IF(MATCH($T5975,$T$6:$T$10005,0)=ROW()-5,N($X5974)+1,N($X5974)))</f>
        <v>0</v>
      </c>
      <c r="Z5975" t="str">
        <f t="shared" si="939"/>
        <v/>
      </c>
      <c r="AA5975">
        <f>IF($V5975="",N($AA5974),IF(MATCH($V5975,$V$6:$V$10005,0)=ROW()-5,N($AA5974)+1,N($AA5974)))</f>
        <v>0</v>
      </c>
    </row>
    <row r="5976" spans="1:27" ht="21" customHeight="1" x14ac:dyDescent="0.95">
      <c r="A5976" s="56"/>
      <c r="B5976" s="57"/>
      <c r="C5976" s="57"/>
      <c r="D5976" s="57"/>
      <c r="E5976" s="56"/>
      <c r="F5976" s="57"/>
      <c r="G5976" s="57"/>
      <c r="H5976" s="56"/>
      <c r="I5976" s="56"/>
      <c r="J5976" s="58"/>
      <c r="K5976" s="58"/>
      <c r="L5976" s="13" t="str">
        <f t="shared" si="930"/>
        <v/>
      </c>
      <c r="M5976" s="13" t="str">
        <f t="shared" si="931"/>
        <v/>
      </c>
      <c r="Q5976" t="str">
        <f t="shared" si="932"/>
        <v/>
      </c>
      <c r="R5976" t="str">
        <f t="shared" si="933"/>
        <v/>
      </c>
      <c r="S5976" t="str">
        <f t="shared" si="934"/>
        <v/>
      </c>
      <c r="T5976" t="str">
        <f t="shared" si="935"/>
        <v/>
      </c>
      <c r="U5976" t="str">
        <f t="shared" si="936"/>
        <v/>
      </c>
      <c r="V5976" t="str">
        <f t="shared" si="937"/>
        <v/>
      </c>
      <c r="W5976" t="str">
        <f t="shared" si="938"/>
        <v/>
      </c>
      <c r="X5976">
        <f>IF($T5976="",N($X5975),IF(MATCH($T5976,$T$6:$T$10005,0)=ROW()-5,N($X5975)+1,N($X5975)))</f>
        <v>0</v>
      </c>
      <c r="Z5976" t="str">
        <f t="shared" si="939"/>
        <v/>
      </c>
      <c r="AA5976">
        <f>IF($V5976="",N($AA5975),IF(MATCH($V5976,$V$6:$V$10005,0)=ROW()-5,N($AA5975)+1,N($AA5975)))</f>
        <v>0</v>
      </c>
    </row>
    <row r="5977" spans="1:27" ht="21" customHeight="1" x14ac:dyDescent="0.95">
      <c r="A5977" s="56"/>
      <c r="B5977" s="57"/>
      <c r="C5977" s="57"/>
      <c r="D5977" s="57"/>
      <c r="E5977" s="56"/>
      <c r="F5977" s="57"/>
      <c r="G5977" s="57"/>
      <c r="H5977" s="56"/>
      <c r="I5977" s="56"/>
      <c r="J5977" s="58"/>
      <c r="K5977" s="58"/>
      <c r="L5977" s="13" t="str">
        <f t="shared" si="930"/>
        <v/>
      </c>
      <c r="M5977" s="13" t="str">
        <f t="shared" si="931"/>
        <v/>
      </c>
      <c r="Q5977" t="str">
        <f t="shared" si="932"/>
        <v/>
      </c>
      <c r="R5977" t="str">
        <f t="shared" si="933"/>
        <v/>
      </c>
      <c r="S5977" t="str">
        <f t="shared" si="934"/>
        <v/>
      </c>
      <c r="T5977" t="str">
        <f t="shared" si="935"/>
        <v/>
      </c>
      <c r="U5977" t="str">
        <f t="shared" si="936"/>
        <v/>
      </c>
      <c r="V5977" t="str">
        <f t="shared" si="937"/>
        <v/>
      </c>
      <c r="W5977" t="str">
        <f t="shared" si="938"/>
        <v/>
      </c>
      <c r="X5977">
        <f>IF($T5977="",N($X5976),IF(MATCH($T5977,$T$6:$T$10005,0)=ROW()-5,N($X5976)+1,N($X5976)))</f>
        <v>0</v>
      </c>
      <c r="Z5977" t="str">
        <f t="shared" si="939"/>
        <v/>
      </c>
      <c r="AA5977">
        <f>IF($V5977="",N($AA5976),IF(MATCH($V5977,$V$6:$V$10005,0)=ROW()-5,N($AA5976)+1,N($AA5976)))</f>
        <v>0</v>
      </c>
    </row>
    <row r="5978" spans="1:27" ht="21" customHeight="1" x14ac:dyDescent="0.95">
      <c r="A5978" s="56"/>
      <c r="B5978" s="57"/>
      <c r="C5978" s="57"/>
      <c r="D5978" s="57"/>
      <c r="E5978" s="56"/>
      <c r="F5978" s="57"/>
      <c r="G5978" s="57"/>
      <c r="H5978" s="56"/>
      <c r="I5978" s="56"/>
      <c r="J5978" s="58"/>
      <c r="K5978" s="58"/>
      <c r="L5978" s="13" t="str">
        <f t="shared" si="930"/>
        <v/>
      </c>
      <c r="M5978" s="13" t="str">
        <f t="shared" si="931"/>
        <v/>
      </c>
      <c r="Q5978" t="str">
        <f t="shared" si="932"/>
        <v/>
      </c>
      <c r="R5978" t="str">
        <f t="shared" si="933"/>
        <v/>
      </c>
      <c r="S5978" t="str">
        <f t="shared" si="934"/>
        <v/>
      </c>
      <c r="T5978" t="str">
        <f t="shared" si="935"/>
        <v/>
      </c>
      <c r="U5978" t="str">
        <f t="shared" si="936"/>
        <v/>
      </c>
      <c r="V5978" t="str">
        <f t="shared" si="937"/>
        <v/>
      </c>
      <c r="W5978" t="str">
        <f t="shared" si="938"/>
        <v/>
      </c>
      <c r="X5978">
        <f>IF($T5978="",N($X5977),IF(MATCH($T5978,$T$6:$T$10005,0)=ROW()-5,N($X5977)+1,N($X5977)))</f>
        <v>0</v>
      </c>
      <c r="Z5978" t="str">
        <f t="shared" si="939"/>
        <v/>
      </c>
      <c r="AA5978">
        <f>IF($V5978="",N($AA5977),IF(MATCH($V5978,$V$6:$V$10005,0)=ROW()-5,N($AA5977)+1,N($AA5977)))</f>
        <v>0</v>
      </c>
    </row>
    <row r="5979" spans="1:27" ht="21" customHeight="1" x14ac:dyDescent="0.95">
      <c r="A5979" s="56"/>
      <c r="B5979" s="57"/>
      <c r="C5979" s="57"/>
      <c r="D5979" s="57"/>
      <c r="E5979" s="56"/>
      <c r="F5979" s="57"/>
      <c r="G5979" s="57"/>
      <c r="H5979" s="56"/>
      <c r="I5979" s="56"/>
      <c r="J5979" s="58"/>
      <c r="K5979" s="58"/>
      <c r="L5979" s="13" t="str">
        <f t="shared" si="930"/>
        <v/>
      </c>
      <c r="M5979" s="13" t="str">
        <f t="shared" si="931"/>
        <v/>
      </c>
      <c r="Q5979" t="str">
        <f t="shared" si="932"/>
        <v/>
      </c>
      <c r="R5979" t="str">
        <f t="shared" si="933"/>
        <v/>
      </c>
      <c r="S5979" t="str">
        <f t="shared" si="934"/>
        <v/>
      </c>
      <c r="T5979" t="str">
        <f t="shared" si="935"/>
        <v/>
      </c>
      <c r="U5979" t="str">
        <f t="shared" si="936"/>
        <v/>
      </c>
      <c r="V5979" t="str">
        <f t="shared" si="937"/>
        <v/>
      </c>
      <c r="W5979" t="str">
        <f t="shared" si="938"/>
        <v/>
      </c>
      <c r="X5979">
        <f>IF($T5979="",N($X5978),IF(MATCH($T5979,$T$6:$T$10005,0)=ROW()-5,N($X5978)+1,N($X5978)))</f>
        <v>0</v>
      </c>
      <c r="Z5979" t="str">
        <f t="shared" si="939"/>
        <v/>
      </c>
      <c r="AA5979">
        <f>IF($V5979="",N($AA5978),IF(MATCH($V5979,$V$6:$V$10005,0)=ROW()-5,N($AA5978)+1,N($AA5978)))</f>
        <v>0</v>
      </c>
    </row>
    <row r="5980" spans="1:27" ht="21" customHeight="1" x14ac:dyDescent="0.95">
      <c r="A5980" s="56"/>
      <c r="B5980" s="57"/>
      <c r="C5980" s="57"/>
      <c r="D5980" s="57"/>
      <c r="E5980" s="56"/>
      <c r="F5980" s="57"/>
      <c r="G5980" s="57"/>
      <c r="H5980" s="56"/>
      <c r="I5980" s="56"/>
      <c r="J5980" s="58"/>
      <c r="K5980" s="58"/>
      <c r="L5980" s="13" t="str">
        <f t="shared" si="930"/>
        <v/>
      </c>
      <c r="M5980" s="13" t="str">
        <f t="shared" si="931"/>
        <v/>
      </c>
      <c r="Q5980" t="str">
        <f t="shared" si="932"/>
        <v/>
      </c>
      <c r="R5980" t="str">
        <f t="shared" si="933"/>
        <v/>
      </c>
      <c r="S5980" t="str">
        <f t="shared" si="934"/>
        <v/>
      </c>
      <c r="T5980" t="str">
        <f t="shared" si="935"/>
        <v/>
      </c>
      <c r="U5980" t="str">
        <f t="shared" si="936"/>
        <v/>
      </c>
      <c r="V5980" t="str">
        <f t="shared" si="937"/>
        <v/>
      </c>
      <c r="W5980" t="str">
        <f t="shared" si="938"/>
        <v/>
      </c>
      <c r="X5980">
        <f>IF($T5980="",N($X5979),IF(MATCH($T5980,$T$6:$T$10005,0)=ROW()-5,N($X5979)+1,N($X5979)))</f>
        <v>0</v>
      </c>
      <c r="Z5980" t="str">
        <f t="shared" si="939"/>
        <v/>
      </c>
      <c r="AA5980">
        <f>IF($V5980="",N($AA5979),IF(MATCH($V5980,$V$6:$V$10005,0)=ROW()-5,N($AA5979)+1,N($AA5979)))</f>
        <v>0</v>
      </c>
    </row>
    <row r="5981" spans="1:27" ht="21" customHeight="1" x14ac:dyDescent="0.95">
      <c r="A5981" s="56"/>
      <c r="B5981" s="57"/>
      <c r="C5981" s="57"/>
      <c r="D5981" s="57"/>
      <c r="E5981" s="56"/>
      <c r="F5981" s="57"/>
      <c r="G5981" s="57"/>
      <c r="H5981" s="56"/>
      <c r="I5981" s="56"/>
      <c r="J5981" s="58"/>
      <c r="K5981" s="58"/>
      <c r="L5981" s="13" t="str">
        <f t="shared" si="930"/>
        <v/>
      </c>
      <c r="M5981" s="13" t="str">
        <f t="shared" si="931"/>
        <v/>
      </c>
      <c r="Q5981" t="str">
        <f t="shared" si="932"/>
        <v/>
      </c>
      <c r="R5981" t="str">
        <f t="shared" si="933"/>
        <v/>
      </c>
      <c r="S5981" t="str">
        <f t="shared" si="934"/>
        <v/>
      </c>
      <c r="T5981" t="str">
        <f t="shared" si="935"/>
        <v/>
      </c>
      <c r="U5981" t="str">
        <f t="shared" si="936"/>
        <v/>
      </c>
      <c r="V5981" t="str">
        <f t="shared" si="937"/>
        <v/>
      </c>
      <c r="W5981" t="str">
        <f t="shared" si="938"/>
        <v/>
      </c>
      <c r="X5981">
        <f>IF($T5981="",N($X5980),IF(MATCH($T5981,$T$6:$T$10005,0)=ROW()-5,N($X5980)+1,N($X5980)))</f>
        <v>0</v>
      </c>
      <c r="Z5981" t="str">
        <f t="shared" si="939"/>
        <v/>
      </c>
      <c r="AA5981">
        <f>IF($V5981="",N($AA5980),IF(MATCH($V5981,$V$6:$V$10005,0)=ROW()-5,N($AA5980)+1,N($AA5980)))</f>
        <v>0</v>
      </c>
    </row>
    <row r="5982" spans="1:27" ht="21" customHeight="1" x14ac:dyDescent="0.95">
      <c r="A5982" s="56"/>
      <c r="B5982" s="57"/>
      <c r="C5982" s="57"/>
      <c r="D5982" s="57"/>
      <c r="E5982" s="56"/>
      <c r="F5982" s="57"/>
      <c r="G5982" s="57"/>
      <c r="H5982" s="56"/>
      <c r="I5982" s="56"/>
      <c r="J5982" s="58"/>
      <c r="K5982" s="58"/>
      <c r="L5982" s="13" t="str">
        <f t="shared" si="930"/>
        <v/>
      </c>
      <c r="M5982" s="13" t="str">
        <f t="shared" si="931"/>
        <v/>
      </c>
      <c r="Q5982" t="str">
        <f t="shared" si="932"/>
        <v/>
      </c>
      <c r="R5982" t="str">
        <f t="shared" si="933"/>
        <v/>
      </c>
      <c r="S5982" t="str">
        <f t="shared" si="934"/>
        <v/>
      </c>
      <c r="T5982" t="str">
        <f t="shared" si="935"/>
        <v/>
      </c>
      <c r="U5982" t="str">
        <f t="shared" si="936"/>
        <v/>
      </c>
      <c r="V5982" t="str">
        <f t="shared" si="937"/>
        <v/>
      </c>
      <c r="W5982" t="str">
        <f t="shared" si="938"/>
        <v/>
      </c>
      <c r="X5982">
        <f>IF($T5982="",N($X5981),IF(MATCH($T5982,$T$6:$T$10005,0)=ROW()-5,N($X5981)+1,N($X5981)))</f>
        <v>0</v>
      </c>
      <c r="Z5982" t="str">
        <f t="shared" si="939"/>
        <v/>
      </c>
      <c r="AA5982">
        <f>IF($V5982="",N($AA5981),IF(MATCH($V5982,$V$6:$V$10005,0)=ROW()-5,N($AA5981)+1,N($AA5981)))</f>
        <v>0</v>
      </c>
    </row>
    <row r="5983" spans="1:27" ht="21" customHeight="1" x14ac:dyDescent="0.95">
      <c r="A5983" s="56"/>
      <c r="B5983" s="57"/>
      <c r="C5983" s="57"/>
      <c r="D5983" s="57"/>
      <c r="E5983" s="56"/>
      <c r="F5983" s="57"/>
      <c r="G5983" s="57"/>
      <c r="H5983" s="56"/>
      <c r="I5983" s="56"/>
      <c r="J5983" s="58"/>
      <c r="K5983" s="58"/>
      <c r="L5983" s="13" t="str">
        <f t="shared" si="930"/>
        <v/>
      </c>
      <c r="M5983" s="13" t="str">
        <f t="shared" si="931"/>
        <v/>
      </c>
      <c r="Q5983" t="str">
        <f t="shared" si="932"/>
        <v/>
      </c>
      <c r="R5983" t="str">
        <f t="shared" si="933"/>
        <v/>
      </c>
      <c r="S5983" t="str">
        <f t="shared" si="934"/>
        <v/>
      </c>
      <c r="T5983" t="str">
        <f t="shared" si="935"/>
        <v/>
      </c>
      <c r="U5983" t="str">
        <f t="shared" si="936"/>
        <v/>
      </c>
      <c r="V5983" t="str">
        <f t="shared" si="937"/>
        <v/>
      </c>
      <c r="W5983" t="str">
        <f t="shared" si="938"/>
        <v/>
      </c>
      <c r="X5983">
        <f>IF($T5983="",N($X5982),IF(MATCH($T5983,$T$6:$T$10005,0)=ROW()-5,N($X5982)+1,N($X5982)))</f>
        <v>0</v>
      </c>
      <c r="Z5983" t="str">
        <f t="shared" si="939"/>
        <v/>
      </c>
      <c r="AA5983">
        <f>IF($V5983="",N($AA5982),IF(MATCH($V5983,$V$6:$V$10005,0)=ROW()-5,N($AA5982)+1,N($AA5982)))</f>
        <v>0</v>
      </c>
    </row>
    <row r="5984" spans="1:27" ht="21" customHeight="1" x14ac:dyDescent="0.95">
      <c r="A5984" s="56"/>
      <c r="B5984" s="57"/>
      <c r="C5984" s="57"/>
      <c r="D5984" s="57"/>
      <c r="E5984" s="56"/>
      <c r="F5984" s="57"/>
      <c r="G5984" s="57"/>
      <c r="H5984" s="56"/>
      <c r="I5984" s="56"/>
      <c r="J5984" s="58"/>
      <c r="K5984" s="58"/>
      <c r="L5984" s="13" t="str">
        <f t="shared" si="930"/>
        <v/>
      </c>
      <c r="M5984" s="13" t="str">
        <f t="shared" si="931"/>
        <v/>
      </c>
      <c r="Q5984" t="str">
        <f t="shared" si="932"/>
        <v/>
      </c>
      <c r="R5984" t="str">
        <f t="shared" si="933"/>
        <v/>
      </c>
      <c r="S5984" t="str">
        <f t="shared" si="934"/>
        <v/>
      </c>
      <c r="T5984" t="str">
        <f t="shared" si="935"/>
        <v/>
      </c>
      <c r="U5984" t="str">
        <f t="shared" si="936"/>
        <v/>
      </c>
      <c r="V5984" t="str">
        <f t="shared" si="937"/>
        <v/>
      </c>
      <c r="W5984" t="str">
        <f t="shared" si="938"/>
        <v/>
      </c>
      <c r="X5984">
        <f>IF($T5984="",N($X5983),IF(MATCH($T5984,$T$6:$T$10005,0)=ROW()-5,N($X5983)+1,N($X5983)))</f>
        <v>0</v>
      </c>
      <c r="Z5984" t="str">
        <f t="shared" si="939"/>
        <v/>
      </c>
      <c r="AA5984">
        <f>IF($V5984="",N($AA5983),IF(MATCH($V5984,$V$6:$V$10005,0)=ROW()-5,N($AA5983)+1,N($AA5983)))</f>
        <v>0</v>
      </c>
    </row>
    <row r="5985" spans="1:27" ht="21" customHeight="1" x14ac:dyDescent="0.95">
      <c r="A5985" s="56"/>
      <c r="B5985" s="57"/>
      <c r="C5985" s="57"/>
      <c r="D5985" s="57"/>
      <c r="E5985" s="56"/>
      <c r="F5985" s="57"/>
      <c r="G5985" s="57"/>
      <c r="H5985" s="56"/>
      <c r="I5985" s="56"/>
      <c r="J5985" s="58"/>
      <c r="K5985" s="58"/>
      <c r="L5985" s="13" t="str">
        <f t="shared" si="930"/>
        <v/>
      </c>
      <c r="M5985" s="13" t="str">
        <f t="shared" si="931"/>
        <v/>
      </c>
      <c r="Q5985" t="str">
        <f t="shared" si="932"/>
        <v/>
      </c>
      <c r="R5985" t="str">
        <f t="shared" si="933"/>
        <v/>
      </c>
      <c r="S5985" t="str">
        <f t="shared" si="934"/>
        <v/>
      </c>
      <c r="T5985" t="str">
        <f t="shared" si="935"/>
        <v/>
      </c>
      <c r="U5985" t="str">
        <f t="shared" si="936"/>
        <v/>
      </c>
      <c r="V5985" t="str">
        <f t="shared" si="937"/>
        <v/>
      </c>
      <c r="W5985" t="str">
        <f t="shared" si="938"/>
        <v/>
      </c>
      <c r="X5985">
        <f>IF($T5985="",N($X5984),IF(MATCH($T5985,$T$6:$T$10005,0)=ROW()-5,N($X5984)+1,N($X5984)))</f>
        <v>0</v>
      </c>
      <c r="Z5985" t="str">
        <f t="shared" si="939"/>
        <v/>
      </c>
      <c r="AA5985">
        <f>IF($V5985="",N($AA5984),IF(MATCH($V5985,$V$6:$V$10005,0)=ROW()-5,N($AA5984)+1,N($AA5984)))</f>
        <v>0</v>
      </c>
    </row>
    <row r="5986" spans="1:27" ht="21" customHeight="1" x14ac:dyDescent="0.95">
      <c r="A5986" s="56"/>
      <c r="B5986" s="57"/>
      <c r="C5986" s="57"/>
      <c r="D5986" s="57"/>
      <c r="E5986" s="56"/>
      <c r="F5986" s="57"/>
      <c r="G5986" s="57"/>
      <c r="H5986" s="56"/>
      <c r="I5986" s="56"/>
      <c r="J5986" s="58"/>
      <c r="K5986" s="58"/>
      <c r="L5986" s="13" t="str">
        <f t="shared" si="930"/>
        <v/>
      </c>
      <c r="M5986" s="13" t="str">
        <f t="shared" si="931"/>
        <v/>
      </c>
      <c r="Q5986" t="str">
        <f t="shared" si="932"/>
        <v/>
      </c>
      <c r="R5986" t="str">
        <f t="shared" si="933"/>
        <v/>
      </c>
      <c r="S5986" t="str">
        <f t="shared" si="934"/>
        <v/>
      </c>
      <c r="T5986" t="str">
        <f t="shared" si="935"/>
        <v/>
      </c>
      <c r="U5986" t="str">
        <f t="shared" si="936"/>
        <v/>
      </c>
      <c r="V5986" t="str">
        <f t="shared" si="937"/>
        <v/>
      </c>
      <c r="W5986" t="str">
        <f t="shared" si="938"/>
        <v/>
      </c>
      <c r="X5986">
        <f>IF($T5986="",N($X5985),IF(MATCH($T5986,$T$6:$T$10005,0)=ROW()-5,N($X5985)+1,N($X5985)))</f>
        <v>0</v>
      </c>
      <c r="Z5986" t="str">
        <f t="shared" si="939"/>
        <v/>
      </c>
      <c r="AA5986">
        <f>IF($V5986="",N($AA5985),IF(MATCH($V5986,$V$6:$V$10005,0)=ROW()-5,N($AA5985)+1,N($AA5985)))</f>
        <v>0</v>
      </c>
    </row>
    <row r="5987" spans="1:27" ht="21" customHeight="1" x14ac:dyDescent="0.95">
      <c r="A5987" s="56"/>
      <c r="B5987" s="57"/>
      <c r="C5987" s="57"/>
      <c r="D5987" s="57"/>
      <c r="E5987" s="56"/>
      <c r="F5987" s="57"/>
      <c r="G5987" s="57"/>
      <c r="H5987" s="56"/>
      <c r="I5987" s="56"/>
      <c r="J5987" s="58"/>
      <c r="K5987" s="58"/>
      <c r="L5987" s="13" t="str">
        <f t="shared" si="930"/>
        <v/>
      </c>
      <c r="M5987" s="13" t="str">
        <f t="shared" si="931"/>
        <v/>
      </c>
      <c r="Q5987" t="str">
        <f t="shared" si="932"/>
        <v/>
      </c>
      <c r="R5987" t="str">
        <f t="shared" si="933"/>
        <v/>
      </c>
      <c r="S5987" t="str">
        <f t="shared" si="934"/>
        <v/>
      </c>
      <c r="T5987" t="str">
        <f t="shared" si="935"/>
        <v/>
      </c>
      <c r="U5987" t="str">
        <f t="shared" si="936"/>
        <v/>
      </c>
      <c r="V5987" t="str">
        <f t="shared" si="937"/>
        <v/>
      </c>
      <c r="W5987" t="str">
        <f t="shared" si="938"/>
        <v/>
      </c>
      <c r="X5987">
        <f>IF($T5987="",N($X5986),IF(MATCH($T5987,$T$6:$T$10005,0)=ROW()-5,N($X5986)+1,N($X5986)))</f>
        <v>0</v>
      </c>
      <c r="Z5987" t="str">
        <f t="shared" si="939"/>
        <v/>
      </c>
      <c r="AA5987">
        <f>IF($V5987="",N($AA5986),IF(MATCH($V5987,$V$6:$V$10005,0)=ROW()-5,N($AA5986)+1,N($AA5986)))</f>
        <v>0</v>
      </c>
    </row>
    <row r="5988" spans="1:27" ht="21" customHeight="1" x14ac:dyDescent="0.95">
      <c r="A5988" s="56"/>
      <c r="B5988" s="57"/>
      <c r="C5988" s="57"/>
      <c r="D5988" s="57"/>
      <c r="E5988" s="56"/>
      <c r="F5988" s="57"/>
      <c r="G5988" s="57"/>
      <c r="H5988" s="56"/>
      <c r="I5988" s="56"/>
      <c r="J5988" s="58"/>
      <c r="K5988" s="58"/>
      <c r="L5988" s="13" t="str">
        <f t="shared" si="930"/>
        <v/>
      </c>
      <c r="M5988" s="13" t="str">
        <f t="shared" si="931"/>
        <v/>
      </c>
      <c r="Q5988" t="str">
        <f t="shared" si="932"/>
        <v/>
      </c>
      <c r="R5988" t="str">
        <f t="shared" si="933"/>
        <v/>
      </c>
      <c r="S5988" t="str">
        <f t="shared" si="934"/>
        <v/>
      </c>
      <c r="T5988" t="str">
        <f t="shared" si="935"/>
        <v/>
      </c>
      <c r="U5988" t="str">
        <f t="shared" si="936"/>
        <v/>
      </c>
      <c r="V5988" t="str">
        <f t="shared" si="937"/>
        <v/>
      </c>
      <c r="W5988" t="str">
        <f t="shared" si="938"/>
        <v/>
      </c>
      <c r="X5988">
        <f>IF($T5988="",N($X5987),IF(MATCH($T5988,$T$6:$T$10005,0)=ROW()-5,N($X5987)+1,N($X5987)))</f>
        <v>0</v>
      </c>
      <c r="Z5988" t="str">
        <f t="shared" si="939"/>
        <v/>
      </c>
      <c r="AA5988">
        <f>IF($V5988="",N($AA5987),IF(MATCH($V5988,$V$6:$V$10005,0)=ROW()-5,N($AA5987)+1,N($AA5987)))</f>
        <v>0</v>
      </c>
    </row>
    <row r="5989" spans="1:27" ht="21" customHeight="1" x14ac:dyDescent="0.95">
      <c r="A5989" s="56"/>
      <c r="B5989" s="57"/>
      <c r="C5989" s="57"/>
      <c r="D5989" s="57"/>
      <c r="E5989" s="56"/>
      <c r="F5989" s="57"/>
      <c r="G5989" s="57"/>
      <c r="H5989" s="56"/>
      <c r="I5989" s="56"/>
      <c r="J5989" s="58"/>
      <c r="K5989" s="58"/>
      <c r="L5989" s="13" t="str">
        <f t="shared" si="930"/>
        <v/>
      </c>
      <c r="M5989" s="13" t="str">
        <f t="shared" si="931"/>
        <v/>
      </c>
      <c r="Q5989" t="str">
        <f t="shared" si="932"/>
        <v/>
      </c>
      <c r="R5989" t="str">
        <f t="shared" si="933"/>
        <v/>
      </c>
      <c r="S5989" t="str">
        <f t="shared" si="934"/>
        <v/>
      </c>
      <c r="T5989" t="str">
        <f t="shared" si="935"/>
        <v/>
      </c>
      <c r="U5989" t="str">
        <f t="shared" si="936"/>
        <v/>
      </c>
      <c r="V5989" t="str">
        <f t="shared" si="937"/>
        <v/>
      </c>
      <c r="W5989" t="str">
        <f t="shared" si="938"/>
        <v/>
      </c>
      <c r="X5989">
        <f>IF($T5989="",N($X5988),IF(MATCH($T5989,$T$6:$T$10005,0)=ROW()-5,N($X5988)+1,N($X5988)))</f>
        <v>0</v>
      </c>
      <c r="Z5989" t="str">
        <f t="shared" si="939"/>
        <v/>
      </c>
      <c r="AA5989">
        <f>IF($V5989="",N($AA5988),IF(MATCH($V5989,$V$6:$V$10005,0)=ROW()-5,N($AA5988)+1,N($AA5988)))</f>
        <v>0</v>
      </c>
    </row>
    <row r="5990" spans="1:27" ht="21" customHeight="1" x14ac:dyDescent="0.95">
      <c r="A5990" s="56"/>
      <c r="B5990" s="57"/>
      <c r="C5990" s="57"/>
      <c r="D5990" s="57"/>
      <c r="E5990" s="56"/>
      <c r="F5990" s="57"/>
      <c r="G5990" s="57"/>
      <c r="H5990" s="56"/>
      <c r="I5990" s="56"/>
      <c r="J5990" s="58"/>
      <c r="K5990" s="58"/>
      <c r="L5990" s="13" t="str">
        <f t="shared" si="930"/>
        <v/>
      </c>
      <c r="M5990" s="13" t="str">
        <f t="shared" si="931"/>
        <v/>
      </c>
      <c r="Q5990" t="str">
        <f t="shared" si="932"/>
        <v/>
      </c>
      <c r="R5990" t="str">
        <f t="shared" si="933"/>
        <v/>
      </c>
      <c r="S5990" t="str">
        <f t="shared" si="934"/>
        <v/>
      </c>
      <c r="T5990" t="str">
        <f t="shared" si="935"/>
        <v/>
      </c>
      <c r="U5990" t="str">
        <f t="shared" si="936"/>
        <v/>
      </c>
      <c r="V5990" t="str">
        <f t="shared" si="937"/>
        <v/>
      </c>
      <c r="W5990" t="str">
        <f t="shared" si="938"/>
        <v/>
      </c>
      <c r="X5990">
        <f>IF($T5990="",N($X5989),IF(MATCH($T5990,$T$6:$T$10005,0)=ROW()-5,N($X5989)+1,N($X5989)))</f>
        <v>0</v>
      </c>
      <c r="Z5990" t="str">
        <f t="shared" si="939"/>
        <v/>
      </c>
      <c r="AA5990">
        <f>IF($V5990="",N($AA5989),IF(MATCH($V5990,$V$6:$V$10005,0)=ROW()-5,N($AA5989)+1,N($AA5989)))</f>
        <v>0</v>
      </c>
    </row>
    <row r="5991" spans="1:27" ht="21" customHeight="1" x14ac:dyDescent="0.95">
      <c r="A5991" s="56"/>
      <c r="B5991" s="57"/>
      <c r="C5991" s="57"/>
      <c r="D5991" s="57"/>
      <c r="E5991" s="56"/>
      <c r="F5991" s="57"/>
      <c r="G5991" s="57"/>
      <c r="H5991" s="56"/>
      <c r="I5991" s="56"/>
      <c r="J5991" s="58"/>
      <c r="K5991" s="58"/>
      <c r="L5991" s="13" t="str">
        <f t="shared" si="930"/>
        <v/>
      </c>
      <c r="M5991" s="13" t="str">
        <f t="shared" si="931"/>
        <v/>
      </c>
      <c r="Q5991" t="str">
        <f t="shared" si="932"/>
        <v/>
      </c>
      <c r="R5991" t="str">
        <f t="shared" si="933"/>
        <v/>
      </c>
      <c r="S5991" t="str">
        <f t="shared" si="934"/>
        <v/>
      </c>
      <c r="T5991" t="str">
        <f t="shared" si="935"/>
        <v/>
      </c>
      <c r="U5991" t="str">
        <f t="shared" si="936"/>
        <v/>
      </c>
      <c r="V5991" t="str">
        <f t="shared" si="937"/>
        <v/>
      </c>
      <c r="W5991" t="str">
        <f t="shared" si="938"/>
        <v/>
      </c>
      <c r="X5991">
        <f>IF($T5991="",N($X5990),IF(MATCH($T5991,$T$6:$T$10005,0)=ROW()-5,N($X5990)+1,N($X5990)))</f>
        <v>0</v>
      </c>
      <c r="Z5991" t="str">
        <f t="shared" si="939"/>
        <v/>
      </c>
      <c r="AA5991">
        <f>IF($V5991="",N($AA5990),IF(MATCH($V5991,$V$6:$V$10005,0)=ROW()-5,N($AA5990)+1,N($AA5990)))</f>
        <v>0</v>
      </c>
    </row>
    <row r="5992" spans="1:27" ht="21" customHeight="1" x14ac:dyDescent="0.95">
      <c r="A5992" s="56"/>
      <c r="B5992" s="57"/>
      <c r="C5992" s="57"/>
      <c r="D5992" s="57"/>
      <c r="E5992" s="56"/>
      <c r="F5992" s="57"/>
      <c r="G5992" s="57"/>
      <c r="H5992" s="56"/>
      <c r="I5992" s="56"/>
      <c r="J5992" s="58"/>
      <c r="K5992" s="58"/>
      <c r="L5992" s="13" t="str">
        <f t="shared" si="930"/>
        <v/>
      </c>
      <c r="M5992" s="13" t="str">
        <f t="shared" si="931"/>
        <v/>
      </c>
      <c r="Q5992" t="str">
        <f t="shared" si="932"/>
        <v/>
      </c>
      <c r="R5992" t="str">
        <f t="shared" si="933"/>
        <v/>
      </c>
      <c r="S5992" t="str">
        <f t="shared" si="934"/>
        <v/>
      </c>
      <c r="T5992" t="str">
        <f t="shared" si="935"/>
        <v/>
      </c>
      <c r="U5992" t="str">
        <f t="shared" si="936"/>
        <v/>
      </c>
      <c r="V5992" t="str">
        <f t="shared" si="937"/>
        <v/>
      </c>
      <c r="W5992" t="str">
        <f t="shared" si="938"/>
        <v/>
      </c>
      <c r="X5992">
        <f>IF($T5992="",N($X5991),IF(MATCH($T5992,$T$6:$T$10005,0)=ROW()-5,N($X5991)+1,N($X5991)))</f>
        <v>0</v>
      </c>
      <c r="Z5992" t="str">
        <f t="shared" si="939"/>
        <v/>
      </c>
      <c r="AA5992">
        <f>IF($V5992="",N($AA5991),IF(MATCH($V5992,$V$6:$V$10005,0)=ROW()-5,N($AA5991)+1,N($AA5991)))</f>
        <v>0</v>
      </c>
    </row>
    <row r="5993" spans="1:27" ht="21" customHeight="1" x14ac:dyDescent="0.95">
      <c r="A5993" s="56"/>
      <c r="B5993" s="57"/>
      <c r="C5993" s="57"/>
      <c r="D5993" s="57"/>
      <c r="E5993" s="56"/>
      <c r="F5993" s="57"/>
      <c r="G5993" s="57"/>
      <c r="H5993" s="56"/>
      <c r="I5993" s="56"/>
      <c r="J5993" s="58"/>
      <c r="K5993" s="58"/>
      <c r="L5993" s="13" t="str">
        <f t="shared" si="930"/>
        <v/>
      </c>
      <c r="M5993" s="13" t="str">
        <f t="shared" si="931"/>
        <v/>
      </c>
      <c r="Q5993" t="str">
        <f t="shared" si="932"/>
        <v/>
      </c>
      <c r="R5993" t="str">
        <f t="shared" si="933"/>
        <v/>
      </c>
      <c r="S5993" t="str">
        <f t="shared" si="934"/>
        <v/>
      </c>
      <c r="T5993" t="str">
        <f t="shared" si="935"/>
        <v/>
      </c>
      <c r="U5993" t="str">
        <f t="shared" si="936"/>
        <v/>
      </c>
      <c r="V5993" t="str">
        <f t="shared" si="937"/>
        <v/>
      </c>
      <c r="W5993" t="str">
        <f t="shared" si="938"/>
        <v/>
      </c>
      <c r="X5993">
        <f>IF($T5993="",N($X5992),IF(MATCH($T5993,$T$6:$T$10005,0)=ROW()-5,N($X5992)+1,N($X5992)))</f>
        <v>0</v>
      </c>
      <c r="Z5993" t="str">
        <f t="shared" si="939"/>
        <v/>
      </c>
      <c r="AA5993">
        <f>IF($V5993="",N($AA5992),IF(MATCH($V5993,$V$6:$V$10005,0)=ROW()-5,N($AA5992)+1,N($AA5992)))</f>
        <v>0</v>
      </c>
    </row>
    <row r="5994" spans="1:27" ht="21" customHeight="1" x14ac:dyDescent="0.95">
      <c r="A5994" s="56"/>
      <c r="B5994" s="57"/>
      <c r="C5994" s="57"/>
      <c r="D5994" s="57"/>
      <c r="E5994" s="56"/>
      <c r="F5994" s="57"/>
      <c r="G5994" s="57"/>
      <c r="H5994" s="56"/>
      <c r="I5994" s="56"/>
      <c r="J5994" s="58"/>
      <c r="K5994" s="58"/>
      <c r="L5994" s="13" t="str">
        <f t="shared" si="930"/>
        <v/>
      </c>
      <c r="M5994" s="13" t="str">
        <f t="shared" si="931"/>
        <v/>
      </c>
      <c r="Q5994" t="str">
        <f t="shared" si="932"/>
        <v/>
      </c>
      <c r="R5994" t="str">
        <f t="shared" si="933"/>
        <v/>
      </c>
      <c r="S5994" t="str">
        <f t="shared" si="934"/>
        <v/>
      </c>
      <c r="T5994" t="str">
        <f t="shared" si="935"/>
        <v/>
      </c>
      <c r="U5994" t="str">
        <f t="shared" si="936"/>
        <v/>
      </c>
      <c r="V5994" t="str">
        <f t="shared" si="937"/>
        <v/>
      </c>
      <c r="W5994" t="str">
        <f t="shared" si="938"/>
        <v/>
      </c>
      <c r="X5994">
        <f>IF($T5994="",N($X5993),IF(MATCH($T5994,$T$6:$T$10005,0)=ROW()-5,N($X5993)+1,N($X5993)))</f>
        <v>0</v>
      </c>
      <c r="Z5994" t="str">
        <f t="shared" si="939"/>
        <v/>
      </c>
      <c r="AA5994">
        <f>IF($V5994="",N($AA5993),IF(MATCH($V5994,$V$6:$V$10005,0)=ROW()-5,N($AA5993)+1,N($AA5993)))</f>
        <v>0</v>
      </c>
    </row>
    <row r="5995" spans="1:27" ht="21" customHeight="1" x14ac:dyDescent="0.95">
      <c r="A5995" s="56"/>
      <c r="B5995" s="57"/>
      <c r="C5995" s="57"/>
      <c r="D5995" s="57"/>
      <c r="E5995" s="56"/>
      <c r="F5995" s="57"/>
      <c r="G5995" s="57"/>
      <c r="H5995" s="56"/>
      <c r="I5995" s="56"/>
      <c r="J5995" s="58"/>
      <c r="K5995" s="58"/>
      <c r="L5995" s="13" t="str">
        <f t="shared" si="930"/>
        <v/>
      </c>
      <c r="M5995" s="13" t="str">
        <f t="shared" si="931"/>
        <v/>
      </c>
      <c r="Q5995" t="str">
        <f t="shared" si="932"/>
        <v/>
      </c>
      <c r="R5995" t="str">
        <f t="shared" si="933"/>
        <v/>
      </c>
      <c r="S5995" t="str">
        <f t="shared" si="934"/>
        <v/>
      </c>
      <c r="T5995" t="str">
        <f t="shared" si="935"/>
        <v/>
      </c>
      <c r="U5995" t="str">
        <f t="shared" si="936"/>
        <v/>
      </c>
      <c r="V5995" t="str">
        <f t="shared" si="937"/>
        <v/>
      </c>
      <c r="W5995" t="str">
        <f t="shared" si="938"/>
        <v/>
      </c>
      <c r="X5995">
        <f>IF($T5995="",N($X5994),IF(MATCH($T5995,$T$6:$T$10005,0)=ROW()-5,N($X5994)+1,N($X5994)))</f>
        <v>0</v>
      </c>
      <c r="Z5995" t="str">
        <f t="shared" si="939"/>
        <v/>
      </c>
      <c r="AA5995">
        <f>IF($V5995="",N($AA5994),IF(MATCH($V5995,$V$6:$V$10005,0)=ROW()-5,N($AA5994)+1,N($AA5994)))</f>
        <v>0</v>
      </c>
    </row>
    <row r="5996" spans="1:27" ht="21" customHeight="1" x14ac:dyDescent="0.95">
      <c r="A5996" s="56"/>
      <c r="B5996" s="57"/>
      <c r="C5996" s="57"/>
      <c r="D5996" s="57"/>
      <c r="E5996" s="56"/>
      <c r="F5996" s="57"/>
      <c r="G5996" s="57"/>
      <c r="H5996" s="56"/>
      <c r="I5996" s="56"/>
      <c r="J5996" s="58"/>
      <c r="K5996" s="58"/>
      <c r="L5996" s="13" t="str">
        <f t="shared" si="930"/>
        <v/>
      </c>
      <c r="M5996" s="13" t="str">
        <f t="shared" si="931"/>
        <v/>
      </c>
      <c r="Q5996" t="str">
        <f t="shared" si="932"/>
        <v/>
      </c>
      <c r="R5996" t="str">
        <f t="shared" si="933"/>
        <v/>
      </c>
      <c r="S5996" t="str">
        <f t="shared" si="934"/>
        <v/>
      </c>
      <c r="T5996" t="str">
        <f t="shared" si="935"/>
        <v/>
      </c>
      <c r="U5996" t="str">
        <f t="shared" si="936"/>
        <v/>
      </c>
      <c r="V5996" t="str">
        <f t="shared" si="937"/>
        <v/>
      </c>
      <c r="W5996" t="str">
        <f t="shared" si="938"/>
        <v/>
      </c>
      <c r="X5996">
        <f>IF($T5996="",N($X5995),IF(MATCH($T5996,$T$6:$T$10005,0)=ROW()-5,N($X5995)+1,N($X5995)))</f>
        <v>0</v>
      </c>
      <c r="Z5996" t="str">
        <f t="shared" si="939"/>
        <v/>
      </c>
      <c r="AA5996">
        <f>IF($V5996="",N($AA5995),IF(MATCH($V5996,$V$6:$V$10005,0)=ROW()-5,N($AA5995)+1,N($AA5995)))</f>
        <v>0</v>
      </c>
    </row>
    <row r="5997" spans="1:27" ht="21" customHeight="1" x14ac:dyDescent="0.95">
      <c r="A5997" s="56"/>
      <c r="B5997" s="57"/>
      <c r="C5997" s="57"/>
      <c r="D5997" s="57"/>
      <c r="E5997" s="56"/>
      <c r="F5997" s="57"/>
      <c r="G5997" s="57"/>
      <c r="H5997" s="56"/>
      <c r="I5997" s="56"/>
      <c r="J5997" s="58"/>
      <c r="K5997" s="58"/>
      <c r="L5997" s="13" t="str">
        <f t="shared" si="930"/>
        <v/>
      </c>
      <c r="M5997" s="13" t="str">
        <f t="shared" si="931"/>
        <v/>
      </c>
      <c r="Q5997" t="str">
        <f t="shared" si="932"/>
        <v/>
      </c>
      <c r="R5997" t="str">
        <f t="shared" si="933"/>
        <v/>
      </c>
      <c r="S5997" t="str">
        <f t="shared" si="934"/>
        <v/>
      </c>
      <c r="T5997" t="str">
        <f t="shared" si="935"/>
        <v/>
      </c>
      <c r="U5997" t="str">
        <f t="shared" si="936"/>
        <v/>
      </c>
      <c r="V5997" t="str">
        <f t="shared" si="937"/>
        <v/>
      </c>
      <c r="W5997" t="str">
        <f t="shared" si="938"/>
        <v/>
      </c>
      <c r="X5997">
        <f>IF($T5997="",N($X5996),IF(MATCH($T5997,$T$6:$T$10005,0)=ROW()-5,N($X5996)+1,N($X5996)))</f>
        <v>0</v>
      </c>
      <c r="Z5997" t="str">
        <f t="shared" si="939"/>
        <v/>
      </c>
      <c r="AA5997">
        <f>IF($V5997="",N($AA5996),IF(MATCH($V5997,$V$6:$V$10005,0)=ROW()-5,N($AA5996)+1,N($AA5996)))</f>
        <v>0</v>
      </c>
    </row>
    <row r="5998" spans="1:27" ht="21" customHeight="1" x14ac:dyDescent="0.95">
      <c r="A5998" s="56"/>
      <c r="B5998" s="57"/>
      <c r="C5998" s="57"/>
      <c r="D5998" s="57"/>
      <c r="E5998" s="56"/>
      <c r="F5998" s="57"/>
      <c r="G5998" s="57"/>
      <c r="H5998" s="56"/>
      <c r="I5998" s="56"/>
      <c r="J5998" s="58"/>
      <c r="K5998" s="58"/>
      <c r="L5998" s="13" t="str">
        <f t="shared" si="930"/>
        <v/>
      </c>
      <c r="M5998" s="13" t="str">
        <f t="shared" si="931"/>
        <v/>
      </c>
      <c r="Q5998" t="str">
        <f t="shared" si="932"/>
        <v/>
      </c>
      <c r="R5998" t="str">
        <f t="shared" si="933"/>
        <v/>
      </c>
      <c r="S5998" t="str">
        <f t="shared" si="934"/>
        <v/>
      </c>
      <c r="T5998" t="str">
        <f t="shared" si="935"/>
        <v/>
      </c>
      <c r="U5998" t="str">
        <f t="shared" si="936"/>
        <v/>
      </c>
      <c r="V5998" t="str">
        <f t="shared" si="937"/>
        <v/>
      </c>
      <c r="W5998" t="str">
        <f t="shared" si="938"/>
        <v/>
      </c>
      <c r="X5998">
        <f>IF($T5998="",N($X5997),IF(MATCH($T5998,$T$6:$T$10005,0)=ROW()-5,N($X5997)+1,N($X5997)))</f>
        <v>0</v>
      </c>
      <c r="Z5998" t="str">
        <f t="shared" si="939"/>
        <v/>
      </c>
      <c r="AA5998">
        <f>IF($V5998="",N($AA5997),IF(MATCH($V5998,$V$6:$V$10005,0)=ROW()-5,N($AA5997)+1,N($AA5997)))</f>
        <v>0</v>
      </c>
    </row>
    <row r="5999" spans="1:27" ht="21" customHeight="1" x14ac:dyDescent="0.95">
      <c r="A5999" s="56"/>
      <c r="B5999" s="57"/>
      <c r="C5999" s="57"/>
      <c r="D5999" s="57"/>
      <c r="E5999" s="56"/>
      <c r="F5999" s="57"/>
      <c r="G5999" s="57"/>
      <c r="H5999" s="56"/>
      <c r="I5999" s="56"/>
      <c r="J5999" s="58"/>
      <c r="K5999" s="58"/>
      <c r="L5999" s="13" t="str">
        <f t="shared" si="930"/>
        <v/>
      </c>
      <c r="M5999" s="13" t="str">
        <f t="shared" si="931"/>
        <v/>
      </c>
      <c r="Q5999" t="str">
        <f t="shared" si="932"/>
        <v/>
      </c>
      <c r="R5999" t="str">
        <f t="shared" si="933"/>
        <v/>
      </c>
      <c r="S5999" t="str">
        <f t="shared" si="934"/>
        <v/>
      </c>
      <c r="T5999" t="str">
        <f t="shared" si="935"/>
        <v/>
      </c>
      <c r="U5999" t="str">
        <f t="shared" si="936"/>
        <v/>
      </c>
      <c r="V5999" t="str">
        <f t="shared" si="937"/>
        <v/>
      </c>
      <c r="W5999" t="str">
        <f t="shared" si="938"/>
        <v/>
      </c>
      <c r="X5999">
        <f>IF($T5999="",N($X5998),IF(MATCH($T5999,$T$6:$T$10005,0)=ROW()-5,N($X5998)+1,N($X5998)))</f>
        <v>0</v>
      </c>
      <c r="Z5999" t="str">
        <f t="shared" si="939"/>
        <v/>
      </c>
      <c r="AA5999">
        <f>IF($V5999="",N($AA5998),IF(MATCH($V5999,$V$6:$V$10005,0)=ROW()-5,N($AA5998)+1,N($AA5998)))</f>
        <v>0</v>
      </c>
    </row>
    <row r="6000" spans="1:27" ht="21" customHeight="1" x14ac:dyDescent="0.95">
      <c r="A6000" s="56"/>
      <c r="B6000" s="57"/>
      <c r="C6000" s="57"/>
      <c r="D6000" s="57"/>
      <c r="E6000" s="56"/>
      <c r="F6000" s="57"/>
      <c r="G6000" s="57"/>
      <c r="H6000" s="56"/>
      <c r="I6000" s="56"/>
      <c r="J6000" s="58"/>
      <c r="K6000" s="58"/>
      <c r="L6000" s="13" t="str">
        <f t="shared" si="930"/>
        <v/>
      </c>
      <c r="M6000" s="13" t="str">
        <f t="shared" si="931"/>
        <v/>
      </c>
      <c r="Q6000" t="str">
        <f t="shared" si="932"/>
        <v/>
      </c>
      <c r="R6000" t="str">
        <f t="shared" si="933"/>
        <v/>
      </c>
      <c r="S6000" t="str">
        <f t="shared" si="934"/>
        <v/>
      </c>
      <c r="T6000" t="str">
        <f t="shared" si="935"/>
        <v/>
      </c>
      <c r="U6000" t="str">
        <f t="shared" si="936"/>
        <v/>
      </c>
      <c r="V6000" t="str">
        <f t="shared" si="937"/>
        <v/>
      </c>
      <c r="W6000" t="str">
        <f t="shared" si="938"/>
        <v/>
      </c>
      <c r="X6000">
        <f>IF($T6000="",N($X5999),IF(MATCH($T6000,$T$6:$T$10005,0)=ROW()-5,N($X5999)+1,N($X5999)))</f>
        <v>0</v>
      </c>
      <c r="Z6000" t="str">
        <f t="shared" si="939"/>
        <v/>
      </c>
      <c r="AA6000">
        <f>IF($V6000="",N($AA5999),IF(MATCH($V6000,$V$6:$V$10005,0)=ROW()-5,N($AA5999)+1,N($AA5999)))</f>
        <v>0</v>
      </c>
    </row>
    <row r="6001" spans="1:27" ht="21" customHeight="1" x14ac:dyDescent="0.95">
      <c r="A6001" s="56"/>
      <c r="B6001" s="57"/>
      <c r="C6001" s="57"/>
      <c r="D6001" s="57"/>
      <c r="E6001" s="56"/>
      <c r="F6001" s="57"/>
      <c r="G6001" s="57"/>
      <c r="H6001" s="56"/>
      <c r="I6001" s="56"/>
      <c r="J6001" s="58"/>
      <c r="K6001" s="58"/>
      <c r="L6001" s="13" t="str">
        <f t="shared" si="930"/>
        <v/>
      </c>
      <c r="M6001" s="13" t="str">
        <f t="shared" si="931"/>
        <v/>
      </c>
      <c r="Q6001" t="str">
        <f t="shared" si="932"/>
        <v/>
      </c>
      <c r="R6001" t="str">
        <f t="shared" si="933"/>
        <v/>
      </c>
      <c r="S6001" t="str">
        <f t="shared" si="934"/>
        <v/>
      </c>
      <c r="T6001" t="str">
        <f t="shared" si="935"/>
        <v/>
      </c>
      <c r="U6001" t="str">
        <f t="shared" si="936"/>
        <v/>
      </c>
      <c r="V6001" t="str">
        <f t="shared" si="937"/>
        <v/>
      </c>
      <c r="W6001" t="str">
        <f t="shared" si="938"/>
        <v/>
      </c>
      <c r="X6001">
        <f>IF($T6001="",N($X6000),IF(MATCH($T6001,$T$6:$T$10005,0)=ROW()-5,N($X6000)+1,N($X6000)))</f>
        <v>0</v>
      </c>
      <c r="Z6001" t="str">
        <f t="shared" si="939"/>
        <v/>
      </c>
      <c r="AA6001">
        <f>IF($V6001="",N($AA6000),IF(MATCH($V6001,$V$6:$V$10005,0)=ROW()-5,N($AA6000)+1,N($AA6000)))</f>
        <v>0</v>
      </c>
    </row>
    <row r="6002" spans="1:27" ht="21" customHeight="1" x14ac:dyDescent="0.95">
      <c r="A6002" s="56"/>
      <c r="B6002" s="57"/>
      <c r="C6002" s="57"/>
      <c r="D6002" s="57"/>
      <c r="E6002" s="56"/>
      <c r="F6002" s="57"/>
      <c r="G6002" s="57"/>
      <c r="H6002" s="56"/>
      <c r="I6002" s="56"/>
      <c r="J6002" s="58"/>
      <c r="K6002" s="58"/>
      <c r="L6002" s="13" t="str">
        <f t="shared" si="930"/>
        <v/>
      </c>
      <c r="M6002" s="13" t="str">
        <f t="shared" si="931"/>
        <v/>
      </c>
      <c r="Q6002" t="str">
        <f t="shared" si="932"/>
        <v/>
      </c>
      <c r="R6002" t="str">
        <f t="shared" si="933"/>
        <v/>
      </c>
      <c r="S6002" t="str">
        <f t="shared" si="934"/>
        <v/>
      </c>
      <c r="T6002" t="str">
        <f t="shared" si="935"/>
        <v/>
      </c>
      <c r="U6002" t="str">
        <f t="shared" si="936"/>
        <v/>
      </c>
      <c r="V6002" t="str">
        <f t="shared" si="937"/>
        <v/>
      </c>
      <c r="W6002" t="str">
        <f t="shared" si="938"/>
        <v/>
      </c>
      <c r="X6002">
        <f>IF($T6002="",N($X6001),IF(MATCH($T6002,$T$6:$T$10005,0)=ROW()-5,N($X6001)+1,N($X6001)))</f>
        <v>0</v>
      </c>
      <c r="Z6002" t="str">
        <f t="shared" si="939"/>
        <v/>
      </c>
      <c r="AA6002">
        <f>IF($V6002="",N($AA6001),IF(MATCH($V6002,$V$6:$V$10005,0)=ROW()-5,N($AA6001)+1,N($AA6001)))</f>
        <v>0</v>
      </c>
    </row>
    <row r="6003" spans="1:27" ht="21" customHeight="1" x14ac:dyDescent="0.95">
      <c r="A6003" s="56"/>
      <c r="B6003" s="57"/>
      <c r="C6003" s="57"/>
      <c r="D6003" s="57"/>
      <c r="E6003" s="56"/>
      <c r="F6003" s="57"/>
      <c r="G6003" s="57"/>
      <c r="H6003" s="56"/>
      <c r="I6003" s="56"/>
      <c r="J6003" s="58"/>
      <c r="K6003" s="58"/>
      <c r="L6003" s="13" t="str">
        <f t="shared" si="930"/>
        <v/>
      </c>
      <c r="M6003" s="13" t="str">
        <f t="shared" si="931"/>
        <v/>
      </c>
      <c r="Q6003" t="str">
        <f t="shared" si="932"/>
        <v/>
      </c>
      <c r="R6003" t="str">
        <f t="shared" si="933"/>
        <v/>
      </c>
      <c r="S6003" t="str">
        <f t="shared" si="934"/>
        <v/>
      </c>
      <c r="T6003" t="str">
        <f t="shared" si="935"/>
        <v/>
      </c>
      <c r="U6003" t="str">
        <f t="shared" si="936"/>
        <v/>
      </c>
      <c r="V6003" t="str">
        <f t="shared" si="937"/>
        <v/>
      </c>
      <c r="W6003" t="str">
        <f t="shared" si="938"/>
        <v/>
      </c>
      <c r="X6003">
        <f>IF($T6003="",N($X6002),IF(MATCH($T6003,$T$6:$T$10005,0)=ROW()-5,N($X6002)+1,N($X6002)))</f>
        <v>0</v>
      </c>
      <c r="Z6003" t="str">
        <f t="shared" si="939"/>
        <v/>
      </c>
      <c r="AA6003">
        <f>IF($V6003="",N($AA6002),IF(MATCH($V6003,$V$6:$V$10005,0)=ROW()-5,N($AA6002)+1,N($AA6002)))</f>
        <v>0</v>
      </c>
    </row>
    <row r="6004" spans="1:27" ht="21" customHeight="1" x14ac:dyDescent="0.95">
      <c r="A6004" s="56"/>
      <c r="B6004" s="57"/>
      <c r="C6004" s="57"/>
      <c r="D6004" s="57"/>
      <c r="E6004" s="56"/>
      <c r="F6004" s="57"/>
      <c r="G6004" s="57"/>
      <c r="H6004" s="56"/>
      <c r="I6004" s="56"/>
      <c r="J6004" s="58"/>
      <c r="K6004" s="58"/>
      <c r="L6004" s="13" t="str">
        <f t="shared" si="930"/>
        <v/>
      </c>
      <c r="M6004" s="13" t="str">
        <f t="shared" si="931"/>
        <v/>
      </c>
      <c r="Q6004" t="str">
        <f t="shared" si="932"/>
        <v/>
      </c>
      <c r="R6004" t="str">
        <f t="shared" si="933"/>
        <v/>
      </c>
      <c r="S6004" t="str">
        <f t="shared" si="934"/>
        <v/>
      </c>
      <c r="T6004" t="str">
        <f t="shared" si="935"/>
        <v/>
      </c>
      <c r="U6004" t="str">
        <f t="shared" si="936"/>
        <v/>
      </c>
      <c r="V6004" t="str">
        <f t="shared" si="937"/>
        <v/>
      </c>
      <c r="W6004" t="str">
        <f t="shared" si="938"/>
        <v/>
      </c>
      <c r="X6004">
        <f>IF($T6004="",N($X6003),IF(MATCH($T6004,$T$6:$T$10005,0)=ROW()-5,N($X6003)+1,N($X6003)))</f>
        <v>0</v>
      </c>
      <c r="Z6004" t="str">
        <f t="shared" si="939"/>
        <v/>
      </c>
      <c r="AA6004">
        <f>IF($V6004="",N($AA6003),IF(MATCH($V6004,$V$6:$V$10005,0)=ROW()-5,N($AA6003)+1,N($AA6003)))</f>
        <v>0</v>
      </c>
    </row>
    <row r="6005" spans="1:27" ht="21" customHeight="1" x14ac:dyDescent="0.95">
      <c r="A6005" s="56"/>
      <c r="B6005" s="57"/>
      <c r="C6005" s="57"/>
      <c r="D6005" s="57"/>
      <c r="E6005" s="56"/>
      <c r="F6005" s="57"/>
      <c r="G6005" s="57"/>
      <c r="H6005" s="56"/>
      <c r="I6005" s="56"/>
      <c r="J6005" s="58"/>
      <c r="K6005" s="58"/>
      <c r="L6005" s="13" t="str">
        <f t="shared" si="930"/>
        <v/>
      </c>
      <c r="M6005" s="13" t="str">
        <f t="shared" si="931"/>
        <v/>
      </c>
      <c r="Q6005" t="str">
        <f t="shared" si="932"/>
        <v/>
      </c>
      <c r="R6005" t="str">
        <f t="shared" si="933"/>
        <v/>
      </c>
      <c r="S6005" t="str">
        <f t="shared" si="934"/>
        <v/>
      </c>
      <c r="T6005" t="str">
        <f t="shared" si="935"/>
        <v/>
      </c>
      <c r="U6005" t="str">
        <f t="shared" si="936"/>
        <v/>
      </c>
      <c r="V6005" t="str">
        <f t="shared" si="937"/>
        <v/>
      </c>
      <c r="W6005" t="str">
        <f t="shared" si="938"/>
        <v/>
      </c>
      <c r="X6005">
        <f t="shared" ref="X6005:X6068" si="940">IF($T6005="",N($X6004),IF(MATCH($T6005,$T$6:$T$10005,0)=ROW()-5,N($X6004)+1,N($X6004)))</f>
        <v>0</v>
      </c>
      <c r="Z6005" t="str">
        <f t="shared" si="939"/>
        <v/>
      </c>
      <c r="AA6005">
        <f t="shared" ref="AA6005:AA6068" si="941">IF($V6005="",N($AA6004),IF(MATCH($V6005,$V$6:$V$10005,0)=ROW()-5,N($AA6004)+1,N($AA6004)))</f>
        <v>0</v>
      </c>
    </row>
    <row r="6006" spans="1:27" ht="21" customHeight="1" x14ac:dyDescent="0.95">
      <c r="A6006" s="56"/>
      <c r="B6006" s="57"/>
      <c r="C6006" s="57"/>
      <c r="D6006" s="57"/>
      <c r="E6006" s="56"/>
      <c r="F6006" s="57"/>
      <c r="G6006" s="57"/>
      <c r="H6006" s="56"/>
      <c r="I6006" s="56"/>
      <c r="J6006" s="58"/>
      <c r="K6006" s="58"/>
      <c r="L6006" s="13" t="str">
        <f t="shared" si="930"/>
        <v/>
      </c>
      <c r="M6006" s="13" t="str">
        <f t="shared" si="931"/>
        <v/>
      </c>
      <c r="Q6006" t="str">
        <f t="shared" si="932"/>
        <v/>
      </c>
      <c r="R6006" t="str">
        <f t="shared" si="933"/>
        <v/>
      </c>
      <c r="S6006" t="str">
        <f t="shared" si="934"/>
        <v/>
      </c>
      <c r="T6006" t="str">
        <f t="shared" si="935"/>
        <v/>
      </c>
      <c r="U6006" t="str">
        <f t="shared" si="936"/>
        <v/>
      </c>
      <c r="V6006" t="str">
        <f t="shared" si="937"/>
        <v/>
      </c>
      <c r="W6006" t="str">
        <f t="shared" si="938"/>
        <v/>
      </c>
      <c r="X6006">
        <f t="shared" si="940"/>
        <v>0</v>
      </c>
      <c r="Z6006" t="str">
        <f t="shared" si="939"/>
        <v/>
      </c>
      <c r="AA6006">
        <f t="shared" si="941"/>
        <v>0</v>
      </c>
    </row>
    <row r="6007" spans="1:27" ht="21" customHeight="1" x14ac:dyDescent="0.95">
      <c r="A6007" s="56"/>
      <c r="B6007" s="57"/>
      <c r="C6007" s="57"/>
      <c r="D6007" s="57"/>
      <c r="E6007" s="56"/>
      <c r="F6007" s="57"/>
      <c r="G6007" s="57"/>
      <c r="H6007" s="56"/>
      <c r="I6007" s="56"/>
      <c r="J6007" s="58"/>
      <c r="K6007" s="58"/>
      <c r="L6007" s="13" t="str">
        <f t="shared" si="930"/>
        <v/>
      </c>
      <c r="M6007" s="13" t="str">
        <f t="shared" si="931"/>
        <v/>
      </c>
      <c r="Q6007" t="str">
        <f t="shared" si="932"/>
        <v/>
      </c>
      <c r="R6007" t="str">
        <f t="shared" si="933"/>
        <v/>
      </c>
      <c r="S6007" t="str">
        <f t="shared" si="934"/>
        <v/>
      </c>
      <c r="T6007" t="str">
        <f t="shared" si="935"/>
        <v/>
      </c>
      <c r="U6007" t="str">
        <f t="shared" si="936"/>
        <v/>
      </c>
      <c r="V6007" t="str">
        <f t="shared" si="937"/>
        <v/>
      </c>
      <c r="W6007" t="str">
        <f t="shared" si="938"/>
        <v/>
      </c>
      <c r="X6007">
        <f t="shared" si="940"/>
        <v>0</v>
      </c>
      <c r="Z6007" t="str">
        <f t="shared" si="939"/>
        <v/>
      </c>
      <c r="AA6007">
        <f t="shared" si="941"/>
        <v>0</v>
      </c>
    </row>
    <row r="6008" spans="1:27" ht="21" customHeight="1" x14ac:dyDescent="0.95">
      <c r="A6008" s="56"/>
      <c r="B6008" s="57"/>
      <c r="C6008" s="57"/>
      <c r="D6008" s="57"/>
      <c r="E6008" s="56"/>
      <c r="F6008" s="57"/>
      <c r="G6008" s="57"/>
      <c r="H6008" s="56"/>
      <c r="I6008" s="56"/>
      <c r="J6008" s="58"/>
      <c r="K6008" s="58"/>
      <c r="L6008" s="13" t="str">
        <f t="shared" si="930"/>
        <v/>
      </c>
      <c r="M6008" s="13" t="str">
        <f t="shared" si="931"/>
        <v/>
      </c>
      <c r="Q6008" t="str">
        <f t="shared" si="932"/>
        <v/>
      </c>
      <c r="R6008" t="str">
        <f t="shared" si="933"/>
        <v/>
      </c>
      <c r="S6008" t="str">
        <f t="shared" si="934"/>
        <v/>
      </c>
      <c r="T6008" t="str">
        <f t="shared" si="935"/>
        <v/>
      </c>
      <c r="U6008" t="str">
        <f t="shared" si="936"/>
        <v/>
      </c>
      <c r="V6008" t="str">
        <f t="shared" si="937"/>
        <v/>
      </c>
      <c r="W6008" t="str">
        <f t="shared" si="938"/>
        <v/>
      </c>
      <c r="X6008">
        <f t="shared" si="940"/>
        <v>0</v>
      </c>
      <c r="Z6008" t="str">
        <f t="shared" si="939"/>
        <v/>
      </c>
      <c r="AA6008">
        <f t="shared" si="941"/>
        <v>0</v>
      </c>
    </row>
    <row r="6009" spans="1:27" ht="21" customHeight="1" x14ac:dyDescent="0.95">
      <c r="A6009" s="56"/>
      <c r="B6009" s="57"/>
      <c r="C6009" s="57"/>
      <c r="D6009" s="57"/>
      <c r="E6009" s="56"/>
      <c r="F6009" s="57"/>
      <c r="G6009" s="57"/>
      <c r="H6009" s="56"/>
      <c r="I6009" s="56"/>
      <c r="J6009" s="58"/>
      <c r="K6009" s="58"/>
      <c r="L6009" s="13" t="str">
        <f t="shared" si="930"/>
        <v/>
      </c>
      <c r="M6009" s="13" t="str">
        <f t="shared" si="931"/>
        <v/>
      </c>
      <c r="Q6009" t="str">
        <f t="shared" si="932"/>
        <v/>
      </c>
      <c r="R6009" t="str">
        <f t="shared" si="933"/>
        <v/>
      </c>
      <c r="S6009" t="str">
        <f t="shared" si="934"/>
        <v/>
      </c>
      <c r="T6009" t="str">
        <f t="shared" si="935"/>
        <v/>
      </c>
      <c r="U6009" t="str">
        <f t="shared" si="936"/>
        <v/>
      </c>
      <c r="V6009" t="str">
        <f t="shared" si="937"/>
        <v/>
      </c>
      <c r="W6009" t="str">
        <f t="shared" si="938"/>
        <v/>
      </c>
      <c r="X6009">
        <f t="shared" si="940"/>
        <v>0</v>
      </c>
      <c r="Z6009" t="str">
        <f t="shared" si="939"/>
        <v/>
      </c>
      <c r="AA6009">
        <f t="shared" si="941"/>
        <v>0</v>
      </c>
    </row>
    <row r="6010" spans="1:27" ht="21" customHeight="1" x14ac:dyDescent="0.95">
      <c r="A6010" s="56"/>
      <c r="B6010" s="57"/>
      <c r="C6010" s="57"/>
      <c r="D6010" s="57"/>
      <c r="E6010" s="56"/>
      <c r="F6010" s="57"/>
      <c r="G6010" s="57"/>
      <c r="H6010" s="56"/>
      <c r="I6010" s="56"/>
      <c r="J6010" s="58"/>
      <c r="K6010" s="58"/>
      <c r="L6010" s="13" t="str">
        <f t="shared" si="930"/>
        <v/>
      </c>
      <c r="M6010" s="13" t="str">
        <f t="shared" si="931"/>
        <v/>
      </c>
      <c r="Q6010" t="str">
        <f t="shared" si="932"/>
        <v/>
      </c>
      <c r="R6010" t="str">
        <f t="shared" si="933"/>
        <v/>
      </c>
      <c r="S6010" t="str">
        <f t="shared" si="934"/>
        <v/>
      </c>
      <c r="T6010" t="str">
        <f t="shared" si="935"/>
        <v/>
      </c>
      <c r="U6010" t="str">
        <f t="shared" si="936"/>
        <v/>
      </c>
      <c r="V6010" t="str">
        <f t="shared" si="937"/>
        <v/>
      </c>
      <c r="W6010" t="str">
        <f t="shared" si="938"/>
        <v/>
      </c>
      <c r="X6010">
        <f t="shared" si="940"/>
        <v>0</v>
      </c>
      <c r="Z6010" t="str">
        <f t="shared" si="939"/>
        <v/>
      </c>
      <c r="AA6010">
        <f t="shared" si="941"/>
        <v>0</v>
      </c>
    </row>
    <row r="6011" spans="1:27" ht="21" customHeight="1" x14ac:dyDescent="0.95">
      <c r="A6011" s="56"/>
      <c r="B6011" s="57"/>
      <c r="C6011" s="57"/>
      <c r="D6011" s="57"/>
      <c r="E6011" s="56"/>
      <c r="F6011" s="57"/>
      <c r="G6011" s="57"/>
      <c r="H6011" s="56"/>
      <c r="I6011" s="56"/>
      <c r="J6011" s="58"/>
      <c r="K6011" s="58"/>
      <c r="L6011" s="13" t="str">
        <f t="shared" si="930"/>
        <v/>
      </c>
      <c r="M6011" s="13" t="str">
        <f t="shared" si="931"/>
        <v/>
      </c>
      <c r="Q6011" t="str">
        <f t="shared" si="932"/>
        <v/>
      </c>
      <c r="R6011" t="str">
        <f t="shared" si="933"/>
        <v/>
      </c>
      <c r="S6011" t="str">
        <f t="shared" si="934"/>
        <v/>
      </c>
      <c r="T6011" t="str">
        <f t="shared" si="935"/>
        <v/>
      </c>
      <c r="U6011" t="str">
        <f t="shared" si="936"/>
        <v/>
      </c>
      <c r="V6011" t="str">
        <f t="shared" si="937"/>
        <v/>
      </c>
      <c r="W6011" t="str">
        <f t="shared" si="938"/>
        <v/>
      </c>
      <c r="X6011">
        <f t="shared" si="940"/>
        <v>0</v>
      </c>
      <c r="Z6011" t="str">
        <f t="shared" si="939"/>
        <v/>
      </c>
      <c r="AA6011">
        <f t="shared" si="941"/>
        <v>0</v>
      </c>
    </row>
    <row r="6012" spans="1:27" ht="21" customHeight="1" x14ac:dyDescent="0.95">
      <c r="A6012" s="56"/>
      <c r="B6012" s="57"/>
      <c r="C6012" s="57"/>
      <c r="D6012" s="57"/>
      <c r="E6012" s="56"/>
      <c r="F6012" s="57"/>
      <c r="G6012" s="57"/>
      <c r="H6012" s="56"/>
      <c r="I6012" s="56"/>
      <c r="J6012" s="58"/>
      <c r="K6012" s="58"/>
      <c r="L6012" s="13" t="str">
        <f t="shared" si="930"/>
        <v/>
      </c>
      <c r="M6012" s="13" t="str">
        <f t="shared" si="931"/>
        <v/>
      </c>
      <c r="Q6012" t="str">
        <f t="shared" si="932"/>
        <v/>
      </c>
      <c r="R6012" t="str">
        <f t="shared" si="933"/>
        <v/>
      </c>
      <c r="S6012" t="str">
        <f t="shared" si="934"/>
        <v/>
      </c>
      <c r="T6012" t="str">
        <f t="shared" si="935"/>
        <v/>
      </c>
      <c r="U6012" t="str">
        <f t="shared" si="936"/>
        <v/>
      </c>
      <c r="V6012" t="str">
        <f t="shared" si="937"/>
        <v/>
      </c>
      <c r="W6012" t="str">
        <f t="shared" si="938"/>
        <v/>
      </c>
      <c r="X6012">
        <f t="shared" si="940"/>
        <v>0</v>
      </c>
      <c r="Z6012" t="str">
        <f t="shared" si="939"/>
        <v/>
      </c>
      <c r="AA6012">
        <f t="shared" si="941"/>
        <v>0</v>
      </c>
    </row>
    <row r="6013" spans="1:27" ht="21" customHeight="1" x14ac:dyDescent="0.95">
      <c r="A6013" s="56"/>
      <c r="B6013" s="57"/>
      <c r="C6013" s="57"/>
      <c r="D6013" s="57"/>
      <c r="E6013" s="56"/>
      <c r="F6013" s="57"/>
      <c r="G6013" s="57"/>
      <c r="H6013" s="56"/>
      <c r="I6013" s="56"/>
      <c r="J6013" s="58"/>
      <c r="K6013" s="58"/>
      <c r="L6013" s="13" t="str">
        <f t="shared" si="930"/>
        <v/>
      </c>
      <c r="M6013" s="13" t="str">
        <f t="shared" si="931"/>
        <v/>
      </c>
      <c r="Q6013" t="str">
        <f t="shared" si="932"/>
        <v/>
      </c>
      <c r="R6013" t="str">
        <f t="shared" si="933"/>
        <v/>
      </c>
      <c r="S6013" t="str">
        <f t="shared" si="934"/>
        <v/>
      </c>
      <c r="T6013" t="str">
        <f t="shared" si="935"/>
        <v/>
      </c>
      <c r="U6013" t="str">
        <f t="shared" si="936"/>
        <v/>
      </c>
      <c r="V6013" t="str">
        <f t="shared" si="937"/>
        <v/>
      </c>
      <c r="W6013" t="str">
        <f t="shared" si="938"/>
        <v/>
      </c>
      <c r="X6013">
        <f t="shared" si="940"/>
        <v>0</v>
      </c>
      <c r="Z6013" t="str">
        <f t="shared" si="939"/>
        <v/>
      </c>
      <c r="AA6013">
        <f t="shared" si="941"/>
        <v>0</v>
      </c>
    </row>
    <row r="6014" spans="1:27" ht="21" customHeight="1" x14ac:dyDescent="0.95">
      <c r="A6014" s="56"/>
      <c r="B6014" s="57"/>
      <c r="C6014" s="57"/>
      <c r="D6014" s="57"/>
      <c r="E6014" s="56"/>
      <c r="F6014" s="57"/>
      <c r="G6014" s="57"/>
      <c r="H6014" s="56"/>
      <c r="I6014" s="56"/>
      <c r="J6014" s="58"/>
      <c r="K6014" s="58"/>
      <c r="L6014" s="13" t="str">
        <f t="shared" si="930"/>
        <v/>
      </c>
      <c r="M6014" s="13" t="str">
        <f t="shared" si="931"/>
        <v/>
      </c>
      <c r="Q6014" t="str">
        <f t="shared" si="932"/>
        <v/>
      </c>
      <c r="R6014" t="str">
        <f t="shared" si="933"/>
        <v/>
      </c>
      <c r="S6014" t="str">
        <f t="shared" si="934"/>
        <v/>
      </c>
      <c r="T6014" t="str">
        <f t="shared" si="935"/>
        <v/>
      </c>
      <c r="U6014" t="str">
        <f t="shared" si="936"/>
        <v/>
      </c>
      <c r="V6014" t="str">
        <f t="shared" si="937"/>
        <v/>
      </c>
      <c r="W6014" t="str">
        <f t="shared" si="938"/>
        <v/>
      </c>
      <c r="X6014">
        <f t="shared" si="940"/>
        <v>0</v>
      </c>
      <c r="Z6014" t="str">
        <f t="shared" si="939"/>
        <v/>
      </c>
      <c r="AA6014">
        <f t="shared" si="941"/>
        <v>0</v>
      </c>
    </row>
    <row r="6015" spans="1:27" ht="21" customHeight="1" x14ac:dyDescent="0.95">
      <c r="A6015" s="56"/>
      <c r="B6015" s="57"/>
      <c r="C6015" s="57"/>
      <c r="D6015" s="57"/>
      <c r="E6015" s="56"/>
      <c r="F6015" s="57"/>
      <c r="G6015" s="57"/>
      <c r="H6015" s="56"/>
      <c r="I6015" s="56"/>
      <c r="J6015" s="58"/>
      <c r="K6015" s="58"/>
      <c r="L6015" s="13" t="str">
        <f t="shared" si="930"/>
        <v/>
      </c>
      <c r="M6015" s="13" t="str">
        <f t="shared" si="931"/>
        <v/>
      </c>
      <c r="Q6015" t="str">
        <f t="shared" si="932"/>
        <v/>
      </c>
      <c r="R6015" t="str">
        <f t="shared" si="933"/>
        <v/>
      </c>
      <c r="S6015" t="str">
        <f t="shared" si="934"/>
        <v/>
      </c>
      <c r="T6015" t="str">
        <f t="shared" si="935"/>
        <v/>
      </c>
      <c r="U6015" t="str">
        <f t="shared" si="936"/>
        <v/>
      </c>
      <c r="V6015" t="str">
        <f t="shared" si="937"/>
        <v/>
      </c>
      <c r="W6015" t="str">
        <f t="shared" si="938"/>
        <v/>
      </c>
      <c r="X6015">
        <f t="shared" si="940"/>
        <v>0</v>
      </c>
      <c r="Z6015" t="str">
        <f t="shared" si="939"/>
        <v/>
      </c>
      <c r="AA6015">
        <f t="shared" si="941"/>
        <v>0</v>
      </c>
    </row>
    <row r="6016" spans="1:27" ht="21" customHeight="1" x14ac:dyDescent="0.95">
      <c r="A6016" s="56"/>
      <c r="B6016" s="57"/>
      <c r="C6016" s="57"/>
      <c r="D6016" s="57"/>
      <c r="E6016" s="56"/>
      <c r="F6016" s="57"/>
      <c r="G6016" s="57"/>
      <c r="H6016" s="56"/>
      <c r="I6016" s="56"/>
      <c r="J6016" s="58"/>
      <c r="K6016" s="58"/>
      <c r="L6016" s="13" t="str">
        <f t="shared" si="930"/>
        <v/>
      </c>
      <c r="M6016" s="13" t="str">
        <f t="shared" si="931"/>
        <v/>
      </c>
      <c r="Q6016" t="str">
        <f t="shared" si="932"/>
        <v/>
      </c>
      <c r="R6016" t="str">
        <f t="shared" si="933"/>
        <v/>
      </c>
      <c r="S6016" t="str">
        <f t="shared" si="934"/>
        <v/>
      </c>
      <c r="T6016" t="str">
        <f t="shared" si="935"/>
        <v/>
      </c>
      <c r="U6016" t="str">
        <f t="shared" si="936"/>
        <v/>
      </c>
      <c r="V6016" t="str">
        <f t="shared" si="937"/>
        <v/>
      </c>
      <c r="W6016" t="str">
        <f t="shared" si="938"/>
        <v/>
      </c>
      <c r="X6016">
        <f t="shared" si="940"/>
        <v>0</v>
      </c>
      <c r="Z6016" t="str">
        <f t="shared" si="939"/>
        <v/>
      </c>
      <c r="AA6016">
        <f t="shared" si="941"/>
        <v>0</v>
      </c>
    </row>
    <row r="6017" spans="1:27" ht="21" customHeight="1" x14ac:dyDescent="0.95">
      <c r="A6017" s="56"/>
      <c r="B6017" s="57"/>
      <c r="C6017" s="57"/>
      <c r="D6017" s="57"/>
      <c r="E6017" s="56"/>
      <c r="F6017" s="57"/>
      <c r="G6017" s="57"/>
      <c r="H6017" s="56"/>
      <c r="I6017" s="56"/>
      <c r="J6017" s="58"/>
      <c r="K6017" s="58"/>
      <c r="L6017" s="13" t="str">
        <f t="shared" si="930"/>
        <v/>
      </c>
      <c r="M6017" s="13" t="str">
        <f t="shared" si="931"/>
        <v/>
      </c>
      <c r="Q6017" t="str">
        <f t="shared" si="932"/>
        <v/>
      </c>
      <c r="R6017" t="str">
        <f t="shared" si="933"/>
        <v/>
      </c>
      <c r="S6017" t="str">
        <f t="shared" si="934"/>
        <v/>
      </c>
      <c r="T6017" t="str">
        <f t="shared" si="935"/>
        <v/>
      </c>
      <c r="U6017" t="str">
        <f t="shared" si="936"/>
        <v/>
      </c>
      <c r="V6017" t="str">
        <f t="shared" si="937"/>
        <v/>
      </c>
      <c r="W6017" t="str">
        <f t="shared" si="938"/>
        <v/>
      </c>
      <c r="X6017">
        <f t="shared" si="940"/>
        <v>0</v>
      </c>
      <c r="Z6017" t="str">
        <f t="shared" si="939"/>
        <v/>
      </c>
      <c r="AA6017">
        <f t="shared" si="941"/>
        <v>0</v>
      </c>
    </row>
    <row r="6018" spans="1:27" ht="21" customHeight="1" x14ac:dyDescent="0.95">
      <c r="A6018" s="56"/>
      <c r="B6018" s="57"/>
      <c r="C6018" s="57"/>
      <c r="D6018" s="57"/>
      <c r="E6018" s="56"/>
      <c r="F6018" s="57"/>
      <c r="G6018" s="57"/>
      <c r="H6018" s="56"/>
      <c r="I6018" s="56"/>
      <c r="J6018" s="58"/>
      <c r="K6018" s="58"/>
      <c r="L6018" s="13" t="str">
        <f t="shared" si="930"/>
        <v/>
      </c>
      <c r="M6018" s="13" t="str">
        <f t="shared" si="931"/>
        <v/>
      </c>
      <c r="Q6018" t="str">
        <f t="shared" si="932"/>
        <v/>
      </c>
      <c r="R6018" t="str">
        <f t="shared" si="933"/>
        <v/>
      </c>
      <c r="S6018" t="str">
        <f t="shared" si="934"/>
        <v/>
      </c>
      <c r="T6018" t="str">
        <f t="shared" si="935"/>
        <v/>
      </c>
      <c r="U6018" t="str">
        <f t="shared" si="936"/>
        <v/>
      </c>
      <c r="V6018" t="str">
        <f t="shared" si="937"/>
        <v/>
      </c>
      <c r="W6018" t="str">
        <f t="shared" si="938"/>
        <v/>
      </c>
      <c r="X6018">
        <f t="shared" si="940"/>
        <v>0</v>
      </c>
      <c r="Z6018" t="str">
        <f t="shared" si="939"/>
        <v/>
      </c>
      <c r="AA6018">
        <f t="shared" si="941"/>
        <v>0</v>
      </c>
    </row>
    <row r="6019" spans="1:27" ht="21" customHeight="1" x14ac:dyDescent="0.95">
      <c r="A6019" s="56"/>
      <c r="B6019" s="57"/>
      <c r="C6019" s="57"/>
      <c r="D6019" s="57"/>
      <c r="E6019" s="56"/>
      <c r="F6019" s="57"/>
      <c r="G6019" s="57"/>
      <c r="H6019" s="56"/>
      <c r="I6019" s="56"/>
      <c r="J6019" s="58"/>
      <c r="K6019" s="58"/>
      <c r="L6019" s="13" t="str">
        <f t="shared" si="930"/>
        <v/>
      </c>
      <c r="M6019" s="13" t="str">
        <f t="shared" si="931"/>
        <v/>
      </c>
      <c r="Q6019" t="str">
        <f t="shared" si="932"/>
        <v/>
      </c>
      <c r="R6019" t="str">
        <f t="shared" si="933"/>
        <v/>
      </c>
      <c r="S6019" t="str">
        <f t="shared" si="934"/>
        <v/>
      </c>
      <c r="T6019" t="str">
        <f t="shared" si="935"/>
        <v/>
      </c>
      <c r="U6019" t="str">
        <f t="shared" si="936"/>
        <v/>
      </c>
      <c r="V6019" t="str">
        <f t="shared" si="937"/>
        <v/>
      </c>
      <c r="W6019" t="str">
        <f t="shared" si="938"/>
        <v/>
      </c>
      <c r="X6019">
        <f t="shared" si="940"/>
        <v>0</v>
      </c>
      <c r="Z6019" t="str">
        <f t="shared" si="939"/>
        <v/>
      </c>
      <c r="AA6019">
        <f t="shared" si="941"/>
        <v>0</v>
      </c>
    </row>
    <row r="6020" spans="1:27" ht="21" customHeight="1" x14ac:dyDescent="0.95">
      <c r="A6020" s="56"/>
      <c r="B6020" s="57"/>
      <c r="C6020" s="57"/>
      <c r="D6020" s="57"/>
      <c r="E6020" s="56"/>
      <c r="F6020" s="57"/>
      <c r="G6020" s="57"/>
      <c r="H6020" s="56"/>
      <c r="I6020" s="56"/>
      <c r="J6020" s="58"/>
      <c r="K6020" s="58"/>
      <c r="L6020" s="13" t="str">
        <f t="shared" si="930"/>
        <v/>
      </c>
      <c r="M6020" s="13" t="str">
        <f t="shared" si="931"/>
        <v/>
      </c>
      <c r="Q6020" t="str">
        <f t="shared" si="932"/>
        <v/>
      </c>
      <c r="R6020" t="str">
        <f t="shared" si="933"/>
        <v/>
      </c>
      <c r="S6020" t="str">
        <f t="shared" si="934"/>
        <v/>
      </c>
      <c r="T6020" t="str">
        <f t="shared" si="935"/>
        <v/>
      </c>
      <c r="U6020" t="str">
        <f t="shared" si="936"/>
        <v/>
      </c>
      <c r="V6020" t="str">
        <f t="shared" si="937"/>
        <v/>
      </c>
      <c r="W6020" t="str">
        <f t="shared" si="938"/>
        <v/>
      </c>
      <c r="X6020">
        <f t="shared" si="940"/>
        <v>0</v>
      </c>
      <c r="Z6020" t="str">
        <f t="shared" si="939"/>
        <v/>
      </c>
      <c r="AA6020">
        <f t="shared" si="941"/>
        <v>0</v>
      </c>
    </row>
    <row r="6021" spans="1:27" ht="21" customHeight="1" x14ac:dyDescent="0.95">
      <c r="A6021" s="56"/>
      <c r="B6021" s="57"/>
      <c r="C6021" s="57"/>
      <c r="D6021" s="57"/>
      <c r="E6021" s="56"/>
      <c r="F6021" s="57"/>
      <c r="G6021" s="57"/>
      <c r="H6021" s="56"/>
      <c r="I6021" s="56"/>
      <c r="J6021" s="58"/>
      <c r="K6021" s="58"/>
      <c r="L6021" s="13" t="str">
        <f t="shared" si="930"/>
        <v/>
      </c>
      <c r="M6021" s="13" t="str">
        <f t="shared" si="931"/>
        <v/>
      </c>
      <c r="Q6021" t="str">
        <f t="shared" si="932"/>
        <v/>
      </c>
      <c r="R6021" t="str">
        <f t="shared" si="933"/>
        <v/>
      </c>
      <c r="S6021" t="str">
        <f t="shared" si="934"/>
        <v/>
      </c>
      <c r="T6021" t="str">
        <f t="shared" si="935"/>
        <v/>
      </c>
      <c r="U6021" t="str">
        <f t="shared" si="936"/>
        <v/>
      </c>
      <c r="V6021" t="str">
        <f t="shared" si="937"/>
        <v/>
      </c>
      <c r="W6021" t="str">
        <f t="shared" si="938"/>
        <v/>
      </c>
      <c r="X6021">
        <f t="shared" si="940"/>
        <v>0</v>
      </c>
      <c r="Z6021" t="str">
        <f t="shared" si="939"/>
        <v/>
      </c>
      <c r="AA6021">
        <f t="shared" si="941"/>
        <v>0</v>
      </c>
    </row>
    <row r="6022" spans="1:27" ht="21" customHeight="1" x14ac:dyDescent="0.95">
      <c r="A6022" s="56"/>
      <c r="B6022" s="57"/>
      <c r="C6022" s="57"/>
      <c r="D6022" s="57"/>
      <c r="E6022" s="56"/>
      <c r="F6022" s="57"/>
      <c r="G6022" s="57"/>
      <c r="H6022" s="56"/>
      <c r="I6022" s="56"/>
      <c r="J6022" s="58"/>
      <c r="K6022" s="58"/>
      <c r="L6022" s="13" t="str">
        <f t="shared" si="930"/>
        <v/>
      </c>
      <c r="M6022" s="13" t="str">
        <f t="shared" si="931"/>
        <v/>
      </c>
      <c r="Q6022" t="str">
        <f t="shared" si="932"/>
        <v/>
      </c>
      <c r="R6022" t="str">
        <f t="shared" si="933"/>
        <v/>
      </c>
      <c r="S6022" t="str">
        <f t="shared" si="934"/>
        <v/>
      </c>
      <c r="T6022" t="str">
        <f t="shared" si="935"/>
        <v/>
      </c>
      <c r="U6022" t="str">
        <f t="shared" si="936"/>
        <v/>
      </c>
      <c r="V6022" t="str">
        <f t="shared" si="937"/>
        <v/>
      </c>
      <c r="W6022" t="str">
        <f t="shared" ref="W6022:W6085" si="942">IF($T6022="","",IF($X6022&gt;N($X6021),$X6022,""))</f>
        <v/>
      </c>
      <c r="X6022">
        <f t="shared" si="940"/>
        <v>0</v>
      </c>
      <c r="Z6022" t="str">
        <f t="shared" ref="Z6022:Z6085" si="943">IF($V6022="","",IF($AA6022&gt;N($AA6021),$AA6022,""))</f>
        <v/>
      </c>
      <c r="AA6022">
        <f t="shared" si="941"/>
        <v>0</v>
      </c>
    </row>
    <row r="6023" spans="1:27" ht="21" customHeight="1" x14ac:dyDescent="0.95">
      <c r="A6023" s="56"/>
      <c r="B6023" s="57"/>
      <c r="C6023" s="57"/>
      <c r="D6023" s="57"/>
      <c r="E6023" s="56"/>
      <c r="F6023" s="57"/>
      <c r="G6023" s="57"/>
      <c r="H6023" s="56"/>
      <c r="I6023" s="56"/>
      <c r="J6023" s="58"/>
      <c r="K6023" s="58"/>
      <c r="L6023" s="13" t="str">
        <f t="shared" si="930"/>
        <v/>
      </c>
      <c r="M6023" s="13" t="str">
        <f t="shared" si="931"/>
        <v/>
      </c>
      <c r="Q6023" t="str">
        <f t="shared" si="932"/>
        <v/>
      </c>
      <c r="R6023" t="str">
        <f t="shared" si="933"/>
        <v/>
      </c>
      <c r="S6023" t="str">
        <f t="shared" si="934"/>
        <v/>
      </c>
      <c r="T6023" t="str">
        <f t="shared" si="935"/>
        <v/>
      </c>
      <c r="U6023" t="str">
        <f t="shared" si="936"/>
        <v/>
      </c>
      <c r="V6023" t="str">
        <f t="shared" si="937"/>
        <v/>
      </c>
      <c r="W6023" t="str">
        <f t="shared" si="942"/>
        <v/>
      </c>
      <c r="X6023">
        <f t="shared" si="940"/>
        <v>0</v>
      </c>
      <c r="Z6023" t="str">
        <f t="shared" si="943"/>
        <v/>
      </c>
      <c r="AA6023">
        <f t="shared" si="941"/>
        <v>0</v>
      </c>
    </row>
    <row r="6024" spans="1:27" ht="21" customHeight="1" x14ac:dyDescent="0.95">
      <c r="A6024" s="56"/>
      <c r="B6024" s="57"/>
      <c r="C6024" s="57"/>
      <c r="D6024" s="57"/>
      <c r="E6024" s="56"/>
      <c r="F6024" s="57"/>
      <c r="G6024" s="57"/>
      <c r="H6024" s="56"/>
      <c r="I6024" s="56"/>
      <c r="J6024" s="58"/>
      <c r="K6024" s="58"/>
      <c r="L6024" s="13" t="str">
        <f t="shared" si="930"/>
        <v/>
      </c>
      <c r="M6024" s="13" t="str">
        <f t="shared" si="931"/>
        <v/>
      </c>
      <c r="Q6024" t="str">
        <f t="shared" si="932"/>
        <v/>
      </c>
      <c r="R6024" t="str">
        <f t="shared" si="933"/>
        <v/>
      </c>
      <c r="S6024" t="str">
        <f t="shared" si="934"/>
        <v/>
      </c>
      <c r="T6024" t="str">
        <f t="shared" si="935"/>
        <v/>
      </c>
      <c r="U6024" t="str">
        <f t="shared" si="936"/>
        <v/>
      </c>
      <c r="V6024" t="str">
        <f t="shared" si="937"/>
        <v/>
      </c>
      <c r="W6024" t="str">
        <f t="shared" si="942"/>
        <v/>
      </c>
      <c r="X6024">
        <f t="shared" si="940"/>
        <v>0</v>
      </c>
      <c r="Z6024" t="str">
        <f t="shared" si="943"/>
        <v/>
      </c>
      <c r="AA6024">
        <f t="shared" si="941"/>
        <v>0</v>
      </c>
    </row>
    <row r="6025" spans="1:27" ht="21" customHeight="1" x14ac:dyDescent="0.95">
      <c r="A6025" s="56"/>
      <c r="B6025" s="57"/>
      <c r="C6025" s="57"/>
      <c r="D6025" s="57"/>
      <c r="E6025" s="56"/>
      <c r="F6025" s="57"/>
      <c r="G6025" s="57"/>
      <c r="H6025" s="56"/>
      <c r="I6025" s="56"/>
      <c r="J6025" s="58"/>
      <c r="K6025" s="58"/>
      <c r="L6025" s="13" t="str">
        <f t="shared" si="930"/>
        <v/>
      </c>
      <c r="M6025" s="13" t="str">
        <f t="shared" si="931"/>
        <v/>
      </c>
      <c r="Q6025" t="str">
        <f t="shared" si="932"/>
        <v/>
      </c>
      <c r="R6025" t="str">
        <f t="shared" si="933"/>
        <v/>
      </c>
      <c r="S6025" t="str">
        <f t="shared" si="934"/>
        <v/>
      </c>
      <c r="T6025" t="str">
        <f t="shared" si="935"/>
        <v/>
      </c>
      <c r="U6025" t="str">
        <f t="shared" si="936"/>
        <v/>
      </c>
      <c r="V6025" t="str">
        <f t="shared" si="937"/>
        <v/>
      </c>
      <c r="W6025" t="str">
        <f t="shared" si="942"/>
        <v/>
      </c>
      <c r="X6025">
        <f t="shared" si="940"/>
        <v>0</v>
      </c>
      <c r="Z6025" t="str">
        <f t="shared" si="943"/>
        <v/>
      </c>
      <c r="AA6025">
        <f t="shared" si="941"/>
        <v>0</v>
      </c>
    </row>
    <row r="6026" spans="1:27" ht="21" customHeight="1" x14ac:dyDescent="0.95">
      <c r="A6026" s="56"/>
      <c r="B6026" s="57"/>
      <c r="C6026" s="57"/>
      <c r="D6026" s="57"/>
      <c r="E6026" s="56"/>
      <c r="F6026" s="57"/>
      <c r="G6026" s="57"/>
      <c r="H6026" s="56"/>
      <c r="I6026" s="56"/>
      <c r="J6026" s="58"/>
      <c r="K6026" s="58"/>
      <c r="L6026" s="13" t="str">
        <f t="shared" si="930"/>
        <v/>
      </c>
      <c r="M6026" s="13" t="str">
        <f t="shared" si="931"/>
        <v/>
      </c>
      <c r="Q6026" t="str">
        <f t="shared" si="932"/>
        <v/>
      </c>
      <c r="R6026" t="str">
        <f t="shared" si="933"/>
        <v/>
      </c>
      <c r="S6026" t="str">
        <f t="shared" si="934"/>
        <v/>
      </c>
      <c r="T6026" t="str">
        <f t="shared" si="935"/>
        <v/>
      </c>
      <c r="U6026" t="str">
        <f t="shared" si="936"/>
        <v/>
      </c>
      <c r="V6026" t="str">
        <f t="shared" si="937"/>
        <v/>
      </c>
      <c r="W6026" t="str">
        <f t="shared" si="942"/>
        <v/>
      </c>
      <c r="X6026">
        <f t="shared" si="940"/>
        <v>0</v>
      </c>
      <c r="Z6026" t="str">
        <f t="shared" si="943"/>
        <v/>
      </c>
      <c r="AA6026">
        <f t="shared" si="941"/>
        <v>0</v>
      </c>
    </row>
    <row r="6027" spans="1:27" ht="21" customHeight="1" x14ac:dyDescent="0.95">
      <c r="A6027" s="56"/>
      <c r="B6027" s="57"/>
      <c r="C6027" s="57"/>
      <c r="D6027" s="57"/>
      <c r="E6027" s="56"/>
      <c r="F6027" s="57"/>
      <c r="G6027" s="57"/>
      <c r="H6027" s="56"/>
      <c r="I6027" s="56"/>
      <c r="J6027" s="58"/>
      <c r="K6027" s="58"/>
      <c r="L6027" s="13" t="str">
        <f t="shared" si="930"/>
        <v/>
      </c>
      <c r="M6027" s="13" t="str">
        <f t="shared" si="931"/>
        <v/>
      </c>
      <c r="Q6027" t="str">
        <f t="shared" si="932"/>
        <v/>
      </c>
      <c r="R6027" t="str">
        <f t="shared" si="933"/>
        <v/>
      </c>
      <c r="S6027" t="str">
        <f t="shared" si="934"/>
        <v/>
      </c>
      <c r="T6027" t="str">
        <f t="shared" si="935"/>
        <v/>
      </c>
      <c r="U6027" t="str">
        <f t="shared" si="936"/>
        <v/>
      </c>
      <c r="V6027" t="str">
        <f t="shared" si="937"/>
        <v/>
      </c>
      <c r="W6027" t="str">
        <f t="shared" si="942"/>
        <v/>
      </c>
      <c r="X6027">
        <f t="shared" si="940"/>
        <v>0</v>
      </c>
      <c r="Z6027" t="str">
        <f t="shared" si="943"/>
        <v/>
      </c>
      <c r="AA6027">
        <f t="shared" si="941"/>
        <v>0</v>
      </c>
    </row>
    <row r="6028" spans="1:27" ht="21" customHeight="1" x14ac:dyDescent="0.95">
      <c r="A6028" s="56"/>
      <c r="B6028" s="57"/>
      <c r="C6028" s="57"/>
      <c r="D6028" s="57"/>
      <c r="E6028" s="56"/>
      <c r="F6028" s="57"/>
      <c r="G6028" s="57"/>
      <c r="H6028" s="56"/>
      <c r="I6028" s="56"/>
      <c r="J6028" s="58"/>
      <c r="K6028" s="58"/>
      <c r="L6028" s="13" t="str">
        <f t="shared" si="930"/>
        <v/>
      </c>
      <c r="M6028" s="13" t="str">
        <f t="shared" si="931"/>
        <v/>
      </c>
      <c r="Q6028" t="str">
        <f t="shared" si="932"/>
        <v/>
      </c>
      <c r="R6028" t="str">
        <f t="shared" si="933"/>
        <v/>
      </c>
      <c r="S6028" t="str">
        <f t="shared" si="934"/>
        <v/>
      </c>
      <c r="T6028" t="str">
        <f t="shared" si="935"/>
        <v/>
      </c>
      <c r="U6028" t="str">
        <f t="shared" si="936"/>
        <v/>
      </c>
      <c r="V6028" t="str">
        <f t="shared" si="937"/>
        <v/>
      </c>
      <c r="W6028" t="str">
        <f t="shared" si="942"/>
        <v/>
      </c>
      <c r="X6028">
        <f t="shared" si="940"/>
        <v>0</v>
      </c>
      <c r="Z6028" t="str">
        <f t="shared" si="943"/>
        <v/>
      </c>
      <c r="AA6028">
        <f t="shared" si="941"/>
        <v>0</v>
      </c>
    </row>
    <row r="6029" spans="1:27" ht="21" customHeight="1" x14ac:dyDescent="0.95">
      <c r="A6029" s="56"/>
      <c r="B6029" s="57"/>
      <c r="C6029" s="57"/>
      <c r="D6029" s="57"/>
      <c r="E6029" s="56"/>
      <c r="F6029" s="57"/>
      <c r="G6029" s="57"/>
      <c r="H6029" s="56"/>
      <c r="I6029" s="56"/>
      <c r="J6029" s="58"/>
      <c r="K6029" s="58"/>
      <c r="L6029" s="13" t="str">
        <f t="shared" si="930"/>
        <v/>
      </c>
      <c r="M6029" s="13" t="str">
        <f t="shared" si="931"/>
        <v/>
      </c>
      <c r="Q6029" t="str">
        <f t="shared" si="932"/>
        <v/>
      </c>
      <c r="R6029" t="str">
        <f t="shared" si="933"/>
        <v/>
      </c>
      <c r="S6029" t="str">
        <f t="shared" si="934"/>
        <v/>
      </c>
      <c r="T6029" t="str">
        <f t="shared" si="935"/>
        <v/>
      </c>
      <c r="U6029" t="str">
        <f t="shared" si="936"/>
        <v/>
      </c>
      <c r="V6029" t="str">
        <f t="shared" si="937"/>
        <v/>
      </c>
      <c r="W6029" t="str">
        <f t="shared" si="942"/>
        <v/>
      </c>
      <c r="X6029">
        <f t="shared" si="940"/>
        <v>0</v>
      </c>
      <c r="Z6029" t="str">
        <f t="shared" si="943"/>
        <v/>
      </c>
      <c r="AA6029">
        <f t="shared" si="941"/>
        <v>0</v>
      </c>
    </row>
    <row r="6030" spans="1:27" ht="21" customHeight="1" x14ac:dyDescent="0.95">
      <c r="A6030" s="56"/>
      <c r="B6030" s="57"/>
      <c r="C6030" s="57"/>
      <c r="D6030" s="57"/>
      <c r="E6030" s="56"/>
      <c r="F6030" s="57"/>
      <c r="G6030" s="57"/>
      <c r="H6030" s="56"/>
      <c r="I6030" s="56"/>
      <c r="J6030" s="58"/>
      <c r="K6030" s="58"/>
      <c r="L6030" s="13" t="str">
        <f t="shared" si="930"/>
        <v/>
      </c>
      <c r="M6030" s="13" t="str">
        <f t="shared" si="931"/>
        <v/>
      </c>
      <c r="Q6030" t="str">
        <f t="shared" si="932"/>
        <v/>
      </c>
      <c r="R6030" t="str">
        <f t="shared" si="933"/>
        <v/>
      </c>
      <c r="S6030" t="str">
        <f t="shared" si="934"/>
        <v/>
      </c>
      <c r="T6030" t="str">
        <f t="shared" si="935"/>
        <v/>
      </c>
      <c r="U6030" t="str">
        <f t="shared" si="936"/>
        <v/>
      </c>
      <c r="V6030" t="str">
        <f t="shared" si="937"/>
        <v/>
      </c>
      <c r="W6030" t="str">
        <f t="shared" si="942"/>
        <v/>
      </c>
      <c r="X6030">
        <f t="shared" si="940"/>
        <v>0</v>
      </c>
      <c r="Z6030" t="str">
        <f t="shared" si="943"/>
        <v/>
      </c>
      <c r="AA6030">
        <f t="shared" si="941"/>
        <v>0</v>
      </c>
    </row>
    <row r="6031" spans="1:27" ht="21" customHeight="1" x14ac:dyDescent="0.95">
      <c r="A6031" s="56"/>
      <c r="B6031" s="57"/>
      <c r="C6031" s="57"/>
      <c r="D6031" s="57"/>
      <c r="E6031" s="56"/>
      <c r="F6031" s="57"/>
      <c r="G6031" s="57"/>
      <c r="H6031" s="56"/>
      <c r="I6031" s="56"/>
      <c r="J6031" s="58"/>
      <c r="K6031" s="58"/>
      <c r="L6031" s="13" t="str">
        <f t="shared" si="930"/>
        <v/>
      </c>
      <c r="M6031" s="13" t="str">
        <f t="shared" si="931"/>
        <v/>
      </c>
      <c r="Q6031" t="str">
        <f t="shared" si="932"/>
        <v/>
      </c>
      <c r="R6031" t="str">
        <f t="shared" si="933"/>
        <v/>
      </c>
      <c r="S6031" t="str">
        <f t="shared" si="934"/>
        <v/>
      </c>
      <c r="T6031" t="str">
        <f t="shared" si="935"/>
        <v/>
      </c>
      <c r="U6031" t="str">
        <f t="shared" si="936"/>
        <v/>
      </c>
      <c r="V6031" t="str">
        <f t="shared" si="937"/>
        <v/>
      </c>
      <c r="W6031" t="str">
        <f t="shared" si="942"/>
        <v/>
      </c>
      <c r="X6031">
        <f t="shared" si="940"/>
        <v>0</v>
      </c>
      <c r="Z6031" t="str">
        <f t="shared" si="943"/>
        <v/>
      </c>
      <c r="AA6031">
        <f t="shared" si="941"/>
        <v>0</v>
      </c>
    </row>
    <row r="6032" spans="1:27" ht="21" customHeight="1" x14ac:dyDescent="0.95">
      <c r="A6032" s="56"/>
      <c r="B6032" s="57"/>
      <c r="C6032" s="57"/>
      <c r="D6032" s="57"/>
      <c r="E6032" s="56"/>
      <c r="F6032" s="57"/>
      <c r="G6032" s="57"/>
      <c r="H6032" s="56"/>
      <c r="I6032" s="56"/>
      <c r="J6032" s="58"/>
      <c r="K6032" s="58"/>
      <c r="L6032" s="13" t="str">
        <f t="shared" si="930"/>
        <v/>
      </c>
      <c r="M6032" s="13" t="str">
        <f t="shared" si="931"/>
        <v/>
      </c>
      <c r="Q6032" t="str">
        <f t="shared" si="932"/>
        <v/>
      </c>
      <c r="R6032" t="str">
        <f t="shared" si="933"/>
        <v/>
      </c>
      <c r="S6032" t="str">
        <f t="shared" si="934"/>
        <v/>
      </c>
      <c r="T6032" t="str">
        <f t="shared" si="935"/>
        <v/>
      </c>
      <c r="U6032" t="str">
        <f t="shared" si="936"/>
        <v/>
      </c>
      <c r="V6032" t="str">
        <f t="shared" si="937"/>
        <v/>
      </c>
      <c r="W6032" t="str">
        <f t="shared" si="942"/>
        <v/>
      </c>
      <c r="X6032">
        <f t="shared" si="940"/>
        <v>0</v>
      </c>
      <c r="Z6032" t="str">
        <f t="shared" si="943"/>
        <v/>
      </c>
      <c r="AA6032">
        <f t="shared" si="941"/>
        <v>0</v>
      </c>
    </row>
    <row r="6033" spans="1:27" ht="21" customHeight="1" x14ac:dyDescent="0.95">
      <c r="A6033" s="56"/>
      <c r="B6033" s="57"/>
      <c r="C6033" s="57"/>
      <c r="D6033" s="57"/>
      <c r="E6033" s="56"/>
      <c r="F6033" s="57"/>
      <c r="G6033" s="57"/>
      <c r="H6033" s="56"/>
      <c r="I6033" s="56"/>
      <c r="J6033" s="58"/>
      <c r="K6033" s="58"/>
      <c r="L6033" s="13" t="str">
        <f t="shared" si="930"/>
        <v/>
      </c>
      <c r="M6033" s="13" t="str">
        <f t="shared" si="931"/>
        <v/>
      </c>
      <c r="Q6033" t="str">
        <f t="shared" si="932"/>
        <v/>
      </c>
      <c r="R6033" t="str">
        <f t="shared" si="933"/>
        <v/>
      </c>
      <c r="S6033" t="str">
        <f t="shared" si="934"/>
        <v/>
      </c>
      <c r="T6033" t="str">
        <f t="shared" si="935"/>
        <v/>
      </c>
      <c r="U6033" t="str">
        <f t="shared" si="936"/>
        <v/>
      </c>
      <c r="V6033" t="str">
        <f t="shared" si="937"/>
        <v/>
      </c>
      <c r="W6033" t="str">
        <f t="shared" si="942"/>
        <v/>
      </c>
      <c r="X6033">
        <f t="shared" si="940"/>
        <v>0</v>
      </c>
      <c r="Z6033" t="str">
        <f t="shared" si="943"/>
        <v/>
      </c>
      <c r="AA6033">
        <f t="shared" si="941"/>
        <v>0</v>
      </c>
    </row>
    <row r="6034" spans="1:27" ht="21" customHeight="1" x14ac:dyDescent="0.95">
      <c r="A6034" s="56"/>
      <c r="B6034" s="57"/>
      <c r="C6034" s="57"/>
      <c r="D6034" s="57"/>
      <c r="E6034" s="56"/>
      <c r="F6034" s="57"/>
      <c r="G6034" s="57"/>
      <c r="H6034" s="56"/>
      <c r="I6034" s="56"/>
      <c r="J6034" s="58"/>
      <c r="K6034" s="58"/>
      <c r="L6034" s="13" t="str">
        <f t="shared" si="930"/>
        <v/>
      </c>
      <c r="M6034" s="13" t="str">
        <f t="shared" si="931"/>
        <v/>
      </c>
      <c r="Q6034" t="str">
        <f t="shared" si="932"/>
        <v/>
      </c>
      <c r="R6034" t="str">
        <f t="shared" si="933"/>
        <v/>
      </c>
      <c r="S6034" t="str">
        <f t="shared" si="934"/>
        <v/>
      </c>
      <c r="T6034" t="str">
        <f t="shared" si="935"/>
        <v/>
      </c>
      <c r="U6034" t="str">
        <f t="shared" si="936"/>
        <v/>
      </c>
      <c r="V6034" t="str">
        <f t="shared" si="937"/>
        <v/>
      </c>
      <c r="W6034" t="str">
        <f t="shared" si="942"/>
        <v/>
      </c>
      <c r="X6034">
        <f t="shared" si="940"/>
        <v>0</v>
      </c>
      <c r="Z6034" t="str">
        <f t="shared" si="943"/>
        <v/>
      </c>
      <c r="AA6034">
        <f t="shared" si="941"/>
        <v>0</v>
      </c>
    </row>
    <row r="6035" spans="1:27" ht="21" customHeight="1" x14ac:dyDescent="0.95">
      <c r="A6035" s="56"/>
      <c r="B6035" s="57"/>
      <c r="C6035" s="57"/>
      <c r="D6035" s="57"/>
      <c r="E6035" s="56"/>
      <c r="F6035" s="57"/>
      <c r="G6035" s="57"/>
      <c r="H6035" s="56"/>
      <c r="I6035" s="56"/>
      <c r="J6035" s="58"/>
      <c r="K6035" s="58"/>
      <c r="L6035" s="13" t="str">
        <f t="shared" si="930"/>
        <v/>
      </c>
      <c r="M6035" s="13" t="str">
        <f t="shared" si="931"/>
        <v/>
      </c>
      <c r="Q6035" t="str">
        <f t="shared" si="932"/>
        <v/>
      </c>
      <c r="R6035" t="str">
        <f t="shared" si="933"/>
        <v/>
      </c>
      <c r="S6035" t="str">
        <f t="shared" si="934"/>
        <v/>
      </c>
      <c r="T6035" t="str">
        <f t="shared" si="935"/>
        <v/>
      </c>
      <c r="U6035" t="str">
        <f t="shared" si="936"/>
        <v/>
      </c>
      <c r="V6035" t="str">
        <f t="shared" si="937"/>
        <v/>
      </c>
      <c r="W6035" t="str">
        <f t="shared" si="942"/>
        <v/>
      </c>
      <c r="X6035">
        <f t="shared" si="940"/>
        <v>0</v>
      </c>
      <c r="Z6035" t="str">
        <f t="shared" si="943"/>
        <v/>
      </c>
      <c r="AA6035">
        <f t="shared" si="941"/>
        <v>0</v>
      </c>
    </row>
    <row r="6036" spans="1:27" ht="21" customHeight="1" x14ac:dyDescent="0.95">
      <c r="A6036" s="56"/>
      <c r="B6036" s="57"/>
      <c r="C6036" s="57"/>
      <c r="D6036" s="57"/>
      <c r="E6036" s="56"/>
      <c r="F6036" s="57"/>
      <c r="G6036" s="57"/>
      <c r="H6036" s="56"/>
      <c r="I6036" s="56"/>
      <c r="J6036" s="58"/>
      <c r="K6036" s="58"/>
      <c r="L6036" s="13" t="str">
        <f t="shared" si="930"/>
        <v/>
      </c>
      <c r="M6036" s="13" t="str">
        <f t="shared" si="931"/>
        <v/>
      </c>
      <c r="Q6036" t="str">
        <f t="shared" si="932"/>
        <v/>
      </c>
      <c r="R6036" t="str">
        <f t="shared" si="933"/>
        <v/>
      </c>
      <c r="S6036" t="str">
        <f t="shared" si="934"/>
        <v/>
      </c>
      <c r="T6036" t="str">
        <f t="shared" si="935"/>
        <v/>
      </c>
      <c r="U6036" t="str">
        <f t="shared" si="936"/>
        <v/>
      </c>
      <c r="V6036" t="str">
        <f t="shared" si="937"/>
        <v/>
      </c>
      <c r="W6036" t="str">
        <f t="shared" si="942"/>
        <v/>
      </c>
      <c r="X6036">
        <f t="shared" si="940"/>
        <v>0</v>
      </c>
      <c r="Z6036" t="str">
        <f t="shared" si="943"/>
        <v/>
      </c>
      <c r="AA6036">
        <f t="shared" si="941"/>
        <v>0</v>
      </c>
    </row>
    <row r="6037" spans="1:27" ht="21" customHeight="1" x14ac:dyDescent="0.95">
      <c r="A6037" s="56"/>
      <c r="B6037" s="57"/>
      <c r="C6037" s="57"/>
      <c r="D6037" s="57"/>
      <c r="E6037" s="56"/>
      <c r="F6037" s="57"/>
      <c r="G6037" s="57"/>
      <c r="H6037" s="56"/>
      <c r="I6037" s="56"/>
      <c r="J6037" s="58"/>
      <c r="K6037" s="58"/>
      <c r="L6037" s="13" t="str">
        <f t="shared" si="930"/>
        <v/>
      </c>
      <c r="M6037" s="13" t="str">
        <f t="shared" si="931"/>
        <v/>
      </c>
      <c r="Q6037" t="str">
        <f t="shared" si="932"/>
        <v/>
      </c>
      <c r="R6037" t="str">
        <f t="shared" si="933"/>
        <v/>
      </c>
      <c r="S6037" t="str">
        <f t="shared" si="934"/>
        <v/>
      </c>
      <c r="T6037" t="str">
        <f t="shared" si="935"/>
        <v/>
      </c>
      <c r="U6037" t="str">
        <f t="shared" si="936"/>
        <v/>
      </c>
      <c r="V6037" t="str">
        <f t="shared" si="937"/>
        <v/>
      </c>
      <c r="W6037" t="str">
        <f t="shared" si="942"/>
        <v/>
      </c>
      <c r="X6037">
        <f t="shared" si="940"/>
        <v>0</v>
      </c>
      <c r="Z6037" t="str">
        <f t="shared" si="943"/>
        <v/>
      </c>
      <c r="AA6037">
        <f t="shared" si="941"/>
        <v>0</v>
      </c>
    </row>
    <row r="6038" spans="1:27" ht="21" customHeight="1" x14ac:dyDescent="0.95">
      <c r="A6038" s="56"/>
      <c r="B6038" s="57"/>
      <c r="C6038" s="57"/>
      <c r="D6038" s="57"/>
      <c r="E6038" s="56"/>
      <c r="F6038" s="57"/>
      <c r="G6038" s="57"/>
      <c r="H6038" s="56"/>
      <c r="I6038" s="56"/>
      <c r="J6038" s="58"/>
      <c r="K6038" s="58"/>
      <c r="L6038" s="13" t="str">
        <f t="shared" si="930"/>
        <v/>
      </c>
      <c r="M6038" s="13" t="str">
        <f t="shared" si="931"/>
        <v/>
      </c>
      <c r="Q6038" t="str">
        <f t="shared" si="932"/>
        <v/>
      </c>
      <c r="R6038" t="str">
        <f t="shared" si="933"/>
        <v/>
      </c>
      <c r="S6038" t="str">
        <f t="shared" si="934"/>
        <v/>
      </c>
      <c r="T6038" t="str">
        <f t="shared" si="935"/>
        <v/>
      </c>
      <c r="U6038" t="str">
        <f t="shared" si="936"/>
        <v/>
      </c>
      <c r="V6038" t="str">
        <f t="shared" si="937"/>
        <v/>
      </c>
      <c r="W6038" t="str">
        <f t="shared" si="942"/>
        <v/>
      </c>
      <c r="X6038">
        <f t="shared" si="940"/>
        <v>0</v>
      </c>
      <c r="Z6038" t="str">
        <f t="shared" si="943"/>
        <v/>
      </c>
      <c r="AA6038">
        <f t="shared" si="941"/>
        <v>0</v>
      </c>
    </row>
    <row r="6039" spans="1:27" ht="21" customHeight="1" x14ac:dyDescent="0.95">
      <c r="A6039" s="56"/>
      <c r="B6039" s="57"/>
      <c r="C6039" s="57"/>
      <c r="D6039" s="57"/>
      <c r="E6039" s="56"/>
      <c r="F6039" s="57"/>
      <c r="G6039" s="57"/>
      <c r="H6039" s="56"/>
      <c r="I6039" s="56"/>
      <c r="J6039" s="58"/>
      <c r="K6039" s="58"/>
      <c r="L6039" s="13" t="str">
        <f t="shared" si="930"/>
        <v/>
      </c>
      <c r="M6039" s="13" t="str">
        <f t="shared" si="931"/>
        <v/>
      </c>
      <c r="Q6039" t="str">
        <f t="shared" si="932"/>
        <v/>
      </c>
      <c r="R6039" t="str">
        <f t="shared" si="933"/>
        <v/>
      </c>
      <c r="S6039" t="str">
        <f t="shared" si="934"/>
        <v/>
      </c>
      <c r="T6039" t="str">
        <f t="shared" si="935"/>
        <v/>
      </c>
      <c r="U6039" t="str">
        <f t="shared" si="936"/>
        <v/>
      </c>
      <c r="V6039" t="str">
        <f t="shared" si="937"/>
        <v/>
      </c>
      <c r="W6039" t="str">
        <f t="shared" si="942"/>
        <v/>
      </c>
      <c r="X6039">
        <f t="shared" si="940"/>
        <v>0</v>
      </c>
      <c r="Z6039" t="str">
        <f t="shared" si="943"/>
        <v/>
      </c>
      <c r="AA6039">
        <f t="shared" si="941"/>
        <v>0</v>
      </c>
    </row>
    <row r="6040" spans="1:27" ht="21" customHeight="1" x14ac:dyDescent="0.95">
      <c r="A6040" s="56"/>
      <c r="B6040" s="57"/>
      <c r="C6040" s="57"/>
      <c r="D6040" s="57"/>
      <c r="E6040" s="56"/>
      <c r="F6040" s="57"/>
      <c r="G6040" s="57"/>
      <c r="H6040" s="56"/>
      <c r="I6040" s="56"/>
      <c r="J6040" s="58"/>
      <c r="K6040" s="58"/>
      <c r="L6040" s="13" t="str">
        <f t="shared" si="930"/>
        <v/>
      </c>
      <c r="M6040" s="13" t="str">
        <f t="shared" si="931"/>
        <v/>
      </c>
      <c r="Q6040" t="str">
        <f t="shared" si="932"/>
        <v/>
      </c>
      <c r="R6040" t="str">
        <f t="shared" si="933"/>
        <v/>
      </c>
      <c r="S6040" t="str">
        <f t="shared" si="934"/>
        <v/>
      </c>
      <c r="T6040" t="str">
        <f t="shared" si="935"/>
        <v/>
      </c>
      <c r="U6040" t="str">
        <f t="shared" si="936"/>
        <v/>
      </c>
      <c r="V6040" t="str">
        <f t="shared" si="937"/>
        <v/>
      </c>
      <c r="W6040" t="str">
        <f t="shared" si="942"/>
        <v/>
      </c>
      <c r="X6040">
        <f t="shared" si="940"/>
        <v>0</v>
      </c>
      <c r="Z6040" t="str">
        <f t="shared" si="943"/>
        <v/>
      </c>
      <c r="AA6040">
        <f t="shared" si="941"/>
        <v>0</v>
      </c>
    </row>
    <row r="6041" spans="1:27" ht="21" customHeight="1" x14ac:dyDescent="0.95">
      <c r="A6041" s="56"/>
      <c r="B6041" s="57"/>
      <c r="C6041" s="57"/>
      <c r="D6041" s="57"/>
      <c r="E6041" s="56"/>
      <c r="F6041" s="57"/>
      <c r="G6041" s="57"/>
      <c r="H6041" s="56"/>
      <c r="I6041" s="56"/>
      <c r="J6041" s="58"/>
      <c r="K6041" s="58"/>
      <c r="L6041" s="13" t="str">
        <f t="shared" si="930"/>
        <v/>
      </c>
      <c r="M6041" s="13" t="str">
        <f t="shared" si="931"/>
        <v/>
      </c>
      <c r="Q6041" t="str">
        <f t="shared" si="932"/>
        <v/>
      </c>
      <c r="R6041" t="str">
        <f t="shared" si="933"/>
        <v/>
      </c>
      <c r="S6041" t="str">
        <f t="shared" si="934"/>
        <v/>
      </c>
      <c r="T6041" t="str">
        <f t="shared" si="935"/>
        <v/>
      </c>
      <c r="U6041" t="str">
        <f t="shared" si="936"/>
        <v/>
      </c>
      <c r="V6041" t="str">
        <f t="shared" si="937"/>
        <v/>
      </c>
      <c r="W6041" t="str">
        <f t="shared" si="942"/>
        <v/>
      </c>
      <c r="X6041">
        <f t="shared" si="940"/>
        <v>0</v>
      </c>
      <c r="Z6041" t="str">
        <f t="shared" si="943"/>
        <v/>
      </c>
      <c r="AA6041">
        <f t="shared" si="941"/>
        <v>0</v>
      </c>
    </row>
    <row r="6042" spans="1:27" ht="21" customHeight="1" x14ac:dyDescent="0.95">
      <c r="A6042" s="56"/>
      <c r="B6042" s="57"/>
      <c r="C6042" s="57"/>
      <c r="D6042" s="57"/>
      <c r="E6042" s="56"/>
      <c r="F6042" s="57"/>
      <c r="G6042" s="57"/>
      <c r="H6042" s="56"/>
      <c r="I6042" s="56"/>
      <c r="J6042" s="58"/>
      <c r="K6042" s="58"/>
      <c r="L6042" s="13" t="str">
        <f t="shared" si="930"/>
        <v/>
      </c>
      <c r="M6042" s="13" t="str">
        <f t="shared" si="931"/>
        <v/>
      </c>
      <c r="Q6042" t="str">
        <f t="shared" si="932"/>
        <v/>
      </c>
      <c r="R6042" t="str">
        <f t="shared" si="933"/>
        <v/>
      </c>
      <c r="S6042" t="str">
        <f t="shared" si="934"/>
        <v/>
      </c>
      <c r="T6042" t="str">
        <f t="shared" si="935"/>
        <v/>
      </c>
      <c r="U6042" t="str">
        <f t="shared" si="936"/>
        <v/>
      </c>
      <c r="V6042" t="str">
        <f t="shared" si="937"/>
        <v/>
      </c>
      <c r="W6042" t="str">
        <f t="shared" si="942"/>
        <v/>
      </c>
      <c r="X6042">
        <f t="shared" si="940"/>
        <v>0</v>
      </c>
      <c r="Z6042" t="str">
        <f t="shared" si="943"/>
        <v/>
      </c>
      <c r="AA6042">
        <f t="shared" si="941"/>
        <v>0</v>
      </c>
    </row>
    <row r="6043" spans="1:27" ht="21" customHeight="1" x14ac:dyDescent="0.95">
      <c r="A6043" s="56"/>
      <c r="B6043" s="57"/>
      <c r="C6043" s="57"/>
      <c r="D6043" s="57"/>
      <c r="E6043" s="56"/>
      <c r="F6043" s="57"/>
      <c r="G6043" s="57"/>
      <c r="H6043" s="56"/>
      <c r="I6043" s="56"/>
      <c r="J6043" s="58"/>
      <c r="K6043" s="58"/>
      <c r="L6043" s="13" t="str">
        <f t="shared" si="930"/>
        <v/>
      </c>
      <c r="M6043" s="13" t="str">
        <f t="shared" si="931"/>
        <v/>
      </c>
      <c r="Q6043" t="str">
        <f t="shared" si="932"/>
        <v/>
      </c>
      <c r="R6043" t="str">
        <f t="shared" si="933"/>
        <v/>
      </c>
      <c r="S6043" t="str">
        <f t="shared" si="934"/>
        <v/>
      </c>
      <c r="T6043" t="str">
        <f t="shared" si="935"/>
        <v/>
      </c>
      <c r="U6043" t="str">
        <f t="shared" si="936"/>
        <v/>
      </c>
      <c r="V6043" t="str">
        <f t="shared" si="937"/>
        <v/>
      </c>
      <c r="W6043" t="str">
        <f t="shared" si="942"/>
        <v/>
      </c>
      <c r="X6043">
        <f t="shared" si="940"/>
        <v>0</v>
      </c>
      <c r="Z6043" t="str">
        <f t="shared" si="943"/>
        <v/>
      </c>
      <c r="AA6043">
        <f t="shared" si="941"/>
        <v>0</v>
      </c>
    </row>
    <row r="6044" spans="1:27" ht="21" customHeight="1" x14ac:dyDescent="0.95">
      <c r="A6044" s="56"/>
      <c r="B6044" s="57"/>
      <c r="C6044" s="57"/>
      <c r="D6044" s="57"/>
      <c r="E6044" s="56"/>
      <c r="F6044" s="57"/>
      <c r="G6044" s="57"/>
      <c r="H6044" s="56"/>
      <c r="I6044" s="56"/>
      <c r="J6044" s="58"/>
      <c r="K6044" s="58"/>
      <c r="L6044" s="13" t="str">
        <f t="shared" si="930"/>
        <v/>
      </c>
      <c r="M6044" s="13" t="str">
        <f t="shared" si="931"/>
        <v/>
      </c>
      <c r="Q6044" t="str">
        <f t="shared" si="932"/>
        <v/>
      </c>
      <c r="R6044" t="str">
        <f t="shared" si="933"/>
        <v/>
      </c>
      <c r="S6044" t="str">
        <f t="shared" si="934"/>
        <v/>
      </c>
      <c r="T6044" t="str">
        <f t="shared" si="935"/>
        <v/>
      </c>
      <c r="U6044" t="str">
        <f t="shared" si="936"/>
        <v/>
      </c>
      <c r="V6044" t="str">
        <f t="shared" si="937"/>
        <v/>
      </c>
      <c r="W6044" t="str">
        <f t="shared" si="942"/>
        <v/>
      </c>
      <c r="X6044">
        <f t="shared" si="940"/>
        <v>0</v>
      </c>
      <c r="Z6044" t="str">
        <f t="shared" si="943"/>
        <v/>
      </c>
      <c r="AA6044">
        <f t="shared" si="941"/>
        <v>0</v>
      </c>
    </row>
    <row r="6045" spans="1:27" ht="21" customHeight="1" x14ac:dyDescent="0.95">
      <c r="A6045" s="56"/>
      <c r="B6045" s="57"/>
      <c r="C6045" s="57"/>
      <c r="D6045" s="57"/>
      <c r="E6045" s="56"/>
      <c r="F6045" s="57"/>
      <c r="G6045" s="57"/>
      <c r="H6045" s="56"/>
      <c r="I6045" s="56"/>
      <c r="J6045" s="58"/>
      <c r="K6045" s="58"/>
      <c r="L6045" s="13" t="str">
        <f t="shared" si="930"/>
        <v/>
      </c>
      <c r="M6045" s="13" t="str">
        <f t="shared" si="931"/>
        <v/>
      </c>
      <c r="Q6045" t="str">
        <f t="shared" si="932"/>
        <v/>
      </c>
      <c r="R6045" t="str">
        <f t="shared" si="933"/>
        <v/>
      </c>
      <c r="S6045" t="str">
        <f t="shared" si="934"/>
        <v/>
      </c>
      <c r="T6045" t="str">
        <f t="shared" si="935"/>
        <v/>
      </c>
      <c r="U6045" t="str">
        <f t="shared" si="936"/>
        <v/>
      </c>
      <c r="V6045" t="str">
        <f t="shared" si="937"/>
        <v/>
      </c>
      <c r="W6045" t="str">
        <f t="shared" si="942"/>
        <v/>
      </c>
      <c r="X6045">
        <f t="shared" si="940"/>
        <v>0</v>
      </c>
      <c r="Z6045" t="str">
        <f t="shared" si="943"/>
        <v/>
      </c>
      <c r="AA6045">
        <f t="shared" si="941"/>
        <v>0</v>
      </c>
    </row>
    <row r="6046" spans="1:27" ht="21" customHeight="1" x14ac:dyDescent="0.95">
      <c r="A6046" s="56"/>
      <c r="B6046" s="57"/>
      <c r="C6046" s="57"/>
      <c r="D6046" s="57"/>
      <c r="E6046" s="56"/>
      <c r="F6046" s="57"/>
      <c r="G6046" s="57"/>
      <c r="H6046" s="56"/>
      <c r="I6046" s="56"/>
      <c r="J6046" s="58"/>
      <c r="K6046" s="58"/>
      <c r="L6046" s="13" t="str">
        <f t="shared" si="930"/>
        <v/>
      </c>
      <c r="M6046" s="13" t="str">
        <f t="shared" si="931"/>
        <v/>
      </c>
      <c r="Q6046" t="str">
        <f t="shared" si="932"/>
        <v/>
      </c>
      <c r="R6046" t="str">
        <f t="shared" si="933"/>
        <v/>
      </c>
      <c r="S6046" t="str">
        <f t="shared" si="934"/>
        <v/>
      </c>
      <c r="T6046" t="str">
        <f t="shared" si="935"/>
        <v/>
      </c>
      <c r="U6046" t="str">
        <f t="shared" si="936"/>
        <v/>
      </c>
      <c r="V6046" t="str">
        <f t="shared" si="937"/>
        <v/>
      </c>
      <c r="W6046" t="str">
        <f t="shared" si="942"/>
        <v/>
      </c>
      <c r="X6046">
        <f t="shared" si="940"/>
        <v>0</v>
      </c>
      <c r="Z6046" t="str">
        <f t="shared" si="943"/>
        <v/>
      </c>
      <c r="AA6046">
        <f t="shared" si="941"/>
        <v>0</v>
      </c>
    </row>
    <row r="6047" spans="1:27" ht="21" customHeight="1" x14ac:dyDescent="0.95">
      <c r="A6047" s="56"/>
      <c r="B6047" s="57"/>
      <c r="C6047" s="57"/>
      <c r="D6047" s="57"/>
      <c r="E6047" s="56"/>
      <c r="F6047" s="57"/>
      <c r="G6047" s="57"/>
      <c r="H6047" s="56"/>
      <c r="I6047" s="56"/>
      <c r="J6047" s="58"/>
      <c r="K6047" s="58"/>
      <c r="L6047" s="13" t="str">
        <f t="shared" si="930"/>
        <v/>
      </c>
      <c r="M6047" s="13" t="str">
        <f t="shared" si="931"/>
        <v/>
      </c>
      <c r="Q6047" t="str">
        <f t="shared" si="932"/>
        <v/>
      </c>
      <c r="R6047" t="str">
        <f t="shared" si="933"/>
        <v/>
      </c>
      <c r="S6047" t="str">
        <f t="shared" si="934"/>
        <v/>
      </c>
      <c r="T6047" t="str">
        <f t="shared" si="935"/>
        <v/>
      </c>
      <c r="U6047" t="str">
        <f t="shared" si="936"/>
        <v/>
      </c>
      <c r="V6047" t="str">
        <f t="shared" si="937"/>
        <v/>
      </c>
      <c r="W6047" t="str">
        <f t="shared" si="942"/>
        <v/>
      </c>
      <c r="X6047">
        <f t="shared" si="940"/>
        <v>0</v>
      </c>
      <c r="Z6047" t="str">
        <f t="shared" si="943"/>
        <v/>
      </c>
      <c r="AA6047">
        <f t="shared" si="941"/>
        <v>0</v>
      </c>
    </row>
    <row r="6048" spans="1:27" ht="21" customHeight="1" x14ac:dyDescent="0.95">
      <c r="A6048" s="56"/>
      <c r="B6048" s="57"/>
      <c r="C6048" s="57"/>
      <c r="D6048" s="57"/>
      <c r="E6048" s="56"/>
      <c r="F6048" s="57"/>
      <c r="G6048" s="57"/>
      <c r="H6048" s="56"/>
      <c r="I6048" s="56"/>
      <c r="J6048" s="58"/>
      <c r="K6048" s="58"/>
      <c r="L6048" s="13" t="str">
        <f t="shared" si="930"/>
        <v/>
      </c>
      <c r="M6048" s="13" t="str">
        <f t="shared" si="931"/>
        <v/>
      </c>
      <c r="Q6048" t="str">
        <f t="shared" si="932"/>
        <v/>
      </c>
      <c r="R6048" t="str">
        <f t="shared" si="933"/>
        <v/>
      </c>
      <c r="S6048" t="str">
        <f t="shared" si="934"/>
        <v/>
      </c>
      <c r="T6048" t="str">
        <f t="shared" si="935"/>
        <v/>
      </c>
      <c r="U6048" t="str">
        <f t="shared" si="936"/>
        <v/>
      </c>
      <c r="V6048" t="str">
        <f t="shared" si="937"/>
        <v/>
      </c>
      <c r="W6048" t="str">
        <f t="shared" si="942"/>
        <v/>
      </c>
      <c r="X6048">
        <f t="shared" si="940"/>
        <v>0</v>
      </c>
      <c r="Z6048" t="str">
        <f t="shared" si="943"/>
        <v/>
      </c>
      <c r="AA6048">
        <f t="shared" si="941"/>
        <v>0</v>
      </c>
    </row>
    <row r="6049" spans="1:27" ht="21" customHeight="1" x14ac:dyDescent="0.95">
      <c r="A6049" s="56"/>
      <c r="B6049" s="57"/>
      <c r="C6049" s="57"/>
      <c r="D6049" s="57"/>
      <c r="E6049" s="56"/>
      <c r="F6049" s="57"/>
      <c r="G6049" s="57"/>
      <c r="H6049" s="56"/>
      <c r="I6049" s="56"/>
      <c r="J6049" s="58"/>
      <c r="K6049" s="58"/>
      <c r="L6049" s="13" t="str">
        <f t="shared" si="930"/>
        <v/>
      </c>
      <c r="M6049" s="13" t="str">
        <f t="shared" si="931"/>
        <v/>
      </c>
      <c r="Q6049" t="str">
        <f t="shared" si="932"/>
        <v/>
      </c>
      <c r="R6049" t="str">
        <f t="shared" si="933"/>
        <v/>
      </c>
      <c r="S6049" t="str">
        <f t="shared" si="934"/>
        <v/>
      </c>
      <c r="T6049" t="str">
        <f t="shared" si="935"/>
        <v/>
      </c>
      <c r="U6049" t="str">
        <f t="shared" si="936"/>
        <v/>
      </c>
      <c r="V6049" t="str">
        <f t="shared" si="937"/>
        <v/>
      </c>
      <c r="W6049" t="str">
        <f t="shared" si="942"/>
        <v/>
      </c>
      <c r="X6049">
        <f t="shared" si="940"/>
        <v>0</v>
      </c>
      <c r="Z6049" t="str">
        <f t="shared" si="943"/>
        <v/>
      </c>
      <c r="AA6049">
        <f t="shared" si="941"/>
        <v>0</v>
      </c>
    </row>
    <row r="6050" spans="1:27" ht="21" customHeight="1" x14ac:dyDescent="0.95">
      <c r="A6050" s="56"/>
      <c r="B6050" s="57"/>
      <c r="C6050" s="57"/>
      <c r="D6050" s="57"/>
      <c r="E6050" s="56"/>
      <c r="F6050" s="57"/>
      <c r="G6050" s="57"/>
      <c r="H6050" s="56"/>
      <c r="I6050" s="56"/>
      <c r="J6050" s="58"/>
      <c r="K6050" s="58"/>
      <c r="L6050" s="13" t="str">
        <f t="shared" si="930"/>
        <v/>
      </c>
      <c r="M6050" s="13" t="str">
        <f t="shared" si="931"/>
        <v/>
      </c>
      <c r="Q6050" t="str">
        <f t="shared" si="932"/>
        <v/>
      </c>
      <c r="R6050" t="str">
        <f t="shared" si="933"/>
        <v/>
      </c>
      <c r="S6050" t="str">
        <f t="shared" si="934"/>
        <v/>
      </c>
      <c r="T6050" t="str">
        <f t="shared" si="935"/>
        <v/>
      </c>
      <c r="U6050" t="str">
        <f t="shared" si="936"/>
        <v/>
      </c>
      <c r="V6050" t="str">
        <f t="shared" si="937"/>
        <v/>
      </c>
      <c r="W6050" t="str">
        <f t="shared" si="942"/>
        <v/>
      </c>
      <c r="X6050">
        <f t="shared" si="940"/>
        <v>0</v>
      </c>
      <c r="Z6050" t="str">
        <f t="shared" si="943"/>
        <v/>
      </c>
      <c r="AA6050">
        <f t="shared" si="941"/>
        <v>0</v>
      </c>
    </row>
    <row r="6051" spans="1:27" ht="21" customHeight="1" x14ac:dyDescent="0.95">
      <c r="A6051" s="56"/>
      <c r="B6051" s="57"/>
      <c r="C6051" s="57"/>
      <c r="D6051" s="57"/>
      <c r="E6051" s="56"/>
      <c r="F6051" s="57"/>
      <c r="G6051" s="57"/>
      <c r="H6051" s="56"/>
      <c r="I6051" s="56"/>
      <c r="J6051" s="58"/>
      <c r="K6051" s="58"/>
      <c r="L6051" s="13" t="str">
        <f t="shared" si="930"/>
        <v/>
      </c>
      <c r="M6051" s="13" t="str">
        <f t="shared" si="931"/>
        <v/>
      </c>
      <c r="Q6051" t="str">
        <f t="shared" si="932"/>
        <v/>
      </c>
      <c r="R6051" t="str">
        <f t="shared" si="933"/>
        <v/>
      </c>
      <c r="S6051" t="str">
        <f t="shared" si="934"/>
        <v/>
      </c>
      <c r="T6051" t="str">
        <f t="shared" si="935"/>
        <v/>
      </c>
      <c r="U6051" t="str">
        <f t="shared" si="936"/>
        <v/>
      </c>
      <c r="V6051" t="str">
        <f t="shared" si="937"/>
        <v/>
      </c>
      <c r="W6051" t="str">
        <f t="shared" si="942"/>
        <v/>
      </c>
      <c r="X6051">
        <f t="shared" si="940"/>
        <v>0</v>
      </c>
      <c r="Z6051" t="str">
        <f t="shared" si="943"/>
        <v/>
      </c>
      <c r="AA6051">
        <f t="shared" si="941"/>
        <v>0</v>
      </c>
    </row>
    <row r="6052" spans="1:27" ht="21" customHeight="1" x14ac:dyDescent="0.95">
      <c r="A6052" s="56"/>
      <c r="B6052" s="57"/>
      <c r="C6052" s="57"/>
      <c r="D6052" s="57"/>
      <c r="E6052" s="56"/>
      <c r="F6052" s="57"/>
      <c r="G6052" s="57"/>
      <c r="H6052" s="56"/>
      <c r="I6052" s="56"/>
      <c r="J6052" s="58"/>
      <c r="K6052" s="58"/>
      <c r="L6052" s="13" t="str">
        <f t="shared" si="930"/>
        <v/>
      </c>
      <c r="M6052" s="13" t="str">
        <f t="shared" si="931"/>
        <v/>
      </c>
      <c r="Q6052" t="str">
        <f t="shared" si="932"/>
        <v/>
      </c>
      <c r="R6052" t="str">
        <f t="shared" si="933"/>
        <v/>
      </c>
      <c r="S6052" t="str">
        <f t="shared" si="934"/>
        <v/>
      </c>
      <c r="T6052" t="str">
        <f t="shared" si="935"/>
        <v/>
      </c>
      <c r="U6052" t="str">
        <f t="shared" si="936"/>
        <v/>
      </c>
      <c r="V6052" t="str">
        <f t="shared" si="937"/>
        <v/>
      </c>
      <c r="W6052" t="str">
        <f t="shared" si="942"/>
        <v/>
      </c>
      <c r="X6052">
        <f t="shared" si="940"/>
        <v>0</v>
      </c>
      <c r="Z6052" t="str">
        <f t="shared" si="943"/>
        <v/>
      </c>
      <c r="AA6052">
        <f t="shared" si="941"/>
        <v>0</v>
      </c>
    </row>
    <row r="6053" spans="1:27" ht="21" customHeight="1" x14ac:dyDescent="0.95">
      <c r="A6053" s="56"/>
      <c r="B6053" s="57"/>
      <c r="C6053" s="57"/>
      <c r="D6053" s="57"/>
      <c r="E6053" s="56"/>
      <c r="F6053" s="57"/>
      <c r="G6053" s="57"/>
      <c r="H6053" s="56"/>
      <c r="I6053" s="56"/>
      <c r="J6053" s="58"/>
      <c r="K6053" s="58"/>
      <c r="L6053" s="13" t="str">
        <f t="shared" si="930"/>
        <v/>
      </c>
      <c r="M6053" s="13" t="str">
        <f t="shared" si="931"/>
        <v/>
      </c>
      <c r="Q6053" t="str">
        <f t="shared" si="932"/>
        <v/>
      </c>
      <c r="R6053" t="str">
        <f t="shared" si="933"/>
        <v/>
      </c>
      <c r="S6053" t="str">
        <f t="shared" si="934"/>
        <v/>
      </c>
      <c r="T6053" t="str">
        <f t="shared" si="935"/>
        <v/>
      </c>
      <c r="U6053" t="str">
        <f t="shared" si="936"/>
        <v/>
      </c>
      <c r="V6053" t="str">
        <f t="shared" si="937"/>
        <v/>
      </c>
      <c r="W6053" t="str">
        <f t="shared" si="942"/>
        <v/>
      </c>
      <c r="X6053">
        <f t="shared" si="940"/>
        <v>0</v>
      </c>
      <c r="Z6053" t="str">
        <f t="shared" si="943"/>
        <v/>
      </c>
      <c r="AA6053">
        <f t="shared" si="941"/>
        <v>0</v>
      </c>
    </row>
    <row r="6054" spans="1:27" ht="21" customHeight="1" x14ac:dyDescent="0.95">
      <c r="A6054" s="56"/>
      <c r="B6054" s="57"/>
      <c r="C6054" s="57"/>
      <c r="D6054" s="57"/>
      <c r="E6054" s="56"/>
      <c r="F6054" s="57"/>
      <c r="G6054" s="57"/>
      <c r="H6054" s="56"/>
      <c r="I6054" s="56"/>
      <c r="J6054" s="58"/>
      <c r="K6054" s="58"/>
      <c r="L6054" s="13" t="str">
        <f t="shared" si="930"/>
        <v/>
      </c>
      <c r="M6054" s="13" t="str">
        <f t="shared" si="931"/>
        <v/>
      </c>
      <c r="Q6054" t="str">
        <f t="shared" si="932"/>
        <v/>
      </c>
      <c r="R6054" t="str">
        <f t="shared" si="933"/>
        <v/>
      </c>
      <c r="S6054" t="str">
        <f t="shared" si="934"/>
        <v/>
      </c>
      <c r="T6054" t="str">
        <f t="shared" si="935"/>
        <v/>
      </c>
      <c r="U6054" t="str">
        <f t="shared" si="936"/>
        <v/>
      </c>
      <c r="V6054" t="str">
        <f t="shared" si="937"/>
        <v/>
      </c>
      <c r="W6054" t="str">
        <f t="shared" si="942"/>
        <v/>
      </c>
      <c r="X6054">
        <f t="shared" si="940"/>
        <v>0</v>
      </c>
      <c r="Z6054" t="str">
        <f t="shared" si="943"/>
        <v/>
      </c>
      <c r="AA6054">
        <f t="shared" si="941"/>
        <v>0</v>
      </c>
    </row>
    <row r="6055" spans="1:27" ht="21" customHeight="1" x14ac:dyDescent="0.95">
      <c r="A6055" s="56"/>
      <c r="B6055" s="57"/>
      <c r="C6055" s="57"/>
      <c r="D6055" s="57"/>
      <c r="E6055" s="56"/>
      <c r="F6055" s="57"/>
      <c r="G6055" s="57"/>
      <c r="H6055" s="56"/>
      <c r="I6055" s="56"/>
      <c r="J6055" s="58"/>
      <c r="K6055" s="58"/>
      <c r="L6055" s="13" t="str">
        <f t="shared" si="930"/>
        <v/>
      </c>
      <c r="M6055" s="13" t="str">
        <f t="shared" si="931"/>
        <v/>
      </c>
      <c r="Q6055" t="str">
        <f t="shared" si="932"/>
        <v/>
      </c>
      <c r="R6055" t="str">
        <f t="shared" si="933"/>
        <v/>
      </c>
      <c r="S6055" t="str">
        <f t="shared" si="934"/>
        <v/>
      </c>
      <c r="T6055" t="str">
        <f t="shared" si="935"/>
        <v/>
      </c>
      <c r="U6055" t="str">
        <f t="shared" si="936"/>
        <v/>
      </c>
      <c r="V6055" t="str">
        <f t="shared" si="937"/>
        <v/>
      </c>
      <c r="W6055" t="str">
        <f t="shared" si="942"/>
        <v/>
      </c>
      <c r="X6055">
        <f t="shared" si="940"/>
        <v>0</v>
      </c>
      <c r="Z6055" t="str">
        <f t="shared" si="943"/>
        <v/>
      </c>
      <c r="AA6055">
        <f t="shared" si="941"/>
        <v>0</v>
      </c>
    </row>
    <row r="6056" spans="1:27" ht="21" customHeight="1" x14ac:dyDescent="0.95">
      <c r="A6056" s="56"/>
      <c r="B6056" s="57"/>
      <c r="C6056" s="57"/>
      <c r="D6056" s="57"/>
      <c r="E6056" s="56"/>
      <c r="F6056" s="57"/>
      <c r="G6056" s="57"/>
      <c r="H6056" s="56"/>
      <c r="I6056" s="56"/>
      <c r="J6056" s="58"/>
      <c r="K6056" s="58"/>
      <c r="L6056" s="13" t="str">
        <f t="shared" si="930"/>
        <v/>
      </c>
      <c r="M6056" s="13" t="str">
        <f t="shared" si="931"/>
        <v/>
      </c>
      <c r="Q6056" t="str">
        <f t="shared" si="932"/>
        <v/>
      </c>
      <c r="R6056" t="str">
        <f t="shared" si="933"/>
        <v/>
      </c>
      <c r="S6056" t="str">
        <f t="shared" si="934"/>
        <v/>
      </c>
      <c r="T6056" t="str">
        <f t="shared" si="935"/>
        <v/>
      </c>
      <c r="U6056" t="str">
        <f t="shared" si="936"/>
        <v/>
      </c>
      <c r="V6056" t="str">
        <f t="shared" si="937"/>
        <v/>
      </c>
      <c r="W6056" t="str">
        <f t="shared" si="942"/>
        <v/>
      </c>
      <c r="X6056">
        <f t="shared" si="940"/>
        <v>0</v>
      </c>
      <c r="Z6056" t="str">
        <f t="shared" si="943"/>
        <v/>
      </c>
      <c r="AA6056">
        <f t="shared" si="941"/>
        <v>0</v>
      </c>
    </row>
    <row r="6057" spans="1:27" ht="21" customHeight="1" x14ac:dyDescent="0.95">
      <c r="A6057" s="56"/>
      <c r="B6057" s="57"/>
      <c r="C6057" s="57"/>
      <c r="D6057" s="57"/>
      <c r="E6057" s="56"/>
      <c r="F6057" s="57"/>
      <c r="G6057" s="57"/>
      <c r="H6057" s="56"/>
      <c r="I6057" s="56"/>
      <c r="J6057" s="58"/>
      <c r="K6057" s="58"/>
      <c r="L6057" s="13" t="str">
        <f t="shared" si="930"/>
        <v/>
      </c>
      <c r="M6057" s="13" t="str">
        <f t="shared" si="931"/>
        <v/>
      </c>
      <c r="Q6057" t="str">
        <f t="shared" si="932"/>
        <v/>
      </c>
      <c r="R6057" t="str">
        <f t="shared" si="933"/>
        <v/>
      </c>
      <c r="S6057" t="str">
        <f t="shared" si="934"/>
        <v/>
      </c>
      <c r="T6057" t="str">
        <f t="shared" si="935"/>
        <v/>
      </c>
      <c r="U6057" t="str">
        <f t="shared" si="936"/>
        <v/>
      </c>
      <c r="V6057" t="str">
        <f t="shared" si="937"/>
        <v/>
      </c>
      <c r="W6057" t="str">
        <f t="shared" si="942"/>
        <v/>
      </c>
      <c r="X6057">
        <f t="shared" si="940"/>
        <v>0</v>
      </c>
      <c r="Z6057" t="str">
        <f t="shared" si="943"/>
        <v/>
      </c>
      <c r="AA6057">
        <f t="shared" si="941"/>
        <v>0</v>
      </c>
    </row>
    <row r="6058" spans="1:27" ht="21" customHeight="1" x14ac:dyDescent="0.95">
      <c r="A6058" s="56"/>
      <c r="B6058" s="57"/>
      <c r="C6058" s="57"/>
      <c r="D6058" s="57"/>
      <c r="E6058" s="56"/>
      <c r="F6058" s="57"/>
      <c r="G6058" s="57"/>
      <c r="H6058" s="56"/>
      <c r="I6058" s="56"/>
      <c r="J6058" s="58"/>
      <c r="K6058" s="58"/>
      <c r="L6058" s="13" t="str">
        <f t="shared" si="930"/>
        <v/>
      </c>
      <c r="M6058" s="13" t="str">
        <f t="shared" si="931"/>
        <v/>
      </c>
      <c r="Q6058" t="str">
        <f t="shared" si="932"/>
        <v/>
      </c>
      <c r="R6058" t="str">
        <f t="shared" si="933"/>
        <v/>
      </c>
      <c r="S6058" t="str">
        <f t="shared" si="934"/>
        <v/>
      </c>
      <c r="T6058" t="str">
        <f t="shared" si="935"/>
        <v/>
      </c>
      <c r="U6058" t="str">
        <f t="shared" si="936"/>
        <v/>
      </c>
      <c r="V6058" t="str">
        <f t="shared" si="937"/>
        <v/>
      </c>
      <c r="W6058" t="str">
        <f t="shared" si="942"/>
        <v/>
      </c>
      <c r="X6058">
        <f t="shared" si="940"/>
        <v>0</v>
      </c>
      <c r="Z6058" t="str">
        <f t="shared" si="943"/>
        <v/>
      </c>
      <c r="AA6058">
        <f t="shared" si="941"/>
        <v>0</v>
      </c>
    </row>
    <row r="6059" spans="1:27" ht="21" customHeight="1" x14ac:dyDescent="0.95">
      <c r="A6059" s="56"/>
      <c r="B6059" s="57"/>
      <c r="C6059" s="57"/>
      <c r="D6059" s="57"/>
      <c r="E6059" s="56"/>
      <c r="F6059" s="57"/>
      <c r="G6059" s="57"/>
      <c r="H6059" s="56"/>
      <c r="I6059" s="56"/>
      <c r="J6059" s="58"/>
      <c r="K6059" s="58"/>
      <c r="L6059" s="13" t="str">
        <f t="shared" si="930"/>
        <v/>
      </c>
      <c r="M6059" s="13" t="str">
        <f t="shared" si="931"/>
        <v/>
      </c>
      <c r="Q6059" t="str">
        <f t="shared" si="932"/>
        <v/>
      </c>
      <c r="R6059" t="str">
        <f t="shared" si="933"/>
        <v/>
      </c>
      <c r="S6059" t="str">
        <f t="shared" si="934"/>
        <v/>
      </c>
      <c r="T6059" t="str">
        <f t="shared" si="935"/>
        <v/>
      </c>
      <c r="U6059" t="str">
        <f t="shared" si="936"/>
        <v/>
      </c>
      <c r="V6059" t="str">
        <f t="shared" si="937"/>
        <v/>
      </c>
      <c r="W6059" t="str">
        <f t="shared" si="942"/>
        <v/>
      </c>
      <c r="X6059">
        <f t="shared" si="940"/>
        <v>0</v>
      </c>
      <c r="Z6059" t="str">
        <f t="shared" si="943"/>
        <v/>
      </c>
      <c r="AA6059">
        <f t="shared" si="941"/>
        <v>0</v>
      </c>
    </row>
    <row r="6060" spans="1:27" ht="21" customHeight="1" x14ac:dyDescent="0.95">
      <c r="A6060" s="56"/>
      <c r="B6060" s="57"/>
      <c r="C6060" s="57"/>
      <c r="D6060" s="57"/>
      <c r="E6060" s="56"/>
      <c r="F6060" s="57"/>
      <c r="G6060" s="57"/>
      <c r="H6060" s="56"/>
      <c r="I6060" s="56"/>
      <c r="J6060" s="58"/>
      <c r="K6060" s="58"/>
      <c r="L6060" s="13" t="str">
        <f t="shared" si="930"/>
        <v/>
      </c>
      <c r="M6060" s="13" t="str">
        <f t="shared" si="931"/>
        <v/>
      </c>
      <c r="Q6060" t="str">
        <f t="shared" si="932"/>
        <v/>
      </c>
      <c r="R6060" t="str">
        <f t="shared" si="933"/>
        <v/>
      </c>
      <c r="S6060" t="str">
        <f t="shared" si="934"/>
        <v/>
      </c>
      <c r="T6060" t="str">
        <f t="shared" si="935"/>
        <v/>
      </c>
      <c r="U6060" t="str">
        <f t="shared" si="936"/>
        <v/>
      </c>
      <c r="V6060" t="str">
        <f t="shared" si="937"/>
        <v/>
      </c>
      <c r="W6060" t="str">
        <f t="shared" si="942"/>
        <v/>
      </c>
      <c r="X6060">
        <f t="shared" si="940"/>
        <v>0</v>
      </c>
      <c r="Z6060" t="str">
        <f t="shared" si="943"/>
        <v/>
      </c>
      <c r="AA6060">
        <f t="shared" si="941"/>
        <v>0</v>
      </c>
    </row>
    <row r="6061" spans="1:27" ht="21" customHeight="1" x14ac:dyDescent="0.95">
      <c r="A6061" s="56"/>
      <c r="B6061" s="57"/>
      <c r="C6061" s="57"/>
      <c r="D6061" s="57"/>
      <c r="E6061" s="56"/>
      <c r="F6061" s="57"/>
      <c r="G6061" s="57"/>
      <c r="H6061" s="56"/>
      <c r="I6061" s="56"/>
      <c r="J6061" s="58"/>
      <c r="K6061" s="58"/>
      <c r="L6061" s="13" t="str">
        <f t="shared" si="930"/>
        <v/>
      </c>
      <c r="M6061" s="13" t="str">
        <f t="shared" si="931"/>
        <v/>
      </c>
      <c r="Q6061" t="str">
        <f t="shared" si="932"/>
        <v/>
      </c>
      <c r="R6061" t="str">
        <f t="shared" si="933"/>
        <v/>
      </c>
      <c r="S6061" t="str">
        <f t="shared" si="934"/>
        <v/>
      </c>
      <c r="T6061" t="str">
        <f t="shared" si="935"/>
        <v/>
      </c>
      <c r="U6061" t="str">
        <f t="shared" si="936"/>
        <v/>
      </c>
      <c r="V6061" t="str">
        <f t="shared" si="937"/>
        <v/>
      </c>
      <c r="W6061" t="str">
        <f t="shared" si="942"/>
        <v/>
      </c>
      <c r="X6061">
        <f t="shared" si="940"/>
        <v>0</v>
      </c>
      <c r="Z6061" t="str">
        <f t="shared" si="943"/>
        <v/>
      </c>
      <c r="AA6061">
        <f t="shared" si="941"/>
        <v>0</v>
      </c>
    </row>
    <row r="6062" spans="1:27" ht="21" customHeight="1" x14ac:dyDescent="0.95">
      <c r="A6062" s="56"/>
      <c r="B6062" s="57"/>
      <c r="C6062" s="57"/>
      <c r="D6062" s="57"/>
      <c r="E6062" s="56"/>
      <c r="F6062" s="57"/>
      <c r="G6062" s="57"/>
      <c r="H6062" s="56"/>
      <c r="I6062" s="56"/>
      <c r="J6062" s="58"/>
      <c r="K6062" s="58"/>
      <c r="L6062" s="13" t="str">
        <f t="shared" si="930"/>
        <v/>
      </c>
      <c r="M6062" s="13" t="str">
        <f t="shared" si="931"/>
        <v/>
      </c>
      <c r="Q6062" t="str">
        <f t="shared" si="932"/>
        <v/>
      </c>
      <c r="R6062" t="str">
        <f t="shared" si="933"/>
        <v/>
      </c>
      <c r="S6062" t="str">
        <f t="shared" si="934"/>
        <v/>
      </c>
      <c r="T6062" t="str">
        <f t="shared" si="935"/>
        <v/>
      </c>
      <c r="U6062" t="str">
        <f t="shared" si="936"/>
        <v/>
      </c>
      <c r="V6062" t="str">
        <f t="shared" si="937"/>
        <v/>
      </c>
      <c r="W6062" t="str">
        <f t="shared" si="942"/>
        <v/>
      </c>
      <c r="X6062">
        <f t="shared" si="940"/>
        <v>0</v>
      </c>
      <c r="Z6062" t="str">
        <f t="shared" si="943"/>
        <v/>
      </c>
      <c r="AA6062">
        <f t="shared" si="941"/>
        <v>0</v>
      </c>
    </row>
    <row r="6063" spans="1:27" ht="21" customHeight="1" x14ac:dyDescent="0.95">
      <c r="A6063" s="56"/>
      <c r="B6063" s="57"/>
      <c r="C6063" s="57"/>
      <c r="D6063" s="57"/>
      <c r="E6063" s="56"/>
      <c r="F6063" s="57"/>
      <c r="G6063" s="57"/>
      <c r="H6063" s="56"/>
      <c r="I6063" s="56"/>
      <c r="J6063" s="58"/>
      <c r="K6063" s="58"/>
      <c r="L6063" s="13" t="str">
        <f t="shared" si="930"/>
        <v/>
      </c>
      <c r="M6063" s="13" t="str">
        <f t="shared" si="931"/>
        <v/>
      </c>
      <c r="Q6063" t="str">
        <f t="shared" si="932"/>
        <v/>
      </c>
      <c r="R6063" t="str">
        <f t="shared" si="933"/>
        <v/>
      </c>
      <c r="S6063" t="str">
        <f t="shared" si="934"/>
        <v/>
      </c>
      <c r="T6063" t="str">
        <f t="shared" si="935"/>
        <v/>
      </c>
      <c r="U6063" t="str">
        <f t="shared" si="936"/>
        <v/>
      </c>
      <c r="V6063" t="str">
        <f t="shared" si="937"/>
        <v/>
      </c>
      <c r="W6063" t="str">
        <f t="shared" si="942"/>
        <v/>
      </c>
      <c r="X6063">
        <f t="shared" si="940"/>
        <v>0</v>
      </c>
      <c r="Z6063" t="str">
        <f t="shared" si="943"/>
        <v/>
      </c>
      <c r="AA6063">
        <f t="shared" si="941"/>
        <v>0</v>
      </c>
    </row>
    <row r="6064" spans="1:27" ht="21" customHeight="1" x14ac:dyDescent="0.95">
      <c r="A6064" s="56"/>
      <c r="B6064" s="57"/>
      <c r="C6064" s="57"/>
      <c r="D6064" s="57"/>
      <c r="E6064" s="56"/>
      <c r="F6064" s="57"/>
      <c r="G6064" s="57"/>
      <c r="H6064" s="56"/>
      <c r="I6064" s="56"/>
      <c r="J6064" s="58"/>
      <c r="K6064" s="58"/>
      <c r="L6064" s="13" t="str">
        <f t="shared" si="930"/>
        <v/>
      </c>
      <c r="M6064" s="13" t="str">
        <f t="shared" si="931"/>
        <v/>
      </c>
      <c r="Q6064" t="str">
        <f t="shared" si="932"/>
        <v/>
      </c>
      <c r="R6064" t="str">
        <f t="shared" si="933"/>
        <v/>
      </c>
      <c r="S6064" t="str">
        <f t="shared" si="934"/>
        <v/>
      </c>
      <c r="T6064" t="str">
        <f t="shared" si="935"/>
        <v/>
      </c>
      <c r="U6064" t="str">
        <f t="shared" si="936"/>
        <v/>
      </c>
      <c r="V6064" t="str">
        <f t="shared" si="937"/>
        <v/>
      </c>
      <c r="W6064" t="str">
        <f t="shared" si="942"/>
        <v/>
      </c>
      <c r="X6064">
        <f t="shared" si="940"/>
        <v>0</v>
      </c>
      <c r="Z6064" t="str">
        <f t="shared" si="943"/>
        <v/>
      </c>
      <c r="AA6064">
        <f t="shared" si="941"/>
        <v>0</v>
      </c>
    </row>
    <row r="6065" spans="1:27" ht="21" customHeight="1" x14ac:dyDescent="0.95">
      <c r="A6065" s="56"/>
      <c r="B6065" s="57"/>
      <c r="C6065" s="57"/>
      <c r="D6065" s="57"/>
      <c r="E6065" s="56"/>
      <c r="F6065" s="57"/>
      <c r="G6065" s="57"/>
      <c r="H6065" s="56"/>
      <c r="I6065" s="56"/>
      <c r="J6065" s="58"/>
      <c r="K6065" s="58"/>
      <c r="L6065" s="13" t="str">
        <f t="shared" si="930"/>
        <v/>
      </c>
      <c r="M6065" s="13" t="str">
        <f t="shared" si="931"/>
        <v/>
      </c>
      <c r="Q6065" t="str">
        <f t="shared" si="932"/>
        <v/>
      </c>
      <c r="R6065" t="str">
        <f t="shared" si="933"/>
        <v/>
      </c>
      <c r="S6065" t="str">
        <f t="shared" si="934"/>
        <v/>
      </c>
      <c r="T6065" t="str">
        <f t="shared" si="935"/>
        <v/>
      </c>
      <c r="U6065" t="str">
        <f t="shared" si="936"/>
        <v/>
      </c>
      <c r="V6065" t="str">
        <f t="shared" si="937"/>
        <v/>
      </c>
      <c r="W6065" t="str">
        <f t="shared" si="942"/>
        <v/>
      </c>
      <c r="X6065">
        <f t="shared" si="940"/>
        <v>0</v>
      </c>
      <c r="Z6065" t="str">
        <f t="shared" si="943"/>
        <v/>
      </c>
      <c r="AA6065">
        <f t="shared" si="941"/>
        <v>0</v>
      </c>
    </row>
    <row r="6066" spans="1:27" ht="21" customHeight="1" x14ac:dyDescent="0.95">
      <c r="A6066" s="56"/>
      <c r="B6066" s="57"/>
      <c r="C6066" s="57"/>
      <c r="D6066" s="57"/>
      <c r="E6066" s="56"/>
      <c r="F6066" s="57"/>
      <c r="G6066" s="57"/>
      <c r="H6066" s="56"/>
      <c r="I6066" s="56"/>
      <c r="J6066" s="58"/>
      <c r="K6066" s="58"/>
      <c r="L6066" s="13" t="str">
        <f t="shared" si="930"/>
        <v/>
      </c>
      <c r="M6066" s="13" t="str">
        <f t="shared" si="931"/>
        <v/>
      </c>
      <c r="Q6066" t="str">
        <f t="shared" si="932"/>
        <v/>
      </c>
      <c r="R6066" t="str">
        <f t="shared" si="933"/>
        <v/>
      </c>
      <c r="S6066" t="str">
        <f t="shared" si="934"/>
        <v/>
      </c>
      <c r="T6066" t="str">
        <f t="shared" si="935"/>
        <v/>
      </c>
      <c r="U6066" t="str">
        <f t="shared" si="936"/>
        <v/>
      </c>
      <c r="V6066" t="str">
        <f t="shared" si="937"/>
        <v/>
      </c>
      <c r="W6066" t="str">
        <f t="shared" si="942"/>
        <v/>
      </c>
      <c r="X6066">
        <f t="shared" si="940"/>
        <v>0</v>
      </c>
      <c r="Z6066" t="str">
        <f t="shared" si="943"/>
        <v/>
      </c>
      <c r="AA6066">
        <f t="shared" si="941"/>
        <v>0</v>
      </c>
    </row>
    <row r="6067" spans="1:27" ht="21" customHeight="1" x14ac:dyDescent="0.95">
      <c r="A6067" s="56"/>
      <c r="B6067" s="57"/>
      <c r="C6067" s="57"/>
      <c r="D6067" s="57"/>
      <c r="E6067" s="56"/>
      <c r="F6067" s="57"/>
      <c r="G6067" s="57"/>
      <c r="H6067" s="56"/>
      <c r="I6067" s="56"/>
      <c r="J6067" s="58"/>
      <c r="K6067" s="58"/>
      <c r="L6067" s="13" t="str">
        <f t="shared" si="930"/>
        <v/>
      </c>
      <c r="M6067" s="13" t="str">
        <f t="shared" si="931"/>
        <v/>
      </c>
      <c r="Q6067" t="str">
        <f t="shared" si="932"/>
        <v/>
      </c>
      <c r="R6067" t="str">
        <f t="shared" si="933"/>
        <v/>
      </c>
      <c r="S6067" t="str">
        <f t="shared" si="934"/>
        <v/>
      </c>
      <c r="T6067" t="str">
        <f t="shared" si="935"/>
        <v/>
      </c>
      <c r="U6067" t="str">
        <f t="shared" si="936"/>
        <v/>
      </c>
      <c r="V6067" t="str">
        <f t="shared" si="937"/>
        <v/>
      </c>
      <c r="W6067" t="str">
        <f t="shared" si="942"/>
        <v/>
      </c>
      <c r="X6067">
        <f t="shared" si="940"/>
        <v>0</v>
      </c>
      <c r="Z6067" t="str">
        <f t="shared" si="943"/>
        <v/>
      </c>
      <c r="AA6067">
        <f t="shared" si="941"/>
        <v>0</v>
      </c>
    </row>
    <row r="6068" spans="1:27" ht="21" customHeight="1" x14ac:dyDescent="0.95">
      <c r="A6068" s="56"/>
      <c r="B6068" s="57"/>
      <c r="C6068" s="57"/>
      <c r="D6068" s="57"/>
      <c r="E6068" s="56"/>
      <c r="F6068" s="57"/>
      <c r="G6068" s="57"/>
      <c r="H6068" s="56"/>
      <c r="I6068" s="56"/>
      <c r="J6068" s="58"/>
      <c r="K6068" s="58"/>
      <c r="L6068" s="13" t="str">
        <f t="shared" si="930"/>
        <v/>
      </c>
      <c r="M6068" s="13" t="str">
        <f t="shared" si="931"/>
        <v/>
      </c>
      <c r="Q6068" t="str">
        <f t="shared" si="932"/>
        <v/>
      </c>
      <c r="R6068" t="str">
        <f t="shared" si="933"/>
        <v/>
      </c>
      <c r="S6068" t="str">
        <f t="shared" si="934"/>
        <v/>
      </c>
      <c r="T6068" t="str">
        <f t="shared" si="935"/>
        <v/>
      </c>
      <c r="U6068" t="str">
        <f t="shared" si="936"/>
        <v/>
      </c>
      <c r="V6068" t="str">
        <f t="shared" si="937"/>
        <v/>
      </c>
      <c r="W6068" t="str">
        <f t="shared" si="942"/>
        <v/>
      </c>
      <c r="X6068">
        <f t="shared" si="940"/>
        <v>0</v>
      </c>
      <c r="Z6068" t="str">
        <f t="shared" si="943"/>
        <v/>
      </c>
      <c r="AA6068">
        <f t="shared" si="941"/>
        <v>0</v>
      </c>
    </row>
    <row r="6069" spans="1:27" ht="21" customHeight="1" x14ac:dyDescent="0.95">
      <c r="A6069" s="56"/>
      <c r="B6069" s="57"/>
      <c r="C6069" s="57"/>
      <c r="D6069" s="57"/>
      <c r="E6069" s="56"/>
      <c r="F6069" s="57"/>
      <c r="G6069" s="57"/>
      <c r="H6069" s="56"/>
      <c r="I6069" s="56"/>
      <c r="J6069" s="58"/>
      <c r="K6069" s="58"/>
      <c r="L6069" s="13" t="str">
        <f t="shared" si="930"/>
        <v/>
      </c>
      <c r="M6069" s="13" t="str">
        <f t="shared" si="931"/>
        <v/>
      </c>
      <c r="Q6069" t="str">
        <f t="shared" si="932"/>
        <v/>
      </c>
      <c r="R6069" t="str">
        <f t="shared" si="933"/>
        <v/>
      </c>
      <c r="S6069" t="str">
        <f t="shared" si="934"/>
        <v/>
      </c>
      <c r="T6069" t="str">
        <f t="shared" si="935"/>
        <v/>
      </c>
      <c r="U6069" t="str">
        <f t="shared" si="936"/>
        <v/>
      </c>
      <c r="V6069" t="str">
        <f t="shared" si="937"/>
        <v/>
      </c>
      <c r="W6069" t="str">
        <f t="shared" si="942"/>
        <v/>
      </c>
      <c r="X6069">
        <f t="shared" ref="X6069:X6132" si="944">IF($T6069="",N($X6068),IF(MATCH($T6069,$T$6:$T$10005,0)=ROW()-5,N($X6068)+1,N($X6068)))</f>
        <v>0</v>
      </c>
      <c r="Z6069" t="str">
        <f t="shared" si="943"/>
        <v/>
      </c>
      <c r="AA6069">
        <f t="shared" ref="AA6069:AA6132" si="945">IF($V6069="",N($AA6068),IF(MATCH($V6069,$V$6:$V$10005,0)=ROW()-5,N($AA6068)+1,N($AA6068)))</f>
        <v>0</v>
      </c>
    </row>
    <row r="6070" spans="1:27" ht="21" customHeight="1" x14ac:dyDescent="0.95">
      <c r="A6070" s="56"/>
      <c r="B6070" s="57"/>
      <c r="C6070" s="57"/>
      <c r="D6070" s="57"/>
      <c r="E6070" s="56"/>
      <c r="F6070" s="57"/>
      <c r="G6070" s="57"/>
      <c r="H6070" s="56"/>
      <c r="I6070" s="56"/>
      <c r="J6070" s="58"/>
      <c r="K6070" s="58"/>
      <c r="L6070" s="13" t="str">
        <f t="shared" si="930"/>
        <v/>
      </c>
      <c r="M6070" s="13" t="str">
        <f t="shared" si="931"/>
        <v/>
      </c>
      <c r="Q6070" t="str">
        <f t="shared" si="932"/>
        <v/>
      </c>
      <c r="R6070" t="str">
        <f t="shared" si="933"/>
        <v/>
      </c>
      <c r="S6070" t="str">
        <f t="shared" si="934"/>
        <v/>
      </c>
      <c r="T6070" t="str">
        <f t="shared" si="935"/>
        <v/>
      </c>
      <c r="U6070" t="str">
        <f t="shared" si="936"/>
        <v/>
      </c>
      <c r="V6070" t="str">
        <f t="shared" si="937"/>
        <v/>
      </c>
      <c r="W6070" t="str">
        <f t="shared" si="942"/>
        <v/>
      </c>
      <c r="X6070">
        <f t="shared" si="944"/>
        <v>0</v>
      </c>
      <c r="Z6070" t="str">
        <f t="shared" si="943"/>
        <v/>
      </c>
      <c r="AA6070">
        <f t="shared" si="945"/>
        <v>0</v>
      </c>
    </row>
    <row r="6071" spans="1:27" ht="21" customHeight="1" x14ac:dyDescent="0.95">
      <c r="A6071" s="56"/>
      <c r="B6071" s="57"/>
      <c r="C6071" s="57"/>
      <c r="D6071" s="57"/>
      <c r="E6071" s="56"/>
      <c r="F6071" s="57"/>
      <c r="G6071" s="57"/>
      <c r="H6071" s="56"/>
      <c r="I6071" s="56"/>
      <c r="J6071" s="58"/>
      <c r="K6071" s="58"/>
      <c r="L6071" s="13" t="str">
        <f t="shared" si="930"/>
        <v/>
      </c>
      <c r="M6071" s="13" t="str">
        <f t="shared" si="931"/>
        <v/>
      </c>
      <c r="Q6071" t="str">
        <f t="shared" si="932"/>
        <v/>
      </c>
      <c r="R6071" t="str">
        <f t="shared" si="933"/>
        <v/>
      </c>
      <c r="S6071" t="str">
        <f t="shared" si="934"/>
        <v/>
      </c>
      <c r="T6071" t="str">
        <f t="shared" si="935"/>
        <v/>
      </c>
      <c r="U6071" t="str">
        <f t="shared" si="936"/>
        <v/>
      </c>
      <c r="V6071" t="str">
        <f t="shared" si="937"/>
        <v/>
      </c>
      <c r="W6071" t="str">
        <f t="shared" si="942"/>
        <v/>
      </c>
      <c r="X6071">
        <f t="shared" si="944"/>
        <v>0</v>
      </c>
      <c r="Z6071" t="str">
        <f t="shared" si="943"/>
        <v/>
      </c>
      <c r="AA6071">
        <f t="shared" si="945"/>
        <v>0</v>
      </c>
    </row>
    <row r="6072" spans="1:27" ht="21" customHeight="1" x14ac:dyDescent="0.95">
      <c r="A6072" s="56"/>
      <c r="B6072" s="57"/>
      <c r="C6072" s="57"/>
      <c r="D6072" s="57"/>
      <c r="E6072" s="56"/>
      <c r="F6072" s="57"/>
      <c r="G6072" s="57"/>
      <c r="H6072" s="56"/>
      <c r="I6072" s="56"/>
      <c r="J6072" s="58"/>
      <c r="K6072" s="58"/>
      <c r="L6072" s="13" t="str">
        <f t="shared" si="930"/>
        <v/>
      </c>
      <c r="M6072" s="13" t="str">
        <f t="shared" si="931"/>
        <v/>
      </c>
      <c r="Q6072" t="str">
        <f t="shared" si="932"/>
        <v/>
      </c>
      <c r="R6072" t="str">
        <f t="shared" si="933"/>
        <v/>
      </c>
      <c r="S6072" t="str">
        <f t="shared" si="934"/>
        <v/>
      </c>
      <c r="T6072" t="str">
        <f t="shared" si="935"/>
        <v/>
      </c>
      <c r="U6072" t="str">
        <f t="shared" si="936"/>
        <v/>
      </c>
      <c r="V6072" t="str">
        <f t="shared" si="937"/>
        <v/>
      </c>
      <c r="W6072" t="str">
        <f t="shared" si="942"/>
        <v/>
      </c>
      <c r="X6072">
        <f t="shared" si="944"/>
        <v>0</v>
      </c>
      <c r="Z6072" t="str">
        <f t="shared" si="943"/>
        <v/>
      </c>
      <c r="AA6072">
        <f t="shared" si="945"/>
        <v>0</v>
      </c>
    </row>
    <row r="6073" spans="1:27" ht="21" customHeight="1" x14ac:dyDescent="0.95">
      <c r="A6073" s="56"/>
      <c r="B6073" s="57"/>
      <c r="C6073" s="57"/>
      <c r="D6073" s="57"/>
      <c r="E6073" s="56"/>
      <c r="F6073" s="57"/>
      <c r="G6073" s="57"/>
      <c r="H6073" s="56"/>
      <c r="I6073" s="56"/>
      <c r="J6073" s="58"/>
      <c r="K6073" s="58"/>
      <c r="L6073" s="13" t="str">
        <f t="shared" si="930"/>
        <v/>
      </c>
      <c r="M6073" s="13" t="str">
        <f t="shared" si="931"/>
        <v/>
      </c>
      <c r="Q6073" t="str">
        <f t="shared" si="932"/>
        <v/>
      </c>
      <c r="R6073" t="str">
        <f t="shared" si="933"/>
        <v/>
      </c>
      <c r="S6073" t="str">
        <f t="shared" si="934"/>
        <v/>
      </c>
      <c r="T6073" t="str">
        <f t="shared" si="935"/>
        <v/>
      </c>
      <c r="U6073" t="str">
        <f t="shared" si="936"/>
        <v/>
      </c>
      <c r="V6073" t="str">
        <f t="shared" si="937"/>
        <v/>
      </c>
      <c r="W6073" t="str">
        <f t="shared" si="942"/>
        <v/>
      </c>
      <c r="X6073">
        <f t="shared" si="944"/>
        <v>0</v>
      </c>
      <c r="Z6073" t="str">
        <f t="shared" si="943"/>
        <v/>
      </c>
      <c r="AA6073">
        <f t="shared" si="945"/>
        <v>0</v>
      </c>
    </row>
    <row r="6074" spans="1:27" ht="21" customHeight="1" x14ac:dyDescent="0.95">
      <c r="A6074" s="56"/>
      <c r="B6074" s="57"/>
      <c r="C6074" s="57"/>
      <c r="D6074" s="57"/>
      <c r="E6074" s="56"/>
      <c r="F6074" s="57"/>
      <c r="G6074" s="57"/>
      <c r="H6074" s="56"/>
      <c r="I6074" s="56"/>
      <c r="J6074" s="58"/>
      <c r="K6074" s="58"/>
      <c r="L6074" s="13" t="str">
        <f t="shared" si="930"/>
        <v/>
      </c>
      <c r="M6074" s="13" t="str">
        <f t="shared" si="931"/>
        <v/>
      </c>
      <c r="Q6074" t="str">
        <f t="shared" si="932"/>
        <v/>
      </c>
      <c r="R6074" t="str">
        <f t="shared" si="933"/>
        <v/>
      </c>
      <c r="S6074" t="str">
        <f t="shared" si="934"/>
        <v/>
      </c>
      <c r="T6074" t="str">
        <f t="shared" si="935"/>
        <v/>
      </c>
      <c r="U6074" t="str">
        <f t="shared" si="936"/>
        <v/>
      </c>
      <c r="V6074" t="str">
        <f t="shared" si="937"/>
        <v/>
      </c>
      <c r="W6074" t="str">
        <f t="shared" si="942"/>
        <v/>
      </c>
      <c r="X6074">
        <f t="shared" si="944"/>
        <v>0</v>
      </c>
      <c r="Z6074" t="str">
        <f t="shared" si="943"/>
        <v/>
      </c>
      <c r="AA6074">
        <f t="shared" si="945"/>
        <v>0</v>
      </c>
    </row>
    <row r="6075" spans="1:27" ht="21" customHeight="1" x14ac:dyDescent="0.95">
      <c r="A6075" s="56"/>
      <c r="B6075" s="57"/>
      <c r="C6075" s="57"/>
      <c r="D6075" s="57"/>
      <c r="E6075" s="56"/>
      <c r="F6075" s="57"/>
      <c r="G6075" s="57"/>
      <c r="H6075" s="56"/>
      <c r="I6075" s="56"/>
      <c r="J6075" s="58"/>
      <c r="K6075" s="58"/>
      <c r="L6075" s="13" t="str">
        <f t="shared" si="930"/>
        <v/>
      </c>
      <c r="M6075" s="13" t="str">
        <f t="shared" si="931"/>
        <v/>
      </c>
      <c r="Q6075" t="str">
        <f t="shared" si="932"/>
        <v/>
      </c>
      <c r="R6075" t="str">
        <f t="shared" si="933"/>
        <v/>
      </c>
      <c r="S6075" t="str">
        <f t="shared" si="934"/>
        <v/>
      </c>
      <c r="T6075" t="str">
        <f t="shared" si="935"/>
        <v/>
      </c>
      <c r="U6075" t="str">
        <f t="shared" si="936"/>
        <v/>
      </c>
      <c r="V6075" t="str">
        <f t="shared" si="937"/>
        <v/>
      </c>
      <c r="W6075" t="str">
        <f t="shared" si="942"/>
        <v/>
      </c>
      <c r="X6075">
        <f t="shared" si="944"/>
        <v>0</v>
      </c>
      <c r="Z6075" t="str">
        <f t="shared" si="943"/>
        <v/>
      </c>
      <c r="AA6075">
        <f t="shared" si="945"/>
        <v>0</v>
      </c>
    </row>
    <row r="6076" spans="1:27" ht="21" customHeight="1" x14ac:dyDescent="0.95">
      <c r="A6076" s="56"/>
      <c r="B6076" s="57"/>
      <c r="C6076" s="57"/>
      <c r="D6076" s="57"/>
      <c r="E6076" s="56"/>
      <c r="F6076" s="57"/>
      <c r="G6076" s="57"/>
      <c r="H6076" s="56"/>
      <c r="I6076" s="56"/>
      <c r="J6076" s="58"/>
      <c r="K6076" s="58"/>
      <c r="L6076" s="13" t="str">
        <f t="shared" si="930"/>
        <v/>
      </c>
      <c r="M6076" s="13" t="str">
        <f t="shared" si="931"/>
        <v/>
      </c>
      <c r="Q6076" t="str">
        <f t="shared" si="932"/>
        <v/>
      </c>
      <c r="R6076" t="str">
        <f t="shared" si="933"/>
        <v/>
      </c>
      <c r="S6076" t="str">
        <f t="shared" si="934"/>
        <v/>
      </c>
      <c r="T6076" t="str">
        <f t="shared" si="935"/>
        <v/>
      </c>
      <c r="U6076" t="str">
        <f t="shared" si="936"/>
        <v/>
      </c>
      <c r="V6076" t="str">
        <f t="shared" si="937"/>
        <v/>
      </c>
      <c r="W6076" t="str">
        <f t="shared" si="942"/>
        <v/>
      </c>
      <c r="X6076">
        <f t="shared" si="944"/>
        <v>0</v>
      </c>
      <c r="Z6076" t="str">
        <f t="shared" si="943"/>
        <v/>
      </c>
      <c r="AA6076">
        <f t="shared" si="945"/>
        <v>0</v>
      </c>
    </row>
    <row r="6077" spans="1:27" ht="21" customHeight="1" x14ac:dyDescent="0.95">
      <c r="A6077" s="56"/>
      <c r="B6077" s="57"/>
      <c r="C6077" s="57"/>
      <c r="D6077" s="57"/>
      <c r="E6077" s="56"/>
      <c r="F6077" s="57"/>
      <c r="G6077" s="57"/>
      <c r="H6077" s="56"/>
      <c r="I6077" s="56"/>
      <c r="J6077" s="58"/>
      <c r="K6077" s="58"/>
      <c r="L6077" s="13" t="str">
        <f t="shared" si="930"/>
        <v/>
      </c>
      <c r="M6077" s="13" t="str">
        <f t="shared" si="931"/>
        <v/>
      </c>
      <c r="Q6077" t="str">
        <f t="shared" si="932"/>
        <v/>
      </c>
      <c r="R6077" t="str">
        <f t="shared" si="933"/>
        <v/>
      </c>
      <c r="S6077" t="str">
        <f t="shared" si="934"/>
        <v/>
      </c>
      <c r="T6077" t="str">
        <f t="shared" si="935"/>
        <v/>
      </c>
      <c r="U6077" t="str">
        <f t="shared" si="936"/>
        <v/>
      </c>
      <c r="V6077" t="str">
        <f t="shared" si="937"/>
        <v/>
      </c>
      <c r="W6077" t="str">
        <f t="shared" si="942"/>
        <v/>
      </c>
      <c r="X6077">
        <f t="shared" si="944"/>
        <v>0</v>
      </c>
      <c r="Z6077" t="str">
        <f t="shared" si="943"/>
        <v/>
      </c>
      <c r="AA6077">
        <f t="shared" si="945"/>
        <v>0</v>
      </c>
    </row>
    <row r="6078" spans="1:27" ht="21" customHeight="1" x14ac:dyDescent="0.95">
      <c r="A6078" s="56"/>
      <c r="B6078" s="57"/>
      <c r="C6078" s="57"/>
      <c r="D6078" s="57"/>
      <c r="E6078" s="56"/>
      <c r="F6078" s="57"/>
      <c r="G6078" s="57"/>
      <c r="H6078" s="56"/>
      <c r="I6078" s="56"/>
      <c r="J6078" s="58"/>
      <c r="K6078" s="58"/>
      <c r="L6078" s="13" t="str">
        <f t="shared" si="930"/>
        <v/>
      </c>
      <c r="M6078" s="13" t="str">
        <f t="shared" si="931"/>
        <v/>
      </c>
      <c r="Q6078" t="str">
        <f t="shared" si="932"/>
        <v/>
      </c>
      <c r="R6078" t="str">
        <f t="shared" si="933"/>
        <v/>
      </c>
      <c r="S6078" t="str">
        <f t="shared" si="934"/>
        <v/>
      </c>
      <c r="T6078" t="str">
        <f t="shared" si="935"/>
        <v/>
      </c>
      <c r="U6078" t="str">
        <f t="shared" si="936"/>
        <v/>
      </c>
      <c r="V6078" t="str">
        <f t="shared" si="937"/>
        <v/>
      </c>
      <c r="W6078" t="str">
        <f t="shared" si="942"/>
        <v/>
      </c>
      <c r="X6078">
        <f t="shared" si="944"/>
        <v>0</v>
      </c>
      <c r="Z6078" t="str">
        <f t="shared" si="943"/>
        <v/>
      </c>
      <c r="AA6078">
        <f t="shared" si="945"/>
        <v>0</v>
      </c>
    </row>
    <row r="6079" spans="1:27" ht="21" customHeight="1" x14ac:dyDescent="0.95">
      <c r="A6079" s="56"/>
      <c r="B6079" s="57"/>
      <c r="C6079" s="57"/>
      <c r="D6079" s="57"/>
      <c r="E6079" s="56"/>
      <c r="F6079" s="57"/>
      <c r="G6079" s="57"/>
      <c r="H6079" s="56"/>
      <c r="I6079" s="56"/>
      <c r="J6079" s="58"/>
      <c r="K6079" s="58"/>
      <c r="L6079" s="13" t="str">
        <f t="shared" si="930"/>
        <v/>
      </c>
      <c r="M6079" s="13" t="str">
        <f t="shared" si="931"/>
        <v/>
      </c>
      <c r="Q6079" t="str">
        <f t="shared" si="932"/>
        <v/>
      </c>
      <c r="R6079" t="str">
        <f t="shared" si="933"/>
        <v/>
      </c>
      <c r="S6079" t="str">
        <f t="shared" si="934"/>
        <v/>
      </c>
      <c r="T6079" t="str">
        <f t="shared" si="935"/>
        <v/>
      </c>
      <c r="U6079" t="str">
        <f t="shared" si="936"/>
        <v/>
      </c>
      <c r="V6079" t="str">
        <f t="shared" si="937"/>
        <v/>
      </c>
      <c r="W6079" t="str">
        <f t="shared" si="942"/>
        <v/>
      </c>
      <c r="X6079">
        <f t="shared" si="944"/>
        <v>0</v>
      </c>
      <c r="Z6079" t="str">
        <f t="shared" si="943"/>
        <v/>
      </c>
      <c r="AA6079">
        <f t="shared" si="945"/>
        <v>0</v>
      </c>
    </row>
    <row r="6080" spans="1:27" ht="21" customHeight="1" x14ac:dyDescent="0.95">
      <c r="A6080" s="56"/>
      <c r="B6080" s="57"/>
      <c r="C6080" s="57"/>
      <c r="D6080" s="57"/>
      <c r="E6080" s="56"/>
      <c r="F6080" s="57"/>
      <c r="G6080" s="57"/>
      <c r="H6080" s="56"/>
      <c r="I6080" s="56"/>
      <c r="J6080" s="58"/>
      <c r="K6080" s="58"/>
      <c r="L6080" s="13" t="str">
        <f t="shared" si="930"/>
        <v/>
      </c>
      <c r="M6080" s="13" t="str">
        <f t="shared" si="931"/>
        <v/>
      </c>
      <c r="Q6080" t="str">
        <f t="shared" si="932"/>
        <v/>
      </c>
      <c r="R6080" t="str">
        <f t="shared" si="933"/>
        <v/>
      </c>
      <c r="S6080" t="str">
        <f t="shared" si="934"/>
        <v/>
      </c>
      <c r="T6080" t="str">
        <f t="shared" si="935"/>
        <v/>
      </c>
      <c r="U6080" t="str">
        <f t="shared" si="936"/>
        <v/>
      </c>
      <c r="V6080" t="str">
        <f t="shared" si="937"/>
        <v/>
      </c>
      <c r="W6080" t="str">
        <f t="shared" si="942"/>
        <v/>
      </c>
      <c r="X6080">
        <f t="shared" si="944"/>
        <v>0</v>
      </c>
      <c r="Z6080" t="str">
        <f t="shared" si="943"/>
        <v/>
      </c>
      <c r="AA6080">
        <f t="shared" si="945"/>
        <v>0</v>
      </c>
    </row>
    <row r="6081" spans="1:27" ht="21" customHeight="1" x14ac:dyDescent="0.95">
      <c r="A6081" s="56"/>
      <c r="B6081" s="57"/>
      <c r="C6081" s="57"/>
      <c r="D6081" s="57"/>
      <c r="E6081" s="56"/>
      <c r="F6081" s="57"/>
      <c r="G6081" s="57"/>
      <c r="H6081" s="56"/>
      <c r="I6081" s="56"/>
      <c r="J6081" s="58"/>
      <c r="K6081" s="58"/>
      <c r="L6081" s="13" t="str">
        <f t="shared" si="930"/>
        <v/>
      </c>
      <c r="M6081" s="13" t="str">
        <f t="shared" si="931"/>
        <v/>
      </c>
      <c r="Q6081" t="str">
        <f t="shared" si="932"/>
        <v/>
      </c>
      <c r="R6081" t="str">
        <f t="shared" si="933"/>
        <v/>
      </c>
      <c r="S6081" t="str">
        <f t="shared" si="934"/>
        <v/>
      </c>
      <c r="T6081" t="str">
        <f t="shared" si="935"/>
        <v/>
      </c>
      <c r="U6081" t="str">
        <f t="shared" si="936"/>
        <v/>
      </c>
      <c r="V6081" t="str">
        <f t="shared" si="937"/>
        <v/>
      </c>
      <c r="W6081" t="str">
        <f t="shared" si="942"/>
        <v/>
      </c>
      <c r="X6081">
        <f t="shared" si="944"/>
        <v>0</v>
      </c>
      <c r="Z6081" t="str">
        <f t="shared" si="943"/>
        <v/>
      </c>
      <c r="AA6081">
        <f t="shared" si="945"/>
        <v>0</v>
      </c>
    </row>
    <row r="6082" spans="1:27" ht="21" customHeight="1" x14ac:dyDescent="0.95">
      <c r="A6082" s="56"/>
      <c r="B6082" s="57"/>
      <c r="C6082" s="57"/>
      <c r="D6082" s="57"/>
      <c r="E6082" s="56"/>
      <c r="F6082" s="57"/>
      <c r="G6082" s="57"/>
      <c r="H6082" s="56"/>
      <c r="I6082" s="56"/>
      <c r="J6082" s="58"/>
      <c r="K6082" s="58"/>
      <c r="L6082" s="13" t="str">
        <f t="shared" si="930"/>
        <v/>
      </c>
      <c r="M6082" s="13" t="str">
        <f t="shared" si="931"/>
        <v/>
      </c>
      <c r="Q6082" t="str">
        <f t="shared" si="932"/>
        <v/>
      </c>
      <c r="R6082" t="str">
        <f t="shared" si="933"/>
        <v/>
      </c>
      <c r="S6082" t="str">
        <f t="shared" si="934"/>
        <v/>
      </c>
      <c r="T6082" t="str">
        <f t="shared" si="935"/>
        <v/>
      </c>
      <c r="U6082" t="str">
        <f t="shared" si="936"/>
        <v/>
      </c>
      <c r="V6082" t="str">
        <f t="shared" si="937"/>
        <v/>
      </c>
      <c r="W6082" t="str">
        <f t="shared" si="942"/>
        <v/>
      </c>
      <c r="X6082">
        <f t="shared" si="944"/>
        <v>0</v>
      </c>
      <c r="Z6082" t="str">
        <f t="shared" si="943"/>
        <v/>
      </c>
      <c r="AA6082">
        <f t="shared" si="945"/>
        <v>0</v>
      </c>
    </row>
    <row r="6083" spans="1:27" ht="21" customHeight="1" x14ac:dyDescent="0.95">
      <c r="A6083" s="56"/>
      <c r="B6083" s="57"/>
      <c r="C6083" s="57"/>
      <c r="D6083" s="57"/>
      <c r="E6083" s="56"/>
      <c r="F6083" s="57"/>
      <c r="G6083" s="57"/>
      <c r="H6083" s="56"/>
      <c r="I6083" s="56"/>
      <c r="J6083" s="58"/>
      <c r="K6083" s="58"/>
      <c r="L6083" s="13" t="str">
        <f t="shared" si="930"/>
        <v/>
      </c>
      <c r="M6083" s="13" t="str">
        <f t="shared" si="931"/>
        <v/>
      </c>
      <c r="Q6083" t="str">
        <f t="shared" si="932"/>
        <v/>
      </c>
      <c r="R6083" t="str">
        <f t="shared" si="933"/>
        <v/>
      </c>
      <c r="S6083" t="str">
        <f t="shared" si="934"/>
        <v/>
      </c>
      <c r="T6083" t="str">
        <f t="shared" si="935"/>
        <v/>
      </c>
      <c r="U6083" t="str">
        <f t="shared" si="936"/>
        <v/>
      </c>
      <c r="V6083" t="str">
        <f t="shared" si="937"/>
        <v/>
      </c>
      <c r="W6083" t="str">
        <f t="shared" si="942"/>
        <v/>
      </c>
      <c r="X6083">
        <f t="shared" si="944"/>
        <v>0</v>
      </c>
      <c r="Z6083" t="str">
        <f t="shared" si="943"/>
        <v/>
      </c>
      <c r="AA6083">
        <f t="shared" si="945"/>
        <v>0</v>
      </c>
    </row>
    <row r="6084" spans="1:27" ht="21" customHeight="1" x14ac:dyDescent="0.95">
      <c r="A6084" s="56"/>
      <c r="B6084" s="57"/>
      <c r="C6084" s="57"/>
      <c r="D6084" s="57"/>
      <c r="E6084" s="56"/>
      <c r="F6084" s="57"/>
      <c r="G6084" s="57"/>
      <c r="H6084" s="56"/>
      <c r="I6084" s="56"/>
      <c r="J6084" s="58"/>
      <c r="K6084" s="58"/>
      <c r="L6084" s="13" t="str">
        <f t="shared" si="930"/>
        <v/>
      </c>
      <c r="M6084" s="13" t="str">
        <f t="shared" si="931"/>
        <v/>
      </c>
      <c r="Q6084" t="str">
        <f t="shared" si="932"/>
        <v/>
      </c>
      <c r="R6084" t="str">
        <f t="shared" si="933"/>
        <v/>
      </c>
      <c r="S6084" t="str">
        <f t="shared" si="934"/>
        <v/>
      </c>
      <c r="T6084" t="str">
        <f t="shared" si="935"/>
        <v/>
      </c>
      <c r="U6084" t="str">
        <f t="shared" si="936"/>
        <v/>
      </c>
      <c r="V6084" t="str">
        <f t="shared" si="937"/>
        <v/>
      </c>
      <c r="W6084" t="str">
        <f t="shared" si="942"/>
        <v/>
      </c>
      <c r="X6084">
        <f t="shared" si="944"/>
        <v>0</v>
      </c>
      <c r="Z6084" t="str">
        <f t="shared" si="943"/>
        <v/>
      </c>
      <c r="AA6084">
        <f t="shared" si="945"/>
        <v>0</v>
      </c>
    </row>
    <row r="6085" spans="1:27" ht="21" customHeight="1" x14ac:dyDescent="0.95">
      <c r="A6085" s="56"/>
      <c r="B6085" s="57"/>
      <c r="C6085" s="57"/>
      <c r="D6085" s="57"/>
      <c r="E6085" s="56"/>
      <c r="F6085" s="57"/>
      <c r="G6085" s="57"/>
      <c r="H6085" s="56"/>
      <c r="I6085" s="56"/>
      <c r="J6085" s="58"/>
      <c r="K6085" s="58"/>
      <c r="L6085" s="13" t="str">
        <f t="shared" si="930"/>
        <v/>
      </c>
      <c r="M6085" s="13" t="str">
        <f t="shared" si="931"/>
        <v/>
      </c>
      <c r="Q6085" t="str">
        <f t="shared" si="932"/>
        <v/>
      </c>
      <c r="R6085" t="str">
        <f t="shared" si="933"/>
        <v/>
      </c>
      <c r="S6085" t="str">
        <f t="shared" si="934"/>
        <v/>
      </c>
      <c r="T6085" t="str">
        <f t="shared" si="935"/>
        <v/>
      </c>
      <c r="U6085" t="str">
        <f t="shared" si="936"/>
        <v/>
      </c>
      <c r="V6085" t="str">
        <f t="shared" si="937"/>
        <v/>
      </c>
      <c r="W6085" t="str">
        <f t="shared" si="942"/>
        <v/>
      </c>
      <c r="X6085">
        <f t="shared" si="944"/>
        <v>0</v>
      </c>
      <c r="Z6085" t="str">
        <f t="shared" si="943"/>
        <v/>
      </c>
      <c r="AA6085">
        <f t="shared" si="945"/>
        <v>0</v>
      </c>
    </row>
    <row r="6086" spans="1:27" ht="21" customHeight="1" x14ac:dyDescent="0.95">
      <c r="A6086" s="56"/>
      <c r="B6086" s="57"/>
      <c r="C6086" s="57"/>
      <c r="D6086" s="57"/>
      <c r="E6086" s="56"/>
      <c r="F6086" s="57"/>
      <c r="G6086" s="57"/>
      <c r="H6086" s="56"/>
      <c r="I6086" s="56"/>
      <c r="J6086" s="58"/>
      <c r="K6086" s="58"/>
      <c r="L6086" s="13" t="str">
        <f t="shared" si="930"/>
        <v/>
      </c>
      <c r="M6086" s="13" t="str">
        <f t="shared" si="931"/>
        <v/>
      </c>
      <c r="Q6086" t="str">
        <f t="shared" si="932"/>
        <v/>
      </c>
      <c r="R6086" t="str">
        <f t="shared" si="933"/>
        <v/>
      </c>
      <c r="S6086" t="str">
        <f t="shared" si="934"/>
        <v/>
      </c>
      <c r="T6086" t="str">
        <f t="shared" si="935"/>
        <v/>
      </c>
      <c r="U6086" t="str">
        <f t="shared" si="936"/>
        <v/>
      </c>
      <c r="V6086" t="str">
        <f t="shared" si="937"/>
        <v/>
      </c>
      <c r="W6086" t="str">
        <f t="shared" ref="W6086:W6149" si="946">IF($T6086="","",IF($X6086&gt;N($X6085),$X6086,""))</f>
        <v/>
      </c>
      <c r="X6086">
        <f t="shared" si="944"/>
        <v>0</v>
      </c>
      <c r="Z6086" t="str">
        <f t="shared" ref="Z6086:Z6149" si="947">IF($V6086="","",IF($AA6086&gt;N($AA6085),$AA6086,""))</f>
        <v/>
      </c>
      <c r="AA6086">
        <f t="shared" si="945"/>
        <v>0</v>
      </c>
    </row>
    <row r="6087" spans="1:27" ht="21" customHeight="1" x14ac:dyDescent="0.95">
      <c r="A6087" s="56"/>
      <c r="B6087" s="57"/>
      <c r="C6087" s="57"/>
      <c r="D6087" s="57"/>
      <c r="E6087" s="56"/>
      <c r="F6087" s="57"/>
      <c r="G6087" s="57"/>
      <c r="H6087" s="56"/>
      <c r="I6087" s="56"/>
      <c r="J6087" s="58"/>
      <c r="K6087" s="58"/>
      <c r="L6087" s="13" t="str">
        <f t="shared" si="930"/>
        <v/>
      </c>
      <c r="M6087" s="13" t="str">
        <f t="shared" si="931"/>
        <v/>
      </c>
      <c r="Q6087" t="str">
        <f t="shared" si="932"/>
        <v/>
      </c>
      <c r="R6087" t="str">
        <f t="shared" si="933"/>
        <v/>
      </c>
      <c r="S6087" t="str">
        <f t="shared" si="934"/>
        <v/>
      </c>
      <c r="T6087" t="str">
        <f t="shared" si="935"/>
        <v/>
      </c>
      <c r="U6087" t="str">
        <f t="shared" si="936"/>
        <v/>
      </c>
      <c r="V6087" t="str">
        <f t="shared" si="937"/>
        <v/>
      </c>
      <c r="W6087" t="str">
        <f t="shared" si="946"/>
        <v/>
      </c>
      <c r="X6087">
        <f t="shared" si="944"/>
        <v>0</v>
      </c>
      <c r="Z6087" t="str">
        <f t="shared" si="947"/>
        <v/>
      </c>
      <c r="AA6087">
        <f t="shared" si="945"/>
        <v>0</v>
      </c>
    </row>
    <row r="6088" spans="1:27" ht="21" customHeight="1" x14ac:dyDescent="0.95">
      <c r="A6088" s="56"/>
      <c r="B6088" s="57"/>
      <c r="C6088" s="57"/>
      <c r="D6088" s="57"/>
      <c r="E6088" s="56"/>
      <c r="F6088" s="57"/>
      <c r="G6088" s="57"/>
      <c r="H6088" s="56"/>
      <c r="I6088" s="56"/>
      <c r="J6088" s="58"/>
      <c r="K6088" s="58"/>
      <c r="L6088" s="13" t="str">
        <f t="shared" si="930"/>
        <v/>
      </c>
      <c r="M6088" s="13" t="str">
        <f t="shared" si="931"/>
        <v/>
      </c>
      <c r="Q6088" t="str">
        <f t="shared" si="932"/>
        <v/>
      </c>
      <c r="R6088" t="str">
        <f t="shared" si="933"/>
        <v/>
      </c>
      <c r="S6088" t="str">
        <f t="shared" si="934"/>
        <v/>
      </c>
      <c r="T6088" t="str">
        <f t="shared" si="935"/>
        <v/>
      </c>
      <c r="U6088" t="str">
        <f t="shared" si="936"/>
        <v/>
      </c>
      <c r="V6088" t="str">
        <f t="shared" si="937"/>
        <v/>
      </c>
      <c r="W6088" t="str">
        <f t="shared" si="946"/>
        <v/>
      </c>
      <c r="X6088">
        <f t="shared" si="944"/>
        <v>0</v>
      </c>
      <c r="Z6088" t="str">
        <f t="shared" si="947"/>
        <v/>
      </c>
      <c r="AA6088">
        <f t="shared" si="945"/>
        <v>0</v>
      </c>
    </row>
    <row r="6089" spans="1:27" ht="21" customHeight="1" x14ac:dyDescent="0.95">
      <c r="A6089" s="56"/>
      <c r="B6089" s="57"/>
      <c r="C6089" s="57"/>
      <c r="D6089" s="57"/>
      <c r="E6089" s="56"/>
      <c r="F6089" s="57"/>
      <c r="G6089" s="57"/>
      <c r="H6089" s="56"/>
      <c r="I6089" s="56"/>
      <c r="J6089" s="58"/>
      <c r="K6089" s="58"/>
      <c r="L6089" s="13" t="str">
        <f t="shared" si="930"/>
        <v/>
      </c>
      <c r="M6089" s="13" t="str">
        <f t="shared" si="931"/>
        <v/>
      </c>
      <c r="Q6089" t="str">
        <f t="shared" si="932"/>
        <v/>
      </c>
      <c r="R6089" t="str">
        <f t="shared" si="933"/>
        <v/>
      </c>
      <c r="S6089" t="str">
        <f t="shared" si="934"/>
        <v/>
      </c>
      <c r="T6089" t="str">
        <f t="shared" si="935"/>
        <v/>
      </c>
      <c r="U6089" t="str">
        <f t="shared" si="936"/>
        <v/>
      </c>
      <c r="V6089" t="str">
        <f t="shared" si="937"/>
        <v/>
      </c>
      <c r="W6089" t="str">
        <f t="shared" si="946"/>
        <v/>
      </c>
      <c r="X6089">
        <f t="shared" si="944"/>
        <v>0</v>
      </c>
      <c r="Z6089" t="str">
        <f t="shared" si="947"/>
        <v/>
      </c>
      <c r="AA6089">
        <f t="shared" si="945"/>
        <v>0</v>
      </c>
    </row>
    <row r="6090" spans="1:27" ht="21" customHeight="1" x14ac:dyDescent="0.95">
      <c r="A6090" s="56"/>
      <c r="B6090" s="57"/>
      <c r="C6090" s="57"/>
      <c r="D6090" s="57"/>
      <c r="E6090" s="56"/>
      <c r="F6090" s="57"/>
      <c r="G6090" s="57"/>
      <c r="H6090" s="56"/>
      <c r="I6090" s="56"/>
      <c r="J6090" s="58"/>
      <c r="K6090" s="58"/>
      <c r="L6090" s="13" t="str">
        <f t="shared" si="930"/>
        <v/>
      </c>
      <c r="M6090" s="13" t="str">
        <f t="shared" si="931"/>
        <v/>
      </c>
      <c r="Q6090" t="str">
        <f t="shared" si="932"/>
        <v/>
      </c>
      <c r="R6090" t="str">
        <f t="shared" si="933"/>
        <v/>
      </c>
      <c r="S6090" t="str">
        <f t="shared" si="934"/>
        <v/>
      </c>
      <c r="T6090" t="str">
        <f t="shared" si="935"/>
        <v/>
      </c>
      <c r="U6090" t="str">
        <f t="shared" si="936"/>
        <v/>
      </c>
      <c r="V6090" t="str">
        <f t="shared" si="937"/>
        <v/>
      </c>
      <c r="W6090" t="str">
        <f t="shared" si="946"/>
        <v/>
      </c>
      <c r="X6090">
        <f t="shared" si="944"/>
        <v>0</v>
      </c>
      <c r="Z6090" t="str">
        <f t="shared" si="947"/>
        <v/>
      </c>
      <c r="AA6090">
        <f t="shared" si="945"/>
        <v>0</v>
      </c>
    </row>
    <row r="6091" spans="1:27" ht="21" customHeight="1" x14ac:dyDescent="0.95">
      <c r="A6091" s="56"/>
      <c r="B6091" s="57"/>
      <c r="C6091" s="57"/>
      <c r="D6091" s="57"/>
      <c r="E6091" s="56"/>
      <c r="F6091" s="57"/>
      <c r="G6091" s="57"/>
      <c r="H6091" s="56"/>
      <c r="I6091" s="56"/>
      <c r="J6091" s="58"/>
      <c r="K6091" s="58"/>
      <c r="L6091" s="13" t="str">
        <f t="shared" si="930"/>
        <v/>
      </c>
      <c r="M6091" s="13" t="str">
        <f t="shared" si="931"/>
        <v/>
      </c>
      <c r="Q6091" t="str">
        <f t="shared" si="932"/>
        <v/>
      </c>
      <c r="R6091" t="str">
        <f t="shared" si="933"/>
        <v/>
      </c>
      <c r="S6091" t="str">
        <f t="shared" si="934"/>
        <v/>
      </c>
      <c r="T6091" t="str">
        <f t="shared" si="935"/>
        <v/>
      </c>
      <c r="U6091" t="str">
        <f t="shared" si="936"/>
        <v/>
      </c>
      <c r="V6091" t="str">
        <f t="shared" si="937"/>
        <v/>
      </c>
      <c r="W6091" t="str">
        <f t="shared" si="946"/>
        <v/>
      </c>
      <c r="X6091">
        <f t="shared" si="944"/>
        <v>0</v>
      </c>
      <c r="Z6091" t="str">
        <f t="shared" si="947"/>
        <v/>
      </c>
      <c r="AA6091">
        <f t="shared" si="945"/>
        <v>0</v>
      </c>
    </row>
    <row r="6092" spans="1:27" ht="21" customHeight="1" x14ac:dyDescent="0.95">
      <c r="A6092" s="56"/>
      <c r="B6092" s="57"/>
      <c r="C6092" s="57"/>
      <c r="D6092" s="57"/>
      <c r="E6092" s="56"/>
      <c r="F6092" s="57"/>
      <c r="G6092" s="57"/>
      <c r="H6092" s="56"/>
      <c r="I6092" s="56"/>
      <c r="J6092" s="58"/>
      <c r="K6092" s="58"/>
      <c r="L6092" s="13" t="str">
        <f t="shared" si="930"/>
        <v/>
      </c>
      <c r="M6092" s="13" t="str">
        <f t="shared" si="931"/>
        <v/>
      </c>
      <c r="Q6092" t="str">
        <f t="shared" si="932"/>
        <v/>
      </c>
      <c r="R6092" t="str">
        <f t="shared" si="933"/>
        <v/>
      </c>
      <c r="S6092" t="str">
        <f t="shared" si="934"/>
        <v/>
      </c>
      <c r="T6092" t="str">
        <f t="shared" si="935"/>
        <v/>
      </c>
      <c r="U6092" t="str">
        <f t="shared" si="936"/>
        <v/>
      </c>
      <c r="V6092" t="str">
        <f t="shared" si="937"/>
        <v/>
      </c>
      <c r="W6092" t="str">
        <f t="shared" si="946"/>
        <v/>
      </c>
      <c r="X6092">
        <f t="shared" si="944"/>
        <v>0</v>
      </c>
      <c r="Z6092" t="str">
        <f t="shared" si="947"/>
        <v/>
      </c>
      <c r="AA6092">
        <f t="shared" si="945"/>
        <v>0</v>
      </c>
    </row>
    <row r="6093" spans="1:27" ht="21" customHeight="1" x14ac:dyDescent="0.95">
      <c r="A6093" s="56"/>
      <c r="B6093" s="57"/>
      <c r="C6093" s="57"/>
      <c r="D6093" s="57"/>
      <c r="E6093" s="56"/>
      <c r="F6093" s="57"/>
      <c r="G6093" s="57"/>
      <c r="H6093" s="56"/>
      <c r="I6093" s="56"/>
      <c r="J6093" s="58"/>
      <c r="K6093" s="58"/>
      <c r="L6093" s="13" t="str">
        <f t="shared" si="930"/>
        <v/>
      </c>
      <c r="M6093" s="13" t="str">
        <f t="shared" si="931"/>
        <v/>
      </c>
      <c r="Q6093" t="str">
        <f t="shared" si="932"/>
        <v/>
      </c>
      <c r="R6093" t="str">
        <f t="shared" si="933"/>
        <v/>
      </c>
      <c r="S6093" t="str">
        <f t="shared" si="934"/>
        <v/>
      </c>
      <c r="T6093" t="str">
        <f t="shared" si="935"/>
        <v/>
      </c>
      <c r="U6093" t="str">
        <f t="shared" si="936"/>
        <v/>
      </c>
      <c r="V6093" t="str">
        <f t="shared" si="937"/>
        <v/>
      </c>
      <c r="W6093" t="str">
        <f t="shared" si="946"/>
        <v/>
      </c>
      <c r="X6093">
        <f t="shared" si="944"/>
        <v>0</v>
      </c>
      <c r="Z6093" t="str">
        <f t="shared" si="947"/>
        <v/>
      </c>
      <c r="AA6093">
        <f t="shared" si="945"/>
        <v>0</v>
      </c>
    </row>
    <row r="6094" spans="1:27" ht="21" customHeight="1" x14ac:dyDescent="0.95">
      <c r="A6094" s="56"/>
      <c r="B6094" s="57"/>
      <c r="C6094" s="57"/>
      <c r="D6094" s="57"/>
      <c r="E6094" s="56"/>
      <c r="F6094" s="57"/>
      <c r="G6094" s="57"/>
      <c r="H6094" s="56"/>
      <c r="I6094" s="56"/>
      <c r="J6094" s="58"/>
      <c r="K6094" s="58"/>
      <c r="L6094" s="13" t="str">
        <f t="shared" si="930"/>
        <v/>
      </c>
      <c r="M6094" s="13" t="str">
        <f t="shared" si="931"/>
        <v/>
      </c>
      <c r="Q6094" t="str">
        <f t="shared" si="932"/>
        <v/>
      </c>
      <c r="R6094" t="str">
        <f t="shared" si="933"/>
        <v/>
      </c>
      <c r="S6094" t="str">
        <f t="shared" si="934"/>
        <v/>
      </c>
      <c r="T6094" t="str">
        <f t="shared" si="935"/>
        <v/>
      </c>
      <c r="U6094" t="str">
        <f t="shared" si="936"/>
        <v/>
      </c>
      <c r="V6094" t="str">
        <f t="shared" si="937"/>
        <v/>
      </c>
      <c r="W6094" t="str">
        <f t="shared" si="946"/>
        <v/>
      </c>
      <c r="X6094">
        <f t="shared" si="944"/>
        <v>0</v>
      </c>
      <c r="Z6094" t="str">
        <f t="shared" si="947"/>
        <v/>
      </c>
      <c r="AA6094">
        <f t="shared" si="945"/>
        <v>0</v>
      </c>
    </row>
    <row r="6095" spans="1:27" ht="21" customHeight="1" x14ac:dyDescent="0.95">
      <c r="A6095" s="56"/>
      <c r="B6095" s="57"/>
      <c r="C6095" s="57"/>
      <c r="D6095" s="57"/>
      <c r="E6095" s="56"/>
      <c r="F6095" s="57"/>
      <c r="G6095" s="57"/>
      <c r="H6095" s="56"/>
      <c r="I6095" s="56"/>
      <c r="J6095" s="58"/>
      <c r="K6095" s="58"/>
      <c r="L6095" s="13" t="str">
        <f t="shared" si="930"/>
        <v/>
      </c>
      <c r="M6095" s="13" t="str">
        <f t="shared" si="931"/>
        <v/>
      </c>
      <c r="Q6095" t="str">
        <f t="shared" si="932"/>
        <v/>
      </c>
      <c r="R6095" t="str">
        <f t="shared" si="933"/>
        <v/>
      </c>
      <c r="S6095" t="str">
        <f t="shared" si="934"/>
        <v/>
      </c>
      <c r="T6095" t="str">
        <f t="shared" si="935"/>
        <v/>
      </c>
      <c r="U6095" t="str">
        <f t="shared" si="936"/>
        <v/>
      </c>
      <c r="V6095" t="str">
        <f t="shared" si="937"/>
        <v/>
      </c>
      <c r="W6095" t="str">
        <f t="shared" si="946"/>
        <v/>
      </c>
      <c r="X6095">
        <f t="shared" si="944"/>
        <v>0</v>
      </c>
      <c r="Z6095" t="str">
        <f t="shared" si="947"/>
        <v/>
      </c>
      <c r="AA6095">
        <f t="shared" si="945"/>
        <v>0</v>
      </c>
    </row>
    <row r="6096" spans="1:27" ht="21" customHeight="1" x14ac:dyDescent="0.95">
      <c r="A6096" s="56"/>
      <c r="B6096" s="57"/>
      <c r="C6096" s="57"/>
      <c r="D6096" s="57"/>
      <c r="E6096" s="56"/>
      <c r="F6096" s="57"/>
      <c r="G6096" s="57"/>
      <c r="H6096" s="56"/>
      <c r="I6096" s="56"/>
      <c r="J6096" s="58"/>
      <c r="K6096" s="58"/>
      <c r="L6096" s="13" t="str">
        <f t="shared" si="930"/>
        <v/>
      </c>
      <c r="M6096" s="13" t="str">
        <f t="shared" si="931"/>
        <v/>
      </c>
      <c r="Q6096" t="str">
        <f t="shared" si="932"/>
        <v/>
      </c>
      <c r="R6096" t="str">
        <f t="shared" si="933"/>
        <v/>
      </c>
      <c r="S6096" t="str">
        <f t="shared" si="934"/>
        <v/>
      </c>
      <c r="T6096" t="str">
        <f t="shared" si="935"/>
        <v/>
      </c>
      <c r="U6096" t="str">
        <f t="shared" si="936"/>
        <v/>
      </c>
      <c r="V6096" t="str">
        <f t="shared" si="937"/>
        <v/>
      </c>
      <c r="W6096" t="str">
        <f t="shared" si="946"/>
        <v/>
      </c>
      <c r="X6096">
        <f t="shared" si="944"/>
        <v>0</v>
      </c>
      <c r="Z6096" t="str">
        <f t="shared" si="947"/>
        <v/>
      </c>
      <c r="AA6096">
        <f t="shared" si="945"/>
        <v>0</v>
      </c>
    </row>
    <row r="6097" spans="1:27" ht="21" customHeight="1" x14ac:dyDescent="0.95">
      <c r="A6097" s="56"/>
      <c r="B6097" s="57"/>
      <c r="C6097" s="57"/>
      <c r="D6097" s="57"/>
      <c r="E6097" s="56"/>
      <c r="F6097" s="57"/>
      <c r="G6097" s="57"/>
      <c r="H6097" s="56"/>
      <c r="I6097" s="56"/>
      <c r="J6097" s="58"/>
      <c r="K6097" s="58"/>
      <c r="L6097" s="13" t="str">
        <f t="shared" si="930"/>
        <v/>
      </c>
      <c r="M6097" s="13" t="str">
        <f t="shared" si="931"/>
        <v/>
      </c>
      <c r="Q6097" t="str">
        <f t="shared" si="932"/>
        <v/>
      </c>
      <c r="R6097" t="str">
        <f t="shared" si="933"/>
        <v/>
      </c>
      <c r="S6097" t="str">
        <f t="shared" si="934"/>
        <v/>
      </c>
      <c r="T6097" t="str">
        <f t="shared" si="935"/>
        <v/>
      </c>
      <c r="U6097" t="str">
        <f t="shared" si="936"/>
        <v/>
      </c>
      <c r="V6097" t="str">
        <f t="shared" si="937"/>
        <v/>
      </c>
      <c r="W6097" t="str">
        <f t="shared" si="946"/>
        <v/>
      </c>
      <c r="X6097">
        <f t="shared" si="944"/>
        <v>0</v>
      </c>
      <c r="Z6097" t="str">
        <f t="shared" si="947"/>
        <v/>
      </c>
      <c r="AA6097">
        <f t="shared" si="945"/>
        <v>0</v>
      </c>
    </row>
    <row r="6098" spans="1:27" ht="21" customHeight="1" x14ac:dyDescent="0.95">
      <c r="A6098" s="56"/>
      <c r="B6098" s="57"/>
      <c r="C6098" s="57"/>
      <c r="D6098" s="57"/>
      <c r="E6098" s="56"/>
      <c r="F6098" s="57"/>
      <c r="G6098" s="57"/>
      <c r="H6098" s="56"/>
      <c r="I6098" s="56"/>
      <c r="J6098" s="58"/>
      <c r="K6098" s="58"/>
      <c r="L6098" s="13" t="str">
        <f t="shared" si="930"/>
        <v/>
      </c>
      <c r="M6098" s="13" t="str">
        <f t="shared" si="931"/>
        <v/>
      </c>
      <c r="Q6098" t="str">
        <f t="shared" si="932"/>
        <v/>
      </c>
      <c r="R6098" t="str">
        <f t="shared" si="933"/>
        <v/>
      </c>
      <c r="S6098" t="str">
        <f t="shared" si="934"/>
        <v/>
      </c>
      <c r="T6098" t="str">
        <f t="shared" si="935"/>
        <v/>
      </c>
      <c r="U6098" t="str">
        <f t="shared" si="936"/>
        <v/>
      </c>
      <c r="V6098" t="str">
        <f t="shared" si="937"/>
        <v/>
      </c>
      <c r="W6098" t="str">
        <f t="shared" si="946"/>
        <v/>
      </c>
      <c r="X6098">
        <f t="shared" si="944"/>
        <v>0</v>
      </c>
      <c r="Z6098" t="str">
        <f t="shared" si="947"/>
        <v/>
      </c>
      <c r="AA6098">
        <f t="shared" si="945"/>
        <v>0</v>
      </c>
    </row>
    <row r="6099" spans="1:27" ht="21" customHeight="1" x14ac:dyDescent="0.95">
      <c r="A6099" s="56"/>
      <c r="B6099" s="57"/>
      <c r="C6099" s="57"/>
      <c r="D6099" s="57"/>
      <c r="E6099" s="56"/>
      <c r="F6099" s="57"/>
      <c r="G6099" s="57"/>
      <c r="H6099" s="56"/>
      <c r="I6099" s="56"/>
      <c r="J6099" s="58"/>
      <c r="K6099" s="58"/>
      <c r="L6099" s="13" t="str">
        <f t="shared" si="930"/>
        <v/>
      </c>
      <c r="M6099" s="13" t="str">
        <f t="shared" si="931"/>
        <v/>
      </c>
      <c r="Q6099" t="str">
        <f t="shared" si="932"/>
        <v/>
      </c>
      <c r="R6099" t="str">
        <f t="shared" si="933"/>
        <v/>
      </c>
      <c r="S6099" t="str">
        <f t="shared" si="934"/>
        <v/>
      </c>
      <c r="T6099" t="str">
        <f t="shared" si="935"/>
        <v/>
      </c>
      <c r="U6099" t="str">
        <f t="shared" si="936"/>
        <v/>
      </c>
      <c r="V6099" t="str">
        <f t="shared" si="937"/>
        <v/>
      </c>
      <c r="W6099" t="str">
        <f t="shared" si="946"/>
        <v/>
      </c>
      <c r="X6099">
        <f t="shared" si="944"/>
        <v>0</v>
      </c>
      <c r="Z6099" t="str">
        <f t="shared" si="947"/>
        <v/>
      </c>
      <c r="AA6099">
        <f t="shared" si="945"/>
        <v>0</v>
      </c>
    </row>
    <row r="6100" spans="1:27" ht="21" customHeight="1" x14ac:dyDescent="0.95">
      <c r="A6100" s="56"/>
      <c r="B6100" s="57"/>
      <c r="C6100" s="57"/>
      <c r="D6100" s="57"/>
      <c r="E6100" s="56"/>
      <c r="F6100" s="57"/>
      <c r="G6100" s="57"/>
      <c r="H6100" s="56"/>
      <c r="I6100" s="56"/>
      <c r="J6100" s="58"/>
      <c r="K6100" s="58"/>
      <c r="L6100" s="13" t="str">
        <f t="shared" si="930"/>
        <v/>
      </c>
      <c r="M6100" s="13" t="str">
        <f t="shared" si="931"/>
        <v/>
      </c>
      <c r="Q6100" t="str">
        <f t="shared" si="932"/>
        <v/>
      </c>
      <c r="R6100" t="str">
        <f t="shared" si="933"/>
        <v/>
      </c>
      <c r="S6100" t="str">
        <f t="shared" si="934"/>
        <v/>
      </c>
      <c r="T6100" t="str">
        <f t="shared" si="935"/>
        <v/>
      </c>
      <c r="U6100" t="str">
        <f t="shared" si="936"/>
        <v/>
      </c>
      <c r="V6100" t="str">
        <f t="shared" si="937"/>
        <v/>
      </c>
      <c r="W6100" t="str">
        <f t="shared" si="946"/>
        <v/>
      </c>
      <c r="X6100">
        <f t="shared" si="944"/>
        <v>0</v>
      </c>
      <c r="Z6100" t="str">
        <f t="shared" si="947"/>
        <v/>
      </c>
      <c r="AA6100">
        <f t="shared" si="945"/>
        <v>0</v>
      </c>
    </row>
    <row r="6101" spans="1:27" ht="21" customHeight="1" x14ac:dyDescent="0.95">
      <c r="A6101" s="56"/>
      <c r="B6101" s="57"/>
      <c r="C6101" s="57"/>
      <c r="D6101" s="57"/>
      <c r="E6101" s="56"/>
      <c r="F6101" s="57"/>
      <c r="G6101" s="57"/>
      <c r="H6101" s="56"/>
      <c r="I6101" s="56"/>
      <c r="J6101" s="58"/>
      <c r="K6101" s="58"/>
      <c r="L6101" s="13" t="str">
        <f t="shared" si="930"/>
        <v/>
      </c>
      <c r="M6101" s="13" t="str">
        <f t="shared" si="931"/>
        <v/>
      </c>
      <c r="Q6101" t="str">
        <f t="shared" si="932"/>
        <v/>
      </c>
      <c r="R6101" t="str">
        <f t="shared" si="933"/>
        <v/>
      </c>
      <c r="S6101" t="str">
        <f t="shared" si="934"/>
        <v/>
      </c>
      <c r="T6101" t="str">
        <f t="shared" si="935"/>
        <v/>
      </c>
      <c r="U6101" t="str">
        <f t="shared" si="936"/>
        <v/>
      </c>
      <c r="V6101" t="str">
        <f t="shared" si="937"/>
        <v/>
      </c>
      <c r="W6101" t="str">
        <f t="shared" si="946"/>
        <v/>
      </c>
      <c r="X6101">
        <f t="shared" si="944"/>
        <v>0</v>
      </c>
      <c r="Z6101" t="str">
        <f t="shared" si="947"/>
        <v/>
      </c>
      <c r="AA6101">
        <f t="shared" si="945"/>
        <v>0</v>
      </c>
    </row>
    <row r="6102" spans="1:27" ht="21" customHeight="1" x14ac:dyDescent="0.95">
      <c r="A6102" s="56"/>
      <c r="B6102" s="57"/>
      <c r="C6102" s="57"/>
      <c r="D6102" s="57"/>
      <c r="E6102" s="56"/>
      <c r="F6102" s="57"/>
      <c r="G6102" s="57"/>
      <c r="H6102" s="56"/>
      <c r="I6102" s="56"/>
      <c r="J6102" s="58"/>
      <c r="K6102" s="58"/>
      <c r="L6102" s="13" t="str">
        <f t="shared" si="930"/>
        <v/>
      </c>
      <c r="M6102" s="13" t="str">
        <f t="shared" si="931"/>
        <v/>
      </c>
      <c r="Q6102" t="str">
        <f t="shared" si="932"/>
        <v/>
      </c>
      <c r="R6102" t="str">
        <f t="shared" si="933"/>
        <v/>
      </c>
      <c r="S6102" t="str">
        <f t="shared" si="934"/>
        <v/>
      </c>
      <c r="T6102" t="str">
        <f t="shared" si="935"/>
        <v/>
      </c>
      <c r="U6102" t="str">
        <f t="shared" si="936"/>
        <v/>
      </c>
      <c r="V6102" t="str">
        <f t="shared" si="937"/>
        <v/>
      </c>
      <c r="W6102" t="str">
        <f t="shared" si="946"/>
        <v/>
      </c>
      <c r="X6102">
        <f t="shared" si="944"/>
        <v>0</v>
      </c>
      <c r="Z6102" t="str">
        <f t="shared" si="947"/>
        <v/>
      </c>
      <c r="AA6102">
        <f t="shared" si="945"/>
        <v>0</v>
      </c>
    </row>
    <row r="6103" spans="1:27" ht="21" customHeight="1" x14ac:dyDescent="0.95">
      <c r="A6103" s="56"/>
      <c r="B6103" s="57"/>
      <c r="C6103" s="57"/>
      <c r="D6103" s="57"/>
      <c r="E6103" s="56"/>
      <c r="F6103" s="57"/>
      <c r="G6103" s="57"/>
      <c r="H6103" s="56"/>
      <c r="I6103" s="56"/>
      <c r="J6103" s="58"/>
      <c r="K6103" s="58"/>
      <c r="L6103" s="13" t="str">
        <f t="shared" si="930"/>
        <v/>
      </c>
      <c r="M6103" s="13" t="str">
        <f t="shared" si="931"/>
        <v/>
      </c>
      <c r="Q6103" t="str">
        <f t="shared" si="932"/>
        <v/>
      </c>
      <c r="R6103" t="str">
        <f t="shared" si="933"/>
        <v/>
      </c>
      <c r="S6103" t="str">
        <f t="shared" si="934"/>
        <v/>
      </c>
      <c r="T6103" t="str">
        <f t="shared" si="935"/>
        <v/>
      </c>
      <c r="U6103" t="str">
        <f t="shared" si="936"/>
        <v/>
      </c>
      <c r="V6103" t="str">
        <f t="shared" si="937"/>
        <v/>
      </c>
      <c r="W6103" t="str">
        <f t="shared" si="946"/>
        <v/>
      </c>
      <c r="X6103">
        <f t="shared" si="944"/>
        <v>0</v>
      </c>
      <c r="Z6103" t="str">
        <f t="shared" si="947"/>
        <v/>
      </c>
      <c r="AA6103">
        <f t="shared" si="945"/>
        <v>0</v>
      </c>
    </row>
    <row r="6104" spans="1:27" ht="21" customHeight="1" x14ac:dyDescent="0.95">
      <c r="A6104" s="56"/>
      <c r="B6104" s="57"/>
      <c r="C6104" s="57"/>
      <c r="D6104" s="57"/>
      <c r="E6104" s="56"/>
      <c r="F6104" s="57"/>
      <c r="G6104" s="57"/>
      <c r="H6104" s="56"/>
      <c r="I6104" s="56"/>
      <c r="J6104" s="58"/>
      <c r="K6104" s="58"/>
      <c r="L6104" s="13" t="str">
        <f t="shared" si="930"/>
        <v/>
      </c>
      <c r="M6104" s="13" t="str">
        <f t="shared" si="931"/>
        <v/>
      </c>
      <c r="Q6104" t="str">
        <f t="shared" si="932"/>
        <v/>
      </c>
      <c r="R6104" t="str">
        <f t="shared" si="933"/>
        <v/>
      </c>
      <c r="S6104" t="str">
        <f t="shared" si="934"/>
        <v/>
      </c>
      <c r="T6104" t="str">
        <f t="shared" si="935"/>
        <v/>
      </c>
      <c r="U6104" t="str">
        <f t="shared" si="936"/>
        <v/>
      </c>
      <c r="V6104" t="str">
        <f t="shared" si="937"/>
        <v/>
      </c>
      <c r="W6104" t="str">
        <f t="shared" si="946"/>
        <v/>
      </c>
      <c r="X6104">
        <f t="shared" si="944"/>
        <v>0</v>
      </c>
      <c r="Z6104" t="str">
        <f t="shared" si="947"/>
        <v/>
      </c>
      <c r="AA6104">
        <f t="shared" si="945"/>
        <v>0</v>
      </c>
    </row>
    <row r="6105" spans="1:27" ht="21" customHeight="1" x14ac:dyDescent="0.95">
      <c r="A6105" s="56"/>
      <c r="B6105" s="57"/>
      <c r="C6105" s="57"/>
      <c r="D6105" s="57"/>
      <c r="E6105" s="56"/>
      <c r="F6105" s="57"/>
      <c r="G6105" s="57"/>
      <c r="H6105" s="56"/>
      <c r="I6105" s="56"/>
      <c r="J6105" s="58"/>
      <c r="K6105" s="58"/>
      <c r="L6105" s="13" t="str">
        <f t="shared" si="930"/>
        <v/>
      </c>
      <c r="M6105" s="13" t="str">
        <f t="shared" si="931"/>
        <v/>
      </c>
      <c r="Q6105" t="str">
        <f t="shared" si="932"/>
        <v/>
      </c>
      <c r="R6105" t="str">
        <f t="shared" si="933"/>
        <v/>
      </c>
      <c r="S6105" t="str">
        <f t="shared" si="934"/>
        <v/>
      </c>
      <c r="T6105" t="str">
        <f t="shared" si="935"/>
        <v/>
      </c>
      <c r="U6105" t="str">
        <f t="shared" si="936"/>
        <v/>
      </c>
      <c r="V6105" t="str">
        <f t="shared" si="937"/>
        <v/>
      </c>
      <c r="W6105" t="str">
        <f t="shared" si="946"/>
        <v/>
      </c>
      <c r="X6105">
        <f t="shared" si="944"/>
        <v>0</v>
      </c>
      <c r="Z6105" t="str">
        <f t="shared" si="947"/>
        <v/>
      </c>
      <c r="AA6105">
        <f t="shared" si="945"/>
        <v>0</v>
      </c>
    </row>
    <row r="6106" spans="1:27" ht="21" customHeight="1" x14ac:dyDescent="0.95">
      <c r="A6106" s="56"/>
      <c r="B6106" s="57"/>
      <c r="C6106" s="57"/>
      <c r="D6106" s="57"/>
      <c r="E6106" s="56"/>
      <c r="F6106" s="57"/>
      <c r="G6106" s="57"/>
      <c r="H6106" s="56"/>
      <c r="I6106" s="56"/>
      <c r="J6106" s="58"/>
      <c r="K6106" s="58"/>
      <c r="L6106" s="13" t="str">
        <f t="shared" si="930"/>
        <v/>
      </c>
      <c r="M6106" s="13" t="str">
        <f t="shared" si="931"/>
        <v/>
      </c>
      <c r="Q6106" t="str">
        <f t="shared" si="932"/>
        <v/>
      </c>
      <c r="R6106" t="str">
        <f t="shared" si="933"/>
        <v/>
      </c>
      <c r="S6106" t="str">
        <f t="shared" si="934"/>
        <v/>
      </c>
      <c r="T6106" t="str">
        <f t="shared" si="935"/>
        <v/>
      </c>
      <c r="U6106" t="str">
        <f t="shared" si="936"/>
        <v/>
      </c>
      <c r="V6106" t="str">
        <f t="shared" si="937"/>
        <v/>
      </c>
      <c r="W6106" t="str">
        <f t="shared" si="946"/>
        <v/>
      </c>
      <c r="X6106">
        <f t="shared" si="944"/>
        <v>0</v>
      </c>
      <c r="Z6106" t="str">
        <f t="shared" si="947"/>
        <v/>
      </c>
      <c r="AA6106">
        <f t="shared" si="945"/>
        <v>0</v>
      </c>
    </row>
    <row r="6107" spans="1:27" ht="21" customHeight="1" x14ac:dyDescent="0.95">
      <c r="A6107" s="56"/>
      <c r="B6107" s="57"/>
      <c r="C6107" s="57"/>
      <c r="D6107" s="57"/>
      <c r="E6107" s="56"/>
      <c r="F6107" s="57"/>
      <c r="G6107" s="57"/>
      <c r="H6107" s="56"/>
      <c r="I6107" s="56"/>
      <c r="J6107" s="58"/>
      <c r="K6107" s="58"/>
      <c r="L6107" s="13" t="str">
        <f t="shared" si="930"/>
        <v/>
      </c>
      <c r="M6107" s="13" t="str">
        <f t="shared" si="931"/>
        <v/>
      </c>
      <c r="Q6107" t="str">
        <f t="shared" si="932"/>
        <v/>
      </c>
      <c r="R6107" t="str">
        <f t="shared" si="933"/>
        <v/>
      </c>
      <c r="S6107" t="str">
        <f t="shared" si="934"/>
        <v/>
      </c>
      <c r="T6107" t="str">
        <f t="shared" si="935"/>
        <v/>
      </c>
      <c r="U6107" t="str">
        <f t="shared" si="936"/>
        <v/>
      </c>
      <c r="V6107" t="str">
        <f t="shared" si="937"/>
        <v/>
      </c>
      <c r="W6107" t="str">
        <f t="shared" si="946"/>
        <v/>
      </c>
      <c r="X6107">
        <f t="shared" si="944"/>
        <v>0</v>
      </c>
      <c r="Z6107" t="str">
        <f t="shared" si="947"/>
        <v/>
      </c>
      <c r="AA6107">
        <f t="shared" si="945"/>
        <v>0</v>
      </c>
    </row>
    <row r="6108" spans="1:27" ht="21" customHeight="1" x14ac:dyDescent="0.95">
      <c r="A6108" s="56"/>
      <c r="B6108" s="57"/>
      <c r="C6108" s="57"/>
      <c r="D6108" s="57"/>
      <c r="E6108" s="56"/>
      <c r="F6108" s="57"/>
      <c r="G6108" s="57"/>
      <c r="H6108" s="56"/>
      <c r="I6108" s="56"/>
      <c r="J6108" s="58"/>
      <c r="K6108" s="58"/>
      <c r="L6108" s="13" t="str">
        <f t="shared" si="930"/>
        <v/>
      </c>
      <c r="M6108" s="13" t="str">
        <f t="shared" si="931"/>
        <v/>
      </c>
      <c r="Q6108" t="str">
        <f t="shared" si="932"/>
        <v/>
      </c>
      <c r="R6108" t="str">
        <f t="shared" si="933"/>
        <v/>
      </c>
      <c r="S6108" t="str">
        <f t="shared" si="934"/>
        <v/>
      </c>
      <c r="T6108" t="str">
        <f t="shared" si="935"/>
        <v/>
      </c>
      <c r="U6108" t="str">
        <f t="shared" si="936"/>
        <v/>
      </c>
      <c r="V6108" t="str">
        <f t="shared" si="937"/>
        <v/>
      </c>
      <c r="W6108" t="str">
        <f t="shared" si="946"/>
        <v/>
      </c>
      <c r="X6108">
        <f t="shared" si="944"/>
        <v>0</v>
      </c>
      <c r="Z6108" t="str">
        <f t="shared" si="947"/>
        <v/>
      </c>
      <c r="AA6108">
        <f t="shared" si="945"/>
        <v>0</v>
      </c>
    </row>
    <row r="6109" spans="1:27" ht="21" customHeight="1" x14ac:dyDescent="0.95">
      <c r="A6109" s="56"/>
      <c r="B6109" s="57"/>
      <c r="C6109" s="57"/>
      <c r="D6109" s="57"/>
      <c r="E6109" s="56"/>
      <c r="F6109" s="57"/>
      <c r="G6109" s="57"/>
      <c r="H6109" s="56"/>
      <c r="I6109" s="56"/>
      <c r="J6109" s="58"/>
      <c r="K6109" s="58"/>
      <c r="L6109" s="13" t="str">
        <f t="shared" si="930"/>
        <v/>
      </c>
      <c r="M6109" s="13" t="str">
        <f t="shared" si="931"/>
        <v/>
      </c>
      <c r="Q6109" t="str">
        <f t="shared" si="932"/>
        <v/>
      </c>
      <c r="R6109" t="str">
        <f t="shared" si="933"/>
        <v/>
      </c>
      <c r="S6109" t="str">
        <f t="shared" si="934"/>
        <v/>
      </c>
      <c r="T6109" t="str">
        <f t="shared" si="935"/>
        <v/>
      </c>
      <c r="U6109" t="str">
        <f t="shared" si="936"/>
        <v/>
      </c>
      <c r="V6109" t="str">
        <f t="shared" si="937"/>
        <v/>
      </c>
      <c r="W6109" t="str">
        <f t="shared" si="946"/>
        <v/>
      </c>
      <c r="X6109">
        <f t="shared" si="944"/>
        <v>0</v>
      </c>
      <c r="Z6109" t="str">
        <f t="shared" si="947"/>
        <v/>
      </c>
      <c r="AA6109">
        <f t="shared" si="945"/>
        <v>0</v>
      </c>
    </row>
    <row r="6110" spans="1:27" ht="21" customHeight="1" x14ac:dyDescent="0.95">
      <c r="A6110" s="56"/>
      <c r="B6110" s="57"/>
      <c r="C6110" s="57"/>
      <c r="D6110" s="57"/>
      <c r="E6110" s="56"/>
      <c r="F6110" s="57"/>
      <c r="G6110" s="57"/>
      <c r="H6110" s="56"/>
      <c r="I6110" s="56"/>
      <c r="J6110" s="58"/>
      <c r="K6110" s="58"/>
      <c r="L6110" s="13" t="str">
        <f t="shared" si="930"/>
        <v/>
      </c>
      <c r="M6110" s="13" t="str">
        <f t="shared" si="931"/>
        <v/>
      </c>
      <c r="Q6110" t="str">
        <f t="shared" si="932"/>
        <v/>
      </c>
      <c r="R6110" t="str">
        <f t="shared" si="933"/>
        <v/>
      </c>
      <c r="S6110" t="str">
        <f t="shared" si="934"/>
        <v/>
      </c>
      <c r="T6110" t="str">
        <f t="shared" si="935"/>
        <v/>
      </c>
      <c r="U6110" t="str">
        <f t="shared" si="936"/>
        <v/>
      </c>
      <c r="V6110" t="str">
        <f t="shared" si="937"/>
        <v/>
      </c>
      <c r="W6110" t="str">
        <f t="shared" si="946"/>
        <v/>
      </c>
      <c r="X6110">
        <f t="shared" si="944"/>
        <v>0</v>
      </c>
      <c r="Z6110" t="str">
        <f t="shared" si="947"/>
        <v/>
      </c>
      <c r="AA6110">
        <f t="shared" si="945"/>
        <v>0</v>
      </c>
    </row>
    <row r="6111" spans="1:27" ht="21" customHeight="1" x14ac:dyDescent="0.95">
      <c r="A6111" s="56"/>
      <c r="B6111" s="57"/>
      <c r="C6111" s="57"/>
      <c r="D6111" s="57"/>
      <c r="E6111" s="56"/>
      <c r="F6111" s="57"/>
      <c r="G6111" s="57"/>
      <c r="H6111" s="56"/>
      <c r="I6111" s="56"/>
      <c r="J6111" s="58"/>
      <c r="K6111" s="58"/>
      <c r="L6111" s="13" t="str">
        <f t="shared" si="930"/>
        <v/>
      </c>
      <c r="M6111" s="13" t="str">
        <f t="shared" si="931"/>
        <v/>
      </c>
      <c r="Q6111" t="str">
        <f t="shared" si="932"/>
        <v/>
      </c>
      <c r="R6111" t="str">
        <f t="shared" si="933"/>
        <v/>
      </c>
      <c r="S6111" t="str">
        <f t="shared" si="934"/>
        <v/>
      </c>
      <c r="T6111" t="str">
        <f t="shared" si="935"/>
        <v/>
      </c>
      <c r="U6111" t="str">
        <f t="shared" si="936"/>
        <v/>
      </c>
      <c r="V6111" t="str">
        <f t="shared" si="937"/>
        <v/>
      </c>
      <c r="W6111" t="str">
        <f t="shared" si="946"/>
        <v/>
      </c>
      <c r="X6111">
        <f t="shared" si="944"/>
        <v>0</v>
      </c>
      <c r="Z6111" t="str">
        <f t="shared" si="947"/>
        <v/>
      </c>
      <c r="AA6111">
        <f t="shared" si="945"/>
        <v>0</v>
      </c>
    </row>
    <row r="6112" spans="1:27" ht="21" customHeight="1" x14ac:dyDescent="0.95">
      <c r="A6112" s="56"/>
      <c r="B6112" s="57"/>
      <c r="C6112" s="57"/>
      <c r="D6112" s="57"/>
      <c r="E6112" s="56"/>
      <c r="F6112" s="57"/>
      <c r="G6112" s="57"/>
      <c r="H6112" s="56"/>
      <c r="I6112" s="56"/>
      <c r="J6112" s="58"/>
      <c r="K6112" s="58"/>
      <c r="L6112" s="13" t="str">
        <f t="shared" si="930"/>
        <v/>
      </c>
      <c r="M6112" s="13" t="str">
        <f t="shared" si="931"/>
        <v/>
      </c>
      <c r="Q6112" t="str">
        <f t="shared" si="932"/>
        <v/>
      </c>
      <c r="R6112" t="str">
        <f t="shared" si="933"/>
        <v/>
      </c>
      <c r="S6112" t="str">
        <f t="shared" si="934"/>
        <v/>
      </c>
      <c r="T6112" t="str">
        <f t="shared" si="935"/>
        <v/>
      </c>
      <c r="U6112" t="str">
        <f t="shared" si="936"/>
        <v/>
      </c>
      <c r="V6112" t="str">
        <f t="shared" si="937"/>
        <v/>
      </c>
      <c r="W6112" t="str">
        <f t="shared" si="946"/>
        <v/>
      </c>
      <c r="X6112">
        <f t="shared" si="944"/>
        <v>0</v>
      </c>
      <c r="Z6112" t="str">
        <f t="shared" si="947"/>
        <v/>
      </c>
      <c r="AA6112">
        <f t="shared" si="945"/>
        <v>0</v>
      </c>
    </row>
    <row r="6113" spans="1:27" ht="21" customHeight="1" x14ac:dyDescent="0.95">
      <c r="A6113" s="56"/>
      <c r="B6113" s="57"/>
      <c r="C6113" s="57"/>
      <c r="D6113" s="57"/>
      <c r="E6113" s="56"/>
      <c r="F6113" s="57"/>
      <c r="G6113" s="57"/>
      <c r="H6113" s="56"/>
      <c r="I6113" s="56"/>
      <c r="J6113" s="58"/>
      <c r="K6113" s="58"/>
      <c r="L6113" s="13" t="str">
        <f t="shared" si="930"/>
        <v/>
      </c>
      <c r="M6113" s="13" t="str">
        <f t="shared" si="931"/>
        <v/>
      </c>
      <c r="Q6113" t="str">
        <f t="shared" si="932"/>
        <v/>
      </c>
      <c r="R6113" t="str">
        <f t="shared" si="933"/>
        <v/>
      </c>
      <c r="S6113" t="str">
        <f t="shared" si="934"/>
        <v/>
      </c>
      <c r="T6113" t="str">
        <f t="shared" si="935"/>
        <v/>
      </c>
      <c r="U6113" t="str">
        <f t="shared" si="936"/>
        <v/>
      </c>
      <c r="V6113" t="str">
        <f t="shared" si="937"/>
        <v/>
      </c>
      <c r="W6113" t="str">
        <f t="shared" si="946"/>
        <v/>
      </c>
      <c r="X6113">
        <f t="shared" si="944"/>
        <v>0</v>
      </c>
      <c r="Z6113" t="str">
        <f t="shared" si="947"/>
        <v/>
      </c>
      <c r="AA6113">
        <f t="shared" si="945"/>
        <v>0</v>
      </c>
    </row>
    <row r="6114" spans="1:27" ht="21" customHeight="1" x14ac:dyDescent="0.95">
      <c r="A6114" s="56"/>
      <c r="B6114" s="57"/>
      <c r="C6114" s="57"/>
      <c r="D6114" s="57"/>
      <c r="E6114" s="56"/>
      <c r="F6114" s="57"/>
      <c r="G6114" s="57"/>
      <c r="H6114" s="56"/>
      <c r="I6114" s="56"/>
      <c r="J6114" s="58"/>
      <c r="K6114" s="58"/>
      <c r="L6114" s="13" t="str">
        <f t="shared" si="930"/>
        <v/>
      </c>
      <c r="M6114" s="13" t="str">
        <f t="shared" si="931"/>
        <v/>
      </c>
      <c r="Q6114" t="str">
        <f t="shared" si="932"/>
        <v/>
      </c>
      <c r="R6114" t="str">
        <f t="shared" si="933"/>
        <v/>
      </c>
      <c r="S6114" t="str">
        <f t="shared" si="934"/>
        <v/>
      </c>
      <c r="T6114" t="str">
        <f t="shared" si="935"/>
        <v/>
      </c>
      <c r="U6114" t="str">
        <f t="shared" si="936"/>
        <v/>
      </c>
      <c r="V6114" t="str">
        <f t="shared" si="937"/>
        <v/>
      </c>
      <c r="W6114" t="str">
        <f t="shared" si="946"/>
        <v/>
      </c>
      <c r="X6114">
        <f t="shared" si="944"/>
        <v>0</v>
      </c>
      <c r="Z6114" t="str">
        <f t="shared" si="947"/>
        <v/>
      </c>
      <c r="AA6114">
        <f t="shared" si="945"/>
        <v>0</v>
      </c>
    </row>
    <row r="6115" spans="1:27" ht="21" customHeight="1" x14ac:dyDescent="0.95">
      <c r="A6115" s="56"/>
      <c r="B6115" s="57"/>
      <c r="C6115" s="57"/>
      <c r="D6115" s="57"/>
      <c r="E6115" s="56"/>
      <c r="F6115" s="57"/>
      <c r="G6115" s="57"/>
      <c r="H6115" s="56"/>
      <c r="I6115" s="56"/>
      <c r="J6115" s="58"/>
      <c r="K6115" s="58"/>
      <c r="L6115" s="13" t="str">
        <f t="shared" si="930"/>
        <v/>
      </c>
      <c r="M6115" s="13" t="str">
        <f t="shared" si="931"/>
        <v/>
      </c>
      <c r="Q6115" t="str">
        <f t="shared" si="932"/>
        <v/>
      </c>
      <c r="R6115" t="str">
        <f t="shared" si="933"/>
        <v/>
      </c>
      <c r="S6115" t="str">
        <f t="shared" si="934"/>
        <v/>
      </c>
      <c r="T6115" t="str">
        <f t="shared" si="935"/>
        <v/>
      </c>
      <c r="U6115" t="str">
        <f t="shared" si="936"/>
        <v/>
      </c>
      <c r="V6115" t="str">
        <f t="shared" si="937"/>
        <v/>
      </c>
      <c r="W6115" t="str">
        <f t="shared" si="946"/>
        <v/>
      </c>
      <c r="X6115">
        <f t="shared" si="944"/>
        <v>0</v>
      </c>
      <c r="Z6115" t="str">
        <f t="shared" si="947"/>
        <v/>
      </c>
      <c r="AA6115">
        <f t="shared" si="945"/>
        <v>0</v>
      </c>
    </row>
    <row r="6116" spans="1:27" ht="21" customHeight="1" x14ac:dyDescent="0.95">
      <c r="A6116" s="56"/>
      <c r="B6116" s="57"/>
      <c r="C6116" s="57"/>
      <c r="D6116" s="57"/>
      <c r="E6116" s="56"/>
      <c r="F6116" s="57"/>
      <c r="G6116" s="57"/>
      <c r="H6116" s="56"/>
      <c r="I6116" s="56"/>
      <c r="J6116" s="58"/>
      <c r="K6116" s="58"/>
      <c r="L6116" s="13" t="str">
        <f t="shared" si="930"/>
        <v/>
      </c>
      <c r="M6116" s="13" t="str">
        <f t="shared" si="931"/>
        <v/>
      </c>
      <c r="Q6116" t="str">
        <f t="shared" si="932"/>
        <v/>
      </c>
      <c r="R6116" t="str">
        <f t="shared" si="933"/>
        <v/>
      </c>
      <c r="S6116" t="str">
        <f t="shared" si="934"/>
        <v/>
      </c>
      <c r="T6116" t="str">
        <f t="shared" si="935"/>
        <v/>
      </c>
      <c r="U6116" t="str">
        <f t="shared" si="936"/>
        <v/>
      </c>
      <c r="V6116" t="str">
        <f t="shared" si="937"/>
        <v/>
      </c>
      <c r="W6116" t="str">
        <f t="shared" si="946"/>
        <v/>
      </c>
      <c r="X6116">
        <f t="shared" si="944"/>
        <v>0</v>
      </c>
      <c r="Z6116" t="str">
        <f t="shared" si="947"/>
        <v/>
      </c>
      <c r="AA6116">
        <f t="shared" si="945"/>
        <v>0</v>
      </c>
    </row>
    <row r="6117" spans="1:27" ht="21" customHeight="1" x14ac:dyDescent="0.95">
      <c r="A6117" s="56"/>
      <c r="B6117" s="57"/>
      <c r="C6117" s="57"/>
      <c r="D6117" s="57"/>
      <c r="E6117" s="56"/>
      <c r="F6117" s="57"/>
      <c r="G6117" s="57"/>
      <c r="H6117" s="56"/>
      <c r="I6117" s="56"/>
      <c r="J6117" s="58"/>
      <c r="K6117" s="58"/>
      <c r="L6117" s="13" t="str">
        <f t="shared" si="930"/>
        <v/>
      </c>
      <c r="M6117" s="13" t="str">
        <f t="shared" si="931"/>
        <v/>
      </c>
      <c r="Q6117" t="str">
        <f t="shared" si="932"/>
        <v/>
      </c>
      <c r="R6117" t="str">
        <f t="shared" si="933"/>
        <v/>
      </c>
      <c r="S6117" t="str">
        <f t="shared" si="934"/>
        <v/>
      </c>
      <c r="T6117" t="str">
        <f t="shared" si="935"/>
        <v/>
      </c>
      <c r="U6117" t="str">
        <f t="shared" si="936"/>
        <v/>
      </c>
      <c r="V6117" t="str">
        <f t="shared" si="937"/>
        <v/>
      </c>
      <c r="W6117" t="str">
        <f t="shared" si="946"/>
        <v/>
      </c>
      <c r="X6117">
        <f t="shared" si="944"/>
        <v>0</v>
      </c>
      <c r="Z6117" t="str">
        <f t="shared" si="947"/>
        <v/>
      </c>
      <c r="AA6117">
        <f t="shared" si="945"/>
        <v>0</v>
      </c>
    </row>
    <row r="6118" spans="1:27" ht="21" customHeight="1" x14ac:dyDescent="0.95">
      <c r="A6118" s="56"/>
      <c r="B6118" s="57"/>
      <c r="C6118" s="57"/>
      <c r="D6118" s="57"/>
      <c r="E6118" s="56"/>
      <c r="F6118" s="57"/>
      <c r="G6118" s="57"/>
      <c r="H6118" s="56"/>
      <c r="I6118" s="56"/>
      <c r="J6118" s="58"/>
      <c r="K6118" s="58"/>
      <c r="L6118" s="13" t="str">
        <f t="shared" si="930"/>
        <v/>
      </c>
      <c r="M6118" s="13" t="str">
        <f t="shared" si="931"/>
        <v/>
      </c>
      <c r="Q6118" t="str">
        <f t="shared" si="932"/>
        <v/>
      </c>
      <c r="R6118" t="str">
        <f t="shared" si="933"/>
        <v/>
      </c>
      <c r="S6118" t="str">
        <f t="shared" si="934"/>
        <v/>
      </c>
      <c r="T6118" t="str">
        <f t="shared" si="935"/>
        <v/>
      </c>
      <c r="U6118" t="str">
        <f t="shared" si="936"/>
        <v/>
      </c>
      <c r="V6118" t="str">
        <f t="shared" si="937"/>
        <v/>
      </c>
      <c r="W6118" t="str">
        <f t="shared" si="946"/>
        <v/>
      </c>
      <c r="X6118">
        <f t="shared" si="944"/>
        <v>0</v>
      </c>
      <c r="Z6118" t="str">
        <f t="shared" si="947"/>
        <v/>
      </c>
      <c r="AA6118">
        <f t="shared" si="945"/>
        <v>0</v>
      </c>
    </row>
    <row r="6119" spans="1:27" ht="21" customHeight="1" x14ac:dyDescent="0.95">
      <c r="A6119" s="56"/>
      <c r="B6119" s="57"/>
      <c r="C6119" s="57"/>
      <c r="D6119" s="57"/>
      <c r="E6119" s="56"/>
      <c r="F6119" s="57"/>
      <c r="G6119" s="57"/>
      <c r="H6119" s="56"/>
      <c r="I6119" s="56"/>
      <c r="J6119" s="58"/>
      <c r="K6119" s="58"/>
      <c r="L6119" s="13" t="str">
        <f t="shared" si="930"/>
        <v/>
      </c>
      <c r="M6119" s="13" t="str">
        <f t="shared" si="931"/>
        <v/>
      </c>
      <c r="Q6119" t="str">
        <f t="shared" si="932"/>
        <v/>
      </c>
      <c r="R6119" t="str">
        <f t="shared" si="933"/>
        <v/>
      </c>
      <c r="S6119" t="str">
        <f t="shared" si="934"/>
        <v/>
      </c>
      <c r="T6119" t="str">
        <f t="shared" si="935"/>
        <v/>
      </c>
      <c r="U6119" t="str">
        <f t="shared" si="936"/>
        <v/>
      </c>
      <c r="V6119" t="str">
        <f t="shared" si="937"/>
        <v/>
      </c>
      <c r="W6119" t="str">
        <f t="shared" si="946"/>
        <v/>
      </c>
      <c r="X6119">
        <f t="shared" si="944"/>
        <v>0</v>
      </c>
      <c r="Z6119" t="str">
        <f t="shared" si="947"/>
        <v/>
      </c>
      <c r="AA6119">
        <f t="shared" si="945"/>
        <v>0</v>
      </c>
    </row>
    <row r="6120" spans="1:27" ht="21" customHeight="1" x14ac:dyDescent="0.95">
      <c r="A6120" s="56"/>
      <c r="B6120" s="57"/>
      <c r="C6120" s="57"/>
      <c r="D6120" s="57"/>
      <c r="E6120" s="56"/>
      <c r="F6120" s="57"/>
      <c r="G6120" s="57"/>
      <c r="H6120" s="56"/>
      <c r="I6120" s="56"/>
      <c r="J6120" s="58"/>
      <c r="K6120" s="58"/>
      <c r="L6120" s="13" t="str">
        <f t="shared" si="930"/>
        <v/>
      </c>
      <c r="M6120" s="13" t="str">
        <f t="shared" si="931"/>
        <v/>
      </c>
      <c r="Q6120" t="str">
        <f t="shared" si="932"/>
        <v/>
      </c>
      <c r="R6120" t="str">
        <f t="shared" si="933"/>
        <v/>
      </c>
      <c r="S6120" t="str">
        <f t="shared" si="934"/>
        <v/>
      </c>
      <c r="T6120" t="str">
        <f t="shared" si="935"/>
        <v/>
      </c>
      <c r="U6120" t="str">
        <f t="shared" si="936"/>
        <v/>
      </c>
      <c r="V6120" t="str">
        <f t="shared" si="937"/>
        <v/>
      </c>
      <c r="W6120" t="str">
        <f t="shared" si="946"/>
        <v/>
      </c>
      <c r="X6120">
        <f t="shared" si="944"/>
        <v>0</v>
      </c>
      <c r="Z6120" t="str">
        <f t="shared" si="947"/>
        <v/>
      </c>
      <c r="AA6120">
        <f t="shared" si="945"/>
        <v>0</v>
      </c>
    </row>
    <row r="6121" spans="1:27" ht="21" customHeight="1" x14ac:dyDescent="0.95">
      <c r="A6121" s="56"/>
      <c r="B6121" s="57"/>
      <c r="C6121" s="57"/>
      <c r="D6121" s="57"/>
      <c r="E6121" s="56"/>
      <c r="F6121" s="57"/>
      <c r="G6121" s="57"/>
      <c r="H6121" s="56"/>
      <c r="I6121" s="56"/>
      <c r="J6121" s="58"/>
      <c r="K6121" s="58"/>
      <c r="L6121" s="13" t="str">
        <f t="shared" si="930"/>
        <v/>
      </c>
      <c r="M6121" s="13" t="str">
        <f t="shared" si="931"/>
        <v/>
      </c>
      <c r="Q6121" t="str">
        <f t="shared" si="932"/>
        <v/>
      </c>
      <c r="R6121" t="str">
        <f t="shared" si="933"/>
        <v/>
      </c>
      <c r="S6121" t="str">
        <f t="shared" si="934"/>
        <v/>
      </c>
      <c r="T6121" t="str">
        <f t="shared" si="935"/>
        <v/>
      </c>
      <c r="U6121" t="str">
        <f t="shared" si="936"/>
        <v/>
      </c>
      <c r="V6121" t="str">
        <f t="shared" si="937"/>
        <v/>
      </c>
      <c r="W6121" t="str">
        <f t="shared" si="946"/>
        <v/>
      </c>
      <c r="X6121">
        <f t="shared" si="944"/>
        <v>0</v>
      </c>
      <c r="Z6121" t="str">
        <f t="shared" si="947"/>
        <v/>
      </c>
      <c r="AA6121">
        <f t="shared" si="945"/>
        <v>0</v>
      </c>
    </row>
    <row r="6122" spans="1:27" ht="21" customHeight="1" x14ac:dyDescent="0.95">
      <c r="A6122" s="56"/>
      <c r="B6122" s="57"/>
      <c r="C6122" s="57"/>
      <c r="D6122" s="57"/>
      <c r="E6122" s="56"/>
      <c r="F6122" s="57"/>
      <c r="G6122" s="57"/>
      <c r="H6122" s="56"/>
      <c r="I6122" s="56"/>
      <c r="J6122" s="58"/>
      <c r="K6122" s="58"/>
      <c r="L6122" s="13" t="str">
        <f t="shared" si="930"/>
        <v/>
      </c>
      <c r="M6122" s="13" t="str">
        <f t="shared" si="931"/>
        <v/>
      </c>
      <c r="Q6122" t="str">
        <f t="shared" si="932"/>
        <v/>
      </c>
      <c r="R6122" t="str">
        <f t="shared" si="933"/>
        <v/>
      </c>
      <c r="S6122" t="str">
        <f t="shared" si="934"/>
        <v/>
      </c>
      <c r="T6122" t="str">
        <f t="shared" si="935"/>
        <v/>
      </c>
      <c r="U6122" t="str">
        <f t="shared" si="936"/>
        <v/>
      </c>
      <c r="V6122" t="str">
        <f t="shared" si="937"/>
        <v/>
      </c>
      <c r="W6122" t="str">
        <f t="shared" si="946"/>
        <v/>
      </c>
      <c r="X6122">
        <f t="shared" si="944"/>
        <v>0</v>
      </c>
      <c r="Z6122" t="str">
        <f t="shared" si="947"/>
        <v/>
      </c>
      <c r="AA6122">
        <f t="shared" si="945"/>
        <v>0</v>
      </c>
    </row>
    <row r="6123" spans="1:27" ht="21" customHeight="1" x14ac:dyDescent="0.95">
      <c r="A6123" s="56"/>
      <c r="B6123" s="57"/>
      <c r="C6123" s="57"/>
      <c r="D6123" s="57"/>
      <c r="E6123" s="56"/>
      <c r="F6123" s="57"/>
      <c r="G6123" s="57"/>
      <c r="H6123" s="56"/>
      <c r="I6123" s="56"/>
      <c r="J6123" s="58"/>
      <c r="K6123" s="58"/>
      <c r="L6123" s="13" t="str">
        <f t="shared" si="930"/>
        <v/>
      </c>
      <c r="M6123" s="13" t="str">
        <f t="shared" si="931"/>
        <v/>
      </c>
      <c r="Q6123" t="str">
        <f t="shared" si="932"/>
        <v/>
      </c>
      <c r="R6123" t="str">
        <f t="shared" si="933"/>
        <v/>
      </c>
      <c r="S6123" t="str">
        <f t="shared" si="934"/>
        <v/>
      </c>
      <c r="T6123" t="str">
        <f t="shared" si="935"/>
        <v/>
      </c>
      <c r="U6123" t="str">
        <f t="shared" si="936"/>
        <v/>
      </c>
      <c r="V6123" t="str">
        <f t="shared" si="937"/>
        <v/>
      </c>
      <c r="W6123" t="str">
        <f t="shared" si="946"/>
        <v/>
      </c>
      <c r="X6123">
        <f t="shared" si="944"/>
        <v>0</v>
      </c>
      <c r="Z6123" t="str">
        <f t="shared" si="947"/>
        <v/>
      </c>
      <c r="AA6123">
        <f t="shared" si="945"/>
        <v>0</v>
      </c>
    </row>
    <row r="6124" spans="1:27" ht="21" customHeight="1" x14ac:dyDescent="0.95">
      <c r="A6124" s="56"/>
      <c r="B6124" s="57"/>
      <c r="C6124" s="57"/>
      <c r="D6124" s="57"/>
      <c r="E6124" s="56"/>
      <c r="F6124" s="57"/>
      <c r="G6124" s="57"/>
      <c r="H6124" s="56"/>
      <c r="I6124" s="56"/>
      <c r="J6124" s="58"/>
      <c r="K6124" s="58"/>
      <c r="L6124" s="13" t="str">
        <f t="shared" si="930"/>
        <v/>
      </c>
      <c r="M6124" s="13" t="str">
        <f t="shared" si="931"/>
        <v/>
      </c>
      <c r="Q6124" t="str">
        <f t="shared" si="932"/>
        <v/>
      </c>
      <c r="R6124" t="str">
        <f t="shared" si="933"/>
        <v/>
      </c>
      <c r="S6124" t="str">
        <f t="shared" si="934"/>
        <v/>
      </c>
      <c r="T6124" t="str">
        <f t="shared" si="935"/>
        <v/>
      </c>
      <c r="U6124" t="str">
        <f t="shared" si="936"/>
        <v/>
      </c>
      <c r="V6124" t="str">
        <f t="shared" si="937"/>
        <v/>
      </c>
      <c r="W6124" t="str">
        <f t="shared" si="946"/>
        <v/>
      </c>
      <c r="X6124">
        <f t="shared" si="944"/>
        <v>0</v>
      </c>
      <c r="Z6124" t="str">
        <f t="shared" si="947"/>
        <v/>
      </c>
      <c r="AA6124">
        <f t="shared" si="945"/>
        <v>0</v>
      </c>
    </row>
    <row r="6125" spans="1:27" ht="21" customHeight="1" x14ac:dyDescent="0.95">
      <c r="A6125" s="56"/>
      <c r="B6125" s="57"/>
      <c r="C6125" s="57"/>
      <c r="D6125" s="57"/>
      <c r="E6125" s="56"/>
      <c r="F6125" s="57"/>
      <c r="G6125" s="57"/>
      <c r="H6125" s="56"/>
      <c r="I6125" s="56"/>
      <c r="J6125" s="58"/>
      <c r="K6125" s="58"/>
      <c r="L6125" s="13" t="str">
        <f t="shared" si="930"/>
        <v/>
      </c>
      <c r="M6125" s="13" t="str">
        <f t="shared" si="931"/>
        <v/>
      </c>
      <c r="Q6125" t="str">
        <f t="shared" si="932"/>
        <v/>
      </c>
      <c r="R6125" t="str">
        <f t="shared" si="933"/>
        <v/>
      </c>
      <c r="S6125" t="str">
        <f t="shared" si="934"/>
        <v/>
      </c>
      <c r="T6125" t="str">
        <f t="shared" si="935"/>
        <v/>
      </c>
      <c r="U6125" t="str">
        <f t="shared" si="936"/>
        <v/>
      </c>
      <c r="V6125" t="str">
        <f t="shared" si="937"/>
        <v/>
      </c>
      <c r="W6125" t="str">
        <f t="shared" si="946"/>
        <v/>
      </c>
      <c r="X6125">
        <f t="shared" si="944"/>
        <v>0</v>
      </c>
      <c r="Z6125" t="str">
        <f t="shared" si="947"/>
        <v/>
      </c>
      <c r="AA6125">
        <f t="shared" si="945"/>
        <v>0</v>
      </c>
    </row>
    <row r="6126" spans="1:27" ht="21" customHeight="1" x14ac:dyDescent="0.95">
      <c r="A6126" s="56"/>
      <c r="B6126" s="57"/>
      <c r="C6126" s="57"/>
      <c r="D6126" s="57"/>
      <c r="E6126" s="56"/>
      <c r="F6126" s="57"/>
      <c r="G6126" s="57"/>
      <c r="H6126" s="56"/>
      <c r="I6126" s="56"/>
      <c r="J6126" s="58"/>
      <c r="K6126" s="58"/>
      <c r="L6126" s="13" t="str">
        <f t="shared" si="930"/>
        <v/>
      </c>
      <c r="M6126" s="13" t="str">
        <f t="shared" si="931"/>
        <v/>
      </c>
      <c r="Q6126" t="str">
        <f t="shared" si="932"/>
        <v/>
      </c>
      <c r="R6126" t="str">
        <f t="shared" si="933"/>
        <v/>
      </c>
      <c r="S6126" t="str">
        <f t="shared" si="934"/>
        <v/>
      </c>
      <c r="T6126" t="str">
        <f t="shared" si="935"/>
        <v/>
      </c>
      <c r="U6126" t="str">
        <f t="shared" si="936"/>
        <v/>
      </c>
      <c r="V6126" t="str">
        <f t="shared" si="937"/>
        <v/>
      </c>
      <c r="W6126" t="str">
        <f t="shared" si="946"/>
        <v/>
      </c>
      <c r="X6126">
        <f t="shared" si="944"/>
        <v>0</v>
      </c>
      <c r="Z6126" t="str">
        <f t="shared" si="947"/>
        <v/>
      </c>
      <c r="AA6126">
        <f t="shared" si="945"/>
        <v>0</v>
      </c>
    </row>
    <row r="6127" spans="1:27" ht="21" customHeight="1" x14ac:dyDescent="0.95">
      <c r="A6127" s="56"/>
      <c r="B6127" s="57"/>
      <c r="C6127" s="57"/>
      <c r="D6127" s="57"/>
      <c r="E6127" s="56"/>
      <c r="F6127" s="57"/>
      <c r="G6127" s="57"/>
      <c r="H6127" s="56"/>
      <c r="I6127" s="56"/>
      <c r="J6127" s="58"/>
      <c r="K6127" s="58"/>
      <c r="L6127" s="13" t="str">
        <f t="shared" si="930"/>
        <v/>
      </c>
      <c r="M6127" s="13" t="str">
        <f t="shared" si="931"/>
        <v/>
      </c>
      <c r="Q6127" t="str">
        <f t="shared" si="932"/>
        <v/>
      </c>
      <c r="R6127" t="str">
        <f t="shared" si="933"/>
        <v/>
      </c>
      <c r="S6127" t="str">
        <f t="shared" si="934"/>
        <v/>
      </c>
      <c r="T6127" t="str">
        <f t="shared" si="935"/>
        <v/>
      </c>
      <c r="U6127" t="str">
        <f t="shared" si="936"/>
        <v/>
      </c>
      <c r="V6127" t="str">
        <f t="shared" si="937"/>
        <v/>
      </c>
      <c r="W6127" t="str">
        <f t="shared" si="946"/>
        <v/>
      </c>
      <c r="X6127">
        <f t="shared" si="944"/>
        <v>0</v>
      </c>
      <c r="Z6127" t="str">
        <f t="shared" si="947"/>
        <v/>
      </c>
      <c r="AA6127">
        <f t="shared" si="945"/>
        <v>0</v>
      </c>
    </row>
    <row r="6128" spans="1:27" ht="21" customHeight="1" x14ac:dyDescent="0.95">
      <c r="A6128" s="56"/>
      <c r="B6128" s="57"/>
      <c r="C6128" s="57"/>
      <c r="D6128" s="57"/>
      <c r="E6128" s="56"/>
      <c r="F6128" s="57"/>
      <c r="G6128" s="57"/>
      <c r="H6128" s="56"/>
      <c r="I6128" s="56"/>
      <c r="J6128" s="58"/>
      <c r="K6128" s="58"/>
      <c r="L6128" s="13" t="str">
        <f t="shared" si="930"/>
        <v/>
      </c>
      <c r="M6128" s="13" t="str">
        <f t="shared" si="931"/>
        <v/>
      </c>
      <c r="Q6128" t="str">
        <f t="shared" si="932"/>
        <v/>
      </c>
      <c r="R6128" t="str">
        <f t="shared" si="933"/>
        <v/>
      </c>
      <c r="S6128" t="str">
        <f t="shared" si="934"/>
        <v/>
      </c>
      <c r="T6128" t="str">
        <f t="shared" si="935"/>
        <v/>
      </c>
      <c r="U6128" t="str">
        <f t="shared" si="936"/>
        <v/>
      </c>
      <c r="V6128" t="str">
        <f t="shared" si="937"/>
        <v/>
      </c>
      <c r="W6128" t="str">
        <f t="shared" si="946"/>
        <v/>
      </c>
      <c r="X6128">
        <f t="shared" si="944"/>
        <v>0</v>
      </c>
      <c r="Z6128" t="str">
        <f t="shared" si="947"/>
        <v/>
      </c>
      <c r="AA6128">
        <f t="shared" si="945"/>
        <v>0</v>
      </c>
    </row>
    <row r="6129" spans="1:27" ht="21" customHeight="1" x14ac:dyDescent="0.95">
      <c r="A6129" s="56"/>
      <c r="B6129" s="57"/>
      <c r="C6129" s="57"/>
      <c r="D6129" s="57"/>
      <c r="E6129" s="56"/>
      <c r="F6129" s="57"/>
      <c r="G6129" s="57"/>
      <c r="H6129" s="56"/>
      <c r="I6129" s="56"/>
      <c r="J6129" s="58"/>
      <c r="K6129" s="58"/>
      <c r="L6129" s="13" t="str">
        <f t="shared" si="930"/>
        <v/>
      </c>
      <c r="M6129" s="13" t="str">
        <f t="shared" si="931"/>
        <v/>
      </c>
      <c r="Q6129" t="str">
        <f t="shared" si="932"/>
        <v/>
      </c>
      <c r="R6129" t="str">
        <f t="shared" si="933"/>
        <v/>
      </c>
      <c r="S6129" t="str">
        <f t="shared" si="934"/>
        <v/>
      </c>
      <c r="T6129" t="str">
        <f t="shared" si="935"/>
        <v/>
      </c>
      <c r="U6129" t="str">
        <f t="shared" si="936"/>
        <v/>
      </c>
      <c r="V6129" t="str">
        <f t="shared" si="937"/>
        <v/>
      </c>
      <c r="W6129" t="str">
        <f t="shared" si="946"/>
        <v/>
      </c>
      <c r="X6129">
        <f t="shared" si="944"/>
        <v>0</v>
      </c>
      <c r="Z6129" t="str">
        <f t="shared" si="947"/>
        <v/>
      </c>
      <c r="AA6129">
        <f t="shared" si="945"/>
        <v>0</v>
      </c>
    </row>
    <row r="6130" spans="1:27" ht="21" customHeight="1" x14ac:dyDescent="0.95">
      <c r="A6130" s="56"/>
      <c r="B6130" s="57"/>
      <c r="C6130" s="57"/>
      <c r="D6130" s="57"/>
      <c r="E6130" s="56"/>
      <c r="F6130" s="57"/>
      <c r="G6130" s="57"/>
      <c r="H6130" s="56"/>
      <c r="I6130" s="56"/>
      <c r="J6130" s="58"/>
      <c r="K6130" s="58"/>
      <c r="L6130" s="13" t="str">
        <f t="shared" si="930"/>
        <v/>
      </c>
      <c r="M6130" s="13" t="str">
        <f t="shared" si="931"/>
        <v/>
      </c>
      <c r="Q6130" t="str">
        <f t="shared" si="932"/>
        <v/>
      </c>
      <c r="R6130" t="str">
        <f t="shared" si="933"/>
        <v/>
      </c>
      <c r="S6130" t="str">
        <f t="shared" si="934"/>
        <v/>
      </c>
      <c r="T6130" t="str">
        <f t="shared" si="935"/>
        <v/>
      </c>
      <c r="U6130" t="str">
        <f t="shared" si="936"/>
        <v/>
      </c>
      <c r="V6130" t="str">
        <f t="shared" si="937"/>
        <v/>
      </c>
      <c r="W6130" t="str">
        <f t="shared" si="946"/>
        <v/>
      </c>
      <c r="X6130">
        <f t="shared" si="944"/>
        <v>0</v>
      </c>
      <c r="Z6130" t="str">
        <f t="shared" si="947"/>
        <v/>
      </c>
      <c r="AA6130">
        <f t="shared" si="945"/>
        <v>0</v>
      </c>
    </row>
    <row r="6131" spans="1:27" ht="21" customHeight="1" x14ac:dyDescent="0.95">
      <c r="A6131" s="56"/>
      <c r="B6131" s="57"/>
      <c r="C6131" s="57"/>
      <c r="D6131" s="57"/>
      <c r="E6131" s="56"/>
      <c r="F6131" s="57"/>
      <c r="G6131" s="57"/>
      <c r="H6131" s="56"/>
      <c r="I6131" s="56"/>
      <c r="J6131" s="58"/>
      <c r="K6131" s="58"/>
      <c r="L6131" s="13" t="str">
        <f t="shared" si="930"/>
        <v/>
      </c>
      <c r="M6131" s="13" t="str">
        <f t="shared" si="931"/>
        <v/>
      </c>
      <c r="Q6131" t="str">
        <f t="shared" si="932"/>
        <v/>
      </c>
      <c r="R6131" t="str">
        <f t="shared" si="933"/>
        <v/>
      </c>
      <c r="S6131" t="str">
        <f t="shared" si="934"/>
        <v/>
      </c>
      <c r="T6131" t="str">
        <f t="shared" si="935"/>
        <v/>
      </c>
      <c r="U6131" t="str">
        <f t="shared" si="936"/>
        <v/>
      </c>
      <c r="V6131" t="str">
        <f t="shared" si="937"/>
        <v/>
      </c>
      <c r="W6131" t="str">
        <f t="shared" si="946"/>
        <v/>
      </c>
      <c r="X6131">
        <f t="shared" si="944"/>
        <v>0</v>
      </c>
      <c r="Z6131" t="str">
        <f t="shared" si="947"/>
        <v/>
      </c>
      <c r="AA6131">
        <f t="shared" si="945"/>
        <v>0</v>
      </c>
    </row>
    <row r="6132" spans="1:27" ht="21" customHeight="1" x14ac:dyDescent="0.95">
      <c r="A6132" s="56"/>
      <c r="B6132" s="57"/>
      <c r="C6132" s="57"/>
      <c r="D6132" s="57"/>
      <c r="E6132" s="56"/>
      <c r="F6132" s="57"/>
      <c r="G6132" s="57"/>
      <c r="H6132" s="56"/>
      <c r="I6132" s="56"/>
      <c r="J6132" s="58"/>
      <c r="K6132" s="58"/>
      <c r="L6132" s="13" t="str">
        <f t="shared" si="930"/>
        <v/>
      </c>
      <c r="M6132" s="13" t="str">
        <f t="shared" si="931"/>
        <v/>
      </c>
      <c r="Q6132" t="str">
        <f t="shared" si="932"/>
        <v/>
      </c>
      <c r="R6132" t="str">
        <f t="shared" si="933"/>
        <v/>
      </c>
      <c r="S6132" t="str">
        <f t="shared" si="934"/>
        <v/>
      </c>
      <c r="T6132" t="str">
        <f t="shared" si="935"/>
        <v/>
      </c>
      <c r="U6132" t="str">
        <f t="shared" si="936"/>
        <v/>
      </c>
      <c r="V6132" t="str">
        <f t="shared" si="937"/>
        <v/>
      </c>
      <c r="W6132" t="str">
        <f t="shared" si="946"/>
        <v/>
      </c>
      <c r="X6132">
        <f t="shared" si="944"/>
        <v>0</v>
      </c>
      <c r="Z6132" t="str">
        <f t="shared" si="947"/>
        <v/>
      </c>
      <c r="AA6132">
        <f t="shared" si="945"/>
        <v>0</v>
      </c>
    </row>
    <row r="6133" spans="1:27" ht="21" customHeight="1" x14ac:dyDescent="0.95">
      <c r="A6133" s="56"/>
      <c r="B6133" s="57"/>
      <c r="C6133" s="57"/>
      <c r="D6133" s="57"/>
      <c r="E6133" s="56"/>
      <c r="F6133" s="57"/>
      <c r="G6133" s="57"/>
      <c r="H6133" s="56"/>
      <c r="I6133" s="56"/>
      <c r="J6133" s="58"/>
      <c r="K6133" s="58"/>
      <c r="L6133" s="13" t="str">
        <f t="shared" si="930"/>
        <v/>
      </c>
      <c r="M6133" s="13" t="str">
        <f t="shared" si="931"/>
        <v/>
      </c>
      <c r="Q6133" t="str">
        <f t="shared" si="932"/>
        <v/>
      </c>
      <c r="R6133" t="str">
        <f t="shared" si="933"/>
        <v/>
      </c>
      <c r="S6133" t="str">
        <f t="shared" si="934"/>
        <v/>
      </c>
      <c r="T6133" t="str">
        <f t="shared" si="935"/>
        <v/>
      </c>
      <c r="U6133" t="str">
        <f t="shared" si="936"/>
        <v/>
      </c>
      <c r="V6133" t="str">
        <f t="shared" si="937"/>
        <v/>
      </c>
      <c r="W6133" t="str">
        <f t="shared" si="946"/>
        <v/>
      </c>
      <c r="X6133">
        <f t="shared" ref="X6133:X6196" si="948">IF($T6133="",N($X6132),IF(MATCH($T6133,$T$6:$T$10005,0)=ROW()-5,N($X6132)+1,N($X6132)))</f>
        <v>0</v>
      </c>
      <c r="Z6133" t="str">
        <f t="shared" si="947"/>
        <v/>
      </c>
      <c r="AA6133">
        <f t="shared" ref="AA6133:AA6196" si="949">IF($V6133="",N($AA6132),IF(MATCH($V6133,$V$6:$V$10005,0)=ROW()-5,N($AA6132)+1,N($AA6132)))</f>
        <v>0</v>
      </c>
    </row>
    <row r="6134" spans="1:27" ht="21" customHeight="1" x14ac:dyDescent="0.95">
      <c r="A6134" s="56"/>
      <c r="B6134" s="57"/>
      <c r="C6134" s="57"/>
      <c r="D6134" s="57"/>
      <c r="E6134" s="56"/>
      <c r="F6134" s="57"/>
      <c r="G6134" s="57"/>
      <c r="H6134" s="56"/>
      <c r="I6134" s="56"/>
      <c r="J6134" s="58"/>
      <c r="K6134" s="58"/>
      <c r="L6134" s="13" t="str">
        <f t="shared" si="930"/>
        <v/>
      </c>
      <c r="M6134" s="13" t="str">
        <f t="shared" si="931"/>
        <v/>
      </c>
      <c r="Q6134" t="str">
        <f t="shared" si="932"/>
        <v/>
      </c>
      <c r="R6134" t="str">
        <f t="shared" si="933"/>
        <v/>
      </c>
      <c r="S6134" t="str">
        <f t="shared" si="934"/>
        <v/>
      </c>
      <c r="T6134" t="str">
        <f t="shared" si="935"/>
        <v/>
      </c>
      <c r="U6134" t="str">
        <f t="shared" si="936"/>
        <v/>
      </c>
      <c r="V6134" t="str">
        <f t="shared" si="937"/>
        <v/>
      </c>
      <c r="W6134" t="str">
        <f t="shared" si="946"/>
        <v/>
      </c>
      <c r="X6134">
        <f t="shared" si="948"/>
        <v>0</v>
      </c>
      <c r="Z6134" t="str">
        <f t="shared" si="947"/>
        <v/>
      </c>
      <c r="AA6134">
        <f t="shared" si="949"/>
        <v>0</v>
      </c>
    </row>
    <row r="6135" spans="1:27" ht="21" customHeight="1" x14ac:dyDescent="0.95">
      <c r="A6135" s="56"/>
      <c r="B6135" s="57"/>
      <c r="C6135" s="57"/>
      <c r="D6135" s="57"/>
      <c r="E6135" s="56"/>
      <c r="F6135" s="57"/>
      <c r="G6135" s="57"/>
      <c r="H6135" s="56"/>
      <c r="I6135" s="56"/>
      <c r="J6135" s="58"/>
      <c r="K6135" s="58"/>
      <c r="L6135" s="13" t="str">
        <f t="shared" si="930"/>
        <v/>
      </c>
      <c r="M6135" s="13" t="str">
        <f t="shared" si="931"/>
        <v/>
      </c>
      <c r="Q6135" t="str">
        <f t="shared" si="932"/>
        <v/>
      </c>
      <c r="R6135" t="str">
        <f t="shared" si="933"/>
        <v/>
      </c>
      <c r="S6135" t="str">
        <f t="shared" si="934"/>
        <v/>
      </c>
      <c r="T6135" t="str">
        <f t="shared" si="935"/>
        <v/>
      </c>
      <c r="U6135" t="str">
        <f t="shared" si="936"/>
        <v/>
      </c>
      <c r="V6135" t="str">
        <f t="shared" si="937"/>
        <v/>
      </c>
      <c r="W6135" t="str">
        <f t="shared" si="946"/>
        <v/>
      </c>
      <c r="X6135">
        <f t="shared" si="948"/>
        <v>0</v>
      </c>
      <c r="Z6135" t="str">
        <f t="shared" si="947"/>
        <v/>
      </c>
      <c r="AA6135">
        <f t="shared" si="949"/>
        <v>0</v>
      </c>
    </row>
    <row r="6136" spans="1:27" ht="21" customHeight="1" x14ac:dyDescent="0.95">
      <c r="A6136" s="56"/>
      <c r="B6136" s="57"/>
      <c r="C6136" s="57"/>
      <c r="D6136" s="57"/>
      <c r="E6136" s="56"/>
      <c r="F6136" s="57"/>
      <c r="G6136" s="57"/>
      <c r="H6136" s="56"/>
      <c r="I6136" s="56"/>
      <c r="J6136" s="58"/>
      <c r="K6136" s="58"/>
      <c r="L6136" s="13" t="str">
        <f t="shared" si="930"/>
        <v/>
      </c>
      <c r="M6136" s="13" t="str">
        <f t="shared" si="931"/>
        <v/>
      </c>
      <c r="Q6136" t="str">
        <f t="shared" si="932"/>
        <v/>
      </c>
      <c r="R6136" t="str">
        <f t="shared" si="933"/>
        <v/>
      </c>
      <c r="S6136" t="str">
        <f t="shared" si="934"/>
        <v/>
      </c>
      <c r="T6136" t="str">
        <f t="shared" si="935"/>
        <v/>
      </c>
      <c r="U6136" t="str">
        <f t="shared" si="936"/>
        <v/>
      </c>
      <c r="V6136" t="str">
        <f t="shared" si="937"/>
        <v/>
      </c>
      <c r="W6136" t="str">
        <f t="shared" si="946"/>
        <v/>
      </c>
      <c r="X6136">
        <f t="shared" si="948"/>
        <v>0</v>
      </c>
      <c r="Z6136" t="str">
        <f t="shared" si="947"/>
        <v/>
      </c>
      <c r="AA6136">
        <f t="shared" si="949"/>
        <v>0</v>
      </c>
    </row>
    <row r="6137" spans="1:27" ht="21" customHeight="1" x14ac:dyDescent="0.95">
      <c r="A6137" s="56"/>
      <c r="B6137" s="57"/>
      <c r="C6137" s="57"/>
      <c r="D6137" s="57"/>
      <c r="E6137" s="56"/>
      <c r="F6137" s="57"/>
      <c r="G6137" s="57"/>
      <c r="H6137" s="56"/>
      <c r="I6137" s="56"/>
      <c r="J6137" s="58"/>
      <c r="K6137" s="58"/>
      <c r="L6137" s="13" t="str">
        <f t="shared" si="930"/>
        <v/>
      </c>
      <c r="M6137" s="13" t="str">
        <f t="shared" si="931"/>
        <v/>
      </c>
      <c r="Q6137" t="str">
        <f t="shared" si="932"/>
        <v/>
      </c>
      <c r="R6137" t="str">
        <f t="shared" si="933"/>
        <v/>
      </c>
      <c r="S6137" t="str">
        <f t="shared" si="934"/>
        <v/>
      </c>
      <c r="T6137" t="str">
        <f t="shared" si="935"/>
        <v/>
      </c>
      <c r="U6137" t="str">
        <f t="shared" si="936"/>
        <v/>
      </c>
      <c r="V6137" t="str">
        <f t="shared" si="937"/>
        <v/>
      </c>
      <c r="W6137" t="str">
        <f t="shared" si="946"/>
        <v/>
      </c>
      <c r="X6137">
        <f t="shared" si="948"/>
        <v>0</v>
      </c>
      <c r="Z6137" t="str">
        <f t="shared" si="947"/>
        <v/>
      </c>
      <c r="AA6137">
        <f t="shared" si="949"/>
        <v>0</v>
      </c>
    </row>
    <row r="6138" spans="1:27" ht="21" customHeight="1" x14ac:dyDescent="0.95">
      <c r="A6138" s="56"/>
      <c r="B6138" s="57"/>
      <c r="C6138" s="57"/>
      <c r="D6138" s="57"/>
      <c r="E6138" s="56"/>
      <c r="F6138" s="57"/>
      <c r="G6138" s="57"/>
      <c r="H6138" s="56"/>
      <c r="I6138" s="56"/>
      <c r="J6138" s="58"/>
      <c r="K6138" s="58"/>
      <c r="L6138" s="13" t="str">
        <f t="shared" si="930"/>
        <v/>
      </c>
      <c r="M6138" s="13" t="str">
        <f t="shared" si="931"/>
        <v/>
      </c>
      <c r="Q6138" t="str">
        <f t="shared" si="932"/>
        <v/>
      </c>
      <c r="R6138" t="str">
        <f t="shared" si="933"/>
        <v/>
      </c>
      <c r="S6138" t="str">
        <f t="shared" si="934"/>
        <v/>
      </c>
      <c r="T6138" t="str">
        <f t="shared" si="935"/>
        <v/>
      </c>
      <c r="U6138" t="str">
        <f t="shared" si="936"/>
        <v/>
      </c>
      <c r="V6138" t="str">
        <f t="shared" si="937"/>
        <v/>
      </c>
      <c r="W6138" t="str">
        <f t="shared" si="946"/>
        <v/>
      </c>
      <c r="X6138">
        <f t="shared" si="948"/>
        <v>0</v>
      </c>
      <c r="Z6138" t="str">
        <f t="shared" si="947"/>
        <v/>
      </c>
      <c r="AA6138">
        <f t="shared" si="949"/>
        <v>0</v>
      </c>
    </row>
    <row r="6139" spans="1:27" ht="21" customHeight="1" x14ac:dyDescent="0.95">
      <c r="A6139" s="56"/>
      <c r="B6139" s="57"/>
      <c r="C6139" s="57"/>
      <c r="D6139" s="57"/>
      <c r="E6139" s="56"/>
      <c r="F6139" s="57"/>
      <c r="G6139" s="57"/>
      <c r="H6139" s="56"/>
      <c r="I6139" s="56"/>
      <c r="J6139" s="58"/>
      <c r="K6139" s="58"/>
      <c r="L6139" s="13" t="str">
        <f t="shared" si="930"/>
        <v/>
      </c>
      <c r="M6139" s="13" t="str">
        <f t="shared" si="931"/>
        <v/>
      </c>
      <c r="Q6139" t="str">
        <f t="shared" si="932"/>
        <v/>
      </c>
      <c r="R6139" t="str">
        <f t="shared" si="933"/>
        <v/>
      </c>
      <c r="S6139" t="str">
        <f t="shared" si="934"/>
        <v/>
      </c>
      <c r="T6139" t="str">
        <f t="shared" si="935"/>
        <v/>
      </c>
      <c r="U6139" t="str">
        <f t="shared" si="936"/>
        <v/>
      </c>
      <c r="V6139" t="str">
        <f t="shared" si="937"/>
        <v/>
      </c>
      <c r="W6139" t="str">
        <f t="shared" si="946"/>
        <v/>
      </c>
      <c r="X6139">
        <f t="shared" si="948"/>
        <v>0</v>
      </c>
      <c r="Z6139" t="str">
        <f t="shared" si="947"/>
        <v/>
      </c>
      <c r="AA6139">
        <f t="shared" si="949"/>
        <v>0</v>
      </c>
    </row>
    <row r="6140" spans="1:27" ht="21" customHeight="1" x14ac:dyDescent="0.95">
      <c r="A6140" s="56"/>
      <c r="B6140" s="57"/>
      <c r="C6140" s="57"/>
      <c r="D6140" s="57"/>
      <c r="E6140" s="56"/>
      <c r="F6140" s="57"/>
      <c r="G6140" s="57"/>
      <c r="H6140" s="56"/>
      <c r="I6140" s="56"/>
      <c r="J6140" s="58"/>
      <c r="K6140" s="58"/>
      <c r="L6140" s="13" t="str">
        <f t="shared" si="930"/>
        <v/>
      </c>
      <c r="M6140" s="13" t="str">
        <f t="shared" si="931"/>
        <v/>
      </c>
      <c r="Q6140" t="str">
        <f t="shared" si="932"/>
        <v/>
      </c>
      <c r="R6140" t="str">
        <f t="shared" si="933"/>
        <v/>
      </c>
      <c r="S6140" t="str">
        <f t="shared" si="934"/>
        <v/>
      </c>
      <c r="T6140" t="str">
        <f t="shared" si="935"/>
        <v/>
      </c>
      <c r="U6140" t="str">
        <f t="shared" si="936"/>
        <v/>
      </c>
      <c r="V6140" t="str">
        <f t="shared" si="937"/>
        <v/>
      </c>
      <c r="W6140" t="str">
        <f t="shared" si="946"/>
        <v/>
      </c>
      <c r="X6140">
        <f t="shared" si="948"/>
        <v>0</v>
      </c>
      <c r="Z6140" t="str">
        <f t="shared" si="947"/>
        <v/>
      </c>
      <c r="AA6140">
        <f t="shared" si="949"/>
        <v>0</v>
      </c>
    </row>
    <row r="6141" spans="1:27" ht="21" customHeight="1" x14ac:dyDescent="0.95">
      <c r="A6141" s="56"/>
      <c r="B6141" s="57"/>
      <c r="C6141" s="57"/>
      <c r="D6141" s="57"/>
      <c r="E6141" s="56"/>
      <c r="F6141" s="57"/>
      <c r="G6141" s="57"/>
      <c r="H6141" s="56"/>
      <c r="I6141" s="56"/>
      <c r="J6141" s="58"/>
      <c r="K6141" s="58"/>
      <c r="L6141" s="13" t="str">
        <f t="shared" si="930"/>
        <v/>
      </c>
      <c r="M6141" s="13" t="str">
        <f t="shared" si="931"/>
        <v/>
      </c>
      <c r="Q6141" t="str">
        <f t="shared" si="932"/>
        <v/>
      </c>
      <c r="R6141" t="str">
        <f t="shared" si="933"/>
        <v/>
      </c>
      <c r="S6141" t="str">
        <f t="shared" si="934"/>
        <v/>
      </c>
      <c r="T6141" t="str">
        <f t="shared" si="935"/>
        <v/>
      </c>
      <c r="U6141" t="str">
        <f t="shared" si="936"/>
        <v/>
      </c>
      <c r="V6141" t="str">
        <f t="shared" si="937"/>
        <v/>
      </c>
      <c r="W6141" t="str">
        <f t="shared" si="946"/>
        <v/>
      </c>
      <c r="X6141">
        <f t="shared" si="948"/>
        <v>0</v>
      </c>
      <c r="Z6141" t="str">
        <f t="shared" si="947"/>
        <v/>
      </c>
      <c r="AA6141">
        <f t="shared" si="949"/>
        <v>0</v>
      </c>
    </row>
    <row r="6142" spans="1:27" ht="21" customHeight="1" x14ac:dyDescent="0.95">
      <c r="A6142" s="56"/>
      <c r="B6142" s="57"/>
      <c r="C6142" s="57"/>
      <c r="D6142" s="57"/>
      <c r="E6142" s="56"/>
      <c r="F6142" s="57"/>
      <c r="G6142" s="57"/>
      <c r="H6142" s="56"/>
      <c r="I6142" s="56"/>
      <c r="J6142" s="58"/>
      <c r="K6142" s="58"/>
      <c r="L6142" s="13" t="str">
        <f t="shared" si="930"/>
        <v/>
      </c>
      <c r="M6142" s="13" t="str">
        <f t="shared" si="931"/>
        <v/>
      </c>
      <c r="Q6142" t="str">
        <f t="shared" si="932"/>
        <v/>
      </c>
      <c r="R6142" t="str">
        <f t="shared" si="933"/>
        <v/>
      </c>
      <c r="S6142" t="str">
        <f t="shared" si="934"/>
        <v/>
      </c>
      <c r="T6142" t="str">
        <f t="shared" si="935"/>
        <v/>
      </c>
      <c r="U6142" t="str">
        <f t="shared" si="936"/>
        <v/>
      </c>
      <c r="V6142" t="str">
        <f t="shared" si="937"/>
        <v/>
      </c>
      <c r="W6142" t="str">
        <f t="shared" si="946"/>
        <v/>
      </c>
      <c r="X6142">
        <f t="shared" si="948"/>
        <v>0</v>
      </c>
      <c r="Z6142" t="str">
        <f t="shared" si="947"/>
        <v/>
      </c>
      <c r="AA6142">
        <f t="shared" si="949"/>
        <v>0</v>
      </c>
    </row>
    <row r="6143" spans="1:27" ht="21" customHeight="1" x14ac:dyDescent="0.95">
      <c r="A6143" s="56"/>
      <c r="B6143" s="57"/>
      <c r="C6143" s="57"/>
      <c r="D6143" s="57"/>
      <c r="E6143" s="56"/>
      <c r="F6143" s="57"/>
      <c r="G6143" s="57"/>
      <c r="H6143" s="56"/>
      <c r="I6143" s="56"/>
      <c r="J6143" s="58"/>
      <c r="K6143" s="58"/>
      <c r="L6143" s="13" t="str">
        <f t="shared" si="930"/>
        <v/>
      </c>
      <c r="M6143" s="13" t="str">
        <f t="shared" si="931"/>
        <v/>
      </c>
      <c r="Q6143" t="str">
        <f t="shared" si="932"/>
        <v/>
      </c>
      <c r="R6143" t="str">
        <f t="shared" si="933"/>
        <v/>
      </c>
      <c r="S6143" t="str">
        <f t="shared" si="934"/>
        <v/>
      </c>
      <c r="T6143" t="str">
        <f t="shared" si="935"/>
        <v/>
      </c>
      <c r="U6143" t="str">
        <f t="shared" si="936"/>
        <v/>
      </c>
      <c r="V6143" t="str">
        <f t="shared" si="937"/>
        <v/>
      </c>
      <c r="W6143" t="str">
        <f t="shared" si="946"/>
        <v/>
      </c>
      <c r="X6143">
        <f t="shared" si="948"/>
        <v>0</v>
      </c>
      <c r="Z6143" t="str">
        <f t="shared" si="947"/>
        <v/>
      </c>
      <c r="AA6143">
        <f t="shared" si="949"/>
        <v>0</v>
      </c>
    </row>
    <row r="6144" spans="1:27" ht="21" customHeight="1" x14ac:dyDescent="0.95">
      <c r="A6144" s="56"/>
      <c r="B6144" s="57"/>
      <c r="C6144" s="57"/>
      <c r="D6144" s="57"/>
      <c r="E6144" s="56"/>
      <c r="F6144" s="57"/>
      <c r="G6144" s="57"/>
      <c r="H6144" s="56"/>
      <c r="I6144" s="56"/>
      <c r="J6144" s="58"/>
      <c r="K6144" s="58"/>
      <c r="L6144" s="13" t="str">
        <f t="shared" si="930"/>
        <v/>
      </c>
      <c r="M6144" s="13" t="str">
        <f t="shared" si="931"/>
        <v/>
      </c>
      <c r="Q6144" t="str">
        <f t="shared" si="932"/>
        <v/>
      </c>
      <c r="R6144" t="str">
        <f t="shared" si="933"/>
        <v/>
      </c>
      <c r="S6144" t="str">
        <f t="shared" si="934"/>
        <v/>
      </c>
      <c r="T6144" t="str">
        <f t="shared" si="935"/>
        <v/>
      </c>
      <c r="U6144" t="str">
        <f t="shared" si="936"/>
        <v/>
      </c>
      <c r="V6144" t="str">
        <f t="shared" si="937"/>
        <v/>
      </c>
      <c r="W6144" t="str">
        <f t="shared" si="946"/>
        <v/>
      </c>
      <c r="X6144">
        <f t="shared" si="948"/>
        <v>0</v>
      </c>
      <c r="Z6144" t="str">
        <f t="shared" si="947"/>
        <v/>
      </c>
      <c r="AA6144">
        <f t="shared" si="949"/>
        <v>0</v>
      </c>
    </row>
    <row r="6145" spans="1:27" ht="21" customHeight="1" x14ac:dyDescent="0.95">
      <c r="A6145" s="56"/>
      <c r="B6145" s="57"/>
      <c r="C6145" s="57"/>
      <c r="D6145" s="57"/>
      <c r="E6145" s="56"/>
      <c r="F6145" s="57"/>
      <c r="G6145" s="57"/>
      <c r="H6145" s="56"/>
      <c r="I6145" s="56"/>
      <c r="J6145" s="58"/>
      <c r="K6145" s="58"/>
      <c r="L6145" s="13" t="str">
        <f t="shared" si="930"/>
        <v/>
      </c>
      <c r="M6145" s="13" t="str">
        <f t="shared" si="931"/>
        <v/>
      </c>
      <c r="Q6145" t="str">
        <f t="shared" si="932"/>
        <v/>
      </c>
      <c r="R6145" t="str">
        <f t="shared" si="933"/>
        <v/>
      </c>
      <c r="S6145" t="str">
        <f t="shared" si="934"/>
        <v/>
      </c>
      <c r="T6145" t="str">
        <f t="shared" si="935"/>
        <v/>
      </c>
      <c r="U6145" t="str">
        <f t="shared" si="936"/>
        <v/>
      </c>
      <c r="V6145" t="str">
        <f t="shared" si="937"/>
        <v/>
      </c>
      <c r="W6145" t="str">
        <f t="shared" si="946"/>
        <v/>
      </c>
      <c r="X6145">
        <f t="shared" si="948"/>
        <v>0</v>
      </c>
      <c r="Z6145" t="str">
        <f t="shared" si="947"/>
        <v/>
      </c>
      <c r="AA6145">
        <f t="shared" si="949"/>
        <v>0</v>
      </c>
    </row>
    <row r="6146" spans="1:27" ht="21" customHeight="1" x14ac:dyDescent="0.95">
      <c r="A6146" s="56"/>
      <c r="B6146" s="57"/>
      <c r="C6146" s="57"/>
      <c r="D6146" s="57"/>
      <c r="E6146" s="56"/>
      <c r="F6146" s="57"/>
      <c r="G6146" s="57"/>
      <c r="H6146" s="56"/>
      <c r="I6146" s="56"/>
      <c r="J6146" s="58"/>
      <c r="K6146" s="58"/>
      <c r="L6146" s="13" t="str">
        <f t="shared" si="930"/>
        <v/>
      </c>
      <c r="M6146" s="13" t="str">
        <f t="shared" si="931"/>
        <v/>
      </c>
      <c r="Q6146" t="str">
        <f t="shared" si="932"/>
        <v/>
      </c>
      <c r="R6146" t="str">
        <f t="shared" si="933"/>
        <v/>
      </c>
      <c r="S6146" t="str">
        <f t="shared" si="934"/>
        <v/>
      </c>
      <c r="T6146" t="str">
        <f t="shared" si="935"/>
        <v/>
      </c>
      <c r="U6146" t="str">
        <f t="shared" si="936"/>
        <v/>
      </c>
      <c r="V6146" t="str">
        <f t="shared" si="937"/>
        <v/>
      </c>
      <c r="W6146" t="str">
        <f t="shared" si="946"/>
        <v/>
      </c>
      <c r="X6146">
        <f t="shared" si="948"/>
        <v>0</v>
      </c>
      <c r="Z6146" t="str">
        <f t="shared" si="947"/>
        <v/>
      </c>
      <c r="AA6146">
        <f t="shared" si="949"/>
        <v>0</v>
      </c>
    </row>
    <row r="6147" spans="1:27" ht="21" customHeight="1" x14ac:dyDescent="0.95">
      <c r="A6147" s="56"/>
      <c r="B6147" s="57"/>
      <c r="C6147" s="57"/>
      <c r="D6147" s="57"/>
      <c r="E6147" s="56"/>
      <c r="F6147" s="57"/>
      <c r="G6147" s="57"/>
      <c r="H6147" s="56"/>
      <c r="I6147" s="56"/>
      <c r="J6147" s="58"/>
      <c r="K6147" s="58"/>
      <c r="L6147" s="13" t="str">
        <f t="shared" si="930"/>
        <v/>
      </c>
      <c r="M6147" s="13" t="str">
        <f t="shared" si="931"/>
        <v/>
      </c>
      <c r="Q6147" t="str">
        <f t="shared" si="932"/>
        <v/>
      </c>
      <c r="R6147" t="str">
        <f t="shared" si="933"/>
        <v/>
      </c>
      <c r="S6147" t="str">
        <f t="shared" si="934"/>
        <v/>
      </c>
      <c r="T6147" t="str">
        <f t="shared" si="935"/>
        <v/>
      </c>
      <c r="U6147" t="str">
        <f t="shared" si="936"/>
        <v/>
      </c>
      <c r="V6147" t="str">
        <f t="shared" si="937"/>
        <v/>
      </c>
      <c r="W6147" t="str">
        <f t="shared" si="946"/>
        <v/>
      </c>
      <c r="X6147">
        <f t="shared" si="948"/>
        <v>0</v>
      </c>
      <c r="Z6147" t="str">
        <f t="shared" si="947"/>
        <v/>
      </c>
      <c r="AA6147">
        <f t="shared" si="949"/>
        <v>0</v>
      </c>
    </row>
    <row r="6148" spans="1:27" ht="21" customHeight="1" x14ac:dyDescent="0.95">
      <c r="A6148" s="56"/>
      <c r="B6148" s="57"/>
      <c r="C6148" s="57"/>
      <c r="D6148" s="57"/>
      <c r="E6148" s="56"/>
      <c r="F6148" s="57"/>
      <c r="G6148" s="57"/>
      <c r="H6148" s="56"/>
      <c r="I6148" s="56"/>
      <c r="J6148" s="58"/>
      <c r="K6148" s="58"/>
      <c r="L6148" s="13" t="str">
        <f t="shared" si="930"/>
        <v/>
      </c>
      <c r="M6148" s="13" t="str">
        <f t="shared" si="931"/>
        <v/>
      </c>
      <c r="Q6148" t="str">
        <f t="shared" si="932"/>
        <v/>
      </c>
      <c r="R6148" t="str">
        <f t="shared" si="933"/>
        <v/>
      </c>
      <c r="S6148" t="str">
        <f t="shared" si="934"/>
        <v/>
      </c>
      <c r="T6148" t="str">
        <f t="shared" si="935"/>
        <v/>
      </c>
      <c r="U6148" t="str">
        <f t="shared" si="936"/>
        <v/>
      </c>
      <c r="V6148" t="str">
        <f t="shared" si="937"/>
        <v/>
      </c>
      <c r="W6148" t="str">
        <f t="shared" si="946"/>
        <v/>
      </c>
      <c r="X6148">
        <f t="shared" si="948"/>
        <v>0</v>
      </c>
      <c r="Z6148" t="str">
        <f t="shared" si="947"/>
        <v/>
      </c>
      <c r="AA6148">
        <f t="shared" si="949"/>
        <v>0</v>
      </c>
    </row>
    <row r="6149" spans="1:27" ht="21" customHeight="1" x14ac:dyDescent="0.95">
      <c r="A6149" s="56"/>
      <c r="B6149" s="57"/>
      <c r="C6149" s="57"/>
      <c r="D6149" s="57"/>
      <c r="E6149" s="56"/>
      <c r="F6149" s="57"/>
      <c r="G6149" s="57"/>
      <c r="H6149" s="56"/>
      <c r="I6149" s="56"/>
      <c r="J6149" s="58"/>
      <c r="K6149" s="58"/>
      <c r="L6149" s="13" t="str">
        <f t="shared" si="930"/>
        <v/>
      </c>
      <c r="M6149" s="13" t="str">
        <f t="shared" si="931"/>
        <v/>
      </c>
      <c r="Q6149" t="str">
        <f t="shared" si="932"/>
        <v/>
      </c>
      <c r="R6149" t="str">
        <f t="shared" si="933"/>
        <v/>
      </c>
      <c r="S6149" t="str">
        <f t="shared" si="934"/>
        <v/>
      </c>
      <c r="T6149" t="str">
        <f t="shared" si="935"/>
        <v/>
      </c>
      <c r="U6149" t="str">
        <f t="shared" si="936"/>
        <v/>
      </c>
      <c r="V6149" t="str">
        <f t="shared" si="937"/>
        <v/>
      </c>
      <c r="W6149" t="str">
        <f t="shared" si="946"/>
        <v/>
      </c>
      <c r="X6149">
        <f t="shared" si="948"/>
        <v>0</v>
      </c>
      <c r="Z6149" t="str">
        <f t="shared" si="947"/>
        <v/>
      </c>
      <c r="AA6149">
        <f t="shared" si="949"/>
        <v>0</v>
      </c>
    </row>
    <row r="6150" spans="1:27" ht="21" customHeight="1" x14ac:dyDescent="0.95">
      <c r="A6150" s="56"/>
      <c r="B6150" s="57"/>
      <c r="C6150" s="57"/>
      <c r="D6150" s="57"/>
      <c r="E6150" s="56"/>
      <c r="F6150" s="57"/>
      <c r="G6150" s="57"/>
      <c r="H6150" s="56"/>
      <c r="I6150" s="56"/>
      <c r="J6150" s="58"/>
      <c r="K6150" s="58"/>
      <c r="L6150" s="13" t="str">
        <f t="shared" si="930"/>
        <v/>
      </c>
      <c r="M6150" s="13" t="str">
        <f t="shared" si="931"/>
        <v/>
      </c>
      <c r="Q6150" t="str">
        <f t="shared" si="932"/>
        <v/>
      </c>
      <c r="R6150" t="str">
        <f t="shared" si="933"/>
        <v/>
      </c>
      <c r="S6150" t="str">
        <f t="shared" si="934"/>
        <v/>
      </c>
      <c r="T6150" t="str">
        <f t="shared" si="935"/>
        <v/>
      </c>
      <c r="U6150" t="str">
        <f t="shared" si="936"/>
        <v/>
      </c>
      <c r="V6150" t="str">
        <f t="shared" si="937"/>
        <v/>
      </c>
      <c r="W6150" t="str">
        <f t="shared" ref="W6150:W6213" si="950">IF($T6150="","",IF($X6150&gt;N($X6149),$X6150,""))</f>
        <v/>
      </c>
      <c r="X6150">
        <f t="shared" si="948"/>
        <v>0</v>
      </c>
      <c r="Z6150" t="str">
        <f t="shared" ref="Z6150:Z6213" si="951">IF($V6150="","",IF($AA6150&gt;N($AA6149),$AA6150,""))</f>
        <v/>
      </c>
      <c r="AA6150">
        <f t="shared" si="949"/>
        <v>0</v>
      </c>
    </row>
    <row r="6151" spans="1:27" ht="21" customHeight="1" x14ac:dyDescent="0.95">
      <c r="A6151" s="56"/>
      <c r="B6151" s="57"/>
      <c r="C6151" s="57"/>
      <c r="D6151" s="57"/>
      <c r="E6151" s="56"/>
      <c r="F6151" s="57"/>
      <c r="G6151" s="57"/>
      <c r="H6151" s="56"/>
      <c r="I6151" s="56"/>
      <c r="J6151" s="58"/>
      <c r="K6151" s="58"/>
      <c r="L6151" s="13" t="str">
        <f t="shared" si="930"/>
        <v/>
      </c>
      <c r="M6151" s="13" t="str">
        <f t="shared" si="931"/>
        <v/>
      </c>
      <c r="Q6151" t="str">
        <f t="shared" si="932"/>
        <v/>
      </c>
      <c r="R6151" t="str">
        <f t="shared" si="933"/>
        <v/>
      </c>
      <c r="S6151" t="str">
        <f t="shared" si="934"/>
        <v/>
      </c>
      <c r="T6151" t="str">
        <f t="shared" si="935"/>
        <v/>
      </c>
      <c r="U6151" t="str">
        <f t="shared" si="936"/>
        <v/>
      </c>
      <c r="V6151" t="str">
        <f t="shared" si="937"/>
        <v/>
      </c>
      <c r="W6151" t="str">
        <f t="shared" si="950"/>
        <v/>
      </c>
      <c r="X6151">
        <f t="shared" si="948"/>
        <v>0</v>
      </c>
      <c r="Z6151" t="str">
        <f t="shared" si="951"/>
        <v/>
      </c>
      <c r="AA6151">
        <f t="shared" si="949"/>
        <v>0</v>
      </c>
    </row>
    <row r="6152" spans="1:27" ht="21" customHeight="1" x14ac:dyDescent="0.95">
      <c r="A6152" s="56"/>
      <c r="B6152" s="57"/>
      <c r="C6152" s="57"/>
      <c r="D6152" s="57"/>
      <c r="E6152" s="56"/>
      <c r="F6152" s="57"/>
      <c r="G6152" s="57"/>
      <c r="H6152" s="56"/>
      <c r="I6152" s="56"/>
      <c r="J6152" s="58"/>
      <c r="K6152" s="58"/>
      <c r="L6152" s="13" t="str">
        <f t="shared" si="930"/>
        <v/>
      </c>
      <c r="M6152" s="13" t="str">
        <f t="shared" si="931"/>
        <v/>
      </c>
      <c r="Q6152" t="str">
        <f t="shared" si="932"/>
        <v/>
      </c>
      <c r="R6152" t="str">
        <f t="shared" si="933"/>
        <v/>
      </c>
      <c r="S6152" t="str">
        <f t="shared" si="934"/>
        <v/>
      </c>
      <c r="T6152" t="str">
        <f t="shared" si="935"/>
        <v/>
      </c>
      <c r="U6152" t="str">
        <f t="shared" si="936"/>
        <v/>
      </c>
      <c r="V6152" t="str">
        <f t="shared" si="937"/>
        <v/>
      </c>
      <c r="W6152" t="str">
        <f t="shared" si="950"/>
        <v/>
      </c>
      <c r="X6152">
        <f t="shared" si="948"/>
        <v>0</v>
      </c>
      <c r="Z6152" t="str">
        <f t="shared" si="951"/>
        <v/>
      </c>
      <c r="AA6152">
        <f t="shared" si="949"/>
        <v>0</v>
      </c>
    </row>
    <row r="6153" spans="1:27" ht="21" customHeight="1" x14ac:dyDescent="0.95">
      <c r="A6153" s="56"/>
      <c r="B6153" s="57"/>
      <c r="C6153" s="57"/>
      <c r="D6153" s="57"/>
      <c r="E6153" s="56"/>
      <c r="F6153" s="57"/>
      <c r="G6153" s="57"/>
      <c r="H6153" s="56"/>
      <c r="I6153" s="56"/>
      <c r="J6153" s="58"/>
      <c r="K6153" s="58"/>
      <c r="L6153" s="13" t="str">
        <f t="shared" si="930"/>
        <v/>
      </c>
      <c r="M6153" s="13" t="str">
        <f t="shared" si="931"/>
        <v/>
      </c>
      <c r="Q6153" t="str">
        <f t="shared" si="932"/>
        <v/>
      </c>
      <c r="R6153" t="str">
        <f t="shared" si="933"/>
        <v/>
      </c>
      <c r="S6153" t="str">
        <f t="shared" si="934"/>
        <v/>
      </c>
      <c r="T6153" t="str">
        <f t="shared" si="935"/>
        <v/>
      </c>
      <c r="U6153" t="str">
        <f t="shared" si="936"/>
        <v/>
      </c>
      <c r="V6153" t="str">
        <f t="shared" si="937"/>
        <v/>
      </c>
      <c r="W6153" t="str">
        <f t="shared" si="950"/>
        <v/>
      </c>
      <c r="X6153">
        <f t="shared" si="948"/>
        <v>0</v>
      </c>
      <c r="Z6153" t="str">
        <f t="shared" si="951"/>
        <v/>
      </c>
      <c r="AA6153">
        <f t="shared" si="949"/>
        <v>0</v>
      </c>
    </row>
    <row r="6154" spans="1:27" ht="21" customHeight="1" x14ac:dyDescent="0.95">
      <c r="A6154" s="56"/>
      <c r="B6154" s="57"/>
      <c r="C6154" s="57"/>
      <c r="D6154" s="57"/>
      <c r="E6154" s="56"/>
      <c r="F6154" s="57"/>
      <c r="G6154" s="57"/>
      <c r="H6154" s="56"/>
      <c r="I6154" s="56"/>
      <c r="J6154" s="58"/>
      <c r="K6154" s="58"/>
      <c r="L6154" s="13" t="str">
        <f t="shared" si="930"/>
        <v/>
      </c>
      <c r="M6154" s="13" t="str">
        <f t="shared" si="931"/>
        <v/>
      </c>
      <c r="Q6154" t="str">
        <f t="shared" si="932"/>
        <v/>
      </c>
      <c r="R6154" t="str">
        <f t="shared" si="933"/>
        <v/>
      </c>
      <c r="S6154" t="str">
        <f t="shared" si="934"/>
        <v/>
      </c>
      <c r="T6154" t="str">
        <f t="shared" si="935"/>
        <v/>
      </c>
      <c r="U6154" t="str">
        <f t="shared" si="936"/>
        <v/>
      </c>
      <c r="V6154" t="str">
        <f t="shared" si="937"/>
        <v/>
      </c>
      <c r="W6154" t="str">
        <f t="shared" si="950"/>
        <v/>
      </c>
      <c r="X6154">
        <f t="shared" si="948"/>
        <v>0</v>
      </c>
      <c r="Z6154" t="str">
        <f t="shared" si="951"/>
        <v/>
      </c>
      <c r="AA6154">
        <f t="shared" si="949"/>
        <v>0</v>
      </c>
    </row>
    <row r="6155" spans="1:27" ht="21" customHeight="1" x14ac:dyDescent="0.95">
      <c r="A6155" s="56"/>
      <c r="B6155" s="57"/>
      <c r="C6155" s="57"/>
      <c r="D6155" s="57"/>
      <c r="E6155" s="56"/>
      <c r="F6155" s="57"/>
      <c r="G6155" s="57"/>
      <c r="H6155" s="56"/>
      <c r="I6155" s="56"/>
      <c r="J6155" s="58"/>
      <c r="K6155" s="58"/>
      <c r="L6155" s="13" t="str">
        <f t="shared" si="930"/>
        <v/>
      </c>
      <c r="M6155" s="13" t="str">
        <f t="shared" si="931"/>
        <v/>
      </c>
      <c r="Q6155" t="str">
        <f t="shared" si="932"/>
        <v/>
      </c>
      <c r="R6155" t="str">
        <f t="shared" si="933"/>
        <v/>
      </c>
      <c r="S6155" t="str">
        <f t="shared" si="934"/>
        <v/>
      </c>
      <c r="T6155" t="str">
        <f t="shared" si="935"/>
        <v/>
      </c>
      <c r="U6155" t="str">
        <f t="shared" si="936"/>
        <v/>
      </c>
      <c r="V6155" t="str">
        <f t="shared" si="937"/>
        <v/>
      </c>
      <c r="W6155" t="str">
        <f t="shared" si="950"/>
        <v/>
      </c>
      <c r="X6155">
        <f t="shared" si="948"/>
        <v>0</v>
      </c>
      <c r="Z6155" t="str">
        <f t="shared" si="951"/>
        <v/>
      </c>
      <c r="AA6155">
        <f t="shared" si="949"/>
        <v>0</v>
      </c>
    </row>
    <row r="6156" spans="1:27" ht="21" customHeight="1" x14ac:dyDescent="0.95">
      <c r="A6156" s="56"/>
      <c r="B6156" s="57"/>
      <c r="C6156" s="57"/>
      <c r="D6156" s="57"/>
      <c r="E6156" s="56"/>
      <c r="F6156" s="57"/>
      <c r="G6156" s="57"/>
      <c r="H6156" s="56"/>
      <c r="I6156" s="56"/>
      <c r="J6156" s="58"/>
      <c r="K6156" s="58"/>
      <c r="L6156" s="13" t="str">
        <f t="shared" si="930"/>
        <v/>
      </c>
      <c r="M6156" s="13" t="str">
        <f t="shared" si="931"/>
        <v/>
      </c>
      <c r="Q6156" t="str">
        <f t="shared" si="932"/>
        <v/>
      </c>
      <c r="R6156" t="str">
        <f t="shared" si="933"/>
        <v/>
      </c>
      <c r="S6156" t="str">
        <f t="shared" si="934"/>
        <v/>
      </c>
      <c r="T6156" t="str">
        <f t="shared" si="935"/>
        <v/>
      </c>
      <c r="U6156" t="str">
        <f t="shared" si="936"/>
        <v/>
      </c>
      <c r="V6156" t="str">
        <f t="shared" si="937"/>
        <v/>
      </c>
      <c r="W6156" t="str">
        <f t="shared" si="950"/>
        <v/>
      </c>
      <c r="X6156">
        <f t="shared" si="948"/>
        <v>0</v>
      </c>
      <c r="Z6156" t="str">
        <f t="shared" si="951"/>
        <v/>
      </c>
      <c r="AA6156">
        <f t="shared" si="949"/>
        <v>0</v>
      </c>
    </row>
    <row r="6157" spans="1:27" ht="21" customHeight="1" x14ac:dyDescent="0.95">
      <c r="A6157" s="56"/>
      <c r="B6157" s="57"/>
      <c r="C6157" s="57"/>
      <c r="D6157" s="57"/>
      <c r="E6157" s="56"/>
      <c r="F6157" s="57"/>
      <c r="G6157" s="57"/>
      <c r="H6157" s="56"/>
      <c r="I6157" s="56"/>
      <c r="J6157" s="58"/>
      <c r="K6157" s="58"/>
      <c r="L6157" s="13" t="str">
        <f t="shared" si="930"/>
        <v/>
      </c>
      <c r="M6157" s="13" t="str">
        <f t="shared" si="931"/>
        <v/>
      </c>
      <c r="Q6157" t="str">
        <f t="shared" si="932"/>
        <v/>
      </c>
      <c r="R6157" t="str">
        <f t="shared" si="933"/>
        <v/>
      </c>
      <c r="S6157" t="str">
        <f t="shared" si="934"/>
        <v/>
      </c>
      <c r="T6157" t="str">
        <f t="shared" si="935"/>
        <v/>
      </c>
      <c r="U6157" t="str">
        <f t="shared" si="936"/>
        <v/>
      </c>
      <c r="V6157" t="str">
        <f t="shared" si="937"/>
        <v/>
      </c>
      <c r="W6157" t="str">
        <f t="shared" si="950"/>
        <v/>
      </c>
      <c r="X6157">
        <f t="shared" si="948"/>
        <v>0</v>
      </c>
      <c r="Z6157" t="str">
        <f t="shared" si="951"/>
        <v/>
      </c>
      <c r="AA6157">
        <f t="shared" si="949"/>
        <v>0</v>
      </c>
    </row>
    <row r="6158" spans="1:27" ht="21" customHeight="1" x14ac:dyDescent="0.95">
      <c r="A6158" s="56"/>
      <c r="B6158" s="57"/>
      <c r="C6158" s="57"/>
      <c r="D6158" s="57"/>
      <c r="E6158" s="56"/>
      <c r="F6158" s="57"/>
      <c r="G6158" s="57"/>
      <c r="H6158" s="56"/>
      <c r="I6158" s="56"/>
      <c r="J6158" s="58"/>
      <c r="K6158" s="58"/>
      <c r="L6158" s="13" t="str">
        <f t="shared" si="930"/>
        <v/>
      </c>
      <c r="M6158" s="13" t="str">
        <f t="shared" si="931"/>
        <v/>
      </c>
      <c r="Q6158" t="str">
        <f t="shared" si="932"/>
        <v/>
      </c>
      <c r="R6158" t="str">
        <f t="shared" si="933"/>
        <v/>
      </c>
      <c r="S6158" t="str">
        <f t="shared" si="934"/>
        <v/>
      </c>
      <c r="T6158" t="str">
        <f t="shared" si="935"/>
        <v/>
      </c>
      <c r="U6158" t="str">
        <f t="shared" si="936"/>
        <v/>
      </c>
      <c r="V6158" t="str">
        <f t="shared" si="937"/>
        <v/>
      </c>
      <c r="W6158" t="str">
        <f t="shared" si="950"/>
        <v/>
      </c>
      <c r="X6158">
        <f t="shared" si="948"/>
        <v>0</v>
      </c>
      <c r="Z6158" t="str">
        <f t="shared" si="951"/>
        <v/>
      </c>
      <c r="AA6158">
        <f t="shared" si="949"/>
        <v>0</v>
      </c>
    </row>
    <row r="6159" spans="1:27" ht="21" customHeight="1" x14ac:dyDescent="0.95">
      <c r="A6159" s="56"/>
      <c r="B6159" s="57"/>
      <c r="C6159" s="57"/>
      <c r="D6159" s="57"/>
      <c r="E6159" s="56"/>
      <c r="F6159" s="57"/>
      <c r="G6159" s="57"/>
      <c r="H6159" s="56"/>
      <c r="I6159" s="56"/>
      <c r="J6159" s="58"/>
      <c r="K6159" s="58"/>
      <c r="L6159" s="13" t="str">
        <f t="shared" si="930"/>
        <v/>
      </c>
      <c r="M6159" s="13" t="str">
        <f t="shared" si="931"/>
        <v/>
      </c>
      <c r="Q6159" t="str">
        <f t="shared" si="932"/>
        <v/>
      </c>
      <c r="R6159" t="str">
        <f t="shared" si="933"/>
        <v/>
      </c>
      <c r="S6159" t="str">
        <f t="shared" si="934"/>
        <v/>
      </c>
      <c r="T6159" t="str">
        <f t="shared" si="935"/>
        <v/>
      </c>
      <c r="U6159" t="str">
        <f t="shared" si="936"/>
        <v/>
      </c>
      <c r="V6159" t="str">
        <f t="shared" si="937"/>
        <v/>
      </c>
      <c r="W6159" t="str">
        <f t="shared" si="950"/>
        <v/>
      </c>
      <c r="X6159">
        <f t="shared" si="948"/>
        <v>0</v>
      </c>
      <c r="Z6159" t="str">
        <f t="shared" si="951"/>
        <v/>
      </c>
      <c r="AA6159">
        <f t="shared" si="949"/>
        <v>0</v>
      </c>
    </row>
    <row r="6160" spans="1:27" ht="21" customHeight="1" x14ac:dyDescent="0.95">
      <c r="A6160" s="56"/>
      <c r="B6160" s="57"/>
      <c r="C6160" s="57"/>
      <c r="D6160" s="57"/>
      <c r="E6160" s="56"/>
      <c r="F6160" s="57"/>
      <c r="G6160" s="57"/>
      <c r="H6160" s="56"/>
      <c r="I6160" s="56"/>
      <c r="J6160" s="58"/>
      <c r="K6160" s="58"/>
      <c r="L6160" s="13" t="str">
        <f t="shared" si="930"/>
        <v/>
      </c>
      <c r="M6160" s="13" t="str">
        <f t="shared" si="931"/>
        <v/>
      </c>
      <c r="Q6160" t="str">
        <f t="shared" si="932"/>
        <v/>
      </c>
      <c r="R6160" t="str">
        <f t="shared" si="933"/>
        <v/>
      </c>
      <c r="S6160" t="str">
        <f t="shared" si="934"/>
        <v/>
      </c>
      <c r="T6160" t="str">
        <f t="shared" si="935"/>
        <v/>
      </c>
      <c r="U6160" t="str">
        <f t="shared" si="936"/>
        <v/>
      </c>
      <c r="V6160" t="str">
        <f t="shared" si="937"/>
        <v/>
      </c>
      <c r="W6160" t="str">
        <f t="shared" si="950"/>
        <v/>
      </c>
      <c r="X6160">
        <f t="shared" si="948"/>
        <v>0</v>
      </c>
      <c r="Z6160" t="str">
        <f t="shared" si="951"/>
        <v/>
      </c>
      <c r="AA6160">
        <f t="shared" si="949"/>
        <v>0</v>
      </c>
    </row>
    <row r="6161" spans="1:27" ht="21" customHeight="1" x14ac:dyDescent="0.95">
      <c r="A6161" s="56"/>
      <c r="B6161" s="57"/>
      <c r="C6161" s="57"/>
      <c r="D6161" s="57"/>
      <c r="E6161" s="56"/>
      <c r="F6161" s="57"/>
      <c r="G6161" s="57"/>
      <c r="H6161" s="56"/>
      <c r="I6161" s="56"/>
      <c r="J6161" s="58"/>
      <c r="K6161" s="58"/>
      <c r="L6161" s="13" t="str">
        <f t="shared" si="930"/>
        <v/>
      </c>
      <c r="M6161" s="13" t="str">
        <f t="shared" si="931"/>
        <v/>
      </c>
      <c r="Q6161" t="str">
        <f t="shared" si="932"/>
        <v/>
      </c>
      <c r="R6161" t="str">
        <f t="shared" si="933"/>
        <v/>
      </c>
      <c r="S6161" t="str">
        <f t="shared" si="934"/>
        <v/>
      </c>
      <c r="T6161" t="str">
        <f t="shared" si="935"/>
        <v/>
      </c>
      <c r="U6161" t="str">
        <f t="shared" si="936"/>
        <v/>
      </c>
      <c r="V6161" t="str">
        <f t="shared" si="937"/>
        <v/>
      </c>
      <c r="W6161" t="str">
        <f t="shared" si="950"/>
        <v/>
      </c>
      <c r="X6161">
        <f t="shared" si="948"/>
        <v>0</v>
      </c>
      <c r="Z6161" t="str">
        <f t="shared" si="951"/>
        <v/>
      </c>
      <c r="AA6161">
        <f t="shared" si="949"/>
        <v>0</v>
      </c>
    </row>
    <row r="6162" spans="1:27" ht="21" customHeight="1" x14ac:dyDescent="0.95">
      <c r="A6162" s="56"/>
      <c r="B6162" s="57"/>
      <c r="C6162" s="57"/>
      <c r="D6162" s="57"/>
      <c r="E6162" s="56"/>
      <c r="F6162" s="57"/>
      <c r="G6162" s="57"/>
      <c r="H6162" s="56"/>
      <c r="I6162" s="56"/>
      <c r="J6162" s="58"/>
      <c r="K6162" s="58"/>
      <c r="L6162" s="13" t="str">
        <f t="shared" si="930"/>
        <v/>
      </c>
      <c r="M6162" s="13" t="str">
        <f t="shared" si="931"/>
        <v/>
      </c>
      <c r="Q6162" t="str">
        <f t="shared" si="932"/>
        <v/>
      </c>
      <c r="R6162" t="str">
        <f t="shared" si="933"/>
        <v/>
      </c>
      <c r="S6162" t="str">
        <f t="shared" si="934"/>
        <v/>
      </c>
      <c r="T6162" t="str">
        <f t="shared" si="935"/>
        <v/>
      </c>
      <c r="U6162" t="str">
        <f t="shared" si="936"/>
        <v/>
      </c>
      <c r="V6162" t="str">
        <f t="shared" si="937"/>
        <v/>
      </c>
      <c r="W6162" t="str">
        <f t="shared" si="950"/>
        <v/>
      </c>
      <c r="X6162">
        <f t="shared" si="948"/>
        <v>0</v>
      </c>
      <c r="Z6162" t="str">
        <f t="shared" si="951"/>
        <v/>
      </c>
      <c r="AA6162">
        <f t="shared" si="949"/>
        <v>0</v>
      </c>
    </row>
    <row r="6163" spans="1:27" ht="21" customHeight="1" x14ac:dyDescent="0.95">
      <c r="A6163" s="56"/>
      <c r="B6163" s="57"/>
      <c r="C6163" s="57"/>
      <c r="D6163" s="57"/>
      <c r="E6163" s="56"/>
      <c r="F6163" s="57"/>
      <c r="G6163" s="57"/>
      <c r="H6163" s="56"/>
      <c r="I6163" s="56"/>
      <c r="J6163" s="58"/>
      <c r="K6163" s="58"/>
      <c r="L6163" s="13" t="str">
        <f t="shared" si="930"/>
        <v/>
      </c>
      <c r="M6163" s="13" t="str">
        <f t="shared" si="931"/>
        <v/>
      </c>
      <c r="Q6163" t="str">
        <f t="shared" si="932"/>
        <v/>
      </c>
      <c r="R6163" t="str">
        <f t="shared" si="933"/>
        <v/>
      </c>
      <c r="S6163" t="str">
        <f t="shared" si="934"/>
        <v/>
      </c>
      <c r="T6163" t="str">
        <f t="shared" si="935"/>
        <v/>
      </c>
      <c r="U6163" t="str">
        <f t="shared" si="936"/>
        <v/>
      </c>
      <c r="V6163" t="str">
        <f t="shared" si="937"/>
        <v/>
      </c>
      <c r="W6163" t="str">
        <f t="shared" si="950"/>
        <v/>
      </c>
      <c r="X6163">
        <f t="shared" si="948"/>
        <v>0</v>
      </c>
      <c r="Z6163" t="str">
        <f t="shared" si="951"/>
        <v/>
      </c>
      <c r="AA6163">
        <f t="shared" si="949"/>
        <v>0</v>
      </c>
    </row>
    <row r="6164" spans="1:27" ht="21" customHeight="1" x14ac:dyDescent="0.95">
      <c r="A6164" s="56"/>
      <c r="B6164" s="57"/>
      <c r="C6164" s="57"/>
      <c r="D6164" s="57"/>
      <c r="E6164" s="56"/>
      <c r="F6164" s="57"/>
      <c r="G6164" s="57"/>
      <c r="H6164" s="56"/>
      <c r="I6164" s="56"/>
      <c r="J6164" s="58"/>
      <c r="K6164" s="58"/>
      <c r="L6164" s="13" t="str">
        <f t="shared" si="930"/>
        <v/>
      </c>
      <c r="M6164" s="13" t="str">
        <f t="shared" si="931"/>
        <v/>
      </c>
      <c r="Q6164" t="str">
        <f t="shared" si="932"/>
        <v/>
      </c>
      <c r="R6164" t="str">
        <f t="shared" si="933"/>
        <v/>
      </c>
      <c r="S6164" t="str">
        <f t="shared" si="934"/>
        <v/>
      </c>
      <c r="T6164" t="str">
        <f t="shared" si="935"/>
        <v/>
      </c>
      <c r="U6164" t="str">
        <f t="shared" si="936"/>
        <v/>
      </c>
      <c r="V6164" t="str">
        <f t="shared" si="937"/>
        <v/>
      </c>
      <c r="W6164" t="str">
        <f t="shared" si="950"/>
        <v/>
      </c>
      <c r="X6164">
        <f t="shared" si="948"/>
        <v>0</v>
      </c>
      <c r="Z6164" t="str">
        <f t="shared" si="951"/>
        <v/>
      </c>
      <c r="AA6164">
        <f t="shared" si="949"/>
        <v>0</v>
      </c>
    </row>
    <row r="6165" spans="1:27" ht="21" customHeight="1" x14ac:dyDescent="0.95">
      <c r="A6165" s="56"/>
      <c r="B6165" s="57"/>
      <c r="C6165" s="57"/>
      <c r="D6165" s="57"/>
      <c r="E6165" s="56"/>
      <c r="F6165" s="57"/>
      <c r="G6165" s="57"/>
      <c r="H6165" s="56"/>
      <c r="I6165" s="56"/>
      <c r="J6165" s="58"/>
      <c r="K6165" s="58"/>
      <c r="L6165" s="13" t="str">
        <f t="shared" si="930"/>
        <v/>
      </c>
      <c r="M6165" s="13" t="str">
        <f t="shared" si="931"/>
        <v/>
      </c>
      <c r="Q6165" t="str">
        <f t="shared" si="932"/>
        <v/>
      </c>
      <c r="R6165" t="str">
        <f t="shared" si="933"/>
        <v/>
      </c>
      <c r="S6165" t="str">
        <f t="shared" si="934"/>
        <v/>
      </c>
      <c r="T6165" t="str">
        <f t="shared" si="935"/>
        <v/>
      </c>
      <c r="U6165" t="str">
        <f t="shared" si="936"/>
        <v/>
      </c>
      <c r="V6165" t="str">
        <f t="shared" si="937"/>
        <v/>
      </c>
      <c r="W6165" t="str">
        <f t="shared" si="950"/>
        <v/>
      </c>
      <c r="X6165">
        <f t="shared" si="948"/>
        <v>0</v>
      </c>
      <c r="Z6165" t="str">
        <f t="shared" si="951"/>
        <v/>
      </c>
      <c r="AA6165">
        <f t="shared" si="949"/>
        <v>0</v>
      </c>
    </row>
    <row r="6166" spans="1:27" ht="21" customHeight="1" x14ac:dyDescent="0.95">
      <c r="A6166" s="56"/>
      <c r="B6166" s="57"/>
      <c r="C6166" s="57"/>
      <c r="D6166" s="57"/>
      <c r="E6166" s="56"/>
      <c r="F6166" s="57"/>
      <c r="G6166" s="57"/>
      <c r="H6166" s="56"/>
      <c r="I6166" s="56"/>
      <c r="J6166" s="58"/>
      <c r="K6166" s="58"/>
      <c r="L6166" s="13" t="str">
        <f t="shared" si="930"/>
        <v/>
      </c>
      <c r="M6166" s="13" t="str">
        <f t="shared" si="931"/>
        <v/>
      </c>
      <c r="Q6166" t="str">
        <f t="shared" si="932"/>
        <v/>
      </c>
      <c r="R6166" t="str">
        <f t="shared" si="933"/>
        <v/>
      </c>
      <c r="S6166" t="str">
        <f t="shared" si="934"/>
        <v/>
      </c>
      <c r="T6166" t="str">
        <f t="shared" si="935"/>
        <v/>
      </c>
      <c r="U6166" t="str">
        <f t="shared" si="936"/>
        <v/>
      </c>
      <c r="V6166" t="str">
        <f t="shared" si="937"/>
        <v/>
      </c>
      <c r="W6166" t="str">
        <f t="shared" si="950"/>
        <v/>
      </c>
      <c r="X6166">
        <f t="shared" si="948"/>
        <v>0</v>
      </c>
      <c r="Z6166" t="str">
        <f t="shared" si="951"/>
        <v/>
      </c>
      <c r="AA6166">
        <f t="shared" si="949"/>
        <v>0</v>
      </c>
    </row>
    <row r="6167" spans="1:27" ht="21" customHeight="1" x14ac:dyDescent="0.95">
      <c r="A6167" s="56"/>
      <c r="B6167" s="57"/>
      <c r="C6167" s="57"/>
      <c r="D6167" s="57"/>
      <c r="E6167" s="56"/>
      <c r="F6167" s="57"/>
      <c r="G6167" s="57"/>
      <c r="H6167" s="56"/>
      <c r="I6167" s="56"/>
      <c r="J6167" s="58"/>
      <c r="K6167" s="58"/>
      <c r="L6167" s="13" t="str">
        <f t="shared" si="930"/>
        <v/>
      </c>
      <c r="M6167" s="13" t="str">
        <f t="shared" si="931"/>
        <v/>
      </c>
      <c r="Q6167" t="str">
        <f t="shared" si="932"/>
        <v/>
      </c>
      <c r="R6167" t="str">
        <f t="shared" si="933"/>
        <v/>
      </c>
      <c r="S6167" t="str">
        <f t="shared" si="934"/>
        <v/>
      </c>
      <c r="T6167" t="str">
        <f t="shared" si="935"/>
        <v/>
      </c>
      <c r="U6167" t="str">
        <f t="shared" si="936"/>
        <v/>
      </c>
      <c r="V6167" t="str">
        <f t="shared" si="937"/>
        <v/>
      </c>
      <c r="W6167" t="str">
        <f t="shared" si="950"/>
        <v/>
      </c>
      <c r="X6167">
        <f t="shared" si="948"/>
        <v>0</v>
      </c>
      <c r="Z6167" t="str">
        <f t="shared" si="951"/>
        <v/>
      </c>
      <c r="AA6167">
        <f t="shared" si="949"/>
        <v>0</v>
      </c>
    </row>
    <row r="6168" spans="1:27" ht="21" customHeight="1" x14ac:dyDescent="0.95">
      <c r="A6168" s="56"/>
      <c r="B6168" s="57"/>
      <c r="C6168" s="57"/>
      <c r="D6168" s="57"/>
      <c r="E6168" s="56"/>
      <c r="F6168" s="57"/>
      <c r="G6168" s="57"/>
      <c r="H6168" s="56"/>
      <c r="I6168" s="56"/>
      <c r="J6168" s="58"/>
      <c r="K6168" s="58"/>
      <c r="L6168" s="13" t="str">
        <f t="shared" si="930"/>
        <v/>
      </c>
      <c r="M6168" s="13" t="str">
        <f t="shared" si="931"/>
        <v/>
      </c>
      <c r="Q6168" t="str">
        <f t="shared" si="932"/>
        <v/>
      </c>
      <c r="R6168" t="str">
        <f t="shared" si="933"/>
        <v/>
      </c>
      <c r="S6168" t="str">
        <f t="shared" si="934"/>
        <v/>
      </c>
      <c r="T6168" t="str">
        <f t="shared" si="935"/>
        <v/>
      </c>
      <c r="U6168" t="str">
        <f t="shared" si="936"/>
        <v/>
      </c>
      <c r="V6168" t="str">
        <f t="shared" si="937"/>
        <v/>
      </c>
      <c r="W6168" t="str">
        <f t="shared" si="950"/>
        <v/>
      </c>
      <c r="X6168">
        <f t="shared" si="948"/>
        <v>0</v>
      </c>
      <c r="Z6168" t="str">
        <f t="shared" si="951"/>
        <v/>
      </c>
      <c r="AA6168">
        <f t="shared" si="949"/>
        <v>0</v>
      </c>
    </row>
    <row r="6169" spans="1:27" ht="21" customHeight="1" x14ac:dyDescent="0.95">
      <c r="A6169" s="56"/>
      <c r="B6169" s="57"/>
      <c r="C6169" s="57"/>
      <c r="D6169" s="57"/>
      <c r="E6169" s="56"/>
      <c r="F6169" s="57"/>
      <c r="G6169" s="57"/>
      <c r="H6169" s="56"/>
      <c r="I6169" s="56"/>
      <c r="J6169" s="58"/>
      <c r="K6169" s="58"/>
      <c r="L6169" s="13" t="str">
        <f t="shared" si="930"/>
        <v/>
      </c>
      <c r="M6169" s="13" t="str">
        <f t="shared" si="931"/>
        <v/>
      </c>
      <c r="Q6169" t="str">
        <f t="shared" si="932"/>
        <v/>
      </c>
      <c r="R6169" t="str">
        <f t="shared" si="933"/>
        <v/>
      </c>
      <c r="S6169" t="str">
        <f t="shared" si="934"/>
        <v/>
      </c>
      <c r="T6169" t="str">
        <f t="shared" si="935"/>
        <v/>
      </c>
      <c r="U6169" t="str">
        <f t="shared" si="936"/>
        <v/>
      </c>
      <c r="V6169" t="str">
        <f t="shared" si="937"/>
        <v/>
      </c>
      <c r="W6169" t="str">
        <f t="shared" si="950"/>
        <v/>
      </c>
      <c r="X6169">
        <f t="shared" si="948"/>
        <v>0</v>
      </c>
      <c r="Z6169" t="str">
        <f t="shared" si="951"/>
        <v/>
      </c>
      <c r="AA6169">
        <f t="shared" si="949"/>
        <v>0</v>
      </c>
    </row>
    <row r="6170" spans="1:27" ht="21" customHeight="1" x14ac:dyDescent="0.95">
      <c r="A6170" s="56"/>
      <c r="B6170" s="57"/>
      <c r="C6170" s="57"/>
      <c r="D6170" s="57"/>
      <c r="E6170" s="56"/>
      <c r="F6170" s="57"/>
      <c r="G6170" s="57"/>
      <c r="H6170" s="56"/>
      <c r="I6170" s="56"/>
      <c r="J6170" s="58"/>
      <c r="K6170" s="58"/>
      <c r="L6170" s="13" t="str">
        <f t="shared" si="930"/>
        <v/>
      </c>
      <c r="M6170" s="13" t="str">
        <f t="shared" si="931"/>
        <v/>
      </c>
      <c r="Q6170" t="str">
        <f t="shared" si="932"/>
        <v/>
      </c>
      <c r="R6170" t="str">
        <f t="shared" si="933"/>
        <v/>
      </c>
      <c r="S6170" t="str">
        <f t="shared" si="934"/>
        <v/>
      </c>
      <c r="T6170" t="str">
        <f t="shared" si="935"/>
        <v/>
      </c>
      <c r="U6170" t="str">
        <f t="shared" si="936"/>
        <v/>
      </c>
      <c r="V6170" t="str">
        <f t="shared" si="937"/>
        <v/>
      </c>
      <c r="W6170" t="str">
        <f t="shared" si="950"/>
        <v/>
      </c>
      <c r="X6170">
        <f t="shared" si="948"/>
        <v>0</v>
      </c>
      <c r="Z6170" t="str">
        <f t="shared" si="951"/>
        <v/>
      </c>
      <c r="AA6170">
        <f t="shared" si="949"/>
        <v>0</v>
      </c>
    </row>
    <row r="6171" spans="1:27" ht="21" customHeight="1" x14ac:dyDescent="0.95">
      <c r="A6171" s="56"/>
      <c r="B6171" s="57"/>
      <c r="C6171" s="57"/>
      <c r="D6171" s="57"/>
      <c r="E6171" s="56"/>
      <c r="F6171" s="57"/>
      <c r="G6171" s="57"/>
      <c r="H6171" s="56"/>
      <c r="I6171" s="56"/>
      <c r="J6171" s="58"/>
      <c r="K6171" s="58"/>
      <c r="L6171" s="13" t="str">
        <f t="shared" si="930"/>
        <v/>
      </c>
      <c r="M6171" s="13" t="str">
        <f t="shared" si="931"/>
        <v/>
      </c>
      <c r="Q6171" t="str">
        <f t="shared" si="932"/>
        <v/>
      </c>
      <c r="R6171" t="str">
        <f t="shared" si="933"/>
        <v/>
      </c>
      <c r="S6171" t="str">
        <f t="shared" si="934"/>
        <v/>
      </c>
      <c r="T6171" t="str">
        <f t="shared" si="935"/>
        <v/>
      </c>
      <c r="U6171" t="str">
        <f t="shared" si="936"/>
        <v/>
      </c>
      <c r="V6171" t="str">
        <f t="shared" si="937"/>
        <v/>
      </c>
      <c r="W6171" t="str">
        <f t="shared" si="950"/>
        <v/>
      </c>
      <c r="X6171">
        <f t="shared" si="948"/>
        <v>0</v>
      </c>
      <c r="Z6171" t="str">
        <f t="shared" si="951"/>
        <v/>
      </c>
      <c r="AA6171">
        <f t="shared" si="949"/>
        <v>0</v>
      </c>
    </row>
    <row r="6172" spans="1:27" ht="21" customHeight="1" x14ac:dyDescent="0.95">
      <c r="A6172" s="56"/>
      <c r="B6172" s="57"/>
      <c r="C6172" s="57"/>
      <c r="D6172" s="57"/>
      <c r="E6172" s="56"/>
      <c r="F6172" s="57"/>
      <c r="G6172" s="57"/>
      <c r="H6172" s="56"/>
      <c r="I6172" s="56"/>
      <c r="J6172" s="58"/>
      <c r="K6172" s="58"/>
      <c r="L6172" s="13" t="str">
        <f t="shared" si="930"/>
        <v/>
      </c>
      <c r="M6172" s="13" t="str">
        <f t="shared" si="931"/>
        <v/>
      </c>
      <c r="Q6172" t="str">
        <f t="shared" si="932"/>
        <v/>
      </c>
      <c r="R6172" t="str">
        <f t="shared" si="933"/>
        <v/>
      </c>
      <c r="S6172" t="str">
        <f t="shared" si="934"/>
        <v/>
      </c>
      <c r="T6172" t="str">
        <f t="shared" si="935"/>
        <v/>
      </c>
      <c r="U6172" t="str">
        <f t="shared" si="936"/>
        <v/>
      </c>
      <c r="V6172" t="str">
        <f t="shared" si="937"/>
        <v/>
      </c>
      <c r="W6172" t="str">
        <f t="shared" si="950"/>
        <v/>
      </c>
      <c r="X6172">
        <f t="shared" si="948"/>
        <v>0</v>
      </c>
      <c r="Z6172" t="str">
        <f t="shared" si="951"/>
        <v/>
      </c>
      <c r="AA6172">
        <f t="shared" si="949"/>
        <v>0</v>
      </c>
    </row>
    <row r="6173" spans="1:27" ht="21" customHeight="1" x14ac:dyDescent="0.95">
      <c r="A6173" s="56"/>
      <c r="B6173" s="57"/>
      <c r="C6173" s="57"/>
      <c r="D6173" s="57"/>
      <c r="E6173" s="56"/>
      <c r="F6173" s="57"/>
      <c r="G6173" s="57"/>
      <c r="H6173" s="56"/>
      <c r="I6173" s="56"/>
      <c r="J6173" s="58"/>
      <c r="K6173" s="58"/>
      <c r="L6173" s="13" t="str">
        <f t="shared" si="930"/>
        <v/>
      </c>
      <c r="M6173" s="13" t="str">
        <f t="shared" si="931"/>
        <v/>
      </c>
      <c r="Q6173" t="str">
        <f t="shared" si="932"/>
        <v/>
      </c>
      <c r="R6173" t="str">
        <f t="shared" si="933"/>
        <v/>
      </c>
      <c r="S6173" t="str">
        <f t="shared" si="934"/>
        <v/>
      </c>
      <c r="T6173" t="str">
        <f t="shared" si="935"/>
        <v/>
      </c>
      <c r="U6173" t="str">
        <f t="shared" si="936"/>
        <v/>
      </c>
      <c r="V6173" t="str">
        <f t="shared" si="937"/>
        <v/>
      </c>
      <c r="W6173" t="str">
        <f t="shared" si="950"/>
        <v/>
      </c>
      <c r="X6173">
        <f t="shared" si="948"/>
        <v>0</v>
      </c>
      <c r="Z6173" t="str">
        <f t="shared" si="951"/>
        <v/>
      </c>
      <c r="AA6173">
        <f t="shared" si="949"/>
        <v>0</v>
      </c>
    </row>
    <row r="6174" spans="1:27" ht="21" customHeight="1" x14ac:dyDescent="0.95">
      <c r="A6174" s="56"/>
      <c r="B6174" s="57"/>
      <c r="C6174" s="57"/>
      <c r="D6174" s="57"/>
      <c r="E6174" s="56"/>
      <c r="F6174" s="57"/>
      <c r="G6174" s="57"/>
      <c r="H6174" s="56"/>
      <c r="I6174" s="56"/>
      <c r="J6174" s="58"/>
      <c r="K6174" s="58"/>
      <c r="L6174" s="13" t="str">
        <f t="shared" si="930"/>
        <v/>
      </c>
      <c r="M6174" s="13" t="str">
        <f t="shared" si="931"/>
        <v/>
      </c>
      <c r="Q6174" t="str">
        <f t="shared" si="932"/>
        <v/>
      </c>
      <c r="R6174" t="str">
        <f t="shared" si="933"/>
        <v/>
      </c>
      <c r="S6174" t="str">
        <f t="shared" si="934"/>
        <v/>
      </c>
      <c r="T6174" t="str">
        <f t="shared" si="935"/>
        <v/>
      </c>
      <c r="U6174" t="str">
        <f t="shared" si="936"/>
        <v/>
      </c>
      <c r="V6174" t="str">
        <f t="shared" si="937"/>
        <v/>
      </c>
      <c r="W6174" t="str">
        <f t="shared" si="950"/>
        <v/>
      </c>
      <c r="X6174">
        <f t="shared" si="948"/>
        <v>0</v>
      </c>
      <c r="Z6174" t="str">
        <f t="shared" si="951"/>
        <v/>
      </c>
      <c r="AA6174">
        <f t="shared" si="949"/>
        <v>0</v>
      </c>
    </row>
    <row r="6175" spans="1:27" ht="21" customHeight="1" x14ac:dyDescent="0.95">
      <c r="A6175" s="56"/>
      <c r="B6175" s="57"/>
      <c r="C6175" s="57"/>
      <c r="D6175" s="57"/>
      <c r="E6175" s="56"/>
      <c r="F6175" s="57"/>
      <c r="G6175" s="57"/>
      <c r="H6175" s="56"/>
      <c r="I6175" s="56"/>
      <c r="J6175" s="58"/>
      <c r="K6175" s="58"/>
      <c r="L6175" s="13" t="str">
        <f t="shared" si="930"/>
        <v/>
      </c>
      <c r="M6175" s="13" t="str">
        <f t="shared" si="931"/>
        <v/>
      </c>
      <c r="Q6175" t="str">
        <f t="shared" si="932"/>
        <v/>
      </c>
      <c r="R6175" t="str">
        <f t="shared" si="933"/>
        <v/>
      </c>
      <c r="S6175" t="str">
        <f t="shared" si="934"/>
        <v/>
      </c>
      <c r="T6175" t="str">
        <f t="shared" si="935"/>
        <v/>
      </c>
      <c r="U6175" t="str">
        <f t="shared" si="936"/>
        <v/>
      </c>
      <c r="V6175" t="str">
        <f t="shared" si="937"/>
        <v/>
      </c>
      <c r="W6175" t="str">
        <f t="shared" si="950"/>
        <v/>
      </c>
      <c r="X6175">
        <f t="shared" si="948"/>
        <v>0</v>
      </c>
      <c r="Z6175" t="str">
        <f t="shared" si="951"/>
        <v/>
      </c>
      <c r="AA6175">
        <f t="shared" si="949"/>
        <v>0</v>
      </c>
    </row>
    <row r="6176" spans="1:27" ht="21" customHeight="1" x14ac:dyDescent="0.95">
      <c r="A6176" s="56"/>
      <c r="B6176" s="57"/>
      <c r="C6176" s="57"/>
      <c r="D6176" s="57"/>
      <c r="E6176" s="56"/>
      <c r="F6176" s="57"/>
      <c r="G6176" s="57"/>
      <c r="H6176" s="56"/>
      <c r="I6176" s="56"/>
      <c r="J6176" s="58"/>
      <c r="K6176" s="58"/>
      <c r="L6176" s="13" t="str">
        <f t="shared" si="930"/>
        <v/>
      </c>
      <c r="M6176" s="13" t="str">
        <f t="shared" si="931"/>
        <v/>
      </c>
      <c r="Q6176" t="str">
        <f t="shared" si="932"/>
        <v/>
      </c>
      <c r="R6176" t="str">
        <f t="shared" si="933"/>
        <v/>
      </c>
      <c r="S6176" t="str">
        <f t="shared" si="934"/>
        <v/>
      </c>
      <c r="T6176" t="str">
        <f t="shared" si="935"/>
        <v/>
      </c>
      <c r="U6176" t="str">
        <f t="shared" si="936"/>
        <v/>
      </c>
      <c r="V6176" t="str">
        <f t="shared" si="937"/>
        <v/>
      </c>
      <c r="W6176" t="str">
        <f t="shared" si="950"/>
        <v/>
      </c>
      <c r="X6176">
        <f t="shared" si="948"/>
        <v>0</v>
      </c>
      <c r="Z6176" t="str">
        <f t="shared" si="951"/>
        <v/>
      </c>
      <c r="AA6176">
        <f t="shared" si="949"/>
        <v>0</v>
      </c>
    </row>
    <row r="6177" spans="1:27" ht="21" customHeight="1" x14ac:dyDescent="0.95">
      <c r="A6177" s="56"/>
      <c r="B6177" s="57"/>
      <c r="C6177" s="57"/>
      <c r="D6177" s="57"/>
      <c r="E6177" s="56"/>
      <c r="F6177" s="57"/>
      <c r="G6177" s="57"/>
      <c r="H6177" s="56"/>
      <c r="I6177" s="56"/>
      <c r="J6177" s="58"/>
      <c r="K6177" s="58"/>
      <c r="L6177" s="13" t="str">
        <f t="shared" si="930"/>
        <v/>
      </c>
      <c r="M6177" s="13" t="str">
        <f t="shared" si="931"/>
        <v/>
      </c>
      <c r="Q6177" t="str">
        <f t="shared" si="932"/>
        <v/>
      </c>
      <c r="R6177" t="str">
        <f t="shared" si="933"/>
        <v/>
      </c>
      <c r="S6177" t="str">
        <f t="shared" si="934"/>
        <v/>
      </c>
      <c r="T6177" t="str">
        <f t="shared" si="935"/>
        <v/>
      </c>
      <c r="U6177" t="str">
        <f t="shared" si="936"/>
        <v/>
      </c>
      <c r="V6177" t="str">
        <f t="shared" si="937"/>
        <v/>
      </c>
      <c r="W6177" t="str">
        <f t="shared" si="950"/>
        <v/>
      </c>
      <c r="X6177">
        <f t="shared" si="948"/>
        <v>0</v>
      </c>
      <c r="Z6177" t="str">
        <f t="shared" si="951"/>
        <v/>
      </c>
      <c r="AA6177">
        <f t="shared" si="949"/>
        <v>0</v>
      </c>
    </row>
    <row r="6178" spans="1:27" ht="21" customHeight="1" x14ac:dyDescent="0.95">
      <c r="A6178" s="56"/>
      <c r="B6178" s="57"/>
      <c r="C6178" s="57"/>
      <c r="D6178" s="57"/>
      <c r="E6178" s="56"/>
      <c r="F6178" s="57"/>
      <c r="G6178" s="57"/>
      <c r="H6178" s="56"/>
      <c r="I6178" s="56"/>
      <c r="J6178" s="58"/>
      <c r="K6178" s="58"/>
      <c r="L6178" s="13" t="str">
        <f t="shared" si="930"/>
        <v/>
      </c>
      <c r="M6178" s="13" t="str">
        <f t="shared" si="931"/>
        <v/>
      </c>
      <c r="Q6178" t="str">
        <f t="shared" si="932"/>
        <v/>
      </c>
      <c r="R6178" t="str">
        <f t="shared" si="933"/>
        <v/>
      </c>
      <c r="S6178" t="str">
        <f t="shared" si="934"/>
        <v/>
      </c>
      <c r="T6178" t="str">
        <f t="shared" si="935"/>
        <v/>
      </c>
      <c r="U6178" t="str">
        <f t="shared" si="936"/>
        <v/>
      </c>
      <c r="V6178" t="str">
        <f t="shared" si="937"/>
        <v/>
      </c>
      <c r="W6178" t="str">
        <f t="shared" si="950"/>
        <v/>
      </c>
      <c r="X6178">
        <f t="shared" si="948"/>
        <v>0</v>
      </c>
      <c r="Z6178" t="str">
        <f t="shared" si="951"/>
        <v/>
      </c>
      <c r="AA6178">
        <f t="shared" si="949"/>
        <v>0</v>
      </c>
    </row>
    <row r="6179" spans="1:27" ht="21" customHeight="1" x14ac:dyDescent="0.95">
      <c r="A6179" s="56"/>
      <c r="B6179" s="57"/>
      <c r="C6179" s="57"/>
      <c r="D6179" s="57"/>
      <c r="E6179" s="56"/>
      <c r="F6179" s="57"/>
      <c r="G6179" s="57"/>
      <c r="H6179" s="56"/>
      <c r="I6179" s="56"/>
      <c r="J6179" s="58"/>
      <c r="K6179" s="58"/>
      <c r="L6179" s="13" t="str">
        <f t="shared" si="930"/>
        <v/>
      </c>
      <c r="M6179" s="13" t="str">
        <f t="shared" si="931"/>
        <v/>
      </c>
      <c r="Q6179" t="str">
        <f t="shared" si="932"/>
        <v/>
      </c>
      <c r="R6179" t="str">
        <f t="shared" si="933"/>
        <v/>
      </c>
      <c r="S6179" t="str">
        <f t="shared" si="934"/>
        <v/>
      </c>
      <c r="T6179" t="str">
        <f t="shared" si="935"/>
        <v/>
      </c>
      <c r="U6179" t="str">
        <f t="shared" si="936"/>
        <v/>
      </c>
      <c r="V6179" t="str">
        <f t="shared" si="937"/>
        <v/>
      </c>
      <c r="W6179" t="str">
        <f t="shared" si="950"/>
        <v/>
      </c>
      <c r="X6179">
        <f t="shared" si="948"/>
        <v>0</v>
      </c>
      <c r="Z6179" t="str">
        <f t="shared" si="951"/>
        <v/>
      </c>
      <c r="AA6179">
        <f t="shared" si="949"/>
        <v>0</v>
      </c>
    </row>
    <row r="6180" spans="1:27" ht="21" customHeight="1" x14ac:dyDescent="0.95">
      <c r="A6180" s="56"/>
      <c r="B6180" s="57"/>
      <c r="C6180" s="57"/>
      <c r="D6180" s="57"/>
      <c r="E6180" s="56"/>
      <c r="F6180" s="57"/>
      <c r="G6180" s="57"/>
      <c r="H6180" s="56"/>
      <c r="I6180" s="56"/>
      <c r="J6180" s="58"/>
      <c r="K6180" s="58"/>
      <c r="L6180" s="13" t="str">
        <f t="shared" si="930"/>
        <v/>
      </c>
      <c r="M6180" s="13" t="str">
        <f t="shared" si="931"/>
        <v/>
      </c>
      <c r="Q6180" t="str">
        <f t="shared" si="932"/>
        <v/>
      </c>
      <c r="R6180" t="str">
        <f t="shared" si="933"/>
        <v/>
      </c>
      <c r="S6180" t="str">
        <f t="shared" si="934"/>
        <v/>
      </c>
      <c r="T6180" t="str">
        <f t="shared" si="935"/>
        <v/>
      </c>
      <c r="U6180" t="str">
        <f t="shared" si="936"/>
        <v/>
      </c>
      <c r="V6180" t="str">
        <f t="shared" si="937"/>
        <v/>
      </c>
      <c r="W6180" t="str">
        <f t="shared" si="950"/>
        <v/>
      </c>
      <c r="X6180">
        <f t="shared" si="948"/>
        <v>0</v>
      </c>
      <c r="Z6180" t="str">
        <f t="shared" si="951"/>
        <v/>
      </c>
      <c r="AA6180">
        <f t="shared" si="949"/>
        <v>0</v>
      </c>
    </row>
    <row r="6181" spans="1:27" ht="21" customHeight="1" x14ac:dyDescent="0.95">
      <c r="A6181" s="56"/>
      <c r="B6181" s="57"/>
      <c r="C6181" s="57"/>
      <c r="D6181" s="57"/>
      <c r="E6181" s="56"/>
      <c r="F6181" s="57"/>
      <c r="G6181" s="57"/>
      <c r="H6181" s="56"/>
      <c r="I6181" s="56"/>
      <c r="J6181" s="58"/>
      <c r="K6181" s="58"/>
      <c r="L6181" s="13" t="str">
        <f t="shared" si="930"/>
        <v/>
      </c>
      <c r="M6181" s="13" t="str">
        <f t="shared" si="931"/>
        <v/>
      </c>
      <c r="Q6181" t="str">
        <f t="shared" si="932"/>
        <v/>
      </c>
      <c r="R6181" t="str">
        <f t="shared" si="933"/>
        <v/>
      </c>
      <c r="S6181" t="str">
        <f t="shared" si="934"/>
        <v/>
      </c>
      <c r="T6181" t="str">
        <f t="shared" si="935"/>
        <v/>
      </c>
      <c r="U6181" t="str">
        <f t="shared" si="936"/>
        <v/>
      </c>
      <c r="V6181" t="str">
        <f t="shared" si="937"/>
        <v/>
      </c>
      <c r="W6181" t="str">
        <f t="shared" si="950"/>
        <v/>
      </c>
      <c r="X6181">
        <f t="shared" si="948"/>
        <v>0</v>
      </c>
      <c r="Z6181" t="str">
        <f t="shared" si="951"/>
        <v/>
      </c>
      <c r="AA6181">
        <f t="shared" si="949"/>
        <v>0</v>
      </c>
    </row>
    <row r="6182" spans="1:27" ht="21" customHeight="1" x14ac:dyDescent="0.95">
      <c r="A6182" s="56"/>
      <c r="B6182" s="57"/>
      <c r="C6182" s="57"/>
      <c r="D6182" s="57"/>
      <c r="E6182" s="56"/>
      <c r="F6182" s="57"/>
      <c r="G6182" s="57"/>
      <c r="H6182" s="56"/>
      <c r="I6182" s="56"/>
      <c r="J6182" s="58"/>
      <c r="K6182" s="58"/>
      <c r="L6182" s="13" t="str">
        <f t="shared" si="930"/>
        <v/>
      </c>
      <c r="M6182" s="13" t="str">
        <f t="shared" si="931"/>
        <v/>
      </c>
      <c r="Q6182" t="str">
        <f t="shared" si="932"/>
        <v/>
      </c>
      <c r="R6182" t="str">
        <f t="shared" si="933"/>
        <v/>
      </c>
      <c r="S6182" t="str">
        <f t="shared" si="934"/>
        <v/>
      </c>
      <c r="T6182" t="str">
        <f t="shared" si="935"/>
        <v/>
      </c>
      <c r="U6182" t="str">
        <f t="shared" si="936"/>
        <v/>
      </c>
      <c r="V6182" t="str">
        <f t="shared" si="937"/>
        <v/>
      </c>
      <c r="W6182" t="str">
        <f t="shared" si="950"/>
        <v/>
      </c>
      <c r="X6182">
        <f t="shared" si="948"/>
        <v>0</v>
      </c>
      <c r="Z6182" t="str">
        <f t="shared" si="951"/>
        <v/>
      </c>
      <c r="AA6182">
        <f t="shared" si="949"/>
        <v>0</v>
      </c>
    </row>
    <row r="6183" spans="1:27" ht="21" customHeight="1" x14ac:dyDescent="0.95">
      <c r="A6183" s="56"/>
      <c r="B6183" s="57"/>
      <c r="C6183" s="57"/>
      <c r="D6183" s="57"/>
      <c r="E6183" s="56"/>
      <c r="F6183" s="57"/>
      <c r="G6183" s="57"/>
      <c r="H6183" s="56"/>
      <c r="I6183" s="56"/>
      <c r="J6183" s="58"/>
      <c r="K6183" s="58"/>
      <c r="L6183" s="13" t="str">
        <f t="shared" si="930"/>
        <v/>
      </c>
      <c r="M6183" s="13" t="str">
        <f t="shared" si="931"/>
        <v/>
      </c>
      <c r="Q6183" t="str">
        <f t="shared" si="932"/>
        <v/>
      </c>
      <c r="R6183" t="str">
        <f t="shared" si="933"/>
        <v/>
      </c>
      <c r="S6183" t="str">
        <f t="shared" si="934"/>
        <v/>
      </c>
      <c r="T6183" t="str">
        <f t="shared" si="935"/>
        <v/>
      </c>
      <c r="U6183" t="str">
        <f t="shared" si="936"/>
        <v/>
      </c>
      <c r="V6183" t="str">
        <f t="shared" si="937"/>
        <v/>
      </c>
      <c r="W6183" t="str">
        <f t="shared" si="950"/>
        <v/>
      </c>
      <c r="X6183">
        <f t="shared" si="948"/>
        <v>0</v>
      </c>
      <c r="Z6183" t="str">
        <f t="shared" si="951"/>
        <v/>
      </c>
      <c r="AA6183">
        <f t="shared" si="949"/>
        <v>0</v>
      </c>
    </row>
    <row r="6184" spans="1:27" ht="21" customHeight="1" x14ac:dyDescent="0.95">
      <c r="A6184" s="56"/>
      <c r="B6184" s="57"/>
      <c r="C6184" s="57"/>
      <c r="D6184" s="57"/>
      <c r="E6184" s="56"/>
      <c r="F6184" s="57"/>
      <c r="G6184" s="57"/>
      <c r="H6184" s="56"/>
      <c r="I6184" s="56"/>
      <c r="J6184" s="58"/>
      <c r="K6184" s="58"/>
      <c r="L6184" s="13" t="str">
        <f t="shared" si="930"/>
        <v/>
      </c>
      <c r="M6184" s="13" t="str">
        <f t="shared" si="931"/>
        <v/>
      </c>
      <c r="Q6184" t="str">
        <f t="shared" si="932"/>
        <v/>
      </c>
      <c r="R6184" t="str">
        <f t="shared" si="933"/>
        <v/>
      </c>
      <c r="S6184" t="str">
        <f t="shared" si="934"/>
        <v/>
      </c>
      <c r="T6184" t="str">
        <f t="shared" si="935"/>
        <v/>
      </c>
      <c r="U6184" t="str">
        <f t="shared" si="936"/>
        <v/>
      </c>
      <c r="V6184" t="str">
        <f t="shared" si="937"/>
        <v/>
      </c>
      <c r="W6184" t="str">
        <f t="shared" si="950"/>
        <v/>
      </c>
      <c r="X6184">
        <f t="shared" si="948"/>
        <v>0</v>
      </c>
      <c r="Z6184" t="str">
        <f t="shared" si="951"/>
        <v/>
      </c>
      <c r="AA6184">
        <f t="shared" si="949"/>
        <v>0</v>
      </c>
    </row>
    <row r="6185" spans="1:27" ht="21" customHeight="1" x14ac:dyDescent="0.95">
      <c r="A6185" s="56"/>
      <c r="B6185" s="57"/>
      <c r="C6185" s="57"/>
      <c r="D6185" s="57"/>
      <c r="E6185" s="56"/>
      <c r="F6185" s="57"/>
      <c r="G6185" s="57"/>
      <c r="H6185" s="56"/>
      <c r="I6185" s="56"/>
      <c r="J6185" s="58"/>
      <c r="K6185" s="58"/>
      <c r="L6185" s="13" t="str">
        <f t="shared" si="930"/>
        <v/>
      </c>
      <c r="M6185" s="13" t="str">
        <f t="shared" si="931"/>
        <v/>
      </c>
      <c r="Q6185" t="str">
        <f t="shared" si="932"/>
        <v/>
      </c>
      <c r="R6185" t="str">
        <f t="shared" si="933"/>
        <v/>
      </c>
      <c r="S6185" t="str">
        <f t="shared" si="934"/>
        <v/>
      </c>
      <c r="T6185" t="str">
        <f t="shared" si="935"/>
        <v/>
      </c>
      <c r="U6185" t="str">
        <f t="shared" si="936"/>
        <v/>
      </c>
      <c r="V6185" t="str">
        <f t="shared" si="937"/>
        <v/>
      </c>
      <c r="W6185" t="str">
        <f t="shared" si="950"/>
        <v/>
      </c>
      <c r="X6185">
        <f t="shared" si="948"/>
        <v>0</v>
      </c>
      <c r="Z6185" t="str">
        <f t="shared" si="951"/>
        <v/>
      </c>
      <c r="AA6185">
        <f t="shared" si="949"/>
        <v>0</v>
      </c>
    </row>
    <row r="6186" spans="1:27" ht="21" customHeight="1" x14ac:dyDescent="0.95">
      <c r="A6186" s="56"/>
      <c r="B6186" s="57"/>
      <c r="C6186" s="57"/>
      <c r="D6186" s="57"/>
      <c r="E6186" s="56"/>
      <c r="F6186" s="57"/>
      <c r="G6186" s="57"/>
      <c r="H6186" s="56"/>
      <c r="I6186" s="56"/>
      <c r="J6186" s="58"/>
      <c r="K6186" s="58"/>
      <c r="L6186" s="13" t="str">
        <f t="shared" si="930"/>
        <v/>
      </c>
      <c r="M6186" s="13" t="str">
        <f t="shared" si="931"/>
        <v/>
      </c>
      <c r="Q6186" t="str">
        <f t="shared" si="932"/>
        <v/>
      </c>
      <c r="R6186" t="str">
        <f t="shared" si="933"/>
        <v/>
      </c>
      <c r="S6186" t="str">
        <f t="shared" si="934"/>
        <v/>
      </c>
      <c r="T6186" t="str">
        <f t="shared" si="935"/>
        <v/>
      </c>
      <c r="U6186" t="str">
        <f t="shared" si="936"/>
        <v/>
      </c>
      <c r="V6186" t="str">
        <f t="shared" si="937"/>
        <v/>
      </c>
      <c r="W6186" t="str">
        <f t="shared" si="950"/>
        <v/>
      </c>
      <c r="X6186">
        <f t="shared" si="948"/>
        <v>0</v>
      </c>
      <c r="Z6186" t="str">
        <f t="shared" si="951"/>
        <v/>
      </c>
      <c r="AA6186">
        <f t="shared" si="949"/>
        <v>0</v>
      </c>
    </row>
    <row r="6187" spans="1:27" ht="21" customHeight="1" x14ac:dyDescent="0.95">
      <c r="A6187" s="56"/>
      <c r="B6187" s="57"/>
      <c r="C6187" s="57"/>
      <c r="D6187" s="57"/>
      <c r="E6187" s="56"/>
      <c r="F6187" s="57"/>
      <c r="G6187" s="57"/>
      <c r="H6187" s="56"/>
      <c r="I6187" s="56"/>
      <c r="J6187" s="58"/>
      <c r="K6187" s="58"/>
      <c r="L6187" s="13" t="str">
        <f t="shared" si="930"/>
        <v/>
      </c>
      <c r="M6187" s="13" t="str">
        <f t="shared" si="931"/>
        <v/>
      </c>
      <c r="Q6187" t="str">
        <f t="shared" si="932"/>
        <v/>
      </c>
      <c r="R6187" t="str">
        <f t="shared" si="933"/>
        <v/>
      </c>
      <c r="S6187" t="str">
        <f t="shared" si="934"/>
        <v/>
      </c>
      <c r="T6187" t="str">
        <f t="shared" si="935"/>
        <v/>
      </c>
      <c r="U6187" t="str">
        <f t="shared" si="936"/>
        <v/>
      </c>
      <c r="V6187" t="str">
        <f t="shared" si="937"/>
        <v/>
      </c>
      <c r="W6187" t="str">
        <f t="shared" si="950"/>
        <v/>
      </c>
      <c r="X6187">
        <f t="shared" si="948"/>
        <v>0</v>
      </c>
      <c r="Z6187" t="str">
        <f t="shared" si="951"/>
        <v/>
      </c>
      <c r="AA6187">
        <f t="shared" si="949"/>
        <v>0</v>
      </c>
    </row>
    <row r="6188" spans="1:27" ht="21" customHeight="1" x14ac:dyDescent="0.95">
      <c r="A6188" s="56"/>
      <c r="B6188" s="57"/>
      <c r="C6188" s="57"/>
      <c r="D6188" s="57"/>
      <c r="E6188" s="56"/>
      <c r="F6188" s="57"/>
      <c r="G6188" s="57"/>
      <c r="H6188" s="56"/>
      <c r="I6188" s="56"/>
      <c r="J6188" s="58"/>
      <c r="K6188" s="58"/>
      <c r="L6188" s="13" t="str">
        <f t="shared" si="930"/>
        <v/>
      </c>
      <c r="M6188" s="13" t="str">
        <f t="shared" si="931"/>
        <v/>
      </c>
      <c r="Q6188" t="str">
        <f t="shared" si="932"/>
        <v/>
      </c>
      <c r="R6188" t="str">
        <f t="shared" si="933"/>
        <v/>
      </c>
      <c r="S6188" t="str">
        <f t="shared" si="934"/>
        <v/>
      </c>
      <c r="T6188" t="str">
        <f t="shared" si="935"/>
        <v/>
      </c>
      <c r="U6188" t="str">
        <f t="shared" si="936"/>
        <v/>
      </c>
      <c r="V6188" t="str">
        <f t="shared" si="937"/>
        <v/>
      </c>
      <c r="W6188" t="str">
        <f t="shared" si="950"/>
        <v/>
      </c>
      <c r="X6188">
        <f t="shared" si="948"/>
        <v>0</v>
      </c>
      <c r="Z6188" t="str">
        <f t="shared" si="951"/>
        <v/>
      </c>
      <c r="AA6188">
        <f t="shared" si="949"/>
        <v>0</v>
      </c>
    </row>
    <row r="6189" spans="1:27" ht="21" customHeight="1" x14ac:dyDescent="0.95">
      <c r="A6189" s="56"/>
      <c r="B6189" s="57"/>
      <c r="C6189" s="57"/>
      <c r="D6189" s="57"/>
      <c r="E6189" s="56"/>
      <c r="F6189" s="57"/>
      <c r="G6189" s="57"/>
      <c r="H6189" s="56"/>
      <c r="I6189" s="56"/>
      <c r="J6189" s="58"/>
      <c r="K6189" s="58"/>
      <c r="L6189" s="13" t="str">
        <f t="shared" si="930"/>
        <v/>
      </c>
      <c r="M6189" s="13" t="str">
        <f t="shared" si="931"/>
        <v/>
      </c>
      <c r="Q6189" t="str">
        <f t="shared" si="932"/>
        <v/>
      </c>
      <c r="R6189" t="str">
        <f t="shared" si="933"/>
        <v/>
      </c>
      <c r="S6189" t="str">
        <f t="shared" si="934"/>
        <v/>
      </c>
      <c r="T6189" t="str">
        <f t="shared" si="935"/>
        <v/>
      </c>
      <c r="U6189" t="str">
        <f t="shared" si="936"/>
        <v/>
      </c>
      <c r="V6189" t="str">
        <f t="shared" si="937"/>
        <v/>
      </c>
      <c r="W6189" t="str">
        <f t="shared" si="950"/>
        <v/>
      </c>
      <c r="X6189">
        <f t="shared" si="948"/>
        <v>0</v>
      </c>
      <c r="Z6189" t="str">
        <f t="shared" si="951"/>
        <v/>
      </c>
      <c r="AA6189">
        <f t="shared" si="949"/>
        <v>0</v>
      </c>
    </row>
    <row r="6190" spans="1:27" ht="21" customHeight="1" x14ac:dyDescent="0.95">
      <c r="A6190" s="56"/>
      <c r="B6190" s="57"/>
      <c r="C6190" s="57"/>
      <c r="D6190" s="57"/>
      <c r="E6190" s="56"/>
      <c r="F6190" s="57"/>
      <c r="G6190" s="57"/>
      <c r="H6190" s="56"/>
      <c r="I6190" s="56"/>
      <c r="J6190" s="58"/>
      <c r="K6190" s="58"/>
      <c r="L6190" s="13" t="str">
        <f t="shared" si="930"/>
        <v/>
      </c>
      <c r="M6190" s="13" t="str">
        <f t="shared" si="931"/>
        <v/>
      </c>
      <c r="Q6190" t="str">
        <f t="shared" si="932"/>
        <v/>
      </c>
      <c r="R6190" t="str">
        <f t="shared" si="933"/>
        <v/>
      </c>
      <c r="S6190" t="str">
        <f t="shared" si="934"/>
        <v/>
      </c>
      <c r="T6190" t="str">
        <f t="shared" si="935"/>
        <v/>
      </c>
      <c r="U6190" t="str">
        <f t="shared" si="936"/>
        <v/>
      </c>
      <c r="V6190" t="str">
        <f t="shared" si="937"/>
        <v/>
      </c>
      <c r="W6190" t="str">
        <f t="shared" si="950"/>
        <v/>
      </c>
      <c r="X6190">
        <f t="shared" si="948"/>
        <v>0</v>
      </c>
      <c r="Z6190" t="str">
        <f t="shared" si="951"/>
        <v/>
      </c>
      <c r="AA6190">
        <f t="shared" si="949"/>
        <v>0</v>
      </c>
    </row>
    <row r="6191" spans="1:27" ht="21" customHeight="1" x14ac:dyDescent="0.95">
      <c r="A6191" s="56"/>
      <c r="B6191" s="57"/>
      <c r="C6191" s="57"/>
      <c r="D6191" s="57"/>
      <c r="E6191" s="56"/>
      <c r="F6191" s="57"/>
      <c r="G6191" s="57"/>
      <c r="H6191" s="56"/>
      <c r="I6191" s="56"/>
      <c r="J6191" s="58"/>
      <c r="K6191" s="58"/>
      <c r="L6191" s="13" t="str">
        <f t="shared" si="930"/>
        <v/>
      </c>
      <c r="M6191" s="13" t="str">
        <f t="shared" si="931"/>
        <v/>
      </c>
      <c r="Q6191" t="str">
        <f t="shared" si="932"/>
        <v/>
      </c>
      <c r="R6191" t="str">
        <f t="shared" si="933"/>
        <v/>
      </c>
      <c r="S6191" t="str">
        <f t="shared" si="934"/>
        <v/>
      </c>
      <c r="T6191" t="str">
        <f t="shared" si="935"/>
        <v/>
      </c>
      <c r="U6191" t="str">
        <f t="shared" si="936"/>
        <v/>
      </c>
      <c r="V6191" t="str">
        <f t="shared" si="937"/>
        <v/>
      </c>
      <c r="W6191" t="str">
        <f t="shared" si="950"/>
        <v/>
      </c>
      <c r="X6191">
        <f t="shared" si="948"/>
        <v>0</v>
      </c>
      <c r="Z6191" t="str">
        <f t="shared" si="951"/>
        <v/>
      </c>
      <c r="AA6191">
        <f t="shared" si="949"/>
        <v>0</v>
      </c>
    </row>
    <row r="6192" spans="1:27" ht="21" customHeight="1" x14ac:dyDescent="0.95">
      <c r="A6192" s="56"/>
      <c r="B6192" s="57"/>
      <c r="C6192" s="57"/>
      <c r="D6192" s="57"/>
      <c r="E6192" s="56"/>
      <c r="F6192" s="57"/>
      <c r="G6192" s="57"/>
      <c r="H6192" s="56"/>
      <c r="I6192" s="56"/>
      <c r="J6192" s="58"/>
      <c r="K6192" s="58"/>
      <c r="L6192" s="13" t="str">
        <f t="shared" si="930"/>
        <v/>
      </c>
      <c r="M6192" s="13" t="str">
        <f t="shared" si="931"/>
        <v/>
      </c>
      <c r="Q6192" t="str">
        <f t="shared" si="932"/>
        <v/>
      </c>
      <c r="R6192" t="str">
        <f t="shared" si="933"/>
        <v/>
      </c>
      <c r="S6192" t="str">
        <f t="shared" si="934"/>
        <v/>
      </c>
      <c r="T6192" t="str">
        <f t="shared" si="935"/>
        <v/>
      </c>
      <c r="U6192" t="str">
        <f t="shared" si="936"/>
        <v/>
      </c>
      <c r="V6192" t="str">
        <f t="shared" si="937"/>
        <v/>
      </c>
      <c r="W6192" t="str">
        <f t="shared" si="950"/>
        <v/>
      </c>
      <c r="X6192">
        <f t="shared" si="948"/>
        <v>0</v>
      </c>
      <c r="Z6192" t="str">
        <f t="shared" si="951"/>
        <v/>
      </c>
      <c r="AA6192">
        <f t="shared" si="949"/>
        <v>0</v>
      </c>
    </row>
    <row r="6193" spans="1:27" ht="21" customHeight="1" x14ac:dyDescent="0.95">
      <c r="A6193" s="56"/>
      <c r="B6193" s="57"/>
      <c r="C6193" s="57"/>
      <c r="D6193" s="57"/>
      <c r="E6193" s="56"/>
      <c r="F6193" s="57"/>
      <c r="G6193" s="57"/>
      <c r="H6193" s="56"/>
      <c r="I6193" s="56"/>
      <c r="J6193" s="58"/>
      <c r="K6193" s="58"/>
      <c r="L6193" s="13" t="str">
        <f t="shared" si="930"/>
        <v/>
      </c>
      <c r="M6193" s="13" t="str">
        <f t="shared" si="931"/>
        <v/>
      </c>
      <c r="Q6193" t="str">
        <f t="shared" si="932"/>
        <v/>
      </c>
      <c r="R6193" t="str">
        <f t="shared" si="933"/>
        <v/>
      </c>
      <c r="S6193" t="str">
        <f t="shared" si="934"/>
        <v/>
      </c>
      <c r="T6193" t="str">
        <f t="shared" si="935"/>
        <v/>
      </c>
      <c r="U6193" t="str">
        <f t="shared" si="936"/>
        <v/>
      </c>
      <c r="V6193" t="str">
        <f t="shared" si="937"/>
        <v/>
      </c>
      <c r="W6193" t="str">
        <f t="shared" si="950"/>
        <v/>
      </c>
      <c r="X6193">
        <f t="shared" si="948"/>
        <v>0</v>
      </c>
      <c r="Z6193" t="str">
        <f t="shared" si="951"/>
        <v/>
      </c>
      <c r="AA6193">
        <f t="shared" si="949"/>
        <v>0</v>
      </c>
    </row>
    <row r="6194" spans="1:27" ht="21" customHeight="1" x14ac:dyDescent="0.95">
      <c r="A6194" s="56"/>
      <c r="B6194" s="57"/>
      <c r="C6194" s="57"/>
      <c r="D6194" s="57"/>
      <c r="E6194" s="56"/>
      <c r="F6194" s="57"/>
      <c r="G6194" s="57"/>
      <c r="H6194" s="56"/>
      <c r="I6194" s="56"/>
      <c r="J6194" s="58"/>
      <c r="K6194" s="58"/>
      <c r="L6194" s="13" t="str">
        <f t="shared" si="930"/>
        <v/>
      </c>
      <c r="M6194" s="13" t="str">
        <f t="shared" si="931"/>
        <v/>
      </c>
      <c r="Q6194" t="str">
        <f t="shared" si="932"/>
        <v/>
      </c>
      <c r="R6194" t="str">
        <f t="shared" si="933"/>
        <v/>
      </c>
      <c r="S6194" t="str">
        <f t="shared" si="934"/>
        <v/>
      </c>
      <c r="T6194" t="str">
        <f t="shared" si="935"/>
        <v/>
      </c>
      <c r="U6194" t="str">
        <f t="shared" si="936"/>
        <v/>
      </c>
      <c r="V6194" t="str">
        <f t="shared" si="937"/>
        <v/>
      </c>
      <c r="W6194" t="str">
        <f t="shared" si="950"/>
        <v/>
      </c>
      <c r="X6194">
        <f t="shared" si="948"/>
        <v>0</v>
      </c>
      <c r="Z6194" t="str">
        <f t="shared" si="951"/>
        <v/>
      </c>
      <c r="AA6194">
        <f t="shared" si="949"/>
        <v>0</v>
      </c>
    </row>
    <row r="6195" spans="1:27" ht="21" customHeight="1" x14ac:dyDescent="0.95">
      <c r="A6195" s="56"/>
      <c r="B6195" s="57"/>
      <c r="C6195" s="57"/>
      <c r="D6195" s="57"/>
      <c r="E6195" s="56"/>
      <c r="F6195" s="57"/>
      <c r="G6195" s="57"/>
      <c r="H6195" s="56"/>
      <c r="I6195" s="56"/>
      <c r="J6195" s="58"/>
      <c r="K6195" s="58"/>
      <c r="L6195" s="13" t="str">
        <f t="shared" si="930"/>
        <v/>
      </c>
      <c r="M6195" s="13" t="str">
        <f t="shared" si="931"/>
        <v/>
      </c>
      <c r="Q6195" t="str">
        <f t="shared" si="932"/>
        <v/>
      </c>
      <c r="R6195" t="str">
        <f t="shared" si="933"/>
        <v/>
      </c>
      <c r="S6195" t="str">
        <f t="shared" si="934"/>
        <v/>
      </c>
      <c r="T6195" t="str">
        <f t="shared" si="935"/>
        <v/>
      </c>
      <c r="U6195" t="str">
        <f t="shared" si="936"/>
        <v/>
      </c>
      <c r="V6195" t="str">
        <f t="shared" si="937"/>
        <v/>
      </c>
      <c r="W6195" t="str">
        <f t="shared" si="950"/>
        <v/>
      </c>
      <c r="X6195">
        <f t="shared" si="948"/>
        <v>0</v>
      </c>
      <c r="Z6195" t="str">
        <f t="shared" si="951"/>
        <v/>
      </c>
      <c r="AA6195">
        <f t="shared" si="949"/>
        <v>0</v>
      </c>
    </row>
    <row r="6196" spans="1:27" ht="21" customHeight="1" x14ac:dyDescent="0.95">
      <c r="A6196" s="56"/>
      <c r="B6196" s="57"/>
      <c r="C6196" s="57"/>
      <c r="D6196" s="57"/>
      <c r="E6196" s="56"/>
      <c r="F6196" s="57"/>
      <c r="G6196" s="57"/>
      <c r="H6196" s="56"/>
      <c r="I6196" s="56"/>
      <c r="J6196" s="58"/>
      <c r="K6196" s="58"/>
      <c r="L6196" s="13" t="str">
        <f t="shared" si="930"/>
        <v/>
      </c>
      <c r="M6196" s="13" t="str">
        <f t="shared" si="931"/>
        <v/>
      </c>
      <c r="Q6196" t="str">
        <f t="shared" si="932"/>
        <v/>
      </c>
      <c r="R6196" t="str">
        <f t="shared" si="933"/>
        <v/>
      </c>
      <c r="S6196" t="str">
        <f t="shared" si="934"/>
        <v/>
      </c>
      <c r="T6196" t="str">
        <f t="shared" si="935"/>
        <v/>
      </c>
      <c r="U6196" t="str">
        <f t="shared" si="936"/>
        <v/>
      </c>
      <c r="V6196" t="str">
        <f t="shared" si="937"/>
        <v/>
      </c>
      <c r="W6196" t="str">
        <f t="shared" si="950"/>
        <v/>
      </c>
      <c r="X6196">
        <f t="shared" si="948"/>
        <v>0</v>
      </c>
      <c r="Z6196" t="str">
        <f t="shared" si="951"/>
        <v/>
      </c>
      <c r="AA6196">
        <f t="shared" si="949"/>
        <v>0</v>
      </c>
    </row>
    <row r="6197" spans="1:27" ht="21" customHeight="1" x14ac:dyDescent="0.95">
      <c r="A6197" s="56"/>
      <c r="B6197" s="57"/>
      <c r="C6197" s="57"/>
      <c r="D6197" s="57"/>
      <c r="E6197" s="56"/>
      <c r="F6197" s="57"/>
      <c r="G6197" s="57"/>
      <c r="H6197" s="56"/>
      <c r="I6197" s="56"/>
      <c r="J6197" s="58"/>
      <c r="K6197" s="58"/>
      <c r="L6197" s="13" t="str">
        <f t="shared" si="930"/>
        <v/>
      </c>
      <c r="M6197" s="13" t="str">
        <f t="shared" si="931"/>
        <v/>
      </c>
      <c r="Q6197" t="str">
        <f t="shared" si="932"/>
        <v/>
      </c>
      <c r="R6197" t="str">
        <f t="shared" si="933"/>
        <v/>
      </c>
      <c r="S6197" t="str">
        <f t="shared" si="934"/>
        <v/>
      </c>
      <c r="T6197" t="str">
        <f t="shared" si="935"/>
        <v/>
      </c>
      <c r="U6197" t="str">
        <f t="shared" si="936"/>
        <v/>
      </c>
      <c r="V6197" t="str">
        <f t="shared" si="937"/>
        <v/>
      </c>
      <c r="W6197" t="str">
        <f t="shared" si="950"/>
        <v/>
      </c>
      <c r="X6197">
        <f t="shared" ref="X6197:X6260" si="952">IF($T6197="",N($X6196),IF(MATCH($T6197,$T$6:$T$10005,0)=ROW()-5,N($X6196)+1,N($X6196)))</f>
        <v>0</v>
      </c>
      <c r="Z6197" t="str">
        <f t="shared" si="951"/>
        <v/>
      </c>
      <c r="AA6197">
        <f t="shared" ref="AA6197:AA6260" si="953">IF($V6197="",N($AA6196),IF(MATCH($V6197,$V$6:$V$10005,0)=ROW()-5,N($AA6196)+1,N($AA6196)))</f>
        <v>0</v>
      </c>
    </row>
    <row r="6198" spans="1:27" ht="21" customHeight="1" x14ac:dyDescent="0.95">
      <c r="A6198" s="56"/>
      <c r="B6198" s="57"/>
      <c r="C6198" s="57"/>
      <c r="D6198" s="57"/>
      <c r="E6198" s="56"/>
      <c r="F6198" s="57"/>
      <c r="G6198" s="57"/>
      <c r="H6198" s="56"/>
      <c r="I6198" s="56"/>
      <c r="J6198" s="58"/>
      <c r="K6198" s="58"/>
      <c r="L6198" s="13" t="str">
        <f t="shared" si="930"/>
        <v/>
      </c>
      <c r="M6198" s="13" t="str">
        <f t="shared" si="931"/>
        <v/>
      </c>
      <c r="Q6198" t="str">
        <f t="shared" si="932"/>
        <v/>
      </c>
      <c r="R6198" t="str">
        <f t="shared" si="933"/>
        <v/>
      </c>
      <c r="S6198" t="str">
        <f t="shared" si="934"/>
        <v/>
      </c>
      <c r="T6198" t="str">
        <f t="shared" si="935"/>
        <v/>
      </c>
      <c r="U6198" t="str">
        <f t="shared" si="936"/>
        <v/>
      </c>
      <c r="V6198" t="str">
        <f t="shared" si="937"/>
        <v/>
      </c>
      <c r="W6198" t="str">
        <f t="shared" si="950"/>
        <v/>
      </c>
      <c r="X6198">
        <f t="shared" si="952"/>
        <v>0</v>
      </c>
      <c r="Z6198" t="str">
        <f t="shared" si="951"/>
        <v/>
      </c>
      <c r="AA6198">
        <f t="shared" si="953"/>
        <v>0</v>
      </c>
    </row>
    <row r="6199" spans="1:27" ht="21" customHeight="1" x14ac:dyDescent="0.95">
      <c r="A6199" s="56"/>
      <c r="B6199" s="57"/>
      <c r="C6199" s="57"/>
      <c r="D6199" s="57"/>
      <c r="E6199" s="56"/>
      <c r="F6199" s="57"/>
      <c r="G6199" s="57"/>
      <c r="H6199" s="56"/>
      <c r="I6199" s="56"/>
      <c r="J6199" s="58"/>
      <c r="K6199" s="58"/>
      <c r="L6199" s="13" t="str">
        <f t="shared" si="930"/>
        <v/>
      </c>
      <c r="M6199" s="13" t="str">
        <f t="shared" si="931"/>
        <v/>
      </c>
      <c r="Q6199" t="str">
        <f t="shared" si="932"/>
        <v/>
      </c>
      <c r="R6199" t="str">
        <f t="shared" si="933"/>
        <v/>
      </c>
      <c r="S6199" t="str">
        <f t="shared" si="934"/>
        <v/>
      </c>
      <c r="T6199" t="str">
        <f t="shared" si="935"/>
        <v/>
      </c>
      <c r="U6199" t="str">
        <f t="shared" si="936"/>
        <v/>
      </c>
      <c r="V6199" t="str">
        <f t="shared" si="937"/>
        <v/>
      </c>
      <c r="W6199" t="str">
        <f t="shared" si="950"/>
        <v/>
      </c>
      <c r="X6199">
        <f t="shared" si="952"/>
        <v>0</v>
      </c>
      <c r="Z6199" t="str">
        <f t="shared" si="951"/>
        <v/>
      </c>
      <c r="AA6199">
        <f t="shared" si="953"/>
        <v>0</v>
      </c>
    </row>
    <row r="6200" spans="1:27" ht="21" customHeight="1" x14ac:dyDescent="0.95">
      <c r="A6200" s="56"/>
      <c r="B6200" s="57"/>
      <c r="C6200" s="57"/>
      <c r="D6200" s="57"/>
      <c r="E6200" s="56"/>
      <c r="F6200" s="57"/>
      <c r="G6200" s="57"/>
      <c r="H6200" s="56"/>
      <c r="I6200" s="56"/>
      <c r="J6200" s="58"/>
      <c r="K6200" s="58"/>
      <c r="L6200" s="13" t="str">
        <f t="shared" si="930"/>
        <v/>
      </c>
      <c r="M6200" s="13" t="str">
        <f t="shared" si="931"/>
        <v/>
      </c>
      <c r="Q6200" t="str">
        <f t="shared" si="932"/>
        <v/>
      </c>
      <c r="R6200" t="str">
        <f t="shared" si="933"/>
        <v/>
      </c>
      <c r="S6200" t="str">
        <f t="shared" si="934"/>
        <v/>
      </c>
      <c r="T6200" t="str">
        <f t="shared" si="935"/>
        <v/>
      </c>
      <c r="U6200" t="str">
        <f t="shared" si="936"/>
        <v/>
      </c>
      <c r="V6200" t="str">
        <f t="shared" si="937"/>
        <v/>
      </c>
      <c r="W6200" t="str">
        <f t="shared" si="950"/>
        <v/>
      </c>
      <c r="X6200">
        <f t="shared" si="952"/>
        <v>0</v>
      </c>
      <c r="Z6200" t="str">
        <f t="shared" si="951"/>
        <v/>
      </c>
      <c r="AA6200">
        <f t="shared" si="953"/>
        <v>0</v>
      </c>
    </row>
    <row r="6201" spans="1:27" ht="21" customHeight="1" x14ac:dyDescent="0.95">
      <c r="A6201" s="56"/>
      <c r="B6201" s="57"/>
      <c r="C6201" s="57"/>
      <c r="D6201" s="57"/>
      <c r="E6201" s="56"/>
      <c r="F6201" s="57"/>
      <c r="G6201" s="57"/>
      <c r="H6201" s="56"/>
      <c r="I6201" s="56"/>
      <c r="J6201" s="58"/>
      <c r="K6201" s="58"/>
      <c r="L6201" s="13" t="str">
        <f t="shared" si="930"/>
        <v/>
      </c>
      <c r="M6201" s="13" t="str">
        <f t="shared" si="931"/>
        <v/>
      </c>
      <c r="Q6201" t="str">
        <f t="shared" si="932"/>
        <v/>
      </c>
      <c r="R6201" t="str">
        <f t="shared" si="933"/>
        <v/>
      </c>
      <c r="S6201" t="str">
        <f t="shared" si="934"/>
        <v/>
      </c>
      <c r="T6201" t="str">
        <f t="shared" si="935"/>
        <v/>
      </c>
      <c r="U6201" t="str">
        <f t="shared" si="936"/>
        <v/>
      </c>
      <c r="V6201" t="str">
        <f t="shared" si="937"/>
        <v/>
      </c>
      <c r="W6201" t="str">
        <f t="shared" si="950"/>
        <v/>
      </c>
      <c r="X6201">
        <f t="shared" si="952"/>
        <v>0</v>
      </c>
      <c r="Z6201" t="str">
        <f t="shared" si="951"/>
        <v/>
      </c>
      <c r="AA6201">
        <f t="shared" si="953"/>
        <v>0</v>
      </c>
    </row>
    <row r="6202" spans="1:27" ht="21" customHeight="1" x14ac:dyDescent="0.95">
      <c r="A6202" s="56"/>
      <c r="B6202" s="57"/>
      <c r="C6202" s="57"/>
      <c r="D6202" s="57"/>
      <c r="E6202" s="56"/>
      <c r="F6202" s="57"/>
      <c r="G6202" s="57"/>
      <c r="H6202" s="56"/>
      <c r="I6202" s="56"/>
      <c r="J6202" s="58"/>
      <c r="K6202" s="58"/>
      <c r="L6202" s="13" t="str">
        <f t="shared" si="930"/>
        <v/>
      </c>
      <c r="M6202" s="13" t="str">
        <f t="shared" si="931"/>
        <v/>
      </c>
      <c r="Q6202" t="str">
        <f t="shared" si="932"/>
        <v/>
      </c>
      <c r="R6202" t="str">
        <f t="shared" si="933"/>
        <v/>
      </c>
      <c r="S6202" t="str">
        <f t="shared" si="934"/>
        <v/>
      </c>
      <c r="T6202" t="str">
        <f t="shared" si="935"/>
        <v/>
      </c>
      <c r="U6202" t="str">
        <f t="shared" si="936"/>
        <v/>
      </c>
      <c r="V6202" t="str">
        <f t="shared" si="937"/>
        <v/>
      </c>
      <c r="W6202" t="str">
        <f t="shared" si="950"/>
        <v/>
      </c>
      <c r="X6202">
        <f t="shared" si="952"/>
        <v>0</v>
      </c>
      <c r="Z6202" t="str">
        <f t="shared" si="951"/>
        <v/>
      </c>
      <c r="AA6202">
        <f t="shared" si="953"/>
        <v>0</v>
      </c>
    </row>
    <row r="6203" spans="1:27" ht="21" customHeight="1" x14ac:dyDescent="0.95">
      <c r="A6203" s="56"/>
      <c r="B6203" s="57"/>
      <c r="C6203" s="57"/>
      <c r="D6203" s="57"/>
      <c r="E6203" s="56"/>
      <c r="F6203" s="57"/>
      <c r="G6203" s="57"/>
      <c r="H6203" s="56"/>
      <c r="I6203" s="56"/>
      <c r="J6203" s="58"/>
      <c r="K6203" s="58"/>
      <c r="L6203" s="13" t="str">
        <f t="shared" si="930"/>
        <v/>
      </c>
      <c r="M6203" s="13" t="str">
        <f t="shared" si="931"/>
        <v/>
      </c>
      <c r="Q6203" t="str">
        <f t="shared" si="932"/>
        <v/>
      </c>
      <c r="R6203" t="str">
        <f t="shared" si="933"/>
        <v/>
      </c>
      <c r="S6203" t="str">
        <f t="shared" si="934"/>
        <v/>
      </c>
      <c r="T6203" t="str">
        <f t="shared" si="935"/>
        <v/>
      </c>
      <c r="U6203" t="str">
        <f t="shared" si="936"/>
        <v/>
      </c>
      <c r="V6203" t="str">
        <f t="shared" si="937"/>
        <v/>
      </c>
      <c r="W6203" t="str">
        <f t="shared" si="950"/>
        <v/>
      </c>
      <c r="X6203">
        <f t="shared" si="952"/>
        <v>0</v>
      </c>
      <c r="Z6203" t="str">
        <f t="shared" si="951"/>
        <v/>
      </c>
      <c r="AA6203">
        <f t="shared" si="953"/>
        <v>0</v>
      </c>
    </row>
    <row r="6204" spans="1:27" ht="21" customHeight="1" x14ac:dyDescent="0.95">
      <c r="A6204" s="56"/>
      <c r="B6204" s="57"/>
      <c r="C6204" s="57"/>
      <c r="D6204" s="57"/>
      <c r="E6204" s="56"/>
      <c r="F6204" s="57"/>
      <c r="G6204" s="57"/>
      <c r="H6204" s="56"/>
      <c r="I6204" s="56"/>
      <c r="J6204" s="58"/>
      <c r="K6204" s="58"/>
      <c r="L6204" s="13" t="str">
        <f t="shared" si="930"/>
        <v/>
      </c>
      <c r="M6204" s="13" t="str">
        <f t="shared" si="931"/>
        <v/>
      </c>
      <c r="Q6204" t="str">
        <f t="shared" si="932"/>
        <v/>
      </c>
      <c r="R6204" t="str">
        <f t="shared" si="933"/>
        <v/>
      </c>
      <c r="S6204" t="str">
        <f t="shared" si="934"/>
        <v/>
      </c>
      <c r="T6204" t="str">
        <f t="shared" si="935"/>
        <v/>
      </c>
      <c r="U6204" t="str">
        <f t="shared" si="936"/>
        <v/>
      </c>
      <c r="V6204" t="str">
        <f t="shared" si="937"/>
        <v/>
      </c>
      <c r="W6204" t="str">
        <f t="shared" si="950"/>
        <v/>
      </c>
      <c r="X6204">
        <f t="shared" si="952"/>
        <v>0</v>
      </c>
      <c r="Z6204" t="str">
        <f t="shared" si="951"/>
        <v/>
      </c>
      <c r="AA6204">
        <f t="shared" si="953"/>
        <v>0</v>
      </c>
    </row>
    <row r="6205" spans="1:27" ht="21" customHeight="1" x14ac:dyDescent="0.95">
      <c r="A6205" s="56"/>
      <c r="B6205" s="57"/>
      <c r="C6205" s="57"/>
      <c r="D6205" s="57"/>
      <c r="E6205" s="56"/>
      <c r="F6205" s="57"/>
      <c r="G6205" s="57"/>
      <c r="H6205" s="56"/>
      <c r="I6205" s="56"/>
      <c r="J6205" s="58"/>
      <c r="K6205" s="58"/>
      <c r="L6205" s="13" t="str">
        <f t="shared" si="930"/>
        <v/>
      </c>
      <c r="M6205" s="13" t="str">
        <f t="shared" si="931"/>
        <v/>
      </c>
      <c r="Q6205" t="str">
        <f t="shared" si="932"/>
        <v/>
      </c>
      <c r="R6205" t="str">
        <f t="shared" si="933"/>
        <v/>
      </c>
      <c r="S6205" t="str">
        <f t="shared" si="934"/>
        <v/>
      </c>
      <c r="T6205" t="str">
        <f t="shared" si="935"/>
        <v/>
      </c>
      <c r="U6205" t="str">
        <f t="shared" si="936"/>
        <v/>
      </c>
      <c r="V6205" t="str">
        <f t="shared" si="937"/>
        <v/>
      </c>
      <c r="W6205" t="str">
        <f t="shared" si="950"/>
        <v/>
      </c>
      <c r="X6205">
        <f t="shared" si="952"/>
        <v>0</v>
      </c>
      <c r="Z6205" t="str">
        <f t="shared" si="951"/>
        <v/>
      </c>
      <c r="AA6205">
        <f t="shared" si="953"/>
        <v>0</v>
      </c>
    </row>
    <row r="6206" spans="1:27" ht="21" customHeight="1" x14ac:dyDescent="0.95">
      <c r="A6206" s="56"/>
      <c r="B6206" s="57"/>
      <c r="C6206" s="57"/>
      <c r="D6206" s="57"/>
      <c r="E6206" s="56"/>
      <c r="F6206" s="57"/>
      <c r="G6206" s="57"/>
      <c r="H6206" s="56"/>
      <c r="I6206" s="56"/>
      <c r="J6206" s="58"/>
      <c r="K6206" s="58"/>
      <c r="L6206" s="13" t="str">
        <f t="shared" si="930"/>
        <v/>
      </c>
      <c r="M6206" s="13" t="str">
        <f t="shared" si="931"/>
        <v/>
      </c>
      <c r="Q6206" t="str">
        <f t="shared" si="932"/>
        <v/>
      </c>
      <c r="R6206" t="str">
        <f t="shared" si="933"/>
        <v/>
      </c>
      <c r="S6206" t="str">
        <f t="shared" si="934"/>
        <v/>
      </c>
      <c r="T6206" t="str">
        <f t="shared" si="935"/>
        <v/>
      </c>
      <c r="U6206" t="str">
        <f t="shared" si="936"/>
        <v/>
      </c>
      <c r="V6206" t="str">
        <f t="shared" si="937"/>
        <v/>
      </c>
      <c r="W6206" t="str">
        <f t="shared" si="950"/>
        <v/>
      </c>
      <c r="X6206">
        <f t="shared" si="952"/>
        <v>0</v>
      </c>
      <c r="Z6206" t="str">
        <f t="shared" si="951"/>
        <v/>
      </c>
      <c r="AA6206">
        <f t="shared" si="953"/>
        <v>0</v>
      </c>
    </row>
    <row r="6207" spans="1:27" ht="21" customHeight="1" x14ac:dyDescent="0.95">
      <c r="A6207" s="56"/>
      <c r="B6207" s="57"/>
      <c r="C6207" s="57"/>
      <c r="D6207" s="57"/>
      <c r="E6207" s="56"/>
      <c r="F6207" s="57"/>
      <c r="G6207" s="57"/>
      <c r="H6207" s="56"/>
      <c r="I6207" s="56"/>
      <c r="J6207" s="58"/>
      <c r="K6207" s="58"/>
      <c r="L6207" s="13" t="str">
        <f t="shared" si="930"/>
        <v/>
      </c>
      <c r="M6207" s="13" t="str">
        <f t="shared" si="931"/>
        <v/>
      </c>
      <c r="Q6207" t="str">
        <f t="shared" si="932"/>
        <v/>
      </c>
      <c r="R6207" t="str">
        <f t="shared" si="933"/>
        <v/>
      </c>
      <c r="S6207" t="str">
        <f t="shared" si="934"/>
        <v/>
      </c>
      <c r="T6207" t="str">
        <f t="shared" si="935"/>
        <v/>
      </c>
      <c r="U6207" t="str">
        <f t="shared" si="936"/>
        <v/>
      </c>
      <c r="V6207" t="str">
        <f t="shared" si="937"/>
        <v/>
      </c>
      <c r="W6207" t="str">
        <f t="shared" si="950"/>
        <v/>
      </c>
      <c r="X6207">
        <f t="shared" si="952"/>
        <v>0</v>
      </c>
      <c r="Z6207" t="str">
        <f t="shared" si="951"/>
        <v/>
      </c>
      <c r="AA6207">
        <f t="shared" si="953"/>
        <v>0</v>
      </c>
    </row>
    <row r="6208" spans="1:27" ht="21" customHeight="1" x14ac:dyDescent="0.95">
      <c r="A6208" s="56"/>
      <c r="B6208" s="57"/>
      <c r="C6208" s="57"/>
      <c r="D6208" s="57"/>
      <c r="E6208" s="56"/>
      <c r="F6208" s="57"/>
      <c r="G6208" s="57"/>
      <c r="H6208" s="56"/>
      <c r="I6208" s="56"/>
      <c r="J6208" s="58"/>
      <c r="K6208" s="58"/>
      <c r="L6208" s="13" t="str">
        <f t="shared" si="930"/>
        <v/>
      </c>
      <c r="M6208" s="13" t="str">
        <f t="shared" si="931"/>
        <v/>
      </c>
      <c r="Q6208" t="str">
        <f t="shared" si="932"/>
        <v/>
      </c>
      <c r="R6208" t="str">
        <f t="shared" si="933"/>
        <v/>
      </c>
      <c r="S6208" t="str">
        <f t="shared" si="934"/>
        <v/>
      </c>
      <c r="T6208" t="str">
        <f t="shared" si="935"/>
        <v/>
      </c>
      <c r="U6208" t="str">
        <f t="shared" si="936"/>
        <v/>
      </c>
      <c r="V6208" t="str">
        <f t="shared" si="937"/>
        <v/>
      </c>
      <c r="W6208" t="str">
        <f t="shared" si="950"/>
        <v/>
      </c>
      <c r="X6208">
        <f t="shared" si="952"/>
        <v>0</v>
      </c>
      <c r="Z6208" t="str">
        <f t="shared" si="951"/>
        <v/>
      </c>
      <c r="AA6208">
        <f t="shared" si="953"/>
        <v>0</v>
      </c>
    </row>
    <row r="6209" spans="1:27" ht="21" customHeight="1" x14ac:dyDescent="0.95">
      <c r="A6209" s="56"/>
      <c r="B6209" s="57"/>
      <c r="C6209" s="57"/>
      <c r="D6209" s="57"/>
      <c r="E6209" s="56"/>
      <c r="F6209" s="57"/>
      <c r="G6209" s="57"/>
      <c r="H6209" s="56"/>
      <c r="I6209" s="56"/>
      <c r="J6209" s="58"/>
      <c r="K6209" s="58"/>
      <c r="L6209" s="13" t="str">
        <f t="shared" si="930"/>
        <v/>
      </c>
      <c r="M6209" s="13" t="str">
        <f t="shared" si="931"/>
        <v/>
      </c>
      <c r="Q6209" t="str">
        <f t="shared" si="932"/>
        <v/>
      </c>
      <c r="R6209" t="str">
        <f t="shared" si="933"/>
        <v/>
      </c>
      <c r="S6209" t="str">
        <f t="shared" si="934"/>
        <v/>
      </c>
      <c r="T6209" t="str">
        <f t="shared" si="935"/>
        <v/>
      </c>
      <c r="U6209" t="str">
        <f t="shared" si="936"/>
        <v/>
      </c>
      <c r="V6209" t="str">
        <f t="shared" si="937"/>
        <v/>
      </c>
      <c r="W6209" t="str">
        <f t="shared" si="950"/>
        <v/>
      </c>
      <c r="X6209">
        <f t="shared" si="952"/>
        <v>0</v>
      </c>
      <c r="Z6209" t="str">
        <f t="shared" si="951"/>
        <v/>
      </c>
      <c r="AA6209">
        <f t="shared" si="953"/>
        <v>0</v>
      </c>
    </row>
    <row r="6210" spans="1:27" ht="21" customHeight="1" x14ac:dyDescent="0.95">
      <c r="A6210" s="56"/>
      <c r="B6210" s="57"/>
      <c r="C6210" s="57"/>
      <c r="D6210" s="57"/>
      <c r="E6210" s="56"/>
      <c r="F6210" s="57"/>
      <c r="G6210" s="57"/>
      <c r="H6210" s="56"/>
      <c r="I6210" s="56"/>
      <c r="J6210" s="58"/>
      <c r="K6210" s="58"/>
      <c r="L6210" s="13" t="str">
        <f t="shared" si="930"/>
        <v/>
      </c>
      <c r="M6210" s="13" t="str">
        <f t="shared" si="931"/>
        <v/>
      </c>
      <c r="Q6210" t="str">
        <f t="shared" si="932"/>
        <v/>
      </c>
      <c r="R6210" t="str">
        <f t="shared" si="933"/>
        <v/>
      </c>
      <c r="S6210" t="str">
        <f t="shared" si="934"/>
        <v/>
      </c>
      <c r="T6210" t="str">
        <f t="shared" si="935"/>
        <v/>
      </c>
      <c r="U6210" t="str">
        <f t="shared" si="936"/>
        <v/>
      </c>
      <c r="V6210" t="str">
        <f t="shared" si="937"/>
        <v/>
      </c>
      <c r="W6210" t="str">
        <f t="shared" si="950"/>
        <v/>
      </c>
      <c r="X6210">
        <f t="shared" si="952"/>
        <v>0</v>
      </c>
      <c r="Z6210" t="str">
        <f t="shared" si="951"/>
        <v/>
      </c>
      <c r="AA6210">
        <f t="shared" si="953"/>
        <v>0</v>
      </c>
    </row>
    <row r="6211" spans="1:27" ht="21" customHeight="1" x14ac:dyDescent="0.95">
      <c r="A6211" s="56"/>
      <c r="B6211" s="57"/>
      <c r="C6211" s="57"/>
      <c r="D6211" s="57"/>
      <c r="E6211" s="56"/>
      <c r="F6211" s="57"/>
      <c r="G6211" s="57"/>
      <c r="H6211" s="56"/>
      <c r="I6211" s="56"/>
      <c r="J6211" s="58"/>
      <c r="K6211" s="58"/>
      <c r="L6211" s="13" t="str">
        <f t="shared" si="930"/>
        <v/>
      </c>
      <c r="M6211" s="13" t="str">
        <f t="shared" si="931"/>
        <v/>
      </c>
      <c r="Q6211" t="str">
        <f t="shared" si="932"/>
        <v/>
      </c>
      <c r="R6211" t="str">
        <f t="shared" si="933"/>
        <v/>
      </c>
      <c r="S6211" t="str">
        <f t="shared" si="934"/>
        <v/>
      </c>
      <c r="T6211" t="str">
        <f t="shared" si="935"/>
        <v/>
      </c>
      <c r="U6211" t="str">
        <f t="shared" si="936"/>
        <v/>
      </c>
      <c r="V6211" t="str">
        <f t="shared" si="937"/>
        <v/>
      </c>
      <c r="W6211" t="str">
        <f t="shared" si="950"/>
        <v/>
      </c>
      <c r="X6211">
        <f t="shared" si="952"/>
        <v>0</v>
      </c>
      <c r="Z6211" t="str">
        <f t="shared" si="951"/>
        <v/>
      </c>
      <c r="AA6211">
        <f t="shared" si="953"/>
        <v>0</v>
      </c>
    </row>
    <row r="6212" spans="1:27" ht="21" customHeight="1" x14ac:dyDescent="0.95">
      <c r="A6212" s="56"/>
      <c r="B6212" s="57"/>
      <c r="C6212" s="57"/>
      <c r="D6212" s="57"/>
      <c r="E6212" s="56"/>
      <c r="F6212" s="57"/>
      <c r="G6212" s="57"/>
      <c r="H6212" s="56"/>
      <c r="I6212" s="56"/>
      <c r="J6212" s="58"/>
      <c r="K6212" s="58"/>
      <c r="L6212" s="13" t="str">
        <f t="shared" ref="L6212:L6275" si="954">IF(OR($A6212="",AND($J6212="",$K6212="")),"",ROUND(N($J6212)-N($K6212),2))</f>
        <v/>
      </c>
      <c r="M6212" s="13" t="str">
        <f t="shared" ref="M6212:M6275" si="955">IF(OR($A6212="",AND($J6212="",$K6212="")),"",MIN($J6212,$K6212))</f>
        <v/>
      </c>
      <c r="Q6212" t="str">
        <f t="shared" ref="Q6212:Q6275" si="956">IF($A6212="","",$D6212&amp;"("&amp;SUBSTITUTE($E6212," ","")&amp;")")</f>
        <v/>
      </c>
      <c r="R6212" t="str">
        <f t="shared" ref="R6212:R6275" si="957">IF($A6212="","",$B6212&amp;" - "&amp;$C6212)</f>
        <v/>
      </c>
      <c r="S6212" t="str">
        <f t="shared" ref="S6212:S6275" si="958">IF($A6212="","",$R6212&amp;"|"&amp;$Q6212)</f>
        <v/>
      </c>
      <c r="T6212" t="str">
        <f t="shared" ref="T6212:T6275" si="959">IF($A6212="","",$S6212&amp;"|"&amp;$F6212)</f>
        <v/>
      </c>
      <c r="U6212" t="str">
        <f t="shared" ref="U6212:U6275" si="960">IF($A6212="","",$R6212&amp;"("&amp;$E6212&amp;")")</f>
        <v/>
      </c>
      <c r="V6212" t="str">
        <f t="shared" ref="V6212:V6275" si="961">IF($A6212="","",$F6212&amp;"|"&amp;$U6212&amp;"|"&amp;$D6212)</f>
        <v/>
      </c>
      <c r="W6212" t="str">
        <f t="shared" si="950"/>
        <v/>
      </c>
      <c r="X6212">
        <f t="shared" si="952"/>
        <v>0</v>
      </c>
      <c r="Z6212" t="str">
        <f t="shared" si="951"/>
        <v/>
      </c>
      <c r="AA6212">
        <f t="shared" si="953"/>
        <v>0</v>
      </c>
    </row>
    <row r="6213" spans="1:27" ht="21" customHeight="1" x14ac:dyDescent="0.95">
      <c r="A6213" s="56"/>
      <c r="B6213" s="57"/>
      <c r="C6213" s="57"/>
      <c r="D6213" s="57"/>
      <c r="E6213" s="56"/>
      <c r="F6213" s="57"/>
      <c r="G6213" s="57"/>
      <c r="H6213" s="56"/>
      <c r="I6213" s="56"/>
      <c r="J6213" s="58"/>
      <c r="K6213" s="58"/>
      <c r="L6213" s="13" t="str">
        <f t="shared" si="954"/>
        <v/>
      </c>
      <c r="M6213" s="13" t="str">
        <f t="shared" si="955"/>
        <v/>
      </c>
      <c r="Q6213" t="str">
        <f t="shared" si="956"/>
        <v/>
      </c>
      <c r="R6213" t="str">
        <f t="shared" si="957"/>
        <v/>
      </c>
      <c r="S6213" t="str">
        <f t="shared" si="958"/>
        <v/>
      </c>
      <c r="T6213" t="str">
        <f t="shared" si="959"/>
        <v/>
      </c>
      <c r="U6213" t="str">
        <f t="shared" si="960"/>
        <v/>
      </c>
      <c r="V6213" t="str">
        <f t="shared" si="961"/>
        <v/>
      </c>
      <c r="W6213" t="str">
        <f t="shared" si="950"/>
        <v/>
      </c>
      <c r="X6213">
        <f t="shared" si="952"/>
        <v>0</v>
      </c>
      <c r="Z6213" t="str">
        <f t="shared" si="951"/>
        <v/>
      </c>
      <c r="AA6213">
        <f t="shared" si="953"/>
        <v>0</v>
      </c>
    </row>
    <row r="6214" spans="1:27" ht="21" customHeight="1" x14ac:dyDescent="0.95">
      <c r="A6214" s="56"/>
      <c r="B6214" s="57"/>
      <c r="C6214" s="57"/>
      <c r="D6214" s="57"/>
      <c r="E6214" s="56"/>
      <c r="F6214" s="57"/>
      <c r="G6214" s="57"/>
      <c r="H6214" s="56"/>
      <c r="I6214" s="56"/>
      <c r="J6214" s="58"/>
      <c r="K6214" s="58"/>
      <c r="L6214" s="13" t="str">
        <f t="shared" si="954"/>
        <v/>
      </c>
      <c r="M6214" s="13" t="str">
        <f t="shared" si="955"/>
        <v/>
      </c>
      <c r="Q6214" t="str">
        <f t="shared" si="956"/>
        <v/>
      </c>
      <c r="R6214" t="str">
        <f t="shared" si="957"/>
        <v/>
      </c>
      <c r="S6214" t="str">
        <f t="shared" si="958"/>
        <v/>
      </c>
      <c r="T6214" t="str">
        <f t="shared" si="959"/>
        <v/>
      </c>
      <c r="U6214" t="str">
        <f t="shared" si="960"/>
        <v/>
      </c>
      <c r="V6214" t="str">
        <f t="shared" si="961"/>
        <v/>
      </c>
      <c r="W6214" t="str">
        <f t="shared" ref="W6214:W6277" si="962">IF($T6214="","",IF($X6214&gt;N($X6213),$X6214,""))</f>
        <v/>
      </c>
      <c r="X6214">
        <f t="shared" si="952"/>
        <v>0</v>
      </c>
      <c r="Z6214" t="str">
        <f t="shared" ref="Z6214:Z6277" si="963">IF($V6214="","",IF($AA6214&gt;N($AA6213),$AA6214,""))</f>
        <v/>
      </c>
      <c r="AA6214">
        <f t="shared" si="953"/>
        <v>0</v>
      </c>
    </row>
    <row r="6215" spans="1:27" ht="21" customHeight="1" x14ac:dyDescent="0.95">
      <c r="A6215" s="56"/>
      <c r="B6215" s="57"/>
      <c r="C6215" s="57"/>
      <c r="D6215" s="57"/>
      <c r="E6215" s="56"/>
      <c r="F6215" s="57"/>
      <c r="G6215" s="57"/>
      <c r="H6215" s="56"/>
      <c r="I6215" s="56"/>
      <c r="J6215" s="58"/>
      <c r="K6215" s="58"/>
      <c r="L6215" s="13" t="str">
        <f t="shared" si="954"/>
        <v/>
      </c>
      <c r="M6215" s="13" t="str">
        <f t="shared" si="955"/>
        <v/>
      </c>
      <c r="Q6215" t="str">
        <f t="shared" si="956"/>
        <v/>
      </c>
      <c r="R6215" t="str">
        <f t="shared" si="957"/>
        <v/>
      </c>
      <c r="S6215" t="str">
        <f t="shared" si="958"/>
        <v/>
      </c>
      <c r="T6215" t="str">
        <f t="shared" si="959"/>
        <v/>
      </c>
      <c r="U6215" t="str">
        <f t="shared" si="960"/>
        <v/>
      </c>
      <c r="V6215" t="str">
        <f t="shared" si="961"/>
        <v/>
      </c>
      <c r="W6215" t="str">
        <f t="shared" si="962"/>
        <v/>
      </c>
      <c r="X6215">
        <f t="shared" si="952"/>
        <v>0</v>
      </c>
      <c r="Z6215" t="str">
        <f t="shared" si="963"/>
        <v/>
      </c>
      <c r="AA6215">
        <f t="shared" si="953"/>
        <v>0</v>
      </c>
    </row>
    <row r="6216" spans="1:27" ht="21" customHeight="1" x14ac:dyDescent="0.95">
      <c r="A6216" s="56"/>
      <c r="B6216" s="57"/>
      <c r="C6216" s="57"/>
      <c r="D6216" s="57"/>
      <c r="E6216" s="56"/>
      <c r="F6216" s="57"/>
      <c r="G6216" s="57"/>
      <c r="H6216" s="56"/>
      <c r="I6216" s="56"/>
      <c r="J6216" s="58"/>
      <c r="K6216" s="58"/>
      <c r="L6216" s="13" t="str">
        <f t="shared" si="954"/>
        <v/>
      </c>
      <c r="M6216" s="13" t="str">
        <f t="shared" si="955"/>
        <v/>
      </c>
      <c r="Q6216" t="str">
        <f t="shared" si="956"/>
        <v/>
      </c>
      <c r="R6216" t="str">
        <f t="shared" si="957"/>
        <v/>
      </c>
      <c r="S6216" t="str">
        <f t="shared" si="958"/>
        <v/>
      </c>
      <c r="T6216" t="str">
        <f t="shared" si="959"/>
        <v/>
      </c>
      <c r="U6216" t="str">
        <f t="shared" si="960"/>
        <v/>
      </c>
      <c r="V6216" t="str">
        <f t="shared" si="961"/>
        <v/>
      </c>
      <c r="W6216" t="str">
        <f t="shared" si="962"/>
        <v/>
      </c>
      <c r="X6216">
        <f t="shared" si="952"/>
        <v>0</v>
      </c>
      <c r="Z6216" t="str">
        <f t="shared" si="963"/>
        <v/>
      </c>
      <c r="AA6216">
        <f t="shared" si="953"/>
        <v>0</v>
      </c>
    </row>
    <row r="6217" spans="1:27" ht="21" customHeight="1" x14ac:dyDescent="0.95">
      <c r="A6217" s="56"/>
      <c r="B6217" s="57"/>
      <c r="C6217" s="57"/>
      <c r="D6217" s="57"/>
      <c r="E6217" s="56"/>
      <c r="F6217" s="57"/>
      <c r="G6217" s="57"/>
      <c r="H6217" s="56"/>
      <c r="I6217" s="56"/>
      <c r="J6217" s="58"/>
      <c r="K6217" s="58"/>
      <c r="L6217" s="13" t="str">
        <f t="shared" si="954"/>
        <v/>
      </c>
      <c r="M6217" s="13" t="str">
        <f t="shared" si="955"/>
        <v/>
      </c>
      <c r="Q6217" t="str">
        <f t="shared" si="956"/>
        <v/>
      </c>
      <c r="R6217" t="str">
        <f t="shared" si="957"/>
        <v/>
      </c>
      <c r="S6217" t="str">
        <f t="shared" si="958"/>
        <v/>
      </c>
      <c r="T6217" t="str">
        <f t="shared" si="959"/>
        <v/>
      </c>
      <c r="U6217" t="str">
        <f t="shared" si="960"/>
        <v/>
      </c>
      <c r="V6217" t="str">
        <f t="shared" si="961"/>
        <v/>
      </c>
      <c r="W6217" t="str">
        <f t="shared" si="962"/>
        <v/>
      </c>
      <c r="X6217">
        <f t="shared" si="952"/>
        <v>0</v>
      </c>
      <c r="Z6217" t="str">
        <f t="shared" si="963"/>
        <v/>
      </c>
      <c r="AA6217">
        <f t="shared" si="953"/>
        <v>0</v>
      </c>
    </row>
    <row r="6218" spans="1:27" ht="21" customHeight="1" x14ac:dyDescent="0.95">
      <c r="A6218" s="56"/>
      <c r="B6218" s="57"/>
      <c r="C6218" s="57"/>
      <c r="D6218" s="57"/>
      <c r="E6218" s="56"/>
      <c r="F6218" s="57"/>
      <c r="G6218" s="57"/>
      <c r="H6218" s="56"/>
      <c r="I6218" s="56"/>
      <c r="J6218" s="58"/>
      <c r="K6218" s="58"/>
      <c r="L6218" s="13" t="str">
        <f t="shared" si="954"/>
        <v/>
      </c>
      <c r="M6218" s="13" t="str">
        <f t="shared" si="955"/>
        <v/>
      </c>
      <c r="Q6218" t="str">
        <f t="shared" si="956"/>
        <v/>
      </c>
      <c r="R6218" t="str">
        <f t="shared" si="957"/>
        <v/>
      </c>
      <c r="S6218" t="str">
        <f t="shared" si="958"/>
        <v/>
      </c>
      <c r="T6218" t="str">
        <f t="shared" si="959"/>
        <v/>
      </c>
      <c r="U6218" t="str">
        <f t="shared" si="960"/>
        <v/>
      </c>
      <c r="V6218" t="str">
        <f t="shared" si="961"/>
        <v/>
      </c>
      <c r="W6218" t="str">
        <f t="shared" si="962"/>
        <v/>
      </c>
      <c r="X6218">
        <f t="shared" si="952"/>
        <v>0</v>
      </c>
      <c r="Z6218" t="str">
        <f t="shared" si="963"/>
        <v/>
      </c>
      <c r="AA6218">
        <f t="shared" si="953"/>
        <v>0</v>
      </c>
    </row>
    <row r="6219" spans="1:27" ht="21" customHeight="1" x14ac:dyDescent="0.95">
      <c r="A6219" s="56"/>
      <c r="B6219" s="57"/>
      <c r="C6219" s="57"/>
      <c r="D6219" s="57"/>
      <c r="E6219" s="56"/>
      <c r="F6219" s="57"/>
      <c r="G6219" s="57"/>
      <c r="H6219" s="56"/>
      <c r="I6219" s="56"/>
      <c r="J6219" s="58"/>
      <c r="K6219" s="58"/>
      <c r="L6219" s="13" t="str">
        <f t="shared" si="954"/>
        <v/>
      </c>
      <c r="M6219" s="13" t="str">
        <f t="shared" si="955"/>
        <v/>
      </c>
      <c r="Q6219" t="str">
        <f t="shared" si="956"/>
        <v/>
      </c>
      <c r="R6219" t="str">
        <f t="shared" si="957"/>
        <v/>
      </c>
      <c r="S6219" t="str">
        <f t="shared" si="958"/>
        <v/>
      </c>
      <c r="T6219" t="str">
        <f t="shared" si="959"/>
        <v/>
      </c>
      <c r="U6219" t="str">
        <f t="shared" si="960"/>
        <v/>
      </c>
      <c r="V6219" t="str">
        <f t="shared" si="961"/>
        <v/>
      </c>
      <c r="W6219" t="str">
        <f t="shared" si="962"/>
        <v/>
      </c>
      <c r="X6219">
        <f t="shared" si="952"/>
        <v>0</v>
      </c>
      <c r="Z6219" t="str">
        <f t="shared" si="963"/>
        <v/>
      </c>
      <c r="AA6219">
        <f t="shared" si="953"/>
        <v>0</v>
      </c>
    </row>
    <row r="6220" spans="1:27" ht="21" customHeight="1" x14ac:dyDescent="0.95">
      <c r="A6220" s="56"/>
      <c r="B6220" s="57"/>
      <c r="C6220" s="57"/>
      <c r="D6220" s="57"/>
      <c r="E6220" s="56"/>
      <c r="F6220" s="57"/>
      <c r="G6220" s="57"/>
      <c r="H6220" s="56"/>
      <c r="I6220" s="56"/>
      <c r="J6220" s="58"/>
      <c r="K6220" s="58"/>
      <c r="L6220" s="13" t="str">
        <f t="shared" si="954"/>
        <v/>
      </c>
      <c r="M6220" s="13" t="str">
        <f t="shared" si="955"/>
        <v/>
      </c>
      <c r="Q6220" t="str">
        <f t="shared" si="956"/>
        <v/>
      </c>
      <c r="R6220" t="str">
        <f t="shared" si="957"/>
        <v/>
      </c>
      <c r="S6220" t="str">
        <f t="shared" si="958"/>
        <v/>
      </c>
      <c r="T6220" t="str">
        <f t="shared" si="959"/>
        <v/>
      </c>
      <c r="U6220" t="str">
        <f t="shared" si="960"/>
        <v/>
      </c>
      <c r="V6220" t="str">
        <f t="shared" si="961"/>
        <v/>
      </c>
      <c r="W6220" t="str">
        <f t="shared" si="962"/>
        <v/>
      </c>
      <c r="X6220">
        <f t="shared" si="952"/>
        <v>0</v>
      </c>
      <c r="Z6220" t="str">
        <f t="shared" si="963"/>
        <v/>
      </c>
      <c r="AA6220">
        <f t="shared" si="953"/>
        <v>0</v>
      </c>
    </row>
    <row r="6221" spans="1:27" ht="21" customHeight="1" x14ac:dyDescent="0.95">
      <c r="A6221" s="56"/>
      <c r="B6221" s="57"/>
      <c r="C6221" s="57"/>
      <c r="D6221" s="57"/>
      <c r="E6221" s="56"/>
      <c r="F6221" s="57"/>
      <c r="G6221" s="57"/>
      <c r="H6221" s="56"/>
      <c r="I6221" s="56"/>
      <c r="J6221" s="58"/>
      <c r="K6221" s="58"/>
      <c r="L6221" s="13" t="str">
        <f t="shared" si="954"/>
        <v/>
      </c>
      <c r="M6221" s="13" t="str">
        <f t="shared" si="955"/>
        <v/>
      </c>
      <c r="Q6221" t="str">
        <f t="shared" si="956"/>
        <v/>
      </c>
      <c r="R6221" t="str">
        <f t="shared" si="957"/>
        <v/>
      </c>
      <c r="S6221" t="str">
        <f t="shared" si="958"/>
        <v/>
      </c>
      <c r="T6221" t="str">
        <f t="shared" si="959"/>
        <v/>
      </c>
      <c r="U6221" t="str">
        <f t="shared" si="960"/>
        <v/>
      </c>
      <c r="V6221" t="str">
        <f t="shared" si="961"/>
        <v/>
      </c>
      <c r="W6221" t="str">
        <f t="shared" si="962"/>
        <v/>
      </c>
      <c r="X6221">
        <f t="shared" si="952"/>
        <v>0</v>
      </c>
      <c r="Z6221" t="str">
        <f t="shared" si="963"/>
        <v/>
      </c>
      <c r="AA6221">
        <f t="shared" si="953"/>
        <v>0</v>
      </c>
    </row>
    <row r="6222" spans="1:27" ht="21" customHeight="1" x14ac:dyDescent="0.95">
      <c r="A6222" s="56"/>
      <c r="B6222" s="57"/>
      <c r="C6222" s="57"/>
      <c r="D6222" s="57"/>
      <c r="E6222" s="56"/>
      <c r="F6222" s="57"/>
      <c r="G6222" s="57"/>
      <c r="H6222" s="56"/>
      <c r="I6222" s="56"/>
      <c r="J6222" s="58"/>
      <c r="K6222" s="58"/>
      <c r="L6222" s="13" t="str">
        <f t="shared" si="954"/>
        <v/>
      </c>
      <c r="M6222" s="13" t="str">
        <f t="shared" si="955"/>
        <v/>
      </c>
      <c r="Q6222" t="str">
        <f t="shared" si="956"/>
        <v/>
      </c>
      <c r="R6222" t="str">
        <f t="shared" si="957"/>
        <v/>
      </c>
      <c r="S6222" t="str">
        <f t="shared" si="958"/>
        <v/>
      </c>
      <c r="T6222" t="str">
        <f t="shared" si="959"/>
        <v/>
      </c>
      <c r="U6222" t="str">
        <f t="shared" si="960"/>
        <v/>
      </c>
      <c r="V6222" t="str">
        <f t="shared" si="961"/>
        <v/>
      </c>
      <c r="W6222" t="str">
        <f t="shared" si="962"/>
        <v/>
      </c>
      <c r="X6222">
        <f t="shared" si="952"/>
        <v>0</v>
      </c>
      <c r="Z6222" t="str">
        <f t="shared" si="963"/>
        <v/>
      </c>
      <c r="AA6222">
        <f t="shared" si="953"/>
        <v>0</v>
      </c>
    </row>
    <row r="6223" spans="1:27" ht="21" customHeight="1" x14ac:dyDescent="0.95">
      <c r="A6223" s="56"/>
      <c r="B6223" s="57"/>
      <c r="C6223" s="57"/>
      <c r="D6223" s="57"/>
      <c r="E6223" s="56"/>
      <c r="F6223" s="57"/>
      <c r="G6223" s="57"/>
      <c r="H6223" s="56"/>
      <c r="I6223" s="56"/>
      <c r="J6223" s="58"/>
      <c r="K6223" s="58"/>
      <c r="L6223" s="13" t="str">
        <f t="shared" si="954"/>
        <v/>
      </c>
      <c r="M6223" s="13" t="str">
        <f t="shared" si="955"/>
        <v/>
      </c>
      <c r="Q6223" t="str">
        <f t="shared" si="956"/>
        <v/>
      </c>
      <c r="R6223" t="str">
        <f t="shared" si="957"/>
        <v/>
      </c>
      <c r="S6223" t="str">
        <f t="shared" si="958"/>
        <v/>
      </c>
      <c r="T6223" t="str">
        <f t="shared" si="959"/>
        <v/>
      </c>
      <c r="U6223" t="str">
        <f t="shared" si="960"/>
        <v/>
      </c>
      <c r="V6223" t="str">
        <f t="shared" si="961"/>
        <v/>
      </c>
      <c r="W6223" t="str">
        <f t="shared" si="962"/>
        <v/>
      </c>
      <c r="X6223">
        <f t="shared" si="952"/>
        <v>0</v>
      </c>
      <c r="Z6223" t="str">
        <f t="shared" si="963"/>
        <v/>
      </c>
      <c r="AA6223">
        <f t="shared" si="953"/>
        <v>0</v>
      </c>
    </row>
    <row r="6224" spans="1:27" ht="21" customHeight="1" x14ac:dyDescent="0.95">
      <c r="A6224" s="56"/>
      <c r="B6224" s="57"/>
      <c r="C6224" s="57"/>
      <c r="D6224" s="57"/>
      <c r="E6224" s="56"/>
      <c r="F6224" s="57"/>
      <c r="G6224" s="57"/>
      <c r="H6224" s="56"/>
      <c r="I6224" s="56"/>
      <c r="J6224" s="58"/>
      <c r="K6224" s="58"/>
      <c r="L6224" s="13" t="str">
        <f t="shared" si="954"/>
        <v/>
      </c>
      <c r="M6224" s="13" t="str">
        <f t="shared" si="955"/>
        <v/>
      </c>
      <c r="Q6224" t="str">
        <f t="shared" si="956"/>
        <v/>
      </c>
      <c r="R6224" t="str">
        <f t="shared" si="957"/>
        <v/>
      </c>
      <c r="S6224" t="str">
        <f t="shared" si="958"/>
        <v/>
      </c>
      <c r="T6224" t="str">
        <f t="shared" si="959"/>
        <v/>
      </c>
      <c r="U6224" t="str">
        <f t="shared" si="960"/>
        <v/>
      </c>
      <c r="V6224" t="str">
        <f t="shared" si="961"/>
        <v/>
      </c>
      <c r="W6224" t="str">
        <f t="shared" si="962"/>
        <v/>
      </c>
      <c r="X6224">
        <f t="shared" si="952"/>
        <v>0</v>
      </c>
      <c r="Z6224" t="str">
        <f t="shared" si="963"/>
        <v/>
      </c>
      <c r="AA6224">
        <f t="shared" si="953"/>
        <v>0</v>
      </c>
    </row>
    <row r="6225" spans="1:27" ht="21" customHeight="1" x14ac:dyDescent="0.95">
      <c r="A6225" s="56"/>
      <c r="B6225" s="57"/>
      <c r="C6225" s="57"/>
      <c r="D6225" s="57"/>
      <c r="E6225" s="56"/>
      <c r="F6225" s="57"/>
      <c r="G6225" s="57"/>
      <c r="H6225" s="56"/>
      <c r="I6225" s="56"/>
      <c r="J6225" s="58"/>
      <c r="K6225" s="58"/>
      <c r="L6225" s="13" t="str">
        <f t="shared" si="954"/>
        <v/>
      </c>
      <c r="M6225" s="13" t="str">
        <f t="shared" si="955"/>
        <v/>
      </c>
      <c r="Q6225" t="str">
        <f t="shared" si="956"/>
        <v/>
      </c>
      <c r="R6225" t="str">
        <f t="shared" si="957"/>
        <v/>
      </c>
      <c r="S6225" t="str">
        <f t="shared" si="958"/>
        <v/>
      </c>
      <c r="T6225" t="str">
        <f t="shared" si="959"/>
        <v/>
      </c>
      <c r="U6225" t="str">
        <f t="shared" si="960"/>
        <v/>
      </c>
      <c r="V6225" t="str">
        <f t="shared" si="961"/>
        <v/>
      </c>
      <c r="W6225" t="str">
        <f t="shared" si="962"/>
        <v/>
      </c>
      <c r="X6225">
        <f t="shared" si="952"/>
        <v>0</v>
      </c>
      <c r="Z6225" t="str">
        <f t="shared" si="963"/>
        <v/>
      </c>
      <c r="AA6225">
        <f t="shared" si="953"/>
        <v>0</v>
      </c>
    </row>
    <row r="6226" spans="1:27" ht="21" customHeight="1" x14ac:dyDescent="0.95">
      <c r="A6226" s="56"/>
      <c r="B6226" s="57"/>
      <c r="C6226" s="57"/>
      <c r="D6226" s="57"/>
      <c r="E6226" s="56"/>
      <c r="F6226" s="57"/>
      <c r="G6226" s="57"/>
      <c r="H6226" s="56"/>
      <c r="I6226" s="56"/>
      <c r="J6226" s="58"/>
      <c r="K6226" s="58"/>
      <c r="L6226" s="13" t="str">
        <f t="shared" si="954"/>
        <v/>
      </c>
      <c r="M6226" s="13" t="str">
        <f t="shared" si="955"/>
        <v/>
      </c>
      <c r="Q6226" t="str">
        <f t="shared" si="956"/>
        <v/>
      </c>
      <c r="R6226" t="str">
        <f t="shared" si="957"/>
        <v/>
      </c>
      <c r="S6226" t="str">
        <f t="shared" si="958"/>
        <v/>
      </c>
      <c r="T6226" t="str">
        <f t="shared" si="959"/>
        <v/>
      </c>
      <c r="U6226" t="str">
        <f t="shared" si="960"/>
        <v/>
      </c>
      <c r="V6226" t="str">
        <f t="shared" si="961"/>
        <v/>
      </c>
      <c r="W6226" t="str">
        <f t="shared" si="962"/>
        <v/>
      </c>
      <c r="X6226">
        <f t="shared" si="952"/>
        <v>0</v>
      </c>
      <c r="Z6226" t="str">
        <f t="shared" si="963"/>
        <v/>
      </c>
      <c r="AA6226">
        <f t="shared" si="953"/>
        <v>0</v>
      </c>
    </row>
    <row r="6227" spans="1:27" ht="21" customHeight="1" x14ac:dyDescent="0.95">
      <c r="A6227" s="56"/>
      <c r="B6227" s="57"/>
      <c r="C6227" s="57"/>
      <c r="D6227" s="57"/>
      <c r="E6227" s="56"/>
      <c r="F6227" s="57"/>
      <c r="G6227" s="57"/>
      <c r="H6227" s="56"/>
      <c r="I6227" s="56"/>
      <c r="J6227" s="58"/>
      <c r="K6227" s="58"/>
      <c r="L6227" s="13" t="str">
        <f t="shared" si="954"/>
        <v/>
      </c>
      <c r="M6227" s="13" t="str">
        <f t="shared" si="955"/>
        <v/>
      </c>
      <c r="Q6227" t="str">
        <f t="shared" si="956"/>
        <v/>
      </c>
      <c r="R6227" t="str">
        <f t="shared" si="957"/>
        <v/>
      </c>
      <c r="S6227" t="str">
        <f t="shared" si="958"/>
        <v/>
      </c>
      <c r="T6227" t="str">
        <f t="shared" si="959"/>
        <v/>
      </c>
      <c r="U6227" t="str">
        <f t="shared" si="960"/>
        <v/>
      </c>
      <c r="V6227" t="str">
        <f t="shared" si="961"/>
        <v/>
      </c>
      <c r="W6227" t="str">
        <f t="shared" si="962"/>
        <v/>
      </c>
      <c r="X6227">
        <f t="shared" si="952"/>
        <v>0</v>
      </c>
      <c r="Z6227" t="str">
        <f t="shared" si="963"/>
        <v/>
      </c>
      <c r="AA6227">
        <f t="shared" si="953"/>
        <v>0</v>
      </c>
    </row>
    <row r="6228" spans="1:27" ht="21" customHeight="1" x14ac:dyDescent="0.95">
      <c r="A6228" s="56"/>
      <c r="B6228" s="57"/>
      <c r="C6228" s="57"/>
      <c r="D6228" s="57"/>
      <c r="E6228" s="56"/>
      <c r="F6228" s="57"/>
      <c r="G6228" s="57"/>
      <c r="H6228" s="56"/>
      <c r="I6228" s="56"/>
      <c r="J6228" s="58"/>
      <c r="K6228" s="58"/>
      <c r="L6228" s="13" t="str">
        <f t="shared" si="954"/>
        <v/>
      </c>
      <c r="M6228" s="13" t="str">
        <f t="shared" si="955"/>
        <v/>
      </c>
      <c r="Q6228" t="str">
        <f t="shared" si="956"/>
        <v/>
      </c>
      <c r="R6228" t="str">
        <f t="shared" si="957"/>
        <v/>
      </c>
      <c r="S6228" t="str">
        <f t="shared" si="958"/>
        <v/>
      </c>
      <c r="T6228" t="str">
        <f t="shared" si="959"/>
        <v/>
      </c>
      <c r="U6228" t="str">
        <f t="shared" si="960"/>
        <v/>
      </c>
      <c r="V6228" t="str">
        <f t="shared" si="961"/>
        <v/>
      </c>
      <c r="W6228" t="str">
        <f t="shared" si="962"/>
        <v/>
      </c>
      <c r="X6228">
        <f t="shared" si="952"/>
        <v>0</v>
      </c>
      <c r="Z6228" t="str">
        <f t="shared" si="963"/>
        <v/>
      </c>
      <c r="AA6228">
        <f t="shared" si="953"/>
        <v>0</v>
      </c>
    </row>
    <row r="6229" spans="1:27" ht="21" customHeight="1" x14ac:dyDescent="0.95">
      <c r="A6229" s="56"/>
      <c r="B6229" s="57"/>
      <c r="C6229" s="57"/>
      <c r="D6229" s="57"/>
      <c r="E6229" s="56"/>
      <c r="F6229" s="57"/>
      <c r="G6229" s="57"/>
      <c r="H6229" s="56"/>
      <c r="I6229" s="56"/>
      <c r="J6229" s="58"/>
      <c r="K6229" s="58"/>
      <c r="L6229" s="13" t="str">
        <f t="shared" si="954"/>
        <v/>
      </c>
      <c r="M6229" s="13" t="str">
        <f t="shared" si="955"/>
        <v/>
      </c>
      <c r="Q6229" t="str">
        <f t="shared" si="956"/>
        <v/>
      </c>
      <c r="R6229" t="str">
        <f t="shared" si="957"/>
        <v/>
      </c>
      <c r="S6229" t="str">
        <f t="shared" si="958"/>
        <v/>
      </c>
      <c r="T6229" t="str">
        <f t="shared" si="959"/>
        <v/>
      </c>
      <c r="U6229" t="str">
        <f t="shared" si="960"/>
        <v/>
      </c>
      <c r="V6229" t="str">
        <f t="shared" si="961"/>
        <v/>
      </c>
      <c r="W6229" t="str">
        <f t="shared" si="962"/>
        <v/>
      </c>
      <c r="X6229">
        <f t="shared" si="952"/>
        <v>0</v>
      </c>
      <c r="Z6229" t="str">
        <f t="shared" si="963"/>
        <v/>
      </c>
      <c r="AA6229">
        <f t="shared" si="953"/>
        <v>0</v>
      </c>
    </row>
    <row r="6230" spans="1:27" ht="21" customHeight="1" x14ac:dyDescent="0.95">
      <c r="A6230" s="56"/>
      <c r="B6230" s="57"/>
      <c r="C6230" s="57"/>
      <c r="D6230" s="57"/>
      <c r="E6230" s="56"/>
      <c r="F6230" s="57"/>
      <c r="G6230" s="57"/>
      <c r="H6230" s="56"/>
      <c r="I6230" s="56"/>
      <c r="J6230" s="58"/>
      <c r="K6230" s="58"/>
      <c r="L6230" s="13" t="str">
        <f t="shared" si="954"/>
        <v/>
      </c>
      <c r="M6230" s="13" t="str">
        <f t="shared" si="955"/>
        <v/>
      </c>
      <c r="Q6230" t="str">
        <f t="shared" si="956"/>
        <v/>
      </c>
      <c r="R6230" t="str">
        <f t="shared" si="957"/>
        <v/>
      </c>
      <c r="S6230" t="str">
        <f t="shared" si="958"/>
        <v/>
      </c>
      <c r="T6230" t="str">
        <f t="shared" si="959"/>
        <v/>
      </c>
      <c r="U6230" t="str">
        <f t="shared" si="960"/>
        <v/>
      </c>
      <c r="V6230" t="str">
        <f t="shared" si="961"/>
        <v/>
      </c>
      <c r="W6230" t="str">
        <f t="shared" si="962"/>
        <v/>
      </c>
      <c r="X6230">
        <f t="shared" si="952"/>
        <v>0</v>
      </c>
      <c r="Z6230" t="str">
        <f t="shared" si="963"/>
        <v/>
      </c>
      <c r="AA6230">
        <f t="shared" si="953"/>
        <v>0</v>
      </c>
    </row>
    <row r="6231" spans="1:27" ht="21" customHeight="1" x14ac:dyDescent="0.95">
      <c r="A6231" s="56"/>
      <c r="B6231" s="57"/>
      <c r="C6231" s="57"/>
      <c r="D6231" s="57"/>
      <c r="E6231" s="56"/>
      <c r="F6231" s="57"/>
      <c r="G6231" s="57"/>
      <c r="H6231" s="56"/>
      <c r="I6231" s="56"/>
      <c r="J6231" s="58"/>
      <c r="K6231" s="58"/>
      <c r="L6231" s="13" t="str">
        <f t="shared" si="954"/>
        <v/>
      </c>
      <c r="M6231" s="13" t="str">
        <f t="shared" si="955"/>
        <v/>
      </c>
      <c r="Q6231" t="str">
        <f t="shared" si="956"/>
        <v/>
      </c>
      <c r="R6231" t="str">
        <f t="shared" si="957"/>
        <v/>
      </c>
      <c r="S6231" t="str">
        <f t="shared" si="958"/>
        <v/>
      </c>
      <c r="T6231" t="str">
        <f t="shared" si="959"/>
        <v/>
      </c>
      <c r="U6231" t="str">
        <f t="shared" si="960"/>
        <v/>
      </c>
      <c r="V6231" t="str">
        <f t="shared" si="961"/>
        <v/>
      </c>
      <c r="W6231" t="str">
        <f t="shared" si="962"/>
        <v/>
      </c>
      <c r="X6231">
        <f t="shared" si="952"/>
        <v>0</v>
      </c>
      <c r="Z6231" t="str">
        <f t="shared" si="963"/>
        <v/>
      </c>
      <c r="AA6231">
        <f t="shared" si="953"/>
        <v>0</v>
      </c>
    </row>
    <row r="6232" spans="1:27" ht="21" customHeight="1" x14ac:dyDescent="0.95">
      <c r="A6232" s="56"/>
      <c r="B6232" s="57"/>
      <c r="C6232" s="57"/>
      <c r="D6232" s="57"/>
      <c r="E6232" s="56"/>
      <c r="F6232" s="57"/>
      <c r="G6232" s="57"/>
      <c r="H6232" s="56"/>
      <c r="I6232" s="56"/>
      <c r="J6232" s="58"/>
      <c r="K6232" s="58"/>
      <c r="L6232" s="13" t="str">
        <f t="shared" si="954"/>
        <v/>
      </c>
      <c r="M6232" s="13" t="str">
        <f t="shared" si="955"/>
        <v/>
      </c>
      <c r="Q6232" t="str">
        <f t="shared" si="956"/>
        <v/>
      </c>
      <c r="R6232" t="str">
        <f t="shared" si="957"/>
        <v/>
      </c>
      <c r="S6232" t="str">
        <f t="shared" si="958"/>
        <v/>
      </c>
      <c r="T6232" t="str">
        <f t="shared" si="959"/>
        <v/>
      </c>
      <c r="U6232" t="str">
        <f t="shared" si="960"/>
        <v/>
      </c>
      <c r="V6232" t="str">
        <f t="shared" si="961"/>
        <v/>
      </c>
      <c r="W6232" t="str">
        <f t="shared" si="962"/>
        <v/>
      </c>
      <c r="X6232">
        <f t="shared" si="952"/>
        <v>0</v>
      </c>
      <c r="Z6232" t="str">
        <f t="shared" si="963"/>
        <v/>
      </c>
      <c r="AA6232">
        <f t="shared" si="953"/>
        <v>0</v>
      </c>
    </row>
    <row r="6233" spans="1:27" ht="21" customHeight="1" x14ac:dyDescent="0.95">
      <c r="A6233" s="56"/>
      <c r="B6233" s="57"/>
      <c r="C6233" s="57"/>
      <c r="D6233" s="57"/>
      <c r="E6233" s="56"/>
      <c r="F6233" s="57"/>
      <c r="G6233" s="57"/>
      <c r="H6233" s="56"/>
      <c r="I6233" s="56"/>
      <c r="J6233" s="58"/>
      <c r="K6233" s="58"/>
      <c r="L6233" s="13" t="str">
        <f t="shared" si="954"/>
        <v/>
      </c>
      <c r="M6233" s="13" t="str">
        <f t="shared" si="955"/>
        <v/>
      </c>
      <c r="Q6233" t="str">
        <f t="shared" si="956"/>
        <v/>
      </c>
      <c r="R6233" t="str">
        <f t="shared" si="957"/>
        <v/>
      </c>
      <c r="S6233" t="str">
        <f t="shared" si="958"/>
        <v/>
      </c>
      <c r="T6233" t="str">
        <f t="shared" si="959"/>
        <v/>
      </c>
      <c r="U6233" t="str">
        <f t="shared" si="960"/>
        <v/>
      </c>
      <c r="V6233" t="str">
        <f t="shared" si="961"/>
        <v/>
      </c>
      <c r="W6233" t="str">
        <f t="shared" si="962"/>
        <v/>
      </c>
      <c r="X6233">
        <f t="shared" si="952"/>
        <v>0</v>
      </c>
      <c r="Z6233" t="str">
        <f t="shared" si="963"/>
        <v/>
      </c>
      <c r="AA6233">
        <f t="shared" si="953"/>
        <v>0</v>
      </c>
    </row>
    <row r="6234" spans="1:27" ht="21" customHeight="1" x14ac:dyDescent="0.95">
      <c r="A6234" s="56"/>
      <c r="B6234" s="57"/>
      <c r="C6234" s="57"/>
      <c r="D6234" s="57"/>
      <c r="E6234" s="56"/>
      <c r="F6234" s="57"/>
      <c r="G6234" s="57"/>
      <c r="H6234" s="56"/>
      <c r="I6234" s="56"/>
      <c r="J6234" s="58"/>
      <c r="K6234" s="58"/>
      <c r="L6234" s="13" t="str">
        <f t="shared" si="954"/>
        <v/>
      </c>
      <c r="M6234" s="13" t="str">
        <f t="shared" si="955"/>
        <v/>
      </c>
      <c r="Q6234" t="str">
        <f t="shared" si="956"/>
        <v/>
      </c>
      <c r="R6234" t="str">
        <f t="shared" si="957"/>
        <v/>
      </c>
      <c r="S6234" t="str">
        <f t="shared" si="958"/>
        <v/>
      </c>
      <c r="T6234" t="str">
        <f t="shared" si="959"/>
        <v/>
      </c>
      <c r="U6234" t="str">
        <f t="shared" si="960"/>
        <v/>
      </c>
      <c r="V6234" t="str">
        <f t="shared" si="961"/>
        <v/>
      </c>
      <c r="W6234" t="str">
        <f t="shared" si="962"/>
        <v/>
      </c>
      <c r="X6234">
        <f t="shared" si="952"/>
        <v>0</v>
      </c>
      <c r="Z6234" t="str">
        <f t="shared" si="963"/>
        <v/>
      </c>
      <c r="AA6234">
        <f t="shared" si="953"/>
        <v>0</v>
      </c>
    </row>
    <row r="6235" spans="1:27" ht="21" customHeight="1" x14ac:dyDescent="0.95">
      <c r="A6235" s="56"/>
      <c r="B6235" s="57"/>
      <c r="C6235" s="57"/>
      <c r="D6235" s="57"/>
      <c r="E6235" s="56"/>
      <c r="F6235" s="57"/>
      <c r="G6235" s="57"/>
      <c r="H6235" s="56"/>
      <c r="I6235" s="56"/>
      <c r="J6235" s="58"/>
      <c r="K6235" s="58"/>
      <c r="L6235" s="13" t="str">
        <f t="shared" si="954"/>
        <v/>
      </c>
      <c r="M6235" s="13" t="str">
        <f t="shared" si="955"/>
        <v/>
      </c>
      <c r="Q6235" t="str">
        <f t="shared" si="956"/>
        <v/>
      </c>
      <c r="R6235" t="str">
        <f t="shared" si="957"/>
        <v/>
      </c>
      <c r="S6235" t="str">
        <f t="shared" si="958"/>
        <v/>
      </c>
      <c r="T6235" t="str">
        <f t="shared" si="959"/>
        <v/>
      </c>
      <c r="U6235" t="str">
        <f t="shared" si="960"/>
        <v/>
      </c>
      <c r="V6235" t="str">
        <f t="shared" si="961"/>
        <v/>
      </c>
      <c r="W6235" t="str">
        <f t="shared" si="962"/>
        <v/>
      </c>
      <c r="X6235">
        <f t="shared" si="952"/>
        <v>0</v>
      </c>
      <c r="Z6235" t="str">
        <f t="shared" si="963"/>
        <v/>
      </c>
      <c r="AA6235">
        <f t="shared" si="953"/>
        <v>0</v>
      </c>
    </row>
    <row r="6236" spans="1:27" ht="21" customHeight="1" x14ac:dyDescent="0.95">
      <c r="A6236" s="56"/>
      <c r="B6236" s="57"/>
      <c r="C6236" s="57"/>
      <c r="D6236" s="57"/>
      <c r="E6236" s="56"/>
      <c r="F6236" s="57"/>
      <c r="G6236" s="57"/>
      <c r="H6236" s="56"/>
      <c r="I6236" s="56"/>
      <c r="J6236" s="58"/>
      <c r="K6236" s="58"/>
      <c r="L6236" s="13" t="str">
        <f t="shared" si="954"/>
        <v/>
      </c>
      <c r="M6236" s="13" t="str">
        <f t="shared" si="955"/>
        <v/>
      </c>
      <c r="Q6236" t="str">
        <f t="shared" si="956"/>
        <v/>
      </c>
      <c r="R6236" t="str">
        <f t="shared" si="957"/>
        <v/>
      </c>
      <c r="S6236" t="str">
        <f t="shared" si="958"/>
        <v/>
      </c>
      <c r="T6236" t="str">
        <f t="shared" si="959"/>
        <v/>
      </c>
      <c r="U6236" t="str">
        <f t="shared" si="960"/>
        <v/>
      </c>
      <c r="V6236" t="str">
        <f t="shared" si="961"/>
        <v/>
      </c>
      <c r="W6236" t="str">
        <f t="shared" si="962"/>
        <v/>
      </c>
      <c r="X6236">
        <f t="shared" si="952"/>
        <v>0</v>
      </c>
      <c r="Z6236" t="str">
        <f t="shared" si="963"/>
        <v/>
      </c>
      <c r="AA6236">
        <f t="shared" si="953"/>
        <v>0</v>
      </c>
    </row>
    <row r="6237" spans="1:27" ht="21" customHeight="1" x14ac:dyDescent="0.95">
      <c r="A6237" s="56"/>
      <c r="B6237" s="57"/>
      <c r="C6237" s="57"/>
      <c r="D6237" s="57"/>
      <c r="E6237" s="56"/>
      <c r="F6237" s="57"/>
      <c r="G6237" s="57"/>
      <c r="H6237" s="56"/>
      <c r="I6237" s="56"/>
      <c r="J6237" s="58"/>
      <c r="K6237" s="58"/>
      <c r="L6237" s="13" t="str">
        <f t="shared" si="954"/>
        <v/>
      </c>
      <c r="M6237" s="13" t="str">
        <f t="shared" si="955"/>
        <v/>
      </c>
      <c r="Q6237" t="str">
        <f t="shared" si="956"/>
        <v/>
      </c>
      <c r="R6237" t="str">
        <f t="shared" si="957"/>
        <v/>
      </c>
      <c r="S6237" t="str">
        <f t="shared" si="958"/>
        <v/>
      </c>
      <c r="T6237" t="str">
        <f t="shared" si="959"/>
        <v/>
      </c>
      <c r="U6237" t="str">
        <f t="shared" si="960"/>
        <v/>
      </c>
      <c r="V6237" t="str">
        <f t="shared" si="961"/>
        <v/>
      </c>
      <c r="W6237" t="str">
        <f t="shared" si="962"/>
        <v/>
      </c>
      <c r="X6237">
        <f t="shared" si="952"/>
        <v>0</v>
      </c>
      <c r="Z6237" t="str">
        <f t="shared" si="963"/>
        <v/>
      </c>
      <c r="AA6237">
        <f t="shared" si="953"/>
        <v>0</v>
      </c>
    </row>
    <row r="6238" spans="1:27" ht="21" customHeight="1" x14ac:dyDescent="0.95">
      <c r="A6238" s="56"/>
      <c r="B6238" s="57"/>
      <c r="C6238" s="57"/>
      <c r="D6238" s="57"/>
      <c r="E6238" s="56"/>
      <c r="F6238" s="57"/>
      <c r="G6238" s="57"/>
      <c r="H6238" s="56"/>
      <c r="I6238" s="56"/>
      <c r="J6238" s="58"/>
      <c r="K6238" s="58"/>
      <c r="L6238" s="13" t="str">
        <f t="shared" si="954"/>
        <v/>
      </c>
      <c r="M6238" s="13" t="str">
        <f t="shared" si="955"/>
        <v/>
      </c>
      <c r="Q6238" t="str">
        <f t="shared" si="956"/>
        <v/>
      </c>
      <c r="R6238" t="str">
        <f t="shared" si="957"/>
        <v/>
      </c>
      <c r="S6238" t="str">
        <f t="shared" si="958"/>
        <v/>
      </c>
      <c r="T6238" t="str">
        <f t="shared" si="959"/>
        <v/>
      </c>
      <c r="U6238" t="str">
        <f t="shared" si="960"/>
        <v/>
      </c>
      <c r="V6238" t="str">
        <f t="shared" si="961"/>
        <v/>
      </c>
      <c r="W6238" t="str">
        <f t="shared" si="962"/>
        <v/>
      </c>
      <c r="X6238">
        <f t="shared" si="952"/>
        <v>0</v>
      </c>
      <c r="Z6238" t="str">
        <f t="shared" si="963"/>
        <v/>
      </c>
      <c r="AA6238">
        <f t="shared" si="953"/>
        <v>0</v>
      </c>
    </row>
    <row r="6239" spans="1:27" ht="21" customHeight="1" x14ac:dyDescent="0.95">
      <c r="A6239" s="56"/>
      <c r="B6239" s="57"/>
      <c r="C6239" s="57"/>
      <c r="D6239" s="57"/>
      <c r="E6239" s="56"/>
      <c r="F6239" s="57"/>
      <c r="G6239" s="57"/>
      <c r="H6239" s="56"/>
      <c r="I6239" s="56"/>
      <c r="J6239" s="58"/>
      <c r="K6239" s="58"/>
      <c r="L6239" s="13" t="str">
        <f t="shared" si="954"/>
        <v/>
      </c>
      <c r="M6239" s="13" t="str">
        <f t="shared" si="955"/>
        <v/>
      </c>
      <c r="Q6239" t="str">
        <f t="shared" si="956"/>
        <v/>
      </c>
      <c r="R6239" t="str">
        <f t="shared" si="957"/>
        <v/>
      </c>
      <c r="S6239" t="str">
        <f t="shared" si="958"/>
        <v/>
      </c>
      <c r="T6239" t="str">
        <f t="shared" si="959"/>
        <v/>
      </c>
      <c r="U6239" t="str">
        <f t="shared" si="960"/>
        <v/>
      </c>
      <c r="V6239" t="str">
        <f t="shared" si="961"/>
        <v/>
      </c>
      <c r="W6239" t="str">
        <f t="shared" si="962"/>
        <v/>
      </c>
      <c r="X6239">
        <f t="shared" si="952"/>
        <v>0</v>
      </c>
      <c r="Z6239" t="str">
        <f t="shared" si="963"/>
        <v/>
      </c>
      <c r="AA6239">
        <f t="shared" si="953"/>
        <v>0</v>
      </c>
    </row>
    <row r="6240" spans="1:27" ht="21" customHeight="1" x14ac:dyDescent="0.95">
      <c r="A6240" s="56"/>
      <c r="B6240" s="57"/>
      <c r="C6240" s="57"/>
      <c r="D6240" s="57"/>
      <c r="E6240" s="56"/>
      <c r="F6240" s="57"/>
      <c r="G6240" s="57"/>
      <c r="H6240" s="56"/>
      <c r="I6240" s="56"/>
      <c r="J6240" s="58"/>
      <c r="K6240" s="58"/>
      <c r="L6240" s="13" t="str">
        <f t="shared" si="954"/>
        <v/>
      </c>
      <c r="M6240" s="13" t="str">
        <f t="shared" si="955"/>
        <v/>
      </c>
      <c r="Q6240" t="str">
        <f t="shared" si="956"/>
        <v/>
      </c>
      <c r="R6240" t="str">
        <f t="shared" si="957"/>
        <v/>
      </c>
      <c r="S6240" t="str">
        <f t="shared" si="958"/>
        <v/>
      </c>
      <c r="T6240" t="str">
        <f t="shared" si="959"/>
        <v/>
      </c>
      <c r="U6240" t="str">
        <f t="shared" si="960"/>
        <v/>
      </c>
      <c r="V6240" t="str">
        <f t="shared" si="961"/>
        <v/>
      </c>
      <c r="W6240" t="str">
        <f t="shared" si="962"/>
        <v/>
      </c>
      <c r="X6240">
        <f t="shared" si="952"/>
        <v>0</v>
      </c>
      <c r="Z6240" t="str">
        <f t="shared" si="963"/>
        <v/>
      </c>
      <c r="AA6240">
        <f t="shared" si="953"/>
        <v>0</v>
      </c>
    </row>
    <row r="6241" spans="1:27" ht="21" customHeight="1" x14ac:dyDescent="0.95">
      <c r="A6241" s="56"/>
      <c r="B6241" s="57"/>
      <c r="C6241" s="57"/>
      <c r="D6241" s="57"/>
      <c r="E6241" s="56"/>
      <c r="F6241" s="57"/>
      <c r="G6241" s="57"/>
      <c r="H6241" s="56"/>
      <c r="I6241" s="56"/>
      <c r="J6241" s="58"/>
      <c r="K6241" s="58"/>
      <c r="L6241" s="13" t="str">
        <f t="shared" si="954"/>
        <v/>
      </c>
      <c r="M6241" s="13" t="str">
        <f t="shared" si="955"/>
        <v/>
      </c>
      <c r="Q6241" t="str">
        <f t="shared" si="956"/>
        <v/>
      </c>
      <c r="R6241" t="str">
        <f t="shared" si="957"/>
        <v/>
      </c>
      <c r="S6241" t="str">
        <f t="shared" si="958"/>
        <v/>
      </c>
      <c r="T6241" t="str">
        <f t="shared" si="959"/>
        <v/>
      </c>
      <c r="U6241" t="str">
        <f t="shared" si="960"/>
        <v/>
      </c>
      <c r="V6241" t="str">
        <f t="shared" si="961"/>
        <v/>
      </c>
      <c r="W6241" t="str">
        <f t="shared" si="962"/>
        <v/>
      </c>
      <c r="X6241">
        <f t="shared" si="952"/>
        <v>0</v>
      </c>
      <c r="Z6241" t="str">
        <f t="shared" si="963"/>
        <v/>
      </c>
      <c r="AA6241">
        <f t="shared" si="953"/>
        <v>0</v>
      </c>
    </row>
    <row r="6242" spans="1:27" ht="21" customHeight="1" x14ac:dyDescent="0.95">
      <c r="A6242" s="56"/>
      <c r="B6242" s="57"/>
      <c r="C6242" s="57"/>
      <c r="D6242" s="57"/>
      <c r="E6242" s="56"/>
      <c r="F6242" s="57"/>
      <c r="G6242" s="57"/>
      <c r="H6242" s="56"/>
      <c r="I6242" s="56"/>
      <c r="J6242" s="58"/>
      <c r="K6242" s="58"/>
      <c r="L6242" s="13" t="str">
        <f t="shared" si="954"/>
        <v/>
      </c>
      <c r="M6242" s="13" t="str">
        <f t="shared" si="955"/>
        <v/>
      </c>
      <c r="Q6242" t="str">
        <f t="shared" si="956"/>
        <v/>
      </c>
      <c r="R6242" t="str">
        <f t="shared" si="957"/>
        <v/>
      </c>
      <c r="S6242" t="str">
        <f t="shared" si="958"/>
        <v/>
      </c>
      <c r="T6242" t="str">
        <f t="shared" si="959"/>
        <v/>
      </c>
      <c r="U6242" t="str">
        <f t="shared" si="960"/>
        <v/>
      </c>
      <c r="V6242" t="str">
        <f t="shared" si="961"/>
        <v/>
      </c>
      <c r="W6242" t="str">
        <f t="shared" si="962"/>
        <v/>
      </c>
      <c r="X6242">
        <f t="shared" si="952"/>
        <v>0</v>
      </c>
      <c r="Z6242" t="str">
        <f t="shared" si="963"/>
        <v/>
      </c>
      <c r="AA6242">
        <f t="shared" si="953"/>
        <v>0</v>
      </c>
    </row>
    <row r="6243" spans="1:27" ht="21" customHeight="1" x14ac:dyDescent="0.95">
      <c r="A6243" s="56"/>
      <c r="B6243" s="57"/>
      <c r="C6243" s="57"/>
      <c r="D6243" s="57"/>
      <c r="E6243" s="56"/>
      <c r="F6243" s="57"/>
      <c r="G6243" s="57"/>
      <c r="H6243" s="56"/>
      <c r="I6243" s="56"/>
      <c r="J6243" s="58"/>
      <c r="K6243" s="58"/>
      <c r="L6243" s="13" t="str">
        <f t="shared" si="954"/>
        <v/>
      </c>
      <c r="M6243" s="13" t="str">
        <f t="shared" si="955"/>
        <v/>
      </c>
      <c r="Q6243" t="str">
        <f t="shared" si="956"/>
        <v/>
      </c>
      <c r="R6243" t="str">
        <f t="shared" si="957"/>
        <v/>
      </c>
      <c r="S6243" t="str">
        <f t="shared" si="958"/>
        <v/>
      </c>
      <c r="T6243" t="str">
        <f t="shared" si="959"/>
        <v/>
      </c>
      <c r="U6243" t="str">
        <f t="shared" si="960"/>
        <v/>
      </c>
      <c r="V6243" t="str">
        <f t="shared" si="961"/>
        <v/>
      </c>
      <c r="W6243" t="str">
        <f t="shared" si="962"/>
        <v/>
      </c>
      <c r="X6243">
        <f t="shared" si="952"/>
        <v>0</v>
      </c>
      <c r="Z6243" t="str">
        <f t="shared" si="963"/>
        <v/>
      </c>
      <c r="AA6243">
        <f t="shared" si="953"/>
        <v>0</v>
      </c>
    </row>
    <row r="6244" spans="1:27" ht="21" customHeight="1" x14ac:dyDescent="0.95">
      <c r="A6244" s="56"/>
      <c r="B6244" s="57"/>
      <c r="C6244" s="57"/>
      <c r="D6244" s="57"/>
      <c r="E6244" s="56"/>
      <c r="F6244" s="57"/>
      <c r="G6244" s="57"/>
      <c r="H6244" s="56"/>
      <c r="I6244" s="56"/>
      <c r="J6244" s="58"/>
      <c r="K6244" s="58"/>
      <c r="L6244" s="13" t="str">
        <f t="shared" si="954"/>
        <v/>
      </c>
      <c r="M6244" s="13" t="str">
        <f t="shared" si="955"/>
        <v/>
      </c>
      <c r="Q6244" t="str">
        <f t="shared" si="956"/>
        <v/>
      </c>
      <c r="R6244" t="str">
        <f t="shared" si="957"/>
        <v/>
      </c>
      <c r="S6244" t="str">
        <f t="shared" si="958"/>
        <v/>
      </c>
      <c r="T6244" t="str">
        <f t="shared" si="959"/>
        <v/>
      </c>
      <c r="U6244" t="str">
        <f t="shared" si="960"/>
        <v/>
      </c>
      <c r="V6244" t="str">
        <f t="shared" si="961"/>
        <v/>
      </c>
      <c r="W6244" t="str">
        <f t="shared" si="962"/>
        <v/>
      </c>
      <c r="X6244">
        <f t="shared" si="952"/>
        <v>0</v>
      </c>
      <c r="Z6244" t="str">
        <f t="shared" si="963"/>
        <v/>
      </c>
      <c r="AA6244">
        <f t="shared" si="953"/>
        <v>0</v>
      </c>
    </row>
    <row r="6245" spans="1:27" ht="21" customHeight="1" x14ac:dyDescent="0.95">
      <c r="A6245" s="56"/>
      <c r="B6245" s="57"/>
      <c r="C6245" s="57"/>
      <c r="D6245" s="57"/>
      <c r="E6245" s="56"/>
      <c r="F6245" s="57"/>
      <c r="G6245" s="57"/>
      <c r="H6245" s="56"/>
      <c r="I6245" s="56"/>
      <c r="J6245" s="58"/>
      <c r="K6245" s="58"/>
      <c r="L6245" s="13" t="str">
        <f t="shared" si="954"/>
        <v/>
      </c>
      <c r="M6245" s="13" t="str">
        <f t="shared" si="955"/>
        <v/>
      </c>
      <c r="Q6245" t="str">
        <f t="shared" si="956"/>
        <v/>
      </c>
      <c r="R6245" t="str">
        <f t="shared" si="957"/>
        <v/>
      </c>
      <c r="S6245" t="str">
        <f t="shared" si="958"/>
        <v/>
      </c>
      <c r="T6245" t="str">
        <f t="shared" si="959"/>
        <v/>
      </c>
      <c r="U6245" t="str">
        <f t="shared" si="960"/>
        <v/>
      </c>
      <c r="V6245" t="str">
        <f t="shared" si="961"/>
        <v/>
      </c>
      <c r="W6245" t="str">
        <f t="shared" si="962"/>
        <v/>
      </c>
      <c r="X6245">
        <f t="shared" si="952"/>
        <v>0</v>
      </c>
      <c r="Z6245" t="str">
        <f t="shared" si="963"/>
        <v/>
      </c>
      <c r="AA6245">
        <f t="shared" si="953"/>
        <v>0</v>
      </c>
    </row>
    <row r="6246" spans="1:27" ht="21" customHeight="1" x14ac:dyDescent="0.95">
      <c r="A6246" s="56"/>
      <c r="B6246" s="57"/>
      <c r="C6246" s="57"/>
      <c r="D6246" s="57"/>
      <c r="E6246" s="56"/>
      <c r="F6246" s="57"/>
      <c r="G6246" s="57"/>
      <c r="H6246" s="56"/>
      <c r="I6246" s="56"/>
      <c r="J6246" s="58"/>
      <c r="K6246" s="58"/>
      <c r="L6246" s="13" t="str">
        <f t="shared" si="954"/>
        <v/>
      </c>
      <c r="M6246" s="13" t="str">
        <f t="shared" si="955"/>
        <v/>
      </c>
      <c r="Q6246" t="str">
        <f t="shared" si="956"/>
        <v/>
      </c>
      <c r="R6246" t="str">
        <f t="shared" si="957"/>
        <v/>
      </c>
      <c r="S6246" t="str">
        <f t="shared" si="958"/>
        <v/>
      </c>
      <c r="T6246" t="str">
        <f t="shared" si="959"/>
        <v/>
      </c>
      <c r="U6246" t="str">
        <f t="shared" si="960"/>
        <v/>
      </c>
      <c r="V6246" t="str">
        <f t="shared" si="961"/>
        <v/>
      </c>
      <c r="W6246" t="str">
        <f t="shared" si="962"/>
        <v/>
      </c>
      <c r="X6246">
        <f t="shared" si="952"/>
        <v>0</v>
      </c>
      <c r="Z6246" t="str">
        <f t="shared" si="963"/>
        <v/>
      </c>
      <c r="AA6246">
        <f t="shared" si="953"/>
        <v>0</v>
      </c>
    </row>
    <row r="6247" spans="1:27" ht="21" customHeight="1" x14ac:dyDescent="0.95">
      <c r="A6247" s="56"/>
      <c r="B6247" s="57"/>
      <c r="C6247" s="57"/>
      <c r="D6247" s="57"/>
      <c r="E6247" s="56"/>
      <c r="F6247" s="57"/>
      <c r="G6247" s="57"/>
      <c r="H6247" s="56"/>
      <c r="I6247" s="56"/>
      <c r="J6247" s="58"/>
      <c r="K6247" s="58"/>
      <c r="L6247" s="13" t="str">
        <f t="shared" si="954"/>
        <v/>
      </c>
      <c r="M6247" s="13" t="str">
        <f t="shared" si="955"/>
        <v/>
      </c>
      <c r="Q6247" t="str">
        <f t="shared" si="956"/>
        <v/>
      </c>
      <c r="R6247" t="str">
        <f t="shared" si="957"/>
        <v/>
      </c>
      <c r="S6247" t="str">
        <f t="shared" si="958"/>
        <v/>
      </c>
      <c r="T6247" t="str">
        <f t="shared" si="959"/>
        <v/>
      </c>
      <c r="U6247" t="str">
        <f t="shared" si="960"/>
        <v/>
      </c>
      <c r="V6247" t="str">
        <f t="shared" si="961"/>
        <v/>
      </c>
      <c r="W6247" t="str">
        <f t="shared" si="962"/>
        <v/>
      </c>
      <c r="X6247">
        <f t="shared" si="952"/>
        <v>0</v>
      </c>
      <c r="Z6247" t="str">
        <f t="shared" si="963"/>
        <v/>
      </c>
      <c r="AA6247">
        <f t="shared" si="953"/>
        <v>0</v>
      </c>
    </row>
    <row r="6248" spans="1:27" ht="21" customHeight="1" x14ac:dyDescent="0.95">
      <c r="A6248" s="56"/>
      <c r="B6248" s="57"/>
      <c r="C6248" s="57"/>
      <c r="D6248" s="57"/>
      <c r="E6248" s="56"/>
      <c r="F6248" s="57"/>
      <c r="G6248" s="57"/>
      <c r="H6248" s="56"/>
      <c r="I6248" s="56"/>
      <c r="J6248" s="58"/>
      <c r="K6248" s="58"/>
      <c r="L6248" s="13" t="str">
        <f t="shared" si="954"/>
        <v/>
      </c>
      <c r="M6248" s="13" t="str">
        <f t="shared" si="955"/>
        <v/>
      </c>
      <c r="Q6248" t="str">
        <f t="shared" si="956"/>
        <v/>
      </c>
      <c r="R6248" t="str">
        <f t="shared" si="957"/>
        <v/>
      </c>
      <c r="S6248" t="str">
        <f t="shared" si="958"/>
        <v/>
      </c>
      <c r="T6248" t="str">
        <f t="shared" si="959"/>
        <v/>
      </c>
      <c r="U6248" t="str">
        <f t="shared" si="960"/>
        <v/>
      </c>
      <c r="V6248" t="str">
        <f t="shared" si="961"/>
        <v/>
      </c>
      <c r="W6248" t="str">
        <f t="shared" si="962"/>
        <v/>
      </c>
      <c r="X6248">
        <f t="shared" si="952"/>
        <v>0</v>
      </c>
      <c r="Z6248" t="str">
        <f t="shared" si="963"/>
        <v/>
      </c>
      <c r="AA6248">
        <f t="shared" si="953"/>
        <v>0</v>
      </c>
    </row>
    <row r="6249" spans="1:27" ht="21" customHeight="1" x14ac:dyDescent="0.95">
      <c r="A6249" s="56"/>
      <c r="B6249" s="57"/>
      <c r="C6249" s="57"/>
      <c r="D6249" s="57"/>
      <c r="E6249" s="56"/>
      <c r="F6249" s="57"/>
      <c r="G6249" s="57"/>
      <c r="H6249" s="56"/>
      <c r="I6249" s="56"/>
      <c r="J6249" s="58"/>
      <c r="K6249" s="58"/>
      <c r="L6249" s="13" t="str">
        <f t="shared" si="954"/>
        <v/>
      </c>
      <c r="M6249" s="13" t="str">
        <f t="shared" si="955"/>
        <v/>
      </c>
      <c r="Q6249" t="str">
        <f t="shared" si="956"/>
        <v/>
      </c>
      <c r="R6249" t="str">
        <f t="shared" si="957"/>
        <v/>
      </c>
      <c r="S6249" t="str">
        <f t="shared" si="958"/>
        <v/>
      </c>
      <c r="T6249" t="str">
        <f t="shared" si="959"/>
        <v/>
      </c>
      <c r="U6249" t="str">
        <f t="shared" si="960"/>
        <v/>
      </c>
      <c r="V6249" t="str">
        <f t="shared" si="961"/>
        <v/>
      </c>
      <c r="W6249" t="str">
        <f t="shared" si="962"/>
        <v/>
      </c>
      <c r="X6249">
        <f t="shared" si="952"/>
        <v>0</v>
      </c>
      <c r="Z6249" t="str">
        <f t="shared" si="963"/>
        <v/>
      </c>
      <c r="AA6249">
        <f t="shared" si="953"/>
        <v>0</v>
      </c>
    </row>
    <row r="6250" spans="1:27" ht="21" customHeight="1" x14ac:dyDescent="0.95">
      <c r="A6250" s="56"/>
      <c r="B6250" s="57"/>
      <c r="C6250" s="57"/>
      <c r="D6250" s="57"/>
      <c r="E6250" s="56"/>
      <c r="F6250" s="57"/>
      <c r="G6250" s="57"/>
      <c r="H6250" s="56"/>
      <c r="I6250" s="56"/>
      <c r="J6250" s="58"/>
      <c r="K6250" s="58"/>
      <c r="L6250" s="13" t="str">
        <f t="shared" si="954"/>
        <v/>
      </c>
      <c r="M6250" s="13" t="str">
        <f t="shared" si="955"/>
        <v/>
      </c>
      <c r="Q6250" t="str">
        <f t="shared" si="956"/>
        <v/>
      </c>
      <c r="R6250" t="str">
        <f t="shared" si="957"/>
        <v/>
      </c>
      <c r="S6250" t="str">
        <f t="shared" si="958"/>
        <v/>
      </c>
      <c r="T6250" t="str">
        <f t="shared" si="959"/>
        <v/>
      </c>
      <c r="U6250" t="str">
        <f t="shared" si="960"/>
        <v/>
      </c>
      <c r="V6250" t="str">
        <f t="shared" si="961"/>
        <v/>
      </c>
      <c r="W6250" t="str">
        <f t="shared" si="962"/>
        <v/>
      </c>
      <c r="X6250">
        <f t="shared" si="952"/>
        <v>0</v>
      </c>
      <c r="Z6250" t="str">
        <f t="shared" si="963"/>
        <v/>
      </c>
      <c r="AA6250">
        <f t="shared" si="953"/>
        <v>0</v>
      </c>
    </row>
    <row r="6251" spans="1:27" ht="21" customHeight="1" x14ac:dyDescent="0.95">
      <c r="A6251" s="56"/>
      <c r="B6251" s="57"/>
      <c r="C6251" s="57"/>
      <c r="D6251" s="57"/>
      <c r="E6251" s="56"/>
      <c r="F6251" s="57"/>
      <c r="G6251" s="57"/>
      <c r="H6251" s="56"/>
      <c r="I6251" s="56"/>
      <c r="J6251" s="58"/>
      <c r="K6251" s="58"/>
      <c r="L6251" s="13" t="str">
        <f t="shared" si="954"/>
        <v/>
      </c>
      <c r="M6251" s="13" t="str">
        <f t="shared" si="955"/>
        <v/>
      </c>
      <c r="Q6251" t="str">
        <f t="shared" si="956"/>
        <v/>
      </c>
      <c r="R6251" t="str">
        <f t="shared" si="957"/>
        <v/>
      </c>
      <c r="S6251" t="str">
        <f t="shared" si="958"/>
        <v/>
      </c>
      <c r="T6251" t="str">
        <f t="shared" si="959"/>
        <v/>
      </c>
      <c r="U6251" t="str">
        <f t="shared" si="960"/>
        <v/>
      </c>
      <c r="V6251" t="str">
        <f t="shared" si="961"/>
        <v/>
      </c>
      <c r="W6251" t="str">
        <f t="shared" si="962"/>
        <v/>
      </c>
      <c r="X6251">
        <f t="shared" si="952"/>
        <v>0</v>
      </c>
      <c r="Z6251" t="str">
        <f t="shared" si="963"/>
        <v/>
      </c>
      <c r="AA6251">
        <f t="shared" si="953"/>
        <v>0</v>
      </c>
    </row>
    <row r="6252" spans="1:27" ht="21" customHeight="1" x14ac:dyDescent="0.95">
      <c r="A6252" s="56"/>
      <c r="B6252" s="57"/>
      <c r="C6252" s="57"/>
      <c r="D6252" s="57"/>
      <c r="E6252" s="56"/>
      <c r="F6252" s="57"/>
      <c r="G6252" s="57"/>
      <c r="H6252" s="56"/>
      <c r="I6252" s="56"/>
      <c r="J6252" s="58"/>
      <c r="K6252" s="58"/>
      <c r="L6252" s="13" t="str">
        <f t="shared" si="954"/>
        <v/>
      </c>
      <c r="M6252" s="13" t="str">
        <f t="shared" si="955"/>
        <v/>
      </c>
      <c r="Q6252" t="str">
        <f t="shared" si="956"/>
        <v/>
      </c>
      <c r="R6252" t="str">
        <f t="shared" si="957"/>
        <v/>
      </c>
      <c r="S6252" t="str">
        <f t="shared" si="958"/>
        <v/>
      </c>
      <c r="T6252" t="str">
        <f t="shared" si="959"/>
        <v/>
      </c>
      <c r="U6252" t="str">
        <f t="shared" si="960"/>
        <v/>
      </c>
      <c r="V6252" t="str">
        <f t="shared" si="961"/>
        <v/>
      </c>
      <c r="W6252" t="str">
        <f t="shared" si="962"/>
        <v/>
      </c>
      <c r="X6252">
        <f t="shared" si="952"/>
        <v>0</v>
      </c>
      <c r="Z6252" t="str">
        <f t="shared" si="963"/>
        <v/>
      </c>
      <c r="AA6252">
        <f t="shared" si="953"/>
        <v>0</v>
      </c>
    </row>
    <row r="6253" spans="1:27" ht="21" customHeight="1" x14ac:dyDescent="0.95">
      <c r="A6253" s="56"/>
      <c r="B6253" s="57"/>
      <c r="C6253" s="57"/>
      <c r="D6253" s="57"/>
      <c r="E6253" s="56"/>
      <c r="F6253" s="57"/>
      <c r="G6253" s="57"/>
      <c r="H6253" s="56"/>
      <c r="I6253" s="56"/>
      <c r="J6253" s="58"/>
      <c r="K6253" s="58"/>
      <c r="L6253" s="13" t="str">
        <f t="shared" si="954"/>
        <v/>
      </c>
      <c r="M6253" s="13" t="str">
        <f t="shared" si="955"/>
        <v/>
      </c>
      <c r="Q6253" t="str">
        <f t="shared" si="956"/>
        <v/>
      </c>
      <c r="R6253" t="str">
        <f t="shared" si="957"/>
        <v/>
      </c>
      <c r="S6253" t="str">
        <f t="shared" si="958"/>
        <v/>
      </c>
      <c r="T6253" t="str">
        <f t="shared" si="959"/>
        <v/>
      </c>
      <c r="U6253" t="str">
        <f t="shared" si="960"/>
        <v/>
      </c>
      <c r="V6253" t="str">
        <f t="shared" si="961"/>
        <v/>
      </c>
      <c r="W6253" t="str">
        <f t="shared" si="962"/>
        <v/>
      </c>
      <c r="X6253">
        <f t="shared" si="952"/>
        <v>0</v>
      </c>
      <c r="Z6253" t="str">
        <f t="shared" si="963"/>
        <v/>
      </c>
      <c r="AA6253">
        <f t="shared" si="953"/>
        <v>0</v>
      </c>
    </row>
    <row r="6254" spans="1:27" ht="21" customHeight="1" x14ac:dyDescent="0.95">
      <c r="A6254" s="56"/>
      <c r="B6254" s="57"/>
      <c r="C6254" s="57"/>
      <c r="D6254" s="57"/>
      <c r="E6254" s="56"/>
      <c r="F6254" s="57"/>
      <c r="G6254" s="57"/>
      <c r="H6254" s="56"/>
      <c r="I6254" s="56"/>
      <c r="J6254" s="58"/>
      <c r="K6254" s="58"/>
      <c r="L6254" s="13" t="str">
        <f t="shared" si="954"/>
        <v/>
      </c>
      <c r="M6254" s="13" t="str">
        <f t="shared" si="955"/>
        <v/>
      </c>
      <c r="Q6254" t="str">
        <f t="shared" si="956"/>
        <v/>
      </c>
      <c r="R6254" t="str">
        <f t="shared" si="957"/>
        <v/>
      </c>
      <c r="S6254" t="str">
        <f t="shared" si="958"/>
        <v/>
      </c>
      <c r="T6254" t="str">
        <f t="shared" si="959"/>
        <v/>
      </c>
      <c r="U6254" t="str">
        <f t="shared" si="960"/>
        <v/>
      </c>
      <c r="V6254" t="str">
        <f t="shared" si="961"/>
        <v/>
      </c>
      <c r="W6254" t="str">
        <f t="shared" si="962"/>
        <v/>
      </c>
      <c r="X6254">
        <f t="shared" si="952"/>
        <v>0</v>
      </c>
      <c r="Z6254" t="str">
        <f t="shared" si="963"/>
        <v/>
      </c>
      <c r="AA6254">
        <f t="shared" si="953"/>
        <v>0</v>
      </c>
    </row>
    <row r="6255" spans="1:27" ht="21" customHeight="1" x14ac:dyDescent="0.95">
      <c r="A6255" s="56"/>
      <c r="B6255" s="57"/>
      <c r="C6255" s="57"/>
      <c r="D6255" s="57"/>
      <c r="E6255" s="56"/>
      <c r="F6255" s="57"/>
      <c r="G6255" s="57"/>
      <c r="H6255" s="56"/>
      <c r="I6255" s="56"/>
      <c r="J6255" s="58"/>
      <c r="K6255" s="58"/>
      <c r="L6255" s="13" t="str">
        <f t="shared" si="954"/>
        <v/>
      </c>
      <c r="M6255" s="13" t="str">
        <f t="shared" si="955"/>
        <v/>
      </c>
      <c r="Q6255" t="str">
        <f t="shared" si="956"/>
        <v/>
      </c>
      <c r="R6255" t="str">
        <f t="shared" si="957"/>
        <v/>
      </c>
      <c r="S6255" t="str">
        <f t="shared" si="958"/>
        <v/>
      </c>
      <c r="T6255" t="str">
        <f t="shared" si="959"/>
        <v/>
      </c>
      <c r="U6255" t="str">
        <f t="shared" si="960"/>
        <v/>
      </c>
      <c r="V6255" t="str">
        <f t="shared" si="961"/>
        <v/>
      </c>
      <c r="W6255" t="str">
        <f t="shared" si="962"/>
        <v/>
      </c>
      <c r="X6255">
        <f t="shared" si="952"/>
        <v>0</v>
      </c>
      <c r="Z6255" t="str">
        <f t="shared" si="963"/>
        <v/>
      </c>
      <c r="AA6255">
        <f t="shared" si="953"/>
        <v>0</v>
      </c>
    </row>
    <row r="6256" spans="1:27" ht="21" customHeight="1" x14ac:dyDescent="0.95">
      <c r="A6256" s="56"/>
      <c r="B6256" s="57"/>
      <c r="C6256" s="57"/>
      <c r="D6256" s="57"/>
      <c r="E6256" s="56"/>
      <c r="F6256" s="57"/>
      <c r="G6256" s="57"/>
      <c r="H6256" s="56"/>
      <c r="I6256" s="56"/>
      <c r="J6256" s="58"/>
      <c r="K6256" s="58"/>
      <c r="L6256" s="13" t="str">
        <f t="shared" si="954"/>
        <v/>
      </c>
      <c r="M6256" s="13" t="str">
        <f t="shared" si="955"/>
        <v/>
      </c>
      <c r="Q6256" t="str">
        <f t="shared" si="956"/>
        <v/>
      </c>
      <c r="R6256" t="str">
        <f t="shared" si="957"/>
        <v/>
      </c>
      <c r="S6256" t="str">
        <f t="shared" si="958"/>
        <v/>
      </c>
      <c r="T6256" t="str">
        <f t="shared" si="959"/>
        <v/>
      </c>
      <c r="U6256" t="str">
        <f t="shared" si="960"/>
        <v/>
      </c>
      <c r="V6256" t="str">
        <f t="shared" si="961"/>
        <v/>
      </c>
      <c r="W6256" t="str">
        <f t="shared" si="962"/>
        <v/>
      </c>
      <c r="X6256">
        <f t="shared" si="952"/>
        <v>0</v>
      </c>
      <c r="Z6256" t="str">
        <f t="shared" si="963"/>
        <v/>
      </c>
      <c r="AA6256">
        <f t="shared" si="953"/>
        <v>0</v>
      </c>
    </row>
    <row r="6257" spans="1:27" ht="21" customHeight="1" x14ac:dyDescent="0.95">
      <c r="A6257" s="56"/>
      <c r="B6257" s="57"/>
      <c r="C6257" s="57"/>
      <c r="D6257" s="57"/>
      <c r="E6257" s="56"/>
      <c r="F6257" s="57"/>
      <c r="G6257" s="57"/>
      <c r="H6257" s="56"/>
      <c r="I6257" s="56"/>
      <c r="J6257" s="58"/>
      <c r="K6257" s="58"/>
      <c r="L6257" s="13" t="str">
        <f t="shared" si="954"/>
        <v/>
      </c>
      <c r="M6257" s="13" t="str">
        <f t="shared" si="955"/>
        <v/>
      </c>
      <c r="Q6257" t="str">
        <f t="shared" si="956"/>
        <v/>
      </c>
      <c r="R6257" t="str">
        <f t="shared" si="957"/>
        <v/>
      </c>
      <c r="S6257" t="str">
        <f t="shared" si="958"/>
        <v/>
      </c>
      <c r="T6257" t="str">
        <f t="shared" si="959"/>
        <v/>
      </c>
      <c r="U6257" t="str">
        <f t="shared" si="960"/>
        <v/>
      </c>
      <c r="V6257" t="str">
        <f t="shared" si="961"/>
        <v/>
      </c>
      <c r="W6257" t="str">
        <f t="shared" si="962"/>
        <v/>
      </c>
      <c r="X6257">
        <f t="shared" si="952"/>
        <v>0</v>
      </c>
      <c r="Z6257" t="str">
        <f t="shared" si="963"/>
        <v/>
      </c>
      <c r="AA6257">
        <f t="shared" si="953"/>
        <v>0</v>
      </c>
    </row>
    <row r="6258" spans="1:27" ht="21" customHeight="1" x14ac:dyDescent="0.95">
      <c r="A6258" s="56"/>
      <c r="B6258" s="57"/>
      <c r="C6258" s="57"/>
      <c r="D6258" s="57"/>
      <c r="E6258" s="56"/>
      <c r="F6258" s="57"/>
      <c r="G6258" s="57"/>
      <c r="H6258" s="56"/>
      <c r="I6258" s="56"/>
      <c r="J6258" s="58"/>
      <c r="K6258" s="58"/>
      <c r="L6258" s="13" t="str">
        <f t="shared" si="954"/>
        <v/>
      </c>
      <c r="M6258" s="13" t="str">
        <f t="shared" si="955"/>
        <v/>
      </c>
      <c r="Q6258" t="str">
        <f t="shared" si="956"/>
        <v/>
      </c>
      <c r="R6258" t="str">
        <f t="shared" si="957"/>
        <v/>
      </c>
      <c r="S6258" t="str">
        <f t="shared" si="958"/>
        <v/>
      </c>
      <c r="T6258" t="str">
        <f t="shared" si="959"/>
        <v/>
      </c>
      <c r="U6258" t="str">
        <f t="shared" si="960"/>
        <v/>
      </c>
      <c r="V6258" t="str">
        <f t="shared" si="961"/>
        <v/>
      </c>
      <c r="W6258" t="str">
        <f t="shared" si="962"/>
        <v/>
      </c>
      <c r="X6258">
        <f t="shared" si="952"/>
        <v>0</v>
      </c>
      <c r="Z6258" t="str">
        <f t="shared" si="963"/>
        <v/>
      </c>
      <c r="AA6258">
        <f t="shared" si="953"/>
        <v>0</v>
      </c>
    </row>
    <row r="6259" spans="1:27" ht="21" customHeight="1" x14ac:dyDescent="0.95">
      <c r="A6259" s="56"/>
      <c r="B6259" s="57"/>
      <c r="C6259" s="57"/>
      <c r="D6259" s="57"/>
      <c r="E6259" s="56"/>
      <c r="F6259" s="57"/>
      <c r="G6259" s="57"/>
      <c r="H6259" s="56"/>
      <c r="I6259" s="56"/>
      <c r="J6259" s="58"/>
      <c r="K6259" s="58"/>
      <c r="L6259" s="13" t="str">
        <f t="shared" si="954"/>
        <v/>
      </c>
      <c r="M6259" s="13" t="str">
        <f t="shared" si="955"/>
        <v/>
      </c>
      <c r="Q6259" t="str">
        <f t="shared" si="956"/>
        <v/>
      </c>
      <c r="R6259" t="str">
        <f t="shared" si="957"/>
        <v/>
      </c>
      <c r="S6259" t="str">
        <f t="shared" si="958"/>
        <v/>
      </c>
      <c r="T6259" t="str">
        <f t="shared" si="959"/>
        <v/>
      </c>
      <c r="U6259" t="str">
        <f t="shared" si="960"/>
        <v/>
      </c>
      <c r="V6259" t="str">
        <f t="shared" si="961"/>
        <v/>
      </c>
      <c r="W6259" t="str">
        <f t="shared" si="962"/>
        <v/>
      </c>
      <c r="X6259">
        <f t="shared" si="952"/>
        <v>0</v>
      </c>
      <c r="Z6259" t="str">
        <f t="shared" si="963"/>
        <v/>
      </c>
      <c r="AA6259">
        <f t="shared" si="953"/>
        <v>0</v>
      </c>
    </row>
    <row r="6260" spans="1:27" ht="21" customHeight="1" x14ac:dyDescent="0.95">
      <c r="A6260" s="56"/>
      <c r="B6260" s="57"/>
      <c r="C6260" s="57"/>
      <c r="D6260" s="57"/>
      <c r="E6260" s="56"/>
      <c r="F6260" s="57"/>
      <c r="G6260" s="57"/>
      <c r="H6260" s="56"/>
      <c r="I6260" s="56"/>
      <c r="J6260" s="58"/>
      <c r="K6260" s="58"/>
      <c r="L6260" s="13" t="str">
        <f t="shared" si="954"/>
        <v/>
      </c>
      <c r="M6260" s="13" t="str">
        <f t="shared" si="955"/>
        <v/>
      </c>
      <c r="Q6260" t="str">
        <f t="shared" si="956"/>
        <v/>
      </c>
      <c r="R6260" t="str">
        <f t="shared" si="957"/>
        <v/>
      </c>
      <c r="S6260" t="str">
        <f t="shared" si="958"/>
        <v/>
      </c>
      <c r="T6260" t="str">
        <f t="shared" si="959"/>
        <v/>
      </c>
      <c r="U6260" t="str">
        <f t="shared" si="960"/>
        <v/>
      </c>
      <c r="V6260" t="str">
        <f t="shared" si="961"/>
        <v/>
      </c>
      <c r="W6260" t="str">
        <f t="shared" si="962"/>
        <v/>
      </c>
      <c r="X6260">
        <f t="shared" si="952"/>
        <v>0</v>
      </c>
      <c r="Z6260" t="str">
        <f t="shared" si="963"/>
        <v/>
      </c>
      <c r="AA6260">
        <f t="shared" si="953"/>
        <v>0</v>
      </c>
    </row>
    <row r="6261" spans="1:27" ht="21" customHeight="1" x14ac:dyDescent="0.95">
      <c r="A6261" s="56"/>
      <c r="B6261" s="57"/>
      <c r="C6261" s="57"/>
      <c r="D6261" s="57"/>
      <c r="E6261" s="56"/>
      <c r="F6261" s="57"/>
      <c r="G6261" s="57"/>
      <c r="H6261" s="56"/>
      <c r="I6261" s="56"/>
      <c r="J6261" s="58"/>
      <c r="K6261" s="58"/>
      <c r="L6261" s="13" t="str">
        <f t="shared" si="954"/>
        <v/>
      </c>
      <c r="M6261" s="13" t="str">
        <f t="shared" si="955"/>
        <v/>
      </c>
      <c r="Q6261" t="str">
        <f t="shared" si="956"/>
        <v/>
      </c>
      <c r="R6261" t="str">
        <f t="shared" si="957"/>
        <v/>
      </c>
      <c r="S6261" t="str">
        <f t="shared" si="958"/>
        <v/>
      </c>
      <c r="T6261" t="str">
        <f t="shared" si="959"/>
        <v/>
      </c>
      <c r="U6261" t="str">
        <f t="shared" si="960"/>
        <v/>
      </c>
      <c r="V6261" t="str">
        <f t="shared" si="961"/>
        <v/>
      </c>
      <c r="W6261" t="str">
        <f t="shared" si="962"/>
        <v/>
      </c>
      <c r="X6261">
        <f t="shared" ref="X6261:X6324" si="964">IF($T6261="",N($X6260),IF(MATCH($T6261,$T$6:$T$10005,0)=ROW()-5,N($X6260)+1,N($X6260)))</f>
        <v>0</v>
      </c>
      <c r="Z6261" t="str">
        <f t="shared" si="963"/>
        <v/>
      </c>
      <c r="AA6261">
        <f t="shared" ref="AA6261:AA6324" si="965">IF($V6261="",N($AA6260),IF(MATCH($V6261,$V$6:$V$10005,0)=ROW()-5,N($AA6260)+1,N($AA6260)))</f>
        <v>0</v>
      </c>
    </row>
    <row r="6262" spans="1:27" ht="21" customHeight="1" x14ac:dyDescent="0.95">
      <c r="A6262" s="56"/>
      <c r="B6262" s="57"/>
      <c r="C6262" s="57"/>
      <c r="D6262" s="57"/>
      <c r="E6262" s="56"/>
      <c r="F6262" s="57"/>
      <c r="G6262" s="57"/>
      <c r="H6262" s="56"/>
      <c r="I6262" s="56"/>
      <c r="J6262" s="58"/>
      <c r="K6262" s="58"/>
      <c r="L6262" s="13" t="str">
        <f t="shared" si="954"/>
        <v/>
      </c>
      <c r="M6262" s="13" t="str">
        <f t="shared" si="955"/>
        <v/>
      </c>
      <c r="Q6262" t="str">
        <f t="shared" si="956"/>
        <v/>
      </c>
      <c r="R6262" t="str">
        <f t="shared" si="957"/>
        <v/>
      </c>
      <c r="S6262" t="str">
        <f t="shared" si="958"/>
        <v/>
      </c>
      <c r="T6262" t="str">
        <f t="shared" si="959"/>
        <v/>
      </c>
      <c r="U6262" t="str">
        <f t="shared" si="960"/>
        <v/>
      </c>
      <c r="V6262" t="str">
        <f t="shared" si="961"/>
        <v/>
      </c>
      <c r="W6262" t="str">
        <f t="shared" si="962"/>
        <v/>
      </c>
      <c r="X6262">
        <f t="shared" si="964"/>
        <v>0</v>
      </c>
      <c r="Z6262" t="str">
        <f t="shared" si="963"/>
        <v/>
      </c>
      <c r="AA6262">
        <f t="shared" si="965"/>
        <v>0</v>
      </c>
    </row>
    <row r="6263" spans="1:27" ht="21" customHeight="1" x14ac:dyDescent="0.95">
      <c r="A6263" s="56"/>
      <c r="B6263" s="57"/>
      <c r="C6263" s="57"/>
      <c r="D6263" s="57"/>
      <c r="E6263" s="56"/>
      <c r="F6263" s="57"/>
      <c r="G6263" s="57"/>
      <c r="H6263" s="56"/>
      <c r="I6263" s="56"/>
      <c r="J6263" s="58"/>
      <c r="K6263" s="58"/>
      <c r="L6263" s="13" t="str">
        <f t="shared" si="954"/>
        <v/>
      </c>
      <c r="M6263" s="13" t="str">
        <f t="shared" si="955"/>
        <v/>
      </c>
      <c r="Q6263" t="str">
        <f t="shared" si="956"/>
        <v/>
      </c>
      <c r="R6263" t="str">
        <f t="shared" si="957"/>
        <v/>
      </c>
      <c r="S6263" t="str">
        <f t="shared" si="958"/>
        <v/>
      </c>
      <c r="T6263" t="str">
        <f t="shared" si="959"/>
        <v/>
      </c>
      <c r="U6263" t="str">
        <f t="shared" si="960"/>
        <v/>
      </c>
      <c r="V6263" t="str">
        <f t="shared" si="961"/>
        <v/>
      </c>
      <c r="W6263" t="str">
        <f t="shared" si="962"/>
        <v/>
      </c>
      <c r="X6263">
        <f t="shared" si="964"/>
        <v>0</v>
      </c>
      <c r="Z6263" t="str">
        <f t="shared" si="963"/>
        <v/>
      </c>
      <c r="AA6263">
        <f t="shared" si="965"/>
        <v>0</v>
      </c>
    </row>
    <row r="6264" spans="1:27" ht="21" customHeight="1" x14ac:dyDescent="0.95">
      <c r="A6264" s="56"/>
      <c r="B6264" s="57"/>
      <c r="C6264" s="57"/>
      <c r="D6264" s="57"/>
      <c r="E6264" s="56"/>
      <c r="F6264" s="57"/>
      <c r="G6264" s="57"/>
      <c r="H6264" s="56"/>
      <c r="I6264" s="56"/>
      <c r="J6264" s="58"/>
      <c r="K6264" s="58"/>
      <c r="L6264" s="13" t="str">
        <f t="shared" si="954"/>
        <v/>
      </c>
      <c r="M6264" s="13" t="str">
        <f t="shared" si="955"/>
        <v/>
      </c>
      <c r="Q6264" t="str">
        <f t="shared" si="956"/>
        <v/>
      </c>
      <c r="R6264" t="str">
        <f t="shared" si="957"/>
        <v/>
      </c>
      <c r="S6264" t="str">
        <f t="shared" si="958"/>
        <v/>
      </c>
      <c r="T6264" t="str">
        <f t="shared" si="959"/>
        <v/>
      </c>
      <c r="U6264" t="str">
        <f t="shared" si="960"/>
        <v/>
      </c>
      <c r="V6264" t="str">
        <f t="shared" si="961"/>
        <v/>
      </c>
      <c r="W6264" t="str">
        <f t="shared" si="962"/>
        <v/>
      </c>
      <c r="X6264">
        <f t="shared" si="964"/>
        <v>0</v>
      </c>
      <c r="Z6264" t="str">
        <f t="shared" si="963"/>
        <v/>
      </c>
      <c r="AA6264">
        <f t="shared" si="965"/>
        <v>0</v>
      </c>
    </row>
    <row r="6265" spans="1:27" ht="21" customHeight="1" x14ac:dyDescent="0.95">
      <c r="A6265" s="56"/>
      <c r="B6265" s="57"/>
      <c r="C6265" s="57"/>
      <c r="D6265" s="57"/>
      <c r="E6265" s="56"/>
      <c r="F6265" s="57"/>
      <c r="G6265" s="57"/>
      <c r="H6265" s="56"/>
      <c r="I6265" s="56"/>
      <c r="J6265" s="58"/>
      <c r="K6265" s="58"/>
      <c r="L6265" s="13" t="str">
        <f t="shared" si="954"/>
        <v/>
      </c>
      <c r="M6265" s="13" t="str">
        <f t="shared" si="955"/>
        <v/>
      </c>
      <c r="Q6265" t="str">
        <f t="shared" si="956"/>
        <v/>
      </c>
      <c r="R6265" t="str">
        <f t="shared" si="957"/>
        <v/>
      </c>
      <c r="S6265" t="str">
        <f t="shared" si="958"/>
        <v/>
      </c>
      <c r="T6265" t="str">
        <f t="shared" si="959"/>
        <v/>
      </c>
      <c r="U6265" t="str">
        <f t="shared" si="960"/>
        <v/>
      </c>
      <c r="V6265" t="str">
        <f t="shared" si="961"/>
        <v/>
      </c>
      <c r="W6265" t="str">
        <f t="shared" si="962"/>
        <v/>
      </c>
      <c r="X6265">
        <f t="shared" si="964"/>
        <v>0</v>
      </c>
      <c r="Z6265" t="str">
        <f t="shared" si="963"/>
        <v/>
      </c>
      <c r="AA6265">
        <f t="shared" si="965"/>
        <v>0</v>
      </c>
    </row>
    <row r="6266" spans="1:27" ht="21" customHeight="1" x14ac:dyDescent="0.95">
      <c r="A6266" s="56"/>
      <c r="B6266" s="57"/>
      <c r="C6266" s="57"/>
      <c r="D6266" s="57"/>
      <c r="E6266" s="56"/>
      <c r="F6266" s="57"/>
      <c r="G6266" s="57"/>
      <c r="H6266" s="56"/>
      <c r="I6266" s="56"/>
      <c r="J6266" s="58"/>
      <c r="K6266" s="58"/>
      <c r="L6266" s="13" t="str">
        <f t="shared" si="954"/>
        <v/>
      </c>
      <c r="M6266" s="13" t="str">
        <f t="shared" si="955"/>
        <v/>
      </c>
      <c r="Q6266" t="str">
        <f t="shared" si="956"/>
        <v/>
      </c>
      <c r="R6266" t="str">
        <f t="shared" si="957"/>
        <v/>
      </c>
      <c r="S6266" t="str">
        <f t="shared" si="958"/>
        <v/>
      </c>
      <c r="T6266" t="str">
        <f t="shared" si="959"/>
        <v/>
      </c>
      <c r="U6266" t="str">
        <f t="shared" si="960"/>
        <v/>
      </c>
      <c r="V6266" t="str">
        <f t="shared" si="961"/>
        <v/>
      </c>
      <c r="W6266" t="str">
        <f t="shared" si="962"/>
        <v/>
      </c>
      <c r="X6266">
        <f t="shared" si="964"/>
        <v>0</v>
      </c>
      <c r="Z6266" t="str">
        <f t="shared" si="963"/>
        <v/>
      </c>
      <c r="AA6266">
        <f t="shared" si="965"/>
        <v>0</v>
      </c>
    </row>
    <row r="6267" spans="1:27" ht="21" customHeight="1" x14ac:dyDescent="0.95">
      <c r="A6267" s="56"/>
      <c r="B6267" s="57"/>
      <c r="C6267" s="57"/>
      <c r="D6267" s="57"/>
      <c r="E6267" s="56"/>
      <c r="F6267" s="57"/>
      <c r="G6267" s="57"/>
      <c r="H6267" s="56"/>
      <c r="I6267" s="56"/>
      <c r="J6267" s="58"/>
      <c r="K6267" s="58"/>
      <c r="L6267" s="13" t="str">
        <f t="shared" si="954"/>
        <v/>
      </c>
      <c r="M6267" s="13" t="str">
        <f t="shared" si="955"/>
        <v/>
      </c>
      <c r="Q6267" t="str">
        <f t="shared" si="956"/>
        <v/>
      </c>
      <c r="R6267" t="str">
        <f t="shared" si="957"/>
        <v/>
      </c>
      <c r="S6267" t="str">
        <f t="shared" si="958"/>
        <v/>
      </c>
      <c r="T6267" t="str">
        <f t="shared" si="959"/>
        <v/>
      </c>
      <c r="U6267" t="str">
        <f t="shared" si="960"/>
        <v/>
      </c>
      <c r="V6267" t="str">
        <f t="shared" si="961"/>
        <v/>
      </c>
      <c r="W6267" t="str">
        <f t="shared" si="962"/>
        <v/>
      </c>
      <c r="X6267">
        <f t="shared" si="964"/>
        <v>0</v>
      </c>
      <c r="Z6267" t="str">
        <f t="shared" si="963"/>
        <v/>
      </c>
      <c r="AA6267">
        <f t="shared" si="965"/>
        <v>0</v>
      </c>
    </row>
    <row r="6268" spans="1:27" ht="21" customHeight="1" x14ac:dyDescent="0.95">
      <c r="A6268" s="56"/>
      <c r="B6268" s="57"/>
      <c r="C6268" s="57"/>
      <c r="D6268" s="57"/>
      <c r="E6268" s="56"/>
      <c r="F6268" s="57"/>
      <c r="G6268" s="57"/>
      <c r="H6268" s="56"/>
      <c r="I6268" s="56"/>
      <c r="J6268" s="58"/>
      <c r="K6268" s="58"/>
      <c r="L6268" s="13" t="str">
        <f t="shared" si="954"/>
        <v/>
      </c>
      <c r="M6268" s="13" t="str">
        <f t="shared" si="955"/>
        <v/>
      </c>
      <c r="Q6268" t="str">
        <f t="shared" si="956"/>
        <v/>
      </c>
      <c r="R6268" t="str">
        <f t="shared" si="957"/>
        <v/>
      </c>
      <c r="S6268" t="str">
        <f t="shared" si="958"/>
        <v/>
      </c>
      <c r="T6268" t="str">
        <f t="shared" si="959"/>
        <v/>
      </c>
      <c r="U6268" t="str">
        <f t="shared" si="960"/>
        <v/>
      </c>
      <c r="V6268" t="str">
        <f t="shared" si="961"/>
        <v/>
      </c>
      <c r="W6268" t="str">
        <f t="shared" si="962"/>
        <v/>
      </c>
      <c r="X6268">
        <f t="shared" si="964"/>
        <v>0</v>
      </c>
      <c r="Z6268" t="str">
        <f t="shared" si="963"/>
        <v/>
      </c>
      <c r="AA6268">
        <f t="shared" si="965"/>
        <v>0</v>
      </c>
    </row>
    <row r="6269" spans="1:27" ht="21" customHeight="1" x14ac:dyDescent="0.95">
      <c r="A6269" s="56"/>
      <c r="B6269" s="57"/>
      <c r="C6269" s="57"/>
      <c r="D6269" s="57"/>
      <c r="E6269" s="56"/>
      <c r="F6269" s="57"/>
      <c r="G6269" s="57"/>
      <c r="H6269" s="56"/>
      <c r="I6269" s="56"/>
      <c r="J6269" s="58"/>
      <c r="K6269" s="58"/>
      <c r="L6269" s="13" t="str">
        <f t="shared" si="954"/>
        <v/>
      </c>
      <c r="M6269" s="13" t="str">
        <f t="shared" si="955"/>
        <v/>
      </c>
      <c r="Q6269" t="str">
        <f t="shared" si="956"/>
        <v/>
      </c>
      <c r="R6269" t="str">
        <f t="shared" si="957"/>
        <v/>
      </c>
      <c r="S6269" t="str">
        <f t="shared" si="958"/>
        <v/>
      </c>
      <c r="T6269" t="str">
        <f t="shared" si="959"/>
        <v/>
      </c>
      <c r="U6269" t="str">
        <f t="shared" si="960"/>
        <v/>
      </c>
      <c r="V6269" t="str">
        <f t="shared" si="961"/>
        <v/>
      </c>
      <c r="W6269" t="str">
        <f t="shared" si="962"/>
        <v/>
      </c>
      <c r="X6269">
        <f t="shared" si="964"/>
        <v>0</v>
      </c>
      <c r="Z6269" t="str">
        <f t="shared" si="963"/>
        <v/>
      </c>
      <c r="AA6269">
        <f t="shared" si="965"/>
        <v>0</v>
      </c>
    </row>
    <row r="6270" spans="1:27" ht="21" customHeight="1" x14ac:dyDescent="0.95">
      <c r="A6270" s="56"/>
      <c r="B6270" s="57"/>
      <c r="C6270" s="57"/>
      <c r="D6270" s="57"/>
      <c r="E6270" s="56"/>
      <c r="F6270" s="57"/>
      <c r="G6270" s="57"/>
      <c r="H6270" s="56"/>
      <c r="I6270" s="56"/>
      <c r="J6270" s="58"/>
      <c r="K6270" s="58"/>
      <c r="L6270" s="13" t="str">
        <f t="shared" si="954"/>
        <v/>
      </c>
      <c r="M6270" s="13" t="str">
        <f t="shared" si="955"/>
        <v/>
      </c>
      <c r="Q6270" t="str">
        <f t="shared" si="956"/>
        <v/>
      </c>
      <c r="R6270" t="str">
        <f t="shared" si="957"/>
        <v/>
      </c>
      <c r="S6270" t="str">
        <f t="shared" si="958"/>
        <v/>
      </c>
      <c r="T6270" t="str">
        <f t="shared" si="959"/>
        <v/>
      </c>
      <c r="U6270" t="str">
        <f t="shared" si="960"/>
        <v/>
      </c>
      <c r="V6270" t="str">
        <f t="shared" si="961"/>
        <v/>
      </c>
      <c r="W6270" t="str">
        <f t="shared" si="962"/>
        <v/>
      </c>
      <c r="X6270">
        <f t="shared" si="964"/>
        <v>0</v>
      </c>
      <c r="Z6270" t="str">
        <f t="shared" si="963"/>
        <v/>
      </c>
      <c r="AA6270">
        <f t="shared" si="965"/>
        <v>0</v>
      </c>
    </row>
    <row r="6271" spans="1:27" ht="21" customHeight="1" x14ac:dyDescent="0.95">
      <c r="A6271" s="56"/>
      <c r="B6271" s="57"/>
      <c r="C6271" s="57"/>
      <c r="D6271" s="57"/>
      <c r="E6271" s="56"/>
      <c r="F6271" s="57"/>
      <c r="G6271" s="57"/>
      <c r="H6271" s="56"/>
      <c r="I6271" s="56"/>
      <c r="J6271" s="58"/>
      <c r="K6271" s="58"/>
      <c r="L6271" s="13" t="str">
        <f t="shared" si="954"/>
        <v/>
      </c>
      <c r="M6271" s="13" t="str">
        <f t="shared" si="955"/>
        <v/>
      </c>
      <c r="Q6271" t="str">
        <f t="shared" si="956"/>
        <v/>
      </c>
      <c r="R6271" t="str">
        <f t="shared" si="957"/>
        <v/>
      </c>
      <c r="S6271" t="str">
        <f t="shared" si="958"/>
        <v/>
      </c>
      <c r="T6271" t="str">
        <f t="shared" si="959"/>
        <v/>
      </c>
      <c r="U6271" t="str">
        <f t="shared" si="960"/>
        <v/>
      </c>
      <c r="V6271" t="str">
        <f t="shared" si="961"/>
        <v/>
      </c>
      <c r="W6271" t="str">
        <f t="shared" si="962"/>
        <v/>
      </c>
      <c r="X6271">
        <f t="shared" si="964"/>
        <v>0</v>
      </c>
      <c r="Z6271" t="str">
        <f t="shared" si="963"/>
        <v/>
      </c>
      <c r="AA6271">
        <f t="shared" si="965"/>
        <v>0</v>
      </c>
    </row>
    <row r="6272" spans="1:27" ht="21" customHeight="1" x14ac:dyDescent="0.95">
      <c r="A6272" s="56"/>
      <c r="B6272" s="57"/>
      <c r="C6272" s="57"/>
      <c r="D6272" s="57"/>
      <c r="E6272" s="56"/>
      <c r="F6272" s="57"/>
      <c r="G6272" s="57"/>
      <c r="H6272" s="56"/>
      <c r="I6272" s="56"/>
      <c r="J6272" s="58"/>
      <c r="K6272" s="58"/>
      <c r="L6272" s="13" t="str">
        <f t="shared" si="954"/>
        <v/>
      </c>
      <c r="M6272" s="13" t="str">
        <f t="shared" si="955"/>
        <v/>
      </c>
      <c r="Q6272" t="str">
        <f t="shared" si="956"/>
        <v/>
      </c>
      <c r="R6272" t="str">
        <f t="shared" si="957"/>
        <v/>
      </c>
      <c r="S6272" t="str">
        <f t="shared" si="958"/>
        <v/>
      </c>
      <c r="T6272" t="str">
        <f t="shared" si="959"/>
        <v/>
      </c>
      <c r="U6272" t="str">
        <f t="shared" si="960"/>
        <v/>
      </c>
      <c r="V6272" t="str">
        <f t="shared" si="961"/>
        <v/>
      </c>
      <c r="W6272" t="str">
        <f t="shared" si="962"/>
        <v/>
      </c>
      <c r="X6272">
        <f t="shared" si="964"/>
        <v>0</v>
      </c>
      <c r="Z6272" t="str">
        <f t="shared" si="963"/>
        <v/>
      </c>
      <c r="AA6272">
        <f t="shared" si="965"/>
        <v>0</v>
      </c>
    </row>
    <row r="6273" spans="1:27" ht="21" customHeight="1" x14ac:dyDescent="0.95">
      <c r="A6273" s="56"/>
      <c r="B6273" s="57"/>
      <c r="C6273" s="57"/>
      <c r="D6273" s="57"/>
      <c r="E6273" s="56"/>
      <c r="F6273" s="57"/>
      <c r="G6273" s="57"/>
      <c r="H6273" s="56"/>
      <c r="I6273" s="56"/>
      <c r="J6273" s="58"/>
      <c r="K6273" s="58"/>
      <c r="L6273" s="13" t="str">
        <f t="shared" si="954"/>
        <v/>
      </c>
      <c r="M6273" s="13" t="str">
        <f t="shared" si="955"/>
        <v/>
      </c>
      <c r="Q6273" t="str">
        <f t="shared" si="956"/>
        <v/>
      </c>
      <c r="R6273" t="str">
        <f t="shared" si="957"/>
        <v/>
      </c>
      <c r="S6273" t="str">
        <f t="shared" si="958"/>
        <v/>
      </c>
      <c r="T6273" t="str">
        <f t="shared" si="959"/>
        <v/>
      </c>
      <c r="U6273" t="str">
        <f t="shared" si="960"/>
        <v/>
      </c>
      <c r="V6273" t="str">
        <f t="shared" si="961"/>
        <v/>
      </c>
      <c r="W6273" t="str">
        <f t="shared" si="962"/>
        <v/>
      </c>
      <c r="X6273">
        <f t="shared" si="964"/>
        <v>0</v>
      </c>
      <c r="Z6273" t="str">
        <f t="shared" si="963"/>
        <v/>
      </c>
      <c r="AA6273">
        <f t="shared" si="965"/>
        <v>0</v>
      </c>
    </row>
    <row r="6274" spans="1:27" ht="21" customHeight="1" x14ac:dyDescent="0.95">
      <c r="A6274" s="56"/>
      <c r="B6274" s="57"/>
      <c r="C6274" s="57"/>
      <c r="D6274" s="57"/>
      <c r="E6274" s="56"/>
      <c r="F6274" s="57"/>
      <c r="G6274" s="57"/>
      <c r="H6274" s="56"/>
      <c r="I6274" s="56"/>
      <c r="J6274" s="58"/>
      <c r="K6274" s="58"/>
      <c r="L6274" s="13" t="str">
        <f t="shared" si="954"/>
        <v/>
      </c>
      <c r="M6274" s="13" t="str">
        <f t="shared" si="955"/>
        <v/>
      </c>
      <c r="Q6274" t="str">
        <f t="shared" si="956"/>
        <v/>
      </c>
      <c r="R6274" t="str">
        <f t="shared" si="957"/>
        <v/>
      </c>
      <c r="S6274" t="str">
        <f t="shared" si="958"/>
        <v/>
      </c>
      <c r="T6274" t="str">
        <f t="shared" si="959"/>
        <v/>
      </c>
      <c r="U6274" t="str">
        <f t="shared" si="960"/>
        <v/>
      </c>
      <c r="V6274" t="str">
        <f t="shared" si="961"/>
        <v/>
      </c>
      <c r="W6274" t="str">
        <f t="shared" si="962"/>
        <v/>
      </c>
      <c r="X6274">
        <f t="shared" si="964"/>
        <v>0</v>
      </c>
      <c r="Z6274" t="str">
        <f t="shared" si="963"/>
        <v/>
      </c>
      <c r="AA6274">
        <f t="shared" si="965"/>
        <v>0</v>
      </c>
    </row>
    <row r="6275" spans="1:27" ht="21" customHeight="1" x14ac:dyDescent="0.95">
      <c r="A6275" s="56"/>
      <c r="B6275" s="57"/>
      <c r="C6275" s="57"/>
      <c r="D6275" s="57"/>
      <c r="E6275" s="56"/>
      <c r="F6275" s="57"/>
      <c r="G6275" s="57"/>
      <c r="H6275" s="56"/>
      <c r="I6275" s="56"/>
      <c r="J6275" s="58"/>
      <c r="K6275" s="58"/>
      <c r="L6275" s="13" t="str">
        <f t="shared" si="954"/>
        <v/>
      </c>
      <c r="M6275" s="13" t="str">
        <f t="shared" si="955"/>
        <v/>
      </c>
      <c r="Q6275" t="str">
        <f t="shared" si="956"/>
        <v/>
      </c>
      <c r="R6275" t="str">
        <f t="shared" si="957"/>
        <v/>
      </c>
      <c r="S6275" t="str">
        <f t="shared" si="958"/>
        <v/>
      </c>
      <c r="T6275" t="str">
        <f t="shared" si="959"/>
        <v/>
      </c>
      <c r="U6275" t="str">
        <f t="shared" si="960"/>
        <v/>
      </c>
      <c r="V6275" t="str">
        <f t="shared" si="961"/>
        <v/>
      </c>
      <c r="W6275" t="str">
        <f t="shared" si="962"/>
        <v/>
      </c>
      <c r="X6275">
        <f t="shared" si="964"/>
        <v>0</v>
      </c>
      <c r="Z6275" t="str">
        <f t="shared" si="963"/>
        <v/>
      </c>
      <c r="AA6275">
        <f t="shared" si="965"/>
        <v>0</v>
      </c>
    </row>
    <row r="6276" spans="1:27" ht="21" customHeight="1" x14ac:dyDescent="0.95">
      <c r="A6276" s="56"/>
      <c r="B6276" s="57"/>
      <c r="C6276" s="57"/>
      <c r="D6276" s="57"/>
      <c r="E6276" s="56"/>
      <c r="F6276" s="57"/>
      <c r="G6276" s="57"/>
      <c r="H6276" s="56"/>
      <c r="I6276" s="56"/>
      <c r="J6276" s="58"/>
      <c r="K6276" s="58"/>
      <c r="L6276" s="13" t="str">
        <f t="shared" ref="L6276:L6339" si="966">IF(OR($A6276="",AND($J6276="",$K6276="")),"",ROUND(N($J6276)-N($K6276),2))</f>
        <v/>
      </c>
      <c r="M6276" s="13" t="str">
        <f t="shared" ref="M6276:M6339" si="967">IF(OR($A6276="",AND($J6276="",$K6276="")),"",MIN($J6276,$K6276))</f>
        <v/>
      </c>
      <c r="Q6276" t="str">
        <f t="shared" ref="Q6276:Q6339" si="968">IF($A6276="","",$D6276&amp;"("&amp;SUBSTITUTE($E6276," ","")&amp;")")</f>
        <v/>
      </c>
      <c r="R6276" t="str">
        <f t="shared" ref="R6276:R6339" si="969">IF($A6276="","",$B6276&amp;" - "&amp;$C6276)</f>
        <v/>
      </c>
      <c r="S6276" t="str">
        <f t="shared" ref="S6276:S6339" si="970">IF($A6276="","",$R6276&amp;"|"&amp;$Q6276)</f>
        <v/>
      </c>
      <c r="T6276" t="str">
        <f t="shared" ref="T6276:T6339" si="971">IF($A6276="","",$S6276&amp;"|"&amp;$F6276)</f>
        <v/>
      </c>
      <c r="U6276" t="str">
        <f t="shared" ref="U6276:U6339" si="972">IF($A6276="","",$R6276&amp;"("&amp;$E6276&amp;")")</f>
        <v/>
      </c>
      <c r="V6276" t="str">
        <f t="shared" ref="V6276:V6339" si="973">IF($A6276="","",$F6276&amp;"|"&amp;$U6276&amp;"|"&amp;$D6276)</f>
        <v/>
      </c>
      <c r="W6276" t="str">
        <f t="shared" si="962"/>
        <v/>
      </c>
      <c r="X6276">
        <f t="shared" si="964"/>
        <v>0</v>
      </c>
      <c r="Z6276" t="str">
        <f t="shared" si="963"/>
        <v/>
      </c>
      <c r="AA6276">
        <f t="shared" si="965"/>
        <v>0</v>
      </c>
    </row>
    <row r="6277" spans="1:27" ht="21" customHeight="1" x14ac:dyDescent="0.95">
      <c r="A6277" s="56"/>
      <c r="B6277" s="57"/>
      <c r="C6277" s="57"/>
      <c r="D6277" s="57"/>
      <c r="E6277" s="56"/>
      <c r="F6277" s="57"/>
      <c r="G6277" s="57"/>
      <c r="H6277" s="56"/>
      <c r="I6277" s="56"/>
      <c r="J6277" s="58"/>
      <c r="K6277" s="58"/>
      <c r="L6277" s="13" t="str">
        <f t="shared" si="966"/>
        <v/>
      </c>
      <c r="M6277" s="13" t="str">
        <f t="shared" si="967"/>
        <v/>
      </c>
      <c r="Q6277" t="str">
        <f t="shared" si="968"/>
        <v/>
      </c>
      <c r="R6277" t="str">
        <f t="shared" si="969"/>
        <v/>
      </c>
      <c r="S6277" t="str">
        <f t="shared" si="970"/>
        <v/>
      </c>
      <c r="T6277" t="str">
        <f t="shared" si="971"/>
        <v/>
      </c>
      <c r="U6277" t="str">
        <f t="shared" si="972"/>
        <v/>
      </c>
      <c r="V6277" t="str">
        <f t="shared" si="973"/>
        <v/>
      </c>
      <c r="W6277" t="str">
        <f t="shared" si="962"/>
        <v/>
      </c>
      <c r="X6277">
        <f t="shared" si="964"/>
        <v>0</v>
      </c>
      <c r="Z6277" t="str">
        <f t="shared" si="963"/>
        <v/>
      </c>
      <c r="AA6277">
        <f t="shared" si="965"/>
        <v>0</v>
      </c>
    </row>
    <row r="6278" spans="1:27" ht="21" customHeight="1" x14ac:dyDescent="0.95">
      <c r="A6278" s="56"/>
      <c r="B6278" s="57"/>
      <c r="C6278" s="57"/>
      <c r="D6278" s="57"/>
      <c r="E6278" s="56"/>
      <c r="F6278" s="57"/>
      <c r="G6278" s="57"/>
      <c r="H6278" s="56"/>
      <c r="I6278" s="56"/>
      <c r="J6278" s="58"/>
      <c r="K6278" s="58"/>
      <c r="L6278" s="13" t="str">
        <f t="shared" si="966"/>
        <v/>
      </c>
      <c r="M6278" s="13" t="str">
        <f t="shared" si="967"/>
        <v/>
      </c>
      <c r="Q6278" t="str">
        <f t="shared" si="968"/>
        <v/>
      </c>
      <c r="R6278" t="str">
        <f t="shared" si="969"/>
        <v/>
      </c>
      <c r="S6278" t="str">
        <f t="shared" si="970"/>
        <v/>
      </c>
      <c r="T6278" t="str">
        <f t="shared" si="971"/>
        <v/>
      </c>
      <c r="U6278" t="str">
        <f t="shared" si="972"/>
        <v/>
      </c>
      <c r="V6278" t="str">
        <f t="shared" si="973"/>
        <v/>
      </c>
      <c r="W6278" t="str">
        <f t="shared" ref="W6278:W6341" si="974">IF($T6278="","",IF($X6278&gt;N($X6277),$X6278,""))</f>
        <v/>
      </c>
      <c r="X6278">
        <f t="shared" si="964"/>
        <v>0</v>
      </c>
      <c r="Z6278" t="str">
        <f t="shared" ref="Z6278:Z6341" si="975">IF($V6278="","",IF($AA6278&gt;N($AA6277),$AA6278,""))</f>
        <v/>
      </c>
      <c r="AA6278">
        <f t="shared" si="965"/>
        <v>0</v>
      </c>
    </row>
    <row r="6279" spans="1:27" ht="21" customHeight="1" x14ac:dyDescent="0.95">
      <c r="A6279" s="56"/>
      <c r="B6279" s="57"/>
      <c r="C6279" s="57"/>
      <c r="D6279" s="57"/>
      <c r="E6279" s="56"/>
      <c r="F6279" s="57"/>
      <c r="G6279" s="57"/>
      <c r="H6279" s="56"/>
      <c r="I6279" s="56"/>
      <c r="J6279" s="58"/>
      <c r="K6279" s="58"/>
      <c r="L6279" s="13" t="str">
        <f t="shared" si="966"/>
        <v/>
      </c>
      <c r="M6279" s="13" t="str">
        <f t="shared" si="967"/>
        <v/>
      </c>
      <c r="Q6279" t="str">
        <f t="shared" si="968"/>
        <v/>
      </c>
      <c r="R6279" t="str">
        <f t="shared" si="969"/>
        <v/>
      </c>
      <c r="S6279" t="str">
        <f t="shared" si="970"/>
        <v/>
      </c>
      <c r="T6279" t="str">
        <f t="shared" si="971"/>
        <v/>
      </c>
      <c r="U6279" t="str">
        <f t="shared" si="972"/>
        <v/>
      </c>
      <c r="V6279" t="str">
        <f t="shared" si="973"/>
        <v/>
      </c>
      <c r="W6279" t="str">
        <f t="shared" si="974"/>
        <v/>
      </c>
      <c r="X6279">
        <f t="shared" si="964"/>
        <v>0</v>
      </c>
      <c r="Z6279" t="str">
        <f t="shared" si="975"/>
        <v/>
      </c>
      <c r="AA6279">
        <f t="shared" si="965"/>
        <v>0</v>
      </c>
    </row>
    <row r="6280" spans="1:27" ht="21" customHeight="1" x14ac:dyDescent="0.95">
      <c r="A6280" s="56"/>
      <c r="B6280" s="57"/>
      <c r="C6280" s="57"/>
      <c r="D6280" s="57"/>
      <c r="E6280" s="56"/>
      <c r="F6280" s="57"/>
      <c r="G6280" s="57"/>
      <c r="H6280" s="56"/>
      <c r="I6280" s="56"/>
      <c r="J6280" s="58"/>
      <c r="K6280" s="58"/>
      <c r="L6280" s="13" t="str">
        <f t="shared" si="966"/>
        <v/>
      </c>
      <c r="M6280" s="13" t="str">
        <f t="shared" si="967"/>
        <v/>
      </c>
      <c r="Q6280" t="str">
        <f t="shared" si="968"/>
        <v/>
      </c>
      <c r="R6280" t="str">
        <f t="shared" si="969"/>
        <v/>
      </c>
      <c r="S6280" t="str">
        <f t="shared" si="970"/>
        <v/>
      </c>
      <c r="T6280" t="str">
        <f t="shared" si="971"/>
        <v/>
      </c>
      <c r="U6280" t="str">
        <f t="shared" si="972"/>
        <v/>
      </c>
      <c r="V6280" t="str">
        <f t="shared" si="973"/>
        <v/>
      </c>
      <c r="W6280" t="str">
        <f t="shared" si="974"/>
        <v/>
      </c>
      <c r="X6280">
        <f t="shared" si="964"/>
        <v>0</v>
      </c>
      <c r="Z6280" t="str">
        <f t="shared" si="975"/>
        <v/>
      </c>
      <c r="AA6280">
        <f t="shared" si="965"/>
        <v>0</v>
      </c>
    </row>
    <row r="6281" spans="1:27" ht="21" customHeight="1" x14ac:dyDescent="0.95">
      <c r="A6281" s="56"/>
      <c r="B6281" s="57"/>
      <c r="C6281" s="57"/>
      <c r="D6281" s="57"/>
      <c r="E6281" s="56"/>
      <c r="F6281" s="57"/>
      <c r="G6281" s="57"/>
      <c r="H6281" s="56"/>
      <c r="I6281" s="56"/>
      <c r="J6281" s="58"/>
      <c r="K6281" s="58"/>
      <c r="L6281" s="13" t="str">
        <f t="shared" si="966"/>
        <v/>
      </c>
      <c r="M6281" s="13" t="str">
        <f t="shared" si="967"/>
        <v/>
      </c>
      <c r="Q6281" t="str">
        <f t="shared" si="968"/>
        <v/>
      </c>
      <c r="R6281" t="str">
        <f t="shared" si="969"/>
        <v/>
      </c>
      <c r="S6281" t="str">
        <f t="shared" si="970"/>
        <v/>
      </c>
      <c r="T6281" t="str">
        <f t="shared" si="971"/>
        <v/>
      </c>
      <c r="U6281" t="str">
        <f t="shared" si="972"/>
        <v/>
      </c>
      <c r="V6281" t="str">
        <f t="shared" si="973"/>
        <v/>
      </c>
      <c r="W6281" t="str">
        <f t="shared" si="974"/>
        <v/>
      </c>
      <c r="X6281">
        <f t="shared" si="964"/>
        <v>0</v>
      </c>
      <c r="Z6281" t="str">
        <f t="shared" si="975"/>
        <v/>
      </c>
      <c r="AA6281">
        <f t="shared" si="965"/>
        <v>0</v>
      </c>
    </row>
    <row r="6282" spans="1:27" ht="21" customHeight="1" x14ac:dyDescent="0.95">
      <c r="A6282" s="56"/>
      <c r="B6282" s="57"/>
      <c r="C6282" s="57"/>
      <c r="D6282" s="57"/>
      <c r="E6282" s="56"/>
      <c r="F6282" s="57"/>
      <c r="G6282" s="57"/>
      <c r="H6282" s="56"/>
      <c r="I6282" s="56"/>
      <c r="J6282" s="58"/>
      <c r="K6282" s="58"/>
      <c r="L6282" s="13" t="str">
        <f t="shared" si="966"/>
        <v/>
      </c>
      <c r="M6282" s="13" t="str">
        <f t="shared" si="967"/>
        <v/>
      </c>
      <c r="Q6282" t="str">
        <f t="shared" si="968"/>
        <v/>
      </c>
      <c r="R6282" t="str">
        <f t="shared" si="969"/>
        <v/>
      </c>
      <c r="S6282" t="str">
        <f t="shared" si="970"/>
        <v/>
      </c>
      <c r="T6282" t="str">
        <f t="shared" si="971"/>
        <v/>
      </c>
      <c r="U6282" t="str">
        <f t="shared" si="972"/>
        <v/>
      </c>
      <c r="V6282" t="str">
        <f t="shared" si="973"/>
        <v/>
      </c>
      <c r="W6282" t="str">
        <f t="shared" si="974"/>
        <v/>
      </c>
      <c r="X6282">
        <f t="shared" si="964"/>
        <v>0</v>
      </c>
      <c r="Z6282" t="str">
        <f t="shared" si="975"/>
        <v/>
      </c>
      <c r="AA6282">
        <f t="shared" si="965"/>
        <v>0</v>
      </c>
    </row>
    <row r="6283" spans="1:27" ht="21" customHeight="1" x14ac:dyDescent="0.95">
      <c r="A6283" s="56"/>
      <c r="B6283" s="57"/>
      <c r="C6283" s="57"/>
      <c r="D6283" s="57"/>
      <c r="E6283" s="56"/>
      <c r="F6283" s="57"/>
      <c r="G6283" s="57"/>
      <c r="H6283" s="56"/>
      <c r="I6283" s="56"/>
      <c r="J6283" s="58"/>
      <c r="K6283" s="58"/>
      <c r="L6283" s="13" t="str">
        <f t="shared" si="966"/>
        <v/>
      </c>
      <c r="M6283" s="13" t="str">
        <f t="shared" si="967"/>
        <v/>
      </c>
      <c r="Q6283" t="str">
        <f t="shared" si="968"/>
        <v/>
      </c>
      <c r="R6283" t="str">
        <f t="shared" si="969"/>
        <v/>
      </c>
      <c r="S6283" t="str">
        <f t="shared" si="970"/>
        <v/>
      </c>
      <c r="T6283" t="str">
        <f t="shared" si="971"/>
        <v/>
      </c>
      <c r="U6283" t="str">
        <f t="shared" si="972"/>
        <v/>
      </c>
      <c r="V6283" t="str">
        <f t="shared" si="973"/>
        <v/>
      </c>
      <c r="W6283" t="str">
        <f t="shared" si="974"/>
        <v/>
      </c>
      <c r="X6283">
        <f t="shared" si="964"/>
        <v>0</v>
      </c>
      <c r="Z6283" t="str">
        <f t="shared" si="975"/>
        <v/>
      </c>
      <c r="AA6283">
        <f t="shared" si="965"/>
        <v>0</v>
      </c>
    </row>
    <row r="6284" spans="1:27" ht="21" customHeight="1" x14ac:dyDescent="0.95">
      <c r="A6284" s="56"/>
      <c r="B6284" s="57"/>
      <c r="C6284" s="57"/>
      <c r="D6284" s="57"/>
      <c r="E6284" s="56"/>
      <c r="F6284" s="57"/>
      <c r="G6284" s="57"/>
      <c r="H6284" s="56"/>
      <c r="I6284" s="56"/>
      <c r="J6284" s="58"/>
      <c r="K6284" s="58"/>
      <c r="L6284" s="13" t="str">
        <f t="shared" si="966"/>
        <v/>
      </c>
      <c r="M6284" s="13" t="str">
        <f t="shared" si="967"/>
        <v/>
      </c>
      <c r="Q6284" t="str">
        <f t="shared" si="968"/>
        <v/>
      </c>
      <c r="R6284" t="str">
        <f t="shared" si="969"/>
        <v/>
      </c>
      <c r="S6284" t="str">
        <f t="shared" si="970"/>
        <v/>
      </c>
      <c r="T6284" t="str">
        <f t="shared" si="971"/>
        <v/>
      </c>
      <c r="U6284" t="str">
        <f t="shared" si="972"/>
        <v/>
      </c>
      <c r="V6284" t="str">
        <f t="shared" si="973"/>
        <v/>
      </c>
      <c r="W6284" t="str">
        <f t="shared" si="974"/>
        <v/>
      </c>
      <c r="X6284">
        <f t="shared" si="964"/>
        <v>0</v>
      </c>
      <c r="Z6284" t="str">
        <f t="shared" si="975"/>
        <v/>
      </c>
      <c r="AA6284">
        <f t="shared" si="965"/>
        <v>0</v>
      </c>
    </row>
    <row r="6285" spans="1:27" ht="21" customHeight="1" x14ac:dyDescent="0.95">
      <c r="A6285" s="56"/>
      <c r="B6285" s="57"/>
      <c r="C6285" s="57"/>
      <c r="D6285" s="57"/>
      <c r="E6285" s="56"/>
      <c r="F6285" s="57"/>
      <c r="G6285" s="57"/>
      <c r="H6285" s="56"/>
      <c r="I6285" s="56"/>
      <c r="J6285" s="58"/>
      <c r="K6285" s="58"/>
      <c r="L6285" s="13" t="str">
        <f t="shared" si="966"/>
        <v/>
      </c>
      <c r="M6285" s="13" t="str">
        <f t="shared" si="967"/>
        <v/>
      </c>
      <c r="Q6285" t="str">
        <f t="shared" si="968"/>
        <v/>
      </c>
      <c r="R6285" t="str">
        <f t="shared" si="969"/>
        <v/>
      </c>
      <c r="S6285" t="str">
        <f t="shared" si="970"/>
        <v/>
      </c>
      <c r="T6285" t="str">
        <f t="shared" si="971"/>
        <v/>
      </c>
      <c r="U6285" t="str">
        <f t="shared" si="972"/>
        <v/>
      </c>
      <c r="V6285" t="str">
        <f t="shared" si="973"/>
        <v/>
      </c>
      <c r="W6285" t="str">
        <f t="shared" si="974"/>
        <v/>
      </c>
      <c r="X6285">
        <f t="shared" si="964"/>
        <v>0</v>
      </c>
      <c r="Z6285" t="str">
        <f t="shared" si="975"/>
        <v/>
      </c>
      <c r="AA6285">
        <f t="shared" si="965"/>
        <v>0</v>
      </c>
    </row>
    <row r="6286" spans="1:27" ht="21" customHeight="1" x14ac:dyDescent="0.95">
      <c r="A6286" s="56"/>
      <c r="B6286" s="57"/>
      <c r="C6286" s="57"/>
      <c r="D6286" s="57"/>
      <c r="E6286" s="56"/>
      <c r="F6286" s="57"/>
      <c r="G6286" s="57"/>
      <c r="H6286" s="56"/>
      <c r="I6286" s="56"/>
      <c r="J6286" s="58"/>
      <c r="K6286" s="58"/>
      <c r="L6286" s="13" t="str">
        <f t="shared" si="966"/>
        <v/>
      </c>
      <c r="M6286" s="13" t="str">
        <f t="shared" si="967"/>
        <v/>
      </c>
      <c r="Q6286" t="str">
        <f t="shared" si="968"/>
        <v/>
      </c>
      <c r="R6286" t="str">
        <f t="shared" si="969"/>
        <v/>
      </c>
      <c r="S6286" t="str">
        <f t="shared" si="970"/>
        <v/>
      </c>
      <c r="T6286" t="str">
        <f t="shared" si="971"/>
        <v/>
      </c>
      <c r="U6286" t="str">
        <f t="shared" si="972"/>
        <v/>
      </c>
      <c r="V6286" t="str">
        <f t="shared" si="973"/>
        <v/>
      </c>
      <c r="W6286" t="str">
        <f t="shared" si="974"/>
        <v/>
      </c>
      <c r="X6286">
        <f t="shared" si="964"/>
        <v>0</v>
      </c>
      <c r="Z6286" t="str">
        <f t="shared" si="975"/>
        <v/>
      </c>
      <c r="AA6286">
        <f t="shared" si="965"/>
        <v>0</v>
      </c>
    </row>
    <row r="6287" spans="1:27" ht="21" customHeight="1" x14ac:dyDescent="0.95">
      <c r="A6287" s="56"/>
      <c r="B6287" s="57"/>
      <c r="C6287" s="57"/>
      <c r="D6287" s="57"/>
      <c r="E6287" s="56"/>
      <c r="F6287" s="57"/>
      <c r="G6287" s="57"/>
      <c r="H6287" s="56"/>
      <c r="I6287" s="56"/>
      <c r="J6287" s="58"/>
      <c r="K6287" s="58"/>
      <c r="L6287" s="13" t="str">
        <f t="shared" si="966"/>
        <v/>
      </c>
      <c r="M6287" s="13" t="str">
        <f t="shared" si="967"/>
        <v/>
      </c>
      <c r="Q6287" t="str">
        <f t="shared" si="968"/>
        <v/>
      </c>
      <c r="R6287" t="str">
        <f t="shared" si="969"/>
        <v/>
      </c>
      <c r="S6287" t="str">
        <f t="shared" si="970"/>
        <v/>
      </c>
      <c r="T6287" t="str">
        <f t="shared" si="971"/>
        <v/>
      </c>
      <c r="U6287" t="str">
        <f t="shared" si="972"/>
        <v/>
      </c>
      <c r="V6287" t="str">
        <f t="shared" si="973"/>
        <v/>
      </c>
      <c r="W6287" t="str">
        <f t="shared" si="974"/>
        <v/>
      </c>
      <c r="X6287">
        <f t="shared" si="964"/>
        <v>0</v>
      </c>
      <c r="Z6287" t="str">
        <f t="shared" si="975"/>
        <v/>
      </c>
      <c r="AA6287">
        <f t="shared" si="965"/>
        <v>0</v>
      </c>
    </row>
    <row r="6288" spans="1:27" ht="21" customHeight="1" x14ac:dyDescent="0.95">
      <c r="A6288" s="56"/>
      <c r="B6288" s="57"/>
      <c r="C6288" s="57"/>
      <c r="D6288" s="57"/>
      <c r="E6288" s="56"/>
      <c r="F6288" s="57"/>
      <c r="G6288" s="57"/>
      <c r="H6288" s="56"/>
      <c r="I6288" s="56"/>
      <c r="J6288" s="58"/>
      <c r="K6288" s="58"/>
      <c r="L6288" s="13" t="str">
        <f t="shared" si="966"/>
        <v/>
      </c>
      <c r="M6288" s="13" t="str">
        <f t="shared" si="967"/>
        <v/>
      </c>
      <c r="Q6288" t="str">
        <f t="shared" si="968"/>
        <v/>
      </c>
      <c r="R6288" t="str">
        <f t="shared" si="969"/>
        <v/>
      </c>
      <c r="S6288" t="str">
        <f t="shared" si="970"/>
        <v/>
      </c>
      <c r="T6288" t="str">
        <f t="shared" si="971"/>
        <v/>
      </c>
      <c r="U6288" t="str">
        <f t="shared" si="972"/>
        <v/>
      </c>
      <c r="V6288" t="str">
        <f t="shared" si="973"/>
        <v/>
      </c>
      <c r="W6288" t="str">
        <f t="shared" si="974"/>
        <v/>
      </c>
      <c r="X6288">
        <f t="shared" si="964"/>
        <v>0</v>
      </c>
      <c r="Z6288" t="str">
        <f t="shared" si="975"/>
        <v/>
      </c>
      <c r="AA6288">
        <f t="shared" si="965"/>
        <v>0</v>
      </c>
    </row>
    <row r="6289" spans="1:27" ht="21" customHeight="1" x14ac:dyDescent="0.95">
      <c r="A6289" s="56"/>
      <c r="B6289" s="57"/>
      <c r="C6289" s="57"/>
      <c r="D6289" s="57"/>
      <c r="E6289" s="56"/>
      <c r="F6289" s="57"/>
      <c r="G6289" s="57"/>
      <c r="H6289" s="56"/>
      <c r="I6289" s="56"/>
      <c r="J6289" s="58"/>
      <c r="K6289" s="58"/>
      <c r="L6289" s="13" t="str">
        <f t="shared" si="966"/>
        <v/>
      </c>
      <c r="M6289" s="13" t="str">
        <f t="shared" si="967"/>
        <v/>
      </c>
      <c r="Q6289" t="str">
        <f t="shared" si="968"/>
        <v/>
      </c>
      <c r="R6289" t="str">
        <f t="shared" si="969"/>
        <v/>
      </c>
      <c r="S6289" t="str">
        <f t="shared" si="970"/>
        <v/>
      </c>
      <c r="T6289" t="str">
        <f t="shared" si="971"/>
        <v/>
      </c>
      <c r="U6289" t="str">
        <f t="shared" si="972"/>
        <v/>
      </c>
      <c r="V6289" t="str">
        <f t="shared" si="973"/>
        <v/>
      </c>
      <c r="W6289" t="str">
        <f t="shared" si="974"/>
        <v/>
      </c>
      <c r="X6289">
        <f t="shared" si="964"/>
        <v>0</v>
      </c>
      <c r="Z6289" t="str">
        <f t="shared" si="975"/>
        <v/>
      </c>
      <c r="AA6289">
        <f t="shared" si="965"/>
        <v>0</v>
      </c>
    </row>
    <row r="6290" spans="1:27" ht="21" customHeight="1" x14ac:dyDescent="0.95">
      <c r="A6290" s="56"/>
      <c r="B6290" s="57"/>
      <c r="C6290" s="57"/>
      <c r="D6290" s="57"/>
      <c r="E6290" s="56"/>
      <c r="F6290" s="57"/>
      <c r="G6290" s="57"/>
      <c r="H6290" s="56"/>
      <c r="I6290" s="56"/>
      <c r="J6290" s="58"/>
      <c r="K6290" s="58"/>
      <c r="L6290" s="13" t="str">
        <f t="shared" si="966"/>
        <v/>
      </c>
      <c r="M6290" s="13" t="str">
        <f t="shared" si="967"/>
        <v/>
      </c>
      <c r="Q6290" t="str">
        <f t="shared" si="968"/>
        <v/>
      </c>
      <c r="R6290" t="str">
        <f t="shared" si="969"/>
        <v/>
      </c>
      <c r="S6290" t="str">
        <f t="shared" si="970"/>
        <v/>
      </c>
      <c r="T6290" t="str">
        <f t="shared" si="971"/>
        <v/>
      </c>
      <c r="U6290" t="str">
        <f t="shared" si="972"/>
        <v/>
      </c>
      <c r="V6290" t="str">
        <f t="shared" si="973"/>
        <v/>
      </c>
      <c r="W6290" t="str">
        <f t="shared" si="974"/>
        <v/>
      </c>
      <c r="X6290">
        <f t="shared" si="964"/>
        <v>0</v>
      </c>
      <c r="Z6290" t="str">
        <f t="shared" si="975"/>
        <v/>
      </c>
      <c r="AA6290">
        <f t="shared" si="965"/>
        <v>0</v>
      </c>
    </row>
    <row r="6291" spans="1:27" ht="21" customHeight="1" x14ac:dyDescent="0.95">
      <c r="A6291" s="56"/>
      <c r="B6291" s="57"/>
      <c r="C6291" s="57"/>
      <c r="D6291" s="57"/>
      <c r="E6291" s="56"/>
      <c r="F6291" s="57"/>
      <c r="G6291" s="57"/>
      <c r="H6291" s="56"/>
      <c r="I6291" s="56"/>
      <c r="J6291" s="58"/>
      <c r="K6291" s="58"/>
      <c r="L6291" s="13" t="str">
        <f t="shared" si="966"/>
        <v/>
      </c>
      <c r="M6291" s="13" t="str">
        <f t="shared" si="967"/>
        <v/>
      </c>
      <c r="Q6291" t="str">
        <f t="shared" si="968"/>
        <v/>
      </c>
      <c r="R6291" t="str">
        <f t="shared" si="969"/>
        <v/>
      </c>
      <c r="S6291" t="str">
        <f t="shared" si="970"/>
        <v/>
      </c>
      <c r="T6291" t="str">
        <f t="shared" si="971"/>
        <v/>
      </c>
      <c r="U6291" t="str">
        <f t="shared" si="972"/>
        <v/>
      </c>
      <c r="V6291" t="str">
        <f t="shared" si="973"/>
        <v/>
      </c>
      <c r="W6291" t="str">
        <f t="shared" si="974"/>
        <v/>
      </c>
      <c r="X6291">
        <f t="shared" si="964"/>
        <v>0</v>
      </c>
      <c r="Z6291" t="str">
        <f t="shared" si="975"/>
        <v/>
      </c>
      <c r="AA6291">
        <f t="shared" si="965"/>
        <v>0</v>
      </c>
    </row>
    <row r="6292" spans="1:27" ht="21" customHeight="1" x14ac:dyDescent="0.95">
      <c r="A6292" s="56"/>
      <c r="B6292" s="57"/>
      <c r="C6292" s="57"/>
      <c r="D6292" s="57"/>
      <c r="E6292" s="56"/>
      <c r="F6292" s="57"/>
      <c r="G6292" s="57"/>
      <c r="H6292" s="56"/>
      <c r="I6292" s="56"/>
      <c r="J6292" s="58"/>
      <c r="K6292" s="58"/>
      <c r="L6292" s="13" t="str">
        <f t="shared" si="966"/>
        <v/>
      </c>
      <c r="M6292" s="13" t="str">
        <f t="shared" si="967"/>
        <v/>
      </c>
      <c r="Q6292" t="str">
        <f t="shared" si="968"/>
        <v/>
      </c>
      <c r="R6292" t="str">
        <f t="shared" si="969"/>
        <v/>
      </c>
      <c r="S6292" t="str">
        <f t="shared" si="970"/>
        <v/>
      </c>
      <c r="T6292" t="str">
        <f t="shared" si="971"/>
        <v/>
      </c>
      <c r="U6292" t="str">
        <f t="shared" si="972"/>
        <v/>
      </c>
      <c r="V6292" t="str">
        <f t="shared" si="973"/>
        <v/>
      </c>
      <c r="W6292" t="str">
        <f t="shared" si="974"/>
        <v/>
      </c>
      <c r="X6292">
        <f t="shared" si="964"/>
        <v>0</v>
      </c>
      <c r="Z6292" t="str">
        <f t="shared" si="975"/>
        <v/>
      </c>
      <c r="AA6292">
        <f t="shared" si="965"/>
        <v>0</v>
      </c>
    </row>
    <row r="6293" spans="1:27" ht="21" customHeight="1" x14ac:dyDescent="0.95">
      <c r="A6293" s="56"/>
      <c r="B6293" s="57"/>
      <c r="C6293" s="57"/>
      <c r="D6293" s="57"/>
      <c r="E6293" s="56"/>
      <c r="F6293" s="57"/>
      <c r="G6293" s="57"/>
      <c r="H6293" s="56"/>
      <c r="I6293" s="56"/>
      <c r="J6293" s="58"/>
      <c r="K6293" s="58"/>
      <c r="L6293" s="13" t="str">
        <f t="shared" si="966"/>
        <v/>
      </c>
      <c r="M6293" s="13" t="str">
        <f t="shared" si="967"/>
        <v/>
      </c>
      <c r="Q6293" t="str">
        <f t="shared" si="968"/>
        <v/>
      </c>
      <c r="R6293" t="str">
        <f t="shared" si="969"/>
        <v/>
      </c>
      <c r="S6293" t="str">
        <f t="shared" si="970"/>
        <v/>
      </c>
      <c r="T6293" t="str">
        <f t="shared" si="971"/>
        <v/>
      </c>
      <c r="U6293" t="str">
        <f t="shared" si="972"/>
        <v/>
      </c>
      <c r="V6293" t="str">
        <f t="shared" si="973"/>
        <v/>
      </c>
      <c r="W6293" t="str">
        <f t="shared" si="974"/>
        <v/>
      </c>
      <c r="X6293">
        <f t="shared" si="964"/>
        <v>0</v>
      </c>
      <c r="Z6293" t="str">
        <f t="shared" si="975"/>
        <v/>
      </c>
      <c r="AA6293">
        <f t="shared" si="965"/>
        <v>0</v>
      </c>
    </row>
    <row r="6294" spans="1:27" ht="21" customHeight="1" x14ac:dyDescent="0.95">
      <c r="A6294" s="56"/>
      <c r="B6294" s="57"/>
      <c r="C6294" s="57"/>
      <c r="D6294" s="57"/>
      <c r="E6294" s="56"/>
      <c r="F6294" s="57"/>
      <c r="G6294" s="57"/>
      <c r="H6294" s="56"/>
      <c r="I6294" s="56"/>
      <c r="J6294" s="58"/>
      <c r="K6294" s="58"/>
      <c r="L6294" s="13" t="str">
        <f t="shared" si="966"/>
        <v/>
      </c>
      <c r="M6294" s="13" t="str">
        <f t="shared" si="967"/>
        <v/>
      </c>
      <c r="Q6294" t="str">
        <f t="shared" si="968"/>
        <v/>
      </c>
      <c r="R6294" t="str">
        <f t="shared" si="969"/>
        <v/>
      </c>
      <c r="S6294" t="str">
        <f t="shared" si="970"/>
        <v/>
      </c>
      <c r="T6294" t="str">
        <f t="shared" si="971"/>
        <v/>
      </c>
      <c r="U6294" t="str">
        <f t="shared" si="972"/>
        <v/>
      </c>
      <c r="V6294" t="str">
        <f t="shared" si="973"/>
        <v/>
      </c>
      <c r="W6294" t="str">
        <f t="shared" si="974"/>
        <v/>
      </c>
      <c r="X6294">
        <f t="shared" si="964"/>
        <v>0</v>
      </c>
      <c r="Z6294" t="str">
        <f t="shared" si="975"/>
        <v/>
      </c>
      <c r="AA6294">
        <f t="shared" si="965"/>
        <v>0</v>
      </c>
    </row>
    <row r="6295" spans="1:27" ht="21" customHeight="1" x14ac:dyDescent="0.95">
      <c r="A6295" s="56"/>
      <c r="B6295" s="57"/>
      <c r="C6295" s="57"/>
      <c r="D6295" s="57"/>
      <c r="E6295" s="56"/>
      <c r="F6295" s="57"/>
      <c r="G6295" s="57"/>
      <c r="H6295" s="56"/>
      <c r="I6295" s="56"/>
      <c r="J6295" s="58"/>
      <c r="K6295" s="58"/>
      <c r="L6295" s="13" t="str">
        <f t="shared" si="966"/>
        <v/>
      </c>
      <c r="M6295" s="13" t="str">
        <f t="shared" si="967"/>
        <v/>
      </c>
      <c r="Q6295" t="str">
        <f t="shared" si="968"/>
        <v/>
      </c>
      <c r="R6295" t="str">
        <f t="shared" si="969"/>
        <v/>
      </c>
      <c r="S6295" t="str">
        <f t="shared" si="970"/>
        <v/>
      </c>
      <c r="T6295" t="str">
        <f t="shared" si="971"/>
        <v/>
      </c>
      <c r="U6295" t="str">
        <f t="shared" si="972"/>
        <v/>
      </c>
      <c r="V6295" t="str">
        <f t="shared" si="973"/>
        <v/>
      </c>
      <c r="W6295" t="str">
        <f t="shared" si="974"/>
        <v/>
      </c>
      <c r="X6295">
        <f t="shared" si="964"/>
        <v>0</v>
      </c>
      <c r="Z6295" t="str">
        <f t="shared" si="975"/>
        <v/>
      </c>
      <c r="AA6295">
        <f t="shared" si="965"/>
        <v>0</v>
      </c>
    </row>
    <row r="6296" spans="1:27" ht="21" customHeight="1" x14ac:dyDescent="0.95">
      <c r="A6296" s="56"/>
      <c r="B6296" s="57"/>
      <c r="C6296" s="57"/>
      <c r="D6296" s="57"/>
      <c r="E6296" s="56"/>
      <c r="F6296" s="57"/>
      <c r="G6296" s="57"/>
      <c r="H6296" s="56"/>
      <c r="I6296" s="56"/>
      <c r="J6296" s="58"/>
      <c r="K6296" s="58"/>
      <c r="L6296" s="13" t="str">
        <f t="shared" si="966"/>
        <v/>
      </c>
      <c r="M6296" s="13" t="str">
        <f t="shared" si="967"/>
        <v/>
      </c>
      <c r="Q6296" t="str">
        <f t="shared" si="968"/>
        <v/>
      </c>
      <c r="R6296" t="str">
        <f t="shared" si="969"/>
        <v/>
      </c>
      <c r="S6296" t="str">
        <f t="shared" si="970"/>
        <v/>
      </c>
      <c r="T6296" t="str">
        <f t="shared" si="971"/>
        <v/>
      </c>
      <c r="U6296" t="str">
        <f t="shared" si="972"/>
        <v/>
      </c>
      <c r="V6296" t="str">
        <f t="shared" si="973"/>
        <v/>
      </c>
      <c r="W6296" t="str">
        <f t="shared" si="974"/>
        <v/>
      </c>
      <c r="X6296">
        <f t="shared" si="964"/>
        <v>0</v>
      </c>
      <c r="Z6296" t="str">
        <f t="shared" si="975"/>
        <v/>
      </c>
      <c r="AA6296">
        <f t="shared" si="965"/>
        <v>0</v>
      </c>
    </row>
    <row r="6297" spans="1:27" ht="21" customHeight="1" x14ac:dyDescent="0.95">
      <c r="A6297" s="56"/>
      <c r="B6297" s="57"/>
      <c r="C6297" s="57"/>
      <c r="D6297" s="57"/>
      <c r="E6297" s="56"/>
      <c r="F6297" s="57"/>
      <c r="G6297" s="57"/>
      <c r="H6297" s="56"/>
      <c r="I6297" s="56"/>
      <c r="J6297" s="58"/>
      <c r="K6297" s="58"/>
      <c r="L6297" s="13" t="str">
        <f t="shared" si="966"/>
        <v/>
      </c>
      <c r="M6297" s="13" t="str">
        <f t="shared" si="967"/>
        <v/>
      </c>
      <c r="Q6297" t="str">
        <f t="shared" si="968"/>
        <v/>
      </c>
      <c r="R6297" t="str">
        <f t="shared" si="969"/>
        <v/>
      </c>
      <c r="S6297" t="str">
        <f t="shared" si="970"/>
        <v/>
      </c>
      <c r="T6297" t="str">
        <f t="shared" si="971"/>
        <v/>
      </c>
      <c r="U6297" t="str">
        <f t="shared" si="972"/>
        <v/>
      </c>
      <c r="V6297" t="str">
        <f t="shared" si="973"/>
        <v/>
      </c>
      <c r="W6297" t="str">
        <f t="shared" si="974"/>
        <v/>
      </c>
      <c r="X6297">
        <f t="shared" si="964"/>
        <v>0</v>
      </c>
      <c r="Z6297" t="str">
        <f t="shared" si="975"/>
        <v/>
      </c>
      <c r="AA6297">
        <f t="shared" si="965"/>
        <v>0</v>
      </c>
    </row>
    <row r="6298" spans="1:27" ht="21" customHeight="1" x14ac:dyDescent="0.95">
      <c r="A6298" s="56"/>
      <c r="B6298" s="57"/>
      <c r="C6298" s="57"/>
      <c r="D6298" s="57"/>
      <c r="E6298" s="56"/>
      <c r="F6298" s="57"/>
      <c r="G6298" s="57"/>
      <c r="H6298" s="56"/>
      <c r="I6298" s="56"/>
      <c r="J6298" s="58"/>
      <c r="K6298" s="58"/>
      <c r="L6298" s="13" t="str">
        <f t="shared" si="966"/>
        <v/>
      </c>
      <c r="M6298" s="13" t="str">
        <f t="shared" si="967"/>
        <v/>
      </c>
      <c r="Q6298" t="str">
        <f t="shared" si="968"/>
        <v/>
      </c>
      <c r="R6298" t="str">
        <f t="shared" si="969"/>
        <v/>
      </c>
      <c r="S6298" t="str">
        <f t="shared" si="970"/>
        <v/>
      </c>
      <c r="T6298" t="str">
        <f t="shared" si="971"/>
        <v/>
      </c>
      <c r="U6298" t="str">
        <f t="shared" si="972"/>
        <v/>
      </c>
      <c r="V6298" t="str">
        <f t="shared" si="973"/>
        <v/>
      </c>
      <c r="W6298" t="str">
        <f t="shared" si="974"/>
        <v/>
      </c>
      <c r="X6298">
        <f t="shared" si="964"/>
        <v>0</v>
      </c>
      <c r="Z6298" t="str">
        <f t="shared" si="975"/>
        <v/>
      </c>
      <c r="AA6298">
        <f t="shared" si="965"/>
        <v>0</v>
      </c>
    </row>
    <row r="6299" spans="1:27" ht="21" customHeight="1" x14ac:dyDescent="0.95">
      <c r="A6299" s="56"/>
      <c r="B6299" s="57"/>
      <c r="C6299" s="57"/>
      <c r="D6299" s="57"/>
      <c r="E6299" s="56"/>
      <c r="F6299" s="57"/>
      <c r="G6299" s="57"/>
      <c r="H6299" s="56"/>
      <c r="I6299" s="56"/>
      <c r="J6299" s="58"/>
      <c r="K6299" s="58"/>
      <c r="L6299" s="13" t="str">
        <f t="shared" si="966"/>
        <v/>
      </c>
      <c r="M6299" s="13" t="str">
        <f t="shared" si="967"/>
        <v/>
      </c>
      <c r="Q6299" t="str">
        <f t="shared" si="968"/>
        <v/>
      </c>
      <c r="R6299" t="str">
        <f t="shared" si="969"/>
        <v/>
      </c>
      <c r="S6299" t="str">
        <f t="shared" si="970"/>
        <v/>
      </c>
      <c r="T6299" t="str">
        <f t="shared" si="971"/>
        <v/>
      </c>
      <c r="U6299" t="str">
        <f t="shared" si="972"/>
        <v/>
      </c>
      <c r="V6299" t="str">
        <f t="shared" si="973"/>
        <v/>
      </c>
      <c r="W6299" t="str">
        <f t="shared" si="974"/>
        <v/>
      </c>
      <c r="X6299">
        <f t="shared" si="964"/>
        <v>0</v>
      </c>
      <c r="Z6299" t="str">
        <f t="shared" si="975"/>
        <v/>
      </c>
      <c r="AA6299">
        <f t="shared" si="965"/>
        <v>0</v>
      </c>
    </row>
    <row r="6300" spans="1:27" ht="21" customHeight="1" x14ac:dyDescent="0.95">
      <c r="A6300" s="56"/>
      <c r="B6300" s="57"/>
      <c r="C6300" s="57"/>
      <c r="D6300" s="57"/>
      <c r="E6300" s="56"/>
      <c r="F6300" s="57"/>
      <c r="G6300" s="57"/>
      <c r="H6300" s="56"/>
      <c r="I6300" s="56"/>
      <c r="J6300" s="58"/>
      <c r="K6300" s="58"/>
      <c r="L6300" s="13" t="str">
        <f t="shared" si="966"/>
        <v/>
      </c>
      <c r="M6300" s="13" t="str">
        <f t="shared" si="967"/>
        <v/>
      </c>
      <c r="Q6300" t="str">
        <f t="shared" si="968"/>
        <v/>
      </c>
      <c r="R6300" t="str">
        <f t="shared" si="969"/>
        <v/>
      </c>
      <c r="S6300" t="str">
        <f t="shared" si="970"/>
        <v/>
      </c>
      <c r="T6300" t="str">
        <f t="shared" si="971"/>
        <v/>
      </c>
      <c r="U6300" t="str">
        <f t="shared" si="972"/>
        <v/>
      </c>
      <c r="V6300" t="str">
        <f t="shared" si="973"/>
        <v/>
      </c>
      <c r="W6300" t="str">
        <f t="shared" si="974"/>
        <v/>
      </c>
      <c r="X6300">
        <f t="shared" si="964"/>
        <v>0</v>
      </c>
      <c r="Z6300" t="str">
        <f t="shared" si="975"/>
        <v/>
      </c>
      <c r="AA6300">
        <f t="shared" si="965"/>
        <v>0</v>
      </c>
    </row>
    <row r="6301" spans="1:27" ht="21" customHeight="1" x14ac:dyDescent="0.95">
      <c r="A6301" s="56"/>
      <c r="B6301" s="57"/>
      <c r="C6301" s="57"/>
      <c r="D6301" s="57"/>
      <c r="E6301" s="56"/>
      <c r="F6301" s="57"/>
      <c r="G6301" s="57"/>
      <c r="H6301" s="56"/>
      <c r="I6301" s="56"/>
      <c r="J6301" s="58"/>
      <c r="K6301" s="58"/>
      <c r="L6301" s="13" t="str">
        <f t="shared" si="966"/>
        <v/>
      </c>
      <c r="M6301" s="13" t="str">
        <f t="shared" si="967"/>
        <v/>
      </c>
      <c r="Q6301" t="str">
        <f t="shared" si="968"/>
        <v/>
      </c>
      <c r="R6301" t="str">
        <f t="shared" si="969"/>
        <v/>
      </c>
      <c r="S6301" t="str">
        <f t="shared" si="970"/>
        <v/>
      </c>
      <c r="T6301" t="str">
        <f t="shared" si="971"/>
        <v/>
      </c>
      <c r="U6301" t="str">
        <f t="shared" si="972"/>
        <v/>
      </c>
      <c r="V6301" t="str">
        <f t="shared" si="973"/>
        <v/>
      </c>
      <c r="W6301" t="str">
        <f t="shared" si="974"/>
        <v/>
      </c>
      <c r="X6301">
        <f t="shared" si="964"/>
        <v>0</v>
      </c>
      <c r="Z6301" t="str">
        <f t="shared" si="975"/>
        <v/>
      </c>
      <c r="AA6301">
        <f t="shared" si="965"/>
        <v>0</v>
      </c>
    </row>
    <row r="6302" spans="1:27" ht="21" customHeight="1" x14ac:dyDescent="0.95">
      <c r="A6302" s="56"/>
      <c r="B6302" s="57"/>
      <c r="C6302" s="57"/>
      <c r="D6302" s="57"/>
      <c r="E6302" s="56"/>
      <c r="F6302" s="57"/>
      <c r="G6302" s="57"/>
      <c r="H6302" s="56"/>
      <c r="I6302" s="56"/>
      <c r="J6302" s="58"/>
      <c r="K6302" s="58"/>
      <c r="L6302" s="13" t="str">
        <f t="shared" si="966"/>
        <v/>
      </c>
      <c r="M6302" s="13" t="str">
        <f t="shared" si="967"/>
        <v/>
      </c>
      <c r="Q6302" t="str">
        <f t="shared" si="968"/>
        <v/>
      </c>
      <c r="R6302" t="str">
        <f t="shared" si="969"/>
        <v/>
      </c>
      <c r="S6302" t="str">
        <f t="shared" si="970"/>
        <v/>
      </c>
      <c r="T6302" t="str">
        <f t="shared" si="971"/>
        <v/>
      </c>
      <c r="U6302" t="str">
        <f t="shared" si="972"/>
        <v/>
      </c>
      <c r="V6302" t="str">
        <f t="shared" si="973"/>
        <v/>
      </c>
      <c r="W6302" t="str">
        <f t="shared" si="974"/>
        <v/>
      </c>
      <c r="X6302">
        <f t="shared" si="964"/>
        <v>0</v>
      </c>
      <c r="Z6302" t="str">
        <f t="shared" si="975"/>
        <v/>
      </c>
      <c r="AA6302">
        <f t="shared" si="965"/>
        <v>0</v>
      </c>
    </row>
    <row r="6303" spans="1:27" ht="21" customHeight="1" x14ac:dyDescent="0.95">
      <c r="A6303" s="56"/>
      <c r="B6303" s="57"/>
      <c r="C6303" s="57"/>
      <c r="D6303" s="57"/>
      <c r="E6303" s="56"/>
      <c r="F6303" s="57"/>
      <c r="G6303" s="57"/>
      <c r="H6303" s="56"/>
      <c r="I6303" s="56"/>
      <c r="J6303" s="58"/>
      <c r="K6303" s="58"/>
      <c r="L6303" s="13" t="str">
        <f t="shared" si="966"/>
        <v/>
      </c>
      <c r="M6303" s="13" t="str">
        <f t="shared" si="967"/>
        <v/>
      </c>
      <c r="Q6303" t="str">
        <f t="shared" si="968"/>
        <v/>
      </c>
      <c r="R6303" t="str">
        <f t="shared" si="969"/>
        <v/>
      </c>
      <c r="S6303" t="str">
        <f t="shared" si="970"/>
        <v/>
      </c>
      <c r="T6303" t="str">
        <f t="shared" si="971"/>
        <v/>
      </c>
      <c r="U6303" t="str">
        <f t="shared" si="972"/>
        <v/>
      </c>
      <c r="V6303" t="str">
        <f t="shared" si="973"/>
        <v/>
      </c>
      <c r="W6303" t="str">
        <f t="shared" si="974"/>
        <v/>
      </c>
      <c r="X6303">
        <f t="shared" si="964"/>
        <v>0</v>
      </c>
      <c r="Z6303" t="str">
        <f t="shared" si="975"/>
        <v/>
      </c>
      <c r="AA6303">
        <f t="shared" si="965"/>
        <v>0</v>
      </c>
    </row>
    <row r="6304" spans="1:27" ht="21" customHeight="1" x14ac:dyDescent="0.95">
      <c r="A6304" s="56"/>
      <c r="B6304" s="57"/>
      <c r="C6304" s="57"/>
      <c r="D6304" s="57"/>
      <c r="E6304" s="56"/>
      <c r="F6304" s="57"/>
      <c r="G6304" s="57"/>
      <c r="H6304" s="56"/>
      <c r="I6304" s="56"/>
      <c r="J6304" s="58"/>
      <c r="K6304" s="58"/>
      <c r="L6304" s="13" t="str">
        <f t="shared" si="966"/>
        <v/>
      </c>
      <c r="M6304" s="13" t="str">
        <f t="shared" si="967"/>
        <v/>
      </c>
      <c r="Q6304" t="str">
        <f t="shared" si="968"/>
        <v/>
      </c>
      <c r="R6304" t="str">
        <f t="shared" si="969"/>
        <v/>
      </c>
      <c r="S6304" t="str">
        <f t="shared" si="970"/>
        <v/>
      </c>
      <c r="T6304" t="str">
        <f t="shared" si="971"/>
        <v/>
      </c>
      <c r="U6304" t="str">
        <f t="shared" si="972"/>
        <v/>
      </c>
      <c r="V6304" t="str">
        <f t="shared" si="973"/>
        <v/>
      </c>
      <c r="W6304" t="str">
        <f t="shared" si="974"/>
        <v/>
      </c>
      <c r="X6304">
        <f t="shared" si="964"/>
        <v>0</v>
      </c>
      <c r="Z6304" t="str">
        <f t="shared" si="975"/>
        <v/>
      </c>
      <c r="AA6304">
        <f t="shared" si="965"/>
        <v>0</v>
      </c>
    </row>
    <row r="6305" spans="1:27" ht="21" customHeight="1" x14ac:dyDescent="0.95">
      <c r="A6305" s="56"/>
      <c r="B6305" s="57"/>
      <c r="C6305" s="57"/>
      <c r="D6305" s="57"/>
      <c r="E6305" s="56"/>
      <c r="F6305" s="57"/>
      <c r="G6305" s="57"/>
      <c r="H6305" s="56"/>
      <c r="I6305" s="56"/>
      <c r="J6305" s="58"/>
      <c r="K6305" s="58"/>
      <c r="L6305" s="13" t="str">
        <f t="shared" si="966"/>
        <v/>
      </c>
      <c r="M6305" s="13" t="str">
        <f t="shared" si="967"/>
        <v/>
      </c>
      <c r="Q6305" t="str">
        <f t="shared" si="968"/>
        <v/>
      </c>
      <c r="R6305" t="str">
        <f t="shared" si="969"/>
        <v/>
      </c>
      <c r="S6305" t="str">
        <f t="shared" si="970"/>
        <v/>
      </c>
      <c r="T6305" t="str">
        <f t="shared" si="971"/>
        <v/>
      </c>
      <c r="U6305" t="str">
        <f t="shared" si="972"/>
        <v/>
      </c>
      <c r="V6305" t="str">
        <f t="shared" si="973"/>
        <v/>
      </c>
      <c r="W6305" t="str">
        <f t="shared" si="974"/>
        <v/>
      </c>
      <c r="X6305">
        <f t="shared" si="964"/>
        <v>0</v>
      </c>
      <c r="Z6305" t="str">
        <f t="shared" si="975"/>
        <v/>
      </c>
      <c r="AA6305">
        <f t="shared" si="965"/>
        <v>0</v>
      </c>
    </row>
    <row r="6306" spans="1:27" ht="21" customHeight="1" x14ac:dyDescent="0.95">
      <c r="A6306" s="56"/>
      <c r="B6306" s="57"/>
      <c r="C6306" s="57"/>
      <c r="D6306" s="57"/>
      <c r="E6306" s="56"/>
      <c r="F6306" s="57"/>
      <c r="G6306" s="57"/>
      <c r="H6306" s="56"/>
      <c r="I6306" s="56"/>
      <c r="J6306" s="58"/>
      <c r="K6306" s="58"/>
      <c r="L6306" s="13" t="str">
        <f t="shared" si="966"/>
        <v/>
      </c>
      <c r="M6306" s="13" t="str">
        <f t="shared" si="967"/>
        <v/>
      </c>
      <c r="Q6306" t="str">
        <f t="shared" si="968"/>
        <v/>
      </c>
      <c r="R6306" t="str">
        <f t="shared" si="969"/>
        <v/>
      </c>
      <c r="S6306" t="str">
        <f t="shared" si="970"/>
        <v/>
      </c>
      <c r="T6306" t="str">
        <f t="shared" si="971"/>
        <v/>
      </c>
      <c r="U6306" t="str">
        <f t="shared" si="972"/>
        <v/>
      </c>
      <c r="V6306" t="str">
        <f t="shared" si="973"/>
        <v/>
      </c>
      <c r="W6306" t="str">
        <f t="shared" si="974"/>
        <v/>
      </c>
      <c r="X6306">
        <f t="shared" si="964"/>
        <v>0</v>
      </c>
      <c r="Z6306" t="str">
        <f t="shared" si="975"/>
        <v/>
      </c>
      <c r="AA6306">
        <f t="shared" si="965"/>
        <v>0</v>
      </c>
    </row>
    <row r="6307" spans="1:27" ht="21" customHeight="1" x14ac:dyDescent="0.95">
      <c r="A6307" s="56"/>
      <c r="B6307" s="57"/>
      <c r="C6307" s="57"/>
      <c r="D6307" s="57"/>
      <c r="E6307" s="56"/>
      <c r="F6307" s="57"/>
      <c r="G6307" s="57"/>
      <c r="H6307" s="56"/>
      <c r="I6307" s="56"/>
      <c r="J6307" s="58"/>
      <c r="K6307" s="58"/>
      <c r="L6307" s="13" t="str">
        <f t="shared" si="966"/>
        <v/>
      </c>
      <c r="M6307" s="13" t="str">
        <f t="shared" si="967"/>
        <v/>
      </c>
      <c r="Q6307" t="str">
        <f t="shared" si="968"/>
        <v/>
      </c>
      <c r="R6307" t="str">
        <f t="shared" si="969"/>
        <v/>
      </c>
      <c r="S6307" t="str">
        <f t="shared" si="970"/>
        <v/>
      </c>
      <c r="T6307" t="str">
        <f t="shared" si="971"/>
        <v/>
      </c>
      <c r="U6307" t="str">
        <f t="shared" si="972"/>
        <v/>
      </c>
      <c r="V6307" t="str">
        <f t="shared" si="973"/>
        <v/>
      </c>
      <c r="W6307" t="str">
        <f t="shared" si="974"/>
        <v/>
      </c>
      <c r="X6307">
        <f t="shared" si="964"/>
        <v>0</v>
      </c>
      <c r="Z6307" t="str">
        <f t="shared" si="975"/>
        <v/>
      </c>
      <c r="AA6307">
        <f t="shared" si="965"/>
        <v>0</v>
      </c>
    </row>
    <row r="6308" spans="1:27" ht="21" customHeight="1" x14ac:dyDescent="0.95">
      <c r="A6308" s="56"/>
      <c r="B6308" s="57"/>
      <c r="C6308" s="57"/>
      <c r="D6308" s="57"/>
      <c r="E6308" s="56"/>
      <c r="F6308" s="57"/>
      <c r="G6308" s="57"/>
      <c r="H6308" s="56"/>
      <c r="I6308" s="56"/>
      <c r="J6308" s="58"/>
      <c r="K6308" s="58"/>
      <c r="L6308" s="13" t="str">
        <f t="shared" si="966"/>
        <v/>
      </c>
      <c r="M6308" s="13" t="str">
        <f t="shared" si="967"/>
        <v/>
      </c>
      <c r="Q6308" t="str">
        <f t="shared" si="968"/>
        <v/>
      </c>
      <c r="R6308" t="str">
        <f t="shared" si="969"/>
        <v/>
      </c>
      <c r="S6308" t="str">
        <f t="shared" si="970"/>
        <v/>
      </c>
      <c r="T6308" t="str">
        <f t="shared" si="971"/>
        <v/>
      </c>
      <c r="U6308" t="str">
        <f t="shared" si="972"/>
        <v/>
      </c>
      <c r="V6308" t="str">
        <f t="shared" si="973"/>
        <v/>
      </c>
      <c r="W6308" t="str">
        <f t="shared" si="974"/>
        <v/>
      </c>
      <c r="X6308">
        <f t="shared" si="964"/>
        <v>0</v>
      </c>
      <c r="Z6308" t="str">
        <f t="shared" si="975"/>
        <v/>
      </c>
      <c r="AA6308">
        <f t="shared" si="965"/>
        <v>0</v>
      </c>
    </row>
    <row r="6309" spans="1:27" ht="21" customHeight="1" x14ac:dyDescent="0.95">
      <c r="A6309" s="56"/>
      <c r="B6309" s="57"/>
      <c r="C6309" s="57"/>
      <c r="D6309" s="57"/>
      <c r="E6309" s="56"/>
      <c r="F6309" s="57"/>
      <c r="G6309" s="57"/>
      <c r="H6309" s="56"/>
      <c r="I6309" s="56"/>
      <c r="J6309" s="58"/>
      <c r="K6309" s="58"/>
      <c r="L6309" s="13" t="str">
        <f t="shared" si="966"/>
        <v/>
      </c>
      <c r="M6309" s="13" t="str">
        <f t="shared" si="967"/>
        <v/>
      </c>
      <c r="Q6309" t="str">
        <f t="shared" si="968"/>
        <v/>
      </c>
      <c r="R6309" t="str">
        <f t="shared" si="969"/>
        <v/>
      </c>
      <c r="S6309" t="str">
        <f t="shared" si="970"/>
        <v/>
      </c>
      <c r="T6309" t="str">
        <f t="shared" si="971"/>
        <v/>
      </c>
      <c r="U6309" t="str">
        <f t="shared" si="972"/>
        <v/>
      </c>
      <c r="V6309" t="str">
        <f t="shared" si="973"/>
        <v/>
      </c>
      <c r="W6309" t="str">
        <f t="shared" si="974"/>
        <v/>
      </c>
      <c r="X6309">
        <f t="shared" si="964"/>
        <v>0</v>
      </c>
      <c r="Z6309" t="str">
        <f t="shared" si="975"/>
        <v/>
      </c>
      <c r="AA6309">
        <f t="shared" si="965"/>
        <v>0</v>
      </c>
    </row>
    <row r="6310" spans="1:27" ht="21" customHeight="1" x14ac:dyDescent="0.95">
      <c r="A6310" s="56"/>
      <c r="B6310" s="57"/>
      <c r="C6310" s="57"/>
      <c r="D6310" s="57"/>
      <c r="E6310" s="56"/>
      <c r="F6310" s="57"/>
      <c r="G6310" s="57"/>
      <c r="H6310" s="56"/>
      <c r="I6310" s="56"/>
      <c r="J6310" s="58"/>
      <c r="K6310" s="58"/>
      <c r="L6310" s="13" t="str">
        <f t="shared" si="966"/>
        <v/>
      </c>
      <c r="M6310" s="13" t="str">
        <f t="shared" si="967"/>
        <v/>
      </c>
      <c r="Q6310" t="str">
        <f t="shared" si="968"/>
        <v/>
      </c>
      <c r="R6310" t="str">
        <f t="shared" si="969"/>
        <v/>
      </c>
      <c r="S6310" t="str">
        <f t="shared" si="970"/>
        <v/>
      </c>
      <c r="T6310" t="str">
        <f t="shared" si="971"/>
        <v/>
      </c>
      <c r="U6310" t="str">
        <f t="shared" si="972"/>
        <v/>
      </c>
      <c r="V6310" t="str">
        <f t="shared" si="973"/>
        <v/>
      </c>
      <c r="W6310" t="str">
        <f t="shared" si="974"/>
        <v/>
      </c>
      <c r="X6310">
        <f t="shared" si="964"/>
        <v>0</v>
      </c>
      <c r="Z6310" t="str">
        <f t="shared" si="975"/>
        <v/>
      </c>
      <c r="AA6310">
        <f t="shared" si="965"/>
        <v>0</v>
      </c>
    </row>
    <row r="6311" spans="1:27" ht="21" customHeight="1" x14ac:dyDescent="0.95">
      <c r="A6311" s="56"/>
      <c r="B6311" s="57"/>
      <c r="C6311" s="57"/>
      <c r="D6311" s="57"/>
      <c r="E6311" s="56"/>
      <c r="F6311" s="57"/>
      <c r="G6311" s="57"/>
      <c r="H6311" s="56"/>
      <c r="I6311" s="56"/>
      <c r="J6311" s="58"/>
      <c r="K6311" s="58"/>
      <c r="L6311" s="13" t="str">
        <f t="shared" si="966"/>
        <v/>
      </c>
      <c r="M6311" s="13" t="str">
        <f t="shared" si="967"/>
        <v/>
      </c>
      <c r="Q6311" t="str">
        <f t="shared" si="968"/>
        <v/>
      </c>
      <c r="R6311" t="str">
        <f t="shared" si="969"/>
        <v/>
      </c>
      <c r="S6311" t="str">
        <f t="shared" si="970"/>
        <v/>
      </c>
      <c r="T6311" t="str">
        <f t="shared" si="971"/>
        <v/>
      </c>
      <c r="U6311" t="str">
        <f t="shared" si="972"/>
        <v/>
      </c>
      <c r="V6311" t="str">
        <f t="shared" si="973"/>
        <v/>
      </c>
      <c r="W6311" t="str">
        <f t="shared" si="974"/>
        <v/>
      </c>
      <c r="X6311">
        <f t="shared" si="964"/>
        <v>0</v>
      </c>
      <c r="Z6311" t="str">
        <f t="shared" si="975"/>
        <v/>
      </c>
      <c r="AA6311">
        <f t="shared" si="965"/>
        <v>0</v>
      </c>
    </row>
    <row r="6312" spans="1:27" ht="21" customHeight="1" x14ac:dyDescent="0.95">
      <c r="A6312" s="56"/>
      <c r="B6312" s="57"/>
      <c r="C6312" s="57"/>
      <c r="D6312" s="57"/>
      <c r="E6312" s="56"/>
      <c r="F6312" s="57"/>
      <c r="G6312" s="57"/>
      <c r="H6312" s="56"/>
      <c r="I6312" s="56"/>
      <c r="J6312" s="58"/>
      <c r="K6312" s="58"/>
      <c r="L6312" s="13" t="str">
        <f t="shared" si="966"/>
        <v/>
      </c>
      <c r="M6312" s="13" t="str">
        <f t="shared" si="967"/>
        <v/>
      </c>
      <c r="Q6312" t="str">
        <f t="shared" si="968"/>
        <v/>
      </c>
      <c r="R6312" t="str">
        <f t="shared" si="969"/>
        <v/>
      </c>
      <c r="S6312" t="str">
        <f t="shared" si="970"/>
        <v/>
      </c>
      <c r="T6312" t="str">
        <f t="shared" si="971"/>
        <v/>
      </c>
      <c r="U6312" t="str">
        <f t="shared" si="972"/>
        <v/>
      </c>
      <c r="V6312" t="str">
        <f t="shared" si="973"/>
        <v/>
      </c>
      <c r="W6312" t="str">
        <f t="shared" si="974"/>
        <v/>
      </c>
      <c r="X6312">
        <f t="shared" si="964"/>
        <v>0</v>
      </c>
      <c r="Z6312" t="str">
        <f t="shared" si="975"/>
        <v/>
      </c>
      <c r="AA6312">
        <f t="shared" si="965"/>
        <v>0</v>
      </c>
    </row>
    <row r="6313" spans="1:27" ht="21" customHeight="1" x14ac:dyDescent="0.95">
      <c r="A6313" s="56"/>
      <c r="B6313" s="57"/>
      <c r="C6313" s="57"/>
      <c r="D6313" s="57"/>
      <c r="E6313" s="56"/>
      <c r="F6313" s="57"/>
      <c r="G6313" s="57"/>
      <c r="H6313" s="56"/>
      <c r="I6313" s="56"/>
      <c r="J6313" s="58"/>
      <c r="K6313" s="58"/>
      <c r="L6313" s="13" t="str">
        <f t="shared" si="966"/>
        <v/>
      </c>
      <c r="M6313" s="13" t="str">
        <f t="shared" si="967"/>
        <v/>
      </c>
      <c r="Q6313" t="str">
        <f t="shared" si="968"/>
        <v/>
      </c>
      <c r="R6313" t="str">
        <f t="shared" si="969"/>
        <v/>
      </c>
      <c r="S6313" t="str">
        <f t="shared" si="970"/>
        <v/>
      </c>
      <c r="T6313" t="str">
        <f t="shared" si="971"/>
        <v/>
      </c>
      <c r="U6313" t="str">
        <f t="shared" si="972"/>
        <v/>
      </c>
      <c r="V6313" t="str">
        <f t="shared" si="973"/>
        <v/>
      </c>
      <c r="W6313" t="str">
        <f t="shared" si="974"/>
        <v/>
      </c>
      <c r="X6313">
        <f t="shared" si="964"/>
        <v>0</v>
      </c>
      <c r="Z6313" t="str">
        <f t="shared" si="975"/>
        <v/>
      </c>
      <c r="AA6313">
        <f t="shared" si="965"/>
        <v>0</v>
      </c>
    </row>
    <row r="6314" spans="1:27" ht="21" customHeight="1" x14ac:dyDescent="0.95">
      <c r="A6314" s="56"/>
      <c r="B6314" s="57"/>
      <c r="C6314" s="57"/>
      <c r="D6314" s="57"/>
      <c r="E6314" s="56"/>
      <c r="F6314" s="57"/>
      <c r="G6314" s="57"/>
      <c r="H6314" s="56"/>
      <c r="I6314" s="56"/>
      <c r="J6314" s="58"/>
      <c r="K6314" s="58"/>
      <c r="L6314" s="13" t="str">
        <f t="shared" si="966"/>
        <v/>
      </c>
      <c r="M6314" s="13" t="str">
        <f t="shared" si="967"/>
        <v/>
      </c>
      <c r="Q6314" t="str">
        <f t="shared" si="968"/>
        <v/>
      </c>
      <c r="R6314" t="str">
        <f t="shared" si="969"/>
        <v/>
      </c>
      <c r="S6314" t="str">
        <f t="shared" si="970"/>
        <v/>
      </c>
      <c r="T6314" t="str">
        <f t="shared" si="971"/>
        <v/>
      </c>
      <c r="U6314" t="str">
        <f t="shared" si="972"/>
        <v/>
      </c>
      <c r="V6314" t="str">
        <f t="shared" si="973"/>
        <v/>
      </c>
      <c r="W6314" t="str">
        <f t="shared" si="974"/>
        <v/>
      </c>
      <c r="X6314">
        <f t="shared" si="964"/>
        <v>0</v>
      </c>
      <c r="Z6314" t="str">
        <f t="shared" si="975"/>
        <v/>
      </c>
      <c r="AA6314">
        <f t="shared" si="965"/>
        <v>0</v>
      </c>
    </row>
    <row r="6315" spans="1:27" ht="21" customHeight="1" x14ac:dyDescent="0.95">
      <c r="A6315" s="56"/>
      <c r="B6315" s="57"/>
      <c r="C6315" s="57"/>
      <c r="D6315" s="57"/>
      <c r="E6315" s="56"/>
      <c r="F6315" s="57"/>
      <c r="G6315" s="57"/>
      <c r="H6315" s="56"/>
      <c r="I6315" s="56"/>
      <c r="J6315" s="58"/>
      <c r="K6315" s="58"/>
      <c r="L6315" s="13" t="str">
        <f t="shared" si="966"/>
        <v/>
      </c>
      <c r="M6315" s="13" t="str">
        <f t="shared" si="967"/>
        <v/>
      </c>
      <c r="Q6315" t="str">
        <f t="shared" si="968"/>
        <v/>
      </c>
      <c r="R6315" t="str">
        <f t="shared" si="969"/>
        <v/>
      </c>
      <c r="S6315" t="str">
        <f t="shared" si="970"/>
        <v/>
      </c>
      <c r="T6315" t="str">
        <f t="shared" si="971"/>
        <v/>
      </c>
      <c r="U6315" t="str">
        <f t="shared" si="972"/>
        <v/>
      </c>
      <c r="V6315" t="str">
        <f t="shared" si="973"/>
        <v/>
      </c>
      <c r="W6315" t="str">
        <f t="shared" si="974"/>
        <v/>
      </c>
      <c r="X6315">
        <f t="shared" si="964"/>
        <v>0</v>
      </c>
      <c r="Z6315" t="str">
        <f t="shared" si="975"/>
        <v/>
      </c>
      <c r="AA6315">
        <f t="shared" si="965"/>
        <v>0</v>
      </c>
    </row>
    <row r="6316" spans="1:27" ht="21" customHeight="1" x14ac:dyDescent="0.95">
      <c r="A6316" s="56"/>
      <c r="B6316" s="57"/>
      <c r="C6316" s="57"/>
      <c r="D6316" s="57"/>
      <c r="E6316" s="56"/>
      <c r="F6316" s="57"/>
      <c r="G6316" s="57"/>
      <c r="H6316" s="56"/>
      <c r="I6316" s="56"/>
      <c r="J6316" s="58"/>
      <c r="K6316" s="58"/>
      <c r="L6316" s="13" t="str">
        <f t="shared" si="966"/>
        <v/>
      </c>
      <c r="M6316" s="13" t="str">
        <f t="shared" si="967"/>
        <v/>
      </c>
      <c r="Q6316" t="str">
        <f t="shared" si="968"/>
        <v/>
      </c>
      <c r="R6316" t="str">
        <f t="shared" si="969"/>
        <v/>
      </c>
      <c r="S6316" t="str">
        <f t="shared" si="970"/>
        <v/>
      </c>
      <c r="T6316" t="str">
        <f t="shared" si="971"/>
        <v/>
      </c>
      <c r="U6316" t="str">
        <f t="shared" si="972"/>
        <v/>
      </c>
      <c r="V6316" t="str">
        <f t="shared" si="973"/>
        <v/>
      </c>
      <c r="W6316" t="str">
        <f t="shared" si="974"/>
        <v/>
      </c>
      <c r="X6316">
        <f t="shared" si="964"/>
        <v>0</v>
      </c>
      <c r="Z6316" t="str">
        <f t="shared" si="975"/>
        <v/>
      </c>
      <c r="AA6316">
        <f t="shared" si="965"/>
        <v>0</v>
      </c>
    </row>
    <row r="6317" spans="1:27" ht="21" customHeight="1" x14ac:dyDescent="0.95">
      <c r="A6317" s="56"/>
      <c r="B6317" s="57"/>
      <c r="C6317" s="57"/>
      <c r="D6317" s="57"/>
      <c r="E6317" s="56"/>
      <c r="F6317" s="57"/>
      <c r="G6317" s="57"/>
      <c r="H6317" s="56"/>
      <c r="I6317" s="56"/>
      <c r="J6317" s="58"/>
      <c r="K6317" s="58"/>
      <c r="L6317" s="13" t="str">
        <f t="shared" si="966"/>
        <v/>
      </c>
      <c r="M6317" s="13" t="str">
        <f t="shared" si="967"/>
        <v/>
      </c>
      <c r="Q6317" t="str">
        <f t="shared" si="968"/>
        <v/>
      </c>
      <c r="R6317" t="str">
        <f t="shared" si="969"/>
        <v/>
      </c>
      <c r="S6317" t="str">
        <f t="shared" si="970"/>
        <v/>
      </c>
      <c r="T6317" t="str">
        <f t="shared" si="971"/>
        <v/>
      </c>
      <c r="U6317" t="str">
        <f t="shared" si="972"/>
        <v/>
      </c>
      <c r="V6317" t="str">
        <f t="shared" si="973"/>
        <v/>
      </c>
      <c r="W6317" t="str">
        <f t="shared" si="974"/>
        <v/>
      </c>
      <c r="X6317">
        <f t="shared" si="964"/>
        <v>0</v>
      </c>
      <c r="Z6317" t="str">
        <f t="shared" si="975"/>
        <v/>
      </c>
      <c r="AA6317">
        <f t="shared" si="965"/>
        <v>0</v>
      </c>
    </row>
    <row r="6318" spans="1:27" ht="21" customHeight="1" x14ac:dyDescent="0.95">
      <c r="A6318" s="56"/>
      <c r="B6318" s="57"/>
      <c r="C6318" s="57"/>
      <c r="D6318" s="57"/>
      <c r="E6318" s="56"/>
      <c r="F6318" s="57"/>
      <c r="G6318" s="57"/>
      <c r="H6318" s="56"/>
      <c r="I6318" s="56"/>
      <c r="J6318" s="58"/>
      <c r="K6318" s="58"/>
      <c r="L6318" s="13" t="str">
        <f t="shared" si="966"/>
        <v/>
      </c>
      <c r="M6318" s="13" t="str">
        <f t="shared" si="967"/>
        <v/>
      </c>
      <c r="Q6318" t="str">
        <f t="shared" si="968"/>
        <v/>
      </c>
      <c r="R6318" t="str">
        <f t="shared" si="969"/>
        <v/>
      </c>
      <c r="S6318" t="str">
        <f t="shared" si="970"/>
        <v/>
      </c>
      <c r="T6318" t="str">
        <f t="shared" si="971"/>
        <v/>
      </c>
      <c r="U6318" t="str">
        <f t="shared" si="972"/>
        <v/>
      </c>
      <c r="V6318" t="str">
        <f t="shared" si="973"/>
        <v/>
      </c>
      <c r="W6318" t="str">
        <f t="shared" si="974"/>
        <v/>
      </c>
      <c r="X6318">
        <f t="shared" si="964"/>
        <v>0</v>
      </c>
      <c r="Z6318" t="str">
        <f t="shared" si="975"/>
        <v/>
      </c>
      <c r="AA6318">
        <f t="shared" si="965"/>
        <v>0</v>
      </c>
    </row>
    <row r="6319" spans="1:27" ht="21" customHeight="1" x14ac:dyDescent="0.95">
      <c r="A6319" s="56"/>
      <c r="B6319" s="57"/>
      <c r="C6319" s="57"/>
      <c r="D6319" s="57"/>
      <c r="E6319" s="56"/>
      <c r="F6319" s="57"/>
      <c r="G6319" s="57"/>
      <c r="H6319" s="56"/>
      <c r="I6319" s="56"/>
      <c r="J6319" s="58"/>
      <c r="K6319" s="58"/>
      <c r="L6319" s="13" t="str">
        <f t="shared" si="966"/>
        <v/>
      </c>
      <c r="M6319" s="13" t="str">
        <f t="shared" si="967"/>
        <v/>
      </c>
      <c r="Q6319" t="str">
        <f t="shared" si="968"/>
        <v/>
      </c>
      <c r="R6319" t="str">
        <f t="shared" si="969"/>
        <v/>
      </c>
      <c r="S6319" t="str">
        <f t="shared" si="970"/>
        <v/>
      </c>
      <c r="T6319" t="str">
        <f t="shared" si="971"/>
        <v/>
      </c>
      <c r="U6319" t="str">
        <f t="shared" si="972"/>
        <v/>
      </c>
      <c r="V6319" t="str">
        <f t="shared" si="973"/>
        <v/>
      </c>
      <c r="W6319" t="str">
        <f t="shared" si="974"/>
        <v/>
      </c>
      <c r="X6319">
        <f t="shared" si="964"/>
        <v>0</v>
      </c>
      <c r="Z6319" t="str">
        <f t="shared" si="975"/>
        <v/>
      </c>
      <c r="AA6319">
        <f t="shared" si="965"/>
        <v>0</v>
      </c>
    </row>
    <row r="6320" spans="1:27" ht="21" customHeight="1" x14ac:dyDescent="0.95">
      <c r="A6320" s="56"/>
      <c r="B6320" s="57"/>
      <c r="C6320" s="57"/>
      <c r="D6320" s="57"/>
      <c r="E6320" s="56"/>
      <c r="F6320" s="57"/>
      <c r="G6320" s="57"/>
      <c r="H6320" s="56"/>
      <c r="I6320" s="56"/>
      <c r="J6320" s="58"/>
      <c r="K6320" s="58"/>
      <c r="L6320" s="13" t="str">
        <f t="shared" si="966"/>
        <v/>
      </c>
      <c r="M6320" s="13" t="str">
        <f t="shared" si="967"/>
        <v/>
      </c>
      <c r="Q6320" t="str">
        <f t="shared" si="968"/>
        <v/>
      </c>
      <c r="R6320" t="str">
        <f t="shared" si="969"/>
        <v/>
      </c>
      <c r="S6320" t="str">
        <f t="shared" si="970"/>
        <v/>
      </c>
      <c r="T6320" t="str">
        <f t="shared" si="971"/>
        <v/>
      </c>
      <c r="U6320" t="str">
        <f t="shared" si="972"/>
        <v/>
      </c>
      <c r="V6320" t="str">
        <f t="shared" si="973"/>
        <v/>
      </c>
      <c r="W6320" t="str">
        <f t="shared" si="974"/>
        <v/>
      </c>
      <c r="X6320">
        <f t="shared" si="964"/>
        <v>0</v>
      </c>
      <c r="Z6320" t="str">
        <f t="shared" si="975"/>
        <v/>
      </c>
      <c r="AA6320">
        <f t="shared" si="965"/>
        <v>0</v>
      </c>
    </row>
    <row r="6321" spans="1:27" ht="21" customHeight="1" x14ac:dyDescent="0.95">
      <c r="A6321" s="56"/>
      <c r="B6321" s="57"/>
      <c r="C6321" s="57"/>
      <c r="D6321" s="57"/>
      <c r="E6321" s="56"/>
      <c r="F6321" s="57"/>
      <c r="G6321" s="57"/>
      <c r="H6321" s="56"/>
      <c r="I6321" s="56"/>
      <c r="J6321" s="58"/>
      <c r="K6321" s="58"/>
      <c r="L6321" s="13" t="str">
        <f t="shared" si="966"/>
        <v/>
      </c>
      <c r="M6321" s="13" t="str">
        <f t="shared" si="967"/>
        <v/>
      </c>
      <c r="Q6321" t="str">
        <f t="shared" si="968"/>
        <v/>
      </c>
      <c r="R6321" t="str">
        <f t="shared" si="969"/>
        <v/>
      </c>
      <c r="S6321" t="str">
        <f t="shared" si="970"/>
        <v/>
      </c>
      <c r="T6321" t="str">
        <f t="shared" si="971"/>
        <v/>
      </c>
      <c r="U6321" t="str">
        <f t="shared" si="972"/>
        <v/>
      </c>
      <c r="V6321" t="str">
        <f t="shared" si="973"/>
        <v/>
      </c>
      <c r="W6321" t="str">
        <f t="shared" si="974"/>
        <v/>
      </c>
      <c r="X6321">
        <f t="shared" si="964"/>
        <v>0</v>
      </c>
      <c r="Z6321" t="str">
        <f t="shared" si="975"/>
        <v/>
      </c>
      <c r="AA6321">
        <f t="shared" si="965"/>
        <v>0</v>
      </c>
    </row>
    <row r="6322" spans="1:27" ht="21" customHeight="1" x14ac:dyDescent="0.95">
      <c r="A6322" s="56"/>
      <c r="B6322" s="57"/>
      <c r="C6322" s="57"/>
      <c r="D6322" s="57"/>
      <c r="E6322" s="56"/>
      <c r="F6322" s="57"/>
      <c r="G6322" s="57"/>
      <c r="H6322" s="56"/>
      <c r="I6322" s="56"/>
      <c r="J6322" s="58"/>
      <c r="K6322" s="58"/>
      <c r="L6322" s="13" t="str">
        <f t="shared" si="966"/>
        <v/>
      </c>
      <c r="M6322" s="13" t="str">
        <f t="shared" si="967"/>
        <v/>
      </c>
      <c r="Q6322" t="str">
        <f t="shared" si="968"/>
        <v/>
      </c>
      <c r="R6322" t="str">
        <f t="shared" si="969"/>
        <v/>
      </c>
      <c r="S6322" t="str">
        <f t="shared" si="970"/>
        <v/>
      </c>
      <c r="T6322" t="str">
        <f t="shared" si="971"/>
        <v/>
      </c>
      <c r="U6322" t="str">
        <f t="shared" si="972"/>
        <v/>
      </c>
      <c r="V6322" t="str">
        <f t="shared" si="973"/>
        <v/>
      </c>
      <c r="W6322" t="str">
        <f t="shared" si="974"/>
        <v/>
      </c>
      <c r="X6322">
        <f t="shared" si="964"/>
        <v>0</v>
      </c>
      <c r="Z6322" t="str">
        <f t="shared" si="975"/>
        <v/>
      </c>
      <c r="AA6322">
        <f t="shared" si="965"/>
        <v>0</v>
      </c>
    </row>
    <row r="6323" spans="1:27" ht="21" customHeight="1" x14ac:dyDescent="0.95">
      <c r="A6323" s="56"/>
      <c r="B6323" s="57"/>
      <c r="C6323" s="57"/>
      <c r="D6323" s="57"/>
      <c r="E6323" s="56"/>
      <c r="F6323" s="57"/>
      <c r="G6323" s="57"/>
      <c r="H6323" s="56"/>
      <c r="I6323" s="56"/>
      <c r="J6323" s="58"/>
      <c r="K6323" s="58"/>
      <c r="L6323" s="13" t="str">
        <f t="shared" si="966"/>
        <v/>
      </c>
      <c r="M6323" s="13" t="str">
        <f t="shared" si="967"/>
        <v/>
      </c>
      <c r="Q6323" t="str">
        <f t="shared" si="968"/>
        <v/>
      </c>
      <c r="R6323" t="str">
        <f t="shared" si="969"/>
        <v/>
      </c>
      <c r="S6323" t="str">
        <f t="shared" si="970"/>
        <v/>
      </c>
      <c r="T6323" t="str">
        <f t="shared" si="971"/>
        <v/>
      </c>
      <c r="U6323" t="str">
        <f t="shared" si="972"/>
        <v/>
      </c>
      <c r="V6323" t="str">
        <f t="shared" si="973"/>
        <v/>
      </c>
      <c r="W6323" t="str">
        <f t="shared" si="974"/>
        <v/>
      </c>
      <c r="X6323">
        <f t="shared" si="964"/>
        <v>0</v>
      </c>
      <c r="Z6323" t="str">
        <f t="shared" si="975"/>
        <v/>
      </c>
      <c r="AA6323">
        <f t="shared" si="965"/>
        <v>0</v>
      </c>
    </row>
    <row r="6324" spans="1:27" ht="21" customHeight="1" x14ac:dyDescent="0.95">
      <c r="A6324" s="56"/>
      <c r="B6324" s="57"/>
      <c r="C6324" s="57"/>
      <c r="D6324" s="57"/>
      <c r="E6324" s="56"/>
      <c r="F6324" s="57"/>
      <c r="G6324" s="57"/>
      <c r="H6324" s="56"/>
      <c r="I6324" s="56"/>
      <c r="J6324" s="58"/>
      <c r="K6324" s="58"/>
      <c r="L6324" s="13" t="str">
        <f t="shared" si="966"/>
        <v/>
      </c>
      <c r="M6324" s="13" t="str">
        <f t="shared" si="967"/>
        <v/>
      </c>
      <c r="Q6324" t="str">
        <f t="shared" si="968"/>
        <v/>
      </c>
      <c r="R6324" t="str">
        <f t="shared" si="969"/>
        <v/>
      </c>
      <c r="S6324" t="str">
        <f t="shared" si="970"/>
        <v/>
      </c>
      <c r="T6324" t="str">
        <f t="shared" si="971"/>
        <v/>
      </c>
      <c r="U6324" t="str">
        <f t="shared" si="972"/>
        <v/>
      </c>
      <c r="V6324" t="str">
        <f t="shared" si="973"/>
        <v/>
      </c>
      <c r="W6324" t="str">
        <f t="shared" si="974"/>
        <v/>
      </c>
      <c r="X6324">
        <f t="shared" si="964"/>
        <v>0</v>
      </c>
      <c r="Z6324" t="str">
        <f t="shared" si="975"/>
        <v/>
      </c>
      <c r="AA6324">
        <f t="shared" si="965"/>
        <v>0</v>
      </c>
    </row>
    <row r="6325" spans="1:27" ht="21" customHeight="1" x14ac:dyDescent="0.95">
      <c r="A6325" s="56"/>
      <c r="B6325" s="57"/>
      <c r="C6325" s="57"/>
      <c r="D6325" s="57"/>
      <c r="E6325" s="56"/>
      <c r="F6325" s="57"/>
      <c r="G6325" s="57"/>
      <c r="H6325" s="56"/>
      <c r="I6325" s="56"/>
      <c r="J6325" s="58"/>
      <c r="K6325" s="58"/>
      <c r="L6325" s="13" t="str">
        <f t="shared" si="966"/>
        <v/>
      </c>
      <c r="M6325" s="13" t="str">
        <f t="shared" si="967"/>
        <v/>
      </c>
      <c r="Q6325" t="str">
        <f t="shared" si="968"/>
        <v/>
      </c>
      <c r="R6325" t="str">
        <f t="shared" si="969"/>
        <v/>
      </c>
      <c r="S6325" t="str">
        <f t="shared" si="970"/>
        <v/>
      </c>
      <c r="T6325" t="str">
        <f t="shared" si="971"/>
        <v/>
      </c>
      <c r="U6325" t="str">
        <f t="shared" si="972"/>
        <v/>
      </c>
      <c r="V6325" t="str">
        <f t="shared" si="973"/>
        <v/>
      </c>
      <c r="W6325" t="str">
        <f t="shared" si="974"/>
        <v/>
      </c>
      <c r="X6325">
        <f t="shared" ref="X6325:X6388" si="976">IF($T6325="",N($X6324),IF(MATCH($T6325,$T$6:$T$10005,0)=ROW()-5,N($X6324)+1,N($X6324)))</f>
        <v>0</v>
      </c>
      <c r="Z6325" t="str">
        <f t="shared" si="975"/>
        <v/>
      </c>
      <c r="AA6325">
        <f t="shared" ref="AA6325:AA6388" si="977">IF($V6325="",N($AA6324),IF(MATCH($V6325,$V$6:$V$10005,0)=ROW()-5,N($AA6324)+1,N($AA6324)))</f>
        <v>0</v>
      </c>
    </row>
    <row r="6326" spans="1:27" ht="21" customHeight="1" x14ac:dyDescent="0.95">
      <c r="A6326" s="56"/>
      <c r="B6326" s="57"/>
      <c r="C6326" s="57"/>
      <c r="D6326" s="57"/>
      <c r="E6326" s="56"/>
      <c r="F6326" s="57"/>
      <c r="G6326" s="57"/>
      <c r="H6326" s="56"/>
      <c r="I6326" s="56"/>
      <c r="J6326" s="58"/>
      <c r="K6326" s="58"/>
      <c r="L6326" s="13" t="str">
        <f t="shared" si="966"/>
        <v/>
      </c>
      <c r="M6326" s="13" t="str">
        <f t="shared" si="967"/>
        <v/>
      </c>
      <c r="Q6326" t="str">
        <f t="shared" si="968"/>
        <v/>
      </c>
      <c r="R6326" t="str">
        <f t="shared" si="969"/>
        <v/>
      </c>
      <c r="S6326" t="str">
        <f t="shared" si="970"/>
        <v/>
      </c>
      <c r="T6326" t="str">
        <f t="shared" si="971"/>
        <v/>
      </c>
      <c r="U6326" t="str">
        <f t="shared" si="972"/>
        <v/>
      </c>
      <c r="V6326" t="str">
        <f t="shared" si="973"/>
        <v/>
      </c>
      <c r="W6326" t="str">
        <f t="shared" si="974"/>
        <v/>
      </c>
      <c r="X6326">
        <f t="shared" si="976"/>
        <v>0</v>
      </c>
      <c r="Z6326" t="str">
        <f t="shared" si="975"/>
        <v/>
      </c>
      <c r="AA6326">
        <f t="shared" si="977"/>
        <v>0</v>
      </c>
    </row>
    <row r="6327" spans="1:27" ht="21" customHeight="1" x14ac:dyDescent="0.95">
      <c r="A6327" s="56"/>
      <c r="B6327" s="57"/>
      <c r="C6327" s="57"/>
      <c r="D6327" s="57"/>
      <c r="E6327" s="56"/>
      <c r="F6327" s="57"/>
      <c r="G6327" s="57"/>
      <c r="H6327" s="56"/>
      <c r="I6327" s="56"/>
      <c r="J6327" s="58"/>
      <c r="K6327" s="58"/>
      <c r="L6327" s="13" t="str">
        <f t="shared" si="966"/>
        <v/>
      </c>
      <c r="M6327" s="13" t="str">
        <f t="shared" si="967"/>
        <v/>
      </c>
      <c r="Q6327" t="str">
        <f t="shared" si="968"/>
        <v/>
      </c>
      <c r="R6327" t="str">
        <f t="shared" si="969"/>
        <v/>
      </c>
      <c r="S6327" t="str">
        <f t="shared" si="970"/>
        <v/>
      </c>
      <c r="T6327" t="str">
        <f t="shared" si="971"/>
        <v/>
      </c>
      <c r="U6327" t="str">
        <f t="shared" si="972"/>
        <v/>
      </c>
      <c r="V6327" t="str">
        <f t="shared" si="973"/>
        <v/>
      </c>
      <c r="W6327" t="str">
        <f t="shared" si="974"/>
        <v/>
      </c>
      <c r="X6327">
        <f t="shared" si="976"/>
        <v>0</v>
      </c>
      <c r="Z6327" t="str">
        <f t="shared" si="975"/>
        <v/>
      </c>
      <c r="AA6327">
        <f t="shared" si="977"/>
        <v>0</v>
      </c>
    </row>
    <row r="6328" spans="1:27" ht="21" customHeight="1" x14ac:dyDescent="0.95">
      <c r="A6328" s="56"/>
      <c r="B6328" s="57"/>
      <c r="C6328" s="57"/>
      <c r="D6328" s="57"/>
      <c r="E6328" s="56"/>
      <c r="F6328" s="57"/>
      <c r="G6328" s="57"/>
      <c r="H6328" s="56"/>
      <c r="I6328" s="56"/>
      <c r="J6328" s="58"/>
      <c r="K6328" s="58"/>
      <c r="L6328" s="13" t="str">
        <f t="shared" si="966"/>
        <v/>
      </c>
      <c r="M6328" s="13" t="str">
        <f t="shared" si="967"/>
        <v/>
      </c>
      <c r="Q6328" t="str">
        <f t="shared" si="968"/>
        <v/>
      </c>
      <c r="R6328" t="str">
        <f t="shared" si="969"/>
        <v/>
      </c>
      <c r="S6328" t="str">
        <f t="shared" si="970"/>
        <v/>
      </c>
      <c r="T6328" t="str">
        <f t="shared" si="971"/>
        <v/>
      </c>
      <c r="U6328" t="str">
        <f t="shared" si="972"/>
        <v/>
      </c>
      <c r="V6328" t="str">
        <f t="shared" si="973"/>
        <v/>
      </c>
      <c r="W6328" t="str">
        <f t="shared" si="974"/>
        <v/>
      </c>
      <c r="X6328">
        <f t="shared" si="976"/>
        <v>0</v>
      </c>
      <c r="Z6328" t="str">
        <f t="shared" si="975"/>
        <v/>
      </c>
      <c r="AA6328">
        <f t="shared" si="977"/>
        <v>0</v>
      </c>
    </row>
    <row r="6329" spans="1:27" ht="21" customHeight="1" x14ac:dyDescent="0.95">
      <c r="A6329" s="56"/>
      <c r="B6329" s="57"/>
      <c r="C6329" s="57"/>
      <c r="D6329" s="57"/>
      <c r="E6329" s="56"/>
      <c r="F6329" s="57"/>
      <c r="G6329" s="57"/>
      <c r="H6329" s="56"/>
      <c r="I6329" s="56"/>
      <c r="J6329" s="58"/>
      <c r="K6329" s="58"/>
      <c r="L6329" s="13" t="str">
        <f t="shared" si="966"/>
        <v/>
      </c>
      <c r="M6329" s="13" t="str">
        <f t="shared" si="967"/>
        <v/>
      </c>
      <c r="Q6329" t="str">
        <f t="shared" si="968"/>
        <v/>
      </c>
      <c r="R6329" t="str">
        <f t="shared" si="969"/>
        <v/>
      </c>
      <c r="S6329" t="str">
        <f t="shared" si="970"/>
        <v/>
      </c>
      <c r="T6329" t="str">
        <f t="shared" si="971"/>
        <v/>
      </c>
      <c r="U6329" t="str">
        <f t="shared" si="972"/>
        <v/>
      </c>
      <c r="V6329" t="str">
        <f t="shared" si="973"/>
        <v/>
      </c>
      <c r="W6329" t="str">
        <f t="shared" si="974"/>
        <v/>
      </c>
      <c r="X6329">
        <f t="shared" si="976"/>
        <v>0</v>
      </c>
      <c r="Z6329" t="str">
        <f t="shared" si="975"/>
        <v/>
      </c>
      <c r="AA6329">
        <f t="shared" si="977"/>
        <v>0</v>
      </c>
    </row>
    <row r="6330" spans="1:27" ht="21" customHeight="1" x14ac:dyDescent="0.95">
      <c r="A6330" s="56"/>
      <c r="B6330" s="57"/>
      <c r="C6330" s="57"/>
      <c r="D6330" s="57"/>
      <c r="E6330" s="56"/>
      <c r="F6330" s="57"/>
      <c r="G6330" s="57"/>
      <c r="H6330" s="56"/>
      <c r="I6330" s="56"/>
      <c r="J6330" s="58"/>
      <c r="K6330" s="58"/>
      <c r="L6330" s="13" t="str">
        <f t="shared" si="966"/>
        <v/>
      </c>
      <c r="M6330" s="13" t="str">
        <f t="shared" si="967"/>
        <v/>
      </c>
      <c r="Q6330" t="str">
        <f t="shared" si="968"/>
        <v/>
      </c>
      <c r="R6330" t="str">
        <f t="shared" si="969"/>
        <v/>
      </c>
      <c r="S6330" t="str">
        <f t="shared" si="970"/>
        <v/>
      </c>
      <c r="T6330" t="str">
        <f t="shared" si="971"/>
        <v/>
      </c>
      <c r="U6330" t="str">
        <f t="shared" si="972"/>
        <v/>
      </c>
      <c r="V6330" t="str">
        <f t="shared" si="973"/>
        <v/>
      </c>
      <c r="W6330" t="str">
        <f t="shared" si="974"/>
        <v/>
      </c>
      <c r="X6330">
        <f t="shared" si="976"/>
        <v>0</v>
      </c>
      <c r="Z6330" t="str">
        <f t="shared" si="975"/>
        <v/>
      </c>
      <c r="AA6330">
        <f t="shared" si="977"/>
        <v>0</v>
      </c>
    </row>
    <row r="6331" spans="1:27" ht="21" customHeight="1" x14ac:dyDescent="0.95">
      <c r="A6331" s="56"/>
      <c r="B6331" s="57"/>
      <c r="C6331" s="57"/>
      <c r="D6331" s="57"/>
      <c r="E6331" s="56"/>
      <c r="F6331" s="57"/>
      <c r="G6331" s="57"/>
      <c r="H6331" s="56"/>
      <c r="I6331" s="56"/>
      <c r="J6331" s="58"/>
      <c r="K6331" s="58"/>
      <c r="L6331" s="13" t="str">
        <f t="shared" si="966"/>
        <v/>
      </c>
      <c r="M6331" s="13" t="str">
        <f t="shared" si="967"/>
        <v/>
      </c>
      <c r="Q6331" t="str">
        <f t="shared" si="968"/>
        <v/>
      </c>
      <c r="R6331" t="str">
        <f t="shared" si="969"/>
        <v/>
      </c>
      <c r="S6331" t="str">
        <f t="shared" si="970"/>
        <v/>
      </c>
      <c r="T6331" t="str">
        <f t="shared" si="971"/>
        <v/>
      </c>
      <c r="U6331" t="str">
        <f t="shared" si="972"/>
        <v/>
      </c>
      <c r="V6331" t="str">
        <f t="shared" si="973"/>
        <v/>
      </c>
      <c r="W6331" t="str">
        <f t="shared" si="974"/>
        <v/>
      </c>
      <c r="X6331">
        <f t="shared" si="976"/>
        <v>0</v>
      </c>
      <c r="Z6331" t="str">
        <f t="shared" si="975"/>
        <v/>
      </c>
      <c r="AA6331">
        <f t="shared" si="977"/>
        <v>0</v>
      </c>
    </row>
    <row r="6332" spans="1:27" ht="21" customHeight="1" x14ac:dyDescent="0.95">
      <c r="A6332" s="56"/>
      <c r="B6332" s="57"/>
      <c r="C6332" s="57"/>
      <c r="D6332" s="57"/>
      <c r="E6332" s="56"/>
      <c r="F6332" s="57"/>
      <c r="G6332" s="57"/>
      <c r="H6332" s="56"/>
      <c r="I6332" s="56"/>
      <c r="J6332" s="58"/>
      <c r="K6332" s="58"/>
      <c r="L6332" s="13" t="str">
        <f t="shared" si="966"/>
        <v/>
      </c>
      <c r="M6332" s="13" t="str">
        <f t="shared" si="967"/>
        <v/>
      </c>
      <c r="Q6332" t="str">
        <f t="shared" si="968"/>
        <v/>
      </c>
      <c r="R6332" t="str">
        <f t="shared" si="969"/>
        <v/>
      </c>
      <c r="S6332" t="str">
        <f t="shared" si="970"/>
        <v/>
      </c>
      <c r="T6332" t="str">
        <f t="shared" si="971"/>
        <v/>
      </c>
      <c r="U6332" t="str">
        <f t="shared" si="972"/>
        <v/>
      </c>
      <c r="V6332" t="str">
        <f t="shared" si="973"/>
        <v/>
      </c>
      <c r="W6332" t="str">
        <f t="shared" si="974"/>
        <v/>
      </c>
      <c r="X6332">
        <f t="shared" si="976"/>
        <v>0</v>
      </c>
      <c r="Z6332" t="str">
        <f t="shared" si="975"/>
        <v/>
      </c>
      <c r="AA6332">
        <f t="shared" si="977"/>
        <v>0</v>
      </c>
    </row>
    <row r="6333" spans="1:27" ht="21" customHeight="1" x14ac:dyDescent="0.95">
      <c r="A6333" s="56"/>
      <c r="B6333" s="57"/>
      <c r="C6333" s="57"/>
      <c r="D6333" s="57"/>
      <c r="E6333" s="56"/>
      <c r="F6333" s="57"/>
      <c r="G6333" s="57"/>
      <c r="H6333" s="56"/>
      <c r="I6333" s="56"/>
      <c r="J6333" s="58"/>
      <c r="K6333" s="58"/>
      <c r="L6333" s="13" t="str">
        <f t="shared" si="966"/>
        <v/>
      </c>
      <c r="M6333" s="13" t="str">
        <f t="shared" si="967"/>
        <v/>
      </c>
      <c r="Q6333" t="str">
        <f t="shared" si="968"/>
        <v/>
      </c>
      <c r="R6333" t="str">
        <f t="shared" si="969"/>
        <v/>
      </c>
      <c r="S6333" t="str">
        <f t="shared" si="970"/>
        <v/>
      </c>
      <c r="T6333" t="str">
        <f t="shared" si="971"/>
        <v/>
      </c>
      <c r="U6333" t="str">
        <f t="shared" si="972"/>
        <v/>
      </c>
      <c r="V6333" t="str">
        <f t="shared" si="973"/>
        <v/>
      </c>
      <c r="W6333" t="str">
        <f t="shared" si="974"/>
        <v/>
      </c>
      <c r="X6333">
        <f t="shared" si="976"/>
        <v>0</v>
      </c>
      <c r="Z6333" t="str">
        <f t="shared" si="975"/>
        <v/>
      </c>
      <c r="AA6333">
        <f t="shared" si="977"/>
        <v>0</v>
      </c>
    </row>
    <row r="6334" spans="1:27" ht="21" customHeight="1" x14ac:dyDescent="0.95">
      <c r="A6334" s="56"/>
      <c r="B6334" s="57"/>
      <c r="C6334" s="57"/>
      <c r="D6334" s="57"/>
      <c r="E6334" s="56"/>
      <c r="F6334" s="57"/>
      <c r="G6334" s="57"/>
      <c r="H6334" s="56"/>
      <c r="I6334" s="56"/>
      <c r="J6334" s="58"/>
      <c r="K6334" s="58"/>
      <c r="L6334" s="13" t="str">
        <f t="shared" si="966"/>
        <v/>
      </c>
      <c r="M6334" s="13" t="str">
        <f t="shared" si="967"/>
        <v/>
      </c>
      <c r="Q6334" t="str">
        <f t="shared" si="968"/>
        <v/>
      </c>
      <c r="R6334" t="str">
        <f t="shared" si="969"/>
        <v/>
      </c>
      <c r="S6334" t="str">
        <f t="shared" si="970"/>
        <v/>
      </c>
      <c r="T6334" t="str">
        <f t="shared" si="971"/>
        <v/>
      </c>
      <c r="U6334" t="str">
        <f t="shared" si="972"/>
        <v/>
      </c>
      <c r="V6334" t="str">
        <f t="shared" si="973"/>
        <v/>
      </c>
      <c r="W6334" t="str">
        <f t="shared" si="974"/>
        <v/>
      </c>
      <c r="X6334">
        <f t="shared" si="976"/>
        <v>0</v>
      </c>
      <c r="Z6334" t="str">
        <f t="shared" si="975"/>
        <v/>
      </c>
      <c r="AA6334">
        <f t="shared" si="977"/>
        <v>0</v>
      </c>
    </row>
    <row r="6335" spans="1:27" ht="21" customHeight="1" x14ac:dyDescent="0.95">
      <c r="A6335" s="56"/>
      <c r="B6335" s="57"/>
      <c r="C6335" s="57"/>
      <c r="D6335" s="57"/>
      <c r="E6335" s="56"/>
      <c r="F6335" s="57"/>
      <c r="G6335" s="57"/>
      <c r="H6335" s="56"/>
      <c r="I6335" s="56"/>
      <c r="J6335" s="58"/>
      <c r="K6335" s="58"/>
      <c r="L6335" s="13" t="str">
        <f t="shared" si="966"/>
        <v/>
      </c>
      <c r="M6335" s="13" t="str">
        <f t="shared" si="967"/>
        <v/>
      </c>
      <c r="Q6335" t="str">
        <f t="shared" si="968"/>
        <v/>
      </c>
      <c r="R6335" t="str">
        <f t="shared" si="969"/>
        <v/>
      </c>
      <c r="S6335" t="str">
        <f t="shared" si="970"/>
        <v/>
      </c>
      <c r="T6335" t="str">
        <f t="shared" si="971"/>
        <v/>
      </c>
      <c r="U6335" t="str">
        <f t="shared" si="972"/>
        <v/>
      </c>
      <c r="V6335" t="str">
        <f t="shared" si="973"/>
        <v/>
      </c>
      <c r="W6335" t="str">
        <f t="shared" si="974"/>
        <v/>
      </c>
      <c r="X6335">
        <f t="shared" si="976"/>
        <v>0</v>
      </c>
      <c r="Z6335" t="str">
        <f t="shared" si="975"/>
        <v/>
      </c>
      <c r="AA6335">
        <f t="shared" si="977"/>
        <v>0</v>
      </c>
    </row>
    <row r="6336" spans="1:27" ht="21" customHeight="1" x14ac:dyDescent="0.95">
      <c r="A6336" s="56"/>
      <c r="B6336" s="57"/>
      <c r="C6336" s="57"/>
      <c r="D6336" s="57"/>
      <c r="E6336" s="56"/>
      <c r="F6336" s="57"/>
      <c r="G6336" s="57"/>
      <c r="H6336" s="56"/>
      <c r="I6336" s="56"/>
      <c r="J6336" s="58"/>
      <c r="K6336" s="58"/>
      <c r="L6336" s="13" t="str">
        <f t="shared" si="966"/>
        <v/>
      </c>
      <c r="M6336" s="13" t="str">
        <f t="shared" si="967"/>
        <v/>
      </c>
      <c r="Q6336" t="str">
        <f t="shared" si="968"/>
        <v/>
      </c>
      <c r="R6336" t="str">
        <f t="shared" si="969"/>
        <v/>
      </c>
      <c r="S6336" t="str">
        <f t="shared" si="970"/>
        <v/>
      </c>
      <c r="T6336" t="str">
        <f t="shared" si="971"/>
        <v/>
      </c>
      <c r="U6336" t="str">
        <f t="shared" si="972"/>
        <v/>
      </c>
      <c r="V6336" t="str">
        <f t="shared" si="973"/>
        <v/>
      </c>
      <c r="W6336" t="str">
        <f t="shared" si="974"/>
        <v/>
      </c>
      <c r="X6336">
        <f t="shared" si="976"/>
        <v>0</v>
      </c>
      <c r="Z6336" t="str">
        <f t="shared" si="975"/>
        <v/>
      </c>
      <c r="AA6336">
        <f t="shared" si="977"/>
        <v>0</v>
      </c>
    </row>
    <row r="6337" spans="1:27" ht="21" customHeight="1" x14ac:dyDescent="0.95">
      <c r="A6337" s="56"/>
      <c r="B6337" s="57"/>
      <c r="C6337" s="57"/>
      <c r="D6337" s="57"/>
      <c r="E6337" s="56"/>
      <c r="F6337" s="57"/>
      <c r="G6337" s="57"/>
      <c r="H6337" s="56"/>
      <c r="I6337" s="56"/>
      <c r="J6337" s="58"/>
      <c r="K6337" s="58"/>
      <c r="L6337" s="13" t="str">
        <f t="shared" si="966"/>
        <v/>
      </c>
      <c r="M6337" s="13" t="str">
        <f t="shared" si="967"/>
        <v/>
      </c>
      <c r="Q6337" t="str">
        <f t="shared" si="968"/>
        <v/>
      </c>
      <c r="R6337" t="str">
        <f t="shared" si="969"/>
        <v/>
      </c>
      <c r="S6337" t="str">
        <f t="shared" si="970"/>
        <v/>
      </c>
      <c r="T6337" t="str">
        <f t="shared" si="971"/>
        <v/>
      </c>
      <c r="U6337" t="str">
        <f t="shared" si="972"/>
        <v/>
      </c>
      <c r="V6337" t="str">
        <f t="shared" si="973"/>
        <v/>
      </c>
      <c r="W6337" t="str">
        <f t="shared" si="974"/>
        <v/>
      </c>
      <c r="X6337">
        <f t="shared" si="976"/>
        <v>0</v>
      </c>
      <c r="Z6337" t="str">
        <f t="shared" si="975"/>
        <v/>
      </c>
      <c r="AA6337">
        <f t="shared" si="977"/>
        <v>0</v>
      </c>
    </row>
    <row r="6338" spans="1:27" ht="21" customHeight="1" x14ac:dyDescent="0.95">
      <c r="A6338" s="56"/>
      <c r="B6338" s="57"/>
      <c r="C6338" s="57"/>
      <c r="D6338" s="57"/>
      <c r="E6338" s="56"/>
      <c r="F6338" s="57"/>
      <c r="G6338" s="57"/>
      <c r="H6338" s="56"/>
      <c r="I6338" s="56"/>
      <c r="J6338" s="58"/>
      <c r="K6338" s="58"/>
      <c r="L6338" s="13" t="str">
        <f t="shared" si="966"/>
        <v/>
      </c>
      <c r="M6338" s="13" t="str">
        <f t="shared" si="967"/>
        <v/>
      </c>
      <c r="Q6338" t="str">
        <f t="shared" si="968"/>
        <v/>
      </c>
      <c r="R6338" t="str">
        <f t="shared" si="969"/>
        <v/>
      </c>
      <c r="S6338" t="str">
        <f t="shared" si="970"/>
        <v/>
      </c>
      <c r="T6338" t="str">
        <f t="shared" si="971"/>
        <v/>
      </c>
      <c r="U6338" t="str">
        <f t="shared" si="972"/>
        <v/>
      </c>
      <c r="V6338" t="str">
        <f t="shared" si="973"/>
        <v/>
      </c>
      <c r="W6338" t="str">
        <f t="shared" si="974"/>
        <v/>
      </c>
      <c r="X6338">
        <f t="shared" si="976"/>
        <v>0</v>
      </c>
      <c r="Z6338" t="str">
        <f t="shared" si="975"/>
        <v/>
      </c>
      <c r="AA6338">
        <f t="shared" si="977"/>
        <v>0</v>
      </c>
    </row>
    <row r="6339" spans="1:27" ht="21" customHeight="1" x14ac:dyDescent="0.95">
      <c r="A6339" s="56"/>
      <c r="B6339" s="57"/>
      <c r="C6339" s="57"/>
      <c r="D6339" s="57"/>
      <c r="E6339" s="56"/>
      <c r="F6339" s="57"/>
      <c r="G6339" s="57"/>
      <c r="H6339" s="56"/>
      <c r="I6339" s="56"/>
      <c r="J6339" s="58"/>
      <c r="K6339" s="58"/>
      <c r="L6339" s="13" t="str">
        <f t="shared" si="966"/>
        <v/>
      </c>
      <c r="M6339" s="13" t="str">
        <f t="shared" si="967"/>
        <v/>
      </c>
      <c r="Q6339" t="str">
        <f t="shared" si="968"/>
        <v/>
      </c>
      <c r="R6339" t="str">
        <f t="shared" si="969"/>
        <v/>
      </c>
      <c r="S6339" t="str">
        <f t="shared" si="970"/>
        <v/>
      </c>
      <c r="T6339" t="str">
        <f t="shared" si="971"/>
        <v/>
      </c>
      <c r="U6339" t="str">
        <f t="shared" si="972"/>
        <v/>
      </c>
      <c r="V6339" t="str">
        <f t="shared" si="973"/>
        <v/>
      </c>
      <c r="W6339" t="str">
        <f t="shared" si="974"/>
        <v/>
      </c>
      <c r="X6339">
        <f t="shared" si="976"/>
        <v>0</v>
      </c>
      <c r="Z6339" t="str">
        <f t="shared" si="975"/>
        <v/>
      </c>
      <c r="AA6339">
        <f t="shared" si="977"/>
        <v>0</v>
      </c>
    </row>
    <row r="6340" spans="1:27" ht="21" customHeight="1" x14ac:dyDescent="0.95">
      <c r="A6340" s="56"/>
      <c r="B6340" s="57"/>
      <c r="C6340" s="57"/>
      <c r="D6340" s="57"/>
      <c r="E6340" s="56"/>
      <c r="F6340" s="57"/>
      <c r="G6340" s="57"/>
      <c r="H6340" s="56"/>
      <c r="I6340" s="56"/>
      <c r="J6340" s="58"/>
      <c r="K6340" s="58"/>
      <c r="L6340" s="13" t="str">
        <f t="shared" ref="L6340:L6403" si="978">IF(OR($A6340="",AND($J6340="",$K6340="")),"",ROUND(N($J6340)-N($K6340),2))</f>
        <v/>
      </c>
      <c r="M6340" s="13" t="str">
        <f t="shared" ref="M6340:M6403" si="979">IF(OR($A6340="",AND($J6340="",$K6340="")),"",MIN($J6340,$K6340))</f>
        <v/>
      </c>
      <c r="Q6340" t="str">
        <f t="shared" ref="Q6340:Q6403" si="980">IF($A6340="","",$D6340&amp;"("&amp;SUBSTITUTE($E6340," ","")&amp;")")</f>
        <v/>
      </c>
      <c r="R6340" t="str">
        <f t="shared" ref="R6340:R6403" si="981">IF($A6340="","",$B6340&amp;" - "&amp;$C6340)</f>
        <v/>
      </c>
      <c r="S6340" t="str">
        <f t="shared" ref="S6340:S6403" si="982">IF($A6340="","",$R6340&amp;"|"&amp;$Q6340)</f>
        <v/>
      </c>
      <c r="T6340" t="str">
        <f t="shared" ref="T6340:T6403" si="983">IF($A6340="","",$S6340&amp;"|"&amp;$F6340)</f>
        <v/>
      </c>
      <c r="U6340" t="str">
        <f t="shared" ref="U6340:U6403" si="984">IF($A6340="","",$R6340&amp;"("&amp;$E6340&amp;")")</f>
        <v/>
      </c>
      <c r="V6340" t="str">
        <f t="shared" ref="V6340:V6403" si="985">IF($A6340="","",$F6340&amp;"|"&amp;$U6340&amp;"|"&amp;$D6340)</f>
        <v/>
      </c>
      <c r="W6340" t="str">
        <f t="shared" si="974"/>
        <v/>
      </c>
      <c r="X6340">
        <f t="shared" si="976"/>
        <v>0</v>
      </c>
      <c r="Z6340" t="str">
        <f t="shared" si="975"/>
        <v/>
      </c>
      <c r="AA6340">
        <f t="shared" si="977"/>
        <v>0</v>
      </c>
    </row>
    <row r="6341" spans="1:27" ht="21" customHeight="1" x14ac:dyDescent="0.95">
      <c r="A6341" s="56"/>
      <c r="B6341" s="57"/>
      <c r="C6341" s="57"/>
      <c r="D6341" s="57"/>
      <c r="E6341" s="56"/>
      <c r="F6341" s="57"/>
      <c r="G6341" s="57"/>
      <c r="H6341" s="56"/>
      <c r="I6341" s="56"/>
      <c r="J6341" s="58"/>
      <c r="K6341" s="58"/>
      <c r="L6341" s="13" t="str">
        <f t="shared" si="978"/>
        <v/>
      </c>
      <c r="M6341" s="13" t="str">
        <f t="shared" si="979"/>
        <v/>
      </c>
      <c r="Q6341" t="str">
        <f t="shared" si="980"/>
        <v/>
      </c>
      <c r="R6341" t="str">
        <f t="shared" si="981"/>
        <v/>
      </c>
      <c r="S6341" t="str">
        <f t="shared" si="982"/>
        <v/>
      </c>
      <c r="T6341" t="str">
        <f t="shared" si="983"/>
        <v/>
      </c>
      <c r="U6341" t="str">
        <f t="shared" si="984"/>
        <v/>
      </c>
      <c r="V6341" t="str">
        <f t="shared" si="985"/>
        <v/>
      </c>
      <c r="W6341" t="str">
        <f t="shared" si="974"/>
        <v/>
      </c>
      <c r="X6341">
        <f t="shared" si="976"/>
        <v>0</v>
      </c>
      <c r="Z6341" t="str">
        <f t="shared" si="975"/>
        <v/>
      </c>
      <c r="AA6341">
        <f t="shared" si="977"/>
        <v>0</v>
      </c>
    </row>
    <row r="6342" spans="1:27" ht="21" customHeight="1" x14ac:dyDescent="0.95">
      <c r="A6342" s="56"/>
      <c r="B6342" s="57"/>
      <c r="C6342" s="57"/>
      <c r="D6342" s="57"/>
      <c r="E6342" s="56"/>
      <c r="F6342" s="57"/>
      <c r="G6342" s="57"/>
      <c r="H6342" s="56"/>
      <c r="I6342" s="56"/>
      <c r="J6342" s="58"/>
      <c r="K6342" s="58"/>
      <c r="L6342" s="13" t="str">
        <f t="shared" si="978"/>
        <v/>
      </c>
      <c r="M6342" s="13" t="str">
        <f t="shared" si="979"/>
        <v/>
      </c>
      <c r="Q6342" t="str">
        <f t="shared" si="980"/>
        <v/>
      </c>
      <c r="R6342" t="str">
        <f t="shared" si="981"/>
        <v/>
      </c>
      <c r="S6342" t="str">
        <f t="shared" si="982"/>
        <v/>
      </c>
      <c r="T6342" t="str">
        <f t="shared" si="983"/>
        <v/>
      </c>
      <c r="U6342" t="str">
        <f t="shared" si="984"/>
        <v/>
      </c>
      <c r="V6342" t="str">
        <f t="shared" si="985"/>
        <v/>
      </c>
      <c r="W6342" t="str">
        <f t="shared" ref="W6342:W6405" si="986">IF($T6342="","",IF($X6342&gt;N($X6341),$X6342,""))</f>
        <v/>
      </c>
      <c r="X6342">
        <f t="shared" si="976"/>
        <v>0</v>
      </c>
      <c r="Z6342" t="str">
        <f t="shared" ref="Z6342:Z6405" si="987">IF($V6342="","",IF($AA6342&gt;N($AA6341),$AA6342,""))</f>
        <v/>
      </c>
      <c r="AA6342">
        <f t="shared" si="977"/>
        <v>0</v>
      </c>
    </row>
    <row r="6343" spans="1:27" ht="21" customHeight="1" x14ac:dyDescent="0.95">
      <c r="A6343" s="56"/>
      <c r="B6343" s="57"/>
      <c r="C6343" s="57"/>
      <c r="D6343" s="57"/>
      <c r="E6343" s="56"/>
      <c r="F6343" s="57"/>
      <c r="G6343" s="57"/>
      <c r="H6343" s="56"/>
      <c r="I6343" s="56"/>
      <c r="J6343" s="58"/>
      <c r="K6343" s="58"/>
      <c r="L6343" s="13" t="str">
        <f t="shared" si="978"/>
        <v/>
      </c>
      <c r="M6343" s="13" t="str">
        <f t="shared" si="979"/>
        <v/>
      </c>
      <c r="Q6343" t="str">
        <f t="shared" si="980"/>
        <v/>
      </c>
      <c r="R6343" t="str">
        <f t="shared" si="981"/>
        <v/>
      </c>
      <c r="S6343" t="str">
        <f t="shared" si="982"/>
        <v/>
      </c>
      <c r="T6343" t="str">
        <f t="shared" si="983"/>
        <v/>
      </c>
      <c r="U6343" t="str">
        <f t="shared" si="984"/>
        <v/>
      </c>
      <c r="V6343" t="str">
        <f t="shared" si="985"/>
        <v/>
      </c>
      <c r="W6343" t="str">
        <f t="shared" si="986"/>
        <v/>
      </c>
      <c r="X6343">
        <f t="shared" si="976"/>
        <v>0</v>
      </c>
      <c r="Z6343" t="str">
        <f t="shared" si="987"/>
        <v/>
      </c>
      <c r="AA6343">
        <f t="shared" si="977"/>
        <v>0</v>
      </c>
    </row>
    <row r="6344" spans="1:27" ht="21" customHeight="1" x14ac:dyDescent="0.95">
      <c r="A6344" s="56"/>
      <c r="B6344" s="57"/>
      <c r="C6344" s="57"/>
      <c r="D6344" s="57"/>
      <c r="E6344" s="56"/>
      <c r="F6344" s="57"/>
      <c r="G6344" s="57"/>
      <c r="H6344" s="56"/>
      <c r="I6344" s="56"/>
      <c r="J6344" s="58"/>
      <c r="K6344" s="58"/>
      <c r="L6344" s="13" t="str">
        <f t="shared" si="978"/>
        <v/>
      </c>
      <c r="M6344" s="13" t="str">
        <f t="shared" si="979"/>
        <v/>
      </c>
      <c r="Q6344" t="str">
        <f t="shared" si="980"/>
        <v/>
      </c>
      <c r="R6344" t="str">
        <f t="shared" si="981"/>
        <v/>
      </c>
      <c r="S6344" t="str">
        <f t="shared" si="982"/>
        <v/>
      </c>
      <c r="T6344" t="str">
        <f t="shared" si="983"/>
        <v/>
      </c>
      <c r="U6344" t="str">
        <f t="shared" si="984"/>
        <v/>
      </c>
      <c r="V6344" t="str">
        <f t="shared" si="985"/>
        <v/>
      </c>
      <c r="W6344" t="str">
        <f t="shared" si="986"/>
        <v/>
      </c>
      <c r="X6344">
        <f t="shared" si="976"/>
        <v>0</v>
      </c>
      <c r="Z6344" t="str">
        <f t="shared" si="987"/>
        <v/>
      </c>
      <c r="AA6344">
        <f t="shared" si="977"/>
        <v>0</v>
      </c>
    </row>
    <row r="6345" spans="1:27" ht="21" customHeight="1" x14ac:dyDescent="0.95">
      <c r="A6345" s="56"/>
      <c r="B6345" s="57"/>
      <c r="C6345" s="57"/>
      <c r="D6345" s="57"/>
      <c r="E6345" s="56"/>
      <c r="F6345" s="57"/>
      <c r="G6345" s="57"/>
      <c r="H6345" s="56"/>
      <c r="I6345" s="56"/>
      <c r="J6345" s="58"/>
      <c r="K6345" s="58"/>
      <c r="L6345" s="13" t="str">
        <f t="shared" si="978"/>
        <v/>
      </c>
      <c r="M6345" s="13" t="str">
        <f t="shared" si="979"/>
        <v/>
      </c>
      <c r="Q6345" t="str">
        <f t="shared" si="980"/>
        <v/>
      </c>
      <c r="R6345" t="str">
        <f t="shared" si="981"/>
        <v/>
      </c>
      <c r="S6345" t="str">
        <f t="shared" si="982"/>
        <v/>
      </c>
      <c r="T6345" t="str">
        <f t="shared" si="983"/>
        <v/>
      </c>
      <c r="U6345" t="str">
        <f t="shared" si="984"/>
        <v/>
      </c>
      <c r="V6345" t="str">
        <f t="shared" si="985"/>
        <v/>
      </c>
      <c r="W6345" t="str">
        <f t="shared" si="986"/>
        <v/>
      </c>
      <c r="X6345">
        <f t="shared" si="976"/>
        <v>0</v>
      </c>
      <c r="Z6345" t="str">
        <f t="shared" si="987"/>
        <v/>
      </c>
      <c r="AA6345">
        <f t="shared" si="977"/>
        <v>0</v>
      </c>
    </row>
    <row r="6346" spans="1:27" ht="21" customHeight="1" x14ac:dyDescent="0.95">
      <c r="A6346" s="56"/>
      <c r="B6346" s="57"/>
      <c r="C6346" s="57"/>
      <c r="D6346" s="57"/>
      <c r="E6346" s="56"/>
      <c r="F6346" s="57"/>
      <c r="G6346" s="57"/>
      <c r="H6346" s="56"/>
      <c r="I6346" s="56"/>
      <c r="J6346" s="58"/>
      <c r="K6346" s="58"/>
      <c r="L6346" s="13" t="str">
        <f t="shared" si="978"/>
        <v/>
      </c>
      <c r="M6346" s="13" t="str">
        <f t="shared" si="979"/>
        <v/>
      </c>
      <c r="Q6346" t="str">
        <f t="shared" si="980"/>
        <v/>
      </c>
      <c r="R6346" t="str">
        <f t="shared" si="981"/>
        <v/>
      </c>
      <c r="S6346" t="str">
        <f t="shared" si="982"/>
        <v/>
      </c>
      <c r="T6346" t="str">
        <f t="shared" si="983"/>
        <v/>
      </c>
      <c r="U6346" t="str">
        <f t="shared" si="984"/>
        <v/>
      </c>
      <c r="V6346" t="str">
        <f t="shared" si="985"/>
        <v/>
      </c>
      <c r="W6346" t="str">
        <f t="shared" si="986"/>
        <v/>
      </c>
      <c r="X6346">
        <f t="shared" si="976"/>
        <v>0</v>
      </c>
      <c r="Z6346" t="str">
        <f t="shared" si="987"/>
        <v/>
      </c>
      <c r="AA6346">
        <f t="shared" si="977"/>
        <v>0</v>
      </c>
    </row>
    <row r="6347" spans="1:27" ht="21" customHeight="1" x14ac:dyDescent="0.95">
      <c r="A6347" s="56"/>
      <c r="B6347" s="57"/>
      <c r="C6347" s="57"/>
      <c r="D6347" s="57"/>
      <c r="E6347" s="56"/>
      <c r="F6347" s="57"/>
      <c r="G6347" s="57"/>
      <c r="H6347" s="56"/>
      <c r="I6347" s="56"/>
      <c r="J6347" s="58"/>
      <c r="K6347" s="58"/>
      <c r="L6347" s="13" t="str">
        <f t="shared" si="978"/>
        <v/>
      </c>
      <c r="M6347" s="13" t="str">
        <f t="shared" si="979"/>
        <v/>
      </c>
      <c r="Q6347" t="str">
        <f t="shared" si="980"/>
        <v/>
      </c>
      <c r="R6347" t="str">
        <f t="shared" si="981"/>
        <v/>
      </c>
      <c r="S6347" t="str">
        <f t="shared" si="982"/>
        <v/>
      </c>
      <c r="T6347" t="str">
        <f t="shared" si="983"/>
        <v/>
      </c>
      <c r="U6347" t="str">
        <f t="shared" si="984"/>
        <v/>
      </c>
      <c r="V6347" t="str">
        <f t="shared" si="985"/>
        <v/>
      </c>
      <c r="W6347" t="str">
        <f t="shared" si="986"/>
        <v/>
      </c>
      <c r="X6347">
        <f t="shared" si="976"/>
        <v>0</v>
      </c>
      <c r="Z6347" t="str">
        <f t="shared" si="987"/>
        <v/>
      </c>
      <c r="AA6347">
        <f t="shared" si="977"/>
        <v>0</v>
      </c>
    </row>
    <row r="6348" spans="1:27" ht="21" customHeight="1" x14ac:dyDescent="0.95">
      <c r="A6348" s="56"/>
      <c r="B6348" s="57"/>
      <c r="C6348" s="57"/>
      <c r="D6348" s="57"/>
      <c r="E6348" s="56"/>
      <c r="F6348" s="57"/>
      <c r="G6348" s="57"/>
      <c r="H6348" s="56"/>
      <c r="I6348" s="56"/>
      <c r="J6348" s="58"/>
      <c r="K6348" s="58"/>
      <c r="L6348" s="13" t="str">
        <f t="shared" si="978"/>
        <v/>
      </c>
      <c r="M6348" s="13" t="str">
        <f t="shared" si="979"/>
        <v/>
      </c>
      <c r="Q6348" t="str">
        <f t="shared" si="980"/>
        <v/>
      </c>
      <c r="R6348" t="str">
        <f t="shared" si="981"/>
        <v/>
      </c>
      <c r="S6348" t="str">
        <f t="shared" si="982"/>
        <v/>
      </c>
      <c r="T6348" t="str">
        <f t="shared" si="983"/>
        <v/>
      </c>
      <c r="U6348" t="str">
        <f t="shared" si="984"/>
        <v/>
      </c>
      <c r="V6348" t="str">
        <f t="shared" si="985"/>
        <v/>
      </c>
      <c r="W6348" t="str">
        <f t="shared" si="986"/>
        <v/>
      </c>
      <c r="X6348">
        <f t="shared" si="976"/>
        <v>0</v>
      </c>
      <c r="Z6348" t="str">
        <f t="shared" si="987"/>
        <v/>
      </c>
      <c r="AA6348">
        <f t="shared" si="977"/>
        <v>0</v>
      </c>
    </row>
    <row r="6349" spans="1:27" ht="21" customHeight="1" x14ac:dyDescent="0.95">
      <c r="A6349" s="56"/>
      <c r="B6349" s="57"/>
      <c r="C6349" s="57"/>
      <c r="D6349" s="57"/>
      <c r="E6349" s="56"/>
      <c r="F6349" s="57"/>
      <c r="G6349" s="57"/>
      <c r="H6349" s="56"/>
      <c r="I6349" s="56"/>
      <c r="J6349" s="58"/>
      <c r="K6349" s="58"/>
      <c r="L6349" s="13" t="str">
        <f t="shared" si="978"/>
        <v/>
      </c>
      <c r="M6349" s="13" t="str">
        <f t="shared" si="979"/>
        <v/>
      </c>
      <c r="Q6349" t="str">
        <f t="shared" si="980"/>
        <v/>
      </c>
      <c r="R6349" t="str">
        <f t="shared" si="981"/>
        <v/>
      </c>
      <c r="S6349" t="str">
        <f t="shared" si="982"/>
        <v/>
      </c>
      <c r="T6349" t="str">
        <f t="shared" si="983"/>
        <v/>
      </c>
      <c r="U6349" t="str">
        <f t="shared" si="984"/>
        <v/>
      </c>
      <c r="V6349" t="str">
        <f t="shared" si="985"/>
        <v/>
      </c>
      <c r="W6349" t="str">
        <f t="shared" si="986"/>
        <v/>
      </c>
      <c r="X6349">
        <f t="shared" si="976"/>
        <v>0</v>
      </c>
      <c r="Z6349" t="str">
        <f t="shared" si="987"/>
        <v/>
      </c>
      <c r="AA6349">
        <f t="shared" si="977"/>
        <v>0</v>
      </c>
    </row>
    <row r="6350" spans="1:27" ht="21" customHeight="1" x14ac:dyDescent="0.95">
      <c r="A6350" s="56"/>
      <c r="B6350" s="57"/>
      <c r="C6350" s="57"/>
      <c r="D6350" s="57"/>
      <c r="E6350" s="56"/>
      <c r="F6350" s="57"/>
      <c r="G6350" s="57"/>
      <c r="H6350" s="56"/>
      <c r="I6350" s="56"/>
      <c r="J6350" s="58"/>
      <c r="K6350" s="58"/>
      <c r="L6350" s="13" t="str">
        <f t="shared" si="978"/>
        <v/>
      </c>
      <c r="M6350" s="13" t="str">
        <f t="shared" si="979"/>
        <v/>
      </c>
      <c r="Q6350" t="str">
        <f t="shared" si="980"/>
        <v/>
      </c>
      <c r="R6350" t="str">
        <f t="shared" si="981"/>
        <v/>
      </c>
      <c r="S6350" t="str">
        <f t="shared" si="982"/>
        <v/>
      </c>
      <c r="T6350" t="str">
        <f t="shared" si="983"/>
        <v/>
      </c>
      <c r="U6350" t="str">
        <f t="shared" si="984"/>
        <v/>
      </c>
      <c r="V6350" t="str">
        <f t="shared" si="985"/>
        <v/>
      </c>
      <c r="W6350" t="str">
        <f t="shared" si="986"/>
        <v/>
      </c>
      <c r="X6350">
        <f t="shared" si="976"/>
        <v>0</v>
      </c>
      <c r="Z6350" t="str">
        <f t="shared" si="987"/>
        <v/>
      </c>
      <c r="AA6350">
        <f t="shared" si="977"/>
        <v>0</v>
      </c>
    </row>
    <row r="6351" spans="1:27" ht="21" customHeight="1" x14ac:dyDescent="0.95">
      <c r="A6351" s="56"/>
      <c r="B6351" s="57"/>
      <c r="C6351" s="57"/>
      <c r="D6351" s="57"/>
      <c r="E6351" s="56"/>
      <c r="F6351" s="57"/>
      <c r="G6351" s="57"/>
      <c r="H6351" s="56"/>
      <c r="I6351" s="56"/>
      <c r="J6351" s="58"/>
      <c r="K6351" s="58"/>
      <c r="L6351" s="13" t="str">
        <f t="shared" si="978"/>
        <v/>
      </c>
      <c r="M6351" s="13" t="str">
        <f t="shared" si="979"/>
        <v/>
      </c>
      <c r="Q6351" t="str">
        <f t="shared" si="980"/>
        <v/>
      </c>
      <c r="R6351" t="str">
        <f t="shared" si="981"/>
        <v/>
      </c>
      <c r="S6351" t="str">
        <f t="shared" si="982"/>
        <v/>
      </c>
      <c r="T6351" t="str">
        <f t="shared" si="983"/>
        <v/>
      </c>
      <c r="U6351" t="str">
        <f t="shared" si="984"/>
        <v/>
      </c>
      <c r="V6351" t="str">
        <f t="shared" si="985"/>
        <v/>
      </c>
      <c r="W6351" t="str">
        <f t="shared" si="986"/>
        <v/>
      </c>
      <c r="X6351">
        <f t="shared" si="976"/>
        <v>0</v>
      </c>
      <c r="Z6351" t="str">
        <f t="shared" si="987"/>
        <v/>
      </c>
      <c r="AA6351">
        <f t="shared" si="977"/>
        <v>0</v>
      </c>
    </row>
    <row r="6352" spans="1:27" ht="21" customHeight="1" x14ac:dyDescent="0.95">
      <c r="A6352" s="56"/>
      <c r="B6352" s="57"/>
      <c r="C6352" s="57"/>
      <c r="D6352" s="57"/>
      <c r="E6352" s="56"/>
      <c r="F6352" s="57"/>
      <c r="G6352" s="57"/>
      <c r="H6352" s="56"/>
      <c r="I6352" s="56"/>
      <c r="J6352" s="58"/>
      <c r="K6352" s="58"/>
      <c r="L6352" s="13" t="str">
        <f t="shared" si="978"/>
        <v/>
      </c>
      <c r="M6352" s="13" t="str">
        <f t="shared" si="979"/>
        <v/>
      </c>
      <c r="Q6352" t="str">
        <f t="shared" si="980"/>
        <v/>
      </c>
      <c r="R6352" t="str">
        <f t="shared" si="981"/>
        <v/>
      </c>
      <c r="S6352" t="str">
        <f t="shared" si="982"/>
        <v/>
      </c>
      <c r="T6352" t="str">
        <f t="shared" si="983"/>
        <v/>
      </c>
      <c r="U6352" t="str">
        <f t="shared" si="984"/>
        <v/>
      </c>
      <c r="V6352" t="str">
        <f t="shared" si="985"/>
        <v/>
      </c>
      <c r="W6352" t="str">
        <f t="shared" si="986"/>
        <v/>
      </c>
      <c r="X6352">
        <f t="shared" si="976"/>
        <v>0</v>
      </c>
      <c r="Z6352" t="str">
        <f t="shared" si="987"/>
        <v/>
      </c>
      <c r="AA6352">
        <f t="shared" si="977"/>
        <v>0</v>
      </c>
    </row>
    <row r="6353" spans="1:27" ht="21" customHeight="1" x14ac:dyDescent="0.95">
      <c r="A6353" s="56"/>
      <c r="B6353" s="57"/>
      <c r="C6353" s="57"/>
      <c r="D6353" s="57"/>
      <c r="E6353" s="56"/>
      <c r="F6353" s="57"/>
      <c r="G6353" s="57"/>
      <c r="H6353" s="56"/>
      <c r="I6353" s="56"/>
      <c r="J6353" s="58"/>
      <c r="K6353" s="58"/>
      <c r="L6353" s="13" t="str">
        <f t="shared" si="978"/>
        <v/>
      </c>
      <c r="M6353" s="13" t="str">
        <f t="shared" si="979"/>
        <v/>
      </c>
      <c r="Q6353" t="str">
        <f t="shared" si="980"/>
        <v/>
      </c>
      <c r="R6353" t="str">
        <f t="shared" si="981"/>
        <v/>
      </c>
      <c r="S6353" t="str">
        <f t="shared" si="982"/>
        <v/>
      </c>
      <c r="T6353" t="str">
        <f t="shared" si="983"/>
        <v/>
      </c>
      <c r="U6353" t="str">
        <f t="shared" si="984"/>
        <v/>
      </c>
      <c r="V6353" t="str">
        <f t="shared" si="985"/>
        <v/>
      </c>
      <c r="W6353" t="str">
        <f t="shared" si="986"/>
        <v/>
      </c>
      <c r="X6353">
        <f t="shared" si="976"/>
        <v>0</v>
      </c>
      <c r="Z6353" t="str">
        <f t="shared" si="987"/>
        <v/>
      </c>
      <c r="AA6353">
        <f t="shared" si="977"/>
        <v>0</v>
      </c>
    </row>
    <row r="6354" spans="1:27" ht="21" customHeight="1" x14ac:dyDescent="0.95">
      <c r="A6354" s="56"/>
      <c r="B6354" s="57"/>
      <c r="C6354" s="57"/>
      <c r="D6354" s="57"/>
      <c r="E6354" s="56"/>
      <c r="F6354" s="57"/>
      <c r="G6354" s="57"/>
      <c r="H6354" s="56"/>
      <c r="I6354" s="56"/>
      <c r="J6354" s="58"/>
      <c r="K6354" s="58"/>
      <c r="L6354" s="13" t="str">
        <f t="shared" si="978"/>
        <v/>
      </c>
      <c r="M6354" s="13" t="str">
        <f t="shared" si="979"/>
        <v/>
      </c>
      <c r="Q6354" t="str">
        <f t="shared" si="980"/>
        <v/>
      </c>
      <c r="R6354" t="str">
        <f t="shared" si="981"/>
        <v/>
      </c>
      <c r="S6354" t="str">
        <f t="shared" si="982"/>
        <v/>
      </c>
      <c r="T6354" t="str">
        <f t="shared" si="983"/>
        <v/>
      </c>
      <c r="U6354" t="str">
        <f t="shared" si="984"/>
        <v/>
      </c>
      <c r="V6354" t="str">
        <f t="shared" si="985"/>
        <v/>
      </c>
      <c r="W6354" t="str">
        <f t="shared" si="986"/>
        <v/>
      </c>
      <c r="X6354">
        <f t="shared" si="976"/>
        <v>0</v>
      </c>
      <c r="Z6354" t="str">
        <f t="shared" si="987"/>
        <v/>
      </c>
      <c r="AA6354">
        <f t="shared" si="977"/>
        <v>0</v>
      </c>
    </row>
    <row r="6355" spans="1:27" ht="21" customHeight="1" x14ac:dyDescent="0.95">
      <c r="A6355" s="56"/>
      <c r="B6355" s="57"/>
      <c r="C6355" s="57"/>
      <c r="D6355" s="57"/>
      <c r="E6355" s="56"/>
      <c r="F6355" s="57"/>
      <c r="G6355" s="57"/>
      <c r="H6355" s="56"/>
      <c r="I6355" s="56"/>
      <c r="J6355" s="58"/>
      <c r="K6355" s="58"/>
      <c r="L6355" s="13" t="str">
        <f t="shared" si="978"/>
        <v/>
      </c>
      <c r="M6355" s="13" t="str">
        <f t="shared" si="979"/>
        <v/>
      </c>
      <c r="Q6355" t="str">
        <f t="shared" si="980"/>
        <v/>
      </c>
      <c r="R6355" t="str">
        <f t="shared" si="981"/>
        <v/>
      </c>
      <c r="S6355" t="str">
        <f t="shared" si="982"/>
        <v/>
      </c>
      <c r="T6355" t="str">
        <f t="shared" si="983"/>
        <v/>
      </c>
      <c r="U6355" t="str">
        <f t="shared" si="984"/>
        <v/>
      </c>
      <c r="V6355" t="str">
        <f t="shared" si="985"/>
        <v/>
      </c>
      <c r="W6355" t="str">
        <f t="shared" si="986"/>
        <v/>
      </c>
      <c r="X6355">
        <f t="shared" si="976"/>
        <v>0</v>
      </c>
      <c r="Z6355" t="str">
        <f t="shared" si="987"/>
        <v/>
      </c>
      <c r="AA6355">
        <f t="shared" si="977"/>
        <v>0</v>
      </c>
    </row>
    <row r="6356" spans="1:27" ht="21" customHeight="1" x14ac:dyDescent="0.95">
      <c r="A6356" s="56"/>
      <c r="B6356" s="57"/>
      <c r="C6356" s="57"/>
      <c r="D6356" s="57"/>
      <c r="E6356" s="56"/>
      <c r="F6356" s="57"/>
      <c r="G6356" s="57"/>
      <c r="H6356" s="56"/>
      <c r="I6356" s="56"/>
      <c r="J6356" s="58"/>
      <c r="K6356" s="58"/>
      <c r="L6356" s="13" t="str">
        <f t="shared" si="978"/>
        <v/>
      </c>
      <c r="M6356" s="13" t="str">
        <f t="shared" si="979"/>
        <v/>
      </c>
      <c r="Q6356" t="str">
        <f t="shared" si="980"/>
        <v/>
      </c>
      <c r="R6356" t="str">
        <f t="shared" si="981"/>
        <v/>
      </c>
      <c r="S6356" t="str">
        <f t="shared" si="982"/>
        <v/>
      </c>
      <c r="T6356" t="str">
        <f t="shared" si="983"/>
        <v/>
      </c>
      <c r="U6356" t="str">
        <f t="shared" si="984"/>
        <v/>
      </c>
      <c r="V6356" t="str">
        <f t="shared" si="985"/>
        <v/>
      </c>
      <c r="W6356" t="str">
        <f t="shared" si="986"/>
        <v/>
      </c>
      <c r="X6356">
        <f t="shared" si="976"/>
        <v>0</v>
      </c>
      <c r="Z6356" t="str">
        <f t="shared" si="987"/>
        <v/>
      </c>
      <c r="AA6356">
        <f t="shared" si="977"/>
        <v>0</v>
      </c>
    </row>
    <row r="6357" spans="1:27" ht="21" customHeight="1" x14ac:dyDescent="0.95">
      <c r="A6357" s="56"/>
      <c r="B6357" s="57"/>
      <c r="C6357" s="57"/>
      <c r="D6357" s="57"/>
      <c r="E6357" s="56"/>
      <c r="F6357" s="57"/>
      <c r="G6357" s="57"/>
      <c r="H6357" s="56"/>
      <c r="I6357" s="56"/>
      <c r="J6357" s="58"/>
      <c r="K6357" s="58"/>
      <c r="L6357" s="13" t="str">
        <f t="shared" si="978"/>
        <v/>
      </c>
      <c r="M6357" s="13" t="str">
        <f t="shared" si="979"/>
        <v/>
      </c>
      <c r="Q6357" t="str">
        <f t="shared" si="980"/>
        <v/>
      </c>
      <c r="R6357" t="str">
        <f t="shared" si="981"/>
        <v/>
      </c>
      <c r="S6357" t="str">
        <f t="shared" si="982"/>
        <v/>
      </c>
      <c r="T6357" t="str">
        <f t="shared" si="983"/>
        <v/>
      </c>
      <c r="U6357" t="str">
        <f t="shared" si="984"/>
        <v/>
      </c>
      <c r="V6357" t="str">
        <f t="shared" si="985"/>
        <v/>
      </c>
      <c r="W6357" t="str">
        <f t="shared" si="986"/>
        <v/>
      </c>
      <c r="X6357">
        <f t="shared" si="976"/>
        <v>0</v>
      </c>
      <c r="Z6357" t="str">
        <f t="shared" si="987"/>
        <v/>
      </c>
      <c r="AA6357">
        <f t="shared" si="977"/>
        <v>0</v>
      </c>
    </row>
    <row r="6358" spans="1:27" ht="21" customHeight="1" x14ac:dyDescent="0.95">
      <c r="A6358" s="56"/>
      <c r="B6358" s="57"/>
      <c r="C6358" s="57"/>
      <c r="D6358" s="57"/>
      <c r="E6358" s="56"/>
      <c r="F6358" s="57"/>
      <c r="G6358" s="57"/>
      <c r="H6358" s="56"/>
      <c r="I6358" s="56"/>
      <c r="J6358" s="58"/>
      <c r="K6358" s="58"/>
      <c r="L6358" s="13" t="str">
        <f t="shared" si="978"/>
        <v/>
      </c>
      <c r="M6358" s="13" t="str">
        <f t="shared" si="979"/>
        <v/>
      </c>
      <c r="Q6358" t="str">
        <f t="shared" si="980"/>
        <v/>
      </c>
      <c r="R6358" t="str">
        <f t="shared" si="981"/>
        <v/>
      </c>
      <c r="S6358" t="str">
        <f t="shared" si="982"/>
        <v/>
      </c>
      <c r="T6358" t="str">
        <f t="shared" si="983"/>
        <v/>
      </c>
      <c r="U6358" t="str">
        <f t="shared" si="984"/>
        <v/>
      </c>
      <c r="V6358" t="str">
        <f t="shared" si="985"/>
        <v/>
      </c>
      <c r="W6358" t="str">
        <f t="shared" si="986"/>
        <v/>
      </c>
      <c r="X6358">
        <f t="shared" si="976"/>
        <v>0</v>
      </c>
      <c r="Z6358" t="str">
        <f t="shared" si="987"/>
        <v/>
      </c>
      <c r="AA6358">
        <f t="shared" si="977"/>
        <v>0</v>
      </c>
    </row>
    <row r="6359" spans="1:27" ht="21" customHeight="1" x14ac:dyDescent="0.95">
      <c r="A6359" s="56"/>
      <c r="B6359" s="57"/>
      <c r="C6359" s="57"/>
      <c r="D6359" s="57"/>
      <c r="E6359" s="56"/>
      <c r="F6359" s="57"/>
      <c r="G6359" s="57"/>
      <c r="H6359" s="56"/>
      <c r="I6359" s="56"/>
      <c r="J6359" s="58"/>
      <c r="K6359" s="58"/>
      <c r="L6359" s="13" t="str">
        <f t="shared" si="978"/>
        <v/>
      </c>
      <c r="M6359" s="13" t="str">
        <f t="shared" si="979"/>
        <v/>
      </c>
      <c r="Q6359" t="str">
        <f t="shared" si="980"/>
        <v/>
      </c>
      <c r="R6359" t="str">
        <f t="shared" si="981"/>
        <v/>
      </c>
      <c r="S6359" t="str">
        <f t="shared" si="982"/>
        <v/>
      </c>
      <c r="T6359" t="str">
        <f t="shared" si="983"/>
        <v/>
      </c>
      <c r="U6359" t="str">
        <f t="shared" si="984"/>
        <v/>
      </c>
      <c r="V6359" t="str">
        <f t="shared" si="985"/>
        <v/>
      </c>
      <c r="W6359" t="str">
        <f t="shared" si="986"/>
        <v/>
      </c>
      <c r="X6359">
        <f t="shared" si="976"/>
        <v>0</v>
      </c>
      <c r="Z6359" t="str">
        <f t="shared" si="987"/>
        <v/>
      </c>
      <c r="AA6359">
        <f t="shared" si="977"/>
        <v>0</v>
      </c>
    </row>
    <row r="6360" spans="1:27" ht="21" customHeight="1" x14ac:dyDescent="0.95">
      <c r="A6360" s="56"/>
      <c r="B6360" s="57"/>
      <c r="C6360" s="57"/>
      <c r="D6360" s="57"/>
      <c r="E6360" s="56"/>
      <c r="F6360" s="57"/>
      <c r="G6360" s="57"/>
      <c r="H6360" s="56"/>
      <c r="I6360" s="56"/>
      <c r="J6360" s="58"/>
      <c r="K6360" s="58"/>
      <c r="L6360" s="13" t="str">
        <f t="shared" si="978"/>
        <v/>
      </c>
      <c r="M6360" s="13" t="str">
        <f t="shared" si="979"/>
        <v/>
      </c>
      <c r="Q6360" t="str">
        <f t="shared" si="980"/>
        <v/>
      </c>
      <c r="R6360" t="str">
        <f t="shared" si="981"/>
        <v/>
      </c>
      <c r="S6360" t="str">
        <f t="shared" si="982"/>
        <v/>
      </c>
      <c r="T6360" t="str">
        <f t="shared" si="983"/>
        <v/>
      </c>
      <c r="U6360" t="str">
        <f t="shared" si="984"/>
        <v/>
      </c>
      <c r="V6360" t="str">
        <f t="shared" si="985"/>
        <v/>
      </c>
      <c r="W6360" t="str">
        <f t="shared" si="986"/>
        <v/>
      </c>
      <c r="X6360">
        <f t="shared" si="976"/>
        <v>0</v>
      </c>
      <c r="Z6360" t="str">
        <f t="shared" si="987"/>
        <v/>
      </c>
      <c r="AA6360">
        <f t="shared" si="977"/>
        <v>0</v>
      </c>
    </row>
    <row r="6361" spans="1:27" ht="21" customHeight="1" x14ac:dyDescent="0.95">
      <c r="A6361" s="56"/>
      <c r="B6361" s="57"/>
      <c r="C6361" s="57"/>
      <c r="D6361" s="57"/>
      <c r="E6361" s="56"/>
      <c r="F6361" s="57"/>
      <c r="G6361" s="57"/>
      <c r="H6361" s="56"/>
      <c r="I6361" s="56"/>
      <c r="J6361" s="58"/>
      <c r="K6361" s="58"/>
      <c r="L6361" s="13" t="str">
        <f t="shared" si="978"/>
        <v/>
      </c>
      <c r="M6361" s="13" t="str">
        <f t="shared" si="979"/>
        <v/>
      </c>
      <c r="Q6361" t="str">
        <f t="shared" si="980"/>
        <v/>
      </c>
      <c r="R6361" t="str">
        <f t="shared" si="981"/>
        <v/>
      </c>
      <c r="S6361" t="str">
        <f t="shared" si="982"/>
        <v/>
      </c>
      <c r="T6361" t="str">
        <f t="shared" si="983"/>
        <v/>
      </c>
      <c r="U6361" t="str">
        <f t="shared" si="984"/>
        <v/>
      </c>
      <c r="V6361" t="str">
        <f t="shared" si="985"/>
        <v/>
      </c>
      <c r="W6361" t="str">
        <f t="shared" si="986"/>
        <v/>
      </c>
      <c r="X6361">
        <f t="shared" si="976"/>
        <v>0</v>
      </c>
      <c r="Z6361" t="str">
        <f t="shared" si="987"/>
        <v/>
      </c>
      <c r="AA6361">
        <f t="shared" si="977"/>
        <v>0</v>
      </c>
    </row>
    <row r="6362" spans="1:27" ht="21" customHeight="1" x14ac:dyDescent="0.95">
      <c r="A6362" s="56"/>
      <c r="B6362" s="57"/>
      <c r="C6362" s="57"/>
      <c r="D6362" s="57"/>
      <c r="E6362" s="56"/>
      <c r="F6362" s="57"/>
      <c r="G6362" s="57"/>
      <c r="H6362" s="56"/>
      <c r="I6362" s="56"/>
      <c r="J6362" s="58"/>
      <c r="K6362" s="58"/>
      <c r="L6362" s="13" t="str">
        <f t="shared" si="978"/>
        <v/>
      </c>
      <c r="M6362" s="13" t="str">
        <f t="shared" si="979"/>
        <v/>
      </c>
      <c r="Q6362" t="str">
        <f t="shared" si="980"/>
        <v/>
      </c>
      <c r="R6362" t="str">
        <f t="shared" si="981"/>
        <v/>
      </c>
      <c r="S6362" t="str">
        <f t="shared" si="982"/>
        <v/>
      </c>
      <c r="T6362" t="str">
        <f t="shared" si="983"/>
        <v/>
      </c>
      <c r="U6362" t="str">
        <f t="shared" si="984"/>
        <v/>
      </c>
      <c r="V6362" t="str">
        <f t="shared" si="985"/>
        <v/>
      </c>
      <c r="W6362" t="str">
        <f t="shared" si="986"/>
        <v/>
      </c>
      <c r="X6362">
        <f t="shared" si="976"/>
        <v>0</v>
      </c>
      <c r="Z6362" t="str">
        <f t="shared" si="987"/>
        <v/>
      </c>
      <c r="AA6362">
        <f t="shared" si="977"/>
        <v>0</v>
      </c>
    </row>
    <row r="6363" spans="1:27" ht="21" customHeight="1" x14ac:dyDescent="0.95">
      <c r="A6363" s="56"/>
      <c r="B6363" s="57"/>
      <c r="C6363" s="57"/>
      <c r="D6363" s="57"/>
      <c r="E6363" s="56"/>
      <c r="F6363" s="57"/>
      <c r="G6363" s="57"/>
      <c r="H6363" s="56"/>
      <c r="I6363" s="56"/>
      <c r="J6363" s="58"/>
      <c r="K6363" s="58"/>
      <c r="L6363" s="13" t="str">
        <f t="shared" si="978"/>
        <v/>
      </c>
      <c r="M6363" s="13" t="str">
        <f t="shared" si="979"/>
        <v/>
      </c>
      <c r="Q6363" t="str">
        <f t="shared" si="980"/>
        <v/>
      </c>
      <c r="R6363" t="str">
        <f t="shared" si="981"/>
        <v/>
      </c>
      <c r="S6363" t="str">
        <f t="shared" si="982"/>
        <v/>
      </c>
      <c r="T6363" t="str">
        <f t="shared" si="983"/>
        <v/>
      </c>
      <c r="U6363" t="str">
        <f t="shared" si="984"/>
        <v/>
      </c>
      <c r="V6363" t="str">
        <f t="shared" si="985"/>
        <v/>
      </c>
      <c r="W6363" t="str">
        <f t="shared" si="986"/>
        <v/>
      </c>
      <c r="X6363">
        <f t="shared" si="976"/>
        <v>0</v>
      </c>
      <c r="Z6363" t="str">
        <f t="shared" si="987"/>
        <v/>
      </c>
      <c r="AA6363">
        <f t="shared" si="977"/>
        <v>0</v>
      </c>
    </row>
    <row r="6364" spans="1:27" ht="21" customHeight="1" x14ac:dyDescent="0.95">
      <c r="A6364" s="56"/>
      <c r="B6364" s="57"/>
      <c r="C6364" s="57"/>
      <c r="D6364" s="57"/>
      <c r="E6364" s="56"/>
      <c r="F6364" s="57"/>
      <c r="G6364" s="57"/>
      <c r="H6364" s="56"/>
      <c r="I6364" s="56"/>
      <c r="J6364" s="58"/>
      <c r="K6364" s="58"/>
      <c r="L6364" s="13" t="str">
        <f t="shared" si="978"/>
        <v/>
      </c>
      <c r="M6364" s="13" t="str">
        <f t="shared" si="979"/>
        <v/>
      </c>
      <c r="Q6364" t="str">
        <f t="shared" si="980"/>
        <v/>
      </c>
      <c r="R6364" t="str">
        <f t="shared" si="981"/>
        <v/>
      </c>
      <c r="S6364" t="str">
        <f t="shared" si="982"/>
        <v/>
      </c>
      <c r="T6364" t="str">
        <f t="shared" si="983"/>
        <v/>
      </c>
      <c r="U6364" t="str">
        <f t="shared" si="984"/>
        <v/>
      </c>
      <c r="V6364" t="str">
        <f t="shared" si="985"/>
        <v/>
      </c>
      <c r="W6364" t="str">
        <f t="shared" si="986"/>
        <v/>
      </c>
      <c r="X6364">
        <f t="shared" si="976"/>
        <v>0</v>
      </c>
      <c r="Z6364" t="str">
        <f t="shared" si="987"/>
        <v/>
      </c>
      <c r="AA6364">
        <f t="shared" si="977"/>
        <v>0</v>
      </c>
    </row>
    <row r="6365" spans="1:27" ht="21" customHeight="1" x14ac:dyDescent="0.95">
      <c r="A6365" s="56"/>
      <c r="B6365" s="57"/>
      <c r="C6365" s="57"/>
      <c r="D6365" s="57"/>
      <c r="E6365" s="56"/>
      <c r="F6365" s="57"/>
      <c r="G6365" s="57"/>
      <c r="H6365" s="56"/>
      <c r="I6365" s="56"/>
      <c r="J6365" s="58"/>
      <c r="K6365" s="58"/>
      <c r="L6365" s="13" t="str">
        <f t="shared" si="978"/>
        <v/>
      </c>
      <c r="M6365" s="13" t="str">
        <f t="shared" si="979"/>
        <v/>
      </c>
      <c r="Q6365" t="str">
        <f t="shared" si="980"/>
        <v/>
      </c>
      <c r="R6365" t="str">
        <f t="shared" si="981"/>
        <v/>
      </c>
      <c r="S6365" t="str">
        <f t="shared" si="982"/>
        <v/>
      </c>
      <c r="T6365" t="str">
        <f t="shared" si="983"/>
        <v/>
      </c>
      <c r="U6365" t="str">
        <f t="shared" si="984"/>
        <v/>
      </c>
      <c r="V6365" t="str">
        <f t="shared" si="985"/>
        <v/>
      </c>
      <c r="W6365" t="str">
        <f t="shared" si="986"/>
        <v/>
      </c>
      <c r="X6365">
        <f t="shared" si="976"/>
        <v>0</v>
      </c>
      <c r="Z6365" t="str">
        <f t="shared" si="987"/>
        <v/>
      </c>
      <c r="AA6365">
        <f t="shared" si="977"/>
        <v>0</v>
      </c>
    </row>
    <row r="6366" spans="1:27" ht="21" customHeight="1" x14ac:dyDescent="0.95">
      <c r="A6366" s="56"/>
      <c r="B6366" s="57"/>
      <c r="C6366" s="57"/>
      <c r="D6366" s="57"/>
      <c r="E6366" s="56"/>
      <c r="F6366" s="57"/>
      <c r="G6366" s="57"/>
      <c r="H6366" s="56"/>
      <c r="I6366" s="56"/>
      <c r="J6366" s="58"/>
      <c r="K6366" s="58"/>
      <c r="L6366" s="13" t="str">
        <f t="shared" si="978"/>
        <v/>
      </c>
      <c r="M6366" s="13" t="str">
        <f t="shared" si="979"/>
        <v/>
      </c>
      <c r="Q6366" t="str">
        <f t="shared" si="980"/>
        <v/>
      </c>
      <c r="R6366" t="str">
        <f t="shared" si="981"/>
        <v/>
      </c>
      <c r="S6366" t="str">
        <f t="shared" si="982"/>
        <v/>
      </c>
      <c r="T6366" t="str">
        <f t="shared" si="983"/>
        <v/>
      </c>
      <c r="U6366" t="str">
        <f t="shared" si="984"/>
        <v/>
      </c>
      <c r="V6366" t="str">
        <f t="shared" si="985"/>
        <v/>
      </c>
      <c r="W6366" t="str">
        <f t="shared" si="986"/>
        <v/>
      </c>
      <c r="X6366">
        <f t="shared" si="976"/>
        <v>0</v>
      </c>
      <c r="Z6366" t="str">
        <f t="shared" si="987"/>
        <v/>
      </c>
      <c r="AA6366">
        <f t="shared" si="977"/>
        <v>0</v>
      </c>
    </row>
    <row r="6367" spans="1:27" ht="21" customHeight="1" x14ac:dyDescent="0.95">
      <c r="A6367" s="56"/>
      <c r="B6367" s="57"/>
      <c r="C6367" s="57"/>
      <c r="D6367" s="57"/>
      <c r="E6367" s="56"/>
      <c r="F6367" s="57"/>
      <c r="G6367" s="57"/>
      <c r="H6367" s="56"/>
      <c r="I6367" s="56"/>
      <c r="J6367" s="58"/>
      <c r="K6367" s="58"/>
      <c r="L6367" s="13" t="str">
        <f t="shared" si="978"/>
        <v/>
      </c>
      <c r="M6367" s="13" t="str">
        <f t="shared" si="979"/>
        <v/>
      </c>
      <c r="Q6367" t="str">
        <f t="shared" si="980"/>
        <v/>
      </c>
      <c r="R6367" t="str">
        <f t="shared" si="981"/>
        <v/>
      </c>
      <c r="S6367" t="str">
        <f t="shared" si="982"/>
        <v/>
      </c>
      <c r="T6367" t="str">
        <f t="shared" si="983"/>
        <v/>
      </c>
      <c r="U6367" t="str">
        <f t="shared" si="984"/>
        <v/>
      </c>
      <c r="V6367" t="str">
        <f t="shared" si="985"/>
        <v/>
      </c>
      <c r="W6367" t="str">
        <f t="shared" si="986"/>
        <v/>
      </c>
      <c r="X6367">
        <f t="shared" si="976"/>
        <v>0</v>
      </c>
      <c r="Z6367" t="str">
        <f t="shared" si="987"/>
        <v/>
      </c>
      <c r="AA6367">
        <f t="shared" si="977"/>
        <v>0</v>
      </c>
    </row>
    <row r="6368" spans="1:27" ht="21" customHeight="1" x14ac:dyDescent="0.95">
      <c r="A6368" s="56"/>
      <c r="B6368" s="57"/>
      <c r="C6368" s="57"/>
      <c r="D6368" s="57"/>
      <c r="E6368" s="56"/>
      <c r="F6368" s="57"/>
      <c r="G6368" s="57"/>
      <c r="H6368" s="56"/>
      <c r="I6368" s="56"/>
      <c r="J6368" s="58"/>
      <c r="K6368" s="58"/>
      <c r="L6368" s="13" t="str">
        <f t="shared" si="978"/>
        <v/>
      </c>
      <c r="M6368" s="13" t="str">
        <f t="shared" si="979"/>
        <v/>
      </c>
      <c r="Q6368" t="str">
        <f t="shared" si="980"/>
        <v/>
      </c>
      <c r="R6368" t="str">
        <f t="shared" si="981"/>
        <v/>
      </c>
      <c r="S6368" t="str">
        <f t="shared" si="982"/>
        <v/>
      </c>
      <c r="T6368" t="str">
        <f t="shared" si="983"/>
        <v/>
      </c>
      <c r="U6368" t="str">
        <f t="shared" si="984"/>
        <v/>
      </c>
      <c r="V6368" t="str">
        <f t="shared" si="985"/>
        <v/>
      </c>
      <c r="W6368" t="str">
        <f t="shared" si="986"/>
        <v/>
      </c>
      <c r="X6368">
        <f t="shared" si="976"/>
        <v>0</v>
      </c>
      <c r="Z6368" t="str">
        <f t="shared" si="987"/>
        <v/>
      </c>
      <c r="AA6368">
        <f t="shared" si="977"/>
        <v>0</v>
      </c>
    </row>
    <row r="6369" spans="1:27" ht="21" customHeight="1" x14ac:dyDescent="0.95">
      <c r="A6369" s="56"/>
      <c r="B6369" s="57"/>
      <c r="C6369" s="57"/>
      <c r="D6369" s="57"/>
      <c r="E6369" s="56"/>
      <c r="F6369" s="57"/>
      <c r="G6369" s="57"/>
      <c r="H6369" s="56"/>
      <c r="I6369" s="56"/>
      <c r="J6369" s="58"/>
      <c r="K6369" s="58"/>
      <c r="L6369" s="13" t="str">
        <f t="shared" si="978"/>
        <v/>
      </c>
      <c r="M6369" s="13" t="str">
        <f t="shared" si="979"/>
        <v/>
      </c>
      <c r="Q6369" t="str">
        <f t="shared" si="980"/>
        <v/>
      </c>
      <c r="R6369" t="str">
        <f t="shared" si="981"/>
        <v/>
      </c>
      <c r="S6369" t="str">
        <f t="shared" si="982"/>
        <v/>
      </c>
      <c r="T6369" t="str">
        <f t="shared" si="983"/>
        <v/>
      </c>
      <c r="U6369" t="str">
        <f t="shared" si="984"/>
        <v/>
      </c>
      <c r="V6369" t="str">
        <f t="shared" si="985"/>
        <v/>
      </c>
      <c r="W6369" t="str">
        <f t="shared" si="986"/>
        <v/>
      </c>
      <c r="X6369">
        <f t="shared" si="976"/>
        <v>0</v>
      </c>
      <c r="Z6369" t="str">
        <f t="shared" si="987"/>
        <v/>
      </c>
      <c r="AA6369">
        <f t="shared" si="977"/>
        <v>0</v>
      </c>
    </row>
    <row r="6370" spans="1:27" ht="21" customHeight="1" x14ac:dyDescent="0.95">
      <c r="A6370" s="56"/>
      <c r="B6370" s="57"/>
      <c r="C6370" s="57"/>
      <c r="D6370" s="57"/>
      <c r="E6370" s="56"/>
      <c r="F6370" s="57"/>
      <c r="G6370" s="57"/>
      <c r="H6370" s="56"/>
      <c r="I6370" s="56"/>
      <c r="J6370" s="58"/>
      <c r="K6370" s="58"/>
      <c r="L6370" s="13" t="str">
        <f t="shared" si="978"/>
        <v/>
      </c>
      <c r="M6370" s="13" t="str">
        <f t="shared" si="979"/>
        <v/>
      </c>
      <c r="Q6370" t="str">
        <f t="shared" si="980"/>
        <v/>
      </c>
      <c r="R6370" t="str">
        <f t="shared" si="981"/>
        <v/>
      </c>
      <c r="S6370" t="str">
        <f t="shared" si="982"/>
        <v/>
      </c>
      <c r="T6370" t="str">
        <f t="shared" si="983"/>
        <v/>
      </c>
      <c r="U6370" t="str">
        <f t="shared" si="984"/>
        <v/>
      </c>
      <c r="V6370" t="str">
        <f t="shared" si="985"/>
        <v/>
      </c>
      <c r="W6370" t="str">
        <f t="shared" si="986"/>
        <v/>
      </c>
      <c r="X6370">
        <f t="shared" si="976"/>
        <v>0</v>
      </c>
      <c r="Z6370" t="str">
        <f t="shared" si="987"/>
        <v/>
      </c>
      <c r="AA6370">
        <f t="shared" si="977"/>
        <v>0</v>
      </c>
    </row>
    <row r="6371" spans="1:27" ht="21" customHeight="1" x14ac:dyDescent="0.95">
      <c r="A6371" s="56"/>
      <c r="B6371" s="57"/>
      <c r="C6371" s="57"/>
      <c r="D6371" s="57"/>
      <c r="E6371" s="56"/>
      <c r="F6371" s="57"/>
      <c r="G6371" s="57"/>
      <c r="H6371" s="56"/>
      <c r="I6371" s="56"/>
      <c r="J6371" s="58"/>
      <c r="K6371" s="58"/>
      <c r="L6371" s="13" t="str">
        <f t="shared" si="978"/>
        <v/>
      </c>
      <c r="M6371" s="13" t="str">
        <f t="shared" si="979"/>
        <v/>
      </c>
      <c r="Q6371" t="str">
        <f t="shared" si="980"/>
        <v/>
      </c>
      <c r="R6371" t="str">
        <f t="shared" si="981"/>
        <v/>
      </c>
      <c r="S6371" t="str">
        <f t="shared" si="982"/>
        <v/>
      </c>
      <c r="T6371" t="str">
        <f t="shared" si="983"/>
        <v/>
      </c>
      <c r="U6371" t="str">
        <f t="shared" si="984"/>
        <v/>
      </c>
      <c r="V6371" t="str">
        <f t="shared" si="985"/>
        <v/>
      </c>
      <c r="W6371" t="str">
        <f t="shared" si="986"/>
        <v/>
      </c>
      <c r="X6371">
        <f t="shared" si="976"/>
        <v>0</v>
      </c>
      <c r="Z6371" t="str">
        <f t="shared" si="987"/>
        <v/>
      </c>
      <c r="AA6371">
        <f t="shared" si="977"/>
        <v>0</v>
      </c>
    </row>
    <row r="6372" spans="1:27" ht="21" customHeight="1" x14ac:dyDescent="0.95">
      <c r="A6372" s="56"/>
      <c r="B6372" s="57"/>
      <c r="C6372" s="57"/>
      <c r="D6372" s="57"/>
      <c r="E6372" s="56"/>
      <c r="F6372" s="57"/>
      <c r="G6372" s="57"/>
      <c r="H6372" s="56"/>
      <c r="I6372" s="56"/>
      <c r="J6372" s="58"/>
      <c r="K6372" s="58"/>
      <c r="L6372" s="13" t="str">
        <f t="shared" si="978"/>
        <v/>
      </c>
      <c r="M6372" s="13" t="str">
        <f t="shared" si="979"/>
        <v/>
      </c>
      <c r="Q6372" t="str">
        <f t="shared" si="980"/>
        <v/>
      </c>
      <c r="R6372" t="str">
        <f t="shared" si="981"/>
        <v/>
      </c>
      <c r="S6372" t="str">
        <f t="shared" si="982"/>
        <v/>
      </c>
      <c r="T6372" t="str">
        <f t="shared" si="983"/>
        <v/>
      </c>
      <c r="U6372" t="str">
        <f t="shared" si="984"/>
        <v/>
      </c>
      <c r="V6372" t="str">
        <f t="shared" si="985"/>
        <v/>
      </c>
      <c r="W6372" t="str">
        <f t="shared" si="986"/>
        <v/>
      </c>
      <c r="X6372">
        <f t="shared" si="976"/>
        <v>0</v>
      </c>
      <c r="Z6372" t="str">
        <f t="shared" si="987"/>
        <v/>
      </c>
      <c r="AA6372">
        <f t="shared" si="977"/>
        <v>0</v>
      </c>
    </row>
    <row r="6373" spans="1:27" ht="21" customHeight="1" x14ac:dyDescent="0.95">
      <c r="A6373" s="56"/>
      <c r="B6373" s="57"/>
      <c r="C6373" s="57"/>
      <c r="D6373" s="57"/>
      <c r="E6373" s="56"/>
      <c r="F6373" s="57"/>
      <c r="G6373" s="57"/>
      <c r="H6373" s="56"/>
      <c r="I6373" s="56"/>
      <c r="J6373" s="58"/>
      <c r="K6373" s="58"/>
      <c r="L6373" s="13" t="str">
        <f t="shared" si="978"/>
        <v/>
      </c>
      <c r="M6373" s="13" t="str">
        <f t="shared" si="979"/>
        <v/>
      </c>
      <c r="Q6373" t="str">
        <f t="shared" si="980"/>
        <v/>
      </c>
      <c r="R6373" t="str">
        <f t="shared" si="981"/>
        <v/>
      </c>
      <c r="S6373" t="str">
        <f t="shared" si="982"/>
        <v/>
      </c>
      <c r="T6373" t="str">
        <f t="shared" si="983"/>
        <v/>
      </c>
      <c r="U6373" t="str">
        <f t="shared" si="984"/>
        <v/>
      </c>
      <c r="V6373" t="str">
        <f t="shared" si="985"/>
        <v/>
      </c>
      <c r="W6373" t="str">
        <f t="shared" si="986"/>
        <v/>
      </c>
      <c r="X6373">
        <f t="shared" si="976"/>
        <v>0</v>
      </c>
      <c r="Z6373" t="str">
        <f t="shared" si="987"/>
        <v/>
      </c>
      <c r="AA6373">
        <f t="shared" si="977"/>
        <v>0</v>
      </c>
    </row>
    <row r="6374" spans="1:27" ht="21" customHeight="1" x14ac:dyDescent="0.95">
      <c r="A6374" s="56"/>
      <c r="B6374" s="57"/>
      <c r="C6374" s="57"/>
      <c r="D6374" s="57"/>
      <c r="E6374" s="56"/>
      <c r="F6374" s="57"/>
      <c r="G6374" s="57"/>
      <c r="H6374" s="56"/>
      <c r="I6374" s="56"/>
      <c r="J6374" s="58"/>
      <c r="K6374" s="58"/>
      <c r="L6374" s="13" t="str">
        <f t="shared" si="978"/>
        <v/>
      </c>
      <c r="M6374" s="13" t="str">
        <f t="shared" si="979"/>
        <v/>
      </c>
      <c r="Q6374" t="str">
        <f t="shared" si="980"/>
        <v/>
      </c>
      <c r="R6374" t="str">
        <f t="shared" si="981"/>
        <v/>
      </c>
      <c r="S6374" t="str">
        <f t="shared" si="982"/>
        <v/>
      </c>
      <c r="T6374" t="str">
        <f t="shared" si="983"/>
        <v/>
      </c>
      <c r="U6374" t="str">
        <f t="shared" si="984"/>
        <v/>
      </c>
      <c r="V6374" t="str">
        <f t="shared" si="985"/>
        <v/>
      </c>
      <c r="W6374" t="str">
        <f t="shared" si="986"/>
        <v/>
      </c>
      <c r="X6374">
        <f t="shared" si="976"/>
        <v>0</v>
      </c>
      <c r="Z6374" t="str">
        <f t="shared" si="987"/>
        <v/>
      </c>
      <c r="AA6374">
        <f t="shared" si="977"/>
        <v>0</v>
      </c>
    </row>
    <row r="6375" spans="1:27" ht="21" customHeight="1" x14ac:dyDescent="0.95">
      <c r="A6375" s="56"/>
      <c r="B6375" s="57"/>
      <c r="C6375" s="57"/>
      <c r="D6375" s="57"/>
      <c r="E6375" s="56"/>
      <c r="F6375" s="57"/>
      <c r="G6375" s="57"/>
      <c r="H6375" s="56"/>
      <c r="I6375" s="56"/>
      <c r="J6375" s="58"/>
      <c r="K6375" s="58"/>
      <c r="L6375" s="13" t="str">
        <f t="shared" si="978"/>
        <v/>
      </c>
      <c r="M6375" s="13" t="str">
        <f t="shared" si="979"/>
        <v/>
      </c>
      <c r="Q6375" t="str">
        <f t="shared" si="980"/>
        <v/>
      </c>
      <c r="R6375" t="str">
        <f t="shared" si="981"/>
        <v/>
      </c>
      <c r="S6375" t="str">
        <f t="shared" si="982"/>
        <v/>
      </c>
      <c r="T6375" t="str">
        <f t="shared" si="983"/>
        <v/>
      </c>
      <c r="U6375" t="str">
        <f t="shared" si="984"/>
        <v/>
      </c>
      <c r="V6375" t="str">
        <f t="shared" si="985"/>
        <v/>
      </c>
      <c r="W6375" t="str">
        <f t="shared" si="986"/>
        <v/>
      </c>
      <c r="X6375">
        <f t="shared" si="976"/>
        <v>0</v>
      </c>
      <c r="Z6375" t="str">
        <f t="shared" si="987"/>
        <v/>
      </c>
      <c r="AA6375">
        <f t="shared" si="977"/>
        <v>0</v>
      </c>
    </row>
    <row r="6376" spans="1:27" ht="21" customHeight="1" x14ac:dyDescent="0.95">
      <c r="A6376" s="56"/>
      <c r="B6376" s="57"/>
      <c r="C6376" s="57"/>
      <c r="D6376" s="57"/>
      <c r="E6376" s="56"/>
      <c r="F6376" s="57"/>
      <c r="G6376" s="57"/>
      <c r="H6376" s="56"/>
      <c r="I6376" s="56"/>
      <c r="J6376" s="58"/>
      <c r="K6376" s="58"/>
      <c r="L6376" s="13" t="str">
        <f t="shared" si="978"/>
        <v/>
      </c>
      <c r="M6376" s="13" t="str">
        <f t="shared" si="979"/>
        <v/>
      </c>
      <c r="Q6376" t="str">
        <f t="shared" si="980"/>
        <v/>
      </c>
      <c r="R6376" t="str">
        <f t="shared" si="981"/>
        <v/>
      </c>
      <c r="S6376" t="str">
        <f t="shared" si="982"/>
        <v/>
      </c>
      <c r="T6376" t="str">
        <f t="shared" si="983"/>
        <v/>
      </c>
      <c r="U6376" t="str">
        <f t="shared" si="984"/>
        <v/>
      </c>
      <c r="V6376" t="str">
        <f t="shared" si="985"/>
        <v/>
      </c>
      <c r="W6376" t="str">
        <f t="shared" si="986"/>
        <v/>
      </c>
      <c r="X6376">
        <f t="shared" si="976"/>
        <v>0</v>
      </c>
      <c r="Z6376" t="str">
        <f t="shared" si="987"/>
        <v/>
      </c>
      <c r="AA6376">
        <f t="shared" si="977"/>
        <v>0</v>
      </c>
    </row>
    <row r="6377" spans="1:27" ht="21" customHeight="1" x14ac:dyDescent="0.95">
      <c r="A6377" s="56"/>
      <c r="B6377" s="57"/>
      <c r="C6377" s="57"/>
      <c r="D6377" s="57"/>
      <c r="E6377" s="56"/>
      <c r="F6377" s="57"/>
      <c r="G6377" s="57"/>
      <c r="H6377" s="56"/>
      <c r="I6377" s="56"/>
      <c r="J6377" s="58"/>
      <c r="K6377" s="58"/>
      <c r="L6377" s="13" t="str">
        <f t="shared" si="978"/>
        <v/>
      </c>
      <c r="M6377" s="13" t="str">
        <f t="shared" si="979"/>
        <v/>
      </c>
      <c r="Q6377" t="str">
        <f t="shared" si="980"/>
        <v/>
      </c>
      <c r="R6377" t="str">
        <f t="shared" si="981"/>
        <v/>
      </c>
      <c r="S6377" t="str">
        <f t="shared" si="982"/>
        <v/>
      </c>
      <c r="T6377" t="str">
        <f t="shared" si="983"/>
        <v/>
      </c>
      <c r="U6377" t="str">
        <f t="shared" si="984"/>
        <v/>
      </c>
      <c r="V6377" t="str">
        <f t="shared" si="985"/>
        <v/>
      </c>
      <c r="W6377" t="str">
        <f t="shared" si="986"/>
        <v/>
      </c>
      <c r="X6377">
        <f t="shared" si="976"/>
        <v>0</v>
      </c>
      <c r="Z6377" t="str">
        <f t="shared" si="987"/>
        <v/>
      </c>
      <c r="AA6377">
        <f t="shared" si="977"/>
        <v>0</v>
      </c>
    </row>
    <row r="6378" spans="1:27" ht="21" customHeight="1" x14ac:dyDescent="0.95">
      <c r="A6378" s="56"/>
      <c r="B6378" s="57"/>
      <c r="C6378" s="57"/>
      <c r="D6378" s="57"/>
      <c r="E6378" s="56"/>
      <c r="F6378" s="57"/>
      <c r="G6378" s="57"/>
      <c r="H6378" s="56"/>
      <c r="I6378" s="56"/>
      <c r="J6378" s="58"/>
      <c r="K6378" s="58"/>
      <c r="L6378" s="13" t="str">
        <f t="shared" si="978"/>
        <v/>
      </c>
      <c r="M6378" s="13" t="str">
        <f t="shared" si="979"/>
        <v/>
      </c>
      <c r="Q6378" t="str">
        <f t="shared" si="980"/>
        <v/>
      </c>
      <c r="R6378" t="str">
        <f t="shared" si="981"/>
        <v/>
      </c>
      <c r="S6378" t="str">
        <f t="shared" si="982"/>
        <v/>
      </c>
      <c r="T6378" t="str">
        <f t="shared" si="983"/>
        <v/>
      </c>
      <c r="U6378" t="str">
        <f t="shared" si="984"/>
        <v/>
      </c>
      <c r="V6378" t="str">
        <f t="shared" si="985"/>
        <v/>
      </c>
      <c r="W6378" t="str">
        <f t="shared" si="986"/>
        <v/>
      </c>
      <c r="X6378">
        <f t="shared" si="976"/>
        <v>0</v>
      </c>
      <c r="Z6378" t="str">
        <f t="shared" si="987"/>
        <v/>
      </c>
      <c r="AA6378">
        <f t="shared" si="977"/>
        <v>0</v>
      </c>
    </row>
    <row r="6379" spans="1:27" ht="21" customHeight="1" x14ac:dyDescent="0.95">
      <c r="A6379" s="56"/>
      <c r="B6379" s="57"/>
      <c r="C6379" s="57"/>
      <c r="D6379" s="57"/>
      <c r="E6379" s="56"/>
      <c r="F6379" s="57"/>
      <c r="G6379" s="57"/>
      <c r="H6379" s="56"/>
      <c r="I6379" s="56"/>
      <c r="J6379" s="58"/>
      <c r="K6379" s="58"/>
      <c r="L6379" s="13" t="str">
        <f t="shared" si="978"/>
        <v/>
      </c>
      <c r="M6379" s="13" t="str">
        <f t="shared" si="979"/>
        <v/>
      </c>
      <c r="Q6379" t="str">
        <f t="shared" si="980"/>
        <v/>
      </c>
      <c r="R6379" t="str">
        <f t="shared" si="981"/>
        <v/>
      </c>
      <c r="S6379" t="str">
        <f t="shared" si="982"/>
        <v/>
      </c>
      <c r="T6379" t="str">
        <f t="shared" si="983"/>
        <v/>
      </c>
      <c r="U6379" t="str">
        <f t="shared" si="984"/>
        <v/>
      </c>
      <c r="V6379" t="str">
        <f t="shared" si="985"/>
        <v/>
      </c>
      <c r="W6379" t="str">
        <f t="shared" si="986"/>
        <v/>
      </c>
      <c r="X6379">
        <f t="shared" si="976"/>
        <v>0</v>
      </c>
      <c r="Z6379" t="str">
        <f t="shared" si="987"/>
        <v/>
      </c>
      <c r="AA6379">
        <f t="shared" si="977"/>
        <v>0</v>
      </c>
    </row>
    <row r="6380" spans="1:27" ht="21" customHeight="1" x14ac:dyDescent="0.95">
      <c r="A6380" s="56"/>
      <c r="B6380" s="57"/>
      <c r="C6380" s="57"/>
      <c r="D6380" s="57"/>
      <c r="E6380" s="56"/>
      <c r="F6380" s="57"/>
      <c r="G6380" s="57"/>
      <c r="H6380" s="56"/>
      <c r="I6380" s="56"/>
      <c r="J6380" s="58"/>
      <c r="K6380" s="58"/>
      <c r="L6380" s="13" t="str">
        <f t="shared" si="978"/>
        <v/>
      </c>
      <c r="M6380" s="13" t="str">
        <f t="shared" si="979"/>
        <v/>
      </c>
      <c r="Q6380" t="str">
        <f t="shared" si="980"/>
        <v/>
      </c>
      <c r="R6380" t="str">
        <f t="shared" si="981"/>
        <v/>
      </c>
      <c r="S6380" t="str">
        <f t="shared" si="982"/>
        <v/>
      </c>
      <c r="T6380" t="str">
        <f t="shared" si="983"/>
        <v/>
      </c>
      <c r="U6380" t="str">
        <f t="shared" si="984"/>
        <v/>
      </c>
      <c r="V6380" t="str">
        <f t="shared" si="985"/>
        <v/>
      </c>
      <c r="W6380" t="str">
        <f t="shared" si="986"/>
        <v/>
      </c>
      <c r="X6380">
        <f t="shared" si="976"/>
        <v>0</v>
      </c>
      <c r="Z6380" t="str">
        <f t="shared" si="987"/>
        <v/>
      </c>
      <c r="AA6380">
        <f t="shared" si="977"/>
        <v>0</v>
      </c>
    </row>
    <row r="6381" spans="1:27" ht="21" customHeight="1" x14ac:dyDescent="0.95">
      <c r="A6381" s="56"/>
      <c r="B6381" s="57"/>
      <c r="C6381" s="57"/>
      <c r="D6381" s="57"/>
      <c r="E6381" s="56"/>
      <c r="F6381" s="57"/>
      <c r="G6381" s="57"/>
      <c r="H6381" s="56"/>
      <c r="I6381" s="56"/>
      <c r="J6381" s="58"/>
      <c r="K6381" s="58"/>
      <c r="L6381" s="13" t="str">
        <f t="shared" si="978"/>
        <v/>
      </c>
      <c r="M6381" s="13" t="str">
        <f t="shared" si="979"/>
        <v/>
      </c>
      <c r="Q6381" t="str">
        <f t="shared" si="980"/>
        <v/>
      </c>
      <c r="R6381" t="str">
        <f t="shared" si="981"/>
        <v/>
      </c>
      <c r="S6381" t="str">
        <f t="shared" si="982"/>
        <v/>
      </c>
      <c r="T6381" t="str">
        <f t="shared" si="983"/>
        <v/>
      </c>
      <c r="U6381" t="str">
        <f t="shared" si="984"/>
        <v/>
      </c>
      <c r="V6381" t="str">
        <f t="shared" si="985"/>
        <v/>
      </c>
      <c r="W6381" t="str">
        <f t="shared" si="986"/>
        <v/>
      </c>
      <c r="X6381">
        <f t="shared" si="976"/>
        <v>0</v>
      </c>
      <c r="Z6381" t="str">
        <f t="shared" si="987"/>
        <v/>
      </c>
      <c r="AA6381">
        <f t="shared" si="977"/>
        <v>0</v>
      </c>
    </row>
    <row r="6382" spans="1:27" ht="21" customHeight="1" x14ac:dyDescent="0.95">
      <c r="A6382" s="56"/>
      <c r="B6382" s="57"/>
      <c r="C6382" s="57"/>
      <c r="D6382" s="57"/>
      <c r="E6382" s="56"/>
      <c r="F6382" s="57"/>
      <c r="G6382" s="57"/>
      <c r="H6382" s="56"/>
      <c r="I6382" s="56"/>
      <c r="J6382" s="58"/>
      <c r="K6382" s="58"/>
      <c r="L6382" s="13" t="str">
        <f t="shared" si="978"/>
        <v/>
      </c>
      <c r="M6382" s="13" t="str">
        <f t="shared" si="979"/>
        <v/>
      </c>
      <c r="Q6382" t="str">
        <f t="shared" si="980"/>
        <v/>
      </c>
      <c r="R6382" t="str">
        <f t="shared" si="981"/>
        <v/>
      </c>
      <c r="S6382" t="str">
        <f t="shared" si="982"/>
        <v/>
      </c>
      <c r="T6382" t="str">
        <f t="shared" si="983"/>
        <v/>
      </c>
      <c r="U6382" t="str">
        <f t="shared" si="984"/>
        <v/>
      </c>
      <c r="V6382" t="str">
        <f t="shared" si="985"/>
        <v/>
      </c>
      <c r="W6382" t="str">
        <f t="shared" si="986"/>
        <v/>
      </c>
      <c r="X6382">
        <f t="shared" si="976"/>
        <v>0</v>
      </c>
      <c r="Z6382" t="str">
        <f t="shared" si="987"/>
        <v/>
      </c>
      <c r="AA6382">
        <f t="shared" si="977"/>
        <v>0</v>
      </c>
    </row>
    <row r="6383" spans="1:27" ht="21" customHeight="1" x14ac:dyDescent="0.95">
      <c r="A6383" s="56"/>
      <c r="B6383" s="57"/>
      <c r="C6383" s="57"/>
      <c r="D6383" s="57"/>
      <c r="E6383" s="56"/>
      <c r="F6383" s="57"/>
      <c r="G6383" s="57"/>
      <c r="H6383" s="56"/>
      <c r="I6383" s="56"/>
      <c r="J6383" s="58"/>
      <c r="K6383" s="58"/>
      <c r="L6383" s="13" t="str">
        <f t="shared" si="978"/>
        <v/>
      </c>
      <c r="M6383" s="13" t="str">
        <f t="shared" si="979"/>
        <v/>
      </c>
      <c r="Q6383" t="str">
        <f t="shared" si="980"/>
        <v/>
      </c>
      <c r="R6383" t="str">
        <f t="shared" si="981"/>
        <v/>
      </c>
      <c r="S6383" t="str">
        <f t="shared" si="982"/>
        <v/>
      </c>
      <c r="T6383" t="str">
        <f t="shared" si="983"/>
        <v/>
      </c>
      <c r="U6383" t="str">
        <f t="shared" si="984"/>
        <v/>
      </c>
      <c r="V6383" t="str">
        <f t="shared" si="985"/>
        <v/>
      </c>
      <c r="W6383" t="str">
        <f t="shared" si="986"/>
        <v/>
      </c>
      <c r="X6383">
        <f t="shared" si="976"/>
        <v>0</v>
      </c>
      <c r="Z6383" t="str">
        <f t="shared" si="987"/>
        <v/>
      </c>
      <c r="AA6383">
        <f t="shared" si="977"/>
        <v>0</v>
      </c>
    </row>
    <row r="6384" spans="1:27" ht="21" customHeight="1" x14ac:dyDescent="0.95">
      <c r="A6384" s="56"/>
      <c r="B6384" s="57"/>
      <c r="C6384" s="57"/>
      <c r="D6384" s="57"/>
      <c r="E6384" s="56"/>
      <c r="F6384" s="57"/>
      <c r="G6384" s="57"/>
      <c r="H6384" s="56"/>
      <c r="I6384" s="56"/>
      <c r="J6384" s="58"/>
      <c r="K6384" s="58"/>
      <c r="L6384" s="13" t="str">
        <f t="shared" si="978"/>
        <v/>
      </c>
      <c r="M6384" s="13" t="str">
        <f t="shared" si="979"/>
        <v/>
      </c>
      <c r="Q6384" t="str">
        <f t="shared" si="980"/>
        <v/>
      </c>
      <c r="R6384" t="str">
        <f t="shared" si="981"/>
        <v/>
      </c>
      <c r="S6384" t="str">
        <f t="shared" si="982"/>
        <v/>
      </c>
      <c r="T6384" t="str">
        <f t="shared" si="983"/>
        <v/>
      </c>
      <c r="U6384" t="str">
        <f t="shared" si="984"/>
        <v/>
      </c>
      <c r="V6384" t="str">
        <f t="shared" si="985"/>
        <v/>
      </c>
      <c r="W6384" t="str">
        <f t="shared" si="986"/>
        <v/>
      </c>
      <c r="X6384">
        <f t="shared" si="976"/>
        <v>0</v>
      </c>
      <c r="Z6384" t="str">
        <f t="shared" si="987"/>
        <v/>
      </c>
      <c r="AA6384">
        <f t="shared" si="977"/>
        <v>0</v>
      </c>
    </row>
    <row r="6385" spans="1:27" ht="21" customHeight="1" x14ac:dyDescent="0.95">
      <c r="A6385" s="56"/>
      <c r="B6385" s="57"/>
      <c r="C6385" s="57"/>
      <c r="D6385" s="57"/>
      <c r="E6385" s="56"/>
      <c r="F6385" s="57"/>
      <c r="G6385" s="57"/>
      <c r="H6385" s="56"/>
      <c r="I6385" s="56"/>
      <c r="J6385" s="58"/>
      <c r="K6385" s="58"/>
      <c r="L6385" s="13" t="str">
        <f t="shared" si="978"/>
        <v/>
      </c>
      <c r="M6385" s="13" t="str">
        <f t="shared" si="979"/>
        <v/>
      </c>
      <c r="Q6385" t="str">
        <f t="shared" si="980"/>
        <v/>
      </c>
      <c r="R6385" t="str">
        <f t="shared" si="981"/>
        <v/>
      </c>
      <c r="S6385" t="str">
        <f t="shared" si="982"/>
        <v/>
      </c>
      <c r="T6385" t="str">
        <f t="shared" si="983"/>
        <v/>
      </c>
      <c r="U6385" t="str">
        <f t="shared" si="984"/>
        <v/>
      </c>
      <c r="V6385" t="str">
        <f t="shared" si="985"/>
        <v/>
      </c>
      <c r="W6385" t="str">
        <f t="shared" si="986"/>
        <v/>
      </c>
      <c r="X6385">
        <f t="shared" si="976"/>
        <v>0</v>
      </c>
      <c r="Z6385" t="str">
        <f t="shared" si="987"/>
        <v/>
      </c>
      <c r="AA6385">
        <f t="shared" si="977"/>
        <v>0</v>
      </c>
    </row>
    <row r="6386" spans="1:27" ht="21" customHeight="1" x14ac:dyDescent="0.95">
      <c r="A6386" s="56"/>
      <c r="B6386" s="57"/>
      <c r="C6386" s="57"/>
      <c r="D6386" s="57"/>
      <c r="E6386" s="56"/>
      <c r="F6386" s="57"/>
      <c r="G6386" s="57"/>
      <c r="H6386" s="56"/>
      <c r="I6386" s="56"/>
      <c r="J6386" s="58"/>
      <c r="K6386" s="58"/>
      <c r="L6386" s="13" t="str">
        <f t="shared" si="978"/>
        <v/>
      </c>
      <c r="M6386" s="13" t="str">
        <f t="shared" si="979"/>
        <v/>
      </c>
      <c r="Q6386" t="str">
        <f t="shared" si="980"/>
        <v/>
      </c>
      <c r="R6386" t="str">
        <f t="shared" si="981"/>
        <v/>
      </c>
      <c r="S6386" t="str">
        <f t="shared" si="982"/>
        <v/>
      </c>
      <c r="T6386" t="str">
        <f t="shared" si="983"/>
        <v/>
      </c>
      <c r="U6386" t="str">
        <f t="shared" si="984"/>
        <v/>
      </c>
      <c r="V6386" t="str">
        <f t="shared" si="985"/>
        <v/>
      </c>
      <c r="W6386" t="str">
        <f t="shared" si="986"/>
        <v/>
      </c>
      <c r="X6386">
        <f t="shared" si="976"/>
        <v>0</v>
      </c>
      <c r="Z6386" t="str">
        <f t="shared" si="987"/>
        <v/>
      </c>
      <c r="AA6386">
        <f t="shared" si="977"/>
        <v>0</v>
      </c>
    </row>
    <row r="6387" spans="1:27" ht="21" customHeight="1" x14ac:dyDescent="0.95">
      <c r="A6387" s="56"/>
      <c r="B6387" s="57"/>
      <c r="C6387" s="57"/>
      <c r="D6387" s="57"/>
      <c r="E6387" s="56"/>
      <c r="F6387" s="57"/>
      <c r="G6387" s="57"/>
      <c r="H6387" s="56"/>
      <c r="I6387" s="56"/>
      <c r="J6387" s="58"/>
      <c r="K6387" s="58"/>
      <c r="L6387" s="13" t="str">
        <f t="shared" si="978"/>
        <v/>
      </c>
      <c r="M6387" s="13" t="str">
        <f t="shared" si="979"/>
        <v/>
      </c>
      <c r="Q6387" t="str">
        <f t="shared" si="980"/>
        <v/>
      </c>
      <c r="R6387" t="str">
        <f t="shared" si="981"/>
        <v/>
      </c>
      <c r="S6387" t="str">
        <f t="shared" si="982"/>
        <v/>
      </c>
      <c r="T6387" t="str">
        <f t="shared" si="983"/>
        <v/>
      </c>
      <c r="U6387" t="str">
        <f t="shared" si="984"/>
        <v/>
      </c>
      <c r="V6387" t="str">
        <f t="shared" si="985"/>
        <v/>
      </c>
      <c r="W6387" t="str">
        <f t="shared" si="986"/>
        <v/>
      </c>
      <c r="X6387">
        <f t="shared" si="976"/>
        <v>0</v>
      </c>
      <c r="Z6387" t="str">
        <f t="shared" si="987"/>
        <v/>
      </c>
      <c r="AA6387">
        <f t="shared" si="977"/>
        <v>0</v>
      </c>
    </row>
    <row r="6388" spans="1:27" ht="21" customHeight="1" x14ac:dyDescent="0.95">
      <c r="A6388" s="56"/>
      <c r="B6388" s="57"/>
      <c r="C6388" s="57"/>
      <c r="D6388" s="57"/>
      <c r="E6388" s="56"/>
      <c r="F6388" s="57"/>
      <c r="G6388" s="57"/>
      <c r="H6388" s="56"/>
      <c r="I6388" s="56"/>
      <c r="J6388" s="58"/>
      <c r="K6388" s="58"/>
      <c r="L6388" s="13" t="str">
        <f t="shared" si="978"/>
        <v/>
      </c>
      <c r="M6388" s="13" t="str">
        <f t="shared" si="979"/>
        <v/>
      </c>
      <c r="Q6388" t="str">
        <f t="shared" si="980"/>
        <v/>
      </c>
      <c r="R6388" t="str">
        <f t="shared" si="981"/>
        <v/>
      </c>
      <c r="S6388" t="str">
        <f t="shared" si="982"/>
        <v/>
      </c>
      <c r="T6388" t="str">
        <f t="shared" si="983"/>
        <v/>
      </c>
      <c r="U6388" t="str">
        <f t="shared" si="984"/>
        <v/>
      </c>
      <c r="V6388" t="str">
        <f t="shared" si="985"/>
        <v/>
      </c>
      <c r="W6388" t="str">
        <f t="shared" si="986"/>
        <v/>
      </c>
      <c r="X6388">
        <f t="shared" si="976"/>
        <v>0</v>
      </c>
      <c r="Z6388" t="str">
        <f t="shared" si="987"/>
        <v/>
      </c>
      <c r="AA6388">
        <f t="shared" si="977"/>
        <v>0</v>
      </c>
    </row>
    <row r="6389" spans="1:27" ht="21" customHeight="1" x14ac:dyDescent="0.95">
      <c r="A6389" s="56"/>
      <c r="B6389" s="57"/>
      <c r="C6389" s="57"/>
      <c r="D6389" s="57"/>
      <c r="E6389" s="56"/>
      <c r="F6389" s="57"/>
      <c r="G6389" s="57"/>
      <c r="H6389" s="56"/>
      <c r="I6389" s="56"/>
      <c r="J6389" s="58"/>
      <c r="K6389" s="58"/>
      <c r="L6389" s="13" t="str">
        <f t="shared" si="978"/>
        <v/>
      </c>
      <c r="M6389" s="13" t="str">
        <f t="shared" si="979"/>
        <v/>
      </c>
      <c r="Q6389" t="str">
        <f t="shared" si="980"/>
        <v/>
      </c>
      <c r="R6389" t="str">
        <f t="shared" si="981"/>
        <v/>
      </c>
      <c r="S6389" t="str">
        <f t="shared" si="982"/>
        <v/>
      </c>
      <c r="T6389" t="str">
        <f t="shared" si="983"/>
        <v/>
      </c>
      <c r="U6389" t="str">
        <f t="shared" si="984"/>
        <v/>
      </c>
      <c r="V6389" t="str">
        <f t="shared" si="985"/>
        <v/>
      </c>
      <c r="W6389" t="str">
        <f t="shared" si="986"/>
        <v/>
      </c>
      <c r="X6389">
        <f t="shared" ref="X6389:X6452" si="988">IF($T6389="",N($X6388),IF(MATCH($T6389,$T$6:$T$10005,0)=ROW()-5,N($X6388)+1,N($X6388)))</f>
        <v>0</v>
      </c>
      <c r="Z6389" t="str">
        <f t="shared" si="987"/>
        <v/>
      </c>
      <c r="AA6389">
        <f t="shared" ref="AA6389:AA6452" si="989">IF($V6389="",N($AA6388),IF(MATCH($V6389,$V$6:$V$10005,0)=ROW()-5,N($AA6388)+1,N($AA6388)))</f>
        <v>0</v>
      </c>
    </row>
    <row r="6390" spans="1:27" ht="21" customHeight="1" x14ac:dyDescent="0.95">
      <c r="A6390" s="56"/>
      <c r="B6390" s="57"/>
      <c r="C6390" s="57"/>
      <c r="D6390" s="57"/>
      <c r="E6390" s="56"/>
      <c r="F6390" s="57"/>
      <c r="G6390" s="57"/>
      <c r="H6390" s="56"/>
      <c r="I6390" s="56"/>
      <c r="J6390" s="58"/>
      <c r="K6390" s="58"/>
      <c r="L6390" s="13" t="str">
        <f t="shared" si="978"/>
        <v/>
      </c>
      <c r="M6390" s="13" t="str">
        <f t="shared" si="979"/>
        <v/>
      </c>
      <c r="Q6390" t="str">
        <f t="shared" si="980"/>
        <v/>
      </c>
      <c r="R6390" t="str">
        <f t="shared" si="981"/>
        <v/>
      </c>
      <c r="S6390" t="str">
        <f t="shared" si="982"/>
        <v/>
      </c>
      <c r="T6390" t="str">
        <f t="shared" si="983"/>
        <v/>
      </c>
      <c r="U6390" t="str">
        <f t="shared" si="984"/>
        <v/>
      </c>
      <c r="V6390" t="str">
        <f t="shared" si="985"/>
        <v/>
      </c>
      <c r="W6390" t="str">
        <f t="shared" si="986"/>
        <v/>
      </c>
      <c r="X6390">
        <f t="shared" si="988"/>
        <v>0</v>
      </c>
      <c r="Z6390" t="str">
        <f t="shared" si="987"/>
        <v/>
      </c>
      <c r="AA6390">
        <f t="shared" si="989"/>
        <v>0</v>
      </c>
    </row>
    <row r="6391" spans="1:27" ht="21" customHeight="1" x14ac:dyDescent="0.95">
      <c r="A6391" s="56"/>
      <c r="B6391" s="57"/>
      <c r="C6391" s="57"/>
      <c r="D6391" s="57"/>
      <c r="E6391" s="56"/>
      <c r="F6391" s="57"/>
      <c r="G6391" s="57"/>
      <c r="H6391" s="56"/>
      <c r="I6391" s="56"/>
      <c r="J6391" s="58"/>
      <c r="K6391" s="58"/>
      <c r="L6391" s="13" t="str">
        <f t="shared" si="978"/>
        <v/>
      </c>
      <c r="M6391" s="13" t="str">
        <f t="shared" si="979"/>
        <v/>
      </c>
      <c r="Q6391" t="str">
        <f t="shared" si="980"/>
        <v/>
      </c>
      <c r="R6391" t="str">
        <f t="shared" si="981"/>
        <v/>
      </c>
      <c r="S6391" t="str">
        <f t="shared" si="982"/>
        <v/>
      </c>
      <c r="T6391" t="str">
        <f t="shared" si="983"/>
        <v/>
      </c>
      <c r="U6391" t="str">
        <f t="shared" si="984"/>
        <v/>
      </c>
      <c r="V6391" t="str">
        <f t="shared" si="985"/>
        <v/>
      </c>
      <c r="W6391" t="str">
        <f t="shared" si="986"/>
        <v/>
      </c>
      <c r="X6391">
        <f t="shared" si="988"/>
        <v>0</v>
      </c>
      <c r="Z6391" t="str">
        <f t="shared" si="987"/>
        <v/>
      </c>
      <c r="AA6391">
        <f t="shared" si="989"/>
        <v>0</v>
      </c>
    </row>
    <row r="6392" spans="1:27" ht="21" customHeight="1" x14ac:dyDescent="0.95">
      <c r="A6392" s="56"/>
      <c r="B6392" s="57"/>
      <c r="C6392" s="57"/>
      <c r="D6392" s="57"/>
      <c r="E6392" s="56"/>
      <c r="F6392" s="57"/>
      <c r="G6392" s="57"/>
      <c r="H6392" s="56"/>
      <c r="I6392" s="56"/>
      <c r="J6392" s="58"/>
      <c r="K6392" s="58"/>
      <c r="L6392" s="13" t="str">
        <f t="shared" si="978"/>
        <v/>
      </c>
      <c r="M6392" s="13" t="str">
        <f t="shared" si="979"/>
        <v/>
      </c>
      <c r="Q6392" t="str">
        <f t="shared" si="980"/>
        <v/>
      </c>
      <c r="R6392" t="str">
        <f t="shared" si="981"/>
        <v/>
      </c>
      <c r="S6392" t="str">
        <f t="shared" si="982"/>
        <v/>
      </c>
      <c r="T6392" t="str">
        <f t="shared" si="983"/>
        <v/>
      </c>
      <c r="U6392" t="str">
        <f t="shared" si="984"/>
        <v/>
      </c>
      <c r="V6392" t="str">
        <f t="shared" si="985"/>
        <v/>
      </c>
      <c r="W6392" t="str">
        <f t="shared" si="986"/>
        <v/>
      </c>
      <c r="X6392">
        <f t="shared" si="988"/>
        <v>0</v>
      </c>
      <c r="Z6392" t="str">
        <f t="shared" si="987"/>
        <v/>
      </c>
      <c r="AA6392">
        <f t="shared" si="989"/>
        <v>0</v>
      </c>
    </row>
    <row r="6393" spans="1:27" ht="21" customHeight="1" x14ac:dyDescent="0.95">
      <c r="A6393" s="56"/>
      <c r="B6393" s="57"/>
      <c r="C6393" s="57"/>
      <c r="D6393" s="57"/>
      <c r="E6393" s="56"/>
      <c r="F6393" s="57"/>
      <c r="G6393" s="57"/>
      <c r="H6393" s="56"/>
      <c r="I6393" s="56"/>
      <c r="J6393" s="58"/>
      <c r="K6393" s="58"/>
      <c r="L6393" s="13" t="str">
        <f t="shared" si="978"/>
        <v/>
      </c>
      <c r="M6393" s="13" t="str">
        <f t="shared" si="979"/>
        <v/>
      </c>
      <c r="Q6393" t="str">
        <f t="shared" si="980"/>
        <v/>
      </c>
      <c r="R6393" t="str">
        <f t="shared" si="981"/>
        <v/>
      </c>
      <c r="S6393" t="str">
        <f t="shared" si="982"/>
        <v/>
      </c>
      <c r="T6393" t="str">
        <f t="shared" si="983"/>
        <v/>
      </c>
      <c r="U6393" t="str">
        <f t="shared" si="984"/>
        <v/>
      </c>
      <c r="V6393" t="str">
        <f t="shared" si="985"/>
        <v/>
      </c>
      <c r="W6393" t="str">
        <f t="shared" si="986"/>
        <v/>
      </c>
      <c r="X6393">
        <f t="shared" si="988"/>
        <v>0</v>
      </c>
      <c r="Z6393" t="str">
        <f t="shared" si="987"/>
        <v/>
      </c>
      <c r="AA6393">
        <f t="shared" si="989"/>
        <v>0</v>
      </c>
    </row>
    <row r="6394" spans="1:27" ht="21" customHeight="1" x14ac:dyDescent="0.95">
      <c r="A6394" s="56"/>
      <c r="B6394" s="57"/>
      <c r="C6394" s="57"/>
      <c r="D6394" s="57"/>
      <c r="E6394" s="56"/>
      <c r="F6394" s="57"/>
      <c r="G6394" s="57"/>
      <c r="H6394" s="56"/>
      <c r="I6394" s="56"/>
      <c r="J6394" s="58"/>
      <c r="K6394" s="58"/>
      <c r="L6394" s="13" t="str">
        <f t="shared" si="978"/>
        <v/>
      </c>
      <c r="M6394" s="13" t="str">
        <f t="shared" si="979"/>
        <v/>
      </c>
      <c r="Q6394" t="str">
        <f t="shared" si="980"/>
        <v/>
      </c>
      <c r="R6394" t="str">
        <f t="shared" si="981"/>
        <v/>
      </c>
      <c r="S6394" t="str">
        <f t="shared" si="982"/>
        <v/>
      </c>
      <c r="T6394" t="str">
        <f t="shared" si="983"/>
        <v/>
      </c>
      <c r="U6394" t="str">
        <f t="shared" si="984"/>
        <v/>
      </c>
      <c r="V6394" t="str">
        <f t="shared" si="985"/>
        <v/>
      </c>
      <c r="W6394" t="str">
        <f t="shared" si="986"/>
        <v/>
      </c>
      <c r="X6394">
        <f t="shared" si="988"/>
        <v>0</v>
      </c>
      <c r="Z6394" t="str">
        <f t="shared" si="987"/>
        <v/>
      </c>
      <c r="AA6394">
        <f t="shared" si="989"/>
        <v>0</v>
      </c>
    </row>
    <row r="6395" spans="1:27" ht="21" customHeight="1" x14ac:dyDescent="0.95">
      <c r="A6395" s="56"/>
      <c r="B6395" s="57"/>
      <c r="C6395" s="57"/>
      <c r="D6395" s="57"/>
      <c r="E6395" s="56"/>
      <c r="F6395" s="57"/>
      <c r="G6395" s="57"/>
      <c r="H6395" s="56"/>
      <c r="I6395" s="56"/>
      <c r="J6395" s="58"/>
      <c r="K6395" s="58"/>
      <c r="L6395" s="13" t="str">
        <f t="shared" si="978"/>
        <v/>
      </c>
      <c r="M6395" s="13" t="str">
        <f t="shared" si="979"/>
        <v/>
      </c>
      <c r="Q6395" t="str">
        <f t="shared" si="980"/>
        <v/>
      </c>
      <c r="R6395" t="str">
        <f t="shared" si="981"/>
        <v/>
      </c>
      <c r="S6395" t="str">
        <f t="shared" si="982"/>
        <v/>
      </c>
      <c r="T6395" t="str">
        <f t="shared" si="983"/>
        <v/>
      </c>
      <c r="U6395" t="str">
        <f t="shared" si="984"/>
        <v/>
      </c>
      <c r="V6395" t="str">
        <f t="shared" si="985"/>
        <v/>
      </c>
      <c r="W6395" t="str">
        <f t="shared" si="986"/>
        <v/>
      </c>
      <c r="X6395">
        <f t="shared" si="988"/>
        <v>0</v>
      </c>
      <c r="Z6395" t="str">
        <f t="shared" si="987"/>
        <v/>
      </c>
      <c r="AA6395">
        <f t="shared" si="989"/>
        <v>0</v>
      </c>
    </row>
    <row r="6396" spans="1:27" ht="21" customHeight="1" x14ac:dyDescent="0.95">
      <c r="A6396" s="56"/>
      <c r="B6396" s="57"/>
      <c r="C6396" s="57"/>
      <c r="D6396" s="57"/>
      <c r="E6396" s="56"/>
      <c r="F6396" s="57"/>
      <c r="G6396" s="57"/>
      <c r="H6396" s="56"/>
      <c r="I6396" s="56"/>
      <c r="J6396" s="58"/>
      <c r="K6396" s="58"/>
      <c r="L6396" s="13" t="str">
        <f t="shared" si="978"/>
        <v/>
      </c>
      <c r="M6396" s="13" t="str">
        <f t="shared" si="979"/>
        <v/>
      </c>
      <c r="Q6396" t="str">
        <f t="shared" si="980"/>
        <v/>
      </c>
      <c r="R6396" t="str">
        <f t="shared" si="981"/>
        <v/>
      </c>
      <c r="S6396" t="str">
        <f t="shared" si="982"/>
        <v/>
      </c>
      <c r="T6396" t="str">
        <f t="shared" si="983"/>
        <v/>
      </c>
      <c r="U6396" t="str">
        <f t="shared" si="984"/>
        <v/>
      </c>
      <c r="V6396" t="str">
        <f t="shared" si="985"/>
        <v/>
      </c>
      <c r="W6396" t="str">
        <f t="shared" si="986"/>
        <v/>
      </c>
      <c r="X6396">
        <f t="shared" si="988"/>
        <v>0</v>
      </c>
      <c r="Z6396" t="str">
        <f t="shared" si="987"/>
        <v/>
      </c>
      <c r="AA6396">
        <f t="shared" si="989"/>
        <v>0</v>
      </c>
    </row>
    <row r="6397" spans="1:27" ht="21" customHeight="1" x14ac:dyDescent="0.95">
      <c r="A6397" s="56"/>
      <c r="B6397" s="57"/>
      <c r="C6397" s="57"/>
      <c r="D6397" s="57"/>
      <c r="E6397" s="56"/>
      <c r="F6397" s="57"/>
      <c r="G6397" s="57"/>
      <c r="H6397" s="56"/>
      <c r="I6397" s="56"/>
      <c r="J6397" s="58"/>
      <c r="K6397" s="58"/>
      <c r="L6397" s="13" t="str">
        <f t="shared" si="978"/>
        <v/>
      </c>
      <c r="M6397" s="13" t="str">
        <f t="shared" si="979"/>
        <v/>
      </c>
      <c r="Q6397" t="str">
        <f t="shared" si="980"/>
        <v/>
      </c>
      <c r="R6397" t="str">
        <f t="shared" si="981"/>
        <v/>
      </c>
      <c r="S6397" t="str">
        <f t="shared" si="982"/>
        <v/>
      </c>
      <c r="T6397" t="str">
        <f t="shared" si="983"/>
        <v/>
      </c>
      <c r="U6397" t="str">
        <f t="shared" si="984"/>
        <v/>
      </c>
      <c r="V6397" t="str">
        <f t="shared" si="985"/>
        <v/>
      </c>
      <c r="W6397" t="str">
        <f t="shared" si="986"/>
        <v/>
      </c>
      <c r="X6397">
        <f t="shared" si="988"/>
        <v>0</v>
      </c>
      <c r="Z6397" t="str">
        <f t="shared" si="987"/>
        <v/>
      </c>
      <c r="AA6397">
        <f t="shared" si="989"/>
        <v>0</v>
      </c>
    </row>
    <row r="6398" spans="1:27" ht="21" customHeight="1" x14ac:dyDescent="0.95">
      <c r="A6398" s="56"/>
      <c r="B6398" s="57"/>
      <c r="C6398" s="57"/>
      <c r="D6398" s="57"/>
      <c r="E6398" s="56"/>
      <c r="F6398" s="57"/>
      <c r="G6398" s="57"/>
      <c r="H6398" s="56"/>
      <c r="I6398" s="56"/>
      <c r="J6398" s="58"/>
      <c r="K6398" s="58"/>
      <c r="L6398" s="13" t="str">
        <f t="shared" si="978"/>
        <v/>
      </c>
      <c r="M6398" s="13" t="str">
        <f t="shared" si="979"/>
        <v/>
      </c>
      <c r="Q6398" t="str">
        <f t="shared" si="980"/>
        <v/>
      </c>
      <c r="R6398" t="str">
        <f t="shared" si="981"/>
        <v/>
      </c>
      <c r="S6398" t="str">
        <f t="shared" si="982"/>
        <v/>
      </c>
      <c r="T6398" t="str">
        <f t="shared" si="983"/>
        <v/>
      </c>
      <c r="U6398" t="str">
        <f t="shared" si="984"/>
        <v/>
      </c>
      <c r="V6398" t="str">
        <f t="shared" si="985"/>
        <v/>
      </c>
      <c r="W6398" t="str">
        <f t="shared" si="986"/>
        <v/>
      </c>
      <c r="X6398">
        <f t="shared" si="988"/>
        <v>0</v>
      </c>
      <c r="Z6398" t="str">
        <f t="shared" si="987"/>
        <v/>
      </c>
      <c r="AA6398">
        <f t="shared" si="989"/>
        <v>0</v>
      </c>
    </row>
    <row r="6399" spans="1:27" ht="21" customHeight="1" x14ac:dyDescent="0.95">
      <c r="A6399" s="56"/>
      <c r="B6399" s="57"/>
      <c r="C6399" s="57"/>
      <c r="D6399" s="57"/>
      <c r="E6399" s="56"/>
      <c r="F6399" s="57"/>
      <c r="G6399" s="57"/>
      <c r="H6399" s="56"/>
      <c r="I6399" s="56"/>
      <c r="J6399" s="58"/>
      <c r="K6399" s="58"/>
      <c r="L6399" s="13" t="str">
        <f t="shared" si="978"/>
        <v/>
      </c>
      <c r="M6399" s="13" t="str">
        <f t="shared" si="979"/>
        <v/>
      </c>
      <c r="Q6399" t="str">
        <f t="shared" si="980"/>
        <v/>
      </c>
      <c r="R6399" t="str">
        <f t="shared" si="981"/>
        <v/>
      </c>
      <c r="S6399" t="str">
        <f t="shared" si="982"/>
        <v/>
      </c>
      <c r="T6399" t="str">
        <f t="shared" si="983"/>
        <v/>
      </c>
      <c r="U6399" t="str">
        <f t="shared" si="984"/>
        <v/>
      </c>
      <c r="V6399" t="str">
        <f t="shared" si="985"/>
        <v/>
      </c>
      <c r="W6399" t="str">
        <f t="shared" si="986"/>
        <v/>
      </c>
      <c r="X6399">
        <f t="shared" si="988"/>
        <v>0</v>
      </c>
      <c r="Z6399" t="str">
        <f t="shared" si="987"/>
        <v/>
      </c>
      <c r="AA6399">
        <f t="shared" si="989"/>
        <v>0</v>
      </c>
    </row>
    <row r="6400" spans="1:27" ht="21" customHeight="1" x14ac:dyDescent="0.95">
      <c r="A6400" s="56"/>
      <c r="B6400" s="57"/>
      <c r="C6400" s="57"/>
      <c r="D6400" s="57"/>
      <c r="E6400" s="56"/>
      <c r="F6400" s="57"/>
      <c r="G6400" s="57"/>
      <c r="H6400" s="56"/>
      <c r="I6400" s="56"/>
      <c r="J6400" s="58"/>
      <c r="K6400" s="58"/>
      <c r="L6400" s="13" t="str">
        <f t="shared" si="978"/>
        <v/>
      </c>
      <c r="M6400" s="13" t="str">
        <f t="shared" si="979"/>
        <v/>
      </c>
      <c r="Q6400" t="str">
        <f t="shared" si="980"/>
        <v/>
      </c>
      <c r="R6400" t="str">
        <f t="shared" si="981"/>
        <v/>
      </c>
      <c r="S6400" t="str">
        <f t="shared" si="982"/>
        <v/>
      </c>
      <c r="T6400" t="str">
        <f t="shared" si="983"/>
        <v/>
      </c>
      <c r="U6400" t="str">
        <f t="shared" si="984"/>
        <v/>
      </c>
      <c r="V6400" t="str">
        <f t="shared" si="985"/>
        <v/>
      </c>
      <c r="W6400" t="str">
        <f t="shared" si="986"/>
        <v/>
      </c>
      <c r="X6400">
        <f t="shared" si="988"/>
        <v>0</v>
      </c>
      <c r="Z6400" t="str">
        <f t="shared" si="987"/>
        <v/>
      </c>
      <c r="AA6400">
        <f t="shared" si="989"/>
        <v>0</v>
      </c>
    </row>
    <row r="6401" spans="1:27" ht="21" customHeight="1" x14ac:dyDescent="0.95">
      <c r="A6401" s="56"/>
      <c r="B6401" s="57"/>
      <c r="C6401" s="57"/>
      <c r="D6401" s="57"/>
      <c r="E6401" s="56"/>
      <c r="F6401" s="57"/>
      <c r="G6401" s="57"/>
      <c r="H6401" s="56"/>
      <c r="I6401" s="56"/>
      <c r="J6401" s="58"/>
      <c r="K6401" s="58"/>
      <c r="L6401" s="13" t="str">
        <f t="shared" si="978"/>
        <v/>
      </c>
      <c r="M6401" s="13" t="str">
        <f t="shared" si="979"/>
        <v/>
      </c>
      <c r="Q6401" t="str">
        <f t="shared" si="980"/>
        <v/>
      </c>
      <c r="R6401" t="str">
        <f t="shared" si="981"/>
        <v/>
      </c>
      <c r="S6401" t="str">
        <f t="shared" si="982"/>
        <v/>
      </c>
      <c r="T6401" t="str">
        <f t="shared" si="983"/>
        <v/>
      </c>
      <c r="U6401" t="str">
        <f t="shared" si="984"/>
        <v/>
      </c>
      <c r="V6401" t="str">
        <f t="shared" si="985"/>
        <v/>
      </c>
      <c r="W6401" t="str">
        <f t="shared" si="986"/>
        <v/>
      </c>
      <c r="X6401">
        <f t="shared" si="988"/>
        <v>0</v>
      </c>
      <c r="Z6401" t="str">
        <f t="shared" si="987"/>
        <v/>
      </c>
      <c r="AA6401">
        <f t="shared" si="989"/>
        <v>0</v>
      </c>
    </row>
    <row r="6402" spans="1:27" ht="21" customHeight="1" x14ac:dyDescent="0.95">
      <c r="A6402" s="56"/>
      <c r="B6402" s="57"/>
      <c r="C6402" s="57"/>
      <c r="D6402" s="57"/>
      <c r="E6402" s="56"/>
      <c r="F6402" s="57"/>
      <c r="G6402" s="57"/>
      <c r="H6402" s="56"/>
      <c r="I6402" s="56"/>
      <c r="J6402" s="58"/>
      <c r="K6402" s="58"/>
      <c r="L6402" s="13" t="str">
        <f t="shared" si="978"/>
        <v/>
      </c>
      <c r="M6402" s="13" t="str">
        <f t="shared" si="979"/>
        <v/>
      </c>
      <c r="Q6402" t="str">
        <f t="shared" si="980"/>
        <v/>
      </c>
      <c r="R6402" t="str">
        <f t="shared" si="981"/>
        <v/>
      </c>
      <c r="S6402" t="str">
        <f t="shared" si="982"/>
        <v/>
      </c>
      <c r="T6402" t="str">
        <f t="shared" si="983"/>
        <v/>
      </c>
      <c r="U6402" t="str">
        <f t="shared" si="984"/>
        <v/>
      </c>
      <c r="V6402" t="str">
        <f t="shared" si="985"/>
        <v/>
      </c>
      <c r="W6402" t="str">
        <f t="shared" si="986"/>
        <v/>
      </c>
      <c r="X6402">
        <f t="shared" si="988"/>
        <v>0</v>
      </c>
      <c r="Z6402" t="str">
        <f t="shared" si="987"/>
        <v/>
      </c>
      <c r="AA6402">
        <f t="shared" si="989"/>
        <v>0</v>
      </c>
    </row>
    <row r="6403" spans="1:27" ht="21" customHeight="1" x14ac:dyDescent="0.95">
      <c r="A6403" s="56"/>
      <c r="B6403" s="57"/>
      <c r="C6403" s="57"/>
      <c r="D6403" s="57"/>
      <c r="E6403" s="56"/>
      <c r="F6403" s="57"/>
      <c r="G6403" s="57"/>
      <c r="H6403" s="56"/>
      <c r="I6403" s="56"/>
      <c r="J6403" s="58"/>
      <c r="K6403" s="58"/>
      <c r="L6403" s="13" t="str">
        <f t="shared" si="978"/>
        <v/>
      </c>
      <c r="M6403" s="13" t="str">
        <f t="shared" si="979"/>
        <v/>
      </c>
      <c r="Q6403" t="str">
        <f t="shared" si="980"/>
        <v/>
      </c>
      <c r="R6403" t="str">
        <f t="shared" si="981"/>
        <v/>
      </c>
      <c r="S6403" t="str">
        <f t="shared" si="982"/>
        <v/>
      </c>
      <c r="T6403" t="str">
        <f t="shared" si="983"/>
        <v/>
      </c>
      <c r="U6403" t="str">
        <f t="shared" si="984"/>
        <v/>
      </c>
      <c r="V6403" t="str">
        <f t="shared" si="985"/>
        <v/>
      </c>
      <c r="W6403" t="str">
        <f t="shared" si="986"/>
        <v/>
      </c>
      <c r="X6403">
        <f t="shared" si="988"/>
        <v>0</v>
      </c>
      <c r="Z6403" t="str">
        <f t="shared" si="987"/>
        <v/>
      </c>
      <c r="AA6403">
        <f t="shared" si="989"/>
        <v>0</v>
      </c>
    </row>
    <row r="6404" spans="1:27" ht="21" customHeight="1" x14ac:dyDescent="0.95">
      <c r="A6404" s="56"/>
      <c r="B6404" s="57"/>
      <c r="C6404" s="57"/>
      <c r="D6404" s="57"/>
      <c r="E6404" s="56"/>
      <c r="F6404" s="57"/>
      <c r="G6404" s="57"/>
      <c r="H6404" s="56"/>
      <c r="I6404" s="56"/>
      <c r="J6404" s="58"/>
      <c r="K6404" s="58"/>
      <c r="L6404" s="13" t="str">
        <f t="shared" ref="L6404:L6467" si="990">IF(OR($A6404="",AND($J6404="",$K6404="")),"",ROUND(N($J6404)-N($K6404),2))</f>
        <v/>
      </c>
      <c r="M6404" s="13" t="str">
        <f t="shared" ref="M6404:M6467" si="991">IF(OR($A6404="",AND($J6404="",$K6404="")),"",MIN($J6404,$K6404))</f>
        <v/>
      </c>
      <c r="Q6404" t="str">
        <f t="shared" ref="Q6404:Q6467" si="992">IF($A6404="","",$D6404&amp;"("&amp;SUBSTITUTE($E6404," ","")&amp;")")</f>
        <v/>
      </c>
      <c r="R6404" t="str">
        <f t="shared" ref="R6404:R6467" si="993">IF($A6404="","",$B6404&amp;" - "&amp;$C6404)</f>
        <v/>
      </c>
      <c r="S6404" t="str">
        <f t="shared" ref="S6404:S6467" si="994">IF($A6404="","",$R6404&amp;"|"&amp;$Q6404)</f>
        <v/>
      </c>
      <c r="T6404" t="str">
        <f t="shared" ref="T6404:T6467" si="995">IF($A6404="","",$S6404&amp;"|"&amp;$F6404)</f>
        <v/>
      </c>
      <c r="U6404" t="str">
        <f t="shared" ref="U6404:U6467" si="996">IF($A6404="","",$R6404&amp;"("&amp;$E6404&amp;")")</f>
        <v/>
      </c>
      <c r="V6404" t="str">
        <f t="shared" ref="V6404:V6467" si="997">IF($A6404="","",$F6404&amp;"|"&amp;$U6404&amp;"|"&amp;$D6404)</f>
        <v/>
      </c>
      <c r="W6404" t="str">
        <f t="shared" si="986"/>
        <v/>
      </c>
      <c r="X6404">
        <f t="shared" si="988"/>
        <v>0</v>
      </c>
      <c r="Z6404" t="str">
        <f t="shared" si="987"/>
        <v/>
      </c>
      <c r="AA6404">
        <f t="shared" si="989"/>
        <v>0</v>
      </c>
    </row>
    <row r="6405" spans="1:27" ht="21" customHeight="1" x14ac:dyDescent="0.95">
      <c r="A6405" s="56"/>
      <c r="B6405" s="57"/>
      <c r="C6405" s="57"/>
      <c r="D6405" s="57"/>
      <c r="E6405" s="56"/>
      <c r="F6405" s="57"/>
      <c r="G6405" s="57"/>
      <c r="H6405" s="56"/>
      <c r="I6405" s="56"/>
      <c r="J6405" s="58"/>
      <c r="K6405" s="58"/>
      <c r="L6405" s="13" t="str">
        <f t="shared" si="990"/>
        <v/>
      </c>
      <c r="M6405" s="13" t="str">
        <f t="shared" si="991"/>
        <v/>
      </c>
      <c r="Q6405" t="str">
        <f t="shared" si="992"/>
        <v/>
      </c>
      <c r="R6405" t="str">
        <f t="shared" si="993"/>
        <v/>
      </c>
      <c r="S6405" t="str">
        <f t="shared" si="994"/>
        <v/>
      </c>
      <c r="T6405" t="str">
        <f t="shared" si="995"/>
        <v/>
      </c>
      <c r="U6405" t="str">
        <f t="shared" si="996"/>
        <v/>
      </c>
      <c r="V6405" t="str">
        <f t="shared" si="997"/>
        <v/>
      </c>
      <c r="W6405" t="str">
        <f t="shared" si="986"/>
        <v/>
      </c>
      <c r="X6405">
        <f t="shared" si="988"/>
        <v>0</v>
      </c>
      <c r="Z6405" t="str">
        <f t="shared" si="987"/>
        <v/>
      </c>
      <c r="AA6405">
        <f t="shared" si="989"/>
        <v>0</v>
      </c>
    </row>
    <row r="6406" spans="1:27" ht="21" customHeight="1" x14ac:dyDescent="0.95">
      <c r="A6406" s="56"/>
      <c r="B6406" s="57"/>
      <c r="C6406" s="57"/>
      <c r="D6406" s="57"/>
      <c r="E6406" s="56"/>
      <c r="F6406" s="57"/>
      <c r="G6406" s="57"/>
      <c r="H6406" s="56"/>
      <c r="I6406" s="56"/>
      <c r="J6406" s="58"/>
      <c r="K6406" s="58"/>
      <c r="L6406" s="13" t="str">
        <f t="shared" si="990"/>
        <v/>
      </c>
      <c r="M6406" s="13" t="str">
        <f t="shared" si="991"/>
        <v/>
      </c>
      <c r="Q6406" t="str">
        <f t="shared" si="992"/>
        <v/>
      </c>
      <c r="R6406" t="str">
        <f t="shared" si="993"/>
        <v/>
      </c>
      <c r="S6406" t="str">
        <f t="shared" si="994"/>
        <v/>
      </c>
      <c r="T6406" t="str">
        <f t="shared" si="995"/>
        <v/>
      </c>
      <c r="U6406" t="str">
        <f t="shared" si="996"/>
        <v/>
      </c>
      <c r="V6406" t="str">
        <f t="shared" si="997"/>
        <v/>
      </c>
      <c r="W6406" t="str">
        <f t="shared" ref="W6406:W6469" si="998">IF($T6406="","",IF($X6406&gt;N($X6405),$X6406,""))</f>
        <v/>
      </c>
      <c r="X6406">
        <f t="shared" si="988"/>
        <v>0</v>
      </c>
      <c r="Z6406" t="str">
        <f t="shared" ref="Z6406:Z6469" si="999">IF($V6406="","",IF($AA6406&gt;N($AA6405),$AA6406,""))</f>
        <v/>
      </c>
      <c r="AA6406">
        <f t="shared" si="989"/>
        <v>0</v>
      </c>
    </row>
    <row r="6407" spans="1:27" ht="21" customHeight="1" x14ac:dyDescent="0.95">
      <c r="A6407" s="56"/>
      <c r="B6407" s="57"/>
      <c r="C6407" s="57"/>
      <c r="D6407" s="57"/>
      <c r="E6407" s="56"/>
      <c r="F6407" s="57"/>
      <c r="G6407" s="57"/>
      <c r="H6407" s="56"/>
      <c r="I6407" s="56"/>
      <c r="J6407" s="58"/>
      <c r="K6407" s="58"/>
      <c r="L6407" s="13" t="str">
        <f t="shared" si="990"/>
        <v/>
      </c>
      <c r="M6407" s="13" t="str">
        <f t="shared" si="991"/>
        <v/>
      </c>
      <c r="Q6407" t="str">
        <f t="shared" si="992"/>
        <v/>
      </c>
      <c r="R6407" t="str">
        <f t="shared" si="993"/>
        <v/>
      </c>
      <c r="S6407" t="str">
        <f t="shared" si="994"/>
        <v/>
      </c>
      <c r="T6407" t="str">
        <f t="shared" si="995"/>
        <v/>
      </c>
      <c r="U6407" t="str">
        <f t="shared" si="996"/>
        <v/>
      </c>
      <c r="V6407" t="str">
        <f t="shared" si="997"/>
        <v/>
      </c>
      <c r="W6407" t="str">
        <f t="shared" si="998"/>
        <v/>
      </c>
      <c r="X6407">
        <f t="shared" si="988"/>
        <v>0</v>
      </c>
      <c r="Z6407" t="str">
        <f t="shared" si="999"/>
        <v/>
      </c>
      <c r="AA6407">
        <f t="shared" si="989"/>
        <v>0</v>
      </c>
    </row>
    <row r="6408" spans="1:27" ht="21" customHeight="1" x14ac:dyDescent="0.95">
      <c r="A6408" s="56"/>
      <c r="B6408" s="57"/>
      <c r="C6408" s="57"/>
      <c r="D6408" s="57"/>
      <c r="E6408" s="56"/>
      <c r="F6408" s="57"/>
      <c r="G6408" s="57"/>
      <c r="H6408" s="56"/>
      <c r="I6408" s="56"/>
      <c r="J6408" s="58"/>
      <c r="K6408" s="58"/>
      <c r="L6408" s="13" t="str">
        <f t="shared" si="990"/>
        <v/>
      </c>
      <c r="M6408" s="13" t="str">
        <f t="shared" si="991"/>
        <v/>
      </c>
      <c r="Q6408" t="str">
        <f t="shared" si="992"/>
        <v/>
      </c>
      <c r="R6408" t="str">
        <f t="shared" si="993"/>
        <v/>
      </c>
      <c r="S6408" t="str">
        <f t="shared" si="994"/>
        <v/>
      </c>
      <c r="T6408" t="str">
        <f t="shared" si="995"/>
        <v/>
      </c>
      <c r="U6408" t="str">
        <f t="shared" si="996"/>
        <v/>
      </c>
      <c r="V6408" t="str">
        <f t="shared" si="997"/>
        <v/>
      </c>
      <c r="W6408" t="str">
        <f t="shared" si="998"/>
        <v/>
      </c>
      <c r="X6408">
        <f t="shared" si="988"/>
        <v>0</v>
      </c>
      <c r="Z6408" t="str">
        <f t="shared" si="999"/>
        <v/>
      </c>
      <c r="AA6408">
        <f t="shared" si="989"/>
        <v>0</v>
      </c>
    </row>
    <row r="6409" spans="1:27" ht="21" customHeight="1" x14ac:dyDescent="0.95">
      <c r="A6409" s="56"/>
      <c r="B6409" s="57"/>
      <c r="C6409" s="57"/>
      <c r="D6409" s="57"/>
      <c r="E6409" s="56"/>
      <c r="F6409" s="57"/>
      <c r="G6409" s="57"/>
      <c r="H6409" s="56"/>
      <c r="I6409" s="56"/>
      <c r="J6409" s="58"/>
      <c r="K6409" s="58"/>
      <c r="L6409" s="13" t="str">
        <f t="shared" si="990"/>
        <v/>
      </c>
      <c r="M6409" s="13" t="str">
        <f t="shared" si="991"/>
        <v/>
      </c>
      <c r="Q6409" t="str">
        <f t="shared" si="992"/>
        <v/>
      </c>
      <c r="R6409" t="str">
        <f t="shared" si="993"/>
        <v/>
      </c>
      <c r="S6409" t="str">
        <f t="shared" si="994"/>
        <v/>
      </c>
      <c r="T6409" t="str">
        <f t="shared" si="995"/>
        <v/>
      </c>
      <c r="U6409" t="str">
        <f t="shared" si="996"/>
        <v/>
      </c>
      <c r="V6409" t="str">
        <f t="shared" si="997"/>
        <v/>
      </c>
      <c r="W6409" t="str">
        <f t="shared" si="998"/>
        <v/>
      </c>
      <c r="X6409">
        <f t="shared" si="988"/>
        <v>0</v>
      </c>
      <c r="Z6409" t="str">
        <f t="shared" si="999"/>
        <v/>
      </c>
      <c r="AA6409">
        <f t="shared" si="989"/>
        <v>0</v>
      </c>
    </row>
    <row r="6410" spans="1:27" ht="21" customHeight="1" x14ac:dyDescent="0.95">
      <c r="A6410" s="56"/>
      <c r="B6410" s="57"/>
      <c r="C6410" s="57"/>
      <c r="D6410" s="57"/>
      <c r="E6410" s="56"/>
      <c r="F6410" s="57"/>
      <c r="G6410" s="57"/>
      <c r="H6410" s="56"/>
      <c r="I6410" s="56"/>
      <c r="J6410" s="58"/>
      <c r="K6410" s="58"/>
      <c r="L6410" s="13" t="str">
        <f t="shared" si="990"/>
        <v/>
      </c>
      <c r="M6410" s="13" t="str">
        <f t="shared" si="991"/>
        <v/>
      </c>
      <c r="Q6410" t="str">
        <f t="shared" si="992"/>
        <v/>
      </c>
      <c r="R6410" t="str">
        <f t="shared" si="993"/>
        <v/>
      </c>
      <c r="S6410" t="str">
        <f t="shared" si="994"/>
        <v/>
      </c>
      <c r="T6410" t="str">
        <f t="shared" si="995"/>
        <v/>
      </c>
      <c r="U6410" t="str">
        <f t="shared" si="996"/>
        <v/>
      </c>
      <c r="V6410" t="str">
        <f t="shared" si="997"/>
        <v/>
      </c>
      <c r="W6410" t="str">
        <f t="shared" si="998"/>
        <v/>
      </c>
      <c r="X6410">
        <f t="shared" si="988"/>
        <v>0</v>
      </c>
      <c r="Z6410" t="str">
        <f t="shared" si="999"/>
        <v/>
      </c>
      <c r="AA6410">
        <f t="shared" si="989"/>
        <v>0</v>
      </c>
    </row>
    <row r="6411" spans="1:27" ht="21" customHeight="1" x14ac:dyDescent="0.95">
      <c r="A6411" s="56"/>
      <c r="B6411" s="57"/>
      <c r="C6411" s="57"/>
      <c r="D6411" s="57"/>
      <c r="E6411" s="56"/>
      <c r="F6411" s="57"/>
      <c r="G6411" s="57"/>
      <c r="H6411" s="56"/>
      <c r="I6411" s="56"/>
      <c r="J6411" s="58"/>
      <c r="K6411" s="58"/>
      <c r="L6411" s="13" t="str">
        <f t="shared" si="990"/>
        <v/>
      </c>
      <c r="M6411" s="13" t="str">
        <f t="shared" si="991"/>
        <v/>
      </c>
      <c r="Q6411" t="str">
        <f t="shared" si="992"/>
        <v/>
      </c>
      <c r="R6411" t="str">
        <f t="shared" si="993"/>
        <v/>
      </c>
      <c r="S6411" t="str">
        <f t="shared" si="994"/>
        <v/>
      </c>
      <c r="T6411" t="str">
        <f t="shared" si="995"/>
        <v/>
      </c>
      <c r="U6411" t="str">
        <f t="shared" si="996"/>
        <v/>
      </c>
      <c r="V6411" t="str">
        <f t="shared" si="997"/>
        <v/>
      </c>
      <c r="W6411" t="str">
        <f t="shared" si="998"/>
        <v/>
      </c>
      <c r="X6411">
        <f t="shared" si="988"/>
        <v>0</v>
      </c>
      <c r="Z6411" t="str">
        <f t="shared" si="999"/>
        <v/>
      </c>
      <c r="AA6411">
        <f t="shared" si="989"/>
        <v>0</v>
      </c>
    </row>
    <row r="6412" spans="1:27" ht="21" customHeight="1" x14ac:dyDescent="0.95">
      <c r="A6412" s="56"/>
      <c r="B6412" s="57"/>
      <c r="C6412" s="57"/>
      <c r="D6412" s="57"/>
      <c r="E6412" s="56"/>
      <c r="F6412" s="57"/>
      <c r="G6412" s="57"/>
      <c r="H6412" s="56"/>
      <c r="I6412" s="56"/>
      <c r="J6412" s="58"/>
      <c r="K6412" s="58"/>
      <c r="L6412" s="13" t="str">
        <f t="shared" si="990"/>
        <v/>
      </c>
      <c r="M6412" s="13" t="str">
        <f t="shared" si="991"/>
        <v/>
      </c>
      <c r="Q6412" t="str">
        <f t="shared" si="992"/>
        <v/>
      </c>
      <c r="R6412" t="str">
        <f t="shared" si="993"/>
        <v/>
      </c>
      <c r="S6412" t="str">
        <f t="shared" si="994"/>
        <v/>
      </c>
      <c r="T6412" t="str">
        <f t="shared" si="995"/>
        <v/>
      </c>
      <c r="U6412" t="str">
        <f t="shared" si="996"/>
        <v/>
      </c>
      <c r="V6412" t="str">
        <f t="shared" si="997"/>
        <v/>
      </c>
      <c r="W6412" t="str">
        <f t="shared" si="998"/>
        <v/>
      </c>
      <c r="X6412">
        <f t="shared" si="988"/>
        <v>0</v>
      </c>
      <c r="Z6412" t="str">
        <f t="shared" si="999"/>
        <v/>
      </c>
      <c r="AA6412">
        <f t="shared" si="989"/>
        <v>0</v>
      </c>
    </row>
    <row r="6413" spans="1:27" ht="21" customHeight="1" x14ac:dyDescent="0.95">
      <c r="A6413" s="56"/>
      <c r="B6413" s="57"/>
      <c r="C6413" s="57"/>
      <c r="D6413" s="57"/>
      <c r="E6413" s="56"/>
      <c r="F6413" s="57"/>
      <c r="G6413" s="57"/>
      <c r="H6413" s="56"/>
      <c r="I6413" s="56"/>
      <c r="J6413" s="58"/>
      <c r="K6413" s="58"/>
      <c r="L6413" s="13" t="str">
        <f t="shared" si="990"/>
        <v/>
      </c>
      <c r="M6413" s="13" t="str">
        <f t="shared" si="991"/>
        <v/>
      </c>
      <c r="Q6413" t="str">
        <f t="shared" si="992"/>
        <v/>
      </c>
      <c r="R6413" t="str">
        <f t="shared" si="993"/>
        <v/>
      </c>
      <c r="S6413" t="str">
        <f t="shared" si="994"/>
        <v/>
      </c>
      <c r="T6413" t="str">
        <f t="shared" si="995"/>
        <v/>
      </c>
      <c r="U6413" t="str">
        <f t="shared" si="996"/>
        <v/>
      </c>
      <c r="V6413" t="str">
        <f t="shared" si="997"/>
        <v/>
      </c>
      <c r="W6413" t="str">
        <f t="shared" si="998"/>
        <v/>
      </c>
      <c r="X6413">
        <f t="shared" si="988"/>
        <v>0</v>
      </c>
      <c r="Z6413" t="str">
        <f t="shared" si="999"/>
        <v/>
      </c>
      <c r="AA6413">
        <f t="shared" si="989"/>
        <v>0</v>
      </c>
    </row>
    <row r="6414" spans="1:27" ht="21" customHeight="1" x14ac:dyDescent="0.95">
      <c r="A6414" s="56"/>
      <c r="B6414" s="57"/>
      <c r="C6414" s="57"/>
      <c r="D6414" s="57"/>
      <c r="E6414" s="56"/>
      <c r="F6414" s="57"/>
      <c r="G6414" s="57"/>
      <c r="H6414" s="56"/>
      <c r="I6414" s="56"/>
      <c r="J6414" s="58"/>
      <c r="K6414" s="58"/>
      <c r="L6414" s="13" t="str">
        <f t="shared" si="990"/>
        <v/>
      </c>
      <c r="M6414" s="13" t="str">
        <f t="shared" si="991"/>
        <v/>
      </c>
      <c r="Q6414" t="str">
        <f t="shared" si="992"/>
        <v/>
      </c>
      <c r="R6414" t="str">
        <f t="shared" si="993"/>
        <v/>
      </c>
      <c r="S6414" t="str">
        <f t="shared" si="994"/>
        <v/>
      </c>
      <c r="T6414" t="str">
        <f t="shared" si="995"/>
        <v/>
      </c>
      <c r="U6414" t="str">
        <f t="shared" si="996"/>
        <v/>
      </c>
      <c r="V6414" t="str">
        <f t="shared" si="997"/>
        <v/>
      </c>
      <c r="W6414" t="str">
        <f t="shared" si="998"/>
        <v/>
      </c>
      <c r="X6414">
        <f t="shared" si="988"/>
        <v>0</v>
      </c>
      <c r="Z6414" t="str">
        <f t="shared" si="999"/>
        <v/>
      </c>
      <c r="AA6414">
        <f t="shared" si="989"/>
        <v>0</v>
      </c>
    </row>
    <row r="6415" spans="1:27" ht="21" customHeight="1" x14ac:dyDescent="0.95">
      <c r="A6415" s="56"/>
      <c r="B6415" s="57"/>
      <c r="C6415" s="57"/>
      <c r="D6415" s="57"/>
      <c r="E6415" s="56"/>
      <c r="F6415" s="57"/>
      <c r="G6415" s="57"/>
      <c r="H6415" s="56"/>
      <c r="I6415" s="56"/>
      <c r="J6415" s="58"/>
      <c r="K6415" s="58"/>
      <c r="L6415" s="13" t="str">
        <f t="shared" si="990"/>
        <v/>
      </c>
      <c r="M6415" s="13" t="str">
        <f t="shared" si="991"/>
        <v/>
      </c>
      <c r="Q6415" t="str">
        <f t="shared" si="992"/>
        <v/>
      </c>
      <c r="R6415" t="str">
        <f t="shared" si="993"/>
        <v/>
      </c>
      <c r="S6415" t="str">
        <f t="shared" si="994"/>
        <v/>
      </c>
      <c r="T6415" t="str">
        <f t="shared" si="995"/>
        <v/>
      </c>
      <c r="U6415" t="str">
        <f t="shared" si="996"/>
        <v/>
      </c>
      <c r="V6415" t="str">
        <f t="shared" si="997"/>
        <v/>
      </c>
      <c r="W6415" t="str">
        <f t="shared" si="998"/>
        <v/>
      </c>
      <c r="X6415">
        <f t="shared" si="988"/>
        <v>0</v>
      </c>
      <c r="Z6415" t="str">
        <f t="shared" si="999"/>
        <v/>
      </c>
      <c r="AA6415">
        <f t="shared" si="989"/>
        <v>0</v>
      </c>
    </row>
    <row r="6416" spans="1:27" ht="21" customHeight="1" x14ac:dyDescent="0.95">
      <c r="A6416" s="56"/>
      <c r="B6416" s="57"/>
      <c r="C6416" s="57"/>
      <c r="D6416" s="57"/>
      <c r="E6416" s="56"/>
      <c r="F6416" s="57"/>
      <c r="G6416" s="57"/>
      <c r="H6416" s="56"/>
      <c r="I6416" s="56"/>
      <c r="J6416" s="58"/>
      <c r="K6416" s="58"/>
      <c r="L6416" s="13" t="str">
        <f t="shared" si="990"/>
        <v/>
      </c>
      <c r="M6416" s="13" t="str">
        <f t="shared" si="991"/>
        <v/>
      </c>
      <c r="Q6416" t="str">
        <f t="shared" si="992"/>
        <v/>
      </c>
      <c r="R6416" t="str">
        <f t="shared" si="993"/>
        <v/>
      </c>
      <c r="S6416" t="str">
        <f t="shared" si="994"/>
        <v/>
      </c>
      <c r="T6416" t="str">
        <f t="shared" si="995"/>
        <v/>
      </c>
      <c r="U6416" t="str">
        <f t="shared" si="996"/>
        <v/>
      </c>
      <c r="V6416" t="str">
        <f t="shared" si="997"/>
        <v/>
      </c>
      <c r="W6416" t="str">
        <f t="shared" si="998"/>
        <v/>
      </c>
      <c r="X6416">
        <f t="shared" si="988"/>
        <v>0</v>
      </c>
      <c r="Z6416" t="str">
        <f t="shared" si="999"/>
        <v/>
      </c>
      <c r="AA6416">
        <f t="shared" si="989"/>
        <v>0</v>
      </c>
    </row>
    <row r="6417" spans="1:27" ht="21" customHeight="1" x14ac:dyDescent="0.95">
      <c r="A6417" s="56"/>
      <c r="B6417" s="57"/>
      <c r="C6417" s="57"/>
      <c r="D6417" s="57"/>
      <c r="E6417" s="56"/>
      <c r="F6417" s="57"/>
      <c r="G6417" s="57"/>
      <c r="H6417" s="56"/>
      <c r="I6417" s="56"/>
      <c r="J6417" s="58"/>
      <c r="K6417" s="58"/>
      <c r="L6417" s="13" t="str">
        <f t="shared" si="990"/>
        <v/>
      </c>
      <c r="M6417" s="13" t="str">
        <f t="shared" si="991"/>
        <v/>
      </c>
      <c r="Q6417" t="str">
        <f t="shared" si="992"/>
        <v/>
      </c>
      <c r="R6417" t="str">
        <f t="shared" si="993"/>
        <v/>
      </c>
      <c r="S6417" t="str">
        <f t="shared" si="994"/>
        <v/>
      </c>
      <c r="T6417" t="str">
        <f t="shared" si="995"/>
        <v/>
      </c>
      <c r="U6417" t="str">
        <f t="shared" si="996"/>
        <v/>
      </c>
      <c r="V6417" t="str">
        <f t="shared" si="997"/>
        <v/>
      </c>
      <c r="W6417" t="str">
        <f t="shared" si="998"/>
        <v/>
      </c>
      <c r="X6417">
        <f t="shared" si="988"/>
        <v>0</v>
      </c>
      <c r="Z6417" t="str">
        <f t="shared" si="999"/>
        <v/>
      </c>
      <c r="AA6417">
        <f t="shared" si="989"/>
        <v>0</v>
      </c>
    </row>
    <row r="6418" spans="1:27" ht="21" customHeight="1" x14ac:dyDescent="0.95">
      <c r="A6418" s="56"/>
      <c r="B6418" s="57"/>
      <c r="C6418" s="57"/>
      <c r="D6418" s="57"/>
      <c r="E6418" s="56"/>
      <c r="F6418" s="57"/>
      <c r="G6418" s="57"/>
      <c r="H6418" s="56"/>
      <c r="I6418" s="56"/>
      <c r="J6418" s="58"/>
      <c r="K6418" s="58"/>
      <c r="L6418" s="13" t="str">
        <f t="shared" si="990"/>
        <v/>
      </c>
      <c r="M6418" s="13" t="str">
        <f t="shared" si="991"/>
        <v/>
      </c>
      <c r="Q6418" t="str">
        <f t="shared" si="992"/>
        <v/>
      </c>
      <c r="R6418" t="str">
        <f t="shared" si="993"/>
        <v/>
      </c>
      <c r="S6418" t="str">
        <f t="shared" si="994"/>
        <v/>
      </c>
      <c r="T6418" t="str">
        <f t="shared" si="995"/>
        <v/>
      </c>
      <c r="U6418" t="str">
        <f t="shared" si="996"/>
        <v/>
      </c>
      <c r="V6418" t="str">
        <f t="shared" si="997"/>
        <v/>
      </c>
      <c r="W6418" t="str">
        <f t="shared" si="998"/>
        <v/>
      </c>
      <c r="X6418">
        <f t="shared" si="988"/>
        <v>0</v>
      </c>
      <c r="Z6418" t="str">
        <f t="shared" si="999"/>
        <v/>
      </c>
      <c r="AA6418">
        <f t="shared" si="989"/>
        <v>0</v>
      </c>
    </row>
    <row r="6419" spans="1:27" ht="21" customHeight="1" x14ac:dyDescent="0.95">
      <c r="A6419" s="56"/>
      <c r="B6419" s="57"/>
      <c r="C6419" s="57"/>
      <c r="D6419" s="57"/>
      <c r="E6419" s="56"/>
      <c r="F6419" s="57"/>
      <c r="G6419" s="57"/>
      <c r="H6419" s="56"/>
      <c r="I6419" s="56"/>
      <c r="J6419" s="58"/>
      <c r="K6419" s="58"/>
      <c r="L6419" s="13" t="str">
        <f t="shared" si="990"/>
        <v/>
      </c>
      <c r="M6419" s="13" t="str">
        <f t="shared" si="991"/>
        <v/>
      </c>
      <c r="Q6419" t="str">
        <f t="shared" si="992"/>
        <v/>
      </c>
      <c r="R6419" t="str">
        <f t="shared" si="993"/>
        <v/>
      </c>
      <c r="S6419" t="str">
        <f t="shared" si="994"/>
        <v/>
      </c>
      <c r="T6419" t="str">
        <f t="shared" si="995"/>
        <v/>
      </c>
      <c r="U6419" t="str">
        <f t="shared" si="996"/>
        <v/>
      </c>
      <c r="V6419" t="str">
        <f t="shared" si="997"/>
        <v/>
      </c>
      <c r="W6419" t="str">
        <f t="shared" si="998"/>
        <v/>
      </c>
      <c r="X6419">
        <f t="shared" si="988"/>
        <v>0</v>
      </c>
      <c r="Z6419" t="str">
        <f t="shared" si="999"/>
        <v/>
      </c>
      <c r="AA6419">
        <f t="shared" si="989"/>
        <v>0</v>
      </c>
    </row>
    <row r="6420" spans="1:27" ht="21" customHeight="1" x14ac:dyDescent="0.95">
      <c r="A6420" s="56"/>
      <c r="B6420" s="57"/>
      <c r="C6420" s="57"/>
      <c r="D6420" s="57"/>
      <c r="E6420" s="56"/>
      <c r="F6420" s="57"/>
      <c r="G6420" s="57"/>
      <c r="H6420" s="56"/>
      <c r="I6420" s="56"/>
      <c r="J6420" s="58"/>
      <c r="K6420" s="58"/>
      <c r="L6420" s="13" t="str">
        <f t="shared" si="990"/>
        <v/>
      </c>
      <c r="M6420" s="13" t="str">
        <f t="shared" si="991"/>
        <v/>
      </c>
      <c r="Q6420" t="str">
        <f t="shared" si="992"/>
        <v/>
      </c>
      <c r="R6420" t="str">
        <f t="shared" si="993"/>
        <v/>
      </c>
      <c r="S6420" t="str">
        <f t="shared" si="994"/>
        <v/>
      </c>
      <c r="T6420" t="str">
        <f t="shared" si="995"/>
        <v/>
      </c>
      <c r="U6420" t="str">
        <f t="shared" si="996"/>
        <v/>
      </c>
      <c r="V6420" t="str">
        <f t="shared" si="997"/>
        <v/>
      </c>
      <c r="W6420" t="str">
        <f t="shared" si="998"/>
        <v/>
      </c>
      <c r="X6420">
        <f t="shared" si="988"/>
        <v>0</v>
      </c>
      <c r="Z6420" t="str">
        <f t="shared" si="999"/>
        <v/>
      </c>
      <c r="AA6420">
        <f t="shared" si="989"/>
        <v>0</v>
      </c>
    </row>
    <row r="6421" spans="1:27" ht="21" customHeight="1" x14ac:dyDescent="0.95">
      <c r="A6421" s="56"/>
      <c r="B6421" s="57"/>
      <c r="C6421" s="57"/>
      <c r="D6421" s="57"/>
      <c r="E6421" s="56"/>
      <c r="F6421" s="57"/>
      <c r="G6421" s="57"/>
      <c r="H6421" s="56"/>
      <c r="I6421" s="56"/>
      <c r="J6421" s="58"/>
      <c r="K6421" s="58"/>
      <c r="L6421" s="13" t="str">
        <f t="shared" si="990"/>
        <v/>
      </c>
      <c r="M6421" s="13" t="str">
        <f t="shared" si="991"/>
        <v/>
      </c>
      <c r="Q6421" t="str">
        <f t="shared" si="992"/>
        <v/>
      </c>
      <c r="R6421" t="str">
        <f t="shared" si="993"/>
        <v/>
      </c>
      <c r="S6421" t="str">
        <f t="shared" si="994"/>
        <v/>
      </c>
      <c r="T6421" t="str">
        <f t="shared" si="995"/>
        <v/>
      </c>
      <c r="U6421" t="str">
        <f t="shared" si="996"/>
        <v/>
      </c>
      <c r="V6421" t="str">
        <f t="shared" si="997"/>
        <v/>
      </c>
      <c r="W6421" t="str">
        <f t="shared" si="998"/>
        <v/>
      </c>
      <c r="X6421">
        <f t="shared" si="988"/>
        <v>0</v>
      </c>
      <c r="Z6421" t="str">
        <f t="shared" si="999"/>
        <v/>
      </c>
      <c r="AA6421">
        <f t="shared" si="989"/>
        <v>0</v>
      </c>
    </row>
    <row r="6422" spans="1:27" ht="21" customHeight="1" x14ac:dyDescent="0.95">
      <c r="A6422" s="56"/>
      <c r="B6422" s="57"/>
      <c r="C6422" s="57"/>
      <c r="D6422" s="57"/>
      <c r="E6422" s="56"/>
      <c r="F6422" s="57"/>
      <c r="G6422" s="57"/>
      <c r="H6422" s="56"/>
      <c r="I6422" s="56"/>
      <c r="J6422" s="58"/>
      <c r="K6422" s="58"/>
      <c r="L6422" s="13" t="str">
        <f t="shared" si="990"/>
        <v/>
      </c>
      <c r="M6422" s="13" t="str">
        <f t="shared" si="991"/>
        <v/>
      </c>
      <c r="Q6422" t="str">
        <f t="shared" si="992"/>
        <v/>
      </c>
      <c r="R6422" t="str">
        <f t="shared" si="993"/>
        <v/>
      </c>
      <c r="S6422" t="str">
        <f t="shared" si="994"/>
        <v/>
      </c>
      <c r="T6422" t="str">
        <f t="shared" si="995"/>
        <v/>
      </c>
      <c r="U6422" t="str">
        <f t="shared" si="996"/>
        <v/>
      </c>
      <c r="V6422" t="str">
        <f t="shared" si="997"/>
        <v/>
      </c>
      <c r="W6422" t="str">
        <f t="shared" si="998"/>
        <v/>
      </c>
      <c r="X6422">
        <f t="shared" si="988"/>
        <v>0</v>
      </c>
      <c r="Z6422" t="str">
        <f t="shared" si="999"/>
        <v/>
      </c>
      <c r="AA6422">
        <f t="shared" si="989"/>
        <v>0</v>
      </c>
    </row>
    <row r="6423" spans="1:27" ht="21" customHeight="1" x14ac:dyDescent="0.95">
      <c r="A6423" s="56"/>
      <c r="B6423" s="57"/>
      <c r="C6423" s="57"/>
      <c r="D6423" s="57"/>
      <c r="E6423" s="56"/>
      <c r="F6423" s="57"/>
      <c r="G6423" s="57"/>
      <c r="H6423" s="56"/>
      <c r="I6423" s="56"/>
      <c r="J6423" s="58"/>
      <c r="K6423" s="58"/>
      <c r="L6423" s="13" t="str">
        <f t="shared" si="990"/>
        <v/>
      </c>
      <c r="M6423" s="13" t="str">
        <f t="shared" si="991"/>
        <v/>
      </c>
      <c r="Q6423" t="str">
        <f t="shared" si="992"/>
        <v/>
      </c>
      <c r="R6423" t="str">
        <f t="shared" si="993"/>
        <v/>
      </c>
      <c r="S6423" t="str">
        <f t="shared" si="994"/>
        <v/>
      </c>
      <c r="T6423" t="str">
        <f t="shared" si="995"/>
        <v/>
      </c>
      <c r="U6423" t="str">
        <f t="shared" si="996"/>
        <v/>
      </c>
      <c r="V6423" t="str">
        <f t="shared" si="997"/>
        <v/>
      </c>
      <c r="W6423" t="str">
        <f t="shared" si="998"/>
        <v/>
      </c>
      <c r="X6423">
        <f t="shared" si="988"/>
        <v>0</v>
      </c>
      <c r="Z6423" t="str">
        <f t="shared" si="999"/>
        <v/>
      </c>
      <c r="AA6423">
        <f t="shared" si="989"/>
        <v>0</v>
      </c>
    </row>
    <row r="6424" spans="1:27" ht="21" customHeight="1" x14ac:dyDescent="0.95">
      <c r="A6424" s="56"/>
      <c r="B6424" s="57"/>
      <c r="C6424" s="57"/>
      <c r="D6424" s="57"/>
      <c r="E6424" s="56"/>
      <c r="F6424" s="57"/>
      <c r="G6424" s="57"/>
      <c r="H6424" s="56"/>
      <c r="I6424" s="56"/>
      <c r="J6424" s="58"/>
      <c r="K6424" s="58"/>
      <c r="L6424" s="13" t="str">
        <f t="shared" si="990"/>
        <v/>
      </c>
      <c r="M6424" s="13" t="str">
        <f t="shared" si="991"/>
        <v/>
      </c>
      <c r="Q6424" t="str">
        <f t="shared" si="992"/>
        <v/>
      </c>
      <c r="R6424" t="str">
        <f t="shared" si="993"/>
        <v/>
      </c>
      <c r="S6424" t="str">
        <f t="shared" si="994"/>
        <v/>
      </c>
      <c r="T6424" t="str">
        <f t="shared" si="995"/>
        <v/>
      </c>
      <c r="U6424" t="str">
        <f t="shared" si="996"/>
        <v/>
      </c>
      <c r="V6424" t="str">
        <f t="shared" si="997"/>
        <v/>
      </c>
      <c r="W6424" t="str">
        <f t="shared" si="998"/>
        <v/>
      </c>
      <c r="X6424">
        <f t="shared" si="988"/>
        <v>0</v>
      </c>
      <c r="Z6424" t="str">
        <f t="shared" si="999"/>
        <v/>
      </c>
      <c r="AA6424">
        <f t="shared" si="989"/>
        <v>0</v>
      </c>
    </row>
    <row r="6425" spans="1:27" ht="21" customHeight="1" x14ac:dyDescent="0.95">
      <c r="A6425" s="56"/>
      <c r="B6425" s="57"/>
      <c r="C6425" s="57"/>
      <c r="D6425" s="57"/>
      <c r="E6425" s="56"/>
      <c r="F6425" s="57"/>
      <c r="G6425" s="57"/>
      <c r="H6425" s="56"/>
      <c r="I6425" s="56"/>
      <c r="J6425" s="58"/>
      <c r="K6425" s="58"/>
      <c r="L6425" s="13" t="str">
        <f t="shared" si="990"/>
        <v/>
      </c>
      <c r="M6425" s="13" t="str">
        <f t="shared" si="991"/>
        <v/>
      </c>
      <c r="Q6425" t="str">
        <f t="shared" si="992"/>
        <v/>
      </c>
      <c r="R6425" t="str">
        <f t="shared" si="993"/>
        <v/>
      </c>
      <c r="S6425" t="str">
        <f t="shared" si="994"/>
        <v/>
      </c>
      <c r="T6425" t="str">
        <f t="shared" si="995"/>
        <v/>
      </c>
      <c r="U6425" t="str">
        <f t="shared" si="996"/>
        <v/>
      </c>
      <c r="V6425" t="str">
        <f t="shared" si="997"/>
        <v/>
      </c>
      <c r="W6425" t="str">
        <f t="shared" si="998"/>
        <v/>
      </c>
      <c r="X6425">
        <f t="shared" si="988"/>
        <v>0</v>
      </c>
      <c r="Z6425" t="str">
        <f t="shared" si="999"/>
        <v/>
      </c>
      <c r="AA6425">
        <f t="shared" si="989"/>
        <v>0</v>
      </c>
    </row>
    <row r="6426" spans="1:27" ht="21" customHeight="1" x14ac:dyDescent="0.95">
      <c r="A6426" s="56"/>
      <c r="B6426" s="57"/>
      <c r="C6426" s="57"/>
      <c r="D6426" s="57"/>
      <c r="E6426" s="56"/>
      <c r="F6426" s="57"/>
      <c r="G6426" s="57"/>
      <c r="H6426" s="56"/>
      <c r="I6426" s="56"/>
      <c r="J6426" s="58"/>
      <c r="K6426" s="58"/>
      <c r="L6426" s="13" t="str">
        <f t="shared" si="990"/>
        <v/>
      </c>
      <c r="M6426" s="13" t="str">
        <f t="shared" si="991"/>
        <v/>
      </c>
      <c r="Q6426" t="str">
        <f t="shared" si="992"/>
        <v/>
      </c>
      <c r="R6426" t="str">
        <f t="shared" si="993"/>
        <v/>
      </c>
      <c r="S6426" t="str">
        <f t="shared" si="994"/>
        <v/>
      </c>
      <c r="T6426" t="str">
        <f t="shared" si="995"/>
        <v/>
      </c>
      <c r="U6426" t="str">
        <f t="shared" si="996"/>
        <v/>
      </c>
      <c r="V6426" t="str">
        <f t="shared" si="997"/>
        <v/>
      </c>
      <c r="W6426" t="str">
        <f t="shared" si="998"/>
        <v/>
      </c>
      <c r="X6426">
        <f t="shared" si="988"/>
        <v>0</v>
      </c>
      <c r="Z6426" t="str">
        <f t="shared" si="999"/>
        <v/>
      </c>
      <c r="AA6426">
        <f t="shared" si="989"/>
        <v>0</v>
      </c>
    </row>
    <row r="6427" spans="1:27" ht="21" customHeight="1" x14ac:dyDescent="0.95">
      <c r="A6427" s="56"/>
      <c r="B6427" s="57"/>
      <c r="C6427" s="57"/>
      <c r="D6427" s="57"/>
      <c r="E6427" s="56"/>
      <c r="F6427" s="57"/>
      <c r="G6427" s="57"/>
      <c r="H6427" s="56"/>
      <c r="I6427" s="56"/>
      <c r="J6427" s="58"/>
      <c r="K6427" s="58"/>
      <c r="L6427" s="13" t="str">
        <f t="shared" si="990"/>
        <v/>
      </c>
      <c r="M6427" s="13" t="str">
        <f t="shared" si="991"/>
        <v/>
      </c>
      <c r="Q6427" t="str">
        <f t="shared" si="992"/>
        <v/>
      </c>
      <c r="R6427" t="str">
        <f t="shared" si="993"/>
        <v/>
      </c>
      <c r="S6427" t="str">
        <f t="shared" si="994"/>
        <v/>
      </c>
      <c r="T6427" t="str">
        <f t="shared" si="995"/>
        <v/>
      </c>
      <c r="U6427" t="str">
        <f t="shared" si="996"/>
        <v/>
      </c>
      <c r="V6427" t="str">
        <f t="shared" si="997"/>
        <v/>
      </c>
      <c r="W6427" t="str">
        <f t="shared" si="998"/>
        <v/>
      </c>
      <c r="X6427">
        <f t="shared" si="988"/>
        <v>0</v>
      </c>
      <c r="Z6427" t="str">
        <f t="shared" si="999"/>
        <v/>
      </c>
      <c r="AA6427">
        <f t="shared" si="989"/>
        <v>0</v>
      </c>
    </row>
    <row r="6428" spans="1:27" ht="21" customHeight="1" x14ac:dyDescent="0.95">
      <c r="A6428" s="56"/>
      <c r="B6428" s="57"/>
      <c r="C6428" s="57"/>
      <c r="D6428" s="57"/>
      <c r="E6428" s="56"/>
      <c r="F6428" s="57"/>
      <c r="G6428" s="57"/>
      <c r="H6428" s="56"/>
      <c r="I6428" s="56"/>
      <c r="J6428" s="58"/>
      <c r="K6428" s="58"/>
      <c r="L6428" s="13" t="str">
        <f t="shared" si="990"/>
        <v/>
      </c>
      <c r="M6428" s="13" t="str">
        <f t="shared" si="991"/>
        <v/>
      </c>
      <c r="Q6428" t="str">
        <f t="shared" si="992"/>
        <v/>
      </c>
      <c r="R6428" t="str">
        <f t="shared" si="993"/>
        <v/>
      </c>
      <c r="S6428" t="str">
        <f t="shared" si="994"/>
        <v/>
      </c>
      <c r="T6428" t="str">
        <f t="shared" si="995"/>
        <v/>
      </c>
      <c r="U6428" t="str">
        <f t="shared" si="996"/>
        <v/>
      </c>
      <c r="V6428" t="str">
        <f t="shared" si="997"/>
        <v/>
      </c>
      <c r="W6428" t="str">
        <f t="shared" si="998"/>
        <v/>
      </c>
      <c r="X6428">
        <f t="shared" si="988"/>
        <v>0</v>
      </c>
      <c r="Z6428" t="str">
        <f t="shared" si="999"/>
        <v/>
      </c>
      <c r="AA6428">
        <f t="shared" si="989"/>
        <v>0</v>
      </c>
    </row>
    <row r="6429" spans="1:27" ht="21" customHeight="1" x14ac:dyDescent="0.95">
      <c r="A6429" s="56"/>
      <c r="B6429" s="57"/>
      <c r="C6429" s="57"/>
      <c r="D6429" s="57"/>
      <c r="E6429" s="56"/>
      <c r="F6429" s="57"/>
      <c r="G6429" s="57"/>
      <c r="H6429" s="56"/>
      <c r="I6429" s="56"/>
      <c r="J6429" s="58"/>
      <c r="K6429" s="58"/>
      <c r="L6429" s="13" t="str">
        <f t="shared" si="990"/>
        <v/>
      </c>
      <c r="M6429" s="13" t="str">
        <f t="shared" si="991"/>
        <v/>
      </c>
      <c r="Q6429" t="str">
        <f t="shared" si="992"/>
        <v/>
      </c>
      <c r="R6429" t="str">
        <f t="shared" si="993"/>
        <v/>
      </c>
      <c r="S6429" t="str">
        <f t="shared" si="994"/>
        <v/>
      </c>
      <c r="T6429" t="str">
        <f t="shared" si="995"/>
        <v/>
      </c>
      <c r="U6429" t="str">
        <f t="shared" si="996"/>
        <v/>
      </c>
      <c r="V6429" t="str">
        <f t="shared" si="997"/>
        <v/>
      </c>
      <c r="W6429" t="str">
        <f t="shared" si="998"/>
        <v/>
      </c>
      <c r="X6429">
        <f t="shared" si="988"/>
        <v>0</v>
      </c>
      <c r="Z6429" t="str">
        <f t="shared" si="999"/>
        <v/>
      </c>
      <c r="AA6429">
        <f t="shared" si="989"/>
        <v>0</v>
      </c>
    </row>
    <row r="6430" spans="1:27" ht="21" customHeight="1" x14ac:dyDescent="0.95">
      <c r="A6430" s="56"/>
      <c r="B6430" s="57"/>
      <c r="C6430" s="57"/>
      <c r="D6430" s="57"/>
      <c r="E6430" s="56"/>
      <c r="F6430" s="57"/>
      <c r="G6430" s="57"/>
      <c r="H6430" s="56"/>
      <c r="I6430" s="56"/>
      <c r="J6430" s="58"/>
      <c r="K6430" s="58"/>
      <c r="L6430" s="13" t="str">
        <f t="shared" si="990"/>
        <v/>
      </c>
      <c r="M6430" s="13" t="str">
        <f t="shared" si="991"/>
        <v/>
      </c>
      <c r="Q6430" t="str">
        <f t="shared" si="992"/>
        <v/>
      </c>
      <c r="R6430" t="str">
        <f t="shared" si="993"/>
        <v/>
      </c>
      <c r="S6430" t="str">
        <f t="shared" si="994"/>
        <v/>
      </c>
      <c r="T6430" t="str">
        <f t="shared" si="995"/>
        <v/>
      </c>
      <c r="U6430" t="str">
        <f t="shared" si="996"/>
        <v/>
      </c>
      <c r="V6430" t="str">
        <f t="shared" si="997"/>
        <v/>
      </c>
      <c r="W6430" t="str">
        <f t="shared" si="998"/>
        <v/>
      </c>
      <c r="X6430">
        <f t="shared" si="988"/>
        <v>0</v>
      </c>
      <c r="Z6430" t="str">
        <f t="shared" si="999"/>
        <v/>
      </c>
      <c r="AA6430">
        <f t="shared" si="989"/>
        <v>0</v>
      </c>
    </row>
    <row r="6431" spans="1:27" ht="21" customHeight="1" x14ac:dyDescent="0.95">
      <c r="A6431" s="56"/>
      <c r="B6431" s="57"/>
      <c r="C6431" s="57"/>
      <c r="D6431" s="57"/>
      <c r="E6431" s="56"/>
      <c r="F6431" s="57"/>
      <c r="G6431" s="57"/>
      <c r="H6431" s="56"/>
      <c r="I6431" s="56"/>
      <c r="J6431" s="58"/>
      <c r="K6431" s="58"/>
      <c r="L6431" s="13" t="str">
        <f t="shared" si="990"/>
        <v/>
      </c>
      <c r="M6431" s="13" t="str">
        <f t="shared" si="991"/>
        <v/>
      </c>
      <c r="Q6431" t="str">
        <f t="shared" si="992"/>
        <v/>
      </c>
      <c r="R6431" t="str">
        <f t="shared" si="993"/>
        <v/>
      </c>
      <c r="S6431" t="str">
        <f t="shared" si="994"/>
        <v/>
      </c>
      <c r="T6431" t="str">
        <f t="shared" si="995"/>
        <v/>
      </c>
      <c r="U6431" t="str">
        <f t="shared" si="996"/>
        <v/>
      </c>
      <c r="V6431" t="str">
        <f t="shared" si="997"/>
        <v/>
      </c>
      <c r="W6431" t="str">
        <f t="shared" si="998"/>
        <v/>
      </c>
      <c r="X6431">
        <f t="shared" si="988"/>
        <v>0</v>
      </c>
      <c r="Z6431" t="str">
        <f t="shared" si="999"/>
        <v/>
      </c>
      <c r="AA6431">
        <f t="shared" si="989"/>
        <v>0</v>
      </c>
    </row>
    <row r="6432" spans="1:27" ht="21" customHeight="1" x14ac:dyDescent="0.95">
      <c r="A6432" s="56"/>
      <c r="B6432" s="57"/>
      <c r="C6432" s="57"/>
      <c r="D6432" s="57"/>
      <c r="E6432" s="56"/>
      <c r="F6432" s="57"/>
      <c r="G6432" s="57"/>
      <c r="H6432" s="56"/>
      <c r="I6432" s="56"/>
      <c r="J6432" s="58"/>
      <c r="K6432" s="58"/>
      <c r="L6432" s="13" t="str">
        <f t="shared" si="990"/>
        <v/>
      </c>
      <c r="M6432" s="13" t="str">
        <f t="shared" si="991"/>
        <v/>
      </c>
      <c r="Q6432" t="str">
        <f t="shared" si="992"/>
        <v/>
      </c>
      <c r="R6432" t="str">
        <f t="shared" si="993"/>
        <v/>
      </c>
      <c r="S6432" t="str">
        <f t="shared" si="994"/>
        <v/>
      </c>
      <c r="T6432" t="str">
        <f t="shared" si="995"/>
        <v/>
      </c>
      <c r="U6432" t="str">
        <f t="shared" si="996"/>
        <v/>
      </c>
      <c r="V6432" t="str">
        <f t="shared" si="997"/>
        <v/>
      </c>
      <c r="W6432" t="str">
        <f t="shared" si="998"/>
        <v/>
      </c>
      <c r="X6432">
        <f t="shared" si="988"/>
        <v>0</v>
      </c>
      <c r="Z6432" t="str">
        <f t="shared" si="999"/>
        <v/>
      </c>
      <c r="AA6432">
        <f t="shared" si="989"/>
        <v>0</v>
      </c>
    </row>
    <row r="6433" spans="1:27" ht="21" customHeight="1" x14ac:dyDescent="0.95">
      <c r="A6433" s="56"/>
      <c r="B6433" s="57"/>
      <c r="C6433" s="57"/>
      <c r="D6433" s="57"/>
      <c r="E6433" s="56"/>
      <c r="F6433" s="57"/>
      <c r="G6433" s="57"/>
      <c r="H6433" s="56"/>
      <c r="I6433" s="56"/>
      <c r="J6433" s="58"/>
      <c r="K6433" s="58"/>
      <c r="L6433" s="13" t="str">
        <f t="shared" si="990"/>
        <v/>
      </c>
      <c r="M6433" s="13" t="str">
        <f t="shared" si="991"/>
        <v/>
      </c>
      <c r="Q6433" t="str">
        <f t="shared" si="992"/>
        <v/>
      </c>
      <c r="R6433" t="str">
        <f t="shared" si="993"/>
        <v/>
      </c>
      <c r="S6433" t="str">
        <f t="shared" si="994"/>
        <v/>
      </c>
      <c r="T6433" t="str">
        <f t="shared" si="995"/>
        <v/>
      </c>
      <c r="U6433" t="str">
        <f t="shared" si="996"/>
        <v/>
      </c>
      <c r="V6433" t="str">
        <f t="shared" si="997"/>
        <v/>
      </c>
      <c r="W6433" t="str">
        <f t="shared" si="998"/>
        <v/>
      </c>
      <c r="X6433">
        <f t="shared" si="988"/>
        <v>0</v>
      </c>
      <c r="Z6433" t="str">
        <f t="shared" si="999"/>
        <v/>
      </c>
      <c r="AA6433">
        <f t="shared" si="989"/>
        <v>0</v>
      </c>
    </row>
    <row r="6434" spans="1:27" ht="21" customHeight="1" x14ac:dyDescent="0.95">
      <c r="A6434" s="56"/>
      <c r="B6434" s="57"/>
      <c r="C6434" s="57"/>
      <c r="D6434" s="57"/>
      <c r="E6434" s="56"/>
      <c r="F6434" s="57"/>
      <c r="G6434" s="57"/>
      <c r="H6434" s="56"/>
      <c r="I6434" s="56"/>
      <c r="J6434" s="58"/>
      <c r="K6434" s="58"/>
      <c r="L6434" s="13" t="str">
        <f t="shared" si="990"/>
        <v/>
      </c>
      <c r="M6434" s="13" t="str">
        <f t="shared" si="991"/>
        <v/>
      </c>
      <c r="Q6434" t="str">
        <f t="shared" si="992"/>
        <v/>
      </c>
      <c r="R6434" t="str">
        <f t="shared" si="993"/>
        <v/>
      </c>
      <c r="S6434" t="str">
        <f t="shared" si="994"/>
        <v/>
      </c>
      <c r="T6434" t="str">
        <f t="shared" si="995"/>
        <v/>
      </c>
      <c r="U6434" t="str">
        <f t="shared" si="996"/>
        <v/>
      </c>
      <c r="V6434" t="str">
        <f t="shared" si="997"/>
        <v/>
      </c>
      <c r="W6434" t="str">
        <f t="shared" si="998"/>
        <v/>
      </c>
      <c r="X6434">
        <f t="shared" si="988"/>
        <v>0</v>
      </c>
      <c r="Z6434" t="str">
        <f t="shared" si="999"/>
        <v/>
      </c>
      <c r="AA6434">
        <f t="shared" si="989"/>
        <v>0</v>
      </c>
    </row>
    <row r="6435" spans="1:27" ht="21" customHeight="1" x14ac:dyDescent="0.95">
      <c r="A6435" s="56"/>
      <c r="B6435" s="57"/>
      <c r="C6435" s="57"/>
      <c r="D6435" s="57"/>
      <c r="E6435" s="56"/>
      <c r="F6435" s="57"/>
      <c r="G6435" s="57"/>
      <c r="H6435" s="56"/>
      <c r="I6435" s="56"/>
      <c r="J6435" s="58"/>
      <c r="K6435" s="58"/>
      <c r="L6435" s="13" t="str">
        <f t="shared" si="990"/>
        <v/>
      </c>
      <c r="M6435" s="13" t="str">
        <f t="shared" si="991"/>
        <v/>
      </c>
      <c r="Q6435" t="str">
        <f t="shared" si="992"/>
        <v/>
      </c>
      <c r="R6435" t="str">
        <f t="shared" si="993"/>
        <v/>
      </c>
      <c r="S6435" t="str">
        <f t="shared" si="994"/>
        <v/>
      </c>
      <c r="T6435" t="str">
        <f t="shared" si="995"/>
        <v/>
      </c>
      <c r="U6435" t="str">
        <f t="shared" si="996"/>
        <v/>
      </c>
      <c r="V6435" t="str">
        <f t="shared" si="997"/>
        <v/>
      </c>
      <c r="W6435" t="str">
        <f t="shared" si="998"/>
        <v/>
      </c>
      <c r="X6435">
        <f t="shared" si="988"/>
        <v>0</v>
      </c>
      <c r="Z6435" t="str">
        <f t="shared" si="999"/>
        <v/>
      </c>
      <c r="AA6435">
        <f t="shared" si="989"/>
        <v>0</v>
      </c>
    </row>
    <row r="6436" spans="1:27" ht="21" customHeight="1" x14ac:dyDescent="0.95">
      <c r="A6436" s="56"/>
      <c r="B6436" s="57"/>
      <c r="C6436" s="57"/>
      <c r="D6436" s="57"/>
      <c r="E6436" s="56"/>
      <c r="F6436" s="57"/>
      <c r="G6436" s="57"/>
      <c r="H6436" s="56"/>
      <c r="I6436" s="56"/>
      <c r="J6436" s="58"/>
      <c r="K6436" s="58"/>
      <c r="L6436" s="13" t="str">
        <f t="shared" si="990"/>
        <v/>
      </c>
      <c r="M6436" s="13" t="str">
        <f t="shared" si="991"/>
        <v/>
      </c>
      <c r="Q6436" t="str">
        <f t="shared" si="992"/>
        <v/>
      </c>
      <c r="R6436" t="str">
        <f t="shared" si="993"/>
        <v/>
      </c>
      <c r="S6436" t="str">
        <f t="shared" si="994"/>
        <v/>
      </c>
      <c r="T6436" t="str">
        <f t="shared" si="995"/>
        <v/>
      </c>
      <c r="U6436" t="str">
        <f t="shared" si="996"/>
        <v/>
      </c>
      <c r="V6436" t="str">
        <f t="shared" si="997"/>
        <v/>
      </c>
      <c r="W6436" t="str">
        <f t="shared" si="998"/>
        <v/>
      </c>
      <c r="X6436">
        <f t="shared" si="988"/>
        <v>0</v>
      </c>
      <c r="Z6436" t="str">
        <f t="shared" si="999"/>
        <v/>
      </c>
      <c r="AA6436">
        <f t="shared" si="989"/>
        <v>0</v>
      </c>
    </row>
    <row r="6437" spans="1:27" ht="21" customHeight="1" x14ac:dyDescent="0.95">
      <c r="A6437" s="56"/>
      <c r="B6437" s="57"/>
      <c r="C6437" s="57"/>
      <c r="D6437" s="57"/>
      <c r="E6437" s="56"/>
      <c r="F6437" s="57"/>
      <c r="G6437" s="57"/>
      <c r="H6437" s="56"/>
      <c r="I6437" s="56"/>
      <c r="J6437" s="58"/>
      <c r="K6437" s="58"/>
      <c r="L6437" s="13" t="str">
        <f t="shared" si="990"/>
        <v/>
      </c>
      <c r="M6437" s="13" t="str">
        <f t="shared" si="991"/>
        <v/>
      </c>
      <c r="Q6437" t="str">
        <f t="shared" si="992"/>
        <v/>
      </c>
      <c r="R6437" t="str">
        <f t="shared" si="993"/>
        <v/>
      </c>
      <c r="S6437" t="str">
        <f t="shared" si="994"/>
        <v/>
      </c>
      <c r="T6437" t="str">
        <f t="shared" si="995"/>
        <v/>
      </c>
      <c r="U6437" t="str">
        <f t="shared" si="996"/>
        <v/>
      </c>
      <c r="V6437" t="str">
        <f t="shared" si="997"/>
        <v/>
      </c>
      <c r="W6437" t="str">
        <f t="shared" si="998"/>
        <v/>
      </c>
      <c r="X6437">
        <f t="shared" si="988"/>
        <v>0</v>
      </c>
      <c r="Z6437" t="str">
        <f t="shared" si="999"/>
        <v/>
      </c>
      <c r="AA6437">
        <f t="shared" si="989"/>
        <v>0</v>
      </c>
    </row>
    <row r="6438" spans="1:27" ht="21" customHeight="1" x14ac:dyDescent="0.95">
      <c r="A6438" s="56"/>
      <c r="B6438" s="57"/>
      <c r="C6438" s="57"/>
      <c r="D6438" s="57"/>
      <c r="E6438" s="56"/>
      <c r="F6438" s="57"/>
      <c r="G6438" s="57"/>
      <c r="H6438" s="56"/>
      <c r="I6438" s="56"/>
      <c r="J6438" s="58"/>
      <c r="K6438" s="58"/>
      <c r="L6438" s="13" t="str">
        <f t="shared" si="990"/>
        <v/>
      </c>
      <c r="M6438" s="13" t="str">
        <f t="shared" si="991"/>
        <v/>
      </c>
      <c r="Q6438" t="str">
        <f t="shared" si="992"/>
        <v/>
      </c>
      <c r="R6438" t="str">
        <f t="shared" si="993"/>
        <v/>
      </c>
      <c r="S6438" t="str">
        <f t="shared" si="994"/>
        <v/>
      </c>
      <c r="T6438" t="str">
        <f t="shared" si="995"/>
        <v/>
      </c>
      <c r="U6438" t="str">
        <f t="shared" si="996"/>
        <v/>
      </c>
      <c r="V6438" t="str">
        <f t="shared" si="997"/>
        <v/>
      </c>
      <c r="W6438" t="str">
        <f t="shared" si="998"/>
        <v/>
      </c>
      <c r="X6438">
        <f t="shared" si="988"/>
        <v>0</v>
      </c>
      <c r="Z6438" t="str">
        <f t="shared" si="999"/>
        <v/>
      </c>
      <c r="AA6438">
        <f t="shared" si="989"/>
        <v>0</v>
      </c>
    </row>
    <row r="6439" spans="1:27" ht="21" customHeight="1" x14ac:dyDescent="0.95">
      <c r="A6439" s="56"/>
      <c r="B6439" s="57"/>
      <c r="C6439" s="57"/>
      <c r="D6439" s="57"/>
      <c r="E6439" s="56"/>
      <c r="F6439" s="57"/>
      <c r="G6439" s="57"/>
      <c r="H6439" s="56"/>
      <c r="I6439" s="56"/>
      <c r="J6439" s="58"/>
      <c r="K6439" s="58"/>
      <c r="L6439" s="13" t="str">
        <f t="shared" si="990"/>
        <v/>
      </c>
      <c r="M6439" s="13" t="str">
        <f t="shared" si="991"/>
        <v/>
      </c>
      <c r="Q6439" t="str">
        <f t="shared" si="992"/>
        <v/>
      </c>
      <c r="R6439" t="str">
        <f t="shared" si="993"/>
        <v/>
      </c>
      <c r="S6439" t="str">
        <f t="shared" si="994"/>
        <v/>
      </c>
      <c r="T6439" t="str">
        <f t="shared" si="995"/>
        <v/>
      </c>
      <c r="U6439" t="str">
        <f t="shared" si="996"/>
        <v/>
      </c>
      <c r="V6439" t="str">
        <f t="shared" si="997"/>
        <v/>
      </c>
      <c r="W6439" t="str">
        <f t="shared" si="998"/>
        <v/>
      </c>
      <c r="X6439">
        <f t="shared" si="988"/>
        <v>0</v>
      </c>
      <c r="Z6439" t="str">
        <f t="shared" si="999"/>
        <v/>
      </c>
      <c r="AA6439">
        <f t="shared" si="989"/>
        <v>0</v>
      </c>
    </row>
    <row r="6440" spans="1:27" ht="21" customHeight="1" x14ac:dyDescent="0.95">
      <c r="A6440" s="56"/>
      <c r="B6440" s="57"/>
      <c r="C6440" s="57"/>
      <c r="D6440" s="57"/>
      <c r="E6440" s="56"/>
      <c r="F6440" s="57"/>
      <c r="G6440" s="57"/>
      <c r="H6440" s="56"/>
      <c r="I6440" s="56"/>
      <c r="J6440" s="58"/>
      <c r="K6440" s="58"/>
      <c r="L6440" s="13" t="str">
        <f t="shared" si="990"/>
        <v/>
      </c>
      <c r="M6440" s="13" t="str">
        <f t="shared" si="991"/>
        <v/>
      </c>
      <c r="Q6440" t="str">
        <f t="shared" si="992"/>
        <v/>
      </c>
      <c r="R6440" t="str">
        <f t="shared" si="993"/>
        <v/>
      </c>
      <c r="S6440" t="str">
        <f t="shared" si="994"/>
        <v/>
      </c>
      <c r="T6440" t="str">
        <f t="shared" si="995"/>
        <v/>
      </c>
      <c r="U6440" t="str">
        <f t="shared" si="996"/>
        <v/>
      </c>
      <c r="V6440" t="str">
        <f t="shared" si="997"/>
        <v/>
      </c>
      <c r="W6440" t="str">
        <f t="shared" si="998"/>
        <v/>
      </c>
      <c r="X6440">
        <f t="shared" si="988"/>
        <v>0</v>
      </c>
      <c r="Z6440" t="str">
        <f t="shared" si="999"/>
        <v/>
      </c>
      <c r="AA6440">
        <f t="shared" si="989"/>
        <v>0</v>
      </c>
    </row>
    <row r="6441" spans="1:27" ht="21" customHeight="1" x14ac:dyDescent="0.95">
      <c r="A6441" s="56"/>
      <c r="B6441" s="57"/>
      <c r="C6441" s="57"/>
      <c r="D6441" s="57"/>
      <c r="E6441" s="56"/>
      <c r="F6441" s="57"/>
      <c r="G6441" s="57"/>
      <c r="H6441" s="56"/>
      <c r="I6441" s="56"/>
      <c r="J6441" s="58"/>
      <c r="K6441" s="58"/>
      <c r="L6441" s="13" t="str">
        <f t="shared" si="990"/>
        <v/>
      </c>
      <c r="M6441" s="13" t="str">
        <f t="shared" si="991"/>
        <v/>
      </c>
      <c r="Q6441" t="str">
        <f t="shared" si="992"/>
        <v/>
      </c>
      <c r="R6441" t="str">
        <f t="shared" si="993"/>
        <v/>
      </c>
      <c r="S6441" t="str">
        <f t="shared" si="994"/>
        <v/>
      </c>
      <c r="T6441" t="str">
        <f t="shared" si="995"/>
        <v/>
      </c>
      <c r="U6441" t="str">
        <f t="shared" si="996"/>
        <v/>
      </c>
      <c r="V6441" t="str">
        <f t="shared" si="997"/>
        <v/>
      </c>
      <c r="W6441" t="str">
        <f t="shared" si="998"/>
        <v/>
      </c>
      <c r="X6441">
        <f t="shared" si="988"/>
        <v>0</v>
      </c>
      <c r="Z6441" t="str">
        <f t="shared" si="999"/>
        <v/>
      </c>
      <c r="AA6441">
        <f t="shared" si="989"/>
        <v>0</v>
      </c>
    </row>
    <row r="6442" spans="1:27" ht="21" customHeight="1" x14ac:dyDescent="0.95">
      <c r="A6442" s="56"/>
      <c r="B6442" s="57"/>
      <c r="C6442" s="57"/>
      <c r="D6442" s="57"/>
      <c r="E6442" s="56"/>
      <c r="F6442" s="57"/>
      <c r="G6442" s="57"/>
      <c r="H6442" s="56"/>
      <c r="I6442" s="56"/>
      <c r="J6442" s="58"/>
      <c r="K6442" s="58"/>
      <c r="L6442" s="13" t="str">
        <f t="shared" si="990"/>
        <v/>
      </c>
      <c r="M6442" s="13" t="str">
        <f t="shared" si="991"/>
        <v/>
      </c>
      <c r="Q6442" t="str">
        <f t="shared" si="992"/>
        <v/>
      </c>
      <c r="R6442" t="str">
        <f t="shared" si="993"/>
        <v/>
      </c>
      <c r="S6442" t="str">
        <f t="shared" si="994"/>
        <v/>
      </c>
      <c r="T6442" t="str">
        <f t="shared" si="995"/>
        <v/>
      </c>
      <c r="U6442" t="str">
        <f t="shared" si="996"/>
        <v/>
      </c>
      <c r="V6442" t="str">
        <f t="shared" si="997"/>
        <v/>
      </c>
      <c r="W6442" t="str">
        <f t="shared" si="998"/>
        <v/>
      </c>
      <c r="X6442">
        <f t="shared" si="988"/>
        <v>0</v>
      </c>
      <c r="Z6442" t="str">
        <f t="shared" si="999"/>
        <v/>
      </c>
      <c r="AA6442">
        <f t="shared" si="989"/>
        <v>0</v>
      </c>
    </row>
    <row r="6443" spans="1:27" ht="21" customHeight="1" x14ac:dyDescent="0.95">
      <c r="A6443" s="56"/>
      <c r="B6443" s="57"/>
      <c r="C6443" s="57"/>
      <c r="D6443" s="57"/>
      <c r="E6443" s="56"/>
      <c r="F6443" s="57"/>
      <c r="G6443" s="57"/>
      <c r="H6443" s="56"/>
      <c r="I6443" s="56"/>
      <c r="J6443" s="58"/>
      <c r="K6443" s="58"/>
      <c r="L6443" s="13" t="str">
        <f t="shared" si="990"/>
        <v/>
      </c>
      <c r="M6443" s="13" t="str">
        <f t="shared" si="991"/>
        <v/>
      </c>
      <c r="Q6443" t="str">
        <f t="shared" si="992"/>
        <v/>
      </c>
      <c r="R6443" t="str">
        <f t="shared" si="993"/>
        <v/>
      </c>
      <c r="S6443" t="str">
        <f t="shared" si="994"/>
        <v/>
      </c>
      <c r="T6443" t="str">
        <f t="shared" si="995"/>
        <v/>
      </c>
      <c r="U6443" t="str">
        <f t="shared" si="996"/>
        <v/>
      </c>
      <c r="V6443" t="str">
        <f t="shared" si="997"/>
        <v/>
      </c>
      <c r="W6443" t="str">
        <f t="shared" si="998"/>
        <v/>
      </c>
      <c r="X6443">
        <f t="shared" si="988"/>
        <v>0</v>
      </c>
      <c r="Z6443" t="str">
        <f t="shared" si="999"/>
        <v/>
      </c>
      <c r="AA6443">
        <f t="shared" si="989"/>
        <v>0</v>
      </c>
    </row>
    <row r="6444" spans="1:27" ht="21" customHeight="1" x14ac:dyDescent="0.95">
      <c r="A6444" s="56"/>
      <c r="B6444" s="57"/>
      <c r="C6444" s="57"/>
      <c r="D6444" s="57"/>
      <c r="E6444" s="56"/>
      <c r="F6444" s="57"/>
      <c r="G6444" s="57"/>
      <c r="H6444" s="56"/>
      <c r="I6444" s="56"/>
      <c r="J6444" s="58"/>
      <c r="K6444" s="58"/>
      <c r="L6444" s="13" t="str">
        <f t="shared" si="990"/>
        <v/>
      </c>
      <c r="M6444" s="13" t="str">
        <f t="shared" si="991"/>
        <v/>
      </c>
      <c r="Q6444" t="str">
        <f t="shared" si="992"/>
        <v/>
      </c>
      <c r="R6444" t="str">
        <f t="shared" si="993"/>
        <v/>
      </c>
      <c r="S6444" t="str">
        <f t="shared" si="994"/>
        <v/>
      </c>
      <c r="T6444" t="str">
        <f t="shared" si="995"/>
        <v/>
      </c>
      <c r="U6444" t="str">
        <f t="shared" si="996"/>
        <v/>
      </c>
      <c r="V6444" t="str">
        <f t="shared" si="997"/>
        <v/>
      </c>
      <c r="W6444" t="str">
        <f t="shared" si="998"/>
        <v/>
      </c>
      <c r="X6444">
        <f t="shared" si="988"/>
        <v>0</v>
      </c>
      <c r="Z6444" t="str">
        <f t="shared" si="999"/>
        <v/>
      </c>
      <c r="AA6444">
        <f t="shared" si="989"/>
        <v>0</v>
      </c>
    </row>
    <row r="6445" spans="1:27" ht="21" customHeight="1" x14ac:dyDescent="0.95">
      <c r="A6445" s="56"/>
      <c r="B6445" s="57"/>
      <c r="C6445" s="57"/>
      <c r="D6445" s="57"/>
      <c r="E6445" s="56"/>
      <c r="F6445" s="57"/>
      <c r="G6445" s="57"/>
      <c r="H6445" s="56"/>
      <c r="I6445" s="56"/>
      <c r="J6445" s="58"/>
      <c r="K6445" s="58"/>
      <c r="L6445" s="13" t="str">
        <f t="shared" si="990"/>
        <v/>
      </c>
      <c r="M6445" s="13" t="str">
        <f t="shared" si="991"/>
        <v/>
      </c>
      <c r="Q6445" t="str">
        <f t="shared" si="992"/>
        <v/>
      </c>
      <c r="R6445" t="str">
        <f t="shared" si="993"/>
        <v/>
      </c>
      <c r="S6445" t="str">
        <f t="shared" si="994"/>
        <v/>
      </c>
      <c r="T6445" t="str">
        <f t="shared" si="995"/>
        <v/>
      </c>
      <c r="U6445" t="str">
        <f t="shared" si="996"/>
        <v/>
      </c>
      <c r="V6445" t="str">
        <f t="shared" si="997"/>
        <v/>
      </c>
      <c r="W6445" t="str">
        <f t="shared" si="998"/>
        <v/>
      </c>
      <c r="X6445">
        <f t="shared" si="988"/>
        <v>0</v>
      </c>
      <c r="Z6445" t="str">
        <f t="shared" si="999"/>
        <v/>
      </c>
      <c r="AA6445">
        <f t="shared" si="989"/>
        <v>0</v>
      </c>
    </row>
    <row r="6446" spans="1:27" ht="21" customHeight="1" x14ac:dyDescent="0.95">
      <c r="A6446" s="56"/>
      <c r="B6446" s="57"/>
      <c r="C6446" s="57"/>
      <c r="D6446" s="57"/>
      <c r="E6446" s="56"/>
      <c r="F6446" s="57"/>
      <c r="G6446" s="57"/>
      <c r="H6446" s="56"/>
      <c r="I6446" s="56"/>
      <c r="J6446" s="58"/>
      <c r="K6446" s="58"/>
      <c r="L6446" s="13" t="str">
        <f t="shared" si="990"/>
        <v/>
      </c>
      <c r="M6446" s="13" t="str">
        <f t="shared" si="991"/>
        <v/>
      </c>
      <c r="Q6446" t="str">
        <f t="shared" si="992"/>
        <v/>
      </c>
      <c r="R6446" t="str">
        <f t="shared" si="993"/>
        <v/>
      </c>
      <c r="S6446" t="str">
        <f t="shared" si="994"/>
        <v/>
      </c>
      <c r="T6446" t="str">
        <f t="shared" si="995"/>
        <v/>
      </c>
      <c r="U6446" t="str">
        <f t="shared" si="996"/>
        <v/>
      </c>
      <c r="V6446" t="str">
        <f t="shared" si="997"/>
        <v/>
      </c>
      <c r="W6446" t="str">
        <f t="shared" si="998"/>
        <v/>
      </c>
      <c r="X6446">
        <f t="shared" si="988"/>
        <v>0</v>
      </c>
      <c r="Z6446" t="str">
        <f t="shared" si="999"/>
        <v/>
      </c>
      <c r="AA6446">
        <f t="shared" si="989"/>
        <v>0</v>
      </c>
    </row>
    <row r="6447" spans="1:27" ht="21" customHeight="1" x14ac:dyDescent="0.95">
      <c r="A6447" s="56"/>
      <c r="B6447" s="57"/>
      <c r="C6447" s="57"/>
      <c r="D6447" s="57"/>
      <c r="E6447" s="56"/>
      <c r="F6447" s="57"/>
      <c r="G6447" s="57"/>
      <c r="H6447" s="56"/>
      <c r="I6447" s="56"/>
      <c r="J6447" s="58"/>
      <c r="K6447" s="58"/>
      <c r="L6447" s="13" t="str">
        <f t="shared" si="990"/>
        <v/>
      </c>
      <c r="M6447" s="13" t="str">
        <f t="shared" si="991"/>
        <v/>
      </c>
      <c r="Q6447" t="str">
        <f t="shared" si="992"/>
        <v/>
      </c>
      <c r="R6447" t="str">
        <f t="shared" si="993"/>
        <v/>
      </c>
      <c r="S6447" t="str">
        <f t="shared" si="994"/>
        <v/>
      </c>
      <c r="T6447" t="str">
        <f t="shared" si="995"/>
        <v/>
      </c>
      <c r="U6447" t="str">
        <f t="shared" si="996"/>
        <v/>
      </c>
      <c r="V6447" t="str">
        <f t="shared" si="997"/>
        <v/>
      </c>
      <c r="W6447" t="str">
        <f t="shared" si="998"/>
        <v/>
      </c>
      <c r="X6447">
        <f t="shared" si="988"/>
        <v>0</v>
      </c>
      <c r="Z6447" t="str">
        <f t="shared" si="999"/>
        <v/>
      </c>
      <c r="AA6447">
        <f t="shared" si="989"/>
        <v>0</v>
      </c>
    </row>
    <row r="6448" spans="1:27" ht="21" customHeight="1" x14ac:dyDescent="0.95">
      <c r="A6448" s="56"/>
      <c r="B6448" s="57"/>
      <c r="C6448" s="57"/>
      <c r="D6448" s="57"/>
      <c r="E6448" s="56"/>
      <c r="F6448" s="57"/>
      <c r="G6448" s="57"/>
      <c r="H6448" s="56"/>
      <c r="I6448" s="56"/>
      <c r="J6448" s="58"/>
      <c r="K6448" s="58"/>
      <c r="L6448" s="13" t="str">
        <f t="shared" si="990"/>
        <v/>
      </c>
      <c r="M6448" s="13" t="str">
        <f t="shared" si="991"/>
        <v/>
      </c>
      <c r="Q6448" t="str">
        <f t="shared" si="992"/>
        <v/>
      </c>
      <c r="R6448" t="str">
        <f t="shared" si="993"/>
        <v/>
      </c>
      <c r="S6448" t="str">
        <f t="shared" si="994"/>
        <v/>
      </c>
      <c r="T6448" t="str">
        <f t="shared" si="995"/>
        <v/>
      </c>
      <c r="U6448" t="str">
        <f t="shared" si="996"/>
        <v/>
      </c>
      <c r="V6448" t="str">
        <f t="shared" si="997"/>
        <v/>
      </c>
      <c r="W6448" t="str">
        <f t="shared" si="998"/>
        <v/>
      </c>
      <c r="X6448">
        <f t="shared" si="988"/>
        <v>0</v>
      </c>
      <c r="Z6448" t="str">
        <f t="shared" si="999"/>
        <v/>
      </c>
      <c r="AA6448">
        <f t="shared" si="989"/>
        <v>0</v>
      </c>
    </row>
    <row r="6449" spans="1:27" ht="21" customHeight="1" x14ac:dyDescent="0.95">
      <c r="A6449" s="56"/>
      <c r="B6449" s="57"/>
      <c r="C6449" s="57"/>
      <c r="D6449" s="57"/>
      <c r="E6449" s="56"/>
      <c r="F6449" s="57"/>
      <c r="G6449" s="57"/>
      <c r="H6449" s="56"/>
      <c r="I6449" s="56"/>
      <c r="J6449" s="58"/>
      <c r="K6449" s="58"/>
      <c r="L6449" s="13" t="str">
        <f t="shared" si="990"/>
        <v/>
      </c>
      <c r="M6449" s="13" t="str">
        <f t="shared" si="991"/>
        <v/>
      </c>
      <c r="Q6449" t="str">
        <f t="shared" si="992"/>
        <v/>
      </c>
      <c r="R6449" t="str">
        <f t="shared" si="993"/>
        <v/>
      </c>
      <c r="S6449" t="str">
        <f t="shared" si="994"/>
        <v/>
      </c>
      <c r="T6449" t="str">
        <f t="shared" si="995"/>
        <v/>
      </c>
      <c r="U6449" t="str">
        <f t="shared" si="996"/>
        <v/>
      </c>
      <c r="V6449" t="str">
        <f t="shared" si="997"/>
        <v/>
      </c>
      <c r="W6449" t="str">
        <f t="shared" si="998"/>
        <v/>
      </c>
      <c r="X6449">
        <f t="shared" si="988"/>
        <v>0</v>
      </c>
      <c r="Z6449" t="str">
        <f t="shared" si="999"/>
        <v/>
      </c>
      <c r="AA6449">
        <f t="shared" si="989"/>
        <v>0</v>
      </c>
    </row>
    <row r="6450" spans="1:27" ht="21" customHeight="1" x14ac:dyDescent="0.95">
      <c r="A6450" s="56"/>
      <c r="B6450" s="57"/>
      <c r="C6450" s="57"/>
      <c r="D6450" s="57"/>
      <c r="E6450" s="56"/>
      <c r="F6450" s="57"/>
      <c r="G6450" s="57"/>
      <c r="H6450" s="56"/>
      <c r="I6450" s="56"/>
      <c r="J6450" s="58"/>
      <c r="K6450" s="58"/>
      <c r="L6450" s="13" t="str">
        <f t="shared" si="990"/>
        <v/>
      </c>
      <c r="M6450" s="13" t="str">
        <f t="shared" si="991"/>
        <v/>
      </c>
      <c r="Q6450" t="str">
        <f t="shared" si="992"/>
        <v/>
      </c>
      <c r="R6450" t="str">
        <f t="shared" si="993"/>
        <v/>
      </c>
      <c r="S6450" t="str">
        <f t="shared" si="994"/>
        <v/>
      </c>
      <c r="T6450" t="str">
        <f t="shared" si="995"/>
        <v/>
      </c>
      <c r="U6450" t="str">
        <f t="shared" si="996"/>
        <v/>
      </c>
      <c r="V6450" t="str">
        <f t="shared" si="997"/>
        <v/>
      </c>
      <c r="W6450" t="str">
        <f t="shared" si="998"/>
        <v/>
      </c>
      <c r="X6450">
        <f t="shared" si="988"/>
        <v>0</v>
      </c>
      <c r="Z6450" t="str">
        <f t="shared" si="999"/>
        <v/>
      </c>
      <c r="AA6450">
        <f t="shared" si="989"/>
        <v>0</v>
      </c>
    </row>
    <row r="6451" spans="1:27" ht="21" customHeight="1" x14ac:dyDescent="0.95">
      <c r="A6451" s="56"/>
      <c r="B6451" s="57"/>
      <c r="C6451" s="57"/>
      <c r="D6451" s="57"/>
      <c r="E6451" s="56"/>
      <c r="F6451" s="57"/>
      <c r="G6451" s="57"/>
      <c r="H6451" s="56"/>
      <c r="I6451" s="56"/>
      <c r="J6451" s="58"/>
      <c r="K6451" s="58"/>
      <c r="L6451" s="13" t="str">
        <f t="shared" si="990"/>
        <v/>
      </c>
      <c r="M6451" s="13" t="str">
        <f t="shared" si="991"/>
        <v/>
      </c>
      <c r="Q6451" t="str">
        <f t="shared" si="992"/>
        <v/>
      </c>
      <c r="R6451" t="str">
        <f t="shared" si="993"/>
        <v/>
      </c>
      <c r="S6451" t="str">
        <f t="shared" si="994"/>
        <v/>
      </c>
      <c r="T6451" t="str">
        <f t="shared" si="995"/>
        <v/>
      </c>
      <c r="U6451" t="str">
        <f t="shared" si="996"/>
        <v/>
      </c>
      <c r="V6451" t="str">
        <f t="shared" si="997"/>
        <v/>
      </c>
      <c r="W6451" t="str">
        <f t="shared" si="998"/>
        <v/>
      </c>
      <c r="X6451">
        <f t="shared" si="988"/>
        <v>0</v>
      </c>
      <c r="Z6451" t="str">
        <f t="shared" si="999"/>
        <v/>
      </c>
      <c r="AA6451">
        <f t="shared" si="989"/>
        <v>0</v>
      </c>
    </row>
    <row r="6452" spans="1:27" ht="21" customHeight="1" x14ac:dyDescent="0.95">
      <c r="A6452" s="56"/>
      <c r="B6452" s="57"/>
      <c r="C6452" s="57"/>
      <c r="D6452" s="57"/>
      <c r="E6452" s="56"/>
      <c r="F6452" s="57"/>
      <c r="G6452" s="57"/>
      <c r="H6452" s="56"/>
      <c r="I6452" s="56"/>
      <c r="J6452" s="58"/>
      <c r="K6452" s="58"/>
      <c r="L6452" s="13" t="str">
        <f t="shared" si="990"/>
        <v/>
      </c>
      <c r="M6452" s="13" t="str">
        <f t="shared" si="991"/>
        <v/>
      </c>
      <c r="Q6452" t="str">
        <f t="shared" si="992"/>
        <v/>
      </c>
      <c r="R6452" t="str">
        <f t="shared" si="993"/>
        <v/>
      </c>
      <c r="S6452" t="str">
        <f t="shared" si="994"/>
        <v/>
      </c>
      <c r="T6452" t="str">
        <f t="shared" si="995"/>
        <v/>
      </c>
      <c r="U6452" t="str">
        <f t="shared" si="996"/>
        <v/>
      </c>
      <c r="V6452" t="str">
        <f t="shared" si="997"/>
        <v/>
      </c>
      <c r="W6452" t="str">
        <f t="shared" si="998"/>
        <v/>
      </c>
      <c r="X6452">
        <f t="shared" si="988"/>
        <v>0</v>
      </c>
      <c r="Z6452" t="str">
        <f t="shared" si="999"/>
        <v/>
      </c>
      <c r="AA6452">
        <f t="shared" si="989"/>
        <v>0</v>
      </c>
    </row>
    <row r="6453" spans="1:27" ht="21" customHeight="1" x14ac:dyDescent="0.95">
      <c r="A6453" s="56"/>
      <c r="B6453" s="57"/>
      <c r="C6453" s="57"/>
      <c r="D6453" s="57"/>
      <c r="E6453" s="56"/>
      <c r="F6453" s="57"/>
      <c r="G6453" s="57"/>
      <c r="H6453" s="56"/>
      <c r="I6453" s="56"/>
      <c r="J6453" s="58"/>
      <c r="K6453" s="58"/>
      <c r="L6453" s="13" t="str">
        <f t="shared" si="990"/>
        <v/>
      </c>
      <c r="M6453" s="13" t="str">
        <f t="shared" si="991"/>
        <v/>
      </c>
      <c r="Q6453" t="str">
        <f t="shared" si="992"/>
        <v/>
      </c>
      <c r="R6453" t="str">
        <f t="shared" si="993"/>
        <v/>
      </c>
      <c r="S6453" t="str">
        <f t="shared" si="994"/>
        <v/>
      </c>
      <c r="T6453" t="str">
        <f t="shared" si="995"/>
        <v/>
      </c>
      <c r="U6453" t="str">
        <f t="shared" si="996"/>
        <v/>
      </c>
      <c r="V6453" t="str">
        <f t="shared" si="997"/>
        <v/>
      </c>
      <c r="W6453" t="str">
        <f t="shared" si="998"/>
        <v/>
      </c>
      <c r="X6453">
        <f t="shared" ref="X6453:X6516" si="1000">IF($T6453="",N($X6452),IF(MATCH($T6453,$T$6:$T$10005,0)=ROW()-5,N($X6452)+1,N($X6452)))</f>
        <v>0</v>
      </c>
      <c r="Z6453" t="str">
        <f t="shared" si="999"/>
        <v/>
      </c>
      <c r="AA6453">
        <f t="shared" ref="AA6453:AA6516" si="1001">IF($V6453="",N($AA6452),IF(MATCH($V6453,$V$6:$V$10005,0)=ROW()-5,N($AA6452)+1,N($AA6452)))</f>
        <v>0</v>
      </c>
    </row>
    <row r="6454" spans="1:27" ht="21" customHeight="1" x14ac:dyDescent="0.95">
      <c r="A6454" s="56"/>
      <c r="B6454" s="57"/>
      <c r="C6454" s="57"/>
      <c r="D6454" s="57"/>
      <c r="E6454" s="56"/>
      <c r="F6454" s="57"/>
      <c r="G6454" s="57"/>
      <c r="H6454" s="56"/>
      <c r="I6454" s="56"/>
      <c r="J6454" s="58"/>
      <c r="K6454" s="58"/>
      <c r="L6454" s="13" t="str">
        <f t="shared" si="990"/>
        <v/>
      </c>
      <c r="M6454" s="13" t="str">
        <f t="shared" si="991"/>
        <v/>
      </c>
      <c r="Q6454" t="str">
        <f t="shared" si="992"/>
        <v/>
      </c>
      <c r="R6454" t="str">
        <f t="shared" si="993"/>
        <v/>
      </c>
      <c r="S6454" t="str">
        <f t="shared" si="994"/>
        <v/>
      </c>
      <c r="T6454" t="str">
        <f t="shared" si="995"/>
        <v/>
      </c>
      <c r="U6454" t="str">
        <f t="shared" si="996"/>
        <v/>
      </c>
      <c r="V6454" t="str">
        <f t="shared" si="997"/>
        <v/>
      </c>
      <c r="W6454" t="str">
        <f t="shared" si="998"/>
        <v/>
      </c>
      <c r="X6454">
        <f t="shared" si="1000"/>
        <v>0</v>
      </c>
      <c r="Z6454" t="str">
        <f t="shared" si="999"/>
        <v/>
      </c>
      <c r="AA6454">
        <f t="shared" si="1001"/>
        <v>0</v>
      </c>
    </row>
    <row r="6455" spans="1:27" ht="21" customHeight="1" x14ac:dyDescent="0.95">
      <c r="A6455" s="56"/>
      <c r="B6455" s="57"/>
      <c r="C6455" s="57"/>
      <c r="D6455" s="57"/>
      <c r="E6455" s="56"/>
      <c r="F6455" s="57"/>
      <c r="G6455" s="57"/>
      <c r="H6455" s="56"/>
      <c r="I6455" s="56"/>
      <c r="J6455" s="58"/>
      <c r="K6455" s="58"/>
      <c r="L6455" s="13" t="str">
        <f t="shared" si="990"/>
        <v/>
      </c>
      <c r="M6455" s="13" t="str">
        <f t="shared" si="991"/>
        <v/>
      </c>
      <c r="Q6455" t="str">
        <f t="shared" si="992"/>
        <v/>
      </c>
      <c r="R6455" t="str">
        <f t="shared" si="993"/>
        <v/>
      </c>
      <c r="S6455" t="str">
        <f t="shared" si="994"/>
        <v/>
      </c>
      <c r="T6455" t="str">
        <f t="shared" si="995"/>
        <v/>
      </c>
      <c r="U6455" t="str">
        <f t="shared" si="996"/>
        <v/>
      </c>
      <c r="V6455" t="str">
        <f t="shared" si="997"/>
        <v/>
      </c>
      <c r="W6455" t="str">
        <f t="shared" si="998"/>
        <v/>
      </c>
      <c r="X6455">
        <f t="shared" si="1000"/>
        <v>0</v>
      </c>
      <c r="Z6455" t="str">
        <f t="shared" si="999"/>
        <v/>
      </c>
      <c r="AA6455">
        <f t="shared" si="1001"/>
        <v>0</v>
      </c>
    </row>
    <row r="6456" spans="1:27" ht="21" customHeight="1" x14ac:dyDescent="0.95">
      <c r="A6456" s="56"/>
      <c r="B6456" s="57"/>
      <c r="C6456" s="57"/>
      <c r="D6456" s="57"/>
      <c r="E6456" s="56"/>
      <c r="F6456" s="57"/>
      <c r="G6456" s="57"/>
      <c r="H6456" s="56"/>
      <c r="I6456" s="56"/>
      <c r="J6456" s="58"/>
      <c r="K6456" s="58"/>
      <c r="L6456" s="13" t="str">
        <f t="shared" si="990"/>
        <v/>
      </c>
      <c r="M6456" s="13" t="str">
        <f t="shared" si="991"/>
        <v/>
      </c>
      <c r="Q6456" t="str">
        <f t="shared" si="992"/>
        <v/>
      </c>
      <c r="R6456" t="str">
        <f t="shared" si="993"/>
        <v/>
      </c>
      <c r="S6456" t="str">
        <f t="shared" si="994"/>
        <v/>
      </c>
      <c r="T6456" t="str">
        <f t="shared" si="995"/>
        <v/>
      </c>
      <c r="U6456" t="str">
        <f t="shared" si="996"/>
        <v/>
      </c>
      <c r="V6456" t="str">
        <f t="shared" si="997"/>
        <v/>
      </c>
      <c r="W6456" t="str">
        <f t="shared" si="998"/>
        <v/>
      </c>
      <c r="X6456">
        <f t="shared" si="1000"/>
        <v>0</v>
      </c>
      <c r="Z6456" t="str">
        <f t="shared" si="999"/>
        <v/>
      </c>
      <c r="AA6456">
        <f t="shared" si="1001"/>
        <v>0</v>
      </c>
    </row>
    <row r="6457" spans="1:27" ht="21" customHeight="1" x14ac:dyDescent="0.95">
      <c r="A6457" s="56"/>
      <c r="B6457" s="57"/>
      <c r="C6457" s="57"/>
      <c r="D6457" s="57"/>
      <c r="E6457" s="56"/>
      <c r="F6457" s="57"/>
      <c r="G6457" s="57"/>
      <c r="H6457" s="56"/>
      <c r="I6457" s="56"/>
      <c r="J6457" s="58"/>
      <c r="K6457" s="58"/>
      <c r="L6457" s="13" t="str">
        <f t="shared" si="990"/>
        <v/>
      </c>
      <c r="M6457" s="13" t="str">
        <f t="shared" si="991"/>
        <v/>
      </c>
      <c r="Q6457" t="str">
        <f t="shared" si="992"/>
        <v/>
      </c>
      <c r="R6457" t="str">
        <f t="shared" si="993"/>
        <v/>
      </c>
      <c r="S6457" t="str">
        <f t="shared" si="994"/>
        <v/>
      </c>
      <c r="T6457" t="str">
        <f t="shared" si="995"/>
        <v/>
      </c>
      <c r="U6457" t="str">
        <f t="shared" si="996"/>
        <v/>
      </c>
      <c r="V6457" t="str">
        <f t="shared" si="997"/>
        <v/>
      </c>
      <c r="W6457" t="str">
        <f t="shared" si="998"/>
        <v/>
      </c>
      <c r="X6457">
        <f t="shared" si="1000"/>
        <v>0</v>
      </c>
      <c r="Z6457" t="str">
        <f t="shared" si="999"/>
        <v/>
      </c>
      <c r="AA6457">
        <f t="shared" si="1001"/>
        <v>0</v>
      </c>
    </row>
    <row r="6458" spans="1:27" ht="21" customHeight="1" x14ac:dyDescent="0.95">
      <c r="A6458" s="56"/>
      <c r="B6458" s="57"/>
      <c r="C6458" s="57"/>
      <c r="D6458" s="57"/>
      <c r="E6458" s="56"/>
      <c r="F6458" s="57"/>
      <c r="G6458" s="57"/>
      <c r="H6458" s="56"/>
      <c r="I6458" s="56"/>
      <c r="J6458" s="58"/>
      <c r="K6458" s="58"/>
      <c r="L6458" s="13" t="str">
        <f t="shared" si="990"/>
        <v/>
      </c>
      <c r="M6458" s="13" t="str">
        <f t="shared" si="991"/>
        <v/>
      </c>
      <c r="Q6458" t="str">
        <f t="shared" si="992"/>
        <v/>
      </c>
      <c r="R6458" t="str">
        <f t="shared" si="993"/>
        <v/>
      </c>
      <c r="S6458" t="str">
        <f t="shared" si="994"/>
        <v/>
      </c>
      <c r="T6458" t="str">
        <f t="shared" si="995"/>
        <v/>
      </c>
      <c r="U6458" t="str">
        <f t="shared" si="996"/>
        <v/>
      </c>
      <c r="V6458" t="str">
        <f t="shared" si="997"/>
        <v/>
      </c>
      <c r="W6458" t="str">
        <f t="shared" si="998"/>
        <v/>
      </c>
      <c r="X6458">
        <f t="shared" si="1000"/>
        <v>0</v>
      </c>
      <c r="Z6458" t="str">
        <f t="shared" si="999"/>
        <v/>
      </c>
      <c r="AA6458">
        <f t="shared" si="1001"/>
        <v>0</v>
      </c>
    </row>
    <row r="6459" spans="1:27" ht="21" customHeight="1" x14ac:dyDescent="0.95">
      <c r="A6459" s="56"/>
      <c r="B6459" s="57"/>
      <c r="C6459" s="57"/>
      <c r="D6459" s="57"/>
      <c r="E6459" s="56"/>
      <c r="F6459" s="57"/>
      <c r="G6459" s="57"/>
      <c r="H6459" s="56"/>
      <c r="I6459" s="56"/>
      <c r="J6459" s="58"/>
      <c r="K6459" s="58"/>
      <c r="L6459" s="13" t="str">
        <f t="shared" si="990"/>
        <v/>
      </c>
      <c r="M6459" s="13" t="str">
        <f t="shared" si="991"/>
        <v/>
      </c>
      <c r="Q6459" t="str">
        <f t="shared" si="992"/>
        <v/>
      </c>
      <c r="R6459" t="str">
        <f t="shared" si="993"/>
        <v/>
      </c>
      <c r="S6459" t="str">
        <f t="shared" si="994"/>
        <v/>
      </c>
      <c r="T6459" t="str">
        <f t="shared" si="995"/>
        <v/>
      </c>
      <c r="U6459" t="str">
        <f t="shared" si="996"/>
        <v/>
      </c>
      <c r="V6459" t="str">
        <f t="shared" si="997"/>
        <v/>
      </c>
      <c r="W6459" t="str">
        <f t="shared" si="998"/>
        <v/>
      </c>
      <c r="X6459">
        <f t="shared" si="1000"/>
        <v>0</v>
      </c>
      <c r="Z6459" t="str">
        <f t="shared" si="999"/>
        <v/>
      </c>
      <c r="AA6459">
        <f t="shared" si="1001"/>
        <v>0</v>
      </c>
    </row>
    <row r="6460" spans="1:27" ht="21" customHeight="1" x14ac:dyDescent="0.95">
      <c r="A6460" s="56"/>
      <c r="B6460" s="57"/>
      <c r="C6460" s="57"/>
      <c r="D6460" s="57"/>
      <c r="E6460" s="56"/>
      <c r="F6460" s="57"/>
      <c r="G6460" s="57"/>
      <c r="H6460" s="56"/>
      <c r="I6460" s="56"/>
      <c r="J6460" s="58"/>
      <c r="K6460" s="58"/>
      <c r="L6460" s="13" t="str">
        <f t="shared" si="990"/>
        <v/>
      </c>
      <c r="M6460" s="13" t="str">
        <f t="shared" si="991"/>
        <v/>
      </c>
      <c r="Q6460" t="str">
        <f t="shared" si="992"/>
        <v/>
      </c>
      <c r="R6460" t="str">
        <f t="shared" si="993"/>
        <v/>
      </c>
      <c r="S6460" t="str">
        <f t="shared" si="994"/>
        <v/>
      </c>
      <c r="T6460" t="str">
        <f t="shared" si="995"/>
        <v/>
      </c>
      <c r="U6460" t="str">
        <f t="shared" si="996"/>
        <v/>
      </c>
      <c r="V6460" t="str">
        <f t="shared" si="997"/>
        <v/>
      </c>
      <c r="W6460" t="str">
        <f t="shared" si="998"/>
        <v/>
      </c>
      <c r="X6460">
        <f t="shared" si="1000"/>
        <v>0</v>
      </c>
      <c r="Z6460" t="str">
        <f t="shared" si="999"/>
        <v/>
      </c>
      <c r="AA6460">
        <f t="shared" si="1001"/>
        <v>0</v>
      </c>
    </row>
    <row r="6461" spans="1:27" ht="21" customHeight="1" x14ac:dyDescent="0.95">
      <c r="A6461" s="56"/>
      <c r="B6461" s="57"/>
      <c r="C6461" s="57"/>
      <c r="D6461" s="57"/>
      <c r="E6461" s="56"/>
      <c r="F6461" s="57"/>
      <c r="G6461" s="57"/>
      <c r="H6461" s="56"/>
      <c r="I6461" s="56"/>
      <c r="J6461" s="58"/>
      <c r="K6461" s="58"/>
      <c r="L6461" s="13" t="str">
        <f t="shared" si="990"/>
        <v/>
      </c>
      <c r="M6461" s="13" t="str">
        <f t="shared" si="991"/>
        <v/>
      </c>
      <c r="Q6461" t="str">
        <f t="shared" si="992"/>
        <v/>
      </c>
      <c r="R6461" t="str">
        <f t="shared" si="993"/>
        <v/>
      </c>
      <c r="S6461" t="str">
        <f t="shared" si="994"/>
        <v/>
      </c>
      <c r="T6461" t="str">
        <f t="shared" si="995"/>
        <v/>
      </c>
      <c r="U6461" t="str">
        <f t="shared" si="996"/>
        <v/>
      </c>
      <c r="V6461" t="str">
        <f t="shared" si="997"/>
        <v/>
      </c>
      <c r="W6461" t="str">
        <f t="shared" si="998"/>
        <v/>
      </c>
      <c r="X6461">
        <f t="shared" si="1000"/>
        <v>0</v>
      </c>
      <c r="Z6461" t="str">
        <f t="shared" si="999"/>
        <v/>
      </c>
      <c r="AA6461">
        <f t="shared" si="1001"/>
        <v>0</v>
      </c>
    </row>
    <row r="6462" spans="1:27" ht="21" customHeight="1" x14ac:dyDescent="0.95">
      <c r="A6462" s="56"/>
      <c r="B6462" s="57"/>
      <c r="C6462" s="57"/>
      <c r="D6462" s="57"/>
      <c r="E6462" s="56"/>
      <c r="F6462" s="57"/>
      <c r="G6462" s="57"/>
      <c r="H6462" s="56"/>
      <c r="I6462" s="56"/>
      <c r="J6462" s="58"/>
      <c r="K6462" s="58"/>
      <c r="L6462" s="13" t="str">
        <f t="shared" si="990"/>
        <v/>
      </c>
      <c r="M6462" s="13" t="str">
        <f t="shared" si="991"/>
        <v/>
      </c>
      <c r="Q6462" t="str">
        <f t="shared" si="992"/>
        <v/>
      </c>
      <c r="R6462" t="str">
        <f t="shared" si="993"/>
        <v/>
      </c>
      <c r="S6462" t="str">
        <f t="shared" si="994"/>
        <v/>
      </c>
      <c r="T6462" t="str">
        <f t="shared" si="995"/>
        <v/>
      </c>
      <c r="U6462" t="str">
        <f t="shared" si="996"/>
        <v/>
      </c>
      <c r="V6462" t="str">
        <f t="shared" si="997"/>
        <v/>
      </c>
      <c r="W6462" t="str">
        <f t="shared" si="998"/>
        <v/>
      </c>
      <c r="X6462">
        <f t="shared" si="1000"/>
        <v>0</v>
      </c>
      <c r="Z6462" t="str">
        <f t="shared" si="999"/>
        <v/>
      </c>
      <c r="AA6462">
        <f t="shared" si="1001"/>
        <v>0</v>
      </c>
    </row>
    <row r="6463" spans="1:27" ht="21" customHeight="1" x14ac:dyDescent="0.95">
      <c r="A6463" s="56"/>
      <c r="B6463" s="57"/>
      <c r="C6463" s="57"/>
      <c r="D6463" s="57"/>
      <c r="E6463" s="56"/>
      <c r="F6463" s="57"/>
      <c r="G6463" s="57"/>
      <c r="H6463" s="56"/>
      <c r="I6463" s="56"/>
      <c r="J6463" s="58"/>
      <c r="K6463" s="58"/>
      <c r="L6463" s="13" t="str">
        <f t="shared" si="990"/>
        <v/>
      </c>
      <c r="M6463" s="13" t="str">
        <f t="shared" si="991"/>
        <v/>
      </c>
      <c r="Q6463" t="str">
        <f t="shared" si="992"/>
        <v/>
      </c>
      <c r="R6463" t="str">
        <f t="shared" si="993"/>
        <v/>
      </c>
      <c r="S6463" t="str">
        <f t="shared" si="994"/>
        <v/>
      </c>
      <c r="T6463" t="str">
        <f t="shared" si="995"/>
        <v/>
      </c>
      <c r="U6463" t="str">
        <f t="shared" si="996"/>
        <v/>
      </c>
      <c r="V6463" t="str">
        <f t="shared" si="997"/>
        <v/>
      </c>
      <c r="W6463" t="str">
        <f t="shared" si="998"/>
        <v/>
      </c>
      <c r="X6463">
        <f t="shared" si="1000"/>
        <v>0</v>
      </c>
      <c r="Z6463" t="str">
        <f t="shared" si="999"/>
        <v/>
      </c>
      <c r="AA6463">
        <f t="shared" si="1001"/>
        <v>0</v>
      </c>
    </row>
    <row r="6464" spans="1:27" ht="21" customHeight="1" x14ac:dyDescent="0.95">
      <c r="A6464" s="56"/>
      <c r="B6464" s="57"/>
      <c r="C6464" s="57"/>
      <c r="D6464" s="57"/>
      <c r="E6464" s="56"/>
      <c r="F6464" s="57"/>
      <c r="G6464" s="57"/>
      <c r="H6464" s="56"/>
      <c r="I6464" s="56"/>
      <c r="J6464" s="58"/>
      <c r="K6464" s="58"/>
      <c r="L6464" s="13" t="str">
        <f t="shared" si="990"/>
        <v/>
      </c>
      <c r="M6464" s="13" t="str">
        <f t="shared" si="991"/>
        <v/>
      </c>
      <c r="Q6464" t="str">
        <f t="shared" si="992"/>
        <v/>
      </c>
      <c r="R6464" t="str">
        <f t="shared" si="993"/>
        <v/>
      </c>
      <c r="S6464" t="str">
        <f t="shared" si="994"/>
        <v/>
      </c>
      <c r="T6464" t="str">
        <f t="shared" si="995"/>
        <v/>
      </c>
      <c r="U6464" t="str">
        <f t="shared" si="996"/>
        <v/>
      </c>
      <c r="V6464" t="str">
        <f t="shared" si="997"/>
        <v/>
      </c>
      <c r="W6464" t="str">
        <f t="shared" si="998"/>
        <v/>
      </c>
      <c r="X6464">
        <f t="shared" si="1000"/>
        <v>0</v>
      </c>
      <c r="Z6464" t="str">
        <f t="shared" si="999"/>
        <v/>
      </c>
      <c r="AA6464">
        <f t="shared" si="1001"/>
        <v>0</v>
      </c>
    </row>
    <row r="6465" spans="1:27" ht="21" customHeight="1" x14ac:dyDescent="0.95">
      <c r="A6465" s="56"/>
      <c r="B6465" s="57"/>
      <c r="C6465" s="57"/>
      <c r="D6465" s="57"/>
      <c r="E6465" s="56"/>
      <c r="F6465" s="57"/>
      <c r="G6465" s="57"/>
      <c r="H6465" s="56"/>
      <c r="I6465" s="56"/>
      <c r="J6465" s="58"/>
      <c r="K6465" s="58"/>
      <c r="L6465" s="13" t="str">
        <f t="shared" si="990"/>
        <v/>
      </c>
      <c r="M6465" s="13" t="str">
        <f t="shared" si="991"/>
        <v/>
      </c>
      <c r="Q6465" t="str">
        <f t="shared" si="992"/>
        <v/>
      </c>
      <c r="R6465" t="str">
        <f t="shared" si="993"/>
        <v/>
      </c>
      <c r="S6465" t="str">
        <f t="shared" si="994"/>
        <v/>
      </c>
      <c r="T6465" t="str">
        <f t="shared" si="995"/>
        <v/>
      </c>
      <c r="U6465" t="str">
        <f t="shared" si="996"/>
        <v/>
      </c>
      <c r="V6465" t="str">
        <f t="shared" si="997"/>
        <v/>
      </c>
      <c r="W6465" t="str">
        <f t="shared" si="998"/>
        <v/>
      </c>
      <c r="X6465">
        <f t="shared" si="1000"/>
        <v>0</v>
      </c>
      <c r="Z6465" t="str">
        <f t="shared" si="999"/>
        <v/>
      </c>
      <c r="AA6465">
        <f t="shared" si="1001"/>
        <v>0</v>
      </c>
    </row>
    <row r="6466" spans="1:27" ht="21" customHeight="1" x14ac:dyDescent="0.95">
      <c r="A6466" s="56"/>
      <c r="B6466" s="57"/>
      <c r="C6466" s="57"/>
      <c r="D6466" s="57"/>
      <c r="E6466" s="56"/>
      <c r="F6466" s="57"/>
      <c r="G6466" s="57"/>
      <c r="H6466" s="56"/>
      <c r="I6466" s="56"/>
      <c r="J6466" s="58"/>
      <c r="K6466" s="58"/>
      <c r="L6466" s="13" t="str">
        <f t="shared" si="990"/>
        <v/>
      </c>
      <c r="M6466" s="13" t="str">
        <f t="shared" si="991"/>
        <v/>
      </c>
      <c r="Q6466" t="str">
        <f t="shared" si="992"/>
        <v/>
      </c>
      <c r="R6466" t="str">
        <f t="shared" si="993"/>
        <v/>
      </c>
      <c r="S6466" t="str">
        <f t="shared" si="994"/>
        <v/>
      </c>
      <c r="T6466" t="str">
        <f t="shared" si="995"/>
        <v/>
      </c>
      <c r="U6466" t="str">
        <f t="shared" si="996"/>
        <v/>
      </c>
      <c r="V6466" t="str">
        <f t="shared" si="997"/>
        <v/>
      </c>
      <c r="W6466" t="str">
        <f t="shared" si="998"/>
        <v/>
      </c>
      <c r="X6466">
        <f t="shared" si="1000"/>
        <v>0</v>
      </c>
      <c r="Z6466" t="str">
        <f t="shared" si="999"/>
        <v/>
      </c>
      <c r="AA6466">
        <f t="shared" si="1001"/>
        <v>0</v>
      </c>
    </row>
    <row r="6467" spans="1:27" ht="21" customHeight="1" x14ac:dyDescent="0.95">
      <c r="A6467" s="56"/>
      <c r="B6467" s="57"/>
      <c r="C6467" s="57"/>
      <c r="D6467" s="57"/>
      <c r="E6467" s="56"/>
      <c r="F6467" s="57"/>
      <c r="G6467" s="57"/>
      <c r="H6467" s="56"/>
      <c r="I6467" s="56"/>
      <c r="J6467" s="58"/>
      <c r="K6467" s="58"/>
      <c r="L6467" s="13" t="str">
        <f t="shared" si="990"/>
        <v/>
      </c>
      <c r="M6467" s="13" t="str">
        <f t="shared" si="991"/>
        <v/>
      </c>
      <c r="Q6467" t="str">
        <f t="shared" si="992"/>
        <v/>
      </c>
      <c r="R6467" t="str">
        <f t="shared" si="993"/>
        <v/>
      </c>
      <c r="S6467" t="str">
        <f t="shared" si="994"/>
        <v/>
      </c>
      <c r="T6467" t="str">
        <f t="shared" si="995"/>
        <v/>
      </c>
      <c r="U6467" t="str">
        <f t="shared" si="996"/>
        <v/>
      </c>
      <c r="V6467" t="str">
        <f t="shared" si="997"/>
        <v/>
      </c>
      <c r="W6467" t="str">
        <f t="shared" si="998"/>
        <v/>
      </c>
      <c r="X6467">
        <f t="shared" si="1000"/>
        <v>0</v>
      </c>
      <c r="Z6467" t="str">
        <f t="shared" si="999"/>
        <v/>
      </c>
      <c r="AA6467">
        <f t="shared" si="1001"/>
        <v>0</v>
      </c>
    </row>
    <row r="6468" spans="1:27" ht="21" customHeight="1" x14ac:dyDescent="0.95">
      <c r="A6468" s="56"/>
      <c r="B6468" s="57"/>
      <c r="C6468" s="57"/>
      <c r="D6468" s="57"/>
      <c r="E6468" s="56"/>
      <c r="F6468" s="57"/>
      <c r="G6468" s="57"/>
      <c r="H6468" s="56"/>
      <c r="I6468" s="56"/>
      <c r="J6468" s="58"/>
      <c r="K6468" s="58"/>
      <c r="L6468" s="13" t="str">
        <f t="shared" ref="L6468:L6531" si="1002">IF(OR($A6468="",AND($J6468="",$K6468="")),"",ROUND(N($J6468)-N($K6468),2))</f>
        <v/>
      </c>
      <c r="M6468" s="13" t="str">
        <f t="shared" ref="M6468:M6531" si="1003">IF(OR($A6468="",AND($J6468="",$K6468="")),"",MIN($J6468,$K6468))</f>
        <v/>
      </c>
      <c r="Q6468" t="str">
        <f t="shared" ref="Q6468:Q6531" si="1004">IF($A6468="","",$D6468&amp;"("&amp;SUBSTITUTE($E6468," ","")&amp;")")</f>
        <v/>
      </c>
      <c r="R6468" t="str">
        <f t="shared" ref="R6468:R6531" si="1005">IF($A6468="","",$B6468&amp;" - "&amp;$C6468)</f>
        <v/>
      </c>
      <c r="S6468" t="str">
        <f t="shared" ref="S6468:S6531" si="1006">IF($A6468="","",$R6468&amp;"|"&amp;$Q6468)</f>
        <v/>
      </c>
      <c r="T6468" t="str">
        <f t="shared" ref="T6468:T6531" si="1007">IF($A6468="","",$S6468&amp;"|"&amp;$F6468)</f>
        <v/>
      </c>
      <c r="U6468" t="str">
        <f t="shared" ref="U6468:U6531" si="1008">IF($A6468="","",$R6468&amp;"("&amp;$E6468&amp;")")</f>
        <v/>
      </c>
      <c r="V6468" t="str">
        <f t="shared" ref="V6468:V6531" si="1009">IF($A6468="","",$F6468&amp;"|"&amp;$U6468&amp;"|"&amp;$D6468)</f>
        <v/>
      </c>
      <c r="W6468" t="str">
        <f t="shared" si="998"/>
        <v/>
      </c>
      <c r="X6468">
        <f t="shared" si="1000"/>
        <v>0</v>
      </c>
      <c r="Z6468" t="str">
        <f t="shared" si="999"/>
        <v/>
      </c>
      <c r="AA6468">
        <f t="shared" si="1001"/>
        <v>0</v>
      </c>
    </row>
    <row r="6469" spans="1:27" ht="21" customHeight="1" x14ac:dyDescent="0.95">
      <c r="A6469" s="56"/>
      <c r="B6469" s="57"/>
      <c r="C6469" s="57"/>
      <c r="D6469" s="57"/>
      <c r="E6469" s="56"/>
      <c r="F6469" s="57"/>
      <c r="G6469" s="57"/>
      <c r="H6469" s="56"/>
      <c r="I6469" s="56"/>
      <c r="J6469" s="58"/>
      <c r="K6469" s="58"/>
      <c r="L6469" s="13" t="str">
        <f t="shared" si="1002"/>
        <v/>
      </c>
      <c r="M6469" s="13" t="str">
        <f t="shared" si="1003"/>
        <v/>
      </c>
      <c r="Q6469" t="str">
        <f t="shared" si="1004"/>
        <v/>
      </c>
      <c r="R6469" t="str">
        <f t="shared" si="1005"/>
        <v/>
      </c>
      <c r="S6469" t="str">
        <f t="shared" si="1006"/>
        <v/>
      </c>
      <c r="T6469" t="str">
        <f t="shared" si="1007"/>
        <v/>
      </c>
      <c r="U6469" t="str">
        <f t="shared" si="1008"/>
        <v/>
      </c>
      <c r="V6469" t="str">
        <f t="shared" si="1009"/>
        <v/>
      </c>
      <c r="W6469" t="str">
        <f t="shared" si="998"/>
        <v/>
      </c>
      <c r="X6469">
        <f t="shared" si="1000"/>
        <v>0</v>
      </c>
      <c r="Z6469" t="str">
        <f t="shared" si="999"/>
        <v/>
      </c>
      <c r="AA6469">
        <f t="shared" si="1001"/>
        <v>0</v>
      </c>
    </row>
    <row r="6470" spans="1:27" ht="21" customHeight="1" x14ac:dyDescent="0.95">
      <c r="A6470" s="56"/>
      <c r="B6470" s="57"/>
      <c r="C6470" s="57"/>
      <c r="D6470" s="57"/>
      <c r="E6470" s="56"/>
      <c r="F6470" s="57"/>
      <c r="G6470" s="57"/>
      <c r="H6470" s="56"/>
      <c r="I6470" s="56"/>
      <c r="J6470" s="58"/>
      <c r="K6470" s="58"/>
      <c r="L6470" s="13" t="str">
        <f t="shared" si="1002"/>
        <v/>
      </c>
      <c r="M6470" s="13" t="str">
        <f t="shared" si="1003"/>
        <v/>
      </c>
      <c r="Q6470" t="str">
        <f t="shared" si="1004"/>
        <v/>
      </c>
      <c r="R6470" t="str">
        <f t="shared" si="1005"/>
        <v/>
      </c>
      <c r="S6470" t="str">
        <f t="shared" si="1006"/>
        <v/>
      </c>
      <c r="T6470" t="str">
        <f t="shared" si="1007"/>
        <v/>
      </c>
      <c r="U6470" t="str">
        <f t="shared" si="1008"/>
        <v/>
      </c>
      <c r="V6470" t="str">
        <f t="shared" si="1009"/>
        <v/>
      </c>
      <c r="W6470" t="str">
        <f t="shared" ref="W6470:W6533" si="1010">IF($T6470="","",IF($X6470&gt;N($X6469),$X6470,""))</f>
        <v/>
      </c>
      <c r="X6470">
        <f t="shared" si="1000"/>
        <v>0</v>
      </c>
      <c r="Z6470" t="str">
        <f t="shared" ref="Z6470:Z6533" si="1011">IF($V6470="","",IF($AA6470&gt;N($AA6469),$AA6470,""))</f>
        <v/>
      </c>
      <c r="AA6470">
        <f t="shared" si="1001"/>
        <v>0</v>
      </c>
    </row>
    <row r="6471" spans="1:27" ht="21" customHeight="1" x14ac:dyDescent="0.95">
      <c r="A6471" s="56"/>
      <c r="B6471" s="57"/>
      <c r="C6471" s="57"/>
      <c r="D6471" s="57"/>
      <c r="E6471" s="56"/>
      <c r="F6471" s="57"/>
      <c r="G6471" s="57"/>
      <c r="H6471" s="56"/>
      <c r="I6471" s="56"/>
      <c r="J6471" s="58"/>
      <c r="K6471" s="58"/>
      <c r="L6471" s="13" t="str">
        <f t="shared" si="1002"/>
        <v/>
      </c>
      <c r="M6471" s="13" t="str">
        <f t="shared" si="1003"/>
        <v/>
      </c>
      <c r="Q6471" t="str">
        <f t="shared" si="1004"/>
        <v/>
      </c>
      <c r="R6471" t="str">
        <f t="shared" si="1005"/>
        <v/>
      </c>
      <c r="S6471" t="str">
        <f t="shared" si="1006"/>
        <v/>
      </c>
      <c r="T6471" t="str">
        <f t="shared" si="1007"/>
        <v/>
      </c>
      <c r="U6471" t="str">
        <f t="shared" si="1008"/>
        <v/>
      </c>
      <c r="V6471" t="str">
        <f t="shared" si="1009"/>
        <v/>
      </c>
      <c r="W6471" t="str">
        <f t="shared" si="1010"/>
        <v/>
      </c>
      <c r="X6471">
        <f t="shared" si="1000"/>
        <v>0</v>
      </c>
      <c r="Z6471" t="str">
        <f t="shared" si="1011"/>
        <v/>
      </c>
      <c r="AA6471">
        <f t="shared" si="1001"/>
        <v>0</v>
      </c>
    </row>
    <row r="6472" spans="1:27" ht="21" customHeight="1" x14ac:dyDescent="0.95">
      <c r="A6472" s="56"/>
      <c r="B6472" s="57"/>
      <c r="C6472" s="57"/>
      <c r="D6472" s="57"/>
      <c r="E6472" s="56"/>
      <c r="F6472" s="57"/>
      <c r="G6472" s="57"/>
      <c r="H6472" s="56"/>
      <c r="I6472" s="56"/>
      <c r="J6472" s="58"/>
      <c r="K6472" s="58"/>
      <c r="L6472" s="13" t="str">
        <f t="shared" si="1002"/>
        <v/>
      </c>
      <c r="M6472" s="13" t="str">
        <f t="shared" si="1003"/>
        <v/>
      </c>
      <c r="Q6472" t="str">
        <f t="shared" si="1004"/>
        <v/>
      </c>
      <c r="R6472" t="str">
        <f t="shared" si="1005"/>
        <v/>
      </c>
      <c r="S6472" t="str">
        <f t="shared" si="1006"/>
        <v/>
      </c>
      <c r="T6472" t="str">
        <f t="shared" si="1007"/>
        <v/>
      </c>
      <c r="U6472" t="str">
        <f t="shared" si="1008"/>
        <v/>
      </c>
      <c r="V6472" t="str">
        <f t="shared" si="1009"/>
        <v/>
      </c>
      <c r="W6472" t="str">
        <f t="shared" si="1010"/>
        <v/>
      </c>
      <c r="X6472">
        <f t="shared" si="1000"/>
        <v>0</v>
      </c>
      <c r="Z6472" t="str">
        <f t="shared" si="1011"/>
        <v/>
      </c>
      <c r="AA6472">
        <f t="shared" si="1001"/>
        <v>0</v>
      </c>
    </row>
    <row r="6473" spans="1:27" ht="21" customHeight="1" x14ac:dyDescent="0.95">
      <c r="A6473" s="56"/>
      <c r="B6473" s="57"/>
      <c r="C6473" s="57"/>
      <c r="D6473" s="57"/>
      <c r="E6473" s="56"/>
      <c r="F6473" s="57"/>
      <c r="G6473" s="57"/>
      <c r="H6473" s="56"/>
      <c r="I6473" s="56"/>
      <c r="J6473" s="58"/>
      <c r="K6473" s="58"/>
      <c r="L6473" s="13" t="str">
        <f t="shared" si="1002"/>
        <v/>
      </c>
      <c r="M6473" s="13" t="str">
        <f t="shared" si="1003"/>
        <v/>
      </c>
      <c r="Q6473" t="str">
        <f t="shared" si="1004"/>
        <v/>
      </c>
      <c r="R6473" t="str">
        <f t="shared" si="1005"/>
        <v/>
      </c>
      <c r="S6473" t="str">
        <f t="shared" si="1006"/>
        <v/>
      </c>
      <c r="T6473" t="str">
        <f t="shared" si="1007"/>
        <v/>
      </c>
      <c r="U6473" t="str">
        <f t="shared" si="1008"/>
        <v/>
      </c>
      <c r="V6473" t="str">
        <f t="shared" si="1009"/>
        <v/>
      </c>
      <c r="W6473" t="str">
        <f t="shared" si="1010"/>
        <v/>
      </c>
      <c r="X6473">
        <f t="shared" si="1000"/>
        <v>0</v>
      </c>
      <c r="Z6473" t="str">
        <f t="shared" si="1011"/>
        <v/>
      </c>
      <c r="AA6473">
        <f t="shared" si="1001"/>
        <v>0</v>
      </c>
    </row>
    <row r="6474" spans="1:27" ht="21" customHeight="1" x14ac:dyDescent="0.95">
      <c r="A6474" s="56"/>
      <c r="B6474" s="57"/>
      <c r="C6474" s="57"/>
      <c r="D6474" s="57"/>
      <c r="E6474" s="56"/>
      <c r="F6474" s="57"/>
      <c r="G6474" s="57"/>
      <c r="H6474" s="56"/>
      <c r="I6474" s="56"/>
      <c r="J6474" s="58"/>
      <c r="K6474" s="58"/>
      <c r="L6474" s="13" t="str">
        <f t="shared" si="1002"/>
        <v/>
      </c>
      <c r="M6474" s="13" t="str">
        <f t="shared" si="1003"/>
        <v/>
      </c>
      <c r="Q6474" t="str">
        <f t="shared" si="1004"/>
        <v/>
      </c>
      <c r="R6474" t="str">
        <f t="shared" si="1005"/>
        <v/>
      </c>
      <c r="S6474" t="str">
        <f t="shared" si="1006"/>
        <v/>
      </c>
      <c r="T6474" t="str">
        <f t="shared" si="1007"/>
        <v/>
      </c>
      <c r="U6474" t="str">
        <f t="shared" si="1008"/>
        <v/>
      </c>
      <c r="V6474" t="str">
        <f t="shared" si="1009"/>
        <v/>
      </c>
      <c r="W6474" t="str">
        <f t="shared" si="1010"/>
        <v/>
      </c>
      <c r="X6474">
        <f t="shared" si="1000"/>
        <v>0</v>
      </c>
      <c r="Z6474" t="str">
        <f t="shared" si="1011"/>
        <v/>
      </c>
      <c r="AA6474">
        <f t="shared" si="1001"/>
        <v>0</v>
      </c>
    </row>
    <row r="6475" spans="1:27" ht="21" customHeight="1" x14ac:dyDescent="0.95">
      <c r="A6475" s="56"/>
      <c r="B6475" s="57"/>
      <c r="C6475" s="57"/>
      <c r="D6475" s="57"/>
      <c r="E6475" s="56"/>
      <c r="F6475" s="57"/>
      <c r="G6475" s="57"/>
      <c r="H6475" s="56"/>
      <c r="I6475" s="56"/>
      <c r="J6475" s="58"/>
      <c r="K6475" s="58"/>
      <c r="L6475" s="13" t="str">
        <f t="shared" si="1002"/>
        <v/>
      </c>
      <c r="M6475" s="13" t="str">
        <f t="shared" si="1003"/>
        <v/>
      </c>
      <c r="Q6475" t="str">
        <f t="shared" si="1004"/>
        <v/>
      </c>
      <c r="R6475" t="str">
        <f t="shared" si="1005"/>
        <v/>
      </c>
      <c r="S6475" t="str">
        <f t="shared" si="1006"/>
        <v/>
      </c>
      <c r="T6475" t="str">
        <f t="shared" si="1007"/>
        <v/>
      </c>
      <c r="U6475" t="str">
        <f t="shared" si="1008"/>
        <v/>
      </c>
      <c r="V6475" t="str">
        <f t="shared" si="1009"/>
        <v/>
      </c>
      <c r="W6475" t="str">
        <f t="shared" si="1010"/>
        <v/>
      </c>
      <c r="X6475">
        <f t="shared" si="1000"/>
        <v>0</v>
      </c>
      <c r="Z6475" t="str">
        <f t="shared" si="1011"/>
        <v/>
      </c>
      <c r="AA6475">
        <f t="shared" si="1001"/>
        <v>0</v>
      </c>
    </row>
    <row r="6476" spans="1:27" ht="21" customHeight="1" x14ac:dyDescent="0.95">
      <c r="A6476" s="56"/>
      <c r="B6476" s="57"/>
      <c r="C6476" s="57"/>
      <c r="D6476" s="57"/>
      <c r="E6476" s="56"/>
      <c r="F6476" s="57"/>
      <c r="G6476" s="57"/>
      <c r="H6476" s="56"/>
      <c r="I6476" s="56"/>
      <c r="J6476" s="58"/>
      <c r="K6476" s="58"/>
      <c r="L6476" s="13" t="str">
        <f t="shared" si="1002"/>
        <v/>
      </c>
      <c r="M6476" s="13" t="str">
        <f t="shared" si="1003"/>
        <v/>
      </c>
      <c r="Q6476" t="str">
        <f t="shared" si="1004"/>
        <v/>
      </c>
      <c r="R6476" t="str">
        <f t="shared" si="1005"/>
        <v/>
      </c>
      <c r="S6476" t="str">
        <f t="shared" si="1006"/>
        <v/>
      </c>
      <c r="T6476" t="str">
        <f t="shared" si="1007"/>
        <v/>
      </c>
      <c r="U6476" t="str">
        <f t="shared" si="1008"/>
        <v/>
      </c>
      <c r="V6476" t="str">
        <f t="shared" si="1009"/>
        <v/>
      </c>
      <c r="W6476" t="str">
        <f t="shared" si="1010"/>
        <v/>
      </c>
      <c r="X6476">
        <f t="shared" si="1000"/>
        <v>0</v>
      </c>
      <c r="Z6476" t="str">
        <f t="shared" si="1011"/>
        <v/>
      </c>
      <c r="AA6476">
        <f t="shared" si="1001"/>
        <v>0</v>
      </c>
    </row>
    <row r="6477" spans="1:27" ht="21" customHeight="1" x14ac:dyDescent="0.95">
      <c r="A6477" s="56"/>
      <c r="B6477" s="57"/>
      <c r="C6477" s="57"/>
      <c r="D6477" s="57"/>
      <c r="E6477" s="56"/>
      <c r="F6477" s="57"/>
      <c r="G6477" s="57"/>
      <c r="H6477" s="56"/>
      <c r="I6477" s="56"/>
      <c r="J6477" s="58"/>
      <c r="K6477" s="58"/>
      <c r="L6477" s="13" t="str">
        <f t="shared" si="1002"/>
        <v/>
      </c>
      <c r="M6477" s="13" t="str">
        <f t="shared" si="1003"/>
        <v/>
      </c>
      <c r="Q6477" t="str">
        <f t="shared" si="1004"/>
        <v/>
      </c>
      <c r="R6477" t="str">
        <f t="shared" si="1005"/>
        <v/>
      </c>
      <c r="S6477" t="str">
        <f t="shared" si="1006"/>
        <v/>
      </c>
      <c r="T6477" t="str">
        <f t="shared" si="1007"/>
        <v/>
      </c>
      <c r="U6477" t="str">
        <f t="shared" si="1008"/>
        <v/>
      </c>
      <c r="V6477" t="str">
        <f t="shared" si="1009"/>
        <v/>
      </c>
      <c r="W6477" t="str">
        <f t="shared" si="1010"/>
        <v/>
      </c>
      <c r="X6477">
        <f t="shared" si="1000"/>
        <v>0</v>
      </c>
      <c r="Z6477" t="str">
        <f t="shared" si="1011"/>
        <v/>
      </c>
      <c r="AA6477">
        <f t="shared" si="1001"/>
        <v>0</v>
      </c>
    </row>
    <row r="6478" spans="1:27" ht="21" customHeight="1" x14ac:dyDescent="0.95">
      <c r="A6478" s="56"/>
      <c r="B6478" s="57"/>
      <c r="C6478" s="57"/>
      <c r="D6478" s="57"/>
      <c r="E6478" s="56"/>
      <c r="F6478" s="57"/>
      <c r="G6478" s="57"/>
      <c r="H6478" s="56"/>
      <c r="I6478" s="56"/>
      <c r="J6478" s="58"/>
      <c r="K6478" s="58"/>
      <c r="L6478" s="13" t="str">
        <f t="shared" si="1002"/>
        <v/>
      </c>
      <c r="M6478" s="13" t="str">
        <f t="shared" si="1003"/>
        <v/>
      </c>
      <c r="Q6478" t="str">
        <f t="shared" si="1004"/>
        <v/>
      </c>
      <c r="R6478" t="str">
        <f t="shared" si="1005"/>
        <v/>
      </c>
      <c r="S6478" t="str">
        <f t="shared" si="1006"/>
        <v/>
      </c>
      <c r="T6478" t="str">
        <f t="shared" si="1007"/>
        <v/>
      </c>
      <c r="U6478" t="str">
        <f t="shared" si="1008"/>
        <v/>
      </c>
      <c r="V6478" t="str">
        <f t="shared" si="1009"/>
        <v/>
      </c>
      <c r="W6478" t="str">
        <f t="shared" si="1010"/>
        <v/>
      </c>
      <c r="X6478">
        <f t="shared" si="1000"/>
        <v>0</v>
      </c>
      <c r="Z6478" t="str">
        <f t="shared" si="1011"/>
        <v/>
      </c>
      <c r="AA6478">
        <f t="shared" si="1001"/>
        <v>0</v>
      </c>
    </row>
    <row r="6479" spans="1:27" ht="21" customHeight="1" x14ac:dyDescent="0.95">
      <c r="A6479" s="56"/>
      <c r="B6479" s="57"/>
      <c r="C6479" s="57"/>
      <c r="D6479" s="57"/>
      <c r="E6479" s="56"/>
      <c r="F6479" s="57"/>
      <c r="G6479" s="57"/>
      <c r="H6479" s="56"/>
      <c r="I6479" s="56"/>
      <c r="J6479" s="58"/>
      <c r="K6479" s="58"/>
      <c r="L6479" s="13" t="str">
        <f t="shared" si="1002"/>
        <v/>
      </c>
      <c r="M6479" s="13" t="str">
        <f t="shared" si="1003"/>
        <v/>
      </c>
      <c r="Q6479" t="str">
        <f t="shared" si="1004"/>
        <v/>
      </c>
      <c r="R6479" t="str">
        <f t="shared" si="1005"/>
        <v/>
      </c>
      <c r="S6479" t="str">
        <f t="shared" si="1006"/>
        <v/>
      </c>
      <c r="T6479" t="str">
        <f t="shared" si="1007"/>
        <v/>
      </c>
      <c r="U6479" t="str">
        <f t="shared" si="1008"/>
        <v/>
      </c>
      <c r="V6479" t="str">
        <f t="shared" si="1009"/>
        <v/>
      </c>
      <c r="W6479" t="str">
        <f t="shared" si="1010"/>
        <v/>
      </c>
      <c r="X6479">
        <f t="shared" si="1000"/>
        <v>0</v>
      </c>
      <c r="Z6479" t="str">
        <f t="shared" si="1011"/>
        <v/>
      </c>
      <c r="AA6479">
        <f t="shared" si="1001"/>
        <v>0</v>
      </c>
    </row>
    <row r="6480" spans="1:27" ht="21" customHeight="1" x14ac:dyDescent="0.95">
      <c r="A6480" s="56"/>
      <c r="B6480" s="57"/>
      <c r="C6480" s="57"/>
      <c r="D6480" s="57"/>
      <c r="E6480" s="56"/>
      <c r="F6480" s="57"/>
      <c r="G6480" s="57"/>
      <c r="H6480" s="56"/>
      <c r="I6480" s="56"/>
      <c r="J6480" s="58"/>
      <c r="K6480" s="58"/>
      <c r="L6480" s="13" t="str">
        <f t="shared" si="1002"/>
        <v/>
      </c>
      <c r="M6480" s="13" t="str">
        <f t="shared" si="1003"/>
        <v/>
      </c>
      <c r="Q6480" t="str">
        <f t="shared" si="1004"/>
        <v/>
      </c>
      <c r="R6480" t="str">
        <f t="shared" si="1005"/>
        <v/>
      </c>
      <c r="S6480" t="str">
        <f t="shared" si="1006"/>
        <v/>
      </c>
      <c r="T6480" t="str">
        <f t="shared" si="1007"/>
        <v/>
      </c>
      <c r="U6480" t="str">
        <f t="shared" si="1008"/>
        <v/>
      </c>
      <c r="V6480" t="str">
        <f t="shared" si="1009"/>
        <v/>
      </c>
      <c r="W6480" t="str">
        <f t="shared" si="1010"/>
        <v/>
      </c>
      <c r="X6480">
        <f t="shared" si="1000"/>
        <v>0</v>
      </c>
      <c r="Z6480" t="str">
        <f t="shared" si="1011"/>
        <v/>
      </c>
      <c r="AA6480">
        <f t="shared" si="1001"/>
        <v>0</v>
      </c>
    </row>
    <row r="6481" spans="1:27" ht="21" customHeight="1" x14ac:dyDescent="0.95">
      <c r="A6481" s="56"/>
      <c r="B6481" s="57"/>
      <c r="C6481" s="57"/>
      <c r="D6481" s="57"/>
      <c r="E6481" s="56"/>
      <c r="F6481" s="57"/>
      <c r="G6481" s="57"/>
      <c r="H6481" s="56"/>
      <c r="I6481" s="56"/>
      <c r="J6481" s="58"/>
      <c r="K6481" s="58"/>
      <c r="L6481" s="13" t="str">
        <f t="shared" si="1002"/>
        <v/>
      </c>
      <c r="M6481" s="13" t="str">
        <f t="shared" si="1003"/>
        <v/>
      </c>
      <c r="Q6481" t="str">
        <f t="shared" si="1004"/>
        <v/>
      </c>
      <c r="R6481" t="str">
        <f t="shared" si="1005"/>
        <v/>
      </c>
      <c r="S6481" t="str">
        <f t="shared" si="1006"/>
        <v/>
      </c>
      <c r="T6481" t="str">
        <f t="shared" si="1007"/>
        <v/>
      </c>
      <c r="U6481" t="str">
        <f t="shared" si="1008"/>
        <v/>
      </c>
      <c r="V6481" t="str">
        <f t="shared" si="1009"/>
        <v/>
      </c>
      <c r="W6481" t="str">
        <f t="shared" si="1010"/>
        <v/>
      </c>
      <c r="X6481">
        <f t="shared" si="1000"/>
        <v>0</v>
      </c>
      <c r="Z6481" t="str">
        <f t="shared" si="1011"/>
        <v/>
      </c>
      <c r="AA6481">
        <f t="shared" si="1001"/>
        <v>0</v>
      </c>
    </row>
    <row r="6482" spans="1:27" ht="21" customHeight="1" x14ac:dyDescent="0.95">
      <c r="A6482" s="56"/>
      <c r="B6482" s="57"/>
      <c r="C6482" s="57"/>
      <c r="D6482" s="57"/>
      <c r="E6482" s="56"/>
      <c r="F6482" s="57"/>
      <c r="G6482" s="57"/>
      <c r="H6482" s="56"/>
      <c r="I6482" s="56"/>
      <c r="J6482" s="58"/>
      <c r="K6482" s="58"/>
      <c r="L6482" s="13" t="str">
        <f t="shared" si="1002"/>
        <v/>
      </c>
      <c r="M6482" s="13" t="str">
        <f t="shared" si="1003"/>
        <v/>
      </c>
      <c r="Q6482" t="str">
        <f t="shared" si="1004"/>
        <v/>
      </c>
      <c r="R6482" t="str">
        <f t="shared" si="1005"/>
        <v/>
      </c>
      <c r="S6482" t="str">
        <f t="shared" si="1006"/>
        <v/>
      </c>
      <c r="T6482" t="str">
        <f t="shared" si="1007"/>
        <v/>
      </c>
      <c r="U6482" t="str">
        <f t="shared" si="1008"/>
        <v/>
      </c>
      <c r="V6482" t="str">
        <f t="shared" si="1009"/>
        <v/>
      </c>
      <c r="W6482" t="str">
        <f t="shared" si="1010"/>
        <v/>
      </c>
      <c r="X6482">
        <f t="shared" si="1000"/>
        <v>0</v>
      </c>
      <c r="Z6482" t="str">
        <f t="shared" si="1011"/>
        <v/>
      </c>
      <c r="AA6482">
        <f t="shared" si="1001"/>
        <v>0</v>
      </c>
    </row>
    <row r="6483" spans="1:27" ht="21" customHeight="1" x14ac:dyDescent="0.95">
      <c r="A6483" s="56"/>
      <c r="B6483" s="57"/>
      <c r="C6483" s="57"/>
      <c r="D6483" s="57"/>
      <c r="E6483" s="56"/>
      <c r="F6483" s="57"/>
      <c r="G6483" s="57"/>
      <c r="H6483" s="56"/>
      <c r="I6483" s="56"/>
      <c r="J6483" s="58"/>
      <c r="K6483" s="58"/>
      <c r="L6483" s="13" t="str">
        <f t="shared" si="1002"/>
        <v/>
      </c>
      <c r="M6483" s="13" t="str">
        <f t="shared" si="1003"/>
        <v/>
      </c>
      <c r="Q6483" t="str">
        <f t="shared" si="1004"/>
        <v/>
      </c>
      <c r="R6483" t="str">
        <f t="shared" si="1005"/>
        <v/>
      </c>
      <c r="S6483" t="str">
        <f t="shared" si="1006"/>
        <v/>
      </c>
      <c r="T6483" t="str">
        <f t="shared" si="1007"/>
        <v/>
      </c>
      <c r="U6483" t="str">
        <f t="shared" si="1008"/>
        <v/>
      </c>
      <c r="V6483" t="str">
        <f t="shared" si="1009"/>
        <v/>
      </c>
      <c r="W6483" t="str">
        <f t="shared" si="1010"/>
        <v/>
      </c>
      <c r="X6483">
        <f t="shared" si="1000"/>
        <v>0</v>
      </c>
      <c r="Z6483" t="str">
        <f t="shared" si="1011"/>
        <v/>
      </c>
      <c r="AA6483">
        <f t="shared" si="1001"/>
        <v>0</v>
      </c>
    </row>
    <row r="6484" spans="1:27" ht="21" customHeight="1" x14ac:dyDescent="0.95">
      <c r="A6484" s="56"/>
      <c r="B6484" s="57"/>
      <c r="C6484" s="57"/>
      <c r="D6484" s="57"/>
      <c r="E6484" s="56"/>
      <c r="F6484" s="57"/>
      <c r="G6484" s="57"/>
      <c r="H6484" s="56"/>
      <c r="I6484" s="56"/>
      <c r="J6484" s="58"/>
      <c r="K6484" s="58"/>
      <c r="L6484" s="13" t="str">
        <f t="shared" si="1002"/>
        <v/>
      </c>
      <c r="M6484" s="13" t="str">
        <f t="shared" si="1003"/>
        <v/>
      </c>
      <c r="Q6484" t="str">
        <f t="shared" si="1004"/>
        <v/>
      </c>
      <c r="R6484" t="str">
        <f t="shared" si="1005"/>
        <v/>
      </c>
      <c r="S6484" t="str">
        <f t="shared" si="1006"/>
        <v/>
      </c>
      <c r="T6484" t="str">
        <f t="shared" si="1007"/>
        <v/>
      </c>
      <c r="U6484" t="str">
        <f t="shared" si="1008"/>
        <v/>
      </c>
      <c r="V6484" t="str">
        <f t="shared" si="1009"/>
        <v/>
      </c>
      <c r="W6484" t="str">
        <f t="shared" si="1010"/>
        <v/>
      </c>
      <c r="X6484">
        <f t="shared" si="1000"/>
        <v>0</v>
      </c>
      <c r="Z6484" t="str">
        <f t="shared" si="1011"/>
        <v/>
      </c>
      <c r="AA6484">
        <f t="shared" si="1001"/>
        <v>0</v>
      </c>
    </row>
    <row r="6485" spans="1:27" ht="21" customHeight="1" x14ac:dyDescent="0.95">
      <c r="A6485" s="56"/>
      <c r="B6485" s="57"/>
      <c r="C6485" s="57"/>
      <c r="D6485" s="57"/>
      <c r="E6485" s="56"/>
      <c r="F6485" s="57"/>
      <c r="G6485" s="57"/>
      <c r="H6485" s="56"/>
      <c r="I6485" s="56"/>
      <c r="J6485" s="58"/>
      <c r="K6485" s="58"/>
      <c r="L6485" s="13" t="str">
        <f t="shared" si="1002"/>
        <v/>
      </c>
      <c r="M6485" s="13" t="str">
        <f t="shared" si="1003"/>
        <v/>
      </c>
      <c r="Q6485" t="str">
        <f t="shared" si="1004"/>
        <v/>
      </c>
      <c r="R6485" t="str">
        <f t="shared" si="1005"/>
        <v/>
      </c>
      <c r="S6485" t="str">
        <f t="shared" si="1006"/>
        <v/>
      </c>
      <c r="T6485" t="str">
        <f t="shared" si="1007"/>
        <v/>
      </c>
      <c r="U6485" t="str">
        <f t="shared" si="1008"/>
        <v/>
      </c>
      <c r="V6485" t="str">
        <f t="shared" si="1009"/>
        <v/>
      </c>
      <c r="W6485" t="str">
        <f t="shared" si="1010"/>
        <v/>
      </c>
      <c r="X6485">
        <f t="shared" si="1000"/>
        <v>0</v>
      </c>
      <c r="Z6485" t="str">
        <f t="shared" si="1011"/>
        <v/>
      </c>
      <c r="AA6485">
        <f t="shared" si="1001"/>
        <v>0</v>
      </c>
    </row>
    <row r="6486" spans="1:27" ht="21" customHeight="1" x14ac:dyDescent="0.95">
      <c r="A6486" s="56"/>
      <c r="B6486" s="57"/>
      <c r="C6486" s="57"/>
      <c r="D6486" s="57"/>
      <c r="E6486" s="56"/>
      <c r="F6486" s="57"/>
      <c r="G6486" s="57"/>
      <c r="H6486" s="56"/>
      <c r="I6486" s="56"/>
      <c r="J6486" s="58"/>
      <c r="K6486" s="58"/>
      <c r="L6486" s="13" t="str">
        <f t="shared" si="1002"/>
        <v/>
      </c>
      <c r="M6486" s="13" t="str">
        <f t="shared" si="1003"/>
        <v/>
      </c>
      <c r="Q6486" t="str">
        <f t="shared" si="1004"/>
        <v/>
      </c>
      <c r="R6486" t="str">
        <f t="shared" si="1005"/>
        <v/>
      </c>
      <c r="S6486" t="str">
        <f t="shared" si="1006"/>
        <v/>
      </c>
      <c r="T6486" t="str">
        <f t="shared" si="1007"/>
        <v/>
      </c>
      <c r="U6486" t="str">
        <f t="shared" si="1008"/>
        <v/>
      </c>
      <c r="V6486" t="str">
        <f t="shared" si="1009"/>
        <v/>
      </c>
      <c r="W6486" t="str">
        <f t="shared" si="1010"/>
        <v/>
      </c>
      <c r="X6486">
        <f t="shared" si="1000"/>
        <v>0</v>
      </c>
      <c r="Z6486" t="str">
        <f t="shared" si="1011"/>
        <v/>
      </c>
      <c r="AA6486">
        <f t="shared" si="1001"/>
        <v>0</v>
      </c>
    </row>
    <row r="6487" spans="1:27" ht="21" customHeight="1" x14ac:dyDescent="0.95">
      <c r="A6487" s="56"/>
      <c r="B6487" s="57"/>
      <c r="C6487" s="57"/>
      <c r="D6487" s="57"/>
      <c r="E6487" s="56"/>
      <c r="F6487" s="57"/>
      <c r="G6487" s="57"/>
      <c r="H6487" s="56"/>
      <c r="I6487" s="56"/>
      <c r="J6487" s="58"/>
      <c r="K6487" s="58"/>
      <c r="L6487" s="13" t="str">
        <f t="shared" si="1002"/>
        <v/>
      </c>
      <c r="M6487" s="13" t="str">
        <f t="shared" si="1003"/>
        <v/>
      </c>
      <c r="Q6487" t="str">
        <f t="shared" si="1004"/>
        <v/>
      </c>
      <c r="R6487" t="str">
        <f t="shared" si="1005"/>
        <v/>
      </c>
      <c r="S6487" t="str">
        <f t="shared" si="1006"/>
        <v/>
      </c>
      <c r="T6487" t="str">
        <f t="shared" si="1007"/>
        <v/>
      </c>
      <c r="U6487" t="str">
        <f t="shared" si="1008"/>
        <v/>
      </c>
      <c r="V6487" t="str">
        <f t="shared" si="1009"/>
        <v/>
      </c>
      <c r="W6487" t="str">
        <f t="shared" si="1010"/>
        <v/>
      </c>
      <c r="X6487">
        <f t="shared" si="1000"/>
        <v>0</v>
      </c>
      <c r="Z6487" t="str">
        <f t="shared" si="1011"/>
        <v/>
      </c>
      <c r="AA6487">
        <f t="shared" si="1001"/>
        <v>0</v>
      </c>
    </row>
    <row r="6488" spans="1:27" ht="21" customHeight="1" x14ac:dyDescent="0.95">
      <c r="A6488" s="56"/>
      <c r="B6488" s="57"/>
      <c r="C6488" s="57"/>
      <c r="D6488" s="57"/>
      <c r="E6488" s="56"/>
      <c r="F6488" s="57"/>
      <c r="G6488" s="57"/>
      <c r="H6488" s="56"/>
      <c r="I6488" s="56"/>
      <c r="J6488" s="58"/>
      <c r="K6488" s="58"/>
      <c r="L6488" s="13" t="str">
        <f t="shared" si="1002"/>
        <v/>
      </c>
      <c r="M6488" s="13" t="str">
        <f t="shared" si="1003"/>
        <v/>
      </c>
      <c r="Q6488" t="str">
        <f t="shared" si="1004"/>
        <v/>
      </c>
      <c r="R6488" t="str">
        <f t="shared" si="1005"/>
        <v/>
      </c>
      <c r="S6488" t="str">
        <f t="shared" si="1006"/>
        <v/>
      </c>
      <c r="T6488" t="str">
        <f t="shared" si="1007"/>
        <v/>
      </c>
      <c r="U6488" t="str">
        <f t="shared" si="1008"/>
        <v/>
      </c>
      <c r="V6488" t="str">
        <f t="shared" si="1009"/>
        <v/>
      </c>
      <c r="W6488" t="str">
        <f t="shared" si="1010"/>
        <v/>
      </c>
      <c r="X6488">
        <f t="shared" si="1000"/>
        <v>0</v>
      </c>
      <c r="Z6488" t="str">
        <f t="shared" si="1011"/>
        <v/>
      </c>
      <c r="AA6488">
        <f t="shared" si="1001"/>
        <v>0</v>
      </c>
    </row>
    <row r="6489" spans="1:27" ht="21" customHeight="1" x14ac:dyDescent="0.95">
      <c r="A6489" s="56"/>
      <c r="B6489" s="57"/>
      <c r="C6489" s="57"/>
      <c r="D6489" s="57"/>
      <c r="E6489" s="56"/>
      <c r="F6489" s="57"/>
      <c r="G6489" s="57"/>
      <c r="H6489" s="56"/>
      <c r="I6489" s="56"/>
      <c r="J6489" s="58"/>
      <c r="K6489" s="58"/>
      <c r="L6489" s="13" t="str">
        <f t="shared" si="1002"/>
        <v/>
      </c>
      <c r="M6489" s="13" t="str">
        <f t="shared" si="1003"/>
        <v/>
      </c>
      <c r="Q6489" t="str">
        <f t="shared" si="1004"/>
        <v/>
      </c>
      <c r="R6489" t="str">
        <f t="shared" si="1005"/>
        <v/>
      </c>
      <c r="S6489" t="str">
        <f t="shared" si="1006"/>
        <v/>
      </c>
      <c r="T6489" t="str">
        <f t="shared" si="1007"/>
        <v/>
      </c>
      <c r="U6489" t="str">
        <f t="shared" si="1008"/>
        <v/>
      </c>
      <c r="V6489" t="str">
        <f t="shared" si="1009"/>
        <v/>
      </c>
      <c r="W6489" t="str">
        <f t="shared" si="1010"/>
        <v/>
      </c>
      <c r="X6489">
        <f t="shared" si="1000"/>
        <v>0</v>
      </c>
      <c r="Z6489" t="str">
        <f t="shared" si="1011"/>
        <v/>
      </c>
      <c r="AA6489">
        <f t="shared" si="1001"/>
        <v>0</v>
      </c>
    </row>
    <row r="6490" spans="1:27" ht="21" customHeight="1" x14ac:dyDescent="0.95">
      <c r="A6490" s="56"/>
      <c r="B6490" s="57"/>
      <c r="C6490" s="57"/>
      <c r="D6490" s="57"/>
      <c r="E6490" s="56"/>
      <c r="F6490" s="57"/>
      <c r="G6490" s="57"/>
      <c r="H6490" s="56"/>
      <c r="I6490" s="56"/>
      <c r="J6490" s="58"/>
      <c r="K6490" s="58"/>
      <c r="L6490" s="13" t="str">
        <f t="shared" si="1002"/>
        <v/>
      </c>
      <c r="M6490" s="13" t="str">
        <f t="shared" si="1003"/>
        <v/>
      </c>
      <c r="Q6490" t="str">
        <f t="shared" si="1004"/>
        <v/>
      </c>
      <c r="R6490" t="str">
        <f t="shared" si="1005"/>
        <v/>
      </c>
      <c r="S6490" t="str">
        <f t="shared" si="1006"/>
        <v/>
      </c>
      <c r="T6490" t="str">
        <f t="shared" si="1007"/>
        <v/>
      </c>
      <c r="U6490" t="str">
        <f t="shared" si="1008"/>
        <v/>
      </c>
      <c r="V6490" t="str">
        <f t="shared" si="1009"/>
        <v/>
      </c>
      <c r="W6490" t="str">
        <f t="shared" si="1010"/>
        <v/>
      </c>
      <c r="X6490">
        <f t="shared" si="1000"/>
        <v>0</v>
      </c>
      <c r="Z6490" t="str">
        <f t="shared" si="1011"/>
        <v/>
      </c>
      <c r="AA6490">
        <f t="shared" si="1001"/>
        <v>0</v>
      </c>
    </row>
    <row r="6491" spans="1:27" ht="21" customHeight="1" x14ac:dyDescent="0.95">
      <c r="A6491" s="56"/>
      <c r="B6491" s="57"/>
      <c r="C6491" s="57"/>
      <c r="D6491" s="57"/>
      <c r="E6491" s="56"/>
      <c r="F6491" s="57"/>
      <c r="G6491" s="57"/>
      <c r="H6491" s="56"/>
      <c r="I6491" s="56"/>
      <c r="J6491" s="58"/>
      <c r="K6491" s="58"/>
      <c r="L6491" s="13" t="str">
        <f t="shared" si="1002"/>
        <v/>
      </c>
      <c r="M6491" s="13" t="str">
        <f t="shared" si="1003"/>
        <v/>
      </c>
      <c r="Q6491" t="str">
        <f t="shared" si="1004"/>
        <v/>
      </c>
      <c r="R6491" t="str">
        <f t="shared" si="1005"/>
        <v/>
      </c>
      <c r="S6491" t="str">
        <f t="shared" si="1006"/>
        <v/>
      </c>
      <c r="T6491" t="str">
        <f t="shared" si="1007"/>
        <v/>
      </c>
      <c r="U6491" t="str">
        <f t="shared" si="1008"/>
        <v/>
      </c>
      <c r="V6491" t="str">
        <f t="shared" si="1009"/>
        <v/>
      </c>
      <c r="W6491" t="str">
        <f t="shared" si="1010"/>
        <v/>
      </c>
      <c r="X6491">
        <f t="shared" si="1000"/>
        <v>0</v>
      </c>
      <c r="Z6491" t="str">
        <f t="shared" si="1011"/>
        <v/>
      </c>
      <c r="AA6491">
        <f t="shared" si="1001"/>
        <v>0</v>
      </c>
    </row>
    <row r="6492" spans="1:27" ht="21" customHeight="1" x14ac:dyDescent="0.95">
      <c r="A6492" s="56"/>
      <c r="B6492" s="57"/>
      <c r="C6492" s="57"/>
      <c r="D6492" s="57"/>
      <c r="E6492" s="56"/>
      <c r="F6492" s="57"/>
      <c r="G6492" s="57"/>
      <c r="H6492" s="56"/>
      <c r="I6492" s="56"/>
      <c r="J6492" s="58"/>
      <c r="K6492" s="58"/>
      <c r="L6492" s="13" t="str">
        <f t="shared" si="1002"/>
        <v/>
      </c>
      <c r="M6492" s="13" t="str">
        <f t="shared" si="1003"/>
        <v/>
      </c>
      <c r="Q6492" t="str">
        <f t="shared" si="1004"/>
        <v/>
      </c>
      <c r="R6492" t="str">
        <f t="shared" si="1005"/>
        <v/>
      </c>
      <c r="S6492" t="str">
        <f t="shared" si="1006"/>
        <v/>
      </c>
      <c r="T6492" t="str">
        <f t="shared" si="1007"/>
        <v/>
      </c>
      <c r="U6492" t="str">
        <f t="shared" si="1008"/>
        <v/>
      </c>
      <c r="V6492" t="str">
        <f t="shared" si="1009"/>
        <v/>
      </c>
      <c r="W6492" t="str">
        <f t="shared" si="1010"/>
        <v/>
      </c>
      <c r="X6492">
        <f t="shared" si="1000"/>
        <v>0</v>
      </c>
      <c r="Z6492" t="str">
        <f t="shared" si="1011"/>
        <v/>
      </c>
      <c r="AA6492">
        <f t="shared" si="1001"/>
        <v>0</v>
      </c>
    </row>
    <row r="6493" spans="1:27" ht="21" customHeight="1" x14ac:dyDescent="0.95">
      <c r="A6493" s="56"/>
      <c r="B6493" s="57"/>
      <c r="C6493" s="57"/>
      <c r="D6493" s="57"/>
      <c r="E6493" s="56"/>
      <c r="F6493" s="57"/>
      <c r="G6493" s="57"/>
      <c r="H6493" s="56"/>
      <c r="I6493" s="56"/>
      <c r="J6493" s="58"/>
      <c r="K6493" s="58"/>
      <c r="L6493" s="13" t="str">
        <f t="shared" si="1002"/>
        <v/>
      </c>
      <c r="M6493" s="13" t="str">
        <f t="shared" si="1003"/>
        <v/>
      </c>
      <c r="Q6493" t="str">
        <f t="shared" si="1004"/>
        <v/>
      </c>
      <c r="R6493" t="str">
        <f t="shared" si="1005"/>
        <v/>
      </c>
      <c r="S6493" t="str">
        <f t="shared" si="1006"/>
        <v/>
      </c>
      <c r="T6493" t="str">
        <f t="shared" si="1007"/>
        <v/>
      </c>
      <c r="U6493" t="str">
        <f t="shared" si="1008"/>
        <v/>
      </c>
      <c r="V6493" t="str">
        <f t="shared" si="1009"/>
        <v/>
      </c>
      <c r="W6493" t="str">
        <f t="shared" si="1010"/>
        <v/>
      </c>
      <c r="X6493">
        <f t="shared" si="1000"/>
        <v>0</v>
      </c>
      <c r="Z6493" t="str">
        <f t="shared" si="1011"/>
        <v/>
      </c>
      <c r="AA6493">
        <f t="shared" si="1001"/>
        <v>0</v>
      </c>
    </row>
    <row r="6494" spans="1:27" ht="21" customHeight="1" x14ac:dyDescent="0.95">
      <c r="A6494" s="56"/>
      <c r="B6494" s="57"/>
      <c r="C6494" s="57"/>
      <c r="D6494" s="57"/>
      <c r="E6494" s="56"/>
      <c r="F6494" s="57"/>
      <c r="G6494" s="57"/>
      <c r="H6494" s="56"/>
      <c r="I6494" s="56"/>
      <c r="J6494" s="58"/>
      <c r="K6494" s="58"/>
      <c r="L6494" s="13" t="str">
        <f t="shared" si="1002"/>
        <v/>
      </c>
      <c r="M6494" s="13" t="str">
        <f t="shared" si="1003"/>
        <v/>
      </c>
      <c r="Q6494" t="str">
        <f t="shared" si="1004"/>
        <v/>
      </c>
      <c r="R6494" t="str">
        <f t="shared" si="1005"/>
        <v/>
      </c>
      <c r="S6494" t="str">
        <f t="shared" si="1006"/>
        <v/>
      </c>
      <c r="T6494" t="str">
        <f t="shared" si="1007"/>
        <v/>
      </c>
      <c r="U6494" t="str">
        <f t="shared" si="1008"/>
        <v/>
      </c>
      <c r="V6494" t="str">
        <f t="shared" si="1009"/>
        <v/>
      </c>
      <c r="W6494" t="str">
        <f t="shared" si="1010"/>
        <v/>
      </c>
      <c r="X6494">
        <f t="shared" si="1000"/>
        <v>0</v>
      </c>
      <c r="Z6494" t="str">
        <f t="shared" si="1011"/>
        <v/>
      </c>
      <c r="AA6494">
        <f t="shared" si="1001"/>
        <v>0</v>
      </c>
    </row>
    <row r="6495" spans="1:27" ht="21" customHeight="1" x14ac:dyDescent="0.95">
      <c r="A6495" s="56"/>
      <c r="B6495" s="57"/>
      <c r="C6495" s="57"/>
      <c r="D6495" s="57"/>
      <c r="E6495" s="56"/>
      <c r="F6495" s="57"/>
      <c r="G6495" s="57"/>
      <c r="H6495" s="56"/>
      <c r="I6495" s="56"/>
      <c r="J6495" s="58"/>
      <c r="K6495" s="58"/>
      <c r="L6495" s="13" t="str">
        <f t="shared" si="1002"/>
        <v/>
      </c>
      <c r="M6495" s="13" t="str">
        <f t="shared" si="1003"/>
        <v/>
      </c>
      <c r="Q6495" t="str">
        <f t="shared" si="1004"/>
        <v/>
      </c>
      <c r="R6495" t="str">
        <f t="shared" si="1005"/>
        <v/>
      </c>
      <c r="S6495" t="str">
        <f t="shared" si="1006"/>
        <v/>
      </c>
      <c r="T6495" t="str">
        <f t="shared" si="1007"/>
        <v/>
      </c>
      <c r="U6495" t="str">
        <f t="shared" si="1008"/>
        <v/>
      </c>
      <c r="V6495" t="str">
        <f t="shared" si="1009"/>
        <v/>
      </c>
      <c r="W6495" t="str">
        <f t="shared" si="1010"/>
        <v/>
      </c>
      <c r="X6495">
        <f t="shared" si="1000"/>
        <v>0</v>
      </c>
      <c r="Z6495" t="str">
        <f t="shared" si="1011"/>
        <v/>
      </c>
      <c r="AA6495">
        <f t="shared" si="1001"/>
        <v>0</v>
      </c>
    </row>
    <row r="6496" spans="1:27" ht="21" customHeight="1" x14ac:dyDescent="0.95">
      <c r="A6496" s="56"/>
      <c r="B6496" s="57"/>
      <c r="C6496" s="57"/>
      <c r="D6496" s="57"/>
      <c r="E6496" s="56"/>
      <c r="F6496" s="57"/>
      <c r="G6496" s="57"/>
      <c r="H6496" s="56"/>
      <c r="I6496" s="56"/>
      <c r="J6496" s="58"/>
      <c r="K6496" s="58"/>
      <c r="L6496" s="13" t="str">
        <f t="shared" si="1002"/>
        <v/>
      </c>
      <c r="M6496" s="13" t="str">
        <f t="shared" si="1003"/>
        <v/>
      </c>
      <c r="Q6496" t="str">
        <f t="shared" si="1004"/>
        <v/>
      </c>
      <c r="R6496" t="str">
        <f t="shared" si="1005"/>
        <v/>
      </c>
      <c r="S6496" t="str">
        <f t="shared" si="1006"/>
        <v/>
      </c>
      <c r="T6496" t="str">
        <f t="shared" si="1007"/>
        <v/>
      </c>
      <c r="U6496" t="str">
        <f t="shared" si="1008"/>
        <v/>
      </c>
      <c r="V6496" t="str">
        <f t="shared" si="1009"/>
        <v/>
      </c>
      <c r="W6496" t="str">
        <f t="shared" si="1010"/>
        <v/>
      </c>
      <c r="X6496">
        <f t="shared" si="1000"/>
        <v>0</v>
      </c>
      <c r="Z6496" t="str">
        <f t="shared" si="1011"/>
        <v/>
      </c>
      <c r="AA6496">
        <f t="shared" si="1001"/>
        <v>0</v>
      </c>
    </row>
    <row r="6497" spans="1:27" ht="21" customHeight="1" x14ac:dyDescent="0.95">
      <c r="A6497" s="56"/>
      <c r="B6497" s="57"/>
      <c r="C6497" s="57"/>
      <c r="D6497" s="57"/>
      <c r="E6497" s="56"/>
      <c r="F6497" s="57"/>
      <c r="G6497" s="57"/>
      <c r="H6497" s="56"/>
      <c r="I6497" s="56"/>
      <c r="J6497" s="58"/>
      <c r="K6497" s="58"/>
      <c r="L6497" s="13" t="str">
        <f t="shared" si="1002"/>
        <v/>
      </c>
      <c r="M6497" s="13" t="str">
        <f t="shared" si="1003"/>
        <v/>
      </c>
      <c r="Q6497" t="str">
        <f t="shared" si="1004"/>
        <v/>
      </c>
      <c r="R6497" t="str">
        <f t="shared" si="1005"/>
        <v/>
      </c>
      <c r="S6497" t="str">
        <f t="shared" si="1006"/>
        <v/>
      </c>
      <c r="T6497" t="str">
        <f t="shared" si="1007"/>
        <v/>
      </c>
      <c r="U6497" t="str">
        <f t="shared" si="1008"/>
        <v/>
      </c>
      <c r="V6497" t="str">
        <f t="shared" si="1009"/>
        <v/>
      </c>
      <c r="W6497" t="str">
        <f t="shared" si="1010"/>
        <v/>
      </c>
      <c r="X6497">
        <f t="shared" si="1000"/>
        <v>0</v>
      </c>
      <c r="Z6497" t="str">
        <f t="shared" si="1011"/>
        <v/>
      </c>
      <c r="AA6497">
        <f t="shared" si="1001"/>
        <v>0</v>
      </c>
    </row>
    <row r="6498" spans="1:27" ht="21" customHeight="1" x14ac:dyDescent="0.95">
      <c r="A6498" s="56"/>
      <c r="B6498" s="57"/>
      <c r="C6498" s="57"/>
      <c r="D6498" s="57"/>
      <c r="E6498" s="56"/>
      <c r="F6498" s="57"/>
      <c r="G6498" s="57"/>
      <c r="H6498" s="56"/>
      <c r="I6498" s="56"/>
      <c r="J6498" s="58"/>
      <c r="K6498" s="58"/>
      <c r="L6498" s="13" t="str">
        <f t="shared" si="1002"/>
        <v/>
      </c>
      <c r="M6498" s="13" t="str">
        <f t="shared" si="1003"/>
        <v/>
      </c>
      <c r="Q6498" t="str">
        <f t="shared" si="1004"/>
        <v/>
      </c>
      <c r="R6498" t="str">
        <f t="shared" si="1005"/>
        <v/>
      </c>
      <c r="S6498" t="str">
        <f t="shared" si="1006"/>
        <v/>
      </c>
      <c r="T6498" t="str">
        <f t="shared" si="1007"/>
        <v/>
      </c>
      <c r="U6498" t="str">
        <f t="shared" si="1008"/>
        <v/>
      </c>
      <c r="V6498" t="str">
        <f t="shared" si="1009"/>
        <v/>
      </c>
      <c r="W6498" t="str">
        <f t="shared" si="1010"/>
        <v/>
      </c>
      <c r="X6498">
        <f t="shared" si="1000"/>
        <v>0</v>
      </c>
      <c r="Z6498" t="str">
        <f t="shared" si="1011"/>
        <v/>
      </c>
      <c r="AA6498">
        <f t="shared" si="1001"/>
        <v>0</v>
      </c>
    </row>
    <row r="6499" spans="1:27" ht="21" customHeight="1" x14ac:dyDescent="0.95">
      <c r="A6499" s="56"/>
      <c r="B6499" s="57"/>
      <c r="C6499" s="57"/>
      <c r="D6499" s="57"/>
      <c r="E6499" s="56"/>
      <c r="F6499" s="57"/>
      <c r="G6499" s="57"/>
      <c r="H6499" s="56"/>
      <c r="I6499" s="56"/>
      <c r="J6499" s="58"/>
      <c r="K6499" s="58"/>
      <c r="L6499" s="13" t="str">
        <f t="shared" si="1002"/>
        <v/>
      </c>
      <c r="M6499" s="13" t="str">
        <f t="shared" si="1003"/>
        <v/>
      </c>
      <c r="Q6499" t="str">
        <f t="shared" si="1004"/>
        <v/>
      </c>
      <c r="R6499" t="str">
        <f t="shared" si="1005"/>
        <v/>
      </c>
      <c r="S6499" t="str">
        <f t="shared" si="1006"/>
        <v/>
      </c>
      <c r="T6499" t="str">
        <f t="shared" si="1007"/>
        <v/>
      </c>
      <c r="U6499" t="str">
        <f t="shared" si="1008"/>
        <v/>
      </c>
      <c r="V6499" t="str">
        <f t="shared" si="1009"/>
        <v/>
      </c>
      <c r="W6499" t="str">
        <f t="shared" si="1010"/>
        <v/>
      </c>
      <c r="X6499">
        <f t="shared" si="1000"/>
        <v>0</v>
      </c>
      <c r="Z6499" t="str">
        <f t="shared" si="1011"/>
        <v/>
      </c>
      <c r="AA6499">
        <f t="shared" si="1001"/>
        <v>0</v>
      </c>
    </row>
    <row r="6500" spans="1:27" ht="21" customHeight="1" x14ac:dyDescent="0.95">
      <c r="A6500" s="56"/>
      <c r="B6500" s="57"/>
      <c r="C6500" s="57"/>
      <c r="D6500" s="57"/>
      <c r="E6500" s="56"/>
      <c r="F6500" s="57"/>
      <c r="G6500" s="57"/>
      <c r="H6500" s="56"/>
      <c r="I6500" s="56"/>
      <c r="J6500" s="58"/>
      <c r="K6500" s="58"/>
      <c r="L6500" s="13" t="str">
        <f t="shared" si="1002"/>
        <v/>
      </c>
      <c r="M6500" s="13" t="str">
        <f t="shared" si="1003"/>
        <v/>
      </c>
      <c r="Q6500" t="str">
        <f t="shared" si="1004"/>
        <v/>
      </c>
      <c r="R6500" t="str">
        <f t="shared" si="1005"/>
        <v/>
      </c>
      <c r="S6500" t="str">
        <f t="shared" si="1006"/>
        <v/>
      </c>
      <c r="T6500" t="str">
        <f t="shared" si="1007"/>
        <v/>
      </c>
      <c r="U6500" t="str">
        <f t="shared" si="1008"/>
        <v/>
      </c>
      <c r="V6500" t="str">
        <f t="shared" si="1009"/>
        <v/>
      </c>
      <c r="W6500" t="str">
        <f t="shared" si="1010"/>
        <v/>
      </c>
      <c r="X6500">
        <f t="shared" si="1000"/>
        <v>0</v>
      </c>
      <c r="Z6500" t="str">
        <f t="shared" si="1011"/>
        <v/>
      </c>
      <c r="AA6500">
        <f t="shared" si="1001"/>
        <v>0</v>
      </c>
    </row>
    <row r="6501" spans="1:27" ht="21" customHeight="1" x14ac:dyDescent="0.95">
      <c r="A6501" s="56"/>
      <c r="B6501" s="57"/>
      <c r="C6501" s="57"/>
      <c r="D6501" s="57"/>
      <c r="E6501" s="56"/>
      <c r="F6501" s="57"/>
      <c r="G6501" s="57"/>
      <c r="H6501" s="56"/>
      <c r="I6501" s="56"/>
      <c r="J6501" s="58"/>
      <c r="K6501" s="58"/>
      <c r="L6501" s="13" t="str">
        <f t="shared" si="1002"/>
        <v/>
      </c>
      <c r="M6501" s="13" t="str">
        <f t="shared" si="1003"/>
        <v/>
      </c>
      <c r="Q6501" t="str">
        <f t="shared" si="1004"/>
        <v/>
      </c>
      <c r="R6501" t="str">
        <f t="shared" si="1005"/>
        <v/>
      </c>
      <c r="S6501" t="str">
        <f t="shared" si="1006"/>
        <v/>
      </c>
      <c r="T6501" t="str">
        <f t="shared" si="1007"/>
        <v/>
      </c>
      <c r="U6501" t="str">
        <f t="shared" si="1008"/>
        <v/>
      </c>
      <c r="V6501" t="str">
        <f t="shared" si="1009"/>
        <v/>
      </c>
      <c r="W6501" t="str">
        <f t="shared" si="1010"/>
        <v/>
      </c>
      <c r="X6501">
        <f t="shared" si="1000"/>
        <v>0</v>
      </c>
      <c r="Z6501" t="str">
        <f t="shared" si="1011"/>
        <v/>
      </c>
      <c r="AA6501">
        <f t="shared" si="1001"/>
        <v>0</v>
      </c>
    </row>
    <row r="6502" spans="1:27" ht="21" customHeight="1" x14ac:dyDescent="0.95">
      <c r="A6502" s="56"/>
      <c r="B6502" s="57"/>
      <c r="C6502" s="57"/>
      <c r="D6502" s="57"/>
      <c r="E6502" s="56"/>
      <c r="F6502" s="57"/>
      <c r="G6502" s="57"/>
      <c r="H6502" s="56"/>
      <c r="I6502" s="56"/>
      <c r="J6502" s="58"/>
      <c r="K6502" s="58"/>
      <c r="L6502" s="13" t="str">
        <f t="shared" si="1002"/>
        <v/>
      </c>
      <c r="M6502" s="13" t="str">
        <f t="shared" si="1003"/>
        <v/>
      </c>
      <c r="Q6502" t="str">
        <f t="shared" si="1004"/>
        <v/>
      </c>
      <c r="R6502" t="str">
        <f t="shared" si="1005"/>
        <v/>
      </c>
      <c r="S6502" t="str">
        <f t="shared" si="1006"/>
        <v/>
      </c>
      <c r="T6502" t="str">
        <f t="shared" si="1007"/>
        <v/>
      </c>
      <c r="U6502" t="str">
        <f t="shared" si="1008"/>
        <v/>
      </c>
      <c r="V6502" t="str">
        <f t="shared" si="1009"/>
        <v/>
      </c>
      <c r="W6502" t="str">
        <f t="shared" si="1010"/>
        <v/>
      </c>
      <c r="X6502">
        <f t="shared" si="1000"/>
        <v>0</v>
      </c>
      <c r="Z6502" t="str">
        <f t="shared" si="1011"/>
        <v/>
      </c>
      <c r="AA6502">
        <f t="shared" si="1001"/>
        <v>0</v>
      </c>
    </row>
    <row r="6503" spans="1:27" ht="21" customHeight="1" x14ac:dyDescent="0.95">
      <c r="A6503" s="56"/>
      <c r="B6503" s="57"/>
      <c r="C6503" s="57"/>
      <c r="D6503" s="57"/>
      <c r="E6503" s="56"/>
      <c r="F6503" s="57"/>
      <c r="G6503" s="57"/>
      <c r="H6503" s="56"/>
      <c r="I6503" s="56"/>
      <c r="J6503" s="58"/>
      <c r="K6503" s="58"/>
      <c r="L6503" s="13" t="str">
        <f t="shared" si="1002"/>
        <v/>
      </c>
      <c r="M6503" s="13" t="str">
        <f t="shared" si="1003"/>
        <v/>
      </c>
      <c r="Q6503" t="str">
        <f t="shared" si="1004"/>
        <v/>
      </c>
      <c r="R6503" t="str">
        <f t="shared" si="1005"/>
        <v/>
      </c>
      <c r="S6503" t="str">
        <f t="shared" si="1006"/>
        <v/>
      </c>
      <c r="T6503" t="str">
        <f t="shared" si="1007"/>
        <v/>
      </c>
      <c r="U6503" t="str">
        <f t="shared" si="1008"/>
        <v/>
      </c>
      <c r="V6503" t="str">
        <f t="shared" si="1009"/>
        <v/>
      </c>
      <c r="W6503" t="str">
        <f t="shared" si="1010"/>
        <v/>
      </c>
      <c r="X6503">
        <f t="shared" si="1000"/>
        <v>0</v>
      </c>
      <c r="Z6503" t="str">
        <f t="shared" si="1011"/>
        <v/>
      </c>
      <c r="AA6503">
        <f t="shared" si="1001"/>
        <v>0</v>
      </c>
    </row>
    <row r="6504" spans="1:27" ht="21" customHeight="1" x14ac:dyDescent="0.95">
      <c r="A6504" s="56"/>
      <c r="B6504" s="57"/>
      <c r="C6504" s="57"/>
      <c r="D6504" s="57"/>
      <c r="E6504" s="56"/>
      <c r="F6504" s="57"/>
      <c r="G6504" s="57"/>
      <c r="H6504" s="56"/>
      <c r="I6504" s="56"/>
      <c r="J6504" s="58"/>
      <c r="K6504" s="58"/>
      <c r="L6504" s="13" t="str">
        <f t="shared" si="1002"/>
        <v/>
      </c>
      <c r="M6504" s="13" t="str">
        <f t="shared" si="1003"/>
        <v/>
      </c>
      <c r="Q6504" t="str">
        <f t="shared" si="1004"/>
        <v/>
      </c>
      <c r="R6504" t="str">
        <f t="shared" si="1005"/>
        <v/>
      </c>
      <c r="S6504" t="str">
        <f t="shared" si="1006"/>
        <v/>
      </c>
      <c r="T6504" t="str">
        <f t="shared" si="1007"/>
        <v/>
      </c>
      <c r="U6504" t="str">
        <f t="shared" si="1008"/>
        <v/>
      </c>
      <c r="V6504" t="str">
        <f t="shared" si="1009"/>
        <v/>
      </c>
      <c r="W6504" t="str">
        <f t="shared" si="1010"/>
        <v/>
      </c>
      <c r="X6504">
        <f t="shared" si="1000"/>
        <v>0</v>
      </c>
      <c r="Z6504" t="str">
        <f t="shared" si="1011"/>
        <v/>
      </c>
      <c r="AA6504">
        <f t="shared" si="1001"/>
        <v>0</v>
      </c>
    </row>
    <row r="6505" spans="1:27" ht="21" customHeight="1" x14ac:dyDescent="0.95">
      <c r="A6505" s="56"/>
      <c r="B6505" s="57"/>
      <c r="C6505" s="57"/>
      <c r="D6505" s="57"/>
      <c r="E6505" s="56"/>
      <c r="F6505" s="57"/>
      <c r="G6505" s="57"/>
      <c r="H6505" s="56"/>
      <c r="I6505" s="56"/>
      <c r="J6505" s="58"/>
      <c r="K6505" s="58"/>
      <c r="L6505" s="13" t="str">
        <f t="shared" si="1002"/>
        <v/>
      </c>
      <c r="M6505" s="13" t="str">
        <f t="shared" si="1003"/>
        <v/>
      </c>
      <c r="Q6505" t="str">
        <f t="shared" si="1004"/>
        <v/>
      </c>
      <c r="R6505" t="str">
        <f t="shared" si="1005"/>
        <v/>
      </c>
      <c r="S6505" t="str">
        <f t="shared" si="1006"/>
        <v/>
      </c>
      <c r="T6505" t="str">
        <f t="shared" si="1007"/>
        <v/>
      </c>
      <c r="U6505" t="str">
        <f t="shared" si="1008"/>
        <v/>
      </c>
      <c r="V6505" t="str">
        <f t="shared" si="1009"/>
        <v/>
      </c>
      <c r="W6505" t="str">
        <f t="shared" si="1010"/>
        <v/>
      </c>
      <c r="X6505">
        <f t="shared" si="1000"/>
        <v>0</v>
      </c>
      <c r="Z6505" t="str">
        <f t="shared" si="1011"/>
        <v/>
      </c>
      <c r="AA6505">
        <f t="shared" si="1001"/>
        <v>0</v>
      </c>
    </row>
    <row r="6506" spans="1:27" ht="21" customHeight="1" x14ac:dyDescent="0.95">
      <c r="A6506" s="56"/>
      <c r="B6506" s="57"/>
      <c r="C6506" s="57"/>
      <c r="D6506" s="57"/>
      <c r="E6506" s="56"/>
      <c r="F6506" s="57"/>
      <c r="G6506" s="57"/>
      <c r="H6506" s="56"/>
      <c r="I6506" s="56"/>
      <c r="J6506" s="58"/>
      <c r="K6506" s="58"/>
      <c r="L6506" s="13" t="str">
        <f t="shared" si="1002"/>
        <v/>
      </c>
      <c r="M6506" s="13" t="str">
        <f t="shared" si="1003"/>
        <v/>
      </c>
      <c r="Q6506" t="str">
        <f t="shared" si="1004"/>
        <v/>
      </c>
      <c r="R6506" t="str">
        <f t="shared" si="1005"/>
        <v/>
      </c>
      <c r="S6506" t="str">
        <f t="shared" si="1006"/>
        <v/>
      </c>
      <c r="T6506" t="str">
        <f t="shared" si="1007"/>
        <v/>
      </c>
      <c r="U6506" t="str">
        <f t="shared" si="1008"/>
        <v/>
      </c>
      <c r="V6506" t="str">
        <f t="shared" si="1009"/>
        <v/>
      </c>
      <c r="W6506" t="str">
        <f t="shared" si="1010"/>
        <v/>
      </c>
      <c r="X6506">
        <f t="shared" si="1000"/>
        <v>0</v>
      </c>
      <c r="Z6506" t="str">
        <f t="shared" si="1011"/>
        <v/>
      </c>
      <c r="AA6506">
        <f t="shared" si="1001"/>
        <v>0</v>
      </c>
    </row>
    <row r="6507" spans="1:27" ht="21" customHeight="1" x14ac:dyDescent="0.95">
      <c r="A6507" s="56"/>
      <c r="B6507" s="57"/>
      <c r="C6507" s="57"/>
      <c r="D6507" s="57"/>
      <c r="E6507" s="56"/>
      <c r="F6507" s="57"/>
      <c r="G6507" s="57"/>
      <c r="H6507" s="56"/>
      <c r="I6507" s="56"/>
      <c r="J6507" s="58"/>
      <c r="K6507" s="58"/>
      <c r="L6507" s="13" t="str">
        <f t="shared" si="1002"/>
        <v/>
      </c>
      <c r="M6507" s="13" t="str">
        <f t="shared" si="1003"/>
        <v/>
      </c>
      <c r="Q6507" t="str">
        <f t="shared" si="1004"/>
        <v/>
      </c>
      <c r="R6507" t="str">
        <f t="shared" si="1005"/>
        <v/>
      </c>
      <c r="S6507" t="str">
        <f t="shared" si="1006"/>
        <v/>
      </c>
      <c r="T6507" t="str">
        <f t="shared" si="1007"/>
        <v/>
      </c>
      <c r="U6507" t="str">
        <f t="shared" si="1008"/>
        <v/>
      </c>
      <c r="V6507" t="str">
        <f t="shared" si="1009"/>
        <v/>
      </c>
      <c r="W6507" t="str">
        <f t="shared" si="1010"/>
        <v/>
      </c>
      <c r="X6507">
        <f t="shared" si="1000"/>
        <v>0</v>
      </c>
      <c r="Z6507" t="str">
        <f t="shared" si="1011"/>
        <v/>
      </c>
      <c r="AA6507">
        <f t="shared" si="1001"/>
        <v>0</v>
      </c>
    </row>
    <row r="6508" spans="1:27" ht="21" customHeight="1" x14ac:dyDescent="0.95">
      <c r="A6508" s="56"/>
      <c r="B6508" s="57"/>
      <c r="C6508" s="57"/>
      <c r="D6508" s="57"/>
      <c r="E6508" s="56"/>
      <c r="F6508" s="57"/>
      <c r="G6508" s="57"/>
      <c r="H6508" s="56"/>
      <c r="I6508" s="56"/>
      <c r="J6508" s="58"/>
      <c r="K6508" s="58"/>
      <c r="L6508" s="13" t="str">
        <f t="shared" si="1002"/>
        <v/>
      </c>
      <c r="M6508" s="13" t="str">
        <f t="shared" si="1003"/>
        <v/>
      </c>
      <c r="Q6508" t="str">
        <f t="shared" si="1004"/>
        <v/>
      </c>
      <c r="R6508" t="str">
        <f t="shared" si="1005"/>
        <v/>
      </c>
      <c r="S6508" t="str">
        <f t="shared" si="1006"/>
        <v/>
      </c>
      <c r="T6508" t="str">
        <f t="shared" si="1007"/>
        <v/>
      </c>
      <c r="U6508" t="str">
        <f t="shared" si="1008"/>
        <v/>
      </c>
      <c r="V6508" t="str">
        <f t="shared" si="1009"/>
        <v/>
      </c>
      <c r="W6508" t="str">
        <f t="shared" si="1010"/>
        <v/>
      </c>
      <c r="X6508">
        <f t="shared" si="1000"/>
        <v>0</v>
      </c>
      <c r="Z6508" t="str">
        <f t="shared" si="1011"/>
        <v/>
      </c>
      <c r="AA6508">
        <f t="shared" si="1001"/>
        <v>0</v>
      </c>
    </row>
    <row r="6509" spans="1:27" ht="21" customHeight="1" x14ac:dyDescent="0.95">
      <c r="A6509" s="56"/>
      <c r="B6509" s="57"/>
      <c r="C6509" s="57"/>
      <c r="D6509" s="57"/>
      <c r="E6509" s="56"/>
      <c r="F6509" s="57"/>
      <c r="G6509" s="57"/>
      <c r="H6509" s="56"/>
      <c r="I6509" s="56"/>
      <c r="J6509" s="58"/>
      <c r="K6509" s="58"/>
      <c r="L6509" s="13" t="str">
        <f t="shared" si="1002"/>
        <v/>
      </c>
      <c r="M6509" s="13" t="str">
        <f t="shared" si="1003"/>
        <v/>
      </c>
      <c r="Q6509" t="str">
        <f t="shared" si="1004"/>
        <v/>
      </c>
      <c r="R6509" t="str">
        <f t="shared" si="1005"/>
        <v/>
      </c>
      <c r="S6509" t="str">
        <f t="shared" si="1006"/>
        <v/>
      </c>
      <c r="T6509" t="str">
        <f t="shared" si="1007"/>
        <v/>
      </c>
      <c r="U6509" t="str">
        <f t="shared" si="1008"/>
        <v/>
      </c>
      <c r="V6509" t="str">
        <f t="shared" si="1009"/>
        <v/>
      </c>
      <c r="W6509" t="str">
        <f t="shared" si="1010"/>
        <v/>
      </c>
      <c r="X6509">
        <f t="shared" si="1000"/>
        <v>0</v>
      </c>
      <c r="Z6509" t="str">
        <f t="shared" si="1011"/>
        <v/>
      </c>
      <c r="AA6509">
        <f t="shared" si="1001"/>
        <v>0</v>
      </c>
    </row>
    <row r="6510" spans="1:27" ht="21" customHeight="1" x14ac:dyDescent="0.95">
      <c r="A6510" s="56"/>
      <c r="B6510" s="57"/>
      <c r="C6510" s="57"/>
      <c r="D6510" s="57"/>
      <c r="E6510" s="56"/>
      <c r="F6510" s="57"/>
      <c r="G6510" s="57"/>
      <c r="H6510" s="56"/>
      <c r="I6510" s="56"/>
      <c r="J6510" s="58"/>
      <c r="K6510" s="58"/>
      <c r="L6510" s="13" t="str">
        <f t="shared" si="1002"/>
        <v/>
      </c>
      <c r="M6510" s="13" t="str">
        <f t="shared" si="1003"/>
        <v/>
      </c>
      <c r="Q6510" t="str">
        <f t="shared" si="1004"/>
        <v/>
      </c>
      <c r="R6510" t="str">
        <f t="shared" si="1005"/>
        <v/>
      </c>
      <c r="S6510" t="str">
        <f t="shared" si="1006"/>
        <v/>
      </c>
      <c r="T6510" t="str">
        <f t="shared" si="1007"/>
        <v/>
      </c>
      <c r="U6510" t="str">
        <f t="shared" si="1008"/>
        <v/>
      </c>
      <c r="V6510" t="str">
        <f t="shared" si="1009"/>
        <v/>
      </c>
      <c r="W6510" t="str">
        <f t="shared" si="1010"/>
        <v/>
      </c>
      <c r="X6510">
        <f t="shared" si="1000"/>
        <v>0</v>
      </c>
      <c r="Z6510" t="str">
        <f t="shared" si="1011"/>
        <v/>
      </c>
      <c r="AA6510">
        <f t="shared" si="1001"/>
        <v>0</v>
      </c>
    </row>
    <row r="6511" spans="1:27" ht="21" customHeight="1" x14ac:dyDescent="0.95">
      <c r="A6511" s="56"/>
      <c r="B6511" s="57"/>
      <c r="C6511" s="57"/>
      <c r="D6511" s="57"/>
      <c r="E6511" s="56"/>
      <c r="F6511" s="57"/>
      <c r="G6511" s="57"/>
      <c r="H6511" s="56"/>
      <c r="I6511" s="56"/>
      <c r="J6511" s="58"/>
      <c r="K6511" s="58"/>
      <c r="L6511" s="13" t="str">
        <f t="shared" si="1002"/>
        <v/>
      </c>
      <c r="M6511" s="13" t="str">
        <f t="shared" si="1003"/>
        <v/>
      </c>
      <c r="Q6511" t="str">
        <f t="shared" si="1004"/>
        <v/>
      </c>
      <c r="R6511" t="str">
        <f t="shared" si="1005"/>
        <v/>
      </c>
      <c r="S6511" t="str">
        <f t="shared" si="1006"/>
        <v/>
      </c>
      <c r="T6511" t="str">
        <f t="shared" si="1007"/>
        <v/>
      </c>
      <c r="U6511" t="str">
        <f t="shared" si="1008"/>
        <v/>
      </c>
      <c r="V6511" t="str">
        <f t="shared" si="1009"/>
        <v/>
      </c>
      <c r="W6511" t="str">
        <f t="shared" si="1010"/>
        <v/>
      </c>
      <c r="X6511">
        <f t="shared" si="1000"/>
        <v>0</v>
      </c>
      <c r="Z6511" t="str">
        <f t="shared" si="1011"/>
        <v/>
      </c>
      <c r="AA6511">
        <f t="shared" si="1001"/>
        <v>0</v>
      </c>
    </row>
    <row r="6512" spans="1:27" ht="21" customHeight="1" x14ac:dyDescent="0.95">
      <c r="A6512" s="56"/>
      <c r="B6512" s="57"/>
      <c r="C6512" s="57"/>
      <c r="D6512" s="57"/>
      <c r="E6512" s="56"/>
      <c r="F6512" s="57"/>
      <c r="G6512" s="57"/>
      <c r="H6512" s="56"/>
      <c r="I6512" s="56"/>
      <c r="J6512" s="58"/>
      <c r="K6512" s="58"/>
      <c r="L6512" s="13" t="str">
        <f t="shared" si="1002"/>
        <v/>
      </c>
      <c r="M6512" s="13" t="str">
        <f t="shared" si="1003"/>
        <v/>
      </c>
      <c r="Q6512" t="str">
        <f t="shared" si="1004"/>
        <v/>
      </c>
      <c r="R6512" t="str">
        <f t="shared" si="1005"/>
        <v/>
      </c>
      <c r="S6512" t="str">
        <f t="shared" si="1006"/>
        <v/>
      </c>
      <c r="T6512" t="str">
        <f t="shared" si="1007"/>
        <v/>
      </c>
      <c r="U6512" t="str">
        <f t="shared" si="1008"/>
        <v/>
      </c>
      <c r="V6512" t="str">
        <f t="shared" si="1009"/>
        <v/>
      </c>
      <c r="W6512" t="str">
        <f t="shared" si="1010"/>
        <v/>
      </c>
      <c r="X6512">
        <f t="shared" si="1000"/>
        <v>0</v>
      </c>
      <c r="Z6512" t="str">
        <f t="shared" si="1011"/>
        <v/>
      </c>
      <c r="AA6512">
        <f t="shared" si="1001"/>
        <v>0</v>
      </c>
    </row>
    <row r="6513" spans="1:27" ht="21" customHeight="1" x14ac:dyDescent="0.95">
      <c r="A6513" s="56"/>
      <c r="B6513" s="57"/>
      <c r="C6513" s="57"/>
      <c r="D6513" s="57"/>
      <c r="E6513" s="56"/>
      <c r="F6513" s="57"/>
      <c r="G6513" s="57"/>
      <c r="H6513" s="56"/>
      <c r="I6513" s="56"/>
      <c r="J6513" s="58"/>
      <c r="K6513" s="58"/>
      <c r="L6513" s="13" t="str">
        <f t="shared" si="1002"/>
        <v/>
      </c>
      <c r="M6513" s="13" t="str">
        <f t="shared" si="1003"/>
        <v/>
      </c>
      <c r="Q6513" t="str">
        <f t="shared" si="1004"/>
        <v/>
      </c>
      <c r="R6513" t="str">
        <f t="shared" si="1005"/>
        <v/>
      </c>
      <c r="S6513" t="str">
        <f t="shared" si="1006"/>
        <v/>
      </c>
      <c r="T6513" t="str">
        <f t="shared" si="1007"/>
        <v/>
      </c>
      <c r="U6513" t="str">
        <f t="shared" si="1008"/>
        <v/>
      </c>
      <c r="V6513" t="str">
        <f t="shared" si="1009"/>
        <v/>
      </c>
      <c r="W6513" t="str">
        <f t="shared" si="1010"/>
        <v/>
      </c>
      <c r="X6513">
        <f t="shared" si="1000"/>
        <v>0</v>
      </c>
      <c r="Z6513" t="str">
        <f t="shared" si="1011"/>
        <v/>
      </c>
      <c r="AA6513">
        <f t="shared" si="1001"/>
        <v>0</v>
      </c>
    </row>
    <row r="6514" spans="1:27" ht="21" customHeight="1" x14ac:dyDescent="0.95">
      <c r="A6514" s="56"/>
      <c r="B6514" s="57"/>
      <c r="C6514" s="57"/>
      <c r="D6514" s="57"/>
      <c r="E6514" s="56"/>
      <c r="F6514" s="57"/>
      <c r="G6514" s="57"/>
      <c r="H6514" s="56"/>
      <c r="I6514" s="56"/>
      <c r="J6514" s="58"/>
      <c r="K6514" s="58"/>
      <c r="L6514" s="13" t="str">
        <f t="shared" si="1002"/>
        <v/>
      </c>
      <c r="M6514" s="13" t="str">
        <f t="shared" si="1003"/>
        <v/>
      </c>
      <c r="Q6514" t="str">
        <f t="shared" si="1004"/>
        <v/>
      </c>
      <c r="R6514" t="str">
        <f t="shared" si="1005"/>
        <v/>
      </c>
      <c r="S6514" t="str">
        <f t="shared" si="1006"/>
        <v/>
      </c>
      <c r="T6514" t="str">
        <f t="shared" si="1007"/>
        <v/>
      </c>
      <c r="U6514" t="str">
        <f t="shared" si="1008"/>
        <v/>
      </c>
      <c r="V6514" t="str">
        <f t="shared" si="1009"/>
        <v/>
      </c>
      <c r="W6514" t="str">
        <f t="shared" si="1010"/>
        <v/>
      </c>
      <c r="X6514">
        <f t="shared" si="1000"/>
        <v>0</v>
      </c>
      <c r="Z6514" t="str">
        <f t="shared" si="1011"/>
        <v/>
      </c>
      <c r="AA6514">
        <f t="shared" si="1001"/>
        <v>0</v>
      </c>
    </row>
    <row r="6515" spans="1:27" ht="21" customHeight="1" x14ac:dyDescent="0.95">
      <c r="A6515" s="56"/>
      <c r="B6515" s="57"/>
      <c r="C6515" s="57"/>
      <c r="D6515" s="57"/>
      <c r="E6515" s="56"/>
      <c r="F6515" s="57"/>
      <c r="G6515" s="57"/>
      <c r="H6515" s="56"/>
      <c r="I6515" s="56"/>
      <c r="J6515" s="58"/>
      <c r="K6515" s="58"/>
      <c r="L6515" s="13" t="str">
        <f t="shared" si="1002"/>
        <v/>
      </c>
      <c r="M6515" s="13" t="str">
        <f t="shared" si="1003"/>
        <v/>
      </c>
      <c r="Q6515" t="str">
        <f t="shared" si="1004"/>
        <v/>
      </c>
      <c r="R6515" t="str">
        <f t="shared" si="1005"/>
        <v/>
      </c>
      <c r="S6515" t="str">
        <f t="shared" si="1006"/>
        <v/>
      </c>
      <c r="T6515" t="str">
        <f t="shared" si="1007"/>
        <v/>
      </c>
      <c r="U6515" t="str">
        <f t="shared" si="1008"/>
        <v/>
      </c>
      <c r="V6515" t="str">
        <f t="shared" si="1009"/>
        <v/>
      </c>
      <c r="W6515" t="str">
        <f t="shared" si="1010"/>
        <v/>
      </c>
      <c r="X6515">
        <f t="shared" si="1000"/>
        <v>0</v>
      </c>
      <c r="Z6515" t="str">
        <f t="shared" si="1011"/>
        <v/>
      </c>
      <c r="AA6515">
        <f t="shared" si="1001"/>
        <v>0</v>
      </c>
    </row>
    <row r="6516" spans="1:27" ht="21" customHeight="1" x14ac:dyDescent="0.95">
      <c r="A6516" s="56"/>
      <c r="B6516" s="57"/>
      <c r="C6516" s="57"/>
      <c r="D6516" s="57"/>
      <c r="E6516" s="56"/>
      <c r="F6516" s="57"/>
      <c r="G6516" s="57"/>
      <c r="H6516" s="56"/>
      <c r="I6516" s="56"/>
      <c r="J6516" s="58"/>
      <c r="K6516" s="58"/>
      <c r="L6516" s="13" t="str">
        <f t="shared" si="1002"/>
        <v/>
      </c>
      <c r="M6516" s="13" t="str">
        <f t="shared" si="1003"/>
        <v/>
      </c>
      <c r="Q6516" t="str">
        <f t="shared" si="1004"/>
        <v/>
      </c>
      <c r="R6516" t="str">
        <f t="shared" si="1005"/>
        <v/>
      </c>
      <c r="S6516" t="str">
        <f t="shared" si="1006"/>
        <v/>
      </c>
      <c r="T6516" t="str">
        <f t="shared" si="1007"/>
        <v/>
      </c>
      <c r="U6516" t="str">
        <f t="shared" si="1008"/>
        <v/>
      </c>
      <c r="V6516" t="str">
        <f t="shared" si="1009"/>
        <v/>
      </c>
      <c r="W6516" t="str">
        <f t="shared" si="1010"/>
        <v/>
      </c>
      <c r="X6516">
        <f t="shared" si="1000"/>
        <v>0</v>
      </c>
      <c r="Z6516" t="str">
        <f t="shared" si="1011"/>
        <v/>
      </c>
      <c r="AA6516">
        <f t="shared" si="1001"/>
        <v>0</v>
      </c>
    </row>
    <row r="6517" spans="1:27" ht="21" customHeight="1" x14ac:dyDescent="0.95">
      <c r="A6517" s="56"/>
      <c r="B6517" s="57"/>
      <c r="C6517" s="57"/>
      <c r="D6517" s="57"/>
      <c r="E6517" s="56"/>
      <c r="F6517" s="57"/>
      <c r="G6517" s="57"/>
      <c r="H6517" s="56"/>
      <c r="I6517" s="56"/>
      <c r="J6517" s="58"/>
      <c r="K6517" s="58"/>
      <c r="L6517" s="13" t="str">
        <f t="shared" si="1002"/>
        <v/>
      </c>
      <c r="M6517" s="13" t="str">
        <f t="shared" si="1003"/>
        <v/>
      </c>
      <c r="Q6517" t="str">
        <f t="shared" si="1004"/>
        <v/>
      </c>
      <c r="R6517" t="str">
        <f t="shared" si="1005"/>
        <v/>
      </c>
      <c r="S6517" t="str">
        <f t="shared" si="1006"/>
        <v/>
      </c>
      <c r="T6517" t="str">
        <f t="shared" si="1007"/>
        <v/>
      </c>
      <c r="U6517" t="str">
        <f t="shared" si="1008"/>
        <v/>
      </c>
      <c r="V6517" t="str">
        <f t="shared" si="1009"/>
        <v/>
      </c>
      <c r="W6517" t="str">
        <f t="shared" si="1010"/>
        <v/>
      </c>
      <c r="X6517">
        <f t="shared" ref="X6517:X6580" si="1012">IF($T6517="",N($X6516),IF(MATCH($T6517,$T$6:$T$10005,0)=ROW()-5,N($X6516)+1,N($X6516)))</f>
        <v>0</v>
      </c>
      <c r="Z6517" t="str">
        <f t="shared" si="1011"/>
        <v/>
      </c>
      <c r="AA6517">
        <f t="shared" ref="AA6517:AA6580" si="1013">IF($V6517="",N($AA6516),IF(MATCH($V6517,$V$6:$V$10005,0)=ROW()-5,N($AA6516)+1,N($AA6516)))</f>
        <v>0</v>
      </c>
    </row>
    <row r="6518" spans="1:27" ht="21" customHeight="1" x14ac:dyDescent="0.95">
      <c r="A6518" s="56"/>
      <c r="B6518" s="57"/>
      <c r="C6518" s="57"/>
      <c r="D6518" s="57"/>
      <c r="E6518" s="56"/>
      <c r="F6518" s="57"/>
      <c r="G6518" s="57"/>
      <c r="H6518" s="56"/>
      <c r="I6518" s="56"/>
      <c r="J6518" s="58"/>
      <c r="K6518" s="58"/>
      <c r="L6518" s="13" t="str">
        <f t="shared" si="1002"/>
        <v/>
      </c>
      <c r="M6518" s="13" t="str">
        <f t="shared" si="1003"/>
        <v/>
      </c>
      <c r="Q6518" t="str">
        <f t="shared" si="1004"/>
        <v/>
      </c>
      <c r="R6518" t="str">
        <f t="shared" si="1005"/>
        <v/>
      </c>
      <c r="S6518" t="str">
        <f t="shared" si="1006"/>
        <v/>
      </c>
      <c r="T6518" t="str">
        <f t="shared" si="1007"/>
        <v/>
      </c>
      <c r="U6518" t="str">
        <f t="shared" si="1008"/>
        <v/>
      </c>
      <c r="V6518" t="str">
        <f t="shared" si="1009"/>
        <v/>
      </c>
      <c r="W6518" t="str">
        <f t="shared" si="1010"/>
        <v/>
      </c>
      <c r="X6518">
        <f t="shared" si="1012"/>
        <v>0</v>
      </c>
      <c r="Z6518" t="str">
        <f t="shared" si="1011"/>
        <v/>
      </c>
      <c r="AA6518">
        <f t="shared" si="1013"/>
        <v>0</v>
      </c>
    </row>
    <row r="6519" spans="1:27" ht="21" customHeight="1" x14ac:dyDescent="0.95">
      <c r="A6519" s="56"/>
      <c r="B6519" s="57"/>
      <c r="C6519" s="57"/>
      <c r="D6519" s="57"/>
      <c r="E6519" s="56"/>
      <c r="F6519" s="57"/>
      <c r="G6519" s="57"/>
      <c r="H6519" s="56"/>
      <c r="I6519" s="56"/>
      <c r="J6519" s="58"/>
      <c r="K6519" s="58"/>
      <c r="L6519" s="13" t="str">
        <f t="shared" si="1002"/>
        <v/>
      </c>
      <c r="M6519" s="13" t="str">
        <f t="shared" si="1003"/>
        <v/>
      </c>
      <c r="Q6519" t="str">
        <f t="shared" si="1004"/>
        <v/>
      </c>
      <c r="R6519" t="str">
        <f t="shared" si="1005"/>
        <v/>
      </c>
      <c r="S6519" t="str">
        <f t="shared" si="1006"/>
        <v/>
      </c>
      <c r="T6519" t="str">
        <f t="shared" si="1007"/>
        <v/>
      </c>
      <c r="U6519" t="str">
        <f t="shared" si="1008"/>
        <v/>
      </c>
      <c r="V6519" t="str">
        <f t="shared" si="1009"/>
        <v/>
      </c>
      <c r="W6519" t="str">
        <f t="shared" si="1010"/>
        <v/>
      </c>
      <c r="X6519">
        <f t="shared" si="1012"/>
        <v>0</v>
      </c>
      <c r="Z6519" t="str">
        <f t="shared" si="1011"/>
        <v/>
      </c>
      <c r="AA6519">
        <f t="shared" si="1013"/>
        <v>0</v>
      </c>
    </row>
    <row r="6520" spans="1:27" ht="21" customHeight="1" x14ac:dyDescent="0.95">
      <c r="A6520" s="56"/>
      <c r="B6520" s="57"/>
      <c r="C6520" s="57"/>
      <c r="D6520" s="57"/>
      <c r="E6520" s="56"/>
      <c r="F6520" s="57"/>
      <c r="G6520" s="57"/>
      <c r="H6520" s="56"/>
      <c r="I6520" s="56"/>
      <c r="J6520" s="58"/>
      <c r="K6520" s="58"/>
      <c r="L6520" s="13" t="str">
        <f t="shared" si="1002"/>
        <v/>
      </c>
      <c r="M6520" s="13" t="str">
        <f t="shared" si="1003"/>
        <v/>
      </c>
      <c r="Q6520" t="str">
        <f t="shared" si="1004"/>
        <v/>
      </c>
      <c r="R6520" t="str">
        <f t="shared" si="1005"/>
        <v/>
      </c>
      <c r="S6520" t="str">
        <f t="shared" si="1006"/>
        <v/>
      </c>
      <c r="T6520" t="str">
        <f t="shared" si="1007"/>
        <v/>
      </c>
      <c r="U6520" t="str">
        <f t="shared" si="1008"/>
        <v/>
      </c>
      <c r="V6520" t="str">
        <f t="shared" si="1009"/>
        <v/>
      </c>
      <c r="W6520" t="str">
        <f t="shared" si="1010"/>
        <v/>
      </c>
      <c r="X6520">
        <f t="shared" si="1012"/>
        <v>0</v>
      </c>
      <c r="Z6520" t="str">
        <f t="shared" si="1011"/>
        <v/>
      </c>
      <c r="AA6520">
        <f t="shared" si="1013"/>
        <v>0</v>
      </c>
    </row>
    <row r="6521" spans="1:27" ht="21" customHeight="1" x14ac:dyDescent="0.95">
      <c r="A6521" s="56"/>
      <c r="B6521" s="57"/>
      <c r="C6521" s="57"/>
      <c r="D6521" s="57"/>
      <c r="E6521" s="56"/>
      <c r="F6521" s="57"/>
      <c r="G6521" s="57"/>
      <c r="H6521" s="56"/>
      <c r="I6521" s="56"/>
      <c r="J6521" s="58"/>
      <c r="K6521" s="58"/>
      <c r="L6521" s="13" t="str">
        <f t="shared" si="1002"/>
        <v/>
      </c>
      <c r="M6521" s="13" t="str">
        <f t="shared" si="1003"/>
        <v/>
      </c>
      <c r="Q6521" t="str">
        <f t="shared" si="1004"/>
        <v/>
      </c>
      <c r="R6521" t="str">
        <f t="shared" si="1005"/>
        <v/>
      </c>
      <c r="S6521" t="str">
        <f t="shared" si="1006"/>
        <v/>
      </c>
      <c r="T6521" t="str">
        <f t="shared" si="1007"/>
        <v/>
      </c>
      <c r="U6521" t="str">
        <f t="shared" si="1008"/>
        <v/>
      </c>
      <c r="V6521" t="str">
        <f t="shared" si="1009"/>
        <v/>
      </c>
      <c r="W6521" t="str">
        <f t="shared" si="1010"/>
        <v/>
      </c>
      <c r="X6521">
        <f t="shared" si="1012"/>
        <v>0</v>
      </c>
      <c r="Z6521" t="str">
        <f t="shared" si="1011"/>
        <v/>
      </c>
      <c r="AA6521">
        <f t="shared" si="1013"/>
        <v>0</v>
      </c>
    </row>
    <row r="6522" spans="1:27" ht="21" customHeight="1" x14ac:dyDescent="0.95">
      <c r="A6522" s="56"/>
      <c r="B6522" s="57"/>
      <c r="C6522" s="57"/>
      <c r="D6522" s="57"/>
      <c r="E6522" s="56"/>
      <c r="F6522" s="57"/>
      <c r="G6522" s="57"/>
      <c r="H6522" s="56"/>
      <c r="I6522" s="56"/>
      <c r="J6522" s="58"/>
      <c r="K6522" s="58"/>
      <c r="L6522" s="13" t="str">
        <f t="shared" si="1002"/>
        <v/>
      </c>
      <c r="M6522" s="13" t="str">
        <f t="shared" si="1003"/>
        <v/>
      </c>
      <c r="Q6522" t="str">
        <f t="shared" si="1004"/>
        <v/>
      </c>
      <c r="R6522" t="str">
        <f t="shared" si="1005"/>
        <v/>
      </c>
      <c r="S6522" t="str">
        <f t="shared" si="1006"/>
        <v/>
      </c>
      <c r="T6522" t="str">
        <f t="shared" si="1007"/>
        <v/>
      </c>
      <c r="U6522" t="str">
        <f t="shared" si="1008"/>
        <v/>
      </c>
      <c r="V6522" t="str">
        <f t="shared" si="1009"/>
        <v/>
      </c>
      <c r="W6522" t="str">
        <f t="shared" si="1010"/>
        <v/>
      </c>
      <c r="X6522">
        <f t="shared" si="1012"/>
        <v>0</v>
      </c>
      <c r="Z6522" t="str">
        <f t="shared" si="1011"/>
        <v/>
      </c>
      <c r="AA6522">
        <f t="shared" si="1013"/>
        <v>0</v>
      </c>
    </row>
    <row r="6523" spans="1:27" ht="21" customHeight="1" x14ac:dyDescent="0.95">
      <c r="A6523" s="56"/>
      <c r="B6523" s="57"/>
      <c r="C6523" s="57"/>
      <c r="D6523" s="57"/>
      <c r="E6523" s="56"/>
      <c r="F6523" s="57"/>
      <c r="G6523" s="57"/>
      <c r="H6523" s="56"/>
      <c r="I6523" s="56"/>
      <c r="J6523" s="58"/>
      <c r="K6523" s="58"/>
      <c r="L6523" s="13" t="str">
        <f t="shared" si="1002"/>
        <v/>
      </c>
      <c r="M6523" s="13" t="str">
        <f t="shared" si="1003"/>
        <v/>
      </c>
      <c r="Q6523" t="str">
        <f t="shared" si="1004"/>
        <v/>
      </c>
      <c r="R6523" t="str">
        <f t="shared" si="1005"/>
        <v/>
      </c>
      <c r="S6523" t="str">
        <f t="shared" si="1006"/>
        <v/>
      </c>
      <c r="T6523" t="str">
        <f t="shared" si="1007"/>
        <v/>
      </c>
      <c r="U6523" t="str">
        <f t="shared" si="1008"/>
        <v/>
      </c>
      <c r="V6523" t="str">
        <f t="shared" si="1009"/>
        <v/>
      </c>
      <c r="W6523" t="str">
        <f t="shared" si="1010"/>
        <v/>
      </c>
      <c r="X6523">
        <f t="shared" si="1012"/>
        <v>0</v>
      </c>
      <c r="Z6523" t="str">
        <f t="shared" si="1011"/>
        <v/>
      </c>
      <c r="AA6523">
        <f t="shared" si="1013"/>
        <v>0</v>
      </c>
    </row>
    <row r="6524" spans="1:27" ht="21" customHeight="1" x14ac:dyDescent="0.95">
      <c r="A6524" s="56"/>
      <c r="B6524" s="57"/>
      <c r="C6524" s="57"/>
      <c r="D6524" s="57"/>
      <c r="E6524" s="56"/>
      <c r="F6524" s="57"/>
      <c r="G6524" s="57"/>
      <c r="H6524" s="56"/>
      <c r="I6524" s="56"/>
      <c r="J6524" s="58"/>
      <c r="K6524" s="58"/>
      <c r="L6524" s="13" t="str">
        <f t="shared" si="1002"/>
        <v/>
      </c>
      <c r="M6524" s="13" t="str">
        <f t="shared" si="1003"/>
        <v/>
      </c>
      <c r="Q6524" t="str">
        <f t="shared" si="1004"/>
        <v/>
      </c>
      <c r="R6524" t="str">
        <f t="shared" si="1005"/>
        <v/>
      </c>
      <c r="S6524" t="str">
        <f t="shared" si="1006"/>
        <v/>
      </c>
      <c r="T6524" t="str">
        <f t="shared" si="1007"/>
        <v/>
      </c>
      <c r="U6524" t="str">
        <f t="shared" si="1008"/>
        <v/>
      </c>
      <c r="V6524" t="str">
        <f t="shared" si="1009"/>
        <v/>
      </c>
      <c r="W6524" t="str">
        <f t="shared" si="1010"/>
        <v/>
      </c>
      <c r="X6524">
        <f t="shared" si="1012"/>
        <v>0</v>
      </c>
      <c r="Z6524" t="str">
        <f t="shared" si="1011"/>
        <v/>
      </c>
      <c r="AA6524">
        <f t="shared" si="1013"/>
        <v>0</v>
      </c>
    </row>
    <row r="6525" spans="1:27" ht="21" customHeight="1" x14ac:dyDescent="0.95">
      <c r="A6525" s="56"/>
      <c r="B6525" s="57"/>
      <c r="C6525" s="57"/>
      <c r="D6525" s="57"/>
      <c r="E6525" s="56"/>
      <c r="F6525" s="57"/>
      <c r="G6525" s="57"/>
      <c r="H6525" s="56"/>
      <c r="I6525" s="56"/>
      <c r="J6525" s="58"/>
      <c r="K6525" s="58"/>
      <c r="L6525" s="13" t="str">
        <f t="shared" si="1002"/>
        <v/>
      </c>
      <c r="M6525" s="13" t="str">
        <f t="shared" si="1003"/>
        <v/>
      </c>
      <c r="Q6525" t="str">
        <f t="shared" si="1004"/>
        <v/>
      </c>
      <c r="R6525" t="str">
        <f t="shared" si="1005"/>
        <v/>
      </c>
      <c r="S6525" t="str">
        <f t="shared" si="1006"/>
        <v/>
      </c>
      <c r="T6525" t="str">
        <f t="shared" si="1007"/>
        <v/>
      </c>
      <c r="U6525" t="str">
        <f t="shared" si="1008"/>
        <v/>
      </c>
      <c r="V6525" t="str">
        <f t="shared" si="1009"/>
        <v/>
      </c>
      <c r="W6525" t="str">
        <f t="shared" si="1010"/>
        <v/>
      </c>
      <c r="X6525">
        <f t="shared" si="1012"/>
        <v>0</v>
      </c>
      <c r="Z6525" t="str">
        <f t="shared" si="1011"/>
        <v/>
      </c>
      <c r="AA6525">
        <f t="shared" si="1013"/>
        <v>0</v>
      </c>
    </row>
    <row r="6526" spans="1:27" ht="21" customHeight="1" x14ac:dyDescent="0.95">
      <c r="A6526" s="56"/>
      <c r="B6526" s="57"/>
      <c r="C6526" s="57"/>
      <c r="D6526" s="57"/>
      <c r="E6526" s="56"/>
      <c r="F6526" s="57"/>
      <c r="G6526" s="57"/>
      <c r="H6526" s="56"/>
      <c r="I6526" s="56"/>
      <c r="J6526" s="58"/>
      <c r="K6526" s="58"/>
      <c r="L6526" s="13" t="str">
        <f t="shared" si="1002"/>
        <v/>
      </c>
      <c r="M6526" s="13" t="str">
        <f t="shared" si="1003"/>
        <v/>
      </c>
      <c r="Q6526" t="str">
        <f t="shared" si="1004"/>
        <v/>
      </c>
      <c r="R6526" t="str">
        <f t="shared" si="1005"/>
        <v/>
      </c>
      <c r="S6526" t="str">
        <f t="shared" si="1006"/>
        <v/>
      </c>
      <c r="T6526" t="str">
        <f t="shared" si="1007"/>
        <v/>
      </c>
      <c r="U6526" t="str">
        <f t="shared" si="1008"/>
        <v/>
      </c>
      <c r="V6526" t="str">
        <f t="shared" si="1009"/>
        <v/>
      </c>
      <c r="W6526" t="str">
        <f t="shared" si="1010"/>
        <v/>
      </c>
      <c r="X6526">
        <f t="shared" si="1012"/>
        <v>0</v>
      </c>
      <c r="Z6526" t="str">
        <f t="shared" si="1011"/>
        <v/>
      </c>
      <c r="AA6526">
        <f t="shared" si="1013"/>
        <v>0</v>
      </c>
    </row>
    <row r="6527" spans="1:27" ht="21" customHeight="1" x14ac:dyDescent="0.95">
      <c r="A6527" s="56"/>
      <c r="B6527" s="57"/>
      <c r="C6527" s="57"/>
      <c r="D6527" s="57"/>
      <c r="E6527" s="56"/>
      <c r="F6527" s="57"/>
      <c r="G6527" s="57"/>
      <c r="H6527" s="56"/>
      <c r="I6527" s="56"/>
      <c r="J6527" s="58"/>
      <c r="K6527" s="58"/>
      <c r="L6527" s="13" t="str">
        <f t="shared" si="1002"/>
        <v/>
      </c>
      <c r="M6527" s="13" t="str">
        <f t="shared" si="1003"/>
        <v/>
      </c>
      <c r="Q6527" t="str">
        <f t="shared" si="1004"/>
        <v/>
      </c>
      <c r="R6527" t="str">
        <f t="shared" si="1005"/>
        <v/>
      </c>
      <c r="S6527" t="str">
        <f t="shared" si="1006"/>
        <v/>
      </c>
      <c r="T6527" t="str">
        <f t="shared" si="1007"/>
        <v/>
      </c>
      <c r="U6527" t="str">
        <f t="shared" si="1008"/>
        <v/>
      </c>
      <c r="V6527" t="str">
        <f t="shared" si="1009"/>
        <v/>
      </c>
      <c r="W6527" t="str">
        <f t="shared" si="1010"/>
        <v/>
      </c>
      <c r="X6527">
        <f t="shared" si="1012"/>
        <v>0</v>
      </c>
      <c r="Z6527" t="str">
        <f t="shared" si="1011"/>
        <v/>
      </c>
      <c r="AA6527">
        <f t="shared" si="1013"/>
        <v>0</v>
      </c>
    </row>
    <row r="6528" spans="1:27" ht="21" customHeight="1" x14ac:dyDescent="0.95">
      <c r="A6528" s="56"/>
      <c r="B6528" s="57"/>
      <c r="C6528" s="57"/>
      <c r="D6528" s="57"/>
      <c r="E6528" s="56"/>
      <c r="F6528" s="57"/>
      <c r="G6528" s="57"/>
      <c r="H6528" s="56"/>
      <c r="I6528" s="56"/>
      <c r="J6528" s="58"/>
      <c r="K6528" s="58"/>
      <c r="L6528" s="13" t="str">
        <f t="shared" si="1002"/>
        <v/>
      </c>
      <c r="M6528" s="13" t="str">
        <f t="shared" si="1003"/>
        <v/>
      </c>
      <c r="Q6528" t="str">
        <f t="shared" si="1004"/>
        <v/>
      </c>
      <c r="R6528" t="str">
        <f t="shared" si="1005"/>
        <v/>
      </c>
      <c r="S6528" t="str">
        <f t="shared" si="1006"/>
        <v/>
      </c>
      <c r="T6528" t="str">
        <f t="shared" si="1007"/>
        <v/>
      </c>
      <c r="U6528" t="str">
        <f t="shared" si="1008"/>
        <v/>
      </c>
      <c r="V6528" t="str">
        <f t="shared" si="1009"/>
        <v/>
      </c>
      <c r="W6528" t="str">
        <f t="shared" si="1010"/>
        <v/>
      </c>
      <c r="X6528">
        <f t="shared" si="1012"/>
        <v>0</v>
      </c>
      <c r="Z6528" t="str">
        <f t="shared" si="1011"/>
        <v/>
      </c>
      <c r="AA6528">
        <f t="shared" si="1013"/>
        <v>0</v>
      </c>
    </row>
    <row r="6529" spans="1:27" ht="21" customHeight="1" x14ac:dyDescent="0.95">
      <c r="A6529" s="56"/>
      <c r="B6529" s="57"/>
      <c r="C6529" s="57"/>
      <c r="D6529" s="57"/>
      <c r="E6529" s="56"/>
      <c r="F6529" s="57"/>
      <c r="G6529" s="57"/>
      <c r="H6529" s="56"/>
      <c r="I6529" s="56"/>
      <c r="J6529" s="58"/>
      <c r="K6529" s="58"/>
      <c r="L6529" s="13" t="str">
        <f t="shared" si="1002"/>
        <v/>
      </c>
      <c r="M6529" s="13" t="str">
        <f t="shared" si="1003"/>
        <v/>
      </c>
      <c r="Q6529" t="str">
        <f t="shared" si="1004"/>
        <v/>
      </c>
      <c r="R6529" t="str">
        <f t="shared" si="1005"/>
        <v/>
      </c>
      <c r="S6529" t="str">
        <f t="shared" si="1006"/>
        <v/>
      </c>
      <c r="T6529" t="str">
        <f t="shared" si="1007"/>
        <v/>
      </c>
      <c r="U6529" t="str">
        <f t="shared" si="1008"/>
        <v/>
      </c>
      <c r="V6529" t="str">
        <f t="shared" si="1009"/>
        <v/>
      </c>
      <c r="W6529" t="str">
        <f t="shared" si="1010"/>
        <v/>
      </c>
      <c r="X6529">
        <f t="shared" si="1012"/>
        <v>0</v>
      </c>
      <c r="Z6529" t="str">
        <f t="shared" si="1011"/>
        <v/>
      </c>
      <c r="AA6529">
        <f t="shared" si="1013"/>
        <v>0</v>
      </c>
    </row>
    <row r="6530" spans="1:27" ht="21" customHeight="1" x14ac:dyDescent="0.95">
      <c r="A6530" s="56"/>
      <c r="B6530" s="57"/>
      <c r="C6530" s="57"/>
      <c r="D6530" s="57"/>
      <c r="E6530" s="56"/>
      <c r="F6530" s="57"/>
      <c r="G6530" s="57"/>
      <c r="H6530" s="56"/>
      <c r="I6530" s="56"/>
      <c r="J6530" s="58"/>
      <c r="K6530" s="58"/>
      <c r="L6530" s="13" t="str">
        <f t="shared" si="1002"/>
        <v/>
      </c>
      <c r="M6530" s="13" t="str">
        <f t="shared" si="1003"/>
        <v/>
      </c>
      <c r="Q6530" t="str">
        <f t="shared" si="1004"/>
        <v/>
      </c>
      <c r="R6530" t="str">
        <f t="shared" si="1005"/>
        <v/>
      </c>
      <c r="S6530" t="str">
        <f t="shared" si="1006"/>
        <v/>
      </c>
      <c r="T6530" t="str">
        <f t="shared" si="1007"/>
        <v/>
      </c>
      <c r="U6530" t="str">
        <f t="shared" si="1008"/>
        <v/>
      </c>
      <c r="V6530" t="str">
        <f t="shared" si="1009"/>
        <v/>
      </c>
      <c r="W6530" t="str">
        <f t="shared" si="1010"/>
        <v/>
      </c>
      <c r="X6530">
        <f t="shared" si="1012"/>
        <v>0</v>
      </c>
      <c r="Z6530" t="str">
        <f t="shared" si="1011"/>
        <v/>
      </c>
      <c r="AA6530">
        <f t="shared" si="1013"/>
        <v>0</v>
      </c>
    </row>
    <row r="6531" spans="1:27" ht="21" customHeight="1" x14ac:dyDescent="0.95">
      <c r="A6531" s="56"/>
      <c r="B6531" s="57"/>
      <c r="C6531" s="57"/>
      <c r="D6531" s="57"/>
      <c r="E6531" s="56"/>
      <c r="F6531" s="57"/>
      <c r="G6531" s="57"/>
      <c r="H6531" s="56"/>
      <c r="I6531" s="56"/>
      <c r="J6531" s="58"/>
      <c r="K6531" s="58"/>
      <c r="L6531" s="13" t="str">
        <f t="shared" si="1002"/>
        <v/>
      </c>
      <c r="M6531" s="13" t="str">
        <f t="shared" si="1003"/>
        <v/>
      </c>
      <c r="Q6531" t="str">
        <f t="shared" si="1004"/>
        <v/>
      </c>
      <c r="R6531" t="str">
        <f t="shared" si="1005"/>
        <v/>
      </c>
      <c r="S6531" t="str">
        <f t="shared" si="1006"/>
        <v/>
      </c>
      <c r="T6531" t="str">
        <f t="shared" si="1007"/>
        <v/>
      </c>
      <c r="U6531" t="str">
        <f t="shared" si="1008"/>
        <v/>
      </c>
      <c r="V6531" t="str">
        <f t="shared" si="1009"/>
        <v/>
      </c>
      <c r="W6531" t="str">
        <f t="shared" si="1010"/>
        <v/>
      </c>
      <c r="X6531">
        <f t="shared" si="1012"/>
        <v>0</v>
      </c>
      <c r="Z6531" t="str">
        <f t="shared" si="1011"/>
        <v/>
      </c>
      <c r="AA6531">
        <f t="shared" si="1013"/>
        <v>0</v>
      </c>
    </row>
    <row r="6532" spans="1:27" ht="21" customHeight="1" x14ac:dyDescent="0.95">
      <c r="A6532" s="56"/>
      <c r="B6532" s="57"/>
      <c r="C6532" s="57"/>
      <c r="D6532" s="57"/>
      <c r="E6532" s="56"/>
      <c r="F6532" s="57"/>
      <c r="G6532" s="57"/>
      <c r="H6532" s="56"/>
      <c r="I6532" s="56"/>
      <c r="J6532" s="58"/>
      <c r="K6532" s="58"/>
      <c r="L6532" s="13" t="str">
        <f t="shared" ref="L6532:L6595" si="1014">IF(OR($A6532="",AND($J6532="",$K6532="")),"",ROUND(N($J6532)-N($K6532),2))</f>
        <v/>
      </c>
      <c r="M6532" s="13" t="str">
        <f t="shared" ref="M6532:M6595" si="1015">IF(OR($A6532="",AND($J6532="",$K6532="")),"",MIN($J6532,$K6532))</f>
        <v/>
      </c>
      <c r="Q6532" t="str">
        <f t="shared" ref="Q6532:Q6595" si="1016">IF($A6532="","",$D6532&amp;"("&amp;SUBSTITUTE($E6532," ","")&amp;")")</f>
        <v/>
      </c>
      <c r="R6532" t="str">
        <f t="shared" ref="R6532:R6595" si="1017">IF($A6532="","",$B6532&amp;" - "&amp;$C6532)</f>
        <v/>
      </c>
      <c r="S6532" t="str">
        <f t="shared" ref="S6532:S6595" si="1018">IF($A6532="","",$R6532&amp;"|"&amp;$Q6532)</f>
        <v/>
      </c>
      <c r="T6532" t="str">
        <f t="shared" ref="T6532:T6595" si="1019">IF($A6532="","",$S6532&amp;"|"&amp;$F6532)</f>
        <v/>
      </c>
      <c r="U6532" t="str">
        <f t="shared" ref="U6532:U6595" si="1020">IF($A6532="","",$R6532&amp;"("&amp;$E6532&amp;")")</f>
        <v/>
      </c>
      <c r="V6532" t="str">
        <f t="shared" ref="V6532:V6595" si="1021">IF($A6532="","",$F6532&amp;"|"&amp;$U6532&amp;"|"&amp;$D6532)</f>
        <v/>
      </c>
      <c r="W6532" t="str">
        <f t="shared" si="1010"/>
        <v/>
      </c>
      <c r="X6532">
        <f t="shared" si="1012"/>
        <v>0</v>
      </c>
      <c r="Z6532" t="str">
        <f t="shared" si="1011"/>
        <v/>
      </c>
      <c r="AA6532">
        <f t="shared" si="1013"/>
        <v>0</v>
      </c>
    </row>
    <row r="6533" spans="1:27" ht="21" customHeight="1" x14ac:dyDescent="0.95">
      <c r="A6533" s="56"/>
      <c r="B6533" s="57"/>
      <c r="C6533" s="57"/>
      <c r="D6533" s="57"/>
      <c r="E6533" s="56"/>
      <c r="F6533" s="57"/>
      <c r="G6533" s="57"/>
      <c r="H6533" s="56"/>
      <c r="I6533" s="56"/>
      <c r="J6533" s="58"/>
      <c r="K6533" s="58"/>
      <c r="L6533" s="13" t="str">
        <f t="shared" si="1014"/>
        <v/>
      </c>
      <c r="M6533" s="13" t="str">
        <f t="shared" si="1015"/>
        <v/>
      </c>
      <c r="Q6533" t="str">
        <f t="shared" si="1016"/>
        <v/>
      </c>
      <c r="R6533" t="str">
        <f t="shared" si="1017"/>
        <v/>
      </c>
      <c r="S6533" t="str">
        <f t="shared" si="1018"/>
        <v/>
      </c>
      <c r="T6533" t="str">
        <f t="shared" si="1019"/>
        <v/>
      </c>
      <c r="U6533" t="str">
        <f t="shared" si="1020"/>
        <v/>
      </c>
      <c r="V6533" t="str">
        <f t="shared" si="1021"/>
        <v/>
      </c>
      <c r="W6533" t="str">
        <f t="shared" si="1010"/>
        <v/>
      </c>
      <c r="X6533">
        <f t="shared" si="1012"/>
        <v>0</v>
      </c>
      <c r="Z6533" t="str">
        <f t="shared" si="1011"/>
        <v/>
      </c>
      <c r="AA6533">
        <f t="shared" si="1013"/>
        <v>0</v>
      </c>
    </row>
    <row r="6534" spans="1:27" ht="21" customHeight="1" x14ac:dyDescent="0.95">
      <c r="A6534" s="56"/>
      <c r="B6534" s="57"/>
      <c r="C6534" s="57"/>
      <c r="D6534" s="57"/>
      <c r="E6534" s="56"/>
      <c r="F6534" s="57"/>
      <c r="G6534" s="57"/>
      <c r="H6534" s="56"/>
      <c r="I6534" s="56"/>
      <c r="J6534" s="58"/>
      <c r="K6534" s="58"/>
      <c r="L6534" s="13" t="str">
        <f t="shared" si="1014"/>
        <v/>
      </c>
      <c r="M6534" s="13" t="str">
        <f t="shared" si="1015"/>
        <v/>
      </c>
      <c r="Q6534" t="str">
        <f t="shared" si="1016"/>
        <v/>
      </c>
      <c r="R6534" t="str">
        <f t="shared" si="1017"/>
        <v/>
      </c>
      <c r="S6534" t="str">
        <f t="shared" si="1018"/>
        <v/>
      </c>
      <c r="T6534" t="str">
        <f t="shared" si="1019"/>
        <v/>
      </c>
      <c r="U6534" t="str">
        <f t="shared" si="1020"/>
        <v/>
      </c>
      <c r="V6534" t="str">
        <f t="shared" si="1021"/>
        <v/>
      </c>
      <c r="W6534" t="str">
        <f t="shared" ref="W6534:W6597" si="1022">IF($T6534="","",IF($X6534&gt;N($X6533),$X6534,""))</f>
        <v/>
      </c>
      <c r="X6534">
        <f t="shared" si="1012"/>
        <v>0</v>
      </c>
      <c r="Z6534" t="str">
        <f t="shared" ref="Z6534:Z6597" si="1023">IF($V6534="","",IF($AA6534&gt;N($AA6533),$AA6534,""))</f>
        <v/>
      </c>
      <c r="AA6534">
        <f t="shared" si="1013"/>
        <v>0</v>
      </c>
    </row>
    <row r="6535" spans="1:27" ht="21" customHeight="1" x14ac:dyDescent="0.95">
      <c r="A6535" s="56"/>
      <c r="B6535" s="57"/>
      <c r="C6535" s="57"/>
      <c r="D6535" s="57"/>
      <c r="E6535" s="56"/>
      <c r="F6535" s="57"/>
      <c r="G6535" s="57"/>
      <c r="H6535" s="56"/>
      <c r="I6535" s="56"/>
      <c r="J6535" s="58"/>
      <c r="K6535" s="58"/>
      <c r="L6535" s="13" t="str">
        <f t="shared" si="1014"/>
        <v/>
      </c>
      <c r="M6535" s="13" t="str">
        <f t="shared" si="1015"/>
        <v/>
      </c>
      <c r="Q6535" t="str">
        <f t="shared" si="1016"/>
        <v/>
      </c>
      <c r="R6535" t="str">
        <f t="shared" si="1017"/>
        <v/>
      </c>
      <c r="S6535" t="str">
        <f t="shared" si="1018"/>
        <v/>
      </c>
      <c r="T6535" t="str">
        <f t="shared" si="1019"/>
        <v/>
      </c>
      <c r="U6535" t="str">
        <f t="shared" si="1020"/>
        <v/>
      </c>
      <c r="V6535" t="str">
        <f t="shared" si="1021"/>
        <v/>
      </c>
      <c r="W6535" t="str">
        <f t="shared" si="1022"/>
        <v/>
      </c>
      <c r="X6535">
        <f t="shared" si="1012"/>
        <v>0</v>
      </c>
      <c r="Z6535" t="str">
        <f t="shared" si="1023"/>
        <v/>
      </c>
      <c r="AA6535">
        <f t="shared" si="1013"/>
        <v>0</v>
      </c>
    </row>
    <row r="6536" spans="1:27" ht="21" customHeight="1" x14ac:dyDescent="0.95">
      <c r="A6536" s="56"/>
      <c r="B6536" s="57"/>
      <c r="C6536" s="57"/>
      <c r="D6536" s="57"/>
      <c r="E6536" s="56"/>
      <c r="F6536" s="57"/>
      <c r="G6536" s="57"/>
      <c r="H6536" s="56"/>
      <c r="I6536" s="56"/>
      <c r="J6536" s="58"/>
      <c r="K6536" s="58"/>
      <c r="L6536" s="13" t="str">
        <f t="shared" si="1014"/>
        <v/>
      </c>
      <c r="M6536" s="13" t="str">
        <f t="shared" si="1015"/>
        <v/>
      </c>
      <c r="Q6536" t="str">
        <f t="shared" si="1016"/>
        <v/>
      </c>
      <c r="R6536" t="str">
        <f t="shared" si="1017"/>
        <v/>
      </c>
      <c r="S6536" t="str">
        <f t="shared" si="1018"/>
        <v/>
      </c>
      <c r="T6536" t="str">
        <f t="shared" si="1019"/>
        <v/>
      </c>
      <c r="U6536" t="str">
        <f t="shared" si="1020"/>
        <v/>
      </c>
      <c r="V6536" t="str">
        <f t="shared" si="1021"/>
        <v/>
      </c>
      <c r="W6536" t="str">
        <f t="shared" si="1022"/>
        <v/>
      </c>
      <c r="X6536">
        <f t="shared" si="1012"/>
        <v>0</v>
      </c>
      <c r="Z6536" t="str">
        <f t="shared" si="1023"/>
        <v/>
      </c>
      <c r="AA6536">
        <f t="shared" si="1013"/>
        <v>0</v>
      </c>
    </row>
    <row r="6537" spans="1:27" ht="21" customHeight="1" x14ac:dyDescent="0.95">
      <c r="A6537" s="56"/>
      <c r="B6537" s="57"/>
      <c r="C6537" s="57"/>
      <c r="D6537" s="57"/>
      <c r="E6537" s="56"/>
      <c r="F6537" s="57"/>
      <c r="G6537" s="57"/>
      <c r="H6537" s="56"/>
      <c r="I6537" s="56"/>
      <c r="J6537" s="58"/>
      <c r="K6537" s="58"/>
      <c r="L6537" s="13" t="str">
        <f t="shared" si="1014"/>
        <v/>
      </c>
      <c r="M6537" s="13" t="str">
        <f t="shared" si="1015"/>
        <v/>
      </c>
      <c r="Q6537" t="str">
        <f t="shared" si="1016"/>
        <v/>
      </c>
      <c r="R6537" t="str">
        <f t="shared" si="1017"/>
        <v/>
      </c>
      <c r="S6537" t="str">
        <f t="shared" si="1018"/>
        <v/>
      </c>
      <c r="T6537" t="str">
        <f t="shared" si="1019"/>
        <v/>
      </c>
      <c r="U6537" t="str">
        <f t="shared" si="1020"/>
        <v/>
      </c>
      <c r="V6537" t="str">
        <f t="shared" si="1021"/>
        <v/>
      </c>
      <c r="W6537" t="str">
        <f t="shared" si="1022"/>
        <v/>
      </c>
      <c r="X6537">
        <f t="shared" si="1012"/>
        <v>0</v>
      </c>
      <c r="Z6537" t="str">
        <f t="shared" si="1023"/>
        <v/>
      </c>
      <c r="AA6537">
        <f t="shared" si="1013"/>
        <v>0</v>
      </c>
    </row>
    <row r="6538" spans="1:27" ht="21" customHeight="1" x14ac:dyDescent="0.95">
      <c r="A6538" s="56"/>
      <c r="B6538" s="57"/>
      <c r="C6538" s="57"/>
      <c r="D6538" s="57"/>
      <c r="E6538" s="56"/>
      <c r="F6538" s="57"/>
      <c r="G6538" s="57"/>
      <c r="H6538" s="56"/>
      <c r="I6538" s="56"/>
      <c r="J6538" s="58"/>
      <c r="K6538" s="58"/>
      <c r="L6538" s="13" t="str">
        <f t="shared" si="1014"/>
        <v/>
      </c>
      <c r="M6538" s="13" t="str">
        <f t="shared" si="1015"/>
        <v/>
      </c>
      <c r="Q6538" t="str">
        <f t="shared" si="1016"/>
        <v/>
      </c>
      <c r="R6538" t="str">
        <f t="shared" si="1017"/>
        <v/>
      </c>
      <c r="S6538" t="str">
        <f t="shared" si="1018"/>
        <v/>
      </c>
      <c r="T6538" t="str">
        <f t="shared" si="1019"/>
        <v/>
      </c>
      <c r="U6538" t="str">
        <f t="shared" si="1020"/>
        <v/>
      </c>
      <c r="V6538" t="str">
        <f t="shared" si="1021"/>
        <v/>
      </c>
      <c r="W6538" t="str">
        <f t="shared" si="1022"/>
        <v/>
      </c>
      <c r="X6538">
        <f t="shared" si="1012"/>
        <v>0</v>
      </c>
      <c r="Z6538" t="str">
        <f t="shared" si="1023"/>
        <v/>
      </c>
      <c r="AA6538">
        <f t="shared" si="1013"/>
        <v>0</v>
      </c>
    </row>
    <row r="6539" spans="1:27" ht="21" customHeight="1" x14ac:dyDescent="0.95">
      <c r="A6539" s="56"/>
      <c r="B6539" s="57"/>
      <c r="C6539" s="57"/>
      <c r="D6539" s="57"/>
      <c r="E6539" s="56"/>
      <c r="F6539" s="57"/>
      <c r="G6539" s="57"/>
      <c r="H6539" s="56"/>
      <c r="I6539" s="56"/>
      <c r="J6539" s="58"/>
      <c r="K6539" s="58"/>
      <c r="L6539" s="13" t="str">
        <f t="shared" si="1014"/>
        <v/>
      </c>
      <c r="M6539" s="13" t="str">
        <f t="shared" si="1015"/>
        <v/>
      </c>
      <c r="Q6539" t="str">
        <f t="shared" si="1016"/>
        <v/>
      </c>
      <c r="R6539" t="str">
        <f t="shared" si="1017"/>
        <v/>
      </c>
      <c r="S6539" t="str">
        <f t="shared" si="1018"/>
        <v/>
      </c>
      <c r="T6539" t="str">
        <f t="shared" si="1019"/>
        <v/>
      </c>
      <c r="U6539" t="str">
        <f t="shared" si="1020"/>
        <v/>
      </c>
      <c r="V6539" t="str">
        <f t="shared" si="1021"/>
        <v/>
      </c>
      <c r="W6539" t="str">
        <f t="shared" si="1022"/>
        <v/>
      </c>
      <c r="X6539">
        <f t="shared" si="1012"/>
        <v>0</v>
      </c>
      <c r="Z6539" t="str">
        <f t="shared" si="1023"/>
        <v/>
      </c>
      <c r="AA6539">
        <f t="shared" si="1013"/>
        <v>0</v>
      </c>
    </row>
    <row r="6540" spans="1:27" ht="21" customHeight="1" x14ac:dyDescent="0.95">
      <c r="A6540" s="56"/>
      <c r="B6540" s="57"/>
      <c r="C6540" s="57"/>
      <c r="D6540" s="57"/>
      <c r="E6540" s="56"/>
      <c r="F6540" s="57"/>
      <c r="G6540" s="57"/>
      <c r="H6540" s="56"/>
      <c r="I6540" s="56"/>
      <c r="J6540" s="58"/>
      <c r="K6540" s="58"/>
      <c r="L6540" s="13" t="str">
        <f t="shared" si="1014"/>
        <v/>
      </c>
      <c r="M6540" s="13" t="str">
        <f t="shared" si="1015"/>
        <v/>
      </c>
      <c r="Q6540" t="str">
        <f t="shared" si="1016"/>
        <v/>
      </c>
      <c r="R6540" t="str">
        <f t="shared" si="1017"/>
        <v/>
      </c>
      <c r="S6540" t="str">
        <f t="shared" si="1018"/>
        <v/>
      </c>
      <c r="T6540" t="str">
        <f t="shared" si="1019"/>
        <v/>
      </c>
      <c r="U6540" t="str">
        <f t="shared" si="1020"/>
        <v/>
      </c>
      <c r="V6540" t="str">
        <f t="shared" si="1021"/>
        <v/>
      </c>
      <c r="W6540" t="str">
        <f t="shared" si="1022"/>
        <v/>
      </c>
      <c r="X6540">
        <f t="shared" si="1012"/>
        <v>0</v>
      </c>
      <c r="Z6540" t="str">
        <f t="shared" si="1023"/>
        <v/>
      </c>
      <c r="AA6540">
        <f t="shared" si="1013"/>
        <v>0</v>
      </c>
    </row>
    <row r="6541" spans="1:27" ht="21" customHeight="1" x14ac:dyDescent="0.95">
      <c r="A6541" s="56"/>
      <c r="B6541" s="57"/>
      <c r="C6541" s="57"/>
      <c r="D6541" s="57"/>
      <c r="E6541" s="56"/>
      <c r="F6541" s="57"/>
      <c r="G6541" s="57"/>
      <c r="H6541" s="56"/>
      <c r="I6541" s="56"/>
      <c r="J6541" s="58"/>
      <c r="K6541" s="58"/>
      <c r="L6541" s="13" t="str">
        <f t="shared" si="1014"/>
        <v/>
      </c>
      <c r="M6541" s="13" t="str">
        <f t="shared" si="1015"/>
        <v/>
      </c>
      <c r="Q6541" t="str">
        <f t="shared" si="1016"/>
        <v/>
      </c>
      <c r="R6541" t="str">
        <f t="shared" si="1017"/>
        <v/>
      </c>
      <c r="S6541" t="str">
        <f t="shared" si="1018"/>
        <v/>
      </c>
      <c r="T6541" t="str">
        <f t="shared" si="1019"/>
        <v/>
      </c>
      <c r="U6541" t="str">
        <f t="shared" si="1020"/>
        <v/>
      </c>
      <c r="V6541" t="str">
        <f t="shared" si="1021"/>
        <v/>
      </c>
      <c r="W6541" t="str">
        <f t="shared" si="1022"/>
        <v/>
      </c>
      <c r="X6541">
        <f t="shared" si="1012"/>
        <v>0</v>
      </c>
      <c r="Z6541" t="str">
        <f t="shared" si="1023"/>
        <v/>
      </c>
      <c r="AA6541">
        <f t="shared" si="1013"/>
        <v>0</v>
      </c>
    </row>
    <row r="6542" spans="1:27" ht="21" customHeight="1" x14ac:dyDescent="0.95">
      <c r="A6542" s="56"/>
      <c r="B6542" s="57"/>
      <c r="C6542" s="57"/>
      <c r="D6542" s="57"/>
      <c r="E6542" s="56"/>
      <c r="F6542" s="57"/>
      <c r="G6542" s="57"/>
      <c r="H6542" s="56"/>
      <c r="I6542" s="56"/>
      <c r="J6542" s="58"/>
      <c r="K6542" s="58"/>
      <c r="L6542" s="13" t="str">
        <f t="shared" si="1014"/>
        <v/>
      </c>
      <c r="M6542" s="13" t="str">
        <f t="shared" si="1015"/>
        <v/>
      </c>
      <c r="Q6542" t="str">
        <f t="shared" si="1016"/>
        <v/>
      </c>
      <c r="R6542" t="str">
        <f t="shared" si="1017"/>
        <v/>
      </c>
      <c r="S6542" t="str">
        <f t="shared" si="1018"/>
        <v/>
      </c>
      <c r="T6542" t="str">
        <f t="shared" si="1019"/>
        <v/>
      </c>
      <c r="U6542" t="str">
        <f t="shared" si="1020"/>
        <v/>
      </c>
      <c r="V6542" t="str">
        <f t="shared" si="1021"/>
        <v/>
      </c>
      <c r="W6542" t="str">
        <f t="shared" si="1022"/>
        <v/>
      </c>
      <c r="X6542">
        <f t="shared" si="1012"/>
        <v>0</v>
      </c>
      <c r="Z6542" t="str">
        <f t="shared" si="1023"/>
        <v/>
      </c>
      <c r="AA6542">
        <f t="shared" si="1013"/>
        <v>0</v>
      </c>
    </row>
    <row r="6543" spans="1:27" ht="21" customHeight="1" x14ac:dyDescent="0.95">
      <c r="A6543" s="56"/>
      <c r="B6543" s="57"/>
      <c r="C6543" s="57"/>
      <c r="D6543" s="57"/>
      <c r="E6543" s="56"/>
      <c r="F6543" s="57"/>
      <c r="G6543" s="57"/>
      <c r="H6543" s="56"/>
      <c r="I6543" s="56"/>
      <c r="J6543" s="58"/>
      <c r="K6543" s="58"/>
      <c r="L6543" s="13" t="str">
        <f t="shared" si="1014"/>
        <v/>
      </c>
      <c r="M6543" s="13" t="str">
        <f t="shared" si="1015"/>
        <v/>
      </c>
      <c r="Q6543" t="str">
        <f t="shared" si="1016"/>
        <v/>
      </c>
      <c r="R6543" t="str">
        <f t="shared" si="1017"/>
        <v/>
      </c>
      <c r="S6543" t="str">
        <f t="shared" si="1018"/>
        <v/>
      </c>
      <c r="T6543" t="str">
        <f t="shared" si="1019"/>
        <v/>
      </c>
      <c r="U6543" t="str">
        <f t="shared" si="1020"/>
        <v/>
      </c>
      <c r="V6543" t="str">
        <f t="shared" si="1021"/>
        <v/>
      </c>
      <c r="W6543" t="str">
        <f t="shared" si="1022"/>
        <v/>
      </c>
      <c r="X6543">
        <f t="shared" si="1012"/>
        <v>0</v>
      </c>
      <c r="Z6543" t="str">
        <f t="shared" si="1023"/>
        <v/>
      </c>
      <c r="AA6543">
        <f t="shared" si="1013"/>
        <v>0</v>
      </c>
    </row>
    <row r="6544" spans="1:27" ht="21" customHeight="1" x14ac:dyDescent="0.95">
      <c r="A6544" s="56"/>
      <c r="B6544" s="57"/>
      <c r="C6544" s="57"/>
      <c r="D6544" s="57"/>
      <c r="E6544" s="56"/>
      <c r="F6544" s="57"/>
      <c r="G6544" s="57"/>
      <c r="H6544" s="56"/>
      <c r="I6544" s="56"/>
      <c r="J6544" s="58"/>
      <c r="K6544" s="58"/>
      <c r="L6544" s="13" t="str">
        <f t="shared" si="1014"/>
        <v/>
      </c>
      <c r="M6544" s="13" t="str">
        <f t="shared" si="1015"/>
        <v/>
      </c>
      <c r="Q6544" t="str">
        <f t="shared" si="1016"/>
        <v/>
      </c>
      <c r="R6544" t="str">
        <f t="shared" si="1017"/>
        <v/>
      </c>
      <c r="S6544" t="str">
        <f t="shared" si="1018"/>
        <v/>
      </c>
      <c r="T6544" t="str">
        <f t="shared" si="1019"/>
        <v/>
      </c>
      <c r="U6544" t="str">
        <f t="shared" si="1020"/>
        <v/>
      </c>
      <c r="V6544" t="str">
        <f t="shared" si="1021"/>
        <v/>
      </c>
      <c r="W6544" t="str">
        <f t="shared" si="1022"/>
        <v/>
      </c>
      <c r="X6544">
        <f t="shared" si="1012"/>
        <v>0</v>
      </c>
      <c r="Z6544" t="str">
        <f t="shared" si="1023"/>
        <v/>
      </c>
      <c r="AA6544">
        <f t="shared" si="1013"/>
        <v>0</v>
      </c>
    </row>
    <row r="6545" spans="1:27" ht="21" customHeight="1" x14ac:dyDescent="0.95">
      <c r="A6545" s="56"/>
      <c r="B6545" s="57"/>
      <c r="C6545" s="57"/>
      <c r="D6545" s="57"/>
      <c r="E6545" s="56"/>
      <c r="F6545" s="57"/>
      <c r="G6545" s="57"/>
      <c r="H6545" s="56"/>
      <c r="I6545" s="56"/>
      <c r="J6545" s="58"/>
      <c r="K6545" s="58"/>
      <c r="L6545" s="13" t="str">
        <f t="shared" si="1014"/>
        <v/>
      </c>
      <c r="M6545" s="13" t="str">
        <f t="shared" si="1015"/>
        <v/>
      </c>
      <c r="Q6545" t="str">
        <f t="shared" si="1016"/>
        <v/>
      </c>
      <c r="R6545" t="str">
        <f t="shared" si="1017"/>
        <v/>
      </c>
      <c r="S6545" t="str">
        <f t="shared" si="1018"/>
        <v/>
      </c>
      <c r="T6545" t="str">
        <f t="shared" si="1019"/>
        <v/>
      </c>
      <c r="U6545" t="str">
        <f t="shared" si="1020"/>
        <v/>
      </c>
      <c r="V6545" t="str">
        <f t="shared" si="1021"/>
        <v/>
      </c>
      <c r="W6545" t="str">
        <f t="shared" si="1022"/>
        <v/>
      </c>
      <c r="X6545">
        <f t="shared" si="1012"/>
        <v>0</v>
      </c>
      <c r="Z6545" t="str">
        <f t="shared" si="1023"/>
        <v/>
      </c>
      <c r="AA6545">
        <f t="shared" si="1013"/>
        <v>0</v>
      </c>
    </row>
    <row r="6546" spans="1:27" ht="21" customHeight="1" x14ac:dyDescent="0.95">
      <c r="A6546" s="56"/>
      <c r="B6546" s="57"/>
      <c r="C6546" s="57"/>
      <c r="D6546" s="57"/>
      <c r="E6546" s="56"/>
      <c r="F6546" s="57"/>
      <c r="G6546" s="57"/>
      <c r="H6546" s="56"/>
      <c r="I6546" s="56"/>
      <c r="J6546" s="58"/>
      <c r="K6546" s="58"/>
      <c r="L6546" s="13" t="str">
        <f t="shared" si="1014"/>
        <v/>
      </c>
      <c r="M6546" s="13" t="str">
        <f t="shared" si="1015"/>
        <v/>
      </c>
      <c r="Q6546" t="str">
        <f t="shared" si="1016"/>
        <v/>
      </c>
      <c r="R6546" t="str">
        <f t="shared" si="1017"/>
        <v/>
      </c>
      <c r="S6546" t="str">
        <f t="shared" si="1018"/>
        <v/>
      </c>
      <c r="T6546" t="str">
        <f t="shared" si="1019"/>
        <v/>
      </c>
      <c r="U6546" t="str">
        <f t="shared" si="1020"/>
        <v/>
      </c>
      <c r="V6546" t="str">
        <f t="shared" si="1021"/>
        <v/>
      </c>
      <c r="W6546" t="str">
        <f t="shared" si="1022"/>
        <v/>
      </c>
      <c r="X6546">
        <f t="shared" si="1012"/>
        <v>0</v>
      </c>
      <c r="Z6546" t="str">
        <f t="shared" si="1023"/>
        <v/>
      </c>
      <c r="AA6546">
        <f t="shared" si="1013"/>
        <v>0</v>
      </c>
    </row>
    <row r="6547" spans="1:27" ht="21" customHeight="1" x14ac:dyDescent="0.95">
      <c r="A6547" s="56"/>
      <c r="B6547" s="57"/>
      <c r="C6547" s="57"/>
      <c r="D6547" s="57"/>
      <c r="E6547" s="56"/>
      <c r="F6547" s="57"/>
      <c r="G6547" s="57"/>
      <c r="H6547" s="56"/>
      <c r="I6547" s="56"/>
      <c r="J6547" s="58"/>
      <c r="K6547" s="58"/>
      <c r="L6547" s="13" t="str">
        <f t="shared" si="1014"/>
        <v/>
      </c>
      <c r="M6547" s="13" t="str">
        <f t="shared" si="1015"/>
        <v/>
      </c>
      <c r="Q6547" t="str">
        <f t="shared" si="1016"/>
        <v/>
      </c>
      <c r="R6547" t="str">
        <f t="shared" si="1017"/>
        <v/>
      </c>
      <c r="S6547" t="str">
        <f t="shared" si="1018"/>
        <v/>
      </c>
      <c r="T6547" t="str">
        <f t="shared" si="1019"/>
        <v/>
      </c>
      <c r="U6547" t="str">
        <f t="shared" si="1020"/>
        <v/>
      </c>
      <c r="V6547" t="str">
        <f t="shared" si="1021"/>
        <v/>
      </c>
      <c r="W6547" t="str">
        <f t="shared" si="1022"/>
        <v/>
      </c>
      <c r="X6547">
        <f t="shared" si="1012"/>
        <v>0</v>
      </c>
      <c r="Z6547" t="str">
        <f t="shared" si="1023"/>
        <v/>
      </c>
      <c r="AA6547">
        <f t="shared" si="1013"/>
        <v>0</v>
      </c>
    </row>
    <row r="6548" spans="1:27" ht="21" customHeight="1" x14ac:dyDescent="0.95">
      <c r="A6548" s="56"/>
      <c r="B6548" s="57"/>
      <c r="C6548" s="57"/>
      <c r="D6548" s="57"/>
      <c r="E6548" s="56"/>
      <c r="F6548" s="57"/>
      <c r="G6548" s="57"/>
      <c r="H6548" s="56"/>
      <c r="I6548" s="56"/>
      <c r="J6548" s="58"/>
      <c r="K6548" s="58"/>
      <c r="L6548" s="13" t="str">
        <f t="shared" si="1014"/>
        <v/>
      </c>
      <c r="M6548" s="13" t="str">
        <f t="shared" si="1015"/>
        <v/>
      </c>
      <c r="Q6548" t="str">
        <f t="shared" si="1016"/>
        <v/>
      </c>
      <c r="R6548" t="str">
        <f t="shared" si="1017"/>
        <v/>
      </c>
      <c r="S6548" t="str">
        <f t="shared" si="1018"/>
        <v/>
      </c>
      <c r="T6548" t="str">
        <f t="shared" si="1019"/>
        <v/>
      </c>
      <c r="U6548" t="str">
        <f t="shared" si="1020"/>
        <v/>
      </c>
      <c r="V6548" t="str">
        <f t="shared" si="1021"/>
        <v/>
      </c>
      <c r="W6548" t="str">
        <f t="shared" si="1022"/>
        <v/>
      </c>
      <c r="X6548">
        <f t="shared" si="1012"/>
        <v>0</v>
      </c>
      <c r="Z6548" t="str">
        <f t="shared" si="1023"/>
        <v/>
      </c>
      <c r="AA6548">
        <f t="shared" si="1013"/>
        <v>0</v>
      </c>
    </row>
    <row r="6549" spans="1:27" ht="21" customHeight="1" x14ac:dyDescent="0.95">
      <c r="A6549" s="56"/>
      <c r="B6549" s="57"/>
      <c r="C6549" s="57"/>
      <c r="D6549" s="57"/>
      <c r="E6549" s="56"/>
      <c r="F6549" s="57"/>
      <c r="G6549" s="57"/>
      <c r="H6549" s="56"/>
      <c r="I6549" s="56"/>
      <c r="J6549" s="58"/>
      <c r="K6549" s="58"/>
      <c r="L6549" s="13" t="str">
        <f t="shared" si="1014"/>
        <v/>
      </c>
      <c r="M6549" s="13" t="str">
        <f t="shared" si="1015"/>
        <v/>
      </c>
      <c r="Q6549" t="str">
        <f t="shared" si="1016"/>
        <v/>
      </c>
      <c r="R6549" t="str">
        <f t="shared" si="1017"/>
        <v/>
      </c>
      <c r="S6549" t="str">
        <f t="shared" si="1018"/>
        <v/>
      </c>
      <c r="T6549" t="str">
        <f t="shared" si="1019"/>
        <v/>
      </c>
      <c r="U6549" t="str">
        <f t="shared" si="1020"/>
        <v/>
      </c>
      <c r="V6549" t="str">
        <f t="shared" si="1021"/>
        <v/>
      </c>
      <c r="W6549" t="str">
        <f t="shared" si="1022"/>
        <v/>
      </c>
      <c r="X6549">
        <f t="shared" si="1012"/>
        <v>0</v>
      </c>
      <c r="Z6549" t="str">
        <f t="shared" si="1023"/>
        <v/>
      </c>
      <c r="AA6549">
        <f t="shared" si="1013"/>
        <v>0</v>
      </c>
    </row>
    <row r="6550" spans="1:27" ht="21" customHeight="1" x14ac:dyDescent="0.95">
      <c r="A6550" s="56"/>
      <c r="B6550" s="57"/>
      <c r="C6550" s="57"/>
      <c r="D6550" s="57"/>
      <c r="E6550" s="56"/>
      <c r="F6550" s="57"/>
      <c r="G6550" s="57"/>
      <c r="H6550" s="56"/>
      <c r="I6550" s="56"/>
      <c r="J6550" s="58"/>
      <c r="K6550" s="58"/>
      <c r="L6550" s="13" t="str">
        <f t="shared" si="1014"/>
        <v/>
      </c>
      <c r="M6550" s="13" t="str">
        <f t="shared" si="1015"/>
        <v/>
      </c>
      <c r="Q6550" t="str">
        <f t="shared" si="1016"/>
        <v/>
      </c>
      <c r="R6550" t="str">
        <f t="shared" si="1017"/>
        <v/>
      </c>
      <c r="S6550" t="str">
        <f t="shared" si="1018"/>
        <v/>
      </c>
      <c r="T6550" t="str">
        <f t="shared" si="1019"/>
        <v/>
      </c>
      <c r="U6550" t="str">
        <f t="shared" si="1020"/>
        <v/>
      </c>
      <c r="V6550" t="str">
        <f t="shared" si="1021"/>
        <v/>
      </c>
      <c r="W6550" t="str">
        <f t="shared" si="1022"/>
        <v/>
      </c>
      <c r="X6550">
        <f t="shared" si="1012"/>
        <v>0</v>
      </c>
      <c r="Z6550" t="str">
        <f t="shared" si="1023"/>
        <v/>
      </c>
      <c r="AA6550">
        <f t="shared" si="1013"/>
        <v>0</v>
      </c>
    </row>
    <row r="6551" spans="1:27" ht="21" customHeight="1" x14ac:dyDescent="0.95">
      <c r="A6551" s="56"/>
      <c r="B6551" s="57"/>
      <c r="C6551" s="57"/>
      <c r="D6551" s="57"/>
      <c r="E6551" s="56"/>
      <c r="F6551" s="57"/>
      <c r="G6551" s="57"/>
      <c r="H6551" s="56"/>
      <c r="I6551" s="56"/>
      <c r="J6551" s="58"/>
      <c r="K6551" s="58"/>
      <c r="L6551" s="13" t="str">
        <f t="shared" si="1014"/>
        <v/>
      </c>
      <c r="M6551" s="13" t="str">
        <f t="shared" si="1015"/>
        <v/>
      </c>
      <c r="Q6551" t="str">
        <f t="shared" si="1016"/>
        <v/>
      </c>
      <c r="R6551" t="str">
        <f t="shared" si="1017"/>
        <v/>
      </c>
      <c r="S6551" t="str">
        <f t="shared" si="1018"/>
        <v/>
      </c>
      <c r="T6551" t="str">
        <f t="shared" si="1019"/>
        <v/>
      </c>
      <c r="U6551" t="str">
        <f t="shared" si="1020"/>
        <v/>
      </c>
      <c r="V6551" t="str">
        <f t="shared" si="1021"/>
        <v/>
      </c>
      <c r="W6551" t="str">
        <f t="shared" si="1022"/>
        <v/>
      </c>
      <c r="X6551">
        <f t="shared" si="1012"/>
        <v>0</v>
      </c>
      <c r="Z6551" t="str">
        <f t="shared" si="1023"/>
        <v/>
      </c>
      <c r="AA6551">
        <f t="shared" si="1013"/>
        <v>0</v>
      </c>
    </row>
    <row r="6552" spans="1:27" ht="21" customHeight="1" x14ac:dyDescent="0.95">
      <c r="A6552" s="56"/>
      <c r="B6552" s="57"/>
      <c r="C6552" s="57"/>
      <c r="D6552" s="57"/>
      <c r="E6552" s="56"/>
      <c r="F6552" s="57"/>
      <c r="G6552" s="57"/>
      <c r="H6552" s="56"/>
      <c r="I6552" s="56"/>
      <c r="J6552" s="58"/>
      <c r="K6552" s="58"/>
      <c r="L6552" s="13" t="str">
        <f t="shared" si="1014"/>
        <v/>
      </c>
      <c r="M6552" s="13" t="str">
        <f t="shared" si="1015"/>
        <v/>
      </c>
      <c r="Q6552" t="str">
        <f t="shared" si="1016"/>
        <v/>
      </c>
      <c r="R6552" t="str">
        <f t="shared" si="1017"/>
        <v/>
      </c>
      <c r="S6552" t="str">
        <f t="shared" si="1018"/>
        <v/>
      </c>
      <c r="T6552" t="str">
        <f t="shared" si="1019"/>
        <v/>
      </c>
      <c r="U6552" t="str">
        <f t="shared" si="1020"/>
        <v/>
      </c>
      <c r="V6552" t="str">
        <f t="shared" si="1021"/>
        <v/>
      </c>
      <c r="W6552" t="str">
        <f t="shared" si="1022"/>
        <v/>
      </c>
      <c r="X6552">
        <f t="shared" si="1012"/>
        <v>0</v>
      </c>
      <c r="Z6552" t="str">
        <f t="shared" si="1023"/>
        <v/>
      </c>
      <c r="AA6552">
        <f t="shared" si="1013"/>
        <v>0</v>
      </c>
    </row>
    <row r="6553" spans="1:27" ht="21" customHeight="1" x14ac:dyDescent="0.95">
      <c r="A6553" s="56"/>
      <c r="B6553" s="57"/>
      <c r="C6553" s="57"/>
      <c r="D6553" s="57"/>
      <c r="E6553" s="56"/>
      <c r="F6553" s="57"/>
      <c r="G6553" s="57"/>
      <c r="H6553" s="56"/>
      <c r="I6553" s="56"/>
      <c r="J6553" s="58"/>
      <c r="K6553" s="58"/>
      <c r="L6553" s="13" t="str">
        <f t="shared" si="1014"/>
        <v/>
      </c>
      <c r="M6553" s="13" t="str">
        <f t="shared" si="1015"/>
        <v/>
      </c>
      <c r="Q6553" t="str">
        <f t="shared" si="1016"/>
        <v/>
      </c>
      <c r="R6553" t="str">
        <f t="shared" si="1017"/>
        <v/>
      </c>
      <c r="S6553" t="str">
        <f t="shared" si="1018"/>
        <v/>
      </c>
      <c r="T6553" t="str">
        <f t="shared" si="1019"/>
        <v/>
      </c>
      <c r="U6553" t="str">
        <f t="shared" si="1020"/>
        <v/>
      </c>
      <c r="V6553" t="str">
        <f t="shared" si="1021"/>
        <v/>
      </c>
      <c r="W6553" t="str">
        <f t="shared" si="1022"/>
        <v/>
      </c>
      <c r="X6553">
        <f t="shared" si="1012"/>
        <v>0</v>
      </c>
      <c r="Z6553" t="str">
        <f t="shared" si="1023"/>
        <v/>
      </c>
      <c r="AA6553">
        <f t="shared" si="1013"/>
        <v>0</v>
      </c>
    </row>
    <row r="6554" spans="1:27" ht="21" customHeight="1" x14ac:dyDescent="0.95">
      <c r="A6554" s="56"/>
      <c r="B6554" s="57"/>
      <c r="C6554" s="57"/>
      <c r="D6554" s="57"/>
      <c r="E6554" s="56"/>
      <c r="F6554" s="57"/>
      <c r="G6554" s="57"/>
      <c r="H6554" s="56"/>
      <c r="I6554" s="56"/>
      <c r="J6554" s="58"/>
      <c r="K6554" s="58"/>
      <c r="L6554" s="13" t="str">
        <f t="shared" si="1014"/>
        <v/>
      </c>
      <c r="M6554" s="13" t="str">
        <f t="shared" si="1015"/>
        <v/>
      </c>
      <c r="Q6554" t="str">
        <f t="shared" si="1016"/>
        <v/>
      </c>
      <c r="R6554" t="str">
        <f t="shared" si="1017"/>
        <v/>
      </c>
      <c r="S6554" t="str">
        <f t="shared" si="1018"/>
        <v/>
      </c>
      <c r="T6554" t="str">
        <f t="shared" si="1019"/>
        <v/>
      </c>
      <c r="U6554" t="str">
        <f t="shared" si="1020"/>
        <v/>
      </c>
      <c r="V6554" t="str">
        <f t="shared" si="1021"/>
        <v/>
      </c>
      <c r="W6554" t="str">
        <f t="shared" si="1022"/>
        <v/>
      </c>
      <c r="X6554">
        <f t="shared" si="1012"/>
        <v>0</v>
      </c>
      <c r="Z6554" t="str">
        <f t="shared" si="1023"/>
        <v/>
      </c>
      <c r="AA6554">
        <f t="shared" si="1013"/>
        <v>0</v>
      </c>
    </row>
    <row r="6555" spans="1:27" ht="21" customHeight="1" x14ac:dyDescent="0.95">
      <c r="A6555" s="56"/>
      <c r="B6555" s="57"/>
      <c r="C6555" s="57"/>
      <c r="D6555" s="57"/>
      <c r="E6555" s="56"/>
      <c r="F6555" s="57"/>
      <c r="G6555" s="57"/>
      <c r="H6555" s="56"/>
      <c r="I6555" s="56"/>
      <c r="J6555" s="58"/>
      <c r="K6555" s="58"/>
      <c r="L6555" s="13" t="str">
        <f t="shared" si="1014"/>
        <v/>
      </c>
      <c r="M6555" s="13" t="str">
        <f t="shared" si="1015"/>
        <v/>
      </c>
      <c r="Q6555" t="str">
        <f t="shared" si="1016"/>
        <v/>
      </c>
      <c r="R6555" t="str">
        <f t="shared" si="1017"/>
        <v/>
      </c>
      <c r="S6555" t="str">
        <f t="shared" si="1018"/>
        <v/>
      </c>
      <c r="T6555" t="str">
        <f t="shared" si="1019"/>
        <v/>
      </c>
      <c r="U6555" t="str">
        <f t="shared" si="1020"/>
        <v/>
      </c>
      <c r="V6555" t="str">
        <f t="shared" si="1021"/>
        <v/>
      </c>
      <c r="W6555" t="str">
        <f t="shared" si="1022"/>
        <v/>
      </c>
      <c r="X6555">
        <f t="shared" si="1012"/>
        <v>0</v>
      </c>
      <c r="Z6555" t="str">
        <f t="shared" si="1023"/>
        <v/>
      </c>
      <c r="AA6555">
        <f t="shared" si="1013"/>
        <v>0</v>
      </c>
    </row>
    <row r="6556" spans="1:27" ht="21" customHeight="1" x14ac:dyDescent="0.95">
      <c r="A6556" s="56"/>
      <c r="B6556" s="57"/>
      <c r="C6556" s="57"/>
      <c r="D6556" s="57"/>
      <c r="E6556" s="56"/>
      <c r="F6556" s="57"/>
      <c r="G6556" s="57"/>
      <c r="H6556" s="56"/>
      <c r="I6556" s="56"/>
      <c r="J6556" s="58"/>
      <c r="K6556" s="58"/>
      <c r="L6556" s="13" t="str">
        <f t="shared" si="1014"/>
        <v/>
      </c>
      <c r="M6556" s="13" t="str">
        <f t="shared" si="1015"/>
        <v/>
      </c>
      <c r="Q6556" t="str">
        <f t="shared" si="1016"/>
        <v/>
      </c>
      <c r="R6556" t="str">
        <f t="shared" si="1017"/>
        <v/>
      </c>
      <c r="S6556" t="str">
        <f t="shared" si="1018"/>
        <v/>
      </c>
      <c r="T6556" t="str">
        <f t="shared" si="1019"/>
        <v/>
      </c>
      <c r="U6556" t="str">
        <f t="shared" si="1020"/>
        <v/>
      </c>
      <c r="V6556" t="str">
        <f t="shared" si="1021"/>
        <v/>
      </c>
      <c r="W6556" t="str">
        <f t="shared" si="1022"/>
        <v/>
      </c>
      <c r="X6556">
        <f t="shared" si="1012"/>
        <v>0</v>
      </c>
      <c r="Z6556" t="str">
        <f t="shared" si="1023"/>
        <v/>
      </c>
      <c r="AA6556">
        <f t="shared" si="1013"/>
        <v>0</v>
      </c>
    </row>
    <row r="6557" spans="1:27" ht="21" customHeight="1" x14ac:dyDescent="0.95">
      <c r="A6557" s="56"/>
      <c r="B6557" s="57"/>
      <c r="C6557" s="57"/>
      <c r="D6557" s="57"/>
      <c r="E6557" s="56"/>
      <c r="F6557" s="57"/>
      <c r="G6557" s="57"/>
      <c r="H6557" s="56"/>
      <c r="I6557" s="56"/>
      <c r="J6557" s="58"/>
      <c r="K6557" s="58"/>
      <c r="L6557" s="13" t="str">
        <f t="shared" si="1014"/>
        <v/>
      </c>
      <c r="M6557" s="13" t="str">
        <f t="shared" si="1015"/>
        <v/>
      </c>
      <c r="Q6557" t="str">
        <f t="shared" si="1016"/>
        <v/>
      </c>
      <c r="R6557" t="str">
        <f t="shared" si="1017"/>
        <v/>
      </c>
      <c r="S6557" t="str">
        <f t="shared" si="1018"/>
        <v/>
      </c>
      <c r="T6557" t="str">
        <f t="shared" si="1019"/>
        <v/>
      </c>
      <c r="U6557" t="str">
        <f t="shared" si="1020"/>
        <v/>
      </c>
      <c r="V6557" t="str">
        <f t="shared" si="1021"/>
        <v/>
      </c>
      <c r="W6557" t="str">
        <f t="shared" si="1022"/>
        <v/>
      </c>
      <c r="X6557">
        <f t="shared" si="1012"/>
        <v>0</v>
      </c>
      <c r="Z6557" t="str">
        <f t="shared" si="1023"/>
        <v/>
      </c>
      <c r="AA6557">
        <f t="shared" si="1013"/>
        <v>0</v>
      </c>
    </row>
    <row r="6558" spans="1:27" ht="21" customHeight="1" x14ac:dyDescent="0.95">
      <c r="A6558" s="56"/>
      <c r="B6558" s="57"/>
      <c r="C6558" s="57"/>
      <c r="D6558" s="57"/>
      <c r="E6558" s="56"/>
      <c r="F6558" s="57"/>
      <c r="G6558" s="57"/>
      <c r="H6558" s="56"/>
      <c r="I6558" s="56"/>
      <c r="J6558" s="58"/>
      <c r="K6558" s="58"/>
      <c r="L6558" s="13" t="str">
        <f t="shared" si="1014"/>
        <v/>
      </c>
      <c r="M6558" s="13" t="str">
        <f t="shared" si="1015"/>
        <v/>
      </c>
      <c r="Q6558" t="str">
        <f t="shared" si="1016"/>
        <v/>
      </c>
      <c r="R6558" t="str">
        <f t="shared" si="1017"/>
        <v/>
      </c>
      <c r="S6558" t="str">
        <f t="shared" si="1018"/>
        <v/>
      </c>
      <c r="T6558" t="str">
        <f t="shared" si="1019"/>
        <v/>
      </c>
      <c r="U6558" t="str">
        <f t="shared" si="1020"/>
        <v/>
      </c>
      <c r="V6558" t="str">
        <f t="shared" si="1021"/>
        <v/>
      </c>
      <c r="W6558" t="str">
        <f t="shared" si="1022"/>
        <v/>
      </c>
      <c r="X6558">
        <f t="shared" si="1012"/>
        <v>0</v>
      </c>
      <c r="Z6558" t="str">
        <f t="shared" si="1023"/>
        <v/>
      </c>
      <c r="AA6558">
        <f t="shared" si="1013"/>
        <v>0</v>
      </c>
    </row>
    <row r="6559" spans="1:27" ht="21" customHeight="1" x14ac:dyDescent="0.95">
      <c r="A6559" s="56"/>
      <c r="B6559" s="57"/>
      <c r="C6559" s="57"/>
      <c r="D6559" s="57"/>
      <c r="E6559" s="56"/>
      <c r="F6559" s="57"/>
      <c r="G6559" s="57"/>
      <c r="H6559" s="56"/>
      <c r="I6559" s="56"/>
      <c r="J6559" s="58"/>
      <c r="K6559" s="58"/>
      <c r="L6559" s="13" t="str">
        <f t="shared" si="1014"/>
        <v/>
      </c>
      <c r="M6559" s="13" t="str">
        <f t="shared" si="1015"/>
        <v/>
      </c>
      <c r="Q6559" t="str">
        <f t="shared" si="1016"/>
        <v/>
      </c>
      <c r="R6559" t="str">
        <f t="shared" si="1017"/>
        <v/>
      </c>
      <c r="S6559" t="str">
        <f t="shared" si="1018"/>
        <v/>
      </c>
      <c r="T6559" t="str">
        <f t="shared" si="1019"/>
        <v/>
      </c>
      <c r="U6559" t="str">
        <f t="shared" si="1020"/>
        <v/>
      </c>
      <c r="V6559" t="str">
        <f t="shared" si="1021"/>
        <v/>
      </c>
      <c r="W6559" t="str">
        <f t="shared" si="1022"/>
        <v/>
      </c>
      <c r="X6559">
        <f t="shared" si="1012"/>
        <v>0</v>
      </c>
      <c r="Z6559" t="str">
        <f t="shared" si="1023"/>
        <v/>
      </c>
      <c r="AA6559">
        <f t="shared" si="1013"/>
        <v>0</v>
      </c>
    </row>
    <row r="6560" spans="1:27" ht="21" customHeight="1" x14ac:dyDescent="0.95">
      <c r="A6560" s="56"/>
      <c r="B6560" s="57"/>
      <c r="C6560" s="57"/>
      <c r="D6560" s="57"/>
      <c r="E6560" s="56"/>
      <c r="F6560" s="57"/>
      <c r="G6560" s="57"/>
      <c r="H6560" s="56"/>
      <c r="I6560" s="56"/>
      <c r="J6560" s="58"/>
      <c r="K6560" s="58"/>
      <c r="L6560" s="13" t="str">
        <f t="shared" si="1014"/>
        <v/>
      </c>
      <c r="M6560" s="13" t="str">
        <f t="shared" si="1015"/>
        <v/>
      </c>
      <c r="Q6560" t="str">
        <f t="shared" si="1016"/>
        <v/>
      </c>
      <c r="R6560" t="str">
        <f t="shared" si="1017"/>
        <v/>
      </c>
      <c r="S6560" t="str">
        <f t="shared" si="1018"/>
        <v/>
      </c>
      <c r="T6560" t="str">
        <f t="shared" si="1019"/>
        <v/>
      </c>
      <c r="U6560" t="str">
        <f t="shared" si="1020"/>
        <v/>
      </c>
      <c r="V6560" t="str">
        <f t="shared" si="1021"/>
        <v/>
      </c>
      <c r="W6560" t="str">
        <f t="shared" si="1022"/>
        <v/>
      </c>
      <c r="X6560">
        <f t="shared" si="1012"/>
        <v>0</v>
      </c>
      <c r="Z6560" t="str">
        <f t="shared" si="1023"/>
        <v/>
      </c>
      <c r="AA6560">
        <f t="shared" si="1013"/>
        <v>0</v>
      </c>
    </row>
    <row r="6561" spans="1:27" ht="21" customHeight="1" x14ac:dyDescent="0.95">
      <c r="A6561" s="56"/>
      <c r="B6561" s="57"/>
      <c r="C6561" s="57"/>
      <c r="D6561" s="57"/>
      <c r="E6561" s="56"/>
      <c r="F6561" s="57"/>
      <c r="G6561" s="57"/>
      <c r="H6561" s="56"/>
      <c r="I6561" s="56"/>
      <c r="J6561" s="58"/>
      <c r="K6561" s="58"/>
      <c r="L6561" s="13" t="str">
        <f t="shared" si="1014"/>
        <v/>
      </c>
      <c r="M6561" s="13" t="str">
        <f t="shared" si="1015"/>
        <v/>
      </c>
      <c r="Q6561" t="str">
        <f t="shared" si="1016"/>
        <v/>
      </c>
      <c r="R6561" t="str">
        <f t="shared" si="1017"/>
        <v/>
      </c>
      <c r="S6561" t="str">
        <f t="shared" si="1018"/>
        <v/>
      </c>
      <c r="T6561" t="str">
        <f t="shared" si="1019"/>
        <v/>
      </c>
      <c r="U6561" t="str">
        <f t="shared" si="1020"/>
        <v/>
      </c>
      <c r="V6561" t="str">
        <f t="shared" si="1021"/>
        <v/>
      </c>
      <c r="W6561" t="str">
        <f t="shared" si="1022"/>
        <v/>
      </c>
      <c r="X6561">
        <f t="shared" si="1012"/>
        <v>0</v>
      </c>
      <c r="Z6561" t="str">
        <f t="shared" si="1023"/>
        <v/>
      </c>
      <c r="AA6561">
        <f t="shared" si="1013"/>
        <v>0</v>
      </c>
    </row>
    <row r="6562" spans="1:27" ht="21" customHeight="1" x14ac:dyDescent="0.95">
      <c r="A6562" s="56"/>
      <c r="B6562" s="57"/>
      <c r="C6562" s="57"/>
      <c r="D6562" s="57"/>
      <c r="E6562" s="56"/>
      <c r="F6562" s="57"/>
      <c r="G6562" s="57"/>
      <c r="H6562" s="56"/>
      <c r="I6562" s="56"/>
      <c r="J6562" s="58"/>
      <c r="K6562" s="58"/>
      <c r="L6562" s="13" t="str">
        <f t="shared" si="1014"/>
        <v/>
      </c>
      <c r="M6562" s="13" t="str">
        <f t="shared" si="1015"/>
        <v/>
      </c>
      <c r="Q6562" t="str">
        <f t="shared" si="1016"/>
        <v/>
      </c>
      <c r="R6562" t="str">
        <f t="shared" si="1017"/>
        <v/>
      </c>
      <c r="S6562" t="str">
        <f t="shared" si="1018"/>
        <v/>
      </c>
      <c r="T6562" t="str">
        <f t="shared" si="1019"/>
        <v/>
      </c>
      <c r="U6562" t="str">
        <f t="shared" si="1020"/>
        <v/>
      </c>
      <c r="V6562" t="str">
        <f t="shared" si="1021"/>
        <v/>
      </c>
      <c r="W6562" t="str">
        <f t="shared" si="1022"/>
        <v/>
      </c>
      <c r="X6562">
        <f t="shared" si="1012"/>
        <v>0</v>
      </c>
      <c r="Z6562" t="str">
        <f t="shared" si="1023"/>
        <v/>
      </c>
      <c r="AA6562">
        <f t="shared" si="1013"/>
        <v>0</v>
      </c>
    </row>
    <row r="6563" spans="1:27" ht="21" customHeight="1" x14ac:dyDescent="0.95">
      <c r="A6563" s="56"/>
      <c r="B6563" s="57"/>
      <c r="C6563" s="57"/>
      <c r="D6563" s="57"/>
      <c r="E6563" s="56"/>
      <c r="F6563" s="57"/>
      <c r="G6563" s="57"/>
      <c r="H6563" s="56"/>
      <c r="I6563" s="56"/>
      <c r="J6563" s="58"/>
      <c r="K6563" s="58"/>
      <c r="L6563" s="13" t="str">
        <f t="shared" si="1014"/>
        <v/>
      </c>
      <c r="M6563" s="13" t="str">
        <f t="shared" si="1015"/>
        <v/>
      </c>
      <c r="Q6563" t="str">
        <f t="shared" si="1016"/>
        <v/>
      </c>
      <c r="R6563" t="str">
        <f t="shared" si="1017"/>
        <v/>
      </c>
      <c r="S6563" t="str">
        <f t="shared" si="1018"/>
        <v/>
      </c>
      <c r="T6563" t="str">
        <f t="shared" si="1019"/>
        <v/>
      </c>
      <c r="U6563" t="str">
        <f t="shared" si="1020"/>
        <v/>
      </c>
      <c r="V6563" t="str">
        <f t="shared" si="1021"/>
        <v/>
      </c>
      <c r="W6563" t="str">
        <f t="shared" si="1022"/>
        <v/>
      </c>
      <c r="X6563">
        <f t="shared" si="1012"/>
        <v>0</v>
      </c>
      <c r="Z6563" t="str">
        <f t="shared" si="1023"/>
        <v/>
      </c>
      <c r="AA6563">
        <f t="shared" si="1013"/>
        <v>0</v>
      </c>
    </row>
    <row r="6564" spans="1:27" ht="21" customHeight="1" x14ac:dyDescent="0.95">
      <c r="A6564" s="56"/>
      <c r="B6564" s="57"/>
      <c r="C6564" s="57"/>
      <c r="D6564" s="57"/>
      <c r="E6564" s="56"/>
      <c r="F6564" s="57"/>
      <c r="G6564" s="57"/>
      <c r="H6564" s="56"/>
      <c r="I6564" s="56"/>
      <c r="J6564" s="58"/>
      <c r="K6564" s="58"/>
      <c r="L6564" s="13" t="str">
        <f t="shared" si="1014"/>
        <v/>
      </c>
      <c r="M6564" s="13" t="str">
        <f t="shared" si="1015"/>
        <v/>
      </c>
      <c r="Q6564" t="str">
        <f t="shared" si="1016"/>
        <v/>
      </c>
      <c r="R6564" t="str">
        <f t="shared" si="1017"/>
        <v/>
      </c>
      <c r="S6564" t="str">
        <f t="shared" si="1018"/>
        <v/>
      </c>
      <c r="T6564" t="str">
        <f t="shared" si="1019"/>
        <v/>
      </c>
      <c r="U6564" t="str">
        <f t="shared" si="1020"/>
        <v/>
      </c>
      <c r="V6564" t="str">
        <f t="shared" si="1021"/>
        <v/>
      </c>
      <c r="W6564" t="str">
        <f t="shared" si="1022"/>
        <v/>
      </c>
      <c r="X6564">
        <f t="shared" si="1012"/>
        <v>0</v>
      </c>
      <c r="Z6564" t="str">
        <f t="shared" si="1023"/>
        <v/>
      </c>
      <c r="AA6564">
        <f t="shared" si="1013"/>
        <v>0</v>
      </c>
    </row>
    <row r="6565" spans="1:27" ht="21" customHeight="1" x14ac:dyDescent="0.95">
      <c r="A6565" s="56"/>
      <c r="B6565" s="57"/>
      <c r="C6565" s="57"/>
      <c r="D6565" s="57"/>
      <c r="E6565" s="56"/>
      <c r="F6565" s="57"/>
      <c r="G6565" s="57"/>
      <c r="H6565" s="56"/>
      <c r="I6565" s="56"/>
      <c r="J6565" s="58"/>
      <c r="K6565" s="58"/>
      <c r="L6565" s="13" t="str">
        <f t="shared" si="1014"/>
        <v/>
      </c>
      <c r="M6565" s="13" t="str">
        <f t="shared" si="1015"/>
        <v/>
      </c>
      <c r="Q6565" t="str">
        <f t="shared" si="1016"/>
        <v/>
      </c>
      <c r="R6565" t="str">
        <f t="shared" si="1017"/>
        <v/>
      </c>
      <c r="S6565" t="str">
        <f t="shared" si="1018"/>
        <v/>
      </c>
      <c r="T6565" t="str">
        <f t="shared" si="1019"/>
        <v/>
      </c>
      <c r="U6565" t="str">
        <f t="shared" si="1020"/>
        <v/>
      </c>
      <c r="V6565" t="str">
        <f t="shared" si="1021"/>
        <v/>
      </c>
      <c r="W6565" t="str">
        <f t="shared" si="1022"/>
        <v/>
      </c>
      <c r="X6565">
        <f t="shared" si="1012"/>
        <v>0</v>
      </c>
      <c r="Z6565" t="str">
        <f t="shared" si="1023"/>
        <v/>
      </c>
      <c r="AA6565">
        <f t="shared" si="1013"/>
        <v>0</v>
      </c>
    </row>
    <row r="6566" spans="1:27" ht="21" customHeight="1" x14ac:dyDescent="0.95">
      <c r="A6566" s="56"/>
      <c r="B6566" s="57"/>
      <c r="C6566" s="57"/>
      <c r="D6566" s="57"/>
      <c r="E6566" s="56"/>
      <c r="F6566" s="57"/>
      <c r="G6566" s="57"/>
      <c r="H6566" s="56"/>
      <c r="I6566" s="56"/>
      <c r="J6566" s="58"/>
      <c r="K6566" s="58"/>
      <c r="L6566" s="13" t="str">
        <f t="shared" si="1014"/>
        <v/>
      </c>
      <c r="M6566" s="13" t="str">
        <f t="shared" si="1015"/>
        <v/>
      </c>
      <c r="Q6566" t="str">
        <f t="shared" si="1016"/>
        <v/>
      </c>
      <c r="R6566" t="str">
        <f t="shared" si="1017"/>
        <v/>
      </c>
      <c r="S6566" t="str">
        <f t="shared" si="1018"/>
        <v/>
      </c>
      <c r="T6566" t="str">
        <f t="shared" si="1019"/>
        <v/>
      </c>
      <c r="U6566" t="str">
        <f t="shared" si="1020"/>
        <v/>
      </c>
      <c r="V6566" t="str">
        <f t="shared" si="1021"/>
        <v/>
      </c>
      <c r="W6566" t="str">
        <f t="shared" si="1022"/>
        <v/>
      </c>
      <c r="X6566">
        <f t="shared" si="1012"/>
        <v>0</v>
      </c>
      <c r="Z6566" t="str">
        <f t="shared" si="1023"/>
        <v/>
      </c>
      <c r="AA6566">
        <f t="shared" si="1013"/>
        <v>0</v>
      </c>
    </row>
    <row r="6567" spans="1:27" ht="21" customHeight="1" x14ac:dyDescent="0.95">
      <c r="A6567" s="56"/>
      <c r="B6567" s="57"/>
      <c r="C6567" s="57"/>
      <c r="D6567" s="57"/>
      <c r="E6567" s="56"/>
      <c r="F6567" s="57"/>
      <c r="G6567" s="57"/>
      <c r="H6567" s="56"/>
      <c r="I6567" s="56"/>
      <c r="J6567" s="58"/>
      <c r="K6567" s="58"/>
      <c r="L6567" s="13" t="str">
        <f t="shared" si="1014"/>
        <v/>
      </c>
      <c r="M6567" s="13" t="str">
        <f t="shared" si="1015"/>
        <v/>
      </c>
      <c r="Q6567" t="str">
        <f t="shared" si="1016"/>
        <v/>
      </c>
      <c r="R6567" t="str">
        <f t="shared" si="1017"/>
        <v/>
      </c>
      <c r="S6567" t="str">
        <f t="shared" si="1018"/>
        <v/>
      </c>
      <c r="T6567" t="str">
        <f t="shared" si="1019"/>
        <v/>
      </c>
      <c r="U6567" t="str">
        <f t="shared" si="1020"/>
        <v/>
      </c>
      <c r="V6567" t="str">
        <f t="shared" si="1021"/>
        <v/>
      </c>
      <c r="W6567" t="str">
        <f t="shared" si="1022"/>
        <v/>
      </c>
      <c r="X6567">
        <f t="shared" si="1012"/>
        <v>0</v>
      </c>
      <c r="Z6567" t="str">
        <f t="shared" si="1023"/>
        <v/>
      </c>
      <c r="AA6567">
        <f t="shared" si="1013"/>
        <v>0</v>
      </c>
    </row>
    <row r="6568" spans="1:27" ht="21" customHeight="1" x14ac:dyDescent="0.95">
      <c r="A6568" s="56"/>
      <c r="B6568" s="57"/>
      <c r="C6568" s="57"/>
      <c r="D6568" s="57"/>
      <c r="E6568" s="56"/>
      <c r="F6568" s="57"/>
      <c r="G6568" s="57"/>
      <c r="H6568" s="56"/>
      <c r="I6568" s="56"/>
      <c r="J6568" s="58"/>
      <c r="K6568" s="58"/>
      <c r="L6568" s="13" t="str">
        <f t="shared" si="1014"/>
        <v/>
      </c>
      <c r="M6568" s="13" t="str">
        <f t="shared" si="1015"/>
        <v/>
      </c>
      <c r="Q6568" t="str">
        <f t="shared" si="1016"/>
        <v/>
      </c>
      <c r="R6568" t="str">
        <f t="shared" si="1017"/>
        <v/>
      </c>
      <c r="S6568" t="str">
        <f t="shared" si="1018"/>
        <v/>
      </c>
      <c r="T6568" t="str">
        <f t="shared" si="1019"/>
        <v/>
      </c>
      <c r="U6568" t="str">
        <f t="shared" si="1020"/>
        <v/>
      </c>
      <c r="V6568" t="str">
        <f t="shared" si="1021"/>
        <v/>
      </c>
      <c r="W6568" t="str">
        <f t="shared" si="1022"/>
        <v/>
      </c>
      <c r="X6568">
        <f t="shared" si="1012"/>
        <v>0</v>
      </c>
      <c r="Z6568" t="str">
        <f t="shared" si="1023"/>
        <v/>
      </c>
      <c r="AA6568">
        <f t="shared" si="1013"/>
        <v>0</v>
      </c>
    </row>
    <row r="6569" spans="1:27" ht="21" customHeight="1" x14ac:dyDescent="0.95">
      <c r="A6569" s="56"/>
      <c r="B6569" s="57"/>
      <c r="C6569" s="57"/>
      <c r="D6569" s="57"/>
      <c r="E6569" s="56"/>
      <c r="F6569" s="57"/>
      <c r="G6569" s="57"/>
      <c r="H6569" s="56"/>
      <c r="I6569" s="56"/>
      <c r="J6569" s="58"/>
      <c r="K6569" s="58"/>
      <c r="L6569" s="13" t="str">
        <f t="shared" si="1014"/>
        <v/>
      </c>
      <c r="M6569" s="13" t="str">
        <f t="shared" si="1015"/>
        <v/>
      </c>
      <c r="Q6569" t="str">
        <f t="shared" si="1016"/>
        <v/>
      </c>
      <c r="R6569" t="str">
        <f t="shared" si="1017"/>
        <v/>
      </c>
      <c r="S6569" t="str">
        <f t="shared" si="1018"/>
        <v/>
      </c>
      <c r="T6569" t="str">
        <f t="shared" si="1019"/>
        <v/>
      </c>
      <c r="U6569" t="str">
        <f t="shared" si="1020"/>
        <v/>
      </c>
      <c r="V6569" t="str">
        <f t="shared" si="1021"/>
        <v/>
      </c>
      <c r="W6569" t="str">
        <f t="shared" si="1022"/>
        <v/>
      </c>
      <c r="X6569">
        <f t="shared" si="1012"/>
        <v>0</v>
      </c>
      <c r="Z6569" t="str">
        <f t="shared" si="1023"/>
        <v/>
      </c>
      <c r="AA6569">
        <f t="shared" si="1013"/>
        <v>0</v>
      </c>
    </row>
    <row r="6570" spans="1:27" ht="21" customHeight="1" x14ac:dyDescent="0.95">
      <c r="A6570" s="56"/>
      <c r="B6570" s="57"/>
      <c r="C6570" s="57"/>
      <c r="D6570" s="57"/>
      <c r="E6570" s="56"/>
      <c r="F6570" s="57"/>
      <c r="G6570" s="57"/>
      <c r="H6570" s="56"/>
      <c r="I6570" s="56"/>
      <c r="J6570" s="58"/>
      <c r="K6570" s="58"/>
      <c r="L6570" s="13" t="str">
        <f t="shared" si="1014"/>
        <v/>
      </c>
      <c r="M6570" s="13" t="str">
        <f t="shared" si="1015"/>
        <v/>
      </c>
      <c r="Q6570" t="str">
        <f t="shared" si="1016"/>
        <v/>
      </c>
      <c r="R6570" t="str">
        <f t="shared" si="1017"/>
        <v/>
      </c>
      <c r="S6570" t="str">
        <f t="shared" si="1018"/>
        <v/>
      </c>
      <c r="T6570" t="str">
        <f t="shared" si="1019"/>
        <v/>
      </c>
      <c r="U6570" t="str">
        <f t="shared" si="1020"/>
        <v/>
      </c>
      <c r="V6570" t="str">
        <f t="shared" si="1021"/>
        <v/>
      </c>
      <c r="W6570" t="str">
        <f t="shared" si="1022"/>
        <v/>
      </c>
      <c r="X6570">
        <f t="shared" si="1012"/>
        <v>0</v>
      </c>
      <c r="Z6570" t="str">
        <f t="shared" si="1023"/>
        <v/>
      </c>
      <c r="AA6570">
        <f t="shared" si="1013"/>
        <v>0</v>
      </c>
    </row>
    <row r="6571" spans="1:27" ht="21" customHeight="1" x14ac:dyDescent="0.95">
      <c r="A6571" s="56"/>
      <c r="B6571" s="57"/>
      <c r="C6571" s="57"/>
      <c r="D6571" s="57"/>
      <c r="E6571" s="56"/>
      <c r="F6571" s="57"/>
      <c r="G6571" s="57"/>
      <c r="H6571" s="56"/>
      <c r="I6571" s="56"/>
      <c r="J6571" s="58"/>
      <c r="K6571" s="58"/>
      <c r="L6571" s="13" t="str">
        <f t="shared" si="1014"/>
        <v/>
      </c>
      <c r="M6571" s="13" t="str">
        <f t="shared" si="1015"/>
        <v/>
      </c>
      <c r="Q6571" t="str">
        <f t="shared" si="1016"/>
        <v/>
      </c>
      <c r="R6571" t="str">
        <f t="shared" si="1017"/>
        <v/>
      </c>
      <c r="S6571" t="str">
        <f t="shared" si="1018"/>
        <v/>
      </c>
      <c r="T6571" t="str">
        <f t="shared" si="1019"/>
        <v/>
      </c>
      <c r="U6571" t="str">
        <f t="shared" si="1020"/>
        <v/>
      </c>
      <c r="V6571" t="str">
        <f t="shared" si="1021"/>
        <v/>
      </c>
      <c r="W6571" t="str">
        <f t="shared" si="1022"/>
        <v/>
      </c>
      <c r="X6571">
        <f t="shared" si="1012"/>
        <v>0</v>
      </c>
      <c r="Z6571" t="str">
        <f t="shared" si="1023"/>
        <v/>
      </c>
      <c r="AA6571">
        <f t="shared" si="1013"/>
        <v>0</v>
      </c>
    </row>
    <row r="6572" spans="1:27" ht="21" customHeight="1" x14ac:dyDescent="0.95">
      <c r="A6572" s="56"/>
      <c r="B6572" s="57"/>
      <c r="C6572" s="57"/>
      <c r="D6572" s="57"/>
      <c r="E6572" s="56"/>
      <c r="F6572" s="57"/>
      <c r="G6572" s="57"/>
      <c r="H6572" s="56"/>
      <c r="I6572" s="56"/>
      <c r="J6572" s="58"/>
      <c r="K6572" s="58"/>
      <c r="L6572" s="13" t="str">
        <f t="shared" si="1014"/>
        <v/>
      </c>
      <c r="M6572" s="13" t="str">
        <f t="shared" si="1015"/>
        <v/>
      </c>
      <c r="Q6572" t="str">
        <f t="shared" si="1016"/>
        <v/>
      </c>
      <c r="R6572" t="str">
        <f t="shared" si="1017"/>
        <v/>
      </c>
      <c r="S6572" t="str">
        <f t="shared" si="1018"/>
        <v/>
      </c>
      <c r="T6572" t="str">
        <f t="shared" si="1019"/>
        <v/>
      </c>
      <c r="U6572" t="str">
        <f t="shared" si="1020"/>
        <v/>
      </c>
      <c r="V6572" t="str">
        <f t="shared" si="1021"/>
        <v/>
      </c>
      <c r="W6572" t="str">
        <f t="shared" si="1022"/>
        <v/>
      </c>
      <c r="X6572">
        <f t="shared" si="1012"/>
        <v>0</v>
      </c>
      <c r="Z6572" t="str">
        <f t="shared" si="1023"/>
        <v/>
      </c>
      <c r="AA6572">
        <f t="shared" si="1013"/>
        <v>0</v>
      </c>
    </row>
    <row r="6573" spans="1:27" ht="21" customHeight="1" x14ac:dyDescent="0.95">
      <c r="A6573" s="56"/>
      <c r="B6573" s="57"/>
      <c r="C6573" s="57"/>
      <c r="D6573" s="57"/>
      <c r="E6573" s="56"/>
      <c r="F6573" s="57"/>
      <c r="G6573" s="57"/>
      <c r="H6573" s="56"/>
      <c r="I6573" s="56"/>
      <c r="J6573" s="58"/>
      <c r="K6573" s="58"/>
      <c r="L6573" s="13" t="str">
        <f t="shared" si="1014"/>
        <v/>
      </c>
      <c r="M6573" s="13" t="str">
        <f t="shared" si="1015"/>
        <v/>
      </c>
      <c r="Q6573" t="str">
        <f t="shared" si="1016"/>
        <v/>
      </c>
      <c r="R6573" t="str">
        <f t="shared" si="1017"/>
        <v/>
      </c>
      <c r="S6573" t="str">
        <f t="shared" si="1018"/>
        <v/>
      </c>
      <c r="T6573" t="str">
        <f t="shared" si="1019"/>
        <v/>
      </c>
      <c r="U6573" t="str">
        <f t="shared" si="1020"/>
        <v/>
      </c>
      <c r="V6573" t="str">
        <f t="shared" si="1021"/>
        <v/>
      </c>
      <c r="W6573" t="str">
        <f t="shared" si="1022"/>
        <v/>
      </c>
      <c r="X6573">
        <f t="shared" si="1012"/>
        <v>0</v>
      </c>
      <c r="Z6573" t="str">
        <f t="shared" si="1023"/>
        <v/>
      </c>
      <c r="AA6573">
        <f t="shared" si="1013"/>
        <v>0</v>
      </c>
    </row>
    <row r="6574" spans="1:27" ht="21" customHeight="1" x14ac:dyDescent="0.95">
      <c r="A6574" s="56"/>
      <c r="B6574" s="57"/>
      <c r="C6574" s="57"/>
      <c r="D6574" s="57"/>
      <c r="E6574" s="56"/>
      <c r="F6574" s="57"/>
      <c r="G6574" s="57"/>
      <c r="H6574" s="56"/>
      <c r="I6574" s="56"/>
      <c r="J6574" s="58"/>
      <c r="K6574" s="58"/>
      <c r="L6574" s="13" t="str">
        <f t="shared" si="1014"/>
        <v/>
      </c>
      <c r="M6574" s="13" t="str">
        <f t="shared" si="1015"/>
        <v/>
      </c>
      <c r="Q6574" t="str">
        <f t="shared" si="1016"/>
        <v/>
      </c>
      <c r="R6574" t="str">
        <f t="shared" si="1017"/>
        <v/>
      </c>
      <c r="S6574" t="str">
        <f t="shared" si="1018"/>
        <v/>
      </c>
      <c r="T6574" t="str">
        <f t="shared" si="1019"/>
        <v/>
      </c>
      <c r="U6574" t="str">
        <f t="shared" si="1020"/>
        <v/>
      </c>
      <c r="V6574" t="str">
        <f t="shared" si="1021"/>
        <v/>
      </c>
      <c r="W6574" t="str">
        <f t="shared" si="1022"/>
        <v/>
      </c>
      <c r="X6574">
        <f t="shared" si="1012"/>
        <v>0</v>
      </c>
      <c r="Z6574" t="str">
        <f t="shared" si="1023"/>
        <v/>
      </c>
      <c r="AA6574">
        <f t="shared" si="1013"/>
        <v>0</v>
      </c>
    </row>
    <row r="6575" spans="1:27" ht="21" customHeight="1" x14ac:dyDescent="0.95">
      <c r="A6575" s="56"/>
      <c r="B6575" s="57"/>
      <c r="C6575" s="57"/>
      <c r="D6575" s="57"/>
      <c r="E6575" s="56"/>
      <c r="F6575" s="57"/>
      <c r="G6575" s="57"/>
      <c r="H6575" s="56"/>
      <c r="I6575" s="56"/>
      <c r="J6575" s="58"/>
      <c r="K6575" s="58"/>
      <c r="L6575" s="13" t="str">
        <f t="shared" si="1014"/>
        <v/>
      </c>
      <c r="M6575" s="13" t="str">
        <f t="shared" si="1015"/>
        <v/>
      </c>
      <c r="Q6575" t="str">
        <f t="shared" si="1016"/>
        <v/>
      </c>
      <c r="R6575" t="str">
        <f t="shared" si="1017"/>
        <v/>
      </c>
      <c r="S6575" t="str">
        <f t="shared" si="1018"/>
        <v/>
      </c>
      <c r="T6575" t="str">
        <f t="shared" si="1019"/>
        <v/>
      </c>
      <c r="U6575" t="str">
        <f t="shared" si="1020"/>
        <v/>
      </c>
      <c r="V6575" t="str">
        <f t="shared" si="1021"/>
        <v/>
      </c>
      <c r="W6575" t="str">
        <f t="shared" si="1022"/>
        <v/>
      </c>
      <c r="X6575">
        <f t="shared" si="1012"/>
        <v>0</v>
      </c>
      <c r="Z6575" t="str">
        <f t="shared" si="1023"/>
        <v/>
      </c>
      <c r="AA6575">
        <f t="shared" si="1013"/>
        <v>0</v>
      </c>
    </row>
    <row r="6576" spans="1:27" ht="21" customHeight="1" x14ac:dyDescent="0.95">
      <c r="A6576" s="56"/>
      <c r="B6576" s="57"/>
      <c r="C6576" s="57"/>
      <c r="D6576" s="57"/>
      <c r="E6576" s="56"/>
      <c r="F6576" s="57"/>
      <c r="G6576" s="57"/>
      <c r="H6576" s="56"/>
      <c r="I6576" s="56"/>
      <c r="J6576" s="58"/>
      <c r="K6576" s="58"/>
      <c r="L6576" s="13" t="str">
        <f t="shared" si="1014"/>
        <v/>
      </c>
      <c r="M6576" s="13" t="str">
        <f t="shared" si="1015"/>
        <v/>
      </c>
      <c r="Q6576" t="str">
        <f t="shared" si="1016"/>
        <v/>
      </c>
      <c r="R6576" t="str">
        <f t="shared" si="1017"/>
        <v/>
      </c>
      <c r="S6576" t="str">
        <f t="shared" si="1018"/>
        <v/>
      </c>
      <c r="T6576" t="str">
        <f t="shared" si="1019"/>
        <v/>
      </c>
      <c r="U6576" t="str">
        <f t="shared" si="1020"/>
        <v/>
      </c>
      <c r="V6576" t="str">
        <f t="shared" si="1021"/>
        <v/>
      </c>
      <c r="W6576" t="str">
        <f t="shared" si="1022"/>
        <v/>
      </c>
      <c r="X6576">
        <f t="shared" si="1012"/>
        <v>0</v>
      </c>
      <c r="Z6576" t="str">
        <f t="shared" si="1023"/>
        <v/>
      </c>
      <c r="AA6576">
        <f t="shared" si="1013"/>
        <v>0</v>
      </c>
    </row>
    <row r="6577" spans="1:27" ht="21" customHeight="1" x14ac:dyDescent="0.95">
      <c r="A6577" s="56"/>
      <c r="B6577" s="57"/>
      <c r="C6577" s="57"/>
      <c r="D6577" s="57"/>
      <c r="E6577" s="56"/>
      <c r="F6577" s="57"/>
      <c r="G6577" s="57"/>
      <c r="H6577" s="56"/>
      <c r="I6577" s="56"/>
      <c r="J6577" s="58"/>
      <c r="K6577" s="58"/>
      <c r="L6577" s="13" t="str">
        <f t="shared" si="1014"/>
        <v/>
      </c>
      <c r="M6577" s="13" t="str">
        <f t="shared" si="1015"/>
        <v/>
      </c>
      <c r="Q6577" t="str">
        <f t="shared" si="1016"/>
        <v/>
      </c>
      <c r="R6577" t="str">
        <f t="shared" si="1017"/>
        <v/>
      </c>
      <c r="S6577" t="str">
        <f t="shared" si="1018"/>
        <v/>
      </c>
      <c r="T6577" t="str">
        <f t="shared" si="1019"/>
        <v/>
      </c>
      <c r="U6577" t="str">
        <f t="shared" si="1020"/>
        <v/>
      </c>
      <c r="V6577" t="str">
        <f t="shared" si="1021"/>
        <v/>
      </c>
      <c r="W6577" t="str">
        <f t="shared" si="1022"/>
        <v/>
      </c>
      <c r="X6577">
        <f t="shared" si="1012"/>
        <v>0</v>
      </c>
      <c r="Z6577" t="str">
        <f t="shared" si="1023"/>
        <v/>
      </c>
      <c r="AA6577">
        <f t="shared" si="1013"/>
        <v>0</v>
      </c>
    </row>
    <row r="6578" spans="1:27" ht="21" customHeight="1" x14ac:dyDescent="0.95">
      <c r="A6578" s="56"/>
      <c r="B6578" s="57"/>
      <c r="C6578" s="57"/>
      <c r="D6578" s="57"/>
      <c r="E6578" s="56"/>
      <c r="F6578" s="57"/>
      <c r="G6578" s="57"/>
      <c r="H6578" s="56"/>
      <c r="I6578" s="56"/>
      <c r="J6578" s="58"/>
      <c r="K6578" s="58"/>
      <c r="L6578" s="13" t="str">
        <f t="shared" si="1014"/>
        <v/>
      </c>
      <c r="M6578" s="13" t="str">
        <f t="shared" si="1015"/>
        <v/>
      </c>
      <c r="Q6578" t="str">
        <f t="shared" si="1016"/>
        <v/>
      </c>
      <c r="R6578" t="str">
        <f t="shared" si="1017"/>
        <v/>
      </c>
      <c r="S6578" t="str">
        <f t="shared" si="1018"/>
        <v/>
      </c>
      <c r="T6578" t="str">
        <f t="shared" si="1019"/>
        <v/>
      </c>
      <c r="U6578" t="str">
        <f t="shared" si="1020"/>
        <v/>
      </c>
      <c r="V6578" t="str">
        <f t="shared" si="1021"/>
        <v/>
      </c>
      <c r="W6578" t="str">
        <f t="shared" si="1022"/>
        <v/>
      </c>
      <c r="X6578">
        <f t="shared" si="1012"/>
        <v>0</v>
      </c>
      <c r="Z6578" t="str">
        <f t="shared" si="1023"/>
        <v/>
      </c>
      <c r="AA6578">
        <f t="shared" si="1013"/>
        <v>0</v>
      </c>
    </row>
    <row r="6579" spans="1:27" ht="21" customHeight="1" x14ac:dyDescent="0.95">
      <c r="A6579" s="56"/>
      <c r="B6579" s="57"/>
      <c r="C6579" s="57"/>
      <c r="D6579" s="57"/>
      <c r="E6579" s="56"/>
      <c r="F6579" s="57"/>
      <c r="G6579" s="57"/>
      <c r="H6579" s="56"/>
      <c r="I6579" s="56"/>
      <c r="J6579" s="58"/>
      <c r="K6579" s="58"/>
      <c r="L6579" s="13" t="str">
        <f t="shared" si="1014"/>
        <v/>
      </c>
      <c r="M6579" s="13" t="str">
        <f t="shared" si="1015"/>
        <v/>
      </c>
      <c r="Q6579" t="str">
        <f t="shared" si="1016"/>
        <v/>
      </c>
      <c r="R6579" t="str">
        <f t="shared" si="1017"/>
        <v/>
      </c>
      <c r="S6579" t="str">
        <f t="shared" si="1018"/>
        <v/>
      </c>
      <c r="T6579" t="str">
        <f t="shared" si="1019"/>
        <v/>
      </c>
      <c r="U6579" t="str">
        <f t="shared" si="1020"/>
        <v/>
      </c>
      <c r="V6579" t="str">
        <f t="shared" si="1021"/>
        <v/>
      </c>
      <c r="W6579" t="str">
        <f t="shared" si="1022"/>
        <v/>
      </c>
      <c r="X6579">
        <f t="shared" si="1012"/>
        <v>0</v>
      </c>
      <c r="Z6579" t="str">
        <f t="shared" si="1023"/>
        <v/>
      </c>
      <c r="AA6579">
        <f t="shared" si="1013"/>
        <v>0</v>
      </c>
    </row>
    <row r="6580" spans="1:27" ht="21" customHeight="1" x14ac:dyDescent="0.95">
      <c r="A6580" s="56"/>
      <c r="B6580" s="57"/>
      <c r="C6580" s="57"/>
      <c r="D6580" s="57"/>
      <c r="E6580" s="56"/>
      <c r="F6580" s="57"/>
      <c r="G6580" s="57"/>
      <c r="H6580" s="56"/>
      <c r="I6580" s="56"/>
      <c r="J6580" s="58"/>
      <c r="K6580" s="58"/>
      <c r="L6580" s="13" t="str">
        <f t="shared" si="1014"/>
        <v/>
      </c>
      <c r="M6580" s="13" t="str">
        <f t="shared" si="1015"/>
        <v/>
      </c>
      <c r="Q6580" t="str">
        <f t="shared" si="1016"/>
        <v/>
      </c>
      <c r="R6580" t="str">
        <f t="shared" si="1017"/>
        <v/>
      </c>
      <c r="S6580" t="str">
        <f t="shared" si="1018"/>
        <v/>
      </c>
      <c r="T6580" t="str">
        <f t="shared" si="1019"/>
        <v/>
      </c>
      <c r="U6580" t="str">
        <f t="shared" si="1020"/>
        <v/>
      </c>
      <c r="V6580" t="str">
        <f t="shared" si="1021"/>
        <v/>
      </c>
      <c r="W6580" t="str">
        <f t="shared" si="1022"/>
        <v/>
      </c>
      <c r="X6580">
        <f t="shared" si="1012"/>
        <v>0</v>
      </c>
      <c r="Z6580" t="str">
        <f t="shared" si="1023"/>
        <v/>
      </c>
      <c r="AA6580">
        <f t="shared" si="1013"/>
        <v>0</v>
      </c>
    </row>
    <row r="6581" spans="1:27" ht="21" customHeight="1" x14ac:dyDescent="0.95">
      <c r="A6581" s="56"/>
      <c r="B6581" s="57"/>
      <c r="C6581" s="57"/>
      <c r="D6581" s="57"/>
      <c r="E6581" s="56"/>
      <c r="F6581" s="57"/>
      <c r="G6581" s="57"/>
      <c r="H6581" s="56"/>
      <c r="I6581" s="56"/>
      <c r="J6581" s="58"/>
      <c r="K6581" s="58"/>
      <c r="L6581" s="13" t="str">
        <f t="shared" si="1014"/>
        <v/>
      </c>
      <c r="M6581" s="13" t="str">
        <f t="shared" si="1015"/>
        <v/>
      </c>
      <c r="Q6581" t="str">
        <f t="shared" si="1016"/>
        <v/>
      </c>
      <c r="R6581" t="str">
        <f t="shared" si="1017"/>
        <v/>
      </c>
      <c r="S6581" t="str">
        <f t="shared" si="1018"/>
        <v/>
      </c>
      <c r="T6581" t="str">
        <f t="shared" si="1019"/>
        <v/>
      </c>
      <c r="U6581" t="str">
        <f t="shared" si="1020"/>
        <v/>
      </c>
      <c r="V6581" t="str">
        <f t="shared" si="1021"/>
        <v/>
      </c>
      <c r="W6581" t="str">
        <f t="shared" si="1022"/>
        <v/>
      </c>
      <c r="X6581">
        <f t="shared" ref="X6581:X6644" si="1024">IF($T6581="",N($X6580),IF(MATCH($T6581,$T$6:$T$10005,0)=ROW()-5,N($X6580)+1,N($X6580)))</f>
        <v>0</v>
      </c>
      <c r="Z6581" t="str">
        <f t="shared" si="1023"/>
        <v/>
      </c>
      <c r="AA6581">
        <f t="shared" ref="AA6581:AA6644" si="1025">IF($V6581="",N($AA6580),IF(MATCH($V6581,$V$6:$V$10005,0)=ROW()-5,N($AA6580)+1,N($AA6580)))</f>
        <v>0</v>
      </c>
    </row>
    <row r="6582" spans="1:27" ht="21" customHeight="1" x14ac:dyDescent="0.95">
      <c r="A6582" s="56"/>
      <c r="B6582" s="57"/>
      <c r="C6582" s="57"/>
      <c r="D6582" s="57"/>
      <c r="E6582" s="56"/>
      <c r="F6582" s="57"/>
      <c r="G6582" s="57"/>
      <c r="H6582" s="56"/>
      <c r="I6582" s="56"/>
      <c r="J6582" s="58"/>
      <c r="K6582" s="58"/>
      <c r="L6582" s="13" t="str">
        <f t="shared" si="1014"/>
        <v/>
      </c>
      <c r="M6582" s="13" t="str">
        <f t="shared" si="1015"/>
        <v/>
      </c>
      <c r="Q6582" t="str">
        <f t="shared" si="1016"/>
        <v/>
      </c>
      <c r="R6582" t="str">
        <f t="shared" si="1017"/>
        <v/>
      </c>
      <c r="S6582" t="str">
        <f t="shared" si="1018"/>
        <v/>
      </c>
      <c r="T6582" t="str">
        <f t="shared" si="1019"/>
        <v/>
      </c>
      <c r="U6582" t="str">
        <f t="shared" si="1020"/>
        <v/>
      </c>
      <c r="V6582" t="str">
        <f t="shared" si="1021"/>
        <v/>
      </c>
      <c r="W6582" t="str">
        <f t="shared" si="1022"/>
        <v/>
      </c>
      <c r="X6582">
        <f t="shared" si="1024"/>
        <v>0</v>
      </c>
      <c r="Z6582" t="str">
        <f t="shared" si="1023"/>
        <v/>
      </c>
      <c r="AA6582">
        <f t="shared" si="1025"/>
        <v>0</v>
      </c>
    </row>
    <row r="6583" spans="1:27" ht="21" customHeight="1" x14ac:dyDescent="0.95">
      <c r="A6583" s="56"/>
      <c r="B6583" s="57"/>
      <c r="C6583" s="57"/>
      <c r="D6583" s="57"/>
      <c r="E6583" s="56"/>
      <c r="F6583" s="57"/>
      <c r="G6583" s="57"/>
      <c r="H6583" s="56"/>
      <c r="I6583" s="56"/>
      <c r="J6583" s="58"/>
      <c r="K6583" s="58"/>
      <c r="L6583" s="13" t="str">
        <f t="shared" si="1014"/>
        <v/>
      </c>
      <c r="M6583" s="13" t="str">
        <f t="shared" si="1015"/>
        <v/>
      </c>
      <c r="Q6583" t="str">
        <f t="shared" si="1016"/>
        <v/>
      </c>
      <c r="R6583" t="str">
        <f t="shared" si="1017"/>
        <v/>
      </c>
      <c r="S6583" t="str">
        <f t="shared" si="1018"/>
        <v/>
      </c>
      <c r="T6583" t="str">
        <f t="shared" si="1019"/>
        <v/>
      </c>
      <c r="U6583" t="str">
        <f t="shared" si="1020"/>
        <v/>
      </c>
      <c r="V6583" t="str">
        <f t="shared" si="1021"/>
        <v/>
      </c>
      <c r="W6583" t="str">
        <f t="shared" si="1022"/>
        <v/>
      </c>
      <c r="X6583">
        <f t="shared" si="1024"/>
        <v>0</v>
      </c>
      <c r="Z6583" t="str">
        <f t="shared" si="1023"/>
        <v/>
      </c>
      <c r="AA6583">
        <f t="shared" si="1025"/>
        <v>0</v>
      </c>
    </row>
    <row r="6584" spans="1:27" ht="21" customHeight="1" x14ac:dyDescent="0.95">
      <c r="A6584" s="56"/>
      <c r="B6584" s="57"/>
      <c r="C6584" s="57"/>
      <c r="D6584" s="57"/>
      <c r="E6584" s="56"/>
      <c r="F6584" s="57"/>
      <c r="G6584" s="57"/>
      <c r="H6584" s="56"/>
      <c r="I6584" s="56"/>
      <c r="J6584" s="58"/>
      <c r="K6584" s="58"/>
      <c r="L6584" s="13" t="str">
        <f t="shared" si="1014"/>
        <v/>
      </c>
      <c r="M6584" s="13" t="str">
        <f t="shared" si="1015"/>
        <v/>
      </c>
      <c r="Q6584" t="str">
        <f t="shared" si="1016"/>
        <v/>
      </c>
      <c r="R6584" t="str">
        <f t="shared" si="1017"/>
        <v/>
      </c>
      <c r="S6584" t="str">
        <f t="shared" si="1018"/>
        <v/>
      </c>
      <c r="T6584" t="str">
        <f t="shared" si="1019"/>
        <v/>
      </c>
      <c r="U6584" t="str">
        <f t="shared" si="1020"/>
        <v/>
      </c>
      <c r="V6584" t="str">
        <f t="shared" si="1021"/>
        <v/>
      </c>
      <c r="W6584" t="str">
        <f t="shared" si="1022"/>
        <v/>
      </c>
      <c r="X6584">
        <f t="shared" si="1024"/>
        <v>0</v>
      </c>
      <c r="Z6584" t="str">
        <f t="shared" si="1023"/>
        <v/>
      </c>
      <c r="AA6584">
        <f t="shared" si="1025"/>
        <v>0</v>
      </c>
    </row>
    <row r="6585" spans="1:27" ht="21" customHeight="1" x14ac:dyDescent="0.95">
      <c r="A6585" s="56"/>
      <c r="B6585" s="57"/>
      <c r="C6585" s="57"/>
      <c r="D6585" s="57"/>
      <c r="E6585" s="56"/>
      <c r="F6585" s="57"/>
      <c r="G6585" s="57"/>
      <c r="H6585" s="56"/>
      <c r="I6585" s="56"/>
      <c r="J6585" s="58"/>
      <c r="K6585" s="58"/>
      <c r="L6585" s="13" t="str">
        <f t="shared" si="1014"/>
        <v/>
      </c>
      <c r="M6585" s="13" t="str">
        <f t="shared" si="1015"/>
        <v/>
      </c>
      <c r="Q6585" t="str">
        <f t="shared" si="1016"/>
        <v/>
      </c>
      <c r="R6585" t="str">
        <f t="shared" si="1017"/>
        <v/>
      </c>
      <c r="S6585" t="str">
        <f t="shared" si="1018"/>
        <v/>
      </c>
      <c r="T6585" t="str">
        <f t="shared" si="1019"/>
        <v/>
      </c>
      <c r="U6585" t="str">
        <f t="shared" si="1020"/>
        <v/>
      </c>
      <c r="V6585" t="str">
        <f t="shared" si="1021"/>
        <v/>
      </c>
      <c r="W6585" t="str">
        <f t="shared" si="1022"/>
        <v/>
      </c>
      <c r="X6585">
        <f t="shared" si="1024"/>
        <v>0</v>
      </c>
      <c r="Z6585" t="str">
        <f t="shared" si="1023"/>
        <v/>
      </c>
      <c r="AA6585">
        <f t="shared" si="1025"/>
        <v>0</v>
      </c>
    </row>
    <row r="6586" spans="1:27" ht="21" customHeight="1" x14ac:dyDescent="0.95">
      <c r="A6586" s="56"/>
      <c r="B6586" s="57"/>
      <c r="C6586" s="57"/>
      <c r="D6586" s="57"/>
      <c r="E6586" s="56"/>
      <c r="F6586" s="57"/>
      <c r="G6586" s="57"/>
      <c r="H6586" s="56"/>
      <c r="I6586" s="56"/>
      <c r="J6586" s="58"/>
      <c r="K6586" s="58"/>
      <c r="L6586" s="13" t="str">
        <f t="shared" si="1014"/>
        <v/>
      </c>
      <c r="M6586" s="13" t="str">
        <f t="shared" si="1015"/>
        <v/>
      </c>
      <c r="Q6586" t="str">
        <f t="shared" si="1016"/>
        <v/>
      </c>
      <c r="R6586" t="str">
        <f t="shared" si="1017"/>
        <v/>
      </c>
      <c r="S6586" t="str">
        <f t="shared" si="1018"/>
        <v/>
      </c>
      <c r="T6586" t="str">
        <f t="shared" si="1019"/>
        <v/>
      </c>
      <c r="U6586" t="str">
        <f t="shared" si="1020"/>
        <v/>
      </c>
      <c r="V6586" t="str">
        <f t="shared" si="1021"/>
        <v/>
      </c>
      <c r="W6586" t="str">
        <f t="shared" si="1022"/>
        <v/>
      </c>
      <c r="X6586">
        <f t="shared" si="1024"/>
        <v>0</v>
      </c>
      <c r="Z6586" t="str">
        <f t="shared" si="1023"/>
        <v/>
      </c>
      <c r="AA6586">
        <f t="shared" si="1025"/>
        <v>0</v>
      </c>
    </row>
    <row r="6587" spans="1:27" ht="21" customHeight="1" x14ac:dyDescent="0.95">
      <c r="A6587" s="56"/>
      <c r="B6587" s="57"/>
      <c r="C6587" s="57"/>
      <c r="D6587" s="57"/>
      <c r="E6587" s="56"/>
      <c r="F6587" s="57"/>
      <c r="G6587" s="57"/>
      <c r="H6587" s="56"/>
      <c r="I6587" s="56"/>
      <c r="J6587" s="58"/>
      <c r="K6587" s="58"/>
      <c r="L6587" s="13" t="str">
        <f t="shared" si="1014"/>
        <v/>
      </c>
      <c r="M6587" s="13" t="str">
        <f t="shared" si="1015"/>
        <v/>
      </c>
      <c r="Q6587" t="str">
        <f t="shared" si="1016"/>
        <v/>
      </c>
      <c r="R6587" t="str">
        <f t="shared" si="1017"/>
        <v/>
      </c>
      <c r="S6587" t="str">
        <f t="shared" si="1018"/>
        <v/>
      </c>
      <c r="T6587" t="str">
        <f t="shared" si="1019"/>
        <v/>
      </c>
      <c r="U6587" t="str">
        <f t="shared" si="1020"/>
        <v/>
      </c>
      <c r="V6587" t="str">
        <f t="shared" si="1021"/>
        <v/>
      </c>
      <c r="W6587" t="str">
        <f t="shared" si="1022"/>
        <v/>
      </c>
      <c r="X6587">
        <f t="shared" si="1024"/>
        <v>0</v>
      </c>
      <c r="Z6587" t="str">
        <f t="shared" si="1023"/>
        <v/>
      </c>
      <c r="AA6587">
        <f t="shared" si="1025"/>
        <v>0</v>
      </c>
    </row>
    <row r="6588" spans="1:27" ht="21" customHeight="1" x14ac:dyDescent="0.95">
      <c r="A6588" s="56"/>
      <c r="B6588" s="57"/>
      <c r="C6588" s="57"/>
      <c r="D6588" s="57"/>
      <c r="E6588" s="56"/>
      <c r="F6588" s="57"/>
      <c r="G6588" s="57"/>
      <c r="H6588" s="56"/>
      <c r="I6588" s="56"/>
      <c r="J6588" s="58"/>
      <c r="K6588" s="58"/>
      <c r="L6588" s="13" t="str">
        <f t="shared" si="1014"/>
        <v/>
      </c>
      <c r="M6588" s="13" t="str">
        <f t="shared" si="1015"/>
        <v/>
      </c>
      <c r="Q6588" t="str">
        <f t="shared" si="1016"/>
        <v/>
      </c>
      <c r="R6588" t="str">
        <f t="shared" si="1017"/>
        <v/>
      </c>
      <c r="S6588" t="str">
        <f t="shared" si="1018"/>
        <v/>
      </c>
      <c r="T6588" t="str">
        <f t="shared" si="1019"/>
        <v/>
      </c>
      <c r="U6588" t="str">
        <f t="shared" si="1020"/>
        <v/>
      </c>
      <c r="V6588" t="str">
        <f t="shared" si="1021"/>
        <v/>
      </c>
      <c r="W6588" t="str">
        <f t="shared" si="1022"/>
        <v/>
      </c>
      <c r="X6588">
        <f t="shared" si="1024"/>
        <v>0</v>
      </c>
      <c r="Z6588" t="str">
        <f t="shared" si="1023"/>
        <v/>
      </c>
      <c r="AA6588">
        <f t="shared" si="1025"/>
        <v>0</v>
      </c>
    </row>
    <row r="6589" spans="1:27" ht="21" customHeight="1" x14ac:dyDescent="0.95">
      <c r="A6589" s="56"/>
      <c r="B6589" s="57"/>
      <c r="C6589" s="57"/>
      <c r="D6589" s="57"/>
      <c r="E6589" s="56"/>
      <c r="F6589" s="57"/>
      <c r="G6589" s="57"/>
      <c r="H6589" s="56"/>
      <c r="I6589" s="56"/>
      <c r="J6589" s="58"/>
      <c r="K6589" s="58"/>
      <c r="L6589" s="13" t="str">
        <f t="shared" si="1014"/>
        <v/>
      </c>
      <c r="M6589" s="13" t="str">
        <f t="shared" si="1015"/>
        <v/>
      </c>
      <c r="Q6589" t="str">
        <f t="shared" si="1016"/>
        <v/>
      </c>
      <c r="R6589" t="str">
        <f t="shared" si="1017"/>
        <v/>
      </c>
      <c r="S6589" t="str">
        <f t="shared" si="1018"/>
        <v/>
      </c>
      <c r="T6589" t="str">
        <f t="shared" si="1019"/>
        <v/>
      </c>
      <c r="U6589" t="str">
        <f t="shared" si="1020"/>
        <v/>
      </c>
      <c r="V6589" t="str">
        <f t="shared" si="1021"/>
        <v/>
      </c>
      <c r="W6589" t="str">
        <f t="shared" si="1022"/>
        <v/>
      </c>
      <c r="X6589">
        <f t="shared" si="1024"/>
        <v>0</v>
      </c>
      <c r="Z6589" t="str">
        <f t="shared" si="1023"/>
        <v/>
      </c>
      <c r="AA6589">
        <f t="shared" si="1025"/>
        <v>0</v>
      </c>
    </row>
    <row r="6590" spans="1:27" ht="21" customHeight="1" x14ac:dyDescent="0.95">
      <c r="A6590" s="56"/>
      <c r="B6590" s="57"/>
      <c r="C6590" s="57"/>
      <c r="D6590" s="57"/>
      <c r="E6590" s="56"/>
      <c r="F6590" s="57"/>
      <c r="G6590" s="57"/>
      <c r="H6590" s="56"/>
      <c r="I6590" s="56"/>
      <c r="J6590" s="58"/>
      <c r="K6590" s="58"/>
      <c r="L6590" s="13" t="str">
        <f t="shared" si="1014"/>
        <v/>
      </c>
      <c r="M6590" s="13" t="str">
        <f t="shared" si="1015"/>
        <v/>
      </c>
      <c r="Q6590" t="str">
        <f t="shared" si="1016"/>
        <v/>
      </c>
      <c r="R6590" t="str">
        <f t="shared" si="1017"/>
        <v/>
      </c>
      <c r="S6590" t="str">
        <f t="shared" si="1018"/>
        <v/>
      </c>
      <c r="T6590" t="str">
        <f t="shared" si="1019"/>
        <v/>
      </c>
      <c r="U6590" t="str">
        <f t="shared" si="1020"/>
        <v/>
      </c>
      <c r="V6590" t="str">
        <f t="shared" si="1021"/>
        <v/>
      </c>
      <c r="W6590" t="str">
        <f t="shared" si="1022"/>
        <v/>
      </c>
      <c r="X6590">
        <f t="shared" si="1024"/>
        <v>0</v>
      </c>
      <c r="Z6590" t="str">
        <f t="shared" si="1023"/>
        <v/>
      </c>
      <c r="AA6590">
        <f t="shared" si="1025"/>
        <v>0</v>
      </c>
    </row>
    <row r="6591" spans="1:27" ht="21" customHeight="1" x14ac:dyDescent="0.95">
      <c r="A6591" s="56"/>
      <c r="B6591" s="57"/>
      <c r="C6591" s="57"/>
      <c r="D6591" s="57"/>
      <c r="E6591" s="56"/>
      <c r="F6591" s="57"/>
      <c r="G6591" s="57"/>
      <c r="H6591" s="56"/>
      <c r="I6591" s="56"/>
      <c r="J6591" s="58"/>
      <c r="K6591" s="58"/>
      <c r="L6591" s="13" t="str">
        <f t="shared" si="1014"/>
        <v/>
      </c>
      <c r="M6591" s="13" t="str">
        <f t="shared" si="1015"/>
        <v/>
      </c>
      <c r="Q6591" t="str">
        <f t="shared" si="1016"/>
        <v/>
      </c>
      <c r="R6591" t="str">
        <f t="shared" si="1017"/>
        <v/>
      </c>
      <c r="S6591" t="str">
        <f t="shared" si="1018"/>
        <v/>
      </c>
      <c r="T6591" t="str">
        <f t="shared" si="1019"/>
        <v/>
      </c>
      <c r="U6591" t="str">
        <f t="shared" si="1020"/>
        <v/>
      </c>
      <c r="V6591" t="str">
        <f t="shared" si="1021"/>
        <v/>
      </c>
      <c r="W6591" t="str">
        <f t="shared" si="1022"/>
        <v/>
      </c>
      <c r="X6591">
        <f t="shared" si="1024"/>
        <v>0</v>
      </c>
      <c r="Z6591" t="str">
        <f t="shared" si="1023"/>
        <v/>
      </c>
      <c r="AA6591">
        <f t="shared" si="1025"/>
        <v>0</v>
      </c>
    </row>
    <row r="6592" spans="1:27" ht="21" customHeight="1" x14ac:dyDescent="0.95">
      <c r="A6592" s="56"/>
      <c r="B6592" s="57"/>
      <c r="C6592" s="57"/>
      <c r="D6592" s="57"/>
      <c r="E6592" s="56"/>
      <c r="F6592" s="57"/>
      <c r="G6592" s="57"/>
      <c r="H6592" s="56"/>
      <c r="I6592" s="56"/>
      <c r="J6592" s="58"/>
      <c r="K6592" s="58"/>
      <c r="L6592" s="13" t="str">
        <f t="shared" si="1014"/>
        <v/>
      </c>
      <c r="M6592" s="13" t="str">
        <f t="shared" si="1015"/>
        <v/>
      </c>
      <c r="Q6592" t="str">
        <f t="shared" si="1016"/>
        <v/>
      </c>
      <c r="R6592" t="str">
        <f t="shared" si="1017"/>
        <v/>
      </c>
      <c r="S6592" t="str">
        <f t="shared" si="1018"/>
        <v/>
      </c>
      <c r="T6592" t="str">
        <f t="shared" si="1019"/>
        <v/>
      </c>
      <c r="U6592" t="str">
        <f t="shared" si="1020"/>
        <v/>
      </c>
      <c r="V6592" t="str">
        <f t="shared" si="1021"/>
        <v/>
      </c>
      <c r="W6592" t="str">
        <f t="shared" si="1022"/>
        <v/>
      </c>
      <c r="X6592">
        <f t="shared" si="1024"/>
        <v>0</v>
      </c>
      <c r="Z6592" t="str">
        <f t="shared" si="1023"/>
        <v/>
      </c>
      <c r="AA6592">
        <f t="shared" si="1025"/>
        <v>0</v>
      </c>
    </row>
    <row r="6593" spans="1:27" ht="21" customHeight="1" x14ac:dyDescent="0.95">
      <c r="A6593" s="56"/>
      <c r="B6593" s="57"/>
      <c r="C6593" s="57"/>
      <c r="D6593" s="57"/>
      <c r="E6593" s="56"/>
      <c r="F6593" s="57"/>
      <c r="G6593" s="57"/>
      <c r="H6593" s="56"/>
      <c r="I6593" s="56"/>
      <c r="J6593" s="58"/>
      <c r="K6593" s="58"/>
      <c r="L6593" s="13" t="str">
        <f t="shared" si="1014"/>
        <v/>
      </c>
      <c r="M6593" s="13" t="str">
        <f t="shared" si="1015"/>
        <v/>
      </c>
      <c r="Q6593" t="str">
        <f t="shared" si="1016"/>
        <v/>
      </c>
      <c r="R6593" t="str">
        <f t="shared" si="1017"/>
        <v/>
      </c>
      <c r="S6593" t="str">
        <f t="shared" si="1018"/>
        <v/>
      </c>
      <c r="T6593" t="str">
        <f t="shared" si="1019"/>
        <v/>
      </c>
      <c r="U6593" t="str">
        <f t="shared" si="1020"/>
        <v/>
      </c>
      <c r="V6593" t="str">
        <f t="shared" si="1021"/>
        <v/>
      </c>
      <c r="W6593" t="str">
        <f t="shared" si="1022"/>
        <v/>
      </c>
      <c r="X6593">
        <f t="shared" si="1024"/>
        <v>0</v>
      </c>
      <c r="Z6593" t="str">
        <f t="shared" si="1023"/>
        <v/>
      </c>
      <c r="AA6593">
        <f t="shared" si="1025"/>
        <v>0</v>
      </c>
    </row>
    <row r="6594" spans="1:27" ht="21" customHeight="1" x14ac:dyDescent="0.95">
      <c r="A6594" s="56"/>
      <c r="B6594" s="57"/>
      <c r="C6594" s="57"/>
      <c r="D6594" s="57"/>
      <c r="E6594" s="56"/>
      <c r="F6594" s="57"/>
      <c r="G6594" s="57"/>
      <c r="H6594" s="56"/>
      <c r="I6594" s="56"/>
      <c r="J6594" s="58"/>
      <c r="K6594" s="58"/>
      <c r="L6594" s="13" t="str">
        <f t="shared" si="1014"/>
        <v/>
      </c>
      <c r="M6594" s="13" t="str">
        <f t="shared" si="1015"/>
        <v/>
      </c>
      <c r="Q6594" t="str">
        <f t="shared" si="1016"/>
        <v/>
      </c>
      <c r="R6594" t="str">
        <f t="shared" si="1017"/>
        <v/>
      </c>
      <c r="S6594" t="str">
        <f t="shared" si="1018"/>
        <v/>
      </c>
      <c r="T6594" t="str">
        <f t="shared" si="1019"/>
        <v/>
      </c>
      <c r="U6594" t="str">
        <f t="shared" si="1020"/>
        <v/>
      </c>
      <c r="V6594" t="str">
        <f t="shared" si="1021"/>
        <v/>
      </c>
      <c r="W6594" t="str">
        <f t="shared" si="1022"/>
        <v/>
      </c>
      <c r="X6594">
        <f t="shared" si="1024"/>
        <v>0</v>
      </c>
      <c r="Z6594" t="str">
        <f t="shared" si="1023"/>
        <v/>
      </c>
      <c r="AA6594">
        <f t="shared" si="1025"/>
        <v>0</v>
      </c>
    </row>
    <row r="6595" spans="1:27" ht="21" customHeight="1" x14ac:dyDescent="0.95">
      <c r="A6595" s="56"/>
      <c r="B6595" s="57"/>
      <c r="C6595" s="57"/>
      <c r="D6595" s="57"/>
      <c r="E6595" s="56"/>
      <c r="F6595" s="57"/>
      <c r="G6595" s="57"/>
      <c r="H6595" s="56"/>
      <c r="I6595" s="56"/>
      <c r="J6595" s="58"/>
      <c r="K6595" s="58"/>
      <c r="L6595" s="13" t="str">
        <f t="shared" si="1014"/>
        <v/>
      </c>
      <c r="M6595" s="13" t="str">
        <f t="shared" si="1015"/>
        <v/>
      </c>
      <c r="Q6595" t="str">
        <f t="shared" si="1016"/>
        <v/>
      </c>
      <c r="R6595" t="str">
        <f t="shared" si="1017"/>
        <v/>
      </c>
      <c r="S6595" t="str">
        <f t="shared" si="1018"/>
        <v/>
      </c>
      <c r="T6595" t="str">
        <f t="shared" si="1019"/>
        <v/>
      </c>
      <c r="U6595" t="str">
        <f t="shared" si="1020"/>
        <v/>
      </c>
      <c r="V6595" t="str">
        <f t="shared" si="1021"/>
        <v/>
      </c>
      <c r="W6595" t="str">
        <f t="shared" si="1022"/>
        <v/>
      </c>
      <c r="X6595">
        <f t="shared" si="1024"/>
        <v>0</v>
      </c>
      <c r="Z6595" t="str">
        <f t="shared" si="1023"/>
        <v/>
      </c>
      <c r="AA6595">
        <f t="shared" si="1025"/>
        <v>0</v>
      </c>
    </row>
    <row r="6596" spans="1:27" ht="21" customHeight="1" x14ac:dyDescent="0.95">
      <c r="A6596" s="56"/>
      <c r="B6596" s="57"/>
      <c r="C6596" s="57"/>
      <c r="D6596" s="57"/>
      <c r="E6596" s="56"/>
      <c r="F6596" s="57"/>
      <c r="G6596" s="57"/>
      <c r="H6596" s="56"/>
      <c r="I6596" s="56"/>
      <c r="J6596" s="58"/>
      <c r="K6596" s="58"/>
      <c r="L6596" s="13" t="str">
        <f t="shared" ref="L6596:L6659" si="1026">IF(OR($A6596="",AND($J6596="",$K6596="")),"",ROUND(N($J6596)-N($K6596),2))</f>
        <v/>
      </c>
      <c r="M6596" s="13" t="str">
        <f t="shared" ref="M6596:M6659" si="1027">IF(OR($A6596="",AND($J6596="",$K6596="")),"",MIN($J6596,$K6596))</f>
        <v/>
      </c>
      <c r="Q6596" t="str">
        <f t="shared" ref="Q6596:Q6659" si="1028">IF($A6596="","",$D6596&amp;"("&amp;SUBSTITUTE($E6596," ","")&amp;")")</f>
        <v/>
      </c>
      <c r="R6596" t="str">
        <f t="shared" ref="R6596:R6659" si="1029">IF($A6596="","",$B6596&amp;" - "&amp;$C6596)</f>
        <v/>
      </c>
      <c r="S6596" t="str">
        <f t="shared" ref="S6596:S6659" si="1030">IF($A6596="","",$R6596&amp;"|"&amp;$Q6596)</f>
        <v/>
      </c>
      <c r="T6596" t="str">
        <f t="shared" ref="T6596:T6659" si="1031">IF($A6596="","",$S6596&amp;"|"&amp;$F6596)</f>
        <v/>
      </c>
      <c r="U6596" t="str">
        <f t="shared" ref="U6596:U6659" si="1032">IF($A6596="","",$R6596&amp;"("&amp;$E6596&amp;")")</f>
        <v/>
      </c>
      <c r="V6596" t="str">
        <f t="shared" ref="V6596:V6659" si="1033">IF($A6596="","",$F6596&amp;"|"&amp;$U6596&amp;"|"&amp;$D6596)</f>
        <v/>
      </c>
      <c r="W6596" t="str">
        <f t="shared" si="1022"/>
        <v/>
      </c>
      <c r="X6596">
        <f t="shared" si="1024"/>
        <v>0</v>
      </c>
      <c r="Z6596" t="str">
        <f t="shared" si="1023"/>
        <v/>
      </c>
      <c r="AA6596">
        <f t="shared" si="1025"/>
        <v>0</v>
      </c>
    </row>
    <row r="6597" spans="1:27" ht="21" customHeight="1" x14ac:dyDescent="0.95">
      <c r="A6597" s="56"/>
      <c r="B6597" s="57"/>
      <c r="C6597" s="57"/>
      <c r="D6597" s="57"/>
      <c r="E6597" s="56"/>
      <c r="F6597" s="57"/>
      <c r="G6597" s="57"/>
      <c r="H6597" s="56"/>
      <c r="I6597" s="56"/>
      <c r="J6597" s="58"/>
      <c r="K6597" s="58"/>
      <c r="L6597" s="13" t="str">
        <f t="shared" si="1026"/>
        <v/>
      </c>
      <c r="M6597" s="13" t="str">
        <f t="shared" si="1027"/>
        <v/>
      </c>
      <c r="Q6597" t="str">
        <f t="shared" si="1028"/>
        <v/>
      </c>
      <c r="R6597" t="str">
        <f t="shared" si="1029"/>
        <v/>
      </c>
      <c r="S6597" t="str">
        <f t="shared" si="1030"/>
        <v/>
      </c>
      <c r="T6597" t="str">
        <f t="shared" si="1031"/>
        <v/>
      </c>
      <c r="U6597" t="str">
        <f t="shared" si="1032"/>
        <v/>
      </c>
      <c r="V6597" t="str">
        <f t="shared" si="1033"/>
        <v/>
      </c>
      <c r="W6597" t="str">
        <f t="shared" si="1022"/>
        <v/>
      </c>
      <c r="X6597">
        <f t="shared" si="1024"/>
        <v>0</v>
      </c>
      <c r="Z6597" t="str">
        <f t="shared" si="1023"/>
        <v/>
      </c>
      <c r="AA6597">
        <f t="shared" si="1025"/>
        <v>0</v>
      </c>
    </row>
    <row r="6598" spans="1:27" ht="21" customHeight="1" x14ac:dyDescent="0.95">
      <c r="A6598" s="56"/>
      <c r="B6598" s="57"/>
      <c r="C6598" s="57"/>
      <c r="D6598" s="57"/>
      <c r="E6598" s="56"/>
      <c r="F6598" s="57"/>
      <c r="G6598" s="57"/>
      <c r="H6598" s="56"/>
      <c r="I6598" s="56"/>
      <c r="J6598" s="58"/>
      <c r="K6598" s="58"/>
      <c r="L6598" s="13" t="str">
        <f t="shared" si="1026"/>
        <v/>
      </c>
      <c r="M6598" s="13" t="str">
        <f t="shared" si="1027"/>
        <v/>
      </c>
      <c r="Q6598" t="str">
        <f t="shared" si="1028"/>
        <v/>
      </c>
      <c r="R6598" t="str">
        <f t="shared" si="1029"/>
        <v/>
      </c>
      <c r="S6598" t="str">
        <f t="shared" si="1030"/>
        <v/>
      </c>
      <c r="T6598" t="str">
        <f t="shared" si="1031"/>
        <v/>
      </c>
      <c r="U6598" t="str">
        <f t="shared" si="1032"/>
        <v/>
      </c>
      <c r="V6598" t="str">
        <f t="shared" si="1033"/>
        <v/>
      </c>
      <c r="W6598" t="str">
        <f t="shared" ref="W6598:W6661" si="1034">IF($T6598="","",IF($X6598&gt;N($X6597),$X6598,""))</f>
        <v/>
      </c>
      <c r="X6598">
        <f t="shared" si="1024"/>
        <v>0</v>
      </c>
      <c r="Z6598" t="str">
        <f t="shared" ref="Z6598:Z6661" si="1035">IF($V6598="","",IF($AA6598&gt;N($AA6597),$AA6598,""))</f>
        <v/>
      </c>
      <c r="AA6598">
        <f t="shared" si="1025"/>
        <v>0</v>
      </c>
    </row>
    <row r="6599" spans="1:27" ht="21" customHeight="1" x14ac:dyDescent="0.95">
      <c r="A6599" s="56"/>
      <c r="B6599" s="57"/>
      <c r="C6599" s="57"/>
      <c r="D6599" s="57"/>
      <c r="E6599" s="56"/>
      <c r="F6599" s="57"/>
      <c r="G6599" s="57"/>
      <c r="H6599" s="56"/>
      <c r="I6599" s="56"/>
      <c r="J6599" s="58"/>
      <c r="K6599" s="58"/>
      <c r="L6599" s="13" t="str">
        <f t="shared" si="1026"/>
        <v/>
      </c>
      <c r="M6599" s="13" t="str">
        <f t="shared" si="1027"/>
        <v/>
      </c>
      <c r="Q6599" t="str">
        <f t="shared" si="1028"/>
        <v/>
      </c>
      <c r="R6599" t="str">
        <f t="shared" si="1029"/>
        <v/>
      </c>
      <c r="S6599" t="str">
        <f t="shared" si="1030"/>
        <v/>
      </c>
      <c r="T6599" t="str">
        <f t="shared" si="1031"/>
        <v/>
      </c>
      <c r="U6599" t="str">
        <f t="shared" si="1032"/>
        <v/>
      </c>
      <c r="V6599" t="str">
        <f t="shared" si="1033"/>
        <v/>
      </c>
      <c r="W6599" t="str">
        <f t="shared" si="1034"/>
        <v/>
      </c>
      <c r="X6599">
        <f t="shared" si="1024"/>
        <v>0</v>
      </c>
      <c r="Z6599" t="str">
        <f t="shared" si="1035"/>
        <v/>
      </c>
      <c r="AA6599">
        <f t="shared" si="1025"/>
        <v>0</v>
      </c>
    </row>
    <row r="6600" spans="1:27" ht="21" customHeight="1" x14ac:dyDescent="0.95">
      <c r="A6600" s="56"/>
      <c r="B6600" s="57"/>
      <c r="C6600" s="57"/>
      <c r="D6600" s="57"/>
      <c r="E6600" s="56"/>
      <c r="F6600" s="57"/>
      <c r="G6600" s="57"/>
      <c r="H6600" s="56"/>
      <c r="I6600" s="56"/>
      <c r="J6600" s="58"/>
      <c r="K6600" s="58"/>
      <c r="L6600" s="13" t="str">
        <f t="shared" si="1026"/>
        <v/>
      </c>
      <c r="M6600" s="13" t="str">
        <f t="shared" si="1027"/>
        <v/>
      </c>
      <c r="Q6600" t="str">
        <f t="shared" si="1028"/>
        <v/>
      </c>
      <c r="R6600" t="str">
        <f t="shared" si="1029"/>
        <v/>
      </c>
      <c r="S6600" t="str">
        <f t="shared" si="1030"/>
        <v/>
      </c>
      <c r="T6600" t="str">
        <f t="shared" si="1031"/>
        <v/>
      </c>
      <c r="U6600" t="str">
        <f t="shared" si="1032"/>
        <v/>
      </c>
      <c r="V6600" t="str">
        <f t="shared" si="1033"/>
        <v/>
      </c>
      <c r="W6600" t="str">
        <f t="shared" si="1034"/>
        <v/>
      </c>
      <c r="X6600">
        <f t="shared" si="1024"/>
        <v>0</v>
      </c>
      <c r="Z6600" t="str">
        <f t="shared" si="1035"/>
        <v/>
      </c>
      <c r="AA6600">
        <f t="shared" si="1025"/>
        <v>0</v>
      </c>
    </row>
    <row r="6601" spans="1:27" ht="21" customHeight="1" x14ac:dyDescent="0.95">
      <c r="A6601" s="56"/>
      <c r="B6601" s="57"/>
      <c r="C6601" s="57"/>
      <c r="D6601" s="57"/>
      <c r="E6601" s="56"/>
      <c r="F6601" s="57"/>
      <c r="G6601" s="57"/>
      <c r="H6601" s="56"/>
      <c r="I6601" s="56"/>
      <c r="J6601" s="58"/>
      <c r="K6601" s="58"/>
      <c r="L6601" s="13" t="str">
        <f t="shared" si="1026"/>
        <v/>
      </c>
      <c r="M6601" s="13" t="str">
        <f t="shared" si="1027"/>
        <v/>
      </c>
      <c r="Q6601" t="str">
        <f t="shared" si="1028"/>
        <v/>
      </c>
      <c r="R6601" t="str">
        <f t="shared" si="1029"/>
        <v/>
      </c>
      <c r="S6601" t="str">
        <f t="shared" si="1030"/>
        <v/>
      </c>
      <c r="T6601" t="str">
        <f t="shared" si="1031"/>
        <v/>
      </c>
      <c r="U6601" t="str">
        <f t="shared" si="1032"/>
        <v/>
      </c>
      <c r="V6601" t="str">
        <f t="shared" si="1033"/>
        <v/>
      </c>
      <c r="W6601" t="str">
        <f t="shared" si="1034"/>
        <v/>
      </c>
      <c r="X6601">
        <f t="shared" si="1024"/>
        <v>0</v>
      </c>
      <c r="Z6601" t="str">
        <f t="shared" si="1035"/>
        <v/>
      </c>
      <c r="AA6601">
        <f t="shared" si="1025"/>
        <v>0</v>
      </c>
    </row>
    <row r="6602" spans="1:27" ht="21" customHeight="1" x14ac:dyDescent="0.95">
      <c r="A6602" s="56"/>
      <c r="B6602" s="57"/>
      <c r="C6602" s="57"/>
      <c r="D6602" s="57"/>
      <c r="E6602" s="56"/>
      <c r="F6602" s="57"/>
      <c r="G6602" s="57"/>
      <c r="H6602" s="56"/>
      <c r="I6602" s="56"/>
      <c r="J6602" s="58"/>
      <c r="K6602" s="58"/>
      <c r="L6602" s="13" t="str">
        <f t="shared" si="1026"/>
        <v/>
      </c>
      <c r="M6602" s="13" t="str">
        <f t="shared" si="1027"/>
        <v/>
      </c>
      <c r="Q6602" t="str">
        <f t="shared" si="1028"/>
        <v/>
      </c>
      <c r="R6602" t="str">
        <f t="shared" si="1029"/>
        <v/>
      </c>
      <c r="S6602" t="str">
        <f t="shared" si="1030"/>
        <v/>
      </c>
      <c r="T6602" t="str">
        <f t="shared" si="1031"/>
        <v/>
      </c>
      <c r="U6602" t="str">
        <f t="shared" si="1032"/>
        <v/>
      </c>
      <c r="V6602" t="str">
        <f t="shared" si="1033"/>
        <v/>
      </c>
      <c r="W6602" t="str">
        <f t="shared" si="1034"/>
        <v/>
      </c>
      <c r="X6602">
        <f t="shared" si="1024"/>
        <v>0</v>
      </c>
      <c r="Z6602" t="str">
        <f t="shared" si="1035"/>
        <v/>
      </c>
      <c r="AA6602">
        <f t="shared" si="1025"/>
        <v>0</v>
      </c>
    </row>
    <row r="6603" spans="1:27" ht="21" customHeight="1" x14ac:dyDescent="0.95">
      <c r="A6603" s="56"/>
      <c r="B6603" s="57"/>
      <c r="C6603" s="57"/>
      <c r="D6603" s="57"/>
      <c r="E6603" s="56"/>
      <c r="F6603" s="57"/>
      <c r="G6603" s="57"/>
      <c r="H6603" s="56"/>
      <c r="I6603" s="56"/>
      <c r="J6603" s="58"/>
      <c r="K6603" s="58"/>
      <c r="L6603" s="13" t="str">
        <f t="shared" si="1026"/>
        <v/>
      </c>
      <c r="M6603" s="13" t="str">
        <f t="shared" si="1027"/>
        <v/>
      </c>
      <c r="Q6603" t="str">
        <f t="shared" si="1028"/>
        <v/>
      </c>
      <c r="R6603" t="str">
        <f t="shared" si="1029"/>
        <v/>
      </c>
      <c r="S6603" t="str">
        <f t="shared" si="1030"/>
        <v/>
      </c>
      <c r="T6603" t="str">
        <f t="shared" si="1031"/>
        <v/>
      </c>
      <c r="U6603" t="str">
        <f t="shared" si="1032"/>
        <v/>
      </c>
      <c r="V6603" t="str">
        <f t="shared" si="1033"/>
        <v/>
      </c>
      <c r="W6603" t="str">
        <f t="shared" si="1034"/>
        <v/>
      </c>
      <c r="X6603">
        <f t="shared" si="1024"/>
        <v>0</v>
      </c>
      <c r="Z6603" t="str">
        <f t="shared" si="1035"/>
        <v/>
      </c>
      <c r="AA6603">
        <f t="shared" si="1025"/>
        <v>0</v>
      </c>
    </row>
    <row r="6604" spans="1:27" ht="21" customHeight="1" x14ac:dyDescent="0.95">
      <c r="A6604" s="56"/>
      <c r="B6604" s="57"/>
      <c r="C6604" s="57"/>
      <c r="D6604" s="57"/>
      <c r="E6604" s="56"/>
      <c r="F6604" s="57"/>
      <c r="G6604" s="57"/>
      <c r="H6604" s="56"/>
      <c r="I6604" s="56"/>
      <c r="J6604" s="58"/>
      <c r="K6604" s="58"/>
      <c r="L6604" s="13" t="str">
        <f t="shared" si="1026"/>
        <v/>
      </c>
      <c r="M6604" s="13" t="str">
        <f t="shared" si="1027"/>
        <v/>
      </c>
      <c r="Q6604" t="str">
        <f t="shared" si="1028"/>
        <v/>
      </c>
      <c r="R6604" t="str">
        <f t="shared" si="1029"/>
        <v/>
      </c>
      <c r="S6604" t="str">
        <f t="shared" si="1030"/>
        <v/>
      </c>
      <c r="T6604" t="str">
        <f t="shared" si="1031"/>
        <v/>
      </c>
      <c r="U6604" t="str">
        <f t="shared" si="1032"/>
        <v/>
      </c>
      <c r="V6604" t="str">
        <f t="shared" si="1033"/>
        <v/>
      </c>
      <c r="W6604" t="str">
        <f t="shared" si="1034"/>
        <v/>
      </c>
      <c r="X6604">
        <f t="shared" si="1024"/>
        <v>0</v>
      </c>
      <c r="Z6604" t="str">
        <f t="shared" si="1035"/>
        <v/>
      </c>
      <c r="AA6604">
        <f t="shared" si="1025"/>
        <v>0</v>
      </c>
    </row>
    <row r="6605" spans="1:27" ht="21" customHeight="1" x14ac:dyDescent="0.95">
      <c r="A6605" s="56"/>
      <c r="B6605" s="57"/>
      <c r="C6605" s="57"/>
      <c r="D6605" s="57"/>
      <c r="E6605" s="56"/>
      <c r="F6605" s="57"/>
      <c r="G6605" s="57"/>
      <c r="H6605" s="56"/>
      <c r="I6605" s="56"/>
      <c r="J6605" s="58"/>
      <c r="K6605" s="58"/>
      <c r="L6605" s="13" t="str">
        <f t="shared" si="1026"/>
        <v/>
      </c>
      <c r="M6605" s="13" t="str">
        <f t="shared" si="1027"/>
        <v/>
      </c>
      <c r="Q6605" t="str">
        <f t="shared" si="1028"/>
        <v/>
      </c>
      <c r="R6605" t="str">
        <f t="shared" si="1029"/>
        <v/>
      </c>
      <c r="S6605" t="str">
        <f t="shared" si="1030"/>
        <v/>
      </c>
      <c r="T6605" t="str">
        <f t="shared" si="1031"/>
        <v/>
      </c>
      <c r="U6605" t="str">
        <f t="shared" si="1032"/>
        <v/>
      </c>
      <c r="V6605" t="str">
        <f t="shared" si="1033"/>
        <v/>
      </c>
      <c r="W6605" t="str">
        <f t="shared" si="1034"/>
        <v/>
      </c>
      <c r="X6605">
        <f t="shared" si="1024"/>
        <v>0</v>
      </c>
      <c r="Z6605" t="str">
        <f t="shared" si="1035"/>
        <v/>
      </c>
      <c r="AA6605">
        <f t="shared" si="1025"/>
        <v>0</v>
      </c>
    </row>
    <row r="6606" spans="1:27" ht="21" customHeight="1" x14ac:dyDescent="0.95">
      <c r="A6606" s="56"/>
      <c r="B6606" s="57"/>
      <c r="C6606" s="57"/>
      <c r="D6606" s="57"/>
      <c r="E6606" s="56"/>
      <c r="F6606" s="57"/>
      <c r="G6606" s="57"/>
      <c r="H6606" s="56"/>
      <c r="I6606" s="56"/>
      <c r="J6606" s="58"/>
      <c r="K6606" s="58"/>
      <c r="L6606" s="13" t="str">
        <f t="shared" si="1026"/>
        <v/>
      </c>
      <c r="M6606" s="13" t="str">
        <f t="shared" si="1027"/>
        <v/>
      </c>
      <c r="Q6606" t="str">
        <f t="shared" si="1028"/>
        <v/>
      </c>
      <c r="R6606" t="str">
        <f t="shared" si="1029"/>
        <v/>
      </c>
      <c r="S6606" t="str">
        <f t="shared" si="1030"/>
        <v/>
      </c>
      <c r="T6606" t="str">
        <f t="shared" si="1031"/>
        <v/>
      </c>
      <c r="U6606" t="str">
        <f t="shared" si="1032"/>
        <v/>
      </c>
      <c r="V6606" t="str">
        <f t="shared" si="1033"/>
        <v/>
      </c>
      <c r="W6606" t="str">
        <f t="shared" si="1034"/>
        <v/>
      </c>
      <c r="X6606">
        <f t="shared" si="1024"/>
        <v>0</v>
      </c>
      <c r="Z6606" t="str">
        <f t="shared" si="1035"/>
        <v/>
      </c>
      <c r="AA6606">
        <f t="shared" si="1025"/>
        <v>0</v>
      </c>
    </row>
    <row r="6607" spans="1:27" ht="21" customHeight="1" x14ac:dyDescent="0.95">
      <c r="A6607" s="56"/>
      <c r="B6607" s="57"/>
      <c r="C6607" s="57"/>
      <c r="D6607" s="57"/>
      <c r="E6607" s="56"/>
      <c r="F6607" s="57"/>
      <c r="G6607" s="57"/>
      <c r="H6607" s="56"/>
      <c r="I6607" s="56"/>
      <c r="J6607" s="58"/>
      <c r="K6607" s="58"/>
      <c r="L6607" s="13" t="str">
        <f t="shared" si="1026"/>
        <v/>
      </c>
      <c r="M6607" s="13" t="str">
        <f t="shared" si="1027"/>
        <v/>
      </c>
      <c r="Q6607" t="str">
        <f t="shared" si="1028"/>
        <v/>
      </c>
      <c r="R6607" t="str">
        <f t="shared" si="1029"/>
        <v/>
      </c>
      <c r="S6607" t="str">
        <f t="shared" si="1030"/>
        <v/>
      </c>
      <c r="T6607" t="str">
        <f t="shared" si="1031"/>
        <v/>
      </c>
      <c r="U6607" t="str">
        <f t="shared" si="1032"/>
        <v/>
      </c>
      <c r="V6607" t="str">
        <f t="shared" si="1033"/>
        <v/>
      </c>
      <c r="W6607" t="str">
        <f t="shared" si="1034"/>
        <v/>
      </c>
      <c r="X6607">
        <f t="shared" si="1024"/>
        <v>0</v>
      </c>
      <c r="Z6607" t="str">
        <f t="shared" si="1035"/>
        <v/>
      </c>
      <c r="AA6607">
        <f t="shared" si="1025"/>
        <v>0</v>
      </c>
    </row>
    <row r="6608" spans="1:27" ht="21" customHeight="1" x14ac:dyDescent="0.95">
      <c r="A6608" s="56"/>
      <c r="B6608" s="57"/>
      <c r="C6608" s="57"/>
      <c r="D6608" s="57"/>
      <c r="E6608" s="56"/>
      <c r="F6608" s="57"/>
      <c r="G6608" s="57"/>
      <c r="H6608" s="56"/>
      <c r="I6608" s="56"/>
      <c r="J6608" s="58"/>
      <c r="K6608" s="58"/>
      <c r="L6608" s="13" t="str">
        <f t="shared" si="1026"/>
        <v/>
      </c>
      <c r="M6608" s="13" t="str">
        <f t="shared" si="1027"/>
        <v/>
      </c>
      <c r="Q6608" t="str">
        <f t="shared" si="1028"/>
        <v/>
      </c>
      <c r="R6608" t="str">
        <f t="shared" si="1029"/>
        <v/>
      </c>
      <c r="S6608" t="str">
        <f t="shared" si="1030"/>
        <v/>
      </c>
      <c r="T6608" t="str">
        <f t="shared" si="1031"/>
        <v/>
      </c>
      <c r="U6608" t="str">
        <f t="shared" si="1032"/>
        <v/>
      </c>
      <c r="V6608" t="str">
        <f t="shared" si="1033"/>
        <v/>
      </c>
      <c r="W6608" t="str">
        <f t="shared" si="1034"/>
        <v/>
      </c>
      <c r="X6608">
        <f t="shared" si="1024"/>
        <v>0</v>
      </c>
      <c r="Z6608" t="str">
        <f t="shared" si="1035"/>
        <v/>
      </c>
      <c r="AA6608">
        <f t="shared" si="1025"/>
        <v>0</v>
      </c>
    </row>
    <row r="6609" spans="1:27" ht="21" customHeight="1" x14ac:dyDescent="0.95">
      <c r="A6609" s="56"/>
      <c r="B6609" s="57"/>
      <c r="C6609" s="57"/>
      <c r="D6609" s="57"/>
      <c r="E6609" s="56"/>
      <c r="F6609" s="57"/>
      <c r="G6609" s="57"/>
      <c r="H6609" s="56"/>
      <c r="I6609" s="56"/>
      <c r="J6609" s="58"/>
      <c r="K6609" s="58"/>
      <c r="L6609" s="13" t="str">
        <f t="shared" si="1026"/>
        <v/>
      </c>
      <c r="M6609" s="13" t="str">
        <f t="shared" si="1027"/>
        <v/>
      </c>
      <c r="Q6609" t="str">
        <f t="shared" si="1028"/>
        <v/>
      </c>
      <c r="R6609" t="str">
        <f t="shared" si="1029"/>
        <v/>
      </c>
      <c r="S6609" t="str">
        <f t="shared" si="1030"/>
        <v/>
      </c>
      <c r="T6609" t="str">
        <f t="shared" si="1031"/>
        <v/>
      </c>
      <c r="U6609" t="str">
        <f t="shared" si="1032"/>
        <v/>
      </c>
      <c r="V6609" t="str">
        <f t="shared" si="1033"/>
        <v/>
      </c>
      <c r="W6609" t="str">
        <f t="shared" si="1034"/>
        <v/>
      </c>
      <c r="X6609">
        <f t="shared" si="1024"/>
        <v>0</v>
      </c>
      <c r="Z6609" t="str">
        <f t="shared" si="1035"/>
        <v/>
      </c>
      <c r="AA6609">
        <f t="shared" si="1025"/>
        <v>0</v>
      </c>
    </row>
    <row r="6610" spans="1:27" ht="21" customHeight="1" x14ac:dyDescent="0.95">
      <c r="A6610" s="56"/>
      <c r="B6610" s="57"/>
      <c r="C6610" s="57"/>
      <c r="D6610" s="57"/>
      <c r="E6610" s="56"/>
      <c r="F6610" s="57"/>
      <c r="G6610" s="57"/>
      <c r="H6610" s="56"/>
      <c r="I6610" s="56"/>
      <c r="J6610" s="58"/>
      <c r="K6610" s="58"/>
      <c r="L6610" s="13" t="str">
        <f t="shared" si="1026"/>
        <v/>
      </c>
      <c r="M6610" s="13" t="str">
        <f t="shared" si="1027"/>
        <v/>
      </c>
      <c r="Q6610" t="str">
        <f t="shared" si="1028"/>
        <v/>
      </c>
      <c r="R6610" t="str">
        <f t="shared" si="1029"/>
        <v/>
      </c>
      <c r="S6610" t="str">
        <f t="shared" si="1030"/>
        <v/>
      </c>
      <c r="T6610" t="str">
        <f t="shared" si="1031"/>
        <v/>
      </c>
      <c r="U6610" t="str">
        <f t="shared" si="1032"/>
        <v/>
      </c>
      <c r="V6610" t="str">
        <f t="shared" si="1033"/>
        <v/>
      </c>
      <c r="W6610" t="str">
        <f t="shared" si="1034"/>
        <v/>
      </c>
      <c r="X6610">
        <f t="shared" si="1024"/>
        <v>0</v>
      </c>
      <c r="Z6610" t="str">
        <f t="shared" si="1035"/>
        <v/>
      </c>
      <c r="AA6610">
        <f t="shared" si="1025"/>
        <v>0</v>
      </c>
    </row>
    <row r="6611" spans="1:27" ht="21" customHeight="1" x14ac:dyDescent="0.95">
      <c r="A6611" s="56"/>
      <c r="B6611" s="57"/>
      <c r="C6611" s="57"/>
      <c r="D6611" s="57"/>
      <c r="E6611" s="56"/>
      <c r="F6611" s="57"/>
      <c r="G6611" s="57"/>
      <c r="H6611" s="56"/>
      <c r="I6611" s="56"/>
      <c r="J6611" s="58"/>
      <c r="K6611" s="58"/>
      <c r="L6611" s="13" t="str">
        <f t="shared" si="1026"/>
        <v/>
      </c>
      <c r="M6611" s="13" t="str">
        <f t="shared" si="1027"/>
        <v/>
      </c>
      <c r="Q6611" t="str">
        <f t="shared" si="1028"/>
        <v/>
      </c>
      <c r="R6611" t="str">
        <f t="shared" si="1029"/>
        <v/>
      </c>
      <c r="S6611" t="str">
        <f t="shared" si="1030"/>
        <v/>
      </c>
      <c r="T6611" t="str">
        <f t="shared" si="1031"/>
        <v/>
      </c>
      <c r="U6611" t="str">
        <f t="shared" si="1032"/>
        <v/>
      </c>
      <c r="V6611" t="str">
        <f t="shared" si="1033"/>
        <v/>
      </c>
      <c r="W6611" t="str">
        <f t="shared" si="1034"/>
        <v/>
      </c>
      <c r="X6611">
        <f t="shared" si="1024"/>
        <v>0</v>
      </c>
      <c r="Z6611" t="str">
        <f t="shared" si="1035"/>
        <v/>
      </c>
      <c r="AA6611">
        <f t="shared" si="1025"/>
        <v>0</v>
      </c>
    </row>
    <row r="6612" spans="1:27" ht="21" customHeight="1" x14ac:dyDescent="0.95">
      <c r="A6612" s="56"/>
      <c r="B6612" s="57"/>
      <c r="C6612" s="57"/>
      <c r="D6612" s="57"/>
      <c r="E6612" s="56"/>
      <c r="F6612" s="57"/>
      <c r="G6612" s="57"/>
      <c r="H6612" s="56"/>
      <c r="I6612" s="56"/>
      <c r="J6612" s="58"/>
      <c r="K6612" s="58"/>
      <c r="L6612" s="13" t="str">
        <f t="shared" si="1026"/>
        <v/>
      </c>
      <c r="M6612" s="13" t="str">
        <f t="shared" si="1027"/>
        <v/>
      </c>
      <c r="Q6612" t="str">
        <f t="shared" si="1028"/>
        <v/>
      </c>
      <c r="R6612" t="str">
        <f t="shared" si="1029"/>
        <v/>
      </c>
      <c r="S6612" t="str">
        <f t="shared" si="1030"/>
        <v/>
      </c>
      <c r="T6612" t="str">
        <f t="shared" si="1031"/>
        <v/>
      </c>
      <c r="U6612" t="str">
        <f t="shared" si="1032"/>
        <v/>
      </c>
      <c r="V6612" t="str">
        <f t="shared" si="1033"/>
        <v/>
      </c>
      <c r="W6612" t="str">
        <f t="shared" si="1034"/>
        <v/>
      </c>
      <c r="X6612">
        <f t="shared" si="1024"/>
        <v>0</v>
      </c>
      <c r="Z6612" t="str">
        <f t="shared" si="1035"/>
        <v/>
      </c>
      <c r="AA6612">
        <f t="shared" si="1025"/>
        <v>0</v>
      </c>
    </row>
    <row r="6613" spans="1:27" ht="21" customHeight="1" x14ac:dyDescent="0.95">
      <c r="A6613" s="56"/>
      <c r="B6613" s="57"/>
      <c r="C6613" s="57"/>
      <c r="D6613" s="57"/>
      <c r="E6613" s="56"/>
      <c r="F6613" s="57"/>
      <c r="G6613" s="57"/>
      <c r="H6613" s="56"/>
      <c r="I6613" s="56"/>
      <c r="J6613" s="58"/>
      <c r="K6613" s="58"/>
      <c r="L6613" s="13" t="str">
        <f t="shared" si="1026"/>
        <v/>
      </c>
      <c r="M6613" s="13" t="str">
        <f t="shared" si="1027"/>
        <v/>
      </c>
      <c r="Q6613" t="str">
        <f t="shared" si="1028"/>
        <v/>
      </c>
      <c r="R6613" t="str">
        <f t="shared" si="1029"/>
        <v/>
      </c>
      <c r="S6613" t="str">
        <f t="shared" si="1030"/>
        <v/>
      </c>
      <c r="T6613" t="str">
        <f t="shared" si="1031"/>
        <v/>
      </c>
      <c r="U6613" t="str">
        <f t="shared" si="1032"/>
        <v/>
      </c>
      <c r="V6613" t="str">
        <f t="shared" si="1033"/>
        <v/>
      </c>
      <c r="W6613" t="str">
        <f t="shared" si="1034"/>
        <v/>
      </c>
      <c r="X6613">
        <f t="shared" si="1024"/>
        <v>0</v>
      </c>
      <c r="Z6613" t="str">
        <f t="shared" si="1035"/>
        <v/>
      </c>
      <c r="AA6613">
        <f t="shared" si="1025"/>
        <v>0</v>
      </c>
    </row>
    <row r="6614" spans="1:27" ht="21" customHeight="1" x14ac:dyDescent="0.95">
      <c r="A6614" s="56"/>
      <c r="B6614" s="57"/>
      <c r="C6614" s="57"/>
      <c r="D6614" s="57"/>
      <c r="E6614" s="56"/>
      <c r="F6614" s="57"/>
      <c r="G6614" s="57"/>
      <c r="H6614" s="56"/>
      <c r="I6614" s="56"/>
      <c r="J6614" s="58"/>
      <c r="K6614" s="58"/>
      <c r="L6614" s="13" t="str">
        <f t="shared" si="1026"/>
        <v/>
      </c>
      <c r="M6614" s="13" t="str">
        <f t="shared" si="1027"/>
        <v/>
      </c>
      <c r="Q6614" t="str">
        <f t="shared" si="1028"/>
        <v/>
      </c>
      <c r="R6614" t="str">
        <f t="shared" si="1029"/>
        <v/>
      </c>
      <c r="S6614" t="str">
        <f t="shared" si="1030"/>
        <v/>
      </c>
      <c r="T6614" t="str">
        <f t="shared" si="1031"/>
        <v/>
      </c>
      <c r="U6614" t="str">
        <f t="shared" si="1032"/>
        <v/>
      </c>
      <c r="V6614" t="str">
        <f t="shared" si="1033"/>
        <v/>
      </c>
      <c r="W6614" t="str">
        <f t="shared" si="1034"/>
        <v/>
      </c>
      <c r="X6614">
        <f t="shared" si="1024"/>
        <v>0</v>
      </c>
      <c r="Z6614" t="str">
        <f t="shared" si="1035"/>
        <v/>
      </c>
      <c r="AA6614">
        <f t="shared" si="1025"/>
        <v>0</v>
      </c>
    </row>
    <row r="6615" spans="1:27" ht="21" customHeight="1" x14ac:dyDescent="0.95">
      <c r="A6615" s="56"/>
      <c r="B6615" s="57"/>
      <c r="C6615" s="57"/>
      <c r="D6615" s="57"/>
      <c r="E6615" s="56"/>
      <c r="F6615" s="57"/>
      <c r="G6615" s="57"/>
      <c r="H6615" s="56"/>
      <c r="I6615" s="56"/>
      <c r="J6615" s="58"/>
      <c r="K6615" s="58"/>
      <c r="L6615" s="13" t="str">
        <f t="shared" si="1026"/>
        <v/>
      </c>
      <c r="M6615" s="13" t="str">
        <f t="shared" si="1027"/>
        <v/>
      </c>
      <c r="Q6615" t="str">
        <f t="shared" si="1028"/>
        <v/>
      </c>
      <c r="R6615" t="str">
        <f t="shared" si="1029"/>
        <v/>
      </c>
      <c r="S6615" t="str">
        <f t="shared" si="1030"/>
        <v/>
      </c>
      <c r="T6615" t="str">
        <f t="shared" si="1031"/>
        <v/>
      </c>
      <c r="U6615" t="str">
        <f t="shared" si="1032"/>
        <v/>
      </c>
      <c r="V6615" t="str">
        <f t="shared" si="1033"/>
        <v/>
      </c>
      <c r="W6615" t="str">
        <f t="shared" si="1034"/>
        <v/>
      </c>
      <c r="X6615">
        <f t="shared" si="1024"/>
        <v>0</v>
      </c>
      <c r="Z6615" t="str">
        <f t="shared" si="1035"/>
        <v/>
      </c>
      <c r="AA6615">
        <f t="shared" si="1025"/>
        <v>0</v>
      </c>
    </row>
    <row r="6616" spans="1:27" ht="21" customHeight="1" x14ac:dyDescent="0.95">
      <c r="A6616" s="56"/>
      <c r="B6616" s="57"/>
      <c r="C6616" s="57"/>
      <c r="D6616" s="57"/>
      <c r="E6616" s="56"/>
      <c r="F6616" s="57"/>
      <c r="G6616" s="57"/>
      <c r="H6616" s="56"/>
      <c r="I6616" s="56"/>
      <c r="J6616" s="58"/>
      <c r="K6616" s="58"/>
      <c r="L6616" s="13" t="str">
        <f t="shared" si="1026"/>
        <v/>
      </c>
      <c r="M6616" s="13" t="str">
        <f t="shared" si="1027"/>
        <v/>
      </c>
      <c r="Q6616" t="str">
        <f t="shared" si="1028"/>
        <v/>
      </c>
      <c r="R6616" t="str">
        <f t="shared" si="1029"/>
        <v/>
      </c>
      <c r="S6616" t="str">
        <f t="shared" si="1030"/>
        <v/>
      </c>
      <c r="T6616" t="str">
        <f t="shared" si="1031"/>
        <v/>
      </c>
      <c r="U6616" t="str">
        <f t="shared" si="1032"/>
        <v/>
      </c>
      <c r="V6616" t="str">
        <f t="shared" si="1033"/>
        <v/>
      </c>
      <c r="W6616" t="str">
        <f t="shared" si="1034"/>
        <v/>
      </c>
      <c r="X6616">
        <f t="shared" si="1024"/>
        <v>0</v>
      </c>
      <c r="Z6616" t="str">
        <f t="shared" si="1035"/>
        <v/>
      </c>
      <c r="AA6616">
        <f t="shared" si="1025"/>
        <v>0</v>
      </c>
    </row>
    <row r="6617" spans="1:27" ht="21" customHeight="1" x14ac:dyDescent="0.95">
      <c r="A6617" s="56"/>
      <c r="B6617" s="57"/>
      <c r="C6617" s="57"/>
      <c r="D6617" s="57"/>
      <c r="E6617" s="56"/>
      <c r="F6617" s="57"/>
      <c r="G6617" s="57"/>
      <c r="H6617" s="56"/>
      <c r="I6617" s="56"/>
      <c r="J6617" s="58"/>
      <c r="K6617" s="58"/>
      <c r="L6617" s="13" t="str">
        <f t="shared" si="1026"/>
        <v/>
      </c>
      <c r="M6617" s="13" t="str">
        <f t="shared" si="1027"/>
        <v/>
      </c>
      <c r="Q6617" t="str">
        <f t="shared" si="1028"/>
        <v/>
      </c>
      <c r="R6617" t="str">
        <f t="shared" si="1029"/>
        <v/>
      </c>
      <c r="S6617" t="str">
        <f t="shared" si="1030"/>
        <v/>
      </c>
      <c r="T6617" t="str">
        <f t="shared" si="1031"/>
        <v/>
      </c>
      <c r="U6617" t="str">
        <f t="shared" si="1032"/>
        <v/>
      </c>
      <c r="V6617" t="str">
        <f t="shared" si="1033"/>
        <v/>
      </c>
      <c r="W6617" t="str">
        <f t="shared" si="1034"/>
        <v/>
      </c>
      <c r="X6617">
        <f t="shared" si="1024"/>
        <v>0</v>
      </c>
      <c r="Z6617" t="str">
        <f t="shared" si="1035"/>
        <v/>
      </c>
      <c r="AA6617">
        <f t="shared" si="1025"/>
        <v>0</v>
      </c>
    </row>
    <row r="6618" spans="1:27" ht="21" customHeight="1" x14ac:dyDescent="0.95">
      <c r="A6618" s="56"/>
      <c r="B6618" s="57"/>
      <c r="C6618" s="57"/>
      <c r="D6618" s="57"/>
      <c r="E6618" s="56"/>
      <c r="F6618" s="57"/>
      <c r="G6618" s="57"/>
      <c r="H6618" s="56"/>
      <c r="I6618" s="56"/>
      <c r="J6618" s="58"/>
      <c r="K6618" s="58"/>
      <c r="L6618" s="13" t="str">
        <f t="shared" si="1026"/>
        <v/>
      </c>
      <c r="M6618" s="13" t="str">
        <f t="shared" si="1027"/>
        <v/>
      </c>
      <c r="Q6618" t="str">
        <f t="shared" si="1028"/>
        <v/>
      </c>
      <c r="R6618" t="str">
        <f t="shared" si="1029"/>
        <v/>
      </c>
      <c r="S6618" t="str">
        <f t="shared" si="1030"/>
        <v/>
      </c>
      <c r="T6618" t="str">
        <f t="shared" si="1031"/>
        <v/>
      </c>
      <c r="U6618" t="str">
        <f t="shared" si="1032"/>
        <v/>
      </c>
      <c r="V6618" t="str">
        <f t="shared" si="1033"/>
        <v/>
      </c>
      <c r="W6618" t="str">
        <f t="shared" si="1034"/>
        <v/>
      </c>
      <c r="X6618">
        <f t="shared" si="1024"/>
        <v>0</v>
      </c>
      <c r="Z6618" t="str">
        <f t="shared" si="1035"/>
        <v/>
      </c>
      <c r="AA6618">
        <f t="shared" si="1025"/>
        <v>0</v>
      </c>
    </row>
    <row r="6619" spans="1:27" ht="21" customHeight="1" x14ac:dyDescent="0.95">
      <c r="A6619" s="56"/>
      <c r="B6619" s="57"/>
      <c r="C6619" s="57"/>
      <c r="D6619" s="57"/>
      <c r="E6619" s="56"/>
      <c r="F6619" s="57"/>
      <c r="G6619" s="57"/>
      <c r="H6619" s="56"/>
      <c r="I6619" s="56"/>
      <c r="J6619" s="58"/>
      <c r="K6619" s="58"/>
      <c r="L6619" s="13" t="str">
        <f t="shared" si="1026"/>
        <v/>
      </c>
      <c r="M6619" s="13" t="str">
        <f t="shared" si="1027"/>
        <v/>
      </c>
      <c r="Q6619" t="str">
        <f t="shared" si="1028"/>
        <v/>
      </c>
      <c r="R6619" t="str">
        <f t="shared" si="1029"/>
        <v/>
      </c>
      <c r="S6619" t="str">
        <f t="shared" si="1030"/>
        <v/>
      </c>
      <c r="T6619" t="str">
        <f t="shared" si="1031"/>
        <v/>
      </c>
      <c r="U6619" t="str">
        <f t="shared" si="1032"/>
        <v/>
      </c>
      <c r="V6619" t="str">
        <f t="shared" si="1033"/>
        <v/>
      </c>
      <c r="W6619" t="str">
        <f t="shared" si="1034"/>
        <v/>
      </c>
      <c r="X6619">
        <f t="shared" si="1024"/>
        <v>0</v>
      </c>
      <c r="Z6619" t="str">
        <f t="shared" si="1035"/>
        <v/>
      </c>
      <c r="AA6619">
        <f t="shared" si="1025"/>
        <v>0</v>
      </c>
    </row>
    <row r="6620" spans="1:27" ht="21" customHeight="1" x14ac:dyDescent="0.95">
      <c r="A6620" s="56"/>
      <c r="B6620" s="57"/>
      <c r="C6620" s="57"/>
      <c r="D6620" s="57"/>
      <c r="E6620" s="56"/>
      <c r="F6620" s="57"/>
      <c r="G6620" s="57"/>
      <c r="H6620" s="56"/>
      <c r="I6620" s="56"/>
      <c r="J6620" s="58"/>
      <c r="K6620" s="58"/>
      <c r="L6620" s="13" t="str">
        <f t="shared" si="1026"/>
        <v/>
      </c>
      <c r="M6620" s="13" t="str">
        <f t="shared" si="1027"/>
        <v/>
      </c>
      <c r="Q6620" t="str">
        <f t="shared" si="1028"/>
        <v/>
      </c>
      <c r="R6620" t="str">
        <f t="shared" si="1029"/>
        <v/>
      </c>
      <c r="S6620" t="str">
        <f t="shared" si="1030"/>
        <v/>
      </c>
      <c r="T6620" t="str">
        <f t="shared" si="1031"/>
        <v/>
      </c>
      <c r="U6620" t="str">
        <f t="shared" si="1032"/>
        <v/>
      </c>
      <c r="V6620" t="str">
        <f t="shared" si="1033"/>
        <v/>
      </c>
      <c r="W6620" t="str">
        <f t="shared" si="1034"/>
        <v/>
      </c>
      <c r="X6620">
        <f t="shared" si="1024"/>
        <v>0</v>
      </c>
      <c r="Z6620" t="str">
        <f t="shared" si="1035"/>
        <v/>
      </c>
      <c r="AA6620">
        <f t="shared" si="1025"/>
        <v>0</v>
      </c>
    </row>
    <row r="6621" spans="1:27" ht="21" customHeight="1" x14ac:dyDescent="0.95">
      <c r="A6621" s="56"/>
      <c r="B6621" s="57"/>
      <c r="C6621" s="57"/>
      <c r="D6621" s="57"/>
      <c r="E6621" s="56"/>
      <c r="F6621" s="57"/>
      <c r="G6621" s="57"/>
      <c r="H6621" s="56"/>
      <c r="I6621" s="56"/>
      <c r="J6621" s="58"/>
      <c r="K6621" s="58"/>
      <c r="L6621" s="13" t="str">
        <f t="shared" si="1026"/>
        <v/>
      </c>
      <c r="M6621" s="13" t="str">
        <f t="shared" si="1027"/>
        <v/>
      </c>
      <c r="Q6621" t="str">
        <f t="shared" si="1028"/>
        <v/>
      </c>
      <c r="R6621" t="str">
        <f t="shared" si="1029"/>
        <v/>
      </c>
      <c r="S6621" t="str">
        <f t="shared" si="1030"/>
        <v/>
      </c>
      <c r="T6621" t="str">
        <f t="shared" si="1031"/>
        <v/>
      </c>
      <c r="U6621" t="str">
        <f t="shared" si="1032"/>
        <v/>
      </c>
      <c r="V6621" t="str">
        <f t="shared" si="1033"/>
        <v/>
      </c>
      <c r="W6621" t="str">
        <f t="shared" si="1034"/>
        <v/>
      </c>
      <c r="X6621">
        <f t="shared" si="1024"/>
        <v>0</v>
      </c>
      <c r="Z6621" t="str">
        <f t="shared" si="1035"/>
        <v/>
      </c>
      <c r="AA6621">
        <f t="shared" si="1025"/>
        <v>0</v>
      </c>
    </row>
    <row r="6622" spans="1:27" ht="21" customHeight="1" x14ac:dyDescent="0.95">
      <c r="A6622" s="56"/>
      <c r="B6622" s="57"/>
      <c r="C6622" s="57"/>
      <c r="D6622" s="57"/>
      <c r="E6622" s="56"/>
      <c r="F6622" s="57"/>
      <c r="G6622" s="57"/>
      <c r="H6622" s="56"/>
      <c r="I6622" s="56"/>
      <c r="J6622" s="58"/>
      <c r="K6622" s="58"/>
      <c r="L6622" s="13" t="str">
        <f t="shared" si="1026"/>
        <v/>
      </c>
      <c r="M6622" s="13" t="str">
        <f t="shared" si="1027"/>
        <v/>
      </c>
      <c r="Q6622" t="str">
        <f t="shared" si="1028"/>
        <v/>
      </c>
      <c r="R6622" t="str">
        <f t="shared" si="1029"/>
        <v/>
      </c>
      <c r="S6622" t="str">
        <f t="shared" si="1030"/>
        <v/>
      </c>
      <c r="T6622" t="str">
        <f t="shared" si="1031"/>
        <v/>
      </c>
      <c r="U6622" t="str">
        <f t="shared" si="1032"/>
        <v/>
      </c>
      <c r="V6622" t="str">
        <f t="shared" si="1033"/>
        <v/>
      </c>
      <c r="W6622" t="str">
        <f t="shared" si="1034"/>
        <v/>
      </c>
      <c r="X6622">
        <f t="shared" si="1024"/>
        <v>0</v>
      </c>
      <c r="Z6622" t="str">
        <f t="shared" si="1035"/>
        <v/>
      </c>
      <c r="AA6622">
        <f t="shared" si="1025"/>
        <v>0</v>
      </c>
    </row>
    <row r="6623" spans="1:27" ht="21" customHeight="1" x14ac:dyDescent="0.95">
      <c r="A6623" s="56"/>
      <c r="B6623" s="57"/>
      <c r="C6623" s="57"/>
      <c r="D6623" s="57"/>
      <c r="E6623" s="56"/>
      <c r="F6623" s="57"/>
      <c r="G6623" s="57"/>
      <c r="H6623" s="56"/>
      <c r="I6623" s="56"/>
      <c r="J6623" s="58"/>
      <c r="K6623" s="58"/>
      <c r="L6623" s="13" t="str">
        <f t="shared" si="1026"/>
        <v/>
      </c>
      <c r="M6623" s="13" t="str">
        <f t="shared" si="1027"/>
        <v/>
      </c>
      <c r="Q6623" t="str">
        <f t="shared" si="1028"/>
        <v/>
      </c>
      <c r="R6623" t="str">
        <f t="shared" si="1029"/>
        <v/>
      </c>
      <c r="S6623" t="str">
        <f t="shared" si="1030"/>
        <v/>
      </c>
      <c r="T6623" t="str">
        <f t="shared" si="1031"/>
        <v/>
      </c>
      <c r="U6623" t="str">
        <f t="shared" si="1032"/>
        <v/>
      </c>
      <c r="V6623" t="str">
        <f t="shared" si="1033"/>
        <v/>
      </c>
      <c r="W6623" t="str">
        <f t="shared" si="1034"/>
        <v/>
      </c>
      <c r="X6623">
        <f t="shared" si="1024"/>
        <v>0</v>
      </c>
      <c r="Z6623" t="str">
        <f t="shared" si="1035"/>
        <v/>
      </c>
      <c r="AA6623">
        <f t="shared" si="1025"/>
        <v>0</v>
      </c>
    </row>
    <row r="6624" spans="1:27" ht="21" customHeight="1" x14ac:dyDescent="0.95">
      <c r="A6624" s="56"/>
      <c r="B6624" s="57"/>
      <c r="C6624" s="57"/>
      <c r="D6624" s="57"/>
      <c r="E6624" s="56"/>
      <c r="F6624" s="57"/>
      <c r="G6624" s="57"/>
      <c r="H6624" s="56"/>
      <c r="I6624" s="56"/>
      <c r="J6624" s="58"/>
      <c r="K6624" s="58"/>
      <c r="L6624" s="13" t="str">
        <f t="shared" si="1026"/>
        <v/>
      </c>
      <c r="M6624" s="13" t="str">
        <f t="shared" si="1027"/>
        <v/>
      </c>
      <c r="Q6624" t="str">
        <f t="shared" si="1028"/>
        <v/>
      </c>
      <c r="R6624" t="str">
        <f t="shared" si="1029"/>
        <v/>
      </c>
      <c r="S6624" t="str">
        <f t="shared" si="1030"/>
        <v/>
      </c>
      <c r="T6624" t="str">
        <f t="shared" si="1031"/>
        <v/>
      </c>
      <c r="U6624" t="str">
        <f t="shared" si="1032"/>
        <v/>
      </c>
      <c r="V6624" t="str">
        <f t="shared" si="1033"/>
        <v/>
      </c>
      <c r="W6624" t="str">
        <f t="shared" si="1034"/>
        <v/>
      </c>
      <c r="X6624">
        <f t="shared" si="1024"/>
        <v>0</v>
      </c>
      <c r="Z6624" t="str">
        <f t="shared" si="1035"/>
        <v/>
      </c>
      <c r="AA6624">
        <f t="shared" si="1025"/>
        <v>0</v>
      </c>
    </row>
    <row r="6625" spans="1:27" ht="21" customHeight="1" x14ac:dyDescent="0.95">
      <c r="A6625" s="56"/>
      <c r="B6625" s="57"/>
      <c r="C6625" s="57"/>
      <c r="D6625" s="57"/>
      <c r="E6625" s="56"/>
      <c r="F6625" s="57"/>
      <c r="G6625" s="57"/>
      <c r="H6625" s="56"/>
      <c r="I6625" s="56"/>
      <c r="J6625" s="58"/>
      <c r="K6625" s="58"/>
      <c r="L6625" s="13" t="str">
        <f t="shared" si="1026"/>
        <v/>
      </c>
      <c r="M6625" s="13" t="str">
        <f t="shared" si="1027"/>
        <v/>
      </c>
      <c r="Q6625" t="str">
        <f t="shared" si="1028"/>
        <v/>
      </c>
      <c r="R6625" t="str">
        <f t="shared" si="1029"/>
        <v/>
      </c>
      <c r="S6625" t="str">
        <f t="shared" si="1030"/>
        <v/>
      </c>
      <c r="T6625" t="str">
        <f t="shared" si="1031"/>
        <v/>
      </c>
      <c r="U6625" t="str">
        <f t="shared" si="1032"/>
        <v/>
      </c>
      <c r="V6625" t="str">
        <f t="shared" si="1033"/>
        <v/>
      </c>
      <c r="W6625" t="str">
        <f t="shared" si="1034"/>
        <v/>
      </c>
      <c r="X6625">
        <f t="shared" si="1024"/>
        <v>0</v>
      </c>
      <c r="Z6625" t="str">
        <f t="shared" si="1035"/>
        <v/>
      </c>
      <c r="AA6625">
        <f t="shared" si="1025"/>
        <v>0</v>
      </c>
    </row>
    <row r="6626" spans="1:27" ht="21" customHeight="1" x14ac:dyDescent="0.95">
      <c r="A6626" s="56"/>
      <c r="B6626" s="57"/>
      <c r="C6626" s="57"/>
      <c r="D6626" s="57"/>
      <c r="E6626" s="56"/>
      <c r="F6626" s="57"/>
      <c r="G6626" s="57"/>
      <c r="H6626" s="56"/>
      <c r="I6626" s="56"/>
      <c r="J6626" s="58"/>
      <c r="K6626" s="58"/>
      <c r="L6626" s="13" t="str">
        <f t="shared" si="1026"/>
        <v/>
      </c>
      <c r="M6626" s="13" t="str">
        <f t="shared" si="1027"/>
        <v/>
      </c>
      <c r="Q6626" t="str">
        <f t="shared" si="1028"/>
        <v/>
      </c>
      <c r="R6626" t="str">
        <f t="shared" si="1029"/>
        <v/>
      </c>
      <c r="S6626" t="str">
        <f t="shared" si="1030"/>
        <v/>
      </c>
      <c r="T6626" t="str">
        <f t="shared" si="1031"/>
        <v/>
      </c>
      <c r="U6626" t="str">
        <f t="shared" si="1032"/>
        <v/>
      </c>
      <c r="V6626" t="str">
        <f t="shared" si="1033"/>
        <v/>
      </c>
      <c r="W6626" t="str">
        <f t="shared" si="1034"/>
        <v/>
      </c>
      <c r="X6626">
        <f t="shared" si="1024"/>
        <v>0</v>
      </c>
      <c r="Z6626" t="str">
        <f t="shared" si="1035"/>
        <v/>
      </c>
      <c r="AA6626">
        <f t="shared" si="1025"/>
        <v>0</v>
      </c>
    </row>
    <row r="6627" spans="1:27" ht="21" customHeight="1" x14ac:dyDescent="0.95">
      <c r="A6627" s="56"/>
      <c r="B6627" s="57"/>
      <c r="C6627" s="57"/>
      <c r="D6627" s="57"/>
      <c r="E6627" s="56"/>
      <c r="F6627" s="57"/>
      <c r="G6627" s="57"/>
      <c r="H6627" s="56"/>
      <c r="I6627" s="56"/>
      <c r="J6627" s="58"/>
      <c r="K6627" s="58"/>
      <c r="L6627" s="13" t="str">
        <f t="shared" si="1026"/>
        <v/>
      </c>
      <c r="M6627" s="13" t="str">
        <f t="shared" si="1027"/>
        <v/>
      </c>
      <c r="Q6627" t="str">
        <f t="shared" si="1028"/>
        <v/>
      </c>
      <c r="R6627" t="str">
        <f t="shared" si="1029"/>
        <v/>
      </c>
      <c r="S6627" t="str">
        <f t="shared" si="1030"/>
        <v/>
      </c>
      <c r="T6627" t="str">
        <f t="shared" si="1031"/>
        <v/>
      </c>
      <c r="U6627" t="str">
        <f t="shared" si="1032"/>
        <v/>
      </c>
      <c r="V6627" t="str">
        <f t="shared" si="1033"/>
        <v/>
      </c>
      <c r="W6627" t="str">
        <f t="shared" si="1034"/>
        <v/>
      </c>
      <c r="X6627">
        <f t="shared" si="1024"/>
        <v>0</v>
      </c>
      <c r="Z6627" t="str">
        <f t="shared" si="1035"/>
        <v/>
      </c>
      <c r="AA6627">
        <f t="shared" si="1025"/>
        <v>0</v>
      </c>
    </row>
    <row r="6628" spans="1:27" ht="21" customHeight="1" x14ac:dyDescent="0.95">
      <c r="A6628" s="56"/>
      <c r="B6628" s="57"/>
      <c r="C6628" s="57"/>
      <c r="D6628" s="57"/>
      <c r="E6628" s="56"/>
      <c r="F6628" s="57"/>
      <c r="G6628" s="57"/>
      <c r="H6628" s="56"/>
      <c r="I6628" s="56"/>
      <c r="J6628" s="58"/>
      <c r="K6628" s="58"/>
      <c r="L6628" s="13" t="str">
        <f t="shared" si="1026"/>
        <v/>
      </c>
      <c r="M6628" s="13" t="str">
        <f t="shared" si="1027"/>
        <v/>
      </c>
      <c r="Q6628" t="str">
        <f t="shared" si="1028"/>
        <v/>
      </c>
      <c r="R6628" t="str">
        <f t="shared" si="1029"/>
        <v/>
      </c>
      <c r="S6628" t="str">
        <f t="shared" si="1030"/>
        <v/>
      </c>
      <c r="T6628" t="str">
        <f t="shared" si="1031"/>
        <v/>
      </c>
      <c r="U6628" t="str">
        <f t="shared" si="1032"/>
        <v/>
      </c>
      <c r="V6628" t="str">
        <f t="shared" si="1033"/>
        <v/>
      </c>
      <c r="W6628" t="str">
        <f t="shared" si="1034"/>
        <v/>
      </c>
      <c r="X6628">
        <f t="shared" si="1024"/>
        <v>0</v>
      </c>
      <c r="Z6628" t="str">
        <f t="shared" si="1035"/>
        <v/>
      </c>
      <c r="AA6628">
        <f t="shared" si="1025"/>
        <v>0</v>
      </c>
    </row>
    <row r="6629" spans="1:27" ht="21" customHeight="1" x14ac:dyDescent="0.95">
      <c r="A6629" s="56"/>
      <c r="B6629" s="57"/>
      <c r="C6629" s="57"/>
      <c r="D6629" s="57"/>
      <c r="E6629" s="56"/>
      <c r="F6629" s="57"/>
      <c r="G6629" s="57"/>
      <c r="H6629" s="56"/>
      <c r="I6629" s="56"/>
      <c r="J6629" s="58"/>
      <c r="K6629" s="58"/>
      <c r="L6629" s="13" t="str">
        <f t="shared" si="1026"/>
        <v/>
      </c>
      <c r="M6629" s="13" t="str">
        <f t="shared" si="1027"/>
        <v/>
      </c>
      <c r="Q6629" t="str">
        <f t="shared" si="1028"/>
        <v/>
      </c>
      <c r="R6629" t="str">
        <f t="shared" si="1029"/>
        <v/>
      </c>
      <c r="S6629" t="str">
        <f t="shared" si="1030"/>
        <v/>
      </c>
      <c r="T6629" t="str">
        <f t="shared" si="1031"/>
        <v/>
      </c>
      <c r="U6629" t="str">
        <f t="shared" si="1032"/>
        <v/>
      </c>
      <c r="V6629" t="str">
        <f t="shared" si="1033"/>
        <v/>
      </c>
      <c r="W6629" t="str">
        <f t="shared" si="1034"/>
        <v/>
      </c>
      <c r="X6629">
        <f t="shared" si="1024"/>
        <v>0</v>
      </c>
      <c r="Z6629" t="str">
        <f t="shared" si="1035"/>
        <v/>
      </c>
      <c r="AA6629">
        <f t="shared" si="1025"/>
        <v>0</v>
      </c>
    </row>
    <row r="6630" spans="1:27" ht="21" customHeight="1" x14ac:dyDescent="0.95">
      <c r="A6630" s="56"/>
      <c r="B6630" s="57"/>
      <c r="C6630" s="57"/>
      <c r="D6630" s="57"/>
      <c r="E6630" s="56"/>
      <c r="F6630" s="57"/>
      <c r="G6630" s="57"/>
      <c r="H6630" s="56"/>
      <c r="I6630" s="56"/>
      <c r="J6630" s="58"/>
      <c r="K6630" s="58"/>
      <c r="L6630" s="13" t="str">
        <f t="shared" si="1026"/>
        <v/>
      </c>
      <c r="M6630" s="13" t="str">
        <f t="shared" si="1027"/>
        <v/>
      </c>
      <c r="Q6630" t="str">
        <f t="shared" si="1028"/>
        <v/>
      </c>
      <c r="R6630" t="str">
        <f t="shared" si="1029"/>
        <v/>
      </c>
      <c r="S6630" t="str">
        <f t="shared" si="1030"/>
        <v/>
      </c>
      <c r="T6630" t="str">
        <f t="shared" si="1031"/>
        <v/>
      </c>
      <c r="U6630" t="str">
        <f t="shared" si="1032"/>
        <v/>
      </c>
      <c r="V6630" t="str">
        <f t="shared" si="1033"/>
        <v/>
      </c>
      <c r="W6630" t="str">
        <f t="shared" si="1034"/>
        <v/>
      </c>
      <c r="X6630">
        <f t="shared" si="1024"/>
        <v>0</v>
      </c>
      <c r="Z6630" t="str">
        <f t="shared" si="1035"/>
        <v/>
      </c>
      <c r="AA6630">
        <f t="shared" si="1025"/>
        <v>0</v>
      </c>
    </row>
    <row r="6631" spans="1:27" ht="21" customHeight="1" x14ac:dyDescent="0.95">
      <c r="A6631" s="56"/>
      <c r="B6631" s="57"/>
      <c r="C6631" s="57"/>
      <c r="D6631" s="57"/>
      <c r="E6631" s="56"/>
      <c r="F6631" s="57"/>
      <c r="G6631" s="57"/>
      <c r="H6631" s="56"/>
      <c r="I6631" s="56"/>
      <c r="J6631" s="58"/>
      <c r="K6631" s="58"/>
      <c r="L6631" s="13" t="str">
        <f t="shared" si="1026"/>
        <v/>
      </c>
      <c r="M6631" s="13" t="str">
        <f t="shared" si="1027"/>
        <v/>
      </c>
      <c r="Q6631" t="str">
        <f t="shared" si="1028"/>
        <v/>
      </c>
      <c r="R6631" t="str">
        <f t="shared" si="1029"/>
        <v/>
      </c>
      <c r="S6631" t="str">
        <f t="shared" si="1030"/>
        <v/>
      </c>
      <c r="T6631" t="str">
        <f t="shared" si="1031"/>
        <v/>
      </c>
      <c r="U6631" t="str">
        <f t="shared" si="1032"/>
        <v/>
      </c>
      <c r="V6631" t="str">
        <f t="shared" si="1033"/>
        <v/>
      </c>
      <c r="W6631" t="str">
        <f t="shared" si="1034"/>
        <v/>
      </c>
      <c r="X6631">
        <f t="shared" si="1024"/>
        <v>0</v>
      </c>
      <c r="Z6631" t="str">
        <f t="shared" si="1035"/>
        <v/>
      </c>
      <c r="AA6631">
        <f t="shared" si="1025"/>
        <v>0</v>
      </c>
    </row>
    <row r="6632" spans="1:27" ht="21" customHeight="1" x14ac:dyDescent="0.95">
      <c r="A6632" s="56"/>
      <c r="B6632" s="57"/>
      <c r="C6632" s="57"/>
      <c r="D6632" s="57"/>
      <c r="E6632" s="56"/>
      <c r="F6632" s="57"/>
      <c r="G6632" s="57"/>
      <c r="H6632" s="56"/>
      <c r="I6632" s="56"/>
      <c r="J6632" s="58"/>
      <c r="K6632" s="58"/>
      <c r="L6632" s="13" t="str">
        <f t="shared" si="1026"/>
        <v/>
      </c>
      <c r="M6632" s="13" t="str">
        <f t="shared" si="1027"/>
        <v/>
      </c>
      <c r="Q6632" t="str">
        <f t="shared" si="1028"/>
        <v/>
      </c>
      <c r="R6632" t="str">
        <f t="shared" si="1029"/>
        <v/>
      </c>
      <c r="S6632" t="str">
        <f t="shared" si="1030"/>
        <v/>
      </c>
      <c r="T6632" t="str">
        <f t="shared" si="1031"/>
        <v/>
      </c>
      <c r="U6632" t="str">
        <f t="shared" si="1032"/>
        <v/>
      </c>
      <c r="V6632" t="str">
        <f t="shared" si="1033"/>
        <v/>
      </c>
      <c r="W6632" t="str">
        <f t="shared" si="1034"/>
        <v/>
      </c>
      <c r="X6632">
        <f t="shared" si="1024"/>
        <v>0</v>
      </c>
      <c r="Z6632" t="str">
        <f t="shared" si="1035"/>
        <v/>
      </c>
      <c r="AA6632">
        <f t="shared" si="1025"/>
        <v>0</v>
      </c>
    </row>
    <row r="6633" spans="1:27" ht="21" customHeight="1" x14ac:dyDescent="0.95">
      <c r="A6633" s="56"/>
      <c r="B6633" s="57"/>
      <c r="C6633" s="57"/>
      <c r="D6633" s="57"/>
      <c r="E6633" s="56"/>
      <c r="F6633" s="57"/>
      <c r="G6633" s="57"/>
      <c r="H6633" s="56"/>
      <c r="I6633" s="56"/>
      <c r="J6633" s="58"/>
      <c r="K6633" s="58"/>
      <c r="L6633" s="13" t="str">
        <f t="shared" si="1026"/>
        <v/>
      </c>
      <c r="M6633" s="13" t="str">
        <f t="shared" si="1027"/>
        <v/>
      </c>
      <c r="Q6633" t="str">
        <f t="shared" si="1028"/>
        <v/>
      </c>
      <c r="R6633" t="str">
        <f t="shared" si="1029"/>
        <v/>
      </c>
      <c r="S6633" t="str">
        <f t="shared" si="1030"/>
        <v/>
      </c>
      <c r="T6633" t="str">
        <f t="shared" si="1031"/>
        <v/>
      </c>
      <c r="U6633" t="str">
        <f t="shared" si="1032"/>
        <v/>
      </c>
      <c r="V6633" t="str">
        <f t="shared" si="1033"/>
        <v/>
      </c>
      <c r="W6633" t="str">
        <f t="shared" si="1034"/>
        <v/>
      </c>
      <c r="X6633">
        <f t="shared" si="1024"/>
        <v>0</v>
      </c>
      <c r="Z6633" t="str">
        <f t="shared" si="1035"/>
        <v/>
      </c>
      <c r="AA6633">
        <f t="shared" si="1025"/>
        <v>0</v>
      </c>
    </row>
    <row r="6634" spans="1:27" ht="21" customHeight="1" x14ac:dyDescent="0.95">
      <c r="A6634" s="56"/>
      <c r="B6634" s="57"/>
      <c r="C6634" s="57"/>
      <c r="D6634" s="57"/>
      <c r="E6634" s="56"/>
      <c r="F6634" s="57"/>
      <c r="G6634" s="57"/>
      <c r="H6634" s="56"/>
      <c r="I6634" s="56"/>
      <c r="J6634" s="58"/>
      <c r="K6634" s="58"/>
      <c r="L6634" s="13" t="str">
        <f t="shared" si="1026"/>
        <v/>
      </c>
      <c r="M6634" s="13" t="str">
        <f t="shared" si="1027"/>
        <v/>
      </c>
      <c r="Q6634" t="str">
        <f t="shared" si="1028"/>
        <v/>
      </c>
      <c r="R6634" t="str">
        <f t="shared" si="1029"/>
        <v/>
      </c>
      <c r="S6634" t="str">
        <f t="shared" si="1030"/>
        <v/>
      </c>
      <c r="T6634" t="str">
        <f t="shared" si="1031"/>
        <v/>
      </c>
      <c r="U6634" t="str">
        <f t="shared" si="1032"/>
        <v/>
      </c>
      <c r="V6634" t="str">
        <f t="shared" si="1033"/>
        <v/>
      </c>
      <c r="W6634" t="str">
        <f t="shared" si="1034"/>
        <v/>
      </c>
      <c r="X6634">
        <f t="shared" si="1024"/>
        <v>0</v>
      </c>
      <c r="Z6634" t="str">
        <f t="shared" si="1035"/>
        <v/>
      </c>
      <c r="AA6634">
        <f t="shared" si="1025"/>
        <v>0</v>
      </c>
    </row>
    <row r="6635" spans="1:27" ht="21" customHeight="1" x14ac:dyDescent="0.95">
      <c r="A6635" s="56"/>
      <c r="B6635" s="57"/>
      <c r="C6635" s="57"/>
      <c r="D6635" s="57"/>
      <c r="E6635" s="56"/>
      <c r="F6635" s="57"/>
      <c r="G6635" s="57"/>
      <c r="H6635" s="56"/>
      <c r="I6635" s="56"/>
      <c r="J6635" s="58"/>
      <c r="K6635" s="58"/>
      <c r="L6635" s="13" t="str">
        <f t="shared" si="1026"/>
        <v/>
      </c>
      <c r="M6635" s="13" t="str">
        <f t="shared" si="1027"/>
        <v/>
      </c>
      <c r="Q6635" t="str">
        <f t="shared" si="1028"/>
        <v/>
      </c>
      <c r="R6635" t="str">
        <f t="shared" si="1029"/>
        <v/>
      </c>
      <c r="S6635" t="str">
        <f t="shared" si="1030"/>
        <v/>
      </c>
      <c r="T6635" t="str">
        <f t="shared" si="1031"/>
        <v/>
      </c>
      <c r="U6635" t="str">
        <f t="shared" si="1032"/>
        <v/>
      </c>
      <c r="V6635" t="str">
        <f t="shared" si="1033"/>
        <v/>
      </c>
      <c r="W6635" t="str">
        <f t="shared" si="1034"/>
        <v/>
      </c>
      <c r="X6635">
        <f t="shared" si="1024"/>
        <v>0</v>
      </c>
      <c r="Z6635" t="str">
        <f t="shared" si="1035"/>
        <v/>
      </c>
      <c r="AA6635">
        <f t="shared" si="1025"/>
        <v>0</v>
      </c>
    </row>
    <row r="6636" spans="1:27" ht="21" customHeight="1" x14ac:dyDescent="0.95">
      <c r="A6636" s="56"/>
      <c r="B6636" s="57"/>
      <c r="C6636" s="57"/>
      <c r="D6636" s="57"/>
      <c r="E6636" s="56"/>
      <c r="F6636" s="57"/>
      <c r="G6636" s="57"/>
      <c r="H6636" s="56"/>
      <c r="I6636" s="56"/>
      <c r="J6636" s="58"/>
      <c r="K6636" s="58"/>
      <c r="L6636" s="13" t="str">
        <f t="shared" si="1026"/>
        <v/>
      </c>
      <c r="M6636" s="13" t="str">
        <f t="shared" si="1027"/>
        <v/>
      </c>
      <c r="Q6636" t="str">
        <f t="shared" si="1028"/>
        <v/>
      </c>
      <c r="R6636" t="str">
        <f t="shared" si="1029"/>
        <v/>
      </c>
      <c r="S6636" t="str">
        <f t="shared" si="1030"/>
        <v/>
      </c>
      <c r="T6636" t="str">
        <f t="shared" si="1031"/>
        <v/>
      </c>
      <c r="U6636" t="str">
        <f t="shared" si="1032"/>
        <v/>
      </c>
      <c r="V6636" t="str">
        <f t="shared" si="1033"/>
        <v/>
      </c>
      <c r="W6636" t="str">
        <f t="shared" si="1034"/>
        <v/>
      </c>
      <c r="X6636">
        <f t="shared" si="1024"/>
        <v>0</v>
      </c>
      <c r="Z6636" t="str">
        <f t="shared" si="1035"/>
        <v/>
      </c>
      <c r="AA6636">
        <f t="shared" si="1025"/>
        <v>0</v>
      </c>
    </row>
    <row r="6637" spans="1:27" ht="21" customHeight="1" x14ac:dyDescent="0.95">
      <c r="A6637" s="56"/>
      <c r="B6637" s="57"/>
      <c r="C6637" s="57"/>
      <c r="D6637" s="57"/>
      <c r="E6637" s="56"/>
      <c r="F6637" s="57"/>
      <c r="G6637" s="57"/>
      <c r="H6637" s="56"/>
      <c r="I6637" s="56"/>
      <c r="J6637" s="58"/>
      <c r="K6637" s="58"/>
      <c r="L6637" s="13" t="str">
        <f t="shared" si="1026"/>
        <v/>
      </c>
      <c r="M6637" s="13" t="str">
        <f t="shared" si="1027"/>
        <v/>
      </c>
      <c r="Q6637" t="str">
        <f t="shared" si="1028"/>
        <v/>
      </c>
      <c r="R6637" t="str">
        <f t="shared" si="1029"/>
        <v/>
      </c>
      <c r="S6637" t="str">
        <f t="shared" si="1030"/>
        <v/>
      </c>
      <c r="T6637" t="str">
        <f t="shared" si="1031"/>
        <v/>
      </c>
      <c r="U6637" t="str">
        <f t="shared" si="1032"/>
        <v/>
      </c>
      <c r="V6637" t="str">
        <f t="shared" si="1033"/>
        <v/>
      </c>
      <c r="W6637" t="str">
        <f t="shared" si="1034"/>
        <v/>
      </c>
      <c r="X6637">
        <f t="shared" si="1024"/>
        <v>0</v>
      </c>
      <c r="Z6637" t="str">
        <f t="shared" si="1035"/>
        <v/>
      </c>
      <c r="AA6637">
        <f t="shared" si="1025"/>
        <v>0</v>
      </c>
    </row>
    <row r="6638" spans="1:27" ht="21" customHeight="1" x14ac:dyDescent="0.95">
      <c r="A6638" s="56"/>
      <c r="B6638" s="57"/>
      <c r="C6638" s="57"/>
      <c r="D6638" s="57"/>
      <c r="E6638" s="56"/>
      <c r="F6638" s="57"/>
      <c r="G6638" s="57"/>
      <c r="H6638" s="56"/>
      <c r="I6638" s="56"/>
      <c r="J6638" s="58"/>
      <c r="K6638" s="58"/>
      <c r="L6638" s="13" t="str">
        <f t="shared" si="1026"/>
        <v/>
      </c>
      <c r="M6638" s="13" t="str">
        <f t="shared" si="1027"/>
        <v/>
      </c>
      <c r="Q6638" t="str">
        <f t="shared" si="1028"/>
        <v/>
      </c>
      <c r="R6638" t="str">
        <f t="shared" si="1029"/>
        <v/>
      </c>
      <c r="S6638" t="str">
        <f t="shared" si="1030"/>
        <v/>
      </c>
      <c r="T6638" t="str">
        <f t="shared" si="1031"/>
        <v/>
      </c>
      <c r="U6638" t="str">
        <f t="shared" si="1032"/>
        <v/>
      </c>
      <c r="V6638" t="str">
        <f t="shared" si="1033"/>
        <v/>
      </c>
      <c r="W6638" t="str">
        <f t="shared" si="1034"/>
        <v/>
      </c>
      <c r="X6638">
        <f t="shared" si="1024"/>
        <v>0</v>
      </c>
      <c r="Z6638" t="str">
        <f t="shared" si="1035"/>
        <v/>
      </c>
      <c r="AA6638">
        <f t="shared" si="1025"/>
        <v>0</v>
      </c>
    </row>
    <row r="6639" spans="1:27" ht="21" customHeight="1" x14ac:dyDescent="0.95">
      <c r="A6639" s="56"/>
      <c r="B6639" s="57"/>
      <c r="C6639" s="57"/>
      <c r="D6639" s="57"/>
      <c r="E6639" s="56"/>
      <c r="F6639" s="57"/>
      <c r="G6639" s="57"/>
      <c r="H6639" s="56"/>
      <c r="I6639" s="56"/>
      <c r="J6639" s="58"/>
      <c r="K6639" s="58"/>
      <c r="L6639" s="13" t="str">
        <f t="shared" si="1026"/>
        <v/>
      </c>
      <c r="M6639" s="13" t="str">
        <f t="shared" si="1027"/>
        <v/>
      </c>
      <c r="Q6639" t="str">
        <f t="shared" si="1028"/>
        <v/>
      </c>
      <c r="R6639" t="str">
        <f t="shared" si="1029"/>
        <v/>
      </c>
      <c r="S6639" t="str">
        <f t="shared" si="1030"/>
        <v/>
      </c>
      <c r="T6639" t="str">
        <f t="shared" si="1031"/>
        <v/>
      </c>
      <c r="U6639" t="str">
        <f t="shared" si="1032"/>
        <v/>
      </c>
      <c r="V6639" t="str">
        <f t="shared" si="1033"/>
        <v/>
      </c>
      <c r="W6639" t="str">
        <f t="shared" si="1034"/>
        <v/>
      </c>
      <c r="X6639">
        <f t="shared" si="1024"/>
        <v>0</v>
      </c>
      <c r="Z6639" t="str">
        <f t="shared" si="1035"/>
        <v/>
      </c>
      <c r="AA6639">
        <f t="shared" si="1025"/>
        <v>0</v>
      </c>
    </row>
    <row r="6640" spans="1:27" ht="21" customHeight="1" x14ac:dyDescent="0.95">
      <c r="A6640" s="56"/>
      <c r="B6640" s="57"/>
      <c r="C6640" s="57"/>
      <c r="D6640" s="57"/>
      <c r="E6640" s="56"/>
      <c r="F6640" s="57"/>
      <c r="G6640" s="57"/>
      <c r="H6640" s="56"/>
      <c r="I6640" s="56"/>
      <c r="J6640" s="58"/>
      <c r="K6640" s="58"/>
      <c r="L6640" s="13" t="str">
        <f t="shared" si="1026"/>
        <v/>
      </c>
      <c r="M6640" s="13" t="str">
        <f t="shared" si="1027"/>
        <v/>
      </c>
      <c r="Q6640" t="str">
        <f t="shared" si="1028"/>
        <v/>
      </c>
      <c r="R6640" t="str">
        <f t="shared" si="1029"/>
        <v/>
      </c>
      <c r="S6640" t="str">
        <f t="shared" si="1030"/>
        <v/>
      </c>
      <c r="T6640" t="str">
        <f t="shared" si="1031"/>
        <v/>
      </c>
      <c r="U6640" t="str">
        <f t="shared" si="1032"/>
        <v/>
      </c>
      <c r="V6640" t="str">
        <f t="shared" si="1033"/>
        <v/>
      </c>
      <c r="W6640" t="str">
        <f t="shared" si="1034"/>
        <v/>
      </c>
      <c r="X6640">
        <f t="shared" si="1024"/>
        <v>0</v>
      </c>
      <c r="Z6640" t="str">
        <f t="shared" si="1035"/>
        <v/>
      </c>
      <c r="AA6640">
        <f t="shared" si="1025"/>
        <v>0</v>
      </c>
    </row>
    <row r="6641" spans="1:27" ht="21" customHeight="1" x14ac:dyDescent="0.95">
      <c r="A6641" s="56"/>
      <c r="B6641" s="57"/>
      <c r="C6641" s="57"/>
      <c r="D6641" s="57"/>
      <c r="E6641" s="56"/>
      <c r="F6641" s="57"/>
      <c r="G6641" s="57"/>
      <c r="H6641" s="56"/>
      <c r="I6641" s="56"/>
      <c r="J6641" s="58"/>
      <c r="K6641" s="58"/>
      <c r="L6641" s="13" t="str">
        <f t="shared" si="1026"/>
        <v/>
      </c>
      <c r="M6641" s="13" t="str">
        <f t="shared" si="1027"/>
        <v/>
      </c>
      <c r="Q6641" t="str">
        <f t="shared" si="1028"/>
        <v/>
      </c>
      <c r="R6641" t="str">
        <f t="shared" si="1029"/>
        <v/>
      </c>
      <c r="S6641" t="str">
        <f t="shared" si="1030"/>
        <v/>
      </c>
      <c r="T6641" t="str">
        <f t="shared" si="1031"/>
        <v/>
      </c>
      <c r="U6641" t="str">
        <f t="shared" si="1032"/>
        <v/>
      </c>
      <c r="V6641" t="str">
        <f t="shared" si="1033"/>
        <v/>
      </c>
      <c r="W6641" t="str">
        <f t="shared" si="1034"/>
        <v/>
      </c>
      <c r="X6641">
        <f t="shared" si="1024"/>
        <v>0</v>
      </c>
      <c r="Z6641" t="str">
        <f t="shared" si="1035"/>
        <v/>
      </c>
      <c r="AA6641">
        <f t="shared" si="1025"/>
        <v>0</v>
      </c>
    </row>
    <row r="6642" spans="1:27" ht="21" customHeight="1" x14ac:dyDescent="0.95">
      <c r="A6642" s="56"/>
      <c r="B6642" s="57"/>
      <c r="C6642" s="57"/>
      <c r="D6642" s="57"/>
      <c r="E6642" s="56"/>
      <c r="F6642" s="57"/>
      <c r="G6642" s="57"/>
      <c r="H6642" s="56"/>
      <c r="I6642" s="56"/>
      <c r="J6642" s="58"/>
      <c r="K6642" s="58"/>
      <c r="L6642" s="13" t="str">
        <f t="shared" si="1026"/>
        <v/>
      </c>
      <c r="M6642" s="13" t="str">
        <f t="shared" si="1027"/>
        <v/>
      </c>
      <c r="Q6642" t="str">
        <f t="shared" si="1028"/>
        <v/>
      </c>
      <c r="R6642" t="str">
        <f t="shared" si="1029"/>
        <v/>
      </c>
      <c r="S6642" t="str">
        <f t="shared" si="1030"/>
        <v/>
      </c>
      <c r="T6642" t="str">
        <f t="shared" si="1031"/>
        <v/>
      </c>
      <c r="U6642" t="str">
        <f t="shared" si="1032"/>
        <v/>
      </c>
      <c r="V6642" t="str">
        <f t="shared" si="1033"/>
        <v/>
      </c>
      <c r="W6642" t="str">
        <f t="shared" si="1034"/>
        <v/>
      </c>
      <c r="X6642">
        <f t="shared" si="1024"/>
        <v>0</v>
      </c>
      <c r="Z6642" t="str">
        <f t="shared" si="1035"/>
        <v/>
      </c>
      <c r="AA6642">
        <f t="shared" si="1025"/>
        <v>0</v>
      </c>
    </row>
    <row r="6643" spans="1:27" ht="21" customHeight="1" x14ac:dyDescent="0.95">
      <c r="A6643" s="56"/>
      <c r="B6643" s="57"/>
      <c r="C6643" s="57"/>
      <c r="D6643" s="57"/>
      <c r="E6643" s="56"/>
      <c r="F6643" s="57"/>
      <c r="G6643" s="57"/>
      <c r="H6643" s="56"/>
      <c r="I6643" s="56"/>
      <c r="J6643" s="58"/>
      <c r="K6643" s="58"/>
      <c r="L6643" s="13" t="str">
        <f t="shared" si="1026"/>
        <v/>
      </c>
      <c r="M6643" s="13" t="str">
        <f t="shared" si="1027"/>
        <v/>
      </c>
      <c r="Q6643" t="str">
        <f t="shared" si="1028"/>
        <v/>
      </c>
      <c r="R6643" t="str">
        <f t="shared" si="1029"/>
        <v/>
      </c>
      <c r="S6643" t="str">
        <f t="shared" si="1030"/>
        <v/>
      </c>
      <c r="T6643" t="str">
        <f t="shared" si="1031"/>
        <v/>
      </c>
      <c r="U6643" t="str">
        <f t="shared" si="1032"/>
        <v/>
      </c>
      <c r="V6643" t="str">
        <f t="shared" si="1033"/>
        <v/>
      </c>
      <c r="W6643" t="str">
        <f t="shared" si="1034"/>
        <v/>
      </c>
      <c r="X6643">
        <f t="shared" si="1024"/>
        <v>0</v>
      </c>
      <c r="Z6643" t="str">
        <f t="shared" si="1035"/>
        <v/>
      </c>
      <c r="AA6643">
        <f t="shared" si="1025"/>
        <v>0</v>
      </c>
    </row>
    <row r="6644" spans="1:27" ht="21" customHeight="1" x14ac:dyDescent="0.95">
      <c r="A6644" s="56"/>
      <c r="B6644" s="57"/>
      <c r="C6644" s="57"/>
      <c r="D6644" s="57"/>
      <c r="E6644" s="56"/>
      <c r="F6644" s="57"/>
      <c r="G6644" s="57"/>
      <c r="H6644" s="56"/>
      <c r="I6644" s="56"/>
      <c r="J6644" s="58"/>
      <c r="K6644" s="58"/>
      <c r="L6644" s="13" t="str">
        <f t="shared" si="1026"/>
        <v/>
      </c>
      <c r="M6644" s="13" t="str">
        <f t="shared" si="1027"/>
        <v/>
      </c>
      <c r="Q6644" t="str">
        <f t="shared" si="1028"/>
        <v/>
      </c>
      <c r="R6644" t="str">
        <f t="shared" si="1029"/>
        <v/>
      </c>
      <c r="S6644" t="str">
        <f t="shared" si="1030"/>
        <v/>
      </c>
      <c r="T6644" t="str">
        <f t="shared" si="1031"/>
        <v/>
      </c>
      <c r="U6644" t="str">
        <f t="shared" si="1032"/>
        <v/>
      </c>
      <c r="V6644" t="str">
        <f t="shared" si="1033"/>
        <v/>
      </c>
      <c r="W6644" t="str">
        <f t="shared" si="1034"/>
        <v/>
      </c>
      <c r="X6644">
        <f t="shared" si="1024"/>
        <v>0</v>
      </c>
      <c r="Z6644" t="str">
        <f t="shared" si="1035"/>
        <v/>
      </c>
      <c r="AA6644">
        <f t="shared" si="1025"/>
        <v>0</v>
      </c>
    </row>
    <row r="6645" spans="1:27" ht="21" customHeight="1" x14ac:dyDescent="0.95">
      <c r="A6645" s="56"/>
      <c r="B6645" s="57"/>
      <c r="C6645" s="57"/>
      <c r="D6645" s="57"/>
      <c r="E6645" s="56"/>
      <c r="F6645" s="57"/>
      <c r="G6645" s="57"/>
      <c r="H6645" s="56"/>
      <c r="I6645" s="56"/>
      <c r="J6645" s="58"/>
      <c r="K6645" s="58"/>
      <c r="L6645" s="13" t="str">
        <f t="shared" si="1026"/>
        <v/>
      </c>
      <c r="M6645" s="13" t="str">
        <f t="shared" si="1027"/>
        <v/>
      </c>
      <c r="Q6645" t="str">
        <f t="shared" si="1028"/>
        <v/>
      </c>
      <c r="R6645" t="str">
        <f t="shared" si="1029"/>
        <v/>
      </c>
      <c r="S6645" t="str">
        <f t="shared" si="1030"/>
        <v/>
      </c>
      <c r="T6645" t="str">
        <f t="shared" si="1031"/>
        <v/>
      </c>
      <c r="U6645" t="str">
        <f t="shared" si="1032"/>
        <v/>
      </c>
      <c r="V6645" t="str">
        <f t="shared" si="1033"/>
        <v/>
      </c>
      <c r="W6645" t="str">
        <f t="shared" si="1034"/>
        <v/>
      </c>
      <c r="X6645">
        <f t="shared" ref="X6645:X6708" si="1036">IF($T6645="",N($X6644),IF(MATCH($T6645,$T$6:$T$10005,0)=ROW()-5,N($X6644)+1,N($X6644)))</f>
        <v>0</v>
      </c>
      <c r="Z6645" t="str">
        <f t="shared" si="1035"/>
        <v/>
      </c>
      <c r="AA6645">
        <f t="shared" ref="AA6645:AA6708" si="1037">IF($V6645="",N($AA6644),IF(MATCH($V6645,$V$6:$V$10005,0)=ROW()-5,N($AA6644)+1,N($AA6644)))</f>
        <v>0</v>
      </c>
    </row>
    <row r="6646" spans="1:27" ht="21" customHeight="1" x14ac:dyDescent="0.95">
      <c r="A6646" s="56"/>
      <c r="B6646" s="57"/>
      <c r="C6646" s="57"/>
      <c r="D6646" s="57"/>
      <c r="E6646" s="56"/>
      <c r="F6646" s="57"/>
      <c r="G6646" s="57"/>
      <c r="H6646" s="56"/>
      <c r="I6646" s="56"/>
      <c r="J6646" s="58"/>
      <c r="K6646" s="58"/>
      <c r="L6646" s="13" t="str">
        <f t="shared" si="1026"/>
        <v/>
      </c>
      <c r="M6646" s="13" t="str">
        <f t="shared" si="1027"/>
        <v/>
      </c>
      <c r="Q6646" t="str">
        <f t="shared" si="1028"/>
        <v/>
      </c>
      <c r="R6646" t="str">
        <f t="shared" si="1029"/>
        <v/>
      </c>
      <c r="S6646" t="str">
        <f t="shared" si="1030"/>
        <v/>
      </c>
      <c r="T6646" t="str">
        <f t="shared" si="1031"/>
        <v/>
      </c>
      <c r="U6646" t="str">
        <f t="shared" si="1032"/>
        <v/>
      </c>
      <c r="V6646" t="str">
        <f t="shared" si="1033"/>
        <v/>
      </c>
      <c r="W6646" t="str">
        <f t="shared" si="1034"/>
        <v/>
      </c>
      <c r="X6646">
        <f t="shared" si="1036"/>
        <v>0</v>
      </c>
      <c r="Z6646" t="str">
        <f t="shared" si="1035"/>
        <v/>
      </c>
      <c r="AA6646">
        <f t="shared" si="1037"/>
        <v>0</v>
      </c>
    </row>
    <row r="6647" spans="1:27" ht="21" customHeight="1" x14ac:dyDescent="0.95">
      <c r="A6647" s="56"/>
      <c r="B6647" s="57"/>
      <c r="C6647" s="57"/>
      <c r="D6647" s="57"/>
      <c r="E6647" s="56"/>
      <c r="F6647" s="57"/>
      <c r="G6647" s="57"/>
      <c r="H6647" s="56"/>
      <c r="I6647" s="56"/>
      <c r="J6647" s="58"/>
      <c r="K6647" s="58"/>
      <c r="L6647" s="13" t="str">
        <f t="shared" si="1026"/>
        <v/>
      </c>
      <c r="M6647" s="13" t="str">
        <f t="shared" si="1027"/>
        <v/>
      </c>
      <c r="Q6647" t="str">
        <f t="shared" si="1028"/>
        <v/>
      </c>
      <c r="R6647" t="str">
        <f t="shared" si="1029"/>
        <v/>
      </c>
      <c r="S6647" t="str">
        <f t="shared" si="1030"/>
        <v/>
      </c>
      <c r="T6647" t="str">
        <f t="shared" si="1031"/>
        <v/>
      </c>
      <c r="U6647" t="str">
        <f t="shared" si="1032"/>
        <v/>
      </c>
      <c r="V6647" t="str">
        <f t="shared" si="1033"/>
        <v/>
      </c>
      <c r="W6647" t="str">
        <f t="shared" si="1034"/>
        <v/>
      </c>
      <c r="X6647">
        <f t="shared" si="1036"/>
        <v>0</v>
      </c>
      <c r="Z6647" t="str">
        <f t="shared" si="1035"/>
        <v/>
      </c>
      <c r="AA6647">
        <f t="shared" si="1037"/>
        <v>0</v>
      </c>
    </row>
    <row r="6648" spans="1:27" ht="21" customHeight="1" x14ac:dyDescent="0.95">
      <c r="A6648" s="56"/>
      <c r="B6648" s="57"/>
      <c r="C6648" s="57"/>
      <c r="D6648" s="57"/>
      <c r="E6648" s="56"/>
      <c r="F6648" s="57"/>
      <c r="G6648" s="57"/>
      <c r="H6648" s="56"/>
      <c r="I6648" s="56"/>
      <c r="J6648" s="58"/>
      <c r="K6648" s="58"/>
      <c r="L6648" s="13" t="str">
        <f t="shared" si="1026"/>
        <v/>
      </c>
      <c r="M6648" s="13" t="str">
        <f t="shared" si="1027"/>
        <v/>
      </c>
      <c r="Q6648" t="str">
        <f t="shared" si="1028"/>
        <v/>
      </c>
      <c r="R6648" t="str">
        <f t="shared" si="1029"/>
        <v/>
      </c>
      <c r="S6648" t="str">
        <f t="shared" si="1030"/>
        <v/>
      </c>
      <c r="T6648" t="str">
        <f t="shared" si="1031"/>
        <v/>
      </c>
      <c r="U6648" t="str">
        <f t="shared" si="1032"/>
        <v/>
      </c>
      <c r="V6648" t="str">
        <f t="shared" si="1033"/>
        <v/>
      </c>
      <c r="W6648" t="str">
        <f t="shared" si="1034"/>
        <v/>
      </c>
      <c r="X6648">
        <f t="shared" si="1036"/>
        <v>0</v>
      </c>
      <c r="Z6648" t="str">
        <f t="shared" si="1035"/>
        <v/>
      </c>
      <c r="AA6648">
        <f t="shared" si="1037"/>
        <v>0</v>
      </c>
    </row>
    <row r="6649" spans="1:27" ht="21" customHeight="1" x14ac:dyDescent="0.95">
      <c r="A6649" s="56"/>
      <c r="B6649" s="57"/>
      <c r="C6649" s="57"/>
      <c r="D6649" s="57"/>
      <c r="E6649" s="56"/>
      <c r="F6649" s="57"/>
      <c r="G6649" s="57"/>
      <c r="H6649" s="56"/>
      <c r="I6649" s="56"/>
      <c r="J6649" s="58"/>
      <c r="K6649" s="58"/>
      <c r="L6649" s="13" t="str">
        <f t="shared" si="1026"/>
        <v/>
      </c>
      <c r="M6649" s="13" t="str">
        <f t="shared" si="1027"/>
        <v/>
      </c>
      <c r="Q6649" t="str">
        <f t="shared" si="1028"/>
        <v/>
      </c>
      <c r="R6649" t="str">
        <f t="shared" si="1029"/>
        <v/>
      </c>
      <c r="S6649" t="str">
        <f t="shared" si="1030"/>
        <v/>
      </c>
      <c r="T6649" t="str">
        <f t="shared" si="1031"/>
        <v/>
      </c>
      <c r="U6649" t="str">
        <f t="shared" si="1032"/>
        <v/>
      </c>
      <c r="V6649" t="str">
        <f t="shared" si="1033"/>
        <v/>
      </c>
      <c r="W6649" t="str">
        <f t="shared" si="1034"/>
        <v/>
      </c>
      <c r="X6649">
        <f t="shared" si="1036"/>
        <v>0</v>
      </c>
      <c r="Z6649" t="str">
        <f t="shared" si="1035"/>
        <v/>
      </c>
      <c r="AA6649">
        <f t="shared" si="1037"/>
        <v>0</v>
      </c>
    </row>
    <row r="6650" spans="1:27" ht="21" customHeight="1" x14ac:dyDescent="0.95">
      <c r="A6650" s="56"/>
      <c r="B6650" s="57"/>
      <c r="C6650" s="57"/>
      <c r="D6650" s="57"/>
      <c r="E6650" s="56"/>
      <c r="F6650" s="57"/>
      <c r="G6650" s="57"/>
      <c r="H6650" s="56"/>
      <c r="I6650" s="56"/>
      <c r="J6650" s="58"/>
      <c r="K6650" s="58"/>
      <c r="L6650" s="13" t="str">
        <f t="shared" si="1026"/>
        <v/>
      </c>
      <c r="M6650" s="13" t="str">
        <f t="shared" si="1027"/>
        <v/>
      </c>
      <c r="Q6650" t="str">
        <f t="shared" si="1028"/>
        <v/>
      </c>
      <c r="R6650" t="str">
        <f t="shared" si="1029"/>
        <v/>
      </c>
      <c r="S6650" t="str">
        <f t="shared" si="1030"/>
        <v/>
      </c>
      <c r="T6650" t="str">
        <f t="shared" si="1031"/>
        <v/>
      </c>
      <c r="U6650" t="str">
        <f t="shared" si="1032"/>
        <v/>
      </c>
      <c r="V6650" t="str">
        <f t="shared" si="1033"/>
        <v/>
      </c>
      <c r="W6650" t="str">
        <f t="shared" si="1034"/>
        <v/>
      </c>
      <c r="X6650">
        <f t="shared" si="1036"/>
        <v>0</v>
      </c>
      <c r="Z6650" t="str">
        <f t="shared" si="1035"/>
        <v/>
      </c>
      <c r="AA6650">
        <f t="shared" si="1037"/>
        <v>0</v>
      </c>
    </row>
    <row r="6651" spans="1:27" ht="21" customHeight="1" x14ac:dyDescent="0.95">
      <c r="A6651" s="56"/>
      <c r="B6651" s="57"/>
      <c r="C6651" s="57"/>
      <c r="D6651" s="57"/>
      <c r="E6651" s="56"/>
      <c r="F6651" s="57"/>
      <c r="G6651" s="57"/>
      <c r="H6651" s="56"/>
      <c r="I6651" s="56"/>
      <c r="J6651" s="58"/>
      <c r="K6651" s="58"/>
      <c r="L6651" s="13" t="str">
        <f t="shared" si="1026"/>
        <v/>
      </c>
      <c r="M6651" s="13" t="str">
        <f t="shared" si="1027"/>
        <v/>
      </c>
      <c r="Q6651" t="str">
        <f t="shared" si="1028"/>
        <v/>
      </c>
      <c r="R6651" t="str">
        <f t="shared" si="1029"/>
        <v/>
      </c>
      <c r="S6651" t="str">
        <f t="shared" si="1030"/>
        <v/>
      </c>
      <c r="T6651" t="str">
        <f t="shared" si="1031"/>
        <v/>
      </c>
      <c r="U6651" t="str">
        <f t="shared" si="1032"/>
        <v/>
      </c>
      <c r="V6651" t="str">
        <f t="shared" si="1033"/>
        <v/>
      </c>
      <c r="W6651" t="str">
        <f t="shared" si="1034"/>
        <v/>
      </c>
      <c r="X6651">
        <f t="shared" si="1036"/>
        <v>0</v>
      </c>
      <c r="Z6651" t="str">
        <f t="shared" si="1035"/>
        <v/>
      </c>
      <c r="AA6651">
        <f t="shared" si="1037"/>
        <v>0</v>
      </c>
    </row>
    <row r="6652" spans="1:27" ht="21" customHeight="1" x14ac:dyDescent="0.95">
      <c r="A6652" s="56"/>
      <c r="B6652" s="57"/>
      <c r="C6652" s="57"/>
      <c r="D6652" s="57"/>
      <c r="E6652" s="56"/>
      <c r="F6652" s="57"/>
      <c r="G6652" s="57"/>
      <c r="H6652" s="56"/>
      <c r="I6652" s="56"/>
      <c r="J6652" s="58"/>
      <c r="K6652" s="58"/>
      <c r="L6652" s="13" t="str">
        <f t="shared" si="1026"/>
        <v/>
      </c>
      <c r="M6652" s="13" t="str">
        <f t="shared" si="1027"/>
        <v/>
      </c>
      <c r="Q6652" t="str">
        <f t="shared" si="1028"/>
        <v/>
      </c>
      <c r="R6652" t="str">
        <f t="shared" si="1029"/>
        <v/>
      </c>
      <c r="S6652" t="str">
        <f t="shared" si="1030"/>
        <v/>
      </c>
      <c r="T6652" t="str">
        <f t="shared" si="1031"/>
        <v/>
      </c>
      <c r="U6652" t="str">
        <f t="shared" si="1032"/>
        <v/>
      </c>
      <c r="V6652" t="str">
        <f t="shared" si="1033"/>
        <v/>
      </c>
      <c r="W6652" t="str">
        <f t="shared" si="1034"/>
        <v/>
      </c>
      <c r="X6652">
        <f t="shared" si="1036"/>
        <v>0</v>
      </c>
      <c r="Z6652" t="str">
        <f t="shared" si="1035"/>
        <v/>
      </c>
      <c r="AA6652">
        <f t="shared" si="1037"/>
        <v>0</v>
      </c>
    </row>
    <row r="6653" spans="1:27" ht="21" customHeight="1" x14ac:dyDescent="0.95">
      <c r="A6653" s="56"/>
      <c r="B6653" s="57"/>
      <c r="C6653" s="57"/>
      <c r="D6653" s="57"/>
      <c r="E6653" s="56"/>
      <c r="F6653" s="57"/>
      <c r="G6653" s="57"/>
      <c r="H6653" s="56"/>
      <c r="I6653" s="56"/>
      <c r="J6653" s="58"/>
      <c r="K6653" s="58"/>
      <c r="L6653" s="13" t="str">
        <f t="shared" si="1026"/>
        <v/>
      </c>
      <c r="M6653" s="13" t="str">
        <f t="shared" si="1027"/>
        <v/>
      </c>
      <c r="Q6653" t="str">
        <f t="shared" si="1028"/>
        <v/>
      </c>
      <c r="R6653" t="str">
        <f t="shared" si="1029"/>
        <v/>
      </c>
      <c r="S6653" t="str">
        <f t="shared" si="1030"/>
        <v/>
      </c>
      <c r="T6653" t="str">
        <f t="shared" si="1031"/>
        <v/>
      </c>
      <c r="U6653" t="str">
        <f t="shared" si="1032"/>
        <v/>
      </c>
      <c r="V6653" t="str">
        <f t="shared" si="1033"/>
        <v/>
      </c>
      <c r="W6653" t="str">
        <f t="shared" si="1034"/>
        <v/>
      </c>
      <c r="X6653">
        <f t="shared" si="1036"/>
        <v>0</v>
      </c>
      <c r="Z6653" t="str">
        <f t="shared" si="1035"/>
        <v/>
      </c>
      <c r="AA6653">
        <f t="shared" si="1037"/>
        <v>0</v>
      </c>
    </row>
    <row r="6654" spans="1:27" ht="21" customHeight="1" x14ac:dyDescent="0.95">
      <c r="A6654" s="56"/>
      <c r="B6654" s="57"/>
      <c r="C6654" s="57"/>
      <c r="D6654" s="57"/>
      <c r="E6654" s="56"/>
      <c r="F6654" s="57"/>
      <c r="G6654" s="57"/>
      <c r="H6654" s="56"/>
      <c r="I6654" s="56"/>
      <c r="J6654" s="58"/>
      <c r="K6654" s="58"/>
      <c r="L6654" s="13" t="str">
        <f t="shared" si="1026"/>
        <v/>
      </c>
      <c r="M6654" s="13" t="str">
        <f t="shared" si="1027"/>
        <v/>
      </c>
      <c r="Q6654" t="str">
        <f t="shared" si="1028"/>
        <v/>
      </c>
      <c r="R6654" t="str">
        <f t="shared" si="1029"/>
        <v/>
      </c>
      <c r="S6654" t="str">
        <f t="shared" si="1030"/>
        <v/>
      </c>
      <c r="T6654" t="str">
        <f t="shared" si="1031"/>
        <v/>
      </c>
      <c r="U6654" t="str">
        <f t="shared" si="1032"/>
        <v/>
      </c>
      <c r="V6654" t="str">
        <f t="shared" si="1033"/>
        <v/>
      </c>
      <c r="W6654" t="str">
        <f t="shared" si="1034"/>
        <v/>
      </c>
      <c r="X6654">
        <f t="shared" si="1036"/>
        <v>0</v>
      </c>
      <c r="Z6654" t="str">
        <f t="shared" si="1035"/>
        <v/>
      </c>
      <c r="AA6654">
        <f t="shared" si="1037"/>
        <v>0</v>
      </c>
    </row>
    <row r="6655" spans="1:27" ht="21" customHeight="1" x14ac:dyDescent="0.95">
      <c r="A6655" s="56"/>
      <c r="B6655" s="57"/>
      <c r="C6655" s="57"/>
      <c r="D6655" s="57"/>
      <c r="E6655" s="56"/>
      <c r="F6655" s="57"/>
      <c r="G6655" s="57"/>
      <c r="H6655" s="56"/>
      <c r="I6655" s="56"/>
      <c r="J6655" s="58"/>
      <c r="K6655" s="58"/>
      <c r="L6655" s="13" t="str">
        <f t="shared" si="1026"/>
        <v/>
      </c>
      <c r="M6655" s="13" t="str">
        <f t="shared" si="1027"/>
        <v/>
      </c>
      <c r="Q6655" t="str">
        <f t="shared" si="1028"/>
        <v/>
      </c>
      <c r="R6655" t="str">
        <f t="shared" si="1029"/>
        <v/>
      </c>
      <c r="S6655" t="str">
        <f t="shared" si="1030"/>
        <v/>
      </c>
      <c r="T6655" t="str">
        <f t="shared" si="1031"/>
        <v/>
      </c>
      <c r="U6655" t="str">
        <f t="shared" si="1032"/>
        <v/>
      </c>
      <c r="V6655" t="str">
        <f t="shared" si="1033"/>
        <v/>
      </c>
      <c r="W6655" t="str">
        <f t="shared" si="1034"/>
        <v/>
      </c>
      <c r="X6655">
        <f t="shared" si="1036"/>
        <v>0</v>
      </c>
      <c r="Z6655" t="str">
        <f t="shared" si="1035"/>
        <v/>
      </c>
      <c r="AA6655">
        <f t="shared" si="1037"/>
        <v>0</v>
      </c>
    </row>
    <row r="6656" spans="1:27" ht="21" customHeight="1" x14ac:dyDescent="0.95">
      <c r="A6656" s="56"/>
      <c r="B6656" s="57"/>
      <c r="C6656" s="57"/>
      <c r="D6656" s="57"/>
      <c r="E6656" s="56"/>
      <c r="F6656" s="57"/>
      <c r="G6656" s="57"/>
      <c r="H6656" s="56"/>
      <c r="I6656" s="56"/>
      <c r="J6656" s="58"/>
      <c r="K6656" s="58"/>
      <c r="L6656" s="13" t="str">
        <f t="shared" si="1026"/>
        <v/>
      </c>
      <c r="M6656" s="13" t="str">
        <f t="shared" si="1027"/>
        <v/>
      </c>
      <c r="Q6656" t="str">
        <f t="shared" si="1028"/>
        <v/>
      </c>
      <c r="R6656" t="str">
        <f t="shared" si="1029"/>
        <v/>
      </c>
      <c r="S6656" t="str">
        <f t="shared" si="1030"/>
        <v/>
      </c>
      <c r="T6656" t="str">
        <f t="shared" si="1031"/>
        <v/>
      </c>
      <c r="U6656" t="str">
        <f t="shared" si="1032"/>
        <v/>
      </c>
      <c r="V6656" t="str">
        <f t="shared" si="1033"/>
        <v/>
      </c>
      <c r="W6656" t="str">
        <f t="shared" si="1034"/>
        <v/>
      </c>
      <c r="X6656">
        <f t="shared" si="1036"/>
        <v>0</v>
      </c>
      <c r="Z6656" t="str">
        <f t="shared" si="1035"/>
        <v/>
      </c>
      <c r="AA6656">
        <f t="shared" si="1037"/>
        <v>0</v>
      </c>
    </row>
    <row r="6657" spans="1:27" ht="21" customHeight="1" x14ac:dyDescent="0.95">
      <c r="A6657" s="56"/>
      <c r="B6657" s="57"/>
      <c r="C6657" s="57"/>
      <c r="D6657" s="57"/>
      <c r="E6657" s="56"/>
      <c r="F6657" s="57"/>
      <c r="G6657" s="57"/>
      <c r="H6657" s="56"/>
      <c r="I6657" s="56"/>
      <c r="J6657" s="58"/>
      <c r="K6657" s="58"/>
      <c r="L6657" s="13" t="str">
        <f t="shared" si="1026"/>
        <v/>
      </c>
      <c r="M6657" s="13" t="str">
        <f t="shared" si="1027"/>
        <v/>
      </c>
      <c r="Q6657" t="str">
        <f t="shared" si="1028"/>
        <v/>
      </c>
      <c r="R6657" t="str">
        <f t="shared" si="1029"/>
        <v/>
      </c>
      <c r="S6657" t="str">
        <f t="shared" si="1030"/>
        <v/>
      </c>
      <c r="T6657" t="str">
        <f t="shared" si="1031"/>
        <v/>
      </c>
      <c r="U6657" t="str">
        <f t="shared" si="1032"/>
        <v/>
      </c>
      <c r="V6657" t="str">
        <f t="shared" si="1033"/>
        <v/>
      </c>
      <c r="W6657" t="str">
        <f t="shared" si="1034"/>
        <v/>
      </c>
      <c r="X6657">
        <f t="shared" si="1036"/>
        <v>0</v>
      </c>
      <c r="Z6657" t="str">
        <f t="shared" si="1035"/>
        <v/>
      </c>
      <c r="AA6657">
        <f t="shared" si="1037"/>
        <v>0</v>
      </c>
    </row>
    <row r="6658" spans="1:27" ht="21" customHeight="1" x14ac:dyDescent="0.95">
      <c r="A6658" s="56"/>
      <c r="B6658" s="57"/>
      <c r="C6658" s="57"/>
      <c r="D6658" s="57"/>
      <c r="E6658" s="56"/>
      <c r="F6658" s="57"/>
      <c r="G6658" s="57"/>
      <c r="H6658" s="56"/>
      <c r="I6658" s="56"/>
      <c r="J6658" s="58"/>
      <c r="K6658" s="58"/>
      <c r="L6658" s="13" t="str">
        <f t="shared" si="1026"/>
        <v/>
      </c>
      <c r="M6658" s="13" t="str">
        <f t="shared" si="1027"/>
        <v/>
      </c>
      <c r="Q6658" t="str">
        <f t="shared" si="1028"/>
        <v/>
      </c>
      <c r="R6658" t="str">
        <f t="shared" si="1029"/>
        <v/>
      </c>
      <c r="S6658" t="str">
        <f t="shared" si="1030"/>
        <v/>
      </c>
      <c r="T6658" t="str">
        <f t="shared" si="1031"/>
        <v/>
      </c>
      <c r="U6658" t="str">
        <f t="shared" si="1032"/>
        <v/>
      </c>
      <c r="V6658" t="str">
        <f t="shared" si="1033"/>
        <v/>
      </c>
      <c r="W6658" t="str">
        <f t="shared" si="1034"/>
        <v/>
      </c>
      <c r="X6658">
        <f t="shared" si="1036"/>
        <v>0</v>
      </c>
      <c r="Z6658" t="str">
        <f t="shared" si="1035"/>
        <v/>
      </c>
      <c r="AA6658">
        <f t="shared" si="1037"/>
        <v>0</v>
      </c>
    </row>
    <row r="6659" spans="1:27" ht="21" customHeight="1" x14ac:dyDescent="0.95">
      <c r="A6659" s="56"/>
      <c r="B6659" s="57"/>
      <c r="C6659" s="57"/>
      <c r="D6659" s="57"/>
      <c r="E6659" s="56"/>
      <c r="F6659" s="57"/>
      <c r="G6659" s="57"/>
      <c r="H6659" s="56"/>
      <c r="I6659" s="56"/>
      <c r="J6659" s="58"/>
      <c r="K6659" s="58"/>
      <c r="L6659" s="13" t="str">
        <f t="shared" si="1026"/>
        <v/>
      </c>
      <c r="M6659" s="13" t="str">
        <f t="shared" si="1027"/>
        <v/>
      </c>
      <c r="Q6659" t="str">
        <f t="shared" si="1028"/>
        <v/>
      </c>
      <c r="R6659" t="str">
        <f t="shared" si="1029"/>
        <v/>
      </c>
      <c r="S6659" t="str">
        <f t="shared" si="1030"/>
        <v/>
      </c>
      <c r="T6659" t="str">
        <f t="shared" si="1031"/>
        <v/>
      </c>
      <c r="U6659" t="str">
        <f t="shared" si="1032"/>
        <v/>
      </c>
      <c r="V6659" t="str">
        <f t="shared" si="1033"/>
        <v/>
      </c>
      <c r="W6659" t="str">
        <f t="shared" si="1034"/>
        <v/>
      </c>
      <c r="X6659">
        <f t="shared" si="1036"/>
        <v>0</v>
      </c>
      <c r="Z6659" t="str">
        <f t="shared" si="1035"/>
        <v/>
      </c>
      <c r="AA6659">
        <f t="shared" si="1037"/>
        <v>0</v>
      </c>
    </row>
    <row r="6660" spans="1:27" ht="21" customHeight="1" x14ac:dyDescent="0.95">
      <c r="A6660" s="56"/>
      <c r="B6660" s="57"/>
      <c r="C6660" s="57"/>
      <c r="D6660" s="57"/>
      <c r="E6660" s="56"/>
      <c r="F6660" s="57"/>
      <c r="G6660" s="57"/>
      <c r="H6660" s="56"/>
      <c r="I6660" s="56"/>
      <c r="J6660" s="58"/>
      <c r="K6660" s="58"/>
      <c r="L6660" s="13" t="str">
        <f t="shared" ref="L6660:L6723" si="1038">IF(OR($A6660="",AND($J6660="",$K6660="")),"",ROUND(N($J6660)-N($K6660),2))</f>
        <v/>
      </c>
      <c r="M6660" s="13" t="str">
        <f t="shared" ref="M6660:M6723" si="1039">IF(OR($A6660="",AND($J6660="",$K6660="")),"",MIN($J6660,$K6660))</f>
        <v/>
      </c>
      <c r="Q6660" t="str">
        <f t="shared" ref="Q6660:Q6723" si="1040">IF($A6660="","",$D6660&amp;"("&amp;SUBSTITUTE($E6660," ","")&amp;")")</f>
        <v/>
      </c>
      <c r="R6660" t="str">
        <f t="shared" ref="R6660:R6723" si="1041">IF($A6660="","",$B6660&amp;" - "&amp;$C6660)</f>
        <v/>
      </c>
      <c r="S6660" t="str">
        <f t="shared" ref="S6660:S6723" si="1042">IF($A6660="","",$R6660&amp;"|"&amp;$Q6660)</f>
        <v/>
      </c>
      <c r="T6660" t="str">
        <f t="shared" ref="T6660:T6723" si="1043">IF($A6660="","",$S6660&amp;"|"&amp;$F6660)</f>
        <v/>
      </c>
      <c r="U6660" t="str">
        <f t="shared" ref="U6660:U6723" si="1044">IF($A6660="","",$R6660&amp;"("&amp;$E6660&amp;")")</f>
        <v/>
      </c>
      <c r="V6660" t="str">
        <f t="shared" ref="V6660:V6723" si="1045">IF($A6660="","",$F6660&amp;"|"&amp;$U6660&amp;"|"&amp;$D6660)</f>
        <v/>
      </c>
      <c r="W6660" t="str">
        <f t="shared" si="1034"/>
        <v/>
      </c>
      <c r="X6660">
        <f t="shared" si="1036"/>
        <v>0</v>
      </c>
      <c r="Z6660" t="str">
        <f t="shared" si="1035"/>
        <v/>
      </c>
      <c r="AA6660">
        <f t="shared" si="1037"/>
        <v>0</v>
      </c>
    </row>
    <row r="6661" spans="1:27" ht="21" customHeight="1" x14ac:dyDescent="0.95">
      <c r="A6661" s="56"/>
      <c r="B6661" s="57"/>
      <c r="C6661" s="57"/>
      <c r="D6661" s="57"/>
      <c r="E6661" s="56"/>
      <c r="F6661" s="57"/>
      <c r="G6661" s="57"/>
      <c r="H6661" s="56"/>
      <c r="I6661" s="56"/>
      <c r="J6661" s="58"/>
      <c r="K6661" s="58"/>
      <c r="L6661" s="13" t="str">
        <f t="shared" si="1038"/>
        <v/>
      </c>
      <c r="M6661" s="13" t="str">
        <f t="shared" si="1039"/>
        <v/>
      </c>
      <c r="Q6661" t="str">
        <f t="shared" si="1040"/>
        <v/>
      </c>
      <c r="R6661" t="str">
        <f t="shared" si="1041"/>
        <v/>
      </c>
      <c r="S6661" t="str">
        <f t="shared" si="1042"/>
        <v/>
      </c>
      <c r="T6661" t="str">
        <f t="shared" si="1043"/>
        <v/>
      </c>
      <c r="U6661" t="str">
        <f t="shared" si="1044"/>
        <v/>
      </c>
      <c r="V6661" t="str">
        <f t="shared" si="1045"/>
        <v/>
      </c>
      <c r="W6661" t="str">
        <f t="shared" si="1034"/>
        <v/>
      </c>
      <c r="X6661">
        <f t="shared" si="1036"/>
        <v>0</v>
      </c>
      <c r="Z6661" t="str">
        <f t="shared" si="1035"/>
        <v/>
      </c>
      <c r="AA6661">
        <f t="shared" si="1037"/>
        <v>0</v>
      </c>
    </row>
    <row r="6662" spans="1:27" ht="21" customHeight="1" x14ac:dyDescent="0.95">
      <c r="A6662" s="56"/>
      <c r="B6662" s="57"/>
      <c r="C6662" s="57"/>
      <c r="D6662" s="57"/>
      <c r="E6662" s="56"/>
      <c r="F6662" s="57"/>
      <c r="G6662" s="57"/>
      <c r="H6662" s="56"/>
      <c r="I6662" s="56"/>
      <c r="J6662" s="58"/>
      <c r="K6662" s="58"/>
      <c r="L6662" s="13" t="str">
        <f t="shared" si="1038"/>
        <v/>
      </c>
      <c r="M6662" s="13" t="str">
        <f t="shared" si="1039"/>
        <v/>
      </c>
      <c r="Q6662" t="str">
        <f t="shared" si="1040"/>
        <v/>
      </c>
      <c r="R6662" t="str">
        <f t="shared" si="1041"/>
        <v/>
      </c>
      <c r="S6662" t="str">
        <f t="shared" si="1042"/>
        <v/>
      </c>
      <c r="T6662" t="str">
        <f t="shared" si="1043"/>
        <v/>
      </c>
      <c r="U6662" t="str">
        <f t="shared" si="1044"/>
        <v/>
      </c>
      <c r="V6662" t="str">
        <f t="shared" si="1045"/>
        <v/>
      </c>
      <c r="W6662" t="str">
        <f t="shared" ref="W6662:W6725" si="1046">IF($T6662="","",IF($X6662&gt;N($X6661),$X6662,""))</f>
        <v/>
      </c>
      <c r="X6662">
        <f t="shared" si="1036"/>
        <v>0</v>
      </c>
      <c r="Z6662" t="str">
        <f t="shared" ref="Z6662:Z6725" si="1047">IF($V6662="","",IF($AA6662&gt;N($AA6661),$AA6662,""))</f>
        <v/>
      </c>
      <c r="AA6662">
        <f t="shared" si="1037"/>
        <v>0</v>
      </c>
    </row>
    <row r="6663" spans="1:27" ht="21" customHeight="1" x14ac:dyDescent="0.95">
      <c r="A6663" s="56"/>
      <c r="B6663" s="57"/>
      <c r="C6663" s="57"/>
      <c r="D6663" s="57"/>
      <c r="E6663" s="56"/>
      <c r="F6663" s="57"/>
      <c r="G6663" s="57"/>
      <c r="H6663" s="56"/>
      <c r="I6663" s="56"/>
      <c r="J6663" s="58"/>
      <c r="K6663" s="58"/>
      <c r="L6663" s="13" t="str">
        <f t="shared" si="1038"/>
        <v/>
      </c>
      <c r="M6663" s="13" t="str">
        <f t="shared" si="1039"/>
        <v/>
      </c>
      <c r="Q6663" t="str">
        <f t="shared" si="1040"/>
        <v/>
      </c>
      <c r="R6663" t="str">
        <f t="shared" si="1041"/>
        <v/>
      </c>
      <c r="S6663" t="str">
        <f t="shared" si="1042"/>
        <v/>
      </c>
      <c r="T6663" t="str">
        <f t="shared" si="1043"/>
        <v/>
      </c>
      <c r="U6663" t="str">
        <f t="shared" si="1044"/>
        <v/>
      </c>
      <c r="V6663" t="str">
        <f t="shared" si="1045"/>
        <v/>
      </c>
      <c r="W6663" t="str">
        <f t="shared" si="1046"/>
        <v/>
      </c>
      <c r="X6663">
        <f t="shared" si="1036"/>
        <v>0</v>
      </c>
      <c r="Z6663" t="str">
        <f t="shared" si="1047"/>
        <v/>
      </c>
      <c r="AA6663">
        <f t="shared" si="1037"/>
        <v>0</v>
      </c>
    </row>
    <row r="6664" spans="1:27" ht="21" customHeight="1" x14ac:dyDescent="0.95">
      <c r="A6664" s="56"/>
      <c r="B6664" s="57"/>
      <c r="C6664" s="57"/>
      <c r="D6664" s="57"/>
      <c r="E6664" s="56"/>
      <c r="F6664" s="57"/>
      <c r="G6664" s="57"/>
      <c r="H6664" s="56"/>
      <c r="I6664" s="56"/>
      <c r="J6664" s="58"/>
      <c r="K6664" s="58"/>
      <c r="L6664" s="13" t="str">
        <f t="shared" si="1038"/>
        <v/>
      </c>
      <c r="M6664" s="13" t="str">
        <f t="shared" si="1039"/>
        <v/>
      </c>
      <c r="Q6664" t="str">
        <f t="shared" si="1040"/>
        <v/>
      </c>
      <c r="R6664" t="str">
        <f t="shared" si="1041"/>
        <v/>
      </c>
      <c r="S6664" t="str">
        <f t="shared" si="1042"/>
        <v/>
      </c>
      <c r="T6664" t="str">
        <f t="shared" si="1043"/>
        <v/>
      </c>
      <c r="U6664" t="str">
        <f t="shared" si="1044"/>
        <v/>
      </c>
      <c r="V6664" t="str">
        <f t="shared" si="1045"/>
        <v/>
      </c>
      <c r="W6664" t="str">
        <f t="shared" si="1046"/>
        <v/>
      </c>
      <c r="X6664">
        <f t="shared" si="1036"/>
        <v>0</v>
      </c>
      <c r="Z6664" t="str">
        <f t="shared" si="1047"/>
        <v/>
      </c>
      <c r="AA6664">
        <f t="shared" si="1037"/>
        <v>0</v>
      </c>
    </row>
    <row r="6665" spans="1:27" ht="21" customHeight="1" x14ac:dyDescent="0.95">
      <c r="A6665" s="56"/>
      <c r="B6665" s="57"/>
      <c r="C6665" s="57"/>
      <c r="D6665" s="57"/>
      <c r="E6665" s="56"/>
      <c r="F6665" s="57"/>
      <c r="G6665" s="57"/>
      <c r="H6665" s="56"/>
      <c r="I6665" s="56"/>
      <c r="J6665" s="58"/>
      <c r="K6665" s="58"/>
      <c r="L6665" s="13" t="str">
        <f t="shared" si="1038"/>
        <v/>
      </c>
      <c r="M6665" s="13" t="str">
        <f t="shared" si="1039"/>
        <v/>
      </c>
      <c r="Q6665" t="str">
        <f t="shared" si="1040"/>
        <v/>
      </c>
      <c r="R6665" t="str">
        <f t="shared" si="1041"/>
        <v/>
      </c>
      <c r="S6665" t="str">
        <f t="shared" si="1042"/>
        <v/>
      </c>
      <c r="T6665" t="str">
        <f t="shared" si="1043"/>
        <v/>
      </c>
      <c r="U6665" t="str">
        <f t="shared" si="1044"/>
        <v/>
      </c>
      <c r="V6665" t="str">
        <f t="shared" si="1045"/>
        <v/>
      </c>
      <c r="W6665" t="str">
        <f t="shared" si="1046"/>
        <v/>
      </c>
      <c r="X6665">
        <f t="shared" si="1036"/>
        <v>0</v>
      </c>
      <c r="Z6665" t="str">
        <f t="shared" si="1047"/>
        <v/>
      </c>
      <c r="AA6665">
        <f t="shared" si="1037"/>
        <v>0</v>
      </c>
    </row>
    <row r="6666" spans="1:27" ht="21" customHeight="1" x14ac:dyDescent="0.95">
      <c r="A6666" s="56"/>
      <c r="B6666" s="57"/>
      <c r="C6666" s="57"/>
      <c r="D6666" s="57"/>
      <c r="E6666" s="56"/>
      <c r="F6666" s="57"/>
      <c r="G6666" s="57"/>
      <c r="H6666" s="56"/>
      <c r="I6666" s="56"/>
      <c r="J6666" s="58"/>
      <c r="K6666" s="58"/>
      <c r="L6666" s="13" t="str">
        <f t="shared" si="1038"/>
        <v/>
      </c>
      <c r="M6666" s="13" t="str">
        <f t="shared" si="1039"/>
        <v/>
      </c>
      <c r="Q6666" t="str">
        <f t="shared" si="1040"/>
        <v/>
      </c>
      <c r="R6666" t="str">
        <f t="shared" si="1041"/>
        <v/>
      </c>
      <c r="S6666" t="str">
        <f t="shared" si="1042"/>
        <v/>
      </c>
      <c r="T6666" t="str">
        <f t="shared" si="1043"/>
        <v/>
      </c>
      <c r="U6666" t="str">
        <f t="shared" si="1044"/>
        <v/>
      </c>
      <c r="V6666" t="str">
        <f t="shared" si="1045"/>
        <v/>
      </c>
      <c r="W6666" t="str">
        <f t="shared" si="1046"/>
        <v/>
      </c>
      <c r="X6666">
        <f t="shared" si="1036"/>
        <v>0</v>
      </c>
      <c r="Z6666" t="str">
        <f t="shared" si="1047"/>
        <v/>
      </c>
      <c r="AA6666">
        <f t="shared" si="1037"/>
        <v>0</v>
      </c>
    </row>
    <row r="6667" spans="1:27" ht="21" customHeight="1" x14ac:dyDescent="0.95">
      <c r="A6667" s="56"/>
      <c r="B6667" s="57"/>
      <c r="C6667" s="57"/>
      <c r="D6667" s="57"/>
      <c r="E6667" s="56"/>
      <c r="F6667" s="57"/>
      <c r="G6667" s="57"/>
      <c r="H6667" s="56"/>
      <c r="I6667" s="56"/>
      <c r="J6667" s="58"/>
      <c r="K6667" s="58"/>
      <c r="L6667" s="13" t="str">
        <f t="shared" si="1038"/>
        <v/>
      </c>
      <c r="M6667" s="13" t="str">
        <f t="shared" si="1039"/>
        <v/>
      </c>
      <c r="Q6667" t="str">
        <f t="shared" si="1040"/>
        <v/>
      </c>
      <c r="R6667" t="str">
        <f t="shared" si="1041"/>
        <v/>
      </c>
      <c r="S6667" t="str">
        <f t="shared" si="1042"/>
        <v/>
      </c>
      <c r="T6667" t="str">
        <f t="shared" si="1043"/>
        <v/>
      </c>
      <c r="U6667" t="str">
        <f t="shared" si="1044"/>
        <v/>
      </c>
      <c r="V6667" t="str">
        <f t="shared" si="1045"/>
        <v/>
      </c>
      <c r="W6667" t="str">
        <f t="shared" si="1046"/>
        <v/>
      </c>
      <c r="X6667">
        <f t="shared" si="1036"/>
        <v>0</v>
      </c>
      <c r="Z6667" t="str">
        <f t="shared" si="1047"/>
        <v/>
      </c>
      <c r="AA6667">
        <f t="shared" si="1037"/>
        <v>0</v>
      </c>
    </row>
    <row r="6668" spans="1:27" ht="21" customHeight="1" x14ac:dyDescent="0.95">
      <c r="A6668" s="56"/>
      <c r="B6668" s="57"/>
      <c r="C6668" s="57"/>
      <c r="D6668" s="57"/>
      <c r="E6668" s="56"/>
      <c r="F6668" s="57"/>
      <c r="G6668" s="57"/>
      <c r="H6668" s="56"/>
      <c r="I6668" s="56"/>
      <c r="J6668" s="58"/>
      <c r="K6668" s="58"/>
      <c r="L6668" s="13" t="str">
        <f t="shared" si="1038"/>
        <v/>
      </c>
      <c r="M6668" s="13" t="str">
        <f t="shared" si="1039"/>
        <v/>
      </c>
      <c r="Q6668" t="str">
        <f t="shared" si="1040"/>
        <v/>
      </c>
      <c r="R6668" t="str">
        <f t="shared" si="1041"/>
        <v/>
      </c>
      <c r="S6668" t="str">
        <f t="shared" si="1042"/>
        <v/>
      </c>
      <c r="T6668" t="str">
        <f t="shared" si="1043"/>
        <v/>
      </c>
      <c r="U6668" t="str">
        <f t="shared" si="1044"/>
        <v/>
      </c>
      <c r="V6668" t="str">
        <f t="shared" si="1045"/>
        <v/>
      </c>
      <c r="W6668" t="str">
        <f t="shared" si="1046"/>
        <v/>
      </c>
      <c r="X6668">
        <f t="shared" si="1036"/>
        <v>0</v>
      </c>
      <c r="Z6668" t="str">
        <f t="shared" si="1047"/>
        <v/>
      </c>
      <c r="AA6668">
        <f t="shared" si="1037"/>
        <v>0</v>
      </c>
    </row>
    <row r="6669" spans="1:27" ht="21" customHeight="1" x14ac:dyDescent="0.95">
      <c r="A6669" s="56"/>
      <c r="B6669" s="57"/>
      <c r="C6669" s="57"/>
      <c r="D6669" s="57"/>
      <c r="E6669" s="56"/>
      <c r="F6669" s="57"/>
      <c r="G6669" s="57"/>
      <c r="H6669" s="56"/>
      <c r="I6669" s="56"/>
      <c r="J6669" s="58"/>
      <c r="K6669" s="58"/>
      <c r="L6669" s="13" t="str">
        <f t="shared" si="1038"/>
        <v/>
      </c>
      <c r="M6669" s="13" t="str">
        <f t="shared" si="1039"/>
        <v/>
      </c>
      <c r="Q6669" t="str">
        <f t="shared" si="1040"/>
        <v/>
      </c>
      <c r="R6669" t="str">
        <f t="shared" si="1041"/>
        <v/>
      </c>
      <c r="S6669" t="str">
        <f t="shared" si="1042"/>
        <v/>
      </c>
      <c r="T6669" t="str">
        <f t="shared" si="1043"/>
        <v/>
      </c>
      <c r="U6669" t="str">
        <f t="shared" si="1044"/>
        <v/>
      </c>
      <c r="V6669" t="str">
        <f t="shared" si="1045"/>
        <v/>
      </c>
      <c r="W6669" t="str">
        <f t="shared" si="1046"/>
        <v/>
      </c>
      <c r="X6669">
        <f t="shared" si="1036"/>
        <v>0</v>
      </c>
      <c r="Z6669" t="str">
        <f t="shared" si="1047"/>
        <v/>
      </c>
      <c r="AA6669">
        <f t="shared" si="1037"/>
        <v>0</v>
      </c>
    </row>
    <row r="6670" spans="1:27" ht="21" customHeight="1" x14ac:dyDescent="0.95">
      <c r="A6670" s="56"/>
      <c r="B6670" s="57"/>
      <c r="C6670" s="57"/>
      <c r="D6670" s="57"/>
      <c r="E6670" s="56"/>
      <c r="F6670" s="57"/>
      <c r="G6670" s="57"/>
      <c r="H6670" s="56"/>
      <c r="I6670" s="56"/>
      <c r="J6670" s="58"/>
      <c r="K6670" s="58"/>
      <c r="L6670" s="13" t="str">
        <f t="shared" si="1038"/>
        <v/>
      </c>
      <c r="M6670" s="13" t="str">
        <f t="shared" si="1039"/>
        <v/>
      </c>
      <c r="Q6670" t="str">
        <f t="shared" si="1040"/>
        <v/>
      </c>
      <c r="R6670" t="str">
        <f t="shared" si="1041"/>
        <v/>
      </c>
      <c r="S6670" t="str">
        <f t="shared" si="1042"/>
        <v/>
      </c>
      <c r="T6670" t="str">
        <f t="shared" si="1043"/>
        <v/>
      </c>
      <c r="U6670" t="str">
        <f t="shared" si="1044"/>
        <v/>
      </c>
      <c r="V6670" t="str">
        <f t="shared" si="1045"/>
        <v/>
      </c>
      <c r="W6670" t="str">
        <f t="shared" si="1046"/>
        <v/>
      </c>
      <c r="X6670">
        <f t="shared" si="1036"/>
        <v>0</v>
      </c>
      <c r="Z6670" t="str">
        <f t="shared" si="1047"/>
        <v/>
      </c>
      <c r="AA6670">
        <f t="shared" si="1037"/>
        <v>0</v>
      </c>
    </row>
    <row r="6671" spans="1:27" ht="21" customHeight="1" x14ac:dyDescent="0.95">
      <c r="A6671" s="56"/>
      <c r="B6671" s="57"/>
      <c r="C6671" s="57"/>
      <c r="D6671" s="57"/>
      <c r="E6671" s="56"/>
      <c r="F6671" s="57"/>
      <c r="G6671" s="57"/>
      <c r="H6671" s="56"/>
      <c r="I6671" s="56"/>
      <c r="J6671" s="58"/>
      <c r="K6671" s="58"/>
      <c r="L6671" s="13" t="str">
        <f t="shared" si="1038"/>
        <v/>
      </c>
      <c r="M6671" s="13" t="str">
        <f t="shared" si="1039"/>
        <v/>
      </c>
      <c r="Q6671" t="str">
        <f t="shared" si="1040"/>
        <v/>
      </c>
      <c r="R6671" t="str">
        <f t="shared" si="1041"/>
        <v/>
      </c>
      <c r="S6671" t="str">
        <f t="shared" si="1042"/>
        <v/>
      </c>
      <c r="T6671" t="str">
        <f t="shared" si="1043"/>
        <v/>
      </c>
      <c r="U6671" t="str">
        <f t="shared" si="1044"/>
        <v/>
      </c>
      <c r="V6671" t="str">
        <f t="shared" si="1045"/>
        <v/>
      </c>
      <c r="W6671" t="str">
        <f t="shared" si="1046"/>
        <v/>
      </c>
      <c r="X6671">
        <f t="shared" si="1036"/>
        <v>0</v>
      </c>
      <c r="Z6671" t="str">
        <f t="shared" si="1047"/>
        <v/>
      </c>
      <c r="AA6671">
        <f t="shared" si="1037"/>
        <v>0</v>
      </c>
    </row>
    <row r="6672" spans="1:27" ht="21" customHeight="1" x14ac:dyDescent="0.95">
      <c r="A6672" s="56"/>
      <c r="B6672" s="57"/>
      <c r="C6672" s="57"/>
      <c r="D6672" s="57"/>
      <c r="E6672" s="56"/>
      <c r="F6672" s="57"/>
      <c r="G6672" s="57"/>
      <c r="H6672" s="56"/>
      <c r="I6672" s="56"/>
      <c r="J6672" s="58"/>
      <c r="K6672" s="58"/>
      <c r="L6672" s="13" t="str">
        <f t="shared" si="1038"/>
        <v/>
      </c>
      <c r="M6672" s="13" t="str">
        <f t="shared" si="1039"/>
        <v/>
      </c>
      <c r="Q6672" t="str">
        <f t="shared" si="1040"/>
        <v/>
      </c>
      <c r="R6672" t="str">
        <f t="shared" si="1041"/>
        <v/>
      </c>
      <c r="S6672" t="str">
        <f t="shared" si="1042"/>
        <v/>
      </c>
      <c r="T6672" t="str">
        <f t="shared" si="1043"/>
        <v/>
      </c>
      <c r="U6672" t="str">
        <f t="shared" si="1044"/>
        <v/>
      </c>
      <c r="V6672" t="str">
        <f t="shared" si="1045"/>
        <v/>
      </c>
      <c r="W6672" t="str">
        <f t="shared" si="1046"/>
        <v/>
      </c>
      <c r="X6672">
        <f t="shared" si="1036"/>
        <v>0</v>
      </c>
      <c r="Z6672" t="str">
        <f t="shared" si="1047"/>
        <v/>
      </c>
      <c r="AA6672">
        <f t="shared" si="1037"/>
        <v>0</v>
      </c>
    </row>
    <row r="6673" spans="1:27" ht="21" customHeight="1" x14ac:dyDescent="0.95">
      <c r="A6673" s="56"/>
      <c r="B6673" s="57"/>
      <c r="C6673" s="57"/>
      <c r="D6673" s="57"/>
      <c r="E6673" s="56"/>
      <c r="F6673" s="57"/>
      <c r="G6673" s="57"/>
      <c r="H6673" s="56"/>
      <c r="I6673" s="56"/>
      <c r="J6673" s="58"/>
      <c r="K6673" s="58"/>
      <c r="L6673" s="13" t="str">
        <f t="shared" si="1038"/>
        <v/>
      </c>
      <c r="M6673" s="13" t="str">
        <f t="shared" si="1039"/>
        <v/>
      </c>
      <c r="Q6673" t="str">
        <f t="shared" si="1040"/>
        <v/>
      </c>
      <c r="R6673" t="str">
        <f t="shared" si="1041"/>
        <v/>
      </c>
      <c r="S6673" t="str">
        <f t="shared" si="1042"/>
        <v/>
      </c>
      <c r="T6673" t="str">
        <f t="shared" si="1043"/>
        <v/>
      </c>
      <c r="U6673" t="str">
        <f t="shared" si="1044"/>
        <v/>
      </c>
      <c r="V6673" t="str">
        <f t="shared" si="1045"/>
        <v/>
      </c>
      <c r="W6673" t="str">
        <f t="shared" si="1046"/>
        <v/>
      </c>
      <c r="X6673">
        <f t="shared" si="1036"/>
        <v>0</v>
      </c>
      <c r="Z6673" t="str">
        <f t="shared" si="1047"/>
        <v/>
      </c>
      <c r="AA6673">
        <f t="shared" si="1037"/>
        <v>0</v>
      </c>
    </row>
    <row r="6674" spans="1:27" ht="21" customHeight="1" x14ac:dyDescent="0.95">
      <c r="A6674" s="56"/>
      <c r="B6674" s="57"/>
      <c r="C6674" s="57"/>
      <c r="D6674" s="57"/>
      <c r="E6674" s="56"/>
      <c r="F6674" s="57"/>
      <c r="G6674" s="57"/>
      <c r="H6674" s="56"/>
      <c r="I6674" s="56"/>
      <c r="J6674" s="58"/>
      <c r="K6674" s="58"/>
      <c r="L6674" s="13" t="str">
        <f t="shared" si="1038"/>
        <v/>
      </c>
      <c r="M6674" s="13" t="str">
        <f t="shared" si="1039"/>
        <v/>
      </c>
      <c r="Q6674" t="str">
        <f t="shared" si="1040"/>
        <v/>
      </c>
      <c r="R6674" t="str">
        <f t="shared" si="1041"/>
        <v/>
      </c>
      <c r="S6674" t="str">
        <f t="shared" si="1042"/>
        <v/>
      </c>
      <c r="T6674" t="str">
        <f t="shared" si="1043"/>
        <v/>
      </c>
      <c r="U6674" t="str">
        <f t="shared" si="1044"/>
        <v/>
      </c>
      <c r="V6674" t="str">
        <f t="shared" si="1045"/>
        <v/>
      </c>
      <c r="W6674" t="str">
        <f t="shared" si="1046"/>
        <v/>
      </c>
      <c r="X6674">
        <f t="shared" si="1036"/>
        <v>0</v>
      </c>
      <c r="Z6674" t="str">
        <f t="shared" si="1047"/>
        <v/>
      </c>
      <c r="AA6674">
        <f t="shared" si="1037"/>
        <v>0</v>
      </c>
    </row>
    <row r="6675" spans="1:27" ht="21" customHeight="1" x14ac:dyDescent="0.95">
      <c r="A6675" s="56"/>
      <c r="B6675" s="57"/>
      <c r="C6675" s="57"/>
      <c r="D6675" s="57"/>
      <c r="E6675" s="56"/>
      <c r="F6675" s="57"/>
      <c r="G6675" s="57"/>
      <c r="H6675" s="56"/>
      <c r="I6675" s="56"/>
      <c r="J6675" s="58"/>
      <c r="K6675" s="58"/>
      <c r="L6675" s="13" t="str">
        <f t="shared" si="1038"/>
        <v/>
      </c>
      <c r="M6675" s="13" t="str">
        <f t="shared" si="1039"/>
        <v/>
      </c>
      <c r="Q6675" t="str">
        <f t="shared" si="1040"/>
        <v/>
      </c>
      <c r="R6675" t="str">
        <f t="shared" si="1041"/>
        <v/>
      </c>
      <c r="S6675" t="str">
        <f t="shared" si="1042"/>
        <v/>
      </c>
      <c r="T6675" t="str">
        <f t="shared" si="1043"/>
        <v/>
      </c>
      <c r="U6675" t="str">
        <f t="shared" si="1044"/>
        <v/>
      </c>
      <c r="V6675" t="str">
        <f t="shared" si="1045"/>
        <v/>
      </c>
      <c r="W6675" t="str">
        <f t="shared" si="1046"/>
        <v/>
      </c>
      <c r="X6675">
        <f t="shared" si="1036"/>
        <v>0</v>
      </c>
      <c r="Z6675" t="str">
        <f t="shared" si="1047"/>
        <v/>
      </c>
      <c r="AA6675">
        <f t="shared" si="1037"/>
        <v>0</v>
      </c>
    </row>
    <row r="6676" spans="1:27" ht="21" customHeight="1" x14ac:dyDescent="0.95">
      <c r="A6676" s="56"/>
      <c r="B6676" s="57"/>
      <c r="C6676" s="57"/>
      <c r="D6676" s="57"/>
      <c r="E6676" s="56"/>
      <c r="F6676" s="57"/>
      <c r="G6676" s="57"/>
      <c r="H6676" s="56"/>
      <c r="I6676" s="56"/>
      <c r="J6676" s="58"/>
      <c r="K6676" s="58"/>
      <c r="L6676" s="13" t="str">
        <f t="shared" si="1038"/>
        <v/>
      </c>
      <c r="M6676" s="13" t="str">
        <f t="shared" si="1039"/>
        <v/>
      </c>
      <c r="Q6676" t="str">
        <f t="shared" si="1040"/>
        <v/>
      </c>
      <c r="R6676" t="str">
        <f t="shared" si="1041"/>
        <v/>
      </c>
      <c r="S6676" t="str">
        <f t="shared" si="1042"/>
        <v/>
      </c>
      <c r="T6676" t="str">
        <f t="shared" si="1043"/>
        <v/>
      </c>
      <c r="U6676" t="str">
        <f t="shared" si="1044"/>
        <v/>
      </c>
      <c r="V6676" t="str">
        <f t="shared" si="1045"/>
        <v/>
      </c>
      <c r="W6676" t="str">
        <f t="shared" si="1046"/>
        <v/>
      </c>
      <c r="X6676">
        <f t="shared" si="1036"/>
        <v>0</v>
      </c>
      <c r="Z6676" t="str">
        <f t="shared" si="1047"/>
        <v/>
      </c>
      <c r="AA6676">
        <f t="shared" si="1037"/>
        <v>0</v>
      </c>
    </row>
    <row r="6677" spans="1:27" ht="21" customHeight="1" x14ac:dyDescent="0.95">
      <c r="A6677" s="56"/>
      <c r="B6677" s="57"/>
      <c r="C6677" s="57"/>
      <c r="D6677" s="57"/>
      <c r="E6677" s="56"/>
      <c r="F6677" s="57"/>
      <c r="G6677" s="57"/>
      <c r="H6677" s="56"/>
      <c r="I6677" s="56"/>
      <c r="J6677" s="58"/>
      <c r="K6677" s="58"/>
      <c r="L6677" s="13" t="str">
        <f t="shared" si="1038"/>
        <v/>
      </c>
      <c r="M6677" s="13" t="str">
        <f t="shared" si="1039"/>
        <v/>
      </c>
      <c r="Q6677" t="str">
        <f t="shared" si="1040"/>
        <v/>
      </c>
      <c r="R6677" t="str">
        <f t="shared" si="1041"/>
        <v/>
      </c>
      <c r="S6677" t="str">
        <f t="shared" si="1042"/>
        <v/>
      </c>
      <c r="T6677" t="str">
        <f t="shared" si="1043"/>
        <v/>
      </c>
      <c r="U6677" t="str">
        <f t="shared" si="1044"/>
        <v/>
      </c>
      <c r="V6677" t="str">
        <f t="shared" si="1045"/>
        <v/>
      </c>
      <c r="W6677" t="str">
        <f t="shared" si="1046"/>
        <v/>
      </c>
      <c r="X6677">
        <f t="shared" si="1036"/>
        <v>0</v>
      </c>
      <c r="Z6677" t="str">
        <f t="shared" si="1047"/>
        <v/>
      </c>
      <c r="AA6677">
        <f t="shared" si="1037"/>
        <v>0</v>
      </c>
    </row>
    <row r="6678" spans="1:27" ht="21" customHeight="1" x14ac:dyDescent="0.95">
      <c r="A6678" s="56"/>
      <c r="B6678" s="57"/>
      <c r="C6678" s="57"/>
      <c r="D6678" s="57"/>
      <c r="E6678" s="56"/>
      <c r="F6678" s="57"/>
      <c r="G6678" s="57"/>
      <c r="H6678" s="56"/>
      <c r="I6678" s="56"/>
      <c r="J6678" s="58"/>
      <c r="K6678" s="58"/>
      <c r="L6678" s="13" t="str">
        <f t="shared" si="1038"/>
        <v/>
      </c>
      <c r="M6678" s="13" t="str">
        <f t="shared" si="1039"/>
        <v/>
      </c>
      <c r="Q6678" t="str">
        <f t="shared" si="1040"/>
        <v/>
      </c>
      <c r="R6678" t="str">
        <f t="shared" si="1041"/>
        <v/>
      </c>
      <c r="S6678" t="str">
        <f t="shared" si="1042"/>
        <v/>
      </c>
      <c r="T6678" t="str">
        <f t="shared" si="1043"/>
        <v/>
      </c>
      <c r="U6678" t="str">
        <f t="shared" si="1044"/>
        <v/>
      </c>
      <c r="V6678" t="str">
        <f t="shared" si="1045"/>
        <v/>
      </c>
      <c r="W6678" t="str">
        <f t="shared" si="1046"/>
        <v/>
      </c>
      <c r="X6678">
        <f t="shared" si="1036"/>
        <v>0</v>
      </c>
      <c r="Z6678" t="str">
        <f t="shared" si="1047"/>
        <v/>
      </c>
      <c r="AA6678">
        <f t="shared" si="1037"/>
        <v>0</v>
      </c>
    </row>
    <row r="6679" spans="1:27" ht="21" customHeight="1" x14ac:dyDescent="0.95">
      <c r="A6679" s="56"/>
      <c r="B6679" s="57"/>
      <c r="C6679" s="57"/>
      <c r="D6679" s="57"/>
      <c r="E6679" s="56"/>
      <c r="F6679" s="57"/>
      <c r="G6679" s="57"/>
      <c r="H6679" s="56"/>
      <c r="I6679" s="56"/>
      <c r="J6679" s="58"/>
      <c r="K6679" s="58"/>
      <c r="L6679" s="13" t="str">
        <f t="shared" si="1038"/>
        <v/>
      </c>
      <c r="M6679" s="13" t="str">
        <f t="shared" si="1039"/>
        <v/>
      </c>
      <c r="Q6679" t="str">
        <f t="shared" si="1040"/>
        <v/>
      </c>
      <c r="R6679" t="str">
        <f t="shared" si="1041"/>
        <v/>
      </c>
      <c r="S6679" t="str">
        <f t="shared" si="1042"/>
        <v/>
      </c>
      <c r="T6679" t="str">
        <f t="shared" si="1043"/>
        <v/>
      </c>
      <c r="U6679" t="str">
        <f t="shared" si="1044"/>
        <v/>
      </c>
      <c r="V6679" t="str">
        <f t="shared" si="1045"/>
        <v/>
      </c>
      <c r="W6679" t="str">
        <f t="shared" si="1046"/>
        <v/>
      </c>
      <c r="X6679">
        <f t="shared" si="1036"/>
        <v>0</v>
      </c>
      <c r="Z6679" t="str">
        <f t="shared" si="1047"/>
        <v/>
      </c>
      <c r="AA6679">
        <f t="shared" si="1037"/>
        <v>0</v>
      </c>
    </row>
    <row r="6680" spans="1:27" ht="21" customHeight="1" x14ac:dyDescent="0.95">
      <c r="A6680" s="56"/>
      <c r="B6680" s="57"/>
      <c r="C6680" s="57"/>
      <c r="D6680" s="57"/>
      <c r="E6680" s="56"/>
      <c r="F6680" s="57"/>
      <c r="G6680" s="57"/>
      <c r="H6680" s="56"/>
      <c r="I6680" s="56"/>
      <c r="J6680" s="58"/>
      <c r="K6680" s="58"/>
      <c r="L6680" s="13" t="str">
        <f t="shared" si="1038"/>
        <v/>
      </c>
      <c r="M6680" s="13" t="str">
        <f t="shared" si="1039"/>
        <v/>
      </c>
      <c r="Q6680" t="str">
        <f t="shared" si="1040"/>
        <v/>
      </c>
      <c r="R6680" t="str">
        <f t="shared" si="1041"/>
        <v/>
      </c>
      <c r="S6680" t="str">
        <f t="shared" si="1042"/>
        <v/>
      </c>
      <c r="T6680" t="str">
        <f t="shared" si="1043"/>
        <v/>
      </c>
      <c r="U6680" t="str">
        <f t="shared" si="1044"/>
        <v/>
      </c>
      <c r="V6680" t="str">
        <f t="shared" si="1045"/>
        <v/>
      </c>
      <c r="W6680" t="str">
        <f t="shared" si="1046"/>
        <v/>
      </c>
      <c r="X6680">
        <f t="shared" si="1036"/>
        <v>0</v>
      </c>
      <c r="Z6680" t="str">
        <f t="shared" si="1047"/>
        <v/>
      </c>
      <c r="AA6680">
        <f t="shared" si="1037"/>
        <v>0</v>
      </c>
    </row>
    <row r="6681" spans="1:27" ht="21" customHeight="1" x14ac:dyDescent="0.95">
      <c r="A6681" s="56"/>
      <c r="B6681" s="57"/>
      <c r="C6681" s="57"/>
      <c r="D6681" s="57"/>
      <c r="E6681" s="56"/>
      <c r="F6681" s="57"/>
      <c r="G6681" s="57"/>
      <c r="H6681" s="56"/>
      <c r="I6681" s="56"/>
      <c r="J6681" s="58"/>
      <c r="K6681" s="58"/>
      <c r="L6681" s="13" t="str">
        <f t="shared" si="1038"/>
        <v/>
      </c>
      <c r="M6681" s="13" t="str">
        <f t="shared" si="1039"/>
        <v/>
      </c>
      <c r="Q6681" t="str">
        <f t="shared" si="1040"/>
        <v/>
      </c>
      <c r="R6681" t="str">
        <f t="shared" si="1041"/>
        <v/>
      </c>
      <c r="S6681" t="str">
        <f t="shared" si="1042"/>
        <v/>
      </c>
      <c r="T6681" t="str">
        <f t="shared" si="1043"/>
        <v/>
      </c>
      <c r="U6681" t="str">
        <f t="shared" si="1044"/>
        <v/>
      </c>
      <c r="V6681" t="str">
        <f t="shared" si="1045"/>
        <v/>
      </c>
      <c r="W6681" t="str">
        <f t="shared" si="1046"/>
        <v/>
      </c>
      <c r="X6681">
        <f t="shared" si="1036"/>
        <v>0</v>
      </c>
      <c r="Z6681" t="str">
        <f t="shared" si="1047"/>
        <v/>
      </c>
      <c r="AA6681">
        <f t="shared" si="1037"/>
        <v>0</v>
      </c>
    </row>
    <row r="6682" spans="1:27" ht="21" customHeight="1" x14ac:dyDescent="0.95">
      <c r="A6682" s="56"/>
      <c r="B6682" s="57"/>
      <c r="C6682" s="57"/>
      <c r="D6682" s="57"/>
      <c r="E6682" s="56"/>
      <c r="F6682" s="57"/>
      <c r="G6682" s="57"/>
      <c r="H6682" s="56"/>
      <c r="I6682" s="56"/>
      <c r="J6682" s="58"/>
      <c r="K6682" s="58"/>
      <c r="L6682" s="13" t="str">
        <f t="shared" si="1038"/>
        <v/>
      </c>
      <c r="M6682" s="13" t="str">
        <f t="shared" si="1039"/>
        <v/>
      </c>
      <c r="Q6682" t="str">
        <f t="shared" si="1040"/>
        <v/>
      </c>
      <c r="R6682" t="str">
        <f t="shared" si="1041"/>
        <v/>
      </c>
      <c r="S6682" t="str">
        <f t="shared" si="1042"/>
        <v/>
      </c>
      <c r="T6682" t="str">
        <f t="shared" si="1043"/>
        <v/>
      </c>
      <c r="U6682" t="str">
        <f t="shared" si="1044"/>
        <v/>
      </c>
      <c r="V6682" t="str">
        <f t="shared" si="1045"/>
        <v/>
      </c>
      <c r="W6682" t="str">
        <f t="shared" si="1046"/>
        <v/>
      </c>
      <c r="X6682">
        <f t="shared" si="1036"/>
        <v>0</v>
      </c>
      <c r="Z6682" t="str">
        <f t="shared" si="1047"/>
        <v/>
      </c>
      <c r="AA6682">
        <f t="shared" si="1037"/>
        <v>0</v>
      </c>
    </row>
    <row r="6683" spans="1:27" ht="21" customHeight="1" x14ac:dyDescent="0.95">
      <c r="A6683" s="56"/>
      <c r="B6683" s="57"/>
      <c r="C6683" s="57"/>
      <c r="D6683" s="57"/>
      <c r="E6683" s="56"/>
      <c r="F6683" s="57"/>
      <c r="G6683" s="57"/>
      <c r="H6683" s="56"/>
      <c r="I6683" s="56"/>
      <c r="J6683" s="58"/>
      <c r="K6683" s="58"/>
      <c r="L6683" s="13" t="str">
        <f t="shared" si="1038"/>
        <v/>
      </c>
      <c r="M6683" s="13" t="str">
        <f t="shared" si="1039"/>
        <v/>
      </c>
      <c r="Q6683" t="str">
        <f t="shared" si="1040"/>
        <v/>
      </c>
      <c r="R6683" t="str">
        <f t="shared" si="1041"/>
        <v/>
      </c>
      <c r="S6683" t="str">
        <f t="shared" si="1042"/>
        <v/>
      </c>
      <c r="T6683" t="str">
        <f t="shared" si="1043"/>
        <v/>
      </c>
      <c r="U6683" t="str">
        <f t="shared" si="1044"/>
        <v/>
      </c>
      <c r="V6683" t="str">
        <f t="shared" si="1045"/>
        <v/>
      </c>
      <c r="W6683" t="str">
        <f t="shared" si="1046"/>
        <v/>
      </c>
      <c r="X6683">
        <f t="shared" si="1036"/>
        <v>0</v>
      </c>
      <c r="Z6683" t="str">
        <f t="shared" si="1047"/>
        <v/>
      </c>
      <c r="AA6683">
        <f t="shared" si="1037"/>
        <v>0</v>
      </c>
    </row>
    <row r="6684" spans="1:27" ht="21" customHeight="1" x14ac:dyDescent="0.95">
      <c r="A6684" s="56"/>
      <c r="B6684" s="57"/>
      <c r="C6684" s="57"/>
      <c r="D6684" s="57"/>
      <c r="E6684" s="56"/>
      <c r="F6684" s="57"/>
      <c r="G6684" s="57"/>
      <c r="H6684" s="56"/>
      <c r="I6684" s="56"/>
      <c r="J6684" s="58"/>
      <c r="K6684" s="58"/>
      <c r="L6684" s="13" t="str">
        <f t="shared" si="1038"/>
        <v/>
      </c>
      <c r="M6684" s="13" t="str">
        <f t="shared" si="1039"/>
        <v/>
      </c>
      <c r="Q6684" t="str">
        <f t="shared" si="1040"/>
        <v/>
      </c>
      <c r="R6684" t="str">
        <f t="shared" si="1041"/>
        <v/>
      </c>
      <c r="S6684" t="str">
        <f t="shared" si="1042"/>
        <v/>
      </c>
      <c r="T6684" t="str">
        <f t="shared" si="1043"/>
        <v/>
      </c>
      <c r="U6684" t="str">
        <f t="shared" si="1044"/>
        <v/>
      </c>
      <c r="V6684" t="str">
        <f t="shared" si="1045"/>
        <v/>
      </c>
      <c r="W6684" t="str">
        <f t="shared" si="1046"/>
        <v/>
      </c>
      <c r="X6684">
        <f t="shared" si="1036"/>
        <v>0</v>
      </c>
      <c r="Z6684" t="str">
        <f t="shared" si="1047"/>
        <v/>
      </c>
      <c r="AA6684">
        <f t="shared" si="1037"/>
        <v>0</v>
      </c>
    </row>
    <row r="6685" spans="1:27" ht="21" customHeight="1" x14ac:dyDescent="0.95">
      <c r="A6685" s="56"/>
      <c r="B6685" s="57"/>
      <c r="C6685" s="57"/>
      <c r="D6685" s="57"/>
      <c r="E6685" s="56"/>
      <c r="F6685" s="57"/>
      <c r="G6685" s="57"/>
      <c r="H6685" s="56"/>
      <c r="I6685" s="56"/>
      <c r="J6685" s="58"/>
      <c r="K6685" s="58"/>
      <c r="L6685" s="13" t="str">
        <f t="shared" si="1038"/>
        <v/>
      </c>
      <c r="M6685" s="13" t="str">
        <f t="shared" si="1039"/>
        <v/>
      </c>
      <c r="Q6685" t="str">
        <f t="shared" si="1040"/>
        <v/>
      </c>
      <c r="R6685" t="str">
        <f t="shared" si="1041"/>
        <v/>
      </c>
      <c r="S6685" t="str">
        <f t="shared" si="1042"/>
        <v/>
      </c>
      <c r="T6685" t="str">
        <f t="shared" si="1043"/>
        <v/>
      </c>
      <c r="U6685" t="str">
        <f t="shared" si="1044"/>
        <v/>
      </c>
      <c r="V6685" t="str">
        <f t="shared" si="1045"/>
        <v/>
      </c>
      <c r="W6685" t="str">
        <f t="shared" si="1046"/>
        <v/>
      </c>
      <c r="X6685">
        <f t="shared" si="1036"/>
        <v>0</v>
      </c>
      <c r="Z6685" t="str">
        <f t="shared" si="1047"/>
        <v/>
      </c>
      <c r="AA6685">
        <f t="shared" si="1037"/>
        <v>0</v>
      </c>
    </row>
    <row r="6686" spans="1:27" ht="21" customHeight="1" x14ac:dyDescent="0.95">
      <c r="A6686" s="56"/>
      <c r="B6686" s="57"/>
      <c r="C6686" s="57"/>
      <c r="D6686" s="57"/>
      <c r="E6686" s="56"/>
      <c r="F6686" s="57"/>
      <c r="G6686" s="57"/>
      <c r="H6686" s="56"/>
      <c r="I6686" s="56"/>
      <c r="J6686" s="58"/>
      <c r="K6686" s="58"/>
      <c r="L6686" s="13" t="str">
        <f t="shared" si="1038"/>
        <v/>
      </c>
      <c r="M6686" s="13" t="str">
        <f t="shared" si="1039"/>
        <v/>
      </c>
      <c r="Q6686" t="str">
        <f t="shared" si="1040"/>
        <v/>
      </c>
      <c r="R6686" t="str">
        <f t="shared" si="1041"/>
        <v/>
      </c>
      <c r="S6686" t="str">
        <f t="shared" si="1042"/>
        <v/>
      </c>
      <c r="T6686" t="str">
        <f t="shared" si="1043"/>
        <v/>
      </c>
      <c r="U6686" t="str">
        <f t="shared" si="1044"/>
        <v/>
      </c>
      <c r="V6686" t="str">
        <f t="shared" si="1045"/>
        <v/>
      </c>
      <c r="W6686" t="str">
        <f t="shared" si="1046"/>
        <v/>
      </c>
      <c r="X6686">
        <f t="shared" si="1036"/>
        <v>0</v>
      </c>
      <c r="Z6686" t="str">
        <f t="shared" si="1047"/>
        <v/>
      </c>
      <c r="AA6686">
        <f t="shared" si="1037"/>
        <v>0</v>
      </c>
    </row>
    <row r="6687" spans="1:27" ht="21" customHeight="1" x14ac:dyDescent="0.95">
      <c r="A6687" s="56"/>
      <c r="B6687" s="57"/>
      <c r="C6687" s="57"/>
      <c r="D6687" s="57"/>
      <c r="E6687" s="56"/>
      <c r="F6687" s="57"/>
      <c r="G6687" s="57"/>
      <c r="H6687" s="56"/>
      <c r="I6687" s="56"/>
      <c r="J6687" s="58"/>
      <c r="K6687" s="58"/>
      <c r="L6687" s="13" t="str">
        <f t="shared" si="1038"/>
        <v/>
      </c>
      <c r="M6687" s="13" t="str">
        <f t="shared" si="1039"/>
        <v/>
      </c>
      <c r="Q6687" t="str">
        <f t="shared" si="1040"/>
        <v/>
      </c>
      <c r="R6687" t="str">
        <f t="shared" si="1041"/>
        <v/>
      </c>
      <c r="S6687" t="str">
        <f t="shared" si="1042"/>
        <v/>
      </c>
      <c r="T6687" t="str">
        <f t="shared" si="1043"/>
        <v/>
      </c>
      <c r="U6687" t="str">
        <f t="shared" si="1044"/>
        <v/>
      </c>
      <c r="V6687" t="str">
        <f t="shared" si="1045"/>
        <v/>
      </c>
      <c r="W6687" t="str">
        <f t="shared" si="1046"/>
        <v/>
      </c>
      <c r="X6687">
        <f t="shared" si="1036"/>
        <v>0</v>
      </c>
      <c r="Z6687" t="str">
        <f t="shared" si="1047"/>
        <v/>
      </c>
      <c r="AA6687">
        <f t="shared" si="1037"/>
        <v>0</v>
      </c>
    </row>
    <row r="6688" spans="1:27" ht="21" customHeight="1" x14ac:dyDescent="0.95">
      <c r="A6688" s="56"/>
      <c r="B6688" s="57"/>
      <c r="C6688" s="57"/>
      <c r="D6688" s="57"/>
      <c r="E6688" s="56"/>
      <c r="F6688" s="57"/>
      <c r="G6688" s="57"/>
      <c r="H6688" s="56"/>
      <c r="I6688" s="56"/>
      <c r="J6688" s="58"/>
      <c r="K6688" s="58"/>
      <c r="L6688" s="13" t="str">
        <f t="shared" si="1038"/>
        <v/>
      </c>
      <c r="M6688" s="13" t="str">
        <f t="shared" si="1039"/>
        <v/>
      </c>
      <c r="Q6688" t="str">
        <f t="shared" si="1040"/>
        <v/>
      </c>
      <c r="R6688" t="str">
        <f t="shared" si="1041"/>
        <v/>
      </c>
      <c r="S6688" t="str">
        <f t="shared" si="1042"/>
        <v/>
      </c>
      <c r="T6688" t="str">
        <f t="shared" si="1043"/>
        <v/>
      </c>
      <c r="U6688" t="str">
        <f t="shared" si="1044"/>
        <v/>
      </c>
      <c r="V6688" t="str">
        <f t="shared" si="1045"/>
        <v/>
      </c>
      <c r="W6688" t="str">
        <f t="shared" si="1046"/>
        <v/>
      </c>
      <c r="X6688">
        <f t="shared" si="1036"/>
        <v>0</v>
      </c>
      <c r="Z6688" t="str">
        <f t="shared" si="1047"/>
        <v/>
      </c>
      <c r="AA6688">
        <f t="shared" si="1037"/>
        <v>0</v>
      </c>
    </row>
    <row r="6689" spans="1:27" ht="21" customHeight="1" x14ac:dyDescent="0.95">
      <c r="A6689" s="56"/>
      <c r="B6689" s="57"/>
      <c r="C6689" s="57"/>
      <c r="D6689" s="57"/>
      <c r="E6689" s="56"/>
      <c r="F6689" s="57"/>
      <c r="G6689" s="57"/>
      <c r="H6689" s="56"/>
      <c r="I6689" s="56"/>
      <c r="J6689" s="58"/>
      <c r="K6689" s="58"/>
      <c r="L6689" s="13" t="str">
        <f t="shared" si="1038"/>
        <v/>
      </c>
      <c r="M6689" s="13" t="str">
        <f t="shared" si="1039"/>
        <v/>
      </c>
      <c r="Q6689" t="str">
        <f t="shared" si="1040"/>
        <v/>
      </c>
      <c r="R6689" t="str">
        <f t="shared" si="1041"/>
        <v/>
      </c>
      <c r="S6689" t="str">
        <f t="shared" si="1042"/>
        <v/>
      </c>
      <c r="T6689" t="str">
        <f t="shared" si="1043"/>
        <v/>
      </c>
      <c r="U6689" t="str">
        <f t="shared" si="1044"/>
        <v/>
      </c>
      <c r="V6689" t="str">
        <f t="shared" si="1045"/>
        <v/>
      </c>
      <c r="W6689" t="str">
        <f t="shared" si="1046"/>
        <v/>
      </c>
      <c r="X6689">
        <f t="shared" si="1036"/>
        <v>0</v>
      </c>
      <c r="Z6689" t="str">
        <f t="shared" si="1047"/>
        <v/>
      </c>
      <c r="AA6689">
        <f t="shared" si="1037"/>
        <v>0</v>
      </c>
    </row>
    <row r="6690" spans="1:27" ht="21" customHeight="1" x14ac:dyDescent="0.95">
      <c r="A6690" s="56"/>
      <c r="B6690" s="57"/>
      <c r="C6690" s="57"/>
      <c r="D6690" s="57"/>
      <c r="E6690" s="56"/>
      <c r="F6690" s="57"/>
      <c r="G6690" s="57"/>
      <c r="H6690" s="56"/>
      <c r="I6690" s="56"/>
      <c r="J6690" s="58"/>
      <c r="K6690" s="58"/>
      <c r="L6690" s="13" t="str">
        <f t="shared" si="1038"/>
        <v/>
      </c>
      <c r="M6690" s="13" t="str">
        <f t="shared" si="1039"/>
        <v/>
      </c>
      <c r="Q6690" t="str">
        <f t="shared" si="1040"/>
        <v/>
      </c>
      <c r="R6690" t="str">
        <f t="shared" si="1041"/>
        <v/>
      </c>
      <c r="S6690" t="str">
        <f t="shared" si="1042"/>
        <v/>
      </c>
      <c r="T6690" t="str">
        <f t="shared" si="1043"/>
        <v/>
      </c>
      <c r="U6690" t="str">
        <f t="shared" si="1044"/>
        <v/>
      </c>
      <c r="V6690" t="str">
        <f t="shared" si="1045"/>
        <v/>
      </c>
      <c r="W6690" t="str">
        <f t="shared" si="1046"/>
        <v/>
      </c>
      <c r="X6690">
        <f t="shared" si="1036"/>
        <v>0</v>
      </c>
      <c r="Z6690" t="str">
        <f t="shared" si="1047"/>
        <v/>
      </c>
      <c r="AA6690">
        <f t="shared" si="1037"/>
        <v>0</v>
      </c>
    </row>
    <row r="6691" spans="1:27" ht="21" customHeight="1" x14ac:dyDescent="0.95">
      <c r="A6691" s="56"/>
      <c r="B6691" s="57"/>
      <c r="C6691" s="57"/>
      <c r="D6691" s="57"/>
      <c r="E6691" s="56"/>
      <c r="F6691" s="57"/>
      <c r="G6691" s="57"/>
      <c r="H6691" s="56"/>
      <c r="I6691" s="56"/>
      <c r="J6691" s="58"/>
      <c r="K6691" s="58"/>
      <c r="L6691" s="13" t="str">
        <f t="shared" si="1038"/>
        <v/>
      </c>
      <c r="M6691" s="13" t="str">
        <f t="shared" si="1039"/>
        <v/>
      </c>
      <c r="Q6691" t="str">
        <f t="shared" si="1040"/>
        <v/>
      </c>
      <c r="R6691" t="str">
        <f t="shared" si="1041"/>
        <v/>
      </c>
      <c r="S6691" t="str">
        <f t="shared" si="1042"/>
        <v/>
      </c>
      <c r="T6691" t="str">
        <f t="shared" si="1043"/>
        <v/>
      </c>
      <c r="U6691" t="str">
        <f t="shared" si="1044"/>
        <v/>
      </c>
      <c r="V6691" t="str">
        <f t="shared" si="1045"/>
        <v/>
      </c>
      <c r="W6691" t="str">
        <f t="shared" si="1046"/>
        <v/>
      </c>
      <c r="X6691">
        <f t="shared" si="1036"/>
        <v>0</v>
      </c>
      <c r="Z6691" t="str">
        <f t="shared" si="1047"/>
        <v/>
      </c>
      <c r="AA6691">
        <f t="shared" si="1037"/>
        <v>0</v>
      </c>
    </row>
    <row r="6692" spans="1:27" ht="21" customHeight="1" x14ac:dyDescent="0.95">
      <c r="A6692" s="56"/>
      <c r="B6692" s="57"/>
      <c r="C6692" s="57"/>
      <c r="D6692" s="57"/>
      <c r="E6692" s="56"/>
      <c r="F6692" s="57"/>
      <c r="G6692" s="57"/>
      <c r="H6692" s="56"/>
      <c r="I6692" s="56"/>
      <c r="J6692" s="58"/>
      <c r="K6692" s="58"/>
      <c r="L6692" s="13" t="str">
        <f t="shared" si="1038"/>
        <v/>
      </c>
      <c r="M6692" s="13" t="str">
        <f t="shared" si="1039"/>
        <v/>
      </c>
      <c r="Q6692" t="str">
        <f t="shared" si="1040"/>
        <v/>
      </c>
      <c r="R6692" t="str">
        <f t="shared" si="1041"/>
        <v/>
      </c>
      <c r="S6692" t="str">
        <f t="shared" si="1042"/>
        <v/>
      </c>
      <c r="T6692" t="str">
        <f t="shared" si="1043"/>
        <v/>
      </c>
      <c r="U6692" t="str">
        <f t="shared" si="1044"/>
        <v/>
      </c>
      <c r="V6692" t="str">
        <f t="shared" si="1045"/>
        <v/>
      </c>
      <c r="W6692" t="str">
        <f t="shared" si="1046"/>
        <v/>
      </c>
      <c r="X6692">
        <f t="shared" si="1036"/>
        <v>0</v>
      </c>
      <c r="Z6692" t="str">
        <f t="shared" si="1047"/>
        <v/>
      </c>
      <c r="AA6692">
        <f t="shared" si="1037"/>
        <v>0</v>
      </c>
    </row>
    <row r="6693" spans="1:27" ht="21" customHeight="1" x14ac:dyDescent="0.95">
      <c r="A6693" s="56"/>
      <c r="B6693" s="57"/>
      <c r="C6693" s="57"/>
      <c r="D6693" s="57"/>
      <c r="E6693" s="56"/>
      <c r="F6693" s="57"/>
      <c r="G6693" s="57"/>
      <c r="H6693" s="56"/>
      <c r="I6693" s="56"/>
      <c r="J6693" s="58"/>
      <c r="K6693" s="58"/>
      <c r="L6693" s="13" t="str">
        <f t="shared" si="1038"/>
        <v/>
      </c>
      <c r="M6693" s="13" t="str">
        <f t="shared" si="1039"/>
        <v/>
      </c>
      <c r="Q6693" t="str">
        <f t="shared" si="1040"/>
        <v/>
      </c>
      <c r="R6693" t="str">
        <f t="shared" si="1041"/>
        <v/>
      </c>
      <c r="S6693" t="str">
        <f t="shared" si="1042"/>
        <v/>
      </c>
      <c r="T6693" t="str">
        <f t="shared" si="1043"/>
        <v/>
      </c>
      <c r="U6693" t="str">
        <f t="shared" si="1044"/>
        <v/>
      </c>
      <c r="V6693" t="str">
        <f t="shared" si="1045"/>
        <v/>
      </c>
      <c r="W6693" t="str">
        <f t="shared" si="1046"/>
        <v/>
      </c>
      <c r="X6693">
        <f t="shared" si="1036"/>
        <v>0</v>
      </c>
      <c r="Z6693" t="str">
        <f t="shared" si="1047"/>
        <v/>
      </c>
      <c r="AA6693">
        <f t="shared" si="1037"/>
        <v>0</v>
      </c>
    </row>
    <row r="6694" spans="1:27" ht="21" customHeight="1" x14ac:dyDescent="0.95">
      <c r="A6694" s="56"/>
      <c r="B6694" s="57"/>
      <c r="C6694" s="57"/>
      <c r="D6694" s="57"/>
      <c r="E6694" s="56"/>
      <c r="F6694" s="57"/>
      <c r="G6694" s="57"/>
      <c r="H6694" s="56"/>
      <c r="I6694" s="56"/>
      <c r="J6694" s="58"/>
      <c r="K6694" s="58"/>
      <c r="L6694" s="13" t="str">
        <f t="shared" si="1038"/>
        <v/>
      </c>
      <c r="M6694" s="13" t="str">
        <f t="shared" si="1039"/>
        <v/>
      </c>
      <c r="Q6694" t="str">
        <f t="shared" si="1040"/>
        <v/>
      </c>
      <c r="R6694" t="str">
        <f t="shared" si="1041"/>
        <v/>
      </c>
      <c r="S6694" t="str">
        <f t="shared" si="1042"/>
        <v/>
      </c>
      <c r="T6694" t="str">
        <f t="shared" si="1043"/>
        <v/>
      </c>
      <c r="U6694" t="str">
        <f t="shared" si="1044"/>
        <v/>
      </c>
      <c r="V6694" t="str">
        <f t="shared" si="1045"/>
        <v/>
      </c>
      <c r="W6694" t="str">
        <f t="shared" si="1046"/>
        <v/>
      </c>
      <c r="X6694">
        <f t="shared" si="1036"/>
        <v>0</v>
      </c>
      <c r="Z6694" t="str">
        <f t="shared" si="1047"/>
        <v/>
      </c>
      <c r="AA6694">
        <f t="shared" si="1037"/>
        <v>0</v>
      </c>
    </row>
    <row r="6695" spans="1:27" ht="21" customHeight="1" x14ac:dyDescent="0.95">
      <c r="A6695" s="56"/>
      <c r="B6695" s="57"/>
      <c r="C6695" s="57"/>
      <c r="D6695" s="57"/>
      <c r="E6695" s="56"/>
      <c r="F6695" s="57"/>
      <c r="G6695" s="57"/>
      <c r="H6695" s="56"/>
      <c r="I6695" s="56"/>
      <c r="J6695" s="58"/>
      <c r="K6695" s="58"/>
      <c r="L6695" s="13" t="str">
        <f t="shared" si="1038"/>
        <v/>
      </c>
      <c r="M6695" s="13" t="str">
        <f t="shared" si="1039"/>
        <v/>
      </c>
      <c r="Q6695" t="str">
        <f t="shared" si="1040"/>
        <v/>
      </c>
      <c r="R6695" t="str">
        <f t="shared" si="1041"/>
        <v/>
      </c>
      <c r="S6695" t="str">
        <f t="shared" si="1042"/>
        <v/>
      </c>
      <c r="T6695" t="str">
        <f t="shared" si="1043"/>
        <v/>
      </c>
      <c r="U6695" t="str">
        <f t="shared" si="1044"/>
        <v/>
      </c>
      <c r="V6695" t="str">
        <f t="shared" si="1045"/>
        <v/>
      </c>
      <c r="W6695" t="str">
        <f t="shared" si="1046"/>
        <v/>
      </c>
      <c r="X6695">
        <f t="shared" si="1036"/>
        <v>0</v>
      </c>
      <c r="Z6695" t="str">
        <f t="shared" si="1047"/>
        <v/>
      </c>
      <c r="AA6695">
        <f t="shared" si="1037"/>
        <v>0</v>
      </c>
    </row>
    <row r="6696" spans="1:27" ht="21" customHeight="1" x14ac:dyDescent="0.95">
      <c r="A6696" s="56"/>
      <c r="B6696" s="57"/>
      <c r="C6696" s="57"/>
      <c r="D6696" s="57"/>
      <c r="E6696" s="56"/>
      <c r="F6696" s="57"/>
      <c r="G6696" s="57"/>
      <c r="H6696" s="56"/>
      <c r="I6696" s="56"/>
      <c r="J6696" s="58"/>
      <c r="K6696" s="58"/>
      <c r="L6696" s="13" t="str">
        <f t="shared" si="1038"/>
        <v/>
      </c>
      <c r="M6696" s="13" t="str">
        <f t="shared" si="1039"/>
        <v/>
      </c>
      <c r="Q6696" t="str">
        <f t="shared" si="1040"/>
        <v/>
      </c>
      <c r="R6696" t="str">
        <f t="shared" si="1041"/>
        <v/>
      </c>
      <c r="S6696" t="str">
        <f t="shared" si="1042"/>
        <v/>
      </c>
      <c r="T6696" t="str">
        <f t="shared" si="1043"/>
        <v/>
      </c>
      <c r="U6696" t="str">
        <f t="shared" si="1044"/>
        <v/>
      </c>
      <c r="V6696" t="str">
        <f t="shared" si="1045"/>
        <v/>
      </c>
      <c r="W6696" t="str">
        <f t="shared" si="1046"/>
        <v/>
      </c>
      <c r="X6696">
        <f t="shared" si="1036"/>
        <v>0</v>
      </c>
      <c r="Z6696" t="str">
        <f t="shared" si="1047"/>
        <v/>
      </c>
      <c r="AA6696">
        <f t="shared" si="1037"/>
        <v>0</v>
      </c>
    </row>
    <row r="6697" spans="1:27" ht="21" customHeight="1" x14ac:dyDescent="0.95">
      <c r="A6697" s="56"/>
      <c r="B6697" s="57"/>
      <c r="C6697" s="57"/>
      <c r="D6697" s="57"/>
      <c r="E6697" s="56"/>
      <c r="F6697" s="57"/>
      <c r="G6697" s="57"/>
      <c r="H6697" s="56"/>
      <c r="I6697" s="56"/>
      <c r="J6697" s="58"/>
      <c r="K6697" s="58"/>
      <c r="L6697" s="13" t="str">
        <f t="shared" si="1038"/>
        <v/>
      </c>
      <c r="M6697" s="13" t="str">
        <f t="shared" si="1039"/>
        <v/>
      </c>
      <c r="Q6697" t="str">
        <f t="shared" si="1040"/>
        <v/>
      </c>
      <c r="R6697" t="str">
        <f t="shared" si="1041"/>
        <v/>
      </c>
      <c r="S6697" t="str">
        <f t="shared" si="1042"/>
        <v/>
      </c>
      <c r="T6697" t="str">
        <f t="shared" si="1043"/>
        <v/>
      </c>
      <c r="U6697" t="str">
        <f t="shared" si="1044"/>
        <v/>
      </c>
      <c r="V6697" t="str">
        <f t="shared" si="1045"/>
        <v/>
      </c>
      <c r="W6697" t="str">
        <f t="shared" si="1046"/>
        <v/>
      </c>
      <c r="X6697">
        <f t="shared" si="1036"/>
        <v>0</v>
      </c>
      <c r="Z6697" t="str">
        <f t="shared" si="1047"/>
        <v/>
      </c>
      <c r="AA6697">
        <f t="shared" si="1037"/>
        <v>0</v>
      </c>
    </row>
    <row r="6698" spans="1:27" ht="21" customHeight="1" x14ac:dyDescent="0.95">
      <c r="A6698" s="56"/>
      <c r="B6698" s="57"/>
      <c r="C6698" s="57"/>
      <c r="D6698" s="57"/>
      <c r="E6698" s="56"/>
      <c r="F6698" s="57"/>
      <c r="G6698" s="57"/>
      <c r="H6698" s="56"/>
      <c r="I6698" s="56"/>
      <c r="J6698" s="58"/>
      <c r="K6698" s="58"/>
      <c r="L6698" s="13" t="str">
        <f t="shared" si="1038"/>
        <v/>
      </c>
      <c r="M6698" s="13" t="str">
        <f t="shared" si="1039"/>
        <v/>
      </c>
      <c r="Q6698" t="str">
        <f t="shared" si="1040"/>
        <v/>
      </c>
      <c r="R6698" t="str">
        <f t="shared" si="1041"/>
        <v/>
      </c>
      <c r="S6698" t="str">
        <f t="shared" si="1042"/>
        <v/>
      </c>
      <c r="T6698" t="str">
        <f t="shared" si="1043"/>
        <v/>
      </c>
      <c r="U6698" t="str">
        <f t="shared" si="1044"/>
        <v/>
      </c>
      <c r="V6698" t="str">
        <f t="shared" si="1045"/>
        <v/>
      </c>
      <c r="W6698" t="str">
        <f t="shared" si="1046"/>
        <v/>
      </c>
      <c r="X6698">
        <f t="shared" si="1036"/>
        <v>0</v>
      </c>
      <c r="Z6698" t="str">
        <f t="shared" si="1047"/>
        <v/>
      </c>
      <c r="AA6698">
        <f t="shared" si="1037"/>
        <v>0</v>
      </c>
    </row>
    <row r="6699" spans="1:27" ht="21" customHeight="1" x14ac:dyDescent="0.95">
      <c r="A6699" s="56"/>
      <c r="B6699" s="57"/>
      <c r="C6699" s="57"/>
      <c r="D6699" s="57"/>
      <c r="E6699" s="56"/>
      <c r="F6699" s="57"/>
      <c r="G6699" s="57"/>
      <c r="H6699" s="56"/>
      <c r="I6699" s="56"/>
      <c r="J6699" s="58"/>
      <c r="K6699" s="58"/>
      <c r="L6699" s="13" t="str">
        <f t="shared" si="1038"/>
        <v/>
      </c>
      <c r="M6699" s="13" t="str">
        <f t="shared" si="1039"/>
        <v/>
      </c>
      <c r="Q6699" t="str">
        <f t="shared" si="1040"/>
        <v/>
      </c>
      <c r="R6699" t="str">
        <f t="shared" si="1041"/>
        <v/>
      </c>
      <c r="S6699" t="str">
        <f t="shared" si="1042"/>
        <v/>
      </c>
      <c r="T6699" t="str">
        <f t="shared" si="1043"/>
        <v/>
      </c>
      <c r="U6699" t="str">
        <f t="shared" si="1044"/>
        <v/>
      </c>
      <c r="V6699" t="str">
        <f t="shared" si="1045"/>
        <v/>
      </c>
      <c r="W6699" t="str">
        <f t="shared" si="1046"/>
        <v/>
      </c>
      <c r="X6699">
        <f t="shared" si="1036"/>
        <v>0</v>
      </c>
      <c r="Z6699" t="str">
        <f t="shared" si="1047"/>
        <v/>
      </c>
      <c r="AA6699">
        <f t="shared" si="1037"/>
        <v>0</v>
      </c>
    </row>
    <row r="6700" spans="1:27" ht="21" customHeight="1" x14ac:dyDescent="0.95">
      <c r="A6700" s="56"/>
      <c r="B6700" s="57"/>
      <c r="C6700" s="57"/>
      <c r="D6700" s="57"/>
      <c r="E6700" s="56"/>
      <c r="F6700" s="57"/>
      <c r="G6700" s="57"/>
      <c r="H6700" s="56"/>
      <c r="I6700" s="56"/>
      <c r="J6700" s="58"/>
      <c r="K6700" s="58"/>
      <c r="L6700" s="13" t="str">
        <f t="shared" si="1038"/>
        <v/>
      </c>
      <c r="M6700" s="13" t="str">
        <f t="shared" si="1039"/>
        <v/>
      </c>
      <c r="Q6700" t="str">
        <f t="shared" si="1040"/>
        <v/>
      </c>
      <c r="R6700" t="str">
        <f t="shared" si="1041"/>
        <v/>
      </c>
      <c r="S6700" t="str">
        <f t="shared" si="1042"/>
        <v/>
      </c>
      <c r="T6700" t="str">
        <f t="shared" si="1043"/>
        <v/>
      </c>
      <c r="U6700" t="str">
        <f t="shared" si="1044"/>
        <v/>
      </c>
      <c r="V6700" t="str">
        <f t="shared" si="1045"/>
        <v/>
      </c>
      <c r="W6700" t="str">
        <f t="shared" si="1046"/>
        <v/>
      </c>
      <c r="X6700">
        <f t="shared" si="1036"/>
        <v>0</v>
      </c>
      <c r="Z6700" t="str">
        <f t="shared" si="1047"/>
        <v/>
      </c>
      <c r="AA6700">
        <f t="shared" si="1037"/>
        <v>0</v>
      </c>
    </row>
    <row r="6701" spans="1:27" ht="21" customHeight="1" x14ac:dyDescent="0.95">
      <c r="A6701" s="56"/>
      <c r="B6701" s="57"/>
      <c r="C6701" s="57"/>
      <c r="D6701" s="57"/>
      <c r="E6701" s="56"/>
      <c r="F6701" s="57"/>
      <c r="G6701" s="57"/>
      <c r="H6701" s="56"/>
      <c r="I6701" s="56"/>
      <c r="J6701" s="58"/>
      <c r="K6701" s="58"/>
      <c r="L6701" s="13" t="str">
        <f t="shared" si="1038"/>
        <v/>
      </c>
      <c r="M6701" s="13" t="str">
        <f t="shared" si="1039"/>
        <v/>
      </c>
      <c r="Q6701" t="str">
        <f t="shared" si="1040"/>
        <v/>
      </c>
      <c r="R6701" t="str">
        <f t="shared" si="1041"/>
        <v/>
      </c>
      <c r="S6701" t="str">
        <f t="shared" si="1042"/>
        <v/>
      </c>
      <c r="T6701" t="str">
        <f t="shared" si="1043"/>
        <v/>
      </c>
      <c r="U6701" t="str">
        <f t="shared" si="1044"/>
        <v/>
      </c>
      <c r="V6701" t="str">
        <f t="shared" si="1045"/>
        <v/>
      </c>
      <c r="W6701" t="str">
        <f t="shared" si="1046"/>
        <v/>
      </c>
      <c r="X6701">
        <f t="shared" si="1036"/>
        <v>0</v>
      </c>
      <c r="Z6701" t="str">
        <f t="shared" si="1047"/>
        <v/>
      </c>
      <c r="AA6701">
        <f t="shared" si="1037"/>
        <v>0</v>
      </c>
    </row>
    <row r="6702" spans="1:27" ht="21" customHeight="1" x14ac:dyDescent="0.95">
      <c r="A6702" s="56"/>
      <c r="B6702" s="57"/>
      <c r="C6702" s="57"/>
      <c r="D6702" s="57"/>
      <c r="E6702" s="56"/>
      <c r="F6702" s="57"/>
      <c r="G6702" s="57"/>
      <c r="H6702" s="56"/>
      <c r="I6702" s="56"/>
      <c r="J6702" s="58"/>
      <c r="K6702" s="58"/>
      <c r="L6702" s="13" t="str">
        <f t="shared" si="1038"/>
        <v/>
      </c>
      <c r="M6702" s="13" t="str">
        <f t="shared" si="1039"/>
        <v/>
      </c>
      <c r="Q6702" t="str">
        <f t="shared" si="1040"/>
        <v/>
      </c>
      <c r="R6702" t="str">
        <f t="shared" si="1041"/>
        <v/>
      </c>
      <c r="S6702" t="str">
        <f t="shared" si="1042"/>
        <v/>
      </c>
      <c r="T6702" t="str">
        <f t="shared" si="1043"/>
        <v/>
      </c>
      <c r="U6702" t="str">
        <f t="shared" si="1044"/>
        <v/>
      </c>
      <c r="V6702" t="str">
        <f t="shared" si="1045"/>
        <v/>
      </c>
      <c r="W6702" t="str">
        <f t="shared" si="1046"/>
        <v/>
      </c>
      <c r="X6702">
        <f t="shared" si="1036"/>
        <v>0</v>
      </c>
      <c r="Z6702" t="str">
        <f t="shared" si="1047"/>
        <v/>
      </c>
      <c r="AA6702">
        <f t="shared" si="1037"/>
        <v>0</v>
      </c>
    </row>
    <row r="6703" spans="1:27" ht="21" customHeight="1" x14ac:dyDescent="0.95">
      <c r="A6703" s="56"/>
      <c r="B6703" s="57"/>
      <c r="C6703" s="57"/>
      <c r="D6703" s="57"/>
      <c r="E6703" s="56"/>
      <c r="F6703" s="57"/>
      <c r="G6703" s="57"/>
      <c r="H6703" s="56"/>
      <c r="I6703" s="56"/>
      <c r="J6703" s="58"/>
      <c r="K6703" s="58"/>
      <c r="L6703" s="13" t="str">
        <f t="shared" si="1038"/>
        <v/>
      </c>
      <c r="M6703" s="13" t="str">
        <f t="shared" si="1039"/>
        <v/>
      </c>
      <c r="Q6703" t="str">
        <f t="shared" si="1040"/>
        <v/>
      </c>
      <c r="R6703" t="str">
        <f t="shared" si="1041"/>
        <v/>
      </c>
      <c r="S6703" t="str">
        <f t="shared" si="1042"/>
        <v/>
      </c>
      <c r="T6703" t="str">
        <f t="shared" si="1043"/>
        <v/>
      </c>
      <c r="U6703" t="str">
        <f t="shared" si="1044"/>
        <v/>
      </c>
      <c r="V6703" t="str">
        <f t="shared" si="1045"/>
        <v/>
      </c>
      <c r="W6703" t="str">
        <f t="shared" si="1046"/>
        <v/>
      </c>
      <c r="X6703">
        <f t="shared" si="1036"/>
        <v>0</v>
      </c>
      <c r="Z6703" t="str">
        <f t="shared" si="1047"/>
        <v/>
      </c>
      <c r="AA6703">
        <f t="shared" si="1037"/>
        <v>0</v>
      </c>
    </row>
    <row r="6704" spans="1:27" ht="21" customHeight="1" x14ac:dyDescent="0.95">
      <c r="A6704" s="56"/>
      <c r="B6704" s="57"/>
      <c r="C6704" s="57"/>
      <c r="D6704" s="57"/>
      <c r="E6704" s="56"/>
      <c r="F6704" s="57"/>
      <c r="G6704" s="57"/>
      <c r="H6704" s="56"/>
      <c r="I6704" s="56"/>
      <c r="J6704" s="58"/>
      <c r="K6704" s="58"/>
      <c r="L6704" s="13" t="str">
        <f t="shared" si="1038"/>
        <v/>
      </c>
      <c r="M6704" s="13" t="str">
        <f t="shared" si="1039"/>
        <v/>
      </c>
      <c r="Q6704" t="str">
        <f t="shared" si="1040"/>
        <v/>
      </c>
      <c r="R6704" t="str">
        <f t="shared" si="1041"/>
        <v/>
      </c>
      <c r="S6704" t="str">
        <f t="shared" si="1042"/>
        <v/>
      </c>
      <c r="T6704" t="str">
        <f t="shared" si="1043"/>
        <v/>
      </c>
      <c r="U6704" t="str">
        <f t="shared" si="1044"/>
        <v/>
      </c>
      <c r="V6704" t="str">
        <f t="shared" si="1045"/>
        <v/>
      </c>
      <c r="W6704" t="str">
        <f t="shared" si="1046"/>
        <v/>
      </c>
      <c r="X6704">
        <f t="shared" si="1036"/>
        <v>0</v>
      </c>
      <c r="Z6704" t="str">
        <f t="shared" si="1047"/>
        <v/>
      </c>
      <c r="AA6704">
        <f t="shared" si="1037"/>
        <v>0</v>
      </c>
    </row>
    <row r="6705" spans="1:27" ht="21" customHeight="1" x14ac:dyDescent="0.95">
      <c r="A6705" s="56"/>
      <c r="B6705" s="57"/>
      <c r="C6705" s="57"/>
      <c r="D6705" s="57"/>
      <c r="E6705" s="56"/>
      <c r="F6705" s="57"/>
      <c r="G6705" s="57"/>
      <c r="H6705" s="56"/>
      <c r="I6705" s="56"/>
      <c r="J6705" s="58"/>
      <c r="K6705" s="58"/>
      <c r="L6705" s="13" t="str">
        <f t="shared" si="1038"/>
        <v/>
      </c>
      <c r="M6705" s="13" t="str">
        <f t="shared" si="1039"/>
        <v/>
      </c>
      <c r="Q6705" t="str">
        <f t="shared" si="1040"/>
        <v/>
      </c>
      <c r="R6705" t="str">
        <f t="shared" si="1041"/>
        <v/>
      </c>
      <c r="S6705" t="str">
        <f t="shared" si="1042"/>
        <v/>
      </c>
      <c r="T6705" t="str">
        <f t="shared" si="1043"/>
        <v/>
      </c>
      <c r="U6705" t="str">
        <f t="shared" si="1044"/>
        <v/>
      </c>
      <c r="V6705" t="str">
        <f t="shared" si="1045"/>
        <v/>
      </c>
      <c r="W6705" t="str">
        <f t="shared" si="1046"/>
        <v/>
      </c>
      <c r="X6705">
        <f t="shared" si="1036"/>
        <v>0</v>
      </c>
      <c r="Z6705" t="str">
        <f t="shared" si="1047"/>
        <v/>
      </c>
      <c r="AA6705">
        <f t="shared" si="1037"/>
        <v>0</v>
      </c>
    </row>
    <row r="6706" spans="1:27" ht="21" customHeight="1" x14ac:dyDescent="0.95">
      <c r="A6706" s="56"/>
      <c r="B6706" s="57"/>
      <c r="C6706" s="57"/>
      <c r="D6706" s="57"/>
      <c r="E6706" s="56"/>
      <c r="F6706" s="57"/>
      <c r="G6706" s="57"/>
      <c r="H6706" s="56"/>
      <c r="I6706" s="56"/>
      <c r="J6706" s="58"/>
      <c r="K6706" s="58"/>
      <c r="L6706" s="13" t="str">
        <f t="shared" si="1038"/>
        <v/>
      </c>
      <c r="M6706" s="13" t="str">
        <f t="shared" si="1039"/>
        <v/>
      </c>
      <c r="Q6706" t="str">
        <f t="shared" si="1040"/>
        <v/>
      </c>
      <c r="R6706" t="str">
        <f t="shared" si="1041"/>
        <v/>
      </c>
      <c r="S6706" t="str">
        <f t="shared" si="1042"/>
        <v/>
      </c>
      <c r="T6706" t="str">
        <f t="shared" si="1043"/>
        <v/>
      </c>
      <c r="U6706" t="str">
        <f t="shared" si="1044"/>
        <v/>
      </c>
      <c r="V6706" t="str">
        <f t="shared" si="1045"/>
        <v/>
      </c>
      <c r="W6706" t="str">
        <f t="shared" si="1046"/>
        <v/>
      </c>
      <c r="X6706">
        <f t="shared" si="1036"/>
        <v>0</v>
      </c>
      <c r="Z6706" t="str">
        <f t="shared" si="1047"/>
        <v/>
      </c>
      <c r="AA6706">
        <f t="shared" si="1037"/>
        <v>0</v>
      </c>
    </row>
    <row r="6707" spans="1:27" ht="21" customHeight="1" x14ac:dyDescent="0.95">
      <c r="A6707" s="56"/>
      <c r="B6707" s="57"/>
      <c r="C6707" s="57"/>
      <c r="D6707" s="57"/>
      <c r="E6707" s="56"/>
      <c r="F6707" s="57"/>
      <c r="G6707" s="57"/>
      <c r="H6707" s="56"/>
      <c r="I6707" s="56"/>
      <c r="J6707" s="58"/>
      <c r="K6707" s="58"/>
      <c r="L6707" s="13" t="str">
        <f t="shared" si="1038"/>
        <v/>
      </c>
      <c r="M6707" s="13" t="str">
        <f t="shared" si="1039"/>
        <v/>
      </c>
      <c r="Q6707" t="str">
        <f t="shared" si="1040"/>
        <v/>
      </c>
      <c r="R6707" t="str">
        <f t="shared" si="1041"/>
        <v/>
      </c>
      <c r="S6707" t="str">
        <f t="shared" si="1042"/>
        <v/>
      </c>
      <c r="T6707" t="str">
        <f t="shared" si="1043"/>
        <v/>
      </c>
      <c r="U6707" t="str">
        <f t="shared" si="1044"/>
        <v/>
      </c>
      <c r="V6707" t="str">
        <f t="shared" si="1045"/>
        <v/>
      </c>
      <c r="W6707" t="str">
        <f t="shared" si="1046"/>
        <v/>
      </c>
      <c r="X6707">
        <f t="shared" si="1036"/>
        <v>0</v>
      </c>
      <c r="Z6707" t="str">
        <f t="shared" si="1047"/>
        <v/>
      </c>
      <c r="AA6707">
        <f t="shared" si="1037"/>
        <v>0</v>
      </c>
    </row>
    <row r="6708" spans="1:27" ht="21" customHeight="1" x14ac:dyDescent="0.95">
      <c r="A6708" s="56"/>
      <c r="B6708" s="57"/>
      <c r="C6708" s="57"/>
      <c r="D6708" s="57"/>
      <c r="E6708" s="56"/>
      <c r="F6708" s="57"/>
      <c r="G6708" s="57"/>
      <c r="H6708" s="56"/>
      <c r="I6708" s="56"/>
      <c r="J6708" s="58"/>
      <c r="K6708" s="58"/>
      <c r="L6708" s="13" t="str">
        <f t="shared" si="1038"/>
        <v/>
      </c>
      <c r="M6708" s="13" t="str">
        <f t="shared" si="1039"/>
        <v/>
      </c>
      <c r="Q6708" t="str">
        <f t="shared" si="1040"/>
        <v/>
      </c>
      <c r="R6708" t="str">
        <f t="shared" si="1041"/>
        <v/>
      </c>
      <c r="S6708" t="str">
        <f t="shared" si="1042"/>
        <v/>
      </c>
      <c r="T6708" t="str">
        <f t="shared" si="1043"/>
        <v/>
      </c>
      <c r="U6708" t="str">
        <f t="shared" si="1044"/>
        <v/>
      </c>
      <c r="V6708" t="str">
        <f t="shared" si="1045"/>
        <v/>
      </c>
      <c r="W6708" t="str">
        <f t="shared" si="1046"/>
        <v/>
      </c>
      <c r="X6708">
        <f t="shared" si="1036"/>
        <v>0</v>
      </c>
      <c r="Z6708" t="str">
        <f t="shared" si="1047"/>
        <v/>
      </c>
      <c r="AA6708">
        <f t="shared" si="1037"/>
        <v>0</v>
      </c>
    </row>
    <row r="6709" spans="1:27" ht="21" customHeight="1" x14ac:dyDescent="0.95">
      <c r="A6709" s="56"/>
      <c r="B6709" s="57"/>
      <c r="C6709" s="57"/>
      <c r="D6709" s="57"/>
      <c r="E6709" s="56"/>
      <c r="F6709" s="57"/>
      <c r="G6709" s="57"/>
      <c r="H6709" s="56"/>
      <c r="I6709" s="56"/>
      <c r="J6709" s="58"/>
      <c r="K6709" s="58"/>
      <c r="L6709" s="13" t="str">
        <f t="shared" si="1038"/>
        <v/>
      </c>
      <c r="M6709" s="13" t="str">
        <f t="shared" si="1039"/>
        <v/>
      </c>
      <c r="Q6709" t="str">
        <f t="shared" si="1040"/>
        <v/>
      </c>
      <c r="R6709" t="str">
        <f t="shared" si="1041"/>
        <v/>
      </c>
      <c r="S6709" t="str">
        <f t="shared" si="1042"/>
        <v/>
      </c>
      <c r="T6709" t="str">
        <f t="shared" si="1043"/>
        <v/>
      </c>
      <c r="U6709" t="str">
        <f t="shared" si="1044"/>
        <v/>
      </c>
      <c r="V6709" t="str">
        <f t="shared" si="1045"/>
        <v/>
      </c>
      <c r="W6709" t="str">
        <f t="shared" si="1046"/>
        <v/>
      </c>
      <c r="X6709">
        <f t="shared" ref="X6709:X6772" si="1048">IF($T6709="",N($X6708),IF(MATCH($T6709,$T$6:$T$10005,0)=ROW()-5,N($X6708)+1,N($X6708)))</f>
        <v>0</v>
      </c>
      <c r="Z6709" t="str">
        <f t="shared" si="1047"/>
        <v/>
      </c>
      <c r="AA6709">
        <f t="shared" ref="AA6709:AA6772" si="1049">IF($V6709="",N($AA6708),IF(MATCH($V6709,$V$6:$V$10005,0)=ROW()-5,N($AA6708)+1,N($AA6708)))</f>
        <v>0</v>
      </c>
    </row>
    <row r="6710" spans="1:27" ht="21" customHeight="1" x14ac:dyDescent="0.95">
      <c r="A6710" s="56"/>
      <c r="B6710" s="57"/>
      <c r="C6710" s="57"/>
      <c r="D6710" s="57"/>
      <c r="E6710" s="56"/>
      <c r="F6710" s="57"/>
      <c r="G6710" s="57"/>
      <c r="H6710" s="56"/>
      <c r="I6710" s="56"/>
      <c r="J6710" s="58"/>
      <c r="K6710" s="58"/>
      <c r="L6710" s="13" t="str">
        <f t="shared" si="1038"/>
        <v/>
      </c>
      <c r="M6710" s="13" t="str">
        <f t="shared" si="1039"/>
        <v/>
      </c>
      <c r="Q6710" t="str">
        <f t="shared" si="1040"/>
        <v/>
      </c>
      <c r="R6710" t="str">
        <f t="shared" si="1041"/>
        <v/>
      </c>
      <c r="S6710" t="str">
        <f t="shared" si="1042"/>
        <v/>
      </c>
      <c r="T6710" t="str">
        <f t="shared" si="1043"/>
        <v/>
      </c>
      <c r="U6710" t="str">
        <f t="shared" si="1044"/>
        <v/>
      </c>
      <c r="V6710" t="str">
        <f t="shared" si="1045"/>
        <v/>
      </c>
      <c r="W6710" t="str">
        <f t="shared" si="1046"/>
        <v/>
      </c>
      <c r="X6710">
        <f t="shared" si="1048"/>
        <v>0</v>
      </c>
      <c r="Z6710" t="str">
        <f t="shared" si="1047"/>
        <v/>
      </c>
      <c r="AA6710">
        <f t="shared" si="1049"/>
        <v>0</v>
      </c>
    </row>
    <row r="6711" spans="1:27" ht="21" customHeight="1" x14ac:dyDescent="0.95">
      <c r="A6711" s="56"/>
      <c r="B6711" s="57"/>
      <c r="C6711" s="57"/>
      <c r="D6711" s="57"/>
      <c r="E6711" s="56"/>
      <c r="F6711" s="57"/>
      <c r="G6711" s="57"/>
      <c r="H6711" s="56"/>
      <c r="I6711" s="56"/>
      <c r="J6711" s="58"/>
      <c r="K6711" s="58"/>
      <c r="L6711" s="13" t="str">
        <f t="shared" si="1038"/>
        <v/>
      </c>
      <c r="M6711" s="13" t="str">
        <f t="shared" si="1039"/>
        <v/>
      </c>
      <c r="Q6711" t="str">
        <f t="shared" si="1040"/>
        <v/>
      </c>
      <c r="R6711" t="str">
        <f t="shared" si="1041"/>
        <v/>
      </c>
      <c r="S6711" t="str">
        <f t="shared" si="1042"/>
        <v/>
      </c>
      <c r="T6711" t="str">
        <f t="shared" si="1043"/>
        <v/>
      </c>
      <c r="U6711" t="str">
        <f t="shared" si="1044"/>
        <v/>
      </c>
      <c r="V6711" t="str">
        <f t="shared" si="1045"/>
        <v/>
      </c>
      <c r="W6711" t="str">
        <f t="shared" si="1046"/>
        <v/>
      </c>
      <c r="X6711">
        <f t="shared" si="1048"/>
        <v>0</v>
      </c>
      <c r="Z6711" t="str">
        <f t="shared" si="1047"/>
        <v/>
      </c>
      <c r="AA6711">
        <f t="shared" si="1049"/>
        <v>0</v>
      </c>
    </row>
    <row r="6712" spans="1:27" ht="21" customHeight="1" x14ac:dyDescent="0.95">
      <c r="A6712" s="56"/>
      <c r="B6712" s="57"/>
      <c r="C6712" s="57"/>
      <c r="D6712" s="57"/>
      <c r="E6712" s="56"/>
      <c r="F6712" s="57"/>
      <c r="G6712" s="57"/>
      <c r="H6712" s="56"/>
      <c r="I6712" s="56"/>
      <c r="J6712" s="58"/>
      <c r="K6712" s="58"/>
      <c r="L6712" s="13" t="str">
        <f t="shared" si="1038"/>
        <v/>
      </c>
      <c r="M6712" s="13" t="str">
        <f t="shared" si="1039"/>
        <v/>
      </c>
      <c r="Q6712" t="str">
        <f t="shared" si="1040"/>
        <v/>
      </c>
      <c r="R6712" t="str">
        <f t="shared" si="1041"/>
        <v/>
      </c>
      <c r="S6712" t="str">
        <f t="shared" si="1042"/>
        <v/>
      </c>
      <c r="T6712" t="str">
        <f t="shared" si="1043"/>
        <v/>
      </c>
      <c r="U6712" t="str">
        <f t="shared" si="1044"/>
        <v/>
      </c>
      <c r="V6712" t="str">
        <f t="shared" si="1045"/>
        <v/>
      </c>
      <c r="W6712" t="str">
        <f t="shared" si="1046"/>
        <v/>
      </c>
      <c r="X6712">
        <f t="shared" si="1048"/>
        <v>0</v>
      </c>
      <c r="Z6712" t="str">
        <f t="shared" si="1047"/>
        <v/>
      </c>
      <c r="AA6712">
        <f t="shared" si="1049"/>
        <v>0</v>
      </c>
    </row>
    <row r="6713" spans="1:27" ht="21" customHeight="1" x14ac:dyDescent="0.95">
      <c r="A6713" s="56"/>
      <c r="B6713" s="57"/>
      <c r="C6713" s="57"/>
      <c r="D6713" s="57"/>
      <c r="E6713" s="56"/>
      <c r="F6713" s="57"/>
      <c r="G6713" s="57"/>
      <c r="H6713" s="56"/>
      <c r="I6713" s="56"/>
      <c r="J6713" s="58"/>
      <c r="K6713" s="58"/>
      <c r="L6713" s="13" t="str">
        <f t="shared" si="1038"/>
        <v/>
      </c>
      <c r="M6713" s="13" t="str">
        <f t="shared" si="1039"/>
        <v/>
      </c>
      <c r="Q6713" t="str">
        <f t="shared" si="1040"/>
        <v/>
      </c>
      <c r="R6713" t="str">
        <f t="shared" si="1041"/>
        <v/>
      </c>
      <c r="S6713" t="str">
        <f t="shared" si="1042"/>
        <v/>
      </c>
      <c r="T6713" t="str">
        <f t="shared" si="1043"/>
        <v/>
      </c>
      <c r="U6713" t="str">
        <f t="shared" si="1044"/>
        <v/>
      </c>
      <c r="V6713" t="str">
        <f t="shared" si="1045"/>
        <v/>
      </c>
      <c r="W6713" t="str">
        <f t="shared" si="1046"/>
        <v/>
      </c>
      <c r="X6713">
        <f t="shared" si="1048"/>
        <v>0</v>
      </c>
      <c r="Z6713" t="str">
        <f t="shared" si="1047"/>
        <v/>
      </c>
      <c r="AA6713">
        <f t="shared" si="1049"/>
        <v>0</v>
      </c>
    </row>
    <row r="6714" spans="1:27" ht="21" customHeight="1" x14ac:dyDescent="0.95">
      <c r="A6714" s="56"/>
      <c r="B6714" s="57"/>
      <c r="C6714" s="57"/>
      <c r="D6714" s="57"/>
      <c r="E6714" s="56"/>
      <c r="F6714" s="57"/>
      <c r="G6714" s="57"/>
      <c r="H6714" s="56"/>
      <c r="I6714" s="56"/>
      <c r="J6714" s="58"/>
      <c r="K6714" s="58"/>
      <c r="L6714" s="13" t="str">
        <f t="shared" si="1038"/>
        <v/>
      </c>
      <c r="M6714" s="13" t="str">
        <f t="shared" si="1039"/>
        <v/>
      </c>
      <c r="Q6714" t="str">
        <f t="shared" si="1040"/>
        <v/>
      </c>
      <c r="R6714" t="str">
        <f t="shared" si="1041"/>
        <v/>
      </c>
      <c r="S6714" t="str">
        <f t="shared" si="1042"/>
        <v/>
      </c>
      <c r="T6714" t="str">
        <f t="shared" si="1043"/>
        <v/>
      </c>
      <c r="U6714" t="str">
        <f t="shared" si="1044"/>
        <v/>
      </c>
      <c r="V6714" t="str">
        <f t="shared" si="1045"/>
        <v/>
      </c>
      <c r="W6714" t="str">
        <f t="shared" si="1046"/>
        <v/>
      </c>
      <c r="X6714">
        <f t="shared" si="1048"/>
        <v>0</v>
      </c>
      <c r="Z6714" t="str">
        <f t="shared" si="1047"/>
        <v/>
      </c>
      <c r="AA6714">
        <f t="shared" si="1049"/>
        <v>0</v>
      </c>
    </row>
    <row r="6715" spans="1:27" ht="21" customHeight="1" x14ac:dyDescent="0.95">
      <c r="A6715" s="56"/>
      <c r="B6715" s="57"/>
      <c r="C6715" s="57"/>
      <c r="D6715" s="57"/>
      <c r="E6715" s="56"/>
      <c r="F6715" s="57"/>
      <c r="G6715" s="57"/>
      <c r="H6715" s="56"/>
      <c r="I6715" s="56"/>
      <c r="J6715" s="58"/>
      <c r="K6715" s="58"/>
      <c r="L6715" s="13" t="str">
        <f t="shared" si="1038"/>
        <v/>
      </c>
      <c r="M6715" s="13" t="str">
        <f t="shared" si="1039"/>
        <v/>
      </c>
      <c r="Q6715" t="str">
        <f t="shared" si="1040"/>
        <v/>
      </c>
      <c r="R6715" t="str">
        <f t="shared" si="1041"/>
        <v/>
      </c>
      <c r="S6715" t="str">
        <f t="shared" si="1042"/>
        <v/>
      </c>
      <c r="T6715" t="str">
        <f t="shared" si="1043"/>
        <v/>
      </c>
      <c r="U6715" t="str">
        <f t="shared" si="1044"/>
        <v/>
      </c>
      <c r="V6715" t="str">
        <f t="shared" si="1045"/>
        <v/>
      </c>
      <c r="W6715" t="str">
        <f t="shared" si="1046"/>
        <v/>
      </c>
      <c r="X6715">
        <f t="shared" si="1048"/>
        <v>0</v>
      </c>
      <c r="Z6715" t="str">
        <f t="shared" si="1047"/>
        <v/>
      </c>
      <c r="AA6715">
        <f t="shared" si="1049"/>
        <v>0</v>
      </c>
    </row>
    <row r="6716" spans="1:27" ht="21" customHeight="1" x14ac:dyDescent="0.95">
      <c r="A6716" s="56"/>
      <c r="B6716" s="57"/>
      <c r="C6716" s="57"/>
      <c r="D6716" s="57"/>
      <c r="E6716" s="56"/>
      <c r="F6716" s="57"/>
      <c r="G6716" s="57"/>
      <c r="H6716" s="56"/>
      <c r="I6716" s="56"/>
      <c r="J6716" s="58"/>
      <c r="K6716" s="58"/>
      <c r="L6716" s="13" t="str">
        <f t="shared" si="1038"/>
        <v/>
      </c>
      <c r="M6716" s="13" t="str">
        <f t="shared" si="1039"/>
        <v/>
      </c>
      <c r="Q6716" t="str">
        <f t="shared" si="1040"/>
        <v/>
      </c>
      <c r="R6716" t="str">
        <f t="shared" si="1041"/>
        <v/>
      </c>
      <c r="S6716" t="str">
        <f t="shared" si="1042"/>
        <v/>
      </c>
      <c r="T6716" t="str">
        <f t="shared" si="1043"/>
        <v/>
      </c>
      <c r="U6716" t="str">
        <f t="shared" si="1044"/>
        <v/>
      </c>
      <c r="V6716" t="str">
        <f t="shared" si="1045"/>
        <v/>
      </c>
      <c r="W6716" t="str">
        <f t="shared" si="1046"/>
        <v/>
      </c>
      <c r="X6716">
        <f t="shared" si="1048"/>
        <v>0</v>
      </c>
      <c r="Z6716" t="str">
        <f t="shared" si="1047"/>
        <v/>
      </c>
      <c r="AA6716">
        <f t="shared" si="1049"/>
        <v>0</v>
      </c>
    </row>
    <row r="6717" spans="1:27" ht="21" customHeight="1" x14ac:dyDescent="0.95">
      <c r="A6717" s="56"/>
      <c r="B6717" s="57"/>
      <c r="C6717" s="57"/>
      <c r="D6717" s="57"/>
      <c r="E6717" s="56"/>
      <c r="F6717" s="57"/>
      <c r="G6717" s="57"/>
      <c r="H6717" s="56"/>
      <c r="I6717" s="56"/>
      <c r="J6717" s="58"/>
      <c r="K6717" s="58"/>
      <c r="L6717" s="13" t="str">
        <f t="shared" si="1038"/>
        <v/>
      </c>
      <c r="M6717" s="13" t="str">
        <f t="shared" si="1039"/>
        <v/>
      </c>
      <c r="Q6717" t="str">
        <f t="shared" si="1040"/>
        <v/>
      </c>
      <c r="R6717" t="str">
        <f t="shared" si="1041"/>
        <v/>
      </c>
      <c r="S6717" t="str">
        <f t="shared" si="1042"/>
        <v/>
      </c>
      <c r="T6717" t="str">
        <f t="shared" si="1043"/>
        <v/>
      </c>
      <c r="U6717" t="str">
        <f t="shared" si="1044"/>
        <v/>
      </c>
      <c r="V6717" t="str">
        <f t="shared" si="1045"/>
        <v/>
      </c>
      <c r="W6717" t="str">
        <f t="shared" si="1046"/>
        <v/>
      </c>
      <c r="X6717">
        <f t="shared" si="1048"/>
        <v>0</v>
      </c>
      <c r="Z6717" t="str">
        <f t="shared" si="1047"/>
        <v/>
      </c>
      <c r="AA6717">
        <f t="shared" si="1049"/>
        <v>0</v>
      </c>
    </row>
    <row r="6718" spans="1:27" ht="21" customHeight="1" x14ac:dyDescent="0.95">
      <c r="A6718" s="56"/>
      <c r="B6718" s="57"/>
      <c r="C6718" s="57"/>
      <c r="D6718" s="57"/>
      <c r="E6718" s="56"/>
      <c r="F6718" s="57"/>
      <c r="G6718" s="57"/>
      <c r="H6718" s="56"/>
      <c r="I6718" s="56"/>
      <c r="J6718" s="58"/>
      <c r="K6718" s="58"/>
      <c r="L6718" s="13" t="str">
        <f t="shared" si="1038"/>
        <v/>
      </c>
      <c r="M6718" s="13" t="str">
        <f t="shared" si="1039"/>
        <v/>
      </c>
      <c r="Q6718" t="str">
        <f t="shared" si="1040"/>
        <v/>
      </c>
      <c r="R6718" t="str">
        <f t="shared" si="1041"/>
        <v/>
      </c>
      <c r="S6718" t="str">
        <f t="shared" si="1042"/>
        <v/>
      </c>
      <c r="T6718" t="str">
        <f t="shared" si="1043"/>
        <v/>
      </c>
      <c r="U6718" t="str">
        <f t="shared" si="1044"/>
        <v/>
      </c>
      <c r="V6718" t="str">
        <f t="shared" si="1045"/>
        <v/>
      </c>
      <c r="W6718" t="str">
        <f t="shared" si="1046"/>
        <v/>
      </c>
      <c r="X6718">
        <f t="shared" si="1048"/>
        <v>0</v>
      </c>
      <c r="Z6718" t="str">
        <f t="shared" si="1047"/>
        <v/>
      </c>
      <c r="AA6718">
        <f t="shared" si="1049"/>
        <v>0</v>
      </c>
    </row>
    <row r="6719" spans="1:27" ht="21" customHeight="1" x14ac:dyDescent="0.95">
      <c r="A6719" s="56"/>
      <c r="B6719" s="57"/>
      <c r="C6719" s="57"/>
      <c r="D6719" s="57"/>
      <c r="E6719" s="56"/>
      <c r="F6719" s="57"/>
      <c r="G6719" s="57"/>
      <c r="H6719" s="56"/>
      <c r="I6719" s="56"/>
      <c r="J6719" s="58"/>
      <c r="K6719" s="58"/>
      <c r="L6719" s="13" t="str">
        <f t="shared" si="1038"/>
        <v/>
      </c>
      <c r="M6719" s="13" t="str">
        <f t="shared" si="1039"/>
        <v/>
      </c>
      <c r="Q6719" t="str">
        <f t="shared" si="1040"/>
        <v/>
      </c>
      <c r="R6719" t="str">
        <f t="shared" si="1041"/>
        <v/>
      </c>
      <c r="S6719" t="str">
        <f t="shared" si="1042"/>
        <v/>
      </c>
      <c r="T6719" t="str">
        <f t="shared" si="1043"/>
        <v/>
      </c>
      <c r="U6719" t="str">
        <f t="shared" si="1044"/>
        <v/>
      </c>
      <c r="V6719" t="str">
        <f t="shared" si="1045"/>
        <v/>
      </c>
      <c r="W6719" t="str">
        <f t="shared" si="1046"/>
        <v/>
      </c>
      <c r="X6719">
        <f t="shared" si="1048"/>
        <v>0</v>
      </c>
      <c r="Z6719" t="str">
        <f t="shared" si="1047"/>
        <v/>
      </c>
      <c r="AA6719">
        <f t="shared" si="1049"/>
        <v>0</v>
      </c>
    </row>
    <row r="6720" spans="1:27" ht="21" customHeight="1" x14ac:dyDescent="0.95">
      <c r="A6720" s="56"/>
      <c r="B6720" s="57"/>
      <c r="C6720" s="57"/>
      <c r="D6720" s="57"/>
      <c r="E6720" s="56"/>
      <c r="F6720" s="57"/>
      <c r="G6720" s="57"/>
      <c r="H6720" s="56"/>
      <c r="I6720" s="56"/>
      <c r="J6720" s="58"/>
      <c r="K6720" s="58"/>
      <c r="L6720" s="13" t="str">
        <f t="shared" si="1038"/>
        <v/>
      </c>
      <c r="M6720" s="13" t="str">
        <f t="shared" si="1039"/>
        <v/>
      </c>
      <c r="Q6720" t="str">
        <f t="shared" si="1040"/>
        <v/>
      </c>
      <c r="R6720" t="str">
        <f t="shared" si="1041"/>
        <v/>
      </c>
      <c r="S6720" t="str">
        <f t="shared" si="1042"/>
        <v/>
      </c>
      <c r="T6720" t="str">
        <f t="shared" si="1043"/>
        <v/>
      </c>
      <c r="U6720" t="str">
        <f t="shared" si="1044"/>
        <v/>
      </c>
      <c r="V6720" t="str">
        <f t="shared" si="1045"/>
        <v/>
      </c>
      <c r="W6720" t="str">
        <f t="shared" si="1046"/>
        <v/>
      </c>
      <c r="X6720">
        <f t="shared" si="1048"/>
        <v>0</v>
      </c>
      <c r="Z6720" t="str">
        <f t="shared" si="1047"/>
        <v/>
      </c>
      <c r="AA6720">
        <f t="shared" si="1049"/>
        <v>0</v>
      </c>
    </row>
    <row r="6721" spans="1:27" ht="21" customHeight="1" x14ac:dyDescent="0.95">
      <c r="A6721" s="56"/>
      <c r="B6721" s="57"/>
      <c r="C6721" s="57"/>
      <c r="D6721" s="57"/>
      <c r="E6721" s="56"/>
      <c r="F6721" s="57"/>
      <c r="G6721" s="57"/>
      <c r="H6721" s="56"/>
      <c r="I6721" s="56"/>
      <c r="J6721" s="58"/>
      <c r="K6721" s="58"/>
      <c r="L6721" s="13" t="str">
        <f t="shared" si="1038"/>
        <v/>
      </c>
      <c r="M6721" s="13" t="str">
        <f t="shared" si="1039"/>
        <v/>
      </c>
      <c r="Q6721" t="str">
        <f t="shared" si="1040"/>
        <v/>
      </c>
      <c r="R6721" t="str">
        <f t="shared" si="1041"/>
        <v/>
      </c>
      <c r="S6721" t="str">
        <f t="shared" si="1042"/>
        <v/>
      </c>
      <c r="T6721" t="str">
        <f t="shared" si="1043"/>
        <v/>
      </c>
      <c r="U6721" t="str">
        <f t="shared" si="1044"/>
        <v/>
      </c>
      <c r="V6721" t="str">
        <f t="shared" si="1045"/>
        <v/>
      </c>
      <c r="W6721" t="str">
        <f t="shared" si="1046"/>
        <v/>
      </c>
      <c r="X6721">
        <f t="shared" si="1048"/>
        <v>0</v>
      </c>
      <c r="Z6721" t="str">
        <f t="shared" si="1047"/>
        <v/>
      </c>
      <c r="AA6721">
        <f t="shared" si="1049"/>
        <v>0</v>
      </c>
    </row>
    <row r="6722" spans="1:27" ht="21" customHeight="1" x14ac:dyDescent="0.95">
      <c r="A6722" s="56"/>
      <c r="B6722" s="57"/>
      <c r="C6722" s="57"/>
      <c r="D6722" s="57"/>
      <c r="E6722" s="56"/>
      <c r="F6722" s="57"/>
      <c r="G6722" s="57"/>
      <c r="H6722" s="56"/>
      <c r="I6722" s="56"/>
      <c r="J6722" s="58"/>
      <c r="K6722" s="58"/>
      <c r="L6722" s="13" t="str">
        <f t="shared" si="1038"/>
        <v/>
      </c>
      <c r="M6722" s="13" t="str">
        <f t="shared" si="1039"/>
        <v/>
      </c>
      <c r="Q6722" t="str">
        <f t="shared" si="1040"/>
        <v/>
      </c>
      <c r="R6722" t="str">
        <f t="shared" si="1041"/>
        <v/>
      </c>
      <c r="S6722" t="str">
        <f t="shared" si="1042"/>
        <v/>
      </c>
      <c r="T6722" t="str">
        <f t="shared" si="1043"/>
        <v/>
      </c>
      <c r="U6722" t="str">
        <f t="shared" si="1044"/>
        <v/>
      </c>
      <c r="V6722" t="str">
        <f t="shared" si="1045"/>
        <v/>
      </c>
      <c r="W6722" t="str">
        <f t="shared" si="1046"/>
        <v/>
      </c>
      <c r="X6722">
        <f t="shared" si="1048"/>
        <v>0</v>
      </c>
      <c r="Z6722" t="str">
        <f t="shared" si="1047"/>
        <v/>
      </c>
      <c r="AA6722">
        <f t="shared" si="1049"/>
        <v>0</v>
      </c>
    </row>
    <row r="6723" spans="1:27" ht="21" customHeight="1" x14ac:dyDescent="0.95">
      <c r="A6723" s="56"/>
      <c r="B6723" s="57"/>
      <c r="C6723" s="57"/>
      <c r="D6723" s="57"/>
      <c r="E6723" s="56"/>
      <c r="F6723" s="57"/>
      <c r="G6723" s="57"/>
      <c r="H6723" s="56"/>
      <c r="I6723" s="56"/>
      <c r="J6723" s="58"/>
      <c r="K6723" s="58"/>
      <c r="L6723" s="13" t="str">
        <f t="shared" si="1038"/>
        <v/>
      </c>
      <c r="M6723" s="13" t="str">
        <f t="shared" si="1039"/>
        <v/>
      </c>
      <c r="Q6723" t="str">
        <f t="shared" si="1040"/>
        <v/>
      </c>
      <c r="R6723" t="str">
        <f t="shared" si="1041"/>
        <v/>
      </c>
      <c r="S6723" t="str">
        <f t="shared" si="1042"/>
        <v/>
      </c>
      <c r="T6723" t="str">
        <f t="shared" si="1043"/>
        <v/>
      </c>
      <c r="U6723" t="str">
        <f t="shared" si="1044"/>
        <v/>
      </c>
      <c r="V6723" t="str">
        <f t="shared" si="1045"/>
        <v/>
      </c>
      <c r="W6723" t="str">
        <f t="shared" si="1046"/>
        <v/>
      </c>
      <c r="X6723">
        <f t="shared" si="1048"/>
        <v>0</v>
      </c>
      <c r="Z6723" t="str">
        <f t="shared" si="1047"/>
        <v/>
      </c>
      <c r="AA6723">
        <f t="shared" si="1049"/>
        <v>0</v>
      </c>
    </row>
    <row r="6724" spans="1:27" ht="21" customHeight="1" x14ac:dyDescent="0.95">
      <c r="A6724" s="56"/>
      <c r="B6724" s="57"/>
      <c r="C6724" s="57"/>
      <c r="D6724" s="57"/>
      <c r="E6724" s="56"/>
      <c r="F6724" s="57"/>
      <c r="G6724" s="57"/>
      <c r="H6724" s="56"/>
      <c r="I6724" s="56"/>
      <c r="J6724" s="58"/>
      <c r="K6724" s="58"/>
      <c r="L6724" s="13" t="str">
        <f t="shared" ref="L6724:L6787" si="1050">IF(OR($A6724="",AND($J6724="",$K6724="")),"",ROUND(N($J6724)-N($K6724),2))</f>
        <v/>
      </c>
      <c r="M6724" s="13" t="str">
        <f t="shared" ref="M6724:M6787" si="1051">IF(OR($A6724="",AND($J6724="",$K6724="")),"",MIN($J6724,$K6724))</f>
        <v/>
      </c>
      <c r="Q6724" t="str">
        <f t="shared" ref="Q6724:Q6787" si="1052">IF($A6724="","",$D6724&amp;"("&amp;SUBSTITUTE($E6724," ","")&amp;")")</f>
        <v/>
      </c>
      <c r="R6724" t="str">
        <f t="shared" ref="R6724:R6787" si="1053">IF($A6724="","",$B6724&amp;" - "&amp;$C6724)</f>
        <v/>
      </c>
      <c r="S6724" t="str">
        <f t="shared" ref="S6724:S6787" si="1054">IF($A6724="","",$R6724&amp;"|"&amp;$Q6724)</f>
        <v/>
      </c>
      <c r="T6724" t="str">
        <f t="shared" ref="T6724:T6787" si="1055">IF($A6724="","",$S6724&amp;"|"&amp;$F6724)</f>
        <v/>
      </c>
      <c r="U6724" t="str">
        <f t="shared" ref="U6724:U6787" si="1056">IF($A6724="","",$R6724&amp;"("&amp;$E6724&amp;")")</f>
        <v/>
      </c>
      <c r="V6724" t="str">
        <f t="shared" ref="V6724:V6787" si="1057">IF($A6724="","",$F6724&amp;"|"&amp;$U6724&amp;"|"&amp;$D6724)</f>
        <v/>
      </c>
      <c r="W6724" t="str">
        <f t="shared" si="1046"/>
        <v/>
      </c>
      <c r="X6724">
        <f t="shared" si="1048"/>
        <v>0</v>
      </c>
      <c r="Z6724" t="str">
        <f t="shared" si="1047"/>
        <v/>
      </c>
      <c r="AA6724">
        <f t="shared" si="1049"/>
        <v>0</v>
      </c>
    </row>
    <row r="6725" spans="1:27" ht="21" customHeight="1" x14ac:dyDescent="0.95">
      <c r="A6725" s="56"/>
      <c r="B6725" s="57"/>
      <c r="C6725" s="57"/>
      <c r="D6725" s="57"/>
      <c r="E6725" s="56"/>
      <c r="F6725" s="57"/>
      <c r="G6725" s="57"/>
      <c r="H6725" s="56"/>
      <c r="I6725" s="56"/>
      <c r="J6725" s="58"/>
      <c r="K6725" s="58"/>
      <c r="L6725" s="13" t="str">
        <f t="shared" si="1050"/>
        <v/>
      </c>
      <c r="M6725" s="13" t="str">
        <f t="shared" si="1051"/>
        <v/>
      </c>
      <c r="Q6725" t="str">
        <f t="shared" si="1052"/>
        <v/>
      </c>
      <c r="R6725" t="str">
        <f t="shared" si="1053"/>
        <v/>
      </c>
      <c r="S6725" t="str">
        <f t="shared" si="1054"/>
        <v/>
      </c>
      <c r="T6725" t="str">
        <f t="shared" si="1055"/>
        <v/>
      </c>
      <c r="U6725" t="str">
        <f t="shared" si="1056"/>
        <v/>
      </c>
      <c r="V6725" t="str">
        <f t="shared" si="1057"/>
        <v/>
      </c>
      <c r="W6725" t="str">
        <f t="shared" si="1046"/>
        <v/>
      </c>
      <c r="X6725">
        <f t="shared" si="1048"/>
        <v>0</v>
      </c>
      <c r="Z6725" t="str">
        <f t="shared" si="1047"/>
        <v/>
      </c>
      <c r="AA6725">
        <f t="shared" si="1049"/>
        <v>0</v>
      </c>
    </row>
    <row r="6726" spans="1:27" ht="21" customHeight="1" x14ac:dyDescent="0.95">
      <c r="A6726" s="56"/>
      <c r="B6726" s="57"/>
      <c r="C6726" s="57"/>
      <c r="D6726" s="57"/>
      <c r="E6726" s="56"/>
      <c r="F6726" s="57"/>
      <c r="G6726" s="57"/>
      <c r="H6726" s="56"/>
      <c r="I6726" s="56"/>
      <c r="J6726" s="58"/>
      <c r="K6726" s="58"/>
      <c r="L6726" s="13" t="str">
        <f t="shared" si="1050"/>
        <v/>
      </c>
      <c r="M6726" s="13" t="str">
        <f t="shared" si="1051"/>
        <v/>
      </c>
      <c r="Q6726" t="str">
        <f t="shared" si="1052"/>
        <v/>
      </c>
      <c r="R6726" t="str">
        <f t="shared" si="1053"/>
        <v/>
      </c>
      <c r="S6726" t="str">
        <f t="shared" si="1054"/>
        <v/>
      </c>
      <c r="T6726" t="str">
        <f t="shared" si="1055"/>
        <v/>
      </c>
      <c r="U6726" t="str">
        <f t="shared" si="1056"/>
        <v/>
      </c>
      <c r="V6726" t="str">
        <f t="shared" si="1057"/>
        <v/>
      </c>
      <c r="W6726" t="str">
        <f t="shared" ref="W6726:W6789" si="1058">IF($T6726="","",IF($X6726&gt;N($X6725),$X6726,""))</f>
        <v/>
      </c>
      <c r="X6726">
        <f t="shared" si="1048"/>
        <v>0</v>
      </c>
      <c r="Z6726" t="str">
        <f t="shared" ref="Z6726:Z6789" si="1059">IF($V6726="","",IF($AA6726&gt;N($AA6725),$AA6726,""))</f>
        <v/>
      </c>
      <c r="AA6726">
        <f t="shared" si="1049"/>
        <v>0</v>
      </c>
    </row>
    <row r="6727" spans="1:27" ht="21" customHeight="1" x14ac:dyDescent="0.95">
      <c r="A6727" s="56"/>
      <c r="B6727" s="57"/>
      <c r="C6727" s="57"/>
      <c r="D6727" s="57"/>
      <c r="E6727" s="56"/>
      <c r="F6727" s="57"/>
      <c r="G6727" s="57"/>
      <c r="H6727" s="56"/>
      <c r="I6727" s="56"/>
      <c r="J6727" s="58"/>
      <c r="K6727" s="58"/>
      <c r="L6727" s="13" t="str">
        <f t="shared" si="1050"/>
        <v/>
      </c>
      <c r="M6727" s="13" t="str">
        <f t="shared" si="1051"/>
        <v/>
      </c>
      <c r="Q6727" t="str">
        <f t="shared" si="1052"/>
        <v/>
      </c>
      <c r="R6727" t="str">
        <f t="shared" si="1053"/>
        <v/>
      </c>
      <c r="S6727" t="str">
        <f t="shared" si="1054"/>
        <v/>
      </c>
      <c r="T6727" t="str">
        <f t="shared" si="1055"/>
        <v/>
      </c>
      <c r="U6727" t="str">
        <f t="shared" si="1056"/>
        <v/>
      </c>
      <c r="V6727" t="str">
        <f t="shared" si="1057"/>
        <v/>
      </c>
      <c r="W6727" t="str">
        <f t="shared" si="1058"/>
        <v/>
      </c>
      <c r="X6727">
        <f t="shared" si="1048"/>
        <v>0</v>
      </c>
      <c r="Z6727" t="str">
        <f t="shared" si="1059"/>
        <v/>
      </c>
      <c r="AA6727">
        <f t="shared" si="1049"/>
        <v>0</v>
      </c>
    </row>
    <row r="6728" spans="1:27" ht="21" customHeight="1" x14ac:dyDescent="0.95">
      <c r="A6728" s="56"/>
      <c r="B6728" s="57"/>
      <c r="C6728" s="57"/>
      <c r="D6728" s="57"/>
      <c r="E6728" s="56"/>
      <c r="F6728" s="57"/>
      <c r="G6728" s="57"/>
      <c r="H6728" s="56"/>
      <c r="I6728" s="56"/>
      <c r="J6728" s="58"/>
      <c r="K6728" s="58"/>
      <c r="L6728" s="13" t="str">
        <f t="shared" si="1050"/>
        <v/>
      </c>
      <c r="M6728" s="13" t="str">
        <f t="shared" si="1051"/>
        <v/>
      </c>
      <c r="Q6728" t="str">
        <f t="shared" si="1052"/>
        <v/>
      </c>
      <c r="R6728" t="str">
        <f t="shared" si="1053"/>
        <v/>
      </c>
      <c r="S6728" t="str">
        <f t="shared" si="1054"/>
        <v/>
      </c>
      <c r="T6728" t="str">
        <f t="shared" si="1055"/>
        <v/>
      </c>
      <c r="U6728" t="str">
        <f t="shared" si="1056"/>
        <v/>
      </c>
      <c r="V6728" t="str">
        <f t="shared" si="1057"/>
        <v/>
      </c>
      <c r="W6728" t="str">
        <f t="shared" si="1058"/>
        <v/>
      </c>
      <c r="X6728">
        <f t="shared" si="1048"/>
        <v>0</v>
      </c>
      <c r="Z6728" t="str">
        <f t="shared" si="1059"/>
        <v/>
      </c>
      <c r="AA6728">
        <f t="shared" si="1049"/>
        <v>0</v>
      </c>
    </row>
    <row r="6729" spans="1:27" ht="21" customHeight="1" x14ac:dyDescent="0.95">
      <c r="A6729" s="56"/>
      <c r="B6729" s="57"/>
      <c r="C6729" s="57"/>
      <c r="D6729" s="57"/>
      <c r="E6729" s="56"/>
      <c r="F6729" s="57"/>
      <c r="G6729" s="57"/>
      <c r="H6729" s="56"/>
      <c r="I6729" s="56"/>
      <c r="J6729" s="58"/>
      <c r="K6729" s="58"/>
      <c r="L6729" s="13" t="str">
        <f t="shared" si="1050"/>
        <v/>
      </c>
      <c r="M6729" s="13" t="str">
        <f t="shared" si="1051"/>
        <v/>
      </c>
      <c r="Q6729" t="str">
        <f t="shared" si="1052"/>
        <v/>
      </c>
      <c r="R6729" t="str">
        <f t="shared" si="1053"/>
        <v/>
      </c>
      <c r="S6729" t="str">
        <f t="shared" si="1054"/>
        <v/>
      </c>
      <c r="T6729" t="str">
        <f t="shared" si="1055"/>
        <v/>
      </c>
      <c r="U6729" t="str">
        <f t="shared" si="1056"/>
        <v/>
      </c>
      <c r="V6729" t="str">
        <f t="shared" si="1057"/>
        <v/>
      </c>
      <c r="W6729" t="str">
        <f t="shared" si="1058"/>
        <v/>
      </c>
      <c r="X6729">
        <f t="shared" si="1048"/>
        <v>0</v>
      </c>
      <c r="Z6729" t="str">
        <f t="shared" si="1059"/>
        <v/>
      </c>
      <c r="AA6729">
        <f t="shared" si="1049"/>
        <v>0</v>
      </c>
    </row>
    <row r="6730" spans="1:27" ht="21" customHeight="1" x14ac:dyDescent="0.95">
      <c r="A6730" s="56"/>
      <c r="B6730" s="57"/>
      <c r="C6730" s="57"/>
      <c r="D6730" s="57"/>
      <c r="E6730" s="56"/>
      <c r="F6730" s="57"/>
      <c r="G6730" s="57"/>
      <c r="H6730" s="56"/>
      <c r="I6730" s="56"/>
      <c r="J6730" s="58"/>
      <c r="K6730" s="58"/>
      <c r="L6730" s="13" t="str">
        <f t="shared" si="1050"/>
        <v/>
      </c>
      <c r="M6730" s="13" t="str">
        <f t="shared" si="1051"/>
        <v/>
      </c>
      <c r="Q6730" t="str">
        <f t="shared" si="1052"/>
        <v/>
      </c>
      <c r="R6730" t="str">
        <f t="shared" si="1053"/>
        <v/>
      </c>
      <c r="S6730" t="str">
        <f t="shared" si="1054"/>
        <v/>
      </c>
      <c r="T6730" t="str">
        <f t="shared" si="1055"/>
        <v/>
      </c>
      <c r="U6730" t="str">
        <f t="shared" si="1056"/>
        <v/>
      </c>
      <c r="V6730" t="str">
        <f t="shared" si="1057"/>
        <v/>
      </c>
      <c r="W6730" t="str">
        <f t="shared" si="1058"/>
        <v/>
      </c>
      <c r="X6730">
        <f t="shared" si="1048"/>
        <v>0</v>
      </c>
      <c r="Z6730" t="str">
        <f t="shared" si="1059"/>
        <v/>
      </c>
      <c r="AA6730">
        <f t="shared" si="1049"/>
        <v>0</v>
      </c>
    </row>
    <row r="6731" spans="1:27" ht="21" customHeight="1" x14ac:dyDescent="0.95">
      <c r="A6731" s="56"/>
      <c r="B6731" s="57"/>
      <c r="C6731" s="57"/>
      <c r="D6731" s="57"/>
      <c r="E6731" s="56"/>
      <c r="F6731" s="57"/>
      <c r="G6731" s="57"/>
      <c r="H6731" s="56"/>
      <c r="I6731" s="56"/>
      <c r="J6731" s="58"/>
      <c r="K6731" s="58"/>
      <c r="L6731" s="13" t="str">
        <f t="shared" si="1050"/>
        <v/>
      </c>
      <c r="M6731" s="13" t="str">
        <f t="shared" si="1051"/>
        <v/>
      </c>
      <c r="Q6731" t="str">
        <f t="shared" si="1052"/>
        <v/>
      </c>
      <c r="R6731" t="str">
        <f t="shared" si="1053"/>
        <v/>
      </c>
      <c r="S6731" t="str">
        <f t="shared" si="1054"/>
        <v/>
      </c>
      <c r="T6731" t="str">
        <f t="shared" si="1055"/>
        <v/>
      </c>
      <c r="U6731" t="str">
        <f t="shared" si="1056"/>
        <v/>
      </c>
      <c r="V6731" t="str">
        <f t="shared" si="1057"/>
        <v/>
      </c>
      <c r="W6731" t="str">
        <f t="shared" si="1058"/>
        <v/>
      </c>
      <c r="X6731">
        <f t="shared" si="1048"/>
        <v>0</v>
      </c>
      <c r="Z6731" t="str">
        <f t="shared" si="1059"/>
        <v/>
      </c>
      <c r="AA6731">
        <f t="shared" si="1049"/>
        <v>0</v>
      </c>
    </row>
    <row r="6732" spans="1:27" ht="21" customHeight="1" x14ac:dyDescent="0.95">
      <c r="A6732" s="56"/>
      <c r="B6732" s="57"/>
      <c r="C6732" s="57"/>
      <c r="D6732" s="57"/>
      <c r="E6732" s="56"/>
      <c r="F6732" s="57"/>
      <c r="G6732" s="57"/>
      <c r="H6732" s="56"/>
      <c r="I6732" s="56"/>
      <c r="J6732" s="58"/>
      <c r="K6732" s="58"/>
      <c r="L6732" s="13" t="str">
        <f t="shared" si="1050"/>
        <v/>
      </c>
      <c r="M6732" s="13" t="str">
        <f t="shared" si="1051"/>
        <v/>
      </c>
      <c r="Q6732" t="str">
        <f t="shared" si="1052"/>
        <v/>
      </c>
      <c r="R6732" t="str">
        <f t="shared" si="1053"/>
        <v/>
      </c>
      <c r="S6732" t="str">
        <f t="shared" si="1054"/>
        <v/>
      </c>
      <c r="T6732" t="str">
        <f t="shared" si="1055"/>
        <v/>
      </c>
      <c r="U6732" t="str">
        <f t="shared" si="1056"/>
        <v/>
      </c>
      <c r="V6732" t="str">
        <f t="shared" si="1057"/>
        <v/>
      </c>
      <c r="W6732" t="str">
        <f t="shared" si="1058"/>
        <v/>
      </c>
      <c r="X6732">
        <f t="shared" si="1048"/>
        <v>0</v>
      </c>
      <c r="Z6732" t="str">
        <f t="shared" si="1059"/>
        <v/>
      </c>
      <c r="AA6732">
        <f t="shared" si="1049"/>
        <v>0</v>
      </c>
    </row>
    <row r="6733" spans="1:27" ht="21" customHeight="1" x14ac:dyDescent="0.95">
      <c r="A6733" s="56"/>
      <c r="B6733" s="57"/>
      <c r="C6733" s="57"/>
      <c r="D6733" s="57"/>
      <c r="E6733" s="56"/>
      <c r="F6733" s="57"/>
      <c r="G6733" s="57"/>
      <c r="H6733" s="56"/>
      <c r="I6733" s="56"/>
      <c r="J6733" s="58"/>
      <c r="K6733" s="58"/>
      <c r="L6733" s="13" t="str">
        <f t="shared" si="1050"/>
        <v/>
      </c>
      <c r="M6733" s="13" t="str">
        <f t="shared" si="1051"/>
        <v/>
      </c>
      <c r="Q6733" t="str">
        <f t="shared" si="1052"/>
        <v/>
      </c>
      <c r="R6733" t="str">
        <f t="shared" si="1053"/>
        <v/>
      </c>
      <c r="S6733" t="str">
        <f t="shared" si="1054"/>
        <v/>
      </c>
      <c r="T6733" t="str">
        <f t="shared" si="1055"/>
        <v/>
      </c>
      <c r="U6733" t="str">
        <f t="shared" si="1056"/>
        <v/>
      </c>
      <c r="V6733" t="str">
        <f t="shared" si="1057"/>
        <v/>
      </c>
      <c r="W6733" t="str">
        <f t="shared" si="1058"/>
        <v/>
      </c>
      <c r="X6733">
        <f t="shared" si="1048"/>
        <v>0</v>
      </c>
      <c r="Z6733" t="str">
        <f t="shared" si="1059"/>
        <v/>
      </c>
      <c r="AA6733">
        <f t="shared" si="1049"/>
        <v>0</v>
      </c>
    </row>
    <row r="6734" spans="1:27" ht="21" customHeight="1" x14ac:dyDescent="0.95">
      <c r="A6734" s="56"/>
      <c r="B6734" s="57"/>
      <c r="C6734" s="57"/>
      <c r="D6734" s="57"/>
      <c r="E6734" s="56"/>
      <c r="F6734" s="57"/>
      <c r="G6734" s="57"/>
      <c r="H6734" s="56"/>
      <c r="I6734" s="56"/>
      <c r="J6734" s="58"/>
      <c r="K6734" s="58"/>
      <c r="L6734" s="13" t="str">
        <f t="shared" si="1050"/>
        <v/>
      </c>
      <c r="M6734" s="13" t="str">
        <f t="shared" si="1051"/>
        <v/>
      </c>
      <c r="Q6734" t="str">
        <f t="shared" si="1052"/>
        <v/>
      </c>
      <c r="R6734" t="str">
        <f t="shared" si="1053"/>
        <v/>
      </c>
      <c r="S6734" t="str">
        <f t="shared" si="1054"/>
        <v/>
      </c>
      <c r="T6734" t="str">
        <f t="shared" si="1055"/>
        <v/>
      </c>
      <c r="U6734" t="str">
        <f t="shared" si="1056"/>
        <v/>
      </c>
      <c r="V6734" t="str">
        <f t="shared" si="1057"/>
        <v/>
      </c>
      <c r="W6734" t="str">
        <f t="shared" si="1058"/>
        <v/>
      </c>
      <c r="X6734">
        <f t="shared" si="1048"/>
        <v>0</v>
      </c>
      <c r="Z6734" t="str">
        <f t="shared" si="1059"/>
        <v/>
      </c>
      <c r="AA6734">
        <f t="shared" si="1049"/>
        <v>0</v>
      </c>
    </row>
    <row r="6735" spans="1:27" ht="21" customHeight="1" x14ac:dyDescent="0.95">
      <c r="A6735" s="56"/>
      <c r="B6735" s="57"/>
      <c r="C6735" s="57"/>
      <c r="D6735" s="57"/>
      <c r="E6735" s="56"/>
      <c r="F6735" s="57"/>
      <c r="G6735" s="57"/>
      <c r="H6735" s="56"/>
      <c r="I6735" s="56"/>
      <c r="J6735" s="58"/>
      <c r="K6735" s="58"/>
      <c r="L6735" s="13" t="str">
        <f t="shared" si="1050"/>
        <v/>
      </c>
      <c r="M6735" s="13" t="str">
        <f t="shared" si="1051"/>
        <v/>
      </c>
      <c r="Q6735" t="str">
        <f t="shared" si="1052"/>
        <v/>
      </c>
      <c r="R6735" t="str">
        <f t="shared" si="1053"/>
        <v/>
      </c>
      <c r="S6735" t="str">
        <f t="shared" si="1054"/>
        <v/>
      </c>
      <c r="T6735" t="str">
        <f t="shared" si="1055"/>
        <v/>
      </c>
      <c r="U6735" t="str">
        <f t="shared" si="1056"/>
        <v/>
      </c>
      <c r="V6735" t="str">
        <f t="shared" si="1057"/>
        <v/>
      </c>
      <c r="W6735" t="str">
        <f t="shared" si="1058"/>
        <v/>
      </c>
      <c r="X6735">
        <f t="shared" si="1048"/>
        <v>0</v>
      </c>
      <c r="Z6735" t="str">
        <f t="shared" si="1059"/>
        <v/>
      </c>
      <c r="AA6735">
        <f t="shared" si="1049"/>
        <v>0</v>
      </c>
    </row>
    <row r="6736" spans="1:27" ht="21" customHeight="1" x14ac:dyDescent="0.95">
      <c r="A6736" s="56"/>
      <c r="B6736" s="57"/>
      <c r="C6736" s="57"/>
      <c r="D6736" s="57"/>
      <c r="E6736" s="56"/>
      <c r="F6736" s="57"/>
      <c r="G6736" s="57"/>
      <c r="H6736" s="56"/>
      <c r="I6736" s="56"/>
      <c r="J6736" s="58"/>
      <c r="K6736" s="58"/>
      <c r="L6736" s="13" t="str">
        <f t="shared" si="1050"/>
        <v/>
      </c>
      <c r="M6736" s="13" t="str">
        <f t="shared" si="1051"/>
        <v/>
      </c>
      <c r="Q6736" t="str">
        <f t="shared" si="1052"/>
        <v/>
      </c>
      <c r="R6736" t="str">
        <f t="shared" si="1053"/>
        <v/>
      </c>
      <c r="S6736" t="str">
        <f t="shared" si="1054"/>
        <v/>
      </c>
      <c r="T6736" t="str">
        <f t="shared" si="1055"/>
        <v/>
      </c>
      <c r="U6736" t="str">
        <f t="shared" si="1056"/>
        <v/>
      </c>
      <c r="V6736" t="str">
        <f t="shared" si="1057"/>
        <v/>
      </c>
      <c r="W6736" t="str">
        <f t="shared" si="1058"/>
        <v/>
      </c>
      <c r="X6736">
        <f t="shared" si="1048"/>
        <v>0</v>
      </c>
      <c r="Z6736" t="str">
        <f t="shared" si="1059"/>
        <v/>
      </c>
      <c r="AA6736">
        <f t="shared" si="1049"/>
        <v>0</v>
      </c>
    </row>
    <row r="6737" spans="1:27" ht="21" customHeight="1" x14ac:dyDescent="0.95">
      <c r="A6737" s="56"/>
      <c r="B6737" s="57"/>
      <c r="C6737" s="57"/>
      <c r="D6737" s="57"/>
      <c r="E6737" s="56"/>
      <c r="F6737" s="57"/>
      <c r="G6737" s="57"/>
      <c r="H6737" s="56"/>
      <c r="I6737" s="56"/>
      <c r="J6737" s="58"/>
      <c r="K6737" s="58"/>
      <c r="L6737" s="13" t="str">
        <f t="shared" si="1050"/>
        <v/>
      </c>
      <c r="M6737" s="13" t="str">
        <f t="shared" si="1051"/>
        <v/>
      </c>
      <c r="Q6737" t="str">
        <f t="shared" si="1052"/>
        <v/>
      </c>
      <c r="R6737" t="str">
        <f t="shared" si="1053"/>
        <v/>
      </c>
      <c r="S6737" t="str">
        <f t="shared" si="1054"/>
        <v/>
      </c>
      <c r="T6737" t="str">
        <f t="shared" si="1055"/>
        <v/>
      </c>
      <c r="U6737" t="str">
        <f t="shared" si="1056"/>
        <v/>
      </c>
      <c r="V6737" t="str">
        <f t="shared" si="1057"/>
        <v/>
      </c>
      <c r="W6737" t="str">
        <f t="shared" si="1058"/>
        <v/>
      </c>
      <c r="X6737">
        <f t="shared" si="1048"/>
        <v>0</v>
      </c>
      <c r="Z6737" t="str">
        <f t="shared" si="1059"/>
        <v/>
      </c>
      <c r="AA6737">
        <f t="shared" si="1049"/>
        <v>0</v>
      </c>
    </row>
    <row r="6738" spans="1:27" ht="21" customHeight="1" x14ac:dyDescent="0.95">
      <c r="A6738" s="56"/>
      <c r="B6738" s="57"/>
      <c r="C6738" s="57"/>
      <c r="D6738" s="57"/>
      <c r="E6738" s="56"/>
      <c r="F6738" s="57"/>
      <c r="G6738" s="57"/>
      <c r="H6738" s="56"/>
      <c r="I6738" s="56"/>
      <c r="J6738" s="58"/>
      <c r="K6738" s="58"/>
      <c r="L6738" s="13" t="str">
        <f t="shared" si="1050"/>
        <v/>
      </c>
      <c r="M6738" s="13" t="str">
        <f t="shared" si="1051"/>
        <v/>
      </c>
      <c r="Q6738" t="str">
        <f t="shared" si="1052"/>
        <v/>
      </c>
      <c r="R6738" t="str">
        <f t="shared" si="1053"/>
        <v/>
      </c>
      <c r="S6738" t="str">
        <f t="shared" si="1054"/>
        <v/>
      </c>
      <c r="T6738" t="str">
        <f t="shared" si="1055"/>
        <v/>
      </c>
      <c r="U6738" t="str">
        <f t="shared" si="1056"/>
        <v/>
      </c>
      <c r="V6738" t="str">
        <f t="shared" si="1057"/>
        <v/>
      </c>
      <c r="W6738" t="str">
        <f t="shared" si="1058"/>
        <v/>
      </c>
      <c r="X6738">
        <f t="shared" si="1048"/>
        <v>0</v>
      </c>
      <c r="Z6738" t="str">
        <f t="shared" si="1059"/>
        <v/>
      </c>
      <c r="AA6738">
        <f t="shared" si="1049"/>
        <v>0</v>
      </c>
    </row>
    <row r="6739" spans="1:27" ht="21" customHeight="1" x14ac:dyDescent="0.95">
      <c r="A6739" s="56"/>
      <c r="B6739" s="57"/>
      <c r="C6739" s="57"/>
      <c r="D6739" s="57"/>
      <c r="E6739" s="56"/>
      <c r="F6739" s="57"/>
      <c r="G6739" s="57"/>
      <c r="H6739" s="56"/>
      <c r="I6739" s="56"/>
      <c r="J6739" s="58"/>
      <c r="K6739" s="58"/>
      <c r="L6739" s="13" t="str">
        <f t="shared" si="1050"/>
        <v/>
      </c>
      <c r="M6739" s="13" t="str">
        <f t="shared" si="1051"/>
        <v/>
      </c>
      <c r="Q6739" t="str">
        <f t="shared" si="1052"/>
        <v/>
      </c>
      <c r="R6739" t="str">
        <f t="shared" si="1053"/>
        <v/>
      </c>
      <c r="S6739" t="str">
        <f t="shared" si="1054"/>
        <v/>
      </c>
      <c r="T6739" t="str">
        <f t="shared" si="1055"/>
        <v/>
      </c>
      <c r="U6739" t="str">
        <f t="shared" si="1056"/>
        <v/>
      </c>
      <c r="V6739" t="str">
        <f t="shared" si="1057"/>
        <v/>
      </c>
      <c r="W6739" t="str">
        <f t="shared" si="1058"/>
        <v/>
      </c>
      <c r="X6739">
        <f t="shared" si="1048"/>
        <v>0</v>
      </c>
      <c r="Z6739" t="str">
        <f t="shared" si="1059"/>
        <v/>
      </c>
      <c r="AA6739">
        <f t="shared" si="1049"/>
        <v>0</v>
      </c>
    </row>
    <row r="6740" spans="1:27" ht="21" customHeight="1" x14ac:dyDescent="0.95">
      <c r="A6740" s="56"/>
      <c r="B6740" s="57"/>
      <c r="C6740" s="57"/>
      <c r="D6740" s="57"/>
      <c r="E6740" s="56"/>
      <c r="F6740" s="57"/>
      <c r="G6740" s="57"/>
      <c r="H6740" s="56"/>
      <c r="I6740" s="56"/>
      <c r="J6740" s="58"/>
      <c r="K6740" s="58"/>
      <c r="L6740" s="13" t="str">
        <f t="shared" si="1050"/>
        <v/>
      </c>
      <c r="M6740" s="13" t="str">
        <f t="shared" si="1051"/>
        <v/>
      </c>
      <c r="Q6740" t="str">
        <f t="shared" si="1052"/>
        <v/>
      </c>
      <c r="R6740" t="str">
        <f t="shared" si="1053"/>
        <v/>
      </c>
      <c r="S6740" t="str">
        <f t="shared" si="1054"/>
        <v/>
      </c>
      <c r="T6740" t="str">
        <f t="shared" si="1055"/>
        <v/>
      </c>
      <c r="U6740" t="str">
        <f t="shared" si="1056"/>
        <v/>
      </c>
      <c r="V6740" t="str">
        <f t="shared" si="1057"/>
        <v/>
      </c>
      <c r="W6740" t="str">
        <f t="shared" si="1058"/>
        <v/>
      </c>
      <c r="X6740">
        <f t="shared" si="1048"/>
        <v>0</v>
      </c>
      <c r="Z6740" t="str">
        <f t="shared" si="1059"/>
        <v/>
      </c>
      <c r="AA6740">
        <f t="shared" si="1049"/>
        <v>0</v>
      </c>
    </row>
    <row r="6741" spans="1:27" ht="21" customHeight="1" x14ac:dyDescent="0.95">
      <c r="A6741" s="56"/>
      <c r="B6741" s="57"/>
      <c r="C6741" s="57"/>
      <c r="D6741" s="57"/>
      <c r="E6741" s="56"/>
      <c r="F6741" s="57"/>
      <c r="G6741" s="57"/>
      <c r="H6741" s="56"/>
      <c r="I6741" s="56"/>
      <c r="J6741" s="58"/>
      <c r="K6741" s="58"/>
      <c r="L6741" s="13" t="str">
        <f t="shared" si="1050"/>
        <v/>
      </c>
      <c r="M6741" s="13" t="str">
        <f t="shared" si="1051"/>
        <v/>
      </c>
      <c r="Q6741" t="str">
        <f t="shared" si="1052"/>
        <v/>
      </c>
      <c r="R6741" t="str">
        <f t="shared" si="1053"/>
        <v/>
      </c>
      <c r="S6741" t="str">
        <f t="shared" si="1054"/>
        <v/>
      </c>
      <c r="T6741" t="str">
        <f t="shared" si="1055"/>
        <v/>
      </c>
      <c r="U6741" t="str">
        <f t="shared" si="1056"/>
        <v/>
      </c>
      <c r="V6741" t="str">
        <f t="shared" si="1057"/>
        <v/>
      </c>
      <c r="W6741" t="str">
        <f t="shared" si="1058"/>
        <v/>
      </c>
      <c r="X6741">
        <f t="shared" si="1048"/>
        <v>0</v>
      </c>
      <c r="Z6741" t="str">
        <f t="shared" si="1059"/>
        <v/>
      </c>
      <c r="AA6741">
        <f t="shared" si="1049"/>
        <v>0</v>
      </c>
    </row>
    <row r="6742" spans="1:27" ht="21" customHeight="1" x14ac:dyDescent="0.95">
      <c r="A6742" s="56"/>
      <c r="B6742" s="57"/>
      <c r="C6742" s="57"/>
      <c r="D6742" s="57"/>
      <c r="E6742" s="56"/>
      <c r="F6742" s="57"/>
      <c r="G6742" s="57"/>
      <c r="H6742" s="56"/>
      <c r="I6742" s="56"/>
      <c r="J6742" s="58"/>
      <c r="K6742" s="58"/>
      <c r="L6742" s="13" t="str">
        <f t="shared" si="1050"/>
        <v/>
      </c>
      <c r="M6742" s="13" t="str">
        <f t="shared" si="1051"/>
        <v/>
      </c>
      <c r="Q6742" t="str">
        <f t="shared" si="1052"/>
        <v/>
      </c>
      <c r="R6742" t="str">
        <f t="shared" si="1053"/>
        <v/>
      </c>
      <c r="S6742" t="str">
        <f t="shared" si="1054"/>
        <v/>
      </c>
      <c r="T6742" t="str">
        <f t="shared" si="1055"/>
        <v/>
      </c>
      <c r="U6742" t="str">
        <f t="shared" si="1056"/>
        <v/>
      </c>
      <c r="V6742" t="str">
        <f t="shared" si="1057"/>
        <v/>
      </c>
      <c r="W6742" t="str">
        <f t="shared" si="1058"/>
        <v/>
      </c>
      <c r="X6742">
        <f t="shared" si="1048"/>
        <v>0</v>
      </c>
      <c r="Z6742" t="str">
        <f t="shared" si="1059"/>
        <v/>
      </c>
      <c r="AA6742">
        <f t="shared" si="1049"/>
        <v>0</v>
      </c>
    </row>
    <row r="6743" spans="1:27" ht="21" customHeight="1" x14ac:dyDescent="0.95">
      <c r="A6743" s="56"/>
      <c r="B6743" s="57"/>
      <c r="C6743" s="57"/>
      <c r="D6743" s="57"/>
      <c r="E6743" s="56"/>
      <c r="F6743" s="57"/>
      <c r="G6743" s="57"/>
      <c r="H6743" s="56"/>
      <c r="I6743" s="56"/>
      <c r="J6743" s="58"/>
      <c r="K6743" s="58"/>
      <c r="L6743" s="13" t="str">
        <f t="shared" si="1050"/>
        <v/>
      </c>
      <c r="M6743" s="13" t="str">
        <f t="shared" si="1051"/>
        <v/>
      </c>
      <c r="Q6743" t="str">
        <f t="shared" si="1052"/>
        <v/>
      </c>
      <c r="R6743" t="str">
        <f t="shared" si="1053"/>
        <v/>
      </c>
      <c r="S6743" t="str">
        <f t="shared" si="1054"/>
        <v/>
      </c>
      <c r="T6743" t="str">
        <f t="shared" si="1055"/>
        <v/>
      </c>
      <c r="U6743" t="str">
        <f t="shared" si="1056"/>
        <v/>
      </c>
      <c r="V6743" t="str">
        <f t="shared" si="1057"/>
        <v/>
      </c>
      <c r="W6743" t="str">
        <f t="shared" si="1058"/>
        <v/>
      </c>
      <c r="X6743">
        <f t="shared" si="1048"/>
        <v>0</v>
      </c>
      <c r="Z6743" t="str">
        <f t="shared" si="1059"/>
        <v/>
      </c>
      <c r="AA6743">
        <f t="shared" si="1049"/>
        <v>0</v>
      </c>
    </row>
    <row r="6744" spans="1:27" ht="21" customHeight="1" x14ac:dyDescent="0.95">
      <c r="A6744" s="56"/>
      <c r="B6744" s="57"/>
      <c r="C6744" s="57"/>
      <c r="D6744" s="57"/>
      <c r="E6744" s="56"/>
      <c r="F6744" s="57"/>
      <c r="G6744" s="57"/>
      <c r="H6744" s="56"/>
      <c r="I6744" s="56"/>
      <c r="J6744" s="58"/>
      <c r="K6744" s="58"/>
      <c r="L6744" s="13" t="str">
        <f t="shared" si="1050"/>
        <v/>
      </c>
      <c r="M6744" s="13" t="str">
        <f t="shared" si="1051"/>
        <v/>
      </c>
      <c r="Q6744" t="str">
        <f t="shared" si="1052"/>
        <v/>
      </c>
      <c r="R6744" t="str">
        <f t="shared" si="1053"/>
        <v/>
      </c>
      <c r="S6744" t="str">
        <f t="shared" si="1054"/>
        <v/>
      </c>
      <c r="T6744" t="str">
        <f t="shared" si="1055"/>
        <v/>
      </c>
      <c r="U6744" t="str">
        <f t="shared" si="1056"/>
        <v/>
      </c>
      <c r="V6744" t="str">
        <f t="shared" si="1057"/>
        <v/>
      </c>
      <c r="W6744" t="str">
        <f t="shared" si="1058"/>
        <v/>
      </c>
      <c r="X6744">
        <f t="shared" si="1048"/>
        <v>0</v>
      </c>
      <c r="Z6744" t="str">
        <f t="shared" si="1059"/>
        <v/>
      </c>
      <c r="AA6744">
        <f t="shared" si="1049"/>
        <v>0</v>
      </c>
    </row>
    <row r="6745" spans="1:27" ht="21" customHeight="1" x14ac:dyDescent="0.95">
      <c r="A6745" s="56"/>
      <c r="B6745" s="57"/>
      <c r="C6745" s="57"/>
      <c r="D6745" s="57"/>
      <c r="E6745" s="56"/>
      <c r="F6745" s="57"/>
      <c r="G6745" s="57"/>
      <c r="H6745" s="56"/>
      <c r="I6745" s="56"/>
      <c r="J6745" s="58"/>
      <c r="K6745" s="58"/>
      <c r="L6745" s="13" t="str">
        <f t="shared" si="1050"/>
        <v/>
      </c>
      <c r="M6745" s="13" t="str">
        <f t="shared" si="1051"/>
        <v/>
      </c>
      <c r="Q6745" t="str">
        <f t="shared" si="1052"/>
        <v/>
      </c>
      <c r="R6745" t="str">
        <f t="shared" si="1053"/>
        <v/>
      </c>
      <c r="S6745" t="str">
        <f t="shared" si="1054"/>
        <v/>
      </c>
      <c r="T6745" t="str">
        <f t="shared" si="1055"/>
        <v/>
      </c>
      <c r="U6745" t="str">
        <f t="shared" si="1056"/>
        <v/>
      </c>
      <c r="V6745" t="str">
        <f t="shared" si="1057"/>
        <v/>
      </c>
      <c r="W6745" t="str">
        <f t="shared" si="1058"/>
        <v/>
      </c>
      <c r="X6745">
        <f t="shared" si="1048"/>
        <v>0</v>
      </c>
      <c r="Z6745" t="str">
        <f t="shared" si="1059"/>
        <v/>
      </c>
      <c r="AA6745">
        <f t="shared" si="1049"/>
        <v>0</v>
      </c>
    </row>
    <row r="6746" spans="1:27" ht="21" customHeight="1" x14ac:dyDescent="0.95">
      <c r="A6746" s="56"/>
      <c r="B6746" s="57"/>
      <c r="C6746" s="57"/>
      <c r="D6746" s="57"/>
      <c r="E6746" s="56"/>
      <c r="F6746" s="57"/>
      <c r="G6746" s="57"/>
      <c r="H6746" s="56"/>
      <c r="I6746" s="56"/>
      <c r="J6746" s="58"/>
      <c r="K6746" s="58"/>
      <c r="L6746" s="13" t="str">
        <f t="shared" si="1050"/>
        <v/>
      </c>
      <c r="M6746" s="13" t="str">
        <f t="shared" si="1051"/>
        <v/>
      </c>
      <c r="Q6746" t="str">
        <f t="shared" si="1052"/>
        <v/>
      </c>
      <c r="R6746" t="str">
        <f t="shared" si="1053"/>
        <v/>
      </c>
      <c r="S6746" t="str">
        <f t="shared" si="1054"/>
        <v/>
      </c>
      <c r="T6746" t="str">
        <f t="shared" si="1055"/>
        <v/>
      </c>
      <c r="U6746" t="str">
        <f t="shared" si="1056"/>
        <v/>
      </c>
      <c r="V6746" t="str">
        <f t="shared" si="1057"/>
        <v/>
      </c>
      <c r="W6746" t="str">
        <f t="shared" si="1058"/>
        <v/>
      </c>
      <c r="X6746">
        <f t="shared" si="1048"/>
        <v>0</v>
      </c>
      <c r="Z6746" t="str">
        <f t="shared" si="1059"/>
        <v/>
      </c>
      <c r="AA6746">
        <f t="shared" si="1049"/>
        <v>0</v>
      </c>
    </row>
    <row r="6747" spans="1:27" ht="21" customHeight="1" x14ac:dyDescent="0.95">
      <c r="A6747" s="56"/>
      <c r="B6747" s="57"/>
      <c r="C6747" s="57"/>
      <c r="D6747" s="57"/>
      <c r="E6747" s="56"/>
      <c r="F6747" s="57"/>
      <c r="G6747" s="57"/>
      <c r="H6747" s="56"/>
      <c r="I6747" s="56"/>
      <c r="J6747" s="58"/>
      <c r="K6747" s="58"/>
      <c r="L6747" s="13" t="str">
        <f t="shared" si="1050"/>
        <v/>
      </c>
      <c r="M6747" s="13" t="str">
        <f t="shared" si="1051"/>
        <v/>
      </c>
      <c r="Q6747" t="str">
        <f t="shared" si="1052"/>
        <v/>
      </c>
      <c r="R6747" t="str">
        <f t="shared" si="1053"/>
        <v/>
      </c>
      <c r="S6747" t="str">
        <f t="shared" si="1054"/>
        <v/>
      </c>
      <c r="T6747" t="str">
        <f t="shared" si="1055"/>
        <v/>
      </c>
      <c r="U6747" t="str">
        <f t="shared" si="1056"/>
        <v/>
      </c>
      <c r="V6747" t="str">
        <f t="shared" si="1057"/>
        <v/>
      </c>
      <c r="W6747" t="str">
        <f t="shared" si="1058"/>
        <v/>
      </c>
      <c r="X6747">
        <f t="shared" si="1048"/>
        <v>0</v>
      </c>
      <c r="Z6747" t="str">
        <f t="shared" si="1059"/>
        <v/>
      </c>
      <c r="AA6747">
        <f t="shared" si="1049"/>
        <v>0</v>
      </c>
    </row>
    <row r="6748" spans="1:27" ht="21" customHeight="1" x14ac:dyDescent="0.95">
      <c r="A6748" s="56"/>
      <c r="B6748" s="57"/>
      <c r="C6748" s="57"/>
      <c r="D6748" s="57"/>
      <c r="E6748" s="56"/>
      <c r="F6748" s="57"/>
      <c r="G6748" s="57"/>
      <c r="H6748" s="56"/>
      <c r="I6748" s="56"/>
      <c r="J6748" s="58"/>
      <c r="K6748" s="58"/>
      <c r="L6748" s="13" t="str">
        <f t="shared" si="1050"/>
        <v/>
      </c>
      <c r="M6748" s="13" t="str">
        <f t="shared" si="1051"/>
        <v/>
      </c>
      <c r="Q6748" t="str">
        <f t="shared" si="1052"/>
        <v/>
      </c>
      <c r="R6748" t="str">
        <f t="shared" si="1053"/>
        <v/>
      </c>
      <c r="S6748" t="str">
        <f t="shared" si="1054"/>
        <v/>
      </c>
      <c r="T6748" t="str">
        <f t="shared" si="1055"/>
        <v/>
      </c>
      <c r="U6748" t="str">
        <f t="shared" si="1056"/>
        <v/>
      </c>
      <c r="V6748" t="str">
        <f t="shared" si="1057"/>
        <v/>
      </c>
      <c r="W6748" t="str">
        <f t="shared" si="1058"/>
        <v/>
      </c>
      <c r="X6748">
        <f t="shared" si="1048"/>
        <v>0</v>
      </c>
      <c r="Z6748" t="str">
        <f t="shared" si="1059"/>
        <v/>
      </c>
      <c r="AA6748">
        <f t="shared" si="1049"/>
        <v>0</v>
      </c>
    </row>
    <row r="6749" spans="1:27" ht="21" customHeight="1" x14ac:dyDescent="0.95">
      <c r="A6749" s="56"/>
      <c r="B6749" s="57"/>
      <c r="C6749" s="57"/>
      <c r="D6749" s="57"/>
      <c r="E6749" s="56"/>
      <c r="F6749" s="57"/>
      <c r="G6749" s="57"/>
      <c r="H6749" s="56"/>
      <c r="I6749" s="56"/>
      <c r="J6749" s="58"/>
      <c r="K6749" s="58"/>
      <c r="L6749" s="13" t="str">
        <f t="shared" si="1050"/>
        <v/>
      </c>
      <c r="M6749" s="13" t="str">
        <f t="shared" si="1051"/>
        <v/>
      </c>
      <c r="Q6749" t="str">
        <f t="shared" si="1052"/>
        <v/>
      </c>
      <c r="R6749" t="str">
        <f t="shared" si="1053"/>
        <v/>
      </c>
      <c r="S6749" t="str">
        <f t="shared" si="1054"/>
        <v/>
      </c>
      <c r="T6749" t="str">
        <f t="shared" si="1055"/>
        <v/>
      </c>
      <c r="U6749" t="str">
        <f t="shared" si="1056"/>
        <v/>
      </c>
      <c r="V6749" t="str">
        <f t="shared" si="1057"/>
        <v/>
      </c>
      <c r="W6749" t="str">
        <f t="shared" si="1058"/>
        <v/>
      </c>
      <c r="X6749">
        <f t="shared" si="1048"/>
        <v>0</v>
      </c>
      <c r="Z6749" t="str">
        <f t="shared" si="1059"/>
        <v/>
      </c>
      <c r="AA6749">
        <f t="shared" si="1049"/>
        <v>0</v>
      </c>
    </row>
    <row r="6750" spans="1:27" ht="21" customHeight="1" x14ac:dyDescent="0.95">
      <c r="A6750" s="56"/>
      <c r="B6750" s="57"/>
      <c r="C6750" s="57"/>
      <c r="D6750" s="57"/>
      <c r="E6750" s="56"/>
      <c r="F6750" s="57"/>
      <c r="G6750" s="57"/>
      <c r="H6750" s="56"/>
      <c r="I6750" s="56"/>
      <c r="J6750" s="58"/>
      <c r="K6750" s="58"/>
      <c r="L6750" s="13" t="str">
        <f t="shared" si="1050"/>
        <v/>
      </c>
      <c r="M6750" s="13" t="str">
        <f t="shared" si="1051"/>
        <v/>
      </c>
      <c r="Q6750" t="str">
        <f t="shared" si="1052"/>
        <v/>
      </c>
      <c r="R6750" t="str">
        <f t="shared" si="1053"/>
        <v/>
      </c>
      <c r="S6750" t="str">
        <f t="shared" si="1054"/>
        <v/>
      </c>
      <c r="T6750" t="str">
        <f t="shared" si="1055"/>
        <v/>
      </c>
      <c r="U6750" t="str">
        <f t="shared" si="1056"/>
        <v/>
      </c>
      <c r="V6750" t="str">
        <f t="shared" si="1057"/>
        <v/>
      </c>
      <c r="W6750" t="str">
        <f t="shared" si="1058"/>
        <v/>
      </c>
      <c r="X6750">
        <f t="shared" si="1048"/>
        <v>0</v>
      </c>
      <c r="Z6750" t="str">
        <f t="shared" si="1059"/>
        <v/>
      </c>
      <c r="AA6750">
        <f t="shared" si="1049"/>
        <v>0</v>
      </c>
    </row>
    <row r="6751" spans="1:27" ht="21" customHeight="1" x14ac:dyDescent="0.95">
      <c r="A6751" s="56"/>
      <c r="B6751" s="57"/>
      <c r="C6751" s="57"/>
      <c r="D6751" s="57"/>
      <c r="E6751" s="56"/>
      <c r="F6751" s="57"/>
      <c r="G6751" s="57"/>
      <c r="H6751" s="56"/>
      <c r="I6751" s="56"/>
      <c r="J6751" s="58"/>
      <c r="K6751" s="58"/>
      <c r="L6751" s="13" t="str">
        <f t="shared" si="1050"/>
        <v/>
      </c>
      <c r="M6751" s="13" t="str">
        <f t="shared" si="1051"/>
        <v/>
      </c>
      <c r="Q6751" t="str">
        <f t="shared" si="1052"/>
        <v/>
      </c>
      <c r="R6751" t="str">
        <f t="shared" si="1053"/>
        <v/>
      </c>
      <c r="S6751" t="str">
        <f t="shared" si="1054"/>
        <v/>
      </c>
      <c r="T6751" t="str">
        <f t="shared" si="1055"/>
        <v/>
      </c>
      <c r="U6751" t="str">
        <f t="shared" si="1056"/>
        <v/>
      </c>
      <c r="V6751" t="str">
        <f t="shared" si="1057"/>
        <v/>
      </c>
      <c r="W6751" t="str">
        <f t="shared" si="1058"/>
        <v/>
      </c>
      <c r="X6751">
        <f t="shared" si="1048"/>
        <v>0</v>
      </c>
      <c r="Z6751" t="str">
        <f t="shared" si="1059"/>
        <v/>
      </c>
      <c r="AA6751">
        <f t="shared" si="1049"/>
        <v>0</v>
      </c>
    </row>
    <row r="6752" spans="1:27" ht="21" customHeight="1" x14ac:dyDescent="0.95">
      <c r="A6752" s="56"/>
      <c r="B6752" s="57"/>
      <c r="C6752" s="57"/>
      <c r="D6752" s="57"/>
      <c r="E6752" s="56"/>
      <c r="F6752" s="57"/>
      <c r="G6752" s="57"/>
      <c r="H6752" s="56"/>
      <c r="I6752" s="56"/>
      <c r="J6752" s="58"/>
      <c r="K6752" s="58"/>
      <c r="L6752" s="13" t="str">
        <f t="shared" si="1050"/>
        <v/>
      </c>
      <c r="M6752" s="13" t="str">
        <f t="shared" si="1051"/>
        <v/>
      </c>
      <c r="Q6752" t="str">
        <f t="shared" si="1052"/>
        <v/>
      </c>
      <c r="R6752" t="str">
        <f t="shared" si="1053"/>
        <v/>
      </c>
      <c r="S6752" t="str">
        <f t="shared" si="1054"/>
        <v/>
      </c>
      <c r="T6752" t="str">
        <f t="shared" si="1055"/>
        <v/>
      </c>
      <c r="U6752" t="str">
        <f t="shared" si="1056"/>
        <v/>
      </c>
      <c r="V6752" t="str">
        <f t="shared" si="1057"/>
        <v/>
      </c>
      <c r="W6752" t="str">
        <f t="shared" si="1058"/>
        <v/>
      </c>
      <c r="X6752">
        <f t="shared" si="1048"/>
        <v>0</v>
      </c>
      <c r="Z6752" t="str">
        <f t="shared" si="1059"/>
        <v/>
      </c>
      <c r="AA6752">
        <f t="shared" si="1049"/>
        <v>0</v>
      </c>
    </row>
    <row r="6753" spans="1:27" ht="21" customHeight="1" x14ac:dyDescent="0.95">
      <c r="A6753" s="56"/>
      <c r="B6753" s="57"/>
      <c r="C6753" s="57"/>
      <c r="D6753" s="57"/>
      <c r="E6753" s="56"/>
      <c r="F6753" s="57"/>
      <c r="G6753" s="57"/>
      <c r="H6753" s="56"/>
      <c r="I6753" s="56"/>
      <c r="J6753" s="58"/>
      <c r="K6753" s="58"/>
      <c r="L6753" s="13" t="str">
        <f t="shared" si="1050"/>
        <v/>
      </c>
      <c r="M6753" s="13" t="str">
        <f t="shared" si="1051"/>
        <v/>
      </c>
      <c r="Q6753" t="str">
        <f t="shared" si="1052"/>
        <v/>
      </c>
      <c r="R6753" t="str">
        <f t="shared" si="1053"/>
        <v/>
      </c>
      <c r="S6753" t="str">
        <f t="shared" si="1054"/>
        <v/>
      </c>
      <c r="T6753" t="str">
        <f t="shared" si="1055"/>
        <v/>
      </c>
      <c r="U6753" t="str">
        <f t="shared" si="1056"/>
        <v/>
      </c>
      <c r="V6753" t="str">
        <f t="shared" si="1057"/>
        <v/>
      </c>
      <c r="W6753" t="str">
        <f t="shared" si="1058"/>
        <v/>
      </c>
      <c r="X6753">
        <f t="shared" si="1048"/>
        <v>0</v>
      </c>
      <c r="Z6753" t="str">
        <f t="shared" si="1059"/>
        <v/>
      </c>
      <c r="AA6753">
        <f t="shared" si="1049"/>
        <v>0</v>
      </c>
    </row>
    <row r="6754" spans="1:27" ht="21" customHeight="1" x14ac:dyDescent="0.95">
      <c r="A6754" s="56"/>
      <c r="B6754" s="57"/>
      <c r="C6754" s="57"/>
      <c r="D6754" s="57"/>
      <c r="E6754" s="56"/>
      <c r="F6754" s="57"/>
      <c r="G6754" s="57"/>
      <c r="H6754" s="56"/>
      <c r="I6754" s="56"/>
      <c r="J6754" s="58"/>
      <c r="K6754" s="58"/>
      <c r="L6754" s="13" t="str">
        <f t="shared" si="1050"/>
        <v/>
      </c>
      <c r="M6754" s="13" t="str">
        <f t="shared" si="1051"/>
        <v/>
      </c>
      <c r="Q6754" t="str">
        <f t="shared" si="1052"/>
        <v/>
      </c>
      <c r="R6754" t="str">
        <f t="shared" si="1053"/>
        <v/>
      </c>
      <c r="S6754" t="str">
        <f t="shared" si="1054"/>
        <v/>
      </c>
      <c r="T6754" t="str">
        <f t="shared" si="1055"/>
        <v/>
      </c>
      <c r="U6754" t="str">
        <f t="shared" si="1056"/>
        <v/>
      </c>
      <c r="V6754" t="str">
        <f t="shared" si="1057"/>
        <v/>
      </c>
      <c r="W6754" t="str">
        <f t="shared" si="1058"/>
        <v/>
      </c>
      <c r="X6754">
        <f t="shared" si="1048"/>
        <v>0</v>
      </c>
      <c r="Z6754" t="str">
        <f t="shared" si="1059"/>
        <v/>
      </c>
      <c r="AA6754">
        <f t="shared" si="1049"/>
        <v>0</v>
      </c>
    </row>
    <row r="6755" spans="1:27" ht="21" customHeight="1" x14ac:dyDescent="0.95">
      <c r="A6755" s="56"/>
      <c r="B6755" s="57"/>
      <c r="C6755" s="57"/>
      <c r="D6755" s="57"/>
      <c r="E6755" s="56"/>
      <c r="F6755" s="57"/>
      <c r="G6755" s="57"/>
      <c r="H6755" s="56"/>
      <c r="I6755" s="56"/>
      <c r="J6755" s="58"/>
      <c r="K6755" s="58"/>
      <c r="L6755" s="13" t="str">
        <f t="shared" si="1050"/>
        <v/>
      </c>
      <c r="M6755" s="13" t="str">
        <f t="shared" si="1051"/>
        <v/>
      </c>
      <c r="Q6755" t="str">
        <f t="shared" si="1052"/>
        <v/>
      </c>
      <c r="R6755" t="str">
        <f t="shared" si="1053"/>
        <v/>
      </c>
      <c r="S6755" t="str">
        <f t="shared" si="1054"/>
        <v/>
      </c>
      <c r="T6755" t="str">
        <f t="shared" si="1055"/>
        <v/>
      </c>
      <c r="U6755" t="str">
        <f t="shared" si="1056"/>
        <v/>
      </c>
      <c r="V6755" t="str">
        <f t="shared" si="1057"/>
        <v/>
      </c>
      <c r="W6755" t="str">
        <f t="shared" si="1058"/>
        <v/>
      </c>
      <c r="X6755">
        <f t="shared" si="1048"/>
        <v>0</v>
      </c>
      <c r="Z6755" t="str">
        <f t="shared" si="1059"/>
        <v/>
      </c>
      <c r="AA6755">
        <f t="shared" si="1049"/>
        <v>0</v>
      </c>
    </row>
    <row r="6756" spans="1:27" ht="21" customHeight="1" x14ac:dyDescent="0.95">
      <c r="A6756" s="56"/>
      <c r="B6756" s="57"/>
      <c r="C6756" s="57"/>
      <c r="D6756" s="57"/>
      <c r="E6756" s="56"/>
      <c r="F6756" s="57"/>
      <c r="G6756" s="57"/>
      <c r="H6756" s="56"/>
      <c r="I6756" s="56"/>
      <c r="J6756" s="58"/>
      <c r="K6756" s="58"/>
      <c r="L6756" s="13" t="str">
        <f t="shared" si="1050"/>
        <v/>
      </c>
      <c r="M6756" s="13" t="str">
        <f t="shared" si="1051"/>
        <v/>
      </c>
      <c r="Q6756" t="str">
        <f t="shared" si="1052"/>
        <v/>
      </c>
      <c r="R6756" t="str">
        <f t="shared" si="1053"/>
        <v/>
      </c>
      <c r="S6756" t="str">
        <f t="shared" si="1054"/>
        <v/>
      </c>
      <c r="T6756" t="str">
        <f t="shared" si="1055"/>
        <v/>
      </c>
      <c r="U6756" t="str">
        <f t="shared" si="1056"/>
        <v/>
      </c>
      <c r="V6756" t="str">
        <f t="shared" si="1057"/>
        <v/>
      </c>
      <c r="W6756" t="str">
        <f t="shared" si="1058"/>
        <v/>
      </c>
      <c r="X6756">
        <f t="shared" si="1048"/>
        <v>0</v>
      </c>
      <c r="Z6756" t="str">
        <f t="shared" si="1059"/>
        <v/>
      </c>
      <c r="AA6756">
        <f t="shared" si="1049"/>
        <v>0</v>
      </c>
    </row>
    <row r="6757" spans="1:27" ht="21" customHeight="1" x14ac:dyDescent="0.95">
      <c r="A6757" s="56"/>
      <c r="B6757" s="57"/>
      <c r="C6757" s="57"/>
      <c r="D6757" s="57"/>
      <c r="E6757" s="56"/>
      <c r="F6757" s="57"/>
      <c r="G6757" s="57"/>
      <c r="H6757" s="56"/>
      <c r="I6757" s="56"/>
      <c r="J6757" s="58"/>
      <c r="K6757" s="58"/>
      <c r="L6757" s="13" t="str">
        <f t="shared" si="1050"/>
        <v/>
      </c>
      <c r="M6757" s="13" t="str">
        <f t="shared" si="1051"/>
        <v/>
      </c>
      <c r="Q6757" t="str">
        <f t="shared" si="1052"/>
        <v/>
      </c>
      <c r="R6757" t="str">
        <f t="shared" si="1053"/>
        <v/>
      </c>
      <c r="S6757" t="str">
        <f t="shared" si="1054"/>
        <v/>
      </c>
      <c r="T6757" t="str">
        <f t="shared" si="1055"/>
        <v/>
      </c>
      <c r="U6757" t="str">
        <f t="shared" si="1056"/>
        <v/>
      </c>
      <c r="V6757" t="str">
        <f t="shared" si="1057"/>
        <v/>
      </c>
      <c r="W6757" t="str">
        <f t="shared" si="1058"/>
        <v/>
      </c>
      <c r="X6757">
        <f t="shared" si="1048"/>
        <v>0</v>
      </c>
      <c r="Z6757" t="str">
        <f t="shared" si="1059"/>
        <v/>
      </c>
      <c r="AA6757">
        <f t="shared" si="1049"/>
        <v>0</v>
      </c>
    </row>
    <row r="6758" spans="1:27" ht="21" customHeight="1" x14ac:dyDescent="0.95">
      <c r="A6758" s="56"/>
      <c r="B6758" s="57"/>
      <c r="C6758" s="57"/>
      <c r="D6758" s="57"/>
      <c r="E6758" s="56"/>
      <c r="F6758" s="57"/>
      <c r="G6758" s="57"/>
      <c r="H6758" s="56"/>
      <c r="I6758" s="56"/>
      <c r="J6758" s="58"/>
      <c r="K6758" s="58"/>
      <c r="L6758" s="13" t="str">
        <f t="shared" si="1050"/>
        <v/>
      </c>
      <c r="M6758" s="13" t="str">
        <f t="shared" si="1051"/>
        <v/>
      </c>
      <c r="Q6758" t="str">
        <f t="shared" si="1052"/>
        <v/>
      </c>
      <c r="R6758" t="str">
        <f t="shared" si="1053"/>
        <v/>
      </c>
      <c r="S6758" t="str">
        <f t="shared" si="1054"/>
        <v/>
      </c>
      <c r="T6758" t="str">
        <f t="shared" si="1055"/>
        <v/>
      </c>
      <c r="U6758" t="str">
        <f t="shared" si="1056"/>
        <v/>
      </c>
      <c r="V6758" t="str">
        <f t="shared" si="1057"/>
        <v/>
      </c>
      <c r="W6758" t="str">
        <f t="shared" si="1058"/>
        <v/>
      </c>
      <c r="X6758">
        <f t="shared" si="1048"/>
        <v>0</v>
      </c>
      <c r="Z6758" t="str">
        <f t="shared" si="1059"/>
        <v/>
      </c>
      <c r="AA6758">
        <f t="shared" si="1049"/>
        <v>0</v>
      </c>
    </row>
    <row r="6759" spans="1:27" ht="21" customHeight="1" x14ac:dyDescent="0.95">
      <c r="A6759" s="56"/>
      <c r="B6759" s="57"/>
      <c r="C6759" s="57"/>
      <c r="D6759" s="57"/>
      <c r="E6759" s="56"/>
      <c r="F6759" s="57"/>
      <c r="G6759" s="57"/>
      <c r="H6759" s="56"/>
      <c r="I6759" s="56"/>
      <c r="J6759" s="58"/>
      <c r="K6759" s="58"/>
      <c r="L6759" s="13" t="str">
        <f t="shared" si="1050"/>
        <v/>
      </c>
      <c r="M6759" s="13" t="str">
        <f t="shared" si="1051"/>
        <v/>
      </c>
      <c r="Q6759" t="str">
        <f t="shared" si="1052"/>
        <v/>
      </c>
      <c r="R6759" t="str">
        <f t="shared" si="1053"/>
        <v/>
      </c>
      <c r="S6759" t="str">
        <f t="shared" si="1054"/>
        <v/>
      </c>
      <c r="T6759" t="str">
        <f t="shared" si="1055"/>
        <v/>
      </c>
      <c r="U6759" t="str">
        <f t="shared" si="1056"/>
        <v/>
      </c>
      <c r="V6759" t="str">
        <f t="shared" si="1057"/>
        <v/>
      </c>
      <c r="W6759" t="str">
        <f t="shared" si="1058"/>
        <v/>
      </c>
      <c r="X6759">
        <f t="shared" si="1048"/>
        <v>0</v>
      </c>
      <c r="Z6759" t="str">
        <f t="shared" si="1059"/>
        <v/>
      </c>
      <c r="AA6759">
        <f t="shared" si="1049"/>
        <v>0</v>
      </c>
    </row>
    <row r="6760" spans="1:27" ht="21" customHeight="1" x14ac:dyDescent="0.95">
      <c r="A6760" s="56"/>
      <c r="B6760" s="57"/>
      <c r="C6760" s="57"/>
      <c r="D6760" s="57"/>
      <c r="E6760" s="56"/>
      <c r="F6760" s="57"/>
      <c r="G6760" s="57"/>
      <c r="H6760" s="56"/>
      <c r="I6760" s="56"/>
      <c r="J6760" s="58"/>
      <c r="K6760" s="58"/>
      <c r="L6760" s="13" t="str">
        <f t="shared" si="1050"/>
        <v/>
      </c>
      <c r="M6760" s="13" t="str">
        <f t="shared" si="1051"/>
        <v/>
      </c>
      <c r="Q6760" t="str">
        <f t="shared" si="1052"/>
        <v/>
      </c>
      <c r="R6760" t="str">
        <f t="shared" si="1053"/>
        <v/>
      </c>
      <c r="S6760" t="str">
        <f t="shared" si="1054"/>
        <v/>
      </c>
      <c r="T6760" t="str">
        <f t="shared" si="1055"/>
        <v/>
      </c>
      <c r="U6760" t="str">
        <f t="shared" si="1056"/>
        <v/>
      </c>
      <c r="V6760" t="str">
        <f t="shared" si="1057"/>
        <v/>
      </c>
      <c r="W6760" t="str">
        <f t="shared" si="1058"/>
        <v/>
      </c>
      <c r="X6760">
        <f t="shared" si="1048"/>
        <v>0</v>
      </c>
      <c r="Z6760" t="str">
        <f t="shared" si="1059"/>
        <v/>
      </c>
      <c r="AA6760">
        <f t="shared" si="1049"/>
        <v>0</v>
      </c>
    </row>
    <row r="6761" spans="1:27" ht="21" customHeight="1" x14ac:dyDescent="0.95">
      <c r="A6761" s="56"/>
      <c r="B6761" s="57"/>
      <c r="C6761" s="57"/>
      <c r="D6761" s="57"/>
      <c r="E6761" s="56"/>
      <c r="F6761" s="57"/>
      <c r="G6761" s="57"/>
      <c r="H6761" s="56"/>
      <c r="I6761" s="56"/>
      <c r="J6761" s="58"/>
      <c r="K6761" s="58"/>
      <c r="L6761" s="13" t="str">
        <f t="shared" si="1050"/>
        <v/>
      </c>
      <c r="M6761" s="13" t="str">
        <f t="shared" si="1051"/>
        <v/>
      </c>
      <c r="Q6761" t="str">
        <f t="shared" si="1052"/>
        <v/>
      </c>
      <c r="R6761" t="str">
        <f t="shared" si="1053"/>
        <v/>
      </c>
      <c r="S6761" t="str">
        <f t="shared" si="1054"/>
        <v/>
      </c>
      <c r="T6761" t="str">
        <f t="shared" si="1055"/>
        <v/>
      </c>
      <c r="U6761" t="str">
        <f t="shared" si="1056"/>
        <v/>
      </c>
      <c r="V6761" t="str">
        <f t="shared" si="1057"/>
        <v/>
      </c>
      <c r="W6761" t="str">
        <f t="shared" si="1058"/>
        <v/>
      </c>
      <c r="X6761">
        <f t="shared" si="1048"/>
        <v>0</v>
      </c>
      <c r="Z6761" t="str">
        <f t="shared" si="1059"/>
        <v/>
      </c>
      <c r="AA6761">
        <f t="shared" si="1049"/>
        <v>0</v>
      </c>
    </row>
    <row r="6762" spans="1:27" ht="21" customHeight="1" x14ac:dyDescent="0.95">
      <c r="A6762" s="56"/>
      <c r="B6762" s="57"/>
      <c r="C6762" s="57"/>
      <c r="D6762" s="57"/>
      <c r="E6762" s="56"/>
      <c r="F6762" s="57"/>
      <c r="G6762" s="57"/>
      <c r="H6762" s="56"/>
      <c r="I6762" s="56"/>
      <c r="J6762" s="58"/>
      <c r="K6762" s="58"/>
      <c r="L6762" s="13" t="str">
        <f t="shared" si="1050"/>
        <v/>
      </c>
      <c r="M6762" s="13" t="str">
        <f t="shared" si="1051"/>
        <v/>
      </c>
      <c r="Q6762" t="str">
        <f t="shared" si="1052"/>
        <v/>
      </c>
      <c r="R6762" t="str">
        <f t="shared" si="1053"/>
        <v/>
      </c>
      <c r="S6762" t="str">
        <f t="shared" si="1054"/>
        <v/>
      </c>
      <c r="T6762" t="str">
        <f t="shared" si="1055"/>
        <v/>
      </c>
      <c r="U6762" t="str">
        <f t="shared" si="1056"/>
        <v/>
      </c>
      <c r="V6762" t="str">
        <f t="shared" si="1057"/>
        <v/>
      </c>
      <c r="W6762" t="str">
        <f t="shared" si="1058"/>
        <v/>
      </c>
      <c r="X6762">
        <f t="shared" si="1048"/>
        <v>0</v>
      </c>
      <c r="Z6762" t="str">
        <f t="shared" si="1059"/>
        <v/>
      </c>
      <c r="AA6762">
        <f t="shared" si="1049"/>
        <v>0</v>
      </c>
    </row>
    <row r="6763" spans="1:27" ht="21" customHeight="1" x14ac:dyDescent="0.95">
      <c r="A6763" s="56"/>
      <c r="B6763" s="57"/>
      <c r="C6763" s="57"/>
      <c r="D6763" s="57"/>
      <c r="E6763" s="56"/>
      <c r="F6763" s="57"/>
      <c r="G6763" s="57"/>
      <c r="H6763" s="56"/>
      <c r="I6763" s="56"/>
      <c r="J6763" s="58"/>
      <c r="K6763" s="58"/>
      <c r="L6763" s="13" t="str">
        <f t="shared" si="1050"/>
        <v/>
      </c>
      <c r="M6763" s="13" t="str">
        <f t="shared" si="1051"/>
        <v/>
      </c>
      <c r="Q6763" t="str">
        <f t="shared" si="1052"/>
        <v/>
      </c>
      <c r="R6763" t="str">
        <f t="shared" si="1053"/>
        <v/>
      </c>
      <c r="S6763" t="str">
        <f t="shared" si="1054"/>
        <v/>
      </c>
      <c r="T6763" t="str">
        <f t="shared" si="1055"/>
        <v/>
      </c>
      <c r="U6763" t="str">
        <f t="shared" si="1056"/>
        <v/>
      </c>
      <c r="V6763" t="str">
        <f t="shared" si="1057"/>
        <v/>
      </c>
      <c r="W6763" t="str">
        <f t="shared" si="1058"/>
        <v/>
      </c>
      <c r="X6763">
        <f t="shared" si="1048"/>
        <v>0</v>
      </c>
      <c r="Z6763" t="str">
        <f t="shared" si="1059"/>
        <v/>
      </c>
      <c r="AA6763">
        <f t="shared" si="1049"/>
        <v>0</v>
      </c>
    </row>
    <row r="6764" spans="1:27" ht="21" customHeight="1" x14ac:dyDescent="0.95">
      <c r="A6764" s="56"/>
      <c r="B6764" s="57"/>
      <c r="C6764" s="57"/>
      <c r="D6764" s="57"/>
      <c r="E6764" s="56"/>
      <c r="F6764" s="57"/>
      <c r="G6764" s="57"/>
      <c r="H6764" s="56"/>
      <c r="I6764" s="56"/>
      <c r="J6764" s="58"/>
      <c r="K6764" s="58"/>
      <c r="L6764" s="13" t="str">
        <f t="shared" si="1050"/>
        <v/>
      </c>
      <c r="M6764" s="13" t="str">
        <f t="shared" si="1051"/>
        <v/>
      </c>
      <c r="Q6764" t="str">
        <f t="shared" si="1052"/>
        <v/>
      </c>
      <c r="R6764" t="str">
        <f t="shared" si="1053"/>
        <v/>
      </c>
      <c r="S6764" t="str">
        <f t="shared" si="1054"/>
        <v/>
      </c>
      <c r="T6764" t="str">
        <f t="shared" si="1055"/>
        <v/>
      </c>
      <c r="U6764" t="str">
        <f t="shared" si="1056"/>
        <v/>
      </c>
      <c r="V6764" t="str">
        <f t="shared" si="1057"/>
        <v/>
      </c>
      <c r="W6764" t="str">
        <f t="shared" si="1058"/>
        <v/>
      </c>
      <c r="X6764">
        <f t="shared" si="1048"/>
        <v>0</v>
      </c>
      <c r="Z6764" t="str">
        <f t="shared" si="1059"/>
        <v/>
      </c>
      <c r="AA6764">
        <f t="shared" si="1049"/>
        <v>0</v>
      </c>
    </row>
    <row r="6765" spans="1:27" ht="21" customHeight="1" x14ac:dyDescent="0.95">
      <c r="A6765" s="56"/>
      <c r="B6765" s="57"/>
      <c r="C6765" s="57"/>
      <c r="D6765" s="57"/>
      <c r="E6765" s="56"/>
      <c r="F6765" s="57"/>
      <c r="G6765" s="57"/>
      <c r="H6765" s="56"/>
      <c r="I6765" s="56"/>
      <c r="J6765" s="58"/>
      <c r="K6765" s="58"/>
      <c r="L6765" s="13" t="str">
        <f t="shared" si="1050"/>
        <v/>
      </c>
      <c r="M6765" s="13" t="str">
        <f t="shared" si="1051"/>
        <v/>
      </c>
      <c r="Q6765" t="str">
        <f t="shared" si="1052"/>
        <v/>
      </c>
      <c r="R6765" t="str">
        <f t="shared" si="1053"/>
        <v/>
      </c>
      <c r="S6765" t="str">
        <f t="shared" si="1054"/>
        <v/>
      </c>
      <c r="T6765" t="str">
        <f t="shared" si="1055"/>
        <v/>
      </c>
      <c r="U6765" t="str">
        <f t="shared" si="1056"/>
        <v/>
      </c>
      <c r="V6765" t="str">
        <f t="shared" si="1057"/>
        <v/>
      </c>
      <c r="W6765" t="str">
        <f t="shared" si="1058"/>
        <v/>
      </c>
      <c r="X6765">
        <f t="shared" si="1048"/>
        <v>0</v>
      </c>
      <c r="Z6765" t="str">
        <f t="shared" si="1059"/>
        <v/>
      </c>
      <c r="AA6765">
        <f t="shared" si="1049"/>
        <v>0</v>
      </c>
    </row>
    <row r="6766" spans="1:27" ht="21" customHeight="1" x14ac:dyDescent="0.95">
      <c r="A6766" s="56"/>
      <c r="B6766" s="57"/>
      <c r="C6766" s="57"/>
      <c r="D6766" s="57"/>
      <c r="E6766" s="56"/>
      <c r="F6766" s="57"/>
      <c r="G6766" s="57"/>
      <c r="H6766" s="56"/>
      <c r="I6766" s="56"/>
      <c r="J6766" s="58"/>
      <c r="K6766" s="58"/>
      <c r="L6766" s="13" t="str">
        <f t="shared" si="1050"/>
        <v/>
      </c>
      <c r="M6766" s="13" t="str">
        <f t="shared" si="1051"/>
        <v/>
      </c>
      <c r="Q6766" t="str">
        <f t="shared" si="1052"/>
        <v/>
      </c>
      <c r="R6766" t="str">
        <f t="shared" si="1053"/>
        <v/>
      </c>
      <c r="S6766" t="str">
        <f t="shared" si="1054"/>
        <v/>
      </c>
      <c r="T6766" t="str">
        <f t="shared" si="1055"/>
        <v/>
      </c>
      <c r="U6766" t="str">
        <f t="shared" si="1056"/>
        <v/>
      </c>
      <c r="V6766" t="str">
        <f t="shared" si="1057"/>
        <v/>
      </c>
      <c r="W6766" t="str">
        <f t="shared" si="1058"/>
        <v/>
      </c>
      <c r="X6766">
        <f t="shared" si="1048"/>
        <v>0</v>
      </c>
      <c r="Z6766" t="str">
        <f t="shared" si="1059"/>
        <v/>
      </c>
      <c r="AA6766">
        <f t="shared" si="1049"/>
        <v>0</v>
      </c>
    </row>
    <row r="6767" spans="1:27" ht="21" customHeight="1" x14ac:dyDescent="0.95">
      <c r="A6767" s="56"/>
      <c r="B6767" s="57"/>
      <c r="C6767" s="57"/>
      <c r="D6767" s="57"/>
      <c r="E6767" s="56"/>
      <c r="F6767" s="57"/>
      <c r="G6767" s="57"/>
      <c r="H6767" s="56"/>
      <c r="I6767" s="56"/>
      <c r="J6767" s="58"/>
      <c r="K6767" s="58"/>
      <c r="L6767" s="13" t="str">
        <f t="shared" si="1050"/>
        <v/>
      </c>
      <c r="M6767" s="13" t="str">
        <f t="shared" si="1051"/>
        <v/>
      </c>
      <c r="Q6767" t="str">
        <f t="shared" si="1052"/>
        <v/>
      </c>
      <c r="R6767" t="str">
        <f t="shared" si="1053"/>
        <v/>
      </c>
      <c r="S6767" t="str">
        <f t="shared" si="1054"/>
        <v/>
      </c>
      <c r="T6767" t="str">
        <f t="shared" si="1055"/>
        <v/>
      </c>
      <c r="U6767" t="str">
        <f t="shared" si="1056"/>
        <v/>
      </c>
      <c r="V6767" t="str">
        <f t="shared" si="1057"/>
        <v/>
      </c>
      <c r="W6767" t="str">
        <f t="shared" si="1058"/>
        <v/>
      </c>
      <c r="X6767">
        <f t="shared" si="1048"/>
        <v>0</v>
      </c>
      <c r="Z6767" t="str">
        <f t="shared" si="1059"/>
        <v/>
      </c>
      <c r="AA6767">
        <f t="shared" si="1049"/>
        <v>0</v>
      </c>
    </row>
    <row r="6768" spans="1:27" ht="21" customHeight="1" x14ac:dyDescent="0.95">
      <c r="A6768" s="56"/>
      <c r="B6768" s="57"/>
      <c r="C6768" s="57"/>
      <c r="D6768" s="57"/>
      <c r="E6768" s="56"/>
      <c r="F6768" s="57"/>
      <c r="G6768" s="57"/>
      <c r="H6768" s="56"/>
      <c r="I6768" s="56"/>
      <c r="J6768" s="58"/>
      <c r="K6768" s="58"/>
      <c r="L6768" s="13" t="str">
        <f t="shared" si="1050"/>
        <v/>
      </c>
      <c r="M6768" s="13" t="str">
        <f t="shared" si="1051"/>
        <v/>
      </c>
      <c r="Q6768" t="str">
        <f t="shared" si="1052"/>
        <v/>
      </c>
      <c r="R6768" t="str">
        <f t="shared" si="1053"/>
        <v/>
      </c>
      <c r="S6768" t="str">
        <f t="shared" si="1054"/>
        <v/>
      </c>
      <c r="T6768" t="str">
        <f t="shared" si="1055"/>
        <v/>
      </c>
      <c r="U6768" t="str">
        <f t="shared" si="1056"/>
        <v/>
      </c>
      <c r="V6768" t="str">
        <f t="shared" si="1057"/>
        <v/>
      </c>
      <c r="W6768" t="str">
        <f t="shared" si="1058"/>
        <v/>
      </c>
      <c r="X6768">
        <f t="shared" si="1048"/>
        <v>0</v>
      </c>
      <c r="Z6768" t="str">
        <f t="shared" si="1059"/>
        <v/>
      </c>
      <c r="AA6768">
        <f t="shared" si="1049"/>
        <v>0</v>
      </c>
    </row>
    <row r="6769" spans="1:27" ht="21" customHeight="1" x14ac:dyDescent="0.95">
      <c r="A6769" s="56"/>
      <c r="B6769" s="57"/>
      <c r="C6769" s="57"/>
      <c r="D6769" s="57"/>
      <c r="E6769" s="56"/>
      <c r="F6769" s="57"/>
      <c r="G6769" s="57"/>
      <c r="H6769" s="56"/>
      <c r="I6769" s="56"/>
      <c r="J6769" s="58"/>
      <c r="K6769" s="58"/>
      <c r="L6769" s="13" t="str">
        <f t="shared" si="1050"/>
        <v/>
      </c>
      <c r="M6769" s="13" t="str">
        <f t="shared" si="1051"/>
        <v/>
      </c>
      <c r="Q6769" t="str">
        <f t="shared" si="1052"/>
        <v/>
      </c>
      <c r="R6769" t="str">
        <f t="shared" si="1053"/>
        <v/>
      </c>
      <c r="S6769" t="str">
        <f t="shared" si="1054"/>
        <v/>
      </c>
      <c r="T6769" t="str">
        <f t="shared" si="1055"/>
        <v/>
      </c>
      <c r="U6769" t="str">
        <f t="shared" si="1056"/>
        <v/>
      </c>
      <c r="V6769" t="str">
        <f t="shared" si="1057"/>
        <v/>
      </c>
      <c r="W6769" t="str">
        <f t="shared" si="1058"/>
        <v/>
      </c>
      <c r="X6769">
        <f t="shared" si="1048"/>
        <v>0</v>
      </c>
      <c r="Z6769" t="str">
        <f t="shared" si="1059"/>
        <v/>
      </c>
      <c r="AA6769">
        <f t="shared" si="1049"/>
        <v>0</v>
      </c>
    </row>
    <row r="6770" spans="1:27" ht="21" customHeight="1" x14ac:dyDescent="0.95">
      <c r="A6770" s="56"/>
      <c r="B6770" s="57"/>
      <c r="C6770" s="57"/>
      <c r="D6770" s="57"/>
      <c r="E6770" s="56"/>
      <c r="F6770" s="57"/>
      <c r="G6770" s="57"/>
      <c r="H6770" s="56"/>
      <c r="I6770" s="56"/>
      <c r="J6770" s="58"/>
      <c r="K6770" s="58"/>
      <c r="L6770" s="13" t="str">
        <f t="shared" si="1050"/>
        <v/>
      </c>
      <c r="M6770" s="13" t="str">
        <f t="shared" si="1051"/>
        <v/>
      </c>
      <c r="Q6770" t="str">
        <f t="shared" si="1052"/>
        <v/>
      </c>
      <c r="R6770" t="str">
        <f t="shared" si="1053"/>
        <v/>
      </c>
      <c r="S6770" t="str">
        <f t="shared" si="1054"/>
        <v/>
      </c>
      <c r="T6770" t="str">
        <f t="shared" si="1055"/>
        <v/>
      </c>
      <c r="U6770" t="str">
        <f t="shared" si="1056"/>
        <v/>
      </c>
      <c r="V6770" t="str">
        <f t="shared" si="1057"/>
        <v/>
      </c>
      <c r="W6770" t="str">
        <f t="shared" si="1058"/>
        <v/>
      </c>
      <c r="X6770">
        <f t="shared" si="1048"/>
        <v>0</v>
      </c>
      <c r="Z6770" t="str">
        <f t="shared" si="1059"/>
        <v/>
      </c>
      <c r="AA6770">
        <f t="shared" si="1049"/>
        <v>0</v>
      </c>
    </row>
    <row r="6771" spans="1:27" ht="21" customHeight="1" x14ac:dyDescent="0.95">
      <c r="A6771" s="56"/>
      <c r="B6771" s="57"/>
      <c r="C6771" s="57"/>
      <c r="D6771" s="57"/>
      <c r="E6771" s="56"/>
      <c r="F6771" s="57"/>
      <c r="G6771" s="57"/>
      <c r="H6771" s="56"/>
      <c r="I6771" s="56"/>
      <c r="J6771" s="58"/>
      <c r="K6771" s="58"/>
      <c r="L6771" s="13" t="str">
        <f t="shared" si="1050"/>
        <v/>
      </c>
      <c r="M6771" s="13" t="str">
        <f t="shared" si="1051"/>
        <v/>
      </c>
      <c r="Q6771" t="str">
        <f t="shared" si="1052"/>
        <v/>
      </c>
      <c r="R6771" t="str">
        <f t="shared" si="1053"/>
        <v/>
      </c>
      <c r="S6771" t="str">
        <f t="shared" si="1054"/>
        <v/>
      </c>
      <c r="T6771" t="str">
        <f t="shared" si="1055"/>
        <v/>
      </c>
      <c r="U6771" t="str">
        <f t="shared" si="1056"/>
        <v/>
      </c>
      <c r="V6771" t="str">
        <f t="shared" si="1057"/>
        <v/>
      </c>
      <c r="W6771" t="str">
        <f t="shared" si="1058"/>
        <v/>
      </c>
      <c r="X6771">
        <f t="shared" si="1048"/>
        <v>0</v>
      </c>
      <c r="Z6771" t="str">
        <f t="shared" si="1059"/>
        <v/>
      </c>
      <c r="AA6771">
        <f t="shared" si="1049"/>
        <v>0</v>
      </c>
    </row>
    <row r="6772" spans="1:27" ht="21" customHeight="1" x14ac:dyDescent="0.95">
      <c r="A6772" s="56"/>
      <c r="B6772" s="57"/>
      <c r="C6772" s="57"/>
      <c r="D6772" s="57"/>
      <c r="E6772" s="56"/>
      <c r="F6772" s="57"/>
      <c r="G6772" s="57"/>
      <c r="H6772" s="56"/>
      <c r="I6772" s="56"/>
      <c r="J6772" s="58"/>
      <c r="K6772" s="58"/>
      <c r="L6772" s="13" t="str">
        <f t="shared" si="1050"/>
        <v/>
      </c>
      <c r="M6772" s="13" t="str">
        <f t="shared" si="1051"/>
        <v/>
      </c>
      <c r="Q6772" t="str">
        <f t="shared" si="1052"/>
        <v/>
      </c>
      <c r="R6772" t="str">
        <f t="shared" si="1053"/>
        <v/>
      </c>
      <c r="S6772" t="str">
        <f t="shared" si="1054"/>
        <v/>
      </c>
      <c r="T6772" t="str">
        <f t="shared" si="1055"/>
        <v/>
      </c>
      <c r="U6772" t="str">
        <f t="shared" si="1056"/>
        <v/>
      </c>
      <c r="V6772" t="str">
        <f t="shared" si="1057"/>
        <v/>
      </c>
      <c r="W6772" t="str">
        <f t="shared" si="1058"/>
        <v/>
      </c>
      <c r="X6772">
        <f t="shared" si="1048"/>
        <v>0</v>
      </c>
      <c r="Z6772" t="str">
        <f t="shared" si="1059"/>
        <v/>
      </c>
      <c r="AA6772">
        <f t="shared" si="1049"/>
        <v>0</v>
      </c>
    </row>
    <row r="6773" spans="1:27" ht="21" customHeight="1" x14ac:dyDescent="0.95">
      <c r="A6773" s="56"/>
      <c r="B6773" s="57"/>
      <c r="C6773" s="57"/>
      <c r="D6773" s="57"/>
      <c r="E6773" s="56"/>
      <c r="F6773" s="57"/>
      <c r="G6773" s="57"/>
      <c r="H6773" s="56"/>
      <c r="I6773" s="56"/>
      <c r="J6773" s="58"/>
      <c r="K6773" s="58"/>
      <c r="L6773" s="13" t="str">
        <f t="shared" si="1050"/>
        <v/>
      </c>
      <c r="M6773" s="13" t="str">
        <f t="shared" si="1051"/>
        <v/>
      </c>
      <c r="Q6773" t="str">
        <f t="shared" si="1052"/>
        <v/>
      </c>
      <c r="R6773" t="str">
        <f t="shared" si="1053"/>
        <v/>
      </c>
      <c r="S6773" t="str">
        <f t="shared" si="1054"/>
        <v/>
      </c>
      <c r="T6773" t="str">
        <f t="shared" si="1055"/>
        <v/>
      </c>
      <c r="U6773" t="str">
        <f t="shared" si="1056"/>
        <v/>
      </c>
      <c r="V6773" t="str">
        <f t="shared" si="1057"/>
        <v/>
      </c>
      <c r="W6773" t="str">
        <f t="shared" si="1058"/>
        <v/>
      </c>
      <c r="X6773">
        <f t="shared" ref="X6773:X6836" si="1060">IF($T6773="",N($X6772),IF(MATCH($T6773,$T$6:$T$10005,0)=ROW()-5,N($X6772)+1,N($X6772)))</f>
        <v>0</v>
      </c>
      <c r="Z6773" t="str">
        <f t="shared" si="1059"/>
        <v/>
      </c>
      <c r="AA6773">
        <f t="shared" ref="AA6773:AA6836" si="1061">IF($V6773="",N($AA6772),IF(MATCH($V6773,$V$6:$V$10005,0)=ROW()-5,N($AA6772)+1,N($AA6772)))</f>
        <v>0</v>
      </c>
    </row>
    <row r="6774" spans="1:27" ht="21" customHeight="1" x14ac:dyDescent="0.95">
      <c r="A6774" s="56"/>
      <c r="B6774" s="57"/>
      <c r="C6774" s="57"/>
      <c r="D6774" s="57"/>
      <c r="E6774" s="56"/>
      <c r="F6774" s="57"/>
      <c r="G6774" s="57"/>
      <c r="H6774" s="56"/>
      <c r="I6774" s="56"/>
      <c r="J6774" s="58"/>
      <c r="K6774" s="58"/>
      <c r="L6774" s="13" t="str">
        <f t="shared" si="1050"/>
        <v/>
      </c>
      <c r="M6774" s="13" t="str">
        <f t="shared" si="1051"/>
        <v/>
      </c>
      <c r="Q6774" t="str">
        <f t="shared" si="1052"/>
        <v/>
      </c>
      <c r="R6774" t="str">
        <f t="shared" si="1053"/>
        <v/>
      </c>
      <c r="S6774" t="str">
        <f t="shared" si="1054"/>
        <v/>
      </c>
      <c r="T6774" t="str">
        <f t="shared" si="1055"/>
        <v/>
      </c>
      <c r="U6774" t="str">
        <f t="shared" si="1056"/>
        <v/>
      </c>
      <c r="V6774" t="str">
        <f t="shared" si="1057"/>
        <v/>
      </c>
      <c r="W6774" t="str">
        <f t="shared" si="1058"/>
        <v/>
      </c>
      <c r="X6774">
        <f t="shared" si="1060"/>
        <v>0</v>
      </c>
      <c r="Z6774" t="str">
        <f t="shared" si="1059"/>
        <v/>
      </c>
      <c r="AA6774">
        <f t="shared" si="1061"/>
        <v>0</v>
      </c>
    </row>
    <row r="6775" spans="1:27" ht="21" customHeight="1" x14ac:dyDescent="0.95">
      <c r="A6775" s="56"/>
      <c r="B6775" s="57"/>
      <c r="C6775" s="57"/>
      <c r="D6775" s="57"/>
      <c r="E6775" s="56"/>
      <c r="F6775" s="57"/>
      <c r="G6775" s="57"/>
      <c r="H6775" s="56"/>
      <c r="I6775" s="56"/>
      <c r="J6775" s="58"/>
      <c r="K6775" s="58"/>
      <c r="L6775" s="13" t="str">
        <f t="shared" si="1050"/>
        <v/>
      </c>
      <c r="M6775" s="13" t="str">
        <f t="shared" si="1051"/>
        <v/>
      </c>
      <c r="Q6775" t="str">
        <f t="shared" si="1052"/>
        <v/>
      </c>
      <c r="R6775" t="str">
        <f t="shared" si="1053"/>
        <v/>
      </c>
      <c r="S6775" t="str">
        <f t="shared" si="1054"/>
        <v/>
      </c>
      <c r="T6775" t="str">
        <f t="shared" si="1055"/>
        <v/>
      </c>
      <c r="U6775" t="str">
        <f t="shared" si="1056"/>
        <v/>
      </c>
      <c r="V6775" t="str">
        <f t="shared" si="1057"/>
        <v/>
      </c>
      <c r="W6775" t="str">
        <f t="shared" si="1058"/>
        <v/>
      </c>
      <c r="X6775">
        <f t="shared" si="1060"/>
        <v>0</v>
      </c>
      <c r="Z6775" t="str">
        <f t="shared" si="1059"/>
        <v/>
      </c>
      <c r="AA6775">
        <f t="shared" si="1061"/>
        <v>0</v>
      </c>
    </row>
    <row r="6776" spans="1:27" ht="21" customHeight="1" x14ac:dyDescent="0.95">
      <c r="A6776" s="56"/>
      <c r="B6776" s="57"/>
      <c r="C6776" s="57"/>
      <c r="D6776" s="57"/>
      <c r="E6776" s="56"/>
      <c r="F6776" s="57"/>
      <c r="G6776" s="57"/>
      <c r="H6776" s="56"/>
      <c r="I6776" s="56"/>
      <c r="J6776" s="58"/>
      <c r="K6776" s="58"/>
      <c r="L6776" s="13" t="str">
        <f t="shared" si="1050"/>
        <v/>
      </c>
      <c r="M6776" s="13" t="str">
        <f t="shared" si="1051"/>
        <v/>
      </c>
      <c r="Q6776" t="str">
        <f t="shared" si="1052"/>
        <v/>
      </c>
      <c r="R6776" t="str">
        <f t="shared" si="1053"/>
        <v/>
      </c>
      <c r="S6776" t="str">
        <f t="shared" si="1054"/>
        <v/>
      </c>
      <c r="T6776" t="str">
        <f t="shared" si="1055"/>
        <v/>
      </c>
      <c r="U6776" t="str">
        <f t="shared" si="1056"/>
        <v/>
      </c>
      <c r="V6776" t="str">
        <f t="shared" si="1057"/>
        <v/>
      </c>
      <c r="W6776" t="str">
        <f t="shared" si="1058"/>
        <v/>
      </c>
      <c r="X6776">
        <f t="shared" si="1060"/>
        <v>0</v>
      </c>
      <c r="Z6776" t="str">
        <f t="shared" si="1059"/>
        <v/>
      </c>
      <c r="AA6776">
        <f t="shared" si="1061"/>
        <v>0</v>
      </c>
    </row>
    <row r="6777" spans="1:27" ht="21" customHeight="1" x14ac:dyDescent="0.95">
      <c r="A6777" s="56"/>
      <c r="B6777" s="57"/>
      <c r="C6777" s="57"/>
      <c r="D6777" s="57"/>
      <c r="E6777" s="56"/>
      <c r="F6777" s="57"/>
      <c r="G6777" s="57"/>
      <c r="H6777" s="56"/>
      <c r="I6777" s="56"/>
      <c r="J6777" s="58"/>
      <c r="K6777" s="58"/>
      <c r="L6777" s="13" t="str">
        <f t="shared" si="1050"/>
        <v/>
      </c>
      <c r="M6777" s="13" t="str">
        <f t="shared" si="1051"/>
        <v/>
      </c>
      <c r="Q6777" t="str">
        <f t="shared" si="1052"/>
        <v/>
      </c>
      <c r="R6777" t="str">
        <f t="shared" si="1053"/>
        <v/>
      </c>
      <c r="S6777" t="str">
        <f t="shared" si="1054"/>
        <v/>
      </c>
      <c r="T6777" t="str">
        <f t="shared" si="1055"/>
        <v/>
      </c>
      <c r="U6777" t="str">
        <f t="shared" si="1056"/>
        <v/>
      </c>
      <c r="V6777" t="str">
        <f t="shared" si="1057"/>
        <v/>
      </c>
      <c r="W6777" t="str">
        <f t="shared" si="1058"/>
        <v/>
      </c>
      <c r="X6777">
        <f t="shared" si="1060"/>
        <v>0</v>
      </c>
      <c r="Z6777" t="str">
        <f t="shared" si="1059"/>
        <v/>
      </c>
      <c r="AA6777">
        <f t="shared" si="1061"/>
        <v>0</v>
      </c>
    </row>
    <row r="6778" spans="1:27" ht="21" customHeight="1" x14ac:dyDescent="0.95">
      <c r="A6778" s="56"/>
      <c r="B6778" s="57"/>
      <c r="C6778" s="57"/>
      <c r="D6778" s="57"/>
      <c r="E6778" s="56"/>
      <c r="F6778" s="57"/>
      <c r="G6778" s="57"/>
      <c r="H6778" s="56"/>
      <c r="I6778" s="56"/>
      <c r="J6778" s="58"/>
      <c r="K6778" s="58"/>
      <c r="L6778" s="13" t="str">
        <f t="shared" si="1050"/>
        <v/>
      </c>
      <c r="M6778" s="13" t="str">
        <f t="shared" si="1051"/>
        <v/>
      </c>
      <c r="Q6778" t="str">
        <f t="shared" si="1052"/>
        <v/>
      </c>
      <c r="R6778" t="str">
        <f t="shared" si="1053"/>
        <v/>
      </c>
      <c r="S6778" t="str">
        <f t="shared" si="1054"/>
        <v/>
      </c>
      <c r="T6778" t="str">
        <f t="shared" si="1055"/>
        <v/>
      </c>
      <c r="U6778" t="str">
        <f t="shared" si="1056"/>
        <v/>
      </c>
      <c r="V6778" t="str">
        <f t="shared" si="1057"/>
        <v/>
      </c>
      <c r="W6778" t="str">
        <f t="shared" si="1058"/>
        <v/>
      </c>
      <c r="X6778">
        <f t="shared" si="1060"/>
        <v>0</v>
      </c>
      <c r="Z6778" t="str">
        <f t="shared" si="1059"/>
        <v/>
      </c>
      <c r="AA6778">
        <f t="shared" si="1061"/>
        <v>0</v>
      </c>
    </row>
    <row r="6779" spans="1:27" ht="21" customHeight="1" x14ac:dyDescent="0.95">
      <c r="A6779" s="56"/>
      <c r="B6779" s="57"/>
      <c r="C6779" s="57"/>
      <c r="D6779" s="57"/>
      <c r="E6779" s="56"/>
      <c r="F6779" s="57"/>
      <c r="G6779" s="57"/>
      <c r="H6779" s="56"/>
      <c r="I6779" s="56"/>
      <c r="J6779" s="58"/>
      <c r="K6779" s="58"/>
      <c r="L6779" s="13" t="str">
        <f t="shared" si="1050"/>
        <v/>
      </c>
      <c r="M6779" s="13" t="str">
        <f t="shared" si="1051"/>
        <v/>
      </c>
      <c r="Q6779" t="str">
        <f t="shared" si="1052"/>
        <v/>
      </c>
      <c r="R6779" t="str">
        <f t="shared" si="1053"/>
        <v/>
      </c>
      <c r="S6779" t="str">
        <f t="shared" si="1054"/>
        <v/>
      </c>
      <c r="T6779" t="str">
        <f t="shared" si="1055"/>
        <v/>
      </c>
      <c r="U6779" t="str">
        <f t="shared" si="1056"/>
        <v/>
      </c>
      <c r="V6779" t="str">
        <f t="shared" si="1057"/>
        <v/>
      </c>
      <c r="W6779" t="str">
        <f t="shared" si="1058"/>
        <v/>
      </c>
      <c r="X6779">
        <f t="shared" si="1060"/>
        <v>0</v>
      </c>
      <c r="Z6779" t="str">
        <f t="shared" si="1059"/>
        <v/>
      </c>
      <c r="AA6779">
        <f t="shared" si="1061"/>
        <v>0</v>
      </c>
    </row>
    <row r="6780" spans="1:27" ht="21" customHeight="1" x14ac:dyDescent="0.95">
      <c r="A6780" s="56"/>
      <c r="B6780" s="57"/>
      <c r="C6780" s="57"/>
      <c r="D6780" s="57"/>
      <c r="E6780" s="56"/>
      <c r="F6780" s="57"/>
      <c r="G6780" s="57"/>
      <c r="H6780" s="56"/>
      <c r="I6780" s="56"/>
      <c r="J6780" s="58"/>
      <c r="K6780" s="58"/>
      <c r="L6780" s="13" t="str">
        <f t="shared" si="1050"/>
        <v/>
      </c>
      <c r="M6780" s="13" t="str">
        <f t="shared" si="1051"/>
        <v/>
      </c>
      <c r="Q6780" t="str">
        <f t="shared" si="1052"/>
        <v/>
      </c>
      <c r="R6780" t="str">
        <f t="shared" si="1053"/>
        <v/>
      </c>
      <c r="S6780" t="str">
        <f t="shared" si="1054"/>
        <v/>
      </c>
      <c r="T6780" t="str">
        <f t="shared" si="1055"/>
        <v/>
      </c>
      <c r="U6780" t="str">
        <f t="shared" si="1056"/>
        <v/>
      </c>
      <c r="V6780" t="str">
        <f t="shared" si="1057"/>
        <v/>
      </c>
      <c r="W6780" t="str">
        <f t="shared" si="1058"/>
        <v/>
      </c>
      <c r="X6780">
        <f t="shared" si="1060"/>
        <v>0</v>
      </c>
      <c r="Z6780" t="str">
        <f t="shared" si="1059"/>
        <v/>
      </c>
      <c r="AA6780">
        <f t="shared" si="1061"/>
        <v>0</v>
      </c>
    </row>
    <row r="6781" spans="1:27" ht="21" customHeight="1" x14ac:dyDescent="0.95">
      <c r="A6781" s="56"/>
      <c r="B6781" s="57"/>
      <c r="C6781" s="57"/>
      <c r="D6781" s="57"/>
      <c r="E6781" s="56"/>
      <c r="F6781" s="57"/>
      <c r="G6781" s="57"/>
      <c r="H6781" s="56"/>
      <c r="I6781" s="56"/>
      <c r="J6781" s="58"/>
      <c r="K6781" s="58"/>
      <c r="L6781" s="13" t="str">
        <f t="shared" si="1050"/>
        <v/>
      </c>
      <c r="M6781" s="13" t="str">
        <f t="shared" si="1051"/>
        <v/>
      </c>
      <c r="Q6781" t="str">
        <f t="shared" si="1052"/>
        <v/>
      </c>
      <c r="R6781" t="str">
        <f t="shared" si="1053"/>
        <v/>
      </c>
      <c r="S6781" t="str">
        <f t="shared" si="1054"/>
        <v/>
      </c>
      <c r="T6781" t="str">
        <f t="shared" si="1055"/>
        <v/>
      </c>
      <c r="U6781" t="str">
        <f t="shared" si="1056"/>
        <v/>
      </c>
      <c r="V6781" t="str">
        <f t="shared" si="1057"/>
        <v/>
      </c>
      <c r="W6781" t="str">
        <f t="shared" si="1058"/>
        <v/>
      </c>
      <c r="X6781">
        <f t="shared" si="1060"/>
        <v>0</v>
      </c>
      <c r="Z6781" t="str">
        <f t="shared" si="1059"/>
        <v/>
      </c>
      <c r="AA6781">
        <f t="shared" si="1061"/>
        <v>0</v>
      </c>
    </row>
    <row r="6782" spans="1:27" ht="21" customHeight="1" x14ac:dyDescent="0.95">
      <c r="A6782" s="56"/>
      <c r="B6782" s="57"/>
      <c r="C6782" s="57"/>
      <c r="D6782" s="57"/>
      <c r="E6782" s="56"/>
      <c r="F6782" s="57"/>
      <c r="G6782" s="57"/>
      <c r="H6782" s="56"/>
      <c r="I6782" s="56"/>
      <c r="J6782" s="58"/>
      <c r="K6782" s="58"/>
      <c r="L6782" s="13" t="str">
        <f t="shared" si="1050"/>
        <v/>
      </c>
      <c r="M6782" s="13" t="str">
        <f t="shared" si="1051"/>
        <v/>
      </c>
      <c r="Q6782" t="str">
        <f t="shared" si="1052"/>
        <v/>
      </c>
      <c r="R6782" t="str">
        <f t="shared" si="1053"/>
        <v/>
      </c>
      <c r="S6782" t="str">
        <f t="shared" si="1054"/>
        <v/>
      </c>
      <c r="T6782" t="str">
        <f t="shared" si="1055"/>
        <v/>
      </c>
      <c r="U6782" t="str">
        <f t="shared" si="1056"/>
        <v/>
      </c>
      <c r="V6782" t="str">
        <f t="shared" si="1057"/>
        <v/>
      </c>
      <c r="W6782" t="str">
        <f t="shared" si="1058"/>
        <v/>
      </c>
      <c r="X6782">
        <f t="shared" si="1060"/>
        <v>0</v>
      </c>
      <c r="Z6782" t="str">
        <f t="shared" si="1059"/>
        <v/>
      </c>
      <c r="AA6782">
        <f t="shared" si="1061"/>
        <v>0</v>
      </c>
    </row>
    <row r="6783" spans="1:27" ht="21" customHeight="1" x14ac:dyDescent="0.95">
      <c r="A6783" s="56"/>
      <c r="B6783" s="57"/>
      <c r="C6783" s="57"/>
      <c r="D6783" s="57"/>
      <c r="E6783" s="56"/>
      <c r="F6783" s="57"/>
      <c r="G6783" s="57"/>
      <c r="H6783" s="56"/>
      <c r="I6783" s="56"/>
      <c r="J6783" s="58"/>
      <c r="K6783" s="58"/>
      <c r="L6783" s="13" t="str">
        <f t="shared" si="1050"/>
        <v/>
      </c>
      <c r="M6783" s="13" t="str">
        <f t="shared" si="1051"/>
        <v/>
      </c>
      <c r="Q6783" t="str">
        <f t="shared" si="1052"/>
        <v/>
      </c>
      <c r="R6783" t="str">
        <f t="shared" si="1053"/>
        <v/>
      </c>
      <c r="S6783" t="str">
        <f t="shared" si="1054"/>
        <v/>
      </c>
      <c r="T6783" t="str">
        <f t="shared" si="1055"/>
        <v/>
      </c>
      <c r="U6783" t="str">
        <f t="shared" si="1056"/>
        <v/>
      </c>
      <c r="V6783" t="str">
        <f t="shared" si="1057"/>
        <v/>
      </c>
      <c r="W6783" t="str">
        <f t="shared" si="1058"/>
        <v/>
      </c>
      <c r="X6783">
        <f t="shared" si="1060"/>
        <v>0</v>
      </c>
      <c r="Z6783" t="str">
        <f t="shared" si="1059"/>
        <v/>
      </c>
      <c r="AA6783">
        <f t="shared" si="1061"/>
        <v>0</v>
      </c>
    </row>
    <row r="6784" spans="1:27" ht="21" customHeight="1" x14ac:dyDescent="0.95">
      <c r="A6784" s="56"/>
      <c r="B6784" s="57"/>
      <c r="C6784" s="57"/>
      <c r="D6784" s="57"/>
      <c r="E6784" s="56"/>
      <c r="F6784" s="57"/>
      <c r="G6784" s="57"/>
      <c r="H6784" s="56"/>
      <c r="I6784" s="56"/>
      <c r="J6784" s="58"/>
      <c r="K6784" s="58"/>
      <c r="L6784" s="13" t="str">
        <f t="shared" si="1050"/>
        <v/>
      </c>
      <c r="M6784" s="13" t="str">
        <f t="shared" si="1051"/>
        <v/>
      </c>
      <c r="Q6784" t="str">
        <f t="shared" si="1052"/>
        <v/>
      </c>
      <c r="R6784" t="str">
        <f t="shared" si="1053"/>
        <v/>
      </c>
      <c r="S6784" t="str">
        <f t="shared" si="1054"/>
        <v/>
      </c>
      <c r="T6784" t="str">
        <f t="shared" si="1055"/>
        <v/>
      </c>
      <c r="U6784" t="str">
        <f t="shared" si="1056"/>
        <v/>
      </c>
      <c r="V6784" t="str">
        <f t="shared" si="1057"/>
        <v/>
      </c>
      <c r="W6784" t="str">
        <f t="shared" si="1058"/>
        <v/>
      </c>
      <c r="X6784">
        <f t="shared" si="1060"/>
        <v>0</v>
      </c>
      <c r="Z6784" t="str">
        <f t="shared" si="1059"/>
        <v/>
      </c>
      <c r="AA6784">
        <f t="shared" si="1061"/>
        <v>0</v>
      </c>
    </row>
    <row r="6785" spans="1:27" ht="21" customHeight="1" x14ac:dyDescent="0.95">
      <c r="A6785" s="56"/>
      <c r="B6785" s="57"/>
      <c r="C6785" s="57"/>
      <c r="D6785" s="57"/>
      <c r="E6785" s="56"/>
      <c r="F6785" s="57"/>
      <c r="G6785" s="57"/>
      <c r="H6785" s="56"/>
      <c r="I6785" s="56"/>
      <c r="J6785" s="58"/>
      <c r="K6785" s="58"/>
      <c r="L6785" s="13" t="str">
        <f t="shared" si="1050"/>
        <v/>
      </c>
      <c r="M6785" s="13" t="str">
        <f t="shared" si="1051"/>
        <v/>
      </c>
      <c r="Q6785" t="str">
        <f t="shared" si="1052"/>
        <v/>
      </c>
      <c r="R6785" t="str">
        <f t="shared" si="1053"/>
        <v/>
      </c>
      <c r="S6785" t="str">
        <f t="shared" si="1054"/>
        <v/>
      </c>
      <c r="T6785" t="str">
        <f t="shared" si="1055"/>
        <v/>
      </c>
      <c r="U6785" t="str">
        <f t="shared" si="1056"/>
        <v/>
      </c>
      <c r="V6785" t="str">
        <f t="shared" si="1057"/>
        <v/>
      </c>
      <c r="W6785" t="str">
        <f t="shared" si="1058"/>
        <v/>
      </c>
      <c r="X6785">
        <f t="shared" si="1060"/>
        <v>0</v>
      </c>
      <c r="Z6785" t="str">
        <f t="shared" si="1059"/>
        <v/>
      </c>
      <c r="AA6785">
        <f t="shared" si="1061"/>
        <v>0</v>
      </c>
    </row>
    <row r="6786" spans="1:27" ht="21" customHeight="1" x14ac:dyDescent="0.95">
      <c r="A6786" s="56"/>
      <c r="B6786" s="57"/>
      <c r="C6786" s="57"/>
      <c r="D6786" s="57"/>
      <c r="E6786" s="56"/>
      <c r="F6786" s="57"/>
      <c r="G6786" s="57"/>
      <c r="H6786" s="56"/>
      <c r="I6786" s="56"/>
      <c r="J6786" s="58"/>
      <c r="K6786" s="58"/>
      <c r="L6786" s="13" t="str">
        <f t="shared" si="1050"/>
        <v/>
      </c>
      <c r="M6786" s="13" t="str">
        <f t="shared" si="1051"/>
        <v/>
      </c>
      <c r="Q6786" t="str">
        <f t="shared" si="1052"/>
        <v/>
      </c>
      <c r="R6786" t="str">
        <f t="shared" si="1053"/>
        <v/>
      </c>
      <c r="S6786" t="str">
        <f t="shared" si="1054"/>
        <v/>
      </c>
      <c r="T6786" t="str">
        <f t="shared" si="1055"/>
        <v/>
      </c>
      <c r="U6786" t="str">
        <f t="shared" si="1056"/>
        <v/>
      </c>
      <c r="V6786" t="str">
        <f t="shared" si="1057"/>
        <v/>
      </c>
      <c r="W6786" t="str">
        <f t="shared" si="1058"/>
        <v/>
      </c>
      <c r="X6786">
        <f t="shared" si="1060"/>
        <v>0</v>
      </c>
      <c r="Z6786" t="str">
        <f t="shared" si="1059"/>
        <v/>
      </c>
      <c r="AA6786">
        <f t="shared" si="1061"/>
        <v>0</v>
      </c>
    </row>
    <row r="6787" spans="1:27" ht="21" customHeight="1" x14ac:dyDescent="0.95">
      <c r="A6787" s="56"/>
      <c r="B6787" s="57"/>
      <c r="C6787" s="57"/>
      <c r="D6787" s="57"/>
      <c r="E6787" s="56"/>
      <c r="F6787" s="57"/>
      <c r="G6787" s="57"/>
      <c r="H6787" s="56"/>
      <c r="I6787" s="56"/>
      <c r="J6787" s="58"/>
      <c r="K6787" s="58"/>
      <c r="L6787" s="13" t="str">
        <f t="shared" si="1050"/>
        <v/>
      </c>
      <c r="M6787" s="13" t="str">
        <f t="shared" si="1051"/>
        <v/>
      </c>
      <c r="Q6787" t="str">
        <f t="shared" si="1052"/>
        <v/>
      </c>
      <c r="R6787" t="str">
        <f t="shared" si="1053"/>
        <v/>
      </c>
      <c r="S6787" t="str">
        <f t="shared" si="1054"/>
        <v/>
      </c>
      <c r="T6787" t="str">
        <f t="shared" si="1055"/>
        <v/>
      </c>
      <c r="U6787" t="str">
        <f t="shared" si="1056"/>
        <v/>
      </c>
      <c r="V6787" t="str">
        <f t="shared" si="1057"/>
        <v/>
      </c>
      <c r="W6787" t="str">
        <f t="shared" si="1058"/>
        <v/>
      </c>
      <c r="X6787">
        <f t="shared" si="1060"/>
        <v>0</v>
      </c>
      <c r="Z6787" t="str">
        <f t="shared" si="1059"/>
        <v/>
      </c>
      <c r="AA6787">
        <f t="shared" si="1061"/>
        <v>0</v>
      </c>
    </row>
    <row r="6788" spans="1:27" ht="21" customHeight="1" x14ac:dyDescent="0.95">
      <c r="A6788" s="56"/>
      <c r="B6788" s="57"/>
      <c r="C6788" s="57"/>
      <c r="D6788" s="57"/>
      <c r="E6788" s="56"/>
      <c r="F6788" s="57"/>
      <c r="G6788" s="57"/>
      <c r="H6788" s="56"/>
      <c r="I6788" s="56"/>
      <c r="J6788" s="58"/>
      <c r="K6788" s="58"/>
      <c r="L6788" s="13" t="str">
        <f t="shared" ref="L6788:L6851" si="1062">IF(OR($A6788="",AND($J6788="",$K6788="")),"",ROUND(N($J6788)-N($K6788),2))</f>
        <v/>
      </c>
      <c r="M6788" s="13" t="str">
        <f t="shared" ref="M6788:M6851" si="1063">IF(OR($A6788="",AND($J6788="",$K6788="")),"",MIN($J6788,$K6788))</f>
        <v/>
      </c>
      <c r="Q6788" t="str">
        <f t="shared" ref="Q6788:Q6851" si="1064">IF($A6788="","",$D6788&amp;"("&amp;SUBSTITUTE($E6788," ","")&amp;")")</f>
        <v/>
      </c>
      <c r="R6788" t="str">
        <f t="shared" ref="R6788:R6851" si="1065">IF($A6788="","",$B6788&amp;" - "&amp;$C6788)</f>
        <v/>
      </c>
      <c r="S6788" t="str">
        <f t="shared" ref="S6788:S6851" si="1066">IF($A6788="","",$R6788&amp;"|"&amp;$Q6788)</f>
        <v/>
      </c>
      <c r="T6788" t="str">
        <f t="shared" ref="T6788:T6851" si="1067">IF($A6788="","",$S6788&amp;"|"&amp;$F6788)</f>
        <v/>
      </c>
      <c r="U6788" t="str">
        <f t="shared" ref="U6788:U6851" si="1068">IF($A6788="","",$R6788&amp;"("&amp;$E6788&amp;")")</f>
        <v/>
      </c>
      <c r="V6788" t="str">
        <f t="shared" ref="V6788:V6851" si="1069">IF($A6788="","",$F6788&amp;"|"&amp;$U6788&amp;"|"&amp;$D6788)</f>
        <v/>
      </c>
      <c r="W6788" t="str">
        <f t="shared" si="1058"/>
        <v/>
      </c>
      <c r="X6788">
        <f t="shared" si="1060"/>
        <v>0</v>
      </c>
      <c r="Z6788" t="str">
        <f t="shared" si="1059"/>
        <v/>
      </c>
      <c r="AA6788">
        <f t="shared" si="1061"/>
        <v>0</v>
      </c>
    </row>
    <row r="6789" spans="1:27" ht="21" customHeight="1" x14ac:dyDescent="0.95">
      <c r="A6789" s="56"/>
      <c r="B6789" s="57"/>
      <c r="C6789" s="57"/>
      <c r="D6789" s="57"/>
      <c r="E6789" s="56"/>
      <c r="F6789" s="57"/>
      <c r="G6789" s="57"/>
      <c r="H6789" s="56"/>
      <c r="I6789" s="56"/>
      <c r="J6789" s="58"/>
      <c r="K6789" s="58"/>
      <c r="L6789" s="13" t="str">
        <f t="shared" si="1062"/>
        <v/>
      </c>
      <c r="M6789" s="13" t="str">
        <f t="shared" si="1063"/>
        <v/>
      </c>
      <c r="Q6789" t="str">
        <f t="shared" si="1064"/>
        <v/>
      </c>
      <c r="R6789" t="str">
        <f t="shared" si="1065"/>
        <v/>
      </c>
      <c r="S6789" t="str">
        <f t="shared" si="1066"/>
        <v/>
      </c>
      <c r="T6789" t="str">
        <f t="shared" si="1067"/>
        <v/>
      </c>
      <c r="U6789" t="str">
        <f t="shared" si="1068"/>
        <v/>
      </c>
      <c r="V6789" t="str">
        <f t="shared" si="1069"/>
        <v/>
      </c>
      <c r="W6789" t="str">
        <f t="shared" si="1058"/>
        <v/>
      </c>
      <c r="X6789">
        <f t="shared" si="1060"/>
        <v>0</v>
      </c>
      <c r="Z6789" t="str">
        <f t="shared" si="1059"/>
        <v/>
      </c>
      <c r="AA6789">
        <f t="shared" si="1061"/>
        <v>0</v>
      </c>
    </row>
    <row r="6790" spans="1:27" ht="21" customHeight="1" x14ac:dyDescent="0.95">
      <c r="A6790" s="56"/>
      <c r="B6790" s="57"/>
      <c r="C6790" s="57"/>
      <c r="D6790" s="57"/>
      <c r="E6790" s="56"/>
      <c r="F6790" s="57"/>
      <c r="G6790" s="57"/>
      <c r="H6790" s="56"/>
      <c r="I6790" s="56"/>
      <c r="J6790" s="58"/>
      <c r="K6790" s="58"/>
      <c r="L6790" s="13" t="str">
        <f t="shared" si="1062"/>
        <v/>
      </c>
      <c r="M6790" s="13" t="str">
        <f t="shared" si="1063"/>
        <v/>
      </c>
      <c r="Q6790" t="str">
        <f t="shared" si="1064"/>
        <v/>
      </c>
      <c r="R6790" t="str">
        <f t="shared" si="1065"/>
        <v/>
      </c>
      <c r="S6790" t="str">
        <f t="shared" si="1066"/>
        <v/>
      </c>
      <c r="T6790" t="str">
        <f t="shared" si="1067"/>
        <v/>
      </c>
      <c r="U6790" t="str">
        <f t="shared" si="1068"/>
        <v/>
      </c>
      <c r="V6790" t="str">
        <f t="shared" si="1069"/>
        <v/>
      </c>
      <c r="W6790" t="str">
        <f t="shared" ref="W6790:W6853" si="1070">IF($T6790="","",IF($X6790&gt;N($X6789),$X6790,""))</f>
        <v/>
      </c>
      <c r="X6790">
        <f t="shared" si="1060"/>
        <v>0</v>
      </c>
      <c r="Z6790" t="str">
        <f t="shared" ref="Z6790:Z6853" si="1071">IF($V6790="","",IF($AA6790&gt;N($AA6789),$AA6790,""))</f>
        <v/>
      </c>
      <c r="AA6790">
        <f t="shared" si="1061"/>
        <v>0</v>
      </c>
    </row>
    <row r="6791" spans="1:27" ht="21" customHeight="1" x14ac:dyDescent="0.95">
      <c r="A6791" s="56"/>
      <c r="B6791" s="57"/>
      <c r="C6791" s="57"/>
      <c r="D6791" s="57"/>
      <c r="E6791" s="56"/>
      <c r="F6791" s="57"/>
      <c r="G6791" s="57"/>
      <c r="H6791" s="56"/>
      <c r="I6791" s="56"/>
      <c r="J6791" s="58"/>
      <c r="K6791" s="58"/>
      <c r="L6791" s="13" t="str">
        <f t="shared" si="1062"/>
        <v/>
      </c>
      <c r="M6791" s="13" t="str">
        <f t="shared" si="1063"/>
        <v/>
      </c>
      <c r="Q6791" t="str">
        <f t="shared" si="1064"/>
        <v/>
      </c>
      <c r="R6791" t="str">
        <f t="shared" si="1065"/>
        <v/>
      </c>
      <c r="S6791" t="str">
        <f t="shared" si="1066"/>
        <v/>
      </c>
      <c r="T6791" t="str">
        <f t="shared" si="1067"/>
        <v/>
      </c>
      <c r="U6791" t="str">
        <f t="shared" si="1068"/>
        <v/>
      </c>
      <c r="V6791" t="str">
        <f t="shared" si="1069"/>
        <v/>
      </c>
      <c r="W6791" t="str">
        <f t="shared" si="1070"/>
        <v/>
      </c>
      <c r="X6791">
        <f t="shared" si="1060"/>
        <v>0</v>
      </c>
      <c r="Z6791" t="str">
        <f t="shared" si="1071"/>
        <v/>
      </c>
      <c r="AA6791">
        <f t="shared" si="1061"/>
        <v>0</v>
      </c>
    </row>
    <row r="6792" spans="1:27" ht="21" customHeight="1" x14ac:dyDescent="0.95">
      <c r="A6792" s="56"/>
      <c r="B6792" s="57"/>
      <c r="C6792" s="57"/>
      <c r="D6792" s="57"/>
      <c r="E6792" s="56"/>
      <c r="F6792" s="57"/>
      <c r="G6792" s="57"/>
      <c r="H6792" s="56"/>
      <c r="I6792" s="56"/>
      <c r="J6792" s="58"/>
      <c r="K6792" s="58"/>
      <c r="L6792" s="13" t="str">
        <f t="shared" si="1062"/>
        <v/>
      </c>
      <c r="M6792" s="13" t="str">
        <f t="shared" si="1063"/>
        <v/>
      </c>
      <c r="Q6792" t="str">
        <f t="shared" si="1064"/>
        <v/>
      </c>
      <c r="R6792" t="str">
        <f t="shared" si="1065"/>
        <v/>
      </c>
      <c r="S6792" t="str">
        <f t="shared" si="1066"/>
        <v/>
      </c>
      <c r="T6792" t="str">
        <f t="shared" si="1067"/>
        <v/>
      </c>
      <c r="U6792" t="str">
        <f t="shared" si="1068"/>
        <v/>
      </c>
      <c r="V6792" t="str">
        <f t="shared" si="1069"/>
        <v/>
      </c>
      <c r="W6792" t="str">
        <f t="shared" si="1070"/>
        <v/>
      </c>
      <c r="X6792">
        <f t="shared" si="1060"/>
        <v>0</v>
      </c>
      <c r="Z6792" t="str">
        <f t="shared" si="1071"/>
        <v/>
      </c>
      <c r="AA6792">
        <f t="shared" si="1061"/>
        <v>0</v>
      </c>
    </row>
    <row r="6793" spans="1:27" ht="21" customHeight="1" x14ac:dyDescent="0.95">
      <c r="A6793" s="56"/>
      <c r="B6793" s="57"/>
      <c r="C6793" s="57"/>
      <c r="D6793" s="57"/>
      <c r="E6793" s="56"/>
      <c r="F6793" s="57"/>
      <c r="G6793" s="57"/>
      <c r="H6793" s="56"/>
      <c r="I6793" s="56"/>
      <c r="J6793" s="58"/>
      <c r="K6793" s="58"/>
      <c r="L6793" s="13" t="str">
        <f t="shared" si="1062"/>
        <v/>
      </c>
      <c r="M6793" s="13" t="str">
        <f t="shared" si="1063"/>
        <v/>
      </c>
      <c r="Q6793" t="str">
        <f t="shared" si="1064"/>
        <v/>
      </c>
      <c r="R6793" t="str">
        <f t="shared" si="1065"/>
        <v/>
      </c>
      <c r="S6793" t="str">
        <f t="shared" si="1066"/>
        <v/>
      </c>
      <c r="T6793" t="str">
        <f t="shared" si="1067"/>
        <v/>
      </c>
      <c r="U6793" t="str">
        <f t="shared" si="1068"/>
        <v/>
      </c>
      <c r="V6793" t="str">
        <f t="shared" si="1069"/>
        <v/>
      </c>
      <c r="W6793" t="str">
        <f t="shared" si="1070"/>
        <v/>
      </c>
      <c r="X6793">
        <f t="shared" si="1060"/>
        <v>0</v>
      </c>
      <c r="Z6793" t="str">
        <f t="shared" si="1071"/>
        <v/>
      </c>
      <c r="AA6793">
        <f t="shared" si="1061"/>
        <v>0</v>
      </c>
    </row>
    <row r="6794" spans="1:27" ht="21" customHeight="1" x14ac:dyDescent="0.95">
      <c r="A6794" s="56"/>
      <c r="B6794" s="57"/>
      <c r="C6794" s="57"/>
      <c r="D6794" s="57"/>
      <c r="E6794" s="56"/>
      <c r="F6794" s="57"/>
      <c r="G6794" s="57"/>
      <c r="H6794" s="56"/>
      <c r="I6794" s="56"/>
      <c r="J6794" s="58"/>
      <c r="K6794" s="58"/>
      <c r="L6794" s="13" t="str">
        <f t="shared" si="1062"/>
        <v/>
      </c>
      <c r="M6794" s="13" t="str">
        <f t="shared" si="1063"/>
        <v/>
      </c>
      <c r="Q6794" t="str">
        <f t="shared" si="1064"/>
        <v/>
      </c>
      <c r="R6794" t="str">
        <f t="shared" si="1065"/>
        <v/>
      </c>
      <c r="S6794" t="str">
        <f t="shared" si="1066"/>
        <v/>
      </c>
      <c r="T6794" t="str">
        <f t="shared" si="1067"/>
        <v/>
      </c>
      <c r="U6794" t="str">
        <f t="shared" si="1068"/>
        <v/>
      </c>
      <c r="V6794" t="str">
        <f t="shared" si="1069"/>
        <v/>
      </c>
      <c r="W6794" t="str">
        <f t="shared" si="1070"/>
        <v/>
      </c>
      <c r="X6794">
        <f t="shared" si="1060"/>
        <v>0</v>
      </c>
      <c r="Z6794" t="str">
        <f t="shared" si="1071"/>
        <v/>
      </c>
      <c r="AA6794">
        <f t="shared" si="1061"/>
        <v>0</v>
      </c>
    </row>
    <row r="6795" spans="1:27" ht="21" customHeight="1" x14ac:dyDescent="0.95">
      <c r="A6795" s="56"/>
      <c r="B6795" s="57"/>
      <c r="C6795" s="57"/>
      <c r="D6795" s="57"/>
      <c r="E6795" s="56"/>
      <c r="F6795" s="57"/>
      <c r="G6795" s="57"/>
      <c r="H6795" s="56"/>
      <c r="I6795" s="56"/>
      <c r="J6795" s="58"/>
      <c r="K6795" s="58"/>
      <c r="L6795" s="13" t="str">
        <f t="shared" si="1062"/>
        <v/>
      </c>
      <c r="M6795" s="13" t="str">
        <f t="shared" si="1063"/>
        <v/>
      </c>
      <c r="Q6795" t="str">
        <f t="shared" si="1064"/>
        <v/>
      </c>
      <c r="R6795" t="str">
        <f t="shared" si="1065"/>
        <v/>
      </c>
      <c r="S6795" t="str">
        <f t="shared" si="1066"/>
        <v/>
      </c>
      <c r="T6795" t="str">
        <f t="shared" si="1067"/>
        <v/>
      </c>
      <c r="U6795" t="str">
        <f t="shared" si="1068"/>
        <v/>
      </c>
      <c r="V6795" t="str">
        <f t="shared" si="1069"/>
        <v/>
      </c>
      <c r="W6795" t="str">
        <f t="shared" si="1070"/>
        <v/>
      </c>
      <c r="X6795">
        <f t="shared" si="1060"/>
        <v>0</v>
      </c>
      <c r="Z6795" t="str">
        <f t="shared" si="1071"/>
        <v/>
      </c>
      <c r="AA6795">
        <f t="shared" si="1061"/>
        <v>0</v>
      </c>
    </row>
    <row r="6796" spans="1:27" ht="21" customHeight="1" x14ac:dyDescent="0.95">
      <c r="A6796" s="56"/>
      <c r="B6796" s="57"/>
      <c r="C6796" s="57"/>
      <c r="D6796" s="57"/>
      <c r="E6796" s="56"/>
      <c r="F6796" s="57"/>
      <c r="G6796" s="57"/>
      <c r="H6796" s="56"/>
      <c r="I6796" s="56"/>
      <c r="J6796" s="58"/>
      <c r="K6796" s="58"/>
      <c r="L6796" s="13" t="str">
        <f t="shared" si="1062"/>
        <v/>
      </c>
      <c r="M6796" s="13" t="str">
        <f t="shared" si="1063"/>
        <v/>
      </c>
      <c r="Q6796" t="str">
        <f t="shared" si="1064"/>
        <v/>
      </c>
      <c r="R6796" t="str">
        <f t="shared" si="1065"/>
        <v/>
      </c>
      <c r="S6796" t="str">
        <f t="shared" si="1066"/>
        <v/>
      </c>
      <c r="T6796" t="str">
        <f t="shared" si="1067"/>
        <v/>
      </c>
      <c r="U6796" t="str">
        <f t="shared" si="1068"/>
        <v/>
      </c>
      <c r="V6796" t="str">
        <f t="shared" si="1069"/>
        <v/>
      </c>
      <c r="W6796" t="str">
        <f t="shared" si="1070"/>
        <v/>
      </c>
      <c r="X6796">
        <f t="shared" si="1060"/>
        <v>0</v>
      </c>
      <c r="Z6796" t="str">
        <f t="shared" si="1071"/>
        <v/>
      </c>
      <c r="AA6796">
        <f t="shared" si="1061"/>
        <v>0</v>
      </c>
    </row>
    <row r="6797" spans="1:27" ht="21" customHeight="1" x14ac:dyDescent="0.95">
      <c r="A6797" s="56"/>
      <c r="B6797" s="57"/>
      <c r="C6797" s="57"/>
      <c r="D6797" s="57"/>
      <c r="E6797" s="56"/>
      <c r="F6797" s="57"/>
      <c r="G6797" s="57"/>
      <c r="H6797" s="56"/>
      <c r="I6797" s="56"/>
      <c r="J6797" s="58"/>
      <c r="K6797" s="58"/>
      <c r="L6797" s="13" t="str">
        <f t="shared" si="1062"/>
        <v/>
      </c>
      <c r="M6797" s="13" t="str">
        <f t="shared" si="1063"/>
        <v/>
      </c>
      <c r="Q6797" t="str">
        <f t="shared" si="1064"/>
        <v/>
      </c>
      <c r="R6797" t="str">
        <f t="shared" si="1065"/>
        <v/>
      </c>
      <c r="S6797" t="str">
        <f t="shared" si="1066"/>
        <v/>
      </c>
      <c r="T6797" t="str">
        <f t="shared" si="1067"/>
        <v/>
      </c>
      <c r="U6797" t="str">
        <f t="shared" si="1068"/>
        <v/>
      </c>
      <c r="V6797" t="str">
        <f t="shared" si="1069"/>
        <v/>
      </c>
      <c r="W6797" t="str">
        <f t="shared" si="1070"/>
        <v/>
      </c>
      <c r="X6797">
        <f t="shared" si="1060"/>
        <v>0</v>
      </c>
      <c r="Z6797" t="str">
        <f t="shared" si="1071"/>
        <v/>
      </c>
      <c r="AA6797">
        <f t="shared" si="1061"/>
        <v>0</v>
      </c>
    </row>
    <row r="6798" spans="1:27" ht="21" customHeight="1" x14ac:dyDescent="0.95">
      <c r="A6798" s="56"/>
      <c r="B6798" s="57"/>
      <c r="C6798" s="57"/>
      <c r="D6798" s="57"/>
      <c r="E6798" s="56"/>
      <c r="F6798" s="57"/>
      <c r="G6798" s="57"/>
      <c r="H6798" s="56"/>
      <c r="I6798" s="56"/>
      <c r="J6798" s="58"/>
      <c r="K6798" s="58"/>
      <c r="L6798" s="13" t="str">
        <f t="shared" si="1062"/>
        <v/>
      </c>
      <c r="M6798" s="13" t="str">
        <f t="shared" si="1063"/>
        <v/>
      </c>
      <c r="Q6798" t="str">
        <f t="shared" si="1064"/>
        <v/>
      </c>
      <c r="R6798" t="str">
        <f t="shared" si="1065"/>
        <v/>
      </c>
      <c r="S6798" t="str">
        <f t="shared" si="1066"/>
        <v/>
      </c>
      <c r="T6798" t="str">
        <f t="shared" si="1067"/>
        <v/>
      </c>
      <c r="U6798" t="str">
        <f t="shared" si="1068"/>
        <v/>
      </c>
      <c r="V6798" t="str">
        <f t="shared" si="1069"/>
        <v/>
      </c>
      <c r="W6798" t="str">
        <f t="shared" si="1070"/>
        <v/>
      </c>
      <c r="X6798">
        <f t="shared" si="1060"/>
        <v>0</v>
      </c>
      <c r="Z6798" t="str">
        <f t="shared" si="1071"/>
        <v/>
      </c>
      <c r="AA6798">
        <f t="shared" si="1061"/>
        <v>0</v>
      </c>
    </row>
    <row r="6799" spans="1:27" ht="21" customHeight="1" x14ac:dyDescent="0.95">
      <c r="A6799" s="56"/>
      <c r="B6799" s="57"/>
      <c r="C6799" s="57"/>
      <c r="D6799" s="57"/>
      <c r="E6799" s="56"/>
      <c r="F6799" s="57"/>
      <c r="G6799" s="57"/>
      <c r="H6799" s="56"/>
      <c r="I6799" s="56"/>
      <c r="J6799" s="58"/>
      <c r="K6799" s="58"/>
      <c r="L6799" s="13" t="str">
        <f t="shared" si="1062"/>
        <v/>
      </c>
      <c r="M6799" s="13" t="str">
        <f t="shared" si="1063"/>
        <v/>
      </c>
      <c r="Q6799" t="str">
        <f t="shared" si="1064"/>
        <v/>
      </c>
      <c r="R6799" t="str">
        <f t="shared" si="1065"/>
        <v/>
      </c>
      <c r="S6799" t="str">
        <f t="shared" si="1066"/>
        <v/>
      </c>
      <c r="T6799" t="str">
        <f t="shared" si="1067"/>
        <v/>
      </c>
      <c r="U6799" t="str">
        <f t="shared" si="1068"/>
        <v/>
      </c>
      <c r="V6799" t="str">
        <f t="shared" si="1069"/>
        <v/>
      </c>
      <c r="W6799" t="str">
        <f t="shared" si="1070"/>
        <v/>
      </c>
      <c r="X6799">
        <f t="shared" si="1060"/>
        <v>0</v>
      </c>
      <c r="Z6799" t="str">
        <f t="shared" si="1071"/>
        <v/>
      </c>
      <c r="AA6799">
        <f t="shared" si="1061"/>
        <v>0</v>
      </c>
    </row>
    <row r="6800" spans="1:27" ht="21" customHeight="1" x14ac:dyDescent="0.95">
      <c r="A6800" s="56"/>
      <c r="B6800" s="57"/>
      <c r="C6800" s="57"/>
      <c r="D6800" s="57"/>
      <c r="E6800" s="56"/>
      <c r="F6800" s="57"/>
      <c r="G6800" s="57"/>
      <c r="H6800" s="56"/>
      <c r="I6800" s="56"/>
      <c r="J6800" s="58"/>
      <c r="K6800" s="58"/>
      <c r="L6800" s="13" t="str">
        <f t="shared" si="1062"/>
        <v/>
      </c>
      <c r="M6800" s="13" t="str">
        <f t="shared" si="1063"/>
        <v/>
      </c>
      <c r="Q6800" t="str">
        <f t="shared" si="1064"/>
        <v/>
      </c>
      <c r="R6800" t="str">
        <f t="shared" si="1065"/>
        <v/>
      </c>
      <c r="S6800" t="str">
        <f t="shared" si="1066"/>
        <v/>
      </c>
      <c r="T6800" t="str">
        <f t="shared" si="1067"/>
        <v/>
      </c>
      <c r="U6800" t="str">
        <f t="shared" si="1068"/>
        <v/>
      </c>
      <c r="V6800" t="str">
        <f t="shared" si="1069"/>
        <v/>
      </c>
      <c r="W6800" t="str">
        <f t="shared" si="1070"/>
        <v/>
      </c>
      <c r="X6800">
        <f t="shared" si="1060"/>
        <v>0</v>
      </c>
      <c r="Z6800" t="str">
        <f t="shared" si="1071"/>
        <v/>
      </c>
      <c r="AA6800">
        <f t="shared" si="1061"/>
        <v>0</v>
      </c>
    </row>
    <row r="6801" spans="1:27" ht="21" customHeight="1" x14ac:dyDescent="0.95">
      <c r="A6801" s="56"/>
      <c r="B6801" s="57"/>
      <c r="C6801" s="57"/>
      <c r="D6801" s="57"/>
      <c r="E6801" s="56"/>
      <c r="F6801" s="57"/>
      <c r="G6801" s="57"/>
      <c r="H6801" s="56"/>
      <c r="I6801" s="56"/>
      <c r="J6801" s="58"/>
      <c r="K6801" s="58"/>
      <c r="L6801" s="13" t="str">
        <f t="shared" si="1062"/>
        <v/>
      </c>
      <c r="M6801" s="13" t="str">
        <f t="shared" si="1063"/>
        <v/>
      </c>
      <c r="Q6801" t="str">
        <f t="shared" si="1064"/>
        <v/>
      </c>
      <c r="R6801" t="str">
        <f t="shared" si="1065"/>
        <v/>
      </c>
      <c r="S6801" t="str">
        <f t="shared" si="1066"/>
        <v/>
      </c>
      <c r="T6801" t="str">
        <f t="shared" si="1067"/>
        <v/>
      </c>
      <c r="U6801" t="str">
        <f t="shared" si="1068"/>
        <v/>
      </c>
      <c r="V6801" t="str">
        <f t="shared" si="1069"/>
        <v/>
      </c>
      <c r="W6801" t="str">
        <f t="shared" si="1070"/>
        <v/>
      </c>
      <c r="X6801">
        <f t="shared" si="1060"/>
        <v>0</v>
      </c>
      <c r="Z6801" t="str">
        <f t="shared" si="1071"/>
        <v/>
      </c>
      <c r="AA6801">
        <f t="shared" si="1061"/>
        <v>0</v>
      </c>
    </row>
    <row r="6802" spans="1:27" ht="21" customHeight="1" x14ac:dyDescent="0.95">
      <c r="A6802" s="56"/>
      <c r="B6802" s="57"/>
      <c r="C6802" s="57"/>
      <c r="D6802" s="57"/>
      <c r="E6802" s="56"/>
      <c r="F6802" s="57"/>
      <c r="G6802" s="57"/>
      <c r="H6802" s="56"/>
      <c r="I6802" s="56"/>
      <c r="J6802" s="58"/>
      <c r="K6802" s="58"/>
      <c r="L6802" s="13" t="str">
        <f t="shared" si="1062"/>
        <v/>
      </c>
      <c r="M6802" s="13" t="str">
        <f t="shared" si="1063"/>
        <v/>
      </c>
      <c r="Q6802" t="str">
        <f t="shared" si="1064"/>
        <v/>
      </c>
      <c r="R6802" t="str">
        <f t="shared" si="1065"/>
        <v/>
      </c>
      <c r="S6802" t="str">
        <f t="shared" si="1066"/>
        <v/>
      </c>
      <c r="T6802" t="str">
        <f t="shared" si="1067"/>
        <v/>
      </c>
      <c r="U6802" t="str">
        <f t="shared" si="1068"/>
        <v/>
      </c>
      <c r="V6802" t="str">
        <f t="shared" si="1069"/>
        <v/>
      </c>
      <c r="W6802" t="str">
        <f t="shared" si="1070"/>
        <v/>
      </c>
      <c r="X6802">
        <f t="shared" si="1060"/>
        <v>0</v>
      </c>
      <c r="Z6802" t="str">
        <f t="shared" si="1071"/>
        <v/>
      </c>
      <c r="AA6802">
        <f t="shared" si="1061"/>
        <v>0</v>
      </c>
    </row>
    <row r="6803" spans="1:27" ht="21" customHeight="1" x14ac:dyDescent="0.95">
      <c r="A6803" s="56"/>
      <c r="B6803" s="57"/>
      <c r="C6803" s="57"/>
      <c r="D6803" s="57"/>
      <c r="E6803" s="56"/>
      <c r="F6803" s="57"/>
      <c r="G6803" s="57"/>
      <c r="H6803" s="56"/>
      <c r="I6803" s="56"/>
      <c r="J6803" s="58"/>
      <c r="K6803" s="58"/>
      <c r="L6803" s="13" t="str">
        <f t="shared" si="1062"/>
        <v/>
      </c>
      <c r="M6803" s="13" t="str">
        <f t="shared" si="1063"/>
        <v/>
      </c>
      <c r="Q6803" t="str">
        <f t="shared" si="1064"/>
        <v/>
      </c>
      <c r="R6803" t="str">
        <f t="shared" si="1065"/>
        <v/>
      </c>
      <c r="S6803" t="str">
        <f t="shared" si="1066"/>
        <v/>
      </c>
      <c r="T6803" t="str">
        <f t="shared" si="1067"/>
        <v/>
      </c>
      <c r="U6803" t="str">
        <f t="shared" si="1068"/>
        <v/>
      </c>
      <c r="V6803" t="str">
        <f t="shared" si="1069"/>
        <v/>
      </c>
      <c r="W6803" t="str">
        <f t="shared" si="1070"/>
        <v/>
      </c>
      <c r="X6803">
        <f t="shared" si="1060"/>
        <v>0</v>
      </c>
      <c r="Z6803" t="str">
        <f t="shared" si="1071"/>
        <v/>
      </c>
      <c r="AA6803">
        <f t="shared" si="1061"/>
        <v>0</v>
      </c>
    </row>
    <row r="6804" spans="1:27" ht="21" customHeight="1" x14ac:dyDescent="0.95">
      <c r="A6804" s="56"/>
      <c r="B6804" s="57"/>
      <c r="C6804" s="57"/>
      <c r="D6804" s="57"/>
      <c r="E6804" s="56"/>
      <c r="F6804" s="57"/>
      <c r="G6804" s="57"/>
      <c r="H6804" s="56"/>
      <c r="I6804" s="56"/>
      <c r="J6804" s="58"/>
      <c r="K6804" s="58"/>
      <c r="L6804" s="13" t="str">
        <f t="shared" si="1062"/>
        <v/>
      </c>
      <c r="M6804" s="13" t="str">
        <f t="shared" si="1063"/>
        <v/>
      </c>
      <c r="Q6804" t="str">
        <f t="shared" si="1064"/>
        <v/>
      </c>
      <c r="R6804" t="str">
        <f t="shared" si="1065"/>
        <v/>
      </c>
      <c r="S6804" t="str">
        <f t="shared" si="1066"/>
        <v/>
      </c>
      <c r="T6804" t="str">
        <f t="shared" si="1067"/>
        <v/>
      </c>
      <c r="U6804" t="str">
        <f t="shared" si="1068"/>
        <v/>
      </c>
      <c r="V6804" t="str">
        <f t="shared" si="1069"/>
        <v/>
      </c>
      <c r="W6804" t="str">
        <f t="shared" si="1070"/>
        <v/>
      </c>
      <c r="X6804">
        <f t="shared" si="1060"/>
        <v>0</v>
      </c>
      <c r="Z6804" t="str">
        <f t="shared" si="1071"/>
        <v/>
      </c>
      <c r="AA6804">
        <f t="shared" si="1061"/>
        <v>0</v>
      </c>
    </row>
    <row r="6805" spans="1:27" ht="21" customHeight="1" x14ac:dyDescent="0.95">
      <c r="A6805" s="56"/>
      <c r="B6805" s="57"/>
      <c r="C6805" s="57"/>
      <c r="D6805" s="57"/>
      <c r="E6805" s="56"/>
      <c r="F6805" s="57"/>
      <c r="G6805" s="57"/>
      <c r="H6805" s="56"/>
      <c r="I6805" s="56"/>
      <c r="J6805" s="58"/>
      <c r="K6805" s="58"/>
      <c r="L6805" s="13" t="str">
        <f t="shared" si="1062"/>
        <v/>
      </c>
      <c r="M6805" s="13" t="str">
        <f t="shared" si="1063"/>
        <v/>
      </c>
      <c r="Q6805" t="str">
        <f t="shared" si="1064"/>
        <v/>
      </c>
      <c r="R6805" t="str">
        <f t="shared" si="1065"/>
        <v/>
      </c>
      <c r="S6805" t="str">
        <f t="shared" si="1066"/>
        <v/>
      </c>
      <c r="T6805" t="str">
        <f t="shared" si="1067"/>
        <v/>
      </c>
      <c r="U6805" t="str">
        <f t="shared" si="1068"/>
        <v/>
      </c>
      <c r="V6805" t="str">
        <f t="shared" si="1069"/>
        <v/>
      </c>
      <c r="W6805" t="str">
        <f t="shared" si="1070"/>
        <v/>
      </c>
      <c r="X6805">
        <f t="shared" si="1060"/>
        <v>0</v>
      </c>
      <c r="Z6805" t="str">
        <f t="shared" si="1071"/>
        <v/>
      </c>
      <c r="AA6805">
        <f t="shared" si="1061"/>
        <v>0</v>
      </c>
    </row>
    <row r="6806" spans="1:27" ht="21" customHeight="1" x14ac:dyDescent="0.95">
      <c r="A6806" s="56"/>
      <c r="B6806" s="57"/>
      <c r="C6806" s="57"/>
      <c r="D6806" s="57"/>
      <c r="E6806" s="56"/>
      <c r="F6806" s="57"/>
      <c r="G6806" s="57"/>
      <c r="H6806" s="56"/>
      <c r="I6806" s="56"/>
      <c r="J6806" s="58"/>
      <c r="K6806" s="58"/>
      <c r="L6806" s="13" t="str">
        <f t="shared" si="1062"/>
        <v/>
      </c>
      <c r="M6806" s="13" t="str">
        <f t="shared" si="1063"/>
        <v/>
      </c>
      <c r="Q6806" t="str">
        <f t="shared" si="1064"/>
        <v/>
      </c>
      <c r="R6806" t="str">
        <f t="shared" si="1065"/>
        <v/>
      </c>
      <c r="S6806" t="str">
        <f t="shared" si="1066"/>
        <v/>
      </c>
      <c r="T6806" t="str">
        <f t="shared" si="1067"/>
        <v/>
      </c>
      <c r="U6806" t="str">
        <f t="shared" si="1068"/>
        <v/>
      </c>
      <c r="V6806" t="str">
        <f t="shared" si="1069"/>
        <v/>
      </c>
      <c r="W6806" t="str">
        <f t="shared" si="1070"/>
        <v/>
      </c>
      <c r="X6806">
        <f t="shared" si="1060"/>
        <v>0</v>
      </c>
      <c r="Z6806" t="str">
        <f t="shared" si="1071"/>
        <v/>
      </c>
      <c r="AA6806">
        <f t="shared" si="1061"/>
        <v>0</v>
      </c>
    </row>
    <row r="6807" spans="1:27" ht="21" customHeight="1" x14ac:dyDescent="0.95">
      <c r="A6807" s="56"/>
      <c r="B6807" s="57"/>
      <c r="C6807" s="57"/>
      <c r="D6807" s="57"/>
      <c r="E6807" s="56"/>
      <c r="F6807" s="57"/>
      <c r="G6807" s="57"/>
      <c r="H6807" s="56"/>
      <c r="I6807" s="56"/>
      <c r="J6807" s="58"/>
      <c r="K6807" s="58"/>
      <c r="L6807" s="13" t="str">
        <f t="shared" si="1062"/>
        <v/>
      </c>
      <c r="M6807" s="13" t="str">
        <f t="shared" si="1063"/>
        <v/>
      </c>
      <c r="Q6807" t="str">
        <f t="shared" si="1064"/>
        <v/>
      </c>
      <c r="R6807" t="str">
        <f t="shared" si="1065"/>
        <v/>
      </c>
      <c r="S6807" t="str">
        <f t="shared" si="1066"/>
        <v/>
      </c>
      <c r="T6807" t="str">
        <f t="shared" si="1067"/>
        <v/>
      </c>
      <c r="U6807" t="str">
        <f t="shared" si="1068"/>
        <v/>
      </c>
      <c r="V6807" t="str">
        <f t="shared" si="1069"/>
        <v/>
      </c>
      <c r="W6807" t="str">
        <f t="shared" si="1070"/>
        <v/>
      </c>
      <c r="X6807">
        <f t="shared" si="1060"/>
        <v>0</v>
      </c>
      <c r="Z6807" t="str">
        <f t="shared" si="1071"/>
        <v/>
      </c>
      <c r="AA6807">
        <f t="shared" si="1061"/>
        <v>0</v>
      </c>
    </row>
    <row r="6808" spans="1:27" ht="21" customHeight="1" x14ac:dyDescent="0.95">
      <c r="A6808" s="56"/>
      <c r="B6808" s="57"/>
      <c r="C6808" s="57"/>
      <c r="D6808" s="57"/>
      <c r="E6808" s="56"/>
      <c r="F6808" s="57"/>
      <c r="G6808" s="57"/>
      <c r="H6808" s="56"/>
      <c r="I6808" s="56"/>
      <c r="J6808" s="58"/>
      <c r="K6808" s="58"/>
      <c r="L6808" s="13" t="str">
        <f t="shared" si="1062"/>
        <v/>
      </c>
      <c r="M6808" s="13" t="str">
        <f t="shared" si="1063"/>
        <v/>
      </c>
      <c r="Q6808" t="str">
        <f t="shared" si="1064"/>
        <v/>
      </c>
      <c r="R6808" t="str">
        <f t="shared" si="1065"/>
        <v/>
      </c>
      <c r="S6808" t="str">
        <f t="shared" si="1066"/>
        <v/>
      </c>
      <c r="T6808" t="str">
        <f t="shared" si="1067"/>
        <v/>
      </c>
      <c r="U6808" t="str">
        <f t="shared" si="1068"/>
        <v/>
      </c>
      <c r="V6808" t="str">
        <f t="shared" si="1069"/>
        <v/>
      </c>
      <c r="W6808" t="str">
        <f t="shared" si="1070"/>
        <v/>
      </c>
      <c r="X6808">
        <f t="shared" si="1060"/>
        <v>0</v>
      </c>
      <c r="Z6808" t="str">
        <f t="shared" si="1071"/>
        <v/>
      </c>
      <c r="AA6808">
        <f t="shared" si="1061"/>
        <v>0</v>
      </c>
    </row>
    <row r="6809" spans="1:27" ht="21" customHeight="1" x14ac:dyDescent="0.95">
      <c r="A6809" s="56"/>
      <c r="B6809" s="57"/>
      <c r="C6809" s="57"/>
      <c r="D6809" s="57"/>
      <c r="E6809" s="56"/>
      <c r="F6809" s="57"/>
      <c r="G6809" s="57"/>
      <c r="H6809" s="56"/>
      <c r="I6809" s="56"/>
      <c r="J6809" s="58"/>
      <c r="K6809" s="58"/>
      <c r="L6809" s="13" t="str">
        <f t="shared" si="1062"/>
        <v/>
      </c>
      <c r="M6809" s="13" t="str">
        <f t="shared" si="1063"/>
        <v/>
      </c>
      <c r="Q6809" t="str">
        <f t="shared" si="1064"/>
        <v/>
      </c>
      <c r="R6809" t="str">
        <f t="shared" si="1065"/>
        <v/>
      </c>
      <c r="S6809" t="str">
        <f t="shared" si="1066"/>
        <v/>
      </c>
      <c r="T6809" t="str">
        <f t="shared" si="1067"/>
        <v/>
      </c>
      <c r="U6809" t="str">
        <f t="shared" si="1068"/>
        <v/>
      </c>
      <c r="V6809" t="str">
        <f t="shared" si="1069"/>
        <v/>
      </c>
      <c r="W6809" t="str">
        <f t="shared" si="1070"/>
        <v/>
      </c>
      <c r="X6809">
        <f t="shared" si="1060"/>
        <v>0</v>
      </c>
      <c r="Z6809" t="str">
        <f t="shared" si="1071"/>
        <v/>
      </c>
      <c r="AA6809">
        <f t="shared" si="1061"/>
        <v>0</v>
      </c>
    </row>
    <row r="6810" spans="1:27" ht="21" customHeight="1" x14ac:dyDescent="0.95">
      <c r="A6810" s="56"/>
      <c r="B6810" s="57"/>
      <c r="C6810" s="57"/>
      <c r="D6810" s="57"/>
      <c r="E6810" s="56"/>
      <c r="F6810" s="57"/>
      <c r="G6810" s="57"/>
      <c r="H6810" s="56"/>
      <c r="I6810" s="56"/>
      <c r="J6810" s="58"/>
      <c r="K6810" s="58"/>
      <c r="L6810" s="13" t="str">
        <f t="shared" si="1062"/>
        <v/>
      </c>
      <c r="M6810" s="13" t="str">
        <f t="shared" si="1063"/>
        <v/>
      </c>
      <c r="Q6810" t="str">
        <f t="shared" si="1064"/>
        <v/>
      </c>
      <c r="R6810" t="str">
        <f t="shared" si="1065"/>
        <v/>
      </c>
      <c r="S6810" t="str">
        <f t="shared" si="1066"/>
        <v/>
      </c>
      <c r="T6810" t="str">
        <f t="shared" si="1067"/>
        <v/>
      </c>
      <c r="U6810" t="str">
        <f t="shared" si="1068"/>
        <v/>
      </c>
      <c r="V6810" t="str">
        <f t="shared" si="1069"/>
        <v/>
      </c>
      <c r="W6810" t="str">
        <f t="shared" si="1070"/>
        <v/>
      </c>
      <c r="X6810">
        <f t="shared" si="1060"/>
        <v>0</v>
      </c>
      <c r="Z6810" t="str">
        <f t="shared" si="1071"/>
        <v/>
      </c>
      <c r="AA6810">
        <f t="shared" si="1061"/>
        <v>0</v>
      </c>
    </row>
    <row r="6811" spans="1:27" ht="21" customHeight="1" x14ac:dyDescent="0.95">
      <c r="A6811" s="56"/>
      <c r="B6811" s="57"/>
      <c r="C6811" s="57"/>
      <c r="D6811" s="57"/>
      <c r="E6811" s="56"/>
      <c r="F6811" s="57"/>
      <c r="G6811" s="57"/>
      <c r="H6811" s="56"/>
      <c r="I6811" s="56"/>
      <c r="J6811" s="58"/>
      <c r="K6811" s="58"/>
      <c r="L6811" s="13" t="str">
        <f t="shared" si="1062"/>
        <v/>
      </c>
      <c r="M6811" s="13" t="str">
        <f t="shared" si="1063"/>
        <v/>
      </c>
      <c r="Q6811" t="str">
        <f t="shared" si="1064"/>
        <v/>
      </c>
      <c r="R6811" t="str">
        <f t="shared" si="1065"/>
        <v/>
      </c>
      <c r="S6811" t="str">
        <f t="shared" si="1066"/>
        <v/>
      </c>
      <c r="T6811" t="str">
        <f t="shared" si="1067"/>
        <v/>
      </c>
      <c r="U6811" t="str">
        <f t="shared" si="1068"/>
        <v/>
      </c>
      <c r="V6811" t="str">
        <f t="shared" si="1069"/>
        <v/>
      </c>
      <c r="W6811" t="str">
        <f t="shared" si="1070"/>
        <v/>
      </c>
      <c r="X6811">
        <f t="shared" si="1060"/>
        <v>0</v>
      </c>
      <c r="Z6811" t="str">
        <f t="shared" si="1071"/>
        <v/>
      </c>
      <c r="AA6811">
        <f t="shared" si="1061"/>
        <v>0</v>
      </c>
    </row>
    <row r="6812" spans="1:27" ht="21" customHeight="1" x14ac:dyDescent="0.95">
      <c r="A6812" s="56"/>
      <c r="B6812" s="57"/>
      <c r="C6812" s="57"/>
      <c r="D6812" s="57"/>
      <c r="E6812" s="56"/>
      <c r="F6812" s="57"/>
      <c r="G6812" s="57"/>
      <c r="H6812" s="56"/>
      <c r="I6812" s="56"/>
      <c r="J6812" s="58"/>
      <c r="K6812" s="58"/>
      <c r="L6812" s="13" t="str">
        <f t="shared" si="1062"/>
        <v/>
      </c>
      <c r="M6812" s="13" t="str">
        <f t="shared" si="1063"/>
        <v/>
      </c>
      <c r="Q6812" t="str">
        <f t="shared" si="1064"/>
        <v/>
      </c>
      <c r="R6812" t="str">
        <f t="shared" si="1065"/>
        <v/>
      </c>
      <c r="S6812" t="str">
        <f t="shared" si="1066"/>
        <v/>
      </c>
      <c r="T6812" t="str">
        <f t="shared" si="1067"/>
        <v/>
      </c>
      <c r="U6812" t="str">
        <f t="shared" si="1068"/>
        <v/>
      </c>
      <c r="V6812" t="str">
        <f t="shared" si="1069"/>
        <v/>
      </c>
      <c r="W6812" t="str">
        <f t="shared" si="1070"/>
        <v/>
      </c>
      <c r="X6812">
        <f t="shared" si="1060"/>
        <v>0</v>
      </c>
      <c r="Z6812" t="str">
        <f t="shared" si="1071"/>
        <v/>
      </c>
      <c r="AA6812">
        <f t="shared" si="1061"/>
        <v>0</v>
      </c>
    </row>
    <row r="6813" spans="1:27" ht="21" customHeight="1" x14ac:dyDescent="0.95">
      <c r="A6813" s="56"/>
      <c r="B6813" s="57"/>
      <c r="C6813" s="57"/>
      <c r="D6813" s="57"/>
      <c r="E6813" s="56"/>
      <c r="F6813" s="57"/>
      <c r="G6813" s="57"/>
      <c r="H6813" s="56"/>
      <c r="I6813" s="56"/>
      <c r="J6813" s="58"/>
      <c r="K6813" s="58"/>
      <c r="L6813" s="13" t="str">
        <f t="shared" si="1062"/>
        <v/>
      </c>
      <c r="M6813" s="13" t="str">
        <f t="shared" si="1063"/>
        <v/>
      </c>
      <c r="Q6813" t="str">
        <f t="shared" si="1064"/>
        <v/>
      </c>
      <c r="R6813" t="str">
        <f t="shared" si="1065"/>
        <v/>
      </c>
      <c r="S6813" t="str">
        <f t="shared" si="1066"/>
        <v/>
      </c>
      <c r="T6813" t="str">
        <f t="shared" si="1067"/>
        <v/>
      </c>
      <c r="U6813" t="str">
        <f t="shared" si="1068"/>
        <v/>
      </c>
      <c r="V6813" t="str">
        <f t="shared" si="1069"/>
        <v/>
      </c>
      <c r="W6813" t="str">
        <f t="shared" si="1070"/>
        <v/>
      </c>
      <c r="X6813">
        <f t="shared" si="1060"/>
        <v>0</v>
      </c>
      <c r="Z6813" t="str">
        <f t="shared" si="1071"/>
        <v/>
      </c>
      <c r="AA6813">
        <f t="shared" si="1061"/>
        <v>0</v>
      </c>
    </row>
    <row r="6814" spans="1:27" ht="21" customHeight="1" x14ac:dyDescent="0.95">
      <c r="A6814" s="56"/>
      <c r="B6814" s="57"/>
      <c r="C6814" s="57"/>
      <c r="D6814" s="57"/>
      <c r="E6814" s="56"/>
      <c r="F6814" s="57"/>
      <c r="G6814" s="57"/>
      <c r="H6814" s="56"/>
      <c r="I6814" s="56"/>
      <c r="J6814" s="58"/>
      <c r="K6814" s="58"/>
      <c r="L6814" s="13" t="str">
        <f t="shared" si="1062"/>
        <v/>
      </c>
      <c r="M6814" s="13" t="str">
        <f t="shared" si="1063"/>
        <v/>
      </c>
      <c r="Q6814" t="str">
        <f t="shared" si="1064"/>
        <v/>
      </c>
      <c r="R6814" t="str">
        <f t="shared" si="1065"/>
        <v/>
      </c>
      <c r="S6814" t="str">
        <f t="shared" si="1066"/>
        <v/>
      </c>
      <c r="T6814" t="str">
        <f t="shared" si="1067"/>
        <v/>
      </c>
      <c r="U6814" t="str">
        <f t="shared" si="1068"/>
        <v/>
      </c>
      <c r="V6814" t="str">
        <f t="shared" si="1069"/>
        <v/>
      </c>
      <c r="W6814" t="str">
        <f t="shared" si="1070"/>
        <v/>
      </c>
      <c r="X6814">
        <f t="shared" si="1060"/>
        <v>0</v>
      </c>
      <c r="Z6814" t="str">
        <f t="shared" si="1071"/>
        <v/>
      </c>
      <c r="AA6814">
        <f t="shared" si="1061"/>
        <v>0</v>
      </c>
    </row>
    <row r="6815" spans="1:27" ht="21" customHeight="1" x14ac:dyDescent="0.95">
      <c r="A6815" s="56"/>
      <c r="B6815" s="57"/>
      <c r="C6815" s="57"/>
      <c r="D6815" s="57"/>
      <c r="E6815" s="56"/>
      <c r="F6815" s="57"/>
      <c r="G6815" s="57"/>
      <c r="H6815" s="56"/>
      <c r="I6815" s="56"/>
      <c r="J6815" s="58"/>
      <c r="K6815" s="58"/>
      <c r="L6815" s="13" t="str">
        <f t="shared" si="1062"/>
        <v/>
      </c>
      <c r="M6815" s="13" t="str">
        <f t="shared" si="1063"/>
        <v/>
      </c>
      <c r="Q6815" t="str">
        <f t="shared" si="1064"/>
        <v/>
      </c>
      <c r="R6815" t="str">
        <f t="shared" si="1065"/>
        <v/>
      </c>
      <c r="S6815" t="str">
        <f t="shared" si="1066"/>
        <v/>
      </c>
      <c r="T6815" t="str">
        <f t="shared" si="1067"/>
        <v/>
      </c>
      <c r="U6815" t="str">
        <f t="shared" si="1068"/>
        <v/>
      </c>
      <c r="V6815" t="str">
        <f t="shared" si="1069"/>
        <v/>
      </c>
      <c r="W6815" t="str">
        <f t="shared" si="1070"/>
        <v/>
      </c>
      <c r="X6815">
        <f t="shared" si="1060"/>
        <v>0</v>
      </c>
      <c r="Z6815" t="str">
        <f t="shared" si="1071"/>
        <v/>
      </c>
      <c r="AA6815">
        <f t="shared" si="1061"/>
        <v>0</v>
      </c>
    </row>
    <row r="6816" spans="1:27" ht="21" customHeight="1" x14ac:dyDescent="0.95">
      <c r="A6816" s="56"/>
      <c r="B6816" s="57"/>
      <c r="C6816" s="57"/>
      <c r="D6816" s="57"/>
      <c r="E6816" s="56"/>
      <c r="F6816" s="57"/>
      <c r="G6816" s="57"/>
      <c r="H6816" s="56"/>
      <c r="I6816" s="56"/>
      <c r="J6816" s="58"/>
      <c r="K6816" s="58"/>
      <c r="L6816" s="13" t="str">
        <f t="shared" si="1062"/>
        <v/>
      </c>
      <c r="M6816" s="13" t="str">
        <f t="shared" si="1063"/>
        <v/>
      </c>
      <c r="Q6816" t="str">
        <f t="shared" si="1064"/>
        <v/>
      </c>
      <c r="R6816" t="str">
        <f t="shared" si="1065"/>
        <v/>
      </c>
      <c r="S6816" t="str">
        <f t="shared" si="1066"/>
        <v/>
      </c>
      <c r="T6816" t="str">
        <f t="shared" si="1067"/>
        <v/>
      </c>
      <c r="U6816" t="str">
        <f t="shared" si="1068"/>
        <v/>
      </c>
      <c r="V6816" t="str">
        <f t="shared" si="1069"/>
        <v/>
      </c>
      <c r="W6816" t="str">
        <f t="shared" si="1070"/>
        <v/>
      </c>
      <c r="X6816">
        <f t="shared" si="1060"/>
        <v>0</v>
      </c>
      <c r="Z6816" t="str">
        <f t="shared" si="1071"/>
        <v/>
      </c>
      <c r="AA6816">
        <f t="shared" si="1061"/>
        <v>0</v>
      </c>
    </row>
    <row r="6817" spans="1:27" ht="21" customHeight="1" x14ac:dyDescent="0.95">
      <c r="A6817" s="56"/>
      <c r="B6817" s="57"/>
      <c r="C6817" s="57"/>
      <c r="D6817" s="57"/>
      <c r="E6817" s="56"/>
      <c r="F6817" s="57"/>
      <c r="G6817" s="57"/>
      <c r="H6817" s="56"/>
      <c r="I6817" s="56"/>
      <c r="J6817" s="58"/>
      <c r="K6817" s="58"/>
      <c r="L6817" s="13" t="str">
        <f t="shared" si="1062"/>
        <v/>
      </c>
      <c r="M6817" s="13" t="str">
        <f t="shared" si="1063"/>
        <v/>
      </c>
      <c r="Q6817" t="str">
        <f t="shared" si="1064"/>
        <v/>
      </c>
      <c r="R6817" t="str">
        <f t="shared" si="1065"/>
        <v/>
      </c>
      <c r="S6817" t="str">
        <f t="shared" si="1066"/>
        <v/>
      </c>
      <c r="T6817" t="str">
        <f t="shared" si="1067"/>
        <v/>
      </c>
      <c r="U6817" t="str">
        <f t="shared" si="1068"/>
        <v/>
      </c>
      <c r="V6817" t="str">
        <f t="shared" si="1069"/>
        <v/>
      </c>
      <c r="W6817" t="str">
        <f t="shared" si="1070"/>
        <v/>
      </c>
      <c r="X6817">
        <f t="shared" si="1060"/>
        <v>0</v>
      </c>
      <c r="Z6817" t="str">
        <f t="shared" si="1071"/>
        <v/>
      </c>
      <c r="AA6817">
        <f t="shared" si="1061"/>
        <v>0</v>
      </c>
    </row>
    <row r="6818" spans="1:27" ht="21" customHeight="1" x14ac:dyDescent="0.95">
      <c r="A6818" s="56"/>
      <c r="B6818" s="57"/>
      <c r="C6818" s="57"/>
      <c r="D6818" s="57"/>
      <c r="E6818" s="56"/>
      <c r="F6818" s="57"/>
      <c r="G6818" s="57"/>
      <c r="H6818" s="56"/>
      <c r="I6818" s="56"/>
      <c r="J6818" s="58"/>
      <c r="K6818" s="58"/>
      <c r="L6818" s="13" t="str">
        <f t="shared" si="1062"/>
        <v/>
      </c>
      <c r="M6818" s="13" t="str">
        <f t="shared" si="1063"/>
        <v/>
      </c>
      <c r="Q6818" t="str">
        <f t="shared" si="1064"/>
        <v/>
      </c>
      <c r="R6818" t="str">
        <f t="shared" si="1065"/>
        <v/>
      </c>
      <c r="S6818" t="str">
        <f t="shared" si="1066"/>
        <v/>
      </c>
      <c r="T6818" t="str">
        <f t="shared" si="1067"/>
        <v/>
      </c>
      <c r="U6818" t="str">
        <f t="shared" si="1068"/>
        <v/>
      </c>
      <c r="V6818" t="str">
        <f t="shared" si="1069"/>
        <v/>
      </c>
      <c r="W6818" t="str">
        <f t="shared" si="1070"/>
        <v/>
      </c>
      <c r="X6818">
        <f t="shared" si="1060"/>
        <v>0</v>
      </c>
      <c r="Z6818" t="str">
        <f t="shared" si="1071"/>
        <v/>
      </c>
      <c r="AA6818">
        <f t="shared" si="1061"/>
        <v>0</v>
      </c>
    </row>
    <row r="6819" spans="1:27" ht="21" customHeight="1" x14ac:dyDescent="0.95">
      <c r="A6819" s="56"/>
      <c r="B6819" s="57"/>
      <c r="C6819" s="57"/>
      <c r="D6819" s="57"/>
      <c r="E6819" s="56"/>
      <c r="F6819" s="57"/>
      <c r="G6819" s="57"/>
      <c r="H6819" s="56"/>
      <c r="I6819" s="56"/>
      <c r="J6819" s="58"/>
      <c r="K6819" s="58"/>
      <c r="L6819" s="13" t="str">
        <f t="shared" si="1062"/>
        <v/>
      </c>
      <c r="M6819" s="13" t="str">
        <f t="shared" si="1063"/>
        <v/>
      </c>
      <c r="Q6819" t="str">
        <f t="shared" si="1064"/>
        <v/>
      </c>
      <c r="R6819" t="str">
        <f t="shared" si="1065"/>
        <v/>
      </c>
      <c r="S6819" t="str">
        <f t="shared" si="1066"/>
        <v/>
      </c>
      <c r="T6819" t="str">
        <f t="shared" si="1067"/>
        <v/>
      </c>
      <c r="U6819" t="str">
        <f t="shared" si="1068"/>
        <v/>
      </c>
      <c r="V6819" t="str">
        <f t="shared" si="1069"/>
        <v/>
      </c>
      <c r="W6819" t="str">
        <f t="shared" si="1070"/>
        <v/>
      </c>
      <c r="X6819">
        <f t="shared" si="1060"/>
        <v>0</v>
      </c>
      <c r="Z6819" t="str">
        <f t="shared" si="1071"/>
        <v/>
      </c>
      <c r="AA6819">
        <f t="shared" si="1061"/>
        <v>0</v>
      </c>
    </row>
    <row r="6820" spans="1:27" ht="21" customHeight="1" x14ac:dyDescent="0.95">
      <c r="A6820" s="56"/>
      <c r="B6820" s="57"/>
      <c r="C6820" s="57"/>
      <c r="D6820" s="57"/>
      <c r="E6820" s="56"/>
      <c r="F6820" s="57"/>
      <c r="G6820" s="57"/>
      <c r="H6820" s="56"/>
      <c r="I6820" s="56"/>
      <c r="J6820" s="58"/>
      <c r="K6820" s="58"/>
      <c r="L6820" s="13" t="str">
        <f t="shared" si="1062"/>
        <v/>
      </c>
      <c r="M6820" s="13" t="str">
        <f t="shared" si="1063"/>
        <v/>
      </c>
      <c r="Q6820" t="str">
        <f t="shared" si="1064"/>
        <v/>
      </c>
      <c r="R6820" t="str">
        <f t="shared" si="1065"/>
        <v/>
      </c>
      <c r="S6820" t="str">
        <f t="shared" si="1066"/>
        <v/>
      </c>
      <c r="T6820" t="str">
        <f t="shared" si="1067"/>
        <v/>
      </c>
      <c r="U6820" t="str">
        <f t="shared" si="1068"/>
        <v/>
      </c>
      <c r="V6820" t="str">
        <f t="shared" si="1069"/>
        <v/>
      </c>
      <c r="W6820" t="str">
        <f t="shared" si="1070"/>
        <v/>
      </c>
      <c r="X6820">
        <f t="shared" si="1060"/>
        <v>0</v>
      </c>
      <c r="Z6820" t="str">
        <f t="shared" si="1071"/>
        <v/>
      </c>
      <c r="AA6820">
        <f t="shared" si="1061"/>
        <v>0</v>
      </c>
    </row>
    <row r="6821" spans="1:27" ht="21" customHeight="1" x14ac:dyDescent="0.95">
      <c r="A6821" s="56"/>
      <c r="B6821" s="57"/>
      <c r="C6821" s="57"/>
      <c r="D6821" s="57"/>
      <c r="E6821" s="56"/>
      <c r="F6821" s="57"/>
      <c r="G6821" s="57"/>
      <c r="H6821" s="56"/>
      <c r="I6821" s="56"/>
      <c r="J6821" s="58"/>
      <c r="K6821" s="58"/>
      <c r="L6821" s="13" t="str">
        <f t="shared" si="1062"/>
        <v/>
      </c>
      <c r="M6821" s="13" t="str">
        <f t="shared" si="1063"/>
        <v/>
      </c>
      <c r="Q6821" t="str">
        <f t="shared" si="1064"/>
        <v/>
      </c>
      <c r="R6821" t="str">
        <f t="shared" si="1065"/>
        <v/>
      </c>
      <c r="S6821" t="str">
        <f t="shared" si="1066"/>
        <v/>
      </c>
      <c r="T6821" t="str">
        <f t="shared" si="1067"/>
        <v/>
      </c>
      <c r="U6821" t="str">
        <f t="shared" si="1068"/>
        <v/>
      </c>
      <c r="V6821" t="str">
        <f t="shared" si="1069"/>
        <v/>
      </c>
      <c r="W6821" t="str">
        <f t="shared" si="1070"/>
        <v/>
      </c>
      <c r="X6821">
        <f t="shared" si="1060"/>
        <v>0</v>
      </c>
      <c r="Z6821" t="str">
        <f t="shared" si="1071"/>
        <v/>
      </c>
      <c r="AA6821">
        <f t="shared" si="1061"/>
        <v>0</v>
      </c>
    </row>
    <row r="6822" spans="1:27" ht="21" customHeight="1" x14ac:dyDescent="0.95">
      <c r="A6822" s="56"/>
      <c r="B6822" s="57"/>
      <c r="C6822" s="57"/>
      <c r="D6822" s="57"/>
      <c r="E6822" s="56"/>
      <c r="F6822" s="57"/>
      <c r="G6822" s="57"/>
      <c r="H6822" s="56"/>
      <c r="I6822" s="56"/>
      <c r="J6822" s="58"/>
      <c r="K6822" s="58"/>
      <c r="L6822" s="13" t="str">
        <f t="shared" si="1062"/>
        <v/>
      </c>
      <c r="M6822" s="13" t="str">
        <f t="shared" si="1063"/>
        <v/>
      </c>
      <c r="Q6822" t="str">
        <f t="shared" si="1064"/>
        <v/>
      </c>
      <c r="R6822" t="str">
        <f t="shared" si="1065"/>
        <v/>
      </c>
      <c r="S6822" t="str">
        <f t="shared" si="1066"/>
        <v/>
      </c>
      <c r="T6822" t="str">
        <f t="shared" si="1067"/>
        <v/>
      </c>
      <c r="U6822" t="str">
        <f t="shared" si="1068"/>
        <v/>
      </c>
      <c r="V6822" t="str">
        <f t="shared" si="1069"/>
        <v/>
      </c>
      <c r="W6822" t="str">
        <f t="shared" si="1070"/>
        <v/>
      </c>
      <c r="X6822">
        <f t="shared" si="1060"/>
        <v>0</v>
      </c>
      <c r="Z6822" t="str">
        <f t="shared" si="1071"/>
        <v/>
      </c>
      <c r="AA6822">
        <f t="shared" si="1061"/>
        <v>0</v>
      </c>
    </row>
    <row r="6823" spans="1:27" ht="21" customHeight="1" x14ac:dyDescent="0.95">
      <c r="A6823" s="56"/>
      <c r="B6823" s="57"/>
      <c r="C6823" s="57"/>
      <c r="D6823" s="57"/>
      <c r="E6823" s="56"/>
      <c r="F6823" s="57"/>
      <c r="G6823" s="57"/>
      <c r="H6823" s="56"/>
      <c r="I6823" s="56"/>
      <c r="J6823" s="58"/>
      <c r="K6823" s="58"/>
      <c r="L6823" s="13" t="str">
        <f t="shared" si="1062"/>
        <v/>
      </c>
      <c r="M6823" s="13" t="str">
        <f t="shared" si="1063"/>
        <v/>
      </c>
      <c r="Q6823" t="str">
        <f t="shared" si="1064"/>
        <v/>
      </c>
      <c r="R6823" t="str">
        <f t="shared" si="1065"/>
        <v/>
      </c>
      <c r="S6823" t="str">
        <f t="shared" si="1066"/>
        <v/>
      </c>
      <c r="T6823" t="str">
        <f t="shared" si="1067"/>
        <v/>
      </c>
      <c r="U6823" t="str">
        <f t="shared" si="1068"/>
        <v/>
      </c>
      <c r="V6823" t="str">
        <f t="shared" si="1069"/>
        <v/>
      </c>
      <c r="W6823" t="str">
        <f t="shared" si="1070"/>
        <v/>
      </c>
      <c r="X6823">
        <f t="shared" si="1060"/>
        <v>0</v>
      </c>
      <c r="Z6823" t="str">
        <f t="shared" si="1071"/>
        <v/>
      </c>
      <c r="AA6823">
        <f t="shared" si="1061"/>
        <v>0</v>
      </c>
    </row>
    <row r="6824" spans="1:27" ht="21" customHeight="1" x14ac:dyDescent="0.95">
      <c r="A6824" s="56"/>
      <c r="B6824" s="57"/>
      <c r="C6824" s="57"/>
      <c r="D6824" s="57"/>
      <c r="E6824" s="56"/>
      <c r="F6824" s="57"/>
      <c r="G6824" s="57"/>
      <c r="H6824" s="56"/>
      <c r="I6824" s="56"/>
      <c r="J6824" s="58"/>
      <c r="K6824" s="58"/>
      <c r="L6824" s="13" t="str">
        <f t="shared" si="1062"/>
        <v/>
      </c>
      <c r="M6824" s="13" t="str">
        <f t="shared" si="1063"/>
        <v/>
      </c>
      <c r="Q6824" t="str">
        <f t="shared" si="1064"/>
        <v/>
      </c>
      <c r="R6824" t="str">
        <f t="shared" si="1065"/>
        <v/>
      </c>
      <c r="S6824" t="str">
        <f t="shared" si="1066"/>
        <v/>
      </c>
      <c r="T6824" t="str">
        <f t="shared" si="1067"/>
        <v/>
      </c>
      <c r="U6824" t="str">
        <f t="shared" si="1068"/>
        <v/>
      </c>
      <c r="V6824" t="str">
        <f t="shared" si="1069"/>
        <v/>
      </c>
      <c r="W6824" t="str">
        <f t="shared" si="1070"/>
        <v/>
      </c>
      <c r="X6824">
        <f t="shared" si="1060"/>
        <v>0</v>
      </c>
      <c r="Z6824" t="str">
        <f t="shared" si="1071"/>
        <v/>
      </c>
      <c r="AA6824">
        <f t="shared" si="1061"/>
        <v>0</v>
      </c>
    </row>
    <row r="6825" spans="1:27" ht="21" customHeight="1" x14ac:dyDescent="0.95">
      <c r="A6825" s="56"/>
      <c r="B6825" s="57"/>
      <c r="C6825" s="57"/>
      <c r="D6825" s="57"/>
      <c r="E6825" s="56"/>
      <c r="F6825" s="57"/>
      <c r="G6825" s="57"/>
      <c r="H6825" s="56"/>
      <c r="I6825" s="56"/>
      <c r="J6825" s="58"/>
      <c r="K6825" s="58"/>
      <c r="L6825" s="13" t="str">
        <f t="shared" si="1062"/>
        <v/>
      </c>
      <c r="M6825" s="13" t="str">
        <f t="shared" si="1063"/>
        <v/>
      </c>
      <c r="Q6825" t="str">
        <f t="shared" si="1064"/>
        <v/>
      </c>
      <c r="R6825" t="str">
        <f t="shared" si="1065"/>
        <v/>
      </c>
      <c r="S6825" t="str">
        <f t="shared" si="1066"/>
        <v/>
      </c>
      <c r="T6825" t="str">
        <f t="shared" si="1067"/>
        <v/>
      </c>
      <c r="U6825" t="str">
        <f t="shared" si="1068"/>
        <v/>
      </c>
      <c r="V6825" t="str">
        <f t="shared" si="1069"/>
        <v/>
      </c>
      <c r="W6825" t="str">
        <f t="shared" si="1070"/>
        <v/>
      </c>
      <c r="X6825">
        <f t="shared" si="1060"/>
        <v>0</v>
      </c>
      <c r="Z6825" t="str">
        <f t="shared" si="1071"/>
        <v/>
      </c>
      <c r="AA6825">
        <f t="shared" si="1061"/>
        <v>0</v>
      </c>
    </row>
    <row r="6826" spans="1:27" ht="21" customHeight="1" x14ac:dyDescent="0.95">
      <c r="A6826" s="56"/>
      <c r="B6826" s="57"/>
      <c r="C6826" s="57"/>
      <c r="D6826" s="57"/>
      <c r="E6826" s="56"/>
      <c r="F6826" s="57"/>
      <c r="G6826" s="57"/>
      <c r="H6826" s="56"/>
      <c r="I6826" s="56"/>
      <c r="J6826" s="58"/>
      <c r="K6826" s="58"/>
      <c r="L6826" s="13" t="str">
        <f t="shared" si="1062"/>
        <v/>
      </c>
      <c r="M6826" s="13" t="str">
        <f t="shared" si="1063"/>
        <v/>
      </c>
      <c r="Q6826" t="str">
        <f t="shared" si="1064"/>
        <v/>
      </c>
      <c r="R6826" t="str">
        <f t="shared" si="1065"/>
        <v/>
      </c>
      <c r="S6826" t="str">
        <f t="shared" si="1066"/>
        <v/>
      </c>
      <c r="T6826" t="str">
        <f t="shared" si="1067"/>
        <v/>
      </c>
      <c r="U6826" t="str">
        <f t="shared" si="1068"/>
        <v/>
      </c>
      <c r="V6826" t="str">
        <f t="shared" si="1069"/>
        <v/>
      </c>
      <c r="W6826" t="str">
        <f t="shared" si="1070"/>
        <v/>
      </c>
      <c r="X6826">
        <f t="shared" si="1060"/>
        <v>0</v>
      </c>
      <c r="Z6826" t="str">
        <f t="shared" si="1071"/>
        <v/>
      </c>
      <c r="AA6826">
        <f t="shared" si="1061"/>
        <v>0</v>
      </c>
    </row>
    <row r="6827" spans="1:27" ht="21" customHeight="1" x14ac:dyDescent="0.95">
      <c r="A6827" s="56"/>
      <c r="B6827" s="57"/>
      <c r="C6827" s="57"/>
      <c r="D6827" s="57"/>
      <c r="E6827" s="56"/>
      <c r="F6827" s="57"/>
      <c r="G6827" s="57"/>
      <c r="H6827" s="56"/>
      <c r="I6827" s="56"/>
      <c r="J6827" s="58"/>
      <c r="K6827" s="58"/>
      <c r="L6827" s="13" t="str">
        <f t="shared" si="1062"/>
        <v/>
      </c>
      <c r="M6827" s="13" t="str">
        <f t="shared" si="1063"/>
        <v/>
      </c>
      <c r="Q6827" t="str">
        <f t="shared" si="1064"/>
        <v/>
      </c>
      <c r="R6827" t="str">
        <f t="shared" si="1065"/>
        <v/>
      </c>
      <c r="S6827" t="str">
        <f t="shared" si="1066"/>
        <v/>
      </c>
      <c r="T6827" t="str">
        <f t="shared" si="1067"/>
        <v/>
      </c>
      <c r="U6827" t="str">
        <f t="shared" si="1068"/>
        <v/>
      </c>
      <c r="V6827" t="str">
        <f t="shared" si="1069"/>
        <v/>
      </c>
      <c r="W6827" t="str">
        <f t="shared" si="1070"/>
        <v/>
      </c>
      <c r="X6827">
        <f t="shared" si="1060"/>
        <v>0</v>
      </c>
      <c r="Z6827" t="str">
        <f t="shared" si="1071"/>
        <v/>
      </c>
      <c r="AA6827">
        <f t="shared" si="1061"/>
        <v>0</v>
      </c>
    </row>
    <row r="6828" spans="1:27" ht="21" customHeight="1" x14ac:dyDescent="0.95">
      <c r="A6828" s="56"/>
      <c r="B6828" s="57"/>
      <c r="C6828" s="57"/>
      <c r="D6828" s="57"/>
      <c r="E6828" s="56"/>
      <c r="F6828" s="57"/>
      <c r="G6828" s="57"/>
      <c r="H6828" s="56"/>
      <c r="I6828" s="56"/>
      <c r="J6828" s="58"/>
      <c r="K6828" s="58"/>
      <c r="L6828" s="13" t="str">
        <f t="shared" si="1062"/>
        <v/>
      </c>
      <c r="M6828" s="13" t="str">
        <f t="shared" si="1063"/>
        <v/>
      </c>
      <c r="Q6828" t="str">
        <f t="shared" si="1064"/>
        <v/>
      </c>
      <c r="R6828" t="str">
        <f t="shared" si="1065"/>
        <v/>
      </c>
      <c r="S6828" t="str">
        <f t="shared" si="1066"/>
        <v/>
      </c>
      <c r="T6828" t="str">
        <f t="shared" si="1067"/>
        <v/>
      </c>
      <c r="U6828" t="str">
        <f t="shared" si="1068"/>
        <v/>
      </c>
      <c r="V6828" t="str">
        <f t="shared" si="1069"/>
        <v/>
      </c>
      <c r="W6828" t="str">
        <f t="shared" si="1070"/>
        <v/>
      </c>
      <c r="X6828">
        <f t="shared" si="1060"/>
        <v>0</v>
      </c>
      <c r="Z6828" t="str">
        <f t="shared" si="1071"/>
        <v/>
      </c>
      <c r="AA6828">
        <f t="shared" si="1061"/>
        <v>0</v>
      </c>
    </row>
    <row r="6829" spans="1:27" ht="21" customHeight="1" x14ac:dyDescent="0.95">
      <c r="A6829" s="56"/>
      <c r="B6829" s="57"/>
      <c r="C6829" s="57"/>
      <c r="D6829" s="57"/>
      <c r="E6829" s="56"/>
      <c r="F6829" s="57"/>
      <c r="G6829" s="57"/>
      <c r="H6829" s="56"/>
      <c r="I6829" s="56"/>
      <c r="J6829" s="58"/>
      <c r="K6829" s="58"/>
      <c r="L6829" s="13" t="str">
        <f t="shared" si="1062"/>
        <v/>
      </c>
      <c r="M6829" s="13" t="str">
        <f t="shared" si="1063"/>
        <v/>
      </c>
      <c r="Q6829" t="str">
        <f t="shared" si="1064"/>
        <v/>
      </c>
      <c r="R6829" t="str">
        <f t="shared" si="1065"/>
        <v/>
      </c>
      <c r="S6829" t="str">
        <f t="shared" si="1066"/>
        <v/>
      </c>
      <c r="T6829" t="str">
        <f t="shared" si="1067"/>
        <v/>
      </c>
      <c r="U6829" t="str">
        <f t="shared" si="1068"/>
        <v/>
      </c>
      <c r="V6829" t="str">
        <f t="shared" si="1069"/>
        <v/>
      </c>
      <c r="W6829" t="str">
        <f t="shared" si="1070"/>
        <v/>
      </c>
      <c r="X6829">
        <f t="shared" si="1060"/>
        <v>0</v>
      </c>
      <c r="Z6829" t="str">
        <f t="shared" si="1071"/>
        <v/>
      </c>
      <c r="AA6829">
        <f t="shared" si="1061"/>
        <v>0</v>
      </c>
    </row>
    <row r="6830" spans="1:27" ht="21" customHeight="1" x14ac:dyDescent="0.95">
      <c r="A6830" s="56"/>
      <c r="B6830" s="57"/>
      <c r="C6830" s="57"/>
      <c r="D6830" s="57"/>
      <c r="E6830" s="56"/>
      <c r="F6830" s="57"/>
      <c r="G6830" s="57"/>
      <c r="H6830" s="56"/>
      <c r="I6830" s="56"/>
      <c r="J6830" s="58"/>
      <c r="K6830" s="58"/>
      <c r="L6830" s="13" t="str">
        <f t="shared" si="1062"/>
        <v/>
      </c>
      <c r="M6830" s="13" t="str">
        <f t="shared" si="1063"/>
        <v/>
      </c>
      <c r="Q6830" t="str">
        <f t="shared" si="1064"/>
        <v/>
      </c>
      <c r="R6830" t="str">
        <f t="shared" si="1065"/>
        <v/>
      </c>
      <c r="S6830" t="str">
        <f t="shared" si="1066"/>
        <v/>
      </c>
      <c r="T6830" t="str">
        <f t="shared" si="1067"/>
        <v/>
      </c>
      <c r="U6830" t="str">
        <f t="shared" si="1068"/>
        <v/>
      </c>
      <c r="V6830" t="str">
        <f t="shared" si="1069"/>
        <v/>
      </c>
      <c r="W6830" t="str">
        <f t="shared" si="1070"/>
        <v/>
      </c>
      <c r="X6830">
        <f t="shared" si="1060"/>
        <v>0</v>
      </c>
      <c r="Z6830" t="str">
        <f t="shared" si="1071"/>
        <v/>
      </c>
      <c r="AA6830">
        <f t="shared" si="1061"/>
        <v>0</v>
      </c>
    </row>
    <row r="6831" spans="1:27" ht="21" customHeight="1" x14ac:dyDescent="0.95">
      <c r="A6831" s="56"/>
      <c r="B6831" s="57"/>
      <c r="C6831" s="57"/>
      <c r="D6831" s="57"/>
      <c r="E6831" s="56"/>
      <c r="F6831" s="57"/>
      <c r="G6831" s="57"/>
      <c r="H6831" s="56"/>
      <c r="I6831" s="56"/>
      <c r="J6831" s="58"/>
      <c r="K6831" s="58"/>
      <c r="L6831" s="13" t="str">
        <f t="shared" si="1062"/>
        <v/>
      </c>
      <c r="M6831" s="13" t="str">
        <f t="shared" si="1063"/>
        <v/>
      </c>
      <c r="Q6831" t="str">
        <f t="shared" si="1064"/>
        <v/>
      </c>
      <c r="R6831" t="str">
        <f t="shared" si="1065"/>
        <v/>
      </c>
      <c r="S6831" t="str">
        <f t="shared" si="1066"/>
        <v/>
      </c>
      <c r="T6831" t="str">
        <f t="shared" si="1067"/>
        <v/>
      </c>
      <c r="U6831" t="str">
        <f t="shared" si="1068"/>
        <v/>
      </c>
      <c r="V6831" t="str">
        <f t="shared" si="1069"/>
        <v/>
      </c>
      <c r="W6831" t="str">
        <f t="shared" si="1070"/>
        <v/>
      </c>
      <c r="X6831">
        <f t="shared" si="1060"/>
        <v>0</v>
      </c>
      <c r="Z6831" t="str">
        <f t="shared" si="1071"/>
        <v/>
      </c>
      <c r="AA6831">
        <f t="shared" si="1061"/>
        <v>0</v>
      </c>
    </row>
    <row r="6832" spans="1:27" ht="21" customHeight="1" x14ac:dyDescent="0.95">
      <c r="A6832" s="56"/>
      <c r="B6832" s="57"/>
      <c r="C6832" s="57"/>
      <c r="D6832" s="57"/>
      <c r="E6832" s="56"/>
      <c r="F6832" s="57"/>
      <c r="G6832" s="57"/>
      <c r="H6832" s="56"/>
      <c r="I6832" s="56"/>
      <c r="J6832" s="58"/>
      <c r="K6832" s="58"/>
      <c r="L6832" s="13" t="str">
        <f t="shared" si="1062"/>
        <v/>
      </c>
      <c r="M6832" s="13" t="str">
        <f t="shared" si="1063"/>
        <v/>
      </c>
      <c r="Q6832" t="str">
        <f t="shared" si="1064"/>
        <v/>
      </c>
      <c r="R6832" t="str">
        <f t="shared" si="1065"/>
        <v/>
      </c>
      <c r="S6832" t="str">
        <f t="shared" si="1066"/>
        <v/>
      </c>
      <c r="T6832" t="str">
        <f t="shared" si="1067"/>
        <v/>
      </c>
      <c r="U6832" t="str">
        <f t="shared" si="1068"/>
        <v/>
      </c>
      <c r="V6832" t="str">
        <f t="shared" si="1069"/>
        <v/>
      </c>
      <c r="W6832" t="str">
        <f t="shared" si="1070"/>
        <v/>
      </c>
      <c r="X6832">
        <f t="shared" si="1060"/>
        <v>0</v>
      </c>
      <c r="Z6832" t="str">
        <f t="shared" si="1071"/>
        <v/>
      </c>
      <c r="AA6832">
        <f t="shared" si="1061"/>
        <v>0</v>
      </c>
    </row>
    <row r="6833" spans="1:27" ht="21" customHeight="1" x14ac:dyDescent="0.95">
      <c r="A6833" s="56"/>
      <c r="B6833" s="57"/>
      <c r="C6833" s="57"/>
      <c r="D6833" s="57"/>
      <c r="E6833" s="56"/>
      <c r="F6833" s="57"/>
      <c r="G6833" s="57"/>
      <c r="H6833" s="56"/>
      <c r="I6833" s="56"/>
      <c r="J6833" s="58"/>
      <c r="K6833" s="58"/>
      <c r="L6833" s="13" t="str">
        <f t="shared" si="1062"/>
        <v/>
      </c>
      <c r="M6833" s="13" t="str">
        <f t="shared" si="1063"/>
        <v/>
      </c>
      <c r="Q6833" t="str">
        <f t="shared" si="1064"/>
        <v/>
      </c>
      <c r="R6833" t="str">
        <f t="shared" si="1065"/>
        <v/>
      </c>
      <c r="S6833" t="str">
        <f t="shared" si="1066"/>
        <v/>
      </c>
      <c r="T6833" t="str">
        <f t="shared" si="1067"/>
        <v/>
      </c>
      <c r="U6833" t="str">
        <f t="shared" si="1068"/>
        <v/>
      </c>
      <c r="V6833" t="str">
        <f t="shared" si="1069"/>
        <v/>
      </c>
      <c r="W6833" t="str">
        <f t="shared" si="1070"/>
        <v/>
      </c>
      <c r="X6833">
        <f t="shared" si="1060"/>
        <v>0</v>
      </c>
      <c r="Z6833" t="str">
        <f t="shared" si="1071"/>
        <v/>
      </c>
      <c r="AA6833">
        <f t="shared" si="1061"/>
        <v>0</v>
      </c>
    </row>
    <row r="6834" spans="1:27" ht="21" customHeight="1" x14ac:dyDescent="0.95">
      <c r="A6834" s="56"/>
      <c r="B6834" s="57"/>
      <c r="C6834" s="57"/>
      <c r="D6834" s="57"/>
      <c r="E6834" s="56"/>
      <c r="F6834" s="57"/>
      <c r="G6834" s="57"/>
      <c r="H6834" s="56"/>
      <c r="I6834" s="56"/>
      <c r="J6834" s="58"/>
      <c r="K6834" s="58"/>
      <c r="L6834" s="13" t="str">
        <f t="shared" si="1062"/>
        <v/>
      </c>
      <c r="M6834" s="13" t="str">
        <f t="shared" si="1063"/>
        <v/>
      </c>
      <c r="Q6834" t="str">
        <f t="shared" si="1064"/>
        <v/>
      </c>
      <c r="R6834" t="str">
        <f t="shared" si="1065"/>
        <v/>
      </c>
      <c r="S6834" t="str">
        <f t="shared" si="1066"/>
        <v/>
      </c>
      <c r="T6834" t="str">
        <f t="shared" si="1067"/>
        <v/>
      </c>
      <c r="U6834" t="str">
        <f t="shared" si="1068"/>
        <v/>
      </c>
      <c r="V6834" t="str">
        <f t="shared" si="1069"/>
        <v/>
      </c>
      <c r="W6834" t="str">
        <f t="shared" si="1070"/>
        <v/>
      </c>
      <c r="X6834">
        <f t="shared" si="1060"/>
        <v>0</v>
      </c>
      <c r="Z6834" t="str">
        <f t="shared" si="1071"/>
        <v/>
      </c>
      <c r="AA6834">
        <f t="shared" si="1061"/>
        <v>0</v>
      </c>
    </row>
    <row r="6835" spans="1:27" ht="21" customHeight="1" x14ac:dyDescent="0.95">
      <c r="A6835" s="56"/>
      <c r="B6835" s="57"/>
      <c r="C6835" s="57"/>
      <c r="D6835" s="57"/>
      <c r="E6835" s="56"/>
      <c r="F6835" s="57"/>
      <c r="G6835" s="57"/>
      <c r="H6835" s="56"/>
      <c r="I6835" s="56"/>
      <c r="J6835" s="58"/>
      <c r="K6835" s="58"/>
      <c r="L6835" s="13" t="str">
        <f t="shared" si="1062"/>
        <v/>
      </c>
      <c r="M6835" s="13" t="str">
        <f t="shared" si="1063"/>
        <v/>
      </c>
      <c r="Q6835" t="str">
        <f t="shared" si="1064"/>
        <v/>
      </c>
      <c r="R6835" t="str">
        <f t="shared" si="1065"/>
        <v/>
      </c>
      <c r="S6835" t="str">
        <f t="shared" si="1066"/>
        <v/>
      </c>
      <c r="T6835" t="str">
        <f t="shared" si="1067"/>
        <v/>
      </c>
      <c r="U6835" t="str">
        <f t="shared" si="1068"/>
        <v/>
      </c>
      <c r="V6835" t="str">
        <f t="shared" si="1069"/>
        <v/>
      </c>
      <c r="W6835" t="str">
        <f t="shared" si="1070"/>
        <v/>
      </c>
      <c r="X6835">
        <f t="shared" si="1060"/>
        <v>0</v>
      </c>
      <c r="Z6835" t="str">
        <f t="shared" si="1071"/>
        <v/>
      </c>
      <c r="AA6835">
        <f t="shared" si="1061"/>
        <v>0</v>
      </c>
    </row>
    <row r="6836" spans="1:27" ht="21" customHeight="1" x14ac:dyDescent="0.95">
      <c r="A6836" s="56"/>
      <c r="B6836" s="57"/>
      <c r="C6836" s="57"/>
      <c r="D6836" s="57"/>
      <c r="E6836" s="56"/>
      <c r="F6836" s="57"/>
      <c r="G6836" s="57"/>
      <c r="H6836" s="56"/>
      <c r="I6836" s="56"/>
      <c r="J6836" s="58"/>
      <c r="K6836" s="58"/>
      <c r="L6836" s="13" t="str">
        <f t="shared" si="1062"/>
        <v/>
      </c>
      <c r="M6836" s="13" t="str">
        <f t="shared" si="1063"/>
        <v/>
      </c>
      <c r="Q6836" t="str">
        <f t="shared" si="1064"/>
        <v/>
      </c>
      <c r="R6836" t="str">
        <f t="shared" si="1065"/>
        <v/>
      </c>
      <c r="S6836" t="str">
        <f t="shared" si="1066"/>
        <v/>
      </c>
      <c r="T6836" t="str">
        <f t="shared" si="1067"/>
        <v/>
      </c>
      <c r="U6836" t="str">
        <f t="shared" si="1068"/>
        <v/>
      </c>
      <c r="V6836" t="str">
        <f t="shared" si="1069"/>
        <v/>
      </c>
      <c r="W6836" t="str">
        <f t="shared" si="1070"/>
        <v/>
      </c>
      <c r="X6836">
        <f t="shared" si="1060"/>
        <v>0</v>
      </c>
      <c r="Z6836" t="str">
        <f t="shared" si="1071"/>
        <v/>
      </c>
      <c r="AA6836">
        <f t="shared" si="1061"/>
        <v>0</v>
      </c>
    </row>
    <row r="6837" spans="1:27" ht="21" customHeight="1" x14ac:dyDescent="0.95">
      <c r="A6837" s="56"/>
      <c r="B6837" s="57"/>
      <c r="C6837" s="57"/>
      <c r="D6837" s="57"/>
      <c r="E6837" s="56"/>
      <c r="F6837" s="57"/>
      <c r="G6837" s="57"/>
      <c r="H6837" s="56"/>
      <c r="I6837" s="56"/>
      <c r="J6837" s="58"/>
      <c r="K6837" s="58"/>
      <c r="L6837" s="13" t="str">
        <f t="shared" si="1062"/>
        <v/>
      </c>
      <c r="M6837" s="13" t="str">
        <f t="shared" si="1063"/>
        <v/>
      </c>
      <c r="Q6837" t="str">
        <f t="shared" si="1064"/>
        <v/>
      </c>
      <c r="R6837" t="str">
        <f t="shared" si="1065"/>
        <v/>
      </c>
      <c r="S6837" t="str">
        <f t="shared" si="1066"/>
        <v/>
      </c>
      <c r="T6837" t="str">
        <f t="shared" si="1067"/>
        <v/>
      </c>
      <c r="U6837" t="str">
        <f t="shared" si="1068"/>
        <v/>
      </c>
      <c r="V6837" t="str">
        <f t="shared" si="1069"/>
        <v/>
      </c>
      <c r="W6837" t="str">
        <f t="shared" si="1070"/>
        <v/>
      </c>
      <c r="X6837">
        <f t="shared" ref="X6837:X6900" si="1072">IF($T6837="",N($X6836),IF(MATCH($T6837,$T$6:$T$10005,0)=ROW()-5,N($X6836)+1,N($X6836)))</f>
        <v>0</v>
      </c>
      <c r="Z6837" t="str">
        <f t="shared" si="1071"/>
        <v/>
      </c>
      <c r="AA6837">
        <f t="shared" ref="AA6837:AA6900" si="1073">IF($V6837="",N($AA6836),IF(MATCH($V6837,$V$6:$V$10005,0)=ROW()-5,N($AA6836)+1,N($AA6836)))</f>
        <v>0</v>
      </c>
    </row>
    <row r="6838" spans="1:27" ht="21" customHeight="1" x14ac:dyDescent="0.95">
      <c r="A6838" s="56"/>
      <c r="B6838" s="57"/>
      <c r="C6838" s="57"/>
      <c r="D6838" s="57"/>
      <c r="E6838" s="56"/>
      <c r="F6838" s="57"/>
      <c r="G6838" s="57"/>
      <c r="H6838" s="56"/>
      <c r="I6838" s="56"/>
      <c r="J6838" s="58"/>
      <c r="K6838" s="58"/>
      <c r="L6838" s="13" t="str">
        <f t="shared" si="1062"/>
        <v/>
      </c>
      <c r="M6838" s="13" t="str">
        <f t="shared" si="1063"/>
        <v/>
      </c>
      <c r="Q6838" t="str">
        <f t="shared" si="1064"/>
        <v/>
      </c>
      <c r="R6838" t="str">
        <f t="shared" si="1065"/>
        <v/>
      </c>
      <c r="S6838" t="str">
        <f t="shared" si="1066"/>
        <v/>
      </c>
      <c r="T6838" t="str">
        <f t="shared" si="1067"/>
        <v/>
      </c>
      <c r="U6838" t="str">
        <f t="shared" si="1068"/>
        <v/>
      </c>
      <c r="V6838" t="str">
        <f t="shared" si="1069"/>
        <v/>
      </c>
      <c r="W6838" t="str">
        <f t="shared" si="1070"/>
        <v/>
      </c>
      <c r="X6838">
        <f t="shared" si="1072"/>
        <v>0</v>
      </c>
      <c r="Z6838" t="str">
        <f t="shared" si="1071"/>
        <v/>
      </c>
      <c r="AA6838">
        <f t="shared" si="1073"/>
        <v>0</v>
      </c>
    </row>
    <row r="6839" spans="1:27" ht="21" customHeight="1" x14ac:dyDescent="0.95">
      <c r="A6839" s="56"/>
      <c r="B6839" s="57"/>
      <c r="C6839" s="57"/>
      <c r="D6839" s="57"/>
      <c r="E6839" s="56"/>
      <c r="F6839" s="57"/>
      <c r="G6839" s="57"/>
      <c r="H6839" s="56"/>
      <c r="I6839" s="56"/>
      <c r="J6839" s="58"/>
      <c r="K6839" s="58"/>
      <c r="L6839" s="13" t="str">
        <f t="shared" si="1062"/>
        <v/>
      </c>
      <c r="M6839" s="13" t="str">
        <f t="shared" si="1063"/>
        <v/>
      </c>
      <c r="Q6839" t="str">
        <f t="shared" si="1064"/>
        <v/>
      </c>
      <c r="R6839" t="str">
        <f t="shared" si="1065"/>
        <v/>
      </c>
      <c r="S6839" t="str">
        <f t="shared" si="1066"/>
        <v/>
      </c>
      <c r="T6839" t="str">
        <f t="shared" si="1067"/>
        <v/>
      </c>
      <c r="U6839" t="str">
        <f t="shared" si="1068"/>
        <v/>
      </c>
      <c r="V6839" t="str">
        <f t="shared" si="1069"/>
        <v/>
      </c>
      <c r="W6839" t="str">
        <f t="shared" si="1070"/>
        <v/>
      </c>
      <c r="X6839">
        <f t="shared" si="1072"/>
        <v>0</v>
      </c>
      <c r="Z6839" t="str">
        <f t="shared" si="1071"/>
        <v/>
      </c>
      <c r="AA6839">
        <f t="shared" si="1073"/>
        <v>0</v>
      </c>
    </row>
    <row r="6840" spans="1:27" ht="21" customHeight="1" x14ac:dyDescent="0.95">
      <c r="A6840" s="56"/>
      <c r="B6840" s="57"/>
      <c r="C6840" s="57"/>
      <c r="D6840" s="57"/>
      <c r="E6840" s="56"/>
      <c r="F6840" s="57"/>
      <c r="G6840" s="57"/>
      <c r="H6840" s="56"/>
      <c r="I6840" s="56"/>
      <c r="J6840" s="58"/>
      <c r="K6840" s="58"/>
      <c r="L6840" s="13" t="str">
        <f t="shared" si="1062"/>
        <v/>
      </c>
      <c r="M6840" s="13" t="str">
        <f t="shared" si="1063"/>
        <v/>
      </c>
      <c r="Q6840" t="str">
        <f t="shared" si="1064"/>
        <v/>
      </c>
      <c r="R6840" t="str">
        <f t="shared" si="1065"/>
        <v/>
      </c>
      <c r="S6840" t="str">
        <f t="shared" si="1066"/>
        <v/>
      </c>
      <c r="T6840" t="str">
        <f t="shared" si="1067"/>
        <v/>
      </c>
      <c r="U6840" t="str">
        <f t="shared" si="1068"/>
        <v/>
      </c>
      <c r="V6840" t="str">
        <f t="shared" si="1069"/>
        <v/>
      </c>
      <c r="W6840" t="str">
        <f t="shared" si="1070"/>
        <v/>
      </c>
      <c r="X6840">
        <f t="shared" si="1072"/>
        <v>0</v>
      </c>
      <c r="Z6840" t="str">
        <f t="shared" si="1071"/>
        <v/>
      </c>
      <c r="AA6840">
        <f t="shared" si="1073"/>
        <v>0</v>
      </c>
    </row>
    <row r="6841" spans="1:27" ht="21" customHeight="1" x14ac:dyDescent="0.95">
      <c r="A6841" s="56"/>
      <c r="B6841" s="57"/>
      <c r="C6841" s="57"/>
      <c r="D6841" s="57"/>
      <c r="E6841" s="56"/>
      <c r="F6841" s="57"/>
      <c r="G6841" s="57"/>
      <c r="H6841" s="56"/>
      <c r="I6841" s="56"/>
      <c r="J6841" s="58"/>
      <c r="K6841" s="58"/>
      <c r="L6841" s="13" t="str">
        <f t="shared" si="1062"/>
        <v/>
      </c>
      <c r="M6841" s="13" t="str">
        <f t="shared" si="1063"/>
        <v/>
      </c>
      <c r="Q6841" t="str">
        <f t="shared" si="1064"/>
        <v/>
      </c>
      <c r="R6841" t="str">
        <f t="shared" si="1065"/>
        <v/>
      </c>
      <c r="S6841" t="str">
        <f t="shared" si="1066"/>
        <v/>
      </c>
      <c r="T6841" t="str">
        <f t="shared" si="1067"/>
        <v/>
      </c>
      <c r="U6841" t="str">
        <f t="shared" si="1068"/>
        <v/>
      </c>
      <c r="V6841" t="str">
        <f t="shared" si="1069"/>
        <v/>
      </c>
      <c r="W6841" t="str">
        <f t="shared" si="1070"/>
        <v/>
      </c>
      <c r="X6841">
        <f t="shared" si="1072"/>
        <v>0</v>
      </c>
      <c r="Z6841" t="str">
        <f t="shared" si="1071"/>
        <v/>
      </c>
      <c r="AA6841">
        <f t="shared" si="1073"/>
        <v>0</v>
      </c>
    </row>
    <row r="6842" spans="1:27" ht="21" customHeight="1" x14ac:dyDescent="0.95">
      <c r="A6842" s="56"/>
      <c r="B6842" s="57"/>
      <c r="C6842" s="57"/>
      <c r="D6842" s="57"/>
      <c r="E6842" s="56"/>
      <c r="F6842" s="57"/>
      <c r="G6842" s="57"/>
      <c r="H6842" s="56"/>
      <c r="I6842" s="56"/>
      <c r="J6842" s="58"/>
      <c r="K6842" s="58"/>
      <c r="L6842" s="13" t="str">
        <f t="shared" si="1062"/>
        <v/>
      </c>
      <c r="M6842" s="13" t="str">
        <f t="shared" si="1063"/>
        <v/>
      </c>
      <c r="Q6842" t="str">
        <f t="shared" si="1064"/>
        <v/>
      </c>
      <c r="R6842" t="str">
        <f t="shared" si="1065"/>
        <v/>
      </c>
      <c r="S6842" t="str">
        <f t="shared" si="1066"/>
        <v/>
      </c>
      <c r="T6842" t="str">
        <f t="shared" si="1067"/>
        <v/>
      </c>
      <c r="U6842" t="str">
        <f t="shared" si="1068"/>
        <v/>
      </c>
      <c r="V6842" t="str">
        <f t="shared" si="1069"/>
        <v/>
      </c>
      <c r="W6842" t="str">
        <f t="shared" si="1070"/>
        <v/>
      </c>
      <c r="X6842">
        <f t="shared" si="1072"/>
        <v>0</v>
      </c>
      <c r="Z6842" t="str">
        <f t="shared" si="1071"/>
        <v/>
      </c>
      <c r="AA6842">
        <f t="shared" si="1073"/>
        <v>0</v>
      </c>
    </row>
    <row r="6843" spans="1:27" ht="21" customHeight="1" x14ac:dyDescent="0.95">
      <c r="A6843" s="56"/>
      <c r="B6843" s="57"/>
      <c r="C6843" s="57"/>
      <c r="D6843" s="57"/>
      <c r="E6843" s="56"/>
      <c r="F6843" s="57"/>
      <c r="G6843" s="57"/>
      <c r="H6843" s="56"/>
      <c r="I6843" s="56"/>
      <c r="J6843" s="58"/>
      <c r="K6843" s="58"/>
      <c r="L6843" s="13" t="str">
        <f t="shared" si="1062"/>
        <v/>
      </c>
      <c r="M6843" s="13" t="str">
        <f t="shared" si="1063"/>
        <v/>
      </c>
      <c r="Q6843" t="str">
        <f t="shared" si="1064"/>
        <v/>
      </c>
      <c r="R6843" t="str">
        <f t="shared" si="1065"/>
        <v/>
      </c>
      <c r="S6843" t="str">
        <f t="shared" si="1066"/>
        <v/>
      </c>
      <c r="T6843" t="str">
        <f t="shared" si="1067"/>
        <v/>
      </c>
      <c r="U6843" t="str">
        <f t="shared" si="1068"/>
        <v/>
      </c>
      <c r="V6843" t="str">
        <f t="shared" si="1069"/>
        <v/>
      </c>
      <c r="W6843" t="str">
        <f t="shared" si="1070"/>
        <v/>
      </c>
      <c r="X6843">
        <f t="shared" si="1072"/>
        <v>0</v>
      </c>
      <c r="Z6843" t="str">
        <f t="shared" si="1071"/>
        <v/>
      </c>
      <c r="AA6843">
        <f t="shared" si="1073"/>
        <v>0</v>
      </c>
    </row>
    <row r="6844" spans="1:27" ht="21" customHeight="1" x14ac:dyDescent="0.95">
      <c r="A6844" s="56"/>
      <c r="B6844" s="57"/>
      <c r="C6844" s="57"/>
      <c r="D6844" s="57"/>
      <c r="E6844" s="56"/>
      <c r="F6844" s="57"/>
      <c r="G6844" s="57"/>
      <c r="H6844" s="56"/>
      <c r="I6844" s="56"/>
      <c r="J6844" s="58"/>
      <c r="K6844" s="58"/>
      <c r="L6844" s="13" t="str">
        <f t="shared" si="1062"/>
        <v/>
      </c>
      <c r="M6844" s="13" t="str">
        <f t="shared" si="1063"/>
        <v/>
      </c>
      <c r="Q6844" t="str">
        <f t="shared" si="1064"/>
        <v/>
      </c>
      <c r="R6844" t="str">
        <f t="shared" si="1065"/>
        <v/>
      </c>
      <c r="S6844" t="str">
        <f t="shared" si="1066"/>
        <v/>
      </c>
      <c r="T6844" t="str">
        <f t="shared" si="1067"/>
        <v/>
      </c>
      <c r="U6844" t="str">
        <f t="shared" si="1068"/>
        <v/>
      </c>
      <c r="V6844" t="str">
        <f t="shared" si="1069"/>
        <v/>
      </c>
      <c r="W6844" t="str">
        <f t="shared" si="1070"/>
        <v/>
      </c>
      <c r="X6844">
        <f t="shared" si="1072"/>
        <v>0</v>
      </c>
      <c r="Z6844" t="str">
        <f t="shared" si="1071"/>
        <v/>
      </c>
      <c r="AA6844">
        <f t="shared" si="1073"/>
        <v>0</v>
      </c>
    </row>
    <row r="6845" spans="1:27" ht="21" customHeight="1" x14ac:dyDescent="0.95">
      <c r="A6845" s="56"/>
      <c r="B6845" s="57"/>
      <c r="C6845" s="57"/>
      <c r="D6845" s="57"/>
      <c r="E6845" s="56"/>
      <c r="F6845" s="57"/>
      <c r="G6845" s="57"/>
      <c r="H6845" s="56"/>
      <c r="I6845" s="56"/>
      <c r="J6845" s="58"/>
      <c r="K6845" s="58"/>
      <c r="L6845" s="13" t="str">
        <f t="shared" si="1062"/>
        <v/>
      </c>
      <c r="M6845" s="13" t="str">
        <f t="shared" si="1063"/>
        <v/>
      </c>
      <c r="Q6845" t="str">
        <f t="shared" si="1064"/>
        <v/>
      </c>
      <c r="R6845" t="str">
        <f t="shared" si="1065"/>
        <v/>
      </c>
      <c r="S6845" t="str">
        <f t="shared" si="1066"/>
        <v/>
      </c>
      <c r="T6845" t="str">
        <f t="shared" si="1067"/>
        <v/>
      </c>
      <c r="U6845" t="str">
        <f t="shared" si="1068"/>
        <v/>
      </c>
      <c r="V6845" t="str">
        <f t="shared" si="1069"/>
        <v/>
      </c>
      <c r="W6845" t="str">
        <f t="shared" si="1070"/>
        <v/>
      </c>
      <c r="X6845">
        <f t="shared" si="1072"/>
        <v>0</v>
      </c>
      <c r="Z6845" t="str">
        <f t="shared" si="1071"/>
        <v/>
      </c>
      <c r="AA6845">
        <f t="shared" si="1073"/>
        <v>0</v>
      </c>
    </row>
    <row r="6846" spans="1:27" ht="21" customHeight="1" x14ac:dyDescent="0.95">
      <c r="A6846" s="56"/>
      <c r="B6846" s="57"/>
      <c r="C6846" s="57"/>
      <c r="D6846" s="57"/>
      <c r="E6846" s="56"/>
      <c r="F6846" s="57"/>
      <c r="G6846" s="57"/>
      <c r="H6846" s="56"/>
      <c r="I6846" s="56"/>
      <c r="J6846" s="58"/>
      <c r="K6846" s="58"/>
      <c r="L6846" s="13" t="str">
        <f t="shared" si="1062"/>
        <v/>
      </c>
      <c r="M6846" s="13" t="str">
        <f t="shared" si="1063"/>
        <v/>
      </c>
      <c r="Q6846" t="str">
        <f t="shared" si="1064"/>
        <v/>
      </c>
      <c r="R6846" t="str">
        <f t="shared" si="1065"/>
        <v/>
      </c>
      <c r="S6846" t="str">
        <f t="shared" si="1066"/>
        <v/>
      </c>
      <c r="T6846" t="str">
        <f t="shared" si="1067"/>
        <v/>
      </c>
      <c r="U6846" t="str">
        <f t="shared" si="1068"/>
        <v/>
      </c>
      <c r="V6846" t="str">
        <f t="shared" si="1069"/>
        <v/>
      </c>
      <c r="W6846" t="str">
        <f t="shared" si="1070"/>
        <v/>
      </c>
      <c r="X6846">
        <f t="shared" si="1072"/>
        <v>0</v>
      </c>
      <c r="Z6846" t="str">
        <f t="shared" si="1071"/>
        <v/>
      </c>
      <c r="AA6846">
        <f t="shared" si="1073"/>
        <v>0</v>
      </c>
    </row>
    <row r="6847" spans="1:27" ht="21" customHeight="1" x14ac:dyDescent="0.95">
      <c r="A6847" s="56"/>
      <c r="B6847" s="57"/>
      <c r="C6847" s="57"/>
      <c r="D6847" s="57"/>
      <c r="E6847" s="56"/>
      <c r="F6847" s="57"/>
      <c r="G6847" s="57"/>
      <c r="H6847" s="56"/>
      <c r="I6847" s="56"/>
      <c r="J6847" s="58"/>
      <c r="K6847" s="58"/>
      <c r="L6847" s="13" t="str">
        <f t="shared" si="1062"/>
        <v/>
      </c>
      <c r="M6847" s="13" t="str">
        <f t="shared" si="1063"/>
        <v/>
      </c>
      <c r="Q6847" t="str">
        <f t="shared" si="1064"/>
        <v/>
      </c>
      <c r="R6847" t="str">
        <f t="shared" si="1065"/>
        <v/>
      </c>
      <c r="S6847" t="str">
        <f t="shared" si="1066"/>
        <v/>
      </c>
      <c r="T6847" t="str">
        <f t="shared" si="1067"/>
        <v/>
      </c>
      <c r="U6847" t="str">
        <f t="shared" si="1068"/>
        <v/>
      </c>
      <c r="V6847" t="str">
        <f t="shared" si="1069"/>
        <v/>
      </c>
      <c r="W6847" t="str">
        <f t="shared" si="1070"/>
        <v/>
      </c>
      <c r="X6847">
        <f t="shared" si="1072"/>
        <v>0</v>
      </c>
      <c r="Z6847" t="str">
        <f t="shared" si="1071"/>
        <v/>
      </c>
      <c r="AA6847">
        <f t="shared" si="1073"/>
        <v>0</v>
      </c>
    </row>
    <row r="6848" spans="1:27" ht="21" customHeight="1" x14ac:dyDescent="0.95">
      <c r="A6848" s="56"/>
      <c r="B6848" s="57"/>
      <c r="C6848" s="57"/>
      <c r="D6848" s="57"/>
      <c r="E6848" s="56"/>
      <c r="F6848" s="57"/>
      <c r="G6848" s="57"/>
      <c r="H6848" s="56"/>
      <c r="I6848" s="56"/>
      <c r="J6848" s="58"/>
      <c r="K6848" s="58"/>
      <c r="L6848" s="13" t="str">
        <f t="shared" si="1062"/>
        <v/>
      </c>
      <c r="M6848" s="13" t="str">
        <f t="shared" si="1063"/>
        <v/>
      </c>
      <c r="Q6848" t="str">
        <f t="shared" si="1064"/>
        <v/>
      </c>
      <c r="R6848" t="str">
        <f t="shared" si="1065"/>
        <v/>
      </c>
      <c r="S6848" t="str">
        <f t="shared" si="1066"/>
        <v/>
      </c>
      <c r="T6848" t="str">
        <f t="shared" si="1067"/>
        <v/>
      </c>
      <c r="U6848" t="str">
        <f t="shared" si="1068"/>
        <v/>
      </c>
      <c r="V6848" t="str">
        <f t="shared" si="1069"/>
        <v/>
      </c>
      <c r="W6848" t="str">
        <f t="shared" si="1070"/>
        <v/>
      </c>
      <c r="X6848">
        <f t="shared" si="1072"/>
        <v>0</v>
      </c>
      <c r="Z6848" t="str">
        <f t="shared" si="1071"/>
        <v/>
      </c>
      <c r="AA6848">
        <f t="shared" si="1073"/>
        <v>0</v>
      </c>
    </row>
    <row r="6849" spans="1:27" ht="21" customHeight="1" x14ac:dyDescent="0.95">
      <c r="A6849" s="56"/>
      <c r="B6849" s="57"/>
      <c r="C6849" s="57"/>
      <c r="D6849" s="57"/>
      <c r="E6849" s="56"/>
      <c r="F6849" s="57"/>
      <c r="G6849" s="57"/>
      <c r="H6849" s="56"/>
      <c r="I6849" s="56"/>
      <c r="J6849" s="58"/>
      <c r="K6849" s="58"/>
      <c r="L6849" s="13" t="str">
        <f t="shared" si="1062"/>
        <v/>
      </c>
      <c r="M6849" s="13" t="str">
        <f t="shared" si="1063"/>
        <v/>
      </c>
      <c r="Q6849" t="str">
        <f t="shared" si="1064"/>
        <v/>
      </c>
      <c r="R6849" t="str">
        <f t="shared" si="1065"/>
        <v/>
      </c>
      <c r="S6849" t="str">
        <f t="shared" si="1066"/>
        <v/>
      </c>
      <c r="T6849" t="str">
        <f t="shared" si="1067"/>
        <v/>
      </c>
      <c r="U6849" t="str">
        <f t="shared" si="1068"/>
        <v/>
      </c>
      <c r="V6849" t="str">
        <f t="shared" si="1069"/>
        <v/>
      </c>
      <c r="W6849" t="str">
        <f t="shared" si="1070"/>
        <v/>
      </c>
      <c r="X6849">
        <f t="shared" si="1072"/>
        <v>0</v>
      </c>
      <c r="Z6849" t="str">
        <f t="shared" si="1071"/>
        <v/>
      </c>
      <c r="AA6849">
        <f t="shared" si="1073"/>
        <v>0</v>
      </c>
    </row>
    <row r="6850" spans="1:27" ht="21" customHeight="1" x14ac:dyDescent="0.95">
      <c r="A6850" s="56"/>
      <c r="B6850" s="57"/>
      <c r="C6850" s="57"/>
      <c r="D6850" s="57"/>
      <c r="E6850" s="56"/>
      <c r="F6850" s="57"/>
      <c r="G6850" s="57"/>
      <c r="H6850" s="56"/>
      <c r="I6850" s="56"/>
      <c r="J6850" s="58"/>
      <c r="K6850" s="58"/>
      <c r="L6850" s="13" t="str">
        <f t="shared" si="1062"/>
        <v/>
      </c>
      <c r="M6850" s="13" t="str">
        <f t="shared" si="1063"/>
        <v/>
      </c>
      <c r="Q6850" t="str">
        <f t="shared" si="1064"/>
        <v/>
      </c>
      <c r="R6850" t="str">
        <f t="shared" si="1065"/>
        <v/>
      </c>
      <c r="S6850" t="str">
        <f t="shared" si="1066"/>
        <v/>
      </c>
      <c r="T6850" t="str">
        <f t="shared" si="1067"/>
        <v/>
      </c>
      <c r="U6850" t="str">
        <f t="shared" si="1068"/>
        <v/>
      </c>
      <c r="V6850" t="str">
        <f t="shared" si="1069"/>
        <v/>
      </c>
      <c r="W6850" t="str">
        <f t="shared" si="1070"/>
        <v/>
      </c>
      <c r="X6850">
        <f t="shared" si="1072"/>
        <v>0</v>
      </c>
      <c r="Z6850" t="str">
        <f t="shared" si="1071"/>
        <v/>
      </c>
      <c r="AA6850">
        <f t="shared" si="1073"/>
        <v>0</v>
      </c>
    </row>
    <row r="6851" spans="1:27" ht="21" customHeight="1" x14ac:dyDescent="0.95">
      <c r="A6851" s="56"/>
      <c r="B6851" s="57"/>
      <c r="C6851" s="57"/>
      <c r="D6851" s="57"/>
      <c r="E6851" s="56"/>
      <c r="F6851" s="57"/>
      <c r="G6851" s="57"/>
      <c r="H6851" s="56"/>
      <c r="I6851" s="56"/>
      <c r="J6851" s="58"/>
      <c r="K6851" s="58"/>
      <c r="L6851" s="13" t="str">
        <f t="shared" si="1062"/>
        <v/>
      </c>
      <c r="M6851" s="13" t="str">
        <f t="shared" si="1063"/>
        <v/>
      </c>
      <c r="Q6851" t="str">
        <f t="shared" si="1064"/>
        <v/>
      </c>
      <c r="R6851" t="str">
        <f t="shared" si="1065"/>
        <v/>
      </c>
      <c r="S6851" t="str">
        <f t="shared" si="1066"/>
        <v/>
      </c>
      <c r="T6851" t="str">
        <f t="shared" si="1067"/>
        <v/>
      </c>
      <c r="U6851" t="str">
        <f t="shared" si="1068"/>
        <v/>
      </c>
      <c r="V6851" t="str">
        <f t="shared" si="1069"/>
        <v/>
      </c>
      <c r="W6851" t="str">
        <f t="shared" si="1070"/>
        <v/>
      </c>
      <c r="X6851">
        <f t="shared" si="1072"/>
        <v>0</v>
      </c>
      <c r="Z6851" t="str">
        <f t="shared" si="1071"/>
        <v/>
      </c>
      <c r="AA6851">
        <f t="shared" si="1073"/>
        <v>0</v>
      </c>
    </row>
    <row r="6852" spans="1:27" ht="21" customHeight="1" x14ac:dyDescent="0.95">
      <c r="A6852" s="56"/>
      <c r="B6852" s="57"/>
      <c r="C6852" s="57"/>
      <c r="D6852" s="57"/>
      <c r="E6852" s="56"/>
      <c r="F6852" s="57"/>
      <c r="G6852" s="57"/>
      <c r="H6852" s="56"/>
      <c r="I6852" s="56"/>
      <c r="J6852" s="58"/>
      <c r="K6852" s="58"/>
      <c r="L6852" s="13" t="str">
        <f t="shared" ref="L6852:L6915" si="1074">IF(OR($A6852="",AND($J6852="",$K6852="")),"",ROUND(N($J6852)-N($K6852),2))</f>
        <v/>
      </c>
      <c r="M6852" s="13" t="str">
        <f t="shared" ref="M6852:M6915" si="1075">IF(OR($A6852="",AND($J6852="",$K6852="")),"",MIN($J6852,$K6852))</f>
        <v/>
      </c>
      <c r="Q6852" t="str">
        <f t="shared" ref="Q6852:Q6915" si="1076">IF($A6852="","",$D6852&amp;"("&amp;SUBSTITUTE($E6852," ","")&amp;")")</f>
        <v/>
      </c>
      <c r="R6852" t="str">
        <f t="shared" ref="R6852:R6915" si="1077">IF($A6852="","",$B6852&amp;" - "&amp;$C6852)</f>
        <v/>
      </c>
      <c r="S6852" t="str">
        <f t="shared" ref="S6852:S6915" si="1078">IF($A6852="","",$R6852&amp;"|"&amp;$Q6852)</f>
        <v/>
      </c>
      <c r="T6852" t="str">
        <f t="shared" ref="T6852:T6915" si="1079">IF($A6852="","",$S6852&amp;"|"&amp;$F6852)</f>
        <v/>
      </c>
      <c r="U6852" t="str">
        <f t="shared" ref="U6852:U6915" si="1080">IF($A6852="","",$R6852&amp;"("&amp;$E6852&amp;")")</f>
        <v/>
      </c>
      <c r="V6852" t="str">
        <f t="shared" ref="V6852:V6915" si="1081">IF($A6852="","",$F6852&amp;"|"&amp;$U6852&amp;"|"&amp;$D6852)</f>
        <v/>
      </c>
      <c r="W6852" t="str">
        <f t="shared" si="1070"/>
        <v/>
      </c>
      <c r="X6852">
        <f t="shared" si="1072"/>
        <v>0</v>
      </c>
      <c r="Z6852" t="str">
        <f t="shared" si="1071"/>
        <v/>
      </c>
      <c r="AA6852">
        <f t="shared" si="1073"/>
        <v>0</v>
      </c>
    </row>
    <row r="6853" spans="1:27" ht="21" customHeight="1" x14ac:dyDescent="0.95">
      <c r="A6853" s="56"/>
      <c r="B6853" s="57"/>
      <c r="C6853" s="57"/>
      <c r="D6853" s="57"/>
      <c r="E6853" s="56"/>
      <c r="F6853" s="57"/>
      <c r="G6853" s="57"/>
      <c r="H6853" s="56"/>
      <c r="I6853" s="56"/>
      <c r="J6853" s="58"/>
      <c r="K6853" s="58"/>
      <c r="L6853" s="13" t="str">
        <f t="shared" si="1074"/>
        <v/>
      </c>
      <c r="M6853" s="13" t="str">
        <f t="shared" si="1075"/>
        <v/>
      </c>
      <c r="Q6853" t="str">
        <f t="shared" si="1076"/>
        <v/>
      </c>
      <c r="R6853" t="str">
        <f t="shared" si="1077"/>
        <v/>
      </c>
      <c r="S6853" t="str">
        <f t="shared" si="1078"/>
        <v/>
      </c>
      <c r="T6853" t="str">
        <f t="shared" si="1079"/>
        <v/>
      </c>
      <c r="U6853" t="str">
        <f t="shared" si="1080"/>
        <v/>
      </c>
      <c r="V6853" t="str">
        <f t="shared" si="1081"/>
        <v/>
      </c>
      <c r="W6853" t="str">
        <f t="shared" si="1070"/>
        <v/>
      </c>
      <c r="X6853">
        <f t="shared" si="1072"/>
        <v>0</v>
      </c>
      <c r="Z6853" t="str">
        <f t="shared" si="1071"/>
        <v/>
      </c>
      <c r="AA6853">
        <f t="shared" si="1073"/>
        <v>0</v>
      </c>
    </row>
    <row r="6854" spans="1:27" ht="21" customHeight="1" x14ac:dyDescent="0.95">
      <c r="A6854" s="56"/>
      <c r="B6854" s="57"/>
      <c r="C6854" s="57"/>
      <c r="D6854" s="57"/>
      <c r="E6854" s="56"/>
      <c r="F6854" s="57"/>
      <c r="G6854" s="57"/>
      <c r="H6854" s="56"/>
      <c r="I6854" s="56"/>
      <c r="J6854" s="58"/>
      <c r="K6854" s="58"/>
      <c r="L6854" s="13" t="str">
        <f t="shared" si="1074"/>
        <v/>
      </c>
      <c r="M6854" s="13" t="str">
        <f t="shared" si="1075"/>
        <v/>
      </c>
      <c r="Q6854" t="str">
        <f t="shared" si="1076"/>
        <v/>
      </c>
      <c r="R6854" t="str">
        <f t="shared" si="1077"/>
        <v/>
      </c>
      <c r="S6854" t="str">
        <f t="shared" si="1078"/>
        <v/>
      </c>
      <c r="T6854" t="str">
        <f t="shared" si="1079"/>
        <v/>
      </c>
      <c r="U6854" t="str">
        <f t="shared" si="1080"/>
        <v/>
      </c>
      <c r="V6854" t="str">
        <f t="shared" si="1081"/>
        <v/>
      </c>
      <c r="W6854" t="str">
        <f t="shared" ref="W6854:W6917" si="1082">IF($T6854="","",IF($X6854&gt;N($X6853),$X6854,""))</f>
        <v/>
      </c>
      <c r="X6854">
        <f t="shared" si="1072"/>
        <v>0</v>
      </c>
      <c r="Z6854" t="str">
        <f t="shared" ref="Z6854:Z6917" si="1083">IF($V6854="","",IF($AA6854&gt;N($AA6853),$AA6854,""))</f>
        <v/>
      </c>
      <c r="AA6854">
        <f t="shared" si="1073"/>
        <v>0</v>
      </c>
    </row>
    <row r="6855" spans="1:27" ht="21" customHeight="1" x14ac:dyDescent="0.95">
      <c r="A6855" s="56"/>
      <c r="B6855" s="57"/>
      <c r="C6855" s="57"/>
      <c r="D6855" s="57"/>
      <c r="E6855" s="56"/>
      <c r="F6855" s="57"/>
      <c r="G6855" s="57"/>
      <c r="H6855" s="56"/>
      <c r="I6855" s="56"/>
      <c r="J6855" s="58"/>
      <c r="K6855" s="58"/>
      <c r="L6855" s="13" t="str">
        <f t="shared" si="1074"/>
        <v/>
      </c>
      <c r="M6855" s="13" t="str">
        <f t="shared" si="1075"/>
        <v/>
      </c>
      <c r="Q6855" t="str">
        <f t="shared" si="1076"/>
        <v/>
      </c>
      <c r="R6855" t="str">
        <f t="shared" si="1077"/>
        <v/>
      </c>
      <c r="S6855" t="str">
        <f t="shared" si="1078"/>
        <v/>
      </c>
      <c r="T6855" t="str">
        <f t="shared" si="1079"/>
        <v/>
      </c>
      <c r="U6855" t="str">
        <f t="shared" si="1080"/>
        <v/>
      </c>
      <c r="V6855" t="str">
        <f t="shared" si="1081"/>
        <v/>
      </c>
      <c r="W6855" t="str">
        <f t="shared" si="1082"/>
        <v/>
      </c>
      <c r="X6855">
        <f t="shared" si="1072"/>
        <v>0</v>
      </c>
      <c r="Z6855" t="str">
        <f t="shared" si="1083"/>
        <v/>
      </c>
      <c r="AA6855">
        <f t="shared" si="1073"/>
        <v>0</v>
      </c>
    </row>
    <row r="6856" spans="1:27" ht="21" customHeight="1" x14ac:dyDescent="0.95">
      <c r="A6856" s="56"/>
      <c r="B6856" s="57"/>
      <c r="C6856" s="57"/>
      <c r="D6856" s="57"/>
      <c r="E6856" s="56"/>
      <c r="F6856" s="57"/>
      <c r="G6856" s="57"/>
      <c r="H6856" s="56"/>
      <c r="I6856" s="56"/>
      <c r="J6856" s="58"/>
      <c r="K6856" s="58"/>
      <c r="L6856" s="13" t="str">
        <f t="shared" si="1074"/>
        <v/>
      </c>
      <c r="M6856" s="13" t="str">
        <f t="shared" si="1075"/>
        <v/>
      </c>
      <c r="Q6856" t="str">
        <f t="shared" si="1076"/>
        <v/>
      </c>
      <c r="R6856" t="str">
        <f t="shared" si="1077"/>
        <v/>
      </c>
      <c r="S6856" t="str">
        <f t="shared" si="1078"/>
        <v/>
      </c>
      <c r="T6856" t="str">
        <f t="shared" si="1079"/>
        <v/>
      </c>
      <c r="U6856" t="str">
        <f t="shared" si="1080"/>
        <v/>
      </c>
      <c r="V6856" t="str">
        <f t="shared" si="1081"/>
        <v/>
      </c>
      <c r="W6856" t="str">
        <f t="shared" si="1082"/>
        <v/>
      </c>
      <c r="X6856">
        <f t="shared" si="1072"/>
        <v>0</v>
      </c>
      <c r="Z6856" t="str">
        <f t="shared" si="1083"/>
        <v/>
      </c>
      <c r="AA6856">
        <f t="shared" si="1073"/>
        <v>0</v>
      </c>
    </row>
    <row r="6857" spans="1:27" ht="21" customHeight="1" x14ac:dyDescent="0.95">
      <c r="A6857" s="56"/>
      <c r="B6857" s="57"/>
      <c r="C6857" s="57"/>
      <c r="D6857" s="57"/>
      <c r="E6857" s="56"/>
      <c r="F6857" s="57"/>
      <c r="G6857" s="57"/>
      <c r="H6857" s="56"/>
      <c r="I6857" s="56"/>
      <c r="J6857" s="58"/>
      <c r="K6857" s="58"/>
      <c r="L6857" s="13" t="str">
        <f t="shared" si="1074"/>
        <v/>
      </c>
      <c r="M6857" s="13" t="str">
        <f t="shared" si="1075"/>
        <v/>
      </c>
      <c r="Q6857" t="str">
        <f t="shared" si="1076"/>
        <v/>
      </c>
      <c r="R6857" t="str">
        <f t="shared" si="1077"/>
        <v/>
      </c>
      <c r="S6857" t="str">
        <f t="shared" si="1078"/>
        <v/>
      </c>
      <c r="T6857" t="str">
        <f t="shared" si="1079"/>
        <v/>
      </c>
      <c r="U6857" t="str">
        <f t="shared" si="1080"/>
        <v/>
      </c>
      <c r="V6857" t="str">
        <f t="shared" si="1081"/>
        <v/>
      </c>
      <c r="W6857" t="str">
        <f t="shared" si="1082"/>
        <v/>
      </c>
      <c r="X6857">
        <f t="shared" si="1072"/>
        <v>0</v>
      </c>
      <c r="Z6857" t="str">
        <f t="shared" si="1083"/>
        <v/>
      </c>
      <c r="AA6857">
        <f t="shared" si="1073"/>
        <v>0</v>
      </c>
    </row>
    <row r="6858" spans="1:27" ht="21" customHeight="1" x14ac:dyDescent="0.95">
      <c r="A6858" s="56"/>
      <c r="B6858" s="57"/>
      <c r="C6858" s="57"/>
      <c r="D6858" s="57"/>
      <c r="E6858" s="56"/>
      <c r="F6858" s="57"/>
      <c r="G6858" s="57"/>
      <c r="H6858" s="56"/>
      <c r="I6858" s="56"/>
      <c r="J6858" s="58"/>
      <c r="K6858" s="58"/>
      <c r="L6858" s="13" t="str">
        <f t="shared" si="1074"/>
        <v/>
      </c>
      <c r="M6858" s="13" t="str">
        <f t="shared" si="1075"/>
        <v/>
      </c>
      <c r="Q6858" t="str">
        <f t="shared" si="1076"/>
        <v/>
      </c>
      <c r="R6858" t="str">
        <f t="shared" si="1077"/>
        <v/>
      </c>
      <c r="S6858" t="str">
        <f t="shared" si="1078"/>
        <v/>
      </c>
      <c r="T6858" t="str">
        <f t="shared" si="1079"/>
        <v/>
      </c>
      <c r="U6858" t="str">
        <f t="shared" si="1080"/>
        <v/>
      </c>
      <c r="V6858" t="str">
        <f t="shared" si="1081"/>
        <v/>
      </c>
      <c r="W6858" t="str">
        <f t="shared" si="1082"/>
        <v/>
      </c>
      <c r="X6858">
        <f t="shared" si="1072"/>
        <v>0</v>
      </c>
      <c r="Z6858" t="str">
        <f t="shared" si="1083"/>
        <v/>
      </c>
      <c r="AA6858">
        <f t="shared" si="1073"/>
        <v>0</v>
      </c>
    </row>
    <row r="6859" spans="1:27" ht="21" customHeight="1" x14ac:dyDescent="0.95">
      <c r="A6859" s="56"/>
      <c r="B6859" s="57"/>
      <c r="C6859" s="57"/>
      <c r="D6859" s="57"/>
      <c r="E6859" s="56"/>
      <c r="F6859" s="57"/>
      <c r="G6859" s="57"/>
      <c r="H6859" s="56"/>
      <c r="I6859" s="56"/>
      <c r="J6859" s="58"/>
      <c r="K6859" s="58"/>
      <c r="L6859" s="13" t="str">
        <f t="shared" si="1074"/>
        <v/>
      </c>
      <c r="M6859" s="13" t="str">
        <f t="shared" si="1075"/>
        <v/>
      </c>
      <c r="Q6859" t="str">
        <f t="shared" si="1076"/>
        <v/>
      </c>
      <c r="R6859" t="str">
        <f t="shared" si="1077"/>
        <v/>
      </c>
      <c r="S6859" t="str">
        <f t="shared" si="1078"/>
        <v/>
      </c>
      <c r="T6859" t="str">
        <f t="shared" si="1079"/>
        <v/>
      </c>
      <c r="U6859" t="str">
        <f t="shared" si="1080"/>
        <v/>
      </c>
      <c r="V6859" t="str">
        <f t="shared" si="1081"/>
        <v/>
      </c>
      <c r="W6859" t="str">
        <f t="shared" si="1082"/>
        <v/>
      </c>
      <c r="X6859">
        <f t="shared" si="1072"/>
        <v>0</v>
      </c>
      <c r="Z6859" t="str">
        <f t="shared" si="1083"/>
        <v/>
      </c>
      <c r="AA6859">
        <f t="shared" si="1073"/>
        <v>0</v>
      </c>
    </row>
    <row r="6860" spans="1:27" ht="21" customHeight="1" x14ac:dyDescent="0.95">
      <c r="A6860" s="56"/>
      <c r="B6860" s="57"/>
      <c r="C6860" s="57"/>
      <c r="D6860" s="57"/>
      <c r="E6860" s="56"/>
      <c r="F6860" s="57"/>
      <c r="G6860" s="57"/>
      <c r="H6860" s="56"/>
      <c r="I6860" s="56"/>
      <c r="J6860" s="58"/>
      <c r="K6860" s="58"/>
      <c r="L6860" s="13" t="str">
        <f t="shared" si="1074"/>
        <v/>
      </c>
      <c r="M6860" s="13" t="str">
        <f t="shared" si="1075"/>
        <v/>
      </c>
      <c r="Q6860" t="str">
        <f t="shared" si="1076"/>
        <v/>
      </c>
      <c r="R6860" t="str">
        <f t="shared" si="1077"/>
        <v/>
      </c>
      <c r="S6860" t="str">
        <f t="shared" si="1078"/>
        <v/>
      </c>
      <c r="T6860" t="str">
        <f t="shared" si="1079"/>
        <v/>
      </c>
      <c r="U6860" t="str">
        <f t="shared" si="1080"/>
        <v/>
      </c>
      <c r="V6860" t="str">
        <f t="shared" si="1081"/>
        <v/>
      </c>
      <c r="W6860" t="str">
        <f t="shared" si="1082"/>
        <v/>
      </c>
      <c r="X6860">
        <f t="shared" si="1072"/>
        <v>0</v>
      </c>
      <c r="Z6860" t="str">
        <f t="shared" si="1083"/>
        <v/>
      </c>
      <c r="AA6860">
        <f t="shared" si="1073"/>
        <v>0</v>
      </c>
    </row>
    <row r="6861" spans="1:27" ht="21" customHeight="1" x14ac:dyDescent="0.95">
      <c r="A6861" s="56"/>
      <c r="B6861" s="57"/>
      <c r="C6861" s="57"/>
      <c r="D6861" s="57"/>
      <c r="E6861" s="56"/>
      <c r="F6861" s="57"/>
      <c r="G6861" s="57"/>
      <c r="H6861" s="56"/>
      <c r="I6861" s="56"/>
      <c r="J6861" s="58"/>
      <c r="K6861" s="58"/>
      <c r="L6861" s="13" t="str">
        <f t="shared" si="1074"/>
        <v/>
      </c>
      <c r="M6861" s="13" t="str">
        <f t="shared" si="1075"/>
        <v/>
      </c>
      <c r="Q6861" t="str">
        <f t="shared" si="1076"/>
        <v/>
      </c>
      <c r="R6861" t="str">
        <f t="shared" si="1077"/>
        <v/>
      </c>
      <c r="S6861" t="str">
        <f t="shared" si="1078"/>
        <v/>
      </c>
      <c r="T6861" t="str">
        <f t="shared" si="1079"/>
        <v/>
      </c>
      <c r="U6861" t="str">
        <f t="shared" si="1080"/>
        <v/>
      </c>
      <c r="V6861" t="str">
        <f t="shared" si="1081"/>
        <v/>
      </c>
      <c r="W6861" t="str">
        <f t="shared" si="1082"/>
        <v/>
      </c>
      <c r="X6861">
        <f t="shared" si="1072"/>
        <v>0</v>
      </c>
      <c r="Z6861" t="str">
        <f t="shared" si="1083"/>
        <v/>
      </c>
      <c r="AA6861">
        <f t="shared" si="1073"/>
        <v>0</v>
      </c>
    </row>
    <row r="6862" spans="1:27" ht="21" customHeight="1" x14ac:dyDescent="0.95">
      <c r="A6862" s="56"/>
      <c r="B6862" s="57"/>
      <c r="C6862" s="57"/>
      <c r="D6862" s="57"/>
      <c r="E6862" s="56"/>
      <c r="F6862" s="57"/>
      <c r="G6862" s="57"/>
      <c r="H6862" s="56"/>
      <c r="I6862" s="56"/>
      <c r="J6862" s="58"/>
      <c r="K6862" s="58"/>
      <c r="L6862" s="13" t="str">
        <f t="shared" si="1074"/>
        <v/>
      </c>
      <c r="M6862" s="13" t="str">
        <f t="shared" si="1075"/>
        <v/>
      </c>
      <c r="Q6862" t="str">
        <f t="shared" si="1076"/>
        <v/>
      </c>
      <c r="R6862" t="str">
        <f t="shared" si="1077"/>
        <v/>
      </c>
      <c r="S6862" t="str">
        <f t="shared" si="1078"/>
        <v/>
      </c>
      <c r="T6862" t="str">
        <f t="shared" si="1079"/>
        <v/>
      </c>
      <c r="U6862" t="str">
        <f t="shared" si="1080"/>
        <v/>
      </c>
      <c r="V6862" t="str">
        <f t="shared" si="1081"/>
        <v/>
      </c>
      <c r="W6862" t="str">
        <f t="shared" si="1082"/>
        <v/>
      </c>
      <c r="X6862">
        <f t="shared" si="1072"/>
        <v>0</v>
      </c>
      <c r="Z6862" t="str">
        <f t="shared" si="1083"/>
        <v/>
      </c>
      <c r="AA6862">
        <f t="shared" si="1073"/>
        <v>0</v>
      </c>
    </row>
    <row r="6863" spans="1:27" ht="21" customHeight="1" x14ac:dyDescent="0.95">
      <c r="A6863" s="56"/>
      <c r="B6863" s="57"/>
      <c r="C6863" s="57"/>
      <c r="D6863" s="57"/>
      <c r="E6863" s="56"/>
      <c r="F6863" s="57"/>
      <c r="G6863" s="57"/>
      <c r="H6863" s="56"/>
      <c r="I6863" s="56"/>
      <c r="J6863" s="58"/>
      <c r="K6863" s="58"/>
      <c r="L6863" s="13" t="str">
        <f t="shared" si="1074"/>
        <v/>
      </c>
      <c r="M6863" s="13" t="str">
        <f t="shared" si="1075"/>
        <v/>
      </c>
      <c r="Q6863" t="str">
        <f t="shared" si="1076"/>
        <v/>
      </c>
      <c r="R6863" t="str">
        <f t="shared" si="1077"/>
        <v/>
      </c>
      <c r="S6863" t="str">
        <f t="shared" si="1078"/>
        <v/>
      </c>
      <c r="T6863" t="str">
        <f t="shared" si="1079"/>
        <v/>
      </c>
      <c r="U6863" t="str">
        <f t="shared" si="1080"/>
        <v/>
      </c>
      <c r="V6863" t="str">
        <f t="shared" si="1081"/>
        <v/>
      </c>
      <c r="W6863" t="str">
        <f t="shared" si="1082"/>
        <v/>
      </c>
      <c r="X6863">
        <f t="shared" si="1072"/>
        <v>0</v>
      </c>
      <c r="Z6863" t="str">
        <f t="shared" si="1083"/>
        <v/>
      </c>
      <c r="AA6863">
        <f t="shared" si="1073"/>
        <v>0</v>
      </c>
    </row>
    <row r="6864" spans="1:27" ht="21" customHeight="1" x14ac:dyDescent="0.95">
      <c r="A6864" s="56"/>
      <c r="B6864" s="57"/>
      <c r="C6864" s="57"/>
      <c r="D6864" s="57"/>
      <c r="E6864" s="56"/>
      <c r="F6864" s="57"/>
      <c r="G6864" s="57"/>
      <c r="H6864" s="56"/>
      <c r="I6864" s="56"/>
      <c r="J6864" s="58"/>
      <c r="K6864" s="58"/>
      <c r="L6864" s="13" t="str">
        <f t="shared" si="1074"/>
        <v/>
      </c>
      <c r="M6864" s="13" t="str">
        <f t="shared" si="1075"/>
        <v/>
      </c>
      <c r="Q6864" t="str">
        <f t="shared" si="1076"/>
        <v/>
      </c>
      <c r="R6864" t="str">
        <f t="shared" si="1077"/>
        <v/>
      </c>
      <c r="S6864" t="str">
        <f t="shared" si="1078"/>
        <v/>
      </c>
      <c r="T6864" t="str">
        <f t="shared" si="1079"/>
        <v/>
      </c>
      <c r="U6864" t="str">
        <f t="shared" si="1080"/>
        <v/>
      </c>
      <c r="V6864" t="str">
        <f t="shared" si="1081"/>
        <v/>
      </c>
      <c r="W6864" t="str">
        <f t="shared" si="1082"/>
        <v/>
      </c>
      <c r="X6864">
        <f t="shared" si="1072"/>
        <v>0</v>
      </c>
      <c r="Z6864" t="str">
        <f t="shared" si="1083"/>
        <v/>
      </c>
      <c r="AA6864">
        <f t="shared" si="1073"/>
        <v>0</v>
      </c>
    </row>
    <row r="6865" spans="1:27" ht="21" customHeight="1" x14ac:dyDescent="0.95">
      <c r="A6865" s="56"/>
      <c r="B6865" s="57"/>
      <c r="C6865" s="57"/>
      <c r="D6865" s="57"/>
      <c r="E6865" s="56"/>
      <c r="F6865" s="57"/>
      <c r="G6865" s="57"/>
      <c r="H6865" s="56"/>
      <c r="I6865" s="56"/>
      <c r="J6865" s="58"/>
      <c r="K6865" s="58"/>
      <c r="L6865" s="13" t="str">
        <f t="shared" si="1074"/>
        <v/>
      </c>
      <c r="M6865" s="13" t="str">
        <f t="shared" si="1075"/>
        <v/>
      </c>
      <c r="Q6865" t="str">
        <f t="shared" si="1076"/>
        <v/>
      </c>
      <c r="R6865" t="str">
        <f t="shared" si="1077"/>
        <v/>
      </c>
      <c r="S6865" t="str">
        <f t="shared" si="1078"/>
        <v/>
      </c>
      <c r="T6865" t="str">
        <f t="shared" si="1079"/>
        <v/>
      </c>
      <c r="U6865" t="str">
        <f t="shared" si="1080"/>
        <v/>
      </c>
      <c r="V6865" t="str">
        <f t="shared" si="1081"/>
        <v/>
      </c>
      <c r="W6865" t="str">
        <f t="shared" si="1082"/>
        <v/>
      </c>
      <c r="X6865">
        <f t="shared" si="1072"/>
        <v>0</v>
      </c>
      <c r="Z6865" t="str">
        <f t="shared" si="1083"/>
        <v/>
      </c>
      <c r="AA6865">
        <f t="shared" si="1073"/>
        <v>0</v>
      </c>
    </row>
    <row r="6866" spans="1:27" ht="21" customHeight="1" x14ac:dyDescent="0.95">
      <c r="A6866" s="56"/>
      <c r="B6866" s="57"/>
      <c r="C6866" s="57"/>
      <c r="D6866" s="57"/>
      <c r="E6866" s="56"/>
      <c r="F6866" s="57"/>
      <c r="G6866" s="57"/>
      <c r="H6866" s="56"/>
      <c r="I6866" s="56"/>
      <c r="J6866" s="58"/>
      <c r="K6866" s="58"/>
      <c r="L6866" s="13" t="str">
        <f t="shared" si="1074"/>
        <v/>
      </c>
      <c r="M6866" s="13" t="str">
        <f t="shared" si="1075"/>
        <v/>
      </c>
      <c r="Q6866" t="str">
        <f t="shared" si="1076"/>
        <v/>
      </c>
      <c r="R6866" t="str">
        <f t="shared" si="1077"/>
        <v/>
      </c>
      <c r="S6866" t="str">
        <f t="shared" si="1078"/>
        <v/>
      </c>
      <c r="T6866" t="str">
        <f t="shared" si="1079"/>
        <v/>
      </c>
      <c r="U6866" t="str">
        <f t="shared" si="1080"/>
        <v/>
      </c>
      <c r="V6866" t="str">
        <f t="shared" si="1081"/>
        <v/>
      </c>
      <c r="W6866" t="str">
        <f t="shared" si="1082"/>
        <v/>
      </c>
      <c r="X6866">
        <f t="shared" si="1072"/>
        <v>0</v>
      </c>
      <c r="Z6866" t="str">
        <f t="shared" si="1083"/>
        <v/>
      </c>
      <c r="AA6866">
        <f t="shared" si="1073"/>
        <v>0</v>
      </c>
    </row>
    <row r="6867" spans="1:27" ht="21" customHeight="1" x14ac:dyDescent="0.95">
      <c r="A6867" s="56"/>
      <c r="B6867" s="57"/>
      <c r="C6867" s="57"/>
      <c r="D6867" s="57"/>
      <c r="E6867" s="56"/>
      <c r="F6867" s="57"/>
      <c r="G6867" s="57"/>
      <c r="H6867" s="56"/>
      <c r="I6867" s="56"/>
      <c r="J6867" s="58"/>
      <c r="K6867" s="58"/>
      <c r="L6867" s="13" t="str">
        <f t="shared" si="1074"/>
        <v/>
      </c>
      <c r="M6867" s="13" t="str">
        <f t="shared" si="1075"/>
        <v/>
      </c>
      <c r="Q6867" t="str">
        <f t="shared" si="1076"/>
        <v/>
      </c>
      <c r="R6867" t="str">
        <f t="shared" si="1077"/>
        <v/>
      </c>
      <c r="S6867" t="str">
        <f t="shared" si="1078"/>
        <v/>
      </c>
      <c r="T6867" t="str">
        <f t="shared" si="1079"/>
        <v/>
      </c>
      <c r="U6867" t="str">
        <f t="shared" si="1080"/>
        <v/>
      </c>
      <c r="V6867" t="str">
        <f t="shared" si="1081"/>
        <v/>
      </c>
      <c r="W6867" t="str">
        <f t="shared" si="1082"/>
        <v/>
      </c>
      <c r="X6867">
        <f t="shared" si="1072"/>
        <v>0</v>
      </c>
      <c r="Z6867" t="str">
        <f t="shared" si="1083"/>
        <v/>
      </c>
      <c r="AA6867">
        <f t="shared" si="1073"/>
        <v>0</v>
      </c>
    </row>
    <row r="6868" spans="1:27" ht="21" customHeight="1" x14ac:dyDescent="0.95">
      <c r="A6868" s="56"/>
      <c r="B6868" s="57"/>
      <c r="C6868" s="57"/>
      <c r="D6868" s="57"/>
      <c r="E6868" s="56"/>
      <c r="F6868" s="57"/>
      <c r="G6868" s="57"/>
      <c r="H6868" s="56"/>
      <c r="I6868" s="56"/>
      <c r="J6868" s="58"/>
      <c r="K6868" s="58"/>
      <c r="L6868" s="13" t="str">
        <f t="shared" si="1074"/>
        <v/>
      </c>
      <c r="M6868" s="13" t="str">
        <f t="shared" si="1075"/>
        <v/>
      </c>
      <c r="Q6868" t="str">
        <f t="shared" si="1076"/>
        <v/>
      </c>
      <c r="R6868" t="str">
        <f t="shared" si="1077"/>
        <v/>
      </c>
      <c r="S6868" t="str">
        <f t="shared" si="1078"/>
        <v/>
      </c>
      <c r="T6868" t="str">
        <f t="shared" si="1079"/>
        <v/>
      </c>
      <c r="U6868" t="str">
        <f t="shared" si="1080"/>
        <v/>
      </c>
      <c r="V6868" t="str">
        <f t="shared" si="1081"/>
        <v/>
      </c>
      <c r="W6868" t="str">
        <f t="shared" si="1082"/>
        <v/>
      </c>
      <c r="X6868">
        <f t="shared" si="1072"/>
        <v>0</v>
      </c>
      <c r="Z6868" t="str">
        <f t="shared" si="1083"/>
        <v/>
      </c>
      <c r="AA6868">
        <f t="shared" si="1073"/>
        <v>0</v>
      </c>
    </row>
    <row r="6869" spans="1:27" ht="21" customHeight="1" x14ac:dyDescent="0.95">
      <c r="A6869" s="56"/>
      <c r="B6869" s="57"/>
      <c r="C6869" s="57"/>
      <c r="D6869" s="57"/>
      <c r="E6869" s="56"/>
      <c r="F6869" s="57"/>
      <c r="G6869" s="57"/>
      <c r="H6869" s="56"/>
      <c r="I6869" s="56"/>
      <c r="J6869" s="58"/>
      <c r="K6869" s="58"/>
      <c r="L6869" s="13" t="str">
        <f t="shared" si="1074"/>
        <v/>
      </c>
      <c r="M6869" s="13" t="str">
        <f t="shared" si="1075"/>
        <v/>
      </c>
      <c r="Q6869" t="str">
        <f t="shared" si="1076"/>
        <v/>
      </c>
      <c r="R6869" t="str">
        <f t="shared" si="1077"/>
        <v/>
      </c>
      <c r="S6869" t="str">
        <f t="shared" si="1078"/>
        <v/>
      </c>
      <c r="T6869" t="str">
        <f t="shared" si="1079"/>
        <v/>
      </c>
      <c r="U6869" t="str">
        <f t="shared" si="1080"/>
        <v/>
      </c>
      <c r="V6869" t="str">
        <f t="shared" si="1081"/>
        <v/>
      </c>
      <c r="W6869" t="str">
        <f t="shared" si="1082"/>
        <v/>
      </c>
      <c r="X6869">
        <f t="shared" si="1072"/>
        <v>0</v>
      </c>
      <c r="Z6869" t="str">
        <f t="shared" si="1083"/>
        <v/>
      </c>
      <c r="AA6869">
        <f t="shared" si="1073"/>
        <v>0</v>
      </c>
    </row>
    <row r="6870" spans="1:27" ht="21" customHeight="1" x14ac:dyDescent="0.95">
      <c r="A6870" s="56"/>
      <c r="B6870" s="57"/>
      <c r="C6870" s="57"/>
      <c r="D6870" s="57"/>
      <c r="E6870" s="56"/>
      <c r="F6870" s="57"/>
      <c r="G6870" s="57"/>
      <c r="H6870" s="56"/>
      <c r="I6870" s="56"/>
      <c r="J6870" s="58"/>
      <c r="K6870" s="58"/>
      <c r="L6870" s="13" t="str">
        <f t="shared" si="1074"/>
        <v/>
      </c>
      <c r="M6870" s="13" t="str">
        <f t="shared" si="1075"/>
        <v/>
      </c>
      <c r="Q6870" t="str">
        <f t="shared" si="1076"/>
        <v/>
      </c>
      <c r="R6870" t="str">
        <f t="shared" si="1077"/>
        <v/>
      </c>
      <c r="S6870" t="str">
        <f t="shared" si="1078"/>
        <v/>
      </c>
      <c r="T6870" t="str">
        <f t="shared" si="1079"/>
        <v/>
      </c>
      <c r="U6870" t="str">
        <f t="shared" si="1080"/>
        <v/>
      </c>
      <c r="V6870" t="str">
        <f t="shared" si="1081"/>
        <v/>
      </c>
      <c r="W6870" t="str">
        <f t="shared" si="1082"/>
        <v/>
      </c>
      <c r="X6870">
        <f t="shared" si="1072"/>
        <v>0</v>
      </c>
      <c r="Z6870" t="str">
        <f t="shared" si="1083"/>
        <v/>
      </c>
      <c r="AA6870">
        <f t="shared" si="1073"/>
        <v>0</v>
      </c>
    </row>
    <row r="6871" spans="1:27" ht="21" customHeight="1" x14ac:dyDescent="0.95">
      <c r="A6871" s="56"/>
      <c r="B6871" s="57"/>
      <c r="C6871" s="57"/>
      <c r="D6871" s="57"/>
      <c r="E6871" s="56"/>
      <c r="F6871" s="57"/>
      <c r="G6871" s="57"/>
      <c r="H6871" s="56"/>
      <c r="I6871" s="56"/>
      <c r="J6871" s="58"/>
      <c r="K6871" s="58"/>
      <c r="L6871" s="13" t="str">
        <f t="shared" si="1074"/>
        <v/>
      </c>
      <c r="M6871" s="13" t="str">
        <f t="shared" si="1075"/>
        <v/>
      </c>
      <c r="Q6871" t="str">
        <f t="shared" si="1076"/>
        <v/>
      </c>
      <c r="R6871" t="str">
        <f t="shared" si="1077"/>
        <v/>
      </c>
      <c r="S6871" t="str">
        <f t="shared" si="1078"/>
        <v/>
      </c>
      <c r="T6871" t="str">
        <f t="shared" si="1079"/>
        <v/>
      </c>
      <c r="U6871" t="str">
        <f t="shared" si="1080"/>
        <v/>
      </c>
      <c r="V6871" t="str">
        <f t="shared" si="1081"/>
        <v/>
      </c>
      <c r="W6871" t="str">
        <f t="shared" si="1082"/>
        <v/>
      </c>
      <c r="X6871">
        <f t="shared" si="1072"/>
        <v>0</v>
      </c>
      <c r="Z6871" t="str">
        <f t="shared" si="1083"/>
        <v/>
      </c>
      <c r="AA6871">
        <f t="shared" si="1073"/>
        <v>0</v>
      </c>
    </row>
    <row r="6872" spans="1:27" ht="21" customHeight="1" x14ac:dyDescent="0.95">
      <c r="A6872" s="56"/>
      <c r="B6872" s="57"/>
      <c r="C6872" s="57"/>
      <c r="D6872" s="57"/>
      <c r="E6872" s="56"/>
      <c r="F6872" s="57"/>
      <c r="G6872" s="57"/>
      <c r="H6872" s="56"/>
      <c r="I6872" s="56"/>
      <c r="J6872" s="58"/>
      <c r="K6872" s="58"/>
      <c r="L6872" s="13" t="str">
        <f t="shared" si="1074"/>
        <v/>
      </c>
      <c r="M6872" s="13" t="str">
        <f t="shared" si="1075"/>
        <v/>
      </c>
      <c r="Q6872" t="str">
        <f t="shared" si="1076"/>
        <v/>
      </c>
      <c r="R6872" t="str">
        <f t="shared" si="1077"/>
        <v/>
      </c>
      <c r="S6872" t="str">
        <f t="shared" si="1078"/>
        <v/>
      </c>
      <c r="T6872" t="str">
        <f t="shared" si="1079"/>
        <v/>
      </c>
      <c r="U6872" t="str">
        <f t="shared" si="1080"/>
        <v/>
      </c>
      <c r="V6872" t="str">
        <f t="shared" si="1081"/>
        <v/>
      </c>
      <c r="W6872" t="str">
        <f t="shared" si="1082"/>
        <v/>
      </c>
      <c r="X6872">
        <f t="shared" si="1072"/>
        <v>0</v>
      </c>
      <c r="Z6872" t="str">
        <f t="shared" si="1083"/>
        <v/>
      </c>
      <c r="AA6872">
        <f t="shared" si="1073"/>
        <v>0</v>
      </c>
    </row>
    <row r="6873" spans="1:27" ht="21" customHeight="1" x14ac:dyDescent="0.95">
      <c r="A6873" s="56"/>
      <c r="B6873" s="57"/>
      <c r="C6873" s="57"/>
      <c r="D6873" s="57"/>
      <c r="E6873" s="56"/>
      <c r="F6873" s="57"/>
      <c r="G6873" s="57"/>
      <c r="H6873" s="56"/>
      <c r="I6873" s="56"/>
      <c r="J6873" s="58"/>
      <c r="K6873" s="58"/>
      <c r="L6873" s="13" t="str">
        <f t="shared" si="1074"/>
        <v/>
      </c>
      <c r="M6873" s="13" t="str">
        <f t="shared" si="1075"/>
        <v/>
      </c>
      <c r="Q6873" t="str">
        <f t="shared" si="1076"/>
        <v/>
      </c>
      <c r="R6873" t="str">
        <f t="shared" si="1077"/>
        <v/>
      </c>
      <c r="S6873" t="str">
        <f t="shared" si="1078"/>
        <v/>
      </c>
      <c r="T6873" t="str">
        <f t="shared" si="1079"/>
        <v/>
      </c>
      <c r="U6873" t="str">
        <f t="shared" si="1080"/>
        <v/>
      </c>
      <c r="V6873" t="str">
        <f t="shared" si="1081"/>
        <v/>
      </c>
      <c r="W6873" t="str">
        <f t="shared" si="1082"/>
        <v/>
      </c>
      <c r="X6873">
        <f t="shared" si="1072"/>
        <v>0</v>
      </c>
      <c r="Z6873" t="str">
        <f t="shared" si="1083"/>
        <v/>
      </c>
      <c r="AA6873">
        <f t="shared" si="1073"/>
        <v>0</v>
      </c>
    </row>
    <row r="6874" spans="1:27" ht="21" customHeight="1" x14ac:dyDescent="0.95">
      <c r="A6874" s="56"/>
      <c r="B6874" s="57"/>
      <c r="C6874" s="57"/>
      <c r="D6874" s="57"/>
      <c r="E6874" s="56"/>
      <c r="F6874" s="57"/>
      <c r="G6874" s="57"/>
      <c r="H6874" s="56"/>
      <c r="I6874" s="56"/>
      <c r="J6874" s="58"/>
      <c r="K6874" s="58"/>
      <c r="L6874" s="13" t="str">
        <f t="shared" si="1074"/>
        <v/>
      </c>
      <c r="M6874" s="13" t="str">
        <f t="shared" si="1075"/>
        <v/>
      </c>
      <c r="Q6874" t="str">
        <f t="shared" si="1076"/>
        <v/>
      </c>
      <c r="R6874" t="str">
        <f t="shared" si="1077"/>
        <v/>
      </c>
      <c r="S6874" t="str">
        <f t="shared" si="1078"/>
        <v/>
      </c>
      <c r="T6874" t="str">
        <f t="shared" si="1079"/>
        <v/>
      </c>
      <c r="U6874" t="str">
        <f t="shared" si="1080"/>
        <v/>
      </c>
      <c r="V6874" t="str">
        <f t="shared" si="1081"/>
        <v/>
      </c>
      <c r="W6874" t="str">
        <f t="shared" si="1082"/>
        <v/>
      </c>
      <c r="X6874">
        <f t="shared" si="1072"/>
        <v>0</v>
      </c>
      <c r="Z6874" t="str">
        <f t="shared" si="1083"/>
        <v/>
      </c>
      <c r="AA6874">
        <f t="shared" si="1073"/>
        <v>0</v>
      </c>
    </row>
    <row r="6875" spans="1:27" ht="21" customHeight="1" x14ac:dyDescent="0.95">
      <c r="A6875" s="56"/>
      <c r="B6875" s="57"/>
      <c r="C6875" s="57"/>
      <c r="D6875" s="57"/>
      <c r="E6875" s="56"/>
      <c r="F6875" s="57"/>
      <c r="G6875" s="57"/>
      <c r="H6875" s="56"/>
      <c r="I6875" s="56"/>
      <c r="J6875" s="58"/>
      <c r="K6875" s="58"/>
      <c r="L6875" s="13" t="str">
        <f t="shared" si="1074"/>
        <v/>
      </c>
      <c r="M6875" s="13" t="str">
        <f t="shared" si="1075"/>
        <v/>
      </c>
      <c r="Q6875" t="str">
        <f t="shared" si="1076"/>
        <v/>
      </c>
      <c r="R6875" t="str">
        <f t="shared" si="1077"/>
        <v/>
      </c>
      <c r="S6875" t="str">
        <f t="shared" si="1078"/>
        <v/>
      </c>
      <c r="T6875" t="str">
        <f t="shared" si="1079"/>
        <v/>
      </c>
      <c r="U6875" t="str">
        <f t="shared" si="1080"/>
        <v/>
      </c>
      <c r="V6875" t="str">
        <f t="shared" si="1081"/>
        <v/>
      </c>
      <c r="W6875" t="str">
        <f t="shared" si="1082"/>
        <v/>
      </c>
      <c r="X6875">
        <f t="shared" si="1072"/>
        <v>0</v>
      </c>
      <c r="Z6875" t="str">
        <f t="shared" si="1083"/>
        <v/>
      </c>
      <c r="AA6875">
        <f t="shared" si="1073"/>
        <v>0</v>
      </c>
    </row>
    <row r="6876" spans="1:27" ht="21" customHeight="1" x14ac:dyDescent="0.95">
      <c r="A6876" s="56"/>
      <c r="B6876" s="57"/>
      <c r="C6876" s="57"/>
      <c r="D6876" s="57"/>
      <c r="E6876" s="56"/>
      <c r="F6876" s="57"/>
      <c r="G6876" s="57"/>
      <c r="H6876" s="56"/>
      <c r="I6876" s="56"/>
      <c r="J6876" s="58"/>
      <c r="K6876" s="58"/>
      <c r="L6876" s="13" t="str">
        <f t="shared" si="1074"/>
        <v/>
      </c>
      <c r="M6876" s="13" t="str">
        <f t="shared" si="1075"/>
        <v/>
      </c>
      <c r="Q6876" t="str">
        <f t="shared" si="1076"/>
        <v/>
      </c>
      <c r="R6876" t="str">
        <f t="shared" si="1077"/>
        <v/>
      </c>
      <c r="S6876" t="str">
        <f t="shared" si="1078"/>
        <v/>
      </c>
      <c r="T6876" t="str">
        <f t="shared" si="1079"/>
        <v/>
      </c>
      <c r="U6876" t="str">
        <f t="shared" si="1080"/>
        <v/>
      </c>
      <c r="V6876" t="str">
        <f t="shared" si="1081"/>
        <v/>
      </c>
      <c r="W6876" t="str">
        <f t="shared" si="1082"/>
        <v/>
      </c>
      <c r="X6876">
        <f t="shared" si="1072"/>
        <v>0</v>
      </c>
      <c r="Z6876" t="str">
        <f t="shared" si="1083"/>
        <v/>
      </c>
      <c r="AA6876">
        <f t="shared" si="1073"/>
        <v>0</v>
      </c>
    </row>
    <row r="6877" spans="1:27" ht="21" customHeight="1" x14ac:dyDescent="0.95">
      <c r="A6877" s="56"/>
      <c r="B6877" s="57"/>
      <c r="C6877" s="57"/>
      <c r="D6877" s="57"/>
      <c r="E6877" s="56"/>
      <c r="F6877" s="57"/>
      <c r="G6877" s="57"/>
      <c r="H6877" s="56"/>
      <c r="I6877" s="56"/>
      <c r="J6877" s="58"/>
      <c r="K6877" s="58"/>
      <c r="L6877" s="13" t="str">
        <f t="shared" si="1074"/>
        <v/>
      </c>
      <c r="M6877" s="13" t="str">
        <f t="shared" si="1075"/>
        <v/>
      </c>
      <c r="Q6877" t="str">
        <f t="shared" si="1076"/>
        <v/>
      </c>
      <c r="R6877" t="str">
        <f t="shared" si="1077"/>
        <v/>
      </c>
      <c r="S6877" t="str">
        <f t="shared" si="1078"/>
        <v/>
      </c>
      <c r="T6877" t="str">
        <f t="shared" si="1079"/>
        <v/>
      </c>
      <c r="U6877" t="str">
        <f t="shared" si="1080"/>
        <v/>
      </c>
      <c r="V6877" t="str">
        <f t="shared" si="1081"/>
        <v/>
      </c>
      <c r="W6877" t="str">
        <f t="shared" si="1082"/>
        <v/>
      </c>
      <c r="X6877">
        <f t="shared" si="1072"/>
        <v>0</v>
      </c>
      <c r="Z6877" t="str">
        <f t="shared" si="1083"/>
        <v/>
      </c>
      <c r="AA6877">
        <f t="shared" si="1073"/>
        <v>0</v>
      </c>
    </row>
    <row r="6878" spans="1:27" ht="21" customHeight="1" x14ac:dyDescent="0.95">
      <c r="A6878" s="56"/>
      <c r="B6878" s="57"/>
      <c r="C6878" s="57"/>
      <c r="D6878" s="57"/>
      <c r="E6878" s="56"/>
      <c r="F6878" s="57"/>
      <c r="G6878" s="57"/>
      <c r="H6878" s="56"/>
      <c r="I6878" s="56"/>
      <c r="J6878" s="58"/>
      <c r="K6878" s="58"/>
      <c r="L6878" s="13" t="str">
        <f t="shared" si="1074"/>
        <v/>
      </c>
      <c r="M6878" s="13" t="str">
        <f t="shared" si="1075"/>
        <v/>
      </c>
      <c r="Q6878" t="str">
        <f t="shared" si="1076"/>
        <v/>
      </c>
      <c r="R6878" t="str">
        <f t="shared" si="1077"/>
        <v/>
      </c>
      <c r="S6878" t="str">
        <f t="shared" si="1078"/>
        <v/>
      </c>
      <c r="T6878" t="str">
        <f t="shared" si="1079"/>
        <v/>
      </c>
      <c r="U6878" t="str">
        <f t="shared" si="1080"/>
        <v/>
      </c>
      <c r="V6878" t="str">
        <f t="shared" si="1081"/>
        <v/>
      </c>
      <c r="W6878" t="str">
        <f t="shared" si="1082"/>
        <v/>
      </c>
      <c r="X6878">
        <f t="shared" si="1072"/>
        <v>0</v>
      </c>
      <c r="Z6878" t="str">
        <f t="shared" si="1083"/>
        <v/>
      </c>
      <c r="AA6878">
        <f t="shared" si="1073"/>
        <v>0</v>
      </c>
    </row>
    <row r="6879" spans="1:27" ht="21" customHeight="1" x14ac:dyDescent="0.95">
      <c r="A6879" s="56"/>
      <c r="B6879" s="57"/>
      <c r="C6879" s="57"/>
      <c r="D6879" s="57"/>
      <c r="E6879" s="56"/>
      <c r="F6879" s="57"/>
      <c r="G6879" s="57"/>
      <c r="H6879" s="56"/>
      <c r="I6879" s="56"/>
      <c r="J6879" s="58"/>
      <c r="K6879" s="58"/>
      <c r="L6879" s="13" t="str">
        <f t="shared" si="1074"/>
        <v/>
      </c>
      <c r="M6879" s="13" t="str">
        <f t="shared" si="1075"/>
        <v/>
      </c>
      <c r="Q6879" t="str">
        <f t="shared" si="1076"/>
        <v/>
      </c>
      <c r="R6879" t="str">
        <f t="shared" si="1077"/>
        <v/>
      </c>
      <c r="S6879" t="str">
        <f t="shared" si="1078"/>
        <v/>
      </c>
      <c r="T6879" t="str">
        <f t="shared" si="1079"/>
        <v/>
      </c>
      <c r="U6879" t="str">
        <f t="shared" si="1080"/>
        <v/>
      </c>
      <c r="V6879" t="str">
        <f t="shared" si="1081"/>
        <v/>
      </c>
      <c r="W6879" t="str">
        <f t="shared" si="1082"/>
        <v/>
      </c>
      <c r="X6879">
        <f t="shared" si="1072"/>
        <v>0</v>
      </c>
      <c r="Z6879" t="str">
        <f t="shared" si="1083"/>
        <v/>
      </c>
      <c r="AA6879">
        <f t="shared" si="1073"/>
        <v>0</v>
      </c>
    </row>
    <row r="6880" spans="1:27" ht="21" customHeight="1" x14ac:dyDescent="0.95">
      <c r="A6880" s="56"/>
      <c r="B6880" s="57"/>
      <c r="C6880" s="57"/>
      <c r="D6880" s="57"/>
      <c r="E6880" s="56"/>
      <c r="F6880" s="57"/>
      <c r="G6880" s="57"/>
      <c r="H6880" s="56"/>
      <c r="I6880" s="56"/>
      <c r="J6880" s="58"/>
      <c r="K6880" s="58"/>
      <c r="L6880" s="13" t="str">
        <f t="shared" si="1074"/>
        <v/>
      </c>
      <c r="M6880" s="13" t="str">
        <f t="shared" si="1075"/>
        <v/>
      </c>
      <c r="Q6880" t="str">
        <f t="shared" si="1076"/>
        <v/>
      </c>
      <c r="R6880" t="str">
        <f t="shared" si="1077"/>
        <v/>
      </c>
      <c r="S6880" t="str">
        <f t="shared" si="1078"/>
        <v/>
      </c>
      <c r="T6880" t="str">
        <f t="shared" si="1079"/>
        <v/>
      </c>
      <c r="U6880" t="str">
        <f t="shared" si="1080"/>
        <v/>
      </c>
      <c r="V6880" t="str">
        <f t="shared" si="1081"/>
        <v/>
      </c>
      <c r="W6880" t="str">
        <f t="shared" si="1082"/>
        <v/>
      </c>
      <c r="X6880">
        <f t="shared" si="1072"/>
        <v>0</v>
      </c>
      <c r="Z6880" t="str">
        <f t="shared" si="1083"/>
        <v/>
      </c>
      <c r="AA6880">
        <f t="shared" si="1073"/>
        <v>0</v>
      </c>
    </row>
    <row r="6881" spans="1:27" ht="21" customHeight="1" x14ac:dyDescent="0.95">
      <c r="A6881" s="56"/>
      <c r="B6881" s="57"/>
      <c r="C6881" s="57"/>
      <c r="D6881" s="57"/>
      <c r="E6881" s="56"/>
      <c r="F6881" s="57"/>
      <c r="G6881" s="57"/>
      <c r="H6881" s="56"/>
      <c r="I6881" s="56"/>
      <c r="J6881" s="58"/>
      <c r="K6881" s="58"/>
      <c r="L6881" s="13" t="str">
        <f t="shared" si="1074"/>
        <v/>
      </c>
      <c r="M6881" s="13" t="str">
        <f t="shared" si="1075"/>
        <v/>
      </c>
      <c r="Q6881" t="str">
        <f t="shared" si="1076"/>
        <v/>
      </c>
      <c r="R6881" t="str">
        <f t="shared" si="1077"/>
        <v/>
      </c>
      <c r="S6881" t="str">
        <f t="shared" si="1078"/>
        <v/>
      </c>
      <c r="T6881" t="str">
        <f t="shared" si="1079"/>
        <v/>
      </c>
      <c r="U6881" t="str">
        <f t="shared" si="1080"/>
        <v/>
      </c>
      <c r="V6881" t="str">
        <f t="shared" si="1081"/>
        <v/>
      </c>
      <c r="W6881" t="str">
        <f t="shared" si="1082"/>
        <v/>
      </c>
      <c r="X6881">
        <f t="shared" si="1072"/>
        <v>0</v>
      </c>
      <c r="Z6881" t="str">
        <f t="shared" si="1083"/>
        <v/>
      </c>
      <c r="AA6881">
        <f t="shared" si="1073"/>
        <v>0</v>
      </c>
    </row>
    <row r="6882" spans="1:27" ht="21" customHeight="1" x14ac:dyDescent="0.95">
      <c r="A6882" s="56"/>
      <c r="B6882" s="57"/>
      <c r="C6882" s="57"/>
      <c r="D6882" s="57"/>
      <c r="E6882" s="56"/>
      <c r="F6882" s="57"/>
      <c r="G6882" s="57"/>
      <c r="H6882" s="56"/>
      <c r="I6882" s="56"/>
      <c r="J6882" s="58"/>
      <c r="K6882" s="58"/>
      <c r="L6882" s="13" t="str">
        <f t="shared" si="1074"/>
        <v/>
      </c>
      <c r="M6882" s="13" t="str">
        <f t="shared" si="1075"/>
        <v/>
      </c>
      <c r="Q6882" t="str">
        <f t="shared" si="1076"/>
        <v/>
      </c>
      <c r="R6882" t="str">
        <f t="shared" si="1077"/>
        <v/>
      </c>
      <c r="S6882" t="str">
        <f t="shared" si="1078"/>
        <v/>
      </c>
      <c r="T6882" t="str">
        <f t="shared" si="1079"/>
        <v/>
      </c>
      <c r="U6882" t="str">
        <f t="shared" si="1080"/>
        <v/>
      </c>
      <c r="V6882" t="str">
        <f t="shared" si="1081"/>
        <v/>
      </c>
      <c r="W6882" t="str">
        <f t="shared" si="1082"/>
        <v/>
      </c>
      <c r="X6882">
        <f t="shared" si="1072"/>
        <v>0</v>
      </c>
      <c r="Z6882" t="str">
        <f t="shared" si="1083"/>
        <v/>
      </c>
      <c r="AA6882">
        <f t="shared" si="1073"/>
        <v>0</v>
      </c>
    </row>
    <row r="6883" spans="1:27" ht="21" customHeight="1" x14ac:dyDescent="0.95">
      <c r="A6883" s="56"/>
      <c r="B6883" s="57"/>
      <c r="C6883" s="57"/>
      <c r="D6883" s="57"/>
      <c r="E6883" s="56"/>
      <c r="F6883" s="57"/>
      <c r="G6883" s="57"/>
      <c r="H6883" s="56"/>
      <c r="I6883" s="56"/>
      <c r="J6883" s="58"/>
      <c r="K6883" s="58"/>
      <c r="L6883" s="13" t="str">
        <f t="shared" si="1074"/>
        <v/>
      </c>
      <c r="M6883" s="13" t="str">
        <f t="shared" si="1075"/>
        <v/>
      </c>
      <c r="Q6883" t="str">
        <f t="shared" si="1076"/>
        <v/>
      </c>
      <c r="R6883" t="str">
        <f t="shared" si="1077"/>
        <v/>
      </c>
      <c r="S6883" t="str">
        <f t="shared" si="1078"/>
        <v/>
      </c>
      <c r="T6883" t="str">
        <f t="shared" si="1079"/>
        <v/>
      </c>
      <c r="U6883" t="str">
        <f t="shared" si="1080"/>
        <v/>
      </c>
      <c r="V6883" t="str">
        <f t="shared" si="1081"/>
        <v/>
      </c>
      <c r="W6883" t="str">
        <f t="shared" si="1082"/>
        <v/>
      </c>
      <c r="X6883">
        <f t="shared" si="1072"/>
        <v>0</v>
      </c>
      <c r="Z6883" t="str">
        <f t="shared" si="1083"/>
        <v/>
      </c>
      <c r="AA6883">
        <f t="shared" si="1073"/>
        <v>0</v>
      </c>
    </row>
    <row r="6884" spans="1:27" ht="21" customHeight="1" x14ac:dyDescent="0.95">
      <c r="A6884" s="56"/>
      <c r="B6884" s="57"/>
      <c r="C6884" s="57"/>
      <c r="D6884" s="57"/>
      <c r="E6884" s="56"/>
      <c r="F6884" s="57"/>
      <c r="G6884" s="57"/>
      <c r="H6884" s="56"/>
      <c r="I6884" s="56"/>
      <c r="J6884" s="58"/>
      <c r="K6884" s="58"/>
      <c r="L6884" s="13" t="str">
        <f t="shared" si="1074"/>
        <v/>
      </c>
      <c r="M6884" s="13" t="str">
        <f t="shared" si="1075"/>
        <v/>
      </c>
      <c r="Q6884" t="str">
        <f t="shared" si="1076"/>
        <v/>
      </c>
      <c r="R6884" t="str">
        <f t="shared" si="1077"/>
        <v/>
      </c>
      <c r="S6884" t="str">
        <f t="shared" si="1078"/>
        <v/>
      </c>
      <c r="T6884" t="str">
        <f t="shared" si="1079"/>
        <v/>
      </c>
      <c r="U6884" t="str">
        <f t="shared" si="1080"/>
        <v/>
      </c>
      <c r="V6884" t="str">
        <f t="shared" si="1081"/>
        <v/>
      </c>
      <c r="W6884" t="str">
        <f t="shared" si="1082"/>
        <v/>
      </c>
      <c r="X6884">
        <f t="shared" si="1072"/>
        <v>0</v>
      </c>
      <c r="Z6884" t="str">
        <f t="shared" si="1083"/>
        <v/>
      </c>
      <c r="AA6884">
        <f t="shared" si="1073"/>
        <v>0</v>
      </c>
    </row>
    <row r="6885" spans="1:27" ht="21" customHeight="1" x14ac:dyDescent="0.95">
      <c r="A6885" s="56"/>
      <c r="B6885" s="57"/>
      <c r="C6885" s="57"/>
      <c r="D6885" s="57"/>
      <c r="E6885" s="56"/>
      <c r="F6885" s="57"/>
      <c r="G6885" s="57"/>
      <c r="H6885" s="56"/>
      <c r="I6885" s="56"/>
      <c r="J6885" s="58"/>
      <c r="K6885" s="58"/>
      <c r="L6885" s="13" t="str">
        <f t="shared" si="1074"/>
        <v/>
      </c>
      <c r="M6885" s="13" t="str">
        <f t="shared" si="1075"/>
        <v/>
      </c>
      <c r="Q6885" t="str">
        <f t="shared" si="1076"/>
        <v/>
      </c>
      <c r="R6885" t="str">
        <f t="shared" si="1077"/>
        <v/>
      </c>
      <c r="S6885" t="str">
        <f t="shared" si="1078"/>
        <v/>
      </c>
      <c r="T6885" t="str">
        <f t="shared" si="1079"/>
        <v/>
      </c>
      <c r="U6885" t="str">
        <f t="shared" si="1080"/>
        <v/>
      </c>
      <c r="V6885" t="str">
        <f t="shared" si="1081"/>
        <v/>
      </c>
      <c r="W6885" t="str">
        <f t="shared" si="1082"/>
        <v/>
      </c>
      <c r="X6885">
        <f t="shared" si="1072"/>
        <v>0</v>
      </c>
      <c r="Z6885" t="str">
        <f t="shared" si="1083"/>
        <v/>
      </c>
      <c r="AA6885">
        <f t="shared" si="1073"/>
        <v>0</v>
      </c>
    </row>
    <row r="6886" spans="1:27" ht="21" customHeight="1" x14ac:dyDescent="0.95">
      <c r="A6886" s="56"/>
      <c r="B6886" s="57"/>
      <c r="C6886" s="57"/>
      <c r="D6886" s="57"/>
      <c r="E6886" s="56"/>
      <c r="F6886" s="57"/>
      <c r="G6886" s="57"/>
      <c r="H6886" s="56"/>
      <c r="I6886" s="56"/>
      <c r="J6886" s="58"/>
      <c r="K6886" s="58"/>
      <c r="L6886" s="13" t="str">
        <f t="shared" si="1074"/>
        <v/>
      </c>
      <c r="M6886" s="13" t="str">
        <f t="shared" si="1075"/>
        <v/>
      </c>
      <c r="Q6886" t="str">
        <f t="shared" si="1076"/>
        <v/>
      </c>
      <c r="R6886" t="str">
        <f t="shared" si="1077"/>
        <v/>
      </c>
      <c r="S6886" t="str">
        <f t="shared" si="1078"/>
        <v/>
      </c>
      <c r="T6886" t="str">
        <f t="shared" si="1079"/>
        <v/>
      </c>
      <c r="U6886" t="str">
        <f t="shared" si="1080"/>
        <v/>
      </c>
      <c r="V6886" t="str">
        <f t="shared" si="1081"/>
        <v/>
      </c>
      <c r="W6886" t="str">
        <f t="shared" si="1082"/>
        <v/>
      </c>
      <c r="X6886">
        <f t="shared" si="1072"/>
        <v>0</v>
      </c>
      <c r="Z6886" t="str">
        <f t="shared" si="1083"/>
        <v/>
      </c>
      <c r="AA6886">
        <f t="shared" si="1073"/>
        <v>0</v>
      </c>
    </row>
    <row r="6887" spans="1:27" ht="21" customHeight="1" x14ac:dyDescent="0.95">
      <c r="A6887" s="56"/>
      <c r="B6887" s="57"/>
      <c r="C6887" s="57"/>
      <c r="D6887" s="57"/>
      <c r="E6887" s="56"/>
      <c r="F6887" s="57"/>
      <c r="G6887" s="57"/>
      <c r="H6887" s="56"/>
      <c r="I6887" s="56"/>
      <c r="J6887" s="58"/>
      <c r="K6887" s="58"/>
      <c r="L6887" s="13" t="str">
        <f t="shared" si="1074"/>
        <v/>
      </c>
      <c r="M6887" s="13" t="str">
        <f t="shared" si="1075"/>
        <v/>
      </c>
      <c r="Q6887" t="str">
        <f t="shared" si="1076"/>
        <v/>
      </c>
      <c r="R6887" t="str">
        <f t="shared" si="1077"/>
        <v/>
      </c>
      <c r="S6887" t="str">
        <f t="shared" si="1078"/>
        <v/>
      </c>
      <c r="T6887" t="str">
        <f t="shared" si="1079"/>
        <v/>
      </c>
      <c r="U6887" t="str">
        <f t="shared" si="1080"/>
        <v/>
      </c>
      <c r="V6887" t="str">
        <f t="shared" si="1081"/>
        <v/>
      </c>
      <c r="W6887" t="str">
        <f t="shared" si="1082"/>
        <v/>
      </c>
      <c r="X6887">
        <f t="shared" si="1072"/>
        <v>0</v>
      </c>
      <c r="Z6887" t="str">
        <f t="shared" si="1083"/>
        <v/>
      </c>
      <c r="AA6887">
        <f t="shared" si="1073"/>
        <v>0</v>
      </c>
    </row>
    <row r="6888" spans="1:27" ht="21" customHeight="1" x14ac:dyDescent="0.95">
      <c r="A6888" s="56"/>
      <c r="B6888" s="57"/>
      <c r="C6888" s="57"/>
      <c r="D6888" s="57"/>
      <c r="E6888" s="56"/>
      <c r="F6888" s="57"/>
      <c r="G6888" s="57"/>
      <c r="H6888" s="56"/>
      <c r="I6888" s="56"/>
      <c r="J6888" s="58"/>
      <c r="K6888" s="58"/>
      <c r="L6888" s="13" t="str">
        <f t="shared" si="1074"/>
        <v/>
      </c>
      <c r="M6888" s="13" t="str">
        <f t="shared" si="1075"/>
        <v/>
      </c>
      <c r="Q6888" t="str">
        <f t="shared" si="1076"/>
        <v/>
      </c>
      <c r="R6888" t="str">
        <f t="shared" si="1077"/>
        <v/>
      </c>
      <c r="S6888" t="str">
        <f t="shared" si="1078"/>
        <v/>
      </c>
      <c r="T6888" t="str">
        <f t="shared" si="1079"/>
        <v/>
      </c>
      <c r="U6888" t="str">
        <f t="shared" si="1080"/>
        <v/>
      </c>
      <c r="V6888" t="str">
        <f t="shared" si="1081"/>
        <v/>
      </c>
      <c r="W6888" t="str">
        <f t="shared" si="1082"/>
        <v/>
      </c>
      <c r="X6888">
        <f t="shared" si="1072"/>
        <v>0</v>
      </c>
      <c r="Z6888" t="str">
        <f t="shared" si="1083"/>
        <v/>
      </c>
      <c r="AA6888">
        <f t="shared" si="1073"/>
        <v>0</v>
      </c>
    </row>
    <row r="6889" spans="1:27" ht="21" customHeight="1" x14ac:dyDescent="0.95">
      <c r="A6889" s="56"/>
      <c r="B6889" s="57"/>
      <c r="C6889" s="57"/>
      <c r="D6889" s="57"/>
      <c r="E6889" s="56"/>
      <c r="F6889" s="57"/>
      <c r="G6889" s="57"/>
      <c r="H6889" s="56"/>
      <c r="I6889" s="56"/>
      <c r="J6889" s="58"/>
      <c r="K6889" s="58"/>
      <c r="L6889" s="13" t="str">
        <f t="shared" si="1074"/>
        <v/>
      </c>
      <c r="M6889" s="13" t="str">
        <f t="shared" si="1075"/>
        <v/>
      </c>
      <c r="Q6889" t="str">
        <f t="shared" si="1076"/>
        <v/>
      </c>
      <c r="R6889" t="str">
        <f t="shared" si="1077"/>
        <v/>
      </c>
      <c r="S6889" t="str">
        <f t="shared" si="1078"/>
        <v/>
      </c>
      <c r="T6889" t="str">
        <f t="shared" si="1079"/>
        <v/>
      </c>
      <c r="U6889" t="str">
        <f t="shared" si="1080"/>
        <v/>
      </c>
      <c r="V6889" t="str">
        <f t="shared" si="1081"/>
        <v/>
      </c>
      <c r="W6889" t="str">
        <f t="shared" si="1082"/>
        <v/>
      </c>
      <c r="X6889">
        <f t="shared" si="1072"/>
        <v>0</v>
      </c>
      <c r="Z6889" t="str">
        <f t="shared" si="1083"/>
        <v/>
      </c>
      <c r="AA6889">
        <f t="shared" si="1073"/>
        <v>0</v>
      </c>
    </row>
    <row r="6890" spans="1:27" ht="21" customHeight="1" x14ac:dyDescent="0.95">
      <c r="A6890" s="56"/>
      <c r="B6890" s="57"/>
      <c r="C6890" s="57"/>
      <c r="D6890" s="57"/>
      <c r="E6890" s="56"/>
      <c r="F6890" s="57"/>
      <c r="G6890" s="57"/>
      <c r="H6890" s="56"/>
      <c r="I6890" s="56"/>
      <c r="J6890" s="58"/>
      <c r="K6890" s="58"/>
      <c r="L6890" s="13" t="str">
        <f t="shared" si="1074"/>
        <v/>
      </c>
      <c r="M6890" s="13" t="str">
        <f t="shared" si="1075"/>
        <v/>
      </c>
      <c r="Q6890" t="str">
        <f t="shared" si="1076"/>
        <v/>
      </c>
      <c r="R6890" t="str">
        <f t="shared" si="1077"/>
        <v/>
      </c>
      <c r="S6890" t="str">
        <f t="shared" si="1078"/>
        <v/>
      </c>
      <c r="T6890" t="str">
        <f t="shared" si="1079"/>
        <v/>
      </c>
      <c r="U6890" t="str">
        <f t="shared" si="1080"/>
        <v/>
      </c>
      <c r="V6890" t="str">
        <f t="shared" si="1081"/>
        <v/>
      </c>
      <c r="W6890" t="str">
        <f t="shared" si="1082"/>
        <v/>
      </c>
      <c r="X6890">
        <f t="shared" si="1072"/>
        <v>0</v>
      </c>
      <c r="Z6890" t="str">
        <f t="shared" si="1083"/>
        <v/>
      </c>
      <c r="AA6890">
        <f t="shared" si="1073"/>
        <v>0</v>
      </c>
    </row>
    <row r="6891" spans="1:27" ht="21" customHeight="1" x14ac:dyDescent="0.95">
      <c r="A6891" s="56"/>
      <c r="B6891" s="57"/>
      <c r="C6891" s="57"/>
      <c r="D6891" s="57"/>
      <c r="E6891" s="56"/>
      <c r="F6891" s="57"/>
      <c r="G6891" s="57"/>
      <c r="H6891" s="56"/>
      <c r="I6891" s="56"/>
      <c r="J6891" s="58"/>
      <c r="K6891" s="58"/>
      <c r="L6891" s="13" t="str">
        <f t="shared" si="1074"/>
        <v/>
      </c>
      <c r="M6891" s="13" t="str">
        <f t="shared" si="1075"/>
        <v/>
      </c>
      <c r="Q6891" t="str">
        <f t="shared" si="1076"/>
        <v/>
      </c>
      <c r="R6891" t="str">
        <f t="shared" si="1077"/>
        <v/>
      </c>
      <c r="S6891" t="str">
        <f t="shared" si="1078"/>
        <v/>
      </c>
      <c r="T6891" t="str">
        <f t="shared" si="1079"/>
        <v/>
      </c>
      <c r="U6891" t="str">
        <f t="shared" si="1080"/>
        <v/>
      </c>
      <c r="V6891" t="str">
        <f t="shared" si="1081"/>
        <v/>
      </c>
      <c r="W6891" t="str">
        <f t="shared" si="1082"/>
        <v/>
      </c>
      <c r="X6891">
        <f t="shared" si="1072"/>
        <v>0</v>
      </c>
      <c r="Z6891" t="str">
        <f t="shared" si="1083"/>
        <v/>
      </c>
      <c r="AA6891">
        <f t="shared" si="1073"/>
        <v>0</v>
      </c>
    </row>
    <row r="6892" spans="1:27" ht="21" customHeight="1" x14ac:dyDescent="0.95">
      <c r="A6892" s="56"/>
      <c r="B6892" s="57"/>
      <c r="C6892" s="57"/>
      <c r="D6892" s="57"/>
      <c r="E6892" s="56"/>
      <c r="F6892" s="57"/>
      <c r="G6892" s="57"/>
      <c r="H6892" s="56"/>
      <c r="I6892" s="56"/>
      <c r="J6892" s="58"/>
      <c r="K6892" s="58"/>
      <c r="L6892" s="13" t="str">
        <f t="shared" si="1074"/>
        <v/>
      </c>
      <c r="M6892" s="13" t="str">
        <f t="shared" si="1075"/>
        <v/>
      </c>
      <c r="Q6892" t="str">
        <f t="shared" si="1076"/>
        <v/>
      </c>
      <c r="R6892" t="str">
        <f t="shared" si="1077"/>
        <v/>
      </c>
      <c r="S6892" t="str">
        <f t="shared" si="1078"/>
        <v/>
      </c>
      <c r="T6892" t="str">
        <f t="shared" si="1079"/>
        <v/>
      </c>
      <c r="U6892" t="str">
        <f t="shared" si="1080"/>
        <v/>
      </c>
      <c r="V6892" t="str">
        <f t="shared" si="1081"/>
        <v/>
      </c>
      <c r="W6892" t="str">
        <f t="shared" si="1082"/>
        <v/>
      </c>
      <c r="X6892">
        <f t="shared" si="1072"/>
        <v>0</v>
      </c>
      <c r="Z6892" t="str">
        <f t="shared" si="1083"/>
        <v/>
      </c>
      <c r="AA6892">
        <f t="shared" si="1073"/>
        <v>0</v>
      </c>
    </row>
    <row r="6893" spans="1:27" ht="21" customHeight="1" x14ac:dyDescent="0.95">
      <c r="A6893" s="56"/>
      <c r="B6893" s="57"/>
      <c r="C6893" s="57"/>
      <c r="D6893" s="57"/>
      <c r="E6893" s="56"/>
      <c r="F6893" s="57"/>
      <c r="G6893" s="57"/>
      <c r="H6893" s="56"/>
      <c r="I6893" s="56"/>
      <c r="J6893" s="58"/>
      <c r="K6893" s="58"/>
      <c r="L6893" s="13" t="str">
        <f t="shared" si="1074"/>
        <v/>
      </c>
      <c r="M6893" s="13" t="str">
        <f t="shared" si="1075"/>
        <v/>
      </c>
      <c r="Q6893" t="str">
        <f t="shared" si="1076"/>
        <v/>
      </c>
      <c r="R6893" t="str">
        <f t="shared" si="1077"/>
        <v/>
      </c>
      <c r="S6893" t="str">
        <f t="shared" si="1078"/>
        <v/>
      </c>
      <c r="T6893" t="str">
        <f t="shared" si="1079"/>
        <v/>
      </c>
      <c r="U6893" t="str">
        <f t="shared" si="1080"/>
        <v/>
      </c>
      <c r="V6893" t="str">
        <f t="shared" si="1081"/>
        <v/>
      </c>
      <c r="W6893" t="str">
        <f t="shared" si="1082"/>
        <v/>
      </c>
      <c r="X6893">
        <f t="shared" si="1072"/>
        <v>0</v>
      </c>
      <c r="Z6893" t="str">
        <f t="shared" si="1083"/>
        <v/>
      </c>
      <c r="AA6893">
        <f t="shared" si="1073"/>
        <v>0</v>
      </c>
    </row>
    <row r="6894" spans="1:27" ht="21" customHeight="1" x14ac:dyDescent="0.95">
      <c r="A6894" s="56"/>
      <c r="B6894" s="57"/>
      <c r="C6894" s="57"/>
      <c r="D6894" s="57"/>
      <c r="E6894" s="56"/>
      <c r="F6894" s="57"/>
      <c r="G6894" s="57"/>
      <c r="H6894" s="56"/>
      <c r="I6894" s="56"/>
      <c r="J6894" s="58"/>
      <c r="K6894" s="58"/>
      <c r="L6894" s="13" t="str">
        <f t="shared" si="1074"/>
        <v/>
      </c>
      <c r="M6894" s="13" t="str">
        <f t="shared" si="1075"/>
        <v/>
      </c>
      <c r="Q6894" t="str">
        <f t="shared" si="1076"/>
        <v/>
      </c>
      <c r="R6894" t="str">
        <f t="shared" si="1077"/>
        <v/>
      </c>
      <c r="S6894" t="str">
        <f t="shared" si="1078"/>
        <v/>
      </c>
      <c r="T6894" t="str">
        <f t="shared" si="1079"/>
        <v/>
      </c>
      <c r="U6894" t="str">
        <f t="shared" si="1080"/>
        <v/>
      </c>
      <c r="V6894" t="str">
        <f t="shared" si="1081"/>
        <v/>
      </c>
      <c r="W6894" t="str">
        <f t="shared" si="1082"/>
        <v/>
      </c>
      <c r="X6894">
        <f t="shared" si="1072"/>
        <v>0</v>
      </c>
      <c r="Z6894" t="str">
        <f t="shared" si="1083"/>
        <v/>
      </c>
      <c r="AA6894">
        <f t="shared" si="1073"/>
        <v>0</v>
      </c>
    </row>
    <row r="6895" spans="1:27" ht="21" customHeight="1" x14ac:dyDescent="0.95">
      <c r="A6895" s="56"/>
      <c r="B6895" s="57"/>
      <c r="C6895" s="57"/>
      <c r="D6895" s="57"/>
      <c r="E6895" s="56"/>
      <c r="F6895" s="57"/>
      <c r="G6895" s="57"/>
      <c r="H6895" s="56"/>
      <c r="I6895" s="56"/>
      <c r="J6895" s="58"/>
      <c r="K6895" s="58"/>
      <c r="L6895" s="13" t="str">
        <f t="shared" si="1074"/>
        <v/>
      </c>
      <c r="M6895" s="13" t="str">
        <f t="shared" si="1075"/>
        <v/>
      </c>
      <c r="Q6895" t="str">
        <f t="shared" si="1076"/>
        <v/>
      </c>
      <c r="R6895" t="str">
        <f t="shared" si="1077"/>
        <v/>
      </c>
      <c r="S6895" t="str">
        <f t="shared" si="1078"/>
        <v/>
      </c>
      <c r="T6895" t="str">
        <f t="shared" si="1079"/>
        <v/>
      </c>
      <c r="U6895" t="str">
        <f t="shared" si="1080"/>
        <v/>
      </c>
      <c r="V6895" t="str">
        <f t="shared" si="1081"/>
        <v/>
      </c>
      <c r="W6895" t="str">
        <f t="shared" si="1082"/>
        <v/>
      </c>
      <c r="X6895">
        <f t="shared" si="1072"/>
        <v>0</v>
      </c>
      <c r="Z6895" t="str">
        <f t="shared" si="1083"/>
        <v/>
      </c>
      <c r="AA6895">
        <f t="shared" si="1073"/>
        <v>0</v>
      </c>
    </row>
    <row r="6896" spans="1:27" ht="21" customHeight="1" x14ac:dyDescent="0.95">
      <c r="A6896" s="56"/>
      <c r="B6896" s="57"/>
      <c r="C6896" s="57"/>
      <c r="D6896" s="57"/>
      <c r="E6896" s="56"/>
      <c r="F6896" s="57"/>
      <c r="G6896" s="57"/>
      <c r="H6896" s="56"/>
      <c r="I6896" s="56"/>
      <c r="J6896" s="58"/>
      <c r="K6896" s="58"/>
      <c r="L6896" s="13" t="str">
        <f t="shared" si="1074"/>
        <v/>
      </c>
      <c r="M6896" s="13" t="str">
        <f t="shared" si="1075"/>
        <v/>
      </c>
      <c r="Q6896" t="str">
        <f t="shared" si="1076"/>
        <v/>
      </c>
      <c r="R6896" t="str">
        <f t="shared" si="1077"/>
        <v/>
      </c>
      <c r="S6896" t="str">
        <f t="shared" si="1078"/>
        <v/>
      </c>
      <c r="T6896" t="str">
        <f t="shared" si="1079"/>
        <v/>
      </c>
      <c r="U6896" t="str">
        <f t="shared" si="1080"/>
        <v/>
      </c>
      <c r="V6896" t="str">
        <f t="shared" si="1081"/>
        <v/>
      </c>
      <c r="W6896" t="str">
        <f t="shared" si="1082"/>
        <v/>
      </c>
      <c r="X6896">
        <f t="shared" si="1072"/>
        <v>0</v>
      </c>
      <c r="Z6896" t="str">
        <f t="shared" si="1083"/>
        <v/>
      </c>
      <c r="AA6896">
        <f t="shared" si="1073"/>
        <v>0</v>
      </c>
    </row>
    <row r="6897" spans="1:27" ht="21" customHeight="1" x14ac:dyDescent="0.95">
      <c r="A6897" s="56"/>
      <c r="B6897" s="57"/>
      <c r="C6897" s="57"/>
      <c r="D6897" s="57"/>
      <c r="E6897" s="56"/>
      <c r="F6897" s="57"/>
      <c r="G6897" s="57"/>
      <c r="H6897" s="56"/>
      <c r="I6897" s="56"/>
      <c r="J6897" s="58"/>
      <c r="K6897" s="58"/>
      <c r="L6897" s="13" t="str">
        <f t="shared" si="1074"/>
        <v/>
      </c>
      <c r="M6897" s="13" t="str">
        <f t="shared" si="1075"/>
        <v/>
      </c>
      <c r="Q6897" t="str">
        <f t="shared" si="1076"/>
        <v/>
      </c>
      <c r="R6897" t="str">
        <f t="shared" si="1077"/>
        <v/>
      </c>
      <c r="S6897" t="str">
        <f t="shared" si="1078"/>
        <v/>
      </c>
      <c r="T6897" t="str">
        <f t="shared" si="1079"/>
        <v/>
      </c>
      <c r="U6897" t="str">
        <f t="shared" si="1080"/>
        <v/>
      </c>
      <c r="V6897" t="str">
        <f t="shared" si="1081"/>
        <v/>
      </c>
      <c r="W6897" t="str">
        <f t="shared" si="1082"/>
        <v/>
      </c>
      <c r="X6897">
        <f t="shared" si="1072"/>
        <v>0</v>
      </c>
      <c r="Z6897" t="str">
        <f t="shared" si="1083"/>
        <v/>
      </c>
      <c r="AA6897">
        <f t="shared" si="1073"/>
        <v>0</v>
      </c>
    </row>
    <row r="6898" spans="1:27" ht="21" customHeight="1" x14ac:dyDescent="0.95">
      <c r="A6898" s="56"/>
      <c r="B6898" s="57"/>
      <c r="C6898" s="57"/>
      <c r="D6898" s="57"/>
      <c r="E6898" s="56"/>
      <c r="F6898" s="57"/>
      <c r="G6898" s="57"/>
      <c r="H6898" s="56"/>
      <c r="I6898" s="56"/>
      <c r="J6898" s="58"/>
      <c r="K6898" s="58"/>
      <c r="L6898" s="13" t="str">
        <f t="shared" si="1074"/>
        <v/>
      </c>
      <c r="M6898" s="13" t="str">
        <f t="shared" si="1075"/>
        <v/>
      </c>
      <c r="Q6898" t="str">
        <f t="shared" si="1076"/>
        <v/>
      </c>
      <c r="R6898" t="str">
        <f t="shared" si="1077"/>
        <v/>
      </c>
      <c r="S6898" t="str">
        <f t="shared" si="1078"/>
        <v/>
      </c>
      <c r="T6898" t="str">
        <f t="shared" si="1079"/>
        <v/>
      </c>
      <c r="U6898" t="str">
        <f t="shared" si="1080"/>
        <v/>
      </c>
      <c r="V6898" t="str">
        <f t="shared" si="1081"/>
        <v/>
      </c>
      <c r="W6898" t="str">
        <f t="shared" si="1082"/>
        <v/>
      </c>
      <c r="X6898">
        <f t="shared" si="1072"/>
        <v>0</v>
      </c>
      <c r="Z6898" t="str">
        <f t="shared" si="1083"/>
        <v/>
      </c>
      <c r="AA6898">
        <f t="shared" si="1073"/>
        <v>0</v>
      </c>
    </row>
    <row r="6899" spans="1:27" ht="21" customHeight="1" x14ac:dyDescent="0.95">
      <c r="A6899" s="56"/>
      <c r="B6899" s="57"/>
      <c r="C6899" s="57"/>
      <c r="D6899" s="57"/>
      <c r="E6899" s="56"/>
      <c r="F6899" s="57"/>
      <c r="G6899" s="57"/>
      <c r="H6899" s="56"/>
      <c r="I6899" s="56"/>
      <c r="J6899" s="58"/>
      <c r="K6899" s="58"/>
      <c r="L6899" s="13" t="str">
        <f t="shared" si="1074"/>
        <v/>
      </c>
      <c r="M6899" s="13" t="str">
        <f t="shared" si="1075"/>
        <v/>
      </c>
      <c r="Q6899" t="str">
        <f t="shared" si="1076"/>
        <v/>
      </c>
      <c r="R6899" t="str">
        <f t="shared" si="1077"/>
        <v/>
      </c>
      <c r="S6899" t="str">
        <f t="shared" si="1078"/>
        <v/>
      </c>
      <c r="T6899" t="str">
        <f t="shared" si="1079"/>
        <v/>
      </c>
      <c r="U6899" t="str">
        <f t="shared" si="1080"/>
        <v/>
      </c>
      <c r="V6899" t="str">
        <f t="shared" si="1081"/>
        <v/>
      </c>
      <c r="W6899" t="str">
        <f t="shared" si="1082"/>
        <v/>
      </c>
      <c r="X6899">
        <f t="shared" si="1072"/>
        <v>0</v>
      </c>
      <c r="Z6899" t="str">
        <f t="shared" si="1083"/>
        <v/>
      </c>
      <c r="AA6899">
        <f t="shared" si="1073"/>
        <v>0</v>
      </c>
    </row>
    <row r="6900" spans="1:27" ht="21" customHeight="1" x14ac:dyDescent="0.95">
      <c r="A6900" s="56"/>
      <c r="B6900" s="57"/>
      <c r="C6900" s="57"/>
      <c r="D6900" s="57"/>
      <c r="E6900" s="56"/>
      <c r="F6900" s="57"/>
      <c r="G6900" s="57"/>
      <c r="H6900" s="56"/>
      <c r="I6900" s="56"/>
      <c r="J6900" s="58"/>
      <c r="K6900" s="58"/>
      <c r="L6900" s="13" t="str">
        <f t="shared" si="1074"/>
        <v/>
      </c>
      <c r="M6900" s="13" t="str">
        <f t="shared" si="1075"/>
        <v/>
      </c>
      <c r="Q6900" t="str">
        <f t="shared" si="1076"/>
        <v/>
      </c>
      <c r="R6900" t="str">
        <f t="shared" si="1077"/>
        <v/>
      </c>
      <c r="S6900" t="str">
        <f t="shared" si="1078"/>
        <v/>
      </c>
      <c r="T6900" t="str">
        <f t="shared" si="1079"/>
        <v/>
      </c>
      <c r="U6900" t="str">
        <f t="shared" si="1080"/>
        <v/>
      </c>
      <c r="V6900" t="str">
        <f t="shared" si="1081"/>
        <v/>
      </c>
      <c r="W6900" t="str">
        <f t="shared" si="1082"/>
        <v/>
      </c>
      <c r="X6900">
        <f t="shared" si="1072"/>
        <v>0</v>
      </c>
      <c r="Z6900" t="str">
        <f t="shared" si="1083"/>
        <v/>
      </c>
      <c r="AA6900">
        <f t="shared" si="1073"/>
        <v>0</v>
      </c>
    </row>
    <row r="6901" spans="1:27" ht="21" customHeight="1" x14ac:dyDescent="0.95">
      <c r="A6901" s="56"/>
      <c r="B6901" s="57"/>
      <c r="C6901" s="57"/>
      <c r="D6901" s="57"/>
      <c r="E6901" s="56"/>
      <c r="F6901" s="57"/>
      <c r="G6901" s="57"/>
      <c r="H6901" s="56"/>
      <c r="I6901" s="56"/>
      <c r="J6901" s="58"/>
      <c r="K6901" s="58"/>
      <c r="L6901" s="13" t="str">
        <f t="shared" si="1074"/>
        <v/>
      </c>
      <c r="M6901" s="13" t="str">
        <f t="shared" si="1075"/>
        <v/>
      </c>
      <c r="Q6901" t="str">
        <f t="shared" si="1076"/>
        <v/>
      </c>
      <c r="R6901" t="str">
        <f t="shared" si="1077"/>
        <v/>
      </c>
      <c r="S6901" t="str">
        <f t="shared" si="1078"/>
        <v/>
      </c>
      <c r="T6901" t="str">
        <f t="shared" si="1079"/>
        <v/>
      </c>
      <c r="U6901" t="str">
        <f t="shared" si="1080"/>
        <v/>
      </c>
      <c r="V6901" t="str">
        <f t="shared" si="1081"/>
        <v/>
      </c>
      <c r="W6901" t="str">
        <f t="shared" si="1082"/>
        <v/>
      </c>
      <c r="X6901">
        <f t="shared" ref="X6901:X6964" si="1084">IF($T6901="",N($X6900),IF(MATCH($T6901,$T$6:$T$10005,0)=ROW()-5,N($X6900)+1,N($X6900)))</f>
        <v>0</v>
      </c>
      <c r="Z6901" t="str">
        <f t="shared" si="1083"/>
        <v/>
      </c>
      <c r="AA6901">
        <f t="shared" ref="AA6901:AA6964" si="1085">IF($V6901="",N($AA6900),IF(MATCH($V6901,$V$6:$V$10005,0)=ROW()-5,N($AA6900)+1,N($AA6900)))</f>
        <v>0</v>
      </c>
    </row>
    <row r="6902" spans="1:27" ht="21" customHeight="1" x14ac:dyDescent="0.95">
      <c r="A6902" s="56"/>
      <c r="B6902" s="57"/>
      <c r="C6902" s="57"/>
      <c r="D6902" s="57"/>
      <c r="E6902" s="56"/>
      <c r="F6902" s="57"/>
      <c r="G6902" s="57"/>
      <c r="H6902" s="56"/>
      <c r="I6902" s="56"/>
      <c r="J6902" s="58"/>
      <c r="K6902" s="58"/>
      <c r="L6902" s="13" t="str">
        <f t="shared" si="1074"/>
        <v/>
      </c>
      <c r="M6902" s="13" t="str">
        <f t="shared" si="1075"/>
        <v/>
      </c>
      <c r="Q6902" t="str">
        <f t="shared" si="1076"/>
        <v/>
      </c>
      <c r="R6902" t="str">
        <f t="shared" si="1077"/>
        <v/>
      </c>
      <c r="S6902" t="str">
        <f t="shared" si="1078"/>
        <v/>
      </c>
      <c r="T6902" t="str">
        <f t="shared" si="1079"/>
        <v/>
      </c>
      <c r="U6902" t="str">
        <f t="shared" si="1080"/>
        <v/>
      </c>
      <c r="V6902" t="str">
        <f t="shared" si="1081"/>
        <v/>
      </c>
      <c r="W6902" t="str">
        <f t="shared" si="1082"/>
        <v/>
      </c>
      <c r="X6902">
        <f t="shared" si="1084"/>
        <v>0</v>
      </c>
      <c r="Z6902" t="str">
        <f t="shared" si="1083"/>
        <v/>
      </c>
      <c r="AA6902">
        <f t="shared" si="1085"/>
        <v>0</v>
      </c>
    </row>
    <row r="6903" spans="1:27" ht="21" customHeight="1" x14ac:dyDescent="0.95">
      <c r="A6903" s="56"/>
      <c r="B6903" s="57"/>
      <c r="C6903" s="57"/>
      <c r="D6903" s="57"/>
      <c r="E6903" s="56"/>
      <c r="F6903" s="57"/>
      <c r="G6903" s="57"/>
      <c r="H6903" s="56"/>
      <c r="I6903" s="56"/>
      <c r="J6903" s="58"/>
      <c r="K6903" s="58"/>
      <c r="L6903" s="13" t="str">
        <f t="shared" si="1074"/>
        <v/>
      </c>
      <c r="M6903" s="13" t="str">
        <f t="shared" si="1075"/>
        <v/>
      </c>
      <c r="Q6903" t="str">
        <f t="shared" si="1076"/>
        <v/>
      </c>
      <c r="R6903" t="str">
        <f t="shared" si="1077"/>
        <v/>
      </c>
      <c r="S6903" t="str">
        <f t="shared" si="1078"/>
        <v/>
      </c>
      <c r="T6903" t="str">
        <f t="shared" si="1079"/>
        <v/>
      </c>
      <c r="U6903" t="str">
        <f t="shared" si="1080"/>
        <v/>
      </c>
      <c r="V6903" t="str">
        <f t="shared" si="1081"/>
        <v/>
      </c>
      <c r="W6903" t="str">
        <f t="shared" si="1082"/>
        <v/>
      </c>
      <c r="X6903">
        <f t="shared" si="1084"/>
        <v>0</v>
      </c>
      <c r="Z6903" t="str">
        <f t="shared" si="1083"/>
        <v/>
      </c>
      <c r="AA6903">
        <f t="shared" si="1085"/>
        <v>0</v>
      </c>
    </row>
    <row r="6904" spans="1:27" ht="21" customHeight="1" x14ac:dyDescent="0.95">
      <c r="A6904" s="56"/>
      <c r="B6904" s="57"/>
      <c r="C6904" s="57"/>
      <c r="D6904" s="57"/>
      <c r="E6904" s="56"/>
      <c r="F6904" s="57"/>
      <c r="G6904" s="57"/>
      <c r="H6904" s="56"/>
      <c r="I6904" s="56"/>
      <c r="J6904" s="58"/>
      <c r="K6904" s="58"/>
      <c r="L6904" s="13" t="str">
        <f t="shared" si="1074"/>
        <v/>
      </c>
      <c r="M6904" s="13" t="str">
        <f t="shared" si="1075"/>
        <v/>
      </c>
      <c r="Q6904" t="str">
        <f t="shared" si="1076"/>
        <v/>
      </c>
      <c r="R6904" t="str">
        <f t="shared" si="1077"/>
        <v/>
      </c>
      <c r="S6904" t="str">
        <f t="shared" si="1078"/>
        <v/>
      </c>
      <c r="T6904" t="str">
        <f t="shared" si="1079"/>
        <v/>
      </c>
      <c r="U6904" t="str">
        <f t="shared" si="1080"/>
        <v/>
      </c>
      <c r="V6904" t="str">
        <f t="shared" si="1081"/>
        <v/>
      </c>
      <c r="W6904" t="str">
        <f t="shared" si="1082"/>
        <v/>
      </c>
      <c r="X6904">
        <f t="shared" si="1084"/>
        <v>0</v>
      </c>
      <c r="Z6904" t="str">
        <f t="shared" si="1083"/>
        <v/>
      </c>
      <c r="AA6904">
        <f t="shared" si="1085"/>
        <v>0</v>
      </c>
    </row>
    <row r="6905" spans="1:27" ht="21" customHeight="1" x14ac:dyDescent="0.95">
      <c r="A6905" s="56"/>
      <c r="B6905" s="57"/>
      <c r="C6905" s="57"/>
      <c r="D6905" s="57"/>
      <c r="E6905" s="56"/>
      <c r="F6905" s="57"/>
      <c r="G6905" s="57"/>
      <c r="H6905" s="56"/>
      <c r="I6905" s="56"/>
      <c r="J6905" s="58"/>
      <c r="K6905" s="58"/>
      <c r="L6905" s="13" t="str">
        <f t="shared" si="1074"/>
        <v/>
      </c>
      <c r="M6905" s="13" t="str">
        <f t="shared" si="1075"/>
        <v/>
      </c>
      <c r="Q6905" t="str">
        <f t="shared" si="1076"/>
        <v/>
      </c>
      <c r="R6905" t="str">
        <f t="shared" si="1077"/>
        <v/>
      </c>
      <c r="S6905" t="str">
        <f t="shared" si="1078"/>
        <v/>
      </c>
      <c r="T6905" t="str">
        <f t="shared" si="1079"/>
        <v/>
      </c>
      <c r="U6905" t="str">
        <f t="shared" si="1080"/>
        <v/>
      </c>
      <c r="V6905" t="str">
        <f t="shared" si="1081"/>
        <v/>
      </c>
      <c r="W6905" t="str">
        <f t="shared" si="1082"/>
        <v/>
      </c>
      <c r="X6905">
        <f t="shared" si="1084"/>
        <v>0</v>
      </c>
      <c r="Z6905" t="str">
        <f t="shared" si="1083"/>
        <v/>
      </c>
      <c r="AA6905">
        <f t="shared" si="1085"/>
        <v>0</v>
      </c>
    </row>
    <row r="6906" spans="1:27" ht="21" customHeight="1" x14ac:dyDescent="0.95">
      <c r="A6906" s="56"/>
      <c r="B6906" s="57"/>
      <c r="C6906" s="57"/>
      <c r="D6906" s="57"/>
      <c r="E6906" s="56"/>
      <c r="F6906" s="57"/>
      <c r="G6906" s="57"/>
      <c r="H6906" s="56"/>
      <c r="I6906" s="56"/>
      <c r="J6906" s="58"/>
      <c r="K6906" s="58"/>
      <c r="L6906" s="13" t="str">
        <f t="shared" si="1074"/>
        <v/>
      </c>
      <c r="M6906" s="13" t="str">
        <f t="shared" si="1075"/>
        <v/>
      </c>
      <c r="Q6906" t="str">
        <f t="shared" si="1076"/>
        <v/>
      </c>
      <c r="R6906" t="str">
        <f t="shared" si="1077"/>
        <v/>
      </c>
      <c r="S6906" t="str">
        <f t="shared" si="1078"/>
        <v/>
      </c>
      <c r="T6906" t="str">
        <f t="shared" si="1079"/>
        <v/>
      </c>
      <c r="U6906" t="str">
        <f t="shared" si="1080"/>
        <v/>
      </c>
      <c r="V6906" t="str">
        <f t="shared" si="1081"/>
        <v/>
      </c>
      <c r="W6906" t="str">
        <f t="shared" si="1082"/>
        <v/>
      </c>
      <c r="X6906">
        <f t="shared" si="1084"/>
        <v>0</v>
      </c>
      <c r="Z6906" t="str">
        <f t="shared" si="1083"/>
        <v/>
      </c>
      <c r="AA6906">
        <f t="shared" si="1085"/>
        <v>0</v>
      </c>
    </row>
    <row r="6907" spans="1:27" ht="21" customHeight="1" x14ac:dyDescent="0.95">
      <c r="A6907" s="56"/>
      <c r="B6907" s="57"/>
      <c r="C6907" s="57"/>
      <c r="D6907" s="57"/>
      <c r="E6907" s="56"/>
      <c r="F6907" s="57"/>
      <c r="G6907" s="57"/>
      <c r="H6907" s="56"/>
      <c r="I6907" s="56"/>
      <c r="J6907" s="58"/>
      <c r="K6907" s="58"/>
      <c r="L6907" s="13" t="str">
        <f t="shared" si="1074"/>
        <v/>
      </c>
      <c r="M6907" s="13" t="str">
        <f t="shared" si="1075"/>
        <v/>
      </c>
      <c r="Q6907" t="str">
        <f t="shared" si="1076"/>
        <v/>
      </c>
      <c r="R6907" t="str">
        <f t="shared" si="1077"/>
        <v/>
      </c>
      <c r="S6907" t="str">
        <f t="shared" si="1078"/>
        <v/>
      </c>
      <c r="T6907" t="str">
        <f t="shared" si="1079"/>
        <v/>
      </c>
      <c r="U6907" t="str">
        <f t="shared" si="1080"/>
        <v/>
      </c>
      <c r="V6907" t="str">
        <f t="shared" si="1081"/>
        <v/>
      </c>
      <c r="W6907" t="str">
        <f t="shared" si="1082"/>
        <v/>
      </c>
      <c r="X6907">
        <f t="shared" si="1084"/>
        <v>0</v>
      </c>
      <c r="Z6907" t="str">
        <f t="shared" si="1083"/>
        <v/>
      </c>
      <c r="AA6907">
        <f t="shared" si="1085"/>
        <v>0</v>
      </c>
    </row>
    <row r="6908" spans="1:27" ht="21" customHeight="1" x14ac:dyDescent="0.95">
      <c r="A6908" s="56"/>
      <c r="B6908" s="57"/>
      <c r="C6908" s="57"/>
      <c r="D6908" s="57"/>
      <c r="E6908" s="56"/>
      <c r="F6908" s="57"/>
      <c r="G6908" s="57"/>
      <c r="H6908" s="56"/>
      <c r="I6908" s="56"/>
      <c r="J6908" s="58"/>
      <c r="K6908" s="58"/>
      <c r="L6908" s="13" t="str">
        <f t="shared" si="1074"/>
        <v/>
      </c>
      <c r="M6908" s="13" t="str">
        <f t="shared" si="1075"/>
        <v/>
      </c>
      <c r="Q6908" t="str">
        <f t="shared" si="1076"/>
        <v/>
      </c>
      <c r="R6908" t="str">
        <f t="shared" si="1077"/>
        <v/>
      </c>
      <c r="S6908" t="str">
        <f t="shared" si="1078"/>
        <v/>
      </c>
      <c r="T6908" t="str">
        <f t="shared" si="1079"/>
        <v/>
      </c>
      <c r="U6908" t="str">
        <f t="shared" si="1080"/>
        <v/>
      </c>
      <c r="V6908" t="str">
        <f t="shared" si="1081"/>
        <v/>
      </c>
      <c r="W6908" t="str">
        <f t="shared" si="1082"/>
        <v/>
      </c>
      <c r="X6908">
        <f t="shared" si="1084"/>
        <v>0</v>
      </c>
      <c r="Z6908" t="str">
        <f t="shared" si="1083"/>
        <v/>
      </c>
      <c r="AA6908">
        <f t="shared" si="1085"/>
        <v>0</v>
      </c>
    </row>
    <row r="6909" spans="1:27" ht="21" customHeight="1" x14ac:dyDescent="0.95">
      <c r="A6909" s="56"/>
      <c r="B6909" s="57"/>
      <c r="C6909" s="57"/>
      <c r="D6909" s="57"/>
      <c r="E6909" s="56"/>
      <c r="F6909" s="57"/>
      <c r="G6909" s="57"/>
      <c r="H6909" s="56"/>
      <c r="I6909" s="56"/>
      <c r="J6909" s="58"/>
      <c r="K6909" s="58"/>
      <c r="L6909" s="13" t="str">
        <f t="shared" si="1074"/>
        <v/>
      </c>
      <c r="M6909" s="13" t="str">
        <f t="shared" si="1075"/>
        <v/>
      </c>
      <c r="Q6909" t="str">
        <f t="shared" si="1076"/>
        <v/>
      </c>
      <c r="R6909" t="str">
        <f t="shared" si="1077"/>
        <v/>
      </c>
      <c r="S6909" t="str">
        <f t="shared" si="1078"/>
        <v/>
      </c>
      <c r="T6909" t="str">
        <f t="shared" si="1079"/>
        <v/>
      </c>
      <c r="U6909" t="str">
        <f t="shared" si="1080"/>
        <v/>
      </c>
      <c r="V6909" t="str">
        <f t="shared" si="1081"/>
        <v/>
      </c>
      <c r="W6909" t="str">
        <f t="shared" si="1082"/>
        <v/>
      </c>
      <c r="X6909">
        <f t="shared" si="1084"/>
        <v>0</v>
      </c>
      <c r="Z6909" t="str">
        <f t="shared" si="1083"/>
        <v/>
      </c>
      <c r="AA6909">
        <f t="shared" si="1085"/>
        <v>0</v>
      </c>
    </row>
    <row r="6910" spans="1:27" ht="21" customHeight="1" x14ac:dyDescent="0.95">
      <c r="A6910" s="56"/>
      <c r="B6910" s="57"/>
      <c r="C6910" s="57"/>
      <c r="D6910" s="57"/>
      <c r="E6910" s="56"/>
      <c r="F6910" s="57"/>
      <c r="G6910" s="57"/>
      <c r="H6910" s="56"/>
      <c r="I6910" s="56"/>
      <c r="J6910" s="58"/>
      <c r="K6910" s="58"/>
      <c r="L6910" s="13" t="str">
        <f t="shared" si="1074"/>
        <v/>
      </c>
      <c r="M6910" s="13" t="str">
        <f t="shared" si="1075"/>
        <v/>
      </c>
      <c r="Q6910" t="str">
        <f t="shared" si="1076"/>
        <v/>
      </c>
      <c r="R6910" t="str">
        <f t="shared" si="1077"/>
        <v/>
      </c>
      <c r="S6910" t="str">
        <f t="shared" si="1078"/>
        <v/>
      </c>
      <c r="T6910" t="str">
        <f t="shared" si="1079"/>
        <v/>
      </c>
      <c r="U6910" t="str">
        <f t="shared" si="1080"/>
        <v/>
      </c>
      <c r="V6910" t="str">
        <f t="shared" si="1081"/>
        <v/>
      </c>
      <c r="W6910" t="str">
        <f t="shared" si="1082"/>
        <v/>
      </c>
      <c r="X6910">
        <f t="shared" si="1084"/>
        <v>0</v>
      </c>
      <c r="Z6910" t="str">
        <f t="shared" si="1083"/>
        <v/>
      </c>
      <c r="AA6910">
        <f t="shared" si="1085"/>
        <v>0</v>
      </c>
    </row>
    <row r="6911" spans="1:27" ht="21" customHeight="1" x14ac:dyDescent="0.95">
      <c r="A6911" s="56"/>
      <c r="B6911" s="57"/>
      <c r="C6911" s="57"/>
      <c r="D6911" s="57"/>
      <c r="E6911" s="56"/>
      <c r="F6911" s="57"/>
      <c r="G6911" s="57"/>
      <c r="H6911" s="56"/>
      <c r="I6911" s="56"/>
      <c r="J6911" s="58"/>
      <c r="K6911" s="58"/>
      <c r="L6911" s="13" t="str">
        <f t="shared" si="1074"/>
        <v/>
      </c>
      <c r="M6911" s="13" t="str">
        <f t="shared" si="1075"/>
        <v/>
      </c>
      <c r="Q6911" t="str">
        <f t="shared" si="1076"/>
        <v/>
      </c>
      <c r="R6911" t="str">
        <f t="shared" si="1077"/>
        <v/>
      </c>
      <c r="S6911" t="str">
        <f t="shared" si="1078"/>
        <v/>
      </c>
      <c r="T6911" t="str">
        <f t="shared" si="1079"/>
        <v/>
      </c>
      <c r="U6911" t="str">
        <f t="shared" si="1080"/>
        <v/>
      </c>
      <c r="V6911" t="str">
        <f t="shared" si="1081"/>
        <v/>
      </c>
      <c r="W6911" t="str">
        <f t="shared" si="1082"/>
        <v/>
      </c>
      <c r="X6911">
        <f t="shared" si="1084"/>
        <v>0</v>
      </c>
      <c r="Z6911" t="str">
        <f t="shared" si="1083"/>
        <v/>
      </c>
      <c r="AA6911">
        <f t="shared" si="1085"/>
        <v>0</v>
      </c>
    </row>
    <row r="6912" spans="1:27" ht="21" customHeight="1" x14ac:dyDescent="0.95">
      <c r="A6912" s="56"/>
      <c r="B6912" s="57"/>
      <c r="C6912" s="57"/>
      <c r="D6912" s="57"/>
      <c r="E6912" s="56"/>
      <c r="F6912" s="57"/>
      <c r="G6912" s="57"/>
      <c r="H6912" s="56"/>
      <c r="I6912" s="56"/>
      <c r="J6912" s="58"/>
      <c r="K6912" s="58"/>
      <c r="L6912" s="13" t="str">
        <f t="shared" si="1074"/>
        <v/>
      </c>
      <c r="M6912" s="13" t="str">
        <f t="shared" si="1075"/>
        <v/>
      </c>
      <c r="Q6912" t="str">
        <f t="shared" si="1076"/>
        <v/>
      </c>
      <c r="R6912" t="str">
        <f t="shared" si="1077"/>
        <v/>
      </c>
      <c r="S6912" t="str">
        <f t="shared" si="1078"/>
        <v/>
      </c>
      <c r="T6912" t="str">
        <f t="shared" si="1079"/>
        <v/>
      </c>
      <c r="U6912" t="str">
        <f t="shared" si="1080"/>
        <v/>
      </c>
      <c r="V6912" t="str">
        <f t="shared" si="1081"/>
        <v/>
      </c>
      <c r="W6912" t="str">
        <f t="shared" si="1082"/>
        <v/>
      </c>
      <c r="X6912">
        <f t="shared" si="1084"/>
        <v>0</v>
      </c>
      <c r="Z6912" t="str">
        <f t="shared" si="1083"/>
        <v/>
      </c>
      <c r="AA6912">
        <f t="shared" si="1085"/>
        <v>0</v>
      </c>
    </row>
    <row r="6913" spans="1:27" ht="21" customHeight="1" x14ac:dyDescent="0.95">
      <c r="A6913" s="56"/>
      <c r="B6913" s="57"/>
      <c r="C6913" s="57"/>
      <c r="D6913" s="57"/>
      <c r="E6913" s="56"/>
      <c r="F6913" s="57"/>
      <c r="G6913" s="57"/>
      <c r="H6913" s="56"/>
      <c r="I6913" s="56"/>
      <c r="J6913" s="58"/>
      <c r="K6913" s="58"/>
      <c r="L6913" s="13" t="str">
        <f t="shared" si="1074"/>
        <v/>
      </c>
      <c r="M6913" s="13" t="str">
        <f t="shared" si="1075"/>
        <v/>
      </c>
      <c r="Q6913" t="str">
        <f t="shared" si="1076"/>
        <v/>
      </c>
      <c r="R6913" t="str">
        <f t="shared" si="1077"/>
        <v/>
      </c>
      <c r="S6913" t="str">
        <f t="shared" si="1078"/>
        <v/>
      </c>
      <c r="T6913" t="str">
        <f t="shared" si="1079"/>
        <v/>
      </c>
      <c r="U6913" t="str">
        <f t="shared" si="1080"/>
        <v/>
      </c>
      <c r="V6913" t="str">
        <f t="shared" si="1081"/>
        <v/>
      </c>
      <c r="W6913" t="str">
        <f t="shared" si="1082"/>
        <v/>
      </c>
      <c r="X6913">
        <f t="shared" si="1084"/>
        <v>0</v>
      </c>
      <c r="Z6913" t="str">
        <f t="shared" si="1083"/>
        <v/>
      </c>
      <c r="AA6913">
        <f t="shared" si="1085"/>
        <v>0</v>
      </c>
    </row>
    <row r="6914" spans="1:27" ht="21" customHeight="1" x14ac:dyDescent="0.95">
      <c r="A6914" s="56"/>
      <c r="B6914" s="57"/>
      <c r="C6914" s="57"/>
      <c r="D6914" s="57"/>
      <c r="E6914" s="56"/>
      <c r="F6914" s="57"/>
      <c r="G6914" s="57"/>
      <c r="H6914" s="56"/>
      <c r="I6914" s="56"/>
      <c r="J6914" s="58"/>
      <c r="K6914" s="58"/>
      <c r="L6914" s="13" t="str">
        <f t="shared" si="1074"/>
        <v/>
      </c>
      <c r="M6914" s="13" t="str">
        <f t="shared" si="1075"/>
        <v/>
      </c>
      <c r="Q6914" t="str">
        <f t="shared" si="1076"/>
        <v/>
      </c>
      <c r="R6914" t="str">
        <f t="shared" si="1077"/>
        <v/>
      </c>
      <c r="S6914" t="str">
        <f t="shared" si="1078"/>
        <v/>
      </c>
      <c r="T6914" t="str">
        <f t="shared" si="1079"/>
        <v/>
      </c>
      <c r="U6914" t="str">
        <f t="shared" si="1080"/>
        <v/>
      </c>
      <c r="V6914" t="str">
        <f t="shared" si="1081"/>
        <v/>
      </c>
      <c r="W6914" t="str">
        <f t="shared" si="1082"/>
        <v/>
      </c>
      <c r="X6914">
        <f t="shared" si="1084"/>
        <v>0</v>
      </c>
      <c r="Z6914" t="str">
        <f t="shared" si="1083"/>
        <v/>
      </c>
      <c r="AA6914">
        <f t="shared" si="1085"/>
        <v>0</v>
      </c>
    </row>
    <row r="6915" spans="1:27" ht="21" customHeight="1" x14ac:dyDescent="0.95">
      <c r="A6915" s="56"/>
      <c r="B6915" s="57"/>
      <c r="C6915" s="57"/>
      <c r="D6915" s="57"/>
      <c r="E6915" s="56"/>
      <c r="F6915" s="57"/>
      <c r="G6915" s="57"/>
      <c r="H6915" s="56"/>
      <c r="I6915" s="56"/>
      <c r="J6915" s="58"/>
      <c r="K6915" s="58"/>
      <c r="L6915" s="13" t="str">
        <f t="shared" si="1074"/>
        <v/>
      </c>
      <c r="M6915" s="13" t="str">
        <f t="shared" si="1075"/>
        <v/>
      </c>
      <c r="Q6915" t="str">
        <f t="shared" si="1076"/>
        <v/>
      </c>
      <c r="R6915" t="str">
        <f t="shared" si="1077"/>
        <v/>
      </c>
      <c r="S6915" t="str">
        <f t="shared" si="1078"/>
        <v/>
      </c>
      <c r="T6915" t="str">
        <f t="shared" si="1079"/>
        <v/>
      </c>
      <c r="U6915" t="str">
        <f t="shared" si="1080"/>
        <v/>
      </c>
      <c r="V6915" t="str">
        <f t="shared" si="1081"/>
        <v/>
      </c>
      <c r="W6915" t="str">
        <f t="shared" si="1082"/>
        <v/>
      </c>
      <c r="X6915">
        <f t="shared" si="1084"/>
        <v>0</v>
      </c>
      <c r="Z6915" t="str">
        <f t="shared" si="1083"/>
        <v/>
      </c>
      <c r="AA6915">
        <f t="shared" si="1085"/>
        <v>0</v>
      </c>
    </row>
    <row r="6916" spans="1:27" ht="21" customHeight="1" x14ac:dyDescent="0.95">
      <c r="A6916" s="56"/>
      <c r="B6916" s="57"/>
      <c r="C6916" s="57"/>
      <c r="D6916" s="57"/>
      <c r="E6916" s="56"/>
      <c r="F6916" s="57"/>
      <c r="G6916" s="57"/>
      <c r="H6916" s="56"/>
      <c r="I6916" s="56"/>
      <c r="J6916" s="58"/>
      <c r="K6916" s="58"/>
      <c r="L6916" s="13" t="str">
        <f t="shared" ref="L6916:L6979" si="1086">IF(OR($A6916="",AND($J6916="",$K6916="")),"",ROUND(N($J6916)-N($K6916),2))</f>
        <v/>
      </c>
      <c r="M6916" s="13" t="str">
        <f t="shared" ref="M6916:M6979" si="1087">IF(OR($A6916="",AND($J6916="",$K6916="")),"",MIN($J6916,$K6916))</f>
        <v/>
      </c>
      <c r="Q6916" t="str">
        <f t="shared" ref="Q6916:Q6979" si="1088">IF($A6916="","",$D6916&amp;"("&amp;SUBSTITUTE($E6916," ","")&amp;")")</f>
        <v/>
      </c>
      <c r="R6916" t="str">
        <f t="shared" ref="R6916:R6979" si="1089">IF($A6916="","",$B6916&amp;" - "&amp;$C6916)</f>
        <v/>
      </c>
      <c r="S6916" t="str">
        <f t="shared" ref="S6916:S6979" si="1090">IF($A6916="","",$R6916&amp;"|"&amp;$Q6916)</f>
        <v/>
      </c>
      <c r="T6916" t="str">
        <f t="shared" ref="T6916:T6979" si="1091">IF($A6916="","",$S6916&amp;"|"&amp;$F6916)</f>
        <v/>
      </c>
      <c r="U6916" t="str">
        <f t="shared" ref="U6916:U6979" si="1092">IF($A6916="","",$R6916&amp;"("&amp;$E6916&amp;")")</f>
        <v/>
      </c>
      <c r="V6916" t="str">
        <f t="shared" ref="V6916:V6979" si="1093">IF($A6916="","",$F6916&amp;"|"&amp;$U6916&amp;"|"&amp;$D6916)</f>
        <v/>
      </c>
      <c r="W6916" t="str">
        <f t="shared" si="1082"/>
        <v/>
      </c>
      <c r="X6916">
        <f t="shared" si="1084"/>
        <v>0</v>
      </c>
      <c r="Z6916" t="str">
        <f t="shared" si="1083"/>
        <v/>
      </c>
      <c r="AA6916">
        <f t="shared" si="1085"/>
        <v>0</v>
      </c>
    </row>
    <row r="6917" spans="1:27" ht="21" customHeight="1" x14ac:dyDescent="0.95">
      <c r="A6917" s="56"/>
      <c r="B6917" s="57"/>
      <c r="C6917" s="57"/>
      <c r="D6917" s="57"/>
      <c r="E6917" s="56"/>
      <c r="F6917" s="57"/>
      <c r="G6917" s="57"/>
      <c r="H6917" s="56"/>
      <c r="I6917" s="56"/>
      <c r="J6917" s="58"/>
      <c r="K6917" s="58"/>
      <c r="L6917" s="13" t="str">
        <f t="shared" si="1086"/>
        <v/>
      </c>
      <c r="M6917" s="13" t="str">
        <f t="shared" si="1087"/>
        <v/>
      </c>
      <c r="Q6917" t="str">
        <f t="shared" si="1088"/>
        <v/>
      </c>
      <c r="R6917" t="str">
        <f t="shared" si="1089"/>
        <v/>
      </c>
      <c r="S6917" t="str">
        <f t="shared" si="1090"/>
        <v/>
      </c>
      <c r="T6917" t="str">
        <f t="shared" si="1091"/>
        <v/>
      </c>
      <c r="U6917" t="str">
        <f t="shared" si="1092"/>
        <v/>
      </c>
      <c r="V6917" t="str">
        <f t="shared" si="1093"/>
        <v/>
      </c>
      <c r="W6917" t="str">
        <f t="shared" si="1082"/>
        <v/>
      </c>
      <c r="X6917">
        <f t="shared" si="1084"/>
        <v>0</v>
      </c>
      <c r="Z6917" t="str">
        <f t="shared" si="1083"/>
        <v/>
      </c>
      <c r="AA6917">
        <f t="shared" si="1085"/>
        <v>0</v>
      </c>
    </row>
    <row r="6918" spans="1:27" ht="21" customHeight="1" x14ac:dyDescent="0.95">
      <c r="A6918" s="56"/>
      <c r="B6918" s="57"/>
      <c r="C6918" s="57"/>
      <c r="D6918" s="57"/>
      <c r="E6918" s="56"/>
      <c r="F6918" s="57"/>
      <c r="G6918" s="57"/>
      <c r="H6918" s="56"/>
      <c r="I6918" s="56"/>
      <c r="J6918" s="58"/>
      <c r="K6918" s="58"/>
      <c r="L6918" s="13" t="str">
        <f t="shared" si="1086"/>
        <v/>
      </c>
      <c r="M6918" s="13" t="str">
        <f t="shared" si="1087"/>
        <v/>
      </c>
      <c r="Q6918" t="str">
        <f t="shared" si="1088"/>
        <v/>
      </c>
      <c r="R6918" t="str">
        <f t="shared" si="1089"/>
        <v/>
      </c>
      <c r="S6918" t="str">
        <f t="shared" si="1090"/>
        <v/>
      </c>
      <c r="T6918" t="str">
        <f t="shared" si="1091"/>
        <v/>
      </c>
      <c r="U6918" t="str">
        <f t="shared" si="1092"/>
        <v/>
      </c>
      <c r="V6918" t="str">
        <f t="shared" si="1093"/>
        <v/>
      </c>
      <c r="W6918" t="str">
        <f t="shared" ref="W6918:W6981" si="1094">IF($T6918="","",IF($X6918&gt;N($X6917),$X6918,""))</f>
        <v/>
      </c>
      <c r="X6918">
        <f t="shared" si="1084"/>
        <v>0</v>
      </c>
      <c r="Z6918" t="str">
        <f t="shared" ref="Z6918:Z6981" si="1095">IF($V6918="","",IF($AA6918&gt;N($AA6917),$AA6918,""))</f>
        <v/>
      </c>
      <c r="AA6918">
        <f t="shared" si="1085"/>
        <v>0</v>
      </c>
    </row>
    <row r="6919" spans="1:27" ht="21" customHeight="1" x14ac:dyDescent="0.95">
      <c r="A6919" s="56"/>
      <c r="B6919" s="57"/>
      <c r="C6919" s="57"/>
      <c r="D6919" s="57"/>
      <c r="E6919" s="56"/>
      <c r="F6919" s="57"/>
      <c r="G6919" s="57"/>
      <c r="H6919" s="56"/>
      <c r="I6919" s="56"/>
      <c r="J6919" s="58"/>
      <c r="K6919" s="58"/>
      <c r="L6919" s="13" t="str">
        <f t="shared" si="1086"/>
        <v/>
      </c>
      <c r="M6919" s="13" t="str">
        <f t="shared" si="1087"/>
        <v/>
      </c>
      <c r="Q6919" t="str">
        <f t="shared" si="1088"/>
        <v/>
      </c>
      <c r="R6919" t="str">
        <f t="shared" si="1089"/>
        <v/>
      </c>
      <c r="S6919" t="str">
        <f t="shared" si="1090"/>
        <v/>
      </c>
      <c r="T6919" t="str">
        <f t="shared" si="1091"/>
        <v/>
      </c>
      <c r="U6919" t="str">
        <f t="shared" si="1092"/>
        <v/>
      </c>
      <c r="V6919" t="str">
        <f t="shared" si="1093"/>
        <v/>
      </c>
      <c r="W6919" t="str">
        <f t="shared" si="1094"/>
        <v/>
      </c>
      <c r="X6919">
        <f t="shared" si="1084"/>
        <v>0</v>
      </c>
      <c r="Z6919" t="str">
        <f t="shared" si="1095"/>
        <v/>
      </c>
      <c r="AA6919">
        <f t="shared" si="1085"/>
        <v>0</v>
      </c>
    </row>
    <row r="6920" spans="1:27" ht="21" customHeight="1" x14ac:dyDescent="0.95">
      <c r="A6920" s="56"/>
      <c r="B6920" s="57"/>
      <c r="C6920" s="57"/>
      <c r="D6920" s="57"/>
      <c r="E6920" s="56"/>
      <c r="F6920" s="57"/>
      <c r="G6920" s="57"/>
      <c r="H6920" s="56"/>
      <c r="I6920" s="56"/>
      <c r="J6920" s="58"/>
      <c r="K6920" s="58"/>
      <c r="L6920" s="13" t="str">
        <f t="shared" si="1086"/>
        <v/>
      </c>
      <c r="M6920" s="13" t="str">
        <f t="shared" si="1087"/>
        <v/>
      </c>
      <c r="Q6920" t="str">
        <f t="shared" si="1088"/>
        <v/>
      </c>
      <c r="R6920" t="str">
        <f t="shared" si="1089"/>
        <v/>
      </c>
      <c r="S6920" t="str">
        <f t="shared" si="1090"/>
        <v/>
      </c>
      <c r="T6920" t="str">
        <f t="shared" si="1091"/>
        <v/>
      </c>
      <c r="U6920" t="str">
        <f t="shared" si="1092"/>
        <v/>
      </c>
      <c r="V6920" t="str">
        <f t="shared" si="1093"/>
        <v/>
      </c>
      <c r="W6920" t="str">
        <f t="shared" si="1094"/>
        <v/>
      </c>
      <c r="X6920">
        <f t="shared" si="1084"/>
        <v>0</v>
      </c>
      <c r="Z6920" t="str">
        <f t="shared" si="1095"/>
        <v/>
      </c>
      <c r="AA6920">
        <f t="shared" si="1085"/>
        <v>0</v>
      </c>
    </row>
    <row r="6921" spans="1:27" ht="21" customHeight="1" x14ac:dyDescent="0.95">
      <c r="A6921" s="56"/>
      <c r="B6921" s="57"/>
      <c r="C6921" s="57"/>
      <c r="D6921" s="57"/>
      <c r="E6921" s="56"/>
      <c r="F6921" s="57"/>
      <c r="G6921" s="57"/>
      <c r="H6921" s="56"/>
      <c r="I6921" s="56"/>
      <c r="J6921" s="58"/>
      <c r="K6921" s="58"/>
      <c r="L6921" s="13" t="str">
        <f t="shared" si="1086"/>
        <v/>
      </c>
      <c r="M6921" s="13" t="str">
        <f t="shared" si="1087"/>
        <v/>
      </c>
      <c r="Q6921" t="str">
        <f t="shared" si="1088"/>
        <v/>
      </c>
      <c r="R6921" t="str">
        <f t="shared" si="1089"/>
        <v/>
      </c>
      <c r="S6921" t="str">
        <f t="shared" si="1090"/>
        <v/>
      </c>
      <c r="T6921" t="str">
        <f t="shared" si="1091"/>
        <v/>
      </c>
      <c r="U6921" t="str">
        <f t="shared" si="1092"/>
        <v/>
      </c>
      <c r="V6921" t="str">
        <f t="shared" si="1093"/>
        <v/>
      </c>
      <c r="W6921" t="str">
        <f t="shared" si="1094"/>
        <v/>
      </c>
      <c r="X6921">
        <f t="shared" si="1084"/>
        <v>0</v>
      </c>
      <c r="Z6921" t="str">
        <f t="shared" si="1095"/>
        <v/>
      </c>
      <c r="AA6921">
        <f t="shared" si="1085"/>
        <v>0</v>
      </c>
    </row>
    <row r="6922" spans="1:27" ht="21" customHeight="1" x14ac:dyDescent="0.95">
      <c r="A6922" s="56"/>
      <c r="B6922" s="57"/>
      <c r="C6922" s="57"/>
      <c r="D6922" s="57"/>
      <c r="E6922" s="56"/>
      <c r="F6922" s="57"/>
      <c r="G6922" s="57"/>
      <c r="H6922" s="56"/>
      <c r="I6922" s="56"/>
      <c r="J6922" s="58"/>
      <c r="K6922" s="58"/>
      <c r="L6922" s="13" t="str">
        <f t="shared" si="1086"/>
        <v/>
      </c>
      <c r="M6922" s="13" t="str">
        <f t="shared" si="1087"/>
        <v/>
      </c>
      <c r="Q6922" t="str">
        <f t="shared" si="1088"/>
        <v/>
      </c>
      <c r="R6922" t="str">
        <f t="shared" si="1089"/>
        <v/>
      </c>
      <c r="S6922" t="str">
        <f t="shared" si="1090"/>
        <v/>
      </c>
      <c r="T6922" t="str">
        <f t="shared" si="1091"/>
        <v/>
      </c>
      <c r="U6922" t="str">
        <f t="shared" si="1092"/>
        <v/>
      </c>
      <c r="V6922" t="str">
        <f t="shared" si="1093"/>
        <v/>
      </c>
      <c r="W6922" t="str">
        <f t="shared" si="1094"/>
        <v/>
      </c>
      <c r="X6922">
        <f t="shared" si="1084"/>
        <v>0</v>
      </c>
      <c r="Z6922" t="str">
        <f t="shared" si="1095"/>
        <v/>
      </c>
      <c r="AA6922">
        <f t="shared" si="1085"/>
        <v>0</v>
      </c>
    </row>
    <row r="6923" spans="1:27" ht="21" customHeight="1" x14ac:dyDescent="0.95">
      <c r="A6923" s="56"/>
      <c r="B6923" s="57"/>
      <c r="C6923" s="57"/>
      <c r="D6923" s="57"/>
      <c r="E6923" s="56"/>
      <c r="F6923" s="57"/>
      <c r="G6923" s="57"/>
      <c r="H6923" s="56"/>
      <c r="I6923" s="56"/>
      <c r="J6923" s="58"/>
      <c r="K6923" s="58"/>
      <c r="L6923" s="13" t="str">
        <f t="shared" si="1086"/>
        <v/>
      </c>
      <c r="M6923" s="13" t="str">
        <f t="shared" si="1087"/>
        <v/>
      </c>
      <c r="Q6923" t="str">
        <f t="shared" si="1088"/>
        <v/>
      </c>
      <c r="R6923" t="str">
        <f t="shared" si="1089"/>
        <v/>
      </c>
      <c r="S6923" t="str">
        <f t="shared" si="1090"/>
        <v/>
      </c>
      <c r="T6923" t="str">
        <f t="shared" si="1091"/>
        <v/>
      </c>
      <c r="U6923" t="str">
        <f t="shared" si="1092"/>
        <v/>
      </c>
      <c r="V6923" t="str">
        <f t="shared" si="1093"/>
        <v/>
      </c>
      <c r="W6923" t="str">
        <f t="shared" si="1094"/>
        <v/>
      </c>
      <c r="X6923">
        <f t="shared" si="1084"/>
        <v>0</v>
      </c>
      <c r="Z6923" t="str">
        <f t="shared" si="1095"/>
        <v/>
      </c>
      <c r="AA6923">
        <f t="shared" si="1085"/>
        <v>0</v>
      </c>
    </row>
    <row r="6924" spans="1:27" ht="21" customHeight="1" x14ac:dyDescent="0.95">
      <c r="A6924" s="56"/>
      <c r="B6924" s="57"/>
      <c r="C6924" s="57"/>
      <c r="D6924" s="57"/>
      <c r="E6924" s="56"/>
      <c r="F6924" s="57"/>
      <c r="G6924" s="57"/>
      <c r="H6924" s="56"/>
      <c r="I6924" s="56"/>
      <c r="J6924" s="58"/>
      <c r="K6924" s="58"/>
      <c r="L6924" s="13" t="str">
        <f t="shared" si="1086"/>
        <v/>
      </c>
      <c r="M6924" s="13" t="str">
        <f t="shared" si="1087"/>
        <v/>
      </c>
      <c r="Q6924" t="str">
        <f t="shared" si="1088"/>
        <v/>
      </c>
      <c r="R6924" t="str">
        <f t="shared" si="1089"/>
        <v/>
      </c>
      <c r="S6924" t="str">
        <f t="shared" si="1090"/>
        <v/>
      </c>
      <c r="T6924" t="str">
        <f t="shared" si="1091"/>
        <v/>
      </c>
      <c r="U6924" t="str">
        <f t="shared" si="1092"/>
        <v/>
      </c>
      <c r="V6924" t="str">
        <f t="shared" si="1093"/>
        <v/>
      </c>
      <c r="W6924" t="str">
        <f t="shared" si="1094"/>
        <v/>
      </c>
      <c r="X6924">
        <f t="shared" si="1084"/>
        <v>0</v>
      </c>
      <c r="Z6924" t="str">
        <f t="shared" si="1095"/>
        <v/>
      </c>
      <c r="AA6924">
        <f t="shared" si="1085"/>
        <v>0</v>
      </c>
    </row>
    <row r="6925" spans="1:27" ht="21" customHeight="1" x14ac:dyDescent="0.95">
      <c r="A6925" s="56"/>
      <c r="B6925" s="57"/>
      <c r="C6925" s="57"/>
      <c r="D6925" s="57"/>
      <c r="E6925" s="56"/>
      <c r="F6925" s="57"/>
      <c r="G6925" s="57"/>
      <c r="H6925" s="56"/>
      <c r="I6925" s="56"/>
      <c r="J6925" s="58"/>
      <c r="K6925" s="58"/>
      <c r="L6925" s="13" t="str">
        <f t="shared" si="1086"/>
        <v/>
      </c>
      <c r="M6925" s="13" t="str">
        <f t="shared" si="1087"/>
        <v/>
      </c>
      <c r="Q6925" t="str">
        <f t="shared" si="1088"/>
        <v/>
      </c>
      <c r="R6925" t="str">
        <f t="shared" si="1089"/>
        <v/>
      </c>
      <c r="S6925" t="str">
        <f t="shared" si="1090"/>
        <v/>
      </c>
      <c r="T6925" t="str">
        <f t="shared" si="1091"/>
        <v/>
      </c>
      <c r="U6925" t="str">
        <f t="shared" si="1092"/>
        <v/>
      </c>
      <c r="V6925" t="str">
        <f t="shared" si="1093"/>
        <v/>
      </c>
      <c r="W6925" t="str">
        <f t="shared" si="1094"/>
        <v/>
      </c>
      <c r="X6925">
        <f t="shared" si="1084"/>
        <v>0</v>
      </c>
      <c r="Z6925" t="str">
        <f t="shared" si="1095"/>
        <v/>
      </c>
      <c r="AA6925">
        <f t="shared" si="1085"/>
        <v>0</v>
      </c>
    </row>
    <row r="6926" spans="1:27" ht="21" customHeight="1" x14ac:dyDescent="0.95">
      <c r="A6926" s="56"/>
      <c r="B6926" s="57"/>
      <c r="C6926" s="57"/>
      <c r="D6926" s="57"/>
      <c r="E6926" s="56"/>
      <c r="F6926" s="57"/>
      <c r="G6926" s="57"/>
      <c r="H6926" s="56"/>
      <c r="I6926" s="56"/>
      <c r="J6926" s="58"/>
      <c r="K6926" s="58"/>
      <c r="L6926" s="13" t="str">
        <f t="shared" si="1086"/>
        <v/>
      </c>
      <c r="M6926" s="13" t="str">
        <f t="shared" si="1087"/>
        <v/>
      </c>
      <c r="Q6926" t="str">
        <f t="shared" si="1088"/>
        <v/>
      </c>
      <c r="R6926" t="str">
        <f t="shared" si="1089"/>
        <v/>
      </c>
      <c r="S6926" t="str">
        <f t="shared" si="1090"/>
        <v/>
      </c>
      <c r="T6926" t="str">
        <f t="shared" si="1091"/>
        <v/>
      </c>
      <c r="U6926" t="str">
        <f t="shared" si="1092"/>
        <v/>
      </c>
      <c r="V6926" t="str">
        <f t="shared" si="1093"/>
        <v/>
      </c>
      <c r="W6926" t="str">
        <f t="shared" si="1094"/>
        <v/>
      </c>
      <c r="X6926">
        <f t="shared" si="1084"/>
        <v>0</v>
      </c>
      <c r="Z6926" t="str">
        <f t="shared" si="1095"/>
        <v/>
      </c>
      <c r="AA6926">
        <f t="shared" si="1085"/>
        <v>0</v>
      </c>
    </row>
    <row r="6927" spans="1:27" ht="21" customHeight="1" x14ac:dyDescent="0.95">
      <c r="A6927" s="56"/>
      <c r="B6927" s="57"/>
      <c r="C6927" s="57"/>
      <c r="D6927" s="57"/>
      <c r="E6927" s="56"/>
      <c r="F6927" s="57"/>
      <c r="G6927" s="57"/>
      <c r="H6927" s="56"/>
      <c r="I6927" s="56"/>
      <c r="J6927" s="58"/>
      <c r="K6927" s="58"/>
      <c r="L6927" s="13" t="str">
        <f t="shared" si="1086"/>
        <v/>
      </c>
      <c r="M6927" s="13" t="str">
        <f t="shared" si="1087"/>
        <v/>
      </c>
      <c r="Q6927" t="str">
        <f t="shared" si="1088"/>
        <v/>
      </c>
      <c r="R6927" t="str">
        <f t="shared" si="1089"/>
        <v/>
      </c>
      <c r="S6927" t="str">
        <f t="shared" si="1090"/>
        <v/>
      </c>
      <c r="T6927" t="str">
        <f t="shared" si="1091"/>
        <v/>
      </c>
      <c r="U6927" t="str">
        <f t="shared" si="1092"/>
        <v/>
      </c>
      <c r="V6927" t="str">
        <f t="shared" si="1093"/>
        <v/>
      </c>
      <c r="W6927" t="str">
        <f t="shared" si="1094"/>
        <v/>
      </c>
      <c r="X6927">
        <f t="shared" si="1084"/>
        <v>0</v>
      </c>
      <c r="Z6927" t="str">
        <f t="shared" si="1095"/>
        <v/>
      </c>
      <c r="AA6927">
        <f t="shared" si="1085"/>
        <v>0</v>
      </c>
    </row>
    <row r="6928" spans="1:27" ht="21" customHeight="1" x14ac:dyDescent="0.95">
      <c r="A6928" s="56"/>
      <c r="B6928" s="57"/>
      <c r="C6928" s="57"/>
      <c r="D6928" s="57"/>
      <c r="E6928" s="56"/>
      <c r="F6928" s="57"/>
      <c r="G6928" s="57"/>
      <c r="H6928" s="56"/>
      <c r="I6928" s="56"/>
      <c r="J6928" s="58"/>
      <c r="K6928" s="58"/>
      <c r="L6928" s="13" t="str">
        <f t="shared" si="1086"/>
        <v/>
      </c>
      <c r="M6928" s="13" t="str">
        <f t="shared" si="1087"/>
        <v/>
      </c>
      <c r="Q6928" t="str">
        <f t="shared" si="1088"/>
        <v/>
      </c>
      <c r="R6928" t="str">
        <f t="shared" si="1089"/>
        <v/>
      </c>
      <c r="S6928" t="str">
        <f t="shared" si="1090"/>
        <v/>
      </c>
      <c r="T6928" t="str">
        <f t="shared" si="1091"/>
        <v/>
      </c>
      <c r="U6928" t="str">
        <f t="shared" si="1092"/>
        <v/>
      </c>
      <c r="V6928" t="str">
        <f t="shared" si="1093"/>
        <v/>
      </c>
      <c r="W6928" t="str">
        <f t="shared" si="1094"/>
        <v/>
      </c>
      <c r="X6928">
        <f t="shared" si="1084"/>
        <v>0</v>
      </c>
      <c r="Z6928" t="str">
        <f t="shared" si="1095"/>
        <v/>
      </c>
      <c r="AA6928">
        <f t="shared" si="1085"/>
        <v>0</v>
      </c>
    </row>
    <row r="6929" spans="1:27" ht="21" customHeight="1" x14ac:dyDescent="0.95">
      <c r="A6929" s="56"/>
      <c r="B6929" s="57"/>
      <c r="C6929" s="57"/>
      <c r="D6929" s="57"/>
      <c r="E6929" s="56"/>
      <c r="F6929" s="57"/>
      <c r="G6929" s="57"/>
      <c r="H6929" s="56"/>
      <c r="I6929" s="56"/>
      <c r="J6929" s="58"/>
      <c r="K6929" s="58"/>
      <c r="L6929" s="13" t="str">
        <f t="shared" si="1086"/>
        <v/>
      </c>
      <c r="M6929" s="13" t="str">
        <f t="shared" si="1087"/>
        <v/>
      </c>
      <c r="Q6929" t="str">
        <f t="shared" si="1088"/>
        <v/>
      </c>
      <c r="R6929" t="str">
        <f t="shared" si="1089"/>
        <v/>
      </c>
      <c r="S6929" t="str">
        <f t="shared" si="1090"/>
        <v/>
      </c>
      <c r="T6929" t="str">
        <f t="shared" si="1091"/>
        <v/>
      </c>
      <c r="U6929" t="str">
        <f t="shared" si="1092"/>
        <v/>
      </c>
      <c r="V6929" t="str">
        <f t="shared" si="1093"/>
        <v/>
      </c>
      <c r="W6929" t="str">
        <f t="shared" si="1094"/>
        <v/>
      </c>
      <c r="X6929">
        <f t="shared" si="1084"/>
        <v>0</v>
      </c>
      <c r="Z6929" t="str">
        <f t="shared" si="1095"/>
        <v/>
      </c>
      <c r="AA6929">
        <f t="shared" si="1085"/>
        <v>0</v>
      </c>
    </row>
    <row r="6930" spans="1:27" ht="21" customHeight="1" x14ac:dyDescent="0.95">
      <c r="A6930" s="56"/>
      <c r="B6930" s="57"/>
      <c r="C6930" s="57"/>
      <c r="D6930" s="57"/>
      <c r="E6930" s="56"/>
      <c r="F6930" s="57"/>
      <c r="G6930" s="57"/>
      <c r="H6930" s="56"/>
      <c r="I6930" s="56"/>
      <c r="J6930" s="58"/>
      <c r="K6930" s="58"/>
      <c r="L6930" s="13" t="str">
        <f t="shared" si="1086"/>
        <v/>
      </c>
      <c r="M6930" s="13" t="str">
        <f t="shared" si="1087"/>
        <v/>
      </c>
      <c r="Q6930" t="str">
        <f t="shared" si="1088"/>
        <v/>
      </c>
      <c r="R6930" t="str">
        <f t="shared" si="1089"/>
        <v/>
      </c>
      <c r="S6930" t="str">
        <f t="shared" si="1090"/>
        <v/>
      </c>
      <c r="T6930" t="str">
        <f t="shared" si="1091"/>
        <v/>
      </c>
      <c r="U6930" t="str">
        <f t="shared" si="1092"/>
        <v/>
      </c>
      <c r="V6930" t="str">
        <f t="shared" si="1093"/>
        <v/>
      </c>
      <c r="W6930" t="str">
        <f t="shared" si="1094"/>
        <v/>
      </c>
      <c r="X6930">
        <f t="shared" si="1084"/>
        <v>0</v>
      </c>
      <c r="Z6930" t="str">
        <f t="shared" si="1095"/>
        <v/>
      </c>
      <c r="AA6930">
        <f t="shared" si="1085"/>
        <v>0</v>
      </c>
    </row>
    <row r="6931" spans="1:27" ht="21" customHeight="1" x14ac:dyDescent="0.95">
      <c r="A6931" s="56"/>
      <c r="B6931" s="57"/>
      <c r="C6931" s="57"/>
      <c r="D6931" s="57"/>
      <c r="E6931" s="56"/>
      <c r="F6931" s="57"/>
      <c r="G6931" s="57"/>
      <c r="H6931" s="56"/>
      <c r="I6931" s="56"/>
      <c r="J6931" s="58"/>
      <c r="K6931" s="58"/>
      <c r="L6931" s="13" t="str">
        <f t="shared" si="1086"/>
        <v/>
      </c>
      <c r="M6931" s="13" t="str">
        <f t="shared" si="1087"/>
        <v/>
      </c>
      <c r="Q6931" t="str">
        <f t="shared" si="1088"/>
        <v/>
      </c>
      <c r="R6931" t="str">
        <f t="shared" si="1089"/>
        <v/>
      </c>
      <c r="S6931" t="str">
        <f t="shared" si="1090"/>
        <v/>
      </c>
      <c r="T6931" t="str">
        <f t="shared" si="1091"/>
        <v/>
      </c>
      <c r="U6931" t="str">
        <f t="shared" si="1092"/>
        <v/>
      </c>
      <c r="V6931" t="str">
        <f t="shared" si="1093"/>
        <v/>
      </c>
      <c r="W6931" t="str">
        <f t="shared" si="1094"/>
        <v/>
      </c>
      <c r="X6931">
        <f t="shared" si="1084"/>
        <v>0</v>
      </c>
      <c r="Z6931" t="str">
        <f t="shared" si="1095"/>
        <v/>
      </c>
      <c r="AA6931">
        <f t="shared" si="1085"/>
        <v>0</v>
      </c>
    </row>
    <row r="6932" spans="1:27" ht="21" customHeight="1" x14ac:dyDescent="0.95">
      <c r="A6932" s="56"/>
      <c r="B6932" s="57"/>
      <c r="C6932" s="57"/>
      <c r="D6932" s="57"/>
      <c r="E6932" s="56"/>
      <c r="F6932" s="57"/>
      <c r="G6932" s="57"/>
      <c r="H6932" s="56"/>
      <c r="I6932" s="56"/>
      <c r="J6932" s="58"/>
      <c r="K6932" s="58"/>
      <c r="L6932" s="13" t="str">
        <f t="shared" si="1086"/>
        <v/>
      </c>
      <c r="M6932" s="13" t="str">
        <f t="shared" si="1087"/>
        <v/>
      </c>
      <c r="Q6932" t="str">
        <f t="shared" si="1088"/>
        <v/>
      </c>
      <c r="R6932" t="str">
        <f t="shared" si="1089"/>
        <v/>
      </c>
      <c r="S6932" t="str">
        <f t="shared" si="1090"/>
        <v/>
      </c>
      <c r="T6932" t="str">
        <f t="shared" si="1091"/>
        <v/>
      </c>
      <c r="U6932" t="str">
        <f t="shared" si="1092"/>
        <v/>
      </c>
      <c r="V6932" t="str">
        <f t="shared" si="1093"/>
        <v/>
      </c>
      <c r="W6932" t="str">
        <f t="shared" si="1094"/>
        <v/>
      </c>
      <c r="X6932">
        <f t="shared" si="1084"/>
        <v>0</v>
      </c>
      <c r="Z6932" t="str">
        <f t="shared" si="1095"/>
        <v/>
      </c>
      <c r="AA6932">
        <f t="shared" si="1085"/>
        <v>0</v>
      </c>
    </row>
    <row r="6933" spans="1:27" ht="21" customHeight="1" x14ac:dyDescent="0.95">
      <c r="A6933" s="56"/>
      <c r="B6933" s="57"/>
      <c r="C6933" s="57"/>
      <c r="D6933" s="57"/>
      <c r="E6933" s="56"/>
      <c r="F6933" s="57"/>
      <c r="G6933" s="57"/>
      <c r="H6933" s="56"/>
      <c r="I6933" s="56"/>
      <c r="J6933" s="58"/>
      <c r="K6933" s="58"/>
      <c r="L6933" s="13" t="str">
        <f t="shared" si="1086"/>
        <v/>
      </c>
      <c r="M6933" s="13" t="str">
        <f t="shared" si="1087"/>
        <v/>
      </c>
      <c r="Q6933" t="str">
        <f t="shared" si="1088"/>
        <v/>
      </c>
      <c r="R6933" t="str">
        <f t="shared" si="1089"/>
        <v/>
      </c>
      <c r="S6933" t="str">
        <f t="shared" si="1090"/>
        <v/>
      </c>
      <c r="T6933" t="str">
        <f t="shared" si="1091"/>
        <v/>
      </c>
      <c r="U6933" t="str">
        <f t="shared" si="1092"/>
        <v/>
      </c>
      <c r="V6933" t="str">
        <f t="shared" si="1093"/>
        <v/>
      </c>
      <c r="W6933" t="str">
        <f t="shared" si="1094"/>
        <v/>
      </c>
      <c r="X6933">
        <f t="shared" si="1084"/>
        <v>0</v>
      </c>
      <c r="Z6933" t="str">
        <f t="shared" si="1095"/>
        <v/>
      </c>
      <c r="AA6933">
        <f t="shared" si="1085"/>
        <v>0</v>
      </c>
    </row>
    <row r="6934" spans="1:27" ht="21" customHeight="1" x14ac:dyDescent="0.95">
      <c r="A6934" s="56"/>
      <c r="B6934" s="57"/>
      <c r="C6934" s="57"/>
      <c r="D6934" s="57"/>
      <c r="E6934" s="56"/>
      <c r="F6934" s="57"/>
      <c r="G6934" s="57"/>
      <c r="H6934" s="56"/>
      <c r="I6934" s="56"/>
      <c r="J6934" s="58"/>
      <c r="K6934" s="58"/>
      <c r="L6934" s="13" t="str">
        <f t="shared" si="1086"/>
        <v/>
      </c>
      <c r="M6934" s="13" t="str">
        <f t="shared" si="1087"/>
        <v/>
      </c>
      <c r="Q6934" t="str">
        <f t="shared" si="1088"/>
        <v/>
      </c>
      <c r="R6934" t="str">
        <f t="shared" si="1089"/>
        <v/>
      </c>
      <c r="S6934" t="str">
        <f t="shared" si="1090"/>
        <v/>
      </c>
      <c r="T6934" t="str">
        <f t="shared" si="1091"/>
        <v/>
      </c>
      <c r="U6934" t="str">
        <f t="shared" si="1092"/>
        <v/>
      </c>
      <c r="V6934" t="str">
        <f t="shared" si="1093"/>
        <v/>
      </c>
      <c r="W6934" t="str">
        <f t="shared" si="1094"/>
        <v/>
      </c>
      <c r="X6934">
        <f t="shared" si="1084"/>
        <v>0</v>
      </c>
      <c r="Z6934" t="str">
        <f t="shared" si="1095"/>
        <v/>
      </c>
      <c r="AA6934">
        <f t="shared" si="1085"/>
        <v>0</v>
      </c>
    </row>
    <row r="6935" spans="1:27" ht="21" customHeight="1" x14ac:dyDescent="0.95">
      <c r="A6935" s="56"/>
      <c r="B6935" s="57"/>
      <c r="C6935" s="57"/>
      <c r="D6935" s="57"/>
      <c r="E6935" s="56"/>
      <c r="F6935" s="57"/>
      <c r="G6935" s="57"/>
      <c r="H6935" s="56"/>
      <c r="I6935" s="56"/>
      <c r="J6935" s="58"/>
      <c r="K6935" s="58"/>
      <c r="L6935" s="13" t="str">
        <f t="shared" si="1086"/>
        <v/>
      </c>
      <c r="M6935" s="13" t="str">
        <f t="shared" si="1087"/>
        <v/>
      </c>
      <c r="Q6935" t="str">
        <f t="shared" si="1088"/>
        <v/>
      </c>
      <c r="R6935" t="str">
        <f t="shared" si="1089"/>
        <v/>
      </c>
      <c r="S6935" t="str">
        <f t="shared" si="1090"/>
        <v/>
      </c>
      <c r="T6935" t="str">
        <f t="shared" si="1091"/>
        <v/>
      </c>
      <c r="U6935" t="str">
        <f t="shared" si="1092"/>
        <v/>
      </c>
      <c r="V6935" t="str">
        <f t="shared" si="1093"/>
        <v/>
      </c>
      <c r="W6935" t="str">
        <f t="shared" si="1094"/>
        <v/>
      </c>
      <c r="X6935">
        <f t="shared" si="1084"/>
        <v>0</v>
      </c>
      <c r="Z6935" t="str">
        <f t="shared" si="1095"/>
        <v/>
      </c>
      <c r="AA6935">
        <f t="shared" si="1085"/>
        <v>0</v>
      </c>
    </row>
    <row r="6936" spans="1:27" ht="21" customHeight="1" x14ac:dyDescent="0.95">
      <c r="A6936" s="56"/>
      <c r="B6936" s="57"/>
      <c r="C6936" s="57"/>
      <c r="D6936" s="57"/>
      <c r="E6936" s="56"/>
      <c r="F6936" s="57"/>
      <c r="G6936" s="57"/>
      <c r="H6936" s="56"/>
      <c r="I6936" s="56"/>
      <c r="J6936" s="58"/>
      <c r="K6936" s="58"/>
      <c r="L6936" s="13" t="str">
        <f t="shared" si="1086"/>
        <v/>
      </c>
      <c r="M6936" s="13" t="str">
        <f t="shared" si="1087"/>
        <v/>
      </c>
      <c r="Q6936" t="str">
        <f t="shared" si="1088"/>
        <v/>
      </c>
      <c r="R6936" t="str">
        <f t="shared" si="1089"/>
        <v/>
      </c>
      <c r="S6936" t="str">
        <f t="shared" si="1090"/>
        <v/>
      </c>
      <c r="T6936" t="str">
        <f t="shared" si="1091"/>
        <v/>
      </c>
      <c r="U6936" t="str">
        <f t="shared" si="1092"/>
        <v/>
      </c>
      <c r="V6936" t="str">
        <f t="shared" si="1093"/>
        <v/>
      </c>
      <c r="W6936" t="str">
        <f t="shared" si="1094"/>
        <v/>
      </c>
      <c r="X6936">
        <f t="shared" si="1084"/>
        <v>0</v>
      </c>
      <c r="Z6936" t="str">
        <f t="shared" si="1095"/>
        <v/>
      </c>
      <c r="AA6936">
        <f t="shared" si="1085"/>
        <v>0</v>
      </c>
    </row>
    <row r="6937" spans="1:27" ht="21" customHeight="1" x14ac:dyDescent="0.95">
      <c r="A6937" s="56"/>
      <c r="B6937" s="57"/>
      <c r="C6937" s="57"/>
      <c r="D6937" s="57"/>
      <c r="E6937" s="56"/>
      <c r="F6937" s="57"/>
      <c r="G6937" s="57"/>
      <c r="H6937" s="56"/>
      <c r="I6937" s="56"/>
      <c r="J6937" s="58"/>
      <c r="K6937" s="58"/>
      <c r="L6937" s="13" t="str">
        <f t="shared" si="1086"/>
        <v/>
      </c>
      <c r="M6937" s="13" t="str">
        <f t="shared" si="1087"/>
        <v/>
      </c>
      <c r="Q6937" t="str">
        <f t="shared" si="1088"/>
        <v/>
      </c>
      <c r="R6937" t="str">
        <f t="shared" si="1089"/>
        <v/>
      </c>
      <c r="S6937" t="str">
        <f t="shared" si="1090"/>
        <v/>
      </c>
      <c r="T6937" t="str">
        <f t="shared" si="1091"/>
        <v/>
      </c>
      <c r="U6937" t="str">
        <f t="shared" si="1092"/>
        <v/>
      </c>
      <c r="V6937" t="str">
        <f t="shared" si="1093"/>
        <v/>
      </c>
      <c r="W6937" t="str">
        <f t="shared" si="1094"/>
        <v/>
      </c>
      <c r="X6937">
        <f t="shared" si="1084"/>
        <v>0</v>
      </c>
      <c r="Z6937" t="str">
        <f t="shared" si="1095"/>
        <v/>
      </c>
      <c r="AA6937">
        <f t="shared" si="1085"/>
        <v>0</v>
      </c>
    </row>
    <row r="6938" spans="1:27" ht="21" customHeight="1" x14ac:dyDescent="0.95">
      <c r="A6938" s="56"/>
      <c r="B6938" s="57"/>
      <c r="C6938" s="57"/>
      <c r="D6938" s="57"/>
      <c r="E6938" s="56"/>
      <c r="F6938" s="57"/>
      <c r="G6938" s="57"/>
      <c r="H6938" s="56"/>
      <c r="I6938" s="56"/>
      <c r="J6938" s="58"/>
      <c r="K6938" s="58"/>
      <c r="L6938" s="13" t="str">
        <f t="shared" si="1086"/>
        <v/>
      </c>
      <c r="M6938" s="13" t="str">
        <f t="shared" si="1087"/>
        <v/>
      </c>
      <c r="Q6938" t="str">
        <f t="shared" si="1088"/>
        <v/>
      </c>
      <c r="R6938" t="str">
        <f t="shared" si="1089"/>
        <v/>
      </c>
      <c r="S6938" t="str">
        <f t="shared" si="1090"/>
        <v/>
      </c>
      <c r="T6938" t="str">
        <f t="shared" si="1091"/>
        <v/>
      </c>
      <c r="U6938" t="str">
        <f t="shared" si="1092"/>
        <v/>
      </c>
      <c r="V6938" t="str">
        <f t="shared" si="1093"/>
        <v/>
      </c>
      <c r="W6938" t="str">
        <f t="shared" si="1094"/>
        <v/>
      </c>
      <c r="X6938">
        <f t="shared" si="1084"/>
        <v>0</v>
      </c>
      <c r="Z6938" t="str">
        <f t="shared" si="1095"/>
        <v/>
      </c>
      <c r="AA6938">
        <f t="shared" si="1085"/>
        <v>0</v>
      </c>
    </row>
    <row r="6939" spans="1:27" ht="21" customHeight="1" x14ac:dyDescent="0.95">
      <c r="A6939" s="56"/>
      <c r="B6939" s="57"/>
      <c r="C6939" s="57"/>
      <c r="D6939" s="57"/>
      <c r="E6939" s="56"/>
      <c r="F6939" s="57"/>
      <c r="G6939" s="57"/>
      <c r="H6939" s="56"/>
      <c r="I6939" s="56"/>
      <c r="J6939" s="58"/>
      <c r="K6939" s="58"/>
      <c r="L6939" s="13" t="str">
        <f t="shared" si="1086"/>
        <v/>
      </c>
      <c r="M6939" s="13" t="str">
        <f t="shared" si="1087"/>
        <v/>
      </c>
      <c r="Q6939" t="str">
        <f t="shared" si="1088"/>
        <v/>
      </c>
      <c r="R6939" t="str">
        <f t="shared" si="1089"/>
        <v/>
      </c>
      <c r="S6939" t="str">
        <f t="shared" si="1090"/>
        <v/>
      </c>
      <c r="T6939" t="str">
        <f t="shared" si="1091"/>
        <v/>
      </c>
      <c r="U6939" t="str">
        <f t="shared" si="1092"/>
        <v/>
      </c>
      <c r="V6939" t="str">
        <f t="shared" si="1093"/>
        <v/>
      </c>
      <c r="W6939" t="str">
        <f t="shared" si="1094"/>
        <v/>
      </c>
      <c r="X6939">
        <f t="shared" si="1084"/>
        <v>0</v>
      </c>
      <c r="Z6939" t="str">
        <f t="shared" si="1095"/>
        <v/>
      </c>
      <c r="AA6939">
        <f t="shared" si="1085"/>
        <v>0</v>
      </c>
    </row>
    <row r="6940" spans="1:27" ht="21" customHeight="1" x14ac:dyDescent="0.95">
      <c r="A6940" s="56"/>
      <c r="B6940" s="57"/>
      <c r="C6940" s="57"/>
      <c r="D6940" s="57"/>
      <c r="E6940" s="56"/>
      <c r="F6940" s="57"/>
      <c r="G6940" s="57"/>
      <c r="H6940" s="56"/>
      <c r="I6940" s="56"/>
      <c r="J6940" s="58"/>
      <c r="K6940" s="58"/>
      <c r="L6940" s="13" t="str">
        <f t="shared" si="1086"/>
        <v/>
      </c>
      <c r="M6940" s="13" t="str">
        <f t="shared" si="1087"/>
        <v/>
      </c>
      <c r="Q6940" t="str">
        <f t="shared" si="1088"/>
        <v/>
      </c>
      <c r="R6940" t="str">
        <f t="shared" si="1089"/>
        <v/>
      </c>
      <c r="S6940" t="str">
        <f t="shared" si="1090"/>
        <v/>
      </c>
      <c r="T6940" t="str">
        <f t="shared" si="1091"/>
        <v/>
      </c>
      <c r="U6940" t="str">
        <f t="shared" si="1092"/>
        <v/>
      </c>
      <c r="V6940" t="str">
        <f t="shared" si="1093"/>
        <v/>
      </c>
      <c r="W6940" t="str">
        <f t="shared" si="1094"/>
        <v/>
      </c>
      <c r="X6940">
        <f t="shared" si="1084"/>
        <v>0</v>
      </c>
      <c r="Z6940" t="str">
        <f t="shared" si="1095"/>
        <v/>
      </c>
      <c r="AA6940">
        <f t="shared" si="1085"/>
        <v>0</v>
      </c>
    </row>
    <row r="6941" spans="1:27" ht="21" customHeight="1" x14ac:dyDescent="0.95">
      <c r="A6941" s="56"/>
      <c r="B6941" s="57"/>
      <c r="C6941" s="57"/>
      <c r="D6941" s="57"/>
      <c r="E6941" s="56"/>
      <c r="F6941" s="57"/>
      <c r="G6941" s="57"/>
      <c r="H6941" s="56"/>
      <c r="I6941" s="56"/>
      <c r="J6941" s="58"/>
      <c r="K6941" s="58"/>
      <c r="L6941" s="13" t="str">
        <f t="shared" si="1086"/>
        <v/>
      </c>
      <c r="M6941" s="13" t="str">
        <f t="shared" si="1087"/>
        <v/>
      </c>
      <c r="Q6941" t="str">
        <f t="shared" si="1088"/>
        <v/>
      </c>
      <c r="R6941" t="str">
        <f t="shared" si="1089"/>
        <v/>
      </c>
      <c r="S6941" t="str">
        <f t="shared" si="1090"/>
        <v/>
      </c>
      <c r="T6941" t="str">
        <f t="shared" si="1091"/>
        <v/>
      </c>
      <c r="U6941" t="str">
        <f t="shared" si="1092"/>
        <v/>
      </c>
      <c r="V6941" t="str">
        <f t="shared" si="1093"/>
        <v/>
      </c>
      <c r="W6941" t="str">
        <f t="shared" si="1094"/>
        <v/>
      </c>
      <c r="X6941">
        <f t="shared" si="1084"/>
        <v>0</v>
      </c>
      <c r="Z6941" t="str">
        <f t="shared" si="1095"/>
        <v/>
      </c>
      <c r="AA6941">
        <f t="shared" si="1085"/>
        <v>0</v>
      </c>
    </row>
    <row r="6942" spans="1:27" ht="21" customHeight="1" x14ac:dyDescent="0.95">
      <c r="A6942" s="56"/>
      <c r="B6942" s="57"/>
      <c r="C6942" s="57"/>
      <c r="D6942" s="57"/>
      <c r="E6942" s="56"/>
      <c r="F6942" s="57"/>
      <c r="G6942" s="57"/>
      <c r="H6942" s="56"/>
      <c r="I6942" s="56"/>
      <c r="J6942" s="58"/>
      <c r="K6942" s="58"/>
      <c r="L6942" s="13" t="str">
        <f t="shared" si="1086"/>
        <v/>
      </c>
      <c r="M6942" s="13" t="str">
        <f t="shared" si="1087"/>
        <v/>
      </c>
      <c r="Q6942" t="str">
        <f t="shared" si="1088"/>
        <v/>
      </c>
      <c r="R6942" t="str">
        <f t="shared" si="1089"/>
        <v/>
      </c>
      <c r="S6942" t="str">
        <f t="shared" si="1090"/>
        <v/>
      </c>
      <c r="T6942" t="str">
        <f t="shared" si="1091"/>
        <v/>
      </c>
      <c r="U6942" t="str">
        <f t="shared" si="1092"/>
        <v/>
      </c>
      <c r="V6942" t="str">
        <f t="shared" si="1093"/>
        <v/>
      </c>
      <c r="W6942" t="str">
        <f t="shared" si="1094"/>
        <v/>
      </c>
      <c r="X6942">
        <f t="shared" si="1084"/>
        <v>0</v>
      </c>
      <c r="Z6942" t="str">
        <f t="shared" si="1095"/>
        <v/>
      </c>
      <c r="AA6942">
        <f t="shared" si="1085"/>
        <v>0</v>
      </c>
    </row>
    <row r="6943" spans="1:27" ht="21" customHeight="1" x14ac:dyDescent="0.95">
      <c r="A6943" s="56"/>
      <c r="B6943" s="57"/>
      <c r="C6943" s="57"/>
      <c r="D6943" s="57"/>
      <c r="E6943" s="56"/>
      <c r="F6943" s="57"/>
      <c r="G6943" s="57"/>
      <c r="H6943" s="56"/>
      <c r="I6943" s="56"/>
      <c r="J6943" s="58"/>
      <c r="K6943" s="58"/>
      <c r="L6943" s="13" t="str">
        <f t="shared" si="1086"/>
        <v/>
      </c>
      <c r="M6943" s="13" t="str">
        <f t="shared" si="1087"/>
        <v/>
      </c>
      <c r="Q6943" t="str">
        <f t="shared" si="1088"/>
        <v/>
      </c>
      <c r="R6943" t="str">
        <f t="shared" si="1089"/>
        <v/>
      </c>
      <c r="S6943" t="str">
        <f t="shared" si="1090"/>
        <v/>
      </c>
      <c r="T6943" t="str">
        <f t="shared" si="1091"/>
        <v/>
      </c>
      <c r="U6943" t="str">
        <f t="shared" si="1092"/>
        <v/>
      </c>
      <c r="V6943" t="str">
        <f t="shared" si="1093"/>
        <v/>
      </c>
      <c r="W6943" t="str">
        <f t="shared" si="1094"/>
        <v/>
      </c>
      <c r="X6943">
        <f t="shared" si="1084"/>
        <v>0</v>
      </c>
      <c r="Z6943" t="str">
        <f t="shared" si="1095"/>
        <v/>
      </c>
      <c r="AA6943">
        <f t="shared" si="1085"/>
        <v>0</v>
      </c>
    </row>
    <row r="6944" spans="1:27" ht="21" customHeight="1" x14ac:dyDescent="0.95">
      <c r="A6944" s="56"/>
      <c r="B6944" s="57"/>
      <c r="C6944" s="57"/>
      <c r="D6944" s="57"/>
      <c r="E6944" s="56"/>
      <c r="F6944" s="57"/>
      <c r="G6944" s="57"/>
      <c r="H6944" s="56"/>
      <c r="I6944" s="56"/>
      <c r="J6944" s="58"/>
      <c r="K6944" s="58"/>
      <c r="L6944" s="13" t="str">
        <f t="shared" si="1086"/>
        <v/>
      </c>
      <c r="M6944" s="13" t="str">
        <f t="shared" si="1087"/>
        <v/>
      </c>
      <c r="Q6944" t="str">
        <f t="shared" si="1088"/>
        <v/>
      </c>
      <c r="R6944" t="str">
        <f t="shared" si="1089"/>
        <v/>
      </c>
      <c r="S6944" t="str">
        <f t="shared" si="1090"/>
        <v/>
      </c>
      <c r="T6944" t="str">
        <f t="shared" si="1091"/>
        <v/>
      </c>
      <c r="U6944" t="str">
        <f t="shared" si="1092"/>
        <v/>
      </c>
      <c r="V6944" t="str">
        <f t="shared" si="1093"/>
        <v/>
      </c>
      <c r="W6944" t="str">
        <f t="shared" si="1094"/>
        <v/>
      </c>
      <c r="X6944">
        <f t="shared" si="1084"/>
        <v>0</v>
      </c>
      <c r="Z6944" t="str">
        <f t="shared" si="1095"/>
        <v/>
      </c>
      <c r="AA6944">
        <f t="shared" si="1085"/>
        <v>0</v>
      </c>
    </row>
    <row r="6945" spans="1:27" ht="21" customHeight="1" x14ac:dyDescent="0.95">
      <c r="A6945" s="56"/>
      <c r="B6945" s="57"/>
      <c r="C6945" s="57"/>
      <c r="D6945" s="57"/>
      <c r="E6945" s="56"/>
      <c r="F6945" s="57"/>
      <c r="G6945" s="57"/>
      <c r="H6945" s="56"/>
      <c r="I6945" s="56"/>
      <c r="J6945" s="58"/>
      <c r="K6945" s="58"/>
      <c r="L6945" s="13" t="str">
        <f t="shared" si="1086"/>
        <v/>
      </c>
      <c r="M6945" s="13" t="str">
        <f t="shared" si="1087"/>
        <v/>
      </c>
      <c r="Q6945" t="str">
        <f t="shared" si="1088"/>
        <v/>
      </c>
      <c r="R6945" t="str">
        <f t="shared" si="1089"/>
        <v/>
      </c>
      <c r="S6945" t="str">
        <f t="shared" si="1090"/>
        <v/>
      </c>
      <c r="T6945" t="str">
        <f t="shared" si="1091"/>
        <v/>
      </c>
      <c r="U6945" t="str">
        <f t="shared" si="1092"/>
        <v/>
      </c>
      <c r="V6945" t="str">
        <f t="shared" si="1093"/>
        <v/>
      </c>
      <c r="W6945" t="str">
        <f t="shared" si="1094"/>
        <v/>
      </c>
      <c r="X6945">
        <f t="shared" si="1084"/>
        <v>0</v>
      </c>
      <c r="Z6945" t="str">
        <f t="shared" si="1095"/>
        <v/>
      </c>
      <c r="AA6945">
        <f t="shared" si="1085"/>
        <v>0</v>
      </c>
    </row>
    <row r="6946" spans="1:27" ht="21" customHeight="1" x14ac:dyDescent="0.95">
      <c r="A6946" s="56"/>
      <c r="B6946" s="57"/>
      <c r="C6946" s="57"/>
      <c r="D6946" s="57"/>
      <c r="E6946" s="56"/>
      <c r="F6946" s="57"/>
      <c r="G6946" s="57"/>
      <c r="H6946" s="56"/>
      <c r="I6946" s="56"/>
      <c r="J6946" s="58"/>
      <c r="K6946" s="58"/>
      <c r="L6946" s="13" t="str">
        <f t="shared" si="1086"/>
        <v/>
      </c>
      <c r="M6946" s="13" t="str">
        <f t="shared" si="1087"/>
        <v/>
      </c>
      <c r="Q6946" t="str">
        <f t="shared" si="1088"/>
        <v/>
      </c>
      <c r="R6946" t="str">
        <f t="shared" si="1089"/>
        <v/>
      </c>
      <c r="S6946" t="str">
        <f t="shared" si="1090"/>
        <v/>
      </c>
      <c r="T6946" t="str">
        <f t="shared" si="1091"/>
        <v/>
      </c>
      <c r="U6946" t="str">
        <f t="shared" si="1092"/>
        <v/>
      </c>
      <c r="V6946" t="str">
        <f t="shared" si="1093"/>
        <v/>
      </c>
      <c r="W6946" t="str">
        <f t="shared" si="1094"/>
        <v/>
      </c>
      <c r="X6946">
        <f t="shared" si="1084"/>
        <v>0</v>
      </c>
      <c r="Z6946" t="str">
        <f t="shared" si="1095"/>
        <v/>
      </c>
      <c r="AA6946">
        <f t="shared" si="1085"/>
        <v>0</v>
      </c>
    </row>
    <row r="6947" spans="1:27" ht="21" customHeight="1" x14ac:dyDescent="0.95">
      <c r="A6947" s="56"/>
      <c r="B6947" s="57"/>
      <c r="C6947" s="57"/>
      <c r="D6947" s="57"/>
      <c r="E6947" s="56"/>
      <c r="F6947" s="57"/>
      <c r="G6947" s="57"/>
      <c r="H6947" s="56"/>
      <c r="I6947" s="56"/>
      <c r="J6947" s="58"/>
      <c r="K6947" s="58"/>
      <c r="L6947" s="13" t="str">
        <f t="shared" si="1086"/>
        <v/>
      </c>
      <c r="M6947" s="13" t="str">
        <f t="shared" si="1087"/>
        <v/>
      </c>
      <c r="Q6947" t="str">
        <f t="shared" si="1088"/>
        <v/>
      </c>
      <c r="R6947" t="str">
        <f t="shared" si="1089"/>
        <v/>
      </c>
      <c r="S6947" t="str">
        <f t="shared" si="1090"/>
        <v/>
      </c>
      <c r="T6947" t="str">
        <f t="shared" si="1091"/>
        <v/>
      </c>
      <c r="U6947" t="str">
        <f t="shared" si="1092"/>
        <v/>
      </c>
      <c r="V6947" t="str">
        <f t="shared" si="1093"/>
        <v/>
      </c>
      <c r="W6947" t="str">
        <f t="shared" si="1094"/>
        <v/>
      </c>
      <c r="X6947">
        <f t="shared" si="1084"/>
        <v>0</v>
      </c>
      <c r="Z6947" t="str">
        <f t="shared" si="1095"/>
        <v/>
      </c>
      <c r="AA6947">
        <f t="shared" si="1085"/>
        <v>0</v>
      </c>
    </row>
    <row r="6948" spans="1:27" ht="21" customHeight="1" x14ac:dyDescent="0.95">
      <c r="A6948" s="56"/>
      <c r="B6948" s="57"/>
      <c r="C6948" s="57"/>
      <c r="D6948" s="57"/>
      <c r="E6948" s="56"/>
      <c r="F6948" s="57"/>
      <c r="G6948" s="57"/>
      <c r="H6948" s="56"/>
      <c r="I6948" s="56"/>
      <c r="J6948" s="58"/>
      <c r="K6948" s="58"/>
      <c r="L6948" s="13" t="str">
        <f t="shared" si="1086"/>
        <v/>
      </c>
      <c r="M6948" s="13" t="str">
        <f t="shared" si="1087"/>
        <v/>
      </c>
      <c r="Q6948" t="str">
        <f t="shared" si="1088"/>
        <v/>
      </c>
      <c r="R6948" t="str">
        <f t="shared" si="1089"/>
        <v/>
      </c>
      <c r="S6948" t="str">
        <f t="shared" si="1090"/>
        <v/>
      </c>
      <c r="T6948" t="str">
        <f t="shared" si="1091"/>
        <v/>
      </c>
      <c r="U6948" t="str">
        <f t="shared" si="1092"/>
        <v/>
      </c>
      <c r="V6948" t="str">
        <f t="shared" si="1093"/>
        <v/>
      </c>
      <c r="W6948" t="str">
        <f t="shared" si="1094"/>
        <v/>
      </c>
      <c r="X6948">
        <f t="shared" si="1084"/>
        <v>0</v>
      </c>
      <c r="Z6948" t="str">
        <f t="shared" si="1095"/>
        <v/>
      </c>
      <c r="AA6948">
        <f t="shared" si="1085"/>
        <v>0</v>
      </c>
    </row>
    <row r="6949" spans="1:27" ht="21" customHeight="1" x14ac:dyDescent="0.95">
      <c r="A6949" s="56"/>
      <c r="B6949" s="57"/>
      <c r="C6949" s="57"/>
      <c r="D6949" s="57"/>
      <c r="E6949" s="56"/>
      <c r="F6949" s="57"/>
      <c r="G6949" s="57"/>
      <c r="H6949" s="56"/>
      <c r="I6949" s="56"/>
      <c r="J6949" s="58"/>
      <c r="K6949" s="58"/>
      <c r="L6949" s="13" t="str">
        <f t="shared" si="1086"/>
        <v/>
      </c>
      <c r="M6949" s="13" t="str">
        <f t="shared" si="1087"/>
        <v/>
      </c>
      <c r="Q6949" t="str">
        <f t="shared" si="1088"/>
        <v/>
      </c>
      <c r="R6949" t="str">
        <f t="shared" si="1089"/>
        <v/>
      </c>
      <c r="S6949" t="str">
        <f t="shared" si="1090"/>
        <v/>
      </c>
      <c r="T6949" t="str">
        <f t="shared" si="1091"/>
        <v/>
      </c>
      <c r="U6949" t="str">
        <f t="shared" si="1092"/>
        <v/>
      </c>
      <c r="V6949" t="str">
        <f t="shared" si="1093"/>
        <v/>
      </c>
      <c r="W6949" t="str">
        <f t="shared" si="1094"/>
        <v/>
      </c>
      <c r="X6949">
        <f t="shared" si="1084"/>
        <v>0</v>
      </c>
      <c r="Z6949" t="str">
        <f t="shared" si="1095"/>
        <v/>
      </c>
      <c r="AA6949">
        <f t="shared" si="1085"/>
        <v>0</v>
      </c>
    </row>
    <row r="6950" spans="1:27" ht="21" customHeight="1" x14ac:dyDescent="0.95">
      <c r="A6950" s="56"/>
      <c r="B6950" s="57"/>
      <c r="C6950" s="57"/>
      <c r="D6950" s="57"/>
      <c r="E6950" s="56"/>
      <c r="F6950" s="57"/>
      <c r="G6950" s="57"/>
      <c r="H6950" s="56"/>
      <c r="I6950" s="56"/>
      <c r="J6950" s="58"/>
      <c r="K6950" s="58"/>
      <c r="L6950" s="13" t="str">
        <f t="shared" si="1086"/>
        <v/>
      </c>
      <c r="M6950" s="13" t="str">
        <f t="shared" si="1087"/>
        <v/>
      </c>
      <c r="Q6950" t="str">
        <f t="shared" si="1088"/>
        <v/>
      </c>
      <c r="R6950" t="str">
        <f t="shared" si="1089"/>
        <v/>
      </c>
      <c r="S6950" t="str">
        <f t="shared" si="1090"/>
        <v/>
      </c>
      <c r="T6950" t="str">
        <f t="shared" si="1091"/>
        <v/>
      </c>
      <c r="U6950" t="str">
        <f t="shared" si="1092"/>
        <v/>
      </c>
      <c r="V6950" t="str">
        <f t="shared" si="1093"/>
        <v/>
      </c>
      <c r="W6950" t="str">
        <f t="shared" si="1094"/>
        <v/>
      </c>
      <c r="X6950">
        <f t="shared" si="1084"/>
        <v>0</v>
      </c>
      <c r="Z6950" t="str">
        <f t="shared" si="1095"/>
        <v/>
      </c>
      <c r="AA6950">
        <f t="shared" si="1085"/>
        <v>0</v>
      </c>
    </row>
    <row r="6951" spans="1:27" ht="21" customHeight="1" x14ac:dyDescent="0.95">
      <c r="A6951" s="56"/>
      <c r="B6951" s="57"/>
      <c r="C6951" s="57"/>
      <c r="D6951" s="57"/>
      <c r="E6951" s="56"/>
      <c r="F6951" s="57"/>
      <c r="G6951" s="57"/>
      <c r="H6951" s="56"/>
      <c r="I6951" s="56"/>
      <c r="J6951" s="58"/>
      <c r="K6951" s="58"/>
      <c r="L6951" s="13" t="str">
        <f t="shared" si="1086"/>
        <v/>
      </c>
      <c r="M6951" s="13" t="str">
        <f t="shared" si="1087"/>
        <v/>
      </c>
      <c r="Q6951" t="str">
        <f t="shared" si="1088"/>
        <v/>
      </c>
      <c r="R6951" t="str">
        <f t="shared" si="1089"/>
        <v/>
      </c>
      <c r="S6951" t="str">
        <f t="shared" si="1090"/>
        <v/>
      </c>
      <c r="T6951" t="str">
        <f t="shared" si="1091"/>
        <v/>
      </c>
      <c r="U6951" t="str">
        <f t="shared" si="1092"/>
        <v/>
      </c>
      <c r="V6951" t="str">
        <f t="shared" si="1093"/>
        <v/>
      </c>
      <c r="W6951" t="str">
        <f t="shared" si="1094"/>
        <v/>
      </c>
      <c r="X6951">
        <f t="shared" si="1084"/>
        <v>0</v>
      </c>
      <c r="Z6951" t="str">
        <f t="shared" si="1095"/>
        <v/>
      </c>
      <c r="AA6951">
        <f t="shared" si="1085"/>
        <v>0</v>
      </c>
    </row>
    <row r="6952" spans="1:27" ht="21" customHeight="1" x14ac:dyDescent="0.95">
      <c r="A6952" s="56"/>
      <c r="B6952" s="57"/>
      <c r="C6952" s="57"/>
      <c r="D6952" s="57"/>
      <c r="E6952" s="56"/>
      <c r="F6952" s="57"/>
      <c r="G6952" s="57"/>
      <c r="H6952" s="56"/>
      <c r="I6952" s="56"/>
      <c r="J6952" s="58"/>
      <c r="K6952" s="58"/>
      <c r="L6952" s="13" t="str">
        <f t="shared" si="1086"/>
        <v/>
      </c>
      <c r="M6952" s="13" t="str">
        <f t="shared" si="1087"/>
        <v/>
      </c>
      <c r="Q6952" t="str">
        <f t="shared" si="1088"/>
        <v/>
      </c>
      <c r="R6952" t="str">
        <f t="shared" si="1089"/>
        <v/>
      </c>
      <c r="S6952" t="str">
        <f t="shared" si="1090"/>
        <v/>
      </c>
      <c r="T6952" t="str">
        <f t="shared" si="1091"/>
        <v/>
      </c>
      <c r="U6952" t="str">
        <f t="shared" si="1092"/>
        <v/>
      </c>
      <c r="V6952" t="str">
        <f t="shared" si="1093"/>
        <v/>
      </c>
      <c r="W6952" t="str">
        <f t="shared" si="1094"/>
        <v/>
      </c>
      <c r="X6952">
        <f t="shared" si="1084"/>
        <v>0</v>
      </c>
      <c r="Z6952" t="str">
        <f t="shared" si="1095"/>
        <v/>
      </c>
      <c r="AA6952">
        <f t="shared" si="1085"/>
        <v>0</v>
      </c>
    </row>
    <row r="6953" spans="1:27" ht="21" customHeight="1" x14ac:dyDescent="0.95">
      <c r="A6953" s="56"/>
      <c r="B6953" s="57"/>
      <c r="C6953" s="57"/>
      <c r="D6953" s="57"/>
      <c r="E6953" s="56"/>
      <c r="F6953" s="57"/>
      <c r="G6953" s="57"/>
      <c r="H6953" s="56"/>
      <c r="I6953" s="56"/>
      <c r="J6953" s="58"/>
      <c r="K6953" s="58"/>
      <c r="L6953" s="13" t="str">
        <f t="shared" si="1086"/>
        <v/>
      </c>
      <c r="M6953" s="13" t="str">
        <f t="shared" si="1087"/>
        <v/>
      </c>
      <c r="Q6953" t="str">
        <f t="shared" si="1088"/>
        <v/>
      </c>
      <c r="R6953" t="str">
        <f t="shared" si="1089"/>
        <v/>
      </c>
      <c r="S6953" t="str">
        <f t="shared" si="1090"/>
        <v/>
      </c>
      <c r="T6953" t="str">
        <f t="shared" si="1091"/>
        <v/>
      </c>
      <c r="U6953" t="str">
        <f t="shared" si="1092"/>
        <v/>
      </c>
      <c r="V6953" t="str">
        <f t="shared" si="1093"/>
        <v/>
      </c>
      <c r="W6953" t="str">
        <f t="shared" si="1094"/>
        <v/>
      </c>
      <c r="X6953">
        <f t="shared" si="1084"/>
        <v>0</v>
      </c>
      <c r="Z6953" t="str">
        <f t="shared" si="1095"/>
        <v/>
      </c>
      <c r="AA6953">
        <f t="shared" si="1085"/>
        <v>0</v>
      </c>
    </row>
    <row r="6954" spans="1:27" ht="21" customHeight="1" x14ac:dyDescent="0.95">
      <c r="A6954" s="56"/>
      <c r="B6954" s="57"/>
      <c r="C6954" s="57"/>
      <c r="D6954" s="57"/>
      <c r="E6954" s="56"/>
      <c r="F6954" s="57"/>
      <c r="G6954" s="57"/>
      <c r="H6954" s="56"/>
      <c r="I6954" s="56"/>
      <c r="J6954" s="58"/>
      <c r="K6954" s="58"/>
      <c r="L6954" s="13" t="str">
        <f t="shared" si="1086"/>
        <v/>
      </c>
      <c r="M6954" s="13" t="str">
        <f t="shared" si="1087"/>
        <v/>
      </c>
      <c r="Q6954" t="str">
        <f t="shared" si="1088"/>
        <v/>
      </c>
      <c r="R6954" t="str">
        <f t="shared" si="1089"/>
        <v/>
      </c>
      <c r="S6954" t="str">
        <f t="shared" si="1090"/>
        <v/>
      </c>
      <c r="T6954" t="str">
        <f t="shared" si="1091"/>
        <v/>
      </c>
      <c r="U6954" t="str">
        <f t="shared" si="1092"/>
        <v/>
      </c>
      <c r="V6954" t="str">
        <f t="shared" si="1093"/>
        <v/>
      </c>
      <c r="W6954" t="str">
        <f t="shared" si="1094"/>
        <v/>
      </c>
      <c r="X6954">
        <f t="shared" si="1084"/>
        <v>0</v>
      </c>
      <c r="Z6954" t="str">
        <f t="shared" si="1095"/>
        <v/>
      </c>
      <c r="AA6954">
        <f t="shared" si="1085"/>
        <v>0</v>
      </c>
    </row>
    <row r="6955" spans="1:27" ht="21" customHeight="1" x14ac:dyDescent="0.95">
      <c r="A6955" s="56"/>
      <c r="B6955" s="57"/>
      <c r="C6955" s="57"/>
      <c r="D6955" s="57"/>
      <c r="E6955" s="56"/>
      <c r="F6955" s="57"/>
      <c r="G6955" s="57"/>
      <c r="H6955" s="56"/>
      <c r="I6955" s="56"/>
      <c r="J6955" s="58"/>
      <c r="K6955" s="58"/>
      <c r="L6955" s="13" t="str">
        <f t="shared" si="1086"/>
        <v/>
      </c>
      <c r="M6955" s="13" t="str">
        <f t="shared" si="1087"/>
        <v/>
      </c>
      <c r="Q6955" t="str">
        <f t="shared" si="1088"/>
        <v/>
      </c>
      <c r="R6955" t="str">
        <f t="shared" si="1089"/>
        <v/>
      </c>
      <c r="S6955" t="str">
        <f t="shared" si="1090"/>
        <v/>
      </c>
      <c r="T6955" t="str">
        <f t="shared" si="1091"/>
        <v/>
      </c>
      <c r="U6955" t="str">
        <f t="shared" si="1092"/>
        <v/>
      </c>
      <c r="V6955" t="str">
        <f t="shared" si="1093"/>
        <v/>
      </c>
      <c r="W6955" t="str">
        <f t="shared" si="1094"/>
        <v/>
      </c>
      <c r="X6955">
        <f t="shared" si="1084"/>
        <v>0</v>
      </c>
      <c r="Z6955" t="str">
        <f t="shared" si="1095"/>
        <v/>
      </c>
      <c r="AA6955">
        <f t="shared" si="1085"/>
        <v>0</v>
      </c>
    </row>
    <row r="6956" spans="1:27" ht="21" customHeight="1" x14ac:dyDescent="0.95">
      <c r="A6956" s="56"/>
      <c r="B6956" s="57"/>
      <c r="C6956" s="57"/>
      <c r="D6956" s="57"/>
      <c r="E6956" s="56"/>
      <c r="F6956" s="57"/>
      <c r="G6956" s="57"/>
      <c r="H6956" s="56"/>
      <c r="I6956" s="56"/>
      <c r="J6956" s="58"/>
      <c r="K6956" s="58"/>
      <c r="L6956" s="13" t="str">
        <f t="shared" si="1086"/>
        <v/>
      </c>
      <c r="M6956" s="13" t="str">
        <f t="shared" si="1087"/>
        <v/>
      </c>
      <c r="Q6956" t="str">
        <f t="shared" si="1088"/>
        <v/>
      </c>
      <c r="R6956" t="str">
        <f t="shared" si="1089"/>
        <v/>
      </c>
      <c r="S6956" t="str">
        <f t="shared" si="1090"/>
        <v/>
      </c>
      <c r="T6956" t="str">
        <f t="shared" si="1091"/>
        <v/>
      </c>
      <c r="U6956" t="str">
        <f t="shared" si="1092"/>
        <v/>
      </c>
      <c r="V6956" t="str">
        <f t="shared" si="1093"/>
        <v/>
      </c>
      <c r="W6956" t="str">
        <f t="shared" si="1094"/>
        <v/>
      </c>
      <c r="X6956">
        <f t="shared" si="1084"/>
        <v>0</v>
      </c>
      <c r="Z6956" t="str">
        <f t="shared" si="1095"/>
        <v/>
      </c>
      <c r="AA6956">
        <f t="shared" si="1085"/>
        <v>0</v>
      </c>
    </row>
    <row r="6957" spans="1:27" ht="21" customHeight="1" x14ac:dyDescent="0.95">
      <c r="A6957" s="56"/>
      <c r="B6957" s="57"/>
      <c r="C6957" s="57"/>
      <c r="D6957" s="57"/>
      <c r="E6957" s="56"/>
      <c r="F6957" s="57"/>
      <c r="G6957" s="57"/>
      <c r="H6957" s="56"/>
      <c r="I6957" s="56"/>
      <c r="J6957" s="58"/>
      <c r="K6957" s="58"/>
      <c r="L6957" s="13" t="str">
        <f t="shared" si="1086"/>
        <v/>
      </c>
      <c r="M6957" s="13" t="str">
        <f t="shared" si="1087"/>
        <v/>
      </c>
      <c r="Q6957" t="str">
        <f t="shared" si="1088"/>
        <v/>
      </c>
      <c r="R6957" t="str">
        <f t="shared" si="1089"/>
        <v/>
      </c>
      <c r="S6957" t="str">
        <f t="shared" si="1090"/>
        <v/>
      </c>
      <c r="T6957" t="str">
        <f t="shared" si="1091"/>
        <v/>
      </c>
      <c r="U6957" t="str">
        <f t="shared" si="1092"/>
        <v/>
      </c>
      <c r="V6957" t="str">
        <f t="shared" si="1093"/>
        <v/>
      </c>
      <c r="W6957" t="str">
        <f t="shared" si="1094"/>
        <v/>
      </c>
      <c r="X6957">
        <f t="shared" si="1084"/>
        <v>0</v>
      </c>
      <c r="Z6957" t="str">
        <f t="shared" si="1095"/>
        <v/>
      </c>
      <c r="AA6957">
        <f t="shared" si="1085"/>
        <v>0</v>
      </c>
    </row>
    <row r="6958" spans="1:27" ht="21" customHeight="1" x14ac:dyDescent="0.95">
      <c r="A6958" s="56"/>
      <c r="B6958" s="57"/>
      <c r="C6958" s="57"/>
      <c r="D6958" s="57"/>
      <c r="E6958" s="56"/>
      <c r="F6958" s="57"/>
      <c r="G6958" s="57"/>
      <c r="H6958" s="56"/>
      <c r="I6958" s="56"/>
      <c r="J6958" s="58"/>
      <c r="K6958" s="58"/>
      <c r="L6958" s="13" t="str">
        <f t="shared" si="1086"/>
        <v/>
      </c>
      <c r="M6958" s="13" t="str">
        <f t="shared" si="1087"/>
        <v/>
      </c>
      <c r="Q6958" t="str">
        <f t="shared" si="1088"/>
        <v/>
      </c>
      <c r="R6958" t="str">
        <f t="shared" si="1089"/>
        <v/>
      </c>
      <c r="S6958" t="str">
        <f t="shared" si="1090"/>
        <v/>
      </c>
      <c r="T6958" t="str">
        <f t="shared" si="1091"/>
        <v/>
      </c>
      <c r="U6958" t="str">
        <f t="shared" si="1092"/>
        <v/>
      </c>
      <c r="V6958" t="str">
        <f t="shared" si="1093"/>
        <v/>
      </c>
      <c r="W6958" t="str">
        <f t="shared" si="1094"/>
        <v/>
      </c>
      <c r="X6958">
        <f t="shared" si="1084"/>
        <v>0</v>
      </c>
      <c r="Z6958" t="str">
        <f t="shared" si="1095"/>
        <v/>
      </c>
      <c r="AA6958">
        <f t="shared" si="1085"/>
        <v>0</v>
      </c>
    </row>
    <row r="6959" spans="1:27" ht="21" customHeight="1" x14ac:dyDescent="0.95">
      <c r="A6959" s="56"/>
      <c r="B6959" s="57"/>
      <c r="C6959" s="57"/>
      <c r="D6959" s="57"/>
      <c r="E6959" s="56"/>
      <c r="F6959" s="57"/>
      <c r="G6959" s="57"/>
      <c r="H6959" s="56"/>
      <c r="I6959" s="56"/>
      <c r="J6959" s="58"/>
      <c r="K6959" s="58"/>
      <c r="L6959" s="13" t="str">
        <f t="shared" si="1086"/>
        <v/>
      </c>
      <c r="M6959" s="13" t="str">
        <f t="shared" si="1087"/>
        <v/>
      </c>
      <c r="Q6959" t="str">
        <f t="shared" si="1088"/>
        <v/>
      </c>
      <c r="R6959" t="str">
        <f t="shared" si="1089"/>
        <v/>
      </c>
      <c r="S6959" t="str">
        <f t="shared" si="1090"/>
        <v/>
      </c>
      <c r="T6959" t="str">
        <f t="shared" si="1091"/>
        <v/>
      </c>
      <c r="U6959" t="str">
        <f t="shared" si="1092"/>
        <v/>
      </c>
      <c r="V6959" t="str">
        <f t="shared" si="1093"/>
        <v/>
      </c>
      <c r="W6959" t="str">
        <f t="shared" si="1094"/>
        <v/>
      </c>
      <c r="X6959">
        <f t="shared" si="1084"/>
        <v>0</v>
      </c>
      <c r="Z6959" t="str">
        <f t="shared" si="1095"/>
        <v/>
      </c>
      <c r="AA6959">
        <f t="shared" si="1085"/>
        <v>0</v>
      </c>
    </row>
    <row r="6960" spans="1:27" ht="21" customHeight="1" x14ac:dyDescent="0.95">
      <c r="A6960" s="56"/>
      <c r="B6960" s="57"/>
      <c r="C6960" s="57"/>
      <c r="D6960" s="57"/>
      <c r="E6960" s="56"/>
      <c r="F6960" s="57"/>
      <c r="G6960" s="57"/>
      <c r="H6960" s="56"/>
      <c r="I6960" s="56"/>
      <c r="J6960" s="58"/>
      <c r="K6960" s="58"/>
      <c r="L6960" s="13" t="str">
        <f t="shared" si="1086"/>
        <v/>
      </c>
      <c r="M6960" s="13" t="str">
        <f t="shared" si="1087"/>
        <v/>
      </c>
      <c r="Q6960" t="str">
        <f t="shared" si="1088"/>
        <v/>
      </c>
      <c r="R6960" t="str">
        <f t="shared" si="1089"/>
        <v/>
      </c>
      <c r="S6960" t="str">
        <f t="shared" si="1090"/>
        <v/>
      </c>
      <c r="T6960" t="str">
        <f t="shared" si="1091"/>
        <v/>
      </c>
      <c r="U6960" t="str">
        <f t="shared" si="1092"/>
        <v/>
      </c>
      <c r="V6960" t="str">
        <f t="shared" si="1093"/>
        <v/>
      </c>
      <c r="W6960" t="str">
        <f t="shared" si="1094"/>
        <v/>
      </c>
      <c r="X6960">
        <f t="shared" si="1084"/>
        <v>0</v>
      </c>
      <c r="Z6960" t="str">
        <f t="shared" si="1095"/>
        <v/>
      </c>
      <c r="AA6960">
        <f t="shared" si="1085"/>
        <v>0</v>
      </c>
    </row>
    <row r="6961" spans="1:27" ht="21" customHeight="1" x14ac:dyDescent="0.95">
      <c r="A6961" s="56"/>
      <c r="B6961" s="57"/>
      <c r="C6961" s="57"/>
      <c r="D6961" s="57"/>
      <c r="E6961" s="56"/>
      <c r="F6961" s="57"/>
      <c r="G6961" s="57"/>
      <c r="H6961" s="56"/>
      <c r="I6961" s="56"/>
      <c r="J6961" s="58"/>
      <c r="K6961" s="58"/>
      <c r="L6961" s="13" t="str">
        <f t="shared" si="1086"/>
        <v/>
      </c>
      <c r="M6961" s="13" t="str">
        <f t="shared" si="1087"/>
        <v/>
      </c>
      <c r="Q6961" t="str">
        <f t="shared" si="1088"/>
        <v/>
      </c>
      <c r="R6961" t="str">
        <f t="shared" si="1089"/>
        <v/>
      </c>
      <c r="S6961" t="str">
        <f t="shared" si="1090"/>
        <v/>
      </c>
      <c r="T6961" t="str">
        <f t="shared" si="1091"/>
        <v/>
      </c>
      <c r="U6961" t="str">
        <f t="shared" si="1092"/>
        <v/>
      </c>
      <c r="V6961" t="str">
        <f t="shared" si="1093"/>
        <v/>
      </c>
      <c r="W6961" t="str">
        <f t="shared" si="1094"/>
        <v/>
      </c>
      <c r="X6961">
        <f t="shared" si="1084"/>
        <v>0</v>
      </c>
      <c r="Z6961" t="str">
        <f t="shared" si="1095"/>
        <v/>
      </c>
      <c r="AA6961">
        <f t="shared" si="1085"/>
        <v>0</v>
      </c>
    </row>
    <row r="6962" spans="1:27" ht="21" customHeight="1" x14ac:dyDescent="0.95">
      <c r="A6962" s="56"/>
      <c r="B6962" s="57"/>
      <c r="C6962" s="57"/>
      <c r="D6962" s="57"/>
      <c r="E6962" s="56"/>
      <c r="F6962" s="57"/>
      <c r="G6962" s="57"/>
      <c r="H6962" s="56"/>
      <c r="I6962" s="56"/>
      <c r="J6962" s="58"/>
      <c r="K6962" s="58"/>
      <c r="L6962" s="13" t="str">
        <f t="shared" si="1086"/>
        <v/>
      </c>
      <c r="M6962" s="13" t="str">
        <f t="shared" si="1087"/>
        <v/>
      </c>
      <c r="Q6962" t="str">
        <f t="shared" si="1088"/>
        <v/>
      </c>
      <c r="R6962" t="str">
        <f t="shared" si="1089"/>
        <v/>
      </c>
      <c r="S6962" t="str">
        <f t="shared" si="1090"/>
        <v/>
      </c>
      <c r="T6962" t="str">
        <f t="shared" si="1091"/>
        <v/>
      </c>
      <c r="U6962" t="str">
        <f t="shared" si="1092"/>
        <v/>
      </c>
      <c r="V6962" t="str">
        <f t="shared" si="1093"/>
        <v/>
      </c>
      <c r="W6962" t="str">
        <f t="shared" si="1094"/>
        <v/>
      </c>
      <c r="X6962">
        <f t="shared" si="1084"/>
        <v>0</v>
      </c>
      <c r="Z6962" t="str">
        <f t="shared" si="1095"/>
        <v/>
      </c>
      <c r="AA6962">
        <f t="shared" si="1085"/>
        <v>0</v>
      </c>
    </row>
    <row r="6963" spans="1:27" ht="21" customHeight="1" x14ac:dyDescent="0.95">
      <c r="A6963" s="56"/>
      <c r="B6963" s="57"/>
      <c r="C6963" s="57"/>
      <c r="D6963" s="57"/>
      <c r="E6963" s="56"/>
      <c r="F6963" s="57"/>
      <c r="G6963" s="57"/>
      <c r="H6963" s="56"/>
      <c r="I6963" s="56"/>
      <c r="J6963" s="58"/>
      <c r="K6963" s="58"/>
      <c r="L6963" s="13" t="str">
        <f t="shared" si="1086"/>
        <v/>
      </c>
      <c r="M6963" s="13" t="str">
        <f t="shared" si="1087"/>
        <v/>
      </c>
      <c r="Q6963" t="str">
        <f t="shared" si="1088"/>
        <v/>
      </c>
      <c r="R6963" t="str">
        <f t="shared" si="1089"/>
        <v/>
      </c>
      <c r="S6963" t="str">
        <f t="shared" si="1090"/>
        <v/>
      </c>
      <c r="T6963" t="str">
        <f t="shared" si="1091"/>
        <v/>
      </c>
      <c r="U6963" t="str">
        <f t="shared" si="1092"/>
        <v/>
      </c>
      <c r="V6963" t="str">
        <f t="shared" si="1093"/>
        <v/>
      </c>
      <c r="W6963" t="str">
        <f t="shared" si="1094"/>
        <v/>
      </c>
      <c r="X6963">
        <f t="shared" si="1084"/>
        <v>0</v>
      </c>
      <c r="Z6963" t="str">
        <f t="shared" si="1095"/>
        <v/>
      </c>
      <c r="AA6963">
        <f t="shared" si="1085"/>
        <v>0</v>
      </c>
    </row>
    <row r="6964" spans="1:27" ht="21" customHeight="1" x14ac:dyDescent="0.95">
      <c r="A6964" s="56"/>
      <c r="B6964" s="57"/>
      <c r="C6964" s="57"/>
      <c r="D6964" s="57"/>
      <c r="E6964" s="56"/>
      <c r="F6964" s="57"/>
      <c r="G6964" s="57"/>
      <c r="H6964" s="56"/>
      <c r="I6964" s="56"/>
      <c r="J6964" s="58"/>
      <c r="K6964" s="58"/>
      <c r="L6964" s="13" t="str">
        <f t="shared" si="1086"/>
        <v/>
      </c>
      <c r="M6964" s="13" t="str">
        <f t="shared" si="1087"/>
        <v/>
      </c>
      <c r="Q6964" t="str">
        <f t="shared" si="1088"/>
        <v/>
      </c>
      <c r="R6964" t="str">
        <f t="shared" si="1089"/>
        <v/>
      </c>
      <c r="S6964" t="str">
        <f t="shared" si="1090"/>
        <v/>
      </c>
      <c r="T6964" t="str">
        <f t="shared" si="1091"/>
        <v/>
      </c>
      <c r="U6964" t="str">
        <f t="shared" si="1092"/>
        <v/>
      </c>
      <c r="V6964" t="str">
        <f t="shared" si="1093"/>
        <v/>
      </c>
      <c r="W6964" t="str">
        <f t="shared" si="1094"/>
        <v/>
      </c>
      <c r="X6964">
        <f t="shared" si="1084"/>
        <v>0</v>
      </c>
      <c r="Z6964" t="str">
        <f t="shared" si="1095"/>
        <v/>
      </c>
      <c r="AA6964">
        <f t="shared" si="1085"/>
        <v>0</v>
      </c>
    </row>
    <row r="6965" spans="1:27" ht="21" customHeight="1" x14ac:dyDescent="0.95">
      <c r="A6965" s="56"/>
      <c r="B6965" s="57"/>
      <c r="C6965" s="57"/>
      <c r="D6965" s="57"/>
      <c r="E6965" s="56"/>
      <c r="F6965" s="57"/>
      <c r="G6965" s="57"/>
      <c r="H6965" s="56"/>
      <c r="I6965" s="56"/>
      <c r="J6965" s="58"/>
      <c r="K6965" s="58"/>
      <c r="L6965" s="13" t="str">
        <f t="shared" si="1086"/>
        <v/>
      </c>
      <c r="M6965" s="13" t="str">
        <f t="shared" si="1087"/>
        <v/>
      </c>
      <c r="Q6965" t="str">
        <f t="shared" si="1088"/>
        <v/>
      </c>
      <c r="R6965" t="str">
        <f t="shared" si="1089"/>
        <v/>
      </c>
      <c r="S6965" t="str">
        <f t="shared" si="1090"/>
        <v/>
      </c>
      <c r="T6965" t="str">
        <f t="shared" si="1091"/>
        <v/>
      </c>
      <c r="U6965" t="str">
        <f t="shared" si="1092"/>
        <v/>
      </c>
      <c r="V6965" t="str">
        <f t="shared" si="1093"/>
        <v/>
      </c>
      <c r="W6965" t="str">
        <f t="shared" si="1094"/>
        <v/>
      </c>
      <c r="X6965">
        <f t="shared" ref="X6965:X7028" si="1096">IF($T6965="",N($X6964),IF(MATCH($T6965,$T$6:$T$10005,0)=ROW()-5,N($X6964)+1,N($X6964)))</f>
        <v>0</v>
      </c>
      <c r="Z6965" t="str">
        <f t="shared" si="1095"/>
        <v/>
      </c>
      <c r="AA6965">
        <f t="shared" ref="AA6965:AA7028" si="1097">IF($V6965="",N($AA6964),IF(MATCH($V6965,$V$6:$V$10005,0)=ROW()-5,N($AA6964)+1,N($AA6964)))</f>
        <v>0</v>
      </c>
    </row>
    <row r="6966" spans="1:27" ht="21" customHeight="1" x14ac:dyDescent="0.95">
      <c r="A6966" s="56"/>
      <c r="B6966" s="57"/>
      <c r="C6966" s="57"/>
      <c r="D6966" s="57"/>
      <c r="E6966" s="56"/>
      <c r="F6966" s="57"/>
      <c r="G6966" s="57"/>
      <c r="H6966" s="56"/>
      <c r="I6966" s="56"/>
      <c r="J6966" s="58"/>
      <c r="K6966" s="58"/>
      <c r="L6966" s="13" t="str">
        <f t="shared" si="1086"/>
        <v/>
      </c>
      <c r="M6966" s="13" t="str">
        <f t="shared" si="1087"/>
        <v/>
      </c>
      <c r="Q6966" t="str">
        <f t="shared" si="1088"/>
        <v/>
      </c>
      <c r="R6966" t="str">
        <f t="shared" si="1089"/>
        <v/>
      </c>
      <c r="S6966" t="str">
        <f t="shared" si="1090"/>
        <v/>
      </c>
      <c r="T6966" t="str">
        <f t="shared" si="1091"/>
        <v/>
      </c>
      <c r="U6966" t="str">
        <f t="shared" si="1092"/>
        <v/>
      </c>
      <c r="V6966" t="str">
        <f t="shared" si="1093"/>
        <v/>
      </c>
      <c r="W6966" t="str">
        <f t="shared" si="1094"/>
        <v/>
      </c>
      <c r="X6966">
        <f t="shared" si="1096"/>
        <v>0</v>
      </c>
      <c r="Z6966" t="str">
        <f t="shared" si="1095"/>
        <v/>
      </c>
      <c r="AA6966">
        <f t="shared" si="1097"/>
        <v>0</v>
      </c>
    </row>
    <row r="6967" spans="1:27" ht="21" customHeight="1" x14ac:dyDescent="0.95">
      <c r="A6967" s="56"/>
      <c r="B6967" s="57"/>
      <c r="C6967" s="57"/>
      <c r="D6967" s="57"/>
      <c r="E6967" s="56"/>
      <c r="F6967" s="57"/>
      <c r="G6967" s="57"/>
      <c r="H6967" s="56"/>
      <c r="I6967" s="56"/>
      <c r="J6967" s="58"/>
      <c r="K6967" s="58"/>
      <c r="L6967" s="13" t="str">
        <f t="shared" si="1086"/>
        <v/>
      </c>
      <c r="M6967" s="13" t="str">
        <f t="shared" si="1087"/>
        <v/>
      </c>
      <c r="Q6967" t="str">
        <f t="shared" si="1088"/>
        <v/>
      </c>
      <c r="R6967" t="str">
        <f t="shared" si="1089"/>
        <v/>
      </c>
      <c r="S6967" t="str">
        <f t="shared" si="1090"/>
        <v/>
      </c>
      <c r="T6967" t="str">
        <f t="shared" si="1091"/>
        <v/>
      </c>
      <c r="U6967" t="str">
        <f t="shared" si="1092"/>
        <v/>
      </c>
      <c r="V6967" t="str">
        <f t="shared" si="1093"/>
        <v/>
      </c>
      <c r="W6967" t="str">
        <f t="shared" si="1094"/>
        <v/>
      </c>
      <c r="X6967">
        <f t="shared" si="1096"/>
        <v>0</v>
      </c>
      <c r="Z6967" t="str">
        <f t="shared" si="1095"/>
        <v/>
      </c>
      <c r="AA6967">
        <f t="shared" si="1097"/>
        <v>0</v>
      </c>
    </row>
    <row r="6968" spans="1:27" ht="21" customHeight="1" x14ac:dyDescent="0.95">
      <c r="A6968" s="56"/>
      <c r="B6968" s="57"/>
      <c r="C6968" s="57"/>
      <c r="D6968" s="57"/>
      <c r="E6968" s="56"/>
      <c r="F6968" s="57"/>
      <c r="G6968" s="57"/>
      <c r="H6968" s="56"/>
      <c r="I6968" s="56"/>
      <c r="J6968" s="58"/>
      <c r="K6968" s="58"/>
      <c r="L6968" s="13" t="str">
        <f t="shared" si="1086"/>
        <v/>
      </c>
      <c r="M6968" s="13" t="str">
        <f t="shared" si="1087"/>
        <v/>
      </c>
      <c r="Q6968" t="str">
        <f t="shared" si="1088"/>
        <v/>
      </c>
      <c r="R6968" t="str">
        <f t="shared" si="1089"/>
        <v/>
      </c>
      <c r="S6968" t="str">
        <f t="shared" si="1090"/>
        <v/>
      </c>
      <c r="T6968" t="str">
        <f t="shared" si="1091"/>
        <v/>
      </c>
      <c r="U6968" t="str">
        <f t="shared" si="1092"/>
        <v/>
      </c>
      <c r="V6968" t="str">
        <f t="shared" si="1093"/>
        <v/>
      </c>
      <c r="W6968" t="str">
        <f t="shared" si="1094"/>
        <v/>
      </c>
      <c r="X6968">
        <f t="shared" si="1096"/>
        <v>0</v>
      </c>
      <c r="Z6968" t="str">
        <f t="shared" si="1095"/>
        <v/>
      </c>
      <c r="AA6968">
        <f t="shared" si="1097"/>
        <v>0</v>
      </c>
    </row>
    <row r="6969" spans="1:27" ht="21" customHeight="1" x14ac:dyDescent="0.95">
      <c r="A6969" s="56"/>
      <c r="B6969" s="57"/>
      <c r="C6969" s="57"/>
      <c r="D6969" s="57"/>
      <c r="E6969" s="56"/>
      <c r="F6969" s="57"/>
      <c r="G6969" s="57"/>
      <c r="H6969" s="56"/>
      <c r="I6969" s="56"/>
      <c r="J6969" s="58"/>
      <c r="K6969" s="58"/>
      <c r="L6969" s="13" t="str">
        <f t="shared" si="1086"/>
        <v/>
      </c>
      <c r="M6969" s="13" t="str">
        <f t="shared" si="1087"/>
        <v/>
      </c>
      <c r="Q6969" t="str">
        <f t="shared" si="1088"/>
        <v/>
      </c>
      <c r="R6969" t="str">
        <f t="shared" si="1089"/>
        <v/>
      </c>
      <c r="S6969" t="str">
        <f t="shared" si="1090"/>
        <v/>
      </c>
      <c r="T6969" t="str">
        <f t="shared" si="1091"/>
        <v/>
      </c>
      <c r="U6969" t="str">
        <f t="shared" si="1092"/>
        <v/>
      </c>
      <c r="V6969" t="str">
        <f t="shared" si="1093"/>
        <v/>
      </c>
      <c r="W6969" t="str">
        <f t="shared" si="1094"/>
        <v/>
      </c>
      <c r="X6969">
        <f t="shared" si="1096"/>
        <v>0</v>
      </c>
      <c r="Z6969" t="str">
        <f t="shared" si="1095"/>
        <v/>
      </c>
      <c r="AA6969">
        <f t="shared" si="1097"/>
        <v>0</v>
      </c>
    </row>
    <row r="6970" spans="1:27" ht="21" customHeight="1" x14ac:dyDescent="0.95">
      <c r="A6970" s="56"/>
      <c r="B6970" s="57"/>
      <c r="C6970" s="57"/>
      <c r="D6970" s="57"/>
      <c r="E6970" s="56"/>
      <c r="F6970" s="57"/>
      <c r="G6970" s="57"/>
      <c r="H6970" s="56"/>
      <c r="I6970" s="56"/>
      <c r="J6970" s="58"/>
      <c r="K6970" s="58"/>
      <c r="L6970" s="13" t="str">
        <f t="shared" si="1086"/>
        <v/>
      </c>
      <c r="M6970" s="13" t="str">
        <f t="shared" si="1087"/>
        <v/>
      </c>
      <c r="Q6970" t="str">
        <f t="shared" si="1088"/>
        <v/>
      </c>
      <c r="R6970" t="str">
        <f t="shared" si="1089"/>
        <v/>
      </c>
      <c r="S6970" t="str">
        <f t="shared" si="1090"/>
        <v/>
      </c>
      <c r="T6970" t="str">
        <f t="shared" si="1091"/>
        <v/>
      </c>
      <c r="U6970" t="str">
        <f t="shared" si="1092"/>
        <v/>
      </c>
      <c r="V6970" t="str">
        <f t="shared" si="1093"/>
        <v/>
      </c>
      <c r="W6970" t="str">
        <f t="shared" si="1094"/>
        <v/>
      </c>
      <c r="X6970">
        <f t="shared" si="1096"/>
        <v>0</v>
      </c>
      <c r="Z6970" t="str">
        <f t="shared" si="1095"/>
        <v/>
      </c>
      <c r="AA6970">
        <f t="shared" si="1097"/>
        <v>0</v>
      </c>
    </row>
    <row r="6971" spans="1:27" ht="21" customHeight="1" x14ac:dyDescent="0.95">
      <c r="A6971" s="56"/>
      <c r="B6971" s="57"/>
      <c r="C6971" s="57"/>
      <c r="D6971" s="57"/>
      <c r="E6971" s="56"/>
      <c r="F6971" s="57"/>
      <c r="G6971" s="57"/>
      <c r="H6971" s="56"/>
      <c r="I6971" s="56"/>
      <c r="J6971" s="58"/>
      <c r="K6971" s="58"/>
      <c r="L6971" s="13" t="str">
        <f t="shared" si="1086"/>
        <v/>
      </c>
      <c r="M6971" s="13" t="str">
        <f t="shared" si="1087"/>
        <v/>
      </c>
      <c r="Q6971" t="str">
        <f t="shared" si="1088"/>
        <v/>
      </c>
      <c r="R6971" t="str">
        <f t="shared" si="1089"/>
        <v/>
      </c>
      <c r="S6971" t="str">
        <f t="shared" si="1090"/>
        <v/>
      </c>
      <c r="T6971" t="str">
        <f t="shared" si="1091"/>
        <v/>
      </c>
      <c r="U6971" t="str">
        <f t="shared" si="1092"/>
        <v/>
      </c>
      <c r="V6971" t="str">
        <f t="shared" si="1093"/>
        <v/>
      </c>
      <c r="W6971" t="str">
        <f t="shared" si="1094"/>
        <v/>
      </c>
      <c r="X6971">
        <f t="shared" si="1096"/>
        <v>0</v>
      </c>
      <c r="Z6971" t="str">
        <f t="shared" si="1095"/>
        <v/>
      </c>
      <c r="AA6971">
        <f t="shared" si="1097"/>
        <v>0</v>
      </c>
    </row>
    <row r="6972" spans="1:27" ht="21" customHeight="1" x14ac:dyDescent="0.95">
      <c r="A6972" s="56"/>
      <c r="B6972" s="57"/>
      <c r="C6972" s="57"/>
      <c r="D6972" s="57"/>
      <c r="E6972" s="56"/>
      <c r="F6972" s="57"/>
      <c r="G6972" s="57"/>
      <c r="H6972" s="56"/>
      <c r="I6972" s="56"/>
      <c r="J6972" s="58"/>
      <c r="K6972" s="58"/>
      <c r="L6972" s="13" t="str">
        <f t="shared" si="1086"/>
        <v/>
      </c>
      <c r="M6972" s="13" t="str">
        <f t="shared" si="1087"/>
        <v/>
      </c>
      <c r="Q6972" t="str">
        <f t="shared" si="1088"/>
        <v/>
      </c>
      <c r="R6972" t="str">
        <f t="shared" si="1089"/>
        <v/>
      </c>
      <c r="S6972" t="str">
        <f t="shared" si="1090"/>
        <v/>
      </c>
      <c r="T6972" t="str">
        <f t="shared" si="1091"/>
        <v/>
      </c>
      <c r="U6972" t="str">
        <f t="shared" si="1092"/>
        <v/>
      </c>
      <c r="V6972" t="str">
        <f t="shared" si="1093"/>
        <v/>
      </c>
      <c r="W6972" t="str">
        <f t="shared" si="1094"/>
        <v/>
      </c>
      <c r="X6972">
        <f t="shared" si="1096"/>
        <v>0</v>
      </c>
      <c r="Z6972" t="str">
        <f t="shared" si="1095"/>
        <v/>
      </c>
      <c r="AA6972">
        <f t="shared" si="1097"/>
        <v>0</v>
      </c>
    </row>
    <row r="6973" spans="1:27" ht="21" customHeight="1" x14ac:dyDescent="0.95">
      <c r="A6973" s="56"/>
      <c r="B6973" s="57"/>
      <c r="C6973" s="57"/>
      <c r="D6973" s="57"/>
      <c r="E6973" s="56"/>
      <c r="F6973" s="57"/>
      <c r="G6973" s="57"/>
      <c r="H6973" s="56"/>
      <c r="I6973" s="56"/>
      <c r="J6973" s="58"/>
      <c r="K6973" s="58"/>
      <c r="L6973" s="13" t="str">
        <f t="shared" si="1086"/>
        <v/>
      </c>
      <c r="M6973" s="13" t="str">
        <f t="shared" si="1087"/>
        <v/>
      </c>
      <c r="Q6973" t="str">
        <f t="shared" si="1088"/>
        <v/>
      </c>
      <c r="R6973" t="str">
        <f t="shared" si="1089"/>
        <v/>
      </c>
      <c r="S6973" t="str">
        <f t="shared" si="1090"/>
        <v/>
      </c>
      <c r="T6973" t="str">
        <f t="shared" si="1091"/>
        <v/>
      </c>
      <c r="U6973" t="str">
        <f t="shared" si="1092"/>
        <v/>
      </c>
      <c r="V6973" t="str">
        <f t="shared" si="1093"/>
        <v/>
      </c>
      <c r="W6973" t="str">
        <f t="shared" si="1094"/>
        <v/>
      </c>
      <c r="X6973">
        <f t="shared" si="1096"/>
        <v>0</v>
      </c>
      <c r="Z6973" t="str">
        <f t="shared" si="1095"/>
        <v/>
      </c>
      <c r="AA6973">
        <f t="shared" si="1097"/>
        <v>0</v>
      </c>
    </row>
    <row r="6974" spans="1:27" ht="21" customHeight="1" x14ac:dyDescent="0.95">
      <c r="A6974" s="56"/>
      <c r="B6974" s="57"/>
      <c r="C6974" s="57"/>
      <c r="D6974" s="57"/>
      <c r="E6974" s="56"/>
      <c r="F6974" s="57"/>
      <c r="G6974" s="57"/>
      <c r="H6974" s="56"/>
      <c r="I6974" s="56"/>
      <c r="J6974" s="58"/>
      <c r="K6974" s="58"/>
      <c r="L6974" s="13" t="str">
        <f t="shared" si="1086"/>
        <v/>
      </c>
      <c r="M6974" s="13" t="str">
        <f t="shared" si="1087"/>
        <v/>
      </c>
      <c r="Q6974" t="str">
        <f t="shared" si="1088"/>
        <v/>
      </c>
      <c r="R6974" t="str">
        <f t="shared" si="1089"/>
        <v/>
      </c>
      <c r="S6974" t="str">
        <f t="shared" si="1090"/>
        <v/>
      </c>
      <c r="T6974" t="str">
        <f t="shared" si="1091"/>
        <v/>
      </c>
      <c r="U6974" t="str">
        <f t="shared" si="1092"/>
        <v/>
      </c>
      <c r="V6974" t="str">
        <f t="shared" si="1093"/>
        <v/>
      </c>
      <c r="W6974" t="str">
        <f t="shared" si="1094"/>
        <v/>
      </c>
      <c r="X6974">
        <f t="shared" si="1096"/>
        <v>0</v>
      </c>
      <c r="Z6974" t="str">
        <f t="shared" si="1095"/>
        <v/>
      </c>
      <c r="AA6974">
        <f t="shared" si="1097"/>
        <v>0</v>
      </c>
    </row>
    <row r="6975" spans="1:27" ht="21" customHeight="1" x14ac:dyDescent="0.95">
      <c r="A6975" s="56"/>
      <c r="B6975" s="57"/>
      <c r="C6975" s="57"/>
      <c r="D6975" s="57"/>
      <c r="E6975" s="56"/>
      <c r="F6975" s="57"/>
      <c r="G6975" s="57"/>
      <c r="H6975" s="56"/>
      <c r="I6975" s="56"/>
      <c r="J6975" s="58"/>
      <c r="K6975" s="58"/>
      <c r="L6975" s="13" t="str">
        <f t="shared" si="1086"/>
        <v/>
      </c>
      <c r="M6975" s="13" t="str">
        <f t="shared" si="1087"/>
        <v/>
      </c>
      <c r="Q6975" t="str">
        <f t="shared" si="1088"/>
        <v/>
      </c>
      <c r="R6975" t="str">
        <f t="shared" si="1089"/>
        <v/>
      </c>
      <c r="S6975" t="str">
        <f t="shared" si="1090"/>
        <v/>
      </c>
      <c r="T6975" t="str">
        <f t="shared" si="1091"/>
        <v/>
      </c>
      <c r="U6975" t="str">
        <f t="shared" si="1092"/>
        <v/>
      </c>
      <c r="V6975" t="str">
        <f t="shared" si="1093"/>
        <v/>
      </c>
      <c r="W6975" t="str">
        <f t="shared" si="1094"/>
        <v/>
      </c>
      <c r="X6975">
        <f t="shared" si="1096"/>
        <v>0</v>
      </c>
      <c r="Z6975" t="str">
        <f t="shared" si="1095"/>
        <v/>
      </c>
      <c r="AA6975">
        <f t="shared" si="1097"/>
        <v>0</v>
      </c>
    </row>
    <row r="6976" spans="1:27" ht="21" customHeight="1" x14ac:dyDescent="0.95">
      <c r="A6976" s="56"/>
      <c r="B6976" s="57"/>
      <c r="C6976" s="57"/>
      <c r="D6976" s="57"/>
      <c r="E6976" s="56"/>
      <c r="F6976" s="57"/>
      <c r="G6976" s="57"/>
      <c r="H6976" s="56"/>
      <c r="I6976" s="56"/>
      <c r="J6976" s="58"/>
      <c r="K6976" s="58"/>
      <c r="L6976" s="13" t="str">
        <f t="shared" si="1086"/>
        <v/>
      </c>
      <c r="M6976" s="13" t="str">
        <f t="shared" si="1087"/>
        <v/>
      </c>
      <c r="Q6976" t="str">
        <f t="shared" si="1088"/>
        <v/>
      </c>
      <c r="R6976" t="str">
        <f t="shared" si="1089"/>
        <v/>
      </c>
      <c r="S6976" t="str">
        <f t="shared" si="1090"/>
        <v/>
      </c>
      <c r="T6976" t="str">
        <f t="shared" si="1091"/>
        <v/>
      </c>
      <c r="U6976" t="str">
        <f t="shared" si="1092"/>
        <v/>
      </c>
      <c r="V6976" t="str">
        <f t="shared" si="1093"/>
        <v/>
      </c>
      <c r="W6976" t="str">
        <f t="shared" si="1094"/>
        <v/>
      </c>
      <c r="X6976">
        <f t="shared" si="1096"/>
        <v>0</v>
      </c>
      <c r="Z6976" t="str">
        <f t="shared" si="1095"/>
        <v/>
      </c>
      <c r="AA6976">
        <f t="shared" si="1097"/>
        <v>0</v>
      </c>
    </row>
    <row r="6977" spans="1:27" ht="21" customHeight="1" x14ac:dyDescent="0.95">
      <c r="A6977" s="56"/>
      <c r="B6977" s="57"/>
      <c r="C6977" s="57"/>
      <c r="D6977" s="57"/>
      <c r="E6977" s="56"/>
      <c r="F6977" s="57"/>
      <c r="G6977" s="57"/>
      <c r="H6977" s="56"/>
      <c r="I6977" s="56"/>
      <c r="J6977" s="58"/>
      <c r="K6977" s="58"/>
      <c r="L6977" s="13" t="str">
        <f t="shared" si="1086"/>
        <v/>
      </c>
      <c r="M6977" s="13" t="str">
        <f t="shared" si="1087"/>
        <v/>
      </c>
      <c r="Q6977" t="str">
        <f t="shared" si="1088"/>
        <v/>
      </c>
      <c r="R6977" t="str">
        <f t="shared" si="1089"/>
        <v/>
      </c>
      <c r="S6977" t="str">
        <f t="shared" si="1090"/>
        <v/>
      </c>
      <c r="T6977" t="str">
        <f t="shared" si="1091"/>
        <v/>
      </c>
      <c r="U6977" t="str">
        <f t="shared" si="1092"/>
        <v/>
      </c>
      <c r="V6977" t="str">
        <f t="shared" si="1093"/>
        <v/>
      </c>
      <c r="W6977" t="str">
        <f t="shared" si="1094"/>
        <v/>
      </c>
      <c r="X6977">
        <f t="shared" si="1096"/>
        <v>0</v>
      </c>
      <c r="Z6977" t="str">
        <f t="shared" si="1095"/>
        <v/>
      </c>
      <c r="AA6977">
        <f t="shared" si="1097"/>
        <v>0</v>
      </c>
    </row>
    <row r="6978" spans="1:27" ht="21" customHeight="1" x14ac:dyDescent="0.95">
      <c r="A6978" s="56"/>
      <c r="B6978" s="57"/>
      <c r="C6978" s="57"/>
      <c r="D6978" s="57"/>
      <c r="E6978" s="56"/>
      <c r="F6978" s="57"/>
      <c r="G6978" s="57"/>
      <c r="H6978" s="56"/>
      <c r="I6978" s="56"/>
      <c r="J6978" s="58"/>
      <c r="K6978" s="58"/>
      <c r="L6978" s="13" t="str">
        <f t="shared" si="1086"/>
        <v/>
      </c>
      <c r="M6978" s="13" t="str">
        <f t="shared" si="1087"/>
        <v/>
      </c>
      <c r="Q6978" t="str">
        <f t="shared" si="1088"/>
        <v/>
      </c>
      <c r="R6978" t="str">
        <f t="shared" si="1089"/>
        <v/>
      </c>
      <c r="S6978" t="str">
        <f t="shared" si="1090"/>
        <v/>
      </c>
      <c r="T6978" t="str">
        <f t="shared" si="1091"/>
        <v/>
      </c>
      <c r="U6978" t="str">
        <f t="shared" si="1092"/>
        <v/>
      </c>
      <c r="V6978" t="str">
        <f t="shared" si="1093"/>
        <v/>
      </c>
      <c r="W6978" t="str">
        <f t="shared" si="1094"/>
        <v/>
      </c>
      <c r="X6978">
        <f t="shared" si="1096"/>
        <v>0</v>
      </c>
      <c r="Z6978" t="str">
        <f t="shared" si="1095"/>
        <v/>
      </c>
      <c r="AA6978">
        <f t="shared" si="1097"/>
        <v>0</v>
      </c>
    </row>
    <row r="6979" spans="1:27" ht="21" customHeight="1" x14ac:dyDescent="0.95">
      <c r="A6979" s="56"/>
      <c r="B6979" s="57"/>
      <c r="C6979" s="57"/>
      <c r="D6979" s="57"/>
      <c r="E6979" s="56"/>
      <c r="F6979" s="57"/>
      <c r="G6979" s="57"/>
      <c r="H6979" s="56"/>
      <c r="I6979" s="56"/>
      <c r="J6979" s="58"/>
      <c r="K6979" s="58"/>
      <c r="L6979" s="13" t="str">
        <f t="shared" si="1086"/>
        <v/>
      </c>
      <c r="M6979" s="13" t="str">
        <f t="shared" si="1087"/>
        <v/>
      </c>
      <c r="Q6979" t="str">
        <f t="shared" si="1088"/>
        <v/>
      </c>
      <c r="R6979" t="str">
        <f t="shared" si="1089"/>
        <v/>
      </c>
      <c r="S6979" t="str">
        <f t="shared" si="1090"/>
        <v/>
      </c>
      <c r="T6979" t="str">
        <f t="shared" si="1091"/>
        <v/>
      </c>
      <c r="U6979" t="str">
        <f t="shared" si="1092"/>
        <v/>
      </c>
      <c r="V6979" t="str">
        <f t="shared" si="1093"/>
        <v/>
      </c>
      <c r="W6979" t="str">
        <f t="shared" si="1094"/>
        <v/>
      </c>
      <c r="X6979">
        <f t="shared" si="1096"/>
        <v>0</v>
      </c>
      <c r="Z6979" t="str">
        <f t="shared" si="1095"/>
        <v/>
      </c>
      <c r="AA6979">
        <f t="shared" si="1097"/>
        <v>0</v>
      </c>
    </row>
    <row r="6980" spans="1:27" ht="21" customHeight="1" x14ac:dyDescent="0.95">
      <c r="A6980" s="56"/>
      <c r="B6980" s="57"/>
      <c r="C6980" s="57"/>
      <c r="D6980" s="57"/>
      <c r="E6980" s="56"/>
      <c r="F6980" s="57"/>
      <c r="G6980" s="57"/>
      <c r="H6980" s="56"/>
      <c r="I6980" s="56"/>
      <c r="J6980" s="58"/>
      <c r="K6980" s="58"/>
      <c r="L6980" s="13" t="str">
        <f t="shared" ref="L6980:L7043" si="1098">IF(OR($A6980="",AND($J6980="",$K6980="")),"",ROUND(N($J6980)-N($K6980),2))</f>
        <v/>
      </c>
      <c r="M6980" s="13" t="str">
        <f t="shared" ref="M6980:M7043" si="1099">IF(OR($A6980="",AND($J6980="",$K6980="")),"",MIN($J6980,$K6980))</f>
        <v/>
      </c>
      <c r="Q6980" t="str">
        <f t="shared" ref="Q6980:Q7043" si="1100">IF($A6980="","",$D6980&amp;"("&amp;SUBSTITUTE($E6980," ","")&amp;")")</f>
        <v/>
      </c>
      <c r="R6980" t="str">
        <f t="shared" ref="R6980:R7043" si="1101">IF($A6980="","",$B6980&amp;" - "&amp;$C6980)</f>
        <v/>
      </c>
      <c r="S6980" t="str">
        <f t="shared" ref="S6980:S7043" si="1102">IF($A6980="","",$R6980&amp;"|"&amp;$Q6980)</f>
        <v/>
      </c>
      <c r="T6980" t="str">
        <f t="shared" ref="T6980:T7043" si="1103">IF($A6980="","",$S6980&amp;"|"&amp;$F6980)</f>
        <v/>
      </c>
      <c r="U6980" t="str">
        <f t="shared" ref="U6980:U7043" si="1104">IF($A6980="","",$R6980&amp;"("&amp;$E6980&amp;")")</f>
        <v/>
      </c>
      <c r="V6980" t="str">
        <f t="shared" ref="V6980:V7043" si="1105">IF($A6980="","",$F6980&amp;"|"&amp;$U6980&amp;"|"&amp;$D6980)</f>
        <v/>
      </c>
      <c r="W6980" t="str">
        <f t="shared" si="1094"/>
        <v/>
      </c>
      <c r="X6980">
        <f t="shared" si="1096"/>
        <v>0</v>
      </c>
      <c r="Z6980" t="str">
        <f t="shared" si="1095"/>
        <v/>
      </c>
      <c r="AA6980">
        <f t="shared" si="1097"/>
        <v>0</v>
      </c>
    </row>
    <row r="6981" spans="1:27" ht="21" customHeight="1" x14ac:dyDescent="0.95">
      <c r="A6981" s="56"/>
      <c r="B6981" s="57"/>
      <c r="C6981" s="57"/>
      <c r="D6981" s="57"/>
      <c r="E6981" s="56"/>
      <c r="F6981" s="57"/>
      <c r="G6981" s="57"/>
      <c r="H6981" s="56"/>
      <c r="I6981" s="56"/>
      <c r="J6981" s="58"/>
      <c r="K6981" s="58"/>
      <c r="L6981" s="13" t="str">
        <f t="shared" si="1098"/>
        <v/>
      </c>
      <c r="M6981" s="13" t="str">
        <f t="shared" si="1099"/>
        <v/>
      </c>
      <c r="Q6981" t="str">
        <f t="shared" si="1100"/>
        <v/>
      </c>
      <c r="R6981" t="str">
        <f t="shared" si="1101"/>
        <v/>
      </c>
      <c r="S6981" t="str">
        <f t="shared" si="1102"/>
        <v/>
      </c>
      <c r="T6981" t="str">
        <f t="shared" si="1103"/>
        <v/>
      </c>
      <c r="U6981" t="str">
        <f t="shared" si="1104"/>
        <v/>
      </c>
      <c r="V6981" t="str">
        <f t="shared" si="1105"/>
        <v/>
      </c>
      <c r="W6981" t="str">
        <f t="shared" si="1094"/>
        <v/>
      </c>
      <c r="X6981">
        <f t="shared" si="1096"/>
        <v>0</v>
      </c>
      <c r="Z6981" t="str">
        <f t="shared" si="1095"/>
        <v/>
      </c>
      <c r="AA6981">
        <f t="shared" si="1097"/>
        <v>0</v>
      </c>
    </row>
    <row r="6982" spans="1:27" ht="21" customHeight="1" x14ac:dyDescent="0.95">
      <c r="A6982" s="56"/>
      <c r="B6982" s="57"/>
      <c r="C6982" s="57"/>
      <c r="D6982" s="57"/>
      <c r="E6982" s="56"/>
      <c r="F6982" s="57"/>
      <c r="G6982" s="57"/>
      <c r="H6982" s="56"/>
      <c r="I6982" s="56"/>
      <c r="J6982" s="58"/>
      <c r="K6982" s="58"/>
      <c r="L6982" s="13" t="str">
        <f t="shared" si="1098"/>
        <v/>
      </c>
      <c r="M6982" s="13" t="str">
        <f t="shared" si="1099"/>
        <v/>
      </c>
      <c r="Q6982" t="str">
        <f t="shared" si="1100"/>
        <v/>
      </c>
      <c r="R6982" t="str">
        <f t="shared" si="1101"/>
        <v/>
      </c>
      <c r="S6982" t="str">
        <f t="shared" si="1102"/>
        <v/>
      </c>
      <c r="T6982" t="str">
        <f t="shared" si="1103"/>
        <v/>
      </c>
      <c r="U6982" t="str">
        <f t="shared" si="1104"/>
        <v/>
      </c>
      <c r="V6982" t="str">
        <f t="shared" si="1105"/>
        <v/>
      </c>
      <c r="W6982" t="str">
        <f t="shared" ref="W6982:W7045" si="1106">IF($T6982="","",IF($X6982&gt;N($X6981),$X6982,""))</f>
        <v/>
      </c>
      <c r="X6982">
        <f t="shared" si="1096"/>
        <v>0</v>
      </c>
      <c r="Z6982" t="str">
        <f t="shared" ref="Z6982:Z7045" si="1107">IF($V6982="","",IF($AA6982&gt;N($AA6981),$AA6982,""))</f>
        <v/>
      </c>
      <c r="AA6982">
        <f t="shared" si="1097"/>
        <v>0</v>
      </c>
    </row>
    <row r="6983" spans="1:27" ht="21" customHeight="1" x14ac:dyDescent="0.95">
      <c r="A6983" s="56"/>
      <c r="B6983" s="57"/>
      <c r="C6983" s="57"/>
      <c r="D6983" s="57"/>
      <c r="E6983" s="56"/>
      <c r="F6983" s="57"/>
      <c r="G6983" s="57"/>
      <c r="H6983" s="56"/>
      <c r="I6983" s="56"/>
      <c r="J6983" s="58"/>
      <c r="K6983" s="58"/>
      <c r="L6983" s="13" t="str">
        <f t="shared" si="1098"/>
        <v/>
      </c>
      <c r="M6983" s="13" t="str">
        <f t="shared" si="1099"/>
        <v/>
      </c>
      <c r="Q6983" t="str">
        <f t="shared" si="1100"/>
        <v/>
      </c>
      <c r="R6983" t="str">
        <f t="shared" si="1101"/>
        <v/>
      </c>
      <c r="S6983" t="str">
        <f t="shared" si="1102"/>
        <v/>
      </c>
      <c r="T6983" t="str">
        <f t="shared" si="1103"/>
        <v/>
      </c>
      <c r="U6983" t="str">
        <f t="shared" si="1104"/>
        <v/>
      </c>
      <c r="V6983" t="str">
        <f t="shared" si="1105"/>
        <v/>
      </c>
      <c r="W6983" t="str">
        <f t="shared" si="1106"/>
        <v/>
      </c>
      <c r="X6983">
        <f t="shared" si="1096"/>
        <v>0</v>
      </c>
      <c r="Z6983" t="str">
        <f t="shared" si="1107"/>
        <v/>
      </c>
      <c r="AA6983">
        <f t="shared" si="1097"/>
        <v>0</v>
      </c>
    </row>
    <row r="6984" spans="1:27" ht="21" customHeight="1" x14ac:dyDescent="0.95">
      <c r="A6984" s="56"/>
      <c r="B6984" s="57"/>
      <c r="C6984" s="57"/>
      <c r="D6984" s="57"/>
      <c r="E6984" s="56"/>
      <c r="F6984" s="57"/>
      <c r="G6984" s="57"/>
      <c r="H6984" s="56"/>
      <c r="I6984" s="56"/>
      <c r="J6984" s="58"/>
      <c r="K6984" s="58"/>
      <c r="L6984" s="13" t="str">
        <f t="shared" si="1098"/>
        <v/>
      </c>
      <c r="M6984" s="13" t="str">
        <f t="shared" si="1099"/>
        <v/>
      </c>
      <c r="Q6984" t="str">
        <f t="shared" si="1100"/>
        <v/>
      </c>
      <c r="R6984" t="str">
        <f t="shared" si="1101"/>
        <v/>
      </c>
      <c r="S6984" t="str">
        <f t="shared" si="1102"/>
        <v/>
      </c>
      <c r="T6984" t="str">
        <f t="shared" si="1103"/>
        <v/>
      </c>
      <c r="U6984" t="str">
        <f t="shared" si="1104"/>
        <v/>
      </c>
      <c r="V6984" t="str">
        <f t="shared" si="1105"/>
        <v/>
      </c>
      <c r="W6984" t="str">
        <f t="shared" si="1106"/>
        <v/>
      </c>
      <c r="X6984">
        <f t="shared" si="1096"/>
        <v>0</v>
      </c>
      <c r="Z6984" t="str">
        <f t="shared" si="1107"/>
        <v/>
      </c>
      <c r="AA6984">
        <f t="shared" si="1097"/>
        <v>0</v>
      </c>
    </row>
    <row r="6985" spans="1:27" ht="21" customHeight="1" x14ac:dyDescent="0.95">
      <c r="A6985" s="56"/>
      <c r="B6985" s="57"/>
      <c r="C6985" s="57"/>
      <c r="D6985" s="57"/>
      <c r="E6985" s="56"/>
      <c r="F6985" s="57"/>
      <c r="G6985" s="57"/>
      <c r="H6985" s="56"/>
      <c r="I6985" s="56"/>
      <c r="J6985" s="58"/>
      <c r="K6985" s="58"/>
      <c r="L6985" s="13" t="str">
        <f t="shared" si="1098"/>
        <v/>
      </c>
      <c r="M6985" s="13" t="str">
        <f t="shared" si="1099"/>
        <v/>
      </c>
      <c r="Q6985" t="str">
        <f t="shared" si="1100"/>
        <v/>
      </c>
      <c r="R6985" t="str">
        <f t="shared" si="1101"/>
        <v/>
      </c>
      <c r="S6985" t="str">
        <f t="shared" si="1102"/>
        <v/>
      </c>
      <c r="T6985" t="str">
        <f t="shared" si="1103"/>
        <v/>
      </c>
      <c r="U6985" t="str">
        <f t="shared" si="1104"/>
        <v/>
      </c>
      <c r="V6985" t="str">
        <f t="shared" si="1105"/>
        <v/>
      </c>
      <c r="W6985" t="str">
        <f t="shared" si="1106"/>
        <v/>
      </c>
      <c r="X6985">
        <f t="shared" si="1096"/>
        <v>0</v>
      </c>
      <c r="Z6985" t="str">
        <f t="shared" si="1107"/>
        <v/>
      </c>
      <c r="AA6985">
        <f t="shared" si="1097"/>
        <v>0</v>
      </c>
    </row>
    <row r="6986" spans="1:27" ht="21" customHeight="1" x14ac:dyDescent="0.95">
      <c r="A6986" s="56"/>
      <c r="B6986" s="57"/>
      <c r="C6986" s="57"/>
      <c r="D6986" s="57"/>
      <c r="E6986" s="56"/>
      <c r="F6986" s="57"/>
      <c r="G6986" s="57"/>
      <c r="H6986" s="56"/>
      <c r="I6986" s="56"/>
      <c r="J6986" s="58"/>
      <c r="K6986" s="58"/>
      <c r="L6986" s="13" t="str">
        <f t="shared" si="1098"/>
        <v/>
      </c>
      <c r="M6986" s="13" t="str">
        <f t="shared" si="1099"/>
        <v/>
      </c>
      <c r="Q6986" t="str">
        <f t="shared" si="1100"/>
        <v/>
      </c>
      <c r="R6986" t="str">
        <f t="shared" si="1101"/>
        <v/>
      </c>
      <c r="S6986" t="str">
        <f t="shared" si="1102"/>
        <v/>
      </c>
      <c r="T6986" t="str">
        <f t="shared" si="1103"/>
        <v/>
      </c>
      <c r="U6986" t="str">
        <f t="shared" si="1104"/>
        <v/>
      </c>
      <c r="V6986" t="str">
        <f t="shared" si="1105"/>
        <v/>
      </c>
      <c r="W6986" t="str">
        <f t="shared" si="1106"/>
        <v/>
      </c>
      <c r="X6986">
        <f t="shared" si="1096"/>
        <v>0</v>
      </c>
      <c r="Z6986" t="str">
        <f t="shared" si="1107"/>
        <v/>
      </c>
      <c r="AA6986">
        <f t="shared" si="1097"/>
        <v>0</v>
      </c>
    </row>
    <row r="6987" spans="1:27" ht="21" customHeight="1" x14ac:dyDescent="0.95">
      <c r="A6987" s="56"/>
      <c r="B6987" s="57"/>
      <c r="C6987" s="57"/>
      <c r="D6987" s="57"/>
      <c r="E6987" s="56"/>
      <c r="F6987" s="57"/>
      <c r="G6987" s="57"/>
      <c r="H6987" s="56"/>
      <c r="I6987" s="56"/>
      <c r="J6987" s="58"/>
      <c r="K6987" s="58"/>
      <c r="L6987" s="13" t="str">
        <f t="shared" si="1098"/>
        <v/>
      </c>
      <c r="M6987" s="13" t="str">
        <f t="shared" si="1099"/>
        <v/>
      </c>
      <c r="Q6987" t="str">
        <f t="shared" si="1100"/>
        <v/>
      </c>
      <c r="R6987" t="str">
        <f t="shared" si="1101"/>
        <v/>
      </c>
      <c r="S6987" t="str">
        <f t="shared" si="1102"/>
        <v/>
      </c>
      <c r="T6987" t="str">
        <f t="shared" si="1103"/>
        <v/>
      </c>
      <c r="U6987" t="str">
        <f t="shared" si="1104"/>
        <v/>
      </c>
      <c r="V6987" t="str">
        <f t="shared" si="1105"/>
        <v/>
      </c>
      <c r="W6987" t="str">
        <f t="shared" si="1106"/>
        <v/>
      </c>
      <c r="X6987">
        <f t="shared" si="1096"/>
        <v>0</v>
      </c>
      <c r="Z6987" t="str">
        <f t="shared" si="1107"/>
        <v/>
      </c>
      <c r="AA6987">
        <f t="shared" si="1097"/>
        <v>0</v>
      </c>
    </row>
    <row r="6988" spans="1:27" ht="21" customHeight="1" x14ac:dyDescent="0.95">
      <c r="A6988" s="56"/>
      <c r="B6988" s="57"/>
      <c r="C6988" s="57"/>
      <c r="D6988" s="57"/>
      <c r="E6988" s="56"/>
      <c r="F6988" s="57"/>
      <c r="G6988" s="57"/>
      <c r="H6988" s="56"/>
      <c r="I6988" s="56"/>
      <c r="J6988" s="58"/>
      <c r="K6988" s="58"/>
      <c r="L6988" s="13" t="str">
        <f t="shared" si="1098"/>
        <v/>
      </c>
      <c r="M6988" s="13" t="str">
        <f t="shared" si="1099"/>
        <v/>
      </c>
      <c r="Q6988" t="str">
        <f t="shared" si="1100"/>
        <v/>
      </c>
      <c r="R6988" t="str">
        <f t="shared" si="1101"/>
        <v/>
      </c>
      <c r="S6988" t="str">
        <f t="shared" si="1102"/>
        <v/>
      </c>
      <c r="T6988" t="str">
        <f t="shared" si="1103"/>
        <v/>
      </c>
      <c r="U6988" t="str">
        <f t="shared" si="1104"/>
        <v/>
      </c>
      <c r="V6988" t="str">
        <f t="shared" si="1105"/>
        <v/>
      </c>
      <c r="W6988" t="str">
        <f t="shared" si="1106"/>
        <v/>
      </c>
      <c r="X6988">
        <f t="shared" si="1096"/>
        <v>0</v>
      </c>
      <c r="Z6988" t="str">
        <f t="shared" si="1107"/>
        <v/>
      </c>
      <c r="AA6988">
        <f t="shared" si="1097"/>
        <v>0</v>
      </c>
    </row>
    <row r="6989" spans="1:27" ht="21" customHeight="1" x14ac:dyDescent="0.95">
      <c r="A6989" s="56"/>
      <c r="B6989" s="57"/>
      <c r="C6989" s="57"/>
      <c r="D6989" s="57"/>
      <c r="E6989" s="56"/>
      <c r="F6989" s="57"/>
      <c r="G6989" s="57"/>
      <c r="H6989" s="56"/>
      <c r="I6989" s="56"/>
      <c r="J6989" s="58"/>
      <c r="K6989" s="58"/>
      <c r="L6989" s="13" t="str">
        <f t="shared" si="1098"/>
        <v/>
      </c>
      <c r="M6989" s="13" t="str">
        <f t="shared" si="1099"/>
        <v/>
      </c>
      <c r="Q6989" t="str">
        <f t="shared" si="1100"/>
        <v/>
      </c>
      <c r="R6989" t="str">
        <f t="shared" si="1101"/>
        <v/>
      </c>
      <c r="S6989" t="str">
        <f t="shared" si="1102"/>
        <v/>
      </c>
      <c r="T6989" t="str">
        <f t="shared" si="1103"/>
        <v/>
      </c>
      <c r="U6989" t="str">
        <f t="shared" si="1104"/>
        <v/>
      </c>
      <c r="V6989" t="str">
        <f t="shared" si="1105"/>
        <v/>
      </c>
      <c r="W6989" t="str">
        <f t="shared" si="1106"/>
        <v/>
      </c>
      <c r="X6989">
        <f t="shared" si="1096"/>
        <v>0</v>
      </c>
      <c r="Z6989" t="str">
        <f t="shared" si="1107"/>
        <v/>
      </c>
      <c r="AA6989">
        <f t="shared" si="1097"/>
        <v>0</v>
      </c>
    </row>
    <row r="6990" spans="1:27" ht="21" customHeight="1" x14ac:dyDescent="0.95">
      <c r="A6990" s="56"/>
      <c r="B6990" s="57"/>
      <c r="C6990" s="57"/>
      <c r="D6990" s="57"/>
      <c r="E6990" s="56"/>
      <c r="F6990" s="57"/>
      <c r="G6990" s="57"/>
      <c r="H6990" s="56"/>
      <c r="I6990" s="56"/>
      <c r="J6990" s="58"/>
      <c r="K6990" s="58"/>
      <c r="L6990" s="13" t="str">
        <f t="shared" si="1098"/>
        <v/>
      </c>
      <c r="M6990" s="13" t="str">
        <f t="shared" si="1099"/>
        <v/>
      </c>
      <c r="Q6990" t="str">
        <f t="shared" si="1100"/>
        <v/>
      </c>
      <c r="R6990" t="str">
        <f t="shared" si="1101"/>
        <v/>
      </c>
      <c r="S6990" t="str">
        <f t="shared" si="1102"/>
        <v/>
      </c>
      <c r="T6990" t="str">
        <f t="shared" si="1103"/>
        <v/>
      </c>
      <c r="U6990" t="str">
        <f t="shared" si="1104"/>
        <v/>
      </c>
      <c r="V6990" t="str">
        <f t="shared" si="1105"/>
        <v/>
      </c>
      <c r="W6990" t="str">
        <f t="shared" si="1106"/>
        <v/>
      </c>
      <c r="X6990">
        <f t="shared" si="1096"/>
        <v>0</v>
      </c>
      <c r="Z6990" t="str">
        <f t="shared" si="1107"/>
        <v/>
      </c>
      <c r="AA6990">
        <f t="shared" si="1097"/>
        <v>0</v>
      </c>
    </row>
    <row r="6991" spans="1:27" ht="21" customHeight="1" x14ac:dyDescent="0.95">
      <c r="A6991" s="56"/>
      <c r="B6991" s="57"/>
      <c r="C6991" s="57"/>
      <c r="D6991" s="57"/>
      <c r="E6991" s="56"/>
      <c r="F6991" s="57"/>
      <c r="G6991" s="57"/>
      <c r="H6991" s="56"/>
      <c r="I6991" s="56"/>
      <c r="J6991" s="58"/>
      <c r="K6991" s="58"/>
      <c r="L6991" s="13" t="str">
        <f t="shared" si="1098"/>
        <v/>
      </c>
      <c r="M6991" s="13" t="str">
        <f t="shared" si="1099"/>
        <v/>
      </c>
      <c r="Q6991" t="str">
        <f t="shared" si="1100"/>
        <v/>
      </c>
      <c r="R6991" t="str">
        <f t="shared" si="1101"/>
        <v/>
      </c>
      <c r="S6991" t="str">
        <f t="shared" si="1102"/>
        <v/>
      </c>
      <c r="T6991" t="str">
        <f t="shared" si="1103"/>
        <v/>
      </c>
      <c r="U6991" t="str">
        <f t="shared" si="1104"/>
        <v/>
      </c>
      <c r="V6991" t="str">
        <f t="shared" si="1105"/>
        <v/>
      </c>
      <c r="W6991" t="str">
        <f t="shared" si="1106"/>
        <v/>
      </c>
      <c r="X6991">
        <f t="shared" si="1096"/>
        <v>0</v>
      </c>
      <c r="Z6991" t="str">
        <f t="shared" si="1107"/>
        <v/>
      </c>
      <c r="AA6991">
        <f t="shared" si="1097"/>
        <v>0</v>
      </c>
    </row>
    <row r="6992" spans="1:27" ht="21" customHeight="1" x14ac:dyDescent="0.95">
      <c r="A6992" s="56"/>
      <c r="B6992" s="57"/>
      <c r="C6992" s="57"/>
      <c r="D6992" s="57"/>
      <c r="E6992" s="56"/>
      <c r="F6992" s="57"/>
      <c r="G6992" s="57"/>
      <c r="H6992" s="56"/>
      <c r="I6992" s="56"/>
      <c r="J6992" s="58"/>
      <c r="K6992" s="58"/>
      <c r="L6992" s="13" t="str">
        <f t="shared" si="1098"/>
        <v/>
      </c>
      <c r="M6992" s="13" t="str">
        <f t="shared" si="1099"/>
        <v/>
      </c>
      <c r="Q6992" t="str">
        <f t="shared" si="1100"/>
        <v/>
      </c>
      <c r="R6992" t="str">
        <f t="shared" si="1101"/>
        <v/>
      </c>
      <c r="S6992" t="str">
        <f t="shared" si="1102"/>
        <v/>
      </c>
      <c r="T6992" t="str">
        <f t="shared" si="1103"/>
        <v/>
      </c>
      <c r="U6992" t="str">
        <f t="shared" si="1104"/>
        <v/>
      </c>
      <c r="V6992" t="str">
        <f t="shared" si="1105"/>
        <v/>
      </c>
      <c r="W6992" t="str">
        <f t="shared" si="1106"/>
        <v/>
      </c>
      <c r="X6992">
        <f t="shared" si="1096"/>
        <v>0</v>
      </c>
      <c r="Z6992" t="str">
        <f t="shared" si="1107"/>
        <v/>
      </c>
      <c r="AA6992">
        <f t="shared" si="1097"/>
        <v>0</v>
      </c>
    </row>
    <row r="6993" spans="1:27" ht="21" customHeight="1" x14ac:dyDescent="0.95">
      <c r="A6993" s="56"/>
      <c r="B6993" s="57"/>
      <c r="C6993" s="57"/>
      <c r="D6993" s="57"/>
      <c r="E6993" s="56"/>
      <c r="F6993" s="57"/>
      <c r="G6993" s="57"/>
      <c r="H6993" s="56"/>
      <c r="I6993" s="56"/>
      <c r="J6993" s="58"/>
      <c r="K6993" s="58"/>
      <c r="L6993" s="13" t="str">
        <f t="shared" si="1098"/>
        <v/>
      </c>
      <c r="M6993" s="13" t="str">
        <f t="shared" si="1099"/>
        <v/>
      </c>
      <c r="Q6993" t="str">
        <f t="shared" si="1100"/>
        <v/>
      </c>
      <c r="R6993" t="str">
        <f t="shared" si="1101"/>
        <v/>
      </c>
      <c r="S6993" t="str">
        <f t="shared" si="1102"/>
        <v/>
      </c>
      <c r="T6993" t="str">
        <f t="shared" si="1103"/>
        <v/>
      </c>
      <c r="U6993" t="str">
        <f t="shared" si="1104"/>
        <v/>
      </c>
      <c r="V6993" t="str">
        <f t="shared" si="1105"/>
        <v/>
      </c>
      <c r="W6993" t="str">
        <f t="shared" si="1106"/>
        <v/>
      </c>
      <c r="X6993">
        <f t="shared" si="1096"/>
        <v>0</v>
      </c>
      <c r="Z6993" t="str">
        <f t="shared" si="1107"/>
        <v/>
      </c>
      <c r="AA6993">
        <f t="shared" si="1097"/>
        <v>0</v>
      </c>
    </row>
    <row r="6994" spans="1:27" ht="21" customHeight="1" x14ac:dyDescent="0.95">
      <c r="A6994" s="56"/>
      <c r="B6994" s="57"/>
      <c r="C6994" s="57"/>
      <c r="D6994" s="57"/>
      <c r="E6994" s="56"/>
      <c r="F6994" s="57"/>
      <c r="G6994" s="57"/>
      <c r="H6994" s="56"/>
      <c r="I6994" s="56"/>
      <c r="J6994" s="58"/>
      <c r="K6994" s="58"/>
      <c r="L6994" s="13" t="str">
        <f t="shared" si="1098"/>
        <v/>
      </c>
      <c r="M6994" s="13" t="str">
        <f t="shared" si="1099"/>
        <v/>
      </c>
      <c r="Q6994" t="str">
        <f t="shared" si="1100"/>
        <v/>
      </c>
      <c r="R6994" t="str">
        <f t="shared" si="1101"/>
        <v/>
      </c>
      <c r="S6994" t="str">
        <f t="shared" si="1102"/>
        <v/>
      </c>
      <c r="T6994" t="str">
        <f t="shared" si="1103"/>
        <v/>
      </c>
      <c r="U6994" t="str">
        <f t="shared" si="1104"/>
        <v/>
      </c>
      <c r="V6994" t="str">
        <f t="shared" si="1105"/>
        <v/>
      </c>
      <c r="W6994" t="str">
        <f t="shared" si="1106"/>
        <v/>
      </c>
      <c r="X6994">
        <f t="shared" si="1096"/>
        <v>0</v>
      </c>
      <c r="Z6994" t="str">
        <f t="shared" si="1107"/>
        <v/>
      </c>
      <c r="AA6994">
        <f t="shared" si="1097"/>
        <v>0</v>
      </c>
    </row>
    <row r="6995" spans="1:27" ht="21" customHeight="1" x14ac:dyDescent="0.95">
      <c r="A6995" s="56"/>
      <c r="B6995" s="57"/>
      <c r="C6995" s="57"/>
      <c r="D6995" s="57"/>
      <c r="E6995" s="56"/>
      <c r="F6995" s="57"/>
      <c r="G6995" s="57"/>
      <c r="H6995" s="56"/>
      <c r="I6995" s="56"/>
      <c r="J6995" s="58"/>
      <c r="K6995" s="58"/>
      <c r="L6995" s="13" t="str">
        <f t="shared" si="1098"/>
        <v/>
      </c>
      <c r="M6995" s="13" t="str">
        <f t="shared" si="1099"/>
        <v/>
      </c>
      <c r="Q6995" t="str">
        <f t="shared" si="1100"/>
        <v/>
      </c>
      <c r="R6995" t="str">
        <f t="shared" si="1101"/>
        <v/>
      </c>
      <c r="S6995" t="str">
        <f t="shared" si="1102"/>
        <v/>
      </c>
      <c r="T6995" t="str">
        <f t="shared" si="1103"/>
        <v/>
      </c>
      <c r="U6995" t="str">
        <f t="shared" si="1104"/>
        <v/>
      </c>
      <c r="V6995" t="str">
        <f t="shared" si="1105"/>
        <v/>
      </c>
      <c r="W6995" t="str">
        <f t="shared" si="1106"/>
        <v/>
      </c>
      <c r="X6995">
        <f t="shared" si="1096"/>
        <v>0</v>
      </c>
      <c r="Z6995" t="str">
        <f t="shared" si="1107"/>
        <v/>
      </c>
      <c r="AA6995">
        <f t="shared" si="1097"/>
        <v>0</v>
      </c>
    </row>
    <row r="6996" spans="1:27" ht="21" customHeight="1" x14ac:dyDescent="0.95">
      <c r="A6996" s="56"/>
      <c r="B6996" s="57"/>
      <c r="C6996" s="57"/>
      <c r="D6996" s="57"/>
      <c r="E6996" s="56"/>
      <c r="F6996" s="57"/>
      <c r="G6996" s="57"/>
      <c r="H6996" s="56"/>
      <c r="I6996" s="56"/>
      <c r="J6996" s="58"/>
      <c r="K6996" s="58"/>
      <c r="L6996" s="13" t="str">
        <f t="shared" si="1098"/>
        <v/>
      </c>
      <c r="M6996" s="13" t="str">
        <f t="shared" si="1099"/>
        <v/>
      </c>
      <c r="Q6996" t="str">
        <f t="shared" si="1100"/>
        <v/>
      </c>
      <c r="R6996" t="str">
        <f t="shared" si="1101"/>
        <v/>
      </c>
      <c r="S6996" t="str">
        <f t="shared" si="1102"/>
        <v/>
      </c>
      <c r="T6996" t="str">
        <f t="shared" si="1103"/>
        <v/>
      </c>
      <c r="U6996" t="str">
        <f t="shared" si="1104"/>
        <v/>
      </c>
      <c r="V6996" t="str">
        <f t="shared" si="1105"/>
        <v/>
      </c>
      <c r="W6996" t="str">
        <f t="shared" si="1106"/>
        <v/>
      </c>
      <c r="X6996">
        <f t="shared" si="1096"/>
        <v>0</v>
      </c>
      <c r="Z6996" t="str">
        <f t="shared" si="1107"/>
        <v/>
      </c>
      <c r="AA6996">
        <f t="shared" si="1097"/>
        <v>0</v>
      </c>
    </row>
    <row r="6997" spans="1:27" ht="21" customHeight="1" x14ac:dyDescent="0.95">
      <c r="A6997" s="56"/>
      <c r="B6997" s="57"/>
      <c r="C6997" s="57"/>
      <c r="D6997" s="57"/>
      <c r="E6997" s="56"/>
      <c r="F6997" s="57"/>
      <c r="G6997" s="57"/>
      <c r="H6997" s="56"/>
      <c r="I6997" s="56"/>
      <c r="J6997" s="58"/>
      <c r="K6997" s="58"/>
      <c r="L6997" s="13" t="str">
        <f t="shared" si="1098"/>
        <v/>
      </c>
      <c r="M6997" s="13" t="str">
        <f t="shared" si="1099"/>
        <v/>
      </c>
      <c r="Q6997" t="str">
        <f t="shared" si="1100"/>
        <v/>
      </c>
      <c r="R6997" t="str">
        <f t="shared" si="1101"/>
        <v/>
      </c>
      <c r="S6997" t="str">
        <f t="shared" si="1102"/>
        <v/>
      </c>
      <c r="T6997" t="str">
        <f t="shared" si="1103"/>
        <v/>
      </c>
      <c r="U6997" t="str">
        <f t="shared" si="1104"/>
        <v/>
      </c>
      <c r="V6997" t="str">
        <f t="shared" si="1105"/>
        <v/>
      </c>
      <c r="W6997" t="str">
        <f t="shared" si="1106"/>
        <v/>
      </c>
      <c r="X6997">
        <f t="shared" si="1096"/>
        <v>0</v>
      </c>
      <c r="Z6997" t="str">
        <f t="shared" si="1107"/>
        <v/>
      </c>
      <c r="AA6997">
        <f t="shared" si="1097"/>
        <v>0</v>
      </c>
    </row>
    <row r="6998" spans="1:27" ht="21" customHeight="1" x14ac:dyDescent="0.95">
      <c r="A6998" s="56"/>
      <c r="B6998" s="57"/>
      <c r="C6998" s="57"/>
      <c r="D6998" s="57"/>
      <c r="E6998" s="56"/>
      <c r="F6998" s="57"/>
      <c r="G6998" s="57"/>
      <c r="H6998" s="56"/>
      <c r="I6998" s="56"/>
      <c r="J6998" s="58"/>
      <c r="K6998" s="58"/>
      <c r="L6998" s="13" t="str">
        <f t="shared" si="1098"/>
        <v/>
      </c>
      <c r="M6998" s="13" t="str">
        <f t="shared" si="1099"/>
        <v/>
      </c>
      <c r="Q6998" t="str">
        <f t="shared" si="1100"/>
        <v/>
      </c>
      <c r="R6998" t="str">
        <f t="shared" si="1101"/>
        <v/>
      </c>
      <c r="S6998" t="str">
        <f t="shared" si="1102"/>
        <v/>
      </c>
      <c r="T6998" t="str">
        <f t="shared" si="1103"/>
        <v/>
      </c>
      <c r="U6998" t="str">
        <f t="shared" si="1104"/>
        <v/>
      </c>
      <c r="V6998" t="str">
        <f t="shared" si="1105"/>
        <v/>
      </c>
      <c r="W6998" t="str">
        <f t="shared" si="1106"/>
        <v/>
      </c>
      <c r="X6998">
        <f t="shared" si="1096"/>
        <v>0</v>
      </c>
      <c r="Z6998" t="str">
        <f t="shared" si="1107"/>
        <v/>
      </c>
      <c r="AA6998">
        <f t="shared" si="1097"/>
        <v>0</v>
      </c>
    </row>
    <row r="6999" spans="1:27" ht="21" customHeight="1" x14ac:dyDescent="0.95">
      <c r="A6999" s="56"/>
      <c r="B6999" s="57"/>
      <c r="C6999" s="57"/>
      <c r="D6999" s="57"/>
      <c r="E6999" s="56"/>
      <c r="F6999" s="57"/>
      <c r="G6999" s="57"/>
      <c r="H6999" s="56"/>
      <c r="I6999" s="56"/>
      <c r="J6999" s="58"/>
      <c r="K6999" s="58"/>
      <c r="L6999" s="13" t="str">
        <f t="shared" si="1098"/>
        <v/>
      </c>
      <c r="M6999" s="13" t="str">
        <f t="shared" si="1099"/>
        <v/>
      </c>
      <c r="Q6999" t="str">
        <f t="shared" si="1100"/>
        <v/>
      </c>
      <c r="R6999" t="str">
        <f t="shared" si="1101"/>
        <v/>
      </c>
      <c r="S6999" t="str">
        <f t="shared" si="1102"/>
        <v/>
      </c>
      <c r="T6999" t="str">
        <f t="shared" si="1103"/>
        <v/>
      </c>
      <c r="U6999" t="str">
        <f t="shared" si="1104"/>
        <v/>
      </c>
      <c r="V6999" t="str">
        <f t="shared" si="1105"/>
        <v/>
      </c>
      <c r="W6999" t="str">
        <f t="shared" si="1106"/>
        <v/>
      </c>
      <c r="X6999">
        <f t="shared" si="1096"/>
        <v>0</v>
      </c>
      <c r="Z6999" t="str">
        <f t="shared" si="1107"/>
        <v/>
      </c>
      <c r="AA6999">
        <f t="shared" si="1097"/>
        <v>0</v>
      </c>
    </row>
    <row r="7000" spans="1:27" ht="21" customHeight="1" x14ac:dyDescent="0.95">
      <c r="A7000" s="56"/>
      <c r="B7000" s="57"/>
      <c r="C7000" s="57"/>
      <c r="D7000" s="57"/>
      <c r="E7000" s="56"/>
      <c r="F7000" s="57"/>
      <c r="G7000" s="57"/>
      <c r="H7000" s="56"/>
      <c r="I7000" s="56"/>
      <c r="J7000" s="58"/>
      <c r="K7000" s="58"/>
      <c r="L7000" s="13" t="str">
        <f t="shared" si="1098"/>
        <v/>
      </c>
      <c r="M7000" s="13" t="str">
        <f t="shared" si="1099"/>
        <v/>
      </c>
      <c r="Q7000" t="str">
        <f t="shared" si="1100"/>
        <v/>
      </c>
      <c r="R7000" t="str">
        <f t="shared" si="1101"/>
        <v/>
      </c>
      <c r="S7000" t="str">
        <f t="shared" si="1102"/>
        <v/>
      </c>
      <c r="T7000" t="str">
        <f t="shared" si="1103"/>
        <v/>
      </c>
      <c r="U7000" t="str">
        <f t="shared" si="1104"/>
        <v/>
      </c>
      <c r="V7000" t="str">
        <f t="shared" si="1105"/>
        <v/>
      </c>
      <c r="W7000" t="str">
        <f t="shared" si="1106"/>
        <v/>
      </c>
      <c r="X7000">
        <f t="shared" si="1096"/>
        <v>0</v>
      </c>
      <c r="Z7000" t="str">
        <f t="shared" si="1107"/>
        <v/>
      </c>
      <c r="AA7000">
        <f t="shared" si="1097"/>
        <v>0</v>
      </c>
    </row>
    <row r="7001" spans="1:27" ht="21" customHeight="1" x14ac:dyDescent="0.95">
      <c r="A7001" s="56"/>
      <c r="B7001" s="57"/>
      <c r="C7001" s="57"/>
      <c r="D7001" s="57"/>
      <c r="E7001" s="56"/>
      <c r="F7001" s="57"/>
      <c r="G7001" s="57"/>
      <c r="H7001" s="56"/>
      <c r="I7001" s="56"/>
      <c r="J7001" s="58"/>
      <c r="K7001" s="58"/>
      <c r="L7001" s="13" t="str">
        <f t="shared" si="1098"/>
        <v/>
      </c>
      <c r="M7001" s="13" t="str">
        <f t="shared" si="1099"/>
        <v/>
      </c>
      <c r="Q7001" t="str">
        <f t="shared" si="1100"/>
        <v/>
      </c>
      <c r="R7001" t="str">
        <f t="shared" si="1101"/>
        <v/>
      </c>
      <c r="S7001" t="str">
        <f t="shared" si="1102"/>
        <v/>
      </c>
      <c r="T7001" t="str">
        <f t="shared" si="1103"/>
        <v/>
      </c>
      <c r="U7001" t="str">
        <f t="shared" si="1104"/>
        <v/>
      </c>
      <c r="V7001" t="str">
        <f t="shared" si="1105"/>
        <v/>
      </c>
      <c r="W7001" t="str">
        <f t="shared" si="1106"/>
        <v/>
      </c>
      <c r="X7001">
        <f t="shared" si="1096"/>
        <v>0</v>
      </c>
      <c r="Z7001" t="str">
        <f t="shared" si="1107"/>
        <v/>
      </c>
      <c r="AA7001">
        <f t="shared" si="1097"/>
        <v>0</v>
      </c>
    </row>
    <row r="7002" spans="1:27" ht="21" customHeight="1" x14ac:dyDescent="0.95">
      <c r="A7002" s="56"/>
      <c r="B7002" s="57"/>
      <c r="C7002" s="57"/>
      <c r="D7002" s="57"/>
      <c r="E7002" s="56"/>
      <c r="F7002" s="57"/>
      <c r="G7002" s="57"/>
      <c r="H7002" s="56"/>
      <c r="I7002" s="56"/>
      <c r="J7002" s="58"/>
      <c r="K7002" s="58"/>
      <c r="L7002" s="13" t="str">
        <f t="shared" si="1098"/>
        <v/>
      </c>
      <c r="M7002" s="13" t="str">
        <f t="shared" si="1099"/>
        <v/>
      </c>
      <c r="Q7002" t="str">
        <f t="shared" si="1100"/>
        <v/>
      </c>
      <c r="R7002" t="str">
        <f t="shared" si="1101"/>
        <v/>
      </c>
      <c r="S7002" t="str">
        <f t="shared" si="1102"/>
        <v/>
      </c>
      <c r="T7002" t="str">
        <f t="shared" si="1103"/>
        <v/>
      </c>
      <c r="U7002" t="str">
        <f t="shared" si="1104"/>
        <v/>
      </c>
      <c r="V7002" t="str">
        <f t="shared" si="1105"/>
        <v/>
      </c>
      <c r="W7002" t="str">
        <f t="shared" si="1106"/>
        <v/>
      </c>
      <c r="X7002">
        <f t="shared" si="1096"/>
        <v>0</v>
      </c>
      <c r="Z7002" t="str">
        <f t="shared" si="1107"/>
        <v/>
      </c>
      <c r="AA7002">
        <f t="shared" si="1097"/>
        <v>0</v>
      </c>
    </row>
    <row r="7003" spans="1:27" ht="21" customHeight="1" x14ac:dyDescent="0.95">
      <c r="A7003" s="56"/>
      <c r="B7003" s="57"/>
      <c r="C7003" s="57"/>
      <c r="D7003" s="57"/>
      <c r="E7003" s="56"/>
      <c r="F7003" s="57"/>
      <c r="G7003" s="57"/>
      <c r="H7003" s="56"/>
      <c r="I7003" s="56"/>
      <c r="J7003" s="58"/>
      <c r="K7003" s="58"/>
      <c r="L7003" s="13" t="str">
        <f t="shared" si="1098"/>
        <v/>
      </c>
      <c r="M7003" s="13" t="str">
        <f t="shared" si="1099"/>
        <v/>
      </c>
      <c r="Q7003" t="str">
        <f t="shared" si="1100"/>
        <v/>
      </c>
      <c r="R7003" t="str">
        <f t="shared" si="1101"/>
        <v/>
      </c>
      <c r="S7003" t="str">
        <f t="shared" si="1102"/>
        <v/>
      </c>
      <c r="T7003" t="str">
        <f t="shared" si="1103"/>
        <v/>
      </c>
      <c r="U7003" t="str">
        <f t="shared" si="1104"/>
        <v/>
      </c>
      <c r="V7003" t="str">
        <f t="shared" si="1105"/>
        <v/>
      </c>
      <c r="W7003" t="str">
        <f t="shared" si="1106"/>
        <v/>
      </c>
      <c r="X7003">
        <f t="shared" si="1096"/>
        <v>0</v>
      </c>
      <c r="Z7003" t="str">
        <f t="shared" si="1107"/>
        <v/>
      </c>
      <c r="AA7003">
        <f t="shared" si="1097"/>
        <v>0</v>
      </c>
    </row>
    <row r="7004" spans="1:27" ht="21" customHeight="1" x14ac:dyDescent="0.95">
      <c r="A7004" s="56"/>
      <c r="B7004" s="57"/>
      <c r="C7004" s="57"/>
      <c r="D7004" s="57"/>
      <c r="E7004" s="56"/>
      <c r="F7004" s="57"/>
      <c r="G7004" s="57"/>
      <c r="H7004" s="56"/>
      <c r="I7004" s="56"/>
      <c r="J7004" s="58"/>
      <c r="K7004" s="58"/>
      <c r="L7004" s="13" t="str">
        <f t="shared" si="1098"/>
        <v/>
      </c>
      <c r="M7004" s="13" t="str">
        <f t="shared" si="1099"/>
        <v/>
      </c>
      <c r="Q7004" t="str">
        <f t="shared" si="1100"/>
        <v/>
      </c>
      <c r="R7004" t="str">
        <f t="shared" si="1101"/>
        <v/>
      </c>
      <c r="S7004" t="str">
        <f t="shared" si="1102"/>
        <v/>
      </c>
      <c r="T7004" t="str">
        <f t="shared" si="1103"/>
        <v/>
      </c>
      <c r="U7004" t="str">
        <f t="shared" si="1104"/>
        <v/>
      </c>
      <c r="V7004" t="str">
        <f t="shared" si="1105"/>
        <v/>
      </c>
      <c r="W7004" t="str">
        <f t="shared" si="1106"/>
        <v/>
      </c>
      <c r="X7004">
        <f t="shared" si="1096"/>
        <v>0</v>
      </c>
      <c r="Z7004" t="str">
        <f t="shared" si="1107"/>
        <v/>
      </c>
      <c r="AA7004">
        <f t="shared" si="1097"/>
        <v>0</v>
      </c>
    </row>
    <row r="7005" spans="1:27" ht="21" customHeight="1" x14ac:dyDescent="0.95">
      <c r="A7005" s="56"/>
      <c r="B7005" s="57"/>
      <c r="C7005" s="57"/>
      <c r="D7005" s="57"/>
      <c r="E7005" s="56"/>
      <c r="F7005" s="57"/>
      <c r="G7005" s="57"/>
      <c r="H7005" s="56"/>
      <c r="I7005" s="56"/>
      <c r="J7005" s="58"/>
      <c r="K7005" s="58"/>
      <c r="L7005" s="13" t="str">
        <f t="shared" si="1098"/>
        <v/>
      </c>
      <c r="M7005" s="13" t="str">
        <f t="shared" si="1099"/>
        <v/>
      </c>
      <c r="Q7005" t="str">
        <f t="shared" si="1100"/>
        <v/>
      </c>
      <c r="R7005" t="str">
        <f t="shared" si="1101"/>
        <v/>
      </c>
      <c r="S7005" t="str">
        <f t="shared" si="1102"/>
        <v/>
      </c>
      <c r="T7005" t="str">
        <f t="shared" si="1103"/>
        <v/>
      </c>
      <c r="U7005" t="str">
        <f t="shared" si="1104"/>
        <v/>
      </c>
      <c r="V7005" t="str">
        <f t="shared" si="1105"/>
        <v/>
      </c>
      <c r="W7005" t="str">
        <f t="shared" si="1106"/>
        <v/>
      </c>
      <c r="X7005">
        <f t="shared" si="1096"/>
        <v>0</v>
      </c>
      <c r="Z7005" t="str">
        <f t="shared" si="1107"/>
        <v/>
      </c>
      <c r="AA7005">
        <f t="shared" si="1097"/>
        <v>0</v>
      </c>
    </row>
    <row r="7006" spans="1:27" ht="21" customHeight="1" x14ac:dyDescent="0.95">
      <c r="A7006" s="56"/>
      <c r="B7006" s="57"/>
      <c r="C7006" s="57"/>
      <c r="D7006" s="57"/>
      <c r="E7006" s="56"/>
      <c r="F7006" s="57"/>
      <c r="G7006" s="57"/>
      <c r="H7006" s="56"/>
      <c r="I7006" s="56"/>
      <c r="J7006" s="58"/>
      <c r="K7006" s="58"/>
      <c r="L7006" s="13" t="str">
        <f t="shared" si="1098"/>
        <v/>
      </c>
      <c r="M7006" s="13" t="str">
        <f t="shared" si="1099"/>
        <v/>
      </c>
      <c r="Q7006" t="str">
        <f t="shared" si="1100"/>
        <v/>
      </c>
      <c r="R7006" t="str">
        <f t="shared" si="1101"/>
        <v/>
      </c>
      <c r="S7006" t="str">
        <f t="shared" si="1102"/>
        <v/>
      </c>
      <c r="T7006" t="str">
        <f t="shared" si="1103"/>
        <v/>
      </c>
      <c r="U7006" t="str">
        <f t="shared" si="1104"/>
        <v/>
      </c>
      <c r="V7006" t="str">
        <f t="shared" si="1105"/>
        <v/>
      </c>
      <c r="W7006" t="str">
        <f t="shared" si="1106"/>
        <v/>
      </c>
      <c r="X7006">
        <f t="shared" si="1096"/>
        <v>0</v>
      </c>
      <c r="Z7006" t="str">
        <f t="shared" si="1107"/>
        <v/>
      </c>
      <c r="AA7006">
        <f t="shared" si="1097"/>
        <v>0</v>
      </c>
    </row>
    <row r="7007" spans="1:27" ht="21" customHeight="1" x14ac:dyDescent="0.95">
      <c r="A7007" s="56"/>
      <c r="B7007" s="57"/>
      <c r="C7007" s="57"/>
      <c r="D7007" s="57"/>
      <c r="E7007" s="56"/>
      <c r="F7007" s="57"/>
      <c r="G7007" s="57"/>
      <c r="H7007" s="56"/>
      <c r="I7007" s="56"/>
      <c r="J7007" s="58"/>
      <c r="K7007" s="58"/>
      <c r="L7007" s="13" t="str">
        <f t="shared" si="1098"/>
        <v/>
      </c>
      <c r="M7007" s="13" t="str">
        <f t="shared" si="1099"/>
        <v/>
      </c>
      <c r="Q7007" t="str">
        <f t="shared" si="1100"/>
        <v/>
      </c>
      <c r="R7007" t="str">
        <f t="shared" si="1101"/>
        <v/>
      </c>
      <c r="S7007" t="str">
        <f t="shared" si="1102"/>
        <v/>
      </c>
      <c r="T7007" t="str">
        <f t="shared" si="1103"/>
        <v/>
      </c>
      <c r="U7007" t="str">
        <f t="shared" si="1104"/>
        <v/>
      </c>
      <c r="V7007" t="str">
        <f t="shared" si="1105"/>
        <v/>
      </c>
      <c r="W7007" t="str">
        <f t="shared" si="1106"/>
        <v/>
      </c>
      <c r="X7007">
        <f t="shared" si="1096"/>
        <v>0</v>
      </c>
      <c r="Z7007" t="str">
        <f t="shared" si="1107"/>
        <v/>
      </c>
      <c r="AA7007">
        <f t="shared" si="1097"/>
        <v>0</v>
      </c>
    </row>
    <row r="7008" spans="1:27" ht="21" customHeight="1" x14ac:dyDescent="0.95">
      <c r="A7008" s="56"/>
      <c r="B7008" s="57"/>
      <c r="C7008" s="57"/>
      <c r="D7008" s="57"/>
      <c r="E7008" s="56"/>
      <c r="F7008" s="57"/>
      <c r="G7008" s="57"/>
      <c r="H7008" s="56"/>
      <c r="I7008" s="56"/>
      <c r="J7008" s="58"/>
      <c r="K7008" s="58"/>
      <c r="L7008" s="13" t="str">
        <f t="shared" si="1098"/>
        <v/>
      </c>
      <c r="M7008" s="13" t="str">
        <f t="shared" si="1099"/>
        <v/>
      </c>
      <c r="Q7008" t="str">
        <f t="shared" si="1100"/>
        <v/>
      </c>
      <c r="R7008" t="str">
        <f t="shared" si="1101"/>
        <v/>
      </c>
      <c r="S7008" t="str">
        <f t="shared" si="1102"/>
        <v/>
      </c>
      <c r="T7008" t="str">
        <f t="shared" si="1103"/>
        <v/>
      </c>
      <c r="U7008" t="str">
        <f t="shared" si="1104"/>
        <v/>
      </c>
      <c r="V7008" t="str">
        <f t="shared" si="1105"/>
        <v/>
      </c>
      <c r="W7008" t="str">
        <f t="shared" si="1106"/>
        <v/>
      </c>
      <c r="X7008">
        <f t="shared" si="1096"/>
        <v>0</v>
      </c>
      <c r="Z7008" t="str">
        <f t="shared" si="1107"/>
        <v/>
      </c>
      <c r="AA7008">
        <f t="shared" si="1097"/>
        <v>0</v>
      </c>
    </row>
    <row r="7009" spans="1:27" ht="21" customHeight="1" x14ac:dyDescent="0.95">
      <c r="A7009" s="56"/>
      <c r="B7009" s="57"/>
      <c r="C7009" s="57"/>
      <c r="D7009" s="57"/>
      <c r="E7009" s="56"/>
      <c r="F7009" s="57"/>
      <c r="G7009" s="57"/>
      <c r="H7009" s="56"/>
      <c r="I7009" s="56"/>
      <c r="J7009" s="58"/>
      <c r="K7009" s="58"/>
      <c r="L7009" s="13" t="str">
        <f t="shared" si="1098"/>
        <v/>
      </c>
      <c r="M7009" s="13" t="str">
        <f t="shared" si="1099"/>
        <v/>
      </c>
      <c r="Q7009" t="str">
        <f t="shared" si="1100"/>
        <v/>
      </c>
      <c r="R7009" t="str">
        <f t="shared" si="1101"/>
        <v/>
      </c>
      <c r="S7009" t="str">
        <f t="shared" si="1102"/>
        <v/>
      </c>
      <c r="T7009" t="str">
        <f t="shared" si="1103"/>
        <v/>
      </c>
      <c r="U7009" t="str">
        <f t="shared" si="1104"/>
        <v/>
      </c>
      <c r="V7009" t="str">
        <f t="shared" si="1105"/>
        <v/>
      </c>
      <c r="W7009" t="str">
        <f t="shared" si="1106"/>
        <v/>
      </c>
      <c r="X7009">
        <f t="shared" si="1096"/>
        <v>0</v>
      </c>
      <c r="Z7009" t="str">
        <f t="shared" si="1107"/>
        <v/>
      </c>
      <c r="AA7009">
        <f t="shared" si="1097"/>
        <v>0</v>
      </c>
    </row>
    <row r="7010" spans="1:27" ht="21" customHeight="1" x14ac:dyDescent="0.95">
      <c r="A7010" s="56"/>
      <c r="B7010" s="57"/>
      <c r="C7010" s="57"/>
      <c r="D7010" s="57"/>
      <c r="E7010" s="56"/>
      <c r="F7010" s="57"/>
      <c r="G7010" s="57"/>
      <c r="H7010" s="56"/>
      <c r="I7010" s="56"/>
      <c r="J7010" s="58"/>
      <c r="K7010" s="58"/>
      <c r="L7010" s="13" t="str">
        <f t="shared" si="1098"/>
        <v/>
      </c>
      <c r="M7010" s="13" t="str">
        <f t="shared" si="1099"/>
        <v/>
      </c>
      <c r="Q7010" t="str">
        <f t="shared" si="1100"/>
        <v/>
      </c>
      <c r="R7010" t="str">
        <f t="shared" si="1101"/>
        <v/>
      </c>
      <c r="S7010" t="str">
        <f t="shared" si="1102"/>
        <v/>
      </c>
      <c r="T7010" t="str">
        <f t="shared" si="1103"/>
        <v/>
      </c>
      <c r="U7010" t="str">
        <f t="shared" si="1104"/>
        <v/>
      </c>
      <c r="V7010" t="str">
        <f t="shared" si="1105"/>
        <v/>
      </c>
      <c r="W7010" t="str">
        <f t="shared" si="1106"/>
        <v/>
      </c>
      <c r="X7010">
        <f t="shared" si="1096"/>
        <v>0</v>
      </c>
      <c r="Z7010" t="str">
        <f t="shared" si="1107"/>
        <v/>
      </c>
      <c r="AA7010">
        <f t="shared" si="1097"/>
        <v>0</v>
      </c>
    </row>
    <row r="7011" spans="1:27" ht="21" customHeight="1" x14ac:dyDescent="0.95">
      <c r="A7011" s="56"/>
      <c r="B7011" s="57"/>
      <c r="C7011" s="57"/>
      <c r="D7011" s="57"/>
      <c r="E7011" s="56"/>
      <c r="F7011" s="57"/>
      <c r="G7011" s="57"/>
      <c r="H7011" s="56"/>
      <c r="I7011" s="56"/>
      <c r="J7011" s="58"/>
      <c r="K7011" s="58"/>
      <c r="L7011" s="13" t="str">
        <f t="shared" si="1098"/>
        <v/>
      </c>
      <c r="M7011" s="13" t="str">
        <f t="shared" si="1099"/>
        <v/>
      </c>
      <c r="Q7011" t="str">
        <f t="shared" si="1100"/>
        <v/>
      </c>
      <c r="R7011" t="str">
        <f t="shared" si="1101"/>
        <v/>
      </c>
      <c r="S7011" t="str">
        <f t="shared" si="1102"/>
        <v/>
      </c>
      <c r="T7011" t="str">
        <f t="shared" si="1103"/>
        <v/>
      </c>
      <c r="U7011" t="str">
        <f t="shared" si="1104"/>
        <v/>
      </c>
      <c r="V7011" t="str">
        <f t="shared" si="1105"/>
        <v/>
      </c>
      <c r="W7011" t="str">
        <f t="shared" si="1106"/>
        <v/>
      </c>
      <c r="X7011">
        <f t="shared" si="1096"/>
        <v>0</v>
      </c>
      <c r="Z7011" t="str">
        <f t="shared" si="1107"/>
        <v/>
      </c>
      <c r="AA7011">
        <f t="shared" si="1097"/>
        <v>0</v>
      </c>
    </row>
    <row r="7012" spans="1:27" ht="21" customHeight="1" x14ac:dyDescent="0.95">
      <c r="A7012" s="56"/>
      <c r="B7012" s="57"/>
      <c r="C7012" s="57"/>
      <c r="D7012" s="57"/>
      <c r="E7012" s="56"/>
      <c r="F7012" s="57"/>
      <c r="G7012" s="57"/>
      <c r="H7012" s="56"/>
      <c r="I7012" s="56"/>
      <c r="J7012" s="58"/>
      <c r="K7012" s="58"/>
      <c r="L7012" s="13" t="str">
        <f t="shared" si="1098"/>
        <v/>
      </c>
      <c r="M7012" s="13" t="str">
        <f t="shared" si="1099"/>
        <v/>
      </c>
      <c r="Q7012" t="str">
        <f t="shared" si="1100"/>
        <v/>
      </c>
      <c r="R7012" t="str">
        <f t="shared" si="1101"/>
        <v/>
      </c>
      <c r="S7012" t="str">
        <f t="shared" si="1102"/>
        <v/>
      </c>
      <c r="T7012" t="str">
        <f t="shared" si="1103"/>
        <v/>
      </c>
      <c r="U7012" t="str">
        <f t="shared" si="1104"/>
        <v/>
      </c>
      <c r="V7012" t="str">
        <f t="shared" si="1105"/>
        <v/>
      </c>
      <c r="W7012" t="str">
        <f t="shared" si="1106"/>
        <v/>
      </c>
      <c r="X7012">
        <f t="shared" si="1096"/>
        <v>0</v>
      </c>
      <c r="Z7012" t="str">
        <f t="shared" si="1107"/>
        <v/>
      </c>
      <c r="AA7012">
        <f t="shared" si="1097"/>
        <v>0</v>
      </c>
    </row>
    <row r="7013" spans="1:27" ht="21" customHeight="1" x14ac:dyDescent="0.95">
      <c r="A7013" s="56"/>
      <c r="B7013" s="57"/>
      <c r="C7013" s="57"/>
      <c r="D7013" s="57"/>
      <c r="E7013" s="56"/>
      <c r="F7013" s="57"/>
      <c r="G7013" s="57"/>
      <c r="H7013" s="56"/>
      <c r="I7013" s="56"/>
      <c r="J7013" s="58"/>
      <c r="K7013" s="58"/>
      <c r="L7013" s="13" t="str">
        <f t="shared" si="1098"/>
        <v/>
      </c>
      <c r="M7013" s="13" t="str">
        <f t="shared" si="1099"/>
        <v/>
      </c>
      <c r="Q7013" t="str">
        <f t="shared" si="1100"/>
        <v/>
      </c>
      <c r="R7013" t="str">
        <f t="shared" si="1101"/>
        <v/>
      </c>
      <c r="S7013" t="str">
        <f t="shared" si="1102"/>
        <v/>
      </c>
      <c r="T7013" t="str">
        <f t="shared" si="1103"/>
        <v/>
      </c>
      <c r="U7013" t="str">
        <f t="shared" si="1104"/>
        <v/>
      </c>
      <c r="V7013" t="str">
        <f t="shared" si="1105"/>
        <v/>
      </c>
      <c r="W7013" t="str">
        <f t="shared" si="1106"/>
        <v/>
      </c>
      <c r="X7013">
        <f t="shared" si="1096"/>
        <v>0</v>
      </c>
      <c r="Z7013" t="str">
        <f t="shared" si="1107"/>
        <v/>
      </c>
      <c r="AA7013">
        <f t="shared" si="1097"/>
        <v>0</v>
      </c>
    </row>
    <row r="7014" spans="1:27" ht="21" customHeight="1" x14ac:dyDescent="0.95">
      <c r="A7014" s="56"/>
      <c r="B7014" s="57"/>
      <c r="C7014" s="57"/>
      <c r="D7014" s="57"/>
      <c r="E7014" s="56"/>
      <c r="F7014" s="57"/>
      <c r="G7014" s="57"/>
      <c r="H7014" s="56"/>
      <c r="I7014" s="56"/>
      <c r="J7014" s="58"/>
      <c r="K7014" s="58"/>
      <c r="L7014" s="13" t="str">
        <f t="shared" si="1098"/>
        <v/>
      </c>
      <c r="M7014" s="13" t="str">
        <f t="shared" si="1099"/>
        <v/>
      </c>
      <c r="Q7014" t="str">
        <f t="shared" si="1100"/>
        <v/>
      </c>
      <c r="R7014" t="str">
        <f t="shared" si="1101"/>
        <v/>
      </c>
      <c r="S7014" t="str">
        <f t="shared" si="1102"/>
        <v/>
      </c>
      <c r="T7014" t="str">
        <f t="shared" si="1103"/>
        <v/>
      </c>
      <c r="U7014" t="str">
        <f t="shared" si="1104"/>
        <v/>
      </c>
      <c r="V7014" t="str">
        <f t="shared" si="1105"/>
        <v/>
      </c>
      <c r="W7014" t="str">
        <f t="shared" si="1106"/>
        <v/>
      </c>
      <c r="X7014">
        <f t="shared" si="1096"/>
        <v>0</v>
      </c>
      <c r="Z7014" t="str">
        <f t="shared" si="1107"/>
        <v/>
      </c>
      <c r="AA7014">
        <f t="shared" si="1097"/>
        <v>0</v>
      </c>
    </row>
    <row r="7015" spans="1:27" ht="21" customHeight="1" x14ac:dyDescent="0.95">
      <c r="A7015" s="56"/>
      <c r="B7015" s="57"/>
      <c r="C7015" s="57"/>
      <c r="D7015" s="57"/>
      <c r="E7015" s="56"/>
      <c r="F7015" s="57"/>
      <c r="G7015" s="57"/>
      <c r="H7015" s="56"/>
      <c r="I7015" s="56"/>
      <c r="J7015" s="58"/>
      <c r="K7015" s="58"/>
      <c r="L7015" s="13" t="str">
        <f t="shared" si="1098"/>
        <v/>
      </c>
      <c r="M7015" s="13" t="str">
        <f t="shared" si="1099"/>
        <v/>
      </c>
      <c r="Q7015" t="str">
        <f t="shared" si="1100"/>
        <v/>
      </c>
      <c r="R7015" t="str">
        <f t="shared" si="1101"/>
        <v/>
      </c>
      <c r="S7015" t="str">
        <f t="shared" si="1102"/>
        <v/>
      </c>
      <c r="T7015" t="str">
        <f t="shared" si="1103"/>
        <v/>
      </c>
      <c r="U7015" t="str">
        <f t="shared" si="1104"/>
        <v/>
      </c>
      <c r="V7015" t="str">
        <f t="shared" si="1105"/>
        <v/>
      </c>
      <c r="W7015" t="str">
        <f t="shared" si="1106"/>
        <v/>
      </c>
      <c r="X7015">
        <f t="shared" si="1096"/>
        <v>0</v>
      </c>
      <c r="Z7015" t="str">
        <f t="shared" si="1107"/>
        <v/>
      </c>
      <c r="AA7015">
        <f t="shared" si="1097"/>
        <v>0</v>
      </c>
    </row>
    <row r="7016" spans="1:27" ht="21" customHeight="1" x14ac:dyDescent="0.95">
      <c r="A7016" s="56"/>
      <c r="B7016" s="57"/>
      <c r="C7016" s="57"/>
      <c r="D7016" s="57"/>
      <c r="E7016" s="56"/>
      <c r="F7016" s="57"/>
      <c r="G7016" s="57"/>
      <c r="H7016" s="56"/>
      <c r="I7016" s="56"/>
      <c r="J7016" s="58"/>
      <c r="K7016" s="58"/>
      <c r="L7016" s="13" t="str">
        <f t="shared" si="1098"/>
        <v/>
      </c>
      <c r="M7016" s="13" t="str">
        <f t="shared" si="1099"/>
        <v/>
      </c>
      <c r="Q7016" t="str">
        <f t="shared" si="1100"/>
        <v/>
      </c>
      <c r="R7016" t="str">
        <f t="shared" si="1101"/>
        <v/>
      </c>
      <c r="S7016" t="str">
        <f t="shared" si="1102"/>
        <v/>
      </c>
      <c r="T7016" t="str">
        <f t="shared" si="1103"/>
        <v/>
      </c>
      <c r="U7016" t="str">
        <f t="shared" si="1104"/>
        <v/>
      </c>
      <c r="V7016" t="str">
        <f t="shared" si="1105"/>
        <v/>
      </c>
      <c r="W7016" t="str">
        <f t="shared" si="1106"/>
        <v/>
      </c>
      <c r="X7016">
        <f t="shared" si="1096"/>
        <v>0</v>
      </c>
      <c r="Z7016" t="str">
        <f t="shared" si="1107"/>
        <v/>
      </c>
      <c r="AA7016">
        <f t="shared" si="1097"/>
        <v>0</v>
      </c>
    </row>
    <row r="7017" spans="1:27" ht="21" customHeight="1" x14ac:dyDescent="0.95">
      <c r="A7017" s="56"/>
      <c r="B7017" s="57"/>
      <c r="C7017" s="57"/>
      <c r="D7017" s="57"/>
      <c r="E7017" s="56"/>
      <c r="F7017" s="57"/>
      <c r="G7017" s="57"/>
      <c r="H7017" s="56"/>
      <c r="I7017" s="56"/>
      <c r="J7017" s="58"/>
      <c r="K7017" s="58"/>
      <c r="L7017" s="13" t="str">
        <f t="shared" si="1098"/>
        <v/>
      </c>
      <c r="M7017" s="13" t="str">
        <f t="shared" si="1099"/>
        <v/>
      </c>
      <c r="Q7017" t="str">
        <f t="shared" si="1100"/>
        <v/>
      </c>
      <c r="R7017" t="str">
        <f t="shared" si="1101"/>
        <v/>
      </c>
      <c r="S7017" t="str">
        <f t="shared" si="1102"/>
        <v/>
      </c>
      <c r="T7017" t="str">
        <f t="shared" si="1103"/>
        <v/>
      </c>
      <c r="U7017" t="str">
        <f t="shared" si="1104"/>
        <v/>
      </c>
      <c r="V7017" t="str">
        <f t="shared" si="1105"/>
        <v/>
      </c>
      <c r="W7017" t="str">
        <f t="shared" si="1106"/>
        <v/>
      </c>
      <c r="X7017">
        <f t="shared" si="1096"/>
        <v>0</v>
      </c>
      <c r="Z7017" t="str">
        <f t="shared" si="1107"/>
        <v/>
      </c>
      <c r="AA7017">
        <f t="shared" si="1097"/>
        <v>0</v>
      </c>
    </row>
    <row r="7018" spans="1:27" ht="21" customHeight="1" x14ac:dyDescent="0.95">
      <c r="A7018" s="56"/>
      <c r="B7018" s="57"/>
      <c r="C7018" s="57"/>
      <c r="D7018" s="57"/>
      <c r="E7018" s="56"/>
      <c r="F7018" s="57"/>
      <c r="G7018" s="57"/>
      <c r="H7018" s="56"/>
      <c r="I7018" s="56"/>
      <c r="J7018" s="58"/>
      <c r="K7018" s="58"/>
      <c r="L7018" s="13" t="str">
        <f t="shared" si="1098"/>
        <v/>
      </c>
      <c r="M7018" s="13" t="str">
        <f t="shared" si="1099"/>
        <v/>
      </c>
      <c r="Q7018" t="str">
        <f t="shared" si="1100"/>
        <v/>
      </c>
      <c r="R7018" t="str">
        <f t="shared" si="1101"/>
        <v/>
      </c>
      <c r="S7018" t="str">
        <f t="shared" si="1102"/>
        <v/>
      </c>
      <c r="T7018" t="str">
        <f t="shared" si="1103"/>
        <v/>
      </c>
      <c r="U7018" t="str">
        <f t="shared" si="1104"/>
        <v/>
      </c>
      <c r="V7018" t="str">
        <f t="shared" si="1105"/>
        <v/>
      </c>
      <c r="W7018" t="str">
        <f t="shared" si="1106"/>
        <v/>
      </c>
      <c r="X7018">
        <f t="shared" si="1096"/>
        <v>0</v>
      </c>
      <c r="Z7018" t="str">
        <f t="shared" si="1107"/>
        <v/>
      </c>
      <c r="AA7018">
        <f t="shared" si="1097"/>
        <v>0</v>
      </c>
    </row>
    <row r="7019" spans="1:27" ht="21" customHeight="1" x14ac:dyDescent="0.95">
      <c r="A7019" s="56"/>
      <c r="B7019" s="57"/>
      <c r="C7019" s="57"/>
      <c r="D7019" s="57"/>
      <c r="E7019" s="56"/>
      <c r="F7019" s="57"/>
      <c r="G7019" s="57"/>
      <c r="H7019" s="56"/>
      <c r="I7019" s="56"/>
      <c r="J7019" s="58"/>
      <c r="K7019" s="58"/>
      <c r="L7019" s="13" t="str">
        <f t="shared" si="1098"/>
        <v/>
      </c>
      <c r="M7019" s="13" t="str">
        <f t="shared" si="1099"/>
        <v/>
      </c>
      <c r="Q7019" t="str">
        <f t="shared" si="1100"/>
        <v/>
      </c>
      <c r="R7019" t="str">
        <f t="shared" si="1101"/>
        <v/>
      </c>
      <c r="S7019" t="str">
        <f t="shared" si="1102"/>
        <v/>
      </c>
      <c r="T7019" t="str">
        <f t="shared" si="1103"/>
        <v/>
      </c>
      <c r="U7019" t="str">
        <f t="shared" si="1104"/>
        <v/>
      </c>
      <c r="V7019" t="str">
        <f t="shared" si="1105"/>
        <v/>
      </c>
      <c r="W7019" t="str">
        <f t="shared" si="1106"/>
        <v/>
      </c>
      <c r="X7019">
        <f t="shared" si="1096"/>
        <v>0</v>
      </c>
      <c r="Z7019" t="str">
        <f t="shared" si="1107"/>
        <v/>
      </c>
      <c r="AA7019">
        <f t="shared" si="1097"/>
        <v>0</v>
      </c>
    </row>
    <row r="7020" spans="1:27" ht="21" customHeight="1" x14ac:dyDescent="0.95">
      <c r="A7020" s="56"/>
      <c r="B7020" s="57"/>
      <c r="C7020" s="57"/>
      <c r="D7020" s="57"/>
      <c r="E7020" s="56"/>
      <c r="F7020" s="57"/>
      <c r="G7020" s="57"/>
      <c r="H7020" s="56"/>
      <c r="I7020" s="56"/>
      <c r="J7020" s="58"/>
      <c r="K7020" s="58"/>
      <c r="L7020" s="13" t="str">
        <f t="shared" si="1098"/>
        <v/>
      </c>
      <c r="M7020" s="13" t="str">
        <f t="shared" si="1099"/>
        <v/>
      </c>
      <c r="Q7020" t="str">
        <f t="shared" si="1100"/>
        <v/>
      </c>
      <c r="R7020" t="str">
        <f t="shared" si="1101"/>
        <v/>
      </c>
      <c r="S7020" t="str">
        <f t="shared" si="1102"/>
        <v/>
      </c>
      <c r="T7020" t="str">
        <f t="shared" si="1103"/>
        <v/>
      </c>
      <c r="U7020" t="str">
        <f t="shared" si="1104"/>
        <v/>
      </c>
      <c r="V7020" t="str">
        <f t="shared" si="1105"/>
        <v/>
      </c>
      <c r="W7020" t="str">
        <f t="shared" si="1106"/>
        <v/>
      </c>
      <c r="X7020">
        <f t="shared" si="1096"/>
        <v>0</v>
      </c>
      <c r="Z7020" t="str">
        <f t="shared" si="1107"/>
        <v/>
      </c>
      <c r="AA7020">
        <f t="shared" si="1097"/>
        <v>0</v>
      </c>
    </row>
    <row r="7021" spans="1:27" ht="21" customHeight="1" x14ac:dyDescent="0.95">
      <c r="A7021" s="56"/>
      <c r="B7021" s="57"/>
      <c r="C7021" s="57"/>
      <c r="D7021" s="57"/>
      <c r="E7021" s="56"/>
      <c r="F7021" s="57"/>
      <c r="G7021" s="57"/>
      <c r="H7021" s="56"/>
      <c r="I7021" s="56"/>
      <c r="J7021" s="58"/>
      <c r="K7021" s="58"/>
      <c r="L7021" s="13" t="str">
        <f t="shared" si="1098"/>
        <v/>
      </c>
      <c r="M7021" s="13" t="str">
        <f t="shared" si="1099"/>
        <v/>
      </c>
      <c r="Q7021" t="str">
        <f t="shared" si="1100"/>
        <v/>
      </c>
      <c r="R7021" t="str">
        <f t="shared" si="1101"/>
        <v/>
      </c>
      <c r="S7021" t="str">
        <f t="shared" si="1102"/>
        <v/>
      </c>
      <c r="T7021" t="str">
        <f t="shared" si="1103"/>
        <v/>
      </c>
      <c r="U7021" t="str">
        <f t="shared" si="1104"/>
        <v/>
      </c>
      <c r="V7021" t="str">
        <f t="shared" si="1105"/>
        <v/>
      </c>
      <c r="W7021" t="str">
        <f t="shared" si="1106"/>
        <v/>
      </c>
      <c r="X7021">
        <f t="shared" si="1096"/>
        <v>0</v>
      </c>
      <c r="Z7021" t="str">
        <f t="shared" si="1107"/>
        <v/>
      </c>
      <c r="AA7021">
        <f t="shared" si="1097"/>
        <v>0</v>
      </c>
    </row>
    <row r="7022" spans="1:27" ht="21" customHeight="1" x14ac:dyDescent="0.95">
      <c r="A7022" s="56"/>
      <c r="B7022" s="57"/>
      <c r="C7022" s="57"/>
      <c r="D7022" s="57"/>
      <c r="E7022" s="56"/>
      <c r="F7022" s="57"/>
      <c r="G7022" s="57"/>
      <c r="H7022" s="56"/>
      <c r="I7022" s="56"/>
      <c r="J7022" s="58"/>
      <c r="K7022" s="58"/>
      <c r="L7022" s="13" t="str">
        <f t="shared" si="1098"/>
        <v/>
      </c>
      <c r="M7022" s="13" t="str">
        <f t="shared" si="1099"/>
        <v/>
      </c>
      <c r="Q7022" t="str">
        <f t="shared" si="1100"/>
        <v/>
      </c>
      <c r="R7022" t="str">
        <f t="shared" si="1101"/>
        <v/>
      </c>
      <c r="S7022" t="str">
        <f t="shared" si="1102"/>
        <v/>
      </c>
      <c r="T7022" t="str">
        <f t="shared" si="1103"/>
        <v/>
      </c>
      <c r="U7022" t="str">
        <f t="shared" si="1104"/>
        <v/>
      </c>
      <c r="V7022" t="str">
        <f t="shared" si="1105"/>
        <v/>
      </c>
      <c r="W7022" t="str">
        <f t="shared" si="1106"/>
        <v/>
      </c>
      <c r="X7022">
        <f t="shared" si="1096"/>
        <v>0</v>
      </c>
      <c r="Z7022" t="str">
        <f t="shared" si="1107"/>
        <v/>
      </c>
      <c r="AA7022">
        <f t="shared" si="1097"/>
        <v>0</v>
      </c>
    </row>
    <row r="7023" spans="1:27" ht="21" customHeight="1" x14ac:dyDescent="0.95">
      <c r="A7023" s="56"/>
      <c r="B7023" s="57"/>
      <c r="C7023" s="57"/>
      <c r="D7023" s="57"/>
      <c r="E7023" s="56"/>
      <c r="F7023" s="57"/>
      <c r="G7023" s="57"/>
      <c r="H7023" s="56"/>
      <c r="I7023" s="56"/>
      <c r="J7023" s="58"/>
      <c r="K7023" s="58"/>
      <c r="L7023" s="13" t="str">
        <f t="shared" si="1098"/>
        <v/>
      </c>
      <c r="M7023" s="13" t="str">
        <f t="shared" si="1099"/>
        <v/>
      </c>
      <c r="Q7023" t="str">
        <f t="shared" si="1100"/>
        <v/>
      </c>
      <c r="R7023" t="str">
        <f t="shared" si="1101"/>
        <v/>
      </c>
      <c r="S7023" t="str">
        <f t="shared" si="1102"/>
        <v/>
      </c>
      <c r="T7023" t="str">
        <f t="shared" si="1103"/>
        <v/>
      </c>
      <c r="U7023" t="str">
        <f t="shared" si="1104"/>
        <v/>
      </c>
      <c r="V7023" t="str">
        <f t="shared" si="1105"/>
        <v/>
      </c>
      <c r="W7023" t="str">
        <f t="shared" si="1106"/>
        <v/>
      </c>
      <c r="X7023">
        <f t="shared" si="1096"/>
        <v>0</v>
      </c>
      <c r="Z7023" t="str">
        <f t="shared" si="1107"/>
        <v/>
      </c>
      <c r="AA7023">
        <f t="shared" si="1097"/>
        <v>0</v>
      </c>
    </row>
    <row r="7024" spans="1:27" ht="21" customHeight="1" x14ac:dyDescent="0.95">
      <c r="A7024" s="56"/>
      <c r="B7024" s="57"/>
      <c r="C7024" s="57"/>
      <c r="D7024" s="57"/>
      <c r="E7024" s="56"/>
      <c r="F7024" s="57"/>
      <c r="G7024" s="57"/>
      <c r="H7024" s="56"/>
      <c r="I7024" s="56"/>
      <c r="J7024" s="58"/>
      <c r="K7024" s="58"/>
      <c r="L7024" s="13" t="str">
        <f t="shared" si="1098"/>
        <v/>
      </c>
      <c r="M7024" s="13" t="str">
        <f t="shared" si="1099"/>
        <v/>
      </c>
      <c r="Q7024" t="str">
        <f t="shared" si="1100"/>
        <v/>
      </c>
      <c r="R7024" t="str">
        <f t="shared" si="1101"/>
        <v/>
      </c>
      <c r="S7024" t="str">
        <f t="shared" si="1102"/>
        <v/>
      </c>
      <c r="T7024" t="str">
        <f t="shared" si="1103"/>
        <v/>
      </c>
      <c r="U7024" t="str">
        <f t="shared" si="1104"/>
        <v/>
      </c>
      <c r="V7024" t="str">
        <f t="shared" si="1105"/>
        <v/>
      </c>
      <c r="W7024" t="str">
        <f t="shared" si="1106"/>
        <v/>
      </c>
      <c r="X7024">
        <f t="shared" si="1096"/>
        <v>0</v>
      </c>
      <c r="Z7024" t="str">
        <f t="shared" si="1107"/>
        <v/>
      </c>
      <c r="AA7024">
        <f t="shared" si="1097"/>
        <v>0</v>
      </c>
    </row>
    <row r="7025" spans="1:27" ht="21" customHeight="1" x14ac:dyDescent="0.95">
      <c r="A7025" s="56"/>
      <c r="B7025" s="57"/>
      <c r="C7025" s="57"/>
      <c r="D7025" s="57"/>
      <c r="E7025" s="56"/>
      <c r="F7025" s="57"/>
      <c r="G7025" s="57"/>
      <c r="H7025" s="56"/>
      <c r="I7025" s="56"/>
      <c r="J7025" s="58"/>
      <c r="K7025" s="58"/>
      <c r="L7025" s="13" t="str">
        <f t="shared" si="1098"/>
        <v/>
      </c>
      <c r="M7025" s="13" t="str">
        <f t="shared" si="1099"/>
        <v/>
      </c>
      <c r="Q7025" t="str">
        <f t="shared" si="1100"/>
        <v/>
      </c>
      <c r="R7025" t="str">
        <f t="shared" si="1101"/>
        <v/>
      </c>
      <c r="S7025" t="str">
        <f t="shared" si="1102"/>
        <v/>
      </c>
      <c r="T7025" t="str">
        <f t="shared" si="1103"/>
        <v/>
      </c>
      <c r="U7025" t="str">
        <f t="shared" si="1104"/>
        <v/>
      </c>
      <c r="V7025" t="str">
        <f t="shared" si="1105"/>
        <v/>
      </c>
      <c r="W7025" t="str">
        <f t="shared" si="1106"/>
        <v/>
      </c>
      <c r="X7025">
        <f t="shared" si="1096"/>
        <v>0</v>
      </c>
      <c r="Z7025" t="str">
        <f t="shared" si="1107"/>
        <v/>
      </c>
      <c r="AA7025">
        <f t="shared" si="1097"/>
        <v>0</v>
      </c>
    </row>
    <row r="7026" spans="1:27" ht="21" customHeight="1" x14ac:dyDescent="0.95">
      <c r="A7026" s="56"/>
      <c r="B7026" s="57"/>
      <c r="C7026" s="57"/>
      <c r="D7026" s="57"/>
      <c r="E7026" s="56"/>
      <c r="F7026" s="57"/>
      <c r="G7026" s="57"/>
      <c r="H7026" s="56"/>
      <c r="I7026" s="56"/>
      <c r="J7026" s="58"/>
      <c r="K7026" s="58"/>
      <c r="L7026" s="13" t="str">
        <f t="shared" si="1098"/>
        <v/>
      </c>
      <c r="M7026" s="13" t="str">
        <f t="shared" si="1099"/>
        <v/>
      </c>
      <c r="Q7026" t="str">
        <f t="shared" si="1100"/>
        <v/>
      </c>
      <c r="R7026" t="str">
        <f t="shared" si="1101"/>
        <v/>
      </c>
      <c r="S7026" t="str">
        <f t="shared" si="1102"/>
        <v/>
      </c>
      <c r="T7026" t="str">
        <f t="shared" si="1103"/>
        <v/>
      </c>
      <c r="U7026" t="str">
        <f t="shared" si="1104"/>
        <v/>
      </c>
      <c r="V7026" t="str">
        <f t="shared" si="1105"/>
        <v/>
      </c>
      <c r="W7026" t="str">
        <f t="shared" si="1106"/>
        <v/>
      </c>
      <c r="X7026">
        <f t="shared" si="1096"/>
        <v>0</v>
      </c>
      <c r="Z7026" t="str">
        <f t="shared" si="1107"/>
        <v/>
      </c>
      <c r="AA7026">
        <f t="shared" si="1097"/>
        <v>0</v>
      </c>
    </row>
    <row r="7027" spans="1:27" ht="21" customHeight="1" x14ac:dyDescent="0.95">
      <c r="A7027" s="56"/>
      <c r="B7027" s="57"/>
      <c r="C7027" s="57"/>
      <c r="D7027" s="57"/>
      <c r="E7027" s="56"/>
      <c r="F7027" s="57"/>
      <c r="G7027" s="57"/>
      <c r="H7027" s="56"/>
      <c r="I7027" s="56"/>
      <c r="J7027" s="58"/>
      <c r="K7027" s="58"/>
      <c r="L7027" s="13" t="str">
        <f t="shared" si="1098"/>
        <v/>
      </c>
      <c r="M7027" s="13" t="str">
        <f t="shared" si="1099"/>
        <v/>
      </c>
      <c r="Q7027" t="str">
        <f t="shared" si="1100"/>
        <v/>
      </c>
      <c r="R7027" t="str">
        <f t="shared" si="1101"/>
        <v/>
      </c>
      <c r="S7027" t="str">
        <f t="shared" si="1102"/>
        <v/>
      </c>
      <c r="T7027" t="str">
        <f t="shared" si="1103"/>
        <v/>
      </c>
      <c r="U7027" t="str">
        <f t="shared" si="1104"/>
        <v/>
      </c>
      <c r="V7027" t="str">
        <f t="shared" si="1105"/>
        <v/>
      </c>
      <c r="W7027" t="str">
        <f t="shared" si="1106"/>
        <v/>
      </c>
      <c r="X7027">
        <f t="shared" si="1096"/>
        <v>0</v>
      </c>
      <c r="Z7027" t="str">
        <f t="shared" si="1107"/>
        <v/>
      </c>
      <c r="AA7027">
        <f t="shared" si="1097"/>
        <v>0</v>
      </c>
    </row>
    <row r="7028" spans="1:27" ht="21" customHeight="1" x14ac:dyDescent="0.95">
      <c r="A7028" s="56"/>
      <c r="B7028" s="57"/>
      <c r="C7028" s="57"/>
      <c r="D7028" s="57"/>
      <c r="E7028" s="56"/>
      <c r="F7028" s="57"/>
      <c r="G7028" s="57"/>
      <c r="H7028" s="56"/>
      <c r="I7028" s="56"/>
      <c r="J7028" s="58"/>
      <c r="K7028" s="58"/>
      <c r="L7028" s="13" t="str">
        <f t="shared" si="1098"/>
        <v/>
      </c>
      <c r="M7028" s="13" t="str">
        <f t="shared" si="1099"/>
        <v/>
      </c>
      <c r="Q7028" t="str">
        <f t="shared" si="1100"/>
        <v/>
      </c>
      <c r="R7028" t="str">
        <f t="shared" si="1101"/>
        <v/>
      </c>
      <c r="S7028" t="str">
        <f t="shared" si="1102"/>
        <v/>
      </c>
      <c r="T7028" t="str">
        <f t="shared" si="1103"/>
        <v/>
      </c>
      <c r="U7028" t="str">
        <f t="shared" si="1104"/>
        <v/>
      </c>
      <c r="V7028" t="str">
        <f t="shared" si="1105"/>
        <v/>
      </c>
      <c r="W7028" t="str">
        <f t="shared" si="1106"/>
        <v/>
      </c>
      <c r="X7028">
        <f t="shared" si="1096"/>
        <v>0</v>
      </c>
      <c r="Z7028" t="str">
        <f t="shared" si="1107"/>
        <v/>
      </c>
      <c r="AA7028">
        <f t="shared" si="1097"/>
        <v>0</v>
      </c>
    </row>
    <row r="7029" spans="1:27" ht="21" customHeight="1" x14ac:dyDescent="0.95">
      <c r="A7029" s="56"/>
      <c r="B7029" s="57"/>
      <c r="C7029" s="57"/>
      <c r="D7029" s="57"/>
      <c r="E7029" s="56"/>
      <c r="F7029" s="57"/>
      <c r="G7029" s="57"/>
      <c r="H7029" s="56"/>
      <c r="I7029" s="56"/>
      <c r="J7029" s="58"/>
      <c r="K7029" s="58"/>
      <c r="L7029" s="13" t="str">
        <f t="shared" si="1098"/>
        <v/>
      </c>
      <c r="M7029" s="13" t="str">
        <f t="shared" si="1099"/>
        <v/>
      </c>
      <c r="Q7029" t="str">
        <f t="shared" si="1100"/>
        <v/>
      </c>
      <c r="R7029" t="str">
        <f t="shared" si="1101"/>
        <v/>
      </c>
      <c r="S7029" t="str">
        <f t="shared" si="1102"/>
        <v/>
      </c>
      <c r="T7029" t="str">
        <f t="shared" si="1103"/>
        <v/>
      </c>
      <c r="U7029" t="str">
        <f t="shared" si="1104"/>
        <v/>
      </c>
      <c r="V7029" t="str">
        <f t="shared" si="1105"/>
        <v/>
      </c>
      <c r="W7029" t="str">
        <f t="shared" si="1106"/>
        <v/>
      </c>
      <c r="X7029">
        <f t="shared" ref="X7029:X7092" si="1108">IF($T7029="",N($X7028),IF(MATCH($T7029,$T$6:$T$10005,0)=ROW()-5,N($X7028)+1,N($X7028)))</f>
        <v>0</v>
      </c>
      <c r="Z7029" t="str">
        <f t="shared" si="1107"/>
        <v/>
      </c>
      <c r="AA7029">
        <f t="shared" ref="AA7029:AA7092" si="1109">IF($V7029="",N($AA7028),IF(MATCH($V7029,$V$6:$V$10005,0)=ROW()-5,N($AA7028)+1,N($AA7028)))</f>
        <v>0</v>
      </c>
    </row>
    <row r="7030" spans="1:27" ht="21" customHeight="1" x14ac:dyDescent="0.95">
      <c r="A7030" s="56"/>
      <c r="B7030" s="57"/>
      <c r="C7030" s="57"/>
      <c r="D7030" s="57"/>
      <c r="E7030" s="56"/>
      <c r="F7030" s="57"/>
      <c r="G7030" s="57"/>
      <c r="H7030" s="56"/>
      <c r="I7030" s="56"/>
      <c r="J7030" s="58"/>
      <c r="K7030" s="58"/>
      <c r="L7030" s="13" t="str">
        <f t="shared" si="1098"/>
        <v/>
      </c>
      <c r="M7030" s="13" t="str">
        <f t="shared" si="1099"/>
        <v/>
      </c>
      <c r="Q7030" t="str">
        <f t="shared" si="1100"/>
        <v/>
      </c>
      <c r="R7030" t="str">
        <f t="shared" si="1101"/>
        <v/>
      </c>
      <c r="S7030" t="str">
        <f t="shared" si="1102"/>
        <v/>
      </c>
      <c r="T7030" t="str">
        <f t="shared" si="1103"/>
        <v/>
      </c>
      <c r="U7030" t="str">
        <f t="shared" si="1104"/>
        <v/>
      </c>
      <c r="V7030" t="str">
        <f t="shared" si="1105"/>
        <v/>
      </c>
      <c r="W7030" t="str">
        <f t="shared" si="1106"/>
        <v/>
      </c>
      <c r="X7030">
        <f t="shared" si="1108"/>
        <v>0</v>
      </c>
      <c r="Z7030" t="str">
        <f t="shared" si="1107"/>
        <v/>
      </c>
      <c r="AA7030">
        <f t="shared" si="1109"/>
        <v>0</v>
      </c>
    </row>
    <row r="7031" spans="1:27" ht="21" customHeight="1" x14ac:dyDescent="0.95">
      <c r="A7031" s="56"/>
      <c r="B7031" s="57"/>
      <c r="C7031" s="57"/>
      <c r="D7031" s="57"/>
      <c r="E7031" s="56"/>
      <c r="F7031" s="57"/>
      <c r="G7031" s="57"/>
      <c r="H7031" s="56"/>
      <c r="I7031" s="56"/>
      <c r="J7031" s="58"/>
      <c r="K7031" s="58"/>
      <c r="L7031" s="13" t="str">
        <f t="shared" si="1098"/>
        <v/>
      </c>
      <c r="M7031" s="13" t="str">
        <f t="shared" si="1099"/>
        <v/>
      </c>
      <c r="Q7031" t="str">
        <f t="shared" si="1100"/>
        <v/>
      </c>
      <c r="R7031" t="str">
        <f t="shared" si="1101"/>
        <v/>
      </c>
      <c r="S7031" t="str">
        <f t="shared" si="1102"/>
        <v/>
      </c>
      <c r="T7031" t="str">
        <f t="shared" si="1103"/>
        <v/>
      </c>
      <c r="U7031" t="str">
        <f t="shared" si="1104"/>
        <v/>
      </c>
      <c r="V7031" t="str">
        <f t="shared" si="1105"/>
        <v/>
      </c>
      <c r="W7031" t="str">
        <f t="shared" si="1106"/>
        <v/>
      </c>
      <c r="X7031">
        <f t="shared" si="1108"/>
        <v>0</v>
      </c>
      <c r="Z7031" t="str">
        <f t="shared" si="1107"/>
        <v/>
      </c>
      <c r="AA7031">
        <f t="shared" si="1109"/>
        <v>0</v>
      </c>
    </row>
    <row r="7032" spans="1:27" ht="21" customHeight="1" x14ac:dyDescent="0.95">
      <c r="A7032" s="56"/>
      <c r="B7032" s="57"/>
      <c r="C7032" s="57"/>
      <c r="D7032" s="57"/>
      <c r="E7032" s="56"/>
      <c r="F7032" s="57"/>
      <c r="G7032" s="57"/>
      <c r="H7032" s="56"/>
      <c r="I7032" s="56"/>
      <c r="J7032" s="58"/>
      <c r="K7032" s="58"/>
      <c r="L7032" s="13" t="str">
        <f t="shared" si="1098"/>
        <v/>
      </c>
      <c r="M7032" s="13" t="str">
        <f t="shared" si="1099"/>
        <v/>
      </c>
      <c r="Q7032" t="str">
        <f t="shared" si="1100"/>
        <v/>
      </c>
      <c r="R7032" t="str">
        <f t="shared" si="1101"/>
        <v/>
      </c>
      <c r="S7032" t="str">
        <f t="shared" si="1102"/>
        <v/>
      </c>
      <c r="T7032" t="str">
        <f t="shared" si="1103"/>
        <v/>
      </c>
      <c r="U7032" t="str">
        <f t="shared" si="1104"/>
        <v/>
      </c>
      <c r="V7032" t="str">
        <f t="shared" si="1105"/>
        <v/>
      </c>
      <c r="W7032" t="str">
        <f t="shared" si="1106"/>
        <v/>
      </c>
      <c r="X7032">
        <f t="shared" si="1108"/>
        <v>0</v>
      </c>
      <c r="Z7032" t="str">
        <f t="shared" si="1107"/>
        <v/>
      </c>
      <c r="AA7032">
        <f t="shared" si="1109"/>
        <v>0</v>
      </c>
    </row>
    <row r="7033" spans="1:27" ht="21" customHeight="1" x14ac:dyDescent="0.95">
      <c r="A7033" s="56"/>
      <c r="B7033" s="57"/>
      <c r="C7033" s="57"/>
      <c r="D7033" s="57"/>
      <c r="E7033" s="56"/>
      <c r="F7033" s="57"/>
      <c r="G7033" s="57"/>
      <c r="H7033" s="56"/>
      <c r="I7033" s="56"/>
      <c r="J7033" s="58"/>
      <c r="K7033" s="58"/>
      <c r="L7033" s="13" t="str">
        <f t="shared" si="1098"/>
        <v/>
      </c>
      <c r="M7033" s="13" t="str">
        <f t="shared" si="1099"/>
        <v/>
      </c>
      <c r="Q7033" t="str">
        <f t="shared" si="1100"/>
        <v/>
      </c>
      <c r="R7033" t="str">
        <f t="shared" si="1101"/>
        <v/>
      </c>
      <c r="S7033" t="str">
        <f t="shared" si="1102"/>
        <v/>
      </c>
      <c r="T7033" t="str">
        <f t="shared" si="1103"/>
        <v/>
      </c>
      <c r="U7033" t="str">
        <f t="shared" si="1104"/>
        <v/>
      </c>
      <c r="V7033" t="str">
        <f t="shared" si="1105"/>
        <v/>
      </c>
      <c r="W7033" t="str">
        <f t="shared" si="1106"/>
        <v/>
      </c>
      <c r="X7033">
        <f t="shared" si="1108"/>
        <v>0</v>
      </c>
      <c r="Z7033" t="str">
        <f t="shared" si="1107"/>
        <v/>
      </c>
      <c r="AA7033">
        <f t="shared" si="1109"/>
        <v>0</v>
      </c>
    </row>
    <row r="7034" spans="1:27" ht="21" customHeight="1" x14ac:dyDescent="0.95">
      <c r="A7034" s="56"/>
      <c r="B7034" s="57"/>
      <c r="C7034" s="57"/>
      <c r="D7034" s="57"/>
      <c r="E7034" s="56"/>
      <c r="F7034" s="57"/>
      <c r="G7034" s="57"/>
      <c r="H7034" s="56"/>
      <c r="I7034" s="56"/>
      <c r="J7034" s="58"/>
      <c r="K7034" s="58"/>
      <c r="L7034" s="13" t="str">
        <f t="shared" si="1098"/>
        <v/>
      </c>
      <c r="M7034" s="13" t="str">
        <f t="shared" si="1099"/>
        <v/>
      </c>
      <c r="Q7034" t="str">
        <f t="shared" si="1100"/>
        <v/>
      </c>
      <c r="R7034" t="str">
        <f t="shared" si="1101"/>
        <v/>
      </c>
      <c r="S7034" t="str">
        <f t="shared" si="1102"/>
        <v/>
      </c>
      <c r="T7034" t="str">
        <f t="shared" si="1103"/>
        <v/>
      </c>
      <c r="U7034" t="str">
        <f t="shared" si="1104"/>
        <v/>
      </c>
      <c r="V7034" t="str">
        <f t="shared" si="1105"/>
        <v/>
      </c>
      <c r="W7034" t="str">
        <f t="shared" si="1106"/>
        <v/>
      </c>
      <c r="X7034">
        <f t="shared" si="1108"/>
        <v>0</v>
      </c>
      <c r="Z7034" t="str">
        <f t="shared" si="1107"/>
        <v/>
      </c>
      <c r="AA7034">
        <f t="shared" si="1109"/>
        <v>0</v>
      </c>
    </row>
    <row r="7035" spans="1:27" ht="21" customHeight="1" x14ac:dyDescent="0.95">
      <c r="A7035" s="56"/>
      <c r="B7035" s="57"/>
      <c r="C7035" s="57"/>
      <c r="D7035" s="57"/>
      <c r="E7035" s="56"/>
      <c r="F7035" s="57"/>
      <c r="G7035" s="57"/>
      <c r="H7035" s="56"/>
      <c r="I7035" s="56"/>
      <c r="J7035" s="58"/>
      <c r="K7035" s="58"/>
      <c r="L7035" s="13" t="str">
        <f t="shared" si="1098"/>
        <v/>
      </c>
      <c r="M7035" s="13" t="str">
        <f t="shared" si="1099"/>
        <v/>
      </c>
      <c r="Q7035" t="str">
        <f t="shared" si="1100"/>
        <v/>
      </c>
      <c r="R7035" t="str">
        <f t="shared" si="1101"/>
        <v/>
      </c>
      <c r="S7035" t="str">
        <f t="shared" si="1102"/>
        <v/>
      </c>
      <c r="T7035" t="str">
        <f t="shared" si="1103"/>
        <v/>
      </c>
      <c r="U7035" t="str">
        <f t="shared" si="1104"/>
        <v/>
      </c>
      <c r="V7035" t="str">
        <f t="shared" si="1105"/>
        <v/>
      </c>
      <c r="W7035" t="str">
        <f t="shared" si="1106"/>
        <v/>
      </c>
      <c r="X7035">
        <f t="shared" si="1108"/>
        <v>0</v>
      </c>
      <c r="Z7035" t="str">
        <f t="shared" si="1107"/>
        <v/>
      </c>
      <c r="AA7035">
        <f t="shared" si="1109"/>
        <v>0</v>
      </c>
    </row>
    <row r="7036" spans="1:27" ht="21" customHeight="1" x14ac:dyDescent="0.95">
      <c r="A7036" s="56"/>
      <c r="B7036" s="57"/>
      <c r="C7036" s="57"/>
      <c r="D7036" s="57"/>
      <c r="E7036" s="56"/>
      <c r="F7036" s="57"/>
      <c r="G7036" s="57"/>
      <c r="H7036" s="56"/>
      <c r="I7036" s="56"/>
      <c r="J7036" s="58"/>
      <c r="K7036" s="58"/>
      <c r="L7036" s="13" t="str">
        <f t="shared" si="1098"/>
        <v/>
      </c>
      <c r="M7036" s="13" t="str">
        <f t="shared" si="1099"/>
        <v/>
      </c>
      <c r="Q7036" t="str">
        <f t="shared" si="1100"/>
        <v/>
      </c>
      <c r="R7036" t="str">
        <f t="shared" si="1101"/>
        <v/>
      </c>
      <c r="S7036" t="str">
        <f t="shared" si="1102"/>
        <v/>
      </c>
      <c r="T7036" t="str">
        <f t="shared" si="1103"/>
        <v/>
      </c>
      <c r="U7036" t="str">
        <f t="shared" si="1104"/>
        <v/>
      </c>
      <c r="V7036" t="str">
        <f t="shared" si="1105"/>
        <v/>
      </c>
      <c r="W7036" t="str">
        <f t="shared" si="1106"/>
        <v/>
      </c>
      <c r="X7036">
        <f t="shared" si="1108"/>
        <v>0</v>
      </c>
      <c r="Z7036" t="str">
        <f t="shared" si="1107"/>
        <v/>
      </c>
      <c r="AA7036">
        <f t="shared" si="1109"/>
        <v>0</v>
      </c>
    </row>
    <row r="7037" spans="1:27" ht="21" customHeight="1" x14ac:dyDescent="0.95">
      <c r="A7037" s="56"/>
      <c r="B7037" s="57"/>
      <c r="C7037" s="57"/>
      <c r="D7037" s="57"/>
      <c r="E7037" s="56"/>
      <c r="F7037" s="57"/>
      <c r="G7037" s="57"/>
      <c r="H7037" s="56"/>
      <c r="I7037" s="56"/>
      <c r="J7037" s="58"/>
      <c r="K7037" s="58"/>
      <c r="L7037" s="13" t="str">
        <f t="shared" si="1098"/>
        <v/>
      </c>
      <c r="M7037" s="13" t="str">
        <f t="shared" si="1099"/>
        <v/>
      </c>
      <c r="Q7037" t="str">
        <f t="shared" si="1100"/>
        <v/>
      </c>
      <c r="R7037" t="str">
        <f t="shared" si="1101"/>
        <v/>
      </c>
      <c r="S7037" t="str">
        <f t="shared" si="1102"/>
        <v/>
      </c>
      <c r="T7037" t="str">
        <f t="shared" si="1103"/>
        <v/>
      </c>
      <c r="U7037" t="str">
        <f t="shared" si="1104"/>
        <v/>
      </c>
      <c r="V7037" t="str">
        <f t="shared" si="1105"/>
        <v/>
      </c>
      <c r="W7037" t="str">
        <f t="shared" si="1106"/>
        <v/>
      </c>
      <c r="X7037">
        <f t="shared" si="1108"/>
        <v>0</v>
      </c>
      <c r="Z7037" t="str">
        <f t="shared" si="1107"/>
        <v/>
      </c>
      <c r="AA7037">
        <f t="shared" si="1109"/>
        <v>0</v>
      </c>
    </row>
    <row r="7038" spans="1:27" ht="21" customHeight="1" x14ac:dyDescent="0.95">
      <c r="A7038" s="56"/>
      <c r="B7038" s="57"/>
      <c r="C7038" s="57"/>
      <c r="D7038" s="57"/>
      <c r="E7038" s="56"/>
      <c r="F7038" s="57"/>
      <c r="G7038" s="57"/>
      <c r="H7038" s="56"/>
      <c r="I7038" s="56"/>
      <c r="J7038" s="58"/>
      <c r="K7038" s="58"/>
      <c r="L7038" s="13" t="str">
        <f t="shared" si="1098"/>
        <v/>
      </c>
      <c r="M7038" s="13" t="str">
        <f t="shared" si="1099"/>
        <v/>
      </c>
      <c r="Q7038" t="str">
        <f t="shared" si="1100"/>
        <v/>
      </c>
      <c r="R7038" t="str">
        <f t="shared" si="1101"/>
        <v/>
      </c>
      <c r="S7038" t="str">
        <f t="shared" si="1102"/>
        <v/>
      </c>
      <c r="T7038" t="str">
        <f t="shared" si="1103"/>
        <v/>
      </c>
      <c r="U7038" t="str">
        <f t="shared" si="1104"/>
        <v/>
      </c>
      <c r="V7038" t="str">
        <f t="shared" si="1105"/>
        <v/>
      </c>
      <c r="W7038" t="str">
        <f t="shared" si="1106"/>
        <v/>
      </c>
      <c r="X7038">
        <f t="shared" si="1108"/>
        <v>0</v>
      </c>
      <c r="Z7038" t="str">
        <f t="shared" si="1107"/>
        <v/>
      </c>
      <c r="AA7038">
        <f t="shared" si="1109"/>
        <v>0</v>
      </c>
    </row>
    <row r="7039" spans="1:27" ht="21" customHeight="1" x14ac:dyDescent="0.95">
      <c r="A7039" s="56"/>
      <c r="B7039" s="57"/>
      <c r="C7039" s="57"/>
      <c r="D7039" s="57"/>
      <c r="E7039" s="56"/>
      <c r="F7039" s="57"/>
      <c r="G7039" s="57"/>
      <c r="H7039" s="56"/>
      <c r="I7039" s="56"/>
      <c r="J7039" s="58"/>
      <c r="K7039" s="58"/>
      <c r="L7039" s="13" t="str">
        <f t="shared" si="1098"/>
        <v/>
      </c>
      <c r="M7039" s="13" t="str">
        <f t="shared" si="1099"/>
        <v/>
      </c>
      <c r="Q7039" t="str">
        <f t="shared" si="1100"/>
        <v/>
      </c>
      <c r="R7039" t="str">
        <f t="shared" si="1101"/>
        <v/>
      </c>
      <c r="S7039" t="str">
        <f t="shared" si="1102"/>
        <v/>
      </c>
      <c r="T7039" t="str">
        <f t="shared" si="1103"/>
        <v/>
      </c>
      <c r="U7039" t="str">
        <f t="shared" si="1104"/>
        <v/>
      </c>
      <c r="V7039" t="str">
        <f t="shared" si="1105"/>
        <v/>
      </c>
      <c r="W7039" t="str">
        <f t="shared" si="1106"/>
        <v/>
      </c>
      <c r="X7039">
        <f t="shared" si="1108"/>
        <v>0</v>
      </c>
      <c r="Z7039" t="str">
        <f t="shared" si="1107"/>
        <v/>
      </c>
      <c r="AA7039">
        <f t="shared" si="1109"/>
        <v>0</v>
      </c>
    </row>
    <row r="7040" spans="1:27" ht="21" customHeight="1" x14ac:dyDescent="0.95">
      <c r="A7040" s="56"/>
      <c r="B7040" s="57"/>
      <c r="C7040" s="57"/>
      <c r="D7040" s="57"/>
      <c r="E7040" s="56"/>
      <c r="F7040" s="57"/>
      <c r="G7040" s="57"/>
      <c r="H7040" s="56"/>
      <c r="I7040" s="56"/>
      <c r="J7040" s="58"/>
      <c r="K7040" s="58"/>
      <c r="L7040" s="13" t="str">
        <f t="shared" si="1098"/>
        <v/>
      </c>
      <c r="M7040" s="13" t="str">
        <f t="shared" si="1099"/>
        <v/>
      </c>
      <c r="Q7040" t="str">
        <f t="shared" si="1100"/>
        <v/>
      </c>
      <c r="R7040" t="str">
        <f t="shared" si="1101"/>
        <v/>
      </c>
      <c r="S7040" t="str">
        <f t="shared" si="1102"/>
        <v/>
      </c>
      <c r="T7040" t="str">
        <f t="shared" si="1103"/>
        <v/>
      </c>
      <c r="U7040" t="str">
        <f t="shared" si="1104"/>
        <v/>
      </c>
      <c r="V7040" t="str">
        <f t="shared" si="1105"/>
        <v/>
      </c>
      <c r="W7040" t="str">
        <f t="shared" si="1106"/>
        <v/>
      </c>
      <c r="X7040">
        <f t="shared" si="1108"/>
        <v>0</v>
      </c>
      <c r="Z7040" t="str">
        <f t="shared" si="1107"/>
        <v/>
      </c>
      <c r="AA7040">
        <f t="shared" si="1109"/>
        <v>0</v>
      </c>
    </row>
    <row r="7041" spans="1:27" ht="21" customHeight="1" x14ac:dyDescent="0.95">
      <c r="A7041" s="56"/>
      <c r="B7041" s="57"/>
      <c r="C7041" s="57"/>
      <c r="D7041" s="57"/>
      <c r="E7041" s="56"/>
      <c r="F7041" s="57"/>
      <c r="G7041" s="57"/>
      <c r="H7041" s="56"/>
      <c r="I7041" s="56"/>
      <c r="J7041" s="58"/>
      <c r="K7041" s="58"/>
      <c r="L7041" s="13" t="str">
        <f t="shared" si="1098"/>
        <v/>
      </c>
      <c r="M7041" s="13" t="str">
        <f t="shared" si="1099"/>
        <v/>
      </c>
      <c r="Q7041" t="str">
        <f t="shared" si="1100"/>
        <v/>
      </c>
      <c r="R7041" t="str">
        <f t="shared" si="1101"/>
        <v/>
      </c>
      <c r="S7041" t="str">
        <f t="shared" si="1102"/>
        <v/>
      </c>
      <c r="T7041" t="str">
        <f t="shared" si="1103"/>
        <v/>
      </c>
      <c r="U7041" t="str">
        <f t="shared" si="1104"/>
        <v/>
      </c>
      <c r="V7041" t="str">
        <f t="shared" si="1105"/>
        <v/>
      </c>
      <c r="W7041" t="str">
        <f t="shared" si="1106"/>
        <v/>
      </c>
      <c r="X7041">
        <f t="shared" si="1108"/>
        <v>0</v>
      </c>
      <c r="Z7041" t="str">
        <f t="shared" si="1107"/>
        <v/>
      </c>
      <c r="AA7041">
        <f t="shared" si="1109"/>
        <v>0</v>
      </c>
    </row>
    <row r="7042" spans="1:27" ht="21" customHeight="1" x14ac:dyDescent="0.95">
      <c r="A7042" s="56"/>
      <c r="B7042" s="57"/>
      <c r="C7042" s="57"/>
      <c r="D7042" s="57"/>
      <c r="E7042" s="56"/>
      <c r="F7042" s="57"/>
      <c r="G7042" s="57"/>
      <c r="H7042" s="56"/>
      <c r="I7042" s="56"/>
      <c r="J7042" s="58"/>
      <c r="K7042" s="58"/>
      <c r="L7042" s="13" t="str">
        <f t="shared" si="1098"/>
        <v/>
      </c>
      <c r="M7042" s="13" t="str">
        <f t="shared" si="1099"/>
        <v/>
      </c>
      <c r="Q7042" t="str">
        <f t="shared" si="1100"/>
        <v/>
      </c>
      <c r="R7042" t="str">
        <f t="shared" si="1101"/>
        <v/>
      </c>
      <c r="S7042" t="str">
        <f t="shared" si="1102"/>
        <v/>
      </c>
      <c r="T7042" t="str">
        <f t="shared" si="1103"/>
        <v/>
      </c>
      <c r="U7042" t="str">
        <f t="shared" si="1104"/>
        <v/>
      </c>
      <c r="V7042" t="str">
        <f t="shared" si="1105"/>
        <v/>
      </c>
      <c r="W7042" t="str">
        <f t="shared" si="1106"/>
        <v/>
      </c>
      <c r="X7042">
        <f t="shared" si="1108"/>
        <v>0</v>
      </c>
      <c r="Z7042" t="str">
        <f t="shared" si="1107"/>
        <v/>
      </c>
      <c r="AA7042">
        <f t="shared" si="1109"/>
        <v>0</v>
      </c>
    </row>
    <row r="7043" spans="1:27" ht="21" customHeight="1" x14ac:dyDescent="0.95">
      <c r="A7043" s="56"/>
      <c r="B7043" s="57"/>
      <c r="C7043" s="57"/>
      <c r="D7043" s="57"/>
      <c r="E7043" s="56"/>
      <c r="F7043" s="57"/>
      <c r="G7043" s="57"/>
      <c r="H7043" s="56"/>
      <c r="I7043" s="56"/>
      <c r="J7043" s="58"/>
      <c r="K7043" s="58"/>
      <c r="L7043" s="13" t="str">
        <f t="shared" si="1098"/>
        <v/>
      </c>
      <c r="M7043" s="13" t="str">
        <f t="shared" si="1099"/>
        <v/>
      </c>
      <c r="Q7043" t="str">
        <f t="shared" si="1100"/>
        <v/>
      </c>
      <c r="R7043" t="str">
        <f t="shared" si="1101"/>
        <v/>
      </c>
      <c r="S7043" t="str">
        <f t="shared" si="1102"/>
        <v/>
      </c>
      <c r="T7043" t="str">
        <f t="shared" si="1103"/>
        <v/>
      </c>
      <c r="U7043" t="str">
        <f t="shared" si="1104"/>
        <v/>
      </c>
      <c r="V7043" t="str">
        <f t="shared" si="1105"/>
        <v/>
      </c>
      <c r="W7043" t="str">
        <f t="shared" si="1106"/>
        <v/>
      </c>
      <c r="X7043">
        <f t="shared" si="1108"/>
        <v>0</v>
      </c>
      <c r="Z7043" t="str">
        <f t="shared" si="1107"/>
        <v/>
      </c>
      <c r="AA7043">
        <f t="shared" si="1109"/>
        <v>0</v>
      </c>
    </row>
    <row r="7044" spans="1:27" ht="21" customHeight="1" x14ac:dyDescent="0.95">
      <c r="A7044" s="56"/>
      <c r="B7044" s="57"/>
      <c r="C7044" s="57"/>
      <c r="D7044" s="57"/>
      <c r="E7044" s="56"/>
      <c r="F7044" s="57"/>
      <c r="G7044" s="57"/>
      <c r="H7044" s="56"/>
      <c r="I7044" s="56"/>
      <c r="J7044" s="58"/>
      <c r="K7044" s="58"/>
      <c r="L7044" s="13" t="str">
        <f t="shared" ref="L7044:L7107" si="1110">IF(OR($A7044="",AND($J7044="",$K7044="")),"",ROUND(N($J7044)-N($K7044),2))</f>
        <v/>
      </c>
      <c r="M7044" s="13" t="str">
        <f t="shared" ref="M7044:M7107" si="1111">IF(OR($A7044="",AND($J7044="",$K7044="")),"",MIN($J7044,$K7044))</f>
        <v/>
      </c>
      <c r="Q7044" t="str">
        <f t="shared" ref="Q7044:Q7107" si="1112">IF($A7044="","",$D7044&amp;"("&amp;SUBSTITUTE($E7044," ","")&amp;")")</f>
        <v/>
      </c>
      <c r="R7044" t="str">
        <f t="shared" ref="R7044:R7107" si="1113">IF($A7044="","",$B7044&amp;" - "&amp;$C7044)</f>
        <v/>
      </c>
      <c r="S7044" t="str">
        <f t="shared" ref="S7044:S7107" si="1114">IF($A7044="","",$R7044&amp;"|"&amp;$Q7044)</f>
        <v/>
      </c>
      <c r="T7044" t="str">
        <f t="shared" ref="T7044:T7107" si="1115">IF($A7044="","",$S7044&amp;"|"&amp;$F7044)</f>
        <v/>
      </c>
      <c r="U7044" t="str">
        <f t="shared" ref="U7044:U7107" si="1116">IF($A7044="","",$R7044&amp;"("&amp;$E7044&amp;")")</f>
        <v/>
      </c>
      <c r="V7044" t="str">
        <f t="shared" ref="V7044:V7107" si="1117">IF($A7044="","",$F7044&amp;"|"&amp;$U7044&amp;"|"&amp;$D7044)</f>
        <v/>
      </c>
      <c r="W7044" t="str">
        <f t="shared" si="1106"/>
        <v/>
      </c>
      <c r="X7044">
        <f t="shared" si="1108"/>
        <v>0</v>
      </c>
      <c r="Z7044" t="str">
        <f t="shared" si="1107"/>
        <v/>
      </c>
      <c r="AA7044">
        <f t="shared" si="1109"/>
        <v>0</v>
      </c>
    </row>
    <row r="7045" spans="1:27" ht="21" customHeight="1" x14ac:dyDescent="0.95">
      <c r="A7045" s="56"/>
      <c r="B7045" s="57"/>
      <c r="C7045" s="57"/>
      <c r="D7045" s="57"/>
      <c r="E7045" s="56"/>
      <c r="F7045" s="57"/>
      <c r="G7045" s="57"/>
      <c r="H7045" s="56"/>
      <c r="I7045" s="56"/>
      <c r="J7045" s="58"/>
      <c r="K7045" s="58"/>
      <c r="L7045" s="13" t="str">
        <f t="shared" si="1110"/>
        <v/>
      </c>
      <c r="M7045" s="13" t="str">
        <f t="shared" si="1111"/>
        <v/>
      </c>
      <c r="Q7045" t="str">
        <f t="shared" si="1112"/>
        <v/>
      </c>
      <c r="R7045" t="str">
        <f t="shared" si="1113"/>
        <v/>
      </c>
      <c r="S7045" t="str">
        <f t="shared" si="1114"/>
        <v/>
      </c>
      <c r="T7045" t="str">
        <f t="shared" si="1115"/>
        <v/>
      </c>
      <c r="U7045" t="str">
        <f t="shared" si="1116"/>
        <v/>
      </c>
      <c r="V7045" t="str">
        <f t="shared" si="1117"/>
        <v/>
      </c>
      <c r="W7045" t="str">
        <f t="shared" si="1106"/>
        <v/>
      </c>
      <c r="X7045">
        <f t="shared" si="1108"/>
        <v>0</v>
      </c>
      <c r="Z7045" t="str">
        <f t="shared" si="1107"/>
        <v/>
      </c>
      <c r="AA7045">
        <f t="shared" si="1109"/>
        <v>0</v>
      </c>
    </row>
    <row r="7046" spans="1:27" ht="21" customHeight="1" x14ac:dyDescent="0.95">
      <c r="A7046" s="56"/>
      <c r="B7046" s="57"/>
      <c r="C7046" s="57"/>
      <c r="D7046" s="57"/>
      <c r="E7046" s="56"/>
      <c r="F7046" s="57"/>
      <c r="G7046" s="57"/>
      <c r="H7046" s="56"/>
      <c r="I7046" s="56"/>
      <c r="J7046" s="58"/>
      <c r="K7046" s="58"/>
      <c r="L7046" s="13" t="str">
        <f t="shared" si="1110"/>
        <v/>
      </c>
      <c r="M7046" s="13" t="str">
        <f t="shared" si="1111"/>
        <v/>
      </c>
      <c r="Q7046" t="str">
        <f t="shared" si="1112"/>
        <v/>
      </c>
      <c r="R7046" t="str">
        <f t="shared" si="1113"/>
        <v/>
      </c>
      <c r="S7046" t="str">
        <f t="shared" si="1114"/>
        <v/>
      </c>
      <c r="T7046" t="str">
        <f t="shared" si="1115"/>
        <v/>
      </c>
      <c r="U7046" t="str">
        <f t="shared" si="1116"/>
        <v/>
      </c>
      <c r="V7046" t="str">
        <f t="shared" si="1117"/>
        <v/>
      </c>
      <c r="W7046" t="str">
        <f t="shared" ref="W7046:W7109" si="1118">IF($T7046="","",IF($X7046&gt;N($X7045),$X7046,""))</f>
        <v/>
      </c>
      <c r="X7046">
        <f t="shared" si="1108"/>
        <v>0</v>
      </c>
      <c r="Z7046" t="str">
        <f t="shared" ref="Z7046:Z7109" si="1119">IF($V7046="","",IF($AA7046&gt;N($AA7045),$AA7046,""))</f>
        <v/>
      </c>
      <c r="AA7046">
        <f t="shared" si="1109"/>
        <v>0</v>
      </c>
    </row>
    <row r="7047" spans="1:27" ht="21" customHeight="1" x14ac:dyDescent="0.95">
      <c r="A7047" s="56"/>
      <c r="B7047" s="57"/>
      <c r="C7047" s="57"/>
      <c r="D7047" s="57"/>
      <c r="E7047" s="56"/>
      <c r="F7047" s="57"/>
      <c r="G7047" s="57"/>
      <c r="H7047" s="56"/>
      <c r="I7047" s="56"/>
      <c r="J7047" s="58"/>
      <c r="K7047" s="58"/>
      <c r="L7047" s="13" t="str">
        <f t="shared" si="1110"/>
        <v/>
      </c>
      <c r="M7047" s="13" t="str">
        <f t="shared" si="1111"/>
        <v/>
      </c>
      <c r="Q7047" t="str">
        <f t="shared" si="1112"/>
        <v/>
      </c>
      <c r="R7047" t="str">
        <f t="shared" si="1113"/>
        <v/>
      </c>
      <c r="S7047" t="str">
        <f t="shared" si="1114"/>
        <v/>
      </c>
      <c r="T7047" t="str">
        <f t="shared" si="1115"/>
        <v/>
      </c>
      <c r="U7047" t="str">
        <f t="shared" si="1116"/>
        <v/>
      </c>
      <c r="V7047" t="str">
        <f t="shared" si="1117"/>
        <v/>
      </c>
      <c r="W7047" t="str">
        <f t="shared" si="1118"/>
        <v/>
      </c>
      <c r="X7047">
        <f t="shared" si="1108"/>
        <v>0</v>
      </c>
      <c r="Z7047" t="str">
        <f t="shared" si="1119"/>
        <v/>
      </c>
      <c r="AA7047">
        <f t="shared" si="1109"/>
        <v>0</v>
      </c>
    </row>
    <row r="7048" spans="1:27" ht="21" customHeight="1" x14ac:dyDescent="0.95">
      <c r="A7048" s="56"/>
      <c r="B7048" s="57"/>
      <c r="C7048" s="57"/>
      <c r="D7048" s="57"/>
      <c r="E7048" s="56"/>
      <c r="F7048" s="57"/>
      <c r="G7048" s="57"/>
      <c r="H7048" s="56"/>
      <c r="I7048" s="56"/>
      <c r="J7048" s="58"/>
      <c r="K7048" s="58"/>
      <c r="L7048" s="13" t="str">
        <f t="shared" si="1110"/>
        <v/>
      </c>
      <c r="M7048" s="13" t="str">
        <f t="shared" si="1111"/>
        <v/>
      </c>
      <c r="Q7048" t="str">
        <f t="shared" si="1112"/>
        <v/>
      </c>
      <c r="R7048" t="str">
        <f t="shared" si="1113"/>
        <v/>
      </c>
      <c r="S7048" t="str">
        <f t="shared" si="1114"/>
        <v/>
      </c>
      <c r="T7048" t="str">
        <f t="shared" si="1115"/>
        <v/>
      </c>
      <c r="U7048" t="str">
        <f t="shared" si="1116"/>
        <v/>
      </c>
      <c r="V7048" t="str">
        <f t="shared" si="1117"/>
        <v/>
      </c>
      <c r="W7048" t="str">
        <f t="shared" si="1118"/>
        <v/>
      </c>
      <c r="X7048">
        <f t="shared" si="1108"/>
        <v>0</v>
      </c>
      <c r="Z7048" t="str">
        <f t="shared" si="1119"/>
        <v/>
      </c>
      <c r="AA7048">
        <f t="shared" si="1109"/>
        <v>0</v>
      </c>
    </row>
    <row r="7049" spans="1:27" ht="21" customHeight="1" x14ac:dyDescent="0.95">
      <c r="A7049" s="56"/>
      <c r="B7049" s="57"/>
      <c r="C7049" s="57"/>
      <c r="D7049" s="57"/>
      <c r="E7049" s="56"/>
      <c r="F7049" s="57"/>
      <c r="G7049" s="57"/>
      <c r="H7049" s="56"/>
      <c r="I7049" s="56"/>
      <c r="J7049" s="58"/>
      <c r="K7049" s="58"/>
      <c r="L7049" s="13" t="str">
        <f t="shared" si="1110"/>
        <v/>
      </c>
      <c r="M7049" s="13" t="str">
        <f t="shared" si="1111"/>
        <v/>
      </c>
      <c r="Q7049" t="str">
        <f t="shared" si="1112"/>
        <v/>
      </c>
      <c r="R7049" t="str">
        <f t="shared" si="1113"/>
        <v/>
      </c>
      <c r="S7049" t="str">
        <f t="shared" si="1114"/>
        <v/>
      </c>
      <c r="T7049" t="str">
        <f t="shared" si="1115"/>
        <v/>
      </c>
      <c r="U7049" t="str">
        <f t="shared" si="1116"/>
        <v/>
      </c>
      <c r="V7049" t="str">
        <f t="shared" si="1117"/>
        <v/>
      </c>
      <c r="W7049" t="str">
        <f t="shared" si="1118"/>
        <v/>
      </c>
      <c r="X7049">
        <f t="shared" si="1108"/>
        <v>0</v>
      </c>
      <c r="Z7049" t="str">
        <f t="shared" si="1119"/>
        <v/>
      </c>
      <c r="AA7049">
        <f t="shared" si="1109"/>
        <v>0</v>
      </c>
    </row>
    <row r="7050" spans="1:27" ht="21" customHeight="1" x14ac:dyDescent="0.95">
      <c r="A7050" s="56"/>
      <c r="B7050" s="57"/>
      <c r="C7050" s="57"/>
      <c r="D7050" s="57"/>
      <c r="E7050" s="56"/>
      <c r="F7050" s="57"/>
      <c r="G7050" s="57"/>
      <c r="H7050" s="56"/>
      <c r="I7050" s="56"/>
      <c r="J7050" s="58"/>
      <c r="K7050" s="58"/>
      <c r="L7050" s="13" t="str">
        <f t="shared" si="1110"/>
        <v/>
      </c>
      <c r="M7050" s="13" t="str">
        <f t="shared" si="1111"/>
        <v/>
      </c>
      <c r="Q7050" t="str">
        <f t="shared" si="1112"/>
        <v/>
      </c>
      <c r="R7050" t="str">
        <f t="shared" si="1113"/>
        <v/>
      </c>
      <c r="S7050" t="str">
        <f t="shared" si="1114"/>
        <v/>
      </c>
      <c r="T7050" t="str">
        <f t="shared" si="1115"/>
        <v/>
      </c>
      <c r="U7050" t="str">
        <f t="shared" si="1116"/>
        <v/>
      </c>
      <c r="V7050" t="str">
        <f t="shared" si="1117"/>
        <v/>
      </c>
      <c r="W7050" t="str">
        <f t="shared" si="1118"/>
        <v/>
      </c>
      <c r="X7050">
        <f t="shared" si="1108"/>
        <v>0</v>
      </c>
      <c r="Z7050" t="str">
        <f t="shared" si="1119"/>
        <v/>
      </c>
      <c r="AA7050">
        <f t="shared" si="1109"/>
        <v>0</v>
      </c>
    </row>
    <row r="7051" spans="1:27" ht="21" customHeight="1" x14ac:dyDescent="0.95">
      <c r="A7051" s="56"/>
      <c r="B7051" s="57"/>
      <c r="C7051" s="57"/>
      <c r="D7051" s="57"/>
      <c r="E7051" s="56"/>
      <c r="F7051" s="57"/>
      <c r="G7051" s="57"/>
      <c r="H7051" s="56"/>
      <c r="I7051" s="56"/>
      <c r="J7051" s="58"/>
      <c r="K7051" s="58"/>
      <c r="L7051" s="13" t="str">
        <f t="shared" si="1110"/>
        <v/>
      </c>
      <c r="M7051" s="13" t="str">
        <f t="shared" si="1111"/>
        <v/>
      </c>
      <c r="Q7051" t="str">
        <f t="shared" si="1112"/>
        <v/>
      </c>
      <c r="R7051" t="str">
        <f t="shared" si="1113"/>
        <v/>
      </c>
      <c r="S7051" t="str">
        <f t="shared" si="1114"/>
        <v/>
      </c>
      <c r="T7051" t="str">
        <f t="shared" si="1115"/>
        <v/>
      </c>
      <c r="U7051" t="str">
        <f t="shared" si="1116"/>
        <v/>
      </c>
      <c r="V7051" t="str">
        <f t="shared" si="1117"/>
        <v/>
      </c>
      <c r="W7051" t="str">
        <f t="shared" si="1118"/>
        <v/>
      </c>
      <c r="X7051">
        <f t="shared" si="1108"/>
        <v>0</v>
      </c>
      <c r="Z7051" t="str">
        <f t="shared" si="1119"/>
        <v/>
      </c>
      <c r="AA7051">
        <f t="shared" si="1109"/>
        <v>0</v>
      </c>
    </row>
    <row r="7052" spans="1:27" ht="21" customHeight="1" x14ac:dyDescent="0.95">
      <c r="A7052" s="56"/>
      <c r="B7052" s="57"/>
      <c r="C7052" s="57"/>
      <c r="D7052" s="57"/>
      <c r="E7052" s="56"/>
      <c r="F7052" s="57"/>
      <c r="G7052" s="57"/>
      <c r="H7052" s="56"/>
      <c r="I7052" s="56"/>
      <c r="J7052" s="58"/>
      <c r="K7052" s="58"/>
      <c r="L7052" s="13" t="str">
        <f t="shared" si="1110"/>
        <v/>
      </c>
      <c r="M7052" s="13" t="str">
        <f t="shared" si="1111"/>
        <v/>
      </c>
      <c r="Q7052" t="str">
        <f t="shared" si="1112"/>
        <v/>
      </c>
      <c r="R7052" t="str">
        <f t="shared" si="1113"/>
        <v/>
      </c>
      <c r="S7052" t="str">
        <f t="shared" si="1114"/>
        <v/>
      </c>
      <c r="T7052" t="str">
        <f t="shared" si="1115"/>
        <v/>
      </c>
      <c r="U7052" t="str">
        <f t="shared" si="1116"/>
        <v/>
      </c>
      <c r="V7052" t="str">
        <f t="shared" si="1117"/>
        <v/>
      </c>
      <c r="W7052" t="str">
        <f t="shared" si="1118"/>
        <v/>
      </c>
      <c r="X7052">
        <f t="shared" si="1108"/>
        <v>0</v>
      </c>
      <c r="Z7052" t="str">
        <f t="shared" si="1119"/>
        <v/>
      </c>
      <c r="AA7052">
        <f t="shared" si="1109"/>
        <v>0</v>
      </c>
    </row>
    <row r="7053" spans="1:27" ht="21" customHeight="1" x14ac:dyDescent="0.95">
      <c r="A7053" s="56"/>
      <c r="B7053" s="57"/>
      <c r="C7053" s="57"/>
      <c r="D7053" s="57"/>
      <c r="E7053" s="56"/>
      <c r="F7053" s="57"/>
      <c r="G7053" s="57"/>
      <c r="H7053" s="56"/>
      <c r="I7053" s="56"/>
      <c r="J7053" s="58"/>
      <c r="K7053" s="58"/>
      <c r="L7053" s="13" t="str">
        <f t="shared" si="1110"/>
        <v/>
      </c>
      <c r="M7053" s="13" t="str">
        <f t="shared" si="1111"/>
        <v/>
      </c>
      <c r="Q7053" t="str">
        <f t="shared" si="1112"/>
        <v/>
      </c>
      <c r="R7053" t="str">
        <f t="shared" si="1113"/>
        <v/>
      </c>
      <c r="S7053" t="str">
        <f t="shared" si="1114"/>
        <v/>
      </c>
      <c r="T7053" t="str">
        <f t="shared" si="1115"/>
        <v/>
      </c>
      <c r="U7053" t="str">
        <f t="shared" si="1116"/>
        <v/>
      </c>
      <c r="V7053" t="str">
        <f t="shared" si="1117"/>
        <v/>
      </c>
      <c r="W7053" t="str">
        <f t="shared" si="1118"/>
        <v/>
      </c>
      <c r="X7053">
        <f t="shared" si="1108"/>
        <v>0</v>
      </c>
      <c r="Z7053" t="str">
        <f t="shared" si="1119"/>
        <v/>
      </c>
      <c r="AA7053">
        <f t="shared" si="1109"/>
        <v>0</v>
      </c>
    </row>
    <row r="7054" spans="1:27" ht="21" customHeight="1" x14ac:dyDescent="0.95">
      <c r="A7054" s="56"/>
      <c r="B7054" s="57"/>
      <c r="C7054" s="57"/>
      <c r="D7054" s="57"/>
      <c r="E7054" s="56"/>
      <c r="F7054" s="57"/>
      <c r="G7054" s="57"/>
      <c r="H7054" s="56"/>
      <c r="I7054" s="56"/>
      <c r="J7054" s="58"/>
      <c r="K7054" s="58"/>
      <c r="L7054" s="13" t="str">
        <f t="shared" si="1110"/>
        <v/>
      </c>
      <c r="M7054" s="13" t="str">
        <f t="shared" si="1111"/>
        <v/>
      </c>
      <c r="Q7054" t="str">
        <f t="shared" si="1112"/>
        <v/>
      </c>
      <c r="R7054" t="str">
        <f t="shared" si="1113"/>
        <v/>
      </c>
      <c r="S7054" t="str">
        <f t="shared" si="1114"/>
        <v/>
      </c>
      <c r="T7054" t="str">
        <f t="shared" si="1115"/>
        <v/>
      </c>
      <c r="U7054" t="str">
        <f t="shared" si="1116"/>
        <v/>
      </c>
      <c r="V7054" t="str">
        <f t="shared" si="1117"/>
        <v/>
      </c>
      <c r="W7054" t="str">
        <f t="shared" si="1118"/>
        <v/>
      </c>
      <c r="X7054">
        <f t="shared" si="1108"/>
        <v>0</v>
      </c>
      <c r="Z7054" t="str">
        <f t="shared" si="1119"/>
        <v/>
      </c>
      <c r="AA7054">
        <f t="shared" si="1109"/>
        <v>0</v>
      </c>
    </row>
    <row r="7055" spans="1:27" ht="21" customHeight="1" x14ac:dyDescent="0.95">
      <c r="A7055" s="56"/>
      <c r="B7055" s="57"/>
      <c r="C7055" s="57"/>
      <c r="D7055" s="57"/>
      <c r="E7055" s="56"/>
      <c r="F7055" s="57"/>
      <c r="G7055" s="57"/>
      <c r="H7055" s="56"/>
      <c r="I7055" s="56"/>
      <c r="J7055" s="58"/>
      <c r="K7055" s="58"/>
      <c r="L7055" s="13" t="str">
        <f t="shared" si="1110"/>
        <v/>
      </c>
      <c r="M7055" s="13" t="str">
        <f t="shared" si="1111"/>
        <v/>
      </c>
      <c r="Q7055" t="str">
        <f t="shared" si="1112"/>
        <v/>
      </c>
      <c r="R7055" t="str">
        <f t="shared" si="1113"/>
        <v/>
      </c>
      <c r="S7055" t="str">
        <f t="shared" si="1114"/>
        <v/>
      </c>
      <c r="T7055" t="str">
        <f t="shared" si="1115"/>
        <v/>
      </c>
      <c r="U7055" t="str">
        <f t="shared" si="1116"/>
        <v/>
      </c>
      <c r="V7055" t="str">
        <f t="shared" si="1117"/>
        <v/>
      </c>
      <c r="W7055" t="str">
        <f t="shared" si="1118"/>
        <v/>
      </c>
      <c r="X7055">
        <f t="shared" si="1108"/>
        <v>0</v>
      </c>
      <c r="Z7055" t="str">
        <f t="shared" si="1119"/>
        <v/>
      </c>
      <c r="AA7055">
        <f t="shared" si="1109"/>
        <v>0</v>
      </c>
    </row>
    <row r="7056" spans="1:27" ht="21" customHeight="1" x14ac:dyDescent="0.95">
      <c r="A7056" s="56"/>
      <c r="B7056" s="57"/>
      <c r="C7056" s="57"/>
      <c r="D7056" s="57"/>
      <c r="E7056" s="56"/>
      <c r="F7056" s="57"/>
      <c r="G7056" s="57"/>
      <c r="H7056" s="56"/>
      <c r="I7056" s="56"/>
      <c r="J7056" s="58"/>
      <c r="K7056" s="58"/>
      <c r="L7056" s="13" t="str">
        <f t="shared" si="1110"/>
        <v/>
      </c>
      <c r="M7056" s="13" t="str">
        <f t="shared" si="1111"/>
        <v/>
      </c>
      <c r="Q7056" t="str">
        <f t="shared" si="1112"/>
        <v/>
      </c>
      <c r="R7056" t="str">
        <f t="shared" si="1113"/>
        <v/>
      </c>
      <c r="S7056" t="str">
        <f t="shared" si="1114"/>
        <v/>
      </c>
      <c r="T7056" t="str">
        <f t="shared" si="1115"/>
        <v/>
      </c>
      <c r="U7056" t="str">
        <f t="shared" si="1116"/>
        <v/>
      </c>
      <c r="V7056" t="str">
        <f t="shared" si="1117"/>
        <v/>
      </c>
      <c r="W7056" t="str">
        <f t="shared" si="1118"/>
        <v/>
      </c>
      <c r="X7056">
        <f t="shared" si="1108"/>
        <v>0</v>
      </c>
      <c r="Z7056" t="str">
        <f t="shared" si="1119"/>
        <v/>
      </c>
      <c r="AA7056">
        <f t="shared" si="1109"/>
        <v>0</v>
      </c>
    </row>
    <row r="7057" spans="1:27" ht="21" customHeight="1" x14ac:dyDescent="0.95">
      <c r="A7057" s="56"/>
      <c r="B7057" s="57"/>
      <c r="C7057" s="57"/>
      <c r="D7057" s="57"/>
      <c r="E7057" s="56"/>
      <c r="F7057" s="57"/>
      <c r="G7057" s="57"/>
      <c r="H7057" s="56"/>
      <c r="I7057" s="56"/>
      <c r="J7057" s="58"/>
      <c r="K7057" s="58"/>
      <c r="L7057" s="13" t="str">
        <f t="shared" si="1110"/>
        <v/>
      </c>
      <c r="M7057" s="13" t="str">
        <f t="shared" si="1111"/>
        <v/>
      </c>
      <c r="Q7057" t="str">
        <f t="shared" si="1112"/>
        <v/>
      </c>
      <c r="R7057" t="str">
        <f t="shared" si="1113"/>
        <v/>
      </c>
      <c r="S7057" t="str">
        <f t="shared" si="1114"/>
        <v/>
      </c>
      <c r="T7057" t="str">
        <f t="shared" si="1115"/>
        <v/>
      </c>
      <c r="U7057" t="str">
        <f t="shared" si="1116"/>
        <v/>
      </c>
      <c r="V7057" t="str">
        <f t="shared" si="1117"/>
        <v/>
      </c>
      <c r="W7057" t="str">
        <f t="shared" si="1118"/>
        <v/>
      </c>
      <c r="X7057">
        <f t="shared" si="1108"/>
        <v>0</v>
      </c>
      <c r="Z7057" t="str">
        <f t="shared" si="1119"/>
        <v/>
      </c>
      <c r="AA7057">
        <f t="shared" si="1109"/>
        <v>0</v>
      </c>
    </row>
    <row r="7058" spans="1:27" ht="21" customHeight="1" x14ac:dyDescent="0.95">
      <c r="A7058" s="56"/>
      <c r="B7058" s="57"/>
      <c r="C7058" s="57"/>
      <c r="D7058" s="57"/>
      <c r="E7058" s="56"/>
      <c r="F7058" s="57"/>
      <c r="G7058" s="57"/>
      <c r="H7058" s="56"/>
      <c r="I7058" s="56"/>
      <c r="J7058" s="58"/>
      <c r="K7058" s="58"/>
      <c r="L7058" s="13" t="str">
        <f t="shared" si="1110"/>
        <v/>
      </c>
      <c r="M7058" s="13" t="str">
        <f t="shared" si="1111"/>
        <v/>
      </c>
      <c r="Q7058" t="str">
        <f t="shared" si="1112"/>
        <v/>
      </c>
      <c r="R7058" t="str">
        <f t="shared" si="1113"/>
        <v/>
      </c>
      <c r="S7058" t="str">
        <f t="shared" si="1114"/>
        <v/>
      </c>
      <c r="T7058" t="str">
        <f t="shared" si="1115"/>
        <v/>
      </c>
      <c r="U7058" t="str">
        <f t="shared" si="1116"/>
        <v/>
      </c>
      <c r="V7058" t="str">
        <f t="shared" si="1117"/>
        <v/>
      </c>
      <c r="W7058" t="str">
        <f t="shared" si="1118"/>
        <v/>
      </c>
      <c r="X7058">
        <f t="shared" si="1108"/>
        <v>0</v>
      </c>
      <c r="Z7058" t="str">
        <f t="shared" si="1119"/>
        <v/>
      </c>
      <c r="AA7058">
        <f t="shared" si="1109"/>
        <v>0</v>
      </c>
    </row>
    <row r="7059" spans="1:27" ht="21" customHeight="1" x14ac:dyDescent="0.95">
      <c r="A7059" s="56"/>
      <c r="B7059" s="57"/>
      <c r="C7059" s="57"/>
      <c r="D7059" s="57"/>
      <c r="E7059" s="56"/>
      <c r="F7059" s="57"/>
      <c r="G7059" s="57"/>
      <c r="H7059" s="56"/>
      <c r="I7059" s="56"/>
      <c r="J7059" s="58"/>
      <c r="K7059" s="58"/>
      <c r="L7059" s="13" t="str">
        <f t="shared" si="1110"/>
        <v/>
      </c>
      <c r="M7059" s="13" t="str">
        <f t="shared" si="1111"/>
        <v/>
      </c>
      <c r="Q7059" t="str">
        <f t="shared" si="1112"/>
        <v/>
      </c>
      <c r="R7059" t="str">
        <f t="shared" si="1113"/>
        <v/>
      </c>
      <c r="S7059" t="str">
        <f t="shared" si="1114"/>
        <v/>
      </c>
      <c r="T7059" t="str">
        <f t="shared" si="1115"/>
        <v/>
      </c>
      <c r="U7059" t="str">
        <f t="shared" si="1116"/>
        <v/>
      </c>
      <c r="V7059" t="str">
        <f t="shared" si="1117"/>
        <v/>
      </c>
      <c r="W7059" t="str">
        <f t="shared" si="1118"/>
        <v/>
      </c>
      <c r="X7059">
        <f t="shared" si="1108"/>
        <v>0</v>
      </c>
      <c r="Z7059" t="str">
        <f t="shared" si="1119"/>
        <v/>
      </c>
      <c r="AA7059">
        <f t="shared" si="1109"/>
        <v>0</v>
      </c>
    </row>
    <row r="7060" spans="1:27" ht="21" customHeight="1" x14ac:dyDescent="0.95">
      <c r="A7060" s="56"/>
      <c r="B7060" s="57"/>
      <c r="C7060" s="57"/>
      <c r="D7060" s="57"/>
      <c r="E7060" s="56"/>
      <c r="F7060" s="57"/>
      <c r="G7060" s="57"/>
      <c r="H7060" s="56"/>
      <c r="I7060" s="56"/>
      <c r="J7060" s="58"/>
      <c r="K7060" s="58"/>
      <c r="L7060" s="13" t="str">
        <f t="shared" si="1110"/>
        <v/>
      </c>
      <c r="M7060" s="13" t="str">
        <f t="shared" si="1111"/>
        <v/>
      </c>
      <c r="Q7060" t="str">
        <f t="shared" si="1112"/>
        <v/>
      </c>
      <c r="R7060" t="str">
        <f t="shared" si="1113"/>
        <v/>
      </c>
      <c r="S7060" t="str">
        <f t="shared" si="1114"/>
        <v/>
      </c>
      <c r="T7060" t="str">
        <f t="shared" si="1115"/>
        <v/>
      </c>
      <c r="U7060" t="str">
        <f t="shared" si="1116"/>
        <v/>
      </c>
      <c r="V7060" t="str">
        <f t="shared" si="1117"/>
        <v/>
      </c>
      <c r="W7060" t="str">
        <f t="shared" si="1118"/>
        <v/>
      </c>
      <c r="X7060">
        <f t="shared" si="1108"/>
        <v>0</v>
      </c>
      <c r="Z7060" t="str">
        <f t="shared" si="1119"/>
        <v/>
      </c>
      <c r="AA7060">
        <f t="shared" si="1109"/>
        <v>0</v>
      </c>
    </row>
    <row r="7061" spans="1:27" ht="21" customHeight="1" x14ac:dyDescent="0.95">
      <c r="A7061" s="56"/>
      <c r="B7061" s="57"/>
      <c r="C7061" s="57"/>
      <c r="D7061" s="57"/>
      <c r="E7061" s="56"/>
      <c r="F7061" s="57"/>
      <c r="G7061" s="57"/>
      <c r="H7061" s="56"/>
      <c r="I7061" s="56"/>
      <c r="J7061" s="58"/>
      <c r="K7061" s="58"/>
      <c r="L7061" s="13" t="str">
        <f t="shared" si="1110"/>
        <v/>
      </c>
      <c r="M7061" s="13" t="str">
        <f t="shared" si="1111"/>
        <v/>
      </c>
      <c r="Q7061" t="str">
        <f t="shared" si="1112"/>
        <v/>
      </c>
      <c r="R7061" t="str">
        <f t="shared" si="1113"/>
        <v/>
      </c>
      <c r="S7061" t="str">
        <f t="shared" si="1114"/>
        <v/>
      </c>
      <c r="T7061" t="str">
        <f t="shared" si="1115"/>
        <v/>
      </c>
      <c r="U7061" t="str">
        <f t="shared" si="1116"/>
        <v/>
      </c>
      <c r="V7061" t="str">
        <f t="shared" si="1117"/>
        <v/>
      </c>
      <c r="W7061" t="str">
        <f t="shared" si="1118"/>
        <v/>
      </c>
      <c r="X7061">
        <f t="shared" si="1108"/>
        <v>0</v>
      </c>
      <c r="Z7061" t="str">
        <f t="shared" si="1119"/>
        <v/>
      </c>
      <c r="AA7061">
        <f t="shared" si="1109"/>
        <v>0</v>
      </c>
    </row>
    <row r="7062" spans="1:27" ht="21" customHeight="1" x14ac:dyDescent="0.95">
      <c r="A7062" s="56"/>
      <c r="B7062" s="57"/>
      <c r="C7062" s="57"/>
      <c r="D7062" s="57"/>
      <c r="E7062" s="56"/>
      <c r="F7062" s="57"/>
      <c r="G7062" s="57"/>
      <c r="H7062" s="56"/>
      <c r="I7062" s="56"/>
      <c r="J7062" s="58"/>
      <c r="K7062" s="58"/>
      <c r="L7062" s="13" t="str">
        <f t="shared" si="1110"/>
        <v/>
      </c>
      <c r="M7062" s="13" t="str">
        <f t="shared" si="1111"/>
        <v/>
      </c>
      <c r="Q7062" t="str">
        <f t="shared" si="1112"/>
        <v/>
      </c>
      <c r="R7062" t="str">
        <f t="shared" si="1113"/>
        <v/>
      </c>
      <c r="S7062" t="str">
        <f t="shared" si="1114"/>
        <v/>
      </c>
      <c r="T7062" t="str">
        <f t="shared" si="1115"/>
        <v/>
      </c>
      <c r="U7062" t="str">
        <f t="shared" si="1116"/>
        <v/>
      </c>
      <c r="V7062" t="str">
        <f t="shared" si="1117"/>
        <v/>
      </c>
      <c r="W7062" t="str">
        <f t="shared" si="1118"/>
        <v/>
      </c>
      <c r="X7062">
        <f t="shared" si="1108"/>
        <v>0</v>
      </c>
      <c r="Z7062" t="str">
        <f t="shared" si="1119"/>
        <v/>
      </c>
      <c r="AA7062">
        <f t="shared" si="1109"/>
        <v>0</v>
      </c>
    </row>
    <row r="7063" spans="1:27" ht="21" customHeight="1" x14ac:dyDescent="0.95">
      <c r="A7063" s="56"/>
      <c r="B7063" s="57"/>
      <c r="C7063" s="57"/>
      <c r="D7063" s="57"/>
      <c r="E7063" s="56"/>
      <c r="F7063" s="57"/>
      <c r="G7063" s="57"/>
      <c r="H7063" s="56"/>
      <c r="I7063" s="56"/>
      <c r="J7063" s="58"/>
      <c r="K7063" s="58"/>
      <c r="L7063" s="13" t="str">
        <f t="shared" si="1110"/>
        <v/>
      </c>
      <c r="M7063" s="13" t="str">
        <f t="shared" si="1111"/>
        <v/>
      </c>
      <c r="Q7063" t="str">
        <f t="shared" si="1112"/>
        <v/>
      </c>
      <c r="R7063" t="str">
        <f t="shared" si="1113"/>
        <v/>
      </c>
      <c r="S7063" t="str">
        <f t="shared" si="1114"/>
        <v/>
      </c>
      <c r="T7063" t="str">
        <f t="shared" si="1115"/>
        <v/>
      </c>
      <c r="U7063" t="str">
        <f t="shared" si="1116"/>
        <v/>
      </c>
      <c r="V7063" t="str">
        <f t="shared" si="1117"/>
        <v/>
      </c>
      <c r="W7063" t="str">
        <f t="shared" si="1118"/>
        <v/>
      </c>
      <c r="X7063">
        <f t="shared" si="1108"/>
        <v>0</v>
      </c>
      <c r="Z7063" t="str">
        <f t="shared" si="1119"/>
        <v/>
      </c>
      <c r="AA7063">
        <f t="shared" si="1109"/>
        <v>0</v>
      </c>
    </row>
    <row r="7064" spans="1:27" ht="21" customHeight="1" x14ac:dyDescent="0.95">
      <c r="A7064" s="56"/>
      <c r="B7064" s="57"/>
      <c r="C7064" s="57"/>
      <c r="D7064" s="57"/>
      <c r="E7064" s="56"/>
      <c r="F7064" s="57"/>
      <c r="G7064" s="57"/>
      <c r="H7064" s="56"/>
      <c r="I7064" s="56"/>
      <c r="J7064" s="58"/>
      <c r="K7064" s="58"/>
      <c r="L7064" s="13" t="str">
        <f t="shared" si="1110"/>
        <v/>
      </c>
      <c r="M7064" s="13" t="str">
        <f t="shared" si="1111"/>
        <v/>
      </c>
      <c r="Q7064" t="str">
        <f t="shared" si="1112"/>
        <v/>
      </c>
      <c r="R7064" t="str">
        <f t="shared" si="1113"/>
        <v/>
      </c>
      <c r="S7064" t="str">
        <f t="shared" si="1114"/>
        <v/>
      </c>
      <c r="T7064" t="str">
        <f t="shared" si="1115"/>
        <v/>
      </c>
      <c r="U7064" t="str">
        <f t="shared" si="1116"/>
        <v/>
      </c>
      <c r="V7064" t="str">
        <f t="shared" si="1117"/>
        <v/>
      </c>
      <c r="W7064" t="str">
        <f t="shared" si="1118"/>
        <v/>
      </c>
      <c r="X7064">
        <f t="shared" si="1108"/>
        <v>0</v>
      </c>
      <c r="Z7064" t="str">
        <f t="shared" si="1119"/>
        <v/>
      </c>
      <c r="AA7064">
        <f t="shared" si="1109"/>
        <v>0</v>
      </c>
    </row>
    <row r="7065" spans="1:27" ht="21" customHeight="1" x14ac:dyDescent="0.95">
      <c r="A7065" s="56"/>
      <c r="B7065" s="57"/>
      <c r="C7065" s="57"/>
      <c r="D7065" s="57"/>
      <c r="E7065" s="56"/>
      <c r="F7065" s="57"/>
      <c r="G7065" s="57"/>
      <c r="H7065" s="56"/>
      <c r="I7065" s="56"/>
      <c r="J7065" s="58"/>
      <c r="K7065" s="58"/>
      <c r="L7065" s="13" t="str">
        <f t="shared" si="1110"/>
        <v/>
      </c>
      <c r="M7065" s="13" t="str">
        <f t="shared" si="1111"/>
        <v/>
      </c>
      <c r="Q7065" t="str">
        <f t="shared" si="1112"/>
        <v/>
      </c>
      <c r="R7065" t="str">
        <f t="shared" si="1113"/>
        <v/>
      </c>
      <c r="S7065" t="str">
        <f t="shared" si="1114"/>
        <v/>
      </c>
      <c r="T7065" t="str">
        <f t="shared" si="1115"/>
        <v/>
      </c>
      <c r="U7065" t="str">
        <f t="shared" si="1116"/>
        <v/>
      </c>
      <c r="V7065" t="str">
        <f t="shared" si="1117"/>
        <v/>
      </c>
      <c r="W7065" t="str">
        <f t="shared" si="1118"/>
        <v/>
      </c>
      <c r="X7065">
        <f t="shared" si="1108"/>
        <v>0</v>
      </c>
      <c r="Z7065" t="str">
        <f t="shared" si="1119"/>
        <v/>
      </c>
      <c r="AA7065">
        <f t="shared" si="1109"/>
        <v>0</v>
      </c>
    </row>
    <row r="7066" spans="1:27" ht="21" customHeight="1" x14ac:dyDescent="0.95">
      <c r="A7066" s="56"/>
      <c r="B7066" s="57"/>
      <c r="C7066" s="57"/>
      <c r="D7066" s="57"/>
      <c r="E7066" s="56"/>
      <c r="F7066" s="57"/>
      <c r="G7066" s="57"/>
      <c r="H7066" s="56"/>
      <c r="I7066" s="56"/>
      <c r="J7066" s="58"/>
      <c r="K7066" s="58"/>
      <c r="L7066" s="13" t="str">
        <f t="shared" si="1110"/>
        <v/>
      </c>
      <c r="M7066" s="13" t="str">
        <f t="shared" si="1111"/>
        <v/>
      </c>
      <c r="Q7066" t="str">
        <f t="shared" si="1112"/>
        <v/>
      </c>
      <c r="R7066" t="str">
        <f t="shared" si="1113"/>
        <v/>
      </c>
      <c r="S7066" t="str">
        <f t="shared" si="1114"/>
        <v/>
      </c>
      <c r="T7066" t="str">
        <f t="shared" si="1115"/>
        <v/>
      </c>
      <c r="U7066" t="str">
        <f t="shared" si="1116"/>
        <v/>
      </c>
      <c r="V7066" t="str">
        <f t="shared" si="1117"/>
        <v/>
      </c>
      <c r="W7066" t="str">
        <f t="shared" si="1118"/>
        <v/>
      </c>
      <c r="X7066">
        <f t="shared" si="1108"/>
        <v>0</v>
      </c>
      <c r="Z7066" t="str">
        <f t="shared" si="1119"/>
        <v/>
      </c>
      <c r="AA7066">
        <f t="shared" si="1109"/>
        <v>0</v>
      </c>
    </row>
    <row r="7067" spans="1:27" ht="21" customHeight="1" x14ac:dyDescent="0.95">
      <c r="A7067" s="56"/>
      <c r="B7067" s="57"/>
      <c r="C7067" s="57"/>
      <c r="D7067" s="57"/>
      <c r="E7067" s="56"/>
      <c r="F7067" s="57"/>
      <c r="G7067" s="57"/>
      <c r="H7067" s="56"/>
      <c r="I7067" s="56"/>
      <c r="J7067" s="58"/>
      <c r="K7067" s="58"/>
      <c r="L7067" s="13" t="str">
        <f t="shared" si="1110"/>
        <v/>
      </c>
      <c r="M7067" s="13" t="str">
        <f t="shared" si="1111"/>
        <v/>
      </c>
      <c r="Q7067" t="str">
        <f t="shared" si="1112"/>
        <v/>
      </c>
      <c r="R7067" t="str">
        <f t="shared" si="1113"/>
        <v/>
      </c>
      <c r="S7067" t="str">
        <f t="shared" si="1114"/>
        <v/>
      </c>
      <c r="T7067" t="str">
        <f t="shared" si="1115"/>
        <v/>
      </c>
      <c r="U7067" t="str">
        <f t="shared" si="1116"/>
        <v/>
      </c>
      <c r="V7067" t="str">
        <f t="shared" si="1117"/>
        <v/>
      </c>
      <c r="W7067" t="str">
        <f t="shared" si="1118"/>
        <v/>
      </c>
      <c r="X7067">
        <f t="shared" si="1108"/>
        <v>0</v>
      </c>
      <c r="Z7067" t="str">
        <f t="shared" si="1119"/>
        <v/>
      </c>
      <c r="AA7067">
        <f t="shared" si="1109"/>
        <v>0</v>
      </c>
    </row>
    <row r="7068" spans="1:27" ht="21" customHeight="1" x14ac:dyDescent="0.95">
      <c r="A7068" s="56"/>
      <c r="B7068" s="57"/>
      <c r="C7068" s="57"/>
      <c r="D7068" s="57"/>
      <c r="E7068" s="56"/>
      <c r="F7068" s="57"/>
      <c r="G7068" s="57"/>
      <c r="H7068" s="56"/>
      <c r="I7068" s="56"/>
      <c r="J7068" s="58"/>
      <c r="K7068" s="58"/>
      <c r="L7068" s="13" t="str">
        <f t="shared" si="1110"/>
        <v/>
      </c>
      <c r="M7068" s="13" t="str">
        <f t="shared" si="1111"/>
        <v/>
      </c>
      <c r="Q7068" t="str">
        <f t="shared" si="1112"/>
        <v/>
      </c>
      <c r="R7068" t="str">
        <f t="shared" si="1113"/>
        <v/>
      </c>
      <c r="S7068" t="str">
        <f t="shared" si="1114"/>
        <v/>
      </c>
      <c r="T7068" t="str">
        <f t="shared" si="1115"/>
        <v/>
      </c>
      <c r="U7068" t="str">
        <f t="shared" si="1116"/>
        <v/>
      </c>
      <c r="V7068" t="str">
        <f t="shared" si="1117"/>
        <v/>
      </c>
      <c r="W7068" t="str">
        <f t="shared" si="1118"/>
        <v/>
      </c>
      <c r="X7068">
        <f t="shared" si="1108"/>
        <v>0</v>
      </c>
      <c r="Z7068" t="str">
        <f t="shared" si="1119"/>
        <v/>
      </c>
      <c r="AA7068">
        <f t="shared" si="1109"/>
        <v>0</v>
      </c>
    </row>
    <row r="7069" spans="1:27" ht="21" customHeight="1" x14ac:dyDescent="0.95">
      <c r="A7069" s="56"/>
      <c r="B7069" s="57"/>
      <c r="C7069" s="57"/>
      <c r="D7069" s="57"/>
      <c r="E7069" s="56"/>
      <c r="F7069" s="57"/>
      <c r="G7069" s="57"/>
      <c r="H7069" s="56"/>
      <c r="I7069" s="56"/>
      <c r="J7069" s="58"/>
      <c r="K7069" s="58"/>
      <c r="L7069" s="13" t="str">
        <f t="shared" si="1110"/>
        <v/>
      </c>
      <c r="M7069" s="13" t="str">
        <f t="shared" si="1111"/>
        <v/>
      </c>
      <c r="Q7069" t="str">
        <f t="shared" si="1112"/>
        <v/>
      </c>
      <c r="R7069" t="str">
        <f t="shared" si="1113"/>
        <v/>
      </c>
      <c r="S7069" t="str">
        <f t="shared" si="1114"/>
        <v/>
      </c>
      <c r="T7069" t="str">
        <f t="shared" si="1115"/>
        <v/>
      </c>
      <c r="U7069" t="str">
        <f t="shared" si="1116"/>
        <v/>
      </c>
      <c r="V7069" t="str">
        <f t="shared" si="1117"/>
        <v/>
      </c>
      <c r="W7069" t="str">
        <f t="shared" si="1118"/>
        <v/>
      </c>
      <c r="X7069">
        <f t="shared" si="1108"/>
        <v>0</v>
      </c>
      <c r="Z7069" t="str">
        <f t="shared" si="1119"/>
        <v/>
      </c>
      <c r="AA7069">
        <f t="shared" si="1109"/>
        <v>0</v>
      </c>
    </row>
    <row r="7070" spans="1:27" ht="21" customHeight="1" x14ac:dyDescent="0.95">
      <c r="A7070" s="56"/>
      <c r="B7070" s="57"/>
      <c r="C7070" s="57"/>
      <c r="D7070" s="57"/>
      <c r="E7070" s="56"/>
      <c r="F7070" s="57"/>
      <c r="G7070" s="57"/>
      <c r="H7070" s="56"/>
      <c r="I7070" s="56"/>
      <c r="J7070" s="58"/>
      <c r="K7070" s="58"/>
      <c r="L7070" s="13" t="str">
        <f t="shared" si="1110"/>
        <v/>
      </c>
      <c r="M7070" s="13" t="str">
        <f t="shared" si="1111"/>
        <v/>
      </c>
      <c r="Q7070" t="str">
        <f t="shared" si="1112"/>
        <v/>
      </c>
      <c r="R7070" t="str">
        <f t="shared" si="1113"/>
        <v/>
      </c>
      <c r="S7070" t="str">
        <f t="shared" si="1114"/>
        <v/>
      </c>
      <c r="T7070" t="str">
        <f t="shared" si="1115"/>
        <v/>
      </c>
      <c r="U7070" t="str">
        <f t="shared" si="1116"/>
        <v/>
      </c>
      <c r="V7070" t="str">
        <f t="shared" si="1117"/>
        <v/>
      </c>
      <c r="W7070" t="str">
        <f t="shared" si="1118"/>
        <v/>
      </c>
      <c r="X7070">
        <f t="shared" si="1108"/>
        <v>0</v>
      </c>
      <c r="Z7070" t="str">
        <f t="shared" si="1119"/>
        <v/>
      </c>
      <c r="AA7070">
        <f t="shared" si="1109"/>
        <v>0</v>
      </c>
    </row>
    <row r="7071" spans="1:27" ht="21" customHeight="1" x14ac:dyDescent="0.95">
      <c r="A7071" s="56"/>
      <c r="B7071" s="57"/>
      <c r="C7071" s="57"/>
      <c r="D7071" s="57"/>
      <c r="E7071" s="56"/>
      <c r="F7071" s="57"/>
      <c r="G7071" s="57"/>
      <c r="H7071" s="56"/>
      <c r="I7071" s="56"/>
      <c r="J7071" s="58"/>
      <c r="K7071" s="58"/>
      <c r="L7071" s="13" t="str">
        <f t="shared" si="1110"/>
        <v/>
      </c>
      <c r="M7071" s="13" t="str">
        <f t="shared" si="1111"/>
        <v/>
      </c>
      <c r="Q7071" t="str">
        <f t="shared" si="1112"/>
        <v/>
      </c>
      <c r="R7071" t="str">
        <f t="shared" si="1113"/>
        <v/>
      </c>
      <c r="S7071" t="str">
        <f t="shared" si="1114"/>
        <v/>
      </c>
      <c r="T7071" t="str">
        <f t="shared" si="1115"/>
        <v/>
      </c>
      <c r="U7071" t="str">
        <f t="shared" si="1116"/>
        <v/>
      </c>
      <c r="V7071" t="str">
        <f t="shared" si="1117"/>
        <v/>
      </c>
      <c r="W7071" t="str">
        <f t="shared" si="1118"/>
        <v/>
      </c>
      <c r="X7071">
        <f t="shared" si="1108"/>
        <v>0</v>
      </c>
      <c r="Z7071" t="str">
        <f t="shared" si="1119"/>
        <v/>
      </c>
      <c r="AA7071">
        <f t="shared" si="1109"/>
        <v>0</v>
      </c>
    </row>
    <row r="7072" spans="1:27" ht="21" customHeight="1" x14ac:dyDescent="0.95">
      <c r="A7072" s="56"/>
      <c r="B7072" s="57"/>
      <c r="C7072" s="57"/>
      <c r="D7072" s="57"/>
      <c r="E7072" s="56"/>
      <c r="F7072" s="57"/>
      <c r="G7072" s="57"/>
      <c r="H7072" s="56"/>
      <c r="I7072" s="56"/>
      <c r="J7072" s="58"/>
      <c r="K7072" s="58"/>
      <c r="L7072" s="13" t="str">
        <f t="shared" si="1110"/>
        <v/>
      </c>
      <c r="M7072" s="13" t="str">
        <f t="shared" si="1111"/>
        <v/>
      </c>
      <c r="Q7072" t="str">
        <f t="shared" si="1112"/>
        <v/>
      </c>
      <c r="R7072" t="str">
        <f t="shared" si="1113"/>
        <v/>
      </c>
      <c r="S7072" t="str">
        <f t="shared" si="1114"/>
        <v/>
      </c>
      <c r="T7072" t="str">
        <f t="shared" si="1115"/>
        <v/>
      </c>
      <c r="U7072" t="str">
        <f t="shared" si="1116"/>
        <v/>
      </c>
      <c r="V7072" t="str">
        <f t="shared" si="1117"/>
        <v/>
      </c>
      <c r="W7072" t="str">
        <f t="shared" si="1118"/>
        <v/>
      </c>
      <c r="X7072">
        <f t="shared" si="1108"/>
        <v>0</v>
      </c>
      <c r="Z7072" t="str">
        <f t="shared" si="1119"/>
        <v/>
      </c>
      <c r="AA7072">
        <f t="shared" si="1109"/>
        <v>0</v>
      </c>
    </row>
    <row r="7073" spans="1:27" ht="21" customHeight="1" x14ac:dyDescent="0.95">
      <c r="A7073" s="56"/>
      <c r="B7073" s="57"/>
      <c r="C7073" s="57"/>
      <c r="D7073" s="57"/>
      <c r="E7073" s="56"/>
      <c r="F7073" s="57"/>
      <c r="G7073" s="57"/>
      <c r="H7073" s="56"/>
      <c r="I7073" s="56"/>
      <c r="J7073" s="58"/>
      <c r="K7073" s="58"/>
      <c r="L7073" s="13" t="str">
        <f t="shared" si="1110"/>
        <v/>
      </c>
      <c r="M7073" s="13" t="str">
        <f t="shared" si="1111"/>
        <v/>
      </c>
      <c r="Q7073" t="str">
        <f t="shared" si="1112"/>
        <v/>
      </c>
      <c r="R7073" t="str">
        <f t="shared" si="1113"/>
        <v/>
      </c>
      <c r="S7073" t="str">
        <f t="shared" si="1114"/>
        <v/>
      </c>
      <c r="T7073" t="str">
        <f t="shared" si="1115"/>
        <v/>
      </c>
      <c r="U7073" t="str">
        <f t="shared" si="1116"/>
        <v/>
      </c>
      <c r="V7073" t="str">
        <f t="shared" si="1117"/>
        <v/>
      </c>
      <c r="W7073" t="str">
        <f t="shared" si="1118"/>
        <v/>
      </c>
      <c r="X7073">
        <f t="shared" si="1108"/>
        <v>0</v>
      </c>
      <c r="Z7073" t="str">
        <f t="shared" si="1119"/>
        <v/>
      </c>
      <c r="AA7073">
        <f t="shared" si="1109"/>
        <v>0</v>
      </c>
    </row>
    <row r="7074" spans="1:27" ht="21" customHeight="1" x14ac:dyDescent="0.95">
      <c r="A7074" s="56"/>
      <c r="B7074" s="57"/>
      <c r="C7074" s="57"/>
      <c r="D7074" s="57"/>
      <c r="E7074" s="56"/>
      <c r="F7074" s="57"/>
      <c r="G7074" s="57"/>
      <c r="H7074" s="56"/>
      <c r="I7074" s="56"/>
      <c r="J7074" s="58"/>
      <c r="K7074" s="58"/>
      <c r="L7074" s="13" t="str">
        <f t="shared" si="1110"/>
        <v/>
      </c>
      <c r="M7074" s="13" t="str">
        <f t="shared" si="1111"/>
        <v/>
      </c>
      <c r="Q7074" t="str">
        <f t="shared" si="1112"/>
        <v/>
      </c>
      <c r="R7074" t="str">
        <f t="shared" si="1113"/>
        <v/>
      </c>
      <c r="S7074" t="str">
        <f t="shared" si="1114"/>
        <v/>
      </c>
      <c r="T7074" t="str">
        <f t="shared" si="1115"/>
        <v/>
      </c>
      <c r="U7074" t="str">
        <f t="shared" si="1116"/>
        <v/>
      </c>
      <c r="V7074" t="str">
        <f t="shared" si="1117"/>
        <v/>
      </c>
      <c r="W7074" t="str">
        <f t="shared" si="1118"/>
        <v/>
      </c>
      <c r="X7074">
        <f t="shared" si="1108"/>
        <v>0</v>
      </c>
      <c r="Z7074" t="str">
        <f t="shared" si="1119"/>
        <v/>
      </c>
      <c r="AA7074">
        <f t="shared" si="1109"/>
        <v>0</v>
      </c>
    </row>
    <row r="7075" spans="1:27" ht="21" customHeight="1" x14ac:dyDescent="0.95">
      <c r="A7075" s="56"/>
      <c r="B7075" s="57"/>
      <c r="C7075" s="57"/>
      <c r="D7075" s="57"/>
      <c r="E7075" s="56"/>
      <c r="F7075" s="57"/>
      <c r="G7075" s="57"/>
      <c r="H7075" s="56"/>
      <c r="I7075" s="56"/>
      <c r="J7075" s="58"/>
      <c r="K7075" s="58"/>
      <c r="L7075" s="13" t="str">
        <f t="shared" si="1110"/>
        <v/>
      </c>
      <c r="M7075" s="13" t="str">
        <f t="shared" si="1111"/>
        <v/>
      </c>
      <c r="Q7075" t="str">
        <f t="shared" si="1112"/>
        <v/>
      </c>
      <c r="R7075" t="str">
        <f t="shared" si="1113"/>
        <v/>
      </c>
      <c r="S7075" t="str">
        <f t="shared" si="1114"/>
        <v/>
      </c>
      <c r="T7075" t="str">
        <f t="shared" si="1115"/>
        <v/>
      </c>
      <c r="U7075" t="str">
        <f t="shared" si="1116"/>
        <v/>
      </c>
      <c r="V7075" t="str">
        <f t="shared" si="1117"/>
        <v/>
      </c>
      <c r="W7075" t="str">
        <f t="shared" si="1118"/>
        <v/>
      </c>
      <c r="X7075">
        <f t="shared" si="1108"/>
        <v>0</v>
      </c>
      <c r="Z7075" t="str">
        <f t="shared" si="1119"/>
        <v/>
      </c>
      <c r="AA7075">
        <f t="shared" si="1109"/>
        <v>0</v>
      </c>
    </row>
    <row r="7076" spans="1:27" ht="21" customHeight="1" x14ac:dyDescent="0.95">
      <c r="A7076" s="56"/>
      <c r="B7076" s="57"/>
      <c r="C7076" s="57"/>
      <c r="D7076" s="57"/>
      <c r="E7076" s="56"/>
      <c r="F7076" s="57"/>
      <c r="G7076" s="57"/>
      <c r="H7076" s="56"/>
      <c r="I7076" s="56"/>
      <c r="J7076" s="58"/>
      <c r="K7076" s="58"/>
      <c r="L7076" s="13" t="str">
        <f t="shared" si="1110"/>
        <v/>
      </c>
      <c r="M7076" s="13" t="str">
        <f t="shared" si="1111"/>
        <v/>
      </c>
      <c r="Q7076" t="str">
        <f t="shared" si="1112"/>
        <v/>
      </c>
      <c r="R7076" t="str">
        <f t="shared" si="1113"/>
        <v/>
      </c>
      <c r="S7076" t="str">
        <f t="shared" si="1114"/>
        <v/>
      </c>
      <c r="T7076" t="str">
        <f t="shared" si="1115"/>
        <v/>
      </c>
      <c r="U7076" t="str">
        <f t="shared" si="1116"/>
        <v/>
      </c>
      <c r="V7076" t="str">
        <f t="shared" si="1117"/>
        <v/>
      </c>
      <c r="W7076" t="str">
        <f t="shared" si="1118"/>
        <v/>
      </c>
      <c r="X7076">
        <f t="shared" si="1108"/>
        <v>0</v>
      </c>
      <c r="Z7076" t="str">
        <f t="shared" si="1119"/>
        <v/>
      </c>
      <c r="AA7076">
        <f t="shared" si="1109"/>
        <v>0</v>
      </c>
    </row>
    <row r="7077" spans="1:27" ht="21" customHeight="1" x14ac:dyDescent="0.95">
      <c r="A7077" s="56"/>
      <c r="B7077" s="57"/>
      <c r="C7077" s="57"/>
      <c r="D7077" s="57"/>
      <c r="E7077" s="56"/>
      <c r="F7077" s="57"/>
      <c r="G7077" s="57"/>
      <c r="H7077" s="56"/>
      <c r="I7077" s="56"/>
      <c r="J7077" s="58"/>
      <c r="K7077" s="58"/>
      <c r="L7077" s="13" t="str">
        <f t="shared" si="1110"/>
        <v/>
      </c>
      <c r="M7077" s="13" t="str">
        <f t="shared" si="1111"/>
        <v/>
      </c>
      <c r="Q7077" t="str">
        <f t="shared" si="1112"/>
        <v/>
      </c>
      <c r="R7077" t="str">
        <f t="shared" si="1113"/>
        <v/>
      </c>
      <c r="S7077" t="str">
        <f t="shared" si="1114"/>
        <v/>
      </c>
      <c r="T7077" t="str">
        <f t="shared" si="1115"/>
        <v/>
      </c>
      <c r="U7077" t="str">
        <f t="shared" si="1116"/>
        <v/>
      </c>
      <c r="V7077" t="str">
        <f t="shared" si="1117"/>
        <v/>
      </c>
      <c r="W7077" t="str">
        <f t="shared" si="1118"/>
        <v/>
      </c>
      <c r="X7077">
        <f t="shared" si="1108"/>
        <v>0</v>
      </c>
      <c r="Z7077" t="str">
        <f t="shared" si="1119"/>
        <v/>
      </c>
      <c r="AA7077">
        <f t="shared" si="1109"/>
        <v>0</v>
      </c>
    </row>
    <row r="7078" spans="1:27" ht="21" customHeight="1" x14ac:dyDescent="0.95">
      <c r="A7078" s="56"/>
      <c r="B7078" s="57"/>
      <c r="C7078" s="57"/>
      <c r="D7078" s="57"/>
      <c r="E7078" s="56"/>
      <c r="F7078" s="57"/>
      <c r="G7078" s="57"/>
      <c r="H7078" s="56"/>
      <c r="I7078" s="56"/>
      <c r="J7078" s="58"/>
      <c r="K7078" s="58"/>
      <c r="L7078" s="13" t="str">
        <f t="shared" si="1110"/>
        <v/>
      </c>
      <c r="M7078" s="13" t="str">
        <f t="shared" si="1111"/>
        <v/>
      </c>
      <c r="Q7078" t="str">
        <f t="shared" si="1112"/>
        <v/>
      </c>
      <c r="R7078" t="str">
        <f t="shared" si="1113"/>
        <v/>
      </c>
      <c r="S7078" t="str">
        <f t="shared" si="1114"/>
        <v/>
      </c>
      <c r="T7078" t="str">
        <f t="shared" si="1115"/>
        <v/>
      </c>
      <c r="U7078" t="str">
        <f t="shared" si="1116"/>
        <v/>
      </c>
      <c r="V7078" t="str">
        <f t="shared" si="1117"/>
        <v/>
      </c>
      <c r="W7078" t="str">
        <f t="shared" si="1118"/>
        <v/>
      </c>
      <c r="X7078">
        <f t="shared" si="1108"/>
        <v>0</v>
      </c>
      <c r="Z7078" t="str">
        <f t="shared" si="1119"/>
        <v/>
      </c>
      <c r="AA7078">
        <f t="shared" si="1109"/>
        <v>0</v>
      </c>
    </row>
    <row r="7079" spans="1:27" ht="21" customHeight="1" x14ac:dyDescent="0.95">
      <c r="A7079" s="56"/>
      <c r="B7079" s="57"/>
      <c r="C7079" s="57"/>
      <c r="D7079" s="57"/>
      <c r="E7079" s="56"/>
      <c r="F7079" s="57"/>
      <c r="G7079" s="57"/>
      <c r="H7079" s="56"/>
      <c r="I7079" s="56"/>
      <c r="J7079" s="58"/>
      <c r="K7079" s="58"/>
      <c r="L7079" s="13" t="str">
        <f t="shared" si="1110"/>
        <v/>
      </c>
      <c r="M7079" s="13" t="str">
        <f t="shared" si="1111"/>
        <v/>
      </c>
      <c r="Q7079" t="str">
        <f t="shared" si="1112"/>
        <v/>
      </c>
      <c r="R7079" t="str">
        <f t="shared" si="1113"/>
        <v/>
      </c>
      <c r="S7079" t="str">
        <f t="shared" si="1114"/>
        <v/>
      </c>
      <c r="T7079" t="str">
        <f t="shared" si="1115"/>
        <v/>
      </c>
      <c r="U7079" t="str">
        <f t="shared" si="1116"/>
        <v/>
      </c>
      <c r="V7079" t="str">
        <f t="shared" si="1117"/>
        <v/>
      </c>
      <c r="W7079" t="str">
        <f t="shared" si="1118"/>
        <v/>
      </c>
      <c r="X7079">
        <f t="shared" si="1108"/>
        <v>0</v>
      </c>
      <c r="Z7079" t="str">
        <f t="shared" si="1119"/>
        <v/>
      </c>
      <c r="AA7079">
        <f t="shared" si="1109"/>
        <v>0</v>
      </c>
    </row>
    <row r="7080" spans="1:27" ht="21" customHeight="1" x14ac:dyDescent="0.95">
      <c r="A7080" s="56"/>
      <c r="B7080" s="57"/>
      <c r="C7080" s="57"/>
      <c r="D7080" s="57"/>
      <c r="E7080" s="56"/>
      <c r="F7080" s="57"/>
      <c r="G7080" s="57"/>
      <c r="H7080" s="56"/>
      <c r="I7080" s="56"/>
      <c r="J7080" s="58"/>
      <c r="K7080" s="58"/>
      <c r="L7080" s="13" t="str">
        <f t="shared" si="1110"/>
        <v/>
      </c>
      <c r="M7080" s="13" t="str">
        <f t="shared" si="1111"/>
        <v/>
      </c>
      <c r="Q7080" t="str">
        <f t="shared" si="1112"/>
        <v/>
      </c>
      <c r="R7080" t="str">
        <f t="shared" si="1113"/>
        <v/>
      </c>
      <c r="S7080" t="str">
        <f t="shared" si="1114"/>
        <v/>
      </c>
      <c r="T7080" t="str">
        <f t="shared" si="1115"/>
        <v/>
      </c>
      <c r="U7080" t="str">
        <f t="shared" si="1116"/>
        <v/>
      </c>
      <c r="V7080" t="str">
        <f t="shared" si="1117"/>
        <v/>
      </c>
      <c r="W7080" t="str">
        <f t="shared" si="1118"/>
        <v/>
      </c>
      <c r="X7080">
        <f t="shared" si="1108"/>
        <v>0</v>
      </c>
      <c r="Z7080" t="str">
        <f t="shared" si="1119"/>
        <v/>
      </c>
      <c r="AA7080">
        <f t="shared" si="1109"/>
        <v>0</v>
      </c>
    </row>
    <row r="7081" spans="1:27" ht="21" customHeight="1" x14ac:dyDescent="0.95">
      <c r="A7081" s="56"/>
      <c r="B7081" s="57"/>
      <c r="C7081" s="57"/>
      <c r="D7081" s="57"/>
      <c r="E7081" s="56"/>
      <c r="F7081" s="57"/>
      <c r="G7081" s="57"/>
      <c r="H7081" s="56"/>
      <c r="I7081" s="56"/>
      <c r="J7081" s="58"/>
      <c r="K7081" s="58"/>
      <c r="L7081" s="13" t="str">
        <f t="shared" si="1110"/>
        <v/>
      </c>
      <c r="M7081" s="13" t="str">
        <f t="shared" si="1111"/>
        <v/>
      </c>
      <c r="Q7081" t="str">
        <f t="shared" si="1112"/>
        <v/>
      </c>
      <c r="R7081" t="str">
        <f t="shared" si="1113"/>
        <v/>
      </c>
      <c r="S7081" t="str">
        <f t="shared" si="1114"/>
        <v/>
      </c>
      <c r="T7081" t="str">
        <f t="shared" si="1115"/>
        <v/>
      </c>
      <c r="U7081" t="str">
        <f t="shared" si="1116"/>
        <v/>
      </c>
      <c r="V7081" t="str">
        <f t="shared" si="1117"/>
        <v/>
      </c>
      <c r="W7081" t="str">
        <f t="shared" si="1118"/>
        <v/>
      </c>
      <c r="X7081">
        <f t="shared" si="1108"/>
        <v>0</v>
      </c>
      <c r="Z7081" t="str">
        <f t="shared" si="1119"/>
        <v/>
      </c>
      <c r="AA7081">
        <f t="shared" si="1109"/>
        <v>0</v>
      </c>
    </row>
    <row r="7082" spans="1:27" ht="21" customHeight="1" x14ac:dyDescent="0.95">
      <c r="A7082" s="56"/>
      <c r="B7082" s="57"/>
      <c r="C7082" s="57"/>
      <c r="D7082" s="57"/>
      <c r="E7082" s="56"/>
      <c r="F7082" s="57"/>
      <c r="G7082" s="57"/>
      <c r="H7082" s="56"/>
      <c r="I7082" s="56"/>
      <c r="J7082" s="58"/>
      <c r="K7082" s="58"/>
      <c r="L7082" s="13" t="str">
        <f t="shared" si="1110"/>
        <v/>
      </c>
      <c r="M7082" s="13" t="str">
        <f t="shared" si="1111"/>
        <v/>
      </c>
      <c r="Q7082" t="str">
        <f t="shared" si="1112"/>
        <v/>
      </c>
      <c r="R7082" t="str">
        <f t="shared" si="1113"/>
        <v/>
      </c>
      <c r="S7082" t="str">
        <f t="shared" si="1114"/>
        <v/>
      </c>
      <c r="T7082" t="str">
        <f t="shared" si="1115"/>
        <v/>
      </c>
      <c r="U7082" t="str">
        <f t="shared" si="1116"/>
        <v/>
      </c>
      <c r="V7082" t="str">
        <f t="shared" si="1117"/>
        <v/>
      </c>
      <c r="W7082" t="str">
        <f t="shared" si="1118"/>
        <v/>
      </c>
      <c r="X7082">
        <f t="shared" si="1108"/>
        <v>0</v>
      </c>
      <c r="Z7082" t="str">
        <f t="shared" si="1119"/>
        <v/>
      </c>
      <c r="AA7082">
        <f t="shared" si="1109"/>
        <v>0</v>
      </c>
    </row>
    <row r="7083" spans="1:27" ht="21" customHeight="1" x14ac:dyDescent="0.95">
      <c r="A7083" s="56"/>
      <c r="B7083" s="57"/>
      <c r="C7083" s="57"/>
      <c r="D7083" s="57"/>
      <c r="E7083" s="56"/>
      <c r="F7083" s="57"/>
      <c r="G7083" s="57"/>
      <c r="H7083" s="56"/>
      <c r="I7083" s="56"/>
      <c r="J7083" s="58"/>
      <c r="K7083" s="58"/>
      <c r="L7083" s="13" t="str">
        <f t="shared" si="1110"/>
        <v/>
      </c>
      <c r="M7083" s="13" t="str">
        <f t="shared" si="1111"/>
        <v/>
      </c>
      <c r="Q7083" t="str">
        <f t="shared" si="1112"/>
        <v/>
      </c>
      <c r="R7083" t="str">
        <f t="shared" si="1113"/>
        <v/>
      </c>
      <c r="S7083" t="str">
        <f t="shared" si="1114"/>
        <v/>
      </c>
      <c r="T7083" t="str">
        <f t="shared" si="1115"/>
        <v/>
      </c>
      <c r="U7083" t="str">
        <f t="shared" si="1116"/>
        <v/>
      </c>
      <c r="V7083" t="str">
        <f t="shared" si="1117"/>
        <v/>
      </c>
      <c r="W7083" t="str">
        <f t="shared" si="1118"/>
        <v/>
      </c>
      <c r="X7083">
        <f t="shared" si="1108"/>
        <v>0</v>
      </c>
      <c r="Z7083" t="str">
        <f t="shared" si="1119"/>
        <v/>
      </c>
      <c r="AA7083">
        <f t="shared" si="1109"/>
        <v>0</v>
      </c>
    </row>
    <row r="7084" spans="1:27" ht="21" customHeight="1" x14ac:dyDescent="0.95">
      <c r="A7084" s="56"/>
      <c r="B7084" s="57"/>
      <c r="C7084" s="57"/>
      <c r="D7084" s="57"/>
      <c r="E7084" s="56"/>
      <c r="F7084" s="57"/>
      <c r="G7084" s="57"/>
      <c r="H7084" s="56"/>
      <c r="I7084" s="56"/>
      <c r="J7084" s="58"/>
      <c r="K7084" s="58"/>
      <c r="L7084" s="13" t="str">
        <f t="shared" si="1110"/>
        <v/>
      </c>
      <c r="M7084" s="13" t="str">
        <f t="shared" si="1111"/>
        <v/>
      </c>
      <c r="Q7084" t="str">
        <f t="shared" si="1112"/>
        <v/>
      </c>
      <c r="R7084" t="str">
        <f t="shared" si="1113"/>
        <v/>
      </c>
      <c r="S7084" t="str">
        <f t="shared" si="1114"/>
        <v/>
      </c>
      <c r="T7084" t="str">
        <f t="shared" si="1115"/>
        <v/>
      </c>
      <c r="U7084" t="str">
        <f t="shared" si="1116"/>
        <v/>
      </c>
      <c r="V7084" t="str">
        <f t="shared" si="1117"/>
        <v/>
      </c>
      <c r="W7084" t="str">
        <f t="shared" si="1118"/>
        <v/>
      </c>
      <c r="X7084">
        <f t="shared" si="1108"/>
        <v>0</v>
      </c>
      <c r="Z7084" t="str">
        <f t="shared" si="1119"/>
        <v/>
      </c>
      <c r="AA7084">
        <f t="shared" si="1109"/>
        <v>0</v>
      </c>
    </row>
    <row r="7085" spans="1:27" ht="21" customHeight="1" x14ac:dyDescent="0.95">
      <c r="A7085" s="56"/>
      <c r="B7085" s="57"/>
      <c r="C7085" s="57"/>
      <c r="D7085" s="57"/>
      <c r="E7085" s="56"/>
      <c r="F7085" s="57"/>
      <c r="G7085" s="57"/>
      <c r="H7085" s="56"/>
      <c r="I7085" s="56"/>
      <c r="J7085" s="58"/>
      <c r="K7085" s="58"/>
      <c r="L7085" s="13" t="str">
        <f t="shared" si="1110"/>
        <v/>
      </c>
      <c r="M7085" s="13" t="str">
        <f t="shared" si="1111"/>
        <v/>
      </c>
      <c r="Q7085" t="str">
        <f t="shared" si="1112"/>
        <v/>
      </c>
      <c r="R7085" t="str">
        <f t="shared" si="1113"/>
        <v/>
      </c>
      <c r="S7085" t="str">
        <f t="shared" si="1114"/>
        <v/>
      </c>
      <c r="T7085" t="str">
        <f t="shared" si="1115"/>
        <v/>
      </c>
      <c r="U7085" t="str">
        <f t="shared" si="1116"/>
        <v/>
      </c>
      <c r="V7085" t="str">
        <f t="shared" si="1117"/>
        <v/>
      </c>
      <c r="W7085" t="str">
        <f t="shared" si="1118"/>
        <v/>
      </c>
      <c r="X7085">
        <f t="shared" si="1108"/>
        <v>0</v>
      </c>
      <c r="Z7085" t="str">
        <f t="shared" si="1119"/>
        <v/>
      </c>
      <c r="AA7085">
        <f t="shared" si="1109"/>
        <v>0</v>
      </c>
    </row>
    <row r="7086" spans="1:27" ht="21" customHeight="1" x14ac:dyDescent="0.95">
      <c r="A7086" s="56"/>
      <c r="B7086" s="57"/>
      <c r="C7086" s="57"/>
      <c r="D7086" s="57"/>
      <c r="E7086" s="56"/>
      <c r="F7086" s="57"/>
      <c r="G7086" s="57"/>
      <c r="H7086" s="56"/>
      <c r="I7086" s="56"/>
      <c r="J7086" s="58"/>
      <c r="K7086" s="58"/>
      <c r="L7086" s="13" t="str">
        <f t="shared" si="1110"/>
        <v/>
      </c>
      <c r="M7086" s="13" t="str">
        <f t="shared" si="1111"/>
        <v/>
      </c>
      <c r="Q7086" t="str">
        <f t="shared" si="1112"/>
        <v/>
      </c>
      <c r="R7086" t="str">
        <f t="shared" si="1113"/>
        <v/>
      </c>
      <c r="S7086" t="str">
        <f t="shared" si="1114"/>
        <v/>
      </c>
      <c r="T7086" t="str">
        <f t="shared" si="1115"/>
        <v/>
      </c>
      <c r="U7086" t="str">
        <f t="shared" si="1116"/>
        <v/>
      </c>
      <c r="V7086" t="str">
        <f t="shared" si="1117"/>
        <v/>
      </c>
      <c r="W7086" t="str">
        <f t="shared" si="1118"/>
        <v/>
      </c>
      <c r="X7086">
        <f t="shared" si="1108"/>
        <v>0</v>
      </c>
      <c r="Z7086" t="str">
        <f t="shared" si="1119"/>
        <v/>
      </c>
      <c r="AA7086">
        <f t="shared" si="1109"/>
        <v>0</v>
      </c>
    </row>
    <row r="7087" spans="1:27" ht="21" customHeight="1" x14ac:dyDescent="0.95">
      <c r="A7087" s="56"/>
      <c r="B7087" s="57"/>
      <c r="C7087" s="57"/>
      <c r="D7087" s="57"/>
      <c r="E7087" s="56"/>
      <c r="F7087" s="57"/>
      <c r="G7087" s="57"/>
      <c r="H7087" s="56"/>
      <c r="I7087" s="56"/>
      <c r="J7087" s="58"/>
      <c r="K7087" s="58"/>
      <c r="L7087" s="13" t="str">
        <f t="shared" si="1110"/>
        <v/>
      </c>
      <c r="M7087" s="13" t="str">
        <f t="shared" si="1111"/>
        <v/>
      </c>
      <c r="Q7087" t="str">
        <f t="shared" si="1112"/>
        <v/>
      </c>
      <c r="R7087" t="str">
        <f t="shared" si="1113"/>
        <v/>
      </c>
      <c r="S7087" t="str">
        <f t="shared" si="1114"/>
        <v/>
      </c>
      <c r="T7087" t="str">
        <f t="shared" si="1115"/>
        <v/>
      </c>
      <c r="U7087" t="str">
        <f t="shared" si="1116"/>
        <v/>
      </c>
      <c r="V7087" t="str">
        <f t="shared" si="1117"/>
        <v/>
      </c>
      <c r="W7087" t="str">
        <f t="shared" si="1118"/>
        <v/>
      </c>
      <c r="X7087">
        <f t="shared" si="1108"/>
        <v>0</v>
      </c>
      <c r="Z7087" t="str">
        <f t="shared" si="1119"/>
        <v/>
      </c>
      <c r="AA7087">
        <f t="shared" si="1109"/>
        <v>0</v>
      </c>
    </row>
    <row r="7088" spans="1:27" ht="21" customHeight="1" x14ac:dyDescent="0.95">
      <c r="A7088" s="56"/>
      <c r="B7088" s="57"/>
      <c r="C7088" s="57"/>
      <c r="D7088" s="57"/>
      <c r="E7088" s="56"/>
      <c r="F7088" s="57"/>
      <c r="G7088" s="57"/>
      <c r="H7088" s="56"/>
      <c r="I7088" s="56"/>
      <c r="J7088" s="58"/>
      <c r="K7088" s="58"/>
      <c r="L7088" s="13" t="str">
        <f t="shared" si="1110"/>
        <v/>
      </c>
      <c r="M7088" s="13" t="str">
        <f t="shared" si="1111"/>
        <v/>
      </c>
      <c r="Q7088" t="str">
        <f t="shared" si="1112"/>
        <v/>
      </c>
      <c r="R7088" t="str">
        <f t="shared" si="1113"/>
        <v/>
      </c>
      <c r="S7088" t="str">
        <f t="shared" si="1114"/>
        <v/>
      </c>
      <c r="T7088" t="str">
        <f t="shared" si="1115"/>
        <v/>
      </c>
      <c r="U7088" t="str">
        <f t="shared" si="1116"/>
        <v/>
      </c>
      <c r="V7088" t="str">
        <f t="shared" si="1117"/>
        <v/>
      </c>
      <c r="W7088" t="str">
        <f t="shared" si="1118"/>
        <v/>
      </c>
      <c r="X7088">
        <f t="shared" si="1108"/>
        <v>0</v>
      </c>
      <c r="Z7088" t="str">
        <f t="shared" si="1119"/>
        <v/>
      </c>
      <c r="AA7088">
        <f t="shared" si="1109"/>
        <v>0</v>
      </c>
    </row>
    <row r="7089" spans="1:27" ht="21" customHeight="1" x14ac:dyDescent="0.95">
      <c r="A7089" s="56"/>
      <c r="B7089" s="57"/>
      <c r="C7089" s="57"/>
      <c r="D7089" s="57"/>
      <c r="E7089" s="56"/>
      <c r="F7089" s="57"/>
      <c r="G7089" s="57"/>
      <c r="H7089" s="56"/>
      <c r="I7089" s="56"/>
      <c r="J7089" s="58"/>
      <c r="K7089" s="58"/>
      <c r="L7089" s="13" t="str">
        <f t="shared" si="1110"/>
        <v/>
      </c>
      <c r="M7089" s="13" t="str">
        <f t="shared" si="1111"/>
        <v/>
      </c>
      <c r="Q7089" t="str">
        <f t="shared" si="1112"/>
        <v/>
      </c>
      <c r="R7089" t="str">
        <f t="shared" si="1113"/>
        <v/>
      </c>
      <c r="S7089" t="str">
        <f t="shared" si="1114"/>
        <v/>
      </c>
      <c r="T7089" t="str">
        <f t="shared" si="1115"/>
        <v/>
      </c>
      <c r="U7089" t="str">
        <f t="shared" si="1116"/>
        <v/>
      </c>
      <c r="V7089" t="str">
        <f t="shared" si="1117"/>
        <v/>
      </c>
      <c r="W7089" t="str">
        <f t="shared" si="1118"/>
        <v/>
      </c>
      <c r="X7089">
        <f t="shared" si="1108"/>
        <v>0</v>
      </c>
      <c r="Z7089" t="str">
        <f t="shared" si="1119"/>
        <v/>
      </c>
      <c r="AA7089">
        <f t="shared" si="1109"/>
        <v>0</v>
      </c>
    </row>
    <row r="7090" spans="1:27" ht="21" customHeight="1" x14ac:dyDescent="0.95">
      <c r="A7090" s="56"/>
      <c r="B7090" s="57"/>
      <c r="C7090" s="57"/>
      <c r="D7090" s="57"/>
      <c r="E7090" s="56"/>
      <c r="F7090" s="57"/>
      <c r="G7090" s="57"/>
      <c r="H7090" s="56"/>
      <c r="I7090" s="56"/>
      <c r="J7090" s="58"/>
      <c r="K7090" s="58"/>
      <c r="L7090" s="13" t="str">
        <f t="shared" si="1110"/>
        <v/>
      </c>
      <c r="M7090" s="13" t="str">
        <f t="shared" si="1111"/>
        <v/>
      </c>
      <c r="Q7090" t="str">
        <f t="shared" si="1112"/>
        <v/>
      </c>
      <c r="R7090" t="str">
        <f t="shared" si="1113"/>
        <v/>
      </c>
      <c r="S7090" t="str">
        <f t="shared" si="1114"/>
        <v/>
      </c>
      <c r="T7090" t="str">
        <f t="shared" si="1115"/>
        <v/>
      </c>
      <c r="U7090" t="str">
        <f t="shared" si="1116"/>
        <v/>
      </c>
      <c r="V7090" t="str">
        <f t="shared" si="1117"/>
        <v/>
      </c>
      <c r="W7090" t="str">
        <f t="shared" si="1118"/>
        <v/>
      </c>
      <c r="X7090">
        <f t="shared" si="1108"/>
        <v>0</v>
      </c>
      <c r="Z7090" t="str">
        <f t="shared" si="1119"/>
        <v/>
      </c>
      <c r="AA7090">
        <f t="shared" si="1109"/>
        <v>0</v>
      </c>
    </row>
    <row r="7091" spans="1:27" ht="21" customHeight="1" x14ac:dyDescent="0.95">
      <c r="A7091" s="56"/>
      <c r="B7091" s="57"/>
      <c r="C7091" s="57"/>
      <c r="D7091" s="57"/>
      <c r="E7091" s="56"/>
      <c r="F7091" s="57"/>
      <c r="G7091" s="57"/>
      <c r="H7091" s="56"/>
      <c r="I7091" s="56"/>
      <c r="J7091" s="58"/>
      <c r="K7091" s="58"/>
      <c r="L7091" s="13" t="str">
        <f t="shared" si="1110"/>
        <v/>
      </c>
      <c r="M7091" s="13" t="str">
        <f t="shared" si="1111"/>
        <v/>
      </c>
      <c r="Q7091" t="str">
        <f t="shared" si="1112"/>
        <v/>
      </c>
      <c r="R7091" t="str">
        <f t="shared" si="1113"/>
        <v/>
      </c>
      <c r="S7091" t="str">
        <f t="shared" si="1114"/>
        <v/>
      </c>
      <c r="T7091" t="str">
        <f t="shared" si="1115"/>
        <v/>
      </c>
      <c r="U7091" t="str">
        <f t="shared" si="1116"/>
        <v/>
      </c>
      <c r="V7091" t="str">
        <f t="shared" si="1117"/>
        <v/>
      </c>
      <c r="W7091" t="str">
        <f t="shared" si="1118"/>
        <v/>
      </c>
      <c r="X7091">
        <f t="shared" si="1108"/>
        <v>0</v>
      </c>
      <c r="Z7091" t="str">
        <f t="shared" si="1119"/>
        <v/>
      </c>
      <c r="AA7091">
        <f t="shared" si="1109"/>
        <v>0</v>
      </c>
    </row>
    <row r="7092" spans="1:27" ht="21" customHeight="1" x14ac:dyDescent="0.95">
      <c r="A7092" s="56"/>
      <c r="B7092" s="57"/>
      <c r="C7092" s="57"/>
      <c r="D7092" s="57"/>
      <c r="E7092" s="56"/>
      <c r="F7092" s="57"/>
      <c r="G7092" s="57"/>
      <c r="H7092" s="56"/>
      <c r="I7092" s="56"/>
      <c r="J7092" s="58"/>
      <c r="K7092" s="58"/>
      <c r="L7092" s="13" t="str">
        <f t="shared" si="1110"/>
        <v/>
      </c>
      <c r="M7092" s="13" t="str">
        <f t="shared" si="1111"/>
        <v/>
      </c>
      <c r="Q7092" t="str">
        <f t="shared" si="1112"/>
        <v/>
      </c>
      <c r="R7092" t="str">
        <f t="shared" si="1113"/>
        <v/>
      </c>
      <c r="S7092" t="str">
        <f t="shared" si="1114"/>
        <v/>
      </c>
      <c r="T7092" t="str">
        <f t="shared" si="1115"/>
        <v/>
      </c>
      <c r="U7092" t="str">
        <f t="shared" si="1116"/>
        <v/>
      </c>
      <c r="V7092" t="str">
        <f t="shared" si="1117"/>
        <v/>
      </c>
      <c r="W7092" t="str">
        <f t="shared" si="1118"/>
        <v/>
      </c>
      <c r="X7092">
        <f t="shared" si="1108"/>
        <v>0</v>
      </c>
      <c r="Z7092" t="str">
        <f t="shared" si="1119"/>
        <v/>
      </c>
      <c r="AA7092">
        <f t="shared" si="1109"/>
        <v>0</v>
      </c>
    </row>
    <row r="7093" spans="1:27" ht="21" customHeight="1" x14ac:dyDescent="0.95">
      <c r="A7093" s="56"/>
      <c r="B7093" s="57"/>
      <c r="C7093" s="57"/>
      <c r="D7093" s="57"/>
      <c r="E7093" s="56"/>
      <c r="F7093" s="57"/>
      <c r="G7093" s="57"/>
      <c r="H7093" s="56"/>
      <c r="I7093" s="56"/>
      <c r="J7093" s="58"/>
      <c r="K7093" s="58"/>
      <c r="L7093" s="13" t="str">
        <f t="shared" si="1110"/>
        <v/>
      </c>
      <c r="M7093" s="13" t="str">
        <f t="shared" si="1111"/>
        <v/>
      </c>
      <c r="Q7093" t="str">
        <f t="shared" si="1112"/>
        <v/>
      </c>
      <c r="R7093" t="str">
        <f t="shared" si="1113"/>
        <v/>
      </c>
      <c r="S7093" t="str">
        <f t="shared" si="1114"/>
        <v/>
      </c>
      <c r="T7093" t="str">
        <f t="shared" si="1115"/>
        <v/>
      </c>
      <c r="U7093" t="str">
        <f t="shared" si="1116"/>
        <v/>
      </c>
      <c r="V7093" t="str">
        <f t="shared" si="1117"/>
        <v/>
      </c>
      <c r="W7093" t="str">
        <f t="shared" si="1118"/>
        <v/>
      </c>
      <c r="X7093">
        <f t="shared" ref="X7093:X7156" si="1120">IF($T7093="",N($X7092),IF(MATCH($T7093,$T$6:$T$10005,0)=ROW()-5,N($X7092)+1,N($X7092)))</f>
        <v>0</v>
      </c>
      <c r="Z7093" t="str">
        <f t="shared" si="1119"/>
        <v/>
      </c>
      <c r="AA7093">
        <f t="shared" ref="AA7093:AA7156" si="1121">IF($V7093="",N($AA7092),IF(MATCH($V7093,$V$6:$V$10005,0)=ROW()-5,N($AA7092)+1,N($AA7092)))</f>
        <v>0</v>
      </c>
    </row>
    <row r="7094" spans="1:27" ht="21" customHeight="1" x14ac:dyDescent="0.95">
      <c r="A7094" s="56"/>
      <c r="B7094" s="57"/>
      <c r="C7094" s="57"/>
      <c r="D7094" s="57"/>
      <c r="E7094" s="56"/>
      <c r="F7094" s="57"/>
      <c r="G7094" s="57"/>
      <c r="H7094" s="56"/>
      <c r="I7094" s="56"/>
      <c r="J7094" s="58"/>
      <c r="K7094" s="58"/>
      <c r="L7094" s="13" t="str">
        <f t="shared" si="1110"/>
        <v/>
      </c>
      <c r="M7094" s="13" t="str">
        <f t="shared" si="1111"/>
        <v/>
      </c>
      <c r="Q7094" t="str">
        <f t="shared" si="1112"/>
        <v/>
      </c>
      <c r="R7094" t="str">
        <f t="shared" si="1113"/>
        <v/>
      </c>
      <c r="S7094" t="str">
        <f t="shared" si="1114"/>
        <v/>
      </c>
      <c r="T7094" t="str">
        <f t="shared" si="1115"/>
        <v/>
      </c>
      <c r="U7094" t="str">
        <f t="shared" si="1116"/>
        <v/>
      </c>
      <c r="V7094" t="str">
        <f t="shared" si="1117"/>
        <v/>
      </c>
      <c r="W7094" t="str">
        <f t="shared" si="1118"/>
        <v/>
      </c>
      <c r="X7094">
        <f t="shared" si="1120"/>
        <v>0</v>
      </c>
      <c r="Z7094" t="str">
        <f t="shared" si="1119"/>
        <v/>
      </c>
      <c r="AA7094">
        <f t="shared" si="1121"/>
        <v>0</v>
      </c>
    </row>
    <row r="7095" spans="1:27" ht="21" customHeight="1" x14ac:dyDescent="0.95">
      <c r="A7095" s="56"/>
      <c r="B7095" s="57"/>
      <c r="C7095" s="57"/>
      <c r="D7095" s="57"/>
      <c r="E7095" s="56"/>
      <c r="F7095" s="57"/>
      <c r="G7095" s="57"/>
      <c r="H7095" s="56"/>
      <c r="I7095" s="56"/>
      <c r="J7095" s="58"/>
      <c r="K7095" s="58"/>
      <c r="L7095" s="13" t="str">
        <f t="shared" si="1110"/>
        <v/>
      </c>
      <c r="M7095" s="13" t="str">
        <f t="shared" si="1111"/>
        <v/>
      </c>
      <c r="Q7095" t="str">
        <f t="shared" si="1112"/>
        <v/>
      </c>
      <c r="R7095" t="str">
        <f t="shared" si="1113"/>
        <v/>
      </c>
      <c r="S7095" t="str">
        <f t="shared" si="1114"/>
        <v/>
      </c>
      <c r="T7095" t="str">
        <f t="shared" si="1115"/>
        <v/>
      </c>
      <c r="U7095" t="str">
        <f t="shared" si="1116"/>
        <v/>
      </c>
      <c r="V7095" t="str">
        <f t="shared" si="1117"/>
        <v/>
      </c>
      <c r="W7095" t="str">
        <f t="shared" si="1118"/>
        <v/>
      </c>
      <c r="X7095">
        <f t="shared" si="1120"/>
        <v>0</v>
      </c>
      <c r="Z7095" t="str">
        <f t="shared" si="1119"/>
        <v/>
      </c>
      <c r="AA7095">
        <f t="shared" si="1121"/>
        <v>0</v>
      </c>
    </row>
    <row r="7096" spans="1:27" ht="21" customHeight="1" x14ac:dyDescent="0.95">
      <c r="A7096" s="56"/>
      <c r="B7096" s="57"/>
      <c r="C7096" s="57"/>
      <c r="D7096" s="57"/>
      <c r="E7096" s="56"/>
      <c r="F7096" s="57"/>
      <c r="G7096" s="57"/>
      <c r="H7096" s="56"/>
      <c r="I7096" s="56"/>
      <c r="J7096" s="58"/>
      <c r="K7096" s="58"/>
      <c r="L7096" s="13" t="str">
        <f t="shared" si="1110"/>
        <v/>
      </c>
      <c r="M7096" s="13" t="str">
        <f t="shared" si="1111"/>
        <v/>
      </c>
      <c r="Q7096" t="str">
        <f t="shared" si="1112"/>
        <v/>
      </c>
      <c r="R7096" t="str">
        <f t="shared" si="1113"/>
        <v/>
      </c>
      <c r="S7096" t="str">
        <f t="shared" si="1114"/>
        <v/>
      </c>
      <c r="T7096" t="str">
        <f t="shared" si="1115"/>
        <v/>
      </c>
      <c r="U7096" t="str">
        <f t="shared" si="1116"/>
        <v/>
      </c>
      <c r="V7096" t="str">
        <f t="shared" si="1117"/>
        <v/>
      </c>
      <c r="W7096" t="str">
        <f t="shared" si="1118"/>
        <v/>
      </c>
      <c r="X7096">
        <f t="shared" si="1120"/>
        <v>0</v>
      </c>
      <c r="Z7096" t="str">
        <f t="shared" si="1119"/>
        <v/>
      </c>
      <c r="AA7096">
        <f t="shared" si="1121"/>
        <v>0</v>
      </c>
    </row>
    <row r="7097" spans="1:27" ht="21" customHeight="1" x14ac:dyDescent="0.95">
      <c r="A7097" s="56"/>
      <c r="B7097" s="57"/>
      <c r="C7097" s="57"/>
      <c r="D7097" s="57"/>
      <c r="E7097" s="56"/>
      <c r="F7097" s="57"/>
      <c r="G7097" s="57"/>
      <c r="H7097" s="56"/>
      <c r="I7097" s="56"/>
      <c r="J7097" s="58"/>
      <c r="K7097" s="58"/>
      <c r="L7097" s="13" t="str">
        <f t="shared" si="1110"/>
        <v/>
      </c>
      <c r="M7097" s="13" t="str">
        <f t="shared" si="1111"/>
        <v/>
      </c>
      <c r="Q7097" t="str">
        <f t="shared" si="1112"/>
        <v/>
      </c>
      <c r="R7097" t="str">
        <f t="shared" si="1113"/>
        <v/>
      </c>
      <c r="S7097" t="str">
        <f t="shared" si="1114"/>
        <v/>
      </c>
      <c r="T7097" t="str">
        <f t="shared" si="1115"/>
        <v/>
      </c>
      <c r="U7097" t="str">
        <f t="shared" si="1116"/>
        <v/>
      </c>
      <c r="V7097" t="str">
        <f t="shared" si="1117"/>
        <v/>
      </c>
      <c r="W7097" t="str">
        <f t="shared" si="1118"/>
        <v/>
      </c>
      <c r="X7097">
        <f t="shared" si="1120"/>
        <v>0</v>
      </c>
      <c r="Z7097" t="str">
        <f t="shared" si="1119"/>
        <v/>
      </c>
      <c r="AA7097">
        <f t="shared" si="1121"/>
        <v>0</v>
      </c>
    </row>
    <row r="7098" spans="1:27" ht="21" customHeight="1" x14ac:dyDescent="0.95">
      <c r="A7098" s="56"/>
      <c r="B7098" s="57"/>
      <c r="C7098" s="57"/>
      <c r="D7098" s="57"/>
      <c r="E7098" s="56"/>
      <c r="F7098" s="57"/>
      <c r="G7098" s="57"/>
      <c r="H7098" s="56"/>
      <c r="I7098" s="56"/>
      <c r="J7098" s="58"/>
      <c r="K7098" s="58"/>
      <c r="L7098" s="13" t="str">
        <f t="shared" si="1110"/>
        <v/>
      </c>
      <c r="M7098" s="13" t="str">
        <f t="shared" si="1111"/>
        <v/>
      </c>
      <c r="Q7098" t="str">
        <f t="shared" si="1112"/>
        <v/>
      </c>
      <c r="R7098" t="str">
        <f t="shared" si="1113"/>
        <v/>
      </c>
      <c r="S7098" t="str">
        <f t="shared" si="1114"/>
        <v/>
      </c>
      <c r="T7098" t="str">
        <f t="shared" si="1115"/>
        <v/>
      </c>
      <c r="U7098" t="str">
        <f t="shared" si="1116"/>
        <v/>
      </c>
      <c r="V7098" t="str">
        <f t="shared" si="1117"/>
        <v/>
      </c>
      <c r="W7098" t="str">
        <f t="shared" si="1118"/>
        <v/>
      </c>
      <c r="X7098">
        <f t="shared" si="1120"/>
        <v>0</v>
      </c>
      <c r="Z7098" t="str">
        <f t="shared" si="1119"/>
        <v/>
      </c>
      <c r="AA7098">
        <f t="shared" si="1121"/>
        <v>0</v>
      </c>
    </row>
    <row r="7099" spans="1:27" ht="21" customHeight="1" x14ac:dyDescent="0.95">
      <c r="A7099" s="56"/>
      <c r="B7099" s="57"/>
      <c r="C7099" s="57"/>
      <c r="D7099" s="57"/>
      <c r="E7099" s="56"/>
      <c r="F7099" s="57"/>
      <c r="G7099" s="57"/>
      <c r="H7099" s="56"/>
      <c r="I7099" s="56"/>
      <c r="J7099" s="58"/>
      <c r="K7099" s="58"/>
      <c r="L7099" s="13" t="str">
        <f t="shared" si="1110"/>
        <v/>
      </c>
      <c r="M7099" s="13" t="str">
        <f t="shared" si="1111"/>
        <v/>
      </c>
      <c r="Q7099" t="str">
        <f t="shared" si="1112"/>
        <v/>
      </c>
      <c r="R7099" t="str">
        <f t="shared" si="1113"/>
        <v/>
      </c>
      <c r="S7099" t="str">
        <f t="shared" si="1114"/>
        <v/>
      </c>
      <c r="T7099" t="str">
        <f t="shared" si="1115"/>
        <v/>
      </c>
      <c r="U7099" t="str">
        <f t="shared" si="1116"/>
        <v/>
      </c>
      <c r="V7099" t="str">
        <f t="shared" si="1117"/>
        <v/>
      </c>
      <c r="W7099" t="str">
        <f t="shared" si="1118"/>
        <v/>
      </c>
      <c r="X7099">
        <f t="shared" si="1120"/>
        <v>0</v>
      </c>
      <c r="Z7099" t="str">
        <f t="shared" si="1119"/>
        <v/>
      </c>
      <c r="AA7099">
        <f t="shared" si="1121"/>
        <v>0</v>
      </c>
    </row>
    <row r="7100" spans="1:27" ht="21" customHeight="1" x14ac:dyDescent="0.95">
      <c r="A7100" s="56"/>
      <c r="B7100" s="57"/>
      <c r="C7100" s="57"/>
      <c r="D7100" s="57"/>
      <c r="E7100" s="56"/>
      <c r="F7100" s="57"/>
      <c r="G7100" s="57"/>
      <c r="H7100" s="56"/>
      <c r="I7100" s="56"/>
      <c r="J7100" s="58"/>
      <c r="K7100" s="58"/>
      <c r="L7100" s="13" t="str">
        <f t="shared" si="1110"/>
        <v/>
      </c>
      <c r="M7100" s="13" t="str">
        <f t="shared" si="1111"/>
        <v/>
      </c>
      <c r="Q7100" t="str">
        <f t="shared" si="1112"/>
        <v/>
      </c>
      <c r="R7100" t="str">
        <f t="shared" si="1113"/>
        <v/>
      </c>
      <c r="S7100" t="str">
        <f t="shared" si="1114"/>
        <v/>
      </c>
      <c r="T7100" t="str">
        <f t="shared" si="1115"/>
        <v/>
      </c>
      <c r="U7100" t="str">
        <f t="shared" si="1116"/>
        <v/>
      </c>
      <c r="V7100" t="str">
        <f t="shared" si="1117"/>
        <v/>
      </c>
      <c r="W7100" t="str">
        <f t="shared" si="1118"/>
        <v/>
      </c>
      <c r="X7100">
        <f t="shared" si="1120"/>
        <v>0</v>
      </c>
      <c r="Z7100" t="str">
        <f t="shared" si="1119"/>
        <v/>
      </c>
      <c r="AA7100">
        <f t="shared" si="1121"/>
        <v>0</v>
      </c>
    </row>
    <row r="7101" spans="1:27" ht="21" customHeight="1" x14ac:dyDescent="0.95">
      <c r="A7101" s="56"/>
      <c r="B7101" s="57"/>
      <c r="C7101" s="57"/>
      <c r="D7101" s="57"/>
      <c r="E7101" s="56"/>
      <c r="F7101" s="57"/>
      <c r="G7101" s="57"/>
      <c r="H7101" s="56"/>
      <c r="I7101" s="56"/>
      <c r="J7101" s="58"/>
      <c r="K7101" s="58"/>
      <c r="L7101" s="13" t="str">
        <f t="shared" si="1110"/>
        <v/>
      </c>
      <c r="M7101" s="13" t="str">
        <f t="shared" si="1111"/>
        <v/>
      </c>
      <c r="Q7101" t="str">
        <f t="shared" si="1112"/>
        <v/>
      </c>
      <c r="R7101" t="str">
        <f t="shared" si="1113"/>
        <v/>
      </c>
      <c r="S7101" t="str">
        <f t="shared" si="1114"/>
        <v/>
      </c>
      <c r="T7101" t="str">
        <f t="shared" si="1115"/>
        <v/>
      </c>
      <c r="U7101" t="str">
        <f t="shared" si="1116"/>
        <v/>
      </c>
      <c r="V7101" t="str">
        <f t="shared" si="1117"/>
        <v/>
      </c>
      <c r="W7101" t="str">
        <f t="shared" si="1118"/>
        <v/>
      </c>
      <c r="X7101">
        <f t="shared" si="1120"/>
        <v>0</v>
      </c>
      <c r="Z7101" t="str">
        <f t="shared" si="1119"/>
        <v/>
      </c>
      <c r="AA7101">
        <f t="shared" si="1121"/>
        <v>0</v>
      </c>
    </row>
    <row r="7102" spans="1:27" ht="21" customHeight="1" x14ac:dyDescent="0.95">
      <c r="A7102" s="56"/>
      <c r="B7102" s="57"/>
      <c r="C7102" s="57"/>
      <c r="D7102" s="57"/>
      <c r="E7102" s="56"/>
      <c r="F7102" s="57"/>
      <c r="G7102" s="57"/>
      <c r="H7102" s="56"/>
      <c r="I7102" s="56"/>
      <c r="J7102" s="58"/>
      <c r="K7102" s="58"/>
      <c r="L7102" s="13" t="str">
        <f t="shared" si="1110"/>
        <v/>
      </c>
      <c r="M7102" s="13" t="str">
        <f t="shared" si="1111"/>
        <v/>
      </c>
      <c r="Q7102" t="str">
        <f t="shared" si="1112"/>
        <v/>
      </c>
      <c r="R7102" t="str">
        <f t="shared" si="1113"/>
        <v/>
      </c>
      <c r="S7102" t="str">
        <f t="shared" si="1114"/>
        <v/>
      </c>
      <c r="T7102" t="str">
        <f t="shared" si="1115"/>
        <v/>
      </c>
      <c r="U7102" t="str">
        <f t="shared" si="1116"/>
        <v/>
      </c>
      <c r="V7102" t="str">
        <f t="shared" si="1117"/>
        <v/>
      </c>
      <c r="W7102" t="str">
        <f t="shared" si="1118"/>
        <v/>
      </c>
      <c r="X7102">
        <f t="shared" si="1120"/>
        <v>0</v>
      </c>
      <c r="Z7102" t="str">
        <f t="shared" si="1119"/>
        <v/>
      </c>
      <c r="AA7102">
        <f t="shared" si="1121"/>
        <v>0</v>
      </c>
    </row>
    <row r="7103" spans="1:27" ht="21" customHeight="1" x14ac:dyDescent="0.95">
      <c r="A7103" s="56"/>
      <c r="B7103" s="57"/>
      <c r="C7103" s="57"/>
      <c r="D7103" s="57"/>
      <c r="E7103" s="56"/>
      <c r="F7103" s="57"/>
      <c r="G7103" s="57"/>
      <c r="H7103" s="56"/>
      <c r="I7103" s="56"/>
      <c r="J7103" s="58"/>
      <c r="K7103" s="58"/>
      <c r="L7103" s="13" t="str">
        <f t="shared" si="1110"/>
        <v/>
      </c>
      <c r="M7103" s="13" t="str">
        <f t="shared" si="1111"/>
        <v/>
      </c>
      <c r="Q7103" t="str">
        <f t="shared" si="1112"/>
        <v/>
      </c>
      <c r="R7103" t="str">
        <f t="shared" si="1113"/>
        <v/>
      </c>
      <c r="S7103" t="str">
        <f t="shared" si="1114"/>
        <v/>
      </c>
      <c r="T7103" t="str">
        <f t="shared" si="1115"/>
        <v/>
      </c>
      <c r="U7103" t="str">
        <f t="shared" si="1116"/>
        <v/>
      </c>
      <c r="V7103" t="str">
        <f t="shared" si="1117"/>
        <v/>
      </c>
      <c r="W7103" t="str">
        <f t="shared" si="1118"/>
        <v/>
      </c>
      <c r="X7103">
        <f t="shared" si="1120"/>
        <v>0</v>
      </c>
      <c r="Z7103" t="str">
        <f t="shared" si="1119"/>
        <v/>
      </c>
      <c r="AA7103">
        <f t="shared" si="1121"/>
        <v>0</v>
      </c>
    </row>
    <row r="7104" spans="1:27" ht="21" customHeight="1" x14ac:dyDescent="0.95">
      <c r="A7104" s="56"/>
      <c r="B7104" s="57"/>
      <c r="C7104" s="57"/>
      <c r="D7104" s="57"/>
      <c r="E7104" s="56"/>
      <c r="F7104" s="57"/>
      <c r="G7104" s="57"/>
      <c r="H7104" s="56"/>
      <c r="I7104" s="56"/>
      <c r="J7104" s="58"/>
      <c r="K7104" s="58"/>
      <c r="L7104" s="13" t="str">
        <f t="shared" si="1110"/>
        <v/>
      </c>
      <c r="M7104" s="13" t="str">
        <f t="shared" si="1111"/>
        <v/>
      </c>
      <c r="Q7104" t="str">
        <f t="shared" si="1112"/>
        <v/>
      </c>
      <c r="R7104" t="str">
        <f t="shared" si="1113"/>
        <v/>
      </c>
      <c r="S7104" t="str">
        <f t="shared" si="1114"/>
        <v/>
      </c>
      <c r="T7104" t="str">
        <f t="shared" si="1115"/>
        <v/>
      </c>
      <c r="U7104" t="str">
        <f t="shared" si="1116"/>
        <v/>
      </c>
      <c r="V7104" t="str">
        <f t="shared" si="1117"/>
        <v/>
      </c>
      <c r="W7104" t="str">
        <f t="shared" si="1118"/>
        <v/>
      </c>
      <c r="X7104">
        <f t="shared" si="1120"/>
        <v>0</v>
      </c>
      <c r="Z7104" t="str">
        <f t="shared" si="1119"/>
        <v/>
      </c>
      <c r="AA7104">
        <f t="shared" si="1121"/>
        <v>0</v>
      </c>
    </row>
    <row r="7105" spans="1:27" ht="21" customHeight="1" x14ac:dyDescent="0.95">
      <c r="A7105" s="56"/>
      <c r="B7105" s="57"/>
      <c r="C7105" s="57"/>
      <c r="D7105" s="57"/>
      <c r="E7105" s="56"/>
      <c r="F7105" s="57"/>
      <c r="G7105" s="57"/>
      <c r="H7105" s="56"/>
      <c r="I7105" s="56"/>
      <c r="J7105" s="58"/>
      <c r="K7105" s="58"/>
      <c r="L7105" s="13" t="str">
        <f t="shared" si="1110"/>
        <v/>
      </c>
      <c r="M7105" s="13" t="str">
        <f t="shared" si="1111"/>
        <v/>
      </c>
      <c r="Q7105" t="str">
        <f t="shared" si="1112"/>
        <v/>
      </c>
      <c r="R7105" t="str">
        <f t="shared" si="1113"/>
        <v/>
      </c>
      <c r="S7105" t="str">
        <f t="shared" si="1114"/>
        <v/>
      </c>
      <c r="T7105" t="str">
        <f t="shared" si="1115"/>
        <v/>
      </c>
      <c r="U7105" t="str">
        <f t="shared" si="1116"/>
        <v/>
      </c>
      <c r="V7105" t="str">
        <f t="shared" si="1117"/>
        <v/>
      </c>
      <c r="W7105" t="str">
        <f t="shared" si="1118"/>
        <v/>
      </c>
      <c r="X7105">
        <f t="shared" si="1120"/>
        <v>0</v>
      </c>
      <c r="Z7105" t="str">
        <f t="shared" si="1119"/>
        <v/>
      </c>
      <c r="AA7105">
        <f t="shared" si="1121"/>
        <v>0</v>
      </c>
    </row>
    <row r="7106" spans="1:27" ht="21" customHeight="1" x14ac:dyDescent="0.95">
      <c r="A7106" s="56"/>
      <c r="B7106" s="57"/>
      <c r="C7106" s="57"/>
      <c r="D7106" s="57"/>
      <c r="E7106" s="56"/>
      <c r="F7106" s="57"/>
      <c r="G7106" s="57"/>
      <c r="H7106" s="56"/>
      <c r="I7106" s="56"/>
      <c r="J7106" s="58"/>
      <c r="K7106" s="58"/>
      <c r="L7106" s="13" t="str">
        <f t="shared" si="1110"/>
        <v/>
      </c>
      <c r="M7106" s="13" t="str">
        <f t="shared" si="1111"/>
        <v/>
      </c>
      <c r="Q7106" t="str">
        <f t="shared" si="1112"/>
        <v/>
      </c>
      <c r="R7106" t="str">
        <f t="shared" si="1113"/>
        <v/>
      </c>
      <c r="S7106" t="str">
        <f t="shared" si="1114"/>
        <v/>
      </c>
      <c r="T7106" t="str">
        <f t="shared" si="1115"/>
        <v/>
      </c>
      <c r="U7106" t="str">
        <f t="shared" si="1116"/>
        <v/>
      </c>
      <c r="V7106" t="str">
        <f t="shared" si="1117"/>
        <v/>
      </c>
      <c r="W7106" t="str">
        <f t="shared" si="1118"/>
        <v/>
      </c>
      <c r="X7106">
        <f t="shared" si="1120"/>
        <v>0</v>
      </c>
      <c r="Z7106" t="str">
        <f t="shared" si="1119"/>
        <v/>
      </c>
      <c r="AA7106">
        <f t="shared" si="1121"/>
        <v>0</v>
      </c>
    </row>
    <row r="7107" spans="1:27" ht="21" customHeight="1" x14ac:dyDescent="0.95">
      <c r="A7107" s="56"/>
      <c r="B7107" s="57"/>
      <c r="C7107" s="57"/>
      <c r="D7107" s="57"/>
      <c r="E7107" s="56"/>
      <c r="F7107" s="57"/>
      <c r="G7107" s="57"/>
      <c r="H7107" s="56"/>
      <c r="I7107" s="56"/>
      <c r="J7107" s="58"/>
      <c r="K7107" s="58"/>
      <c r="L7107" s="13" t="str">
        <f t="shared" si="1110"/>
        <v/>
      </c>
      <c r="M7107" s="13" t="str">
        <f t="shared" si="1111"/>
        <v/>
      </c>
      <c r="Q7107" t="str">
        <f t="shared" si="1112"/>
        <v/>
      </c>
      <c r="R7107" t="str">
        <f t="shared" si="1113"/>
        <v/>
      </c>
      <c r="S7107" t="str">
        <f t="shared" si="1114"/>
        <v/>
      </c>
      <c r="T7107" t="str">
        <f t="shared" si="1115"/>
        <v/>
      </c>
      <c r="U7107" t="str">
        <f t="shared" si="1116"/>
        <v/>
      </c>
      <c r="V7107" t="str">
        <f t="shared" si="1117"/>
        <v/>
      </c>
      <c r="W7107" t="str">
        <f t="shared" si="1118"/>
        <v/>
      </c>
      <c r="X7107">
        <f t="shared" si="1120"/>
        <v>0</v>
      </c>
      <c r="Z7107" t="str">
        <f t="shared" si="1119"/>
        <v/>
      </c>
      <c r="AA7107">
        <f t="shared" si="1121"/>
        <v>0</v>
      </c>
    </row>
    <row r="7108" spans="1:27" ht="21" customHeight="1" x14ac:dyDescent="0.95">
      <c r="A7108" s="56"/>
      <c r="B7108" s="57"/>
      <c r="C7108" s="57"/>
      <c r="D7108" s="57"/>
      <c r="E7108" s="56"/>
      <c r="F7108" s="57"/>
      <c r="G7108" s="57"/>
      <c r="H7108" s="56"/>
      <c r="I7108" s="56"/>
      <c r="J7108" s="58"/>
      <c r="K7108" s="58"/>
      <c r="L7108" s="13" t="str">
        <f t="shared" ref="L7108:L7171" si="1122">IF(OR($A7108="",AND($J7108="",$K7108="")),"",ROUND(N($J7108)-N($K7108),2))</f>
        <v/>
      </c>
      <c r="M7108" s="13" t="str">
        <f t="shared" ref="M7108:M7171" si="1123">IF(OR($A7108="",AND($J7108="",$K7108="")),"",MIN($J7108,$K7108))</f>
        <v/>
      </c>
      <c r="Q7108" t="str">
        <f t="shared" ref="Q7108:Q7171" si="1124">IF($A7108="","",$D7108&amp;"("&amp;SUBSTITUTE($E7108," ","")&amp;")")</f>
        <v/>
      </c>
      <c r="R7108" t="str">
        <f t="shared" ref="R7108:R7171" si="1125">IF($A7108="","",$B7108&amp;" - "&amp;$C7108)</f>
        <v/>
      </c>
      <c r="S7108" t="str">
        <f t="shared" ref="S7108:S7171" si="1126">IF($A7108="","",$R7108&amp;"|"&amp;$Q7108)</f>
        <v/>
      </c>
      <c r="T7108" t="str">
        <f t="shared" ref="T7108:T7171" si="1127">IF($A7108="","",$S7108&amp;"|"&amp;$F7108)</f>
        <v/>
      </c>
      <c r="U7108" t="str">
        <f t="shared" ref="U7108:U7171" si="1128">IF($A7108="","",$R7108&amp;"("&amp;$E7108&amp;")")</f>
        <v/>
      </c>
      <c r="V7108" t="str">
        <f t="shared" ref="V7108:V7171" si="1129">IF($A7108="","",$F7108&amp;"|"&amp;$U7108&amp;"|"&amp;$D7108)</f>
        <v/>
      </c>
      <c r="W7108" t="str">
        <f t="shared" si="1118"/>
        <v/>
      </c>
      <c r="X7108">
        <f t="shared" si="1120"/>
        <v>0</v>
      </c>
      <c r="Z7108" t="str">
        <f t="shared" si="1119"/>
        <v/>
      </c>
      <c r="AA7108">
        <f t="shared" si="1121"/>
        <v>0</v>
      </c>
    </row>
    <row r="7109" spans="1:27" ht="21" customHeight="1" x14ac:dyDescent="0.95">
      <c r="A7109" s="56"/>
      <c r="B7109" s="57"/>
      <c r="C7109" s="57"/>
      <c r="D7109" s="57"/>
      <c r="E7109" s="56"/>
      <c r="F7109" s="57"/>
      <c r="G7109" s="57"/>
      <c r="H7109" s="56"/>
      <c r="I7109" s="56"/>
      <c r="J7109" s="58"/>
      <c r="K7109" s="58"/>
      <c r="L7109" s="13" t="str">
        <f t="shared" si="1122"/>
        <v/>
      </c>
      <c r="M7109" s="13" t="str">
        <f t="shared" si="1123"/>
        <v/>
      </c>
      <c r="Q7109" t="str">
        <f t="shared" si="1124"/>
        <v/>
      </c>
      <c r="R7109" t="str">
        <f t="shared" si="1125"/>
        <v/>
      </c>
      <c r="S7109" t="str">
        <f t="shared" si="1126"/>
        <v/>
      </c>
      <c r="T7109" t="str">
        <f t="shared" si="1127"/>
        <v/>
      </c>
      <c r="U7109" t="str">
        <f t="shared" si="1128"/>
        <v/>
      </c>
      <c r="V7109" t="str">
        <f t="shared" si="1129"/>
        <v/>
      </c>
      <c r="W7109" t="str">
        <f t="shared" si="1118"/>
        <v/>
      </c>
      <c r="X7109">
        <f t="shared" si="1120"/>
        <v>0</v>
      </c>
      <c r="Z7109" t="str">
        <f t="shared" si="1119"/>
        <v/>
      </c>
      <c r="AA7109">
        <f t="shared" si="1121"/>
        <v>0</v>
      </c>
    </row>
    <row r="7110" spans="1:27" ht="21" customHeight="1" x14ac:dyDescent="0.95">
      <c r="A7110" s="56"/>
      <c r="B7110" s="57"/>
      <c r="C7110" s="57"/>
      <c r="D7110" s="57"/>
      <c r="E7110" s="56"/>
      <c r="F7110" s="57"/>
      <c r="G7110" s="57"/>
      <c r="H7110" s="56"/>
      <c r="I7110" s="56"/>
      <c r="J7110" s="58"/>
      <c r="K7110" s="58"/>
      <c r="L7110" s="13" t="str">
        <f t="shared" si="1122"/>
        <v/>
      </c>
      <c r="M7110" s="13" t="str">
        <f t="shared" si="1123"/>
        <v/>
      </c>
      <c r="Q7110" t="str">
        <f t="shared" si="1124"/>
        <v/>
      </c>
      <c r="R7110" t="str">
        <f t="shared" si="1125"/>
        <v/>
      </c>
      <c r="S7110" t="str">
        <f t="shared" si="1126"/>
        <v/>
      </c>
      <c r="T7110" t="str">
        <f t="shared" si="1127"/>
        <v/>
      </c>
      <c r="U7110" t="str">
        <f t="shared" si="1128"/>
        <v/>
      </c>
      <c r="V7110" t="str">
        <f t="shared" si="1129"/>
        <v/>
      </c>
      <c r="W7110" t="str">
        <f t="shared" ref="W7110:W7173" si="1130">IF($T7110="","",IF($X7110&gt;N($X7109),$X7110,""))</f>
        <v/>
      </c>
      <c r="X7110">
        <f t="shared" si="1120"/>
        <v>0</v>
      </c>
      <c r="Z7110" t="str">
        <f t="shared" ref="Z7110:Z7173" si="1131">IF($V7110="","",IF($AA7110&gt;N($AA7109),$AA7110,""))</f>
        <v/>
      </c>
      <c r="AA7110">
        <f t="shared" si="1121"/>
        <v>0</v>
      </c>
    </row>
    <row r="7111" spans="1:27" ht="21" customHeight="1" x14ac:dyDescent="0.95">
      <c r="A7111" s="56"/>
      <c r="B7111" s="57"/>
      <c r="C7111" s="57"/>
      <c r="D7111" s="57"/>
      <c r="E7111" s="56"/>
      <c r="F7111" s="57"/>
      <c r="G7111" s="57"/>
      <c r="H7111" s="56"/>
      <c r="I7111" s="56"/>
      <c r="J7111" s="58"/>
      <c r="K7111" s="58"/>
      <c r="L7111" s="13" t="str">
        <f t="shared" si="1122"/>
        <v/>
      </c>
      <c r="M7111" s="13" t="str">
        <f t="shared" si="1123"/>
        <v/>
      </c>
      <c r="Q7111" t="str">
        <f t="shared" si="1124"/>
        <v/>
      </c>
      <c r="R7111" t="str">
        <f t="shared" si="1125"/>
        <v/>
      </c>
      <c r="S7111" t="str">
        <f t="shared" si="1126"/>
        <v/>
      </c>
      <c r="T7111" t="str">
        <f t="shared" si="1127"/>
        <v/>
      </c>
      <c r="U7111" t="str">
        <f t="shared" si="1128"/>
        <v/>
      </c>
      <c r="V7111" t="str">
        <f t="shared" si="1129"/>
        <v/>
      </c>
      <c r="W7111" t="str">
        <f t="shared" si="1130"/>
        <v/>
      </c>
      <c r="X7111">
        <f t="shared" si="1120"/>
        <v>0</v>
      </c>
      <c r="Z7111" t="str">
        <f t="shared" si="1131"/>
        <v/>
      </c>
      <c r="AA7111">
        <f t="shared" si="1121"/>
        <v>0</v>
      </c>
    </row>
    <row r="7112" spans="1:27" ht="21" customHeight="1" x14ac:dyDescent="0.95">
      <c r="A7112" s="56"/>
      <c r="B7112" s="57"/>
      <c r="C7112" s="57"/>
      <c r="D7112" s="57"/>
      <c r="E7112" s="56"/>
      <c r="F7112" s="57"/>
      <c r="G7112" s="57"/>
      <c r="H7112" s="56"/>
      <c r="I7112" s="56"/>
      <c r="J7112" s="58"/>
      <c r="K7112" s="58"/>
      <c r="L7112" s="13" t="str">
        <f t="shared" si="1122"/>
        <v/>
      </c>
      <c r="M7112" s="13" t="str">
        <f t="shared" si="1123"/>
        <v/>
      </c>
      <c r="Q7112" t="str">
        <f t="shared" si="1124"/>
        <v/>
      </c>
      <c r="R7112" t="str">
        <f t="shared" si="1125"/>
        <v/>
      </c>
      <c r="S7112" t="str">
        <f t="shared" si="1126"/>
        <v/>
      </c>
      <c r="T7112" t="str">
        <f t="shared" si="1127"/>
        <v/>
      </c>
      <c r="U7112" t="str">
        <f t="shared" si="1128"/>
        <v/>
      </c>
      <c r="V7112" t="str">
        <f t="shared" si="1129"/>
        <v/>
      </c>
      <c r="W7112" t="str">
        <f t="shared" si="1130"/>
        <v/>
      </c>
      <c r="X7112">
        <f t="shared" si="1120"/>
        <v>0</v>
      </c>
      <c r="Z7112" t="str">
        <f t="shared" si="1131"/>
        <v/>
      </c>
      <c r="AA7112">
        <f t="shared" si="1121"/>
        <v>0</v>
      </c>
    </row>
    <row r="7113" spans="1:27" ht="21" customHeight="1" x14ac:dyDescent="0.95">
      <c r="A7113" s="56"/>
      <c r="B7113" s="57"/>
      <c r="C7113" s="57"/>
      <c r="D7113" s="57"/>
      <c r="E7113" s="56"/>
      <c r="F7113" s="57"/>
      <c r="G7113" s="57"/>
      <c r="H7113" s="56"/>
      <c r="I7113" s="56"/>
      <c r="J7113" s="58"/>
      <c r="K7113" s="58"/>
      <c r="L7113" s="13" t="str">
        <f t="shared" si="1122"/>
        <v/>
      </c>
      <c r="M7113" s="13" t="str">
        <f t="shared" si="1123"/>
        <v/>
      </c>
      <c r="Q7113" t="str">
        <f t="shared" si="1124"/>
        <v/>
      </c>
      <c r="R7113" t="str">
        <f t="shared" si="1125"/>
        <v/>
      </c>
      <c r="S7113" t="str">
        <f t="shared" si="1126"/>
        <v/>
      </c>
      <c r="T7113" t="str">
        <f t="shared" si="1127"/>
        <v/>
      </c>
      <c r="U7113" t="str">
        <f t="shared" si="1128"/>
        <v/>
      </c>
      <c r="V7113" t="str">
        <f t="shared" si="1129"/>
        <v/>
      </c>
      <c r="W7113" t="str">
        <f t="shared" si="1130"/>
        <v/>
      </c>
      <c r="X7113">
        <f t="shared" si="1120"/>
        <v>0</v>
      </c>
      <c r="Z7113" t="str">
        <f t="shared" si="1131"/>
        <v/>
      </c>
      <c r="AA7113">
        <f t="shared" si="1121"/>
        <v>0</v>
      </c>
    </row>
    <row r="7114" spans="1:27" ht="21" customHeight="1" x14ac:dyDescent="0.95">
      <c r="A7114" s="56"/>
      <c r="B7114" s="57"/>
      <c r="C7114" s="57"/>
      <c r="D7114" s="57"/>
      <c r="E7114" s="56"/>
      <c r="F7114" s="57"/>
      <c r="G7114" s="57"/>
      <c r="H7114" s="56"/>
      <c r="I7114" s="56"/>
      <c r="J7114" s="58"/>
      <c r="K7114" s="58"/>
      <c r="L7114" s="13" t="str">
        <f t="shared" si="1122"/>
        <v/>
      </c>
      <c r="M7114" s="13" t="str">
        <f t="shared" si="1123"/>
        <v/>
      </c>
      <c r="Q7114" t="str">
        <f t="shared" si="1124"/>
        <v/>
      </c>
      <c r="R7114" t="str">
        <f t="shared" si="1125"/>
        <v/>
      </c>
      <c r="S7114" t="str">
        <f t="shared" si="1126"/>
        <v/>
      </c>
      <c r="T7114" t="str">
        <f t="shared" si="1127"/>
        <v/>
      </c>
      <c r="U7114" t="str">
        <f t="shared" si="1128"/>
        <v/>
      </c>
      <c r="V7114" t="str">
        <f t="shared" si="1129"/>
        <v/>
      </c>
      <c r="W7114" t="str">
        <f t="shared" si="1130"/>
        <v/>
      </c>
      <c r="X7114">
        <f t="shared" si="1120"/>
        <v>0</v>
      </c>
      <c r="Z7114" t="str">
        <f t="shared" si="1131"/>
        <v/>
      </c>
      <c r="AA7114">
        <f t="shared" si="1121"/>
        <v>0</v>
      </c>
    </row>
    <row r="7115" spans="1:27" ht="21" customHeight="1" x14ac:dyDescent="0.95">
      <c r="A7115" s="56"/>
      <c r="B7115" s="57"/>
      <c r="C7115" s="57"/>
      <c r="D7115" s="57"/>
      <c r="E7115" s="56"/>
      <c r="F7115" s="57"/>
      <c r="G7115" s="57"/>
      <c r="H7115" s="56"/>
      <c r="I7115" s="56"/>
      <c r="J7115" s="58"/>
      <c r="K7115" s="58"/>
      <c r="L7115" s="13" t="str">
        <f t="shared" si="1122"/>
        <v/>
      </c>
      <c r="M7115" s="13" t="str">
        <f t="shared" si="1123"/>
        <v/>
      </c>
      <c r="Q7115" t="str">
        <f t="shared" si="1124"/>
        <v/>
      </c>
      <c r="R7115" t="str">
        <f t="shared" si="1125"/>
        <v/>
      </c>
      <c r="S7115" t="str">
        <f t="shared" si="1126"/>
        <v/>
      </c>
      <c r="T7115" t="str">
        <f t="shared" si="1127"/>
        <v/>
      </c>
      <c r="U7115" t="str">
        <f t="shared" si="1128"/>
        <v/>
      </c>
      <c r="V7115" t="str">
        <f t="shared" si="1129"/>
        <v/>
      </c>
      <c r="W7115" t="str">
        <f t="shared" si="1130"/>
        <v/>
      </c>
      <c r="X7115">
        <f t="shared" si="1120"/>
        <v>0</v>
      </c>
      <c r="Z7115" t="str">
        <f t="shared" si="1131"/>
        <v/>
      </c>
      <c r="AA7115">
        <f t="shared" si="1121"/>
        <v>0</v>
      </c>
    </row>
    <row r="7116" spans="1:27" ht="21" customHeight="1" x14ac:dyDescent="0.95">
      <c r="A7116" s="56"/>
      <c r="B7116" s="57"/>
      <c r="C7116" s="57"/>
      <c r="D7116" s="57"/>
      <c r="E7116" s="56"/>
      <c r="F7116" s="57"/>
      <c r="G7116" s="57"/>
      <c r="H7116" s="56"/>
      <c r="I7116" s="56"/>
      <c r="J7116" s="58"/>
      <c r="K7116" s="58"/>
      <c r="L7116" s="13" t="str">
        <f t="shared" si="1122"/>
        <v/>
      </c>
      <c r="M7116" s="13" t="str">
        <f t="shared" si="1123"/>
        <v/>
      </c>
      <c r="Q7116" t="str">
        <f t="shared" si="1124"/>
        <v/>
      </c>
      <c r="R7116" t="str">
        <f t="shared" si="1125"/>
        <v/>
      </c>
      <c r="S7116" t="str">
        <f t="shared" si="1126"/>
        <v/>
      </c>
      <c r="T7116" t="str">
        <f t="shared" si="1127"/>
        <v/>
      </c>
      <c r="U7116" t="str">
        <f t="shared" si="1128"/>
        <v/>
      </c>
      <c r="V7116" t="str">
        <f t="shared" si="1129"/>
        <v/>
      </c>
      <c r="W7116" t="str">
        <f t="shared" si="1130"/>
        <v/>
      </c>
      <c r="X7116">
        <f t="shared" si="1120"/>
        <v>0</v>
      </c>
      <c r="Z7116" t="str">
        <f t="shared" si="1131"/>
        <v/>
      </c>
      <c r="AA7116">
        <f t="shared" si="1121"/>
        <v>0</v>
      </c>
    </row>
    <row r="7117" spans="1:27" ht="21" customHeight="1" x14ac:dyDescent="0.95">
      <c r="A7117" s="56"/>
      <c r="B7117" s="57"/>
      <c r="C7117" s="57"/>
      <c r="D7117" s="57"/>
      <c r="E7117" s="56"/>
      <c r="F7117" s="57"/>
      <c r="G7117" s="57"/>
      <c r="H7117" s="56"/>
      <c r="I7117" s="56"/>
      <c r="J7117" s="58"/>
      <c r="K7117" s="58"/>
      <c r="L7117" s="13" t="str">
        <f t="shared" si="1122"/>
        <v/>
      </c>
      <c r="M7117" s="13" t="str">
        <f t="shared" si="1123"/>
        <v/>
      </c>
      <c r="Q7117" t="str">
        <f t="shared" si="1124"/>
        <v/>
      </c>
      <c r="R7117" t="str">
        <f t="shared" si="1125"/>
        <v/>
      </c>
      <c r="S7117" t="str">
        <f t="shared" si="1126"/>
        <v/>
      </c>
      <c r="T7117" t="str">
        <f t="shared" si="1127"/>
        <v/>
      </c>
      <c r="U7117" t="str">
        <f t="shared" si="1128"/>
        <v/>
      </c>
      <c r="V7117" t="str">
        <f t="shared" si="1129"/>
        <v/>
      </c>
      <c r="W7117" t="str">
        <f t="shared" si="1130"/>
        <v/>
      </c>
      <c r="X7117">
        <f t="shared" si="1120"/>
        <v>0</v>
      </c>
      <c r="Z7117" t="str">
        <f t="shared" si="1131"/>
        <v/>
      </c>
      <c r="AA7117">
        <f t="shared" si="1121"/>
        <v>0</v>
      </c>
    </row>
    <row r="7118" spans="1:27" ht="21" customHeight="1" x14ac:dyDescent="0.95">
      <c r="A7118" s="56"/>
      <c r="B7118" s="57"/>
      <c r="C7118" s="57"/>
      <c r="D7118" s="57"/>
      <c r="E7118" s="56"/>
      <c r="F7118" s="57"/>
      <c r="G7118" s="57"/>
      <c r="H7118" s="56"/>
      <c r="I7118" s="56"/>
      <c r="J7118" s="58"/>
      <c r="K7118" s="58"/>
      <c r="L7118" s="13" t="str">
        <f t="shared" si="1122"/>
        <v/>
      </c>
      <c r="M7118" s="13" t="str">
        <f t="shared" si="1123"/>
        <v/>
      </c>
      <c r="Q7118" t="str">
        <f t="shared" si="1124"/>
        <v/>
      </c>
      <c r="R7118" t="str">
        <f t="shared" si="1125"/>
        <v/>
      </c>
      <c r="S7118" t="str">
        <f t="shared" si="1126"/>
        <v/>
      </c>
      <c r="T7118" t="str">
        <f t="shared" si="1127"/>
        <v/>
      </c>
      <c r="U7118" t="str">
        <f t="shared" si="1128"/>
        <v/>
      </c>
      <c r="V7118" t="str">
        <f t="shared" si="1129"/>
        <v/>
      </c>
      <c r="W7118" t="str">
        <f t="shared" si="1130"/>
        <v/>
      </c>
      <c r="X7118">
        <f t="shared" si="1120"/>
        <v>0</v>
      </c>
      <c r="Z7118" t="str">
        <f t="shared" si="1131"/>
        <v/>
      </c>
      <c r="AA7118">
        <f t="shared" si="1121"/>
        <v>0</v>
      </c>
    </row>
    <row r="7119" spans="1:27" ht="21" customHeight="1" x14ac:dyDescent="0.95">
      <c r="A7119" s="56"/>
      <c r="B7119" s="57"/>
      <c r="C7119" s="57"/>
      <c r="D7119" s="57"/>
      <c r="E7119" s="56"/>
      <c r="F7119" s="57"/>
      <c r="G7119" s="57"/>
      <c r="H7119" s="56"/>
      <c r="I7119" s="56"/>
      <c r="J7119" s="58"/>
      <c r="K7119" s="58"/>
      <c r="L7119" s="13" t="str">
        <f t="shared" si="1122"/>
        <v/>
      </c>
      <c r="M7119" s="13" t="str">
        <f t="shared" si="1123"/>
        <v/>
      </c>
      <c r="Q7119" t="str">
        <f t="shared" si="1124"/>
        <v/>
      </c>
      <c r="R7119" t="str">
        <f t="shared" si="1125"/>
        <v/>
      </c>
      <c r="S7119" t="str">
        <f t="shared" si="1126"/>
        <v/>
      </c>
      <c r="T7119" t="str">
        <f t="shared" si="1127"/>
        <v/>
      </c>
      <c r="U7119" t="str">
        <f t="shared" si="1128"/>
        <v/>
      </c>
      <c r="V7119" t="str">
        <f t="shared" si="1129"/>
        <v/>
      </c>
      <c r="W7119" t="str">
        <f t="shared" si="1130"/>
        <v/>
      </c>
      <c r="X7119">
        <f t="shared" si="1120"/>
        <v>0</v>
      </c>
      <c r="Z7119" t="str">
        <f t="shared" si="1131"/>
        <v/>
      </c>
      <c r="AA7119">
        <f t="shared" si="1121"/>
        <v>0</v>
      </c>
    </row>
    <row r="7120" spans="1:27" ht="21" customHeight="1" x14ac:dyDescent="0.95">
      <c r="A7120" s="56"/>
      <c r="B7120" s="57"/>
      <c r="C7120" s="57"/>
      <c r="D7120" s="57"/>
      <c r="E7120" s="56"/>
      <c r="F7120" s="57"/>
      <c r="G7120" s="57"/>
      <c r="H7120" s="56"/>
      <c r="I7120" s="56"/>
      <c r="J7120" s="58"/>
      <c r="K7120" s="58"/>
      <c r="L7120" s="13" t="str">
        <f t="shared" si="1122"/>
        <v/>
      </c>
      <c r="M7120" s="13" t="str">
        <f t="shared" si="1123"/>
        <v/>
      </c>
      <c r="Q7120" t="str">
        <f t="shared" si="1124"/>
        <v/>
      </c>
      <c r="R7120" t="str">
        <f t="shared" si="1125"/>
        <v/>
      </c>
      <c r="S7120" t="str">
        <f t="shared" si="1126"/>
        <v/>
      </c>
      <c r="T7120" t="str">
        <f t="shared" si="1127"/>
        <v/>
      </c>
      <c r="U7120" t="str">
        <f t="shared" si="1128"/>
        <v/>
      </c>
      <c r="V7120" t="str">
        <f t="shared" si="1129"/>
        <v/>
      </c>
      <c r="W7120" t="str">
        <f t="shared" si="1130"/>
        <v/>
      </c>
      <c r="X7120">
        <f t="shared" si="1120"/>
        <v>0</v>
      </c>
      <c r="Z7120" t="str">
        <f t="shared" si="1131"/>
        <v/>
      </c>
      <c r="AA7120">
        <f t="shared" si="1121"/>
        <v>0</v>
      </c>
    </row>
    <row r="7121" spans="1:27" ht="21" customHeight="1" x14ac:dyDescent="0.95">
      <c r="A7121" s="56"/>
      <c r="B7121" s="57"/>
      <c r="C7121" s="57"/>
      <c r="D7121" s="57"/>
      <c r="E7121" s="56"/>
      <c r="F7121" s="57"/>
      <c r="G7121" s="57"/>
      <c r="H7121" s="56"/>
      <c r="I7121" s="56"/>
      <c r="J7121" s="58"/>
      <c r="K7121" s="58"/>
      <c r="L7121" s="13" t="str">
        <f t="shared" si="1122"/>
        <v/>
      </c>
      <c r="M7121" s="13" t="str">
        <f t="shared" si="1123"/>
        <v/>
      </c>
      <c r="Q7121" t="str">
        <f t="shared" si="1124"/>
        <v/>
      </c>
      <c r="R7121" t="str">
        <f t="shared" si="1125"/>
        <v/>
      </c>
      <c r="S7121" t="str">
        <f t="shared" si="1126"/>
        <v/>
      </c>
      <c r="T7121" t="str">
        <f t="shared" si="1127"/>
        <v/>
      </c>
      <c r="U7121" t="str">
        <f t="shared" si="1128"/>
        <v/>
      </c>
      <c r="V7121" t="str">
        <f t="shared" si="1129"/>
        <v/>
      </c>
      <c r="W7121" t="str">
        <f t="shared" si="1130"/>
        <v/>
      </c>
      <c r="X7121">
        <f t="shared" si="1120"/>
        <v>0</v>
      </c>
      <c r="Z7121" t="str">
        <f t="shared" si="1131"/>
        <v/>
      </c>
      <c r="AA7121">
        <f t="shared" si="1121"/>
        <v>0</v>
      </c>
    </row>
    <row r="7122" spans="1:27" ht="21" customHeight="1" x14ac:dyDescent="0.95">
      <c r="A7122" s="56"/>
      <c r="B7122" s="57"/>
      <c r="C7122" s="57"/>
      <c r="D7122" s="57"/>
      <c r="E7122" s="56"/>
      <c r="F7122" s="57"/>
      <c r="G7122" s="57"/>
      <c r="H7122" s="56"/>
      <c r="I7122" s="56"/>
      <c r="J7122" s="58"/>
      <c r="K7122" s="58"/>
      <c r="L7122" s="13" t="str">
        <f t="shared" si="1122"/>
        <v/>
      </c>
      <c r="M7122" s="13" t="str">
        <f t="shared" si="1123"/>
        <v/>
      </c>
      <c r="Q7122" t="str">
        <f t="shared" si="1124"/>
        <v/>
      </c>
      <c r="R7122" t="str">
        <f t="shared" si="1125"/>
        <v/>
      </c>
      <c r="S7122" t="str">
        <f t="shared" si="1126"/>
        <v/>
      </c>
      <c r="T7122" t="str">
        <f t="shared" si="1127"/>
        <v/>
      </c>
      <c r="U7122" t="str">
        <f t="shared" si="1128"/>
        <v/>
      </c>
      <c r="V7122" t="str">
        <f t="shared" si="1129"/>
        <v/>
      </c>
      <c r="W7122" t="str">
        <f t="shared" si="1130"/>
        <v/>
      </c>
      <c r="X7122">
        <f t="shared" si="1120"/>
        <v>0</v>
      </c>
      <c r="Z7122" t="str">
        <f t="shared" si="1131"/>
        <v/>
      </c>
      <c r="AA7122">
        <f t="shared" si="1121"/>
        <v>0</v>
      </c>
    </row>
    <row r="7123" spans="1:27" ht="21" customHeight="1" x14ac:dyDescent="0.95">
      <c r="A7123" s="56"/>
      <c r="B7123" s="57"/>
      <c r="C7123" s="57"/>
      <c r="D7123" s="57"/>
      <c r="E7123" s="56"/>
      <c r="F7123" s="57"/>
      <c r="G7123" s="57"/>
      <c r="H7123" s="56"/>
      <c r="I7123" s="56"/>
      <c r="J7123" s="58"/>
      <c r="K7123" s="58"/>
      <c r="L7123" s="13" t="str">
        <f t="shared" si="1122"/>
        <v/>
      </c>
      <c r="M7123" s="13" t="str">
        <f t="shared" si="1123"/>
        <v/>
      </c>
      <c r="Q7123" t="str">
        <f t="shared" si="1124"/>
        <v/>
      </c>
      <c r="R7123" t="str">
        <f t="shared" si="1125"/>
        <v/>
      </c>
      <c r="S7123" t="str">
        <f t="shared" si="1126"/>
        <v/>
      </c>
      <c r="T7123" t="str">
        <f t="shared" si="1127"/>
        <v/>
      </c>
      <c r="U7123" t="str">
        <f t="shared" si="1128"/>
        <v/>
      </c>
      <c r="V7123" t="str">
        <f t="shared" si="1129"/>
        <v/>
      </c>
      <c r="W7123" t="str">
        <f t="shared" si="1130"/>
        <v/>
      </c>
      <c r="X7123">
        <f t="shared" si="1120"/>
        <v>0</v>
      </c>
      <c r="Z7123" t="str">
        <f t="shared" si="1131"/>
        <v/>
      </c>
      <c r="AA7123">
        <f t="shared" si="1121"/>
        <v>0</v>
      </c>
    </row>
    <row r="7124" spans="1:27" ht="21" customHeight="1" x14ac:dyDescent="0.95">
      <c r="A7124" s="56"/>
      <c r="B7124" s="57"/>
      <c r="C7124" s="57"/>
      <c r="D7124" s="57"/>
      <c r="E7124" s="56"/>
      <c r="F7124" s="57"/>
      <c r="G7124" s="57"/>
      <c r="H7124" s="56"/>
      <c r="I7124" s="56"/>
      <c r="J7124" s="58"/>
      <c r="K7124" s="58"/>
      <c r="L7124" s="13" t="str">
        <f t="shared" si="1122"/>
        <v/>
      </c>
      <c r="M7124" s="13" t="str">
        <f t="shared" si="1123"/>
        <v/>
      </c>
      <c r="Q7124" t="str">
        <f t="shared" si="1124"/>
        <v/>
      </c>
      <c r="R7124" t="str">
        <f t="shared" si="1125"/>
        <v/>
      </c>
      <c r="S7124" t="str">
        <f t="shared" si="1126"/>
        <v/>
      </c>
      <c r="T7124" t="str">
        <f t="shared" si="1127"/>
        <v/>
      </c>
      <c r="U7124" t="str">
        <f t="shared" si="1128"/>
        <v/>
      </c>
      <c r="V7124" t="str">
        <f t="shared" si="1129"/>
        <v/>
      </c>
      <c r="W7124" t="str">
        <f t="shared" si="1130"/>
        <v/>
      </c>
      <c r="X7124">
        <f t="shared" si="1120"/>
        <v>0</v>
      </c>
      <c r="Z7124" t="str">
        <f t="shared" si="1131"/>
        <v/>
      </c>
      <c r="AA7124">
        <f t="shared" si="1121"/>
        <v>0</v>
      </c>
    </row>
    <row r="7125" spans="1:27" ht="21" customHeight="1" x14ac:dyDescent="0.95">
      <c r="A7125" s="56"/>
      <c r="B7125" s="57"/>
      <c r="C7125" s="57"/>
      <c r="D7125" s="57"/>
      <c r="E7125" s="56"/>
      <c r="F7125" s="57"/>
      <c r="G7125" s="57"/>
      <c r="H7125" s="56"/>
      <c r="I7125" s="56"/>
      <c r="J7125" s="58"/>
      <c r="K7125" s="58"/>
      <c r="L7125" s="13" t="str">
        <f t="shared" si="1122"/>
        <v/>
      </c>
      <c r="M7125" s="13" t="str">
        <f t="shared" si="1123"/>
        <v/>
      </c>
      <c r="Q7125" t="str">
        <f t="shared" si="1124"/>
        <v/>
      </c>
      <c r="R7125" t="str">
        <f t="shared" si="1125"/>
        <v/>
      </c>
      <c r="S7125" t="str">
        <f t="shared" si="1126"/>
        <v/>
      </c>
      <c r="T7125" t="str">
        <f t="shared" si="1127"/>
        <v/>
      </c>
      <c r="U7125" t="str">
        <f t="shared" si="1128"/>
        <v/>
      </c>
      <c r="V7125" t="str">
        <f t="shared" si="1129"/>
        <v/>
      </c>
      <c r="W7125" t="str">
        <f t="shared" si="1130"/>
        <v/>
      </c>
      <c r="X7125">
        <f t="shared" si="1120"/>
        <v>0</v>
      </c>
      <c r="Z7125" t="str">
        <f t="shared" si="1131"/>
        <v/>
      </c>
      <c r="AA7125">
        <f t="shared" si="1121"/>
        <v>0</v>
      </c>
    </row>
    <row r="7126" spans="1:27" ht="21" customHeight="1" x14ac:dyDescent="0.95">
      <c r="A7126" s="56"/>
      <c r="B7126" s="57"/>
      <c r="C7126" s="57"/>
      <c r="D7126" s="57"/>
      <c r="E7126" s="56"/>
      <c r="F7126" s="57"/>
      <c r="G7126" s="57"/>
      <c r="H7126" s="56"/>
      <c r="I7126" s="56"/>
      <c r="J7126" s="58"/>
      <c r="K7126" s="58"/>
      <c r="L7126" s="13" t="str">
        <f t="shared" si="1122"/>
        <v/>
      </c>
      <c r="M7126" s="13" t="str">
        <f t="shared" si="1123"/>
        <v/>
      </c>
      <c r="Q7126" t="str">
        <f t="shared" si="1124"/>
        <v/>
      </c>
      <c r="R7126" t="str">
        <f t="shared" si="1125"/>
        <v/>
      </c>
      <c r="S7126" t="str">
        <f t="shared" si="1126"/>
        <v/>
      </c>
      <c r="T7126" t="str">
        <f t="shared" si="1127"/>
        <v/>
      </c>
      <c r="U7126" t="str">
        <f t="shared" si="1128"/>
        <v/>
      </c>
      <c r="V7126" t="str">
        <f t="shared" si="1129"/>
        <v/>
      </c>
      <c r="W7126" t="str">
        <f t="shared" si="1130"/>
        <v/>
      </c>
      <c r="X7126">
        <f t="shared" si="1120"/>
        <v>0</v>
      </c>
      <c r="Z7126" t="str">
        <f t="shared" si="1131"/>
        <v/>
      </c>
      <c r="AA7126">
        <f t="shared" si="1121"/>
        <v>0</v>
      </c>
    </row>
    <row r="7127" spans="1:27" ht="21" customHeight="1" x14ac:dyDescent="0.95">
      <c r="A7127" s="56"/>
      <c r="B7127" s="57"/>
      <c r="C7127" s="57"/>
      <c r="D7127" s="57"/>
      <c r="E7127" s="56"/>
      <c r="F7127" s="57"/>
      <c r="G7127" s="57"/>
      <c r="H7127" s="56"/>
      <c r="I7127" s="56"/>
      <c r="J7127" s="58"/>
      <c r="K7127" s="58"/>
      <c r="L7127" s="13" t="str">
        <f t="shared" si="1122"/>
        <v/>
      </c>
      <c r="M7127" s="13" t="str">
        <f t="shared" si="1123"/>
        <v/>
      </c>
      <c r="Q7127" t="str">
        <f t="shared" si="1124"/>
        <v/>
      </c>
      <c r="R7127" t="str">
        <f t="shared" si="1125"/>
        <v/>
      </c>
      <c r="S7127" t="str">
        <f t="shared" si="1126"/>
        <v/>
      </c>
      <c r="T7127" t="str">
        <f t="shared" si="1127"/>
        <v/>
      </c>
      <c r="U7127" t="str">
        <f t="shared" si="1128"/>
        <v/>
      </c>
      <c r="V7127" t="str">
        <f t="shared" si="1129"/>
        <v/>
      </c>
      <c r="W7127" t="str">
        <f t="shared" si="1130"/>
        <v/>
      </c>
      <c r="X7127">
        <f t="shared" si="1120"/>
        <v>0</v>
      </c>
      <c r="Z7127" t="str">
        <f t="shared" si="1131"/>
        <v/>
      </c>
      <c r="AA7127">
        <f t="shared" si="1121"/>
        <v>0</v>
      </c>
    </row>
    <row r="7128" spans="1:27" ht="21" customHeight="1" x14ac:dyDescent="0.95">
      <c r="A7128" s="56"/>
      <c r="B7128" s="57"/>
      <c r="C7128" s="57"/>
      <c r="D7128" s="57"/>
      <c r="E7128" s="56"/>
      <c r="F7128" s="57"/>
      <c r="G7128" s="57"/>
      <c r="H7128" s="56"/>
      <c r="I7128" s="56"/>
      <c r="J7128" s="58"/>
      <c r="K7128" s="58"/>
      <c r="L7128" s="13" t="str">
        <f t="shared" si="1122"/>
        <v/>
      </c>
      <c r="M7128" s="13" t="str">
        <f t="shared" si="1123"/>
        <v/>
      </c>
      <c r="Q7128" t="str">
        <f t="shared" si="1124"/>
        <v/>
      </c>
      <c r="R7128" t="str">
        <f t="shared" si="1125"/>
        <v/>
      </c>
      <c r="S7128" t="str">
        <f t="shared" si="1126"/>
        <v/>
      </c>
      <c r="T7128" t="str">
        <f t="shared" si="1127"/>
        <v/>
      </c>
      <c r="U7128" t="str">
        <f t="shared" si="1128"/>
        <v/>
      </c>
      <c r="V7128" t="str">
        <f t="shared" si="1129"/>
        <v/>
      </c>
      <c r="W7128" t="str">
        <f t="shared" si="1130"/>
        <v/>
      </c>
      <c r="X7128">
        <f t="shared" si="1120"/>
        <v>0</v>
      </c>
      <c r="Z7128" t="str">
        <f t="shared" si="1131"/>
        <v/>
      </c>
      <c r="AA7128">
        <f t="shared" si="1121"/>
        <v>0</v>
      </c>
    </row>
    <row r="7129" spans="1:27" ht="21" customHeight="1" x14ac:dyDescent="0.95">
      <c r="A7129" s="56"/>
      <c r="B7129" s="57"/>
      <c r="C7129" s="57"/>
      <c r="D7129" s="57"/>
      <c r="E7129" s="56"/>
      <c r="F7129" s="57"/>
      <c r="G7129" s="57"/>
      <c r="H7129" s="56"/>
      <c r="I7129" s="56"/>
      <c r="J7129" s="58"/>
      <c r="K7129" s="58"/>
      <c r="L7129" s="13" t="str">
        <f t="shared" si="1122"/>
        <v/>
      </c>
      <c r="M7129" s="13" t="str">
        <f t="shared" si="1123"/>
        <v/>
      </c>
      <c r="Q7129" t="str">
        <f t="shared" si="1124"/>
        <v/>
      </c>
      <c r="R7129" t="str">
        <f t="shared" si="1125"/>
        <v/>
      </c>
      <c r="S7129" t="str">
        <f t="shared" si="1126"/>
        <v/>
      </c>
      <c r="T7129" t="str">
        <f t="shared" si="1127"/>
        <v/>
      </c>
      <c r="U7129" t="str">
        <f t="shared" si="1128"/>
        <v/>
      </c>
      <c r="V7129" t="str">
        <f t="shared" si="1129"/>
        <v/>
      </c>
      <c r="W7129" t="str">
        <f t="shared" si="1130"/>
        <v/>
      </c>
      <c r="X7129">
        <f t="shared" si="1120"/>
        <v>0</v>
      </c>
      <c r="Z7129" t="str">
        <f t="shared" si="1131"/>
        <v/>
      </c>
      <c r="AA7129">
        <f t="shared" si="1121"/>
        <v>0</v>
      </c>
    </row>
    <row r="7130" spans="1:27" ht="21" customHeight="1" x14ac:dyDescent="0.95">
      <c r="A7130" s="56"/>
      <c r="B7130" s="57"/>
      <c r="C7130" s="57"/>
      <c r="D7130" s="57"/>
      <c r="E7130" s="56"/>
      <c r="F7130" s="57"/>
      <c r="G7130" s="57"/>
      <c r="H7130" s="56"/>
      <c r="I7130" s="56"/>
      <c r="J7130" s="58"/>
      <c r="K7130" s="58"/>
      <c r="L7130" s="13" t="str">
        <f t="shared" si="1122"/>
        <v/>
      </c>
      <c r="M7130" s="13" t="str">
        <f t="shared" si="1123"/>
        <v/>
      </c>
      <c r="Q7130" t="str">
        <f t="shared" si="1124"/>
        <v/>
      </c>
      <c r="R7130" t="str">
        <f t="shared" si="1125"/>
        <v/>
      </c>
      <c r="S7130" t="str">
        <f t="shared" si="1126"/>
        <v/>
      </c>
      <c r="T7130" t="str">
        <f t="shared" si="1127"/>
        <v/>
      </c>
      <c r="U7130" t="str">
        <f t="shared" si="1128"/>
        <v/>
      </c>
      <c r="V7130" t="str">
        <f t="shared" si="1129"/>
        <v/>
      </c>
      <c r="W7130" t="str">
        <f t="shared" si="1130"/>
        <v/>
      </c>
      <c r="X7130">
        <f t="shared" si="1120"/>
        <v>0</v>
      </c>
      <c r="Z7130" t="str">
        <f t="shared" si="1131"/>
        <v/>
      </c>
      <c r="AA7130">
        <f t="shared" si="1121"/>
        <v>0</v>
      </c>
    </row>
    <row r="7131" spans="1:27" ht="21" customHeight="1" x14ac:dyDescent="0.95">
      <c r="A7131" s="56"/>
      <c r="B7131" s="57"/>
      <c r="C7131" s="57"/>
      <c r="D7131" s="57"/>
      <c r="E7131" s="56"/>
      <c r="F7131" s="57"/>
      <c r="G7131" s="57"/>
      <c r="H7131" s="56"/>
      <c r="I7131" s="56"/>
      <c r="J7131" s="58"/>
      <c r="K7131" s="58"/>
      <c r="L7131" s="13" t="str">
        <f t="shared" si="1122"/>
        <v/>
      </c>
      <c r="M7131" s="13" t="str">
        <f t="shared" si="1123"/>
        <v/>
      </c>
      <c r="Q7131" t="str">
        <f t="shared" si="1124"/>
        <v/>
      </c>
      <c r="R7131" t="str">
        <f t="shared" si="1125"/>
        <v/>
      </c>
      <c r="S7131" t="str">
        <f t="shared" si="1126"/>
        <v/>
      </c>
      <c r="T7131" t="str">
        <f t="shared" si="1127"/>
        <v/>
      </c>
      <c r="U7131" t="str">
        <f t="shared" si="1128"/>
        <v/>
      </c>
      <c r="V7131" t="str">
        <f t="shared" si="1129"/>
        <v/>
      </c>
      <c r="W7131" t="str">
        <f t="shared" si="1130"/>
        <v/>
      </c>
      <c r="X7131">
        <f t="shared" si="1120"/>
        <v>0</v>
      </c>
      <c r="Z7131" t="str">
        <f t="shared" si="1131"/>
        <v/>
      </c>
      <c r="AA7131">
        <f t="shared" si="1121"/>
        <v>0</v>
      </c>
    </row>
    <row r="7132" spans="1:27" ht="21" customHeight="1" x14ac:dyDescent="0.95">
      <c r="A7132" s="56"/>
      <c r="B7132" s="57"/>
      <c r="C7132" s="57"/>
      <c r="D7132" s="57"/>
      <c r="E7132" s="56"/>
      <c r="F7132" s="57"/>
      <c r="G7132" s="57"/>
      <c r="H7132" s="56"/>
      <c r="I7132" s="56"/>
      <c r="J7132" s="58"/>
      <c r="K7132" s="58"/>
      <c r="L7132" s="13" t="str">
        <f t="shared" si="1122"/>
        <v/>
      </c>
      <c r="M7132" s="13" t="str">
        <f t="shared" si="1123"/>
        <v/>
      </c>
      <c r="Q7132" t="str">
        <f t="shared" si="1124"/>
        <v/>
      </c>
      <c r="R7132" t="str">
        <f t="shared" si="1125"/>
        <v/>
      </c>
      <c r="S7132" t="str">
        <f t="shared" si="1126"/>
        <v/>
      </c>
      <c r="T7132" t="str">
        <f t="shared" si="1127"/>
        <v/>
      </c>
      <c r="U7132" t="str">
        <f t="shared" si="1128"/>
        <v/>
      </c>
      <c r="V7132" t="str">
        <f t="shared" si="1129"/>
        <v/>
      </c>
      <c r="W7132" t="str">
        <f t="shared" si="1130"/>
        <v/>
      </c>
      <c r="X7132">
        <f t="shared" si="1120"/>
        <v>0</v>
      </c>
      <c r="Z7132" t="str">
        <f t="shared" si="1131"/>
        <v/>
      </c>
      <c r="AA7132">
        <f t="shared" si="1121"/>
        <v>0</v>
      </c>
    </row>
    <row r="7133" spans="1:27" ht="21" customHeight="1" x14ac:dyDescent="0.95">
      <c r="A7133" s="56"/>
      <c r="B7133" s="57"/>
      <c r="C7133" s="57"/>
      <c r="D7133" s="57"/>
      <c r="E7133" s="56"/>
      <c r="F7133" s="57"/>
      <c r="G7133" s="57"/>
      <c r="H7133" s="56"/>
      <c r="I7133" s="56"/>
      <c r="J7133" s="58"/>
      <c r="K7133" s="58"/>
      <c r="L7133" s="13" t="str">
        <f t="shared" si="1122"/>
        <v/>
      </c>
      <c r="M7133" s="13" t="str">
        <f t="shared" si="1123"/>
        <v/>
      </c>
      <c r="Q7133" t="str">
        <f t="shared" si="1124"/>
        <v/>
      </c>
      <c r="R7133" t="str">
        <f t="shared" si="1125"/>
        <v/>
      </c>
      <c r="S7133" t="str">
        <f t="shared" si="1126"/>
        <v/>
      </c>
      <c r="T7133" t="str">
        <f t="shared" si="1127"/>
        <v/>
      </c>
      <c r="U7133" t="str">
        <f t="shared" si="1128"/>
        <v/>
      </c>
      <c r="V7133" t="str">
        <f t="shared" si="1129"/>
        <v/>
      </c>
      <c r="W7133" t="str">
        <f t="shared" si="1130"/>
        <v/>
      </c>
      <c r="X7133">
        <f t="shared" si="1120"/>
        <v>0</v>
      </c>
      <c r="Z7133" t="str">
        <f t="shared" si="1131"/>
        <v/>
      </c>
      <c r="AA7133">
        <f t="shared" si="1121"/>
        <v>0</v>
      </c>
    </row>
    <row r="7134" spans="1:27" ht="21" customHeight="1" x14ac:dyDescent="0.95">
      <c r="A7134" s="56"/>
      <c r="B7134" s="57"/>
      <c r="C7134" s="57"/>
      <c r="D7134" s="57"/>
      <c r="E7134" s="56"/>
      <c r="F7134" s="57"/>
      <c r="G7134" s="57"/>
      <c r="H7134" s="56"/>
      <c r="I7134" s="56"/>
      <c r="J7134" s="58"/>
      <c r="K7134" s="58"/>
      <c r="L7134" s="13" t="str">
        <f t="shared" si="1122"/>
        <v/>
      </c>
      <c r="M7134" s="13" t="str">
        <f t="shared" si="1123"/>
        <v/>
      </c>
      <c r="Q7134" t="str">
        <f t="shared" si="1124"/>
        <v/>
      </c>
      <c r="R7134" t="str">
        <f t="shared" si="1125"/>
        <v/>
      </c>
      <c r="S7134" t="str">
        <f t="shared" si="1126"/>
        <v/>
      </c>
      <c r="T7134" t="str">
        <f t="shared" si="1127"/>
        <v/>
      </c>
      <c r="U7134" t="str">
        <f t="shared" si="1128"/>
        <v/>
      </c>
      <c r="V7134" t="str">
        <f t="shared" si="1129"/>
        <v/>
      </c>
      <c r="W7134" t="str">
        <f t="shared" si="1130"/>
        <v/>
      </c>
      <c r="X7134">
        <f t="shared" si="1120"/>
        <v>0</v>
      </c>
      <c r="Z7134" t="str">
        <f t="shared" si="1131"/>
        <v/>
      </c>
      <c r="AA7134">
        <f t="shared" si="1121"/>
        <v>0</v>
      </c>
    </row>
    <row r="7135" spans="1:27" ht="21" customHeight="1" x14ac:dyDescent="0.95">
      <c r="A7135" s="56"/>
      <c r="B7135" s="57"/>
      <c r="C7135" s="57"/>
      <c r="D7135" s="57"/>
      <c r="E7135" s="56"/>
      <c r="F7135" s="57"/>
      <c r="G7135" s="57"/>
      <c r="H7135" s="56"/>
      <c r="I7135" s="56"/>
      <c r="J7135" s="58"/>
      <c r="K7135" s="58"/>
      <c r="L7135" s="13" t="str">
        <f t="shared" si="1122"/>
        <v/>
      </c>
      <c r="M7135" s="13" t="str">
        <f t="shared" si="1123"/>
        <v/>
      </c>
      <c r="Q7135" t="str">
        <f t="shared" si="1124"/>
        <v/>
      </c>
      <c r="R7135" t="str">
        <f t="shared" si="1125"/>
        <v/>
      </c>
      <c r="S7135" t="str">
        <f t="shared" si="1126"/>
        <v/>
      </c>
      <c r="T7135" t="str">
        <f t="shared" si="1127"/>
        <v/>
      </c>
      <c r="U7135" t="str">
        <f t="shared" si="1128"/>
        <v/>
      </c>
      <c r="V7135" t="str">
        <f t="shared" si="1129"/>
        <v/>
      </c>
      <c r="W7135" t="str">
        <f t="shared" si="1130"/>
        <v/>
      </c>
      <c r="X7135">
        <f t="shared" si="1120"/>
        <v>0</v>
      </c>
      <c r="Z7135" t="str">
        <f t="shared" si="1131"/>
        <v/>
      </c>
      <c r="AA7135">
        <f t="shared" si="1121"/>
        <v>0</v>
      </c>
    </row>
    <row r="7136" spans="1:27" ht="21" customHeight="1" x14ac:dyDescent="0.95">
      <c r="A7136" s="56"/>
      <c r="B7136" s="57"/>
      <c r="C7136" s="57"/>
      <c r="D7136" s="57"/>
      <c r="E7136" s="56"/>
      <c r="F7136" s="57"/>
      <c r="G7136" s="57"/>
      <c r="H7136" s="56"/>
      <c r="I7136" s="56"/>
      <c r="J7136" s="58"/>
      <c r="K7136" s="58"/>
      <c r="L7136" s="13" t="str">
        <f t="shared" si="1122"/>
        <v/>
      </c>
      <c r="M7136" s="13" t="str">
        <f t="shared" si="1123"/>
        <v/>
      </c>
      <c r="Q7136" t="str">
        <f t="shared" si="1124"/>
        <v/>
      </c>
      <c r="R7136" t="str">
        <f t="shared" si="1125"/>
        <v/>
      </c>
      <c r="S7136" t="str">
        <f t="shared" si="1126"/>
        <v/>
      </c>
      <c r="T7136" t="str">
        <f t="shared" si="1127"/>
        <v/>
      </c>
      <c r="U7136" t="str">
        <f t="shared" si="1128"/>
        <v/>
      </c>
      <c r="V7136" t="str">
        <f t="shared" si="1129"/>
        <v/>
      </c>
      <c r="W7136" t="str">
        <f t="shared" si="1130"/>
        <v/>
      </c>
      <c r="X7136">
        <f t="shared" si="1120"/>
        <v>0</v>
      </c>
      <c r="Z7136" t="str">
        <f t="shared" si="1131"/>
        <v/>
      </c>
      <c r="AA7136">
        <f t="shared" si="1121"/>
        <v>0</v>
      </c>
    </row>
    <row r="7137" spans="1:27" ht="21" customHeight="1" x14ac:dyDescent="0.95">
      <c r="A7137" s="56"/>
      <c r="B7137" s="57"/>
      <c r="C7137" s="57"/>
      <c r="D7137" s="57"/>
      <c r="E7137" s="56"/>
      <c r="F7137" s="57"/>
      <c r="G7137" s="57"/>
      <c r="H7137" s="56"/>
      <c r="I7137" s="56"/>
      <c r="J7137" s="58"/>
      <c r="K7137" s="58"/>
      <c r="L7137" s="13" t="str">
        <f t="shared" si="1122"/>
        <v/>
      </c>
      <c r="M7137" s="13" t="str">
        <f t="shared" si="1123"/>
        <v/>
      </c>
      <c r="Q7137" t="str">
        <f t="shared" si="1124"/>
        <v/>
      </c>
      <c r="R7137" t="str">
        <f t="shared" si="1125"/>
        <v/>
      </c>
      <c r="S7137" t="str">
        <f t="shared" si="1126"/>
        <v/>
      </c>
      <c r="T7137" t="str">
        <f t="shared" si="1127"/>
        <v/>
      </c>
      <c r="U7137" t="str">
        <f t="shared" si="1128"/>
        <v/>
      </c>
      <c r="V7137" t="str">
        <f t="shared" si="1129"/>
        <v/>
      </c>
      <c r="W7137" t="str">
        <f t="shared" si="1130"/>
        <v/>
      </c>
      <c r="X7137">
        <f t="shared" si="1120"/>
        <v>0</v>
      </c>
      <c r="Z7137" t="str">
        <f t="shared" si="1131"/>
        <v/>
      </c>
      <c r="AA7137">
        <f t="shared" si="1121"/>
        <v>0</v>
      </c>
    </row>
    <row r="7138" spans="1:27" ht="21" customHeight="1" x14ac:dyDescent="0.95">
      <c r="A7138" s="56"/>
      <c r="B7138" s="57"/>
      <c r="C7138" s="57"/>
      <c r="D7138" s="57"/>
      <c r="E7138" s="56"/>
      <c r="F7138" s="57"/>
      <c r="G7138" s="57"/>
      <c r="H7138" s="56"/>
      <c r="I7138" s="56"/>
      <c r="J7138" s="58"/>
      <c r="K7138" s="58"/>
      <c r="L7138" s="13" t="str">
        <f t="shared" si="1122"/>
        <v/>
      </c>
      <c r="M7138" s="13" t="str">
        <f t="shared" si="1123"/>
        <v/>
      </c>
      <c r="Q7138" t="str">
        <f t="shared" si="1124"/>
        <v/>
      </c>
      <c r="R7138" t="str">
        <f t="shared" si="1125"/>
        <v/>
      </c>
      <c r="S7138" t="str">
        <f t="shared" si="1126"/>
        <v/>
      </c>
      <c r="T7138" t="str">
        <f t="shared" si="1127"/>
        <v/>
      </c>
      <c r="U7138" t="str">
        <f t="shared" si="1128"/>
        <v/>
      </c>
      <c r="V7138" t="str">
        <f t="shared" si="1129"/>
        <v/>
      </c>
      <c r="W7138" t="str">
        <f t="shared" si="1130"/>
        <v/>
      </c>
      <c r="X7138">
        <f t="shared" si="1120"/>
        <v>0</v>
      </c>
      <c r="Z7138" t="str">
        <f t="shared" si="1131"/>
        <v/>
      </c>
      <c r="AA7138">
        <f t="shared" si="1121"/>
        <v>0</v>
      </c>
    </row>
    <row r="7139" spans="1:27" ht="21" customHeight="1" x14ac:dyDescent="0.95">
      <c r="A7139" s="56"/>
      <c r="B7139" s="57"/>
      <c r="C7139" s="57"/>
      <c r="D7139" s="57"/>
      <c r="E7139" s="56"/>
      <c r="F7139" s="57"/>
      <c r="G7139" s="57"/>
      <c r="H7139" s="56"/>
      <c r="I7139" s="56"/>
      <c r="J7139" s="58"/>
      <c r="K7139" s="58"/>
      <c r="L7139" s="13" t="str">
        <f t="shared" si="1122"/>
        <v/>
      </c>
      <c r="M7139" s="13" t="str">
        <f t="shared" si="1123"/>
        <v/>
      </c>
      <c r="Q7139" t="str">
        <f t="shared" si="1124"/>
        <v/>
      </c>
      <c r="R7139" t="str">
        <f t="shared" si="1125"/>
        <v/>
      </c>
      <c r="S7139" t="str">
        <f t="shared" si="1126"/>
        <v/>
      </c>
      <c r="T7139" t="str">
        <f t="shared" si="1127"/>
        <v/>
      </c>
      <c r="U7139" t="str">
        <f t="shared" si="1128"/>
        <v/>
      </c>
      <c r="V7139" t="str">
        <f t="shared" si="1129"/>
        <v/>
      </c>
      <c r="W7139" t="str">
        <f t="shared" si="1130"/>
        <v/>
      </c>
      <c r="X7139">
        <f t="shared" si="1120"/>
        <v>0</v>
      </c>
      <c r="Z7139" t="str">
        <f t="shared" si="1131"/>
        <v/>
      </c>
      <c r="AA7139">
        <f t="shared" si="1121"/>
        <v>0</v>
      </c>
    </row>
    <row r="7140" spans="1:27" ht="21" customHeight="1" x14ac:dyDescent="0.95">
      <c r="A7140" s="56"/>
      <c r="B7140" s="57"/>
      <c r="C7140" s="57"/>
      <c r="D7140" s="57"/>
      <c r="E7140" s="56"/>
      <c r="F7140" s="57"/>
      <c r="G7140" s="57"/>
      <c r="H7140" s="56"/>
      <c r="I7140" s="56"/>
      <c r="J7140" s="58"/>
      <c r="K7140" s="58"/>
      <c r="L7140" s="13" t="str">
        <f t="shared" si="1122"/>
        <v/>
      </c>
      <c r="M7140" s="13" t="str">
        <f t="shared" si="1123"/>
        <v/>
      </c>
      <c r="Q7140" t="str">
        <f t="shared" si="1124"/>
        <v/>
      </c>
      <c r="R7140" t="str">
        <f t="shared" si="1125"/>
        <v/>
      </c>
      <c r="S7140" t="str">
        <f t="shared" si="1126"/>
        <v/>
      </c>
      <c r="T7140" t="str">
        <f t="shared" si="1127"/>
        <v/>
      </c>
      <c r="U7140" t="str">
        <f t="shared" si="1128"/>
        <v/>
      </c>
      <c r="V7140" t="str">
        <f t="shared" si="1129"/>
        <v/>
      </c>
      <c r="W7140" t="str">
        <f t="shared" si="1130"/>
        <v/>
      </c>
      <c r="X7140">
        <f t="shared" si="1120"/>
        <v>0</v>
      </c>
      <c r="Z7140" t="str">
        <f t="shared" si="1131"/>
        <v/>
      </c>
      <c r="AA7140">
        <f t="shared" si="1121"/>
        <v>0</v>
      </c>
    </row>
    <row r="7141" spans="1:27" ht="21" customHeight="1" x14ac:dyDescent="0.95">
      <c r="A7141" s="56"/>
      <c r="B7141" s="57"/>
      <c r="C7141" s="57"/>
      <c r="D7141" s="57"/>
      <c r="E7141" s="56"/>
      <c r="F7141" s="57"/>
      <c r="G7141" s="57"/>
      <c r="H7141" s="56"/>
      <c r="I7141" s="56"/>
      <c r="J7141" s="58"/>
      <c r="K7141" s="58"/>
      <c r="L7141" s="13" t="str">
        <f t="shared" si="1122"/>
        <v/>
      </c>
      <c r="M7141" s="13" t="str">
        <f t="shared" si="1123"/>
        <v/>
      </c>
      <c r="Q7141" t="str">
        <f t="shared" si="1124"/>
        <v/>
      </c>
      <c r="R7141" t="str">
        <f t="shared" si="1125"/>
        <v/>
      </c>
      <c r="S7141" t="str">
        <f t="shared" si="1126"/>
        <v/>
      </c>
      <c r="T7141" t="str">
        <f t="shared" si="1127"/>
        <v/>
      </c>
      <c r="U7141" t="str">
        <f t="shared" si="1128"/>
        <v/>
      </c>
      <c r="V7141" t="str">
        <f t="shared" si="1129"/>
        <v/>
      </c>
      <c r="W7141" t="str">
        <f t="shared" si="1130"/>
        <v/>
      </c>
      <c r="X7141">
        <f t="shared" si="1120"/>
        <v>0</v>
      </c>
      <c r="Z7141" t="str">
        <f t="shared" si="1131"/>
        <v/>
      </c>
      <c r="AA7141">
        <f t="shared" si="1121"/>
        <v>0</v>
      </c>
    </row>
    <row r="7142" spans="1:27" ht="21" customHeight="1" x14ac:dyDescent="0.95">
      <c r="A7142" s="56"/>
      <c r="B7142" s="57"/>
      <c r="C7142" s="57"/>
      <c r="D7142" s="57"/>
      <c r="E7142" s="56"/>
      <c r="F7142" s="57"/>
      <c r="G7142" s="57"/>
      <c r="H7142" s="56"/>
      <c r="I7142" s="56"/>
      <c r="J7142" s="58"/>
      <c r="K7142" s="58"/>
      <c r="L7142" s="13" t="str">
        <f t="shared" si="1122"/>
        <v/>
      </c>
      <c r="M7142" s="13" t="str">
        <f t="shared" si="1123"/>
        <v/>
      </c>
      <c r="Q7142" t="str">
        <f t="shared" si="1124"/>
        <v/>
      </c>
      <c r="R7142" t="str">
        <f t="shared" si="1125"/>
        <v/>
      </c>
      <c r="S7142" t="str">
        <f t="shared" si="1126"/>
        <v/>
      </c>
      <c r="T7142" t="str">
        <f t="shared" si="1127"/>
        <v/>
      </c>
      <c r="U7142" t="str">
        <f t="shared" si="1128"/>
        <v/>
      </c>
      <c r="V7142" t="str">
        <f t="shared" si="1129"/>
        <v/>
      </c>
      <c r="W7142" t="str">
        <f t="shared" si="1130"/>
        <v/>
      </c>
      <c r="X7142">
        <f t="shared" si="1120"/>
        <v>0</v>
      </c>
      <c r="Z7142" t="str">
        <f t="shared" si="1131"/>
        <v/>
      </c>
      <c r="AA7142">
        <f t="shared" si="1121"/>
        <v>0</v>
      </c>
    </row>
    <row r="7143" spans="1:27" ht="21" customHeight="1" x14ac:dyDescent="0.95">
      <c r="A7143" s="56"/>
      <c r="B7143" s="57"/>
      <c r="C7143" s="57"/>
      <c r="D7143" s="57"/>
      <c r="E7143" s="56"/>
      <c r="F7143" s="57"/>
      <c r="G7143" s="57"/>
      <c r="H7143" s="56"/>
      <c r="I7143" s="56"/>
      <c r="J7143" s="58"/>
      <c r="K7143" s="58"/>
      <c r="L7143" s="13" t="str">
        <f t="shared" si="1122"/>
        <v/>
      </c>
      <c r="M7143" s="13" t="str">
        <f t="shared" si="1123"/>
        <v/>
      </c>
      <c r="Q7143" t="str">
        <f t="shared" si="1124"/>
        <v/>
      </c>
      <c r="R7143" t="str">
        <f t="shared" si="1125"/>
        <v/>
      </c>
      <c r="S7143" t="str">
        <f t="shared" si="1126"/>
        <v/>
      </c>
      <c r="T7143" t="str">
        <f t="shared" si="1127"/>
        <v/>
      </c>
      <c r="U7143" t="str">
        <f t="shared" si="1128"/>
        <v/>
      </c>
      <c r="V7143" t="str">
        <f t="shared" si="1129"/>
        <v/>
      </c>
      <c r="W7143" t="str">
        <f t="shared" si="1130"/>
        <v/>
      </c>
      <c r="X7143">
        <f t="shared" si="1120"/>
        <v>0</v>
      </c>
      <c r="Z7143" t="str">
        <f t="shared" si="1131"/>
        <v/>
      </c>
      <c r="AA7143">
        <f t="shared" si="1121"/>
        <v>0</v>
      </c>
    </row>
    <row r="7144" spans="1:27" ht="21" customHeight="1" x14ac:dyDescent="0.95">
      <c r="A7144" s="56"/>
      <c r="B7144" s="57"/>
      <c r="C7144" s="57"/>
      <c r="D7144" s="57"/>
      <c r="E7144" s="56"/>
      <c r="F7144" s="57"/>
      <c r="G7144" s="57"/>
      <c r="H7144" s="56"/>
      <c r="I7144" s="56"/>
      <c r="J7144" s="58"/>
      <c r="K7144" s="58"/>
      <c r="L7144" s="13" t="str">
        <f t="shared" si="1122"/>
        <v/>
      </c>
      <c r="M7144" s="13" t="str">
        <f t="shared" si="1123"/>
        <v/>
      </c>
      <c r="Q7144" t="str">
        <f t="shared" si="1124"/>
        <v/>
      </c>
      <c r="R7144" t="str">
        <f t="shared" si="1125"/>
        <v/>
      </c>
      <c r="S7144" t="str">
        <f t="shared" si="1126"/>
        <v/>
      </c>
      <c r="T7144" t="str">
        <f t="shared" si="1127"/>
        <v/>
      </c>
      <c r="U7144" t="str">
        <f t="shared" si="1128"/>
        <v/>
      </c>
      <c r="V7144" t="str">
        <f t="shared" si="1129"/>
        <v/>
      </c>
      <c r="W7144" t="str">
        <f t="shared" si="1130"/>
        <v/>
      </c>
      <c r="X7144">
        <f t="shared" si="1120"/>
        <v>0</v>
      </c>
      <c r="Z7144" t="str">
        <f t="shared" si="1131"/>
        <v/>
      </c>
      <c r="AA7144">
        <f t="shared" si="1121"/>
        <v>0</v>
      </c>
    </row>
    <row r="7145" spans="1:27" ht="21" customHeight="1" x14ac:dyDescent="0.95">
      <c r="A7145" s="56"/>
      <c r="B7145" s="57"/>
      <c r="C7145" s="57"/>
      <c r="D7145" s="57"/>
      <c r="E7145" s="56"/>
      <c r="F7145" s="57"/>
      <c r="G7145" s="57"/>
      <c r="H7145" s="56"/>
      <c r="I7145" s="56"/>
      <c r="J7145" s="58"/>
      <c r="K7145" s="58"/>
      <c r="L7145" s="13" t="str">
        <f t="shared" si="1122"/>
        <v/>
      </c>
      <c r="M7145" s="13" t="str">
        <f t="shared" si="1123"/>
        <v/>
      </c>
      <c r="Q7145" t="str">
        <f t="shared" si="1124"/>
        <v/>
      </c>
      <c r="R7145" t="str">
        <f t="shared" si="1125"/>
        <v/>
      </c>
      <c r="S7145" t="str">
        <f t="shared" si="1126"/>
        <v/>
      </c>
      <c r="T7145" t="str">
        <f t="shared" si="1127"/>
        <v/>
      </c>
      <c r="U7145" t="str">
        <f t="shared" si="1128"/>
        <v/>
      </c>
      <c r="V7145" t="str">
        <f t="shared" si="1129"/>
        <v/>
      </c>
      <c r="W7145" t="str">
        <f t="shared" si="1130"/>
        <v/>
      </c>
      <c r="X7145">
        <f t="shared" si="1120"/>
        <v>0</v>
      </c>
      <c r="Z7145" t="str">
        <f t="shared" si="1131"/>
        <v/>
      </c>
      <c r="AA7145">
        <f t="shared" si="1121"/>
        <v>0</v>
      </c>
    </row>
    <row r="7146" spans="1:27" ht="21" customHeight="1" x14ac:dyDescent="0.95">
      <c r="A7146" s="56"/>
      <c r="B7146" s="57"/>
      <c r="C7146" s="57"/>
      <c r="D7146" s="57"/>
      <c r="E7146" s="56"/>
      <c r="F7146" s="57"/>
      <c r="G7146" s="57"/>
      <c r="H7146" s="56"/>
      <c r="I7146" s="56"/>
      <c r="J7146" s="58"/>
      <c r="K7146" s="58"/>
      <c r="L7146" s="13" t="str">
        <f t="shared" si="1122"/>
        <v/>
      </c>
      <c r="M7146" s="13" t="str">
        <f t="shared" si="1123"/>
        <v/>
      </c>
      <c r="Q7146" t="str">
        <f t="shared" si="1124"/>
        <v/>
      </c>
      <c r="R7146" t="str">
        <f t="shared" si="1125"/>
        <v/>
      </c>
      <c r="S7146" t="str">
        <f t="shared" si="1126"/>
        <v/>
      </c>
      <c r="T7146" t="str">
        <f t="shared" si="1127"/>
        <v/>
      </c>
      <c r="U7146" t="str">
        <f t="shared" si="1128"/>
        <v/>
      </c>
      <c r="V7146" t="str">
        <f t="shared" si="1129"/>
        <v/>
      </c>
      <c r="W7146" t="str">
        <f t="shared" si="1130"/>
        <v/>
      </c>
      <c r="X7146">
        <f t="shared" si="1120"/>
        <v>0</v>
      </c>
      <c r="Z7146" t="str">
        <f t="shared" si="1131"/>
        <v/>
      </c>
      <c r="AA7146">
        <f t="shared" si="1121"/>
        <v>0</v>
      </c>
    </row>
    <row r="7147" spans="1:27" ht="21" customHeight="1" x14ac:dyDescent="0.95">
      <c r="A7147" s="56"/>
      <c r="B7147" s="57"/>
      <c r="C7147" s="57"/>
      <c r="D7147" s="57"/>
      <c r="E7147" s="56"/>
      <c r="F7147" s="57"/>
      <c r="G7147" s="57"/>
      <c r="H7147" s="56"/>
      <c r="I7147" s="56"/>
      <c r="J7147" s="58"/>
      <c r="K7147" s="58"/>
      <c r="L7147" s="13" t="str">
        <f t="shared" si="1122"/>
        <v/>
      </c>
      <c r="M7147" s="13" t="str">
        <f t="shared" si="1123"/>
        <v/>
      </c>
      <c r="Q7147" t="str">
        <f t="shared" si="1124"/>
        <v/>
      </c>
      <c r="R7147" t="str">
        <f t="shared" si="1125"/>
        <v/>
      </c>
      <c r="S7147" t="str">
        <f t="shared" si="1126"/>
        <v/>
      </c>
      <c r="T7147" t="str">
        <f t="shared" si="1127"/>
        <v/>
      </c>
      <c r="U7147" t="str">
        <f t="shared" si="1128"/>
        <v/>
      </c>
      <c r="V7147" t="str">
        <f t="shared" si="1129"/>
        <v/>
      </c>
      <c r="W7147" t="str">
        <f t="shared" si="1130"/>
        <v/>
      </c>
      <c r="X7147">
        <f t="shared" si="1120"/>
        <v>0</v>
      </c>
      <c r="Z7147" t="str">
        <f t="shared" si="1131"/>
        <v/>
      </c>
      <c r="AA7147">
        <f t="shared" si="1121"/>
        <v>0</v>
      </c>
    </row>
    <row r="7148" spans="1:27" ht="21" customHeight="1" x14ac:dyDescent="0.95">
      <c r="A7148" s="56"/>
      <c r="B7148" s="57"/>
      <c r="C7148" s="57"/>
      <c r="D7148" s="57"/>
      <c r="E7148" s="56"/>
      <c r="F7148" s="57"/>
      <c r="G7148" s="57"/>
      <c r="H7148" s="56"/>
      <c r="I7148" s="56"/>
      <c r="J7148" s="58"/>
      <c r="K7148" s="58"/>
      <c r="L7148" s="13" t="str">
        <f t="shared" si="1122"/>
        <v/>
      </c>
      <c r="M7148" s="13" t="str">
        <f t="shared" si="1123"/>
        <v/>
      </c>
      <c r="Q7148" t="str">
        <f t="shared" si="1124"/>
        <v/>
      </c>
      <c r="R7148" t="str">
        <f t="shared" si="1125"/>
        <v/>
      </c>
      <c r="S7148" t="str">
        <f t="shared" si="1126"/>
        <v/>
      </c>
      <c r="T7148" t="str">
        <f t="shared" si="1127"/>
        <v/>
      </c>
      <c r="U7148" t="str">
        <f t="shared" si="1128"/>
        <v/>
      </c>
      <c r="V7148" t="str">
        <f t="shared" si="1129"/>
        <v/>
      </c>
      <c r="W7148" t="str">
        <f t="shared" si="1130"/>
        <v/>
      </c>
      <c r="X7148">
        <f t="shared" si="1120"/>
        <v>0</v>
      </c>
      <c r="Z7148" t="str">
        <f t="shared" si="1131"/>
        <v/>
      </c>
      <c r="AA7148">
        <f t="shared" si="1121"/>
        <v>0</v>
      </c>
    </row>
    <row r="7149" spans="1:27" ht="21" customHeight="1" x14ac:dyDescent="0.95">
      <c r="A7149" s="56"/>
      <c r="B7149" s="57"/>
      <c r="C7149" s="57"/>
      <c r="D7149" s="57"/>
      <c r="E7149" s="56"/>
      <c r="F7149" s="57"/>
      <c r="G7149" s="57"/>
      <c r="H7149" s="56"/>
      <c r="I7149" s="56"/>
      <c r="J7149" s="58"/>
      <c r="K7149" s="58"/>
      <c r="L7149" s="13" t="str">
        <f t="shared" si="1122"/>
        <v/>
      </c>
      <c r="M7149" s="13" t="str">
        <f t="shared" si="1123"/>
        <v/>
      </c>
      <c r="Q7149" t="str">
        <f t="shared" si="1124"/>
        <v/>
      </c>
      <c r="R7149" t="str">
        <f t="shared" si="1125"/>
        <v/>
      </c>
      <c r="S7149" t="str">
        <f t="shared" si="1126"/>
        <v/>
      </c>
      <c r="T7149" t="str">
        <f t="shared" si="1127"/>
        <v/>
      </c>
      <c r="U7149" t="str">
        <f t="shared" si="1128"/>
        <v/>
      </c>
      <c r="V7149" t="str">
        <f t="shared" si="1129"/>
        <v/>
      </c>
      <c r="W7149" t="str">
        <f t="shared" si="1130"/>
        <v/>
      </c>
      <c r="X7149">
        <f t="shared" si="1120"/>
        <v>0</v>
      </c>
      <c r="Z7149" t="str">
        <f t="shared" si="1131"/>
        <v/>
      </c>
      <c r="AA7149">
        <f t="shared" si="1121"/>
        <v>0</v>
      </c>
    </row>
    <row r="7150" spans="1:27" ht="21" customHeight="1" x14ac:dyDescent="0.95">
      <c r="A7150" s="56"/>
      <c r="B7150" s="57"/>
      <c r="C7150" s="57"/>
      <c r="D7150" s="57"/>
      <c r="E7150" s="56"/>
      <c r="F7150" s="57"/>
      <c r="G7150" s="57"/>
      <c r="H7150" s="56"/>
      <c r="I7150" s="56"/>
      <c r="J7150" s="58"/>
      <c r="K7150" s="58"/>
      <c r="L7150" s="13" t="str">
        <f t="shared" si="1122"/>
        <v/>
      </c>
      <c r="M7150" s="13" t="str">
        <f t="shared" si="1123"/>
        <v/>
      </c>
      <c r="Q7150" t="str">
        <f t="shared" si="1124"/>
        <v/>
      </c>
      <c r="R7150" t="str">
        <f t="shared" si="1125"/>
        <v/>
      </c>
      <c r="S7150" t="str">
        <f t="shared" si="1126"/>
        <v/>
      </c>
      <c r="T7150" t="str">
        <f t="shared" si="1127"/>
        <v/>
      </c>
      <c r="U7150" t="str">
        <f t="shared" si="1128"/>
        <v/>
      </c>
      <c r="V7150" t="str">
        <f t="shared" si="1129"/>
        <v/>
      </c>
      <c r="W7150" t="str">
        <f t="shared" si="1130"/>
        <v/>
      </c>
      <c r="X7150">
        <f t="shared" si="1120"/>
        <v>0</v>
      </c>
      <c r="Z7150" t="str">
        <f t="shared" si="1131"/>
        <v/>
      </c>
      <c r="AA7150">
        <f t="shared" si="1121"/>
        <v>0</v>
      </c>
    </row>
    <row r="7151" spans="1:27" ht="21" customHeight="1" x14ac:dyDescent="0.95">
      <c r="A7151" s="56"/>
      <c r="B7151" s="57"/>
      <c r="C7151" s="57"/>
      <c r="D7151" s="57"/>
      <c r="E7151" s="56"/>
      <c r="F7151" s="57"/>
      <c r="G7151" s="57"/>
      <c r="H7151" s="56"/>
      <c r="I7151" s="56"/>
      <c r="J7151" s="58"/>
      <c r="K7151" s="58"/>
      <c r="L7151" s="13" t="str">
        <f t="shared" si="1122"/>
        <v/>
      </c>
      <c r="M7151" s="13" t="str">
        <f t="shared" si="1123"/>
        <v/>
      </c>
      <c r="Q7151" t="str">
        <f t="shared" si="1124"/>
        <v/>
      </c>
      <c r="R7151" t="str">
        <f t="shared" si="1125"/>
        <v/>
      </c>
      <c r="S7151" t="str">
        <f t="shared" si="1126"/>
        <v/>
      </c>
      <c r="T7151" t="str">
        <f t="shared" si="1127"/>
        <v/>
      </c>
      <c r="U7151" t="str">
        <f t="shared" si="1128"/>
        <v/>
      </c>
      <c r="V7151" t="str">
        <f t="shared" si="1129"/>
        <v/>
      </c>
      <c r="W7151" t="str">
        <f t="shared" si="1130"/>
        <v/>
      </c>
      <c r="X7151">
        <f t="shared" si="1120"/>
        <v>0</v>
      </c>
      <c r="Z7151" t="str">
        <f t="shared" si="1131"/>
        <v/>
      </c>
      <c r="AA7151">
        <f t="shared" si="1121"/>
        <v>0</v>
      </c>
    </row>
    <row r="7152" spans="1:27" ht="21" customHeight="1" x14ac:dyDescent="0.95">
      <c r="A7152" s="56"/>
      <c r="B7152" s="57"/>
      <c r="C7152" s="57"/>
      <c r="D7152" s="57"/>
      <c r="E7152" s="56"/>
      <c r="F7152" s="57"/>
      <c r="G7152" s="57"/>
      <c r="H7152" s="56"/>
      <c r="I7152" s="56"/>
      <c r="J7152" s="58"/>
      <c r="K7152" s="58"/>
      <c r="L7152" s="13" t="str">
        <f t="shared" si="1122"/>
        <v/>
      </c>
      <c r="M7152" s="13" t="str">
        <f t="shared" si="1123"/>
        <v/>
      </c>
      <c r="Q7152" t="str">
        <f t="shared" si="1124"/>
        <v/>
      </c>
      <c r="R7152" t="str">
        <f t="shared" si="1125"/>
        <v/>
      </c>
      <c r="S7152" t="str">
        <f t="shared" si="1126"/>
        <v/>
      </c>
      <c r="T7152" t="str">
        <f t="shared" si="1127"/>
        <v/>
      </c>
      <c r="U7152" t="str">
        <f t="shared" si="1128"/>
        <v/>
      </c>
      <c r="V7152" t="str">
        <f t="shared" si="1129"/>
        <v/>
      </c>
      <c r="W7152" t="str">
        <f t="shared" si="1130"/>
        <v/>
      </c>
      <c r="X7152">
        <f t="shared" si="1120"/>
        <v>0</v>
      </c>
      <c r="Z7152" t="str">
        <f t="shared" si="1131"/>
        <v/>
      </c>
      <c r="AA7152">
        <f t="shared" si="1121"/>
        <v>0</v>
      </c>
    </row>
    <row r="7153" spans="1:27" ht="21" customHeight="1" x14ac:dyDescent="0.95">
      <c r="A7153" s="56"/>
      <c r="B7153" s="57"/>
      <c r="C7153" s="57"/>
      <c r="D7153" s="57"/>
      <c r="E7153" s="56"/>
      <c r="F7153" s="57"/>
      <c r="G7153" s="57"/>
      <c r="H7153" s="56"/>
      <c r="I7153" s="56"/>
      <c r="J7153" s="58"/>
      <c r="K7153" s="58"/>
      <c r="L7153" s="13" t="str">
        <f t="shared" si="1122"/>
        <v/>
      </c>
      <c r="M7153" s="13" t="str">
        <f t="shared" si="1123"/>
        <v/>
      </c>
      <c r="Q7153" t="str">
        <f t="shared" si="1124"/>
        <v/>
      </c>
      <c r="R7153" t="str">
        <f t="shared" si="1125"/>
        <v/>
      </c>
      <c r="S7153" t="str">
        <f t="shared" si="1126"/>
        <v/>
      </c>
      <c r="T7153" t="str">
        <f t="shared" si="1127"/>
        <v/>
      </c>
      <c r="U7153" t="str">
        <f t="shared" si="1128"/>
        <v/>
      </c>
      <c r="V7153" t="str">
        <f t="shared" si="1129"/>
        <v/>
      </c>
      <c r="W7153" t="str">
        <f t="shared" si="1130"/>
        <v/>
      </c>
      <c r="X7153">
        <f t="shared" si="1120"/>
        <v>0</v>
      </c>
      <c r="Z7153" t="str">
        <f t="shared" si="1131"/>
        <v/>
      </c>
      <c r="AA7153">
        <f t="shared" si="1121"/>
        <v>0</v>
      </c>
    </row>
    <row r="7154" spans="1:27" ht="21" customHeight="1" x14ac:dyDescent="0.95">
      <c r="A7154" s="56"/>
      <c r="B7154" s="57"/>
      <c r="C7154" s="57"/>
      <c r="D7154" s="57"/>
      <c r="E7154" s="56"/>
      <c r="F7154" s="57"/>
      <c r="G7154" s="57"/>
      <c r="H7154" s="56"/>
      <c r="I7154" s="56"/>
      <c r="J7154" s="58"/>
      <c r="K7154" s="58"/>
      <c r="L7154" s="13" t="str">
        <f t="shared" si="1122"/>
        <v/>
      </c>
      <c r="M7154" s="13" t="str">
        <f t="shared" si="1123"/>
        <v/>
      </c>
      <c r="Q7154" t="str">
        <f t="shared" si="1124"/>
        <v/>
      </c>
      <c r="R7154" t="str">
        <f t="shared" si="1125"/>
        <v/>
      </c>
      <c r="S7154" t="str">
        <f t="shared" si="1126"/>
        <v/>
      </c>
      <c r="T7154" t="str">
        <f t="shared" si="1127"/>
        <v/>
      </c>
      <c r="U7154" t="str">
        <f t="shared" si="1128"/>
        <v/>
      </c>
      <c r="V7154" t="str">
        <f t="shared" si="1129"/>
        <v/>
      </c>
      <c r="W7154" t="str">
        <f t="shared" si="1130"/>
        <v/>
      </c>
      <c r="X7154">
        <f t="shared" si="1120"/>
        <v>0</v>
      </c>
      <c r="Z7154" t="str">
        <f t="shared" si="1131"/>
        <v/>
      </c>
      <c r="AA7154">
        <f t="shared" si="1121"/>
        <v>0</v>
      </c>
    </row>
    <row r="7155" spans="1:27" ht="21" customHeight="1" x14ac:dyDescent="0.95">
      <c r="A7155" s="56"/>
      <c r="B7155" s="57"/>
      <c r="C7155" s="57"/>
      <c r="D7155" s="57"/>
      <c r="E7155" s="56"/>
      <c r="F7155" s="57"/>
      <c r="G7155" s="57"/>
      <c r="H7155" s="56"/>
      <c r="I7155" s="56"/>
      <c r="J7155" s="58"/>
      <c r="K7155" s="58"/>
      <c r="L7155" s="13" t="str">
        <f t="shared" si="1122"/>
        <v/>
      </c>
      <c r="M7155" s="13" t="str">
        <f t="shared" si="1123"/>
        <v/>
      </c>
      <c r="Q7155" t="str">
        <f t="shared" si="1124"/>
        <v/>
      </c>
      <c r="R7155" t="str">
        <f t="shared" si="1125"/>
        <v/>
      </c>
      <c r="S7155" t="str">
        <f t="shared" si="1126"/>
        <v/>
      </c>
      <c r="T7155" t="str">
        <f t="shared" si="1127"/>
        <v/>
      </c>
      <c r="U7155" t="str">
        <f t="shared" si="1128"/>
        <v/>
      </c>
      <c r="V7155" t="str">
        <f t="shared" si="1129"/>
        <v/>
      </c>
      <c r="W7155" t="str">
        <f t="shared" si="1130"/>
        <v/>
      </c>
      <c r="X7155">
        <f t="shared" si="1120"/>
        <v>0</v>
      </c>
      <c r="Z7155" t="str">
        <f t="shared" si="1131"/>
        <v/>
      </c>
      <c r="AA7155">
        <f t="shared" si="1121"/>
        <v>0</v>
      </c>
    </row>
    <row r="7156" spans="1:27" ht="21" customHeight="1" x14ac:dyDescent="0.95">
      <c r="A7156" s="56"/>
      <c r="B7156" s="57"/>
      <c r="C7156" s="57"/>
      <c r="D7156" s="57"/>
      <c r="E7156" s="56"/>
      <c r="F7156" s="57"/>
      <c r="G7156" s="57"/>
      <c r="H7156" s="56"/>
      <c r="I7156" s="56"/>
      <c r="J7156" s="58"/>
      <c r="K7156" s="58"/>
      <c r="L7156" s="13" t="str">
        <f t="shared" si="1122"/>
        <v/>
      </c>
      <c r="M7156" s="13" t="str">
        <f t="shared" si="1123"/>
        <v/>
      </c>
      <c r="Q7156" t="str">
        <f t="shared" si="1124"/>
        <v/>
      </c>
      <c r="R7156" t="str">
        <f t="shared" si="1125"/>
        <v/>
      </c>
      <c r="S7156" t="str">
        <f t="shared" si="1126"/>
        <v/>
      </c>
      <c r="T7156" t="str">
        <f t="shared" si="1127"/>
        <v/>
      </c>
      <c r="U7156" t="str">
        <f t="shared" si="1128"/>
        <v/>
      </c>
      <c r="V7156" t="str">
        <f t="shared" si="1129"/>
        <v/>
      </c>
      <c r="W7156" t="str">
        <f t="shared" si="1130"/>
        <v/>
      </c>
      <c r="X7156">
        <f t="shared" si="1120"/>
        <v>0</v>
      </c>
      <c r="Z7156" t="str">
        <f t="shared" si="1131"/>
        <v/>
      </c>
      <c r="AA7156">
        <f t="shared" si="1121"/>
        <v>0</v>
      </c>
    </row>
    <row r="7157" spans="1:27" ht="21" customHeight="1" x14ac:dyDescent="0.95">
      <c r="A7157" s="56"/>
      <c r="B7157" s="57"/>
      <c r="C7157" s="57"/>
      <c r="D7157" s="57"/>
      <c r="E7157" s="56"/>
      <c r="F7157" s="57"/>
      <c r="G7157" s="57"/>
      <c r="H7157" s="56"/>
      <c r="I7157" s="56"/>
      <c r="J7157" s="58"/>
      <c r="K7157" s="58"/>
      <c r="L7157" s="13" t="str">
        <f t="shared" si="1122"/>
        <v/>
      </c>
      <c r="M7157" s="13" t="str">
        <f t="shared" si="1123"/>
        <v/>
      </c>
      <c r="Q7157" t="str">
        <f t="shared" si="1124"/>
        <v/>
      </c>
      <c r="R7157" t="str">
        <f t="shared" si="1125"/>
        <v/>
      </c>
      <c r="S7157" t="str">
        <f t="shared" si="1126"/>
        <v/>
      </c>
      <c r="T7157" t="str">
        <f t="shared" si="1127"/>
        <v/>
      </c>
      <c r="U7157" t="str">
        <f t="shared" si="1128"/>
        <v/>
      </c>
      <c r="V7157" t="str">
        <f t="shared" si="1129"/>
        <v/>
      </c>
      <c r="W7157" t="str">
        <f t="shared" si="1130"/>
        <v/>
      </c>
      <c r="X7157">
        <f t="shared" ref="X7157:X7220" si="1132">IF($T7157="",N($X7156),IF(MATCH($T7157,$T$6:$T$10005,0)=ROW()-5,N($X7156)+1,N($X7156)))</f>
        <v>0</v>
      </c>
      <c r="Z7157" t="str">
        <f t="shared" si="1131"/>
        <v/>
      </c>
      <c r="AA7157">
        <f t="shared" ref="AA7157:AA7220" si="1133">IF($V7157="",N($AA7156),IF(MATCH($V7157,$V$6:$V$10005,0)=ROW()-5,N($AA7156)+1,N($AA7156)))</f>
        <v>0</v>
      </c>
    </row>
    <row r="7158" spans="1:27" ht="21" customHeight="1" x14ac:dyDescent="0.95">
      <c r="A7158" s="56"/>
      <c r="B7158" s="57"/>
      <c r="C7158" s="57"/>
      <c r="D7158" s="57"/>
      <c r="E7158" s="56"/>
      <c r="F7158" s="57"/>
      <c r="G7158" s="57"/>
      <c r="H7158" s="56"/>
      <c r="I7158" s="56"/>
      <c r="J7158" s="58"/>
      <c r="K7158" s="58"/>
      <c r="L7158" s="13" t="str">
        <f t="shared" si="1122"/>
        <v/>
      </c>
      <c r="M7158" s="13" t="str">
        <f t="shared" si="1123"/>
        <v/>
      </c>
      <c r="Q7158" t="str">
        <f t="shared" si="1124"/>
        <v/>
      </c>
      <c r="R7158" t="str">
        <f t="shared" si="1125"/>
        <v/>
      </c>
      <c r="S7158" t="str">
        <f t="shared" si="1126"/>
        <v/>
      </c>
      <c r="T7158" t="str">
        <f t="shared" si="1127"/>
        <v/>
      </c>
      <c r="U7158" t="str">
        <f t="shared" si="1128"/>
        <v/>
      </c>
      <c r="V7158" t="str">
        <f t="shared" si="1129"/>
        <v/>
      </c>
      <c r="W7158" t="str">
        <f t="shared" si="1130"/>
        <v/>
      </c>
      <c r="X7158">
        <f t="shared" si="1132"/>
        <v>0</v>
      </c>
      <c r="Z7158" t="str">
        <f t="shared" si="1131"/>
        <v/>
      </c>
      <c r="AA7158">
        <f t="shared" si="1133"/>
        <v>0</v>
      </c>
    </row>
    <row r="7159" spans="1:27" ht="21" customHeight="1" x14ac:dyDescent="0.95">
      <c r="A7159" s="56"/>
      <c r="B7159" s="57"/>
      <c r="C7159" s="57"/>
      <c r="D7159" s="57"/>
      <c r="E7159" s="56"/>
      <c r="F7159" s="57"/>
      <c r="G7159" s="57"/>
      <c r="H7159" s="56"/>
      <c r="I7159" s="56"/>
      <c r="J7159" s="58"/>
      <c r="K7159" s="58"/>
      <c r="L7159" s="13" t="str">
        <f t="shared" si="1122"/>
        <v/>
      </c>
      <c r="M7159" s="13" t="str">
        <f t="shared" si="1123"/>
        <v/>
      </c>
      <c r="Q7159" t="str">
        <f t="shared" si="1124"/>
        <v/>
      </c>
      <c r="R7159" t="str">
        <f t="shared" si="1125"/>
        <v/>
      </c>
      <c r="S7159" t="str">
        <f t="shared" si="1126"/>
        <v/>
      </c>
      <c r="T7159" t="str">
        <f t="shared" si="1127"/>
        <v/>
      </c>
      <c r="U7159" t="str">
        <f t="shared" si="1128"/>
        <v/>
      </c>
      <c r="V7159" t="str">
        <f t="shared" si="1129"/>
        <v/>
      </c>
      <c r="W7159" t="str">
        <f t="shared" si="1130"/>
        <v/>
      </c>
      <c r="X7159">
        <f t="shared" si="1132"/>
        <v>0</v>
      </c>
      <c r="Z7159" t="str">
        <f t="shared" si="1131"/>
        <v/>
      </c>
      <c r="AA7159">
        <f t="shared" si="1133"/>
        <v>0</v>
      </c>
    </row>
    <row r="7160" spans="1:27" ht="21" customHeight="1" x14ac:dyDescent="0.95">
      <c r="A7160" s="56"/>
      <c r="B7160" s="57"/>
      <c r="C7160" s="57"/>
      <c r="D7160" s="57"/>
      <c r="E7160" s="56"/>
      <c r="F7160" s="57"/>
      <c r="G7160" s="57"/>
      <c r="H7160" s="56"/>
      <c r="I7160" s="56"/>
      <c r="J7160" s="58"/>
      <c r="K7160" s="58"/>
      <c r="L7160" s="13" t="str">
        <f t="shared" si="1122"/>
        <v/>
      </c>
      <c r="M7160" s="13" t="str">
        <f t="shared" si="1123"/>
        <v/>
      </c>
      <c r="Q7160" t="str">
        <f t="shared" si="1124"/>
        <v/>
      </c>
      <c r="R7160" t="str">
        <f t="shared" si="1125"/>
        <v/>
      </c>
      <c r="S7160" t="str">
        <f t="shared" si="1126"/>
        <v/>
      </c>
      <c r="T7160" t="str">
        <f t="shared" si="1127"/>
        <v/>
      </c>
      <c r="U7160" t="str">
        <f t="shared" si="1128"/>
        <v/>
      </c>
      <c r="V7160" t="str">
        <f t="shared" si="1129"/>
        <v/>
      </c>
      <c r="W7160" t="str">
        <f t="shared" si="1130"/>
        <v/>
      </c>
      <c r="X7160">
        <f t="shared" si="1132"/>
        <v>0</v>
      </c>
      <c r="Z7160" t="str">
        <f t="shared" si="1131"/>
        <v/>
      </c>
      <c r="AA7160">
        <f t="shared" si="1133"/>
        <v>0</v>
      </c>
    </row>
    <row r="7161" spans="1:27" ht="21" customHeight="1" x14ac:dyDescent="0.95">
      <c r="A7161" s="56"/>
      <c r="B7161" s="57"/>
      <c r="C7161" s="57"/>
      <c r="D7161" s="57"/>
      <c r="E7161" s="56"/>
      <c r="F7161" s="57"/>
      <c r="G7161" s="57"/>
      <c r="H7161" s="56"/>
      <c r="I7161" s="56"/>
      <c r="J7161" s="58"/>
      <c r="K7161" s="58"/>
      <c r="L7161" s="13" t="str">
        <f t="shared" si="1122"/>
        <v/>
      </c>
      <c r="M7161" s="13" t="str">
        <f t="shared" si="1123"/>
        <v/>
      </c>
      <c r="Q7161" t="str">
        <f t="shared" si="1124"/>
        <v/>
      </c>
      <c r="R7161" t="str">
        <f t="shared" si="1125"/>
        <v/>
      </c>
      <c r="S7161" t="str">
        <f t="shared" si="1126"/>
        <v/>
      </c>
      <c r="T7161" t="str">
        <f t="shared" si="1127"/>
        <v/>
      </c>
      <c r="U7161" t="str">
        <f t="shared" si="1128"/>
        <v/>
      </c>
      <c r="V7161" t="str">
        <f t="shared" si="1129"/>
        <v/>
      </c>
      <c r="W7161" t="str">
        <f t="shared" si="1130"/>
        <v/>
      </c>
      <c r="X7161">
        <f t="shared" si="1132"/>
        <v>0</v>
      </c>
      <c r="Z7161" t="str">
        <f t="shared" si="1131"/>
        <v/>
      </c>
      <c r="AA7161">
        <f t="shared" si="1133"/>
        <v>0</v>
      </c>
    </row>
    <row r="7162" spans="1:27" ht="21" customHeight="1" x14ac:dyDescent="0.95">
      <c r="A7162" s="56"/>
      <c r="B7162" s="57"/>
      <c r="C7162" s="57"/>
      <c r="D7162" s="57"/>
      <c r="E7162" s="56"/>
      <c r="F7162" s="57"/>
      <c r="G7162" s="57"/>
      <c r="H7162" s="56"/>
      <c r="I7162" s="56"/>
      <c r="J7162" s="58"/>
      <c r="K7162" s="58"/>
      <c r="L7162" s="13" t="str">
        <f t="shared" si="1122"/>
        <v/>
      </c>
      <c r="M7162" s="13" t="str">
        <f t="shared" si="1123"/>
        <v/>
      </c>
      <c r="Q7162" t="str">
        <f t="shared" si="1124"/>
        <v/>
      </c>
      <c r="R7162" t="str">
        <f t="shared" si="1125"/>
        <v/>
      </c>
      <c r="S7162" t="str">
        <f t="shared" si="1126"/>
        <v/>
      </c>
      <c r="T7162" t="str">
        <f t="shared" si="1127"/>
        <v/>
      </c>
      <c r="U7162" t="str">
        <f t="shared" si="1128"/>
        <v/>
      </c>
      <c r="V7162" t="str">
        <f t="shared" si="1129"/>
        <v/>
      </c>
      <c r="W7162" t="str">
        <f t="shared" si="1130"/>
        <v/>
      </c>
      <c r="X7162">
        <f t="shared" si="1132"/>
        <v>0</v>
      </c>
      <c r="Z7162" t="str">
        <f t="shared" si="1131"/>
        <v/>
      </c>
      <c r="AA7162">
        <f t="shared" si="1133"/>
        <v>0</v>
      </c>
    </row>
    <row r="7163" spans="1:27" ht="21" customHeight="1" x14ac:dyDescent="0.95">
      <c r="A7163" s="56"/>
      <c r="B7163" s="57"/>
      <c r="C7163" s="57"/>
      <c r="D7163" s="57"/>
      <c r="E7163" s="56"/>
      <c r="F7163" s="57"/>
      <c r="G7163" s="57"/>
      <c r="H7163" s="56"/>
      <c r="I7163" s="56"/>
      <c r="J7163" s="58"/>
      <c r="K7163" s="58"/>
      <c r="L7163" s="13" t="str">
        <f t="shared" si="1122"/>
        <v/>
      </c>
      <c r="M7163" s="13" t="str">
        <f t="shared" si="1123"/>
        <v/>
      </c>
      <c r="Q7163" t="str">
        <f t="shared" si="1124"/>
        <v/>
      </c>
      <c r="R7163" t="str">
        <f t="shared" si="1125"/>
        <v/>
      </c>
      <c r="S7163" t="str">
        <f t="shared" si="1126"/>
        <v/>
      </c>
      <c r="T7163" t="str">
        <f t="shared" si="1127"/>
        <v/>
      </c>
      <c r="U7163" t="str">
        <f t="shared" si="1128"/>
        <v/>
      </c>
      <c r="V7163" t="str">
        <f t="shared" si="1129"/>
        <v/>
      </c>
      <c r="W7163" t="str">
        <f t="shared" si="1130"/>
        <v/>
      </c>
      <c r="X7163">
        <f t="shared" si="1132"/>
        <v>0</v>
      </c>
      <c r="Z7163" t="str">
        <f t="shared" si="1131"/>
        <v/>
      </c>
      <c r="AA7163">
        <f t="shared" si="1133"/>
        <v>0</v>
      </c>
    </row>
    <row r="7164" spans="1:27" ht="21" customHeight="1" x14ac:dyDescent="0.95">
      <c r="A7164" s="56"/>
      <c r="B7164" s="57"/>
      <c r="C7164" s="57"/>
      <c r="D7164" s="57"/>
      <c r="E7164" s="56"/>
      <c r="F7164" s="57"/>
      <c r="G7164" s="57"/>
      <c r="H7164" s="56"/>
      <c r="I7164" s="56"/>
      <c r="J7164" s="58"/>
      <c r="K7164" s="58"/>
      <c r="L7164" s="13" t="str">
        <f t="shared" si="1122"/>
        <v/>
      </c>
      <c r="M7164" s="13" t="str">
        <f t="shared" si="1123"/>
        <v/>
      </c>
      <c r="Q7164" t="str">
        <f t="shared" si="1124"/>
        <v/>
      </c>
      <c r="R7164" t="str">
        <f t="shared" si="1125"/>
        <v/>
      </c>
      <c r="S7164" t="str">
        <f t="shared" si="1126"/>
        <v/>
      </c>
      <c r="T7164" t="str">
        <f t="shared" si="1127"/>
        <v/>
      </c>
      <c r="U7164" t="str">
        <f t="shared" si="1128"/>
        <v/>
      </c>
      <c r="V7164" t="str">
        <f t="shared" si="1129"/>
        <v/>
      </c>
      <c r="W7164" t="str">
        <f t="shared" si="1130"/>
        <v/>
      </c>
      <c r="X7164">
        <f t="shared" si="1132"/>
        <v>0</v>
      </c>
      <c r="Z7164" t="str">
        <f t="shared" si="1131"/>
        <v/>
      </c>
      <c r="AA7164">
        <f t="shared" si="1133"/>
        <v>0</v>
      </c>
    </row>
    <row r="7165" spans="1:27" ht="21" customHeight="1" x14ac:dyDescent="0.95">
      <c r="A7165" s="56"/>
      <c r="B7165" s="57"/>
      <c r="C7165" s="57"/>
      <c r="D7165" s="57"/>
      <c r="E7165" s="56"/>
      <c r="F7165" s="57"/>
      <c r="G7165" s="57"/>
      <c r="H7165" s="56"/>
      <c r="I7165" s="56"/>
      <c r="J7165" s="58"/>
      <c r="K7165" s="58"/>
      <c r="L7165" s="13" t="str">
        <f t="shared" si="1122"/>
        <v/>
      </c>
      <c r="M7165" s="13" t="str">
        <f t="shared" si="1123"/>
        <v/>
      </c>
      <c r="Q7165" t="str">
        <f t="shared" si="1124"/>
        <v/>
      </c>
      <c r="R7165" t="str">
        <f t="shared" si="1125"/>
        <v/>
      </c>
      <c r="S7165" t="str">
        <f t="shared" si="1126"/>
        <v/>
      </c>
      <c r="T7165" t="str">
        <f t="shared" si="1127"/>
        <v/>
      </c>
      <c r="U7165" t="str">
        <f t="shared" si="1128"/>
        <v/>
      </c>
      <c r="V7165" t="str">
        <f t="shared" si="1129"/>
        <v/>
      </c>
      <c r="W7165" t="str">
        <f t="shared" si="1130"/>
        <v/>
      </c>
      <c r="X7165">
        <f t="shared" si="1132"/>
        <v>0</v>
      </c>
      <c r="Z7165" t="str">
        <f t="shared" si="1131"/>
        <v/>
      </c>
      <c r="AA7165">
        <f t="shared" si="1133"/>
        <v>0</v>
      </c>
    </row>
    <row r="7166" spans="1:27" ht="21" customHeight="1" x14ac:dyDescent="0.95">
      <c r="A7166" s="56"/>
      <c r="B7166" s="57"/>
      <c r="C7166" s="57"/>
      <c r="D7166" s="57"/>
      <c r="E7166" s="56"/>
      <c r="F7166" s="57"/>
      <c r="G7166" s="57"/>
      <c r="H7166" s="56"/>
      <c r="I7166" s="56"/>
      <c r="J7166" s="58"/>
      <c r="K7166" s="58"/>
      <c r="L7166" s="13" t="str">
        <f t="shared" si="1122"/>
        <v/>
      </c>
      <c r="M7166" s="13" t="str">
        <f t="shared" si="1123"/>
        <v/>
      </c>
      <c r="Q7166" t="str">
        <f t="shared" si="1124"/>
        <v/>
      </c>
      <c r="R7166" t="str">
        <f t="shared" si="1125"/>
        <v/>
      </c>
      <c r="S7166" t="str">
        <f t="shared" si="1126"/>
        <v/>
      </c>
      <c r="T7166" t="str">
        <f t="shared" si="1127"/>
        <v/>
      </c>
      <c r="U7166" t="str">
        <f t="shared" si="1128"/>
        <v/>
      </c>
      <c r="V7166" t="str">
        <f t="shared" si="1129"/>
        <v/>
      </c>
      <c r="W7166" t="str">
        <f t="shared" si="1130"/>
        <v/>
      </c>
      <c r="X7166">
        <f t="shared" si="1132"/>
        <v>0</v>
      </c>
      <c r="Z7166" t="str">
        <f t="shared" si="1131"/>
        <v/>
      </c>
      <c r="AA7166">
        <f t="shared" si="1133"/>
        <v>0</v>
      </c>
    </row>
    <row r="7167" spans="1:27" ht="21" customHeight="1" x14ac:dyDescent="0.95">
      <c r="A7167" s="56"/>
      <c r="B7167" s="57"/>
      <c r="C7167" s="57"/>
      <c r="D7167" s="57"/>
      <c r="E7167" s="56"/>
      <c r="F7167" s="57"/>
      <c r="G7167" s="57"/>
      <c r="H7167" s="56"/>
      <c r="I7167" s="56"/>
      <c r="J7167" s="58"/>
      <c r="K7167" s="58"/>
      <c r="L7167" s="13" t="str">
        <f t="shared" si="1122"/>
        <v/>
      </c>
      <c r="M7167" s="13" t="str">
        <f t="shared" si="1123"/>
        <v/>
      </c>
      <c r="Q7167" t="str">
        <f t="shared" si="1124"/>
        <v/>
      </c>
      <c r="R7167" t="str">
        <f t="shared" si="1125"/>
        <v/>
      </c>
      <c r="S7167" t="str">
        <f t="shared" si="1126"/>
        <v/>
      </c>
      <c r="T7167" t="str">
        <f t="shared" si="1127"/>
        <v/>
      </c>
      <c r="U7167" t="str">
        <f t="shared" si="1128"/>
        <v/>
      </c>
      <c r="V7167" t="str">
        <f t="shared" si="1129"/>
        <v/>
      </c>
      <c r="W7167" t="str">
        <f t="shared" si="1130"/>
        <v/>
      </c>
      <c r="X7167">
        <f t="shared" si="1132"/>
        <v>0</v>
      </c>
      <c r="Z7167" t="str">
        <f t="shared" si="1131"/>
        <v/>
      </c>
      <c r="AA7167">
        <f t="shared" si="1133"/>
        <v>0</v>
      </c>
    </row>
    <row r="7168" spans="1:27" ht="21" customHeight="1" x14ac:dyDescent="0.95">
      <c r="A7168" s="56"/>
      <c r="B7168" s="57"/>
      <c r="C7168" s="57"/>
      <c r="D7168" s="57"/>
      <c r="E7168" s="56"/>
      <c r="F7168" s="57"/>
      <c r="G7168" s="57"/>
      <c r="H7168" s="56"/>
      <c r="I7168" s="56"/>
      <c r="J7168" s="58"/>
      <c r="K7168" s="58"/>
      <c r="L7168" s="13" t="str">
        <f t="shared" si="1122"/>
        <v/>
      </c>
      <c r="M7168" s="13" t="str">
        <f t="shared" si="1123"/>
        <v/>
      </c>
      <c r="Q7168" t="str">
        <f t="shared" si="1124"/>
        <v/>
      </c>
      <c r="R7168" t="str">
        <f t="shared" si="1125"/>
        <v/>
      </c>
      <c r="S7168" t="str">
        <f t="shared" si="1126"/>
        <v/>
      </c>
      <c r="T7168" t="str">
        <f t="shared" si="1127"/>
        <v/>
      </c>
      <c r="U7168" t="str">
        <f t="shared" si="1128"/>
        <v/>
      </c>
      <c r="V7168" t="str">
        <f t="shared" si="1129"/>
        <v/>
      </c>
      <c r="W7168" t="str">
        <f t="shared" si="1130"/>
        <v/>
      </c>
      <c r="X7168">
        <f t="shared" si="1132"/>
        <v>0</v>
      </c>
      <c r="Z7168" t="str">
        <f t="shared" si="1131"/>
        <v/>
      </c>
      <c r="AA7168">
        <f t="shared" si="1133"/>
        <v>0</v>
      </c>
    </row>
    <row r="7169" spans="1:27" ht="21" customHeight="1" x14ac:dyDescent="0.95">
      <c r="A7169" s="56"/>
      <c r="B7169" s="57"/>
      <c r="C7169" s="57"/>
      <c r="D7169" s="57"/>
      <c r="E7169" s="56"/>
      <c r="F7169" s="57"/>
      <c r="G7169" s="57"/>
      <c r="H7169" s="56"/>
      <c r="I7169" s="56"/>
      <c r="J7169" s="58"/>
      <c r="K7169" s="58"/>
      <c r="L7169" s="13" t="str">
        <f t="shared" si="1122"/>
        <v/>
      </c>
      <c r="M7169" s="13" t="str">
        <f t="shared" si="1123"/>
        <v/>
      </c>
      <c r="Q7169" t="str">
        <f t="shared" si="1124"/>
        <v/>
      </c>
      <c r="R7169" t="str">
        <f t="shared" si="1125"/>
        <v/>
      </c>
      <c r="S7169" t="str">
        <f t="shared" si="1126"/>
        <v/>
      </c>
      <c r="T7169" t="str">
        <f t="shared" si="1127"/>
        <v/>
      </c>
      <c r="U7169" t="str">
        <f t="shared" si="1128"/>
        <v/>
      </c>
      <c r="V7169" t="str">
        <f t="shared" si="1129"/>
        <v/>
      </c>
      <c r="W7169" t="str">
        <f t="shared" si="1130"/>
        <v/>
      </c>
      <c r="X7169">
        <f t="shared" si="1132"/>
        <v>0</v>
      </c>
      <c r="Z7169" t="str">
        <f t="shared" si="1131"/>
        <v/>
      </c>
      <c r="AA7169">
        <f t="shared" si="1133"/>
        <v>0</v>
      </c>
    </row>
    <row r="7170" spans="1:27" ht="21" customHeight="1" x14ac:dyDescent="0.95">
      <c r="A7170" s="56"/>
      <c r="B7170" s="57"/>
      <c r="C7170" s="57"/>
      <c r="D7170" s="57"/>
      <c r="E7170" s="56"/>
      <c r="F7170" s="57"/>
      <c r="G7170" s="57"/>
      <c r="H7170" s="56"/>
      <c r="I7170" s="56"/>
      <c r="J7170" s="58"/>
      <c r="K7170" s="58"/>
      <c r="L7170" s="13" t="str">
        <f t="shared" si="1122"/>
        <v/>
      </c>
      <c r="M7170" s="13" t="str">
        <f t="shared" si="1123"/>
        <v/>
      </c>
      <c r="Q7170" t="str">
        <f t="shared" si="1124"/>
        <v/>
      </c>
      <c r="R7170" t="str">
        <f t="shared" si="1125"/>
        <v/>
      </c>
      <c r="S7170" t="str">
        <f t="shared" si="1126"/>
        <v/>
      </c>
      <c r="T7170" t="str">
        <f t="shared" si="1127"/>
        <v/>
      </c>
      <c r="U7170" t="str">
        <f t="shared" si="1128"/>
        <v/>
      </c>
      <c r="V7170" t="str">
        <f t="shared" si="1129"/>
        <v/>
      </c>
      <c r="W7170" t="str">
        <f t="shared" si="1130"/>
        <v/>
      </c>
      <c r="X7170">
        <f t="shared" si="1132"/>
        <v>0</v>
      </c>
      <c r="Z7170" t="str">
        <f t="shared" si="1131"/>
        <v/>
      </c>
      <c r="AA7170">
        <f t="shared" si="1133"/>
        <v>0</v>
      </c>
    </row>
    <row r="7171" spans="1:27" ht="21" customHeight="1" x14ac:dyDescent="0.95">
      <c r="A7171" s="56"/>
      <c r="B7171" s="57"/>
      <c r="C7171" s="57"/>
      <c r="D7171" s="57"/>
      <c r="E7171" s="56"/>
      <c r="F7171" s="57"/>
      <c r="G7171" s="57"/>
      <c r="H7171" s="56"/>
      <c r="I7171" s="56"/>
      <c r="J7171" s="58"/>
      <c r="K7171" s="58"/>
      <c r="L7171" s="13" t="str">
        <f t="shared" si="1122"/>
        <v/>
      </c>
      <c r="M7171" s="13" t="str">
        <f t="shared" si="1123"/>
        <v/>
      </c>
      <c r="Q7171" t="str">
        <f t="shared" si="1124"/>
        <v/>
      </c>
      <c r="R7171" t="str">
        <f t="shared" si="1125"/>
        <v/>
      </c>
      <c r="S7171" t="str">
        <f t="shared" si="1126"/>
        <v/>
      </c>
      <c r="T7171" t="str">
        <f t="shared" si="1127"/>
        <v/>
      </c>
      <c r="U7171" t="str">
        <f t="shared" si="1128"/>
        <v/>
      </c>
      <c r="V7171" t="str">
        <f t="shared" si="1129"/>
        <v/>
      </c>
      <c r="W7171" t="str">
        <f t="shared" si="1130"/>
        <v/>
      </c>
      <c r="X7171">
        <f t="shared" si="1132"/>
        <v>0</v>
      </c>
      <c r="Z7171" t="str">
        <f t="shared" si="1131"/>
        <v/>
      </c>
      <c r="AA7171">
        <f t="shared" si="1133"/>
        <v>0</v>
      </c>
    </row>
    <row r="7172" spans="1:27" ht="21" customHeight="1" x14ac:dyDescent="0.95">
      <c r="A7172" s="56"/>
      <c r="B7172" s="57"/>
      <c r="C7172" s="57"/>
      <c r="D7172" s="57"/>
      <c r="E7172" s="56"/>
      <c r="F7172" s="57"/>
      <c r="G7172" s="57"/>
      <c r="H7172" s="56"/>
      <c r="I7172" s="56"/>
      <c r="J7172" s="58"/>
      <c r="K7172" s="58"/>
      <c r="L7172" s="13" t="str">
        <f t="shared" ref="L7172:L7235" si="1134">IF(OR($A7172="",AND($J7172="",$K7172="")),"",ROUND(N($J7172)-N($K7172),2))</f>
        <v/>
      </c>
      <c r="M7172" s="13" t="str">
        <f t="shared" ref="M7172:M7235" si="1135">IF(OR($A7172="",AND($J7172="",$K7172="")),"",MIN($J7172,$K7172))</f>
        <v/>
      </c>
      <c r="Q7172" t="str">
        <f t="shared" ref="Q7172:Q7235" si="1136">IF($A7172="","",$D7172&amp;"("&amp;SUBSTITUTE($E7172," ","")&amp;")")</f>
        <v/>
      </c>
      <c r="R7172" t="str">
        <f t="shared" ref="R7172:R7235" si="1137">IF($A7172="","",$B7172&amp;" - "&amp;$C7172)</f>
        <v/>
      </c>
      <c r="S7172" t="str">
        <f t="shared" ref="S7172:S7235" si="1138">IF($A7172="","",$R7172&amp;"|"&amp;$Q7172)</f>
        <v/>
      </c>
      <c r="T7172" t="str">
        <f t="shared" ref="T7172:T7235" si="1139">IF($A7172="","",$S7172&amp;"|"&amp;$F7172)</f>
        <v/>
      </c>
      <c r="U7172" t="str">
        <f t="shared" ref="U7172:U7235" si="1140">IF($A7172="","",$R7172&amp;"("&amp;$E7172&amp;")")</f>
        <v/>
      </c>
      <c r="V7172" t="str">
        <f t="shared" ref="V7172:V7235" si="1141">IF($A7172="","",$F7172&amp;"|"&amp;$U7172&amp;"|"&amp;$D7172)</f>
        <v/>
      </c>
      <c r="W7172" t="str">
        <f t="shared" si="1130"/>
        <v/>
      </c>
      <c r="X7172">
        <f t="shared" si="1132"/>
        <v>0</v>
      </c>
      <c r="Z7172" t="str">
        <f t="shared" si="1131"/>
        <v/>
      </c>
      <c r="AA7172">
        <f t="shared" si="1133"/>
        <v>0</v>
      </c>
    </row>
    <row r="7173" spans="1:27" ht="21" customHeight="1" x14ac:dyDescent="0.95">
      <c r="A7173" s="56"/>
      <c r="B7173" s="57"/>
      <c r="C7173" s="57"/>
      <c r="D7173" s="57"/>
      <c r="E7173" s="56"/>
      <c r="F7173" s="57"/>
      <c r="G7173" s="57"/>
      <c r="H7173" s="56"/>
      <c r="I7173" s="56"/>
      <c r="J7173" s="58"/>
      <c r="K7173" s="58"/>
      <c r="L7173" s="13" t="str">
        <f t="shared" si="1134"/>
        <v/>
      </c>
      <c r="M7173" s="13" t="str">
        <f t="shared" si="1135"/>
        <v/>
      </c>
      <c r="Q7173" t="str">
        <f t="shared" si="1136"/>
        <v/>
      </c>
      <c r="R7173" t="str">
        <f t="shared" si="1137"/>
        <v/>
      </c>
      <c r="S7173" t="str">
        <f t="shared" si="1138"/>
        <v/>
      </c>
      <c r="T7173" t="str">
        <f t="shared" si="1139"/>
        <v/>
      </c>
      <c r="U7173" t="str">
        <f t="shared" si="1140"/>
        <v/>
      </c>
      <c r="V7173" t="str">
        <f t="shared" si="1141"/>
        <v/>
      </c>
      <c r="W7173" t="str">
        <f t="shared" si="1130"/>
        <v/>
      </c>
      <c r="X7173">
        <f t="shared" si="1132"/>
        <v>0</v>
      </c>
      <c r="Z7173" t="str">
        <f t="shared" si="1131"/>
        <v/>
      </c>
      <c r="AA7173">
        <f t="shared" si="1133"/>
        <v>0</v>
      </c>
    </row>
    <row r="7174" spans="1:27" ht="21" customHeight="1" x14ac:dyDescent="0.95">
      <c r="A7174" s="56"/>
      <c r="B7174" s="57"/>
      <c r="C7174" s="57"/>
      <c r="D7174" s="57"/>
      <c r="E7174" s="56"/>
      <c r="F7174" s="57"/>
      <c r="G7174" s="57"/>
      <c r="H7174" s="56"/>
      <c r="I7174" s="56"/>
      <c r="J7174" s="58"/>
      <c r="K7174" s="58"/>
      <c r="L7174" s="13" t="str">
        <f t="shared" si="1134"/>
        <v/>
      </c>
      <c r="M7174" s="13" t="str">
        <f t="shared" si="1135"/>
        <v/>
      </c>
      <c r="Q7174" t="str">
        <f t="shared" si="1136"/>
        <v/>
      </c>
      <c r="R7174" t="str">
        <f t="shared" si="1137"/>
        <v/>
      </c>
      <c r="S7174" t="str">
        <f t="shared" si="1138"/>
        <v/>
      </c>
      <c r="T7174" t="str">
        <f t="shared" si="1139"/>
        <v/>
      </c>
      <c r="U7174" t="str">
        <f t="shared" si="1140"/>
        <v/>
      </c>
      <c r="V7174" t="str">
        <f t="shared" si="1141"/>
        <v/>
      </c>
      <c r="W7174" t="str">
        <f t="shared" ref="W7174:W7237" si="1142">IF($T7174="","",IF($X7174&gt;N($X7173),$X7174,""))</f>
        <v/>
      </c>
      <c r="X7174">
        <f t="shared" si="1132"/>
        <v>0</v>
      </c>
      <c r="Z7174" t="str">
        <f t="shared" ref="Z7174:Z7237" si="1143">IF($V7174="","",IF($AA7174&gt;N($AA7173),$AA7174,""))</f>
        <v/>
      </c>
      <c r="AA7174">
        <f t="shared" si="1133"/>
        <v>0</v>
      </c>
    </row>
    <row r="7175" spans="1:27" ht="21" customHeight="1" x14ac:dyDescent="0.95">
      <c r="A7175" s="56"/>
      <c r="B7175" s="57"/>
      <c r="C7175" s="57"/>
      <c r="D7175" s="57"/>
      <c r="E7175" s="56"/>
      <c r="F7175" s="57"/>
      <c r="G7175" s="57"/>
      <c r="H7175" s="56"/>
      <c r="I7175" s="56"/>
      <c r="J7175" s="58"/>
      <c r="K7175" s="58"/>
      <c r="L7175" s="13" t="str">
        <f t="shared" si="1134"/>
        <v/>
      </c>
      <c r="M7175" s="13" t="str">
        <f t="shared" si="1135"/>
        <v/>
      </c>
      <c r="Q7175" t="str">
        <f t="shared" si="1136"/>
        <v/>
      </c>
      <c r="R7175" t="str">
        <f t="shared" si="1137"/>
        <v/>
      </c>
      <c r="S7175" t="str">
        <f t="shared" si="1138"/>
        <v/>
      </c>
      <c r="T7175" t="str">
        <f t="shared" si="1139"/>
        <v/>
      </c>
      <c r="U7175" t="str">
        <f t="shared" si="1140"/>
        <v/>
      </c>
      <c r="V7175" t="str">
        <f t="shared" si="1141"/>
        <v/>
      </c>
      <c r="W7175" t="str">
        <f t="shared" si="1142"/>
        <v/>
      </c>
      <c r="X7175">
        <f t="shared" si="1132"/>
        <v>0</v>
      </c>
      <c r="Z7175" t="str">
        <f t="shared" si="1143"/>
        <v/>
      </c>
      <c r="AA7175">
        <f t="shared" si="1133"/>
        <v>0</v>
      </c>
    </row>
    <row r="7176" spans="1:27" ht="21" customHeight="1" x14ac:dyDescent="0.95">
      <c r="A7176" s="56"/>
      <c r="B7176" s="57"/>
      <c r="C7176" s="57"/>
      <c r="D7176" s="57"/>
      <c r="E7176" s="56"/>
      <c r="F7176" s="57"/>
      <c r="G7176" s="57"/>
      <c r="H7176" s="56"/>
      <c r="I7176" s="56"/>
      <c r="J7176" s="58"/>
      <c r="K7176" s="58"/>
      <c r="L7176" s="13" t="str">
        <f t="shared" si="1134"/>
        <v/>
      </c>
      <c r="M7176" s="13" t="str">
        <f t="shared" si="1135"/>
        <v/>
      </c>
      <c r="Q7176" t="str">
        <f t="shared" si="1136"/>
        <v/>
      </c>
      <c r="R7176" t="str">
        <f t="shared" si="1137"/>
        <v/>
      </c>
      <c r="S7176" t="str">
        <f t="shared" si="1138"/>
        <v/>
      </c>
      <c r="T7176" t="str">
        <f t="shared" si="1139"/>
        <v/>
      </c>
      <c r="U7176" t="str">
        <f t="shared" si="1140"/>
        <v/>
      </c>
      <c r="V7176" t="str">
        <f t="shared" si="1141"/>
        <v/>
      </c>
      <c r="W7176" t="str">
        <f t="shared" si="1142"/>
        <v/>
      </c>
      <c r="X7176">
        <f t="shared" si="1132"/>
        <v>0</v>
      </c>
      <c r="Z7176" t="str">
        <f t="shared" si="1143"/>
        <v/>
      </c>
      <c r="AA7176">
        <f t="shared" si="1133"/>
        <v>0</v>
      </c>
    </row>
    <row r="7177" spans="1:27" ht="21" customHeight="1" x14ac:dyDescent="0.95">
      <c r="A7177" s="56"/>
      <c r="B7177" s="57"/>
      <c r="C7177" s="57"/>
      <c r="D7177" s="57"/>
      <c r="E7177" s="56"/>
      <c r="F7177" s="57"/>
      <c r="G7177" s="57"/>
      <c r="H7177" s="56"/>
      <c r="I7177" s="56"/>
      <c r="J7177" s="58"/>
      <c r="K7177" s="58"/>
      <c r="L7177" s="13" t="str">
        <f t="shared" si="1134"/>
        <v/>
      </c>
      <c r="M7177" s="13" t="str">
        <f t="shared" si="1135"/>
        <v/>
      </c>
      <c r="Q7177" t="str">
        <f t="shared" si="1136"/>
        <v/>
      </c>
      <c r="R7177" t="str">
        <f t="shared" si="1137"/>
        <v/>
      </c>
      <c r="S7177" t="str">
        <f t="shared" si="1138"/>
        <v/>
      </c>
      <c r="T7177" t="str">
        <f t="shared" si="1139"/>
        <v/>
      </c>
      <c r="U7177" t="str">
        <f t="shared" si="1140"/>
        <v/>
      </c>
      <c r="V7177" t="str">
        <f t="shared" si="1141"/>
        <v/>
      </c>
      <c r="W7177" t="str">
        <f t="shared" si="1142"/>
        <v/>
      </c>
      <c r="X7177">
        <f t="shared" si="1132"/>
        <v>0</v>
      </c>
      <c r="Z7177" t="str">
        <f t="shared" si="1143"/>
        <v/>
      </c>
      <c r="AA7177">
        <f t="shared" si="1133"/>
        <v>0</v>
      </c>
    </row>
    <row r="7178" spans="1:27" ht="21" customHeight="1" x14ac:dyDescent="0.95">
      <c r="A7178" s="56"/>
      <c r="B7178" s="57"/>
      <c r="C7178" s="57"/>
      <c r="D7178" s="57"/>
      <c r="E7178" s="56"/>
      <c r="F7178" s="57"/>
      <c r="G7178" s="57"/>
      <c r="H7178" s="56"/>
      <c r="I7178" s="56"/>
      <c r="J7178" s="58"/>
      <c r="K7178" s="58"/>
      <c r="L7178" s="13" t="str">
        <f t="shared" si="1134"/>
        <v/>
      </c>
      <c r="M7178" s="13" t="str">
        <f t="shared" si="1135"/>
        <v/>
      </c>
      <c r="Q7178" t="str">
        <f t="shared" si="1136"/>
        <v/>
      </c>
      <c r="R7178" t="str">
        <f t="shared" si="1137"/>
        <v/>
      </c>
      <c r="S7178" t="str">
        <f t="shared" si="1138"/>
        <v/>
      </c>
      <c r="T7178" t="str">
        <f t="shared" si="1139"/>
        <v/>
      </c>
      <c r="U7178" t="str">
        <f t="shared" si="1140"/>
        <v/>
      </c>
      <c r="V7178" t="str">
        <f t="shared" si="1141"/>
        <v/>
      </c>
      <c r="W7178" t="str">
        <f t="shared" si="1142"/>
        <v/>
      </c>
      <c r="X7178">
        <f t="shared" si="1132"/>
        <v>0</v>
      </c>
      <c r="Z7178" t="str">
        <f t="shared" si="1143"/>
        <v/>
      </c>
      <c r="AA7178">
        <f t="shared" si="1133"/>
        <v>0</v>
      </c>
    </row>
    <row r="7179" spans="1:27" ht="21" customHeight="1" x14ac:dyDescent="0.95">
      <c r="A7179" s="56"/>
      <c r="B7179" s="57"/>
      <c r="C7179" s="57"/>
      <c r="D7179" s="57"/>
      <c r="E7179" s="56"/>
      <c r="F7179" s="57"/>
      <c r="G7179" s="57"/>
      <c r="H7179" s="56"/>
      <c r="I7179" s="56"/>
      <c r="J7179" s="58"/>
      <c r="K7179" s="58"/>
      <c r="L7179" s="13" t="str">
        <f t="shared" si="1134"/>
        <v/>
      </c>
      <c r="M7179" s="13" t="str">
        <f t="shared" si="1135"/>
        <v/>
      </c>
      <c r="Q7179" t="str">
        <f t="shared" si="1136"/>
        <v/>
      </c>
      <c r="R7179" t="str">
        <f t="shared" si="1137"/>
        <v/>
      </c>
      <c r="S7179" t="str">
        <f t="shared" si="1138"/>
        <v/>
      </c>
      <c r="T7179" t="str">
        <f t="shared" si="1139"/>
        <v/>
      </c>
      <c r="U7179" t="str">
        <f t="shared" si="1140"/>
        <v/>
      </c>
      <c r="V7179" t="str">
        <f t="shared" si="1141"/>
        <v/>
      </c>
      <c r="W7179" t="str">
        <f t="shared" si="1142"/>
        <v/>
      </c>
      <c r="X7179">
        <f t="shared" si="1132"/>
        <v>0</v>
      </c>
      <c r="Z7179" t="str">
        <f t="shared" si="1143"/>
        <v/>
      </c>
      <c r="AA7179">
        <f t="shared" si="1133"/>
        <v>0</v>
      </c>
    </row>
    <row r="7180" spans="1:27" ht="21" customHeight="1" x14ac:dyDescent="0.95">
      <c r="A7180" s="56"/>
      <c r="B7180" s="57"/>
      <c r="C7180" s="57"/>
      <c r="D7180" s="57"/>
      <c r="E7180" s="56"/>
      <c r="F7180" s="57"/>
      <c r="G7180" s="57"/>
      <c r="H7180" s="56"/>
      <c r="I7180" s="56"/>
      <c r="J7180" s="58"/>
      <c r="K7180" s="58"/>
      <c r="L7180" s="13" t="str">
        <f t="shared" si="1134"/>
        <v/>
      </c>
      <c r="M7180" s="13" t="str">
        <f t="shared" si="1135"/>
        <v/>
      </c>
      <c r="Q7180" t="str">
        <f t="shared" si="1136"/>
        <v/>
      </c>
      <c r="R7180" t="str">
        <f t="shared" si="1137"/>
        <v/>
      </c>
      <c r="S7180" t="str">
        <f t="shared" si="1138"/>
        <v/>
      </c>
      <c r="T7180" t="str">
        <f t="shared" si="1139"/>
        <v/>
      </c>
      <c r="U7180" t="str">
        <f t="shared" si="1140"/>
        <v/>
      </c>
      <c r="V7180" t="str">
        <f t="shared" si="1141"/>
        <v/>
      </c>
      <c r="W7180" t="str">
        <f t="shared" si="1142"/>
        <v/>
      </c>
      <c r="X7180">
        <f t="shared" si="1132"/>
        <v>0</v>
      </c>
      <c r="Z7180" t="str">
        <f t="shared" si="1143"/>
        <v/>
      </c>
      <c r="AA7180">
        <f t="shared" si="1133"/>
        <v>0</v>
      </c>
    </row>
    <row r="7181" spans="1:27" ht="21" customHeight="1" x14ac:dyDescent="0.95">
      <c r="A7181" s="56"/>
      <c r="B7181" s="57"/>
      <c r="C7181" s="57"/>
      <c r="D7181" s="57"/>
      <c r="E7181" s="56"/>
      <c r="F7181" s="57"/>
      <c r="G7181" s="57"/>
      <c r="H7181" s="56"/>
      <c r="I7181" s="56"/>
      <c r="J7181" s="58"/>
      <c r="K7181" s="58"/>
      <c r="L7181" s="13" t="str">
        <f t="shared" si="1134"/>
        <v/>
      </c>
      <c r="M7181" s="13" t="str">
        <f t="shared" si="1135"/>
        <v/>
      </c>
      <c r="Q7181" t="str">
        <f t="shared" si="1136"/>
        <v/>
      </c>
      <c r="R7181" t="str">
        <f t="shared" si="1137"/>
        <v/>
      </c>
      <c r="S7181" t="str">
        <f t="shared" si="1138"/>
        <v/>
      </c>
      <c r="T7181" t="str">
        <f t="shared" si="1139"/>
        <v/>
      </c>
      <c r="U7181" t="str">
        <f t="shared" si="1140"/>
        <v/>
      </c>
      <c r="V7181" t="str">
        <f t="shared" si="1141"/>
        <v/>
      </c>
      <c r="W7181" t="str">
        <f t="shared" si="1142"/>
        <v/>
      </c>
      <c r="X7181">
        <f t="shared" si="1132"/>
        <v>0</v>
      </c>
      <c r="Z7181" t="str">
        <f t="shared" si="1143"/>
        <v/>
      </c>
      <c r="AA7181">
        <f t="shared" si="1133"/>
        <v>0</v>
      </c>
    </row>
    <row r="7182" spans="1:27" ht="21" customHeight="1" x14ac:dyDescent="0.95">
      <c r="A7182" s="56"/>
      <c r="B7182" s="57"/>
      <c r="C7182" s="57"/>
      <c r="D7182" s="57"/>
      <c r="E7182" s="56"/>
      <c r="F7182" s="57"/>
      <c r="G7182" s="57"/>
      <c r="H7182" s="56"/>
      <c r="I7182" s="56"/>
      <c r="J7182" s="58"/>
      <c r="K7182" s="58"/>
      <c r="L7182" s="13" t="str">
        <f t="shared" si="1134"/>
        <v/>
      </c>
      <c r="M7182" s="13" t="str">
        <f t="shared" si="1135"/>
        <v/>
      </c>
      <c r="Q7182" t="str">
        <f t="shared" si="1136"/>
        <v/>
      </c>
      <c r="R7182" t="str">
        <f t="shared" si="1137"/>
        <v/>
      </c>
      <c r="S7182" t="str">
        <f t="shared" si="1138"/>
        <v/>
      </c>
      <c r="T7182" t="str">
        <f t="shared" si="1139"/>
        <v/>
      </c>
      <c r="U7182" t="str">
        <f t="shared" si="1140"/>
        <v/>
      </c>
      <c r="V7182" t="str">
        <f t="shared" si="1141"/>
        <v/>
      </c>
      <c r="W7182" t="str">
        <f t="shared" si="1142"/>
        <v/>
      </c>
      <c r="X7182">
        <f t="shared" si="1132"/>
        <v>0</v>
      </c>
      <c r="Z7182" t="str">
        <f t="shared" si="1143"/>
        <v/>
      </c>
      <c r="AA7182">
        <f t="shared" si="1133"/>
        <v>0</v>
      </c>
    </row>
    <row r="7183" spans="1:27" ht="21" customHeight="1" x14ac:dyDescent="0.95">
      <c r="A7183" s="56"/>
      <c r="B7183" s="57"/>
      <c r="C7183" s="57"/>
      <c r="D7183" s="57"/>
      <c r="E7183" s="56"/>
      <c r="F7183" s="57"/>
      <c r="G7183" s="57"/>
      <c r="H7183" s="56"/>
      <c r="I7183" s="56"/>
      <c r="J7183" s="58"/>
      <c r="K7183" s="58"/>
      <c r="L7183" s="13" t="str">
        <f t="shared" si="1134"/>
        <v/>
      </c>
      <c r="M7183" s="13" t="str">
        <f t="shared" si="1135"/>
        <v/>
      </c>
      <c r="Q7183" t="str">
        <f t="shared" si="1136"/>
        <v/>
      </c>
      <c r="R7183" t="str">
        <f t="shared" si="1137"/>
        <v/>
      </c>
      <c r="S7183" t="str">
        <f t="shared" si="1138"/>
        <v/>
      </c>
      <c r="T7183" t="str">
        <f t="shared" si="1139"/>
        <v/>
      </c>
      <c r="U7183" t="str">
        <f t="shared" si="1140"/>
        <v/>
      </c>
      <c r="V7183" t="str">
        <f t="shared" si="1141"/>
        <v/>
      </c>
      <c r="W7183" t="str">
        <f t="shared" si="1142"/>
        <v/>
      </c>
      <c r="X7183">
        <f t="shared" si="1132"/>
        <v>0</v>
      </c>
      <c r="Z7183" t="str">
        <f t="shared" si="1143"/>
        <v/>
      </c>
      <c r="AA7183">
        <f t="shared" si="1133"/>
        <v>0</v>
      </c>
    </row>
    <row r="7184" spans="1:27" ht="21" customHeight="1" x14ac:dyDescent="0.95">
      <c r="A7184" s="56"/>
      <c r="B7184" s="57"/>
      <c r="C7184" s="57"/>
      <c r="D7184" s="57"/>
      <c r="E7184" s="56"/>
      <c r="F7184" s="57"/>
      <c r="G7184" s="57"/>
      <c r="H7184" s="56"/>
      <c r="I7184" s="56"/>
      <c r="J7184" s="58"/>
      <c r="K7184" s="58"/>
      <c r="L7184" s="13" t="str">
        <f t="shared" si="1134"/>
        <v/>
      </c>
      <c r="M7184" s="13" t="str">
        <f t="shared" si="1135"/>
        <v/>
      </c>
      <c r="Q7184" t="str">
        <f t="shared" si="1136"/>
        <v/>
      </c>
      <c r="R7184" t="str">
        <f t="shared" si="1137"/>
        <v/>
      </c>
      <c r="S7184" t="str">
        <f t="shared" si="1138"/>
        <v/>
      </c>
      <c r="T7184" t="str">
        <f t="shared" si="1139"/>
        <v/>
      </c>
      <c r="U7184" t="str">
        <f t="shared" si="1140"/>
        <v/>
      </c>
      <c r="V7184" t="str">
        <f t="shared" si="1141"/>
        <v/>
      </c>
      <c r="W7184" t="str">
        <f t="shared" si="1142"/>
        <v/>
      </c>
      <c r="X7184">
        <f t="shared" si="1132"/>
        <v>0</v>
      </c>
      <c r="Z7184" t="str">
        <f t="shared" si="1143"/>
        <v/>
      </c>
      <c r="AA7184">
        <f t="shared" si="1133"/>
        <v>0</v>
      </c>
    </row>
    <row r="7185" spans="1:27" ht="21" customHeight="1" x14ac:dyDescent="0.95">
      <c r="A7185" s="56"/>
      <c r="B7185" s="57"/>
      <c r="C7185" s="57"/>
      <c r="D7185" s="57"/>
      <c r="E7185" s="56"/>
      <c r="F7185" s="57"/>
      <c r="G7185" s="57"/>
      <c r="H7185" s="56"/>
      <c r="I7185" s="56"/>
      <c r="J7185" s="58"/>
      <c r="K7185" s="58"/>
      <c r="L7185" s="13" t="str">
        <f t="shared" si="1134"/>
        <v/>
      </c>
      <c r="M7185" s="13" t="str">
        <f t="shared" si="1135"/>
        <v/>
      </c>
      <c r="Q7185" t="str">
        <f t="shared" si="1136"/>
        <v/>
      </c>
      <c r="R7185" t="str">
        <f t="shared" si="1137"/>
        <v/>
      </c>
      <c r="S7185" t="str">
        <f t="shared" si="1138"/>
        <v/>
      </c>
      <c r="T7185" t="str">
        <f t="shared" si="1139"/>
        <v/>
      </c>
      <c r="U7185" t="str">
        <f t="shared" si="1140"/>
        <v/>
      </c>
      <c r="V7185" t="str">
        <f t="shared" si="1141"/>
        <v/>
      </c>
      <c r="W7185" t="str">
        <f t="shared" si="1142"/>
        <v/>
      </c>
      <c r="X7185">
        <f t="shared" si="1132"/>
        <v>0</v>
      </c>
      <c r="Z7185" t="str">
        <f t="shared" si="1143"/>
        <v/>
      </c>
      <c r="AA7185">
        <f t="shared" si="1133"/>
        <v>0</v>
      </c>
    </row>
    <row r="7186" spans="1:27" ht="21" customHeight="1" x14ac:dyDescent="0.95">
      <c r="A7186" s="56"/>
      <c r="B7186" s="57"/>
      <c r="C7186" s="57"/>
      <c r="D7186" s="57"/>
      <c r="E7186" s="56"/>
      <c r="F7186" s="57"/>
      <c r="G7186" s="57"/>
      <c r="H7186" s="56"/>
      <c r="I7186" s="56"/>
      <c r="J7186" s="58"/>
      <c r="K7186" s="58"/>
      <c r="L7186" s="13" t="str">
        <f t="shared" si="1134"/>
        <v/>
      </c>
      <c r="M7186" s="13" t="str">
        <f t="shared" si="1135"/>
        <v/>
      </c>
      <c r="Q7186" t="str">
        <f t="shared" si="1136"/>
        <v/>
      </c>
      <c r="R7186" t="str">
        <f t="shared" si="1137"/>
        <v/>
      </c>
      <c r="S7186" t="str">
        <f t="shared" si="1138"/>
        <v/>
      </c>
      <c r="T7186" t="str">
        <f t="shared" si="1139"/>
        <v/>
      </c>
      <c r="U7186" t="str">
        <f t="shared" si="1140"/>
        <v/>
      </c>
      <c r="V7186" t="str">
        <f t="shared" si="1141"/>
        <v/>
      </c>
      <c r="W7186" t="str">
        <f t="shared" si="1142"/>
        <v/>
      </c>
      <c r="X7186">
        <f t="shared" si="1132"/>
        <v>0</v>
      </c>
      <c r="Z7186" t="str">
        <f t="shared" si="1143"/>
        <v/>
      </c>
      <c r="AA7186">
        <f t="shared" si="1133"/>
        <v>0</v>
      </c>
    </row>
    <row r="7187" spans="1:27" ht="21" customHeight="1" x14ac:dyDescent="0.95">
      <c r="A7187" s="56"/>
      <c r="B7187" s="57"/>
      <c r="C7187" s="57"/>
      <c r="D7187" s="57"/>
      <c r="E7187" s="56"/>
      <c r="F7187" s="57"/>
      <c r="G7187" s="57"/>
      <c r="H7187" s="56"/>
      <c r="I7187" s="56"/>
      <c r="J7187" s="58"/>
      <c r="K7187" s="58"/>
      <c r="L7187" s="13" t="str">
        <f t="shared" si="1134"/>
        <v/>
      </c>
      <c r="M7187" s="13" t="str">
        <f t="shared" si="1135"/>
        <v/>
      </c>
      <c r="Q7187" t="str">
        <f t="shared" si="1136"/>
        <v/>
      </c>
      <c r="R7187" t="str">
        <f t="shared" si="1137"/>
        <v/>
      </c>
      <c r="S7187" t="str">
        <f t="shared" si="1138"/>
        <v/>
      </c>
      <c r="T7187" t="str">
        <f t="shared" si="1139"/>
        <v/>
      </c>
      <c r="U7187" t="str">
        <f t="shared" si="1140"/>
        <v/>
      </c>
      <c r="V7187" t="str">
        <f t="shared" si="1141"/>
        <v/>
      </c>
      <c r="W7187" t="str">
        <f t="shared" si="1142"/>
        <v/>
      </c>
      <c r="X7187">
        <f t="shared" si="1132"/>
        <v>0</v>
      </c>
      <c r="Z7187" t="str">
        <f t="shared" si="1143"/>
        <v/>
      </c>
      <c r="AA7187">
        <f t="shared" si="1133"/>
        <v>0</v>
      </c>
    </row>
    <row r="7188" spans="1:27" ht="21" customHeight="1" x14ac:dyDescent="0.95">
      <c r="A7188" s="56"/>
      <c r="B7188" s="57"/>
      <c r="C7188" s="57"/>
      <c r="D7188" s="57"/>
      <c r="E7188" s="56"/>
      <c r="F7188" s="57"/>
      <c r="G7188" s="57"/>
      <c r="H7188" s="56"/>
      <c r="I7188" s="56"/>
      <c r="J7188" s="58"/>
      <c r="K7188" s="58"/>
      <c r="L7188" s="13" t="str">
        <f t="shared" si="1134"/>
        <v/>
      </c>
      <c r="M7188" s="13" t="str">
        <f t="shared" si="1135"/>
        <v/>
      </c>
      <c r="Q7188" t="str">
        <f t="shared" si="1136"/>
        <v/>
      </c>
      <c r="R7188" t="str">
        <f t="shared" si="1137"/>
        <v/>
      </c>
      <c r="S7188" t="str">
        <f t="shared" si="1138"/>
        <v/>
      </c>
      <c r="T7188" t="str">
        <f t="shared" si="1139"/>
        <v/>
      </c>
      <c r="U7188" t="str">
        <f t="shared" si="1140"/>
        <v/>
      </c>
      <c r="V7188" t="str">
        <f t="shared" si="1141"/>
        <v/>
      </c>
      <c r="W7188" t="str">
        <f t="shared" si="1142"/>
        <v/>
      </c>
      <c r="X7188">
        <f t="shared" si="1132"/>
        <v>0</v>
      </c>
      <c r="Z7188" t="str">
        <f t="shared" si="1143"/>
        <v/>
      </c>
      <c r="AA7188">
        <f t="shared" si="1133"/>
        <v>0</v>
      </c>
    </row>
    <row r="7189" spans="1:27" ht="21" customHeight="1" x14ac:dyDescent="0.95">
      <c r="A7189" s="56"/>
      <c r="B7189" s="57"/>
      <c r="C7189" s="57"/>
      <c r="D7189" s="57"/>
      <c r="E7189" s="56"/>
      <c r="F7189" s="57"/>
      <c r="G7189" s="57"/>
      <c r="H7189" s="56"/>
      <c r="I7189" s="56"/>
      <c r="J7189" s="58"/>
      <c r="K7189" s="58"/>
      <c r="L7189" s="13" t="str">
        <f t="shared" si="1134"/>
        <v/>
      </c>
      <c r="M7189" s="13" t="str">
        <f t="shared" si="1135"/>
        <v/>
      </c>
      <c r="Q7189" t="str">
        <f t="shared" si="1136"/>
        <v/>
      </c>
      <c r="R7189" t="str">
        <f t="shared" si="1137"/>
        <v/>
      </c>
      <c r="S7189" t="str">
        <f t="shared" si="1138"/>
        <v/>
      </c>
      <c r="T7189" t="str">
        <f t="shared" si="1139"/>
        <v/>
      </c>
      <c r="U7189" t="str">
        <f t="shared" si="1140"/>
        <v/>
      </c>
      <c r="V7189" t="str">
        <f t="shared" si="1141"/>
        <v/>
      </c>
      <c r="W7189" t="str">
        <f t="shared" si="1142"/>
        <v/>
      </c>
      <c r="X7189">
        <f t="shared" si="1132"/>
        <v>0</v>
      </c>
      <c r="Z7189" t="str">
        <f t="shared" si="1143"/>
        <v/>
      </c>
      <c r="AA7189">
        <f t="shared" si="1133"/>
        <v>0</v>
      </c>
    </row>
    <row r="7190" spans="1:27" ht="21" customHeight="1" x14ac:dyDescent="0.95">
      <c r="A7190" s="56"/>
      <c r="B7190" s="57"/>
      <c r="C7190" s="57"/>
      <c r="D7190" s="57"/>
      <c r="E7190" s="56"/>
      <c r="F7190" s="57"/>
      <c r="G7190" s="57"/>
      <c r="H7190" s="56"/>
      <c r="I7190" s="56"/>
      <c r="J7190" s="58"/>
      <c r="K7190" s="58"/>
      <c r="L7190" s="13" t="str">
        <f t="shared" si="1134"/>
        <v/>
      </c>
      <c r="M7190" s="13" t="str">
        <f t="shared" si="1135"/>
        <v/>
      </c>
      <c r="Q7190" t="str">
        <f t="shared" si="1136"/>
        <v/>
      </c>
      <c r="R7190" t="str">
        <f t="shared" si="1137"/>
        <v/>
      </c>
      <c r="S7190" t="str">
        <f t="shared" si="1138"/>
        <v/>
      </c>
      <c r="T7190" t="str">
        <f t="shared" si="1139"/>
        <v/>
      </c>
      <c r="U7190" t="str">
        <f t="shared" si="1140"/>
        <v/>
      </c>
      <c r="V7190" t="str">
        <f t="shared" si="1141"/>
        <v/>
      </c>
      <c r="W7190" t="str">
        <f t="shared" si="1142"/>
        <v/>
      </c>
      <c r="X7190">
        <f t="shared" si="1132"/>
        <v>0</v>
      </c>
      <c r="Z7190" t="str">
        <f t="shared" si="1143"/>
        <v/>
      </c>
      <c r="AA7190">
        <f t="shared" si="1133"/>
        <v>0</v>
      </c>
    </row>
    <row r="7191" spans="1:27" ht="21" customHeight="1" x14ac:dyDescent="0.95">
      <c r="A7191" s="56"/>
      <c r="B7191" s="57"/>
      <c r="C7191" s="57"/>
      <c r="D7191" s="57"/>
      <c r="E7191" s="56"/>
      <c r="F7191" s="57"/>
      <c r="G7191" s="57"/>
      <c r="H7191" s="56"/>
      <c r="I7191" s="56"/>
      <c r="J7191" s="58"/>
      <c r="K7191" s="58"/>
      <c r="L7191" s="13" t="str">
        <f t="shared" si="1134"/>
        <v/>
      </c>
      <c r="M7191" s="13" t="str">
        <f t="shared" si="1135"/>
        <v/>
      </c>
      <c r="Q7191" t="str">
        <f t="shared" si="1136"/>
        <v/>
      </c>
      <c r="R7191" t="str">
        <f t="shared" si="1137"/>
        <v/>
      </c>
      <c r="S7191" t="str">
        <f t="shared" si="1138"/>
        <v/>
      </c>
      <c r="T7191" t="str">
        <f t="shared" si="1139"/>
        <v/>
      </c>
      <c r="U7191" t="str">
        <f t="shared" si="1140"/>
        <v/>
      </c>
      <c r="V7191" t="str">
        <f t="shared" si="1141"/>
        <v/>
      </c>
      <c r="W7191" t="str">
        <f t="shared" si="1142"/>
        <v/>
      </c>
      <c r="X7191">
        <f t="shared" si="1132"/>
        <v>0</v>
      </c>
      <c r="Z7191" t="str">
        <f t="shared" si="1143"/>
        <v/>
      </c>
      <c r="AA7191">
        <f t="shared" si="1133"/>
        <v>0</v>
      </c>
    </row>
    <row r="7192" spans="1:27" ht="21" customHeight="1" x14ac:dyDescent="0.95">
      <c r="A7192" s="56"/>
      <c r="B7192" s="57"/>
      <c r="C7192" s="57"/>
      <c r="D7192" s="57"/>
      <c r="E7192" s="56"/>
      <c r="F7192" s="57"/>
      <c r="G7192" s="57"/>
      <c r="H7192" s="56"/>
      <c r="I7192" s="56"/>
      <c r="J7192" s="58"/>
      <c r="K7192" s="58"/>
      <c r="L7192" s="13" t="str">
        <f t="shared" si="1134"/>
        <v/>
      </c>
      <c r="M7192" s="13" t="str">
        <f t="shared" si="1135"/>
        <v/>
      </c>
      <c r="Q7192" t="str">
        <f t="shared" si="1136"/>
        <v/>
      </c>
      <c r="R7192" t="str">
        <f t="shared" si="1137"/>
        <v/>
      </c>
      <c r="S7192" t="str">
        <f t="shared" si="1138"/>
        <v/>
      </c>
      <c r="T7192" t="str">
        <f t="shared" si="1139"/>
        <v/>
      </c>
      <c r="U7192" t="str">
        <f t="shared" si="1140"/>
        <v/>
      </c>
      <c r="V7192" t="str">
        <f t="shared" si="1141"/>
        <v/>
      </c>
      <c r="W7192" t="str">
        <f t="shared" si="1142"/>
        <v/>
      </c>
      <c r="X7192">
        <f t="shared" si="1132"/>
        <v>0</v>
      </c>
      <c r="Z7192" t="str">
        <f t="shared" si="1143"/>
        <v/>
      </c>
      <c r="AA7192">
        <f t="shared" si="1133"/>
        <v>0</v>
      </c>
    </row>
    <row r="7193" spans="1:27" ht="21" customHeight="1" x14ac:dyDescent="0.95">
      <c r="A7193" s="56"/>
      <c r="B7193" s="57"/>
      <c r="C7193" s="57"/>
      <c r="D7193" s="57"/>
      <c r="E7193" s="56"/>
      <c r="F7193" s="57"/>
      <c r="G7193" s="57"/>
      <c r="H7193" s="56"/>
      <c r="I7193" s="56"/>
      <c r="J7193" s="58"/>
      <c r="K7193" s="58"/>
      <c r="L7193" s="13" t="str">
        <f t="shared" si="1134"/>
        <v/>
      </c>
      <c r="M7193" s="13" t="str">
        <f t="shared" si="1135"/>
        <v/>
      </c>
      <c r="Q7193" t="str">
        <f t="shared" si="1136"/>
        <v/>
      </c>
      <c r="R7193" t="str">
        <f t="shared" si="1137"/>
        <v/>
      </c>
      <c r="S7193" t="str">
        <f t="shared" si="1138"/>
        <v/>
      </c>
      <c r="T7193" t="str">
        <f t="shared" si="1139"/>
        <v/>
      </c>
      <c r="U7193" t="str">
        <f t="shared" si="1140"/>
        <v/>
      </c>
      <c r="V7193" t="str">
        <f t="shared" si="1141"/>
        <v/>
      </c>
      <c r="W7193" t="str">
        <f t="shared" si="1142"/>
        <v/>
      </c>
      <c r="X7193">
        <f t="shared" si="1132"/>
        <v>0</v>
      </c>
      <c r="Z7193" t="str">
        <f t="shared" si="1143"/>
        <v/>
      </c>
      <c r="AA7193">
        <f t="shared" si="1133"/>
        <v>0</v>
      </c>
    </row>
    <row r="7194" spans="1:27" ht="21" customHeight="1" x14ac:dyDescent="0.95">
      <c r="A7194" s="56"/>
      <c r="B7194" s="57"/>
      <c r="C7194" s="57"/>
      <c r="D7194" s="57"/>
      <c r="E7194" s="56"/>
      <c r="F7194" s="57"/>
      <c r="G7194" s="57"/>
      <c r="H7194" s="56"/>
      <c r="I7194" s="56"/>
      <c r="J7194" s="58"/>
      <c r="K7194" s="58"/>
      <c r="L7194" s="13" t="str">
        <f t="shared" si="1134"/>
        <v/>
      </c>
      <c r="M7194" s="13" t="str">
        <f t="shared" si="1135"/>
        <v/>
      </c>
      <c r="Q7194" t="str">
        <f t="shared" si="1136"/>
        <v/>
      </c>
      <c r="R7194" t="str">
        <f t="shared" si="1137"/>
        <v/>
      </c>
      <c r="S7194" t="str">
        <f t="shared" si="1138"/>
        <v/>
      </c>
      <c r="T7194" t="str">
        <f t="shared" si="1139"/>
        <v/>
      </c>
      <c r="U7194" t="str">
        <f t="shared" si="1140"/>
        <v/>
      </c>
      <c r="V7194" t="str">
        <f t="shared" si="1141"/>
        <v/>
      </c>
      <c r="W7194" t="str">
        <f t="shared" si="1142"/>
        <v/>
      </c>
      <c r="X7194">
        <f t="shared" si="1132"/>
        <v>0</v>
      </c>
      <c r="Z7194" t="str">
        <f t="shared" si="1143"/>
        <v/>
      </c>
      <c r="AA7194">
        <f t="shared" si="1133"/>
        <v>0</v>
      </c>
    </row>
    <row r="7195" spans="1:27" ht="21" customHeight="1" x14ac:dyDescent="0.95">
      <c r="A7195" s="56"/>
      <c r="B7195" s="57"/>
      <c r="C7195" s="57"/>
      <c r="D7195" s="57"/>
      <c r="E7195" s="56"/>
      <c r="F7195" s="57"/>
      <c r="G7195" s="57"/>
      <c r="H7195" s="56"/>
      <c r="I7195" s="56"/>
      <c r="J7195" s="58"/>
      <c r="K7195" s="58"/>
      <c r="L7195" s="13" t="str">
        <f t="shared" si="1134"/>
        <v/>
      </c>
      <c r="M7195" s="13" t="str">
        <f t="shared" si="1135"/>
        <v/>
      </c>
      <c r="Q7195" t="str">
        <f t="shared" si="1136"/>
        <v/>
      </c>
      <c r="R7195" t="str">
        <f t="shared" si="1137"/>
        <v/>
      </c>
      <c r="S7195" t="str">
        <f t="shared" si="1138"/>
        <v/>
      </c>
      <c r="T7195" t="str">
        <f t="shared" si="1139"/>
        <v/>
      </c>
      <c r="U7195" t="str">
        <f t="shared" si="1140"/>
        <v/>
      </c>
      <c r="V7195" t="str">
        <f t="shared" si="1141"/>
        <v/>
      </c>
      <c r="W7195" t="str">
        <f t="shared" si="1142"/>
        <v/>
      </c>
      <c r="X7195">
        <f t="shared" si="1132"/>
        <v>0</v>
      </c>
      <c r="Z7195" t="str">
        <f t="shared" si="1143"/>
        <v/>
      </c>
      <c r="AA7195">
        <f t="shared" si="1133"/>
        <v>0</v>
      </c>
    </row>
    <row r="7196" spans="1:27" ht="21" customHeight="1" x14ac:dyDescent="0.95">
      <c r="A7196" s="56"/>
      <c r="B7196" s="57"/>
      <c r="C7196" s="57"/>
      <c r="D7196" s="57"/>
      <c r="E7196" s="56"/>
      <c r="F7196" s="57"/>
      <c r="G7196" s="57"/>
      <c r="H7196" s="56"/>
      <c r="I7196" s="56"/>
      <c r="J7196" s="58"/>
      <c r="K7196" s="58"/>
      <c r="L7196" s="13" t="str">
        <f t="shared" si="1134"/>
        <v/>
      </c>
      <c r="M7196" s="13" t="str">
        <f t="shared" si="1135"/>
        <v/>
      </c>
      <c r="Q7196" t="str">
        <f t="shared" si="1136"/>
        <v/>
      </c>
      <c r="R7196" t="str">
        <f t="shared" si="1137"/>
        <v/>
      </c>
      <c r="S7196" t="str">
        <f t="shared" si="1138"/>
        <v/>
      </c>
      <c r="T7196" t="str">
        <f t="shared" si="1139"/>
        <v/>
      </c>
      <c r="U7196" t="str">
        <f t="shared" si="1140"/>
        <v/>
      </c>
      <c r="V7196" t="str">
        <f t="shared" si="1141"/>
        <v/>
      </c>
      <c r="W7196" t="str">
        <f t="shared" si="1142"/>
        <v/>
      </c>
      <c r="X7196">
        <f t="shared" si="1132"/>
        <v>0</v>
      </c>
      <c r="Z7196" t="str">
        <f t="shared" si="1143"/>
        <v/>
      </c>
      <c r="AA7196">
        <f t="shared" si="1133"/>
        <v>0</v>
      </c>
    </row>
    <row r="7197" spans="1:27" ht="21" customHeight="1" x14ac:dyDescent="0.95">
      <c r="A7197" s="56"/>
      <c r="B7197" s="57"/>
      <c r="C7197" s="57"/>
      <c r="D7197" s="57"/>
      <c r="E7197" s="56"/>
      <c r="F7197" s="57"/>
      <c r="G7197" s="57"/>
      <c r="H7197" s="56"/>
      <c r="I7197" s="56"/>
      <c r="J7197" s="58"/>
      <c r="K7197" s="58"/>
      <c r="L7197" s="13" t="str">
        <f t="shared" si="1134"/>
        <v/>
      </c>
      <c r="M7197" s="13" t="str">
        <f t="shared" si="1135"/>
        <v/>
      </c>
      <c r="Q7197" t="str">
        <f t="shared" si="1136"/>
        <v/>
      </c>
      <c r="R7197" t="str">
        <f t="shared" si="1137"/>
        <v/>
      </c>
      <c r="S7197" t="str">
        <f t="shared" si="1138"/>
        <v/>
      </c>
      <c r="T7197" t="str">
        <f t="shared" si="1139"/>
        <v/>
      </c>
      <c r="U7197" t="str">
        <f t="shared" si="1140"/>
        <v/>
      </c>
      <c r="V7197" t="str">
        <f t="shared" si="1141"/>
        <v/>
      </c>
      <c r="W7197" t="str">
        <f t="shared" si="1142"/>
        <v/>
      </c>
      <c r="X7197">
        <f t="shared" si="1132"/>
        <v>0</v>
      </c>
      <c r="Z7197" t="str">
        <f t="shared" si="1143"/>
        <v/>
      </c>
      <c r="AA7197">
        <f t="shared" si="1133"/>
        <v>0</v>
      </c>
    </row>
    <row r="7198" spans="1:27" ht="21" customHeight="1" x14ac:dyDescent="0.95">
      <c r="A7198" s="56"/>
      <c r="B7198" s="57"/>
      <c r="C7198" s="57"/>
      <c r="D7198" s="57"/>
      <c r="E7198" s="56"/>
      <c r="F7198" s="57"/>
      <c r="G7198" s="57"/>
      <c r="H7198" s="56"/>
      <c r="I7198" s="56"/>
      <c r="J7198" s="58"/>
      <c r="K7198" s="58"/>
      <c r="L7198" s="13" t="str">
        <f t="shared" si="1134"/>
        <v/>
      </c>
      <c r="M7198" s="13" t="str">
        <f t="shared" si="1135"/>
        <v/>
      </c>
      <c r="Q7198" t="str">
        <f t="shared" si="1136"/>
        <v/>
      </c>
      <c r="R7198" t="str">
        <f t="shared" si="1137"/>
        <v/>
      </c>
      <c r="S7198" t="str">
        <f t="shared" si="1138"/>
        <v/>
      </c>
      <c r="T7198" t="str">
        <f t="shared" si="1139"/>
        <v/>
      </c>
      <c r="U7198" t="str">
        <f t="shared" si="1140"/>
        <v/>
      </c>
      <c r="V7198" t="str">
        <f t="shared" si="1141"/>
        <v/>
      </c>
      <c r="W7198" t="str">
        <f t="shared" si="1142"/>
        <v/>
      </c>
      <c r="X7198">
        <f t="shared" si="1132"/>
        <v>0</v>
      </c>
      <c r="Z7198" t="str">
        <f t="shared" si="1143"/>
        <v/>
      </c>
      <c r="AA7198">
        <f t="shared" si="1133"/>
        <v>0</v>
      </c>
    </row>
    <row r="7199" spans="1:27" ht="21" customHeight="1" x14ac:dyDescent="0.95">
      <c r="A7199" s="56"/>
      <c r="B7199" s="57"/>
      <c r="C7199" s="57"/>
      <c r="D7199" s="57"/>
      <c r="E7199" s="56"/>
      <c r="F7199" s="57"/>
      <c r="G7199" s="57"/>
      <c r="H7199" s="56"/>
      <c r="I7199" s="56"/>
      <c r="J7199" s="58"/>
      <c r="K7199" s="58"/>
      <c r="L7199" s="13" t="str">
        <f t="shared" si="1134"/>
        <v/>
      </c>
      <c r="M7199" s="13" t="str">
        <f t="shared" si="1135"/>
        <v/>
      </c>
      <c r="Q7199" t="str">
        <f t="shared" si="1136"/>
        <v/>
      </c>
      <c r="R7199" t="str">
        <f t="shared" si="1137"/>
        <v/>
      </c>
      <c r="S7199" t="str">
        <f t="shared" si="1138"/>
        <v/>
      </c>
      <c r="T7199" t="str">
        <f t="shared" si="1139"/>
        <v/>
      </c>
      <c r="U7199" t="str">
        <f t="shared" si="1140"/>
        <v/>
      </c>
      <c r="V7199" t="str">
        <f t="shared" si="1141"/>
        <v/>
      </c>
      <c r="W7199" t="str">
        <f t="shared" si="1142"/>
        <v/>
      </c>
      <c r="X7199">
        <f t="shared" si="1132"/>
        <v>0</v>
      </c>
      <c r="Z7199" t="str">
        <f t="shared" si="1143"/>
        <v/>
      </c>
      <c r="AA7199">
        <f t="shared" si="1133"/>
        <v>0</v>
      </c>
    </row>
    <row r="7200" spans="1:27" ht="21" customHeight="1" x14ac:dyDescent="0.95">
      <c r="A7200" s="56"/>
      <c r="B7200" s="57"/>
      <c r="C7200" s="57"/>
      <c r="D7200" s="57"/>
      <c r="E7200" s="56"/>
      <c r="F7200" s="57"/>
      <c r="G7200" s="57"/>
      <c r="H7200" s="56"/>
      <c r="I7200" s="56"/>
      <c r="J7200" s="58"/>
      <c r="K7200" s="58"/>
      <c r="L7200" s="13" t="str">
        <f t="shared" si="1134"/>
        <v/>
      </c>
      <c r="M7200" s="13" t="str">
        <f t="shared" si="1135"/>
        <v/>
      </c>
      <c r="Q7200" t="str">
        <f t="shared" si="1136"/>
        <v/>
      </c>
      <c r="R7200" t="str">
        <f t="shared" si="1137"/>
        <v/>
      </c>
      <c r="S7200" t="str">
        <f t="shared" si="1138"/>
        <v/>
      </c>
      <c r="T7200" t="str">
        <f t="shared" si="1139"/>
        <v/>
      </c>
      <c r="U7200" t="str">
        <f t="shared" si="1140"/>
        <v/>
      </c>
      <c r="V7200" t="str">
        <f t="shared" si="1141"/>
        <v/>
      </c>
      <c r="W7200" t="str">
        <f t="shared" si="1142"/>
        <v/>
      </c>
      <c r="X7200">
        <f t="shared" si="1132"/>
        <v>0</v>
      </c>
      <c r="Z7200" t="str">
        <f t="shared" si="1143"/>
        <v/>
      </c>
      <c r="AA7200">
        <f t="shared" si="1133"/>
        <v>0</v>
      </c>
    </row>
    <row r="7201" spans="1:27" ht="21" customHeight="1" x14ac:dyDescent="0.95">
      <c r="A7201" s="56"/>
      <c r="B7201" s="57"/>
      <c r="C7201" s="57"/>
      <c r="D7201" s="57"/>
      <c r="E7201" s="56"/>
      <c r="F7201" s="57"/>
      <c r="G7201" s="57"/>
      <c r="H7201" s="56"/>
      <c r="I7201" s="56"/>
      <c r="J7201" s="58"/>
      <c r="K7201" s="58"/>
      <c r="L7201" s="13" t="str">
        <f t="shared" si="1134"/>
        <v/>
      </c>
      <c r="M7201" s="13" t="str">
        <f t="shared" si="1135"/>
        <v/>
      </c>
      <c r="Q7201" t="str">
        <f t="shared" si="1136"/>
        <v/>
      </c>
      <c r="R7201" t="str">
        <f t="shared" si="1137"/>
        <v/>
      </c>
      <c r="S7201" t="str">
        <f t="shared" si="1138"/>
        <v/>
      </c>
      <c r="T7201" t="str">
        <f t="shared" si="1139"/>
        <v/>
      </c>
      <c r="U7201" t="str">
        <f t="shared" si="1140"/>
        <v/>
      </c>
      <c r="V7201" t="str">
        <f t="shared" si="1141"/>
        <v/>
      </c>
      <c r="W7201" t="str">
        <f t="shared" si="1142"/>
        <v/>
      </c>
      <c r="X7201">
        <f t="shared" si="1132"/>
        <v>0</v>
      </c>
      <c r="Z7201" t="str">
        <f t="shared" si="1143"/>
        <v/>
      </c>
      <c r="AA7201">
        <f t="shared" si="1133"/>
        <v>0</v>
      </c>
    </row>
    <row r="7202" spans="1:27" ht="21" customHeight="1" x14ac:dyDescent="0.95">
      <c r="A7202" s="56"/>
      <c r="B7202" s="57"/>
      <c r="C7202" s="57"/>
      <c r="D7202" s="57"/>
      <c r="E7202" s="56"/>
      <c r="F7202" s="57"/>
      <c r="G7202" s="57"/>
      <c r="H7202" s="56"/>
      <c r="I7202" s="56"/>
      <c r="J7202" s="58"/>
      <c r="K7202" s="58"/>
      <c r="L7202" s="13" t="str">
        <f t="shared" si="1134"/>
        <v/>
      </c>
      <c r="M7202" s="13" t="str">
        <f t="shared" si="1135"/>
        <v/>
      </c>
      <c r="Q7202" t="str">
        <f t="shared" si="1136"/>
        <v/>
      </c>
      <c r="R7202" t="str">
        <f t="shared" si="1137"/>
        <v/>
      </c>
      <c r="S7202" t="str">
        <f t="shared" si="1138"/>
        <v/>
      </c>
      <c r="T7202" t="str">
        <f t="shared" si="1139"/>
        <v/>
      </c>
      <c r="U7202" t="str">
        <f t="shared" si="1140"/>
        <v/>
      </c>
      <c r="V7202" t="str">
        <f t="shared" si="1141"/>
        <v/>
      </c>
      <c r="W7202" t="str">
        <f t="shared" si="1142"/>
        <v/>
      </c>
      <c r="X7202">
        <f t="shared" si="1132"/>
        <v>0</v>
      </c>
      <c r="Z7202" t="str">
        <f t="shared" si="1143"/>
        <v/>
      </c>
      <c r="AA7202">
        <f t="shared" si="1133"/>
        <v>0</v>
      </c>
    </row>
    <row r="7203" spans="1:27" ht="21" customHeight="1" x14ac:dyDescent="0.95">
      <c r="A7203" s="56"/>
      <c r="B7203" s="57"/>
      <c r="C7203" s="57"/>
      <c r="D7203" s="57"/>
      <c r="E7203" s="56"/>
      <c r="F7203" s="57"/>
      <c r="G7203" s="57"/>
      <c r="H7203" s="56"/>
      <c r="I7203" s="56"/>
      <c r="J7203" s="58"/>
      <c r="K7203" s="58"/>
      <c r="L7203" s="13" t="str">
        <f t="shared" si="1134"/>
        <v/>
      </c>
      <c r="M7203" s="13" t="str">
        <f t="shared" si="1135"/>
        <v/>
      </c>
      <c r="Q7203" t="str">
        <f t="shared" si="1136"/>
        <v/>
      </c>
      <c r="R7203" t="str">
        <f t="shared" si="1137"/>
        <v/>
      </c>
      <c r="S7203" t="str">
        <f t="shared" si="1138"/>
        <v/>
      </c>
      <c r="T7203" t="str">
        <f t="shared" si="1139"/>
        <v/>
      </c>
      <c r="U7203" t="str">
        <f t="shared" si="1140"/>
        <v/>
      </c>
      <c r="V7203" t="str">
        <f t="shared" si="1141"/>
        <v/>
      </c>
      <c r="W7203" t="str">
        <f t="shared" si="1142"/>
        <v/>
      </c>
      <c r="X7203">
        <f t="shared" si="1132"/>
        <v>0</v>
      </c>
      <c r="Z7203" t="str">
        <f t="shared" si="1143"/>
        <v/>
      </c>
      <c r="AA7203">
        <f t="shared" si="1133"/>
        <v>0</v>
      </c>
    </row>
    <row r="7204" spans="1:27" ht="21" customHeight="1" x14ac:dyDescent="0.95">
      <c r="A7204" s="56"/>
      <c r="B7204" s="57"/>
      <c r="C7204" s="57"/>
      <c r="D7204" s="57"/>
      <c r="E7204" s="56"/>
      <c r="F7204" s="57"/>
      <c r="G7204" s="57"/>
      <c r="H7204" s="56"/>
      <c r="I7204" s="56"/>
      <c r="J7204" s="58"/>
      <c r="K7204" s="58"/>
      <c r="L7204" s="13" t="str">
        <f t="shared" si="1134"/>
        <v/>
      </c>
      <c r="M7204" s="13" t="str">
        <f t="shared" si="1135"/>
        <v/>
      </c>
      <c r="Q7204" t="str">
        <f t="shared" si="1136"/>
        <v/>
      </c>
      <c r="R7204" t="str">
        <f t="shared" si="1137"/>
        <v/>
      </c>
      <c r="S7204" t="str">
        <f t="shared" si="1138"/>
        <v/>
      </c>
      <c r="T7204" t="str">
        <f t="shared" si="1139"/>
        <v/>
      </c>
      <c r="U7204" t="str">
        <f t="shared" si="1140"/>
        <v/>
      </c>
      <c r="V7204" t="str">
        <f t="shared" si="1141"/>
        <v/>
      </c>
      <c r="W7204" t="str">
        <f t="shared" si="1142"/>
        <v/>
      </c>
      <c r="X7204">
        <f t="shared" si="1132"/>
        <v>0</v>
      </c>
      <c r="Z7204" t="str">
        <f t="shared" si="1143"/>
        <v/>
      </c>
      <c r="AA7204">
        <f t="shared" si="1133"/>
        <v>0</v>
      </c>
    </row>
    <row r="7205" spans="1:27" ht="21" customHeight="1" x14ac:dyDescent="0.95">
      <c r="A7205" s="56"/>
      <c r="B7205" s="57"/>
      <c r="C7205" s="57"/>
      <c r="D7205" s="57"/>
      <c r="E7205" s="56"/>
      <c r="F7205" s="57"/>
      <c r="G7205" s="57"/>
      <c r="H7205" s="56"/>
      <c r="I7205" s="56"/>
      <c r="J7205" s="58"/>
      <c r="K7205" s="58"/>
      <c r="L7205" s="13" t="str">
        <f t="shared" si="1134"/>
        <v/>
      </c>
      <c r="M7205" s="13" t="str">
        <f t="shared" si="1135"/>
        <v/>
      </c>
      <c r="Q7205" t="str">
        <f t="shared" si="1136"/>
        <v/>
      </c>
      <c r="R7205" t="str">
        <f t="shared" si="1137"/>
        <v/>
      </c>
      <c r="S7205" t="str">
        <f t="shared" si="1138"/>
        <v/>
      </c>
      <c r="T7205" t="str">
        <f t="shared" si="1139"/>
        <v/>
      </c>
      <c r="U7205" t="str">
        <f t="shared" si="1140"/>
        <v/>
      </c>
      <c r="V7205" t="str">
        <f t="shared" si="1141"/>
        <v/>
      </c>
      <c r="W7205" t="str">
        <f t="shared" si="1142"/>
        <v/>
      </c>
      <c r="X7205">
        <f t="shared" si="1132"/>
        <v>0</v>
      </c>
      <c r="Z7205" t="str">
        <f t="shared" si="1143"/>
        <v/>
      </c>
      <c r="AA7205">
        <f t="shared" si="1133"/>
        <v>0</v>
      </c>
    </row>
    <row r="7206" spans="1:27" ht="21" customHeight="1" x14ac:dyDescent="0.95">
      <c r="A7206" s="56"/>
      <c r="B7206" s="57"/>
      <c r="C7206" s="57"/>
      <c r="D7206" s="57"/>
      <c r="E7206" s="56"/>
      <c r="F7206" s="57"/>
      <c r="G7206" s="57"/>
      <c r="H7206" s="56"/>
      <c r="I7206" s="56"/>
      <c r="J7206" s="58"/>
      <c r="K7206" s="58"/>
      <c r="L7206" s="13" t="str">
        <f t="shared" si="1134"/>
        <v/>
      </c>
      <c r="M7206" s="13" t="str">
        <f t="shared" si="1135"/>
        <v/>
      </c>
      <c r="Q7206" t="str">
        <f t="shared" si="1136"/>
        <v/>
      </c>
      <c r="R7206" t="str">
        <f t="shared" si="1137"/>
        <v/>
      </c>
      <c r="S7206" t="str">
        <f t="shared" si="1138"/>
        <v/>
      </c>
      <c r="T7206" t="str">
        <f t="shared" si="1139"/>
        <v/>
      </c>
      <c r="U7206" t="str">
        <f t="shared" si="1140"/>
        <v/>
      </c>
      <c r="V7206" t="str">
        <f t="shared" si="1141"/>
        <v/>
      </c>
      <c r="W7206" t="str">
        <f t="shared" si="1142"/>
        <v/>
      </c>
      <c r="X7206">
        <f t="shared" si="1132"/>
        <v>0</v>
      </c>
      <c r="Z7206" t="str">
        <f t="shared" si="1143"/>
        <v/>
      </c>
      <c r="AA7206">
        <f t="shared" si="1133"/>
        <v>0</v>
      </c>
    </row>
    <row r="7207" spans="1:27" ht="21" customHeight="1" x14ac:dyDescent="0.95">
      <c r="A7207" s="56"/>
      <c r="B7207" s="57"/>
      <c r="C7207" s="57"/>
      <c r="D7207" s="57"/>
      <c r="E7207" s="56"/>
      <c r="F7207" s="57"/>
      <c r="G7207" s="57"/>
      <c r="H7207" s="56"/>
      <c r="I7207" s="56"/>
      <c r="J7207" s="58"/>
      <c r="K7207" s="58"/>
      <c r="L7207" s="13" t="str">
        <f t="shared" si="1134"/>
        <v/>
      </c>
      <c r="M7207" s="13" t="str">
        <f t="shared" si="1135"/>
        <v/>
      </c>
      <c r="Q7207" t="str">
        <f t="shared" si="1136"/>
        <v/>
      </c>
      <c r="R7207" t="str">
        <f t="shared" si="1137"/>
        <v/>
      </c>
      <c r="S7207" t="str">
        <f t="shared" si="1138"/>
        <v/>
      </c>
      <c r="T7207" t="str">
        <f t="shared" si="1139"/>
        <v/>
      </c>
      <c r="U7207" t="str">
        <f t="shared" si="1140"/>
        <v/>
      </c>
      <c r="V7207" t="str">
        <f t="shared" si="1141"/>
        <v/>
      </c>
      <c r="W7207" t="str">
        <f t="shared" si="1142"/>
        <v/>
      </c>
      <c r="X7207">
        <f t="shared" si="1132"/>
        <v>0</v>
      </c>
      <c r="Z7207" t="str">
        <f t="shared" si="1143"/>
        <v/>
      </c>
      <c r="AA7207">
        <f t="shared" si="1133"/>
        <v>0</v>
      </c>
    </row>
    <row r="7208" spans="1:27" ht="21" customHeight="1" x14ac:dyDescent="0.95">
      <c r="A7208" s="56"/>
      <c r="B7208" s="57"/>
      <c r="C7208" s="57"/>
      <c r="D7208" s="57"/>
      <c r="E7208" s="56"/>
      <c r="F7208" s="57"/>
      <c r="G7208" s="57"/>
      <c r="H7208" s="56"/>
      <c r="I7208" s="56"/>
      <c r="J7208" s="58"/>
      <c r="K7208" s="58"/>
      <c r="L7208" s="13" t="str">
        <f t="shared" si="1134"/>
        <v/>
      </c>
      <c r="M7208" s="13" t="str">
        <f t="shared" si="1135"/>
        <v/>
      </c>
      <c r="Q7208" t="str">
        <f t="shared" si="1136"/>
        <v/>
      </c>
      <c r="R7208" t="str">
        <f t="shared" si="1137"/>
        <v/>
      </c>
      <c r="S7208" t="str">
        <f t="shared" si="1138"/>
        <v/>
      </c>
      <c r="T7208" t="str">
        <f t="shared" si="1139"/>
        <v/>
      </c>
      <c r="U7208" t="str">
        <f t="shared" si="1140"/>
        <v/>
      </c>
      <c r="V7208" t="str">
        <f t="shared" si="1141"/>
        <v/>
      </c>
      <c r="W7208" t="str">
        <f t="shared" si="1142"/>
        <v/>
      </c>
      <c r="X7208">
        <f t="shared" si="1132"/>
        <v>0</v>
      </c>
      <c r="Z7208" t="str">
        <f t="shared" si="1143"/>
        <v/>
      </c>
      <c r="AA7208">
        <f t="shared" si="1133"/>
        <v>0</v>
      </c>
    </row>
    <row r="7209" spans="1:27" ht="21" customHeight="1" x14ac:dyDescent="0.95">
      <c r="A7209" s="56"/>
      <c r="B7209" s="57"/>
      <c r="C7209" s="57"/>
      <c r="D7209" s="57"/>
      <c r="E7209" s="56"/>
      <c r="F7209" s="57"/>
      <c r="G7209" s="57"/>
      <c r="H7209" s="56"/>
      <c r="I7209" s="56"/>
      <c r="J7209" s="58"/>
      <c r="K7209" s="58"/>
      <c r="L7209" s="13" t="str">
        <f t="shared" si="1134"/>
        <v/>
      </c>
      <c r="M7209" s="13" t="str">
        <f t="shared" si="1135"/>
        <v/>
      </c>
      <c r="Q7209" t="str">
        <f t="shared" si="1136"/>
        <v/>
      </c>
      <c r="R7209" t="str">
        <f t="shared" si="1137"/>
        <v/>
      </c>
      <c r="S7209" t="str">
        <f t="shared" si="1138"/>
        <v/>
      </c>
      <c r="T7209" t="str">
        <f t="shared" si="1139"/>
        <v/>
      </c>
      <c r="U7209" t="str">
        <f t="shared" si="1140"/>
        <v/>
      </c>
      <c r="V7209" t="str">
        <f t="shared" si="1141"/>
        <v/>
      </c>
      <c r="W7209" t="str">
        <f t="shared" si="1142"/>
        <v/>
      </c>
      <c r="X7209">
        <f t="shared" si="1132"/>
        <v>0</v>
      </c>
      <c r="Z7209" t="str">
        <f t="shared" si="1143"/>
        <v/>
      </c>
      <c r="AA7209">
        <f t="shared" si="1133"/>
        <v>0</v>
      </c>
    </row>
    <row r="7210" spans="1:27" ht="21" customHeight="1" x14ac:dyDescent="0.95">
      <c r="A7210" s="56"/>
      <c r="B7210" s="57"/>
      <c r="C7210" s="57"/>
      <c r="D7210" s="57"/>
      <c r="E7210" s="56"/>
      <c r="F7210" s="57"/>
      <c r="G7210" s="57"/>
      <c r="H7210" s="56"/>
      <c r="I7210" s="56"/>
      <c r="J7210" s="58"/>
      <c r="K7210" s="58"/>
      <c r="L7210" s="13" t="str">
        <f t="shared" si="1134"/>
        <v/>
      </c>
      <c r="M7210" s="13" t="str">
        <f t="shared" si="1135"/>
        <v/>
      </c>
      <c r="Q7210" t="str">
        <f t="shared" si="1136"/>
        <v/>
      </c>
      <c r="R7210" t="str">
        <f t="shared" si="1137"/>
        <v/>
      </c>
      <c r="S7210" t="str">
        <f t="shared" si="1138"/>
        <v/>
      </c>
      <c r="T7210" t="str">
        <f t="shared" si="1139"/>
        <v/>
      </c>
      <c r="U7210" t="str">
        <f t="shared" si="1140"/>
        <v/>
      </c>
      <c r="V7210" t="str">
        <f t="shared" si="1141"/>
        <v/>
      </c>
      <c r="W7210" t="str">
        <f t="shared" si="1142"/>
        <v/>
      </c>
      <c r="X7210">
        <f t="shared" si="1132"/>
        <v>0</v>
      </c>
      <c r="Z7210" t="str">
        <f t="shared" si="1143"/>
        <v/>
      </c>
      <c r="AA7210">
        <f t="shared" si="1133"/>
        <v>0</v>
      </c>
    </row>
    <row r="7211" spans="1:27" ht="21" customHeight="1" x14ac:dyDescent="0.95">
      <c r="A7211" s="56"/>
      <c r="B7211" s="57"/>
      <c r="C7211" s="57"/>
      <c r="D7211" s="57"/>
      <c r="E7211" s="56"/>
      <c r="F7211" s="57"/>
      <c r="G7211" s="57"/>
      <c r="H7211" s="56"/>
      <c r="I7211" s="56"/>
      <c r="J7211" s="58"/>
      <c r="K7211" s="58"/>
      <c r="L7211" s="13" t="str">
        <f t="shared" si="1134"/>
        <v/>
      </c>
      <c r="M7211" s="13" t="str">
        <f t="shared" si="1135"/>
        <v/>
      </c>
      <c r="Q7211" t="str">
        <f t="shared" si="1136"/>
        <v/>
      </c>
      <c r="R7211" t="str">
        <f t="shared" si="1137"/>
        <v/>
      </c>
      <c r="S7211" t="str">
        <f t="shared" si="1138"/>
        <v/>
      </c>
      <c r="T7211" t="str">
        <f t="shared" si="1139"/>
        <v/>
      </c>
      <c r="U7211" t="str">
        <f t="shared" si="1140"/>
        <v/>
      </c>
      <c r="V7211" t="str">
        <f t="shared" si="1141"/>
        <v/>
      </c>
      <c r="W7211" t="str">
        <f t="shared" si="1142"/>
        <v/>
      </c>
      <c r="X7211">
        <f t="shared" si="1132"/>
        <v>0</v>
      </c>
      <c r="Z7211" t="str">
        <f t="shared" si="1143"/>
        <v/>
      </c>
      <c r="AA7211">
        <f t="shared" si="1133"/>
        <v>0</v>
      </c>
    </row>
    <row r="7212" spans="1:27" ht="21" customHeight="1" x14ac:dyDescent="0.95">
      <c r="A7212" s="56"/>
      <c r="B7212" s="57"/>
      <c r="C7212" s="57"/>
      <c r="D7212" s="57"/>
      <c r="E7212" s="56"/>
      <c r="F7212" s="57"/>
      <c r="G7212" s="57"/>
      <c r="H7212" s="56"/>
      <c r="I7212" s="56"/>
      <c r="J7212" s="58"/>
      <c r="K7212" s="58"/>
      <c r="L7212" s="13" t="str">
        <f t="shared" si="1134"/>
        <v/>
      </c>
      <c r="M7212" s="13" t="str">
        <f t="shared" si="1135"/>
        <v/>
      </c>
      <c r="Q7212" t="str">
        <f t="shared" si="1136"/>
        <v/>
      </c>
      <c r="R7212" t="str">
        <f t="shared" si="1137"/>
        <v/>
      </c>
      <c r="S7212" t="str">
        <f t="shared" si="1138"/>
        <v/>
      </c>
      <c r="T7212" t="str">
        <f t="shared" si="1139"/>
        <v/>
      </c>
      <c r="U7212" t="str">
        <f t="shared" si="1140"/>
        <v/>
      </c>
      <c r="V7212" t="str">
        <f t="shared" si="1141"/>
        <v/>
      </c>
      <c r="W7212" t="str">
        <f t="shared" si="1142"/>
        <v/>
      </c>
      <c r="X7212">
        <f t="shared" si="1132"/>
        <v>0</v>
      </c>
      <c r="Z7212" t="str">
        <f t="shared" si="1143"/>
        <v/>
      </c>
      <c r="AA7212">
        <f t="shared" si="1133"/>
        <v>0</v>
      </c>
    </row>
    <row r="7213" spans="1:27" ht="21" customHeight="1" x14ac:dyDescent="0.95">
      <c r="A7213" s="56"/>
      <c r="B7213" s="57"/>
      <c r="C7213" s="57"/>
      <c r="D7213" s="57"/>
      <c r="E7213" s="56"/>
      <c r="F7213" s="57"/>
      <c r="G7213" s="57"/>
      <c r="H7213" s="56"/>
      <c r="I7213" s="56"/>
      <c r="J7213" s="58"/>
      <c r="K7213" s="58"/>
      <c r="L7213" s="13" t="str">
        <f t="shared" si="1134"/>
        <v/>
      </c>
      <c r="M7213" s="13" t="str">
        <f t="shared" si="1135"/>
        <v/>
      </c>
      <c r="Q7213" t="str">
        <f t="shared" si="1136"/>
        <v/>
      </c>
      <c r="R7213" t="str">
        <f t="shared" si="1137"/>
        <v/>
      </c>
      <c r="S7213" t="str">
        <f t="shared" si="1138"/>
        <v/>
      </c>
      <c r="T7213" t="str">
        <f t="shared" si="1139"/>
        <v/>
      </c>
      <c r="U7213" t="str">
        <f t="shared" si="1140"/>
        <v/>
      </c>
      <c r="V7213" t="str">
        <f t="shared" si="1141"/>
        <v/>
      </c>
      <c r="W7213" t="str">
        <f t="shared" si="1142"/>
        <v/>
      </c>
      <c r="X7213">
        <f t="shared" si="1132"/>
        <v>0</v>
      </c>
      <c r="Z7213" t="str">
        <f t="shared" si="1143"/>
        <v/>
      </c>
      <c r="AA7213">
        <f t="shared" si="1133"/>
        <v>0</v>
      </c>
    </row>
    <row r="7214" spans="1:27" ht="21" customHeight="1" x14ac:dyDescent="0.95">
      <c r="A7214" s="56"/>
      <c r="B7214" s="57"/>
      <c r="C7214" s="57"/>
      <c r="D7214" s="57"/>
      <c r="E7214" s="56"/>
      <c r="F7214" s="57"/>
      <c r="G7214" s="57"/>
      <c r="H7214" s="56"/>
      <c r="I7214" s="56"/>
      <c r="J7214" s="58"/>
      <c r="K7214" s="58"/>
      <c r="L7214" s="13" t="str">
        <f t="shared" si="1134"/>
        <v/>
      </c>
      <c r="M7214" s="13" t="str">
        <f t="shared" si="1135"/>
        <v/>
      </c>
      <c r="Q7214" t="str">
        <f t="shared" si="1136"/>
        <v/>
      </c>
      <c r="R7214" t="str">
        <f t="shared" si="1137"/>
        <v/>
      </c>
      <c r="S7214" t="str">
        <f t="shared" si="1138"/>
        <v/>
      </c>
      <c r="T7214" t="str">
        <f t="shared" si="1139"/>
        <v/>
      </c>
      <c r="U7214" t="str">
        <f t="shared" si="1140"/>
        <v/>
      </c>
      <c r="V7214" t="str">
        <f t="shared" si="1141"/>
        <v/>
      </c>
      <c r="W7214" t="str">
        <f t="shared" si="1142"/>
        <v/>
      </c>
      <c r="X7214">
        <f t="shared" si="1132"/>
        <v>0</v>
      </c>
      <c r="Z7214" t="str">
        <f t="shared" si="1143"/>
        <v/>
      </c>
      <c r="AA7214">
        <f t="shared" si="1133"/>
        <v>0</v>
      </c>
    </row>
    <row r="7215" spans="1:27" ht="21" customHeight="1" x14ac:dyDescent="0.95">
      <c r="A7215" s="56"/>
      <c r="B7215" s="57"/>
      <c r="C7215" s="57"/>
      <c r="D7215" s="57"/>
      <c r="E7215" s="56"/>
      <c r="F7215" s="57"/>
      <c r="G7215" s="57"/>
      <c r="H7215" s="56"/>
      <c r="I7215" s="56"/>
      <c r="J7215" s="58"/>
      <c r="K7215" s="58"/>
      <c r="L7215" s="13" t="str">
        <f t="shared" si="1134"/>
        <v/>
      </c>
      <c r="M7215" s="13" t="str">
        <f t="shared" si="1135"/>
        <v/>
      </c>
      <c r="Q7215" t="str">
        <f t="shared" si="1136"/>
        <v/>
      </c>
      <c r="R7215" t="str">
        <f t="shared" si="1137"/>
        <v/>
      </c>
      <c r="S7215" t="str">
        <f t="shared" si="1138"/>
        <v/>
      </c>
      <c r="T7215" t="str">
        <f t="shared" si="1139"/>
        <v/>
      </c>
      <c r="U7215" t="str">
        <f t="shared" si="1140"/>
        <v/>
      </c>
      <c r="V7215" t="str">
        <f t="shared" si="1141"/>
        <v/>
      </c>
      <c r="W7215" t="str">
        <f t="shared" si="1142"/>
        <v/>
      </c>
      <c r="X7215">
        <f t="shared" si="1132"/>
        <v>0</v>
      </c>
      <c r="Z7215" t="str">
        <f t="shared" si="1143"/>
        <v/>
      </c>
      <c r="AA7215">
        <f t="shared" si="1133"/>
        <v>0</v>
      </c>
    </row>
    <row r="7216" spans="1:27" ht="21" customHeight="1" x14ac:dyDescent="0.95">
      <c r="A7216" s="56"/>
      <c r="B7216" s="57"/>
      <c r="C7216" s="57"/>
      <c r="D7216" s="57"/>
      <c r="E7216" s="56"/>
      <c r="F7216" s="57"/>
      <c r="G7216" s="57"/>
      <c r="H7216" s="56"/>
      <c r="I7216" s="56"/>
      <c r="J7216" s="58"/>
      <c r="K7216" s="58"/>
      <c r="L7216" s="13" t="str">
        <f t="shared" si="1134"/>
        <v/>
      </c>
      <c r="M7216" s="13" t="str">
        <f t="shared" si="1135"/>
        <v/>
      </c>
      <c r="Q7216" t="str">
        <f t="shared" si="1136"/>
        <v/>
      </c>
      <c r="R7216" t="str">
        <f t="shared" si="1137"/>
        <v/>
      </c>
      <c r="S7216" t="str">
        <f t="shared" si="1138"/>
        <v/>
      </c>
      <c r="T7216" t="str">
        <f t="shared" si="1139"/>
        <v/>
      </c>
      <c r="U7216" t="str">
        <f t="shared" si="1140"/>
        <v/>
      </c>
      <c r="V7216" t="str">
        <f t="shared" si="1141"/>
        <v/>
      </c>
      <c r="W7216" t="str">
        <f t="shared" si="1142"/>
        <v/>
      </c>
      <c r="X7216">
        <f t="shared" si="1132"/>
        <v>0</v>
      </c>
      <c r="Z7216" t="str">
        <f t="shared" si="1143"/>
        <v/>
      </c>
      <c r="AA7216">
        <f t="shared" si="1133"/>
        <v>0</v>
      </c>
    </row>
    <row r="7217" spans="1:27" ht="21" customHeight="1" x14ac:dyDescent="0.95">
      <c r="A7217" s="56"/>
      <c r="B7217" s="57"/>
      <c r="C7217" s="57"/>
      <c r="D7217" s="57"/>
      <c r="E7217" s="56"/>
      <c r="F7217" s="57"/>
      <c r="G7217" s="57"/>
      <c r="H7217" s="56"/>
      <c r="I7217" s="56"/>
      <c r="J7217" s="58"/>
      <c r="K7217" s="58"/>
      <c r="L7217" s="13" t="str">
        <f t="shared" si="1134"/>
        <v/>
      </c>
      <c r="M7217" s="13" t="str">
        <f t="shared" si="1135"/>
        <v/>
      </c>
      <c r="Q7217" t="str">
        <f t="shared" si="1136"/>
        <v/>
      </c>
      <c r="R7217" t="str">
        <f t="shared" si="1137"/>
        <v/>
      </c>
      <c r="S7217" t="str">
        <f t="shared" si="1138"/>
        <v/>
      </c>
      <c r="T7217" t="str">
        <f t="shared" si="1139"/>
        <v/>
      </c>
      <c r="U7217" t="str">
        <f t="shared" si="1140"/>
        <v/>
      </c>
      <c r="V7217" t="str">
        <f t="shared" si="1141"/>
        <v/>
      </c>
      <c r="W7217" t="str">
        <f t="shared" si="1142"/>
        <v/>
      </c>
      <c r="X7217">
        <f t="shared" si="1132"/>
        <v>0</v>
      </c>
      <c r="Z7217" t="str">
        <f t="shared" si="1143"/>
        <v/>
      </c>
      <c r="AA7217">
        <f t="shared" si="1133"/>
        <v>0</v>
      </c>
    </row>
    <row r="7218" spans="1:27" ht="21" customHeight="1" x14ac:dyDescent="0.95">
      <c r="A7218" s="56"/>
      <c r="B7218" s="57"/>
      <c r="C7218" s="57"/>
      <c r="D7218" s="57"/>
      <c r="E7218" s="56"/>
      <c r="F7218" s="57"/>
      <c r="G7218" s="57"/>
      <c r="H7218" s="56"/>
      <c r="I7218" s="56"/>
      <c r="J7218" s="58"/>
      <c r="K7218" s="58"/>
      <c r="L7218" s="13" t="str">
        <f t="shared" si="1134"/>
        <v/>
      </c>
      <c r="M7218" s="13" t="str">
        <f t="shared" si="1135"/>
        <v/>
      </c>
      <c r="Q7218" t="str">
        <f t="shared" si="1136"/>
        <v/>
      </c>
      <c r="R7218" t="str">
        <f t="shared" si="1137"/>
        <v/>
      </c>
      <c r="S7218" t="str">
        <f t="shared" si="1138"/>
        <v/>
      </c>
      <c r="T7218" t="str">
        <f t="shared" si="1139"/>
        <v/>
      </c>
      <c r="U7218" t="str">
        <f t="shared" si="1140"/>
        <v/>
      </c>
      <c r="V7218" t="str">
        <f t="shared" si="1141"/>
        <v/>
      </c>
      <c r="W7218" t="str">
        <f t="shared" si="1142"/>
        <v/>
      </c>
      <c r="X7218">
        <f t="shared" si="1132"/>
        <v>0</v>
      </c>
      <c r="Z7218" t="str">
        <f t="shared" si="1143"/>
        <v/>
      </c>
      <c r="AA7218">
        <f t="shared" si="1133"/>
        <v>0</v>
      </c>
    </row>
    <row r="7219" spans="1:27" ht="21" customHeight="1" x14ac:dyDescent="0.95">
      <c r="A7219" s="56"/>
      <c r="B7219" s="57"/>
      <c r="C7219" s="57"/>
      <c r="D7219" s="57"/>
      <c r="E7219" s="56"/>
      <c r="F7219" s="57"/>
      <c r="G7219" s="57"/>
      <c r="H7219" s="56"/>
      <c r="I7219" s="56"/>
      <c r="J7219" s="58"/>
      <c r="K7219" s="58"/>
      <c r="L7219" s="13" t="str">
        <f t="shared" si="1134"/>
        <v/>
      </c>
      <c r="M7219" s="13" t="str">
        <f t="shared" si="1135"/>
        <v/>
      </c>
      <c r="Q7219" t="str">
        <f t="shared" si="1136"/>
        <v/>
      </c>
      <c r="R7219" t="str">
        <f t="shared" si="1137"/>
        <v/>
      </c>
      <c r="S7219" t="str">
        <f t="shared" si="1138"/>
        <v/>
      </c>
      <c r="T7219" t="str">
        <f t="shared" si="1139"/>
        <v/>
      </c>
      <c r="U7219" t="str">
        <f t="shared" si="1140"/>
        <v/>
      </c>
      <c r="V7219" t="str">
        <f t="shared" si="1141"/>
        <v/>
      </c>
      <c r="W7219" t="str">
        <f t="shared" si="1142"/>
        <v/>
      </c>
      <c r="X7219">
        <f t="shared" si="1132"/>
        <v>0</v>
      </c>
      <c r="Z7219" t="str">
        <f t="shared" si="1143"/>
        <v/>
      </c>
      <c r="AA7219">
        <f t="shared" si="1133"/>
        <v>0</v>
      </c>
    </row>
    <row r="7220" spans="1:27" ht="21" customHeight="1" x14ac:dyDescent="0.95">
      <c r="A7220" s="56"/>
      <c r="B7220" s="57"/>
      <c r="C7220" s="57"/>
      <c r="D7220" s="57"/>
      <c r="E7220" s="56"/>
      <c r="F7220" s="57"/>
      <c r="G7220" s="57"/>
      <c r="H7220" s="56"/>
      <c r="I7220" s="56"/>
      <c r="J7220" s="58"/>
      <c r="K7220" s="58"/>
      <c r="L7220" s="13" t="str">
        <f t="shared" si="1134"/>
        <v/>
      </c>
      <c r="M7220" s="13" t="str">
        <f t="shared" si="1135"/>
        <v/>
      </c>
      <c r="Q7220" t="str">
        <f t="shared" si="1136"/>
        <v/>
      </c>
      <c r="R7220" t="str">
        <f t="shared" si="1137"/>
        <v/>
      </c>
      <c r="S7220" t="str">
        <f t="shared" si="1138"/>
        <v/>
      </c>
      <c r="T7220" t="str">
        <f t="shared" si="1139"/>
        <v/>
      </c>
      <c r="U7220" t="str">
        <f t="shared" si="1140"/>
        <v/>
      </c>
      <c r="V7220" t="str">
        <f t="shared" si="1141"/>
        <v/>
      </c>
      <c r="W7220" t="str">
        <f t="shared" si="1142"/>
        <v/>
      </c>
      <c r="X7220">
        <f t="shared" si="1132"/>
        <v>0</v>
      </c>
      <c r="Z7220" t="str">
        <f t="shared" si="1143"/>
        <v/>
      </c>
      <c r="AA7220">
        <f t="shared" si="1133"/>
        <v>0</v>
      </c>
    </row>
    <row r="7221" spans="1:27" ht="21" customHeight="1" x14ac:dyDescent="0.95">
      <c r="A7221" s="56"/>
      <c r="B7221" s="57"/>
      <c r="C7221" s="57"/>
      <c r="D7221" s="57"/>
      <c r="E7221" s="56"/>
      <c r="F7221" s="57"/>
      <c r="G7221" s="57"/>
      <c r="H7221" s="56"/>
      <c r="I7221" s="56"/>
      <c r="J7221" s="58"/>
      <c r="K7221" s="58"/>
      <c r="L7221" s="13" t="str">
        <f t="shared" si="1134"/>
        <v/>
      </c>
      <c r="M7221" s="13" t="str">
        <f t="shared" si="1135"/>
        <v/>
      </c>
      <c r="Q7221" t="str">
        <f t="shared" si="1136"/>
        <v/>
      </c>
      <c r="R7221" t="str">
        <f t="shared" si="1137"/>
        <v/>
      </c>
      <c r="S7221" t="str">
        <f t="shared" si="1138"/>
        <v/>
      </c>
      <c r="T7221" t="str">
        <f t="shared" si="1139"/>
        <v/>
      </c>
      <c r="U7221" t="str">
        <f t="shared" si="1140"/>
        <v/>
      </c>
      <c r="V7221" t="str">
        <f t="shared" si="1141"/>
        <v/>
      </c>
      <c r="W7221" t="str">
        <f t="shared" si="1142"/>
        <v/>
      </c>
      <c r="X7221">
        <f t="shared" ref="X7221:X7284" si="1144">IF($T7221="",N($X7220),IF(MATCH($T7221,$T$6:$T$10005,0)=ROW()-5,N($X7220)+1,N($X7220)))</f>
        <v>0</v>
      </c>
      <c r="Z7221" t="str">
        <f t="shared" si="1143"/>
        <v/>
      </c>
      <c r="AA7221">
        <f t="shared" ref="AA7221:AA7284" si="1145">IF($V7221="",N($AA7220),IF(MATCH($V7221,$V$6:$V$10005,0)=ROW()-5,N($AA7220)+1,N($AA7220)))</f>
        <v>0</v>
      </c>
    </row>
    <row r="7222" spans="1:27" ht="21" customHeight="1" x14ac:dyDescent="0.95">
      <c r="A7222" s="56"/>
      <c r="B7222" s="57"/>
      <c r="C7222" s="57"/>
      <c r="D7222" s="57"/>
      <c r="E7222" s="56"/>
      <c r="F7222" s="57"/>
      <c r="G7222" s="57"/>
      <c r="H7222" s="56"/>
      <c r="I7222" s="56"/>
      <c r="J7222" s="58"/>
      <c r="K7222" s="58"/>
      <c r="L7222" s="13" t="str">
        <f t="shared" si="1134"/>
        <v/>
      </c>
      <c r="M7222" s="13" t="str">
        <f t="shared" si="1135"/>
        <v/>
      </c>
      <c r="Q7222" t="str">
        <f t="shared" si="1136"/>
        <v/>
      </c>
      <c r="R7222" t="str">
        <f t="shared" si="1137"/>
        <v/>
      </c>
      <c r="S7222" t="str">
        <f t="shared" si="1138"/>
        <v/>
      </c>
      <c r="T7222" t="str">
        <f t="shared" si="1139"/>
        <v/>
      </c>
      <c r="U7222" t="str">
        <f t="shared" si="1140"/>
        <v/>
      </c>
      <c r="V7222" t="str">
        <f t="shared" si="1141"/>
        <v/>
      </c>
      <c r="W7222" t="str">
        <f t="shared" si="1142"/>
        <v/>
      </c>
      <c r="X7222">
        <f t="shared" si="1144"/>
        <v>0</v>
      </c>
      <c r="Z7222" t="str">
        <f t="shared" si="1143"/>
        <v/>
      </c>
      <c r="AA7222">
        <f t="shared" si="1145"/>
        <v>0</v>
      </c>
    </row>
    <row r="7223" spans="1:27" ht="21" customHeight="1" x14ac:dyDescent="0.95">
      <c r="A7223" s="56"/>
      <c r="B7223" s="57"/>
      <c r="C7223" s="57"/>
      <c r="D7223" s="57"/>
      <c r="E7223" s="56"/>
      <c r="F7223" s="57"/>
      <c r="G7223" s="57"/>
      <c r="H7223" s="56"/>
      <c r="I7223" s="56"/>
      <c r="J7223" s="58"/>
      <c r="K7223" s="58"/>
      <c r="L7223" s="13" t="str">
        <f t="shared" si="1134"/>
        <v/>
      </c>
      <c r="M7223" s="13" t="str">
        <f t="shared" si="1135"/>
        <v/>
      </c>
      <c r="Q7223" t="str">
        <f t="shared" si="1136"/>
        <v/>
      </c>
      <c r="R7223" t="str">
        <f t="shared" si="1137"/>
        <v/>
      </c>
      <c r="S7223" t="str">
        <f t="shared" si="1138"/>
        <v/>
      </c>
      <c r="T7223" t="str">
        <f t="shared" si="1139"/>
        <v/>
      </c>
      <c r="U7223" t="str">
        <f t="shared" si="1140"/>
        <v/>
      </c>
      <c r="V7223" t="str">
        <f t="shared" si="1141"/>
        <v/>
      </c>
      <c r="W7223" t="str">
        <f t="shared" si="1142"/>
        <v/>
      </c>
      <c r="X7223">
        <f t="shared" si="1144"/>
        <v>0</v>
      </c>
      <c r="Z7223" t="str">
        <f t="shared" si="1143"/>
        <v/>
      </c>
      <c r="AA7223">
        <f t="shared" si="1145"/>
        <v>0</v>
      </c>
    </row>
    <row r="7224" spans="1:27" ht="21" customHeight="1" x14ac:dyDescent="0.95">
      <c r="A7224" s="56"/>
      <c r="B7224" s="57"/>
      <c r="C7224" s="57"/>
      <c r="D7224" s="57"/>
      <c r="E7224" s="56"/>
      <c r="F7224" s="57"/>
      <c r="G7224" s="57"/>
      <c r="H7224" s="56"/>
      <c r="I7224" s="56"/>
      <c r="J7224" s="58"/>
      <c r="K7224" s="58"/>
      <c r="L7224" s="13" t="str">
        <f t="shared" si="1134"/>
        <v/>
      </c>
      <c r="M7224" s="13" t="str">
        <f t="shared" si="1135"/>
        <v/>
      </c>
      <c r="Q7224" t="str">
        <f t="shared" si="1136"/>
        <v/>
      </c>
      <c r="R7224" t="str">
        <f t="shared" si="1137"/>
        <v/>
      </c>
      <c r="S7224" t="str">
        <f t="shared" si="1138"/>
        <v/>
      </c>
      <c r="T7224" t="str">
        <f t="shared" si="1139"/>
        <v/>
      </c>
      <c r="U7224" t="str">
        <f t="shared" si="1140"/>
        <v/>
      </c>
      <c r="V7224" t="str">
        <f t="shared" si="1141"/>
        <v/>
      </c>
      <c r="W7224" t="str">
        <f t="shared" si="1142"/>
        <v/>
      </c>
      <c r="X7224">
        <f t="shared" si="1144"/>
        <v>0</v>
      </c>
      <c r="Z7224" t="str">
        <f t="shared" si="1143"/>
        <v/>
      </c>
      <c r="AA7224">
        <f t="shared" si="1145"/>
        <v>0</v>
      </c>
    </row>
    <row r="7225" spans="1:27" ht="21" customHeight="1" x14ac:dyDescent="0.95">
      <c r="A7225" s="56"/>
      <c r="B7225" s="57"/>
      <c r="C7225" s="57"/>
      <c r="D7225" s="57"/>
      <c r="E7225" s="56"/>
      <c r="F7225" s="57"/>
      <c r="G7225" s="57"/>
      <c r="H7225" s="56"/>
      <c r="I7225" s="56"/>
      <c r="J7225" s="58"/>
      <c r="K7225" s="58"/>
      <c r="L7225" s="13" t="str">
        <f t="shared" si="1134"/>
        <v/>
      </c>
      <c r="M7225" s="13" t="str">
        <f t="shared" si="1135"/>
        <v/>
      </c>
      <c r="Q7225" t="str">
        <f t="shared" si="1136"/>
        <v/>
      </c>
      <c r="R7225" t="str">
        <f t="shared" si="1137"/>
        <v/>
      </c>
      <c r="S7225" t="str">
        <f t="shared" si="1138"/>
        <v/>
      </c>
      <c r="T7225" t="str">
        <f t="shared" si="1139"/>
        <v/>
      </c>
      <c r="U7225" t="str">
        <f t="shared" si="1140"/>
        <v/>
      </c>
      <c r="V7225" t="str">
        <f t="shared" si="1141"/>
        <v/>
      </c>
      <c r="W7225" t="str">
        <f t="shared" si="1142"/>
        <v/>
      </c>
      <c r="X7225">
        <f t="shared" si="1144"/>
        <v>0</v>
      </c>
      <c r="Z7225" t="str">
        <f t="shared" si="1143"/>
        <v/>
      </c>
      <c r="AA7225">
        <f t="shared" si="1145"/>
        <v>0</v>
      </c>
    </row>
    <row r="7226" spans="1:27" ht="21" customHeight="1" x14ac:dyDescent="0.95">
      <c r="A7226" s="56"/>
      <c r="B7226" s="57"/>
      <c r="C7226" s="57"/>
      <c r="D7226" s="57"/>
      <c r="E7226" s="56"/>
      <c r="F7226" s="57"/>
      <c r="G7226" s="57"/>
      <c r="H7226" s="56"/>
      <c r="I7226" s="56"/>
      <c r="J7226" s="58"/>
      <c r="K7226" s="58"/>
      <c r="L7226" s="13" t="str">
        <f t="shared" si="1134"/>
        <v/>
      </c>
      <c r="M7226" s="13" t="str">
        <f t="shared" si="1135"/>
        <v/>
      </c>
      <c r="Q7226" t="str">
        <f t="shared" si="1136"/>
        <v/>
      </c>
      <c r="R7226" t="str">
        <f t="shared" si="1137"/>
        <v/>
      </c>
      <c r="S7226" t="str">
        <f t="shared" si="1138"/>
        <v/>
      </c>
      <c r="T7226" t="str">
        <f t="shared" si="1139"/>
        <v/>
      </c>
      <c r="U7226" t="str">
        <f t="shared" si="1140"/>
        <v/>
      </c>
      <c r="V7226" t="str">
        <f t="shared" si="1141"/>
        <v/>
      </c>
      <c r="W7226" t="str">
        <f t="shared" si="1142"/>
        <v/>
      </c>
      <c r="X7226">
        <f t="shared" si="1144"/>
        <v>0</v>
      </c>
      <c r="Z7226" t="str">
        <f t="shared" si="1143"/>
        <v/>
      </c>
      <c r="AA7226">
        <f t="shared" si="1145"/>
        <v>0</v>
      </c>
    </row>
    <row r="7227" spans="1:27" ht="21" customHeight="1" x14ac:dyDescent="0.95">
      <c r="A7227" s="56"/>
      <c r="B7227" s="57"/>
      <c r="C7227" s="57"/>
      <c r="D7227" s="57"/>
      <c r="E7227" s="56"/>
      <c r="F7227" s="57"/>
      <c r="G7227" s="57"/>
      <c r="H7227" s="56"/>
      <c r="I7227" s="56"/>
      <c r="J7227" s="58"/>
      <c r="K7227" s="58"/>
      <c r="L7227" s="13" t="str">
        <f t="shared" si="1134"/>
        <v/>
      </c>
      <c r="M7227" s="13" t="str">
        <f t="shared" si="1135"/>
        <v/>
      </c>
      <c r="Q7227" t="str">
        <f t="shared" si="1136"/>
        <v/>
      </c>
      <c r="R7227" t="str">
        <f t="shared" si="1137"/>
        <v/>
      </c>
      <c r="S7227" t="str">
        <f t="shared" si="1138"/>
        <v/>
      </c>
      <c r="T7227" t="str">
        <f t="shared" si="1139"/>
        <v/>
      </c>
      <c r="U7227" t="str">
        <f t="shared" si="1140"/>
        <v/>
      </c>
      <c r="V7227" t="str">
        <f t="shared" si="1141"/>
        <v/>
      </c>
      <c r="W7227" t="str">
        <f t="shared" si="1142"/>
        <v/>
      </c>
      <c r="X7227">
        <f t="shared" si="1144"/>
        <v>0</v>
      </c>
      <c r="Z7227" t="str">
        <f t="shared" si="1143"/>
        <v/>
      </c>
      <c r="AA7227">
        <f t="shared" si="1145"/>
        <v>0</v>
      </c>
    </row>
    <row r="7228" spans="1:27" ht="21" customHeight="1" x14ac:dyDescent="0.95">
      <c r="A7228" s="56"/>
      <c r="B7228" s="57"/>
      <c r="C7228" s="57"/>
      <c r="D7228" s="57"/>
      <c r="E7228" s="56"/>
      <c r="F7228" s="57"/>
      <c r="G7228" s="57"/>
      <c r="H7228" s="56"/>
      <c r="I7228" s="56"/>
      <c r="J7228" s="58"/>
      <c r="K7228" s="58"/>
      <c r="L7228" s="13" t="str">
        <f t="shared" si="1134"/>
        <v/>
      </c>
      <c r="M7228" s="13" t="str">
        <f t="shared" si="1135"/>
        <v/>
      </c>
      <c r="Q7228" t="str">
        <f t="shared" si="1136"/>
        <v/>
      </c>
      <c r="R7228" t="str">
        <f t="shared" si="1137"/>
        <v/>
      </c>
      <c r="S7228" t="str">
        <f t="shared" si="1138"/>
        <v/>
      </c>
      <c r="T7228" t="str">
        <f t="shared" si="1139"/>
        <v/>
      </c>
      <c r="U7228" t="str">
        <f t="shared" si="1140"/>
        <v/>
      </c>
      <c r="V7228" t="str">
        <f t="shared" si="1141"/>
        <v/>
      </c>
      <c r="W7228" t="str">
        <f t="shared" si="1142"/>
        <v/>
      </c>
      <c r="X7228">
        <f t="shared" si="1144"/>
        <v>0</v>
      </c>
      <c r="Z7228" t="str">
        <f t="shared" si="1143"/>
        <v/>
      </c>
      <c r="AA7228">
        <f t="shared" si="1145"/>
        <v>0</v>
      </c>
    </row>
    <row r="7229" spans="1:27" ht="21" customHeight="1" x14ac:dyDescent="0.95">
      <c r="A7229" s="56"/>
      <c r="B7229" s="57"/>
      <c r="C7229" s="57"/>
      <c r="D7229" s="57"/>
      <c r="E7229" s="56"/>
      <c r="F7229" s="57"/>
      <c r="G7229" s="57"/>
      <c r="H7229" s="56"/>
      <c r="I7229" s="56"/>
      <c r="J7229" s="58"/>
      <c r="K7229" s="58"/>
      <c r="L7229" s="13" t="str">
        <f t="shared" si="1134"/>
        <v/>
      </c>
      <c r="M7229" s="13" t="str">
        <f t="shared" si="1135"/>
        <v/>
      </c>
      <c r="Q7229" t="str">
        <f t="shared" si="1136"/>
        <v/>
      </c>
      <c r="R7229" t="str">
        <f t="shared" si="1137"/>
        <v/>
      </c>
      <c r="S7229" t="str">
        <f t="shared" si="1138"/>
        <v/>
      </c>
      <c r="T7229" t="str">
        <f t="shared" si="1139"/>
        <v/>
      </c>
      <c r="U7229" t="str">
        <f t="shared" si="1140"/>
        <v/>
      </c>
      <c r="V7229" t="str">
        <f t="shared" si="1141"/>
        <v/>
      </c>
      <c r="W7229" t="str">
        <f t="shared" si="1142"/>
        <v/>
      </c>
      <c r="X7229">
        <f t="shared" si="1144"/>
        <v>0</v>
      </c>
      <c r="Z7229" t="str">
        <f t="shared" si="1143"/>
        <v/>
      </c>
      <c r="AA7229">
        <f t="shared" si="1145"/>
        <v>0</v>
      </c>
    </row>
    <row r="7230" spans="1:27" ht="21" customHeight="1" x14ac:dyDescent="0.95">
      <c r="A7230" s="56"/>
      <c r="B7230" s="57"/>
      <c r="C7230" s="57"/>
      <c r="D7230" s="57"/>
      <c r="E7230" s="56"/>
      <c r="F7230" s="57"/>
      <c r="G7230" s="57"/>
      <c r="H7230" s="56"/>
      <c r="I7230" s="56"/>
      <c r="J7230" s="58"/>
      <c r="K7230" s="58"/>
      <c r="L7230" s="13" t="str">
        <f t="shared" si="1134"/>
        <v/>
      </c>
      <c r="M7230" s="13" t="str">
        <f t="shared" si="1135"/>
        <v/>
      </c>
      <c r="Q7230" t="str">
        <f t="shared" si="1136"/>
        <v/>
      </c>
      <c r="R7230" t="str">
        <f t="shared" si="1137"/>
        <v/>
      </c>
      <c r="S7230" t="str">
        <f t="shared" si="1138"/>
        <v/>
      </c>
      <c r="T7230" t="str">
        <f t="shared" si="1139"/>
        <v/>
      </c>
      <c r="U7230" t="str">
        <f t="shared" si="1140"/>
        <v/>
      </c>
      <c r="V7230" t="str">
        <f t="shared" si="1141"/>
        <v/>
      </c>
      <c r="W7230" t="str">
        <f t="shared" si="1142"/>
        <v/>
      </c>
      <c r="X7230">
        <f t="shared" si="1144"/>
        <v>0</v>
      </c>
      <c r="Z7230" t="str">
        <f t="shared" si="1143"/>
        <v/>
      </c>
      <c r="AA7230">
        <f t="shared" si="1145"/>
        <v>0</v>
      </c>
    </row>
    <row r="7231" spans="1:27" ht="21" customHeight="1" x14ac:dyDescent="0.95">
      <c r="A7231" s="56"/>
      <c r="B7231" s="57"/>
      <c r="C7231" s="57"/>
      <c r="D7231" s="57"/>
      <c r="E7231" s="56"/>
      <c r="F7231" s="57"/>
      <c r="G7231" s="57"/>
      <c r="H7231" s="56"/>
      <c r="I7231" s="56"/>
      <c r="J7231" s="58"/>
      <c r="K7231" s="58"/>
      <c r="L7231" s="13" t="str">
        <f t="shared" si="1134"/>
        <v/>
      </c>
      <c r="M7231" s="13" t="str">
        <f t="shared" si="1135"/>
        <v/>
      </c>
      <c r="Q7231" t="str">
        <f t="shared" si="1136"/>
        <v/>
      </c>
      <c r="R7231" t="str">
        <f t="shared" si="1137"/>
        <v/>
      </c>
      <c r="S7231" t="str">
        <f t="shared" si="1138"/>
        <v/>
      </c>
      <c r="T7231" t="str">
        <f t="shared" si="1139"/>
        <v/>
      </c>
      <c r="U7231" t="str">
        <f t="shared" si="1140"/>
        <v/>
      </c>
      <c r="V7231" t="str">
        <f t="shared" si="1141"/>
        <v/>
      </c>
      <c r="W7231" t="str">
        <f t="shared" si="1142"/>
        <v/>
      </c>
      <c r="X7231">
        <f t="shared" si="1144"/>
        <v>0</v>
      </c>
      <c r="Z7231" t="str">
        <f t="shared" si="1143"/>
        <v/>
      </c>
      <c r="AA7231">
        <f t="shared" si="1145"/>
        <v>0</v>
      </c>
    </row>
    <row r="7232" spans="1:27" ht="21" customHeight="1" x14ac:dyDescent="0.95">
      <c r="A7232" s="56"/>
      <c r="B7232" s="57"/>
      <c r="C7232" s="57"/>
      <c r="D7232" s="57"/>
      <c r="E7232" s="56"/>
      <c r="F7232" s="57"/>
      <c r="G7232" s="57"/>
      <c r="H7232" s="56"/>
      <c r="I7232" s="56"/>
      <c r="J7232" s="58"/>
      <c r="K7232" s="58"/>
      <c r="L7232" s="13" t="str">
        <f t="shared" si="1134"/>
        <v/>
      </c>
      <c r="M7232" s="13" t="str">
        <f t="shared" si="1135"/>
        <v/>
      </c>
      <c r="Q7232" t="str">
        <f t="shared" si="1136"/>
        <v/>
      </c>
      <c r="R7232" t="str">
        <f t="shared" si="1137"/>
        <v/>
      </c>
      <c r="S7232" t="str">
        <f t="shared" si="1138"/>
        <v/>
      </c>
      <c r="T7232" t="str">
        <f t="shared" si="1139"/>
        <v/>
      </c>
      <c r="U7232" t="str">
        <f t="shared" si="1140"/>
        <v/>
      </c>
      <c r="V7232" t="str">
        <f t="shared" si="1141"/>
        <v/>
      </c>
      <c r="W7232" t="str">
        <f t="shared" si="1142"/>
        <v/>
      </c>
      <c r="X7232">
        <f t="shared" si="1144"/>
        <v>0</v>
      </c>
      <c r="Z7232" t="str">
        <f t="shared" si="1143"/>
        <v/>
      </c>
      <c r="AA7232">
        <f t="shared" si="1145"/>
        <v>0</v>
      </c>
    </row>
    <row r="7233" spans="1:27" ht="21" customHeight="1" x14ac:dyDescent="0.95">
      <c r="A7233" s="56"/>
      <c r="B7233" s="57"/>
      <c r="C7233" s="57"/>
      <c r="D7233" s="57"/>
      <c r="E7233" s="56"/>
      <c r="F7233" s="57"/>
      <c r="G7233" s="57"/>
      <c r="H7233" s="56"/>
      <c r="I7233" s="56"/>
      <c r="J7233" s="58"/>
      <c r="K7233" s="58"/>
      <c r="L7233" s="13" t="str">
        <f t="shared" si="1134"/>
        <v/>
      </c>
      <c r="M7233" s="13" t="str">
        <f t="shared" si="1135"/>
        <v/>
      </c>
      <c r="Q7233" t="str">
        <f t="shared" si="1136"/>
        <v/>
      </c>
      <c r="R7233" t="str">
        <f t="shared" si="1137"/>
        <v/>
      </c>
      <c r="S7233" t="str">
        <f t="shared" si="1138"/>
        <v/>
      </c>
      <c r="T7233" t="str">
        <f t="shared" si="1139"/>
        <v/>
      </c>
      <c r="U7233" t="str">
        <f t="shared" si="1140"/>
        <v/>
      </c>
      <c r="V7233" t="str">
        <f t="shared" si="1141"/>
        <v/>
      </c>
      <c r="W7233" t="str">
        <f t="shared" si="1142"/>
        <v/>
      </c>
      <c r="X7233">
        <f t="shared" si="1144"/>
        <v>0</v>
      </c>
      <c r="Z7233" t="str">
        <f t="shared" si="1143"/>
        <v/>
      </c>
      <c r="AA7233">
        <f t="shared" si="1145"/>
        <v>0</v>
      </c>
    </row>
    <row r="7234" spans="1:27" ht="21" customHeight="1" x14ac:dyDescent="0.95">
      <c r="A7234" s="56"/>
      <c r="B7234" s="57"/>
      <c r="C7234" s="57"/>
      <c r="D7234" s="57"/>
      <c r="E7234" s="56"/>
      <c r="F7234" s="57"/>
      <c r="G7234" s="57"/>
      <c r="H7234" s="56"/>
      <c r="I7234" s="56"/>
      <c r="J7234" s="58"/>
      <c r="K7234" s="58"/>
      <c r="L7234" s="13" t="str">
        <f t="shared" si="1134"/>
        <v/>
      </c>
      <c r="M7234" s="13" t="str">
        <f t="shared" si="1135"/>
        <v/>
      </c>
      <c r="Q7234" t="str">
        <f t="shared" si="1136"/>
        <v/>
      </c>
      <c r="R7234" t="str">
        <f t="shared" si="1137"/>
        <v/>
      </c>
      <c r="S7234" t="str">
        <f t="shared" si="1138"/>
        <v/>
      </c>
      <c r="T7234" t="str">
        <f t="shared" si="1139"/>
        <v/>
      </c>
      <c r="U7234" t="str">
        <f t="shared" si="1140"/>
        <v/>
      </c>
      <c r="V7234" t="str">
        <f t="shared" si="1141"/>
        <v/>
      </c>
      <c r="W7234" t="str">
        <f t="shared" si="1142"/>
        <v/>
      </c>
      <c r="X7234">
        <f t="shared" si="1144"/>
        <v>0</v>
      </c>
      <c r="Z7234" t="str">
        <f t="shared" si="1143"/>
        <v/>
      </c>
      <c r="AA7234">
        <f t="shared" si="1145"/>
        <v>0</v>
      </c>
    </row>
    <row r="7235" spans="1:27" ht="21" customHeight="1" x14ac:dyDescent="0.95">
      <c r="A7235" s="56"/>
      <c r="B7235" s="57"/>
      <c r="C7235" s="57"/>
      <c r="D7235" s="57"/>
      <c r="E7235" s="56"/>
      <c r="F7235" s="57"/>
      <c r="G7235" s="57"/>
      <c r="H7235" s="56"/>
      <c r="I7235" s="56"/>
      <c r="J7235" s="58"/>
      <c r="K7235" s="58"/>
      <c r="L7235" s="13" t="str">
        <f t="shared" si="1134"/>
        <v/>
      </c>
      <c r="M7235" s="13" t="str">
        <f t="shared" si="1135"/>
        <v/>
      </c>
      <c r="Q7235" t="str">
        <f t="shared" si="1136"/>
        <v/>
      </c>
      <c r="R7235" t="str">
        <f t="shared" si="1137"/>
        <v/>
      </c>
      <c r="S7235" t="str">
        <f t="shared" si="1138"/>
        <v/>
      </c>
      <c r="T7235" t="str">
        <f t="shared" si="1139"/>
        <v/>
      </c>
      <c r="U7235" t="str">
        <f t="shared" si="1140"/>
        <v/>
      </c>
      <c r="V7235" t="str">
        <f t="shared" si="1141"/>
        <v/>
      </c>
      <c r="W7235" t="str">
        <f t="shared" si="1142"/>
        <v/>
      </c>
      <c r="X7235">
        <f t="shared" si="1144"/>
        <v>0</v>
      </c>
      <c r="Z7235" t="str">
        <f t="shared" si="1143"/>
        <v/>
      </c>
      <c r="AA7235">
        <f t="shared" si="1145"/>
        <v>0</v>
      </c>
    </row>
    <row r="7236" spans="1:27" ht="21" customHeight="1" x14ac:dyDescent="0.95">
      <c r="A7236" s="56"/>
      <c r="B7236" s="57"/>
      <c r="C7236" s="57"/>
      <c r="D7236" s="57"/>
      <c r="E7236" s="56"/>
      <c r="F7236" s="57"/>
      <c r="G7236" s="57"/>
      <c r="H7236" s="56"/>
      <c r="I7236" s="56"/>
      <c r="J7236" s="58"/>
      <c r="K7236" s="58"/>
      <c r="L7236" s="13" t="str">
        <f t="shared" ref="L7236:L7299" si="1146">IF(OR($A7236="",AND($J7236="",$K7236="")),"",ROUND(N($J7236)-N($K7236),2))</f>
        <v/>
      </c>
      <c r="M7236" s="13" t="str">
        <f t="shared" ref="M7236:M7299" si="1147">IF(OR($A7236="",AND($J7236="",$K7236="")),"",MIN($J7236,$K7236))</f>
        <v/>
      </c>
      <c r="Q7236" t="str">
        <f t="shared" ref="Q7236:Q7299" si="1148">IF($A7236="","",$D7236&amp;"("&amp;SUBSTITUTE($E7236," ","")&amp;")")</f>
        <v/>
      </c>
      <c r="R7236" t="str">
        <f t="shared" ref="R7236:R7299" si="1149">IF($A7236="","",$B7236&amp;" - "&amp;$C7236)</f>
        <v/>
      </c>
      <c r="S7236" t="str">
        <f t="shared" ref="S7236:S7299" si="1150">IF($A7236="","",$R7236&amp;"|"&amp;$Q7236)</f>
        <v/>
      </c>
      <c r="T7236" t="str">
        <f t="shared" ref="T7236:T7299" si="1151">IF($A7236="","",$S7236&amp;"|"&amp;$F7236)</f>
        <v/>
      </c>
      <c r="U7236" t="str">
        <f t="shared" ref="U7236:U7299" si="1152">IF($A7236="","",$R7236&amp;"("&amp;$E7236&amp;")")</f>
        <v/>
      </c>
      <c r="V7236" t="str">
        <f t="shared" ref="V7236:V7299" si="1153">IF($A7236="","",$F7236&amp;"|"&amp;$U7236&amp;"|"&amp;$D7236)</f>
        <v/>
      </c>
      <c r="W7236" t="str">
        <f t="shared" si="1142"/>
        <v/>
      </c>
      <c r="X7236">
        <f t="shared" si="1144"/>
        <v>0</v>
      </c>
      <c r="Z7236" t="str">
        <f t="shared" si="1143"/>
        <v/>
      </c>
      <c r="AA7236">
        <f t="shared" si="1145"/>
        <v>0</v>
      </c>
    </row>
    <row r="7237" spans="1:27" ht="21" customHeight="1" x14ac:dyDescent="0.95">
      <c r="A7237" s="56"/>
      <c r="B7237" s="57"/>
      <c r="C7237" s="57"/>
      <c r="D7237" s="57"/>
      <c r="E7237" s="56"/>
      <c r="F7237" s="57"/>
      <c r="G7237" s="57"/>
      <c r="H7237" s="56"/>
      <c r="I7237" s="56"/>
      <c r="J7237" s="58"/>
      <c r="K7237" s="58"/>
      <c r="L7237" s="13" t="str">
        <f t="shared" si="1146"/>
        <v/>
      </c>
      <c r="M7237" s="13" t="str">
        <f t="shared" si="1147"/>
        <v/>
      </c>
      <c r="Q7237" t="str">
        <f t="shared" si="1148"/>
        <v/>
      </c>
      <c r="R7237" t="str">
        <f t="shared" si="1149"/>
        <v/>
      </c>
      <c r="S7237" t="str">
        <f t="shared" si="1150"/>
        <v/>
      </c>
      <c r="T7237" t="str">
        <f t="shared" si="1151"/>
        <v/>
      </c>
      <c r="U7237" t="str">
        <f t="shared" si="1152"/>
        <v/>
      </c>
      <c r="V7237" t="str">
        <f t="shared" si="1153"/>
        <v/>
      </c>
      <c r="W7237" t="str">
        <f t="shared" si="1142"/>
        <v/>
      </c>
      <c r="X7237">
        <f t="shared" si="1144"/>
        <v>0</v>
      </c>
      <c r="Z7237" t="str">
        <f t="shared" si="1143"/>
        <v/>
      </c>
      <c r="AA7237">
        <f t="shared" si="1145"/>
        <v>0</v>
      </c>
    </row>
    <row r="7238" spans="1:27" ht="21" customHeight="1" x14ac:dyDescent="0.95">
      <c r="A7238" s="56"/>
      <c r="B7238" s="57"/>
      <c r="C7238" s="57"/>
      <c r="D7238" s="57"/>
      <c r="E7238" s="56"/>
      <c r="F7238" s="57"/>
      <c r="G7238" s="57"/>
      <c r="H7238" s="56"/>
      <c r="I7238" s="56"/>
      <c r="J7238" s="58"/>
      <c r="K7238" s="58"/>
      <c r="L7238" s="13" t="str">
        <f t="shared" si="1146"/>
        <v/>
      </c>
      <c r="M7238" s="13" t="str">
        <f t="shared" si="1147"/>
        <v/>
      </c>
      <c r="Q7238" t="str">
        <f t="shared" si="1148"/>
        <v/>
      </c>
      <c r="R7238" t="str">
        <f t="shared" si="1149"/>
        <v/>
      </c>
      <c r="S7238" t="str">
        <f t="shared" si="1150"/>
        <v/>
      </c>
      <c r="T7238" t="str">
        <f t="shared" si="1151"/>
        <v/>
      </c>
      <c r="U7238" t="str">
        <f t="shared" si="1152"/>
        <v/>
      </c>
      <c r="V7238" t="str">
        <f t="shared" si="1153"/>
        <v/>
      </c>
      <c r="W7238" t="str">
        <f t="shared" ref="W7238:W7301" si="1154">IF($T7238="","",IF($X7238&gt;N($X7237),$X7238,""))</f>
        <v/>
      </c>
      <c r="X7238">
        <f t="shared" si="1144"/>
        <v>0</v>
      </c>
      <c r="Z7238" t="str">
        <f t="shared" ref="Z7238:Z7301" si="1155">IF($V7238="","",IF($AA7238&gt;N($AA7237),$AA7238,""))</f>
        <v/>
      </c>
      <c r="AA7238">
        <f t="shared" si="1145"/>
        <v>0</v>
      </c>
    </row>
    <row r="7239" spans="1:27" ht="21" customHeight="1" x14ac:dyDescent="0.95">
      <c r="A7239" s="56"/>
      <c r="B7239" s="57"/>
      <c r="C7239" s="57"/>
      <c r="D7239" s="57"/>
      <c r="E7239" s="56"/>
      <c r="F7239" s="57"/>
      <c r="G7239" s="57"/>
      <c r="H7239" s="56"/>
      <c r="I7239" s="56"/>
      <c r="J7239" s="58"/>
      <c r="K7239" s="58"/>
      <c r="L7239" s="13" t="str">
        <f t="shared" si="1146"/>
        <v/>
      </c>
      <c r="M7239" s="13" t="str">
        <f t="shared" si="1147"/>
        <v/>
      </c>
      <c r="Q7239" t="str">
        <f t="shared" si="1148"/>
        <v/>
      </c>
      <c r="R7239" t="str">
        <f t="shared" si="1149"/>
        <v/>
      </c>
      <c r="S7239" t="str">
        <f t="shared" si="1150"/>
        <v/>
      </c>
      <c r="T7239" t="str">
        <f t="shared" si="1151"/>
        <v/>
      </c>
      <c r="U7239" t="str">
        <f t="shared" si="1152"/>
        <v/>
      </c>
      <c r="V7239" t="str">
        <f t="shared" si="1153"/>
        <v/>
      </c>
      <c r="W7239" t="str">
        <f t="shared" si="1154"/>
        <v/>
      </c>
      <c r="X7239">
        <f t="shared" si="1144"/>
        <v>0</v>
      </c>
      <c r="Z7239" t="str">
        <f t="shared" si="1155"/>
        <v/>
      </c>
      <c r="AA7239">
        <f t="shared" si="1145"/>
        <v>0</v>
      </c>
    </row>
    <row r="7240" spans="1:27" ht="21" customHeight="1" x14ac:dyDescent="0.95">
      <c r="A7240" s="56"/>
      <c r="B7240" s="57"/>
      <c r="C7240" s="57"/>
      <c r="D7240" s="57"/>
      <c r="E7240" s="56"/>
      <c r="F7240" s="57"/>
      <c r="G7240" s="57"/>
      <c r="H7240" s="56"/>
      <c r="I7240" s="56"/>
      <c r="J7240" s="58"/>
      <c r="K7240" s="58"/>
      <c r="L7240" s="13" t="str">
        <f t="shared" si="1146"/>
        <v/>
      </c>
      <c r="M7240" s="13" t="str">
        <f t="shared" si="1147"/>
        <v/>
      </c>
      <c r="Q7240" t="str">
        <f t="shared" si="1148"/>
        <v/>
      </c>
      <c r="R7240" t="str">
        <f t="shared" si="1149"/>
        <v/>
      </c>
      <c r="S7240" t="str">
        <f t="shared" si="1150"/>
        <v/>
      </c>
      <c r="T7240" t="str">
        <f t="shared" si="1151"/>
        <v/>
      </c>
      <c r="U7240" t="str">
        <f t="shared" si="1152"/>
        <v/>
      </c>
      <c r="V7240" t="str">
        <f t="shared" si="1153"/>
        <v/>
      </c>
      <c r="W7240" t="str">
        <f t="shared" si="1154"/>
        <v/>
      </c>
      <c r="X7240">
        <f t="shared" si="1144"/>
        <v>0</v>
      </c>
      <c r="Z7240" t="str">
        <f t="shared" si="1155"/>
        <v/>
      </c>
      <c r="AA7240">
        <f t="shared" si="1145"/>
        <v>0</v>
      </c>
    </row>
    <row r="7241" spans="1:27" ht="21" customHeight="1" x14ac:dyDescent="0.95">
      <c r="A7241" s="56"/>
      <c r="B7241" s="57"/>
      <c r="C7241" s="57"/>
      <c r="D7241" s="57"/>
      <c r="E7241" s="56"/>
      <c r="F7241" s="57"/>
      <c r="G7241" s="57"/>
      <c r="H7241" s="56"/>
      <c r="I7241" s="56"/>
      <c r="J7241" s="58"/>
      <c r="K7241" s="58"/>
      <c r="L7241" s="13" t="str">
        <f t="shared" si="1146"/>
        <v/>
      </c>
      <c r="M7241" s="13" t="str">
        <f t="shared" si="1147"/>
        <v/>
      </c>
      <c r="Q7241" t="str">
        <f t="shared" si="1148"/>
        <v/>
      </c>
      <c r="R7241" t="str">
        <f t="shared" si="1149"/>
        <v/>
      </c>
      <c r="S7241" t="str">
        <f t="shared" si="1150"/>
        <v/>
      </c>
      <c r="T7241" t="str">
        <f t="shared" si="1151"/>
        <v/>
      </c>
      <c r="U7241" t="str">
        <f t="shared" si="1152"/>
        <v/>
      </c>
      <c r="V7241" t="str">
        <f t="shared" si="1153"/>
        <v/>
      </c>
      <c r="W7241" t="str">
        <f t="shared" si="1154"/>
        <v/>
      </c>
      <c r="X7241">
        <f t="shared" si="1144"/>
        <v>0</v>
      </c>
      <c r="Z7241" t="str">
        <f t="shared" si="1155"/>
        <v/>
      </c>
      <c r="AA7241">
        <f t="shared" si="1145"/>
        <v>0</v>
      </c>
    </row>
    <row r="7242" spans="1:27" ht="21" customHeight="1" x14ac:dyDescent="0.95">
      <c r="A7242" s="56"/>
      <c r="B7242" s="57"/>
      <c r="C7242" s="57"/>
      <c r="D7242" s="57"/>
      <c r="E7242" s="56"/>
      <c r="F7242" s="57"/>
      <c r="G7242" s="57"/>
      <c r="H7242" s="56"/>
      <c r="I7242" s="56"/>
      <c r="J7242" s="58"/>
      <c r="K7242" s="58"/>
      <c r="L7242" s="13" t="str">
        <f t="shared" si="1146"/>
        <v/>
      </c>
      <c r="M7242" s="13" t="str">
        <f t="shared" si="1147"/>
        <v/>
      </c>
      <c r="Q7242" t="str">
        <f t="shared" si="1148"/>
        <v/>
      </c>
      <c r="R7242" t="str">
        <f t="shared" si="1149"/>
        <v/>
      </c>
      <c r="S7242" t="str">
        <f t="shared" si="1150"/>
        <v/>
      </c>
      <c r="T7242" t="str">
        <f t="shared" si="1151"/>
        <v/>
      </c>
      <c r="U7242" t="str">
        <f t="shared" si="1152"/>
        <v/>
      </c>
      <c r="V7242" t="str">
        <f t="shared" si="1153"/>
        <v/>
      </c>
      <c r="W7242" t="str">
        <f t="shared" si="1154"/>
        <v/>
      </c>
      <c r="X7242">
        <f t="shared" si="1144"/>
        <v>0</v>
      </c>
      <c r="Z7242" t="str">
        <f t="shared" si="1155"/>
        <v/>
      </c>
      <c r="AA7242">
        <f t="shared" si="1145"/>
        <v>0</v>
      </c>
    </row>
    <row r="7243" spans="1:27" ht="21" customHeight="1" x14ac:dyDescent="0.95">
      <c r="A7243" s="56"/>
      <c r="B7243" s="57"/>
      <c r="C7243" s="57"/>
      <c r="D7243" s="57"/>
      <c r="E7243" s="56"/>
      <c r="F7243" s="57"/>
      <c r="G7243" s="57"/>
      <c r="H7243" s="56"/>
      <c r="I7243" s="56"/>
      <c r="J7243" s="58"/>
      <c r="K7243" s="58"/>
      <c r="L7243" s="13" t="str">
        <f t="shared" si="1146"/>
        <v/>
      </c>
      <c r="M7243" s="13" t="str">
        <f t="shared" si="1147"/>
        <v/>
      </c>
      <c r="Q7243" t="str">
        <f t="shared" si="1148"/>
        <v/>
      </c>
      <c r="R7243" t="str">
        <f t="shared" si="1149"/>
        <v/>
      </c>
      <c r="S7243" t="str">
        <f t="shared" si="1150"/>
        <v/>
      </c>
      <c r="T7243" t="str">
        <f t="shared" si="1151"/>
        <v/>
      </c>
      <c r="U7243" t="str">
        <f t="shared" si="1152"/>
        <v/>
      </c>
      <c r="V7243" t="str">
        <f t="shared" si="1153"/>
        <v/>
      </c>
      <c r="W7243" t="str">
        <f t="shared" si="1154"/>
        <v/>
      </c>
      <c r="X7243">
        <f t="shared" si="1144"/>
        <v>0</v>
      </c>
      <c r="Z7243" t="str">
        <f t="shared" si="1155"/>
        <v/>
      </c>
      <c r="AA7243">
        <f t="shared" si="1145"/>
        <v>0</v>
      </c>
    </row>
    <row r="7244" spans="1:27" ht="21" customHeight="1" x14ac:dyDescent="0.95">
      <c r="A7244" s="56"/>
      <c r="B7244" s="57"/>
      <c r="C7244" s="57"/>
      <c r="D7244" s="57"/>
      <c r="E7244" s="56"/>
      <c r="F7244" s="57"/>
      <c r="G7244" s="57"/>
      <c r="H7244" s="56"/>
      <c r="I7244" s="56"/>
      <c r="J7244" s="58"/>
      <c r="K7244" s="58"/>
      <c r="L7244" s="13" t="str">
        <f t="shared" si="1146"/>
        <v/>
      </c>
      <c r="M7244" s="13" t="str">
        <f t="shared" si="1147"/>
        <v/>
      </c>
      <c r="Q7244" t="str">
        <f t="shared" si="1148"/>
        <v/>
      </c>
      <c r="R7244" t="str">
        <f t="shared" si="1149"/>
        <v/>
      </c>
      <c r="S7244" t="str">
        <f t="shared" si="1150"/>
        <v/>
      </c>
      <c r="T7244" t="str">
        <f t="shared" si="1151"/>
        <v/>
      </c>
      <c r="U7244" t="str">
        <f t="shared" si="1152"/>
        <v/>
      </c>
      <c r="V7244" t="str">
        <f t="shared" si="1153"/>
        <v/>
      </c>
      <c r="W7244" t="str">
        <f t="shared" si="1154"/>
        <v/>
      </c>
      <c r="X7244">
        <f t="shared" si="1144"/>
        <v>0</v>
      </c>
      <c r="Z7244" t="str">
        <f t="shared" si="1155"/>
        <v/>
      </c>
      <c r="AA7244">
        <f t="shared" si="1145"/>
        <v>0</v>
      </c>
    </row>
    <row r="7245" spans="1:27" ht="21" customHeight="1" x14ac:dyDescent="0.95">
      <c r="A7245" s="56"/>
      <c r="B7245" s="57"/>
      <c r="C7245" s="57"/>
      <c r="D7245" s="57"/>
      <c r="E7245" s="56"/>
      <c r="F7245" s="57"/>
      <c r="G7245" s="57"/>
      <c r="H7245" s="56"/>
      <c r="I7245" s="56"/>
      <c r="J7245" s="58"/>
      <c r="K7245" s="58"/>
      <c r="L7245" s="13" t="str">
        <f t="shared" si="1146"/>
        <v/>
      </c>
      <c r="M7245" s="13" t="str">
        <f t="shared" si="1147"/>
        <v/>
      </c>
      <c r="Q7245" t="str">
        <f t="shared" si="1148"/>
        <v/>
      </c>
      <c r="R7245" t="str">
        <f t="shared" si="1149"/>
        <v/>
      </c>
      <c r="S7245" t="str">
        <f t="shared" si="1150"/>
        <v/>
      </c>
      <c r="T7245" t="str">
        <f t="shared" si="1151"/>
        <v/>
      </c>
      <c r="U7245" t="str">
        <f t="shared" si="1152"/>
        <v/>
      </c>
      <c r="V7245" t="str">
        <f t="shared" si="1153"/>
        <v/>
      </c>
      <c r="W7245" t="str">
        <f t="shared" si="1154"/>
        <v/>
      </c>
      <c r="X7245">
        <f t="shared" si="1144"/>
        <v>0</v>
      </c>
      <c r="Z7245" t="str">
        <f t="shared" si="1155"/>
        <v/>
      </c>
      <c r="AA7245">
        <f t="shared" si="1145"/>
        <v>0</v>
      </c>
    </row>
    <row r="7246" spans="1:27" ht="21" customHeight="1" x14ac:dyDescent="0.95">
      <c r="A7246" s="56"/>
      <c r="B7246" s="57"/>
      <c r="C7246" s="57"/>
      <c r="D7246" s="57"/>
      <c r="E7246" s="56"/>
      <c r="F7246" s="57"/>
      <c r="G7246" s="57"/>
      <c r="H7246" s="56"/>
      <c r="I7246" s="56"/>
      <c r="J7246" s="58"/>
      <c r="K7246" s="58"/>
      <c r="L7246" s="13" t="str">
        <f t="shared" si="1146"/>
        <v/>
      </c>
      <c r="M7246" s="13" t="str">
        <f t="shared" si="1147"/>
        <v/>
      </c>
      <c r="Q7246" t="str">
        <f t="shared" si="1148"/>
        <v/>
      </c>
      <c r="R7246" t="str">
        <f t="shared" si="1149"/>
        <v/>
      </c>
      <c r="S7246" t="str">
        <f t="shared" si="1150"/>
        <v/>
      </c>
      <c r="T7246" t="str">
        <f t="shared" si="1151"/>
        <v/>
      </c>
      <c r="U7246" t="str">
        <f t="shared" si="1152"/>
        <v/>
      </c>
      <c r="V7246" t="str">
        <f t="shared" si="1153"/>
        <v/>
      </c>
      <c r="W7246" t="str">
        <f t="shared" si="1154"/>
        <v/>
      </c>
      <c r="X7246">
        <f t="shared" si="1144"/>
        <v>0</v>
      </c>
      <c r="Z7246" t="str">
        <f t="shared" si="1155"/>
        <v/>
      </c>
      <c r="AA7246">
        <f t="shared" si="1145"/>
        <v>0</v>
      </c>
    </row>
    <row r="7247" spans="1:27" ht="21" customHeight="1" x14ac:dyDescent="0.95">
      <c r="A7247" s="56"/>
      <c r="B7247" s="57"/>
      <c r="C7247" s="57"/>
      <c r="D7247" s="57"/>
      <c r="E7247" s="56"/>
      <c r="F7247" s="57"/>
      <c r="G7247" s="57"/>
      <c r="H7247" s="56"/>
      <c r="I7247" s="56"/>
      <c r="J7247" s="58"/>
      <c r="K7247" s="58"/>
      <c r="L7247" s="13" t="str">
        <f t="shared" si="1146"/>
        <v/>
      </c>
      <c r="M7247" s="13" t="str">
        <f t="shared" si="1147"/>
        <v/>
      </c>
      <c r="Q7247" t="str">
        <f t="shared" si="1148"/>
        <v/>
      </c>
      <c r="R7247" t="str">
        <f t="shared" si="1149"/>
        <v/>
      </c>
      <c r="S7247" t="str">
        <f t="shared" si="1150"/>
        <v/>
      </c>
      <c r="T7247" t="str">
        <f t="shared" si="1151"/>
        <v/>
      </c>
      <c r="U7247" t="str">
        <f t="shared" si="1152"/>
        <v/>
      </c>
      <c r="V7247" t="str">
        <f t="shared" si="1153"/>
        <v/>
      </c>
      <c r="W7247" t="str">
        <f t="shared" si="1154"/>
        <v/>
      </c>
      <c r="X7247">
        <f t="shared" si="1144"/>
        <v>0</v>
      </c>
      <c r="Z7247" t="str">
        <f t="shared" si="1155"/>
        <v/>
      </c>
      <c r="AA7247">
        <f t="shared" si="1145"/>
        <v>0</v>
      </c>
    </row>
    <row r="7248" spans="1:27" ht="21" customHeight="1" x14ac:dyDescent="0.95">
      <c r="A7248" s="56"/>
      <c r="B7248" s="57"/>
      <c r="C7248" s="57"/>
      <c r="D7248" s="57"/>
      <c r="E7248" s="56"/>
      <c r="F7248" s="57"/>
      <c r="G7248" s="57"/>
      <c r="H7248" s="56"/>
      <c r="I7248" s="56"/>
      <c r="J7248" s="58"/>
      <c r="K7248" s="58"/>
      <c r="L7248" s="13" t="str">
        <f t="shared" si="1146"/>
        <v/>
      </c>
      <c r="M7248" s="13" t="str">
        <f t="shared" si="1147"/>
        <v/>
      </c>
      <c r="Q7248" t="str">
        <f t="shared" si="1148"/>
        <v/>
      </c>
      <c r="R7248" t="str">
        <f t="shared" si="1149"/>
        <v/>
      </c>
      <c r="S7248" t="str">
        <f t="shared" si="1150"/>
        <v/>
      </c>
      <c r="T7248" t="str">
        <f t="shared" si="1151"/>
        <v/>
      </c>
      <c r="U7248" t="str">
        <f t="shared" si="1152"/>
        <v/>
      </c>
      <c r="V7248" t="str">
        <f t="shared" si="1153"/>
        <v/>
      </c>
      <c r="W7248" t="str">
        <f t="shared" si="1154"/>
        <v/>
      </c>
      <c r="X7248">
        <f t="shared" si="1144"/>
        <v>0</v>
      </c>
      <c r="Z7248" t="str">
        <f t="shared" si="1155"/>
        <v/>
      </c>
      <c r="AA7248">
        <f t="shared" si="1145"/>
        <v>0</v>
      </c>
    </row>
    <row r="7249" spans="1:27" ht="21" customHeight="1" x14ac:dyDescent="0.95">
      <c r="A7249" s="56"/>
      <c r="B7249" s="57"/>
      <c r="C7249" s="57"/>
      <c r="D7249" s="57"/>
      <c r="E7249" s="56"/>
      <c r="F7249" s="57"/>
      <c r="G7249" s="57"/>
      <c r="H7249" s="56"/>
      <c r="I7249" s="56"/>
      <c r="J7249" s="58"/>
      <c r="K7249" s="58"/>
      <c r="L7249" s="13" t="str">
        <f t="shared" si="1146"/>
        <v/>
      </c>
      <c r="M7249" s="13" t="str">
        <f t="shared" si="1147"/>
        <v/>
      </c>
      <c r="Q7249" t="str">
        <f t="shared" si="1148"/>
        <v/>
      </c>
      <c r="R7249" t="str">
        <f t="shared" si="1149"/>
        <v/>
      </c>
      <c r="S7249" t="str">
        <f t="shared" si="1150"/>
        <v/>
      </c>
      <c r="T7249" t="str">
        <f t="shared" si="1151"/>
        <v/>
      </c>
      <c r="U7249" t="str">
        <f t="shared" si="1152"/>
        <v/>
      </c>
      <c r="V7249" t="str">
        <f t="shared" si="1153"/>
        <v/>
      </c>
      <c r="W7249" t="str">
        <f t="shared" si="1154"/>
        <v/>
      </c>
      <c r="X7249">
        <f t="shared" si="1144"/>
        <v>0</v>
      </c>
      <c r="Z7249" t="str">
        <f t="shared" si="1155"/>
        <v/>
      </c>
      <c r="AA7249">
        <f t="shared" si="1145"/>
        <v>0</v>
      </c>
    </row>
    <row r="7250" spans="1:27" ht="21" customHeight="1" x14ac:dyDescent="0.95">
      <c r="A7250" s="56"/>
      <c r="B7250" s="57"/>
      <c r="C7250" s="57"/>
      <c r="D7250" s="57"/>
      <c r="E7250" s="56"/>
      <c r="F7250" s="57"/>
      <c r="G7250" s="57"/>
      <c r="H7250" s="56"/>
      <c r="I7250" s="56"/>
      <c r="J7250" s="58"/>
      <c r="K7250" s="58"/>
      <c r="L7250" s="13" t="str">
        <f t="shared" si="1146"/>
        <v/>
      </c>
      <c r="M7250" s="13" t="str">
        <f t="shared" si="1147"/>
        <v/>
      </c>
      <c r="Q7250" t="str">
        <f t="shared" si="1148"/>
        <v/>
      </c>
      <c r="R7250" t="str">
        <f t="shared" si="1149"/>
        <v/>
      </c>
      <c r="S7250" t="str">
        <f t="shared" si="1150"/>
        <v/>
      </c>
      <c r="T7250" t="str">
        <f t="shared" si="1151"/>
        <v/>
      </c>
      <c r="U7250" t="str">
        <f t="shared" si="1152"/>
        <v/>
      </c>
      <c r="V7250" t="str">
        <f t="shared" si="1153"/>
        <v/>
      </c>
      <c r="W7250" t="str">
        <f t="shared" si="1154"/>
        <v/>
      </c>
      <c r="X7250">
        <f t="shared" si="1144"/>
        <v>0</v>
      </c>
      <c r="Z7250" t="str">
        <f t="shared" si="1155"/>
        <v/>
      </c>
      <c r="AA7250">
        <f t="shared" si="1145"/>
        <v>0</v>
      </c>
    </row>
    <row r="7251" spans="1:27" ht="21" customHeight="1" x14ac:dyDescent="0.95">
      <c r="A7251" s="56"/>
      <c r="B7251" s="57"/>
      <c r="C7251" s="57"/>
      <c r="D7251" s="57"/>
      <c r="E7251" s="56"/>
      <c r="F7251" s="57"/>
      <c r="G7251" s="57"/>
      <c r="H7251" s="56"/>
      <c r="I7251" s="56"/>
      <c r="J7251" s="58"/>
      <c r="K7251" s="58"/>
      <c r="L7251" s="13" t="str">
        <f t="shared" si="1146"/>
        <v/>
      </c>
      <c r="M7251" s="13" t="str">
        <f t="shared" si="1147"/>
        <v/>
      </c>
      <c r="Q7251" t="str">
        <f t="shared" si="1148"/>
        <v/>
      </c>
      <c r="R7251" t="str">
        <f t="shared" si="1149"/>
        <v/>
      </c>
      <c r="S7251" t="str">
        <f t="shared" si="1150"/>
        <v/>
      </c>
      <c r="T7251" t="str">
        <f t="shared" si="1151"/>
        <v/>
      </c>
      <c r="U7251" t="str">
        <f t="shared" si="1152"/>
        <v/>
      </c>
      <c r="V7251" t="str">
        <f t="shared" si="1153"/>
        <v/>
      </c>
      <c r="W7251" t="str">
        <f t="shared" si="1154"/>
        <v/>
      </c>
      <c r="X7251">
        <f t="shared" si="1144"/>
        <v>0</v>
      </c>
      <c r="Z7251" t="str">
        <f t="shared" si="1155"/>
        <v/>
      </c>
      <c r="AA7251">
        <f t="shared" si="1145"/>
        <v>0</v>
      </c>
    </row>
    <row r="7252" spans="1:27" ht="21" customHeight="1" x14ac:dyDescent="0.95">
      <c r="A7252" s="56"/>
      <c r="B7252" s="57"/>
      <c r="C7252" s="57"/>
      <c r="D7252" s="57"/>
      <c r="E7252" s="56"/>
      <c r="F7252" s="57"/>
      <c r="G7252" s="57"/>
      <c r="H7252" s="56"/>
      <c r="I7252" s="56"/>
      <c r="J7252" s="58"/>
      <c r="K7252" s="58"/>
      <c r="L7252" s="13" t="str">
        <f t="shared" si="1146"/>
        <v/>
      </c>
      <c r="M7252" s="13" t="str">
        <f t="shared" si="1147"/>
        <v/>
      </c>
      <c r="Q7252" t="str">
        <f t="shared" si="1148"/>
        <v/>
      </c>
      <c r="R7252" t="str">
        <f t="shared" si="1149"/>
        <v/>
      </c>
      <c r="S7252" t="str">
        <f t="shared" si="1150"/>
        <v/>
      </c>
      <c r="T7252" t="str">
        <f t="shared" si="1151"/>
        <v/>
      </c>
      <c r="U7252" t="str">
        <f t="shared" si="1152"/>
        <v/>
      </c>
      <c r="V7252" t="str">
        <f t="shared" si="1153"/>
        <v/>
      </c>
      <c r="W7252" t="str">
        <f t="shared" si="1154"/>
        <v/>
      </c>
      <c r="X7252">
        <f t="shared" si="1144"/>
        <v>0</v>
      </c>
      <c r="Z7252" t="str">
        <f t="shared" si="1155"/>
        <v/>
      </c>
      <c r="AA7252">
        <f t="shared" si="1145"/>
        <v>0</v>
      </c>
    </row>
    <row r="7253" spans="1:27" ht="21" customHeight="1" x14ac:dyDescent="0.95">
      <c r="A7253" s="56"/>
      <c r="B7253" s="57"/>
      <c r="C7253" s="57"/>
      <c r="D7253" s="57"/>
      <c r="E7253" s="56"/>
      <c r="F7253" s="57"/>
      <c r="G7253" s="57"/>
      <c r="H7253" s="56"/>
      <c r="I7253" s="56"/>
      <c r="J7253" s="58"/>
      <c r="K7253" s="58"/>
      <c r="L7253" s="13" t="str">
        <f t="shared" si="1146"/>
        <v/>
      </c>
      <c r="M7253" s="13" t="str">
        <f t="shared" si="1147"/>
        <v/>
      </c>
      <c r="Q7253" t="str">
        <f t="shared" si="1148"/>
        <v/>
      </c>
      <c r="R7253" t="str">
        <f t="shared" si="1149"/>
        <v/>
      </c>
      <c r="S7253" t="str">
        <f t="shared" si="1150"/>
        <v/>
      </c>
      <c r="T7253" t="str">
        <f t="shared" si="1151"/>
        <v/>
      </c>
      <c r="U7253" t="str">
        <f t="shared" si="1152"/>
        <v/>
      </c>
      <c r="V7253" t="str">
        <f t="shared" si="1153"/>
        <v/>
      </c>
      <c r="W7253" t="str">
        <f t="shared" si="1154"/>
        <v/>
      </c>
      <c r="X7253">
        <f t="shared" si="1144"/>
        <v>0</v>
      </c>
      <c r="Z7253" t="str">
        <f t="shared" si="1155"/>
        <v/>
      </c>
      <c r="AA7253">
        <f t="shared" si="1145"/>
        <v>0</v>
      </c>
    </row>
    <row r="7254" spans="1:27" ht="21" customHeight="1" x14ac:dyDescent="0.95">
      <c r="A7254" s="56"/>
      <c r="B7254" s="57"/>
      <c r="C7254" s="57"/>
      <c r="D7254" s="57"/>
      <c r="E7254" s="56"/>
      <c r="F7254" s="57"/>
      <c r="G7254" s="57"/>
      <c r="H7254" s="56"/>
      <c r="I7254" s="56"/>
      <c r="J7254" s="58"/>
      <c r="K7254" s="58"/>
      <c r="L7254" s="13" t="str">
        <f t="shared" si="1146"/>
        <v/>
      </c>
      <c r="M7254" s="13" t="str">
        <f t="shared" si="1147"/>
        <v/>
      </c>
      <c r="Q7254" t="str">
        <f t="shared" si="1148"/>
        <v/>
      </c>
      <c r="R7254" t="str">
        <f t="shared" si="1149"/>
        <v/>
      </c>
      <c r="S7254" t="str">
        <f t="shared" si="1150"/>
        <v/>
      </c>
      <c r="T7254" t="str">
        <f t="shared" si="1151"/>
        <v/>
      </c>
      <c r="U7254" t="str">
        <f t="shared" si="1152"/>
        <v/>
      </c>
      <c r="V7254" t="str">
        <f t="shared" si="1153"/>
        <v/>
      </c>
      <c r="W7254" t="str">
        <f t="shared" si="1154"/>
        <v/>
      </c>
      <c r="X7254">
        <f t="shared" si="1144"/>
        <v>0</v>
      </c>
      <c r="Z7254" t="str">
        <f t="shared" si="1155"/>
        <v/>
      </c>
      <c r="AA7254">
        <f t="shared" si="1145"/>
        <v>0</v>
      </c>
    </row>
    <row r="7255" spans="1:27" ht="21" customHeight="1" x14ac:dyDescent="0.95">
      <c r="A7255" s="56"/>
      <c r="B7255" s="57"/>
      <c r="C7255" s="57"/>
      <c r="D7255" s="57"/>
      <c r="E7255" s="56"/>
      <c r="F7255" s="57"/>
      <c r="G7255" s="57"/>
      <c r="H7255" s="56"/>
      <c r="I7255" s="56"/>
      <c r="J7255" s="58"/>
      <c r="K7255" s="58"/>
      <c r="L7255" s="13" t="str">
        <f t="shared" si="1146"/>
        <v/>
      </c>
      <c r="M7255" s="13" t="str">
        <f t="shared" si="1147"/>
        <v/>
      </c>
      <c r="Q7255" t="str">
        <f t="shared" si="1148"/>
        <v/>
      </c>
      <c r="R7255" t="str">
        <f t="shared" si="1149"/>
        <v/>
      </c>
      <c r="S7255" t="str">
        <f t="shared" si="1150"/>
        <v/>
      </c>
      <c r="T7255" t="str">
        <f t="shared" si="1151"/>
        <v/>
      </c>
      <c r="U7255" t="str">
        <f t="shared" si="1152"/>
        <v/>
      </c>
      <c r="V7255" t="str">
        <f t="shared" si="1153"/>
        <v/>
      </c>
      <c r="W7255" t="str">
        <f t="shared" si="1154"/>
        <v/>
      </c>
      <c r="X7255">
        <f t="shared" si="1144"/>
        <v>0</v>
      </c>
      <c r="Z7255" t="str">
        <f t="shared" si="1155"/>
        <v/>
      </c>
      <c r="AA7255">
        <f t="shared" si="1145"/>
        <v>0</v>
      </c>
    </row>
    <row r="7256" spans="1:27" ht="21" customHeight="1" x14ac:dyDescent="0.95">
      <c r="A7256" s="56"/>
      <c r="B7256" s="57"/>
      <c r="C7256" s="57"/>
      <c r="D7256" s="57"/>
      <c r="E7256" s="56"/>
      <c r="F7256" s="57"/>
      <c r="G7256" s="57"/>
      <c r="H7256" s="56"/>
      <c r="I7256" s="56"/>
      <c r="J7256" s="58"/>
      <c r="K7256" s="58"/>
      <c r="L7256" s="13" t="str">
        <f t="shared" si="1146"/>
        <v/>
      </c>
      <c r="M7256" s="13" t="str">
        <f t="shared" si="1147"/>
        <v/>
      </c>
      <c r="Q7256" t="str">
        <f t="shared" si="1148"/>
        <v/>
      </c>
      <c r="R7256" t="str">
        <f t="shared" si="1149"/>
        <v/>
      </c>
      <c r="S7256" t="str">
        <f t="shared" si="1150"/>
        <v/>
      </c>
      <c r="T7256" t="str">
        <f t="shared" si="1151"/>
        <v/>
      </c>
      <c r="U7256" t="str">
        <f t="shared" si="1152"/>
        <v/>
      </c>
      <c r="V7256" t="str">
        <f t="shared" si="1153"/>
        <v/>
      </c>
      <c r="W7256" t="str">
        <f t="shared" si="1154"/>
        <v/>
      </c>
      <c r="X7256">
        <f t="shared" si="1144"/>
        <v>0</v>
      </c>
      <c r="Z7256" t="str">
        <f t="shared" si="1155"/>
        <v/>
      </c>
      <c r="AA7256">
        <f t="shared" si="1145"/>
        <v>0</v>
      </c>
    </row>
    <row r="7257" spans="1:27" ht="21" customHeight="1" x14ac:dyDescent="0.95">
      <c r="A7257" s="56"/>
      <c r="B7257" s="57"/>
      <c r="C7257" s="57"/>
      <c r="D7257" s="57"/>
      <c r="E7257" s="56"/>
      <c r="F7257" s="57"/>
      <c r="G7257" s="57"/>
      <c r="H7257" s="56"/>
      <c r="I7257" s="56"/>
      <c r="J7257" s="58"/>
      <c r="K7257" s="58"/>
      <c r="L7257" s="13" t="str">
        <f t="shared" si="1146"/>
        <v/>
      </c>
      <c r="M7257" s="13" t="str">
        <f t="shared" si="1147"/>
        <v/>
      </c>
      <c r="Q7257" t="str">
        <f t="shared" si="1148"/>
        <v/>
      </c>
      <c r="R7257" t="str">
        <f t="shared" si="1149"/>
        <v/>
      </c>
      <c r="S7257" t="str">
        <f t="shared" si="1150"/>
        <v/>
      </c>
      <c r="T7257" t="str">
        <f t="shared" si="1151"/>
        <v/>
      </c>
      <c r="U7257" t="str">
        <f t="shared" si="1152"/>
        <v/>
      </c>
      <c r="V7257" t="str">
        <f t="shared" si="1153"/>
        <v/>
      </c>
      <c r="W7257" t="str">
        <f t="shared" si="1154"/>
        <v/>
      </c>
      <c r="X7257">
        <f t="shared" si="1144"/>
        <v>0</v>
      </c>
      <c r="Z7257" t="str">
        <f t="shared" si="1155"/>
        <v/>
      </c>
      <c r="AA7257">
        <f t="shared" si="1145"/>
        <v>0</v>
      </c>
    </row>
    <row r="7258" spans="1:27" ht="21" customHeight="1" x14ac:dyDescent="0.95">
      <c r="A7258" s="56"/>
      <c r="B7258" s="57"/>
      <c r="C7258" s="57"/>
      <c r="D7258" s="57"/>
      <c r="E7258" s="56"/>
      <c r="F7258" s="57"/>
      <c r="G7258" s="57"/>
      <c r="H7258" s="56"/>
      <c r="I7258" s="56"/>
      <c r="J7258" s="58"/>
      <c r="K7258" s="58"/>
      <c r="L7258" s="13" t="str">
        <f t="shared" si="1146"/>
        <v/>
      </c>
      <c r="M7258" s="13" t="str">
        <f t="shared" si="1147"/>
        <v/>
      </c>
      <c r="Q7258" t="str">
        <f t="shared" si="1148"/>
        <v/>
      </c>
      <c r="R7258" t="str">
        <f t="shared" si="1149"/>
        <v/>
      </c>
      <c r="S7258" t="str">
        <f t="shared" si="1150"/>
        <v/>
      </c>
      <c r="T7258" t="str">
        <f t="shared" si="1151"/>
        <v/>
      </c>
      <c r="U7258" t="str">
        <f t="shared" si="1152"/>
        <v/>
      </c>
      <c r="V7258" t="str">
        <f t="shared" si="1153"/>
        <v/>
      </c>
      <c r="W7258" t="str">
        <f t="shared" si="1154"/>
        <v/>
      </c>
      <c r="X7258">
        <f t="shared" si="1144"/>
        <v>0</v>
      </c>
      <c r="Z7258" t="str">
        <f t="shared" si="1155"/>
        <v/>
      </c>
      <c r="AA7258">
        <f t="shared" si="1145"/>
        <v>0</v>
      </c>
    </row>
    <row r="7259" spans="1:27" ht="21" customHeight="1" x14ac:dyDescent="0.95">
      <c r="A7259" s="56"/>
      <c r="B7259" s="57"/>
      <c r="C7259" s="57"/>
      <c r="D7259" s="57"/>
      <c r="E7259" s="56"/>
      <c r="F7259" s="57"/>
      <c r="G7259" s="57"/>
      <c r="H7259" s="56"/>
      <c r="I7259" s="56"/>
      <c r="J7259" s="58"/>
      <c r="K7259" s="58"/>
      <c r="L7259" s="13" t="str">
        <f t="shared" si="1146"/>
        <v/>
      </c>
      <c r="M7259" s="13" t="str">
        <f t="shared" si="1147"/>
        <v/>
      </c>
      <c r="Q7259" t="str">
        <f t="shared" si="1148"/>
        <v/>
      </c>
      <c r="R7259" t="str">
        <f t="shared" si="1149"/>
        <v/>
      </c>
      <c r="S7259" t="str">
        <f t="shared" si="1150"/>
        <v/>
      </c>
      <c r="T7259" t="str">
        <f t="shared" si="1151"/>
        <v/>
      </c>
      <c r="U7259" t="str">
        <f t="shared" si="1152"/>
        <v/>
      </c>
      <c r="V7259" t="str">
        <f t="shared" si="1153"/>
        <v/>
      </c>
      <c r="W7259" t="str">
        <f t="shared" si="1154"/>
        <v/>
      </c>
      <c r="X7259">
        <f t="shared" si="1144"/>
        <v>0</v>
      </c>
      <c r="Z7259" t="str">
        <f t="shared" si="1155"/>
        <v/>
      </c>
      <c r="AA7259">
        <f t="shared" si="1145"/>
        <v>0</v>
      </c>
    </row>
    <row r="7260" spans="1:27" ht="21" customHeight="1" x14ac:dyDescent="0.95">
      <c r="A7260" s="56"/>
      <c r="B7260" s="57"/>
      <c r="C7260" s="57"/>
      <c r="D7260" s="57"/>
      <c r="E7260" s="56"/>
      <c r="F7260" s="57"/>
      <c r="G7260" s="57"/>
      <c r="H7260" s="56"/>
      <c r="I7260" s="56"/>
      <c r="J7260" s="58"/>
      <c r="K7260" s="58"/>
      <c r="L7260" s="13" t="str">
        <f t="shared" si="1146"/>
        <v/>
      </c>
      <c r="M7260" s="13" t="str">
        <f t="shared" si="1147"/>
        <v/>
      </c>
      <c r="Q7260" t="str">
        <f t="shared" si="1148"/>
        <v/>
      </c>
      <c r="R7260" t="str">
        <f t="shared" si="1149"/>
        <v/>
      </c>
      <c r="S7260" t="str">
        <f t="shared" si="1150"/>
        <v/>
      </c>
      <c r="T7260" t="str">
        <f t="shared" si="1151"/>
        <v/>
      </c>
      <c r="U7260" t="str">
        <f t="shared" si="1152"/>
        <v/>
      </c>
      <c r="V7260" t="str">
        <f t="shared" si="1153"/>
        <v/>
      </c>
      <c r="W7260" t="str">
        <f t="shared" si="1154"/>
        <v/>
      </c>
      <c r="X7260">
        <f t="shared" si="1144"/>
        <v>0</v>
      </c>
      <c r="Z7260" t="str">
        <f t="shared" si="1155"/>
        <v/>
      </c>
      <c r="AA7260">
        <f t="shared" si="1145"/>
        <v>0</v>
      </c>
    </row>
    <row r="7261" spans="1:27" ht="21" customHeight="1" x14ac:dyDescent="0.95">
      <c r="A7261" s="56"/>
      <c r="B7261" s="57"/>
      <c r="C7261" s="57"/>
      <c r="D7261" s="57"/>
      <c r="E7261" s="56"/>
      <c r="F7261" s="57"/>
      <c r="G7261" s="57"/>
      <c r="H7261" s="56"/>
      <c r="I7261" s="56"/>
      <c r="J7261" s="58"/>
      <c r="K7261" s="58"/>
      <c r="L7261" s="13" t="str">
        <f t="shared" si="1146"/>
        <v/>
      </c>
      <c r="M7261" s="13" t="str">
        <f t="shared" si="1147"/>
        <v/>
      </c>
      <c r="Q7261" t="str">
        <f t="shared" si="1148"/>
        <v/>
      </c>
      <c r="R7261" t="str">
        <f t="shared" si="1149"/>
        <v/>
      </c>
      <c r="S7261" t="str">
        <f t="shared" si="1150"/>
        <v/>
      </c>
      <c r="T7261" t="str">
        <f t="shared" si="1151"/>
        <v/>
      </c>
      <c r="U7261" t="str">
        <f t="shared" si="1152"/>
        <v/>
      </c>
      <c r="V7261" t="str">
        <f t="shared" si="1153"/>
        <v/>
      </c>
      <c r="W7261" t="str">
        <f t="shared" si="1154"/>
        <v/>
      </c>
      <c r="X7261">
        <f t="shared" si="1144"/>
        <v>0</v>
      </c>
      <c r="Z7261" t="str">
        <f t="shared" si="1155"/>
        <v/>
      </c>
      <c r="AA7261">
        <f t="shared" si="1145"/>
        <v>0</v>
      </c>
    </row>
    <row r="7262" spans="1:27" ht="21" customHeight="1" x14ac:dyDescent="0.95">
      <c r="A7262" s="56"/>
      <c r="B7262" s="57"/>
      <c r="C7262" s="57"/>
      <c r="D7262" s="57"/>
      <c r="E7262" s="56"/>
      <c r="F7262" s="57"/>
      <c r="G7262" s="57"/>
      <c r="H7262" s="56"/>
      <c r="I7262" s="56"/>
      <c r="J7262" s="58"/>
      <c r="K7262" s="58"/>
      <c r="L7262" s="13" t="str">
        <f t="shared" si="1146"/>
        <v/>
      </c>
      <c r="M7262" s="13" t="str">
        <f t="shared" si="1147"/>
        <v/>
      </c>
      <c r="Q7262" t="str">
        <f t="shared" si="1148"/>
        <v/>
      </c>
      <c r="R7262" t="str">
        <f t="shared" si="1149"/>
        <v/>
      </c>
      <c r="S7262" t="str">
        <f t="shared" si="1150"/>
        <v/>
      </c>
      <c r="T7262" t="str">
        <f t="shared" si="1151"/>
        <v/>
      </c>
      <c r="U7262" t="str">
        <f t="shared" si="1152"/>
        <v/>
      </c>
      <c r="V7262" t="str">
        <f t="shared" si="1153"/>
        <v/>
      </c>
      <c r="W7262" t="str">
        <f t="shared" si="1154"/>
        <v/>
      </c>
      <c r="X7262">
        <f t="shared" si="1144"/>
        <v>0</v>
      </c>
      <c r="Z7262" t="str">
        <f t="shared" si="1155"/>
        <v/>
      </c>
      <c r="AA7262">
        <f t="shared" si="1145"/>
        <v>0</v>
      </c>
    </row>
    <row r="7263" spans="1:27" ht="21" customHeight="1" x14ac:dyDescent="0.95">
      <c r="A7263" s="56"/>
      <c r="B7263" s="57"/>
      <c r="C7263" s="57"/>
      <c r="D7263" s="57"/>
      <c r="E7263" s="56"/>
      <c r="F7263" s="57"/>
      <c r="G7263" s="57"/>
      <c r="H7263" s="56"/>
      <c r="I7263" s="56"/>
      <c r="J7263" s="58"/>
      <c r="K7263" s="58"/>
      <c r="L7263" s="13" t="str">
        <f t="shared" si="1146"/>
        <v/>
      </c>
      <c r="M7263" s="13" t="str">
        <f t="shared" si="1147"/>
        <v/>
      </c>
      <c r="Q7263" t="str">
        <f t="shared" si="1148"/>
        <v/>
      </c>
      <c r="R7263" t="str">
        <f t="shared" si="1149"/>
        <v/>
      </c>
      <c r="S7263" t="str">
        <f t="shared" si="1150"/>
        <v/>
      </c>
      <c r="T7263" t="str">
        <f t="shared" si="1151"/>
        <v/>
      </c>
      <c r="U7263" t="str">
        <f t="shared" si="1152"/>
        <v/>
      </c>
      <c r="V7263" t="str">
        <f t="shared" si="1153"/>
        <v/>
      </c>
      <c r="W7263" t="str">
        <f t="shared" si="1154"/>
        <v/>
      </c>
      <c r="X7263">
        <f t="shared" si="1144"/>
        <v>0</v>
      </c>
      <c r="Z7263" t="str">
        <f t="shared" si="1155"/>
        <v/>
      </c>
      <c r="AA7263">
        <f t="shared" si="1145"/>
        <v>0</v>
      </c>
    </row>
    <row r="7264" spans="1:27" ht="21" customHeight="1" x14ac:dyDescent="0.95">
      <c r="A7264" s="56"/>
      <c r="B7264" s="57"/>
      <c r="C7264" s="57"/>
      <c r="D7264" s="57"/>
      <c r="E7264" s="56"/>
      <c r="F7264" s="57"/>
      <c r="G7264" s="57"/>
      <c r="H7264" s="56"/>
      <c r="I7264" s="56"/>
      <c r="J7264" s="58"/>
      <c r="K7264" s="58"/>
      <c r="L7264" s="13" t="str">
        <f t="shared" si="1146"/>
        <v/>
      </c>
      <c r="M7264" s="13" t="str">
        <f t="shared" si="1147"/>
        <v/>
      </c>
      <c r="Q7264" t="str">
        <f t="shared" si="1148"/>
        <v/>
      </c>
      <c r="R7264" t="str">
        <f t="shared" si="1149"/>
        <v/>
      </c>
      <c r="S7264" t="str">
        <f t="shared" si="1150"/>
        <v/>
      </c>
      <c r="T7264" t="str">
        <f t="shared" si="1151"/>
        <v/>
      </c>
      <c r="U7264" t="str">
        <f t="shared" si="1152"/>
        <v/>
      </c>
      <c r="V7264" t="str">
        <f t="shared" si="1153"/>
        <v/>
      </c>
      <c r="W7264" t="str">
        <f t="shared" si="1154"/>
        <v/>
      </c>
      <c r="X7264">
        <f t="shared" si="1144"/>
        <v>0</v>
      </c>
      <c r="Z7264" t="str">
        <f t="shared" si="1155"/>
        <v/>
      </c>
      <c r="AA7264">
        <f t="shared" si="1145"/>
        <v>0</v>
      </c>
    </row>
    <row r="7265" spans="1:27" ht="21" customHeight="1" x14ac:dyDescent="0.95">
      <c r="A7265" s="56"/>
      <c r="B7265" s="57"/>
      <c r="C7265" s="57"/>
      <c r="D7265" s="57"/>
      <c r="E7265" s="56"/>
      <c r="F7265" s="57"/>
      <c r="G7265" s="57"/>
      <c r="H7265" s="56"/>
      <c r="I7265" s="56"/>
      <c r="J7265" s="58"/>
      <c r="K7265" s="58"/>
      <c r="L7265" s="13" t="str">
        <f t="shared" si="1146"/>
        <v/>
      </c>
      <c r="M7265" s="13" t="str">
        <f t="shared" si="1147"/>
        <v/>
      </c>
      <c r="Q7265" t="str">
        <f t="shared" si="1148"/>
        <v/>
      </c>
      <c r="R7265" t="str">
        <f t="shared" si="1149"/>
        <v/>
      </c>
      <c r="S7265" t="str">
        <f t="shared" si="1150"/>
        <v/>
      </c>
      <c r="T7265" t="str">
        <f t="shared" si="1151"/>
        <v/>
      </c>
      <c r="U7265" t="str">
        <f t="shared" si="1152"/>
        <v/>
      </c>
      <c r="V7265" t="str">
        <f t="shared" si="1153"/>
        <v/>
      </c>
      <c r="W7265" t="str">
        <f t="shared" si="1154"/>
        <v/>
      </c>
      <c r="X7265">
        <f t="shared" si="1144"/>
        <v>0</v>
      </c>
      <c r="Z7265" t="str">
        <f t="shared" si="1155"/>
        <v/>
      </c>
      <c r="AA7265">
        <f t="shared" si="1145"/>
        <v>0</v>
      </c>
    </row>
    <row r="7266" spans="1:27" ht="21" customHeight="1" x14ac:dyDescent="0.95">
      <c r="A7266" s="56"/>
      <c r="B7266" s="57"/>
      <c r="C7266" s="57"/>
      <c r="D7266" s="57"/>
      <c r="E7266" s="56"/>
      <c r="F7266" s="57"/>
      <c r="G7266" s="57"/>
      <c r="H7266" s="56"/>
      <c r="I7266" s="56"/>
      <c r="J7266" s="58"/>
      <c r="K7266" s="58"/>
      <c r="L7266" s="13" t="str">
        <f t="shared" si="1146"/>
        <v/>
      </c>
      <c r="M7266" s="13" t="str">
        <f t="shared" si="1147"/>
        <v/>
      </c>
      <c r="Q7266" t="str">
        <f t="shared" si="1148"/>
        <v/>
      </c>
      <c r="R7266" t="str">
        <f t="shared" si="1149"/>
        <v/>
      </c>
      <c r="S7266" t="str">
        <f t="shared" si="1150"/>
        <v/>
      </c>
      <c r="T7266" t="str">
        <f t="shared" si="1151"/>
        <v/>
      </c>
      <c r="U7266" t="str">
        <f t="shared" si="1152"/>
        <v/>
      </c>
      <c r="V7266" t="str">
        <f t="shared" si="1153"/>
        <v/>
      </c>
      <c r="W7266" t="str">
        <f t="shared" si="1154"/>
        <v/>
      </c>
      <c r="X7266">
        <f t="shared" si="1144"/>
        <v>0</v>
      </c>
      <c r="Z7266" t="str">
        <f t="shared" si="1155"/>
        <v/>
      </c>
      <c r="AA7266">
        <f t="shared" si="1145"/>
        <v>0</v>
      </c>
    </row>
    <row r="7267" spans="1:27" ht="21" customHeight="1" x14ac:dyDescent="0.95">
      <c r="A7267" s="56"/>
      <c r="B7267" s="57"/>
      <c r="C7267" s="57"/>
      <c r="D7267" s="57"/>
      <c r="E7267" s="56"/>
      <c r="F7267" s="57"/>
      <c r="G7267" s="57"/>
      <c r="H7267" s="56"/>
      <c r="I7267" s="56"/>
      <c r="J7267" s="58"/>
      <c r="K7267" s="58"/>
      <c r="L7267" s="13" t="str">
        <f t="shared" si="1146"/>
        <v/>
      </c>
      <c r="M7267" s="13" t="str">
        <f t="shared" si="1147"/>
        <v/>
      </c>
      <c r="Q7267" t="str">
        <f t="shared" si="1148"/>
        <v/>
      </c>
      <c r="R7267" t="str">
        <f t="shared" si="1149"/>
        <v/>
      </c>
      <c r="S7267" t="str">
        <f t="shared" si="1150"/>
        <v/>
      </c>
      <c r="T7267" t="str">
        <f t="shared" si="1151"/>
        <v/>
      </c>
      <c r="U7267" t="str">
        <f t="shared" si="1152"/>
        <v/>
      </c>
      <c r="V7267" t="str">
        <f t="shared" si="1153"/>
        <v/>
      </c>
      <c r="W7267" t="str">
        <f t="shared" si="1154"/>
        <v/>
      </c>
      <c r="X7267">
        <f t="shared" si="1144"/>
        <v>0</v>
      </c>
      <c r="Z7267" t="str">
        <f t="shared" si="1155"/>
        <v/>
      </c>
      <c r="AA7267">
        <f t="shared" si="1145"/>
        <v>0</v>
      </c>
    </row>
    <row r="7268" spans="1:27" ht="21" customHeight="1" x14ac:dyDescent="0.95">
      <c r="A7268" s="56"/>
      <c r="B7268" s="57"/>
      <c r="C7268" s="57"/>
      <c r="D7268" s="57"/>
      <c r="E7268" s="56"/>
      <c r="F7268" s="57"/>
      <c r="G7268" s="57"/>
      <c r="H7268" s="56"/>
      <c r="I7268" s="56"/>
      <c r="J7268" s="58"/>
      <c r="K7268" s="58"/>
      <c r="L7268" s="13" t="str">
        <f t="shared" si="1146"/>
        <v/>
      </c>
      <c r="M7268" s="13" t="str">
        <f t="shared" si="1147"/>
        <v/>
      </c>
      <c r="Q7268" t="str">
        <f t="shared" si="1148"/>
        <v/>
      </c>
      <c r="R7268" t="str">
        <f t="shared" si="1149"/>
        <v/>
      </c>
      <c r="S7268" t="str">
        <f t="shared" si="1150"/>
        <v/>
      </c>
      <c r="T7268" t="str">
        <f t="shared" si="1151"/>
        <v/>
      </c>
      <c r="U7268" t="str">
        <f t="shared" si="1152"/>
        <v/>
      </c>
      <c r="V7268" t="str">
        <f t="shared" si="1153"/>
        <v/>
      </c>
      <c r="W7268" t="str">
        <f t="shared" si="1154"/>
        <v/>
      </c>
      <c r="X7268">
        <f t="shared" si="1144"/>
        <v>0</v>
      </c>
      <c r="Z7268" t="str">
        <f t="shared" si="1155"/>
        <v/>
      </c>
      <c r="AA7268">
        <f t="shared" si="1145"/>
        <v>0</v>
      </c>
    </row>
    <row r="7269" spans="1:27" ht="21" customHeight="1" x14ac:dyDescent="0.95">
      <c r="A7269" s="56"/>
      <c r="B7269" s="57"/>
      <c r="C7269" s="57"/>
      <c r="D7269" s="57"/>
      <c r="E7269" s="56"/>
      <c r="F7269" s="57"/>
      <c r="G7269" s="57"/>
      <c r="H7269" s="56"/>
      <c r="I7269" s="56"/>
      <c r="J7269" s="58"/>
      <c r="K7269" s="58"/>
      <c r="L7269" s="13" t="str">
        <f t="shared" si="1146"/>
        <v/>
      </c>
      <c r="M7269" s="13" t="str">
        <f t="shared" si="1147"/>
        <v/>
      </c>
      <c r="Q7269" t="str">
        <f t="shared" si="1148"/>
        <v/>
      </c>
      <c r="R7269" t="str">
        <f t="shared" si="1149"/>
        <v/>
      </c>
      <c r="S7269" t="str">
        <f t="shared" si="1150"/>
        <v/>
      </c>
      <c r="T7269" t="str">
        <f t="shared" si="1151"/>
        <v/>
      </c>
      <c r="U7269" t="str">
        <f t="shared" si="1152"/>
        <v/>
      </c>
      <c r="V7269" t="str">
        <f t="shared" si="1153"/>
        <v/>
      </c>
      <c r="W7269" t="str">
        <f t="shared" si="1154"/>
        <v/>
      </c>
      <c r="X7269">
        <f t="shared" si="1144"/>
        <v>0</v>
      </c>
      <c r="Z7269" t="str">
        <f t="shared" si="1155"/>
        <v/>
      </c>
      <c r="AA7269">
        <f t="shared" si="1145"/>
        <v>0</v>
      </c>
    </row>
    <row r="7270" spans="1:27" ht="21" customHeight="1" x14ac:dyDescent="0.95">
      <c r="A7270" s="56"/>
      <c r="B7270" s="57"/>
      <c r="C7270" s="57"/>
      <c r="D7270" s="57"/>
      <c r="E7270" s="56"/>
      <c r="F7270" s="57"/>
      <c r="G7270" s="57"/>
      <c r="H7270" s="56"/>
      <c r="I7270" s="56"/>
      <c r="J7270" s="58"/>
      <c r="K7270" s="58"/>
      <c r="L7270" s="13" t="str">
        <f t="shared" si="1146"/>
        <v/>
      </c>
      <c r="M7270" s="13" t="str">
        <f t="shared" si="1147"/>
        <v/>
      </c>
      <c r="Q7270" t="str">
        <f t="shared" si="1148"/>
        <v/>
      </c>
      <c r="R7270" t="str">
        <f t="shared" si="1149"/>
        <v/>
      </c>
      <c r="S7270" t="str">
        <f t="shared" si="1150"/>
        <v/>
      </c>
      <c r="T7270" t="str">
        <f t="shared" si="1151"/>
        <v/>
      </c>
      <c r="U7270" t="str">
        <f t="shared" si="1152"/>
        <v/>
      </c>
      <c r="V7270" t="str">
        <f t="shared" si="1153"/>
        <v/>
      </c>
      <c r="W7270" t="str">
        <f t="shared" si="1154"/>
        <v/>
      </c>
      <c r="X7270">
        <f t="shared" si="1144"/>
        <v>0</v>
      </c>
      <c r="Z7270" t="str">
        <f t="shared" si="1155"/>
        <v/>
      </c>
      <c r="AA7270">
        <f t="shared" si="1145"/>
        <v>0</v>
      </c>
    </row>
    <row r="7271" spans="1:27" ht="21" customHeight="1" x14ac:dyDescent="0.95">
      <c r="A7271" s="56"/>
      <c r="B7271" s="57"/>
      <c r="C7271" s="57"/>
      <c r="D7271" s="57"/>
      <c r="E7271" s="56"/>
      <c r="F7271" s="57"/>
      <c r="G7271" s="57"/>
      <c r="H7271" s="56"/>
      <c r="I7271" s="56"/>
      <c r="J7271" s="58"/>
      <c r="K7271" s="58"/>
      <c r="L7271" s="13" t="str">
        <f t="shared" si="1146"/>
        <v/>
      </c>
      <c r="M7271" s="13" t="str">
        <f t="shared" si="1147"/>
        <v/>
      </c>
      <c r="Q7271" t="str">
        <f t="shared" si="1148"/>
        <v/>
      </c>
      <c r="R7271" t="str">
        <f t="shared" si="1149"/>
        <v/>
      </c>
      <c r="S7271" t="str">
        <f t="shared" si="1150"/>
        <v/>
      </c>
      <c r="T7271" t="str">
        <f t="shared" si="1151"/>
        <v/>
      </c>
      <c r="U7271" t="str">
        <f t="shared" si="1152"/>
        <v/>
      </c>
      <c r="V7271" t="str">
        <f t="shared" si="1153"/>
        <v/>
      </c>
      <c r="W7271" t="str">
        <f t="shared" si="1154"/>
        <v/>
      </c>
      <c r="X7271">
        <f t="shared" si="1144"/>
        <v>0</v>
      </c>
      <c r="Z7271" t="str">
        <f t="shared" si="1155"/>
        <v/>
      </c>
      <c r="AA7271">
        <f t="shared" si="1145"/>
        <v>0</v>
      </c>
    </row>
    <row r="7272" spans="1:27" ht="21" customHeight="1" x14ac:dyDescent="0.95">
      <c r="A7272" s="56"/>
      <c r="B7272" s="57"/>
      <c r="C7272" s="57"/>
      <c r="D7272" s="57"/>
      <c r="E7272" s="56"/>
      <c r="F7272" s="57"/>
      <c r="G7272" s="57"/>
      <c r="H7272" s="56"/>
      <c r="I7272" s="56"/>
      <c r="J7272" s="58"/>
      <c r="K7272" s="58"/>
      <c r="L7272" s="13" t="str">
        <f t="shared" si="1146"/>
        <v/>
      </c>
      <c r="M7272" s="13" t="str">
        <f t="shared" si="1147"/>
        <v/>
      </c>
      <c r="Q7272" t="str">
        <f t="shared" si="1148"/>
        <v/>
      </c>
      <c r="R7272" t="str">
        <f t="shared" si="1149"/>
        <v/>
      </c>
      <c r="S7272" t="str">
        <f t="shared" si="1150"/>
        <v/>
      </c>
      <c r="T7272" t="str">
        <f t="shared" si="1151"/>
        <v/>
      </c>
      <c r="U7272" t="str">
        <f t="shared" si="1152"/>
        <v/>
      </c>
      <c r="V7272" t="str">
        <f t="shared" si="1153"/>
        <v/>
      </c>
      <c r="W7272" t="str">
        <f t="shared" si="1154"/>
        <v/>
      </c>
      <c r="X7272">
        <f t="shared" si="1144"/>
        <v>0</v>
      </c>
      <c r="Z7272" t="str">
        <f t="shared" si="1155"/>
        <v/>
      </c>
      <c r="AA7272">
        <f t="shared" si="1145"/>
        <v>0</v>
      </c>
    </row>
    <row r="7273" spans="1:27" ht="21" customHeight="1" x14ac:dyDescent="0.95">
      <c r="A7273" s="56"/>
      <c r="B7273" s="57"/>
      <c r="C7273" s="57"/>
      <c r="D7273" s="57"/>
      <c r="E7273" s="56"/>
      <c r="F7273" s="57"/>
      <c r="G7273" s="57"/>
      <c r="H7273" s="56"/>
      <c r="I7273" s="56"/>
      <c r="J7273" s="58"/>
      <c r="K7273" s="58"/>
      <c r="L7273" s="13" t="str">
        <f t="shared" si="1146"/>
        <v/>
      </c>
      <c r="M7273" s="13" t="str">
        <f t="shared" si="1147"/>
        <v/>
      </c>
      <c r="Q7273" t="str">
        <f t="shared" si="1148"/>
        <v/>
      </c>
      <c r="R7273" t="str">
        <f t="shared" si="1149"/>
        <v/>
      </c>
      <c r="S7273" t="str">
        <f t="shared" si="1150"/>
        <v/>
      </c>
      <c r="T7273" t="str">
        <f t="shared" si="1151"/>
        <v/>
      </c>
      <c r="U7273" t="str">
        <f t="shared" si="1152"/>
        <v/>
      </c>
      <c r="V7273" t="str">
        <f t="shared" si="1153"/>
        <v/>
      </c>
      <c r="W7273" t="str">
        <f t="shared" si="1154"/>
        <v/>
      </c>
      <c r="X7273">
        <f t="shared" si="1144"/>
        <v>0</v>
      </c>
      <c r="Z7273" t="str">
        <f t="shared" si="1155"/>
        <v/>
      </c>
      <c r="AA7273">
        <f t="shared" si="1145"/>
        <v>0</v>
      </c>
    </row>
    <row r="7274" spans="1:27" ht="21" customHeight="1" x14ac:dyDescent="0.95">
      <c r="A7274" s="56"/>
      <c r="B7274" s="57"/>
      <c r="C7274" s="57"/>
      <c r="D7274" s="57"/>
      <c r="E7274" s="56"/>
      <c r="F7274" s="57"/>
      <c r="G7274" s="57"/>
      <c r="H7274" s="56"/>
      <c r="I7274" s="56"/>
      <c r="J7274" s="58"/>
      <c r="K7274" s="58"/>
      <c r="L7274" s="13" t="str">
        <f t="shared" si="1146"/>
        <v/>
      </c>
      <c r="M7274" s="13" t="str">
        <f t="shared" si="1147"/>
        <v/>
      </c>
      <c r="Q7274" t="str">
        <f t="shared" si="1148"/>
        <v/>
      </c>
      <c r="R7274" t="str">
        <f t="shared" si="1149"/>
        <v/>
      </c>
      <c r="S7274" t="str">
        <f t="shared" si="1150"/>
        <v/>
      </c>
      <c r="T7274" t="str">
        <f t="shared" si="1151"/>
        <v/>
      </c>
      <c r="U7274" t="str">
        <f t="shared" si="1152"/>
        <v/>
      </c>
      <c r="V7274" t="str">
        <f t="shared" si="1153"/>
        <v/>
      </c>
      <c r="W7274" t="str">
        <f t="shared" si="1154"/>
        <v/>
      </c>
      <c r="X7274">
        <f t="shared" si="1144"/>
        <v>0</v>
      </c>
      <c r="Z7274" t="str">
        <f t="shared" si="1155"/>
        <v/>
      </c>
      <c r="AA7274">
        <f t="shared" si="1145"/>
        <v>0</v>
      </c>
    </row>
    <row r="7275" spans="1:27" ht="21" customHeight="1" x14ac:dyDescent="0.95">
      <c r="A7275" s="56"/>
      <c r="B7275" s="57"/>
      <c r="C7275" s="57"/>
      <c r="D7275" s="57"/>
      <c r="E7275" s="56"/>
      <c r="F7275" s="57"/>
      <c r="G7275" s="57"/>
      <c r="H7275" s="56"/>
      <c r="I7275" s="56"/>
      <c r="J7275" s="58"/>
      <c r="K7275" s="58"/>
      <c r="L7275" s="13" t="str">
        <f t="shared" si="1146"/>
        <v/>
      </c>
      <c r="M7275" s="13" t="str">
        <f t="shared" si="1147"/>
        <v/>
      </c>
      <c r="Q7275" t="str">
        <f t="shared" si="1148"/>
        <v/>
      </c>
      <c r="R7275" t="str">
        <f t="shared" si="1149"/>
        <v/>
      </c>
      <c r="S7275" t="str">
        <f t="shared" si="1150"/>
        <v/>
      </c>
      <c r="T7275" t="str">
        <f t="shared" si="1151"/>
        <v/>
      </c>
      <c r="U7275" t="str">
        <f t="shared" si="1152"/>
        <v/>
      </c>
      <c r="V7275" t="str">
        <f t="shared" si="1153"/>
        <v/>
      </c>
      <c r="W7275" t="str">
        <f t="shared" si="1154"/>
        <v/>
      </c>
      <c r="X7275">
        <f t="shared" si="1144"/>
        <v>0</v>
      </c>
      <c r="Z7275" t="str">
        <f t="shared" si="1155"/>
        <v/>
      </c>
      <c r="AA7275">
        <f t="shared" si="1145"/>
        <v>0</v>
      </c>
    </row>
    <row r="7276" spans="1:27" ht="21" customHeight="1" x14ac:dyDescent="0.95">
      <c r="A7276" s="56"/>
      <c r="B7276" s="57"/>
      <c r="C7276" s="57"/>
      <c r="D7276" s="57"/>
      <c r="E7276" s="56"/>
      <c r="F7276" s="57"/>
      <c r="G7276" s="57"/>
      <c r="H7276" s="56"/>
      <c r="I7276" s="56"/>
      <c r="J7276" s="58"/>
      <c r="K7276" s="58"/>
      <c r="L7276" s="13" t="str">
        <f t="shared" si="1146"/>
        <v/>
      </c>
      <c r="M7276" s="13" t="str">
        <f t="shared" si="1147"/>
        <v/>
      </c>
      <c r="Q7276" t="str">
        <f t="shared" si="1148"/>
        <v/>
      </c>
      <c r="R7276" t="str">
        <f t="shared" si="1149"/>
        <v/>
      </c>
      <c r="S7276" t="str">
        <f t="shared" si="1150"/>
        <v/>
      </c>
      <c r="T7276" t="str">
        <f t="shared" si="1151"/>
        <v/>
      </c>
      <c r="U7276" t="str">
        <f t="shared" si="1152"/>
        <v/>
      </c>
      <c r="V7276" t="str">
        <f t="shared" si="1153"/>
        <v/>
      </c>
      <c r="W7276" t="str">
        <f t="shared" si="1154"/>
        <v/>
      </c>
      <c r="X7276">
        <f t="shared" si="1144"/>
        <v>0</v>
      </c>
      <c r="Z7276" t="str">
        <f t="shared" si="1155"/>
        <v/>
      </c>
      <c r="AA7276">
        <f t="shared" si="1145"/>
        <v>0</v>
      </c>
    </row>
    <row r="7277" spans="1:27" ht="21" customHeight="1" x14ac:dyDescent="0.95">
      <c r="A7277" s="56"/>
      <c r="B7277" s="57"/>
      <c r="C7277" s="57"/>
      <c r="D7277" s="57"/>
      <c r="E7277" s="56"/>
      <c r="F7277" s="57"/>
      <c r="G7277" s="57"/>
      <c r="H7277" s="56"/>
      <c r="I7277" s="56"/>
      <c r="J7277" s="58"/>
      <c r="K7277" s="58"/>
      <c r="L7277" s="13" t="str">
        <f t="shared" si="1146"/>
        <v/>
      </c>
      <c r="M7277" s="13" t="str">
        <f t="shared" si="1147"/>
        <v/>
      </c>
      <c r="Q7277" t="str">
        <f t="shared" si="1148"/>
        <v/>
      </c>
      <c r="R7277" t="str">
        <f t="shared" si="1149"/>
        <v/>
      </c>
      <c r="S7277" t="str">
        <f t="shared" si="1150"/>
        <v/>
      </c>
      <c r="T7277" t="str">
        <f t="shared" si="1151"/>
        <v/>
      </c>
      <c r="U7277" t="str">
        <f t="shared" si="1152"/>
        <v/>
      </c>
      <c r="V7277" t="str">
        <f t="shared" si="1153"/>
        <v/>
      </c>
      <c r="W7277" t="str">
        <f t="shared" si="1154"/>
        <v/>
      </c>
      <c r="X7277">
        <f t="shared" si="1144"/>
        <v>0</v>
      </c>
      <c r="Z7277" t="str">
        <f t="shared" si="1155"/>
        <v/>
      </c>
      <c r="AA7277">
        <f t="shared" si="1145"/>
        <v>0</v>
      </c>
    </row>
    <row r="7278" spans="1:27" ht="21" customHeight="1" x14ac:dyDescent="0.95">
      <c r="A7278" s="56"/>
      <c r="B7278" s="57"/>
      <c r="C7278" s="57"/>
      <c r="D7278" s="57"/>
      <c r="E7278" s="56"/>
      <c r="F7278" s="57"/>
      <c r="G7278" s="57"/>
      <c r="H7278" s="56"/>
      <c r="I7278" s="56"/>
      <c r="J7278" s="58"/>
      <c r="K7278" s="58"/>
      <c r="L7278" s="13" t="str">
        <f t="shared" si="1146"/>
        <v/>
      </c>
      <c r="M7278" s="13" t="str">
        <f t="shared" si="1147"/>
        <v/>
      </c>
      <c r="Q7278" t="str">
        <f t="shared" si="1148"/>
        <v/>
      </c>
      <c r="R7278" t="str">
        <f t="shared" si="1149"/>
        <v/>
      </c>
      <c r="S7278" t="str">
        <f t="shared" si="1150"/>
        <v/>
      </c>
      <c r="T7278" t="str">
        <f t="shared" si="1151"/>
        <v/>
      </c>
      <c r="U7278" t="str">
        <f t="shared" si="1152"/>
        <v/>
      </c>
      <c r="V7278" t="str">
        <f t="shared" si="1153"/>
        <v/>
      </c>
      <c r="W7278" t="str">
        <f t="shared" si="1154"/>
        <v/>
      </c>
      <c r="X7278">
        <f t="shared" si="1144"/>
        <v>0</v>
      </c>
      <c r="Z7278" t="str">
        <f t="shared" si="1155"/>
        <v/>
      </c>
      <c r="AA7278">
        <f t="shared" si="1145"/>
        <v>0</v>
      </c>
    </row>
    <row r="7279" spans="1:27" ht="21" customHeight="1" x14ac:dyDescent="0.95">
      <c r="A7279" s="56"/>
      <c r="B7279" s="57"/>
      <c r="C7279" s="57"/>
      <c r="D7279" s="57"/>
      <c r="E7279" s="56"/>
      <c r="F7279" s="57"/>
      <c r="G7279" s="57"/>
      <c r="H7279" s="56"/>
      <c r="I7279" s="56"/>
      <c r="J7279" s="58"/>
      <c r="K7279" s="58"/>
      <c r="L7279" s="13" t="str">
        <f t="shared" si="1146"/>
        <v/>
      </c>
      <c r="M7279" s="13" t="str">
        <f t="shared" si="1147"/>
        <v/>
      </c>
      <c r="Q7279" t="str">
        <f t="shared" si="1148"/>
        <v/>
      </c>
      <c r="R7279" t="str">
        <f t="shared" si="1149"/>
        <v/>
      </c>
      <c r="S7279" t="str">
        <f t="shared" si="1150"/>
        <v/>
      </c>
      <c r="T7279" t="str">
        <f t="shared" si="1151"/>
        <v/>
      </c>
      <c r="U7279" t="str">
        <f t="shared" si="1152"/>
        <v/>
      </c>
      <c r="V7279" t="str">
        <f t="shared" si="1153"/>
        <v/>
      </c>
      <c r="W7279" t="str">
        <f t="shared" si="1154"/>
        <v/>
      </c>
      <c r="X7279">
        <f t="shared" si="1144"/>
        <v>0</v>
      </c>
      <c r="Z7279" t="str">
        <f t="shared" si="1155"/>
        <v/>
      </c>
      <c r="AA7279">
        <f t="shared" si="1145"/>
        <v>0</v>
      </c>
    </row>
    <row r="7280" spans="1:27" ht="21" customHeight="1" x14ac:dyDescent="0.95">
      <c r="A7280" s="56"/>
      <c r="B7280" s="57"/>
      <c r="C7280" s="57"/>
      <c r="D7280" s="57"/>
      <c r="E7280" s="56"/>
      <c r="F7280" s="57"/>
      <c r="G7280" s="57"/>
      <c r="H7280" s="56"/>
      <c r="I7280" s="56"/>
      <c r="J7280" s="58"/>
      <c r="K7280" s="58"/>
      <c r="L7280" s="13" t="str">
        <f t="shared" si="1146"/>
        <v/>
      </c>
      <c r="M7280" s="13" t="str">
        <f t="shared" si="1147"/>
        <v/>
      </c>
      <c r="Q7280" t="str">
        <f t="shared" si="1148"/>
        <v/>
      </c>
      <c r="R7280" t="str">
        <f t="shared" si="1149"/>
        <v/>
      </c>
      <c r="S7280" t="str">
        <f t="shared" si="1150"/>
        <v/>
      </c>
      <c r="T7280" t="str">
        <f t="shared" si="1151"/>
        <v/>
      </c>
      <c r="U7280" t="str">
        <f t="shared" si="1152"/>
        <v/>
      </c>
      <c r="V7280" t="str">
        <f t="shared" si="1153"/>
        <v/>
      </c>
      <c r="W7280" t="str">
        <f t="shared" si="1154"/>
        <v/>
      </c>
      <c r="X7280">
        <f t="shared" si="1144"/>
        <v>0</v>
      </c>
      <c r="Z7280" t="str">
        <f t="shared" si="1155"/>
        <v/>
      </c>
      <c r="AA7280">
        <f t="shared" si="1145"/>
        <v>0</v>
      </c>
    </row>
    <row r="7281" spans="1:27" ht="21" customHeight="1" x14ac:dyDescent="0.95">
      <c r="A7281" s="56"/>
      <c r="B7281" s="57"/>
      <c r="C7281" s="57"/>
      <c r="D7281" s="57"/>
      <c r="E7281" s="56"/>
      <c r="F7281" s="57"/>
      <c r="G7281" s="57"/>
      <c r="H7281" s="56"/>
      <c r="I7281" s="56"/>
      <c r="J7281" s="58"/>
      <c r="K7281" s="58"/>
      <c r="L7281" s="13" t="str">
        <f t="shared" si="1146"/>
        <v/>
      </c>
      <c r="M7281" s="13" t="str">
        <f t="shared" si="1147"/>
        <v/>
      </c>
      <c r="Q7281" t="str">
        <f t="shared" si="1148"/>
        <v/>
      </c>
      <c r="R7281" t="str">
        <f t="shared" si="1149"/>
        <v/>
      </c>
      <c r="S7281" t="str">
        <f t="shared" si="1150"/>
        <v/>
      </c>
      <c r="T7281" t="str">
        <f t="shared" si="1151"/>
        <v/>
      </c>
      <c r="U7281" t="str">
        <f t="shared" si="1152"/>
        <v/>
      </c>
      <c r="V7281" t="str">
        <f t="shared" si="1153"/>
        <v/>
      </c>
      <c r="W7281" t="str">
        <f t="shared" si="1154"/>
        <v/>
      </c>
      <c r="X7281">
        <f t="shared" si="1144"/>
        <v>0</v>
      </c>
      <c r="Z7281" t="str">
        <f t="shared" si="1155"/>
        <v/>
      </c>
      <c r="AA7281">
        <f t="shared" si="1145"/>
        <v>0</v>
      </c>
    </row>
    <row r="7282" spans="1:27" ht="21" customHeight="1" x14ac:dyDescent="0.95">
      <c r="A7282" s="56"/>
      <c r="B7282" s="57"/>
      <c r="C7282" s="57"/>
      <c r="D7282" s="57"/>
      <c r="E7282" s="56"/>
      <c r="F7282" s="57"/>
      <c r="G7282" s="57"/>
      <c r="H7282" s="56"/>
      <c r="I7282" s="56"/>
      <c r="J7282" s="58"/>
      <c r="K7282" s="58"/>
      <c r="L7282" s="13" t="str">
        <f t="shared" si="1146"/>
        <v/>
      </c>
      <c r="M7282" s="13" t="str">
        <f t="shared" si="1147"/>
        <v/>
      </c>
      <c r="Q7282" t="str">
        <f t="shared" si="1148"/>
        <v/>
      </c>
      <c r="R7282" t="str">
        <f t="shared" si="1149"/>
        <v/>
      </c>
      <c r="S7282" t="str">
        <f t="shared" si="1150"/>
        <v/>
      </c>
      <c r="T7282" t="str">
        <f t="shared" si="1151"/>
        <v/>
      </c>
      <c r="U7282" t="str">
        <f t="shared" si="1152"/>
        <v/>
      </c>
      <c r="V7282" t="str">
        <f t="shared" si="1153"/>
        <v/>
      </c>
      <c r="W7282" t="str">
        <f t="shared" si="1154"/>
        <v/>
      </c>
      <c r="X7282">
        <f t="shared" si="1144"/>
        <v>0</v>
      </c>
      <c r="Z7282" t="str">
        <f t="shared" si="1155"/>
        <v/>
      </c>
      <c r="AA7282">
        <f t="shared" si="1145"/>
        <v>0</v>
      </c>
    </row>
    <row r="7283" spans="1:27" ht="21" customHeight="1" x14ac:dyDescent="0.95">
      <c r="A7283" s="56"/>
      <c r="B7283" s="57"/>
      <c r="C7283" s="57"/>
      <c r="D7283" s="57"/>
      <c r="E7283" s="56"/>
      <c r="F7283" s="57"/>
      <c r="G7283" s="57"/>
      <c r="H7283" s="56"/>
      <c r="I7283" s="56"/>
      <c r="J7283" s="58"/>
      <c r="K7283" s="58"/>
      <c r="L7283" s="13" t="str">
        <f t="shared" si="1146"/>
        <v/>
      </c>
      <c r="M7283" s="13" t="str">
        <f t="shared" si="1147"/>
        <v/>
      </c>
      <c r="Q7283" t="str">
        <f t="shared" si="1148"/>
        <v/>
      </c>
      <c r="R7283" t="str">
        <f t="shared" si="1149"/>
        <v/>
      </c>
      <c r="S7283" t="str">
        <f t="shared" si="1150"/>
        <v/>
      </c>
      <c r="T7283" t="str">
        <f t="shared" si="1151"/>
        <v/>
      </c>
      <c r="U7283" t="str">
        <f t="shared" si="1152"/>
        <v/>
      </c>
      <c r="V7283" t="str">
        <f t="shared" si="1153"/>
        <v/>
      </c>
      <c r="W7283" t="str">
        <f t="shared" si="1154"/>
        <v/>
      </c>
      <c r="X7283">
        <f t="shared" si="1144"/>
        <v>0</v>
      </c>
      <c r="Z7283" t="str">
        <f t="shared" si="1155"/>
        <v/>
      </c>
      <c r="AA7283">
        <f t="shared" si="1145"/>
        <v>0</v>
      </c>
    </row>
    <row r="7284" spans="1:27" ht="21" customHeight="1" x14ac:dyDescent="0.95">
      <c r="A7284" s="56"/>
      <c r="B7284" s="57"/>
      <c r="C7284" s="57"/>
      <c r="D7284" s="57"/>
      <c r="E7284" s="56"/>
      <c r="F7284" s="57"/>
      <c r="G7284" s="57"/>
      <c r="H7284" s="56"/>
      <c r="I7284" s="56"/>
      <c r="J7284" s="58"/>
      <c r="K7284" s="58"/>
      <c r="L7284" s="13" t="str">
        <f t="shared" si="1146"/>
        <v/>
      </c>
      <c r="M7284" s="13" t="str">
        <f t="shared" si="1147"/>
        <v/>
      </c>
      <c r="Q7284" t="str">
        <f t="shared" si="1148"/>
        <v/>
      </c>
      <c r="R7284" t="str">
        <f t="shared" si="1149"/>
        <v/>
      </c>
      <c r="S7284" t="str">
        <f t="shared" si="1150"/>
        <v/>
      </c>
      <c r="T7284" t="str">
        <f t="shared" si="1151"/>
        <v/>
      </c>
      <c r="U7284" t="str">
        <f t="shared" si="1152"/>
        <v/>
      </c>
      <c r="V7284" t="str">
        <f t="shared" si="1153"/>
        <v/>
      </c>
      <c r="W7284" t="str">
        <f t="shared" si="1154"/>
        <v/>
      </c>
      <c r="X7284">
        <f t="shared" si="1144"/>
        <v>0</v>
      </c>
      <c r="Z7284" t="str">
        <f t="shared" si="1155"/>
        <v/>
      </c>
      <c r="AA7284">
        <f t="shared" si="1145"/>
        <v>0</v>
      </c>
    </row>
    <row r="7285" spans="1:27" ht="21" customHeight="1" x14ac:dyDescent="0.95">
      <c r="A7285" s="56"/>
      <c r="B7285" s="57"/>
      <c r="C7285" s="57"/>
      <c r="D7285" s="57"/>
      <c r="E7285" s="56"/>
      <c r="F7285" s="57"/>
      <c r="G7285" s="57"/>
      <c r="H7285" s="56"/>
      <c r="I7285" s="56"/>
      <c r="J7285" s="58"/>
      <c r="K7285" s="58"/>
      <c r="L7285" s="13" t="str">
        <f t="shared" si="1146"/>
        <v/>
      </c>
      <c r="M7285" s="13" t="str">
        <f t="shared" si="1147"/>
        <v/>
      </c>
      <c r="Q7285" t="str">
        <f t="shared" si="1148"/>
        <v/>
      </c>
      <c r="R7285" t="str">
        <f t="shared" si="1149"/>
        <v/>
      </c>
      <c r="S7285" t="str">
        <f t="shared" si="1150"/>
        <v/>
      </c>
      <c r="T7285" t="str">
        <f t="shared" si="1151"/>
        <v/>
      </c>
      <c r="U7285" t="str">
        <f t="shared" si="1152"/>
        <v/>
      </c>
      <c r="V7285" t="str">
        <f t="shared" si="1153"/>
        <v/>
      </c>
      <c r="W7285" t="str">
        <f t="shared" si="1154"/>
        <v/>
      </c>
      <c r="X7285">
        <f t="shared" ref="X7285:X7348" si="1156">IF($T7285="",N($X7284),IF(MATCH($T7285,$T$6:$T$10005,0)=ROW()-5,N($X7284)+1,N($X7284)))</f>
        <v>0</v>
      </c>
      <c r="Z7285" t="str">
        <f t="shared" si="1155"/>
        <v/>
      </c>
      <c r="AA7285">
        <f t="shared" ref="AA7285:AA7348" si="1157">IF($V7285="",N($AA7284),IF(MATCH($V7285,$V$6:$V$10005,0)=ROW()-5,N($AA7284)+1,N($AA7284)))</f>
        <v>0</v>
      </c>
    </row>
    <row r="7286" spans="1:27" ht="21" customHeight="1" x14ac:dyDescent="0.95">
      <c r="A7286" s="56"/>
      <c r="B7286" s="57"/>
      <c r="C7286" s="57"/>
      <c r="D7286" s="57"/>
      <c r="E7286" s="56"/>
      <c r="F7286" s="57"/>
      <c r="G7286" s="57"/>
      <c r="H7286" s="56"/>
      <c r="I7286" s="56"/>
      <c r="J7286" s="58"/>
      <c r="K7286" s="58"/>
      <c r="L7286" s="13" t="str">
        <f t="shared" si="1146"/>
        <v/>
      </c>
      <c r="M7286" s="13" t="str">
        <f t="shared" si="1147"/>
        <v/>
      </c>
      <c r="Q7286" t="str">
        <f t="shared" si="1148"/>
        <v/>
      </c>
      <c r="R7286" t="str">
        <f t="shared" si="1149"/>
        <v/>
      </c>
      <c r="S7286" t="str">
        <f t="shared" si="1150"/>
        <v/>
      </c>
      <c r="T7286" t="str">
        <f t="shared" si="1151"/>
        <v/>
      </c>
      <c r="U7286" t="str">
        <f t="shared" si="1152"/>
        <v/>
      </c>
      <c r="V7286" t="str">
        <f t="shared" si="1153"/>
        <v/>
      </c>
      <c r="W7286" t="str">
        <f t="shared" si="1154"/>
        <v/>
      </c>
      <c r="X7286">
        <f t="shared" si="1156"/>
        <v>0</v>
      </c>
      <c r="Z7286" t="str">
        <f t="shared" si="1155"/>
        <v/>
      </c>
      <c r="AA7286">
        <f t="shared" si="1157"/>
        <v>0</v>
      </c>
    </row>
    <row r="7287" spans="1:27" ht="21" customHeight="1" x14ac:dyDescent="0.95">
      <c r="A7287" s="56"/>
      <c r="B7287" s="57"/>
      <c r="C7287" s="57"/>
      <c r="D7287" s="57"/>
      <c r="E7287" s="56"/>
      <c r="F7287" s="57"/>
      <c r="G7287" s="57"/>
      <c r="H7287" s="56"/>
      <c r="I7287" s="56"/>
      <c r="J7287" s="58"/>
      <c r="K7287" s="58"/>
      <c r="L7287" s="13" t="str">
        <f t="shared" si="1146"/>
        <v/>
      </c>
      <c r="M7287" s="13" t="str">
        <f t="shared" si="1147"/>
        <v/>
      </c>
      <c r="Q7287" t="str">
        <f t="shared" si="1148"/>
        <v/>
      </c>
      <c r="R7287" t="str">
        <f t="shared" si="1149"/>
        <v/>
      </c>
      <c r="S7287" t="str">
        <f t="shared" si="1150"/>
        <v/>
      </c>
      <c r="T7287" t="str">
        <f t="shared" si="1151"/>
        <v/>
      </c>
      <c r="U7287" t="str">
        <f t="shared" si="1152"/>
        <v/>
      </c>
      <c r="V7287" t="str">
        <f t="shared" si="1153"/>
        <v/>
      </c>
      <c r="W7287" t="str">
        <f t="shared" si="1154"/>
        <v/>
      </c>
      <c r="X7287">
        <f t="shared" si="1156"/>
        <v>0</v>
      </c>
      <c r="Z7287" t="str">
        <f t="shared" si="1155"/>
        <v/>
      </c>
      <c r="AA7287">
        <f t="shared" si="1157"/>
        <v>0</v>
      </c>
    </row>
    <row r="7288" spans="1:27" ht="21" customHeight="1" x14ac:dyDescent="0.95">
      <c r="A7288" s="56"/>
      <c r="B7288" s="57"/>
      <c r="C7288" s="57"/>
      <c r="D7288" s="57"/>
      <c r="E7288" s="56"/>
      <c r="F7288" s="57"/>
      <c r="G7288" s="57"/>
      <c r="H7288" s="56"/>
      <c r="I7288" s="56"/>
      <c r="J7288" s="58"/>
      <c r="K7288" s="58"/>
      <c r="L7288" s="13" t="str">
        <f t="shared" si="1146"/>
        <v/>
      </c>
      <c r="M7288" s="13" t="str">
        <f t="shared" si="1147"/>
        <v/>
      </c>
      <c r="Q7288" t="str">
        <f t="shared" si="1148"/>
        <v/>
      </c>
      <c r="R7288" t="str">
        <f t="shared" si="1149"/>
        <v/>
      </c>
      <c r="S7288" t="str">
        <f t="shared" si="1150"/>
        <v/>
      </c>
      <c r="T7288" t="str">
        <f t="shared" si="1151"/>
        <v/>
      </c>
      <c r="U7288" t="str">
        <f t="shared" si="1152"/>
        <v/>
      </c>
      <c r="V7288" t="str">
        <f t="shared" si="1153"/>
        <v/>
      </c>
      <c r="W7288" t="str">
        <f t="shared" si="1154"/>
        <v/>
      </c>
      <c r="X7288">
        <f t="shared" si="1156"/>
        <v>0</v>
      </c>
      <c r="Z7288" t="str">
        <f t="shared" si="1155"/>
        <v/>
      </c>
      <c r="AA7288">
        <f t="shared" si="1157"/>
        <v>0</v>
      </c>
    </row>
    <row r="7289" spans="1:27" ht="21" customHeight="1" x14ac:dyDescent="0.95">
      <c r="A7289" s="56"/>
      <c r="B7289" s="57"/>
      <c r="C7289" s="57"/>
      <c r="D7289" s="57"/>
      <c r="E7289" s="56"/>
      <c r="F7289" s="57"/>
      <c r="G7289" s="57"/>
      <c r="H7289" s="56"/>
      <c r="I7289" s="56"/>
      <c r="J7289" s="58"/>
      <c r="K7289" s="58"/>
      <c r="L7289" s="13" t="str">
        <f t="shared" si="1146"/>
        <v/>
      </c>
      <c r="M7289" s="13" t="str">
        <f t="shared" si="1147"/>
        <v/>
      </c>
      <c r="Q7289" t="str">
        <f t="shared" si="1148"/>
        <v/>
      </c>
      <c r="R7289" t="str">
        <f t="shared" si="1149"/>
        <v/>
      </c>
      <c r="S7289" t="str">
        <f t="shared" si="1150"/>
        <v/>
      </c>
      <c r="T7289" t="str">
        <f t="shared" si="1151"/>
        <v/>
      </c>
      <c r="U7289" t="str">
        <f t="shared" si="1152"/>
        <v/>
      </c>
      <c r="V7289" t="str">
        <f t="shared" si="1153"/>
        <v/>
      </c>
      <c r="W7289" t="str">
        <f t="shared" si="1154"/>
        <v/>
      </c>
      <c r="X7289">
        <f t="shared" si="1156"/>
        <v>0</v>
      </c>
      <c r="Z7289" t="str">
        <f t="shared" si="1155"/>
        <v/>
      </c>
      <c r="AA7289">
        <f t="shared" si="1157"/>
        <v>0</v>
      </c>
    </row>
    <row r="7290" spans="1:27" ht="21" customHeight="1" x14ac:dyDescent="0.95">
      <c r="A7290" s="56"/>
      <c r="B7290" s="57"/>
      <c r="C7290" s="57"/>
      <c r="D7290" s="57"/>
      <c r="E7290" s="56"/>
      <c r="F7290" s="57"/>
      <c r="G7290" s="57"/>
      <c r="H7290" s="56"/>
      <c r="I7290" s="56"/>
      <c r="J7290" s="58"/>
      <c r="K7290" s="58"/>
      <c r="L7290" s="13" t="str">
        <f t="shared" si="1146"/>
        <v/>
      </c>
      <c r="M7290" s="13" t="str">
        <f t="shared" si="1147"/>
        <v/>
      </c>
      <c r="Q7290" t="str">
        <f t="shared" si="1148"/>
        <v/>
      </c>
      <c r="R7290" t="str">
        <f t="shared" si="1149"/>
        <v/>
      </c>
      <c r="S7290" t="str">
        <f t="shared" si="1150"/>
        <v/>
      </c>
      <c r="T7290" t="str">
        <f t="shared" si="1151"/>
        <v/>
      </c>
      <c r="U7290" t="str">
        <f t="shared" si="1152"/>
        <v/>
      </c>
      <c r="V7290" t="str">
        <f t="shared" si="1153"/>
        <v/>
      </c>
      <c r="W7290" t="str">
        <f t="shared" si="1154"/>
        <v/>
      </c>
      <c r="X7290">
        <f t="shared" si="1156"/>
        <v>0</v>
      </c>
      <c r="Z7290" t="str">
        <f t="shared" si="1155"/>
        <v/>
      </c>
      <c r="AA7290">
        <f t="shared" si="1157"/>
        <v>0</v>
      </c>
    </row>
    <row r="7291" spans="1:27" ht="21" customHeight="1" x14ac:dyDescent="0.95">
      <c r="A7291" s="56"/>
      <c r="B7291" s="57"/>
      <c r="C7291" s="57"/>
      <c r="D7291" s="57"/>
      <c r="E7291" s="56"/>
      <c r="F7291" s="57"/>
      <c r="G7291" s="57"/>
      <c r="H7291" s="56"/>
      <c r="I7291" s="56"/>
      <c r="J7291" s="58"/>
      <c r="K7291" s="58"/>
      <c r="L7291" s="13" t="str">
        <f t="shared" si="1146"/>
        <v/>
      </c>
      <c r="M7291" s="13" t="str">
        <f t="shared" si="1147"/>
        <v/>
      </c>
      <c r="Q7291" t="str">
        <f t="shared" si="1148"/>
        <v/>
      </c>
      <c r="R7291" t="str">
        <f t="shared" si="1149"/>
        <v/>
      </c>
      <c r="S7291" t="str">
        <f t="shared" si="1150"/>
        <v/>
      </c>
      <c r="T7291" t="str">
        <f t="shared" si="1151"/>
        <v/>
      </c>
      <c r="U7291" t="str">
        <f t="shared" si="1152"/>
        <v/>
      </c>
      <c r="V7291" t="str">
        <f t="shared" si="1153"/>
        <v/>
      </c>
      <c r="W7291" t="str">
        <f t="shared" si="1154"/>
        <v/>
      </c>
      <c r="X7291">
        <f t="shared" si="1156"/>
        <v>0</v>
      </c>
      <c r="Z7291" t="str">
        <f t="shared" si="1155"/>
        <v/>
      </c>
      <c r="AA7291">
        <f t="shared" si="1157"/>
        <v>0</v>
      </c>
    </row>
    <row r="7292" spans="1:27" ht="21" customHeight="1" x14ac:dyDescent="0.95">
      <c r="A7292" s="56"/>
      <c r="B7292" s="57"/>
      <c r="C7292" s="57"/>
      <c r="D7292" s="57"/>
      <c r="E7292" s="56"/>
      <c r="F7292" s="57"/>
      <c r="G7292" s="57"/>
      <c r="H7292" s="56"/>
      <c r="I7292" s="56"/>
      <c r="J7292" s="58"/>
      <c r="K7292" s="58"/>
      <c r="L7292" s="13" t="str">
        <f t="shared" si="1146"/>
        <v/>
      </c>
      <c r="M7292" s="13" t="str">
        <f t="shared" si="1147"/>
        <v/>
      </c>
      <c r="Q7292" t="str">
        <f t="shared" si="1148"/>
        <v/>
      </c>
      <c r="R7292" t="str">
        <f t="shared" si="1149"/>
        <v/>
      </c>
      <c r="S7292" t="str">
        <f t="shared" si="1150"/>
        <v/>
      </c>
      <c r="T7292" t="str">
        <f t="shared" si="1151"/>
        <v/>
      </c>
      <c r="U7292" t="str">
        <f t="shared" si="1152"/>
        <v/>
      </c>
      <c r="V7292" t="str">
        <f t="shared" si="1153"/>
        <v/>
      </c>
      <c r="W7292" t="str">
        <f t="shared" si="1154"/>
        <v/>
      </c>
      <c r="X7292">
        <f t="shared" si="1156"/>
        <v>0</v>
      </c>
      <c r="Z7292" t="str">
        <f t="shared" si="1155"/>
        <v/>
      </c>
      <c r="AA7292">
        <f t="shared" si="1157"/>
        <v>0</v>
      </c>
    </row>
    <row r="7293" spans="1:27" ht="21" customHeight="1" x14ac:dyDescent="0.95">
      <c r="A7293" s="56"/>
      <c r="B7293" s="57"/>
      <c r="C7293" s="57"/>
      <c r="D7293" s="57"/>
      <c r="E7293" s="56"/>
      <c r="F7293" s="57"/>
      <c r="G7293" s="57"/>
      <c r="H7293" s="56"/>
      <c r="I7293" s="56"/>
      <c r="J7293" s="58"/>
      <c r="K7293" s="58"/>
      <c r="L7293" s="13" t="str">
        <f t="shared" si="1146"/>
        <v/>
      </c>
      <c r="M7293" s="13" t="str">
        <f t="shared" si="1147"/>
        <v/>
      </c>
      <c r="Q7293" t="str">
        <f t="shared" si="1148"/>
        <v/>
      </c>
      <c r="R7293" t="str">
        <f t="shared" si="1149"/>
        <v/>
      </c>
      <c r="S7293" t="str">
        <f t="shared" si="1150"/>
        <v/>
      </c>
      <c r="T7293" t="str">
        <f t="shared" si="1151"/>
        <v/>
      </c>
      <c r="U7293" t="str">
        <f t="shared" si="1152"/>
        <v/>
      </c>
      <c r="V7293" t="str">
        <f t="shared" si="1153"/>
        <v/>
      </c>
      <c r="W7293" t="str">
        <f t="shared" si="1154"/>
        <v/>
      </c>
      <c r="X7293">
        <f t="shared" si="1156"/>
        <v>0</v>
      </c>
      <c r="Z7293" t="str">
        <f t="shared" si="1155"/>
        <v/>
      </c>
      <c r="AA7293">
        <f t="shared" si="1157"/>
        <v>0</v>
      </c>
    </row>
    <row r="7294" spans="1:27" ht="21" customHeight="1" x14ac:dyDescent="0.95">
      <c r="A7294" s="56"/>
      <c r="B7294" s="57"/>
      <c r="C7294" s="57"/>
      <c r="D7294" s="57"/>
      <c r="E7294" s="56"/>
      <c r="F7294" s="57"/>
      <c r="G7294" s="57"/>
      <c r="H7294" s="56"/>
      <c r="I7294" s="56"/>
      <c r="J7294" s="58"/>
      <c r="K7294" s="58"/>
      <c r="L7294" s="13" t="str">
        <f t="shared" si="1146"/>
        <v/>
      </c>
      <c r="M7294" s="13" t="str">
        <f t="shared" si="1147"/>
        <v/>
      </c>
      <c r="Q7294" t="str">
        <f t="shared" si="1148"/>
        <v/>
      </c>
      <c r="R7294" t="str">
        <f t="shared" si="1149"/>
        <v/>
      </c>
      <c r="S7294" t="str">
        <f t="shared" si="1150"/>
        <v/>
      </c>
      <c r="T7294" t="str">
        <f t="shared" si="1151"/>
        <v/>
      </c>
      <c r="U7294" t="str">
        <f t="shared" si="1152"/>
        <v/>
      </c>
      <c r="V7294" t="str">
        <f t="shared" si="1153"/>
        <v/>
      </c>
      <c r="W7294" t="str">
        <f t="shared" si="1154"/>
        <v/>
      </c>
      <c r="X7294">
        <f t="shared" si="1156"/>
        <v>0</v>
      </c>
      <c r="Z7294" t="str">
        <f t="shared" si="1155"/>
        <v/>
      </c>
      <c r="AA7294">
        <f t="shared" si="1157"/>
        <v>0</v>
      </c>
    </row>
    <row r="7295" spans="1:27" ht="21" customHeight="1" x14ac:dyDescent="0.95">
      <c r="A7295" s="56"/>
      <c r="B7295" s="57"/>
      <c r="C7295" s="57"/>
      <c r="D7295" s="57"/>
      <c r="E7295" s="56"/>
      <c r="F7295" s="57"/>
      <c r="G7295" s="57"/>
      <c r="H7295" s="56"/>
      <c r="I7295" s="56"/>
      <c r="J7295" s="58"/>
      <c r="K7295" s="58"/>
      <c r="L7295" s="13" t="str">
        <f t="shared" si="1146"/>
        <v/>
      </c>
      <c r="M7295" s="13" t="str">
        <f t="shared" si="1147"/>
        <v/>
      </c>
      <c r="Q7295" t="str">
        <f t="shared" si="1148"/>
        <v/>
      </c>
      <c r="R7295" t="str">
        <f t="shared" si="1149"/>
        <v/>
      </c>
      <c r="S7295" t="str">
        <f t="shared" si="1150"/>
        <v/>
      </c>
      <c r="T7295" t="str">
        <f t="shared" si="1151"/>
        <v/>
      </c>
      <c r="U7295" t="str">
        <f t="shared" si="1152"/>
        <v/>
      </c>
      <c r="V7295" t="str">
        <f t="shared" si="1153"/>
        <v/>
      </c>
      <c r="W7295" t="str">
        <f t="shared" si="1154"/>
        <v/>
      </c>
      <c r="X7295">
        <f t="shared" si="1156"/>
        <v>0</v>
      </c>
      <c r="Z7295" t="str">
        <f t="shared" si="1155"/>
        <v/>
      </c>
      <c r="AA7295">
        <f t="shared" si="1157"/>
        <v>0</v>
      </c>
    </row>
    <row r="7296" spans="1:27" ht="21" customHeight="1" x14ac:dyDescent="0.95">
      <c r="A7296" s="56"/>
      <c r="B7296" s="57"/>
      <c r="C7296" s="57"/>
      <c r="D7296" s="57"/>
      <c r="E7296" s="56"/>
      <c r="F7296" s="57"/>
      <c r="G7296" s="57"/>
      <c r="H7296" s="56"/>
      <c r="I7296" s="56"/>
      <c r="J7296" s="58"/>
      <c r="K7296" s="58"/>
      <c r="L7296" s="13" t="str">
        <f t="shared" si="1146"/>
        <v/>
      </c>
      <c r="M7296" s="13" t="str">
        <f t="shared" si="1147"/>
        <v/>
      </c>
      <c r="Q7296" t="str">
        <f t="shared" si="1148"/>
        <v/>
      </c>
      <c r="R7296" t="str">
        <f t="shared" si="1149"/>
        <v/>
      </c>
      <c r="S7296" t="str">
        <f t="shared" si="1150"/>
        <v/>
      </c>
      <c r="T7296" t="str">
        <f t="shared" si="1151"/>
        <v/>
      </c>
      <c r="U7296" t="str">
        <f t="shared" si="1152"/>
        <v/>
      </c>
      <c r="V7296" t="str">
        <f t="shared" si="1153"/>
        <v/>
      </c>
      <c r="W7296" t="str">
        <f t="shared" si="1154"/>
        <v/>
      </c>
      <c r="X7296">
        <f t="shared" si="1156"/>
        <v>0</v>
      </c>
      <c r="Z7296" t="str">
        <f t="shared" si="1155"/>
        <v/>
      </c>
      <c r="AA7296">
        <f t="shared" si="1157"/>
        <v>0</v>
      </c>
    </row>
    <row r="7297" spans="1:27" ht="21" customHeight="1" x14ac:dyDescent="0.95">
      <c r="A7297" s="56"/>
      <c r="B7297" s="57"/>
      <c r="C7297" s="57"/>
      <c r="D7297" s="57"/>
      <c r="E7297" s="56"/>
      <c r="F7297" s="57"/>
      <c r="G7297" s="57"/>
      <c r="H7297" s="56"/>
      <c r="I7297" s="56"/>
      <c r="J7297" s="58"/>
      <c r="K7297" s="58"/>
      <c r="L7297" s="13" t="str">
        <f t="shared" si="1146"/>
        <v/>
      </c>
      <c r="M7297" s="13" t="str">
        <f t="shared" si="1147"/>
        <v/>
      </c>
      <c r="Q7297" t="str">
        <f t="shared" si="1148"/>
        <v/>
      </c>
      <c r="R7297" t="str">
        <f t="shared" si="1149"/>
        <v/>
      </c>
      <c r="S7297" t="str">
        <f t="shared" si="1150"/>
        <v/>
      </c>
      <c r="T7297" t="str">
        <f t="shared" si="1151"/>
        <v/>
      </c>
      <c r="U7297" t="str">
        <f t="shared" si="1152"/>
        <v/>
      </c>
      <c r="V7297" t="str">
        <f t="shared" si="1153"/>
        <v/>
      </c>
      <c r="W7297" t="str">
        <f t="shared" si="1154"/>
        <v/>
      </c>
      <c r="X7297">
        <f t="shared" si="1156"/>
        <v>0</v>
      </c>
      <c r="Z7297" t="str">
        <f t="shared" si="1155"/>
        <v/>
      </c>
      <c r="AA7297">
        <f t="shared" si="1157"/>
        <v>0</v>
      </c>
    </row>
    <row r="7298" spans="1:27" ht="21" customHeight="1" x14ac:dyDescent="0.95">
      <c r="A7298" s="56"/>
      <c r="B7298" s="57"/>
      <c r="C7298" s="57"/>
      <c r="D7298" s="57"/>
      <c r="E7298" s="56"/>
      <c r="F7298" s="57"/>
      <c r="G7298" s="57"/>
      <c r="H7298" s="56"/>
      <c r="I7298" s="56"/>
      <c r="J7298" s="58"/>
      <c r="K7298" s="58"/>
      <c r="L7298" s="13" t="str">
        <f t="shared" si="1146"/>
        <v/>
      </c>
      <c r="M7298" s="13" t="str">
        <f t="shared" si="1147"/>
        <v/>
      </c>
      <c r="Q7298" t="str">
        <f t="shared" si="1148"/>
        <v/>
      </c>
      <c r="R7298" t="str">
        <f t="shared" si="1149"/>
        <v/>
      </c>
      <c r="S7298" t="str">
        <f t="shared" si="1150"/>
        <v/>
      </c>
      <c r="T7298" t="str">
        <f t="shared" si="1151"/>
        <v/>
      </c>
      <c r="U7298" t="str">
        <f t="shared" si="1152"/>
        <v/>
      </c>
      <c r="V7298" t="str">
        <f t="shared" si="1153"/>
        <v/>
      </c>
      <c r="W7298" t="str">
        <f t="shared" si="1154"/>
        <v/>
      </c>
      <c r="X7298">
        <f t="shared" si="1156"/>
        <v>0</v>
      </c>
      <c r="Z7298" t="str">
        <f t="shared" si="1155"/>
        <v/>
      </c>
      <c r="AA7298">
        <f t="shared" si="1157"/>
        <v>0</v>
      </c>
    </row>
    <row r="7299" spans="1:27" ht="21" customHeight="1" x14ac:dyDescent="0.95">
      <c r="A7299" s="56"/>
      <c r="B7299" s="57"/>
      <c r="C7299" s="57"/>
      <c r="D7299" s="57"/>
      <c r="E7299" s="56"/>
      <c r="F7299" s="57"/>
      <c r="G7299" s="57"/>
      <c r="H7299" s="56"/>
      <c r="I7299" s="56"/>
      <c r="J7299" s="58"/>
      <c r="K7299" s="58"/>
      <c r="L7299" s="13" t="str">
        <f t="shared" si="1146"/>
        <v/>
      </c>
      <c r="M7299" s="13" t="str">
        <f t="shared" si="1147"/>
        <v/>
      </c>
      <c r="Q7299" t="str">
        <f t="shared" si="1148"/>
        <v/>
      </c>
      <c r="R7299" t="str">
        <f t="shared" si="1149"/>
        <v/>
      </c>
      <c r="S7299" t="str">
        <f t="shared" si="1150"/>
        <v/>
      </c>
      <c r="T7299" t="str">
        <f t="shared" si="1151"/>
        <v/>
      </c>
      <c r="U7299" t="str">
        <f t="shared" si="1152"/>
        <v/>
      </c>
      <c r="V7299" t="str">
        <f t="shared" si="1153"/>
        <v/>
      </c>
      <c r="W7299" t="str">
        <f t="shared" si="1154"/>
        <v/>
      </c>
      <c r="X7299">
        <f t="shared" si="1156"/>
        <v>0</v>
      </c>
      <c r="Z7299" t="str">
        <f t="shared" si="1155"/>
        <v/>
      </c>
      <c r="AA7299">
        <f t="shared" si="1157"/>
        <v>0</v>
      </c>
    </row>
    <row r="7300" spans="1:27" ht="21" customHeight="1" x14ac:dyDescent="0.95">
      <c r="A7300" s="56"/>
      <c r="B7300" s="57"/>
      <c r="C7300" s="57"/>
      <c r="D7300" s="57"/>
      <c r="E7300" s="56"/>
      <c r="F7300" s="57"/>
      <c r="G7300" s="57"/>
      <c r="H7300" s="56"/>
      <c r="I7300" s="56"/>
      <c r="J7300" s="58"/>
      <c r="K7300" s="58"/>
      <c r="L7300" s="13" t="str">
        <f t="shared" ref="L7300:L7363" si="1158">IF(OR($A7300="",AND($J7300="",$K7300="")),"",ROUND(N($J7300)-N($K7300),2))</f>
        <v/>
      </c>
      <c r="M7300" s="13" t="str">
        <f t="shared" ref="M7300:M7363" si="1159">IF(OR($A7300="",AND($J7300="",$K7300="")),"",MIN($J7300,$K7300))</f>
        <v/>
      </c>
      <c r="Q7300" t="str">
        <f t="shared" ref="Q7300:Q7363" si="1160">IF($A7300="","",$D7300&amp;"("&amp;SUBSTITUTE($E7300," ","")&amp;")")</f>
        <v/>
      </c>
      <c r="R7300" t="str">
        <f t="shared" ref="R7300:R7363" si="1161">IF($A7300="","",$B7300&amp;" - "&amp;$C7300)</f>
        <v/>
      </c>
      <c r="S7300" t="str">
        <f t="shared" ref="S7300:S7363" si="1162">IF($A7300="","",$R7300&amp;"|"&amp;$Q7300)</f>
        <v/>
      </c>
      <c r="T7300" t="str">
        <f t="shared" ref="T7300:T7363" si="1163">IF($A7300="","",$S7300&amp;"|"&amp;$F7300)</f>
        <v/>
      </c>
      <c r="U7300" t="str">
        <f t="shared" ref="U7300:U7363" si="1164">IF($A7300="","",$R7300&amp;"("&amp;$E7300&amp;")")</f>
        <v/>
      </c>
      <c r="V7300" t="str">
        <f t="shared" ref="V7300:V7363" si="1165">IF($A7300="","",$F7300&amp;"|"&amp;$U7300&amp;"|"&amp;$D7300)</f>
        <v/>
      </c>
      <c r="W7300" t="str">
        <f t="shared" si="1154"/>
        <v/>
      </c>
      <c r="X7300">
        <f t="shared" si="1156"/>
        <v>0</v>
      </c>
      <c r="Z7300" t="str">
        <f t="shared" si="1155"/>
        <v/>
      </c>
      <c r="AA7300">
        <f t="shared" si="1157"/>
        <v>0</v>
      </c>
    </row>
    <row r="7301" spans="1:27" ht="21" customHeight="1" x14ac:dyDescent="0.95">
      <c r="A7301" s="56"/>
      <c r="B7301" s="57"/>
      <c r="C7301" s="57"/>
      <c r="D7301" s="57"/>
      <c r="E7301" s="56"/>
      <c r="F7301" s="57"/>
      <c r="G7301" s="57"/>
      <c r="H7301" s="56"/>
      <c r="I7301" s="56"/>
      <c r="J7301" s="58"/>
      <c r="K7301" s="58"/>
      <c r="L7301" s="13" t="str">
        <f t="shared" si="1158"/>
        <v/>
      </c>
      <c r="M7301" s="13" t="str">
        <f t="shared" si="1159"/>
        <v/>
      </c>
      <c r="Q7301" t="str">
        <f t="shared" si="1160"/>
        <v/>
      </c>
      <c r="R7301" t="str">
        <f t="shared" si="1161"/>
        <v/>
      </c>
      <c r="S7301" t="str">
        <f t="shared" si="1162"/>
        <v/>
      </c>
      <c r="T7301" t="str">
        <f t="shared" si="1163"/>
        <v/>
      </c>
      <c r="U7301" t="str">
        <f t="shared" si="1164"/>
        <v/>
      </c>
      <c r="V7301" t="str">
        <f t="shared" si="1165"/>
        <v/>
      </c>
      <c r="W7301" t="str">
        <f t="shared" si="1154"/>
        <v/>
      </c>
      <c r="X7301">
        <f t="shared" si="1156"/>
        <v>0</v>
      </c>
      <c r="Z7301" t="str">
        <f t="shared" si="1155"/>
        <v/>
      </c>
      <c r="AA7301">
        <f t="shared" si="1157"/>
        <v>0</v>
      </c>
    </row>
    <row r="7302" spans="1:27" ht="21" customHeight="1" x14ac:dyDescent="0.95">
      <c r="A7302" s="56"/>
      <c r="B7302" s="57"/>
      <c r="C7302" s="57"/>
      <c r="D7302" s="57"/>
      <c r="E7302" s="56"/>
      <c r="F7302" s="57"/>
      <c r="G7302" s="57"/>
      <c r="H7302" s="56"/>
      <c r="I7302" s="56"/>
      <c r="J7302" s="58"/>
      <c r="K7302" s="58"/>
      <c r="L7302" s="13" t="str">
        <f t="shared" si="1158"/>
        <v/>
      </c>
      <c r="M7302" s="13" t="str">
        <f t="shared" si="1159"/>
        <v/>
      </c>
      <c r="Q7302" t="str">
        <f t="shared" si="1160"/>
        <v/>
      </c>
      <c r="R7302" t="str">
        <f t="shared" si="1161"/>
        <v/>
      </c>
      <c r="S7302" t="str">
        <f t="shared" si="1162"/>
        <v/>
      </c>
      <c r="T7302" t="str">
        <f t="shared" si="1163"/>
        <v/>
      </c>
      <c r="U7302" t="str">
        <f t="shared" si="1164"/>
        <v/>
      </c>
      <c r="V7302" t="str">
        <f t="shared" si="1165"/>
        <v/>
      </c>
      <c r="W7302" t="str">
        <f t="shared" ref="W7302:W7365" si="1166">IF($T7302="","",IF($X7302&gt;N($X7301),$X7302,""))</f>
        <v/>
      </c>
      <c r="X7302">
        <f t="shared" si="1156"/>
        <v>0</v>
      </c>
      <c r="Z7302" t="str">
        <f t="shared" ref="Z7302:Z7365" si="1167">IF($V7302="","",IF($AA7302&gt;N($AA7301),$AA7302,""))</f>
        <v/>
      </c>
      <c r="AA7302">
        <f t="shared" si="1157"/>
        <v>0</v>
      </c>
    </row>
    <row r="7303" spans="1:27" ht="21" customHeight="1" x14ac:dyDescent="0.95">
      <c r="A7303" s="56"/>
      <c r="B7303" s="57"/>
      <c r="C7303" s="57"/>
      <c r="D7303" s="57"/>
      <c r="E7303" s="56"/>
      <c r="F7303" s="57"/>
      <c r="G7303" s="57"/>
      <c r="H7303" s="56"/>
      <c r="I7303" s="56"/>
      <c r="J7303" s="58"/>
      <c r="K7303" s="58"/>
      <c r="L7303" s="13" t="str">
        <f t="shared" si="1158"/>
        <v/>
      </c>
      <c r="M7303" s="13" t="str">
        <f t="shared" si="1159"/>
        <v/>
      </c>
      <c r="Q7303" t="str">
        <f t="shared" si="1160"/>
        <v/>
      </c>
      <c r="R7303" t="str">
        <f t="shared" si="1161"/>
        <v/>
      </c>
      <c r="S7303" t="str">
        <f t="shared" si="1162"/>
        <v/>
      </c>
      <c r="T7303" t="str">
        <f t="shared" si="1163"/>
        <v/>
      </c>
      <c r="U7303" t="str">
        <f t="shared" si="1164"/>
        <v/>
      </c>
      <c r="V7303" t="str">
        <f t="shared" si="1165"/>
        <v/>
      </c>
      <c r="W7303" t="str">
        <f t="shared" si="1166"/>
        <v/>
      </c>
      <c r="X7303">
        <f t="shared" si="1156"/>
        <v>0</v>
      </c>
      <c r="Z7303" t="str">
        <f t="shared" si="1167"/>
        <v/>
      </c>
      <c r="AA7303">
        <f t="shared" si="1157"/>
        <v>0</v>
      </c>
    </row>
    <row r="7304" spans="1:27" ht="21" customHeight="1" x14ac:dyDescent="0.95">
      <c r="A7304" s="56"/>
      <c r="B7304" s="57"/>
      <c r="C7304" s="57"/>
      <c r="D7304" s="57"/>
      <c r="E7304" s="56"/>
      <c r="F7304" s="57"/>
      <c r="G7304" s="57"/>
      <c r="H7304" s="56"/>
      <c r="I7304" s="56"/>
      <c r="J7304" s="58"/>
      <c r="K7304" s="58"/>
      <c r="L7304" s="13" t="str">
        <f t="shared" si="1158"/>
        <v/>
      </c>
      <c r="M7304" s="13" t="str">
        <f t="shared" si="1159"/>
        <v/>
      </c>
      <c r="Q7304" t="str">
        <f t="shared" si="1160"/>
        <v/>
      </c>
      <c r="R7304" t="str">
        <f t="shared" si="1161"/>
        <v/>
      </c>
      <c r="S7304" t="str">
        <f t="shared" si="1162"/>
        <v/>
      </c>
      <c r="T7304" t="str">
        <f t="shared" si="1163"/>
        <v/>
      </c>
      <c r="U7304" t="str">
        <f t="shared" si="1164"/>
        <v/>
      </c>
      <c r="V7304" t="str">
        <f t="shared" si="1165"/>
        <v/>
      </c>
      <c r="W7304" t="str">
        <f t="shared" si="1166"/>
        <v/>
      </c>
      <c r="X7304">
        <f t="shared" si="1156"/>
        <v>0</v>
      </c>
      <c r="Z7304" t="str">
        <f t="shared" si="1167"/>
        <v/>
      </c>
      <c r="AA7304">
        <f t="shared" si="1157"/>
        <v>0</v>
      </c>
    </row>
    <row r="7305" spans="1:27" ht="21" customHeight="1" x14ac:dyDescent="0.95">
      <c r="A7305" s="56"/>
      <c r="B7305" s="57"/>
      <c r="C7305" s="57"/>
      <c r="D7305" s="57"/>
      <c r="E7305" s="56"/>
      <c r="F7305" s="57"/>
      <c r="G7305" s="57"/>
      <c r="H7305" s="56"/>
      <c r="I7305" s="56"/>
      <c r="J7305" s="58"/>
      <c r="K7305" s="58"/>
      <c r="L7305" s="13" t="str">
        <f t="shared" si="1158"/>
        <v/>
      </c>
      <c r="M7305" s="13" t="str">
        <f t="shared" si="1159"/>
        <v/>
      </c>
      <c r="Q7305" t="str">
        <f t="shared" si="1160"/>
        <v/>
      </c>
      <c r="R7305" t="str">
        <f t="shared" si="1161"/>
        <v/>
      </c>
      <c r="S7305" t="str">
        <f t="shared" si="1162"/>
        <v/>
      </c>
      <c r="T7305" t="str">
        <f t="shared" si="1163"/>
        <v/>
      </c>
      <c r="U7305" t="str">
        <f t="shared" si="1164"/>
        <v/>
      </c>
      <c r="V7305" t="str">
        <f t="shared" si="1165"/>
        <v/>
      </c>
      <c r="W7305" t="str">
        <f t="shared" si="1166"/>
        <v/>
      </c>
      <c r="X7305">
        <f t="shared" si="1156"/>
        <v>0</v>
      </c>
      <c r="Z7305" t="str">
        <f t="shared" si="1167"/>
        <v/>
      </c>
      <c r="AA7305">
        <f t="shared" si="1157"/>
        <v>0</v>
      </c>
    </row>
    <row r="7306" spans="1:27" ht="21" customHeight="1" x14ac:dyDescent="0.95">
      <c r="A7306" s="56"/>
      <c r="B7306" s="57"/>
      <c r="C7306" s="57"/>
      <c r="D7306" s="57"/>
      <c r="E7306" s="56"/>
      <c r="F7306" s="57"/>
      <c r="G7306" s="57"/>
      <c r="H7306" s="56"/>
      <c r="I7306" s="56"/>
      <c r="J7306" s="58"/>
      <c r="K7306" s="58"/>
      <c r="L7306" s="13" t="str">
        <f t="shared" si="1158"/>
        <v/>
      </c>
      <c r="M7306" s="13" t="str">
        <f t="shared" si="1159"/>
        <v/>
      </c>
      <c r="Q7306" t="str">
        <f t="shared" si="1160"/>
        <v/>
      </c>
      <c r="R7306" t="str">
        <f t="shared" si="1161"/>
        <v/>
      </c>
      <c r="S7306" t="str">
        <f t="shared" si="1162"/>
        <v/>
      </c>
      <c r="T7306" t="str">
        <f t="shared" si="1163"/>
        <v/>
      </c>
      <c r="U7306" t="str">
        <f t="shared" si="1164"/>
        <v/>
      </c>
      <c r="V7306" t="str">
        <f t="shared" si="1165"/>
        <v/>
      </c>
      <c r="W7306" t="str">
        <f t="shared" si="1166"/>
        <v/>
      </c>
      <c r="X7306">
        <f t="shared" si="1156"/>
        <v>0</v>
      </c>
      <c r="Z7306" t="str">
        <f t="shared" si="1167"/>
        <v/>
      </c>
      <c r="AA7306">
        <f t="shared" si="1157"/>
        <v>0</v>
      </c>
    </row>
    <row r="7307" spans="1:27" ht="21" customHeight="1" x14ac:dyDescent="0.95">
      <c r="A7307" s="56"/>
      <c r="B7307" s="57"/>
      <c r="C7307" s="57"/>
      <c r="D7307" s="57"/>
      <c r="E7307" s="56"/>
      <c r="F7307" s="57"/>
      <c r="G7307" s="57"/>
      <c r="H7307" s="56"/>
      <c r="I7307" s="56"/>
      <c r="J7307" s="58"/>
      <c r="K7307" s="58"/>
      <c r="L7307" s="13" t="str">
        <f t="shared" si="1158"/>
        <v/>
      </c>
      <c r="M7307" s="13" t="str">
        <f t="shared" si="1159"/>
        <v/>
      </c>
      <c r="Q7307" t="str">
        <f t="shared" si="1160"/>
        <v/>
      </c>
      <c r="R7307" t="str">
        <f t="shared" si="1161"/>
        <v/>
      </c>
      <c r="S7307" t="str">
        <f t="shared" si="1162"/>
        <v/>
      </c>
      <c r="T7307" t="str">
        <f t="shared" si="1163"/>
        <v/>
      </c>
      <c r="U7307" t="str">
        <f t="shared" si="1164"/>
        <v/>
      </c>
      <c r="V7307" t="str">
        <f t="shared" si="1165"/>
        <v/>
      </c>
      <c r="W7307" t="str">
        <f t="shared" si="1166"/>
        <v/>
      </c>
      <c r="X7307">
        <f t="shared" si="1156"/>
        <v>0</v>
      </c>
      <c r="Z7307" t="str">
        <f t="shared" si="1167"/>
        <v/>
      </c>
      <c r="AA7307">
        <f t="shared" si="1157"/>
        <v>0</v>
      </c>
    </row>
    <row r="7308" spans="1:27" ht="21" customHeight="1" x14ac:dyDescent="0.95">
      <c r="A7308" s="56"/>
      <c r="B7308" s="57"/>
      <c r="C7308" s="57"/>
      <c r="D7308" s="57"/>
      <c r="E7308" s="56"/>
      <c r="F7308" s="57"/>
      <c r="G7308" s="57"/>
      <c r="H7308" s="56"/>
      <c r="I7308" s="56"/>
      <c r="J7308" s="58"/>
      <c r="K7308" s="58"/>
      <c r="L7308" s="13" t="str">
        <f t="shared" si="1158"/>
        <v/>
      </c>
      <c r="M7308" s="13" t="str">
        <f t="shared" si="1159"/>
        <v/>
      </c>
      <c r="Q7308" t="str">
        <f t="shared" si="1160"/>
        <v/>
      </c>
      <c r="R7308" t="str">
        <f t="shared" si="1161"/>
        <v/>
      </c>
      <c r="S7308" t="str">
        <f t="shared" si="1162"/>
        <v/>
      </c>
      <c r="T7308" t="str">
        <f t="shared" si="1163"/>
        <v/>
      </c>
      <c r="U7308" t="str">
        <f t="shared" si="1164"/>
        <v/>
      </c>
      <c r="V7308" t="str">
        <f t="shared" si="1165"/>
        <v/>
      </c>
      <c r="W7308" t="str">
        <f t="shared" si="1166"/>
        <v/>
      </c>
      <c r="X7308">
        <f t="shared" si="1156"/>
        <v>0</v>
      </c>
      <c r="Z7308" t="str">
        <f t="shared" si="1167"/>
        <v/>
      </c>
      <c r="AA7308">
        <f t="shared" si="1157"/>
        <v>0</v>
      </c>
    </row>
    <row r="7309" spans="1:27" ht="21" customHeight="1" x14ac:dyDescent="0.95">
      <c r="A7309" s="56"/>
      <c r="B7309" s="57"/>
      <c r="C7309" s="57"/>
      <c r="D7309" s="57"/>
      <c r="E7309" s="56"/>
      <c r="F7309" s="57"/>
      <c r="G7309" s="57"/>
      <c r="H7309" s="56"/>
      <c r="I7309" s="56"/>
      <c r="J7309" s="58"/>
      <c r="K7309" s="58"/>
      <c r="L7309" s="13" t="str">
        <f t="shared" si="1158"/>
        <v/>
      </c>
      <c r="M7309" s="13" t="str">
        <f t="shared" si="1159"/>
        <v/>
      </c>
      <c r="Q7309" t="str">
        <f t="shared" si="1160"/>
        <v/>
      </c>
      <c r="R7309" t="str">
        <f t="shared" si="1161"/>
        <v/>
      </c>
      <c r="S7309" t="str">
        <f t="shared" si="1162"/>
        <v/>
      </c>
      <c r="T7309" t="str">
        <f t="shared" si="1163"/>
        <v/>
      </c>
      <c r="U7309" t="str">
        <f t="shared" si="1164"/>
        <v/>
      </c>
      <c r="V7309" t="str">
        <f t="shared" si="1165"/>
        <v/>
      </c>
      <c r="W7309" t="str">
        <f t="shared" si="1166"/>
        <v/>
      </c>
      <c r="X7309">
        <f t="shared" si="1156"/>
        <v>0</v>
      </c>
      <c r="Z7309" t="str">
        <f t="shared" si="1167"/>
        <v/>
      </c>
      <c r="AA7309">
        <f t="shared" si="1157"/>
        <v>0</v>
      </c>
    </row>
    <row r="7310" spans="1:27" ht="21" customHeight="1" x14ac:dyDescent="0.95">
      <c r="A7310" s="56"/>
      <c r="B7310" s="57"/>
      <c r="C7310" s="57"/>
      <c r="D7310" s="57"/>
      <c r="E7310" s="56"/>
      <c r="F7310" s="57"/>
      <c r="G7310" s="57"/>
      <c r="H7310" s="56"/>
      <c r="I7310" s="56"/>
      <c r="J7310" s="58"/>
      <c r="K7310" s="58"/>
      <c r="L7310" s="13" t="str">
        <f t="shared" si="1158"/>
        <v/>
      </c>
      <c r="M7310" s="13" t="str">
        <f t="shared" si="1159"/>
        <v/>
      </c>
      <c r="Q7310" t="str">
        <f t="shared" si="1160"/>
        <v/>
      </c>
      <c r="R7310" t="str">
        <f t="shared" si="1161"/>
        <v/>
      </c>
      <c r="S7310" t="str">
        <f t="shared" si="1162"/>
        <v/>
      </c>
      <c r="T7310" t="str">
        <f t="shared" si="1163"/>
        <v/>
      </c>
      <c r="U7310" t="str">
        <f t="shared" si="1164"/>
        <v/>
      </c>
      <c r="V7310" t="str">
        <f t="shared" si="1165"/>
        <v/>
      </c>
      <c r="W7310" t="str">
        <f t="shared" si="1166"/>
        <v/>
      </c>
      <c r="X7310">
        <f t="shared" si="1156"/>
        <v>0</v>
      </c>
      <c r="Z7310" t="str">
        <f t="shared" si="1167"/>
        <v/>
      </c>
      <c r="AA7310">
        <f t="shared" si="1157"/>
        <v>0</v>
      </c>
    </row>
    <row r="7311" spans="1:27" ht="21" customHeight="1" x14ac:dyDescent="0.95">
      <c r="A7311" s="56"/>
      <c r="B7311" s="57"/>
      <c r="C7311" s="57"/>
      <c r="D7311" s="57"/>
      <c r="E7311" s="56"/>
      <c r="F7311" s="57"/>
      <c r="G7311" s="57"/>
      <c r="H7311" s="56"/>
      <c r="I7311" s="56"/>
      <c r="J7311" s="58"/>
      <c r="K7311" s="58"/>
      <c r="L7311" s="13" t="str">
        <f t="shared" si="1158"/>
        <v/>
      </c>
      <c r="M7311" s="13" t="str">
        <f t="shared" si="1159"/>
        <v/>
      </c>
      <c r="Q7311" t="str">
        <f t="shared" si="1160"/>
        <v/>
      </c>
      <c r="R7311" t="str">
        <f t="shared" si="1161"/>
        <v/>
      </c>
      <c r="S7311" t="str">
        <f t="shared" si="1162"/>
        <v/>
      </c>
      <c r="T7311" t="str">
        <f t="shared" si="1163"/>
        <v/>
      </c>
      <c r="U7311" t="str">
        <f t="shared" si="1164"/>
        <v/>
      </c>
      <c r="V7311" t="str">
        <f t="shared" si="1165"/>
        <v/>
      </c>
      <c r="W7311" t="str">
        <f t="shared" si="1166"/>
        <v/>
      </c>
      <c r="X7311">
        <f t="shared" si="1156"/>
        <v>0</v>
      </c>
      <c r="Z7311" t="str">
        <f t="shared" si="1167"/>
        <v/>
      </c>
      <c r="AA7311">
        <f t="shared" si="1157"/>
        <v>0</v>
      </c>
    </row>
    <row r="7312" spans="1:27" ht="21" customHeight="1" x14ac:dyDescent="0.95">
      <c r="A7312" s="56"/>
      <c r="B7312" s="57"/>
      <c r="C7312" s="57"/>
      <c r="D7312" s="57"/>
      <c r="E7312" s="56"/>
      <c r="F7312" s="57"/>
      <c r="G7312" s="57"/>
      <c r="H7312" s="56"/>
      <c r="I7312" s="56"/>
      <c r="J7312" s="58"/>
      <c r="K7312" s="58"/>
      <c r="L7312" s="13" t="str">
        <f t="shared" si="1158"/>
        <v/>
      </c>
      <c r="M7312" s="13" t="str">
        <f t="shared" si="1159"/>
        <v/>
      </c>
      <c r="Q7312" t="str">
        <f t="shared" si="1160"/>
        <v/>
      </c>
      <c r="R7312" t="str">
        <f t="shared" si="1161"/>
        <v/>
      </c>
      <c r="S7312" t="str">
        <f t="shared" si="1162"/>
        <v/>
      </c>
      <c r="T7312" t="str">
        <f t="shared" si="1163"/>
        <v/>
      </c>
      <c r="U7312" t="str">
        <f t="shared" si="1164"/>
        <v/>
      </c>
      <c r="V7312" t="str">
        <f t="shared" si="1165"/>
        <v/>
      </c>
      <c r="W7312" t="str">
        <f t="shared" si="1166"/>
        <v/>
      </c>
      <c r="X7312">
        <f t="shared" si="1156"/>
        <v>0</v>
      </c>
      <c r="Z7312" t="str">
        <f t="shared" si="1167"/>
        <v/>
      </c>
      <c r="AA7312">
        <f t="shared" si="1157"/>
        <v>0</v>
      </c>
    </row>
    <row r="7313" spans="1:27" ht="21" customHeight="1" x14ac:dyDescent="0.95">
      <c r="A7313" s="56"/>
      <c r="B7313" s="57"/>
      <c r="C7313" s="57"/>
      <c r="D7313" s="57"/>
      <c r="E7313" s="56"/>
      <c r="F7313" s="57"/>
      <c r="G7313" s="57"/>
      <c r="H7313" s="56"/>
      <c r="I7313" s="56"/>
      <c r="J7313" s="58"/>
      <c r="K7313" s="58"/>
      <c r="L7313" s="13" t="str">
        <f t="shared" si="1158"/>
        <v/>
      </c>
      <c r="M7313" s="13" t="str">
        <f t="shared" si="1159"/>
        <v/>
      </c>
      <c r="Q7313" t="str">
        <f t="shared" si="1160"/>
        <v/>
      </c>
      <c r="R7313" t="str">
        <f t="shared" si="1161"/>
        <v/>
      </c>
      <c r="S7313" t="str">
        <f t="shared" si="1162"/>
        <v/>
      </c>
      <c r="T7313" t="str">
        <f t="shared" si="1163"/>
        <v/>
      </c>
      <c r="U7313" t="str">
        <f t="shared" si="1164"/>
        <v/>
      </c>
      <c r="V7313" t="str">
        <f t="shared" si="1165"/>
        <v/>
      </c>
      <c r="W7313" t="str">
        <f t="shared" si="1166"/>
        <v/>
      </c>
      <c r="X7313">
        <f t="shared" si="1156"/>
        <v>0</v>
      </c>
      <c r="Z7313" t="str">
        <f t="shared" si="1167"/>
        <v/>
      </c>
      <c r="AA7313">
        <f t="shared" si="1157"/>
        <v>0</v>
      </c>
    </row>
    <row r="7314" spans="1:27" ht="21" customHeight="1" x14ac:dyDescent="0.95">
      <c r="A7314" s="56"/>
      <c r="B7314" s="57"/>
      <c r="C7314" s="57"/>
      <c r="D7314" s="57"/>
      <c r="E7314" s="56"/>
      <c r="F7314" s="57"/>
      <c r="G7314" s="57"/>
      <c r="H7314" s="56"/>
      <c r="I7314" s="56"/>
      <c r="J7314" s="58"/>
      <c r="K7314" s="58"/>
      <c r="L7314" s="13" t="str">
        <f t="shared" si="1158"/>
        <v/>
      </c>
      <c r="M7314" s="13" t="str">
        <f t="shared" si="1159"/>
        <v/>
      </c>
      <c r="Q7314" t="str">
        <f t="shared" si="1160"/>
        <v/>
      </c>
      <c r="R7314" t="str">
        <f t="shared" si="1161"/>
        <v/>
      </c>
      <c r="S7314" t="str">
        <f t="shared" si="1162"/>
        <v/>
      </c>
      <c r="T7314" t="str">
        <f t="shared" si="1163"/>
        <v/>
      </c>
      <c r="U7314" t="str">
        <f t="shared" si="1164"/>
        <v/>
      </c>
      <c r="V7314" t="str">
        <f t="shared" si="1165"/>
        <v/>
      </c>
      <c r="W7314" t="str">
        <f t="shared" si="1166"/>
        <v/>
      </c>
      <c r="X7314">
        <f t="shared" si="1156"/>
        <v>0</v>
      </c>
      <c r="Z7314" t="str">
        <f t="shared" si="1167"/>
        <v/>
      </c>
      <c r="AA7314">
        <f t="shared" si="1157"/>
        <v>0</v>
      </c>
    </row>
    <row r="7315" spans="1:27" ht="21" customHeight="1" x14ac:dyDescent="0.95">
      <c r="A7315" s="56"/>
      <c r="B7315" s="57"/>
      <c r="C7315" s="57"/>
      <c r="D7315" s="57"/>
      <c r="E7315" s="56"/>
      <c r="F7315" s="57"/>
      <c r="G7315" s="57"/>
      <c r="H7315" s="56"/>
      <c r="I7315" s="56"/>
      <c r="J7315" s="58"/>
      <c r="K7315" s="58"/>
      <c r="L7315" s="13" t="str">
        <f t="shared" si="1158"/>
        <v/>
      </c>
      <c r="M7315" s="13" t="str">
        <f t="shared" si="1159"/>
        <v/>
      </c>
      <c r="Q7315" t="str">
        <f t="shared" si="1160"/>
        <v/>
      </c>
      <c r="R7315" t="str">
        <f t="shared" si="1161"/>
        <v/>
      </c>
      <c r="S7315" t="str">
        <f t="shared" si="1162"/>
        <v/>
      </c>
      <c r="T7315" t="str">
        <f t="shared" si="1163"/>
        <v/>
      </c>
      <c r="U7315" t="str">
        <f t="shared" si="1164"/>
        <v/>
      </c>
      <c r="V7315" t="str">
        <f t="shared" si="1165"/>
        <v/>
      </c>
      <c r="W7315" t="str">
        <f t="shared" si="1166"/>
        <v/>
      </c>
      <c r="X7315">
        <f t="shared" si="1156"/>
        <v>0</v>
      </c>
      <c r="Z7315" t="str">
        <f t="shared" si="1167"/>
        <v/>
      </c>
      <c r="AA7315">
        <f t="shared" si="1157"/>
        <v>0</v>
      </c>
    </row>
    <row r="7316" spans="1:27" ht="21" customHeight="1" x14ac:dyDescent="0.95">
      <c r="A7316" s="56"/>
      <c r="B7316" s="57"/>
      <c r="C7316" s="57"/>
      <c r="D7316" s="57"/>
      <c r="E7316" s="56"/>
      <c r="F7316" s="57"/>
      <c r="G7316" s="57"/>
      <c r="H7316" s="56"/>
      <c r="I7316" s="56"/>
      <c r="J7316" s="58"/>
      <c r="K7316" s="58"/>
      <c r="L7316" s="13" t="str">
        <f t="shared" si="1158"/>
        <v/>
      </c>
      <c r="M7316" s="13" t="str">
        <f t="shared" si="1159"/>
        <v/>
      </c>
      <c r="Q7316" t="str">
        <f t="shared" si="1160"/>
        <v/>
      </c>
      <c r="R7316" t="str">
        <f t="shared" si="1161"/>
        <v/>
      </c>
      <c r="S7316" t="str">
        <f t="shared" si="1162"/>
        <v/>
      </c>
      <c r="T7316" t="str">
        <f t="shared" si="1163"/>
        <v/>
      </c>
      <c r="U7316" t="str">
        <f t="shared" si="1164"/>
        <v/>
      </c>
      <c r="V7316" t="str">
        <f t="shared" si="1165"/>
        <v/>
      </c>
      <c r="W7316" t="str">
        <f t="shared" si="1166"/>
        <v/>
      </c>
      <c r="X7316">
        <f t="shared" si="1156"/>
        <v>0</v>
      </c>
      <c r="Z7316" t="str">
        <f t="shared" si="1167"/>
        <v/>
      </c>
      <c r="AA7316">
        <f t="shared" si="1157"/>
        <v>0</v>
      </c>
    </row>
    <row r="7317" spans="1:27" ht="21" customHeight="1" x14ac:dyDescent="0.95">
      <c r="A7317" s="56"/>
      <c r="B7317" s="57"/>
      <c r="C7317" s="57"/>
      <c r="D7317" s="57"/>
      <c r="E7317" s="56"/>
      <c r="F7317" s="57"/>
      <c r="G7317" s="57"/>
      <c r="H7317" s="56"/>
      <c r="I7317" s="56"/>
      <c r="J7317" s="58"/>
      <c r="K7317" s="58"/>
      <c r="L7317" s="13" t="str">
        <f t="shared" si="1158"/>
        <v/>
      </c>
      <c r="M7317" s="13" t="str">
        <f t="shared" si="1159"/>
        <v/>
      </c>
      <c r="Q7317" t="str">
        <f t="shared" si="1160"/>
        <v/>
      </c>
      <c r="R7317" t="str">
        <f t="shared" si="1161"/>
        <v/>
      </c>
      <c r="S7317" t="str">
        <f t="shared" si="1162"/>
        <v/>
      </c>
      <c r="T7317" t="str">
        <f t="shared" si="1163"/>
        <v/>
      </c>
      <c r="U7317" t="str">
        <f t="shared" si="1164"/>
        <v/>
      </c>
      <c r="V7317" t="str">
        <f t="shared" si="1165"/>
        <v/>
      </c>
      <c r="W7317" t="str">
        <f t="shared" si="1166"/>
        <v/>
      </c>
      <c r="X7317">
        <f t="shared" si="1156"/>
        <v>0</v>
      </c>
      <c r="Z7317" t="str">
        <f t="shared" si="1167"/>
        <v/>
      </c>
      <c r="AA7317">
        <f t="shared" si="1157"/>
        <v>0</v>
      </c>
    </row>
    <row r="7318" spans="1:27" ht="21" customHeight="1" x14ac:dyDescent="0.95">
      <c r="A7318" s="56"/>
      <c r="B7318" s="57"/>
      <c r="C7318" s="57"/>
      <c r="D7318" s="57"/>
      <c r="E7318" s="56"/>
      <c r="F7318" s="57"/>
      <c r="G7318" s="57"/>
      <c r="H7318" s="56"/>
      <c r="I7318" s="56"/>
      <c r="J7318" s="58"/>
      <c r="K7318" s="58"/>
      <c r="L7318" s="13" t="str">
        <f t="shared" si="1158"/>
        <v/>
      </c>
      <c r="M7318" s="13" t="str">
        <f t="shared" si="1159"/>
        <v/>
      </c>
      <c r="Q7318" t="str">
        <f t="shared" si="1160"/>
        <v/>
      </c>
      <c r="R7318" t="str">
        <f t="shared" si="1161"/>
        <v/>
      </c>
      <c r="S7318" t="str">
        <f t="shared" si="1162"/>
        <v/>
      </c>
      <c r="T7318" t="str">
        <f t="shared" si="1163"/>
        <v/>
      </c>
      <c r="U7318" t="str">
        <f t="shared" si="1164"/>
        <v/>
      </c>
      <c r="V7318" t="str">
        <f t="shared" si="1165"/>
        <v/>
      </c>
      <c r="W7318" t="str">
        <f t="shared" si="1166"/>
        <v/>
      </c>
      <c r="X7318">
        <f t="shared" si="1156"/>
        <v>0</v>
      </c>
      <c r="Z7318" t="str">
        <f t="shared" si="1167"/>
        <v/>
      </c>
      <c r="AA7318">
        <f t="shared" si="1157"/>
        <v>0</v>
      </c>
    </row>
    <row r="7319" spans="1:27" ht="21" customHeight="1" x14ac:dyDescent="0.95">
      <c r="A7319" s="56"/>
      <c r="B7319" s="57"/>
      <c r="C7319" s="57"/>
      <c r="D7319" s="57"/>
      <c r="E7319" s="56"/>
      <c r="F7319" s="57"/>
      <c r="G7319" s="57"/>
      <c r="H7319" s="56"/>
      <c r="I7319" s="56"/>
      <c r="J7319" s="58"/>
      <c r="K7319" s="58"/>
      <c r="L7319" s="13" t="str">
        <f t="shared" si="1158"/>
        <v/>
      </c>
      <c r="M7319" s="13" t="str">
        <f t="shared" si="1159"/>
        <v/>
      </c>
      <c r="Q7319" t="str">
        <f t="shared" si="1160"/>
        <v/>
      </c>
      <c r="R7319" t="str">
        <f t="shared" si="1161"/>
        <v/>
      </c>
      <c r="S7319" t="str">
        <f t="shared" si="1162"/>
        <v/>
      </c>
      <c r="T7319" t="str">
        <f t="shared" si="1163"/>
        <v/>
      </c>
      <c r="U7319" t="str">
        <f t="shared" si="1164"/>
        <v/>
      </c>
      <c r="V7319" t="str">
        <f t="shared" si="1165"/>
        <v/>
      </c>
      <c r="W7319" t="str">
        <f t="shared" si="1166"/>
        <v/>
      </c>
      <c r="X7319">
        <f t="shared" si="1156"/>
        <v>0</v>
      </c>
      <c r="Z7319" t="str">
        <f t="shared" si="1167"/>
        <v/>
      </c>
      <c r="AA7319">
        <f t="shared" si="1157"/>
        <v>0</v>
      </c>
    </row>
    <row r="7320" spans="1:27" ht="21" customHeight="1" x14ac:dyDescent="0.95">
      <c r="A7320" s="56"/>
      <c r="B7320" s="57"/>
      <c r="C7320" s="57"/>
      <c r="D7320" s="57"/>
      <c r="E7320" s="56"/>
      <c r="F7320" s="57"/>
      <c r="G7320" s="57"/>
      <c r="H7320" s="56"/>
      <c r="I7320" s="56"/>
      <c r="J7320" s="58"/>
      <c r="K7320" s="58"/>
      <c r="L7320" s="13" t="str">
        <f t="shared" si="1158"/>
        <v/>
      </c>
      <c r="M7320" s="13" t="str">
        <f t="shared" si="1159"/>
        <v/>
      </c>
      <c r="Q7320" t="str">
        <f t="shared" si="1160"/>
        <v/>
      </c>
      <c r="R7320" t="str">
        <f t="shared" si="1161"/>
        <v/>
      </c>
      <c r="S7320" t="str">
        <f t="shared" si="1162"/>
        <v/>
      </c>
      <c r="T7320" t="str">
        <f t="shared" si="1163"/>
        <v/>
      </c>
      <c r="U7320" t="str">
        <f t="shared" si="1164"/>
        <v/>
      </c>
      <c r="V7320" t="str">
        <f t="shared" si="1165"/>
        <v/>
      </c>
      <c r="W7320" t="str">
        <f t="shared" si="1166"/>
        <v/>
      </c>
      <c r="X7320">
        <f t="shared" si="1156"/>
        <v>0</v>
      </c>
      <c r="Z7320" t="str">
        <f t="shared" si="1167"/>
        <v/>
      </c>
      <c r="AA7320">
        <f t="shared" si="1157"/>
        <v>0</v>
      </c>
    </row>
    <row r="7321" spans="1:27" ht="21" customHeight="1" x14ac:dyDescent="0.95">
      <c r="A7321" s="56"/>
      <c r="B7321" s="57"/>
      <c r="C7321" s="57"/>
      <c r="D7321" s="57"/>
      <c r="E7321" s="56"/>
      <c r="F7321" s="57"/>
      <c r="G7321" s="57"/>
      <c r="H7321" s="56"/>
      <c r="I7321" s="56"/>
      <c r="J7321" s="58"/>
      <c r="K7321" s="58"/>
      <c r="L7321" s="13" t="str">
        <f t="shared" si="1158"/>
        <v/>
      </c>
      <c r="M7321" s="13" t="str">
        <f t="shared" si="1159"/>
        <v/>
      </c>
      <c r="Q7321" t="str">
        <f t="shared" si="1160"/>
        <v/>
      </c>
      <c r="R7321" t="str">
        <f t="shared" si="1161"/>
        <v/>
      </c>
      <c r="S7321" t="str">
        <f t="shared" si="1162"/>
        <v/>
      </c>
      <c r="T7321" t="str">
        <f t="shared" si="1163"/>
        <v/>
      </c>
      <c r="U7321" t="str">
        <f t="shared" si="1164"/>
        <v/>
      </c>
      <c r="V7321" t="str">
        <f t="shared" si="1165"/>
        <v/>
      </c>
      <c r="W7321" t="str">
        <f t="shared" si="1166"/>
        <v/>
      </c>
      <c r="X7321">
        <f t="shared" si="1156"/>
        <v>0</v>
      </c>
      <c r="Z7321" t="str">
        <f t="shared" si="1167"/>
        <v/>
      </c>
      <c r="AA7321">
        <f t="shared" si="1157"/>
        <v>0</v>
      </c>
    </row>
    <row r="7322" spans="1:27" ht="21" customHeight="1" x14ac:dyDescent="0.95">
      <c r="A7322" s="56"/>
      <c r="B7322" s="57"/>
      <c r="C7322" s="57"/>
      <c r="D7322" s="57"/>
      <c r="E7322" s="56"/>
      <c r="F7322" s="57"/>
      <c r="G7322" s="57"/>
      <c r="H7322" s="56"/>
      <c r="I7322" s="56"/>
      <c r="J7322" s="58"/>
      <c r="K7322" s="58"/>
      <c r="L7322" s="13" t="str">
        <f t="shared" si="1158"/>
        <v/>
      </c>
      <c r="M7322" s="13" t="str">
        <f t="shared" si="1159"/>
        <v/>
      </c>
      <c r="Q7322" t="str">
        <f t="shared" si="1160"/>
        <v/>
      </c>
      <c r="R7322" t="str">
        <f t="shared" si="1161"/>
        <v/>
      </c>
      <c r="S7322" t="str">
        <f t="shared" si="1162"/>
        <v/>
      </c>
      <c r="T7322" t="str">
        <f t="shared" si="1163"/>
        <v/>
      </c>
      <c r="U7322" t="str">
        <f t="shared" si="1164"/>
        <v/>
      </c>
      <c r="V7322" t="str">
        <f t="shared" si="1165"/>
        <v/>
      </c>
      <c r="W7322" t="str">
        <f t="shared" si="1166"/>
        <v/>
      </c>
      <c r="X7322">
        <f t="shared" si="1156"/>
        <v>0</v>
      </c>
      <c r="Z7322" t="str">
        <f t="shared" si="1167"/>
        <v/>
      </c>
      <c r="AA7322">
        <f t="shared" si="1157"/>
        <v>0</v>
      </c>
    </row>
    <row r="7323" spans="1:27" ht="21" customHeight="1" x14ac:dyDescent="0.95">
      <c r="A7323" s="56"/>
      <c r="B7323" s="57"/>
      <c r="C7323" s="57"/>
      <c r="D7323" s="57"/>
      <c r="E7323" s="56"/>
      <c r="F7323" s="57"/>
      <c r="G7323" s="57"/>
      <c r="H7323" s="56"/>
      <c r="I7323" s="56"/>
      <c r="J7323" s="58"/>
      <c r="K7323" s="58"/>
      <c r="L7323" s="13" t="str">
        <f t="shared" si="1158"/>
        <v/>
      </c>
      <c r="M7323" s="13" t="str">
        <f t="shared" si="1159"/>
        <v/>
      </c>
      <c r="Q7323" t="str">
        <f t="shared" si="1160"/>
        <v/>
      </c>
      <c r="R7323" t="str">
        <f t="shared" si="1161"/>
        <v/>
      </c>
      <c r="S7323" t="str">
        <f t="shared" si="1162"/>
        <v/>
      </c>
      <c r="T7323" t="str">
        <f t="shared" si="1163"/>
        <v/>
      </c>
      <c r="U7323" t="str">
        <f t="shared" si="1164"/>
        <v/>
      </c>
      <c r="V7323" t="str">
        <f t="shared" si="1165"/>
        <v/>
      </c>
      <c r="W7323" t="str">
        <f t="shared" si="1166"/>
        <v/>
      </c>
      <c r="X7323">
        <f t="shared" si="1156"/>
        <v>0</v>
      </c>
      <c r="Z7323" t="str">
        <f t="shared" si="1167"/>
        <v/>
      </c>
      <c r="AA7323">
        <f t="shared" si="1157"/>
        <v>0</v>
      </c>
    </row>
    <row r="7324" spans="1:27" ht="21" customHeight="1" x14ac:dyDescent="0.95">
      <c r="A7324" s="56"/>
      <c r="B7324" s="57"/>
      <c r="C7324" s="57"/>
      <c r="D7324" s="57"/>
      <c r="E7324" s="56"/>
      <c r="F7324" s="57"/>
      <c r="G7324" s="57"/>
      <c r="H7324" s="56"/>
      <c r="I7324" s="56"/>
      <c r="J7324" s="58"/>
      <c r="K7324" s="58"/>
      <c r="L7324" s="13" t="str">
        <f t="shared" si="1158"/>
        <v/>
      </c>
      <c r="M7324" s="13" t="str">
        <f t="shared" si="1159"/>
        <v/>
      </c>
      <c r="Q7324" t="str">
        <f t="shared" si="1160"/>
        <v/>
      </c>
      <c r="R7324" t="str">
        <f t="shared" si="1161"/>
        <v/>
      </c>
      <c r="S7324" t="str">
        <f t="shared" si="1162"/>
        <v/>
      </c>
      <c r="T7324" t="str">
        <f t="shared" si="1163"/>
        <v/>
      </c>
      <c r="U7324" t="str">
        <f t="shared" si="1164"/>
        <v/>
      </c>
      <c r="V7324" t="str">
        <f t="shared" si="1165"/>
        <v/>
      </c>
      <c r="W7324" t="str">
        <f t="shared" si="1166"/>
        <v/>
      </c>
      <c r="X7324">
        <f t="shared" si="1156"/>
        <v>0</v>
      </c>
      <c r="Z7324" t="str">
        <f t="shared" si="1167"/>
        <v/>
      </c>
      <c r="AA7324">
        <f t="shared" si="1157"/>
        <v>0</v>
      </c>
    </row>
    <row r="7325" spans="1:27" ht="21" customHeight="1" x14ac:dyDescent="0.95">
      <c r="A7325" s="56"/>
      <c r="B7325" s="57"/>
      <c r="C7325" s="57"/>
      <c r="D7325" s="57"/>
      <c r="E7325" s="56"/>
      <c r="F7325" s="57"/>
      <c r="G7325" s="57"/>
      <c r="H7325" s="56"/>
      <c r="I7325" s="56"/>
      <c r="J7325" s="58"/>
      <c r="K7325" s="58"/>
      <c r="L7325" s="13" t="str">
        <f t="shared" si="1158"/>
        <v/>
      </c>
      <c r="M7325" s="13" t="str">
        <f t="shared" si="1159"/>
        <v/>
      </c>
      <c r="Q7325" t="str">
        <f t="shared" si="1160"/>
        <v/>
      </c>
      <c r="R7325" t="str">
        <f t="shared" si="1161"/>
        <v/>
      </c>
      <c r="S7325" t="str">
        <f t="shared" si="1162"/>
        <v/>
      </c>
      <c r="T7325" t="str">
        <f t="shared" si="1163"/>
        <v/>
      </c>
      <c r="U7325" t="str">
        <f t="shared" si="1164"/>
        <v/>
      </c>
      <c r="V7325" t="str">
        <f t="shared" si="1165"/>
        <v/>
      </c>
      <c r="W7325" t="str">
        <f t="shared" si="1166"/>
        <v/>
      </c>
      <c r="X7325">
        <f t="shared" si="1156"/>
        <v>0</v>
      </c>
      <c r="Z7325" t="str">
        <f t="shared" si="1167"/>
        <v/>
      </c>
      <c r="AA7325">
        <f t="shared" si="1157"/>
        <v>0</v>
      </c>
    </row>
    <row r="7326" spans="1:27" ht="21" customHeight="1" x14ac:dyDescent="0.95">
      <c r="A7326" s="56"/>
      <c r="B7326" s="57"/>
      <c r="C7326" s="57"/>
      <c r="D7326" s="57"/>
      <c r="E7326" s="56"/>
      <c r="F7326" s="57"/>
      <c r="G7326" s="57"/>
      <c r="H7326" s="56"/>
      <c r="I7326" s="56"/>
      <c r="J7326" s="58"/>
      <c r="K7326" s="58"/>
      <c r="L7326" s="13" t="str">
        <f t="shared" si="1158"/>
        <v/>
      </c>
      <c r="M7326" s="13" t="str">
        <f t="shared" si="1159"/>
        <v/>
      </c>
      <c r="Q7326" t="str">
        <f t="shared" si="1160"/>
        <v/>
      </c>
      <c r="R7326" t="str">
        <f t="shared" si="1161"/>
        <v/>
      </c>
      <c r="S7326" t="str">
        <f t="shared" si="1162"/>
        <v/>
      </c>
      <c r="T7326" t="str">
        <f t="shared" si="1163"/>
        <v/>
      </c>
      <c r="U7326" t="str">
        <f t="shared" si="1164"/>
        <v/>
      </c>
      <c r="V7326" t="str">
        <f t="shared" si="1165"/>
        <v/>
      </c>
      <c r="W7326" t="str">
        <f t="shared" si="1166"/>
        <v/>
      </c>
      <c r="X7326">
        <f t="shared" si="1156"/>
        <v>0</v>
      </c>
      <c r="Z7326" t="str">
        <f t="shared" si="1167"/>
        <v/>
      </c>
      <c r="AA7326">
        <f t="shared" si="1157"/>
        <v>0</v>
      </c>
    </row>
    <row r="7327" spans="1:27" ht="21" customHeight="1" x14ac:dyDescent="0.95">
      <c r="A7327" s="56"/>
      <c r="B7327" s="57"/>
      <c r="C7327" s="57"/>
      <c r="D7327" s="57"/>
      <c r="E7327" s="56"/>
      <c r="F7327" s="57"/>
      <c r="G7327" s="57"/>
      <c r="H7327" s="56"/>
      <c r="I7327" s="56"/>
      <c r="J7327" s="58"/>
      <c r="K7327" s="58"/>
      <c r="L7327" s="13" t="str">
        <f t="shared" si="1158"/>
        <v/>
      </c>
      <c r="M7327" s="13" t="str">
        <f t="shared" si="1159"/>
        <v/>
      </c>
      <c r="Q7327" t="str">
        <f t="shared" si="1160"/>
        <v/>
      </c>
      <c r="R7327" t="str">
        <f t="shared" si="1161"/>
        <v/>
      </c>
      <c r="S7327" t="str">
        <f t="shared" si="1162"/>
        <v/>
      </c>
      <c r="T7327" t="str">
        <f t="shared" si="1163"/>
        <v/>
      </c>
      <c r="U7327" t="str">
        <f t="shared" si="1164"/>
        <v/>
      </c>
      <c r="V7327" t="str">
        <f t="shared" si="1165"/>
        <v/>
      </c>
      <c r="W7327" t="str">
        <f t="shared" si="1166"/>
        <v/>
      </c>
      <c r="X7327">
        <f t="shared" si="1156"/>
        <v>0</v>
      </c>
      <c r="Z7327" t="str">
        <f t="shared" si="1167"/>
        <v/>
      </c>
      <c r="AA7327">
        <f t="shared" si="1157"/>
        <v>0</v>
      </c>
    </row>
    <row r="7328" spans="1:27" ht="21" customHeight="1" x14ac:dyDescent="0.95">
      <c r="A7328" s="56"/>
      <c r="B7328" s="57"/>
      <c r="C7328" s="57"/>
      <c r="D7328" s="57"/>
      <c r="E7328" s="56"/>
      <c r="F7328" s="57"/>
      <c r="G7328" s="57"/>
      <c r="H7328" s="56"/>
      <c r="I7328" s="56"/>
      <c r="J7328" s="58"/>
      <c r="K7328" s="58"/>
      <c r="L7328" s="13" t="str">
        <f t="shared" si="1158"/>
        <v/>
      </c>
      <c r="M7328" s="13" t="str">
        <f t="shared" si="1159"/>
        <v/>
      </c>
      <c r="Q7328" t="str">
        <f t="shared" si="1160"/>
        <v/>
      </c>
      <c r="R7328" t="str">
        <f t="shared" si="1161"/>
        <v/>
      </c>
      <c r="S7328" t="str">
        <f t="shared" si="1162"/>
        <v/>
      </c>
      <c r="T7328" t="str">
        <f t="shared" si="1163"/>
        <v/>
      </c>
      <c r="U7328" t="str">
        <f t="shared" si="1164"/>
        <v/>
      </c>
      <c r="V7328" t="str">
        <f t="shared" si="1165"/>
        <v/>
      </c>
      <c r="W7328" t="str">
        <f t="shared" si="1166"/>
        <v/>
      </c>
      <c r="X7328">
        <f t="shared" si="1156"/>
        <v>0</v>
      </c>
      <c r="Z7328" t="str">
        <f t="shared" si="1167"/>
        <v/>
      </c>
      <c r="AA7328">
        <f t="shared" si="1157"/>
        <v>0</v>
      </c>
    </row>
    <row r="7329" spans="1:27" ht="21" customHeight="1" x14ac:dyDescent="0.95">
      <c r="A7329" s="56"/>
      <c r="B7329" s="57"/>
      <c r="C7329" s="57"/>
      <c r="D7329" s="57"/>
      <c r="E7329" s="56"/>
      <c r="F7329" s="57"/>
      <c r="G7329" s="57"/>
      <c r="H7329" s="56"/>
      <c r="I7329" s="56"/>
      <c r="J7329" s="58"/>
      <c r="K7329" s="58"/>
      <c r="L7329" s="13" t="str">
        <f t="shared" si="1158"/>
        <v/>
      </c>
      <c r="M7329" s="13" t="str">
        <f t="shared" si="1159"/>
        <v/>
      </c>
      <c r="Q7329" t="str">
        <f t="shared" si="1160"/>
        <v/>
      </c>
      <c r="R7329" t="str">
        <f t="shared" si="1161"/>
        <v/>
      </c>
      <c r="S7329" t="str">
        <f t="shared" si="1162"/>
        <v/>
      </c>
      <c r="T7329" t="str">
        <f t="shared" si="1163"/>
        <v/>
      </c>
      <c r="U7329" t="str">
        <f t="shared" si="1164"/>
        <v/>
      </c>
      <c r="V7329" t="str">
        <f t="shared" si="1165"/>
        <v/>
      </c>
      <c r="W7329" t="str">
        <f t="shared" si="1166"/>
        <v/>
      </c>
      <c r="X7329">
        <f t="shared" si="1156"/>
        <v>0</v>
      </c>
      <c r="Z7329" t="str">
        <f t="shared" si="1167"/>
        <v/>
      </c>
      <c r="AA7329">
        <f t="shared" si="1157"/>
        <v>0</v>
      </c>
    </row>
    <row r="7330" spans="1:27" ht="21" customHeight="1" x14ac:dyDescent="0.95">
      <c r="A7330" s="56"/>
      <c r="B7330" s="57"/>
      <c r="C7330" s="57"/>
      <c r="D7330" s="57"/>
      <c r="E7330" s="56"/>
      <c r="F7330" s="57"/>
      <c r="G7330" s="57"/>
      <c r="H7330" s="56"/>
      <c r="I7330" s="56"/>
      <c r="J7330" s="58"/>
      <c r="K7330" s="58"/>
      <c r="L7330" s="13" t="str">
        <f t="shared" si="1158"/>
        <v/>
      </c>
      <c r="M7330" s="13" t="str">
        <f t="shared" si="1159"/>
        <v/>
      </c>
      <c r="Q7330" t="str">
        <f t="shared" si="1160"/>
        <v/>
      </c>
      <c r="R7330" t="str">
        <f t="shared" si="1161"/>
        <v/>
      </c>
      <c r="S7330" t="str">
        <f t="shared" si="1162"/>
        <v/>
      </c>
      <c r="T7330" t="str">
        <f t="shared" si="1163"/>
        <v/>
      </c>
      <c r="U7330" t="str">
        <f t="shared" si="1164"/>
        <v/>
      </c>
      <c r="V7330" t="str">
        <f t="shared" si="1165"/>
        <v/>
      </c>
      <c r="W7330" t="str">
        <f t="shared" si="1166"/>
        <v/>
      </c>
      <c r="X7330">
        <f t="shared" si="1156"/>
        <v>0</v>
      </c>
      <c r="Z7330" t="str">
        <f t="shared" si="1167"/>
        <v/>
      </c>
      <c r="AA7330">
        <f t="shared" si="1157"/>
        <v>0</v>
      </c>
    </row>
    <row r="7331" spans="1:27" ht="21" customHeight="1" x14ac:dyDescent="0.95">
      <c r="A7331" s="56"/>
      <c r="B7331" s="57"/>
      <c r="C7331" s="57"/>
      <c r="D7331" s="57"/>
      <c r="E7331" s="56"/>
      <c r="F7331" s="57"/>
      <c r="G7331" s="57"/>
      <c r="H7331" s="56"/>
      <c r="I7331" s="56"/>
      <c r="J7331" s="58"/>
      <c r="K7331" s="58"/>
      <c r="L7331" s="13" t="str">
        <f t="shared" si="1158"/>
        <v/>
      </c>
      <c r="M7331" s="13" t="str">
        <f t="shared" si="1159"/>
        <v/>
      </c>
      <c r="Q7331" t="str">
        <f t="shared" si="1160"/>
        <v/>
      </c>
      <c r="R7331" t="str">
        <f t="shared" si="1161"/>
        <v/>
      </c>
      <c r="S7331" t="str">
        <f t="shared" si="1162"/>
        <v/>
      </c>
      <c r="T7331" t="str">
        <f t="shared" si="1163"/>
        <v/>
      </c>
      <c r="U7331" t="str">
        <f t="shared" si="1164"/>
        <v/>
      </c>
      <c r="V7331" t="str">
        <f t="shared" si="1165"/>
        <v/>
      </c>
      <c r="W7331" t="str">
        <f t="shared" si="1166"/>
        <v/>
      </c>
      <c r="X7331">
        <f t="shared" si="1156"/>
        <v>0</v>
      </c>
      <c r="Z7331" t="str">
        <f t="shared" si="1167"/>
        <v/>
      </c>
      <c r="AA7331">
        <f t="shared" si="1157"/>
        <v>0</v>
      </c>
    </row>
    <row r="7332" spans="1:27" ht="21" customHeight="1" x14ac:dyDescent="0.95">
      <c r="A7332" s="56"/>
      <c r="B7332" s="57"/>
      <c r="C7332" s="57"/>
      <c r="D7332" s="57"/>
      <c r="E7332" s="56"/>
      <c r="F7332" s="57"/>
      <c r="G7332" s="57"/>
      <c r="H7332" s="56"/>
      <c r="I7332" s="56"/>
      <c r="J7332" s="58"/>
      <c r="K7332" s="58"/>
      <c r="L7332" s="13" t="str">
        <f t="shared" si="1158"/>
        <v/>
      </c>
      <c r="M7332" s="13" t="str">
        <f t="shared" si="1159"/>
        <v/>
      </c>
      <c r="Q7332" t="str">
        <f t="shared" si="1160"/>
        <v/>
      </c>
      <c r="R7332" t="str">
        <f t="shared" si="1161"/>
        <v/>
      </c>
      <c r="S7332" t="str">
        <f t="shared" si="1162"/>
        <v/>
      </c>
      <c r="T7332" t="str">
        <f t="shared" si="1163"/>
        <v/>
      </c>
      <c r="U7332" t="str">
        <f t="shared" si="1164"/>
        <v/>
      </c>
      <c r="V7332" t="str">
        <f t="shared" si="1165"/>
        <v/>
      </c>
      <c r="W7332" t="str">
        <f t="shared" si="1166"/>
        <v/>
      </c>
      <c r="X7332">
        <f t="shared" si="1156"/>
        <v>0</v>
      </c>
      <c r="Z7332" t="str">
        <f t="shared" si="1167"/>
        <v/>
      </c>
      <c r="AA7332">
        <f t="shared" si="1157"/>
        <v>0</v>
      </c>
    </row>
    <row r="7333" spans="1:27" ht="21" customHeight="1" x14ac:dyDescent="0.95">
      <c r="A7333" s="56"/>
      <c r="B7333" s="57"/>
      <c r="C7333" s="57"/>
      <c r="D7333" s="57"/>
      <c r="E7333" s="56"/>
      <c r="F7333" s="57"/>
      <c r="G7333" s="57"/>
      <c r="H7333" s="56"/>
      <c r="I7333" s="56"/>
      <c r="J7333" s="58"/>
      <c r="K7333" s="58"/>
      <c r="L7333" s="13" t="str">
        <f t="shared" si="1158"/>
        <v/>
      </c>
      <c r="M7333" s="13" t="str">
        <f t="shared" si="1159"/>
        <v/>
      </c>
      <c r="Q7333" t="str">
        <f t="shared" si="1160"/>
        <v/>
      </c>
      <c r="R7333" t="str">
        <f t="shared" si="1161"/>
        <v/>
      </c>
      <c r="S7333" t="str">
        <f t="shared" si="1162"/>
        <v/>
      </c>
      <c r="T7333" t="str">
        <f t="shared" si="1163"/>
        <v/>
      </c>
      <c r="U7333" t="str">
        <f t="shared" si="1164"/>
        <v/>
      </c>
      <c r="V7333" t="str">
        <f t="shared" si="1165"/>
        <v/>
      </c>
      <c r="W7333" t="str">
        <f t="shared" si="1166"/>
        <v/>
      </c>
      <c r="X7333">
        <f t="shared" si="1156"/>
        <v>0</v>
      </c>
      <c r="Z7333" t="str">
        <f t="shared" si="1167"/>
        <v/>
      </c>
      <c r="AA7333">
        <f t="shared" si="1157"/>
        <v>0</v>
      </c>
    </row>
    <row r="7334" spans="1:27" ht="21" customHeight="1" x14ac:dyDescent="0.95">
      <c r="A7334" s="56"/>
      <c r="B7334" s="57"/>
      <c r="C7334" s="57"/>
      <c r="D7334" s="57"/>
      <c r="E7334" s="56"/>
      <c r="F7334" s="57"/>
      <c r="G7334" s="57"/>
      <c r="H7334" s="56"/>
      <c r="I7334" s="56"/>
      <c r="J7334" s="58"/>
      <c r="K7334" s="58"/>
      <c r="L7334" s="13" t="str">
        <f t="shared" si="1158"/>
        <v/>
      </c>
      <c r="M7334" s="13" t="str">
        <f t="shared" si="1159"/>
        <v/>
      </c>
      <c r="Q7334" t="str">
        <f t="shared" si="1160"/>
        <v/>
      </c>
      <c r="R7334" t="str">
        <f t="shared" si="1161"/>
        <v/>
      </c>
      <c r="S7334" t="str">
        <f t="shared" si="1162"/>
        <v/>
      </c>
      <c r="T7334" t="str">
        <f t="shared" si="1163"/>
        <v/>
      </c>
      <c r="U7334" t="str">
        <f t="shared" si="1164"/>
        <v/>
      </c>
      <c r="V7334" t="str">
        <f t="shared" si="1165"/>
        <v/>
      </c>
      <c r="W7334" t="str">
        <f t="shared" si="1166"/>
        <v/>
      </c>
      <c r="X7334">
        <f t="shared" si="1156"/>
        <v>0</v>
      </c>
      <c r="Z7334" t="str">
        <f t="shared" si="1167"/>
        <v/>
      </c>
      <c r="AA7334">
        <f t="shared" si="1157"/>
        <v>0</v>
      </c>
    </row>
    <row r="7335" spans="1:27" ht="21" customHeight="1" x14ac:dyDescent="0.95">
      <c r="A7335" s="56"/>
      <c r="B7335" s="57"/>
      <c r="C7335" s="57"/>
      <c r="D7335" s="57"/>
      <c r="E7335" s="56"/>
      <c r="F7335" s="57"/>
      <c r="G7335" s="57"/>
      <c r="H7335" s="56"/>
      <c r="I7335" s="56"/>
      <c r="J7335" s="58"/>
      <c r="K7335" s="58"/>
      <c r="L7335" s="13" t="str">
        <f t="shared" si="1158"/>
        <v/>
      </c>
      <c r="M7335" s="13" t="str">
        <f t="shared" si="1159"/>
        <v/>
      </c>
      <c r="Q7335" t="str">
        <f t="shared" si="1160"/>
        <v/>
      </c>
      <c r="R7335" t="str">
        <f t="shared" si="1161"/>
        <v/>
      </c>
      <c r="S7335" t="str">
        <f t="shared" si="1162"/>
        <v/>
      </c>
      <c r="T7335" t="str">
        <f t="shared" si="1163"/>
        <v/>
      </c>
      <c r="U7335" t="str">
        <f t="shared" si="1164"/>
        <v/>
      </c>
      <c r="V7335" t="str">
        <f t="shared" si="1165"/>
        <v/>
      </c>
      <c r="W7335" t="str">
        <f t="shared" si="1166"/>
        <v/>
      </c>
      <c r="X7335">
        <f t="shared" si="1156"/>
        <v>0</v>
      </c>
      <c r="Z7335" t="str">
        <f t="shared" si="1167"/>
        <v/>
      </c>
      <c r="AA7335">
        <f t="shared" si="1157"/>
        <v>0</v>
      </c>
    </row>
    <row r="7336" spans="1:27" ht="21" customHeight="1" x14ac:dyDescent="0.95">
      <c r="A7336" s="56"/>
      <c r="B7336" s="57"/>
      <c r="C7336" s="57"/>
      <c r="D7336" s="57"/>
      <c r="E7336" s="56"/>
      <c r="F7336" s="57"/>
      <c r="G7336" s="57"/>
      <c r="H7336" s="56"/>
      <c r="I7336" s="56"/>
      <c r="J7336" s="58"/>
      <c r="K7336" s="58"/>
      <c r="L7336" s="13" t="str">
        <f t="shared" si="1158"/>
        <v/>
      </c>
      <c r="M7336" s="13" t="str">
        <f t="shared" si="1159"/>
        <v/>
      </c>
      <c r="Q7336" t="str">
        <f t="shared" si="1160"/>
        <v/>
      </c>
      <c r="R7336" t="str">
        <f t="shared" si="1161"/>
        <v/>
      </c>
      <c r="S7336" t="str">
        <f t="shared" si="1162"/>
        <v/>
      </c>
      <c r="T7336" t="str">
        <f t="shared" si="1163"/>
        <v/>
      </c>
      <c r="U7336" t="str">
        <f t="shared" si="1164"/>
        <v/>
      </c>
      <c r="V7336" t="str">
        <f t="shared" si="1165"/>
        <v/>
      </c>
      <c r="W7336" t="str">
        <f t="shared" si="1166"/>
        <v/>
      </c>
      <c r="X7336">
        <f t="shared" si="1156"/>
        <v>0</v>
      </c>
      <c r="Z7336" t="str">
        <f t="shared" si="1167"/>
        <v/>
      </c>
      <c r="AA7336">
        <f t="shared" si="1157"/>
        <v>0</v>
      </c>
    </row>
    <row r="7337" spans="1:27" ht="21" customHeight="1" x14ac:dyDescent="0.95">
      <c r="A7337" s="56"/>
      <c r="B7337" s="57"/>
      <c r="C7337" s="57"/>
      <c r="D7337" s="57"/>
      <c r="E7337" s="56"/>
      <c r="F7337" s="57"/>
      <c r="G7337" s="57"/>
      <c r="H7337" s="56"/>
      <c r="I7337" s="56"/>
      <c r="J7337" s="58"/>
      <c r="K7337" s="58"/>
      <c r="L7337" s="13" t="str">
        <f t="shared" si="1158"/>
        <v/>
      </c>
      <c r="M7337" s="13" t="str">
        <f t="shared" si="1159"/>
        <v/>
      </c>
      <c r="Q7337" t="str">
        <f t="shared" si="1160"/>
        <v/>
      </c>
      <c r="R7337" t="str">
        <f t="shared" si="1161"/>
        <v/>
      </c>
      <c r="S7337" t="str">
        <f t="shared" si="1162"/>
        <v/>
      </c>
      <c r="T7337" t="str">
        <f t="shared" si="1163"/>
        <v/>
      </c>
      <c r="U7337" t="str">
        <f t="shared" si="1164"/>
        <v/>
      </c>
      <c r="V7337" t="str">
        <f t="shared" si="1165"/>
        <v/>
      </c>
      <c r="W7337" t="str">
        <f t="shared" si="1166"/>
        <v/>
      </c>
      <c r="X7337">
        <f t="shared" si="1156"/>
        <v>0</v>
      </c>
      <c r="Z7337" t="str">
        <f t="shared" si="1167"/>
        <v/>
      </c>
      <c r="AA7337">
        <f t="shared" si="1157"/>
        <v>0</v>
      </c>
    </row>
    <row r="7338" spans="1:27" ht="21" customHeight="1" x14ac:dyDescent="0.95">
      <c r="A7338" s="56"/>
      <c r="B7338" s="57"/>
      <c r="C7338" s="57"/>
      <c r="D7338" s="57"/>
      <c r="E7338" s="56"/>
      <c r="F7338" s="57"/>
      <c r="G7338" s="57"/>
      <c r="H7338" s="56"/>
      <c r="I7338" s="56"/>
      <c r="J7338" s="58"/>
      <c r="K7338" s="58"/>
      <c r="L7338" s="13" t="str">
        <f t="shared" si="1158"/>
        <v/>
      </c>
      <c r="M7338" s="13" t="str">
        <f t="shared" si="1159"/>
        <v/>
      </c>
      <c r="Q7338" t="str">
        <f t="shared" si="1160"/>
        <v/>
      </c>
      <c r="R7338" t="str">
        <f t="shared" si="1161"/>
        <v/>
      </c>
      <c r="S7338" t="str">
        <f t="shared" si="1162"/>
        <v/>
      </c>
      <c r="T7338" t="str">
        <f t="shared" si="1163"/>
        <v/>
      </c>
      <c r="U7338" t="str">
        <f t="shared" si="1164"/>
        <v/>
      </c>
      <c r="V7338" t="str">
        <f t="shared" si="1165"/>
        <v/>
      </c>
      <c r="W7338" t="str">
        <f t="shared" si="1166"/>
        <v/>
      </c>
      <c r="X7338">
        <f t="shared" si="1156"/>
        <v>0</v>
      </c>
      <c r="Z7338" t="str">
        <f t="shared" si="1167"/>
        <v/>
      </c>
      <c r="AA7338">
        <f t="shared" si="1157"/>
        <v>0</v>
      </c>
    </row>
    <row r="7339" spans="1:27" ht="21" customHeight="1" x14ac:dyDescent="0.95">
      <c r="A7339" s="56"/>
      <c r="B7339" s="57"/>
      <c r="C7339" s="57"/>
      <c r="D7339" s="57"/>
      <c r="E7339" s="56"/>
      <c r="F7339" s="57"/>
      <c r="G7339" s="57"/>
      <c r="H7339" s="56"/>
      <c r="I7339" s="56"/>
      <c r="J7339" s="58"/>
      <c r="K7339" s="58"/>
      <c r="L7339" s="13" t="str">
        <f t="shared" si="1158"/>
        <v/>
      </c>
      <c r="M7339" s="13" t="str">
        <f t="shared" si="1159"/>
        <v/>
      </c>
      <c r="Q7339" t="str">
        <f t="shared" si="1160"/>
        <v/>
      </c>
      <c r="R7339" t="str">
        <f t="shared" si="1161"/>
        <v/>
      </c>
      <c r="S7339" t="str">
        <f t="shared" si="1162"/>
        <v/>
      </c>
      <c r="T7339" t="str">
        <f t="shared" si="1163"/>
        <v/>
      </c>
      <c r="U7339" t="str">
        <f t="shared" si="1164"/>
        <v/>
      </c>
      <c r="V7339" t="str">
        <f t="shared" si="1165"/>
        <v/>
      </c>
      <c r="W7339" t="str">
        <f t="shared" si="1166"/>
        <v/>
      </c>
      <c r="X7339">
        <f t="shared" si="1156"/>
        <v>0</v>
      </c>
      <c r="Z7339" t="str">
        <f t="shared" si="1167"/>
        <v/>
      </c>
      <c r="AA7339">
        <f t="shared" si="1157"/>
        <v>0</v>
      </c>
    </row>
    <row r="7340" spans="1:27" ht="21" customHeight="1" x14ac:dyDescent="0.95">
      <c r="A7340" s="56"/>
      <c r="B7340" s="57"/>
      <c r="C7340" s="57"/>
      <c r="D7340" s="57"/>
      <c r="E7340" s="56"/>
      <c r="F7340" s="57"/>
      <c r="G7340" s="57"/>
      <c r="H7340" s="56"/>
      <c r="I7340" s="56"/>
      <c r="J7340" s="58"/>
      <c r="K7340" s="58"/>
      <c r="L7340" s="13" t="str">
        <f t="shared" si="1158"/>
        <v/>
      </c>
      <c r="M7340" s="13" t="str">
        <f t="shared" si="1159"/>
        <v/>
      </c>
      <c r="Q7340" t="str">
        <f t="shared" si="1160"/>
        <v/>
      </c>
      <c r="R7340" t="str">
        <f t="shared" si="1161"/>
        <v/>
      </c>
      <c r="S7340" t="str">
        <f t="shared" si="1162"/>
        <v/>
      </c>
      <c r="T7340" t="str">
        <f t="shared" si="1163"/>
        <v/>
      </c>
      <c r="U7340" t="str">
        <f t="shared" si="1164"/>
        <v/>
      </c>
      <c r="V7340" t="str">
        <f t="shared" si="1165"/>
        <v/>
      </c>
      <c r="W7340" t="str">
        <f t="shared" si="1166"/>
        <v/>
      </c>
      <c r="X7340">
        <f t="shared" si="1156"/>
        <v>0</v>
      </c>
      <c r="Z7340" t="str">
        <f t="shared" si="1167"/>
        <v/>
      </c>
      <c r="AA7340">
        <f t="shared" si="1157"/>
        <v>0</v>
      </c>
    </row>
    <row r="7341" spans="1:27" ht="21" customHeight="1" x14ac:dyDescent="0.95">
      <c r="A7341" s="56"/>
      <c r="B7341" s="57"/>
      <c r="C7341" s="57"/>
      <c r="D7341" s="57"/>
      <c r="E7341" s="56"/>
      <c r="F7341" s="57"/>
      <c r="G7341" s="57"/>
      <c r="H7341" s="56"/>
      <c r="I7341" s="56"/>
      <c r="J7341" s="58"/>
      <c r="K7341" s="58"/>
      <c r="L7341" s="13" t="str">
        <f t="shared" si="1158"/>
        <v/>
      </c>
      <c r="M7341" s="13" t="str">
        <f t="shared" si="1159"/>
        <v/>
      </c>
      <c r="Q7341" t="str">
        <f t="shared" si="1160"/>
        <v/>
      </c>
      <c r="R7341" t="str">
        <f t="shared" si="1161"/>
        <v/>
      </c>
      <c r="S7341" t="str">
        <f t="shared" si="1162"/>
        <v/>
      </c>
      <c r="T7341" t="str">
        <f t="shared" si="1163"/>
        <v/>
      </c>
      <c r="U7341" t="str">
        <f t="shared" si="1164"/>
        <v/>
      </c>
      <c r="V7341" t="str">
        <f t="shared" si="1165"/>
        <v/>
      </c>
      <c r="W7341" t="str">
        <f t="shared" si="1166"/>
        <v/>
      </c>
      <c r="X7341">
        <f t="shared" si="1156"/>
        <v>0</v>
      </c>
      <c r="Z7341" t="str">
        <f t="shared" si="1167"/>
        <v/>
      </c>
      <c r="AA7341">
        <f t="shared" si="1157"/>
        <v>0</v>
      </c>
    </row>
    <row r="7342" spans="1:27" ht="21" customHeight="1" x14ac:dyDescent="0.95">
      <c r="A7342" s="56"/>
      <c r="B7342" s="57"/>
      <c r="C7342" s="57"/>
      <c r="D7342" s="57"/>
      <c r="E7342" s="56"/>
      <c r="F7342" s="57"/>
      <c r="G7342" s="57"/>
      <c r="H7342" s="56"/>
      <c r="I7342" s="56"/>
      <c r="J7342" s="58"/>
      <c r="K7342" s="58"/>
      <c r="L7342" s="13" t="str">
        <f t="shared" si="1158"/>
        <v/>
      </c>
      <c r="M7342" s="13" t="str">
        <f t="shared" si="1159"/>
        <v/>
      </c>
      <c r="Q7342" t="str">
        <f t="shared" si="1160"/>
        <v/>
      </c>
      <c r="R7342" t="str">
        <f t="shared" si="1161"/>
        <v/>
      </c>
      <c r="S7342" t="str">
        <f t="shared" si="1162"/>
        <v/>
      </c>
      <c r="T7342" t="str">
        <f t="shared" si="1163"/>
        <v/>
      </c>
      <c r="U7342" t="str">
        <f t="shared" si="1164"/>
        <v/>
      </c>
      <c r="V7342" t="str">
        <f t="shared" si="1165"/>
        <v/>
      </c>
      <c r="W7342" t="str">
        <f t="shared" si="1166"/>
        <v/>
      </c>
      <c r="X7342">
        <f t="shared" si="1156"/>
        <v>0</v>
      </c>
      <c r="Z7342" t="str">
        <f t="shared" si="1167"/>
        <v/>
      </c>
      <c r="AA7342">
        <f t="shared" si="1157"/>
        <v>0</v>
      </c>
    </row>
    <row r="7343" spans="1:27" ht="21" customHeight="1" x14ac:dyDescent="0.95">
      <c r="A7343" s="56"/>
      <c r="B7343" s="57"/>
      <c r="C7343" s="57"/>
      <c r="D7343" s="57"/>
      <c r="E7343" s="56"/>
      <c r="F7343" s="57"/>
      <c r="G7343" s="57"/>
      <c r="H7343" s="56"/>
      <c r="I7343" s="56"/>
      <c r="J7343" s="58"/>
      <c r="K7343" s="58"/>
      <c r="L7343" s="13" t="str">
        <f t="shared" si="1158"/>
        <v/>
      </c>
      <c r="M7343" s="13" t="str">
        <f t="shared" si="1159"/>
        <v/>
      </c>
      <c r="Q7343" t="str">
        <f t="shared" si="1160"/>
        <v/>
      </c>
      <c r="R7343" t="str">
        <f t="shared" si="1161"/>
        <v/>
      </c>
      <c r="S7343" t="str">
        <f t="shared" si="1162"/>
        <v/>
      </c>
      <c r="T7343" t="str">
        <f t="shared" si="1163"/>
        <v/>
      </c>
      <c r="U7343" t="str">
        <f t="shared" si="1164"/>
        <v/>
      </c>
      <c r="V7343" t="str">
        <f t="shared" si="1165"/>
        <v/>
      </c>
      <c r="W7343" t="str">
        <f t="shared" si="1166"/>
        <v/>
      </c>
      <c r="X7343">
        <f t="shared" si="1156"/>
        <v>0</v>
      </c>
      <c r="Z7343" t="str">
        <f t="shared" si="1167"/>
        <v/>
      </c>
      <c r="AA7343">
        <f t="shared" si="1157"/>
        <v>0</v>
      </c>
    </row>
    <row r="7344" spans="1:27" ht="21" customHeight="1" x14ac:dyDescent="0.95">
      <c r="A7344" s="56"/>
      <c r="B7344" s="57"/>
      <c r="C7344" s="57"/>
      <c r="D7344" s="57"/>
      <c r="E7344" s="56"/>
      <c r="F7344" s="57"/>
      <c r="G7344" s="57"/>
      <c r="H7344" s="56"/>
      <c r="I7344" s="56"/>
      <c r="J7344" s="58"/>
      <c r="K7344" s="58"/>
      <c r="L7344" s="13" t="str">
        <f t="shared" si="1158"/>
        <v/>
      </c>
      <c r="M7344" s="13" t="str">
        <f t="shared" si="1159"/>
        <v/>
      </c>
      <c r="Q7344" t="str">
        <f t="shared" si="1160"/>
        <v/>
      </c>
      <c r="R7344" t="str">
        <f t="shared" si="1161"/>
        <v/>
      </c>
      <c r="S7344" t="str">
        <f t="shared" si="1162"/>
        <v/>
      </c>
      <c r="T7344" t="str">
        <f t="shared" si="1163"/>
        <v/>
      </c>
      <c r="U7344" t="str">
        <f t="shared" si="1164"/>
        <v/>
      </c>
      <c r="V7344" t="str">
        <f t="shared" si="1165"/>
        <v/>
      </c>
      <c r="W7344" t="str">
        <f t="shared" si="1166"/>
        <v/>
      </c>
      <c r="X7344">
        <f t="shared" si="1156"/>
        <v>0</v>
      </c>
      <c r="Z7344" t="str">
        <f t="shared" si="1167"/>
        <v/>
      </c>
      <c r="AA7344">
        <f t="shared" si="1157"/>
        <v>0</v>
      </c>
    </row>
    <row r="7345" spans="1:27" ht="21" customHeight="1" x14ac:dyDescent="0.95">
      <c r="A7345" s="56"/>
      <c r="B7345" s="57"/>
      <c r="C7345" s="57"/>
      <c r="D7345" s="57"/>
      <c r="E7345" s="56"/>
      <c r="F7345" s="57"/>
      <c r="G7345" s="57"/>
      <c r="H7345" s="56"/>
      <c r="I7345" s="56"/>
      <c r="J7345" s="58"/>
      <c r="K7345" s="58"/>
      <c r="L7345" s="13" t="str">
        <f t="shared" si="1158"/>
        <v/>
      </c>
      <c r="M7345" s="13" t="str">
        <f t="shared" si="1159"/>
        <v/>
      </c>
      <c r="Q7345" t="str">
        <f t="shared" si="1160"/>
        <v/>
      </c>
      <c r="R7345" t="str">
        <f t="shared" si="1161"/>
        <v/>
      </c>
      <c r="S7345" t="str">
        <f t="shared" si="1162"/>
        <v/>
      </c>
      <c r="T7345" t="str">
        <f t="shared" si="1163"/>
        <v/>
      </c>
      <c r="U7345" t="str">
        <f t="shared" si="1164"/>
        <v/>
      </c>
      <c r="V7345" t="str">
        <f t="shared" si="1165"/>
        <v/>
      </c>
      <c r="W7345" t="str">
        <f t="shared" si="1166"/>
        <v/>
      </c>
      <c r="X7345">
        <f t="shared" si="1156"/>
        <v>0</v>
      </c>
      <c r="Z7345" t="str">
        <f t="shared" si="1167"/>
        <v/>
      </c>
      <c r="AA7345">
        <f t="shared" si="1157"/>
        <v>0</v>
      </c>
    </row>
    <row r="7346" spans="1:27" ht="21" customHeight="1" x14ac:dyDescent="0.95">
      <c r="A7346" s="56"/>
      <c r="B7346" s="57"/>
      <c r="C7346" s="57"/>
      <c r="D7346" s="57"/>
      <c r="E7346" s="56"/>
      <c r="F7346" s="57"/>
      <c r="G7346" s="57"/>
      <c r="H7346" s="56"/>
      <c r="I7346" s="56"/>
      <c r="J7346" s="58"/>
      <c r="K7346" s="58"/>
      <c r="L7346" s="13" t="str">
        <f t="shared" si="1158"/>
        <v/>
      </c>
      <c r="M7346" s="13" t="str">
        <f t="shared" si="1159"/>
        <v/>
      </c>
      <c r="Q7346" t="str">
        <f t="shared" si="1160"/>
        <v/>
      </c>
      <c r="R7346" t="str">
        <f t="shared" si="1161"/>
        <v/>
      </c>
      <c r="S7346" t="str">
        <f t="shared" si="1162"/>
        <v/>
      </c>
      <c r="T7346" t="str">
        <f t="shared" si="1163"/>
        <v/>
      </c>
      <c r="U7346" t="str">
        <f t="shared" si="1164"/>
        <v/>
      </c>
      <c r="V7346" t="str">
        <f t="shared" si="1165"/>
        <v/>
      </c>
      <c r="W7346" t="str">
        <f t="shared" si="1166"/>
        <v/>
      </c>
      <c r="X7346">
        <f t="shared" si="1156"/>
        <v>0</v>
      </c>
      <c r="Z7346" t="str">
        <f t="shared" si="1167"/>
        <v/>
      </c>
      <c r="AA7346">
        <f t="shared" si="1157"/>
        <v>0</v>
      </c>
    </row>
    <row r="7347" spans="1:27" ht="21" customHeight="1" x14ac:dyDescent="0.95">
      <c r="A7347" s="56"/>
      <c r="B7347" s="57"/>
      <c r="C7347" s="57"/>
      <c r="D7347" s="57"/>
      <c r="E7347" s="56"/>
      <c r="F7347" s="57"/>
      <c r="G7347" s="57"/>
      <c r="H7347" s="56"/>
      <c r="I7347" s="56"/>
      <c r="J7347" s="58"/>
      <c r="K7347" s="58"/>
      <c r="L7347" s="13" t="str">
        <f t="shared" si="1158"/>
        <v/>
      </c>
      <c r="M7347" s="13" t="str">
        <f t="shared" si="1159"/>
        <v/>
      </c>
      <c r="Q7347" t="str">
        <f t="shared" si="1160"/>
        <v/>
      </c>
      <c r="R7347" t="str">
        <f t="shared" si="1161"/>
        <v/>
      </c>
      <c r="S7347" t="str">
        <f t="shared" si="1162"/>
        <v/>
      </c>
      <c r="T7347" t="str">
        <f t="shared" si="1163"/>
        <v/>
      </c>
      <c r="U7347" t="str">
        <f t="shared" si="1164"/>
        <v/>
      </c>
      <c r="V7347" t="str">
        <f t="shared" si="1165"/>
        <v/>
      </c>
      <c r="W7347" t="str">
        <f t="shared" si="1166"/>
        <v/>
      </c>
      <c r="X7347">
        <f t="shared" si="1156"/>
        <v>0</v>
      </c>
      <c r="Z7347" t="str">
        <f t="shared" si="1167"/>
        <v/>
      </c>
      <c r="AA7347">
        <f t="shared" si="1157"/>
        <v>0</v>
      </c>
    </row>
    <row r="7348" spans="1:27" ht="21" customHeight="1" x14ac:dyDescent="0.95">
      <c r="A7348" s="56"/>
      <c r="B7348" s="57"/>
      <c r="C7348" s="57"/>
      <c r="D7348" s="57"/>
      <c r="E7348" s="56"/>
      <c r="F7348" s="57"/>
      <c r="G7348" s="57"/>
      <c r="H7348" s="56"/>
      <c r="I7348" s="56"/>
      <c r="J7348" s="58"/>
      <c r="K7348" s="58"/>
      <c r="L7348" s="13" t="str">
        <f t="shared" si="1158"/>
        <v/>
      </c>
      <c r="M7348" s="13" t="str">
        <f t="shared" si="1159"/>
        <v/>
      </c>
      <c r="Q7348" t="str">
        <f t="shared" si="1160"/>
        <v/>
      </c>
      <c r="R7348" t="str">
        <f t="shared" si="1161"/>
        <v/>
      </c>
      <c r="S7348" t="str">
        <f t="shared" si="1162"/>
        <v/>
      </c>
      <c r="T7348" t="str">
        <f t="shared" si="1163"/>
        <v/>
      </c>
      <c r="U7348" t="str">
        <f t="shared" si="1164"/>
        <v/>
      </c>
      <c r="V7348" t="str">
        <f t="shared" si="1165"/>
        <v/>
      </c>
      <c r="W7348" t="str">
        <f t="shared" si="1166"/>
        <v/>
      </c>
      <c r="X7348">
        <f t="shared" si="1156"/>
        <v>0</v>
      </c>
      <c r="Z7348" t="str">
        <f t="shared" si="1167"/>
        <v/>
      </c>
      <c r="AA7348">
        <f t="shared" si="1157"/>
        <v>0</v>
      </c>
    </row>
    <row r="7349" spans="1:27" ht="21" customHeight="1" x14ac:dyDescent="0.95">
      <c r="A7349" s="56"/>
      <c r="B7349" s="57"/>
      <c r="C7349" s="57"/>
      <c r="D7349" s="57"/>
      <c r="E7349" s="56"/>
      <c r="F7349" s="57"/>
      <c r="G7349" s="57"/>
      <c r="H7349" s="56"/>
      <c r="I7349" s="56"/>
      <c r="J7349" s="58"/>
      <c r="K7349" s="58"/>
      <c r="L7349" s="13" t="str">
        <f t="shared" si="1158"/>
        <v/>
      </c>
      <c r="M7349" s="13" t="str">
        <f t="shared" si="1159"/>
        <v/>
      </c>
      <c r="Q7349" t="str">
        <f t="shared" si="1160"/>
        <v/>
      </c>
      <c r="R7349" t="str">
        <f t="shared" si="1161"/>
        <v/>
      </c>
      <c r="S7349" t="str">
        <f t="shared" si="1162"/>
        <v/>
      </c>
      <c r="T7349" t="str">
        <f t="shared" si="1163"/>
        <v/>
      </c>
      <c r="U7349" t="str">
        <f t="shared" si="1164"/>
        <v/>
      </c>
      <c r="V7349" t="str">
        <f t="shared" si="1165"/>
        <v/>
      </c>
      <c r="W7349" t="str">
        <f t="shared" si="1166"/>
        <v/>
      </c>
      <c r="X7349">
        <f t="shared" ref="X7349:X7412" si="1168">IF($T7349="",N($X7348),IF(MATCH($T7349,$T$6:$T$10005,0)=ROW()-5,N($X7348)+1,N($X7348)))</f>
        <v>0</v>
      </c>
      <c r="Z7349" t="str">
        <f t="shared" si="1167"/>
        <v/>
      </c>
      <c r="AA7349">
        <f t="shared" ref="AA7349:AA7412" si="1169">IF($V7349="",N($AA7348),IF(MATCH($V7349,$V$6:$V$10005,0)=ROW()-5,N($AA7348)+1,N($AA7348)))</f>
        <v>0</v>
      </c>
    </row>
    <row r="7350" spans="1:27" ht="21" customHeight="1" x14ac:dyDescent="0.95">
      <c r="A7350" s="56"/>
      <c r="B7350" s="57"/>
      <c r="C7350" s="57"/>
      <c r="D7350" s="57"/>
      <c r="E7350" s="56"/>
      <c r="F7350" s="57"/>
      <c r="G7350" s="57"/>
      <c r="H7350" s="56"/>
      <c r="I7350" s="56"/>
      <c r="J7350" s="58"/>
      <c r="K7350" s="58"/>
      <c r="L7350" s="13" t="str">
        <f t="shared" si="1158"/>
        <v/>
      </c>
      <c r="M7350" s="13" t="str">
        <f t="shared" si="1159"/>
        <v/>
      </c>
      <c r="Q7350" t="str">
        <f t="shared" si="1160"/>
        <v/>
      </c>
      <c r="R7350" t="str">
        <f t="shared" si="1161"/>
        <v/>
      </c>
      <c r="S7350" t="str">
        <f t="shared" si="1162"/>
        <v/>
      </c>
      <c r="T7350" t="str">
        <f t="shared" si="1163"/>
        <v/>
      </c>
      <c r="U7350" t="str">
        <f t="shared" si="1164"/>
        <v/>
      </c>
      <c r="V7350" t="str">
        <f t="shared" si="1165"/>
        <v/>
      </c>
      <c r="W7350" t="str">
        <f t="shared" si="1166"/>
        <v/>
      </c>
      <c r="X7350">
        <f t="shared" si="1168"/>
        <v>0</v>
      </c>
      <c r="Z7350" t="str">
        <f t="shared" si="1167"/>
        <v/>
      </c>
      <c r="AA7350">
        <f t="shared" si="1169"/>
        <v>0</v>
      </c>
    </row>
    <row r="7351" spans="1:27" ht="21" customHeight="1" x14ac:dyDescent="0.95">
      <c r="A7351" s="56"/>
      <c r="B7351" s="57"/>
      <c r="C7351" s="57"/>
      <c r="D7351" s="57"/>
      <c r="E7351" s="56"/>
      <c r="F7351" s="57"/>
      <c r="G7351" s="57"/>
      <c r="H7351" s="56"/>
      <c r="I7351" s="56"/>
      <c r="J7351" s="58"/>
      <c r="K7351" s="58"/>
      <c r="L7351" s="13" t="str">
        <f t="shared" si="1158"/>
        <v/>
      </c>
      <c r="M7351" s="13" t="str">
        <f t="shared" si="1159"/>
        <v/>
      </c>
      <c r="Q7351" t="str">
        <f t="shared" si="1160"/>
        <v/>
      </c>
      <c r="R7351" t="str">
        <f t="shared" si="1161"/>
        <v/>
      </c>
      <c r="S7351" t="str">
        <f t="shared" si="1162"/>
        <v/>
      </c>
      <c r="T7351" t="str">
        <f t="shared" si="1163"/>
        <v/>
      </c>
      <c r="U7351" t="str">
        <f t="shared" si="1164"/>
        <v/>
      </c>
      <c r="V7351" t="str">
        <f t="shared" si="1165"/>
        <v/>
      </c>
      <c r="W7351" t="str">
        <f t="shared" si="1166"/>
        <v/>
      </c>
      <c r="X7351">
        <f t="shared" si="1168"/>
        <v>0</v>
      </c>
      <c r="Z7351" t="str">
        <f t="shared" si="1167"/>
        <v/>
      </c>
      <c r="AA7351">
        <f t="shared" si="1169"/>
        <v>0</v>
      </c>
    </row>
    <row r="7352" spans="1:27" ht="21" customHeight="1" x14ac:dyDescent="0.95">
      <c r="A7352" s="56"/>
      <c r="B7352" s="57"/>
      <c r="C7352" s="57"/>
      <c r="D7352" s="57"/>
      <c r="E7352" s="56"/>
      <c r="F7352" s="57"/>
      <c r="G7352" s="57"/>
      <c r="H7352" s="56"/>
      <c r="I7352" s="56"/>
      <c r="J7352" s="58"/>
      <c r="K7352" s="58"/>
      <c r="L7352" s="13" t="str">
        <f t="shared" si="1158"/>
        <v/>
      </c>
      <c r="M7352" s="13" t="str">
        <f t="shared" si="1159"/>
        <v/>
      </c>
      <c r="Q7352" t="str">
        <f t="shared" si="1160"/>
        <v/>
      </c>
      <c r="R7352" t="str">
        <f t="shared" si="1161"/>
        <v/>
      </c>
      <c r="S7352" t="str">
        <f t="shared" si="1162"/>
        <v/>
      </c>
      <c r="T7352" t="str">
        <f t="shared" si="1163"/>
        <v/>
      </c>
      <c r="U7352" t="str">
        <f t="shared" si="1164"/>
        <v/>
      </c>
      <c r="V7352" t="str">
        <f t="shared" si="1165"/>
        <v/>
      </c>
      <c r="W7352" t="str">
        <f t="shared" si="1166"/>
        <v/>
      </c>
      <c r="X7352">
        <f t="shared" si="1168"/>
        <v>0</v>
      </c>
      <c r="Z7352" t="str">
        <f t="shared" si="1167"/>
        <v/>
      </c>
      <c r="AA7352">
        <f t="shared" si="1169"/>
        <v>0</v>
      </c>
    </row>
    <row r="7353" spans="1:27" ht="21" customHeight="1" x14ac:dyDescent="0.95">
      <c r="A7353" s="56"/>
      <c r="B7353" s="57"/>
      <c r="C7353" s="57"/>
      <c r="D7353" s="57"/>
      <c r="E7353" s="56"/>
      <c r="F7353" s="57"/>
      <c r="G7353" s="57"/>
      <c r="H7353" s="56"/>
      <c r="I7353" s="56"/>
      <c r="J7353" s="58"/>
      <c r="K7353" s="58"/>
      <c r="L7353" s="13" t="str">
        <f t="shared" si="1158"/>
        <v/>
      </c>
      <c r="M7353" s="13" t="str">
        <f t="shared" si="1159"/>
        <v/>
      </c>
      <c r="Q7353" t="str">
        <f t="shared" si="1160"/>
        <v/>
      </c>
      <c r="R7353" t="str">
        <f t="shared" si="1161"/>
        <v/>
      </c>
      <c r="S7353" t="str">
        <f t="shared" si="1162"/>
        <v/>
      </c>
      <c r="T7353" t="str">
        <f t="shared" si="1163"/>
        <v/>
      </c>
      <c r="U7353" t="str">
        <f t="shared" si="1164"/>
        <v/>
      </c>
      <c r="V7353" t="str">
        <f t="shared" si="1165"/>
        <v/>
      </c>
      <c r="W7353" t="str">
        <f t="shared" si="1166"/>
        <v/>
      </c>
      <c r="X7353">
        <f t="shared" si="1168"/>
        <v>0</v>
      </c>
      <c r="Z7353" t="str">
        <f t="shared" si="1167"/>
        <v/>
      </c>
      <c r="AA7353">
        <f t="shared" si="1169"/>
        <v>0</v>
      </c>
    </row>
    <row r="7354" spans="1:27" ht="21" customHeight="1" x14ac:dyDescent="0.95">
      <c r="A7354" s="56"/>
      <c r="B7354" s="57"/>
      <c r="C7354" s="57"/>
      <c r="D7354" s="57"/>
      <c r="E7354" s="56"/>
      <c r="F7354" s="57"/>
      <c r="G7354" s="57"/>
      <c r="H7354" s="56"/>
      <c r="I7354" s="56"/>
      <c r="J7354" s="58"/>
      <c r="K7354" s="58"/>
      <c r="L7354" s="13" t="str">
        <f t="shared" si="1158"/>
        <v/>
      </c>
      <c r="M7354" s="13" t="str">
        <f t="shared" si="1159"/>
        <v/>
      </c>
      <c r="Q7354" t="str">
        <f t="shared" si="1160"/>
        <v/>
      </c>
      <c r="R7354" t="str">
        <f t="shared" si="1161"/>
        <v/>
      </c>
      <c r="S7354" t="str">
        <f t="shared" si="1162"/>
        <v/>
      </c>
      <c r="T7354" t="str">
        <f t="shared" si="1163"/>
        <v/>
      </c>
      <c r="U7354" t="str">
        <f t="shared" si="1164"/>
        <v/>
      </c>
      <c r="V7354" t="str">
        <f t="shared" si="1165"/>
        <v/>
      </c>
      <c r="W7354" t="str">
        <f t="shared" si="1166"/>
        <v/>
      </c>
      <c r="X7354">
        <f t="shared" si="1168"/>
        <v>0</v>
      </c>
      <c r="Z7354" t="str">
        <f t="shared" si="1167"/>
        <v/>
      </c>
      <c r="AA7354">
        <f t="shared" si="1169"/>
        <v>0</v>
      </c>
    </row>
    <row r="7355" spans="1:27" ht="21" customHeight="1" x14ac:dyDescent="0.95">
      <c r="A7355" s="56"/>
      <c r="B7355" s="57"/>
      <c r="C7355" s="57"/>
      <c r="D7355" s="57"/>
      <c r="E7355" s="56"/>
      <c r="F7355" s="57"/>
      <c r="G7355" s="57"/>
      <c r="H7355" s="56"/>
      <c r="I7355" s="56"/>
      <c r="J7355" s="58"/>
      <c r="K7355" s="58"/>
      <c r="L7355" s="13" t="str">
        <f t="shared" si="1158"/>
        <v/>
      </c>
      <c r="M7355" s="13" t="str">
        <f t="shared" si="1159"/>
        <v/>
      </c>
      <c r="Q7355" t="str">
        <f t="shared" si="1160"/>
        <v/>
      </c>
      <c r="R7355" t="str">
        <f t="shared" si="1161"/>
        <v/>
      </c>
      <c r="S7355" t="str">
        <f t="shared" si="1162"/>
        <v/>
      </c>
      <c r="T7355" t="str">
        <f t="shared" si="1163"/>
        <v/>
      </c>
      <c r="U7355" t="str">
        <f t="shared" si="1164"/>
        <v/>
      </c>
      <c r="V7355" t="str">
        <f t="shared" si="1165"/>
        <v/>
      </c>
      <c r="W7355" t="str">
        <f t="shared" si="1166"/>
        <v/>
      </c>
      <c r="X7355">
        <f t="shared" si="1168"/>
        <v>0</v>
      </c>
      <c r="Z7355" t="str">
        <f t="shared" si="1167"/>
        <v/>
      </c>
      <c r="AA7355">
        <f t="shared" si="1169"/>
        <v>0</v>
      </c>
    </row>
    <row r="7356" spans="1:27" ht="21" customHeight="1" x14ac:dyDescent="0.95">
      <c r="A7356" s="56"/>
      <c r="B7356" s="57"/>
      <c r="C7356" s="57"/>
      <c r="D7356" s="57"/>
      <c r="E7356" s="56"/>
      <c r="F7356" s="57"/>
      <c r="G7356" s="57"/>
      <c r="H7356" s="56"/>
      <c r="I7356" s="56"/>
      <c r="J7356" s="58"/>
      <c r="K7356" s="58"/>
      <c r="L7356" s="13" t="str">
        <f t="shared" si="1158"/>
        <v/>
      </c>
      <c r="M7356" s="13" t="str">
        <f t="shared" si="1159"/>
        <v/>
      </c>
      <c r="Q7356" t="str">
        <f t="shared" si="1160"/>
        <v/>
      </c>
      <c r="R7356" t="str">
        <f t="shared" si="1161"/>
        <v/>
      </c>
      <c r="S7356" t="str">
        <f t="shared" si="1162"/>
        <v/>
      </c>
      <c r="T7356" t="str">
        <f t="shared" si="1163"/>
        <v/>
      </c>
      <c r="U7356" t="str">
        <f t="shared" si="1164"/>
        <v/>
      </c>
      <c r="V7356" t="str">
        <f t="shared" si="1165"/>
        <v/>
      </c>
      <c r="W7356" t="str">
        <f t="shared" si="1166"/>
        <v/>
      </c>
      <c r="X7356">
        <f t="shared" si="1168"/>
        <v>0</v>
      </c>
      <c r="Z7356" t="str">
        <f t="shared" si="1167"/>
        <v/>
      </c>
      <c r="AA7356">
        <f t="shared" si="1169"/>
        <v>0</v>
      </c>
    </row>
    <row r="7357" spans="1:27" ht="21" customHeight="1" x14ac:dyDescent="0.95">
      <c r="A7357" s="56"/>
      <c r="B7357" s="57"/>
      <c r="C7357" s="57"/>
      <c r="D7357" s="57"/>
      <c r="E7357" s="56"/>
      <c r="F7357" s="57"/>
      <c r="G7357" s="57"/>
      <c r="H7357" s="56"/>
      <c r="I7357" s="56"/>
      <c r="J7357" s="58"/>
      <c r="K7357" s="58"/>
      <c r="L7357" s="13" t="str">
        <f t="shared" si="1158"/>
        <v/>
      </c>
      <c r="M7357" s="13" t="str">
        <f t="shared" si="1159"/>
        <v/>
      </c>
      <c r="Q7357" t="str">
        <f t="shared" si="1160"/>
        <v/>
      </c>
      <c r="R7357" t="str">
        <f t="shared" si="1161"/>
        <v/>
      </c>
      <c r="S7357" t="str">
        <f t="shared" si="1162"/>
        <v/>
      </c>
      <c r="T7357" t="str">
        <f t="shared" si="1163"/>
        <v/>
      </c>
      <c r="U7357" t="str">
        <f t="shared" si="1164"/>
        <v/>
      </c>
      <c r="V7357" t="str">
        <f t="shared" si="1165"/>
        <v/>
      </c>
      <c r="W7357" t="str">
        <f t="shared" si="1166"/>
        <v/>
      </c>
      <c r="X7357">
        <f t="shared" si="1168"/>
        <v>0</v>
      </c>
      <c r="Z7357" t="str">
        <f t="shared" si="1167"/>
        <v/>
      </c>
      <c r="AA7357">
        <f t="shared" si="1169"/>
        <v>0</v>
      </c>
    </row>
    <row r="7358" spans="1:27" ht="21" customHeight="1" x14ac:dyDescent="0.95">
      <c r="A7358" s="56"/>
      <c r="B7358" s="57"/>
      <c r="C7358" s="57"/>
      <c r="D7358" s="57"/>
      <c r="E7358" s="56"/>
      <c r="F7358" s="57"/>
      <c r="G7358" s="57"/>
      <c r="H7358" s="56"/>
      <c r="I7358" s="56"/>
      <c r="J7358" s="58"/>
      <c r="K7358" s="58"/>
      <c r="L7358" s="13" t="str">
        <f t="shared" si="1158"/>
        <v/>
      </c>
      <c r="M7358" s="13" t="str">
        <f t="shared" si="1159"/>
        <v/>
      </c>
      <c r="Q7358" t="str">
        <f t="shared" si="1160"/>
        <v/>
      </c>
      <c r="R7358" t="str">
        <f t="shared" si="1161"/>
        <v/>
      </c>
      <c r="S7358" t="str">
        <f t="shared" si="1162"/>
        <v/>
      </c>
      <c r="T7358" t="str">
        <f t="shared" si="1163"/>
        <v/>
      </c>
      <c r="U7358" t="str">
        <f t="shared" si="1164"/>
        <v/>
      </c>
      <c r="V7358" t="str">
        <f t="shared" si="1165"/>
        <v/>
      </c>
      <c r="W7358" t="str">
        <f t="shared" si="1166"/>
        <v/>
      </c>
      <c r="X7358">
        <f t="shared" si="1168"/>
        <v>0</v>
      </c>
      <c r="Z7358" t="str">
        <f t="shared" si="1167"/>
        <v/>
      </c>
      <c r="AA7358">
        <f t="shared" si="1169"/>
        <v>0</v>
      </c>
    </row>
    <row r="7359" spans="1:27" ht="21" customHeight="1" x14ac:dyDescent="0.95">
      <c r="A7359" s="56"/>
      <c r="B7359" s="57"/>
      <c r="C7359" s="57"/>
      <c r="D7359" s="57"/>
      <c r="E7359" s="56"/>
      <c r="F7359" s="57"/>
      <c r="G7359" s="57"/>
      <c r="H7359" s="56"/>
      <c r="I7359" s="56"/>
      <c r="J7359" s="58"/>
      <c r="K7359" s="58"/>
      <c r="L7359" s="13" t="str">
        <f t="shared" si="1158"/>
        <v/>
      </c>
      <c r="M7359" s="13" t="str">
        <f t="shared" si="1159"/>
        <v/>
      </c>
      <c r="Q7359" t="str">
        <f t="shared" si="1160"/>
        <v/>
      </c>
      <c r="R7359" t="str">
        <f t="shared" si="1161"/>
        <v/>
      </c>
      <c r="S7359" t="str">
        <f t="shared" si="1162"/>
        <v/>
      </c>
      <c r="T7359" t="str">
        <f t="shared" si="1163"/>
        <v/>
      </c>
      <c r="U7359" t="str">
        <f t="shared" si="1164"/>
        <v/>
      </c>
      <c r="V7359" t="str">
        <f t="shared" si="1165"/>
        <v/>
      </c>
      <c r="W7359" t="str">
        <f t="shared" si="1166"/>
        <v/>
      </c>
      <c r="X7359">
        <f t="shared" si="1168"/>
        <v>0</v>
      </c>
      <c r="Z7359" t="str">
        <f t="shared" si="1167"/>
        <v/>
      </c>
      <c r="AA7359">
        <f t="shared" si="1169"/>
        <v>0</v>
      </c>
    </row>
    <row r="7360" spans="1:27" ht="21" customHeight="1" x14ac:dyDescent="0.95">
      <c r="A7360" s="56"/>
      <c r="B7360" s="57"/>
      <c r="C7360" s="57"/>
      <c r="D7360" s="57"/>
      <c r="E7360" s="56"/>
      <c r="F7360" s="57"/>
      <c r="G7360" s="57"/>
      <c r="H7360" s="56"/>
      <c r="I7360" s="56"/>
      <c r="J7360" s="58"/>
      <c r="K7360" s="58"/>
      <c r="L7360" s="13" t="str">
        <f t="shared" si="1158"/>
        <v/>
      </c>
      <c r="M7360" s="13" t="str">
        <f t="shared" si="1159"/>
        <v/>
      </c>
      <c r="Q7360" t="str">
        <f t="shared" si="1160"/>
        <v/>
      </c>
      <c r="R7360" t="str">
        <f t="shared" si="1161"/>
        <v/>
      </c>
      <c r="S7360" t="str">
        <f t="shared" si="1162"/>
        <v/>
      </c>
      <c r="T7360" t="str">
        <f t="shared" si="1163"/>
        <v/>
      </c>
      <c r="U7360" t="str">
        <f t="shared" si="1164"/>
        <v/>
      </c>
      <c r="V7360" t="str">
        <f t="shared" si="1165"/>
        <v/>
      </c>
      <c r="W7360" t="str">
        <f t="shared" si="1166"/>
        <v/>
      </c>
      <c r="X7360">
        <f t="shared" si="1168"/>
        <v>0</v>
      </c>
      <c r="Z7360" t="str">
        <f t="shared" si="1167"/>
        <v/>
      </c>
      <c r="AA7360">
        <f t="shared" si="1169"/>
        <v>0</v>
      </c>
    </row>
    <row r="7361" spans="1:27" ht="21" customHeight="1" x14ac:dyDescent="0.95">
      <c r="A7361" s="56"/>
      <c r="B7361" s="57"/>
      <c r="C7361" s="57"/>
      <c r="D7361" s="57"/>
      <c r="E7361" s="56"/>
      <c r="F7361" s="57"/>
      <c r="G7361" s="57"/>
      <c r="H7361" s="56"/>
      <c r="I7361" s="56"/>
      <c r="J7361" s="58"/>
      <c r="K7361" s="58"/>
      <c r="L7361" s="13" t="str">
        <f t="shared" si="1158"/>
        <v/>
      </c>
      <c r="M7361" s="13" t="str">
        <f t="shared" si="1159"/>
        <v/>
      </c>
      <c r="Q7361" t="str">
        <f t="shared" si="1160"/>
        <v/>
      </c>
      <c r="R7361" t="str">
        <f t="shared" si="1161"/>
        <v/>
      </c>
      <c r="S7361" t="str">
        <f t="shared" si="1162"/>
        <v/>
      </c>
      <c r="T7361" t="str">
        <f t="shared" si="1163"/>
        <v/>
      </c>
      <c r="U7361" t="str">
        <f t="shared" si="1164"/>
        <v/>
      </c>
      <c r="V7361" t="str">
        <f t="shared" si="1165"/>
        <v/>
      </c>
      <c r="W7361" t="str">
        <f t="shared" si="1166"/>
        <v/>
      </c>
      <c r="X7361">
        <f t="shared" si="1168"/>
        <v>0</v>
      </c>
      <c r="Z7361" t="str">
        <f t="shared" si="1167"/>
        <v/>
      </c>
      <c r="AA7361">
        <f t="shared" si="1169"/>
        <v>0</v>
      </c>
    </row>
    <row r="7362" spans="1:27" ht="21" customHeight="1" x14ac:dyDescent="0.95">
      <c r="A7362" s="56"/>
      <c r="B7362" s="57"/>
      <c r="C7362" s="57"/>
      <c r="D7362" s="57"/>
      <c r="E7362" s="56"/>
      <c r="F7362" s="57"/>
      <c r="G7362" s="57"/>
      <c r="H7362" s="56"/>
      <c r="I7362" s="56"/>
      <c r="J7362" s="58"/>
      <c r="K7362" s="58"/>
      <c r="L7362" s="13" t="str">
        <f t="shared" si="1158"/>
        <v/>
      </c>
      <c r="M7362" s="13" t="str">
        <f t="shared" si="1159"/>
        <v/>
      </c>
      <c r="Q7362" t="str">
        <f t="shared" si="1160"/>
        <v/>
      </c>
      <c r="R7362" t="str">
        <f t="shared" si="1161"/>
        <v/>
      </c>
      <c r="S7362" t="str">
        <f t="shared" si="1162"/>
        <v/>
      </c>
      <c r="T7362" t="str">
        <f t="shared" si="1163"/>
        <v/>
      </c>
      <c r="U7362" t="str">
        <f t="shared" si="1164"/>
        <v/>
      </c>
      <c r="V7362" t="str">
        <f t="shared" si="1165"/>
        <v/>
      </c>
      <c r="W7362" t="str">
        <f t="shared" si="1166"/>
        <v/>
      </c>
      <c r="X7362">
        <f t="shared" si="1168"/>
        <v>0</v>
      </c>
      <c r="Z7362" t="str">
        <f t="shared" si="1167"/>
        <v/>
      </c>
      <c r="AA7362">
        <f t="shared" si="1169"/>
        <v>0</v>
      </c>
    </row>
    <row r="7363" spans="1:27" ht="21" customHeight="1" x14ac:dyDescent="0.95">
      <c r="A7363" s="56"/>
      <c r="B7363" s="57"/>
      <c r="C7363" s="57"/>
      <c r="D7363" s="57"/>
      <c r="E7363" s="56"/>
      <c r="F7363" s="57"/>
      <c r="G7363" s="57"/>
      <c r="H7363" s="56"/>
      <c r="I7363" s="56"/>
      <c r="J7363" s="58"/>
      <c r="K7363" s="58"/>
      <c r="L7363" s="13" t="str">
        <f t="shared" si="1158"/>
        <v/>
      </c>
      <c r="M7363" s="13" t="str">
        <f t="shared" si="1159"/>
        <v/>
      </c>
      <c r="Q7363" t="str">
        <f t="shared" si="1160"/>
        <v/>
      </c>
      <c r="R7363" t="str">
        <f t="shared" si="1161"/>
        <v/>
      </c>
      <c r="S7363" t="str">
        <f t="shared" si="1162"/>
        <v/>
      </c>
      <c r="T7363" t="str">
        <f t="shared" si="1163"/>
        <v/>
      </c>
      <c r="U7363" t="str">
        <f t="shared" si="1164"/>
        <v/>
      </c>
      <c r="V7363" t="str">
        <f t="shared" si="1165"/>
        <v/>
      </c>
      <c r="W7363" t="str">
        <f t="shared" si="1166"/>
        <v/>
      </c>
      <c r="X7363">
        <f t="shared" si="1168"/>
        <v>0</v>
      </c>
      <c r="Z7363" t="str">
        <f t="shared" si="1167"/>
        <v/>
      </c>
      <c r="AA7363">
        <f t="shared" si="1169"/>
        <v>0</v>
      </c>
    </row>
    <row r="7364" spans="1:27" ht="21" customHeight="1" x14ac:dyDescent="0.95">
      <c r="A7364" s="56"/>
      <c r="B7364" s="57"/>
      <c r="C7364" s="57"/>
      <c r="D7364" s="57"/>
      <c r="E7364" s="56"/>
      <c r="F7364" s="57"/>
      <c r="G7364" s="57"/>
      <c r="H7364" s="56"/>
      <c r="I7364" s="56"/>
      <c r="J7364" s="58"/>
      <c r="K7364" s="58"/>
      <c r="L7364" s="13" t="str">
        <f t="shared" ref="L7364:L7427" si="1170">IF(OR($A7364="",AND($J7364="",$K7364="")),"",ROUND(N($J7364)-N($K7364),2))</f>
        <v/>
      </c>
      <c r="M7364" s="13" t="str">
        <f t="shared" ref="M7364:M7427" si="1171">IF(OR($A7364="",AND($J7364="",$K7364="")),"",MIN($J7364,$K7364))</f>
        <v/>
      </c>
      <c r="Q7364" t="str">
        <f t="shared" ref="Q7364:Q7427" si="1172">IF($A7364="","",$D7364&amp;"("&amp;SUBSTITUTE($E7364," ","")&amp;")")</f>
        <v/>
      </c>
      <c r="R7364" t="str">
        <f t="shared" ref="R7364:R7427" si="1173">IF($A7364="","",$B7364&amp;" - "&amp;$C7364)</f>
        <v/>
      </c>
      <c r="S7364" t="str">
        <f t="shared" ref="S7364:S7427" si="1174">IF($A7364="","",$R7364&amp;"|"&amp;$Q7364)</f>
        <v/>
      </c>
      <c r="T7364" t="str">
        <f t="shared" ref="T7364:T7427" si="1175">IF($A7364="","",$S7364&amp;"|"&amp;$F7364)</f>
        <v/>
      </c>
      <c r="U7364" t="str">
        <f t="shared" ref="U7364:U7427" si="1176">IF($A7364="","",$R7364&amp;"("&amp;$E7364&amp;")")</f>
        <v/>
      </c>
      <c r="V7364" t="str">
        <f t="shared" ref="V7364:V7427" si="1177">IF($A7364="","",$F7364&amp;"|"&amp;$U7364&amp;"|"&amp;$D7364)</f>
        <v/>
      </c>
      <c r="W7364" t="str">
        <f t="shared" si="1166"/>
        <v/>
      </c>
      <c r="X7364">
        <f t="shared" si="1168"/>
        <v>0</v>
      </c>
      <c r="Z7364" t="str">
        <f t="shared" si="1167"/>
        <v/>
      </c>
      <c r="AA7364">
        <f t="shared" si="1169"/>
        <v>0</v>
      </c>
    </row>
    <row r="7365" spans="1:27" ht="21" customHeight="1" x14ac:dyDescent="0.95">
      <c r="A7365" s="56"/>
      <c r="B7365" s="57"/>
      <c r="C7365" s="57"/>
      <c r="D7365" s="57"/>
      <c r="E7365" s="56"/>
      <c r="F7365" s="57"/>
      <c r="G7365" s="57"/>
      <c r="H7365" s="56"/>
      <c r="I7365" s="56"/>
      <c r="J7365" s="58"/>
      <c r="K7365" s="58"/>
      <c r="L7365" s="13" t="str">
        <f t="shared" si="1170"/>
        <v/>
      </c>
      <c r="M7365" s="13" t="str">
        <f t="shared" si="1171"/>
        <v/>
      </c>
      <c r="Q7365" t="str">
        <f t="shared" si="1172"/>
        <v/>
      </c>
      <c r="R7365" t="str">
        <f t="shared" si="1173"/>
        <v/>
      </c>
      <c r="S7365" t="str">
        <f t="shared" si="1174"/>
        <v/>
      </c>
      <c r="T7365" t="str">
        <f t="shared" si="1175"/>
        <v/>
      </c>
      <c r="U7365" t="str">
        <f t="shared" si="1176"/>
        <v/>
      </c>
      <c r="V7365" t="str">
        <f t="shared" si="1177"/>
        <v/>
      </c>
      <c r="W7365" t="str">
        <f t="shared" si="1166"/>
        <v/>
      </c>
      <c r="X7365">
        <f t="shared" si="1168"/>
        <v>0</v>
      </c>
      <c r="Z7365" t="str">
        <f t="shared" si="1167"/>
        <v/>
      </c>
      <c r="AA7365">
        <f t="shared" si="1169"/>
        <v>0</v>
      </c>
    </row>
    <row r="7366" spans="1:27" ht="21" customHeight="1" x14ac:dyDescent="0.95">
      <c r="A7366" s="56"/>
      <c r="B7366" s="57"/>
      <c r="C7366" s="57"/>
      <c r="D7366" s="57"/>
      <c r="E7366" s="56"/>
      <c r="F7366" s="57"/>
      <c r="G7366" s="57"/>
      <c r="H7366" s="56"/>
      <c r="I7366" s="56"/>
      <c r="J7366" s="58"/>
      <c r="K7366" s="58"/>
      <c r="L7366" s="13" t="str">
        <f t="shared" si="1170"/>
        <v/>
      </c>
      <c r="M7366" s="13" t="str">
        <f t="shared" si="1171"/>
        <v/>
      </c>
      <c r="Q7366" t="str">
        <f t="shared" si="1172"/>
        <v/>
      </c>
      <c r="R7366" t="str">
        <f t="shared" si="1173"/>
        <v/>
      </c>
      <c r="S7366" t="str">
        <f t="shared" si="1174"/>
        <v/>
      </c>
      <c r="T7366" t="str">
        <f t="shared" si="1175"/>
        <v/>
      </c>
      <c r="U7366" t="str">
        <f t="shared" si="1176"/>
        <v/>
      </c>
      <c r="V7366" t="str">
        <f t="shared" si="1177"/>
        <v/>
      </c>
      <c r="W7366" t="str">
        <f t="shared" ref="W7366:W7429" si="1178">IF($T7366="","",IF($X7366&gt;N($X7365),$X7366,""))</f>
        <v/>
      </c>
      <c r="X7366">
        <f t="shared" si="1168"/>
        <v>0</v>
      </c>
      <c r="Z7366" t="str">
        <f t="shared" ref="Z7366:Z7429" si="1179">IF($V7366="","",IF($AA7366&gt;N($AA7365),$AA7366,""))</f>
        <v/>
      </c>
      <c r="AA7366">
        <f t="shared" si="1169"/>
        <v>0</v>
      </c>
    </row>
    <row r="7367" spans="1:27" ht="21" customHeight="1" x14ac:dyDescent="0.95">
      <c r="A7367" s="56"/>
      <c r="B7367" s="57"/>
      <c r="C7367" s="57"/>
      <c r="D7367" s="57"/>
      <c r="E7367" s="56"/>
      <c r="F7367" s="57"/>
      <c r="G7367" s="57"/>
      <c r="H7367" s="56"/>
      <c r="I7367" s="56"/>
      <c r="J7367" s="58"/>
      <c r="K7367" s="58"/>
      <c r="L7367" s="13" t="str">
        <f t="shared" si="1170"/>
        <v/>
      </c>
      <c r="M7367" s="13" t="str">
        <f t="shared" si="1171"/>
        <v/>
      </c>
      <c r="Q7367" t="str">
        <f t="shared" si="1172"/>
        <v/>
      </c>
      <c r="R7367" t="str">
        <f t="shared" si="1173"/>
        <v/>
      </c>
      <c r="S7367" t="str">
        <f t="shared" si="1174"/>
        <v/>
      </c>
      <c r="T7367" t="str">
        <f t="shared" si="1175"/>
        <v/>
      </c>
      <c r="U7367" t="str">
        <f t="shared" si="1176"/>
        <v/>
      </c>
      <c r="V7367" t="str">
        <f t="shared" si="1177"/>
        <v/>
      </c>
      <c r="W7367" t="str">
        <f t="shared" si="1178"/>
        <v/>
      </c>
      <c r="X7367">
        <f t="shared" si="1168"/>
        <v>0</v>
      </c>
      <c r="Z7367" t="str">
        <f t="shared" si="1179"/>
        <v/>
      </c>
      <c r="AA7367">
        <f t="shared" si="1169"/>
        <v>0</v>
      </c>
    </row>
    <row r="7368" spans="1:27" ht="21" customHeight="1" x14ac:dyDescent="0.95">
      <c r="A7368" s="56"/>
      <c r="B7368" s="57"/>
      <c r="C7368" s="57"/>
      <c r="D7368" s="57"/>
      <c r="E7368" s="56"/>
      <c r="F7368" s="57"/>
      <c r="G7368" s="57"/>
      <c r="H7368" s="56"/>
      <c r="I7368" s="56"/>
      <c r="J7368" s="58"/>
      <c r="K7368" s="58"/>
      <c r="L7368" s="13" t="str">
        <f t="shared" si="1170"/>
        <v/>
      </c>
      <c r="M7368" s="13" t="str">
        <f t="shared" si="1171"/>
        <v/>
      </c>
      <c r="Q7368" t="str">
        <f t="shared" si="1172"/>
        <v/>
      </c>
      <c r="R7368" t="str">
        <f t="shared" si="1173"/>
        <v/>
      </c>
      <c r="S7368" t="str">
        <f t="shared" si="1174"/>
        <v/>
      </c>
      <c r="T7368" t="str">
        <f t="shared" si="1175"/>
        <v/>
      </c>
      <c r="U7368" t="str">
        <f t="shared" si="1176"/>
        <v/>
      </c>
      <c r="V7368" t="str">
        <f t="shared" si="1177"/>
        <v/>
      </c>
      <c r="W7368" t="str">
        <f t="shared" si="1178"/>
        <v/>
      </c>
      <c r="X7368">
        <f t="shared" si="1168"/>
        <v>0</v>
      </c>
      <c r="Z7368" t="str">
        <f t="shared" si="1179"/>
        <v/>
      </c>
      <c r="AA7368">
        <f t="shared" si="1169"/>
        <v>0</v>
      </c>
    </row>
    <row r="7369" spans="1:27" ht="21" customHeight="1" x14ac:dyDescent="0.95">
      <c r="A7369" s="56"/>
      <c r="B7369" s="57"/>
      <c r="C7369" s="57"/>
      <c r="D7369" s="57"/>
      <c r="E7369" s="56"/>
      <c r="F7369" s="57"/>
      <c r="G7369" s="57"/>
      <c r="H7369" s="56"/>
      <c r="I7369" s="56"/>
      <c r="J7369" s="58"/>
      <c r="K7369" s="58"/>
      <c r="L7369" s="13" t="str">
        <f t="shared" si="1170"/>
        <v/>
      </c>
      <c r="M7369" s="13" t="str">
        <f t="shared" si="1171"/>
        <v/>
      </c>
      <c r="Q7369" t="str">
        <f t="shared" si="1172"/>
        <v/>
      </c>
      <c r="R7369" t="str">
        <f t="shared" si="1173"/>
        <v/>
      </c>
      <c r="S7369" t="str">
        <f t="shared" si="1174"/>
        <v/>
      </c>
      <c r="T7369" t="str">
        <f t="shared" si="1175"/>
        <v/>
      </c>
      <c r="U7369" t="str">
        <f t="shared" si="1176"/>
        <v/>
      </c>
      <c r="V7369" t="str">
        <f t="shared" si="1177"/>
        <v/>
      </c>
      <c r="W7369" t="str">
        <f t="shared" si="1178"/>
        <v/>
      </c>
      <c r="X7369">
        <f t="shared" si="1168"/>
        <v>0</v>
      </c>
      <c r="Z7369" t="str">
        <f t="shared" si="1179"/>
        <v/>
      </c>
      <c r="AA7369">
        <f t="shared" si="1169"/>
        <v>0</v>
      </c>
    </row>
    <row r="7370" spans="1:27" ht="21" customHeight="1" x14ac:dyDescent="0.95">
      <c r="A7370" s="56"/>
      <c r="B7370" s="57"/>
      <c r="C7370" s="57"/>
      <c r="D7370" s="57"/>
      <c r="E7370" s="56"/>
      <c r="F7370" s="57"/>
      <c r="G7370" s="57"/>
      <c r="H7370" s="56"/>
      <c r="I7370" s="56"/>
      <c r="J7370" s="58"/>
      <c r="K7370" s="58"/>
      <c r="L7370" s="13" t="str">
        <f t="shared" si="1170"/>
        <v/>
      </c>
      <c r="M7370" s="13" t="str">
        <f t="shared" si="1171"/>
        <v/>
      </c>
      <c r="Q7370" t="str">
        <f t="shared" si="1172"/>
        <v/>
      </c>
      <c r="R7370" t="str">
        <f t="shared" si="1173"/>
        <v/>
      </c>
      <c r="S7370" t="str">
        <f t="shared" si="1174"/>
        <v/>
      </c>
      <c r="T7370" t="str">
        <f t="shared" si="1175"/>
        <v/>
      </c>
      <c r="U7370" t="str">
        <f t="shared" si="1176"/>
        <v/>
      </c>
      <c r="V7370" t="str">
        <f t="shared" si="1177"/>
        <v/>
      </c>
      <c r="W7370" t="str">
        <f t="shared" si="1178"/>
        <v/>
      </c>
      <c r="X7370">
        <f t="shared" si="1168"/>
        <v>0</v>
      </c>
      <c r="Z7370" t="str">
        <f t="shared" si="1179"/>
        <v/>
      </c>
      <c r="AA7370">
        <f t="shared" si="1169"/>
        <v>0</v>
      </c>
    </row>
    <row r="7371" spans="1:27" ht="21" customHeight="1" x14ac:dyDescent="0.95">
      <c r="A7371" s="56"/>
      <c r="B7371" s="57"/>
      <c r="C7371" s="57"/>
      <c r="D7371" s="57"/>
      <c r="E7371" s="56"/>
      <c r="F7371" s="57"/>
      <c r="G7371" s="57"/>
      <c r="H7371" s="56"/>
      <c r="I7371" s="56"/>
      <c r="J7371" s="58"/>
      <c r="K7371" s="58"/>
      <c r="L7371" s="13" t="str">
        <f t="shared" si="1170"/>
        <v/>
      </c>
      <c r="M7371" s="13" t="str">
        <f t="shared" si="1171"/>
        <v/>
      </c>
      <c r="Q7371" t="str">
        <f t="shared" si="1172"/>
        <v/>
      </c>
      <c r="R7371" t="str">
        <f t="shared" si="1173"/>
        <v/>
      </c>
      <c r="S7371" t="str">
        <f t="shared" si="1174"/>
        <v/>
      </c>
      <c r="T7371" t="str">
        <f t="shared" si="1175"/>
        <v/>
      </c>
      <c r="U7371" t="str">
        <f t="shared" si="1176"/>
        <v/>
      </c>
      <c r="V7371" t="str">
        <f t="shared" si="1177"/>
        <v/>
      </c>
      <c r="W7371" t="str">
        <f t="shared" si="1178"/>
        <v/>
      </c>
      <c r="X7371">
        <f t="shared" si="1168"/>
        <v>0</v>
      </c>
      <c r="Z7371" t="str">
        <f t="shared" si="1179"/>
        <v/>
      </c>
      <c r="AA7371">
        <f t="shared" si="1169"/>
        <v>0</v>
      </c>
    </row>
    <row r="7372" spans="1:27" ht="21" customHeight="1" x14ac:dyDescent="0.95">
      <c r="A7372" s="56"/>
      <c r="B7372" s="57"/>
      <c r="C7372" s="57"/>
      <c r="D7372" s="57"/>
      <c r="E7372" s="56"/>
      <c r="F7372" s="57"/>
      <c r="G7372" s="57"/>
      <c r="H7372" s="56"/>
      <c r="I7372" s="56"/>
      <c r="J7372" s="58"/>
      <c r="K7372" s="58"/>
      <c r="L7372" s="13" t="str">
        <f t="shared" si="1170"/>
        <v/>
      </c>
      <c r="M7372" s="13" t="str">
        <f t="shared" si="1171"/>
        <v/>
      </c>
      <c r="Q7372" t="str">
        <f t="shared" si="1172"/>
        <v/>
      </c>
      <c r="R7372" t="str">
        <f t="shared" si="1173"/>
        <v/>
      </c>
      <c r="S7372" t="str">
        <f t="shared" si="1174"/>
        <v/>
      </c>
      <c r="T7372" t="str">
        <f t="shared" si="1175"/>
        <v/>
      </c>
      <c r="U7372" t="str">
        <f t="shared" si="1176"/>
        <v/>
      </c>
      <c r="V7372" t="str">
        <f t="shared" si="1177"/>
        <v/>
      </c>
      <c r="W7372" t="str">
        <f t="shared" si="1178"/>
        <v/>
      </c>
      <c r="X7372">
        <f t="shared" si="1168"/>
        <v>0</v>
      </c>
      <c r="Z7372" t="str">
        <f t="shared" si="1179"/>
        <v/>
      </c>
      <c r="AA7372">
        <f t="shared" si="1169"/>
        <v>0</v>
      </c>
    </row>
    <row r="7373" spans="1:27" ht="21" customHeight="1" x14ac:dyDescent="0.95">
      <c r="A7373" s="56"/>
      <c r="B7373" s="57"/>
      <c r="C7373" s="57"/>
      <c r="D7373" s="57"/>
      <c r="E7373" s="56"/>
      <c r="F7373" s="57"/>
      <c r="G7373" s="57"/>
      <c r="H7373" s="56"/>
      <c r="I7373" s="56"/>
      <c r="J7373" s="58"/>
      <c r="K7373" s="58"/>
      <c r="L7373" s="13" t="str">
        <f t="shared" si="1170"/>
        <v/>
      </c>
      <c r="M7373" s="13" t="str">
        <f t="shared" si="1171"/>
        <v/>
      </c>
      <c r="Q7373" t="str">
        <f t="shared" si="1172"/>
        <v/>
      </c>
      <c r="R7373" t="str">
        <f t="shared" si="1173"/>
        <v/>
      </c>
      <c r="S7373" t="str">
        <f t="shared" si="1174"/>
        <v/>
      </c>
      <c r="T7373" t="str">
        <f t="shared" si="1175"/>
        <v/>
      </c>
      <c r="U7373" t="str">
        <f t="shared" si="1176"/>
        <v/>
      </c>
      <c r="V7373" t="str">
        <f t="shared" si="1177"/>
        <v/>
      </c>
      <c r="W7373" t="str">
        <f t="shared" si="1178"/>
        <v/>
      </c>
      <c r="X7373">
        <f t="shared" si="1168"/>
        <v>0</v>
      </c>
      <c r="Z7373" t="str">
        <f t="shared" si="1179"/>
        <v/>
      </c>
      <c r="AA7373">
        <f t="shared" si="1169"/>
        <v>0</v>
      </c>
    </row>
    <row r="7374" spans="1:27" ht="21" customHeight="1" x14ac:dyDescent="0.95">
      <c r="A7374" s="56"/>
      <c r="B7374" s="57"/>
      <c r="C7374" s="57"/>
      <c r="D7374" s="57"/>
      <c r="E7374" s="56"/>
      <c r="F7374" s="57"/>
      <c r="G7374" s="57"/>
      <c r="H7374" s="56"/>
      <c r="I7374" s="56"/>
      <c r="J7374" s="58"/>
      <c r="K7374" s="58"/>
      <c r="L7374" s="13" t="str">
        <f t="shared" si="1170"/>
        <v/>
      </c>
      <c r="M7374" s="13" t="str">
        <f t="shared" si="1171"/>
        <v/>
      </c>
      <c r="Q7374" t="str">
        <f t="shared" si="1172"/>
        <v/>
      </c>
      <c r="R7374" t="str">
        <f t="shared" si="1173"/>
        <v/>
      </c>
      <c r="S7374" t="str">
        <f t="shared" si="1174"/>
        <v/>
      </c>
      <c r="T7374" t="str">
        <f t="shared" si="1175"/>
        <v/>
      </c>
      <c r="U7374" t="str">
        <f t="shared" si="1176"/>
        <v/>
      </c>
      <c r="V7374" t="str">
        <f t="shared" si="1177"/>
        <v/>
      </c>
      <c r="W7374" t="str">
        <f t="shared" si="1178"/>
        <v/>
      </c>
      <c r="X7374">
        <f t="shared" si="1168"/>
        <v>0</v>
      </c>
      <c r="Z7374" t="str">
        <f t="shared" si="1179"/>
        <v/>
      </c>
      <c r="AA7374">
        <f t="shared" si="1169"/>
        <v>0</v>
      </c>
    </row>
    <row r="7375" spans="1:27" ht="21" customHeight="1" x14ac:dyDescent="0.95">
      <c r="A7375" s="56"/>
      <c r="B7375" s="57"/>
      <c r="C7375" s="57"/>
      <c r="D7375" s="57"/>
      <c r="E7375" s="56"/>
      <c r="F7375" s="57"/>
      <c r="G7375" s="57"/>
      <c r="H7375" s="56"/>
      <c r="I7375" s="56"/>
      <c r="J7375" s="58"/>
      <c r="K7375" s="58"/>
      <c r="L7375" s="13" t="str">
        <f t="shared" si="1170"/>
        <v/>
      </c>
      <c r="M7375" s="13" t="str">
        <f t="shared" si="1171"/>
        <v/>
      </c>
      <c r="Q7375" t="str">
        <f t="shared" si="1172"/>
        <v/>
      </c>
      <c r="R7375" t="str">
        <f t="shared" si="1173"/>
        <v/>
      </c>
      <c r="S7375" t="str">
        <f t="shared" si="1174"/>
        <v/>
      </c>
      <c r="T7375" t="str">
        <f t="shared" si="1175"/>
        <v/>
      </c>
      <c r="U7375" t="str">
        <f t="shared" si="1176"/>
        <v/>
      </c>
      <c r="V7375" t="str">
        <f t="shared" si="1177"/>
        <v/>
      </c>
      <c r="W7375" t="str">
        <f t="shared" si="1178"/>
        <v/>
      </c>
      <c r="X7375">
        <f t="shared" si="1168"/>
        <v>0</v>
      </c>
      <c r="Z7375" t="str">
        <f t="shared" si="1179"/>
        <v/>
      </c>
      <c r="AA7375">
        <f t="shared" si="1169"/>
        <v>0</v>
      </c>
    </row>
    <row r="7376" spans="1:27" ht="21" customHeight="1" x14ac:dyDescent="0.95">
      <c r="A7376" s="56"/>
      <c r="B7376" s="57"/>
      <c r="C7376" s="57"/>
      <c r="D7376" s="57"/>
      <c r="E7376" s="56"/>
      <c r="F7376" s="57"/>
      <c r="G7376" s="57"/>
      <c r="H7376" s="56"/>
      <c r="I7376" s="56"/>
      <c r="J7376" s="58"/>
      <c r="K7376" s="58"/>
      <c r="L7376" s="13" t="str">
        <f t="shared" si="1170"/>
        <v/>
      </c>
      <c r="M7376" s="13" t="str">
        <f t="shared" si="1171"/>
        <v/>
      </c>
      <c r="Q7376" t="str">
        <f t="shared" si="1172"/>
        <v/>
      </c>
      <c r="R7376" t="str">
        <f t="shared" si="1173"/>
        <v/>
      </c>
      <c r="S7376" t="str">
        <f t="shared" si="1174"/>
        <v/>
      </c>
      <c r="T7376" t="str">
        <f t="shared" si="1175"/>
        <v/>
      </c>
      <c r="U7376" t="str">
        <f t="shared" si="1176"/>
        <v/>
      </c>
      <c r="V7376" t="str">
        <f t="shared" si="1177"/>
        <v/>
      </c>
      <c r="W7376" t="str">
        <f t="shared" si="1178"/>
        <v/>
      </c>
      <c r="X7376">
        <f t="shared" si="1168"/>
        <v>0</v>
      </c>
      <c r="Z7376" t="str">
        <f t="shared" si="1179"/>
        <v/>
      </c>
      <c r="AA7376">
        <f t="shared" si="1169"/>
        <v>0</v>
      </c>
    </row>
    <row r="7377" spans="1:27" ht="21" customHeight="1" x14ac:dyDescent="0.95">
      <c r="A7377" s="56"/>
      <c r="B7377" s="57"/>
      <c r="C7377" s="57"/>
      <c r="D7377" s="57"/>
      <c r="E7377" s="56"/>
      <c r="F7377" s="57"/>
      <c r="G7377" s="57"/>
      <c r="H7377" s="56"/>
      <c r="I7377" s="56"/>
      <c r="J7377" s="58"/>
      <c r="K7377" s="58"/>
      <c r="L7377" s="13" t="str">
        <f t="shared" si="1170"/>
        <v/>
      </c>
      <c r="M7377" s="13" t="str">
        <f t="shared" si="1171"/>
        <v/>
      </c>
      <c r="Q7377" t="str">
        <f t="shared" si="1172"/>
        <v/>
      </c>
      <c r="R7377" t="str">
        <f t="shared" si="1173"/>
        <v/>
      </c>
      <c r="S7377" t="str">
        <f t="shared" si="1174"/>
        <v/>
      </c>
      <c r="T7377" t="str">
        <f t="shared" si="1175"/>
        <v/>
      </c>
      <c r="U7377" t="str">
        <f t="shared" si="1176"/>
        <v/>
      </c>
      <c r="V7377" t="str">
        <f t="shared" si="1177"/>
        <v/>
      </c>
      <c r="W7377" t="str">
        <f t="shared" si="1178"/>
        <v/>
      </c>
      <c r="X7377">
        <f t="shared" si="1168"/>
        <v>0</v>
      </c>
      <c r="Z7377" t="str">
        <f t="shared" si="1179"/>
        <v/>
      </c>
      <c r="AA7377">
        <f t="shared" si="1169"/>
        <v>0</v>
      </c>
    </row>
    <row r="7378" spans="1:27" ht="21" customHeight="1" x14ac:dyDescent="0.95">
      <c r="A7378" s="56"/>
      <c r="B7378" s="57"/>
      <c r="C7378" s="57"/>
      <c r="D7378" s="57"/>
      <c r="E7378" s="56"/>
      <c r="F7378" s="57"/>
      <c r="G7378" s="57"/>
      <c r="H7378" s="56"/>
      <c r="I7378" s="56"/>
      <c r="J7378" s="58"/>
      <c r="K7378" s="58"/>
      <c r="L7378" s="13" t="str">
        <f t="shared" si="1170"/>
        <v/>
      </c>
      <c r="M7378" s="13" t="str">
        <f t="shared" si="1171"/>
        <v/>
      </c>
      <c r="Q7378" t="str">
        <f t="shared" si="1172"/>
        <v/>
      </c>
      <c r="R7378" t="str">
        <f t="shared" si="1173"/>
        <v/>
      </c>
      <c r="S7378" t="str">
        <f t="shared" si="1174"/>
        <v/>
      </c>
      <c r="T7378" t="str">
        <f t="shared" si="1175"/>
        <v/>
      </c>
      <c r="U7378" t="str">
        <f t="shared" si="1176"/>
        <v/>
      </c>
      <c r="V7378" t="str">
        <f t="shared" si="1177"/>
        <v/>
      </c>
      <c r="W7378" t="str">
        <f t="shared" si="1178"/>
        <v/>
      </c>
      <c r="X7378">
        <f t="shared" si="1168"/>
        <v>0</v>
      </c>
      <c r="Z7378" t="str">
        <f t="shared" si="1179"/>
        <v/>
      </c>
      <c r="AA7378">
        <f t="shared" si="1169"/>
        <v>0</v>
      </c>
    </row>
    <row r="7379" spans="1:27" ht="21" customHeight="1" x14ac:dyDescent="0.95">
      <c r="A7379" s="56"/>
      <c r="B7379" s="57"/>
      <c r="C7379" s="57"/>
      <c r="D7379" s="57"/>
      <c r="E7379" s="56"/>
      <c r="F7379" s="57"/>
      <c r="G7379" s="57"/>
      <c r="H7379" s="56"/>
      <c r="I7379" s="56"/>
      <c r="J7379" s="58"/>
      <c r="K7379" s="58"/>
      <c r="L7379" s="13" t="str">
        <f t="shared" si="1170"/>
        <v/>
      </c>
      <c r="M7379" s="13" t="str">
        <f t="shared" si="1171"/>
        <v/>
      </c>
      <c r="Q7379" t="str">
        <f t="shared" si="1172"/>
        <v/>
      </c>
      <c r="R7379" t="str">
        <f t="shared" si="1173"/>
        <v/>
      </c>
      <c r="S7379" t="str">
        <f t="shared" si="1174"/>
        <v/>
      </c>
      <c r="T7379" t="str">
        <f t="shared" si="1175"/>
        <v/>
      </c>
      <c r="U7379" t="str">
        <f t="shared" si="1176"/>
        <v/>
      </c>
      <c r="V7379" t="str">
        <f t="shared" si="1177"/>
        <v/>
      </c>
      <c r="W7379" t="str">
        <f t="shared" si="1178"/>
        <v/>
      </c>
      <c r="X7379">
        <f t="shared" si="1168"/>
        <v>0</v>
      </c>
      <c r="Z7379" t="str">
        <f t="shared" si="1179"/>
        <v/>
      </c>
      <c r="AA7379">
        <f t="shared" si="1169"/>
        <v>0</v>
      </c>
    </row>
    <row r="7380" spans="1:27" ht="21" customHeight="1" x14ac:dyDescent="0.95">
      <c r="A7380" s="56"/>
      <c r="B7380" s="57"/>
      <c r="C7380" s="57"/>
      <c r="D7380" s="57"/>
      <c r="E7380" s="56"/>
      <c r="F7380" s="57"/>
      <c r="G7380" s="57"/>
      <c r="H7380" s="56"/>
      <c r="I7380" s="56"/>
      <c r="J7380" s="58"/>
      <c r="K7380" s="58"/>
      <c r="L7380" s="13" t="str">
        <f t="shared" si="1170"/>
        <v/>
      </c>
      <c r="M7380" s="13" t="str">
        <f t="shared" si="1171"/>
        <v/>
      </c>
      <c r="Q7380" t="str">
        <f t="shared" si="1172"/>
        <v/>
      </c>
      <c r="R7380" t="str">
        <f t="shared" si="1173"/>
        <v/>
      </c>
      <c r="S7380" t="str">
        <f t="shared" si="1174"/>
        <v/>
      </c>
      <c r="T7380" t="str">
        <f t="shared" si="1175"/>
        <v/>
      </c>
      <c r="U7380" t="str">
        <f t="shared" si="1176"/>
        <v/>
      </c>
      <c r="V7380" t="str">
        <f t="shared" si="1177"/>
        <v/>
      </c>
      <c r="W7380" t="str">
        <f t="shared" si="1178"/>
        <v/>
      </c>
      <c r="X7380">
        <f t="shared" si="1168"/>
        <v>0</v>
      </c>
      <c r="Z7380" t="str">
        <f t="shared" si="1179"/>
        <v/>
      </c>
      <c r="AA7380">
        <f t="shared" si="1169"/>
        <v>0</v>
      </c>
    </row>
    <row r="7381" spans="1:27" ht="21" customHeight="1" x14ac:dyDescent="0.95">
      <c r="A7381" s="56"/>
      <c r="B7381" s="57"/>
      <c r="C7381" s="57"/>
      <c r="D7381" s="57"/>
      <c r="E7381" s="56"/>
      <c r="F7381" s="57"/>
      <c r="G7381" s="57"/>
      <c r="H7381" s="56"/>
      <c r="I7381" s="56"/>
      <c r="J7381" s="58"/>
      <c r="K7381" s="58"/>
      <c r="L7381" s="13" t="str">
        <f t="shared" si="1170"/>
        <v/>
      </c>
      <c r="M7381" s="13" t="str">
        <f t="shared" si="1171"/>
        <v/>
      </c>
      <c r="Q7381" t="str">
        <f t="shared" si="1172"/>
        <v/>
      </c>
      <c r="R7381" t="str">
        <f t="shared" si="1173"/>
        <v/>
      </c>
      <c r="S7381" t="str">
        <f t="shared" si="1174"/>
        <v/>
      </c>
      <c r="T7381" t="str">
        <f t="shared" si="1175"/>
        <v/>
      </c>
      <c r="U7381" t="str">
        <f t="shared" si="1176"/>
        <v/>
      </c>
      <c r="V7381" t="str">
        <f t="shared" si="1177"/>
        <v/>
      </c>
      <c r="W7381" t="str">
        <f t="shared" si="1178"/>
        <v/>
      </c>
      <c r="X7381">
        <f t="shared" si="1168"/>
        <v>0</v>
      </c>
      <c r="Z7381" t="str">
        <f t="shared" si="1179"/>
        <v/>
      </c>
      <c r="AA7381">
        <f t="shared" si="1169"/>
        <v>0</v>
      </c>
    </row>
    <row r="7382" spans="1:27" ht="21" customHeight="1" x14ac:dyDescent="0.95">
      <c r="A7382" s="56"/>
      <c r="B7382" s="57"/>
      <c r="C7382" s="57"/>
      <c r="D7382" s="57"/>
      <c r="E7382" s="56"/>
      <c r="F7382" s="57"/>
      <c r="G7382" s="57"/>
      <c r="H7382" s="56"/>
      <c r="I7382" s="56"/>
      <c r="J7382" s="58"/>
      <c r="K7382" s="58"/>
      <c r="L7382" s="13" t="str">
        <f t="shared" si="1170"/>
        <v/>
      </c>
      <c r="M7382" s="13" t="str">
        <f t="shared" si="1171"/>
        <v/>
      </c>
      <c r="Q7382" t="str">
        <f t="shared" si="1172"/>
        <v/>
      </c>
      <c r="R7382" t="str">
        <f t="shared" si="1173"/>
        <v/>
      </c>
      <c r="S7382" t="str">
        <f t="shared" si="1174"/>
        <v/>
      </c>
      <c r="T7382" t="str">
        <f t="shared" si="1175"/>
        <v/>
      </c>
      <c r="U7382" t="str">
        <f t="shared" si="1176"/>
        <v/>
      </c>
      <c r="V7382" t="str">
        <f t="shared" si="1177"/>
        <v/>
      </c>
      <c r="W7382" t="str">
        <f t="shared" si="1178"/>
        <v/>
      </c>
      <c r="X7382">
        <f t="shared" si="1168"/>
        <v>0</v>
      </c>
      <c r="Z7382" t="str">
        <f t="shared" si="1179"/>
        <v/>
      </c>
      <c r="AA7382">
        <f t="shared" si="1169"/>
        <v>0</v>
      </c>
    </row>
    <row r="7383" spans="1:27" ht="21" customHeight="1" x14ac:dyDescent="0.95">
      <c r="A7383" s="56"/>
      <c r="B7383" s="57"/>
      <c r="C7383" s="57"/>
      <c r="D7383" s="57"/>
      <c r="E7383" s="56"/>
      <c r="F7383" s="57"/>
      <c r="G7383" s="57"/>
      <c r="H7383" s="56"/>
      <c r="I7383" s="56"/>
      <c r="J7383" s="58"/>
      <c r="K7383" s="58"/>
      <c r="L7383" s="13" t="str">
        <f t="shared" si="1170"/>
        <v/>
      </c>
      <c r="M7383" s="13" t="str">
        <f t="shared" si="1171"/>
        <v/>
      </c>
      <c r="Q7383" t="str">
        <f t="shared" si="1172"/>
        <v/>
      </c>
      <c r="R7383" t="str">
        <f t="shared" si="1173"/>
        <v/>
      </c>
      <c r="S7383" t="str">
        <f t="shared" si="1174"/>
        <v/>
      </c>
      <c r="T7383" t="str">
        <f t="shared" si="1175"/>
        <v/>
      </c>
      <c r="U7383" t="str">
        <f t="shared" si="1176"/>
        <v/>
      </c>
      <c r="V7383" t="str">
        <f t="shared" si="1177"/>
        <v/>
      </c>
      <c r="W7383" t="str">
        <f t="shared" si="1178"/>
        <v/>
      </c>
      <c r="X7383">
        <f t="shared" si="1168"/>
        <v>0</v>
      </c>
      <c r="Z7383" t="str">
        <f t="shared" si="1179"/>
        <v/>
      </c>
      <c r="AA7383">
        <f t="shared" si="1169"/>
        <v>0</v>
      </c>
    </row>
    <row r="7384" spans="1:27" ht="21" customHeight="1" x14ac:dyDescent="0.95">
      <c r="A7384" s="56"/>
      <c r="B7384" s="57"/>
      <c r="C7384" s="57"/>
      <c r="D7384" s="57"/>
      <c r="E7384" s="56"/>
      <c r="F7384" s="57"/>
      <c r="G7384" s="57"/>
      <c r="H7384" s="56"/>
      <c r="I7384" s="56"/>
      <c r="J7384" s="58"/>
      <c r="K7384" s="58"/>
      <c r="L7384" s="13" t="str">
        <f t="shared" si="1170"/>
        <v/>
      </c>
      <c r="M7384" s="13" t="str">
        <f t="shared" si="1171"/>
        <v/>
      </c>
      <c r="Q7384" t="str">
        <f t="shared" si="1172"/>
        <v/>
      </c>
      <c r="R7384" t="str">
        <f t="shared" si="1173"/>
        <v/>
      </c>
      <c r="S7384" t="str">
        <f t="shared" si="1174"/>
        <v/>
      </c>
      <c r="T7384" t="str">
        <f t="shared" si="1175"/>
        <v/>
      </c>
      <c r="U7384" t="str">
        <f t="shared" si="1176"/>
        <v/>
      </c>
      <c r="V7384" t="str">
        <f t="shared" si="1177"/>
        <v/>
      </c>
      <c r="W7384" t="str">
        <f t="shared" si="1178"/>
        <v/>
      </c>
      <c r="X7384">
        <f t="shared" si="1168"/>
        <v>0</v>
      </c>
      <c r="Z7384" t="str">
        <f t="shared" si="1179"/>
        <v/>
      </c>
      <c r="AA7384">
        <f t="shared" si="1169"/>
        <v>0</v>
      </c>
    </row>
    <row r="7385" spans="1:27" ht="21" customHeight="1" x14ac:dyDescent="0.95">
      <c r="A7385" s="56"/>
      <c r="B7385" s="57"/>
      <c r="C7385" s="57"/>
      <c r="D7385" s="57"/>
      <c r="E7385" s="56"/>
      <c r="F7385" s="57"/>
      <c r="G7385" s="57"/>
      <c r="H7385" s="56"/>
      <c r="I7385" s="56"/>
      <c r="J7385" s="58"/>
      <c r="K7385" s="58"/>
      <c r="L7385" s="13" t="str">
        <f t="shared" si="1170"/>
        <v/>
      </c>
      <c r="M7385" s="13" t="str">
        <f t="shared" si="1171"/>
        <v/>
      </c>
      <c r="Q7385" t="str">
        <f t="shared" si="1172"/>
        <v/>
      </c>
      <c r="R7385" t="str">
        <f t="shared" si="1173"/>
        <v/>
      </c>
      <c r="S7385" t="str">
        <f t="shared" si="1174"/>
        <v/>
      </c>
      <c r="T7385" t="str">
        <f t="shared" si="1175"/>
        <v/>
      </c>
      <c r="U7385" t="str">
        <f t="shared" si="1176"/>
        <v/>
      </c>
      <c r="V7385" t="str">
        <f t="shared" si="1177"/>
        <v/>
      </c>
      <c r="W7385" t="str">
        <f t="shared" si="1178"/>
        <v/>
      </c>
      <c r="X7385">
        <f t="shared" si="1168"/>
        <v>0</v>
      </c>
      <c r="Z7385" t="str">
        <f t="shared" si="1179"/>
        <v/>
      </c>
      <c r="AA7385">
        <f t="shared" si="1169"/>
        <v>0</v>
      </c>
    </row>
    <row r="7386" spans="1:27" ht="21" customHeight="1" x14ac:dyDescent="0.95">
      <c r="A7386" s="56"/>
      <c r="B7386" s="57"/>
      <c r="C7386" s="57"/>
      <c r="D7386" s="57"/>
      <c r="E7386" s="56"/>
      <c r="F7386" s="57"/>
      <c r="G7386" s="57"/>
      <c r="H7386" s="56"/>
      <c r="I7386" s="56"/>
      <c r="J7386" s="58"/>
      <c r="K7386" s="58"/>
      <c r="L7386" s="13" t="str">
        <f t="shared" si="1170"/>
        <v/>
      </c>
      <c r="M7386" s="13" t="str">
        <f t="shared" si="1171"/>
        <v/>
      </c>
      <c r="Q7386" t="str">
        <f t="shared" si="1172"/>
        <v/>
      </c>
      <c r="R7386" t="str">
        <f t="shared" si="1173"/>
        <v/>
      </c>
      <c r="S7386" t="str">
        <f t="shared" si="1174"/>
        <v/>
      </c>
      <c r="T7386" t="str">
        <f t="shared" si="1175"/>
        <v/>
      </c>
      <c r="U7386" t="str">
        <f t="shared" si="1176"/>
        <v/>
      </c>
      <c r="V7386" t="str">
        <f t="shared" si="1177"/>
        <v/>
      </c>
      <c r="W7386" t="str">
        <f t="shared" si="1178"/>
        <v/>
      </c>
      <c r="X7386">
        <f t="shared" si="1168"/>
        <v>0</v>
      </c>
      <c r="Z7386" t="str">
        <f t="shared" si="1179"/>
        <v/>
      </c>
      <c r="AA7386">
        <f t="shared" si="1169"/>
        <v>0</v>
      </c>
    </row>
    <row r="7387" spans="1:27" ht="21" customHeight="1" x14ac:dyDescent="0.95">
      <c r="A7387" s="56"/>
      <c r="B7387" s="57"/>
      <c r="C7387" s="57"/>
      <c r="D7387" s="57"/>
      <c r="E7387" s="56"/>
      <c r="F7387" s="57"/>
      <c r="G7387" s="57"/>
      <c r="H7387" s="56"/>
      <c r="I7387" s="56"/>
      <c r="J7387" s="58"/>
      <c r="K7387" s="58"/>
      <c r="L7387" s="13" t="str">
        <f t="shared" si="1170"/>
        <v/>
      </c>
      <c r="M7387" s="13" t="str">
        <f t="shared" si="1171"/>
        <v/>
      </c>
      <c r="Q7387" t="str">
        <f t="shared" si="1172"/>
        <v/>
      </c>
      <c r="R7387" t="str">
        <f t="shared" si="1173"/>
        <v/>
      </c>
      <c r="S7387" t="str">
        <f t="shared" si="1174"/>
        <v/>
      </c>
      <c r="T7387" t="str">
        <f t="shared" si="1175"/>
        <v/>
      </c>
      <c r="U7387" t="str">
        <f t="shared" si="1176"/>
        <v/>
      </c>
      <c r="V7387" t="str">
        <f t="shared" si="1177"/>
        <v/>
      </c>
      <c r="W7387" t="str">
        <f t="shared" si="1178"/>
        <v/>
      </c>
      <c r="X7387">
        <f t="shared" si="1168"/>
        <v>0</v>
      </c>
      <c r="Z7387" t="str">
        <f t="shared" si="1179"/>
        <v/>
      </c>
      <c r="AA7387">
        <f t="shared" si="1169"/>
        <v>0</v>
      </c>
    </row>
    <row r="7388" spans="1:27" ht="21" customHeight="1" x14ac:dyDescent="0.95">
      <c r="A7388" s="56"/>
      <c r="B7388" s="57"/>
      <c r="C7388" s="57"/>
      <c r="D7388" s="57"/>
      <c r="E7388" s="56"/>
      <c r="F7388" s="57"/>
      <c r="G7388" s="57"/>
      <c r="H7388" s="56"/>
      <c r="I7388" s="56"/>
      <c r="J7388" s="58"/>
      <c r="K7388" s="58"/>
      <c r="L7388" s="13" t="str">
        <f t="shared" si="1170"/>
        <v/>
      </c>
      <c r="M7388" s="13" t="str">
        <f t="shared" si="1171"/>
        <v/>
      </c>
      <c r="Q7388" t="str">
        <f t="shared" si="1172"/>
        <v/>
      </c>
      <c r="R7388" t="str">
        <f t="shared" si="1173"/>
        <v/>
      </c>
      <c r="S7388" t="str">
        <f t="shared" si="1174"/>
        <v/>
      </c>
      <c r="T7388" t="str">
        <f t="shared" si="1175"/>
        <v/>
      </c>
      <c r="U7388" t="str">
        <f t="shared" si="1176"/>
        <v/>
      </c>
      <c r="V7388" t="str">
        <f t="shared" si="1177"/>
        <v/>
      </c>
      <c r="W7388" t="str">
        <f t="shared" si="1178"/>
        <v/>
      </c>
      <c r="X7388">
        <f t="shared" si="1168"/>
        <v>0</v>
      </c>
      <c r="Z7388" t="str">
        <f t="shared" si="1179"/>
        <v/>
      </c>
      <c r="AA7388">
        <f t="shared" si="1169"/>
        <v>0</v>
      </c>
    </row>
    <row r="7389" spans="1:27" ht="21" customHeight="1" x14ac:dyDescent="0.95">
      <c r="A7389" s="56"/>
      <c r="B7389" s="57"/>
      <c r="C7389" s="57"/>
      <c r="D7389" s="57"/>
      <c r="E7389" s="56"/>
      <c r="F7389" s="57"/>
      <c r="G7389" s="57"/>
      <c r="H7389" s="56"/>
      <c r="I7389" s="56"/>
      <c r="J7389" s="58"/>
      <c r="K7389" s="58"/>
      <c r="L7389" s="13" t="str">
        <f t="shared" si="1170"/>
        <v/>
      </c>
      <c r="M7389" s="13" t="str">
        <f t="shared" si="1171"/>
        <v/>
      </c>
      <c r="Q7389" t="str">
        <f t="shared" si="1172"/>
        <v/>
      </c>
      <c r="R7389" t="str">
        <f t="shared" si="1173"/>
        <v/>
      </c>
      <c r="S7389" t="str">
        <f t="shared" si="1174"/>
        <v/>
      </c>
      <c r="T7389" t="str">
        <f t="shared" si="1175"/>
        <v/>
      </c>
      <c r="U7389" t="str">
        <f t="shared" si="1176"/>
        <v/>
      </c>
      <c r="V7389" t="str">
        <f t="shared" si="1177"/>
        <v/>
      </c>
      <c r="W7389" t="str">
        <f t="shared" si="1178"/>
        <v/>
      </c>
      <c r="X7389">
        <f t="shared" si="1168"/>
        <v>0</v>
      </c>
      <c r="Z7389" t="str">
        <f t="shared" si="1179"/>
        <v/>
      </c>
      <c r="AA7389">
        <f t="shared" si="1169"/>
        <v>0</v>
      </c>
    </row>
    <row r="7390" spans="1:27" ht="21" customHeight="1" x14ac:dyDescent="0.95">
      <c r="A7390" s="56"/>
      <c r="B7390" s="57"/>
      <c r="C7390" s="57"/>
      <c r="D7390" s="57"/>
      <c r="E7390" s="56"/>
      <c r="F7390" s="57"/>
      <c r="G7390" s="57"/>
      <c r="H7390" s="56"/>
      <c r="I7390" s="56"/>
      <c r="J7390" s="58"/>
      <c r="K7390" s="58"/>
      <c r="L7390" s="13" t="str">
        <f t="shared" si="1170"/>
        <v/>
      </c>
      <c r="M7390" s="13" t="str">
        <f t="shared" si="1171"/>
        <v/>
      </c>
      <c r="Q7390" t="str">
        <f t="shared" si="1172"/>
        <v/>
      </c>
      <c r="R7390" t="str">
        <f t="shared" si="1173"/>
        <v/>
      </c>
      <c r="S7390" t="str">
        <f t="shared" si="1174"/>
        <v/>
      </c>
      <c r="T7390" t="str">
        <f t="shared" si="1175"/>
        <v/>
      </c>
      <c r="U7390" t="str">
        <f t="shared" si="1176"/>
        <v/>
      </c>
      <c r="V7390" t="str">
        <f t="shared" si="1177"/>
        <v/>
      </c>
      <c r="W7390" t="str">
        <f t="shared" si="1178"/>
        <v/>
      </c>
      <c r="X7390">
        <f t="shared" si="1168"/>
        <v>0</v>
      </c>
      <c r="Z7390" t="str">
        <f t="shared" si="1179"/>
        <v/>
      </c>
      <c r="AA7390">
        <f t="shared" si="1169"/>
        <v>0</v>
      </c>
    </row>
    <row r="7391" spans="1:27" ht="21" customHeight="1" x14ac:dyDescent="0.95">
      <c r="A7391" s="56"/>
      <c r="B7391" s="57"/>
      <c r="C7391" s="57"/>
      <c r="D7391" s="57"/>
      <c r="E7391" s="56"/>
      <c r="F7391" s="57"/>
      <c r="G7391" s="57"/>
      <c r="H7391" s="56"/>
      <c r="I7391" s="56"/>
      <c r="J7391" s="58"/>
      <c r="K7391" s="58"/>
      <c r="L7391" s="13" t="str">
        <f t="shared" si="1170"/>
        <v/>
      </c>
      <c r="M7391" s="13" t="str">
        <f t="shared" si="1171"/>
        <v/>
      </c>
      <c r="Q7391" t="str">
        <f t="shared" si="1172"/>
        <v/>
      </c>
      <c r="R7391" t="str">
        <f t="shared" si="1173"/>
        <v/>
      </c>
      <c r="S7391" t="str">
        <f t="shared" si="1174"/>
        <v/>
      </c>
      <c r="T7391" t="str">
        <f t="shared" si="1175"/>
        <v/>
      </c>
      <c r="U7391" t="str">
        <f t="shared" si="1176"/>
        <v/>
      </c>
      <c r="V7391" t="str">
        <f t="shared" si="1177"/>
        <v/>
      </c>
      <c r="W7391" t="str">
        <f t="shared" si="1178"/>
        <v/>
      </c>
      <c r="X7391">
        <f t="shared" si="1168"/>
        <v>0</v>
      </c>
      <c r="Z7391" t="str">
        <f t="shared" si="1179"/>
        <v/>
      </c>
      <c r="AA7391">
        <f t="shared" si="1169"/>
        <v>0</v>
      </c>
    </row>
    <row r="7392" spans="1:27" ht="21" customHeight="1" x14ac:dyDescent="0.95">
      <c r="A7392" s="56"/>
      <c r="B7392" s="57"/>
      <c r="C7392" s="57"/>
      <c r="D7392" s="57"/>
      <c r="E7392" s="56"/>
      <c r="F7392" s="57"/>
      <c r="G7392" s="57"/>
      <c r="H7392" s="56"/>
      <c r="I7392" s="56"/>
      <c r="J7392" s="58"/>
      <c r="K7392" s="58"/>
      <c r="L7392" s="13" t="str">
        <f t="shared" si="1170"/>
        <v/>
      </c>
      <c r="M7392" s="13" t="str">
        <f t="shared" si="1171"/>
        <v/>
      </c>
      <c r="Q7392" t="str">
        <f t="shared" si="1172"/>
        <v/>
      </c>
      <c r="R7392" t="str">
        <f t="shared" si="1173"/>
        <v/>
      </c>
      <c r="S7392" t="str">
        <f t="shared" si="1174"/>
        <v/>
      </c>
      <c r="T7392" t="str">
        <f t="shared" si="1175"/>
        <v/>
      </c>
      <c r="U7392" t="str">
        <f t="shared" si="1176"/>
        <v/>
      </c>
      <c r="V7392" t="str">
        <f t="shared" si="1177"/>
        <v/>
      </c>
      <c r="W7392" t="str">
        <f t="shared" si="1178"/>
        <v/>
      </c>
      <c r="X7392">
        <f t="shared" si="1168"/>
        <v>0</v>
      </c>
      <c r="Z7392" t="str">
        <f t="shared" si="1179"/>
        <v/>
      </c>
      <c r="AA7392">
        <f t="shared" si="1169"/>
        <v>0</v>
      </c>
    </row>
    <row r="7393" spans="1:27" ht="21" customHeight="1" x14ac:dyDescent="0.95">
      <c r="A7393" s="56"/>
      <c r="B7393" s="57"/>
      <c r="C7393" s="57"/>
      <c r="D7393" s="57"/>
      <c r="E7393" s="56"/>
      <c r="F7393" s="57"/>
      <c r="G7393" s="57"/>
      <c r="H7393" s="56"/>
      <c r="I7393" s="56"/>
      <c r="J7393" s="58"/>
      <c r="K7393" s="58"/>
      <c r="L7393" s="13" t="str">
        <f t="shared" si="1170"/>
        <v/>
      </c>
      <c r="M7393" s="13" t="str">
        <f t="shared" si="1171"/>
        <v/>
      </c>
      <c r="Q7393" t="str">
        <f t="shared" si="1172"/>
        <v/>
      </c>
      <c r="R7393" t="str">
        <f t="shared" si="1173"/>
        <v/>
      </c>
      <c r="S7393" t="str">
        <f t="shared" si="1174"/>
        <v/>
      </c>
      <c r="T7393" t="str">
        <f t="shared" si="1175"/>
        <v/>
      </c>
      <c r="U7393" t="str">
        <f t="shared" si="1176"/>
        <v/>
      </c>
      <c r="V7393" t="str">
        <f t="shared" si="1177"/>
        <v/>
      </c>
      <c r="W7393" t="str">
        <f t="shared" si="1178"/>
        <v/>
      </c>
      <c r="X7393">
        <f t="shared" si="1168"/>
        <v>0</v>
      </c>
      <c r="Z7393" t="str">
        <f t="shared" si="1179"/>
        <v/>
      </c>
      <c r="AA7393">
        <f t="shared" si="1169"/>
        <v>0</v>
      </c>
    </row>
    <row r="7394" spans="1:27" ht="21" customHeight="1" x14ac:dyDescent="0.95">
      <c r="A7394" s="56"/>
      <c r="B7394" s="57"/>
      <c r="C7394" s="57"/>
      <c r="D7394" s="57"/>
      <c r="E7394" s="56"/>
      <c r="F7394" s="57"/>
      <c r="G7394" s="57"/>
      <c r="H7394" s="56"/>
      <c r="I7394" s="56"/>
      <c r="J7394" s="58"/>
      <c r="K7394" s="58"/>
      <c r="L7394" s="13" t="str">
        <f t="shared" si="1170"/>
        <v/>
      </c>
      <c r="M7394" s="13" t="str">
        <f t="shared" si="1171"/>
        <v/>
      </c>
      <c r="Q7394" t="str">
        <f t="shared" si="1172"/>
        <v/>
      </c>
      <c r="R7394" t="str">
        <f t="shared" si="1173"/>
        <v/>
      </c>
      <c r="S7394" t="str">
        <f t="shared" si="1174"/>
        <v/>
      </c>
      <c r="T7394" t="str">
        <f t="shared" si="1175"/>
        <v/>
      </c>
      <c r="U7394" t="str">
        <f t="shared" si="1176"/>
        <v/>
      </c>
      <c r="V7394" t="str">
        <f t="shared" si="1177"/>
        <v/>
      </c>
      <c r="W7394" t="str">
        <f t="shared" si="1178"/>
        <v/>
      </c>
      <c r="X7394">
        <f t="shared" si="1168"/>
        <v>0</v>
      </c>
      <c r="Z7394" t="str">
        <f t="shared" si="1179"/>
        <v/>
      </c>
      <c r="AA7394">
        <f t="shared" si="1169"/>
        <v>0</v>
      </c>
    </row>
    <row r="7395" spans="1:27" ht="21" customHeight="1" x14ac:dyDescent="0.95">
      <c r="A7395" s="56"/>
      <c r="B7395" s="57"/>
      <c r="C7395" s="57"/>
      <c r="D7395" s="57"/>
      <c r="E7395" s="56"/>
      <c r="F7395" s="57"/>
      <c r="G7395" s="57"/>
      <c r="H7395" s="56"/>
      <c r="I7395" s="56"/>
      <c r="J7395" s="58"/>
      <c r="K7395" s="58"/>
      <c r="L7395" s="13" t="str">
        <f t="shared" si="1170"/>
        <v/>
      </c>
      <c r="M7395" s="13" t="str">
        <f t="shared" si="1171"/>
        <v/>
      </c>
      <c r="Q7395" t="str">
        <f t="shared" si="1172"/>
        <v/>
      </c>
      <c r="R7395" t="str">
        <f t="shared" si="1173"/>
        <v/>
      </c>
      <c r="S7395" t="str">
        <f t="shared" si="1174"/>
        <v/>
      </c>
      <c r="T7395" t="str">
        <f t="shared" si="1175"/>
        <v/>
      </c>
      <c r="U7395" t="str">
        <f t="shared" si="1176"/>
        <v/>
      </c>
      <c r="V7395" t="str">
        <f t="shared" si="1177"/>
        <v/>
      </c>
      <c r="W7395" t="str">
        <f t="shared" si="1178"/>
        <v/>
      </c>
      <c r="X7395">
        <f t="shared" si="1168"/>
        <v>0</v>
      </c>
      <c r="Z7395" t="str">
        <f t="shared" si="1179"/>
        <v/>
      </c>
      <c r="AA7395">
        <f t="shared" si="1169"/>
        <v>0</v>
      </c>
    </row>
    <row r="7396" spans="1:27" ht="21" customHeight="1" x14ac:dyDescent="0.95">
      <c r="A7396" s="56"/>
      <c r="B7396" s="57"/>
      <c r="C7396" s="57"/>
      <c r="D7396" s="57"/>
      <c r="E7396" s="56"/>
      <c r="F7396" s="57"/>
      <c r="G7396" s="57"/>
      <c r="H7396" s="56"/>
      <c r="I7396" s="56"/>
      <c r="J7396" s="58"/>
      <c r="K7396" s="58"/>
      <c r="L7396" s="13" t="str">
        <f t="shared" si="1170"/>
        <v/>
      </c>
      <c r="M7396" s="13" t="str">
        <f t="shared" si="1171"/>
        <v/>
      </c>
      <c r="Q7396" t="str">
        <f t="shared" si="1172"/>
        <v/>
      </c>
      <c r="R7396" t="str">
        <f t="shared" si="1173"/>
        <v/>
      </c>
      <c r="S7396" t="str">
        <f t="shared" si="1174"/>
        <v/>
      </c>
      <c r="T7396" t="str">
        <f t="shared" si="1175"/>
        <v/>
      </c>
      <c r="U7396" t="str">
        <f t="shared" si="1176"/>
        <v/>
      </c>
      <c r="V7396" t="str">
        <f t="shared" si="1177"/>
        <v/>
      </c>
      <c r="W7396" t="str">
        <f t="shared" si="1178"/>
        <v/>
      </c>
      <c r="X7396">
        <f t="shared" si="1168"/>
        <v>0</v>
      </c>
      <c r="Z7396" t="str">
        <f t="shared" si="1179"/>
        <v/>
      </c>
      <c r="AA7396">
        <f t="shared" si="1169"/>
        <v>0</v>
      </c>
    </row>
    <row r="7397" spans="1:27" ht="21" customHeight="1" x14ac:dyDescent="0.95">
      <c r="A7397" s="56"/>
      <c r="B7397" s="57"/>
      <c r="C7397" s="57"/>
      <c r="D7397" s="57"/>
      <c r="E7397" s="56"/>
      <c r="F7397" s="57"/>
      <c r="G7397" s="57"/>
      <c r="H7397" s="56"/>
      <c r="I7397" s="56"/>
      <c r="J7397" s="58"/>
      <c r="K7397" s="58"/>
      <c r="L7397" s="13" t="str">
        <f t="shared" si="1170"/>
        <v/>
      </c>
      <c r="M7397" s="13" t="str">
        <f t="shared" si="1171"/>
        <v/>
      </c>
      <c r="Q7397" t="str">
        <f t="shared" si="1172"/>
        <v/>
      </c>
      <c r="R7397" t="str">
        <f t="shared" si="1173"/>
        <v/>
      </c>
      <c r="S7397" t="str">
        <f t="shared" si="1174"/>
        <v/>
      </c>
      <c r="T7397" t="str">
        <f t="shared" si="1175"/>
        <v/>
      </c>
      <c r="U7397" t="str">
        <f t="shared" si="1176"/>
        <v/>
      </c>
      <c r="V7397" t="str">
        <f t="shared" si="1177"/>
        <v/>
      </c>
      <c r="W7397" t="str">
        <f t="shared" si="1178"/>
        <v/>
      </c>
      <c r="X7397">
        <f t="shared" si="1168"/>
        <v>0</v>
      </c>
      <c r="Z7397" t="str">
        <f t="shared" si="1179"/>
        <v/>
      </c>
      <c r="AA7397">
        <f t="shared" si="1169"/>
        <v>0</v>
      </c>
    </row>
    <row r="7398" spans="1:27" ht="21" customHeight="1" x14ac:dyDescent="0.95">
      <c r="A7398" s="56"/>
      <c r="B7398" s="57"/>
      <c r="C7398" s="57"/>
      <c r="D7398" s="57"/>
      <c r="E7398" s="56"/>
      <c r="F7398" s="57"/>
      <c r="G7398" s="57"/>
      <c r="H7398" s="56"/>
      <c r="I7398" s="56"/>
      <c r="J7398" s="58"/>
      <c r="K7398" s="58"/>
      <c r="L7398" s="13" t="str">
        <f t="shared" si="1170"/>
        <v/>
      </c>
      <c r="M7398" s="13" t="str">
        <f t="shared" si="1171"/>
        <v/>
      </c>
      <c r="Q7398" t="str">
        <f t="shared" si="1172"/>
        <v/>
      </c>
      <c r="R7398" t="str">
        <f t="shared" si="1173"/>
        <v/>
      </c>
      <c r="S7398" t="str">
        <f t="shared" si="1174"/>
        <v/>
      </c>
      <c r="T7398" t="str">
        <f t="shared" si="1175"/>
        <v/>
      </c>
      <c r="U7398" t="str">
        <f t="shared" si="1176"/>
        <v/>
      </c>
      <c r="V7398" t="str">
        <f t="shared" si="1177"/>
        <v/>
      </c>
      <c r="W7398" t="str">
        <f t="shared" si="1178"/>
        <v/>
      </c>
      <c r="X7398">
        <f t="shared" si="1168"/>
        <v>0</v>
      </c>
      <c r="Z7398" t="str">
        <f t="shared" si="1179"/>
        <v/>
      </c>
      <c r="AA7398">
        <f t="shared" si="1169"/>
        <v>0</v>
      </c>
    </row>
    <row r="7399" spans="1:27" ht="21" customHeight="1" x14ac:dyDescent="0.95">
      <c r="A7399" s="56"/>
      <c r="B7399" s="57"/>
      <c r="C7399" s="57"/>
      <c r="D7399" s="57"/>
      <c r="E7399" s="56"/>
      <c r="F7399" s="57"/>
      <c r="G7399" s="57"/>
      <c r="H7399" s="56"/>
      <c r="I7399" s="56"/>
      <c r="J7399" s="58"/>
      <c r="K7399" s="58"/>
      <c r="L7399" s="13" t="str">
        <f t="shared" si="1170"/>
        <v/>
      </c>
      <c r="M7399" s="13" t="str">
        <f t="shared" si="1171"/>
        <v/>
      </c>
      <c r="Q7399" t="str">
        <f t="shared" si="1172"/>
        <v/>
      </c>
      <c r="R7399" t="str">
        <f t="shared" si="1173"/>
        <v/>
      </c>
      <c r="S7399" t="str">
        <f t="shared" si="1174"/>
        <v/>
      </c>
      <c r="T7399" t="str">
        <f t="shared" si="1175"/>
        <v/>
      </c>
      <c r="U7399" t="str">
        <f t="shared" si="1176"/>
        <v/>
      </c>
      <c r="V7399" t="str">
        <f t="shared" si="1177"/>
        <v/>
      </c>
      <c r="W7399" t="str">
        <f t="shared" si="1178"/>
        <v/>
      </c>
      <c r="X7399">
        <f t="shared" si="1168"/>
        <v>0</v>
      </c>
      <c r="Z7399" t="str">
        <f t="shared" si="1179"/>
        <v/>
      </c>
      <c r="AA7399">
        <f t="shared" si="1169"/>
        <v>0</v>
      </c>
    </row>
    <row r="7400" spans="1:27" ht="21" customHeight="1" x14ac:dyDescent="0.95">
      <c r="A7400" s="56"/>
      <c r="B7400" s="57"/>
      <c r="C7400" s="57"/>
      <c r="D7400" s="57"/>
      <c r="E7400" s="56"/>
      <c r="F7400" s="57"/>
      <c r="G7400" s="57"/>
      <c r="H7400" s="56"/>
      <c r="I7400" s="56"/>
      <c r="J7400" s="58"/>
      <c r="K7400" s="58"/>
      <c r="L7400" s="13" t="str">
        <f t="shared" si="1170"/>
        <v/>
      </c>
      <c r="M7400" s="13" t="str">
        <f t="shared" si="1171"/>
        <v/>
      </c>
      <c r="Q7400" t="str">
        <f t="shared" si="1172"/>
        <v/>
      </c>
      <c r="R7400" t="str">
        <f t="shared" si="1173"/>
        <v/>
      </c>
      <c r="S7400" t="str">
        <f t="shared" si="1174"/>
        <v/>
      </c>
      <c r="T7400" t="str">
        <f t="shared" si="1175"/>
        <v/>
      </c>
      <c r="U7400" t="str">
        <f t="shared" si="1176"/>
        <v/>
      </c>
      <c r="V7400" t="str">
        <f t="shared" si="1177"/>
        <v/>
      </c>
      <c r="W7400" t="str">
        <f t="shared" si="1178"/>
        <v/>
      </c>
      <c r="X7400">
        <f t="shared" si="1168"/>
        <v>0</v>
      </c>
      <c r="Z7400" t="str">
        <f t="shared" si="1179"/>
        <v/>
      </c>
      <c r="AA7400">
        <f t="shared" si="1169"/>
        <v>0</v>
      </c>
    </row>
    <row r="7401" spans="1:27" ht="21" customHeight="1" x14ac:dyDescent="0.95">
      <c r="A7401" s="56"/>
      <c r="B7401" s="57"/>
      <c r="C7401" s="57"/>
      <c r="D7401" s="57"/>
      <c r="E7401" s="56"/>
      <c r="F7401" s="57"/>
      <c r="G7401" s="57"/>
      <c r="H7401" s="56"/>
      <c r="I7401" s="56"/>
      <c r="J7401" s="58"/>
      <c r="K7401" s="58"/>
      <c r="L7401" s="13" t="str">
        <f t="shared" si="1170"/>
        <v/>
      </c>
      <c r="M7401" s="13" t="str">
        <f t="shared" si="1171"/>
        <v/>
      </c>
      <c r="Q7401" t="str">
        <f t="shared" si="1172"/>
        <v/>
      </c>
      <c r="R7401" t="str">
        <f t="shared" si="1173"/>
        <v/>
      </c>
      <c r="S7401" t="str">
        <f t="shared" si="1174"/>
        <v/>
      </c>
      <c r="T7401" t="str">
        <f t="shared" si="1175"/>
        <v/>
      </c>
      <c r="U7401" t="str">
        <f t="shared" si="1176"/>
        <v/>
      </c>
      <c r="V7401" t="str">
        <f t="shared" si="1177"/>
        <v/>
      </c>
      <c r="W7401" t="str">
        <f t="shared" si="1178"/>
        <v/>
      </c>
      <c r="X7401">
        <f t="shared" si="1168"/>
        <v>0</v>
      </c>
      <c r="Z7401" t="str">
        <f t="shared" si="1179"/>
        <v/>
      </c>
      <c r="AA7401">
        <f t="shared" si="1169"/>
        <v>0</v>
      </c>
    </row>
    <row r="7402" spans="1:27" ht="21" customHeight="1" x14ac:dyDescent="0.95">
      <c r="A7402" s="56"/>
      <c r="B7402" s="57"/>
      <c r="C7402" s="57"/>
      <c r="D7402" s="57"/>
      <c r="E7402" s="56"/>
      <c r="F7402" s="57"/>
      <c r="G7402" s="57"/>
      <c r="H7402" s="56"/>
      <c r="I7402" s="56"/>
      <c r="J7402" s="58"/>
      <c r="K7402" s="58"/>
      <c r="L7402" s="13" t="str">
        <f t="shared" si="1170"/>
        <v/>
      </c>
      <c r="M7402" s="13" t="str">
        <f t="shared" si="1171"/>
        <v/>
      </c>
      <c r="Q7402" t="str">
        <f t="shared" si="1172"/>
        <v/>
      </c>
      <c r="R7402" t="str">
        <f t="shared" si="1173"/>
        <v/>
      </c>
      <c r="S7402" t="str">
        <f t="shared" si="1174"/>
        <v/>
      </c>
      <c r="T7402" t="str">
        <f t="shared" si="1175"/>
        <v/>
      </c>
      <c r="U7402" t="str">
        <f t="shared" si="1176"/>
        <v/>
      </c>
      <c r="V7402" t="str">
        <f t="shared" si="1177"/>
        <v/>
      </c>
      <c r="W7402" t="str">
        <f t="shared" si="1178"/>
        <v/>
      </c>
      <c r="X7402">
        <f t="shared" si="1168"/>
        <v>0</v>
      </c>
      <c r="Z7402" t="str">
        <f t="shared" si="1179"/>
        <v/>
      </c>
      <c r="AA7402">
        <f t="shared" si="1169"/>
        <v>0</v>
      </c>
    </row>
    <row r="7403" spans="1:27" ht="21" customHeight="1" x14ac:dyDescent="0.95">
      <c r="A7403" s="56"/>
      <c r="B7403" s="57"/>
      <c r="C7403" s="57"/>
      <c r="D7403" s="57"/>
      <c r="E7403" s="56"/>
      <c r="F7403" s="57"/>
      <c r="G7403" s="57"/>
      <c r="H7403" s="56"/>
      <c r="I7403" s="56"/>
      <c r="J7403" s="58"/>
      <c r="K7403" s="58"/>
      <c r="L7403" s="13" t="str">
        <f t="shared" si="1170"/>
        <v/>
      </c>
      <c r="M7403" s="13" t="str">
        <f t="shared" si="1171"/>
        <v/>
      </c>
      <c r="Q7403" t="str">
        <f t="shared" si="1172"/>
        <v/>
      </c>
      <c r="R7403" t="str">
        <f t="shared" si="1173"/>
        <v/>
      </c>
      <c r="S7403" t="str">
        <f t="shared" si="1174"/>
        <v/>
      </c>
      <c r="T7403" t="str">
        <f t="shared" si="1175"/>
        <v/>
      </c>
      <c r="U7403" t="str">
        <f t="shared" si="1176"/>
        <v/>
      </c>
      <c r="V7403" t="str">
        <f t="shared" si="1177"/>
        <v/>
      </c>
      <c r="W7403" t="str">
        <f t="shared" si="1178"/>
        <v/>
      </c>
      <c r="X7403">
        <f t="shared" si="1168"/>
        <v>0</v>
      </c>
      <c r="Z7403" t="str">
        <f t="shared" si="1179"/>
        <v/>
      </c>
      <c r="AA7403">
        <f t="shared" si="1169"/>
        <v>0</v>
      </c>
    </row>
    <row r="7404" spans="1:27" ht="21" customHeight="1" x14ac:dyDescent="0.95">
      <c r="A7404" s="56"/>
      <c r="B7404" s="57"/>
      <c r="C7404" s="57"/>
      <c r="D7404" s="57"/>
      <c r="E7404" s="56"/>
      <c r="F7404" s="57"/>
      <c r="G7404" s="57"/>
      <c r="H7404" s="56"/>
      <c r="I7404" s="56"/>
      <c r="J7404" s="58"/>
      <c r="K7404" s="58"/>
      <c r="L7404" s="13" t="str">
        <f t="shared" si="1170"/>
        <v/>
      </c>
      <c r="M7404" s="13" t="str">
        <f t="shared" si="1171"/>
        <v/>
      </c>
      <c r="Q7404" t="str">
        <f t="shared" si="1172"/>
        <v/>
      </c>
      <c r="R7404" t="str">
        <f t="shared" si="1173"/>
        <v/>
      </c>
      <c r="S7404" t="str">
        <f t="shared" si="1174"/>
        <v/>
      </c>
      <c r="T7404" t="str">
        <f t="shared" si="1175"/>
        <v/>
      </c>
      <c r="U7404" t="str">
        <f t="shared" si="1176"/>
        <v/>
      </c>
      <c r="V7404" t="str">
        <f t="shared" si="1177"/>
        <v/>
      </c>
      <c r="W7404" t="str">
        <f t="shared" si="1178"/>
        <v/>
      </c>
      <c r="X7404">
        <f t="shared" si="1168"/>
        <v>0</v>
      </c>
      <c r="Z7404" t="str">
        <f t="shared" si="1179"/>
        <v/>
      </c>
      <c r="AA7404">
        <f t="shared" si="1169"/>
        <v>0</v>
      </c>
    </row>
    <row r="7405" spans="1:27" ht="21" customHeight="1" x14ac:dyDescent="0.95">
      <c r="A7405" s="56"/>
      <c r="B7405" s="57"/>
      <c r="C7405" s="57"/>
      <c r="D7405" s="57"/>
      <c r="E7405" s="56"/>
      <c r="F7405" s="57"/>
      <c r="G7405" s="57"/>
      <c r="H7405" s="56"/>
      <c r="I7405" s="56"/>
      <c r="J7405" s="58"/>
      <c r="K7405" s="58"/>
      <c r="L7405" s="13" t="str">
        <f t="shared" si="1170"/>
        <v/>
      </c>
      <c r="M7405" s="13" t="str">
        <f t="shared" si="1171"/>
        <v/>
      </c>
      <c r="Q7405" t="str">
        <f t="shared" si="1172"/>
        <v/>
      </c>
      <c r="R7405" t="str">
        <f t="shared" si="1173"/>
        <v/>
      </c>
      <c r="S7405" t="str">
        <f t="shared" si="1174"/>
        <v/>
      </c>
      <c r="T7405" t="str">
        <f t="shared" si="1175"/>
        <v/>
      </c>
      <c r="U7405" t="str">
        <f t="shared" si="1176"/>
        <v/>
      </c>
      <c r="V7405" t="str">
        <f t="shared" si="1177"/>
        <v/>
      </c>
      <c r="W7405" t="str">
        <f t="shared" si="1178"/>
        <v/>
      </c>
      <c r="X7405">
        <f t="shared" si="1168"/>
        <v>0</v>
      </c>
      <c r="Z7405" t="str">
        <f t="shared" si="1179"/>
        <v/>
      </c>
      <c r="AA7405">
        <f t="shared" si="1169"/>
        <v>0</v>
      </c>
    </row>
    <row r="7406" spans="1:27" ht="21" customHeight="1" x14ac:dyDescent="0.95">
      <c r="A7406" s="56"/>
      <c r="B7406" s="57"/>
      <c r="C7406" s="57"/>
      <c r="D7406" s="57"/>
      <c r="E7406" s="56"/>
      <c r="F7406" s="57"/>
      <c r="G7406" s="57"/>
      <c r="H7406" s="56"/>
      <c r="I7406" s="56"/>
      <c r="J7406" s="58"/>
      <c r="K7406" s="58"/>
      <c r="L7406" s="13" t="str">
        <f t="shared" si="1170"/>
        <v/>
      </c>
      <c r="M7406" s="13" t="str">
        <f t="shared" si="1171"/>
        <v/>
      </c>
      <c r="Q7406" t="str">
        <f t="shared" si="1172"/>
        <v/>
      </c>
      <c r="R7406" t="str">
        <f t="shared" si="1173"/>
        <v/>
      </c>
      <c r="S7406" t="str">
        <f t="shared" si="1174"/>
        <v/>
      </c>
      <c r="T7406" t="str">
        <f t="shared" si="1175"/>
        <v/>
      </c>
      <c r="U7406" t="str">
        <f t="shared" si="1176"/>
        <v/>
      </c>
      <c r="V7406" t="str">
        <f t="shared" si="1177"/>
        <v/>
      </c>
      <c r="W7406" t="str">
        <f t="shared" si="1178"/>
        <v/>
      </c>
      <c r="X7406">
        <f t="shared" si="1168"/>
        <v>0</v>
      </c>
      <c r="Z7406" t="str">
        <f t="shared" si="1179"/>
        <v/>
      </c>
      <c r="AA7406">
        <f t="shared" si="1169"/>
        <v>0</v>
      </c>
    </row>
    <row r="7407" spans="1:27" ht="21" customHeight="1" x14ac:dyDescent="0.95">
      <c r="A7407" s="56"/>
      <c r="B7407" s="57"/>
      <c r="C7407" s="57"/>
      <c r="D7407" s="57"/>
      <c r="E7407" s="56"/>
      <c r="F7407" s="57"/>
      <c r="G7407" s="57"/>
      <c r="H7407" s="56"/>
      <c r="I7407" s="56"/>
      <c r="J7407" s="58"/>
      <c r="K7407" s="58"/>
      <c r="L7407" s="13" t="str">
        <f t="shared" si="1170"/>
        <v/>
      </c>
      <c r="M7407" s="13" t="str">
        <f t="shared" si="1171"/>
        <v/>
      </c>
      <c r="Q7407" t="str">
        <f t="shared" si="1172"/>
        <v/>
      </c>
      <c r="R7407" t="str">
        <f t="shared" si="1173"/>
        <v/>
      </c>
      <c r="S7407" t="str">
        <f t="shared" si="1174"/>
        <v/>
      </c>
      <c r="T7407" t="str">
        <f t="shared" si="1175"/>
        <v/>
      </c>
      <c r="U7407" t="str">
        <f t="shared" si="1176"/>
        <v/>
      </c>
      <c r="V7407" t="str">
        <f t="shared" si="1177"/>
        <v/>
      </c>
      <c r="W7407" t="str">
        <f t="shared" si="1178"/>
        <v/>
      </c>
      <c r="X7407">
        <f t="shared" si="1168"/>
        <v>0</v>
      </c>
      <c r="Z7407" t="str">
        <f t="shared" si="1179"/>
        <v/>
      </c>
      <c r="AA7407">
        <f t="shared" si="1169"/>
        <v>0</v>
      </c>
    </row>
    <row r="7408" spans="1:27" ht="21" customHeight="1" x14ac:dyDescent="0.95">
      <c r="A7408" s="56"/>
      <c r="B7408" s="57"/>
      <c r="C7408" s="57"/>
      <c r="D7408" s="57"/>
      <c r="E7408" s="56"/>
      <c r="F7408" s="57"/>
      <c r="G7408" s="57"/>
      <c r="H7408" s="56"/>
      <c r="I7408" s="56"/>
      <c r="J7408" s="58"/>
      <c r="K7408" s="58"/>
      <c r="L7408" s="13" t="str">
        <f t="shared" si="1170"/>
        <v/>
      </c>
      <c r="M7408" s="13" t="str">
        <f t="shared" si="1171"/>
        <v/>
      </c>
      <c r="Q7408" t="str">
        <f t="shared" si="1172"/>
        <v/>
      </c>
      <c r="R7408" t="str">
        <f t="shared" si="1173"/>
        <v/>
      </c>
      <c r="S7408" t="str">
        <f t="shared" si="1174"/>
        <v/>
      </c>
      <c r="T7408" t="str">
        <f t="shared" si="1175"/>
        <v/>
      </c>
      <c r="U7408" t="str">
        <f t="shared" si="1176"/>
        <v/>
      </c>
      <c r="V7408" t="str">
        <f t="shared" si="1177"/>
        <v/>
      </c>
      <c r="W7408" t="str">
        <f t="shared" si="1178"/>
        <v/>
      </c>
      <c r="X7408">
        <f t="shared" si="1168"/>
        <v>0</v>
      </c>
      <c r="Z7408" t="str">
        <f t="shared" si="1179"/>
        <v/>
      </c>
      <c r="AA7408">
        <f t="shared" si="1169"/>
        <v>0</v>
      </c>
    </row>
    <row r="7409" spans="1:27" ht="21" customHeight="1" x14ac:dyDescent="0.95">
      <c r="A7409" s="56"/>
      <c r="B7409" s="57"/>
      <c r="C7409" s="57"/>
      <c r="D7409" s="57"/>
      <c r="E7409" s="56"/>
      <c r="F7409" s="57"/>
      <c r="G7409" s="57"/>
      <c r="H7409" s="56"/>
      <c r="I7409" s="56"/>
      <c r="J7409" s="58"/>
      <c r="K7409" s="58"/>
      <c r="L7409" s="13" t="str">
        <f t="shared" si="1170"/>
        <v/>
      </c>
      <c r="M7409" s="13" t="str">
        <f t="shared" si="1171"/>
        <v/>
      </c>
      <c r="Q7409" t="str">
        <f t="shared" si="1172"/>
        <v/>
      </c>
      <c r="R7409" t="str">
        <f t="shared" si="1173"/>
        <v/>
      </c>
      <c r="S7409" t="str">
        <f t="shared" si="1174"/>
        <v/>
      </c>
      <c r="T7409" t="str">
        <f t="shared" si="1175"/>
        <v/>
      </c>
      <c r="U7409" t="str">
        <f t="shared" si="1176"/>
        <v/>
      </c>
      <c r="V7409" t="str">
        <f t="shared" si="1177"/>
        <v/>
      </c>
      <c r="W7409" t="str">
        <f t="shared" si="1178"/>
        <v/>
      </c>
      <c r="X7409">
        <f t="shared" si="1168"/>
        <v>0</v>
      </c>
      <c r="Z7409" t="str">
        <f t="shared" si="1179"/>
        <v/>
      </c>
      <c r="AA7409">
        <f t="shared" si="1169"/>
        <v>0</v>
      </c>
    </row>
    <row r="7410" spans="1:27" ht="21" customHeight="1" x14ac:dyDescent="0.95">
      <c r="A7410" s="56"/>
      <c r="B7410" s="57"/>
      <c r="C7410" s="57"/>
      <c r="D7410" s="57"/>
      <c r="E7410" s="56"/>
      <c r="F7410" s="57"/>
      <c r="G7410" s="57"/>
      <c r="H7410" s="56"/>
      <c r="I7410" s="56"/>
      <c r="J7410" s="58"/>
      <c r="K7410" s="58"/>
      <c r="L7410" s="13" t="str">
        <f t="shared" si="1170"/>
        <v/>
      </c>
      <c r="M7410" s="13" t="str">
        <f t="shared" si="1171"/>
        <v/>
      </c>
      <c r="Q7410" t="str">
        <f t="shared" si="1172"/>
        <v/>
      </c>
      <c r="R7410" t="str">
        <f t="shared" si="1173"/>
        <v/>
      </c>
      <c r="S7410" t="str">
        <f t="shared" si="1174"/>
        <v/>
      </c>
      <c r="T7410" t="str">
        <f t="shared" si="1175"/>
        <v/>
      </c>
      <c r="U7410" t="str">
        <f t="shared" si="1176"/>
        <v/>
      </c>
      <c r="V7410" t="str">
        <f t="shared" si="1177"/>
        <v/>
      </c>
      <c r="W7410" t="str">
        <f t="shared" si="1178"/>
        <v/>
      </c>
      <c r="X7410">
        <f t="shared" si="1168"/>
        <v>0</v>
      </c>
      <c r="Z7410" t="str">
        <f t="shared" si="1179"/>
        <v/>
      </c>
      <c r="AA7410">
        <f t="shared" si="1169"/>
        <v>0</v>
      </c>
    </row>
    <row r="7411" spans="1:27" ht="21" customHeight="1" x14ac:dyDescent="0.95">
      <c r="A7411" s="56"/>
      <c r="B7411" s="57"/>
      <c r="C7411" s="57"/>
      <c r="D7411" s="57"/>
      <c r="E7411" s="56"/>
      <c r="F7411" s="57"/>
      <c r="G7411" s="57"/>
      <c r="H7411" s="56"/>
      <c r="I7411" s="56"/>
      <c r="J7411" s="58"/>
      <c r="K7411" s="58"/>
      <c r="L7411" s="13" t="str">
        <f t="shared" si="1170"/>
        <v/>
      </c>
      <c r="M7411" s="13" t="str">
        <f t="shared" si="1171"/>
        <v/>
      </c>
      <c r="Q7411" t="str">
        <f t="shared" si="1172"/>
        <v/>
      </c>
      <c r="R7411" t="str">
        <f t="shared" si="1173"/>
        <v/>
      </c>
      <c r="S7411" t="str">
        <f t="shared" si="1174"/>
        <v/>
      </c>
      <c r="T7411" t="str">
        <f t="shared" si="1175"/>
        <v/>
      </c>
      <c r="U7411" t="str">
        <f t="shared" si="1176"/>
        <v/>
      </c>
      <c r="V7411" t="str">
        <f t="shared" si="1177"/>
        <v/>
      </c>
      <c r="W7411" t="str">
        <f t="shared" si="1178"/>
        <v/>
      </c>
      <c r="X7411">
        <f t="shared" si="1168"/>
        <v>0</v>
      </c>
      <c r="Z7411" t="str">
        <f t="shared" si="1179"/>
        <v/>
      </c>
      <c r="AA7411">
        <f t="shared" si="1169"/>
        <v>0</v>
      </c>
    </row>
    <row r="7412" spans="1:27" ht="21" customHeight="1" x14ac:dyDescent="0.95">
      <c r="A7412" s="56"/>
      <c r="B7412" s="57"/>
      <c r="C7412" s="57"/>
      <c r="D7412" s="57"/>
      <c r="E7412" s="56"/>
      <c r="F7412" s="57"/>
      <c r="G7412" s="57"/>
      <c r="H7412" s="56"/>
      <c r="I7412" s="56"/>
      <c r="J7412" s="58"/>
      <c r="K7412" s="58"/>
      <c r="L7412" s="13" t="str">
        <f t="shared" si="1170"/>
        <v/>
      </c>
      <c r="M7412" s="13" t="str">
        <f t="shared" si="1171"/>
        <v/>
      </c>
      <c r="Q7412" t="str">
        <f t="shared" si="1172"/>
        <v/>
      </c>
      <c r="R7412" t="str">
        <f t="shared" si="1173"/>
        <v/>
      </c>
      <c r="S7412" t="str">
        <f t="shared" si="1174"/>
        <v/>
      </c>
      <c r="T7412" t="str">
        <f t="shared" si="1175"/>
        <v/>
      </c>
      <c r="U7412" t="str">
        <f t="shared" si="1176"/>
        <v/>
      </c>
      <c r="V7412" t="str">
        <f t="shared" si="1177"/>
        <v/>
      </c>
      <c r="W7412" t="str">
        <f t="shared" si="1178"/>
        <v/>
      </c>
      <c r="X7412">
        <f t="shared" si="1168"/>
        <v>0</v>
      </c>
      <c r="Z7412" t="str">
        <f t="shared" si="1179"/>
        <v/>
      </c>
      <c r="AA7412">
        <f t="shared" si="1169"/>
        <v>0</v>
      </c>
    </row>
    <row r="7413" spans="1:27" ht="21" customHeight="1" x14ac:dyDescent="0.95">
      <c r="A7413" s="56"/>
      <c r="B7413" s="57"/>
      <c r="C7413" s="57"/>
      <c r="D7413" s="57"/>
      <c r="E7413" s="56"/>
      <c r="F7413" s="57"/>
      <c r="G7413" s="57"/>
      <c r="H7413" s="56"/>
      <c r="I7413" s="56"/>
      <c r="J7413" s="58"/>
      <c r="K7413" s="58"/>
      <c r="L7413" s="13" t="str">
        <f t="shared" si="1170"/>
        <v/>
      </c>
      <c r="M7413" s="13" t="str">
        <f t="shared" si="1171"/>
        <v/>
      </c>
      <c r="Q7413" t="str">
        <f t="shared" si="1172"/>
        <v/>
      </c>
      <c r="R7413" t="str">
        <f t="shared" si="1173"/>
        <v/>
      </c>
      <c r="S7413" t="str">
        <f t="shared" si="1174"/>
        <v/>
      </c>
      <c r="T7413" t="str">
        <f t="shared" si="1175"/>
        <v/>
      </c>
      <c r="U7413" t="str">
        <f t="shared" si="1176"/>
        <v/>
      </c>
      <c r="V7413" t="str">
        <f t="shared" si="1177"/>
        <v/>
      </c>
      <c r="W7413" t="str">
        <f t="shared" si="1178"/>
        <v/>
      </c>
      <c r="X7413">
        <f t="shared" ref="X7413:X7476" si="1180">IF($T7413="",N($X7412),IF(MATCH($T7413,$T$6:$T$10005,0)=ROW()-5,N($X7412)+1,N($X7412)))</f>
        <v>0</v>
      </c>
      <c r="Z7413" t="str">
        <f t="shared" si="1179"/>
        <v/>
      </c>
      <c r="AA7413">
        <f t="shared" ref="AA7413:AA7476" si="1181">IF($V7413="",N($AA7412),IF(MATCH($V7413,$V$6:$V$10005,0)=ROW()-5,N($AA7412)+1,N($AA7412)))</f>
        <v>0</v>
      </c>
    </row>
    <row r="7414" spans="1:27" ht="21" customHeight="1" x14ac:dyDescent="0.95">
      <c r="A7414" s="56"/>
      <c r="B7414" s="57"/>
      <c r="C7414" s="57"/>
      <c r="D7414" s="57"/>
      <c r="E7414" s="56"/>
      <c r="F7414" s="57"/>
      <c r="G7414" s="57"/>
      <c r="H7414" s="56"/>
      <c r="I7414" s="56"/>
      <c r="J7414" s="58"/>
      <c r="K7414" s="58"/>
      <c r="L7414" s="13" t="str">
        <f t="shared" si="1170"/>
        <v/>
      </c>
      <c r="M7414" s="13" t="str">
        <f t="shared" si="1171"/>
        <v/>
      </c>
      <c r="Q7414" t="str">
        <f t="shared" si="1172"/>
        <v/>
      </c>
      <c r="R7414" t="str">
        <f t="shared" si="1173"/>
        <v/>
      </c>
      <c r="S7414" t="str">
        <f t="shared" si="1174"/>
        <v/>
      </c>
      <c r="T7414" t="str">
        <f t="shared" si="1175"/>
        <v/>
      </c>
      <c r="U7414" t="str">
        <f t="shared" si="1176"/>
        <v/>
      </c>
      <c r="V7414" t="str">
        <f t="shared" si="1177"/>
        <v/>
      </c>
      <c r="W7414" t="str">
        <f t="shared" si="1178"/>
        <v/>
      </c>
      <c r="X7414">
        <f t="shared" si="1180"/>
        <v>0</v>
      </c>
      <c r="Z7414" t="str">
        <f t="shared" si="1179"/>
        <v/>
      </c>
      <c r="AA7414">
        <f t="shared" si="1181"/>
        <v>0</v>
      </c>
    </row>
    <row r="7415" spans="1:27" ht="21" customHeight="1" x14ac:dyDescent="0.95">
      <c r="A7415" s="56"/>
      <c r="B7415" s="57"/>
      <c r="C7415" s="57"/>
      <c r="D7415" s="57"/>
      <c r="E7415" s="56"/>
      <c r="F7415" s="57"/>
      <c r="G7415" s="57"/>
      <c r="H7415" s="56"/>
      <c r="I7415" s="56"/>
      <c r="J7415" s="58"/>
      <c r="K7415" s="58"/>
      <c r="L7415" s="13" t="str">
        <f t="shared" si="1170"/>
        <v/>
      </c>
      <c r="M7415" s="13" t="str">
        <f t="shared" si="1171"/>
        <v/>
      </c>
      <c r="Q7415" t="str">
        <f t="shared" si="1172"/>
        <v/>
      </c>
      <c r="R7415" t="str">
        <f t="shared" si="1173"/>
        <v/>
      </c>
      <c r="S7415" t="str">
        <f t="shared" si="1174"/>
        <v/>
      </c>
      <c r="T7415" t="str">
        <f t="shared" si="1175"/>
        <v/>
      </c>
      <c r="U7415" t="str">
        <f t="shared" si="1176"/>
        <v/>
      </c>
      <c r="V7415" t="str">
        <f t="shared" si="1177"/>
        <v/>
      </c>
      <c r="W7415" t="str">
        <f t="shared" si="1178"/>
        <v/>
      </c>
      <c r="X7415">
        <f t="shared" si="1180"/>
        <v>0</v>
      </c>
      <c r="Z7415" t="str">
        <f t="shared" si="1179"/>
        <v/>
      </c>
      <c r="AA7415">
        <f t="shared" si="1181"/>
        <v>0</v>
      </c>
    </row>
    <row r="7416" spans="1:27" ht="21" customHeight="1" x14ac:dyDescent="0.95">
      <c r="A7416" s="56"/>
      <c r="B7416" s="57"/>
      <c r="C7416" s="57"/>
      <c r="D7416" s="57"/>
      <c r="E7416" s="56"/>
      <c r="F7416" s="57"/>
      <c r="G7416" s="57"/>
      <c r="H7416" s="56"/>
      <c r="I7416" s="56"/>
      <c r="J7416" s="58"/>
      <c r="K7416" s="58"/>
      <c r="L7416" s="13" t="str">
        <f t="shared" si="1170"/>
        <v/>
      </c>
      <c r="M7416" s="13" t="str">
        <f t="shared" si="1171"/>
        <v/>
      </c>
      <c r="Q7416" t="str">
        <f t="shared" si="1172"/>
        <v/>
      </c>
      <c r="R7416" t="str">
        <f t="shared" si="1173"/>
        <v/>
      </c>
      <c r="S7416" t="str">
        <f t="shared" si="1174"/>
        <v/>
      </c>
      <c r="T7416" t="str">
        <f t="shared" si="1175"/>
        <v/>
      </c>
      <c r="U7416" t="str">
        <f t="shared" si="1176"/>
        <v/>
      </c>
      <c r="V7416" t="str">
        <f t="shared" si="1177"/>
        <v/>
      </c>
      <c r="W7416" t="str">
        <f t="shared" si="1178"/>
        <v/>
      </c>
      <c r="X7416">
        <f t="shared" si="1180"/>
        <v>0</v>
      </c>
      <c r="Z7416" t="str">
        <f t="shared" si="1179"/>
        <v/>
      </c>
      <c r="AA7416">
        <f t="shared" si="1181"/>
        <v>0</v>
      </c>
    </row>
    <row r="7417" spans="1:27" ht="21" customHeight="1" x14ac:dyDescent="0.95">
      <c r="A7417" s="56"/>
      <c r="B7417" s="57"/>
      <c r="C7417" s="57"/>
      <c r="D7417" s="57"/>
      <c r="E7417" s="56"/>
      <c r="F7417" s="57"/>
      <c r="G7417" s="57"/>
      <c r="H7417" s="56"/>
      <c r="I7417" s="56"/>
      <c r="J7417" s="58"/>
      <c r="K7417" s="58"/>
      <c r="L7417" s="13" t="str">
        <f t="shared" si="1170"/>
        <v/>
      </c>
      <c r="M7417" s="13" t="str">
        <f t="shared" si="1171"/>
        <v/>
      </c>
      <c r="Q7417" t="str">
        <f t="shared" si="1172"/>
        <v/>
      </c>
      <c r="R7417" t="str">
        <f t="shared" si="1173"/>
        <v/>
      </c>
      <c r="S7417" t="str">
        <f t="shared" si="1174"/>
        <v/>
      </c>
      <c r="T7417" t="str">
        <f t="shared" si="1175"/>
        <v/>
      </c>
      <c r="U7417" t="str">
        <f t="shared" si="1176"/>
        <v/>
      </c>
      <c r="V7417" t="str">
        <f t="shared" si="1177"/>
        <v/>
      </c>
      <c r="W7417" t="str">
        <f t="shared" si="1178"/>
        <v/>
      </c>
      <c r="X7417">
        <f t="shared" si="1180"/>
        <v>0</v>
      </c>
      <c r="Z7417" t="str">
        <f t="shared" si="1179"/>
        <v/>
      </c>
      <c r="AA7417">
        <f t="shared" si="1181"/>
        <v>0</v>
      </c>
    </row>
    <row r="7418" spans="1:27" ht="21" customHeight="1" x14ac:dyDescent="0.95">
      <c r="A7418" s="56"/>
      <c r="B7418" s="57"/>
      <c r="C7418" s="57"/>
      <c r="D7418" s="57"/>
      <c r="E7418" s="56"/>
      <c r="F7418" s="57"/>
      <c r="G7418" s="57"/>
      <c r="H7418" s="56"/>
      <c r="I7418" s="56"/>
      <c r="J7418" s="58"/>
      <c r="K7418" s="58"/>
      <c r="L7418" s="13" t="str">
        <f t="shared" si="1170"/>
        <v/>
      </c>
      <c r="M7418" s="13" t="str">
        <f t="shared" si="1171"/>
        <v/>
      </c>
      <c r="Q7418" t="str">
        <f t="shared" si="1172"/>
        <v/>
      </c>
      <c r="R7418" t="str">
        <f t="shared" si="1173"/>
        <v/>
      </c>
      <c r="S7418" t="str">
        <f t="shared" si="1174"/>
        <v/>
      </c>
      <c r="T7418" t="str">
        <f t="shared" si="1175"/>
        <v/>
      </c>
      <c r="U7418" t="str">
        <f t="shared" si="1176"/>
        <v/>
      </c>
      <c r="V7418" t="str">
        <f t="shared" si="1177"/>
        <v/>
      </c>
      <c r="W7418" t="str">
        <f t="shared" si="1178"/>
        <v/>
      </c>
      <c r="X7418">
        <f t="shared" si="1180"/>
        <v>0</v>
      </c>
      <c r="Z7418" t="str">
        <f t="shared" si="1179"/>
        <v/>
      </c>
      <c r="AA7418">
        <f t="shared" si="1181"/>
        <v>0</v>
      </c>
    </row>
    <row r="7419" spans="1:27" ht="21" customHeight="1" x14ac:dyDescent="0.95">
      <c r="A7419" s="56"/>
      <c r="B7419" s="57"/>
      <c r="C7419" s="57"/>
      <c r="D7419" s="57"/>
      <c r="E7419" s="56"/>
      <c r="F7419" s="57"/>
      <c r="G7419" s="57"/>
      <c r="H7419" s="56"/>
      <c r="I7419" s="56"/>
      <c r="J7419" s="58"/>
      <c r="K7419" s="58"/>
      <c r="L7419" s="13" t="str">
        <f t="shared" si="1170"/>
        <v/>
      </c>
      <c r="M7419" s="13" t="str">
        <f t="shared" si="1171"/>
        <v/>
      </c>
      <c r="Q7419" t="str">
        <f t="shared" si="1172"/>
        <v/>
      </c>
      <c r="R7419" t="str">
        <f t="shared" si="1173"/>
        <v/>
      </c>
      <c r="S7419" t="str">
        <f t="shared" si="1174"/>
        <v/>
      </c>
      <c r="T7419" t="str">
        <f t="shared" si="1175"/>
        <v/>
      </c>
      <c r="U7419" t="str">
        <f t="shared" si="1176"/>
        <v/>
      </c>
      <c r="V7419" t="str">
        <f t="shared" si="1177"/>
        <v/>
      </c>
      <c r="W7419" t="str">
        <f t="shared" si="1178"/>
        <v/>
      </c>
      <c r="X7419">
        <f t="shared" si="1180"/>
        <v>0</v>
      </c>
      <c r="Z7419" t="str">
        <f t="shared" si="1179"/>
        <v/>
      </c>
      <c r="AA7419">
        <f t="shared" si="1181"/>
        <v>0</v>
      </c>
    </row>
    <row r="7420" spans="1:27" ht="21" customHeight="1" x14ac:dyDescent="0.95">
      <c r="A7420" s="56"/>
      <c r="B7420" s="57"/>
      <c r="C7420" s="57"/>
      <c r="D7420" s="57"/>
      <c r="E7420" s="56"/>
      <c r="F7420" s="57"/>
      <c r="G7420" s="57"/>
      <c r="H7420" s="56"/>
      <c r="I7420" s="56"/>
      <c r="J7420" s="58"/>
      <c r="K7420" s="58"/>
      <c r="L7420" s="13" t="str">
        <f t="shared" si="1170"/>
        <v/>
      </c>
      <c r="M7420" s="13" t="str">
        <f t="shared" si="1171"/>
        <v/>
      </c>
      <c r="Q7420" t="str">
        <f t="shared" si="1172"/>
        <v/>
      </c>
      <c r="R7420" t="str">
        <f t="shared" si="1173"/>
        <v/>
      </c>
      <c r="S7420" t="str">
        <f t="shared" si="1174"/>
        <v/>
      </c>
      <c r="T7420" t="str">
        <f t="shared" si="1175"/>
        <v/>
      </c>
      <c r="U7420" t="str">
        <f t="shared" si="1176"/>
        <v/>
      </c>
      <c r="V7420" t="str">
        <f t="shared" si="1177"/>
        <v/>
      </c>
      <c r="W7420" t="str">
        <f t="shared" si="1178"/>
        <v/>
      </c>
      <c r="X7420">
        <f t="shared" si="1180"/>
        <v>0</v>
      </c>
      <c r="Z7420" t="str">
        <f t="shared" si="1179"/>
        <v/>
      </c>
      <c r="AA7420">
        <f t="shared" si="1181"/>
        <v>0</v>
      </c>
    </row>
    <row r="7421" spans="1:27" ht="21" customHeight="1" x14ac:dyDescent="0.95">
      <c r="A7421" s="56"/>
      <c r="B7421" s="57"/>
      <c r="C7421" s="57"/>
      <c r="D7421" s="57"/>
      <c r="E7421" s="56"/>
      <c r="F7421" s="57"/>
      <c r="G7421" s="57"/>
      <c r="H7421" s="56"/>
      <c r="I7421" s="56"/>
      <c r="J7421" s="58"/>
      <c r="K7421" s="58"/>
      <c r="L7421" s="13" t="str">
        <f t="shared" si="1170"/>
        <v/>
      </c>
      <c r="M7421" s="13" t="str">
        <f t="shared" si="1171"/>
        <v/>
      </c>
      <c r="Q7421" t="str">
        <f t="shared" si="1172"/>
        <v/>
      </c>
      <c r="R7421" t="str">
        <f t="shared" si="1173"/>
        <v/>
      </c>
      <c r="S7421" t="str">
        <f t="shared" si="1174"/>
        <v/>
      </c>
      <c r="T7421" t="str">
        <f t="shared" si="1175"/>
        <v/>
      </c>
      <c r="U7421" t="str">
        <f t="shared" si="1176"/>
        <v/>
      </c>
      <c r="V7421" t="str">
        <f t="shared" si="1177"/>
        <v/>
      </c>
      <c r="W7421" t="str">
        <f t="shared" si="1178"/>
        <v/>
      </c>
      <c r="X7421">
        <f t="shared" si="1180"/>
        <v>0</v>
      </c>
      <c r="Z7421" t="str">
        <f t="shared" si="1179"/>
        <v/>
      </c>
      <c r="AA7421">
        <f t="shared" si="1181"/>
        <v>0</v>
      </c>
    </row>
    <row r="7422" spans="1:27" ht="21" customHeight="1" x14ac:dyDescent="0.95">
      <c r="A7422" s="56"/>
      <c r="B7422" s="57"/>
      <c r="C7422" s="57"/>
      <c r="D7422" s="57"/>
      <c r="E7422" s="56"/>
      <c r="F7422" s="57"/>
      <c r="G7422" s="57"/>
      <c r="H7422" s="56"/>
      <c r="I7422" s="56"/>
      <c r="J7422" s="58"/>
      <c r="K7422" s="58"/>
      <c r="L7422" s="13" t="str">
        <f t="shared" si="1170"/>
        <v/>
      </c>
      <c r="M7422" s="13" t="str">
        <f t="shared" si="1171"/>
        <v/>
      </c>
      <c r="Q7422" t="str">
        <f t="shared" si="1172"/>
        <v/>
      </c>
      <c r="R7422" t="str">
        <f t="shared" si="1173"/>
        <v/>
      </c>
      <c r="S7422" t="str">
        <f t="shared" si="1174"/>
        <v/>
      </c>
      <c r="T7422" t="str">
        <f t="shared" si="1175"/>
        <v/>
      </c>
      <c r="U7422" t="str">
        <f t="shared" si="1176"/>
        <v/>
      </c>
      <c r="V7422" t="str">
        <f t="shared" si="1177"/>
        <v/>
      </c>
      <c r="W7422" t="str">
        <f t="shared" si="1178"/>
        <v/>
      </c>
      <c r="X7422">
        <f t="shared" si="1180"/>
        <v>0</v>
      </c>
      <c r="Z7422" t="str">
        <f t="shared" si="1179"/>
        <v/>
      </c>
      <c r="AA7422">
        <f t="shared" si="1181"/>
        <v>0</v>
      </c>
    </row>
    <row r="7423" spans="1:27" ht="21" customHeight="1" x14ac:dyDescent="0.95">
      <c r="A7423" s="56"/>
      <c r="B7423" s="57"/>
      <c r="C7423" s="57"/>
      <c r="D7423" s="57"/>
      <c r="E7423" s="56"/>
      <c r="F7423" s="57"/>
      <c r="G7423" s="57"/>
      <c r="H7423" s="56"/>
      <c r="I7423" s="56"/>
      <c r="J7423" s="58"/>
      <c r="K7423" s="58"/>
      <c r="L7423" s="13" t="str">
        <f t="shared" si="1170"/>
        <v/>
      </c>
      <c r="M7423" s="13" t="str">
        <f t="shared" si="1171"/>
        <v/>
      </c>
      <c r="Q7423" t="str">
        <f t="shared" si="1172"/>
        <v/>
      </c>
      <c r="R7423" t="str">
        <f t="shared" si="1173"/>
        <v/>
      </c>
      <c r="S7423" t="str">
        <f t="shared" si="1174"/>
        <v/>
      </c>
      <c r="T7423" t="str">
        <f t="shared" si="1175"/>
        <v/>
      </c>
      <c r="U7423" t="str">
        <f t="shared" si="1176"/>
        <v/>
      </c>
      <c r="V7423" t="str">
        <f t="shared" si="1177"/>
        <v/>
      </c>
      <c r="W7423" t="str">
        <f t="shared" si="1178"/>
        <v/>
      </c>
      <c r="X7423">
        <f t="shared" si="1180"/>
        <v>0</v>
      </c>
      <c r="Z7423" t="str">
        <f t="shared" si="1179"/>
        <v/>
      </c>
      <c r="AA7423">
        <f t="shared" si="1181"/>
        <v>0</v>
      </c>
    </row>
    <row r="7424" spans="1:27" ht="21" customHeight="1" x14ac:dyDescent="0.95">
      <c r="A7424" s="56"/>
      <c r="B7424" s="57"/>
      <c r="C7424" s="57"/>
      <c r="D7424" s="57"/>
      <c r="E7424" s="56"/>
      <c r="F7424" s="57"/>
      <c r="G7424" s="57"/>
      <c r="H7424" s="56"/>
      <c r="I7424" s="56"/>
      <c r="J7424" s="58"/>
      <c r="K7424" s="58"/>
      <c r="L7424" s="13" t="str">
        <f t="shared" si="1170"/>
        <v/>
      </c>
      <c r="M7424" s="13" t="str">
        <f t="shared" si="1171"/>
        <v/>
      </c>
      <c r="Q7424" t="str">
        <f t="shared" si="1172"/>
        <v/>
      </c>
      <c r="R7424" t="str">
        <f t="shared" si="1173"/>
        <v/>
      </c>
      <c r="S7424" t="str">
        <f t="shared" si="1174"/>
        <v/>
      </c>
      <c r="T7424" t="str">
        <f t="shared" si="1175"/>
        <v/>
      </c>
      <c r="U7424" t="str">
        <f t="shared" si="1176"/>
        <v/>
      </c>
      <c r="V7424" t="str">
        <f t="shared" si="1177"/>
        <v/>
      </c>
      <c r="W7424" t="str">
        <f t="shared" si="1178"/>
        <v/>
      </c>
      <c r="X7424">
        <f t="shared" si="1180"/>
        <v>0</v>
      </c>
      <c r="Z7424" t="str">
        <f t="shared" si="1179"/>
        <v/>
      </c>
      <c r="AA7424">
        <f t="shared" si="1181"/>
        <v>0</v>
      </c>
    </row>
    <row r="7425" spans="1:27" ht="21" customHeight="1" x14ac:dyDescent="0.95">
      <c r="A7425" s="56"/>
      <c r="B7425" s="57"/>
      <c r="C7425" s="57"/>
      <c r="D7425" s="57"/>
      <c r="E7425" s="56"/>
      <c r="F7425" s="57"/>
      <c r="G7425" s="57"/>
      <c r="H7425" s="56"/>
      <c r="I7425" s="56"/>
      <c r="J7425" s="58"/>
      <c r="K7425" s="58"/>
      <c r="L7425" s="13" t="str">
        <f t="shared" si="1170"/>
        <v/>
      </c>
      <c r="M7425" s="13" t="str">
        <f t="shared" si="1171"/>
        <v/>
      </c>
      <c r="Q7425" t="str">
        <f t="shared" si="1172"/>
        <v/>
      </c>
      <c r="R7425" t="str">
        <f t="shared" si="1173"/>
        <v/>
      </c>
      <c r="S7425" t="str">
        <f t="shared" si="1174"/>
        <v/>
      </c>
      <c r="T7425" t="str">
        <f t="shared" si="1175"/>
        <v/>
      </c>
      <c r="U7425" t="str">
        <f t="shared" si="1176"/>
        <v/>
      </c>
      <c r="V7425" t="str">
        <f t="shared" si="1177"/>
        <v/>
      </c>
      <c r="W7425" t="str">
        <f t="shared" si="1178"/>
        <v/>
      </c>
      <c r="X7425">
        <f t="shared" si="1180"/>
        <v>0</v>
      </c>
      <c r="Z7425" t="str">
        <f t="shared" si="1179"/>
        <v/>
      </c>
      <c r="AA7425">
        <f t="shared" si="1181"/>
        <v>0</v>
      </c>
    </row>
    <row r="7426" spans="1:27" ht="21" customHeight="1" x14ac:dyDescent="0.95">
      <c r="A7426" s="56"/>
      <c r="B7426" s="57"/>
      <c r="C7426" s="57"/>
      <c r="D7426" s="57"/>
      <c r="E7426" s="56"/>
      <c r="F7426" s="57"/>
      <c r="G7426" s="57"/>
      <c r="H7426" s="56"/>
      <c r="I7426" s="56"/>
      <c r="J7426" s="58"/>
      <c r="K7426" s="58"/>
      <c r="L7426" s="13" t="str">
        <f t="shared" si="1170"/>
        <v/>
      </c>
      <c r="M7426" s="13" t="str">
        <f t="shared" si="1171"/>
        <v/>
      </c>
      <c r="Q7426" t="str">
        <f t="shared" si="1172"/>
        <v/>
      </c>
      <c r="R7426" t="str">
        <f t="shared" si="1173"/>
        <v/>
      </c>
      <c r="S7426" t="str">
        <f t="shared" si="1174"/>
        <v/>
      </c>
      <c r="T7426" t="str">
        <f t="shared" si="1175"/>
        <v/>
      </c>
      <c r="U7426" t="str">
        <f t="shared" si="1176"/>
        <v/>
      </c>
      <c r="V7426" t="str">
        <f t="shared" si="1177"/>
        <v/>
      </c>
      <c r="W7426" t="str">
        <f t="shared" si="1178"/>
        <v/>
      </c>
      <c r="X7426">
        <f t="shared" si="1180"/>
        <v>0</v>
      </c>
      <c r="Z7426" t="str">
        <f t="shared" si="1179"/>
        <v/>
      </c>
      <c r="AA7426">
        <f t="shared" si="1181"/>
        <v>0</v>
      </c>
    </row>
    <row r="7427" spans="1:27" ht="21" customHeight="1" x14ac:dyDescent="0.95">
      <c r="A7427" s="56"/>
      <c r="B7427" s="57"/>
      <c r="C7427" s="57"/>
      <c r="D7427" s="57"/>
      <c r="E7427" s="56"/>
      <c r="F7427" s="57"/>
      <c r="G7427" s="57"/>
      <c r="H7427" s="56"/>
      <c r="I7427" s="56"/>
      <c r="J7427" s="58"/>
      <c r="K7427" s="58"/>
      <c r="L7427" s="13" t="str">
        <f t="shared" si="1170"/>
        <v/>
      </c>
      <c r="M7427" s="13" t="str">
        <f t="shared" si="1171"/>
        <v/>
      </c>
      <c r="Q7427" t="str">
        <f t="shared" si="1172"/>
        <v/>
      </c>
      <c r="R7427" t="str">
        <f t="shared" si="1173"/>
        <v/>
      </c>
      <c r="S7427" t="str">
        <f t="shared" si="1174"/>
        <v/>
      </c>
      <c r="T7427" t="str">
        <f t="shared" si="1175"/>
        <v/>
      </c>
      <c r="U7427" t="str">
        <f t="shared" si="1176"/>
        <v/>
      </c>
      <c r="V7427" t="str">
        <f t="shared" si="1177"/>
        <v/>
      </c>
      <c r="W7427" t="str">
        <f t="shared" si="1178"/>
        <v/>
      </c>
      <c r="X7427">
        <f t="shared" si="1180"/>
        <v>0</v>
      </c>
      <c r="Z7427" t="str">
        <f t="shared" si="1179"/>
        <v/>
      </c>
      <c r="AA7427">
        <f t="shared" si="1181"/>
        <v>0</v>
      </c>
    </row>
    <row r="7428" spans="1:27" ht="21" customHeight="1" x14ac:dyDescent="0.95">
      <c r="A7428" s="56"/>
      <c r="B7428" s="57"/>
      <c r="C7428" s="57"/>
      <c r="D7428" s="57"/>
      <c r="E7428" s="56"/>
      <c r="F7428" s="57"/>
      <c r="G7428" s="57"/>
      <c r="H7428" s="56"/>
      <c r="I7428" s="56"/>
      <c r="J7428" s="58"/>
      <c r="K7428" s="58"/>
      <c r="L7428" s="13" t="str">
        <f t="shared" ref="L7428:L7491" si="1182">IF(OR($A7428="",AND($J7428="",$K7428="")),"",ROUND(N($J7428)-N($K7428),2))</f>
        <v/>
      </c>
      <c r="M7428" s="13" t="str">
        <f t="shared" ref="M7428:M7491" si="1183">IF(OR($A7428="",AND($J7428="",$K7428="")),"",MIN($J7428,$K7428))</f>
        <v/>
      </c>
      <c r="Q7428" t="str">
        <f t="shared" ref="Q7428:Q7491" si="1184">IF($A7428="","",$D7428&amp;"("&amp;SUBSTITUTE($E7428," ","")&amp;")")</f>
        <v/>
      </c>
      <c r="R7428" t="str">
        <f t="shared" ref="R7428:R7491" si="1185">IF($A7428="","",$B7428&amp;" - "&amp;$C7428)</f>
        <v/>
      </c>
      <c r="S7428" t="str">
        <f t="shared" ref="S7428:S7491" si="1186">IF($A7428="","",$R7428&amp;"|"&amp;$Q7428)</f>
        <v/>
      </c>
      <c r="T7428" t="str">
        <f t="shared" ref="T7428:T7491" si="1187">IF($A7428="","",$S7428&amp;"|"&amp;$F7428)</f>
        <v/>
      </c>
      <c r="U7428" t="str">
        <f t="shared" ref="U7428:U7491" si="1188">IF($A7428="","",$R7428&amp;"("&amp;$E7428&amp;")")</f>
        <v/>
      </c>
      <c r="V7428" t="str">
        <f t="shared" ref="V7428:V7491" si="1189">IF($A7428="","",$F7428&amp;"|"&amp;$U7428&amp;"|"&amp;$D7428)</f>
        <v/>
      </c>
      <c r="W7428" t="str">
        <f t="shared" si="1178"/>
        <v/>
      </c>
      <c r="X7428">
        <f t="shared" si="1180"/>
        <v>0</v>
      </c>
      <c r="Z7428" t="str">
        <f t="shared" si="1179"/>
        <v/>
      </c>
      <c r="AA7428">
        <f t="shared" si="1181"/>
        <v>0</v>
      </c>
    </row>
    <row r="7429" spans="1:27" ht="21" customHeight="1" x14ac:dyDescent="0.95">
      <c r="A7429" s="56"/>
      <c r="B7429" s="57"/>
      <c r="C7429" s="57"/>
      <c r="D7429" s="57"/>
      <c r="E7429" s="56"/>
      <c r="F7429" s="57"/>
      <c r="G7429" s="57"/>
      <c r="H7429" s="56"/>
      <c r="I7429" s="56"/>
      <c r="J7429" s="58"/>
      <c r="K7429" s="58"/>
      <c r="L7429" s="13" t="str">
        <f t="shared" si="1182"/>
        <v/>
      </c>
      <c r="M7429" s="13" t="str">
        <f t="shared" si="1183"/>
        <v/>
      </c>
      <c r="Q7429" t="str">
        <f t="shared" si="1184"/>
        <v/>
      </c>
      <c r="R7429" t="str">
        <f t="shared" si="1185"/>
        <v/>
      </c>
      <c r="S7429" t="str">
        <f t="shared" si="1186"/>
        <v/>
      </c>
      <c r="T7429" t="str">
        <f t="shared" si="1187"/>
        <v/>
      </c>
      <c r="U7429" t="str">
        <f t="shared" si="1188"/>
        <v/>
      </c>
      <c r="V7429" t="str">
        <f t="shared" si="1189"/>
        <v/>
      </c>
      <c r="W7429" t="str">
        <f t="shared" si="1178"/>
        <v/>
      </c>
      <c r="X7429">
        <f t="shared" si="1180"/>
        <v>0</v>
      </c>
      <c r="Z7429" t="str">
        <f t="shared" si="1179"/>
        <v/>
      </c>
      <c r="AA7429">
        <f t="shared" si="1181"/>
        <v>0</v>
      </c>
    </row>
    <row r="7430" spans="1:27" ht="21" customHeight="1" x14ac:dyDescent="0.95">
      <c r="A7430" s="56"/>
      <c r="B7430" s="57"/>
      <c r="C7430" s="57"/>
      <c r="D7430" s="57"/>
      <c r="E7430" s="56"/>
      <c r="F7430" s="57"/>
      <c r="G7430" s="57"/>
      <c r="H7430" s="56"/>
      <c r="I7430" s="56"/>
      <c r="J7430" s="58"/>
      <c r="K7430" s="58"/>
      <c r="L7430" s="13" t="str">
        <f t="shared" si="1182"/>
        <v/>
      </c>
      <c r="M7430" s="13" t="str">
        <f t="shared" si="1183"/>
        <v/>
      </c>
      <c r="Q7430" t="str">
        <f t="shared" si="1184"/>
        <v/>
      </c>
      <c r="R7430" t="str">
        <f t="shared" si="1185"/>
        <v/>
      </c>
      <c r="S7430" t="str">
        <f t="shared" si="1186"/>
        <v/>
      </c>
      <c r="T7430" t="str">
        <f t="shared" si="1187"/>
        <v/>
      </c>
      <c r="U7430" t="str">
        <f t="shared" si="1188"/>
        <v/>
      </c>
      <c r="V7430" t="str">
        <f t="shared" si="1189"/>
        <v/>
      </c>
      <c r="W7430" t="str">
        <f t="shared" ref="W7430:W7493" si="1190">IF($T7430="","",IF($X7430&gt;N($X7429),$X7430,""))</f>
        <v/>
      </c>
      <c r="X7430">
        <f t="shared" si="1180"/>
        <v>0</v>
      </c>
      <c r="Z7430" t="str">
        <f t="shared" ref="Z7430:Z7493" si="1191">IF($V7430="","",IF($AA7430&gt;N($AA7429),$AA7430,""))</f>
        <v/>
      </c>
      <c r="AA7430">
        <f t="shared" si="1181"/>
        <v>0</v>
      </c>
    </row>
    <row r="7431" spans="1:27" ht="21" customHeight="1" x14ac:dyDescent="0.95">
      <c r="A7431" s="56"/>
      <c r="B7431" s="57"/>
      <c r="C7431" s="57"/>
      <c r="D7431" s="57"/>
      <c r="E7431" s="56"/>
      <c r="F7431" s="57"/>
      <c r="G7431" s="57"/>
      <c r="H7431" s="56"/>
      <c r="I7431" s="56"/>
      <c r="J7431" s="58"/>
      <c r="K7431" s="58"/>
      <c r="L7431" s="13" t="str">
        <f t="shared" si="1182"/>
        <v/>
      </c>
      <c r="M7431" s="13" t="str">
        <f t="shared" si="1183"/>
        <v/>
      </c>
      <c r="Q7431" t="str">
        <f t="shared" si="1184"/>
        <v/>
      </c>
      <c r="R7431" t="str">
        <f t="shared" si="1185"/>
        <v/>
      </c>
      <c r="S7431" t="str">
        <f t="shared" si="1186"/>
        <v/>
      </c>
      <c r="T7431" t="str">
        <f t="shared" si="1187"/>
        <v/>
      </c>
      <c r="U7431" t="str">
        <f t="shared" si="1188"/>
        <v/>
      </c>
      <c r="V7431" t="str">
        <f t="shared" si="1189"/>
        <v/>
      </c>
      <c r="W7431" t="str">
        <f t="shared" si="1190"/>
        <v/>
      </c>
      <c r="X7431">
        <f t="shared" si="1180"/>
        <v>0</v>
      </c>
      <c r="Z7431" t="str">
        <f t="shared" si="1191"/>
        <v/>
      </c>
      <c r="AA7431">
        <f t="shared" si="1181"/>
        <v>0</v>
      </c>
    </row>
    <row r="7432" spans="1:27" ht="21" customHeight="1" x14ac:dyDescent="0.95">
      <c r="A7432" s="56"/>
      <c r="B7432" s="57"/>
      <c r="C7432" s="57"/>
      <c r="D7432" s="57"/>
      <c r="E7432" s="56"/>
      <c r="F7432" s="57"/>
      <c r="G7432" s="57"/>
      <c r="H7432" s="56"/>
      <c r="I7432" s="56"/>
      <c r="J7432" s="58"/>
      <c r="K7432" s="58"/>
      <c r="L7432" s="13" t="str">
        <f t="shared" si="1182"/>
        <v/>
      </c>
      <c r="M7432" s="13" t="str">
        <f t="shared" si="1183"/>
        <v/>
      </c>
      <c r="Q7432" t="str">
        <f t="shared" si="1184"/>
        <v/>
      </c>
      <c r="R7432" t="str">
        <f t="shared" si="1185"/>
        <v/>
      </c>
      <c r="S7432" t="str">
        <f t="shared" si="1186"/>
        <v/>
      </c>
      <c r="T7432" t="str">
        <f t="shared" si="1187"/>
        <v/>
      </c>
      <c r="U7432" t="str">
        <f t="shared" si="1188"/>
        <v/>
      </c>
      <c r="V7432" t="str">
        <f t="shared" si="1189"/>
        <v/>
      </c>
      <c r="W7432" t="str">
        <f t="shared" si="1190"/>
        <v/>
      </c>
      <c r="X7432">
        <f t="shared" si="1180"/>
        <v>0</v>
      </c>
      <c r="Z7432" t="str">
        <f t="shared" si="1191"/>
        <v/>
      </c>
      <c r="AA7432">
        <f t="shared" si="1181"/>
        <v>0</v>
      </c>
    </row>
    <row r="7433" spans="1:27" ht="21" customHeight="1" x14ac:dyDescent="0.95">
      <c r="A7433" s="56"/>
      <c r="B7433" s="57"/>
      <c r="C7433" s="57"/>
      <c r="D7433" s="57"/>
      <c r="E7433" s="56"/>
      <c r="F7433" s="57"/>
      <c r="G7433" s="57"/>
      <c r="H7433" s="56"/>
      <c r="I7433" s="56"/>
      <c r="J7433" s="58"/>
      <c r="K7433" s="58"/>
      <c r="L7433" s="13" t="str">
        <f t="shared" si="1182"/>
        <v/>
      </c>
      <c r="M7433" s="13" t="str">
        <f t="shared" si="1183"/>
        <v/>
      </c>
      <c r="Q7433" t="str">
        <f t="shared" si="1184"/>
        <v/>
      </c>
      <c r="R7433" t="str">
        <f t="shared" si="1185"/>
        <v/>
      </c>
      <c r="S7433" t="str">
        <f t="shared" si="1186"/>
        <v/>
      </c>
      <c r="T7433" t="str">
        <f t="shared" si="1187"/>
        <v/>
      </c>
      <c r="U7433" t="str">
        <f t="shared" si="1188"/>
        <v/>
      </c>
      <c r="V7433" t="str">
        <f t="shared" si="1189"/>
        <v/>
      </c>
      <c r="W7433" t="str">
        <f t="shared" si="1190"/>
        <v/>
      </c>
      <c r="X7433">
        <f t="shared" si="1180"/>
        <v>0</v>
      </c>
      <c r="Z7433" t="str">
        <f t="shared" si="1191"/>
        <v/>
      </c>
      <c r="AA7433">
        <f t="shared" si="1181"/>
        <v>0</v>
      </c>
    </row>
    <row r="7434" spans="1:27" ht="21" customHeight="1" x14ac:dyDescent="0.95">
      <c r="A7434" s="56"/>
      <c r="B7434" s="57"/>
      <c r="C7434" s="57"/>
      <c r="D7434" s="57"/>
      <c r="E7434" s="56"/>
      <c r="F7434" s="57"/>
      <c r="G7434" s="57"/>
      <c r="H7434" s="56"/>
      <c r="I7434" s="56"/>
      <c r="J7434" s="58"/>
      <c r="K7434" s="58"/>
      <c r="L7434" s="13" t="str">
        <f t="shared" si="1182"/>
        <v/>
      </c>
      <c r="M7434" s="13" t="str">
        <f t="shared" si="1183"/>
        <v/>
      </c>
      <c r="Q7434" t="str">
        <f t="shared" si="1184"/>
        <v/>
      </c>
      <c r="R7434" t="str">
        <f t="shared" si="1185"/>
        <v/>
      </c>
      <c r="S7434" t="str">
        <f t="shared" si="1186"/>
        <v/>
      </c>
      <c r="T7434" t="str">
        <f t="shared" si="1187"/>
        <v/>
      </c>
      <c r="U7434" t="str">
        <f t="shared" si="1188"/>
        <v/>
      </c>
      <c r="V7434" t="str">
        <f t="shared" si="1189"/>
        <v/>
      </c>
      <c r="W7434" t="str">
        <f t="shared" si="1190"/>
        <v/>
      </c>
      <c r="X7434">
        <f t="shared" si="1180"/>
        <v>0</v>
      </c>
      <c r="Z7434" t="str">
        <f t="shared" si="1191"/>
        <v/>
      </c>
      <c r="AA7434">
        <f t="shared" si="1181"/>
        <v>0</v>
      </c>
    </row>
    <row r="7435" spans="1:27" ht="21" customHeight="1" x14ac:dyDescent="0.95">
      <c r="A7435" s="56"/>
      <c r="B7435" s="57"/>
      <c r="C7435" s="57"/>
      <c r="D7435" s="57"/>
      <c r="E7435" s="56"/>
      <c r="F7435" s="57"/>
      <c r="G7435" s="57"/>
      <c r="H7435" s="56"/>
      <c r="I7435" s="56"/>
      <c r="J7435" s="58"/>
      <c r="K7435" s="58"/>
      <c r="L7435" s="13" t="str">
        <f t="shared" si="1182"/>
        <v/>
      </c>
      <c r="M7435" s="13" t="str">
        <f t="shared" si="1183"/>
        <v/>
      </c>
      <c r="Q7435" t="str">
        <f t="shared" si="1184"/>
        <v/>
      </c>
      <c r="R7435" t="str">
        <f t="shared" si="1185"/>
        <v/>
      </c>
      <c r="S7435" t="str">
        <f t="shared" si="1186"/>
        <v/>
      </c>
      <c r="T7435" t="str">
        <f t="shared" si="1187"/>
        <v/>
      </c>
      <c r="U7435" t="str">
        <f t="shared" si="1188"/>
        <v/>
      </c>
      <c r="V7435" t="str">
        <f t="shared" si="1189"/>
        <v/>
      </c>
      <c r="W7435" t="str">
        <f t="shared" si="1190"/>
        <v/>
      </c>
      <c r="X7435">
        <f t="shared" si="1180"/>
        <v>0</v>
      </c>
      <c r="Z7435" t="str">
        <f t="shared" si="1191"/>
        <v/>
      </c>
      <c r="AA7435">
        <f t="shared" si="1181"/>
        <v>0</v>
      </c>
    </row>
    <row r="7436" spans="1:27" ht="21" customHeight="1" x14ac:dyDescent="0.95">
      <c r="A7436" s="56"/>
      <c r="B7436" s="57"/>
      <c r="C7436" s="57"/>
      <c r="D7436" s="57"/>
      <c r="E7436" s="56"/>
      <c r="F7436" s="57"/>
      <c r="G7436" s="57"/>
      <c r="H7436" s="56"/>
      <c r="I7436" s="56"/>
      <c r="J7436" s="58"/>
      <c r="K7436" s="58"/>
      <c r="L7436" s="13" t="str">
        <f t="shared" si="1182"/>
        <v/>
      </c>
      <c r="M7436" s="13" t="str">
        <f t="shared" si="1183"/>
        <v/>
      </c>
      <c r="Q7436" t="str">
        <f t="shared" si="1184"/>
        <v/>
      </c>
      <c r="R7436" t="str">
        <f t="shared" si="1185"/>
        <v/>
      </c>
      <c r="S7436" t="str">
        <f t="shared" si="1186"/>
        <v/>
      </c>
      <c r="T7436" t="str">
        <f t="shared" si="1187"/>
        <v/>
      </c>
      <c r="U7436" t="str">
        <f t="shared" si="1188"/>
        <v/>
      </c>
      <c r="V7436" t="str">
        <f t="shared" si="1189"/>
        <v/>
      </c>
      <c r="W7436" t="str">
        <f t="shared" si="1190"/>
        <v/>
      </c>
      <c r="X7436">
        <f t="shared" si="1180"/>
        <v>0</v>
      </c>
      <c r="Z7436" t="str">
        <f t="shared" si="1191"/>
        <v/>
      </c>
      <c r="AA7436">
        <f t="shared" si="1181"/>
        <v>0</v>
      </c>
    </row>
    <row r="7437" spans="1:27" ht="21" customHeight="1" x14ac:dyDescent="0.95">
      <c r="A7437" s="56"/>
      <c r="B7437" s="57"/>
      <c r="C7437" s="57"/>
      <c r="D7437" s="57"/>
      <c r="E7437" s="56"/>
      <c r="F7437" s="57"/>
      <c r="G7437" s="57"/>
      <c r="H7437" s="56"/>
      <c r="I7437" s="56"/>
      <c r="J7437" s="58"/>
      <c r="K7437" s="58"/>
      <c r="L7437" s="13" t="str">
        <f t="shared" si="1182"/>
        <v/>
      </c>
      <c r="M7437" s="13" t="str">
        <f t="shared" si="1183"/>
        <v/>
      </c>
      <c r="Q7437" t="str">
        <f t="shared" si="1184"/>
        <v/>
      </c>
      <c r="R7437" t="str">
        <f t="shared" si="1185"/>
        <v/>
      </c>
      <c r="S7437" t="str">
        <f t="shared" si="1186"/>
        <v/>
      </c>
      <c r="T7437" t="str">
        <f t="shared" si="1187"/>
        <v/>
      </c>
      <c r="U7437" t="str">
        <f t="shared" si="1188"/>
        <v/>
      </c>
      <c r="V7437" t="str">
        <f t="shared" si="1189"/>
        <v/>
      </c>
      <c r="W7437" t="str">
        <f t="shared" si="1190"/>
        <v/>
      </c>
      <c r="X7437">
        <f t="shared" si="1180"/>
        <v>0</v>
      </c>
      <c r="Z7437" t="str">
        <f t="shared" si="1191"/>
        <v/>
      </c>
      <c r="AA7437">
        <f t="shared" si="1181"/>
        <v>0</v>
      </c>
    </row>
    <row r="7438" spans="1:27" ht="21" customHeight="1" x14ac:dyDescent="0.95">
      <c r="A7438" s="56"/>
      <c r="B7438" s="57"/>
      <c r="C7438" s="57"/>
      <c r="D7438" s="57"/>
      <c r="E7438" s="56"/>
      <c r="F7438" s="57"/>
      <c r="G7438" s="57"/>
      <c r="H7438" s="56"/>
      <c r="I7438" s="56"/>
      <c r="J7438" s="58"/>
      <c r="K7438" s="58"/>
      <c r="L7438" s="13" t="str">
        <f t="shared" si="1182"/>
        <v/>
      </c>
      <c r="M7438" s="13" t="str">
        <f t="shared" si="1183"/>
        <v/>
      </c>
      <c r="Q7438" t="str">
        <f t="shared" si="1184"/>
        <v/>
      </c>
      <c r="R7438" t="str">
        <f t="shared" si="1185"/>
        <v/>
      </c>
      <c r="S7438" t="str">
        <f t="shared" si="1186"/>
        <v/>
      </c>
      <c r="T7438" t="str">
        <f t="shared" si="1187"/>
        <v/>
      </c>
      <c r="U7438" t="str">
        <f t="shared" si="1188"/>
        <v/>
      </c>
      <c r="V7438" t="str">
        <f t="shared" si="1189"/>
        <v/>
      </c>
      <c r="W7438" t="str">
        <f t="shared" si="1190"/>
        <v/>
      </c>
      <c r="X7438">
        <f t="shared" si="1180"/>
        <v>0</v>
      </c>
      <c r="Z7438" t="str">
        <f t="shared" si="1191"/>
        <v/>
      </c>
      <c r="AA7438">
        <f t="shared" si="1181"/>
        <v>0</v>
      </c>
    </row>
    <row r="7439" spans="1:27" ht="21" customHeight="1" x14ac:dyDescent="0.95">
      <c r="A7439" s="56"/>
      <c r="B7439" s="57"/>
      <c r="C7439" s="57"/>
      <c r="D7439" s="57"/>
      <c r="E7439" s="56"/>
      <c r="F7439" s="57"/>
      <c r="G7439" s="57"/>
      <c r="H7439" s="56"/>
      <c r="I7439" s="56"/>
      <c r="J7439" s="58"/>
      <c r="K7439" s="58"/>
      <c r="L7439" s="13" t="str">
        <f t="shared" si="1182"/>
        <v/>
      </c>
      <c r="M7439" s="13" t="str">
        <f t="shared" si="1183"/>
        <v/>
      </c>
      <c r="Q7439" t="str">
        <f t="shared" si="1184"/>
        <v/>
      </c>
      <c r="R7439" t="str">
        <f t="shared" si="1185"/>
        <v/>
      </c>
      <c r="S7439" t="str">
        <f t="shared" si="1186"/>
        <v/>
      </c>
      <c r="T7439" t="str">
        <f t="shared" si="1187"/>
        <v/>
      </c>
      <c r="U7439" t="str">
        <f t="shared" si="1188"/>
        <v/>
      </c>
      <c r="V7439" t="str">
        <f t="shared" si="1189"/>
        <v/>
      </c>
      <c r="W7439" t="str">
        <f t="shared" si="1190"/>
        <v/>
      </c>
      <c r="X7439">
        <f t="shared" si="1180"/>
        <v>0</v>
      </c>
      <c r="Z7439" t="str">
        <f t="shared" si="1191"/>
        <v/>
      </c>
      <c r="AA7439">
        <f t="shared" si="1181"/>
        <v>0</v>
      </c>
    </row>
    <row r="7440" spans="1:27" ht="21" customHeight="1" x14ac:dyDescent="0.95">
      <c r="A7440" s="56"/>
      <c r="B7440" s="57"/>
      <c r="C7440" s="57"/>
      <c r="D7440" s="57"/>
      <c r="E7440" s="56"/>
      <c r="F7440" s="57"/>
      <c r="G7440" s="57"/>
      <c r="H7440" s="56"/>
      <c r="I7440" s="56"/>
      <c r="J7440" s="58"/>
      <c r="K7440" s="58"/>
      <c r="L7440" s="13" t="str">
        <f t="shared" si="1182"/>
        <v/>
      </c>
      <c r="M7440" s="13" t="str">
        <f t="shared" si="1183"/>
        <v/>
      </c>
      <c r="Q7440" t="str">
        <f t="shared" si="1184"/>
        <v/>
      </c>
      <c r="R7440" t="str">
        <f t="shared" si="1185"/>
        <v/>
      </c>
      <c r="S7440" t="str">
        <f t="shared" si="1186"/>
        <v/>
      </c>
      <c r="T7440" t="str">
        <f t="shared" si="1187"/>
        <v/>
      </c>
      <c r="U7440" t="str">
        <f t="shared" si="1188"/>
        <v/>
      </c>
      <c r="V7440" t="str">
        <f t="shared" si="1189"/>
        <v/>
      </c>
      <c r="W7440" t="str">
        <f t="shared" si="1190"/>
        <v/>
      </c>
      <c r="X7440">
        <f t="shared" si="1180"/>
        <v>0</v>
      </c>
      <c r="Z7440" t="str">
        <f t="shared" si="1191"/>
        <v/>
      </c>
      <c r="AA7440">
        <f t="shared" si="1181"/>
        <v>0</v>
      </c>
    </row>
    <row r="7441" spans="1:27" ht="21" customHeight="1" x14ac:dyDescent="0.95">
      <c r="A7441" s="56"/>
      <c r="B7441" s="57"/>
      <c r="C7441" s="57"/>
      <c r="D7441" s="57"/>
      <c r="E7441" s="56"/>
      <c r="F7441" s="57"/>
      <c r="G7441" s="57"/>
      <c r="H7441" s="56"/>
      <c r="I7441" s="56"/>
      <c r="J7441" s="58"/>
      <c r="K7441" s="58"/>
      <c r="L7441" s="13" t="str">
        <f t="shared" si="1182"/>
        <v/>
      </c>
      <c r="M7441" s="13" t="str">
        <f t="shared" si="1183"/>
        <v/>
      </c>
      <c r="Q7441" t="str">
        <f t="shared" si="1184"/>
        <v/>
      </c>
      <c r="R7441" t="str">
        <f t="shared" si="1185"/>
        <v/>
      </c>
      <c r="S7441" t="str">
        <f t="shared" si="1186"/>
        <v/>
      </c>
      <c r="T7441" t="str">
        <f t="shared" si="1187"/>
        <v/>
      </c>
      <c r="U7441" t="str">
        <f t="shared" si="1188"/>
        <v/>
      </c>
      <c r="V7441" t="str">
        <f t="shared" si="1189"/>
        <v/>
      </c>
      <c r="W7441" t="str">
        <f t="shared" si="1190"/>
        <v/>
      </c>
      <c r="X7441">
        <f t="shared" si="1180"/>
        <v>0</v>
      </c>
      <c r="Z7441" t="str">
        <f t="shared" si="1191"/>
        <v/>
      </c>
      <c r="AA7441">
        <f t="shared" si="1181"/>
        <v>0</v>
      </c>
    </row>
    <row r="7442" spans="1:27" ht="21" customHeight="1" x14ac:dyDescent="0.95">
      <c r="A7442" s="56"/>
      <c r="B7442" s="57"/>
      <c r="C7442" s="57"/>
      <c r="D7442" s="57"/>
      <c r="E7442" s="56"/>
      <c r="F7442" s="57"/>
      <c r="G7442" s="57"/>
      <c r="H7442" s="56"/>
      <c r="I7442" s="56"/>
      <c r="J7442" s="58"/>
      <c r="K7442" s="58"/>
      <c r="L7442" s="13" t="str">
        <f t="shared" si="1182"/>
        <v/>
      </c>
      <c r="M7442" s="13" t="str">
        <f t="shared" si="1183"/>
        <v/>
      </c>
      <c r="Q7442" t="str">
        <f t="shared" si="1184"/>
        <v/>
      </c>
      <c r="R7442" t="str">
        <f t="shared" si="1185"/>
        <v/>
      </c>
      <c r="S7442" t="str">
        <f t="shared" si="1186"/>
        <v/>
      </c>
      <c r="T7442" t="str">
        <f t="shared" si="1187"/>
        <v/>
      </c>
      <c r="U7442" t="str">
        <f t="shared" si="1188"/>
        <v/>
      </c>
      <c r="V7442" t="str">
        <f t="shared" si="1189"/>
        <v/>
      </c>
      <c r="W7442" t="str">
        <f t="shared" si="1190"/>
        <v/>
      </c>
      <c r="X7442">
        <f t="shared" si="1180"/>
        <v>0</v>
      </c>
      <c r="Z7442" t="str">
        <f t="shared" si="1191"/>
        <v/>
      </c>
      <c r="AA7442">
        <f t="shared" si="1181"/>
        <v>0</v>
      </c>
    </row>
    <row r="7443" spans="1:27" ht="21" customHeight="1" x14ac:dyDescent="0.95">
      <c r="A7443" s="56"/>
      <c r="B7443" s="57"/>
      <c r="C7443" s="57"/>
      <c r="D7443" s="57"/>
      <c r="E7443" s="56"/>
      <c r="F7443" s="57"/>
      <c r="G7443" s="57"/>
      <c r="H7443" s="56"/>
      <c r="I7443" s="56"/>
      <c r="J7443" s="58"/>
      <c r="K7443" s="58"/>
      <c r="L7443" s="13" t="str">
        <f t="shared" si="1182"/>
        <v/>
      </c>
      <c r="M7443" s="13" t="str">
        <f t="shared" si="1183"/>
        <v/>
      </c>
      <c r="Q7443" t="str">
        <f t="shared" si="1184"/>
        <v/>
      </c>
      <c r="R7443" t="str">
        <f t="shared" si="1185"/>
        <v/>
      </c>
      <c r="S7443" t="str">
        <f t="shared" si="1186"/>
        <v/>
      </c>
      <c r="T7443" t="str">
        <f t="shared" si="1187"/>
        <v/>
      </c>
      <c r="U7443" t="str">
        <f t="shared" si="1188"/>
        <v/>
      </c>
      <c r="V7443" t="str">
        <f t="shared" si="1189"/>
        <v/>
      </c>
      <c r="W7443" t="str">
        <f t="shared" si="1190"/>
        <v/>
      </c>
      <c r="X7443">
        <f t="shared" si="1180"/>
        <v>0</v>
      </c>
      <c r="Z7443" t="str">
        <f t="shared" si="1191"/>
        <v/>
      </c>
      <c r="AA7443">
        <f t="shared" si="1181"/>
        <v>0</v>
      </c>
    </row>
    <row r="7444" spans="1:27" ht="21" customHeight="1" x14ac:dyDescent="0.95">
      <c r="A7444" s="56"/>
      <c r="B7444" s="57"/>
      <c r="C7444" s="57"/>
      <c r="D7444" s="57"/>
      <c r="E7444" s="56"/>
      <c r="F7444" s="57"/>
      <c r="G7444" s="57"/>
      <c r="H7444" s="56"/>
      <c r="I7444" s="56"/>
      <c r="J7444" s="58"/>
      <c r="K7444" s="58"/>
      <c r="L7444" s="13" t="str">
        <f t="shared" si="1182"/>
        <v/>
      </c>
      <c r="M7444" s="13" t="str">
        <f t="shared" si="1183"/>
        <v/>
      </c>
      <c r="Q7444" t="str">
        <f t="shared" si="1184"/>
        <v/>
      </c>
      <c r="R7444" t="str">
        <f t="shared" si="1185"/>
        <v/>
      </c>
      <c r="S7444" t="str">
        <f t="shared" si="1186"/>
        <v/>
      </c>
      <c r="T7444" t="str">
        <f t="shared" si="1187"/>
        <v/>
      </c>
      <c r="U7444" t="str">
        <f t="shared" si="1188"/>
        <v/>
      </c>
      <c r="V7444" t="str">
        <f t="shared" si="1189"/>
        <v/>
      </c>
      <c r="W7444" t="str">
        <f t="shared" si="1190"/>
        <v/>
      </c>
      <c r="X7444">
        <f t="shared" si="1180"/>
        <v>0</v>
      </c>
      <c r="Z7444" t="str">
        <f t="shared" si="1191"/>
        <v/>
      </c>
      <c r="AA7444">
        <f t="shared" si="1181"/>
        <v>0</v>
      </c>
    </row>
    <row r="7445" spans="1:27" ht="21" customHeight="1" x14ac:dyDescent="0.95">
      <c r="A7445" s="56"/>
      <c r="B7445" s="57"/>
      <c r="C7445" s="57"/>
      <c r="D7445" s="57"/>
      <c r="E7445" s="56"/>
      <c r="F7445" s="57"/>
      <c r="G7445" s="57"/>
      <c r="H7445" s="56"/>
      <c r="I7445" s="56"/>
      <c r="J7445" s="58"/>
      <c r="K7445" s="58"/>
      <c r="L7445" s="13" t="str">
        <f t="shared" si="1182"/>
        <v/>
      </c>
      <c r="M7445" s="13" t="str">
        <f t="shared" si="1183"/>
        <v/>
      </c>
      <c r="Q7445" t="str">
        <f t="shared" si="1184"/>
        <v/>
      </c>
      <c r="R7445" t="str">
        <f t="shared" si="1185"/>
        <v/>
      </c>
      <c r="S7445" t="str">
        <f t="shared" si="1186"/>
        <v/>
      </c>
      <c r="T7445" t="str">
        <f t="shared" si="1187"/>
        <v/>
      </c>
      <c r="U7445" t="str">
        <f t="shared" si="1188"/>
        <v/>
      </c>
      <c r="V7445" t="str">
        <f t="shared" si="1189"/>
        <v/>
      </c>
      <c r="W7445" t="str">
        <f t="shared" si="1190"/>
        <v/>
      </c>
      <c r="X7445">
        <f t="shared" si="1180"/>
        <v>0</v>
      </c>
      <c r="Z7445" t="str">
        <f t="shared" si="1191"/>
        <v/>
      </c>
      <c r="AA7445">
        <f t="shared" si="1181"/>
        <v>0</v>
      </c>
    </row>
    <row r="7446" spans="1:27" ht="21" customHeight="1" x14ac:dyDescent="0.95">
      <c r="A7446" s="56"/>
      <c r="B7446" s="57"/>
      <c r="C7446" s="57"/>
      <c r="D7446" s="57"/>
      <c r="E7446" s="56"/>
      <c r="F7446" s="57"/>
      <c r="G7446" s="57"/>
      <c r="H7446" s="56"/>
      <c r="I7446" s="56"/>
      <c r="J7446" s="58"/>
      <c r="K7446" s="58"/>
      <c r="L7446" s="13" t="str">
        <f t="shared" si="1182"/>
        <v/>
      </c>
      <c r="M7446" s="13" t="str">
        <f t="shared" si="1183"/>
        <v/>
      </c>
      <c r="Q7446" t="str">
        <f t="shared" si="1184"/>
        <v/>
      </c>
      <c r="R7446" t="str">
        <f t="shared" si="1185"/>
        <v/>
      </c>
      <c r="S7446" t="str">
        <f t="shared" si="1186"/>
        <v/>
      </c>
      <c r="T7446" t="str">
        <f t="shared" si="1187"/>
        <v/>
      </c>
      <c r="U7446" t="str">
        <f t="shared" si="1188"/>
        <v/>
      </c>
      <c r="V7446" t="str">
        <f t="shared" si="1189"/>
        <v/>
      </c>
      <c r="W7446" t="str">
        <f t="shared" si="1190"/>
        <v/>
      </c>
      <c r="X7446">
        <f t="shared" si="1180"/>
        <v>0</v>
      </c>
      <c r="Z7446" t="str">
        <f t="shared" si="1191"/>
        <v/>
      </c>
      <c r="AA7446">
        <f t="shared" si="1181"/>
        <v>0</v>
      </c>
    </row>
    <row r="7447" spans="1:27" ht="21" customHeight="1" x14ac:dyDescent="0.95">
      <c r="A7447" s="56"/>
      <c r="B7447" s="57"/>
      <c r="C7447" s="57"/>
      <c r="D7447" s="57"/>
      <c r="E7447" s="56"/>
      <c r="F7447" s="57"/>
      <c r="G7447" s="57"/>
      <c r="H7447" s="56"/>
      <c r="I7447" s="56"/>
      <c r="J7447" s="58"/>
      <c r="K7447" s="58"/>
      <c r="L7447" s="13" t="str">
        <f t="shared" si="1182"/>
        <v/>
      </c>
      <c r="M7447" s="13" t="str">
        <f t="shared" si="1183"/>
        <v/>
      </c>
      <c r="Q7447" t="str">
        <f t="shared" si="1184"/>
        <v/>
      </c>
      <c r="R7447" t="str">
        <f t="shared" si="1185"/>
        <v/>
      </c>
      <c r="S7447" t="str">
        <f t="shared" si="1186"/>
        <v/>
      </c>
      <c r="T7447" t="str">
        <f t="shared" si="1187"/>
        <v/>
      </c>
      <c r="U7447" t="str">
        <f t="shared" si="1188"/>
        <v/>
      </c>
      <c r="V7447" t="str">
        <f t="shared" si="1189"/>
        <v/>
      </c>
      <c r="W7447" t="str">
        <f t="shared" si="1190"/>
        <v/>
      </c>
      <c r="X7447">
        <f t="shared" si="1180"/>
        <v>0</v>
      </c>
      <c r="Z7447" t="str">
        <f t="shared" si="1191"/>
        <v/>
      </c>
      <c r="AA7447">
        <f t="shared" si="1181"/>
        <v>0</v>
      </c>
    </row>
    <row r="7448" spans="1:27" ht="21" customHeight="1" x14ac:dyDescent="0.95">
      <c r="A7448" s="56"/>
      <c r="B7448" s="57"/>
      <c r="C7448" s="57"/>
      <c r="D7448" s="57"/>
      <c r="E7448" s="56"/>
      <c r="F7448" s="57"/>
      <c r="G7448" s="57"/>
      <c r="H7448" s="56"/>
      <c r="I7448" s="56"/>
      <c r="J7448" s="58"/>
      <c r="K7448" s="58"/>
      <c r="L7448" s="13" t="str">
        <f t="shared" si="1182"/>
        <v/>
      </c>
      <c r="M7448" s="13" t="str">
        <f t="shared" si="1183"/>
        <v/>
      </c>
      <c r="Q7448" t="str">
        <f t="shared" si="1184"/>
        <v/>
      </c>
      <c r="R7448" t="str">
        <f t="shared" si="1185"/>
        <v/>
      </c>
      <c r="S7448" t="str">
        <f t="shared" si="1186"/>
        <v/>
      </c>
      <c r="T7448" t="str">
        <f t="shared" si="1187"/>
        <v/>
      </c>
      <c r="U7448" t="str">
        <f t="shared" si="1188"/>
        <v/>
      </c>
      <c r="V7448" t="str">
        <f t="shared" si="1189"/>
        <v/>
      </c>
      <c r="W7448" t="str">
        <f t="shared" si="1190"/>
        <v/>
      </c>
      <c r="X7448">
        <f t="shared" si="1180"/>
        <v>0</v>
      </c>
      <c r="Z7448" t="str">
        <f t="shared" si="1191"/>
        <v/>
      </c>
      <c r="AA7448">
        <f t="shared" si="1181"/>
        <v>0</v>
      </c>
    </row>
    <row r="7449" spans="1:27" ht="21" customHeight="1" x14ac:dyDescent="0.95">
      <c r="A7449" s="56"/>
      <c r="B7449" s="57"/>
      <c r="C7449" s="57"/>
      <c r="D7449" s="57"/>
      <c r="E7449" s="56"/>
      <c r="F7449" s="57"/>
      <c r="G7449" s="57"/>
      <c r="H7449" s="56"/>
      <c r="I7449" s="56"/>
      <c r="J7449" s="58"/>
      <c r="K7449" s="58"/>
      <c r="L7449" s="13" t="str">
        <f t="shared" si="1182"/>
        <v/>
      </c>
      <c r="M7449" s="13" t="str">
        <f t="shared" si="1183"/>
        <v/>
      </c>
      <c r="Q7449" t="str">
        <f t="shared" si="1184"/>
        <v/>
      </c>
      <c r="R7449" t="str">
        <f t="shared" si="1185"/>
        <v/>
      </c>
      <c r="S7449" t="str">
        <f t="shared" si="1186"/>
        <v/>
      </c>
      <c r="T7449" t="str">
        <f t="shared" si="1187"/>
        <v/>
      </c>
      <c r="U7449" t="str">
        <f t="shared" si="1188"/>
        <v/>
      </c>
      <c r="V7449" t="str">
        <f t="shared" si="1189"/>
        <v/>
      </c>
      <c r="W7449" t="str">
        <f t="shared" si="1190"/>
        <v/>
      </c>
      <c r="X7449">
        <f t="shared" si="1180"/>
        <v>0</v>
      </c>
      <c r="Z7449" t="str">
        <f t="shared" si="1191"/>
        <v/>
      </c>
      <c r="AA7449">
        <f t="shared" si="1181"/>
        <v>0</v>
      </c>
    </row>
    <row r="7450" spans="1:27" ht="21" customHeight="1" x14ac:dyDescent="0.95">
      <c r="A7450" s="56"/>
      <c r="B7450" s="57"/>
      <c r="C7450" s="57"/>
      <c r="D7450" s="57"/>
      <c r="E7450" s="56"/>
      <c r="F7450" s="57"/>
      <c r="G7450" s="57"/>
      <c r="H7450" s="56"/>
      <c r="I7450" s="56"/>
      <c r="J7450" s="58"/>
      <c r="K7450" s="58"/>
      <c r="L7450" s="13" t="str">
        <f t="shared" si="1182"/>
        <v/>
      </c>
      <c r="M7450" s="13" t="str">
        <f t="shared" si="1183"/>
        <v/>
      </c>
      <c r="Q7450" t="str">
        <f t="shared" si="1184"/>
        <v/>
      </c>
      <c r="R7450" t="str">
        <f t="shared" si="1185"/>
        <v/>
      </c>
      <c r="S7450" t="str">
        <f t="shared" si="1186"/>
        <v/>
      </c>
      <c r="T7450" t="str">
        <f t="shared" si="1187"/>
        <v/>
      </c>
      <c r="U7450" t="str">
        <f t="shared" si="1188"/>
        <v/>
      </c>
      <c r="V7450" t="str">
        <f t="shared" si="1189"/>
        <v/>
      </c>
      <c r="W7450" t="str">
        <f t="shared" si="1190"/>
        <v/>
      </c>
      <c r="X7450">
        <f t="shared" si="1180"/>
        <v>0</v>
      </c>
      <c r="Z7450" t="str">
        <f t="shared" si="1191"/>
        <v/>
      </c>
      <c r="AA7450">
        <f t="shared" si="1181"/>
        <v>0</v>
      </c>
    </row>
    <row r="7451" spans="1:27" ht="21" customHeight="1" x14ac:dyDescent="0.95">
      <c r="A7451" s="56"/>
      <c r="B7451" s="57"/>
      <c r="C7451" s="57"/>
      <c r="D7451" s="57"/>
      <c r="E7451" s="56"/>
      <c r="F7451" s="57"/>
      <c r="G7451" s="57"/>
      <c r="H7451" s="56"/>
      <c r="I7451" s="56"/>
      <c r="J7451" s="58"/>
      <c r="K7451" s="58"/>
      <c r="L7451" s="13" t="str">
        <f t="shared" si="1182"/>
        <v/>
      </c>
      <c r="M7451" s="13" t="str">
        <f t="shared" si="1183"/>
        <v/>
      </c>
      <c r="Q7451" t="str">
        <f t="shared" si="1184"/>
        <v/>
      </c>
      <c r="R7451" t="str">
        <f t="shared" si="1185"/>
        <v/>
      </c>
      <c r="S7451" t="str">
        <f t="shared" si="1186"/>
        <v/>
      </c>
      <c r="T7451" t="str">
        <f t="shared" si="1187"/>
        <v/>
      </c>
      <c r="U7451" t="str">
        <f t="shared" si="1188"/>
        <v/>
      </c>
      <c r="V7451" t="str">
        <f t="shared" si="1189"/>
        <v/>
      </c>
      <c r="W7451" t="str">
        <f t="shared" si="1190"/>
        <v/>
      </c>
      <c r="X7451">
        <f t="shared" si="1180"/>
        <v>0</v>
      </c>
      <c r="Z7451" t="str">
        <f t="shared" si="1191"/>
        <v/>
      </c>
      <c r="AA7451">
        <f t="shared" si="1181"/>
        <v>0</v>
      </c>
    </row>
    <row r="7452" spans="1:27" ht="21" customHeight="1" x14ac:dyDescent="0.95">
      <c r="A7452" s="56"/>
      <c r="B7452" s="57"/>
      <c r="C7452" s="57"/>
      <c r="D7452" s="57"/>
      <c r="E7452" s="56"/>
      <c r="F7452" s="57"/>
      <c r="G7452" s="57"/>
      <c r="H7452" s="56"/>
      <c r="I7452" s="56"/>
      <c r="J7452" s="58"/>
      <c r="K7452" s="58"/>
      <c r="L7452" s="13" t="str">
        <f t="shared" si="1182"/>
        <v/>
      </c>
      <c r="M7452" s="13" t="str">
        <f t="shared" si="1183"/>
        <v/>
      </c>
      <c r="Q7452" t="str">
        <f t="shared" si="1184"/>
        <v/>
      </c>
      <c r="R7452" t="str">
        <f t="shared" si="1185"/>
        <v/>
      </c>
      <c r="S7452" t="str">
        <f t="shared" si="1186"/>
        <v/>
      </c>
      <c r="T7452" t="str">
        <f t="shared" si="1187"/>
        <v/>
      </c>
      <c r="U7452" t="str">
        <f t="shared" si="1188"/>
        <v/>
      </c>
      <c r="V7452" t="str">
        <f t="shared" si="1189"/>
        <v/>
      </c>
      <c r="W7452" t="str">
        <f t="shared" si="1190"/>
        <v/>
      </c>
      <c r="X7452">
        <f t="shared" si="1180"/>
        <v>0</v>
      </c>
      <c r="Z7452" t="str">
        <f t="shared" si="1191"/>
        <v/>
      </c>
      <c r="AA7452">
        <f t="shared" si="1181"/>
        <v>0</v>
      </c>
    </row>
    <row r="7453" spans="1:27" ht="21" customHeight="1" x14ac:dyDescent="0.95">
      <c r="A7453" s="56"/>
      <c r="B7453" s="57"/>
      <c r="C7453" s="57"/>
      <c r="D7453" s="57"/>
      <c r="E7453" s="56"/>
      <c r="F7453" s="57"/>
      <c r="G7453" s="57"/>
      <c r="H7453" s="56"/>
      <c r="I7453" s="56"/>
      <c r="J7453" s="58"/>
      <c r="K7453" s="58"/>
      <c r="L7453" s="13" t="str">
        <f t="shared" si="1182"/>
        <v/>
      </c>
      <c r="M7453" s="13" t="str">
        <f t="shared" si="1183"/>
        <v/>
      </c>
      <c r="Q7453" t="str">
        <f t="shared" si="1184"/>
        <v/>
      </c>
      <c r="R7453" t="str">
        <f t="shared" si="1185"/>
        <v/>
      </c>
      <c r="S7453" t="str">
        <f t="shared" si="1186"/>
        <v/>
      </c>
      <c r="T7453" t="str">
        <f t="shared" si="1187"/>
        <v/>
      </c>
      <c r="U7453" t="str">
        <f t="shared" si="1188"/>
        <v/>
      </c>
      <c r="V7453" t="str">
        <f t="shared" si="1189"/>
        <v/>
      </c>
      <c r="W7453" t="str">
        <f t="shared" si="1190"/>
        <v/>
      </c>
      <c r="X7453">
        <f t="shared" si="1180"/>
        <v>0</v>
      </c>
      <c r="Z7453" t="str">
        <f t="shared" si="1191"/>
        <v/>
      </c>
      <c r="AA7453">
        <f t="shared" si="1181"/>
        <v>0</v>
      </c>
    </row>
    <row r="7454" spans="1:27" ht="21" customHeight="1" x14ac:dyDescent="0.95">
      <c r="A7454" s="56"/>
      <c r="B7454" s="57"/>
      <c r="C7454" s="57"/>
      <c r="D7454" s="57"/>
      <c r="E7454" s="56"/>
      <c r="F7454" s="57"/>
      <c r="G7454" s="57"/>
      <c r="H7454" s="56"/>
      <c r="I7454" s="56"/>
      <c r="J7454" s="58"/>
      <c r="K7454" s="58"/>
      <c r="L7454" s="13" t="str">
        <f t="shared" si="1182"/>
        <v/>
      </c>
      <c r="M7454" s="13" t="str">
        <f t="shared" si="1183"/>
        <v/>
      </c>
      <c r="Q7454" t="str">
        <f t="shared" si="1184"/>
        <v/>
      </c>
      <c r="R7454" t="str">
        <f t="shared" si="1185"/>
        <v/>
      </c>
      <c r="S7454" t="str">
        <f t="shared" si="1186"/>
        <v/>
      </c>
      <c r="T7454" t="str">
        <f t="shared" si="1187"/>
        <v/>
      </c>
      <c r="U7454" t="str">
        <f t="shared" si="1188"/>
        <v/>
      </c>
      <c r="V7454" t="str">
        <f t="shared" si="1189"/>
        <v/>
      </c>
      <c r="W7454" t="str">
        <f t="shared" si="1190"/>
        <v/>
      </c>
      <c r="X7454">
        <f t="shared" si="1180"/>
        <v>0</v>
      </c>
      <c r="Z7454" t="str">
        <f t="shared" si="1191"/>
        <v/>
      </c>
      <c r="AA7454">
        <f t="shared" si="1181"/>
        <v>0</v>
      </c>
    </row>
    <row r="7455" spans="1:27" ht="21" customHeight="1" x14ac:dyDescent="0.95">
      <c r="A7455" s="56"/>
      <c r="B7455" s="57"/>
      <c r="C7455" s="57"/>
      <c r="D7455" s="57"/>
      <c r="E7455" s="56"/>
      <c r="F7455" s="57"/>
      <c r="G7455" s="57"/>
      <c r="H7455" s="56"/>
      <c r="I7455" s="56"/>
      <c r="J7455" s="58"/>
      <c r="K7455" s="58"/>
      <c r="L7455" s="13" t="str">
        <f t="shared" si="1182"/>
        <v/>
      </c>
      <c r="M7455" s="13" t="str">
        <f t="shared" si="1183"/>
        <v/>
      </c>
      <c r="Q7455" t="str">
        <f t="shared" si="1184"/>
        <v/>
      </c>
      <c r="R7455" t="str">
        <f t="shared" si="1185"/>
        <v/>
      </c>
      <c r="S7455" t="str">
        <f t="shared" si="1186"/>
        <v/>
      </c>
      <c r="T7455" t="str">
        <f t="shared" si="1187"/>
        <v/>
      </c>
      <c r="U7455" t="str">
        <f t="shared" si="1188"/>
        <v/>
      </c>
      <c r="V7455" t="str">
        <f t="shared" si="1189"/>
        <v/>
      </c>
      <c r="W7455" t="str">
        <f t="shared" si="1190"/>
        <v/>
      </c>
      <c r="X7455">
        <f t="shared" si="1180"/>
        <v>0</v>
      </c>
      <c r="Z7455" t="str">
        <f t="shared" si="1191"/>
        <v/>
      </c>
      <c r="AA7455">
        <f t="shared" si="1181"/>
        <v>0</v>
      </c>
    </row>
    <row r="7456" spans="1:27" ht="21" customHeight="1" x14ac:dyDescent="0.95">
      <c r="A7456" s="56"/>
      <c r="B7456" s="57"/>
      <c r="C7456" s="57"/>
      <c r="D7456" s="57"/>
      <c r="E7456" s="56"/>
      <c r="F7456" s="57"/>
      <c r="G7456" s="57"/>
      <c r="H7456" s="56"/>
      <c r="I7456" s="56"/>
      <c r="J7456" s="58"/>
      <c r="K7456" s="58"/>
      <c r="L7456" s="13" t="str">
        <f t="shared" si="1182"/>
        <v/>
      </c>
      <c r="M7456" s="13" t="str">
        <f t="shared" si="1183"/>
        <v/>
      </c>
      <c r="Q7456" t="str">
        <f t="shared" si="1184"/>
        <v/>
      </c>
      <c r="R7456" t="str">
        <f t="shared" si="1185"/>
        <v/>
      </c>
      <c r="S7456" t="str">
        <f t="shared" si="1186"/>
        <v/>
      </c>
      <c r="T7456" t="str">
        <f t="shared" si="1187"/>
        <v/>
      </c>
      <c r="U7456" t="str">
        <f t="shared" si="1188"/>
        <v/>
      </c>
      <c r="V7456" t="str">
        <f t="shared" si="1189"/>
        <v/>
      </c>
      <c r="W7456" t="str">
        <f t="shared" si="1190"/>
        <v/>
      </c>
      <c r="X7456">
        <f t="shared" si="1180"/>
        <v>0</v>
      </c>
      <c r="Z7456" t="str">
        <f t="shared" si="1191"/>
        <v/>
      </c>
      <c r="AA7456">
        <f t="shared" si="1181"/>
        <v>0</v>
      </c>
    </row>
    <row r="7457" spans="1:27" ht="21" customHeight="1" x14ac:dyDescent="0.95">
      <c r="A7457" s="56"/>
      <c r="B7457" s="57"/>
      <c r="C7457" s="57"/>
      <c r="D7457" s="57"/>
      <c r="E7457" s="56"/>
      <c r="F7457" s="57"/>
      <c r="G7457" s="57"/>
      <c r="H7457" s="56"/>
      <c r="I7457" s="56"/>
      <c r="J7457" s="58"/>
      <c r="K7457" s="58"/>
      <c r="L7457" s="13" t="str">
        <f t="shared" si="1182"/>
        <v/>
      </c>
      <c r="M7457" s="13" t="str">
        <f t="shared" si="1183"/>
        <v/>
      </c>
      <c r="Q7457" t="str">
        <f t="shared" si="1184"/>
        <v/>
      </c>
      <c r="R7457" t="str">
        <f t="shared" si="1185"/>
        <v/>
      </c>
      <c r="S7457" t="str">
        <f t="shared" si="1186"/>
        <v/>
      </c>
      <c r="T7457" t="str">
        <f t="shared" si="1187"/>
        <v/>
      </c>
      <c r="U7457" t="str">
        <f t="shared" si="1188"/>
        <v/>
      </c>
      <c r="V7457" t="str">
        <f t="shared" si="1189"/>
        <v/>
      </c>
      <c r="W7457" t="str">
        <f t="shared" si="1190"/>
        <v/>
      </c>
      <c r="X7457">
        <f t="shared" si="1180"/>
        <v>0</v>
      </c>
      <c r="Z7457" t="str">
        <f t="shared" si="1191"/>
        <v/>
      </c>
      <c r="AA7457">
        <f t="shared" si="1181"/>
        <v>0</v>
      </c>
    </row>
    <row r="7458" spans="1:27" ht="21" customHeight="1" x14ac:dyDescent="0.95">
      <c r="A7458" s="56"/>
      <c r="B7458" s="57"/>
      <c r="C7458" s="57"/>
      <c r="D7458" s="57"/>
      <c r="E7458" s="56"/>
      <c r="F7458" s="57"/>
      <c r="G7458" s="57"/>
      <c r="H7458" s="56"/>
      <c r="I7458" s="56"/>
      <c r="J7458" s="58"/>
      <c r="K7458" s="58"/>
      <c r="L7458" s="13" t="str">
        <f t="shared" si="1182"/>
        <v/>
      </c>
      <c r="M7458" s="13" t="str">
        <f t="shared" si="1183"/>
        <v/>
      </c>
      <c r="Q7458" t="str">
        <f t="shared" si="1184"/>
        <v/>
      </c>
      <c r="R7458" t="str">
        <f t="shared" si="1185"/>
        <v/>
      </c>
      <c r="S7458" t="str">
        <f t="shared" si="1186"/>
        <v/>
      </c>
      <c r="T7458" t="str">
        <f t="shared" si="1187"/>
        <v/>
      </c>
      <c r="U7458" t="str">
        <f t="shared" si="1188"/>
        <v/>
      </c>
      <c r="V7458" t="str">
        <f t="shared" si="1189"/>
        <v/>
      </c>
      <c r="W7458" t="str">
        <f t="shared" si="1190"/>
        <v/>
      </c>
      <c r="X7458">
        <f t="shared" si="1180"/>
        <v>0</v>
      </c>
      <c r="Z7458" t="str">
        <f t="shared" si="1191"/>
        <v/>
      </c>
      <c r="AA7458">
        <f t="shared" si="1181"/>
        <v>0</v>
      </c>
    </row>
    <row r="7459" spans="1:27" ht="21" customHeight="1" x14ac:dyDescent="0.95">
      <c r="A7459" s="56"/>
      <c r="B7459" s="57"/>
      <c r="C7459" s="57"/>
      <c r="D7459" s="57"/>
      <c r="E7459" s="56"/>
      <c r="F7459" s="57"/>
      <c r="G7459" s="57"/>
      <c r="H7459" s="56"/>
      <c r="I7459" s="56"/>
      <c r="J7459" s="58"/>
      <c r="K7459" s="58"/>
      <c r="L7459" s="13" t="str">
        <f t="shared" si="1182"/>
        <v/>
      </c>
      <c r="M7459" s="13" t="str">
        <f t="shared" si="1183"/>
        <v/>
      </c>
      <c r="Q7459" t="str">
        <f t="shared" si="1184"/>
        <v/>
      </c>
      <c r="R7459" t="str">
        <f t="shared" si="1185"/>
        <v/>
      </c>
      <c r="S7459" t="str">
        <f t="shared" si="1186"/>
        <v/>
      </c>
      <c r="T7459" t="str">
        <f t="shared" si="1187"/>
        <v/>
      </c>
      <c r="U7459" t="str">
        <f t="shared" si="1188"/>
        <v/>
      </c>
      <c r="V7459" t="str">
        <f t="shared" si="1189"/>
        <v/>
      </c>
      <c r="W7459" t="str">
        <f t="shared" si="1190"/>
        <v/>
      </c>
      <c r="X7459">
        <f t="shared" si="1180"/>
        <v>0</v>
      </c>
      <c r="Z7459" t="str">
        <f t="shared" si="1191"/>
        <v/>
      </c>
      <c r="AA7459">
        <f t="shared" si="1181"/>
        <v>0</v>
      </c>
    </row>
    <row r="7460" spans="1:27" ht="21" customHeight="1" x14ac:dyDescent="0.95">
      <c r="A7460" s="56"/>
      <c r="B7460" s="57"/>
      <c r="C7460" s="57"/>
      <c r="D7460" s="57"/>
      <c r="E7460" s="56"/>
      <c r="F7460" s="57"/>
      <c r="G7460" s="57"/>
      <c r="H7460" s="56"/>
      <c r="I7460" s="56"/>
      <c r="J7460" s="58"/>
      <c r="K7460" s="58"/>
      <c r="L7460" s="13" t="str">
        <f t="shared" si="1182"/>
        <v/>
      </c>
      <c r="M7460" s="13" t="str">
        <f t="shared" si="1183"/>
        <v/>
      </c>
      <c r="Q7460" t="str">
        <f t="shared" si="1184"/>
        <v/>
      </c>
      <c r="R7460" t="str">
        <f t="shared" si="1185"/>
        <v/>
      </c>
      <c r="S7460" t="str">
        <f t="shared" si="1186"/>
        <v/>
      </c>
      <c r="T7460" t="str">
        <f t="shared" si="1187"/>
        <v/>
      </c>
      <c r="U7460" t="str">
        <f t="shared" si="1188"/>
        <v/>
      </c>
      <c r="V7460" t="str">
        <f t="shared" si="1189"/>
        <v/>
      </c>
      <c r="W7460" t="str">
        <f t="shared" si="1190"/>
        <v/>
      </c>
      <c r="X7460">
        <f t="shared" si="1180"/>
        <v>0</v>
      </c>
      <c r="Z7460" t="str">
        <f t="shared" si="1191"/>
        <v/>
      </c>
      <c r="AA7460">
        <f t="shared" si="1181"/>
        <v>0</v>
      </c>
    </row>
    <row r="7461" spans="1:27" ht="21" customHeight="1" x14ac:dyDescent="0.95">
      <c r="A7461" s="56"/>
      <c r="B7461" s="57"/>
      <c r="C7461" s="57"/>
      <c r="D7461" s="57"/>
      <c r="E7461" s="56"/>
      <c r="F7461" s="57"/>
      <c r="G7461" s="57"/>
      <c r="H7461" s="56"/>
      <c r="I7461" s="56"/>
      <c r="J7461" s="58"/>
      <c r="K7461" s="58"/>
      <c r="L7461" s="13" t="str">
        <f t="shared" si="1182"/>
        <v/>
      </c>
      <c r="M7461" s="13" t="str">
        <f t="shared" si="1183"/>
        <v/>
      </c>
      <c r="Q7461" t="str">
        <f t="shared" si="1184"/>
        <v/>
      </c>
      <c r="R7461" t="str">
        <f t="shared" si="1185"/>
        <v/>
      </c>
      <c r="S7461" t="str">
        <f t="shared" si="1186"/>
        <v/>
      </c>
      <c r="T7461" t="str">
        <f t="shared" si="1187"/>
        <v/>
      </c>
      <c r="U7461" t="str">
        <f t="shared" si="1188"/>
        <v/>
      </c>
      <c r="V7461" t="str">
        <f t="shared" si="1189"/>
        <v/>
      </c>
      <c r="W7461" t="str">
        <f t="shared" si="1190"/>
        <v/>
      </c>
      <c r="X7461">
        <f t="shared" si="1180"/>
        <v>0</v>
      </c>
      <c r="Z7461" t="str">
        <f t="shared" si="1191"/>
        <v/>
      </c>
      <c r="AA7461">
        <f t="shared" si="1181"/>
        <v>0</v>
      </c>
    </row>
    <row r="7462" spans="1:27" ht="21" customHeight="1" x14ac:dyDescent="0.95">
      <c r="A7462" s="56"/>
      <c r="B7462" s="57"/>
      <c r="C7462" s="57"/>
      <c r="D7462" s="57"/>
      <c r="E7462" s="56"/>
      <c r="F7462" s="57"/>
      <c r="G7462" s="57"/>
      <c r="H7462" s="56"/>
      <c r="I7462" s="56"/>
      <c r="J7462" s="58"/>
      <c r="K7462" s="58"/>
      <c r="L7462" s="13" t="str">
        <f t="shared" si="1182"/>
        <v/>
      </c>
      <c r="M7462" s="13" t="str">
        <f t="shared" si="1183"/>
        <v/>
      </c>
      <c r="Q7462" t="str">
        <f t="shared" si="1184"/>
        <v/>
      </c>
      <c r="R7462" t="str">
        <f t="shared" si="1185"/>
        <v/>
      </c>
      <c r="S7462" t="str">
        <f t="shared" si="1186"/>
        <v/>
      </c>
      <c r="T7462" t="str">
        <f t="shared" si="1187"/>
        <v/>
      </c>
      <c r="U7462" t="str">
        <f t="shared" si="1188"/>
        <v/>
      </c>
      <c r="V7462" t="str">
        <f t="shared" si="1189"/>
        <v/>
      </c>
      <c r="W7462" t="str">
        <f t="shared" si="1190"/>
        <v/>
      </c>
      <c r="X7462">
        <f t="shared" si="1180"/>
        <v>0</v>
      </c>
      <c r="Z7462" t="str">
        <f t="shared" si="1191"/>
        <v/>
      </c>
      <c r="AA7462">
        <f t="shared" si="1181"/>
        <v>0</v>
      </c>
    </row>
    <row r="7463" spans="1:27" ht="21" customHeight="1" x14ac:dyDescent="0.95">
      <c r="A7463" s="56"/>
      <c r="B7463" s="57"/>
      <c r="C7463" s="57"/>
      <c r="D7463" s="57"/>
      <c r="E7463" s="56"/>
      <c r="F7463" s="57"/>
      <c r="G7463" s="57"/>
      <c r="H7463" s="56"/>
      <c r="I7463" s="56"/>
      <c r="J7463" s="58"/>
      <c r="K7463" s="58"/>
      <c r="L7463" s="13" t="str">
        <f t="shared" si="1182"/>
        <v/>
      </c>
      <c r="M7463" s="13" t="str">
        <f t="shared" si="1183"/>
        <v/>
      </c>
      <c r="Q7463" t="str">
        <f t="shared" si="1184"/>
        <v/>
      </c>
      <c r="R7463" t="str">
        <f t="shared" si="1185"/>
        <v/>
      </c>
      <c r="S7463" t="str">
        <f t="shared" si="1186"/>
        <v/>
      </c>
      <c r="T7463" t="str">
        <f t="shared" si="1187"/>
        <v/>
      </c>
      <c r="U7463" t="str">
        <f t="shared" si="1188"/>
        <v/>
      </c>
      <c r="V7463" t="str">
        <f t="shared" si="1189"/>
        <v/>
      </c>
      <c r="W7463" t="str">
        <f t="shared" si="1190"/>
        <v/>
      </c>
      <c r="X7463">
        <f t="shared" si="1180"/>
        <v>0</v>
      </c>
      <c r="Z7463" t="str">
        <f t="shared" si="1191"/>
        <v/>
      </c>
      <c r="AA7463">
        <f t="shared" si="1181"/>
        <v>0</v>
      </c>
    </row>
    <row r="7464" spans="1:27" ht="21" customHeight="1" x14ac:dyDescent="0.95">
      <c r="A7464" s="56"/>
      <c r="B7464" s="57"/>
      <c r="C7464" s="57"/>
      <c r="D7464" s="57"/>
      <c r="E7464" s="56"/>
      <c r="F7464" s="57"/>
      <c r="G7464" s="57"/>
      <c r="H7464" s="56"/>
      <c r="I7464" s="56"/>
      <c r="J7464" s="58"/>
      <c r="K7464" s="58"/>
      <c r="L7464" s="13" t="str">
        <f t="shared" si="1182"/>
        <v/>
      </c>
      <c r="M7464" s="13" t="str">
        <f t="shared" si="1183"/>
        <v/>
      </c>
      <c r="Q7464" t="str">
        <f t="shared" si="1184"/>
        <v/>
      </c>
      <c r="R7464" t="str">
        <f t="shared" si="1185"/>
        <v/>
      </c>
      <c r="S7464" t="str">
        <f t="shared" si="1186"/>
        <v/>
      </c>
      <c r="T7464" t="str">
        <f t="shared" si="1187"/>
        <v/>
      </c>
      <c r="U7464" t="str">
        <f t="shared" si="1188"/>
        <v/>
      </c>
      <c r="V7464" t="str">
        <f t="shared" si="1189"/>
        <v/>
      </c>
      <c r="W7464" t="str">
        <f t="shared" si="1190"/>
        <v/>
      </c>
      <c r="X7464">
        <f t="shared" si="1180"/>
        <v>0</v>
      </c>
      <c r="Z7464" t="str">
        <f t="shared" si="1191"/>
        <v/>
      </c>
      <c r="AA7464">
        <f t="shared" si="1181"/>
        <v>0</v>
      </c>
    </row>
    <row r="7465" spans="1:27" ht="21" customHeight="1" x14ac:dyDescent="0.95">
      <c r="A7465" s="56"/>
      <c r="B7465" s="57"/>
      <c r="C7465" s="57"/>
      <c r="D7465" s="57"/>
      <c r="E7465" s="56"/>
      <c r="F7465" s="57"/>
      <c r="G7465" s="57"/>
      <c r="H7465" s="56"/>
      <c r="I7465" s="56"/>
      <c r="J7465" s="58"/>
      <c r="K7465" s="58"/>
      <c r="L7465" s="13" t="str">
        <f t="shared" si="1182"/>
        <v/>
      </c>
      <c r="M7465" s="13" t="str">
        <f t="shared" si="1183"/>
        <v/>
      </c>
      <c r="Q7465" t="str">
        <f t="shared" si="1184"/>
        <v/>
      </c>
      <c r="R7465" t="str">
        <f t="shared" si="1185"/>
        <v/>
      </c>
      <c r="S7465" t="str">
        <f t="shared" si="1186"/>
        <v/>
      </c>
      <c r="T7465" t="str">
        <f t="shared" si="1187"/>
        <v/>
      </c>
      <c r="U7465" t="str">
        <f t="shared" si="1188"/>
        <v/>
      </c>
      <c r="V7465" t="str">
        <f t="shared" si="1189"/>
        <v/>
      </c>
      <c r="W7465" t="str">
        <f t="shared" si="1190"/>
        <v/>
      </c>
      <c r="X7465">
        <f t="shared" si="1180"/>
        <v>0</v>
      </c>
      <c r="Z7465" t="str">
        <f t="shared" si="1191"/>
        <v/>
      </c>
      <c r="AA7465">
        <f t="shared" si="1181"/>
        <v>0</v>
      </c>
    </row>
    <row r="7466" spans="1:27" ht="21" customHeight="1" x14ac:dyDescent="0.95">
      <c r="A7466" s="56"/>
      <c r="B7466" s="57"/>
      <c r="C7466" s="57"/>
      <c r="D7466" s="57"/>
      <c r="E7466" s="56"/>
      <c r="F7466" s="57"/>
      <c r="G7466" s="57"/>
      <c r="H7466" s="56"/>
      <c r="I7466" s="56"/>
      <c r="J7466" s="58"/>
      <c r="K7466" s="58"/>
      <c r="L7466" s="13" t="str">
        <f t="shared" si="1182"/>
        <v/>
      </c>
      <c r="M7466" s="13" t="str">
        <f t="shared" si="1183"/>
        <v/>
      </c>
      <c r="Q7466" t="str">
        <f t="shared" si="1184"/>
        <v/>
      </c>
      <c r="R7466" t="str">
        <f t="shared" si="1185"/>
        <v/>
      </c>
      <c r="S7466" t="str">
        <f t="shared" si="1186"/>
        <v/>
      </c>
      <c r="T7466" t="str">
        <f t="shared" si="1187"/>
        <v/>
      </c>
      <c r="U7466" t="str">
        <f t="shared" si="1188"/>
        <v/>
      </c>
      <c r="V7466" t="str">
        <f t="shared" si="1189"/>
        <v/>
      </c>
      <c r="W7466" t="str">
        <f t="shared" si="1190"/>
        <v/>
      </c>
      <c r="X7466">
        <f t="shared" si="1180"/>
        <v>0</v>
      </c>
      <c r="Z7466" t="str">
        <f t="shared" si="1191"/>
        <v/>
      </c>
      <c r="AA7466">
        <f t="shared" si="1181"/>
        <v>0</v>
      </c>
    </row>
    <row r="7467" spans="1:27" ht="21" customHeight="1" x14ac:dyDescent="0.95">
      <c r="A7467" s="56"/>
      <c r="B7467" s="57"/>
      <c r="C7467" s="57"/>
      <c r="D7467" s="57"/>
      <c r="E7467" s="56"/>
      <c r="F7467" s="57"/>
      <c r="G7467" s="57"/>
      <c r="H7467" s="56"/>
      <c r="I7467" s="56"/>
      <c r="J7467" s="58"/>
      <c r="K7467" s="58"/>
      <c r="L7467" s="13" t="str">
        <f t="shared" si="1182"/>
        <v/>
      </c>
      <c r="M7467" s="13" t="str">
        <f t="shared" si="1183"/>
        <v/>
      </c>
      <c r="Q7467" t="str">
        <f t="shared" si="1184"/>
        <v/>
      </c>
      <c r="R7467" t="str">
        <f t="shared" si="1185"/>
        <v/>
      </c>
      <c r="S7467" t="str">
        <f t="shared" si="1186"/>
        <v/>
      </c>
      <c r="T7467" t="str">
        <f t="shared" si="1187"/>
        <v/>
      </c>
      <c r="U7467" t="str">
        <f t="shared" si="1188"/>
        <v/>
      </c>
      <c r="V7467" t="str">
        <f t="shared" si="1189"/>
        <v/>
      </c>
      <c r="W7467" t="str">
        <f t="shared" si="1190"/>
        <v/>
      </c>
      <c r="X7467">
        <f t="shared" si="1180"/>
        <v>0</v>
      </c>
      <c r="Z7467" t="str">
        <f t="shared" si="1191"/>
        <v/>
      </c>
      <c r="AA7467">
        <f t="shared" si="1181"/>
        <v>0</v>
      </c>
    </row>
    <row r="7468" spans="1:27" ht="21" customHeight="1" x14ac:dyDescent="0.95">
      <c r="A7468" s="56"/>
      <c r="B7468" s="57"/>
      <c r="C7468" s="57"/>
      <c r="D7468" s="57"/>
      <c r="E7468" s="56"/>
      <c r="F7468" s="57"/>
      <c r="G7468" s="57"/>
      <c r="H7468" s="56"/>
      <c r="I7468" s="56"/>
      <c r="J7468" s="58"/>
      <c r="K7468" s="58"/>
      <c r="L7468" s="13" t="str">
        <f t="shared" si="1182"/>
        <v/>
      </c>
      <c r="M7468" s="13" t="str">
        <f t="shared" si="1183"/>
        <v/>
      </c>
      <c r="Q7468" t="str">
        <f t="shared" si="1184"/>
        <v/>
      </c>
      <c r="R7468" t="str">
        <f t="shared" si="1185"/>
        <v/>
      </c>
      <c r="S7468" t="str">
        <f t="shared" si="1186"/>
        <v/>
      </c>
      <c r="T7468" t="str">
        <f t="shared" si="1187"/>
        <v/>
      </c>
      <c r="U7468" t="str">
        <f t="shared" si="1188"/>
        <v/>
      </c>
      <c r="V7468" t="str">
        <f t="shared" si="1189"/>
        <v/>
      </c>
      <c r="W7468" t="str">
        <f t="shared" si="1190"/>
        <v/>
      </c>
      <c r="X7468">
        <f t="shared" si="1180"/>
        <v>0</v>
      </c>
      <c r="Z7468" t="str">
        <f t="shared" si="1191"/>
        <v/>
      </c>
      <c r="AA7468">
        <f t="shared" si="1181"/>
        <v>0</v>
      </c>
    </row>
    <row r="7469" spans="1:27" ht="21" customHeight="1" x14ac:dyDescent="0.95">
      <c r="A7469" s="56"/>
      <c r="B7469" s="57"/>
      <c r="C7469" s="57"/>
      <c r="D7469" s="57"/>
      <c r="E7469" s="56"/>
      <c r="F7469" s="57"/>
      <c r="G7469" s="57"/>
      <c r="H7469" s="56"/>
      <c r="I7469" s="56"/>
      <c r="J7469" s="58"/>
      <c r="K7469" s="58"/>
      <c r="L7469" s="13" t="str">
        <f t="shared" si="1182"/>
        <v/>
      </c>
      <c r="M7469" s="13" t="str">
        <f t="shared" si="1183"/>
        <v/>
      </c>
      <c r="Q7469" t="str">
        <f t="shared" si="1184"/>
        <v/>
      </c>
      <c r="R7469" t="str">
        <f t="shared" si="1185"/>
        <v/>
      </c>
      <c r="S7469" t="str">
        <f t="shared" si="1186"/>
        <v/>
      </c>
      <c r="T7469" t="str">
        <f t="shared" si="1187"/>
        <v/>
      </c>
      <c r="U7469" t="str">
        <f t="shared" si="1188"/>
        <v/>
      </c>
      <c r="V7469" t="str">
        <f t="shared" si="1189"/>
        <v/>
      </c>
      <c r="W7469" t="str">
        <f t="shared" si="1190"/>
        <v/>
      </c>
      <c r="X7469">
        <f t="shared" si="1180"/>
        <v>0</v>
      </c>
      <c r="Z7469" t="str">
        <f t="shared" si="1191"/>
        <v/>
      </c>
      <c r="AA7469">
        <f t="shared" si="1181"/>
        <v>0</v>
      </c>
    </row>
    <row r="7470" spans="1:27" ht="21" customHeight="1" x14ac:dyDescent="0.95">
      <c r="A7470" s="56"/>
      <c r="B7470" s="57"/>
      <c r="C7470" s="57"/>
      <c r="D7470" s="57"/>
      <c r="E7470" s="56"/>
      <c r="F7470" s="57"/>
      <c r="G7470" s="57"/>
      <c r="H7470" s="56"/>
      <c r="I7470" s="56"/>
      <c r="J7470" s="58"/>
      <c r="K7470" s="58"/>
      <c r="L7470" s="13" t="str">
        <f t="shared" si="1182"/>
        <v/>
      </c>
      <c r="M7470" s="13" t="str">
        <f t="shared" si="1183"/>
        <v/>
      </c>
      <c r="Q7470" t="str">
        <f t="shared" si="1184"/>
        <v/>
      </c>
      <c r="R7470" t="str">
        <f t="shared" si="1185"/>
        <v/>
      </c>
      <c r="S7470" t="str">
        <f t="shared" si="1186"/>
        <v/>
      </c>
      <c r="T7470" t="str">
        <f t="shared" si="1187"/>
        <v/>
      </c>
      <c r="U7470" t="str">
        <f t="shared" si="1188"/>
        <v/>
      </c>
      <c r="V7470" t="str">
        <f t="shared" si="1189"/>
        <v/>
      </c>
      <c r="W7470" t="str">
        <f t="shared" si="1190"/>
        <v/>
      </c>
      <c r="X7470">
        <f t="shared" si="1180"/>
        <v>0</v>
      </c>
      <c r="Z7470" t="str">
        <f t="shared" si="1191"/>
        <v/>
      </c>
      <c r="AA7470">
        <f t="shared" si="1181"/>
        <v>0</v>
      </c>
    </row>
    <row r="7471" spans="1:27" ht="21" customHeight="1" x14ac:dyDescent="0.95">
      <c r="A7471" s="56"/>
      <c r="B7471" s="57"/>
      <c r="C7471" s="57"/>
      <c r="D7471" s="57"/>
      <c r="E7471" s="56"/>
      <c r="F7471" s="57"/>
      <c r="G7471" s="57"/>
      <c r="H7471" s="56"/>
      <c r="I7471" s="56"/>
      <c r="J7471" s="58"/>
      <c r="K7471" s="58"/>
      <c r="L7471" s="13" t="str">
        <f t="shared" si="1182"/>
        <v/>
      </c>
      <c r="M7471" s="13" t="str">
        <f t="shared" si="1183"/>
        <v/>
      </c>
      <c r="Q7471" t="str">
        <f t="shared" si="1184"/>
        <v/>
      </c>
      <c r="R7471" t="str">
        <f t="shared" si="1185"/>
        <v/>
      </c>
      <c r="S7471" t="str">
        <f t="shared" si="1186"/>
        <v/>
      </c>
      <c r="T7471" t="str">
        <f t="shared" si="1187"/>
        <v/>
      </c>
      <c r="U7471" t="str">
        <f t="shared" si="1188"/>
        <v/>
      </c>
      <c r="V7471" t="str">
        <f t="shared" si="1189"/>
        <v/>
      </c>
      <c r="W7471" t="str">
        <f t="shared" si="1190"/>
        <v/>
      </c>
      <c r="X7471">
        <f t="shared" si="1180"/>
        <v>0</v>
      </c>
      <c r="Z7471" t="str">
        <f t="shared" si="1191"/>
        <v/>
      </c>
      <c r="AA7471">
        <f t="shared" si="1181"/>
        <v>0</v>
      </c>
    </row>
    <row r="7472" spans="1:27" ht="21" customHeight="1" x14ac:dyDescent="0.95">
      <c r="A7472" s="56"/>
      <c r="B7472" s="57"/>
      <c r="C7472" s="57"/>
      <c r="D7472" s="57"/>
      <c r="E7472" s="56"/>
      <c r="F7472" s="57"/>
      <c r="G7472" s="57"/>
      <c r="H7472" s="56"/>
      <c r="I7472" s="56"/>
      <c r="J7472" s="58"/>
      <c r="K7472" s="58"/>
      <c r="L7472" s="13" t="str">
        <f t="shared" si="1182"/>
        <v/>
      </c>
      <c r="M7472" s="13" t="str">
        <f t="shared" si="1183"/>
        <v/>
      </c>
      <c r="Q7472" t="str">
        <f t="shared" si="1184"/>
        <v/>
      </c>
      <c r="R7472" t="str">
        <f t="shared" si="1185"/>
        <v/>
      </c>
      <c r="S7472" t="str">
        <f t="shared" si="1186"/>
        <v/>
      </c>
      <c r="T7472" t="str">
        <f t="shared" si="1187"/>
        <v/>
      </c>
      <c r="U7472" t="str">
        <f t="shared" si="1188"/>
        <v/>
      </c>
      <c r="V7472" t="str">
        <f t="shared" si="1189"/>
        <v/>
      </c>
      <c r="W7472" t="str">
        <f t="shared" si="1190"/>
        <v/>
      </c>
      <c r="X7472">
        <f t="shared" si="1180"/>
        <v>0</v>
      </c>
      <c r="Z7472" t="str">
        <f t="shared" si="1191"/>
        <v/>
      </c>
      <c r="AA7472">
        <f t="shared" si="1181"/>
        <v>0</v>
      </c>
    </row>
    <row r="7473" spans="1:27" ht="21" customHeight="1" x14ac:dyDescent="0.95">
      <c r="A7473" s="56"/>
      <c r="B7473" s="57"/>
      <c r="C7473" s="57"/>
      <c r="D7473" s="57"/>
      <c r="E7473" s="56"/>
      <c r="F7473" s="57"/>
      <c r="G7473" s="57"/>
      <c r="H7473" s="56"/>
      <c r="I7473" s="56"/>
      <c r="J7473" s="58"/>
      <c r="K7473" s="58"/>
      <c r="L7473" s="13" t="str">
        <f t="shared" si="1182"/>
        <v/>
      </c>
      <c r="M7473" s="13" t="str">
        <f t="shared" si="1183"/>
        <v/>
      </c>
      <c r="Q7473" t="str">
        <f t="shared" si="1184"/>
        <v/>
      </c>
      <c r="R7473" t="str">
        <f t="shared" si="1185"/>
        <v/>
      </c>
      <c r="S7473" t="str">
        <f t="shared" si="1186"/>
        <v/>
      </c>
      <c r="T7473" t="str">
        <f t="shared" si="1187"/>
        <v/>
      </c>
      <c r="U7473" t="str">
        <f t="shared" si="1188"/>
        <v/>
      </c>
      <c r="V7473" t="str">
        <f t="shared" si="1189"/>
        <v/>
      </c>
      <c r="W7473" t="str">
        <f t="shared" si="1190"/>
        <v/>
      </c>
      <c r="X7473">
        <f t="shared" si="1180"/>
        <v>0</v>
      </c>
      <c r="Z7473" t="str">
        <f t="shared" si="1191"/>
        <v/>
      </c>
      <c r="AA7473">
        <f t="shared" si="1181"/>
        <v>0</v>
      </c>
    </row>
    <row r="7474" spans="1:27" ht="21" customHeight="1" x14ac:dyDescent="0.95">
      <c r="A7474" s="56"/>
      <c r="B7474" s="57"/>
      <c r="C7474" s="57"/>
      <c r="D7474" s="57"/>
      <c r="E7474" s="56"/>
      <c r="F7474" s="57"/>
      <c r="G7474" s="57"/>
      <c r="H7474" s="56"/>
      <c r="I7474" s="56"/>
      <c r="J7474" s="58"/>
      <c r="K7474" s="58"/>
      <c r="L7474" s="13" t="str">
        <f t="shared" si="1182"/>
        <v/>
      </c>
      <c r="M7474" s="13" t="str">
        <f t="shared" si="1183"/>
        <v/>
      </c>
      <c r="Q7474" t="str">
        <f t="shared" si="1184"/>
        <v/>
      </c>
      <c r="R7474" t="str">
        <f t="shared" si="1185"/>
        <v/>
      </c>
      <c r="S7474" t="str">
        <f t="shared" si="1186"/>
        <v/>
      </c>
      <c r="T7474" t="str">
        <f t="shared" si="1187"/>
        <v/>
      </c>
      <c r="U7474" t="str">
        <f t="shared" si="1188"/>
        <v/>
      </c>
      <c r="V7474" t="str">
        <f t="shared" si="1189"/>
        <v/>
      </c>
      <c r="W7474" t="str">
        <f t="shared" si="1190"/>
        <v/>
      </c>
      <c r="X7474">
        <f t="shared" si="1180"/>
        <v>0</v>
      </c>
      <c r="Z7474" t="str">
        <f t="shared" si="1191"/>
        <v/>
      </c>
      <c r="AA7474">
        <f t="shared" si="1181"/>
        <v>0</v>
      </c>
    </row>
    <row r="7475" spans="1:27" ht="21" customHeight="1" x14ac:dyDescent="0.95">
      <c r="A7475" s="56"/>
      <c r="B7475" s="57"/>
      <c r="C7475" s="57"/>
      <c r="D7475" s="57"/>
      <c r="E7475" s="56"/>
      <c r="F7475" s="57"/>
      <c r="G7475" s="57"/>
      <c r="H7475" s="56"/>
      <c r="I7475" s="56"/>
      <c r="J7475" s="58"/>
      <c r="K7475" s="58"/>
      <c r="L7475" s="13" t="str">
        <f t="shared" si="1182"/>
        <v/>
      </c>
      <c r="M7475" s="13" t="str">
        <f t="shared" si="1183"/>
        <v/>
      </c>
      <c r="Q7475" t="str">
        <f t="shared" si="1184"/>
        <v/>
      </c>
      <c r="R7475" t="str">
        <f t="shared" si="1185"/>
        <v/>
      </c>
      <c r="S7475" t="str">
        <f t="shared" si="1186"/>
        <v/>
      </c>
      <c r="T7475" t="str">
        <f t="shared" si="1187"/>
        <v/>
      </c>
      <c r="U7475" t="str">
        <f t="shared" si="1188"/>
        <v/>
      </c>
      <c r="V7475" t="str">
        <f t="shared" si="1189"/>
        <v/>
      </c>
      <c r="W7475" t="str">
        <f t="shared" si="1190"/>
        <v/>
      </c>
      <c r="X7475">
        <f t="shared" si="1180"/>
        <v>0</v>
      </c>
      <c r="Z7475" t="str">
        <f t="shared" si="1191"/>
        <v/>
      </c>
      <c r="AA7475">
        <f t="shared" si="1181"/>
        <v>0</v>
      </c>
    </row>
    <row r="7476" spans="1:27" ht="21" customHeight="1" x14ac:dyDescent="0.95">
      <c r="A7476" s="56"/>
      <c r="B7476" s="57"/>
      <c r="C7476" s="57"/>
      <c r="D7476" s="57"/>
      <c r="E7476" s="56"/>
      <c r="F7476" s="57"/>
      <c r="G7476" s="57"/>
      <c r="H7476" s="56"/>
      <c r="I7476" s="56"/>
      <c r="J7476" s="58"/>
      <c r="K7476" s="58"/>
      <c r="L7476" s="13" t="str">
        <f t="shared" si="1182"/>
        <v/>
      </c>
      <c r="M7476" s="13" t="str">
        <f t="shared" si="1183"/>
        <v/>
      </c>
      <c r="Q7476" t="str">
        <f t="shared" si="1184"/>
        <v/>
      </c>
      <c r="R7476" t="str">
        <f t="shared" si="1185"/>
        <v/>
      </c>
      <c r="S7476" t="str">
        <f t="shared" si="1186"/>
        <v/>
      </c>
      <c r="T7476" t="str">
        <f t="shared" si="1187"/>
        <v/>
      </c>
      <c r="U7476" t="str">
        <f t="shared" si="1188"/>
        <v/>
      </c>
      <c r="V7476" t="str">
        <f t="shared" si="1189"/>
        <v/>
      </c>
      <c r="W7476" t="str">
        <f t="shared" si="1190"/>
        <v/>
      </c>
      <c r="X7476">
        <f t="shared" si="1180"/>
        <v>0</v>
      </c>
      <c r="Z7476" t="str">
        <f t="shared" si="1191"/>
        <v/>
      </c>
      <c r="AA7476">
        <f t="shared" si="1181"/>
        <v>0</v>
      </c>
    </row>
    <row r="7477" spans="1:27" ht="21" customHeight="1" x14ac:dyDescent="0.95">
      <c r="A7477" s="56"/>
      <c r="B7477" s="57"/>
      <c r="C7477" s="57"/>
      <c r="D7477" s="57"/>
      <c r="E7477" s="56"/>
      <c r="F7477" s="57"/>
      <c r="G7477" s="57"/>
      <c r="H7477" s="56"/>
      <c r="I7477" s="56"/>
      <c r="J7477" s="58"/>
      <c r="K7477" s="58"/>
      <c r="L7477" s="13" t="str">
        <f t="shared" si="1182"/>
        <v/>
      </c>
      <c r="M7477" s="13" t="str">
        <f t="shared" si="1183"/>
        <v/>
      </c>
      <c r="Q7477" t="str">
        <f t="shared" si="1184"/>
        <v/>
      </c>
      <c r="R7477" t="str">
        <f t="shared" si="1185"/>
        <v/>
      </c>
      <c r="S7477" t="str">
        <f t="shared" si="1186"/>
        <v/>
      </c>
      <c r="T7477" t="str">
        <f t="shared" si="1187"/>
        <v/>
      </c>
      <c r="U7477" t="str">
        <f t="shared" si="1188"/>
        <v/>
      </c>
      <c r="V7477" t="str">
        <f t="shared" si="1189"/>
        <v/>
      </c>
      <c r="W7477" t="str">
        <f t="shared" si="1190"/>
        <v/>
      </c>
      <c r="X7477">
        <f t="shared" ref="X7477:X7540" si="1192">IF($T7477="",N($X7476),IF(MATCH($T7477,$T$6:$T$10005,0)=ROW()-5,N($X7476)+1,N($X7476)))</f>
        <v>0</v>
      </c>
      <c r="Z7477" t="str">
        <f t="shared" si="1191"/>
        <v/>
      </c>
      <c r="AA7477">
        <f t="shared" ref="AA7477:AA7540" si="1193">IF($V7477="",N($AA7476),IF(MATCH($V7477,$V$6:$V$10005,0)=ROW()-5,N($AA7476)+1,N($AA7476)))</f>
        <v>0</v>
      </c>
    </row>
    <row r="7478" spans="1:27" ht="21" customHeight="1" x14ac:dyDescent="0.95">
      <c r="A7478" s="56"/>
      <c r="B7478" s="57"/>
      <c r="C7478" s="57"/>
      <c r="D7478" s="57"/>
      <c r="E7478" s="56"/>
      <c r="F7478" s="57"/>
      <c r="G7478" s="57"/>
      <c r="H7478" s="56"/>
      <c r="I7478" s="56"/>
      <c r="J7478" s="58"/>
      <c r="K7478" s="58"/>
      <c r="L7478" s="13" t="str">
        <f t="shared" si="1182"/>
        <v/>
      </c>
      <c r="M7478" s="13" t="str">
        <f t="shared" si="1183"/>
        <v/>
      </c>
      <c r="Q7478" t="str">
        <f t="shared" si="1184"/>
        <v/>
      </c>
      <c r="R7478" t="str">
        <f t="shared" si="1185"/>
        <v/>
      </c>
      <c r="S7478" t="str">
        <f t="shared" si="1186"/>
        <v/>
      </c>
      <c r="T7478" t="str">
        <f t="shared" si="1187"/>
        <v/>
      </c>
      <c r="U7478" t="str">
        <f t="shared" si="1188"/>
        <v/>
      </c>
      <c r="V7478" t="str">
        <f t="shared" si="1189"/>
        <v/>
      </c>
      <c r="W7478" t="str">
        <f t="shared" si="1190"/>
        <v/>
      </c>
      <c r="X7478">
        <f t="shared" si="1192"/>
        <v>0</v>
      </c>
      <c r="Z7478" t="str">
        <f t="shared" si="1191"/>
        <v/>
      </c>
      <c r="AA7478">
        <f t="shared" si="1193"/>
        <v>0</v>
      </c>
    </row>
    <row r="7479" spans="1:27" ht="21" customHeight="1" x14ac:dyDescent="0.95">
      <c r="A7479" s="56"/>
      <c r="B7479" s="57"/>
      <c r="C7479" s="57"/>
      <c r="D7479" s="57"/>
      <c r="E7479" s="56"/>
      <c r="F7479" s="57"/>
      <c r="G7479" s="57"/>
      <c r="H7479" s="56"/>
      <c r="I7479" s="56"/>
      <c r="J7479" s="58"/>
      <c r="K7479" s="58"/>
      <c r="L7479" s="13" t="str">
        <f t="shared" si="1182"/>
        <v/>
      </c>
      <c r="M7479" s="13" t="str">
        <f t="shared" si="1183"/>
        <v/>
      </c>
      <c r="Q7479" t="str">
        <f t="shared" si="1184"/>
        <v/>
      </c>
      <c r="R7479" t="str">
        <f t="shared" si="1185"/>
        <v/>
      </c>
      <c r="S7479" t="str">
        <f t="shared" si="1186"/>
        <v/>
      </c>
      <c r="T7479" t="str">
        <f t="shared" si="1187"/>
        <v/>
      </c>
      <c r="U7479" t="str">
        <f t="shared" si="1188"/>
        <v/>
      </c>
      <c r="V7479" t="str">
        <f t="shared" si="1189"/>
        <v/>
      </c>
      <c r="W7479" t="str">
        <f t="shared" si="1190"/>
        <v/>
      </c>
      <c r="X7479">
        <f t="shared" si="1192"/>
        <v>0</v>
      </c>
      <c r="Z7479" t="str">
        <f t="shared" si="1191"/>
        <v/>
      </c>
      <c r="AA7479">
        <f t="shared" si="1193"/>
        <v>0</v>
      </c>
    </row>
    <row r="7480" spans="1:27" ht="21" customHeight="1" x14ac:dyDescent="0.95">
      <c r="A7480" s="56"/>
      <c r="B7480" s="57"/>
      <c r="C7480" s="57"/>
      <c r="D7480" s="57"/>
      <c r="E7480" s="56"/>
      <c r="F7480" s="57"/>
      <c r="G7480" s="57"/>
      <c r="H7480" s="56"/>
      <c r="I7480" s="56"/>
      <c r="J7480" s="58"/>
      <c r="K7480" s="58"/>
      <c r="L7480" s="13" t="str">
        <f t="shared" si="1182"/>
        <v/>
      </c>
      <c r="M7480" s="13" t="str">
        <f t="shared" si="1183"/>
        <v/>
      </c>
      <c r="Q7480" t="str">
        <f t="shared" si="1184"/>
        <v/>
      </c>
      <c r="R7480" t="str">
        <f t="shared" si="1185"/>
        <v/>
      </c>
      <c r="S7480" t="str">
        <f t="shared" si="1186"/>
        <v/>
      </c>
      <c r="T7480" t="str">
        <f t="shared" si="1187"/>
        <v/>
      </c>
      <c r="U7480" t="str">
        <f t="shared" si="1188"/>
        <v/>
      </c>
      <c r="V7480" t="str">
        <f t="shared" si="1189"/>
        <v/>
      </c>
      <c r="W7480" t="str">
        <f t="shared" si="1190"/>
        <v/>
      </c>
      <c r="X7480">
        <f t="shared" si="1192"/>
        <v>0</v>
      </c>
      <c r="Z7480" t="str">
        <f t="shared" si="1191"/>
        <v/>
      </c>
      <c r="AA7480">
        <f t="shared" si="1193"/>
        <v>0</v>
      </c>
    </row>
    <row r="7481" spans="1:27" ht="21" customHeight="1" x14ac:dyDescent="0.95">
      <c r="A7481" s="56"/>
      <c r="B7481" s="57"/>
      <c r="C7481" s="57"/>
      <c r="D7481" s="57"/>
      <c r="E7481" s="56"/>
      <c r="F7481" s="57"/>
      <c r="G7481" s="57"/>
      <c r="H7481" s="56"/>
      <c r="I7481" s="56"/>
      <c r="J7481" s="58"/>
      <c r="K7481" s="58"/>
      <c r="L7481" s="13" t="str">
        <f t="shared" si="1182"/>
        <v/>
      </c>
      <c r="M7481" s="13" t="str">
        <f t="shared" si="1183"/>
        <v/>
      </c>
      <c r="Q7481" t="str">
        <f t="shared" si="1184"/>
        <v/>
      </c>
      <c r="R7481" t="str">
        <f t="shared" si="1185"/>
        <v/>
      </c>
      <c r="S7481" t="str">
        <f t="shared" si="1186"/>
        <v/>
      </c>
      <c r="T7481" t="str">
        <f t="shared" si="1187"/>
        <v/>
      </c>
      <c r="U7481" t="str">
        <f t="shared" si="1188"/>
        <v/>
      </c>
      <c r="V7481" t="str">
        <f t="shared" si="1189"/>
        <v/>
      </c>
      <c r="W7481" t="str">
        <f t="shared" si="1190"/>
        <v/>
      </c>
      <c r="X7481">
        <f t="shared" si="1192"/>
        <v>0</v>
      </c>
      <c r="Z7481" t="str">
        <f t="shared" si="1191"/>
        <v/>
      </c>
      <c r="AA7481">
        <f t="shared" si="1193"/>
        <v>0</v>
      </c>
    </row>
    <row r="7482" spans="1:27" ht="21" customHeight="1" x14ac:dyDescent="0.95">
      <c r="A7482" s="56"/>
      <c r="B7482" s="57"/>
      <c r="C7482" s="57"/>
      <c r="D7482" s="57"/>
      <c r="E7482" s="56"/>
      <c r="F7482" s="57"/>
      <c r="G7482" s="57"/>
      <c r="H7482" s="56"/>
      <c r="I7482" s="56"/>
      <c r="J7482" s="58"/>
      <c r="K7482" s="58"/>
      <c r="L7482" s="13" t="str">
        <f t="shared" si="1182"/>
        <v/>
      </c>
      <c r="M7482" s="13" t="str">
        <f t="shared" si="1183"/>
        <v/>
      </c>
      <c r="Q7482" t="str">
        <f t="shared" si="1184"/>
        <v/>
      </c>
      <c r="R7482" t="str">
        <f t="shared" si="1185"/>
        <v/>
      </c>
      <c r="S7482" t="str">
        <f t="shared" si="1186"/>
        <v/>
      </c>
      <c r="T7482" t="str">
        <f t="shared" si="1187"/>
        <v/>
      </c>
      <c r="U7482" t="str">
        <f t="shared" si="1188"/>
        <v/>
      </c>
      <c r="V7482" t="str">
        <f t="shared" si="1189"/>
        <v/>
      </c>
      <c r="W7482" t="str">
        <f t="shared" si="1190"/>
        <v/>
      </c>
      <c r="X7482">
        <f t="shared" si="1192"/>
        <v>0</v>
      </c>
      <c r="Z7482" t="str">
        <f t="shared" si="1191"/>
        <v/>
      </c>
      <c r="AA7482">
        <f t="shared" si="1193"/>
        <v>0</v>
      </c>
    </row>
    <row r="7483" spans="1:27" ht="21" customHeight="1" x14ac:dyDescent="0.95">
      <c r="A7483" s="56"/>
      <c r="B7483" s="57"/>
      <c r="C7483" s="57"/>
      <c r="D7483" s="57"/>
      <c r="E7483" s="56"/>
      <c r="F7483" s="57"/>
      <c r="G7483" s="57"/>
      <c r="H7483" s="56"/>
      <c r="I7483" s="56"/>
      <c r="J7483" s="58"/>
      <c r="K7483" s="58"/>
      <c r="L7483" s="13" t="str">
        <f t="shared" si="1182"/>
        <v/>
      </c>
      <c r="M7483" s="13" t="str">
        <f t="shared" si="1183"/>
        <v/>
      </c>
      <c r="Q7483" t="str">
        <f t="shared" si="1184"/>
        <v/>
      </c>
      <c r="R7483" t="str">
        <f t="shared" si="1185"/>
        <v/>
      </c>
      <c r="S7483" t="str">
        <f t="shared" si="1186"/>
        <v/>
      </c>
      <c r="T7483" t="str">
        <f t="shared" si="1187"/>
        <v/>
      </c>
      <c r="U7483" t="str">
        <f t="shared" si="1188"/>
        <v/>
      </c>
      <c r="V7483" t="str">
        <f t="shared" si="1189"/>
        <v/>
      </c>
      <c r="W7483" t="str">
        <f t="shared" si="1190"/>
        <v/>
      </c>
      <c r="X7483">
        <f t="shared" si="1192"/>
        <v>0</v>
      </c>
      <c r="Z7483" t="str">
        <f t="shared" si="1191"/>
        <v/>
      </c>
      <c r="AA7483">
        <f t="shared" si="1193"/>
        <v>0</v>
      </c>
    </row>
    <row r="7484" spans="1:27" ht="21" customHeight="1" x14ac:dyDescent="0.95">
      <c r="A7484" s="56"/>
      <c r="B7484" s="57"/>
      <c r="C7484" s="57"/>
      <c r="D7484" s="57"/>
      <c r="E7484" s="56"/>
      <c r="F7484" s="57"/>
      <c r="G7484" s="57"/>
      <c r="H7484" s="56"/>
      <c r="I7484" s="56"/>
      <c r="J7484" s="58"/>
      <c r="K7484" s="58"/>
      <c r="L7484" s="13" t="str">
        <f t="shared" si="1182"/>
        <v/>
      </c>
      <c r="M7484" s="13" t="str">
        <f t="shared" si="1183"/>
        <v/>
      </c>
      <c r="Q7484" t="str">
        <f t="shared" si="1184"/>
        <v/>
      </c>
      <c r="R7484" t="str">
        <f t="shared" si="1185"/>
        <v/>
      </c>
      <c r="S7484" t="str">
        <f t="shared" si="1186"/>
        <v/>
      </c>
      <c r="T7484" t="str">
        <f t="shared" si="1187"/>
        <v/>
      </c>
      <c r="U7484" t="str">
        <f t="shared" si="1188"/>
        <v/>
      </c>
      <c r="V7484" t="str">
        <f t="shared" si="1189"/>
        <v/>
      </c>
      <c r="W7484" t="str">
        <f t="shared" si="1190"/>
        <v/>
      </c>
      <c r="X7484">
        <f t="shared" si="1192"/>
        <v>0</v>
      </c>
      <c r="Z7484" t="str">
        <f t="shared" si="1191"/>
        <v/>
      </c>
      <c r="AA7484">
        <f t="shared" si="1193"/>
        <v>0</v>
      </c>
    </row>
    <row r="7485" spans="1:27" ht="21" customHeight="1" x14ac:dyDescent="0.95">
      <c r="A7485" s="56"/>
      <c r="B7485" s="57"/>
      <c r="C7485" s="57"/>
      <c r="D7485" s="57"/>
      <c r="E7485" s="56"/>
      <c r="F7485" s="57"/>
      <c r="G7485" s="57"/>
      <c r="H7485" s="56"/>
      <c r="I7485" s="56"/>
      <c r="J7485" s="58"/>
      <c r="K7485" s="58"/>
      <c r="L7485" s="13" t="str">
        <f t="shared" si="1182"/>
        <v/>
      </c>
      <c r="M7485" s="13" t="str">
        <f t="shared" si="1183"/>
        <v/>
      </c>
      <c r="Q7485" t="str">
        <f t="shared" si="1184"/>
        <v/>
      </c>
      <c r="R7485" t="str">
        <f t="shared" si="1185"/>
        <v/>
      </c>
      <c r="S7485" t="str">
        <f t="shared" si="1186"/>
        <v/>
      </c>
      <c r="T7485" t="str">
        <f t="shared" si="1187"/>
        <v/>
      </c>
      <c r="U7485" t="str">
        <f t="shared" si="1188"/>
        <v/>
      </c>
      <c r="V7485" t="str">
        <f t="shared" si="1189"/>
        <v/>
      </c>
      <c r="W7485" t="str">
        <f t="shared" si="1190"/>
        <v/>
      </c>
      <c r="X7485">
        <f t="shared" si="1192"/>
        <v>0</v>
      </c>
      <c r="Z7485" t="str">
        <f t="shared" si="1191"/>
        <v/>
      </c>
      <c r="AA7485">
        <f t="shared" si="1193"/>
        <v>0</v>
      </c>
    </row>
    <row r="7486" spans="1:27" ht="21" customHeight="1" x14ac:dyDescent="0.95">
      <c r="A7486" s="56"/>
      <c r="B7486" s="57"/>
      <c r="C7486" s="57"/>
      <c r="D7486" s="57"/>
      <c r="E7486" s="56"/>
      <c r="F7486" s="57"/>
      <c r="G7486" s="57"/>
      <c r="H7486" s="56"/>
      <c r="I7486" s="56"/>
      <c r="J7486" s="58"/>
      <c r="K7486" s="58"/>
      <c r="L7486" s="13" t="str">
        <f t="shared" si="1182"/>
        <v/>
      </c>
      <c r="M7486" s="13" t="str">
        <f t="shared" si="1183"/>
        <v/>
      </c>
      <c r="Q7486" t="str">
        <f t="shared" si="1184"/>
        <v/>
      </c>
      <c r="R7486" t="str">
        <f t="shared" si="1185"/>
        <v/>
      </c>
      <c r="S7486" t="str">
        <f t="shared" si="1186"/>
        <v/>
      </c>
      <c r="T7486" t="str">
        <f t="shared" si="1187"/>
        <v/>
      </c>
      <c r="U7486" t="str">
        <f t="shared" si="1188"/>
        <v/>
      </c>
      <c r="V7486" t="str">
        <f t="shared" si="1189"/>
        <v/>
      </c>
      <c r="W7486" t="str">
        <f t="shared" si="1190"/>
        <v/>
      </c>
      <c r="X7486">
        <f t="shared" si="1192"/>
        <v>0</v>
      </c>
      <c r="Z7486" t="str">
        <f t="shared" si="1191"/>
        <v/>
      </c>
      <c r="AA7486">
        <f t="shared" si="1193"/>
        <v>0</v>
      </c>
    </row>
    <row r="7487" spans="1:27" ht="21" customHeight="1" x14ac:dyDescent="0.95">
      <c r="A7487" s="56"/>
      <c r="B7487" s="57"/>
      <c r="C7487" s="57"/>
      <c r="D7487" s="57"/>
      <c r="E7487" s="56"/>
      <c r="F7487" s="57"/>
      <c r="G7487" s="57"/>
      <c r="H7487" s="56"/>
      <c r="I7487" s="56"/>
      <c r="J7487" s="58"/>
      <c r="K7487" s="58"/>
      <c r="L7487" s="13" t="str">
        <f t="shared" si="1182"/>
        <v/>
      </c>
      <c r="M7487" s="13" t="str">
        <f t="shared" si="1183"/>
        <v/>
      </c>
      <c r="Q7487" t="str">
        <f t="shared" si="1184"/>
        <v/>
      </c>
      <c r="R7487" t="str">
        <f t="shared" si="1185"/>
        <v/>
      </c>
      <c r="S7487" t="str">
        <f t="shared" si="1186"/>
        <v/>
      </c>
      <c r="T7487" t="str">
        <f t="shared" si="1187"/>
        <v/>
      </c>
      <c r="U7487" t="str">
        <f t="shared" si="1188"/>
        <v/>
      </c>
      <c r="V7487" t="str">
        <f t="shared" si="1189"/>
        <v/>
      </c>
      <c r="W7487" t="str">
        <f t="shared" si="1190"/>
        <v/>
      </c>
      <c r="X7487">
        <f t="shared" si="1192"/>
        <v>0</v>
      </c>
      <c r="Z7487" t="str">
        <f t="shared" si="1191"/>
        <v/>
      </c>
      <c r="AA7487">
        <f t="shared" si="1193"/>
        <v>0</v>
      </c>
    </row>
    <row r="7488" spans="1:27" ht="21" customHeight="1" x14ac:dyDescent="0.95">
      <c r="A7488" s="56"/>
      <c r="B7488" s="57"/>
      <c r="C7488" s="57"/>
      <c r="D7488" s="57"/>
      <c r="E7488" s="56"/>
      <c r="F7488" s="57"/>
      <c r="G7488" s="57"/>
      <c r="H7488" s="56"/>
      <c r="I7488" s="56"/>
      <c r="J7488" s="58"/>
      <c r="K7488" s="58"/>
      <c r="L7488" s="13" t="str">
        <f t="shared" si="1182"/>
        <v/>
      </c>
      <c r="M7488" s="13" t="str">
        <f t="shared" si="1183"/>
        <v/>
      </c>
      <c r="Q7488" t="str">
        <f t="shared" si="1184"/>
        <v/>
      </c>
      <c r="R7488" t="str">
        <f t="shared" si="1185"/>
        <v/>
      </c>
      <c r="S7488" t="str">
        <f t="shared" si="1186"/>
        <v/>
      </c>
      <c r="T7488" t="str">
        <f t="shared" si="1187"/>
        <v/>
      </c>
      <c r="U7488" t="str">
        <f t="shared" si="1188"/>
        <v/>
      </c>
      <c r="V7488" t="str">
        <f t="shared" si="1189"/>
        <v/>
      </c>
      <c r="W7488" t="str">
        <f t="shared" si="1190"/>
        <v/>
      </c>
      <c r="X7488">
        <f t="shared" si="1192"/>
        <v>0</v>
      </c>
      <c r="Z7488" t="str">
        <f t="shared" si="1191"/>
        <v/>
      </c>
      <c r="AA7488">
        <f t="shared" si="1193"/>
        <v>0</v>
      </c>
    </row>
    <row r="7489" spans="1:27" ht="21" customHeight="1" x14ac:dyDescent="0.95">
      <c r="A7489" s="56"/>
      <c r="B7489" s="57"/>
      <c r="C7489" s="57"/>
      <c r="D7489" s="57"/>
      <c r="E7489" s="56"/>
      <c r="F7489" s="57"/>
      <c r="G7489" s="57"/>
      <c r="H7489" s="56"/>
      <c r="I7489" s="56"/>
      <c r="J7489" s="58"/>
      <c r="K7489" s="58"/>
      <c r="L7489" s="13" t="str">
        <f t="shared" si="1182"/>
        <v/>
      </c>
      <c r="M7489" s="13" t="str">
        <f t="shared" si="1183"/>
        <v/>
      </c>
      <c r="Q7489" t="str">
        <f t="shared" si="1184"/>
        <v/>
      </c>
      <c r="R7489" t="str">
        <f t="shared" si="1185"/>
        <v/>
      </c>
      <c r="S7489" t="str">
        <f t="shared" si="1186"/>
        <v/>
      </c>
      <c r="T7489" t="str">
        <f t="shared" si="1187"/>
        <v/>
      </c>
      <c r="U7489" t="str">
        <f t="shared" si="1188"/>
        <v/>
      </c>
      <c r="V7489" t="str">
        <f t="shared" si="1189"/>
        <v/>
      </c>
      <c r="W7489" t="str">
        <f t="shared" si="1190"/>
        <v/>
      </c>
      <c r="X7489">
        <f t="shared" si="1192"/>
        <v>0</v>
      </c>
      <c r="Z7489" t="str">
        <f t="shared" si="1191"/>
        <v/>
      </c>
      <c r="AA7489">
        <f t="shared" si="1193"/>
        <v>0</v>
      </c>
    </row>
    <row r="7490" spans="1:27" ht="21" customHeight="1" x14ac:dyDescent="0.95">
      <c r="A7490" s="56"/>
      <c r="B7490" s="57"/>
      <c r="C7490" s="57"/>
      <c r="D7490" s="57"/>
      <c r="E7490" s="56"/>
      <c r="F7490" s="57"/>
      <c r="G7490" s="57"/>
      <c r="H7490" s="56"/>
      <c r="I7490" s="56"/>
      <c r="J7490" s="58"/>
      <c r="K7490" s="58"/>
      <c r="L7490" s="13" t="str">
        <f t="shared" si="1182"/>
        <v/>
      </c>
      <c r="M7490" s="13" t="str">
        <f t="shared" si="1183"/>
        <v/>
      </c>
      <c r="Q7490" t="str">
        <f t="shared" si="1184"/>
        <v/>
      </c>
      <c r="R7490" t="str">
        <f t="shared" si="1185"/>
        <v/>
      </c>
      <c r="S7490" t="str">
        <f t="shared" si="1186"/>
        <v/>
      </c>
      <c r="T7490" t="str">
        <f t="shared" si="1187"/>
        <v/>
      </c>
      <c r="U7490" t="str">
        <f t="shared" si="1188"/>
        <v/>
      </c>
      <c r="V7490" t="str">
        <f t="shared" si="1189"/>
        <v/>
      </c>
      <c r="W7490" t="str">
        <f t="shared" si="1190"/>
        <v/>
      </c>
      <c r="X7490">
        <f t="shared" si="1192"/>
        <v>0</v>
      </c>
      <c r="Z7490" t="str">
        <f t="shared" si="1191"/>
        <v/>
      </c>
      <c r="AA7490">
        <f t="shared" si="1193"/>
        <v>0</v>
      </c>
    </row>
    <row r="7491" spans="1:27" ht="21" customHeight="1" x14ac:dyDescent="0.95">
      <c r="A7491" s="56"/>
      <c r="B7491" s="57"/>
      <c r="C7491" s="57"/>
      <c r="D7491" s="57"/>
      <c r="E7491" s="56"/>
      <c r="F7491" s="57"/>
      <c r="G7491" s="57"/>
      <c r="H7491" s="56"/>
      <c r="I7491" s="56"/>
      <c r="J7491" s="58"/>
      <c r="K7491" s="58"/>
      <c r="L7491" s="13" t="str">
        <f t="shared" si="1182"/>
        <v/>
      </c>
      <c r="M7491" s="13" t="str">
        <f t="shared" si="1183"/>
        <v/>
      </c>
      <c r="Q7491" t="str">
        <f t="shared" si="1184"/>
        <v/>
      </c>
      <c r="R7491" t="str">
        <f t="shared" si="1185"/>
        <v/>
      </c>
      <c r="S7491" t="str">
        <f t="shared" si="1186"/>
        <v/>
      </c>
      <c r="T7491" t="str">
        <f t="shared" si="1187"/>
        <v/>
      </c>
      <c r="U7491" t="str">
        <f t="shared" si="1188"/>
        <v/>
      </c>
      <c r="V7491" t="str">
        <f t="shared" si="1189"/>
        <v/>
      </c>
      <c r="W7491" t="str">
        <f t="shared" si="1190"/>
        <v/>
      </c>
      <c r="X7491">
        <f t="shared" si="1192"/>
        <v>0</v>
      </c>
      <c r="Z7491" t="str">
        <f t="shared" si="1191"/>
        <v/>
      </c>
      <c r="AA7491">
        <f t="shared" si="1193"/>
        <v>0</v>
      </c>
    </row>
    <row r="7492" spans="1:27" ht="21" customHeight="1" x14ac:dyDescent="0.95">
      <c r="A7492" s="56"/>
      <c r="B7492" s="57"/>
      <c r="C7492" s="57"/>
      <c r="D7492" s="57"/>
      <c r="E7492" s="56"/>
      <c r="F7492" s="57"/>
      <c r="G7492" s="57"/>
      <c r="H7492" s="56"/>
      <c r="I7492" s="56"/>
      <c r="J7492" s="58"/>
      <c r="K7492" s="58"/>
      <c r="L7492" s="13" t="str">
        <f t="shared" ref="L7492:L7555" si="1194">IF(OR($A7492="",AND($J7492="",$K7492="")),"",ROUND(N($J7492)-N($K7492),2))</f>
        <v/>
      </c>
      <c r="M7492" s="13" t="str">
        <f t="shared" ref="M7492:M7555" si="1195">IF(OR($A7492="",AND($J7492="",$K7492="")),"",MIN($J7492,$K7492))</f>
        <v/>
      </c>
      <c r="Q7492" t="str">
        <f t="shared" ref="Q7492:Q7555" si="1196">IF($A7492="","",$D7492&amp;"("&amp;SUBSTITUTE($E7492," ","")&amp;")")</f>
        <v/>
      </c>
      <c r="R7492" t="str">
        <f t="shared" ref="R7492:R7555" si="1197">IF($A7492="","",$B7492&amp;" - "&amp;$C7492)</f>
        <v/>
      </c>
      <c r="S7492" t="str">
        <f t="shared" ref="S7492:S7555" si="1198">IF($A7492="","",$R7492&amp;"|"&amp;$Q7492)</f>
        <v/>
      </c>
      <c r="T7492" t="str">
        <f t="shared" ref="T7492:T7555" si="1199">IF($A7492="","",$S7492&amp;"|"&amp;$F7492)</f>
        <v/>
      </c>
      <c r="U7492" t="str">
        <f t="shared" ref="U7492:U7555" si="1200">IF($A7492="","",$R7492&amp;"("&amp;$E7492&amp;")")</f>
        <v/>
      </c>
      <c r="V7492" t="str">
        <f t="shared" ref="V7492:V7555" si="1201">IF($A7492="","",$F7492&amp;"|"&amp;$U7492&amp;"|"&amp;$D7492)</f>
        <v/>
      </c>
      <c r="W7492" t="str">
        <f t="shared" si="1190"/>
        <v/>
      </c>
      <c r="X7492">
        <f t="shared" si="1192"/>
        <v>0</v>
      </c>
      <c r="Z7492" t="str">
        <f t="shared" si="1191"/>
        <v/>
      </c>
      <c r="AA7492">
        <f t="shared" si="1193"/>
        <v>0</v>
      </c>
    </row>
    <row r="7493" spans="1:27" ht="21" customHeight="1" x14ac:dyDescent="0.95">
      <c r="A7493" s="56"/>
      <c r="B7493" s="57"/>
      <c r="C7493" s="57"/>
      <c r="D7493" s="57"/>
      <c r="E7493" s="56"/>
      <c r="F7493" s="57"/>
      <c r="G7493" s="57"/>
      <c r="H7493" s="56"/>
      <c r="I7493" s="56"/>
      <c r="J7493" s="58"/>
      <c r="K7493" s="58"/>
      <c r="L7493" s="13" t="str">
        <f t="shared" si="1194"/>
        <v/>
      </c>
      <c r="M7493" s="13" t="str">
        <f t="shared" si="1195"/>
        <v/>
      </c>
      <c r="Q7493" t="str">
        <f t="shared" si="1196"/>
        <v/>
      </c>
      <c r="R7493" t="str">
        <f t="shared" si="1197"/>
        <v/>
      </c>
      <c r="S7493" t="str">
        <f t="shared" si="1198"/>
        <v/>
      </c>
      <c r="T7493" t="str">
        <f t="shared" si="1199"/>
        <v/>
      </c>
      <c r="U7493" t="str">
        <f t="shared" si="1200"/>
        <v/>
      </c>
      <c r="V7493" t="str">
        <f t="shared" si="1201"/>
        <v/>
      </c>
      <c r="W7493" t="str">
        <f t="shared" si="1190"/>
        <v/>
      </c>
      <c r="X7493">
        <f t="shared" si="1192"/>
        <v>0</v>
      </c>
      <c r="Z7493" t="str">
        <f t="shared" si="1191"/>
        <v/>
      </c>
      <c r="AA7493">
        <f t="shared" si="1193"/>
        <v>0</v>
      </c>
    </row>
    <row r="7494" spans="1:27" ht="21" customHeight="1" x14ac:dyDescent="0.95">
      <c r="A7494" s="56"/>
      <c r="B7494" s="57"/>
      <c r="C7494" s="57"/>
      <c r="D7494" s="57"/>
      <c r="E7494" s="56"/>
      <c r="F7494" s="57"/>
      <c r="G7494" s="57"/>
      <c r="H7494" s="56"/>
      <c r="I7494" s="56"/>
      <c r="J7494" s="58"/>
      <c r="K7494" s="58"/>
      <c r="L7494" s="13" t="str">
        <f t="shared" si="1194"/>
        <v/>
      </c>
      <c r="M7494" s="13" t="str">
        <f t="shared" si="1195"/>
        <v/>
      </c>
      <c r="Q7494" t="str">
        <f t="shared" si="1196"/>
        <v/>
      </c>
      <c r="R7494" t="str">
        <f t="shared" si="1197"/>
        <v/>
      </c>
      <c r="S7494" t="str">
        <f t="shared" si="1198"/>
        <v/>
      </c>
      <c r="T7494" t="str">
        <f t="shared" si="1199"/>
        <v/>
      </c>
      <c r="U7494" t="str">
        <f t="shared" si="1200"/>
        <v/>
      </c>
      <c r="V7494" t="str">
        <f t="shared" si="1201"/>
        <v/>
      </c>
      <c r="W7494" t="str">
        <f t="shared" ref="W7494:W7557" si="1202">IF($T7494="","",IF($X7494&gt;N($X7493),$X7494,""))</f>
        <v/>
      </c>
      <c r="X7494">
        <f t="shared" si="1192"/>
        <v>0</v>
      </c>
      <c r="Z7494" t="str">
        <f t="shared" ref="Z7494:Z7557" si="1203">IF($V7494="","",IF($AA7494&gt;N($AA7493),$AA7494,""))</f>
        <v/>
      </c>
      <c r="AA7494">
        <f t="shared" si="1193"/>
        <v>0</v>
      </c>
    </row>
    <row r="7495" spans="1:27" ht="21" customHeight="1" x14ac:dyDescent="0.95">
      <c r="A7495" s="56"/>
      <c r="B7495" s="57"/>
      <c r="C7495" s="57"/>
      <c r="D7495" s="57"/>
      <c r="E7495" s="56"/>
      <c r="F7495" s="57"/>
      <c r="G7495" s="57"/>
      <c r="H7495" s="56"/>
      <c r="I7495" s="56"/>
      <c r="J7495" s="58"/>
      <c r="K7495" s="58"/>
      <c r="L7495" s="13" t="str">
        <f t="shared" si="1194"/>
        <v/>
      </c>
      <c r="M7495" s="13" t="str">
        <f t="shared" si="1195"/>
        <v/>
      </c>
      <c r="Q7495" t="str">
        <f t="shared" si="1196"/>
        <v/>
      </c>
      <c r="R7495" t="str">
        <f t="shared" si="1197"/>
        <v/>
      </c>
      <c r="S7495" t="str">
        <f t="shared" si="1198"/>
        <v/>
      </c>
      <c r="T7495" t="str">
        <f t="shared" si="1199"/>
        <v/>
      </c>
      <c r="U7495" t="str">
        <f t="shared" si="1200"/>
        <v/>
      </c>
      <c r="V7495" t="str">
        <f t="shared" si="1201"/>
        <v/>
      </c>
      <c r="W7495" t="str">
        <f t="shared" si="1202"/>
        <v/>
      </c>
      <c r="X7495">
        <f t="shared" si="1192"/>
        <v>0</v>
      </c>
      <c r="Z7495" t="str">
        <f t="shared" si="1203"/>
        <v/>
      </c>
      <c r="AA7495">
        <f t="shared" si="1193"/>
        <v>0</v>
      </c>
    </row>
    <row r="7496" spans="1:27" ht="21" customHeight="1" x14ac:dyDescent="0.95">
      <c r="A7496" s="56"/>
      <c r="B7496" s="57"/>
      <c r="C7496" s="57"/>
      <c r="D7496" s="57"/>
      <c r="E7496" s="56"/>
      <c r="F7496" s="57"/>
      <c r="G7496" s="57"/>
      <c r="H7496" s="56"/>
      <c r="I7496" s="56"/>
      <c r="J7496" s="58"/>
      <c r="K7496" s="58"/>
      <c r="L7496" s="13" t="str">
        <f t="shared" si="1194"/>
        <v/>
      </c>
      <c r="M7496" s="13" t="str">
        <f t="shared" si="1195"/>
        <v/>
      </c>
      <c r="Q7496" t="str">
        <f t="shared" si="1196"/>
        <v/>
      </c>
      <c r="R7496" t="str">
        <f t="shared" si="1197"/>
        <v/>
      </c>
      <c r="S7496" t="str">
        <f t="shared" si="1198"/>
        <v/>
      </c>
      <c r="T7496" t="str">
        <f t="shared" si="1199"/>
        <v/>
      </c>
      <c r="U7496" t="str">
        <f t="shared" si="1200"/>
        <v/>
      </c>
      <c r="V7496" t="str">
        <f t="shared" si="1201"/>
        <v/>
      </c>
      <c r="W7496" t="str">
        <f t="shared" si="1202"/>
        <v/>
      </c>
      <c r="X7496">
        <f t="shared" si="1192"/>
        <v>0</v>
      </c>
      <c r="Z7496" t="str">
        <f t="shared" si="1203"/>
        <v/>
      </c>
      <c r="AA7496">
        <f t="shared" si="1193"/>
        <v>0</v>
      </c>
    </row>
    <row r="7497" spans="1:27" ht="21" customHeight="1" x14ac:dyDescent="0.95">
      <c r="A7497" s="56"/>
      <c r="B7497" s="57"/>
      <c r="C7497" s="57"/>
      <c r="D7497" s="57"/>
      <c r="E7497" s="56"/>
      <c r="F7497" s="57"/>
      <c r="G7497" s="57"/>
      <c r="H7497" s="56"/>
      <c r="I7497" s="56"/>
      <c r="J7497" s="58"/>
      <c r="K7497" s="58"/>
      <c r="L7497" s="13" t="str">
        <f t="shared" si="1194"/>
        <v/>
      </c>
      <c r="M7497" s="13" t="str">
        <f t="shared" si="1195"/>
        <v/>
      </c>
      <c r="Q7497" t="str">
        <f t="shared" si="1196"/>
        <v/>
      </c>
      <c r="R7497" t="str">
        <f t="shared" si="1197"/>
        <v/>
      </c>
      <c r="S7497" t="str">
        <f t="shared" si="1198"/>
        <v/>
      </c>
      <c r="T7497" t="str">
        <f t="shared" si="1199"/>
        <v/>
      </c>
      <c r="U7497" t="str">
        <f t="shared" si="1200"/>
        <v/>
      </c>
      <c r="V7497" t="str">
        <f t="shared" si="1201"/>
        <v/>
      </c>
      <c r="W7497" t="str">
        <f t="shared" si="1202"/>
        <v/>
      </c>
      <c r="X7497">
        <f t="shared" si="1192"/>
        <v>0</v>
      </c>
      <c r="Z7497" t="str">
        <f t="shared" si="1203"/>
        <v/>
      </c>
      <c r="AA7497">
        <f t="shared" si="1193"/>
        <v>0</v>
      </c>
    </row>
    <row r="7498" spans="1:27" ht="21" customHeight="1" x14ac:dyDescent="0.95">
      <c r="A7498" s="56"/>
      <c r="B7498" s="57"/>
      <c r="C7498" s="57"/>
      <c r="D7498" s="57"/>
      <c r="E7498" s="56"/>
      <c r="F7498" s="57"/>
      <c r="G7498" s="57"/>
      <c r="H7498" s="56"/>
      <c r="I7498" s="56"/>
      <c r="J7498" s="58"/>
      <c r="K7498" s="58"/>
      <c r="L7498" s="13" t="str">
        <f t="shared" si="1194"/>
        <v/>
      </c>
      <c r="M7498" s="13" t="str">
        <f t="shared" si="1195"/>
        <v/>
      </c>
      <c r="Q7498" t="str">
        <f t="shared" si="1196"/>
        <v/>
      </c>
      <c r="R7498" t="str">
        <f t="shared" si="1197"/>
        <v/>
      </c>
      <c r="S7498" t="str">
        <f t="shared" si="1198"/>
        <v/>
      </c>
      <c r="T7498" t="str">
        <f t="shared" si="1199"/>
        <v/>
      </c>
      <c r="U7498" t="str">
        <f t="shared" si="1200"/>
        <v/>
      </c>
      <c r="V7498" t="str">
        <f t="shared" si="1201"/>
        <v/>
      </c>
      <c r="W7498" t="str">
        <f t="shared" si="1202"/>
        <v/>
      </c>
      <c r="X7498">
        <f t="shared" si="1192"/>
        <v>0</v>
      </c>
      <c r="Z7498" t="str">
        <f t="shared" si="1203"/>
        <v/>
      </c>
      <c r="AA7498">
        <f t="shared" si="1193"/>
        <v>0</v>
      </c>
    </row>
    <row r="7499" spans="1:27" ht="21" customHeight="1" x14ac:dyDescent="0.95">
      <c r="A7499" s="56"/>
      <c r="B7499" s="57"/>
      <c r="C7499" s="57"/>
      <c r="D7499" s="57"/>
      <c r="E7499" s="56"/>
      <c r="F7499" s="57"/>
      <c r="G7499" s="57"/>
      <c r="H7499" s="56"/>
      <c r="I7499" s="56"/>
      <c r="J7499" s="58"/>
      <c r="K7499" s="58"/>
      <c r="L7499" s="13" t="str">
        <f t="shared" si="1194"/>
        <v/>
      </c>
      <c r="M7499" s="13" t="str">
        <f t="shared" si="1195"/>
        <v/>
      </c>
      <c r="Q7499" t="str">
        <f t="shared" si="1196"/>
        <v/>
      </c>
      <c r="R7499" t="str">
        <f t="shared" si="1197"/>
        <v/>
      </c>
      <c r="S7499" t="str">
        <f t="shared" si="1198"/>
        <v/>
      </c>
      <c r="T7499" t="str">
        <f t="shared" si="1199"/>
        <v/>
      </c>
      <c r="U7499" t="str">
        <f t="shared" si="1200"/>
        <v/>
      </c>
      <c r="V7499" t="str">
        <f t="shared" si="1201"/>
        <v/>
      </c>
      <c r="W7499" t="str">
        <f t="shared" si="1202"/>
        <v/>
      </c>
      <c r="X7499">
        <f t="shared" si="1192"/>
        <v>0</v>
      </c>
      <c r="Z7499" t="str">
        <f t="shared" si="1203"/>
        <v/>
      </c>
      <c r="AA7499">
        <f t="shared" si="1193"/>
        <v>0</v>
      </c>
    </row>
    <row r="7500" spans="1:27" ht="21" customHeight="1" x14ac:dyDescent="0.95">
      <c r="A7500" s="56"/>
      <c r="B7500" s="57"/>
      <c r="C7500" s="57"/>
      <c r="D7500" s="57"/>
      <c r="E7500" s="56"/>
      <c r="F7500" s="57"/>
      <c r="G7500" s="57"/>
      <c r="H7500" s="56"/>
      <c r="I7500" s="56"/>
      <c r="J7500" s="58"/>
      <c r="K7500" s="58"/>
      <c r="L7500" s="13" t="str">
        <f t="shared" si="1194"/>
        <v/>
      </c>
      <c r="M7500" s="13" t="str">
        <f t="shared" si="1195"/>
        <v/>
      </c>
      <c r="Q7500" t="str">
        <f t="shared" si="1196"/>
        <v/>
      </c>
      <c r="R7500" t="str">
        <f t="shared" si="1197"/>
        <v/>
      </c>
      <c r="S7500" t="str">
        <f t="shared" si="1198"/>
        <v/>
      </c>
      <c r="T7500" t="str">
        <f t="shared" si="1199"/>
        <v/>
      </c>
      <c r="U7500" t="str">
        <f t="shared" si="1200"/>
        <v/>
      </c>
      <c r="V7500" t="str">
        <f t="shared" si="1201"/>
        <v/>
      </c>
      <c r="W7500" t="str">
        <f t="shared" si="1202"/>
        <v/>
      </c>
      <c r="X7500">
        <f t="shared" si="1192"/>
        <v>0</v>
      </c>
      <c r="Z7500" t="str">
        <f t="shared" si="1203"/>
        <v/>
      </c>
      <c r="AA7500">
        <f t="shared" si="1193"/>
        <v>0</v>
      </c>
    </row>
    <row r="7501" spans="1:27" ht="21" customHeight="1" x14ac:dyDescent="0.95">
      <c r="A7501" s="56"/>
      <c r="B7501" s="57"/>
      <c r="C7501" s="57"/>
      <c r="D7501" s="57"/>
      <c r="E7501" s="56"/>
      <c r="F7501" s="57"/>
      <c r="G7501" s="57"/>
      <c r="H7501" s="56"/>
      <c r="I7501" s="56"/>
      <c r="J7501" s="58"/>
      <c r="K7501" s="58"/>
      <c r="L7501" s="13" t="str">
        <f t="shared" si="1194"/>
        <v/>
      </c>
      <c r="M7501" s="13" t="str">
        <f t="shared" si="1195"/>
        <v/>
      </c>
      <c r="Q7501" t="str">
        <f t="shared" si="1196"/>
        <v/>
      </c>
      <c r="R7501" t="str">
        <f t="shared" si="1197"/>
        <v/>
      </c>
      <c r="S7501" t="str">
        <f t="shared" si="1198"/>
        <v/>
      </c>
      <c r="T7501" t="str">
        <f t="shared" si="1199"/>
        <v/>
      </c>
      <c r="U7501" t="str">
        <f t="shared" si="1200"/>
        <v/>
      </c>
      <c r="V7501" t="str">
        <f t="shared" si="1201"/>
        <v/>
      </c>
      <c r="W7501" t="str">
        <f t="shared" si="1202"/>
        <v/>
      </c>
      <c r="X7501">
        <f t="shared" si="1192"/>
        <v>0</v>
      </c>
      <c r="Z7501" t="str">
        <f t="shared" si="1203"/>
        <v/>
      </c>
      <c r="AA7501">
        <f t="shared" si="1193"/>
        <v>0</v>
      </c>
    </row>
    <row r="7502" spans="1:27" ht="21" customHeight="1" x14ac:dyDescent="0.95">
      <c r="A7502" s="56"/>
      <c r="B7502" s="57"/>
      <c r="C7502" s="57"/>
      <c r="D7502" s="57"/>
      <c r="E7502" s="56"/>
      <c r="F7502" s="57"/>
      <c r="G7502" s="57"/>
      <c r="H7502" s="56"/>
      <c r="I7502" s="56"/>
      <c r="J7502" s="58"/>
      <c r="K7502" s="58"/>
      <c r="L7502" s="13" t="str">
        <f t="shared" si="1194"/>
        <v/>
      </c>
      <c r="M7502" s="13" t="str">
        <f t="shared" si="1195"/>
        <v/>
      </c>
      <c r="Q7502" t="str">
        <f t="shared" si="1196"/>
        <v/>
      </c>
      <c r="R7502" t="str">
        <f t="shared" si="1197"/>
        <v/>
      </c>
      <c r="S7502" t="str">
        <f t="shared" si="1198"/>
        <v/>
      </c>
      <c r="T7502" t="str">
        <f t="shared" si="1199"/>
        <v/>
      </c>
      <c r="U7502" t="str">
        <f t="shared" si="1200"/>
        <v/>
      </c>
      <c r="V7502" t="str">
        <f t="shared" si="1201"/>
        <v/>
      </c>
      <c r="W7502" t="str">
        <f t="shared" si="1202"/>
        <v/>
      </c>
      <c r="X7502">
        <f t="shared" si="1192"/>
        <v>0</v>
      </c>
      <c r="Z7502" t="str">
        <f t="shared" si="1203"/>
        <v/>
      </c>
      <c r="AA7502">
        <f t="shared" si="1193"/>
        <v>0</v>
      </c>
    </row>
    <row r="7503" spans="1:27" ht="21" customHeight="1" x14ac:dyDescent="0.95">
      <c r="A7503" s="56"/>
      <c r="B7503" s="57"/>
      <c r="C7503" s="57"/>
      <c r="D7503" s="57"/>
      <c r="E7503" s="56"/>
      <c r="F7503" s="57"/>
      <c r="G7503" s="57"/>
      <c r="H7503" s="56"/>
      <c r="I7503" s="56"/>
      <c r="J7503" s="58"/>
      <c r="K7503" s="58"/>
      <c r="L7503" s="13" t="str">
        <f t="shared" si="1194"/>
        <v/>
      </c>
      <c r="M7503" s="13" t="str">
        <f t="shared" si="1195"/>
        <v/>
      </c>
      <c r="Q7503" t="str">
        <f t="shared" si="1196"/>
        <v/>
      </c>
      <c r="R7503" t="str">
        <f t="shared" si="1197"/>
        <v/>
      </c>
      <c r="S7503" t="str">
        <f t="shared" si="1198"/>
        <v/>
      </c>
      <c r="T7503" t="str">
        <f t="shared" si="1199"/>
        <v/>
      </c>
      <c r="U7503" t="str">
        <f t="shared" si="1200"/>
        <v/>
      </c>
      <c r="V7503" t="str">
        <f t="shared" si="1201"/>
        <v/>
      </c>
      <c r="W7503" t="str">
        <f t="shared" si="1202"/>
        <v/>
      </c>
      <c r="X7503">
        <f t="shared" si="1192"/>
        <v>0</v>
      </c>
      <c r="Z7503" t="str">
        <f t="shared" si="1203"/>
        <v/>
      </c>
      <c r="AA7503">
        <f t="shared" si="1193"/>
        <v>0</v>
      </c>
    </row>
    <row r="7504" spans="1:27" ht="21" customHeight="1" x14ac:dyDescent="0.95">
      <c r="A7504" s="56"/>
      <c r="B7504" s="57"/>
      <c r="C7504" s="57"/>
      <c r="D7504" s="57"/>
      <c r="E7504" s="56"/>
      <c r="F7504" s="57"/>
      <c r="G7504" s="57"/>
      <c r="H7504" s="56"/>
      <c r="I7504" s="56"/>
      <c r="J7504" s="58"/>
      <c r="K7504" s="58"/>
      <c r="L7504" s="13" t="str">
        <f t="shared" si="1194"/>
        <v/>
      </c>
      <c r="M7504" s="13" t="str">
        <f t="shared" si="1195"/>
        <v/>
      </c>
      <c r="Q7504" t="str">
        <f t="shared" si="1196"/>
        <v/>
      </c>
      <c r="R7504" t="str">
        <f t="shared" si="1197"/>
        <v/>
      </c>
      <c r="S7504" t="str">
        <f t="shared" si="1198"/>
        <v/>
      </c>
      <c r="T7504" t="str">
        <f t="shared" si="1199"/>
        <v/>
      </c>
      <c r="U7504" t="str">
        <f t="shared" si="1200"/>
        <v/>
      </c>
      <c r="V7504" t="str">
        <f t="shared" si="1201"/>
        <v/>
      </c>
      <c r="W7504" t="str">
        <f t="shared" si="1202"/>
        <v/>
      </c>
      <c r="X7504">
        <f t="shared" si="1192"/>
        <v>0</v>
      </c>
      <c r="Z7504" t="str">
        <f t="shared" si="1203"/>
        <v/>
      </c>
      <c r="AA7504">
        <f t="shared" si="1193"/>
        <v>0</v>
      </c>
    </row>
    <row r="7505" spans="1:27" ht="21" customHeight="1" x14ac:dyDescent="0.95">
      <c r="A7505" s="56"/>
      <c r="B7505" s="57"/>
      <c r="C7505" s="57"/>
      <c r="D7505" s="57"/>
      <c r="E7505" s="56"/>
      <c r="F7505" s="57"/>
      <c r="G7505" s="57"/>
      <c r="H7505" s="56"/>
      <c r="I7505" s="56"/>
      <c r="J7505" s="58"/>
      <c r="K7505" s="58"/>
      <c r="L7505" s="13" t="str">
        <f t="shared" si="1194"/>
        <v/>
      </c>
      <c r="M7505" s="13" t="str">
        <f t="shared" si="1195"/>
        <v/>
      </c>
      <c r="Q7505" t="str">
        <f t="shared" si="1196"/>
        <v/>
      </c>
      <c r="R7505" t="str">
        <f t="shared" si="1197"/>
        <v/>
      </c>
      <c r="S7505" t="str">
        <f t="shared" si="1198"/>
        <v/>
      </c>
      <c r="T7505" t="str">
        <f t="shared" si="1199"/>
        <v/>
      </c>
      <c r="U7505" t="str">
        <f t="shared" si="1200"/>
        <v/>
      </c>
      <c r="V7505" t="str">
        <f t="shared" si="1201"/>
        <v/>
      </c>
      <c r="W7505" t="str">
        <f t="shared" si="1202"/>
        <v/>
      </c>
      <c r="X7505">
        <f t="shared" si="1192"/>
        <v>0</v>
      </c>
      <c r="Z7505" t="str">
        <f t="shared" si="1203"/>
        <v/>
      </c>
      <c r="AA7505">
        <f t="shared" si="1193"/>
        <v>0</v>
      </c>
    </row>
    <row r="7506" spans="1:27" ht="21" customHeight="1" x14ac:dyDescent="0.95">
      <c r="A7506" s="56"/>
      <c r="B7506" s="57"/>
      <c r="C7506" s="57"/>
      <c r="D7506" s="57"/>
      <c r="E7506" s="56"/>
      <c r="F7506" s="57"/>
      <c r="G7506" s="57"/>
      <c r="H7506" s="56"/>
      <c r="I7506" s="56"/>
      <c r="J7506" s="58"/>
      <c r="K7506" s="58"/>
      <c r="L7506" s="13" t="str">
        <f t="shared" si="1194"/>
        <v/>
      </c>
      <c r="M7506" s="13" t="str">
        <f t="shared" si="1195"/>
        <v/>
      </c>
      <c r="Q7506" t="str">
        <f t="shared" si="1196"/>
        <v/>
      </c>
      <c r="R7506" t="str">
        <f t="shared" si="1197"/>
        <v/>
      </c>
      <c r="S7506" t="str">
        <f t="shared" si="1198"/>
        <v/>
      </c>
      <c r="T7506" t="str">
        <f t="shared" si="1199"/>
        <v/>
      </c>
      <c r="U7506" t="str">
        <f t="shared" si="1200"/>
        <v/>
      </c>
      <c r="V7506" t="str">
        <f t="shared" si="1201"/>
        <v/>
      </c>
      <c r="W7506" t="str">
        <f t="shared" si="1202"/>
        <v/>
      </c>
      <c r="X7506">
        <f t="shared" si="1192"/>
        <v>0</v>
      </c>
      <c r="Z7506" t="str">
        <f t="shared" si="1203"/>
        <v/>
      </c>
      <c r="AA7506">
        <f t="shared" si="1193"/>
        <v>0</v>
      </c>
    </row>
    <row r="7507" spans="1:27" ht="21" customHeight="1" x14ac:dyDescent="0.95">
      <c r="A7507" s="56"/>
      <c r="B7507" s="57"/>
      <c r="C7507" s="57"/>
      <c r="D7507" s="57"/>
      <c r="E7507" s="56"/>
      <c r="F7507" s="57"/>
      <c r="G7507" s="57"/>
      <c r="H7507" s="56"/>
      <c r="I7507" s="56"/>
      <c r="J7507" s="58"/>
      <c r="K7507" s="58"/>
      <c r="L7507" s="13" t="str">
        <f t="shared" si="1194"/>
        <v/>
      </c>
      <c r="M7507" s="13" t="str">
        <f t="shared" si="1195"/>
        <v/>
      </c>
      <c r="Q7507" t="str">
        <f t="shared" si="1196"/>
        <v/>
      </c>
      <c r="R7507" t="str">
        <f t="shared" si="1197"/>
        <v/>
      </c>
      <c r="S7507" t="str">
        <f t="shared" si="1198"/>
        <v/>
      </c>
      <c r="T7507" t="str">
        <f t="shared" si="1199"/>
        <v/>
      </c>
      <c r="U7507" t="str">
        <f t="shared" si="1200"/>
        <v/>
      </c>
      <c r="V7507" t="str">
        <f t="shared" si="1201"/>
        <v/>
      </c>
      <c r="W7507" t="str">
        <f t="shared" si="1202"/>
        <v/>
      </c>
      <c r="X7507">
        <f t="shared" si="1192"/>
        <v>0</v>
      </c>
      <c r="Z7507" t="str">
        <f t="shared" si="1203"/>
        <v/>
      </c>
      <c r="AA7507">
        <f t="shared" si="1193"/>
        <v>0</v>
      </c>
    </row>
    <row r="7508" spans="1:27" ht="21" customHeight="1" x14ac:dyDescent="0.95">
      <c r="A7508" s="56"/>
      <c r="B7508" s="57"/>
      <c r="C7508" s="57"/>
      <c r="D7508" s="57"/>
      <c r="E7508" s="56"/>
      <c r="F7508" s="57"/>
      <c r="G7508" s="57"/>
      <c r="H7508" s="56"/>
      <c r="I7508" s="56"/>
      <c r="J7508" s="58"/>
      <c r="K7508" s="58"/>
      <c r="L7508" s="13" t="str">
        <f t="shared" si="1194"/>
        <v/>
      </c>
      <c r="M7508" s="13" t="str">
        <f t="shared" si="1195"/>
        <v/>
      </c>
      <c r="Q7508" t="str">
        <f t="shared" si="1196"/>
        <v/>
      </c>
      <c r="R7508" t="str">
        <f t="shared" si="1197"/>
        <v/>
      </c>
      <c r="S7508" t="str">
        <f t="shared" si="1198"/>
        <v/>
      </c>
      <c r="T7508" t="str">
        <f t="shared" si="1199"/>
        <v/>
      </c>
      <c r="U7508" t="str">
        <f t="shared" si="1200"/>
        <v/>
      </c>
      <c r="V7508" t="str">
        <f t="shared" si="1201"/>
        <v/>
      </c>
      <c r="W7508" t="str">
        <f t="shared" si="1202"/>
        <v/>
      </c>
      <c r="X7508">
        <f t="shared" si="1192"/>
        <v>0</v>
      </c>
      <c r="Z7508" t="str">
        <f t="shared" si="1203"/>
        <v/>
      </c>
      <c r="AA7508">
        <f t="shared" si="1193"/>
        <v>0</v>
      </c>
    </row>
    <row r="7509" spans="1:27" ht="21" customHeight="1" x14ac:dyDescent="0.95">
      <c r="A7509" s="56"/>
      <c r="B7509" s="57"/>
      <c r="C7509" s="57"/>
      <c r="D7509" s="57"/>
      <c r="E7509" s="56"/>
      <c r="F7509" s="57"/>
      <c r="G7509" s="57"/>
      <c r="H7509" s="56"/>
      <c r="I7509" s="56"/>
      <c r="J7509" s="58"/>
      <c r="K7509" s="58"/>
      <c r="L7509" s="13" t="str">
        <f t="shared" si="1194"/>
        <v/>
      </c>
      <c r="M7509" s="13" t="str">
        <f t="shared" si="1195"/>
        <v/>
      </c>
      <c r="Q7509" t="str">
        <f t="shared" si="1196"/>
        <v/>
      </c>
      <c r="R7509" t="str">
        <f t="shared" si="1197"/>
        <v/>
      </c>
      <c r="S7509" t="str">
        <f t="shared" si="1198"/>
        <v/>
      </c>
      <c r="T7509" t="str">
        <f t="shared" si="1199"/>
        <v/>
      </c>
      <c r="U7509" t="str">
        <f t="shared" si="1200"/>
        <v/>
      </c>
      <c r="V7509" t="str">
        <f t="shared" si="1201"/>
        <v/>
      </c>
      <c r="W7509" t="str">
        <f t="shared" si="1202"/>
        <v/>
      </c>
      <c r="X7509">
        <f t="shared" si="1192"/>
        <v>0</v>
      </c>
      <c r="Z7509" t="str">
        <f t="shared" si="1203"/>
        <v/>
      </c>
      <c r="AA7509">
        <f t="shared" si="1193"/>
        <v>0</v>
      </c>
    </row>
    <row r="7510" spans="1:27" ht="21" customHeight="1" x14ac:dyDescent="0.95">
      <c r="A7510" s="56"/>
      <c r="B7510" s="57"/>
      <c r="C7510" s="57"/>
      <c r="D7510" s="57"/>
      <c r="E7510" s="56"/>
      <c r="F7510" s="57"/>
      <c r="G7510" s="57"/>
      <c r="H7510" s="56"/>
      <c r="I7510" s="56"/>
      <c r="J7510" s="58"/>
      <c r="K7510" s="58"/>
      <c r="L7510" s="13" t="str">
        <f t="shared" si="1194"/>
        <v/>
      </c>
      <c r="M7510" s="13" t="str">
        <f t="shared" si="1195"/>
        <v/>
      </c>
      <c r="Q7510" t="str">
        <f t="shared" si="1196"/>
        <v/>
      </c>
      <c r="R7510" t="str">
        <f t="shared" si="1197"/>
        <v/>
      </c>
      <c r="S7510" t="str">
        <f t="shared" si="1198"/>
        <v/>
      </c>
      <c r="T7510" t="str">
        <f t="shared" si="1199"/>
        <v/>
      </c>
      <c r="U7510" t="str">
        <f t="shared" si="1200"/>
        <v/>
      </c>
      <c r="V7510" t="str">
        <f t="shared" si="1201"/>
        <v/>
      </c>
      <c r="W7510" t="str">
        <f t="shared" si="1202"/>
        <v/>
      </c>
      <c r="X7510">
        <f t="shared" si="1192"/>
        <v>0</v>
      </c>
      <c r="Z7510" t="str">
        <f t="shared" si="1203"/>
        <v/>
      </c>
      <c r="AA7510">
        <f t="shared" si="1193"/>
        <v>0</v>
      </c>
    </row>
    <row r="7511" spans="1:27" ht="21" customHeight="1" x14ac:dyDescent="0.95">
      <c r="A7511" s="56"/>
      <c r="B7511" s="57"/>
      <c r="C7511" s="57"/>
      <c r="D7511" s="57"/>
      <c r="E7511" s="56"/>
      <c r="F7511" s="57"/>
      <c r="G7511" s="57"/>
      <c r="H7511" s="56"/>
      <c r="I7511" s="56"/>
      <c r="J7511" s="58"/>
      <c r="K7511" s="58"/>
      <c r="L7511" s="13" t="str">
        <f t="shared" si="1194"/>
        <v/>
      </c>
      <c r="M7511" s="13" t="str">
        <f t="shared" si="1195"/>
        <v/>
      </c>
      <c r="Q7511" t="str">
        <f t="shared" si="1196"/>
        <v/>
      </c>
      <c r="R7511" t="str">
        <f t="shared" si="1197"/>
        <v/>
      </c>
      <c r="S7511" t="str">
        <f t="shared" si="1198"/>
        <v/>
      </c>
      <c r="T7511" t="str">
        <f t="shared" si="1199"/>
        <v/>
      </c>
      <c r="U7511" t="str">
        <f t="shared" si="1200"/>
        <v/>
      </c>
      <c r="V7511" t="str">
        <f t="shared" si="1201"/>
        <v/>
      </c>
      <c r="W7511" t="str">
        <f t="shared" si="1202"/>
        <v/>
      </c>
      <c r="X7511">
        <f t="shared" si="1192"/>
        <v>0</v>
      </c>
      <c r="Z7511" t="str">
        <f t="shared" si="1203"/>
        <v/>
      </c>
      <c r="AA7511">
        <f t="shared" si="1193"/>
        <v>0</v>
      </c>
    </row>
    <row r="7512" spans="1:27" ht="21" customHeight="1" x14ac:dyDescent="0.95">
      <c r="A7512" s="56"/>
      <c r="B7512" s="57"/>
      <c r="C7512" s="57"/>
      <c r="D7512" s="57"/>
      <c r="E7512" s="56"/>
      <c r="F7512" s="57"/>
      <c r="G7512" s="57"/>
      <c r="H7512" s="56"/>
      <c r="I7512" s="56"/>
      <c r="J7512" s="58"/>
      <c r="K7512" s="58"/>
      <c r="L7512" s="13" t="str">
        <f t="shared" si="1194"/>
        <v/>
      </c>
      <c r="M7512" s="13" t="str">
        <f t="shared" si="1195"/>
        <v/>
      </c>
      <c r="Q7512" t="str">
        <f t="shared" si="1196"/>
        <v/>
      </c>
      <c r="R7512" t="str">
        <f t="shared" si="1197"/>
        <v/>
      </c>
      <c r="S7512" t="str">
        <f t="shared" si="1198"/>
        <v/>
      </c>
      <c r="T7512" t="str">
        <f t="shared" si="1199"/>
        <v/>
      </c>
      <c r="U7512" t="str">
        <f t="shared" si="1200"/>
        <v/>
      </c>
      <c r="V7512" t="str">
        <f t="shared" si="1201"/>
        <v/>
      </c>
      <c r="W7512" t="str">
        <f t="shared" si="1202"/>
        <v/>
      </c>
      <c r="X7512">
        <f t="shared" si="1192"/>
        <v>0</v>
      </c>
      <c r="Z7512" t="str">
        <f t="shared" si="1203"/>
        <v/>
      </c>
      <c r="AA7512">
        <f t="shared" si="1193"/>
        <v>0</v>
      </c>
    </row>
    <row r="7513" spans="1:27" ht="21" customHeight="1" x14ac:dyDescent="0.95">
      <c r="A7513" s="56"/>
      <c r="B7513" s="57"/>
      <c r="C7513" s="57"/>
      <c r="D7513" s="57"/>
      <c r="E7513" s="56"/>
      <c r="F7513" s="57"/>
      <c r="G7513" s="57"/>
      <c r="H7513" s="56"/>
      <c r="I7513" s="56"/>
      <c r="J7513" s="58"/>
      <c r="K7513" s="58"/>
      <c r="L7513" s="13" t="str">
        <f t="shared" si="1194"/>
        <v/>
      </c>
      <c r="M7513" s="13" t="str">
        <f t="shared" si="1195"/>
        <v/>
      </c>
      <c r="Q7513" t="str">
        <f t="shared" si="1196"/>
        <v/>
      </c>
      <c r="R7513" t="str">
        <f t="shared" si="1197"/>
        <v/>
      </c>
      <c r="S7513" t="str">
        <f t="shared" si="1198"/>
        <v/>
      </c>
      <c r="T7513" t="str">
        <f t="shared" si="1199"/>
        <v/>
      </c>
      <c r="U7513" t="str">
        <f t="shared" si="1200"/>
        <v/>
      </c>
      <c r="V7513" t="str">
        <f t="shared" si="1201"/>
        <v/>
      </c>
      <c r="W7513" t="str">
        <f t="shared" si="1202"/>
        <v/>
      </c>
      <c r="X7513">
        <f t="shared" si="1192"/>
        <v>0</v>
      </c>
      <c r="Z7513" t="str">
        <f t="shared" si="1203"/>
        <v/>
      </c>
      <c r="AA7513">
        <f t="shared" si="1193"/>
        <v>0</v>
      </c>
    </row>
    <row r="7514" spans="1:27" ht="21" customHeight="1" x14ac:dyDescent="0.95">
      <c r="A7514" s="56"/>
      <c r="B7514" s="57"/>
      <c r="C7514" s="57"/>
      <c r="D7514" s="57"/>
      <c r="E7514" s="56"/>
      <c r="F7514" s="57"/>
      <c r="G7514" s="57"/>
      <c r="H7514" s="56"/>
      <c r="I7514" s="56"/>
      <c r="J7514" s="58"/>
      <c r="K7514" s="58"/>
      <c r="L7514" s="13" t="str">
        <f t="shared" si="1194"/>
        <v/>
      </c>
      <c r="M7514" s="13" t="str">
        <f t="shared" si="1195"/>
        <v/>
      </c>
      <c r="Q7514" t="str">
        <f t="shared" si="1196"/>
        <v/>
      </c>
      <c r="R7514" t="str">
        <f t="shared" si="1197"/>
        <v/>
      </c>
      <c r="S7514" t="str">
        <f t="shared" si="1198"/>
        <v/>
      </c>
      <c r="T7514" t="str">
        <f t="shared" si="1199"/>
        <v/>
      </c>
      <c r="U7514" t="str">
        <f t="shared" si="1200"/>
        <v/>
      </c>
      <c r="V7514" t="str">
        <f t="shared" si="1201"/>
        <v/>
      </c>
      <c r="W7514" t="str">
        <f t="shared" si="1202"/>
        <v/>
      </c>
      <c r="X7514">
        <f t="shared" si="1192"/>
        <v>0</v>
      </c>
      <c r="Z7514" t="str">
        <f t="shared" si="1203"/>
        <v/>
      </c>
      <c r="AA7514">
        <f t="shared" si="1193"/>
        <v>0</v>
      </c>
    </row>
    <row r="7515" spans="1:27" ht="21" customHeight="1" x14ac:dyDescent="0.95">
      <c r="A7515" s="56"/>
      <c r="B7515" s="57"/>
      <c r="C7515" s="57"/>
      <c r="D7515" s="57"/>
      <c r="E7515" s="56"/>
      <c r="F7515" s="57"/>
      <c r="G7515" s="57"/>
      <c r="H7515" s="56"/>
      <c r="I7515" s="56"/>
      <c r="J7515" s="58"/>
      <c r="K7515" s="58"/>
      <c r="L7515" s="13" t="str">
        <f t="shared" si="1194"/>
        <v/>
      </c>
      <c r="M7515" s="13" t="str">
        <f t="shared" si="1195"/>
        <v/>
      </c>
      <c r="Q7515" t="str">
        <f t="shared" si="1196"/>
        <v/>
      </c>
      <c r="R7515" t="str">
        <f t="shared" si="1197"/>
        <v/>
      </c>
      <c r="S7515" t="str">
        <f t="shared" si="1198"/>
        <v/>
      </c>
      <c r="T7515" t="str">
        <f t="shared" si="1199"/>
        <v/>
      </c>
      <c r="U7515" t="str">
        <f t="shared" si="1200"/>
        <v/>
      </c>
      <c r="V7515" t="str">
        <f t="shared" si="1201"/>
        <v/>
      </c>
      <c r="W7515" t="str">
        <f t="shared" si="1202"/>
        <v/>
      </c>
      <c r="X7515">
        <f t="shared" si="1192"/>
        <v>0</v>
      </c>
      <c r="Z7515" t="str">
        <f t="shared" si="1203"/>
        <v/>
      </c>
      <c r="AA7515">
        <f t="shared" si="1193"/>
        <v>0</v>
      </c>
    </row>
    <row r="7516" spans="1:27" ht="21" customHeight="1" x14ac:dyDescent="0.95">
      <c r="A7516" s="56"/>
      <c r="B7516" s="57"/>
      <c r="C7516" s="57"/>
      <c r="D7516" s="57"/>
      <c r="E7516" s="56"/>
      <c r="F7516" s="57"/>
      <c r="G7516" s="57"/>
      <c r="H7516" s="56"/>
      <c r="I7516" s="56"/>
      <c r="J7516" s="58"/>
      <c r="K7516" s="58"/>
      <c r="L7516" s="13" t="str">
        <f t="shared" si="1194"/>
        <v/>
      </c>
      <c r="M7516" s="13" t="str">
        <f t="shared" si="1195"/>
        <v/>
      </c>
      <c r="Q7516" t="str">
        <f t="shared" si="1196"/>
        <v/>
      </c>
      <c r="R7516" t="str">
        <f t="shared" si="1197"/>
        <v/>
      </c>
      <c r="S7516" t="str">
        <f t="shared" si="1198"/>
        <v/>
      </c>
      <c r="T7516" t="str">
        <f t="shared" si="1199"/>
        <v/>
      </c>
      <c r="U7516" t="str">
        <f t="shared" si="1200"/>
        <v/>
      </c>
      <c r="V7516" t="str">
        <f t="shared" si="1201"/>
        <v/>
      </c>
      <c r="W7516" t="str">
        <f t="shared" si="1202"/>
        <v/>
      </c>
      <c r="X7516">
        <f t="shared" si="1192"/>
        <v>0</v>
      </c>
      <c r="Z7516" t="str">
        <f t="shared" si="1203"/>
        <v/>
      </c>
      <c r="AA7516">
        <f t="shared" si="1193"/>
        <v>0</v>
      </c>
    </row>
    <row r="7517" spans="1:27" ht="21" customHeight="1" x14ac:dyDescent="0.95">
      <c r="A7517" s="56"/>
      <c r="B7517" s="57"/>
      <c r="C7517" s="57"/>
      <c r="D7517" s="57"/>
      <c r="E7517" s="56"/>
      <c r="F7517" s="57"/>
      <c r="G7517" s="57"/>
      <c r="H7517" s="56"/>
      <c r="I7517" s="56"/>
      <c r="J7517" s="58"/>
      <c r="K7517" s="58"/>
      <c r="L7517" s="13" t="str">
        <f t="shared" si="1194"/>
        <v/>
      </c>
      <c r="M7517" s="13" t="str">
        <f t="shared" si="1195"/>
        <v/>
      </c>
      <c r="Q7517" t="str">
        <f t="shared" si="1196"/>
        <v/>
      </c>
      <c r="R7517" t="str">
        <f t="shared" si="1197"/>
        <v/>
      </c>
      <c r="S7517" t="str">
        <f t="shared" si="1198"/>
        <v/>
      </c>
      <c r="T7517" t="str">
        <f t="shared" si="1199"/>
        <v/>
      </c>
      <c r="U7517" t="str">
        <f t="shared" si="1200"/>
        <v/>
      </c>
      <c r="V7517" t="str">
        <f t="shared" si="1201"/>
        <v/>
      </c>
      <c r="W7517" t="str">
        <f t="shared" si="1202"/>
        <v/>
      </c>
      <c r="X7517">
        <f t="shared" si="1192"/>
        <v>0</v>
      </c>
      <c r="Z7517" t="str">
        <f t="shared" si="1203"/>
        <v/>
      </c>
      <c r="AA7517">
        <f t="shared" si="1193"/>
        <v>0</v>
      </c>
    </row>
    <row r="7518" spans="1:27" ht="21" customHeight="1" x14ac:dyDescent="0.95">
      <c r="A7518" s="56"/>
      <c r="B7518" s="57"/>
      <c r="C7518" s="57"/>
      <c r="D7518" s="57"/>
      <c r="E7518" s="56"/>
      <c r="F7518" s="57"/>
      <c r="G7518" s="57"/>
      <c r="H7518" s="56"/>
      <c r="I7518" s="56"/>
      <c r="J7518" s="58"/>
      <c r="K7518" s="58"/>
      <c r="L7518" s="13" t="str">
        <f t="shared" si="1194"/>
        <v/>
      </c>
      <c r="M7518" s="13" t="str">
        <f t="shared" si="1195"/>
        <v/>
      </c>
      <c r="Q7518" t="str">
        <f t="shared" si="1196"/>
        <v/>
      </c>
      <c r="R7518" t="str">
        <f t="shared" si="1197"/>
        <v/>
      </c>
      <c r="S7518" t="str">
        <f t="shared" si="1198"/>
        <v/>
      </c>
      <c r="T7518" t="str">
        <f t="shared" si="1199"/>
        <v/>
      </c>
      <c r="U7518" t="str">
        <f t="shared" si="1200"/>
        <v/>
      </c>
      <c r="V7518" t="str">
        <f t="shared" si="1201"/>
        <v/>
      </c>
      <c r="W7518" t="str">
        <f t="shared" si="1202"/>
        <v/>
      </c>
      <c r="X7518">
        <f t="shared" si="1192"/>
        <v>0</v>
      </c>
      <c r="Z7518" t="str">
        <f t="shared" si="1203"/>
        <v/>
      </c>
      <c r="AA7518">
        <f t="shared" si="1193"/>
        <v>0</v>
      </c>
    </row>
    <row r="7519" spans="1:27" ht="21" customHeight="1" x14ac:dyDescent="0.95">
      <c r="A7519" s="56"/>
      <c r="B7519" s="57"/>
      <c r="C7519" s="57"/>
      <c r="D7519" s="57"/>
      <c r="E7519" s="56"/>
      <c r="F7519" s="57"/>
      <c r="G7519" s="57"/>
      <c r="H7519" s="56"/>
      <c r="I7519" s="56"/>
      <c r="J7519" s="58"/>
      <c r="K7519" s="58"/>
      <c r="L7519" s="13" t="str">
        <f t="shared" si="1194"/>
        <v/>
      </c>
      <c r="M7519" s="13" t="str">
        <f t="shared" si="1195"/>
        <v/>
      </c>
      <c r="Q7519" t="str">
        <f t="shared" si="1196"/>
        <v/>
      </c>
      <c r="R7519" t="str">
        <f t="shared" si="1197"/>
        <v/>
      </c>
      <c r="S7519" t="str">
        <f t="shared" si="1198"/>
        <v/>
      </c>
      <c r="T7519" t="str">
        <f t="shared" si="1199"/>
        <v/>
      </c>
      <c r="U7519" t="str">
        <f t="shared" si="1200"/>
        <v/>
      </c>
      <c r="V7519" t="str">
        <f t="shared" si="1201"/>
        <v/>
      </c>
      <c r="W7519" t="str">
        <f t="shared" si="1202"/>
        <v/>
      </c>
      <c r="X7519">
        <f t="shared" si="1192"/>
        <v>0</v>
      </c>
      <c r="Z7519" t="str">
        <f t="shared" si="1203"/>
        <v/>
      </c>
      <c r="AA7519">
        <f t="shared" si="1193"/>
        <v>0</v>
      </c>
    </row>
    <row r="7520" spans="1:27" ht="21" customHeight="1" x14ac:dyDescent="0.95">
      <c r="A7520" s="56"/>
      <c r="B7520" s="57"/>
      <c r="C7520" s="57"/>
      <c r="D7520" s="57"/>
      <c r="E7520" s="56"/>
      <c r="F7520" s="57"/>
      <c r="G7520" s="57"/>
      <c r="H7520" s="56"/>
      <c r="I7520" s="56"/>
      <c r="J7520" s="58"/>
      <c r="K7520" s="58"/>
      <c r="L7520" s="13" t="str">
        <f t="shared" si="1194"/>
        <v/>
      </c>
      <c r="M7520" s="13" t="str">
        <f t="shared" si="1195"/>
        <v/>
      </c>
      <c r="Q7520" t="str">
        <f t="shared" si="1196"/>
        <v/>
      </c>
      <c r="R7520" t="str">
        <f t="shared" si="1197"/>
        <v/>
      </c>
      <c r="S7520" t="str">
        <f t="shared" si="1198"/>
        <v/>
      </c>
      <c r="T7520" t="str">
        <f t="shared" si="1199"/>
        <v/>
      </c>
      <c r="U7520" t="str">
        <f t="shared" si="1200"/>
        <v/>
      </c>
      <c r="V7520" t="str">
        <f t="shared" si="1201"/>
        <v/>
      </c>
      <c r="W7520" t="str">
        <f t="shared" si="1202"/>
        <v/>
      </c>
      <c r="X7520">
        <f t="shared" si="1192"/>
        <v>0</v>
      </c>
      <c r="Z7520" t="str">
        <f t="shared" si="1203"/>
        <v/>
      </c>
      <c r="AA7520">
        <f t="shared" si="1193"/>
        <v>0</v>
      </c>
    </row>
    <row r="7521" spans="1:27" ht="21" customHeight="1" x14ac:dyDescent="0.95">
      <c r="A7521" s="56"/>
      <c r="B7521" s="57"/>
      <c r="C7521" s="57"/>
      <c r="D7521" s="57"/>
      <c r="E7521" s="56"/>
      <c r="F7521" s="57"/>
      <c r="G7521" s="57"/>
      <c r="H7521" s="56"/>
      <c r="I7521" s="56"/>
      <c r="J7521" s="58"/>
      <c r="K7521" s="58"/>
      <c r="L7521" s="13" t="str">
        <f t="shared" si="1194"/>
        <v/>
      </c>
      <c r="M7521" s="13" t="str">
        <f t="shared" si="1195"/>
        <v/>
      </c>
      <c r="Q7521" t="str">
        <f t="shared" si="1196"/>
        <v/>
      </c>
      <c r="R7521" t="str">
        <f t="shared" si="1197"/>
        <v/>
      </c>
      <c r="S7521" t="str">
        <f t="shared" si="1198"/>
        <v/>
      </c>
      <c r="T7521" t="str">
        <f t="shared" si="1199"/>
        <v/>
      </c>
      <c r="U7521" t="str">
        <f t="shared" si="1200"/>
        <v/>
      </c>
      <c r="V7521" t="str">
        <f t="shared" si="1201"/>
        <v/>
      </c>
      <c r="W7521" t="str">
        <f t="shared" si="1202"/>
        <v/>
      </c>
      <c r="X7521">
        <f t="shared" si="1192"/>
        <v>0</v>
      </c>
      <c r="Z7521" t="str">
        <f t="shared" si="1203"/>
        <v/>
      </c>
      <c r="AA7521">
        <f t="shared" si="1193"/>
        <v>0</v>
      </c>
    </row>
    <row r="7522" spans="1:27" ht="21" customHeight="1" x14ac:dyDescent="0.95">
      <c r="A7522" s="56"/>
      <c r="B7522" s="57"/>
      <c r="C7522" s="57"/>
      <c r="D7522" s="57"/>
      <c r="E7522" s="56"/>
      <c r="F7522" s="57"/>
      <c r="G7522" s="57"/>
      <c r="H7522" s="56"/>
      <c r="I7522" s="56"/>
      <c r="J7522" s="58"/>
      <c r="K7522" s="58"/>
      <c r="L7522" s="13" t="str">
        <f t="shared" si="1194"/>
        <v/>
      </c>
      <c r="M7522" s="13" t="str">
        <f t="shared" si="1195"/>
        <v/>
      </c>
      <c r="Q7522" t="str">
        <f t="shared" si="1196"/>
        <v/>
      </c>
      <c r="R7522" t="str">
        <f t="shared" si="1197"/>
        <v/>
      </c>
      <c r="S7522" t="str">
        <f t="shared" si="1198"/>
        <v/>
      </c>
      <c r="T7522" t="str">
        <f t="shared" si="1199"/>
        <v/>
      </c>
      <c r="U7522" t="str">
        <f t="shared" si="1200"/>
        <v/>
      </c>
      <c r="V7522" t="str">
        <f t="shared" si="1201"/>
        <v/>
      </c>
      <c r="W7522" t="str">
        <f t="shared" si="1202"/>
        <v/>
      </c>
      <c r="X7522">
        <f t="shared" si="1192"/>
        <v>0</v>
      </c>
      <c r="Z7522" t="str">
        <f t="shared" si="1203"/>
        <v/>
      </c>
      <c r="AA7522">
        <f t="shared" si="1193"/>
        <v>0</v>
      </c>
    </row>
    <row r="7523" spans="1:27" ht="21" customHeight="1" x14ac:dyDescent="0.95">
      <c r="A7523" s="56"/>
      <c r="B7523" s="57"/>
      <c r="C7523" s="57"/>
      <c r="D7523" s="57"/>
      <c r="E7523" s="56"/>
      <c r="F7523" s="57"/>
      <c r="G7523" s="57"/>
      <c r="H7523" s="56"/>
      <c r="I7523" s="56"/>
      <c r="J7523" s="58"/>
      <c r="K7523" s="58"/>
      <c r="L7523" s="13" t="str">
        <f t="shared" si="1194"/>
        <v/>
      </c>
      <c r="M7523" s="13" t="str">
        <f t="shared" si="1195"/>
        <v/>
      </c>
      <c r="Q7523" t="str">
        <f t="shared" si="1196"/>
        <v/>
      </c>
      <c r="R7523" t="str">
        <f t="shared" si="1197"/>
        <v/>
      </c>
      <c r="S7523" t="str">
        <f t="shared" si="1198"/>
        <v/>
      </c>
      <c r="T7523" t="str">
        <f t="shared" si="1199"/>
        <v/>
      </c>
      <c r="U7523" t="str">
        <f t="shared" si="1200"/>
        <v/>
      </c>
      <c r="V7523" t="str">
        <f t="shared" si="1201"/>
        <v/>
      </c>
      <c r="W7523" t="str">
        <f t="shared" si="1202"/>
        <v/>
      </c>
      <c r="X7523">
        <f t="shared" si="1192"/>
        <v>0</v>
      </c>
      <c r="Z7523" t="str">
        <f t="shared" si="1203"/>
        <v/>
      </c>
      <c r="AA7523">
        <f t="shared" si="1193"/>
        <v>0</v>
      </c>
    </row>
    <row r="7524" spans="1:27" ht="21" customHeight="1" x14ac:dyDescent="0.95">
      <c r="A7524" s="56"/>
      <c r="B7524" s="57"/>
      <c r="C7524" s="57"/>
      <c r="D7524" s="57"/>
      <c r="E7524" s="56"/>
      <c r="F7524" s="57"/>
      <c r="G7524" s="57"/>
      <c r="H7524" s="56"/>
      <c r="I7524" s="56"/>
      <c r="J7524" s="58"/>
      <c r="K7524" s="58"/>
      <c r="L7524" s="13" t="str">
        <f t="shared" si="1194"/>
        <v/>
      </c>
      <c r="M7524" s="13" t="str">
        <f t="shared" si="1195"/>
        <v/>
      </c>
      <c r="Q7524" t="str">
        <f t="shared" si="1196"/>
        <v/>
      </c>
      <c r="R7524" t="str">
        <f t="shared" si="1197"/>
        <v/>
      </c>
      <c r="S7524" t="str">
        <f t="shared" si="1198"/>
        <v/>
      </c>
      <c r="T7524" t="str">
        <f t="shared" si="1199"/>
        <v/>
      </c>
      <c r="U7524" t="str">
        <f t="shared" si="1200"/>
        <v/>
      </c>
      <c r="V7524" t="str">
        <f t="shared" si="1201"/>
        <v/>
      </c>
      <c r="W7524" t="str">
        <f t="shared" si="1202"/>
        <v/>
      </c>
      <c r="X7524">
        <f t="shared" si="1192"/>
        <v>0</v>
      </c>
      <c r="Z7524" t="str">
        <f t="shared" si="1203"/>
        <v/>
      </c>
      <c r="AA7524">
        <f t="shared" si="1193"/>
        <v>0</v>
      </c>
    </row>
    <row r="7525" spans="1:27" ht="21" customHeight="1" x14ac:dyDescent="0.95">
      <c r="A7525" s="56"/>
      <c r="B7525" s="57"/>
      <c r="C7525" s="57"/>
      <c r="D7525" s="57"/>
      <c r="E7525" s="56"/>
      <c r="F7525" s="57"/>
      <c r="G7525" s="57"/>
      <c r="H7525" s="56"/>
      <c r="I7525" s="56"/>
      <c r="J7525" s="58"/>
      <c r="K7525" s="58"/>
      <c r="L7525" s="13" t="str">
        <f t="shared" si="1194"/>
        <v/>
      </c>
      <c r="M7525" s="13" t="str">
        <f t="shared" si="1195"/>
        <v/>
      </c>
      <c r="Q7525" t="str">
        <f t="shared" si="1196"/>
        <v/>
      </c>
      <c r="R7525" t="str">
        <f t="shared" si="1197"/>
        <v/>
      </c>
      <c r="S7525" t="str">
        <f t="shared" si="1198"/>
        <v/>
      </c>
      <c r="T7525" t="str">
        <f t="shared" si="1199"/>
        <v/>
      </c>
      <c r="U7525" t="str">
        <f t="shared" si="1200"/>
        <v/>
      </c>
      <c r="V7525" t="str">
        <f t="shared" si="1201"/>
        <v/>
      </c>
      <c r="W7525" t="str">
        <f t="shared" si="1202"/>
        <v/>
      </c>
      <c r="X7525">
        <f t="shared" si="1192"/>
        <v>0</v>
      </c>
      <c r="Z7525" t="str">
        <f t="shared" si="1203"/>
        <v/>
      </c>
      <c r="AA7525">
        <f t="shared" si="1193"/>
        <v>0</v>
      </c>
    </row>
    <row r="7526" spans="1:27" ht="21" customHeight="1" x14ac:dyDescent="0.95">
      <c r="A7526" s="56"/>
      <c r="B7526" s="57"/>
      <c r="C7526" s="57"/>
      <c r="D7526" s="57"/>
      <c r="E7526" s="56"/>
      <c r="F7526" s="57"/>
      <c r="G7526" s="57"/>
      <c r="H7526" s="56"/>
      <c r="I7526" s="56"/>
      <c r="J7526" s="58"/>
      <c r="K7526" s="58"/>
      <c r="L7526" s="13" t="str">
        <f t="shared" si="1194"/>
        <v/>
      </c>
      <c r="M7526" s="13" t="str">
        <f t="shared" si="1195"/>
        <v/>
      </c>
      <c r="Q7526" t="str">
        <f t="shared" si="1196"/>
        <v/>
      </c>
      <c r="R7526" t="str">
        <f t="shared" si="1197"/>
        <v/>
      </c>
      <c r="S7526" t="str">
        <f t="shared" si="1198"/>
        <v/>
      </c>
      <c r="T7526" t="str">
        <f t="shared" si="1199"/>
        <v/>
      </c>
      <c r="U7526" t="str">
        <f t="shared" si="1200"/>
        <v/>
      </c>
      <c r="V7526" t="str">
        <f t="shared" si="1201"/>
        <v/>
      </c>
      <c r="W7526" t="str">
        <f t="shared" si="1202"/>
        <v/>
      </c>
      <c r="X7526">
        <f t="shared" si="1192"/>
        <v>0</v>
      </c>
      <c r="Z7526" t="str">
        <f t="shared" si="1203"/>
        <v/>
      </c>
      <c r="AA7526">
        <f t="shared" si="1193"/>
        <v>0</v>
      </c>
    </row>
    <row r="7527" spans="1:27" ht="21" customHeight="1" x14ac:dyDescent="0.95">
      <c r="A7527" s="56"/>
      <c r="B7527" s="57"/>
      <c r="C7527" s="57"/>
      <c r="D7527" s="57"/>
      <c r="E7527" s="56"/>
      <c r="F7527" s="57"/>
      <c r="G7527" s="57"/>
      <c r="H7527" s="56"/>
      <c r="I7527" s="56"/>
      <c r="J7527" s="58"/>
      <c r="K7527" s="58"/>
      <c r="L7527" s="13" t="str">
        <f t="shared" si="1194"/>
        <v/>
      </c>
      <c r="M7527" s="13" t="str">
        <f t="shared" si="1195"/>
        <v/>
      </c>
      <c r="Q7527" t="str">
        <f t="shared" si="1196"/>
        <v/>
      </c>
      <c r="R7527" t="str">
        <f t="shared" si="1197"/>
        <v/>
      </c>
      <c r="S7527" t="str">
        <f t="shared" si="1198"/>
        <v/>
      </c>
      <c r="T7527" t="str">
        <f t="shared" si="1199"/>
        <v/>
      </c>
      <c r="U7527" t="str">
        <f t="shared" si="1200"/>
        <v/>
      </c>
      <c r="V7527" t="str">
        <f t="shared" si="1201"/>
        <v/>
      </c>
      <c r="W7527" t="str">
        <f t="shared" si="1202"/>
        <v/>
      </c>
      <c r="X7527">
        <f t="shared" si="1192"/>
        <v>0</v>
      </c>
      <c r="Z7527" t="str">
        <f t="shared" si="1203"/>
        <v/>
      </c>
      <c r="AA7527">
        <f t="shared" si="1193"/>
        <v>0</v>
      </c>
    </row>
    <row r="7528" spans="1:27" ht="21" customHeight="1" x14ac:dyDescent="0.95">
      <c r="A7528" s="56"/>
      <c r="B7528" s="57"/>
      <c r="C7528" s="57"/>
      <c r="D7528" s="57"/>
      <c r="E7528" s="56"/>
      <c r="F7528" s="57"/>
      <c r="G7528" s="57"/>
      <c r="H7528" s="56"/>
      <c r="I7528" s="56"/>
      <c r="J7528" s="58"/>
      <c r="K7528" s="58"/>
      <c r="L7528" s="13" t="str">
        <f t="shared" si="1194"/>
        <v/>
      </c>
      <c r="M7528" s="13" t="str">
        <f t="shared" si="1195"/>
        <v/>
      </c>
      <c r="Q7528" t="str">
        <f t="shared" si="1196"/>
        <v/>
      </c>
      <c r="R7528" t="str">
        <f t="shared" si="1197"/>
        <v/>
      </c>
      <c r="S7528" t="str">
        <f t="shared" si="1198"/>
        <v/>
      </c>
      <c r="T7528" t="str">
        <f t="shared" si="1199"/>
        <v/>
      </c>
      <c r="U7528" t="str">
        <f t="shared" si="1200"/>
        <v/>
      </c>
      <c r="V7528" t="str">
        <f t="shared" si="1201"/>
        <v/>
      </c>
      <c r="W7528" t="str">
        <f t="shared" si="1202"/>
        <v/>
      </c>
      <c r="X7528">
        <f t="shared" si="1192"/>
        <v>0</v>
      </c>
      <c r="Z7528" t="str">
        <f t="shared" si="1203"/>
        <v/>
      </c>
      <c r="AA7528">
        <f t="shared" si="1193"/>
        <v>0</v>
      </c>
    </row>
    <row r="7529" spans="1:27" ht="21" customHeight="1" x14ac:dyDescent="0.95">
      <c r="A7529" s="56"/>
      <c r="B7529" s="57"/>
      <c r="C7529" s="57"/>
      <c r="D7529" s="57"/>
      <c r="E7529" s="56"/>
      <c r="F7529" s="57"/>
      <c r="G7529" s="57"/>
      <c r="H7529" s="56"/>
      <c r="I7529" s="56"/>
      <c r="J7529" s="58"/>
      <c r="K7529" s="58"/>
      <c r="L7529" s="13" t="str">
        <f t="shared" si="1194"/>
        <v/>
      </c>
      <c r="M7529" s="13" t="str">
        <f t="shared" si="1195"/>
        <v/>
      </c>
      <c r="Q7529" t="str">
        <f t="shared" si="1196"/>
        <v/>
      </c>
      <c r="R7529" t="str">
        <f t="shared" si="1197"/>
        <v/>
      </c>
      <c r="S7529" t="str">
        <f t="shared" si="1198"/>
        <v/>
      </c>
      <c r="T7529" t="str">
        <f t="shared" si="1199"/>
        <v/>
      </c>
      <c r="U7529" t="str">
        <f t="shared" si="1200"/>
        <v/>
      </c>
      <c r="V7529" t="str">
        <f t="shared" si="1201"/>
        <v/>
      </c>
      <c r="W7529" t="str">
        <f t="shared" si="1202"/>
        <v/>
      </c>
      <c r="X7529">
        <f t="shared" si="1192"/>
        <v>0</v>
      </c>
      <c r="Z7529" t="str">
        <f t="shared" si="1203"/>
        <v/>
      </c>
      <c r="AA7529">
        <f t="shared" si="1193"/>
        <v>0</v>
      </c>
    </row>
    <row r="7530" spans="1:27" ht="21" customHeight="1" x14ac:dyDescent="0.95">
      <c r="A7530" s="56"/>
      <c r="B7530" s="57"/>
      <c r="C7530" s="57"/>
      <c r="D7530" s="57"/>
      <c r="E7530" s="56"/>
      <c r="F7530" s="57"/>
      <c r="G7530" s="57"/>
      <c r="H7530" s="56"/>
      <c r="I7530" s="56"/>
      <c r="J7530" s="58"/>
      <c r="K7530" s="58"/>
      <c r="L7530" s="13" t="str">
        <f t="shared" si="1194"/>
        <v/>
      </c>
      <c r="M7530" s="13" t="str">
        <f t="shared" si="1195"/>
        <v/>
      </c>
      <c r="Q7530" t="str">
        <f t="shared" si="1196"/>
        <v/>
      </c>
      <c r="R7530" t="str">
        <f t="shared" si="1197"/>
        <v/>
      </c>
      <c r="S7530" t="str">
        <f t="shared" si="1198"/>
        <v/>
      </c>
      <c r="T7530" t="str">
        <f t="shared" si="1199"/>
        <v/>
      </c>
      <c r="U7530" t="str">
        <f t="shared" si="1200"/>
        <v/>
      </c>
      <c r="V7530" t="str">
        <f t="shared" si="1201"/>
        <v/>
      </c>
      <c r="W7530" t="str">
        <f t="shared" si="1202"/>
        <v/>
      </c>
      <c r="X7530">
        <f t="shared" si="1192"/>
        <v>0</v>
      </c>
      <c r="Z7530" t="str">
        <f t="shared" si="1203"/>
        <v/>
      </c>
      <c r="AA7530">
        <f t="shared" si="1193"/>
        <v>0</v>
      </c>
    </row>
    <row r="7531" spans="1:27" ht="21" customHeight="1" x14ac:dyDescent="0.95">
      <c r="A7531" s="56"/>
      <c r="B7531" s="57"/>
      <c r="C7531" s="57"/>
      <c r="D7531" s="57"/>
      <c r="E7531" s="56"/>
      <c r="F7531" s="57"/>
      <c r="G7531" s="57"/>
      <c r="H7531" s="56"/>
      <c r="I7531" s="56"/>
      <c r="J7531" s="58"/>
      <c r="K7531" s="58"/>
      <c r="L7531" s="13" t="str">
        <f t="shared" si="1194"/>
        <v/>
      </c>
      <c r="M7531" s="13" t="str">
        <f t="shared" si="1195"/>
        <v/>
      </c>
      <c r="Q7531" t="str">
        <f t="shared" si="1196"/>
        <v/>
      </c>
      <c r="R7531" t="str">
        <f t="shared" si="1197"/>
        <v/>
      </c>
      <c r="S7531" t="str">
        <f t="shared" si="1198"/>
        <v/>
      </c>
      <c r="T7531" t="str">
        <f t="shared" si="1199"/>
        <v/>
      </c>
      <c r="U7531" t="str">
        <f t="shared" si="1200"/>
        <v/>
      </c>
      <c r="V7531" t="str">
        <f t="shared" si="1201"/>
        <v/>
      </c>
      <c r="W7531" t="str">
        <f t="shared" si="1202"/>
        <v/>
      </c>
      <c r="X7531">
        <f t="shared" si="1192"/>
        <v>0</v>
      </c>
      <c r="Z7531" t="str">
        <f t="shared" si="1203"/>
        <v/>
      </c>
      <c r="AA7531">
        <f t="shared" si="1193"/>
        <v>0</v>
      </c>
    </row>
    <row r="7532" spans="1:27" ht="21" customHeight="1" x14ac:dyDescent="0.95">
      <c r="A7532" s="56"/>
      <c r="B7532" s="57"/>
      <c r="C7532" s="57"/>
      <c r="D7532" s="57"/>
      <c r="E7532" s="56"/>
      <c r="F7532" s="57"/>
      <c r="G7532" s="57"/>
      <c r="H7532" s="56"/>
      <c r="I7532" s="56"/>
      <c r="J7532" s="58"/>
      <c r="K7532" s="58"/>
      <c r="L7532" s="13" t="str">
        <f t="shared" si="1194"/>
        <v/>
      </c>
      <c r="M7532" s="13" t="str">
        <f t="shared" si="1195"/>
        <v/>
      </c>
      <c r="Q7532" t="str">
        <f t="shared" si="1196"/>
        <v/>
      </c>
      <c r="R7532" t="str">
        <f t="shared" si="1197"/>
        <v/>
      </c>
      <c r="S7532" t="str">
        <f t="shared" si="1198"/>
        <v/>
      </c>
      <c r="T7532" t="str">
        <f t="shared" si="1199"/>
        <v/>
      </c>
      <c r="U7532" t="str">
        <f t="shared" si="1200"/>
        <v/>
      </c>
      <c r="V7532" t="str">
        <f t="shared" si="1201"/>
        <v/>
      </c>
      <c r="W7532" t="str">
        <f t="shared" si="1202"/>
        <v/>
      </c>
      <c r="X7532">
        <f t="shared" si="1192"/>
        <v>0</v>
      </c>
      <c r="Z7532" t="str">
        <f t="shared" si="1203"/>
        <v/>
      </c>
      <c r="AA7532">
        <f t="shared" si="1193"/>
        <v>0</v>
      </c>
    </row>
    <row r="7533" spans="1:27" ht="21" customHeight="1" x14ac:dyDescent="0.95">
      <c r="A7533" s="56"/>
      <c r="B7533" s="57"/>
      <c r="C7533" s="57"/>
      <c r="D7533" s="57"/>
      <c r="E7533" s="56"/>
      <c r="F7533" s="57"/>
      <c r="G7533" s="57"/>
      <c r="H7533" s="56"/>
      <c r="I7533" s="56"/>
      <c r="J7533" s="58"/>
      <c r="K7533" s="58"/>
      <c r="L7533" s="13" t="str">
        <f t="shared" si="1194"/>
        <v/>
      </c>
      <c r="M7533" s="13" t="str">
        <f t="shared" si="1195"/>
        <v/>
      </c>
      <c r="Q7533" t="str">
        <f t="shared" si="1196"/>
        <v/>
      </c>
      <c r="R7533" t="str">
        <f t="shared" si="1197"/>
        <v/>
      </c>
      <c r="S7533" t="str">
        <f t="shared" si="1198"/>
        <v/>
      </c>
      <c r="T7533" t="str">
        <f t="shared" si="1199"/>
        <v/>
      </c>
      <c r="U7533" t="str">
        <f t="shared" si="1200"/>
        <v/>
      </c>
      <c r="V7533" t="str">
        <f t="shared" si="1201"/>
        <v/>
      </c>
      <c r="W7533" t="str">
        <f t="shared" si="1202"/>
        <v/>
      </c>
      <c r="X7533">
        <f t="shared" si="1192"/>
        <v>0</v>
      </c>
      <c r="Z7533" t="str">
        <f t="shared" si="1203"/>
        <v/>
      </c>
      <c r="AA7533">
        <f t="shared" si="1193"/>
        <v>0</v>
      </c>
    </row>
    <row r="7534" spans="1:27" ht="21" customHeight="1" x14ac:dyDescent="0.95">
      <c r="A7534" s="56"/>
      <c r="B7534" s="57"/>
      <c r="C7534" s="57"/>
      <c r="D7534" s="57"/>
      <c r="E7534" s="56"/>
      <c r="F7534" s="57"/>
      <c r="G7534" s="57"/>
      <c r="H7534" s="56"/>
      <c r="I7534" s="56"/>
      <c r="J7534" s="58"/>
      <c r="K7534" s="58"/>
      <c r="L7534" s="13" t="str">
        <f t="shared" si="1194"/>
        <v/>
      </c>
      <c r="M7534" s="13" t="str">
        <f t="shared" si="1195"/>
        <v/>
      </c>
      <c r="Q7534" t="str">
        <f t="shared" si="1196"/>
        <v/>
      </c>
      <c r="R7534" t="str">
        <f t="shared" si="1197"/>
        <v/>
      </c>
      <c r="S7534" t="str">
        <f t="shared" si="1198"/>
        <v/>
      </c>
      <c r="T7534" t="str">
        <f t="shared" si="1199"/>
        <v/>
      </c>
      <c r="U7534" t="str">
        <f t="shared" si="1200"/>
        <v/>
      </c>
      <c r="V7534" t="str">
        <f t="shared" si="1201"/>
        <v/>
      </c>
      <c r="W7534" t="str">
        <f t="shared" si="1202"/>
        <v/>
      </c>
      <c r="X7534">
        <f t="shared" si="1192"/>
        <v>0</v>
      </c>
      <c r="Z7534" t="str">
        <f t="shared" si="1203"/>
        <v/>
      </c>
      <c r="AA7534">
        <f t="shared" si="1193"/>
        <v>0</v>
      </c>
    </row>
    <row r="7535" spans="1:27" ht="21" customHeight="1" x14ac:dyDescent="0.95">
      <c r="A7535" s="56"/>
      <c r="B7535" s="57"/>
      <c r="C7535" s="57"/>
      <c r="D7535" s="57"/>
      <c r="E7535" s="56"/>
      <c r="F7535" s="57"/>
      <c r="G7535" s="57"/>
      <c r="H7535" s="56"/>
      <c r="I7535" s="56"/>
      <c r="J7535" s="58"/>
      <c r="K7535" s="58"/>
      <c r="L7535" s="13" t="str">
        <f t="shared" si="1194"/>
        <v/>
      </c>
      <c r="M7535" s="13" t="str">
        <f t="shared" si="1195"/>
        <v/>
      </c>
      <c r="Q7535" t="str">
        <f t="shared" si="1196"/>
        <v/>
      </c>
      <c r="R7535" t="str">
        <f t="shared" si="1197"/>
        <v/>
      </c>
      <c r="S7535" t="str">
        <f t="shared" si="1198"/>
        <v/>
      </c>
      <c r="T7535" t="str">
        <f t="shared" si="1199"/>
        <v/>
      </c>
      <c r="U7535" t="str">
        <f t="shared" si="1200"/>
        <v/>
      </c>
      <c r="V7535" t="str">
        <f t="shared" si="1201"/>
        <v/>
      </c>
      <c r="W7535" t="str">
        <f t="shared" si="1202"/>
        <v/>
      </c>
      <c r="X7535">
        <f t="shared" si="1192"/>
        <v>0</v>
      </c>
      <c r="Z7535" t="str">
        <f t="shared" si="1203"/>
        <v/>
      </c>
      <c r="AA7535">
        <f t="shared" si="1193"/>
        <v>0</v>
      </c>
    </row>
    <row r="7536" spans="1:27" ht="21" customHeight="1" x14ac:dyDescent="0.95">
      <c r="A7536" s="56"/>
      <c r="B7536" s="57"/>
      <c r="C7536" s="57"/>
      <c r="D7536" s="57"/>
      <c r="E7536" s="56"/>
      <c r="F7536" s="57"/>
      <c r="G7536" s="57"/>
      <c r="H7536" s="56"/>
      <c r="I7536" s="56"/>
      <c r="J7536" s="58"/>
      <c r="K7536" s="58"/>
      <c r="L7536" s="13" t="str">
        <f t="shared" si="1194"/>
        <v/>
      </c>
      <c r="M7536" s="13" t="str">
        <f t="shared" si="1195"/>
        <v/>
      </c>
      <c r="Q7536" t="str">
        <f t="shared" si="1196"/>
        <v/>
      </c>
      <c r="R7536" t="str">
        <f t="shared" si="1197"/>
        <v/>
      </c>
      <c r="S7536" t="str">
        <f t="shared" si="1198"/>
        <v/>
      </c>
      <c r="T7536" t="str">
        <f t="shared" si="1199"/>
        <v/>
      </c>
      <c r="U7536" t="str">
        <f t="shared" si="1200"/>
        <v/>
      </c>
      <c r="V7536" t="str">
        <f t="shared" si="1201"/>
        <v/>
      </c>
      <c r="W7536" t="str">
        <f t="shared" si="1202"/>
        <v/>
      </c>
      <c r="X7536">
        <f t="shared" si="1192"/>
        <v>0</v>
      </c>
      <c r="Z7536" t="str">
        <f t="shared" si="1203"/>
        <v/>
      </c>
      <c r="AA7536">
        <f t="shared" si="1193"/>
        <v>0</v>
      </c>
    </row>
    <row r="7537" spans="1:27" ht="21" customHeight="1" x14ac:dyDescent="0.95">
      <c r="A7537" s="56"/>
      <c r="B7537" s="57"/>
      <c r="C7537" s="57"/>
      <c r="D7537" s="57"/>
      <c r="E7537" s="56"/>
      <c r="F7537" s="57"/>
      <c r="G7537" s="57"/>
      <c r="H7537" s="56"/>
      <c r="I7537" s="56"/>
      <c r="J7537" s="58"/>
      <c r="K7537" s="58"/>
      <c r="L7537" s="13" t="str">
        <f t="shared" si="1194"/>
        <v/>
      </c>
      <c r="M7537" s="13" t="str">
        <f t="shared" si="1195"/>
        <v/>
      </c>
      <c r="Q7537" t="str">
        <f t="shared" si="1196"/>
        <v/>
      </c>
      <c r="R7537" t="str">
        <f t="shared" si="1197"/>
        <v/>
      </c>
      <c r="S7537" t="str">
        <f t="shared" si="1198"/>
        <v/>
      </c>
      <c r="T7537" t="str">
        <f t="shared" si="1199"/>
        <v/>
      </c>
      <c r="U7537" t="str">
        <f t="shared" si="1200"/>
        <v/>
      </c>
      <c r="V7537" t="str">
        <f t="shared" si="1201"/>
        <v/>
      </c>
      <c r="W7537" t="str">
        <f t="shared" si="1202"/>
        <v/>
      </c>
      <c r="X7537">
        <f t="shared" si="1192"/>
        <v>0</v>
      </c>
      <c r="Z7537" t="str">
        <f t="shared" si="1203"/>
        <v/>
      </c>
      <c r="AA7537">
        <f t="shared" si="1193"/>
        <v>0</v>
      </c>
    </row>
    <row r="7538" spans="1:27" ht="21" customHeight="1" x14ac:dyDescent="0.95">
      <c r="A7538" s="56"/>
      <c r="B7538" s="57"/>
      <c r="C7538" s="57"/>
      <c r="D7538" s="57"/>
      <c r="E7538" s="56"/>
      <c r="F7538" s="57"/>
      <c r="G7538" s="57"/>
      <c r="H7538" s="56"/>
      <c r="I7538" s="56"/>
      <c r="J7538" s="58"/>
      <c r="K7538" s="58"/>
      <c r="L7538" s="13" t="str">
        <f t="shared" si="1194"/>
        <v/>
      </c>
      <c r="M7538" s="13" t="str">
        <f t="shared" si="1195"/>
        <v/>
      </c>
      <c r="Q7538" t="str">
        <f t="shared" si="1196"/>
        <v/>
      </c>
      <c r="R7538" t="str">
        <f t="shared" si="1197"/>
        <v/>
      </c>
      <c r="S7538" t="str">
        <f t="shared" si="1198"/>
        <v/>
      </c>
      <c r="T7538" t="str">
        <f t="shared" si="1199"/>
        <v/>
      </c>
      <c r="U7538" t="str">
        <f t="shared" si="1200"/>
        <v/>
      </c>
      <c r="V7538" t="str">
        <f t="shared" si="1201"/>
        <v/>
      </c>
      <c r="W7538" t="str">
        <f t="shared" si="1202"/>
        <v/>
      </c>
      <c r="X7538">
        <f t="shared" si="1192"/>
        <v>0</v>
      </c>
      <c r="Z7538" t="str">
        <f t="shared" si="1203"/>
        <v/>
      </c>
      <c r="AA7538">
        <f t="shared" si="1193"/>
        <v>0</v>
      </c>
    </row>
    <row r="7539" spans="1:27" ht="21" customHeight="1" x14ac:dyDescent="0.95">
      <c r="A7539" s="56"/>
      <c r="B7539" s="57"/>
      <c r="C7539" s="57"/>
      <c r="D7539" s="57"/>
      <c r="E7539" s="56"/>
      <c r="F7539" s="57"/>
      <c r="G7539" s="57"/>
      <c r="H7539" s="56"/>
      <c r="I7539" s="56"/>
      <c r="J7539" s="58"/>
      <c r="K7539" s="58"/>
      <c r="L7539" s="13" t="str">
        <f t="shared" si="1194"/>
        <v/>
      </c>
      <c r="M7539" s="13" t="str">
        <f t="shared" si="1195"/>
        <v/>
      </c>
      <c r="Q7539" t="str">
        <f t="shared" si="1196"/>
        <v/>
      </c>
      <c r="R7539" t="str">
        <f t="shared" si="1197"/>
        <v/>
      </c>
      <c r="S7539" t="str">
        <f t="shared" si="1198"/>
        <v/>
      </c>
      <c r="T7539" t="str">
        <f t="shared" si="1199"/>
        <v/>
      </c>
      <c r="U7539" t="str">
        <f t="shared" si="1200"/>
        <v/>
      </c>
      <c r="V7539" t="str">
        <f t="shared" si="1201"/>
        <v/>
      </c>
      <c r="W7539" t="str">
        <f t="shared" si="1202"/>
        <v/>
      </c>
      <c r="X7539">
        <f t="shared" si="1192"/>
        <v>0</v>
      </c>
      <c r="Z7539" t="str">
        <f t="shared" si="1203"/>
        <v/>
      </c>
      <c r="AA7539">
        <f t="shared" si="1193"/>
        <v>0</v>
      </c>
    </row>
    <row r="7540" spans="1:27" ht="21" customHeight="1" x14ac:dyDescent="0.95">
      <c r="A7540" s="56"/>
      <c r="B7540" s="57"/>
      <c r="C7540" s="57"/>
      <c r="D7540" s="57"/>
      <c r="E7540" s="56"/>
      <c r="F7540" s="57"/>
      <c r="G7540" s="57"/>
      <c r="H7540" s="56"/>
      <c r="I7540" s="56"/>
      <c r="J7540" s="58"/>
      <c r="K7540" s="58"/>
      <c r="L7540" s="13" t="str">
        <f t="shared" si="1194"/>
        <v/>
      </c>
      <c r="M7540" s="13" t="str">
        <f t="shared" si="1195"/>
        <v/>
      </c>
      <c r="Q7540" t="str">
        <f t="shared" si="1196"/>
        <v/>
      </c>
      <c r="R7540" t="str">
        <f t="shared" si="1197"/>
        <v/>
      </c>
      <c r="S7540" t="str">
        <f t="shared" si="1198"/>
        <v/>
      </c>
      <c r="T7540" t="str">
        <f t="shared" si="1199"/>
        <v/>
      </c>
      <c r="U7540" t="str">
        <f t="shared" si="1200"/>
        <v/>
      </c>
      <c r="V7540" t="str">
        <f t="shared" si="1201"/>
        <v/>
      </c>
      <c r="W7540" t="str">
        <f t="shared" si="1202"/>
        <v/>
      </c>
      <c r="X7540">
        <f t="shared" si="1192"/>
        <v>0</v>
      </c>
      <c r="Z7540" t="str">
        <f t="shared" si="1203"/>
        <v/>
      </c>
      <c r="AA7540">
        <f t="shared" si="1193"/>
        <v>0</v>
      </c>
    </row>
    <row r="7541" spans="1:27" ht="21" customHeight="1" x14ac:dyDescent="0.95">
      <c r="A7541" s="56"/>
      <c r="B7541" s="57"/>
      <c r="C7541" s="57"/>
      <c r="D7541" s="57"/>
      <c r="E7541" s="56"/>
      <c r="F7541" s="57"/>
      <c r="G7541" s="57"/>
      <c r="H7541" s="56"/>
      <c r="I7541" s="56"/>
      <c r="J7541" s="58"/>
      <c r="K7541" s="58"/>
      <c r="L7541" s="13" t="str">
        <f t="shared" si="1194"/>
        <v/>
      </c>
      <c r="M7541" s="13" t="str">
        <f t="shared" si="1195"/>
        <v/>
      </c>
      <c r="Q7541" t="str">
        <f t="shared" si="1196"/>
        <v/>
      </c>
      <c r="R7541" t="str">
        <f t="shared" si="1197"/>
        <v/>
      </c>
      <c r="S7541" t="str">
        <f t="shared" si="1198"/>
        <v/>
      </c>
      <c r="T7541" t="str">
        <f t="shared" si="1199"/>
        <v/>
      </c>
      <c r="U7541" t="str">
        <f t="shared" si="1200"/>
        <v/>
      </c>
      <c r="V7541" t="str">
        <f t="shared" si="1201"/>
        <v/>
      </c>
      <c r="W7541" t="str">
        <f t="shared" si="1202"/>
        <v/>
      </c>
      <c r="X7541">
        <f t="shared" ref="X7541:X7604" si="1204">IF($T7541="",N($X7540),IF(MATCH($T7541,$T$6:$T$10005,0)=ROW()-5,N($X7540)+1,N($X7540)))</f>
        <v>0</v>
      </c>
      <c r="Z7541" t="str">
        <f t="shared" si="1203"/>
        <v/>
      </c>
      <c r="AA7541">
        <f t="shared" ref="AA7541:AA7604" si="1205">IF($V7541="",N($AA7540),IF(MATCH($V7541,$V$6:$V$10005,0)=ROW()-5,N($AA7540)+1,N($AA7540)))</f>
        <v>0</v>
      </c>
    </row>
    <row r="7542" spans="1:27" ht="21" customHeight="1" x14ac:dyDescent="0.95">
      <c r="A7542" s="56"/>
      <c r="B7542" s="57"/>
      <c r="C7542" s="57"/>
      <c r="D7542" s="57"/>
      <c r="E7542" s="56"/>
      <c r="F7542" s="57"/>
      <c r="G7542" s="57"/>
      <c r="H7542" s="56"/>
      <c r="I7542" s="56"/>
      <c r="J7542" s="58"/>
      <c r="K7542" s="58"/>
      <c r="L7542" s="13" t="str">
        <f t="shared" si="1194"/>
        <v/>
      </c>
      <c r="M7542" s="13" t="str">
        <f t="shared" si="1195"/>
        <v/>
      </c>
      <c r="Q7542" t="str">
        <f t="shared" si="1196"/>
        <v/>
      </c>
      <c r="R7542" t="str">
        <f t="shared" si="1197"/>
        <v/>
      </c>
      <c r="S7542" t="str">
        <f t="shared" si="1198"/>
        <v/>
      </c>
      <c r="T7542" t="str">
        <f t="shared" si="1199"/>
        <v/>
      </c>
      <c r="U7542" t="str">
        <f t="shared" si="1200"/>
        <v/>
      </c>
      <c r="V7542" t="str">
        <f t="shared" si="1201"/>
        <v/>
      </c>
      <c r="W7542" t="str">
        <f t="shared" si="1202"/>
        <v/>
      </c>
      <c r="X7542">
        <f t="shared" si="1204"/>
        <v>0</v>
      </c>
      <c r="Z7542" t="str">
        <f t="shared" si="1203"/>
        <v/>
      </c>
      <c r="AA7542">
        <f t="shared" si="1205"/>
        <v>0</v>
      </c>
    </row>
    <row r="7543" spans="1:27" ht="21" customHeight="1" x14ac:dyDescent="0.95">
      <c r="A7543" s="56"/>
      <c r="B7543" s="57"/>
      <c r="C7543" s="57"/>
      <c r="D7543" s="57"/>
      <c r="E7543" s="56"/>
      <c r="F7543" s="57"/>
      <c r="G7543" s="57"/>
      <c r="H7543" s="56"/>
      <c r="I7543" s="56"/>
      <c r="J7543" s="58"/>
      <c r="K7543" s="58"/>
      <c r="L7543" s="13" t="str">
        <f t="shared" si="1194"/>
        <v/>
      </c>
      <c r="M7543" s="13" t="str">
        <f t="shared" si="1195"/>
        <v/>
      </c>
      <c r="Q7543" t="str">
        <f t="shared" si="1196"/>
        <v/>
      </c>
      <c r="R7543" t="str">
        <f t="shared" si="1197"/>
        <v/>
      </c>
      <c r="S7543" t="str">
        <f t="shared" si="1198"/>
        <v/>
      </c>
      <c r="T7543" t="str">
        <f t="shared" si="1199"/>
        <v/>
      </c>
      <c r="U7543" t="str">
        <f t="shared" si="1200"/>
        <v/>
      </c>
      <c r="V7543" t="str">
        <f t="shared" si="1201"/>
        <v/>
      </c>
      <c r="W7543" t="str">
        <f t="shared" si="1202"/>
        <v/>
      </c>
      <c r="X7543">
        <f t="shared" si="1204"/>
        <v>0</v>
      </c>
      <c r="Z7543" t="str">
        <f t="shared" si="1203"/>
        <v/>
      </c>
      <c r="AA7543">
        <f t="shared" si="1205"/>
        <v>0</v>
      </c>
    </row>
    <row r="7544" spans="1:27" ht="21" customHeight="1" x14ac:dyDescent="0.95">
      <c r="A7544" s="56"/>
      <c r="B7544" s="57"/>
      <c r="C7544" s="57"/>
      <c r="D7544" s="57"/>
      <c r="E7544" s="56"/>
      <c r="F7544" s="57"/>
      <c r="G7544" s="57"/>
      <c r="H7544" s="56"/>
      <c r="I7544" s="56"/>
      <c r="J7544" s="58"/>
      <c r="K7544" s="58"/>
      <c r="L7544" s="13" t="str">
        <f t="shared" si="1194"/>
        <v/>
      </c>
      <c r="M7544" s="13" t="str">
        <f t="shared" si="1195"/>
        <v/>
      </c>
      <c r="Q7544" t="str">
        <f t="shared" si="1196"/>
        <v/>
      </c>
      <c r="R7544" t="str">
        <f t="shared" si="1197"/>
        <v/>
      </c>
      <c r="S7544" t="str">
        <f t="shared" si="1198"/>
        <v/>
      </c>
      <c r="T7544" t="str">
        <f t="shared" si="1199"/>
        <v/>
      </c>
      <c r="U7544" t="str">
        <f t="shared" si="1200"/>
        <v/>
      </c>
      <c r="V7544" t="str">
        <f t="shared" si="1201"/>
        <v/>
      </c>
      <c r="W7544" t="str">
        <f t="shared" si="1202"/>
        <v/>
      </c>
      <c r="X7544">
        <f t="shared" si="1204"/>
        <v>0</v>
      </c>
      <c r="Z7544" t="str">
        <f t="shared" si="1203"/>
        <v/>
      </c>
      <c r="AA7544">
        <f t="shared" si="1205"/>
        <v>0</v>
      </c>
    </row>
    <row r="7545" spans="1:27" ht="21" customHeight="1" x14ac:dyDescent="0.95">
      <c r="A7545" s="56"/>
      <c r="B7545" s="57"/>
      <c r="C7545" s="57"/>
      <c r="D7545" s="57"/>
      <c r="E7545" s="56"/>
      <c r="F7545" s="57"/>
      <c r="G7545" s="57"/>
      <c r="H7545" s="56"/>
      <c r="I7545" s="56"/>
      <c r="J7545" s="58"/>
      <c r="K7545" s="58"/>
      <c r="L7545" s="13" t="str">
        <f t="shared" si="1194"/>
        <v/>
      </c>
      <c r="M7545" s="13" t="str">
        <f t="shared" si="1195"/>
        <v/>
      </c>
      <c r="Q7545" t="str">
        <f t="shared" si="1196"/>
        <v/>
      </c>
      <c r="R7545" t="str">
        <f t="shared" si="1197"/>
        <v/>
      </c>
      <c r="S7545" t="str">
        <f t="shared" si="1198"/>
        <v/>
      </c>
      <c r="T7545" t="str">
        <f t="shared" si="1199"/>
        <v/>
      </c>
      <c r="U7545" t="str">
        <f t="shared" si="1200"/>
        <v/>
      </c>
      <c r="V7545" t="str">
        <f t="shared" si="1201"/>
        <v/>
      </c>
      <c r="W7545" t="str">
        <f t="shared" si="1202"/>
        <v/>
      </c>
      <c r="X7545">
        <f t="shared" si="1204"/>
        <v>0</v>
      </c>
      <c r="Z7545" t="str">
        <f t="shared" si="1203"/>
        <v/>
      </c>
      <c r="AA7545">
        <f t="shared" si="1205"/>
        <v>0</v>
      </c>
    </row>
    <row r="7546" spans="1:27" ht="21" customHeight="1" x14ac:dyDescent="0.95">
      <c r="A7546" s="56"/>
      <c r="B7546" s="57"/>
      <c r="C7546" s="57"/>
      <c r="D7546" s="57"/>
      <c r="E7546" s="56"/>
      <c r="F7546" s="57"/>
      <c r="G7546" s="57"/>
      <c r="H7546" s="56"/>
      <c r="I7546" s="56"/>
      <c r="J7546" s="58"/>
      <c r="K7546" s="58"/>
      <c r="L7546" s="13" t="str">
        <f t="shared" si="1194"/>
        <v/>
      </c>
      <c r="M7546" s="13" t="str">
        <f t="shared" si="1195"/>
        <v/>
      </c>
      <c r="Q7546" t="str">
        <f t="shared" si="1196"/>
        <v/>
      </c>
      <c r="R7546" t="str">
        <f t="shared" si="1197"/>
        <v/>
      </c>
      <c r="S7546" t="str">
        <f t="shared" si="1198"/>
        <v/>
      </c>
      <c r="T7546" t="str">
        <f t="shared" si="1199"/>
        <v/>
      </c>
      <c r="U7546" t="str">
        <f t="shared" si="1200"/>
        <v/>
      </c>
      <c r="V7546" t="str">
        <f t="shared" si="1201"/>
        <v/>
      </c>
      <c r="W7546" t="str">
        <f t="shared" si="1202"/>
        <v/>
      </c>
      <c r="X7546">
        <f t="shared" si="1204"/>
        <v>0</v>
      </c>
      <c r="Z7546" t="str">
        <f t="shared" si="1203"/>
        <v/>
      </c>
      <c r="AA7546">
        <f t="shared" si="1205"/>
        <v>0</v>
      </c>
    </row>
    <row r="7547" spans="1:27" ht="21" customHeight="1" x14ac:dyDescent="0.95">
      <c r="A7547" s="56"/>
      <c r="B7547" s="57"/>
      <c r="C7547" s="57"/>
      <c r="D7547" s="57"/>
      <c r="E7547" s="56"/>
      <c r="F7547" s="57"/>
      <c r="G7547" s="57"/>
      <c r="H7547" s="56"/>
      <c r="I7547" s="56"/>
      <c r="J7547" s="58"/>
      <c r="K7547" s="58"/>
      <c r="L7547" s="13" t="str">
        <f t="shared" si="1194"/>
        <v/>
      </c>
      <c r="M7547" s="13" t="str">
        <f t="shared" si="1195"/>
        <v/>
      </c>
      <c r="Q7547" t="str">
        <f t="shared" si="1196"/>
        <v/>
      </c>
      <c r="R7547" t="str">
        <f t="shared" si="1197"/>
        <v/>
      </c>
      <c r="S7547" t="str">
        <f t="shared" si="1198"/>
        <v/>
      </c>
      <c r="T7547" t="str">
        <f t="shared" si="1199"/>
        <v/>
      </c>
      <c r="U7547" t="str">
        <f t="shared" si="1200"/>
        <v/>
      </c>
      <c r="V7547" t="str">
        <f t="shared" si="1201"/>
        <v/>
      </c>
      <c r="W7547" t="str">
        <f t="shared" si="1202"/>
        <v/>
      </c>
      <c r="X7547">
        <f t="shared" si="1204"/>
        <v>0</v>
      </c>
      <c r="Z7547" t="str">
        <f t="shared" si="1203"/>
        <v/>
      </c>
      <c r="AA7547">
        <f t="shared" si="1205"/>
        <v>0</v>
      </c>
    </row>
    <row r="7548" spans="1:27" ht="21" customHeight="1" x14ac:dyDescent="0.95">
      <c r="A7548" s="56"/>
      <c r="B7548" s="57"/>
      <c r="C7548" s="57"/>
      <c r="D7548" s="57"/>
      <c r="E7548" s="56"/>
      <c r="F7548" s="57"/>
      <c r="G7548" s="57"/>
      <c r="H7548" s="56"/>
      <c r="I7548" s="56"/>
      <c r="J7548" s="58"/>
      <c r="K7548" s="58"/>
      <c r="L7548" s="13" t="str">
        <f t="shared" si="1194"/>
        <v/>
      </c>
      <c r="M7548" s="13" t="str">
        <f t="shared" si="1195"/>
        <v/>
      </c>
      <c r="Q7548" t="str">
        <f t="shared" si="1196"/>
        <v/>
      </c>
      <c r="R7548" t="str">
        <f t="shared" si="1197"/>
        <v/>
      </c>
      <c r="S7548" t="str">
        <f t="shared" si="1198"/>
        <v/>
      </c>
      <c r="T7548" t="str">
        <f t="shared" si="1199"/>
        <v/>
      </c>
      <c r="U7548" t="str">
        <f t="shared" si="1200"/>
        <v/>
      </c>
      <c r="V7548" t="str">
        <f t="shared" si="1201"/>
        <v/>
      </c>
      <c r="W7548" t="str">
        <f t="shared" si="1202"/>
        <v/>
      </c>
      <c r="X7548">
        <f t="shared" si="1204"/>
        <v>0</v>
      </c>
      <c r="Z7548" t="str">
        <f t="shared" si="1203"/>
        <v/>
      </c>
      <c r="AA7548">
        <f t="shared" si="1205"/>
        <v>0</v>
      </c>
    </row>
    <row r="7549" spans="1:27" ht="21" customHeight="1" x14ac:dyDescent="0.95">
      <c r="A7549" s="56"/>
      <c r="B7549" s="57"/>
      <c r="C7549" s="57"/>
      <c r="D7549" s="57"/>
      <c r="E7549" s="56"/>
      <c r="F7549" s="57"/>
      <c r="G7549" s="57"/>
      <c r="H7549" s="56"/>
      <c r="I7549" s="56"/>
      <c r="J7549" s="58"/>
      <c r="K7549" s="58"/>
      <c r="L7549" s="13" t="str">
        <f t="shared" si="1194"/>
        <v/>
      </c>
      <c r="M7549" s="13" t="str">
        <f t="shared" si="1195"/>
        <v/>
      </c>
      <c r="Q7549" t="str">
        <f t="shared" si="1196"/>
        <v/>
      </c>
      <c r="R7549" t="str">
        <f t="shared" si="1197"/>
        <v/>
      </c>
      <c r="S7549" t="str">
        <f t="shared" si="1198"/>
        <v/>
      </c>
      <c r="T7549" t="str">
        <f t="shared" si="1199"/>
        <v/>
      </c>
      <c r="U7549" t="str">
        <f t="shared" si="1200"/>
        <v/>
      </c>
      <c r="V7549" t="str">
        <f t="shared" si="1201"/>
        <v/>
      </c>
      <c r="W7549" t="str">
        <f t="shared" si="1202"/>
        <v/>
      </c>
      <c r="X7549">
        <f t="shared" si="1204"/>
        <v>0</v>
      </c>
      <c r="Z7549" t="str">
        <f t="shared" si="1203"/>
        <v/>
      </c>
      <c r="AA7549">
        <f t="shared" si="1205"/>
        <v>0</v>
      </c>
    </row>
    <row r="7550" spans="1:27" ht="21" customHeight="1" x14ac:dyDescent="0.95">
      <c r="A7550" s="56"/>
      <c r="B7550" s="57"/>
      <c r="C7550" s="57"/>
      <c r="D7550" s="57"/>
      <c r="E7550" s="56"/>
      <c r="F7550" s="57"/>
      <c r="G7550" s="57"/>
      <c r="H7550" s="56"/>
      <c r="I7550" s="56"/>
      <c r="J7550" s="58"/>
      <c r="K7550" s="58"/>
      <c r="L7550" s="13" t="str">
        <f t="shared" si="1194"/>
        <v/>
      </c>
      <c r="M7550" s="13" t="str">
        <f t="shared" si="1195"/>
        <v/>
      </c>
      <c r="Q7550" t="str">
        <f t="shared" si="1196"/>
        <v/>
      </c>
      <c r="R7550" t="str">
        <f t="shared" si="1197"/>
        <v/>
      </c>
      <c r="S7550" t="str">
        <f t="shared" si="1198"/>
        <v/>
      </c>
      <c r="T7550" t="str">
        <f t="shared" si="1199"/>
        <v/>
      </c>
      <c r="U7550" t="str">
        <f t="shared" si="1200"/>
        <v/>
      </c>
      <c r="V7550" t="str">
        <f t="shared" si="1201"/>
        <v/>
      </c>
      <c r="W7550" t="str">
        <f t="shared" si="1202"/>
        <v/>
      </c>
      <c r="X7550">
        <f t="shared" si="1204"/>
        <v>0</v>
      </c>
      <c r="Z7550" t="str">
        <f t="shared" si="1203"/>
        <v/>
      </c>
      <c r="AA7550">
        <f t="shared" si="1205"/>
        <v>0</v>
      </c>
    </row>
    <row r="7551" spans="1:27" ht="21" customHeight="1" x14ac:dyDescent="0.95">
      <c r="A7551" s="56"/>
      <c r="B7551" s="57"/>
      <c r="C7551" s="57"/>
      <c r="D7551" s="57"/>
      <c r="E7551" s="56"/>
      <c r="F7551" s="57"/>
      <c r="G7551" s="57"/>
      <c r="H7551" s="56"/>
      <c r="I7551" s="56"/>
      <c r="J7551" s="58"/>
      <c r="K7551" s="58"/>
      <c r="L7551" s="13" t="str">
        <f t="shared" si="1194"/>
        <v/>
      </c>
      <c r="M7551" s="13" t="str">
        <f t="shared" si="1195"/>
        <v/>
      </c>
      <c r="Q7551" t="str">
        <f t="shared" si="1196"/>
        <v/>
      </c>
      <c r="R7551" t="str">
        <f t="shared" si="1197"/>
        <v/>
      </c>
      <c r="S7551" t="str">
        <f t="shared" si="1198"/>
        <v/>
      </c>
      <c r="T7551" t="str">
        <f t="shared" si="1199"/>
        <v/>
      </c>
      <c r="U7551" t="str">
        <f t="shared" si="1200"/>
        <v/>
      </c>
      <c r="V7551" t="str">
        <f t="shared" si="1201"/>
        <v/>
      </c>
      <c r="W7551" t="str">
        <f t="shared" si="1202"/>
        <v/>
      </c>
      <c r="X7551">
        <f t="shared" si="1204"/>
        <v>0</v>
      </c>
      <c r="Z7551" t="str">
        <f t="shared" si="1203"/>
        <v/>
      </c>
      <c r="AA7551">
        <f t="shared" si="1205"/>
        <v>0</v>
      </c>
    </row>
    <row r="7552" spans="1:27" ht="21" customHeight="1" x14ac:dyDescent="0.95">
      <c r="A7552" s="56"/>
      <c r="B7552" s="57"/>
      <c r="C7552" s="57"/>
      <c r="D7552" s="57"/>
      <c r="E7552" s="56"/>
      <c r="F7552" s="57"/>
      <c r="G7552" s="57"/>
      <c r="H7552" s="56"/>
      <c r="I7552" s="56"/>
      <c r="J7552" s="58"/>
      <c r="K7552" s="58"/>
      <c r="L7552" s="13" t="str">
        <f t="shared" si="1194"/>
        <v/>
      </c>
      <c r="M7552" s="13" t="str">
        <f t="shared" si="1195"/>
        <v/>
      </c>
      <c r="Q7552" t="str">
        <f t="shared" si="1196"/>
        <v/>
      </c>
      <c r="R7552" t="str">
        <f t="shared" si="1197"/>
        <v/>
      </c>
      <c r="S7552" t="str">
        <f t="shared" si="1198"/>
        <v/>
      </c>
      <c r="T7552" t="str">
        <f t="shared" si="1199"/>
        <v/>
      </c>
      <c r="U7552" t="str">
        <f t="shared" si="1200"/>
        <v/>
      </c>
      <c r="V7552" t="str">
        <f t="shared" si="1201"/>
        <v/>
      </c>
      <c r="W7552" t="str">
        <f t="shared" si="1202"/>
        <v/>
      </c>
      <c r="X7552">
        <f t="shared" si="1204"/>
        <v>0</v>
      </c>
      <c r="Z7552" t="str">
        <f t="shared" si="1203"/>
        <v/>
      </c>
      <c r="AA7552">
        <f t="shared" si="1205"/>
        <v>0</v>
      </c>
    </row>
    <row r="7553" spans="1:27" ht="21" customHeight="1" x14ac:dyDescent="0.95">
      <c r="A7553" s="56"/>
      <c r="B7553" s="57"/>
      <c r="C7553" s="57"/>
      <c r="D7553" s="57"/>
      <c r="E7553" s="56"/>
      <c r="F7553" s="57"/>
      <c r="G7553" s="57"/>
      <c r="H7553" s="56"/>
      <c r="I7553" s="56"/>
      <c r="J7553" s="58"/>
      <c r="K7553" s="58"/>
      <c r="L7553" s="13" t="str">
        <f t="shared" si="1194"/>
        <v/>
      </c>
      <c r="M7553" s="13" t="str">
        <f t="shared" si="1195"/>
        <v/>
      </c>
      <c r="Q7553" t="str">
        <f t="shared" si="1196"/>
        <v/>
      </c>
      <c r="R7553" t="str">
        <f t="shared" si="1197"/>
        <v/>
      </c>
      <c r="S7553" t="str">
        <f t="shared" si="1198"/>
        <v/>
      </c>
      <c r="T7553" t="str">
        <f t="shared" si="1199"/>
        <v/>
      </c>
      <c r="U7553" t="str">
        <f t="shared" si="1200"/>
        <v/>
      </c>
      <c r="V7553" t="str">
        <f t="shared" si="1201"/>
        <v/>
      </c>
      <c r="W7553" t="str">
        <f t="shared" si="1202"/>
        <v/>
      </c>
      <c r="X7553">
        <f t="shared" si="1204"/>
        <v>0</v>
      </c>
      <c r="Z7553" t="str">
        <f t="shared" si="1203"/>
        <v/>
      </c>
      <c r="AA7553">
        <f t="shared" si="1205"/>
        <v>0</v>
      </c>
    </row>
    <row r="7554" spans="1:27" ht="21" customHeight="1" x14ac:dyDescent="0.95">
      <c r="A7554" s="56"/>
      <c r="B7554" s="57"/>
      <c r="C7554" s="57"/>
      <c r="D7554" s="57"/>
      <c r="E7554" s="56"/>
      <c r="F7554" s="57"/>
      <c r="G7554" s="57"/>
      <c r="H7554" s="56"/>
      <c r="I7554" s="56"/>
      <c r="J7554" s="58"/>
      <c r="K7554" s="58"/>
      <c r="L7554" s="13" t="str">
        <f t="shared" si="1194"/>
        <v/>
      </c>
      <c r="M7554" s="13" t="str">
        <f t="shared" si="1195"/>
        <v/>
      </c>
      <c r="Q7554" t="str">
        <f t="shared" si="1196"/>
        <v/>
      </c>
      <c r="R7554" t="str">
        <f t="shared" si="1197"/>
        <v/>
      </c>
      <c r="S7554" t="str">
        <f t="shared" si="1198"/>
        <v/>
      </c>
      <c r="T7554" t="str">
        <f t="shared" si="1199"/>
        <v/>
      </c>
      <c r="U7554" t="str">
        <f t="shared" si="1200"/>
        <v/>
      </c>
      <c r="V7554" t="str">
        <f t="shared" si="1201"/>
        <v/>
      </c>
      <c r="W7554" t="str">
        <f t="shared" si="1202"/>
        <v/>
      </c>
      <c r="X7554">
        <f t="shared" si="1204"/>
        <v>0</v>
      </c>
      <c r="Z7554" t="str">
        <f t="shared" si="1203"/>
        <v/>
      </c>
      <c r="AA7554">
        <f t="shared" si="1205"/>
        <v>0</v>
      </c>
    </row>
    <row r="7555" spans="1:27" ht="21" customHeight="1" x14ac:dyDescent="0.95">
      <c r="A7555" s="56"/>
      <c r="B7555" s="57"/>
      <c r="C7555" s="57"/>
      <c r="D7555" s="57"/>
      <c r="E7555" s="56"/>
      <c r="F7555" s="57"/>
      <c r="G7555" s="57"/>
      <c r="H7555" s="56"/>
      <c r="I7555" s="56"/>
      <c r="J7555" s="58"/>
      <c r="K7555" s="58"/>
      <c r="L7555" s="13" t="str">
        <f t="shared" si="1194"/>
        <v/>
      </c>
      <c r="M7555" s="13" t="str">
        <f t="shared" si="1195"/>
        <v/>
      </c>
      <c r="Q7555" t="str">
        <f t="shared" si="1196"/>
        <v/>
      </c>
      <c r="R7555" t="str">
        <f t="shared" si="1197"/>
        <v/>
      </c>
      <c r="S7555" t="str">
        <f t="shared" si="1198"/>
        <v/>
      </c>
      <c r="T7555" t="str">
        <f t="shared" si="1199"/>
        <v/>
      </c>
      <c r="U7555" t="str">
        <f t="shared" si="1200"/>
        <v/>
      </c>
      <c r="V7555" t="str">
        <f t="shared" si="1201"/>
        <v/>
      </c>
      <c r="W7555" t="str">
        <f t="shared" si="1202"/>
        <v/>
      </c>
      <c r="X7555">
        <f t="shared" si="1204"/>
        <v>0</v>
      </c>
      <c r="Z7555" t="str">
        <f t="shared" si="1203"/>
        <v/>
      </c>
      <c r="AA7555">
        <f t="shared" si="1205"/>
        <v>0</v>
      </c>
    </row>
    <row r="7556" spans="1:27" ht="21" customHeight="1" x14ac:dyDescent="0.95">
      <c r="A7556" s="56"/>
      <c r="B7556" s="57"/>
      <c r="C7556" s="57"/>
      <c r="D7556" s="57"/>
      <c r="E7556" s="56"/>
      <c r="F7556" s="57"/>
      <c r="G7556" s="57"/>
      <c r="H7556" s="56"/>
      <c r="I7556" s="56"/>
      <c r="J7556" s="58"/>
      <c r="K7556" s="58"/>
      <c r="L7556" s="13" t="str">
        <f t="shared" ref="L7556:L7619" si="1206">IF(OR($A7556="",AND($J7556="",$K7556="")),"",ROUND(N($J7556)-N($K7556),2))</f>
        <v/>
      </c>
      <c r="M7556" s="13" t="str">
        <f t="shared" ref="M7556:M7619" si="1207">IF(OR($A7556="",AND($J7556="",$K7556="")),"",MIN($J7556,$K7556))</f>
        <v/>
      </c>
      <c r="Q7556" t="str">
        <f t="shared" ref="Q7556:Q7619" si="1208">IF($A7556="","",$D7556&amp;"("&amp;SUBSTITUTE($E7556," ","")&amp;")")</f>
        <v/>
      </c>
      <c r="R7556" t="str">
        <f t="shared" ref="R7556:R7619" si="1209">IF($A7556="","",$B7556&amp;" - "&amp;$C7556)</f>
        <v/>
      </c>
      <c r="S7556" t="str">
        <f t="shared" ref="S7556:S7619" si="1210">IF($A7556="","",$R7556&amp;"|"&amp;$Q7556)</f>
        <v/>
      </c>
      <c r="T7556" t="str">
        <f t="shared" ref="T7556:T7619" si="1211">IF($A7556="","",$S7556&amp;"|"&amp;$F7556)</f>
        <v/>
      </c>
      <c r="U7556" t="str">
        <f t="shared" ref="U7556:U7619" si="1212">IF($A7556="","",$R7556&amp;"("&amp;$E7556&amp;")")</f>
        <v/>
      </c>
      <c r="V7556" t="str">
        <f t="shared" ref="V7556:V7619" si="1213">IF($A7556="","",$F7556&amp;"|"&amp;$U7556&amp;"|"&amp;$D7556)</f>
        <v/>
      </c>
      <c r="W7556" t="str">
        <f t="shared" si="1202"/>
        <v/>
      </c>
      <c r="X7556">
        <f t="shared" si="1204"/>
        <v>0</v>
      </c>
      <c r="Z7556" t="str">
        <f t="shared" si="1203"/>
        <v/>
      </c>
      <c r="AA7556">
        <f t="shared" si="1205"/>
        <v>0</v>
      </c>
    </row>
    <row r="7557" spans="1:27" ht="21" customHeight="1" x14ac:dyDescent="0.95">
      <c r="A7557" s="56"/>
      <c r="B7557" s="57"/>
      <c r="C7557" s="57"/>
      <c r="D7557" s="57"/>
      <c r="E7557" s="56"/>
      <c r="F7557" s="57"/>
      <c r="G7557" s="57"/>
      <c r="H7557" s="56"/>
      <c r="I7557" s="56"/>
      <c r="J7557" s="58"/>
      <c r="K7557" s="58"/>
      <c r="L7557" s="13" t="str">
        <f t="shared" si="1206"/>
        <v/>
      </c>
      <c r="M7557" s="13" t="str">
        <f t="shared" si="1207"/>
        <v/>
      </c>
      <c r="Q7557" t="str">
        <f t="shared" si="1208"/>
        <v/>
      </c>
      <c r="R7557" t="str">
        <f t="shared" si="1209"/>
        <v/>
      </c>
      <c r="S7557" t="str">
        <f t="shared" si="1210"/>
        <v/>
      </c>
      <c r="T7557" t="str">
        <f t="shared" si="1211"/>
        <v/>
      </c>
      <c r="U7557" t="str">
        <f t="shared" si="1212"/>
        <v/>
      </c>
      <c r="V7557" t="str">
        <f t="shared" si="1213"/>
        <v/>
      </c>
      <c r="W7557" t="str">
        <f t="shared" si="1202"/>
        <v/>
      </c>
      <c r="X7557">
        <f t="shared" si="1204"/>
        <v>0</v>
      </c>
      <c r="Z7557" t="str">
        <f t="shared" si="1203"/>
        <v/>
      </c>
      <c r="AA7557">
        <f t="shared" si="1205"/>
        <v>0</v>
      </c>
    </row>
    <row r="7558" spans="1:27" ht="21" customHeight="1" x14ac:dyDescent="0.95">
      <c r="A7558" s="56"/>
      <c r="B7558" s="57"/>
      <c r="C7558" s="57"/>
      <c r="D7558" s="57"/>
      <c r="E7558" s="56"/>
      <c r="F7558" s="57"/>
      <c r="G7558" s="57"/>
      <c r="H7558" s="56"/>
      <c r="I7558" s="56"/>
      <c r="J7558" s="58"/>
      <c r="K7558" s="58"/>
      <c r="L7558" s="13" t="str">
        <f t="shared" si="1206"/>
        <v/>
      </c>
      <c r="M7558" s="13" t="str">
        <f t="shared" si="1207"/>
        <v/>
      </c>
      <c r="Q7558" t="str">
        <f t="shared" si="1208"/>
        <v/>
      </c>
      <c r="R7558" t="str">
        <f t="shared" si="1209"/>
        <v/>
      </c>
      <c r="S7558" t="str">
        <f t="shared" si="1210"/>
        <v/>
      </c>
      <c r="T7558" t="str">
        <f t="shared" si="1211"/>
        <v/>
      </c>
      <c r="U7558" t="str">
        <f t="shared" si="1212"/>
        <v/>
      </c>
      <c r="V7558" t="str">
        <f t="shared" si="1213"/>
        <v/>
      </c>
      <c r="W7558" t="str">
        <f t="shared" ref="W7558:W7621" si="1214">IF($T7558="","",IF($X7558&gt;N($X7557),$X7558,""))</f>
        <v/>
      </c>
      <c r="X7558">
        <f t="shared" si="1204"/>
        <v>0</v>
      </c>
      <c r="Z7558" t="str">
        <f t="shared" ref="Z7558:Z7621" si="1215">IF($V7558="","",IF($AA7558&gt;N($AA7557),$AA7558,""))</f>
        <v/>
      </c>
      <c r="AA7558">
        <f t="shared" si="1205"/>
        <v>0</v>
      </c>
    </row>
    <row r="7559" spans="1:27" ht="21" customHeight="1" x14ac:dyDescent="0.95">
      <c r="A7559" s="56"/>
      <c r="B7559" s="57"/>
      <c r="C7559" s="57"/>
      <c r="D7559" s="57"/>
      <c r="E7559" s="56"/>
      <c r="F7559" s="57"/>
      <c r="G7559" s="57"/>
      <c r="H7559" s="56"/>
      <c r="I7559" s="56"/>
      <c r="J7559" s="58"/>
      <c r="K7559" s="58"/>
      <c r="L7559" s="13" t="str">
        <f t="shared" si="1206"/>
        <v/>
      </c>
      <c r="M7559" s="13" t="str">
        <f t="shared" si="1207"/>
        <v/>
      </c>
      <c r="Q7559" t="str">
        <f t="shared" si="1208"/>
        <v/>
      </c>
      <c r="R7559" t="str">
        <f t="shared" si="1209"/>
        <v/>
      </c>
      <c r="S7559" t="str">
        <f t="shared" si="1210"/>
        <v/>
      </c>
      <c r="T7559" t="str">
        <f t="shared" si="1211"/>
        <v/>
      </c>
      <c r="U7559" t="str">
        <f t="shared" si="1212"/>
        <v/>
      </c>
      <c r="V7559" t="str">
        <f t="shared" si="1213"/>
        <v/>
      </c>
      <c r="W7559" t="str">
        <f t="shared" si="1214"/>
        <v/>
      </c>
      <c r="X7559">
        <f t="shared" si="1204"/>
        <v>0</v>
      </c>
      <c r="Z7559" t="str">
        <f t="shared" si="1215"/>
        <v/>
      </c>
      <c r="AA7559">
        <f t="shared" si="1205"/>
        <v>0</v>
      </c>
    </row>
    <row r="7560" spans="1:27" ht="21" customHeight="1" x14ac:dyDescent="0.95">
      <c r="A7560" s="56"/>
      <c r="B7560" s="57"/>
      <c r="C7560" s="57"/>
      <c r="D7560" s="57"/>
      <c r="E7560" s="56"/>
      <c r="F7560" s="57"/>
      <c r="G7560" s="57"/>
      <c r="H7560" s="56"/>
      <c r="I7560" s="56"/>
      <c r="J7560" s="58"/>
      <c r="K7560" s="58"/>
      <c r="L7560" s="13" t="str">
        <f t="shared" si="1206"/>
        <v/>
      </c>
      <c r="M7560" s="13" t="str">
        <f t="shared" si="1207"/>
        <v/>
      </c>
      <c r="Q7560" t="str">
        <f t="shared" si="1208"/>
        <v/>
      </c>
      <c r="R7560" t="str">
        <f t="shared" si="1209"/>
        <v/>
      </c>
      <c r="S7560" t="str">
        <f t="shared" si="1210"/>
        <v/>
      </c>
      <c r="T7560" t="str">
        <f t="shared" si="1211"/>
        <v/>
      </c>
      <c r="U7560" t="str">
        <f t="shared" si="1212"/>
        <v/>
      </c>
      <c r="V7560" t="str">
        <f t="shared" si="1213"/>
        <v/>
      </c>
      <c r="W7560" t="str">
        <f t="shared" si="1214"/>
        <v/>
      </c>
      <c r="X7560">
        <f t="shared" si="1204"/>
        <v>0</v>
      </c>
      <c r="Z7560" t="str">
        <f t="shared" si="1215"/>
        <v/>
      </c>
      <c r="AA7560">
        <f t="shared" si="1205"/>
        <v>0</v>
      </c>
    </row>
    <row r="7561" spans="1:27" ht="21" customHeight="1" x14ac:dyDescent="0.95">
      <c r="A7561" s="56"/>
      <c r="B7561" s="57"/>
      <c r="C7561" s="57"/>
      <c r="D7561" s="57"/>
      <c r="E7561" s="56"/>
      <c r="F7561" s="57"/>
      <c r="G7561" s="57"/>
      <c r="H7561" s="56"/>
      <c r="I7561" s="56"/>
      <c r="J7561" s="58"/>
      <c r="K7561" s="58"/>
      <c r="L7561" s="13" t="str">
        <f t="shared" si="1206"/>
        <v/>
      </c>
      <c r="M7561" s="13" t="str">
        <f t="shared" si="1207"/>
        <v/>
      </c>
      <c r="Q7561" t="str">
        <f t="shared" si="1208"/>
        <v/>
      </c>
      <c r="R7561" t="str">
        <f t="shared" si="1209"/>
        <v/>
      </c>
      <c r="S7561" t="str">
        <f t="shared" si="1210"/>
        <v/>
      </c>
      <c r="T7561" t="str">
        <f t="shared" si="1211"/>
        <v/>
      </c>
      <c r="U7561" t="str">
        <f t="shared" si="1212"/>
        <v/>
      </c>
      <c r="V7561" t="str">
        <f t="shared" si="1213"/>
        <v/>
      </c>
      <c r="W7561" t="str">
        <f t="shared" si="1214"/>
        <v/>
      </c>
      <c r="X7561">
        <f t="shared" si="1204"/>
        <v>0</v>
      </c>
      <c r="Z7561" t="str">
        <f t="shared" si="1215"/>
        <v/>
      </c>
      <c r="AA7561">
        <f t="shared" si="1205"/>
        <v>0</v>
      </c>
    </row>
    <row r="7562" spans="1:27" ht="21" customHeight="1" x14ac:dyDescent="0.95">
      <c r="A7562" s="56"/>
      <c r="B7562" s="57"/>
      <c r="C7562" s="57"/>
      <c r="D7562" s="57"/>
      <c r="E7562" s="56"/>
      <c r="F7562" s="57"/>
      <c r="G7562" s="57"/>
      <c r="H7562" s="56"/>
      <c r="I7562" s="56"/>
      <c r="J7562" s="58"/>
      <c r="K7562" s="58"/>
      <c r="L7562" s="13" t="str">
        <f t="shared" si="1206"/>
        <v/>
      </c>
      <c r="M7562" s="13" t="str">
        <f t="shared" si="1207"/>
        <v/>
      </c>
      <c r="Q7562" t="str">
        <f t="shared" si="1208"/>
        <v/>
      </c>
      <c r="R7562" t="str">
        <f t="shared" si="1209"/>
        <v/>
      </c>
      <c r="S7562" t="str">
        <f t="shared" si="1210"/>
        <v/>
      </c>
      <c r="T7562" t="str">
        <f t="shared" si="1211"/>
        <v/>
      </c>
      <c r="U7562" t="str">
        <f t="shared" si="1212"/>
        <v/>
      </c>
      <c r="V7562" t="str">
        <f t="shared" si="1213"/>
        <v/>
      </c>
      <c r="W7562" t="str">
        <f t="shared" si="1214"/>
        <v/>
      </c>
      <c r="X7562">
        <f t="shared" si="1204"/>
        <v>0</v>
      </c>
      <c r="Z7562" t="str">
        <f t="shared" si="1215"/>
        <v/>
      </c>
      <c r="AA7562">
        <f t="shared" si="1205"/>
        <v>0</v>
      </c>
    </row>
    <row r="7563" spans="1:27" ht="21" customHeight="1" x14ac:dyDescent="0.95">
      <c r="A7563" s="56"/>
      <c r="B7563" s="57"/>
      <c r="C7563" s="57"/>
      <c r="D7563" s="57"/>
      <c r="E7563" s="56"/>
      <c r="F7563" s="57"/>
      <c r="G7563" s="57"/>
      <c r="H7563" s="56"/>
      <c r="I7563" s="56"/>
      <c r="J7563" s="58"/>
      <c r="K7563" s="58"/>
      <c r="L7563" s="13" t="str">
        <f t="shared" si="1206"/>
        <v/>
      </c>
      <c r="M7563" s="13" t="str">
        <f t="shared" si="1207"/>
        <v/>
      </c>
      <c r="Q7563" t="str">
        <f t="shared" si="1208"/>
        <v/>
      </c>
      <c r="R7563" t="str">
        <f t="shared" si="1209"/>
        <v/>
      </c>
      <c r="S7563" t="str">
        <f t="shared" si="1210"/>
        <v/>
      </c>
      <c r="T7563" t="str">
        <f t="shared" si="1211"/>
        <v/>
      </c>
      <c r="U7563" t="str">
        <f t="shared" si="1212"/>
        <v/>
      </c>
      <c r="V7563" t="str">
        <f t="shared" si="1213"/>
        <v/>
      </c>
      <c r="W7563" t="str">
        <f t="shared" si="1214"/>
        <v/>
      </c>
      <c r="X7563">
        <f t="shared" si="1204"/>
        <v>0</v>
      </c>
      <c r="Z7563" t="str">
        <f t="shared" si="1215"/>
        <v/>
      </c>
      <c r="AA7563">
        <f t="shared" si="1205"/>
        <v>0</v>
      </c>
    </row>
    <row r="7564" spans="1:27" ht="21" customHeight="1" x14ac:dyDescent="0.95">
      <c r="A7564" s="56"/>
      <c r="B7564" s="57"/>
      <c r="C7564" s="57"/>
      <c r="D7564" s="57"/>
      <c r="E7564" s="56"/>
      <c r="F7564" s="57"/>
      <c r="G7564" s="57"/>
      <c r="H7564" s="56"/>
      <c r="I7564" s="56"/>
      <c r="J7564" s="58"/>
      <c r="K7564" s="58"/>
      <c r="L7564" s="13" t="str">
        <f t="shared" si="1206"/>
        <v/>
      </c>
      <c r="M7564" s="13" t="str">
        <f t="shared" si="1207"/>
        <v/>
      </c>
      <c r="Q7564" t="str">
        <f t="shared" si="1208"/>
        <v/>
      </c>
      <c r="R7564" t="str">
        <f t="shared" si="1209"/>
        <v/>
      </c>
      <c r="S7564" t="str">
        <f t="shared" si="1210"/>
        <v/>
      </c>
      <c r="T7564" t="str">
        <f t="shared" si="1211"/>
        <v/>
      </c>
      <c r="U7564" t="str">
        <f t="shared" si="1212"/>
        <v/>
      </c>
      <c r="V7564" t="str">
        <f t="shared" si="1213"/>
        <v/>
      </c>
      <c r="W7564" t="str">
        <f t="shared" si="1214"/>
        <v/>
      </c>
      <c r="X7564">
        <f t="shared" si="1204"/>
        <v>0</v>
      </c>
      <c r="Z7564" t="str">
        <f t="shared" si="1215"/>
        <v/>
      </c>
      <c r="AA7564">
        <f t="shared" si="1205"/>
        <v>0</v>
      </c>
    </row>
    <row r="7565" spans="1:27" ht="21" customHeight="1" x14ac:dyDescent="0.95">
      <c r="A7565" s="56"/>
      <c r="B7565" s="57"/>
      <c r="C7565" s="57"/>
      <c r="D7565" s="57"/>
      <c r="E7565" s="56"/>
      <c r="F7565" s="57"/>
      <c r="G7565" s="57"/>
      <c r="H7565" s="56"/>
      <c r="I7565" s="56"/>
      <c r="J7565" s="58"/>
      <c r="K7565" s="58"/>
      <c r="L7565" s="13" t="str">
        <f t="shared" si="1206"/>
        <v/>
      </c>
      <c r="M7565" s="13" t="str">
        <f t="shared" si="1207"/>
        <v/>
      </c>
      <c r="Q7565" t="str">
        <f t="shared" si="1208"/>
        <v/>
      </c>
      <c r="R7565" t="str">
        <f t="shared" si="1209"/>
        <v/>
      </c>
      <c r="S7565" t="str">
        <f t="shared" si="1210"/>
        <v/>
      </c>
      <c r="T7565" t="str">
        <f t="shared" si="1211"/>
        <v/>
      </c>
      <c r="U7565" t="str">
        <f t="shared" si="1212"/>
        <v/>
      </c>
      <c r="V7565" t="str">
        <f t="shared" si="1213"/>
        <v/>
      </c>
      <c r="W7565" t="str">
        <f t="shared" si="1214"/>
        <v/>
      </c>
      <c r="X7565">
        <f t="shared" si="1204"/>
        <v>0</v>
      </c>
      <c r="Z7565" t="str">
        <f t="shared" si="1215"/>
        <v/>
      </c>
      <c r="AA7565">
        <f t="shared" si="1205"/>
        <v>0</v>
      </c>
    </row>
    <row r="7566" spans="1:27" ht="21" customHeight="1" x14ac:dyDescent="0.95">
      <c r="A7566" s="56"/>
      <c r="B7566" s="57"/>
      <c r="C7566" s="57"/>
      <c r="D7566" s="57"/>
      <c r="E7566" s="56"/>
      <c r="F7566" s="57"/>
      <c r="G7566" s="57"/>
      <c r="H7566" s="56"/>
      <c r="I7566" s="56"/>
      <c r="J7566" s="58"/>
      <c r="K7566" s="58"/>
      <c r="L7566" s="13" t="str">
        <f t="shared" si="1206"/>
        <v/>
      </c>
      <c r="M7566" s="13" t="str">
        <f t="shared" si="1207"/>
        <v/>
      </c>
      <c r="Q7566" t="str">
        <f t="shared" si="1208"/>
        <v/>
      </c>
      <c r="R7566" t="str">
        <f t="shared" si="1209"/>
        <v/>
      </c>
      <c r="S7566" t="str">
        <f t="shared" si="1210"/>
        <v/>
      </c>
      <c r="T7566" t="str">
        <f t="shared" si="1211"/>
        <v/>
      </c>
      <c r="U7566" t="str">
        <f t="shared" si="1212"/>
        <v/>
      </c>
      <c r="V7566" t="str">
        <f t="shared" si="1213"/>
        <v/>
      </c>
      <c r="W7566" t="str">
        <f t="shared" si="1214"/>
        <v/>
      </c>
      <c r="X7566">
        <f t="shared" si="1204"/>
        <v>0</v>
      </c>
      <c r="Z7566" t="str">
        <f t="shared" si="1215"/>
        <v/>
      </c>
      <c r="AA7566">
        <f t="shared" si="1205"/>
        <v>0</v>
      </c>
    </row>
    <row r="7567" spans="1:27" ht="21" customHeight="1" x14ac:dyDescent="0.95">
      <c r="A7567" s="56"/>
      <c r="B7567" s="57"/>
      <c r="C7567" s="57"/>
      <c r="D7567" s="57"/>
      <c r="E7567" s="56"/>
      <c r="F7567" s="57"/>
      <c r="G7567" s="57"/>
      <c r="H7567" s="56"/>
      <c r="I7567" s="56"/>
      <c r="J7567" s="58"/>
      <c r="K7567" s="58"/>
      <c r="L7567" s="13" t="str">
        <f t="shared" si="1206"/>
        <v/>
      </c>
      <c r="M7567" s="13" t="str">
        <f t="shared" si="1207"/>
        <v/>
      </c>
      <c r="Q7567" t="str">
        <f t="shared" si="1208"/>
        <v/>
      </c>
      <c r="R7567" t="str">
        <f t="shared" si="1209"/>
        <v/>
      </c>
      <c r="S7567" t="str">
        <f t="shared" si="1210"/>
        <v/>
      </c>
      <c r="T7567" t="str">
        <f t="shared" si="1211"/>
        <v/>
      </c>
      <c r="U7567" t="str">
        <f t="shared" si="1212"/>
        <v/>
      </c>
      <c r="V7567" t="str">
        <f t="shared" si="1213"/>
        <v/>
      </c>
      <c r="W7567" t="str">
        <f t="shared" si="1214"/>
        <v/>
      </c>
      <c r="X7567">
        <f t="shared" si="1204"/>
        <v>0</v>
      </c>
      <c r="Z7567" t="str">
        <f t="shared" si="1215"/>
        <v/>
      </c>
      <c r="AA7567">
        <f t="shared" si="1205"/>
        <v>0</v>
      </c>
    </row>
    <row r="7568" spans="1:27" ht="21" customHeight="1" x14ac:dyDescent="0.95">
      <c r="A7568" s="56"/>
      <c r="B7568" s="57"/>
      <c r="C7568" s="57"/>
      <c r="D7568" s="57"/>
      <c r="E7568" s="56"/>
      <c r="F7568" s="57"/>
      <c r="G7568" s="57"/>
      <c r="H7568" s="56"/>
      <c r="I7568" s="56"/>
      <c r="J7568" s="58"/>
      <c r="K7568" s="58"/>
      <c r="L7568" s="13" t="str">
        <f t="shared" si="1206"/>
        <v/>
      </c>
      <c r="M7568" s="13" t="str">
        <f t="shared" si="1207"/>
        <v/>
      </c>
      <c r="Q7568" t="str">
        <f t="shared" si="1208"/>
        <v/>
      </c>
      <c r="R7568" t="str">
        <f t="shared" si="1209"/>
        <v/>
      </c>
      <c r="S7568" t="str">
        <f t="shared" si="1210"/>
        <v/>
      </c>
      <c r="T7568" t="str">
        <f t="shared" si="1211"/>
        <v/>
      </c>
      <c r="U7568" t="str">
        <f t="shared" si="1212"/>
        <v/>
      </c>
      <c r="V7568" t="str">
        <f t="shared" si="1213"/>
        <v/>
      </c>
      <c r="W7568" t="str">
        <f t="shared" si="1214"/>
        <v/>
      </c>
      <c r="X7568">
        <f t="shared" si="1204"/>
        <v>0</v>
      </c>
      <c r="Z7568" t="str">
        <f t="shared" si="1215"/>
        <v/>
      </c>
      <c r="AA7568">
        <f t="shared" si="1205"/>
        <v>0</v>
      </c>
    </row>
    <row r="7569" spans="1:27" ht="21" customHeight="1" x14ac:dyDescent="0.95">
      <c r="A7569" s="56"/>
      <c r="B7569" s="57"/>
      <c r="C7569" s="57"/>
      <c r="D7569" s="57"/>
      <c r="E7569" s="56"/>
      <c r="F7569" s="57"/>
      <c r="G7569" s="57"/>
      <c r="H7569" s="56"/>
      <c r="I7569" s="56"/>
      <c r="J7569" s="58"/>
      <c r="K7569" s="58"/>
      <c r="L7569" s="13" t="str">
        <f t="shared" si="1206"/>
        <v/>
      </c>
      <c r="M7569" s="13" t="str">
        <f t="shared" si="1207"/>
        <v/>
      </c>
      <c r="Q7569" t="str">
        <f t="shared" si="1208"/>
        <v/>
      </c>
      <c r="R7569" t="str">
        <f t="shared" si="1209"/>
        <v/>
      </c>
      <c r="S7569" t="str">
        <f t="shared" si="1210"/>
        <v/>
      </c>
      <c r="T7569" t="str">
        <f t="shared" si="1211"/>
        <v/>
      </c>
      <c r="U7569" t="str">
        <f t="shared" si="1212"/>
        <v/>
      </c>
      <c r="V7569" t="str">
        <f t="shared" si="1213"/>
        <v/>
      </c>
      <c r="W7569" t="str">
        <f t="shared" si="1214"/>
        <v/>
      </c>
      <c r="X7569">
        <f t="shared" si="1204"/>
        <v>0</v>
      </c>
      <c r="Z7569" t="str">
        <f t="shared" si="1215"/>
        <v/>
      </c>
      <c r="AA7569">
        <f t="shared" si="1205"/>
        <v>0</v>
      </c>
    </row>
    <row r="7570" spans="1:27" ht="21" customHeight="1" x14ac:dyDescent="0.95">
      <c r="A7570" s="56"/>
      <c r="B7570" s="57"/>
      <c r="C7570" s="57"/>
      <c r="D7570" s="57"/>
      <c r="E7570" s="56"/>
      <c r="F7570" s="57"/>
      <c r="G7570" s="57"/>
      <c r="H7570" s="56"/>
      <c r="I7570" s="56"/>
      <c r="J7570" s="58"/>
      <c r="K7570" s="58"/>
      <c r="L7570" s="13" t="str">
        <f t="shared" si="1206"/>
        <v/>
      </c>
      <c r="M7570" s="13" t="str">
        <f t="shared" si="1207"/>
        <v/>
      </c>
      <c r="Q7570" t="str">
        <f t="shared" si="1208"/>
        <v/>
      </c>
      <c r="R7570" t="str">
        <f t="shared" si="1209"/>
        <v/>
      </c>
      <c r="S7570" t="str">
        <f t="shared" si="1210"/>
        <v/>
      </c>
      <c r="T7570" t="str">
        <f t="shared" si="1211"/>
        <v/>
      </c>
      <c r="U7570" t="str">
        <f t="shared" si="1212"/>
        <v/>
      </c>
      <c r="V7570" t="str">
        <f t="shared" si="1213"/>
        <v/>
      </c>
      <c r="W7570" t="str">
        <f t="shared" si="1214"/>
        <v/>
      </c>
      <c r="X7570">
        <f t="shared" si="1204"/>
        <v>0</v>
      </c>
      <c r="Z7570" t="str">
        <f t="shared" si="1215"/>
        <v/>
      </c>
      <c r="AA7570">
        <f t="shared" si="1205"/>
        <v>0</v>
      </c>
    </row>
    <row r="7571" spans="1:27" ht="21" customHeight="1" x14ac:dyDescent="0.95">
      <c r="A7571" s="56"/>
      <c r="B7571" s="57"/>
      <c r="C7571" s="57"/>
      <c r="D7571" s="57"/>
      <c r="E7571" s="56"/>
      <c r="F7571" s="57"/>
      <c r="G7571" s="57"/>
      <c r="H7571" s="56"/>
      <c r="I7571" s="56"/>
      <c r="J7571" s="58"/>
      <c r="K7571" s="58"/>
      <c r="L7571" s="13" t="str">
        <f t="shared" si="1206"/>
        <v/>
      </c>
      <c r="M7571" s="13" t="str">
        <f t="shared" si="1207"/>
        <v/>
      </c>
      <c r="Q7571" t="str">
        <f t="shared" si="1208"/>
        <v/>
      </c>
      <c r="R7571" t="str">
        <f t="shared" si="1209"/>
        <v/>
      </c>
      <c r="S7571" t="str">
        <f t="shared" si="1210"/>
        <v/>
      </c>
      <c r="T7571" t="str">
        <f t="shared" si="1211"/>
        <v/>
      </c>
      <c r="U7571" t="str">
        <f t="shared" si="1212"/>
        <v/>
      </c>
      <c r="V7571" t="str">
        <f t="shared" si="1213"/>
        <v/>
      </c>
      <c r="W7571" t="str">
        <f t="shared" si="1214"/>
        <v/>
      </c>
      <c r="X7571">
        <f t="shared" si="1204"/>
        <v>0</v>
      </c>
      <c r="Z7571" t="str">
        <f t="shared" si="1215"/>
        <v/>
      </c>
      <c r="AA7571">
        <f t="shared" si="1205"/>
        <v>0</v>
      </c>
    </row>
    <row r="7572" spans="1:27" ht="21" customHeight="1" x14ac:dyDescent="0.95">
      <c r="A7572" s="56"/>
      <c r="B7572" s="57"/>
      <c r="C7572" s="57"/>
      <c r="D7572" s="57"/>
      <c r="E7572" s="56"/>
      <c r="F7572" s="57"/>
      <c r="G7572" s="57"/>
      <c r="H7572" s="56"/>
      <c r="I7572" s="56"/>
      <c r="J7572" s="58"/>
      <c r="K7572" s="58"/>
      <c r="L7572" s="13" t="str">
        <f t="shared" si="1206"/>
        <v/>
      </c>
      <c r="M7572" s="13" t="str">
        <f t="shared" si="1207"/>
        <v/>
      </c>
      <c r="Q7572" t="str">
        <f t="shared" si="1208"/>
        <v/>
      </c>
      <c r="R7572" t="str">
        <f t="shared" si="1209"/>
        <v/>
      </c>
      <c r="S7572" t="str">
        <f t="shared" si="1210"/>
        <v/>
      </c>
      <c r="T7572" t="str">
        <f t="shared" si="1211"/>
        <v/>
      </c>
      <c r="U7572" t="str">
        <f t="shared" si="1212"/>
        <v/>
      </c>
      <c r="V7572" t="str">
        <f t="shared" si="1213"/>
        <v/>
      </c>
      <c r="W7572" t="str">
        <f t="shared" si="1214"/>
        <v/>
      </c>
      <c r="X7572">
        <f t="shared" si="1204"/>
        <v>0</v>
      </c>
      <c r="Z7572" t="str">
        <f t="shared" si="1215"/>
        <v/>
      </c>
      <c r="AA7572">
        <f t="shared" si="1205"/>
        <v>0</v>
      </c>
    </row>
    <row r="7573" spans="1:27" ht="21" customHeight="1" x14ac:dyDescent="0.95">
      <c r="A7573" s="56"/>
      <c r="B7573" s="57"/>
      <c r="C7573" s="57"/>
      <c r="D7573" s="57"/>
      <c r="E7573" s="56"/>
      <c r="F7573" s="57"/>
      <c r="G7573" s="57"/>
      <c r="H7573" s="56"/>
      <c r="I7573" s="56"/>
      <c r="J7573" s="58"/>
      <c r="K7573" s="58"/>
      <c r="L7573" s="13" t="str">
        <f t="shared" si="1206"/>
        <v/>
      </c>
      <c r="M7573" s="13" t="str">
        <f t="shared" si="1207"/>
        <v/>
      </c>
      <c r="Q7573" t="str">
        <f t="shared" si="1208"/>
        <v/>
      </c>
      <c r="R7573" t="str">
        <f t="shared" si="1209"/>
        <v/>
      </c>
      <c r="S7573" t="str">
        <f t="shared" si="1210"/>
        <v/>
      </c>
      <c r="T7573" t="str">
        <f t="shared" si="1211"/>
        <v/>
      </c>
      <c r="U7573" t="str">
        <f t="shared" si="1212"/>
        <v/>
      </c>
      <c r="V7573" t="str">
        <f t="shared" si="1213"/>
        <v/>
      </c>
      <c r="W7573" t="str">
        <f t="shared" si="1214"/>
        <v/>
      </c>
      <c r="X7573">
        <f t="shared" si="1204"/>
        <v>0</v>
      </c>
      <c r="Z7573" t="str">
        <f t="shared" si="1215"/>
        <v/>
      </c>
      <c r="AA7573">
        <f t="shared" si="1205"/>
        <v>0</v>
      </c>
    </row>
    <row r="7574" spans="1:27" ht="21" customHeight="1" x14ac:dyDescent="0.95">
      <c r="A7574" s="56"/>
      <c r="B7574" s="57"/>
      <c r="C7574" s="57"/>
      <c r="D7574" s="57"/>
      <c r="E7574" s="56"/>
      <c r="F7574" s="57"/>
      <c r="G7574" s="57"/>
      <c r="H7574" s="56"/>
      <c r="I7574" s="56"/>
      <c r="J7574" s="58"/>
      <c r="K7574" s="58"/>
      <c r="L7574" s="13" t="str">
        <f t="shared" si="1206"/>
        <v/>
      </c>
      <c r="M7574" s="13" t="str">
        <f t="shared" si="1207"/>
        <v/>
      </c>
      <c r="Q7574" t="str">
        <f t="shared" si="1208"/>
        <v/>
      </c>
      <c r="R7574" t="str">
        <f t="shared" si="1209"/>
        <v/>
      </c>
      <c r="S7574" t="str">
        <f t="shared" si="1210"/>
        <v/>
      </c>
      <c r="T7574" t="str">
        <f t="shared" si="1211"/>
        <v/>
      </c>
      <c r="U7574" t="str">
        <f t="shared" si="1212"/>
        <v/>
      </c>
      <c r="V7574" t="str">
        <f t="shared" si="1213"/>
        <v/>
      </c>
      <c r="W7574" t="str">
        <f t="shared" si="1214"/>
        <v/>
      </c>
      <c r="X7574">
        <f t="shared" si="1204"/>
        <v>0</v>
      </c>
      <c r="Z7574" t="str">
        <f t="shared" si="1215"/>
        <v/>
      </c>
      <c r="AA7574">
        <f t="shared" si="1205"/>
        <v>0</v>
      </c>
    </row>
    <row r="7575" spans="1:27" ht="21" customHeight="1" x14ac:dyDescent="0.95">
      <c r="A7575" s="56"/>
      <c r="B7575" s="57"/>
      <c r="C7575" s="57"/>
      <c r="D7575" s="57"/>
      <c r="E7575" s="56"/>
      <c r="F7575" s="57"/>
      <c r="G7575" s="57"/>
      <c r="H7575" s="56"/>
      <c r="I7575" s="56"/>
      <c r="J7575" s="58"/>
      <c r="K7575" s="58"/>
      <c r="L7575" s="13" t="str">
        <f t="shared" si="1206"/>
        <v/>
      </c>
      <c r="M7575" s="13" t="str">
        <f t="shared" si="1207"/>
        <v/>
      </c>
      <c r="Q7575" t="str">
        <f t="shared" si="1208"/>
        <v/>
      </c>
      <c r="R7575" t="str">
        <f t="shared" si="1209"/>
        <v/>
      </c>
      <c r="S7575" t="str">
        <f t="shared" si="1210"/>
        <v/>
      </c>
      <c r="T7575" t="str">
        <f t="shared" si="1211"/>
        <v/>
      </c>
      <c r="U7575" t="str">
        <f t="shared" si="1212"/>
        <v/>
      </c>
      <c r="V7575" t="str">
        <f t="shared" si="1213"/>
        <v/>
      </c>
      <c r="W7575" t="str">
        <f t="shared" si="1214"/>
        <v/>
      </c>
      <c r="X7575">
        <f t="shared" si="1204"/>
        <v>0</v>
      </c>
      <c r="Z7575" t="str">
        <f t="shared" si="1215"/>
        <v/>
      </c>
      <c r="AA7575">
        <f t="shared" si="1205"/>
        <v>0</v>
      </c>
    </row>
    <row r="7576" spans="1:27" ht="21" customHeight="1" x14ac:dyDescent="0.95">
      <c r="A7576" s="56"/>
      <c r="B7576" s="57"/>
      <c r="C7576" s="57"/>
      <c r="D7576" s="57"/>
      <c r="E7576" s="56"/>
      <c r="F7576" s="57"/>
      <c r="G7576" s="57"/>
      <c r="H7576" s="56"/>
      <c r="I7576" s="56"/>
      <c r="J7576" s="58"/>
      <c r="K7576" s="58"/>
      <c r="L7576" s="13" t="str">
        <f t="shared" si="1206"/>
        <v/>
      </c>
      <c r="M7576" s="13" t="str">
        <f t="shared" si="1207"/>
        <v/>
      </c>
      <c r="Q7576" t="str">
        <f t="shared" si="1208"/>
        <v/>
      </c>
      <c r="R7576" t="str">
        <f t="shared" si="1209"/>
        <v/>
      </c>
      <c r="S7576" t="str">
        <f t="shared" si="1210"/>
        <v/>
      </c>
      <c r="T7576" t="str">
        <f t="shared" si="1211"/>
        <v/>
      </c>
      <c r="U7576" t="str">
        <f t="shared" si="1212"/>
        <v/>
      </c>
      <c r="V7576" t="str">
        <f t="shared" si="1213"/>
        <v/>
      </c>
      <c r="W7576" t="str">
        <f t="shared" si="1214"/>
        <v/>
      </c>
      <c r="X7576">
        <f t="shared" si="1204"/>
        <v>0</v>
      </c>
      <c r="Z7576" t="str">
        <f t="shared" si="1215"/>
        <v/>
      </c>
      <c r="AA7576">
        <f t="shared" si="1205"/>
        <v>0</v>
      </c>
    </row>
    <row r="7577" spans="1:27" ht="21" customHeight="1" x14ac:dyDescent="0.95">
      <c r="A7577" s="56"/>
      <c r="B7577" s="57"/>
      <c r="C7577" s="57"/>
      <c r="D7577" s="57"/>
      <c r="E7577" s="56"/>
      <c r="F7577" s="57"/>
      <c r="G7577" s="57"/>
      <c r="H7577" s="56"/>
      <c r="I7577" s="56"/>
      <c r="J7577" s="58"/>
      <c r="K7577" s="58"/>
      <c r="L7577" s="13" t="str">
        <f t="shared" si="1206"/>
        <v/>
      </c>
      <c r="M7577" s="13" t="str">
        <f t="shared" si="1207"/>
        <v/>
      </c>
      <c r="Q7577" t="str">
        <f t="shared" si="1208"/>
        <v/>
      </c>
      <c r="R7577" t="str">
        <f t="shared" si="1209"/>
        <v/>
      </c>
      <c r="S7577" t="str">
        <f t="shared" si="1210"/>
        <v/>
      </c>
      <c r="T7577" t="str">
        <f t="shared" si="1211"/>
        <v/>
      </c>
      <c r="U7577" t="str">
        <f t="shared" si="1212"/>
        <v/>
      </c>
      <c r="V7577" t="str">
        <f t="shared" si="1213"/>
        <v/>
      </c>
      <c r="W7577" t="str">
        <f t="shared" si="1214"/>
        <v/>
      </c>
      <c r="X7577">
        <f t="shared" si="1204"/>
        <v>0</v>
      </c>
      <c r="Z7577" t="str">
        <f t="shared" si="1215"/>
        <v/>
      </c>
      <c r="AA7577">
        <f t="shared" si="1205"/>
        <v>0</v>
      </c>
    </row>
    <row r="7578" spans="1:27" ht="21" customHeight="1" x14ac:dyDescent="0.95">
      <c r="A7578" s="56"/>
      <c r="B7578" s="57"/>
      <c r="C7578" s="57"/>
      <c r="D7578" s="57"/>
      <c r="E7578" s="56"/>
      <c r="F7578" s="57"/>
      <c r="G7578" s="57"/>
      <c r="H7578" s="56"/>
      <c r="I7578" s="56"/>
      <c r="J7578" s="58"/>
      <c r="K7578" s="58"/>
      <c r="L7578" s="13" t="str">
        <f t="shared" si="1206"/>
        <v/>
      </c>
      <c r="M7578" s="13" t="str">
        <f t="shared" si="1207"/>
        <v/>
      </c>
      <c r="Q7578" t="str">
        <f t="shared" si="1208"/>
        <v/>
      </c>
      <c r="R7578" t="str">
        <f t="shared" si="1209"/>
        <v/>
      </c>
      <c r="S7578" t="str">
        <f t="shared" si="1210"/>
        <v/>
      </c>
      <c r="T7578" t="str">
        <f t="shared" si="1211"/>
        <v/>
      </c>
      <c r="U7578" t="str">
        <f t="shared" si="1212"/>
        <v/>
      </c>
      <c r="V7578" t="str">
        <f t="shared" si="1213"/>
        <v/>
      </c>
      <c r="W7578" t="str">
        <f t="shared" si="1214"/>
        <v/>
      </c>
      <c r="X7578">
        <f t="shared" si="1204"/>
        <v>0</v>
      </c>
      <c r="Z7578" t="str">
        <f t="shared" si="1215"/>
        <v/>
      </c>
      <c r="AA7578">
        <f t="shared" si="1205"/>
        <v>0</v>
      </c>
    </row>
    <row r="7579" spans="1:27" ht="21" customHeight="1" x14ac:dyDescent="0.95">
      <c r="A7579" s="56"/>
      <c r="B7579" s="57"/>
      <c r="C7579" s="57"/>
      <c r="D7579" s="57"/>
      <c r="E7579" s="56"/>
      <c r="F7579" s="57"/>
      <c r="G7579" s="57"/>
      <c r="H7579" s="56"/>
      <c r="I7579" s="56"/>
      <c r="J7579" s="58"/>
      <c r="K7579" s="58"/>
      <c r="L7579" s="13" t="str">
        <f t="shared" si="1206"/>
        <v/>
      </c>
      <c r="M7579" s="13" t="str">
        <f t="shared" si="1207"/>
        <v/>
      </c>
      <c r="Q7579" t="str">
        <f t="shared" si="1208"/>
        <v/>
      </c>
      <c r="R7579" t="str">
        <f t="shared" si="1209"/>
        <v/>
      </c>
      <c r="S7579" t="str">
        <f t="shared" si="1210"/>
        <v/>
      </c>
      <c r="T7579" t="str">
        <f t="shared" si="1211"/>
        <v/>
      </c>
      <c r="U7579" t="str">
        <f t="shared" si="1212"/>
        <v/>
      </c>
      <c r="V7579" t="str">
        <f t="shared" si="1213"/>
        <v/>
      </c>
      <c r="W7579" t="str">
        <f t="shared" si="1214"/>
        <v/>
      </c>
      <c r="X7579">
        <f t="shared" si="1204"/>
        <v>0</v>
      </c>
      <c r="Z7579" t="str">
        <f t="shared" si="1215"/>
        <v/>
      </c>
      <c r="AA7579">
        <f t="shared" si="1205"/>
        <v>0</v>
      </c>
    </row>
    <row r="7580" spans="1:27" ht="21" customHeight="1" x14ac:dyDescent="0.95">
      <c r="A7580" s="56"/>
      <c r="B7580" s="57"/>
      <c r="C7580" s="57"/>
      <c r="D7580" s="57"/>
      <c r="E7580" s="56"/>
      <c r="F7580" s="57"/>
      <c r="G7580" s="57"/>
      <c r="H7580" s="56"/>
      <c r="I7580" s="56"/>
      <c r="J7580" s="58"/>
      <c r="K7580" s="58"/>
      <c r="L7580" s="13" t="str">
        <f t="shared" si="1206"/>
        <v/>
      </c>
      <c r="M7580" s="13" t="str">
        <f t="shared" si="1207"/>
        <v/>
      </c>
      <c r="Q7580" t="str">
        <f t="shared" si="1208"/>
        <v/>
      </c>
      <c r="R7580" t="str">
        <f t="shared" si="1209"/>
        <v/>
      </c>
      <c r="S7580" t="str">
        <f t="shared" si="1210"/>
        <v/>
      </c>
      <c r="T7580" t="str">
        <f t="shared" si="1211"/>
        <v/>
      </c>
      <c r="U7580" t="str">
        <f t="shared" si="1212"/>
        <v/>
      </c>
      <c r="V7580" t="str">
        <f t="shared" si="1213"/>
        <v/>
      </c>
      <c r="W7580" t="str">
        <f t="shared" si="1214"/>
        <v/>
      </c>
      <c r="X7580">
        <f t="shared" si="1204"/>
        <v>0</v>
      </c>
      <c r="Z7580" t="str">
        <f t="shared" si="1215"/>
        <v/>
      </c>
      <c r="AA7580">
        <f t="shared" si="1205"/>
        <v>0</v>
      </c>
    </row>
    <row r="7581" spans="1:27" ht="21" customHeight="1" x14ac:dyDescent="0.95">
      <c r="A7581" s="56"/>
      <c r="B7581" s="57"/>
      <c r="C7581" s="57"/>
      <c r="D7581" s="57"/>
      <c r="E7581" s="56"/>
      <c r="F7581" s="57"/>
      <c r="G7581" s="57"/>
      <c r="H7581" s="56"/>
      <c r="I7581" s="56"/>
      <c r="J7581" s="58"/>
      <c r="K7581" s="58"/>
      <c r="L7581" s="13" t="str">
        <f t="shared" si="1206"/>
        <v/>
      </c>
      <c r="M7581" s="13" t="str">
        <f t="shared" si="1207"/>
        <v/>
      </c>
      <c r="Q7581" t="str">
        <f t="shared" si="1208"/>
        <v/>
      </c>
      <c r="R7581" t="str">
        <f t="shared" si="1209"/>
        <v/>
      </c>
      <c r="S7581" t="str">
        <f t="shared" si="1210"/>
        <v/>
      </c>
      <c r="T7581" t="str">
        <f t="shared" si="1211"/>
        <v/>
      </c>
      <c r="U7581" t="str">
        <f t="shared" si="1212"/>
        <v/>
      </c>
      <c r="V7581" t="str">
        <f t="shared" si="1213"/>
        <v/>
      </c>
      <c r="W7581" t="str">
        <f t="shared" si="1214"/>
        <v/>
      </c>
      <c r="X7581">
        <f t="shared" si="1204"/>
        <v>0</v>
      </c>
      <c r="Z7581" t="str">
        <f t="shared" si="1215"/>
        <v/>
      </c>
      <c r="AA7581">
        <f t="shared" si="1205"/>
        <v>0</v>
      </c>
    </row>
    <row r="7582" spans="1:27" ht="21" customHeight="1" x14ac:dyDescent="0.95">
      <c r="A7582" s="56"/>
      <c r="B7582" s="57"/>
      <c r="C7582" s="57"/>
      <c r="D7582" s="57"/>
      <c r="E7582" s="56"/>
      <c r="F7582" s="57"/>
      <c r="G7582" s="57"/>
      <c r="H7582" s="56"/>
      <c r="I7582" s="56"/>
      <c r="J7582" s="58"/>
      <c r="K7582" s="58"/>
      <c r="L7582" s="13" t="str">
        <f t="shared" si="1206"/>
        <v/>
      </c>
      <c r="M7582" s="13" t="str">
        <f t="shared" si="1207"/>
        <v/>
      </c>
      <c r="Q7582" t="str">
        <f t="shared" si="1208"/>
        <v/>
      </c>
      <c r="R7582" t="str">
        <f t="shared" si="1209"/>
        <v/>
      </c>
      <c r="S7582" t="str">
        <f t="shared" si="1210"/>
        <v/>
      </c>
      <c r="T7582" t="str">
        <f t="shared" si="1211"/>
        <v/>
      </c>
      <c r="U7582" t="str">
        <f t="shared" si="1212"/>
        <v/>
      </c>
      <c r="V7582" t="str">
        <f t="shared" si="1213"/>
        <v/>
      </c>
      <c r="W7582" t="str">
        <f t="shared" si="1214"/>
        <v/>
      </c>
      <c r="X7582">
        <f t="shared" si="1204"/>
        <v>0</v>
      </c>
      <c r="Z7582" t="str">
        <f t="shared" si="1215"/>
        <v/>
      </c>
      <c r="AA7582">
        <f t="shared" si="1205"/>
        <v>0</v>
      </c>
    </row>
    <row r="7583" spans="1:27" ht="21" customHeight="1" x14ac:dyDescent="0.95">
      <c r="A7583" s="56"/>
      <c r="B7583" s="57"/>
      <c r="C7583" s="57"/>
      <c r="D7583" s="57"/>
      <c r="E7583" s="56"/>
      <c r="F7583" s="57"/>
      <c r="G7583" s="57"/>
      <c r="H7583" s="56"/>
      <c r="I7583" s="56"/>
      <c r="J7583" s="58"/>
      <c r="K7583" s="58"/>
      <c r="L7583" s="13" t="str">
        <f t="shared" si="1206"/>
        <v/>
      </c>
      <c r="M7583" s="13" t="str">
        <f t="shared" si="1207"/>
        <v/>
      </c>
      <c r="Q7583" t="str">
        <f t="shared" si="1208"/>
        <v/>
      </c>
      <c r="R7583" t="str">
        <f t="shared" si="1209"/>
        <v/>
      </c>
      <c r="S7583" t="str">
        <f t="shared" si="1210"/>
        <v/>
      </c>
      <c r="T7583" t="str">
        <f t="shared" si="1211"/>
        <v/>
      </c>
      <c r="U7583" t="str">
        <f t="shared" si="1212"/>
        <v/>
      </c>
      <c r="V7583" t="str">
        <f t="shared" si="1213"/>
        <v/>
      </c>
      <c r="W7583" t="str">
        <f t="shared" si="1214"/>
        <v/>
      </c>
      <c r="X7583">
        <f t="shared" si="1204"/>
        <v>0</v>
      </c>
      <c r="Z7583" t="str">
        <f t="shared" si="1215"/>
        <v/>
      </c>
      <c r="AA7583">
        <f t="shared" si="1205"/>
        <v>0</v>
      </c>
    </row>
    <row r="7584" spans="1:27" ht="21" customHeight="1" x14ac:dyDescent="0.95">
      <c r="A7584" s="56"/>
      <c r="B7584" s="57"/>
      <c r="C7584" s="57"/>
      <c r="D7584" s="57"/>
      <c r="E7584" s="56"/>
      <c r="F7584" s="57"/>
      <c r="G7584" s="57"/>
      <c r="H7584" s="56"/>
      <c r="I7584" s="56"/>
      <c r="J7584" s="58"/>
      <c r="K7584" s="58"/>
      <c r="L7584" s="13" t="str">
        <f t="shared" si="1206"/>
        <v/>
      </c>
      <c r="M7584" s="13" t="str">
        <f t="shared" si="1207"/>
        <v/>
      </c>
      <c r="Q7584" t="str">
        <f t="shared" si="1208"/>
        <v/>
      </c>
      <c r="R7584" t="str">
        <f t="shared" si="1209"/>
        <v/>
      </c>
      <c r="S7584" t="str">
        <f t="shared" si="1210"/>
        <v/>
      </c>
      <c r="T7584" t="str">
        <f t="shared" si="1211"/>
        <v/>
      </c>
      <c r="U7584" t="str">
        <f t="shared" si="1212"/>
        <v/>
      </c>
      <c r="V7584" t="str">
        <f t="shared" si="1213"/>
        <v/>
      </c>
      <c r="W7584" t="str">
        <f t="shared" si="1214"/>
        <v/>
      </c>
      <c r="X7584">
        <f t="shared" si="1204"/>
        <v>0</v>
      </c>
      <c r="Z7584" t="str">
        <f t="shared" si="1215"/>
        <v/>
      </c>
      <c r="AA7584">
        <f t="shared" si="1205"/>
        <v>0</v>
      </c>
    </row>
    <row r="7585" spans="1:27" ht="21" customHeight="1" x14ac:dyDescent="0.95">
      <c r="A7585" s="56"/>
      <c r="B7585" s="57"/>
      <c r="C7585" s="57"/>
      <c r="D7585" s="57"/>
      <c r="E7585" s="56"/>
      <c r="F7585" s="57"/>
      <c r="G7585" s="57"/>
      <c r="H7585" s="56"/>
      <c r="I7585" s="56"/>
      <c r="J7585" s="58"/>
      <c r="K7585" s="58"/>
      <c r="L7585" s="13" t="str">
        <f t="shared" si="1206"/>
        <v/>
      </c>
      <c r="M7585" s="13" t="str">
        <f t="shared" si="1207"/>
        <v/>
      </c>
      <c r="Q7585" t="str">
        <f t="shared" si="1208"/>
        <v/>
      </c>
      <c r="R7585" t="str">
        <f t="shared" si="1209"/>
        <v/>
      </c>
      <c r="S7585" t="str">
        <f t="shared" si="1210"/>
        <v/>
      </c>
      <c r="T7585" t="str">
        <f t="shared" si="1211"/>
        <v/>
      </c>
      <c r="U7585" t="str">
        <f t="shared" si="1212"/>
        <v/>
      </c>
      <c r="V7585" t="str">
        <f t="shared" si="1213"/>
        <v/>
      </c>
      <c r="W7585" t="str">
        <f t="shared" si="1214"/>
        <v/>
      </c>
      <c r="X7585">
        <f t="shared" si="1204"/>
        <v>0</v>
      </c>
      <c r="Z7585" t="str">
        <f t="shared" si="1215"/>
        <v/>
      </c>
      <c r="AA7585">
        <f t="shared" si="1205"/>
        <v>0</v>
      </c>
    </row>
    <row r="7586" spans="1:27" ht="21" customHeight="1" x14ac:dyDescent="0.95">
      <c r="A7586" s="56"/>
      <c r="B7586" s="57"/>
      <c r="C7586" s="57"/>
      <c r="D7586" s="57"/>
      <c r="E7586" s="56"/>
      <c r="F7586" s="57"/>
      <c r="G7586" s="57"/>
      <c r="H7586" s="56"/>
      <c r="I7586" s="56"/>
      <c r="J7586" s="58"/>
      <c r="K7586" s="58"/>
      <c r="L7586" s="13" t="str">
        <f t="shared" si="1206"/>
        <v/>
      </c>
      <c r="M7586" s="13" t="str">
        <f t="shared" si="1207"/>
        <v/>
      </c>
      <c r="Q7586" t="str">
        <f t="shared" si="1208"/>
        <v/>
      </c>
      <c r="R7586" t="str">
        <f t="shared" si="1209"/>
        <v/>
      </c>
      <c r="S7586" t="str">
        <f t="shared" si="1210"/>
        <v/>
      </c>
      <c r="T7586" t="str">
        <f t="shared" si="1211"/>
        <v/>
      </c>
      <c r="U7586" t="str">
        <f t="shared" si="1212"/>
        <v/>
      </c>
      <c r="V7586" t="str">
        <f t="shared" si="1213"/>
        <v/>
      </c>
      <c r="W7586" t="str">
        <f t="shared" si="1214"/>
        <v/>
      </c>
      <c r="X7586">
        <f t="shared" si="1204"/>
        <v>0</v>
      </c>
      <c r="Z7586" t="str">
        <f t="shared" si="1215"/>
        <v/>
      </c>
      <c r="AA7586">
        <f t="shared" si="1205"/>
        <v>0</v>
      </c>
    </row>
    <row r="7587" spans="1:27" ht="21" customHeight="1" x14ac:dyDescent="0.95">
      <c r="A7587" s="56"/>
      <c r="B7587" s="57"/>
      <c r="C7587" s="57"/>
      <c r="D7587" s="57"/>
      <c r="E7587" s="56"/>
      <c r="F7587" s="57"/>
      <c r="G7587" s="57"/>
      <c r="H7587" s="56"/>
      <c r="I7587" s="56"/>
      <c r="J7587" s="58"/>
      <c r="K7587" s="58"/>
      <c r="L7587" s="13" t="str">
        <f t="shared" si="1206"/>
        <v/>
      </c>
      <c r="M7587" s="13" t="str">
        <f t="shared" si="1207"/>
        <v/>
      </c>
      <c r="Q7587" t="str">
        <f t="shared" si="1208"/>
        <v/>
      </c>
      <c r="R7587" t="str">
        <f t="shared" si="1209"/>
        <v/>
      </c>
      <c r="S7587" t="str">
        <f t="shared" si="1210"/>
        <v/>
      </c>
      <c r="T7587" t="str">
        <f t="shared" si="1211"/>
        <v/>
      </c>
      <c r="U7587" t="str">
        <f t="shared" si="1212"/>
        <v/>
      </c>
      <c r="V7587" t="str">
        <f t="shared" si="1213"/>
        <v/>
      </c>
      <c r="W7587" t="str">
        <f t="shared" si="1214"/>
        <v/>
      </c>
      <c r="X7587">
        <f t="shared" si="1204"/>
        <v>0</v>
      </c>
      <c r="Z7587" t="str">
        <f t="shared" si="1215"/>
        <v/>
      </c>
      <c r="AA7587">
        <f t="shared" si="1205"/>
        <v>0</v>
      </c>
    </row>
    <row r="7588" spans="1:27" ht="21" customHeight="1" x14ac:dyDescent="0.95">
      <c r="A7588" s="56"/>
      <c r="B7588" s="57"/>
      <c r="C7588" s="57"/>
      <c r="D7588" s="57"/>
      <c r="E7588" s="56"/>
      <c r="F7588" s="57"/>
      <c r="G7588" s="57"/>
      <c r="H7588" s="56"/>
      <c r="I7588" s="56"/>
      <c r="J7588" s="58"/>
      <c r="K7588" s="58"/>
      <c r="L7588" s="13" t="str">
        <f t="shared" si="1206"/>
        <v/>
      </c>
      <c r="M7588" s="13" t="str">
        <f t="shared" si="1207"/>
        <v/>
      </c>
      <c r="Q7588" t="str">
        <f t="shared" si="1208"/>
        <v/>
      </c>
      <c r="R7588" t="str">
        <f t="shared" si="1209"/>
        <v/>
      </c>
      <c r="S7588" t="str">
        <f t="shared" si="1210"/>
        <v/>
      </c>
      <c r="T7588" t="str">
        <f t="shared" si="1211"/>
        <v/>
      </c>
      <c r="U7588" t="str">
        <f t="shared" si="1212"/>
        <v/>
      </c>
      <c r="V7588" t="str">
        <f t="shared" si="1213"/>
        <v/>
      </c>
      <c r="W7588" t="str">
        <f t="shared" si="1214"/>
        <v/>
      </c>
      <c r="X7588">
        <f t="shared" si="1204"/>
        <v>0</v>
      </c>
      <c r="Z7588" t="str">
        <f t="shared" si="1215"/>
        <v/>
      </c>
      <c r="AA7588">
        <f t="shared" si="1205"/>
        <v>0</v>
      </c>
    </row>
    <row r="7589" spans="1:27" ht="21" customHeight="1" x14ac:dyDescent="0.95">
      <c r="A7589" s="56"/>
      <c r="B7589" s="57"/>
      <c r="C7589" s="57"/>
      <c r="D7589" s="57"/>
      <c r="E7589" s="56"/>
      <c r="F7589" s="57"/>
      <c r="G7589" s="57"/>
      <c r="H7589" s="56"/>
      <c r="I7589" s="56"/>
      <c r="J7589" s="58"/>
      <c r="K7589" s="58"/>
      <c r="L7589" s="13" t="str">
        <f t="shared" si="1206"/>
        <v/>
      </c>
      <c r="M7589" s="13" t="str">
        <f t="shared" si="1207"/>
        <v/>
      </c>
      <c r="Q7589" t="str">
        <f t="shared" si="1208"/>
        <v/>
      </c>
      <c r="R7589" t="str">
        <f t="shared" si="1209"/>
        <v/>
      </c>
      <c r="S7589" t="str">
        <f t="shared" si="1210"/>
        <v/>
      </c>
      <c r="T7589" t="str">
        <f t="shared" si="1211"/>
        <v/>
      </c>
      <c r="U7589" t="str">
        <f t="shared" si="1212"/>
        <v/>
      </c>
      <c r="V7589" t="str">
        <f t="shared" si="1213"/>
        <v/>
      </c>
      <c r="W7589" t="str">
        <f t="shared" si="1214"/>
        <v/>
      </c>
      <c r="X7589">
        <f t="shared" si="1204"/>
        <v>0</v>
      </c>
      <c r="Z7589" t="str">
        <f t="shared" si="1215"/>
        <v/>
      </c>
      <c r="AA7589">
        <f t="shared" si="1205"/>
        <v>0</v>
      </c>
    </row>
    <row r="7590" spans="1:27" ht="21" customHeight="1" x14ac:dyDescent="0.95">
      <c r="A7590" s="56"/>
      <c r="B7590" s="57"/>
      <c r="C7590" s="57"/>
      <c r="D7590" s="57"/>
      <c r="E7590" s="56"/>
      <c r="F7590" s="57"/>
      <c r="G7590" s="57"/>
      <c r="H7590" s="56"/>
      <c r="I7590" s="56"/>
      <c r="J7590" s="58"/>
      <c r="K7590" s="58"/>
      <c r="L7590" s="13" t="str">
        <f t="shared" si="1206"/>
        <v/>
      </c>
      <c r="M7590" s="13" t="str">
        <f t="shared" si="1207"/>
        <v/>
      </c>
      <c r="Q7590" t="str">
        <f t="shared" si="1208"/>
        <v/>
      </c>
      <c r="R7590" t="str">
        <f t="shared" si="1209"/>
        <v/>
      </c>
      <c r="S7590" t="str">
        <f t="shared" si="1210"/>
        <v/>
      </c>
      <c r="T7590" t="str">
        <f t="shared" si="1211"/>
        <v/>
      </c>
      <c r="U7590" t="str">
        <f t="shared" si="1212"/>
        <v/>
      </c>
      <c r="V7590" t="str">
        <f t="shared" si="1213"/>
        <v/>
      </c>
      <c r="W7590" t="str">
        <f t="shared" si="1214"/>
        <v/>
      </c>
      <c r="X7590">
        <f t="shared" si="1204"/>
        <v>0</v>
      </c>
      <c r="Z7590" t="str">
        <f t="shared" si="1215"/>
        <v/>
      </c>
      <c r="AA7590">
        <f t="shared" si="1205"/>
        <v>0</v>
      </c>
    </row>
    <row r="7591" spans="1:27" ht="21" customHeight="1" x14ac:dyDescent="0.95">
      <c r="A7591" s="56"/>
      <c r="B7591" s="57"/>
      <c r="C7591" s="57"/>
      <c r="D7591" s="57"/>
      <c r="E7591" s="56"/>
      <c r="F7591" s="57"/>
      <c r="G7591" s="57"/>
      <c r="H7591" s="56"/>
      <c r="I7591" s="56"/>
      <c r="J7591" s="58"/>
      <c r="K7591" s="58"/>
      <c r="L7591" s="13" t="str">
        <f t="shared" si="1206"/>
        <v/>
      </c>
      <c r="M7591" s="13" t="str">
        <f t="shared" si="1207"/>
        <v/>
      </c>
      <c r="Q7591" t="str">
        <f t="shared" si="1208"/>
        <v/>
      </c>
      <c r="R7591" t="str">
        <f t="shared" si="1209"/>
        <v/>
      </c>
      <c r="S7591" t="str">
        <f t="shared" si="1210"/>
        <v/>
      </c>
      <c r="T7591" t="str">
        <f t="shared" si="1211"/>
        <v/>
      </c>
      <c r="U7591" t="str">
        <f t="shared" si="1212"/>
        <v/>
      </c>
      <c r="V7591" t="str">
        <f t="shared" si="1213"/>
        <v/>
      </c>
      <c r="W7591" t="str">
        <f t="shared" si="1214"/>
        <v/>
      </c>
      <c r="X7591">
        <f t="shared" si="1204"/>
        <v>0</v>
      </c>
      <c r="Z7591" t="str">
        <f t="shared" si="1215"/>
        <v/>
      </c>
      <c r="AA7591">
        <f t="shared" si="1205"/>
        <v>0</v>
      </c>
    </row>
    <row r="7592" spans="1:27" ht="21" customHeight="1" x14ac:dyDescent="0.95">
      <c r="A7592" s="56"/>
      <c r="B7592" s="57"/>
      <c r="C7592" s="57"/>
      <c r="D7592" s="57"/>
      <c r="E7592" s="56"/>
      <c r="F7592" s="57"/>
      <c r="G7592" s="57"/>
      <c r="H7592" s="56"/>
      <c r="I7592" s="56"/>
      <c r="J7592" s="58"/>
      <c r="K7592" s="58"/>
      <c r="L7592" s="13" t="str">
        <f t="shared" si="1206"/>
        <v/>
      </c>
      <c r="M7592" s="13" t="str">
        <f t="shared" si="1207"/>
        <v/>
      </c>
      <c r="Q7592" t="str">
        <f t="shared" si="1208"/>
        <v/>
      </c>
      <c r="R7592" t="str">
        <f t="shared" si="1209"/>
        <v/>
      </c>
      <c r="S7592" t="str">
        <f t="shared" si="1210"/>
        <v/>
      </c>
      <c r="T7592" t="str">
        <f t="shared" si="1211"/>
        <v/>
      </c>
      <c r="U7592" t="str">
        <f t="shared" si="1212"/>
        <v/>
      </c>
      <c r="V7592" t="str">
        <f t="shared" si="1213"/>
        <v/>
      </c>
      <c r="W7592" t="str">
        <f t="shared" si="1214"/>
        <v/>
      </c>
      <c r="X7592">
        <f t="shared" si="1204"/>
        <v>0</v>
      </c>
      <c r="Z7592" t="str">
        <f t="shared" si="1215"/>
        <v/>
      </c>
      <c r="AA7592">
        <f t="shared" si="1205"/>
        <v>0</v>
      </c>
    </row>
    <row r="7593" spans="1:27" ht="21" customHeight="1" x14ac:dyDescent="0.95">
      <c r="A7593" s="56"/>
      <c r="B7593" s="57"/>
      <c r="C7593" s="57"/>
      <c r="D7593" s="57"/>
      <c r="E7593" s="56"/>
      <c r="F7593" s="57"/>
      <c r="G7593" s="57"/>
      <c r="H7593" s="56"/>
      <c r="I7593" s="56"/>
      <c r="J7593" s="58"/>
      <c r="K7593" s="58"/>
      <c r="L7593" s="13" t="str">
        <f t="shared" si="1206"/>
        <v/>
      </c>
      <c r="M7593" s="13" t="str">
        <f t="shared" si="1207"/>
        <v/>
      </c>
      <c r="Q7593" t="str">
        <f t="shared" si="1208"/>
        <v/>
      </c>
      <c r="R7593" t="str">
        <f t="shared" si="1209"/>
        <v/>
      </c>
      <c r="S7593" t="str">
        <f t="shared" si="1210"/>
        <v/>
      </c>
      <c r="T7593" t="str">
        <f t="shared" si="1211"/>
        <v/>
      </c>
      <c r="U7593" t="str">
        <f t="shared" si="1212"/>
        <v/>
      </c>
      <c r="V7593" t="str">
        <f t="shared" si="1213"/>
        <v/>
      </c>
      <c r="W7593" t="str">
        <f t="shared" si="1214"/>
        <v/>
      </c>
      <c r="X7593">
        <f t="shared" si="1204"/>
        <v>0</v>
      </c>
      <c r="Z7593" t="str">
        <f t="shared" si="1215"/>
        <v/>
      </c>
      <c r="AA7593">
        <f t="shared" si="1205"/>
        <v>0</v>
      </c>
    </row>
    <row r="7594" spans="1:27" ht="21" customHeight="1" x14ac:dyDescent="0.95">
      <c r="A7594" s="56"/>
      <c r="B7594" s="57"/>
      <c r="C7594" s="57"/>
      <c r="D7594" s="57"/>
      <c r="E7594" s="56"/>
      <c r="F7594" s="57"/>
      <c r="G7594" s="57"/>
      <c r="H7594" s="56"/>
      <c r="I7594" s="56"/>
      <c r="J7594" s="58"/>
      <c r="K7594" s="58"/>
      <c r="L7594" s="13" t="str">
        <f t="shared" si="1206"/>
        <v/>
      </c>
      <c r="M7594" s="13" t="str">
        <f t="shared" si="1207"/>
        <v/>
      </c>
      <c r="Q7594" t="str">
        <f t="shared" si="1208"/>
        <v/>
      </c>
      <c r="R7594" t="str">
        <f t="shared" si="1209"/>
        <v/>
      </c>
      <c r="S7594" t="str">
        <f t="shared" si="1210"/>
        <v/>
      </c>
      <c r="T7594" t="str">
        <f t="shared" si="1211"/>
        <v/>
      </c>
      <c r="U7594" t="str">
        <f t="shared" si="1212"/>
        <v/>
      </c>
      <c r="V7594" t="str">
        <f t="shared" si="1213"/>
        <v/>
      </c>
      <c r="W7594" t="str">
        <f t="shared" si="1214"/>
        <v/>
      </c>
      <c r="X7594">
        <f t="shared" si="1204"/>
        <v>0</v>
      </c>
      <c r="Z7594" t="str">
        <f t="shared" si="1215"/>
        <v/>
      </c>
      <c r="AA7594">
        <f t="shared" si="1205"/>
        <v>0</v>
      </c>
    </row>
    <row r="7595" spans="1:27" ht="21" customHeight="1" x14ac:dyDescent="0.95">
      <c r="A7595" s="56"/>
      <c r="B7595" s="57"/>
      <c r="C7595" s="57"/>
      <c r="D7595" s="57"/>
      <c r="E7595" s="56"/>
      <c r="F7595" s="57"/>
      <c r="G7595" s="57"/>
      <c r="H7595" s="56"/>
      <c r="I7595" s="56"/>
      <c r="J7595" s="58"/>
      <c r="K7595" s="58"/>
      <c r="L7595" s="13" t="str">
        <f t="shared" si="1206"/>
        <v/>
      </c>
      <c r="M7595" s="13" t="str">
        <f t="shared" si="1207"/>
        <v/>
      </c>
      <c r="Q7595" t="str">
        <f t="shared" si="1208"/>
        <v/>
      </c>
      <c r="R7595" t="str">
        <f t="shared" si="1209"/>
        <v/>
      </c>
      <c r="S7595" t="str">
        <f t="shared" si="1210"/>
        <v/>
      </c>
      <c r="T7595" t="str">
        <f t="shared" si="1211"/>
        <v/>
      </c>
      <c r="U7595" t="str">
        <f t="shared" si="1212"/>
        <v/>
      </c>
      <c r="V7595" t="str">
        <f t="shared" si="1213"/>
        <v/>
      </c>
      <c r="W7595" t="str">
        <f t="shared" si="1214"/>
        <v/>
      </c>
      <c r="X7595">
        <f t="shared" si="1204"/>
        <v>0</v>
      </c>
      <c r="Z7595" t="str">
        <f t="shared" si="1215"/>
        <v/>
      </c>
      <c r="AA7595">
        <f t="shared" si="1205"/>
        <v>0</v>
      </c>
    </row>
    <row r="7596" spans="1:27" ht="21" customHeight="1" x14ac:dyDescent="0.95">
      <c r="A7596" s="56"/>
      <c r="B7596" s="57"/>
      <c r="C7596" s="57"/>
      <c r="D7596" s="57"/>
      <c r="E7596" s="56"/>
      <c r="F7596" s="57"/>
      <c r="G7596" s="57"/>
      <c r="H7596" s="56"/>
      <c r="I7596" s="56"/>
      <c r="J7596" s="58"/>
      <c r="K7596" s="58"/>
      <c r="L7596" s="13" t="str">
        <f t="shared" si="1206"/>
        <v/>
      </c>
      <c r="M7596" s="13" t="str">
        <f t="shared" si="1207"/>
        <v/>
      </c>
      <c r="Q7596" t="str">
        <f t="shared" si="1208"/>
        <v/>
      </c>
      <c r="R7596" t="str">
        <f t="shared" si="1209"/>
        <v/>
      </c>
      <c r="S7596" t="str">
        <f t="shared" si="1210"/>
        <v/>
      </c>
      <c r="T7596" t="str">
        <f t="shared" si="1211"/>
        <v/>
      </c>
      <c r="U7596" t="str">
        <f t="shared" si="1212"/>
        <v/>
      </c>
      <c r="V7596" t="str">
        <f t="shared" si="1213"/>
        <v/>
      </c>
      <c r="W7596" t="str">
        <f t="shared" si="1214"/>
        <v/>
      </c>
      <c r="X7596">
        <f t="shared" si="1204"/>
        <v>0</v>
      </c>
      <c r="Z7596" t="str">
        <f t="shared" si="1215"/>
        <v/>
      </c>
      <c r="AA7596">
        <f t="shared" si="1205"/>
        <v>0</v>
      </c>
    </row>
    <row r="7597" spans="1:27" ht="21" customHeight="1" x14ac:dyDescent="0.95">
      <c r="A7597" s="56"/>
      <c r="B7597" s="57"/>
      <c r="C7597" s="57"/>
      <c r="D7597" s="57"/>
      <c r="E7597" s="56"/>
      <c r="F7597" s="57"/>
      <c r="G7597" s="57"/>
      <c r="H7597" s="56"/>
      <c r="I7597" s="56"/>
      <c r="J7597" s="58"/>
      <c r="K7597" s="58"/>
      <c r="L7597" s="13" t="str">
        <f t="shared" si="1206"/>
        <v/>
      </c>
      <c r="M7597" s="13" t="str">
        <f t="shared" si="1207"/>
        <v/>
      </c>
      <c r="Q7597" t="str">
        <f t="shared" si="1208"/>
        <v/>
      </c>
      <c r="R7597" t="str">
        <f t="shared" si="1209"/>
        <v/>
      </c>
      <c r="S7597" t="str">
        <f t="shared" si="1210"/>
        <v/>
      </c>
      <c r="T7597" t="str">
        <f t="shared" si="1211"/>
        <v/>
      </c>
      <c r="U7597" t="str">
        <f t="shared" si="1212"/>
        <v/>
      </c>
      <c r="V7597" t="str">
        <f t="shared" si="1213"/>
        <v/>
      </c>
      <c r="W7597" t="str">
        <f t="shared" si="1214"/>
        <v/>
      </c>
      <c r="X7597">
        <f t="shared" si="1204"/>
        <v>0</v>
      </c>
      <c r="Z7597" t="str">
        <f t="shared" si="1215"/>
        <v/>
      </c>
      <c r="AA7597">
        <f t="shared" si="1205"/>
        <v>0</v>
      </c>
    </row>
    <row r="7598" spans="1:27" ht="21" customHeight="1" x14ac:dyDescent="0.95">
      <c r="A7598" s="56"/>
      <c r="B7598" s="57"/>
      <c r="C7598" s="57"/>
      <c r="D7598" s="57"/>
      <c r="E7598" s="56"/>
      <c r="F7598" s="57"/>
      <c r="G7598" s="57"/>
      <c r="H7598" s="56"/>
      <c r="I7598" s="56"/>
      <c r="J7598" s="58"/>
      <c r="K7598" s="58"/>
      <c r="L7598" s="13" t="str">
        <f t="shared" si="1206"/>
        <v/>
      </c>
      <c r="M7598" s="13" t="str">
        <f t="shared" si="1207"/>
        <v/>
      </c>
      <c r="Q7598" t="str">
        <f t="shared" si="1208"/>
        <v/>
      </c>
      <c r="R7598" t="str">
        <f t="shared" si="1209"/>
        <v/>
      </c>
      <c r="S7598" t="str">
        <f t="shared" si="1210"/>
        <v/>
      </c>
      <c r="T7598" t="str">
        <f t="shared" si="1211"/>
        <v/>
      </c>
      <c r="U7598" t="str">
        <f t="shared" si="1212"/>
        <v/>
      </c>
      <c r="V7598" t="str">
        <f t="shared" si="1213"/>
        <v/>
      </c>
      <c r="W7598" t="str">
        <f t="shared" si="1214"/>
        <v/>
      </c>
      <c r="X7598">
        <f t="shared" si="1204"/>
        <v>0</v>
      </c>
      <c r="Z7598" t="str">
        <f t="shared" si="1215"/>
        <v/>
      </c>
      <c r="AA7598">
        <f t="shared" si="1205"/>
        <v>0</v>
      </c>
    </row>
    <row r="7599" spans="1:27" ht="21" customHeight="1" x14ac:dyDescent="0.95">
      <c r="A7599" s="56"/>
      <c r="B7599" s="57"/>
      <c r="C7599" s="57"/>
      <c r="D7599" s="57"/>
      <c r="E7599" s="56"/>
      <c r="F7599" s="57"/>
      <c r="G7599" s="57"/>
      <c r="H7599" s="56"/>
      <c r="I7599" s="56"/>
      <c r="J7599" s="58"/>
      <c r="K7599" s="58"/>
      <c r="L7599" s="13" t="str">
        <f t="shared" si="1206"/>
        <v/>
      </c>
      <c r="M7599" s="13" t="str">
        <f t="shared" si="1207"/>
        <v/>
      </c>
      <c r="Q7599" t="str">
        <f t="shared" si="1208"/>
        <v/>
      </c>
      <c r="R7599" t="str">
        <f t="shared" si="1209"/>
        <v/>
      </c>
      <c r="S7599" t="str">
        <f t="shared" si="1210"/>
        <v/>
      </c>
      <c r="T7599" t="str">
        <f t="shared" si="1211"/>
        <v/>
      </c>
      <c r="U7599" t="str">
        <f t="shared" si="1212"/>
        <v/>
      </c>
      <c r="V7599" t="str">
        <f t="shared" si="1213"/>
        <v/>
      </c>
      <c r="W7599" t="str">
        <f t="shared" si="1214"/>
        <v/>
      </c>
      <c r="X7599">
        <f t="shared" si="1204"/>
        <v>0</v>
      </c>
      <c r="Z7599" t="str">
        <f t="shared" si="1215"/>
        <v/>
      </c>
      <c r="AA7599">
        <f t="shared" si="1205"/>
        <v>0</v>
      </c>
    </row>
    <row r="7600" spans="1:27" ht="21" customHeight="1" x14ac:dyDescent="0.95">
      <c r="A7600" s="56"/>
      <c r="B7600" s="57"/>
      <c r="C7600" s="57"/>
      <c r="D7600" s="57"/>
      <c r="E7600" s="56"/>
      <c r="F7600" s="57"/>
      <c r="G7600" s="57"/>
      <c r="H7600" s="56"/>
      <c r="I7600" s="56"/>
      <c r="J7600" s="58"/>
      <c r="K7600" s="58"/>
      <c r="L7600" s="13" t="str">
        <f t="shared" si="1206"/>
        <v/>
      </c>
      <c r="M7600" s="13" t="str">
        <f t="shared" si="1207"/>
        <v/>
      </c>
      <c r="Q7600" t="str">
        <f t="shared" si="1208"/>
        <v/>
      </c>
      <c r="R7600" t="str">
        <f t="shared" si="1209"/>
        <v/>
      </c>
      <c r="S7600" t="str">
        <f t="shared" si="1210"/>
        <v/>
      </c>
      <c r="T7600" t="str">
        <f t="shared" si="1211"/>
        <v/>
      </c>
      <c r="U7600" t="str">
        <f t="shared" si="1212"/>
        <v/>
      </c>
      <c r="V7600" t="str">
        <f t="shared" si="1213"/>
        <v/>
      </c>
      <c r="W7600" t="str">
        <f t="shared" si="1214"/>
        <v/>
      </c>
      <c r="X7600">
        <f t="shared" si="1204"/>
        <v>0</v>
      </c>
      <c r="Z7600" t="str">
        <f t="shared" si="1215"/>
        <v/>
      </c>
      <c r="AA7600">
        <f t="shared" si="1205"/>
        <v>0</v>
      </c>
    </row>
    <row r="7601" spans="1:27" ht="21" customHeight="1" x14ac:dyDescent="0.95">
      <c r="A7601" s="56"/>
      <c r="B7601" s="57"/>
      <c r="C7601" s="57"/>
      <c r="D7601" s="57"/>
      <c r="E7601" s="56"/>
      <c r="F7601" s="57"/>
      <c r="G7601" s="57"/>
      <c r="H7601" s="56"/>
      <c r="I7601" s="56"/>
      <c r="J7601" s="58"/>
      <c r="K7601" s="58"/>
      <c r="L7601" s="13" t="str">
        <f t="shared" si="1206"/>
        <v/>
      </c>
      <c r="M7601" s="13" t="str">
        <f t="shared" si="1207"/>
        <v/>
      </c>
      <c r="Q7601" t="str">
        <f t="shared" si="1208"/>
        <v/>
      </c>
      <c r="R7601" t="str">
        <f t="shared" si="1209"/>
        <v/>
      </c>
      <c r="S7601" t="str">
        <f t="shared" si="1210"/>
        <v/>
      </c>
      <c r="T7601" t="str">
        <f t="shared" si="1211"/>
        <v/>
      </c>
      <c r="U7601" t="str">
        <f t="shared" si="1212"/>
        <v/>
      </c>
      <c r="V7601" t="str">
        <f t="shared" si="1213"/>
        <v/>
      </c>
      <c r="W7601" t="str">
        <f t="shared" si="1214"/>
        <v/>
      </c>
      <c r="X7601">
        <f t="shared" si="1204"/>
        <v>0</v>
      </c>
      <c r="Z7601" t="str">
        <f t="shared" si="1215"/>
        <v/>
      </c>
      <c r="AA7601">
        <f t="shared" si="1205"/>
        <v>0</v>
      </c>
    </row>
    <row r="7602" spans="1:27" ht="21" customHeight="1" x14ac:dyDescent="0.95">
      <c r="A7602" s="56"/>
      <c r="B7602" s="57"/>
      <c r="C7602" s="57"/>
      <c r="D7602" s="57"/>
      <c r="E7602" s="56"/>
      <c r="F7602" s="57"/>
      <c r="G7602" s="57"/>
      <c r="H7602" s="56"/>
      <c r="I7602" s="56"/>
      <c r="J7602" s="58"/>
      <c r="K7602" s="58"/>
      <c r="L7602" s="13" t="str">
        <f t="shared" si="1206"/>
        <v/>
      </c>
      <c r="M7602" s="13" t="str">
        <f t="shared" si="1207"/>
        <v/>
      </c>
      <c r="Q7602" t="str">
        <f t="shared" si="1208"/>
        <v/>
      </c>
      <c r="R7602" t="str">
        <f t="shared" si="1209"/>
        <v/>
      </c>
      <c r="S7602" t="str">
        <f t="shared" si="1210"/>
        <v/>
      </c>
      <c r="T7602" t="str">
        <f t="shared" si="1211"/>
        <v/>
      </c>
      <c r="U7602" t="str">
        <f t="shared" si="1212"/>
        <v/>
      </c>
      <c r="V7602" t="str">
        <f t="shared" si="1213"/>
        <v/>
      </c>
      <c r="W7602" t="str">
        <f t="shared" si="1214"/>
        <v/>
      </c>
      <c r="X7602">
        <f t="shared" si="1204"/>
        <v>0</v>
      </c>
      <c r="Z7602" t="str">
        <f t="shared" si="1215"/>
        <v/>
      </c>
      <c r="AA7602">
        <f t="shared" si="1205"/>
        <v>0</v>
      </c>
    </row>
    <row r="7603" spans="1:27" ht="21" customHeight="1" x14ac:dyDescent="0.95">
      <c r="A7603" s="56"/>
      <c r="B7603" s="57"/>
      <c r="C7603" s="57"/>
      <c r="D7603" s="57"/>
      <c r="E7603" s="56"/>
      <c r="F7603" s="57"/>
      <c r="G7603" s="57"/>
      <c r="H7603" s="56"/>
      <c r="I7603" s="56"/>
      <c r="J7603" s="58"/>
      <c r="K7603" s="58"/>
      <c r="L7603" s="13" t="str">
        <f t="shared" si="1206"/>
        <v/>
      </c>
      <c r="M7603" s="13" t="str">
        <f t="shared" si="1207"/>
        <v/>
      </c>
      <c r="Q7603" t="str">
        <f t="shared" si="1208"/>
        <v/>
      </c>
      <c r="R7603" t="str">
        <f t="shared" si="1209"/>
        <v/>
      </c>
      <c r="S7603" t="str">
        <f t="shared" si="1210"/>
        <v/>
      </c>
      <c r="T7603" t="str">
        <f t="shared" si="1211"/>
        <v/>
      </c>
      <c r="U7603" t="str">
        <f t="shared" si="1212"/>
        <v/>
      </c>
      <c r="V7603" t="str">
        <f t="shared" si="1213"/>
        <v/>
      </c>
      <c r="W7603" t="str">
        <f t="shared" si="1214"/>
        <v/>
      </c>
      <c r="X7603">
        <f t="shared" si="1204"/>
        <v>0</v>
      </c>
      <c r="Z7603" t="str">
        <f t="shared" si="1215"/>
        <v/>
      </c>
      <c r="AA7603">
        <f t="shared" si="1205"/>
        <v>0</v>
      </c>
    </row>
    <row r="7604" spans="1:27" ht="21" customHeight="1" x14ac:dyDescent="0.95">
      <c r="A7604" s="56"/>
      <c r="B7604" s="57"/>
      <c r="C7604" s="57"/>
      <c r="D7604" s="57"/>
      <c r="E7604" s="56"/>
      <c r="F7604" s="57"/>
      <c r="G7604" s="57"/>
      <c r="H7604" s="56"/>
      <c r="I7604" s="56"/>
      <c r="J7604" s="58"/>
      <c r="K7604" s="58"/>
      <c r="L7604" s="13" t="str">
        <f t="shared" si="1206"/>
        <v/>
      </c>
      <c r="M7604" s="13" t="str">
        <f t="shared" si="1207"/>
        <v/>
      </c>
      <c r="Q7604" t="str">
        <f t="shared" si="1208"/>
        <v/>
      </c>
      <c r="R7604" t="str">
        <f t="shared" si="1209"/>
        <v/>
      </c>
      <c r="S7604" t="str">
        <f t="shared" si="1210"/>
        <v/>
      </c>
      <c r="T7604" t="str">
        <f t="shared" si="1211"/>
        <v/>
      </c>
      <c r="U7604" t="str">
        <f t="shared" si="1212"/>
        <v/>
      </c>
      <c r="V7604" t="str">
        <f t="shared" si="1213"/>
        <v/>
      </c>
      <c r="W7604" t="str">
        <f t="shared" si="1214"/>
        <v/>
      </c>
      <c r="X7604">
        <f t="shared" si="1204"/>
        <v>0</v>
      </c>
      <c r="Z7604" t="str">
        <f t="shared" si="1215"/>
        <v/>
      </c>
      <c r="AA7604">
        <f t="shared" si="1205"/>
        <v>0</v>
      </c>
    </row>
    <row r="7605" spans="1:27" ht="21" customHeight="1" x14ac:dyDescent="0.95">
      <c r="A7605" s="56"/>
      <c r="B7605" s="57"/>
      <c r="C7605" s="57"/>
      <c r="D7605" s="57"/>
      <c r="E7605" s="56"/>
      <c r="F7605" s="57"/>
      <c r="G7605" s="57"/>
      <c r="H7605" s="56"/>
      <c r="I7605" s="56"/>
      <c r="J7605" s="58"/>
      <c r="K7605" s="58"/>
      <c r="L7605" s="13" t="str">
        <f t="shared" si="1206"/>
        <v/>
      </c>
      <c r="M7605" s="13" t="str">
        <f t="shared" si="1207"/>
        <v/>
      </c>
      <c r="Q7605" t="str">
        <f t="shared" si="1208"/>
        <v/>
      </c>
      <c r="R7605" t="str">
        <f t="shared" si="1209"/>
        <v/>
      </c>
      <c r="S7605" t="str">
        <f t="shared" si="1210"/>
        <v/>
      </c>
      <c r="T7605" t="str">
        <f t="shared" si="1211"/>
        <v/>
      </c>
      <c r="U7605" t="str">
        <f t="shared" si="1212"/>
        <v/>
      </c>
      <c r="V7605" t="str">
        <f t="shared" si="1213"/>
        <v/>
      </c>
      <c r="W7605" t="str">
        <f t="shared" si="1214"/>
        <v/>
      </c>
      <c r="X7605">
        <f t="shared" ref="X7605:X7668" si="1216">IF($T7605="",N($X7604),IF(MATCH($T7605,$T$6:$T$10005,0)=ROW()-5,N($X7604)+1,N($X7604)))</f>
        <v>0</v>
      </c>
      <c r="Z7605" t="str">
        <f t="shared" si="1215"/>
        <v/>
      </c>
      <c r="AA7605">
        <f t="shared" ref="AA7605:AA7668" si="1217">IF($V7605="",N($AA7604),IF(MATCH($V7605,$V$6:$V$10005,0)=ROW()-5,N($AA7604)+1,N($AA7604)))</f>
        <v>0</v>
      </c>
    </row>
    <row r="7606" spans="1:27" ht="21" customHeight="1" x14ac:dyDescent="0.95">
      <c r="A7606" s="56"/>
      <c r="B7606" s="57"/>
      <c r="C7606" s="57"/>
      <c r="D7606" s="57"/>
      <c r="E7606" s="56"/>
      <c r="F7606" s="57"/>
      <c r="G7606" s="57"/>
      <c r="H7606" s="56"/>
      <c r="I7606" s="56"/>
      <c r="J7606" s="58"/>
      <c r="K7606" s="58"/>
      <c r="L7606" s="13" t="str">
        <f t="shared" si="1206"/>
        <v/>
      </c>
      <c r="M7606" s="13" t="str">
        <f t="shared" si="1207"/>
        <v/>
      </c>
      <c r="Q7606" t="str">
        <f t="shared" si="1208"/>
        <v/>
      </c>
      <c r="R7606" t="str">
        <f t="shared" si="1209"/>
        <v/>
      </c>
      <c r="S7606" t="str">
        <f t="shared" si="1210"/>
        <v/>
      </c>
      <c r="T7606" t="str">
        <f t="shared" si="1211"/>
        <v/>
      </c>
      <c r="U7606" t="str">
        <f t="shared" si="1212"/>
        <v/>
      </c>
      <c r="V7606" t="str">
        <f t="shared" si="1213"/>
        <v/>
      </c>
      <c r="W7606" t="str">
        <f t="shared" si="1214"/>
        <v/>
      </c>
      <c r="X7606">
        <f t="shared" si="1216"/>
        <v>0</v>
      </c>
      <c r="Z7606" t="str">
        <f t="shared" si="1215"/>
        <v/>
      </c>
      <c r="AA7606">
        <f t="shared" si="1217"/>
        <v>0</v>
      </c>
    </row>
    <row r="7607" spans="1:27" ht="21" customHeight="1" x14ac:dyDescent="0.95">
      <c r="A7607" s="56"/>
      <c r="B7607" s="57"/>
      <c r="C7607" s="57"/>
      <c r="D7607" s="57"/>
      <c r="E7607" s="56"/>
      <c r="F7607" s="57"/>
      <c r="G7607" s="57"/>
      <c r="H7607" s="56"/>
      <c r="I7607" s="56"/>
      <c r="J7607" s="58"/>
      <c r="K7607" s="58"/>
      <c r="L7607" s="13" t="str">
        <f t="shared" si="1206"/>
        <v/>
      </c>
      <c r="M7607" s="13" t="str">
        <f t="shared" si="1207"/>
        <v/>
      </c>
      <c r="Q7607" t="str">
        <f t="shared" si="1208"/>
        <v/>
      </c>
      <c r="R7607" t="str">
        <f t="shared" si="1209"/>
        <v/>
      </c>
      <c r="S7607" t="str">
        <f t="shared" si="1210"/>
        <v/>
      </c>
      <c r="T7607" t="str">
        <f t="shared" si="1211"/>
        <v/>
      </c>
      <c r="U7607" t="str">
        <f t="shared" si="1212"/>
        <v/>
      </c>
      <c r="V7607" t="str">
        <f t="shared" si="1213"/>
        <v/>
      </c>
      <c r="W7607" t="str">
        <f t="shared" si="1214"/>
        <v/>
      </c>
      <c r="X7607">
        <f t="shared" si="1216"/>
        <v>0</v>
      </c>
      <c r="Z7607" t="str">
        <f t="shared" si="1215"/>
        <v/>
      </c>
      <c r="AA7607">
        <f t="shared" si="1217"/>
        <v>0</v>
      </c>
    </row>
    <row r="7608" spans="1:27" ht="21" customHeight="1" x14ac:dyDescent="0.95">
      <c r="A7608" s="56"/>
      <c r="B7608" s="57"/>
      <c r="C7608" s="57"/>
      <c r="D7608" s="57"/>
      <c r="E7608" s="56"/>
      <c r="F7608" s="57"/>
      <c r="G7608" s="57"/>
      <c r="H7608" s="56"/>
      <c r="I7608" s="56"/>
      <c r="J7608" s="58"/>
      <c r="K7608" s="58"/>
      <c r="L7608" s="13" t="str">
        <f t="shared" si="1206"/>
        <v/>
      </c>
      <c r="M7608" s="13" t="str">
        <f t="shared" si="1207"/>
        <v/>
      </c>
      <c r="Q7608" t="str">
        <f t="shared" si="1208"/>
        <v/>
      </c>
      <c r="R7608" t="str">
        <f t="shared" si="1209"/>
        <v/>
      </c>
      <c r="S7608" t="str">
        <f t="shared" si="1210"/>
        <v/>
      </c>
      <c r="T7608" t="str">
        <f t="shared" si="1211"/>
        <v/>
      </c>
      <c r="U7608" t="str">
        <f t="shared" si="1212"/>
        <v/>
      </c>
      <c r="V7608" t="str">
        <f t="shared" si="1213"/>
        <v/>
      </c>
      <c r="W7608" t="str">
        <f t="shared" si="1214"/>
        <v/>
      </c>
      <c r="X7608">
        <f t="shared" si="1216"/>
        <v>0</v>
      </c>
      <c r="Z7608" t="str">
        <f t="shared" si="1215"/>
        <v/>
      </c>
      <c r="AA7608">
        <f t="shared" si="1217"/>
        <v>0</v>
      </c>
    </row>
    <row r="7609" spans="1:27" ht="21" customHeight="1" x14ac:dyDescent="0.95">
      <c r="A7609" s="56"/>
      <c r="B7609" s="57"/>
      <c r="C7609" s="57"/>
      <c r="D7609" s="57"/>
      <c r="E7609" s="56"/>
      <c r="F7609" s="57"/>
      <c r="G7609" s="57"/>
      <c r="H7609" s="56"/>
      <c r="I7609" s="56"/>
      <c r="J7609" s="58"/>
      <c r="K7609" s="58"/>
      <c r="L7609" s="13" t="str">
        <f t="shared" si="1206"/>
        <v/>
      </c>
      <c r="M7609" s="13" t="str">
        <f t="shared" si="1207"/>
        <v/>
      </c>
      <c r="Q7609" t="str">
        <f t="shared" si="1208"/>
        <v/>
      </c>
      <c r="R7609" t="str">
        <f t="shared" si="1209"/>
        <v/>
      </c>
      <c r="S7609" t="str">
        <f t="shared" si="1210"/>
        <v/>
      </c>
      <c r="T7609" t="str">
        <f t="shared" si="1211"/>
        <v/>
      </c>
      <c r="U7609" t="str">
        <f t="shared" si="1212"/>
        <v/>
      </c>
      <c r="V7609" t="str">
        <f t="shared" si="1213"/>
        <v/>
      </c>
      <c r="W7609" t="str">
        <f t="shared" si="1214"/>
        <v/>
      </c>
      <c r="X7609">
        <f t="shared" si="1216"/>
        <v>0</v>
      </c>
      <c r="Z7609" t="str">
        <f t="shared" si="1215"/>
        <v/>
      </c>
      <c r="AA7609">
        <f t="shared" si="1217"/>
        <v>0</v>
      </c>
    </row>
    <row r="7610" spans="1:27" ht="21" customHeight="1" x14ac:dyDescent="0.95">
      <c r="A7610" s="56"/>
      <c r="B7610" s="57"/>
      <c r="C7610" s="57"/>
      <c r="D7610" s="57"/>
      <c r="E7610" s="56"/>
      <c r="F7610" s="57"/>
      <c r="G7610" s="57"/>
      <c r="H7610" s="56"/>
      <c r="I7610" s="56"/>
      <c r="J7610" s="58"/>
      <c r="K7610" s="58"/>
      <c r="L7610" s="13" t="str">
        <f t="shared" si="1206"/>
        <v/>
      </c>
      <c r="M7610" s="13" t="str">
        <f t="shared" si="1207"/>
        <v/>
      </c>
      <c r="Q7610" t="str">
        <f t="shared" si="1208"/>
        <v/>
      </c>
      <c r="R7610" t="str">
        <f t="shared" si="1209"/>
        <v/>
      </c>
      <c r="S7610" t="str">
        <f t="shared" si="1210"/>
        <v/>
      </c>
      <c r="T7610" t="str">
        <f t="shared" si="1211"/>
        <v/>
      </c>
      <c r="U7610" t="str">
        <f t="shared" si="1212"/>
        <v/>
      </c>
      <c r="V7610" t="str">
        <f t="shared" si="1213"/>
        <v/>
      </c>
      <c r="W7610" t="str">
        <f t="shared" si="1214"/>
        <v/>
      </c>
      <c r="X7610">
        <f t="shared" si="1216"/>
        <v>0</v>
      </c>
      <c r="Z7610" t="str">
        <f t="shared" si="1215"/>
        <v/>
      </c>
      <c r="AA7610">
        <f t="shared" si="1217"/>
        <v>0</v>
      </c>
    </row>
    <row r="7611" spans="1:27" ht="21" customHeight="1" x14ac:dyDescent="0.95">
      <c r="A7611" s="56"/>
      <c r="B7611" s="57"/>
      <c r="C7611" s="57"/>
      <c r="D7611" s="57"/>
      <c r="E7611" s="56"/>
      <c r="F7611" s="57"/>
      <c r="G7611" s="57"/>
      <c r="H7611" s="56"/>
      <c r="I7611" s="56"/>
      <c r="J7611" s="58"/>
      <c r="K7611" s="58"/>
      <c r="L7611" s="13" t="str">
        <f t="shared" si="1206"/>
        <v/>
      </c>
      <c r="M7611" s="13" t="str">
        <f t="shared" si="1207"/>
        <v/>
      </c>
      <c r="Q7611" t="str">
        <f t="shared" si="1208"/>
        <v/>
      </c>
      <c r="R7611" t="str">
        <f t="shared" si="1209"/>
        <v/>
      </c>
      <c r="S7611" t="str">
        <f t="shared" si="1210"/>
        <v/>
      </c>
      <c r="T7611" t="str">
        <f t="shared" si="1211"/>
        <v/>
      </c>
      <c r="U7611" t="str">
        <f t="shared" si="1212"/>
        <v/>
      </c>
      <c r="V7611" t="str">
        <f t="shared" si="1213"/>
        <v/>
      </c>
      <c r="W7611" t="str">
        <f t="shared" si="1214"/>
        <v/>
      </c>
      <c r="X7611">
        <f t="shared" si="1216"/>
        <v>0</v>
      </c>
      <c r="Z7611" t="str">
        <f t="shared" si="1215"/>
        <v/>
      </c>
      <c r="AA7611">
        <f t="shared" si="1217"/>
        <v>0</v>
      </c>
    </row>
    <row r="7612" spans="1:27" ht="21" customHeight="1" x14ac:dyDescent="0.95">
      <c r="A7612" s="56"/>
      <c r="B7612" s="57"/>
      <c r="C7612" s="57"/>
      <c r="D7612" s="57"/>
      <c r="E7612" s="56"/>
      <c r="F7612" s="57"/>
      <c r="G7612" s="57"/>
      <c r="H7612" s="56"/>
      <c r="I7612" s="56"/>
      <c r="J7612" s="58"/>
      <c r="K7612" s="58"/>
      <c r="L7612" s="13" t="str">
        <f t="shared" si="1206"/>
        <v/>
      </c>
      <c r="M7612" s="13" t="str">
        <f t="shared" si="1207"/>
        <v/>
      </c>
      <c r="Q7612" t="str">
        <f t="shared" si="1208"/>
        <v/>
      </c>
      <c r="R7612" t="str">
        <f t="shared" si="1209"/>
        <v/>
      </c>
      <c r="S7612" t="str">
        <f t="shared" si="1210"/>
        <v/>
      </c>
      <c r="T7612" t="str">
        <f t="shared" si="1211"/>
        <v/>
      </c>
      <c r="U7612" t="str">
        <f t="shared" si="1212"/>
        <v/>
      </c>
      <c r="V7612" t="str">
        <f t="shared" si="1213"/>
        <v/>
      </c>
      <c r="W7612" t="str">
        <f t="shared" si="1214"/>
        <v/>
      </c>
      <c r="X7612">
        <f t="shared" si="1216"/>
        <v>0</v>
      </c>
      <c r="Z7612" t="str">
        <f t="shared" si="1215"/>
        <v/>
      </c>
      <c r="AA7612">
        <f t="shared" si="1217"/>
        <v>0</v>
      </c>
    </row>
    <row r="7613" spans="1:27" ht="21" customHeight="1" x14ac:dyDescent="0.95">
      <c r="A7613" s="56"/>
      <c r="B7613" s="57"/>
      <c r="C7613" s="57"/>
      <c r="D7613" s="57"/>
      <c r="E7613" s="56"/>
      <c r="F7613" s="57"/>
      <c r="G7613" s="57"/>
      <c r="H7613" s="56"/>
      <c r="I7613" s="56"/>
      <c r="J7613" s="58"/>
      <c r="K7613" s="58"/>
      <c r="L7613" s="13" t="str">
        <f t="shared" si="1206"/>
        <v/>
      </c>
      <c r="M7613" s="13" t="str">
        <f t="shared" si="1207"/>
        <v/>
      </c>
      <c r="Q7613" t="str">
        <f t="shared" si="1208"/>
        <v/>
      </c>
      <c r="R7613" t="str">
        <f t="shared" si="1209"/>
        <v/>
      </c>
      <c r="S7613" t="str">
        <f t="shared" si="1210"/>
        <v/>
      </c>
      <c r="T7613" t="str">
        <f t="shared" si="1211"/>
        <v/>
      </c>
      <c r="U7613" t="str">
        <f t="shared" si="1212"/>
        <v/>
      </c>
      <c r="V7613" t="str">
        <f t="shared" si="1213"/>
        <v/>
      </c>
      <c r="W7613" t="str">
        <f t="shared" si="1214"/>
        <v/>
      </c>
      <c r="X7613">
        <f t="shared" si="1216"/>
        <v>0</v>
      </c>
      <c r="Z7613" t="str">
        <f t="shared" si="1215"/>
        <v/>
      </c>
      <c r="AA7613">
        <f t="shared" si="1217"/>
        <v>0</v>
      </c>
    </row>
    <row r="7614" spans="1:27" ht="21" customHeight="1" x14ac:dyDescent="0.95">
      <c r="A7614" s="56"/>
      <c r="B7614" s="57"/>
      <c r="C7614" s="57"/>
      <c r="D7614" s="57"/>
      <c r="E7614" s="56"/>
      <c r="F7614" s="57"/>
      <c r="G7614" s="57"/>
      <c r="H7614" s="56"/>
      <c r="I7614" s="56"/>
      <c r="J7614" s="58"/>
      <c r="K7614" s="58"/>
      <c r="L7614" s="13" t="str">
        <f t="shared" si="1206"/>
        <v/>
      </c>
      <c r="M7614" s="13" t="str">
        <f t="shared" si="1207"/>
        <v/>
      </c>
      <c r="Q7614" t="str">
        <f t="shared" si="1208"/>
        <v/>
      </c>
      <c r="R7614" t="str">
        <f t="shared" si="1209"/>
        <v/>
      </c>
      <c r="S7614" t="str">
        <f t="shared" si="1210"/>
        <v/>
      </c>
      <c r="T7614" t="str">
        <f t="shared" si="1211"/>
        <v/>
      </c>
      <c r="U7614" t="str">
        <f t="shared" si="1212"/>
        <v/>
      </c>
      <c r="V7614" t="str">
        <f t="shared" si="1213"/>
        <v/>
      </c>
      <c r="W7614" t="str">
        <f t="shared" si="1214"/>
        <v/>
      </c>
      <c r="X7614">
        <f t="shared" si="1216"/>
        <v>0</v>
      </c>
      <c r="Z7614" t="str">
        <f t="shared" si="1215"/>
        <v/>
      </c>
      <c r="AA7614">
        <f t="shared" si="1217"/>
        <v>0</v>
      </c>
    </row>
    <row r="7615" spans="1:27" ht="21" customHeight="1" x14ac:dyDescent="0.95">
      <c r="A7615" s="56"/>
      <c r="B7615" s="57"/>
      <c r="C7615" s="57"/>
      <c r="D7615" s="57"/>
      <c r="E7615" s="56"/>
      <c r="F7615" s="57"/>
      <c r="G7615" s="57"/>
      <c r="H7615" s="56"/>
      <c r="I7615" s="56"/>
      <c r="J7615" s="58"/>
      <c r="K7615" s="58"/>
      <c r="L7615" s="13" t="str">
        <f t="shared" si="1206"/>
        <v/>
      </c>
      <c r="M7615" s="13" t="str">
        <f t="shared" si="1207"/>
        <v/>
      </c>
      <c r="Q7615" t="str">
        <f t="shared" si="1208"/>
        <v/>
      </c>
      <c r="R7615" t="str">
        <f t="shared" si="1209"/>
        <v/>
      </c>
      <c r="S7615" t="str">
        <f t="shared" si="1210"/>
        <v/>
      </c>
      <c r="T7615" t="str">
        <f t="shared" si="1211"/>
        <v/>
      </c>
      <c r="U7615" t="str">
        <f t="shared" si="1212"/>
        <v/>
      </c>
      <c r="V7615" t="str">
        <f t="shared" si="1213"/>
        <v/>
      </c>
      <c r="W7615" t="str">
        <f t="shared" si="1214"/>
        <v/>
      </c>
      <c r="X7615">
        <f t="shared" si="1216"/>
        <v>0</v>
      </c>
      <c r="Z7615" t="str">
        <f t="shared" si="1215"/>
        <v/>
      </c>
      <c r="AA7615">
        <f t="shared" si="1217"/>
        <v>0</v>
      </c>
    </row>
    <row r="7616" spans="1:27" ht="21" customHeight="1" x14ac:dyDescent="0.95">
      <c r="A7616" s="56"/>
      <c r="B7616" s="57"/>
      <c r="C7616" s="57"/>
      <c r="D7616" s="57"/>
      <c r="E7616" s="56"/>
      <c r="F7616" s="57"/>
      <c r="G7616" s="57"/>
      <c r="H7616" s="56"/>
      <c r="I7616" s="56"/>
      <c r="J7616" s="58"/>
      <c r="K7616" s="58"/>
      <c r="L7616" s="13" t="str">
        <f t="shared" si="1206"/>
        <v/>
      </c>
      <c r="M7616" s="13" t="str">
        <f t="shared" si="1207"/>
        <v/>
      </c>
      <c r="Q7616" t="str">
        <f t="shared" si="1208"/>
        <v/>
      </c>
      <c r="R7616" t="str">
        <f t="shared" si="1209"/>
        <v/>
      </c>
      <c r="S7616" t="str">
        <f t="shared" si="1210"/>
        <v/>
      </c>
      <c r="T7616" t="str">
        <f t="shared" si="1211"/>
        <v/>
      </c>
      <c r="U7616" t="str">
        <f t="shared" si="1212"/>
        <v/>
      </c>
      <c r="V7616" t="str">
        <f t="shared" si="1213"/>
        <v/>
      </c>
      <c r="W7616" t="str">
        <f t="shared" si="1214"/>
        <v/>
      </c>
      <c r="X7616">
        <f t="shared" si="1216"/>
        <v>0</v>
      </c>
      <c r="Z7616" t="str">
        <f t="shared" si="1215"/>
        <v/>
      </c>
      <c r="AA7616">
        <f t="shared" si="1217"/>
        <v>0</v>
      </c>
    </row>
    <row r="7617" spans="1:27" ht="21" customHeight="1" x14ac:dyDescent="0.95">
      <c r="A7617" s="56"/>
      <c r="B7617" s="57"/>
      <c r="C7617" s="57"/>
      <c r="D7617" s="57"/>
      <c r="E7617" s="56"/>
      <c r="F7617" s="57"/>
      <c r="G7617" s="57"/>
      <c r="H7617" s="56"/>
      <c r="I7617" s="56"/>
      <c r="J7617" s="58"/>
      <c r="K7617" s="58"/>
      <c r="L7617" s="13" t="str">
        <f t="shared" si="1206"/>
        <v/>
      </c>
      <c r="M7617" s="13" t="str">
        <f t="shared" si="1207"/>
        <v/>
      </c>
      <c r="Q7617" t="str">
        <f t="shared" si="1208"/>
        <v/>
      </c>
      <c r="R7617" t="str">
        <f t="shared" si="1209"/>
        <v/>
      </c>
      <c r="S7617" t="str">
        <f t="shared" si="1210"/>
        <v/>
      </c>
      <c r="T7617" t="str">
        <f t="shared" si="1211"/>
        <v/>
      </c>
      <c r="U7617" t="str">
        <f t="shared" si="1212"/>
        <v/>
      </c>
      <c r="V7617" t="str">
        <f t="shared" si="1213"/>
        <v/>
      </c>
      <c r="W7617" t="str">
        <f t="shared" si="1214"/>
        <v/>
      </c>
      <c r="X7617">
        <f t="shared" si="1216"/>
        <v>0</v>
      </c>
      <c r="Z7617" t="str">
        <f t="shared" si="1215"/>
        <v/>
      </c>
      <c r="AA7617">
        <f t="shared" si="1217"/>
        <v>0</v>
      </c>
    </row>
    <row r="7618" spans="1:27" ht="21" customHeight="1" x14ac:dyDescent="0.95">
      <c r="A7618" s="56"/>
      <c r="B7618" s="57"/>
      <c r="C7618" s="57"/>
      <c r="D7618" s="57"/>
      <c r="E7618" s="56"/>
      <c r="F7618" s="57"/>
      <c r="G7618" s="57"/>
      <c r="H7618" s="56"/>
      <c r="I7618" s="56"/>
      <c r="J7618" s="58"/>
      <c r="K7618" s="58"/>
      <c r="L7618" s="13" t="str">
        <f t="shared" si="1206"/>
        <v/>
      </c>
      <c r="M7618" s="13" t="str">
        <f t="shared" si="1207"/>
        <v/>
      </c>
      <c r="Q7618" t="str">
        <f t="shared" si="1208"/>
        <v/>
      </c>
      <c r="R7618" t="str">
        <f t="shared" si="1209"/>
        <v/>
      </c>
      <c r="S7618" t="str">
        <f t="shared" si="1210"/>
        <v/>
      </c>
      <c r="T7618" t="str">
        <f t="shared" si="1211"/>
        <v/>
      </c>
      <c r="U7618" t="str">
        <f t="shared" si="1212"/>
        <v/>
      </c>
      <c r="V7618" t="str">
        <f t="shared" si="1213"/>
        <v/>
      </c>
      <c r="W7618" t="str">
        <f t="shared" si="1214"/>
        <v/>
      </c>
      <c r="X7618">
        <f t="shared" si="1216"/>
        <v>0</v>
      </c>
      <c r="Z7618" t="str">
        <f t="shared" si="1215"/>
        <v/>
      </c>
      <c r="AA7618">
        <f t="shared" si="1217"/>
        <v>0</v>
      </c>
    </row>
    <row r="7619" spans="1:27" ht="21" customHeight="1" x14ac:dyDescent="0.95">
      <c r="A7619" s="56"/>
      <c r="B7619" s="57"/>
      <c r="C7619" s="57"/>
      <c r="D7619" s="57"/>
      <c r="E7619" s="56"/>
      <c r="F7619" s="57"/>
      <c r="G7619" s="57"/>
      <c r="H7619" s="56"/>
      <c r="I7619" s="56"/>
      <c r="J7619" s="58"/>
      <c r="K7619" s="58"/>
      <c r="L7619" s="13" t="str">
        <f t="shared" si="1206"/>
        <v/>
      </c>
      <c r="M7619" s="13" t="str">
        <f t="shared" si="1207"/>
        <v/>
      </c>
      <c r="Q7619" t="str">
        <f t="shared" si="1208"/>
        <v/>
      </c>
      <c r="R7619" t="str">
        <f t="shared" si="1209"/>
        <v/>
      </c>
      <c r="S7619" t="str">
        <f t="shared" si="1210"/>
        <v/>
      </c>
      <c r="T7619" t="str">
        <f t="shared" si="1211"/>
        <v/>
      </c>
      <c r="U7619" t="str">
        <f t="shared" si="1212"/>
        <v/>
      </c>
      <c r="V7619" t="str">
        <f t="shared" si="1213"/>
        <v/>
      </c>
      <c r="W7619" t="str">
        <f t="shared" si="1214"/>
        <v/>
      </c>
      <c r="X7619">
        <f t="shared" si="1216"/>
        <v>0</v>
      </c>
      <c r="Z7619" t="str">
        <f t="shared" si="1215"/>
        <v/>
      </c>
      <c r="AA7619">
        <f t="shared" si="1217"/>
        <v>0</v>
      </c>
    </row>
    <row r="7620" spans="1:27" ht="21" customHeight="1" x14ac:dyDescent="0.95">
      <c r="A7620" s="56"/>
      <c r="B7620" s="57"/>
      <c r="C7620" s="57"/>
      <c r="D7620" s="57"/>
      <c r="E7620" s="56"/>
      <c r="F7620" s="57"/>
      <c r="G7620" s="57"/>
      <c r="H7620" s="56"/>
      <c r="I7620" s="56"/>
      <c r="J7620" s="58"/>
      <c r="K7620" s="58"/>
      <c r="L7620" s="13" t="str">
        <f t="shared" ref="L7620:L7683" si="1218">IF(OR($A7620="",AND($J7620="",$K7620="")),"",ROUND(N($J7620)-N($K7620),2))</f>
        <v/>
      </c>
      <c r="M7620" s="13" t="str">
        <f t="shared" ref="M7620:M7683" si="1219">IF(OR($A7620="",AND($J7620="",$K7620="")),"",MIN($J7620,$K7620))</f>
        <v/>
      </c>
      <c r="Q7620" t="str">
        <f t="shared" ref="Q7620:Q7683" si="1220">IF($A7620="","",$D7620&amp;"("&amp;SUBSTITUTE($E7620," ","")&amp;")")</f>
        <v/>
      </c>
      <c r="R7620" t="str">
        <f t="shared" ref="R7620:R7683" si="1221">IF($A7620="","",$B7620&amp;" - "&amp;$C7620)</f>
        <v/>
      </c>
      <c r="S7620" t="str">
        <f t="shared" ref="S7620:S7683" si="1222">IF($A7620="","",$R7620&amp;"|"&amp;$Q7620)</f>
        <v/>
      </c>
      <c r="T7620" t="str">
        <f t="shared" ref="T7620:T7683" si="1223">IF($A7620="","",$S7620&amp;"|"&amp;$F7620)</f>
        <v/>
      </c>
      <c r="U7620" t="str">
        <f t="shared" ref="U7620:U7683" si="1224">IF($A7620="","",$R7620&amp;"("&amp;$E7620&amp;")")</f>
        <v/>
      </c>
      <c r="V7620" t="str">
        <f t="shared" ref="V7620:V7683" si="1225">IF($A7620="","",$F7620&amp;"|"&amp;$U7620&amp;"|"&amp;$D7620)</f>
        <v/>
      </c>
      <c r="W7620" t="str">
        <f t="shared" si="1214"/>
        <v/>
      </c>
      <c r="X7620">
        <f t="shared" si="1216"/>
        <v>0</v>
      </c>
      <c r="Z7620" t="str">
        <f t="shared" si="1215"/>
        <v/>
      </c>
      <c r="AA7620">
        <f t="shared" si="1217"/>
        <v>0</v>
      </c>
    </row>
    <row r="7621" spans="1:27" ht="21" customHeight="1" x14ac:dyDescent="0.95">
      <c r="A7621" s="56"/>
      <c r="B7621" s="57"/>
      <c r="C7621" s="57"/>
      <c r="D7621" s="57"/>
      <c r="E7621" s="56"/>
      <c r="F7621" s="57"/>
      <c r="G7621" s="57"/>
      <c r="H7621" s="56"/>
      <c r="I7621" s="56"/>
      <c r="J7621" s="58"/>
      <c r="K7621" s="58"/>
      <c r="L7621" s="13" t="str">
        <f t="shared" si="1218"/>
        <v/>
      </c>
      <c r="M7621" s="13" t="str">
        <f t="shared" si="1219"/>
        <v/>
      </c>
      <c r="Q7621" t="str">
        <f t="shared" si="1220"/>
        <v/>
      </c>
      <c r="R7621" t="str">
        <f t="shared" si="1221"/>
        <v/>
      </c>
      <c r="S7621" t="str">
        <f t="shared" si="1222"/>
        <v/>
      </c>
      <c r="T7621" t="str">
        <f t="shared" si="1223"/>
        <v/>
      </c>
      <c r="U7621" t="str">
        <f t="shared" si="1224"/>
        <v/>
      </c>
      <c r="V7621" t="str">
        <f t="shared" si="1225"/>
        <v/>
      </c>
      <c r="W7621" t="str">
        <f t="shared" si="1214"/>
        <v/>
      </c>
      <c r="X7621">
        <f t="shared" si="1216"/>
        <v>0</v>
      </c>
      <c r="Z7621" t="str">
        <f t="shared" si="1215"/>
        <v/>
      </c>
      <c r="AA7621">
        <f t="shared" si="1217"/>
        <v>0</v>
      </c>
    </row>
    <row r="7622" spans="1:27" ht="21" customHeight="1" x14ac:dyDescent="0.95">
      <c r="A7622" s="56"/>
      <c r="B7622" s="57"/>
      <c r="C7622" s="57"/>
      <c r="D7622" s="57"/>
      <c r="E7622" s="56"/>
      <c r="F7622" s="57"/>
      <c r="G7622" s="57"/>
      <c r="H7622" s="56"/>
      <c r="I7622" s="56"/>
      <c r="J7622" s="58"/>
      <c r="K7622" s="58"/>
      <c r="L7622" s="13" t="str">
        <f t="shared" si="1218"/>
        <v/>
      </c>
      <c r="M7622" s="13" t="str">
        <f t="shared" si="1219"/>
        <v/>
      </c>
      <c r="Q7622" t="str">
        <f t="shared" si="1220"/>
        <v/>
      </c>
      <c r="R7622" t="str">
        <f t="shared" si="1221"/>
        <v/>
      </c>
      <c r="S7622" t="str">
        <f t="shared" si="1222"/>
        <v/>
      </c>
      <c r="T7622" t="str">
        <f t="shared" si="1223"/>
        <v/>
      </c>
      <c r="U7622" t="str">
        <f t="shared" si="1224"/>
        <v/>
      </c>
      <c r="V7622" t="str">
        <f t="shared" si="1225"/>
        <v/>
      </c>
      <c r="W7622" t="str">
        <f t="shared" ref="W7622:W7685" si="1226">IF($T7622="","",IF($X7622&gt;N($X7621),$X7622,""))</f>
        <v/>
      </c>
      <c r="X7622">
        <f t="shared" si="1216"/>
        <v>0</v>
      </c>
      <c r="Z7622" t="str">
        <f t="shared" ref="Z7622:Z7685" si="1227">IF($V7622="","",IF($AA7622&gt;N($AA7621),$AA7622,""))</f>
        <v/>
      </c>
      <c r="AA7622">
        <f t="shared" si="1217"/>
        <v>0</v>
      </c>
    </row>
    <row r="7623" spans="1:27" ht="21" customHeight="1" x14ac:dyDescent="0.95">
      <c r="A7623" s="56"/>
      <c r="B7623" s="57"/>
      <c r="C7623" s="57"/>
      <c r="D7623" s="57"/>
      <c r="E7623" s="56"/>
      <c r="F7623" s="57"/>
      <c r="G7623" s="57"/>
      <c r="H7623" s="56"/>
      <c r="I7623" s="56"/>
      <c r="J7623" s="58"/>
      <c r="K7623" s="58"/>
      <c r="L7623" s="13" t="str">
        <f t="shared" si="1218"/>
        <v/>
      </c>
      <c r="M7623" s="13" t="str">
        <f t="shared" si="1219"/>
        <v/>
      </c>
      <c r="Q7623" t="str">
        <f t="shared" si="1220"/>
        <v/>
      </c>
      <c r="R7623" t="str">
        <f t="shared" si="1221"/>
        <v/>
      </c>
      <c r="S7623" t="str">
        <f t="shared" si="1222"/>
        <v/>
      </c>
      <c r="T7623" t="str">
        <f t="shared" si="1223"/>
        <v/>
      </c>
      <c r="U7623" t="str">
        <f t="shared" si="1224"/>
        <v/>
      </c>
      <c r="V7623" t="str">
        <f t="shared" si="1225"/>
        <v/>
      </c>
      <c r="W7623" t="str">
        <f t="shared" si="1226"/>
        <v/>
      </c>
      <c r="X7623">
        <f t="shared" si="1216"/>
        <v>0</v>
      </c>
      <c r="Z7623" t="str">
        <f t="shared" si="1227"/>
        <v/>
      </c>
      <c r="AA7623">
        <f t="shared" si="1217"/>
        <v>0</v>
      </c>
    </row>
    <row r="7624" spans="1:27" ht="21" customHeight="1" x14ac:dyDescent="0.95">
      <c r="A7624" s="56"/>
      <c r="B7624" s="57"/>
      <c r="C7624" s="57"/>
      <c r="D7624" s="57"/>
      <c r="E7624" s="56"/>
      <c r="F7624" s="57"/>
      <c r="G7624" s="57"/>
      <c r="H7624" s="56"/>
      <c r="I7624" s="56"/>
      <c r="J7624" s="58"/>
      <c r="K7624" s="58"/>
      <c r="L7624" s="13" t="str">
        <f t="shared" si="1218"/>
        <v/>
      </c>
      <c r="M7624" s="13" t="str">
        <f t="shared" si="1219"/>
        <v/>
      </c>
      <c r="Q7624" t="str">
        <f t="shared" si="1220"/>
        <v/>
      </c>
      <c r="R7624" t="str">
        <f t="shared" si="1221"/>
        <v/>
      </c>
      <c r="S7624" t="str">
        <f t="shared" si="1222"/>
        <v/>
      </c>
      <c r="T7624" t="str">
        <f t="shared" si="1223"/>
        <v/>
      </c>
      <c r="U7624" t="str">
        <f t="shared" si="1224"/>
        <v/>
      </c>
      <c r="V7624" t="str">
        <f t="shared" si="1225"/>
        <v/>
      </c>
      <c r="W7624" t="str">
        <f t="shared" si="1226"/>
        <v/>
      </c>
      <c r="X7624">
        <f t="shared" si="1216"/>
        <v>0</v>
      </c>
      <c r="Z7624" t="str">
        <f t="shared" si="1227"/>
        <v/>
      </c>
      <c r="AA7624">
        <f t="shared" si="1217"/>
        <v>0</v>
      </c>
    </row>
    <row r="7625" spans="1:27" ht="21" customHeight="1" x14ac:dyDescent="0.95">
      <c r="A7625" s="56"/>
      <c r="B7625" s="57"/>
      <c r="C7625" s="57"/>
      <c r="D7625" s="57"/>
      <c r="E7625" s="56"/>
      <c r="F7625" s="57"/>
      <c r="G7625" s="57"/>
      <c r="H7625" s="56"/>
      <c r="I7625" s="56"/>
      <c r="J7625" s="58"/>
      <c r="K7625" s="58"/>
      <c r="L7625" s="13" t="str">
        <f t="shared" si="1218"/>
        <v/>
      </c>
      <c r="M7625" s="13" t="str">
        <f t="shared" si="1219"/>
        <v/>
      </c>
      <c r="Q7625" t="str">
        <f t="shared" si="1220"/>
        <v/>
      </c>
      <c r="R7625" t="str">
        <f t="shared" si="1221"/>
        <v/>
      </c>
      <c r="S7625" t="str">
        <f t="shared" si="1222"/>
        <v/>
      </c>
      <c r="T7625" t="str">
        <f t="shared" si="1223"/>
        <v/>
      </c>
      <c r="U7625" t="str">
        <f t="shared" si="1224"/>
        <v/>
      </c>
      <c r="V7625" t="str">
        <f t="shared" si="1225"/>
        <v/>
      </c>
      <c r="W7625" t="str">
        <f t="shared" si="1226"/>
        <v/>
      </c>
      <c r="X7625">
        <f t="shared" si="1216"/>
        <v>0</v>
      </c>
      <c r="Z7625" t="str">
        <f t="shared" si="1227"/>
        <v/>
      </c>
      <c r="AA7625">
        <f t="shared" si="1217"/>
        <v>0</v>
      </c>
    </row>
    <row r="7626" spans="1:27" ht="21" customHeight="1" x14ac:dyDescent="0.95">
      <c r="A7626" s="56"/>
      <c r="B7626" s="57"/>
      <c r="C7626" s="57"/>
      <c r="D7626" s="57"/>
      <c r="E7626" s="56"/>
      <c r="F7626" s="57"/>
      <c r="G7626" s="57"/>
      <c r="H7626" s="56"/>
      <c r="I7626" s="56"/>
      <c r="J7626" s="58"/>
      <c r="K7626" s="58"/>
      <c r="L7626" s="13" t="str">
        <f t="shared" si="1218"/>
        <v/>
      </c>
      <c r="M7626" s="13" t="str">
        <f t="shared" si="1219"/>
        <v/>
      </c>
      <c r="Q7626" t="str">
        <f t="shared" si="1220"/>
        <v/>
      </c>
      <c r="R7626" t="str">
        <f t="shared" si="1221"/>
        <v/>
      </c>
      <c r="S7626" t="str">
        <f t="shared" si="1222"/>
        <v/>
      </c>
      <c r="T7626" t="str">
        <f t="shared" si="1223"/>
        <v/>
      </c>
      <c r="U7626" t="str">
        <f t="shared" si="1224"/>
        <v/>
      </c>
      <c r="V7626" t="str">
        <f t="shared" si="1225"/>
        <v/>
      </c>
      <c r="W7626" t="str">
        <f t="shared" si="1226"/>
        <v/>
      </c>
      <c r="X7626">
        <f t="shared" si="1216"/>
        <v>0</v>
      </c>
      <c r="Z7626" t="str">
        <f t="shared" si="1227"/>
        <v/>
      </c>
      <c r="AA7626">
        <f t="shared" si="1217"/>
        <v>0</v>
      </c>
    </row>
    <row r="7627" spans="1:27" ht="21" customHeight="1" x14ac:dyDescent="0.95">
      <c r="A7627" s="56"/>
      <c r="B7627" s="57"/>
      <c r="C7627" s="57"/>
      <c r="D7627" s="57"/>
      <c r="E7627" s="56"/>
      <c r="F7627" s="57"/>
      <c r="G7627" s="57"/>
      <c r="H7627" s="56"/>
      <c r="I7627" s="56"/>
      <c r="J7627" s="58"/>
      <c r="K7627" s="58"/>
      <c r="L7627" s="13" t="str">
        <f t="shared" si="1218"/>
        <v/>
      </c>
      <c r="M7627" s="13" t="str">
        <f t="shared" si="1219"/>
        <v/>
      </c>
      <c r="Q7627" t="str">
        <f t="shared" si="1220"/>
        <v/>
      </c>
      <c r="R7627" t="str">
        <f t="shared" si="1221"/>
        <v/>
      </c>
      <c r="S7627" t="str">
        <f t="shared" si="1222"/>
        <v/>
      </c>
      <c r="T7627" t="str">
        <f t="shared" si="1223"/>
        <v/>
      </c>
      <c r="U7627" t="str">
        <f t="shared" si="1224"/>
        <v/>
      </c>
      <c r="V7627" t="str">
        <f t="shared" si="1225"/>
        <v/>
      </c>
      <c r="W7627" t="str">
        <f t="shared" si="1226"/>
        <v/>
      </c>
      <c r="X7627">
        <f t="shared" si="1216"/>
        <v>0</v>
      </c>
      <c r="Z7627" t="str">
        <f t="shared" si="1227"/>
        <v/>
      </c>
      <c r="AA7627">
        <f t="shared" si="1217"/>
        <v>0</v>
      </c>
    </row>
    <row r="7628" spans="1:27" ht="21" customHeight="1" x14ac:dyDescent="0.95">
      <c r="A7628" s="56"/>
      <c r="B7628" s="57"/>
      <c r="C7628" s="57"/>
      <c r="D7628" s="57"/>
      <c r="E7628" s="56"/>
      <c r="F7628" s="57"/>
      <c r="G7628" s="57"/>
      <c r="H7628" s="56"/>
      <c r="I7628" s="56"/>
      <c r="J7628" s="58"/>
      <c r="K7628" s="58"/>
      <c r="L7628" s="13" t="str">
        <f t="shared" si="1218"/>
        <v/>
      </c>
      <c r="M7628" s="13" t="str">
        <f t="shared" si="1219"/>
        <v/>
      </c>
      <c r="Q7628" t="str">
        <f t="shared" si="1220"/>
        <v/>
      </c>
      <c r="R7628" t="str">
        <f t="shared" si="1221"/>
        <v/>
      </c>
      <c r="S7628" t="str">
        <f t="shared" si="1222"/>
        <v/>
      </c>
      <c r="T7628" t="str">
        <f t="shared" si="1223"/>
        <v/>
      </c>
      <c r="U7628" t="str">
        <f t="shared" si="1224"/>
        <v/>
      </c>
      <c r="V7628" t="str">
        <f t="shared" si="1225"/>
        <v/>
      </c>
      <c r="W7628" t="str">
        <f t="shared" si="1226"/>
        <v/>
      </c>
      <c r="X7628">
        <f t="shared" si="1216"/>
        <v>0</v>
      </c>
      <c r="Z7628" t="str">
        <f t="shared" si="1227"/>
        <v/>
      </c>
      <c r="AA7628">
        <f t="shared" si="1217"/>
        <v>0</v>
      </c>
    </row>
    <row r="7629" spans="1:27" ht="21" customHeight="1" x14ac:dyDescent="0.95">
      <c r="A7629" s="56"/>
      <c r="B7629" s="57"/>
      <c r="C7629" s="57"/>
      <c r="D7629" s="57"/>
      <c r="E7629" s="56"/>
      <c r="F7629" s="57"/>
      <c r="G7629" s="57"/>
      <c r="H7629" s="56"/>
      <c r="I7629" s="56"/>
      <c r="J7629" s="58"/>
      <c r="K7629" s="58"/>
      <c r="L7629" s="13" t="str">
        <f t="shared" si="1218"/>
        <v/>
      </c>
      <c r="M7629" s="13" t="str">
        <f t="shared" si="1219"/>
        <v/>
      </c>
      <c r="Q7629" t="str">
        <f t="shared" si="1220"/>
        <v/>
      </c>
      <c r="R7629" t="str">
        <f t="shared" si="1221"/>
        <v/>
      </c>
      <c r="S7629" t="str">
        <f t="shared" si="1222"/>
        <v/>
      </c>
      <c r="T7629" t="str">
        <f t="shared" si="1223"/>
        <v/>
      </c>
      <c r="U7629" t="str">
        <f t="shared" si="1224"/>
        <v/>
      </c>
      <c r="V7629" t="str">
        <f t="shared" si="1225"/>
        <v/>
      </c>
      <c r="W7629" t="str">
        <f t="shared" si="1226"/>
        <v/>
      </c>
      <c r="X7629">
        <f t="shared" si="1216"/>
        <v>0</v>
      </c>
      <c r="Z7629" t="str">
        <f t="shared" si="1227"/>
        <v/>
      </c>
      <c r="AA7629">
        <f t="shared" si="1217"/>
        <v>0</v>
      </c>
    </row>
    <row r="7630" spans="1:27" ht="21" customHeight="1" x14ac:dyDescent="0.95">
      <c r="A7630" s="56"/>
      <c r="B7630" s="57"/>
      <c r="C7630" s="57"/>
      <c r="D7630" s="57"/>
      <c r="E7630" s="56"/>
      <c r="F7630" s="57"/>
      <c r="G7630" s="57"/>
      <c r="H7630" s="56"/>
      <c r="I7630" s="56"/>
      <c r="J7630" s="58"/>
      <c r="K7630" s="58"/>
      <c r="L7630" s="13" t="str">
        <f t="shared" si="1218"/>
        <v/>
      </c>
      <c r="M7630" s="13" t="str">
        <f t="shared" si="1219"/>
        <v/>
      </c>
      <c r="Q7630" t="str">
        <f t="shared" si="1220"/>
        <v/>
      </c>
      <c r="R7630" t="str">
        <f t="shared" si="1221"/>
        <v/>
      </c>
      <c r="S7630" t="str">
        <f t="shared" si="1222"/>
        <v/>
      </c>
      <c r="T7630" t="str">
        <f t="shared" si="1223"/>
        <v/>
      </c>
      <c r="U7630" t="str">
        <f t="shared" si="1224"/>
        <v/>
      </c>
      <c r="V7630" t="str">
        <f t="shared" si="1225"/>
        <v/>
      </c>
      <c r="W7630" t="str">
        <f t="shared" si="1226"/>
        <v/>
      </c>
      <c r="X7630">
        <f t="shared" si="1216"/>
        <v>0</v>
      </c>
      <c r="Z7630" t="str">
        <f t="shared" si="1227"/>
        <v/>
      </c>
      <c r="AA7630">
        <f t="shared" si="1217"/>
        <v>0</v>
      </c>
    </row>
    <row r="7631" spans="1:27" ht="21" customHeight="1" x14ac:dyDescent="0.95">
      <c r="A7631" s="56"/>
      <c r="B7631" s="57"/>
      <c r="C7631" s="57"/>
      <c r="D7631" s="57"/>
      <c r="E7631" s="56"/>
      <c r="F7631" s="57"/>
      <c r="G7631" s="57"/>
      <c r="H7631" s="56"/>
      <c r="I7631" s="56"/>
      <c r="J7631" s="58"/>
      <c r="K7631" s="58"/>
      <c r="L7631" s="13" t="str">
        <f t="shared" si="1218"/>
        <v/>
      </c>
      <c r="M7631" s="13" t="str">
        <f t="shared" si="1219"/>
        <v/>
      </c>
      <c r="Q7631" t="str">
        <f t="shared" si="1220"/>
        <v/>
      </c>
      <c r="R7631" t="str">
        <f t="shared" si="1221"/>
        <v/>
      </c>
      <c r="S7631" t="str">
        <f t="shared" si="1222"/>
        <v/>
      </c>
      <c r="T7631" t="str">
        <f t="shared" si="1223"/>
        <v/>
      </c>
      <c r="U7631" t="str">
        <f t="shared" si="1224"/>
        <v/>
      </c>
      <c r="V7631" t="str">
        <f t="shared" si="1225"/>
        <v/>
      </c>
      <c r="W7631" t="str">
        <f t="shared" si="1226"/>
        <v/>
      </c>
      <c r="X7631">
        <f t="shared" si="1216"/>
        <v>0</v>
      </c>
      <c r="Z7631" t="str">
        <f t="shared" si="1227"/>
        <v/>
      </c>
      <c r="AA7631">
        <f t="shared" si="1217"/>
        <v>0</v>
      </c>
    </row>
    <row r="7632" spans="1:27" ht="21" customHeight="1" x14ac:dyDescent="0.95">
      <c r="A7632" s="56"/>
      <c r="B7632" s="57"/>
      <c r="C7632" s="57"/>
      <c r="D7632" s="57"/>
      <c r="E7632" s="56"/>
      <c r="F7632" s="57"/>
      <c r="G7632" s="57"/>
      <c r="H7632" s="56"/>
      <c r="I7632" s="56"/>
      <c r="J7632" s="58"/>
      <c r="K7632" s="58"/>
      <c r="L7632" s="13" t="str">
        <f t="shared" si="1218"/>
        <v/>
      </c>
      <c r="M7632" s="13" t="str">
        <f t="shared" si="1219"/>
        <v/>
      </c>
      <c r="Q7632" t="str">
        <f t="shared" si="1220"/>
        <v/>
      </c>
      <c r="R7632" t="str">
        <f t="shared" si="1221"/>
        <v/>
      </c>
      <c r="S7632" t="str">
        <f t="shared" si="1222"/>
        <v/>
      </c>
      <c r="T7632" t="str">
        <f t="shared" si="1223"/>
        <v/>
      </c>
      <c r="U7632" t="str">
        <f t="shared" si="1224"/>
        <v/>
      </c>
      <c r="V7632" t="str">
        <f t="shared" si="1225"/>
        <v/>
      </c>
      <c r="W7632" t="str">
        <f t="shared" si="1226"/>
        <v/>
      </c>
      <c r="X7632">
        <f t="shared" si="1216"/>
        <v>0</v>
      </c>
      <c r="Z7632" t="str">
        <f t="shared" si="1227"/>
        <v/>
      </c>
      <c r="AA7632">
        <f t="shared" si="1217"/>
        <v>0</v>
      </c>
    </row>
    <row r="7633" spans="1:27" ht="21" customHeight="1" x14ac:dyDescent="0.95">
      <c r="A7633" s="56"/>
      <c r="B7633" s="57"/>
      <c r="C7633" s="57"/>
      <c r="D7633" s="57"/>
      <c r="E7633" s="56"/>
      <c r="F7633" s="57"/>
      <c r="G7633" s="57"/>
      <c r="H7633" s="56"/>
      <c r="I7633" s="56"/>
      <c r="J7633" s="58"/>
      <c r="K7633" s="58"/>
      <c r="L7633" s="13" t="str">
        <f t="shared" si="1218"/>
        <v/>
      </c>
      <c r="M7633" s="13" t="str">
        <f t="shared" si="1219"/>
        <v/>
      </c>
      <c r="Q7633" t="str">
        <f t="shared" si="1220"/>
        <v/>
      </c>
      <c r="R7633" t="str">
        <f t="shared" si="1221"/>
        <v/>
      </c>
      <c r="S7633" t="str">
        <f t="shared" si="1222"/>
        <v/>
      </c>
      <c r="T7633" t="str">
        <f t="shared" si="1223"/>
        <v/>
      </c>
      <c r="U7633" t="str">
        <f t="shared" si="1224"/>
        <v/>
      </c>
      <c r="V7633" t="str">
        <f t="shared" si="1225"/>
        <v/>
      </c>
      <c r="W7633" t="str">
        <f t="shared" si="1226"/>
        <v/>
      </c>
      <c r="X7633">
        <f t="shared" si="1216"/>
        <v>0</v>
      </c>
      <c r="Z7633" t="str">
        <f t="shared" si="1227"/>
        <v/>
      </c>
      <c r="AA7633">
        <f t="shared" si="1217"/>
        <v>0</v>
      </c>
    </row>
    <row r="7634" spans="1:27" ht="21" customHeight="1" x14ac:dyDescent="0.95">
      <c r="A7634" s="56"/>
      <c r="B7634" s="57"/>
      <c r="C7634" s="57"/>
      <c r="D7634" s="57"/>
      <c r="E7634" s="56"/>
      <c r="F7634" s="57"/>
      <c r="G7634" s="57"/>
      <c r="H7634" s="56"/>
      <c r="I7634" s="56"/>
      <c r="J7634" s="58"/>
      <c r="K7634" s="58"/>
      <c r="L7634" s="13" t="str">
        <f t="shared" si="1218"/>
        <v/>
      </c>
      <c r="M7634" s="13" t="str">
        <f t="shared" si="1219"/>
        <v/>
      </c>
      <c r="Q7634" t="str">
        <f t="shared" si="1220"/>
        <v/>
      </c>
      <c r="R7634" t="str">
        <f t="shared" si="1221"/>
        <v/>
      </c>
      <c r="S7634" t="str">
        <f t="shared" si="1222"/>
        <v/>
      </c>
      <c r="T7634" t="str">
        <f t="shared" si="1223"/>
        <v/>
      </c>
      <c r="U7634" t="str">
        <f t="shared" si="1224"/>
        <v/>
      </c>
      <c r="V7634" t="str">
        <f t="shared" si="1225"/>
        <v/>
      </c>
      <c r="W7634" t="str">
        <f t="shared" si="1226"/>
        <v/>
      </c>
      <c r="X7634">
        <f t="shared" si="1216"/>
        <v>0</v>
      </c>
      <c r="Z7634" t="str">
        <f t="shared" si="1227"/>
        <v/>
      </c>
      <c r="AA7634">
        <f t="shared" si="1217"/>
        <v>0</v>
      </c>
    </row>
    <row r="7635" spans="1:27" ht="21" customHeight="1" x14ac:dyDescent="0.95">
      <c r="A7635" s="56"/>
      <c r="B7635" s="57"/>
      <c r="C7635" s="57"/>
      <c r="D7635" s="57"/>
      <c r="E7635" s="56"/>
      <c r="F7635" s="57"/>
      <c r="G7635" s="57"/>
      <c r="H7635" s="56"/>
      <c r="I7635" s="56"/>
      <c r="J7635" s="58"/>
      <c r="K7635" s="58"/>
      <c r="L7635" s="13" t="str">
        <f t="shared" si="1218"/>
        <v/>
      </c>
      <c r="M7635" s="13" t="str">
        <f t="shared" si="1219"/>
        <v/>
      </c>
      <c r="Q7635" t="str">
        <f t="shared" si="1220"/>
        <v/>
      </c>
      <c r="R7635" t="str">
        <f t="shared" si="1221"/>
        <v/>
      </c>
      <c r="S7635" t="str">
        <f t="shared" si="1222"/>
        <v/>
      </c>
      <c r="T7635" t="str">
        <f t="shared" si="1223"/>
        <v/>
      </c>
      <c r="U7635" t="str">
        <f t="shared" si="1224"/>
        <v/>
      </c>
      <c r="V7635" t="str">
        <f t="shared" si="1225"/>
        <v/>
      </c>
      <c r="W7635" t="str">
        <f t="shared" si="1226"/>
        <v/>
      </c>
      <c r="X7635">
        <f t="shared" si="1216"/>
        <v>0</v>
      </c>
      <c r="Z7635" t="str">
        <f t="shared" si="1227"/>
        <v/>
      </c>
      <c r="AA7635">
        <f t="shared" si="1217"/>
        <v>0</v>
      </c>
    </row>
    <row r="7636" spans="1:27" ht="21" customHeight="1" x14ac:dyDescent="0.95">
      <c r="A7636" s="56"/>
      <c r="B7636" s="57"/>
      <c r="C7636" s="57"/>
      <c r="D7636" s="57"/>
      <c r="E7636" s="56"/>
      <c r="F7636" s="57"/>
      <c r="G7636" s="57"/>
      <c r="H7636" s="56"/>
      <c r="I7636" s="56"/>
      <c r="J7636" s="58"/>
      <c r="K7636" s="58"/>
      <c r="L7636" s="13" t="str">
        <f t="shared" si="1218"/>
        <v/>
      </c>
      <c r="M7636" s="13" t="str">
        <f t="shared" si="1219"/>
        <v/>
      </c>
      <c r="Q7636" t="str">
        <f t="shared" si="1220"/>
        <v/>
      </c>
      <c r="R7636" t="str">
        <f t="shared" si="1221"/>
        <v/>
      </c>
      <c r="S7636" t="str">
        <f t="shared" si="1222"/>
        <v/>
      </c>
      <c r="T7636" t="str">
        <f t="shared" si="1223"/>
        <v/>
      </c>
      <c r="U7636" t="str">
        <f t="shared" si="1224"/>
        <v/>
      </c>
      <c r="V7636" t="str">
        <f t="shared" si="1225"/>
        <v/>
      </c>
      <c r="W7636" t="str">
        <f t="shared" si="1226"/>
        <v/>
      </c>
      <c r="X7636">
        <f t="shared" si="1216"/>
        <v>0</v>
      </c>
      <c r="Z7636" t="str">
        <f t="shared" si="1227"/>
        <v/>
      </c>
      <c r="AA7636">
        <f t="shared" si="1217"/>
        <v>0</v>
      </c>
    </row>
    <row r="7637" spans="1:27" ht="21" customHeight="1" x14ac:dyDescent="0.95">
      <c r="A7637" s="56"/>
      <c r="B7637" s="57"/>
      <c r="C7637" s="57"/>
      <c r="D7637" s="57"/>
      <c r="E7637" s="56"/>
      <c r="F7637" s="57"/>
      <c r="G7637" s="57"/>
      <c r="H7637" s="56"/>
      <c r="I7637" s="56"/>
      <c r="J7637" s="58"/>
      <c r="K7637" s="58"/>
      <c r="L7637" s="13" t="str">
        <f t="shared" si="1218"/>
        <v/>
      </c>
      <c r="M7637" s="13" t="str">
        <f t="shared" si="1219"/>
        <v/>
      </c>
      <c r="Q7637" t="str">
        <f t="shared" si="1220"/>
        <v/>
      </c>
      <c r="R7637" t="str">
        <f t="shared" si="1221"/>
        <v/>
      </c>
      <c r="S7637" t="str">
        <f t="shared" si="1222"/>
        <v/>
      </c>
      <c r="T7637" t="str">
        <f t="shared" si="1223"/>
        <v/>
      </c>
      <c r="U7637" t="str">
        <f t="shared" si="1224"/>
        <v/>
      </c>
      <c r="V7637" t="str">
        <f t="shared" si="1225"/>
        <v/>
      </c>
      <c r="W7637" t="str">
        <f t="shared" si="1226"/>
        <v/>
      </c>
      <c r="X7637">
        <f t="shared" si="1216"/>
        <v>0</v>
      </c>
      <c r="Z7637" t="str">
        <f t="shared" si="1227"/>
        <v/>
      </c>
      <c r="AA7637">
        <f t="shared" si="1217"/>
        <v>0</v>
      </c>
    </row>
    <row r="7638" spans="1:27" ht="21" customHeight="1" x14ac:dyDescent="0.95">
      <c r="A7638" s="56"/>
      <c r="B7638" s="57"/>
      <c r="C7638" s="57"/>
      <c r="D7638" s="57"/>
      <c r="E7638" s="56"/>
      <c r="F7638" s="57"/>
      <c r="G7638" s="57"/>
      <c r="H7638" s="56"/>
      <c r="I7638" s="56"/>
      <c r="J7638" s="58"/>
      <c r="K7638" s="58"/>
      <c r="L7638" s="13" t="str">
        <f t="shared" si="1218"/>
        <v/>
      </c>
      <c r="M7638" s="13" t="str">
        <f t="shared" si="1219"/>
        <v/>
      </c>
      <c r="Q7638" t="str">
        <f t="shared" si="1220"/>
        <v/>
      </c>
      <c r="R7638" t="str">
        <f t="shared" si="1221"/>
        <v/>
      </c>
      <c r="S7638" t="str">
        <f t="shared" si="1222"/>
        <v/>
      </c>
      <c r="T7638" t="str">
        <f t="shared" si="1223"/>
        <v/>
      </c>
      <c r="U7638" t="str">
        <f t="shared" si="1224"/>
        <v/>
      </c>
      <c r="V7638" t="str">
        <f t="shared" si="1225"/>
        <v/>
      </c>
      <c r="W7638" t="str">
        <f t="shared" si="1226"/>
        <v/>
      </c>
      <c r="X7638">
        <f t="shared" si="1216"/>
        <v>0</v>
      </c>
      <c r="Z7638" t="str">
        <f t="shared" si="1227"/>
        <v/>
      </c>
      <c r="AA7638">
        <f t="shared" si="1217"/>
        <v>0</v>
      </c>
    </row>
    <row r="7639" spans="1:27" ht="21" customHeight="1" x14ac:dyDescent="0.95">
      <c r="A7639" s="56"/>
      <c r="B7639" s="57"/>
      <c r="C7639" s="57"/>
      <c r="D7639" s="57"/>
      <c r="E7639" s="56"/>
      <c r="F7639" s="57"/>
      <c r="G7639" s="57"/>
      <c r="H7639" s="56"/>
      <c r="I7639" s="56"/>
      <c r="J7639" s="58"/>
      <c r="K7639" s="58"/>
      <c r="L7639" s="13" t="str">
        <f t="shared" si="1218"/>
        <v/>
      </c>
      <c r="M7639" s="13" t="str">
        <f t="shared" si="1219"/>
        <v/>
      </c>
      <c r="Q7639" t="str">
        <f t="shared" si="1220"/>
        <v/>
      </c>
      <c r="R7639" t="str">
        <f t="shared" si="1221"/>
        <v/>
      </c>
      <c r="S7639" t="str">
        <f t="shared" si="1222"/>
        <v/>
      </c>
      <c r="T7639" t="str">
        <f t="shared" si="1223"/>
        <v/>
      </c>
      <c r="U7639" t="str">
        <f t="shared" si="1224"/>
        <v/>
      </c>
      <c r="V7639" t="str">
        <f t="shared" si="1225"/>
        <v/>
      </c>
      <c r="W7639" t="str">
        <f t="shared" si="1226"/>
        <v/>
      </c>
      <c r="X7639">
        <f t="shared" si="1216"/>
        <v>0</v>
      </c>
      <c r="Z7639" t="str">
        <f t="shared" si="1227"/>
        <v/>
      </c>
      <c r="AA7639">
        <f t="shared" si="1217"/>
        <v>0</v>
      </c>
    </row>
    <row r="7640" spans="1:27" ht="21" customHeight="1" x14ac:dyDescent="0.95">
      <c r="A7640" s="56"/>
      <c r="B7640" s="57"/>
      <c r="C7640" s="57"/>
      <c r="D7640" s="57"/>
      <c r="E7640" s="56"/>
      <c r="F7640" s="57"/>
      <c r="G7640" s="57"/>
      <c r="H7640" s="56"/>
      <c r="I7640" s="56"/>
      <c r="J7640" s="58"/>
      <c r="K7640" s="58"/>
      <c r="L7640" s="13" t="str">
        <f t="shared" si="1218"/>
        <v/>
      </c>
      <c r="M7640" s="13" t="str">
        <f t="shared" si="1219"/>
        <v/>
      </c>
      <c r="Q7640" t="str">
        <f t="shared" si="1220"/>
        <v/>
      </c>
      <c r="R7640" t="str">
        <f t="shared" si="1221"/>
        <v/>
      </c>
      <c r="S7640" t="str">
        <f t="shared" si="1222"/>
        <v/>
      </c>
      <c r="T7640" t="str">
        <f t="shared" si="1223"/>
        <v/>
      </c>
      <c r="U7640" t="str">
        <f t="shared" si="1224"/>
        <v/>
      </c>
      <c r="V7640" t="str">
        <f t="shared" si="1225"/>
        <v/>
      </c>
      <c r="W7640" t="str">
        <f t="shared" si="1226"/>
        <v/>
      </c>
      <c r="X7640">
        <f t="shared" si="1216"/>
        <v>0</v>
      </c>
      <c r="Z7640" t="str">
        <f t="shared" si="1227"/>
        <v/>
      </c>
      <c r="AA7640">
        <f t="shared" si="1217"/>
        <v>0</v>
      </c>
    </row>
    <row r="7641" spans="1:27" ht="21" customHeight="1" x14ac:dyDescent="0.95">
      <c r="A7641" s="56"/>
      <c r="B7641" s="57"/>
      <c r="C7641" s="57"/>
      <c r="D7641" s="57"/>
      <c r="E7641" s="56"/>
      <c r="F7641" s="57"/>
      <c r="G7641" s="57"/>
      <c r="H7641" s="56"/>
      <c r="I7641" s="56"/>
      <c r="J7641" s="58"/>
      <c r="K7641" s="58"/>
      <c r="L7641" s="13" t="str">
        <f t="shared" si="1218"/>
        <v/>
      </c>
      <c r="M7641" s="13" t="str">
        <f t="shared" si="1219"/>
        <v/>
      </c>
      <c r="Q7641" t="str">
        <f t="shared" si="1220"/>
        <v/>
      </c>
      <c r="R7641" t="str">
        <f t="shared" si="1221"/>
        <v/>
      </c>
      <c r="S7641" t="str">
        <f t="shared" si="1222"/>
        <v/>
      </c>
      <c r="T7641" t="str">
        <f t="shared" si="1223"/>
        <v/>
      </c>
      <c r="U7641" t="str">
        <f t="shared" si="1224"/>
        <v/>
      </c>
      <c r="V7641" t="str">
        <f t="shared" si="1225"/>
        <v/>
      </c>
      <c r="W7641" t="str">
        <f t="shared" si="1226"/>
        <v/>
      </c>
      <c r="X7641">
        <f t="shared" si="1216"/>
        <v>0</v>
      </c>
      <c r="Z7641" t="str">
        <f t="shared" si="1227"/>
        <v/>
      </c>
      <c r="AA7641">
        <f t="shared" si="1217"/>
        <v>0</v>
      </c>
    </row>
    <row r="7642" spans="1:27" ht="21" customHeight="1" x14ac:dyDescent="0.95">
      <c r="A7642" s="56"/>
      <c r="B7642" s="57"/>
      <c r="C7642" s="57"/>
      <c r="D7642" s="57"/>
      <c r="E7642" s="56"/>
      <c r="F7642" s="57"/>
      <c r="G7642" s="57"/>
      <c r="H7642" s="56"/>
      <c r="I7642" s="56"/>
      <c r="J7642" s="58"/>
      <c r="K7642" s="58"/>
      <c r="L7642" s="13" t="str">
        <f t="shared" si="1218"/>
        <v/>
      </c>
      <c r="M7642" s="13" t="str">
        <f t="shared" si="1219"/>
        <v/>
      </c>
      <c r="Q7642" t="str">
        <f t="shared" si="1220"/>
        <v/>
      </c>
      <c r="R7642" t="str">
        <f t="shared" si="1221"/>
        <v/>
      </c>
      <c r="S7642" t="str">
        <f t="shared" si="1222"/>
        <v/>
      </c>
      <c r="T7642" t="str">
        <f t="shared" si="1223"/>
        <v/>
      </c>
      <c r="U7642" t="str">
        <f t="shared" si="1224"/>
        <v/>
      </c>
      <c r="V7642" t="str">
        <f t="shared" si="1225"/>
        <v/>
      </c>
      <c r="W7642" t="str">
        <f t="shared" si="1226"/>
        <v/>
      </c>
      <c r="X7642">
        <f t="shared" si="1216"/>
        <v>0</v>
      </c>
      <c r="Z7642" t="str">
        <f t="shared" si="1227"/>
        <v/>
      </c>
      <c r="AA7642">
        <f t="shared" si="1217"/>
        <v>0</v>
      </c>
    </row>
    <row r="7643" spans="1:27" ht="21" customHeight="1" x14ac:dyDescent="0.95">
      <c r="A7643" s="56"/>
      <c r="B7643" s="57"/>
      <c r="C7643" s="57"/>
      <c r="D7643" s="57"/>
      <c r="E7643" s="56"/>
      <c r="F7643" s="57"/>
      <c r="G7643" s="57"/>
      <c r="H7643" s="56"/>
      <c r="I7643" s="56"/>
      <c r="J7643" s="58"/>
      <c r="K7643" s="58"/>
      <c r="L7643" s="13" t="str">
        <f t="shared" si="1218"/>
        <v/>
      </c>
      <c r="M7643" s="13" t="str">
        <f t="shared" si="1219"/>
        <v/>
      </c>
      <c r="Q7643" t="str">
        <f t="shared" si="1220"/>
        <v/>
      </c>
      <c r="R7643" t="str">
        <f t="shared" si="1221"/>
        <v/>
      </c>
      <c r="S7643" t="str">
        <f t="shared" si="1222"/>
        <v/>
      </c>
      <c r="T7643" t="str">
        <f t="shared" si="1223"/>
        <v/>
      </c>
      <c r="U7643" t="str">
        <f t="shared" si="1224"/>
        <v/>
      </c>
      <c r="V7643" t="str">
        <f t="shared" si="1225"/>
        <v/>
      </c>
      <c r="W7643" t="str">
        <f t="shared" si="1226"/>
        <v/>
      </c>
      <c r="X7643">
        <f t="shared" si="1216"/>
        <v>0</v>
      </c>
      <c r="Z7643" t="str">
        <f t="shared" si="1227"/>
        <v/>
      </c>
      <c r="AA7643">
        <f t="shared" si="1217"/>
        <v>0</v>
      </c>
    </row>
    <row r="7644" spans="1:27" ht="21" customHeight="1" x14ac:dyDescent="0.95">
      <c r="A7644" s="56"/>
      <c r="B7644" s="57"/>
      <c r="C7644" s="57"/>
      <c r="D7644" s="57"/>
      <c r="E7644" s="56"/>
      <c r="F7644" s="57"/>
      <c r="G7644" s="57"/>
      <c r="H7644" s="56"/>
      <c r="I7644" s="56"/>
      <c r="J7644" s="58"/>
      <c r="K7644" s="58"/>
      <c r="L7644" s="13" t="str">
        <f t="shared" si="1218"/>
        <v/>
      </c>
      <c r="M7644" s="13" t="str">
        <f t="shared" si="1219"/>
        <v/>
      </c>
      <c r="Q7644" t="str">
        <f t="shared" si="1220"/>
        <v/>
      </c>
      <c r="R7644" t="str">
        <f t="shared" si="1221"/>
        <v/>
      </c>
      <c r="S7644" t="str">
        <f t="shared" si="1222"/>
        <v/>
      </c>
      <c r="T7644" t="str">
        <f t="shared" si="1223"/>
        <v/>
      </c>
      <c r="U7644" t="str">
        <f t="shared" si="1224"/>
        <v/>
      </c>
      <c r="V7644" t="str">
        <f t="shared" si="1225"/>
        <v/>
      </c>
      <c r="W7644" t="str">
        <f t="shared" si="1226"/>
        <v/>
      </c>
      <c r="X7644">
        <f t="shared" si="1216"/>
        <v>0</v>
      </c>
      <c r="Z7644" t="str">
        <f t="shared" si="1227"/>
        <v/>
      </c>
      <c r="AA7644">
        <f t="shared" si="1217"/>
        <v>0</v>
      </c>
    </row>
    <row r="7645" spans="1:27" ht="21" customHeight="1" x14ac:dyDescent="0.95">
      <c r="A7645" s="56"/>
      <c r="B7645" s="57"/>
      <c r="C7645" s="57"/>
      <c r="D7645" s="57"/>
      <c r="E7645" s="56"/>
      <c r="F7645" s="57"/>
      <c r="G7645" s="57"/>
      <c r="H7645" s="56"/>
      <c r="I7645" s="56"/>
      <c r="J7645" s="58"/>
      <c r="K7645" s="58"/>
      <c r="L7645" s="13" t="str">
        <f t="shared" si="1218"/>
        <v/>
      </c>
      <c r="M7645" s="13" t="str">
        <f t="shared" si="1219"/>
        <v/>
      </c>
      <c r="Q7645" t="str">
        <f t="shared" si="1220"/>
        <v/>
      </c>
      <c r="R7645" t="str">
        <f t="shared" si="1221"/>
        <v/>
      </c>
      <c r="S7645" t="str">
        <f t="shared" si="1222"/>
        <v/>
      </c>
      <c r="T7645" t="str">
        <f t="shared" si="1223"/>
        <v/>
      </c>
      <c r="U7645" t="str">
        <f t="shared" si="1224"/>
        <v/>
      </c>
      <c r="V7645" t="str">
        <f t="shared" si="1225"/>
        <v/>
      </c>
      <c r="W7645" t="str">
        <f t="shared" si="1226"/>
        <v/>
      </c>
      <c r="X7645">
        <f t="shared" si="1216"/>
        <v>0</v>
      </c>
      <c r="Z7645" t="str">
        <f t="shared" si="1227"/>
        <v/>
      </c>
      <c r="AA7645">
        <f t="shared" si="1217"/>
        <v>0</v>
      </c>
    </row>
    <row r="7646" spans="1:27" ht="21" customHeight="1" x14ac:dyDescent="0.95">
      <c r="A7646" s="56"/>
      <c r="B7646" s="57"/>
      <c r="C7646" s="57"/>
      <c r="D7646" s="57"/>
      <c r="E7646" s="56"/>
      <c r="F7646" s="57"/>
      <c r="G7646" s="57"/>
      <c r="H7646" s="56"/>
      <c r="I7646" s="56"/>
      <c r="J7646" s="58"/>
      <c r="K7646" s="58"/>
      <c r="L7646" s="13" t="str">
        <f t="shared" si="1218"/>
        <v/>
      </c>
      <c r="M7646" s="13" t="str">
        <f t="shared" si="1219"/>
        <v/>
      </c>
      <c r="Q7646" t="str">
        <f t="shared" si="1220"/>
        <v/>
      </c>
      <c r="R7646" t="str">
        <f t="shared" si="1221"/>
        <v/>
      </c>
      <c r="S7646" t="str">
        <f t="shared" si="1222"/>
        <v/>
      </c>
      <c r="T7646" t="str">
        <f t="shared" si="1223"/>
        <v/>
      </c>
      <c r="U7646" t="str">
        <f t="shared" si="1224"/>
        <v/>
      </c>
      <c r="V7646" t="str">
        <f t="shared" si="1225"/>
        <v/>
      </c>
      <c r="W7646" t="str">
        <f t="shared" si="1226"/>
        <v/>
      </c>
      <c r="X7646">
        <f t="shared" si="1216"/>
        <v>0</v>
      </c>
      <c r="Z7646" t="str">
        <f t="shared" si="1227"/>
        <v/>
      </c>
      <c r="AA7646">
        <f t="shared" si="1217"/>
        <v>0</v>
      </c>
    </row>
    <row r="7647" spans="1:27" ht="21" customHeight="1" x14ac:dyDescent="0.95">
      <c r="A7647" s="56"/>
      <c r="B7647" s="57"/>
      <c r="C7647" s="57"/>
      <c r="D7647" s="57"/>
      <c r="E7647" s="56"/>
      <c r="F7647" s="57"/>
      <c r="G7647" s="57"/>
      <c r="H7647" s="56"/>
      <c r="I7647" s="56"/>
      <c r="J7647" s="58"/>
      <c r="K7647" s="58"/>
      <c r="L7647" s="13" t="str">
        <f t="shared" si="1218"/>
        <v/>
      </c>
      <c r="M7647" s="13" t="str">
        <f t="shared" si="1219"/>
        <v/>
      </c>
      <c r="Q7647" t="str">
        <f t="shared" si="1220"/>
        <v/>
      </c>
      <c r="R7647" t="str">
        <f t="shared" si="1221"/>
        <v/>
      </c>
      <c r="S7647" t="str">
        <f t="shared" si="1222"/>
        <v/>
      </c>
      <c r="T7647" t="str">
        <f t="shared" si="1223"/>
        <v/>
      </c>
      <c r="U7647" t="str">
        <f t="shared" si="1224"/>
        <v/>
      </c>
      <c r="V7647" t="str">
        <f t="shared" si="1225"/>
        <v/>
      </c>
      <c r="W7647" t="str">
        <f t="shared" si="1226"/>
        <v/>
      </c>
      <c r="X7647">
        <f t="shared" si="1216"/>
        <v>0</v>
      </c>
      <c r="Z7647" t="str">
        <f t="shared" si="1227"/>
        <v/>
      </c>
      <c r="AA7647">
        <f t="shared" si="1217"/>
        <v>0</v>
      </c>
    </row>
    <row r="7648" spans="1:27" ht="21" customHeight="1" x14ac:dyDescent="0.95">
      <c r="A7648" s="56"/>
      <c r="B7648" s="57"/>
      <c r="C7648" s="57"/>
      <c r="D7648" s="57"/>
      <c r="E7648" s="56"/>
      <c r="F7648" s="57"/>
      <c r="G7648" s="57"/>
      <c r="H7648" s="56"/>
      <c r="I7648" s="56"/>
      <c r="J7648" s="58"/>
      <c r="K7648" s="58"/>
      <c r="L7648" s="13" t="str">
        <f t="shared" si="1218"/>
        <v/>
      </c>
      <c r="M7648" s="13" t="str">
        <f t="shared" si="1219"/>
        <v/>
      </c>
      <c r="Q7648" t="str">
        <f t="shared" si="1220"/>
        <v/>
      </c>
      <c r="R7648" t="str">
        <f t="shared" si="1221"/>
        <v/>
      </c>
      <c r="S7648" t="str">
        <f t="shared" si="1222"/>
        <v/>
      </c>
      <c r="T7648" t="str">
        <f t="shared" si="1223"/>
        <v/>
      </c>
      <c r="U7648" t="str">
        <f t="shared" si="1224"/>
        <v/>
      </c>
      <c r="V7648" t="str">
        <f t="shared" si="1225"/>
        <v/>
      </c>
      <c r="W7648" t="str">
        <f t="shared" si="1226"/>
        <v/>
      </c>
      <c r="X7648">
        <f t="shared" si="1216"/>
        <v>0</v>
      </c>
      <c r="Z7648" t="str">
        <f t="shared" si="1227"/>
        <v/>
      </c>
      <c r="AA7648">
        <f t="shared" si="1217"/>
        <v>0</v>
      </c>
    </row>
    <row r="7649" spans="1:27" ht="21" customHeight="1" x14ac:dyDescent="0.95">
      <c r="A7649" s="56"/>
      <c r="B7649" s="57"/>
      <c r="C7649" s="57"/>
      <c r="D7649" s="57"/>
      <c r="E7649" s="56"/>
      <c r="F7649" s="57"/>
      <c r="G7649" s="57"/>
      <c r="H7649" s="56"/>
      <c r="I7649" s="56"/>
      <c r="J7649" s="58"/>
      <c r="K7649" s="58"/>
      <c r="L7649" s="13" t="str">
        <f t="shared" si="1218"/>
        <v/>
      </c>
      <c r="M7649" s="13" t="str">
        <f t="shared" si="1219"/>
        <v/>
      </c>
      <c r="Q7649" t="str">
        <f t="shared" si="1220"/>
        <v/>
      </c>
      <c r="R7649" t="str">
        <f t="shared" si="1221"/>
        <v/>
      </c>
      <c r="S7649" t="str">
        <f t="shared" si="1222"/>
        <v/>
      </c>
      <c r="T7649" t="str">
        <f t="shared" si="1223"/>
        <v/>
      </c>
      <c r="U7649" t="str">
        <f t="shared" si="1224"/>
        <v/>
      </c>
      <c r="V7649" t="str">
        <f t="shared" si="1225"/>
        <v/>
      </c>
      <c r="W7649" t="str">
        <f t="shared" si="1226"/>
        <v/>
      </c>
      <c r="X7649">
        <f t="shared" si="1216"/>
        <v>0</v>
      </c>
      <c r="Z7649" t="str">
        <f t="shared" si="1227"/>
        <v/>
      </c>
      <c r="AA7649">
        <f t="shared" si="1217"/>
        <v>0</v>
      </c>
    </row>
    <row r="7650" spans="1:27" ht="21" customHeight="1" x14ac:dyDescent="0.95">
      <c r="A7650" s="56"/>
      <c r="B7650" s="57"/>
      <c r="C7650" s="57"/>
      <c r="D7650" s="57"/>
      <c r="E7650" s="56"/>
      <c r="F7650" s="57"/>
      <c r="G7650" s="57"/>
      <c r="H7650" s="56"/>
      <c r="I7650" s="56"/>
      <c r="J7650" s="58"/>
      <c r="K7650" s="58"/>
      <c r="L7650" s="13" t="str">
        <f t="shared" si="1218"/>
        <v/>
      </c>
      <c r="M7650" s="13" t="str">
        <f t="shared" si="1219"/>
        <v/>
      </c>
      <c r="Q7650" t="str">
        <f t="shared" si="1220"/>
        <v/>
      </c>
      <c r="R7650" t="str">
        <f t="shared" si="1221"/>
        <v/>
      </c>
      <c r="S7650" t="str">
        <f t="shared" si="1222"/>
        <v/>
      </c>
      <c r="T7650" t="str">
        <f t="shared" si="1223"/>
        <v/>
      </c>
      <c r="U7650" t="str">
        <f t="shared" si="1224"/>
        <v/>
      </c>
      <c r="V7650" t="str">
        <f t="shared" si="1225"/>
        <v/>
      </c>
      <c r="W7650" t="str">
        <f t="shared" si="1226"/>
        <v/>
      </c>
      <c r="X7650">
        <f t="shared" si="1216"/>
        <v>0</v>
      </c>
      <c r="Z7650" t="str">
        <f t="shared" si="1227"/>
        <v/>
      </c>
      <c r="AA7650">
        <f t="shared" si="1217"/>
        <v>0</v>
      </c>
    </row>
    <row r="7651" spans="1:27" ht="21" customHeight="1" x14ac:dyDescent="0.95">
      <c r="A7651" s="56"/>
      <c r="B7651" s="57"/>
      <c r="C7651" s="57"/>
      <c r="D7651" s="57"/>
      <c r="E7651" s="56"/>
      <c r="F7651" s="57"/>
      <c r="G7651" s="57"/>
      <c r="H7651" s="56"/>
      <c r="I7651" s="56"/>
      <c r="J7651" s="58"/>
      <c r="K7651" s="58"/>
      <c r="L7651" s="13" t="str">
        <f t="shared" si="1218"/>
        <v/>
      </c>
      <c r="M7651" s="13" t="str">
        <f t="shared" si="1219"/>
        <v/>
      </c>
      <c r="Q7651" t="str">
        <f t="shared" si="1220"/>
        <v/>
      </c>
      <c r="R7651" t="str">
        <f t="shared" si="1221"/>
        <v/>
      </c>
      <c r="S7651" t="str">
        <f t="shared" si="1222"/>
        <v/>
      </c>
      <c r="T7651" t="str">
        <f t="shared" si="1223"/>
        <v/>
      </c>
      <c r="U7651" t="str">
        <f t="shared" si="1224"/>
        <v/>
      </c>
      <c r="V7651" t="str">
        <f t="shared" si="1225"/>
        <v/>
      </c>
      <c r="W7651" t="str">
        <f t="shared" si="1226"/>
        <v/>
      </c>
      <c r="X7651">
        <f t="shared" si="1216"/>
        <v>0</v>
      </c>
      <c r="Z7651" t="str">
        <f t="shared" si="1227"/>
        <v/>
      </c>
      <c r="AA7651">
        <f t="shared" si="1217"/>
        <v>0</v>
      </c>
    </row>
    <row r="7652" spans="1:27" ht="21" customHeight="1" x14ac:dyDescent="0.95">
      <c r="A7652" s="56"/>
      <c r="B7652" s="57"/>
      <c r="C7652" s="57"/>
      <c r="D7652" s="57"/>
      <c r="E7652" s="56"/>
      <c r="F7652" s="57"/>
      <c r="G7652" s="57"/>
      <c r="H7652" s="56"/>
      <c r="I7652" s="56"/>
      <c r="J7652" s="58"/>
      <c r="K7652" s="58"/>
      <c r="L7652" s="13" t="str">
        <f t="shared" si="1218"/>
        <v/>
      </c>
      <c r="M7652" s="13" t="str">
        <f t="shared" si="1219"/>
        <v/>
      </c>
      <c r="Q7652" t="str">
        <f t="shared" si="1220"/>
        <v/>
      </c>
      <c r="R7652" t="str">
        <f t="shared" si="1221"/>
        <v/>
      </c>
      <c r="S7652" t="str">
        <f t="shared" si="1222"/>
        <v/>
      </c>
      <c r="T7652" t="str">
        <f t="shared" si="1223"/>
        <v/>
      </c>
      <c r="U7652" t="str">
        <f t="shared" si="1224"/>
        <v/>
      </c>
      <c r="V7652" t="str">
        <f t="shared" si="1225"/>
        <v/>
      </c>
      <c r="W7652" t="str">
        <f t="shared" si="1226"/>
        <v/>
      </c>
      <c r="X7652">
        <f t="shared" si="1216"/>
        <v>0</v>
      </c>
      <c r="Z7652" t="str">
        <f t="shared" si="1227"/>
        <v/>
      </c>
      <c r="AA7652">
        <f t="shared" si="1217"/>
        <v>0</v>
      </c>
    </row>
    <row r="7653" spans="1:27" ht="21" customHeight="1" x14ac:dyDescent="0.95">
      <c r="A7653" s="56"/>
      <c r="B7653" s="57"/>
      <c r="C7653" s="57"/>
      <c r="D7653" s="57"/>
      <c r="E7653" s="56"/>
      <c r="F7653" s="57"/>
      <c r="G7653" s="57"/>
      <c r="H7653" s="56"/>
      <c r="I7653" s="56"/>
      <c r="J7653" s="58"/>
      <c r="K7653" s="58"/>
      <c r="L7653" s="13" t="str">
        <f t="shared" si="1218"/>
        <v/>
      </c>
      <c r="M7653" s="13" t="str">
        <f t="shared" si="1219"/>
        <v/>
      </c>
      <c r="Q7653" t="str">
        <f t="shared" si="1220"/>
        <v/>
      </c>
      <c r="R7653" t="str">
        <f t="shared" si="1221"/>
        <v/>
      </c>
      <c r="S7653" t="str">
        <f t="shared" si="1222"/>
        <v/>
      </c>
      <c r="T7653" t="str">
        <f t="shared" si="1223"/>
        <v/>
      </c>
      <c r="U7653" t="str">
        <f t="shared" si="1224"/>
        <v/>
      </c>
      <c r="V7653" t="str">
        <f t="shared" si="1225"/>
        <v/>
      </c>
      <c r="W7653" t="str">
        <f t="shared" si="1226"/>
        <v/>
      </c>
      <c r="X7653">
        <f t="shared" si="1216"/>
        <v>0</v>
      </c>
      <c r="Z7653" t="str">
        <f t="shared" si="1227"/>
        <v/>
      </c>
      <c r="AA7653">
        <f t="shared" si="1217"/>
        <v>0</v>
      </c>
    </row>
    <row r="7654" spans="1:27" ht="21" customHeight="1" x14ac:dyDescent="0.95">
      <c r="A7654" s="56"/>
      <c r="B7654" s="57"/>
      <c r="C7654" s="57"/>
      <c r="D7654" s="57"/>
      <c r="E7654" s="56"/>
      <c r="F7654" s="57"/>
      <c r="G7654" s="57"/>
      <c r="H7654" s="56"/>
      <c r="I7654" s="56"/>
      <c r="J7654" s="58"/>
      <c r="K7654" s="58"/>
      <c r="L7654" s="13" t="str">
        <f t="shared" si="1218"/>
        <v/>
      </c>
      <c r="M7654" s="13" t="str">
        <f t="shared" si="1219"/>
        <v/>
      </c>
      <c r="Q7654" t="str">
        <f t="shared" si="1220"/>
        <v/>
      </c>
      <c r="R7654" t="str">
        <f t="shared" si="1221"/>
        <v/>
      </c>
      <c r="S7654" t="str">
        <f t="shared" si="1222"/>
        <v/>
      </c>
      <c r="T7654" t="str">
        <f t="shared" si="1223"/>
        <v/>
      </c>
      <c r="U7654" t="str">
        <f t="shared" si="1224"/>
        <v/>
      </c>
      <c r="V7654" t="str">
        <f t="shared" si="1225"/>
        <v/>
      </c>
      <c r="W7654" t="str">
        <f t="shared" si="1226"/>
        <v/>
      </c>
      <c r="X7654">
        <f t="shared" si="1216"/>
        <v>0</v>
      </c>
      <c r="Z7654" t="str">
        <f t="shared" si="1227"/>
        <v/>
      </c>
      <c r="AA7654">
        <f t="shared" si="1217"/>
        <v>0</v>
      </c>
    </row>
    <row r="7655" spans="1:27" ht="21" customHeight="1" x14ac:dyDescent="0.95">
      <c r="A7655" s="56"/>
      <c r="B7655" s="57"/>
      <c r="C7655" s="57"/>
      <c r="D7655" s="57"/>
      <c r="E7655" s="56"/>
      <c r="F7655" s="57"/>
      <c r="G7655" s="57"/>
      <c r="H7655" s="56"/>
      <c r="I7655" s="56"/>
      <c r="J7655" s="58"/>
      <c r="K7655" s="58"/>
      <c r="L7655" s="13" t="str">
        <f t="shared" si="1218"/>
        <v/>
      </c>
      <c r="M7655" s="13" t="str">
        <f t="shared" si="1219"/>
        <v/>
      </c>
      <c r="Q7655" t="str">
        <f t="shared" si="1220"/>
        <v/>
      </c>
      <c r="R7655" t="str">
        <f t="shared" si="1221"/>
        <v/>
      </c>
      <c r="S7655" t="str">
        <f t="shared" si="1222"/>
        <v/>
      </c>
      <c r="T7655" t="str">
        <f t="shared" si="1223"/>
        <v/>
      </c>
      <c r="U7655" t="str">
        <f t="shared" si="1224"/>
        <v/>
      </c>
      <c r="V7655" t="str">
        <f t="shared" si="1225"/>
        <v/>
      </c>
      <c r="W7655" t="str">
        <f t="shared" si="1226"/>
        <v/>
      </c>
      <c r="X7655">
        <f t="shared" si="1216"/>
        <v>0</v>
      </c>
      <c r="Z7655" t="str">
        <f t="shared" si="1227"/>
        <v/>
      </c>
      <c r="AA7655">
        <f t="shared" si="1217"/>
        <v>0</v>
      </c>
    </row>
    <row r="7656" spans="1:27" ht="21" customHeight="1" x14ac:dyDescent="0.95">
      <c r="A7656" s="56"/>
      <c r="B7656" s="57"/>
      <c r="C7656" s="57"/>
      <c r="D7656" s="57"/>
      <c r="E7656" s="56"/>
      <c r="F7656" s="57"/>
      <c r="G7656" s="57"/>
      <c r="H7656" s="56"/>
      <c r="I7656" s="56"/>
      <c r="J7656" s="58"/>
      <c r="K7656" s="58"/>
      <c r="L7656" s="13" t="str">
        <f t="shared" si="1218"/>
        <v/>
      </c>
      <c r="M7656" s="13" t="str">
        <f t="shared" si="1219"/>
        <v/>
      </c>
      <c r="Q7656" t="str">
        <f t="shared" si="1220"/>
        <v/>
      </c>
      <c r="R7656" t="str">
        <f t="shared" si="1221"/>
        <v/>
      </c>
      <c r="S7656" t="str">
        <f t="shared" si="1222"/>
        <v/>
      </c>
      <c r="T7656" t="str">
        <f t="shared" si="1223"/>
        <v/>
      </c>
      <c r="U7656" t="str">
        <f t="shared" si="1224"/>
        <v/>
      </c>
      <c r="V7656" t="str">
        <f t="shared" si="1225"/>
        <v/>
      </c>
      <c r="W7656" t="str">
        <f t="shared" si="1226"/>
        <v/>
      </c>
      <c r="X7656">
        <f t="shared" si="1216"/>
        <v>0</v>
      </c>
      <c r="Z7656" t="str">
        <f t="shared" si="1227"/>
        <v/>
      </c>
      <c r="AA7656">
        <f t="shared" si="1217"/>
        <v>0</v>
      </c>
    </row>
    <row r="7657" spans="1:27" ht="21" customHeight="1" x14ac:dyDescent="0.95">
      <c r="A7657" s="56"/>
      <c r="B7657" s="57"/>
      <c r="C7657" s="57"/>
      <c r="D7657" s="57"/>
      <c r="E7657" s="56"/>
      <c r="F7657" s="57"/>
      <c r="G7657" s="57"/>
      <c r="H7657" s="56"/>
      <c r="I7657" s="56"/>
      <c r="J7657" s="58"/>
      <c r="K7657" s="58"/>
      <c r="L7657" s="13" t="str">
        <f t="shared" si="1218"/>
        <v/>
      </c>
      <c r="M7657" s="13" t="str">
        <f t="shared" si="1219"/>
        <v/>
      </c>
      <c r="Q7657" t="str">
        <f t="shared" si="1220"/>
        <v/>
      </c>
      <c r="R7657" t="str">
        <f t="shared" si="1221"/>
        <v/>
      </c>
      <c r="S7657" t="str">
        <f t="shared" si="1222"/>
        <v/>
      </c>
      <c r="T7657" t="str">
        <f t="shared" si="1223"/>
        <v/>
      </c>
      <c r="U7657" t="str">
        <f t="shared" si="1224"/>
        <v/>
      </c>
      <c r="V7657" t="str">
        <f t="shared" si="1225"/>
        <v/>
      </c>
      <c r="W7657" t="str">
        <f t="shared" si="1226"/>
        <v/>
      </c>
      <c r="X7657">
        <f t="shared" si="1216"/>
        <v>0</v>
      </c>
      <c r="Z7657" t="str">
        <f t="shared" si="1227"/>
        <v/>
      </c>
      <c r="AA7657">
        <f t="shared" si="1217"/>
        <v>0</v>
      </c>
    </row>
    <row r="7658" spans="1:27" ht="21" customHeight="1" x14ac:dyDescent="0.95">
      <c r="A7658" s="56"/>
      <c r="B7658" s="57"/>
      <c r="C7658" s="57"/>
      <c r="D7658" s="57"/>
      <c r="E7658" s="56"/>
      <c r="F7658" s="57"/>
      <c r="G7658" s="57"/>
      <c r="H7658" s="56"/>
      <c r="I7658" s="56"/>
      <c r="J7658" s="58"/>
      <c r="K7658" s="58"/>
      <c r="L7658" s="13" t="str">
        <f t="shared" si="1218"/>
        <v/>
      </c>
      <c r="M7658" s="13" t="str">
        <f t="shared" si="1219"/>
        <v/>
      </c>
      <c r="Q7658" t="str">
        <f t="shared" si="1220"/>
        <v/>
      </c>
      <c r="R7658" t="str">
        <f t="shared" si="1221"/>
        <v/>
      </c>
      <c r="S7658" t="str">
        <f t="shared" si="1222"/>
        <v/>
      </c>
      <c r="T7658" t="str">
        <f t="shared" si="1223"/>
        <v/>
      </c>
      <c r="U7658" t="str">
        <f t="shared" si="1224"/>
        <v/>
      </c>
      <c r="V7658" t="str">
        <f t="shared" si="1225"/>
        <v/>
      </c>
      <c r="W7658" t="str">
        <f t="shared" si="1226"/>
        <v/>
      </c>
      <c r="X7658">
        <f t="shared" si="1216"/>
        <v>0</v>
      </c>
      <c r="Z7658" t="str">
        <f t="shared" si="1227"/>
        <v/>
      </c>
      <c r="AA7658">
        <f t="shared" si="1217"/>
        <v>0</v>
      </c>
    </row>
    <row r="7659" spans="1:27" ht="21" customHeight="1" x14ac:dyDescent="0.95">
      <c r="A7659" s="56"/>
      <c r="B7659" s="57"/>
      <c r="C7659" s="57"/>
      <c r="D7659" s="57"/>
      <c r="E7659" s="56"/>
      <c r="F7659" s="57"/>
      <c r="G7659" s="57"/>
      <c r="H7659" s="56"/>
      <c r="I7659" s="56"/>
      <c r="J7659" s="58"/>
      <c r="K7659" s="58"/>
      <c r="L7659" s="13" t="str">
        <f t="shared" si="1218"/>
        <v/>
      </c>
      <c r="M7659" s="13" t="str">
        <f t="shared" si="1219"/>
        <v/>
      </c>
      <c r="Q7659" t="str">
        <f t="shared" si="1220"/>
        <v/>
      </c>
      <c r="R7659" t="str">
        <f t="shared" si="1221"/>
        <v/>
      </c>
      <c r="S7659" t="str">
        <f t="shared" si="1222"/>
        <v/>
      </c>
      <c r="T7659" t="str">
        <f t="shared" si="1223"/>
        <v/>
      </c>
      <c r="U7659" t="str">
        <f t="shared" si="1224"/>
        <v/>
      </c>
      <c r="V7659" t="str">
        <f t="shared" si="1225"/>
        <v/>
      </c>
      <c r="W7659" t="str">
        <f t="shared" si="1226"/>
        <v/>
      </c>
      <c r="X7659">
        <f t="shared" si="1216"/>
        <v>0</v>
      </c>
      <c r="Z7659" t="str">
        <f t="shared" si="1227"/>
        <v/>
      </c>
      <c r="AA7659">
        <f t="shared" si="1217"/>
        <v>0</v>
      </c>
    </row>
    <row r="7660" spans="1:27" ht="21" customHeight="1" x14ac:dyDescent="0.95">
      <c r="A7660" s="56"/>
      <c r="B7660" s="57"/>
      <c r="C7660" s="57"/>
      <c r="D7660" s="57"/>
      <c r="E7660" s="56"/>
      <c r="F7660" s="57"/>
      <c r="G7660" s="57"/>
      <c r="H7660" s="56"/>
      <c r="I7660" s="56"/>
      <c r="J7660" s="58"/>
      <c r="K7660" s="58"/>
      <c r="L7660" s="13" t="str">
        <f t="shared" si="1218"/>
        <v/>
      </c>
      <c r="M7660" s="13" t="str">
        <f t="shared" si="1219"/>
        <v/>
      </c>
      <c r="Q7660" t="str">
        <f t="shared" si="1220"/>
        <v/>
      </c>
      <c r="R7660" t="str">
        <f t="shared" si="1221"/>
        <v/>
      </c>
      <c r="S7660" t="str">
        <f t="shared" si="1222"/>
        <v/>
      </c>
      <c r="T7660" t="str">
        <f t="shared" si="1223"/>
        <v/>
      </c>
      <c r="U7660" t="str">
        <f t="shared" si="1224"/>
        <v/>
      </c>
      <c r="V7660" t="str">
        <f t="shared" si="1225"/>
        <v/>
      </c>
      <c r="W7660" t="str">
        <f t="shared" si="1226"/>
        <v/>
      </c>
      <c r="X7660">
        <f t="shared" si="1216"/>
        <v>0</v>
      </c>
      <c r="Z7660" t="str">
        <f t="shared" si="1227"/>
        <v/>
      </c>
      <c r="AA7660">
        <f t="shared" si="1217"/>
        <v>0</v>
      </c>
    </row>
    <row r="7661" spans="1:27" ht="21" customHeight="1" x14ac:dyDescent="0.95">
      <c r="A7661" s="56"/>
      <c r="B7661" s="57"/>
      <c r="C7661" s="57"/>
      <c r="D7661" s="57"/>
      <c r="E7661" s="56"/>
      <c r="F7661" s="57"/>
      <c r="G7661" s="57"/>
      <c r="H7661" s="56"/>
      <c r="I7661" s="56"/>
      <c r="J7661" s="58"/>
      <c r="K7661" s="58"/>
      <c r="L7661" s="13" t="str">
        <f t="shared" si="1218"/>
        <v/>
      </c>
      <c r="M7661" s="13" t="str">
        <f t="shared" si="1219"/>
        <v/>
      </c>
      <c r="Q7661" t="str">
        <f t="shared" si="1220"/>
        <v/>
      </c>
      <c r="R7661" t="str">
        <f t="shared" si="1221"/>
        <v/>
      </c>
      <c r="S7661" t="str">
        <f t="shared" si="1222"/>
        <v/>
      </c>
      <c r="T7661" t="str">
        <f t="shared" si="1223"/>
        <v/>
      </c>
      <c r="U7661" t="str">
        <f t="shared" si="1224"/>
        <v/>
      </c>
      <c r="V7661" t="str">
        <f t="shared" si="1225"/>
        <v/>
      </c>
      <c r="W7661" t="str">
        <f t="shared" si="1226"/>
        <v/>
      </c>
      <c r="X7661">
        <f t="shared" si="1216"/>
        <v>0</v>
      </c>
      <c r="Z7661" t="str">
        <f t="shared" si="1227"/>
        <v/>
      </c>
      <c r="AA7661">
        <f t="shared" si="1217"/>
        <v>0</v>
      </c>
    </row>
    <row r="7662" spans="1:27" ht="21" customHeight="1" x14ac:dyDescent="0.95">
      <c r="A7662" s="56"/>
      <c r="B7662" s="57"/>
      <c r="C7662" s="57"/>
      <c r="D7662" s="57"/>
      <c r="E7662" s="56"/>
      <c r="F7662" s="57"/>
      <c r="G7662" s="57"/>
      <c r="H7662" s="56"/>
      <c r="I7662" s="56"/>
      <c r="J7662" s="58"/>
      <c r="K7662" s="58"/>
      <c r="L7662" s="13" t="str">
        <f t="shared" si="1218"/>
        <v/>
      </c>
      <c r="M7662" s="13" t="str">
        <f t="shared" si="1219"/>
        <v/>
      </c>
      <c r="Q7662" t="str">
        <f t="shared" si="1220"/>
        <v/>
      </c>
      <c r="R7662" t="str">
        <f t="shared" si="1221"/>
        <v/>
      </c>
      <c r="S7662" t="str">
        <f t="shared" si="1222"/>
        <v/>
      </c>
      <c r="T7662" t="str">
        <f t="shared" si="1223"/>
        <v/>
      </c>
      <c r="U7662" t="str">
        <f t="shared" si="1224"/>
        <v/>
      </c>
      <c r="V7662" t="str">
        <f t="shared" si="1225"/>
        <v/>
      </c>
      <c r="W7662" t="str">
        <f t="shared" si="1226"/>
        <v/>
      </c>
      <c r="X7662">
        <f t="shared" si="1216"/>
        <v>0</v>
      </c>
      <c r="Z7662" t="str">
        <f t="shared" si="1227"/>
        <v/>
      </c>
      <c r="AA7662">
        <f t="shared" si="1217"/>
        <v>0</v>
      </c>
    </row>
    <row r="7663" spans="1:27" ht="21" customHeight="1" x14ac:dyDescent="0.95">
      <c r="A7663" s="56"/>
      <c r="B7663" s="57"/>
      <c r="C7663" s="57"/>
      <c r="D7663" s="57"/>
      <c r="E7663" s="56"/>
      <c r="F7663" s="57"/>
      <c r="G7663" s="57"/>
      <c r="H7663" s="56"/>
      <c r="I7663" s="56"/>
      <c r="J7663" s="58"/>
      <c r="K7663" s="58"/>
      <c r="L7663" s="13" t="str">
        <f t="shared" si="1218"/>
        <v/>
      </c>
      <c r="M7663" s="13" t="str">
        <f t="shared" si="1219"/>
        <v/>
      </c>
      <c r="Q7663" t="str">
        <f t="shared" si="1220"/>
        <v/>
      </c>
      <c r="R7663" t="str">
        <f t="shared" si="1221"/>
        <v/>
      </c>
      <c r="S7663" t="str">
        <f t="shared" si="1222"/>
        <v/>
      </c>
      <c r="T7663" t="str">
        <f t="shared" si="1223"/>
        <v/>
      </c>
      <c r="U7663" t="str">
        <f t="shared" si="1224"/>
        <v/>
      </c>
      <c r="V7663" t="str">
        <f t="shared" si="1225"/>
        <v/>
      </c>
      <c r="W7663" t="str">
        <f t="shared" si="1226"/>
        <v/>
      </c>
      <c r="X7663">
        <f t="shared" si="1216"/>
        <v>0</v>
      </c>
      <c r="Z7663" t="str">
        <f t="shared" si="1227"/>
        <v/>
      </c>
      <c r="AA7663">
        <f t="shared" si="1217"/>
        <v>0</v>
      </c>
    </row>
    <row r="7664" spans="1:27" ht="21" customHeight="1" x14ac:dyDescent="0.95">
      <c r="A7664" s="56"/>
      <c r="B7664" s="57"/>
      <c r="C7664" s="57"/>
      <c r="D7664" s="57"/>
      <c r="E7664" s="56"/>
      <c r="F7664" s="57"/>
      <c r="G7664" s="57"/>
      <c r="H7664" s="56"/>
      <c r="I7664" s="56"/>
      <c r="J7664" s="58"/>
      <c r="K7664" s="58"/>
      <c r="L7664" s="13" t="str">
        <f t="shared" si="1218"/>
        <v/>
      </c>
      <c r="M7664" s="13" t="str">
        <f t="shared" si="1219"/>
        <v/>
      </c>
      <c r="Q7664" t="str">
        <f t="shared" si="1220"/>
        <v/>
      </c>
      <c r="R7664" t="str">
        <f t="shared" si="1221"/>
        <v/>
      </c>
      <c r="S7664" t="str">
        <f t="shared" si="1222"/>
        <v/>
      </c>
      <c r="T7664" t="str">
        <f t="shared" si="1223"/>
        <v/>
      </c>
      <c r="U7664" t="str">
        <f t="shared" si="1224"/>
        <v/>
      </c>
      <c r="V7664" t="str">
        <f t="shared" si="1225"/>
        <v/>
      </c>
      <c r="W7664" t="str">
        <f t="shared" si="1226"/>
        <v/>
      </c>
      <c r="X7664">
        <f t="shared" si="1216"/>
        <v>0</v>
      </c>
      <c r="Z7664" t="str">
        <f t="shared" si="1227"/>
        <v/>
      </c>
      <c r="AA7664">
        <f t="shared" si="1217"/>
        <v>0</v>
      </c>
    </row>
    <row r="7665" spans="1:27" ht="21" customHeight="1" x14ac:dyDescent="0.95">
      <c r="A7665" s="56"/>
      <c r="B7665" s="57"/>
      <c r="C7665" s="57"/>
      <c r="D7665" s="57"/>
      <c r="E7665" s="56"/>
      <c r="F7665" s="57"/>
      <c r="G7665" s="57"/>
      <c r="H7665" s="56"/>
      <c r="I7665" s="56"/>
      <c r="J7665" s="58"/>
      <c r="K7665" s="58"/>
      <c r="L7665" s="13" t="str">
        <f t="shared" si="1218"/>
        <v/>
      </c>
      <c r="M7665" s="13" t="str">
        <f t="shared" si="1219"/>
        <v/>
      </c>
      <c r="Q7665" t="str">
        <f t="shared" si="1220"/>
        <v/>
      </c>
      <c r="R7665" t="str">
        <f t="shared" si="1221"/>
        <v/>
      </c>
      <c r="S7665" t="str">
        <f t="shared" si="1222"/>
        <v/>
      </c>
      <c r="T7665" t="str">
        <f t="shared" si="1223"/>
        <v/>
      </c>
      <c r="U7665" t="str">
        <f t="shared" si="1224"/>
        <v/>
      </c>
      <c r="V7665" t="str">
        <f t="shared" si="1225"/>
        <v/>
      </c>
      <c r="W7665" t="str">
        <f t="shared" si="1226"/>
        <v/>
      </c>
      <c r="X7665">
        <f t="shared" si="1216"/>
        <v>0</v>
      </c>
      <c r="Z7665" t="str">
        <f t="shared" si="1227"/>
        <v/>
      </c>
      <c r="AA7665">
        <f t="shared" si="1217"/>
        <v>0</v>
      </c>
    </row>
    <row r="7666" spans="1:27" ht="21" customHeight="1" x14ac:dyDescent="0.95">
      <c r="A7666" s="56"/>
      <c r="B7666" s="57"/>
      <c r="C7666" s="57"/>
      <c r="D7666" s="57"/>
      <c r="E7666" s="56"/>
      <c r="F7666" s="57"/>
      <c r="G7666" s="57"/>
      <c r="H7666" s="56"/>
      <c r="I7666" s="56"/>
      <c r="J7666" s="58"/>
      <c r="K7666" s="58"/>
      <c r="L7666" s="13" t="str">
        <f t="shared" si="1218"/>
        <v/>
      </c>
      <c r="M7666" s="13" t="str">
        <f t="shared" si="1219"/>
        <v/>
      </c>
      <c r="Q7666" t="str">
        <f t="shared" si="1220"/>
        <v/>
      </c>
      <c r="R7666" t="str">
        <f t="shared" si="1221"/>
        <v/>
      </c>
      <c r="S7666" t="str">
        <f t="shared" si="1222"/>
        <v/>
      </c>
      <c r="T7666" t="str">
        <f t="shared" si="1223"/>
        <v/>
      </c>
      <c r="U7666" t="str">
        <f t="shared" si="1224"/>
        <v/>
      </c>
      <c r="V7666" t="str">
        <f t="shared" si="1225"/>
        <v/>
      </c>
      <c r="W7666" t="str">
        <f t="shared" si="1226"/>
        <v/>
      </c>
      <c r="X7666">
        <f t="shared" si="1216"/>
        <v>0</v>
      </c>
      <c r="Z7666" t="str">
        <f t="shared" si="1227"/>
        <v/>
      </c>
      <c r="AA7666">
        <f t="shared" si="1217"/>
        <v>0</v>
      </c>
    </row>
    <row r="7667" spans="1:27" ht="21" customHeight="1" x14ac:dyDescent="0.95">
      <c r="A7667" s="56"/>
      <c r="B7667" s="57"/>
      <c r="C7667" s="57"/>
      <c r="D7667" s="57"/>
      <c r="E7667" s="56"/>
      <c r="F7667" s="57"/>
      <c r="G7667" s="57"/>
      <c r="H7667" s="56"/>
      <c r="I7667" s="56"/>
      <c r="J7667" s="58"/>
      <c r="K7667" s="58"/>
      <c r="L7667" s="13" t="str">
        <f t="shared" si="1218"/>
        <v/>
      </c>
      <c r="M7667" s="13" t="str">
        <f t="shared" si="1219"/>
        <v/>
      </c>
      <c r="Q7667" t="str">
        <f t="shared" si="1220"/>
        <v/>
      </c>
      <c r="R7667" t="str">
        <f t="shared" si="1221"/>
        <v/>
      </c>
      <c r="S7667" t="str">
        <f t="shared" si="1222"/>
        <v/>
      </c>
      <c r="T7667" t="str">
        <f t="shared" si="1223"/>
        <v/>
      </c>
      <c r="U7667" t="str">
        <f t="shared" si="1224"/>
        <v/>
      </c>
      <c r="V7667" t="str">
        <f t="shared" si="1225"/>
        <v/>
      </c>
      <c r="W7667" t="str">
        <f t="shared" si="1226"/>
        <v/>
      </c>
      <c r="X7667">
        <f t="shared" si="1216"/>
        <v>0</v>
      </c>
      <c r="Z7667" t="str">
        <f t="shared" si="1227"/>
        <v/>
      </c>
      <c r="AA7667">
        <f t="shared" si="1217"/>
        <v>0</v>
      </c>
    </row>
    <row r="7668" spans="1:27" ht="21" customHeight="1" x14ac:dyDescent="0.95">
      <c r="A7668" s="56"/>
      <c r="B7668" s="57"/>
      <c r="C7668" s="57"/>
      <c r="D7668" s="57"/>
      <c r="E7668" s="56"/>
      <c r="F7668" s="57"/>
      <c r="G7668" s="57"/>
      <c r="H7668" s="56"/>
      <c r="I7668" s="56"/>
      <c r="J7668" s="58"/>
      <c r="K7668" s="58"/>
      <c r="L7668" s="13" t="str">
        <f t="shared" si="1218"/>
        <v/>
      </c>
      <c r="M7668" s="13" t="str">
        <f t="shared" si="1219"/>
        <v/>
      </c>
      <c r="Q7668" t="str">
        <f t="shared" si="1220"/>
        <v/>
      </c>
      <c r="R7668" t="str">
        <f t="shared" si="1221"/>
        <v/>
      </c>
      <c r="S7668" t="str">
        <f t="shared" si="1222"/>
        <v/>
      </c>
      <c r="T7668" t="str">
        <f t="shared" si="1223"/>
        <v/>
      </c>
      <c r="U7668" t="str">
        <f t="shared" si="1224"/>
        <v/>
      </c>
      <c r="V7668" t="str">
        <f t="shared" si="1225"/>
        <v/>
      </c>
      <c r="W7668" t="str">
        <f t="shared" si="1226"/>
        <v/>
      </c>
      <c r="X7668">
        <f t="shared" si="1216"/>
        <v>0</v>
      </c>
      <c r="Z7668" t="str">
        <f t="shared" si="1227"/>
        <v/>
      </c>
      <c r="AA7668">
        <f t="shared" si="1217"/>
        <v>0</v>
      </c>
    </row>
    <row r="7669" spans="1:27" ht="21" customHeight="1" x14ac:dyDescent="0.95">
      <c r="A7669" s="56"/>
      <c r="B7669" s="57"/>
      <c r="C7669" s="57"/>
      <c r="D7669" s="57"/>
      <c r="E7669" s="56"/>
      <c r="F7669" s="57"/>
      <c r="G7669" s="57"/>
      <c r="H7669" s="56"/>
      <c r="I7669" s="56"/>
      <c r="J7669" s="58"/>
      <c r="K7669" s="58"/>
      <c r="L7669" s="13" t="str">
        <f t="shared" si="1218"/>
        <v/>
      </c>
      <c r="M7669" s="13" t="str">
        <f t="shared" si="1219"/>
        <v/>
      </c>
      <c r="Q7669" t="str">
        <f t="shared" si="1220"/>
        <v/>
      </c>
      <c r="R7669" t="str">
        <f t="shared" si="1221"/>
        <v/>
      </c>
      <c r="S7669" t="str">
        <f t="shared" si="1222"/>
        <v/>
      </c>
      <c r="T7669" t="str">
        <f t="shared" si="1223"/>
        <v/>
      </c>
      <c r="U7669" t="str">
        <f t="shared" si="1224"/>
        <v/>
      </c>
      <c r="V7669" t="str">
        <f t="shared" si="1225"/>
        <v/>
      </c>
      <c r="W7669" t="str">
        <f t="shared" si="1226"/>
        <v/>
      </c>
      <c r="X7669">
        <f t="shared" ref="X7669:X7732" si="1228">IF($T7669="",N($X7668),IF(MATCH($T7669,$T$6:$T$10005,0)=ROW()-5,N($X7668)+1,N($X7668)))</f>
        <v>0</v>
      </c>
      <c r="Z7669" t="str">
        <f t="shared" si="1227"/>
        <v/>
      </c>
      <c r="AA7669">
        <f t="shared" ref="AA7669:AA7732" si="1229">IF($V7669="",N($AA7668),IF(MATCH($V7669,$V$6:$V$10005,0)=ROW()-5,N($AA7668)+1,N($AA7668)))</f>
        <v>0</v>
      </c>
    </row>
    <row r="7670" spans="1:27" ht="21" customHeight="1" x14ac:dyDescent="0.95">
      <c r="A7670" s="56"/>
      <c r="B7670" s="57"/>
      <c r="C7670" s="57"/>
      <c r="D7670" s="57"/>
      <c r="E7670" s="56"/>
      <c r="F7670" s="57"/>
      <c r="G7670" s="57"/>
      <c r="H7670" s="56"/>
      <c r="I7670" s="56"/>
      <c r="J7670" s="58"/>
      <c r="K7670" s="58"/>
      <c r="L7670" s="13" t="str">
        <f t="shared" si="1218"/>
        <v/>
      </c>
      <c r="M7670" s="13" t="str">
        <f t="shared" si="1219"/>
        <v/>
      </c>
      <c r="Q7670" t="str">
        <f t="shared" si="1220"/>
        <v/>
      </c>
      <c r="R7670" t="str">
        <f t="shared" si="1221"/>
        <v/>
      </c>
      <c r="S7670" t="str">
        <f t="shared" si="1222"/>
        <v/>
      </c>
      <c r="T7670" t="str">
        <f t="shared" si="1223"/>
        <v/>
      </c>
      <c r="U7670" t="str">
        <f t="shared" si="1224"/>
        <v/>
      </c>
      <c r="V7670" t="str">
        <f t="shared" si="1225"/>
        <v/>
      </c>
      <c r="W7670" t="str">
        <f t="shared" si="1226"/>
        <v/>
      </c>
      <c r="X7670">
        <f t="shared" si="1228"/>
        <v>0</v>
      </c>
      <c r="Z7670" t="str">
        <f t="shared" si="1227"/>
        <v/>
      </c>
      <c r="AA7670">
        <f t="shared" si="1229"/>
        <v>0</v>
      </c>
    </row>
    <row r="7671" spans="1:27" ht="21" customHeight="1" x14ac:dyDescent="0.95">
      <c r="A7671" s="56"/>
      <c r="B7671" s="57"/>
      <c r="C7671" s="57"/>
      <c r="D7671" s="57"/>
      <c r="E7671" s="56"/>
      <c r="F7671" s="57"/>
      <c r="G7671" s="57"/>
      <c r="H7671" s="56"/>
      <c r="I7671" s="56"/>
      <c r="J7671" s="58"/>
      <c r="K7671" s="58"/>
      <c r="L7671" s="13" t="str">
        <f t="shared" si="1218"/>
        <v/>
      </c>
      <c r="M7671" s="13" t="str">
        <f t="shared" si="1219"/>
        <v/>
      </c>
      <c r="Q7671" t="str">
        <f t="shared" si="1220"/>
        <v/>
      </c>
      <c r="R7671" t="str">
        <f t="shared" si="1221"/>
        <v/>
      </c>
      <c r="S7671" t="str">
        <f t="shared" si="1222"/>
        <v/>
      </c>
      <c r="T7671" t="str">
        <f t="shared" si="1223"/>
        <v/>
      </c>
      <c r="U7671" t="str">
        <f t="shared" si="1224"/>
        <v/>
      </c>
      <c r="V7671" t="str">
        <f t="shared" si="1225"/>
        <v/>
      </c>
      <c r="W7671" t="str">
        <f t="shared" si="1226"/>
        <v/>
      </c>
      <c r="X7671">
        <f t="shared" si="1228"/>
        <v>0</v>
      </c>
      <c r="Z7671" t="str">
        <f t="shared" si="1227"/>
        <v/>
      </c>
      <c r="AA7671">
        <f t="shared" si="1229"/>
        <v>0</v>
      </c>
    </row>
    <row r="7672" spans="1:27" ht="21" customHeight="1" x14ac:dyDescent="0.95">
      <c r="A7672" s="56"/>
      <c r="B7672" s="57"/>
      <c r="C7672" s="57"/>
      <c r="D7672" s="57"/>
      <c r="E7672" s="56"/>
      <c r="F7672" s="57"/>
      <c r="G7672" s="57"/>
      <c r="H7672" s="56"/>
      <c r="I7672" s="56"/>
      <c r="J7672" s="58"/>
      <c r="K7672" s="58"/>
      <c r="L7672" s="13" t="str">
        <f t="shared" si="1218"/>
        <v/>
      </c>
      <c r="M7672" s="13" t="str">
        <f t="shared" si="1219"/>
        <v/>
      </c>
      <c r="Q7672" t="str">
        <f t="shared" si="1220"/>
        <v/>
      </c>
      <c r="R7672" t="str">
        <f t="shared" si="1221"/>
        <v/>
      </c>
      <c r="S7672" t="str">
        <f t="shared" si="1222"/>
        <v/>
      </c>
      <c r="T7672" t="str">
        <f t="shared" si="1223"/>
        <v/>
      </c>
      <c r="U7672" t="str">
        <f t="shared" si="1224"/>
        <v/>
      </c>
      <c r="V7672" t="str">
        <f t="shared" si="1225"/>
        <v/>
      </c>
      <c r="W7672" t="str">
        <f t="shared" si="1226"/>
        <v/>
      </c>
      <c r="X7672">
        <f t="shared" si="1228"/>
        <v>0</v>
      </c>
      <c r="Z7672" t="str">
        <f t="shared" si="1227"/>
        <v/>
      </c>
      <c r="AA7672">
        <f t="shared" si="1229"/>
        <v>0</v>
      </c>
    </row>
    <row r="7673" spans="1:27" ht="21" customHeight="1" x14ac:dyDescent="0.95">
      <c r="A7673" s="56"/>
      <c r="B7673" s="57"/>
      <c r="C7673" s="57"/>
      <c r="D7673" s="57"/>
      <c r="E7673" s="56"/>
      <c r="F7673" s="57"/>
      <c r="G7673" s="57"/>
      <c r="H7673" s="56"/>
      <c r="I7673" s="56"/>
      <c r="J7673" s="58"/>
      <c r="K7673" s="58"/>
      <c r="L7673" s="13" t="str">
        <f t="shared" si="1218"/>
        <v/>
      </c>
      <c r="M7673" s="13" t="str">
        <f t="shared" si="1219"/>
        <v/>
      </c>
      <c r="Q7673" t="str">
        <f t="shared" si="1220"/>
        <v/>
      </c>
      <c r="R7673" t="str">
        <f t="shared" si="1221"/>
        <v/>
      </c>
      <c r="S7673" t="str">
        <f t="shared" si="1222"/>
        <v/>
      </c>
      <c r="T7673" t="str">
        <f t="shared" si="1223"/>
        <v/>
      </c>
      <c r="U7673" t="str">
        <f t="shared" si="1224"/>
        <v/>
      </c>
      <c r="V7673" t="str">
        <f t="shared" si="1225"/>
        <v/>
      </c>
      <c r="W7673" t="str">
        <f t="shared" si="1226"/>
        <v/>
      </c>
      <c r="X7673">
        <f t="shared" si="1228"/>
        <v>0</v>
      </c>
      <c r="Z7673" t="str">
        <f t="shared" si="1227"/>
        <v/>
      </c>
      <c r="AA7673">
        <f t="shared" si="1229"/>
        <v>0</v>
      </c>
    </row>
    <row r="7674" spans="1:27" ht="21" customHeight="1" x14ac:dyDescent="0.95">
      <c r="A7674" s="56"/>
      <c r="B7674" s="57"/>
      <c r="C7674" s="57"/>
      <c r="D7674" s="57"/>
      <c r="E7674" s="56"/>
      <c r="F7674" s="57"/>
      <c r="G7674" s="57"/>
      <c r="H7674" s="56"/>
      <c r="I7674" s="56"/>
      <c r="J7674" s="58"/>
      <c r="K7674" s="58"/>
      <c r="L7674" s="13" t="str">
        <f t="shared" si="1218"/>
        <v/>
      </c>
      <c r="M7674" s="13" t="str">
        <f t="shared" si="1219"/>
        <v/>
      </c>
      <c r="Q7674" t="str">
        <f t="shared" si="1220"/>
        <v/>
      </c>
      <c r="R7674" t="str">
        <f t="shared" si="1221"/>
        <v/>
      </c>
      <c r="S7674" t="str">
        <f t="shared" si="1222"/>
        <v/>
      </c>
      <c r="T7674" t="str">
        <f t="shared" si="1223"/>
        <v/>
      </c>
      <c r="U7674" t="str">
        <f t="shared" si="1224"/>
        <v/>
      </c>
      <c r="V7674" t="str">
        <f t="shared" si="1225"/>
        <v/>
      </c>
      <c r="W7674" t="str">
        <f t="shared" si="1226"/>
        <v/>
      </c>
      <c r="X7674">
        <f t="shared" si="1228"/>
        <v>0</v>
      </c>
      <c r="Z7674" t="str">
        <f t="shared" si="1227"/>
        <v/>
      </c>
      <c r="AA7674">
        <f t="shared" si="1229"/>
        <v>0</v>
      </c>
    </row>
    <row r="7675" spans="1:27" ht="21" customHeight="1" x14ac:dyDescent="0.95">
      <c r="A7675" s="56"/>
      <c r="B7675" s="57"/>
      <c r="C7675" s="57"/>
      <c r="D7675" s="57"/>
      <c r="E7675" s="56"/>
      <c r="F7675" s="57"/>
      <c r="G7675" s="57"/>
      <c r="H7675" s="56"/>
      <c r="I7675" s="56"/>
      <c r="J7675" s="58"/>
      <c r="K7675" s="58"/>
      <c r="L7675" s="13" t="str">
        <f t="shared" si="1218"/>
        <v/>
      </c>
      <c r="M7675" s="13" t="str">
        <f t="shared" si="1219"/>
        <v/>
      </c>
      <c r="Q7675" t="str">
        <f t="shared" si="1220"/>
        <v/>
      </c>
      <c r="R7675" t="str">
        <f t="shared" si="1221"/>
        <v/>
      </c>
      <c r="S7675" t="str">
        <f t="shared" si="1222"/>
        <v/>
      </c>
      <c r="T7675" t="str">
        <f t="shared" si="1223"/>
        <v/>
      </c>
      <c r="U7675" t="str">
        <f t="shared" si="1224"/>
        <v/>
      </c>
      <c r="V7675" t="str">
        <f t="shared" si="1225"/>
        <v/>
      </c>
      <c r="W7675" t="str">
        <f t="shared" si="1226"/>
        <v/>
      </c>
      <c r="X7675">
        <f t="shared" si="1228"/>
        <v>0</v>
      </c>
      <c r="Z7675" t="str">
        <f t="shared" si="1227"/>
        <v/>
      </c>
      <c r="AA7675">
        <f t="shared" si="1229"/>
        <v>0</v>
      </c>
    </row>
    <row r="7676" spans="1:27" ht="21" customHeight="1" x14ac:dyDescent="0.95">
      <c r="A7676" s="56"/>
      <c r="B7676" s="57"/>
      <c r="C7676" s="57"/>
      <c r="D7676" s="57"/>
      <c r="E7676" s="56"/>
      <c r="F7676" s="57"/>
      <c r="G7676" s="57"/>
      <c r="H7676" s="56"/>
      <c r="I7676" s="56"/>
      <c r="J7676" s="58"/>
      <c r="K7676" s="58"/>
      <c r="L7676" s="13" t="str">
        <f t="shared" si="1218"/>
        <v/>
      </c>
      <c r="M7676" s="13" t="str">
        <f t="shared" si="1219"/>
        <v/>
      </c>
      <c r="Q7676" t="str">
        <f t="shared" si="1220"/>
        <v/>
      </c>
      <c r="R7676" t="str">
        <f t="shared" si="1221"/>
        <v/>
      </c>
      <c r="S7676" t="str">
        <f t="shared" si="1222"/>
        <v/>
      </c>
      <c r="T7676" t="str">
        <f t="shared" si="1223"/>
        <v/>
      </c>
      <c r="U7676" t="str">
        <f t="shared" si="1224"/>
        <v/>
      </c>
      <c r="V7676" t="str">
        <f t="shared" si="1225"/>
        <v/>
      </c>
      <c r="W7676" t="str">
        <f t="shared" si="1226"/>
        <v/>
      </c>
      <c r="X7676">
        <f t="shared" si="1228"/>
        <v>0</v>
      </c>
      <c r="Z7676" t="str">
        <f t="shared" si="1227"/>
        <v/>
      </c>
      <c r="AA7676">
        <f t="shared" si="1229"/>
        <v>0</v>
      </c>
    </row>
    <row r="7677" spans="1:27" ht="21" customHeight="1" x14ac:dyDescent="0.95">
      <c r="A7677" s="56"/>
      <c r="B7677" s="57"/>
      <c r="C7677" s="57"/>
      <c r="D7677" s="57"/>
      <c r="E7677" s="56"/>
      <c r="F7677" s="57"/>
      <c r="G7677" s="57"/>
      <c r="H7677" s="56"/>
      <c r="I7677" s="56"/>
      <c r="J7677" s="58"/>
      <c r="K7677" s="58"/>
      <c r="L7677" s="13" t="str">
        <f t="shared" si="1218"/>
        <v/>
      </c>
      <c r="M7677" s="13" t="str">
        <f t="shared" si="1219"/>
        <v/>
      </c>
      <c r="Q7677" t="str">
        <f t="shared" si="1220"/>
        <v/>
      </c>
      <c r="R7677" t="str">
        <f t="shared" si="1221"/>
        <v/>
      </c>
      <c r="S7677" t="str">
        <f t="shared" si="1222"/>
        <v/>
      </c>
      <c r="T7677" t="str">
        <f t="shared" si="1223"/>
        <v/>
      </c>
      <c r="U7677" t="str">
        <f t="shared" si="1224"/>
        <v/>
      </c>
      <c r="V7677" t="str">
        <f t="shared" si="1225"/>
        <v/>
      </c>
      <c r="W7677" t="str">
        <f t="shared" si="1226"/>
        <v/>
      </c>
      <c r="X7677">
        <f t="shared" si="1228"/>
        <v>0</v>
      </c>
      <c r="Z7677" t="str">
        <f t="shared" si="1227"/>
        <v/>
      </c>
      <c r="AA7677">
        <f t="shared" si="1229"/>
        <v>0</v>
      </c>
    </row>
    <row r="7678" spans="1:27" ht="21" customHeight="1" x14ac:dyDescent="0.95">
      <c r="A7678" s="56"/>
      <c r="B7678" s="57"/>
      <c r="C7678" s="57"/>
      <c r="D7678" s="57"/>
      <c r="E7678" s="56"/>
      <c r="F7678" s="57"/>
      <c r="G7678" s="57"/>
      <c r="H7678" s="56"/>
      <c r="I7678" s="56"/>
      <c r="J7678" s="58"/>
      <c r="K7678" s="58"/>
      <c r="L7678" s="13" t="str">
        <f t="shared" si="1218"/>
        <v/>
      </c>
      <c r="M7678" s="13" t="str">
        <f t="shared" si="1219"/>
        <v/>
      </c>
      <c r="Q7678" t="str">
        <f t="shared" si="1220"/>
        <v/>
      </c>
      <c r="R7678" t="str">
        <f t="shared" si="1221"/>
        <v/>
      </c>
      <c r="S7678" t="str">
        <f t="shared" si="1222"/>
        <v/>
      </c>
      <c r="T7678" t="str">
        <f t="shared" si="1223"/>
        <v/>
      </c>
      <c r="U7678" t="str">
        <f t="shared" si="1224"/>
        <v/>
      </c>
      <c r="V7678" t="str">
        <f t="shared" si="1225"/>
        <v/>
      </c>
      <c r="W7678" t="str">
        <f t="shared" si="1226"/>
        <v/>
      </c>
      <c r="X7678">
        <f t="shared" si="1228"/>
        <v>0</v>
      </c>
      <c r="Z7678" t="str">
        <f t="shared" si="1227"/>
        <v/>
      </c>
      <c r="AA7678">
        <f t="shared" si="1229"/>
        <v>0</v>
      </c>
    </row>
    <row r="7679" spans="1:27" ht="21" customHeight="1" x14ac:dyDescent="0.95">
      <c r="A7679" s="56"/>
      <c r="B7679" s="57"/>
      <c r="C7679" s="57"/>
      <c r="D7679" s="57"/>
      <c r="E7679" s="56"/>
      <c r="F7679" s="57"/>
      <c r="G7679" s="57"/>
      <c r="H7679" s="56"/>
      <c r="I7679" s="56"/>
      <c r="J7679" s="58"/>
      <c r="K7679" s="58"/>
      <c r="L7679" s="13" t="str">
        <f t="shared" si="1218"/>
        <v/>
      </c>
      <c r="M7679" s="13" t="str">
        <f t="shared" si="1219"/>
        <v/>
      </c>
      <c r="Q7679" t="str">
        <f t="shared" si="1220"/>
        <v/>
      </c>
      <c r="R7679" t="str">
        <f t="shared" si="1221"/>
        <v/>
      </c>
      <c r="S7679" t="str">
        <f t="shared" si="1222"/>
        <v/>
      </c>
      <c r="T7679" t="str">
        <f t="shared" si="1223"/>
        <v/>
      </c>
      <c r="U7679" t="str">
        <f t="shared" si="1224"/>
        <v/>
      </c>
      <c r="V7679" t="str">
        <f t="shared" si="1225"/>
        <v/>
      </c>
      <c r="W7679" t="str">
        <f t="shared" si="1226"/>
        <v/>
      </c>
      <c r="X7679">
        <f t="shared" si="1228"/>
        <v>0</v>
      </c>
      <c r="Z7679" t="str">
        <f t="shared" si="1227"/>
        <v/>
      </c>
      <c r="AA7679">
        <f t="shared" si="1229"/>
        <v>0</v>
      </c>
    </row>
    <row r="7680" spans="1:27" ht="21" customHeight="1" x14ac:dyDescent="0.95">
      <c r="A7680" s="56"/>
      <c r="B7680" s="57"/>
      <c r="C7680" s="57"/>
      <c r="D7680" s="57"/>
      <c r="E7680" s="56"/>
      <c r="F7680" s="57"/>
      <c r="G7680" s="57"/>
      <c r="H7680" s="56"/>
      <c r="I7680" s="56"/>
      <c r="J7680" s="58"/>
      <c r="K7680" s="58"/>
      <c r="L7680" s="13" t="str">
        <f t="shared" si="1218"/>
        <v/>
      </c>
      <c r="M7680" s="13" t="str">
        <f t="shared" si="1219"/>
        <v/>
      </c>
      <c r="Q7680" t="str">
        <f t="shared" si="1220"/>
        <v/>
      </c>
      <c r="R7680" t="str">
        <f t="shared" si="1221"/>
        <v/>
      </c>
      <c r="S7680" t="str">
        <f t="shared" si="1222"/>
        <v/>
      </c>
      <c r="T7680" t="str">
        <f t="shared" si="1223"/>
        <v/>
      </c>
      <c r="U7680" t="str">
        <f t="shared" si="1224"/>
        <v/>
      </c>
      <c r="V7680" t="str">
        <f t="shared" si="1225"/>
        <v/>
      </c>
      <c r="W7680" t="str">
        <f t="shared" si="1226"/>
        <v/>
      </c>
      <c r="X7680">
        <f t="shared" si="1228"/>
        <v>0</v>
      </c>
      <c r="Z7680" t="str">
        <f t="shared" si="1227"/>
        <v/>
      </c>
      <c r="AA7680">
        <f t="shared" si="1229"/>
        <v>0</v>
      </c>
    </row>
    <row r="7681" spans="1:27" ht="21" customHeight="1" x14ac:dyDescent="0.95">
      <c r="A7681" s="56"/>
      <c r="B7681" s="57"/>
      <c r="C7681" s="57"/>
      <c r="D7681" s="57"/>
      <c r="E7681" s="56"/>
      <c r="F7681" s="57"/>
      <c r="G7681" s="57"/>
      <c r="H7681" s="56"/>
      <c r="I7681" s="56"/>
      <c r="J7681" s="58"/>
      <c r="K7681" s="58"/>
      <c r="L7681" s="13" t="str">
        <f t="shared" si="1218"/>
        <v/>
      </c>
      <c r="M7681" s="13" t="str">
        <f t="shared" si="1219"/>
        <v/>
      </c>
      <c r="Q7681" t="str">
        <f t="shared" si="1220"/>
        <v/>
      </c>
      <c r="R7681" t="str">
        <f t="shared" si="1221"/>
        <v/>
      </c>
      <c r="S7681" t="str">
        <f t="shared" si="1222"/>
        <v/>
      </c>
      <c r="T7681" t="str">
        <f t="shared" si="1223"/>
        <v/>
      </c>
      <c r="U7681" t="str">
        <f t="shared" si="1224"/>
        <v/>
      </c>
      <c r="V7681" t="str">
        <f t="shared" si="1225"/>
        <v/>
      </c>
      <c r="W7681" t="str">
        <f t="shared" si="1226"/>
        <v/>
      </c>
      <c r="X7681">
        <f t="shared" si="1228"/>
        <v>0</v>
      </c>
      <c r="Z7681" t="str">
        <f t="shared" si="1227"/>
        <v/>
      </c>
      <c r="AA7681">
        <f t="shared" si="1229"/>
        <v>0</v>
      </c>
    </row>
    <row r="7682" spans="1:27" ht="21" customHeight="1" x14ac:dyDescent="0.95">
      <c r="A7682" s="56"/>
      <c r="B7682" s="57"/>
      <c r="C7682" s="57"/>
      <c r="D7682" s="57"/>
      <c r="E7682" s="56"/>
      <c r="F7682" s="57"/>
      <c r="G7682" s="57"/>
      <c r="H7682" s="56"/>
      <c r="I7682" s="56"/>
      <c r="J7682" s="58"/>
      <c r="K7682" s="58"/>
      <c r="L7682" s="13" t="str">
        <f t="shared" si="1218"/>
        <v/>
      </c>
      <c r="M7682" s="13" t="str">
        <f t="shared" si="1219"/>
        <v/>
      </c>
      <c r="Q7682" t="str">
        <f t="shared" si="1220"/>
        <v/>
      </c>
      <c r="R7682" t="str">
        <f t="shared" si="1221"/>
        <v/>
      </c>
      <c r="S7682" t="str">
        <f t="shared" si="1222"/>
        <v/>
      </c>
      <c r="T7682" t="str">
        <f t="shared" si="1223"/>
        <v/>
      </c>
      <c r="U7682" t="str">
        <f t="shared" si="1224"/>
        <v/>
      </c>
      <c r="V7682" t="str">
        <f t="shared" si="1225"/>
        <v/>
      </c>
      <c r="W7682" t="str">
        <f t="shared" si="1226"/>
        <v/>
      </c>
      <c r="X7682">
        <f t="shared" si="1228"/>
        <v>0</v>
      </c>
      <c r="Z7682" t="str">
        <f t="shared" si="1227"/>
        <v/>
      </c>
      <c r="AA7682">
        <f t="shared" si="1229"/>
        <v>0</v>
      </c>
    </row>
    <row r="7683" spans="1:27" ht="21" customHeight="1" x14ac:dyDescent="0.95">
      <c r="A7683" s="56"/>
      <c r="B7683" s="57"/>
      <c r="C7683" s="57"/>
      <c r="D7683" s="57"/>
      <c r="E7683" s="56"/>
      <c r="F7683" s="57"/>
      <c r="G7683" s="57"/>
      <c r="H7683" s="56"/>
      <c r="I7683" s="56"/>
      <c r="J7683" s="58"/>
      <c r="K7683" s="58"/>
      <c r="L7683" s="13" t="str">
        <f t="shared" si="1218"/>
        <v/>
      </c>
      <c r="M7683" s="13" t="str">
        <f t="shared" si="1219"/>
        <v/>
      </c>
      <c r="Q7683" t="str">
        <f t="shared" si="1220"/>
        <v/>
      </c>
      <c r="R7683" t="str">
        <f t="shared" si="1221"/>
        <v/>
      </c>
      <c r="S7683" t="str">
        <f t="shared" si="1222"/>
        <v/>
      </c>
      <c r="T7683" t="str">
        <f t="shared" si="1223"/>
        <v/>
      </c>
      <c r="U7683" t="str">
        <f t="shared" si="1224"/>
        <v/>
      </c>
      <c r="V7683" t="str">
        <f t="shared" si="1225"/>
        <v/>
      </c>
      <c r="W7683" t="str">
        <f t="shared" si="1226"/>
        <v/>
      </c>
      <c r="X7683">
        <f t="shared" si="1228"/>
        <v>0</v>
      </c>
      <c r="Z7683" t="str">
        <f t="shared" si="1227"/>
        <v/>
      </c>
      <c r="AA7683">
        <f t="shared" si="1229"/>
        <v>0</v>
      </c>
    </row>
    <row r="7684" spans="1:27" ht="21" customHeight="1" x14ac:dyDescent="0.95">
      <c r="A7684" s="56"/>
      <c r="B7684" s="57"/>
      <c r="C7684" s="57"/>
      <c r="D7684" s="57"/>
      <c r="E7684" s="56"/>
      <c r="F7684" s="57"/>
      <c r="G7684" s="57"/>
      <c r="H7684" s="56"/>
      <c r="I7684" s="56"/>
      <c r="J7684" s="58"/>
      <c r="K7684" s="58"/>
      <c r="L7684" s="13" t="str">
        <f t="shared" ref="L7684:L7747" si="1230">IF(OR($A7684="",AND($J7684="",$K7684="")),"",ROUND(N($J7684)-N($K7684),2))</f>
        <v/>
      </c>
      <c r="M7684" s="13" t="str">
        <f t="shared" ref="M7684:M7747" si="1231">IF(OR($A7684="",AND($J7684="",$K7684="")),"",MIN($J7684,$K7684))</f>
        <v/>
      </c>
      <c r="Q7684" t="str">
        <f t="shared" ref="Q7684:Q7747" si="1232">IF($A7684="","",$D7684&amp;"("&amp;SUBSTITUTE($E7684," ","")&amp;")")</f>
        <v/>
      </c>
      <c r="R7684" t="str">
        <f t="shared" ref="R7684:R7747" si="1233">IF($A7684="","",$B7684&amp;" - "&amp;$C7684)</f>
        <v/>
      </c>
      <c r="S7684" t="str">
        <f t="shared" ref="S7684:S7747" si="1234">IF($A7684="","",$R7684&amp;"|"&amp;$Q7684)</f>
        <v/>
      </c>
      <c r="T7684" t="str">
        <f t="shared" ref="T7684:T7747" si="1235">IF($A7684="","",$S7684&amp;"|"&amp;$F7684)</f>
        <v/>
      </c>
      <c r="U7684" t="str">
        <f t="shared" ref="U7684:U7747" si="1236">IF($A7684="","",$R7684&amp;"("&amp;$E7684&amp;")")</f>
        <v/>
      </c>
      <c r="V7684" t="str">
        <f t="shared" ref="V7684:V7747" si="1237">IF($A7684="","",$F7684&amp;"|"&amp;$U7684&amp;"|"&amp;$D7684)</f>
        <v/>
      </c>
      <c r="W7684" t="str">
        <f t="shared" si="1226"/>
        <v/>
      </c>
      <c r="X7684">
        <f t="shared" si="1228"/>
        <v>0</v>
      </c>
      <c r="Z7684" t="str">
        <f t="shared" si="1227"/>
        <v/>
      </c>
      <c r="AA7684">
        <f t="shared" si="1229"/>
        <v>0</v>
      </c>
    </row>
    <row r="7685" spans="1:27" ht="21" customHeight="1" x14ac:dyDescent="0.95">
      <c r="A7685" s="56"/>
      <c r="B7685" s="57"/>
      <c r="C7685" s="57"/>
      <c r="D7685" s="57"/>
      <c r="E7685" s="56"/>
      <c r="F7685" s="57"/>
      <c r="G7685" s="57"/>
      <c r="H7685" s="56"/>
      <c r="I7685" s="56"/>
      <c r="J7685" s="58"/>
      <c r="K7685" s="58"/>
      <c r="L7685" s="13" t="str">
        <f t="shared" si="1230"/>
        <v/>
      </c>
      <c r="M7685" s="13" t="str">
        <f t="shared" si="1231"/>
        <v/>
      </c>
      <c r="Q7685" t="str">
        <f t="shared" si="1232"/>
        <v/>
      </c>
      <c r="R7685" t="str">
        <f t="shared" si="1233"/>
        <v/>
      </c>
      <c r="S7685" t="str">
        <f t="shared" si="1234"/>
        <v/>
      </c>
      <c r="T7685" t="str">
        <f t="shared" si="1235"/>
        <v/>
      </c>
      <c r="U7685" t="str">
        <f t="shared" si="1236"/>
        <v/>
      </c>
      <c r="V7685" t="str">
        <f t="shared" si="1237"/>
        <v/>
      </c>
      <c r="W7685" t="str">
        <f t="shared" si="1226"/>
        <v/>
      </c>
      <c r="X7685">
        <f t="shared" si="1228"/>
        <v>0</v>
      </c>
      <c r="Z7685" t="str">
        <f t="shared" si="1227"/>
        <v/>
      </c>
      <c r="AA7685">
        <f t="shared" si="1229"/>
        <v>0</v>
      </c>
    </row>
    <row r="7686" spans="1:27" ht="21" customHeight="1" x14ac:dyDescent="0.95">
      <c r="A7686" s="56"/>
      <c r="B7686" s="57"/>
      <c r="C7686" s="57"/>
      <c r="D7686" s="57"/>
      <c r="E7686" s="56"/>
      <c r="F7686" s="57"/>
      <c r="G7686" s="57"/>
      <c r="H7686" s="56"/>
      <c r="I7686" s="56"/>
      <c r="J7686" s="58"/>
      <c r="K7686" s="58"/>
      <c r="L7686" s="13" t="str">
        <f t="shared" si="1230"/>
        <v/>
      </c>
      <c r="M7686" s="13" t="str">
        <f t="shared" si="1231"/>
        <v/>
      </c>
      <c r="Q7686" t="str">
        <f t="shared" si="1232"/>
        <v/>
      </c>
      <c r="R7686" t="str">
        <f t="shared" si="1233"/>
        <v/>
      </c>
      <c r="S7686" t="str">
        <f t="shared" si="1234"/>
        <v/>
      </c>
      <c r="T7686" t="str">
        <f t="shared" si="1235"/>
        <v/>
      </c>
      <c r="U7686" t="str">
        <f t="shared" si="1236"/>
        <v/>
      </c>
      <c r="V7686" t="str">
        <f t="shared" si="1237"/>
        <v/>
      </c>
      <c r="W7686" t="str">
        <f t="shared" ref="W7686:W7749" si="1238">IF($T7686="","",IF($X7686&gt;N($X7685),$X7686,""))</f>
        <v/>
      </c>
      <c r="X7686">
        <f t="shared" si="1228"/>
        <v>0</v>
      </c>
      <c r="Z7686" t="str">
        <f t="shared" ref="Z7686:Z7749" si="1239">IF($V7686="","",IF($AA7686&gt;N($AA7685),$AA7686,""))</f>
        <v/>
      </c>
      <c r="AA7686">
        <f t="shared" si="1229"/>
        <v>0</v>
      </c>
    </row>
    <row r="7687" spans="1:27" ht="21" customHeight="1" x14ac:dyDescent="0.95">
      <c r="A7687" s="56"/>
      <c r="B7687" s="57"/>
      <c r="C7687" s="57"/>
      <c r="D7687" s="57"/>
      <c r="E7687" s="56"/>
      <c r="F7687" s="57"/>
      <c r="G7687" s="57"/>
      <c r="H7687" s="56"/>
      <c r="I7687" s="56"/>
      <c r="J7687" s="58"/>
      <c r="K7687" s="58"/>
      <c r="L7687" s="13" t="str">
        <f t="shared" si="1230"/>
        <v/>
      </c>
      <c r="M7687" s="13" t="str">
        <f t="shared" si="1231"/>
        <v/>
      </c>
      <c r="Q7687" t="str">
        <f t="shared" si="1232"/>
        <v/>
      </c>
      <c r="R7687" t="str">
        <f t="shared" si="1233"/>
        <v/>
      </c>
      <c r="S7687" t="str">
        <f t="shared" si="1234"/>
        <v/>
      </c>
      <c r="T7687" t="str">
        <f t="shared" si="1235"/>
        <v/>
      </c>
      <c r="U7687" t="str">
        <f t="shared" si="1236"/>
        <v/>
      </c>
      <c r="V7687" t="str">
        <f t="shared" si="1237"/>
        <v/>
      </c>
      <c r="W7687" t="str">
        <f t="shared" si="1238"/>
        <v/>
      </c>
      <c r="X7687">
        <f t="shared" si="1228"/>
        <v>0</v>
      </c>
      <c r="Z7687" t="str">
        <f t="shared" si="1239"/>
        <v/>
      </c>
      <c r="AA7687">
        <f t="shared" si="1229"/>
        <v>0</v>
      </c>
    </row>
    <row r="7688" spans="1:27" ht="21" customHeight="1" x14ac:dyDescent="0.95">
      <c r="A7688" s="56"/>
      <c r="B7688" s="57"/>
      <c r="C7688" s="57"/>
      <c r="D7688" s="57"/>
      <c r="E7688" s="56"/>
      <c r="F7688" s="57"/>
      <c r="G7688" s="57"/>
      <c r="H7688" s="56"/>
      <c r="I7688" s="56"/>
      <c r="J7688" s="58"/>
      <c r="K7688" s="58"/>
      <c r="L7688" s="13" t="str">
        <f t="shared" si="1230"/>
        <v/>
      </c>
      <c r="M7688" s="13" t="str">
        <f t="shared" si="1231"/>
        <v/>
      </c>
      <c r="Q7688" t="str">
        <f t="shared" si="1232"/>
        <v/>
      </c>
      <c r="R7688" t="str">
        <f t="shared" si="1233"/>
        <v/>
      </c>
      <c r="S7688" t="str">
        <f t="shared" si="1234"/>
        <v/>
      </c>
      <c r="T7688" t="str">
        <f t="shared" si="1235"/>
        <v/>
      </c>
      <c r="U7688" t="str">
        <f t="shared" si="1236"/>
        <v/>
      </c>
      <c r="V7688" t="str">
        <f t="shared" si="1237"/>
        <v/>
      </c>
      <c r="W7688" t="str">
        <f t="shared" si="1238"/>
        <v/>
      </c>
      <c r="X7688">
        <f t="shared" si="1228"/>
        <v>0</v>
      </c>
      <c r="Z7688" t="str">
        <f t="shared" si="1239"/>
        <v/>
      </c>
      <c r="AA7688">
        <f t="shared" si="1229"/>
        <v>0</v>
      </c>
    </row>
    <row r="7689" spans="1:27" ht="21" customHeight="1" x14ac:dyDescent="0.95">
      <c r="A7689" s="56"/>
      <c r="B7689" s="57"/>
      <c r="C7689" s="57"/>
      <c r="D7689" s="57"/>
      <c r="E7689" s="56"/>
      <c r="F7689" s="57"/>
      <c r="G7689" s="57"/>
      <c r="H7689" s="56"/>
      <c r="I7689" s="56"/>
      <c r="J7689" s="58"/>
      <c r="K7689" s="58"/>
      <c r="L7689" s="13" t="str">
        <f t="shared" si="1230"/>
        <v/>
      </c>
      <c r="M7689" s="13" t="str">
        <f t="shared" si="1231"/>
        <v/>
      </c>
      <c r="Q7689" t="str">
        <f t="shared" si="1232"/>
        <v/>
      </c>
      <c r="R7689" t="str">
        <f t="shared" si="1233"/>
        <v/>
      </c>
      <c r="S7689" t="str">
        <f t="shared" si="1234"/>
        <v/>
      </c>
      <c r="T7689" t="str">
        <f t="shared" si="1235"/>
        <v/>
      </c>
      <c r="U7689" t="str">
        <f t="shared" si="1236"/>
        <v/>
      </c>
      <c r="V7689" t="str">
        <f t="shared" si="1237"/>
        <v/>
      </c>
      <c r="W7689" t="str">
        <f t="shared" si="1238"/>
        <v/>
      </c>
      <c r="X7689">
        <f t="shared" si="1228"/>
        <v>0</v>
      </c>
      <c r="Z7689" t="str">
        <f t="shared" si="1239"/>
        <v/>
      </c>
      <c r="AA7689">
        <f t="shared" si="1229"/>
        <v>0</v>
      </c>
    </row>
    <row r="7690" spans="1:27" ht="21" customHeight="1" x14ac:dyDescent="0.95">
      <c r="A7690" s="56"/>
      <c r="B7690" s="57"/>
      <c r="C7690" s="57"/>
      <c r="D7690" s="57"/>
      <c r="E7690" s="56"/>
      <c r="F7690" s="57"/>
      <c r="G7690" s="57"/>
      <c r="H7690" s="56"/>
      <c r="I7690" s="56"/>
      <c r="J7690" s="58"/>
      <c r="K7690" s="58"/>
      <c r="L7690" s="13" t="str">
        <f t="shared" si="1230"/>
        <v/>
      </c>
      <c r="M7690" s="13" t="str">
        <f t="shared" si="1231"/>
        <v/>
      </c>
      <c r="Q7690" t="str">
        <f t="shared" si="1232"/>
        <v/>
      </c>
      <c r="R7690" t="str">
        <f t="shared" si="1233"/>
        <v/>
      </c>
      <c r="S7690" t="str">
        <f t="shared" si="1234"/>
        <v/>
      </c>
      <c r="T7690" t="str">
        <f t="shared" si="1235"/>
        <v/>
      </c>
      <c r="U7690" t="str">
        <f t="shared" si="1236"/>
        <v/>
      </c>
      <c r="V7690" t="str">
        <f t="shared" si="1237"/>
        <v/>
      </c>
      <c r="W7690" t="str">
        <f t="shared" si="1238"/>
        <v/>
      </c>
      <c r="X7690">
        <f t="shared" si="1228"/>
        <v>0</v>
      </c>
      <c r="Z7690" t="str">
        <f t="shared" si="1239"/>
        <v/>
      </c>
      <c r="AA7690">
        <f t="shared" si="1229"/>
        <v>0</v>
      </c>
    </row>
    <row r="7691" spans="1:27" ht="21" customHeight="1" x14ac:dyDescent="0.95">
      <c r="A7691" s="56"/>
      <c r="B7691" s="57"/>
      <c r="C7691" s="57"/>
      <c r="D7691" s="57"/>
      <c r="E7691" s="56"/>
      <c r="F7691" s="57"/>
      <c r="G7691" s="57"/>
      <c r="H7691" s="56"/>
      <c r="I7691" s="56"/>
      <c r="J7691" s="58"/>
      <c r="K7691" s="58"/>
      <c r="L7691" s="13" t="str">
        <f t="shared" si="1230"/>
        <v/>
      </c>
      <c r="M7691" s="13" t="str">
        <f t="shared" si="1231"/>
        <v/>
      </c>
      <c r="Q7691" t="str">
        <f t="shared" si="1232"/>
        <v/>
      </c>
      <c r="R7691" t="str">
        <f t="shared" si="1233"/>
        <v/>
      </c>
      <c r="S7691" t="str">
        <f t="shared" si="1234"/>
        <v/>
      </c>
      <c r="T7691" t="str">
        <f t="shared" si="1235"/>
        <v/>
      </c>
      <c r="U7691" t="str">
        <f t="shared" si="1236"/>
        <v/>
      </c>
      <c r="V7691" t="str">
        <f t="shared" si="1237"/>
        <v/>
      </c>
      <c r="W7691" t="str">
        <f t="shared" si="1238"/>
        <v/>
      </c>
      <c r="X7691">
        <f t="shared" si="1228"/>
        <v>0</v>
      </c>
      <c r="Z7691" t="str">
        <f t="shared" si="1239"/>
        <v/>
      </c>
      <c r="AA7691">
        <f t="shared" si="1229"/>
        <v>0</v>
      </c>
    </row>
    <row r="7692" spans="1:27" ht="21" customHeight="1" x14ac:dyDescent="0.95">
      <c r="A7692" s="56"/>
      <c r="B7692" s="57"/>
      <c r="C7692" s="57"/>
      <c r="D7692" s="57"/>
      <c r="E7692" s="56"/>
      <c r="F7692" s="57"/>
      <c r="G7692" s="57"/>
      <c r="H7692" s="56"/>
      <c r="I7692" s="56"/>
      <c r="J7692" s="58"/>
      <c r="K7692" s="58"/>
      <c r="L7692" s="13" t="str">
        <f t="shared" si="1230"/>
        <v/>
      </c>
      <c r="M7692" s="13" t="str">
        <f t="shared" si="1231"/>
        <v/>
      </c>
      <c r="Q7692" t="str">
        <f t="shared" si="1232"/>
        <v/>
      </c>
      <c r="R7692" t="str">
        <f t="shared" si="1233"/>
        <v/>
      </c>
      <c r="S7692" t="str">
        <f t="shared" si="1234"/>
        <v/>
      </c>
      <c r="T7692" t="str">
        <f t="shared" si="1235"/>
        <v/>
      </c>
      <c r="U7692" t="str">
        <f t="shared" si="1236"/>
        <v/>
      </c>
      <c r="V7692" t="str">
        <f t="shared" si="1237"/>
        <v/>
      </c>
      <c r="W7692" t="str">
        <f t="shared" si="1238"/>
        <v/>
      </c>
      <c r="X7692">
        <f t="shared" si="1228"/>
        <v>0</v>
      </c>
      <c r="Z7692" t="str">
        <f t="shared" si="1239"/>
        <v/>
      </c>
      <c r="AA7692">
        <f t="shared" si="1229"/>
        <v>0</v>
      </c>
    </row>
    <row r="7693" spans="1:27" ht="21" customHeight="1" x14ac:dyDescent="0.95">
      <c r="A7693" s="56"/>
      <c r="B7693" s="57"/>
      <c r="C7693" s="57"/>
      <c r="D7693" s="57"/>
      <c r="E7693" s="56"/>
      <c r="F7693" s="57"/>
      <c r="G7693" s="57"/>
      <c r="H7693" s="56"/>
      <c r="I7693" s="56"/>
      <c r="J7693" s="58"/>
      <c r="K7693" s="58"/>
      <c r="L7693" s="13" t="str">
        <f t="shared" si="1230"/>
        <v/>
      </c>
      <c r="M7693" s="13" t="str">
        <f t="shared" si="1231"/>
        <v/>
      </c>
      <c r="Q7693" t="str">
        <f t="shared" si="1232"/>
        <v/>
      </c>
      <c r="R7693" t="str">
        <f t="shared" si="1233"/>
        <v/>
      </c>
      <c r="S7693" t="str">
        <f t="shared" si="1234"/>
        <v/>
      </c>
      <c r="T7693" t="str">
        <f t="shared" si="1235"/>
        <v/>
      </c>
      <c r="U7693" t="str">
        <f t="shared" si="1236"/>
        <v/>
      </c>
      <c r="V7693" t="str">
        <f t="shared" si="1237"/>
        <v/>
      </c>
      <c r="W7693" t="str">
        <f t="shared" si="1238"/>
        <v/>
      </c>
      <c r="X7693">
        <f t="shared" si="1228"/>
        <v>0</v>
      </c>
      <c r="Z7693" t="str">
        <f t="shared" si="1239"/>
        <v/>
      </c>
      <c r="AA7693">
        <f t="shared" si="1229"/>
        <v>0</v>
      </c>
    </row>
    <row r="7694" spans="1:27" ht="21" customHeight="1" x14ac:dyDescent="0.95">
      <c r="A7694" s="56"/>
      <c r="B7694" s="57"/>
      <c r="C7694" s="57"/>
      <c r="D7694" s="57"/>
      <c r="E7694" s="56"/>
      <c r="F7694" s="57"/>
      <c r="G7694" s="57"/>
      <c r="H7694" s="56"/>
      <c r="I7694" s="56"/>
      <c r="J7694" s="58"/>
      <c r="K7694" s="58"/>
      <c r="L7694" s="13" t="str">
        <f t="shared" si="1230"/>
        <v/>
      </c>
      <c r="M7694" s="13" t="str">
        <f t="shared" si="1231"/>
        <v/>
      </c>
      <c r="Q7694" t="str">
        <f t="shared" si="1232"/>
        <v/>
      </c>
      <c r="R7694" t="str">
        <f t="shared" si="1233"/>
        <v/>
      </c>
      <c r="S7694" t="str">
        <f t="shared" si="1234"/>
        <v/>
      </c>
      <c r="T7694" t="str">
        <f t="shared" si="1235"/>
        <v/>
      </c>
      <c r="U7694" t="str">
        <f t="shared" si="1236"/>
        <v/>
      </c>
      <c r="V7694" t="str">
        <f t="shared" si="1237"/>
        <v/>
      </c>
      <c r="W7694" t="str">
        <f t="shared" si="1238"/>
        <v/>
      </c>
      <c r="X7694">
        <f t="shared" si="1228"/>
        <v>0</v>
      </c>
      <c r="Z7694" t="str">
        <f t="shared" si="1239"/>
        <v/>
      </c>
      <c r="AA7694">
        <f t="shared" si="1229"/>
        <v>0</v>
      </c>
    </row>
    <row r="7695" spans="1:27" ht="21" customHeight="1" x14ac:dyDescent="0.95">
      <c r="A7695" s="56"/>
      <c r="B7695" s="57"/>
      <c r="C7695" s="57"/>
      <c r="D7695" s="57"/>
      <c r="E7695" s="56"/>
      <c r="F7695" s="57"/>
      <c r="G7695" s="57"/>
      <c r="H7695" s="56"/>
      <c r="I7695" s="56"/>
      <c r="J7695" s="58"/>
      <c r="K7695" s="58"/>
      <c r="L7695" s="13" t="str">
        <f t="shared" si="1230"/>
        <v/>
      </c>
      <c r="M7695" s="13" t="str">
        <f t="shared" si="1231"/>
        <v/>
      </c>
      <c r="Q7695" t="str">
        <f t="shared" si="1232"/>
        <v/>
      </c>
      <c r="R7695" t="str">
        <f t="shared" si="1233"/>
        <v/>
      </c>
      <c r="S7695" t="str">
        <f t="shared" si="1234"/>
        <v/>
      </c>
      <c r="T7695" t="str">
        <f t="shared" si="1235"/>
        <v/>
      </c>
      <c r="U7695" t="str">
        <f t="shared" si="1236"/>
        <v/>
      </c>
      <c r="V7695" t="str">
        <f t="shared" si="1237"/>
        <v/>
      </c>
      <c r="W7695" t="str">
        <f t="shared" si="1238"/>
        <v/>
      </c>
      <c r="X7695">
        <f t="shared" si="1228"/>
        <v>0</v>
      </c>
      <c r="Z7695" t="str">
        <f t="shared" si="1239"/>
        <v/>
      </c>
      <c r="AA7695">
        <f t="shared" si="1229"/>
        <v>0</v>
      </c>
    </row>
    <row r="7696" spans="1:27" ht="21" customHeight="1" x14ac:dyDescent="0.95">
      <c r="A7696" s="56"/>
      <c r="B7696" s="57"/>
      <c r="C7696" s="57"/>
      <c r="D7696" s="57"/>
      <c r="E7696" s="56"/>
      <c r="F7696" s="57"/>
      <c r="G7696" s="57"/>
      <c r="H7696" s="56"/>
      <c r="I7696" s="56"/>
      <c r="J7696" s="58"/>
      <c r="K7696" s="58"/>
      <c r="L7696" s="13" t="str">
        <f t="shared" si="1230"/>
        <v/>
      </c>
      <c r="M7696" s="13" t="str">
        <f t="shared" si="1231"/>
        <v/>
      </c>
      <c r="Q7696" t="str">
        <f t="shared" si="1232"/>
        <v/>
      </c>
      <c r="R7696" t="str">
        <f t="shared" si="1233"/>
        <v/>
      </c>
      <c r="S7696" t="str">
        <f t="shared" si="1234"/>
        <v/>
      </c>
      <c r="T7696" t="str">
        <f t="shared" si="1235"/>
        <v/>
      </c>
      <c r="U7696" t="str">
        <f t="shared" si="1236"/>
        <v/>
      </c>
      <c r="V7696" t="str">
        <f t="shared" si="1237"/>
        <v/>
      </c>
      <c r="W7696" t="str">
        <f t="shared" si="1238"/>
        <v/>
      </c>
      <c r="X7696">
        <f t="shared" si="1228"/>
        <v>0</v>
      </c>
      <c r="Z7696" t="str">
        <f t="shared" si="1239"/>
        <v/>
      </c>
      <c r="AA7696">
        <f t="shared" si="1229"/>
        <v>0</v>
      </c>
    </row>
    <row r="7697" spans="1:27" ht="21" customHeight="1" x14ac:dyDescent="0.95">
      <c r="A7697" s="56"/>
      <c r="B7697" s="57"/>
      <c r="C7697" s="57"/>
      <c r="D7697" s="57"/>
      <c r="E7697" s="56"/>
      <c r="F7697" s="57"/>
      <c r="G7697" s="57"/>
      <c r="H7697" s="56"/>
      <c r="I7697" s="56"/>
      <c r="J7697" s="58"/>
      <c r="K7697" s="58"/>
      <c r="L7697" s="13" t="str">
        <f t="shared" si="1230"/>
        <v/>
      </c>
      <c r="M7697" s="13" t="str">
        <f t="shared" si="1231"/>
        <v/>
      </c>
      <c r="Q7697" t="str">
        <f t="shared" si="1232"/>
        <v/>
      </c>
      <c r="R7697" t="str">
        <f t="shared" si="1233"/>
        <v/>
      </c>
      <c r="S7697" t="str">
        <f t="shared" si="1234"/>
        <v/>
      </c>
      <c r="T7697" t="str">
        <f t="shared" si="1235"/>
        <v/>
      </c>
      <c r="U7697" t="str">
        <f t="shared" si="1236"/>
        <v/>
      </c>
      <c r="V7697" t="str">
        <f t="shared" si="1237"/>
        <v/>
      </c>
      <c r="W7697" t="str">
        <f t="shared" si="1238"/>
        <v/>
      </c>
      <c r="X7697">
        <f t="shared" si="1228"/>
        <v>0</v>
      </c>
      <c r="Z7697" t="str">
        <f t="shared" si="1239"/>
        <v/>
      </c>
      <c r="AA7697">
        <f t="shared" si="1229"/>
        <v>0</v>
      </c>
    </row>
    <row r="7698" spans="1:27" ht="21" customHeight="1" x14ac:dyDescent="0.95">
      <c r="A7698" s="56"/>
      <c r="B7698" s="57"/>
      <c r="C7698" s="57"/>
      <c r="D7698" s="57"/>
      <c r="E7698" s="56"/>
      <c r="F7698" s="57"/>
      <c r="G7698" s="57"/>
      <c r="H7698" s="56"/>
      <c r="I7698" s="56"/>
      <c r="J7698" s="58"/>
      <c r="K7698" s="58"/>
      <c r="L7698" s="13" t="str">
        <f t="shared" si="1230"/>
        <v/>
      </c>
      <c r="M7698" s="13" t="str">
        <f t="shared" si="1231"/>
        <v/>
      </c>
      <c r="Q7698" t="str">
        <f t="shared" si="1232"/>
        <v/>
      </c>
      <c r="R7698" t="str">
        <f t="shared" si="1233"/>
        <v/>
      </c>
      <c r="S7698" t="str">
        <f t="shared" si="1234"/>
        <v/>
      </c>
      <c r="T7698" t="str">
        <f t="shared" si="1235"/>
        <v/>
      </c>
      <c r="U7698" t="str">
        <f t="shared" si="1236"/>
        <v/>
      </c>
      <c r="V7698" t="str">
        <f t="shared" si="1237"/>
        <v/>
      </c>
      <c r="W7698" t="str">
        <f t="shared" si="1238"/>
        <v/>
      </c>
      <c r="X7698">
        <f t="shared" si="1228"/>
        <v>0</v>
      </c>
      <c r="Z7698" t="str">
        <f t="shared" si="1239"/>
        <v/>
      </c>
      <c r="AA7698">
        <f t="shared" si="1229"/>
        <v>0</v>
      </c>
    </row>
    <row r="7699" spans="1:27" ht="21" customHeight="1" x14ac:dyDescent="0.95">
      <c r="A7699" s="56"/>
      <c r="B7699" s="57"/>
      <c r="C7699" s="57"/>
      <c r="D7699" s="57"/>
      <c r="E7699" s="56"/>
      <c r="F7699" s="57"/>
      <c r="G7699" s="57"/>
      <c r="H7699" s="56"/>
      <c r="I7699" s="56"/>
      <c r="J7699" s="58"/>
      <c r="K7699" s="58"/>
      <c r="L7699" s="13" t="str">
        <f t="shared" si="1230"/>
        <v/>
      </c>
      <c r="M7699" s="13" t="str">
        <f t="shared" si="1231"/>
        <v/>
      </c>
      <c r="Q7699" t="str">
        <f t="shared" si="1232"/>
        <v/>
      </c>
      <c r="R7699" t="str">
        <f t="shared" si="1233"/>
        <v/>
      </c>
      <c r="S7699" t="str">
        <f t="shared" si="1234"/>
        <v/>
      </c>
      <c r="T7699" t="str">
        <f t="shared" si="1235"/>
        <v/>
      </c>
      <c r="U7699" t="str">
        <f t="shared" si="1236"/>
        <v/>
      </c>
      <c r="V7699" t="str">
        <f t="shared" si="1237"/>
        <v/>
      </c>
      <c r="W7699" t="str">
        <f t="shared" si="1238"/>
        <v/>
      </c>
      <c r="X7699">
        <f t="shared" si="1228"/>
        <v>0</v>
      </c>
      <c r="Z7699" t="str">
        <f t="shared" si="1239"/>
        <v/>
      </c>
      <c r="AA7699">
        <f t="shared" si="1229"/>
        <v>0</v>
      </c>
    </row>
    <row r="7700" spans="1:27" ht="21" customHeight="1" x14ac:dyDescent="0.95">
      <c r="A7700" s="56"/>
      <c r="B7700" s="57"/>
      <c r="C7700" s="57"/>
      <c r="D7700" s="57"/>
      <c r="E7700" s="56"/>
      <c r="F7700" s="57"/>
      <c r="G7700" s="57"/>
      <c r="H7700" s="56"/>
      <c r="I7700" s="56"/>
      <c r="J7700" s="58"/>
      <c r="K7700" s="58"/>
      <c r="L7700" s="13" t="str">
        <f t="shared" si="1230"/>
        <v/>
      </c>
      <c r="M7700" s="13" t="str">
        <f t="shared" si="1231"/>
        <v/>
      </c>
      <c r="Q7700" t="str">
        <f t="shared" si="1232"/>
        <v/>
      </c>
      <c r="R7700" t="str">
        <f t="shared" si="1233"/>
        <v/>
      </c>
      <c r="S7700" t="str">
        <f t="shared" si="1234"/>
        <v/>
      </c>
      <c r="T7700" t="str">
        <f t="shared" si="1235"/>
        <v/>
      </c>
      <c r="U7700" t="str">
        <f t="shared" si="1236"/>
        <v/>
      </c>
      <c r="V7700" t="str">
        <f t="shared" si="1237"/>
        <v/>
      </c>
      <c r="W7700" t="str">
        <f t="shared" si="1238"/>
        <v/>
      </c>
      <c r="X7700">
        <f t="shared" si="1228"/>
        <v>0</v>
      </c>
      <c r="Z7700" t="str">
        <f t="shared" si="1239"/>
        <v/>
      </c>
      <c r="AA7700">
        <f t="shared" si="1229"/>
        <v>0</v>
      </c>
    </row>
    <row r="7701" spans="1:27" ht="21" customHeight="1" x14ac:dyDescent="0.95">
      <c r="A7701" s="56"/>
      <c r="B7701" s="57"/>
      <c r="C7701" s="57"/>
      <c r="D7701" s="57"/>
      <c r="E7701" s="56"/>
      <c r="F7701" s="57"/>
      <c r="G7701" s="57"/>
      <c r="H7701" s="56"/>
      <c r="I7701" s="56"/>
      <c r="J7701" s="58"/>
      <c r="K7701" s="58"/>
      <c r="L7701" s="13" t="str">
        <f t="shared" si="1230"/>
        <v/>
      </c>
      <c r="M7701" s="13" t="str">
        <f t="shared" si="1231"/>
        <v/>
      </c>
      <c r="Q7701" t="str">
        <f t="shared" si="1232"/>
        <v/>
      </c>
      <c r="R7701" t="str">
        <f t="shared" si="1233"/>
        <v/>
      </c>
      <c r="S7701" t="str">
        <f t="shared" si="1234"/>
        <v/>
      </c>
      <c r="T7701" t="str">
        <f t="shared" si="1235"/>
        <v/>
      </c>
      <c r="U7701" t="str">
        <f t="shared" si="1236"/>
        <v/>
      </c>
      <c r="V7701" t="str">
        <f t="shared" si="1237"/>
        <v/>
      </c>
      <c r="W7701" t="str">
        <f t="shared" si="1238"/>
        <v/>
      </c>
      <c r="X7701">
        <f t="shared" si="1228"/>
        <v>0</v>
      </c>
      <c r="Z7701" t="str">
        <f t="shared" si="1239"/>
        <v/>
      </c>
      <c r="AA7701">
        <f t="shared" si="1229"/>
        <v>0</v>
      </c>
    </row>
    <row r="7702" spans="1:27" ht="21" customHeight="1" x14ac:dyDescent="0.95">
      <c r="A7702" s="56"/>
      <c r="B7702" s="57"/>
      <c r="C7702" s="57"/>
      <c r="D7702" s="57"/>
      <c r="E7702" s="56"/>
      <c r="F7702" s="57"/>
      <c r="G7702" s="57"/>
      <c r="H7702" s="56"/>
      <c r="I7702" s="56"/>
      <c r="J7702" s="58"/>
      <c r="K7702" s="58"/>
      <c r="L7702" s="13" t="str">
        <f t="shared" si="1230"/>
        <v/>
      </c>
      <c r="M7702" s="13" t="str">
        <f t="shared" si="1231"/>
        <v/>
      </c>
      <c r="Q7702" t="str">
        <f t="shared" si="1232"/>
        <v/>
      </c>
      <c r="R7702" t="str">
        <f t="shared" si="1233"/>
        <v/>
      </c>
      <c r="S7702" t="str">
        <f t="shared" si="1234"/>
        <v/>
      </c>
      <c r="T7702" t="str">
        <f t="shared" si="1235"/>
        <v/>
      </c>
      <c r="U7702" t="str">
        <f t="shared" si="1236"/>
        <v/>
      </c>
      <c r="V7702" t="str">
        <f t="shared" si="1237"/>
        <v/>
      </c>
      <c r="W7702" t="str">
        <f t="shared" si="1238"/>
        <v/>
      </c>
      <c r="X7702">
        <f t="shared" si="1228"/>
        <v>0</v>
      </c>
      <c r="Z7702" t="str">
        <f t="shared" si="1239"/>
        <v/>
      </c>
      <c r="AA7702">
        <f t="shared" si="1229"/>
        <v>0</v>
      </c>
    </row>
    <row r="7703" spans="1:27" ht="21" customHeight="1" x14ac:dyDescent="0.95">
      <c r="A7703" s="56"/>
      <c r="B7703" s="57"/>
      <c r="C7703" s="57"/>
      <c r="D7703" s="57"/>
      <c r="E7703" s="56"/>
      <c r="F7703" s="57"/>
      <c r="G7703" s="57"/>
      <c r="H7703" s="56"/>
      <c r="I7703" s="56"/>
      <c r="J7703" s="58"/>
      <c r="K7703" s="58"/>
      <c r="L7703" s="13" t="str">
        <f t="shared" si="1230"/>
        <v/>
      </c>
      <c r="M7703" s="13" t="str">
        <f t="shared" si="1231"/>
        <v/>
      </c>
      <c r="Q7703" t="str">
        <f t="shared" si="1232"/>
        <v/>
      </c>
      <c r="R7703" t="str">
        <f t="shared" si="1233"/>
        <v/>
      </c>
      <c r="S7703" t="str">
        <f t="shared" si="1234"/>
        <v/>
      </c>
      <c r="T7703" t="str">
        <f t="shared" si="1235"/>
        <v/>
      </c>
      <c r="U7703" t="str">
        <f t="shared" si="1236"/>
        <v/>
      </c>
      <c r="V7703" t="str">
        <f t="shared" si="1237"/>
        <v/>
      </c>
      <c r="W7703" t="str">
        <f t="shared" si="1238"/>
        <v/>
      </c>
      <c r="X7703">
        <f t="shared" si="1228"/>
        <v>0</v>
      </c>
      <c r="Z7703" t="str">
        <f t="shared" si="1239"/>
        <v/>
      </c>
      <c r="AA7703">
        <f t="shared" si="1229"/>
        <v>0</v>
      </c>
    </row>
    <row r="7704" spans="1:27" ht="21" customHeight="1" x14ac:dyDescent="0.95">
      <c r="A7704" s="56"/>
      <c r="B7704" s="57"/>
      <c r="C7704" s="57"/>
      <c r="D7704" s="57"/>
      <c r="E7704" s="56"/>
      <c r="F7704" s="57"/>
      <c r="G7704" s="57"/>
      <c r="H7704" s="56"/>
      <c r="I7704" s="56"/>
      <c r="J7704" s="58"/>
      <c r="K7704" s="58"/>
      <c r="L7704" s="13" t="str">
        <f t="shared" si="1230"/>
        <v/>
      </c>
      <c r="M7704" s="13" t="str">
        <f t="shared" si="1231"/>
        <v/>
      </c>
      <c r="Q7704" t="str">
        <f t="shared" si="1232"/>
        <v/>
      </c>
      <c r="R7704" t="str">
        <f t="shared" si="1233"/>
        <v/>
      </c>
      <c r="S7704" t="str">
        <f t="shared" si="1234"/>
        <v/>
      </c>
      <c r="T7704" t="str">
        <f t="shared" si="1235"/>
        <v/>
      </c>
      <c r="U7704" t="str">
        <f t="shared" si="1236"/>
        <v/>
      </c>
      <c r="V7704" t="str">
        <f t="shared" si="1237"/>
        <v/>
      </c>
      <c r="W7704" t="str">
        <f t="shared" si="1238"/>
        <v/>
      </c>
      <c r="X7704">
        <f t="shared" si="1228"/>
        <v>0</v>
      </c>
      <c r="Z7704" t="str">
        <f t="shared" si="1239"/>
        <v/>
      </c>
      <c r="AA7704">
        <f t="shared" si="1229"/>
        <v>0</v>
      </c>
    </row>
    <row r="7705" spans="1:27" ht="21" customHeight="1" x14ac:dyDescent="0.95">
      <c r="A7705" s="56"/>
      <c r="B7705" s="57"/>
      <c r="C7705" s="57"/>
      <c r="D7705" s="57"/>
      <c r="E7705" s="56"/>
      <c r="F7705" s="57"/>
      <c r="G7705" s="57"/>
      <c r="H7705" s="56"/>
      <c r="I7705" s="56"/>
      <c r="J7705" s="58"/>
      <c r="K7705" s="58"/>
      <c r="L7705" s="13" t="str">
        <f t="shared" si="1230"/>
        <v/>
      </c>
      <c r="M7705" s="13" t="str">
        <f t="shared" si="1231"/>
        <v/>
      </c>
      <c r="Q7705" t="str">
        <f t="shared" si="1232"/>
        <v/>
      </c>
      <c r="R7705" t="str">
        <f t="shared" si="1233"/>
        <v/>
      </c>
      <c r="S7705" t="str">
        <f t="shared" si="1234"/>
        <v/>
      </c>
      <c r="T7705" t="str">
        <f t="shared" si="1235"/>
        <v/>
      </c>
      <c r="U7705" t="str">
        <f t="shared" si="1236"/>
        <v/>
      </c>
      <c r="V7705" t="str">
        <f t="shared" si="1237"/>
        <v/>
      </c>
      <c r="W7705" t="str">
        <f t="shared" si="1238"/>
        <v/>
      </c>
      <c r="X7705">
        <f t="shared" si="1228"/>
        <v>0</v>
      </c>
      <c r="Z7705" t="str">
        <f t="shared" si="1239"/>
        <v/>
      </c>
      <c r="AA7705">
        <f t="shared" si="1229"/>
        <v>0</v>
      </c>
    </row>
    <row r="7706" spans="1:27" ht="21" customHeight="1" x14ac:dyDescent="0.95">
      <c r="A7706" s="56"/>
      <c r="B7706" s="57"/>
      <c r="C7706" s="57"/>
      <c r="D7706" s="57"/>
      <c r="E7706" s="56"/>
      <c r="F7706" s="57"/>
      <c r="G7706" s="57"/>
      <c r="H7706" s="56"/>
      <c r="I7706" s="56"/>
      <c r="J7706" s="58"/>
      <c r="K7706" s="58"/>
      <c r="L7706" s="13" t="str">
        <f t="shared" si="1230"/>
        <v/>
      </c>
      <c r="M7706" s="13" t="str">
        <f t="shared" si="1231"/>
        <v/>
      </c>
      <c r="Q7706" t="str">
        <f t="shared" si="1232"/>
        <v/>
      </c>
      <c r="R7706" t="str">
        <f t="shared" si="1233"/>
        <v/>
      </c>
      <c r="S7706" t="str">
        <f t="shared" si="1234"/>
        <v/>
      </c>
      <c r="T7706" t="str">
        <f t="shared" si="1235"/>
        <v/>
      </c>
      <c r="U7706" t="str">
        <f t="shared" si="1236"/>
        <v/>
      </c>
      <c r="V7706" t="str">
        <f t="shared" si="1237"/>
        <v/>
      </c>
      <c r="W7706" t="str">
        <f t="shared" si="1238"/>
        <v/>
      </c>
      <c r="X7706">
        <f t="shared" si="1228"/>
        <v>0</v>
      </c>
      <c r="Z7706" t="str">
        <f t="shared" si="1239"/>
        <v/>
      </c>
      <c r="AA7706">
        <f t="shared" si="1229"/>
        <v>0</v>
      </c>
    </row>
    <row r="7707" spans="1:27" ht="21" customHeight="1" x14ac:dyDescent="0.95">
      <c r="A7707" s="56"/>
      <c r="B7707" s="57"/>
      <c r="C7707" s="57"/>
      <c r="D7707" s="57"/>
      <c r="E7707" s="56"/>
      <c r="F7707" s="57"/>
      <c r="G7707" s="57"/>
      <c r="H7707" s="56"/>
      <c r="I7707" s="56"/>
      <c r="J7707" s="58"/>
      <c r="K7707" s="58"/>
      <c r="L7707" s="13" t="str">
        <f t="shared" si="1230"/>
        <v/>
      </c>
      <c r="M7707" s="13" t="str">
        <f t="shared" si="1231"/>
        <v/>
      </c>
      <c r="Q7707" t="str">
        <f t="shared" si="1232"/>
        <v/>
      </c>
      <c r="R7707" t="str">
        <f t="shared" si="1233"/>
        <v/>
      </c>
      <c r="S7707" t="str">
        <f t="shared" si="1234"/>
        <v/>
      </c>
      <c r="T7707" t="str">
        <f t="shared" si="1235"/>
        <v/>
      </c>
      <c r="U7707" t="str">
        <f t="shared" si="1236"/>
        <v/>
      </c>
      <c r="V7707" t="str">
        <f t="shared" si="1237"/>
        <v/>
      </c>
      <c r="W7707" t="str">
        <f t="shared" si="1238"/>
        <v/>
      </c>
      <c r="X7707">
        <f t="shared" si="1228"/>
        <v>0</v>
      </c>
      <c r="Z7707" t="str">
        <f t="shared" si="1239"/>
        <v/>
      </c>
      <c r="AA7707">
        <f t="shared" si="1229"/>
        <v>0</v>
      </c>
    </row>
    <row r="7708" spans="1:27" ht="21" customHeight="1" x14ac:dyDescent="0.95">
      <c r="A7708" s="56"/>
      <c r="B7708" s="57"/>
      <c r="C7708" s="57"/>
      <c r="D7708" s="57"/>
      <c r="E7708" s="56"/>
      <c r="F7708" s="57"/>
      <c r="G7708" s="57"/>
      <c r="H7708" s="56"/>
      <c r="I7708" s="56"/>
      <c r="J7708" s="58"/>
      <c r="K7708" s="58"/>
      <c r="L7708" s="13" t="str">
        <f t="shared" si="1230"/>
        <v/>
      </c>
      <c r="M7708" s="13" t="str">
        <f t="shared" si="1231"/>
        <v/>
      </c>
      <c r="Q7708" t="str">
        <f t="shared" si="1232"/>
        <v/>
      </c>
      <c r="R7708" t="str">
        <f t="shared" si="1233"/>
        <v/>
      </c>
      <c r="S7708" t="str">
        <f t="shared" si="1234"/>
        <v/>
      </c>
      <c r="T7708" t="str">
        <f t="shared" si="1235"/>
        <v/>
      </c>
      <c r="U7708" t="str">
        <f t="shared" si="1236"/>
        <v/>
      </c>
      <c r="V7708" t="str">
        <f t="shared" si="1237"/>
        <v/>
      </c>
      <c r="W7708" t="str">
        <f t="shared" si="1238"/>
        <v/>
      </c>
      <c r="X7708">
        <f t="shared" si="1228"/>
        <v>0</v>
      </c>
      <c r="Z7708" t="str">
        <f t="shared" si="1239"/>
        <v/>
      </c>
      <c r="AA7708">
        <f t="shared" si="1229"/>
        <v>0</v>
      </c>
    </row>
    <row r="7709" spans="1:27" ht="21" customHeight="1" x14ac:dyDescent="0.95">
      <c r="A7709" s="56"/>
      <c r="B7709" s="57"/>
      <c r="C7709" s="57"/>
      <c r="D7709" s="57"/>
      <c r="E7709" s="56"/>
      <c r="F7709" s="57"/>
      <c r="G7709" s="57"/>
      <c r="H7709" s="56"/>
      <c r="I7709" s="56"/>
      <c r="J7709" s="58"/>
      <c r="K7709" s="58"/>
      <c r="L7709" s="13" t="str">
        <f t="shared" si="1230"/>
        <v/>
      </c>
      <c r="M7709" s="13" t="str">
        <f t="shared" si="1231"/>
        <v/>
      </c>
      <c r="Q7709" t="str">
        <f t="shared" si="1232"/>
        <v/>
      </c>
      <c r="R7709" t="str">
        <f t="shared" si="1233"/>
        <v/>
      </c>
      <c r="S7709" t="str">
        <f t="shared" si="1234"/>
        <v/>
      </c>
      <c r="T7709" t="str">
        <f t="shared" si="1235"/>
        <v/>
      </c>
      <c r="U7709" t="str">
        <f t="shared" si="1236"/>
        <v/>
      </c>
      <c r="V7709" t="str">
        <f t="shared" si="1237"/>
        <v/>
      </c>
      <c r="W7709" t="str">
        <f t="shared" si="1238"/>
        <v/>
      </c>
      <c r="X7709">
        <f t="shared" si="1228"/>
        <v>0</v>
      </c>
      <c r="Z7709" t="str">
        <f t="shared" si="1239"/>
        <v/>
      </c>
      <c r="AA7709">
        <f t="shared" si="1229"/>
        <v>0</v>
      </c>
    </row>
    <row r="7710" spans="1:27" ht="21" customHeight="1" x14ac:dyDescent="0.95">
      <c r="A7710" s="56"/>
      <c r="B7710" s="57"/>
      <c r="C7710" s="57"/>
      <c r="D7710" s="57"/>
      <c r="E7710" s="56"/>
      <c r="F7710" s="57"/>
      <c r="G7710" s="57"/>
      <c r="H7710" s="56"/>
      <c r="I7710" s="56"/>
      <c r="J7710" s="58"/>
      <c r="K7710" s="58"/>
      <c r="L7710" s="13" t="str">
        <f t="shared" si="1230"/>
        <v/>
      </c>
      <c r="M7710" s="13" t="str">
        <f t="shared" si="1231"/>
        <v/>
      </c>
      <c r="Q7710" t="str">
        <f t="shared" si="1232"/>
        <v/>
      </c>
      <c r="R7710" t="str">
        <f t="shared" si="1233"/>
        <v/>
      </c>
      <c r="S7710" t="str">
        <f t="shared" si="1234"/>
        <v/>
      </c>
      <c r="T7710" t="str">
        <f t="shared" si="1235"/>
        <v/>
      </c>
      <c r="U7710" t="str">
        <f t="shared" si="1236"/>
        <v/>
      </c>
      <c r="V7710" t="str">
        <f t="shared" si="1237"/>
        <v/>
      </c>
      <c r="W7710" t="str">
        <f t="shared" si="1238"/>
        <v/>
      </c>
      <c r="X7710">
        <f t="shared" si="1228"/>
        <v>0</v>
      </c>
      <c r="Z7710" t="str">
        <f t="shared" si="1239"/>
        <v/>
      </c>
      <c r="AA7710">
        <f t="shared" si="1229"/>
        <v>0</v>
      </c>
    </row>
    <row r="7711" spans="1:27" ht="21" customHeight="1" x14ac:dyDescent="0.95">
      <c r="A7711" s="56"/>
      <c r="B7711" s="57"/>
      <c r="C7711" s="57"/>
      <c r="D7711" s="57"/>
      <c r="E7711" s="56"/>
      <c r="F7711" s="57"/>
      <c r="G7711" s="57"/>
      <c r="H7711" s="56"/>
      <c r="I7711" s="56"/>
      <c r="J7711" s="58"/>
      <c r="K7711" s="58"/>
      <c r="L7711" s="13" t="str">
        <f t="shared" si="1230"/>
        <v/>
      </c>
      <c r="M7711" s="13" t="str">
        <f t="shared" si="1231"/>
        <v/>
      </c>
      <c r="Q7711" t="str">
        <f t="shared" si="1232"/>
        <v/>
      </c>
      <c r="R7711" t="str">
        <f t="shared" si="1233"/>
        <v/>
      </c>
      <c r="S7711" t="str">
        <f t="shared" si="1234"/>
        <v/>
      </c>
      <c r="T7711" t="str">
        <f t="shared" si="1235"/>
        <v/>
      </c>
      <c r="U7711" t="str">
        <f t="shared" si="1236"/>
        <v/>
      </c>
      <c r="V7711" t="str">
        <f t="shared" si="1237"/>
        <v/>
      </c>
      <c r="W7711" t="str">
        <f t="shared" si="1238"/>
        <v/>
      </c>
      <c r="X7711">
        <f t="shared" si="1228"/>
        <v>0</v>
      </c>
      <c r="Z7711" t="str">
        <f t="shared" si="1239"/>
        <v/>
      </c>
      <c r="AA7711">
        <f t="shared" si="1229"/>
        <v>0</v>
      </c>
    </row>
    <row r="7712" spans="1:27" ht="21" customHeight="1" x14ac:dyDescent="0.95">
      <c r="A7712" s="56"/>
      <c r="B7712" s="57"/>
      <c r="C7712" s="57"/>
      <c r="D7712" s="57"/>
      <c r="E7712" s="56"/>
      <c r="F7712" s="57"/>
      <c r="G7712" s="57"/>
      <c r="H7712" s="56"/>
      <c r="I7712" s="56"/>
      <c r="J7712" s="58"/>
      <c r="K7712" s="58"/>
      <c r="L7712" s="13" t="str">
        <f t="shared" si="1230"/>
        <v/>
      </c>
      <c r="M7712" s="13" t="str">
        <f t="shared" si="1231"/>
        <v/>
      </c>
      <c r="Q7712" t="str">
        <f t="shared" si="1232"/>
        <v/>
      </c>
      <c r="R7712" t="str">
        <f t="shared" si="1233"/>
        <v/>
      </c>
      <c r="S7712" t="str">
        <f t="shared" si="1234"/>
        <v/>
      </c>
      <c r="T7712" t="str">
        <f t="shared" si="1235"/>
        <v/>
      </c>
      <c r="U7712" t="str">
        <f t="shared" si="1236"/>
        <v/>
      </c>
      <c r="V7712" t="str">
        <f t="shared" si="1237"/>
        <v/>
      </c>
      <c r="W7712" t="str">
        <f t="shared" si="1238"/>
        <v/>
      </c>
      <c r="X7712">
        <f t="shared" si="1228"/>
        <v>0</v>
      </c>
      <c r="Z7712" t="str">
        <f t="shared" si="1239"/>
        <v/>
      </c>
      <c r="AA7712">
        <f t="shared" si="1229"/>
        <v>0</v>
      </c>
    </row>
    <row r="7713" spans="1:27" ht="21" customHeight="1" x14ac:dyDescent="0.95">
      <c r="A7713" s="56"/>
      <c r="B7713" s="57"/>
      <c r="C7713" s="57"/>
      <c r="D7713" s="57"/>
      <c r="E7713" s="56"/>
      <c r="F7713" s="57"/>
      <c r="G7713" s="57"/>
      <c r="H7713" s="56"/>
      <c r="I7713" s="56"/>
      <c r="J7713" s="58"/>
      <c r="K7713" s="58"/>
      <c r="L7713" s="13" t="str">
        <f t="shared" si="1230"/>
        <v/>
      </c>
      <c r="M7713" s="13" t="str">
        <f t="shared" si="1231"/>
        <v/>
      </c>
      <c r="Q7713" t="str">
        <f t="shared" si="1232"/>
        <v/>
      </c>
      <c r="R7713" t="str">
        <f t="shared" si="1233"/>
        <v/>
      </c>
      <c r="S7713" t="str">
        <f t="shared" si="1234"/>
        <v/>
      </c>
      <c r="T7713" t="str">
        <f t="shared" si="1235"/>
        <v/>
      </c>
      <c r="U7713" t="str">
        <f t="shared" si="1236"/>
        <v/>
      </c>
      <c r="V7713" t="str">
        <f t="shared" si="1237"/>
        <v/>
      </c>
      <c r="W7713" t="str">
        <f t="shared" si="1238"/>
        <v/>
      </c>
      <c r="X7713">
        <f t="shared" si="1228"/>
        <v>0</v>
      </c>
      <c r="Z7713" t="str">
        <f t="shared" si="1239"/>
        <v/>
      </c>
      <c r="AA7713">
        <f t="shared" si="1229"/>
        <v>0</v>
      </c>
    </row>
    <row r="7714" spans="1:27" ht="21" customHeight="1" x14ac:dyDescent="0.95">
      <c r="A7714" s="56"/>
      <c r="B7714" s="57"/>
      <c r="C7714" s="57"/>
      <c r="D7714" s="57"/>
      <c r="E7714" s="56"/>
      <c r="F7714" s="57"/>
      <c r="G7714" s="57"/>
      <c r="H7714" s="56"/>
      <c r="I7714" s="56"/>
      <c r="J7714" s="58"/>
      <c r="K7714" s="58"/>
      <c r="L7714" s="13" t="str">
        <f t="shared" si="1230"/>
        <v/>
      </c>
      <c r="M7714" s="13" t="str">
        <f t="shared" si="1231"/>
        <v/>
      </c>
      <c r="Q7714" t="str">
        <f t="shared" si="1232"/>
        <v/>
      </c>
      <c r="R7714" t="str">
        <f t="shared" si="1233"/>
        <v/>
      </c>
      <c r="S7714" t="str">
        <f t="shared" si="1234"/>
        <v/>
      </c>
      <c r="T7714" t="str">
        <f t="shared" si="1235"/>
        <v/>
      </c>
      <c r="U7714" t="str">
        <f t="shared" si="1236"/>
        <v/>
      </c>
      <c r="V7714" t="str">
        <f t="shared" si="1237"/>
        <v/>
      </c>
      <c r="W7714" t="str">
        <f t="shared" si="1238"/>
        <v/>
      </c>
      <c r="X7714">
        <f t="shared" si="1228"/>
        <v>0</v>
      </c>
      <c r="Z7714" t="str">
        <f t="shared" si="1239"/>
        <v/>
      </c>
      <c r="AA7714">
        <f t="shared" si="1229"/>
        <v>0</v>
      </c>
    </row>
    <row r="7715" spans="1:27" ht="21" customHeight="1" x14ac:dyDescent="0.95">
      <c r="A7715" s="56"/>
      <c r="B7715" s="57"/>
      <c r="C7715" s="57"/>
      <c r="D7715" s="57"/>
      <c r="E7715" s="56"/>
      <c r="F7715" s="57"/>
      <c r="G7715" s="57"/>
      <c r="H7715" s="56"/>
      <c r="I7715" s="56"/>
      <c r="J7715" s="58"/>
      <c r="K7715" s="58"/>
      <c r="L7715" s="13" t="str">
        <f t="shared" si="1230"/>
        <v/>
      </c>
      <c r="M7715" s="13" t="str">
        <f t="shared" si="1231"/>
        <v/>
      </c>
      <c r="Q7715" t="str">
        <f t="shared" si="1232"/>
        <v/>
      </c>
      <c r="R7715" t="str">
        <f t="shared" si="1233"/>
        <v/>
      </c>
      <c r="S7715" t="str">
        <f t="shared" si="1234"/>
        <v/>
      </c>
      <c r="T7715" t="str">
        <f t="shared" si="1235"/>
        <v/>
      </c>
      <c r="U7715" t="str">
        <f t="shared" si="1236"/>
        <v/>
      </c>
      <c r="V7715" t="str">
        <f t="shared" si="1237"/>
        <v/>
      </c>
      <c r="W7715" t="str">
        <f t="shared" si="1238"/>
        <v/>
      </c>
      <c r="X7715">
        <f t="shared" si="1228"/>
        <v>0</v>
      </c>
      <c r="Z7715" t="str">
        <f t="shared" si="1239"/>
        <v/>
      </c>
      <c r="AA7715">
        <f t="shared" si="1229"/>
        <v>0</v>
      </c>
    </row>
    <row r="7716" spans="1:27" ht="21" customHeight="1" x14ac:dyDescent="0.95">
      <c r="A7716" s="56"/>
      <c r="B7716" s="57"/>
      <c r="C7716" s="57"/>
      <c r="D7716" s="57"/>
      <c r="E7716" s="56"/>
      <c r="F7716" s="57"/>
      <c r="G7716" s="57"/>
      <c r="H7716" s="56"/>
      <c r="I7716" s="56"/>
      <c r="J7716" s="58"/>
      <c r="K7716" s="58"/>
      <c r="L7716" s="13" t="str">
        <f t="shared" si="1230"/>
        <v/>
      </c>
      <c r="M7716" s="13" t="str">
        <f t="shared" si="1231"/>
        <v/>
      </c>
      <c r="Q7716" t="str">
        <f t="shared" si="1232"/>
        <v/>
      </c>
      <c r="R7716" t="str">
        <f t="shared" si="1233"/>
        <v/>
      </c>
      <c r="S7716" t="str">
        <f t="shared" si="1234"/>
        <v/>
      </c>
      <c r="T7716" t="str">
        <f t="shared" si="1235"/>
        <v/>
      </c>
      <c r="U7716" t="str">
        <f t="shared" si="1236"/>
        <v/>
      </c>
      <c r="V7716" t="str">
        <f t="shared" si="1237"/>
        <v/>
      </c>
      <c r="W7716" t="str">
        <f t="shared" si="1238"/>
        <v/>
      </c>
      <c r="X7716">
        <f t="shared" si="1228"/>
        <v>0</v>
      </c>
      <c r="Z7716" t="str">
        <f t="shared" si="1239"/>
        <v/>
      </c>
      <c r="AA7716">
        <f t="shared" si="1229"/>
        <v>0</v>
      </c>
    </row>
    <row r="7717" spans="1:27" ht="21" customHeight="1" x14ac:dyDescent="0.95">
      <c r="A7717" s="56"/>
      <c r="B7717" s="57"/>
      <c r="C7717" s="57"/>
      <c r="D7717" s="57"/>
      <c r="E7717" s="56"/>
      <c r="F7717" s="57"/>
      <c r="G7717" s="57"/>
      <c r="H7717" s="56"/>
      <c r="I7717" s="56"/>
      <c r="J7717" s="58"/>
      <c r="K7717" s="58"/>
      <c r="L7717" s="13" t="str">
        <f t="shared" si="1230"/>
        <v/>
      </c>
      <c r="M7717" s="13" t="str">
        <f t="shared" si="1231"/>
        <v/>
      </c>
      <c r="Q7717" t="str">
        <f t="shared" si="1232"/>
        <v/>
      </c>
      <c r="R7717" t="str">
        <f t="shared" si="1233"/>
        <v/>
      </c>
      <c r="S7717" t="str">
        <f t="shared" si="1234"/>
        <v/>
      </c>
      <c r="T7717" t="str">
        <f t="shared" si="1235"/>
        <v/>
      </c>
      <c r="U7717" t="str">
        <f t="shared" si="1236"/>
        <v/>
      </c>
      <c r="V7717" t="str">
        <f t="shared" si="1237"/>
        <v/>
      </c>
      <c r="W7717" t="str">
        <f t="shared" si="1238"/>
        <v/>
      </c>
      <c r="X7717">
        <f t="shared" si="1228"/>
        <v>0</v>
      </c>
      <c r="Z7717" t="str">
        <f t="shared" si="1239"/>
        <v/>
      </c>
      <c r="AA7717">
        <f t="shared" si="1229"/>
        <v>0</v>
      </c>
    </row>
    <row r="7718" spans="1:27" ht="21" customHeight="1" x14ac:dyDescent="0.95">
      <c r="A7718" s="56"/>
      <c r="B7718" s="57"/>
      <c r="C7718" s="57"/>
      <c r="D7718" s="57"/>
      <c r="E7718" s="56"/>
      <c r="F7718" s="57"/>
      <c r="G7718" s="57"/>
      <c r="H7718" s="56"/>
      <c r="I7718" s="56"/>
      <c r="J7718" s="58"/>
      <c r="K7718" s="58"/>
      <c r="L7718" s="13" t="str">
        <f t="shared" si="1230"/>
        <v/>
      </c>
      <c r="M7718" s="13" t="str">
        <f t="shared" si="1231"/>
        <v/>
      </c>
      <c r="Q7718" t="str">
        <f t="shared" si="1232"/>
        <v/>
      </c>
      <c r="R7718" t="str">
        <f t="shared" si="1233"/>
        <v/>
      </c>
      <c r="S7718" t="str">
        <f t="shared" si="1234"/>
        <v/>
      </c>
      <c r="T7718" t="str">
        <f t="shared" si="1235"/>
        <v/>
      </c>
      <c r="U7718" t="str">
        <f t="shared" si="1236"/>
        <v/>
      </c>
      <c r="V7718" t="str">
        <f t="shared" si="1237"/>
        <v/>
      </c>
      <c r="W7718" t="str">
        <f t="shared" si="1238"/>
        <v/>
      </c>
      <c r="X7718">
        <f t="shared" si="1228"/>
        <v>0</v>
      </c>
      <c r="Z7718" t="str">
        <f t="shared" si="1239"/>
        <v/>
      </c>
      <c r="AA7718">
        <f t="shared" si="1229"/>
        <v>0</v>
      </c>
    </row>
    <row r="7719" spans="1:27" ht="21" customHeight="1" x14ac:dyDescent="0.95">
      <c r="A7719" s="56"/>
      <c r="B7719" s="57"/>
      <c r="C7719" s="57"/>
      <c r="D7719" s="57"/>
      <c r="E7719" s="56"/>
      <c r="F7719" s="57"/>
      <c r="G7719" s="57"/>
      <c r="H7719" s="56"/>
      <c r="I7719" s="56"/>
      <c r="J7719" s="58"/>
      <c r="K7719" s="58"/>
      <c r="L7719" s="13" t="str">
        <f t="shared" si="1230"/>
        <v/>
      </c>
      <c r="M7719" s="13" t="str">
        <f t="shared" si="1231"/>
        <v/>
      </c>
      <c r="Q7719" t="str">
        <f t="shared" si="1232"/>
        <v/>
      </c>
      <c r="R7719" t="str">
        <f t="shared" si="1233"/>
        <v/>
      </c>
      <c r="S7719" t="str">
        <f t="shared" si="1234"/>
        <v/>
      </c>
      <c r="T7719" t="str">
        <f t="shared" si="1235"/>
        <v/>
      </c>
      <c r="U7719" t="str">
        <f t="shared" si="1236"/>
        <v/>
      </c>
      <c r="V7719" t="str">
        <f t="shared" si="1237"/>
        <v/>
      </c>
      <c r="W7719" t="str">
        <f t="shared" si="1238"/>
        <v/>
      </c>
      <c r="X7719">
        <f t="shared" si="1228"/>
        <v>0</v>
      </c>
      <c r="Z7719" t="str">
        <f t="shared" si="1239"/>
        <v/>
      </c>
      <c r="AA7719">
        <f t="shared" si="1229"/>
        <v>0</v>
      </c>
    </row>
    <row r="7720" spans="1:27" ht="21" customHeight="1" x14ac:dyDescent="0.95">
      <c r="A7720" s="56"/>
      <c r="B7720" s="57"/>
      <c r="C7720" s="57"/>
      <c r="D7720" s="57"/>
      <c r="E7720" s="56"/>
      <c r="F7720" s="57"/>
      <c r="G7720" s="57"/>
      <c r="H7720" s="56"/>
      <c r="I7720" s="56"/>
      <c r="J7720" s="58"/>
      <c r="K7720" s="58"/>
      <c r="L7720" s="13" t="str">
        <f t="shared" si="1230"/>
        <v/>
      </c>
      <c r="M7720" s="13" t="str">
        <f t="shared" si="1231"/>
        <v/>
      </c>
      <c r="Q7720" t="str">
        <f t="shared" si="1232"/>
        <v/>
      </c>
      <c r="R7720" t="str">
        <f t="shared" si="1233"/>
        <v/>
      </c>
      <c r="S7720" t="str">
        <f t="shared" si="1234"/>
        <v/>
      </c>
      <c r="T7720" t="str">
        <f t="shared" si="1235"/>
        <v/>
      </c>
      <c r="U7720" t="str">
        <f t="shared" si="1236"/>
        <v/>
      </c>
      <c r="V7720" t="str">
        <f t="shared" si="1237"/>
        <v/>
      </c>
      <c r="W7720" t="str">
        <f t="shared" si="1238"/>
        <v/>
      </c>
      <c r="X7720">
        <f t="shared" si="1228"/>
        <v>0</v>
      </c>
      <c r="Z7720" t="str">
        <f t="shared" si="1239"/>
        <v/>
      </c>
      <c r="AA7720">
        <f t="shared" si="1229"/>
        <v>0</v>
      </c>
    </row>
    <row r="7721" spans="1:27" ht="21" customHeight="1" x14ac:dyDescent="0.95">
      <c r="A7721" s="56"/>
      <c r="B7721" s="57"/>
      <c r="C7721" s="57"/>
      <c r="D7721" s="57"/>
      <c r="E7721" s="56"/>
      <c r="F7721" s="57"/>
      <c r="G7721" s="57"/>
      <c r="H7721" s="56"/>
      <c r="I7721" s="56"/>
      <c r="J7721" s="58"/>
      <c r="K7721" s="58"/>
      <c r="L7721" s="13" t="str">
        <f t="shared" si="1230"/>
        <v/>
      </c>
      <c r="M7721" s="13" t="str">
        <f t="shared" si="1231"/>
        <v/>
      </c>
      <c r="Q7721" t="str">
        <f t="shared" si="1232"/>
        <v/>
      </c>
      <c r="R7721" t="str">
        <f t="shared" si="1233"/>
        <v/>
      </c>
      <c r="S7721" t="str">
        <f t="shared" si="1234"/>
        <v/>
      </c>
      <c r="T7721" t="str">
        <f t="shared" si="1235"/>
        <v/>
      </c>
      <c r="U7721" t="str">
        <f t="shared" si="1236"/>
        <v/>
      </c>
      <c r="V7721" t="str">
        <f t="shared" si="1237"/>
        <v/>
      </c>
      <c r="W7721" t="str">
        <f t="shared" si="1238"/>
        <v/>
      </c>
      <c r="X7721">
        <f t="shared" si="1228"/>
        <v>0</v>
      </c>
      <c r="Z7721" t="str">
        <f t="shared" si="1239"/>
        <v/>
      </c>
      <c r="AA7721">
        <f t="shared" si="1229"/>
        <v>0</v>
      </c>
    </row>
    <row r="7722" spans="1:27" ht="21" customHeight="1" x14ac:dyDescent="0.95">
      <c r="A7722" s="56"/>
      <c r="B7722" s="57"/>
      <c r="C7722" s="57"/>
      <c r="D7722" s="57"/>
      <c r="E7722" s="56"/>
      <c r="F7722" s="57"/>
      <c r="G7722" s="57"/>
      <c r="H7722" s="56"/>
      <c r="I7722" s="56"/>
      <c r="J7722" s="58"/>
      <c r="K7722" s="58"/>
      <c r="L7722" s="13" t="str">
        <f t="shared" si="1230"/>
        <v/>
      </c>
      <c r="M7722" s="13" t="str">
        <f t="shared" si="1231"/>
        <v/>
      </c>
      <c r="Q7722" t="str">
        <f t="shared" si="1232"/>
        <v/>
      </c>
      <c r="R7722" t="str">
        <f t="shared" si="1233"/>
        <v/>
      </c>
      <c r="S7722" t="str">
        <f t="shared" si="1234"/>
        <v/>
      </c>
      <c r="T7722" t="str">
        <f t="shared" si="1235"/>
        <v/>
      </c>
      <c r="U7722" t="str">
        <f t="shared" si="1236"/>
        <v/>
      </c>
      <c r="V7722" t="str">
        <f t="shared" si="1237"/>
        <v/>
      </c>
      <c r="W7722" t="str">
        <f t="shared" si="1238"/>
        <v/>
      </c>
      <c r="X7722">
        <f t="shared" si="1228"/>
        <v>0</v>
      </c>
      <c r="Z7722" t="str">
        <f t="shared" si="1239"/>
        <v/>
      </c>
      <c r="AA7722">
        <f t="shared" si="1229"/>
        <v>0</v>
      </c>
    </row>
    <row r="7723" spans="1:27" ht="21" customHeight="1" x14ac:dyDescent="0.95">
      <c r="A7723" s="56"/>
      <c r="B7723" s="57"/>
      <c r="C7723" s="57"/>
      <c r="D7723" s="57"/>
      <c r="E7723" s="56"/>
      <c r="F7723" s="57"/>
      <c r="G7723" s="57"/>
      <c r="H7723" s="56"/>
      <c r="I7723" s="56"/>
      <c r="J7723" s="58"/>
      <c r="K7723" s="58"/>
      <c r="L7723" s="13" t="str">
        <f t="shared" si="1230"/>
        <v/>
      </c>
      <c r="M7723" s="13" t="str">
        <f t="shared" si="1231"/>
        <v/>
      </c>
      <c r="Q7723" t="str">
        <f t="shared" si="1232"/>
        <v/>
      </c>
      <c r="R7723" t="str">
        <f t="shared" si="1233"/>
        <v/>
      </c>
      <c r="S7723" t="str">
        <f t="shared" si="1234"/>
        <v/>
      </c>
      <c r="T7723" t="str">
        <f t="shared" si="1235"/>
        <v/>
      </c>
      <c r="U7723" t="str">
        <f t="shared" si="1236"/>
        <v/>
      </c>
      <c r="V7723" t="str">
        <f t="shared" si="1237"/>
        <v/>
      </c>
      <c r="W7723" t="str">
        <f t="shared" si="1238"/>
        <v/>
      </c>
      <c r="X7723">
        <f t="shared" si="1228"/>
        <v>0</v>
      </c>
      <c r="Z7723" t="str">
        <f t="shared" si="1239"/>
        <v/>
      </c>
      <c r="AA7723">
        <f t="shared" si="1229"/>
        <v>0</v>
      </c>
    </row>
    <row r="7724" spans="1:27" ht="21" customHeight="1" x14ac:dyDescent="0.95">
      <c r="A7724" s="56"/>
      <c r="B7724" s="57"/>
      <c r="C7724" s="57"/>
      <c r="D7724" s="57"/>
      <c r="E7724" s="56"/>
      <c r="F7724" s="57"/>
      <c r="G7724" s="57"/>
      <c r="H7724" s="56"/>
      <c r="I7724" s="56"/>
      <c r="J7724" s="58"/>
      <c r="K7724" s="58"/>
      <c r="L7724" s="13" t="str">
        <f t="shared" si="1230"/>
        <v/>
      </c>
      <c r="M7724" s="13" t="str">
        <f t="shared" si="1231"/>
        <v/>
      </c>
      <c r="Q7724" t="str">
        <f t="shared" si="1232"/>
        <v/>
      </c>
      <c r="R7724" t="str">
        <f t="shared" si="1233"/>
        <v/>
      </c>
      <c r="S7724" t="str">
        <f t="shared" si="1234"/>
        <v/>
      </c>
      <c r="T7724" t="str">
        <f t="shared" si="1235"/>
        <v/>
      </c>
      <c r="U7724" t="str">
        <f t="shared" si="1236"/>
        <v/>
      </c>
      <c r="V7724" t="str">
        <f t="shared" si="1237"/>
        <v/>
      </c>
      <c r="W7724" t="str">
        <f t="shared" si="1238"/>
        <v/>
      </c>
      <c r="X7724">
        <f t="shared" si="1228"/>
        <v>0</v>
      </c>
      <c r="Z7724" t="str">
        <f t="shared" si="1239"/>
        <v/>
      </c>
      <c r="AA7724">
        <f t="shared" si="1229"/>
        <v>0</v>
      </c>
    </row>
    <row r="7725" spans="1:27" ht="21" customHeight="1" x14ac:dyDescent="0.95">
      <c r="A7725" s="56"/>
      <c r="B7725" s="57"/>
      <c r="C7725" s="57"/>
      <c r="D7725" s="57"/>
      <c r="E7725" s="56"/>
      <c r="F7725" s="57"/>
      <c r="G7725" s="57"/>
      <c r="H7725" s="56"/>
      <c r="I7725" s="56"/>
      <c r="J7725" s="58"/>
      <c r="K7725" s="58"/>
      <c r="L7725" s="13" t="str">
        <f t="shared" si="1230"/>
        <v/>
      </c>
      <c r="M7725" s="13" t="str">
        <f t="shared" si="1231"/>
        <v/>
      </c>
      <c r="Q7725" t="str">
        <f t="shared" si="1232"/>
        <v/>
      </c>
      <c r="R7725" t="str">
        <f t="shared" si="1233"/>
        <v/>
      </c>
      <c r="S7725" t="str">
        <f t="shared" si="1234"/>
        <v/>
      </c>
      <c r="T7725" t="str">
        <f t="shared" si="1235"/>
        <v/>
      </c>
      <c r="U7725" t="str">
        <f t="shared" si="1236"/>
        <v/>
      </c>
      <c r="V7725" t="str">
        <f t="shared" si="1237"/>
        <v/>
      </c>
      <c r="W7725" t="str">
        <f t="shared" si="1238"/>
        <v/>
      </c>
      <c r="X7725">
        <f t="shared" si="1228"/>
        <v>0</v>
      </c>
      <c r="Z7725" t="str">
        <f t="shared" si="1239"/>
        <v/>
      </c>
      <c r="AA7725">
        <f t="shared" si="1229"/>
        <v>0</v>
      </c>
    </row>
    <row r="7726" spans="1:27" ht="21" customHeight="1" x14ac:dyDescent="0.95">
      <c r="A7726" s="56"/>
      <c r="B7726" s="57"/>
      <c r="C7726" s="57"/>
      <c r="D7726" s="57"/>
      <c r="E7726" s="56"/>
      <c r="F7726" s="57"/>
      <c r="G7726" s="57"/>
      <c r="H7726" s="56"/>
      <c r="I7726" s="56"/>
      <c r="J7726" s="58"/>
      <c r="K7726" s="58"/>
      <c r="L7726" s="13" t="str">
        <f t="shared" si="1230"/>
        <v/>
      </c>
      <c r="M7726" s="13" t="str">
        <f t="shared" si="1231"/>
        <v/>
      </c>
      <c r="Q7726" t="str">
        <f t="shared" si="1232"/>
        <v/>
      </c>
      <c r="R7726" t="str">
        <f t="shared" si="1233"/>
        <v/>
      </c>
      <c r="S7726" t="str">
        <f t="shared" si="1234"/>
        <v/>
      </c>
      <c r="T7726" t="str">
        <f t="shared" si="1235"/>
        <v/>
      </c>
      <c r="U7726" t="str">
        <f t="shared" si="1236"/>
        <v/>
      </c>
      <c r="V7726" t="str">
        <f t="shared" si="1237"/>
        <v/>
      </c>
      <c r="W7726" t="str">
        <f t="shared" si="1238"/>
        <v/>
      </c>
      <c r="X7726">
        <f t="shared" si="1228"/>
        <v>0</v>
      </c>
      <c r="Z7726" t="str">
        <f t="shared" si="1239"/>
        <v/>
      </c>
      <c r="AA7726">
        <f t="shared" si="1229"/>
        <v>0</v>
      </c>
    </row>
    <row r="7727" spans="1:27" ht="21" customHeight="1" x14ac:dyDescent="0.95">
      <c r="A7727" s="56"/>
      <c r="B7727" s="57"/>
      <c r="C7727" s="57"/>
      <c r="D7727" s="57"/>
      <c r="E7727" s="56"/>
      <c r="F7727" s="57"/>
      <c r="G7727" s="57"/>
      <c r="H7727" s="56"/>
      <c r="I7727" s="56"/>
      <c r="J7727" s="58"/>
      <c r="K7727" s="58"/>
      <c r="L7727" s="13" t="str">
        <f t="shared" si="1230"/>
        <v/>
      </c>
      <c r="M7727" s="13" t="str">
        <f t="shared" si="1231"/>
        <v/>
      </c>
      <c r="Q7727" t="str">
        <f t="shared" si="1232"/>
        <v/>
      </c>
      <c r="R7727" t="str">
        <f t="shared" si="1233"/>
        <v/>
      </c>
      <c r="S7727" t="str">
        <f t="shared" si="1234"/>
        <v/>
      </c>
      <c r="T7727" t="str">
        <f t="shared" si="1235"/>
        <v/>
      </c>
      <c r="U7727" t="str">
        <f t="shared" si="1236"/>
        <v/>
      </c>
      <c r="V7727" t="str">
        <f t="shared" si="1237"/>
        <v/>
      </c>
      <c r="W7727" t="str">
        <f t="shared" si="1238"/>
        <v/>
      </c>
      <c r="X7727">
        <f t="shared" si="1228"/>
        <v>0</v>
      </c>
      <c r="Z7727" t="str">
        <f t="shared" si="1239"/>
        <v/>
      </c>
      <c r="AA7727">
        <f t="shared" si="1229"/>
        <v>0</v>
      </c>
    </row>
    <row r="7728" spans="1:27" ht="21" customHeight="1" x14ac:dyDescent="0.95">
      <c r="A7728" s="56"/>
      <c r="B7728" s="57"/>
      <c r="C7728" s="57"/>
      <c r="D7728" s="57"/>
      <c r="E7728" s="56"/>
      <c r="F7728" s="57"/>
      <c r="G7728" s="57"/>
      <c r="H7728" s="56"/>
      <c r="I7728" s="56"/>
      <c r="J7728" s="58"/>
      <c r="K7728" s="58"/>
      <c r="L7728" s="13" t="str">
        <f t="shared" si="1230"/>
        <v/>
      </c>
      <c r="M7728" s="13" t="str">
        <f t="shared" si="1231"/>
        <v/>
      </c>
      <c r="Q7728" t="str">
        <f t="shared" si="1232"/>
        <v/>
      </c>
      <c r="R7728" t="str">
        <f t="shared" si="1233"/>
        <v/>
      </c>
      <c r="S7728" t="str">
        <f t="shared" si="1234"/>
        <v/>
      </c>
      <c r="T7728" t="str">
        <f t="shared" si="1235"/>
        <v/>
      </c>
      <c r="U7728" t="str">
        <f t="shared" si="1236"/>
        <v/>
      </c>
      <c r="V7728" t="str">
        <f t="shared" si="1237"/>
        <v/>
      </c>
      <c r="W7728" t="str">
        <f t="shared" si="1238"/>
        <v/>
      </c>
      <c r="X7728">
        <f t="shared" si="1228"/>
        <v>0</v>
      </c>
      <c r="Z7728" t="str">
        <f t="shared" si="1239"/>
        <v/>
      </c>
      <c r="AA7728">
        <f t="shared" si="1229"/>
        <v>0</v>
      </c>
    </row>
    <row r="7729" spans="1:27" ht="21" customHeight="1" x14ac:dyDescent="0.95">
      <c r="A7729" s="56"/>
      <c r="B7729" s="57"/>
      <c r="C7729" s="57"/>
      <c r="D7729" s="57"/>
      <c r="E7729" s="56"/>
      <c r="F7729" s="57"/>
      <c r="G7729" s="57"/>
      <c r="H7729" s="56"/>
      <c r="I7729" s="56"/>
      <c r="J7729" s="58"/>
      <c r="K7729" s="58"/>
      <c r="L7729" s="13" t="str">
        <f t="shared" si="1230"/>
        <v/>
      </c>
      <c r="M7729" s="13" t="str">
        <f t="shared" si="1231"/>
        <v/>
      </c>
      <c r="Q7729" t="str">
        <f t="shared" si="1232"/>
        <v/>
      </c>
      <c r="R7729" t="str">
        <f t="shared" si="1233"/>
        <v/>
      </c>
      <c r="S7729" t="str">
        <f t="shared" si="1234"/>
        <v/>
      </c>
      <c r="T7729" t="str">
        <f t="shared" si="1235"/>
        <v/>
      </c>
      <c r="U7729" t="str">
        <f t="shared" si="1236"/>
        <v/>
      </c>
      <c r="V7729" t="str">
        <f t="shared" si="1237"/>
        <v/>
      </c>
      <c r="W7729" t="str">
        <f t="shared" si="1238"/>
        <v/>
      </c>
      <c r="X7729">
        <f t="shared" si="1228"/>
        <v>0</v>
      </c>
      <c r="Z7729" t="str">
        <f t="shared" si="1239"/>
        <v/>
      </c>
      <c r="AA7729">
        <f t="shared" si="1229"/>
        <v>0</v>
      </c>
    </row>
    <row r="7730" spans="1:27" ht="21" customHeight="1" x14ac:dyDescent="0.95">
      <c r="A7730" s="56"/>
      <c r="B7730" s="57"/>
      <c r="C7730" s="57"/>
      <c r="D7730" s="57"/>
      <c r="E7730" s="56"/>
      <c r="F7730" s="57"/>
      <c r="G7730" s="57"/>
      <c r="H7730" s="56"/>
      <c r="I7730" s="56"/>
      <c r="J7730" s="58"/>
      <c r="K7730" s="58"/>
      <c r="L7730" s="13" t="str">
        <f t="shared" si="1230"/>
        <v/>
      </c>
      <c r="M7730" s="13" t="str">
        <f t="shared" si="1231"/>
        <v/>
      </c>
      <c r="Q7730" t="str">
        <f t="shared" si="1232"/>
        <v/>
      </c>
      <c r="R7730" t="str">
        <f t="shared" si="1233"/>
        <v/>
      </c>
      <c r="S7730" t="str">
        <f t="shared" si="1234"/>
        <v/>
      </c>
      <c r="T7730" t="str">
        <f t="shared" si="1235"/>
        <v/>
      </c>
      <c r="U7730" t="str">
        <f t="shared" si="1236"/>
        <v/>
      </c>
      <c r="V7730" t="str">
        <f t="shared" si="1237"/>
        <v/>
      </c>
      <c r="W7730" t="str">
        <f t="shared" si="1238"/>
        <v/>
      </c>
      <c r="X7730">
        <f t="shared" si="1228"/>
        <v>0</v>
      </c>
      <c r="Z7730" t="str">
        <f t="shared" si="1239"/>
        <v/>
      </c>
      <c r="AA7730">
        <f t="shared" si="1229"/>
        <v>0</v>
      </c>
    </row>
    <row r="7731" spans="1:27" ht="21" customHeight="1" x14ac:dyDescent="0.95">
      <c r="A7731" s="56"/>
      <c r="B7731" s="57"/>
      <c r="C7731" s="57"/>
      <c r="D7731" s="57"/>
      <c r="E7731" s="56"/>
      <c r="F7731" s="57"/>
      <c r="G7731" s="57"/>
      <c r="H7731" s="56"/>
      <c r="I7731" s="56"/>
      <c r="J7731" s="58"/>
      <c r="K7731" s="58"/>
      <c r="L7731" s="13" t="str">
        <f t="shared" si="1230"/>
        <v/>
      </c>
      <c r="M7731" s="13" t="str">
        <f t="shared" si="1231"/>
        <v/>
      </c>
      <c r="Q7731" t="str">
        <f t="shared" si="1232"/>
        <v/>
      </c>
      <c r="R7731" t="str">
        <f t="shared" si="1233"/>
        <v/>
      </c>
      <c r="S7731" t="str">
        <f t="shared" si="1234"/>
        <v/>
      </c>
      <c r="T7731" t="str">
        <f t="shared" si="1235"/>
        <v/>
      </c>
      <c r="U7731" t="str">
        <f t="shared" si="1236"/>
        <v/>
      </c>
      <c r="V7731" t="str">
        <f t="shared" si="1237"/>
        <v/>
      </c>
      <c r="W7731" t="str">
        <f t="shared" si="1238"/>
        <v/>
      </c>
      <c r="X7731">
        <f t="shared" si="1228"/>
        <v>0</v>
      </c>
      <c r="Z7731" t="str">
        <f t="shared" si="1239"/>
        <v/>
      </c>
      <c r="AA7731">
        <f t="shared" si="1229"/>
        <v>0</v>
      </c>
    </row>
    <row r="7732" spans="1:27" ht="21" customHeight="1" x14ac:dyDescent="0.95">
      <c r="A7732" s="56"/>
      <c r="B7732" s="57"/>
      <c r="C7732" s="57"/>
      <c r="D7732" s="57"/>
      <c r="E7732" s="56"/>
      <c r="F7732" s="57"/>
      <c r="G7732" s="57"/>
      <c r="H7732" s="56"/>
      <c r="I7732" s="56"/>
      <c r="J7732" s="58"/>
      <c r="K7732" s="58"/>
      <c r="L7732" s="13" t="str">
        <f t="shared" si="1230"/>
        <v/>
      </c>
      <c r="M7732" s="13" t="str">
        <f t="shared" si="1231"/>
        <v/>
      </c>
      <c r="Q7732" t="str">
        <f t="shared" si="1232"/>
        <v/>
      </c>
      <c r="R7732" t="str">
        <f t="shared" si="1233"/>
        <v/>
      </c>
      <c r="S7732" t="str">
        <f t="shared" si="1234"/>
        <v/>
      </c>
      <c r="T7732" t="str">
        <f t="shared" si="1235"/>
        <v/>
      </c>
      <c r="U7732" t="str">
        <f t="shared" si="1236"/>
        <v/>
      </c>
      <c r="V7732" t="str">
        <f t="shared" si="1237"/>
        <v/>
      </c>
      <c r="W7732" t="str">
        <f t="shared" si="1238"/>
        <v/>
      </c>
      <c r="X7732">
        <f t="shared" si="1228"/>
        <v>0</v>
      </c>
      <c r="Z7732" t="str">
        <f t="shared" si="1239"/>
        <v/>
      </c>
      <c r="AA7732">
        <f t="shared" si="1229"/>
        <v>0</v>
      </c>
    </row>
    <row r="7733" spans="1:27" ht="21" customHeight="1" x14ac:dyDescent="0.95">
      <c r="A7733" s="56"/>
      <c r="B7733" s="57"/>
      <c r="C7733" s="57"/>
      <c r="D7733" s="57"/>
      <c r="E7733" s="56"/>
      <c r="F7733" s="57"/>
      <c r="G7733" s="57"/>
      <c r="H7733" s="56"/>
      <c r="I7733" s="56"/>
      <c r="J7733" s="58"/>
      <c r="K7733" s="58"/>
      <c r="L7733" s="13" t="str">
        <f t="shared" si="1230"/>
        <v/>
      </c>
      <c r="M7733" s="13" t="str">
        <f t="shared" si="1231"/>
        <v/>
      </c>
      <c r="Q7733" t="str">
        <f t="shared" si="1232"/>
        <v/>
      </c>
      <c r="R7733" t="str">
        <f t="shared" si="1233"/>
        <v/>
      </c>
      <c r="S7733" t="str">
        <f t="shared" si="1234"/>
        <v/>
      </c>
      <c r="T7733" t="str">
        <f t="shared" si="1235"/>
        <v/>
      </c>
      <c r="U7733" t="str">
        <f t="shared" si="1236"/>
        <v/>
      </c>
      <c r="V7733" t="str">
        <f t="shared" si="1237"/>
        <v/>
      </c>
      <c r="W7733" t="str">
        <f t="shared" si="1238"/>
        <v/>
      </c>
      <c r="X7733">
        <f t="shared" ref="X7733:X7796" si="1240">IF($T7733="",N($X7732),IF(MATCH($T7733,$T$6:$T$10005,0)=ROW()-5,N($X7732)+1,N($X7732)))</f>
        <v>0</v>
      </c>
      <c r="Z7733" t="str">
        <f t="shared" si="1239"/>
        <v/>
      </c>
      <c r="AA7733">
        <f t="shared" ref="AA7733:AA7796" si="1241">IF($V7733="",N($AA7732),IF(MATCH($V7733,$V$6:$V$10005,0)=ROW()-5,N($AA7732)+1,N($AA7732)))</f>
        <v>0</v>
      </c>
    </row>
    <row r="7734" spans="1:27" ht="21" customHeight="1" x14ac:dyDescent="0.95">
      <c r="A7734" s="56"/>
      <c r="B7734" s="57"/>
      <c r="C7734" s="57"/>
      <c r="D7734" s="57"/>
      <c r="E7734" s="56"/>
      <c r="F7734" s="57"/>
      <c r="G7734" s="57"/>
      <c r="H7734" s="56"/>
      <c r="I7734" s="56"/>
      <c r="J7734" s="58"/>
      <c r="K7734" s="58"/>
      <c r="L7734" s="13" t="str">
        <f t="shared" si="1230"/>
        <v/>
      </c>
      <c r="M7734" s="13" t="str">
        <f t="shared" si="1231"/>
        <v/>
      </c>
      <c r="Q7734" t="str">
        <f t="shared" si="1232"/>
        <v/>
      </c>
      <c r="R7734" t="str">
        <f t="shared" si="1233"/>
        <v/>
      </c>
      <c r="S7734" t="str">
        <f t="shared" si="1234"/>
        <v/>
      </c>
      <c r="T7734" t="str">
        <f t="shared" si="1235"/>
        <v/>
      </c>
      <c r="U7734" t="str">
        <f t="shared" si="1236"/>
        <v/>
      </c>
      <c r="V7734" t="str">
        <f t="shared" si="1237"/>
        <v/>
      </c>
      <c r="W7734" t="str">
        <f t="shared" si="1238"/>
        <v/>
      </c>
      <c r="X7734">
        <f t="shared" si="1240"/>
        <v>0</v>
      </c>
      <c r="Z7734" t="str">
        <f t="shared" si="1239"/>
        <v/>
      </c>
      <c r="AA7734">
        <f t="shared" si="1241"/>
        <v>0</v>
      </c>
    </row>
    <row r="7735" spans="1:27" ht="21" customHeight="1" x14ac:dyDescent="0.95">
      <c r="A7735" s="56"/>
      <c r="B7735" s="57"/>
      <c r="C7735" s="57"/>
      <c r="D7735" s="57"/>
      <c r="E7735" s="56"/>
      <c r="F7735" s="57"/>
      <c r="G7735" s="57"/>
      <c r="H7735" s="56"/>
      <c r="I7735" s="56"/>
      <c r="J7735" s="58"/>
      <c r="K7735" s="58"/>
      <c r="L7735" s="13" t="str">
        <f t="shared" si="1230"/>
        <v/>
      </c>
      <c r="M7735" s="13" t="str">
        <f t="shared" si="1231"/>
        <v/>
      </c>
      <c r="Q7735" t="str">
        <f t="shared" si="1232"/>
        <v/>
      </c>
      <c r="R7735" t="str">
        <f t="shared" si="1233"/>
        <v/>
      </c>
      <c r="S7735" t="str">
        <f t="shared" si="1234"/>
        <v/>
      </c>
      <c r="T7735" t="str">
        <f t="shared" si="1235"/>
        <v/>
      </c>
      <c r="U7735" t="str">
        <f t="shared" si="1236"/>
        <v/>
      </c>
      <c r="V7735" t="str">
        <f t="shared" si="1237"/>
        <v/>
      </c>
      <c r="W7735" t="str">
        <f t="shared" si="1238"/>
        <v/>
      </c>
      <c r="X7735">
        <f t="shared" si="1240"/>
        <v>0</v>
      </c>
      <c r="Z7735" t="str">
        <f t="shared" si="1239"/>
        <v/>
      </c>
      <c r="AA7735">
        <f t="shared" si="1241"/>
        <v>0</v>
      </c>
    </row>
    <row r="7736" spans="1:27" ht="21" customHeight="1" x14ac:dyDescent="0.95">
      <c r="A7736" s="56"/>
      <c r="B7736" s="57"/>
      <c r="C7736" s="57"/>
      <c r="D7736" s="57"/>
      <c r="E7736" s="56"/>
      <c r="F7736" s="57"/>
      <c r="G7736" s="57"/>
      <c r="H7736" s="56"/>
      <c r="I7736" s="56"/>
      <c r="J7736" s="58"/>
      <c r="K7736" s="58"/>
      <c r="L7736" s="13" t="str">
        <f t="shared" si="1230"/>
        <v/>
      </c>
      <c r="M7736" s="13" t="str">
        <f t="shared" si="1231"/>
        <v/>
      </c>
      <c r="Q7736" t="str">
        <f t="shared" si="1232"/>
        <v/>
      </c>
      <c r="R7736" t="str">
        <f t="shared" si="1233"/>
        <v/>
      </c>
      <c r="S7736" t="str">
        <f t="shared" si="1234"/>
        <v/>
      </c>
      <c r="T7736" t="str">
        <f t="shared" si="1235"/>
        <v/>
      </c>
      <c r="U7736" t="str">
        <f t="shared" si="1236"/>
        <v/>
      </c>
      <c r="V7736" t="str">
        <f t="shared" si="1237"/>
        <v/>
      </c>
      <c r="W7736" t="str">
        <f t="shared" si="1238"/>
        <v/>
      </c>
      <c r="X7736">
        <f t="shared" si="1240"/>
        <v>0</v>
      </c>
      <c r="Z7736" t="str">
        <f t="shared" si="1239"/>
        <v/>
      </c>
      <c r="AA7736">
        <f t="shared" si="1241"/>
        <v>0</v>
      </c>
    </row>
    <row r="7737" spans="1:27" ht="21" customHeight="1" x14ac:dyDescent="0.95">
      <c r="A7737" s="56"/>
      <c r="B7737" s="57"/>
      <c r="C7737" s="57"/>
      <c r="D7737" s="57"/>
      <c r="E7737" s="56"/>
      <c r="F7737" s="57"/>
      <c r="G7737" s="57"/>
      <c r="H7737" s="56"/>
      <c r="I7737" s="56"/>
      <c r="J7737" s="58"/>
      <c r="K7737" s="58"/>
      <c r="L7737" s="13" t="str">
        <f t="shared" si="1230"/>
        <v/>
      </c>
      <c r="M7737" s="13" t="str">
        <f t="shared" si="1231"/>
        <v/>
      </c>
      <c r="Q7737" t="str">
        <f t="shared" si="1232"/>
        <v/>
      </c>
      <c r="R7737" t="str">
        <f t="shared" si="1233"/>
        <v/>
      </c>
      <c r="S7737" t="str">
        <f t="shared" si="1234"/>
        <v/>
      </c>
      <c r="T7737" t="str">
        <f t="shared" si="1235"/>
        <v/>
      </c>
      <c r="U7737" t="str">
        <f t="shared" si="1236"/>
        <v/>
      </c>
      <c r="V7737" t="str">
        <f t="shared" si="1237"/>
        <v/>
      </c>
      <c r="W7737" t="str">
        <f t="shared" si="1238"/>
        <v/>
      </c>
      <c r="X7737">
        <f t="shared" si="1240"/>
        <v>0</v>
      </c>
      <c r="Z7737" t="str">
        <f t="shared" si="1239"/>
        <v/>
      </c>
      <c r="AA7737">
        <f t="shared" si="1241"/>
        <v>0</v>
      </c>
    </row>
    <row r="7738" spans="1:27" ht="21" customHeight="1" x14ac:dyDescent="0.95">
      <c r="A7738" s="56"/>
      <c r="B7738" s="57"/>
      <c r="C7738" s="57"/>
      <c r="D7738" s="57"/>
      <c r="E7738" s="56"/>
      <c r="F7738" s="57"/>
      <c r="G7738" s="57"/>
      <c r="H7738" s="56"/>
      <c r="I7738" s="56"/>
      <c r="J7738" s="58"/>
      <c r="K7738" s="58"/>
      <c r="L7738" s="13" t="str">
        <f t="shared" si="1230"/>
        <v/>
      </c>
      <c r="M7738" s="13" t="str">
        <f t="shared" si="1231"/>
        <v/>
      </c>
      <c r="Q7738" t="str">
        <f t="shared" si="1232"/>
        <v/>
      </c>
      <c r="R7738" t="str">
        <f t="shared" si="1233"/>
        <v/>
      </c>
      <c r="S7738" t="str">
        <f t="shared" si="1234"/>
        <v/>
      </c>
      <c r="T7738" t="str">
        <f t="shared" si="1235"/>
        <v/>
      </c>
      <c r="U7738" t="str">
        <f t="shared" si="1236"/>
        <v/>
      </c>
      <c r="V7738" t="str">
        <f t="shared" si="1237"/>
        <v/>
      </c>
      <c r="W7738" t="str">
        <f t="shared" si="1238"/>
        <v/>
      </c>
      <c r="X7738">
        <f t="shared" si="1240"/>
        <v>0</v>
      </c>
      <c r="Z7738" t="str">
        <f t="shared" si="1239"/>
        <v/>
      </c>
      <c r="AA7738">
        <f t="shared" si="1241"/>
        <v>0</v>
      </c>
    </row>
    <row r="7739" spans="1:27" ht="21" customHeight="1" x14ac:dyDescent="0.95">
      <c r="A7739" s="56"/>
      <c r="B7739" s="57"/>
      <c r="C7739" s="57"/>
      <c r="D7739" s="57"/>
      <c r="E7739" s="56"/>
      <c r="F7739" s="57"/>
      <c r="G7739" s="57"/>
      <c r="H7739" s="56"/>
      <c r="I7739" s="56"/>
      <c r="J7739" s="58"/>
      <c r="K7739" s="58"/>
      <c r="L7739" s="13" t="str">
        <f t="shared" si="1230"/>
        <v/>
      </c>
      <c r="M7739" s="13" t="str">
        <f t="shared" si="1231"/>
        <v/>
      </c>
      <c r="Q7739" t="str">
        <f t="shared" si="1232"/>
        <v/>
      </c>
      <c r="R7739" t="str">
        <f t="shared" si="1233"/>
        <v/>
      </c>
      <c r="S7739" t="str">
        <f t="shared" si="1234"/>
        <v/>
      </c>
      <c r="T7739" t="str">
        <f t="shared" si="1235"/>
        <v/>
      </c>
      <c r="U7739" t="str">
        <f t="shared" si="1236"/>
        <v/>
      </c>
      <c r="V7739" t="str">
        <f t="shared" si="1237"/>
        <v/>
      </c>
      <c r="W7739" t="str">
        <f t="shared" si="1238"/>
        <v/>
      </c>
      <c r="X7739">
        <f t="shared" si="1240"/>
        <v>0</v>
      </c>
      <c r="Z7739" t="str">
        <f t="shared" si="1239"/>
        <v/>
      </c>
      <c r="AA7739">
        <f t="shared" si="1241"/>
        <v>0</v>
      </c>
    </row>
    <row r="7740" spans="1:27" ht="21" customHeight="1" x14ac:dyDescent="0.95">
      <c r="A7740" s="56"/>
      <c r="B7740" s="57"/>
      <c r="C7740" s="57"/>
      <c r="D7740" s="57"/>
      <c r="E7740" s="56"/>
      <c r="F7740" s="57"/>
      <c r="G7740" s="57"/>
      <c r="H7740" s="56"/>
      <c r="I7740" s="56"/>
      <c r="J7740" s="58"/>
      <c r="K7740" s="58"/>
      <c r="L7740" s="13" t="str">
        <f t="shared" si="1230"/>
        <v/>
      </c>
      <c r="M7740" s="13" t="str">
        <f t="shared" si="1231"/>
        <v/>
      </c>
      <c r="Q7740" t="str">
        <f t="shared" si="1232"/>
        <v/>
      </c>
      <c r="R7740" t="str">
        <f t="shared" si="1233"/>
        <v/>
      </c>
      <c r="S7740" t="str">
        <f t="shared" si="1234"/>
        <v/>
      </c>
      <c r="T7740" t="str">
        <f t="shared" si="1235"/>
        <v/>
      </c>
      <c r="U7740" t="str">
        <f t="shared" si="1236"/>
        <v/>
      </c>
      <c r="V7740" t="str">
        <f t="shared" si="1237"/>
        <v/>
      </c>
      <c r="W7740" t="str">
        <f t="shared" si="1238"/>
        <v/>
      </c>
      <c r="X7740">
        <f t="shared" si="1240"/>
        <v>0</v>
      </c>
      <c r="Z7740" t="str">
        <f t="shared" si="1239"/>
        <v/>
      </c>
      <c r="AA7740">
        <f t="shared" si="1241"/>
        <v>0</v>
      </c>
    </row>
    <row r="7741" spans="1:27" ht="21" customHeight="1" x14ac:dyDescent="0.95">
      <c r="A7741" s="56"/>
      <c r="B7741" s="57"/>
      <c r="C7741" s="57"/>
      <c r="D7741" s="57"/>
      <c r="E7741" s="56"/>
      <c r="F7741" s="57"/>
      <c r="G7741" s="57"/>
      <c r="H7741" s="56"/>
      <c r="I7741" s="56"/>
      <c r="J7741" s="58"/>
      <c r="K7741" s="58"/>
      <c r="L7741" s="13" t="str">
        <f t="shared" si="1230"/>
        <v/>
      </c>
      <c r="M7741" s="13" t="str">
        <f t="shared" si="1231"/>
        <v/>
      </c>
      <c r="Q7741" t="str">
        <f t="shared" si="1232"/>
        <v/>
      </c>
      <c r="R7741" t="str">
        <f t="shared" si="1233"/>
        <v/>
      </c>
      <c r="S7741" t="str">
        <f t="shared" si="1234"/>
        <v/>
      </c>
      <c r="T7741" t="str">
        <f t="shared" si="1235"/>
        <v/>
      </c>
      <c r="U7741" t="str">
        <f t="shared" si="1236"/>
        <v/>
      </c>
      <c r="V7741" t="str">
        <f t="shared" si="1237"/>
        <v/>
      </c>
      <c r="W7741" t="str">
        <f t="shared" si="1238"/>
        <v/>
      </c>
      <c r="X7741">
        <f t="shared" si="1240"/>
        <v>0</v>
      </c>
      <c r="Z7741" t="str">
        <f t="shared" si="1239"/>
        <v/>
      </c>
      <c r="AA7741">
        <f t="shared" si="1241"/>
        <v>0</v>
      </c>
    </row>
    <row r="7742" spans="1:27" ht="21" customHeight="1" x14ac:dyDescent="0.95">
      <c r="A7742" s="56"/>
      <c r="B7742" s="57"/>
      <c r="C7742" s="57"/>
      <c r="D7742" s="57"/>
      <c r="E7742" s="56"/>
      <c r="F7742" s="57"/>
      <c r="G7742" s="57"/>
      <c r="H7742" s="56"/>
      <c r="I7742" s="56"/>
      <c r="J7742" s="58"/>
      <c r="K7742" s="58"/>
      <c r="L7742" s="13" t="str">
        <f t="shared" si="1230"/>
        <v/>
      </c>
      <c r="M7742" s="13" t="str">
        <f t="shared" si="1231"/>
        <v/>
      </c>
      <c r="Q7742" t="str">
        <f t="shared" si="1232"/>
        <v/>
      </c>
      <c r="R7742" t="str">
        <f t="shared" si="1233"/>
        <v/>
      </c>
      <c r="S7742" t="str">
        <f t="shared" si="1234"/>
        <v/>
      </c>
      <c r="T7742" t="str">
        <f t="shared" si="1235"/>
        <v/>
      </c>
      <c r="U7742" t="str">
        <f t="shared" si="1236"/>
        <v/>
      </c>
      <c r="V7742" t="str">
        <f t="shared" si="1237"/>
        <v/>
      </c>
      <c r="W7742" t="str">
        <f t="shared" si="1238"/>
        <v/>
      </c>
      <c r="X7742">
        <f t="shared" si="1240"/>
        <v>0</v>
      </c>
      <c r="Z7742" t="str">
        <f t="shared" si="1239"/>
        <v/>
      </c>
      <c r="AA7742">
        <f t="shared" si="1241"/>
        <v>0</v>
      </c>
    </row>
    <row r="7743" spans="1:27" ht="21" customHeight="1" x14ac:dyDescent="0.95">
      <c r="A7743" s="56"/>
      <c r="B7743" s="57"/>
      <c r="C7743" s="57"/>
      <c r="D7743" s="57"/>
      <c r="E7743" s="56"/>
      <c r="F7743" s="57"/>
      <c r="G7743" s="57"/>
      <c r="H7743" s="56"/>
      <c r="I7743" s="56"/>
      <c r="J7743" s="58"/>
      <c r="K7743" s="58"/>
      <c r="L7743" s="13" t="str">
        <f t="shared" si="1230"/>
        <v/>
      </c>
      <c r="M7743" s="13" t="str">
        <f t="shared" si="1231"/>
        <v/>
      </c>
      <c r="Q7743" t="str">
        <f t="shared" si="1232"/>
        <v/>
      </c>
      <c r="R7743" t="str">
        <f t="shared" si="1233"/>
        <v/>
      </c>
      <c r="S7743" t="str">
        <f t="shared" si="1234"/>
        <v/>
      </c>
      <c r="T7743" t="str">
        <f t="shared" si="1235"/>
        <v/>
      </c>
      <c r="U7743" t="str">
        <f t="shared" si="1236"/>
        <v/>
      </c>
      <c r="V7743" t="str">
        <f t="shared" si="1237"/>
        <v/>
      </c>
      <c r="W7743" t="str">
        <f t="shared" si="1238"/>
        <v/>
      </c>
      <c r="X7743">
        <f t="shared" si="1240"/>
        <v>0</v>
      </c>
      <c r="Z7743" t="str">
        <f t="shared" si="1239"/>
        <v/>
      </c>
      <c r="AA7743">
        <f t="shared" si="1241"/>
        <v>0</v>
      </c>
    </row>
    <row r="7744" spans="1:27" ht="21" customHeight="1" x14ac:dyDescent="0.95">
      <c r="A7744" s="56"/>
      <c r="B7744" s="57"/>
      <c r="C7744" s="57"/>
      <c r="D7744" s="57"/>
      <c r="E7744" s="56"/>
      <c r="F7744" s="57"/>
      <c r="G7744" s="57"/>
      <c r="H7744" s="56"/>
      <c r="I7744" s="56"/>
      <c r="J7744" s="58"/>
      <c r="K7744" s="58"/>
      <c r="L7744" s="13" t="str">
        <f t="shared" si="1230"/>
        <v/>
      </c>
      <c r="M7744" s="13" t="str">
        <f t="shared" si="1231"/>
        <v/>
      </c>
      <c r="Q7744" t="str">
        <f t="shared" si="1232"/>
        <v/>
      </c>
      <c r="R7744" t="str">
        <f t="shared" si="1233"/>
        <v/>
      </c>
      <c r="S7744" t="str">
        <f t="shared" si="1234"/>
        <v/>
      </c>
      <c r="T7744" t="str">
        <f t="shared" si="1235"/>
        <v/>
      </c>
      <c r="U7744" t="str">
        <f t="shared" si="1236"/>
        <v/>
      </c>
      <c r="V7744" t="str">
        <f t="shared" si="1237"/>
        <v/>
      </c>
      <c r="W7744" t="str">
        <f t="shared" si="1238"/>
        <v/>
      </c>
      <c r="X7744">
        <f t="shared" si="1240"/>
        <v>0</v>
      </c>
      <c r="Z7744" t="str">
        <f t="shared" si="1239"/>
        <v/>
      </c>
      <c r="AA7744">
        <f t="shared" si="1241"/>
        <v>0</v>
      </c>
    </row>
    <row r="7745" spans="1:27" ht="21" customHeight="1" x14ac:dyDescent="0.95">
      <c r="A7745" s="56"/>
      <c r="B7745" s="57"/>
      <c r="C7745" s="57"/>
      <c r="D7745" s="57"/>
      <c r="E7745" s="56"/>
      <c r="F7745" s="57"/>
      <c r="G7745" s="57"/>
      <c r="H7745" s="56"/>
      <c r="I7745" s="56"/>
      <c r="J7745" s="58"/>
      <c r="K7745" s="58"/>
      <c r="L7745" s="13" t="str">
        <f t="shared" si="1230"/>
        <v/>
      </c>
      <c r="M7745" s="13" t="str">
        <f t="shared" si="1231"/>
        <v/>
      </c>
      <c r="Q7745" t="str">
        <f t="shared" si="1232"/>
        <v/>
      </c>
      <c r="R7745" t="str">
        <f t="shared" si="1233"/>
        <v/>
      </c>
      <c r="S7745" t="str">
        <f t="shared" si="1234"/>
        <v/>
      </c>
      <c r="T7745" t="str">
        <f t="shared" si="1235"/>
        <v/>
      </c>
      <c r="U7745" t="str">
        <f t="shared" si="1236"/>
        <v/>
      </c>
      <c r="V7745" t="str">
        <f t="shared" si="1237"/>
        <v/>
      </c>
      <c r="W7745" t="str">
        <f t="shared" si="1238"/>
        <v/>
      </c>
      <c r="X7745">
        <f t="shared" si="1240"/>
        <v>0</v>
      </c>
      <c r="Z7745" t="str">
        <f t="shared" si="1239"/>
        <v/>
      </c>
      <c r="AA7745">
        <f t="shared" si="1241"/>
        <v>0</v>
      </c>
    </row>
    <row r="7746" spans="1:27" ht="21" customHeight="1" x14ac:dyDescent="0.95">
      <c r="A7746" s="56"/>
      <c r="B7746" s="57"/>
      <c r="C7746" s="57"/>
      <c r="D7746" s="57"/>
      <c r="E7746" s="56"/>
      <c r="F7746" s="57"/>
      <c r="G7746" s="57"/>
      <c r="H7746" s="56"/>
      <c r="I7746" s="56"/>
      <c r="J7746" s="58"/>
      <c r="K7746" s="58"/>
      <c r="L7746" s="13" t="str">
        <f t="shared" si="1230"/>
        <v/>
      </c>
      <c r="M7746" s="13" t="str">
        <f t="shared" si="1231"/>
        <v/>
      </c>
      <c r="Q7746" t="str">
        <f t="shared" si="1232"/>
        <v/>
      </c>
      <c r="R7746" t="str">
        <f t="shared" si="1233"/>
        <v/>
      </c>
      <c r="S7746" t="str">
        <f t="shared" si="1234"/>
        <v/>
      </c>
      <c r="T7746" t="str">
        <f t="shared" si="1235"/>
        <v/>
      </c>
      <c r="U7746" t="str">
        <f t="shared" si="1236"/>
        <v/>
      </c>
      <c r="V7746" t="str">
        <f t="shared" si="1237"/>
        <v/>
      </c>
      <c r="W7746" t="str">
        <f t="shared" si="1238"/>
        <v/>
      </c>
      <c r="X7746">
        <f t="shared" si="1240"/>
        <v>0</v>
      </c>
      <c r="Z7746" t="str">
        <f t="shared" si="1239"/>
        <v/>
      </c>
      <c r="AA7746">
        <f t="shared" si="1241"/>
        <v>0</v>
      </c>
    </row>
    <row r="7747" spans="1:27" ht="21" customHeight="1" x14ac:dyDescent="0.95">
      <c r="A7747" s="56"/>
      <c r="B7747" s="57"/>
      <c r="C7747" s="57"/>
      <c r="D7747" s="57"/>
      <c r="E7747" s="56"/>
      <c r="F7747" s="57"/>
      <c r="G7747" s="57"/>
      <c r="H7747" s="56"/>
      <c r="I7747" s="56"/>
      <c r="J7747" s="58"/>
      <c r="K7747" s="58"/>
      <c r="L7747" s="13" t="str">
        <f t="shared" si="1230"/>
        <v/>
      </c>
      <c r="M7747" s="13" t="str">
        <f t="shared" si="1231"/>
        <v/>
      </c>
      <c r="Q7747" t="str">
        <f t="shared" si="1232"/>
        <v/>
      </c>
      <c r="R7747" t="str">
        <f t="shared" si="1233"/>
        <v/>
      </c>
      <c r="S7747" t="str">
        <f t="shared" si="1234"/>
        <v/>
      </c>
      <c r="T7747" t="str">
        <f t="shared" si="1235"/>
        <v/>
      </c>
      <c r="U7747" t="str">
        <f t="shared" si="1236"/>
        <v/>
      </c>
      <c r="V7747" t="str">
        <f t="shared" si="1237"/>
        <v/>
      </c>
      <c r="W7747" t="str">
        <f t="shared" si="1238"/>
        <v/>
      </c>
      <c r="X7747">
        <f t="shared" si="1240"/>
        <v>0</v>
      </c>
      <c r="Z7747" t="str">
        <f t="shared" si="1239"/>
        <v/>
      </c>
      <c r="AA7747">
        <f t="shared" si="1241"/>
        <v>0</v>
      </c>
    </row>
    <row r="7748" spans="1:27" ht="21" customHeight="1" x14ac:dyDescent="0.95">
      <c r="A7748" s="56"/>
      <c r="B7748" s="57"/>
      <c r="C7748" s="57"/>
      <c r="D7748" s="57"/>
      <c r="E7748" s="56"/>
      <c r="F7748" s="57"/>
      <c r="G7748" s="57"/>
      <c r="H7748" s="56"/>
      <c r="I7748" s="56"/>
      <c r="J7748" s="58"/>
      <c r="K7748" s="58"/>
      <c r="L7748" s="13" t="str">
        <f t="shared" ref="L7748:L7811" si="1242">IF(OR($A7748="",AND($J7748="",$K7748="")),"",ROUND(N($J7748)-N($K7748),2))</f>
        <v/>
      </c>
      <c r="M7748" s="13" t="str">
        <f t="shared" ref="M7748:M7811" si="1243">IF(OR($A7748="",AND($J7748="",$K7748="")),"",MIN($J7748,$K7748))</f>
        <v/>
      </c>
      <c r="Q7748" t="str">
        <f t="shared" ref="Q7748:Q7811" si="1244">IF($A7748="","",$D7748&amp;"("&amp;SUBSTITUTE($E7748," ","")&amp;")")</f>
        <v/>
      </c>
      <c r="R7748" t="str">
        <f t="shared" ref="R7748:R7811" si="1245">IF($A7748="","",$B7748&amp;" - "&amp;$C7748)</f>
        <v/>
      </c>
      <c r="S7748" t="str">
        <f t="shared" ref="S7748:S7811" si="1246">IF($A7748="","",$R7748&amp;"|"&amp;$Q7748)</f>
        <v/>
      </c>
      <c r="T7748" t="str">
        <f t="shared" ref="T7748:T7811" si="1247">IF($A7748="","",$S7748&amp;"|"&amp;$F7748)</f>
        <v/>
      </c>
      <c r="U7748" t="str">
        <f t="shared" ref="U7748:U7811" si="1248">IF($A7748="","",$R7748&amp;"("&amp;$E7748&amp;")")</f>
        <v/>
      </c>
      <c r="V7748" t="str">
        <f t="shared" ref="V7748:V7811" si="1249">IF($A7748="","",$F7748&amp;"|"&amp;$U7748&amp;"|"&amp;$D7748)</f>
        <v/>
      </c>
      <c r="W7748" t="str">
        <f t="shared" si="1238"/>
        <v/>
      </c>
      <c r="X7748">
        <f t="shared" si="1240"/>
        <v>0</v>
      </c>
      <c r="Z7748" t="str">
        <f t="shared" si="1239"/>
        <v/>
      </c>
      <c r="AA7748">
        <f t="shared" si="1241"/>
        <v>0</v>
      </c>
    </row>
    <row r="7749" spans="1:27" ht="21" customHeight="1" x14ac:dyDescent="0.95">
      <c r="A7749" s="56"/>
      <c r="B7749" s="57"/>
      <c r="C7749" s="57"/>
      <c r="D7749" s="57"/>
      <c r="E7749" s="56"/>
      <c r="F7749" s="57"/>
      <c r="G7749" s="57"/>
      <c r="H7749" s="56"/>
      <c r="I7749" s="56"/>
      <c r="J7749" s="58"/>
      <c r="K7749" s="58"/>
      <c r="L7749" s="13" t="str">
        <f t="shared" si="1242"/>
        <v/>
      </c>
      <c r="M7749" s="13" t="str">
        <f t="shared" si="1243"/>
        <v/>
      </c>
      <c r="Q7749" t="str">
        <f t="shared" si="1244"/>
        <v/>
      </c>
      <c r="R7749" t="str">
        <f t="shared" si="1245"/>
        <v/>
      </c>
      <c r="S7749" t="str">
        <f t="shared" si="1246"/>
        <v/>
      </c>
      <c r="T7749" t="str">
        <f t="shared" si="1247"/>
        <v/>
      </c>
      <c r="U7749" t="str">
        <f t="shared" si="1248"/>
        <v/>
      </c>
      <c r="V7749" t="str">
        <f t="shared" si="1249"/>
        <v/>
      </c>
      <c r="W7749" t="str">
        <f t="shared" si="1238"/>
        <v/>
      </c>
      <c r="X7749">
        <f t="shared" si="1240"/>
        <v>0</v>
      </c>
      <c r="Z7749" t="str">
        <f t="shared" si="1239"/>
        <v/>
      </c>
      <c r="AA7749">
        <f t="shared" si="1241"/>
        <v>0</v>
      </c>
    </row>
    <row r="7750" spans="1:27" ht="21" customHeight="1" x14ac:dyDescent="0.95">
      <c r="A7750" s="56"/>
      <c r="B7750" s="57"/>
      <c r="C7750" s="57"/>
      <c r="D7750" s="57"/>
      <c r="E7750" s="56"/>
      <c r="F7750" s="57"/>
      <c r="G7750" s="57"/>
      <c r="H7750" s="56"/>
      <c r="I7750" s="56"/>
      <c r="J7750" s="58"/>
      <c r="K7750" s="58"/>
      <c r="L7750" s="13" t="str">
        <f t="shared" si="1242"/>
        <v/>
      </c>
      <c r="M7750" s="13" t="str">
        <f t="shared" si="1243"/>
        <v/>
      </c>
      <c r="Q7750" t="str">
        <f t="shared" si="1244"/>
        <v/>
      </c>
      <c r="R7750" t="str">
        <f t="shared" si="1245"/>
        <v/>
      </c>
      <c r="S7750" t="str">
        <f t="shared" si="1246"/>
        <v/>
      </c>
      <c r="T7750" t="str">
        <f t="shared" si="1247"/>
        <v/>
      </c>
      <c r="U7750" t="str">
        <f t="shared" si="1248"/>
        <v/>
      </c>
      <c r="V7750" t="str">
        <f t="shared" si="1249"/>
        <v/>
      </c>
      <c r="W7750" t="str">
        <f t="shared" ref="W7750:W7813" si="1250">IF($T7750="","",IF($X7750&gt;N($X7749),$X7750,""))</f>
        <v/>
      </c>
      <c r="X7750">
        <f t="shared" si="1240"/>
        <v>0</v>
      </c>
      <c r="Z7750" t="str">
        <f t="shared" ref="Z7750:Z7813" si="1251">IF($V7750="","",IF($AA7750&gt;N($AA7749),$AA7750,""))</f>
        <v/>
      </c>
      <c r="AA7750">
        <f t="shared" si="1241"/>
        <v>0</v>
      </c>
    </row>
    <row r="7751" spans="1:27" ht="21" customHeight="1" x14ac:dyDescent="0.95">
      <c r="A7751" s="56"/>
      <c r="B7751" s="57"/>
      <c r="C7751" s="57"/>
      <c r="D7751" s="57"/>
      <c r="E7751" s="56"/>
      <c r="F7751" s="57"/>
      <c r="G7751" s="57"/>
      <c r="H7751" s="56"/>
      <c r="I7751" s="56"/>
      <c r="J7751" s="58"/>
      <c r="K7751" s="58"/>
      <c r="L7751" s="13" t="str">
        <f t="shared" si="1242"/>
        <v/>
      </c>
      <c r="M7751" s="13" t="str">
        <f t="shared" si="1243"/>
        <v/>
      </c>
      <c r="Q7751" t="str">
        <f t="shared" si="1244"/>
        <v/>
      </c>
      <c r="R7751" t="str">
        <f t="shared" si="1245"/>
        <v/>
      </c>
      <c r="S7751" t="str">
        <f t="shared" si="1246"/>
        <v/>
      </c>
      <c r="T7751" t="str">
        <f t="shared" si="1247"/>
        <v/>
      </c>
      <c r="U7751" t="str">
        <f t="shared" si="1248"/>
        <v/>
      </c>
      <c r="V7751" t="str">
        <f t="shared" si="1249"/>
        <v/>
      </c>
      <c r="W7751" t="str">
        <f t="shared" si="1250"/>
        <v/>
      </c>
      <c r="X7751">
        <f t="shared" si="1240"/>
        <v>0</v>
      </c>
      <c r="Z7751" t="str">
        <f t="shared" si="1251"/>
        <v/>
      </c>
      <c r="AA7751">
        <f t="shared" si="1241"/>
        <v>0</v>
      </c>
    </row>
    <row r="7752" spans="1:27" ht="21" customHeight="1" x14ac:dyDescent="0.95">
      <c r="A7752" s="56"/>
      <c r="B7752" s="57"/>
      <c r="C7752" s="57"/>
      <c r="D7752" s="57"/>
      <c r="E7752" s="56"/>
      <c r="F7752" s="57"/>
      <c r="G7752" s="57"/>
      <c r="H7752" s="56"/>
      <c r="I7752" s="56"/>
      <c r="J7752" s="58"/>
      <c r="K7752" s="58"/>
      <c r="L7752" s="13" t="str">
        <f t="shared" si="1242"/>
        <v/>
      </c>
      <c r="M7752" s="13" t="str">
        <f t="shared" si="1243"/>
        <v/>
      </c>
      <c r="Q7752" t="str">
        <f t="shared" si="1244"/>
        <v/>
      </c>
      <c r="R7752" t="str">
        <f t="shared" si="1245"/>
        <v/>
      </c>
      <c r="S7752" t="str">
        <f t="shared" si="1246"/>
        <v/>
      </c>
      <c r="T7752" t="str">
        <f t="shared" si="1247"/>
        <v/>
      </c>
      <c r="U7752" t="str">
        <f t="shared" si="1248"/>
        <v/>
      </c>
      <c r="V7752" t="str">
        <f t="shared" si="1249"/>
        <v/>
      </c>
      <c r="W7752" t="str">
        <f t="shared" si="1250"/>
        <v/>
      </c>
      <c r="X7752">
        <f t="shared" si="1240"/>
        <v>0</v>
      </c>
      <c r="Z7752" t="str">
        <f t="shared" si="1251"/>
        <v/>
      </c>
      <c r="AA7752">
        <f t="shared" si="1241"/>
        <v>0</v>
      </c>
    </row>
    <row r="7753" spans="1:27" ht="21" customHeight="1" x14ac:dyDescent="0.95">
      <c r="A7753" s="56"/>
      <c r="B7753" s="57"/>
      <c r="C7753" s="57"/>
      <c r="D7753" s="57"/>
      <c r="E7753" s="56"/>
      <c r="F7753" s="57"/>
      <c r="G7753" s="57"/>
      <c r="H7753" s="56"/>
      <c r="I7753" s="56"/>
      <c r="J7753" s="58"/>
      <c r="K7753" s="58"/>
      <c r="L7753" s="13" t="str">
        <f t="shared" si="1242"/>
        <v/>
      </c>
      <c r="M7753" s="13" t="str">
        <f t="shared" si="1243"/>
        <v/>
      </c>
      <c r="Q7753" t="str">
        <f t="shared" si="1244"/>
        <v/>
      </c>
      <c r="R7753" t="str">
        <f t="shared" si="1245"/>
        <v/>
      </c>
      <c r="S7753" t="str">
        <f t="shared" si="1246"/>
        <v/>
      </c>
      <c r="T7753" t="str">
        <f t="shared" si="1247"/>
        <v/>
      </c>
      <c r="U7753" t="str">
        <f t="shared" si="1248"/>
        <v/>
      </c>
      <c r="V7753" t="str">
        <f t="shared" si="1249"/>
        <v/>
      </c>
      <c r="W7753" t="str">
        <f t="shared" si="1250"/>
        <v/>
      </c>
      <c r="X7753">
        <f t="shared" si="1240"/>
        <v>0</v>
      </c>
      <c r="Z7753" t="str">
        <f t="shared" si="1251"/>
        <v/>
      </c>
      <c r="AA7753">
        <f t="shared" si="1241"/>
        <v>0</v>
      </c>
    </row>
    <row r="7754" spans="1:27" ht="21" customHeight="1" x14ac:dyDescent="0.95">
      <c r="A7754" s="56"/>
      <c r="B7754" s="57"/>
      <c r="C7754" s="57"/>
      <c r="D7754" s="57"/>
      <c r="E7754" s="56"/>
      <c r="F7754" s="57"/>
      <c r="G7754" s="57"/>
      <c r="H7754" s="56"/>
      <c r="I7754" s="56"/>
      <c r="J7754" s="58"/>
      <c r="K7754" s="58"/>
      <c r="L7754" s="13" t="str">
        <f t="shared" si="1242"/>
        <v/>
      </c>
      <c r="M7754" s="13" t="str">
        <f t="shared" si="1243"/>
        <v/>
      </c>
      <c r="Q7754" t="str">
        <f t="shared" si="1244"/>
        <v/>
      </c>
      <c r="R7754" t="str">
        <f t="shared" si="1245"/>
        <v/>
      </c>
      <c r="S7754" t="str">
        <f t="shared" si="1246"/>
        <v/>
      </c>
      <c r="T7754" t="str">
        <f t="shared" si="1247"/>
        <v/>
      </c>
      <c r="U7754" t="str">
        <f t="shared" si="1248"/>
        <v/>
      </c>
      <c r="V7754" t="str">
        <f t="shared" si="1249"/>
        <v/>
      </c>
      <c r="W7754" t="str">
        <f t="shared" si="1250"/>
        <v/>
      </c>
      <c r="X7754">
        <f t="shared" si="1240"/>
        <v>0</v>
      </c>
      <c r="Z7754" t="str">
        <f t="shared" si="1251"/>
        <v/>
      </c>
      <c r="AA7754">
        <f t="shared" si="1241"/>
        <v>0</v>
      </c>
    </row>
    <row r="7755" spans="1:27" ht="21" customHeight="1" x14ac:dyDescent="0.95">
      <c r="A7755" s="56"/>
      <c r="B7755" s="57"/>
      <c r="C7755" s="57"/>
      <c r="D7755" s="57"/>
      <c r="E7755" s="56"/>
      <c r="F7755" s="57"/>
      <c r="G7755" s="57"/>
      <c r="H7755" s="56"/>
      <c r="I7755" s="56"/>
      <c r="J7755" s="58"/>
      <c r="K7755" s="58"/>
      <c r="L7755" s="13" t="str">
        <f t="shared" si="1242"/>
        <v/>
      </c>
      <c r="M7755" s="13" t="str">
        <f t="shared" si="1243"/>
        <v/>
      </c>
      <c r="Q7755" t="str">
        <f t="shared" si="1244"/>
        <v/>
      </c>
      <c r="R7755" t="str">
        <f t="shared" si="1245"/>
        <v/>
      </c>
      <c r="S7755" t="str">
        <f t="shared" si="1246"/>
        <v/>
      </c>
      <c r="T7755" t="str">
        <f t="shared" si="1247"/>
        <v/>
      </c>
      <c r="U7755" t="str">
        <f t="shared" si="1248"/>
        <v/>
      </c>
      <c r="V7755" t="str">
        <f t="shared" si="1249"/>
        <v/>
      </c>
      <c r="W7755" t="str">
        <f t="shared" si="1250"/>
        <v/>
      </c>
      <c r="X7755">
        <f t="shared" si="1240"/>
        <v>0</v>
      </c>
      <c r="Z7755" t="str">
        <f t="shared" si="1251"/>
        <v/>
      </c>
      <c r="AA7755">
        <f t="shared" si="1241"/>
        <v>0</v>
      </c>
    </row>
    <row r="7756" spans="1:27" ht="21" customHeight="1" x14ac:dyDescent="0.95">
      <c r="A7756" s="56"/>
      <c r="B7756" s="57"/>
      <c r="C7756" s="57"/>
      <c r="D7756" s="57"/>
      <c r="E7756" s="56"/>
      <c r="F7756" s="57"/>
      <c r="G7756" s="57"/>
      <c r="H7756" s="56"/>
      <c r="I7756" s="56"/>
      <c r="J7756" s="58"/>
      <c r="K7756" s="58"/>
      <c r="L7756" s="13" t="str">
        <f t="shared" si="1242"/>
        <v/>
      </c>
      <c r="M7756" s="13" t="str">
        <f t="shared" si="1243"/>
        <v/>
      </c>
      <c r="Q7756" t="str">
        <f t="shared" si="1244"/>
        <v/>
      </c>
      <c r="R7756" t="str">
        <f t="shared" si="1245"/>
        <v/>
      </c>
      <c r="S7756" t="str">
        <f t="shared" si="1246"/>
        <v/>
      </c>
      <c r="T7756" t="str">
        <f t="shared" si="1247"/>
        <v/>
      </c>
      <c r="U7756" t="str">
        <f t="shared" si="1248"/>
        <v/>
      </c>
      <c r="V7756" t="str">
        <f t="shared" si="1249"/>
        <v/>
      </c>
      <c r="W7756" t="str">
        <f t="shared" si="1250"/>
        <v/>
      </c>
      <c r="X7756">
        <f t="shared" si="1240"/>
        <v>0</v>
      </c>
      <c r="Z7756" t="str">
        <f t="shared" si="1251"/>
        <v/>
      </c>
      <c r="AA7756">
        <f t="shared" si="1241"/>
        <v>0</v>
      </c>
    </row>
    <row r="7757" spans="1:27" ht="21" customHeight="1" x14ac:dyDescent="0.95">
      <c r="A7757" s="56"/>
      <c r="B7757" s="57"/>
      <c r="C7757" s="57"/>
      <c r="D7757" s="57"/>
      <c r="E7757" s="56"/>
      <c r="F7757" s="57"/>
      <c r="G7757" s="57"/>
      <c r="H7757" s="56"/>
      <c r="I7757" s="56"/>
      <c r="J7757" s="58"/>
      <c r="K7757" s="58"/>
      <c r="L7757" s="13" t="str">
        <f t="shared" si="1242"/>
        <v/>
      </c>
      <c r="M7757" s="13" t="str">
        <f t="shared" si="1243"/>
        <v/>
      </c>
      <c r="Q7757" t="str">
        <f t="shared" si="1244"/>
        <v/>
      </c>
      <c r="R7757" t="str">
        <f t="shared" si="1245"/>
        <v/>
      </c>
      <c r="S7757" t="str">
        <f t="shared" si="1246"/>
        <v/>
      </c>
      <c r="T7757" t="str">
        <f t="shared" si="1247"/>
        <v/>
      </c>
      <c r="U7757" t="str">
        <f t="shared" si="1248"/>
        <v/>
      </c>
      <c r="V7757" t="str">
        <f t="shared" si="1249"/>
        <v/>
      </c>
      <c r="W7757" t="str">
        <f t="shared" si="1250"/>
        <v/>
      </c>
      <c r="X7757">
        <f t="shared" si="1240"/>
        <v>0</v>
      </c>
      <c r="Z7757" t="str">
        <f t="shared" si="1251"/>
        <v/>
      </c>
      <c r="AA7757">
        <f t="shared" si="1241"/>
        <v>0</v>
      </c>
    </row>
    <row r="7758" spans="1:27" ht="21" customHeight="1" x14ac:dyDescent="0.95">
      <c r="A7758" s="56"/>
      <c r="B7758" s="57"/>
      <c r="C7758" s="57"/>
      <c r="D7758" s="57"/>
      <c r="E7758" s="56"/>
      <c r="F7758" s="57"/>
      <c r="G7758" s="57"/>
      <c r="H7758" s="56"/>
      <c r="I7758" s="56"/>
      <c r="J7758" s="58"/>
      <c r="K7758" s="58"/>
      <c r="L7758" s="13" t="str">
        <f t="shared" si="1242"/>
        <v/>
      </c>
      <c r="M7758" s="13" t="str">
        <f t="shared" si="1243"/>
        <v/>
      </c>
      <c r="Q7758" t="str">
        <f t="shared" si="1244"/>
        <v/>
      </c>
      <c r="R7758" t="str">
        <f t="shared" si="1245"/>
        <v/>
      </c>
      <c r="S7758" t="str">
        <f t="shared" si="1246"/>
        <v/>
      </c>
      <c r="T7758" t="str">
        <f t="shared" si="1247"/>
        <v/>
      </c>
      <c r="U7758" t="str">
        <f t="shared" si="1248"/>
        <v/>
      </c>
      <c r="V7758" t="str">
        <f t="shared" si="1249"/>
        <v/>
      </c>
      <c r="W7758" t="str">
        <f t="shared" si="1250"/>
        <v/>
      </c>
      <c r="X7758">
        <f t="shared" si="1240"/>
        <v>0</v>
      </c>
      <c r="Z7758" t="str">
        <f t="shared" si="1251"/>
        <v/>
      </c>
      <c r="AA7758">
        <f t="shared" si="1241"/>
        <v>0</v>
      </c>
    </row>
    <row r="7759" spans="1:27" ht="21" customHeight="1" x14ac:dyDescent="0.95">
      <c r="A7759" s="56"/>
      <c r="B7759" s="57"/>
      <c r="C7759" s="57"/>
      <c r="D7759" s="57"/>
      <c r="E7759" s="56"/>
      <c r="F7759" s="57"/>
      <c r="G7759" s="57"/>
      <c r="H7759" s="56"/>
      <c r="I7759" s="56"/>
      <c r="J7759" s="58"/>
      <c r="K7759" s="58"/>
      <c r="L7759" s="13" t="str">
        <f t="shared" si="1242"/>
        <v/>
      </c>
      <c r="M7759" s="13" t="str">
        <f t="shared" si="1243"/>
        <v/>
      </c>
      <c r="Q7759" t="str">
        <f t="shared" si="1244"/>
        <v/>
      </c>
      <c r="R7759" t="str">
        <f t="shared" si="1245"/>
        <v/>
      </c>
      <c r="S7759" t="str">
        <f t="shared" si="1246"/>
        <v/>
      </c>
      <c r="T7759" t="str">
        <f t="shared" si="1247"/>
        <v/>
      </c>
      <c r="U7759" t="str">
        <f t="shared" si="1248"/>
        <v/>
      </c>
      <c r="V7759" t="str">
        <f t="shared" si="1249"/>
        <v/>
      </c>
      <c r="W7759" t="str">
        <f t="shared" si="1250"/>
        <v/>
      </c>
      <c r="X7759">
        <f t="shared" si="1240"/>
        <v>0</v>
      </c>
      <c r="Z7759" t="str">
        <f t="shared" si="1251"/>
        <v/>
      </c>
      <c r="AA7759">
        <f t="shared" si="1241"/>
        <v>0</v>
      </c>
    </row>
    <row r="7760" spans="1:27" ht="21" customHeight="1" x14ac:dyDescent="0.95">
      <c r="A7760" s="56"/>
      <c r="B7760" s="57"/>
      <c r="C7760" s="57"/>
      <c r="D7760" s="57"/>
      <c r="E7760" s="56"/>
      <c r="F7760" s="57"/>
      <c r="G7760" s="57"/>
      <c r="H7760" s="56"/>
      <c r="I7760" s="56"/>
      <c r="J7760" s="58"/>
      <c r="K7760" s="58"/>
      <c r="L7760" s="13" t="str">
        <f t="shared" si="1242"/>
        <v/>
      </c>
      <c r="M7760" s="13" t="str">
        <f t="shared" si="1243"/>
        <v/>
      </c>
      <c r="Q7760" t="str">
        <f t="shared" si="1244"/>
        <v/>
      </c>
      <c r="R7760" t="str">
        <f t="shared" si="1245"/>
        <v/>
      </c>
      <c r="S7760" t="str">
        <f t="shared" si="1246"/>
        <v/>
      </c>
      <c r="T7760" t="str">
        <f t="shared" si="1247"/>
        <v/>
      </c>
      <c r="U7760" t="str">
        <f t="shared" si="1248"/>
        <v/>
      </c>
      <c r="V7760" t="str">
        <f t="shared" si="1249"/>
        <v/>
      </c>
      <c r="W7760" t="str">
        <f t="shared" si="1250"/>
        <v/>
      </c>
      <c r="X7760">
        <f t="shared" si="1240"/>
        <v>0</v>
      </c>
      <c r="Z7760" t="str">
        <f t="shared" si="1251"/>
        <v/>
      </c>
      <c r="AA7760">
        <f t="shared" si="1241"/>
        <v>0</v>
      </c>
    </row>
    <row r="7761" spans="1:27" ht="21" customHeight="1" x14ac:dyDescent="0.95">
      <c r="A7761" s="56"/>
      <c r="B7761" s="57"/>
      <c r="C7761" s="57"/>
      <c r="D7761" s="57"/>
      <c r="E7761" s="56"/>
      <c r="F7761" s="57"/>
      <c r="G7761" s="57"/>
      <c r="H7761" s="56"/>
      <c r="I7761" s="56"/>
      <c r="J7761" s="58"/>
      <c r="K7761" s="58"/>
      <c r="L7761" s="13" t="str">
        <f t="shared" si="1242"/>
        <v/>
      </c>
      <c r="M7761" s="13" t="str">
        <f t="shared" si="1243"/>
        <v/>
      </c>
      <c r="Q7761" t="str">
        <f t="shared" si="1244"/>
        <v/>
      </c>
      <c r="R7761" t="str">
        <f t="shared" si="1245"/>
        <v/>
      </c>
      <c r="S7761" t="str">
        <f t="shared" si="1246"/>
        <v/>
      </c>
      <c r="T7761" t="str">
        <f t="shared" si="1247"/>
        <v/>
      </c>
      <c r="U7761" t="str">
        <f t="shared" si="1248"/>
        <v/>
      </c>
      <c r="V7761" t="str">
        <f t="shared" si="1249"/>
        <v/>
      </c>
      <c r="W7761" t="str">
        <f t="shared" si="1250"/>
        <v/>
      </c>
      <c r="X7761">
        <f t="shared" si="1240"/>
        <v>0</v>
      </c>
      <c r="Z7761" t="str">
        <f t="shared" si="1251"/>
        <v/>
      </c>
      <c r="AA7761">
        <f t="shared" si="1241"/>
        <v>0</v>
      </c>
    </row>
    <row r="7762" spans="1:27" ht="21" customHeight="1" x14ac:dyDescent="0.95">
      <c r="A7762" s="56"/>
      <c r="B7762" s="57"/>
      <c r="C7762" s="57"/>
      <c r="D7762" s="57"/>
      <c r="E7762" s="56"/>
      <c r="F7762" s="57"/>
      <c r="G7762" s="57"/>
      <c r="H7762" s="56"/>
      <c r="I7762" s="56"/>
      <c r="J7762" s="58"/>
      <c r="K7762" s="58"/>
      <c r="L7762" s="13" t="str">
        <f t="shared" si="1242"/>
        <v/>
      </c>
      <c r="M7762" s="13" t="str">
        <f t="shared" si="1243"/>
        <v/>
      </c>
      <c r="Q7762" t="str">
        <f t="shared" si="1244"/>
        <v/>
      </c>
      <c r="R7762" t="str">
        <f t="shared" si="1245"/>
        <v/>
      </c>
      <c r="S7762" t="str">
        <f t="shared" si="1246"/>
        <v/>
      </c>
      <c r="T7762" t="str">
        <f t="shared" si="1247"/>
        <v/>
      </c>
      <c r="U7762" t="str">
        <f t="shared" si="1248"/>
        <v/>
      </c>
      <c r="V7762" t="str">
        <f t="shared" si="1249"/>
        <v/>
      </c>
      <c r="W7762" t="str">
        <f t="shared" si="1250"/>
        <v/>
      </c>
      <c r="X7762">
        <f t="shared" si="1240"/>
        <v>0</v>
      </c>
      <c r="Z7762" t="str">
        <f t="shared" si="1251"/>
        <v/>
      </c>
      <c r="AA7762">
        <f t="shared" si="1241"/>
        <v>0</v>
      </c>
    </row>
    <row r="7763" spans="1:27" ht="21" customHeight="1" x14ac:dyDescent="0.95">
      <c r="A7763" s="56"/>
      <c r="B7763" s="57"/>
      <c r="C7763" s="57"/>
      <c r="D7763" s="57"/>
      <c r="E7763" s="56"/>
      <c r="F7763" s="57"/>
      <c r="G7763" s="57"/>
      <c r="H7763" s="56"/>
      <c r="I7763" s="56"/>
      <c r="J7763" s="58"/>
      <c r="K7763" s="58"/>
      <c r="L7763" s="13" t="str">
        <f t="shared" si="1242"/>
        <v/>
      </c>
      <c r="M7763" s="13" t="str">
        <f t="shared" si="1243"/>
        <v/>
      </c>
      <c r="Q7763" t="str">
        <f t="shared" si="1244"/>
        <v/>
      </c>
      <c r="R7763" t="str">
        <f t="shared" si="1245"/>
        <v/>
      </c>
      <c r="S7763" t="str">
        <f t="shared" si="1246"/>
        <v/>
      </c>
      <c r="T7763" t="str">
        <f t="shared" si="1247"/>
        <v/>
      </c>
      <c r="U7763" t="str">
        <f t="shared" si="1248"/>
        <v/>
      </c>
      <c r="V7763" t="str">
        <f t="shared" si="1249"/>
        <v/>
      </c>
      <c r="W7763" t="str">
        <f t="shared" si="1250"/>
        <v/>
      </c>
      <c r="X7763">
        <f t="shared" si="1240"/>
        <v>0</v>
      </c>
      <c r="Z7763" t="str">
        <f t="shared" si="1251"/>
        <v/>
      </c>
      <c r="AA7763">
        <f t="shared" si="1241"/>
        <v>0</v>
      </c>
    </row>
    <row r="7764" spans="1:27" ht="21" customHeight="1" x14ac:dyDescent="0.95">
      <c r="A7764" s="56"/>
      <c r="B7764" s="57"/>
      <c r="C7764" s="57"/>
      <c r="D7764" s="57"/>
      <c r="E7764" s="56"/>
      <c r="F7764" s="57"/>
      <c r="G7764" s="57"/>
      <c r="H7764" s="56"/>
      <c r="I7764" s="56"/>
      <c r="J7764" s="58"/>
      <c r="K7764" s="58"/>
      <c r="L7764" s="13" t="str">
        <f t="shared" si="1242"/>
        <v/>
      </c>
      <c r="M7764" s="13" t="str">
        <f t="shared" si="1243"/>
        <v/>
      </c>
      <c r="Q7764" t="str">
        <f t="shared" si="1244"/>
        <v/>
      </c>
      <c r="R7764" t="str">
        <f t="shared" si="1245"/>
        <v/>
      </c>
      <c r="S7764" t="str">
        <f t="shared" si="1246"/>
        <v/>
      </c>
      <c r="T7764" t="str">
        <f t="shared" si="1247"/>
        <v/>
      </c>
      <c r="U7764" t="str">
        <f t="shared" si="1248"/>
        <v/>
      </c>
      <c r="V7764" t="str">
        <f t="shared" si="1249"/>
        <v/>
      </c>
      <c r="W7764" t="str">
        <f t="shared" si="1250"/>
        <v/>
      </c>
      <c r="X7764">
        <f t="shared" si="1240"/>
        <v>0</v>
      </c>
      <c r="Z7764" t="str">
        <f t="shared" si="1251"/>
        <v/>
      </c>
      <c r="AA7764">
        <f t="shared" si="1241"/>
        <v>0</v>
      </c>
    </row>
    <row r="7765" spans="1:27" ht="21" customHeight="1" x14ac:dyDescent="0.95">
      <c r="A7765" s="56"/>
      <c r="B7765" s="57"/>
      <c r="C7765" s="57"/>
      <c r="D7765" s="57"/>
      <c r="E7765" s="56"/>
      <c r="F7765" s="57"/>
      <c r="G7765" s="57"/>
      <c r="H7765" s="56"/>
      <c r="I7765" s="56"/>
      <c r="J7765" s="58"/>
      <c r="K7765" s="58"/>
      <c r="L7765" s="13" t="str">
        <f t="shared" si="1242"/>
        <v/>
      </c>
      <c r="M7765" s="13" t="str">
        <f t="shared" si="1243"/>
        <v/>
      </c>
      <c r="Q7765" t="str">
        <f t="shared" si="1244"/>
        <v/>
      </c>
      <c r="R7765" t="str">
        <f t="shared" si="1245"/>
        <v/>
      </c>
      <c r="S7765" t="str">
        <f t="shared" si="1246"/>
        <v/>
      </c>
      <c r="T7765" t="str">
        <f t="shared" si="1247"/>
        <v/>
      </c>
      <c r="U7765" t="str">
        <f t="shared" si="1248"/>
        <v/>
      </c>
      <c r="V7765" t="str">
        <f t="shared" si="1249"/>
        <v/>
      </c>
      <c r="W7765" t="str">
        <f t="shared" si="1250"/>
        <v/>
      </c>
      <c r="X7765">
        <f t="shared" si="1240"/>
        <v>0</v>
      </c>
      <c r="Z7765" t="str">
        <f t="shared" si="1251"/>
        <v/>
      </c>
      <c r="AA7765">
        <f t="shared" si="1241"/>
        <v>0</v>
      </c>
    </row>
    <row r="7766" spans="1:27" ht="21" customHeight="1" x14ac:dyDescent="0.95">
      <c r="A7766" s="56"/>
      <c r="B7766" s="57"/>
      <c r="C7766" s="57"/>
      <c r="D7766" s="57"/>
      <c r="E7766" s="56"/>
      <c r="F7766" s="57"/>
      <c r="G7766" s="57"/>
      <c r="H7766" s="56"/>
      <c r="I7766" s="56"/>
      <c r="J7766" s="58"/>
      <c r="K7766" s="58"/>
      <c r="L7766" s="13" t="str">
        <f t="shared" si="1242"/>
        <v/>
      </c>
      <c r="M7766" s="13" t="str">
        <f t="shared" si="1243"/>
        <v/>
      </c>
      <c r="Q7766" t="str">
        <f t="shared" si="1244"/>
        <v/>
      </c>
      <c r="R7766" t="str">
        <f t="shared" si="1245"/>
        <v/>
      </c>
      <c r="S7766" t="str">
        <f t="shared" si="1246"/>
        <v/>
      </c>
      <c r="T7766" t="str">
        <f t="shared" si="1247"/>
        <v/>
      </c>
      <c r="U7766" t="str">
        <f t="shared" si="1248"/>
        <v/>
      </c>
      <c r="V7766" t="str">
        <f t="shared" si="1249"/>
        <v/>
      </c>
      <c r="W7766" t="str">
        <f t="shared" si="1250"/>
        <v/>
      </c>
      <c r="X7766">
        <f t="shared" si="1240"/>
        <v>0</v>
      </c>
      <c r="Z7766" t="str">
        <f t="shared" si="1251"/>
        <v/>
      </c>
      <c r="AA7766">
        <f t="shared" si="1241"/>
        <v>0</v>
      </c>
    </row>
    <row r="7767" spans="1:27" ht="21" customHeight="1" x14ac:dyDescent="0.95">
      <c r="A7767" s="56"/>
      <c r="B7767" s="57"/>
      <c r="C7767" s="57"/>
      <c r="D7767" s="57"/>
      <c r="E7767" s="56"/>
      <c r="F7767" s="57"/>
      <c r="G7767" s="57"/>
      <c r="H7767" s="56"/>
      <c r="I7767" s="56"/>
      <c r="J7767" s="58"/>
      <c r="K7767" s="58"/>
      <c r="L7767" s="13" t="str">
        <f t="shared" si="1242"/>
        <v/>
      </c>
      <c r="M7767" s="13" t="str">
        <f t="shared" si="1243"/>
        <v/>
      </c>
      <c r="Q7767" t="str">
        <f t="shared" si="1244"/>
        <v/>
      </c>
      <c r="R7767" t="str">
        <f t="shared" si="1245"/>
        <v/>
      </c>
      <c r="S7767" t="str">
        <f t="shared" si="1246"/>
        <v/>
      </c>
      <c r="T7767" t="str">
        <f t="shared" si="1247"/>
        <v/>
      </c>
      <c r="U7767" t="str">
        <f t="shared" si="1248"/>
        <v/>
      </c>
      <c r="V7767" t="str">
        <f t="shared" si="1249"/>
        <v/>
      </c>
      <c r="W7767" t="str">
        <f t="shared" si="1250"/>
        <v/>
      </c>
      <c r="X7767">
        <f t="shared" si="1240"/>
        <v>0</v>
      </c>
      <c r="Z7767" t="str">
        <f t="shared" si="1251"/>
        <v/>
      </c>
      <c r="AA7767">
        <f t="shared" si="1241"/>
        <v>0</v>
      </c>
    </row>
    <row r="7768" spans="1:27" ht="21" customHeight="1" x14ac:dyDescent="0.95">
      <c r="A7768" s="56"/>
      <c r="B7768" s="57"/>
      <c r="C7768" s="57"/>
      <c r="D7768" s="57"/>
      <c r="E7768" s="56"/>
      <c r="F7768" s="57"/>
      <c r="G7768" s="57"/>
      <c r="H7768" s="56"/>
      <c r="I7768" s="56"/>
      <c r="J7768" s="58"/>
      <c r="K7768" s="58"/>
      <c r="L7768" s="13" t="str">
        <f t="shared" si="1242"/>
        <v/>
      </c>
      <c r="M7768" s="13" t="str">
        <f t="shared" si="1243"/>
        <v/>
      </c>
      <c r="Q7768" t="str">
        <f t="shared" si="1244"/>
        <v/>
      </c>
      <c r="R7768" t="str">
        <f t="shared" si="1245"/>
        <v/>
      </c>
      <c r="S7768" t="str">
        <f t="shared" si="1246"/>
        <v/>
      </c>
      <c r="T7768" t="str">
        <f t="shared" si="1247"/>
        <v/>
      </c>
      <c r="U7768" t="str">
        <f t="shared" si="1248"/>
        <v/>
      </c>
      <c r="V7768" t="str">
        <f t="shared" si="1249"/>
        <v/>
      </c>
      <c r="W7768" t="str">
        <f t="shared" si="1250"/>
        <v/>
      </c>
      <c r="X7768">
        <f t="shared" si="1240"/>
        <v>0</v>
      </c>
      <c r="Z7768" t="str">
        <f t="shared" si="1251"/>
        <v/>
      </c>
      <c r="AA7768">
        <f t="shared" si="1241"/>
        <v>0</v>
      </c>
    </row>
    <row r="7769" spans="1:27" ht="21" customHeight="1" x14ac:dyDescent="0.95">
      <c r="A7769" s="56"/>
      <c r="B7769" s="57"/>
      <c r="C7769" s="57"/>
      <c r="D7769" s="57"/>
      <c r="E7769" s="56"/>
      <c r="F7769" s="57"/>
      <c r="G7769" s="57"/>
      <c r="H7769" s="56"/>
      <c r="I7769" s="56"/>
      <c r="J7769" s="58"/>
      <c r="K7769" s="58"/>
      <c r="L7769" s="13" t="str">
        <f t="shared" si="1242"/>
        <v/>
      </c>
      <c r="M7769" s="13" t="str">
        <f t="shared" si="1243"/>
        <v/>
      </c>
      <c r="Q7769" t="str">
        <f t="shared" si="1244"/>
        <v/>
      </c>
      <c r="R7769" t="str">
        <f t="shared" si="1245"/>
        <v/>
      </c>
      <c r="S7769" t="str">
        <f t="shared" si="1246"/>
        <v/>
      </c>
      <c r="T7769" t="str">
        <f t="shared" si="1247"/>
        <v/>
      </c>
      <c r="U7769" t="str">
        <f t="shared" si="1248"/>
        <v/>
      </c>
      <c r="V7769" t="str">
        <f t="shared" si="1249"/>
        <v/>
      </c>
      <c r="W7769" t="str">
        <f t="shared" si="1250"/>
        <v/>
      </c>
      <c r="X7769">
        <f t="shared" si="1240"/>
        <v>0</v>
      </c>
      <c r="Z7769" t="str">
        <f t="shared" si="1251"/>
        <v/>
      </c>
      <c r="AA7769">
        <f t="shared" si="1241"/>
        <v>0</v>
      </c>
    </row>
    <row r="7770" spans="1:27" ht="21" customHeight="1" x14ac:dyDescent="0.95">
      <c r="A7770" s="56"/>
      <c r="B7770" s="57"/>
      <c r="C7770" s="57"/>
      <c r="D7770" s="57"/>
      <c r="E7770" s="56"/>
      <c r="F7770" s="57"/>
      <c r="G7770" s="57"/>
      <c r="H7770" s="56"/>
      <c r="I7770" s="56"/>
      <c r="J7770" s="58"/>
      <c r="K7770" s="58"/>
      <c r="L7770" s="13" t="str">
        <f t="shared" si="1242"/>
        <v/>
      </c>
      <c r="M7770" s="13" t="str">
        <f t="shared" si="1243"/>
        <v/>
      </c>
      <c r="Q7770" t="str">
        <f t="shared" si="1244"/>
        <v/>
      </c>
      <c r="R7770" t="str">
        <f t="shared" si="1245"/>
        <v/>
      </c>
      <c r="S7770" t="str">
        <f t="shared" si="1246"/>
        <v/>
      </c>
      <c r="T7770" t="str">
        <f t="shared" si="1247"/>
        <v/>
      </c>
      <c r="U7770" t="str">
        <f t="shared" si="1248"/>
        <v/>
      </c>
      <c r="V7770" t="str">
        <f t="shared" si="1249"/>
        <v/>
      </c>
      <c r="W7770" t="str">
        <f t="shared" si="1250"/>
        <v/>
      </c>
      <c r="X7770">
        <f t="shared" si="1240"/>
        <v>0</v>
      </c>
      <c r="Z7770" t="str">
        <f t="shared" si="1251"/>
        <v/>
      </c>
      <c r="AA7770">
        <f t="shared" si="1241"/>
        <v>0</v>
      </c>
    </row>
    <row r="7771" spans="1:27" ht="21" customHeight="1" x14ac:dyDescent="0.95">
      <c r="A7771" s="56"/>
      <c r="B7771" s="57"/>
      <c r="C7771" s="57"/>
      <c r="D7771" s="57"/>
      <c r="E7771" s="56"/>
      <c r="F7771" s="57"/>
      <c r="G7771" s="57"/>
      <c r="H7771" s="56"/>
      <c r="I7771" s="56"/>
      <c r="J7771" s="58"/>
      <c r="K7771" s="58"/>
      <c r="L7771" s="13" t="str">
        <f t="shared" si="1242"/>
        <v/>
      </c>
      <c r="M7771" s="13" t="str">
        <f t="shared" si="1243"/>
        <v/>
      </c>
      <c r="Q7771" t="str">
        <f t="shared" si="1244"/>
        <v/>
      </c>
      <c r="R7771" t="str">
        <f t="shared" si="1245"/>
        <v/>
      </c>
      <c r="S7771" t="str">
        <f t="shared" si="1246"/>
        <v/>
      </c>
      <c r="T7771" t="str">
        <f t="shared" si="1247"/>
        <v/>
      </c>
      <c r="U7771" t="str">
        <f t="shared" si="1248"/>
        <v/>
      </c>
      <c r="V7771" t="str">
        <f t="shared" si="1249"/>
        <v/>
      </c>
      <c r="W7771" t="str">
        <f t="shared" si="1250"/>
        <v/>
      </c>
      <c r="X7771">
        <f t="shared" si="1240"/>
        <v>0</v>
      </c>
      <c r="Z7771" t="str">
        <f t="shared" si="1251"/>
        <v/>
      </c>
      <c r="AA7771">
        <f t="shared" si="1241"/>
        <v>0</v>
      </c>
    </row>
    <row r="7772" spans="1:27" ht="21" customHeight="1" x14ac:dyDescent="0.95">
      <c r="A7772" s="56"/>
      <c r="B7772" s="57"/>
      <c r="C7772" s="57"/>
      <c r="D7772" s="57"/>
      <c r="E7772" s="56"/>
      <c r="F7772" s="57"/>
      <c r="G7772" s="57"/>
      <c r="H7772" s="56"/>
      <c r="I7772" s="56"/>
      <c r="J7772" s="58"/>
      <c r="K7772" s="58"/>
      <c r="L7772" s="13" t="str">
        <f t="shared" si="1242"/>
        <v/>
      </c>
      <c r="M7772" s="13" t="str">
        <f t="shared" si="1243"/>
        <v/>
      </c>
      <c r="Q7772" t="str">
        <f t="shared" si="1244"/>
        <v/>
      </c>
      <c r="R7772" t="str">
        <f t="shared" si="1245"/>
        <v/>
      </c>
      <c r="S7772" t="str">
        <f t="shared" si="1246"/>
        <v/>
      </c>
      <c r="T7772" t="str">
        <f t="shared" si="1247"/>
        <v/>
      </c>
      <c r="U7772" t="str">
        <f t="shared" si="1248"/>
        <v/>
      </c>
      <c r="V7772" t="str">
        <f t="shared" si="1249"/>
        <v/>
      </c>
      <c r="W7772" t="str">
        <f t="shared" si="1250"/>
        <v/>
      </c>
      <c r="X7772">
        <f t="shared" si="1240"/>
        <v>0</v>
      </c>
      <c r="Z7772" t="str">
        <f t="shared" si="1251"/>
        <v/>
      </c>
      <c r="AA7772">
        <f t="shared" si="1241"/>
        <v>0</v>
      </c>
    </row>
    <row r="7773" spans="1:27" ht="21" customHeight="1" x14ac:dyDescent="0.95">
      <c r="A7773" s="56"/>
      <c r="B7773" s="57"/>
      <c r="C7773" s="57"/>
      <c r="D7773" s="57"/>
      <c r="E7773" s="56"/>
      <c r="F7773" s="57"/>
      <c r="G7773" s="57"/>
      <c r="H7773" s="56"/>
      <c r="I7773" s="56"/>
      <c r="J7773" s="58"/>
      <c r="K7773" s="58"/>
      <c r="L7773" s="13" t="str">
        <f t="shared" si="1242"/>
        <v/>
      </c>
      <c r="M7773" s="13" t="str">
        <f t="shared" si="1243"/>
        <v/>
      </c>
      <c r="Q7773" t="str">
        <f t="shared" si="1244"/>
        <v/>
      </c>
      <c r="R7773" t="str">
        <f t="shared" si="1245"/>
        <v/>
      </c>
      <c r="S7773" t="str">
        <f t="shared" si="1246"/>
        <v/>
      </c>
      <c r="T7773" t="str">
        <f t="shared" si="1247"/>
        <v/>
      </c>
      <c r="U7773" t="str">
        <f t="shared" si="1248"/>
        <v/>
      </c>
      <c r="V7773" t="str">
        <f t="shared" si="1249"/>
        <v/>
      </c>
      <c r="W7773" t="str">
        <f t="shared" si="1250"/>
        <v/>
      </c>
      <c r="X7773">
        <f t="shared" si="1240"/>
        <v>0</v>
      </c>
      <c r="Z7773" t="str">
        <f t="shared" si="1251"/>
        <v/>
      </c>
      <c r="AA7773">
        <f t="shared" si="1241"/>
        <v>0</v>
      </c>
    </row>
    <row r="7774" spans="1:27" ht="21" customHeight="1" x14ac:dyDescent="0.95">
      <c r="A7774" s="56"/>
      <c r="B7774" s="57"/>
      <c r="C7774" s="57"/>
      <c r="D7774" s="57"/>
      <c r="E7774" s="56"/>
      <c r="F7774" s="57"/>
      <c r="G7774" s="57"/>
      <c r="H7774" s="56"/>
      <c r="I7774" s="56"/>
      <c r="J7774" s="58"/>
      <c r="K7774" s="58"/>
      <c r="L7774" s="13" t="str">
        <f t="shared" si="1242"/>
        <v/>
      </c>
      <c r="M7774" s="13" t="str">
        <f t="shared" si="1243"/>
        <v/>
      </c>
      <c r="Q7774" t="str">
        <f t="shared" si="1244"/>
        <v/>
      </c>
      <c r="R7774" t="str">
        <f t="shared" si="1245"/>
        <v/>
      </c>
      <c r="S7774" t="str">
        <f t="shared" si="1246"/>
        <v/>
      </c>
      <c r="T7774" t="str">
        <f t="shared" si="1247"/>
        <v/>
      </c>
      <c r="U7774" t="str">
        <f t="shared" si="1248"/>
        <v/>
      </c>
      <c r="V7774" t="str">
        <f t="shared" si="1249"/>
        <v/>
      </c>
      <c r="W7774" t="str">
        <f t="shared" si="1250"/>
        <v/>
      </c>
      <c r="X7774">
        <f t="shared" si="1240"/>
        <v>0</v>
      </c>
      <c r="Z7774" t="str">
        <f t="shared" si="1251"/>
        <v/>
      </c>
      <c r="AA7774">
        <f t="shared" si="1241"/>
        <v>0</v>
      </c>
    </row>
    <row r="7775" spans="1:27" ht="21" customHeight="1" x14ac:dyDescent="0.95">
      <c r="A7775" s="56"/>
      <c r="B7775" s="57"/>
      <c r="C7775" s="57"/>
      <c r="D7775" s="57"/>
      <c r="E7775" s="56"/>
      <c r="F7775" s="57"/>
      <c r="G7775" s="57"/>
      <c r="H7775" s="56"/>
      <c r="I7775" s="56"/>
      <c r="J7775" s="58"/>
      <c r="K7775" s="58"/>
      <c r="L7775" s="13" t="str">
        <f t="shared" si="1242"/>
        <v/>
      </c>
      <c r="M7775" s="13" t="str">
        <f t="shared" si="1243"/>
        <v/>
      </c>
      <c r="Q7775" t="str">
        <f t="shared" si="1244"/>
        <v/>
      </c>
      <c r="R7775" t="str">
        <f t="shared" si="1245"/>
        <v/>
      </c>
      <c r="S7775" t="str">
        <f t="shared" si="1246"/>
        <v/>
      </c>
      <c r="T7775" t="str">
        <f t="shared" si="1247"/>
        <v/>
      </c>
      <c r="U7775" t="str">
        <f t="shared" si="1248"/>
        <v/>
      </c>
      <c r="V7775" t="str">
        <f t="shared" si="1249"/>
        <v/>
      </c>
      <c r="W7775" t="str">
        <f t="shared" si="1250"/>
        <v/>
      </c>
      <c r="X7775">
        <f t="shared" si="1240"/>
        <v>0</v>
      </c>
      <c r="Z7775" t="str">
        <f t="shared" si="1251"/>
        <v/>
      </c>
      <c r="AA7775">
        <f t="shared" si="1241"/>
        <v>0</v>
      </c>
    </row>
    <row r="7776" spans="1:27" ht="21" customHeight="1" x14ac:dyDescent="0.95">
      <c r="A7776" s="56"/>
      <c r="B7776" s="57"/>
      <c r="C7776" s="57"/>
      <c r="D7776" s="57"/>
      <c r="E7776" s="56"/>
      <c r="F7776" s="57"/>
      <c r="G7776" s="57"/>
      <c r="H7776" s="56"/>
      <c r="I7776" s="56"/>
      <c r="J7776" s="58"/>
      <c r="K7776" s="58"/>
      <c r="L7776" s="13" t="str">
        <f t="shared" si="1242"/>
        <v/>
      </c>
      <c r="M7776" s="13" t="str">
        <f t="shared" si="1243"/>
        <v/>
      </c>
      <c r="Q7776" t="str">
        <f t="shared" si="1244"/>
        <v/>
      </c>
      <c r="R7776" t="str">
        <f t="shared" si="1245"/>
        <v/>
      </c>
      <c r="S7776" t="str">
        <f t="shared" si="1246"/>
        <v/>
      </c>
      <c r="T7776" t="str">
        <f t="shared" si="1247"/>
        <v/>
      </c>
      <c r="U7776" t="str">
        <f t="shared" si="1248"/>
        <v/>
      </c>
      <c r="V7776" t="str">
        <f t="shared" si="1249"/>
        <v/>
      </c>
      <c r="W7776" t="str">
        <f t="shared" si="1250"/>
        <v/>
      </c>
      <c r="X7776">
        <f t="shared" si="1240"/>
        <v>0</v>
      </c>
      <c r="Z7776" t="str">
        <f t="shared" si="1251"/>
        <v/>
      </c>
      <c r="AA7776">
        <f t="shared" si="1241"/>
        <v>0</v>
      </c>
    </row>
    <row r="7777" spans="1:27" ht="21" customHeight="1" x14ac:dyDescent="0.95">
      <c r="A7777" s="56"/>
      <c r="B7777" s="57"/>
      <c r="C7777" s="57"/>
      <c r="D7777" s="57"/>
      <c r="E7777" s="56"/>
      <c r="F7777" s="57"/>
      <c r="G7777" s="57"/>
      <c r="H7777" s="56"/>
      <c r="I7777" s="56"/>
      <c r="J7777" s="58"/>
      <c r="K7777" s="58"/>
      <c r="L7777" s="13" t="str">
        <f t="shared" si="1242"/>
        <v/>
      </c>
      <c r="M7777" s="13" t="str">
        <f t="shared" si="1243"/>
        <v/>
      </c>
      <c r="Q7777" t="str">
        <f t="shared" si="1244"/>
        <v/>
      </c>
      <c r="R7777" t="str">
        <f t="shared" si="1245"/>
        <v/>
      </c>
      <c r="S7777" t="str">
        <f t="shared" si="1246"/>
        <v/>
      </c>
      <c r="T7777" t="str">
        <f t="shared" si="1247"/>
        <v/>
      </c>
      <c r="U7777" t="str">
        <f t="shared" si="1248"/>
        <v/>
      </c>
      <c r="V7777" t="str">
        <f t="shared" si="1249"/>
        <v/>
      </c>
      <c r="W7777" t="str">
        <f t="shared" si="1250"/>
        <v/>
      </c>
      <c r="X7777">
        <f t="shared" si="1240"/>
        <v>0</v>
      </c>
      <c r="Z7777" t="str">
        <f t="shared" si="1251"/>
        <v/>
      </c>
      <c r="AA7777">
        <f t="shared" si="1241"/>
        <v>0</v>
      </c>
    </row>
    <row r="7778" spans="1:27" ht="21" customHeight="1" x14ac:dyDescent="0.95">
      <c r="A7778" s="56"/>
      <c r="B7778" s="57"/>
      <c r="C7778" s="57"/>
      <c r="D7778" s="57"/>
      <c r="E7778" s="56"/>
      <c r="F7778" s="57"/>
      <c r="G7778" s="57"/>
      <c r="H7778" s="56"/>
      <c r="I7778" s="56"/>
      <c r="J7778" s="58"/>
      <c r="K7778" s="58"/>
      <c r="L7778" s="13" t="str">
        <f t="shared" si="1242"/>
        <v/>
      </c>
      <c r="M7778" s="13" t="str">
        <f t="shared" si="1243"/>
        <v/>
      </c>
      <c r="Q7778" t="str">
        <f t="shared" si="1244"/>
        <v/>
      </c>
      <c r="R7778" t="str">
        <f t="shared" si="1245"/>
        <v/>
      </c>
      <c r="S7778" t="str">
        <f t="shared" si="1246"/>
        <v/>
      </c>
      <c r="T7778" t="str">
        <f t="shared" si="1247"/>
        <v/>
      </c>
      <c r="U7778" t="str">
        <f t="shared" si="1248"/>
        <v/>
      </c>
      <c r="V7778" t="str">
        <f t="shared" si="1249"/>
        <v/>
      </c>
      <c r="W7778" t="str">
        <f t="shared" si="1250"/>
        <v/>
      </c>
      <c r="X7778">
        <f t="shared" si="1240"/>
        <v>0</v>
      </c>
      <c r="Z7778" t="str">
        <f t="shared" si="1251"/>
        <v/>
      </c>
      <c r="AA7778">
        <f t="shared" si="1241"/>
        <v>0</v>
      </c>
    </row>
    <row r="7779" spans="1:27" ht="21" customHeight="1" x14ac:dyDescent="0.95">
      <c r="A7779" s="56"/>
      <c r="B7779" s="57"/>
      <c r="C7779" s="57"/>
      <c r="D7779" s="57"/>
      <c r="E7779" s="56"/>
      <c r="F7779" s="57"/>
      <c r="G7779" s="57"/>
      <c r="H7779" s="56"/>
      <c r="I7779" s="56"/>
      <c r="J7779" s="58"/>
      <c r="K7779" s="58"/>
      <c r="L7779" s="13" t="str">
        <f t="shared" si="1242"/>
        <v/>
      </c>
      <c r="M7779" s="13" t="str">
        <f t="shared" si="1243"/>
        <v/>
      </c>
      <c r="Q7779" t="str">
        <f t="shared" si="1244"/>
        <v/>
      </c>
      <c r="R7779" t="str">
        <f t="shared" si="1245"/>
        <v/>
      </c>
      <c r="S7779" t="str">
        <f t="shared" si="1246"/>
        <v/>
      </c>
      <c r="T7779" t="str">
        <f t="shared" si="1247"/>
        <v/>
      </c>
      <c r="U7779" t="str">
        <f t="shared" si="1248"/>
        <v/>
      </c>
      <c r="V7779" t="str">
        <f t="shared" si="1249"/>
        <v/>
      </c>
      <c r="W7779" t="str">
        <f t="shared" si="1250"/>
        <v/>
      </c>
      <c r="X7779">
        <f t="shared" si="1240"/>
        <v>0</v>
      </c>
      <c r="Z7779" t="str">
        <f t="shared" si="1251"/>
        <v/>
      </c>
      <c r="AA7779">
        <f t="shared" si="1241"/>
        <v>0</v>
      </c>
    </row>
    <row r="7780" spans="1:27" ht="21" customHeight="1" x14ac:dyDescent="0.95">
      <c r="A7780" s="56"/>
      <c r="B7780" s="57"/>
      <c r="C7780" s="57"/>
      <c r="D7780" s="57"/>
      <c r="E7780" s="56"/>
      <c r="F7780" s="57"/>
      <c r="G7780" s="57"/>
      <c r="H7780" s="56"/>
      <c r="I7780" s="56"/>
      <c r="J7780" s="58"/>
      <c r="K7780" s="58"/>
      <c r="L7780" s="13" t="str">
        <f t="shared" si="1242"/>
        <v/>
      </c>
      <c r="M7780" s="13" t="str">
        <f t="shared" si="1243"/>
        <v/>
      </c>
      <c r="Q7780" t="str">
        <f t="shared" si="1244"/>
        <v/>
      </c>
      <c r="R7780" t="str">
        <f t="shared" si="1245"/>
        <v/>
      </c>
      <c r="S7780" t="str">
        <f t="shared" si="1246"/>
        <v/>
      </c>
      <c r="T7780" t="str">
        <f t="shared" si="1247"/>
        <v/>
      </c>
      <c r="U7780" t="str">
        <f t="shared" si="1248"/>
        <v/>
      </c>
      <c r="V7780" t="str">
        <f t="shared" si="1249"/>
        <v/>
      </c>
      <c r="W7780" t="str">
        <f t="shared" si="1250"/>
        <v/>
      </c>
      <c r="X7780">
        <f t="shared" si="1240"/>
        <v>0</v>
      </c>
      <c r="Z7780" t="str">
        <f t="shared" si="1251"/>
        <v/>
      </c>
      <c r="AA7780">
        <f t="shared" si="1241"/>
        <v>0</v>
      </c>
    </row>
    <row r="7781" spans="1:27" ht="21" customHeight="1" x14ac:dyDescent="0.95">
      <c r="A7781" s="56"/>
      <c r="B7781" s="57"/>
      <c r="C7781" s="57"/>
      <c r="D7781" s="57"/>
      <c r="E7781" s="56"/>
      <c r="F7781" s="57"/>
      <c r="G7781" s="57"/>
      <c r="H7781" s="56"/>
      <c r="I7781" s="56"/>
      <c r="J7781" s="58"/>
      <c r="K7781" s="58"/>
      <c r="L7781" s="13" t="str">
        <f t="shared" si="1242"/>
        <v/>
      </c>
      <c r="M7781" s="13" t="str">
        <f t="shared" si="1243"/>
        <v/>
      </c>
      <c r="Q7781" t="str">
        <f t="shared" si="1244"/>
        <v/>
      </c>
      <c r="R7781" t="str">
        <f t="shared" si="1245"/>
        <v/>
      </c>
      <c r="S7781" t="str">
        <f t="shared" si="1246"/>
        <v/>
      </c>
      <c r="T7781" t="str">
        <f t="shared" si="1247"/>
        <v/>
      </c>
      <c r="U7781" t="str">
        <f t="shared" si="1248"/>
        <v/>
      </c>
      <c r="V7781" t="str">
        <f t="shared" si="1249"/>
        <v/>
      </c>
      <c r="W7781" t="str">
        <f t="shared" si="1250"/>
        <v/>
      </c>
      <c r="X7781">
        <f t="shared" si="1240"/>
        <v>0</v>
      </c>
      <c r="Z7781" t="str">
        <f t="shared" si="1251"/>
        <v/>
      </c>
      <c r="AA7781">
        <f t="shared" si="1241"/>
        <v>0</v>
      </c>
    </row>
    <row r="7782" spans="1:27" ht="21" customHeight="1" x14ac:dyDescent="0.95">
      <c r="A7782" s="56"/>
      <c r="B7782" s="57"/>
      <c r="C7782" s="57"/>
      <c r="D7782" s="57"/>
      <c r="E7782" s="56"/>
      <c r="F7782" s="57"/>
      <c r="G7782" s="57"/>
      <c r="H7782" s="56"/>
      <c r="I7782" s="56"/>
      <c r="J7782" s="58"/>
      <c r="K7782" s="58"/>
      <c r="L7782" s="13" t="str">
        <f t="shared" si="1242"/>
        <v/>
      </c>
      <c r="M7782" s="13" t="str">
        <f t="shared" si="1243"/>
        <v/>
      </c>
      <c r="Q7782" t="str">
        <f t="shared" si="1244"/>
        <v/>
      </c>
      <c r="R7782" t="str">
        <f t="shared" si="1245"/>
        <v/>
      </c>
      <c r="S7782" t="str">
        <f t="shared" si="1246"/>
        <v/>
      </c>
      <c r="T7782" t="str">
        <f t="shared" si="1247"/>
        <v/>
      </c>
      <c r="U7782" t="str">
        <f t="shared" si="1248"/>
        <v/>
      </c>
      <c r="V7782" t="str">
        <f t="shared" si="1249"/>
        <v/>
      </c>
      <c r="W7782" t="str">
        <f t="shared" si="1250"/>
        <v/>
      </c>
      <c r="X7782">
        <f t="shared" si="1240"/>
        <v>0</v>
      </c>
      <c r="Z7782" t="str">
        <f t="shared" si="1251"/>
        <v/>
      </c>
      <c r="AA7782">
        <f t="shared" si="1241"/>
        <v>0</v>
      </c>
    </row>
    <row r="7783" spans="1:27" ht="21" customHeight="1" x14ac:dyDescent="0.95">
      <c r="A7783" s="56"/>
      <c r="B7783" s="57"/>
      <c r="C7783" s="57"/>
      <c r="D7783" s="57"/>
      <c r="E7783" s="56"/>
      <c r="F7783" s="57"/>
      <c r="G7783" s="57"/>
      <c r="H7783" s="56"/>
      <c r="I7783" s="56"/>
      <c r="J7783" s="58"/>
      <c r="K7783" s="58"/>
      <c r="L7783" s="13" t="str">
        <f t="shared" si="1242"/>
        <v/>
      </c>
      <c r="M7783" s="13" t="str">
        <f t="shared" si="1243"/>
        <v/>
      </c>
      <c r="Q7783" t="str">
        <f t="shared" si="1244"/>
        <v/>
      </c>
      <c r="R7783" t="str">
        <f t="shared" si="1245"/>
        <v/>
      </c>
      <c r="S7783" t="str">
        <f t="shared" si="1246"/>
        <v/>
      </c>
      <c r="T7783" t="str">
        <f t="shared" si="1247"/>
        <v/>
      </c>
      <c r="U7783" t="str">
        <f t="shared" si="1248"/>
        <v/>
      </c>
      <c r="V7783" t="str">
        <f t="shared" si="1249"/>
        <v/>
      </c>
      <c r="W7783" t="str">
        <f t="shared" si="1250"/>
        <v/>
      </c>
      <c r="X7783">
        <f t="shared" si="1240"/>
        <v>0</v>
      </c>
      <c r="Z7783" t="str">
        <f t="shared" si="1251"/>
        <v/>
      </c>
      <c r="AA7783">
        <f t="shared" si="1241"/>
        <v>0</v>
      </c>
    </row>
    <row r="7784" spans="1:27" ht="21" customHeight="1" x14ac:dyDescent="0.95">
      <c r="A7784" s="56"/>
      <c r="B7784" s="57"/>
      <c r="C7784" s="57"/>
      <c r="D7784" s="57"/>
      <c r="E7784" s="56"/>
      <c r="F7784" s="57"/>
      <c r="G7784" s="57"/>
      <c r="H7784" s="56"/>
      <c r="I7784" s="56"/>
      <c r="J7784" s="58"/>
      <c r="K7784" s="58"/>
      <c r="L7784" s="13" t="str">
        <f t="shared" si="1242"/>
        <v/>
      </c>
      <c r="M7784" s="13" t="str">
        <f t="shared" si="1243"/>
        <v/>
      </c>
      <c r="Q7784" t="str">
        <f t="shared" si="1244"/>
        <v/>
      </c>
      <c r="R7784" t="str">
        <f t="shared" si="1245"/>
        <v/>
      </c>
      <c r="S7784" t="str">
        <f t="shared" si="1246"/>
        <v/>
      </c>
      <c r="T7784" t="str">
        <f t="shared" si="1247"/>
        <v/>
      </c>
      <c r="U7784" t="str">
        <f t="shared" si="1248"/>
        <v/>
      </c>
      <c r="V7784" t="str">
        <f t="shared" si="1249"/>
        <v/>
      </c>
      <c r="W7784" t="str">
        <f t="shared" si="1250"/>
        <v/>
      </c>
      <c r="X7784">
        <f t="shared" si="1240"/>
        <v>0</v>
      </c>
      <c r="Z7784" t="str">
        <f t="shared" si="1251"/>
        <v/>
      </c>
      <c r="AA7784">
        <f t="shared" si="1241"/>
        <v>0</v>
      </c>
    </row>
    <row r="7785" spans="1:27" ht="21" customHeight="1" x14ac:dyDescent="0.95">
      <c r="A7785" s="56"/>
      <c r="B7785" s="57"/>
      <c r="C7785" s="57"/>
      <c r="D7785" s="57"/>
      <c r="E7785" s="56"/>
      <c r="F7785" s="57"/>
      <c r="G7785" s="57"/>
      <c r="H7785" s="56"/>
      <c r="I7785" s="56"/>
      <c r="J7785" s="58"/>
      <c r="K7785" s="58"/>
      <c r="L7785" s="13" t="str">
        <f t="shared" si="1242"/>
        <v/>
      </c>
      <c r="M7785" s="13" t="str">
        <f t="shared" si="1243"/>
        <v/>
      </c>
      <c r="Q7785" t="str">
        <f t="shared" si="1244"/>
        <v/>
      </c>
      <c r="R7785" t="str">
        <f t="shared" si="1245"/>
        <v/>
      </c>
      <c r="S7785" t="str">
        <f t="shared" si="1246"/>
        <v/>
      </c>
      <c r="T7785" t="str">
        <f t="shared" si="1247"/>
        <v/>
      </c>
      <c r="U7785" t="str">
        <f t="shared" si="1248"/>
        <v/>
      </c>
      <c r="V7785" t="str">
        <f t="shared" si="1249"/>
        <v/>
      </c>
      <c r="W7785" t="str">
        <f t="shared" si="1250"/>
        <v/>
      </c>
      <c r="X7785">
        <f t="shared" si="1240"/>
        <v>0</v>
      </c>
      <c r="Z7785" t="str">
        <f t="shared" si="1251"/>
        <v/>
      </c>
      <c r="AA7785">
        <f t="shared" si="1241"/>
        <v>0</v>
      </c>
    </row>
    <row r="7786" spans="1:27" ht="21" customHeight="1" x14ac:dyDescent="0.95">
      <c r="A7786" s="56"/>
      <c r="B7786" s="57"/>
      <c r="C7786" s="57"/>
      <c r="D7786" s="57"/>
      <c r="E7786" s="56"/>
      <c r="F7786" s="57"/>
      <c r="G7786" s="57"/>
      <c r="H7786" s="56"/>
      <c r="I7786" s="56"/>
      <c r="J7786" s="58"/>
      <c r="K7786" s="58"/>
      <c r="L7786" s="13" t="str">
        <f t="shared" si="1242"/>
        <v/>
      </c>
      <c r="M7786" s="13" t="str">
        <f t="shared" si="1243"/>
        <v/>
      </c>
      <c r="Q7786" t="str">
        <f t="shared" si="1244"/>
        <v/>
      </c>
      <c r="R7786" t="str">
        <f t="shared" si="1245"/>
        <v/>
      </c>
      <c r="S7786" t="str">
        <f t="shared" si="1246"/>
        <v/>
      </c>
      <c r="T7786" t="str">
        <f t="shared" si="1247"/>
        <v/>
      </c>
      <c r="U7786" t="str">
        <f t="shared" si="1248"/>
        <v/>
      </c>
      <c r="V7786" t="str">
        <f t="shared" si="1249"/>
        <v/>
      </c>
      <c r="W7786" t="str">
        <f t="shared" si="1250"/>
        <v/>
      </c>
      <c r="X7786">
        <f t="shared" si="1240"/>
        <v>0</v>
      </c>
      <c r="Z7786" t="str">
        <f t="shared" si="1251"/>
        <v/>
      </c>
      <c r="AA7786">
        <f t="shared" si="1241"/>
        <v>0</v>
      </c>
    </row>
    <row r="7787" spans="1:27" ht="21" customHeight="1" x14ac:dyDescent="0.95">
      <c r="A7787" s="56"/>
      <c r="B7787" s="57"/>
      <c r="C7787" s="57"/>
      <c r="D7787" s="57"/>
      <c r="E7787" s="56"/>
      <c r="F7787" s="57"/>
      <c r="G7787" s="57"/>
      <c r="H7787" s="56"/>
      <c r="I7787" s="56"/>
      <c r="J7787" s="58"/>
      <c r="K7787" s="58"/>
      <c r="L7787" s="13" t="str">
        <f t="shared" si="1242"/>
        <v/>
      </c>
      <c r="M7787" s="13" t="str">
        <f t="shared" si="1243"/>
        <v/>
      </c>
      <c r="Q7787" t="str">
        <f t="shared" si="1244"/>
        <v/>
      </c>
      <c r="R7787" t="str">
        <f t="shared" si="1245"/>
        <v/>
      </c>
      <c r="S7787" t="str">
        <f t="shared" si="1246"/>
        <v/>
      </c>
      <c r="T7787" t="str">
        <f t="shared" si="1247"/>
        <v/>
      </c>
      <c r="U7787" t="str">
        <f t="shared" si="1248"/>
        <v/>
      </c>
      <c r="V7787" t="str">
        <f t="shared" si="1249"/>
        <v/>
      </c>
      <c r="W7787" t="str">
        <f t="shared" si="1250"/>
        <v/>
      </c>
      <c r="X7787">
        <f t="shared" si="1240"/>
        <v>0</v>
      </c>
      <c r="Z7787" t="str">
        <f t="shared" si="1251"/>
        <v/>
      </c>
      <c r="AA7787">
        <f t="shared" si="1241"/>
        <v>0</v>
      </c>
    </row>
    <row r="7788" spans="1:27" ht="21" customHeight="1" x14ac:dyDescent="0.95">
      <c r="A7788" s="56"/>
      <c r="B7788" s="57"/>
      <c r="C7788" s="57"/>
      <c r="D7788" s="57"/>
      <c r="E7788" s="56"/>
      <c r="F7788" s="57"/>
      <c r="G7788" s="57"/>
      <c r="H7788" s="56"/>
      <c r="I7788" s="56"/>
      <c r="J7788" s="58"/>
      <c r="K7788" s="58"/>
      <c r="L7788" s="13" t="str">
        <f t="shared" si="1242"/>
        <v/>
      </c>
      <c r="M7788" s="13" t="str">
        <f t="shared" si="1243"/>
        <v/>
      </c>
      <c r="Q7788" t="str">
        <f t="shared" si="1244"/>
        <v/>
      </c>
      <c r="R7788" t="str">
        <f t="shared" si="1245"/>
        <v/>
      </c>
      <c r="S7788" t="str">
        <f t="shared" si="1246"/>
        <v/>
      </c>
      <c r="T7788" t="str">
        <f t="shared" si="1247"/>
        <v/>
      </c>
      <c r="U7788" t="str">
        <f t="shared" si="1248"/>
        <v/>
      </c>
      <c r="V7788" t="str">
        <f t="shared" si="1249"/>
        <v/>
      </c>
      <c r="W7788" t="str">
        <f t="shared" si="1250"/>
        <v/>
      </c>
      <c r="X7788">
        <f t="shared" si="1240"/>
        <v>0</v>
      </c>
      <c r="Z7788" t="str">
        <f t="shared" si="1251"/>
        <v/>
      </c>
      <c r="AA7788">
        <f t="shared" si="1241"/>
        <v>0</v>
      </c>
    </row>
    <row r="7789" spans="1:27" ht="21" customHeight="1" x14ac:dyDescent="0.95">
      <c r="A7789" s="56"/>
      <c r="B7789" s="57"/>
      <c r="C7789" s="57"/>
      <c r="D7789" s="57"/>
      <c r="E7789" s="56"/>
      <c r="F7789" s="57"/>
      <c r="G7789" s="57"/>
      <c r="H7789" s="56"/>
      <c r="I7789" s="56"/>
      <c r="J7789" s="58"/>
      <c r="K7789" s="58"/>
      <c r="L7789" s="13" t="str">
        <f t="shared" si="1242"/>
        <v/>
      </c>
      <c r="M7789" s="13" t="str">
        <f t="shared" si="1243"/>
        <v/>
      </c>
      <c r="Q7789" t="str">
        <f t="shared" si="1244"/>
        <v/>
      </c>
      <c r="R7789" t="str">
        <f t="shared" si="1245"/>
        <v/>
      </c>
      <c r="S7789" t="str">
        <f t="shared" si="1246"/>
        <v/>
      </c>
      <c r="T7789" t="str">
        <f t="shared" si="1247"/>
        <v/>
      </c>
      <c r="U7789" t="str">
        <f t="shared" si="1248"/>
        <v/>
      </c>
      <c r="V7789" t="str">
        <f t="shared" si="1249"/>
        <v/>
      </c>
      <c r="W7789" t="str">
        <f t="shared" si="1250"/>
        <v/>
      </c>
      <c r="X7789">
        <f t="shared" si="1240"/>
        <v>0</v>
      </c>
      <c r="Z7789" t="str">
        <f t="shared" si="1251"/>
        <v/>
      </c>
      <c r="AA7789">
        <f t="shared" si="1241"/>
        <v>0</v>
      </c>
    </row>
    <row r="7790" spans="1:27" ht="21" customHeight="1" x14ac:dyDescent="0.95">
      <c r="A7790" s="56"/>
      <c r="B7790" s="57"/>
      <c r="C7790" s="57"/>
      <c r="D7790" s="57"/>
      <c r="E7790" s="56"/>
      <c r="F7790" s="57"/>
      <c r="G7790" s="57"/>
      <c r="H7790" s="56"/>
      <c r="I7790" s="56"/>
      <c r="J7790" s="58"/>
      <c r="K7790" s="58"/>
      <c r="L7790" s="13" t="str">
        <f t="shared" si="1242"/>
        <v/>
      </c>
      <c r="M7790" s="13" t="str">
        <f t="shared" si="1243"/>
        <v/>
      </c>
      <c r="Q7790" t="str">
        <f t="shared" si="1244"/>
        <v/>
      </c>
      <c r="R7790" t="str">
        <f t="shared" si="1245"/>
        <v/>
      </c>
      <c r="S7790" t="str">
        <f t="shared" si="1246"/>
        <v/>
      </c>
      <c r="T7790" t="str">
        <f t="shared" si="1247"/>
        <v/>
      </c>
      <c r="U7790" t="str">
        <f t="shared" si="1248"/>
        <v/>
      </c>
      <c r="V7790" t="str">
        <f t="shared" si="1249"/>
        <v/>
      </c>
      <c r="W7790" t="str">
        <f t="shared" si="1250"/>
        <v/>
      </c>
      <c r="X7790">
        <f t="shared" si="1240"/>
        <v>0</v>
      </c>
      <c r="Z7790" t="str">
        <f t="shared" si="1251"/>
        <v/>
      </c>
      <c r="AA7790">
        <f t="shared" si="1241"/>
        <v>0</v>
      </c>
    </row>
    <row r="7791" spans="1:27" ht="21" customHeight="1" x14ac:dyDescent="0.95">
      <c r="A7791" s="56"/>
      <c r="B7791" s="57"/>
      <c r="C7791" s="57"/>
      <c r="D7791" s="57"/>
      <c r="E7791" s="56"/>
      <c r="F7791" s="57"/>
      <c r="G7791" s="57"/>
      <c r="H7791" s="56"/>
      <c r="I7791" s="56"/>
      <c r="J7791" s="58"/>
      <c r="K7791" s="58"/>
      <c r="L7791" s="13" t="str">
        <f t="shared" si="1242"/>
        <v/>
      </c>
      <c r="M7791" s="13" t="str">
        <f t="shared" si="1243"/>
        <v/>
      </c>
      <c r="Q7791" t="str">
        <f t="shared" si="1244"/>
        <v/>
      </c>
      <c r="R7791" t="str">
        <f t="shared" si="1245"/>
        <v/>
      </c>
      <c r="S7791" t="str">
        <f t="shared" si="1246"/>
        <v/>
      </c>
      <c r="T7791" t="str">
        <f t="shared" si="1247"/>
        <v/>
      </c>
      <c r="U7791" t="str">
        <f t="shared" si="1248"/>
        <v/>
      </c>
      <c r="V7791" t="str">
        <f t="shared" si="1249"/>
        <v/>
      </c>
      <c r="W7791" t="str">
        <f t="shared" si="1250"/>
        <v/>
      </c>
      <c r="X7791">
        <f t="shared" si="1240"/>
        <v>0</v>
      </c>
      <c r="Z7791" t="str">
        <f t="shared" si="1251"/>
        <v/>
      </c>
      <c r="AA7791">
        <f t="shared" si="1241"/>
        <v>0</v>
      </c>
    </row>
    <row r="7792" spans="1:27" ht="21" customHeight="1" x14ac:dyDescent="0.95">
      <c r="A7792" s="56"/>
      <c r="B7792" s="57"/>
      <c r="C7792" s="57"/>
      <c r="D7792" s="57"/>
      <c r="E7792" s="56"/>
      <c r="F7792" s="57"/>
      <c r="G7792" s="57"/>
      <c r="H7792" s="56"/>
      <c r="I7792" s="56"/>
      <c r="J7792" s="58"/>
      <c r="K7792" s="58"/>
      <c r="L7792" s="13" t="str">
        <f t="shared" si="1242"/>
        <v/>
      </c>
      <c r="M7792" s="13" t="str">
        <f t="shared" si="1243"/>
        <v/>
      </c>
      <c r="Q7792" t="str">
        <f t="shared" si="1244"/>
        <v/>
      </c>
      <c r="R7792" t="str">
        <f t="shared" si="1245"/>
        <v/>
      </c>
      <c r="S7792" t="str">
        <f t="shared" si="1246"/>
        <v/>
      </c>
      <c r="T7792" t="str">
        <f t="shared" si="1247"/>
        <v/>
      </c>
      <c r="U7792" t="str">
        <f t="shared" si="1248"/>
        <v/>
      </c>
      <c r="V7792" t="str">
        <f t="shared" si="1249"/>
        <v/>
      </c>
      <c r="W7792" t="str">
        <f t="shared" si="1250"/>
        <v/>
      </c>
      <c r="X7792">
        <f t="shared" si="1240"/>
        <v>0</v>
      </c>
      <c r="Z7792" t="str">
        <f t="shared" si="1251"/>
        <v/>
      </c>
      <c r="AA7792">
        <f t="shared" si="1241"/>
        <v>0</v>
      </c>
    </row>
    <row r="7793" spans="1:27" ht="21" customHeight="1" x14ac:dyDescent="0.95">
      <c r="A7793" s="56"/>
      <c r="B7793" s="57"/>
      <c r="C7793" s="57"/>
      <c r="D7793" s="57"/>
      <c r="E7793" s="56"/>
      <c r="F7793" s="57"/>
      <c r="G7793" s="57"/>
      <c r="H7793" s="56"/>
      <c r="I7793" s="56"/>
      <c r="J7793" s="58"/>
      <c r="K7793" s="58"/>
      <c r="L7793" s="13" t="str">
        <f t="shared" si="1242"/>
        <v/>
      </c>
      <c r="M7793" s="13" t="str">
        <f t="shared" si="1243"/>
        <v/>
      </c>
      <c r="Q7793" t="str">
        <f t="shared" si="1244"/>
        <v/>
      </c>
      <c r="R7793" t="str">
        <f t="shared" si="1245"/>
        <v/>
      </c>
      <c r="S7793" t="str">
        <f t="shared" si="1246"/>
        <v/>
      </c>
      <c r="T7793" t="str">
        <f t="shared" si="1247"/>
        <v/>
      </c>
      <c r="U7793" t="str">
        <f t="shared" si="1248"/>
        <v/>
      </c>
      <c r="V7793" t="str">
        <f t="shared" si="1249"/>
        <v/>
      </c>
      <c r="W7793" t="str">
        <f t="shared" si="1250"/>
        <v/>
      </c>
      <c r="X7793">
        <f t="shared" si="1240"/>
        <v>0</v>
      </c>
      <c r="Z7793" t="str">
        <f t="shared" si="1251"/>
        <v/>
      </c>
      <c r="AA7793">
        <f t="shared" si="1241"/>
        <v>0</v>
      </c>
    </row>
    <row r="7794" spans="1:27" ht="21" customHeight="1" x14ac:dyDescent="0.95">
      <c r="A7794" s="56"/>
      <c r="B7794" s="57"/>
      <c r="C7794" s="57"/>
      <c r="D7794" s="57"/>
      <c r="E7794" s="56"/>
      <c r="F7794" s="57"/>
      <c r="G7794" s="57"/>
      <c r="H7794" s="56"/>
      <c r="I7794" s="56"/>
      <c r="J7794" s="58"/>
      <c r="K7794" s="58"/>
      <c r="L7794" s="13" t="str">
        <f t="shared" si="1242"/>
        <v/>
      </c>
      <c r="M7794" s="13" t="str">
        <f t="shared" si="1243"/>
        <v/>
      </c>
      <c r="Q7794" t="str">
        <f t="shared" si="1244"/>
        <v/>
      </c>
      <c r="R7794" t="str">
        <f t="shared" si="1245"/>
        <v/>
      </c>
      <c r="S7794" t="str">
        <f t="shared" si="1246"/>
        <v/>
      </c>
      <c r="T7794" t="str">
        <f t="shared" si="1247"/>
        <v/>
      </c>
      <c r="U7794" t="str">
        <f t="shared" si="1248"/>
        <v/>
      </c>
      <c r="V7794" t="str">
        <f t="shared" si="1249"/>
        <v/>
      </c>
      <c r="W7794" t="str">
        <f t="shared" si="1250"/>
        <v/>
      </c>
      <c r="X7794">
        <f t="shared" si="1240"/>
        <v>0</v>
      </c>
      <c r="Z7794" t="str">
        <f t="shared" si="1251"/>
        <v/>
      </c>
      <c r="AA7794">
        <f t="shared" si="1241"/>
        <v>0</v>
      </c>
    </row>
    <row r="7795" spans="1:27" ht="21" customHeight="1" x14ac:dyDescent="0.95">
      <c r="A7795" s="56"/>
      <c r="B7795" s="57"/>
      <c r="C7795" s="57"/>
      <c r="D7795" s="57"/>
      <c r="E7795" s="56"/>
      <c r="F7795" s="57"/>
      <c r="G7795" s="57"/>
      <c r="H7795" s="56"/>
      <c r="I7795" s="56"/>
      <c r="J7795" s="58"/>
      <c r="K7795" s="58"/>
      <c r="L7795" s="13" t="str">
        <f t="shared" si="1242"/>
        <v/>
      </c>
      <c r="M7795" s="13" t="str">
        <f t="shared" si="1243"/>
        <v/>
      </c>
      <c r="Q7795" t="str">
        <f t="shared" si="1244"/>
        <v/>
      </c>
      <c r="R7795" t="str">
        <f t="shared" si="1245"/>
        <v/>
      </c>
      <c r="S7795" t="str">
        <f t="shared" si="1246"/>
        <v/>
      </c>
      <c r="T7795" t="str">
        <f t="shared" si="1247"/>
        <v/>
      </c>
      <c r="U7795" t="str">
        <f t="shared" si="1248"/>
        <v/>
      </c>
      <c r="V7795" t="str">
        <f t="shared" si="1249"/>
        <v/>
      </c>
      <c r="W7795" t="str">
        <f t="shared" si="1250"/>
        <v/>
      </c>
      <c r="X7795">
        <f t="shared" si="1240"/>
        <v>0</v>
      </c>
      <c r="Z7795" t="str">
        <f t="shared" si="1251"/>
        <v/>
      </c>
      <c r="AA7795">
        <f t="shared" si="1241"/>
        <v>0</v>
      </c>
    </row>
    <row r="7796" spans="1:27" ht="21" customHeight="1" x14ac:dyDescent="0.95">
      <c r="A7796" s="56"/>
      <c r="B7796" s="57"/>
      <c r="C7796" s="57"/>
      <c r="D7796" s="57"/>
      <c r="E7796" s="56"/>
      <c r="F7796" s="57"/>
      <c r="G7796" s="57"/>
      <c r="H7796" s="56"/>
      <c r="I7796" s="56"/>
      <c r="J7796" s="58"/>
      <c r="K7796" s="58"/>
      <c r="L7796" s="13" t="str">
        <f t="shared" si="1242"/>
        <v/>
      </c>
      <c r="M7796" s="13" t="str">
        <f t="shared" si="1243"/>
        <v/>
      </c>
      <c r="Q7796" t="str">
        <f t="shared" si="1244"/>
        <v/>
      </c>
      <c r="R7796" t="str">
        <f t="shared" si="1245"/>
        <v/>
      </c>
      <c r="S7796" t="str">
        <f t="shared" si="1246"/>
        <v/>
      </c>
      <c r="T7796" t="str">
        <f t="shared" si="1247"/>
        <v/>
      </c>
      <c r="U7796" t="str">
        <f t="shared" si="1248"/>
        <v/>
      </c>
      <c r="V7796" t="str">
        <f t="shared" si="1249"/>
        <v/>
      </c>
      <c r="W7796" t="str">
        <f t="shared" si="1250"/>
        <v/>
      </c>
      <c r="X7796">
        <f t="shared" si="1240"/>
        <v>0</v>
      </c>
      <c r="Z7796" t="str">
        <f t="shared" si="1251"/>
        <v/>
      </c>
      <c r="AA7796">
        <f t="shared" si="1241"/>
        <v>0</v>
      </c>
    </row>
    <row r="7797" spans="1:27" ht="21" customHeight="1" x14ac:dyDescent="0.95">
      <c r="A7797" s="56"/>
      <c r="B7797" s="57"/>
      <c r="C7797" s="57"/>
      <c r="D7797" s="57"/>
      <c r="E7797" s="56"/>
      <c r="F7797" s="57"/>
      <c r="G7797" s="57"/>
      <c r="H7797" s="56"/>
      <c r="I7797" s="56"/>
      <c r="J7797" s="58"/>
      <c r="K7797" s="58"/>
      <c r="L7797" s="13" t="str">
        <f t="shared" si="1242"/>
        <v/>
      </c>
      <c r="M7797" s="13" t="str">
        <f t="shared" si="1243"/>
        <v/>
      </c>
      <c r="Q7797" t="str">
        <f t="shared" si="1244"/>
        <v/>
      </c>
      <c r="R7797" t="str">
        <f t="shared" si="1245"/>
        <v/>
      </c>
      <c r="S7797" t="str">
        <f t="shared" si="1246"/>
        <v/>
      </c>
      <c r="T7797" t="str">
        <f t="shared" si="1247"/>
        <v/>
      </c>
      <c r="U7797" t="str">
        <f t="shared" si="1248"/>
        <v/>
      </c>
      <c r="V7797" t="str">
        <f t="shared" si="1249"/>
        <v/>
      </c>
      <c r="W7797" t="str">
        <f t="shared" si="1250"/>
        <v/>
      </c>
      <c r="X7797">
        <f t="shared" ref="X7797:X7860" si="1252">IF($T7797="",N($X7796),IF(MATCH($T7797,$T$6:$T$10005,0)=ROW()-5,N($X7796)+1,N($X7796)))</f>
        <v>0</v>
      </c>
      <c r="Z7797" t="str">
        <f t="shared" si="1251"/>
        <v/>
      </c>
      <c r="AA7797">
        <f t="shared" ref="AA7797:AA7860" si="1253">IF($V7797="",N($AA7796),IF(MATCH($V7797,$V$6:$V$10005,0)=ROW()-5,N($AA7796)+1,N($AA7796)))</f>
        <v>0</v>
      </c>
    </row>
    <row r="7798" spans="1:27" ht="21" customHeight="1" x14ac:dyDescent="0.95">
      <c r="A7798" s="56"/>
      <c r="B7798" s="57"/>
      <c r="C7798" s="57"/>
      <c r="D7798" s="57"/>
      <c r="E7798" s="56"/>
      <c r="F7798" s="57"/>
      <c r="G7798" s="57"/>
      <c r="H7798" s="56"/>
      <c r="I7798" s="56"/>
      <c r="J7798" s="58"/>
      <c r="K7798" s="58"/>
      <c r="L7798" s="13" t="str">
        <f t="shared" si="1242"/>
        <v/>
      </c>
      <c r="M7798" s="13" t="str">
        <f t="shared" si="1243"/>
        <v/>
      </c>
      <c r="Q7798" t="str">
        <f t="shared" si="1244"/>
        <v/>
      </c>
      <c r="R7798" t="str">
        <f t="shared" si="1245"/>
        <v/>
      </c>
      <c r="S7798" t="str">
        <f t="shared" si="1246"/>
        <v/>
      </c>
      <c r="T7798" t="str">
        <f t="shared" si="1247"/>
        <v/>
      </c>
      <c r="U7798" t="str">
        <f t="shared" si="1248"/>
        <v/>
      </c>
      <c r="V7798" t="str">
        <f t="shared" si="1249"/>
        <v/>
      </c>
      <c r="W7798" t="str">
        <f t="shared" si="1250"/>
        <v/>
      </c>
      <c r="X7798">
        <f t="shared" si="1252"/>
        <v>0</v>
      </c>
      <c r="Z7798" t="str">
        <f t="shared" si="1251"/>
        <v/>
      </c>
      <c r="AA7798">
        <f t="shared" si="1253"/>
        <v>0</v>
      </c>
    </row>
    <row r="7799" spans="1:27" ht="21" customHeight="1" x14ac:dyDescent="0.95">
      <c r="A7799" s="56"/>
      <c r="B7799" s="57"/>
      <c r="C7799" s="57"/>
      <c r="D7799" s="57"/>
      <c r="E7799" s="56"/>
      <c r="F7799" s="57"/>
      <c r="G7799" s="57"/>
      <c r="H7799" s="56"/>
      <c r="I7799" s="56"/>
      <c r="J7799" s="58"/>
      <c r="K7799" s="58"/>
      <c r="L7799" s="13" t="str">
        <f t="shared" si="1242"/>
        <v/>
      </c>
      <c r="M7799" s="13" t="str">
        <f t="shared" si="1243"/>
        <v/>
      </c>
      <c r="Q7799" t="str">
        <f t="shared" si="1244"/>
        <v/>
      </c>
      <c r="R7799" t="str">
        <f t="shared" si="1245"/>
        <v/>
      </c>
      <c r="S7799" t="str">
        <f t="shared" si="1246"/>
        <v/>
      </c>
      <c r="T7799" t="str">
        <f t="shared" si="1247"/>
        <v/>
      </c>
      <c r="U7799" t="str">
        <f t="shared" si="1248"/>
        <v/>
      </c>
      <c r="V7799" t="str">
        <f t="shared" si="1249"/>
        <v/>
      </c>
      <c r="W7799" t="str">
        <f t="shared" si="1250"/>
        <v/>
      </c>
      <c r="X7799">
        <f t="shared" si="1252"/>
        <v>0</v>
      </c>
      <c r="Z7799" t="str">
        <f t="shared" si="1251"/>
        <v/>
      </c>
      <c r="AA7799">
        <f t="shared" si="1253"/>
        <v>0</v>
      </c>
    </row>
    <row r="7800" spans="1:27" ht="21" customHeight="1" x14ac:dyDescent="0.95">
      <c r="A7800" s="56"/>
      <c r="B7800" s="57"/>
      <c r="C7800" s="57"/>
      <c r="D7800" s="57"/>
      <c r="E7800" s="56"/>
      <c r="F7800" s="57"/>
      <c r="G7800" s="57"/>
      <c r="H7800" s="56"/>
      <c r="I7800" s="56"/>
      <c r="J7800" s="58"/>
      <c r="K7800" s="58"/>
      <c r="L7800" s="13" t="str">
        <f t="shared" si="1242"/>
        <v/>
      </c>
      <c r="M7800" s="13" t="str">
        <f t="shared" si="1243"/>
        <v/>
      </c>
      <c r="Q7800" t="str">
        <f t="shared" si="1244"/>
        <v/>
      </c>
      <c r="R7800" t="str">
        <f t="shared" si="1245"/>
        <v/>
      </c>
      <c r="S7800" t="str">
        <f t="shared" si="1246"/>
        <v/>
      </c>
      <c r="T7800" t="str">
        <f t="shared" si="1247"/>
        <v/>
      </c>
      <c r="U7800" t="str">
        <f t="shared" si="1248"/>
        <v/>
      </c>
      <c r="V7800" t="str">
        <f t="shared" si="1249"/>
        <v/>
      </c>
      <c r="W7800" t="str">
        <f t="shared" si="1250"/>
        <v/>
      </c>
      <c r="X7800">
        <f t="shared" si="1252"/>
        <v>0</v>
      </c>
      <c r="Z7800" t="str">
        <f t="shared" si="1251"/>
        <v/>
      </c>
      <c r="AA7800">
        <f t="shared" si="1253"/>
        <v>0</v>
      </c>
    </row>
    <row r="7801" spans="1:27" ht="21" customHeight="1" x14ac:dyDescent="0.95">
      <c r="A7801" s="56"/>
      <c r="B7801" s="57"/>
      <c r="C7801" s="57"/>
      <c r="D7801" s="57"/>
      <c r="E7801" s="56"/>
      <c r="F7801" s="57"/>
      <c r="G7801" s="57"/>
      <c r="H7801" s="56"/>
      <c r="I7801" s="56"/>
      <c r="J7801" s="58"/>
      <c r="K7801" s="58"/>
      <c r="L7801" s="13" t="str">
        <f t="shared" si="1242"/>
        <v/>
      </c>
      <c r="M7801" s="13" t="str">
        <f t="shared" si="1243"/>
        <v/>
      </c>
      <c r="Q7801" t="str">
        <f t="shared" si="1244"/>
        <v/>
      </c>
      <c r="R7801" t="str">
        <f t="shared" si="1245"/>
        <v/>
      </c>
      <c r="S7801" t="str">
        <f t="shared" si="1246"/>
        <v/>
      </c>
      <c r="T7801" t="str">
        <f t="shared" si="1247"/>
        <v/>
      </c>
      <c r="U7801" t="str">
        <f t="shared" si="1248"/>
        <v/>
      </c>
      <c r="V7801" t="str">
        <f t="shared" si="1249"/>
        <v/>
      </c>
      <c r="W7801" t="str">
        <f t="shared" si="1250"/>
        <v/>
      </c>
      <c r="X7801">
        <f t="shared" si="1252"/>
        <v>0</v>
      </c>
      <c r="Z7801" t="str">
        <f t="shared" si="1251"/>
        <v/>
      </c>
      <c r="AA7801">
        <f t="shared" si="1253"/>
        <v>0</v>
      </c>
    </row>
    <row r="7802" spans="1:27" ht="21" customHeight="1" x14ac:dyDescent="0.95">
      <c r="A7802" s="56"/>
      <c r="B7802" s="57"/>
      <c r="C7802" s="57"/>
      <c r="D7802" s="57"/>
      <c r="E7802" s="56"/>
      <c r="F7802" s="57"/>
      <c r="G7802" s="57"/>
      <c r="H7802" s="56"/>
      <c r="I7802" s="56"/>
      <c r="J7802" s="58"/>
      <c r="K7802" s="58"/>
      <c r="L7802" s="13" t="str">
        <f t="shared" si="1242"/>
        <v/>
      </c>
      <c r="M7802" s="13" t="str">
        <f t="shared" si="1243"/>
        <v/>
      </c>
      <c r="Q7802" t="str">
        <f t="shared" si="1244"/>
        <v/>
      </c>
      <c r="R7802" t="str">
        <f t="shared" si="1245"/>
        <v/>
      </c>
      <c r="S7802" t="str">
        <f t="shared" si="1246"/>
        <v/>
      </c>
      <c r="T7802" t="str">
        <f t="shared" si="1247"/>
        <v/>
      </c>
      <c r="U7802" t="str">
        <f t="shared" si="1248"/>
        <v/>
      </c>
      <c r="V7802" t="str">
        <f t="shared" si="1249"/>
        <v/>
      </c>
      <c r="W7802" t="str">
        <f t="shared" si="1250"/>
        <v/>
      </c>
      <c r="X7802">
        <f t="shared" si="1252"/>
        <v>0</v>
      </c>
      <c r="Z7802" t="str">
        <f t="shared" si="1251"/>
        <v/>
      </c>
      <c r="AA7802">
        <f t="shared" si="1253"/>
        <v>0</v>
      </c>
    </row>
    <row r="7803" spans="1:27" ht="21" customHeight="1" x14ac:dyDescent="0.95">
      <c r="A7803" s="56"/>
      <c r="B7803" s="57"/>
      <c r="C7803" s="57"/>
      <c r="D7803" s="57"/>
      <c r="E7803" s="56"/>
      <c r="F7803" s="57"/>
      <c r="G7803" s="57"/>
      <c r="H7803" s="56"/>
      <c r="I7803" s="56"/>
      <c r="J7803" s="58"/>
      <c r="K7803" s="58"/>
      <c r="L7803" s="13" t="str">
        <f t="shared" si="1242"/>
        <v/>
      </c>
      <c r="M7803" s="13" t="str">
        <f t="shared" si="1243"/>
        <v/>
      </c>
      <c r="Q7803" t="str">
        <f t="shared" si="1244"/>
        <v/>
      </c>
      <c r="R7803" t="str">
        <f t="shared" si="1245"/>
        <v/>
      </c>
      <c r="S7803" t="str">
        <f t="shared" si="1246"/>
        <v/>
      </c>
      <c r="T7803" t="str">
        <f t="shared" si="1247"/>
        <v/>
      </c>
      <c r="U7803" t="str">
        <f t="shared" si="1248"/>
        <v/>
      </c>
      <c r="V7803" t="str">
        <f t="shared" si="1249"/>
        <v/>
      </c>
      <c r="W7803" t="str">
        <f t="shared" si="1250"/>
        <v/>
      </c>
      <c r="X7803">
        <f t="shared" si="1252"/>
        <v>0</v>
      </c>
      <c r="Z7803" t="str">
        <f t="shared" si="1251"/>
        <v/>
      </c>
      <c r="AA7803">
        <f t="shared" si="1253"/>
        <v>0</v>
      </c>
    </row>
    <row r="7804" spans="1:27" ht="21" customHeight="1" x14ac:dyDescent="0.95">
      <c r="A7804" s="56"/>
      <c r="B7804" s="57"/>
      <c r="C7804" s="57"/>
      <c r="D7804" s="57"/>
      <c r="E7804" s="56"/>
      <c r="F7804" s="57"/>
      <c r="G7804" s="57"/>
      <c r="H7804" s="56"/>
      <c r="I7804" s="56"/>
      <c r="J7804" s="58"/>
      <c r="K7804" s="58"/>
      <c r="L7804" s="13" t="str">
        <f t="shared" si="1242"/>
        <v/>
      </c>
      <c r="M7804" s="13" t="str">
        <f t="shared" si="1243"/>
        <v/>
      </c>
      <c r="Q7804" t="str">
        <f t="shared" si="1244"/>
        <v/>
      </c>
      <c r="R7804" t="str">
        <f t="shared" si="1245"/>
        <v/>
      </c>
      <c r="S7804" t="str">
        <f t="shared" si="1246"/>
        <v/>
      </c>
      <c r="T7804" t="str">
        <f t="shared" si="1247"/>
        <v/>
      </c>
      <c r="U7804" t="str">
        <f t="shared" si="1248"/>
        <v/>
      </c>
      <c r="V7804" t="str">
        <f t="shared" si="1249"/>
        <v/>
      </c>
      <c r="W7804" t="str">
        <f t="shared" si="1250"/>
        <v/>
      </c>
      <c r="X7804">
        <f t="shared" si="1252"/>
        <v>0</v>
      </c>
      <c r="Z7804" t="str">
        <f t="shared" si="1251"/>
        <v/>
      </c>
      <c r="AA7804">
        <f t="shared" si="1253"/>
        <v>0</v>
      </c>
    </row>
    <row r="7805" spans="1:27" ht="21" customHeight="1" x14ac:dyDescent="0.95">
      <c r="A7805" s="56"/>
      <c r="B7805" s="57"/>
      <c r="C7805" s="57"/>
      <c r="D7805" s="57"/>
      <c r="E7805" s="56"/>
      <c r="F7805" s="57"/>
      <c r="G7805" s="57"/>
      <c r="H7805" s="56"/>
      <c r="I7805" s="56"/>
      <c r="J7805" s="58"/>
      <c r="K7805" s="58"/>
      <c r="L7805" s="13" t="str">
        <f t="shared" si="1242"/>
        <v/>
      </c>
      <c r="M7805" s="13" t="str">
        <f t="shared" si="1243"/>
        <v/>
      </c>
      <c r="Q7805" t="str">
        <f t="shared" si="1244"/>
        <v/>
      </c>
      <c r="R7805" t="str">
        <f t="shared" si="1245"/>
        <v/>
      </c>
      <c r="S7805" t="str">
        <f t="shared" si="1246"/>
        <v/>
      </c>
      <c r="T7805" t="str">
        <f t="shared" si="1247"/>
        <v/>
      </c>
      <c r="U7805" t="str">
        <f t="shared" si="1248"/>
        <v/>
      </c>
      <c r="V7805" t="str">
        <f t="shared" si="1249"/>
        <v/>
      </c>
      <c r="W7805" t="str">
        <f t="shared" si="1250"/>
        <v/>
      </c>
      <c r="X7805">
        <f t="shared" si="1252"/>
        <v>0</v>
      </c>
      <c r="Z7805" t="str">
        <f t="shared" si="1251"/>
        <v/>
      </c>
      <c r="AA7805">
        <f t="shared" si="1253"/>
        <v>0</v>
      </c>
    </row>
    <row r="7806" spans="1:27" ht="21" customHeight="1" x14ac:dyDescent="0.95">
      <c r="A7806" s="56"/>
      <c r="B7806" s="57"/>
      <c r="C7806" s="57"/>
      <c r="D7806" s="57"/>
      <c r="E7806" s="56"/>
      <c r="F7806" s="57"/>
      <c r="G7806" s="57"/>
      <c r="H7806" s="56"/>
      <c r="I7806" s="56"/>
      <c r="J7806" s="58"/>
      <c r="K7806" s="58"/>
      <c r="L7806" s="13" t="str">
        <f t="shared" si="1242"/>
        <v/>
      </c>
      <c r="M7806" s="13" t="str">
        <f t="shared" si="1243"/>
        <v/>
      </c>
      <c r="Q7806" t="str">
        <f t="shared" si="1244"/>
        <v/>
      </c>
      <c r="R7806" t="str">
        <f t="shared" si="1245"/>
        <v/>
      </c>
      <c r="S7806" t="str">
        <f t="shared" si="1246"/>
        <v/>
      </c>
      <c r="T7806" t="str">
        <f t="shared" si="1247"/>
        <v/>
      </c>
      <c r="U7806" t="str">
        <f t="shared" si="1248"/>
        <v/>
      </c>
      <c r="V7806" t="str">
        <f t="shared" si="1249"/>
        <v/>
      </c>
      <c r="W7806" t="str">
        <f t="shared" si="1250"/>
        <v/>
      </c>
      <c r="X7806">
        <f t="shared" si="1252"/>
        <v>0</v>
      </c>
      <c r="Z7806" t="str">
        <f t="shared" si="1251"/>
        <v/>
      </c>
      <c r="AA7806">
        <f t="shared" si="1253"/>
        <v>0</v>
      </c>
    </row>
    <row r="7807" spans="1:27" ht="21" customHeight="1" x14ac:dyDescent="0.95">
      <c r="A7807" s="56"/>
      <c r="B7807" s="57"/>
      <c r="C7807" s="57"/>
      <c r="D7807" s="57"/>
      <c r="E7807" s="56"/>
      <c r="F7807" s="57"/>
      <c r="G7807" s="57"/>
      <c r="H7807" s="56"/>
      <c r="I7807" s="56"/>
      <c r="J7807" s="58"/>
      <c r="K7807" s="58"/>
      <c r="L7807" s="13" t="str">
        <f t="shared" si="1242"/>
        <v/>
      </c>
      <c r="M7807" s="13" t="str">
        <f t="shared" si="1243"/>
        <v/>
      </c>
      <c r="Q7807" t="str">
        <f t="shared" si="1244"/>
        <v/>
      </c>
      <c r="R7807" t="str">
        <f t="shared" si="1245"/>
        <v/>
      </c>
      <c r="S7807" t="str">
        <f t="shared" si="1246"/>
        <v/>
      </c>
      <c r="T7807" t="str">
        <f t="shared" si="1247"/>
        <v/>
      </c>
      <c r="U7807" t="str">
        <f t="shared" si="1248"/>
        <v/>
      </c>
      <c r="V7807" t="str">
        <f t="shared" si="1249"/>
        <v/>
      </c>
      <c r="W7807" t="str">
        <f t="shared" si="1250"/>
        <v/>
      </c>
      <c r="X7807">
        <f t="shared" si="1252"/>
        <v>0</v>
      </c>
      <c r="Z7807" t="str">
        <f t="shared" si="1251"/>
        <v/>
      </c>
      <c r="AA7807">
        <f t="shared" si="1253"/>
        <v>0</v>
      </c>
    </row>
    <row r="7808" spans="1:27" ht="21" customHeight="1" x14ac:dyDescent="0.95">
      <c r="A7808" s="56"/>
      <c r="B7808" s="57"/>
      <c r="C7808" s="57"/>
      <c r="D7808" s="57"/>
      <c r="E7808" s="56"/>
      <c r="F7808" s="57"/>
      <c r="G7808" s="57"/>
      <c r="H7808" s="56"/>
      <c r="I7808" s="56"/>
      <c r="J7808" s="58"/>
      <c r="K7808" s="58"/>
      <c r="L7808" s="13" t="str">
        <f t="shared" si="1242"/>
        <v/>
      </c>
      <c r="M7808" s="13" t="str">
        <f t="shared" si="1243"/>
        <v/>
      </c>
      <c r="Q7808" t="str">
        <f t="shared" si="1244"/>
        <v/>
      </c>
      <c r="R7808" t="str">
        <f t="shared" si="1245"/>
        <v/>
      </c>
      <c r="S7808" t="str">
        <f t="shared" si="1246"/>
        <v/>
      </c>
      <c r="T7808" t="str">
        <f t="shared" si="1247"/>
        <v/>
      </c>
      <c r="U7808" t="str">
        <f t="shared" si="1248"/>
        <v/>
      </c>
      <c r="V7808" t="str">
        <f t="shared" si="1249"/>
        <v/>
      </c>
      <c r="W7808" t="str">
        <f t="shared" si="1250"/>
        <v/>
      </c>
      <c r="X7808">
        <f t="shared" si="1252"/>
        <v>0</v>
      </c>
      <c r="Z7808" t="str">
        <f t="shared" si="1251"/>
        <v/>
      </c>
      <c r="AA7808">
        <f t="shared" si="1253"/>
        <v>0</v>
      </c>
    </row>
    <row r="7809" spans="1:27" ht="21" customHeight="1" x14ac:dyDescent="0.95">
      <c r="A7809" s="56"/>
      <c r="B7809" s="57"/>
      <c r="C7809" s="57"/>
      <c r="D7809" s="57"/>
      <c r="E7809" s="56"/>
      <c r="F7809" s="57"/>
      <c r="G7809" s="57"/>
      <c r="H7809" s="56"/>
      <c r="I7809" s="56"/>
      <c r="J7809" s="58"/>
      <c r="K7809" s="58"/>
      <c r="L7809" s="13" t="str">
        <f t="shared" si="1242"/>
        <v/>
      </c>
      <c r="M7809" s="13" t="str">
        <f t="shared" si="1243"/>
        <v/>
      </c>
      <c r="Q7809" t="str">
        <f t="shared" si="1244"/>
        <v/>
      </c>
      <c r="R7809" t="str">
        <f t="shared" si="1245"/>
        <v/>
      </c>
      <c r="S7809" t="str">
        <f t="shared" si="1246"/>
        <v/>
      </c>
      <c r="T7809" t="str">
        <f t="shared" si="1247"/>
        <v/>
      </c>
      <c r="U7809" t="str">
        <f t="shared" si="1248"/>
        <v/>
      </c>
      <c r="V7809" t="str">
        <f t="shared" si="1249"/>
        <v/>
      </c>
      <c r="W7809" t="str">
        <f t="shared" si="1250"/>
        <v/>
      </c>
      <c r="X7809">
        <f t="shared" si="1252"/>
        <v>0</v>
      </c>
      <c r="Z7809" t="str">
        <f t="shared" si="1251"/>
        <v/>
      </c>
      <c r="AA7809">
        <f t="shared" si="1253"/>
        <v>0</v>
      </c>
    </row>
    <row r="7810" spans="1:27" ht="21" customHeight="1" x14ac:dyDescent="0.95">
      <c r="A7810" s="56"/>
      <c r="B7810" s="57"/>
      <c r="C7810" s="57"/>
      <c r="D7810" s="57"/>
      <c r="E7810" s="56"/>
      <c r="F7810" s="57"/>
      <c r="G7810" s="57"/>
      <c r="H7810" s="56"/>
      <c r="I7810" s="56"/>
      <c r="J7810" s="58"/>
      <c r="K7810" s="58"/>
      <c r="L7810" s="13" t="str">
        <f t="shared" si="1242"/>
        <v/>
      </c>
      <c r="M7810" s="13" t="str">
        <f t="shared" si="1243"/>
        <v/>
      </c>
      <c r="Q7810" t="str">
        <f t="shared" si="1244"/>
        <v/>
      </c>
      <c r="R7810" t="str">
        <f t="shared" si="1245"/>
        <v/>
      </c>
      <c r="S7810" t="str">
        <f t="shared" si="1246"/>
        <v/>
      </c>
      <c r="T7810" t="str">
        <f t="shared" si="1247"/>
        <v/>
      </c>
      <c r="U7810" t="str">
        <f t="shared" si="1248"/>
        <v/>
      </c>
      <c r="V7810" t="str">
        <f t="shared" si="1249"/>
        <v/>
      </c>
      <c r="W7810" t="str">
        <f t="shared" si="1250"/>
        <v/>
      </c>
      <c r="X7810">
        <f t="shared" si="1252"/>
        <v>0</v>
      </c>
      <c r="Z7810" t="str">
        <f t="shared" si="1251"/>
        <v/>
      </c>
      <c r="AA7810">
        <f t="shared" si="1253"/>
        <v>0</v>
      </c>
    </row>
    <row r="7811" spans="1:27" ht="21" customHeight="1" x14ac:dyDescent="0.95">
      <c r="A7811" s="56"/>
      <c r="B7811" s="57"/>
      <c r="C7811" s="57"/>
      <c r="D7811" s="57"/>
      <c r="E7811" s="56"/>
      <c r="F7811" s="57"/>
      <c r="G7811" s="57"/>
      <c r="H7811" s="56"/>
      <c r="I7811" s="56"/>
      <c r="J7811" s="58"/>
      <c r="K7811" s="58"/>
      <c r="L7811" s="13" t="str">
        <f t="shared" si="1242"/>
        <v/>
      </c>
      <c r="M7811" s="13" t="str">
        <f t="shared" si="1243"/>
        <v/>
      </c>
      <c r="Q7811" t="str">
        <f t="shared" si="1244"/>
        <v/>
      </c>
      <c r="R7811" t="str">
        <f t="shared" si="1245"/>
        <v/>
      </c>
      <c r="S7811" t="str">
        <f t="shared" si="1246"/>
        <v/>
      </c>
      <c r="T7811" t="str">
        <f t="shared" si="1247"/>
        <v/>
      </c>
      <c r="U7811" t="str">
        <f t="shared" si="1248"/>
        <v/>
      </c>
      <c r="V7811" t="str">
        <f t="shared" si="1249"/>
        <v/>
      </c>
      <c r="W7811" t="str">
        <f t="shared" si="1250"/>
        <v/>
      </c>
      <c r="X7811">
        <f t="shared" si="1252"/>
        <v>0</v>
      </c>
      <c r="Z7811" t="str">
        <f t="shared" si="1251"/>
        <v/>
      </c>
      <c r="AA7811">
        <f t="shared" si="1253"/>
        <v>0</v>
      </c>
    </row>
    <row r="7812" spans="1:27" ht="21" customHeight="1" x14ac:dyDescent="0.95">
      <c r="A7812" s="56"/>
      <c r="B7812" s="57"/>
      <c r="C7812" s="57"/>
      <c r="D7812" s="57"/>
      <c r="E7812" s="56"/>
      <c r="F7812" s="57"/>
      <c r="G7812" s="57"/>
      <c r="H7812" s="56"/>
      <c r="I7812" s="56"/>
      <c r="J7812" s="58"/>
      <c r="K7812" s="58"/>
      <c r="L7812" s="13" t="str">
        <f t="shared" ref="L7812:L7875" si="1254">IF(OR($A7812="",AND($J7812="",$K7812="")),"",ROUND(N($J7812)-N($K7812),2))</f>
        <v/>
      </c>
      <c r="M7812" s="13" t="str">
        <f t="shared" ref="M7812:M7875" si="1255">IF(OR($A7812="",AND($J7812="",$K7812="")),"",MIN($J7812,$K7812))</f>
        <v/>
      </c>
      <c r="Q7812" t="str">
        <f t="shared" ref="Q7812:Q7875" si="1256">IF($A7812="","",$D7812&amp;"("&amp;SUBSTITUTE($E7812," ","")&amp;")")</f>
        <v/>
      </c>
      <c r="R7812" t="str">
        <f t="shared" ref="R7812:R7875" si="1257">IF($A7812="","",$B7812&amp;" - "&amp;$C7812)</f>
        <v/>
      </c>
      <c r="S7812" t="str">
        <f t="shared" ref="S7812:S7875" si="1258">IF($A7812="","",$R7812&amp;"|"&amp;$Q7812)</f>
        <v/>
      </c>
      <c r="T7812" t="str">
        <f t="shared" ref="T7812:T7875" si="1259">IF($A7812="","",$S7812&amp;"|"&amp;$F7812)</f>
        <v/>
      </c>
      <c r="U7812" t="str">
        <f t="shared" ref="U7812:U7875" si="1260">IF($A7812="","",$R7812&amp;"("&amp;$E7812&amp;")")</f>
        <v/>
      </c>
      <c r="V7812" t="str">
        <f t="shared" ref="V7812:V7875" si="1261">IF($A7812="","",$F7812&amp;"|"&amp;$U7812&amp;"|"&amp;$D7812)</f>
        <v/>
      </c>
      <c r="W7812" t="str">
        <f t="shared" si="1250"/>
        <v/>
      </c>
      <c r="X7812">
        <f t="shared" si="1252"/>
        <v>0</v>
      </c>
      <c r="Z7812" t="str">
        <f t="shared" si="1251"/>
        <v/>
      </c>
      <c r="AA7812">
        <f t="shared" si="1253"/>
        <v>0</v>
      </c>
    </row>
    <row r="7813" spans="1:27" ht="21" customHeight="1" x14ac:dyDescent="0.95">
      <c r="A7813" s="56"/>
      <c r="B7813" s="57"/>
      <c r="C7813" s="57"/>
      <c r="D7813" s="57"/>
      <c r="E7813" s="56"/>
      <c r="F7813" s="57"/>
      <c r="G7813" s="57"/>
      <c r="H7813" s="56"/>
      <c r="I7813" s="56"/>
      <c r="J7813" s="58"/>
      <c r="K7813" s="58"/>
      <c r="L7813" s="13" t="str">
        <f t="shared" si="1254"/>
        <v/>
      </c>
      <c r="M7813" s="13" t="str">
        <f t="shared" si="1255"/>
        <v/>
      </c>
      <c r="Q7813" t="str">
        <f t="shared" si="1256"/>
        <v/>
      </c>
      <c r="R7813" t="str">
        <f t="shared" si="1257"/>
        <v/>
      </c>
      <c r="S7813" t="str">
        <f t="shared" si="1258"/>
        <v/>
      </c>
      <c r="T7813" t="str">
        <f t="shared" si="1259"/>
        <v/>
      </c>
      <c r="U7813" t="str">
        <f t="shared" si="1260"/>
        <v/>
      </c>
      <c r="V7813" t="str">
        <f t="shared" si="1261"/>
        <v/>
      </c>
      <c r="W7813" t="str">
        <f t="shared" si="1250"/>
        <v/>
      </c>
      <c r="X7813">
        <f t="shared" si="1252"/>
        <v>0</v>
      </c>
      <c r="Z7813" t="str">
        <f t="shared" si="1251"/>
        <v/>
      </c>
      <c r="AA7813">
        <f t="shared" si="1253"/>
        <v>0</v>
      </c>
    </row>
    <row r="7814" spans="1:27" ht="21" customHeight="1" x14ac:dyDescent="0.95">
      <c r="A7814" s="56"/>
      <c r="B7814" s="57"/>
      <c r="C7814" s="57"/>
      <c r="D7814" s="57"/>
      <c r="E7814" s="56"/>
      <c r="F7814" s="57"/>
      <c r="G7814" s="57"/>
      <c r="H7814" s="56"/>
      <c r="I7814" s="56"/>
      <c r="J7814" s="58"/>
      <c r="K7814" s="58"/>
      <c r="L7814" s="13" t="str">
        <f t="shared" si="1254"/>
        <v/>
      </c>
      <c r="M7814" s="13" t="str">
        <f t="shared" si="1255"/>
        <v/>
      </c>
      <c r="Q7814" t="str">
        <f t="shared" si="1256"/>
        <v/>
      </c>
      <c r="R7814" t="str">
        <f t="shared" si="1257"/>
        <v/>
      </c>
      <c r="S7814" t="str">
        <f t="shared" si="1258"/>
        <v/>
      </c>
      <c r="T7814" t="str">
        <f t="shared" si="1259"/>
        <v/>
      </c>
      <c r="U7814" t="str">
        <f t="shared" si="1260"/>
        <v/>
      </c>
      <c r="V7814" t="str">
        <f t="shared" si="1261"/>
        <v/>
      </c>
      <c r="W7814" t="str">
        <f t="shared" ref="W7814:W7877" si="1262">IF($T7814="","",IF($X7814&gt;N($X7813),$X7814,""))</f>
        <v/>
      </c>
      <c r="X7814">
        <f t="shared" si="1252"/>
        <v>0</v>
      </c>
      <c r="Z7814" t="str">
        <f t="shared" ref="Z7814:Z7877" si="1263">IF($V7814="","",IF($AA7814&gt;N($AA7813),$AA7814,""))</f>
        <v/>
      </c>
      <c r="AA7814">
        <f t="shared" si="1253"/>
        <v>0</v>
      </c>
    </row>
    <row r="7815" spans="1:27" ht="21" customHeight="1" x14ac:dyDescent="0.95">
      <c r="A7815" s="56"/>
      <c r="B7815" s="57"/>
      <c r="C7815" s="57"/>
      <c r="D7815" s="57"/>
      <c r="E7815" s="56"/>
      <c r="F7815" s="57"/>
      <c r="G7815" s="57"/>
      <c r="H7815" s="56"/>
      <c r="I7815" s="56"/>
      <c r="J7815" s="58"/>
      <c r="K7815" s="58"/>
      <c r="L7815" s="13" t="str">
        <f t="shared" si="1254"/>
        <v/>
      </c>
      <c r="M7815" s="13" t="str">
        <f t="shared" si="1255"/>
        <v/>
      </c>
      <c r="Q7815" t="str">
        <f t="shared" si="1256"/>
        <v/>
      </c>
      <c r="R7815" t="str">
        <f t="shared" si="1257"/>
        <v/>
      </c>
      <c r="S7815" t="str">
        <f t="shared" si="1258"/>
        <v/>
      </c>
      <c r="T7815" t="str">
        <f t="shared" si="1259"/>
        <v/>
      </c>
      <c r="U7815" t="str">
        <f t="shared" si="1260"/>
        <v/>
      </c>
      <c r="V7815" t="str">
        <f t="shared" si="1261"/>
        <v/>
      </c>
      <c r="W7815" t="str">
        <f t="shared" si="1262"/>
        <v/>
      </c>
      <c r="X7815">
        <f t="shared" si="1252"/>
        <v>0</v>
      </c>
      <c r="Z7815" t="str">
        <f t="shared" si="1263"/>
        <v/>
      </c>
      <c r="AA7815">
        <f t="shared" si="1253"/>
        <v>0</v>
      </c>
    </row>
    <row r="7816" spans="1:27" ht="21" customHeight="1" x14ac:dyDescent="0.95">
      <c r="A7816" s="56"/>
      <c r="B7816" s="57"/>
      <c r="C7816" s="57"/>
      <c r="D7816" s="57"/>
      <c r="E7816" s="56"/>
      <c r="F7816" s="57"/>
      <c r="G7816" s="57"/>
      <c r="H7816" s="56"/>
      <c r="I7816" s="56"/>
      <c r="J7816" s="58"/>
      <c r="K7816" s="58"/>
      <c r="L7816" s="13" t="str">
        <f t="shared" si="1254"/>
        <v/>
      </c>
      <c r="M7816" s="13" t="str">
        <f t="shared" si="1255"/>
        <v/>
      </c>
      <c r="Q7816" t="str">
        <f t="shared" si="1256"/>
        <v/>
      </c>
      <c r="R7816" t="str">
        <f t="shared" si="1257"/>
        <v/>
      </c>
      <c r="S7816" t="str">
        <f t="shared" si="1258"/>
        <v/>
      </c>
      <c r="T7816" t="str">
        <f t="shared" si="1259"/>
        <v/>
      </c>
      <c r="U7816" t="str">
        <f t="shared" si="1260"/>
        <v/>
      </c>
      <c r="V7816" t="str">
        <f t="shared" si="1261"/>
        <v/>
      </c>
      <c r="W7816" t="str">
        <f t="shared" si="1262"/>
        <v/>
      </c>
      <c r="X7816">
        <f t="shared" si="1252"/>
        <v>0</v>
      </c>
      <c r="Z7816" t="str">
        <f t="shared" si="1263"/>
        <v/>
      </c>
      <c r="AA7816">
        <f t="shared" si="1253"/>
        <v>0</v>
      </c>
    </row>
    <row r="7817" spans="1:27" ht="21" customHeight="1" x14ac:dyDescent="0.95">
      <c r="A7817" s="56"/>
      <c r="B7817" s="57"/>
      <c r="C7817" s="57"/>
      <c r="D7817" s="57"/>
      <c r="E7817" s="56"/>
      <c r="F7817" s="57"/>
      <c r="G7817" s="57"/>
      <c r="H7817" s="56"/>
      <c r="I7817" s="56"/>
      <c r="J7817" s="58"/>
      <c r="K7817" s="58"/>
      <c r="L7817" s="13" t="str">
        <f t="shared" si="1254"/>
        <v/>
      </c>
      <c r="M7817" s="13" t="str">
        <f t="shared" si="1255"/>
        <v/>
      </c>
      <c r="Q7817" t="str">
        <f t="shared" si="1256"/>
        <v/>
      </c>
      <c r="R7817" t="str">
        <f t="shared" si="1257"/>
        <v/>
      </c>
      <c r="S7817" t="str">
        <f t="shared" si="1258"/>
        <v/>
      </c>
      <c r="T7817" t="str">
        <f t="shared" si="1259"/>
        <v/>
      </c>
      <c r="U7817" t="str">
        <f t="shared" si="1260"/>
        <v/>
      </c>
      <c r="V7817" t="str">
        <f t="shared" si="1261"/>
        <v/>
      </c>
      <c r="W7817" t="str">
        <f t="shared" si="1262"/>
        <v/>
      </c>
      <c r="X7817">
        <f t="shared" si="1252"/>
        <v>0</v>
      </c>
      <c r="Z7817" t="str">
        <f t="shared" si="1263"/>
        <v/>
      </c>
      <c r="AA7817">
        <f t="shared" si="1253"/>
        <v>0</v>
      </c>
    </row>
    <row r="7818" spans="1:27" ht="21" customHeight="1" x14ac:dyDescent="0.95">
      <c r="A7818" s="56"/>
      <c r="B7818" s="57"/>
      <c r="C7818" s="57"/>
      <c r="D7818" s="57"/>
      <c r="E7818" s="56"/>
      <c r="F7818" s="57"/>
      <c r="G7818" s="57"/>
      <c r="H7818" s="56"/>
      <c r="I7818" s="56"/>
      <c r="J7818" s="58"/>
      <c r="K7818" s="58"/>
      <c r="L7818" s="13" t="str">
        <f t="shared" si="1254"/>
        <v/>
      </c>
      <c r="M7818" s="13" t="str">
        <f t="shared" si="1255"/>
        <v/>
      </c>
      <c r="Q7818" t="str">
        <f t="shared" si="1256"/>
        <v/>
      </c>
      <c r="R7818" t="str">
        <f t="shared" si="1257"/>
        <v/>
      </c>
      <c r="S7818" t="str">
        <f t="shared" si="1258"/>
        <v/>
      </c>
      <c r="T7818" t="str">
        <f t="shared" si="1259"/>
        <v/>
      </c>
      <c r="U7818" t="str">
        <f t="shared" si="1260"/>
        <v/>
      </c>
      <c r="V7818" t="str">
        <f t="shared" si="1261"/>
        <v/>
      </c>
      <c r="W7818" t="str">
        <f t="shared" si="1262"/>
        <v/>
      </c>
      <c r="X7818">
        <f t="shared" si="1252"/>
        <v>0</v>
      </c>
      <c r="Z7818" t="str">
        <f t="shared" si="1263"/>
        <v/>
      </c>
      <c r="AA7818">
        <f t="shared" si="1253"/>
        <v>0</v>
      </c>
    </row>
    <row r="7819" spans="1:27" ht="21" customHeight="1" x14ac:dyDescent="0.95">
      <c r="A7819" s="56"/>
      <c r="B7819" s="57"/>
      <c r="C7819" s="57"/>
      <c r="D7819" s="57"/>
      <c r="E7819" s="56"/>
      <c r="F7819" s="57"/>
      <c r="G7819" s="57"/>
      <c r="H7819" s="56"/>
      <c r="I7819" s="56"/>
      <c r="J7819" s="58"/>
      <c r="K7819" s="58"/>
      <c r="L7819" s="13" t="str">
        <f t="shared" si="1254"/>
        <v/>
      </c>
      <c r="M7819" s="13" t="str">
        <f t="shared" si="1255"/>
        <v/>
      </c>
      <c r="Q7819" t="str">
        <f t="shared" si="1256"/>
        <v/>
      </c>
      <c r="R7819" t="str">
        <f t="shared" si="1257"/>
        <v/>
      </c>
      <c r="S7819" t="str">
        <f t="shared" si="1258"/>
        <v/>
      </c>
      <c r="T7819" t="str">
        <f t="shared" si="1259"/>
        <v/>
      </c>
      <c r="U7819" t="str">
        <f t="shared" si="1260"/>
        <v/>
      </c>
      <c r="V7819" t="str">
        <f t="shared" si="1261"/>
        <v/>
      </c>
      <c r="W7819" t="str">
        <f t="shared" si="1262"/>
        <v/>
      </c>
      <c r="X7819">
        <f t="shared" si="1252"/>
        <v>0</v>
      </c>
      <c r="Z7819" t="str">
        <f t="shared" si="1263"/>
        <v/>
      </c>
      <c r="AA7819">
        <f t="shared" si="1253"/>
        <v>0</v>
      </c>
    </row>
    <row r="7820" spans="1:27" ht="21" customHeight="1" x14ac:dyDescent="0.95">
      <c r="A7820" s="56"/>
      <c r="B7820" s="57"/>
      <c r="C7820" s="57"/>
      <c r="D7820" s="57"/>
      <c r="E7820" s="56"/>
      <c r="F7820" s="57"/>
      <c r="G7820" s="57"/>
      <c r="H7820" s="56"/>
      <c r="I7820" s="56"/>
      <c r="J7820" s="58"/>
      <c r="K7820" s="58"/>
      <c r="L7820" s="13" t="str">
        <f t="shared" si="1254"/>
        <v/>
      </c>
      <c r="M7820" s="13" t="str">
        <f t="shared" si="1255"/>
        <v/>
      </c>
      <c r="Q7820" t="str">
        <f t="shared" si="1256"/>
        <v/>
      </c>
      <c r="R7820" t="str">
        <f t="shared" si="1257"/>
        <v/>
      </c>
      <c r="S7820" t="str">
        <f t="shared" si="1258"/>
        <v/>
      </c>
      <c r="T7820" t="str">
        <f t="shared" si="1259"/>
        <v/>
      </c>
      <c r="U7820" t="str">
        <f t="shared" si="1260"/>
        <v/>
      </c>
      <c r="V7820" t="str">
        <f t="shared" si="1261"/>
        <v/>
      </c>
      <c r="W7820" t="str">
        <f t="shared" si="1262"/>
        <v/>
      </c>
      <c r="X7820">
        <f t="shared" si="1252"/>
        <v>0</v>
      </c>
      <c r="Z7820" t="str">
        <f t="shared" si="1263"/>
        <v/>
      </c>
      <c r="AA7820">
        <f t="shared" si="1253"/>
        <v>0</v>
      </c>
    </row>
    <row r="7821" spans="1:27" ht="21" customHeight="1" x14ac:dyDescent="0.95">
      <c r="A7821" s="56"/>
      <c r="B7821" s="57"/>
      <c r="C7821" s="57"/>
      <c r="D7821" s="57"/>
      <c r="E7821" s="56"/>
      <c r="F7821" s="57"/>
      <c r="G7821" s="57"/>
      <c r="H7821" s="56"/>
      <c r="I7821" s="56"/>
      <c r="J7821" s="58"/>
      <c r="K7821" s="58"/>
      <c r="L7821" s="13" t="str">
        <f t="shared" si="1254"/>
        <v/>
      </c>
      <c r="M7821" s="13" t="str">
        <f t="shared" si="1255"/>
        <v/>
      </c>
      <c r="Q7821" t="str">
        <f t="shared" si="1256"/>
        <v/>
      </c>
      <c r="R7821" t="str">
        <f t="shared" si="1257"/>
        <v/>
      </c>
      <c r="S7821" t="str">
        <f t="shared" si="1258"/>
        <v/>
      </c>
      <c r="T7821" t="str">
        <f t="shared" si="1259"/>
        <v/>
      </c>
      <c r="U7821" t="str">
        <f t="shared" si="1260"/>
        <v/>
      </c>
      <c r="V7821" t="str">
        <f t="shared" si="1261"/>
        <v/>
      </c>
      <c r="W7821" t="str">
        <f t="shared" si="1262"/>
        <v/>
      </c>
      <c r="X7821">
        <f t="shared" si="1252"/>
        <v>0</v>
      </c>
      <c r="Z7821" t="str">
        <f t="shared" si="1263"/>
        <v/>
      </c>
      <c r="AA7821">
        <f t="shared" si="1253"/>
        <v>0</v>
      </c>
    </row>
    <row r="7822" spans="1:27" ht="21" customHeight="1" x14ac:dyDescent="0.95">
      <c r="A7822" s="56"/>
      <c r="B7822" s="57"/>
      <c r="C7822" s="57"/>
      <c r="D7822" s="57"/>
      <c r="E7822" s="56"/>
      <c r="F7822" s="57"/>
      <c r="G7822" s="57"/>
      <c r="H7822" s="56"/>
      <c r="I7822" s="56"/>
      <c r="J7822" s="58"/>
      <c r="K7822" s="58"/>
      <c r="L7822" s="13" t="str">
        <f t="shared" si="1254"/>
        <v/>
      </c>
      <c r="M7822" s="13" t="str">
        <f t="shared" si="1255"/>
        <v/>
      </c>
      <c r="Q7822" t="str">
        <f t="shared" si="1256"/>
        <v/>
      </c>
      <c r="R7822" t="str">
        <f t="shared" si="1257"/>
        <v/>
      </c>
      <c r="S7822" t="str">
        <f t="shared" si="1258"/>
        <v/>
      </c>
      <c r="T7822" t="str">
        <f t="shared" si="1259"/>
        <v/>
      </c>
      <c r="U7822" t="str">
        <f t="shared" si="1260"/>
        <v/>
      </c>
      <c r="V7822" t="str">
        <f t="shared" si="1261"/>
        <v/>
      </c>
      <c r="W7822" t="str">
        <f t="shared" si="1262"/>
        <v/>
      </c>
      <c r="X7822">
        <f t="shared" si="1252"/>
        <v>0</v>
      </c>
      <c r="Z7822" t="str">
        <f t="shared" si="1263"/>
        <v/>
      </c>
      <c r="AA7822">
        <f t="shared" si="1253"/>
        <v>0</v>
      </c>
    </row>
    <row r="7823" spans="1:27" ht="21" customHeight="1" x14ac:dyDescent="0.95">
      <c r="A7823" s="56"/>
      <c r="B7823" s="57"/>
      <c r="C7823" s="57"/>
      <c r="D7823" s="57"/>
      <c r="E7823" s="56"/>
      <c r="F7823" s="57"/>
      <c r="G7823" s="57"/>
      <c r="H7823" s="56"/>
      <c r="I7823" s="56"/>
      <c r="J7823" s="58"/>
      <c r="K7823" s="58"/>
      <c r="L7823" s="13" t="str">
        <f t="shared" si="1254"/>
        <v/>
      </c>
      <c r="M7823" s="13" t="str">
        <f t="shared" si="1255"/>
        <v/>
      </c>
      <c r="Q7823" t="str">
        <f t="shared" si="1256"/>
        <v/>
      </c>
      <c r="R7823" t="str">
        <f t="shared" si="1257"/>
        <v/>
      </c>
      <c r="S7823" t="str">
        <f t="shared" si="1258"/>
        <v/>
      </c>
      <c r="T7823" t="str">
        <f t="shared" si="1259"/>
        <v/>
      </c>
      <c r="U7823" t="str">
        <f t="shared" si="1260"/>
        <v/>
      </c>
      <c r="V7823" t="str">
        <f t="shared" si="1261"/>
        <v/>
      </c>
      <c r="W7823" t="str">
        <f t="shared" si="1262"/>
        <v/>
      </c>
      <c r="X7823">
        <f t="shared" si="1252"/>
        <v>0</v>
      </c>
      <c r="Z7823" t="str">
        <f t="shared" si="1263"/>
        <v/>
      </c>
      <c r="AA7823">
        <f t="shared" si="1253"/>
        <v>0</v>
      </c>
    </row>
    <row r="7824" spans="1:27" ht="21" customHeight="1" x14ac:dyDescent="0.95">
      <c r="A7824" s="56"/>
      <c r="B7824" s="57"/>
      <c r="C7824" s="57"/>
      <c r="D7824" s="57"/>
      <c r="E7824" s="56"/>
      <c r="F7824" s="57"/>
      <c r="G7824" s="57"/>
      <c r="H7824" s="56"/>
      <c r="I7824" s="56"/>
      <c r="J7824" s="58"/>
      <c r="K7824" s="58"/>
      <c r="L7824" s="13" t="str">
        <f t="shared" si="1254"/>
        <v/>
      </c>
      <c r="M7824" s="13" t="str">
        <f t="shared" si="1255"/>
        <v/>
      </c>
      <c r="Q7824" t="str">
        <f t="shared" si="1256"/>
        <v/>
      </c>
      <c r="R7824" t="str">
        <f t="shared" si="1257"/>
        <v/>
      </c>
      <c r="S7824" t="str">
        <f t="shared" si="1258"/>
        <v/>
      </c>
      <c r="T7824" t="str">
        <f t="shared" si="1259"/>
        <v/>
      </c>
      <c r="U7824" t="str">
        <f t="shared" si="1260"/>
        <v/>
      </c>
      <c r="V7824" t="str">
        <f t="shared" si="1261"/>
        <v/>
      </c>
      <c r="W7824" t="str">
        <f t="shared" si="1262"/>
        <v/>
      </c>
      <c r="X7824">
        <f t="shared" si="1252"/>
        <v>0</v>
      </c>
      <c r="Z7824" t="str">
        <f t="shared" si="1263"/>
        <v/>
      </c>
      <c r="AA7824">
        <f t="shared" si="1253"/>
        <v>0</v>
      </c>
    </row>
    <row r="7825" spans="1:27" ht="21" customHeight="1" x14ac:dyDescent="0.95">
      <c r="A7825" s="56"/>
      <c r="B7825" s="57"/>
      <c r="C7825" s="57"/>
      <c r="D7825" s="57"/>
      <c r="E7825" s="56"/>
      <c r="F7825" s="57"/>
      <c r="G7825" s="57"/>
      <c r="H7825" s="56"/>
      <c r="I7825" s="56"/>
      <c r="J7825" s="58"/>
      <c r="K7825" s="58"/>
      <c r="L7825" s="13" t="str">
        <f t="shared" si="1254"/>
        <v/>
      </c>
      <c r="M7825" s="13" t="str">
        <f t="shared" si="1255"/>
        <v/>
      </c>
      <c r="Q7825" t="str">
        <f t="shared" si="1256"/>
        <v/>
      </c>
      <c r="R7825" t="str">
        <f t="shared" si="1257"/>
        <v/>
      </c>
      <c r="S7825" t="str">
        <f t="shared" si="1258"/>
        <v/>
      </c>
      <c r="T7825" t="str">
        <f t="shared" si="1259"/>
        <v/>
      </c>
      <c r="U7825" t="str">
        <f t="shared" si="1260"/>
        <v/>
      </c>
      <c r="V7825" t="str">
        <f t="shared" si="1261"/>
        <v/>
      </c>
      <c r="W7825" t="str">
        <f t="shared" si="1262"/>
        <v/>
      </c>
      <c r="X7825">
        <f t="shared" si="1252"/>
        <v>0</v>
      </c>
      <c r="Z7825" t="str">
        <f t="shared" si="1263"/>
        <v/>
      </c>
      <c r="AA7825">
        <f t="shared" si="1253"/>
        <v>0</v>
      </c>
    </row>
    <row r="7826" spans="1:27" ht="21" customHeight="1" x14ac:dyDescent="0.95">
      <c r="A7826" s="56"/>
      <c r="B7826" s="57"/>
      <c r="C7826" s="57"/>
      <c r="D7826" s="57"/>
      <c r="E7826" s="56"/>
      <c r="F7826" s="57"/>
      <c r="G7826" s="57"/>
      <c r="H7826" s="56"/>
      <c r="I7826" s="56"/>
      <c r="J7826" s="58"/>
      <c r="K7826" s="58"/>
      <c r="L7826" s="13" t="str">
        <f t="shared" si="1254"/>
        <v/>
      </c>
      <c r="M7826" s="13" t="str">
        <f t="shared" si="1255"/>
        <v/>
      </c>
      <c r="Q7826" t="str">
        <f t="shared" si="1256"/>
        <v/>
      </c>
      <c r="R7826" t="str">
        <f t="shared" si="1257"/>
        <v/>
      </c>
      <c r="S7826" t="str">
        <f t="shared" si="1258"/>
        <v/>
      </c>
      <c r="T7826" t="str">
        <f t="shared" si="1259"/>
        <v/>
      </c>
      <c r="U7826" t="str">
        <f t="shared" si="1260"/>
        <v/>
      </c>
      <c r="V7826" t="str">
        <f t="shared" si="1261"/>
        <v/>
      </c>
      <c r="W7826" t="str">
        <f t="shared" si="1262"/>
        <v/>
      </c>
      <c r="X7826">
        <f t="shared" si="1252"/>
        <v>0</v>
      </c>
      <c r="Z7826" t="str">
        <f t="shared" si="1263"/>
        <v/>
      </c>
      <c r="AA7826">
        <f t="shared" si="1253"/>
        <v>0</v>
      </c>
    </row>
    <row r="7827" spans="1:27" ht="21" customHeight="1" x14ac:dyDescent="0.95">
      <c r="A7827" s="56"/>
      <c r="B7827" s="57"/>
      <c r="C7827" s="57"/>
      <c r="D7827" s="57"/>
      <c r="E7827" s="56"/>
      <c r="F7827" s="57"/>
      <c r="G7827" s="57"/>
      <c r="H7827" s="56"/>
      <c r="I7827" s="56"/>
      <c r="J7827" s="58"/>
      <c r="K7827" s="58"/>
      <c r="L7827" s="13" t="str">
        <f t="shared" si="1254"/>
        <v/>
      </c>
      <c r="M7827" s="13" t="str">
        <f t="shared" si="1255"/>
        <v/>
      </c>
      <c r="Q7827" t="str">
        <f t="shared" si="1256"/>
        <v/>
      </c>
      <c r="R7827" t="str">
        <f t="shared" si="1257"/>
        <v/>
      </c>
      <c r="S7827" t="str">
        <f t="shared" si="1258"/>
        <v/>
      </c>
      <c r="T7827" t="str">
        <f t="shared" si="1259"/>
        <v/>
      </c>
      <c r="U7827" t="str">
        <f t="shared" si="1260"/>
        <v/>
      </c>
      <c r="V7827" t="str">
        <f t="shared" si="1261"/>
        <v/>
      </c>
      <c r="W7827" t="str">
        <f t="shared" si="1262"/>
        <v/>
      </c>
      <c r="X7827">
        <f t="shared" si="1252"/>
        <v>0</v>
      </c>
      <c r="Z7827" t="str">
        <f t="shared" si="1263"/>
        <v/>
      </c>
      <c r="AA7827">
        <f t="shared" si="1253"/>
        <v>0</v>
      </c>
    </row>
    <row r="7828" spans="1:27" ht="21" customHeight="1" x14ac:dyDescent="0.95">
      <c r="A7828" s="56"/>
      <c r="B7828" s="57"/>
      <c r="C7828" s="57"/>
      <c r="D7828" s="57"/>
      <c r="E7828" s="56"/>
      <c r="F7828" s="57"/>
      <c r="G7828" s="57"/>
      <c r="H7828" s="56"/>
      <c r="I7828" s="56"/>
      <c r="J7828" s="58"/>
      <c r="K7828" s="58"/>
      <c r="L7828" s="13" t="str">
        <f t="shared" si="1254"/>
        <v/>
      </c>
      <c r="M7828" s="13" t="str">
        <f t="shared" si="1255"/>
        <v/>
      </c>
      <c r="Q7828" t="str">
        <f t="shared" si="1256"/>
        <v/>
      </c>
      <c r="R7828" t="str">
        <f t="shared" si="1257"/>
        <v/>
      </c>
      <c r="S7828" t="str">
        <f t="shared" si="1258"/>
        <v/>
      </c>
      <c r="T7828" t="str">
        <f t="shared" si="1259"/>
        <v/>
      </c>
      <c r="U7828" t="str">
        <f t="shared" si="1260"/>
        <v/>
      </c>
      <c r="V7828" t="str">
        <f t="shared" si="1261"/>
        <v/>
      </c>
      <c r="W7828" t="str">
        <f t="shared" si="1262"/>
        <v/>
      </c>
      <c r="X7828">
        <f t="shared" si="1252"/>
        <v>0</v>
      </c>
      <c r="Z7828" t="str">
        <f t="shared" si="1263"/>
        <v/>
      </c>
      <c r="AA7828">
        <f t="shared" si="1253"/>
        <v>0</v>
      </c>
    </row>
    <row r="7829" spans="1:27" ht="21" customHeight="1" x14ac:dyDescent="0.95">
      <c r="A7829" s="56"/>
      <c r="B7829" s="57"/>
      <c r="C7829" s="57"/>
      <c r="D7829" s="57"/>
      <c r="E7829" s="56"/>
      <c r="F7829" s="57"/>
      <c r="G7829" s="57"/>
      <c r="H7829" s="56"/>
      <c r="I7829" s="56"/>
      <c r="J7829" s="58"/>
      <c r="K7829" s="58"/>
      <c r="L7829" s="13" t="str">
        <f t="shared" si="1254"/>
        <v/>
      </c>
      <c r="M7829" s="13" t="str">
        <f t="shared" si="1255"/>
        <v/>
      </c>
      <c r="Q7829" t="str">
        <f t="shared" si="1256"/>
        <v/>
      </c>
      <c r="R7829" t="str">
        <f t="shared" si="1257"/>
        <v/>
      </c>
      <c r="S7829" t="str">
        <f t="shared" si="1258"/>
        <v/>
      </c>
      <c r="T7829" t="str">
        <f t="shared" si="1259"/>
        <v/>
      </c>
      <c r="U7829" t="str">
        <f t="shared" si="1260"/>
        <v/>
      </c>
      <c r="V7829" t="str">
        <f t="shared" si="1261"/>
        <v/>
      </c>
      <c r="W7829" t="str">
        <f t="shared" si="1262"/>
        <v/>
      </c>
      <c r="X7829">
        <f t="shared" si="1252"/>
        <v>0</v>
      </c>
      <c r="Z7829" t="str">
        <f t="shared" si="1263"/>
        <v/>
      </c>
      <c r="AA7829">
        <f t="shared" si="1253"/>
        <v>0</v>
      </c>
    </row>
    <row r="7830" spans="1:27" ht="21" customHeight="1" x14ac:dyDescent="0.95">
      <c r="A7830" s="56"/>
      <c r="B7830" s="57"/>
      <c r="C7830" s="57"/>
      <c r="D7830" s="57"/>
      <c r="E7830" s="56"/>
      <c r="F7830" s="57"/>
      <c r="G7830" s="57"/>
      <c r="H7830" s="56"/>
      <c r="I7830" s="56"/>
      <c r="J7830" s="58"/>
      <c r="K7830" s="58"/>
      <c r="L7830" s="13" t="str">
        <f t="shared" si="1254"/>
        <v/>
      </c>
      <c r="M7830" s="13" t="str">
        <f t="shared" si="1255"/>
        <v/>
      </c>
      <c r="Q7830" t="str">
        <f t="shared" si="1256"/>
        <v/>
      </c>
      <c r="R7830" t="str">
        <f t="shared" si="1257"/>
        <v/>
      </c>
      <c r="S7830" t="str">
        <f t="shared" si="1258"/>
        <v/>
      </c>
      <c r="T7830" t="str">
        <f t="shared" si="1259"/>
        <v/>
      </c>
      <c r="U7830" t="str">
        <f t="shared" si="1260"/>
        <v/>
      </c>
      <c r="V7830" t="str">
        <f t="shared" si="1261"/>
        <v/>
      </c>
      <c r="W7830" t="str">
        <f t="shared" si="1262"/>
        <v/>
      </c>
      <c r="X7830">
        <f t="shared" si="1252"/>
        <v>0</v>
      </c>
      <c r="Z7830" t="str">
        <f t="shared" si="1263"/>
        <v/>
      </c>
      <c r="AA7830">
        <f t="shared" si="1253"/>
        <v>0</v>
      </c>
    </row>
    <row r="7831" spans="1:27" ht="21" customHeight="1" x14ac:dyDescent="0.95">
      <c r="A7831" s="56"/>
      <c r="B7831" s="57"/>
      <c r="C7831" s="57"/>
      <c r="D7831" s="57"/>
      <c r="E7831" s="56"/>
      <c r="F7831" s="57"/>
      <c r="G7831" s="57"/>
      <c r="H7831" s="56"/>
      <c r="I7831" s="56"/>
      <c r="J7831" s="58"/>
      <c r="K7831" s="58"/>
      <c r="L7831" s="13" t="str">
        <f t="shared" si="1254"/>
        <v/>
      </c>
      <c r="M7831" s="13" t="str">
        <f t="shared" si="1255"/>
        <v/>
      </c>
      <c r="Q7831" t="str">
        <f t="shared" si="1256"/>
        <v/>
      </c>
      <c r="R7831" t="str">
        <f t="shared" si="1257"/>
        <v/>
      </c>
      <c r="S7831" t="str">
        <f t="shared" si="1258"/>
        <v/>
      </c>
      <c r="T7831" t="str">
        <f t="shared" si="1259"/>
        <v/>
      </c>
      <c r="U7831" t="str">
        <f t="shared" si="1260"/>
        <v/>
      </c>
      <c r="V7831" t="str">
        <f t="shared" si="1261"/>
        <v/>
      </c>
      <c r="W7831" t="str">
        <f t="shared" si="1262"/>
        <v/>
      </c>
      <c r="X7831">
        <f t="shared" si="1252"/>
        <v>0</v>
      </c>
      <c r="Z7831" t="str">
        <f t="shared" si="1263"/>
        <v/>
      </c>
      <c r="AA7831">
        <f t="shared" si="1253"/>
        <v>0</v>
      </c>
    </row>
    <row r="7832" spans="1:27" ht="21" customHeight="1" x14ac:dyDescent="0.95">
      <c r="A7832" s="56"/>
      <c r="B7832" s="57"/>
      <c r="C7832" s="57"/>
      <c r="D7832" s="57"/>
      <c r="E7832" s="56"/>
      <c r="F7832" s="57"/>
      <c r="G7832" s="57"/>
      <c r="H7832" s="56"/>
      <c r="I7832" s="56"/>
      <c r="J7832" s="58"/>
      <c r="K7832" s="58"/>
      <c r="L7832" s="13" t="str">
        <f t="shared" si="1254"/>
        <v/>
      </c>
      <c r="M7832" s="13" t="str">
        <f t="shared" si="1255"/>
        <v/>
      </c>
      <c r="Q7832" t="str">
        <f t="shared" si="1256"/>
        <v/>
      </c>
      <c r="R7832" t="str">
        <f t="shared" si="1257"/>
        <v/>
      </c>
      <c r="S7832" t="str">
        <f t="shared" si="1258"/>
        <v/>
      </c>
      <c r="T7832" t="str">
        <f t="shared" si="1259"/>
        <v/>
      </c>
      <c r="U7832" t="str">
        <f t="shared" si="1260"/>
        <v/>
      </c>
      <c r="V7832" t="str">
        <f t="shared" si="1261"/>
        <v/>
      </c>
      <c r="W7832" t="str">
        <f t="shared" si="1262"/>
        <v/>
      </c>
      <c r="X7832">
        <f t="shared" si="1252"/>
        <v>0</v>
      </c>
      <c r="Z7832" t="str">
        <f t="shared" si="1263"/>
        <v/>
      </c>
      <c r="AA7832">
        <f t="shared" si="1253"/>
        <v>0</v>
      </c>
    </row>
    <row r="7833" spans="1:27" ht="21" customHeight="1" x14ac:dyDescent="0.95">
      <c r="A7833" s="56"/>
      <c r="B7833" s="57"/>
      <c r="C7833" s="57"/>
      <c r="D7833" s="57"/>
      <c r="E7833" s="56"/>
      <c r="F7833" s="57"/>
      <c r="G7833" s="57"/>
      <c r="H7833" s="56"/>
      <c r="I7833" s="56"/>
      <c r="J7833" s="58"/>
      <c r="K7833" s="58"/>
      <c r="L7833" s="13" t="str">
        <f t="shared" si="1254"/>
        <v/>
      </c>
      <c r="M7833" s="13" t="str">
        <f t="shared" si="1255"/>
        <v/>
      </c>
      <c r="Q7833" t="str">
        <f t="shared" si="1256"/>
        <v/>
      </c>
      <c r="R7833" t="str">
        <f t="shared" si="1257"/>
        <v/>
      </c>
      <c r="S7833" t="str">
        <f t="shared" si="1258"/>
        <v/>
      </c>
      <c r="T7833" t="str">
        <f t="shared" si="1259"/>
        <v/>
      </c>
      <c r="U7833" t="str">
        <f t="shared" si="1260"/>
        <v/>
      </c>
      <c r="V7833" t="str">
        <f t="shared" si="1261"/>
        <v/>
      </c>
      <c r="W7833" t="str">
        <f t="shared" si="1262"/>
        <v/>
      </c>
      <c r="X7833">
        <f t="shared" si="1252"/>
        <v>0</v>
      </c>
      <c r="Z7833" t="str">
        <f t="shared" si="1263"/>
        <v/>
      </c>
      <c r="AA7833">
        <f t="shared" si="1253"/>
        <v>0</v>
      </c>
    </row>
    <row r="7834" spans="1:27" ht="21" customHeight="1" x14ac:dyDescent="0.95">
      <c r="A7834" s="56"/>
      <c r="B7834" s="57"/>
      <c r="C7834" s="57"/>
      <c r="D7834" s="57"/>
      <c r="E7834" s="56"/>
      <c r="F7834" s="57"/>
      <c r="G7834" s="57"/>
      <c r="H7834" s="56"/>
      <c r="I7834" s="56"/>
      <c r="J7834" s="58"/>
      <c r="K7834" s="58"/>
      <c r="L7834" s="13" t="str">
        <f t="shared" si="1254"/>
        <v/>
      </c>
      <c r="M7834" s="13" t="str">
        <f t="shared" si="1255"/>
        <v/>
      </c>
      <c r="Q7834" t="str">
        <f t="shared" si="1256"/>
        <v/>
      </c>
      <c r="R7834" t="str">
        <f t="shared" si="1257"/>
        <v/>
      </c>
      <c r="S7834" t="str">
        <f t="shared" si="1258"/>
        <v/>
      </c>
      <c r="T7834" t="str">
        <f t="shared" si="1259"/>
        <v/>
      </c>
      <c r="U7834" t="str">
        <f t="shared" si="1260"/>
        <v/>
      </c>
      <c r="V7834" t="str">
        <f t="shared" si="1261"/>
        <v/>
      </c>
      <c r="W7834" t="str">
        <f t="shared" si="1262"/>
        <v/>
      </c>
      <c r="X7834">
        <f t="shared" si="1252"/>
        <v>0</v>
      </c>
      <c r="Z7834" t="str">
        <f t="shared" si="1263"/>
        <v/>
      </c>
      <c r="AA7834">
        <f t="shared" si="1253"/>
        <v>0</v>
      </c>
    </row>
    <row r="7835" spans="1:27" ht="21" customHeight="1" x14ac:dyDescent="0.95">
      <c r="A7835" s="56"/>
      <c r="B7835" s="57"/>
      <c r="C7835" s="57"/>
      <c r="D7835" s="57"/>
      <c r="E7835" s="56"/>
      <c r="F7835" s="57"/>
      <c r="G7835" s="57"/>
      <c r="H7835" s="56"/>
      <c r="I7835" s="56"/>
      <c r="J7835" s="58"/>
      <c r="K7835" s="58"/>
      <c r="L7835" s="13" t="str">
        <f t="shared" si="1254"/>
        <v/>
      </c>
      <c r="M7835" s="13" t="str">
        <f t="shared" si="1255"/>
        <v/>
      </c>
      <c r="Q7835" t="str">
        <f t="shared" si="1256"/>
        <v/>
      </c>
      <c r="R7835" t="str">
        <f t="shared" si="1257"/>
        <v/>
      </c>
      <c r="S7835" t="str">
        <f t="shared" si="1258"/>
        <v/>
      </c>
      <c r="T7835" t="str">
        <f t="shared" si="1259"/>
        <v/>
      </c>
      <c r="U7835" t="str">
        <f t="shared" si="1260"/>
        <v/>
      </c>
      <c r="V7835" t="str">
        <f t="shared" si="1261"/>
        <v/>
      </c>
      <c r="W7835" t="str">
        <f t="shared" si="1262"/>
        <v/>
      </c>
      <c r="X7835">
        <f t="shared" si="1252"/>
        <v>0</v>
      </c>
      <c r="Z7835" t="str">
        <f t="shared" si="1263"/>
        <v/>
      </c>
      <c r="AA7835">
        <f t="shared" si="1253"/>
        <v>0</v>
      </c>
    </row>
    <row r="7836" spans="1:27" ht="21" customHeight="1" x14ac:dyDescent="0.95">
      <c r="A7836" s="56"/>
      <c r="B7836" s="57"/>
      <c r="C7836" s="57"/>
      <c r="D7836" s="57"/>
      <c r="E7836" s="56"/>
      <c r="F7836" s="57"/>
      <c r="G7836" s="57"/>
      <c r="H7836" s="56"/>
      <c r="I7836" s="56"/>
      <c r="J7836" s="58"/>
      <c r="K7836" s="58"/>
      <c r="L7836" s="13" t="str">
        <f t="shared" si="1254"/>
        <v/>
      </c>
      <c r="M7836" s="13" t="str">
        <f t="shared" si="1255"/>
        <v/>
      </c>
      <c r="Q7836" t="str">
        <f t="shared" si="1256"/>
        <v/>
      </c>
      <c r="R7836" t="str">
        <f t="shared" si="1257"/>
        <v/>
      </c>
      <c r="S7836" t="str">
        <f t="shared" si="1258"/>
        <v/>
      </c>
      <c r="T7836" t="str">
        <f t="shared" si="1259"/>
        <v/>
      </c>
      <c r="U7836" t="str">
        <f t="shared" si="1260"/>
        <v/>
      </c>
      <c r="V7836" t="str">
        <f t="shared" si="1261"/>
        <v/>
      </c>
      <c r="W7836" t="str">
        <f t="shared" si="1262"/>
        <v/>
      </c>
      <c r="X7836">
        <f t="shared" si="1252"/>
        <v>0</v>
      </c>
      <c r="Z7836" t="str">
        <f t="shared" si="1263"/>
        <v/>
      </c>
      <c r="AA7836">
        <f t="shared" si="1253"/>
        <v>0</v>
      </c>
    </row>
    <row r="7837" spans="1:27" ht="21" customHeight="1" x14ac:dyDescent="0.95">
      <c r="A7837" s="56"/>
      <c r="B7837" s="57"/>
      <c r="C7837" s="57"/>
      <c r="D7837" s="57"/>
      <c r="E7837" s="56"/>
      <c r="F7837" s="57"/>
      <c r="G7837" s="57"/>
      <c r="H7837" s="56"/>
      <c r="I7837" s="56"/>
      <c r="J7837" s="58"/>
      <c r="K7837" s="58"/>
      <c r="L7837" s="13" t="str">
        <f t="shared" si="1254"/>
        <v/>
      </c>
      <c r="M7837" s="13" t="str">
        <f t="shared" si="1255"/>
        <v/>
      </c>
      <c r="Q7837" t="str">
        <f t="shared" si="1256"/>
        <v/>
      </c>
      <c r="R7837" t="str">
        <f t="shared" si="1257"/>
        <v/>
      </c>
      <c r="S7837" t="str">
        <f t="shared" si="1258"/>
        <v/>
      </c>
      <c r="T7837" t="str">
        <f t="shared" si="1259"/>
        <v/>
      </c>
      <c r="U7837" t="str">
        <f t="shared" si="1260"/>
        <v/>
      </c>
      <c r="V7837" t="str">
        <f t="shared" si="1261"/>
        <v/>
      </c>
      <c r="W7837" t="str">
        <f t="shared" si="1262"/>
        <v/>
      </c>
      <c r="X7837">
        <f t="shared" si="1252"/>
        <v>0</v>
      </c>
      <c r="Z7837" t="str">
        <f t="shared" si="1263"/>
        <v/>
      </c>
      <c r="AA7837">
        <f t="shared" si="1253"/>
        <v>0</v>
      </c>
    </row>
    <row r="7838" spans="1:27" ht="21" customHeight="1" x14ac:dyDescent="0.95">
      <c r="A7838" s="56"/>
      <c r="B7838" s="57"/>
      <c r="C7838" s="57"/>
      <c r="D7838" s="57"/>
      <c r="E7838" s="56"/>
      <c r="F7838" s="57"/>
      <c r="G7838" s="57"/>
      <c r="H7838" s="56"/>
      <c r="I7838" s="56"/>
      <c r="J7838" s="58"/>
      <c r="K7838" s="58"/>
      <c r="L7838" s="13" t="str">
        <f t="shared" si="1254"/>
        <v/>
      </c>
      <c r="M7838" s="13" t="str">
        <f t="shared" si="1255"/>
        <v/>
      </c>
      <c r="Q7838" t="str">
        <f t="shared" si="1256"/>
        <v/>
      </c>
      <c r="R7838" t="str">
        <f t="shared" si="1257"/>
        <v/>
      </c>
      <c r="S7838" t="str">
        <f t="shared" si="1258"/>
        <v/>
      </c>
      <c r="T7838" t="str">
        <f t="shared" si="1259"/>
        <v/>
      </c>
      <c r="U7838" t="str">
        <f t="shared" si="1260"/>
        <v/>
      </c>
      <c r="V7838" t="str">
        <f t="shared" si="1261"/>
        <v/>
      </c>
      <c r="W7838" t="str">
        <f t="shared" si="1262"/>
        <v/>
      </c>
      <c r="X7838">
        <f t="shared" si="1252"/>
        <v>0</v>
      </c>
      <c r="Z7838" t="str">
        <f t="shared" si="1263"/>
        <v/>
      </c>
      <c r="AA7838">
        <f t="shared" si="1253"/>
        <v>0</v>
      </c>
    </row>
    <row r="7839" spans="1:27" ht="21" customHeight="1" x14ac:dyDescent="0.95">
      <c r="A7839" s="56"/>
      <c r="B7839" s="57"/>
      <c r="C7839" s="57"/>
      <c r="D7839" s="57"/>
      <c r="E7839" s="56"/>
      <c r="F7839" s="57"/>
      <c r="G7839" s="57"/>
      <c r="H7839" s="56"/>
      <c r="I7839" s="56"/>
      <c r="J7839" s="58"/>
      <c r="K7839" s="58"/>
      <c r="L7839" s="13" t="str">
        <f t="shared" si="1254"/>
        <v/>
      </c>
      <c r="M7839" s="13" t="str">
        <f t="shared" si="1255"/>
        <v/>
      </c>
      <c r="Q7839" t="str">
        <f t="shared" si="1256"/>
        <v/>
      </c>
      <c r="R7839" t="str">
        <f t="shared" si="1257"/>
        <v/>
      </c>
      <c r="S7839" t="str">
        <f t="shared" si="1258"/>
        <v/>
      </c>
      <c r="T7839" t="str">
        <f t="shared" si="1259"/>
        <v/>
      </c>
      <c r="U7839" t="str">
        <f t="shared" si="1260"/>
        <v/>
      </c>
      <c r="V7839" t="str">
        <f t="shared" si="1261"/>
        <v/>
      </c>
      <c r="W7839" t="str">
        <f t="shared" si="1262"/>
        <v/>
      </c>
      <c r="X7839">
        <f t="shared" si="1252"/>
        <v>0</v>
      </c>
      <c r="Z7839" t="str">
        <f t="shared" si="1263"/>
        <v/>
      </c>
      <c r="AA7839">
        <f t="shared" si="1253"/>
        <v>0</v>
      </c>
    </row>
    <row r="7840" spans="1:27" ht="21" customHeight="1" x14ac:dyDescent="0.95">
      <c r="A7840" s="56"/>
      <c r="B7840" s="57"/>
      <c r="C7840" s="57"/>
      <c r="D7840" s="57"/>
      <c r="E7840" s="56"/>
      <c r="F7840" s="57"/>
      <c r="G7840" s="57"/>
      <c r="H7840" s="56"/>
      <c r="I7840" s="56"/>
      <c r="J7840" s="58"/>
      <c r="K7840" s="58"/>
      <c r="L7840" s="13" t="str">
        <f t="shared" si="1254"/>
        <v/>
      </c>
      <c r="M7840" s="13" t="str">
        <f t="shared" si="1255"/>
        <v/>
      </c>
      <c r="Q7840" t="str">
        <f t="shared" si="1256"/>
        <v/>
      </c>
      <c r="R7840" t="str">
        <f t="shared" si="1257"/>
        <v/>
      </c>
      <c r="S7840" t="str">
        <f t="shared" si="1258"/>
        <v/>
      </c>
      <c r="T7840" t="str">
        <f t="shared" si="1259"/>
        <v/>
      </c>
      <c r="U7840" t="str">
        <f t="shared" si="1260"/>
        <v/>
      </c>
      <c r="V7840" t="str">
        <f t="shared" si="1261"/>
        <v/>
      </c>
      <c r="W7840" t="str">
        <f t="shared" si="1262"/>
        <v/>
      </c>
      <c r="X7840">
        <f t="shared" si="1252"/>
        <v>0</v>
      </c>
      <c r="Z7840" t="str">
        <f t="shared" si="1263"/>
        <v/>
      </c>
      <c r="AA7840">
        <f t="shared" si="1253"/>
        <v>0</v>
      </c>
    </row>
    <row r="7841" spans="1:27" ht="21" customHeight="1" x14ac:dyDescent="0.95">
      <c r="A7841" s="56"/>
      <c r="B7841" s="57"/>
      <c r="C7841" s="57"/>
      <c r="D7841" s="57"/>
      <c r="E7841" s="56"/>
      <c r="F7841" s="57"/>
      <c r="G7841" s="57"/>
      <c r="H7841" s="56"/>
      <c r="I7841" s="56"/>
      <c r="J7841" s="58"/>
      <c r="K7841" s="58"/>
      <c r="L7841" s="13" t="str">
        <f t="shared" si="1254"/>
        <v/>
      </c>
      <c r="M7841" s="13" t="str">
        <f t="shared" si="1255"/>
        <v/>
      </c>
      <c r="Q7841" t="str">
        <f t="shared" si="1256"/>
        <v/>
      </c>
      <c r="R7841" t="str">
        <f t="shared" si="1257"/>
        <v/>
      </c>
      <c r="S7841" t="str">
        <f t="shared" si="1258"/>
        <v/>
      </c>
      <c r="T7841" t="str">
        <f t="shared" si="1259"/>
        <v/>
      </c>
      <c r="U7841" t="str">
        <f t="shared" si="1260"/>
        <v/>
      </c>
      <c r="V7841" t="str">
        <f t="shared" si="1261"/>
        <v/>
      </c>
      <c r="W7841" t="str">
        <f t="shared" si="1262"/>
        <v/>
      </c>
      <c r="X7841">
        <f t="shared" si="1252"/>
        <v>0</v>
      </c>
      <c r="Z7841" t="str">
        <f t="shared" si="1263"/>
        <v/>
      </c>
      <c r="AA7841">
        <f t="shared" si="1253"/>
        <v>0</v>
      </c>
    </row>
    <row r="7842" spans="1:27" ht="21" customHeight="1" x14ac:dyDescent="0.95">
      <c r="A7842" s="56"/>
      <c r="B7842" s="57"/>
      <c r="C7842" s="57"/>
      <c r="D7842" s="57"/>
      <c r="E7842" s="56"/>
      <c r="F7842" s="57"/>
      <c r="G7842" s="57"/>
      <c r="H7842" s="56"/>
      <c r="I7842" s="56"/>
      <c r="J7842" s="58"/>
      <c r="K7842" s="58"/>
      <c r="L7842" s="13" t="str">
        <f t="shared" si="1254"/>
        <v/>
      </c>
      <c r="M7842" s="13" t="str">
        <f t="shared" si="1255"/>
        <v/>
      </c>
      <c r="Q7842" t="str">
        <f t="shared" si="1256"/>
        <v/>
      </c>
      <c r="R7842" t="str">
        <f t="shared" si="1257"/>
        <v/>
      </c>
      <c r="S7842" t="str">
        <f t="shared" si="1258"/>
        <v/>
      </c>
      <c r="T7842" t="str">
        <f t="shared" si="1259"/>
        <v/>
      </c>
      <c r="U7842" t="str">
        <f t="shared" si="1260"/>
        <v/>
      </c>
      <c r="V7842" t="str">
        <f t="shared" si="1261"/>
        <v/>
      </c>
      <c r="W7842" t="str">
        <f t="shared" si="1262"/>
        <v/>
      </c>
      <c r="X7842">
        <f t="shared" si="1252"/>
        <v>0</v>
      </c>
      <c r="Z7842" t="str">
        <f t="shared" si="1263"/>
        <v/>
      </c>
      <c r="AA7842">
        <f t="shared" si="1253"/>
        <v>0</v>
      </c>
    </row>
    <row r="7843" spans="1:27" ht="21" customHeight="1" x14ac:dyDescent="0.95">
      <c r="A7843" s="56"/>
      <c r="B7843" s="57"/>
      <c r="C7843" s="57"/>
      <c r="D7843" s="57"/>
      <c r="E7843" s="56"/>
      <c r="F7843" s="57"/>
      <c r="G7843" s="57"/>
      <c r="H7843" s="56"/>
      <c r="I7843" s="56"/>
      <c r="J7843" s="58"/>
      <c r="K7843" s="58"/>
      <c r="L7843" s="13" t="str">
        <f t="shared" si="1254"/>
        <v/>
      </c>
      <c r="M7843" s="13" t="str">
        <f t="shared" si="1255"/>
        <v/>
      </c>
      <c r="Q7843" t="str">
        <f t="shared" si="1256"/>
        <v/>
      </c>
      <c r="R7843" t="str">
        <f t="shared" si="1257"/>
        <v/>
      </c>
      <c r="S7843" t="str">
        <f t="shared" si="1258"/>
        <v/>
      </c>
      <c r="T7843" t="str">
        <f t="shared" si="1259"/>
        <v/>
      </c>
      <c r="U7843" t="str">
        <f t="shared" si="1260"/>
        <v/>
      </c>
      <c r="V7843" t="str">
        <f t="shared" si="1261"/>
        <v/>
      </c>
      <c r="W7843" t="str">
        <f t="shared" si="1262"/>
        <v/>
      </c>
      <c r="X7843">
        <f t="shared" si="1252"/>
        <v>0</v>
      </c>
      <c r="Z7843" t="str">
        <f t="shared" si="1263"/>
        <v/>
      </c>
      <c r="AA7843">
        <f t="shared" si="1253"/>
        <v>0</v>
      </c>
    </row>
    <row r="7844" spans="1:27" ht="21" customHeight="1" x14ac:dyDescent="0.95">
      <c r="A7844" s="56"/>
      <c r="B7844" s="57"/>
      <c r="C7844" s="57"/>
      <c r="D7844" s="57"/>
      <c r="E7844" s="56"/>
      <c r="F7844" s="57"/>
      <c r="G7844" s="57"/>
      <c r="H7844" s="56"/>
      <c r="I7844" s="56"/>
      <c r="J7844" s="58"/>
      <c r="K7844" s="58"/>
      <c r="L7844" s="13" t="str">
        <f t="shared" si="1254"/>
        <v/>
      </c>
      <c r="M7844" s="13" t="str">
        <f t="shared" si="1255"/>
        <v/>
      </c>
      <c r="Q7844" t="str">
        <f t="shared" si="1256"/>
        <v/>
      </c>
      <c r="R7844" t="str">
        <f t="shared" si="1257"/>
        <v/>
      </c>
      <c r="S7844" t="str">
        <f t="shared" si="1258"/>
        <v/>
      </c>
      <c r="T7844" t="str">
        <f t="shared" si="1259"/>
        <v/>
      </c>
      <c r="U7844" t="str">
        <f t="shared" si="1260"/>
        <v/>
      </c>
      <c r="V7844" t="str">
        <f t="shared" si="1261"/>
        <v/>
      </c>
      <c r="W7844" t="str">
        <f t="shared" si="1262"/>
        <v/>
      </c>
      <c r="X7844">
        <f t="shared" si="1252"/>
        <v>0</v>
      </c>
      <c r="Z7844" t="str">
        <f t="shared" si="1263"/>
        <v/>
      </c>
      <c r="AA7844">
        <f t="shared" si="1253"/>
        <v>0</v>
      </c>
    </row>
    <row r="7845" spans="1:27" ht="21" customHeight="1" x14ac:dyDescent="0.95">
      <c r="A7845" s="56"/>
      <c r="B7845" s="57"/>
      <c r="C7845" s="57"/>
      <c r="D7845" s="57"/>
      <c r="E7845" s="56"/>
      <c r="F7845" s="57"/>
      <c r="G7845" s="57"/>
      <c r="H7845" s="56"/>
      <c r="I7845" s="56"/>
      <c r="J7845" s="58"/>
      <c r="K7845" s="58"/>
      <c r="L7845" s="13" t="str">
        <f t="shared" si="1254"/>
        <v/>
      </c>
      <c r="M7845" s="13" t="str">
        <f t="shared" si="1255"/>
        <v/>
      </c>
      <c r="Q7845" t="str">
        <f t="shared" si="1256"/>
        <v/>
      </c>
      <c r="R7845" t="str">
        <f t="shared" si="1257"/>
        <v/>
      </c>
      <c r="S7845" t="str">
        <f t="shared" si="1258"/>
        <v/>
      </c>
      <c r="T7845" t="str">
        <f t="shared" si="1259"/>
        <v/>
      </c>
      <c r="U7845" t="str">
        <f t="shared" si="1260"/>
        <v/>
      </c>
      <c r="V7845" t="str">
        <f t="shared" si="1261"/>
        <v/>
      </c>
      <c r="W7845" t="str">
        <f t="shared" si="1262"/>
        <v/>
      </c>
      <c r="X7845">
        <f t="shared" si="1252"/>
        <v>0</v>
      </c>
      <c r="Z7845" t="str">
        <f t="shared" si="1263"/>
        <v/>
      </c>
      <c r="AA7845">
        <f t="shared" si="1253"/>
        <v>0</v>
      </c>
    </row>
    <row r="7846" spans="1:27" ht="21" customHeight="1" x14ac:dyDescent="0.95">
      <c r="A7846" s="56"/>
      <c r="B7846" s="57"/>
      <c r="C7846" s="57"/>
      <c r="D7846" s="57"/>
      <c r="E7846" s="56"/>
      <c r="F7846" s="57"/>
      <c r="G7846" s="57"/>
      <c r="H7846" s="56"/>
      <c r="I7846" s="56"/>
      <c r="J7846" s="58"/>
      <c r="K7846" s="58"/>
      <c r="L7846" s="13" t="str">
        <f t="shared" si="1254"/>
        <v/>
      </c>
      <c r="M7846" s="13" t="str">
        <f t="shared" si="1255"/>
        <v/>
      </c>
      <c r="Q7846" t="str">
        <f t="shared" si="1256"/>
        <v/>
      </c>
      <c r="R7846" t="str">
        <f t="shared" si="1257"/>
        <v/>
      </c>
      <c r="S7846" t="str">
        <f t="shared" si="1258"/>
        <v/>
      </c>
      <c r="T7846" t="str">
        <f t="shared" si="1259"/>
        <v/>
      </c>
      <c r="U7846" t="str">
        <f t="shared" si="1260"/>
        <v/>
      </c>
      <c r="V7846" t="str">
        <f t="shared" si="1261"/>
        <v/>
      </c>
      <c r="W7846" t="str">
        <f t="shared" si="1262"/>
        <v/>
      </c>
      <c r="X7846">
        <f t="shared" si="1252"/>
        <v>0</v>
      </c>
      <c r="Z7846" t="str">
        <f t="shared" si="1263"/>
        <v/>
      </c>
      <c r="AA7846">
        <f t="shared" si="1253"/>
        <v>0</v>
      </c>
    </row>
    <row r="7847" spans="1:27" ht="21" customHeight="1" x14ac:dyDescent="0.95">
      <c r="A7847" s="56"/>
      <c r="B7847" s="57"/>
      <c r="C7847" s="57"/>
      <c r="D7847" s="57"/>
      <c r="E7847" s="56"/>
      <c r="F7847" s="57"/>
      <c r="G7847" s="57"/>
      <c r="H7847" s="56"/>
      <c r="I7847" s="56"/>
      <c r="J7847" s="58"/>
      <c r="K7847" s="58"/>
      <c r="L7847" s="13" t="str">
        <f t="shared" si="1254"/>
        <v/>
      </c>
      <c r="M7847" s="13" t="str">
        <f t="shared" si="1255"/>
        <v/>
      </c>
      <c r="Q7847" t="str">
        <f t="shared" si="1256"/>
        <v/>
      </c>
      <c r="R7847" t="str">
        <f t="shared" si="1257"/>
        <v/>
      </c>
      <c r="S7847" t="str">
        <f t="shared" si="1258"/>
        <v/>
      </c>
      <c r="T7847" t="str">
        <f t="shared" si="1259"/>
        <v/>
      </c>
      <c r="U7847" t="str">
        <f t="shared" si="1260"/>
        <v/>
      </c>
      <c r="V7847" t="str">
        <f t="shared" si="1261"/>
        <v/>
      </c>
      <c r="W7847" t="str">
        <f t="shared" si="1262"/>
        <v/>
      </c>
      <c r="X7847">
        <f t="shared" si="1252"/>
        <v>0</v>
      </c>
      <c r="Z7847" t="str">
        <f t="shared" si="1263"/>
        <v/>
      </c>
      <c r="AA7847">
        <f t="shared" si="1253"/>
        <v>0</v>
      </c>
    </row>
    <row r="7848" spans="1:27" ht="21" customHeight="1" x14ac:dyDescent="0.95">
      <c r="A7848" s="56"/>
      <c r="B7848" s="57"/>
      <c r="C7848" s="57"/>
      <c r="D7848" s="57"/>
      <c r="E7848" s="56"/>
      <c r="F7848" s="57"/>
      <c r="G7848" s="57"/>
      <c r="H7848" s="56"/>
      <c r="I7848" s="56"/>
      <c r="J7848" s="58"/>
      <c r="K7848" s="58"/>
      <c r="L7848" s="13" t="str">
        <f t="shared" si="1254"/>
        <v/>
      </c>
      <c r="M7848" s="13" t="str">
        <f t="shared" si="1255"/>
        <v/>
      </c>
      <c r="Q7848" t="str">
        <f t="shared" si="1256"/>
        <v/>
      </c>
      <c r="R7848" t="str">
        <f t="shared" si="1257"/>
        <v/>
      </c>
      <c r="S7848" t="str">
        <f t="shared" si="1258"/>
        <v/>
      </c>
      <c r="T7848" t="str">
        <f t="shared" si="1259"/>
        <v/>
      </c>
      <c r="U7848" t="str">
        <f t="shared" si="1260"/>
        <v/>
      </c>
      <c r="V7848" t="str">
        <f t="shared" si="1261"/>
        <v/>
      </c>
      <c r="W7848" t="str">
        <f t="shared" si="1262"/>
        <v/>
      </c>
      <c r="X7848">
        <f t="shared" si="1252"/>
        <v>0</v>
      </c>
      <c r="Z7848" t="str">
        <f t="shared" si="1263"/>
        <v/>
      </c>
      <c r="AA7848">
        <f t="shared" si="1253"/>
        <v>0</v>
      </c>
    </row>
    <row r="7849" spans="1:27" ht="21" customHeight="1" x14ac:dyDescent="0.95">
      <c r="A7849" s="56"/>
      <c r="B7849" s="57"/>
      <c r="C7849" s="57"/>
      <c r="D7849" s="57"/>
      <c r="E7849" s="56"/>
      <c r="F7849" s="57"/>
      <c r="G7849" s="57"/>
      <c r="H7849" s="56"/>
      <c r="I7849" s="56"/>
      <c r="J7849" s="58"/>
      <c r="K7849" s="58"/>
      <c r="L7849" s="13" t="str">
        <f t="shared" si="1254"/>
        <v/>
      </c>
      <c r="M7849" s="13" t="str">
        <f t="shared" si="1255"/>
        <v/>
      </c>
      <c r="Q7849" t="str">
        <f t="shared" si="1256"/>
        <v/>
      </c>
      <c r="R7849" t="str">
        <f t="shared" si="1257"/>
        <v/>
      </c>
      <c r="S7849" t="str">
        <f t="shared" si="1258"/>
        <v/>
      </c>
      <c r="T7849" t="str">
        <f t="shared" si="1259"/>
        <v/>
      </c>
      <c r="U7849" t="str">
        <f t="shared" si="1260"/>
        <v/>
      </c>
      <c r="V7849" t="str">
        <f t="shared" si="1261"/>
        <v/>
      </c>
      <c r="W7849" t="str">
        <f t="shared" si="1262"/>
        <v/>
      </c>
      <c r="X7849">
        <f t="shared" si="1252"/>
        <v>0</v>
      </c>
      <c r="Z7849" t="str">
        <f t="shared" si="1263"/>
        <v/>
      </c>
      <c r="AA7849">
        <f t="shared" si="1253"/>
        <v>0</v>
      </c>
    </row>
    <row r="7850" spans="1:27" ht="21" customHeight="1" x14ac:dyDescent="0.95">
      <c r="A7850" s="56"/>
      <c r="B7850" s="57"/>
      <c r="C7850" s="57"/>
      <c r="D7850" s="57"/>
      <c r="E7850" s="56"/>
      <c r="F7850" s="57"/>
      <c r="G7850" s="57"/>
      <c r="H7850" s="56"/>
      <c r="I7850" s="56"/>
      <c r="J7850" s="58"/>
      <c r="K7850" s="58"/>
      <c r="L7850" s="13" t="str">
        <f t="shared" si="1254"/>
        <v/>
      </c>
      <c r="M7850" s="13" t="str">
        <f t="shared" si="1255"/>
        <v/>
      </c>
      <c r="Q7850" t="str">
        <f t="shared" si="1256"/>
        <v/>
      </c>
      <c r="R7850" t="str">
        <f t="shared" si="1257"/>
        <v/>
      </c>
      <c r="S7850" t="str">
        <f t="shared" si="1258"/>
        <v/>
      </c>
      <c r="T7850" t="str">
        <f t="shared" si="1259"/>
        <v/>
      </c>
      <c r="U7850" t="str">
        <f t="shared" si="1260"/>
        <v/>
      </c>
      <c r="V7850" t="str">
        <f t="shared" si="1261"/>
        <v/>
      </c>
      <c r="W7850" t="str">
        <f t="shared" si="1262"/>
        <v/>
      </c>
      <c r="X7850">
        <f t="shared" si="1252"/>
        <v>0</v>
      </c>
      <c r="Z7850" t="str">
        <f t="shared" si="1263"/>
        <v/>
      </c>
      <c r="AA7850">
        <f t="shared" si="1253"/>
        <v>0</v>
      </c>
    </row>
    <row r="7851" spans="1:27" ht="21" customHeight="1" x14ac:dyDescent="0.95">
      <c r="A7851" s="56"/>
      <c r="B7851" s="57"/>
      <c r="C7851" s="57"/>
      <c r="D7851" s="57"/>
      <c r="E7851" s="56"/>
      <c r="F7851" s="57"/>
      <c r="G7851" s="57"/>
      <c r="H7851" s="56"/>
      <c r="I7851" s="56"/>
      <c r="J7851" s="58"/>
      <c r="K7851" s="58"/>
      <c r="L7851" s="13" t="str">
        <f t="shared" si="1254"/>
        <v/>
      </c>
      <c r="M7851" s="13" t="str">
        <f t="shared" si="1255"/>
        <v/>
      </c>
      <c r="Q7851" t="str">
        <f t="shared" si="1256"/>
        <v/>
      </c>
      <c r="R7851" t="str">
        <f t="shared" si="1257"/>
        <v/>
      </c>
      <c r="S7851" t="str">
        <f t="shared" si="1258"/>
        <v/>
      </c>
      <c r="T7851" t="str">
        <f t="shared" si="1259"/>
        <v/>
      </c>
      <c r="U7851" t="str">
        <f t="shared" si="1260"/>
        <v/>
      </c>
      <c r="V7851" t="str">
        <f t="shared" si="1261"/>
        <v/>
      </c>
      <c r="W7851" t="str">
        <f t="shared" si="1262"/>
        <v/>
      </c>
      <c r="X7851">
        <f t="shared" si="1252"/>
        <v>0</v>
      </c>
      <c r="Z7851" t="str">
        <f t="shared" si="1263"/>
        <v/>
      </c>
      <c r="AA7851">
        <f t="shared" si="1253"/>
        <v>0</v>
      </c>
    </row>
    <row r="7852" spans="1:27" ht="21" customHeight="1" x14ac:dyDescent="0.95">
      <c r="A7852" s="56"/>
      <c r="B7852" s="57"/>
      <c r="C7852" s="57"/>
      <c r="D7852" s="57"/>
      <c r="E7852" s="56"/>
      <c r="F7852" s="57"/>
      <c r="G7852" s="57"/>
      <c r="H7852" s="56"/>
      <c r="I7852" s="56"/>
      <c r="J7852" s="58"/>
      <c r="K7852" s="58"/>
      <c r="L7852" s="13" t="str">
        <f t="shared" si="1254"/>
        <v/>
      </c>
      <c r="M7852" s="13" t="str">
        <f t="shared" si="1255"/>
        <v/>
      </c>
      <c r="Q7852" t="str">
        <f t="shared" si="1256"/>
        <v/>
      </c>
      <c r="R7852" t="str">
        <f t="shared" si="1257"/>
        <v/>
      </c>
      <c r="S7852" t="str">
        <f t="shared" si="1258"/>
        <v/>
      </c>
      <c r="T7852" t="str">
        <f t="shared" si="1259"/>
        <v/>
      </c>
      <c r="U7852" t="str">
        <f t="shared" si="1260"/>
        <v/>
      </c>
      <c r="V7852" t="str">
        <f t="shared" si="1261"/>
        <v/>
      </c>
      <c r="W7852" t="str">
        <f t="shared" si="1262"/>
        <v/>
      </c>
      <c r="X7852">
        <f t="shared" si="1252"/>
        <v>0</v>
      </c>
      <c r="Z7852" t="str">
        <f t="shared" si="1263"/>
        <v/>
      </c>
      <c r="AA7852">
        <f t="shared" si="1253"/>
        <v>0</v>
      </c>
    </row>
    <row r="7853" spans="1:27" ht="21" customHeight="1" x14ac:dyDescent="0.95">
      <c r="A7853" s="56"/>
      <c r="B7853" s="57"/>
      <c r="C7853" s="57"/>
      <c r="D7853" s="57"/>
      <c r="E7853" s="56"/>
      <c r="F7853" s="57"/>
      <c r="G7853" s="57"/>
      <c r="H7853" s="56"/>
      <c r="I7853" s="56"/>
      <c r="J7853" s="58"/>
      <c r="K7853" s="58"/>
      <c r="L7853" s="13" t="str">
        <f t="shared" si="1254"/>
        <v/>
      </c>
      <c r="M7853" s="13" t="str">
        <f t="shared" si="1255"/>
        <v/>
      </c>
      <c r="Q7853" t="str">
        <f t="shared" si="1256"/>
        <v/>
      </c>
      <c r="R7853" t="str">
        <f t="shared" si="1257"/>
        <v/>
      </c>
      <c r="S7853" t="str">
        <f t="shared" si="1258"/>
        <v/>
      </c>
      <c r="T7853" t="str">
        <f t="shared" si="1259"/>
        <v/>
      </c>
      <c r="U7853" t="str">
        <f t="shared" si="1260"/>
        <v/>
      </c>
      <c r="V7853" t="str">
        <f t="shared" si="1261"/>
        <v/>
      </c>
      <c r="W7853" t="str">
        <f t="shared" si="1262"/>
        <v/>
      </c>
      <c r="X7853">
        <f t="shared" si="1252"/>
        <v>0</v>
      </c>
      <c r="Z7853" t="str">
        <f t="shared" si="1263"/>
        <v/>
      </c>
      <c r="AA7853">
        <f t="shared" si="1253"/>
        <v>0</v>
      </c>
    </row>
    <row r="7854" spans="1:27" ht="21" customHeight="1" x14ac:dyDescent="0.95">
      <c r="A7854" s="56"/>
      <c r="B7854" s="57"/>
      <c r="C7854" s="57"/>
      <c r="D7854" s="57"/>
      <c r="E7854" s="56"/>
      <c r="F7854" s="57"/>
      <c r="G7854" s="57"/>
      <c r="H7854" s="56"/>
      <c r="I7854" s="56"/>
      <c r="J7854" s="58"/>
      <c r="K7854" s="58"/>
      <c r="L7854" s="13" t="str">
        <f t="shared" si="1254"/>
        <v/>
      </c>
      <c r="M7854" s="13" t="str">
        <f t="shared" si="1255"/>
        <v/>
      </c>
      <c r="Q7854" t="str">
        <f t="shared" si="1256"/>
        <v/>
      </c>
      <c r="R7854" t="str">
        <f t="shared" si="1257"/>
        <v/>
      </c>
      <c r="S7854" t="str">
        <f t="shared" si="1258"/>
        <v/>
      </c>
      <c r="T7854" t="str">
        <f t="shared" si="1259"/>
        <v/>
      </c>
      <c r="U7854" t="str">
        <f t="shared" si="1260"/>
        <v/>
      </c>
      <c r="V7854" t="str">
        <f t="shared" si="1261"/>
        <v/>
      </c>
      <c r="W7854" t="str">
        <f t="shared" si="1262"/>
        <v/>
      </c>
      <c r="X7854">
        <f t="shared" si="1252"/>
        <v>0</v>
      </c>
      <c r="Z7854" t="str">
        <f t="shared" si="1263"/>
        <v/>
      </c>
      <c r="AA7854">
        <f t="shared" si="1253"/>
        <v>0</v>
      </c>
    </row>
    <row r="7855" spans="1:27" ht="21" customHeight="1" x14ac:dyDescent="0.95">
      <c r="A7855" s="56"/>
      <c r="B7855" s="57"/>
      <c r="C7855" s="57"/>
      <c r="D7855" s="57"/>
      <c r="E7855" s="56"/>
      <c r="F7855" s="57"/>
      <c r="G7855" s="57"/>
      <c r="H7855" s="56"/>
      <c r="I7855" s="56"/>
      <c r="J7855" s="58"/>
      <c r="K7855" s="58"/>
      <c r="L7855" s="13" t="str">
        <f t="shared" si="1254"/>
        <v/>
      </c>
      <c r="M7855" s="13" t="str">
        <f t="shared" si="1255"/>
        <v/>
      </c>
      <c r="Q7855" t="str">
        <f t="shared" si="1256"/>
        <v/>
      </c>
      <c r="R7855" t="str">
        <f t="shared" si="1257"/>
        <v/>
      </c>
      <c r="S7855" t="str">
        <f t="shared" si="1258"/>
        <v/>
      </c>
      <c r="T7855" t="str">
        <f t="shared" si="1259"/>
        <v/>
      </c>
      <c r="U7855" t="str">
        <f t="shared" si="1260"/>
        <v/>
      </c>
      <c r="V7855" t="str">
        <f t="shared" si="1261"/>
        <v/>
      </c>
      <c r="W7855" t="str">
        <f t="shared" si="1262"/>
        <v/>
      </c>
      <c r="X7855">
        <f t="shared" si="1252"/>
        <v>0</v>
      </c>
      <c r="Z7855" t="str">
        <f t="shared" si="1263"/>
        <v/>
      </c>
      <c r="AA7855">
        <f t="shared" si="1253"/>
        <v>0</v>
      </c>
    </row>
    <row r="7856" spans="1:27" ht="21" customHeight="1" x14ac:dyDescent="0.95">
      <c r="A7856" s="56"/>
      <c r="B7856" s="57"/>
      <c r="C7856" s="57"/>
      <c r="D7856" s="57"/>
      <c r="E7856" s="56"/>
      <c r="F7856" s="57"/>
      <c r="G7856" s="57"/>
      <c r="H7856" s="56"/>
      <c r="I7856" s="56"/>
      <c r="J7856" s="58"/>
      <c r="K7856" s="58"/>
      <c r="L7856" s="13" t="str">
        <f t="shared" si="1254"/>
        <v/>
      </c>
      <c r="M7856" s="13" t="str">
        <f t="shared" si="1255"/>
        <v/>
      </c>
      <c r="Q7856" t="str">
        <f t="shared" si="1256"/>
        <v/>
      </c>
      <c r="R7856" t="str">
        <f t="shared" si="1257"/>
        <v/>
      </c>
      <c r="S7856" t="str">
        <f t="shared" si="1258"/>
        <v/>
      </c>
      <c r="T7856" t="str">
        <f t="shared" si="1259"/>
        <v/>
      </c>
      <c r="U7856" t="str">
        <f t="shared" si="1260"/>
        <v/>
      </c>
      <c r="V7856" t="str">
        <f t="shared" si="1261"/>
        <v/>
      </c>
      <c r="W7856" t="str">
        <f t="shared" si="1262"/>
        <v/>
      </c>
      <c r="X7856">
        <f t="shared" si="1252"/>
        <v>0</v>
      </c>
      <c r="Z7856" t="str">
        <f t="shared" si="1263"/>
        <v/>
      </c>
      <c r="AA7856">
        <f t="shared" si="1253"/>
        <v>0</v>
      </c>
    </row>
    <row r="7857" spans="1:27" ht="21" customHeight="1" x14ac:dyDescent="0.95">
      <c r="A7857" s="56"/>
      <c r="B7857" s="57"/>
      <c r="C7857" s="57"/>
      <c r="D7857" s="57"/>
      <c r="E7857" s="56"/>
      <c r="F7857" s="57"/>
      <c r="G7857" s="57"/>
      <c r="H7857" s="56"/>
      <c r="I7857" s="56"/>
      <c r="J7857" s="58"/>
      <c r="K7857" s="58"/>
      <c r="L7857" s="13" t="str">
        <f t="shared" si="1254"/>
        <v/>
      </c>
      <c r="M7857" s="13" t="str">
        <f t="shared" si="1255"/>
        <v/>
      </c>
      <c r="Q7857" t="str">
        <f t="shared" si="1256"/>
        <v/>
      </c>
      <c r="R7857" t="str">
        <f t="shared" si="1257"/>
        <v/>
      </c>
      <c r="S7857" t="str">
        <f t="shared" si="1258"/>
        <v/>
      </c>
      <c r="T7857" t="str">
        <f t="shared" si="1259"/>
        <v/>
      </c>
      <c r="U7857" t="str">
        <f t="shared" si="1260"/>
        <v/>
      </c>
      <c r="V7857" t="str">
        <f t="shared" si="1261"/>
        <v/>
      </c>
      <c r="W7857" t="str">
        <f t="shared" si="1262"/>
        <v/>
      </c>
      <c r="X7857">
        <f t="shared" si="1252"/>
        <v>0</v>
      </c>
      <c r="Z7857" t="str">
        <f t="shared" si="1263"/>
        <v/>
      </c>
      <c r="AA7857">
        <f t="shared" si="1253"/>
        <v>0</v>
      </c>
    </row>
    <row r="7858" spans="1:27" ht="21" customHeight="1" x14ac:dyDescent="0.95">
      <c r="A7858" s="56"/>
      <c r="B7858" s="57"/>
      <c r="C7858" s="57"/>
      <c r="D7858" s="57"/>
      <c r="E7858" s="56"/>
      <c r="F7858" s="57"/>
      <c r="G7858" s="57"/>
      <c r="H7858" s="56"/>
      <c r="I7858" s="56"/>
      <c r="J7858" s="58"/>
      <c r="K7858" s="58"/>
      <c r="L7858" s="13" t="str">
        <f t="shared" si="1254"/>
        <v/>
      </c>
      <c r="M7858" s="13" t="str">
        <f t="shared" si="1255"/>
        <v/>
      </c>
      <c r="Q7858" t="str">
        <f t="shared" si="1256"/>
        <v/>
      </c>
      <c r="R7858" t="str">
        <f t="shared" si="1257"/>
        <v/>
      </c>
      <c r="S7858" t="str">
        <f t="shared" si="1258"/>
        <v/>
      </c>
      <c r="T7858" t="str">
        <f t="shared" si="1259"/>
        <v/>
      </c>
      <c r="U7858" t="str">
        <f t="shared" si="1260"/>
        <v/>
      </c>
      <c r="V7858" t="str">
        <f t="shared" si="1261"/>
        <v/>
      </c>
      <c r="W7858" t="str">
        <f t="shared" si="1262"/>
        <v/>
      </c>
      <c r="X7858">
        <f t="shared" si="1252"/>
        <v>0</v>
      </c>
      <c r="Z7858" t="str">
        <f t="shared" si="1263"/>
        <v/>
      </c>
      <c r="AA7858">
        <f t="shared" si="1253"/>
        <v>0</v>
      </c>
    </row>
    <row r="7859" spans="1:27" ht="21" customHeight="1" x14ac:dyDescent="0.95">
      <c r="A7859" s="56"/>
      <c r="B7859" s="57"/>
      <c r="C7859" s="57"/>
      <c r="D7859" s="57"/>
      <c r="E7859" s="56"/>
      <c r="F7859" s="57"/>
      <c r="G7859" s="57"/>
      <c r="H7859" s="56"/>
      <c r="I7859" s="56"/>
      <c r="J7859" s="58"/>
      <c r="K7859" s="58"/>
      <c r="L7859" s="13" t="str">
        <f t="shared" si="1254"/>
        <v/>
      </c>
      <c r="M7859" s="13" t="str">
        <f t="shared" si="1255"/>
        <v/>
      </c>
      <c r="Q7859" t="str">
        <f t="shared" si="1256"/>
        <v/>
      </c>
      <c r="R7859" t="str">
        <f t="shared" si="1257"/>
        <v/>
      </c>
      <c r="S7859" t="str">
        <f t="shared" si="1258"/>
        <v/>
      </c>
      <c r="T7859" t="str">
        <f t="shared" si="1259"/>
        <v/>
      </c>
      <c r="U7859" t="str">
        <f t="shared" si="1260"/>
        <v/>
      </c>
      <c r="V7859" t="str">
        <f t="shared" si="1261"/>
        <v/>
      </c>
      <c r="W7859" t="str">
        <f t="shared" si="1262"/>
        <v/>
      </c>
      <c r="X7859">
        <f t="shared" si="1252"/>
        <v>0</v>
      </c>
      <c r="Z7859" t="str">
        <f t="shared" si="1263"/>
        <v/>
      </c>
      <c r="AA7859">
        <f t="shared" si="1253"/>
        <v>0</v>
      </c>
    </row>
    <row r="7860" spans="1:27" ht="21" customHeight="1" x14ac:dyDescent="0.95">
      <c r="A7860" s="56"/>
      <c r="B7860" s="57"/>
      <c r="C7860" s="57"/>
      <c r="D7860" s="57"/>
      <c r="E7860" s="56"/>
      <c r="F7860" s="57"/>
      <c r="G7860" s="57"/>
      <c r="H7860" s="56"/>
      <c r="I7860" s="56"/>
      <c r="J7860" s="58"/>
      <c r="K7860" s="58"/>
      <c r="L7860" s="13" t="str">
        <f t="shared" si="1254"/>
        <v/>
      </c>
      <c r="M7860" s="13" t="str">
        <f t="shared" si="1255"/>
        <v/>
      </c>
      <c r="Q7860" t="str">
        <f t="shared" si="1256"/>
        <v/>
      </c>
      <c r="R7860" t="str">
        <f t="shared" si="1257"/>
        <v/>
      </c>
      <c r="S7860" t="str">
        <f t="shared" si="1258"/>
        <v/>
      </c>
      <c r="T7860" t="str">
        <f t="shared" si="1259"/>
        <v/>
      </c>
      <c r="U7860" t="str">
        <f t="shared" si="1260"/>
        <v/>
      </c>
      <c r="V7860" t="str">
        <f t="shared" si="1261"/>
        <v/>
      </c>
      <c r="W7860" t="str">
        <f t="shared" si="1262"/>
        <v/>
      </c>
      <c r="X7860">
        <f t="shared" si="1252"/>
        <v>0</v>
      </c>
      <c r="Z7860" t="str">
        <f t="shared" si="1263"/>
        <v/>
      </c>
      <c r="AA7860">
        <f t="shared" si="1253"/>
        <v>0</v>
      </c>
    </row>
    <row r="7861" spans="1:27" ht="21" customHeight="1" x14ac:dyDescent="0.95">
      <c r="A7861" s="56"/>
      <c r="B7861" s="57"/>
      <c r="C7861" s="57"/>
      <c r="D7861" s="57"/>
      <c r="E7861" s="56"/>
      <c r="F7861" s="57"/>
      <c r="G7861" s="57"/>
      <c r="H7861" s="56"/>
      <c r="I7861" s="56"/>
      <c r="J7861" s="58"/>
      <c r="K7861" s="58"/>
      <c r="L7861" s="13" t="str">
        <f t="shared" si="1254"/>
        <v/>
      </c>
      <c r="M7861" s="13" t="str">
        <f t="shared" si="1255"/>
        <v/>
      </c>
      <c r="Q7861" t="str">
        <f t="shared" si="1256"/>
        <v/>
      </c>
      <c r="R7861" t="str">
        <f t="shared" si="1257"/>
        <v/>
      </c>
      <c r="S7861" t="str">
        <f t="shared" si="1258"/>
        <v/>
      </c>
      <c r="T7861" t="str">
        <f t="shared" si="1259"/>
        <v/>
      </c>
      <c r="U7861" t="str">
        <f t="shared" si="1260"/>
        <v/>
      </c>
      <c r="V7861" t="str">
        <f t="shared" si="1261"/>
        <v/>
      </c>
      <c r="W7861" t="str">
        <f t="shared" si="1262"/>
        <v/>
      </c>
      <c r="X7861">
        <f t="shared" ref="X7861:X7924" si="1264">IF($T7861="",N($X7860),IF(MATCH($T7861,$T$6:$T$10005,0)=ROW()-5,N($X7860)+1,N($X7860)))</f>
        <v>0</v>
      </c>
      <c r="Z7861" t="str">
        <f t="shared" si="1263"/>
        <v/>
      </c>
      <c r="AA7861">
        <f t="shared" ref="AA7861:AA7924" si="1265">IF($V7861="",N($AA7860),IF(MATCH($V7861,$V$6:$V$10005,0)=ROW()-5,N($AA7860)+1,N($AA7860)))</f>
        <v>0</v>
      </c>
    </row>
    <row r="7862" spans="1:27" ht="21" customHeight="1" x14ac:dyDescent="0.95">
      <c r="A7862" s="56"/>
      <c r="B7862" s="57"/>
      <c r="C7862" s="57"/>
      <c r="D7862" s="57"/>
      <c r="E7862" s="56"/>
      <c r="F7862" s="57"/>
      <c r="G7862" s="57"/>
      <c r="H7862" s="56"/>
      <c r="I7862" s="56"/>
      <c r="J7862" s="58"/>
      <c r="K7862" s="58"/>
      <c r="L7862" s="13" t="str">
        <f t="shared" si="1254"/>
        <v/>
      </c>
      <c r="M7862" s="13" t="str">
        <f t="shared" si="1255"/>
        <v/>
      </c>
      <c r="Q7862" t="str">
        <f t="shared" si="1256"/>
        <v/>
      </c>
      <c r="R7862" t="str">
        <f t="shared" si="1257"/>
        <v/>
      </c>
      <c r="S7862" t="str">
        <f t="shared" si="1258"/>
        <v/>
      </c>
      <c r="T7862" t="str">
        <f t="shared" si="1259"/>
        <v/>
      </c>
      <c r="U7862" t="str">
        <f t="shared" si="1260"/>
        <v/>
      </c>
      <c r="V7862" t="str">
        <f t="shared" si="1261"/>
        <v/>
      </c>
      <c r="W7862" t="str">
        <f t="shared" si="1262"/>
        <v/>
      </c>
      <c r="X7862">
        <f t="shared" si="1264"/>
        <v>0</v>
      </c>
      <c r="Z7862" t="str">
        <f t="shared" si="1263"/>
        <v/>
      </c>
      <c r="AA7862">
        <f t="shared" si="1265"/>
        <v>0</v>
      </c>
    </row>
    <row r="7863" spans="1:27" ht="21" customHeight="1" x14ac:dyDescent="0.95">
      <c r="A7863" s="56"/>
      <c r="B7863" s="57"/>
      <c r="C7863" s="57"/>
      <c r="D7863" s="57"/>
      <c r="E7863" s="56"/>
      <c r="F7863" s="57"/>
      <c r="G7863" s="57"/>
      <c r="H7863" s="56"/>
      <c r="I7863" s="56"/>
      <c r="J7863" s="58"/>
      <c r="K7863" s="58"/>
      <c r="L7863" s="13" t="str">
        <f t="shared" si="1254"/>
        <v/>
      </c>
      <c r="M7863" s="13" t="str">
        <f t="shared" si="1255"/>
        <v/>
      </c>
      <c r="Q7863" t="str">
        <f t="shared" si="1256"/>
        <v/>
      </c>
      <c r="R7863" t="str">
        <f t="shared" si="1257"/>
        <v/>
      </c>
      <c r="S7863" t="str">
        <f t="shared" si="1258"/>
        <v/>
      </c>
      <c r="T7863" t="str">
        <f t="shared" si="1259"/>
        <v/>
      </c>
      <c r="U7863" t="str">
        <f t="shared" si="1260"/>
        <v/>
      </c>
      <c r="V7863" t="str">
        <f t="shared" si="1261"/>
        <v/>
      </c>
      <c r="W7863" t="str">
        <f t="shared" si="1262"/>
        <v/>
      </c>
      <c r="X7863">
        <f t="shared" si="1264"/>
        <v>0</v>
      </c>
      <c r="Z7863" t="str">
        <f t="shared" si="1263"/>
        <v/>
      </c>
      <c r="AA7863">
        <f t="shared" si="1265"/>
        <v>0</v>
      </c>
    </row>
    <row r="7864" spans="1:27" ht="21" customHeight="1" x14ac:dyDescent="0.95">
      <c r="A7864" s="56"/>
      <c r="B7864" s="57"/>
      <c r="C7864" s="57"/>
      <c r="D7864" s="57"/>
      <c r="E7864" s="56"/>
      <c r="F7864" s="57"/>
      <c r="G7864" s="57"/>
      <c r="H7864" s="56"/>
      <c r="I7864" s="56"/>
      <c r="J7864" s="58"/>
      <c r="K7864" s="58"/>
      <c r="L7864" s="13" t="str">
        <f t="shared" si="1254"/>
        <v/>
      </c>
      <c r="M7864" s="13" t="str">
        <f t="shared" si="1255"/>
        <v/>
      </c>
      <c r="Q7864" t="str">
        <f t="shared" si="1256"/>
        <v/>
      </c>
      <c r="R7864" t="str">
        <f t="shared" si="1257"/>
        <v/>
      </c>
      <c r="S7864" t="str">
        <f t="shared" si="1258"/>
        <v/>
      </c>
      <c r="T7864" t="str">
        <f t="shared" si="1259"/>
        <v/>
      </c>
      <c r="U7864" t="str">
        <f t="shared" si="1260"/>
        <v/>
      </c>
      <c r="V7864" t="str">
        <f t="shared" si="1261"/>
        <v/>
      </c>
      <c r="W7864" t="str">
        <f t="shared" si="1262"/>
        <v/>
      </c>
      <c r="X7864">
        <f t="shared" si="1264"/>
        <v>0</v>
      </c>
      <c r="Z7864" t="str">
        <f t="shared" si="1263"/>
        <v/>
      </c>
      <c r="AA7864">
        <f t="shared" si="1265"/>
        <v>0</v>
      </c>
    </row>
    <row r="7865" spans="1:27" ht="21" customHeight="1" x14ac:dyDescent="0.95">
      <c r="A7865" s="56"/>
      <c r="B7865" s="57"/>
      <c r="C7865" s="57"/>
      <c r="D7865" s="57"/>
      <c r="E7865" s="56"/>
      <c r="F7865" s="57"/>
      <c r="G7865" s="57"/>
      <c r="H7865" s="56"/>
      <c r="I7865" s="56"/>
      <c r="J7865" s="58"/>
      <c r="K7865" s="58"/>
      <c r="L7865" s="13" t="str">
        <f t="shared" si="1254"/>
        <v/>
      </c>
      <c r="M7865" s="13" t="str">
        <f t="shared" si="1255"/>
        <v/>
      </c>
      <c r="Q7865" t="str">
        <f t="shared" si="1256"/>
        <v/>
      </c>
      <c r="R7865" t="str">
        <f t="shared" si="1257"/>
        <v/>
      </c>
      <c r="S7865" t="str">
        <f t="shared" si="1258"/>
        <v/>
      </c>
      <c r="T7865" t="str">
        <f t="shared" si="1259"/>
        <v/>
      </c>
      <c r="U7865" t="str">
        <f t="shared" si="1260"/>
        <v/>
      </c>
      <c r="V7865" t="str">
        <f t="shared" si="1261"/>
        <v/>
      </c>
      <c r="W7865" t="str">
        <f t="shared" si="1262"/>
        <v/>
      </c>
      <c r="X7865">
        <f t="shared" si="1264"/>
        <v>0</v>
      </c>
      <c r="Z7865" t="str">
        <f t="shared" si="1263"/>
        <v/>
      </c>
      <c r="AA7865">
        <f t="shared" si="1265"/>
        <v>0</v>
      </c>
    </row>
    <row r="7866" spans="1:27" ht="21" customHeight="1" x14ac:dyDescent="0.95">
      <c r="A7866" s="56"/>
      <c r="B7866" s="57"/>
      <c r="C7866" s="57"/>
      <c r="D7866" s="57"/>
      <c r="E7866" s="56"/>
      <c r="F7866" s="57"/>
      <c r="G7866" s="57"/>
      <c r="H7866" s="56"/>
      <c r="I7866" s="56"/>
      <c r="J7866" s="58"/>
      <c r="K7866" s="58"/>
      <c r="L7866" s="13" t="str">
        <f t="shared" si="1254"/>
        <v/>
      </c>
      <c r="M7866" s="13" t="str">
        <f t="shared" si="1255"/>
        <v/>
      </c>
      <c r="Q7866" t="str">
        <f t="shared" si="1256"/>
        <v/>
      </c>
      <c r="R7866" t="str">
        <f t="shared" si="1257"/>
        <v/>
      </c>
      <c r="S7866" t="str">
        <f t="shared" si="1258"/>
        <v/>
      </c>
      <c r="T7866" t="str">
        <f t="shared" si="1259"/>
        <v/>
      </c>
      <c r="U7866" t="str">
        <f t="shared" si="1260"/>
        <v/>
      </c>
      <c r="V7866" t="str">
        <f t="shared" si="1261"/>
        <v/>
      </c>
      <c r="W7866" t="str">
        <f t="shared" si="1262"/>
        <v/>
      </c>
      <c r="X7866">
        <f t="shared" si="1264"/>
        <v>0</v>
      </c>
      <c r="Z7866" t="str">
        <f t="shared" si="1263"/>
        <v/>
      </c>
      <c r="AA7866">
        <f t="shared" si="1265"/>
        <v>0</v>
      </c>
    </row>
    <row r="7867" spans="1:27" ht="21" customHeight="1" x14ac:dyDescent="0.95">
      <c r="A7867" s="56"/>
      <c r="B7867" s="57"/>
      <c r="C7867" s="57"/>
      <c r="D7867" s="57"/>
      <c r="E7867" s="56"/>
      <c r="F7867" s="57"/>
      <c r="G7867" s="57"/>
      <c r="H7867" s="56"/>
      <c r="I7867" s="56"/>
      <c r="J7867" s="58"/>
      <c r="K7867" s="58"/>
      <c r="L7867" s="13" t="str">
        <f t="shared" si="1254"/>
        <v/>
      </c>
      <c r="M7867" s="13" t="str">
        <f t="shared" si="1255"/>
        <v/>
      </c>
      <c r="Q7867" t="str">
        <f t="shared" si="1256"/>
        <v/>
      </c>
      <c r="R7867" t="str">
        <f t="shared" si="1257"/>
        <v/>
      </c>
      <c r="S7867" t="str">
        <f t="shared" si="1258"/>
        <v/>
      </c>
      <c r="T7867" t="str">
        <f t="shared" si="1259"/>
        <v/>
      </c>
      <c r="U7867" t="str">
        <f t="shared" si="1260"/>
        <v/>
      </c>
      <c r="V7867" t="str">
        <f t="shared" si="1261"/>
        <v/>
      </c>
      <c r="W7867" t="str">
        <f t="shared" si="1262"/>
        <v/>
      </c>
      <c r="X7867">
        <f t="shared" si="1264"/>
        <v>0</v>
      </c>
      <c r="Z7867" t="str">
        <f t="shared" si="1263"/>
        <v/>
      </c>
      <c r="AA7867">
        <f t="shared" si="1265"/>
        <v>0</v>
      </c>
    </row>
    <row r="7868" spans="1:27" ht="21" customHeight="1" x14ac:dyDescent="0.95">
      <c r="A7868" s="56"/>
      <c r="B7868" s="57"/>
      <c r="C7868" s="57"/>
      <c r="D7868" s="57"/>
      <c r="E7868" s="56"/>
      <c r="F7868" s="57"/>
      <c r="G7868" s="57"/>
      <c r="H7868" s="56"/>
      <c r="I7868" s="56"/>
      <c r="J7868" s="58"/>
      <c r="K7868" s="58"/>
      <c r="L7868" s="13" t="str">
        <f t="shared" si="1254"/>
        <v/>
      </c>
      <c r="M7868" s="13" t="str">
        <f t="shared" si="1255"/>
        <v/>
      </c>
      <c r="Q7868" t="str">
        <f t="shared" si="1256"/>
        <v/>
      </c>
      <c r="R7868" t="str">
        <f t="shared" si="1257"/>
        <v/>
      </c>
      <c r="S7868" t="str">
        <f t="shared" si="1258"/>
        <v/>
      </c>
      <c r="T7868" t="str">
        <f t="shared" si="1259"/>
        <v/>
      </c>
      <c r="U7868" t="str">
        <f t="shared" si="1260"/>
        <v/>
      </c>
      <c r="V7868" t="str">
        <f t="shared" si="1261"/>
        <v/>
      </c>
      <c r="W7868" t="str">
        <f t="shared" si="1262"/>
        <v/>
      </c>
      <c r="X7868">
        <f t="shared" si="1264"/>
        <v>0</v>
      </c>
      <c r="Z7868" t="str">
        <f t="shared" si="1263"/>
        <v/>
      </c>
      <c r="AA7868">
        <f t="shared" si="1265"/>
        <v>0</v>
      </c>
    </row>
    <row r="7869" spans="1:27" ht="21" customHeight="1" x14ac:dyDescent="0.95">
      <c r="A7869" s="56"/>
      <c r="B7869" s="57"/>
      <c r="C7869" s="57"/>
      <c r="D7869" s="57"/>
      <c r="E7869" s="56"/>
      <c r="F7869" s="57"/>
      <c r="G7869" s="57"/>
      <c r="H7869" s="56"/>
      <c r="I7869" s="56"/>
      <c r="J7869" s="58"/>
      <c r="K7869" s="58"/>
      <c r="L7869" s="13" t="str">
        <f t="shared" si="1254"/>
        <v/>
      </c>
      <c r="M7869" s="13" t="str">
        <f t="shared" si="1255"/>
        <v/>
      </c>
      <c r="Q7869" t="str">
        <f t="shared" si="1256"/>
        <v/>
      </c>
      <c r="R7869" t="str">
        <f t="shared" si="1257"/>
        <v/>
      </c>
      <c r="S7869" t="str">
        <f t="shared" si="1258"/>
        <v/>
      </c>
      <c r="T7869" t="str">
        <f t="shared" si="1259"/>
        <v/>
      </c>
      <c r="U7869" t="str">
        <f t="shared" si="1260"/>
        <v/>
      </c>
      <c r="V7869" t="str">
        <f t="shared" si="1261"/>
        <v/>
      </c>
      <c r="W7869" t="str">
        <f t="shared" si="1262"/>
        <v/>
      </c>
      <c r="X7869">
        <f t="shared" si="1264"/>
        <v>0</v>
      </c>
      <c r="Z7869" t="str">
        <f t="shared" si="1263"/>
        <v/>
      </c>
      <c r="AA7869">
        <f t="shared" si="1265"/>
        <v>0</v>
      </c>
    </row>
    <row r="7870" spans="1:27" ht="21" customHeight="1" x14ac:dyDescent="0.95">
      <c r="A7870" s="56"/>
      <c r="B7870" s="57"/>
      <c r="C7870" s="57"/>
      <c r="D7870" s="57"/>
      <c r="E7870" s="56"/>
      <c r="F7870" s="57"/>
      <c r="G7870" s="57"/>
      <c r="H7870" s="56"/>
      <c r="I7870" s="56"/>
      <c r="J7870" s="58"/>
      <c r="K7870" s="58"/>
      <c r="L7870" s="13" t="str">
        <f t="shared" si="1254"/>
        <v/>
      </c>
      <c r="M7870" s="13" t="str">
        <f t="shared" si="1255"/>
        <v/>
      </c>
      <c r="Q7870" t="str">
        <f t="shared" si="1256"/>
        <v/>
      </c>
      <c r="R7870" t="str">
        <f t="shared" si="1257"/>
        <v/>
      </c>
      <c r="S7870" t="str">
        <f t="shared" si="1258"/>
        <v/>
      </c>
      <c r="T7870" t="str">
        <f t="shared" si="1259"/>
        <v/>
      </c>
      <c r="U7870" t="str">
        <f t="shared" si="1260"/>
        <v/>
      </c>
      <c r="V7870" t="str">
        <f t="shared" si="1261"/>
        <v/>
      </c>
      <c r="W7870" t="str">
        <f t="shared" si="1262"/>
        <v/>
      </c>
      <c r="X7870">
        <f t="shared" si="1264"/>
        <v>0</v>
      </c>
      <c r="Z7870" t="str">
        <f t="shared" si="1263"/>
        <v/>
      </c>
      <c r="AA7870">
        <f t="shared" si="1265"/>
        <v>0</v>
      </c>
    </row>
    <row r="7871" spans="1:27" ht="21" customHeight="1" x14ac:dyDescent="0.95">
      <c r="A7871" s="56"/>
      <c r="B7871" s="57"/>
      <c r="C7871" s="57"/>
      <c r="D7871" s="57"/>
      <c r="E7871" s="56"/>
      <c r="F7871" s="57"/>
      <c r="G7871" s="57"/>
      <c r="H7871" s="56"/>
      <c r="I7871" s="56"/>
      <c r="J7871" s="58"/>
      <c r="K7871" s="58"/>
      <c r="L7871" s="13" t="str">
        <f t="shared" si="1254"/>
        <v/>
      </c>
      <c r="M7871" s="13" t="str">
        <f t="shared" si="1255"/>
        <v/>
      </c>
      <c r="Q7871" t="str">
        <f t="shared" si="1256"/>
        <v/>
      </c>
      <c r="R7871" t="str">
        <f t="shared" si="1257"/>
        <v/>
      </c>
      <c r="S7871" t="str">
        <f t="shared" si="1258"/>
        <v/>
      </c>
      <c r="T7871" t="str">
        <f t="shared" si="1259"/>
        <v/>
      </c>
      <c r="U7871" t="str">
        <f t="shared" si="1260"/>
        <v/>
      </c>
      <c r="V7871" t="str">
        <f t="shared" si="1261"/>
        <v/>
      </c>
      <c r="W7871" t="str">
        <f t="shared" si="1262"/>
        <v/>
      </c>
      <c r="X7871">
        <f t="shared" si="1264"/>
        <v>0</v>
      </c>
      <c r="Z7871" t="str">
        <f t="shared" si="1263"/>
        <v/>
      </c>
      <c r="AA7871">
        <f t="shared" si="1265"/>
        <v>0</v>
      </c>
    </row>
    <row r="7872" spans="1:27" ht="21" customHeight="1" x14ac:dyDescent="0.95">
      <c r="A7872" s="56"/>
      <c r="B7872" s="57"/>
      <c r="C7872" s="57"/>
      <c r="D7872" s="57"/>
      <c r="E7872" s="56"/>
      <c r="F7872" s="57"/>
      <c r="G7872" s="57"/>
      <c r="H7872" s="56"/>
      <c r="I7872" s="56"/>
      <c r="J7872" s="58"/>
      <c r="K7872" s="58"/>
      <c r="L7872" s="13" t="str">
        <f t="shared" si="1254"/>
        <v/>
      </c>
      <c r="M7872" s="13" t="str">
        <f t="shared" si="1255"/>
        <v/>
      </c>
      <c r="Q7872" t="str">
        <f t="shared" si="1256"/>
        <v/>
      </c>
      <c r="R7872" t="str">
        <f t="shared" si="1257"/>
        <v/>
      </c>
      <c r="S7872" t="str">
        <f t="shared" si="1258"/>
        <v/>
      </c>
      <c r="T7872" t="str">
        <f t="shared" si="1259"/>
        <v/>
      </c>
      <c r="U7872" t="str">
        <f t="shared" si="1260"/>
        <v/>
      </c>
      <c r="V7872" t="str">
        <f t="shared" si="1261"/>
        <v/>
      </c>
      <c r="W7872" t="str">
        <f t="shared" si="1262"/>
        <v/>
      </c>
      <c r="X7872">
        <f t="shared" si="1264"/>
        <v>0</v>
      </c>
      <c r="Z7872" t="str">
        <f t="shared" si="1263"/>
        <v/>
      </c>
      <c r="AA7872">
        <f t="shared" si="1265"/>
        <v>0</v>
      </c>
    </row>
    <row r="7873" spans="1:27" ht="21" customHeight="1" x14ac:dyDescent="0.95">
      <c r="A7873" s="56"/>
      <c r="B7873" s="57"/>
      <c r="C7873" s="57"/>
      <c r="D7873" s="57"/>
      <c r="E7873" s="56"/>
      <c r="F7873" s="57"/>
      <c r="G7873" s="57"/>
      <c r="H7873" s="56"/>
      <c r="I7873" s="56"/>
      <c r="J7873" s="58"/>
      <c r="K7873" s="58"/>
      <c r="L7873" s="13" t="str">
        <f t="shared" si="1254"/>
        <v/>
      </c>
      <c r="M7873" s="13" t="str">
        <f t="shared" si="1255"/>
        <v/>
      </c>
      <c r="Q7873" t="str">
        <f t="shared" si="1256"/>
        <v/>
      </c>
      <c r="R7873" t="str">
        <f t="shared" si="1257"/>
        <v/>
      </c>
      <c r="S7873" t="str">
        <f t="shared" si="1258"/>
        <v/>
      </c>
      <c r="T7873" t="str">
        <f t="shared" si="1259"/>
        <v/>
      </c>
      <c r="U7873" t="str">
        <f t="shared" si="1260"/>
        <v/>
      </c>
      <c r="V7873" t="str">
        <f t="shared" si="1261"/>
        <v/>
      </c>
      <c r="W7873" t="str">
        <f t="shared" si="1262"/>
        <v/>
      </c>
      <c r="X7873">
        <f t="shared" si="1264"/>
        <v>0</v>
      </c>
      <c r="Z7873" t="str">
        <f t="shared" si="1263"/>
        <v/>
      </c>
      <c r="AA7873">
        <f t="shared" si="1265"/>
        <v>0</v>
      </c>
    </row>
    <row r="7874" spans="1:27" ht="21" customHeight="1" x14ac:dyDescent="0.95">
      <c r="A7874" s="56"/>
      <c r="B7874" s="57"/>
      <c r="C7874" s="57"/>
      <c r="D7874" s="57"/>
      <c r="E7874" s="56"/>
      <c r="F7874" s="57"/>
      <c r="G7874" s="57"/>
      <c r="H7874" s="56"/>
      <c r="I7874" s="56"/>
      <c r="J7874" s="58"/>
      <c r="K7874" s="58"/>
      <c r="L7874" s="13" t="str">
        <f t="shared" si="1254"/>
        <v/>
      </c>
      <c r="M7874" s="13" t="str">
        <f t="shared" si="1255"/>
        <v/>
      </c>
      <c r="Q7874" t="str">
        <f t="shared" si="1256"/>
        <v/>
      </c>
      <c r="R7874" t="str">
        <f t="shared" si="1257"/>
        <v/>
      </c>
      <c r="S7874" t="str">
        <f t="shared" si="1258"/>
        <v/>
      </c>
      <c r="T7874" t="str">
        <f t="shared" si="1259"/>
        <v/>
      </c>
      <c r="U7874" t="str">
        <f t="shared" si="1260"/>
        <v/>
      </c>
      <c r="V7874" t="str">
        <f t="shared" si="1261"/>
        <v/>
      </c>
      <c r="W7874" t="str">
        <f t="shared" si="1262"/>
        <v/>
      </c>
      <c r="X7874">
        <f t="shared" si="1264"/>
        <v>0</v>
      </c>
      <c r="Z7874" t="str">
        <f t="shared" si="1263"/>
        <v/>
      </c>
      <c r="AA7874">
        <f t="shared" si="1265"/>
        <v>0</v>
      </c>
    </row>
    <row r="7875" spans="1:27" ht="21" customHeight="1" x14ac:dyDescent="0.95">
      <c r="A7875" s="56"/>
      <c r="B7875" s="57"/>
      <c r="C7875" s="57"/>
      <c r="D7875" s="57"/>
      <c r="E7875" s="56"/>
      <c r="F7875" s="57"/>
      <c r="G7875" s="57"/>
      <c r="H7875" s="56"/>
      <c r="I7875" s="56"/>
      <c r="J7875" s="58"/>
      <c r="K7875" s="58"/>
      <c r="L7875" s="13" t="str">
        <f t="shared" si="1254"/>
        <v/>
      </c>
      <c r="M7875" s="13" t="str">
        <f t="shared" si="1255"/>
        <v/>
      </c>
      <c r="Q7875" t="str">
        <f t="shared" si="1256"/>
        <v/>
      </c>
      <c r="R7875" t="str">
        <f t="shared" si="1257"/>
        <v/>
      </c>
      <c r="S7875" t="str">
        <f t="shared" si="1258"/>
        <v/>
      </c>
      <c r="T7875" t="str">
        <f t="shared" si="1259"/>
        <v/>
      </c>
      <c r="U7875" t="str">
        <f t="shared" si="1260"/>
        <v/>
      </c>
      <c r="V7875" t="str">
        <f t="shared" si="1261"/>
        <v/>
      </c>
      <c r="W7875" t="str">
        <f t="shared" si="1262"/>
        <v/>
      </c>
      <c r="X7875">
        <f t="shared" si="1264"/>
        <v>0</v>
      </c>
      <c r="Z7875" t="str">
        <f t="shared" si="1263"/>
        <v/>
      </c>
      <c r="AA7875">
        <f t="shared" si="1265"/>
        <v>0</v>
      </c>
    </row>
    <row r="7876" spans="1:27" ht="21" customHeight="1" x14ac:dyDescent="0.95">
      <c r="A7876" s="56"/>
      <c r="B7876" s="57"/>
      <c r="C7876" s="57"/>
      <c r="D7876" s="57"/>
      <c r="E7876" s="56"/>
      <c r="F7876" s="57"/>
      <c r="G7876" s="57"/>
      <c r="H7876" s="56"/>
      <c r="I7876" s="56"/>
      <c r="J7876" s="58"/>
      <c r="K7876" s="58"/>
      <c r="L7876" s="13" t="str">
        <f t="shared" ref="L7876:L7939" si="1266">IF(OR($A7876="",AND($J7876="",$K7876="")),"",ROUND(N($J7876)-N($K7876),2))</f>
        <v/>
      </c>
      <c r="M7876" s="13" t="str">
        <f t="shared" ref="M7876:M7939" si="1267">IF(OR($A7876="",AND($J7876="",$K7876="")),"",MIN($J7876,$K7876))</f>
        <v/>
      </c>
      <c r="Q7876" t="str">
        <f t="shared" ref="Q7876:Q7939" si="1268">IF($A7876="","",$D7876&amp;"("&amp;SUBSTITUTE($E7876," ","")&amp;")")</f>
        <v/>
      </c>
      <c r="R7876" t="str">
        <f t="shared" ref="R7876:R7939" si="1269">IF($A7876="","",$B7876&amp;" - "&amp;$C7876)</f>
        <v/>
      </c>
      <c r="S7876" t="str">
        <f t="shared" ref="S7876:S7939" si="1270">IF($A7876="","",$R7876&amp;"|"&amp;$Q7876)</f>
        <v/>
      </c>
      <c r="T7876" t="str">
        <f t="shared" ref="T7876:T7939" si="1271">IF($A7876="","",$S7876&amp;"|"&amp;$F7876)</f>
        <v/>
      </c>
      <c r="U7876" t="str">
        <f t="shared" ref="U7876:U7939" si="1272">IF($A7876="","",$R7876&amp;"("&amp;$E7876&amp;")")</f>
        <v/>
      </c>
      <c r="V7876" t="str">
        <f t="shared" ref="V7876:V7939" si="1273">IF($A7876="","",$F7876&amp;"|"&amp;$U7876&amp;"|"&amp;$D7876)</f>
        <v/>
      </c>
      <c r="W7876" t="str">
        <f t="shared" si="1262"/>
        <v/>
      </c>
      <c r="X7876">
        <f t="shared" si="1264"/>
        <v>0</v>
      </c>
      <c r="Z7876" t="str">
        <f t="shared" si="1263"/>
        <v/>
      </c>
      <c r="AA7876">
        <f t="shared" si="1265"/>
        <v>0</v>
      </c>
    </row>
    <row r="7877" spans="1:27" ht="21" customHeight="1" x14ac:dyDescent="0.95">
      <c r="A7877" s="56"/>
      <c r="B7877" s="57"/>
      <c r="C7877" s="57"/>
      <c r="D7877" s="57"/>
      <c r="E7877" s="56"/>
      <c r="F7877" s="57"/>
      <c r="G7877" s="57"/>
      <c r="H7877" s="56"/>
      <c r="I7877" s="56"/>
      <c r="J7877" s="58"/>
      <c r="K7877" s="58"/>
      <c r="L7877" s="13" t="str">
        <f t="shared" si="1266"/>
        <v/>
      </c>
      <c r="M7877" s="13" t="str">
        <f t="shared" si="1267"/>
        <v/>
      </c>
      <c r="Q7877" t="str">
        <f t="shared" si="1268"/>
        <v/>
      </c>
      <c r="R7877" t="str">
        <f t="shared" si="1269"/>
        <v/>
      </c>
      <c r="S7877" t="str">
        <f t="shared" si="1270"/>
        <v/>
      </c>
      <c r="T7877" t="str">
        <f t="shared" si="1271"/>
        <v/>
      </c>
      <c r="U7877" t="str">
        <f t="shared" si="1272"/>
        <v/>
      </c>
      <c r="V7877" t="str">
        <f t="shared" si="1273"/>
        <v/>
      </c>
      <c r="W7877" t="str">
        <f t="shared" si="1262"/>
        <v/>
      </c>
      <c r="X7877">
        <f t="shared" si="1264"/>
        <v>0</v>
      </c>
      <c r="Z7877" t="str">
        <f t="shared" si="1263"/>
        <v/>
      </c>
      <c r="AA7877">
        <f t="shared" si="1265"/>
        <v>0</v>
      </c>
    </row>
    <row r="7878" spans="1:27" ht="21" customHeight="1" x14ac:dyDescent="0.95">
      <c r="A7878" s="56"/>
      <c r="B7878" s="57"/>
      <c r="C7878" s="57"/>
      <c r="D7878" s="57"/>
      <c r="E7878" s="56"/>
      <c r="F7878" s="57"/>
      <c r="G7878" s="57"/>
      <c r="H7878" s="56"/>
      <c r="I7878" s="56"/>
      <c r="J7878" s="58"/>
      <c r="K7878" s="58"/>
      <c r="L7878" s="13" t="str">
        <f t="shared" si="1266"/>
        <v/>
      </c>
      <c r="M7878" s="13" t="str">
        <f t="shared" si="1267"/>
        <v/>
      </c>
      <c r="Q7878" t="str">
        <f t="shared" si="1268"/>
        <v/>
      </c>
      <c r="R7878" t="str">
        <f t="shared" si="1269"/>
        <v/>
      </c>
      <c r="S7878" t="str">
        <f t="shared" si="1270"/>
        <v/>
      </c>
      <c r="T7878" t="str">
        <f t="shared" si="1271"/>
        <v/>
      </c>
      <c r="U7878" t="str">
        <f t="shared" si="1272"/>
        <v/>
      </c>
      <c r="V7878" t="str">
        <f t="shared" si="1273"/>
        <v/>
      </c>
      <c r="W7878" t="str">
        <f t="shared" ref="W7878:W7941" si="1274">IF($T7878="","",IF($X7878&gt;N($X7877),$X7878,""))</f>
        <v/>
      </c>
      <c r="X7878">
        <f t="shared" si="1264"/>
        <v>0</v>
      </c>
      <c r="Z7878" t="str">
        <f t="shared" ref="Z7878:Z7941" si="1275">IF($V7878="","",IF($AA7878&gt;N($AA7877),$AA7878,""))</f>
        <v/>
      </c>
      <c r="AA7878">
        <f t="shared" si="1265"/>
        <v>0</v>
      </c>
    </row>
    <row r="7879" spans="1:27" ht="21" customHeight="1" x14ac:dyDescent="0.95">
      <c r="A7879" s="56"/>
      <c r="B7879" s="57"/>
      <c r="C7879" s="57"/>
      <c r="D7879" s="57"/>
      <c r="E7879" s="56"/>
      <c r="F7879" s="57"/>
      <c r="G7879" s="57"/>
      <c r="H7879" s="56"/>
      <c r="I7879" s="56"/>
      <c r="J7879" s="58"/>
      <c r="K7879" s="58"/>
      <c r="L7879" s="13" t="str">
        <f t="shared" si="1266"/>
        <v/>
      </c>
      <c r="M7879" s="13" t="str">
        <f t="shared" si="1267"/>
        <v/>
      </c>
      <c r="Q7879" t="str">
        <f t="shared" si="1268"/>
        <v/>
      </c>
      <c r="R7879" t="str">
        <f t="shared" si="1269"/>
        <v/>
      </c>
      <c r="S7879" t="str">
        <f t="shared" si="1270"/>
        <v/>
      </c>
      <c r="T7879" t="str">
        <f t="shared" si="1271"/>
        <v/>
      </c>
      <c r="U7879" t="str">
        <f t="shared" si="1272"/>
        <v/>
      </c>
      <c r="V7879" t="str">
        <f t="shared" si="1273"/>
        <v/>
      </c>
      <c r="W7879" t="str">
        <f t="shared" si="1274"/>
        <v/>
      </c>
      <c r="X7879">
        <f t="shared" si="1264"/>
        <v>0</v>
      </c>
      <c r="Z7879" t="str">
        <f t="shared" si="1275"/>
        <v/>
      </c>
      <c r="AA7879">
        <f t="shared" si="1265"/>
        <v>0</v>
      </c>
    </row>
    <row r="7880" spans="1:27" ht="21" customHeight="1" x14ac:dyDescent="0.95">
      <c r="A7880" s="56"/>
      <c r="B7880" s="57"/>
      <c r="C7880" s="57"/>
      <c r="D7880" s="57"/>
      <c r="E7880" s="56"/>
      <c r="F7880" s="57"/>
      <c r="G7880" s="57"/>
      <c r="H7880" s="56"/>
      <c r="I7880" s="56"/>
      <c r="J7880" s="58"/>
      <c r="K7880" s="58"/>
      <c r="L7880" s="13" t="str">
        <f t="shared" si="1266"/>
        <v/>
      </c>
      <c r="M7880" s="13" t="str">
        <f t="shared" si="1267"/>
        <v/>
      </c>
      <c r="Q7880" t="str">
        <f t="shared" si="1268"/>
        <v/>
      </c>
      <c r="R7880" t="str">
        <f t="shared" si="1269"/>
        <v/>
      </c>
      <c r="S7880" t="str">
        <f t="shared" si="1270"/>
        <v/>
      </c>
      <c r="T7880" t="str">
        <f t="shared" si="1271"/>
        <v/>
      </c>
      <c r="U7880" t="str">
        <f t="shared" si="1272"/>
        <v/>
      </c>
      <c r="V7880" t="str">
        <f t="shared" si="1273"/>
        <v/>
      </c>
      <c r="W7880" t="str">
        <f t="shared" si="1274"/>
        <v/>
      </c>
      <c r="X7880">
        <f t="shared" si="1264"/>
        <v>0</v>
      </c>
      <c r="Z7880" t="str">
        <f t="shared" si="1275"/>
        <v/>
      </c>
      <c r="AA7880">
        <f t="shared" si="1265"/>
        <v>0</v>
      </c>
    </row>
    <row r="7881" spans="1:27" ht="21" customHeight="1" x14ac:dyDescent="0.95">
      <c r="A7881" s="56"/>
      <c r="B7881" s="57"/>
      <c r="C7881" s="57"/>
      <c r="D7881" s="57"/>
      <c r="E7881" s="56"/>
      <c r="F7881" s="57"/>
      <c r="G7881" s="57"/>
      <c r="H7881" s="56"/>
      <c r="I7881" s="56"/>
      <c r="J7881" s="58"/>
      <c r="K7881" s="58"/>
      <c r="L7881" s="13" t="str">
        <f t="shared" si="1266"/>
        <v/>
      </c>
      <c r="M7881" s="13" t="str">
        <f t="shared" si="1267"/>
        <v/>
      </c>
      <c r="Q7881" t="str">
        <f t="shared" si="1268"/>
        <v/>
      </c>
      <c r="R7881" t="str">
        <f t="shared" si="1269"/>
        <v/>
      </c>
      <c r="S7881" t="str">
        <f t="shared" si="1270"/>
        <v/>
      </c>
      <c r="T7881" t="str">
        <f t="shared" si="1271"/>
        <v/>
      </c>
      <c r="U7881" t="str">
        <f t="shared" si="1272"/>
        <v/>
      </c>
      <c r="V7881" t="str">
        <f t="shared" si="1273"/>
        <v/>
      </c>
      <c r="W7881" t="str">
        <f t="shared" si="1274"/>
        <v/>
      </c>
      <c r="X7881">
        <f t="shared" si="1264"/>
        <v>0</v>
      </c>
      <c r="Z7881" t="str">
        <f t="shared" si="1275"/>
        <v/>
      </c>
      <c r="AA7881">
        <f t="shared" si="1265"/>
        <v>0</v>
      </c>
    </row>
    <row r="7882" spans="1:27" ht="21" customHeight="1" x14ac:dyDescent="0.95">
      <c r="A7882" s="56"/>
      <c r="B7882" s="57"/>
      <c r="C7882" s="57"/>
      <c r="D7882" s="57"/>
      <c r="E7882" s="56"/>
      <c r="F7882" s="57"/>
      <c r="G7882" s="57"/>
      <c r="H7882" s="56"/>
      <c r="I7882" s="56"/>
      <c r="J7882" s="58"/>
      <c r="K7882" s="58"/>
      <c r="L7882" s="13" t="str">
        <f t="shared" si="1266"/>
        <v/>
      </c>
      <c r="M7882" s="13" t="str">
        <f t="shared" si="1267"/>
        <v/>
      </c>
      <c r="Q7882" t="str">
        <f t="shared" si="1268"/>
        <v/>
      </c>
      <c r="R7882" t="str">
        <f t="shared" si="1269"/>
        <v/>
      </c>
      <c r="S7882" t="str">
        <f t="shared" si="1270"/>
        <v/>
      </c>
      <c r="T7882" t="str">
        <f t="shared" si="1271"/>
        <v/>
      </c>
      <c r="U7882" t="str">
        <f t="shared" si="1272"/>
        <v/>
      </c>
      <c r="V7882" t="str">
        <f t="shared" si="1273"/>
        <v/>
      </c>
      <c r="W7882" t="str">
        <f t="shared" si="1274"/>
        <v/>
      </c>
      <c r="X7882">
        <f t="shared" si="1264"/>
        <v>0</v>
      </c>
      <c r="Z7882" t="str">
        <f t="shared" si="1275"/>
        <v/>
      </c>
      <c r="AA7882">
        <f t="shared" si="1265"/>
        <v>0</v>
      </c>
    </row>
    <row r="7883" spans="1:27" ht="21" customHeight="1" x14ac:dyDescent="0.95">
      <c r="A7883" s="56"/>
      <c r="B7883" s="57"/>
      <c r="C7883" s="57"/>
      <c r="D7883" s="57"/>
      <c r="E7883" s="56"/>
      <c r="F7883" s="57"/>
      <c r="G7883" s="57"/>
      <c r="H7883" s="56"/>
      <c r="I7883" s="56"/>
      <c r="J7883" s="58"/>
      <c r="K7883" s="58"/>
      <c r="L7883" s="13" t="str">
        <f t="shared" si="1266"/>
        <v/>
      </c>
      <c r="M7883" s="13" t="str">
        <f t="shared" si="1267"/>
        <v/>
      </c>
      <c r="Q7883" t="str">
        <f t="shared" si="1268"/>
        <v/>
      </c>
      <c r="R7883" t="str">
        <f t="shared" si="1269"/>
        <v/>
      </c>
      <c r="S7883" t="str">
        <f t="shared" si="1270"/>
        <v/>
      </c>
      <c r="T7883" t="str">
        <f t="shared" si="1271"/>
        <v/>
      </c>
      <c r="U7883" t="str">
        <f t="shared" si="1272"/>
        <v/>
      </c>
      <c r="V7883" t="str">
        <f t="shared" si="1273"/>
        <v/>
      </c>
      <c r="W7883" t="str">
        <f t="shared" si="1274"/>
        <v/>
      </c>
      <c r="X7883">
        <f t="shared" si="1264"/>
        <v>0</v>
      </c>
      <c r="Z7883" t="str">
        <f t="shared" si="1275"/>
        <v/>
      </c>
      <c r="AA7883">
        <f t="shared" si="1265"/>
        <v>0</v>
      </c>
    </row>
    <row r="7884" spans="1:27" ht="21" customHeight="1" x14ac:dyDescent="0.95">
      <c r="A7884" s="56"/>
      <c r="B7884" s="57"/>
      <c r="C7884" s="57"/>
      <c r="D7884" s="57"/>
      <c r="E7884" s="56"/>
      <c r="F7884" s="57"/>
      <c r="G7884" s="57"/>
      <c r="H7884" s="56"/>
      <c r="I7884" s="56"/>
      <c r="J7884" s="58"/>
      <c r="K7884" s="58"/>
      <c r="L7884" s="13" t="str">
        <f t="shared" si="1266"/>
        <v/>
      </c>
      <c r="M7884" s="13" t="str">
        <f t="shared" si="1267"/>
        <v/>
      </c>
      <c r="Q7884" t="str">
        <f t="shared" si="1268"/>
        <v/>
      </c>
      <c r="R7884" t="str">
        <f t="shared" si="1269"/>
        <v/>
      </c>
      <c r="S7884" t="str">
        <f t="shared" si="1270"/>
        <v/>
      </c>
      <c r="T7884" t="str">
        <f t="shared" si="1271"/>
        <v/>
      </c>
      <c r="U7884" t="str">
        <f t="shared" si="1272"/>
        <v/>
      </c>
      <c r="V7884" t="str">
        <f t="shared" si="1273"/>
        <v/>
      </c>
      <c r="W7884" t="str">
        <f t="shared" si="1274"/>
        <v/>
      </c>
      <c r="X7884">
        <f t="shared" si="1264"/>
        <v>0</v>
      </c>
      <c r="Z7884" t="str">
        <f t="shared" si="1275"/>
        <v/>
      </c>
      <c r="AA7884">
        <f t="shared" si="1265"/>
        <v>0</v>
      </c>
    </row>
    <row r="7885" spans="1:27" ht="21" customHeight="1" x14ac:dyDescent="0.95">
      <c r="A7885" s="56"/>
      <c r="B7885" s="57"/>
      <c r="C7885" s="57"/>
      <c r="D7885" s="57"/>
      <c r="E7885" s="56"/>
      <c r="F7885" s="57"/>
      <c r="G7885" s="57"/>
      <c r="H7885" s="56"/>
      <c r="I7885" s="56"/>
      <c r="J7885" s="58"/>
      <c r="K7885" s="58"/>
      <c r="L7885" s="13" t="str">
        <f t="shared" si="1266"/>
        <v/>
      </c>
      <c r="M7885" s="13" t="str">
        <f t="shared" si="1267"/>
        <v/>
      </c>
      <c r="Q7885" t="str">
        <f t="shared" si="1268"/>
        <v/>
      </c>
      <c r="R7885" t="str">
        <f t="shared" si="1269"/>
        <v/>
      </c>
      <c r="S7885" t="str">
        <f t="shared" si="1270"/>
        <v/>
      </c>
      <c r="T7885" t="str">
        <f t="shared" si="1271"/>
        <v/>
      </c>
      <c r="U7885" t="str">
        <f t="shared" si="1272"/>
        <v/>
      </c>
      <c r="V7885" t="str">
        <f t="shared" si="1273"/>
        <v/>
      </c>
      <c r="W7885" t="str">
        <f t="shared" si="1274"/>
        <v/>
      </c>
      <c r="X7885">
        <f t="shared" si="1264"/>
        <v>0</v>
      </c>
      <c r="Z7885" t="str">
        <f t="shared" si="1275"/>
        <v/>
      </c>
      <c r="AA7885">
        <f t="shared" si="1265"/>
        <v>0</v>
      </c>
    </row>
    <row r="7886" spans="1:27" ht="21" customHeight="1" x14ac:dyDescent="0.95">
      <c r="A7886" s="56"/>
      <c r="B7886" s="57"/>
      <c r="C7886" s="57"/>
      <c r="D7886" s="57"/>
      <c r="E7886" s="56"/>
      <c r="F7886" s="57"/>
      <c r="G7886" s="57"/>
      <c r="H7886" s="56"/>
      <c r="I7886" s="56"/>
      <c r="J7886" s="58"/>
      <c r="K7886" s="58"/>
      <c r="L7886" s="13" t="str">
        <f t="shared" si="1266"/>
        <v/>
      </c>
      <c r="M7886" s="13" t="str">
        <f t="shared" si="1267"/>
        <v/>
      </c>
      <c r="Q7886" t="str">
        <f t="shared" si="1268"/>
        <v/>
      </c>
      <c r="R7886" t="str">
        <f t="shared" si="1269"/>
        <v/>
      </c>
      <c r="S7886" t="str">
        <f t="shared" si="1270"/>
        <v/>
      </c>
      <c r="T7886" t="str">
        <f t="shared" si="1271"/>
        <v/>
      </c>
      <c r="U7886" t="str">
        <f t="shared" si="1272"/>
        <v/>
      </c>
      <c r="V7886" t="str">
        <f t="shared" si="1273"/>
        <v/>
      </c>
      <c r="W7886" t="str">
        <f t="shared" si="1274"/>
        <v/>
      </c>
      <c r="X7886">
        <f t="shared" si="1264"/>
        <v>0</v>
      </c>
      <c r="Z7886" t="str">
        <f t="shared" si="1275"/>
        <v/>
      </c>
      <c r="AA7886">
        <f t="shared" si="1265"/>
        <v>0</v>
      </c>
    </row>
    <row r="7887" spans="1:27" ht="21" customHeight="1" x14ac:dyDescent="0.95">
      <c r="A7887" s="56"/>
      <c r="B7887" s="57"/>
      <c r="C7887" s="57"/>
      <c r="D7887" s="57"/>
      <c r="E7887" s="56"/>
      <c r="F7887" s="57"/>
      <c r="G7887" s="57"/>
      <c r="H7887" s="56"/>
      <c r="I7887" s="56"/>
      <c r="J7887" s="58"/>
      <c r="K7887" s="58"/>
      <c r="L7887" s="13" t="str">
        <f t="shared" si="1266"/>
        <v/>
      </c>
      <c r="M7887" s="13" t="str">
        <f t="shared" si="1267"/>
        <v/>
      </c>
      <c r="Q7887" t="str">
        <f t="shared" si="1268"/>
        <v/>
      </c>
      <c r="R7887" t="str">
        <f t="shared" si="1269"/>
        <v/>
      </c>
      <c r="S7887" t="str">
        <f t="shared" si="1270"/>
        <v/>
      </c>
      <c r="T7887" t="str">
        <f t="shared" si="1271"/>
        <v/>
      </c>
      <c r="U7887" t="str">
        <f t="shared" si="1272"/>
        <v/>
      </c>
      <c r="V7887" t="str">
        <f t="shared" si="1273"/>
        <v/>
      </c>
      <c r="W7887" t="str">
        <f t="shared" si="1274"/>
        <v/>
      </c>
      <c r="X7887">
        <f t="shared" si="1264"/>
        <v>0</v>
      </c>
      <c r="Z7887" t="str">
        <f t="shared" si="1275"/>
        <v/>
      </c>
      <c r="AA7887">
        <f t="shared" si="1265"/>
        <v>0</v>
      </c>
    </row>
    <row r="7888" spans="1:27" ht="21" customHeight="1" x14ac:dyDescent="0.95">
      <c r="A7888" s="56"/>
      <c r="B7888" s="57"/>
      <c r="C7888" s="57"/>
      <c r="D7888" s="57"/>
      <c r="E7888" s="56"/>
      <c r="F7888" s="57"/>
      <c r="G7888" s="57"/>
      <c r="H7888" s="56"/>
      <c r="I7888" s="56"/>
      <c r="J7888" s="58"/>
      <c r="K7888" s="58"/>
      <c r="L7888" s="13" t="str">
        <f t="shared" si="1266"/>
        <v/>
      </c>
      <c r="M7888" s="13" t="str">
        <f t="shared" si="1267"/>
        <v/>
      </c>
      <c r="Q7888" t="str">
        <f t="shared" si="1268"/>
        <v/>
      </c>
      <c r="R7888" t="str">
        <f t="shared" si="1269"/>
        <v/>
      </c>
      <c r="S7888" t="str">
        <f t="shared" si="1270"/>
        <v/>
      </c>
      <c r="T7888" t="str">
        <f t="shared" si="1271"/>
        <v/>
      </c>
      <c r="U7888" t="str">
        <f t="shared" si="1272"/>
        <v/>
      </c>
      <c r="V7888" t="str">
        <f t="shared" si="1273"/>
        <v/>
      </c>
      <c r="W7888" t="str">
        <f t="shared" si="1274"/>
        <v/>
      </c>
      <c r="X7888">
        <f t="shared" si="1264"/>
        <v>0</v>
      </c>
      <c r="Z7888" t="str">
        <f t="shared" si="1275"/>
        <v/>
      </c>
      <c r="AA7888">
        <f t="shared" si="1265"/>
        <v>0</v>
      </c>
    </row>
    <row r="7889" spans="1:27" ht="21" customHeight="1" x14ac:dyDescent="0.95">
      <c r="A7889" s="56"/>
      <c r="B7889" s="57"/>
      <c r="C7889" s="57"/>
      <c r="D7889" s="57"/>
      <c r="E7889" s="56"/>
      <c r="F7889" s="57"/>
      <c r="G7889" s="57"/>
      <c r="H7889" s="56"/>
      <c r="I7889" s="56"/>
      <c r="J7889" s="58"/>
      <c r="K7889" s="58"/>
      <c r="L7889" s="13" t="str">
        <f t="shared" si="1266"/>
        <v/>
      </c>
      <c r="M7889" s="13" t="str">
        <f t="shared" si="1267"/>
        <v/>
      </c>
      <c r="Q7889" t="str">
        <f t="shared" si="1268"/>
        <v/>
      </c>
      <c r="R7889" t="str">
        <f t="shared" si="1269"/>
        <v/>
      </c>
      <c r="S7889" t="str">
        <f t="shared" si="1270"/>
        <v/>
      </c>
      <c r="T7889" t="str">
        <f t="shared" si="1271"/>
        <v/>
      </c>
      <c r="U7889" t="str">
        <f t="shared" si="1272"/>
        <v/>
      </c>
      <c r="V7889" t="str">
        <f t="shared" si="1273"/>
        <v/>
      </c>
      <c r="W7889" t="str">
        <f t="shared" si="1274"/>
        <v/>
      </c>
      <c r="X7889">
        <f t="shared" si="1264"/>
        <v>0</v>
      </c>
      <c r="Z7889" t="str">
        <f t="shared" si="1275"/>
        <v/>
      </c>
      <c r="AA7889">
        <f t="shared" si="1265"/>
        <v>0</v>
      </c>
    </row>
    <row r="7890" spans="1:27" ht="21" customHeight="1" x14ac:dyDescent="0.95">
      <c r="A7890" s="56"/>
      <c r="B7890" s="57"/>
      <c r="C7890" s="57"/>
      <c r="D7890" s="57"/>
      <c r="E7890" s="56"/>
      <c r="F7890" s="57"/>
      <c r="G7890" s="57"/>
      <c r="H7890" s="56"/>
      <c r="I7890" s="56"/>
      <c r="J7890" s="58"/>
      <c r="K7890" s="58"/>
      <c r="L7890" s="13" t="str">
        <f t="shared" si="1266"/>
        <v/>
      </c>
      <c r="M7890" s="13" t="str">
        <f t="shared" si="1267"/>
        <v/>
      </c>
      <c r="Q7890" t="str">
        <f t="shared" si="1268"/>
        <v/>
      </c>
      <c r="R7890" t="str">
        <f t="shared" si="1269"/>
        <v/>
      </c>
      <c r="S7890" t="str">
        <f t="shared" si="1270"/>
        <v/>
      </c>
      <c r="T7890" t="str">
        <f t="shared" si="1271"/>
        <v/>
      </c>
      <c r="U7890" t="str">
        <f t="shared" si="1272"/>
        <v/>
      </c>
      <c r="V7890" t="str">
        <f t="shared" si="1273"/>
        <v/>
      </c>
      <c r="W7890" t="str">
        <f t="shared" si="1274"/>
        <v/>
      </c>
      <c r="X7890">
        <f t="shared" si="1264"/>
        <v>0</v>
      </c>
      <c r="Z7890" t="str">
        <f t="shared" si="1275"/>
        <v/>
      </c>
      <c r="AA7890">
        <f t="shared" si="1265"/>
        <v>0</v>
      </c>
    </row>
    <row r="7891" spans="1:27" ht="21" customHeight="1" x14ac:dyDescent="0.95">
      <c r="A7891" s="56"/>
      <c r="B7891" s="57"/>
      <c r="C7891" s="57"/>
      <c r="D7891" s="57"/>
      <c r="E7891" s="56"/>
      <c r="F7891" s="57"/>
      <c r="G7891" s="57"/>
      <c r="H7891" s="56"/>
      <c r="I7891" s="56"/>
      <c r="J7891" s="58"/>
      <c r="K7891" s="58"/>
      <c r="L7891" s="13" t="str">
        <f t="shared" si="1266"/>
        <v/>
      </c>
      <c r="M7891" s="13" t="str">
        <f t="shared" si="1267"/>
        <v/>
      </c>
      <c r="Q7891" t="str">
        <f t="shared" si="1268"/>
        <v/>
      </c>
      <c r="R7891" t="str">
        <f t="shared" si="1269"/>
        <v/>
      </c>
      <c r="S7891" t="str">
        <f t="shared" si="1270"/>
        <v/>
      </c>
      <c r="T7891" t="str">
        <f t="shared" si="1271"/>
        <v/>
      </c>
      <c r="U7891" t="str">
        <f t="shared" si="1272"/>
        <v/>
      </c>
      <c r="V7891" t="str">
        <f t="shared" si="1273"/>
        <v/>
      </c>
      <c r="W7891" t="str">
        <f t="shared" si="1274"/>
        <v/>
      </c>
      <c r="X7891">
        <f t="shared" si="1264"/>
        <v>0</v>
      </c>
      <c r="Z7891" t="str">
        <f t="shared" si="1275"/>
        <v/>
      </c>
      <c r="AA7891">
        <f t="shared" si="1265"/>
        <v>0</v>
      </c>
    </row>
    <row r="7892" spans="1:27" ht="21" customHeight="1" x14ac:dyDescent="0.95">
      <c r="A7892" s="56"/>
      <c r="B7892" s="57"/>
      <c r="C7892" s="57"/>
      <c r="D7892" s="57"/>
      <c r="E7892" s="56"/>
      <c r="F7892" s="57"/>
      <c r="G7892" s="57"/>
      <c r="H7892" s="56"/>
      <c r="I7892" s="56"/>
      <c r="J7892" s="58"/>
      <c r="K7892" s="58"/>
      <c r="L7892" s="13" t="str">
        <f t="shared" si="1266"/>
        <v/>
      </c>
      <c r="M7892" s="13" t="str">
        <f t="shared" si="1267"/>
        <v/>
      </c>
      <c r="Q7892" t="str">
        <f t="shared" si="1268"/>
        <v/>
      </c>
      <c r="R7892" t="str">
        <f t="shared" si="1269"/>
        <v/>
      </c>
      <c r="S7892" t="str">
        <f t="shared" si="1270"/>
        <v/>
      </c>
      <c r="T7892" t="str">
        <f t="shared" si="1271"/>
        <v/>
      </c>
      <c r="U7892" t="str">
        <f t="shared" si="1272"/>
        <v/>
      </c>
      <c r="V7892" t="str">
        <f t="shared" si="1273"/>
        <v/>
      </c>
      <c r="W7892" t="str">
        <f t="shared" si="1274"/>
        <v/>
      </c>
      <c r="X7892">
        <f t="shared" si="1264"/>
        <v>0</v>
      </c>
      <c r="Z7892" t="str">
        <f t="shared" si="1275"/>
        <v/>
      </c>
      <c r="AA7892">
        <f t="shared" si="1265"/>
        <v>0</v>
      </c>
    </row>
    <row r="7893" spans="1:27" ht="21" customHeight="1" x14ac:dyDescent="0.95">
      <c r="A7893" s="56"/>
      <c r="B7893" s="57"/>
      <c r="C7893" s="57"/>
      <c r="D7893" s="57"/>
      <c r="E7893" s="56"/>
      <c r="F7893" s="57"/>
      <c r="G7893" s="57"/>
      <c r="H7893" s="56"/>
      <c r="I7893" s="56"/>
      <c r="J7893" s="58"/>
      <c r="K7893" s="58"/>
      <c r="L7893" s="13" t="str">
        <f t="shared" si="1266"/>
        <v/>
      </c>
      <c r="M7893" s="13" t="str">
        <f t="shared" si="1267"/>
        <v/>
      </c>
      <c r="Q7893" t="str">
        <f t="shared" si="1268"/>
        <v/>
      </c>
      <c r="R7893" t="str">
        <f t="shared" si="1269"/>
        <v/>
      </c>
      <c r="S7893" t="str">
        <f t="shared" si="1270"/>
        <v/>
      </c>
      <c r="T7893" t="str">
        <f t="shared" si="1271"/>
        <v/>
      </c>
      <c r="U7893" t="str">
        <f t="shared" si="1272"/>
        <v/>
      </c>
      <c r="V7893" t="str">
        <f t="shared" si="1273"/>
        <v/>
      </c>
      <c r="W7893" t="str">
        <f t="shared" si="1274"/>
        <v/>
      </c>
      <c r="X7893">
        <f t="shared" si="1264"/>
        <v>0</v>
      </c>
      <c r="Z7893" t="str">
        <f t="shared" si="1275"/>
        <v/>
      </c>
      <c r="AA7893">
        <f t="shared" si="1265"/>
        <v>0</v>
      </c>
    </row>
    <row r="7894" spans="1:27" ht="21" customHeight="1" x14ac:dyDescent="0.95">
      <c r="A7894" s="56"/>
      <c r="B7894" s="57"/>
      <c r="C7894" s="57"/>
      <c r="D7894" s="57"/>
      <c r="E7894" s="56"/>
      <c r="F7894" s="57"/>
      <c r="G7894" s="57"/>
      <c r="H7894" s="56"/>
      <c r="I7894" s="56"/>
      <c r="J7894" s="58"/>
      <c r="K7894" s="58"/>
      <c r="L7894" s="13" t="str">
        <f t="shared" si="1266"/>
        <v/>
      </c>
      <c r="M7894" s="13" t="str">
        <f t="shared" si="1267"/>
        <v/>
      </c>
      <c r="Q7894" t="str">
        <f t="shared" si="1268"/>
        <v/>
      </c>
      <c r="R7894" t="str">
        <f t="shared" si="1269"/>
        <v/>
      </c>
      <c r="S7894" t="str">
        <f t="shared" si="1270"/>
        <v/>
      </c>
      <c r="T7894" t="str">
        <f t="shared" si="1271"/>
        <v/>
      </c>
      <c r="U7894" t="str">
        <f t="shared" si="1272"/>
        <v/>
      </c>
      <c r="V7894" t="str">
        <f t="shared" si="1273"/>
        <v/>
      </c>
      <c r="W7894" t="str">
        <f t="shared" si="1274"/>
        <v/>
      </c>
      <c r="X7894">
        <f t="shared" si="1264"/>
        <v>0</v>
      </c>
      <c r="Z7894" t="str">
        <f t="shared" si="1275"/>
        <v/>
      </c>
      <c r="AA7894">
        <f t="shared" si="1265"/>
        <v>0</v>
      </c>
    </row>
    <row r="7895" spans="1:27" ht="21" customHeight="1" x14ac:dyDescent="0.95">
      <c r="A7895" s="56"/>
      <c r="B7895" s="57"/>
      <c r="C7895" s="57"/>
      <c r="D7895" s="57"/>
      <c r="E7895" s="56"/>
      <c r="F7895" s="57"/>
      <c r="G7895" s="57"/>
      <c r="H7895" s="56"/>
      <c r="I7895" s="56"/>
      <c r="J7895" s="58"/>
      <c r="K7895" s="58"/>
      <c r="L7895" s="13" t="str">
        <f t="shared" si="1266"/>
        <v/>
      </c>
      <c r="M7895" s="13" t="str">
        <f t="shared" si="1267"/>
        <v/>
      </c>
      <c r="Q7895" t="str">
        <f t="shared" si="1268"/>
        <v/>
      </c>
      <c r="R7895" t="str">
        <f t="shared" si="1269"/>
        <v/>
      </c>
      <c r="S7895" t="str">
        <f t="shared" si="1270"/>
        <v/>
      </c>
      <c r="T7895" t="str">
        <f t="shared" si="1271"/>
        <v/>
      </c>
      <c r="U7895" t="str">
        <f t="shared" si="1272"/>
        <v/>
      </c>
      <c r="V7895" t="str">
        <f t="shared" si="1273"/>
        <v/>
      </c>
      <c r="W7895" t="str">
        <f t="shared" si="1274"/>
        <v/>
      </c>
      <c r="X7895">
        <f t="shared" si="1264"/>
        <v>0</v>
      </c>
      <c r="Z7895" t="str">
        <f t="shared" si="1275"/>
        <v/>
      </c>
      <c r="AA7895">
        <f t="shared" si="1265"/>
        <v>0</v>
      </c>
    </row>
    <row r="7896" spans="1:27" ht="21" customHeight="1" x14ac:dyDescent="0.95">
      <c r="A7896" s="56"/>
      <c r="B7896" s="57"/>
      <c r="C7896" s="57"/>
      <c r="D7896" s="57"/>
      <c r="E7896" s="56"/>
      <c r="F7896" s="57"/>
      <c r="G7896" s="57"/>
      <c r="H7896" s="56"/>
      <c r="I7896" s="56"/>
      <c r="J7896" s="58"/>
      <c r="K7896" s="58"/>
      <c r="L7896" s="13" t="str">
        <f t="shared" si="1266"/>
        <v/>
      </c>
      <c r="M7896" s="13" t="str">
        <f t="shared" si="1267"/>
        <v/>
      </c>
      <c r="Q7896" t="str">
        <f t="shared" si="1268"/>
        <v/>
      </c>
      <c r="R7896" t="str">
        <f t="shared" si="1269"/>
        <v/>
      </c>
      <c r="S7896" t="str">
        <f t="shared" si="1270"/>
        <v/>
      </c>
      <c r="T7896" t="str">
        <f t="shared" si="1271"/>
        <v/>
      </c>
      <c r="U7896" t="str">
        <f t="shared" si="1272"/>
        <v/>
      </c>
      <c r="V7896" t="str">
        <f t="shared" si="1273"/>
        <v/>
      </c>
      <c r="W7896" t="str">
        <f t="shared" si="1274"/>
        <v/>
      </c>
      <c r="X7896">
        <f t="shared" si="1264"/>
        <v>0</v>
      </c>
      <c r="Z7896" t="str">
        <f t="shared" si="1275"/>
        <v/>
      </c>
      <c r="AA7896">
        <f t="shared" si="1265"/>
        <v>0</v>
      </c>
    </row>
    <row r="7897" spans="1:27" ht="21" customHeight="1" x14ac:dyDescent="0.95">
      <c r="A7897" s="56"/>
      <c r="B7897" s="57"/>
      <c r="C7897" s="57"/>
      <c r="D7897" s="57"/>
      <c r="E7897" s="56"/>
      <c r="F7897" s="57"/>
      <c r="G7897" s="57"/>
      <c r="H7897" s="56"/>
      <c r="I7897" s="56"/>
      <c r="J7897" s="58"/>
      <c r="K7897" s="58"/>
      <c r="L7897" s="13" t="str">
        <f t="shared" si="1266"/>
        <v/>
      </c>
      <c r="M7897" s="13" t="str">
        <f t="shared" si="1267"/>
        <v/>
      </c>
      <c r="Q7897" t="str">
        <f t="shared" si="1268"/>
        <v/>
      </c>
      <c r="R7897" t="str">
        <f t="shared" si="1269"/>
        <v/>
      </c>
      <c r="S7897" t="str">
        <f t="shared" si="1270"/>
        <v/>
      </c>
      <c r="T7897" t="str">
        <f t="shared" si="1271"/>
        <v/>
      </c>
      <c r="U7897" t="str">
        <f t="shared" si="1272"/>
        <v/>
      </c>
      <c r="V7897" t="str">
        <f t="shared" si="1273"/>
        <v/>
      </c>
      <c r="W7897" t="str">
        <f t="shared" si="1274"/>
        <v/>
      </c>
      <c r="X7897">
        <f t="shared" si="1264"/>
        <v>0</v>
      </c>
      <c r="Z7897" t="str">
        <f t="shared" si="1275"/>
        <v/>
      </c>
      <c r="AA7897">
        <f t="shared" si="1265"/>
        <v>0</v>
      </c>
    </row>
    <row r="7898" spans="1:27" ht="21" customHeight="1" x14ac:dyDescent="0.95">
      <c r="A7898" s="56"/>
      <c r="B7898" s="57"/>
      <c r="C7898" s="57"/>
      <c r="D7898" s="57"/>
      <c r="E7898" s="56"/>
      <c r="F7898" s="57"/>
      <c r="G7898" s="57"/>
      <c r="H7898" s="56"/>
      <c r="I7898" s="56"/>
      <c r="J7898" s="58"/>
      <c r="K7898" s="58"/>
      <c r="L7898" s="13" t="str">
        <f t="shared" si="1266"/>
        <v/>
      </c>
      <c r="M7898" s="13" t="str">
        <f t="shared" si="1267"/>
        <v/>
      </c>
      <c r="Q7898" t="str">
        <f t="shared" si="1268"/>
        <v/>
      </c>
      <c r="R7898" t="str">
        <f t="shared" si="1269"/>
        <v/>
      </c>
      <c r="S7898" t="str">
        <f t="shared" si="1270"/>
        <v/>
      </c>
      <c r="T7898" t="str">
        <f t="shared" si="1271"/>
        <v/>
      </c>
      <c r="U7898" t="str">
        <f t="shared" si="1272"/>
        <v/>
      </c>
      <c r="V7898" t="str">
        <f t="shared" si="1273"/>
        <v/>
      </c>
      <c r="W7898" t="str">
        <f t="shared" si="1274"/>
        <v/>
      </c>
      <c r="X7898">
        <f t="shared" si="1264"/>
        <v>0</v>
      </c>
      <c r="Z7898" t="str">
        <f t="shared" si="1275"/>
        <v/>
      </c>
      <c r="AA7898">
        <f t="shared" si="1265"/>
        <v>0</v>
      </c>
    </row>
    <row r="7899" spans="1:27" ht="21" customHeight="1" x14ac:dyDescent="0.95">
      <c r="A7899" s="56"/>
      <c r="B7899" s="57"/>
      <c r="C7899" s="57"/>
      <c r="D7899" s="57"/>
      <c r="E7899" s="56"/>
      <c r="F7899" s="57"/>
      <c r="G7899" s="57"/>
      <c r="H7899" s="56"/>
      <c r="I7899" s="56"/>
      <c r="J7899" s="58"/>
      <c r="K7899" s="58"/>
      <c r="L7899" s="13" t="str">
        <f t="shared" si="1266"/>
        <v/>
      </c>
      <c r="M7899" s="13" t="str">
        <f t="shared" si="1267"/>
        <v/>
      </c>
      <c r="Q7899" t="str">
        <f t="shared" si="1268"/>
        <v/>
      </c>
      <c r="R7899" t="str">
        <f t="shared" si="1269"/>
        <v/>
      </c>
      <c r="S7899" t="str">
        <f t="shared" si="1270"/>
        <v/>
      </c>
      <c r="T7899" t="str">
        <f t="shared" si="1271"/>
        <v/>
      </c>
      <c r="U7899" t="str">
        <f t="shared" si="1272"/>
        <v/>
      </c>
      <c r="V7899" t="str">
        <f t="shared" si="1273"/>
        <v/>
      </c>
      <c r="W7899" t="str">
        <f t="shared" si="1274"/>
        <v/>
      </c>
      <c r="X7899">
        <f t="shared" si="1264"/>
        <v>0</v>
      </c>
      <c r="Z7899" t="str">
        <f t="shared" si="1275"/>
        <v/>
      </c>
      <c r="AA7899">
        <f t="shared" si="1265"/>
        <v>0</v>
      </c>
    </row>
    <row r="7900" spans="1:27" ht="21" customHeight="1" x14ac:dyDescent="0.95">
      <c r="A7900" s="56"/>
      <c r="B7900" s="57"/>
      <c r="C7900" s="57"/>
      <c r="D7900" s="57"/>
      <c r="E7900" s="56"/>
      <c r="F7900" s="57"/>
      <c r="G7900" s="57"/>
      <c r="H7900" s="56"/>
      <c r="I7900" s="56"/>
      <c r="J7900" s="58"/>
      <c r="K7900" s="58"/>
      <c r="L7900" s="13" t="str">
        <f t="shared" si="1266"/>
        <v/>
      </c>
      <c r="M7900" s="13" t="str">
        <f t="shared" si="1267"/>
        <v/>
      </c>
      <c r="Q7900" t="str">
        <f t="shared" si="1268"/>
        <v/>
      </c>
      <c r="R7900" t="str">
        <f t="shared" si="1269"/>
        <v/>
      </c>
      <c r="S7900" t="str">
        <f t="shared" si="1270"/>
        <v/>
      </c>
      <c r="T7900" t="str">
        <f t="shared" si="1271"/>
        <v/>
      </c>
      <c r="U7900" t="str">
        <f t="shared" si="1272"/>
        <v/>
      </c>
      <c r="V7900" t="str">
        <f t="shared" si="1273"/>
        <v/>
      </c>
      <c r="W7900" t="str">
        <f t="shared" si="1274"/>
        <v/>
      </c>
      <c r="X7900">
        <f t="shared" si="1264"/>
        <v>0</v>
      </c>
      <c r="Z7900" t="str">
        <f t="shared" si="1275"/>
        <v/>
      </c>
      <c r="AA7900">
        <f t="shared" si="1265"/>
        <v>0</v>
      </c>
    </row>
    <row r="7901" spans="1:27" ht="21" customHeight="1" x14ac:dyDescent="0.95">
      <c r="A7901" s="56"/>
      <c r="B7901" s="57"/>
      <c r="C7901" s="57"/>
      <c r="D7901" s="57"/>
      <c r="E7901" s="56"/>
      <c r="F7901" s="57"/>
      <c r="G7901" s="57"/>
      <c r="H7901" s="56"/>
      <c r="I7901" s="56"/>
      <c r="J7901" s="58"/>
      <c r="K7901" s="58"/>
      <c r="L7901" s="13" t="str">
        <f t="shared" si="1266"/>
        <v/>
      </c>
      <c r="M7901" s="13" t="str">
        <f t="shared" si="1267"/>
        <v/>
      </c>
      <c r="Q7901" t="str">
        <f t="shared" si="1268"/>
        <v/>
      </c>
      <c r="R7901" t="str">
        <f t="shared" si="1269"/>
        <v/>
      </c>
      <c r="S7901" t="str">
        <f t="shared" si="1270"/>
        <v/>
      </c>
      <c r="T7901" t="str">
        <f t="shared" si="1271"/>
        <v/>
      </c>
      <c r="U7901" t="str">
        <f t="shared" si="1272"/>
        <v/>
      </c>
      <c r="V7901" t="str">
        <f t="shared" si="1273"/>
        <v/>
      </c>
      <c r="W7901" t="str">
        <f t="shared" si="1274"/>
        <v/>
      </c>
      <c r="X7901">
        <f t="shared" si="1264"/>
        <v>0</v>
      </c>
      <c r="Z7901" t="str">
        <f t="shared" si="1275"/>
        <v/>
      </c>
      <c r="AA7901">
        <f t="shared" si="1265"/>
        <v>0</v>
      </c>
    </row>
    <row r="7902" spans="1:27" ht="21" customHeight="1" x14ac:dyDescent="0.95">
      <c r="A7902" s="56"/>
      <c r="B7902" s="57"/>
      <c r="C7902" s="57"/>
      <c r="D7902" s="57"/>
      <c r="E7902" s="56"/>
      <c r="F7902" s="57"/>
      <c r="G7902" s="57"/>
      <c r="H7902" s="56"/>
      <c r="I7902" s="56"/>
      <c r="J7902" s="58"/>
      <c r="K7902" s="58"/>
      <c r="L7902" s="13" t="str">
        <f t="shared" si="1266"/>
        <v/>
      </c>
      <c r="M7902" s="13" t="str">
        <f t="shared" si="1267"/>
        <v/>
      </c>
      <c r="Q7902" t="str">
        <f t="shared" si="1268"/>
        <v/>
      </c>
      <c r="R7902" t="str">
        <f t="shared" si="1269"/>
        <v/>
      </c>
      <c r="S7902" t="str">
        <f t="shared" si="1270"/>
        <v/>
      </c>
      <c r="T7902" t="str">
        <f t="shared" si="1271"/>
        <v/>
      </c>
      <c r="U7902" t="str">
        <f t="shared" si="1272"/>
        <v/>
      </c>
      <c r="V7902" t="str">
        <f t="shared" si="1273"/>
        <v/>
      </c>
      <c r="W7902" t="str">
        <f t="shared" si="1274"/>
        <v/>
      </c>
      <c r="X7902">
        <f t="shared" si="1264"/>
        <v>0</v>
      </c>
      <c r="Z7902" t="str">
        <f t="shared" si="1275"/>
        <v/>
      </c>
      <c r="AA7902">
        <f t="shared" si="1265"/>
        <v>0</v>
      </c>
    </row>
    <row r="7903" spans="1:27" ht="21" customHeight="1" x14ac:dyDescent="0.95">
      <c r="A7903" s="56"/>
      <c r="B7903" s="57"/>
      <c r="C7903" s="57"/>
      <c r="D7903" s="57"/>
      <c r="E7903" s="56"/>
      <c r="F7903" s="57"/>
      <c r="G7903" s="57"/>
      <c r="H7903" s="56"/>
      <c r="I7903" s="56"/>
      <c r="J7903" s="58"/>
      <c r="K7903" s="58"/>
      <c r="L7903" s="13" t="str">
        <f t="shared" si="1266"/>
        <v/>
      </c>
      <c r="M7903" s="13" t="str">
        <f t="shared" si="1267"/>
        <v/>
      </c>
      <c r="Q7903" t="str">
        <f t="shared" si="1268"/>
        <v/>
      </c>
      <c r="R7903" t="str">
        <f t="shared" si="1269"/>
        <v/>
      </c>
      <c r="S7903" t="str">
        <f t="shared" si="1270"/>
        <v/>
      </c>
      <c r="T7903" t="str">
        <f t="shared" si="1271"/>
        <v/>
      </c>
      <c r="U7903" t="str">
        <f t="shared" si="1272"/>
        <v/>
      </c>
      <c r="V7903" t="str">
        <f t="shared" si="1273"/>
        <v/>
      </c>
      <c r="W7903" t="str">
        <f t="shared" si="1274"/>
        <v/>
      </c>
      <c r="X7903">
        <f t="shared" si="1264"/>
        <v>0</v>
      </c>
      <c r="Z7903" t="str">
        <f t="shared" si="1275"/>
        <v/>
      </c>
      <c r="AA7903">
        <f t="shared" si="1265"/>
        <v>0</v>
      </c>
    </row>
    <row r="7904" spans="1:27" ht="21" customHeight="1" x14ac:dyDescent="0.95">
      <c r="A7904" s="56"/>
      <c r="B7904" s="57"/>
      <c r="C7904" s="57"/>
      <c r="D7904" s="57"/>
      <c r="E7904" s="56"/>
      <c r="F7904" s="57"/>
      <c r="G7904" s="57"/>
      <c r="H7904" s="56"/>
      <c r="I7904" s="56"/>
      <c r="J7904" s="58"/>
      <c r="K7904" s="58"/>
      <c r="L7904" s="13" t="str">
        <f t="shared" si="1266"/>
        <v/>
      </c>
      <c r="M7904" s="13" t="str">
        <f t="shared" si="1267"/>
        <v/>
      </c>
      <c r="Q7904" t="str">
        <f t="shared" si="1268"/>
        <v/>
      </c>
      <c r="R7904" t="str">
        <f t="shared" si="1269"/>
        <v/>
      </c>
      <c r="S7904" t="str">
        <f t="shared" si="1270"/>
        <v/>
      </c>
      <c r="T7904" t="str">
        <f t="shared" si="1271"/>
        <v/>
      </c>
      <c r="U7904" t="str">
        <f t="shared" si="1272"/>
        <v/>
      </c>
      <c r="V7904" t="str">
        <f t="shared" si="1273"/>
        <v/>
      </c>
      <c r="W7904" t="str">
        <f t="shared" si="1274"/>
        <v/>
      </c>
      <c r="X7904">
        <f t="shared" si="1264"/>
        <v>0</v>
      </c>
      <c r="Z7904" t="str">
        <f t="shared" si="1275"/>
        <v/>
      </c>
      <c r="AA7904">
        <f t="shared" si="1265"/>
        <v>0</v>
      </c>
    </row>
    <row r="7905" spans="1:27" ht="21" customHeight="1" x14ac:dyDescent="0.95">
      <c r="A7905" s="56"/>
      <c r="B7905" s="57"/>
      <c r="C7905" s="57"/>
      <c r="D7905" s="57"/>
      <c r="E7905" s="56"/>
      <c r="F7905" s="57"/>
      <c r="G7905" s="57"/>
      <c r="H7905" s="56"/>
      <c r="I7905" s="56"/>
      <c r="J7905" s="58"/>
      <c r="K7905" s="58"/>
      <c r="L7905" s="13" t="str">
        <f t="shared" si="1266"/>
        <v/>
      </c>
      <c r="M7905" s="13" t="str">
        <f t="shared" si="1267"/>
        <v/>
      </c>
      <c r="Q7905" t="str">
        <f t="shared" si="1268"/>
        <v/>
      </c>
      <c r="R7905" t="str">
        <f t="shared" si="1269"/>
        <v/>
      </c>
      <c r="S7905" t="str">
        <f t="shared" si="1270"/>
        <v/>
      </c>
      <c r="T7905" t="str">
        <f t="shared" si="1271"/>
        <v/>
      </c>
      <c r="U7905" t="str">
        <f t="shared" si="1272"/>
        <v/>
      </c>
      <c r="V7905" t="str">
        <f t="shared" si="1273"/>
        <v/>
      </c>
      <c r="W7905" t="str">
        <f t="shared" si="1274"/>
        <v/>
      </c>
      <c r="X7905">
        <f t="shared" si="1264"/>
        <v>0</v>
      </c>
      <c r="Z7905" t="str">
        <f t="shared" si="1275"/>
        <v/>
      </c>
      <c r="AA7905">
        <f t="shared" si="1265"/>
        <v>0</v>
      </c>
    </row>
    <row r="7906" spans="1:27" ht="21" customHeight="1" x14ac:dyDescent="0.95">
      <c r="A7906" s="56"/>
      <c r="B7906" s="57"/>
      <c r="C7906" s="57"/>
      <c r="D7906" s="57"/>
      <c r="E7906" s="56"/>
      <c r="F7906" s="57"/>
      <c r="G7906" s="57"/>
      <c r="H7906" s="56"/>
      <c r="I7906" s="56"/>
      <c r="J7906" s="58"/>
      <c r="K7906" s="58"/>
      <c r="L7906" s="13" t="str">
        <f t="shared" si="1266"/>
        <v/>
      </c>
      <c r="M7906" s="13" t="str">
        <f t="shared" si="1267"/>
        <v/>
      </c>
      <c r="Q7906" t="str">
        <f t="shared" si="1268"/>
        <v/>
      </c>
      <c r="R7906" t="str">
        <f t="shared" si="1269"/>
        <v/>
      </c>
      <c r="S7906" t="str">
        <f t="shared" si="1270"/>
        <v/>
      </c>
      <c r="T7906" t="str">
        <f t="shared" si="1271"/>
        <v/>
      </c>
      <c r="U7906" t="str">
        <f t="shared" si="1272"/>
        <v/>
      </c>
      <c r="V7906" t="str">
        <f t="shared" si="1273"/>
        <v/>
      </c>
      <c r="W7906" t="str">
        <f t="shared" si="1274"/>
        <v/>
      </c>
      <c r="X7906">
        <f t="shared" si="1264"/>
        <v>0</v>
      </c>
      <c r="Z7906" t="str">
        <f t="shared" si="1275"/>
        <v/>
      </c>
      <c r="AA7906">
        <f t="shared" si="1265"/>
        <v>0</v>
      </c>
    </row>
    <row r="7907" spans="1:27" ht="21" customHeight="1" x14ac:dyDescent="0.95">
      <c r="A7907" s="56"/>
      <c r="B7907" s="57"/>
      <c r="C7907" s="57"/>
      <c r="D7907" s="57"/>
      <c r="E7907" s="56"/>
      <c r="F7907" s="57"/>
      <c r="G7907" s="57"/>
      <c r="H7907" s="56"/>
      <c r="I7907" s="56"/>
      <c r="J7907" s="58"/>
      <c r="K7907" s="58"/>
      <c r="L7907" s="13" t="str">
        <f t="shared" si="1266"/>
        <v/>
      </c>
      <c r="M7907" s="13" t="str">
        <f t="shared" si="1267"/>
        <v/>
      </c>
      <c r="Q7907" t="str">
        <f t="shared" si="1268"/>
        <v/>
      </c>
      <c r="R7907" t="str">
        <f t="shared" si="1269"/>
        <v/>
      </c>
      <c r="S7907" t="str">
        <f t="shared" si="1270"/>
        <v/>
      </c>
      <c r="T7907" t="str">
        <f t="shared" si="1271"/>
        <v/>
      </c>
      <c r="U7907" t="str">
        <f t="shared" si="1272"/>
        <v/>
      </c>
      <c r="V7907" t="str">
        <f t="shared" si="1273"/>
        <v/>
      </c>
      <c r="W7907" t="str">
        <f t="shared" si="1274"/>
        <v/>
      </c>
      <c r="X7907">
        <f t="shared" si="1264"/>
        <v>0</v>
      </c>
      <c r="Z7907" t="str">
        <f t="shared" si="1275"/>
        <v/>
      </c>
      <c r="AA7907">
        <f t="shared" si="1265"/>
        <v>0</v>
      </c>
    </row>
    <row r="7908" spans="1:27" ht="21" customHeight="1" x14ac:dyDescent="0.95">
      <c r="A7908" s="56"/>
      <c r="B7908" s="57"/>
      <c r="C7908" s="57"/>
      <c r="D7908" s="57"/>
      <c r="E7908" s="56"/>
      <c r="F7908" s="57"/>
      <c r="G7908" s="57"/>
      <c r="H7908" s="56"/>
      <c r="I7908" s="56"/>
      <c r="J7908" s="58"/>
      <c r="K7908" s="58"/>
      <c r="L7908" s="13" t="str">
        <f t="shared" si="1266"/>
        <v/>
      </c>
      <c r="M7908" s="13" t="str">
        <f t="shared" si="1267"/>
        <v/>
      </c>
      <c r="Q7908" t="str">
        <f t="shared" si="1268"/>
        <v/>
      </c>
      <c r="R7908" t="str">
        <f t="shared" si="1269"/>
        <v/>
      </c>
      <c r="S7908" t="str">
        <f t="shared" si="1270"/>
        <v/>
      </c>
      <c r="T7908" t="str">
        <f t="shared" si="1271"/>
        <v/>
      </c>
      <c r="U7908" t="str">
        <f t="shared" si="1272"/>
        <v/>
      </c>
      <c r="V7908" t="str">
        <f t="shared" si="1273"/>
        <v/>
      </c>
      <c r="W7908" t="str">
        <f t="shared" si="1274"/>
        <v/>
      </c>
      <c r="X7908">
        <f t="shared" si="1264"/>
        <v>0</v>
      </c>
      <c r="Z7908" t="str">
        <f t="shared" si="1275"/>
        <v/>
      </c>
      <c r="AA7908">
        <f t="shared" si="1265"/>
        <v>0</v>
      </c>
    </row>
    <row r="7909" spans="1:27" ht="21" customHeight="1" x14ac:dyDescent="0.95">
      <c r="A7909" s="56"/>
      <c r="B7909" s="57"/>
      <c r="C7909" s="57"/>
      <c r="D7909" s="57"/>
      <c r="E7909" s="56"/>
      <c r="F7909" s="57"/>
      <c r="G7909" s="57"/>
      <c r="H7909" s="56"/>
      <c r="I7909" s="56"/>
      <c r="J7909" s="58"/>
      <c r="K7909" s="58"/>
      <c r="L7909" s="13" t="str">
        <f t="shared" si="1266"/>
        <v/>
      </c>
      <c r="M7909" s="13" t="str">
        <f t="shared" si="1267"/>
        <v/>
      </c>
      <c r="Q7909" t="str">
        <f t="shared" si="1268"/>
        <v/>
      </c>
      <c r="R7909" t="str">
        <f t="shared" si="1269"/>
        <v/>
      </c>
      <c r="S7909" t="str">
        <f t="shared" si="1270"/>
        <v/>
      </c>
      <c r="T7909" t="str">
        <f t="shared" si="1271"/>
        <v/>
      </c>
      <c r="U7909" t="str">
        <f t="shared" si="1272"/>
        <v/>
      </c>
      <c r="V7909" t="str">
        <f t="shared" si="1273"/>
        <v/>
      </c>
      <c r="W7909" t="str">
        <f t="shared" si="1274"/>
        <v/>
      </c>
      <c r="X7909">
        <f t="shared" si="1264"/>
        <v>0</v>
      </c>
      <c r="Z7909" t="str">
        <f t="shared" si="1275"/>
        <v/>
      </c>
      <c r="AA7909">
        <f t="shared" si="1265"/>
        <v>0</v>
      </c>
    </row>
    <row r="7910" spans="1:27" ht="21" customHeight="1" x14ac:dyDescent="0.95">
      <c r="A7910" s="56"/>
      <c r="B7910" s="57"/>
      <c r="C7910" s="57"/>
      <c r="D7910" s="57"/>
      <c r="E7910" s="56"/>
      <c r="F7910" s="57"/>
      <c r="G7910" s="57"/>
      <c r="H7910" s="56"/>
      <c r="I7910" s="56"/>
      <c r="J7910" s="58"/>
      <c r="K7910" s="58"/>
      <c r="L7910" s="13" t="str">
        <f t="shared" si="1266"/>
        <v/>
      </c>
      <c r="M7910" s="13" t="str">
        <f t="shared" si="1267"/>
        <v/>
      </c>
      <c r="Q7910" t="str">
        <f t="shared" si="1268"/>
        <v/>
      </c>
      <c r="R7910" t="str">
        <f t="shared" si="1269"/>
        <v/>
      </c>
      <c r="S7910" t="str">
        <f t="shared" si="1270"/>
        <v/>
      </c>
      <c r="T7910" t="str">
        <f t="shared" si="1271"/>
        <v/>
      </c>
      <c r="U7910" t="str">
        <f t="shared" si="1272"/>
        <v/>
      </c>
      <c r="V7910" t="str">
        <f t="shared" si="1273"/>
        <v/>
      </c>
      <c r="W7910" t="str">
        <f t="shared" si="1274"/>
        <v/>
      </c>
      <c r="X7910">
        <f t="shared" si="1264"/>
        <v>0</v>
      </c>
      <c r="Z7910" t="str">
        <f t="shared" si="1275"/>
        <v/>
      </c>
      <c r="AA7910">
        <f t="shared" si="1265"/>
        <v>0</v>
      </c>
    </row>
    <row r="7911" spans="1:27" ht="21" customHeight="1" x14ac:dyDescent="0.95">
      <c r="A7911" s="56"/>
      <c r="B7911" s="57"/>
      <c r="C7911" s="57"/>
      <c r="D7911" s="57"/>
      <c r="E7911" s="56"/>
      <c r="F7911" s="57"/>
      <c r="G7911" s="57"/>
      <c r="H7911" s="56"/>
      <c r="I7911" s="56"/>
      <c r="J7911" s="58"/>
      <c r="K7911" s="58"/>
      <c r="L7911" s="13" t="str">
        <f t="shared" si="1266"/>
        <v/>
      </c>
      <c r="M7911" s="13" t="str">
        <f t="shared" si="1267"/>
        <v/>
      </c>
      <c r="Q7911" t="str">
        <f t="shared" si="1268"/>
        <v/>
      </c>
      <c r="R7911" t="str">
        <f t="shared" si="1269"/>
        <v/>
      </c>
      <c r="S7911" t="str">
        <f t="shared" si="1270"/>
        <v/>
      </c>
      <c r="T7911" t="str">
        <f t="shared" si="1271"/>
        <v/>
      </c>
      <c r="U7911" t="str">
        <f t="shared" si="1272"/>
        <v/>
      </c>
      <c r="V7911" t="str">
        <f t="shared" si="1273"/>
        <v/>
      </c>
      <c r="W7911" t="str">
        <f t="shared" si="1274"/>
        <v/>
      </c>
      <c r="X7911">
        <f t="shared" si="1264"/>
        <v>0</v>
      </c>
      <c r="Z7911" t="str">
        <f t="shared" si="1275"/>
        <v/>
      </c>
      <c r="AA7911">
        <f t="shared" si="1265"/>
        <v>0</v>
      </c>
    </row>
    <row r="7912" spans="1:27" ht="21" customHeight="1" x14ac:dyDescent="0.95">
      <c r="A7912" s="56"/>
      <c r="B7912" s="57"/>
      <c r="C7912" s="57"/>
      <c r="D7912" s="57"/>
      <c r="E7912" s="56"/>
      <c r="F7912" s="57"/>
      <c r="G7912" s="57"/>
      <c r="H7912" s="56"/>
      <c r="I7912" s="56"/>
      <c r="J7912" s="58"/>
      <c r="K7912" s="58"/>
      <c r="L7912" s="13" t="str">
        <f t="shared" si="1266"/>
        <v/>
      </c>
      <c r="M7912" s="13" t="str">
        <f t="shared" si="1267"/>
        <v/>
      </c>
      <c r="Q7912" t="str">
        <f t="shared" si="1268"/>
        <v/>
      </c>
      <c r="R7912" t="str">
        <f t="shared" si="1269"/>
        <v/>
      </c>
      <c r="S7912" t="str">
        <f t="shared" si="1270"/>
        <v/>
      </c>
      <c r="T7912" t="str">
        <f t="shared" si="1271"/>
        <v/>
      </c>
      <c r="U7912" t="str">
        <f t="shared" si="1272"/>
        <v/>
      </c>
      <c r="V7912" t="str">
        <f t="shared" si="1273"/>
        <v/>
      </c>
      <c r="W7912" t="str">
        <f t="shared" si="1274"/>
        <v/>
      </c>
      <c r="X7912">
        <f t="shared" si="1264"/>
        <v>0</v>
      </c>
      <c r="Z7912" t="str">
        <f t="shared" si="1275"/>
        <v/>
      </c>
      <c r="AA7912">
        <f t="shared" si="1265"/>
        <v>0</v>
      </c>
    </row>
    <row r="7913" spans="1:27" ht="21" customHeight="1" x14ac:dyDescent="0.95">
      <c r="A7913" s="56"/>
      <c r="B7913" s="57"/>
      <c r="C7913" s="57"/>
      <c r="D7913" s="57"/>
      <c r="E7913" s="56"/>
      <c r="F7913" s="57"/>
      <c r="G7913" s="57"/>
      <c r="H7913" s="56"/>
      <c r="I7913" s="56"/>
      <c r="J7913" s="58"/>
      <c r="K7913" s="58"/>
      <c r="L7913" s="13" t="str">
        <f t="shared" si="1266"/>
        <v/>
      </c>
      <c r="M7913" s="13" t="str">
        <f t="shared" si="1267"/>
        <v/>
      </c>
      <c r="Q7913" t="str">
        <f t="shared" si="1268"/>
        <v/>
      </c>
      <c r="R7913" t="str">
        <f t="shared" si="1269"/>
        <v/>
      </c>
      <c r="S7913" t="str">
        <f t="shared" si="1270"/>
        <v/>
      </c>
      <c r="T7913" t="str">
        <f t="shared" si="1271"/>
        <v/>
      </c>
      <c r="U7913" t="str">
        <f t="shared" si="1272"/>
        <v/>
      </c>
      <c r="V7913" t="str">
        <f t="shared" si="1273"/>
        <v/>
      </c>
      <c r="W7913" t="str">
        <f t="shared" si="1274"/>
        <v/>
      </c>
      <c r="X7913">
        <f t="shared" si="1264"/>
        <v>0</v>
      </c>
      <c r="Z7913" t="str">
        <f t="shared" si="1275"/>
        <v/>
      </c>
      <c r="AA7913">
        <f t="shared" si="1265"/>
        <v>0</v>
      </c>
    </row>
    <row r="7914" spans="1:27" ht="21" customHeight="1" x14ac:dyDescent="0.95">
      <c r="A7914" s="56"/>
      <c r="B7914" s="57"/>
      <c r="C7914" s="57"/>
      <c r="D7914" s="57"/>
      <c r="E7914" s="56"/>
      <c r="F7914" s="57"/>
      <c r="G7914" s="57"/>
      <c r="H7914" s="56"/>
      <c r="I7914" s="56"/>
      <c r="J7914" s="58"/>
      <c r="K7914" s="58"/>
      <c r="L7914" s="13" t="str">
        <f t="shared" si="1266"/>
        <v/>
      </c>
      <c r="M7914" s="13" t="str">
        <f t="shared" si="1267"/>
        <v/>
      </c>
      <c r="Q7914" t="str">
        <f t="shared" si="1268"/>
        <v/>
      </c>
      <c r="R7914" t="str">
        <f t="shared" si="1269"/>
        <v/>
      </c>
      <c r="S7914" t="str">
        <f t="shared" si="1270"/>
        <v/>
      </c>
      <c r="T7914" t="str">
        <f t="shared" si="1271"/>
        <v/>
      </c>
      <c r="U7914" t="str">
        <f t="shared" si="1272"/>
        <v/>
      </c>
      <c r="V7914" t="str">
        <f t="shared" si="1273"/>
        <v/>
      </c>
      <c r="W7914" t="str">
        <f t="shared" si="1274"/>
        <v/>
      </c>
      <c r="X7914">
        <f t="shared" si="1264"/>
        <v>0</v>
      </c>
      <c r="Z7914" t="str">
        <f t="shared" si="1275"/>
        <v/>
      </c>
      <c r="AA7914">
        <f t="shared" si="1265"/>
        <v>0</v>
      </c>
    </row>
    <row r="7915" spans="1:27" ht="21" customHeight="1" x14ac:dyDescent="0.95">
      <c r="A7915" s="56"/>
      <c r="B7915" s="57"/>
      <c r="C7915" s="57"/>
      <c r="D7915" s="57"/>
      <c r="E7915" s="56"/>
      <c r="F7915" s="57"/>
      <c r="G7915" s="57"/>
      <c r="H7915" s="56"/>
      <c r="I7915" s="56"/>
      <c r="J7915" s="58"/>
      <c r="K7915" s="58"/>
      <c r="L7915" s="13" t="str">
        <f t="shared" si="1266"/>
        <v/>
      </c>
      <c r="M7915" s="13" t="str">
        <f t="shared" si="1267"/>
        <v/>
      </c>
      <c r="Q7915" t="str">
        <f t="shared" si="1268"/>
        <v/>
      </c>
      <c r="R7915" t="str">
        <f t="shared" si="1269"/>
        <v/>
      </c>
      <c r="S7915" t="str">
        <f t="shared" si="1270"/>
        <v/>
      </c>
      <c r="T7915" t="str">
        <f t="shared" si="1271"/>
        <v/>
      </c>
      <c r="U7915" t="str">
        <f t="shared" si="1272"/>
        <v/>
      </c>
      <c r="V7915" t="str">
        <f t="shared" si="1273"/>
        <v/>
      </c>
      <c r="W7915" t="str">
        <f t="shared" si="1274"/>
        <v/>
      </c>
      <c r="X7915">
        <f t="shared" si="1264"/>
        <v>0</v>
      </c>
      <c r="Z7915" t="str">
        <f t="shared" si="1275"/>
        <v/>
      </c>
      <c r="AA7915">
        <f t="shared" si="1265"/>
        <v>0</v>
      </c>
    </row>
    <row r="7916" spans="1:27" ht="21" customHeight="1" x14ac:dyDescent="0.95">
      <c r="A7916" s="56"/>
      <c r="B7916" s="57"/>
      <c r="C7916" s="57"/>
      <c r="D7916" s="57"/>
      <c r="E7916" s="56"/>
      <c r="F7916" s="57"/>
      <c r="G7916" s="57"/>
      <c r="H7916" s="56"/>
      <c r="I7916" s="56"/>
      <c r="J7916" s="58"/>
      <c r="K7916" s="58"/>
      <c r="L7916" s="13" t="str">
        <f t="shared" si="1266"/>
        <v/>
      </c>
      <c r="M7916" s="13" t="str">
        <f t="shared" si="1267"/>
        <v/>
      </c>
      <c r="Q7916" t="str">
        <f t="shared" si="1268"/>
        <v/>
      </c>
      <c r="R7916" t="str">
        <f t="shared" si="1269"/>
        <v/>
      </c>
      <c r="S7916" t="str">
        <f t="shared" si="1270"/>
        <v/>
      </c>
      <c r="T7916" t="str">
        <f t="shared" si="1271"/>
        <v/>
      </c>
      <c r="U7916" t="str">
        <f t="shared" si="1272"/>
        <v/>
      </c>
      <c r="V7916" t="str">
        <f t="shared" si="1273"/>
        <v/>
      </c>
      <c r="W7916" t="str">
        <f t="shared" si="1274"/>
        <v/>
      </c>
      <c r="X7916">
        <f t="shared" si="1264"/>
        <v>0</v>
      </c>
      <c r="Z7916" t="str">
        <f t="shared" si="1275"/>
        <v/>
      </c>
      <c r="AA7916">
        <f t="shared" si="1265"/>
        <v>0</v>
      </c>
    </row>
    <row r="7917" spans="1:27" ht="21" customHeight="1" x14ac:dyDescent="0.95">
      <c r="A7917" s="56"/>
      <c r="B7917" s="57"/>
      <c r="C7917" s="57"/>
      <c r="D7917" s="57"/>
      <c r="E7917" s="56"/>
      <c r="F7917" s="57"/>
      <c r="G7917" s="57"/>
      <c r="H7917" s="56"/>
      <c r="I7917" s="56"/>
      <c r="J7917" s="58"/>
      <c r="K7917" s="58"/>
      <c r="L7917" s="13" t="str">
        <f t="shared" si="1266"/>
        <v/>
      </c>
      <c r="M7917" s="13" t="str">
        <f t="shared" si="1267"/>
        <v/>
      </c>
      <c r="Q7917" t="str">
        <f t="shared" si="1268"/>
        <v/>
      </c>
      <c r="R7917" t="str">
        <f t="shared" si="1269"/>
        <v/>
      </c>
      <c r="S7917" t="str">
        <f t="shared" si="1270"/>
        <v/>
      </c>
      <c r="T7917" t="str">
        <f t="shared" si="1271"/>
        <v/>
      </c>
      <c r="U7917" t="str">
        <f t="shared" si="1272"/>
        <v/>
      </c>
      <c r="V7917" t="str">
        <f t="shared" si="1273"/>
        <v/>
      </c>
      <c r="W7917" t="str">
        <f t="shared" si="1274"/>
        <v/>
      </c>
      <c r="X7917">
        <f t="shared" si="1264"/>
        <v>0</v>
      </c>
      <c r="Z7917" t="str">
        <f t="shared" si="1275"/>
        <v/>
      </c>
      <c r="AA7917">
        <f t="shared" si="1265"/>
        <v>0</v>
      </c>
    </row>
    <row r="7918" spans="1:27" ht="21" customHeight="1" x14ac:dyDescent="0.95">
      <c r="A7918" s="56"/>
      <c r="B7918" s="57"/>
      <c r="C7918" s="57"/>
      <c r="D7918" s="57"/>
      <c r="E7918" s="56"/>
      <c r="F7918" s="57"/>
      <c r="G7918" s="57"/>
      <c r="H7918" s="56"/>
      <c r="I7918" s="56"/>
      <c r="J7918" s="58"/>
      <c r="K7918" s="58"/>
      <c r="L7918" s="13" t="str">
        <f t="shared" si="1266"/>
        <v/>
      </c>
      <c r="M7918" s="13" t="str">
        <f t="shared" si="1267"/>
        <v/>
      </c>
      <c r="Q7918" t="str">
        <f t="shared" si="1268"/>
        <v/>
      </c>
      <c r="R7918" t="str">
        <f t="shared" si="1269"/>
        <v/>
      </c>
      <c r="S7918" t="str">
        <f t="shared" si="1270"/>
        <v/>
      </c>
      <c r="T7918" t="str">
        <f t="shared" si="1271"/>
        <v/>
      </c>
      <c r="U7918" t="str">
        <f t="shared" si="1272"/>
        <v/>
      </c>
      <c r="V7918" t="str">
        <f t="shared" si="1273"/>
        <v/>
      </c>
      <c r="W7918" t="str">
        <f t="shared" si="1274"/>
        <v/>
      </c>
      <c r="X7918">
        <f t="shared" si="1264"/>
        <v>0</v>
      </c>
      <c r="Z7918" t="str">
        <f t="shared" si="1275"/>
        <v/>
      </c>
      <c r="AA7918">
        <f t="shared" si="1265"/>
        <v>0</v>
      </c>
    </row>
    <row r="7919" spans="1:27" ht="21" customHeight="1" x14ac:dyDescent="0.95">
      <c r="A7919" s="56"/>
      <c r="B7919" s="57"/>
      <c r="C7919" s="57"/>
      <c r="D7919" s="57"/>
      <c r="E7919" s="56"/>
      <c r="F7919" s="57"/>
      <c r="G7919" s="57"/>
      <c r="H7919" s="56"/>
      <c r="I7919" s="56"/>
      <c r="J7919" s="58"/>
      <c r="K7919" s="58"/>
      <c r="L7919" s="13" t="str">
        <f t="shared" si="1266"/>
        <v/>
      </c>
      <c r="M7919" s="13" t="str">
        <f t="shared" si="1267"/>
        <v/>
      </c>
      <c r="Q7919" t="str">
        <f t="shared" si="1268"/>
        <v/>
      </c>
      <c r="R7919" t="str">
        <f t="shared" si="1269"/>
        <v/>
      </c>
      <c r="S7919" t="str">
        <f t="shared" si="1270"/>
        <v/>
      </c>
      <c r="T7919" t="str">
        <f t="shared" si="1271"/>
        <v/>
      </c>
      <c r="U7919" t="str">
        <f t="shared" si="1272"/>
        <v/>
      </c>
      <c r="V7919" t="str">
        <f t="shared" si="1273"/>
        <v/>
      </c>
      <c r="W7919" t="str">
        <f t="shared" si="1274"/>
        <v/>
      </c>
      <c r="X7919">
        <f t="shared" si="1264"/>
        <v>0</v>
      </c>
      <c r="Z7919" t="str">
        <f t="shared" si="1275"/>
        <v/>
      </c>
      <c r="AA7919">
        <f t="shared" si="1265"/>
        <v>0</v>
      </c>
    </row>
    <row r="7920" spans="1:27" ht="21" customHeight="1" x14ac:dyDescent="0.95">
      <c r="A7920" s="56"/>
      <c r="B7920" s="57"/>
      <c r="C7920" s="57"/>
      <c r="D7920" s="57"/>
      <c r="E7920" s="56"/>
      <c r="F7920" s="57"/>
      <c r="G7920" s="57"/>
      <c r="H7920" s="56"/>
      <c r="I7920" s="56"/>
      <c r="J7920" s="58"/>
      <c r="K7920" s="58"/>
      <c r="L7920" s="13" t="str">
        <f t="shared" si="1266"/>
        <v/>
      </c>
      <c r="M7920" s="13" t="str">
        <f t="shared" si="1267"/>
        <v/>
      </c>
      <c r="Q7920" t="str">
        <f t="shared" si="1268"/>
        <v/>
      </c>
      <c r="R7920" t="str">
        <f t="shared" si="1269"/>
        <v/>
      </c>
      <c r="S7920" t="str">
        <f t="shared" si="1270"/>
        <v/>
      </c>
      <c r="T7920" t="str">
        <f t="shared" si="1271"/>
        <v/>
      </c>
      <c r="U7920" t="str">
        <f t="shared" si="1272"/>
        <v/>
      </c>
      <c r="V7920" t="str">
        <f t="shared" si="1273"/>
        <v/>
      </c>
      <c r="W7920" t="str">
        <f t="shared" si="1274"/>
        <v/>
      </c>
      <c r="X7920">
        <f t="shared" si="1264"/>
        <v>0</v>
      </c>
      <c r="Z7920" t="str">
        <f t="shared" si="1275"/>
        <v/>
      </c>
      <c r="AA7920">
        <f t="shared" si="1265"/>
        <v>0</v>
      </c>
    </row>
    <row r="7921" spans="1:27" ht="21" customHeight="1" x14ac:dyDescent="0.95">
      <c r="A7921" s="56"/>
      <c r="B7921" s="57"/>
      <c r="C7921" s="57"/>
      <c r="D7921" s="57"/>
      <c r="E7921" s="56"/>
      <c r="F7921" s="57"/>
      <c r="G7921" s="57"/>
      <c r="H7921" s="56"/>
      <c r="I7921" s="56"/>
      <c r="J7921" s="58"/>
      <c r="K7921" s="58"/>
      <c r="L7921" s="13" t="str">
        <f t="shared" si="1266"/>
        <v/>
      </c>
      <c r="M7921" s="13" t="str">
        <f t="shared" si="1267"/>
        <v/>
      </c>
      <c r="Q7921" t="str">
        <f t="shared" si="1268"/>
        <v/>
      </c>
      <c r="R7921" t="str">
        <f t="shared" si="1269"/>
        <v/>
      </c>
      <c r="S7921" t="str">
        <f t="shared" si="1270"/>
        <v/>
      </c>
      <c r="T7921" t="str">
        <f t="shared" si="1271"/>
        <v/>
      </c>
      <c r="U7921" t="str">
        <f t="shared" si="1272"/>
        <v/>
      </c>
      <c r="V7921" t="str">
        <f t="shared" si="1273"/>
        <v/>
      </c>
      <c r="W7921" t="str">
        <f t="shared" si="1274"/>
        <v/>
      </c>
      <c r="X7921">
        <f t="shared" si="1264"/>
        <v>0</v>
      </c>
      <c r="Z7921" t="str">
        <f t="shared" si="1275"/>
        <v/>
      </c>
      <c r="AA7921">
        <f t="shared" si="1265"/>
        <v>0</v>
      </c>
    </row>
    <row r="7922" spans="1:27" ht="21" customHeight="1" x14ac:dyDescent="0.95">
      <c r="A7922" s="56"/>
      <c r="B7922" s="57"/>
      <c r="C7922" s="57"/>
      <c r="D7922" s="57"/>
      <c r="E7922" s="56"/>
      <c r="F7922" s="57"/>
      <c r="G7922" s="57"/>
      <c r="H7922" s="56"/>
      <c r="I7922" s="56"/>
      <c r="J7922" s="58"/>
      <c r="K7922" s="58"/>
      <c r="L7922" s="13" t="str">
        <f t="shared" si="1266"/>
        <v/>
      </c>
      <c r="M7922" s="13" t="str">
        <f t="shared" si="1267"/>
        <v/>
      </c>
      <c r="Q7922" t="str">
        <f t="shared" si="1268"/>
        <v/>
      </c>
      <c r="R7922" t="str">
        <f t="shared" si="1269"/>
        <v/>
      </c>
      <c r="S7922" t="str">
        <f t="shared" si="1270"/>
        <v/>
      </c>
      <c r="T7922" t="str">
        <f t="shared" si="1271"/>
        <v/>
      </c>
      <c r="U7922" t="str">
        <f t="shared" si="1272"/>
        <v/>
      </c>
      <c r="V7922" t="str">
        <f t="shared" si="1273"/>
        <v/>
      </c>
      <c r="W7922" t="str">
        <f t="shared" si="1274"/>
        <v/>
      </c>
      <c r="X7922">
        <f t="shared" si="1264"/>
        <v>0</v>
      </c>
      <c r="Z7922" t="str">
        <f t="shared" si="1275"/>
        <v/>
      </c>
      <c r="AA7922">
        <f t="shared" si="1265"/>
        <v>0</v>
      </c>
    </row>
    <row r="7923" spans="1:27" ht="21" customHeight="1" x14ac:dyDescent="0.95">
      <c r="A7923" s="56"/>
      <c r="B7923" s="57"/>
      <c r="C7923" s="57"/>
      <c r="D7923" s="57"/>
      <c r="E7923" s="56"/>
      <c r="F7923" s="57"/>
      <c r="G7923" s="57"/>
      <c r="H7923" s="56"/>
      <c r="I7923" s="56"/>
      <c r="J7923" s="58"/>
      <c r="K7923" s="58"/>
      <c r="L7923" s="13" t="str">
        <f t="shared" si="1266"/>
        <v/>
      </c>
      <c r="M7923" s="13" t="str">
        <f t="shared" si="1267"/>
        <v/>
      </c>
      <c r="Q7923" t="str">
        <f t="shared" si="1268"/>
        <v/>
      </c>
      <c r="R7923" t="str">
        <f t="shared" si="1269"/>
        <v/>
      </c>
      <c r="S7923" t="str">
        <f t="shared" si="1270"/>
        <v/>
      </c>
      <c r="T7923" t="str">
        <f t="shared" si="1271"/>
        <v/>
      </c>
      <c r="U7923" t="str">
        <f t="shared" si="1272"/>
        <v/>
      </c>
      <c r="V7923" t="str">
        <f t="shared" si="1273"/>
        <v/>
      </c>
      <c r="W7923" t="str">
        <f t="shared" si="1274"/>
        <v/>
      </c>
      <c r="X7923">
        <f t="shared" si="1264"/>
        <v>0</v>
      </c>
      <c r="Z7923" t="str">
        <f t="shared" si="1275"/>
        <v/>
      </c>
      <c r="AA7923">
        <f t="shared" si="1265"/>
        <v>0</v>
      </c>
    </row>
    <row r="7924" spans="1:27" ht="21" customHeight="1" x14ac:dyDescent="0.95">
      <c r="A7924" s="56"/>
      <c r="B7924" s="57"/>
      <c r="C7924" s="57"/>
      <c r="D7924" s="57"/>
      <c r="E7924" s="56"/>
      <c r="F7924" s="57"/>
      <c r="G7924" s="57"/>
      <c r="H7924" s="56"/>
      <c r="I7924" s="56"/>
      <c r="J7924" s="58"/>
      <c r="K7924" s="58"/>
      <c r="L7924" s="13" t="str">
        <f t="shared" si="1266"/>
        <v/>
      </c>
      <c r="M7924" s="13" t="str">
        <f t="shared" si="1267"/>
        <v/>
      </c>
      <c r="Q7924" t="str">
        <f t="shared" si="1268"/>
        <v/>
      </c>
      <c r="R7924" t="str">
        <f t="shared" si="1269"/>
        <v/>
      </c>
      <c r="S7924" t="str">
        <f t="shared" si="1270"/>
        <v/>
      </c>
      <c r="T7924" t="str">
        <f t="shared" si="1271"/>
        <v/>
      </c>
      <c r="U7924" t="str">
        <f t="shared" si="1272"/>
        <v/>
      </c>
      <c r="V7924" t="str">
        <f t="shared" si="1273"/>
        <v/>
      </c>
      <c r="W7924" t="str">
        <f t="shared" si="1274"/>
        <v/>
      </c>
      <c r="X7924">
        <f t="shared" si="1264"/>
        <v>0</v>
      </c>
      <c r="Z7924" t="str">
        <f t="shared" si="1275"/>
        <v/>
      </c>
      <c r="AA7924">
        <f t="shared" si="1265"/>
        <v>0</v>
      </c>
    </row>
    <row r="7925" spans="1:27" ht="21" customHeight="1" x14ac:dyDescent="0.95">
      <c r="A7925" s="56"/>
      <c r="B7925" s="57"/>
      <c r="C7925" s="57"/>
      <c r="D7925" s="57"/>
      <c r="E7925" s="56"/>
      <c r="F7925" s="57"/>
      <c r="G7925" s="57"/>
      <c r="H7925" s="56"/>
      <c r="I7925" s="56"/>
      <c r="J7925" s="58"/>
      <c r="K7925" s="58"/>
      <c r="L7925" s="13" t="str">
        <f t="shared" si="1266"/>
        <v/>
      </c>
      <c r="M7925" s="13" t="str">
        <f t="shared" si="1267"/>
        <v/>
      </c>
      <c r="Q7925" t="str">
        <f t="shared" si="1268"/>
        <v/>
      </c>
      <c r="R7925" t="str">
        <f t="shared" si="1269"/>
        <v/>
      </c>
      <c r="S7925" t="str">
        <f t="shared" si="1270"/>
        <v/>
      </c>
      <c r="T7925" t="str">
        <f t="shared" si="1271"/>
        <v/>
      </c>
      <c r="U7925" t="str">
        <f t="shared" si="1272"/>
        <v/>
      </c>
      <c r="V7925" t="str">
        <f t="shared" si="1273"/>
        <v/>
      </c>
      <c r="W7925" t="str">
        <f t="shared" si="1274"/>
        <v/>
      </c>
      <c r="X7925">
        <f t="shared" ref="X7925:X7988" si="1276">IF($T7925="",N($X7924),IF(MATCH($T7925,$T$6:$T$10005,0)=ROW()-5,N($X7924)+1,N($X7924)))</f>
        <v>0</v>
      </c>
      <c r="Z7925" t="str">
        <f t="shared" si="1275"/>
        <v/>
      </c>
      <c r="AA7925">
        <f t="shared" ref="AA7925:AA7988" si="1277">IF($V7925="",N($AA7924),IF(MATCH($V7925,$V$6:$V$10005,0)=ROW()-5,N($AA7924)+1,N($AA7924)))</f>
        <v>0</v>
      </c>
    </row>
    <row r="7926" spans="1:27" ht="21" customHeight="1" x14ac:dyDescent="0.95">
      <c r="A7926" s="56"/>
      <c r="B7926" s="57"/>
      <c r="C7926" s="57"/>
      <c r="D7926" s="57"/>
      <c r="E7926" s="56"/>
      <c r="F7926" s="57"/>
      <c r="G7926" s="57"/>
      <c r="H7926" s="56"/>
      <c r="I7926" s="56"/>
      <c r="J7926" s="58"/>
      <c r="K7926" s="58"/>
      <c r="L7926" s="13" t="str">
        <f t="shared" si="1266"/>
        <v/>
      </c>
      <c r="M7926" s="13" t="str">
        <f t="shared" si="1267"/>
        <v/>
      </c>
      <c r="Q7926" t="str">
        <f t="shared" si="1268"/>
        <v/>
      </c>
      <c r="R7926" t="str">
        <f t="shared" si="1269"/>
        <v/>
      </c>
      <c r="S7926" t="str">
        <f t="shared" si="1270"/>
        <v/>
      </c>
      <c r="T7926" t="str">
        <f t="shared" si="1271"/>
        <v/>
      </c>
      <c r="U7926" t="str">
        <f t="shared" si="1272"/>
        <v/>
      </c>
      <c r="V7926" t="str">
        <f t="shared" si="1273"/>
        <v/>
      </c>
      <c r="W7926" t="str">
        <f t="shared" si="1274"/>
        <v/>
      </c>
      <c r="X7926">
        <f t="shared" si="1276"/>
        <v>0</v>
      </c>
      <c r="Z7926" t="str">
        <f t="shared" si="1275"/>
        <v/>
      </c>
      <c r="AA7926">
        <f t="shared" si="1277"/>
        <v>0</v>
      </c>
    </row>
    <row r="7927" spans="1:27" ht="21" customHeight="1" x14ac:dyDescent="0.95">
      <c r="A7927" s="56"/>
      <c r="B7927" s="57"/>
      <c r="C7927" s="57"/>
      <c r="D7927" s="57"/>
      <c r="E7927" s="56"/>
      <c r="F7927" s="57"/>
      <c r="G7927" s="57"/>
      <c r="H7927" s="56"/>
      <c r="I7927" s="56"/>
      <c r="J7927" s="58"/>
      <c r="K7927" s="58"/>
      <c r="L7927" s="13" t="str">
        <f t="shared" si="1266"/>
        <v/>
      </c>
      <c r="M7927" s="13" t="str">
        <f t="shared" si="1267"/>
        <v/>
      </c>
      <c r="Q7927" t="str">
        <f t="shared" si="1268"/>
        <v/>
      </c>
      <c r="R7927" t="str">
        <f t="shared" si="1269"/>
        <v/>
      </c>
      <c r="S7927" t="str">
        <f t="shared" si="1270"/>
        <v/>
      </c>
      <c r="T7927" t="str">
        <f t="shared" si="1271"/>
        <v/>
      </c>
      <c r="U7927" t="str">
        <f t="shared" si="1272"/>
        <v/>
      </c>
      <c r="V7927" t="str">
        <f t="shared" si="1273"/>
        <v/>
      </c>
      <c r="W7927" t="str">
        <f t="shared" si="1274"/>
        <v/>
      </c>
      <c r="X7927">
        <f t="shared" si="1276"/>
        <v>0</v>
      </c>
      <c r="Z7927" t="str">
        <f t="shared" si="1275"/>
        <v/>
      </c>
      <c r="AA7927">
        <f t="shared" si="1277"/>
        <v>0</v>
      </c>
    </row>
    <row r="7928" spans="1:27" ht="21" customHeight="1" x14ac:dyDescent="0.95">
      <c r="A7928" s="56"/>
      <c r="B7928" s="57"/>
      <c r="C7928" s="57"/>
      <c r="D7928" s="57"/>
      <c r="E7928" s="56"/>
      <c r="F7928" s="57"/>
      <c r="G7928" s="57"/>
      <c r="H7928" s="56"/>
      <c r="I7928" s="56"/>
      <c r="J7928" s="58"/>
      <c r="K7928" s="58"/>
      <c r="L7928" s="13" t="str">
        <f t="shared" si="1266"/>
        <v/>
      </c>
      <c r="M7928" s="13" t="str">
        <f t="shared" si="1267"/>
        <v/>
      </c>
      <c r="Q7928" t="str">
        <f t="shared" si="1268"/>
        <v/>
      </c>
      <c r="R7928" t="str">
        <f t="shared" si="1269"/>
        <v/>
      </c>
      <c r="S7928" t="str">
        <f t="shared" si="1270"/>
        <v/>
      </c>
      <c r="T7928" t="str">
        <f t="shared" si="1271"/>
        <v/>
      </c>
      <c r="U7928" t="str">
        <f t="shared" si="1272"/>
        <v/>
      </c>
      <c r="V7928" t="str">
        <f t="shared" si="1273"/>
        <v/>
      </c>
      <c r="W7928" t="str">
        <f t="shared" si="1274"/>
        <v/>
      </c>
      <c r="X7928">
        <f t="shared" si="1276"/>
        <v>0</v>
      </c>
      <c r="Z7928" t="str">
        <f t="shared" si="1275"/>
        <v/>
      </c>
      <c r="AA7928">
        <f t="shared" si="1277"/>
        <v>0</v>
      </c>
    </row>
    <row r="7929" spans="1:27" ht="21" customHeight="1" x14ac:dyDescent="0.95">
      <c r="A7929" s="56"/>
      <c r="B7929" s="57"/>
      <c r="C7929" s="57"/>
      <c r="D7929" s="57"/>
      <c r="E7929" s="56"/>
      <c r="F7929" s="57"/>
      <c r="G7929" s="57"/>
      <c r="H7929" s="56"/>
      <c r="I7929" s="56"/>
      <c r="J7929" s="58"/>
      <c r="K7929" s="58"/>
      <c r="L7929" s="13" t="str">
        <f t="shared" si="1266"/>
        <v/>
      </c>
      <c r="M7929" s="13" t="str">
        <f t="shared" si="1267"/>
        <v/>
      </c>
      <c r="Q7929" t="str">
        <f t="shared" si="1268"/>
        <v/>
      </c>
      <c r="R7929" t="str">
        <f t="shared" si="1269"/>
        <v/>
      </c>
      <c r="S7929" t="str">
        <f t="shared" si="1270"/>
        <v/>
      </c>
      <c r="T7929" t="str">
        <f t="shared" si="1271"/>
        <v/>
      </c>
      <c r="U7929" t="str">
        <f t="shared" si="1272"/>
        <v/>
      </c>
      <c r="V7929" t="str">
        <f t="shared" si="1273"/>
        <v/>
      </c>
      <c r="W7929" t="str">
        <f t="shared" si="1274"/>
        <v/>
      </c>
      <c r="X7929">
        <f t="shared" si="1276"/>
        <v>0</v>
      </c>
      <c r="Z7929" t="str">
        <f t="shared" si="1275"/>
        <v/>
      </c>
      <c r="AA7929">
        <f t="shared" si="1277"/>
        <v>0</v>
      </c>
    </row>
    <row r="7930" spans="1:27" ht="21" customHeight="1" x14ac:dyDescent="0.95">
      <c r="A7930" s="56"/>
      <c r="B7930" s="57"/>
      <c r="C7930" s="57"/>
      <c r="D7930" s="57"/>
      <c r="E7930" s="56"/>
      <c r="F7930" s="57"/>
      <c r="G7930" s="57"/>
      <c r="H7930" s="56"/>
      <c r="I7930" s="56"/>
      <c r="J7930" s="58"/>
      <c r="K7930" s="58"/>
      <c r="L7930" s="13" t="str">
        <f t="shared" si="1266"/>
        <v/>
      </c>
      <c r="M7930" s="13" t="str">
        <f t="shared" si="1267"/>
        <v/>
      </c>
      <c r="Q7930" t="str">
        <f t="shared" si="1268"/>
        <v/>
      </c>
      <c r="R7930" t="str">
        <f t="shared" si="1269"/>
        <v/>
      </c>
      <c r="S7930" t="str">
        <f t="shared" si="1270"/>
        <v/>
      </c>
      <c r="T7930" t="str">
        <f t="shared" si="1271"/>
        <v/>
      </c>
      <c r="U7930" t="str">
        <f t="shared" si="1272"/>
        <v/>
      </c>
      <c r="V7930" t="str">
        <f t="shared" si="1273"/>
        <v/>
      </c>
      <c r="W7930" t="str">
        <f t="shared" si="1274"/>
        <v/>
      </c>
      <c r="X7930">
        <f t="shared" si="1276"/>
        <v>0</v>
      </c>
      <c r="Z7930" t="str">
        <f t="shared" si="1275"/>
        <v/>
      </c>
      <c r="AA7930">
        <f t="shared" si="1277"/>
        <v>0</v>
      </c>
    </row>
    <row r="7931" spans="1:27" ht="21" customHeight="1" x14ac:dyDescent="0.95">
      <c r="A7931" s="56"/>
      <c r="B7931" s="57"/>
      <c r="C7931" s="57"/>
      <c r="D7931" s="57"/>
      <c r="E7931" s="56"/>
      <c r="F7931" s="57"/>
      <c r="G7931" s="57"/>
      <c r="H7931" s="56"/>
      <c r="I7931" s="56"/>
      <c r="J7931" s="58"/>
      <c r="K7931" s="58"/>
      <c r="L7931" s="13" t="str">
        <f t="shared" si="1266"/>
        <v/>
      </c>
      <c r="M7931" s="13" t="str">
        <f t="shared" si="1267"/>
        <v/>
      </c>
      <c r="Q7931" t="str">
        <f t="shared" si="1268"/>
        <v/>
      </c>
      <c r="R7931" t="str">
        <f t="shared" si="1269"/>
        <v/>
      </c>
      <c r="S7931" t="str">
        <f t="shared" si="1270"/>
        <v/>
      </c>
      <c r="T7931" t="str">
        <f t="shared" si="1271"/>
        <v/>
      </c>
      <c r="U7931" t="str">
        <f t="shared" si="1272"/>
        <v/>
      </c>
      <c r="V7931" t="str">
        <f t="shared" si="1273"/>
        <v/>
      </c>
      <c r="W7931" t="str">
        <f t="shared" si="1274"/>
        <v/>
      </c>
      <c r="X7931">
        <f t="shared" si="1276"/>
        <v>0</v>
      </c>
      <c r="Z7931" t="str">
        <f t="shared" si="1275"/>
        <v/>
      </c>
      <c r="AA7931">
        <f t="shared" si="1277"/>
        <v>0</v>
      </c>
    </row>
    <row r="7932" spans="1:27" ht="21" customHeight="1" x14ac:dyDescent="0.95">
      <c r="A7932" s="56"/>
      <c r="B7932" s="57"/>
      <c r="C7932" s="57"/>
      <c r="D7932" s="57"/>
      <c r="E7932" s="56"/>
      <c r="F7932" s="57"/>
      <c r="G7932" s="57"/>
      <c r="H7932" s="56"/>
      <c r="I7932" s="56"/>
      <c r="J7932" s="58"/>
      <c r="K7932" s="58"/>
      <c r="L7932" s="13" t="str">
        <f t="shared" si="1266"/>
        <v/>
      </c>
      <c r="M7932" s="13" t="str">
        <f t="shared" si="1267"/>
        <v/>
      </c>
      <c r="Q7932" t="str">
        <f t="shared" si="1268"/>
        <v/>
      </c>
      <c r="R7932" t="str">
        <f t="shared" si="1269"/>
        <v/>
      </c>
      <c r="S7932" t="str">
        <f t="shared" si="1270"/>
        <v/>
      </c>
      <c r="T7932" t="str">
        <f t="shared" si="1271"/>
        <v/>
      </c>
      <c r="U7932" t="str">
        <f t="shared" si="1272"/>
        <v/>
      </c>
      <c r="V7932" t="str">
        <f t="shared" si="1273"/>
        <v/>
      </c>
      <c r="W7932" t="str">
        <f t="shared" si="1274"/>
        <v/>
      </c>
      <c r="X7932">
        <f t="shared" si="1276"/>
        <v>0</v>
      </c>
      <c r="Z7932" t="str">
        <f t="shared" si="1275"/>
        <v/>
      </c>
      <c r="AA7932">
        <f t="shared" si="1277"/>
        <v>0</v>
      </c>
    </row>
    <row r="7933" spans="1:27" ht="21" customHeight="1" x14ac:dyDescent="0.95">
      <c r="A7933" s="56"/>
      <c r="B7933" s="57"/>
      <c r="C7933" s="57"/>
      <c r="D7933" s="57"/>
      <c r="E7933" s="56"/>
      <c r="F7933" s="57"/>
      <c r="G7933" s="57"/>
      <c r="H7933" s="56"/>
      <c r="I7933" s="56"/>
      <c r="J7933" s="58"/>
      <c r="K7933" s="58"/>
      <c r="L7933" s="13" t="str">
        <f t="shared" si="1266"/>
        <v/>
      </c>
      <c r="M7933" s="13" t="str">
        <f t="shared" si="1267"/>
        <v/>
      </c>
      <c r="Q7933" t="str">
        <f t="shared" si="1268"/>
        <v/>
      </c>
      <c r="R7933" t="str">
        <f t="shared" si="1269"/>
        <v/>
      </c>
      <c r="S7933" t="str">
        <f t="shared" si="1270"/>
        <v/>
      </c>
      <c r="T7933" t="str">
        <f t="shared" si="1271"/>
        <v/>
      </c>
      <c r="U7933" t="str">
        <f t="shared" si="1272"/>
        <v/>
      </c>
      <c r="V7933" t="str">
        <f t="shared" si="1273"/>
        <v/>
      </c>
      <c r="W7933" t="str">
        <f t="shared" si="1274"/>
        <v/>
      </c>
      <c r="X7933">
        <f t="shared" si="1276"/>
        <v>0</v>
      </c>
      <c r="Z7933" t="str">
        <f t="shared" si="1275"/>
        <v/>
      </c>
      <c r="AA7933">
        <f t="shared" si="1277"/>
        <v>0</v>
      </c>
    </row>
    <row r="7934" spans="1:27" ht="21" customHeight="1" x14ac:dyDescent="0.95">
      <c r="A7934" s="56"/>
      <c r="B7934" s="57"/>
      <c r="C7934" s="57"/>
      <c r="D7934" s="57"/>
      <c r="E7934" s="56"/>
      <c r="F7934" s="57"/>
      <c r="G7934" s="57"/>
      <c r="H7934" s="56"/>
      <c r="I7934" s="56"/>
      <c r="J7934" s="58"/>
      <c r="K7934" s="58"/>
      <c r="L7934" s="13" t="str">
        <f t="shared" si="1266"/>
        <v/>
      </c>
      <c r="M7934" s="13" t="str">
        <f t="shared" si="1267"/>
        <v/>
      </c>
      <c r="Q7934" t="str">
        <f t="shared" si="1268"/>
        <v/>
      </c>
      <c r="R7934" t="str">
        <f t="shared" si="1269"/>
        <v/>
      </c>
      <c r="S7934" t="str">
        <f t="shared" si="1270"/>
        <v/>
      </c>
      <c r="T7934" t="str">
        <f t="shared" si="1271"/>
        <v/>
      </c>
      <c r="U7934" t="str">
        <f t="shared" si="1272"/>
        <v/>
      </c>
      <c r="V7934" t="str">
        <f t="shared" si="1273"/>
        <v/>
      </c>
      <c r="W7934" t="str">
        <f t="shared" si="1274"/>
        <v/>
      </c>
      <c r="X7934">
        <f t="shared" si="1276"/>
        <v>0</v>
      </c>
      <c r="Z7934" t="str">
        <f t="shared" si="1275"/>
        <v/>
      </c>
      <c r="AA7934">
        <f t="shared" si="1277"/>
        <v>0</v>
      </c>
    </row>
    <row r="7935" spans="1:27" ht="21" customHeight="1" x14ac:dyDescent="0.95">
      <c r="A7935" s="56"/>
      <c r="B7935" s="57"/>
      <c r="C7935" s="57"/>
      <c r="D7935" s="57"/>
      <c r="E7935" s="56"/>
      <c r="F7935" s="57"/>
      <c r="G7935" s="57"/>
      <c r="H7935" s="56"/>
      <c r="I7935" s="56"/>
      <c r="J7935" s="58"/>
      <c r="K7935" s="58"/>
      <c r="L7935" s="13" t="str">
        <f t="shared" si="1266"/>
        <v/>
      </c>
      <c r="M7935" s="13" t="str">
        <f t="shared" si="1267"/>
        <v/>
      </c>
      <c r="Q7935" t="str">
        <f t="shared" si="1268"/>
        <v/>
      </c>
      <c r="R7935" t="str">
        <f t="shared" si="1269"/>
        <v/>
      </c>
      <c r="S7935" t="str">
        <f t="shared" si="1270"/>
        <v/>
      </c>
      <c r="T7935" t="str">
        <f t="shared" si="1271"/>
        <v/>
      </c>
      <c r="U7935" t="str">
        <f t="shared" si="1272"/>
        <v/>
      </c>
      <c r="V7935" t="str">
        <f t="shared" si="1273"/>
        <v/>
      </c>
      <c r="W7935" t="str">
        <f t="shared" si="1274"/>
        <v/>
      </c>
      <c r="X7935">
        <f t="shared" si="1276"/>
        <v>0</v>
      </c>
      <c r="Z7935" t="str">
        <f t="shared" si="1275"/>
        <v/>
      </c>
      <c r="AA7935">
        <f t="shared" si="1277"/>
        <v>0</v>
      </c>
    </row>
    <row r="7936" spans="1:27" ht="21" customHeight="1" x14ac:dyDescent="0.95">
      <c r="A7936" s="56"/>
      <c r="B7936" s="57"/>
      <c r="C7936" s="57"/>
      <c r="D7936" s="57"/>
      <c r="E7936" s="56"/>
      <c r="F7936" s="57"/>
      <c r="G7936" s="57"/>
      <c r="H7936" s="56"/>
      <c r="I7936" s="56"/>
      <c r="J7936" s="58"/>
      <c r="K7936" s="58"/>
      <c r="L7936" s="13" t="str">
        <f t="shared" si="1266"/>
        <v/>
      </c>
      <c r="M7936" s="13" t="str">
        <f t="shared" si="1267"/>
        <v/>
      </c>
      <c r="Q7936" t="str">
        <f t="shared" si="1268"/>
        <v/>
      </c>
      <c r="R7936" t="str">
        <f t="shared" si="1269"/>
        <v/>
      </c>
      <c r="S7936" t="str">
        <f t="shared" si="1270"/>
        <v/>
      </c>
      <c r="T7936" t="str">
        <f t="shared" si="1271"/>
        <v/>
      </c>
      <c r="U7936" t="str">
        <f t="shared" si="1272"/>
        <v/>
      </c>
      <c r="V7936" t="str">
        <f t="shared" si="1273"/>
        <v/>
      </c>
      <c r="W7936" t="str">
        <f t="shared" si="1274"/>
        <v/>
      </c>
      <c r="X7936">
        <f t="shared" si="1276"/>
        <v>0</v>
      </c>
      <c r="Z7936" t="str">
        <f t="shared" si="1275"/>
        <v/>
      </c>
      <c r="AA7936">
        <f t="shared" si="1277"/>
        <v>0</v>
      </c>
    </row>
    <row r="7937" spans="1:27" ht="21" customHeight="1" x14ac:dyDescent="0.95">
      <c r="A7937" s="56"/>
      <c r="B7937" s="57"/>
      <c r="C7937" s="57"/>
      <c r="D7937" s="57"/>
      <c r="E7937" s="56"/>
      <c r="F7937" s="57"/>
      <c r="G7937" s="57"/>
      <c r="H7937" s="56"/>
      <c r="I7937" s="56"/>
      <c r="J7937" s="58"/>
      <c r="K7937" s="58"/>
      <c r="L7937" s="13" t="str">
        <f t="shared" si="1266"/>
        <v/>
      </c>
      <c r="M7937" s="13" t="str">
        <f t="shared" si="1267"/>
        <v/>
      </c>
      <c r="Q7937" t="str">
        <f t="shared" si="1268"/>
        <v/>
      </c>
      <c r="R7937" t="str">
        <f t="shared" si="1269"/>
        <v/>
      </c>
      <c r="S7937" t="str">
        <f t="shared" si="1270"/>
        <v/>
      </c>
      <c r="T7937" t="str">
        <f t="shared" si="1271"/>
        <v/>
      </c>
      <c r="U7937" t="str">
        <f t="shared" si="1272"/>
        <v/>
      </c>
      <c r="V7937" t="str">
        <f t="shared" si="1273"/>
        <v/>
      </c>
      <c r="W7937" t="str">
        <f t="shared" si="1274"/>
        <v/>
      </c>
      <c r="X7937">
        <f t="shared" si="1276"/>
        <v>0</v>
      </c>
      <c r="Z7937" t="str">
        <f t="shared" si="1275"/>
        <v/>
      </c>
      <c r="AA7937">
        <f t="shared" si="1277"/>
        <v>0</v>
      </c>
    </row>
    <row r="7938" spans="1:27" ht="21" customHeight="1" x14ac:dyDescent="0.95">
      <c r="A7938" s="56"/>
      <c r="B7938" s="57"/>
      <c r="C7938" s="57"/>
      <c r="D7938" s="57"/>
      <c r="E7938" s="56"/>
      <c r="F7938" s="57"/>
      <c r="G7938" s="57"/>
      <c r="H7938" s="56"/>
      <c r="I7938" s="56"/>
      <c r="J7938" s="58"/>
      <c r="K7938" s="58"/>
      <c r="L7938" s="13" t="str">
        <f t="shared" si="1266"/>
        <v/>
      </c>
      <c r="M7938" s="13" t="str">
        <f t="shared" si="1267"/>
        <v/>
      </c>
      <c r="Q7938" t="str">
        <f t="shared" si="1268"/>
        <v/>
      </c>
      <c r="R7938" t="str">
        <f t="shared" si="1269"/>
        <v/>
      </c>
      <c r="S7938" t="str">
        <f t="shared" si="1270"/>
        <v/>
      </c>
      <c r="T7938" t="str">
        <f t="shared" si="1271"/>
        <v/>
      </c>
      <c r="U7938" t="str">
        <f t="shared" si="1272"/>
        <v/>
      </c>
      <c r="V7938" t="str">
        <f t="shared" si="1273"/>
        <v/>
      </c>
      <c r="W7938" t="str">
        <f t="shared" si="1274"/>
        <v/>
      </c>
      <c r="X7938">
        <f t="shared" si="1276"/>
        <v>0</v>
      </c>
      <c r="Z7938" t="str">
        <f t="shared" si="1275"/>
        <v/>
      </c>
      <c r="AA7938">
        <f t="shared" si="1277"/>
        <v>0</v>
      </c>
    </row>
    <row r="7939" spans="1:27" ht="21" customHeight="1" x14ac:dyDescent="0.95">
      <c r="A7939" s="56"/>
      <c r="B7939" s="57"/>
      <c r="C7939" s="57"/>
      <c r="D7939" s="57"/>
      <c r="E7939" s="56"/>
      <c r="F7939" s="57"/>
      <c r="G7939" s="57"/>
      <c r="H7939" s="56"/>
      <c r="I7939" s="56"/>
      <c r="J7939" s="58"/>
      <c r="K7939" s="58"/>
      <c r="L7939" s="13" t="str">
        <f t="shared" si="1266"/>
        <v/>
      </c>
      <c r="M7939" s="13" t="str">
        <f t="shared" si="1267"/>
        <v/>
      </c>
      <c r="Q7939" t="str">
        <f t="shared" si="1268"/>
        <v/>
      </c>
      <c r="R7939" t="str">
        <f t="shared" si="1269"/>
        <v/>
      </c>
      <c r="S7939" t="str">
        <f t="shared" si="1270"/>
        <v/>
      </c>
      <c r="T7939" t="str">
        <f t="shared" si="1271"/>
        <v/>
      </c>
      <c r="U7939" t="str">
        <f t="shared" si="1272"/>
        <v/>
      </c>
      <c r="V7939" t="str">
        <f t="shared" si="1273"/>
        <v/>
      </c>
      <c r="W7939" t="str">
        <f t="shared" si="1274"/>
        <v/>
      </c>
      <c r="X7939">
        <f t="shared" si="1276"/>
        <v>0</v>
      </c>
      <c r="Z7939" t="str">
        <f t="shared" si="1275"/>
        <v/>
      </c>
      <c r="AA7939">
        <f t="shared" si="1277"/>
        <v>0</v>
      </c>
    </row>
    <row r="7940" spans="1:27" ht="21" customHeight="1" x14ac:dyDescent="0.95">
      <c r="A7940" s="56"/>
      <c r="B7940" s="57"/>
      <c r="C7940" s="57"/>
      <c r="D7940" s="57"/>
      <c r="E7940" s="56"/>
      <c r="F7940" s="57"/>
      <c r="G7940" s="57"/>
      <c r="H7940" s="56"/>
      <c r="I7940" s="56"/>
      <c r="J7940" s="58"/>
      <c r="K7940" s="58"/>
      <c r="L7940" s="13" t="str">
        <f t="shared" ref="L7940:L8003" si="1278">IF(OR($A7940="",AND($J7940="",$K7940="")),"",ROUND(N($J7940)-N($K7940),2))</f>
        <v/>
      </c>
      <c r="M7940" s="13" t="str">
        <f t="shared" ref="M7940:M8003" si="1279">IF(OR($A7940="",AND($J7940="",$K7940="")),"",MIN($J7940,$K7940))</f>
        <v/>
      </c>
      <c r="Q7940" t="str">
        <f t="shared" ref="Q7940:Q8003" si="1280">IF($A7940="","",$D7940&amp;"("&amp;SUBSTITUTE($E7940," ","")&amp;")")</f>
        <v/>
      </c>
      <c r="R7940" t="str">
        <f t="shared" ref="R7940:R8003" si="1281">IF($A7940="","",$B7940&amp;" - "&amp;$C7940)</f>
        <v/>
      </c>
      <c r="S7940" t="str">
        <f t="shared" ref="S7940:S8003" si="1282">IF($A7940="","",$R7940&amp;"|"&amp;$Q7940)</f>
        <v/>
      </c>
      <c r="T7940" t="str">
        <f t="shared" ref="T7940:T8003" si="1283">IF($A7940="","",$S7940&amp;"|"&amp;$F7940)</f>
        <v/>
      </c>
      <c r="U7940" t="str">
        <f t="shared" ref="U7940:U8003" si="1284">IF($A7940="","",$R7940&amp;"("&amp;$E7940&amp;")")</f>
        <v/>
      </c>
      <c r="V7940" t="str">
        <f t="shared" ref="V7940:V8003" si="1285">IF($A7940="","",$F7940&amp;"|"&amp;$U7940&amp;"|"&amp;$D7940)</f>
        <v/>
      </c>
      <c r="W7940" t="str">
        <f t="shared" si="1274"/>
        <v/>
      </c>
      <c r="X7940">
        <f t="shared" si="1276"/>
        <v>0</v>
      </c>
      <c r="Z7940" t="str">
        <f t="shared" si="1275"/>
        <v/>
      </c>
      <c r="AA7940">
        <f t="shared" si="1277"/>
        <v>0</v>
      </c>
    </row>
    <row r="7941" spans="1:27" ht="21" customHeight="1" x14ac:dyDescent="0.95">
      <c r="A7941" s="56"/>
      <c r="B7941" s="57"/>
      <c r="C7941" s="57"/>
      <c r="D7941" s="57"/>
      <c r="E7941" s="56"/>
      <c r="F7941" s="57"/>
      <c r="G7941" s="57"/>
      <c r="H7941" s="56"/>
      <c r="I7941" s="56"/>
      <c r="J7941" s="58"/>
      <c r="K7941" s="58"/>
      <c r="L7941" s="13" t="str">
        <f t="shared" si="1278"/>
        <v/>
      </c>
      <c r="M7941" s="13" t="str">
        <f t="shared" si="1279"/>
        <v/>
      </c>
      <c r="Q7941" t="str">
        <f t="shared" si="1280"/>
        <v/>
      </c>
      <c r="R7941" t="str">
        <f t="shared" si="1281"/>
        <v/>
      </c>
      <c r="S7941" t="str">
        <f t="shared" si="1282"/>
        <v/>
      </c>
      <c r="T7941" t="str">
        <f t="shared" si="1283"/>
        <v/>
      </c>
      <c r="U7941" t="str">
        <f t="shared" si="1284"/>
        <v/>
      </c>
      <c r="V7941" t="str">
        <f t="shared" si="1285"/>
        <v/>
      </c>
      <c r="W7941" t="str">
        <f t="shared" si="1274"/>
        <v/>
      </c>
      <c r="X7941">
        <f t="shared" si="1276"/>
        <v>0</v>
      </c>
      <c r="Z7941" t="str">
        <f t="shared" si="1275"/>
        <v/>
      </c>
      <c r="AA7941">
        <f t="shared" si="1277"/>
        <v>0</v>
      </c>
    </row>
    <row r="7942" spans="1:27" ht="21" customHeight="1" x14ac:dyDescent="0.95">
      <c r="A7942" s="56"/>
      <c r="B7942" s="57"/>
      <c r="C7942" s="57"/>
      <c r="D7942" s="57"/>
      <c r="E7942" s="56"/>
      <c r="F7942" s="57"/>
      <c r="G7942" s="57"/>
      <c r="H7942" s="56"/>
      <c r="I7942" s="56"/>
      <c r="J7942" s="58"/>
      <c r="K7942" s="58"/>
      <c r="L7942" s="13" t="str">
        <f t="shared" si="1278"/>
        <v/>
      </c>
      <c r="M7942" s="13" t="str">
        <f t="shared" si="1279"/>
        <v/>
      </c>
      <c r="Q7942" t="str">
        <f t="shared" si="1280"/>
        <v/>
      </c>
      <c r="R7942" t="str">
        <f t="shared" si="1281"/>
        <v/>
      </c>
      <c r="S7942" t="str">
        <f t="shared" si="1282"/>
        <v/>
      </c>
      <c r="T7942" t="str">
        <f t="shared" si="1283"/>
        <v/>
      </c>
      <c r="U7942" t="str">
        <f t="shared" si="1284"/>
        <v/>
      </c>
      <c r="V7942" t="str">
        <f t="shared" si="1285"/>
        <v/>
      </c>
      <c r="W7942" t="str">
        <f t="shared" ref="W7942:W8005" si="1286">IF($T7942="","",IF($X7942&gt;N($X7941),$X7942,""))</f>
        <v/>
      </c>
      <c r="X7942">
        <f t="shared" si="1276"/>
        <v>0</v>
      </c>
      <c r="Z7942" t="str">
        <f t="shared" ref="Z7942:Z8005" si="1287">IF($V7942="","",IF($AA7942&gt;N($AA7941),$AA7942,""))</f>
        <v/>
      </c>
      <c r="AA7942">
        <f t="shared" si="1277"/>
        <v>0</v>
      </c>
    </row>
    <row r="7943" spans="1:27" ht="21" customHeight="1" x14ac:dyDescent="0.95">
      <c r="A7943" s="56"/>
      <c r="B7943" s="57"/>
      <c r="C7943" s="57"/>
      <c r="D7943" s="57"/>
      <c r="E7943" s="56"/>
      <c r="F7943" s="57"/>
      <c r="G7943" s="57"/>
      <c r="H7943" s="56"/>
      <c r="I7943" s="56"/>
      <c r="J7943" s="58"/>
      <c r="K7943" s="58"/>
      <c r="L7943" s="13" t="str">
        <f t="shared" si="1278"/>
        <v/>
      </c>
      <c r="M7943" s="13" t="str">
        <f t="shared" si="1279"/>
        <v/>
      </c>
      <c r="Q7943" t="str">
        <f t="shared" si="1280"/>
        <v/>
      </c>
      <c r="R7943" t="str">
        <f t="shared" si="1281"/>
        <v/>
      </c>
      <c r="S7943" t="str">
        <f t="shared" si="1282"/>
        <v/>
      </c>
      <c r="T7943" t="str">
        <f t="shared" si="1283"/>
        <v/>
      </c>
      <c r="U7943" t="str">
        <f t="shared" si="1284"/>
        <v/>
      </c>
      <c r="V7943" t="str">
        <f t="shared" si="1285"/>
        <v/>
      </c>
      <c r="W7943" t="str">
        <f t="shared" si="1286"/>
        <v/>
      </c>
      <c r="X7943">
        <f t="shared" si="1276"/>
        <v>0</v>
      </c>
      <c r="Z7943" t="str">
        <f t="shared" si="1287"/>
        <v/>
      </c>
      <c r="AA7943">
        <f t="shared" si="1277"/>
        <v>0</v>
      </c>
    </row>
    <row r="7944" spans="1:27" ht="21" customHeight="1" x14ac:dyDescent="0.95">
      <c r="A7944" s="56"/>
      <c r="B7944" s="57"/>
      <c r="C7944" s="57"/>
      <c r="D7944" s="57"/>
      <c r="E7944" s="56"/>
      <c r="F7944" s="57"/>
      <c r="G7944" s="57"/>
      <c r="H7944" s="56"/>
      <c r="I7944" s="56"/>
      <c r="J7944" s="58"/>
      <c r="K7944" s="58"/>
      <c r="L7944" s="13" t="str">
        <f t="shared" si="1278"/>
        <v/>
      </c>
      <c r="M7944" s="13" t="str">
        <f t="shared" si="1279"/>
        <v/>
      </c>
      <c r="Q7944" t="str">
        <f t="shared" si="1280"/>
        <v/>
      </c>
      <c r="R7944" t="str">
        <f t="shared" si="1281"/>
        <v/>
      </c>
      <c r="S7944" t="str">
        <f t="shared" si="1282"/>
        <v/>
      </c>
      <c r="T7944" t="str">
        <f t="shared" si="1283"/>
        <v/>
      </c>
      <c r="U7944" t="str">
        <f t="shared" si="1284"/>
        <v/>
      </c>
      <c r="V7944" t="str">
        <f t="shared" si="1285"/>
        <v/>
      </c>
      <c r="W7944" t="str">
        <f t="shared" si="1286"/>
        <v/>
      </c>
      <c r="X7944">
        <f t="shared" si="1276"/>
        <v>0</v>
      </c>
      <c r="Z7944" t="str">
        <f t="shared" si="1287"/>
        <v/>
      </c>
      <c r="AA7944">
        <f t="shared" si="1277"/>
        <v>0</v>
      </c>
    </row>
    <row r="7945" spans="1:27" ht="21" customHeight="1" x14ac:dyDescent="0.95">
      <c r="A7945" s="56"/>
      <c r="B7945" s="57"/>
      <c r="C7945" s="57"/>
      <c r="D7945" s="57"/>
      <c r="E7945" s="56"/>
      <c r="F7945" s="57"/>
      <c r="G7945" s="57"/>
      <c r="H7945" s="56"/>
      <c r="I7945" s="56"/>
      <c r="J7945" s="58"/>
      <c r="K7945" s="58"/>
      <c r="L7945" s="13" t="str">
        <f t="shared" si="1278"/>
        <v/>
      </c>
      <c r="M7945" s="13" t="str">
        <f t="shared" si="1279"/>
        <v/>
      </c>
      <c r="Q7945" t="str">
        <f t="shared" si="1280"/>
        <v/>
      </c>
      <c r="R7945" t="str">
        <f t="shared" si="1281"/>
        <v/>
      </c>
      <c r="S7945" t="str">
        <f t="shared" si="1282"/>
        <v/>
      </c>
      <c r="T7945" t="str">
        <f t="shared" si="1283"/>
        <v/>
      </c>
      <c r="U7945" t="str">
        <f t="shared" si="1284"/>
        <v/>
      </c>
      <c r="V7945" t="str">
        <f t="shared" si="1285"/>
        <v/>
      </c>
      <c r="W7945" t="str">
        <f t="shared" si="1286"/>
        <v/>
      </c>
      <c r="X7945">
        <f t="shared" si="1276"/>
        <v>0</v>
      </c>
      <c r="Z7945" t="str">
        <f t="shared" si="1287"/>
        <v/>
      </c>
      <c r="AA7945">
        <f t="shared" si="1277"/>
        <v>0</v>
      </c>
    </row>
    <row r="7946" spans="1:27" ht="21" customHeight="1" x14ac:dyDescent="0.95">
      <c r="A7946" s="56"/>
      <c r="B7946" s="57"/>
      <c r="C7946" s="57"/>
      <c r="D7946" s="57"/>
      <c r="E7946" s="56"/>
      <c r="F7946" s="57"/>
      <c r="G7946" s="57"/>
      <c r="H7946" s="56"/>
      <c r="I7946" s="56"/>
      <c r="J7946" s="58"/>
      <c r="K7946" s="58"/>
      <c r="L7946" s="13" t="str">
        <f t="shared" si="1278"/>
        <v/>
      </c>
      <c r="M7946" s="13" t="str">
        <f t="shared" si="1279"/>
        <v/>
      </c>
      <c r="Q7946" t="str">
        <f t="shared" si="1280"/>
        <v/>
      </c>
      <c r="R7946" t="str">
        <f t="shared" si="1281"/>
        <v/>
      </c>
      <c r="S7946" t="str">
        <f t="shared" si="1282"/>
        <v/>
      </c>
      <c r="T7946" t="str">
        <f t="shared" si="1283"/>
        <v/>
      </c>
      <c r="U7946" t="str">
        <f t="shared" si="1284"/>
        <v/>
      </c>
      <c r="V7946" t="str">
        <f t="shared" si="1285"/>
        <v/>
      </c>
      <c r="W7946" t="str">
        <f t="shared" si="1286"/>
        <v/>
      </c>
      <c r="X7946">
        <f t="shared" si="1276"/>
        <v>0</v>
      </c>
      <c r="Z7946" t="str">
        <f t="shared" si="1287"/>
        <v/>
      </c>
      <c r="AA7946">
        <f t="shared" si="1277"/>
        <v>0</v>
      </c>
    </row>
    <row r="7947" spans="1:27" ht="21" customHeight="1" x14ac:dyDescent="0.95">
      <c r="A7947" s="56"/>
      <c r="B7947" s="57"/>
      <c r="C7947" s="57"/>
      <c r="D7947" s="57"/>
      <c r="E7947" s="56"/>
      <c r="F7947" s="57"/>
      <c r="G7947" s="57"/>
      <c r="H7947" s="56"/>
      <c r="I7947" s="56"/>
      <c r="J7947" s="58"/>
      <c r="K7947" s="58"/>
      <c r="L7947" s="13" t="str">
        <f t="shared" si="1278"/>
        <v/>
      </c>
      <c r="M7947" s="13" t="str">
        <f t="shared" si="1279"/>
        <v/>
      </c>
      <c r="Q7947" t="str">
        <f t="shared" si="1280"/>
        <v/>
      </c>
      <c r="R7947" t="str">
        <f t="shared" si="1281"/>
        <v/>
      </c>
      <c r="S7947" t="str">
        <f t="shared" si="1282"/>
        <v/>
      </c>
      <c r="T7947" t="str">
        <f t="shared" si="1283"/>
        <v/>
      </c>
      <c r="U7947" t="str">
        <f t="shared" si="1284"/>
        <v/>
      </c>
      <c r="V7947" t="str">
        <f t="shared" si="1285"/>
        <v/>
      </c>
      <c r="W7947" t="str">
        <f t="shared" si="1286"/>
        <v/>
      </c>
      <c r="X7947">
        <f t="shared" si="1276"/>
        <v>0</v>
      </c>
      <c r="Z7947" t="str">
        <f t="shared" si="1287"/>
        <v/>
      </c>
      <c r="AA7947">
        <f t="shared" si="1277"/>
        <v>0</v>
      </c>
    </row>
    <row r="7948" spans="1:27" ht="21" customHeight="1" x14ac:dyDescent="0.95">
      <c r="A7948" s="56"/>
      <c r="B7948" s="57"/>
      <c r="C7948" s="57"/>
      <c r="D7948" s="57"/>
      <c r="E7948" s="56"/>
      <c r="F7948" s="57"/>
      <c r="G7948" s="57"/>
      <c r="H7948" s="56"/>
      <c r="I7948" s="56"/>
      <c r="J7948" s="58"/>
      <c r="K7948" s="58"/>
      <c r="L7948" s="13" t="str">
        <f t="shared" si="1278"/>
        <v/>
      </c>
      <c r="M7948" s="13" t="str">
        <f t="shared" si="1279"/>
        <v/>
      </c>
      <c r="Q7948" t="str">
        <f t="shared" si="1280"/>
        <v/>
      </c>
      <c r="R7948" t="str">
        <f t="shared" si="1281"/>
        <v/>
      </c>
      <c r="S7948" t="str">
        <f t="shared" si="1282"/>
        <v/>
      </c>
      <c r="T7948" t="str">
        <f t="shared" si="1283"/>
        <v/>
      </c>
      <c r="U7948" t="str">
        <f t="shared" si="1284"/>
        <v/>
      </c>
      <c r="V7948" t="str">
        <f t="shared" si="1285"/>
        <v/>
      </c>
      <c r="W7948" t="str">
        <f t="shared" si="1286"/>
        <v/>
      </c>
      <c r="X7948">
        <f t="shared" si="1276"/>
        <v>0</v>
      </c>
      <c r="Z7948" t="str">
        <f t="shared" si="1287"/>
        <v/>
      </c>
      <c r="AA7948">
        <f t="shared" si="1277"/>
        <v>0</v>
      </c>
    </row>
    <row r="7949" spans="1:27" ht="21" customHeight="1" x14ac:dyDescent="0.95">
      <c r="A7949" s="56"/>
      <c r="B7949" s="57"/>
      <c r="C7949" s="57"/>
      <c r="D7949" s="57"/>
      <c r="E7949" s="56"/>
      <c r="F7949" s="57"/>
      <c r="G7949" s="57"/>
      <c r="H7949" s="56"/>
      <c r="I7949" s="56"/>
      <c r="J7949" s="58"/>
      <c r="K7949" s="58"/>
      <c r="L7949" s="13" t="str">
        <f t="shared" si="1278"/>
        <v/>
      </c>
      <c r="M7949" s="13" t="str">
        <f t="shared" si="1279"/>
        <v/>
      </c>
      <c r="Q7949" t="str">
        <f t="shared" si="1280"/>
        <v/>
      </c>
      <c r="R7949" t="str">
        <f t="shared" si="1281"/>
        <v/>
      </c>
      <c r="S7949" t="str">
        <f t="shared" si="1282"/>
        <v/>
      </c>
      <c r="T7949" t="str">
        <f t="shared" si="1283"/>
        <v/>
      </c>
      <c r="U7949" t="str">
        <f t="shared" si="1284"/>
        <v/>
      </c>
      <c r="V7949" t="str">
        <f t="shared" si="1285"/>
        <v/>
      </c>
      <c r="W7949" t="str">
        <f t="shared" si="1286"/>
        <v/>
      </c>
      <c r="X7949">
        <f t="shared" si="1276"/>
        <v>0</v>
      </c>
      <c r="Z7949" t="str">
        <f t="shared" si="1287"/>
        <v/>
      </c>
      <c r="AA7949">
        <f t="shared" si="1277"/>
        <v>0</v>
      </c>
    </row>
    <row r="7950" spans="1:27" ht="21" customHeight="1" x14ac:dyDescent="0.95">
      <c r="A7950" s="56"/>
      <c r="B7950" s="57"/>
      <c r="C7950" s="57"/>
      <c r="D7950" s="57"/>
      <c r="E7950" s="56"/>
      <c r="F7950" s="57"/>
      <c r="G7950" s="57"/>
      <c r="H7950" s="56"/>
      <c r="I7950" s="56"/>
      <c r="J7950" s="58"/>
      <c r="K7950" s="58"/>
      <c r="L7950" s="13" t="str">
        <f t="shared" si="1278"/>
        <v/>
      </c>
      <c r="M7950" s="13" t="str">
        <f t="shared" si="1279"/>
        <v/>
      </c>
      <c r="Q7950" t="str">
        <f t="shared" si="1280"/>
        <v/>
      </c>
      <c r="R7950" t="str">
        <f t="shared" si="1281"/>
        <v/>
      </c>
      <c r="S7950" t="str">
        <f t="shared" si="1282"/>
        <v/>
      </c>
      <c r="T7950" t="str">
        <f t="shared" si="1283"/>
        <v/>
      </c>
      <c r="U7950" t="str">
        <f t="shared" si="1284"/>
        <v/>
      </c>
      <c r="V7950" t="str">
        <f t="shared" si="1285"/>
        <v/>
      </c>
      <c r="W7950" t="str">
        <f t="shared" si="1286"/>
        <v/>
      </c>
      <c r="X7950">
        <f t="shared" si="1276"/>
        <v>0</v>
      </c>
      <c r="Z7950" t="str">
        <f t="shared" si="1287"/>
        <v/>
      </c>
      <c r="AA7950">
        <f t="shared" si="1277"/>
        <v>0</v>
      </c>
    </row>
    <row r="7951" spans="1:27" ht="21" customHeight="1" x14ac:dyDescent="0.95">
      <c r="A7951" s="56"/>
      <c r="B7951" s="57"/>
      <c r="C7951" s="57"/>
      <c r="D7951" s="57"/>
      <c r="E7951" s="56"/>
      <c r="F7951" s="57"/>
      <c r="G7951" s="57"/>
      <c r="H7951" s="56"/>
      <c r="I7951" s="56"/>
      <c r="J7951" s="58"/>
      <c r="K7951" s="58"/>
      <c r="L7951" s="13" t="str">
        <f t="shared" si="1278"/>
        <v/>
      </c>
      <c r="M7951" s="13" t="str">
        <f t="shared" si="1279"/>
        <v/>
      </c>
      <c r="Q7951" t="str">
        <f t="shared" si="1280"/>
        <v/>
      </c>
      <c r="R7951" t="str">
        <f t="shared" si="1281"/>
        <v/>
      </c>
      <c r="S7951" t="str">
        <f t="shared" si="1282"/>
        <v/>
      </c>
      <c r="T7951" t="str">
        <f t="shared" si="1283"/>
        <v/>
      </c>
      <c r="U7951" t="str">
        <f t="shared" si="1284"/>
        <v/>
      </c>
      <c r="V7951" t="str">
        <f t="shared" si="1285"/>
        <v/>
      </c>
      <c r="W7951" t="str">
        <f t="shared" si="1286"/>
        <v/>
      </c>
      <c r="X7951">
        <f t="shared" si="1276"/>
        <v>0</v>
      </c>
      <c r="Z7951" t="str">
        <f t="shared" si="1287"/>
        <v/>
      </c>
      <c r="AA7951">
        <f t="shared" si="1277"/>
        <v>0</v>
      </c>
    </row>
    <row r="7952" spans="1:27" ht="21" customHeight="1" x14ac:dyDescent="0.95">
      <c r="A7952" s="56"/>
      <c r="B7952" s="57"/>
      <c r="C7952" s="57"/>
      <c r="D7952" s="57"/>
      <c r="E7952" s="56"/>
      <c r="F7952" s="57"/>
      <c r="G7952" s="57"/>
      <c r="H7952" s="56"/>
      <c r="I7952" s="56"/>
      <c r="J7952" s="58"/>
      <c r="K7952" s="58"/>
      <c r="L7952" s="13" t="str">
        <f t="shared" si="1278"/>
        <v/>
      </c>
      <c r="M7952" s="13" t="str">
        <f t="shared" si="1279"/>
        <v/>
      </c>
      <c r="Q7952" t="str">
        <f t="shared" si="1280"/>
        <v/>
      </c>
      <c r="R7952" t="str">
        <f t="shared" si="1281"/>
        <v/>
      </c>
      <c r="S7952" t="str">
        <f t="shared" si="1282"/>
        <v/>
      </c>
      <c r="T7952" t="str">
        <f t="shared" si="1283"/>
        <v/>
      </c>
      <c r="U7952" t="str">
        <f t="shared" si="1284"/>
        <v/>
      </c>
      <c r="V7952" t="str">
        <f t="shared" si="1285"/>
        <v/>
      </c>
      <c r="W7952" t="str">
        <f t="shared" si="1286"/>
        <v/>
      </c>
      <c r="X7952">
        <f t="shared" si="1276"/>
        <v>0</v>
      </c>
      <c r="Z7952" t="str">
        <f t="shared" si="1287"/>
        <v/>
      </c>
      <c r="AA7952">
        <f t="shared" si="1277"/>
        <v>0</v>
      </c>
    </row>
    <row r="7953" spans="1:27" ht="21" customHeight="1" x14ac:dyDescent="0.95">
      <c r="A7953" s="56"/>
      <c r="B7953" s="57"/>
      <c r="C7953" s="57"/>
      <c r="D7953" s="57"/>
      <c r="E7953" s="56"/>
      <c r="F7953" s="57"/>
      <c r="G7953" s="57"/>
      <c r="H7953" s="56"/>
      <c r="I7953" s="56"/>
      <c r="J7953" s="58"/>
      <c r="K7953" s="58"/>
      <c r="L7953" s="13" t="str">
        <f t="shared" si="1278"/>
        <v/>
      </c>
      <c r="M7953" s="13" t="str">
        <f t="shared" si="1279"/>
        <v/>
      </c>
      <c r="Q7953" t="str">
        <f t="shared" si="1280"/>
        <v/>
      </c>
      <c r="R7953" t="str">
        <f t="shared" si="1281"/>
        <v/>
      </c>
      <c r="S7953" t="str">
        <f t="shared" si="1282"/>
        <v/>
      </c>
      <c r="T7953" t="str">
        <f t="shared" si="1283"/>
        <v/>
      </c>
      <c r="U7953" t="str">
        <f t="shared" si="1284"/>
        <v/>
      </c>
      <c r="V7953" t="str">
        <f t="shared" si="1285"/>
        <v/>
      </c>
      <c r="W7953" t="str">
        <f t="shared" si="1286"/>
        <v/>
      </c>
      <c r="X7953">
        <f t="shared" si="1276"/>
        <v>0</v>
      </c>
      <c r="Z7953" t="str">
        <f t="shared" si="1287"/>
        <v/>
      </c>
      <c r="AA7953">
        <f t="shared" si="1277"/>
        <v>0</v>
      </c>
    </row>
    <row r="7954" spans="1:27" ht="21" customHeight="1" x14ac:dyDescent="0.95">
      <c r="A7954" s="56"/>
      <c r="B7954" s="57"/>
      <c r="C7954" s="57"/>
      <c r="D7954" s="57"/>
      <c r="E7954" s="56"/>
      <c r="F7954" s="57"/>
      <c r="G7954" s="57"/>
      <c r="H7954" s="56"/>
      <c r="I7954" s="56"/>
      <c r="J7954" s="58"/>
      <c r="K7954" s="58"/>
      <c r="L7954" s="13" t="str">
        <f t="shared" si="1278"/>
        <v/>
      </c>
      <c r="M7954" s="13" t="str">
        <f t="shared" si="1279"/>
        <v/>
      </c>
      <c r="Q7954" t="str">
        <f t="shared" si="1280"/>
        <v/>
      </c>
      <c r="R7954" t="str">
        <f t="shared" si="1281"/>
        <v/>
      </c>
      <c r="S7954" t="str">
        <f t="shared" si="1282"/>
        <v/>
      </c>
      <c r="T7954" t="str">
        <f t="shared" si="1283"/>
        <v/>
      </c>
      <c r="U7954" t="str">
        <f t="shared" si="1284"/>
        <v/>
      </c>
      <c r="V7954" t="str">
        <f t="shared" si="1285"/>
        <v/>
      </c>
      <c r="W7954" t="str">
        <f t="shared" si="1286"/>
        <v/>
      </c>
      <c r="X7954">
        <f t="shared" si="1276"/>
        <v>0</v>
      </c>
      <c r="Z7954" t="str">
        <f t="shared" si="1287"/>
        <v/>
      </c>
      <c r="AA7954">
        <f t="shared" si="1277"/>
        <v>0</v>
      </c>
    </row>
    <row r="7955" spans="1:27" ht="21" customHeight="1" x14ac:dyDescent="0.95">
      <c r="A7955" s="56"/>
      <c r="B7955" s="57"/>
      <c r="C7955" s="57"/>
      <c r="D7955" s="57"/>
      <c r="E7955" s="56"/>
      <c r="F7955" s="57"/>
      <c r="G7955" s="57"/>
      <c r="H7955" s="56"/>
      <c r="I7955" s="56"/>
      <c r="J7955" s="58"/>
      <c r="K7955" s="58"/>
      <c r="L7955" s="13" t="str">
        <f t="shared" si="1278"/>
        <v/>
      </c>
      <c r="M7955" s="13" t="str">
        <f t="shared" si="1279"/>
        <v/>
      </c>
      <c r="Q7955" t="str">
        <f t="shared" si="1280"/>
        <v/>
      </c>
      <c r="R7955" t="str">
        <f t="shared" si="1281"/>
        <v/>
      </c>
      <c r="S7955" t="str">
        <f t="shared" si="1282"/>
        <v/>
      </c>
      <c r="T7955" t="str">
        <f t="shared" si="1283"/>
        <v/>
      </c>
      <c r="U7955" t="str">
        <f t="shared" si="1284"/>
        <v/>
      </c>
      <c r="V7955" t="str">
        <f t="shared" si="1285"/>
        <v/>
      </c>
      <c r="W7955" t="str">
        <f t="shared" si="1286"/>
        <v/>
      </c>
      <c r="X7955">
        <f t="shared" si="1276"/>
        <v>0</v>
      </c>
      <c r="Z7955" t="str">
        <f t="shared" si="1287"/>
        <v/>
      </c>
      <c r="AA7955">
        <f t="shared" si="1277"/>
        <v>0</v>
      </c>
    </row>
    <row r="7956" spans="1:27" ht="21" customHeight="1" x14ac:dyDescent="0.95">
      <c r="A7956" s="56"/>
      <c r="B7956" s="57"/>
      <c r="C7956" s="57"/>
      <c r="D7956" s="57"/>
      <c r="E7956" s="56"/>
      <c r="F7956" s="57"/>
      <c r="G7956" s="57"/>
      <c r="H7956" s="56"/>
      <c r="I7956" s="56"/>
      <c r="J7956" s="58"/>
      <c r="K7956" s="58"/>
      <c r="L7956" s="13" t="str">
        <f t="shared" si="1278"/>
        <v/>
      </c>
      <c r="M7956" s="13" t="str">
        <f t="shared" si="1279"/>
        <v/>
      </c>
      <c r="Q7956" t="str">
        <f t="shared" si="1280"/>
        <v/>
      </c>
      <c r="R7956" t="str">
        <f t="shared" si="1281"/>
        <v/>
      </c>
      <c r="S7956" t="str">
        <f t="shared" si="1282"/>
        <v/>
      </c>
      <c r="T7956" t="str">
        <f t="shared" si="1283"/>
        <v/>
      </c>
      <c r="U7956" t="str">
        <f t="shared" si="1284"/>
        <v/>
      </c>
      <c r="V7956" t="str">
        <f t="shared" si="1285"/>
        <v/>
      </c>
      <c r="W7956" t="str">
        <f t="shared" si="1286"/>
        <v/>
      </c>
      <c r="X7956">
        <f t="shared" si="1276"/>
        <v>0</v>
      </c>
      <c r="Z7956" t="str">
        <f t="shared" si="1287"/>
        <v/>
      </c>
      <c r="AA7956">
        <f t="shared" si="1277"/>
        <v>0</v>
      </c>
    </row>
    <row r="7957" spans="1:27" ht="21" customHeight="1" x14ac:dyDescent="0.95">
      <c r="A7957" s="56"/>
      <c r="B7957" s="57"/>
      <c r="C7957" s="57"/>
      <c r="D7957" s="57"/>
      <c r="E7957" s="56"/>
      <c r="F7957" s="57"/>
      <c r="G7957" s="57"/>
      <c r="H7957" s="56"/>
      <c r="I7957" s="56"/>
      <c r="J7957" s="58"/>
      <c r="K7957" s="58"/>
      <c r="L7957" s="13" t="str">
        <f t="shared" si="1278"/>
        <v/>
      </c>
      <c r="M7957" s="13" t="str">
        <f t="shared" si="1279"/>
        <v/>
      </c>
      <c r="Q7957" t="str">
        <f t="shared" si="1280"/>
        <v/>
      </c>
      <c r="R7957" t="str">
        <f t="shared" si="1281"/>
        <v/>
      </c>
      <c r="S7957" t="str">
        <f t="shared" si="1282"/>
        <v/>
      </c>
      <c r="T7957" t="str">
        <f t="shared" si="1283"/>
        <v/>
      </c>
      <c r="U7957" t="str">
        <f t="shared" si="1284"/>
        <v/>
      </c>
      <c r="V7957" t="str">
        <f t="shared" si="1285"/>
        <v/>
      </c>
      <c r="W7957" t="str">
        <f t="shared" si="1286"/>
        <v/>
      </c>
      <c r="X7957">
        <f t="shared" si="1276"/>
        <v>0</v>
      </c>
      <c r="Z7957" t="str">
        <f t="shared" si="1287"/>
        <v/>
      </c>
      <c r="AA7957">
        <f t="shared" si="1277"/>
        <v>0</v>
      </c>
    </row>
    <row r="7958" spans="1:27" ht="21" customHeight="1" x14ac:dyDescent="0.95">
      <c r="A7958" s="56"/>
      <c r="B7958" s="57"/>
      <c r="C7958" s="57"/>
      <c r="D7958" s="57"/>
      <c r="E7958" s="56"/>
      <c r="F7958" s="57"/>
      <c r="G7958" s="57"/>
      <c r="H7958" s="56"/>
      <c r="I7958" s="56"/>
      <c r="J7958" s="58"/>
      <c r="K7958" s="58"/>
      <c r="L7958" s="13" t="str">
        <f t="shared" si="1278"/>
        <v/>
      </c>
      <c r="M7958" s="13" t="str">
        <f t="shared" si="1279"/>
        <v/>
      </c>
      <c r="Q7958" t="str">
        <f t="shared" si="1280"/>
        <v/>
      </c>
      <c r="R7958" t="str">
        <f t="shared" si="1281"/>
        <v/>
      </c>
      <c r="S7958" t="str">
        <f t="shared" si="1282"/>
        <v/>
      </c>
      <c r="T7958" t="str">
        <f t="shared" si="1283"/>
        <v/>
      </c>
      <c r="U7958" t="str">
        <f t="shared" si="1284"/>
        <v/>
      </c>
      <c r="V7958" t="str">
        <f t="shared" si="1285"/>
        <v/>
      </c>
      <c r="W7958" t="str">
        <f t="shared" si="1286"/>
        <v/>
      </c>
      <c r="X7958">
        <f t="shared" si="1276"/>
        <v>0</v>
      </c>
      <c r="Z7958" t="str">
        <f t="shared" si="1287"/>
        <v/>
      </c>
      <c r="AA7958">
        <f t="shared" si="1277"/>
        <v>0</v>
      </c>
    </row>
    <row r="7959" spans="1:27" ht="21" customHeight="1" x14ac:dyDescent="0.95">
      <c r="A7959" s="56"/>
      <c r="B7959" s="57"/>
      <c r="C7959" s="57"/>
      <c r="D7959" s="57"/>
      <c r="E7959" s="56"/>
      <c r="F7959" s="57"/>
      <c r="G7959" s="57"/>
      <c r="H7959" s="56"/>
      <c r="I7959" s="56"/>
      <c r="J7959" s="58"/>
      <c r="K7959" s="58"/>
      <c r="L7959" s="13" t="str">
        <f t="shared" si="1278"/>
        <v/>
      </c>
      <c r="M7959" s="13" t="str">
        <f t="shared" si="1279"/>
        <v/>
      </c>
      <c r="Q7959" t="str">
        <f t="shared" si="1280"/>
        <v/>
      </c>
      <c r="R7959" t="str">
        <f t="shared" si="1281"/>
        <v/>
      </c>
      <c r="S7959" t="str">
        <f t="shared" si="1282"/>
        <v/>
      </c>
      <c r="T7959" t="str">
        <f t="shared" si="1283"/>
        <v/>
      </c>
      <c r="U7959" t="str">
        <f t="shared" si="1284"/>
        <v/>
      </c>
      <c r="V7959" t="str">
        <f t="shared" si="1285"/>
        <v/>
      </c>
      <c r="W7959" t="str">
        <f t="shared" si="1286"/>
        <v/>
      </c>
      <c r="X7959">
        <f t="shared" si="1276"/>
        <v>0</v>
      </c>
      <c r="Z7959" t="str">
        <f t="shared" si="1287"/>
        <v/>
      </c>
      <c r="AA7959">
        <f t="shared" si="1277"/>
        <v>0</v>
      </c>
    </row>
    <row r="7960" spans="1:27" ht="21" customHeight="1" x14ac:dyDescent="0.95">
      <c r="A7960" s="56"/>
      <c r="B7960" s="57"/>
      <c r="C7960" s="57"/>
      <c r="D7960" s="57"/>
      <c r="E7960" s="56"/>
      <c r="F7960" s="57"/>
      <c r="G7960" s="57"/>
      <c r="H7960" s="56"/>
      <c r="I7960" s="56"/>
      <c r="J7960" s="58"/>
      <c r="K7960" s="58"/>
      <c r="L7960" s="13" t="str">
        <f t="shared" si="1278"/>
        <v/>
      </c>
      <c r="M7960" s="13" t="str">
        <f t="shared" si="1279"/>
        <v/>
      </c>
      <c r="Q7960" t="str">
        <f t="shared" si="1280"/>
        <v/>
      </c>
      <c r="R7960" t="str">
        <f t="shared" si="1281"/>
        <v/>
      </c>
      <c r="S7960" t="str">
        <f t="shared" si="1282"/>
        <v/>
      </c>
      <c r="T7960" t="str">
        <f t="shared" si="1283"/>
        <v/>
      </c>
      <c r="U7960" t="str">
        <f t="shared" si="1284"/>
        <v/>
      </c>
      <c r="V7960" t="str">
        <f t="shared" si="1285"/>
        <v/>
      </c>
      <c r="W7960" t="str">
        <f t="shared" si="1286"/>
        <v/>
      </c>
      <c r="X7960">
        <f t="shared" si="1276"/>
        <v>0</v>
      </c>
      <c r="Z7960" t="str">
        <f t="shared" si="1287"/>
        <v/>
      </c>
      <c r="AA7960">
        <f t="shared" si="1277"/>
        <v>0</v>
      </c>
    </row>
    <row r="7961" spans="1:27" ht="21" customHeight="1" x14ac:dyDescent="0.95">
      <c r="A7961" s="56"/>
      <c r="B7961" s="57"/>
      <c r="C7961" s="57"/>
      <c r="D7961" s="57"/>
      <c r="E7961" s="56"/>
      <c r="F7961" s="57"/>
      <c r="G7961" s="57"/>
      <c r="H7961" s="56"/>
      <c r="I7961" s="56"/>
      <c r="J7961" s="58"/>
      <c r="K7961" s="58"/>
      <c r="L7961" s="13" t="str">
        <f t="shared" si="1278"/>
        <v/>
      </c>
      <c r="M7961" s="13" t="str">
        <f t="shared" si="1279"/>
        <v/>
      </c>
      <c r="Q7961" t="str">
        <f t="shared" si="1280"/>
        <v/>
      </c>
      <c r="R7961" t="str">
        <f t="shared" si="1281"/>
        <v/>
      </c>
      <c r="S7961" t="str">
        <f t="shared" si="1282"/>
        <v/>
      </c>
      <c r="T7961" t="str">
        <f t="shared" si="1283"/>
        <v/>
      </c>
      <c r="U7961" t="str">
        <f t="shared" si="1284"/>
        <v/>
      </c>
      <c r="V7961" t="str">
        <f t="shared" si="1285"/>
        <v/>
      </c>
      <c r="W7961" t="str">
        <f t="shared" si="1286"/>
        <v/>
      </c>
      <c r="X7961">
        <f t="shared" si="1276"/>
        <v>0</v>
      </c>
      <c r="Z7961" t="str">
        <f t="shared" si="1287"/>
        <v/>
      </c>
      <c r="AA7961">
        <f t="shared" si="1277"/>
        <v>0</v>
      </c>
    </row>
    <row r="7962" spans="1:27" ht="21" customHeight="1" x14ac:dyDescent="0.95">
      <c r="A7962" s="56"/>
      <c r="B7962" s="57"/>
      <c r="C7962" s="57"/>
      <c r="D7962" s="57"/>
      <c r="E7962" s="56"/>
      <c r="F7962" s="57"/>
      <c r="G7962" s="57"/>
      <c r="H7962" s="56"/>
      <c r="I7962" s="56"/>
      <c r="J7962" s="58"/>
      <c r="K7962" s="58"/>
      <c r="L7962" s="13" t="str">
        <f t="shared" si="1278"/>
        <v/>
      </c>
      <c r="M7962" s="13" t="str">
        <f t="shared" si="1279"/>
        <v/>
      </c>
      <c r="Q7962" t="str">
        <f t="shared" si="1280"/>
        <v/>
      </c>
      <c r="R7962" t="str">
        <f t="shared" si="1281"/>
        <v/>
      </c>
      <c r="S7962" t="str">
        <f t="shared" si="1282"/>
        <v/>
      </c>
      <c r="T7962" t="str">
        <f t="shared" si="1283"/>
        <v/>
      </c>
      <c r="U7962" t="str">
        <f t="shared" si="1284"/>
        <v/>
      </c>
      <c r="V7962" t="str">
        <f t="shared" si="1285"/>
        <v/>
      </c>
      <c r="W7962" t="str">
        <f t="shared" si="1286"/>
        <v/>
      </c>
      <c r="X7962">
        <f t="shared" si="1276"/>
        <v>0</v>
      </c>
      <c r="Z7962" t="str">
        <f t="shared" si="1287"/>
        <v/>
      </c>
      <c r="AA7962">
        <f t="shared" si="1277"/>
        <v>0</v>
      </c>
    </row>
    <row r="7963" spans="1:27" ht="21" customHeight="1" x14ac:dyDescent="0.95">
      <c r="A7963" s="56"/>
      <c r="B7963" s="57"/>
      <c r="C7963" s="57"/>
      <c r="D7963" s="57"/>
      <c r="E7963" s="56"/>
      <c r="F7963" s="57"/>
      <c r="G7963" s="57"/>
      <c r="H7963" s="56"/>
      <c r="I7963" s="56"/>
      <c r="J7963" s="58"/>
      <c r="K7963" s="58"/>
      <c r="L7963" s="13" t="str">
        <f t="shared" si="1278"/>
        <v/>
      </c>
      <c r="M7963" s="13" t="str">
        <f t="shared" si="1279"/>
        <v/>
      </c>
      <c r="Q7963" t="str">
        <f t="shared" si="1280"/>
        <v/>
      </c>
      <c r="R7963" t="str">
        <f t="shared" si="1281"/>
        <v/>
      </c>
      <c r="S7963" t="str">
        <f t="shared" si="1282"/>
        <v/>
      </c>
      <c r="T7963" t="str">
        <f t="shared" si="1283"/>
        <v/>
      </c>
      <c r="U7963" t="str">
        <f t="shared" si="1284"/>
        <v/>
      </c>
      <c r="V7963" t="str">
        <f t="shared" si="1285"/>
        <v/>
      </c>
      <c r="W7963" t="str">
        <f t="shared" si="1286"/>
        <v/>
      </c>
      <c r="X7963">
        <f t="shared" si="1276"/>
        <v>0</v>
      </c>
      <c r="Z7963" t="str">
        <f t="shared" si="1287"/>
        <v/>
      </c>
      <c r="AA7963">
        <f t="shared" si="1277"/>
        <v>0</v>
      </c>
    </row>
    <row r="7964" spans="1:27" ht="21" customHeight="1" x14ac:dyDescent="0.95">
      <c r="A7964" s="56"/>
      <c r="B7964" s="57"/>
      <c r="C7964" s="57"/>
      <c r="D7964" s="57"/>
      <c r="E7964" s="56"/>
      <c r="F7964" s="57"/>
      <c r="G7964" s="57"/>
      <c r="H7964" s="56"/>
      <c r="I7964" s="56"/>
      <c r="J7964" s="58"/>
      <c r="K7964" s="58"/>
      <c r="L7964" s="13" t="str">
        <f t="shared" si="1278"/>
        <v/>
      </c>
      <c r="M7964" s="13" t="str">
        <f t="shared" si="1279"/>
        <v/>
      </c>
      <c r="Q7964" t="str">
        <f t="shared" si="1280"/>
        <v/>
      </c>
      <c r="R7964" t="str">
        <f t="shared" si="1281"/>
        <v/>
      </c>
      <c r="S7964" t="str">
        <f t="shared" si="1282"/>
        <v/>
      </c>
      <c r="T7964" t="str">
        <f t="shared" si="1283"/>
        <v/>
      </c>
      <c r="U7964" t="str">
        <f t="shared" si="1284"/>
        <v/>
      </c>
      <c r="V7964" t="str">
        <f t="shared" si="1285"/>
        <v/>
      </c>
      <c r="W7964" t="str">
        <f t="shared" si="1286"/>
        <v/>
      </c>
      <c r="X7964">
        <f t="shared" si="1276"/>
        <v>0</v>
      </c>
      <c r="Z7964" t="str">
        <f t="shared" si="1287"/>
        <v/>
      </c>
      <c r="AA7964">
        <f t="shared" si="1277"/>
        <v>0</v>
      </c>
    </row>
    <row r="7965" spans="1:27" ht="21" customHeight="1" x14ac:dyDescent="0.95">
      <c r="A7965" s="56"/>
      <c r="B7965" s="57"/>
      <c r="C7965" s="57"/>
      <c r="D7965" s="57"/>
      <c r="E7965" s="56"/>
      <c r="F7965" s="57"/>
      <c r="G7965" s="57"/>
      <c r="H7965" s="56"/>
      <c r="I7965" s="56"/>
      <c r="J7965" s="58"/>
      <c r="K7965" s="58"/>
      <c r="L7965" s="13" t="str">
        <f t="shared" si="1278"/>
        <v/>
      </c>
      <c r="M7965" s="13" t="str">
        <f t="shared" si="1279"/>
        <v/>
      </c>
      <c r="Q7965" t="str">
        <f t="shared" si="1280"/>
        <v/>
      </c>
      <c r="R7965" t="str">
        <f t="shared" si="1281"/>
        <v/>
      </c>
      <c r="S7965" t="str">
        <f t="shared" si="1282"/>
        <v/>
      </c>
      <c r="T7965" t="str">
        <f t="shared" si="1283"/>
        <v/>
      </c>
      <c r="U7965" t="str">
        <f t="shared" si="1284"/>
        <v/>
      </c>
      <c r="V7965" t="str">
        <f t="shared" si="1285"/>
        <v/>
      </c>
      <c r="W7965" t="str">
        <f t="shared" si="1286"/>
        <v/>
      </c>
      <c r="X7965">
        <f t="shared" si="1276"/>
        <v>0</v>
      </c>
      <c r="Z7965" t="str">
        <f t="shared" si="1287"/>
        <v/>
      </c>
      <c r="AA7965">
        <f t="shared" si="1277"/>
        <v>0</v>
      </c>
    </row>
    <row r="7966" spans="1:27" ht="21" customHeight="1" x14ac:dyDescent="0.95">
      <c r="A7966" s="56"/>
      <c r="B7966" s="57"/>
      <c r="C7966" s="57"/>
      <c r="D7966" s="57"/>
      <c r="E7966" s="56"/>
      <c r="F7966" s="57"/>
      <c r="G7966" s="57"/>
      <c r="H7966" s="56"/>
      <c r="I7966" s="56"/>
      <c r="J7966" s="58"/>
      <c r="K7966" s="58"/>
      <c r="L7966" s="13" t="str">
        <f t="shared" si="1278"/>
        <v/>
      </c>
      <c r="M7966" s="13" t="str">
        <f t="shared" si="1279"/>
        <v/>
      </c>
      <c r="Q7966" t="str">
        <f t="shared" si="1280"/>
        <v/>
      </c>
      <c r="R7966" t="str">
        <f t="shared" si="1281"/>
        <v/>
      </c>
      <c r="S7966" t="str">
        <f t="shared" si="1282"/>
        <v/>
      </c>
      <c r="T7966" t="str">
        <f t="shared" si="1283"/>
        <v/>
      </c>
      <c r="U7966" t="str">
        <f t="shared" si="1284"/>
        <v/>
      </c>
      <c r="V7966" t="str">
        <f t="shared" si="1285"/>
        <v/>
      </c>
      <c r="W7966" t="str">
        <f t="shared" si="1286"/>
        <v/>
      </c>
      <c r="X7966">
        <f t="shared" si="1276"/>
        <v>0</v>
      </c>
      <c r="Z7966" t="str">
        <f t="shared" si="1287"/>
        <v/>
      </c>
      <c r="AA7966">
        <f t="shared" si="1277"/>
        <v>0</v>
      </c>
    </row>
    <row r="7967" spans="1:27" ht="21" customHeight="1" x14ac:dyDescent="0.95">
      <c r="A7967" s="56"/>
      <c r="B7967" s="57"/>
      <c r="C7967" s="57"/>
      <c r="D7967" s="57"/>
      <c r="E7967" s="56"/>
      <c r="F7967" s="57"/>
      <c r="G7967" s="57"/>
      <c r="H7967" s="56"/>
      <c r="I7967" s="56"/>
      <c r="J7967" s="58"/>
      <c r="K7967" s="58"/>
      <c r="L7967" s="13" t="str">
        <f t="shared" si="1278"/>
        <v/>
      </c>
      <c r="M7967" s="13" t="str">
        <f t="shared" si="1279"/>
        <v/>
      </c>
      <c r="Q7967" t="str">
        <f t="shared" si="1280"/>
        <v/>
      </c>
      <c r="R7967" t="str">
        <f t="shared" si="1281"/>
        <v/>
      </c>
      <c r="S7967" t="str">
        <f t="shared" si="1282"/>
        <v/>
      </c>
      <c r="T7967" t="str">
        <f t="shared" si="1283"/>
        <v/>
      </c>
      <c r="U7967" t="str">
        <f t="shared" si="1284"/>
        <v/>
      </c>
      <c r="V7967" t="str">
        <f t="shared" si="1285"/>
        <v/>
      </c>
      <c r="W7967" t="str">
        <f t="shared" si="1286"/>
        <v/>
      </c>
      <c r="X7967">
        <f t="shared" si="1276"/>
        <v>0</v>
      </c>
      <c r="Z7967" t="str">
        <f t="shared" si="1287"/>
        <v/>
      </c>
      <c r="AA7967">
        <f t="shared" si="1277"/>
        <v>0</v>
      </c>
    </row>
    <row r="7968" spans="1:27" ht="21" customHeight="1" x14ac:dyDescent="0.95">
      <c r="A7968" s="56"/>
      <c r="B7968" s="57"/>
      <c r="C7968" s="57"/>
      <c r="D7968" s="57"/>
      <c r="E7968" s="56"/>
      <c r="F7968" s="57"/>
      <c r="G7968" s="57"/>
      <c r="H7968" s="56"/>
      <c r="I7968" s="56"/>
      <c r="J7968" s="58"/>
      <c r="K7968" s="58"/>
      <c r="L7968" s="13" t="str">
        <f t="shared" si="1278"/>
        <v/>
      </c>
      <c r="M7968" s="13" t="str">
        <f t="shared" si="1279"/>
        <v/>
      </c>
      <c r="Q7968" t="str">
        <f t="shared" si="1280"/>
        <v/>
      </c>
      <c r="R7968" t="str">
        <f t="shared" si="1281"/>
        <v/>
      </c>
      <c r="S7968" t="str">
        <f t="shared" si="1282"/>
        <v/>
      </c>
      <c r="T7968" t="str">
        <f t="shared" si="1283"/>
        <v/>
      </c>
      <c r="U7968" t="str">
        <f t="shared" si="1284"/>
        <v/>
      </c>
      <c r="V7968" t="str">
        <f t="shared" si="1285"/>
        <v/>
      </c>
      <c r="W7968" t="str">
        <f t="shared" si="1286"/>
        <v/>
      </c>
      <c r="X7968">
        <f t="shared" si="1276"/>
        <v>0</v>
      </c>
      <c r="Z7968" t="str">
        <f t="shared" si="1287"/>
        <v/>
      </c>
      <c r="AA7968">
        <f t="shared" si="1277"/>
        <v>0</v>
      </c>
    </row>
    <row r="7969" spans="1:27" ht="21" customHeight="1" x14ac:dyDescent="0.95">
      <c r="A7969" s="56"/>
      <c r="B7969" s="57"/>
      <c r="C7969" s="57"/>
      <c r="D7969" s="57"/>
      <c r="E7969" s="56"/>
      <c r="F7969" s="57"/>
      <c r="G7969" s="57"/>
      <c r="H7969" s="56"/>
      <c r="I7969" s="56"/>
      <c r="J7969" s="58"/>
      <c r="K7969" s="58"/>
      <c r="L7969" s="13" t="str">
        <f t="shared" si="1278"/>
        <v/>
      </c>
      <c r="M7969" s="13" t="str">
        <f t="shared" si="1279"/>
        <v/>
      </c>
      <c r="Q7969" t="str">
        <f t="shared" si="1280"/>
        <v/>
      </c>
      <c r="R7969" t="str">
        <f t="shared" si="1281"/>
        <v/>
      </c>
      <c r="S7969" t="str">
        <f t="shared" si="1282"/>
        <v/>
      </c>
      <c r="T7969" t="str">
        <f t="shared" si="1283"/>
        <v/>
      </c>
      <c r="U7969" t="str">
        <f t="shared" si="1284"/>
        <v/>
      </c>
      <c r="V7969" t="str">
        <f t="shared" si="1285"/>
        <v/>
      </c>
      <c r="W7969" t="str">
        <f t="shared" si="1286"/>
        <v/>
      </c>
      <c r="X7969">
        <f t="shared" si="1276"/>
        <v>0</v>
      </c>
      <c r="Z7969" t="str">
        <f t="shared" si="1287"/>
        <v/>
      </c>
      <c r="AA7969">
        <f t="shared" si="1277"/>
        <v>0</v>
      </c>
    </row>
    <row r="7970" spans="1:27" ht="21" customHeight="1" x14ac:dyDescent="0.95">
      <c r="A7970" s="56"/>
      <c r="B7970" s="57"/>
      <c r="C7970" s="57"/>
      <c r="D7970" s="57"/>
      <c r="E7970" s="56"/>
      <c r="F7970" s="57"/>
      <c r="G7970" s="57"/>
      <c r="H7970" s="56"/>
      <c r="I7970" s="56"/>
      <c r="J7970" s="58"/>
      <c r="K7970" s="58"/>
      <c r="L7970" s="13" t="str">
        <f t="shared" si="1278"/>
        <v/>
      </c>
      <c r="M7970" s="13" t="str">
        <f t="shared" si="1279"/>
        <v/>
      </c>
      <c r="Q7970" t="str">
        <f t="shared" si="1280"/>
        <v/>
      </c>
      <c r="R7970" t="str">
        <f t="shared" si="1281"/>
        <v/>
      </c>
      <c r="S7970" t="str">
        <f t="shared" si="1282"/>
        <v/>
      </c>
      <c r="T7970" t="str">
        <f t="shared" si="1283"/>
        <v/>
      </c>
      <c r="U7970" t="str">
        <f t="shared" si="1284"/>
        <v/>
      </c>
      <c r="V7970" t="str">
        <f t="shared" si="1285"/>
        <v/>
      </c>
      <c r="W7970" t="str">
        <f t="shared" si="1286"/>
        <v/>
      </c>
      <c r="X7970">
        <f t="shared" si="1276"/>
        <v>0</v>
      </c>
      <c r="Z7970" t="str">
        <f t="shared" si="1287"/>
        <v/>
      </c>
      <c r="AA7970">
        <f t="shared" si="1277"/>
        <v>0</v>
      </c>
    </row>
    <row r="7971" spans="1:27" ht="21" customHeight="1" x14ac:dyDescent="0.95">
      <c r="A7971" s="56"/>
      <c r="B7971" s="57"/>
      <c r="C7971" s="57"/>
      <c r="D7971" s="57"/>
      <c r="E7971" s="56"/>
      <c r="F7971" s="57"/>
      <c r="G7971" s="57"/>
      <c r="H7971" s="56"/>
      <c r="I7971" s="56"/>
      <c r="J7971" s="58"/>
      <c r="K7971" s="58"/>
      <c r="L7971" s="13" t="str">
        <f t="shared" si="1278"/>
        <v/>
      </c>
      <c r="M7971" s="13" t="str">
        <f t="shared" si="1279"/>
        <v/>
      </c>
      <c r="Q7971" t="str">
        <f t="shared" si="1280"/>
        <v/>
      </c>
      <c r="R7971" t="str">
        <f t="shared" si="1281"/>
        <v/>
      </c>
      <c r="S7971" t="str">
        <f t="shared" si="1282"/>
        <v/>
      </c>
      <c r="T7971" t="str">
        <f t="shared" si="1283"/>
        <v/>
      </c>
      <c r="U7971" t="str">
        <f t="shared" si="1284"/>
        <v/>
      </c>
      <c r="V7971" t="str">
        <f t="shared" si="1285"/>
        <v/>
      </c>
      <c r="W7971" t="str">
        <f t="shared" si="1286"/>
        <v/>
      </c>
      <c r="X7971">
        <f t="shared" si="1276"/>
        <v>0</v>
      </c>
      <c r="Z7971" t="str">
        <f t="shared" si="1287"/>
        <v/>
      </c>
      <c r="AA7971">
        <f t="shared" si="1277"/>
        <v>0</v>
      </c>
    </row>
    <row r="7972" spans="1:27" ht="21" customHeight="1" x14ac:dyDescent="0.95">
      <c r="A7972" s="56"/>
      <c r="B7972" s="57"/>
      <c r="C7972" s="57"/>
      <c r="D7972" s="57"/>
      <c r="E7972" s="56"/>
      <c r="F7972" s="57"/>
      <c r="G7972" s="57"/>
      <c r="H7972" s="56"/>
      <c r="I7972" s="56"/>
      <c r="J7972" s="58"/>
      <c r="K7972" s="58"/>
      <c r="L7972" s="13" t="str">
        <f t="shared" si="1278"/>
        <v/>
      </c>
      <c r="M7972" s="13" t="str">
        <f t="shared" si="1279"/>
        <v/>
      </c>
      <c r="Q7972" t="str">
        <f t="shared" si="1280"/>
        <v/>
      </c>
      <c r="R7972" t="str">
        <f t="shared" si="1281"/>
        <v/>
      </c>
      <c r="S7972" t="str">
        <f t="shared" si="1282"/>
        <v/>
      </c>
      <c r="T7972" t="str">
        <f t="shared" si="1283"/>
        <v/>
      </c>
      <c r="U7972" t="str">
        <f t="shared" si="1284"/>
        <v/>
      </c>
      <c r="V7972" t="str">
        <f t="shared" si="1285"/>
        <v/>
      </c>
      <c r="W7972" t="str">
        <f t="shared" si="1286"/>
        <v/>
      </c>
      <c r="X7972">
        <f t="shared" si="1276"/>
        <v>0</v>
      </c>
      <c r="Z7972" t="str">
        <f t="shared" si="1287"/>
        <v/>
      </c>
      <c r="AA7972">
        <f t="shared" si="1277"/>
        <v>0</v>
      </c>
    </row>
    <row r="7973" spans="1:27" ht="21" customHeight="1" x14ac:dyDescent="0.95">
      <c r="A7973" s="56"/>
      <c r="B7973" s="57"/>
      <c r="C7973" s="57"/>
      <c r="D7973" s="57"/>
      <c r="E7973" s="56"/>
      <c r="F7973" s="57"/>
      <c r="G7973" s="57"/>
      <c r="H7973" s="56"/>
      <c r="I7973" s="56"/>
      <c r="J7973" s="58"/>
      <c r="K7973" s="58"/>
      <c r="L7973" s="13" t="str">
        <f t="shared" si="1278"/>
        <v/>
      </c>
      <c r="M7973" s="13" t="str">
        <f t="shared" si="1279"/>
        <v/>
      </c>
      <c r="Q7973" t="str">
        <f t="shared" si="1280"/>
        <v/>
      </c>
      <c r="R7973" t="str">
        <f t="shared" si="1281"/>
        <v/>
      </c>
      <c r="S7973" t="str">
        <f t="shared" si="1282"/>
        <v/>
      </c>
      <c r="T7973" t="str">
        <f t="shared" si="1283"/>
        <v/>
      </c>
      <c r="U7973" t="str">
        <f t="shared" si="1284"/>
        <v/>
      </c>
      <c r="V7973" t="str">
        <f t="shared" si="1285"/>
        <v/>
      </c>
      <c r="W7973" t="str">
        <f t="shared" si="1286"/>
        <v/>
      </c>
      <c r="X7973">
        <f t="shared" si="1276"/>
        <v>0</v>
      </c>
      <c r="Z7973" t="str">
        <f t="shared" si="1287"/>
        <v/>
      </c>
      <c r="AA7973">
        <f t="shared" si="1277"/>
        <v>0</v>
      </c>
    </row>
    <row r="7974" spans="1:27" ht="21" customHeight="1" x14ac:dyDescent="0.95">
      <c r="A7974" s="56"/>
      <c r="B7974" s="57"/>
      <c r="C7974" s="57"/>
      <c r="D7974" s="57"/>
      <c r="E7974" s="56"/>
      <c r="F7974" s="57"/>
      <c r="G7974" s="57"/>
      <c r="H7974" s="56"/>
      <c r="I7974" s="56"/>
      <c r="J7974" s="58"/>
      <c r="K7974" s="58"/>
      <c r="L7974" s="13" t="str">
        <f t="shared" si="1278"/>
        <v/>
      </c>
      <c r="M7974" s="13" t="str">
        <f t="shared" si="1279"/>
        <v/>
      </c>
      <c r="Q7974" t="str">
        <f t="shared" si="1280"/>
        <v/>
      </c>
      <c r="R7974" t="str">
        <f t="shared" si="1281"/>
        <v/>
      </c>
      <c r="S7974" t="str">
        <f t="shared" si="1282"/>
        <v/>
      </c>
      <c r="T7974" t="str">
        <f t="shared" si="1283"/>
        <v/>
      </c>
      <c r="U7974" t="str">
        <f t="shared" si="1284"/>
        <v/>
      </c>
      <c r="V7974" t="str">
        <f t="shared" si="1285"/>
        <v/>
      </c>
      <c r="W7974" t="str">
        <f t="shared" si="1286"/>
        <v/>
      </c>
      <c r="X7974">
        <f t="shared" si="1276"/>
        <v>0</v>
      </c>
      <c r="Z7974" t="str">
        <f t="shared" si="1287"/>
        <v/>
      </c>
      <c r="AA7974">
        <f t="shared" si="1277"/>
        <v>0</v>
      </c>
    </row>
    <row r="7975" spans="1:27" ht="21" customHeight="1" x14ac:dyDescent="0.95">
      <c r="A7975" s="56"/>
      <c r="B7975" s="57"/>
      <c r="C7975" s="57"/>
      <c r="D7975" s="57"/>
      <c r="E7975" s="56"/>
      <c r="F7975" s="57"/>
      <c r="G7975" s="57"/>
      <c r="H7975" s="56"/>
      <c r="I7975" s="56"/>
      <c r="J7975" s="58"/>
      <c r="K7975" s="58"/>
      <c r="L7975" s="13" t="str">
        <f t="shared" si="1278"/>
        <v/>
      </c>
      <c r="M7975" s="13" t="str">
        <f t="shared" si="1279"/>
        <v/>
      </c>
      <c r="Q7975" t="str">
        <f t="shared" si="1280"/>
        <v/>
      </c>
      <c r="R7975" t="str">
        <f t="shared" si="1281"/>
        <v/>
      </c>
      <c r="S7975" t="str">
        <f t="shared" si="1282"/>
        <v/>
      </c>
      <c r="T7975" t="str">
        <f t="shared" si="1283"/>
        <v/>
      </c>
      <c r="U7975" t="str">
        <f t="shared" si="1284"/>
        <v/>
      </c>
      <c r="V7975" t="str">
        <f t="shared" si="1285"/>
        <v/>
      </c>
      <c r="W7975" t="str">
        <f t="shared" si="1286"/>
        <v/>
      </c>
      <c r="X7975">
        <f t="shared" si="1276"/>
        <v>0</v>
      </c>
      <c r="Z7975" t="str">
        <f t="shared" si="1287"/>
        <v/>
      </c>
      <c r="AA7975">
        <f t="shared" si="1277"/>
        <v>0</v>
      </c>
    </row>
    <row r="7976" spans="1:27" ht="21" customHeight="1" x14ac:dyDescent="0.95">
      <c r="A7976" s="56"/>
      <c r="B7976" s="57"/>
      <c r="C7976" s="57"/>
      <c r="D7976" s="57"/>
      <c r="E7976" s="56"/>
      <c r="F7976" s="57"/>
      <c r="G7976" s="57"/>
      <c r="H7976" s="56"/>
      <c r="I7976" s="56"/>
      <c r="J7976" s="58"/>
      <c r="K7976" s="58"/>
      <c r="L7976" s="13" t="str">
        <f t="shared" si="1278"/>
        <v/>
      </c>
      <c r="M7976" s="13" t="str">
        <f t="shared" si="1279"/>
        <v/>
      </c>
      <c r="Q7976" t="str">
        <f t="shared" si="1280"/>
        <v/>
      </c>
      <c r="R7976" t="str">
        <f t="shared" si="1281"/>
        <v/>
      </c>
      <c r="S7976" t="str">
        <f t="shared" si="1282"/>
        <v/>
      </c>
      <c r="T7976" t="str">
        <f t="shared" si="1283"/>
        <v/>
      </c>
      <c r="U7976" t="str">
        <f t="shared" si="1284"/>
        <v/>
      </c>
      <c r="V7976" t="str">
        <f t="shared" si="1285"/>
        <v/>
      </c>
      <c r="W7976" t="str">
        <f t="shared" si="1286"/>
        <v/>
      </c>
      <c r="X7976">
        <f t="shared" si="1276"/>
        <v>0</v>
      </c>
      <c r="Z7976" t="str">
        <f t="shared" si="1287"/>
        <v/>
      </c>
      <c r="AA7976">
        <f t="shared" si="1277"/>
        <v>0</v>
      </c>
    </row>
    <row r="7977" spans="1:27" ht="21" customHeight="1" x14ac:dyDescent="0.95">
      <c r="A7977" s="56"/>
      <c r="B7977" s="57"/>
      <c r="C7977" s="57"/>
      <c r="D7977" s="57"/>
      <c r="E7977" s="56"/>
      <c r="F7977" s="57"/>
      <c r="G7977" s="57"/>
      <c r="H7977" s="56"/>
      <c r="I7977" s="56"/>
      <c r="J7977" s="58"/>
      <c r="K7977" s="58"/>
      <c r="L7977" s="13" t="str">
        <f t="shared" si="1278"/>
        <v/>
      </c>
      <c r="M7977" s="13" t="str">
        <f t="shared" si="1279"/>
        <v/>
      </c>
      <c r="Q7977" t="str">
        <f t="shared" si="1280"/>
        <v/>
      </c>
      <c r="R7977" t="str">
        <f t="shared" si="1281"/>
        <v/>
      </c>
      <c r="S7977" t="str">
        <f t="shared" si="1282"/>
        <v/>
      </c>
      <c r="T7977" t="str">
        <f t="shared" si="1283"/>
        <v/>
      </c>
      <c r="U7977" t="str">
        <f t="shared" si="1284"/>
        <v/>
      </c>
      <c r="V7977" t="str">
        <f t="shared" si="1285"/>
        <v/>
      </c>
      <c r="W7977" t="str">
        <f t="shared" si="1286"/>
        <v/>
      </c>
      <c r="X7977">
        <f t="shared" si="1276"/>
        <v>0</v>
      </c>
      <c r="Z7977" t="str">
        <f t="shared" si="1287"/>
        <v/>
      </c>
      <c r="AA7977">
        <f t="shared" si="1277"/>
        <v>0</v>
      </c>
    </row>
    <row r="7978" spans="1:27" ht="21" customHeight="1" x14ac:dyDescent="0.95">
      <c r="A7978" s="56"/>
      <c r="B7978" s="57"/>
      <c r="C7978" s="57"/>
      <c r="D7978" s="57"/>
      <c r="E7978" s="56"/>
      <c r="F7978" s="57"/>
      <c r="G7978" s="57"/>
      <c r="H7978" s="56"/>
      <c r="I7978" s="56"/>
      <c r="J7978" s="58"/>
      <c r="K7978" s="58"/>
      <c r="L7978" s="13" t="str">
        <f t="shared" si="1278"/>
        <v/>
      </c>
      <c r="M7978" s="13" t="str">
        <f t="shared" si="1279"/>
        <v/>
      </c>
      <c r="Q7978" t="str">
        <f t="shared" si="1280"/>
        <v/>
      </c>
      <c r="R7978" t="str">
        <f t="shared" si="1281"/>
        <v/>
      </c>
      <c r="S7978" t="str">
        <f t="shared" si="1282"/>
        <v/>
      </c>
      <c r="T7978" t="str">
        <f t="shared" si="1283"/>
        <v/>
      </c>
      <c r="U7978" t="str">
        <f t="shared" si="1284"/>
        <v/>
      </c>
      <c r="V7978" t="str">
        <f t="shared" si="1285"/>
        <v/>
      </c>
      <c r="W7978" t="str">
        <f t="shared" si="1286"/>
        <v/>
      </c>
      <c r="X7978">
        <f t="shared" si="1276"/>
        <v>0</v>
      </c>
      <c r="Z7978" t="str">
        <f t="shared" si="1287"/>
        <v/>
      </c>
      <c r="AA7978">
        <f t="shared" si="1277"/>
        <v>0</v>
      </c>
    </row>
    <row r="7979" spans="1:27" ht="21" customHeight="1" x14ac:dyDescent="0.95">
      <c r="A7979" s="56"/>
      <c r="B7979" s="57"/>
      <c r="C7979" s="57"/>
      <c r="D7979" s="57"/>
      <c r="E7979" s="56"/>
      <c r="F7979" s="57"/>
      <c r="G7979" s="57"/>
      <c r="H7979" s="56"/>
      <c r="I7979" s="56"/>
      <c r="J7979" s="58"/>
      <c r="K7979" s="58"/>
      <c r="L7979" s="13" t="str">
        <f t="shared" si="1278"/>
        <v/>
      </c>
      <c r="M7979" s="13" t="str">
        <f t="shared" si="1279"/>
        <v/>
      </c>
      <c r="Q7979" t="str">
        <f t="shared" si="1280"/>
        <v/>
      </c>
      <c r="R7979" t="str">
        <f t="shared" si="1281"/>
        <v/>
      </c>
      <c r="S7979" t="str">
        <f t="shared" si="1282"/>
        <v/>
      </c>
      <c r="T7979" t="str">
        <f t="shared" si="1283"/>
        <v/>
      </c>
      <c r="U7979" t="str">
        <f t="shared" si="1284"/>
        <v/>
      </c>
      <c r="V7979" t="str">
        <f t="shared" si="1285"/>
        <v/>
      </c>
      <c r="W7979" t="str">
        <f t="shared" si="1286"/>
        <v/>
      </c>
      <c r="X7979">
        <f t="shared" si="1276"/>
        <v>0</v>
      </c>
      <c r="Z7979" t="str">
        <f t="shared" si="1287"/>
        <v/>
      </c>
      <c r="AA7979">
        <f t="shared" si="1277"/>
        <v>0</v>
      </c>
    </row>
    <row r="7980" spans="1:27" ht="21" customHeight="1" x14ac:dyDescent="0.95">
      <c r="A7980" s="56"/>
      <c r="B7980" s="57"/>
      <c r="C7980" s="57"/>
      <c r="D7980" s="57"/>
      <c r="E7980" s="56"/>
      <c r="F7980" s="57"/>
      <c r="G7980" s="57"/>
      <c r="H7980" s="56"/>
      <c r="I7980" s="56"/>
      <c r="J7980" s="58"/>
      <c r="K7980" s="58"/>
      <c r="L7980" s="13" t="str">
        <f t="shared" si="1278"/>
        <v/>
      </c>
      <c r="M7980" s="13" t="str">
        <f t="shared" si="1279"/>
        <v/>
      </c>
      <c r="Q7980" t="str">
        <f t="shared" si="1280"/>
        <v/>
      </c>
      <c r="R7980" t="str">
        <f t="shared" si="1281"/>
        <v/>
      </c>
      <c r="S7980" t="str">
        <f t="shared" si="1282"/>
        <v/>
      </c>
      <c r="T7980" t="str">
        <f t="shared" si="1283"/>
        <v/>
      </c>
      <c r="U7980" t="str">
        <f t="shared" si="1284"/>
        <v/>
      </c>
      <c r="V7980" t="str">
        <f t="shared" si="1285"/>
        <v/>
      </c>
      <c r="W7980" t="str">
        <f t="shared" si="1286"/>
        <v/>
      </c>
      <c r="X7980">
        <f t="shared" si="1276"/>
        <v>0</v>
      </c>
      <c r="Z7980" t="str">
        <f t="shared" si="1287"/>
        <v/>
      </c>
      <c r="AA7980">
        <f t="shared" si="1277"/>
        <v>0</v>
      </c>
    </row>
    <row r="7981" spans="1:27" ht="21" customHeight="1" x14ac:dyDescent="0.95">
      <c r="A7981" s="56"/>
      <c r="B7981" s="57"/>
      <c r="C7981" s="57"/>
      <c r="D7981" s="57"/>
      <c r="E7981" s="56"/>
      <c r="F7981" s="57"/>
      <c r="G7981" s="57"/>
      <c r="H7981" s="56"/>
      <c r="I7981" s="56"/>
      <c r="J7981" s="58"/>
      <c r="K7981" s="58"/>
      <c r="L7981" s="13" t="str">
        <f t="shared" si="1278"/>
        <v/>
      </c>
      <c r="M7981" s="13" t="str">
        <f t="shared" si="1279"/>
        <v/>
      </c>
      <c r="Q7981" t="str">
        <f t="shared" si="1280"/>
        <v/>
      </c>
      <c r="R7981" t="str">
        <f t="shared" si="1281"/>
        <v/>
      </c>
      <c r="S7981" t="str">
        <f t="shared" si="1282"/>
        <v/>
      </c>
      <c r="T7981" t="str">
        <f t="shared" si="1283"/>
        <v/>
      </c>
      <c r="U7981" t="str">
        <f t="shared" si="1284"/>
        <v/>
      </c>
      <c r="V7981" t="str">
        <f t="shared" si="1285"/>
        <v/>
      </c>
      <c r="W7981" t="str">
        <f t="shared" si="1286"/>
        <v/>
      </c>
      <c r="X7981">
        <f t="shared" si="1276"/>
        <v>0</v>
      </c>
      <c r="Z7981" t="str">
        <f t="shared" si="1287"/>
        <v/>
      </c>
      <c r="AA7981">
        <f t="shared" si="1277"/>
        <v>0</v>
      </c>
    </row>
    <row r="7982" spans="1:27" ht="21" customHeight="1" x14ac:dyDescent="0.95">
      <c r="A7982" s="56"/>
      <c r="B7982" s="57"/>
      <c r="C7982" s="57"/>
      <c r="D7982" s="57"/>
      <c r="E7982" s="56"/>
      <c r="F7982" s="57"/>
      <c r="G7982" s="57"/>
      <c r="H7982" s="56"/>
      <c r="I7982" s="56"/>
      <c r="J7982" s="58"/>
      <c r="K7982" s="58"/>
      <c r="L7982" s="13" t="str">
        <f t="shared" si="1278"/>
        <v/>
      </c>
      <c r="M7982" s="13" t="str">
        <f t="shared" si="1279"/>
        <v/>
      </c>
      <c r="Q7982" t="str">
        <f t="shared" si="1280"/>
        <v/>
      </c>
      <c r="R7982" t="str">
        <f t="shared" si="1281"/>
        <v/>
      </c>
      <c r="S7982" t="str">
        <f t="shared" si="1282"/>
        <v/>
      </c>
      <c r="T7982" t="str">
        <f t="shared" si="1283"/>
        <v/>
      </c>
      <c r="U7982" t="str">
        <f t="shared" si="1284"/>
        <v/>
      </c>
      <c r="V7982" t="str">
        <f t="shared" si="1285"/>
        <v/>
      </c>
      <c r="W7982" t="str">
        <f t="shared" si="1286"/>
        <v/>
      </c>
      <c r="X7982">
        <f t="shared" si="1276"/>
        <v>0</v>
      </c>
      <c r="Z7982" t="str">
        <f t="shared" si="1287"/>
        <v/>
      </c>
      <c r="AA7982">
        <f t="shared" si="1277"/>
        <v>0</v>
      </c>
    </row>
    <row r="7983" spans="1:27" ht="21" customHeight="1" x14ac:dyDescent="0.95">
      <c r="A7983" s="56"/>
      <c r="B7983" s="57"/>
      <c r="C7983" s="57"/>
      <c r="D7983" s="57"/>
      <c r="E7983" s="56"/>
      <c r="F7983" s="57"/>
      <c r="G7983" s="57"/>
      <c r="H7983" s="56"/>
      <c r="I7983" s="56"/>
      <c r="J7983" s="58"/>
      <c r="K7983" s="58"/>
      <c r="L7983" s="13" t="str">
        <f t="shared" si="1278"/>
        <v/>
      </c>
      <c r="M7983" s="13" t="str">
        <f t="shared" si="1279"/>
        <v/>
      </c>
      <c r="Q7983" t="str">
        <f t="shared" si="1280"/>
        <v/>
      </c>
      <c r="R7983" t="str">
        <f t="shared" si="1281"/>
        <v/>
      </c>
      <c r="S7983" t="str">
        <f t="shared" si="1282"/>
        <v/>
      </c>
      <c r="T7983" t="str">
        <f t="shared" si="1283"/>
        <v/>
      </c>
      <c r="U7983" t="str">
        <f t="shared" si="1284"/>
        <v/>
      </c>
      <c r="V7983" t="str">
        <f t="shared" si="1285"/>
        <v/>
      </c>
      <c r="W7983" t="str">
        <f t="shared" si="1286"/>
        <v/>
      </c>
      <c r="X7983">
        <f t="shared" si="1276"/>
        <v>0</v>
      </c>
      <c r="Z7983" t="str">
        <f t="shared" si="1287"/>
        <v/>
      </c>
      <c r="AA7983">
        <f t="shared" si="1277"/>
        <v>0</v>
      </c>
    </row>
    <row r="7984" spans="1:27" ht="21" customHeight="1" x14ac:dyDescent="0.95">
      <c r="A7984" s="56"/>
      <c r="B7984" s="57"/>
      <c r="C7984" s="57"/>
      <c r="D7984" s="57"/>
      <c r="E7984" s="56"/>
      <c r="F7984" s="57"/>
      <c r="G7984" s="57"/>
      <c r="H7984" s="56"/>
      <c r="I7984" s="56"/>
      <c r="J7984" s="58"/>
      <c r="K7984" s="58"/>
      <c r="L7984" s="13" t="str">
        <f t="shared" si="1278"/>
        <v/>
      </c>
      <c r="M7984" s="13" t="str">
        <f t="shared" si="1279"/>
        <v/>
      </c>
      <c r="Q7984" t="str">
        <f t="shared" si="1280"/>
        <v/>
      </c>
      <c r="R7984" t="str">
        <f t="shared" si="1281"/>
        <v/>
      </c>
      <c r="S7984" t="str">
        <f t="shared" si="1282"/>
        <v/>
      </c>
      <c r="T7984" t="str">
        <f t="shared" si="1283"/>
        <v/>
      </c>
      <c r="U7984" t="str">
        <f t="shared" si="1284"/>
        <v/>
      </c>
      <c r="V7984" t="str">
        <f t="shared" si="1285"/>
        <v/>
      </c>
      <c r="W7984" t="str">
        <f t="shared" si="1286"/>
        <v/>
      </c>
      <c r="X7984">
        <f t="shared" si="1276"/>
        <v>0</v>
      </c>
      <c r="Z7984" t="str">
        <f t="shared" si="1287"/>
        <v/>
      </c>
      <c r="AA7984">
        <f t="shared" si="1277"/>
        <v>0</v>
      </c>
    </row>
    <row r="7985" spans="1:27" ht="21" customHeight="1" x14ac:dyDescent="0.95">
      <c r="A7985" s="56"/>
      <c r="B7985" s="57"/>
      <c r="C7985" s="57"/>
      <c r="D7985" s="57"/>
      <c r="E7985" s="56"/>
      <c r="F7985" s="57"/>
      <c r="G7985" s="57"/>
      <c r="H7985" s="56"/>
      <c r="I7985" s="56"/>
      <c r="J7985" s="58"/>
      <c r="K7985" s="58"/>
      <c r="L7985" s="13" t="str">
        <f t="shared" si="1278"/>
        <v/>
      </c>
      <c r="M7985" s="13" t="str">
        <f t="shared" si="1279"/>
        <v/>
      </c>
      <c r="Q7985" t="str">
        <f t="shared" si="1280"/>
        <v/>
      </c>
      <c r="R7985" t="str">
        <f t="shared" si="1281"/>
        <v/>
      </c>
      <c r="S7985" t="str">
        <f t="shared" si="1282"/>
        <v/>
      </c>
      <c r="T7985" t="str">
        <f t="shared" si="1283"/>
        <v/>
      </c>
      <c r="U7985" t="str">
        <f t="shared" si="1284"/>
        <v/>
      </c>
      <c r="V7985" t="str">
        <f t="shared" si="1285"/>
        <v/>
      </c>
      <c r="W7985" t="str">
        <f t="shared" si="1286"/>
        <v/>
      </c>
      <c r="X7985">
        <f t="shared" si="1276"/>
        <v>0</v>
      </c>
      <c r="Z7985" t="str">
        <f t="shared" si="1287"/>
        <v/>
      </c>
      <c r="AA7985">
        <f t="shared" si="1277"/>
        <v>0</v>
      </c>
    </row>
    <row r="7986" spans="1:27" ht="21" customHeight="1" x14ac:dyDescent="0.95">
      <c r="A7986" s="56"/>
      <c r="B7986" s="57"/>
      <c r="C7986" s="57"/>
      <c r="D7986" s="57"/>
      <c r="E7986" s="56"/>
      <c r="F7986" s="57"/>
      <c r="G7986" s="57"/>
      <c r="H7986" s="56"/>
      <c r="I7986" s="56"/>
      <c r="J7986" s="58"/>
      <c r="K7986" s="58"/>
      <c r="L7986" s="13" t="str">
        <f t="shared" si="1278"/>
        <v/>
      </c>
      <c r="M7986" s="13" t="str">
        <f t="shared" si="1279"/>
        <v/>
      </c>
      <c r="Q7986" t="str">
        <f t="shared" si="1280"/>
        <v/>
      </c>
      <c r="R7986" t="str">
        <f t="shared" si="1281"/>
        <v/>
      </c>
      <c r="S7986" t="str">
        <f t="shared" si="1282"/>
        <v/>
      </c>
      <c r="T7986" t="str">
        <f t="shared" si="1283"/>
        <v/>
      </c>
      <c r="U7986" t="str">
        <f t="shared" si="1284"/>
        <v/>
      </c>
      <c r="V7986" t="str">
        <f t="shared" si="1285"/>
        <v/>
      </c>
      <c r="W7986" t="str">
        <f t="shared" si="1286"/>
        <v/>
      </c>
      <c r="X7986">
        <f t="shared" si="1276"/>
        <v>0</v>
      </c>
      <c r="Z7986" t="str">
        <f t="shared" si="1287"/>
        <v/>
      </c>
      <c r="AA7986">
        <f t="shared" si="1277"/>
        <v>0</v>
      </c>
    </row>
    <row r="7987" spans="1:27" ht="21" customHeight="1" x14ac:dyDescent="0.95">
      <c r="A7987" s="56"/>
      <c r="B7987" s="57"/>
      <c r="C7987" s="57"/>
      <c r="D7987" s="57"/>
      <c r="E7987" s="56"/>
      <c r="F7987" s="57"/>
      <c r="G7987" s="57"/>
      <c r="H7987" s="56"/>
      <c r="I7987" s="56"/>
      <c r="J7987" s="58"/>
      <c r="K7987" s="58"/>
      <c r="L7987" s="13" t="str">
        <f t="shared" si="1278"/>
        <v/>
      </c>
      <c r="M7987" s="13" t="str">
        <f t="shared" si="1279"/>
        <v/>
      </c>
      <c r="Q7987" t="str">
        <f t="shared" si="1280"/>
        <v/>
      </c>
      <c r="R7987" t="str">
        <f t="shared" si="1281"/>
        <v/>
      </c>
      <c r="S7987" t="str">
        <f t="shared" si="1282"/>
        <v/>
      </c>
      <c r="T7987" t="str">
        <f t="shared" si="1283"/>
        <v/>
      </c>
      <c r="U7987" t="str">
        <f t="shared" si="1284"/>
        <v/>
      </c>
      <c r="V7987" t="str">
        <f t="shared" si="1285"/>
        <v/>
      </c>
      <c r="W7987" t="str">
        <f t="shared" si="1286"/>
        <v/>
      </c>
      <c r="X7987">
        <f t="shared" si="1276"/>
        <v>0</v>
      </c>
      <c r="Z7987" t="str">
        <f t="shared" si="1287"/>
        <v/>
      </c>
      <c r="AA7987">
        <f t="shared" si="1277"/>
        <v>0</v>
      </c>
    </row>
    <row r="7988" spans="1:27" ht="21" customHeight="1" x14ac:dyDescent="0.95">
      <c r="A7988" s="56"/>
      <c r="B7988" s="57"/>
      <c r="C7988" s="57"/>
      <c r="D7988" s="57"/>
      <c r="E7988" s="56"/>
      <c r="F7988" s="57"/>
      <c r="G7988" s="57"/>
      <c r="H7988" s="56"/>
      <c r="I7988" s="56"/>
      <c r="J7988" s="58"/>
      <c r="K7988" s="58"/>
      <c r="L7988" s="13" t="str">
        <f t="shared" si="1278"/>
        <v/>
      </c>
      <c r="M7988" s="13" t="str">
        <f t="shared" si="1279"/>
        <v/>
      </c>
      <c r="Q7988" t="str">
        <f t="shared" si="1280"/>
        <v/>
      </c>
      <c r="R7988" t="str">
        <f t="shared" si="1281"/>
        <v/>
      </c>
      <c r="S7988" t="str">
        <f t="shared" si="1282"/>
        <v/>
      </c>
      <c r="T7988" t="str">
        <f t="shared" si="1283"/>
        <v/>
      </c>
      <c r="U7988" t="str">
        <f t="shared" si="1284"/>
        <v/>
      </c>
      <c r="V7988" t="str">
        <f t="shared" si="1285"/>
        <v/>
      </c>
      <c r="W7988" t="str">
        <f t="shared" si="1286"/>
        <v/>
      </c>
      <c r="X7988">
        <f t="shared" si="1276"/>
        <v>0</v>
      </c>
      <c r="Z7988" t="str">
        <f t="shared" si="1287"/>
        <v/>
      </c>
      <c r="AA7988">
        <f t="shared" si="1277"/>
        <v>0</v>
      </c>
    </row>
    <row r="7989" spans="1:27" ht="21" customHeight="1" x14ac:dyDescent="0.95">
      <c r="A7989" s="56"/>
      <c r="B7989" s="57"/>
      <c r="C7989" s="57"/>
      <c r="D7989" s="57"/>
      <c r="E7989" s="56"/>
      <c r="F7989" s="57"/>
      <c r="G7989" s="57"/>
      <c r="H7989" s="56"/>
      <c r="I7989" s="56"/>
      <c r="J7989" s="58"/>
      <c r="K7989" s="58"/>
      <c r="L7989" s="13" t="str">
        <f t="shared" si="1278"/>
        <v/>
      </c>
      <c r="M7989" s="13" t="str">
        <f t="shared" si="1279"/>
        <v/>
      </c>
      <c r="Q7989" t="str">
        <f t="shared" si="1280"/>
        <v/>
      </c>
      <c r="R7989" t="str">
        <f t="shared" si="1281"/>
        <v/>
      </c>
      <c r="S7989" t="str">
        <f t="shared" si="1282"/>
        <v/>
      </c>
      <c r="T7989" t="str">
        <f t="shared" si="1283"/>
        <v/>
      </c>
      <c r="U7989" t="str">
        <f t="shared" si="1284"/>
        <v/>
      </c>
      <c r="V7989" t="str">
        <f t="shared" si="1285"/>
        <v/>
      </c>
      <c r="W7989" t="str">
        <f t="shared" si="1286"/>
        <v/>
      </c>
      <c r="X7989">
        <f t="shared" ref="X7989:X8052" si="1288">IF($T7989="",N($X7988),IF(MATCH($T7989,$T$6:$T$10005,0)=ROW()-5,N($X7988)+1,N($X7988)))</f>
        <v>0</v>
      </c>
      <c r="Z7989" t="str">
        <f t="shared" si="1287"/>
        <v/>
      </c>
      <c r="AA7989">
        <f t="shared" ref="AA7989:AA8052" si="1289">IF($V7989="",N($AA7988),IF(MATCH($V7989,$V$6:$V$10005,0)=ROW()-5,N($AA7988)+1,N($AA7988)))</f>
        <v>0</v>
      </c>
    </row>
    <row r="7990" spans="1:27" ht="21" customHeight="1" x14ac:dyDescent="0.95">
      <c r="A7990" s="56"/>
      <c r="B7990" s="57"/>
      <c r="C7990" s="57"/>
      <c r="D7990" s="57"/>
      <c r="E7990" s="56"/>
      <c r="F7990" s="57"/>
      <c r="G7990" s="57"/>
      <c r="H7990" s="56"/>
      <c r="I7990" s="56"/>
      <c r="J7990" s="58"/>
      <c r="K7990" s="58"/>
      <c r="L7990" s="13" t="str">
        <f t="shared" si="1278"/>
        <v/>
      </c>
      <c r="M7990" s="13" t="str">
        <f t="shared" si="1279"/>
        <v/>
      </c>
      <c r="Q7990" t="str">
        <f t="shared" si="1280"/>
        <v/>
      </c>
      <c r="R7990" t="str">
        <f t="shared" si="1281"/>
        <v/>
      </c>
      <c r="S7990" t="str">
        <f t="shared" si="1282"/>
        <v/>
      </c>
      <c r="T7990" t="str">
        <f t="shared" si="1283"/>
        <v/>
      </c>
      <c r="U7990" t="str">
        <f t="shared" si="1284"/>
        <v/>
      </c>
      <c r="V7990" t="str">
        <f t="shared" si="1285"/>
        <v/>
      </c>
      <c r="W7990" t="str">
        <f t="shared" si="1286"/>
        <v/>
      </c>
      <c r="X7990">
        <f t="shared" si="1288"/>
        <v>0</v>
      </c>
      <c r="Z7990" t="str">
        <f t="shared" si="1287"/>
        <v/>
      </c>
      <c r="AA7990">
        <f t="shared" si="1289"/>
        <v>0</v>
      </c>
    </row>
    <row r="7991" spans="1:27" ht="21" customHeight="1" x14ac:dyDescent="0.95">
      <c r="A7991" s="56"/>
      <c r="B7991" s="57"/>
      <c r="C7991" s="57"/>
      <c r="D7991" s="57"/>
      <c r="E7991" s="56"/>
      <c r="F7991" s="57"/>
      <c r="G7991" s="57"/>
      <c r="H7991" s="56"/>
      <c r="I7991" s="56"/>
      <c r="J7991" s="58"/>
      <c r="K7991" s="58"/>
      <c r="L7991" s="13" t="str">
        <f t="shared" si="1278"/>
        <v/>
      </c>
      <c r="M7991" s="13" t="str">
        <f t="shared" si="1279"/>
        <v/>
      </c>
      <c r="Q7991" t="str">
        <f t="shared" si="1280"/>
        <v/>
      </c>
      <c r="R7991" t="str">
        <f t="shared" si="1281"/>
        <v/>
      </c>
      <c r="S7991" t="str">
        <f t="shared" si="1282"/>
        <v/>
      </c>
      <c r="T7991" t="str">
        <f t="shared" si="1283"/>
        <v/>
      </c>
      <c r="U7991" t="str">
        <f t="shared" si="1284"/>
        <v/>
      </c>
      <c r="V7991" t="str">
        <f t="shared" si="1285"/>
        <v/>
      </c>
      <c r="W7991" t="str">
        <f t="shared" si="1286"/>
        <v/>
      </c>
      <c r="X7991">
        <f t="shared" si="1288"/>
        <v>0</v>
      </c>
      <c r="Z7991" t="str">
        <f t="shared" si="1287"/>
        <v/>
      </c>
      <c r="AA7991">
        <f t="shared" si="1289"/>
        <v>0</v>
      </c>
    </row>
    <row r="7992" spans="1:27" ht="21" customHeight="1" x14ac:dyDescent="0.95">
      <c r="A7992" s="56"/>
      <c r="B7992" s="57"/>
      <c r="C7992" s="57"/>
      <c r="D7992" s="57"/>
      <c r="E7992" s="56"/>
      <c r="F7992" s="57"/>
      <c r="G7992" s="57"/>
      <c r="H7992" s="56"/>
      <c r="I7992" s="56"/>
      <c r="J7992" s="58"/>
      <c r="K7992" s="58"/>
      <c r="L7992" s="13" t="str">
        <f t="shared" si="1278"/>
        <v/>
      </c>
      <c r="M7992" s="13" t="str">
        <f t="shared" si="1279"/>
        <v/>
      </c>
      <c r="Q7992" t="str">
        <f t="shared" si="1280"/>
        <v/>
      </c>
      <c r="R7992" t="str">
        <f t="shared" si="1281"/>
        <v/>
      </c>
      <c r="S7992" t="str">
        <f t="shared" si="1282"/>
        <v/>
      </c>
      <c r="T7992" t="str">
        <f t="shared" si="1283"/>
        <v/>
      </c>
      <c r="U7992" t="str">
        <f t="shared" si="1284"/>
        <v/>
      </c>
      <c r="V7992" t="str">
        <f t="shared" si="1285"/>
        <v/>
      </c>
      <c r="W7992" t="str">
        <f t="shared" si="1286"/>
        <v/>
      </c>
      <c r="X7992">
        <f t="shared" si="1288"/>
        <v>0</v>
      </c>
      <c r="Z7992" t="str">
        <f t="shared" si="1287"/>
        <v/>
      </c>
      <c r="AA7992">
        <f t="shared" si="1289"/>
        <v>0</v>
      </c>
    </row>
    <row r="7993" spans="1:27" ht="21" customHeight="1" x14ac:dyDescent="0.95">
      <c r="A7993" s="56"/>
      <c r="B7993" s="57"/>
      <c r="C7993" s="57"/>
      <c r="D7993" s="57"/>
      <c r="E7993" s="56"/>
      <c r="F7993" s="57"/>
      <c r="G7993" s="57"/>
      <c r="H7993" s="56"/>
      <c r="I7993" s="56"/>
      <c r="J7993" s="58"/>
      <c r="K7993" s="58"/>
      <c r="L7993" s="13" t="str">
        <f t="shared" si="1278"/>
        <v/>
      </c>
      <c r="M7993" s="13" t="str">
        <f t="shared" si="1279"/>
        <v/>
      </c>
      <c r="Q7993" t="str">
        <f t="shared" si="1280"/>
        <v/>
      </c>
      <c r="R7993" t="str">
        <f t="shared" si="1281"/>
        <v/>
      </c>
      <c r="S7993" t="str">
        <f t="shared" si="1282"/>
        <v/>
      </c>
      <c r="T7993" t="str">
        <f t="shared" si="1283"/>
        <v/>
      </c>
      <c r="U7993" t="str">
        <f t="shared" si="1284"/>
        <v/>
      </c>
      <c r="V7993" t="str">
        <f t="shared" si="1285"/>
        <v/>
      </c>
      <c r="W7993" t="str">
        <f t="shared" si="1286"/>
        <v/>
      </c>
      <c r="X7993">
        <f t="shared" si="1288"/>
        <v>0</v>
      </c>
      <c r="Z7993" t="str">
        <f t="shared" si="1287"/>
        <v/>
      </c>
      <c r="AA7993">
        <f t="shared" si="1289"/>
        <v>0</v>
      </c>
    </row>
    <row r="7994" spans="1:27" ht="21" customHeight="1" x14ac:dyDescent="0.95">
      <c r="A7994" s="56"/>
      <c r="B7994" s="57"/>
      <c r="C7994" s="57"/>
      <c r="D7994" s="57"/>
      <c r="E7994" s="56"/>
      <c r="F7994" s="57"/>
      <c r="G7994" s="57"/>
      <c r="H7994" s="56"/>
      <c r="I7994" s="56"/>
      <c r="J7994" s="58"/>
      <c r="K7994" s="58"/>
      <c r="L7994" s="13" t="str">
        <f t="shared" si="1278"/>
        <v/>
      </c>
      <c r="M7994" s="13" t="str">
        <f t="shared" si="1279"/>
        <v/>
      </c>
      <c r="Q7994" t="str">
        <f t="shared" si="1280"/>
        <v/>
      </c>
      <c r="R7994" t="str">
        <f t="shared" si="1281"/>
        <v/>
      </c>
      <c r="S7994" t="str">
        <f t="shared" si="1282"/>
        <v/>
      </c>
      <c r="T7994" t="str">
        <f t="shared" si="1283"/>
        <v/>
      </c>
      <c r="U7994" t="str">
        <f t="shared" si="1284"/>
        <v/>
      </c>
      <c r="V7994" t="str">
        <f t="shared" si="1285"/>
        <v/>
      </c>
      <c r="W7994" t="str">
        <f t="shared" si="1286"/>
        <v/>
      </c>
      <c r="X7994">
        <f t="shared" si="1288"/>
        <v>0</v>
      </c>
      <c r="Z7994" t="str">
        <f t="shared" si="1287"/>
        <v/>
      </c>
      <c r="AA7994">
        <f t="shared" si="1289"/>
        <v>0</v>
      </c>
    </row>
    <row r="7995" spans="1:27" ht="21" customHeight="1" x14ac:dyDescent="0.95">
      <c r="A7995" s="56"/>
      <c r="B7995" s="57"/>
      <c r="C7995" s="57"/>
      <c r="D7995" s="57"/>
      <c r="E7995" s="56"/>
      <c r="F7995" s="57"/>
      <c r="G7995" s="57"/>
      <c r="H7995" s="56"/>
      <c r="I7995" s="56"/>
      <c r="J7995" s="58"/>
      <c r="K7995" s="58"/>
      <c r="L7995" s="13" t="str">
        <f t="shared" si="1278"/>
        <v/>
      </c>
      <c r="M7995" s="13" t="str">
        <f t="shared" si="1279"/>
        <v/>
      </c>
      <c r="Q7995" t="str">
        <f t="shared" si="1280"/>
        <v/>
      </c>
      <c r="R7995" t="str">
        <f t="shared" si="1281"/>
        <v/>
      </c>
      <c r="S7995" t="str">
        <f t="shared" si="1282"/>
        <v/>
      </c>
      <c r="T7995" t="str">
        <f t="shared" si="1283"/>
        <v/>
      </c>
      <c r="U7995" t="str">
        <f t="shared" si="1284"/>
        <v/>
      </c>
      <c r="V7995" t="str">
        <f t="shared" si="1285"/>
        <v/>
      </c>
      <c r="W7995" t="str">
        <f t="shared" si="1286"/>
        <v/>
      </c>
      <c r="X7995">
        <f t="shared" si="1288"/>
        <v>0</v>
      </c>
      <c r="Z7995" t="str">
        <f t="shared" si="1287"/>
        <v/>
      </c>
      <c r="AA7995">
        <f t="shared" si="1289"/>
        <v>0</v>
      </c>
    </row>
    <row r="7996" spans="1:27" ht="21" customHeight="1" x14ac:dyDescent="0.95">
      <c r="A7996" s="56"/>
      <c r="B7996" s="57"/>
      <c r="C7996" s="57"/>
      <c r="D7996" s="57"/>
      <c r="E7996" s="56"/>
      <c r="F7996" s="57"/>
      <c r="G7996" s="57"/>
      <c r="H7996" s="56"/>
      <c r="I7996" s="56"/>
      <c r="J7996" s="58"/>
      <c r="K7996" s="58"/>
      <c r="L7996" s="13" t="str">
        <f t="shared" si="1278"/>
        <v/>
      </c>
      <c r="M7996" s="13" t="str">
        <f t="shared" si="1279"/>
        <v/>
      </c>
      <c r="Q7996" t="str">
        <f t="shared" si="1280"/>
        <v/>
      </c>
      <c r="R7996" t="str">
        <f t="shared" si="1281"/>
        <v/>
      </c>
      <c r="S7996" t="str">
        <f t="shared" si="1282"/>
        <v/>
      </c>
      <c r="T7996" t="str">
        <f t="shared" si="1283"/>
        <v/>
      </c>
      <c r="U7996" t="str">
        <f t="shared" si="1284"/>
        <v/>
      </c>
      <c r="V7996" t="str">
        <f t="shared" si="1285"/>
        <v/>
      </c>
      <c r="W7996" t="str">
        <f t="shared" si="1286"/>
        <v/>
      </c>
      <c r="X7996">
        <f t="shared" si="1288"/>
        <v>0</v>
      </c>
      <c r="Z7996" t="str">
        <f t="shared" si="1287"/>
        <v/>
      </c>
      <c r="AA7996">
        <f t="shared" si="1289"/>
        <v>0</v>
      </c>
    </row>
    <row r="7997" spans="1:27" ht="21" customHeight="1" x14ac:dyDescent="0.95">
      <c r="A7997" s="56"/>
      <c r="B7997" s="57"/>
      <c r="C7997" s="57"/>
      <c r="D7997" s="57"/>
      <c r="E7997" s="56"/>
      <c r="F7997" s="57"/>
      <c r="G7997" s="57"/>
      <c r="H7997" s="56"/>
      <c r="I7997" s="56"/>
      <c r="J7997" s="58"/>
      <c r="K7997" s="58"/>
      <c r="L7997" s="13" t="str">
        <f t="shared" si="1278"/>
        <v/>
      </c>
      <c r="M7997" s="13" t="str">
        <f t="shared" si="1279"/>
        <v/>
      </c>
      <c r="Q7997" t="str">
        <f t="shared" si="1280"/>
        <v/>
      </c>
      <c r="R7997" t="str">
        <f t="shared" si="1281"/>
        <v/>
      </c>
      <c r="S7997" t="str">
        <f t="shared" si="1282"/>
        <v/>
      </c>
      <c r="T7997" t="str">
        <f t="shared" si="1283"/>
        <v/>
      </c>
      <c r="U7997" t="str">
        <f t="shared" si="1284"/>
        <v/>
      </c>
      <c r="V7997" t="str">
        <f t="shared" si="1285"/>
        <v/>
      </c>
      <c r="W7997" t="str">
        <f t="shared" si="1286"/>
        <v/>
      </c>
      <c r="X7997">
        <f t="shared" si="1288"/>
        <v>0</v>
      </c>
      <c r="Z7997" t="str">
        <f t="shared" si="1287"/>
        <v/>
      </c>
      <c r="AA7997">
        <f t="shared" si="1289"/>
        <v>0</v>
      </c>
    </row>
    <row r="7998" spans="1:27" ht="21" customHeight="1" x14ac:dyDescent="0.95">
      <c r="A7998" s="56"/>
      <c r="B7998" s="57"/>
      <c r="C7998" s="57"/>
      <c r="D7998" s="57"/>
      <c r="E7998" s="56"/>
      <c r="F7998" s="57"/>
      <c r="G7998" s="57"/>
      <c r="H7998" s="56"/>
      <c r="I7998" s="56"/>
      <c r="J7998" s="58"/>
      <c r="K7998" s="58"/>
      <c r="L7998" s="13" t="str">
        <f t="shared" si="1278"/>
        <v/>
      </c>
      <c r="M7998" s="13" t="str">
        <f t="shared" si="1279"/>
        <v/>
      </c>
      <c r="Q7998" t="str">
        <f t="shared" si="1280"/>
        <v/>
      </c>
      <c r="R7998" t="str">
        <f t="shared" si="1281"/>
        <v/>
      </c>
      <c r="S7998" t="str">
        <f t="shared" si="1282"/>
        <v/>
      </c>
      <c r="T7998" t="str">
        <f t="shared" si="1283"/>
        <v/>
      </c>
      <c r="U7998" t="str">
        <f t="shared" si="1284"/>
        <v/>
      </c>
      <c r="V7998" t="str">
        <f t="shared" si="1285"/>
        <v/>
      </c>
      <c r="W7998" t="str">
        <f t="shared" si="1286"/>
        <v/>
      </c>
      <c r="X7998">
        <f t="shared" si="1288"/>
        <v>0</v>
      </c>
      <c r="Z7998" t="str">
        <f t="shared" si="1287"/>
        <v/>
      </c>
      <c r="AA7998">
        <f t="shared" si="1289"/>
        <v>0</v>
      </c>
    </row>
    <row r="7999" spans="1:27" ht="21" customHeight="1" x14ac:dyDescent="0.95">
      <c r="A7999" s="56"/>
      <c r="B7999" s="57"/>
      <c r="C7999" s="57"/>
      <c r="D7999" s="57"/>
      <c r="E7999" s="56"/>
      <c r="F7999" s="57"/>
      <c r="G7999" s="57"/>
      <c r="H7999" s="56"/>
      <c r="I7999" s="56"/>
      <c r="J7999" s="58"/>
      <c r="K7999" s="58"/>
      <c r="L7999" s="13" t="str">
        <f t="shared" si="1278"/>
        <v/>
      </c>
      <c r="M7999" s="13" t="str">
        <f t="shared" si="1279"/>
        <v/>
      </c>
      <c r="Q7999" t="str">
        <f t="shared" si="1280"/>
        <v/>
      </c>
      <c r="R7999" t="str">
        <f t="shared" si="1281"/>
        <v/>
      </c>
      <c r="S7999" t="str">
        <f t="shared" si="1282"/>
        <v/>
      </c>
      <c r="T7999" t="str">
        <f t="shared" si="1283"/>
        <v/>
      </c>
      <c r="U7999" t="str">
        <f t="shared" si="1284"/>
        <v/>
      </c>
      <c r="V7999" t="str">
        <f t="shared" si="1285"/>
        <v/>
      </c>
      <c r="W7999" t="str">
        <f t="shared" si="1286"/>
        <v/>
      </c>
      <c r="X7999">
        <f t="shared" si="1288"/>
        <v>0</v>
      </c>
      <c r="Z7999" t="str">
        <f t="shared" si="1287"/>
        <v/>
      </c>
      <c r="AA7999">
        <f t="shared" si="1289"/>
        <v>0</v>
      </c>
    </row>
    <row r="8000" spans="1:27" ht="21" customHeight="1" x14ac:dyDescent="0.95">
      <c r="A8000" s="56"/>
      <c r="B8000" s="57"/>
      <c r="C8000" s="57"/>
      <c r="D8000" s="57"/>
      <c r="E8000" s="56"/>
      <c r="F8000" s="57"/>
      <c r="G8000" s="57"/>
      <c r="H8000" s="56"/>
      <c r="I8000" s="56"/>
      <c r="J8000" s="58"/>
      <c r="K8000" s="58"/>
      <c r="L8000" s="13" t="str">
        <f t="shared" si="1278"/>
        <v/>
      </c>
      <c r="M8000" s="13" t="str">
        <f t="shared" si="1279"/>
        <v/>
      </c>
      <c r="Q8000" t="str">
        <f t="shared" si="1280"/>
        <v/>
      </c>
      <c r="R8000" t="str">
        <f t="shared" si="1281"/>
        <v/>
      </c>
      <c r="S8000" t="str">
        <f t="shared" si="1282"/>
        <v/>
      </c>
      <c r="T8000" t="str">
        <f t="shared" si="1283"/>
        <v/>
      </c>
      <c r="U8000" t="str">
        <f t="shared" si="1284"/>
        <v/>
      </c>
      <c r="V8000" t="str">
        <f t="shared" si="1285"/>
        <v/>
      </c>
      <c r="W8000" t="str">
        <f t="shared" si="1286"/>
        <v/>
      </c>
      <c r="X8000">
        <f t="shared" si="1288"/>
        <v>0</v>
      </c>
      <c r="Z8000" t="str">
        <f t="shared" si="1287"/>
        <v/>
      </c>
      <c r="AA8000">
        <f t="shared" si="1289"/>
        <v>0</v>
      </c>
    </row>
    <row r="8001" spans="1:27" ht="21" customHeight="1" x14ac:dyDescent="0.95">
      <c r="A8001" s="56"/>
      <c r="B8001" s="57"/>
      <c r="C8001" s="57"/>
      <c r="D8001" s="57"/>
      <c r="E8001" s="56"/>
      <c r="F8001" s="57"/>
      <c r="G8001" s="57"/>
      <c r="H8001" s="56"/>
      <c r="I8001" s="56"/>
      <c r="J8001" s="58"/>
      <c r="K8001" s="58"/>
      <c r="L8001" s="13" t="str">
        <f t="shared" si="1278"/>
        <v/>
      </c>
      <c r="M8001" s="13" t="str">
        <f t="shared" si="1279"/>
        <v/>
      </c>
      <c r="Q8001" t="str">
        <f t="shared" si="1280"/>
        <v/>
      </c>
      <c r="R8001" t="str">
        <f t="shared" si="1281"/>
        <v/>
      </c>
      <c r="S8001" t="str">
        <f t="shared" si="1282"/>
        <v/>
      </c>
      <c r="T8001" t="str">
        <f t="shared" si="1283"/>
        <v/>
      </c>
      <c r="U8001" t="str">
        <f t="shared" si="1284"/>
        <v/>
      </c>
      <c r="V8001" t="str">
        <f t="shared" si="1285"/>
        <v/>
      </c>
      <c r="W8001" t="str">
        <f t="shared" si="1286"/>
        <v/>
      </c>
      <c r="X8001">
        <f t="shared" si="1288"/>
        <v>0</v>
      </c>
      <c r="Z8001" t="str">
        <f t="shared" si="1287"/>
        <v/>
      </c>
      <c r="AA8001">
        <f t="shared" si="1289"/>
        <v>0</v>
      </c>
    </row>
    <row r="8002" spans="1:27" ht="21" customHeight="1" x14ac:dyDescent="0.95">
      <c r="A8002" s="56"/>
      <c r="B8002" s="57"/>
      <c r="C8002" s="57"/>
      <c r="D8002" s="57"/>
      <c r="E8002" s="56"/>
      <c r="F8002" s="57"/>
      <c r="G8002" s="57"/>
      <c r="H8002" s="56"/>
      <c r="I8002" s="56"/>
      <c r="J8002" s="58"/>
      <c r="K8002" s="58"/>
      <c r="L8002" s="13" t="str">
        <f t="shared" si="1278"/>
        <v/>
      </c>
      <c r="M8002" s="13" t="str">
        <f t="shared" si="1279"/>
        <v/>
      </c>
      <c r="Q8002" t="str">
        <f t="shared" si="1280"/>
        <v/>
      </c>
      <c r="R8002" t="str">
        <f t="shared" si="1281"/>
        <v/>
      </c>
      <c r="S8002" t="str">
        <f t="shared" si="1282"/>
        <v/>
      </c>
      <c r="T8002" t="str">
        <f t="shared" si="1283"/>
        <v/>
      </c>
      <c r="U8002" t="str">
        <f t="shared" si="1284"/>
        <v/>
      </c>
      <c r="V8002" t="str">
        <f t="shared" si="1285"/>
        <v/>
      </c>
      <c r="W8002" t="str">
        <f t="shared" si="1286"/>
        <v/>
      </c>
      <c r="X8002">
        <f t="shared" si="1288"/>
        <v>0</v>
      </c>
      <c r="Z8002" t="str">
        <f t="shared" si="1287"/>
        <v/>
      </c>
      <c r="AA8002">
        <f t="shared" si="1289"/>
        <v>0</v>
      </c>
    </row>
    <row r="8003" spans="1:27" ht="21" customHeight="1" x14ac:dyDescent="0.95">
      <c r="A8003" s="56"/>
      <c r="B8003" s="57"/>
      <c r="C8003" s="57"/>
      <c r="D8003" s="57"/>
      <c r="E8003" s="56"/>
      <c r="F8003" s="57"/>
      <c r="G8003" s="57"/>
      <c r="H8003" s="56"/>
      <c r="I8003" s="56"/>
      <c r="J8003" s="58"/>
      <c r="K8003" s="58"/>
      <c r="L8003" s="13" t="str">
        <f t="shared" si="1278"/>
        <v/>
      </c>
      <c r="M8003" s="13" t="str">
        <f t="shared" si="1279"/>
        <v/>
      </c>
      <c r="Q8003" t="str">
        <f t="shared" si="1280"/>
        <v/>
      </c>
      <c r="R8003" t="str">
        <f t="shared" si="1281"/>
        <v/>
      </c>
      <c r="S8003" t="str">
        <f t="shared" si="1282"/>
        <v/>
      </c>
      <c r="T8003" t="str">
        <f t="shared" si="1283"/>
        <v/>
      </c>
      <c r="U8003" t="str">
        <f t="shared" si="1284"/>
        <v/>
      </c>
      <c r="V8003" t="str">
        <f t="shared" si="1285"/>
        <v/>
      </c>
      <c r="W8003" t="str">
        <f t="shared" si="1286"/>
        <v/>
      </c>
      <c r="X8003">
        <f t="shared" si="1288"/>
        <v>0</v>
      </c>
      <c r="Z8003" t="str">
        <f t="shared" si="1287"/>
        <v/>
      </c>
      <c r="AA8003">
        <f t="shared" si="1289"/>
        <v>0</v>
      </c>
    </row>
    <row r="8004" spans="1:27" ht="21" customHeight="1" x14ac:dyDescent="0.95">
      <c r="A8004" s="56"/>
      <c r="B8004" s="57"/>
      <c r="C8004" s="57"/>
      <c r="D8004" s="57"/>
      <c r="E8004" s="56"/>
      <c r="F8004" s="57"/>
      <c r="G8004" s="57"/>
      <c r="H8004" s="56"/>
      <c r="I8004" s="56"/>
      <c r="J8004" s="58"/>
      <c r="K8004" s="58"/>
      <c r="L8004" s="13" t="str">
        <f t="shared" ref="L8004:L8067" si="1290">IF(OR($A8004="",AND($J8004="",$K8004="")),"",ROUND(N($J8004)-N($K8004),2))</f>
        <v/>
      </c>
      <c r="M8004" s="13" t="str">
        <f t="shared" ref="M8004:M8067" si="1291">IF(OR($A8004="",AND($J8004="",$K8004="")),"",MIN($J8004,$K8004))</f>
        <v/>
      </c>
      <c r="Q8004" t="str">
        <f t="shared" ref="Q8004:Q8067" si="1292">IF($A8004="","",$D8004&amp;"("&amp;SUBSTITUTE($E8004," ","")&amp;")")</f>
        <v/>
      </c>
      <c r="R8004" t="str">
        <f t="shared" ref="R8004:R8067" si="1293">IF($A8004="","",$B8004&amp;" - "&amp;$C8004)</f>
        <v/>
      </c>
      <c r="S8004" t="str">
        <f t="shared" ref="S8004:S8067" si="1294">IF($A8004="","",$R8004&amp;"|"&amp;$Q8004)</f>
        <v/>
      </c>
      <c r="T8004" t="str">
        <f t="shared" ref="T8004:T8067" si="1295">IF($A8004="","",$S8004&amp;"|"&amp;$F8004)</f>
        <v/>
      </c>
      <c r="U8004" t="str">
        <f t="shared" ref="U8004:U8067" si="1296">IF($A8004="","",$R8004&amp;"("&amp;$E8004&amp;")")</f>
        <v/>
      </c>
      <c r="V8004" t="str">
        <f t="shared" ref="V8004:V8067" si="1297">IF($A8004="","",$F8004&amp;"|"&amp;$U8004&amp;"|"&amp;$D8004)</f>
        <v/>
      </c>
      <c r="W8004" t="str">
        <f t="shared" si="1286"/>
        <v/>
      </c>
      <c r="X8004">
        <f t="shared" si="1288"/>
        <v>0</v>
      </c>
      <c r="Z8004" t="str">
        <f t="shared" si="1287"/>
        <v/>
      </c>
      <c r="AA8004">
        <f t="shared" si="1289"/>
        <v>0</v>
      </c>
    </row>
    <row r="8005" spans="1:27" ht="21" customHeight="1" x14ac:dyDescent="0.95">
      <c r="A8005" s="56"/>
      <c r="B8005" s="57"/>
      <c r="C8005" s="57"/>
      <c r="D8005" s="57"/>
      <c r="E8005" s="56"/>
      <c r="F8005" s="57"/>
      <c r="G8005" s="57"/>
      <c r="H8005" s="56"/>
      <c r="I8005" s="56"/>
      <c r="J8005" s="58"/>
      <c r="K8005" s="58"/>
      <c r="L8005" s="13" t="str">
        <f t="shared" si="1290"/>
        <v/>
      </c>
      <c r="M8005" s="13" t="str">
        <f t="shared" si="1291"/>
        <v/>
      </c>
      <c r="Q8005" t="str">
        <f t="shared" si="1292"/>
        <v/>
      </c>
      <c r="R8005" t="str">
        <f t="shared" si="1293"/>
        <v/>
      </c>
      <c r="S8005" t="str">
        <f t="shared" si="1294"/>
        <v/>
      </c>
      <c r="T8005" t="str">
        <f t="shared" si="1295"/>
        <v/>
      </c>
      <c r="U8005" t="str">
        <f t="shared" si="1296"/>
        <v/>
      </c>
      <c r="V8005" t="str">
        <f t="shared" si="1297"/>
        <v/>
      </c>
      <c r="W8005" t="str">
        <f t="shared" si="1286"/>
        <v/>
      </c>
      <c r="X8005">
        <f t="shared" si="1288"/>
        <v>0</v>
      </c>
      <c r="Z8005" t="str">
        <f t="shared" si="1287"/>
        <v/>
      </c>
      <c r="AA8005">
        <f t="shared" si="1289"/>
        <v>0</v>
      </c>
    </row>
    <row r="8006" spans="1:27" ht="21" customHeight="1" x14ac:dyDescent="0.95">
      <c r="A8006" s="56"/>
      <c r="B8006" s="57"/>
      <c r="C8006" s="57"/>
      <c r="D8006" s="57"/>
      <c r="E8006" s="56"/>
      <c r="F8006" s="57"/>
      <c r="G8006" s="57"/>
      <c r="H8006" s="56"/>
      <c r="I8006" s="56"/>
      <c r="J8006" s="58"/>
      <c r="K8006" s="58"/>
      <c r="L8006" s="13" t="str">
        <f t="shared" si="1290"/>
        <v/>
      </c>
      <c r="M8006" s="13" t="str">
        <f t="shared" si="1291"/>
        <v/>
      </c>
      <c r="Q8006" t="str">
        <f t="shared" si="1292"/>
        <v/>
      </c>
      <c r="R8006" t="str">
        <f t="shared" si="1293"/>
        <v/>
      </c>
      <c r="S8006" t="str">
        <f t="shared" si="1294"/>
        <v/>
      </c>
      <c r="T8006" t="str">
        <f t="shared" si="1295"/>
        <v/>
      </c>
      <c r="U8006" t="str">
        <f t="shared" si="1296"/>
        <v/>
      </c>
      <c r="V8006" t="str">
        <f t="shared" si="1297"/>
        <v/>
      </c>
      <c r="W8006" t="str">
        <f t="shared" ref="W8006:W8069" si="1298">IF($T8006="","",IF($X8006&gt;N($X8005),$X8006,""))</f>
        <v/>
      </c>
      <c r="X8006">
        <f t="shared" si="1288"/>
        <v>0</v>
      </c>
      <c r="Z8006" t="str">
        <f t="shared" ref="Z8006:Z8069" si="1299">IF($V8006="","",IF($AA8006&gt;N($AA8005),$AA8006,""))</f>
        <v/>
      </c>
      <c r="AA8006">
        <f t="shared" si="1289"/>
        <v>0</v>
      </c>
    </row>
    <row r="8007" spans="1:27" ht="21" customHeight="1" x14ac:dyDescent="0.95">
      <c r="A8007" s="56"/>
      <c r="B8007" s="57"/>
      <c r="C8007" s="57"/>
      <c r="D8007" s="57"/>
      <c r="E8007" s="56"/>
      <c r="F8007" s="57"/>
      <c r="G8007" s="57"/>
      <c r="H8007" s="56"/>
      <c r="I8007" s="56"/>
      <c r="J8007" s="58"/>
      <c r="K8007" s="58"/>
      <c r="L8007" s="13" t="str">
        <f t="shared" si="1290"/>
        <v/>
      </c>
      <c r="M8007" s="13" t="str">
        <f t="shared" si="1291"/>
        <v/>
      </c>
      <c r="Q8007" t="str">
        <f t="shared" si="1292"/>
        <v/>
      </c>
      <c r="R8007" t="str">
        <f t="shared" si="1293"/>
        <v/>
      </c>
      <c r="S8007" t="str">
        <f t="shared" si="1294"/>
        <v/>
      </c>
      <c r="T8007" t="str">
        <f t="shared" si="1295"/>
        <v/>
      </c>
      <c r="U8007" t="str">
        <f t="shared" si="1296"/>
        <v/>
      </c>
      <c r="V8007" t="str">
        <f t="shared" si="1297"/>
        <v/>
      </c>
      <c r="W8007" t="str">
        <f t="shared" si="1298"/>
        <v/>
      </c>
      <c r="X8007">
        <f t="shared" si="1288"/>
        <v>0</v>
      </c>
      <c r="Z8007" t="str">
        <f t="shared" si="1299"/>
        <v/>
      </c>
      <c r="AA8007">
        <f t="shared" si="1289"/>
        <v>0</v>
      </c>
    </row>
    <row r="8008" spans="1:27" ht="21" customHeight="1" x14ac:dyDescent="0.95">
      <c r="A8008" s="56"/>
      <c r="B8008" s="57"/>
      <c r="C8008" s="57"/>
      <c r="D8008" s="57"/>
      <c r="E8008" s="56"/>
      <c r="F8008" s="57"/>
      <c r="G8008" s="57"/>
      <c r="H8008" s="56"/>
      <c r="I8008" s="56"/>
      <c r="J8008" s="58"/>
      <c r="K8008" s="58"/>
      <c r="L8008" s="13" t="str">
        <f t="shared" si="1290"/>
        <v/>
      </c>
      <c r="M8008" s="13" t="str">
        <f t="shared" si="1291"/>
        <v/>
      </c>
      <c r="Q8008" t="str">
        <f t="shared" si="1292"/>
        <v/>
      </c>
      <c r="R8008" t="str">
        <f t="shared" si="1293"/>
        <v/>
      </c>
      <c r="S8008" t="str">
        <f t="shared" si="1294"/>
        <v/>
      </c>
      <c r="T8008" t="str">
        <f t="shared" si="1295"/>
        <v/>
      </c>
      <c r="U8008" t="str">
        <f t="shared" si="1296"/>
        <v/>
      </c>
      <c r="V8008" t="str">
        <f t="shared" si="1297"/>
        <v/>
      </c>
      <c r="W8008" t="str">
        <f t="shared" si="1298"/>
        <v/>
      </c>
      <c r="X8008">
        <f t="shared" si="1288"/>
        <v>0</v>
      </c>
      <c r="Z8008" t="str">
        <f t="shared" si="1299"/>
        <v/>
      </c>
      <c r="AA8008">
        <f t="shared" si="1289"/>
        <v>0</v>
      </c>
    </row>
    <row r="8009" spans="1:27" ht="21" customHeight="1" x14ac:dyDescent="0.95">
      <c r="A8009" s="56"/>
      <c r="B8009" s="57"/>
      <c r="C8009" s="57"/>
      <c r="D8009" s="57"/>
      <c r="E8009" s="56"/>
      <c r="F8009" s="57"/>
      <c r="G8009" s="57"/>
      <c r="H8009" s="56"/>
      <c r="I8009" s="56"/>
      <c r="J8009" s="58"/>
      <c r="K8009" s="58"/>
      <c r="L8009" s="13" t="str">
        <f t="shared" si="1290"/>
        <v/>
      </c>
      <c r="M8009" s="13" t="str">
        <f t="shared" si="1291"/>
        <v/>
      </c>
      <c r="Q8009" t="str">
        <f t="shared" si="1292"/>
        <v/>
      </c>
      <c r="R8009" t="str">
        <f t="shared" si="1293"/>
        <v/>
      </c>
      <c r="S8009" t="str">
        <f t="shared" si="1294"/>
        <v/>
      </c>
      <c r="T8009" t="str">
        <f t="shared" si="1295"/>
        <v/>
      </c>
      <c r="U8009" t="str">
        <f t="shared" si="1296"/>
        <v/>
      </c>
      <c r="V8009" t="str">
        <f t="shared" si="1297"/>
        <v/>
      </c>
      <c r="W8009" t="str">
        <f t="shared" si="1298"/>
        <v/>
      </c>
      <c r="X8009">
        <f t="shared" si="1288"/>
        <v>0</v>
      </c>
      <c r="Z8009" t="str">
        <f t="shared" si="1299"/>
        <v/>
      </c>
      <c r="AA8009">
        <f t="shared" si="1289"/>
        <v>0</v>
      </c>
    </row>
    <row r="8010" spans="1:27" ht="21" customHeight="1" x14ac:dyDescent="0.95">
      <c r="A8010" s="56"/>
      <c r="B8010" s="57"/>
      <c r="C8010" s="57"/>
      <c r="D8010" s="57"/>
      <c r="E8010" s="56"/>
      <c r="F8010" s="57"/>
      <c r="G8010" s="57"/>
      <c r="H8010" s="56"/>
      <c r="I8010" s="56"/>
      <c r="J8010" s="58"/>
      <c r="K8010" s="58"/>
      <c r="L8010" s="13" t="str">
        <f t="shared" si="1290"/>
        <v/>
      </c>
      <c r="M8010" s="13" t="str">
        <f t="shared" si="1291"/>
        <v/>
      </c>
      <c r="Q8010" t="str">
        <f t="shared" si="1292"/>
        <v/>
      </c>
      <c r="R8010" t="str">
        <f t="shared" si="1293"/>
        <v/>
      </c>
      <c r="S8010" t="str">
        <f t="shared" si="1294"/>
        <v/>
      </c>
      <c r="T8010" t="str">
        <f t="shared" si="1295"/>
        <v/>
      </c>
      <c r="U8010" t="str">
        <f t="shared" si="1296"/>
        <v/>
      </c>
      <c r="V8010" t="str">
        <f t="shared" si="1297"/>
        <v/>
      </c>
      <c r="W8010" t="str">
        <f t="shared" si="1298"/>
        <v/>
      </c>
      <c r="X8010">
        <f t="shared" si="1288"/>
        <v>0</v>
      </c>
      <c r="Z8010" t="str">
        <f t="shared" si="1299"/>
        <v/>
      </c>
      <c r="AA8010">
        <f t="shared" si="1289"/>
        <v>0</v>
      </c>
    </row>
    <row r="8011" spans="1:27" ht="21" customHeight="1" x14ac:dyDescent="0.95">
      <c r="A8011" s="56"/>
      <c r="B8011" s="57"/>
      <c r="C8011" s="57"/>
      <c r="D8011" s="57"/>
      <c r="E8011" s="56"/>
      <c r="F8011" s="57"/>
      <c r="G8011" s="57"/>
      <c r="H8011" s="56"/>
      <c r="I8011" s="56"/>
      <c r="J8011" s="58"/>
      <c r="K8011" s="58"/>
      <c r="L8011" s="13" t="str">
        <f t="shared" si="1290"/>
        <v/>
      </c>
      <c r="M8011" s="13" t="str">
        <f t="shared" si="1291"/>
        <v/>
      </c>
      <c r="Q8011" t="str">
        <f t="shared" si="1292"/>
        <v/>
      </c>
      <c r="R8011" t="str">
        <f t="shared" si="1293"/>
        <v/>
      </c>
      <c r="S8011" t="str">
        <f t="shared" si="1294"/>
        <v/>
      </c>
      <c r="T8011" t="str">
        <f t="shared" si="1295"/>
        <v/>
      </c>
      <c r="U8011" t="str">
        <f t="shared" si="1296"/>
        <v/>
      </c>
      <c r="V8011" t="str">
        <f t="shared" si="1297"/>
        <v/>
      </c>
      <c r="W8011" t="str">
        <f t="shared" si="1298"/>
        <v/>
      </c>
      <c r="X8011">
        <f t="shared" si="1288"/>
        <v>0</v>
      </c>
      <c r="Z8011" t="str">
        <f t="shared" si="1299"/>
        <v/>
      </c>
      <c r="AA8011">
        <f t="shared" si="1289"/>
        <v>0</v>
      </c>
    </row>
    <row r="8012" spans="1:27" ht="21" customHeight="1" x14ac:dyDescent="0.95">
      <c r="A8012" s="56"/>
      <c r="B8012" s="57"/>
      <c r="C8012" s="57"/>
      <c r="D8012" s="57"/>
      <c r="E8012" s="56"/>
      <c r="F8012" s="57"/>
      <c r="G8012" s="57"/>
      <c r="H8012" s="56"/>
      <c r="I8012" s="56"/>
      <c r="J8012" s="58"/>
      <c r="K8012" s="58"/>
      <c r="L8012" s="13" t="str">
        <f t="shared" si="1290"/>
        <v/>
      </c>
      <c r="M8012" s="13" t="str">
        <f t="shared" si="1291"/>
        <v/>
      </c>
      <c r="Q8012" t="str">
        <f t="shared" si="1292"/>
        <v/>
      </c>
      <c r="R8012" t="str">
        <f t="shared" si="1293"/>
        <v/>
      </c>
      <c r="S8012" t="str">
        <f t="shared" si="1294"/>
        <v/>
      </c>
      <c r="T8012" t="str">
        <f t="shared" si="1295"/>
        <v/>
      </c>
      <c r="U8012" t="str">
        <f t="shared" si="1296"/>
        <v/>
      </c>
      <c r="V8012" t="str">
        <f t="shared" si="1297"/>
        <v/>
      </c>
      <c r="W8012" t="str">
        <f t="shared" si="1298"/>
        <v/>
      </c>
      <c r="X8012">
        <f t="shared" si="1288"/>
        <v>0</v>
      </c>
      <c r="Z8012" t="str">
        <f t="shared" si="1299"/>
        <v/>
      </c>
      <c r="AA8012">
        <f t="shared" si="1289"/>
        <v>0</v>
      </c>
    </row>
    <row r="8013" spans="1:27" ht="21" customHeight="1" x14ac:dyDescent="0.95">
      <c r="A8013" s="56"/>
      <c r="B8013" s="57"/>
      <c r="C8013" s="57"/>
      <c r="D8013" s="57"/>
      <c r="E8013" s="56"/>
      <c r="F8013" s="57"/>
      <c r="G8013" s="57"/>
      <c r="H8013" s="56"/>
      <c r="I8013" s="56"/>
      <c r="J8013" s="58"/>
      <c r="K8013" s="58"/>
      <c r="L8013" s="13" t="str">
        <f t="shared" si="1290"/>
        <v/>
      </c>
      <c r="M8013" s="13" t="str">
        <f t="shared" si="1291"/>
        <v/>
      </c>
      <c r="Q8013" t="str">
        <f t="shared" si="1292"/>
        <v/>
      </c>
      <c r="R8013" t="str">
        <f t="shared" si="1293"/>
        <v/>
      </c>
      <c r="S8013" t="str">
        <f t="shared" si="1294"/>
        <v/>
      </c>
      <c r="T8013" t="str">
        <f t="shared" si="1295"/>
        <v/>
      </c>
      <c r="U8013" t="str">
        <f t="shared" si="1296"/>
        <v/>
      </c>
      <c r="V8013" t="str">
        <f t="shared" si="1297"/>
        <v/>
      </c>
      <c r="W8013" t="str">
        <f t="shared" si="1298"/>
        <v/>
      </c>
      <c r="X8013">
        <f t="shared" si="1288"/>
        <v>0</v>
      </c>
      <c r="Z8013" t="str">
        <f t="shared" si="1299"/>
        <v/>
      </c>
      <c r="AA8013">
        <f t="shared" si="1289"/>
        <v>0</v>
      </c>
    </row>
    <row r="8014" spans="1:27" ht="21" customHeight="1" x14ac:dyDescent="0.95">
      <c r="A8014" s="56"/>
      <c r="B8014" s="57"/>
      <c r="C8014" s="57"/>
      <c r="D8014" s="57"/>
      <c r="E8014" s="56"/>
      <c r="F8014" s="57"/>
      <c r="G8014" s="57"/>
      <c r="H8014" s="56"/>
      <c r="I8014" s="56"/>
      <c r="J8014" s="58"/>
      <c r="K8014" s="58"/>
      <c r="L8014" s="13" t="str">
        <f t="shared" si="1290"/>
        <v/>
      </c>
      <c r="M8014" s="13" t="str">
        <f t="shared" si="1291"/>
        <v/>
      </c>
      <c r="Q8014" t="str">
        <f t="shared" si="1292"/>
        <v/>
      </c>
      <c r="R8014" t="str">
        <f t="shared" si="1293"/>
        <v/>
      </c>
      <c r="S8014" t="str">
        <f t="shared" si="1294"/>
        <v/>
      </c>
      <c r="T8014" t="str">
        <f t="shared" si="1295"/>
        <v/>
      </c>
      <c r="U8014" t="str">
        <f t="shared" si="1296"/>
        <v/>
      </c>
      <c r="V8014" t="str">
        <f t="shared" si="1297"/>
        <v/>
      </c>
      <c r="W8014" t="str">
        <f t="shared" si="1298"/>
        <v/>
      </c>
      <c r="X8014">
        <f t="shared" si="1288"/>
        <v>0</v>
      </c>
      <c r="Z8014" t="str">
        <f t="shared" si="1299"/>
        <v/>
      </c>
      <c r="AA8014">
        <f t="shared" si="1289"/>
        <v>0</v>
      </c>
    </row>
    <row r="8015" spans="1:27" ht="21" customHeight="1" x14ac:dyDescent="0.95">
      <c r="A8015" s="56"/>
      <c r="B8015" s="57"/>
      <c r="C8015" s="57"/>
      <c r="D8015" s="57"/>
      <c r="E8015" s="56"/>
      <c r="F8015" s="57"/>
      <c r="G8015" s="57"/>
      <c r="H8015" s="56"/>
      <c r="I8015" s="56"/>
      <c r="J8015" s="58"/>
      <c r="K8015" s="58"/>
      <c r="L8015" s="13" t="str">
        <f t="shared" si="1290"/>
        <v/>
      </c>
      <c r="M8015" s="13" t="str">
        <f t="shared" si="1291"/>
        <v/>
      </c>
      <c r="Q8015" t="str">
        <f t="shared" si="1292"/>
        <v/>
      </c>
      <c r="R8015" t="str">
        <f t="shared" si="1293"/>
        <v/>
      </c>
      <c r="S8015" t="str">
        <f t="shared" si="1294"/>
        <v/>
      </c>
      <c r="T8015" t="str">
        <f t="shared" si="1295"/>
        <v/>
      </c>
      <c r="U8015" t="str">
        <f t="shared" si="1296"/>
        <v/>
      </c>
      <c r="V8015" t="str">
        <f t="shared" si="1297"/>
        <v/>
      </c>
      <c r="W8015" t="str">
        <f t="shared" si="1298"/>
        <v/>
      </c>
      <c r="X8015">
        <f t="shared" si="1288"/>
        <v>0</v>
      </c>
      <c r="Z8015" t="str">
        <f t="shared" si="1299"/>
        <v/>
      </c>
      <c r="AA8015">
        <f t="shared" si="1289"/>
        <v>0</v>
      </c>
    </row>
    <row r="8016" spans="1:27" ht="21" customHeight="1" x14ac:dyDescent="0.95">
      <c r="A8016" s="56"/>
      <c r="B8016" s="57"/>
      <c r="C8016" s="57"/>
      <c r="D8016" s="57"/>
      <c r="E8016" s="56"/>
      <c r="F8016" s="57"/>
      <c r="G8016" s="57"/>
      <c r="H8016" s="56"/>
      <c r="I8016" s="56"/>
      <c r="J8016" s="58"/>
      <c r="K8016" s="58"/>
      <c r="L8016" s="13" t="str">
        <f t="shared" si="1290"/>
        <v/>
      </c>
      <c r="M8016" s="13" t="str">
        <f t="shared" si="1291"/>
        <v/>
      </c>
      <c r="Q8016" t="str">
        <f t="shared" si="1292"/>
        <v/>
      </c>
      <c r="R8016" t="str">
        <f t="shared" si="1293"/>
        <v/>
      </c>
      <c r="S8016" t="str">
        <f t="shared" si="1294"/>
        <v/>
      </c>
      <c r="T8016" t="str">
        <f t="shared" si="1295"/>
        <v/>
      </c>
      <c r="U8016" t="str">
        <f t="shared" si="1296"/>
        <v/>
      </c>
      <c r="V8016" t="str">
        <f t="shared" si="1297"/>
        <v/>
      </c>
      <c r="W8016" t="str">
        <f t="shared" si="1298"/>
        <v/>
      </c>
      <c r="X8016">
        <f t="shared" si="1288"/>
        <v>0</v>
      </c>
      <c r="Z8016" t="str">
        <f t="shared" si="1299"/>
        <v/>
      </c>
      <c r="AA8016">
        <f t="shared" si="1289"/>
        <v>0</v>
      </c>
    </row>
    <row r="8017" spans="1:27" ht="21" customHeight="1" x14ac:dyDescent="0.95">
      <c r="A8017" s="56"/>
      <c r="B8017" s="57"/>
      <c r="C8017" s="57"/>
      <c r="D8017" s="57"/>
      <c r="E8017" s="56"/>
      <c r="F8017" s="57"/>
      <c r="G8017" s="57"/>
      <c r="H8017" s="56"/>
      <c r="I8017" s="56"/>
      <c r="J8017" s="58"/>
      <c r="K8017" s="58"/>
      <c r="L8017" s="13" t="str">
        <f t="shared" si="1290"/>
        <v/>
      </c>
      <c r="M8017" s="13" t="str">
        <f t="shared" si="1291"/>
        <v/>
      </c>
      <c r="Q8017" t="str">
        <f t="shared" si="1292"/>
        <v/>
      </c>
      <c r="R8017" t="str">
        <f t="shared" si="1293"/>
        <v/>
      </c>
      <c r="S8017" t="str">
        <f t="shared" si="1294"/>
        <v/>
      </c>
      <c r="T8017" t="str">
        <f t="shared" si="1295"/>
        <v/>
      </c>
      <c r="U8017" t="str">
        <f t="shared" si="1296"/>
        <v/>
      </c>
      <c r="V8017" t="str">
        <f t="shared" si="1297"/>
        <v/>
      </c>
      <c r="W8017" t="str">
        <f t="shared" si="1298"/>
        <v/>
      </c>
      <c r="X8017">
        <f t="shared" si="1288"/>
        <v>0</v>
      </c>
      <c r="Z8017" t="str">
        <f t="shared" si="1299"/>
        <v/>
      </c>
      <c r="AA8017">
        <f t="shared" si="1289"/>
        <v>0</v>
      </c>
    </row>
    <row r="8018" spans="1:27" ht="21" customHeight="1" x14ac:dyDescent="0.95">
      <c r="A8018" s="56"/>
      <c r="B8018" s="57"/>
      <c r="C8018" s="57"/>
      <c r="D8018" s="57"/>
      <c r="E8018" s="56"/>
      <c r="F8018" s="57"/>
      <c r="G8018" s="57"/>
      <c r="H8018" s="56"/>
      <c r="I8018" s="56"/>
      <c r="J8018" s="58"/>
      <c r="K8018" s="58"/>
      <c r="L8018" s="13" t="str">
        <f t="shared" si="1290"/>
        <v/>
      </c>
      <c r="M8018" s="13" t="str">
        <f t="shared" si="1291"/>
        <v/>
      </c>
      <c r="Q8018" t="str">
        <f t="shared" si="1292"/>
        <v/>
      </c>
      <c r="R8018" t="str">
        <f t="shared" si="1293"/>
        <v/>
      </c>
      <c r="S8018" t="str">
        <f t="shared" si="1294"/>
        <v/>
      </c>
      <c r="T8018" t="str">
        <f t="shared" si="1295"/>
        <v/>
      </c>
      <c r="U8018" t="str">
        <f t="shared" si="1296"/>
        <v/>
      </c>
      <c r="V8018" t="str">
        <f t="shared" si="1297"/>
        <v/>
      </c>
      <c r="W8018" t="str">
        <f t="shared" si="1298"/>
        <v/>
      </c>
      <c r="X8018">
        <f t="shared" si="1288"/>
        <v>0</v>
      </c>
      <c r="Z8018" t="str">
        <f t="shared" si="1299"/>
        <v/>
      </c>
      <c r="AA8018">
        <f t="shared" si="1289"/>
        <v>0</v>
      </c>
    </row>
    <row r="8019" spans="1:27" ht="21" customHeight="1" x14ac:dyDescent="0.95">
      <c r="A8019" s="56"/>
      <c r="B8019" s="57"/>
      <c r="C8019" s="57"/>
      <c r="D8019" s="57"/>
      <c r="E8019" s="56"/>
      <c r="F8019" s="57"/>
      <c r="G8019" s="57"/>
      <c r="H8019" s="56"/>
      <c r="I8019" s="56"/>
      <c r="J8019" s="58"/>
      <c r="K8019" s="58"/>
      <c r="L8019" s="13" t="str">
        <f t="shared" si="1290"/>
        <v/>
      </c>
      <c r="M8019" s="13" t="str">
        <f t="shared" si="1291"/>
        <v/>
      </c>
      <c r="Q8019" t="str">
        <f t="shared" si="1292"/>
        <v/>
      </c>
      <c r="R8019" t="str">
        <f t="shared" si="1293"/>
        <v/>
      </c>
      <c r="S8019" t="str">
        <f t="shared" si="1294"/>
        <v/>
      </c>
      <c r="T8019" t="str">
        <f t="shared" si="1295"/>
        <v/>
      </c>
      <c r="U8019" t="str">
        <f t="shared" si="1296"/>
        <v/>
      </c>
      <c r="V8019" t="str">
        <f t="shared" si="1297"/>
        <v/>
      </c>
      <c r="W8019" t="str">
        <f t="shared" si="1298"/>
        <v/>
      </c>
      <c r="X8019">
        <f t="shared" si="1288"/>
        <v>0</v>
      </c>
      <c r="Z8019" t="str">
        <f t="shared" si="1299"/>
        <v/>
      </c>
      <c r="AA8019">
        <f t="shared" si="1289"/>
        <v>0</v>
      </c>
    </row>
    <row r="8020" spans="1:27" ht="21" customHeight="1" x14ac:dyDescent="0.95">
      <c r="A8020" s="56"/>
      <c r="B8020" s="57"/>
      <c r="C8020" s="57"/>
      <c r="D8020" s="57"/>
      <c r="E8020" s="56"/>
      <c r="F8020" s="57"/>
      <c r="G8020" s="57"/>
      <c r="H8020" s="56"/>
      <c r="I8020" s="56"/>
      <c r="J8020" s="58"/>
      <c r="K8020" s="58"/>
      <c r="L8020" s="13" t="str">
        <f t="shared" si="1290"/>
        <v/>
      </c>
      <c r="M8020" s="13" t="str">
        <f t="shared" si="1291"/>
        <v/>
      </c>
      <c r="Q8020" t="str">
        <f t="shared" si="1292"/>
        <v/>
      </c>
      <c r="R8020" t="str">
        <f t="shared" si="1293"/>
        <v/>
      </c>
      <c r="S8020" t="str">
        <f t="shared" si="1294"/>
        <v/>
      </c>
      <c r="T8020" t="str">
        <f t="shared" si="1295"/>
        <v/>
      </c>
      <c r="U8020" t="str">
        <f t="shared" si="1296"/>
        <v/>
      </c>
      <c r="V8020" t="str">
        <f t="shared" si="1297"/>
        <v/>
      </c>
      <c r="W8020" t="str">
        <f t="shared" si="1298"/>
        <v/>
      </c>
      <c r="X8020">
        <f t="shared" si="1288"/>
        <v>0</v>
      </c>
      <c r="Z8020" t="str">
        <f t="shared" si="1299"/>
        <v/>
      </c>
      <c r="AA8020">
        <f t="shared" si="1289"/>
        <v>0</v>
      </c>
    </row>
    <row r="8021" spans="1:27" ht="21" customHeight="1" x14ac:dyDescent="0.95">
      <c r="A8021" s="56"/>
      <c r="B8021" s="57"/>
      <c r="C8021" s="57"/>
      <c r="D8021" s="57"/>
      <c r="E8021" s="56"/>
      <c r="F8021" s="57"/>
      <c r="G8021" s="57"/>
      <c r="H8021" s="56"/>
      <c r="I8021" s="56"/>
      <c r="J8021" s="58"/>
      <c r="K8021" s="58"/>
      <c r="L8021" s="13" t="str">
        <f t="shared" si="1290"/>
        <v/>
      </c>
      <c r="M8021" s="13" t="str">
        <f t="shared" si="1291"/>
        <v/>
      </c>
      <c r="Q8021" t="str">
        <f t="shared" si="1292"/>
        <v/>
      </c>
      <c r="R8021" t="str">
        <f t="shared" si="1293"/>
        <v/>
      </c>
      <c r="S8021" t="str">
        <f t="shared" si="1294"/>
        <v/>
      </c>
      <c r="T8021" t="str">
        <f t="shared" si="1295"/>
        <v/>
      </c>
      <c r="U8021" t="str">
        <f t="shared" si="1296"/>
        <v/>
      </c>
      <c r="V8021" t="str">
        <f t="shared" si="1297"/>
        <v/>
      </c>
      <c r="W8021" t="str">
        <f t="shared" si="1298"/>
        <v/>
      </c>
      <c r="X8021">
        <f t="shared" si="1288"/>
        <v>0</v>
      </c>
      <c r="Z8021" t="str">
        <f t="shared" si="1299"/>
        <v/>
      </c>
      <c r="AA8021">
        <f t="shared" si="1289"/>
        <v>0</v>
      </c>
    </row>
    <row r="8022" spans="1:27" ht="21" customHeight="1" x14ac:dyDescent="0.95">
      <c r="A8022" s="56"/>
      <c r="B8022" s="57"/>
      <c r="C8022" s="57"/>
      <c r="D8022" s="57"/>
      <c r="E8022" s="56"/>
      <c r="F8022" s="57"/>
      <c r="G8022" s="57"/>
      <c r="H8022" s="56"/>
      <c r="I8022" s="56"/>
      <c r="J8022" s="58"/>
      <c r="K8022" s="58"/>
      <c r="L8022" s="13" t="str">
        <f t="shared" si="1290"/>
        <v/>
      </c>
      <c r="M8022" s="13" t="str">
        <f t="shared" si="1291"/>
        <v/>
      </c>
      <c r="Q8022" t="str">
        <f t="shared" si="1292"/>
        <v/>
      </c>
      <c r="R8022" t="str">
        <f t="shared" si="1293"/>
        <v/>
      </c>
      <c r="S8022" t="str">
        <f t="shared" si="1294"/>
        <v/>
      </c>
      <c r="T8022" t="str">
        <f t="shared" si="1295"/>
        <v/>
      </c>
      <c r="U8022" t="str">
        <f t="shared" si="1296"/>
        <v/>
      </c>
      <c r="V8022" t="str">
        <f t="shared" si="1297"/>
        <v/>
      </c>
      <c r="W8022" t="str">
        <f t="shared" si="1298"/>
        <v/>
      </c>
      <c r="X8022">
        <f t="shared" si="1288"/>
        <v>0</v>
      </c>
      <c r="Z8022" t="str">
        <f t="shared" si="1299"/>
        <v/>
      </c>
      <c r="AA8022">
        <f t="shared" si="1289"/>
        <v>0</v>
      </c>
    </row>
    <row r="8023" spans="1:27" ht="21" customHeight="1" x14ac:dyDescent="0.95">
      <c r="A8023" s="56"/>
      <c r="B8023" s="57"/>
      <c r="C8023" s="57"/>
      <c r="D8023" s="57"/>
      <c r="E8023" s="56"/>
      <c r="F8023" s="57"/>
      <c r="G8023" s="57"/>
      <c r="H8023" s="56"/>
      <c r="I8023" s="56"/>
      <c r="J8023" s="58"/>
      <c r="K8023" s="58"/>
      <c r="L8023" s="13" t="str">
        <f t="shared" si="1290"/>
        <v/>
      </c>
      <c r="M8023" s="13" t="str">
        <f t="shared" si="1291"/>
        <v/>
      </c>
      <c r="Q8023" t="str">
        <f t="shared" si="1292"/>
        <v/>
      </c>
      <c r="R8023" t="str">
        <f t="shared" si="1293"/>
        <v/>
      </c>
      <c r="S8023" t="str">
        <f t="shared" si="1294"/>
        <v/>
      </c>
      <c r="T8023" t="str">
        <f t="shared" si="1295"/>
        <v/>
      </c>
      <c r="U8023" t="str">
        <f t="shared" si="1296"/>
        <v/>
      </c>
      <c r="V8023" t="str">
        <f t="shared" si="1297"/>
        <v/>
      </c>
      <c r="W8023" t="str">
        <f t="shared" si="1298"/>
        <v/>
      </c>
      <c r="X8023">
        <f t="shared" si="1288"/>
        <v>0</v>
      </c>
      <c r="Z8023" t="str">
        <f t="shared" si="1299"/>
        <v/>
      </c>
      <c r="AA8023">
        <f t="shared" si="1289"/>
        <v>0</v>
      </c>
    </row>
    <row r="8024" spans="1:27" ht="21" customHeight="1" x14ac:dyDescent="0.95">
      <c r="A8024" s="56"/>
      <c r="B8024" s="57"/>
      <c r="C8024" s="57"/>
      <c r="D8024" s="57"/>
      <c r="E8024" s="56"/>
      <c r="F8024" s="57"/>
      <c r="G8024" s="57"/>
      <c r="H8024" s="56"/>
      <c r="I8024" s="56"/>
      <c r="J8024" s="58"/>
      <c r="K8024" s="58"/>
      <c r="L8024" s="13" t="str">
        <f t="shared" si="1290"/>
        <v/>
      </c>
      <c r="M8024" s="13" t="str">
        <f t="shared" si="1291"/>
        <v/>
      </c>
      <c r="Q8024" t="str">
        <f t="shared" si="1292"/>
        <v/>
      </c>
      <c r="R8024" t="str">
        <f t="shared" si="1293"/>
        <v/>
      </c>
      <c r="S8024" t="str">
        <f t="shared" si="1294"/>
        <v/>
      </c>
      <c r="T8024" t="str">
        <f t="shared" si="1295"/>
        <v/>
      </c>
      <c r="U8024" t="str">
        <f t="shared" si="1296"/>
        <v/>
      </c>
      <c r="V8024" t="str">
        <f t="shared" si="1297"/>
        <v/>
      </c>
      <c r="W8024" t="str">
        <f t="shared" si="1298"/>
        <v/>
      </c>
      <c r="X8024">
        <f t="shared" si="1288"/>
        <v>0</v>
      </c>
      <c r="Z8024" t="str">
        <f t="shared" si="1299"/>
        <v/>
      </c>
      <c r="AA8024">
        <f t="shared" si="1289"/>
        <v>0</v>
      </c>
    </row>
    <row r="8025" spans="1:27" ht="21" customHeight="1" x14ac:dyDescent="0.95">
      <c r="A8025" s="56"/>
      <c r="B8025" s="57"/>
      <c r="C8025" s="57"/>
      <c r="D8025" s="57"/>
      <c r="E8025" s="56"/>
      <c r="F8025" s="57"/>
      <c r="G8025" s="57"/>
      <c r="H8025" s="56"/>
      <c r="I8025" s="56"/>
      <c r="J8025" s="58"/>
      <c r="K8025" s="58"/>
      <c r="L8025" s="13" t="str">
        <f t="shared" si="1290"/>
        <v/>
      </c>
      <c r="M8025" s="13" t="str">
        <f t="shared" si="1291"/>
        <v/>
      </c>
      <c r="Q8025" t="str">
        <f t="shared" si="1292"/>
        <v/>
      </c>
      <c r="R8025" t="str">
        <f t="shared" si="1293"/>
        <v/>
      </c>
      <c r="S8025" t="str">
        <f t="shared" si="1294"/>
        <v/>
      </c>
      <c r="T8025" t="str">
        <f t="shared" si="1295"/>
        <v/>
      </c>
      <c r="U8025" t="str">
        <f t="shared" si="1296"/>
        <v/>
      </c>
      <c r="V8025" t="str">
        <f t="shared" si="1297"/>
        <v/>
      </c>
      <c r="W8025" t="str">
        <f t="shared" si="1298"/>
        <v/>
      </c>
      <c r="X8025">
        <f t="shared" si="1288"/>
        <v>0</v>
      </c>
      <c r="Z8025" t="str">
        <f t="shared" si="1299"/>
        <v/>
      </c>
      <c r="AA8025">
        <f t="shared" si="1289"/>
        <v>0</v>
      </c>
    </row>
    <row r="8026" spans="1:27" ht="21" customHeight="1" x14ac:dyDescent="0.95">
      <c r="A8026" s="56"/>
      <c r="B8026" s="57"/>
      <c r="C8026" s="57"/>
      <c r="D8026" s="57"/>
      <c r="E8026" s="56"/>
      <c r="F8026" s="57"/>
      <c r="G8026" s="57"/>
      <c r="H8026" s="56"/>
      <c r="I8026" s="56"/>
      <c r="J8026" s="58"/>
      <c r="K8026" s="58"/>
      <c r="L8026" s="13" t="str">
        <f t="shared" si="1290"/>
        <v/>
      </c>
      <c r="M8026" s="13" t="str">
        <f t="shared" si="1291"/>
        <v/>
      </c>
      <c r="Q8026" t="str">
        <f t="shared" si="1292"/>
        <v/>
      </c>
      <c r="R8026" t="str">
        <f t="shared" si="1293"/>
        <v/>
      </c>
      <c r="S8026" t="str">
        <f t="shared" si="1294"/>
        <v/>
      </c>
      <c r="T8026" t="str">
        <f t="shared" si="1295"/>
        <v/>
      </c>
      <c r="U8026" t="str">
        <f t="shared" si="1296"/>
        <v/>
      </c>
      <c r="V8026" t="str">
        <f t="shared" si="1297"/>
        <v/>
      </c>
      <c r="W8026" t="str">
        <f t="shared" si="1298"/>
        <v/>
      </c>
      <c r="X8026">
        <f t="shared" si="1288"/>
        <v>0</v>
      </c>
      <c r="Z8026" t="str">
        <f t="shared" si="1299"/>
        <v/>
      </c>
      <c r="AA8026">
        <f t="shared" si="1289"/>
        <v>0</v>
      </c>
    </row>
    <row r="8027" spans="1:27" ht="21" customHeight="1" x14ac:dyDescent="0.95">
      <c r="A8027" s="56"/>
      <c r="B8027" s="57"/>
      <c r="C8027" s="57"/>
      <c r="D8027" s="57"/>
      <c r="E8027" s="56"/>
      <c r="F8027" s="57"/>
      <c r="G8027" s="57"/>
      <c r="H8027" s="56"/>
      <c r="I8027" s="56"/>
      <c r="J8027" s="58"/>
      <c r="K8027" s="58"/>
      <c r="L8027" s="13" t="str">
        <f t="shared" si="1290"/>
        <v/>
      </c>
      <c r="M8027" s="13" t="str">
        <f t="shared" si="1291"/>
        <v/>
      </c>
      <c r="Q8027" t="str">
        <f t="shared" si="1292"/>
        <v/>
      </c>
      <c r="R8027" t="str">
        <f t="shared" si="1293"/>
        <v/>
      </c>
      <c r="S8027" t="str">
        <f t="shared" si="1294"/>
        <v/>
      </c>
      <c r="T8027" t="str">
        <f t="shared" si="1295"/>
        <v/>
      </c>
      <c r="U8027" t="str">
        <f t="shared" si="1296"/>
        <v/>
      </c>
      <c r="V8027" t="str">
        <f t="shared" si="1297"/>
        <v/>
      </c>
      <c r="W8027" t="str">
        <f t="shared" si="1298"/>
        <v/>
      </c>
      <c r="X8027">
        <f t="shared" si="1288"/>
        <v>0</v>
      </c>
      <c r="Z8027" t="str">
        <f t="shared" si="1299"/>
        <v/>
      </c>
      <c r="AA8027">
        <f t="shared" si="1289"/>
        <v>0</v>
      </c>
    </row>
    <row r="8028" spans="1:27" ht="21" customHeight="1" x14ac:dyDescent="0.95">
      <c r="A8028" s="56"/>
      <c r="B8028" s="57"/>
      <c r="C8028" s="57"/>
      <c r="D8028" s="57"/>
      <c r="E8028" s="56"/>
      <c r="F8028" s="57"/>
      <c r="G8028" s="57"/>
      <c r="H8028" s="56"/>
      <c r="I8028" s="56"/>
      <c r="J8028" s="58"/>
      <c r="K8028" s="58"/>
      <c r="L8028" s="13" t="str">
        <f t="shared" si="1290"/>
        <v/>
      </c>
      <c r="M8028" s="13" t="str">
        <f t="shared" si="1291"/>
        <v/>
      </c>
      <c r="Q8028" t="str">
        <f t="shared" si="1292"/>
        <v/>
      </c>
      <c r="R8028" t="str">
        <f t="shared" si="1293"/>
        <v/>
      </c>
      <c r="S8028" t="str">
        <f t="shared" si="1294"/>
        <v/>
      </c>
      <c r="T8028" t="str">
        <f t="shared" si="1295"/>
        <v/>
      </c>
      <c r="U8028" t="str">
        <f t="shared" si="1296"/>
        <v/>
      </c>
      <c r="V8028" t="str">
        <f t="shared" si="1297"/>
        <v/>
      </c>
      <c r="W8028" t="str">
        <f t="shared" si="1298"/>
        <v/>
      </c>
      <c r="X8028">
        <f t="shared" si="1288"/>
        <v>0</v>
      </c>
      <c r="Z8028" t="str">
        <f t="shared" si="1299"/>
        <v/>
      </c>
      <c r="AA8028">
        <f t="shared" si="1289"/>
        <v>0</v>
      </c>
    </row>
    <row r="8029" spans="1:27" ht="21" customHeight="1" x14ac:dyDescent="0.95">
      <c r="A8029" s="56"/>
      <c r="B8029" s="57"/>
      <c r="C8029" s="57"/>
      <c r="D8029" s="57"/>
      <c r="E8029" s="56"/>
      <c r="F8029" s="57"/>
      <c r="G8029" s="57"/>
      <c r="H8029" s="56"/>
      <c r="I8029" s="56"/>
      <c r="J8029" s="58"/>
      <c r="K8029" s="58"/>
      <c r="L8029" s="13" t="str">
        <f t="shared" si="1290"/>
        <v/>
      </c>
      <c r="M8029" s="13" t="str">
        <f t="shared" si="1291"/>
        <v/>
      </c>
      <c r="Q8029" t="str">
        <f t="shared" si="1292"/>
        <v/>
      </c>
      <c r="R8029" t="str">
        <f t="shared" si="1293"/>
        <v/>
      </c>
      <c r="S8029" t="str">
        <f t="shared" si="1294"/>
        <v/>
      </c>
      <c r="T8029" t="str">
        <f t="shared" si="1295"/>
        <v/>
      </c>
      <c r="U8029" t="str">
        <f t="shared" si="1296"/>
        <v/>
      </c>
      <c r="V8029" t="str">
        <f t="shared" si="1297"/>
        <v/>
      </c>
      <c r="W8029" t="str">
        <f t="shared" si="1298"/>
        <v/>
      </c>
      <c r="X8029">
        <f t="shared" si="1288"/>
        <v>0</v>
      </c>
      <c r="Z8029" t="str">
        <f t="shared" si="1299"/>
        <v/>
      </c>
      <c r="AA8029">
        <f t="shared" si="1289"/>
        <v>0</v>
      </c>
    </row>
    <row r="8030" spans="1:27" ht="21" customHeight="1" x14ac:dyDescent="0.95">
      <c r="A8030" s="56"/>
      <c r="B8030" s="57"/>
      <c r="C8030" s="57"/>
      <c r="D8030" s="57"/>
      <c r="E8030" s="56"/>
      <c r="F8030" s="57"/>
      <c r="G8030" s="57"/>
      <c r="H8030" s="56"/>
      <c r="I8030" s="56"/>
      <c r="J8030" s="58"/>
      <c r="K8030" s="58"/>
      <c r="L8030" s="13" t="str">
        <f t="shared" si="1290"/>
        <v/>
      </c>
      <c r="M8030" s="13" t="str">
        <f t="shared" si="1291"/>
        <v/>
      </c>
      <c r="Q8030" t="str">
        <f t="shared" si="1292"/>
        <v/>
      </c>
      <c r="R8030" t="str">
        <f t="shared" si="1293"/>
        <v/>
      </c>
      <c r="S8030" t="str">
        <f t="shared" si="1294"/>
        <v/>
      </c>
      <c r="T8030" t="str">
        <f t="shared" si="1295"/>
        <v/>
      </c>
      <c r="U8030" t="str">
        <f t="shared" si="1296"/>
        <v/>
      </c>
      <c r="V8030" t="str">
        <f t="shared" si="1297"/>
        <v/>
      </c>
      <c r="W8030" t="str">
        <f t="shared" si="1298"/>
        <v/>
      </c>
      <c r="X8030">
        <f t="shared" si="1288"/>
        <v>0</v>
      </c>
      <c r="Z8030" t="str">
        <f t="shared" si="1299"/>
        <v/>
      </c>
      <c r="AA8030">
        <f t="shared" si="1289"/>
        <v>0</v>
      </c>
    </row>
    <row r="8031" spans="1:27" ht="21" customHeight="1" x14ac:dyDescent="0.95">
      <c r="A8031" s="56"/>
      <c r="B8031" s="57"/>
      <c r="C8031" s="57"/>
      <c r="D8031" s="57"/>
      <c r="E8031" s="56"/>
      <c r="F8031" s="57"/>
      <c r="G8031" s="57"/>
      <c r="H8031" s="56"/>
      <c r="I8031" s="56"/>
      <c r="J8031" s="58"/>
      <c r="K8031" s="58"/>
      <c r="L8031" s="13" t="str">
        <f t="shared" si="1290"/>
        <v/>
      </c>
      <c r="M8031" s="13" t="str">
        <f t="shared" si="1291"/>
        <v/>
      </c>
      <c r="Q8031" t="str">
        <f t="shared" si="1292"/>
        <v/>
      </c>
      <c r="R8031" t="str">
        <f t="shared" si="1293"/>
        <v/>
      </c>
      <c r="S8031" t="str">
        <f t="shared" si="1294"/>
        <v/>
      </c>
      <c r="T8031" t="str">
        <f t="shared" si="1295"/>
        <v/>
      </c>
      <c r="U8031" t="str">
        <f t="shared" si="1296"/>
        <v/>
      </c>
      <c r="V8031" t="str">
        <f t="shared" si="1297"/>
        <v/>
      </c>
      <c r="W8031" t="str">
        <f t="shared" si="1298"/>
        <v/>
      </c>
      <c r="X8031">
        <f t="shared" si="1288"/>
        <v>0</v>
      </c>
      <c r="Z8031" t="str">
        <f t="shared" si="1299"/>
        <v/>
      </c>
      <c r="AA8031">
        <f t="shared" si="1289"/>
        <v>0</v>
      </c>
    </row>
    <row r="8032" spans="1:27" ht="21" customHeight="1" x14ac:dyDescent="0.95">
      <c r="A8032" s="56"/>
      <c r="B8032" s="57"/>
      <c r="C8032" s="57"/>
      <c r="D8032" s="57"/>
      <c r="E8032" s="56"/>
      <c r="F8032" s="57"/>
      <c r="G8032" s="57"/>
      <c r="H8032" s="56"/>
      <c r="I8032" s="56"/>
      <c r="J8032" s="58"/>
      <c r="K8032" s="58"/>
      <c r="L8032" s="13" t="str">
        <f t="shared" si="1290"/>
        <v/>
      </c>
      <c r="M8032" s="13" t="str">
        <f t="shared" si="1291"/>
        <v/>
      </c>
      <c r="Q8032" t="str">
        <f t="shared" si="1292"/>
        <v/>
      </c>
      <c r="R8032" t="str">
        <f t="shared" si="1293"/>
        <v/>
      </c>
      <c r="S8032" t="str">
        <f t="shared" si="1294"/>
        <v/>
      </c>
      <c r="T8032" t="str">
        <f t="shared" si="1295"/>
        <v/>
      </c>
      <c r="U8032" t="str">
        <f t="shared" si="1296"/>
        <v/>
      </c>
      <c r="V8032" t="str">
        <f t="shared" si="1297"/>
        <v/>
      </c>
      <c r="W8032" t="str">
        <f t="shared" si="1298"/>
        <v/>
      </c>
      <c r="X8032">
        <f t="shared" si="1288"/>
        <v>0</v>
      </c>
      <c r="Z8032" t="str">
        <f t="shared" si="1299"/>
        <v/>
      </c>
      <c r="AA8032">
        <f t="shared" si="1289"/>
        <v>0</v>
      </c>
    </row>
    <row r="8033" spans="1:27" ht="21" customHeight="1" x14ac:dyDescent="0.95">
      <c r="A8033" s="56"/>
      <c r="B8033" s="57"/>
      <c r="C8033" s="57"/>
      <c r="D8033" s="57"/>
      <c r="E8033" s="56"/>
      <c r="F8033" s="57"/>
      <c r="G8033" s="57"/>
      <c r="H8033" s="56"/>
      <c r="I8033" s="56"/>
      <c r="J8033" s="58"/>
      <c r="K8033" s="58"/>
      <c r="L8033" s="13" t="str">
        <f t="shared" si="1290"/>
        <v/>
      </c>
      <c r="M8033" s="13" t="str">
        <f t="shared" si="1291"/>
        <v/>
      </c>
      <c r="Q8033" t="str">
        <f t="shared" si="1292"/>
        <v/>
      </c>
      <c r="R8033" t="str">
        <f t="shared" si="1293"/>
        <v/>
      </c>
      <c r="S8033" t="str">
        <f t="shared" si="1294"/>
        <v/>
      </c>
      <c r="T8033" t="str">
        <f t="shared" si="1295"/>
        <v/>
      </c>
      <c r="U8033" t="str">
        <f t="shared" si="1296"/>
        <v/>
      </c>
      <c r="V8033" t="str">
        <f t="shared" si="1297"/>
        <v/>
      </c>
      <c r="W8033" t="str">
        <f t="shared" si="1298"/>
        <v/>
      </c>
      <c r="X8033">
        <f t="shared" si="1288"/>
        <v>0</v>
      </c>
      <c r="Z8033" t="str">
        <f t="shared" si="1299"/>
        <v/>
      </c>
      <c r="AA8033">
        <f t="shared" si="1289"/>
        <v>0</v>
      </c>
    </row>
    <row r="8034" spans="1:27" ht="21" customHeight="1" x14ac:dyDescent="0.95">
      <c r="A8034" s="56"/>
      <c r="B8034" s="57"/>
      <c r="C8034" s="57"/>
      <c r="D8034" s="57"/>
      <c r="E8034" s="56"/>
      <c r="F8034" s="57"/>
      <c r="G8034" s="57"/>
      <c r="H8034" s="56"/>
      <c r="I8034" s="56"/>
      <c r="J8034" s="58"/>
      <c r="K8034" s="58"/>
      <c r="L8034" s="13" t="str">
        <f t="shared" si="1290"/>
        <v/>
      </c>
      <c r="M8034" s="13" t="str">
        <f t="shared" si="1291"/>
        <v/>
      </c>
      <c r="Q8034" t="str">
        <f t="shared" si="1292"/>
        <v/>
      </c>
      <c r="R8034" t="str">
        <f t="shared" si="1293"/>
        <v/>
      </c>
      <c r="S8034" t="str">
        <f t="shared" si="1294"/>
        <v/>
      </c>
      <c r="T8034" t="str">
        <f t="shared" si="1295"/>
        <v/>
      </c>
      <c r="U8034" t="str">
        <f t="shared" si="1296"/>
        <v/>
      </c>
      <c r="V8034" t="str">
        <f t="shared" si="1297"/>
        <v/>
      </c>
      <c r="W8034" t="str">
        <f t="shared" si="1298"/>
        <v/>
      </c>
      <c r="X8034">
        <f t="shared" si="1288"/>
        <v>0</v>
      </c>
      <c r="Z8034" t="str">
        <f t="shared" si="1299"/>
        <v/>
      </c>
      <c r="AA8034">
        <f t="shared" si="1289"/>
        <v>0</v>
      </c>
    </row>
    <row r="8035" spans="1:27" ht="21" customHeight="1" x14ac:dyDescent="0.95">
      <c r="A8035" s="56"/>
      <c r="B8035" s="57"/>
      <c r="C8035" s="57"/>
      <c r="D8035" s="57"/>
      <c r="E8035" s="56"/>
      <c r="F8035" s="57"/>
      <c r="G8035" s="57"/>
      <c r="H8035" s="56"/>
      <c r="I8035" s="56"/>
      <c r="J8035" s="58"/>
      <c r="K8035" s="58"/>
      <c r="L8035" s="13" t="str">
        <f t="shared" si="1290"/>
        <v/>
      </c>
      <c r="M8035" s="13" t="str">
        <f t="shared" si="1291"/>
        <v/>
      </c>
      <c r="Q8035" t="str">
        <f t="shared" si="1292"/>
        <v/>
      </c>
      <c r="R8035" t="str">
        <f t="shared" si="1293"/>
        <v/>
      </c>
      <c r="S8035" t="str">
        <f t="shared" si="1294"/>
        <v/>
      </c>
      <c r="T8035" t="str">
        <f t="shared" si="1295"/>
        <v/>
      </c>
      <c r="U8035" t="str">
        <f t="shared" si="1296"/>
        <v/>
      </c>
      <c r="V8035" t="str">
        <f t="shared" si="1297"/>
        <v/>
      </c>
      <c r="W8035" t="str">
        <f t="shared" si="1298"/>
        <v/>
      </c>
      <c r="X8035">
        <f t="shared" si="1288"/>
        <v>0</v>
      </c>
      <c r="Z8035" t="str">
        <f t="shared" si="1299"/>
        <v/>
      </c>
      <c r="AA8035">
        <f t="shared" si="1289"/>
        <v>0</v>
      </c>
    </row>
    <row r="8036" spans="1:27" ht="21" customHeight="1" x14ac:dyDescent="0.95">
      <c r="A8036" s="56"/>
      <c r="B8036" s="57"/>
      <c r="C8036" s="57"/>
      <c r="D8036" s="57"/>
      <c r="E8036" s="56"/>
      <c r="F8036" s="57"/>
      <c r="G8036" s="57"/>
      <c r="H8036" s="56"/>
      <c r="I8036" s="56"/>
      <c r="J8036" s="58"/>
      <c r="K8036" s="58"/>
      <c r="L8036" s="13" t="str">
        <f t="shared" si="1290"/>
        <v/>
      </c>
      <c r="M8036" s="13" t="str">
        <f t="shared" si="1291"/>
        <v/>
      </c>
      <c r="Q8036" t="str">
        <f t="shared" si="1292"/>
        <v/>
      </c>
      <c r="R8036" t="str">
        <f t="shared" si="1293"/>
        <v/>
      </c>
      <c r="S8036" t="str">
        <f t="shared" si="1294"/>
        <v/>
      </c>
      <c r="T8036" t="str">
        <f t="shared" si="1295"/>
        <v/>
      </c>
      <c r="U8036" t="str">
        <f t="shared" si="1296"/>
        <v/>
      </c>
      <c r="V8036" t="str">
        <f t="shared" si="1297"/>
        <v/>
      </c>
      <c r="W8036" t="str">
        <f t="shared" si="1298"/>
        <v/>
      </c>
      <c r="X8036">
        <f t="shared" si="1288"/>
        <v>0</v>
      </c>
      <c r="Z8036" t="str">
        <f t="shared" si="1299"/>
        <v/>
      </c>
      <c r="AA8036">
        <f t="shared" si="1289"/>
        <v>0</v>
      </c>
    </row>
    <row r="8037" spans="1:27" ht="21" customHeight="1" x14ac:dyDescent="0.95">
      <c r="A8037" s="56"/>
      <c r="B8037" s="57"/>
      <c r="C8037" s="57"/>
      <c r="D8037" s="57"/>
      <c r="E8037" s="56"/>
      <c r="F8037" s="57"/>
      <c r="G8037" s="57"/>
      <c r="H8037" s="56"/>
      <c r="I8037" s="56"/>
      <c r="J8037" s="58"/>
      <c r="K8037" s="58"/>
      <c r="L8037" s="13" t="str">
        <f t="shared" si="1290"/>
        <v/>
      </c>
      <c r="M8037" s="13" t="str">
        <f t="shared" si="1291"/>
        <v/>
      </c>
      <c r="Q8037" t="str">
        <f t="shared" si="1292"/>
        <v/>
      </c>
      <c r="R8037" t="str">
        <f t="shared" si="1293"/>
        <v/>
      </c>
      <c r="S8037" t="str">
        <f t="shared" si="1294"/>
        <v/>
      </c>
      <c r="T8037" t="str">
        <f t="shared" si="1295"/>
        <v/>
      </c>
      <c r="U8037" t="str">
        <f t="shared" si="1296"/>
        <v/>
      </c>
      <c r="V8037" t="str">
        <f t="shared" si="1297"/>
        <v/>
      </c>
      <c r="W8037" t="str">
        <f t="shared" si="1298"/>
        <v/>
      </c>
      <c r="X8037">
        <f t="shared" si="1288"/>
        <v>0</v>
      </c>
      <c r="Z8037" t="str">
        <f t="shared" si="1299"/>
        <v/>
      </c>
      <c r="AA8037">
        <f t="shared" si="1289"/>
        <v>0</v>
      </c>
    </row>
    <row r="8038" spans="1:27" ht="21" customHeight="1" x14ac:dyDescent="0.95">
      <c r="A8038" s="56"/>
      <c r="B8038" s="57"/>
      <c r="C8038" s="57"/>
      <c r="D8038" s="57"/>
      <c r="E8038" s="56"/>
      <c r="F8038" s="57"/>
      <c r="G8038" s="57"/>
      <c r="H8038" s="56"/>
      <c r="I8038" s="56"/>
      <c r="J8038" s="58"/>
      <c r="K8038" s="58"/>
      <c r="L8038" s="13" t="str">
        <f t="shared" si="1290"/>
        <v/>
      </c>
      <c r="M8038" s="13" t="str">
        <f t="shared" si="1291"/>
        <v/>
      </c>
      <c r="Q8038" t="str">
        <f t="shared" si="1292"/>
        <v/>
      </c>
      <c r="R8038" t="str">
        <f t="shared" si="1293"/>
        <v/>
      </c>
      <c r="S8038" t="str">
        <f t="shared" si="1294"/>
        <v/>
      </c>
      <c r="T8038" t="str">
        <f t="shared" si="1295"/>
        <v/>
      </c>
      <c r="U8038" t="str">
        <f t="shared" si="1296"/>
        <v/>
      </c>
      <c r="V8038" t="str">
        <f t="shared" si="1297"/>
        <v/>
      </c>
      <c r="W8038" t="str">
        <f t="shared" si="1298"/>
        <v/>
      </c>
      <c r="X8038">
        <f t="shared" si="1288"/>
        <v>0</v>
      </c>
      <c r="Z8038" t="str">
        <f t="shared" si="1299"/>
        <v/>
      </c>
      <c r="AA8038">
        <f t="shared" si="1289"/>
        <v>0</v>
      </c>
    </row>
    <row r="8039" spans="1:27" ht="21" customHeight="1" x14ac:dyDescent="0.95">
      <c r="A8039" s="56"/>
      <c r="B8039" s="57"/>
      <c r="C8039" s="57"/>
      <c r="D8039" s="57"/>
      <c r="E8039" s="56"/>
      <c r="F8039" s="57"/>
      <c r="G8039" s="57"/>
      <c r="H8039" s="56"/>
      <c r="I8039" s="56"/>
      <c r="J8039" s="58"/>
      <c r="K8039" s="58"/>
      <c r="L8039" s="13" t="str">
        <f t="shared" si="1290"/>
        <v/>
      </c>
      <c r="M8039" s="13" t="str">
        <f t="shared" si="1291"/>
        <v/>
      </c>
      <c r="Q8039" t="str">
        <f t="shared" si="1292"/>
        <v/>
      </c>
      <c r="R8039" t="str">
        <f t="shared" si="1293"/>
        <v/>
      </c>
      <c r="S8039" t="str">
        <f t="shared" si="1294"/>
        <v/>
      </c>
      <c r="T8039" t="str">
        <f t="shared" si="1295"/>
        <v/>
      </c>
      <c r="U8039" t="str">
        <f t="shared" si="1296"/>
        <v/>
      </c>
      <c r="V8039" t="str">
        <f t="shared" si="1297"/>
        <v/>
      </c>
      <c r="W8039" t="str">
        <f t="shared" si="1298"/>
        <v/>
      </c>
      <c r="X8039">
        <f t="shared" si="1288"/>
        <v>0</v>
      </c>
      <c r="Z8039" t="str">
        <f t="shared" si="1299"/>
        <v/>
      </c>
      <c r="AA8039">
        <f t="shared" si="1289"/>
        <v>0</v>
      </c>
    </row>
    <row r="8040" spans="1:27" ht="21" customHeight="1" x14ac:dyDescent="0.95">
      <c r="A8040" s="56"/>
      <c r="B8040" s="57"/>
      <c r="C8040" s="57"/>
      <c r="D8040" s="57"/>
      <c r="E8040" s="56"/>
      <c r="F8040" s="57"/>
      <c r="G8040" s="57"/>
      <c r="H8040" s="56"/>
      <c r="I8040" s="56"/>
      <c r="J8040" s="58"/>
      <c r="K8040" s="58"/>
      <c r="L8040" s="13" t="str">
        <f t="shared" si="1290"/>
        <v/>
      </c>
      <c r="M8040" s="13" t="str">
        <f t="shared" si="1291"/>
        <v/>
      </c>
      <c r="Q8040" t="str">
        <f t="shared" si="1292"/>
        <v/>
      </c>
      <c r="R8040" t="str">
        <f t="shared" si="1293"/>
        <v/>
      </c>
      <c r="S8040" t="str">
        <f t="shared" si="1294"/>
        <v/>
      </c>
      <c r="T8040" t="str">
        <f t="shared" si="1295"/>
        <v/>
      </c>
      <c r="U8040" t="str">
        <f t="shared" si="1296"/>
        <v/>
      </c>
      <c r="V8040" t="str">
        <f t="shared" si="1297"/>
        <v/>
      </c>
      <c r="W8040" t="str">
        <f t="shared" si="1298"/>
        <v/>
      </c>
      <c r="X8040">
        <f t="shared" si="1288"/>
        <v>0</v>
      </c>
      <c r="Z8040" t="str">
        <f t="shared" si="1299"/>
        <v/>
      </c>
      <c r="AA8040">
        <f t="shared" si="1289"/>
        <v>0</v>
      </c>
    </row>
    <row r="8041" spans="1:27" ht="21" customHeight="1" x14ac:dyDescent="0.95">
      <c r="A8041" s="56"/>
      <c r="B8041" s="57"/>
      <c r="C8041" s="57"/>
      <c r="D8041" s="57"/>
      <c r="E8041" s="56"/>
      <c r="F8041" s="57"/>
      <c r="G8041" s="57"/>
      <c r="H8041" s="56"/>
      <c r="I8041" s="56"/>
      <c r="J8041" s="58"/>
      <c r="K8041" s="58"/>
      <c r="L8041" s="13" t="str">
        <f t="shared" si="1290"/>
        <v/>
      </c>
      <c r="M8041" s="13" t="str">
        <f t="shared" si="1291"/>
        <v/>
      </c>
      <c r="Q8041" t="str">
        <f t="shared" si="1292"/>
        <v/>
      </c>
      <c r="R8041" t="str">
        <f t="shared" si="1293"/>
        <v/>
      </c>
      <c r="S8041" t="str">
        <f t="shared" si="1294"/>
        <v/>
      </c>
      <c r="T8041" t="str">
        <f t="shared" si="1295"/>
        <v/>
      </c>
      <c r="U8041" t="str">
        <f t="shared" si="1296"/>
        <v/>
      </c>
      <c r="V8041" t="str">
        <f t="shared" si="1297"/>
        <v/>
      </c>
      <c r="W8041" t="str">
        <f t="shared" si="1298"/>
        <v/>
      </c>
      <c r="X8041">
        <f t="shared" si="1288"/>
        <v>0</v>
      </c>
      <c r="Z8041" t="str">
        <f t="shared" si="1299"/>
        <v/>
      </c>
      <c r="AA8041">
        <f t="shared" si="1289"/>
        <v>0</v>
      </c>
    </row>
    <row r="8042" spans="1:27" ht="21" customHeight="1" x14ac:dyDescent="0.95">
      <c r="A8042" s="56"/>
      <c r="B8042" s="57"/>
      <c r="C8042" s="57"/>
      <c r="D8042" s="57"/>
      <c r="E8042" s="56"/>
      <c r="F8042" s="57"/>
      <c r="G8042" s="57"/>
      <c r="H8042" s="56"/>
      <c r="I8042" s="56"/>
      <c r="J8042" s="58"/>
      <c r="K8042" s="58"/>
      <c r="L8042" s="13" t="str">
        <f t="shared" si="1290"/>
        <v/>
      </c>
      <c r="M8042" s="13" t="str">
        <f t="shared" si="1291"/>
        <v/>
      </c>
      <c r="Q8042" t="str">
        <f t="shared" si="1292"/>
        <v/>
      </c>
      <c r="R8042" t="str">
        <f t="shared" si="1293"/>
        <v/>
      </c>
      <c r="S8042" t="str">
        <f t="shared" si="1294"/>
        <v/>
      </c>
      <c r="T8042" t="str">
        <f t="shared" si="1295"/>
        <v/>
      </c>
      <c r="U8042" t="str">
        <f t="shared" si="1296"/>
        <v/>
      </c>
      <c r="V8042" t="str">
        <f t="shared" si="1297"/>
        <v/>
      </c>
      <c r="W8042" t="str">
        <f t="shared" si="1298"/>
        <v/>
      </c>
      <c r="X8042">
        <f t="shared" si="1288"/>
        <v>0</v>
      </c>
      <c r="Z8042" t="str">
        <f t="shared" si="1299"/>
        <v/>
      </c>
      <c r="AA8042">
        <f t="shared" si="1289"/>
        <v>0</v>
      </c>
    </row>
    <row r="8043" spans="1:27" ht="21" customHeight="1" x14ac:dyDescent="0.95">
      <c r="A8043" s="56"/>
      <c r="B8043" s="57"/>
      <c r="C8043" s="57"/>
      <c r="D8043" s="57"/>
      <c r="E8043" s="56"/>
      <c r="F8043" s="57"/>
      <c r="G8043" s="57"/>
      <c r="H8043" s="56"/>
      <c r="I8043" s="56"/>
      <c r="J8043" s="58"/>
      <c r="K8043" s="58"/>
      <c r="L8043" s="13" t="str">
        <f t="shared" si="1290"/>
        <v/>
      </c>
      <c r="M8043" s="13" t="str">
        <f t="shared" si="1291"/>
        <v/>
      </c>
      <c r="Q8043" t="str">
        <f t="shared" si="1292"/>
        <v/>
      </c>
      <c r="R8043" t="str">
        <f t="shared" si="1293"/>
        <v/>
      </c>
      <c r="S8043" t="str">
        <f t="shared" si="1294"/>
        <v/>
      </c>
      <c r="T8043" t="str">
        <f t="shared" si="1295"/>
        <v/>
      </c>
      <c r="U8043" t="str">
        <f t="shared" si="1296"/>
        <v/>
      </c>
      <c r="V8043" t="str">
        <f t="shared" si="1297"/>
        <v/>
      </c>
      <c r="W8043" t="str">
        <f t="shared" si="1298"/>
        <v/>
      </c>
      <c r="X8043">
        <f t="shared" si="1288"/>
        <v>0</v>
      </c>
      <c r="Z8043" t="str">
        <f t="shared" si="1299"/>
        <v/>
      </c>
      <c r="AA8043">
        <f t="shared" si="1289"/>
        <v>0</v>
      </c>
    </row>
    <row r="8044" spans="1:27" ht="21" customHeight="1" x14ac:dyDescent="0.95">
      <c r="A8044" s="56"/>
      <c r="B8044" s="57"/>
      <c r="C8044" s="57"/>
      <c r="D8044" s="57"/>
      <c r="E8044" s="56"/>
      <c r="F8044" s="57"/>
      <c r="G8044" s="57"/>
      <c r="H8044" s="56"/>
      <c r="I8044" s="56"/>
      <c r="J8044" s="58"/>
      <c r="K8044" s="58"/>
      <c r="L8044" s="13" t="str">
        <f t="shared" si="1290"/>
        <v/>
      </c>
      <c r="M8044" s="13" t="str">
        <f t="shared" si="1291"/>
        <v/>
      </c>
      <c r="Q8044" t="str">
        <f t="shared" si="1292"/>
        <v/>
      </c>
      <c r="R8044" t="str">
        <f t="shared" si="1293"/>
        <v/>
      </c>
      <c r="S8044" t="str">
        <f t="shared" si="1294"/>
        <v/>
      </c>
      <c r="T8044" t="str">
        <f t="shared" si="1295"/>
        <v/>
      </c>
      <c r="U8044" t="str">
        <f t="shared" si="1296"/>
        <v/>
      </c>
      <c r="V8044" t="str">
        <f t="shared" si="1297"/>
        <v/>
      </c>
      <c r="W8044" t="str">
        <f t="shared" si="1298"/>
        <v/>
      </c>
      <c r="X8044">
        <f t="shared" si="1288"/>
        <v>0</v>
      </c>
      <c r="Z8044" t="str">
        <f t="shared" si="1299"/>
        <v/>
      </c>
      <c r="AA8044">
        <f t="shared" si="1289"/>
        <v>0</v>
      </c>
    </row>
    <row r="8045" spans="1:27" ht="21" customHeight="1" x14ac:dyDescent="0.95">
      <c r="A8045" s="56"/>
      <c r="B8045" s="57"/>
      <c r="C8045" s="57"/>
      <c r="D8045" s="57"/>
      <c r="E8045" s="56"/>
      <c r="F8045" s="57"/>
      <c r="G8045" s="57"/>
      <c r="H8045" s="56"/>
      <c r="I8045" s="56"/>
      <c r="J8045" s="58"/>
      <c r="K8045" s="58"/>
      <c r="L8045" s="13" t="str">
        <f t="shared" si="1290"/>
        <v/>
      </c>
      <c r="M8045" s="13" t="str">
        <f t="shared" si="1291"/>
        <v/>
      </c>
      <c r="Q8045" t="str">
        <f t="shared" si="1292"/>
        <v/>
      </c>
      <c r="R8045" t="str">
        <f t="shared" si="1293"/>
        <v/>
      </c>
      <c r="S8045" t="str">
        <f t="shared" si="1294"/>
        <v/>
      </c>
      <c r="T8045" t="str">
        <f t="shared" si="1295"/>
        <v/>
      </c>
      <c r="U8045" t="str">
        <f t="shared" si="1296"/>
        <v/>
      </c>
      <c r="V8045" t="str">
        <f t="shared" si="1297"/>
        <v/>
      </c>
      <c r="W8045" t="str">
        <f t="shared" si="1298"/>
        <v/>
      </c>
      <c r="X8045">
        <f t="shared" si="1288"/>
        <v>0</v>
      </c>
      <c r="Z8045" t="str">
        <f t="shared" si="1299"/>
        <v/>
      </c>
      <c r="AA8045">
        <f t="shared" si="1289"/>
        <v>0</v>
      </c>
    </row>
    <row r="8046" spans="1:27" ht="21" customHeight="1" x14ac:dyDescent="0.95">
      <c r="A8046" s="56"/>
      <c r="B8046" s="57"/>
      <c r="C8046" s="57"/>
      <c r="D8046" s="57"/>
      <c r="E8046" s="56"/>
      <c r="F8046" s="57"/>
      <c r="G8046" s="57"/>
      <c r="H8046" s="56"/>
      <c r="I8046" s="56"/>
      <c r="J8046" s="58"/>
      <c r="K8046" s="58"/>
      <c r="L8046" s="13" t="str">
        <f t="shared" si="1290"/>
        <v/>
      </c>
      <c r="M8046" s="13" t="str">
        <f t="shared" si="1291"/>
        <v/>
      </c>
      <c r="Q8046" t="str">
        <f t="shared" si="1292"/>
        <v/>
      </c>
      <c r="R8046" t="str">
        <f t="shared" si="1293"/>
        <v/>
      </c>
      <c r="S8046" t="str">
        <f t="shared" si="1294"/>
        <v/>
      </c>
      <c r="T8046" t="str">
        <f t="shared" si="1295"/>
        <v/>
      </c>
      <c r="U8046" t="str">
        <f t="shared" si="1296"/>
        <v/>
      </c>
      <c r="V8046" t="str">
        <f t="shared" si="1297"/>
        <v/>
      </c>
      <c r="W8046" t="str">
        <f t="shared" si="1298"/>
        <v/>
      </c>
      <c r="X8046">
        <f t="shared" si="1288"/>
        <v>0</v>
      </c>
      <c r="Z8046" t="str">
        <f t="shared" si="1299"/>
        <v/>
      </c>
      <c r="AA8046">
        <f t="shared" si="1289"/>
        <v>0</v>
      </c>
    </row>
    <row r="8047" spans="1:27" ht="21" customHeight="1" x14ac:dyDescent="0.95">
      <c r="A8047" s="56"/>
      <c r="B8047" s="57"/>
      <c r="C8047" s="57"/>
      <c r="D8047" s="57"/>
      <c r="E8047" s="56"/>
      <c r="F8047" s="57"/>
      <c r="G8047" s="57"/>
      <c r="H8047" s="56"/>
      <c r="I8047" s="56"/>
      <c r="J8047" s="58"/>
      <c r="K8047" s="58"/>
      <c r="L8047" s="13" t="str">
        <f t="shared" si="1290"/>
        <v/>
      </c>
      <c r="M8047" s="13" t="str">
        <f t="shared" si="1291"/>
        <v/>
      </c>
      <c r="Q8047" t="str">
        <f t="shared" si="1292"/>
        <v/>
      </c>
      <c r="R8047" t="str">
        <f t="shared" si="1293"/>
        <v/>
      </c>
      <c r="S8047" t="str">
        <f t="shared" si="1294"/>
        <v/>
      </c>
      <c r="T8047" t="str">
        <f t="shared" si="1295"/>
        <v/>
      </c>
      <c r="U8047" t="str">
        <f t="shared" si="1296"/>
        <v/>
      </c>
      <c r="V8047" t="str">
        <f t="shared" si="1297"/>
        <v/>
      </c>
      <c r="W8047" t="str">
        <f t="shared" si="1298"/>
        <v/>
      </c>
      <c r="X8047">
        <f t="shared" si="1288"/>
        <v>0</v>
      </c>
      <c r="Z8047" t="str">
        <f t="shared" si="1299"/>
        <v/>
      </c>
      <c r="AA8047">
        <f t="shared" si="1289"/>
        <v>0</v>
      </c>
    </row>
    <row r="8048" spans="1:27" ht="21" customHeight="1" x14ac:dyDescent="0.95">
      <c r="A8048" s="56"/>
      <c r="B8048" s="57"/>
      <c r="C8048" s="57"/>
      <c r="D8048" s="57"/>
      <c r="E8048" s="56"/>
      <c r="F8048" s="57"/>
      <c r="G8048" s="57"/>
      <c r="H8048" s="56"/>
      <c r="I8048" s="56"/>
      <c r="J8048" s="58"/>
      <c r="K8048" s="58"/>
      <c r="L8048" s="13" t="str">
        <f t="shared" si="1290"/>
        <v/>
      </c>
      <c r="M8048" s="13" t="str">
        <f t="shared" si="1291"/>
        <v/>
      </c>
      <c r="Q8048" t="str">
        <f t="shared" si="1292"/>
        <v/>
      </c>
      <c r="R8048" t="str">
        <f t="shared" si="1293"/>
        <v/>
      </c>
      <c r="S8048" t="str">
        <f t="shared" si="1294"/>
        <v/>
      </c>
      <c r="T8048" t="str">
        <f t="shared" si="1295"/>
        <v/>
      </c>
      <c r="U8048" t="str">
        <f t="shared" si="1296"/>
        <v/>
      </c>
      <c r="V8048" t="str">
        <f t="shared" si="1297"/>
        <v/>
      </c>
      <c r="W8048" t="str">
        <f t="shared" si="1298"/>
        <v/>
      </c>
      <c r="X8048">
        <f t="shared" si="1288"/>
        <v>0</v>
      </c>
      <c r="Z8048" t="str">
        <f t="shared" si="1299"/>
        <v/>
      </c>
      <c r="AA8048">
        <f t="shared" si="1289"/>
        <v>0</v>
      </c>
    </row>
    <row r="8049" spans="1:27" ht="21" customHeight="1" x14ac:dyDescent="0.95">
      <c r="A8049" s="56"/>
      <c r="B8049" s="57"/>
      <c r="C8049" s="57"/>
      <c r="D8049" s="57"/>
      <c r="E8049" s="56"/>
      <c r="F8049" s="57"/>
      <c r="G8049" s="57"/>
      <c r="H8049" s="56"/>
      <c r="I8049" s="56"/>
      <c r="J8049" s="58"/>
      <c r="K8049" s="58"/>
      <c r="L8049" s="13" t="str">
        <f t="shared" si="1290"/>
        <v/>
      </c>
      <c r="M8049" s="13" t="str">
        <f t="shared" si="1291"/>
        <v/>
      </c>
      <c r="Q8049" t="str">
        <f t="shared" si="1292"/>
        <v/>
      </c>
      <c r="R8049" t="str">
        <f t="shared" si="1293"/>
        <v/>
      </c>
      <c r="S8049" t="str">
        <f t="shared" si="1294"/>
        <v/>
      </c>
      <c r="T8049" t="str">
        <f t="shared" si="1295"/>
        <v/>
      </c>
      <c r="U8049" t="str">
        <f t="shared" si="1296"/>
        <v/>
      </c>
      <c r="V8049" t="str">
        <f t="shared" si="1297"/>
        <v/>
      </c>
      <c r="W8049" t="str">
        <f t="shared" si="1298"/>
        <v/>
      </c>
      <c r="X8049">
        <f t="shared" si="1288"/>
        <v>0</v>
      </c>
      <c r="Z8049" t="str">
        <f t="shared" si="1299"/>
        <v/>
      </c>
      <c r="AA8049">
        <f t="shared" si="1289"/>
        <v>0</v>
      </c>
    </row>
    <row r="8050" spans="1:27" ht="21" customHeight="1" x14ac:dyDescent="0.95">
      <c r="A8050" s="56"/>
      <c r="B8050" s="57"/>
      <c r="C8050" s="57"/>
      <c r="D8050" s="57"/>
      <c r="E8050" s="56"/>
      <c r="F8050" s="57"/>
      <c r="G8050" s="57"/>
      <c r="H8050" s="56"/>
      <c r="I8050" s="56"/>
      <c r="J8050" s="58"/>
      <c r="K8050" s="58"/>
      <c r="L8050" s="13" t="str">
        <f t="shared" si="1290"/>
        <v/>
      </c>
      <c r="M8050" s="13" t="str">
        <f t="shared" si="1291"/>
        <v/>
      </c>
      <c r="Q8050" t="str">
        <f t="shared" si="1292"/>
        <v/>
      </c>
      <c r="R8050" t="str">
        <f t="shared" si="1293"/>
        <v/>
      </c>
      <c r="S8050" t="str">
        <f t="shared" si="1294"/>
        <v/>
      </c>
      <c r="T8050" t="str">
        <f t="shared" si="1295"/>
        <v/>
      </c>
      <c r="U8050" t="str">
        <f t="shared" si="1296"/>
        <v/>
      </c>
      <c r="V8050" t="str">
        <f t="shared" si="1297"/>
        <v/>
      </c>
      <c r="W8050" t="str">
        <f t="shared" si="1298"/>
        <v/>
      </c>
      <c r="X8050">
        <f t="shared" si="1288"/>
        <v>0</v>
      </c>
      <c r="Z8050" t="str">
        <f t="shared" si="1299"/>
        <v/>
      </c>
      <c r="AA8050">
        <f t="shared" si="1289"/>
        <v>0</v>
      </c>
    </row>
    <row r="8051" spans="1:27" ht="21" customHeight="1" x14ac:dyDescent="0.95">
      <c r="A8051" s="56"/>
      <c r="B8051" s="57"/>
      <c r="C8051" s="57"/>
      <c r="D8051" s="57"/>
      <c r="E8051" s="56"/>
      <c r="F8051" s="57"/>
      <c r="G8051" s="57"/>
      <c r="H8051" s="56"/>
      <c r="I8051" s="56"/>
      <c r="J8051" s="58"/>
      <c r="K8051" s="58"/>
      <c r="L8051" s="13" t="str">
        <f t="shared" si="1290"/>
        <v/>
      </c>
      <c r="M8051" s="13" t="str">
        <f t="shared" si="1291"/>
        <v/>
      </c>
      <c r="Q8051" t="str">
        <f t="shared" si="1292"/>
        <v/>
      </c>
      <c r="R8051" t="str">
        <f t="shared" si="1293"/>
        <v/>
      </c>
      <c r="S8051" t="str">
        <f t="shared" si="1294"/>
        <v/>
      </c>
      <c r="T8051" t="str">
        <f t="shared" si="1295"/>
        <v/>
      </c>
      <c r="U8051" t="str">
        <f t="shared" si="1296"/>
        <v/>
      </c>
      <c r="V8051" t="str">
        <f t="shared" si="1297"/>
        <v/>
      </c>
      <c r="W8051" t="str">
        <f t="shared" si="1298"/>
        <v/>
      </c>
      <c r="X8051">
        <f t="shared" si="1288"/>
        <v>0</v>
      </c>
      <c r="Z8051" t="str">
        <f t="shared" si="1299"/>
        <v/>
      </c>
      <c r="AA8051">
        <f t="shared" si="1289"/>
        <v>0</v>
      </c>
    </row>
    <row r="8052" spans="1:27" ht="21" customHeight="1" x14ac:dyDescent="0.95">
      <c r="A8052" s="56"/>
      <c r="B8052" s="57"/>
      <c r="C8052" s="57"/>
      <c r="D8052" s="57"/>
      <c r="E8052" s="56"/>
      <c r="F8052" s="57"/>
      <c r="G8052" s="57"/>
      <c r="H8052" s="56"/>
      <c r="I8052" s="56"/>
      <c r="J8052" s="58"/>
      <c r="K8052" s="58"/>
      <c r="L8052" s="13" t="str">
        <f t="shared" si="1290"/>
        <v/>
      </c>
      <c r="M8052" s="13" t="str">
        <f t="shared" si="1291"/>
        <v/>
      </c>
      <c r="Q8052" t="str">
        <f t="shared" si="1292"/>
        <v/>
      </c>
      <c r="R8052" t="str">
        <f t="shared" si="1293"/>
        <v/>
      </c>
      <c r="S8052" t="str">
        <f t="shared" si="1294"/>
        <v/>
      </c>
      <c r="T8052" t="str">
        <f t="shared" si="1295"/>
        <v/>
      </c>
      <c r="U8052" t="str">
        <f t="shared" si="1296"/>
        <v/>
      </c>
      <c r="V8052" t="str">
        <f t="shared" si="1297"/>
        <v/>
      </c>
      <c r="W8052" t="str">
        <f t="shared" si="1298"/>
        <v/>
      </c>
      <c r="X8052">
        <f t="shared" si="1288"/>
        <v>0</v>
      </c>
      <c r="Z8052" t="str">
        <f t="shared" si="1299"/>
        <v/>
      </c>
      <c r="AA8052">
        <f t="shared" si="1289"/>
        <v>0</v>
      </c>
    </row>
    <row r="8053" spans="1:27" ht="21" customHeight="1" x14ac:dyDescent="0.95">
      <c r="A8053" s="56"/>
      <c r="B8053" s="57"/>
      <c r="C8053" s="57"/>
      <c r="D8053" s="57"/>
      <c r="E8053" s="56"/>
      <c r="F8053" s="57"/>
      <c r="G8053" s="57"/>
      <c r="H8053" s="56"/>
      <c r="I8053" s="56"/>
      <c r="J8053" s="58"/>
      <c r="K8053" s="58"/>
      <c r="L8053" s="13" t="str">
        <f t="shared" si="1290"/>
        <v/>
      </c>
      <c r="M8053" s="13" t="str">
        <f t="shared" si="1291"/>
        <v/>
      </c>
      <c r="Q8053" t="str">
        <f t="shared" si="1292"/>
        <v/>
      </c>
      <c r="R8053" t="str">
        <f t="shared" si="1293"/>
        <v/>
      </c>
      <c r="S8053" t="str">
        <f t="shared" si="1294"/>
        <v/>
      </c>
      <c r="T8053" t="str">
        <f t="shared" si="1295"/>
        <v/>
      </c>
      <c r="U8053" t="str">
        <f t="shared" si="1296"/>
        <v/>
      </c>
      <c r="V8053" t="str">
        <f t="shared" si="1297"/>
        <v/>
      </c>
      <c r="W8053" t="str">
        <f t="shared" si="1298"/>
        <v/>
      </c>
      <c r="X8053">
        <f t="shared" ref="X8053:X8116" si="1300">IF($T8053="",N($X8052),IF(MATCH($T8053,$T$6:$T$10005,0)=ROW()-5,N($X8052)+1,N($X8052)))</f>
        <v>0</v>
      </c>
      <c r="Z8053" t="str">
        <f t="shared" si="1299"/>
        <v/>
      </c>
      <c r="AA8053">
        <f t="shared" ref="AA8053:AA8116" si="1301">IF($V8053="",N($AA8052),IF(MATCH($V8053,$V$6:$V$10005,0)=ROW()-5,N($AA8052)+1,N($AA8052)))</f>
        <v>0</v>
      </c>
    </row>
    <row r="8054" spans="1:27" ht="21" customHeight="1" x14ac:dyDescent="0.95">
      <c r="A8054" s="56"/>
      <c r="B8054" s="57"/>
      <c r="C8054" s="57"/>
      <c r="D8054" s="57"/>
      <c r="E8054" s="56"/>
      <c r="F8054" s="57"/>
      <c r="G8054" s="57"/>
      <c r="H8054" s="56"/>
      <c r="I8054" s="56"/>
      <c r="J8054" s="58"/>
      <c r="K8054" s="58"/>
      <c r="L8054" s="13" t="str">
        <f t="shared" si="1290"/>
        <v/>
      </c>
      <c r="M8054" s="13" t="str">
        <f t="shared" si="1291"/>
        <v/>
      </c>
      <c r="Q8054" t="str">
        <f t="shared" si="1292"/>
        <v/>
      </c>
      <c r="R8054" t="str">
        <f t="shared" si="1293"/>
        <v/>
      </c>
      <c r="S8054" t="str">
        <f t="shared" si="1294"/>
        <v/>
      </c>
      <c r="T8054" t="str">
        <f t="shared" si="1295"/>
        <v/>
      </c>
      <c r="U8054" t="str">
        <f t="shared" si="1296"/>
        <v/>
      </c>
      <c r="V8054" t="str">
        <f t="shared" si="1297"/>
        <v/>
      </c>
      <c r="W8054" t="str">
        <f t="shared" si="1298"/>
        <v/>
      </c>
      <c r="X8054">
        <f t="shared" si="1300"/>
        <v>0</v>
      </c>
      <c r="Z8054" t="str">
        <f t="shared" si="1299"/>
        <v/>
      </c>
      <c r="AA8054">
        <f t="shared" si="1301"/>
        <v>0</v>
      </c>
    </row>
    <row r="8055" spans="1:27" ht="21" customHeight="1" x14ac:dyDescent="0.95">
      <c r="A8055" s="56"/>
      <c r="B8055" s="57"/>
      <c r="C8055" s="57"/>
      <c r="D8055" s="57"/>
      <c r="E8055" s="56"/>
      <c r="F8055" s="57"/>
      <c r="G8055" s="57"/>
      <c r="H8055" s="56"/>
      <c r="I8055" s="56"/>
      <c r="J8055" s="58"/>
      <c r="K8055" s="58"/>
      <c r="L8055" s="13" t="str">
        <f t="shared" si="1290"/>
        <v/>
      </c>
      <c r="M8055" s="13" t="str">
        <f t="shared" si="1291"/>
        <v/>
      </c>
      <c r="Q8055" t="str">
        <f t="shared" si="1292"/>
        <v/>
      </c>
      <c r="R8055" t="str">
        <f t="shared" si="1293"/>
        <v/>
      </c>
      <c r="S8055" t="str">
        <f t="shared" si="1294"/>
        <v/>
      </c>
      <c r="T8055" t="str">
        <f t="shared" si="1295"/>
        <v/>
      </c>
      <c r="U8055" t="str">
        <f t="shared" si="1296"/>
        <v/>
      </c>
      <c r="V8055" t="str">
        <f t="shared" si="1297"/>
        <v/>
      </c>
      <c r="W8055" t="str">
        <f t="shared" si="1298"/>
        <v/>
      </c>
      <c r="X8055">
        <f t="shared" si="1300"/>
        <v>0</v>
      </c>
      <c r="Z8055" t="str">
        <f t="shared" si="1299"/>
        <v/>
      </c>
      <c r="AA8055">
        <f t="shared" si="1301"/>
        <v>0</v>
      </c>
    </row>
    <row r="8056" spans="1:27" ht="21" customHeight="1" x14ac:dyDescent="0.95">
      <c r="A8056" s="56"/>
      <c r="B8056" s="57"/>
      <c r="C8056" s="57"/>
      <c r="D8056" s="57"/>
      <c r="E8056" s="56"/>
      <c r="F8056" s="57"/>
      <c r="G8056" s="57"/>
      <c r="H8056" s="56"/>
      <c r="I8056" s="56"/>
      <c r="J8056" s="58"/>
      <c r="K8056" s="58"/>
      <c r="L8056" s="13" t="str">
        <f t="shared" si="1290"/>
        <v/>
      </c>
      <c r="M8056" s="13" t="str">
        <f t="shared" si="1291"/>
        <v/>
      </c>
      <c r="Q8056" t="str">
        <f t="shared" si="1292"/>
        <v/>
      </c>
      <c r="R8056" t="str">
        <f t="shared" si="1293"/>
        <v/>
      </c>
      <c r="S8056" t="str">
        <f t="shared" si="1294"/>
        <v/>
      </c>
      <c r="T8056" t="str">
        <f t="shared" si="1295"/>
        <v/>
      </c>
      <c r="U8056" t="str">
        <f t="shared" si="1296"/>
        <v/>
      </c>
      <c r="V8056" t="str">
        <f t="shared" si="1297"/>
        <v/>
      </c>
      <c r="W8056" t="str">
        <f t="shared" si="1298"/>
        <v/>
      </c>
      <c r="X8056">
        <f t="shared" si="1300"/>
        <v>0</v>
      </c>
      <c r="Z8056" t="str">
        <f t="shared" si="1299"/>
        <v/>
      </c>
      <c r="AA8056">
        <f t="shared" si="1301"/>
        <v>0</v>
      </c>
    </row>
    <row r="8057" spans="1:27" ht="21" customHeight="1" x14ac:dyDescent="0.95">
      <c r="A8057" s="56"/>
      <c r="B8057" s="57"/>
      <c r="C8057" s="57"/>
      <c r="D8057" s="57"/>
      <c r="E8057" s="56"/>
      <c r="F8057" s="57"/>
      <c r="G8057" s="57"/>
      <c r="H8057" s="56"/>
      <c r="I8057" s="56"/>
      <c r="J8057" s="58"/>
      <c r="K8057" s="58"/>
      <c r="L8057" s="13" t="str">
        <f t="shared" si="1290"/>
        <v/>
      </c>
      <c r="M8057" s="13" t="str">
        <f t="shared" si="1291"/>
        <v/>
      </c>
      <c r="Q8057" t="str">
        <f t="shared" si="1292"/>
        <v/>
      </c>
      <c r="R8057" t="str">
        <f t="shared" si="1293"/>
        <v/>
      </c>
      <c r="S8057" t="str">
        <f t="shared" si="1294"/>
        <v/>
      </c>
      <c r="T8057" t="str">
        <f t="shared" si="1295"/>
        <v/>
      </c>
      <c r="U8057" t="str">
        <f t="shared" si="1296"/>
        <v/>
      </c>
      <c r="V8057" t="str">
        <f t="shared" si="1297"/>
        <v/>
      </c>
      <c r="W8057" t="str">
        <f t="shared" si="1298"/>
        <v/>
      </c>
      <c r="X8057">
        <f t="shared" si="1300"/>
        <v>0</v>
      </c>
      <c r="Z8057" t="str">
        <f t="shared" si="1299"/>
        <v/>
      </c>
      <c r="AA8057">
        <f t="shared" si="1301"/>
        <v>0</v>
      </c>
    </row>
    <row r="8058" spans="1:27" ht="21" customHeight="1" x14ac:dyDescent="0.95">
      <c r="A8058" s="56"/>
      <c r="B8058" s="57"/>
      <c r="C8058" s="57"/>
      <c r="D8058" s="57"/>
      <c r="E8058" s="56"/>
      <c r="F8058" s="57"/>
      <c r="G8058" s="57"/>
      <c r="H8058" s="56"/>
      <c r="I8058" s="56"/>
      <c r="J8058" s="58"/>
      <c r="K8058" s="58"/>
      <c r="L8058" s="13" t="str">
        <f t="shared" si="1290"/>
        <v/>
      </c>
      <c r="M8058" s="13" t="str">
        <f t="shared" si="1291"/>
        <v/>
      </c>
      <c r="Q8058" t="str">
        <f t="shared" si="1292"/>
        <v/>
      </c>
      <c r="R8058" t="str">
        <f t="shared" si="1293"/>
        <v/>
      </c>
      <c r="S8058" t="str">
        <f t="shared" si="1294"/>
        <v/>
      </c>
      <c r="T8058" t="str">
        <f t="shared" si="1295"/>
        <v/>
      </c>
      <c r="U8058" t="str">
        <f t="shared" si="1296"/>
        <v/>
      </c>
      <c r="V8058" t="str">
        <f t="shared" si="1297"/>
        <v/>
      </c>
      <c r="W8058" t="str">
        <f t="shared" si="1298"/>
        <v/>
      </c>
      <c r="X8058">
        <f t="shared" si="1300"/>
        <v>0</v>
      </c>
      <c r="Z8058" t="str">
        <f t="shared" si="1299"/>
        <v/>
      </c>
      <c r="AA8058">
        <f t="shared" si="1301"/>
        <v>0</v>
      </c>
    </row>
    <row r="8059" spans="1:27" ht="21" customHeight="1" x14ac:dyDescent="0.95">
      <c r="A8059" s="56"/>
      <c r="B8059" s="57"/>
      <c r="C8059" s="57"/>
      <c r="D8059" s="57"/>
      <c r="E8059" s="56"/>
      <c r="F8059" s="57"/>
      <c r="G8059" s="57"/>
      <c r="H8059" s="56"/>
      <c r="I8059" s="56"/>
      <c r="J8059" s="58"/>
      <c r="K8059" s="58"/>
      <c r="L8059" s="13" t="str">
        <f t="shared" si="1290"/>
        <v/>
      </c>
      <c r="M8059" s="13" t="str">
        <f t="shared" si="1291"/>
        <v/>
      </c>
      <c r="Q8059" t="str">
        <f t="shared" si="1292"/>
        <v/>
      </c>
      <c r="R8059" t="str">
        <f t="shared" si="1293"/>
        <v/>
      </c>
      <c r="S8059" t="str">
        <f t="shared" si="1294"/>
        <v/>
      </c>
      <c r="T8059" t="str">
        <f t="shared" si="1295"/>
        <v/>
      </c>
      <c r="U8059" t="str">
        <f t="shared" si="1296"/>
        <v/>
      </c>
      <c r="V8059" t="str">
        <f t="shared" si="1297"/>
        <v/>
      </c>
      <c r="W8059" t="str">
        <f t="shared" si="1298"/>
        <v/>
      </c>
      <c r="X8059">
        <f t="shared" si="1300"/>
        <v>0</v>
      </c>
      <c r="Z8059" t="str">
        <f t="shared" si="1299"/>
        <v/>
      </c>
      <c r="AA8059">
        <f t="shared" si="1301"/>
        <v>0</v>
      </c>
    </row>
    <row r="8060" spans="1:27" ht="21" customHeight="1" x14ac:dyDescent="0.95">
      <c r="A8060" s="56"/>
      <c r="B8060" s="57"/>
      <c r="C8060" s="57"/>
      <c r="D8060" s="57"/>
      <c r="E8060" s="56"/>
      <c r="F8060" s="57"/>
      <c r="G8060" s="57"/>
      <c r="H8060" s="56"/>
      <c r="I8060" s="56"/>
      <c r="J8060" s="58"/>
      <c r="K8060" s="58"/>
      <c r="L8060" s="13" t="str">
        <f t="shared" si="1290"/>
        <v/>
      </c>
      <c r="M8060" s="13" t="str">
        <f t="shared" si="1291"/>
        <v/>
      </c>
      <c r="Q8060" t="str">
        <f t="shared" si="1292"/>
        <v/>
      </c>
      <c r="R8060" t="str">
        <f t="shared" si="1293"/>
        <v/>
      </c>
      <c r="S8060" t="str">
        <f t="shared" si="1294"/>
        <v/>
      </c>
      <c r="T8060" t="str">
        <f t="shared" si="1295"/>
        <v/>
      </c>
      <c r="U8060" t="str">
        <f t="shared" si="1296"/>
        <v/>
      </c>
      <c r="V8060" t="str">
        <f t="shared" si="1297"/>
        <v/>
      </c>
      <c r="W8060" t="str">
        <f t="shared" si="1298"/>
        <v/>
      </c>
      <c r="X8060">
        <f t="shared" si="1300"/>
        <v>0</v>
      </c>
      <c r="Z8060" t="str">
        <f t="shared" si="1299"/>
        <v/>
      </c>
      <c r="AA8060">
        <f t="shared" si="1301"/>
        <v>0</v>
      </c>
    </row>
    <row r="8061" spans="1:27" ht="21" customHeight="1" x14ac:dyDescent="0.95">
      <c r="A8061" s="56"/>
      <c r="B8061" s="57"/>
      <c r="C8061" s="57"/>
      <c r="D8061" s="57"/>
      <c r="E8061" s="56"/>
      <c r="F8061" s="57"/>
      <c r="G8061" s="57"/>
      <c r="H8061" s="56"/>
      <c r="I8061" s="56"/>
      <c r="J8061" s="58"/>
      <c r="K8061" s="58"/>
      <c r="L8061" s="13" t="str">
        <f t="shared" si="1290"/>
        <v/>
      </c>
      <c r="M8061" s="13" t="str">
        <f t="shared" si="1291"/>
        <v/>
      </c>
      <c r="Q8061" t="str">
        <f t="shared" si="1292"/>
        <v/>
      </c>
      <c r="R8061" t="str">
        <f t="shared" si="1293"/>
        <v/>
      </c>
      <c r="S8061" t="str">
        <f t="shared" si="1294"/>
        <v/>
      </c>
      <c r="T8061" t="str">
        <f t="shared" si="1295"/>
        <v/>
      </c>
      <c r="U8061" t="str">
        <f t="shared" si="1296"/>
        <v/>
      </c>
      <c r="V8061" t="str">
        <f t="shared" si="1297"/>
        <v/>
      </c>
      <c r="W8061" t="str">
        <f t="shared" si="1298"/>
        <v/>
      </c>
      <c r="X8061">
        <f t="shared" si="1300"/>
        <v>0</v>
      </c>
      <c r="Z8061" t="str">
        <f t="shared" si="1299"/>
        <v/>
      </c>
      <c r="AA8061">
        <f t="shared" si="1301"/>
        <v>0</v>
      </c>
    </row>
    <row r="8062" spans="1:27" ht="21" customHeight="1" x14ac:dyDescent="0.95">
      <c r="A8062" s="56"/>
      <c r="B8062" s="57"/>
      <c r="C8062" s="57"/>
      <c r="D8062" s="57"/>
      <c r="E8062" s="56"/>
      <c r="F8062" s="57"/>
      <c r="G8062" s="57"/>
      <c r="H8062" s="56"/>
      <c r="I8062" s="56"/>
      <c r="J8062" s="58"/>
      <c r="K8062" s="58"/>
      <c r="L8062" s="13" t="str">
        <f t="shared" si="1290"/>
        <v/>
      </c>
      <c r="M8062" s="13" t="str">
        <f t="shared" si="1291"/>
        <v/>
      </c>
      <c r="Q8062" t="str">
        <f t="shared" si="1292"/>
        <v/>
      </c>
      <c r="R8062" t="str">
        <f t="shared" si="1293"/>
        <v/>
      </c>
      <c r="S8062" t="str">
        <f t="shared" si="1294"/>
        <v/>
      </c>
      <c r="T8062" t="str">
        <f t="shared" si="1295"/>
        <v/>
      </c>
      <c r="U8062" t="str">
        <f t="shared" si="1296"/>
        <v/>
      </c>
      <c r="V8062" t="str">
        <f t="shared" si="1297"/>
        <v/>
      </c>
      <c r="W8062" t="str">
        <f t="shared" si="1298"/>
        <v/>
      </c>
      <c r="X8062">
        <f t="shared" si="1300"/>
        <v>0</v>
      </c>
      <c r="Z8062" t="str">
        <f t="shared" si="1299"/>
        <v/>
      </c>
      <c r="AA8062">
        <f t="shared" si="1301"/>
        <v>0</v>
      </c>
    </row>
    <row r="8063" spans="1:27" ht="21" customHeight="1" x14ac:dyDescent="0.95">
      <c r="A8063" s="56"/>
      <c r="B8063" s="57"/>
      <c r="C8063" s="57"/>
      <c r="D8063" s="57"/>
      <c r="E8063" s="56"/>
      <c r="F8063" s="57"/>
      <c r="G8063" s="57"/>
      <c r="H8063" s="56"/>
      <c r="I8063" s="56"/>
      <c r="J8063" s="58"/>
      <c r="K8063" s="58"/>
      <c r="L8063" s="13" t="str">
        <f t="shared" si="1290"/>
        <v/>
      </c>
      <c r="M8063" s="13" t="str">
        <f t="shared" si="1291"/>
        <v/>
      </c>
      <c r="Q8063" t="str">
        <f t="shared" si="1292"/>
        <v/>
      </c>
      <c r="R8063" t="str">
        <f t="shared" si="1293"/>
        <v/>
      </c>
      <c r="S8063" t="str">
        <f t="shared" si="1294"/>
        <v/>
      </c>
      <c r="T8063" t="str">
        <f t="shared" si="1295"/>
        <v/>
      </c>
      <c r="U8063" t="str">
        <f t="shared" si="1296"/>
        <v/>
      </c>
      <c r="V8063" t="str">
        <f t="shared" si="1297"/>
        <v/>
      </c>
      <c r="W8063" t="str">
        <f t="shared" si="1298"/>
        <v/>
      </c>
      <c r="X8063">
        <f t="shared" si="1300"/>
        <v>0</v>
      </c>
      <c r="Z8063" t="str">
        <f t="shared" si="1299"/>
        <v/>
      </c>
      <c r="AA8063">
        <f t="shared" si="1301"/>
        <v>0</v>
      </c>
    </row>
    <row r="8064" spans="1:27" ht="21" customHeight="1" x14ac:dyDescent="0.95">
      <c r="A8064" s="56"/>
      <c r="B8064" s="57"/>
      <c r="C8064" s="57"/>
      <c r="D8064" s="57"/>
      <c r="E8064" s="56"/>
      <c r="F8064" s="57"/>
      <c r="G8064" s="57"/>
      <c r="H8064" s="56"/>
      <c r="I8064" s="56"/>
      <c r="J8064" s="58"/>
      <c r="K8064" s="58"/>
      <c r="L8064" s="13" t="str">
        <f t="shared" si="1290"/>
        <v/>
      </c>
      <c r="M8064" s="13" t="str">
        <f t="shared" si="1291"/>
        <v/>
      </c>
      <c r="Q8064" t="str">
        <f t="shared" si="1292"/>
        <v/>
      </c>
      <c r="R8064" t="str">
        <f t="shared" si="1293"/>
        <v/>
      </c>
      <c r="S8064" t="str">
        <f t="shared" si="1294"/>
        <v/>
      </c>
      <c r="T8064" t="str">
        <f t="shared" si="1295"/>
        <v/>
      </c>
      <c r="U8064" t="str">
        <f t="shared" si="1296"/>
        <v/>
      </c>
      <c r="V8064" t="str">
        <f t="shared" si="1297"/>
        <v/>
      </c>
      <c r="W8064" t="str">
        <f t="shared" si="1298"/>
        <v/>
      </c>
      <c r="X8064">
        <f t="shared" si="1300"/>
        <v>0</v>
      </c>
      <c r="Z8064" t="str">
        <f t="shared" si="1299"/>
        <v/>
      </c>
      <c r="AA8064">
        <f t="shared" si="1301"/>
        <v>0</v>
      </c>
    </row>
    <row r="8065" spans="1:27" ht="21" customHeight="1" x14ac:dyDescent="0.95">
      <c r="A8065" s="56"/>
      <c r="B8065" s="57"/>
      <c r="C8065" s="57"/>
      <c r="D8065" s="57"/>
      <c r="E8065" s="56"/>
      <c r="F8065" s="57"/>
      <c r="G8065" s="57"/>
      <c r="H8065" s="56"/>
      <c r="I8065" s="56"/>
      <c r="J8065" s="58"/>
      <c r="K8065" s="58"/>
      <c r="L8065" s="13" t="str">
        <f t="shared" si="1290"/>
        <v/>
      </c>
      <c r="M8065" s="13" t="str">
        <f t="shared" si="1291"/>
        <v/>
      </c>
      <c r="Q8065" t="str">
        <f t="shared" si="1292"/>
        <v/>
      </c>
      <c r="R8065" t="str">
        <f t="shared" si="1293"/>
        <v/>
      </c>
      <c r="S8065" t="str">
        <f t="shared" si="1294"/>
        <v/>
      </c>
      <c r="T8065" t="str">
        <f t="shared" si="1295"/>
        <v/>
      </c>
      <c r="U8065" t="str">
        <f t="shared" si="1296"/>
        <v/>
      </c>
      <c r="V8065" t="str">
        <f t="shared" si="1297"/>
        <v/>
      </c>
      <c r="W8065" t="str">
        <f t="shared" si="1298"/>
        <v/>
      </c>
      <c r="X8065">
        <f t="shared" si="1300"/>
        <v>0</v>
      </c>
      <c r="Z8065" t="str">
        <f t="shared" si="1299"/>
        <v/>
      </c>
      <c r="AA8065">
        <f t="shared" si="1301"/>
        <v>0</v>
      </c>
    </row>
    <row r="8066" spans="1:27" ht="21" customHeight="1" x14ac:dyDescent="0.95">
      <c r="A8066" s="56"/>
      <c r="B8066" s="57"/>
      <c r="C8066" s="57"/>
      <c r="D8066" s="57"/>
      <c r="E8066" s="56"/>
      <c r="F8066" s="57"/>
      <c r="G8066" s="57"/>
      <c r="H8066" s="56"/>
      <c r="I8066" s="56"/>
      <c r="J8066" s="58"/>
      <c r="K8066" s="58"/>
      <c r="L8066" s="13" t="str">
        <f t="shared" si="1290"/>
        <v/>
      </c>
      <c r="M8066" s="13" t="str">
        <f t="shared" si="1291"/>
        <v/>
      </c>
      <c r="Q8066" t="str">
        <f t="shared" si="1292"/>
        <v/>
      </c>
      <c r="R8066" t="str">
        <f t="shared" si="1293"/>
        <v/>
      </c>
      <c r="S8066" t="str">
        <f t="shared" si="1294"/>
        <v/>
      </c>
      <c r="T8066" t="str">
        <f t="shared" si="1295"/>
        <v/>
      </c>
      <c r="U8066" t="str">
        <f t="shared" si="1296"/>
        <v/>
      </c>
      <c r="V8066" t="str">
        <f t="shared" si="1297"/>
        <v/>
      </c>
      <c r="W8066" t="str">
        <f t="shared" si="1298"/>
        <v/>
      </c>
      <c r="X8066">
        <f t="shared" si="1300"/>
        <v>0</v>
      </c>
      <c r="Z8066" t="str">
        <f t="shared" si="1299"/>
        <v/>
      </c>
      <c r="AA8066">
        <f t="shared" si="1301"/>
        <v>0</v>
      </c>
    </row>
    <row r="8067" spans="1:27" ht="21" customHeight="1" x14ac:dyDescent="0.95">
      <c r="A8067" s="56"/>
      <c r="B8067" s="57"/>
      <c r="C8067" s="57"/>
      <c r="D8067" s="57"/>
      <c r="E8067" s="56"/>
      <c r="F8067" s="57"/>
      <c r="G8067" s="57"/>
      <c r="H8067" s="56"/>
      <c r="I8067" s="56"/>
      <c r="J8067" s="58"/>
      <c r="K8067" s="58"/>
      <c r="L8067" s="13" t="str">
        <f t="shared" si="1290"/>
        <v/>
      </c>
      <c r="M8067" s="13" t="str">
        <f t="shared" si="1291"/>
        <v/>
      </c>
      <c r="Q8067" t="str">
        <f t="shared" si="1292"/>
        <v/>
      </c>
      <c r="R8067" t="str">
        <f t="shared" si="1293"/>
        <v/>
      </c>
      <c r="S8067" t="str">
        <f t="shared" si="1294"/>
        <v/>
      </c>
      <c r="T8067" t="str">
        <f t="shared" si="1295"/>
        <v/>
      </c>
      <c r="U8067" t="str">
        <f t="shared" si="1296"/>
        <v/>
      </c>
      <c r="V8067" t="str">
        <f t="shared" si="1297"/>
        <v/>
      </c>
      <c r="W8067" t="str">
        <f t="shared" si="1298"/>
        <v/>
      </c>
      <c r="X8067">
        <f t="shared" si="1300"/>
        <v>0</v>
      </c>
      <c r="Z8067" t="str">
        <f t="shared" si="1299"/>
        <v/>
      </c>
      <c r="AA8067">
        <f t="shared" si="1301"/>
        <v>0</v>
      </c>
    </row>
    <row r="8068" spans="1:27" ht="21" customHeight="1" x14ac:dyDescent="0.95">
      <c r="A8068" s="56"/>
      <c r="B8068" s="57"/>
      <c r="C8068" s="57"/>
      <c r="D8068" s="57"/>
      <c r="E8068" s="56"/>
      <c r="F8068" s="57"/>
      <c r="G8068" s="57"/>
      <c r="H8068" s="56"/>
      <c r="I8068" s="56"/>
      <c r="J8068" s="58"/>
      <c r="K8068" s="58"/>
      <c r="L8068" s="13" t="str">
        <f t="shared" ref="L8068:L8131" si="1302">IF(OR($A8068="",AND($J8068="",$K8068="")),"",ROUND(N($J8068)-N($K8068),2))</f>
        <v/>
      </c>
      <c r="M8068" s="13" t="str">
        <f t="shared" ref="M8068:M8131" si="1303">IF(OR($A8068="",AND($J8068="",$K8068="")),"",MIN($J8068,$K8068))</f>
        <v/>
      </c>
      <c r="Q8068" t="str">
        <f t="shared" ref="Q8068:Q8131" si="1304">IF($A8068="","",$D8068&amp;"("&amp;SUBSTITUTE($E8068," ","")&amp;")")</f>
        <v/>
      </c>
      <c r="R8068" t="str">
        <f t="shared" ref="R8068:R8131" si="1305">IF($A8068="","",$B8068&amp;" - "&amp;$C8068)</f>
        <v/>
      </c>
      <c r="S8068" t="str">
        <f t="shared" ref="S8068:S8131" si="1306">IF($A8068="","",$R8068&amp;"|"&amp;$Q8068)</f>
        <v/>
      </c>
      <c r="T8068" t="str">
        <f t="shared" ref="T8068:T8131" si="1307">IF($A8068="","",$S8068&amp;"|"&amp;$F8068)</f>
        <v/>
      </c>
      <c r="U8068" t="str">
        <f t="shared" ref="U8068:U8131" si="1308">IF($A8068="","",$R8068&amp;"("&amp;$E8068&amp;")")</f>
        <v/>
      </c>
      <c r="V8068" t="str">
        <f t="shared" ref="V8068:V8131" si="1309">IF($A8068="","",$F8068&amp;"|"&amp;$U8068&amp;"|"&amp;$D8068)</f>
        <v/>
      </c>
      <c r="W8068" t="str">
        <f t="shared" si="1298"/>
        <v/>
      </c>
      <c r="X8068">
        <f t="shared" si="1300"/>
        <v>0</v>
      </c>
      <c r="Z8068" t="str">
        <f t="shared" si="1299"/>
        <v/>
      </c>
      <c r="AA8068">
        <f t="shared" si="1301"/>
        <v>0</v>
      </c>
    </row>
    <row r="8069" spans="1:27" ht="21" customHeight="1" x14ac:dyDescent="0.95">
      <c r="A8069" s="56"/>
      <c r="B8069" s="57"/>
      <c r="C8069" s="57"/>
      <c r="D8069" s="57"/>
      <c r="E8069" s="56"/>
      <c r="F8069" s="57"/>
      <c r="G8069" s="57"/>
      <c r="H8069" s="56"/>
      <c r="I8069" s="56"/>
      <c r="J8069" s="58"/>
      <c r="K8069" s="58"/>
      <c r="L8069" s="13" t="str">
        <f t="shared" si="1302"/>
        <v/>
      </c>
      <c r="M8069" s="13" t="str">
        <f t="shared" si="1303"/>
        <v/>
      </c>
      <c r="Q8069" t="str">
        <f t="shared" si="1304"/>
        <v/>
      </c>
      <c r="R8069" t="str">
        <f t="shared" si="1305"/>
        <v/>
      </c>
      <c r="S8069" t="str">
        <f t="shared" si="1306"/>
        <v/>
      </c>
      <c r="T8069" t="str">
        <f t="shared" si="1307"/>
        <v/>
      </c>
      <c r="U8069" t="str">
        <f t="shared" si="1308"/>
        <v/>
      </c>
      <c r="V8069" t="str">
        <f t="shared" si="1309"/>
        <v/>
      </c>
      <c r="W8069" t="str">
        <f t="shared" si="1298"/>
        <v/>
      </c>
      <c r="X8069">
        <f t="shared" si="1300"/>
        <v>0</v>
      </c>
      <c r="Z8069" t="str">
        <f t="shared" si="1299"/>
        <v/>
      </c>
      <c r="AA8069">
        <f t="shared" si="1301"/>
        <v>0</v>
      </c>
    </row>
    <row r="8070" spans="1:27" ht="21" customHeight="1" x14ac:dyDescent="0.95">
      <c r="A8070" s="56"/>
      <c r="B8070" s="57"/>
      <c r="C8070" s="57"/>
      <c r="D8070" s="57"/>
      <c r="E8070" s="56"/>
      <c r="F8070" s="57"/>
      <c r="G8070" s="57"/>
      <c r="H8070" s="56"/>
      <c r="I8070" s="56"/>
      <c r="J8070" s="58"/>
      <c r="K8070" s="58"/>
      <c r="L8070" s="13" t="str">
        <f t="shared" si="1302"/>
        <v/>
      </c>
      <c r="M8070" s="13" t="str">
        <f t="shared" si="1303"/>
        <v/>
      </c>
      <c r="Q8070" t="str">
        <f t="shared" si="1304"/>
        <v/>
      </c>
      <c r="R8070" t="str">
        <f t="shared" si="1305"/>
        <v/>
      </c>
      <c r="S8070" t="str">
        <f t="shared" si="1306"/>
        <v/>
      </c>
      <c r="T8070" t="str">
        <f t="shared" si="1307"/>
        <v/>
      </c>
      <c r="U8070" t="str">
        <f t="shared" si="1308"/>
        <v/>
      </c>
      <c r="V8070" t="str">
        <f t="shared" si="1309"/>
        <v/>
      </c>
      <c r="W8070" t="str">
        <f t="shared" ref="W8070:W8133" si="1310">IF($T8070="","",IF($X8070&gt;N($X8069),$X8070,""))</f>
        <v/>
      </c>
      <c r="X8070">
        <f t="shared" si="1300"/>
        <v>0</v>
      </c>
      <c r="Z8070" t="str">
        <f t="shared" ref="Z8070:Z8133" si="1311">IF($V8070="","",IF($AA8070&gt;N($AA8069),$AA8070,""))</f>
        <v/>
      </c>
      <c r="AA8070">
        <f t="shared" si="1301"/>
        <v>0</v>
      </c>
    </row>
    <row r="8071" spans="1:27" ht="21" customHeight="1" x14ac:dyDescent="0.95">
      <c r="A8071" s="56"/>
      <c r="B8071" s="57"/>
      <c r="C8071" s="57"/>
      <c r="D8071" s="57"/>
      <c r="E8071" s="56"/>
      <c r="F8071" s="57"/>
      <c r="G8071" s="57"/>
      <c r="H8071" s="56"/>
      <c r="I8071" s="56"/>
      <c r="J8071" s="58"/>
      <c r="K8071" s="58"/>
      <c r="L8071" s="13" t="str">
        <f t="shared" si="1302"/>
        <v/>
      </c>
      <c r="M8071" s="13" t="str">
        <f t="shared" si="1303"/>
        <v/>
      </c>
      <c r="Q8071" t="str">
        <f t="shared" si="1304"/>
        <v/>
      </c>
      <c r="R8071" t="str">
        <f t="shared" si="1305"/>
        <v/>
      </c>
      <c r="S8071" t="str">
        <f t="shared" si="1306"/>
        <v/>
      </c>
      <c r="T8071" t="str">
        <f t="shared" si="1307"/>
        <v/>
      </c>
      <c r="U8071" t="str">
        <f t="shared" si="1308"/>
        <v/>
      </c>
      <c r="V8071" t="str">
        <f t="shared" si="1309"/>
        <v/>
      </c>
      <c r="W8071" t="str">
        <f t="shared" si="1310"/>
        <v/>
      </c>
      <c r="X8071">
        <f t="shared" si="1300"/>
        <v>0</v>
      </c>
      <c r="Z8071" t="str">
        <f t="shared" si="1311"/>
        <v/>
      </c>
      <c r="AA8071">
        <f t="shared" si="1301"/>
        <v>0</v>
      </c>
    </row>
    <row r="8072" spans="1:27" ht="21" customHeight="1" x14ac:dyDescent="0.95">
      <c r="A8072" s="56"/>
      <c r="B8072" s="57"/>
      <c r="C8072" s="57"/>
      <c r="D8072" s="57"/>
      <c r="E8072" s="56"/>
      <c r="F8072" s="57"/>
      <c r="G8072" s="57"/>
      <c r="H8072" s="56"/>
      <c r="I8072" s="56"/>
      <c r="J8072" s="58"/>
      <c r="K8072" s="58"/>
      <c r="L8072" s="13" t="str">
        <f t="shared" si="1302"/>
        <v/>
      </c>
      <c r="M8072" s="13" t="str">
        <f t="shared" si="1303"/>
        <v/>
      </c>
      <c r="Q8072" t="str">
        <f t="shared" si="1304"/>
        <v/>
      </c>
      <c r="R8072" t="str">
        <f t="shared" si="1305"/>
        <v/>
      </c>
      <c r="S8072" t="str">
        <f t="shared" si="1306"/>
        <v/>
      </c>
      <c r="T8072" t="str">
        <f t="shared" si="1307"/>
        <v/>
      </c>
      <c r="U8072" t="str">
        <f t="shared" si="1308"/>
        <v/>
      </c>
      <c r="V8072" t="str">
        <f t="shared" si="1309"/>
        <v/>
      </c>
      <c r="W8072" t="str">
        <f t="shared" si="1310"/>
        <v/>
      </c>
      <c r="X8072">
        <f t="shared" si="1300"/>
        <v>0</v>
      </c>
      <c r="Z8072" t="str">
        <f t="shared" si="1311"/>
        <v/>
      </c>
      <c r="AA8072">
        <f t="shared" si="1301"/>
        <v>0</v>
      </c>
    </row>
    <row r="8073" spans="1:27" ht="21" customHeight="1" x14ac:dyDescent="0.95">
      <c r="A8073" s="56"/>
      <c r="B8073" s="57"/>
      <c r="C8073" s="57"/>
      <c r="D8073" s="57"/>
      <c r="E8073" s="56"/>
      <c r="F8073" s="57"/>
      <c r="G8073" s="57"/>
      <c r="H8073" s="56"/>
      <c r="I8073" s="56"/>
      <c r="J8073" s="58"/>
      <c r="K8073" s="58"/>
      <c r="L8073" s="13" t="str">
        <f t="shared" si="1302"/>
        <v/>
      </c>
      <c r="M8073" s="13" t="str">
        <f t="shared" si="1303"/>
        <v/>
      </c>
      <c r="Q8073" t="str">
        <f t="shared" si="1304"/>
        <v/>
      </c>
      <c r="R8073" t="str">
        <f t="shared" si="1305"/>
        <v/>
      </c>
      <c r="S8073" t="str">
        <f t="shared" si="1306"/>
        <v/>
      </c>
      <c r="T8073" t="str">
        <f t="shared" si="1307"/>
        <v/>
      </c>
      <c r="U8073" t="str">
        <f t="shared" si="1308"/>
        <v/>
      </c>
      <c r="V8073" t="str">
        <f t="shared" si="1309"/>
        <v/>
      </c>
      <c r="W8073" t="str">
        <f t="shared" si="1310"/>
        <v/>
      </c>
      <c r="X8073">
        <f t="shared" si="1300"/>
        <v>0</v>
      </c>
      <c r="Z8073" t="str">
        <f t="shared" si="1311"/>
        <v/>
      </c>
      <c r="AA8073">
        <f t="shared" si="1301"/>
        <v>0</v>
      </c>
    </row>
    <row r="8074" spans="1:27" ht="21" customHeight="1" x14ac:dyDescent="0.95">
      <c r="A8074" s="56"/>
      <c r="B8074" s="57"/>
      <c r="C8074" s="57"/>
      <c r="D8074" s="57"/>
      <c r="E8074" s="56"/>
      <c r="F8074" s="57"/>
      <c r="G8074" s="57"/>
      <c r="H8074" s="56"/>
      <c r="I8074" s="56"/>
      <c r="J8074" s="58"/>
      <c r="K8074" s="58"/>
      <c r="L8074" s="13" t="str">
        <f t="shared" si="1302"/>
        <v/>
      </c>
      <c r="M8074" s="13" t="str">
        <f t="shared" si="1303"/>
        <v/>
      </c>
      <c r="Q8074" t="str">
        <f t="shared" si="1304"/>
        <v/>
      </c>
      <c r="R8074" t="str">
        <f t="shared" si="1305"/>
        <v/>
      </c>
      <c r="S8074" t="str">
        <f t="shared" si="1306"/>
        <v/>
      </c>
      <c r="T8074" t="str">
        <f t="shared" si="1307"/>
        <v/>
      </c>
      <c r="U8074" t="str">
        <f t="shared" si="1308"/>
        <v/>
      </c>
      <c r="V8074" t="str">
        <f t="shared" si="1309"/>
        <v/>
      </c>
      <c r="W8074" t="str">
        <f t="shared" si="1310"/>
        <v/>
      </c>
      <c r="X8074">
        <f t="shared" si="1300"/>
        <v>0</v>
      </c>
      <c r="Z8074" t="str">
        <f t="shared" si="1311"/>
        <v/>
      </c>
      <c r="AA8074">
        <f t="shared" si="1301"/>
        <v>0</v>
      </c>
    </row>
    <row r="8075" spans="1:27" ht="21" customHeight="1" x14ac:dyDescent="0.95">
      <c r="A8075" s="56"/>
      <c r="B8075" s="57"/>
      <c r="C8075" s="57"/>
      <c r="D8075" s="57"/>
      <c r="E8075" s="56"/>
      <c r="F8075" s="57"/>
      <c r="G8075" s="57"/>
      <c r="H8075" s="56"/>
      <c r="I8075" s="56"/>
      <c r="J8075" s="58"/>
      <c r="K8075" s="58"/>
      <c r="L8075" s="13" t="str">
        <f t="shared" si="1302"/>
        <v/>
      </c>
      <c r="M8075" s="13" t="str">
        <f t="shared" si="1303"/>
        <v/>
      </c>
      <c r="Q8075" t="str">
        <f t="shared" si="1304"/>
        <v/>
      </c>
      <c r="R8075" t="str">
        <f t="shared" si="1305"/>
        <v/>
      </c>
      <c r="S8075" t="str">
        <f t="shared" si="1306"/>
        <v/>
      </c>
      <c r="T8075" t="str">
        <f t="shared" si="1307"/>
        <v/>
      </c>
      <c r="U8075" t="str">
        <f t="shared" si="1308"/>
        <v/>
      </c>
      <c r="V8075" t="str">
        <f t="shared" si="1309"/>
        <v/>
      </c>
      <c r="W8075" t="str">
        <f t="shared" si="1310"/>
        <v/>
      </c>
      <c r="X8075">
        <f t="shared" si="1300"/>
        <v>0</v>
      </c>
      <c r="Z8075" t="str">
        <f t="shared" si="1311"/>
        <v/>
      </c>
      <c r="AA8075">
        <f t="shared" si="1301"/>
        <v>0</v>
      </c>
    </row>
    <row r="8076" spans="1:27" ht="21" customHeight="1" x14ac:dyDescent="0.95">
      <c r="A8076" s="56"/>
      <c r="B8076" s="57"/>
      <c r="C8076" s="57"/>
      <c r="D8076" s="57"/>
      <c r="E8076" s="56"/>
      <c r="F8076" s="57"/>
      <c r="G8076" s="57"/>
      <c r="H8076" s="56"/>
      <c r="I8076" s="56"/>
      <c r="J8076" s="58"/>
      <c r="K8076" s="58"/>
      <c r="L8076" s="13" t="str">
        <f t="shared" si="1302"/>
        <v/>
      </c>
      <c r="M8076" s="13" t="str">
        <f t="shared" si="1303"/>
        <v/>
      </c>
      <c r="Q8076" t="str">
        <f t="shared" si="1304"/>
        <v/>
      </c>
      <c r="R8076" t="str">
        <f t="shared" si="1305"/>
        <v/>
      </c>
      <c r="S8076" t="str">
        <f t="shared" si="1306"/>
        <v/>
      </c>
      <c r="T8076" t="str">
        <f t="shared" si="1307"/>
        <v/>
      </c>
      <c r="U8076" t="str">
        <f t="shared" si="1308"/>
        <v/>
      </c>
      <c r="V8076" t="str">
        <f t="shared" si="1309"/>
        <v/>
      </c>
      <c r="W8076" t="str">
        <f t="shared" si="1310"/>
        <v/>
      </c>
      <c r="X8076">
        <f t="shared" si="1300"/>
        <v>0</v>
      </c>
      <c r="Z8076" t="str">
        <f t="shared" si="1311"/>
        <v/>
      </c>
      <c r="AA8076">
        <f t="shared" si="1301"/>
        <v>0</v>
      </c>
    </row>
    <row r="8077" spans="1:27" ht="21" customHeight="1" x14ac:dyDescent="0.95">
      <c r="A8077" s="56"/>
      <c r="B8077" s="57"/>
      <c r="C8077" s="57"/>
      <c r="D8077" s="57"/>
      <c r="E8077" s="56"/>
      <c r="F8077" s="57"/>
      <c r="G8077" s="57"/>
      <c r="H8077" s="56"/>
      <c r="I8077" s="56"/>
      <c r="J8077" s="58"/>
      <c r="K8077" s="58"/>
      <c r="L8077" s="13" t="str">
        <f t="shared" si="1302"/>
        <v/>
      </c>
      <c r="M8077" s="13" t="str">
        <f t="shared" si="1303"/>
        <v/>
      </c>
      <c r="Q8077" t="str">
        <f t="shared" si="1304"/>
        <v/>
      </c>
      <c r="R8077" t="str">
        <f t="shared" si="1305"/>
        <v/>
      </c>
      <c r="S8077" t="str">
        <f t="shared" si="1306"/>
        <v/>
      </c>
      <c r="T8077" t="str">
        <f t="shared" si="1307"/>
        <v/>
      </c>
      <c r="U8077" t="str">
        <f t="shared" si="1308"/>
        <v/>
      </c>
      <c r="V8077" t="str">
        <f t="shared" si="1309"/>
        <v/>
      </c>
      <c r="W8077" t="str">
        <f t="shared" si="1310"/>
        <v/>
      </c>
      <c r="X8077">
        <f t="shared" si="1300"/>
        <v>0</v>
      </c>
      <c r="Z8077" t="str">
        <f t="shared" si="1311"/>
        <v/>
      </c>
      <c r="AA8077">
        <f t="shared" si="1301"/>
        <v>0</v>
      </c>
    </row>
    <row r="8078" spans="1:27" ht="21" customHeight="1" x14ac:dyDescent="0.95">
      <c r="A8078" s="56"/>
      <c r="B8078" s="57"/>
      <c r="C8078" s="57"/>
      <c r="D8078" s="57"/>
      <c r="E8078" s="56"/>
      <c r="F8078" s="57"/>
      <c r="G8078" s="57"/>
      <c r="H8078" s="56"/>
      <c r="I8078" s="56"/>
      <c r="J8078" s="58"/>
      <c r="K8078" s="58"/>
      <c r="L8078" s="13" t="str">
        <f t="shared" si="1302"/>
        <v/>
      </c>
      <c r="M8078" s="13" t="str">
        <f t="shared" si="1303"/>
        <v/>
      </c>
      <c r="Q8078" t="str">
        <f t="shared" si="1304"/>
        <v/>
      </c>
      <c r="R8078" t="str">
        <f t="shared" si="1305"/>
        <v/>
      </c>
      <c r="S8078" t="str">
        <f t="shared" si="1306"/>
        <v/>
      </c>
      <c r="T8078" t="str">
        <f t="shared" si="1307"/>
        <v/>
      </c>
      <c r="U8078" t="str">
        <f t="shared" si="1308"/>
        <v/>
      </c>
      <c r="V8078" t="str">
        <f t="shared" si="1309"/>
        <v/>
      </c>
      <c r="W8078" t="str">
        <f t="shared" si="1310"/>
        <v/>
      </c>
      <c r="X8078">
        <f t="shared" si="1300"/>
        <v>0</v>
      </c>
      <c r="Z8078" t="str">
        <f t="shared" si="1311"/>
        <v/>
      </c>
      <c r="AA8078">
        <f t="shared" si="1301"/>
        <v>0</v>
      </c>
    </row>
    <row r="8079" spans="1:27" ht="21" customHeight="1" x14ac:dyDescent="0.95">
      <c r="A8079" s="56"/>
      <c r="B8079" s="57"/>
      <c r="C8079" s="57"/>
      <c r="D8079" s="57"/>
      <c r="E8079" s="56"/>
      <c r="F8079" s="57"/>
      <c r="G8079" s="57"/>
      <c r="H8079" s="56"/>
      <c r="I8079" s="56"/>
      <c r="J8079" s="58"/>
      <c r="K8079" s="58"/>
      <c r="L8079" s="13" t="str">
        <f t="shared" si="1302"/>
        <v/>
      </c>
      <c r="M8079" s="13" t="str">
        <f t="shared" si="1303"/>
        <v/>
      </c>
      <c r="Q8079" t="str">
        <f t="shared" si="1304"/>
        <v/>
      </c>
      <c r="R8079" t="str">
        <f t="shared" si="1305"/>
        <v/>
      </c>
      <c r="S8079" t="str">
        <f t="shared" si="1306"/>
        <v/>
      </c>
      <c r="T8079" t="str">
        <f t="shared" si="1307"/>
        <v/>
      </c>
      <c r="U8079" t="str">
        <f t="shared" si="1308"/>
        <v/>
      </c>
      <c r="V8079" t="str">
        <f t="shared" si="1309"/>
        <v/>
      </c>
      <c r="W8079" t="str">
        <f t="shared" si="1310"/>
        <v/>
      </c>
      <c r="X8079">
        <f t="shared" si="1300"/>
        <v>0</v>
      </c>
      <c r="Z8079" t="str">
        <f t="shared" si="1311"/>
        <v/>
      </c>
      <c r="AA8079">
        <f t="shared" si="1301"/>
        <v>0</v>
      </c>
    </row>
    <row r="8080" spans="1:27" ht="21" customHeight="1" x14ac:dyDescent="0.95">
      <c r="A8080" s="56"/>
      <c r="B8080" s="57"/>
      <c r="C8080" s="57"/>
      <c r="D8080" s="57"/>
      <c r="E8080" s="56"/>
      <c r="F8080" s="57"/>
      <c r="G8080" s="57"/>
      <c r="H8080" s="56"/>
      <c r="I8080" s="56"/>
      <c r="J8080" s="58"/>
      <c r="K8080" s="58"/>
      <c r="L8080" s="13" t="str">
        <f t="shared" si="1302"/>
        <v/>
      </c>
      <c r="M8080" s="13" t="str">
        <f t="shared" si="1303"/>
        <v/>
      </c>
      <c r="Q8080" t="str">
        <f t="shared" si="1304"/>
        <v/>
      </c>
      <c r="R8080" t="str">
        <f t="shared" si="1305"/>
        <v/>
      </c>
      <c r="S8080" t="str">
        <f t="shared" si="1306"/>
        <v/>
      </c>
      <c r="T8080" t="str">
        <f t="shared" si="1307"/>
        <v/>
      </c>
      <c r="U8080" t="str">
        <f t="shared" si="1308"/>
        <v/>
      </c>
      <c r="V8080" t="str">
        <f t="shared" si="1309"/>
        <v/>
      </c>
      <c r="W8080" t="str">
        <f t="shared" si="1310"/>
        <v/>
      </c>
      <c r="X8080">
        <f t="shared" si="1300"/>
        <v>0</v>
      </c>
      <c r="Z8080" t="str">
        <f t="shared" si="1311"/>
        <v/>
      </c>
      <c r="AA8080">
        <f t="shared" si="1301"/>
        <v>0</v>
      </c>
    </row>
    <row r="8081" spans="1:27" ht="21" customHeight="1" x14ac:dyDescent="0.95">
      <c r="A8081" s="56"/>
      <c r="B8081" s="57"/>
      <c r="C8081" s="57"/>
      <c r="D8081" s="57"/>
      <c r="E8081" s="56"/>
      <c r="F8081" s="57"/>
      <c r="G8081" s="57"/>
      <c r="H8081" s="56"/>
      <c r="I8081" s="56"/>
      <c r="J8081" s="58"/>
      <c r="K8081" s="58"/>
      <c r="L8081" s="13" t="str">
        <f t="shared" si="1302"/>
        <v/>
      </c>
      <c r="M8081" s="13" t="str">
        <f t="shared" si="1303"/>
        <v/>
      </c>
      <c r="Q8081" t="str">
        <f t="shared" si="1304"/>
        <v/>
      </c>
      <c r="R8081" t="str">
        <f t="shared" si="1305"/>
        <v/>
      </c>
      <c r="S8081" t="str">
        <f t="shared" si="1306"/>
        <v/>
      </c>
      <c r="T8081" t="str">
        <f t="shared" si="1307"/>
        <v/>
      </c>
      <c r="U8081" t="str">
        <f t="shared" si="1308"/>
        <v/>
      </c>
      <c r="V8081" t="str">
        <f t="shared" si="1309"/>
        <v/>
      </c>
      <c r="W8081" t="str">
        <f t="shared" si="1310"/>
        <v/>
      </c>
      <c r="X8081">
        <f t="shared" si="1300"/>
        <v>0</v>
      </c>
      <c r="Z8081" t="str">
        <f t="shared" si="1311"/>
        <v/>
      </c>
      <c r="AA8081">
        <f t="shared" si="1301"/>
        <v>0</v>
      </c>
    </row>
    <row r="8082" spans="1:27" ht="21" customHeight="1" x14ac:dyDescent="0.95">
      <c r="A8082" s="56"/>
      <c r="B8082" s="57"/>
      <c r="C8082" s="57"/>
      <c r="D8082" s="57"/>
      <c r="E8082" s="56"/>
      <c r="F8082" s="57"/>
      <c r="G8082" s="57"/>
      <c r="H8082" s="56"/>
      <c r="I8082" s="56"/>
      <c r="J8082" s="58"/>
      <c r="K8082" s="58"/>
      <c r="L8082" s="13" t="str">
        <f t="shared" si="1302"/>
        <v/>
      </c>
      <c r="M8082" s="13" t="str">
        <f t="shared" si="1303"/>
        <v/>
      </c>
      <c r="Q8082" t="str">
        <f t="shared" si="1304"/>
        <v/>
      </c>
      <c r="R8082" t="str">
        <f t="shared" si="1305"/>
        <v/>
      </c>
      <c r="S8082" t="str">
        <f t="shared" si="1306"/>
        <v/>
      </c>
      <c r="T8082" t="str">
        <f t="shared" si="1307"/>
        <v/>
      </c>
      <c r="U8082" t="str">
        <f t="shared" si="1308"/>
        <v/>
      </c>
      <c r="V8082" t="str">
        <f t="shared" si="1309"/>
        <v/>
      </c>
      <c r="W8082" t="str">
        <f t="shared" si="1310"/>
        <v/>
      </c>
      <c r="X8082">
        <f t="shared" si="1300"/>
        <v>0</v>
      </c>
      <c r="Z8082" t="str">
        <f t="shared" si="1311"/>
        <v/>
      </c>
      <c r="AA8082">
        <f t="shared" si="1301"/>
        <v>0</v>
      </c>
    </row>
    <row r="8083" spans="1:27" ht="21" customHeight="1" x14ac:dyDescent="0.95">
      <c r="A8083" s="56"/>
      <c r="B8083" s="57"/>
      <c r="C8083" s="57"/>
      <c r="D8083" s="57"/>
      <c r="E8083" s="56"/>
      <c r="F8083" s="57"/>
      <c r="G8083" s="57"/>
      <c r="H8083" s="56"/>
      <c r="I8083" s="56"/>
      <c r="J8083" s="58"/>
      <c r="K8083" s="58"/>
      <c r="L8083" s="13" t="str">
        <f t="shared" si="1302"/>
        <v/>
      </c>
      <c r="M8083" s="13" t="str">
        <f t="shared" si="1303"/>
        <v/>
      </c>
      <c r="Q8083" t="str">
        <f t="shared" si="1304"/>
        <v/>
      </c>
      <c r="R8083" t="str">
        <f t="shared" si="1305"/>
        <v/>
      </c>
      <c r="S8083" t="str">
        <f t="shared" si="1306"/>
        <v/>
      </c>
      <c r="T8083" t="str">
        <f t="shared" si="1307"/>
        <v/>
      </c>
      <c r="U8083" t="str">
        <f t="shared" si="1308"/>
        <v/>
      </c>
      <c r="V8083" t="str">
        <f t="shared" si="1309"/>
        <v/>
      </c>
      <c r="W8083" t="str">
        <f t="shared" si="1310"/>
        <v/>
      </c>
      <c r="X8083">
        <f t="shared" si="1300"/>
        <v>0</v>
      </c>
      <c r="Z8083" t="str">
        <f t="shared" si="1311"/>
        <v/>
      </c>
      <c r="AA8083">
        <f t="shared" si="1301"/>
        <v>0</v>
      </c>
    </row>
    <row r="8084" spans="1:27" ht="21" customHeight="1" x14ac:dyDescent="0.95">
      <c r="A8084" s="56"/>
      <c r="B8084" s="57"/>
      <c r="C8084" s="57"/>
      <c r="D8084" s="57"/>
      <c r="E8084" s="56"/>
      <c r="F8084" s="57"/>
      <c r="G8084" s="57"/>
      <c r="H8084" s="56"/>
      <c r="I8084" s="56"/>
      <c r="J8084" s="58"/>
      <c r="K8084" s="58"/>
      <c r="L8084" s="13" t="str">
        <f t="shared" si="1302"/>
        <v/>
      </c>
      <c r="M8084" s="13" t="str">
        <f t="shared" si="1303"/>
        <v/>
      </c>
      <c r="Q8084" t="str">
        <f t="shared" si="1304"/>
        <v/>
      </c>
      <c r="R8084" t="str">
        <f t="shared" si="1305"/>
        <v/>
      </c>
      <c r="S8084" t="str">
        <f t="shared" si="1306"/>
        <v/>
      </c>
      <c r="T8084" t="str">
        <f t="shared" si="1307"/>
        <v/>
      </c>
      <c r="U8084" t="str">
        <f t="shared" si="1308"/>
        <v/>
      </c>
      <c r="V8084" t="str">
        <f t="shared" si="1309"/>
        <v/>
      </c>
      <c r="W8084" t="str">
        <f t="shared" si="1310"/>
        <v/>
      </c>
      <c r="X8084">
        <f t="shared" si="1300"/>
        <v>0</v>
      </c>
      <c r="Z8084" t="str">
        <f t="shared" si="1311"/>
        <v/>
      </c>
      <c r="AA8084">
        <f t="shared" si="1301"/>
        <v>0</v>
      </c>
    </row>
    <row r="8085" spans="1:27" ht="21" customHeight="1" x14ac:dyDescent="0.95">
      <c r="A8085" s="56"/>
      <c r="B8085" s="57"/>
      <c r="C8085" s="57"/>
      <c r="D8085" s="57"/>
      <c r="E8085" s="56"/>
      <c r="F8085" s="57"/>
      <c r="G8085" s="57"/>
      <c r="H8085" s="56"/>
      <c r="I8085" s="56"/>
      <c r="J8085" s="58"/>
      <c r="K8085" s="58"/>
      <c r="L8085" s="13" t="str">
        <f t="shared" si="1302"/>
        <v/>
      </c>
      <c r="M8085" s="13" t="str">
        <f t="shared" si="1303"/>
        <v/>
      </c>
      <c r="Q8085" t="str">
        <f t="shared" si="1304"/>
        <v/>
      </c>
      <c r="R8085" t="str">
        <f t="shared" si="1305"/>
        <v/>
      </c>
      <c r="S8085" t="str">
        <f t="shared" si="1306"/>
        <v/>
      </c>
      <c r="T8085" t="str">
        <f t="shared" si="1307"/>
        <v/>
      </c>
      <c r="U8085" t="str">
        <f t="shared" si="1308"/>
        <v/>
      </c>
      <c r="V8085" t="str">
        <f t="shared" si="1309"/>
        <v/>
      </c>
      <c r="W8085" t="str">
        <f t="shared" si="1310"/>
        <v/>
      </c>
      <c r="X8085">
        <f t="shared" si="1300"/>
        <v>0</v>
      </c>
      <c r="Z8085" t="str">
        <f t="shared" si="1311"/>
        <v/>
      </c>
      <c r="AA8085">
        <f t="shared" si="1301"/>
        <v>0</v>
      </c>
    </row>
    <row r="8086" spans="1:27" ht="21" customHeight="1" x14ac:dyDescent="0.95">
      <c r="A8086" s="56"/>
      <c r="B8086" s="57"/>
      <c r="C8086" s="57"/>
      <c r="D8086" s="57"/>
      <c r="E8086" s="56"/>
      <c r="F8086" s="57"/>
      <c r="G8086" s="57"/>
      <c r="H8086" s="56"/>
      <c r="I8086" s="56"/>
      <c r="J8086" s="58"/>
      <c r="K8086" s="58"/>
      <c r="L8086" s="13" t="str">
        <f t="shared" si="1302"/>
        <v/>
      </c>
      <c r="M8086" s="13" t="str">
        <f t="shared" si="1303"/>
        <v/>
      </c>
      <c r="Q8086" t="str">
        <f t="shared" si="1304"/>
        <v/>
      </c>
      <c r="R8086" t="str">
        <f t="shared" si="1305"/>
        <v/>
      </c>
      <c r="S8086" t="str">
        <f t="shared" si="1306"/>
        <v/>
      </c>
      <c r="T8086" t="str">
        <f t="shared" si="1307"/>
        <v/>
      </c>
      <c r="U8086" t="str">
        <f t="shared" si="1308"/>
        <v/>
      </c>
      <c r="V8086" t="str">
        <f t="shared" si="1309"/>
        <v/>
      </c>
      <c r="W8086" t="str">
        <f t="shared" si="1310"/>
        <v/>
      </c>
      <c r="X8086">
        <f t="shared" si="1300"/>
        <v>0</v>
      </c>
      <c r="Z8086" t="str">
        <f t="shared" si="1311"/>
        <v/>
      </c>
      <c r="AA8086">
        <f t="shared" si="1301"/>
        <v>0</v>
      </c>
    </row>
    <row r="8087" spans="1:27" ht="21" customHeight="1" x14ac:dyDescent="0.95">
      <c r="A8087" s="56"/>
      <c r="B8087" s="57"/>
      <c r="C8087" s="57"/>
      <c r="D8087" s="57"/>
      <c r="E8087" s="56"/>
      <c r="F8087" s="57"/>
      <c r="G8087" s="57"/>
      <c r="H8087" s="56"/>
      <c r="I8087" s="56"/>
      <c r="J8087" s="58"/>
      <c r="K8087" s="58"/>
      <c r="L8087" s="13" t="str">
        <f t="shared" si="1302"/>
        <v/>
      </c>
      <c r="M8087" s="13" t="str">
        <f t="shared" si="1303"/>
        <v/>
      </c>
      <c r="Q8087" t="str">
        <f t="shared" si="1304"/>
        <v/>
      </c>
      <c r="R8087" t="str">
        <f t="shared" si="1305"/>
        <v/>
      </c>
      <c r="S8087" t="str">
        <f t="shared" si="1306"/>
        <v/>
      </c>
      <c r="T8087" t="str">
        <f t="shared" si="1307"/>
        <v/>
      </c>
      <c r="U8087" t="str">
        <f t="shared" si="1308"/>
        <v/>
      </c>
      <c r="V8087" t="str">
        <f t="shared" si="1309"/>
        <v/>
      </c>
      <c r="W8087" t="str">
        <f t="shared" si="1310"/>
        <v/>
      </c>
      <c r="X8087">
        <f t="shared" si="1300"/>
        <v>0</v>
      </c>
      <c r="Z8087" t="str">
        <f t="shared" si="1311"/>
        <v/>
      </c>
      <c r="AA8087">
        <f t="shared" si="1301"/>
        <v>0</v>
      </c>
    </row>
    <row r="8088" spans="1:27" ht="21" customHeight="1" x14ac:dyDescent="0.95">
      <c r="A8088" s="56"/>
      <c r="B8088" s="57"/>
      <c r="C8088" s="57"/>
      <c r="D8088" s="57"/>
      <c r="E8088" s="56"/>
      <c r="F8088" s="57"/>
      <c r="G8088" s="57"/>
      <c r="H8088" s="56"/>
      <c r="I8088" s="56"/>
      <c r="J8088" s="58"/>
      <c r="K8088" s="58"/>
      <c r="L8088" s="13" t="str">
        <f t="shared" si="1302"/>
        <v/>
      </c>
      <c r="M8088" s="13" t="str">
        <f t="shared" si="1303"/>
        <v/>
      </c>
      <c r="Q8088" t="str">
        <f t="shared" si="1304"/>
        <v/>
      </c>
      <c r="R8088" t="str">
        <f t="shared" si="1305"/>
        <v/>
      </c>
      <c r="S8088" t="str">
        <f t="shared" si="1306"/>
        <v/>
      </c>
      <c r="T8088" t="str">
        <f t="shared" si="1307"/>
        <v/>
      </c>
      <c r="U8088" t="str">
        <f t="shared" si="1308"/>
        <v/>
      </c>
      <c r="V8088" t="str">
        <f t="shared" si="1309"/>
        <v/>
      </c>
      <c r="W8088" t="str">
        <f t="shared" si="1310"/>
        <v/>
      </c>
      <c r="X8088">
        <f t="shared" si="1300"/>
        <v>0</v>
      </c>
      <c r="Z8088" t="str">
        <f t="shared" si="1311"/>
        <v/>
      </c>
      <c r="AA8088">
        <f t="shared" si="1301"/>
        <v>0</v>
      </c>
    </row>
    <row r="8089" spans="1:27" ht="21" customHeight="1" x14ac:dyDescent="0.95">
      <c r="A8089" s="56"/>
      <c r="B8089" s="57"/>
      <c r="C8089" s="57"/>
      <c r="D8089" s="57"/>
      <c r="E8089" s="56"/>
      <c r="F8089" s="57"/>
      <c r="G8089" s="57"/>
      <c r="H8089" s="56"/>
      <c r="I8089" s="56"/>
      <c r="J8089" s="58"/>
      <c r="K8089" s="58"/>
      <c r="L8089" s="13" t="str">
        <f t="shared" si="1302"/>
        <v/>
      </c>
      <c r="M8089" s="13" t="str">
        <f t="shared" si="1303"/>
        <v/>
      </c>
      <c r="Q8089" t="str">
        <f t="shared" si="1304"/>
        <v/>
      </c>
      <c r="R8089" t="str">
        <f t="shared" si="1305"/>
        <v/>
      </c>
      <c r="S8089" t="str">
        <f t="shared" si="1306"/>
        <v/>
      </c>
      <c r="T8089" t="str">
        <f t="shared" si="1307"/>
        <v/>
      </c>
      <c r="U8089" t="str">
        <f t="shared" si="1308"/>
        <v/>
      </c>
      <c r="V8089" t="str">
        <f t="shared" si="1309"/>
        <v/>
      </c>
      <c r="W8089" t="str">
        <f t="shared" si="1310"/>
        <v/>
      </c>
      <c r="X8089">
        <f t="shared" si="1300"/>
        <v>0</v>
      </c>
      <c r="Z8089" t="str">
        <f t="shared" si="1311"/>
        <v/>
      </c>
      <c r="AA8089">
        <f t="shared" si="1301"/>
        <v>0</v>
      </c>
    </row>
    <row r="8090" spans="1:27" ht="21" customHeight="1" x14ac:dyDescent="0.95">
      <c r="A8090" s="56"/>
      <c r="B8090" s="57"/>
      <c r="C8090" s="57"/>
      <c r="D8090" s="57"/>
      <c r="E8090" s="56"/>
      <c r="F8090" s="57"/>
      <c r="G8090" s="57"/>
      <c r="H8090" s="56"/>
      <c r="I8090" s="56"/>
      <c r="J8090" s="58"/>
      <c r="K8090" s="58"/>
      <c r="L8090" s="13" t="str">
        <f t="shared" si="1302"/>
        <v/>
      </c>
      <c r="M8090" s="13" t="str">
        <f t="shared" si="1303"/>
        <v/>
      </c>
      <c r="Q8090" t="str">
        <f t="shared" si="1304"/>
        <v/>
      </c>
      <c r="R8090" t="str">
        <f t="shared" si="1305"/>
        <v/>
      </c>
      <c r="S8090" t="str">
        <f t="shared" si="1306"/>
        <v/>
      </c>
      <c r="T8090" t="str">
        <f t="shared" si="1307"/>
        <v/>
      </c>
      <c r="U8090" t="str">
        <f t="shared" si="1308"/>
        <v/>
      </c>
      <c r="V8090" t="str">
        <f t="shared" si="1309"/>
        <v/>
      </c>
      <c r="W8090" t="str">
        <f t="shared" si="1310"/>
        <v/>
      </c>
      <c r="X8090">
        <f t="shared" si="1300"/>
        <v>0</v>
      </c>
      <c r="Z8090" t="str">
        <f t="shared" si="1311"/>
        <v/>
      </c>
      <c r="AA8090">
        <f t="shared" si="1301"/>
        <v>0</v>
      </c>
    </row>
    <row r="8091" spans="1:27" ht="21" customHeight="1" x14ac:dyDescent="0.95">
      <c r="A8091" s="56"/>
      <c r="B8091" s="57"/>
      <c r="C8091" s="57"/>
      <c r="D8091" s="57"/>
      <c r="E8091" s="56"/>
      <c r="F8091" s="57"/>
      <c r="G8091" s="57"/>
      <c r="H8091" s="56"/>
      <c r="I8091" s="56"/>
      <c r="J8091" s="58"/>
      <c r="K8091" s="58"/>
      <c r="L8091" s="13" t="str">
        <f t="shared" si="1302"/>
        <v/>
      </c>
      <c r="M8091" s="13" t="str">
        <f t="shared" si="1303"/>
        <v/>
      </c>
      <c r="Q8091" t="str">
        <f t="shared" si="1304"/>
        <v/>
      </c>
      <c r="R8091" t="str">
        <f t="shared" si="1305"/>
        <v/>
      </c>
      <c r="S8091" t="str">
        <f t="shared" si="1306"/>
        <v/>
      </c>
      <c r="T8091" t="str">
        <f t="shared" si="1307"/>
        <v/>
      </c>
      <c r="U8091" t="str">
        <f t="shared" si="1308"/>
        <v/>
      </c>
      <c r="V8091" t="str">
        <f t="shared" si="1309"/>
        <v/>
      </c>
      <c r="W8091" t="str">
        <f t="shared" si="1310"/>
        <v/>
      </c>
      <c r="X8091">
        <f t="shared" si="1300"/>
        <v>0</v>
      </c>
      <c r="Z8091" t="str">
        <f t="shared" si="1311"/>
        <v/>
      </c>
      <c r="AA8091">
        <f t="shared" si="1301"/>
        <v>0</v>
      </c>
    </row>
    <row r="8092" spans="1:27" ht="21" customHeight="1" x14ac:dyDescent="0.95">
      <c r="A8092" s="56"/>
      <c r="B8092" s="57"/>
      <c r="C8092" s="57"/>
      <c r="D8092" s="57"/>
      <c r="E8092" s="56"/>
      <c r="F8092" s="57"/>
      <c r="G8092" s="57"/>
      <c r="H8092" s="56"/>
      <c r="I8092" s="56"/>
      <c r="J8092" s="58"/>
      <c r="K8092" s="58"/>
      <c r="L8092" s="13" t="str">
        <f t="shared" si="1302"/>
        <v/>
      </c>
      <c r="M8092" s="13" t="str">
        <f t="shared" si="1303"/>
        <v/>
      </c>
      <c r="Q8092" t="str">
        <f t="shared" si="1304"/>
        <v/>
      </c>
      <c r="R8092" t="str">
        <f t="shared" si="1305"/>
        <v/>
      </c>
      <c r="S8092" t="str">
        <f t="shared" si="1306"/>
        <v/>
      </c>
      <c r="T8092" t="str">
        <f t="shared" si="1307"/>
        <v/>
      </c>
      <c r="U8092" t="str">
        <f t="shared" si="1308"/>
        <v/>
      </c>
      <c r="V8092" t="str">
        <f t="shared" si="1309"/>
        <v/>
      </c>
      <c r="W8092" t="str">
        <f t="shared" si="1310"/>
        <v/>
      </c>
      <c r="X8092">
        <f t="shared" si="1300"/>
        <v>0</v>
      </c>
      <c r="Z8092" t="str">
        <f t="shared" si="1311"/>
        <v/>
      </c>
      <c r="AA8092">
        <f t="shared" si="1301"/>
        <v>0</v>
      </c>
    </row>
    <row r="8093" spans="1:27" ht="21" customHeight="1" x14ac:dyDescent="0.95">
      <c r="A8093" s="56"/>
      <c r="B8093" s="57"/>
      <c r="C8093" s="57"/>
      <c r="D8093" s="57"/>
      <c r="E8093" s="56"/>
      <c r="F8093" s="57"/>
      <c r="G8093" s="57"/>
      <c r="H8093" s="56"/>
      <c r="I8093" s="56"/>
      <c r="J8093" s="58"/>
      <c r="K8093" s="58"/>
      <c r="L8093" s="13" t="str">
        <f t="shared" si="1302"/>
        <v/>
      </c>
      <c r="M8093" s="13" t="str">
        <f t="shared" si="1303"/>
        <v/>
      </c>
      <c r="Q8093" t="str">
        <f t="shared" si="1304"/>
        <v/>
      </c>
      <c r="R8093" t="str">
        <f t="shared" si="1305"/>
        <v/>
      </c>
      <c r="S8093" t="str">
        <f t="shared" si="1306"/>
        <v/>
      </c>
      <c r="T8093" t="str">
        <f t="shared" si="1307"/>
        <v/>
      </c>
      <c r="U8093" t="str">
        <f t="shared" si="1308"/>
        <v/>
      </c>
      <c r="V8093" t="str">
        <f t="shared" si="1309"/>
        <v/>
      </c>
      <c r="W8093" t="str">
        <f t="shared" si="1310"/>
        <v/>
      </c>
      <c r="X8093">
        <f t="shared" si="1300"/>
        <v>0</v>
      </c>
      <c r="Z8093" t="str">
        <f t="shared" si="1311"/>
        <v/>
      </c>
      <c r="AA8093">
        <f t="shared" si="1301"/>
        <v>0</v>
      </c>
    </row>
    <row r="8094" spans="1:27" ht="21" customHeight="1" x14ac:dyDescent="0.95">
      <c r="A8094" s="56"/>
      <c r="B8094" s="57"/>
      <c r="C8094" s="57"/>
      <c r="D8094" s="57"/>
      <c r="E8094" s="56"/>
      <c r="F8094" s="57"/>
      <c r="G8094" s="57"/>
      <c r="H8094" s="56"/>
      <c r="I8094" s="56"/>
      <c r="J8094" s="58"/>
      <c r="K8094" s="58"/>
      <c r="L8094" s="13" t="str">
        <f t="shared" si="1302"/>
        <v/>
      </c>
      <c r="M8094" s="13" t="str">
        <f t="shared" si="1303"/>
        <v/>
      </c>
      <c r="Q8094" t="str">
        <f t="shared" si="1304"/>
        <v/>
      </c>
      <c r="R8094" t="str">
        <f t="shared" si="1305"/>
        <v/>
      </c>
      <c r="S8094" t="str">
        <f t="shared" si="1306"/>
        <v/>
      </c>
      <c r="T8094" t="str">
        <f t="shared" si="1307"/>
        <v/>
      </c>
      <c r="U8094" t="str">
        <f t="shared" si="1308"/>
        <v/>
      </c>
      <c r="V8094" t="str">
        <f t="shared" si="1309"/>
        <v/>
      </c>
      <c r="W8094" t="str">
        <f t="shared" si="1310"/>
        <v/>
      </c>
      <c r="X8094">
        <f t="shared" si="1300"/>
        <v>0</v>
      </c>
      <c r="Z8094" t="str">
        <f t="shared" si="1311"/>
        <v/>
      </c>
      <c r="AA8094">
        <f t="shared" si="1301"/>
        <v>0</v>
      </c>
    </row>
    <row r="8095" spans="1:27" ht="21" customHeight="1" x14ac:dyDescent="0.95">
      <c r="A8095" s="56"/>
      <c r="B8095" s="57"/>
      <c r="C8095" s="57"/>
      <c r="D8095" s="57"/>
      <c r="E8095" s="56"/>
      <c r="F8095" s="57"/>
      <c r="G8095" s="57"/>
      <c r="H8095" s="56"/>
      <c r="I8095" s="56"/>
      <c r="J8095" s="58"/>
      <c r="K8095" s="58"/>
      <c r="L8095" s="13" t="str">
        <f t="shared" si="1302"/>
        <v/>
      </c>
      <c r="M8095" s="13" t="str">
        <f t="shared" si="1303"/>
        <v/>
      </c>
      <c r="Q8095" t="str">
        <f t="shared" si="1304"/>
        <v/>
      </c>
      <c r="R8095" t="str">
        <f t="shared" si="1305"/>
        <v/>
      </c>
      <c r="S8095" t="str">
        <f t="shared" si="1306"/>
        <v/>
      </c>
      <c r="T8095" t="str">
        <f t="shared" si="1307"/>
        <v/>
      </c>
      <c r="U8095" t="str">
        <f t="shared" si="1308"/>
        <v/>
      </c>
      <c r="V8095" t="str">
        <f t="shared" si="1309"/>
        <v/>
      </c>
      <c r="W8095" t="str">
        <f t="shared" si="1310"/>
        <v/>
      </c>
      <c r="X8095">
        <f t="shared" si="1300"/>
        <v>0</v>
      </c>
      <c r="Z8095" t="str">
        <f t="shared" si="1311"/>
        <v/>
      </c>
      <c r="AA8095">
        <f t="shared" si="1301"/>
        <v>0</v>
      </c>
    </row>
    <row r="8096" spans="1:27" ht="21" customHeight="1" x14ac:dyDescent="0.95">
      <c r="A8096" s="56"/>
      <c r="B8096" s="57"/>
      <c r="C8096" s="57"/>
      <c r="D8096" s="57"/>
      <c r="E8096" s="56"/>
      <c r="F8096" s="57"/>
      <c r="G8096" s="57"/>
      <c r="H8096" s="56"/>
      <c r="I8096" s="56"/>
      <c r="J8096" s="58"/>
      <c r="K8096" s="58"/>
      <c r="L8096" s="13" t="str">
        <f t="shared" si="1302"/>
        <v/>
      </c>
      <c r="M8096" s="13" t="str">
        <f t="shared" si="1303"/>
        <v/>
      </c>
      <c r="Q8096" t="str">
        <f t="shared" si="1304"/>
        <v/>
      </c>
      <c r="R8096" t="str">
        <f t="shared" si="1305"/>
        <v/>
      </c>
      <c r="S8096" t="str">
        <f t="shared" si="1306"/>
        <v/>
      </c>
      <c r="T8096" t="str">
        <f t="shared" si="1307"/>
        <v/>
      </c>
      <c r="U8096" t="str">
        <f t="shared" si="1308"/>
        <v/>
      </c>
      <c r="V8096" t="str">
        <f t="shared" si="1309"/>
        <v/>
      </c>
      <c r="W8096" t="str">
        <f t="shared" si="1310"/>
        <v/>
      </c>
      <c r="X8096">
        <f t="shared" si="1300"/>
        <v>0</v>
      </c>
      <c r="Z8096" t="str">
        <f t="shared" si="1311"/>
        <v/>
      </c>
      <c r="AA8096">
        <f t="shared" si="1301"/>
        <v>0</v>
      </c>
    </row>
    <row r="8097" spans="1:27" ht="21" customHeight="1" x14ac:dyDescent="0.95">
      <c r="A8097" s="56"/>
      <c r="B8097" s="57"/>
      <c r="C8097" s="57"/>
      <c r="D8097" s="57"/>
      <c r="E8097" s="56"/>
      <c r="F8097" s="57"/>
      <c r="G8097" s="57"/>
      <c r="H8097" s="56"/>
      <c r="I8097" s="56"/>
      <c r="J8097" s="58"/>
      <c r="K8097" s="58"/>
      <c r="L8097" s="13" t="str">
        <f t="shared" si="1302"/>
        <v/>
      </c>
      <c r="M8097" s="13" t="str">
        <f t="shared" si="1303"/>
        <v/>
      </c>
      <c r="Q8097" t="str">
        <f t="shared" si="1304"/>
        <v/>
      </c>
      <c r="R8097" t="str">
        <f t="shared" si="1305"/>
        <v/>
      </c>
      <c r="S8097" t="str">
        <f t="shared" si="1306"/>
        <v/>
      </c>
      <c r="T8097" t="str">
        <f t="shared" si="1307"/>
        <v/>
      </c>
      <c r="U8097" t="str">
        <f t="shared" si="1308"/>
        <v/>
      </c>
      <c r="V8097" t="str">
        <f t="shared" si="1309"/>
        <v/>
      </c>
      <c r="W8097" t="str">
        <f t="shared" si="1310"/>
        <v/>
      </c>
      <c r="X8097">
        <f t="shared" si="1300"/>
        <v>0</v>
      </c>
      <c r="Z8097" t="str">
        <f t="shared" si="1311"/>
        <v/>
      </c>
      <c r="AA8097">
        <f t="shared" si="1301"/>
        <v>0</v>
      </c>
    </row>
    <row r="8098" spans="1:27" ht="21" customHeight="1" x14ac:dyDescent="0.95">
      <c r="A8098" s="56"/>
      <c r="B8098" s="57"/>
      <c r="C8098" s="57"/>
      <c r="D8098" s="57"/>
      <c r="E8098" s="56"/>
      <c r="F8098" s="57"/>
      <c r="G8098" s="57"/>
      <c r="H8098" s="56"/>
      <c r="I8098" s="56"/>
      <c r="J8098" s="58"/>
      <c r="K8098" s="58"/>
      <c r="L8098" s="13" t="str">
        <f t="shared" si="1302"/>
        <v/>
      </c>
      <c r="M8098" s="13" t="str">
        <f t="shared" si="1303"/>
        <v/>
      </c>
      <c r="Q8098" t="str">
        <f t="shared" si="1304"/>
        <v/>
      </c>
      <c r="R8098" t="str">
        <f t="shared" si="1305"/>
        <v/>
      </c>
      <c r="S8098" t="str">
        <f t="shared" si="1306"/>
        <v/>
      </c>
      <c r="T8098" t="str">
        <f t="shared" si="1307"/>
        <v/>
      </c>
      <c r="U8098" t="str">
        <f t="shared" si="1308"/>
        <v/>
      </c>
      <c r="V8098" t="str">
        <f t="shared" si="1309"/>
        <v/>
      </c>
      <c r="W8098" t="str">
        <f t="shared" si="1310"/>
        <v/>
      </c>
      <c r="X8098">
        <f t="shared" si="1300"/>
        <v>0</v>
      </c>
      <c r="Z8098" t="str">
        <f t="shared" si="1311"/>
        <v/>
      </c>
      <c r="AA8098">
        <f t="shared" si="1301"/>
        <v>0</v>
      </c>
    </row>
    <row r="8099" spans="1:27" ht="21" customHeight="1" x14ac:dyDescent="0.95">
      <c r="A8099" s="56"/>
      <c r="B8099" s="57"/>
      <c r="C8099" s="57"/>
      <c r="D8099" s="57"/>
      <c r="E8099" s="56"/>
      <c r="F8099" s="57"/>
      <c r="G8099" s="57"/>
      <c r="H8099" s="56"/>
      <c r="I8099" s="56"/>
      <c r="J8099" s="58"/>
      <c r="K8099" s="58"/>
      <c r="L8099" s="13" t="str">
        <f t="shared" si="1302"/>
        <v/>
      </c>
      <c r="M8099" s="13" t="str">
        <f t="shared" si="1303"/>
        <v/>
      </c>
      <c r="Q8099" t="str">
        <f t="shared" si="1304"/>
        <v/>
      </c>
      <c r="R8099" t="str">
        <f t="shared" si="1305"/>
        <v/>
      </c>
      <c r="S8099" t="str">
        <f t="shared" si="1306"/>
        <v/>
      </c>
      <c r="T8099" t="str">
        <f t="shared" si="1307"/>
        <v/>
      </c>
      <c r="U8099" t="str">
        <f t="shared" si="1308"/>
        <v/>
      </c>
      <c r="V8099" t="str">
        <f t="shared" si="1309"/>
        <v/>
      </c>
      <c r="W8099" t="str">
        <f t="shared" si="1310"/>
        <v/>
      </c>
      <c r="X8099">
        <f t="shared" si="1300"/>
        <v>0</v>
      </c>
      <c r="Z8099" t="str">
        <f t="shared" si="1311"/>
        <v/>
      </c>
      <c r="AA8099">
        <f t="shared" si="1301"/>
        <v>0</v>
      </c>
    </row>
    <row r="8100" spans="1:27" ht="21" customHeight="1" x14ac:dyDescent="0.95">
      <c r="A8100" s="56"/>
      <c r="B8100" s="57"/>
      <c r="C8100" s="57"/>
      <c r="D8100" s="57"/>
      <c r="E8100" s="56"/>
      <c r="F8100" s="57"/>
      <c r="G8100" s="57"/>
      <c r="H8100" s="56"/>
      <c r="I8100" s="56"/>
      <c r="J8100" s="58"/>
      <c r="K8100" s="58"/>
      <c r="L8100" s="13" t="str">
        <f t="shared" si="1302"/>
        <v/>
      </c>
      <c r="M8100" s="13" t="str">
        <f t="shared" si="1303"/>
        <v/>
      </c>
      <c r="Q8100" t="str">
        <f t="shared" si="1304"/>
        <v/>
      </c>
      <c r="R8100" t="str">
        <f t="shared" si="1305"/>
        <v/>
      </c>
      <c r="S8100" t="str">
        <f t="shared" si="1306"/>
        <v/>
      </c>
      <c r="T8100" t="str">
        <f t="shared" si="1307"/>
        <v/>
      </c>
      <c r="U8100" t="str">
        <f t="shared" si="1308"/>
        <v/>
      </c>
      <c r="V8100" t="str">
        <f t="shared" si="1309"/>
        <v/>
      </c>
      <c r="W8100" t="str">
        <f t="shared" si="1310"/>
        <v/>
      </c>
      <c r="X8100">
        <f t="shared" si="1300"/>
        <v>0</v>
      </c>
      <c r="Z8100" t="str">
        <f t="shared" si="1311"/>
        <v/>
      </c>
      <c r="AA8100">
        <f t="shared" si="1301"/>
        <v>0</v>
      </c>
    </row>
    <row r="8101" spans="1:27" ht="21" customHeight="1" x14ac:dyDescent="0.95">
      <c r="A8101" s="56"/>
      <c r="B8101" s="57"/>
      <c r="C8101" s="57"/>
      <c r="D8101" s="57"/>
      <c r="E8101" s="56"/>
      <c r="F8101" s="57"/>
      <c r="G8101" s="57"/>
      <c r="H8101" s="56"/>
      <c r="I8101" s="56"/>
      <c r="J8101" s="58"/>
      <c r="K8101" s="58"/>
      <c r="L8101" s="13" t="str">
        <f t="shared" si="1302"/>
        <v/>
      </c>
      <c r="M8101" s="13" t="str">
        <f t="shared" si="1303"/>
        <v/>
      </c>
      <c r="Q8101" t="str">
        <f t="shared" si="1304"/>
        <v/>
      </c>
      <c r="R8101" t="str">
        <f t="shared" si="1305"/>
        <v/>
      </c>
      <c r="S8101" t="str">
        <f t="shared" si="1306"/>
        <v/>
      </c>
      <c r="T8101" t="str">
        <f t="shared" si="1307"/>
        <v/>
      </c>
      <c r="U8101" t="str">
        <f t="shared" si="1308"/>
        <v/>
      </c>
      <c r="V8101" t="str">
        <f t="shared" si="1309"/>
        <v/>
      </c>
      <c r="W8101" t="str">
        <f t="shared" si="1310"/>
        <v/>
      </c>
      <c r="X8101">
        <f t="shared" si="1300"/>
        <v>0</v>
      </c>
      <c r="Z8101" t="str">
        <f t="shared" si="1311"/>
        <v/>
      </c>
      <c r="AA8101">
        <f t="shared" si="1301"/>
        <v>0</v>
      </c>
    </row>
    <row r="8102" spans="1:27" ht="21" customHeight="1" x14ac:dyDescent="0.95">
      <c r="A8102" s="56"/>
      <c r="B8102" s="57"/>
      <c r="C8102" s="57"/>
      <c r="D8102" s="57"/>
      <c r="E8102" s="56"/>
      <c r="F8102" s="57"/>
      <c r="G8102" s="57"/>
      <c r="H8102" s="56"/>
      <c r="I8102" s="56"/>
      <c r="J8102" s="58"/>
      <c r="K8102" s="58"/>
      <c r="L8102" s="13" t="str">
        <f t="shared" si="1302"/>
        <v/>
      </c>
      <c r="M8102" s="13" t="str">
        <f t="shared" si="1303"/>
        <v/>
      </c>
      <c r="Q8102" t="str">
        <f t="shared" si="1304"/>
        <v/>
      </c>
      <c r="R8102" t="str">
        <f t="shared" si="1305"/>
        <v/>
      </c>
      <c r="S8102" t="str">
        <f t="shared" si="1306"/>
        <v/>
      </c>
      <c r="T8102" t="str">
        <f t="shared" si="1307"/>
        <v/>
      </c>
      <c r="U8102" t="str">
        <f t="shared" si="1308"/>
        <v/>
      </c>
      <c r="V8102" t="str">
        <f t="shared" si="1309"/>
        <v/>
      </c>
      <c r="W8102" t="str">
        <f t="shared" si="1310"/>
        <v/>
      </c>
      <c r="X8102">
        <f t="shared" si="1300"/>
        <v>0</v>
      </c>
      <c r="Z8102" t="str">
        <f t="shared" si="1311"/>
        <v/>
      </c>
      <c r="AA8102">
        <f t="shared" si="1301"/>
        <v>0</v>
      </c>
    </row>
    <row r="8103" spans="1:27" ht="21" customHeight="1" x14ac:dyDescent="0.95">
      <c r="A8103" s="56"/>
      <c r="B8103" s="57"/>
      <c r="C8103" s="57"/>
      <c r="D8103" s="57"/>
      <c r="E8103" s="56"/>
      <c r="F8103" s="57"/>
      <c r="G8103" s="57"/>
      <c r="H8103" s="56"/>
      <c r="I8103" s="56"/>
      <c r="J8103" s="58"/>
      <c r="K8103" s="58"/>
      <c r="L8103" s="13" t="str">
        <f t="shared" si="1302"/>
        <v/>
      </c>
      <c r="M8103" s="13" t="str">
        <f t="shared" si="1303"/>
        <v/>
      </c>
      <c r="Q8103" t="str">
        <f t="shared" si="1304"/>
        <v/>
      </c>
      <c r="R8103" t="str">
        <f t="shared" si="1305"/>
        <v/>
      </c>
      <c r="S8103" t="str">
        <f t="shared" si="1306"/>
        <v/>
      </c>
      <c r="T8103" t="str">
        <f t="shared" si="1307"/>
        <v/>
      </c>
      <c r="U8103" t="str">
        <f t="shared" si="1308"/>
        <v/>
      </c>
      <c r="V8103" t="str">
        <f t="shared" si="1309"/>
        <v/>
      </c>
      <c r="W8103" t="str">
        <f t="shared" si="1310"/>
        <v/>
      </c>
      <c r="X8103">
        <f t="shared" si="1300"/>
        <v>0</v>
      </c>
      <c r="Z8103" t="str">
        <f t="shared" si="1311"/>
        <v/>
      </c>
      <c r="AA8103">
        <f t="shared" si="1301"/>
        <v>0</v>
      </c>
    </row>
    <row r="8104" spans="1:27" ht="21" customHeight="1" x14ac:dyDescent="0.95">
      <c r="A8104" s="56"/>
      <c r="B8104" s="57"/>
      <c r="C8104" s="57"/>
      <c r="D8104" s="57"/>
      <c r="E8104" s="56"/>
      <c r="F8104" s="57"/>
      <c r="G8104" s="57"/>
      <c r="H8104" s="56"/>
      <c r="I8104" s="56"/>
      <c r="J8104" s="58"/>
      <c r="K8104" s="58"/>
      <c r="L8104" s="13" t="str">
        <f t="shared" si="1302"/>
        <v/>
      </c>
      <c r="M8104" s="13" t="str">
        <f t="shared" si="1303"/>
        <v/>
      </c>
      <c r="Q8104" t="str">
        <f t="shared" si="1304"/>
        <v/>
      </c>
      <c r="R8104" t="str">
        <f t="shared" si="1305"/>
        <v/>
      </c>
      <c r="S8104" t="str">
        <f t="shared" si="1306"/>
        <v/>
      </c>
      <c r="T8104" t="str">
        <f t="shared" si="1307"/>
        <v/>
      </c>
      <c r="U8104" t="str">
        <f t="shared" si="1308"/>
        <v/>
      </c>
      <c r="V8104" t="str">
        <f t="shared" si="1309"/>
        <v/>
      </c>
      <c r="W8104" t="str">
        <f t="shared" si="1310"/>
        <v/>
      </c>
      <c r="X8104">
        <f t="shared" si="1300"/>
        <v>0</v>
      </c>
      <c r="Z8104" t="str">
        <f t="shared" si="1311"/>
        <v/>
      </c>
      <c r="AA8104">
        <f t="shared" si="1301"/>
        <v>0</v>
      </c>
    </row>
    <row r="8105" spans="1:27" ht="21" customHeight="1" x14ac:dyDescent="0.95">
      <c r="A8105" s="56"/>
      <c r="B8105" s="57"/>
      <c r="C8105" s="57"/>
      <c r="D8105" s="57"/>
      <c r="E8105" s="56"/>
      <c r="F8105" s="57"/>
      <c r="G8105" s="57"/>
      <c r="H8105" s="56"/>
      <c r="I8105" s="56"/>
      <c r="J8105" s="58"/>
      <c r="K8105" s="58"/>
      <c r="L8105" s="13" t="str">
        <f t="shared" si="1302"/>
        <v/>
      </c>
      <c r="M8105" s="13" t="str">
        <f t="shared" si="1303"/>
        <v/>
      </c>
      <c r="Q8105" t="str">
        <f t="shared" si="1304"/>
        <v/>
      </c>
      <c r="R8105" t="str">
        <f t="shared" si="1305"/>
        <v/>
      </c>
      <c r="S8105" t="str">
        <f t="shared" si="1306"/>
        <v/>
      </c>
      <c r="T8105" t="str">
        <f t="shared" si="1307"/>
        <v/>
      </c>
      <c r="U8105" t="str">
        <f t="shared" si="1308"/>
        <v/>
      </c>
      <c r="V8105" t="str">
        <f t="shared" si="1309"/>
        <v/>
      </c>
      <c r="W8105" t="str">
        <f t="shared" si="1310"/>
        <v/>
      </c>
      <c r="X8105">
        <f t="shared" si="1300"/>
        <v>0</v>
      </c>
      <c r="Z8105" t="str">
        <f t="shared" si="1311"/>
        <v/>
      </c>
      <c r="AA8105">
        <f t="shared" si="1301"/>
        <v>0</v>
      </c>
    </row>
    <row r="8106" spans="1:27" ht="21" customHeight="1" x14ac:dyDescent="0.95">
      <c r="A8106" s="56"/>
      <c r="B8106" s="57"/>
      <c r="C8106" s="57"/>
      <c r="D8106" s="57"/>
      <c r="E8106" s="56"/>
      <c r="F8106" s="57"/>
      <c r="G8106" s="57"/>
      <c r="H8106" s="56"/>
      <c r="I8106" s="56"/>
      <c r="J8106" s="58"/>
      <c r="K8106" s="58"/>
      <c r="L8106" s="13" t="str">
        <f t="shared" si="1302"/>
        <v/>
      </c>
      <c r="M8106" s="13" t="str">
        <f t="shared" si="1303"/>
        <v/>
      </c>
      <c r="Q8106" t="str">
        <f t="shared" si="1304"/>
        <v/>
      </c>
      <c r="R8106" t="str">
        <f t="shared" si="1305"/>
        <v/>
      </c>
      <c r="S8106" t="str">
        <f t="shared" si="1306"/>
        <v/>
      </c>
      <c r="T8106" t="str">
        <f t="shared" si="1307"/>
        <v/>
      </c>
      <c r="U8106" t="str">
        <f t="shared" si="1308"/>
        <v/>
      </c>
      <c r="V8106" t="str">
        <f t="shared" si="1309"/>
        <v/>
      </c>
      <c r="W8106" t="str">
        <f t="shared" si="1310"/>
        <v/>
      </c>
      <c r="X8106">
        <f t="shared" si="1300"/>
        <v>0</v>
      </c>
      <c r="Z8106" t="str">
        <f t="shared" si="1311"/>
        <v/>
      </c>
      <c r="AA8106">
        <f t="shared" si="1301"/>
        <v>0</v>
      </c>
    </row>
    <row r="8107" spans="1:27" ht="21" customHeight="1" x14ac:dyDescent="0.95">
      <c r="A8107" s="56"/>
      <c r="B8107" s="57"/>
      <c r="C8107" s="57"/>
      <c r="D8107" s="57"/>
      <c r="E8107" s="56"/>
      <c r="F8107" s="57"/>
      <c r="G8107" s="57"/>
      <c r="H8107" s="56"/>
      <c r="I8107" s="56"/>
      <c r="J8107" s="58"/>
      <c r="K8107" s="58"/>
      <c r="L8107" s="13" t="str">
        <f t="shared" si="1302"/>
        <v/>
      </c>
      <c r="M8107" s="13" t="str">
        <f t="shared" si="1303"/>
        <v/>
      </c>
      <c r="Q8107" t="str">
        <f t="shared" si="1304"/>
        <v/>
      </c>
      <c r="R8107" t="str">
        <f t="shared" si="1305"/>
        <v/>
      </c>
      <c r="S8107" t="str">
        <f t="shared" si="1306"/>
        <v/>
      </c>
      <c r="T8107" t="str">
        <f t="shared" si="1307"/>
        <v/>
      </c>
      <c r="U8107" t="str">
        <f t="shared" si="1308"/>
        <v/>
      </c>
      <c r="V8107" t="str">
        <f t="shared" si="1309"/>
        <v/>
      </c>
      <c r="W8107" t="str">
        <f t="shared" si="1310"/>
        <v/>
      </c>
      <c r="X8107">
        <f t="shared" si="1300"/>
        <v>0</v>
      </c>
      <c r="Z8107" t="str">
        <f t="shared" si="1311"/>
        <v/>
      </c>
      <c r="AA8107">
        <f t="shared" si="1301"/>
        <v>0</v>
      </c>
    </row>
    <row r="8108" spans="1:27" ht="21" customHeight="1" x14ac:dyDescent="0.95">
      <c r="A8108" s="56"/>
      <c r="B8108" s="57"/>
      <c r="C8108" s="57"/>
      <c r="D8108" s="57"/>
      <c r="E8108" s="56"/>
      <c r="F8108" s="57"/>
      <c r="G8108" s="57"/>
      <c r="H8108" s="56"/>
      <c r="I8108" s="56"/>
      <c r="J8108" s="58"/>
      <c r="K8108" s="58"/>
      <c r="L8108" s="13" t="str">
        <f t="shared" si="1302"/>
        <v/>
      </c>
      <c r="M8108" s="13" t="str">
        <f t="shared" si="1303"/>
        <v/>
      </c>
      <c r="Q8108" t="str">
        <f t="shared" si="1304"/>
        <v/>
      </c>
      <c r="R8108" t="str">
        <f t="shared" si="1305"/>
        <v/>
      </c>
      <c r="S8108" t="str">
        <f t="shared" si="1306"/>
        <v/>
      </c>
      <c r="T8108" t="str">
        <f t="shared" si="1307"/>
        <v/>
      </c>
      <c r="U8108" t="str">
        <f t="shared" si="1308"/>
        <v/>
      </c>
      <c r="V8108" t="str">
        <f t="shared" si="1309"/>
        <v/>
      </c>
      <c r="W8108" t="str">
        <f t="shared" si="1310"/>
        <v/>
      </c>
      <c r="X8108">
        <f t="shared" si="1300"/>
        <v>0</v>
      </c>
      <c r="Z8108" t="str">
        <f t="shared" si="1311"/>
        <v/>
      </c>
      <c r="AA8108">
        <f t="shared" si="1301"/>
        <v>0</v>
      </c>
    </row>
    <row r="8109" spans="1:27" ht="21" customHeight="1" x14ac:dyDescent="0.95">
      <c r="A8109" s="56"/>
      <c r="B8109" s="57"/>
      <c r="C8109" s="57"/>
      <c r="D8109" s="57"/>
      <c r="E8109" s="56"/>
      <c r="F8109" s="57"/>
      <c r="G8109" s="57"/>
      <c r="H8109" s="56"/>
      <c r="I8109" s="56"/>
      <c r="J8109" s="58"/>
      <c r="K8109" s="58"/>
      <c r="L8109" s="13" t="str">
        <f t="shared" si="1302"/>
        <v/>
      </c>
      <c r="M8109" s="13" t="str">
        <f t="shared" si="1303"/>
        <v/>
      </c>
      <c r="Q8109" t="str">
        <f t="shared" si="1304"/>
        <v/>
      </c>
      <c r="R8109" t="str">
        <f t="shared" si="1305"/>
        <v/>
      </c>
      <c r="S8109" t="str">
        <f t="shared" si="1306"/>
        <v/>
      </c>
      <c r="T8109" t="str">
        <f t="shared" si="1307"/>
        <v/>
      </c>
      <c r="U8109" t="str">
        <f t="shared" si="1308"/>
        <v/>
      </c>
      <c r="V8109" t="str">
        <f t="shared" si="1309"/>
        <v/>
      </c>
      <c r="W8109" t="str">
        <f t="shared" si="1310"/>
        <v/>
      </c>
      <c r="X8109">
        <f t="shared" si="1300"/>
        <v>0</v>
      </c>
      <c r="Z8109" t="str">
        <f t="shared" si="1311"/>
        <v/>
      </c>
      <c r="AA8109">
        <f t="shared" si="1301"/>
        <v>0</v>
      </c>
    </row>
    <row r="8110" spans="1:27" ht="21" customHeight="1" x14ac:dyDescent="0.95">
      <c r="A8110" s="56"/>
      <c r="B8110" s="57"/>
      <c r="C8110" s="57"/>
      <c r="D8110" s="57"/>
      <c r="E8110" s="56"/>
      <c r="F8110" s="57"/>
      <c r="G8110" s="57"/>
      <c r="H8110" s="56"/>
      <c r="I8110" s="56"/>
      <c r="J8110" s="58"/>
      <c r="K8110" s="58"/>
      <c r="L8110" s="13" t="str">
        <f t="shared" si="1302"/>
        <v/>
      </c>
      <c r="M8110" s="13" t="str">
        <f t="shared" si="1303"/>
        <v/>
      </c>
      <c r="Q8110" t="str">
        <f t="shared" si="1304"/>
        <v/>
      </c>
      <c r="R8110" t="str">
        <f t="shared" si="1305"/>
        <v/>
      </c>
      <c r="S8110" t="str">
        <f t="shared" si="1306"/>
        <v/>
      </c>
      <c r="T8110" t="str">
        <f t="shared" si="1307"/>
        <v/>
      </c>
      <c r="U8110" t="str">
        <f t="shared" si="1308"/>
        <v/>
      </c>
      <c r="V8110" t="str">
        <f t="shared" si="1309"/>
        <v/>
      </c>
      <c r="W8110" t="str">
        <f t="shared" si="1310"/>
        <v/>
      </c>
      <c r="X8110">
        <f t="shared" si="1300"/>
        <v>0</v>
      </c>
      <c r="Z8110" t="str">
        <f t="shared" si="1311"/>
        <v/>
      </c>
      <c r="AA8110">
        <f t="shared" si="1301"/>
        <v>0</v>
      </c>
    </row>
    <row r="8111" spans="1:27" ht="21" customHeight="1" x14ac:dyDescent="0.95">
      <c r="A8111" s="56"/>
      <c r="B8111" s="57"/>
      <c r="C8111" s="57"/>
      <c r="D8111" s="57"/>
      <c r="E8111" s="56"/>
      <c r="F8111" s="57"/>
      <c r="G8111" s="57"/>
      <c r="H8111" s="56"/>
      <c r="I8111" s="56"/>
      <c r="J8111" s="58"/>
      <c r="K8111" s="58"/>
      <c r="L8111" s="13" t="str">
        <f t="shared" si="1302"/>
        <v/>
      </c>
      <c r="M8111" s="13" t="str">
        <f t="shared" si="1303"/>
        <v/>
      </c>
      <c r="Q8111" t="str">
        <f t="shared" si="1304"/>
        <v/>
      </c>
      <c r="R8111" t="str">
        <f t="shared" si="1305"/>
        <v/>
      </c>
      <c r="S8111" t="str">
        <f t="shared" si="1306"/>
        <v/>
      </c>
      <c r="T8111" t="str">
        <f t="shared" si="1307"/>
        <v/>
      </c>
      <c r="U8111" t="str">
        <f t="shared" si="1308"/>
        <v/>
      </c>
      <c r="V8111" t="str">
        <f t="shared" si="1309"/>
        <v/>
      </c>
      <c r="W8111" t="str">
        <f t="shared" si="1310"/>
        <v/>
      </c>
      <c r="X8111">
        <f t="shared" si="1300"/>
        <v>0</v>
      </c>
      <c r="Z8111" t="str">
        <f t="shared" si="1311"/>
        <v/>
      </c>
      <c r="AA8111">
        <f t="shared" si="1301"/>
        <v>0</v>
      </c>
    </row>
    <row r="8112" spans="1:27" ht="21" customHeight="1" x14ac:dyDescent="0.95">
      <c r="A8112" s="56"/>
      <c r="B8112" s="57"/>
      <c r="C8112" s="57"/>
      <c r="D8112" s="57"/>
      <c r="E8112" s="56"/>
      <c r="F8112" s="57"/>
      <c r="G8112" s="57"/>
      <c r="H8112" s="56"/>
      <c r="I8112" s="56"/>
      <c r="J8112" s="58"/>
      <c r="K8112" s="58"/>
      <c r="L8112" s="13" t="str">
        <f t="shared" si="1302"/>
        <v/>
      </c>
      <c r="M8112" s="13" t="str">
        <f t="shared" si="1303"/>
        <v/>
      </c>
      <c r="Q8112" t="str">
        <f t="shared" si="1304"/>
        <v/>
      </c>
      <c r="R8112" t="str">
        <f t="shared" si="1305"/>
        <v/>
      </c>
      <c r="S8112" t="str">
        <f t="shared" si="1306"/>
        <v/>
      </c>
      <c r="T8112" t="str">
        <f t="shared" si="1307"/>
        <v/>
      </c>
      <c r="U8112" t="str">
        <f t="shared" si="1308"/>
        <v/>
      </c>
      <c r="V8112" t="str">
        <f t="shared" si="1309"/>
        <v/>
      </c>
      <c r="W8112" t="str">
        <f t="shared" si="1310"/>
        <v/>
      </c>
      <c r="X8112">
        <f t="shared" si="1300"/>
        <v>0</v>
      </c>
      <c r="Z8112" t="str">
        <f t="shared" si="1311"/>
        <v/>
      </c>
      <c r="AA8112">
        <f t="shared" si="1301"/>
        <v>0</v>
      </c>
    </row>
    <row r="8113" spans="1:27" ht="21" customHeight="1" x14ac:dyDescent="0.95">
      <c r="A8113" s="56"/>
      <c r="B8113" s="57"/>
      <c r="C8113" s="57"/>
      <c r="D8113" s="57"/>
      <c r="E8113" s="56"/>
      <c r="F8113" s="57"/>
      <c r="G8113" s="57"/>
      <c r="H8113" s="56"/>
      <c r="I8113" s="56"/>
      <c r="J8113" s="58"/>
      <c r="K8113" s="58"/>
      <c r="L8113" s="13" t="str">
        <f t="shared" si="1302"/>
        <v/>
      </c>
      <c r="M8113" s="13" t="str">
        <f t="shared" si="1303"/>
        <v/>
      </c>
      <c r="Q8113" t="str">
        <f t="shared" si="1304"/>
        <v/>
      </c>
      <c r="R8113" t="str">
        <f t="shared" si="1305"/>
        <v/>
      </c>
      <c r="S8113" t="str">
        <f t="shared" si="1306"/>
        <v/>
      </c>
      <c r="T8113" t="str">
        <f t="shared" si="1307"/>
        <v/>
      </c>
      <c r="U8113" t="str">
        <f t="shared" si="1308"/>
        <v/>
      </c>
      <c r="V8113" t="str">
        <f t="shared" si="1309"/>
        <v/>
      </c>
      <c r="W8113" t="str">
        <f t="shared" si="1310"/>
        <v/>
      </c>
      <c r="X8113">
        <f t="shared" si="1300"/>
        <v>0</v>
      </c>
      <c r="Z8113" t="str">
        <f t="shared" si="1311"/>
        <v/>
      </c>
      <c r="AA8113">
        <f t="shared" si="1301"/>
        <v>0</v>
      </c>
    </row>
    <row r="8114" spans="1:27" ht="21" customHeight="1" x14ac:dyDescent="0.95">
      <c r="A8114" s="56"/>
      <c r="B8114" s="57"/>
      <c r="C8114" s="57"/>
      <c r="D8114" s="57"/>
      <c r="E8114" s="56"/>
      <c r="F8114" s="57"/>
      <c r="G8114" s="57"/>
      <c r="H8114" s="56"/>
      <c r="I8114" s="56"/>
      <c r="J8114" s="58"/>
      <c r="K8114" s="58"/>
      <c r="L8114" s="13" t="str">
        <f t="shared" si="1302"/>
        <v/>
      </c>
      <c r="M8114" s="13" t="str">
        <f t="shared" si="1303"/>
        <v/>
      </c>
      <c r="Q8114" t="str">
        <f t="shared" si="1304"/>
        <v/>
      </c>
      <c r="R8114" t="str">
        <f t="shared" si="1305"/>
        <v/>
      </c>
      <c r="S8114" t="str">
        <f t="shared" si="1306"/>
        <v/>
      </c>
      <c r="T8114" t="str">
        <f t="shared" si="1307"/>
        <v/>
      </c>
      <c r="U8114" t="str">
        <f t="shared" si="1308"/>
        <v/>
      </c>
      <c r="V8114" t="str">
        <f t="shared" si="1309"/>
        <v/>
      </c>
      <c r="W8114" t="str">
        <f t="shared" si="1310"/>
        <v/>
      </c>
      <c r="X8114">
        <f t="shared" si="1300"/>
        <v>0</v>
      </c>
      <c r="Z8114" t="str">
        <f t="shared" si="1311"/>
        <v/>
      </c>
      <c r="AA8114">
        <f t="shared" si="1301"/>
        <v>0</v>
      </c>
    </row>
    <row r="8115" spans="1:27" ht="21" customHeight="1" x14ac:dyDescent="0.95">
      <c r="A8115" s="56"/>
      <c r="B8115" s="57"/>
      <c r="C8115" s="57"/>
      <c r="D8115" s="57"/>
      <c r="E8115" s="56"/>
      <c r="F8115" s="57"/>
      <c r="G8115" s="57"/>
      <c r="H8115" s="56"/>
      <c r="I8115" s="56"/>
      <c r="J8115" s="58"/>
      <c r="K8115" s="58"/>
      <c r="L8115" s="13" t="str">
        <f t="shared" si="1302"/>
        <v/>
      </c>
      <c r="M8115" s="13" t="str">
        <f t="shared" si="1303"/>
        <v/>
      </c>
      <c r="Q8115" t="str">
        <f t="shared" si="1304"/>
        <v/>
      </c>
      <c r="R8115" t="str">
        <f t="shared" si="1305"/>
        <v/>
      </c>
      <c r="S8115" t="str">
        <f t="shared" si="1306"/>
        <v/>
      </c>
      <c r="T8115" t="str">
        <f t="shared" si="1307"/>
        <v/>
      </c>
      <c r="U8115" t="str">
        <f t="shared" si="1308"/>
        <v/>
      </c>
      <c r="V8115" t="str">
        <f t="shared" si="1309"/>
        <v/>
      </c>
      <c r="W8115" t="str">
        <f t="shared" si="1310"/>
        <v/>
      </c>
      <c r="X8115">
        <f t="shared" si="1300"/>
        <v>0</v>
      </c>
      <c r="Z8115" t="str">
        <f t="shared" si="1311"/>
        <v/>
      </c>
      <c r="AA8115">
        <f t="shared" si="1301"/>
        <v>0</v>
      </c>
    </row>
    <row r="8116" spans="1:27" ht="21" customHeight="1" x14ac:dyDescent="0.95">
      <c r="A8116" s="56"/>
      <c r="B8116" s="57"/>
      <c r="C8116" s="57"/>
      <c r="D8116" s="57"/>
      <c r="E8116" s="56"/>
      <c r="F8116" s="57"/>
      <c r="G8116" s="57"/>
      <c r="H8116" s="56"/>
      <c r="I8116" s="56"/>
      <c r="J8116" s="58"/>
      <c r="K8116" s="58"/>
      <c r="L8116" s="13" t="str">
        <f t="shared" si="1302"/>
        <v/>
      </c>
      <c r="M8116" s="13" t="str">
        <f t="shared" si="1303"/>
        <v/>
      </c>
      <c r="Q8116" t="str">
        <f t="shared" si="1304"/>
        <v/>
      </c>
      <c r="R8116" t="str">
        <f t="shared" si="1305"/>
        <v/>
      </c>
      <c r="S8116" t="str">
        <f t="shared" si="1306"/>
        <v/>
      </c>
      <c r="T8116" t="str">
        <f t="shared" si="1307"/>
        <v/>
      </c>
      <c r="U8116" t="str">
        <f t="shared" si="1308"/>
        <v/>
      </c>
      <c r="V8116" t="str">
        <f t="shared" si="1309"/>
        <v/>
      </c>
      <c r="W8116" t="str">
        <f t="shared" si="1310"/>
        <v/>
      </c>
      <c r="X8116">
        <f t="shared" si="1300"/>
        <v>0</v>
      </c>
      <c r="Z8116" t="str">
        <f t="shared" si="1311"/>
        <v/>
      </c>
      <c r="AA8116">
        <f t="shared" si="1301"/>
        <v>0</v>
      </c>
    </row>
    <row r="8117" spans="1:27" ht="21" customHeight="1" x14ac:dyDescent="0.95">
      <c r="A8117" s="56"/>
      <c r="B8117" s="57"/>
      <c r="C8117" s="57"/>
      <c r="D8117" s="57"/>
      <c r="E8117" s="56"/>
      <c r="F8117" s="57"/>
      <c r="G8117" s="57"/>
      <c r="H8117" s="56"/>
      <c r="I8117" s="56"/>
      <c r="J8117" s="58"/>
      <c r="K8117" s="58"/>
      <c r="L8117" s="13" t="str">
        <f t="shared" si="1302"/>
        <v/>
      </c>
      <c r="M8117" s="13" t="str">
        <f t="shared" si="1303"/>
        <v/>
      </c>
      <c r="Q8117" t="str">
        <f t="shared" si="1304"/>
        <v/>
      </c>
      <c r="R8117" t="str">
        <f t="shared" si="1305"/>
        <v/>
      </c>
      <c r="S8117" t="str">
        <f t="shared" si="1306"/>
        <v/>
      </c>
      <c r="T8117" t="str">
        <f t="shared" si="1307"/>
        <v/>
      </c>
      <c r="U8117" t="str">
        <f t="shared" si="1308"/>
        <v/>
      </c>
      <c r="V8117" t="str">
        <f t="shared" si="1309"/>
        <v/>
      </c>
      <c r="W8117" t="str">
        <f t="shared" si="1310"/>
        <v/>
      </c>
      <c r="X8117">
        <f t="shared" ref="X8117:X8180" si="1312">IF($T8117="",N($X8116),IF(MATCH($T8117,$T$6:$T$10005,0)=ROW()-5,N($X8116)+1,N($X8116)))</f>
        <v>0</v>
      </c>
      <c r="Z8117" t="str">
        <f t="shared" si="1311"/>
        <v/>
      </c>
      <c r="AA8117">
        <f t="shared" ref="AA8117:AA8180" si="1313">IF($V8117="",N($AA8116),IF(MATCH($V8117,$V$6:$V$10005,0)=ROW()-5,N($AA8116)+1,N($AA8116)))</f>
        <v>0</v>
      </c>
    </row>
    <row r="8118" spans="1:27" ht="21" customHeight="1" x14ac:dyDescent="0.95">
      <c r="A8118" s="56"/>
      <c r="B8118" s="57"/>
      <c r="C8118" s="57"/>
      <c r="D8118" s="57"/>
      <c r="E8118" s="56"/>
      <c r="F8118" s="57"/>
      <c r="G8118" s="57"/>
      <c r="H8118" s="56"/>
      <c r="I8118" s="56"/>
      <c r="J8118" s="58"/>
      <c r="K8118" s="58"/>
      <c r="L8118" s="13" t="str">
        <f t="shared" si="1302"/>
        <v/>
      </c>
      <c r="M8118" s="13" t="str">
        <f t="shared" si="1303"/>
        <v/>
      </c>
      <c r="Q8118" t="str">
        <f t="shared" si="1304"/>
        <v/>
      </c>
      <c r="R8118" t="str">
        <f t="shared" si="1305"/>
        <v/>
      </c>
      <c r="S8118" t="str">
        <f t="shared" si="1306"/>
        <v/>
      </c>
      <c r="T8118" t="str">
        <f t="shared" si="1307"/>
        <v/>
      </c>
      <c r="U8118" t="str">
        <f t="shared" si="1308"/>
        <v/>
      </c>
      <c r="V8118" t="str">
        <f t="shared" si="1309"/>
        <v/>
      </c>
      <c r="W8118" t="str">
        <f t="shared" si="1310"/>
        <v/>
      </c>
      <c r="X8118">
        <f t="shared" si="1312"/>
        <v>0</v>
      </c>
      <c r="Z8118" t="str">
        <f t="shared" si="1311"/>
        <v/>
      </c>
      <c r="AA8118">
        <f t="shared" si="1313"/>
        <v>0</v>
      </c>
    </row>
    <row r="8119" spans="1:27" ht="21" customHeight="1" x14ac:dyDescent="0.95">
      <c r="A8119" s="56"/>
      <c r="B8119" s="57"/>
      <c r="C8119" s="57"/>
      <c r="D8119" s="57"/>
      <c r="E8119" s="56"/>
      <c r="F8119" s="57"/>
      <c r="G8119" s="57"/>
      <c r="H8119" s="56"/>
      <c r="I8119" s="56"/>
      <c r="J8119" s="58"/>
      <c r="K8119" s="58"/>
      <c r="L8119" s="13" t="str">
        <f t="shared" si="1302"/>
        <v/>
      </c>
      <c r="M8119" s="13" t="str">
        <f t="shared" si="1303"/>
        <v/>
      </c>
      <c r="Q8119" t="str">
        <f t="shared" si="1304"/>
        <v/>
      </c>
      <c r="R8119" t="str">
        <f t="shared" si="1305"/>
        <v/>
      </c>
      <c r="S8119" t="str">
        <f t="shared" si="1306"/>
        <v/>
      </c>
      <c r="T8119" t="str">
        <f t="shared" si="1307"/>
        <v/>
      </c>
      <c r="U8119" t="str">
        <f t="shared" si="1308"/>
        <v/>
      </c>
      <c r="V8119" t="str">
        <f t="shared" si="1309"/>
        <v/>
      </c>
      <c r="W8119" t="str">
        <f t="shared" si="1310"/>
        <v/>
      </c>
      <c r="X8119">
        <f t="shared" si="1312"/>
        <v>0</v>
      </c>
      <c r="Z8119" t="str">
        <f t="shared" si="1311"/>
        <v/>
      </c>
      <c r="AA8119">
        <f t="shared" si="1313"/>
        <v>0</v>
      </c>
    </row>
    <row r="8120" spans="1:27" ht="21" customHeight="1" x14ac:dyDescent="0.95">
      <c r="A8120" s="56"/>
      <c r="B8120" s="57"/>
      <c r="C8120" s="57"/>
      <c r="D8120" s="57"/>
      <c r="E8120" s="56"/>
      <c r="F8120" s="57"/>
      <c r="G8120" s="57"/>
      <c r="H8120" s="56"/>
      <c r="I8120" s="56"/>
      <c r="J8120" s="58"/>
      <c r="K8120" s="58"/>
      <c r="L8120" s="13" t="str">
        <f t="shared" si="1302"/>
        <v/>
      </c>
      <c r="M8120" s="13" t="str">
        <f t="shared" si="1303"/>
        <v/>
      </c>
      <c r="Q8120" t="str">
        <f t="shared" si="1304"/>
        <v/>
      </c>
      <c r="R8120" t="str">
        <f t="shared" si="1305"/>
        <v/>
      </c>
      <c r="S8120" t="str">
        <f t="shared" si="1306"/>
        <v/>
      </c>
      <c r="T8120" t="str">
        <f t="shared" si="1307"/>
        <v/>
      </c>
      <c r="U8120" t="str">
        <f t="shared" si="1308"/>
        <v/>
      </c>
      <c r="V8120" t="str">
        <f t="shared" si="1309"/>
        <v/>
      </c>
      <c r="W8120" t="str">
        <f t="shared" si="1310"/>
        <v/>
      </c>
      <c r="X8120">
        <f t="shared" si="1312"/>
        <v>0</v>
      </c>
      <c r="Z8120" t="str">
        <f t="shared" si="1311"/>
        <v/>
      </c>
      <c r="AA8120">
        <f t="shared" si="1313"/>
        <v>0</v>
      </c>
    </row>
    <row r="8121" spans="1:27" ht="21" customHeight="1" x14ac:dyDescent="0.95">
      <c r="A8121" s="56"/>
      <c r="B8121" s="57"/>
      <c r="C8121" s="57"/>
      <c r="D8121" s="57"/>
      <c r="E8121" s="56"/>
      <c r="F8121" s="57"/>
      <c r="G8121" s="57"/>
      <c r="H8121" s="56"/>
      <c r="I8121" s="56"/>
      <c r="J8121" s="58"/>
      <c r="K8121" s="58"/>
      <c r="L8121" s="13" t="str">
        <f t="shared" si="1302"/>
        <v/>
      </c>
      <c r="M8121" s="13" t="str">
        <f t="shared" si="1303"/>
        <v/>
      </c>
      <c r="Q8121" t="str">
        <f t="shared" si="1304"/>
        <v/>
      </c>
      <c r="R8121" t="str">
        <f t="shared" si="1305"/>
        <v/>
      </c>
      <c r="S8121" t="str">
        <f t="shared" si="1306"/>
        <v/>
      </c>
      <c r="T8121" t="str">
        <f t="shared" si="1307"/>
        <v/>
      </c>
      <c r="U8121" t="str">
        <f t="shared" si="1308"/>
        <v/>
      </c>
      <c r="V8121" t="str">
        <f t="shared" si="1309"/>
        <v/>
      </c>
      <c r="W8121" t="str">
        <f t="shared" si="1310"/>
        <v/>
      </c>
      <c r="X8121">
        <f t="shared" si="1312"/>
        <v>0</v>
      </c>
      <c r="Z8121" t="str">
        <f t="shared" si="1311"/>
        <v/>
      </c>
      <c r="AA8121">
        <f t="shared" si="1313"/>
        <v>0</v>
      </c>
    </row>
    <row r="8122" spans="1:27" ht="21" customHeight="1" x14ac:dyDescent="0.95">
      <c r="A8122" s="56"/>
      <c r="B8122" s="57"/>
      <c r="C8122" s="57"/>
      <c r="D8122" s="57"/>
      <c r="E8122" s="56"/>
      <c r="F8122" s="57"/>
      <c r="G8122" s="57"/>
      <c r="H8122" s="56"/>
      <c r="I8122" s="56"/>
      <c r="J8122" s="58"/>
      <c r="K8122" s="58"/>
      <c r="L8122" s="13" t="str">
        <f t="shared" si="1302"/>
        <v/>
      </c>
      <c r="M8122" s="13" t="str">
        <f t="shared" si="1303"/>
        <v/>
      </c>
      <c r="Q8122" t="str">
        <f t="shared" si="1304"/>
        <v/>
      </c>
      <c r="R8122" t="str">
        <f t="shared" si="1305"/>
        <v/>
      </c>
      <c r="S8122" t="str">
        <f t="shared" si="1306"/>
        <v/>
      </c>
      <c r="T8122" t="str">
        <f t="shared" si="1307"/>
        <v/>
      </c>
      <c r="U8122" t="str">
        <f t="shared" si="1308"/>
        <v/>
      </c>
      <c r="V8122" t="str">
        <f t="shared" si="1309"/>
        <v/>
      </c>
      <c r="W8122" t="str">
        <f t="shared" si="1310"/>
        <v/>
      </c>
      <c r="X8122">
        <f t="shared" si="1312"/>
        <v>0</v>
      </c>
      <c r="Z8122" t="str">
        <f t="shared" si="1311"/>
        <v/>
      </c>
      <c r="AA8122">
        <f t="shared" si="1313"/>
        <v>0</v>
      </c>
    </row>
    <row r="8123" spans="1:27" ht="21" customHeight="1" x14ac:dyDescent="0.95">
      <c r="A8123" s="56"/>
      <c r="B8123" s="57"/>
      <c r="C8123" s="57"/>
      <c r="D8123" s="57"/>
      <c r="E8123" s="56"/>
      <c r="F8123" s="57"/>
      <c r="G8123" s="57"/>
      <c r="H8123" s="56"/>
      <c r="I8123" s="56"/>
      <c r="J8123" s="58"/>
      <c r="K8123" s="58"/>
      <c r="L8123" s="13" t="str">
        <f t="shared" si="1302"/>
        <v/>
      </c>
      <c r="M8123" s="13" t="str">
        <f t="shared" si="1303"/>
        <v/>
      </c>
      <c r="Q8123" t="str">
        <f t="shared" si="1304"/>
        <v/>
      </c>
      <c r="R8123" t="str">
        <f t="shared" si="1305"/>
        <v/>
      </c>
      <c r="S8123" t="str">
        <f t="shared" si="1306"/>
        <v/>
      </c>
      <c r="T8123" t="str">
        <f t="shared" si="1307"/>
        <v/>
      </c>
      <c r="U8123" t="str">
        <f t="shared" si="1308"/>
        <v/>
      </c>
      <c r="V8123" t="str">
        <f t="shared" si="1309"/>
        <v/>
      </c>
      <c r="W8123" t="str">
        <f t="shared" si="1310"/>
        <v/>
      </c>
      <c r="X8123">
        <f t="shared" si="1312"/>
        <v>0</v>
      </c>
      <c r="Z8123" t="str">
        <f t="shared" si="1311"/>
        <v/>
      </c>
      <c r="AA8123">
        <f t="shared" si="1313"/>
        <v>0</v>
      </c>
    </row>
    <row r="8124" spans="1:27" ht="21" customHeight="1" x14ac:dyDescent="0.95">
      <c r="A8124" s="56"/>
      <c r="B8124" s="57"/>
      <c r="C8124" s="57"/>
      <c r="D8124" s="57"/>
      <c r="E8124" s="56"/>
      <c r="F8124" s="57"/>
      <c r="G8124" s="57"/>
      <c r="H8124" s="56"/>
      <c r="I8124" s="56"/>
      <c r="J8124" s="58"/>
      <c r="K8124" s="58"/>
      <c r="L8124" s="13" t="str">
        <f t="shared" si="1302"/>
        <v/>
      </c>
      <c r="M8124" s="13" t="str">
        <f t="shared" si="1303"/>
        <v/>
      </c>
      <c r="Q8124" t="str">
        <f t="shared" si="1304"/>
        <v/>
      </c>
      <c r="R8124" t="str">
        <f t="shared" si="1305"/>
        <v/>
      </c>
      <c r="S8124" t="str">
        <f t="shared" si="1306"/>
        <v/>
      </c>
      <c r="T8124" t="str">
        <f t="shared" si="1307"/>
        <v/>
      </c>
      <c r="U8124" t="str">
        <f t="shared" si="1308"/>
        <v/>
      </c>
      <c r="V8124" t="str">
        <f t="shared" si="1309"/>
        <v/>
      </c>
      <c r="W8124" t="str">
        <f t="shared" si="1310"/>
        <v/>
      </c>
      <c r="X8124">
        <f t="shared" si="1312"/>
        <v>0</v>
      </c>
      <c r="Z8124" t="str">
        <f t="shared" si="1311"/>
        <v/>
      </c>
      <c r="AA8124">
        <f t="shared" si="1313"/>
        <v>0</v>
      </c>
    </row>
    <row r="8125" spans="1:27" ht="21" customHeight="1" x14ac:dyDescent="0.95">
      <c r="A8125" s="56"/>
      <c r="B8125" s="57"/>
      <c r="C8125" s="57"/>
      <c r="D8125" s="57"/>
      <c r="E8125" s="56"/>
      <c r="F8125" s="57"/>
      <c r="G8125" s="57"/>
      <c r="H8125" s="56"/>
      <c r="I8125" s="56"/>
      <c r="J8125" s="58"/>
      <c r="K8125" s="58"/>
      <c r="L8125" s="13" t="str">
        <f t="shared" si="1302"/>
        <v/>
      </c>
      <c r="M8125" s="13" t="str">
        <f t="shared" si="1303"/>
        <v/>
      </c>
      <c r="Q8125" t="str">
        <f t="shared" si="1304"/>
        <v/>
      </c>
      <c r="R8125" t="str">
        <f t="shared" si="1305"/>
        <v/>
      </c>
      <c r="S8125" t="str">
        <f t="shared" si="1306"/>
        <v/>
      </c>
      <c r="T8125" t="str">
        <f t="shared" si="1307"/>
        <v/>
      </c>
      <c r="U8125" t="str">
        <f t="shared" si="1308"/>
        <v/>
      </c>
      <c r="V8125" t="str">
        <f t="shared" si="1309"/>
        <v/>
      </c>
      <c r="W8125" t="str">
        <f t="shared" si="1310"/>
        <v/>
      </c>
      <c r="X8125">
        <f t="shared" si="1312"/>
        <v>0</v>
      </c>
      <c r="Z8125" t="str">
        <f t="shared" si="1311"/>
        <v/>
      </c>
      <c r="AA8125">
        <f t="shared" si="1313"/>
        <v>0</v>
      </c>
    </row>
    <row r="8126" spans="1:27" ht="21" customHeight="1" x14ac:dyDescent="0.95">
      <c r="A8126" s="56"/>
      <c r="B8126" s="57"/>
      <c r="C8126" s="57"/>
      <c r="D8126" s="57"/>
      <c r="E8126" s="56"/>
      <c r="F8126" s="57"/>
      <c r="G8126" s="57"/>
      <c r="H8126" s="56"/>
      <c r="I8126" s="56"/>
      <c r="J8126" s="58"/>
      <c r="K8126" s="58"/>
      <c r="L8126" s="13" t="str">
        <f t="shared" si="1302"/>
        <v/>
      </c>
      <c r="M8126" s="13" t="str">
        <f t="shared" si="1303"/>
        <v/>
      </c>
      <c r="Q8126" t="str">
        <f t="shared" si="1304"/>
        <v/>
      </c>
      <c r="R8126" t="str">
        <f t="shared" si="1305"/>
        <v/>
      </c>
      <c r="S8126" t="str">
        <f t="shared" si="1306"/>
        <v/>
      </c>
      <c r="T8126" t="str">
        <f t="shared" si="1307"/>
        <v/>
      </c>
      <c r="U8126" t="str">
        <f t="shared" si="1308"/>
        <v/>
      </c>
      <c r="V8126" t="str">
        <f t="shared" si="1309"/>
        <v/>
      </c>
      <c r="W8126" t="str">
        <f t="shared" si="1310"/>
        <v/>
      </c>
      <c r="X8126">
        <f t="shared" si="1312"/>
        <v>0</v>
      </c>
      <c r="Z8126" t="str">
        <f t="shared" si="1311"/>
        <v/>
      </c>
      <c r="AA8126">
        <f t="shared" si="1313"/>
        <v>0</v>
      </c>
    </row>
    <row r="8127" spans="1:27" ht="21" customHeight="1" x14ac:dyDescent="0.95">
      <c r="A8127" s="56"/>
      <c r="B8127" s="57"/>
      <c r="C8127" s="57"/>
      <c r="D8127" s="57"/>
      <c r="E8127" s="56"/>
      <c r="F8127" s="57"/>
      <c r="G8127" s="57"/>
      <c r="H8127" s="56"/>
      <c r="I8127" s="56"/>
      <c r="J8127" s="58"/>
      <c r="K8127" s="58"/>
      <c r="L8127" s="13" t="str">
        <f t="shared" si="1302"/>
        <v/>
      </c>
      <c r="M8127" s="13" t="str">
        <f t="shared" si="1303"/>
        <v/>
      </c>
      <c r="Q8127" t="str">
        <f t="shared" si="1304"/>
        <v/>
      </c>
      <c r="R8127" t="str">
        <f t="shared" si="1305"/>
        <v/>
      </c>
      <c r="S8127" t="str">
        <f t="shared" si="1306"/>
        <v/>
      </c>
      <c r="T8127" t="str">
        <f t="shared" si="1307"/>
        <v/>
      </c>
      <c r="U8127" t="str">
        <f t="shared" si="1308"/>
        <v/>
      </c>
      <c r="V8127" t="str">
        <f t="shared" si="1309"/>
        <v/>
      </c>
      <c r="W8127" t="str">
        <f t="shared" si="1310"/>
        <v/>
      </c>
      <c r="X8127">
        <f t="shared" si="1312"/>
        <v>0</v>
      </c>
      <c r="Z8127" t="str">
        <f t="shared" si="1311"/>
        <v/>
      </c>
      <c r="AA8127">
        <f t="shared" si="1313"/>
        <v>0</v>
      </c>
    </row>
    <row r="8128" spans="1:27" ht="21" customHeight="1" x14ac:dyDescent="0.95">
      <c r="A8128" s="56"/>
      <c r="B8128" s="57"/>
      <c r="C8128" s="57"/>
      <c r="D8128" s="57"/>
      <c r="E8128" s="56"/>
      <c r="F8128" s="57"/>
      <c r="G8128" s="57"/>
      <c r="H8128" s="56"/>
      <c r="I8128" s="56"/>
      <c r="J8128" s="58"/>
      <c r="K8128" s="58"/>
      <c r="L8128" s="13" t="str">
        <f t="shared" si="1302"/>
        <v/>
      </c>
      <c r="M8128" s="13" t="str">
        <f t="shared" si="1303"/>
        <v/>
      </c>
      <c r="Q8128" t="str">
        <f t="shared" si="1304"/>
        <v/>
      </c>
      <c r="R8128" t="str">
        <f t="shared" si="1305"/>
        <v/>
      </c>
      <c r="S8128" t="str">
        <f t="shared" si="1306"/>
        <v/>
      </c>
      <c r="T8128" t="str">
        <f t="shared" si="1307"/>
        <v/>
      </c>
      <c r="U8128" t="str">
        <f t="shared" si="1308"/>
        <v/>
      </c>
      <c r="V8128" t="str">
        <f t="shared" si="1309"/>
        <v/>
      </c>
      <c r="W8128" t="str">
        <f t="shared" si="1310"/>
        <v/>
      </c>
      <c r="X8128">
        <f t="shared" si="1312"/>
        <v>0</v>
      </c>
      <c r="Z8128" t="str">
        <f t="shared" si="1311"/>
        <v/>
      </c>
      <c r="AA8128">
        <f t="shared" si="1313"/>
        <v>0</v>
      </c>
    </row>
    <row r="8129" spans="1:27" ht="21" customHeight="1" x14ac:dyDescent="0.95">
      <c r="A8129" s="56"/>
      <c r="B8129" s="57"/>
      <c r="C8129" s="57"/>
      <c r="D8129" s="57"/>
      <c r="E8129" s="56"/>
      <c r="F8129" s="57"/>
      <c r="G8129" s="57"/>
      <c r="H8129" s="56"/>
      <c r="I8129" s="56"/>
      <c r="J8129" s="58"/>
      <c r="K8129" s="58"/>
      <c r="L8129" s="13" t="str">
        <f t="shared" si="1302"/>
        <v/>
      </c>
      <c r="M8129" s="13" t="str">
        <f t="shared" si="1303"/>
        <v/>
      </c>
      <c r="Q8129" t="str">
        <f t="shared" si="1304"/>
        <v/>
      </c>
      <c r="R8129" t="str">
        <f t="shared" si="1305"/>
        <v/>
      </c>
      <c r="S8129" t="str">
        <f t="shared" si="1306"/>
        <v/>
      </c>
      <c r="T8129" t="str">
        <f t="shared" si="1307"/>
        <v/>
      </c>
      <c r="U8129" t="str">
        <f t="shared" si="1308"/>
        <v/>
      </c>
      <c r="V8129" t="str">
        <f t="shared" si="1309"/>
        <v/>
      </c>
      <c r="W8129" t="str">
        <f t="shared" si="1310"/>
        <v/>
      </c>
      <c r="X8129">
        <f t="shared" si="1312"/>
        <v>0</v>
      </c>
      <c r="Z8129" t="str">
        <f t="shared" si="1311"/>
        <v/>
      </c>
      <c r="AA8129">
        <f t="shared" si="1313"/>
        <v>0</v>
      </c>
    </row>
    <row r="8130" spans="1:27" ht="21" customHeight="1" x14ac:dyDescent="0.95">
      <c r="A8130" s="56"/>
      <c r="B8130" s="57"/>
      <c r="C8130" s="57"/>
      <c r="D8130" s="57"/>
      <c r="E8130" s="56"/>
      <c r="F8130" s="57"/>
      <c r="G8130" s="57"/>
      <c r="H8130" s="56"/>
      <c r="I8130" s="56"/>
      <c r="J8130" s="58"/>
      <c r="K8130" s="58"/>
      <c r="L8130" s="13" t="str">
        <f t="shared" si="1302"/>
        <v/>
      </c>
      <c r="M8130" s="13" t="str">
        <f t="shared" si="1303"/>
        <v/>
      </c>
      <c r="Q8130" t="str">
        <f t="shared" si="1304"/>
        <v/>
      </c>
      <c r="R8130" t="str">
        <f t="shared" si="1305"/>
        <v/>
      </c>
      <c r="S8130" t="str">
        <f t="shared" si="1306"/>
        <v/>
      </c>
      <c r="T8130" t="str">
        <f t="shared" si="1307"/>
        <v/>
      </c>
      <c r="U8130" t="str">
        <f t="shared" si="1308"/>
        <v/>
      </c>
      <c r="V8130" t="str">
        <f t="shared" si="1309"/>
        <v/>
      </c>
      <c r="W8130" t="str">
        <f t="shared" si="1310"/>
        <v/>
      </c>
      <c r="X8130">
        <f t="shared" si="1312"/>
        <v>0</v>
      </c>
      <c r="Z8130" t="str">
        <f t="shared" si="1311"/>
        <v/>
      </c>
      <c r="AA8130">
        <f t="shared" si="1313"/>
        <v>0</v>
      </c>
    </row>
    <row r="8131" spans="1:27" ht="21" customHeight="1" x14ac:dyDescent="0.95">
      <c r="A8131" s="56"/>
      <c r="B8131" s="57"/>
      <c r="C8131" s="57"/>
      <c r="D8131" s="57"/>
      <c r="E8131" s="56"/>
      <c r="F8131" s="57"/>
      <c r="G8131" s="57"/>
      <c r="H8131" s="56"/>
      <c r="I8131" s="56"/>
      <c r="J8131" s="58"/>
      <c r="K8131" s="58"/>
      <c r="L8131" s="13" t="str">
        <f t="shared" si="1302"/>
        <v/>
      </c>
      <c r="M8131" s="13" t="str">
        <f t="shared" si="1303"/>
        <v/>
      </c>
      <c r="Q8131" t="str">
        <f t="shared" si="1304"/>
        <v/>
      </c>
      <c r="R8131" t="str">
        <f t="shared" si="1305"/>
        <v/>
      </c>
      <c r="S8131" t="str">
        <f t="shared" si="1306"/>
        <v/>
      </c>
      <c r="T8131" t="str">
        <f t="shared" si="1307"/>
        <v/>
      </c>
      <c r="U8131" t="str">
        <f t="shared" si="1308"/>
        <v/>
      </c>
      <c r="V8131" t="str">
        <f t="shared" si="1309"/>
        <v/>
      </c>
      <c r="W8131" t="str">
        <f t="shared" si="1310"/>
        <v/>
      </c>
      <c r="X8131">
        <f t="shared" si="1312"/>
        <v>0</v>
      </c>
      <c r="Z8131" t="str">
        <f t="shared" si="1311"/>
        <v/>
      </c>
      <c r="AA8131">
        <f t="shared" si="1313"/>
        <v>0</v>
      </c>
    </row>
    <row r="8132" spans="1:27" ht="21" customHeight="1" x14ac:dyDescent="0.95">
      <c r="A8132" s="56"/>
      <c r="B8132" s="57"/>
      <c r="C8132" s="57"/>
      <c r="D8132" s="57"/>
      <c r="E8132" s="56"/>
      <c r="F8132" s="57"/>
      <c r="G8132" s="57"/>
      <c r="H8132" s="56"/>
      <c r="I8132" s="56"/>
      <c r="J8132" s="58"/>
      <c r="K8132" s="58"/>
      <c r="L8132" s="13" t="str">
        <f t="shared" ref="L8132:L8195" si="1314">IF(OR($A8132="",AND($J8132="",$K8132="")),"",ROUND(N($J8132)-N($K8132),2))</f>
        <v/>
      </c>
      <c r="M8132" s="13" t="str">
        <f t="shared" ref="M8132:M8195" si="1315">IF(OR($A8132="",AND($J8132="",$K8132="")),"",MIN($J8132,$K8132))</f>
        <v/>
      </c>
      <c r="Q8132" t="str">
        <f t="shared" ref="Q8132:Q8195" si="1316">IF($A8132="","",$D8132&amp;"("&amp;SUBSTITUTE($E8132," ","")&amp;")")</f>
        <v/>
      </c>
      <c r="R8132" t="str">
        <f t="shared" ref="R8132:R8195" si="1317">IF($A8132="","",$B8132&amp;" - "&amp;$C8132)</f>
        <v/>
      </c>
      <c r="S8132" t="str">
        <f t="shared" ref="S8132:S8195" si="1318">IF($A8132="","",$R8132&amp;"|"&amp;$Q8132)</f>
        <v/>
      </c>
      <c r="T8132" t="str">
        <f t="shared" ref="T8132:T8195" si="1319">IF($A8132="","",$S8132&amp;"|"&amp;$F8132)</f>
        <v/>
      </c>
      <c r="U8132" t="str">
        <f t="shared" ref="U8132:U8195" si="1320">IF($A8132="","",$R8132&amp;"("&amp;$E8132&amp;")")</f>
        <v/>
      </c>
      <c r="V8132" t="str">
        <f t="shared" ref="V8132:V8195" si="1321">IF($A8132="","",$F8132&amp;"|"&amp;$U8132&amp;"|"&amp;$D8132)</f>
        <v/>
      </c>
      <c r="W8132" t="str">
        <f t="shared" si="1310"/>
        <v/>
      </c>
      <c r="X8132">
        <f t="shared" si="1312"/>
        <v>0</v>
      </c>
      <c r="Z8132" t="str">
        <f t="shared" si="1311"/>
        <v/>
      </c>
      <c r="AA8132">
        <f t="shared" si="1313"/>
        <v>0</v>
      </c>
    </row>
    <row r="8133" spans="1:27" ht="21" customHeight="1" x14ac:dyDescent="0.95">
      <c r="A8133" s="56"/>
      <c r="B8133" s="57"/>
      <c r="C8133" s="57"/>
      <c r="D8133" s="57"/>
      <c r="E8133" s="56"/>
      <c r="F8133" s="57"/>
      <c r="G8133" s="57"/>
      <c r="H8133" s="56"/>
      <c r="I8133" s="56"/>
      <c r="J8133" s="58"/>
      <c r="K8133" s="58"/>
      <c r="L8133" s="13" t="str">
        <f t="shared" si="1314"/>
        <v/>
      </c>
      <c r="M8133" s="13" t="str">
        <f t="shared" si="1315"/>
        <v/>
      </c>
      <c r="Q8133" t="str">
        <f t="shared" si="1316"/>
        <v/>
      </c>
      <c r="R8133" t="str">
        <f t="shared" si="1317"/>
        <v/>
      </c>
      <c r="S8133" t="str">
        <f t="shared" si="1318"/>
        <v/>
      </c>
      <c r="T8133" t="str">
        <f t="shared" si="1319"/>
        <v/>
      </c>
      <c r="U8133" t="str">
        <f t="shared" si="1320"/>
        <v/>
      </c>
      <c r="V8133" t="str">
        <f t="shared" si="1321"/>
        <v/>
      </c>
      <c r="W8133" t="str">
        <f t="shared" si="1310"/>
        <v/>
      </c>
      <c r="X8133">
        <f t="shared" si="1312"/>
        <v>0</v>
      </c>
      <c r="Z8133" t="str">
        <f t="shared" si="1311"/>
        <v/>
      </c>
      <c r="AA8133">
        <f t="shared" si="1313"/>
        <v>0</v>
      </c>
    </row>
    <row r="8134" spans="1:27" ht="21" customHeight="1" x14ac:dyDescent="0.95">
      <c r="A8134" s="56"/>
      <c r="B8134" s="57"/>
      <c r="C8134" s="57"/>
      <c r="D8134" s="57"/>
      <c r="E8134" s="56"/>
      <c r="F8134" s="57"/>
      <c r="G8134" s="57"/>
      <c r="H8134" s="56"/>
      <c r="I8134" s="56"/>
      <c r="J8134" s="58"/>
      <c r="K8134" s="58"/>
      <c r="L8134" s="13" t="str">
        <f t="shared" si="1314"/>
        <v/>
      </c>
      <c r="M8134" s="13" t="str">
        <f t="shared" si="1315"/>
        <v/>
      </c>
      <c r="Q8134" t="str">
        <f t="shared" si="1316"/>
        <v/>
      </c>
      <c r="R8134" t="str">
        <f t="shared" si="1317"/>
        <v/>
      </c>
      <c r="S8134" t="str">
        <f t="shared" si="1318"/>
        <v/>
      </c>
      <c r="T8134" t="str">
        <f t="shared" si="1319"/>
        <v/>
      </c>
      <c r="U8134" t="str">
        <f t="shared" si="1320"/>
        <v/>
      </c>
      <c r="V8134" t="str">
        <f t="shared" si="1321"/>
        <v/>
      </c>
      <c r="W8134" t="str">
        <f t="shared" ref="W8134:W8197" si="1322">IF($T8134="","",IF($X8134&gt;N($X8133),$X8134,""))</f>
        <v/>
      </c>
      <c r="X8134">
        <f t="shared" si="1312"/>
        <v>0</v>
      </c>
      <c r="Z8134" t="str">
        <f t="shared" ref="Z8134:Z8197" si="1323">IF($V8134="","",IF($AA8134&gt;N($AA8133),$AA8134,""))</f>
        <v/>
      </c>
      <c r="AA8134">
        <f t="shared" si="1313"/>
        <v>0</v>
      </c>
    </row>
    <row r="8135" spans="1:27" ht="21" customHeight="1" x14ac:dyDescent="0.95">
      <c r="A8135" s="56"/>
      <c r="B8135" s="57"/>
      <c r="C8135" s="57"/>
      <c r="D8135" s="57"/>
      <c r="E8135" s="56"/>
      <c r="F8135" s="57"/>
      <c r="G8135" s="57"/>
      <c r="H8135" s="56"/>
      <c r="I8135" s="56"/>
      <c r="J8135" s="58"/>
      <c r="K8135" s="58"/>
      <c r="L8135" s="13" t="str">
        <f t="shared" si="1314"/>
        <v/>
      </c>
      <c r="M8135" s="13" t="str">
        <f t="shared" si="1315"/>
        <v/>
      </c>
      <c r="Q8135" t="str">
        <f t="shared" si="1316"/>
        <v/>
      </c>
      <c r="R8135" t="str">
        <f t="shared" si="1317"/>
        <v/>
      </c>
      <c r="S8135" t="str">
        <f t="shared" si="1318"/>
        <v/>
      </c>
      <c r="T8135" t="str">
        <f t="shared" si="1319"/>
        <v/>
      </c>
      <c r="U8135" t="str">
        <f t="shared" si="1320"/>
        <v/>
      </c>
      <c r="V8135" t="str">
        <f t="shared" si="1321"/>
        <v/>
      </c>
      <c r="W8135" t="str">
        <f t="shared" si="1322"/>
        <v/>
      </c>
      <c r="X8135">
        <f t="shared" si="1312"/>
        <v>0</v>
      </c>
      <c r="Z8135" t="str">
        <f t="shared" si="1323"/>
        <v/>
      </c>
      <c r="AA8135">
        <f t="shared" si="1313"/>
        <v>0</v>
      </c>
    </row>
    <row r="8136" spans="1:27" ht="21" customHeight="1" x14ac:dyDescent="0.95">
      <c r="A8136" s="56"/>
      <c r="B8136" s="57"/>
      <c r="C8136" s="57"/>
      <c r="D8136" s="57"/>
      <c r="E8136" s="56"/>
      <c r="F8136" s="57"/>
      <c r="G8136" s="57"/>
      <c r="H8136" s="56"/>
      <c r="I8136" s="56"/>
      <c r="J8136" s="58"/>
      <c r="K8136" s="58"/>
      <c r="L8136" s="13" t="str">
        <f t="shared" si="1314"/>
        <v/>
      </c>
      <c r="M8136" s="13" t="str">
        <f t="shared" si="1315"/>
        <v/>
      </c>
      <c r="Q8136" t="str">
        <f t="shared" si="1316"/>
        <v/>
      </c>
      <c r="R8136" t="str">
        <f t="shared" si="1317"/>
        <v/>
      </c>
      <c r="S8136" t="str">
        <f t="shared" si="1318"/>
        <v/>
      </c>
      <c r="T8136" t="str">
        <f t="shared" si="1319"/>
        <v/>
      </c>
      <c r="U8136" t="str">
        <f t="shared" si="1320"/>
        <v/>
      </c>
      <c r="V8136" t="str">
        <f t="shared" si="1321"/>
        <v/>
      </c>
      <c r="W8136" t="str">
        <f t="shared" si="1322"/>
        <v/>
      </c>
      <c r="X8136">
        <f t="shared" si="1312"/>
        <v>0</v>
      </c>
      <c r="Z8136" t="str">
        <f t="shared" si="1323"/>
        <v/>
      </c>
      <c r="AA8136">
        <f t="shared" si="1313"/>
        <v>0</v>
      </c>
    </row>
    <row r="8137" spans="1:27" ht="21" customHeight="1" x14ac:dyDescent="0.95">
      <c r="A8137" s="56"/>
      <c r="B8137" s="57"/>
      <c r="C8137" s="57"/>
      <c r="D8137" s="57"/>
      <c r="E8137" s="56"/>
      <c r="F8137" s="57"/>
      <c r="G8137" s="57"/>
      <c r="H8137" s="56"/>
      <c r="I8137" s="56"/>
      <c r="J8137" s="58"/>
      <c r="K8137" s="58"/>
      <c r="L8137" s="13" t="str">
        <f t="shared" si="1314"/>
        <v/>
      </c>
      <c r="M8137" s="13" t="str">
        <f t="shared" si="1315"/>
        <v/>
      </c>
      <c r="Q8137" t="str">
        <f t="shared" si="1316"/>
        <v/>
      </c>
      <c r="R8137" t="str">
        <f t="shared" si="1317"/>
        <v/>
      </c>
      <c r="S8137" t="str">
        <f t="shared" si="1318"/>
        <v/>
      </c>
      <c r="T8137" t="str">
        <f t="shared" si="1319"/>
        <v/>
      </c>
      <c r="U8137" t="str">
        <f t="shared" si="1320"/>
        <v/>
      </c>
      <c r="V8137" t="str">
        <f t="shared" si="1321"/>
        <v/>
      </c>
      <c r="W8137" t="str">
        <f t="shared" si="1322"/>
        <v/>
      </c>
      <c r="X8137">
        <f t="shared" si="1312"/>
        <v>0</v>
      </c>
      <c r="Z8137" t="str">
        <f t="shared" si="1323"/>
        <v/>
      </c>
      <c r="AA8137">
        <f t="shared" si="1313"/>
        <v>0</v>
      </c>
    </row>
    <row r="8138" spans="1:27" ht="21" customHeight="1" x14ac:dyDescent="0.95">
      <c r="A8138" s="56"/>
      <c r="B8138" s="57"/>
      <c r="C8138" s="57"/>
      <c r="D8138" s="57"/>
      <c r="E8138" s="56"/>
      <c r="F8138" s="57"/>
      <c r="G8138" s="57"/>
      <c r="H8138" s="56"/>
      <c r="I8138" s="56"/>
      <c r="J8138" s="58"/>
      <c r="K8138" s="58"/>
      <c r="L8138" s="13" t="str">
        <f t="shared" si="1314"/>
        <v/>
      </c>
      <c r="M8138" s="13" t="str">
        <f t="shared" si="1315"/>
        <v/>
      </c>
      <c r="Q8138" t="str">
        <f t="shared" si="1316"/>
        <v/>
      </c>
      <c r="R8138" t="str">
        <f t="shared" si="1317"/>
        <v/>
      </c>
      <c r="S8138" t="str">
        <f t="shared" si="1318"/>
        <v/>
      </c>
      <c r="T8138" t="str">
        <f t="shared" si="1319"/>
        <v/>
      </c>
      <c r="U8138" t="str">
        <f t="shared" si="1320"/>
        <v/>
      </c>
      <c r="V8138" t="str">
        <f t="shared" si="1321"/>
        <v/>
      </c>
      <c r="W8138" t="str">
        <f t="shared" si="1322"/>
        <v/>
      </c>
      <c r="X8138">
        <f t="shared" si="1312"/>
        <v>0</v>
      </c>
      <c r="Z8138" t="str">
        <f t="shared" si="1323"/>
        <v/>
      </c>
      <c r="AA8138">
        <f t="shared" si="1313"/>
        <v>0</v>
      </c>
    </row>
    <row r="8139" spans="1:27" ht="21" customHeight="1" x14ac:dyDescent="0.95">
      <c r="A8139" s="56"/>
      <c r="B8139" s="57"/>
      <c r="C8139" s="57"/>
      <c r="D8139" s="57"/>
      <c r="E8139" s="56"/>
      <c r="F8139" s="57"/>
      <c r="G8139" s="57"/>
      <c r="H8139" s="56"/>
      <c r="I8139" s="56"/>
      <c r="J8139" s="58"/>
      <c r="K8139" s="58"/>
      <c r="L8139" s="13" t="str">
        <f t="shared" si="1314"/>
        <v/>
      </c>
      <c r="M8139" s="13" t="str">
        <f t="shared" si="1315"/>
        <v/>
      </c>
      <c r="Q8139" t="str">
        <f t="shared" si="1316"/>
        <v/>
      </c>
      <c r="R8139" t="str">
        <f t="shared" si="1317"/>
        <v/>
      </c>
      <c r="S8139" t="str">
        <f t="shared" si="1318"/>
        <v/>
      </c>
      <c r="T8139" t="str">
        <f t="shared" si="1319"/>
        <v/>
      </c>
      <c r="U8139" t="str">
        <f t="shared" si="1320"/>
        <v/>
      </c>
      <c r="V8139" t="str">
        <f t="shared" si="1321"/>
        <v/>
      </c>
      <c r="W8139" t="str">
        <f t="shared" si="1322"/>
        <v/>
      </c>
      <c r="X8139">
        <f t="shared" si="1312"/>
        <v>0</v>
      </c>
      <c r="Z8139" t="str">
        <f t="shared" si="1323"/>
        <v/>
      </c>
      <c r="AA8139">
        <f t="shared" si="1313"/>
        <v>0</v>
      </c>
    </row>
    <row r="8140" spans="1:27" ht="21" customHeight="1" x14ac:dyDescent="0.95">
      <c r="A8140" s="56"/>
      <c r="B8140" s="57"/>
      <c r="C8140" s="57"/>
      <c r="D8140" s="57"/>
      <c r="E8140" s="56"/>
      <c r="F8140" s="57"/>
      <c r="G8140" s="57"/>
      <c r="H8140" s="56"/>
      <c r="I8140" s="56"/>
      <c r="J8140" s="58"/>
      <c r="K8140" s="58"/>
      <c r="L8140" s="13" t="str">
        <f t="shared" si="1314"/>
        <v/>
      </c>
      <c r="M8140" s="13" t="str">
        <f t="shared" si="1315"/>
        <v/>
      </c>
      <c r="Q8140" t="str">
        <f t="shared" si="1316"/>
        <v/>
      </c>
      <c r="R8140" t="str">
        <f t="shared" si="1317"/>
        <v/>
      </c>
      <c r="S8140" t="str">
        <f t="shared" si="1318"/>
        <v/>
      </c>
      <c r="T8140" t="str">
        <f t="shared" si="1319"/>
        <v/>
      </c>
      <c r="U8140" t="str">
        <f t="shared" si="1320"/>
        <v/>
      </c>
      <c r="V8140" t="str">
        <f t="shared" si="1321"/>
        <v/>
      </c>
      <c r="W8140" t="str">
        <f t="shared" si="1322"/>
        <v/>
      </c>
      <c r="X8140">
        <f t="shared" si="1312"/>
        <v>0</v>
      </c>
      <c r="Z8140" t="str">
        <f t="shared" si="1323"/>
        <v/>
      </c>
      <c r="AA8140">
        <f t="shared" si="1313"/>
        <v>0</v>
      </c>
    </row>
    <row r="8141" spans="1:27" ht="21" customHeight="1" x14ac:dyDescent="0.95">
      <c r="A8141" s="56"/>
      <c r="B8141" s="57"/>
      <c r="C8141" s="57"/>
      <c r="D8141" s="57"/>
      <c r="E8141" s="56"/>
      <c r="F8141" s="57"/>
      <c r="G8141" s="57"/>
      <c r="H8141" s="56"/>
      <c r="I8141" s="56"/>
      <c r="J8141" s="58"/>
      <c r="K8141" s="58"/>
      <c r="L8141" s="13" t="str">
        <f t="shared" si="1314"/>
        <v/>
      </c>
      <c r="M8141" s="13" t="str">
        <f t="shared" si="1315"/>
        <v/>
      </c>
      <c r="Q8141" t="str">
        <f t="shared" si="1316"/>
        <v/>
      </c>
      <c r="R8141" t="str">
        <f t="shared" si="1317"/>
        <v/>
      </c>
      <c r="S8141" t="str">
        <f t="shared" si="1318"/>
        <v/>
      </c>
      <c r="T8141" t="str">
        <f t="shared" si="1319"/>
        <v/>
      </c>
      <c r="U8141" t="str">
        <f t="shared" si="1320"/>
        <v/>
      </c>
      <c r="V8141" t="str">
        <f t="shared" si="1321"/>
        <v/>
      </c>
      <c r="W8141" t="str">
        <f t="shared" si="1322"/>
        <v/>
      </c>
      <c r="X8141">
        <f t="shared" si="1312"/>
        <v>0</v>
      </c>
      <c r="Z8141" t="str">
        <f t="shared" si="1323"/>
        <v/>
      </c>
      <c r="AA8141">
        <f t="shared" si="1313"/>
        <v>0</v>
      </c>
    </row>
    <row r="8142" spans="1:27" ht="21" customHeight="1" x14ac:dyDescent="0.95">
      <c r="A8142" s="56"/>
      <c r="B8142" s="57"/>
      <c r="C8142" s="57"/>
      <c r="D8142" s="57"/>
      <c r="E8142" s="56"/>
      <c r="F8142" s="57"/>
      <c r="G8142" s="57"/>
      <c r="H8142" s="56"/>
      <c r="I8142" s="56"/>
      <c r="J8142" s="58"/>
      <c r="K8142" s="58"/>
      <c r="L8142" s="13" t="str">
        <f t="shared" si="1314"/>
        <v/>
      </c>
      <c r="M8142" s="13" t="str">
        <f t="shared" si="1315"/>
        <v/>
      </c>
      <c r="Q8142" t="str">
        <f t="shared" si="1316"/>
        <v/>
      </c>
      <c r="R8142" t="str">
        <f t="shared" si="1317"/>
        <v/>
      </c>
      <c r="S8142" t="str">
        <f t="shared" si="1318"/>
        <v/>
      </c>
      <c r="T8142" t="str">
        <f t="shared" si="1319"/>
        <v/>
      </c>
      <c r="U8142" t="str">
        <f t="shared" si="1320"/>
        <v/>
      </c>
      <c r="V8142" t="str">
        <f t="shared" si="1321"/>
        <v/>
      </c>
      <c r="W8142" t="str">
        <f t="shared" si="1322"/>
        <v/>
      </c>
      <c r="X8142">
        <f t="shared" si="1312"/>
        <v>0</v>
      </c>
      <c r="Z8142" t="str">
        <f t="shared" si="1323"/>
        <v/>
      </c>
      <c r="AA8142">
        <f t="shared" si="1313"/>
        <v>0</v>
      </c>
    </row>
    <row r="8143" spans="1:27" ht="21" customHeight="1" x14ac:dyDescent="0.95">
      <c r="A8143" s="56"/>
      <c r="B8143" s="57"/>
      <c r="C8143" s="57"/>
      <c r="D8143" s="57"/>
      <c r="E8143" s="56"/>
      <c r="F8143" s="57"/>
      <c r="G8143" s="57"/>
      <c r="H8143" s="56"/>
      <c r="I8143" s="56"/>
      <c r="J8143" s="58"/>
      <c r="K8143" s="58"/>
      <c r="L8143" s="13" t="str">
        <f t="shared" si="1314"/>
        <v/>
      </c>
      <c r="M8143" s="13" t="str">
        <f t="shared" si="1315"/>
        <v/>
      </c>
      <c r="Q8143" t="str">
        <f t="shared" si="1316"/>
        <v/>
      </c>
      <c r="R8143" t="str">
        <f t="shared" si="1317"/>
        <v/>
      </c>
      <c r="S8143" t="str">
        <f t="shared" si="1318"/>
        <v/>
      </c>
      <c r="T8143" t="str">
        <f t="shared" si="1319"/>
        <v/>
      </c>
      <c r="U8143" t="str">
        <f t="shared" si="1320"/>
        <v/>
      </c>
      <c r="V8143" t="str">
        <f t="shared" si="1321"/>
        <v/>
      </c>
      <c r="W8143" t="str">
        <f t="shared" si="1322"/>
        <v/>
      </c>
      <c r="X8143">
        <f t="shared" si="1312"/>
        <v>0</v>
      </c>
      <c r="Z8143" t="str">
        <f t="shared" si="1323"/>
        <v/>
      </c>
      <c r="AA8143">
        <f t="shared" si="1313"/>
        <v>0</v>
      </c>
    </row>
    <row r="8144" spans="1:27" ht="21" customHeight="1" x14ac:dyDescent="0.95">
      <c r="A8144" s="56"/>
      <c r="B8144" s="57"/>
      <c r="C8144" s="57"/>
      <c r="D8144" s="57"/>
      <c r="E8144" s="56"/>
      <c r="F8144" s="57"/>
      <c r="G8144" s="57"/>
      <c r="H8144" s="56"/>
      <c r="I8144" s="56"/>
      <c r="J8144" s="58"/>
      <c r="K8144" s="58"/>
      <c r="L8144" s="13" t="str">
        <f t="shared" si="1314"/>
        <v/>
      </c>
      <c r="M8144" s="13" t="str">
        <f t="shared" si="1315"/>
        <v/>
      </c>
      <c r="Q8144" t="str">
        <f t="shared" si="1316"/>
        <v/>
      </c>
      <c r="R8144" t="str">
        <f t="shared" si="1317"/>
        <v/>
      </c>
      <c r="S8144" t="str">
        <f t="shared" si="1318"/>
        <v/>
      </c>
      <c r="T8144" t="str">
        <f t="shared" si="1319"/>
        <v/>
      </c>
      <c r="U8144" t="str">
        <f t="shared" si="1320"/>
        <v/>
      </c>
      <c r="V8144" t="str">
        <f t="shared" si="1321"/>
        <v/>
      </c>
      <c r="W8144" t="str">
        <f t="shared" si="1322"/>
        <v/>
      </c>
      <c r="X8144">
        <f t="shared" si="1312"/>
        <v>0</v>
      </c>
      <c r="Z8144" t="str">
        <f t="shared" si="1323"/>
        <v/>
      </c>
      <c r="AA8144">
        <f t="shared" si="1313"/>
        <v>0</v>
      </c>
    </row>
    <row r="8145" spans="1:27" ht="21" customHeight="1" x14ac:dyDescent="0.95">
      <c r="A8145" s="56"/>
      <c r="B8145" s="57"/>
      <c r="C8145" s="57"/>
      <c r="D8145" s="57"/>
      <c r="E8145" s="56"/>
      <c r="F8145" s="57"/>
      <c r="G8145" s="57"/>
      <c r="H8145" s="56"/>
      <c r="I8145" s="56"/>
      <c r="J8145" s="58"/>
      <c r="K8145" s="58"/>
      <c r="L8145" s="13" t="str">
        <f t="shared" si="1314"/>
        <v/>
      </c>
      <c r="M8145" s="13" t="str">
        <f t="shared" si="1315"/>
        <v/>
      </c>
      <c r="Q8145" t="str">
        <f t="shared" si="1316"/>
        <v/>
      </c>
      <c r="R8145" t="str">
        <f t="shared" si="1317"/>
        <v/>
      </c>
      <c r="S8145" t="str">
        <f t="shared" si="1318"/>
        <v/>
      </c>
      <c r="T8145" t="str">
        <f t="shared" si="1319"/>
        <v/>
      </c>
      <c r="U8145" t="str">
        <f t="shared" si="1320"/>
        <v/>
      </c>
      <c r="V8145" t="str">
        <f t="shared" si="1321"/>
        <v/>
      </c>
      <c r="W8145" t="str">
        <f t="shared" si="1322"/>
        <v/>
      </c>
      <c r="X8145">
        <f t="shared" si="1312"/>
        <v>0</v>
      </c>
      <c r="Z8145" t="str">
        <f t="shared" si="1323"/>
        <v/>
      </c>
      <c r="AA8145">
        <f t="shared" si="1313"/>
        <v>0</v>
      </c>
    </row>
    <row r="8146" spans="1:27" ht="21" customHeight="1" x14ac:dyDescent="0.95">
      <c r="A8146" s="56"/>
      <c r="B8146" s="57"/>
      <c r="C8146" s="57"/>
      <c r="D8146" s="57"/>
      <c r="E8146" s="56"/>
      <c r="F8146" s="57"/>
      <c r="G8146" s="57"/>
      <c r="H8146" s="56"/>
      <c r="I8146" s="56"/>
      <c r="J8146" s="58"/>
      <c r="K8146" s="58"/>
      <c r="L8146" s="13" t="str">
        <f t="shared" si="1314"/>
        <v/>
      </c>
      <c r="M8146" s="13" t="str">
        <f t="shared" si="1315"/>
        <v/>
      </c>
      <c r="Q8146" t="str">
        <f t="shared" si="1316"/>
        <v/>
      </c>
      <c r="R8146" t="str">
        <f t="shared" si="1317"/>
        <v/>
      </c>
      <c r="S8146" t="str">
        <f t="shared" si="1318"/>
        <v/>
      </c>
      <c r="T8146" t="str">
        <f t="shared" si="1319"/>
        <v/>
      </c>
      <c r="U8146" t="str">
        <f t="shared" si="1320"/>
        <v/>
      </c>
      <c r="V8146" t="str">
        <f t="shared" si="1321"/>
        <v/>
      </c>
      <c r="W8146" t="str">
        <f t="shared" si="1322"/>
        <v/>
      </c>
      <c r="X8146">
        <f t="shared" si="1312"/>
        <v>0</v>
      </c>
      <c r="Z8146" t="str">
        <f t="shared" si="1323"/>
        <v/>
      </c>
      <c r="AA8146">
        <f t="shared" si="1313"/>
        <v>0</v>
      </c>
    </row>
    <row r="8147" spans="1:27" ht="21" customHeight="1" x14ac:dyDescent="0.95">
      <c r="A8147" s="56"/>
      <c r="B8147" s="57"/>
      <c r="C8147" s="57"/>
      <c r="D8147" s="57"/>
      <c r="E8147" s="56"/>
      <c r="F8147" s="57"/>
      <c r="G8147" s="57"/>
      <c r="H8147" s="56"/>
      <c r="I8147" s="56"/>
      <c r="J8147" s="58"/>
      <c r="K8147" s="58"/>
      <c r="L8147" s="13" t="str">
        <f t="shared" si="1314"/>
        <v/>
      </c>
      <c r="M8147" s="13" t="str">
        <f t="shared" si="1315"/>
        <v/>
      </c>
      <c r="Q8147" t="str">
        <f t="shared" si="1316"/>
        <v/>
      </c>
      <c r="R8147" t="str">
        <f t="shared" si="1317"/>
        <v/>
      </c>
      <c r="S8147" t="str">
        <f t="shared" si="1318"/>
        <v/>
      </c>
      <c r="T8147" t="str">
        <f t="shared" si="1319"/>
        <v/>
      </c>
      <c r="U8147" t="str">
        <f t="shared" si="1320"/>
        <v/>
      </c>
      <c r="V8147" t="str">
        <f t="shared" si="1321"/>
        <v/>
      </c>
      <c r="W8147" t="str">
        <f t="shared" si="1322"/>
        <v/>
      </c>
      <c r="X8147">
        <f t="shared" si="1312"/>
        <v>0</v>
      </c>
      <c r="Z8147" t="str">
        <f t="shared" si="1323"/>
        <v/>
      </c>
      <c r="AA8147">
        <f t="shared" si="1313"/>
        <v>0</v>
      </c>
    </row>
    <row r="8148" spans="1:27" ht="21" customHeight="1" x14ac:dyDescent="0.95">
      <c r="A8148" s="56"/>
      <c r="B8148" s="57"/>
      <c r="C8148" s="57"/>
      <c r="D8148" s="57"/>
      <c r="E8148" s="56"/>
      <c r="F8148" s="57"/>
      <c r="G8148" s="57"/>
      <c r="H8148" s="56"/>
      <c r="I8148" s="56"/>
      <c r="J8148" s="58"/>
      <c r="K8148" s="58"/>
      <c r="L8148" s="13" t="str">
        <f t="shared" si="1314"/>
        <v/>
      </c>
      <c r="M8148" s="13" t="str">
        <f t="shared" si="1315"/>
        <v/>
      </c>
      <c r="Q8148" t="str">
        <f t="shared" si="1316"/>
        <v/>
      </c>
      <c r="R8148" t="str">
        <f t="shared" si="1317"/>
        <v/>
      </c>
      <c r="S8148" t="str">
        <f t="shared" si="1318"/>
        <v/>
      </c>
      <c r="T8148" t="str">
        <f t="shared" si="1319"/>
        <v/>
      </c>
      <c r="U8148" t="str">
        <f t="shared" si="1320"/>
        <v/>
      </c>
      <c r="V8148" t="str">
        <f t="shared" si="1321"/>
        <v/>
      </c>
      <c r="W8148" t="str">
        <f t="shared" si="1322"/>
        <v/>
      </c>
      <c r="X8148">
        <f t="shared" si="1312"/>
        <v>0</v>
      </c>
      <c r="Z8148" t="str">
        <f t="shared" si="1323"/>
        <v/>
      </c>
      <c r="AA8148">
        <f t="shared" si="1313"/>
        <v>0</v>
      </c>
    </row>
    <row r="8149" spans="1:27" ht="21" customHeight="1" x14ac:dyDescent="0.95">
      <c r="A8149" s="56"/>
      <c r="B8149" s="57"/>
      <c r="C8149" s="57"/>
      <c r="D8149" s="57"/>
      <c r="E8149" s="56"/>
      <c r="F8149" s="57"/>
      <c r="G8149" s="57"/>
      <c r="H8149" s="56"/>
      <c r="I8149" s="56"/>
      <c r="J8149" s="58"/>
      <c r="K8149" s="58"/>
      <c r="L8149" s="13" t="str">
        <f t="shared" si="1314"/>
        <v/>
      </c>
      <c r="M8149" s="13" t="str">
        <f t="shared" si="1315"/>
        <v/>
      </c>
      <c r="Q8149" t="str">
        <f t="shared" si="1316"/>
        <v/>
      </c>
      <c r="R8149" t="str">
        <f t="shared" si="1317"/>
        <v/>
      </c>
      <c r="S8149" t="str">
        <f t="shared" si="1318"/>
        <v/>
      </c>
      <c r="T8149" t="str">
        <f t="shared" si="1319"/>
        <v/>
      </c>
      <c r="U8149" t="str">
        <f t="shared" si="1320"/>
        <v/>
      </c>
      <c r="V8149" t="str">
        <f t="shared" si="1321"/>
        <v/>
      </c>
      <c r="W8149" t="str">
        <f t="shared" si="1322"/>
        <v/>
      </c>
      <c r="X8149">
        <f t="shared" si="1312"/>
        <v>0</v>
      </c>
      <c r="Z8149" t="str">
        <f t="shared" si="1323"/>
        <v/>
      </c>
      <c r="AA8149">
        <f t="shared" si="1313"/>
        <v>0</v>
      </c>
    </row>
    <row r="8150" spans="1:27" ht="21" customHeight="1" x14ac:dyDescent="0.95">
      <c r="A8150" s="56"/>
      <c r="B8150" s="57"/>
      <c r="C8150" s="57"/>
      <c r="D8150" s="57"/>
      <c r="E8150" s="56"/>
      <c r="F8150" s="57"/>
      <c r="G8150" s="57"/>
      <c r="H8150" s="56"/>
      <c r="I8150" s="56"/>
      <c r="J8150" s="58"/>
      <c r="K8150" s="58"/>
      <c r="L8150" s="13" t="str">
        <f t="shared" si="1314"/>
        <v/>
      </c>
      <c r="M8150" s="13" t="str">
        <f t="shared" si="1315"/>
        <v/>
      </c>
      <c r="Q8150" t="str">
        <f t="shared" si="1316"/>
        <v/>
      </c>
      <c r="R8150" t="str">
        <f t="shared" si="1317"/>
        <v/>
      </c>
      <c r="S8150" t="str">
        <f t="shared" si="1318"/>
        <v/>
      </c>
      <c r="T8150" t="str">
        <f t="shared" si="1319"/>
        <v/>
      </c>
      <c r="U8150" t="str">
        <f t="shared" si="1320"/>
        <v/>
      </c>
      <c r="V8150" t="str">
        <f t="shared" si="1321"/>
        <v/>
      </c>
      <c r="W8150" t="str">
        <f t="shared" si="1322"/>
        <v/>
      </c>
      <c r="X8150">
        <f t="shared" si="1312"/>
        <v>0</v>
      </c>
      <c r="Z8150" t="str">
        <f t="shared" si="1323"/>
        <v/>
      </c>
      <c r="AA8150">
        <f t="shared" si="1313"/>
        <v>0</v>
      </c>
    </row>
    <row r="8151" spans="1:27" ht="21" customHeight="1" x14ac:dyDescent="0.95">
      <c r="A8151" s="56"/>
      <c r="B8151" s="57"/>
      <c r="C8151" s="57"/>
      <c r="D8151" s="57"/>
      <c r="E8151" s="56"/>
      <c r="F8151" s="57"/>
      <c r="G8151" s="57"/>
      <c r="H8151" s="56"/>
      <c r="I8151" s="56"/>
      <c r="J8151" s="58"/>
      <c r="K8151" s="58"/>
      <c r="L8151" s="13" t="str">
        <f t="shared" si="1314"/>
        <v/>
      </c>
      <c r="M8151" s="13" t="str">
        <f t="shared" si="1315"/>
        <v/>
      </c>
      <c r="Q8151" t="str">
        <f t="shared" si="1316"/>
        <v/>
      </c>
      <c r="R8151" t="str">
        <f t="shared" si="1317"/>
        <v/>
      </c>
      <c r="S8151" t="str">
        <f t="shared" si="1318"/>
        <v/>
      </c>
      <c r="T8151" t="str">
        <f t="shared" si="1319"/>
        <v/>
      </c>
      <c r="U8151" t="str">
        <f t="shared" si="1320"/>
        <v/>
      </c>
      <c r="V8151" t="str">
        <f t="shared" si="1321"/>
        <v/>
      </c>
      <c r="W8151" t="str">
        <f t="shared" si="1322"/>
        <v/>
      </c>
      <c r="X8151">
        <f t="shared" si="1312"/>
        <v>0</v>
      </c>
      <c r="Z8151" t="str">
        <f t="shared" si="1323"/>
        <v/>
      </c>
      <c r="AA8151">
        <f t="shared" si="1313"/>
        <v>0</v>
      </c>
    </row>
    <row r="8152" spans="1:27" ht="21" customHeight="1" x14ac:dyDescent="0.95">
      <c r="A8152" s="56"/>
      <c r="B8152" s="57"/>
      <c r="C8152" s="57"/>
      <c r="D8152" s="57"/>
      <c r="E8152" s="56"/>
      <c r="F8152" s="57"/>
      <c r="G8152" s="57"/>
      <c r="H8152" s="56"/>
      <c r="I8152" s="56"/>
      <c r="J8152" s="58"/>
      <c r="K8152" s="58"/>
      <c r="L8152" s="13" t="str">
        <f t="shared" si="1314"/>
        <v/>
      </c>
      <c r="M8152" s="13" t="str">
        <f t="shared" si="1315"/>
        <v/>
      </c>
      <c r="Q8152" t="str">
        <f t="shared" si="1316"/>
        <v/>
      </c>
      <c r="R8152" t="str">
        <f t="shared" si="1317"/>
        <v/>
      </c>
      <c r="S8152" t="str">
        <f t="shared" si="1318"/>
        <v/>
      </c>
      <c r="T8152" t="str">
        <f t="shared" si="1319"/>
        <v/>
      </c>
      <c r="U8152" t="str">
        <f t="shared" si="1320"/>
        <v/>
      </c>
      <c r="V8152" t="str">
        <f t="shared" si="1321"/>
        <v/>
      </c>
      <c r="W8152" t="str">
        <f t="shared" si="1322"/>
        <v/>
      </c>
      <c r="X8152">
        <f t="shared" si="1312"/>
        <v>0</v>
      </c>
      <c r="Z8152" t="str">
        <f t="shared" si="1323"/>
        <v/>
      </c>
      <c r="AA8152">
        <f t="shared" si="1313"/>
        <v>0</v>
      </c>
    </row>
    <row r="8153" spans="1:27" ht="21" customHeight="1" x14ac:dyDescent="0.95">
      <c r="A8153" s="56"/>
      <c r="B8153" s="57"/>
      <c r="C8153" s="57"/>
      <c r="D8153" s="57"/>
      <c r="E8153" s="56"/>
      <c r="F8153" s="57"/>
      <c r="G8153" s="57"/>
      <c r="H8153" s="56"/>
      <c r="I8153" s="56"/>
      <c r="J8153" s="58"/>
      <c r="K8153" s="58"/>
      <c r="L8153" s="13" t="str">
        <f t="shared" si="1314"/>
        <v/>
      </c>
      <c r="M8153" s="13" t="str">
        <f t="shared" si="1315"/>
        <v/>
      </c>
      <c r="Q8153" t="str">
        <f t="shared" si="1316"/>
        <v/>
      </c>
      <c r="R8153" t="str">
        <f t="shared" si="1317"/>
        <v/>
      </c>
      <c r="S8153" t="str">
        <f t="shared" si="1318"/>
        <v/>
      </c>
      <c r="T8153" t="str">
        <f t="shared" si="1319"/>
        <v/>
      </c>
      <c r="U8153" t="str">
        <f t="shared" si="1320"/>
        <v/>
      </c>
      <c r="V8153" t="str">
        <f t="shared" si="1321"/>
        <v/>
      </c>
      <c r="W8153" t="str">
        <f t="shared" si="1322"/>
        <v/>
      </c>
      <c r="X8153">
        <f t="shared" si="1312"/>
        <v>0</v>
      </c>
      <c r="Z8153" t="str">
        <f t="shared" si="1323"/>
        <v/>
      </c>
      <c r="AA8153">
        <f t="shared" si="1313"/>
        <v>0</v>
      </c>
    </row>
    <row r="8154" spans="1:27" ht="21" customHeight="1" x14ac:dyDescent="0.95">
      <c r="A8154" s="56"/>
      <c r="B8154" s="57"/>
      <c r="C8154" s="57"/>
      <c r="D8154" s="57"/>
      <c r="E8154" s="56"/>
      <c r="F8154" s="57"/>
      <c r="G8154" s="57"/>
      <c r="H8154" s="56"/>
      <c r="I8154" s="56"/>
      <c r="J8154" s="58"/>
      <c r="K8154" s="58"/>
      <c r="L8154" s="13" t="str">
        <f t="shared" si="1314"/>
        <v/>
      </c>
      <c r="M8154" s="13" t="str">
        <f t="shared" si="1315"/>
        <v/>
      </c>
      <c r="Q8154" t="str">
        <f t="shared" si="1316"/>
        <v/>
      </c>
      <c r="R8154" t="str">
        <f t="shared" si="1317"/>
        <v/>
      </c>
      <c r="S8154" t="str">
        <f t="shared" si="1318"/>
        <v/>
      </c>
      <c r="T8154" t="str">
        <f t="shared" si="1319"/>
        <v/>
      </c>
      <c r="U8154" t="str">
        <f t="shared" si="1320"/>
        <v/>
      </c>
      <c r="V8154" t="str">
        <f t="shared" si="1321"/>
        <v/>
      </c>
      <c r="W8154" t="str">
        <f t="shared" si="1322"/>
        <v/>
      </c>
      <c r="X8154">
        <f t="shared" si="1312"/>
        <v>0</v>
      </c>
      <c r="Z8154" t="str">
        <f t="shared" si="1323"/>
        <v/>
      </c>
      <c r="AA8154">
        <f t="shared" si="1313"/>
        <v>0</v>
      </c>
    </row>
    <row r="8155" spans="1:27" ht="21" customHeight="1" x14ac:dyDescent="0.95">
      <c r="A8155" s="56"/>
      <c r="B8155" s="57"/>
      <c r="C8155" s="57"/>
      <c r="D8155" s="57"/>
      <c r="E8155" s="56"/>
      <c r="F8155" s="57"/>
      <c r="G8155" s="57"/>
      <c r="H8155" s="56"/>
      <c r="I8155" s="56"/>
      <c r="J8155" s="58"/>
      <c r="K8155" s="58"/>
      <c r="L8155" s="13" t="str">
        <f t="shared" si="1314"/>
        <v/>
      </c>
      <c r="M8155" s="13" t="str">
        <f t="shared" si="1315"/>
        <v/>
      </c>
      <c r="Q8155" t="str">
        <f t="shared" si="1316"/>
        <v/>
      </c>
      <c r="R8155" t="str">
        <f t="shared" si="1317"/>
        <v/>
      </c>
      <c r="S8155" t="str">
        <f t="shared" si="1318"/>
        <v/>
      </c>
      <c r="T8155" t="str">
        <f t="shared" si="1319"/>
        <v/>
      </c>
      <c r="U8155" t="str">
        <f t="shared" si="1320"/>
        <v/>
      </c>
      <c r="V8155" t="str">
        <f t="shared" si="1321"/>
        <v/>
      </c>
      <c r="W8155" t="str">
        <f t="shared" si="1322"/>
        <v/>
      </c>
      <c r="X8155">
        <f t="shared" si="1312"/>
        <v>0</v>
      </c>
      <c r="Z8155" t="str">
        <f t="shared" si="1323"/>
        <v/>
      </c>
      <c r="AA8155">
        <f t="shared" si="1313"/>
        <v>0</v>
      </c>
    </row>
    <row r="8156" spans="1:27" ht="21" customHeight="1" x14ac:dyDescent="0.95">
      <c r="A8156" s="56"/>
      <c r="B8156" s="57"/>
      <c r="C8156" s="57"/>
      <c r="D8156" s="57"/>
      <c r="E8156" s="56"/>
      <c r="F8156" s="57"/>
      <c r="G8156" s="57"/>
      <c r="H8156" s="56"/>
      <c r="I8156" s="56"/>
      <c r="J8156" s="58"/>
      <c r="K8156" s="58"/>
      <c r="L8156" s="13" t="str">
        <f t="shared" si="1314"/>
        <v/>
      </c>
      <c r="M8156" s="13" t="str">
        <f t="shared" si="1315"/>
        <v/>
      </c>
      <c r="Q8156" t="str">
        <f t="shared" si="1316"/>
        <v/>
      </c>
      <c r="R8156" t="str">
        <f t="shared" si="1317"/>
        <v/>
      </c>
      <c r="S8156" t="str">
        <f t="shared" si="1318"/>
        <v/>
      </c>
      <c r="T8156" t="str">
        <f t="shared" si="1319"/>
        <v/>
      </c>
      <c r="U8156" t="str">
        <f t="shared" si="1320"/>
        <v/>
      </c>
      <c r="V8156" t="str">
        <f t="shared" si="1321"/>
        <v/>
      </c>
      <c r="W8156" t="str">
        <f t="shared" si="1322"/>
        <v/>
      </c>
      <c r="X8156">
        <f t="shared" si="1312"/>
        <v>0</v>
      </c>
      <c r="Z8156" t="str">
        <f t="shared" si="1323"/>
        <v/>
      </c>
      <c r="AA8156">
        <f t="shared" si="1313"/>
        <v>0</v>
      </c>
    </row>
    <row r="8157" spans="1:27" ht="21" customHeight="1" x14ac:dyDescent="0.95">
      <c r="A8157" s="56"/>
      <c r="B8157" s="57"/>
      <c r="C8157" s="57"/>
      <c r="D8157" s="57"/>
      <c r="E8157" s="56"/>
      <c r="F8157" s="57"/>
      <c r="G8157" s="57"/>
      <c r="H8157" s="56"/>
      <c r="I8157" s="56"/>
      <c r="J8157" s="58"/>
      <c r="K8157" s="58"/>
      <c r="L8157" s="13" t="str">
        <f t="shared" si="1314"/>
        <v/>
      </c>
      <c r="M8157" s="13" t="str">
        <f t="shared" si="1315"/>
        <v/>
      </c>
      <c r="Q8157" t="str">
        <f t="shared" si="1316"/>
        <v/>
      </c>
      <c r="R8157" t="str">
        <f t="shared" si="1317"/>
        <v/>
      </c>
      <c r="S8157" t="str">
        <f t="shared" si="1318"/>
        <v/>
      </c>
      <c r="T8157" t="str">
        <f t="shared" si="1319"/>
        <v/>
      </c>
      <c r="U8157" t="str">
        <f t="shared" si="1320"/>
        <v/>
      </c>
      <c r="V8157" t="str">
        <f t="shared" si="1321"/>
        <v/>
      </c>
      <c r="W8157" t="str">
        <f t="shared" si="1322"/>
        <v/>
      </c>
      <c r="X8157">
        <f t="shared" si="1312"/>
        <v>0</v>
      </c>
      <c r="Z8157" t="str">
        <f t="shared" si="1323"/>
        <v/>
      </c>
      <c r="AA8157">
        <f t="shared" si="1313"/>
        <v>0</v>
      </c>
    </row>
    <row r="8158" spans="1:27" ht="21" customHeight="1" x14ac:dyDescent="0.95">
      <c r="A8158" s="56"/>
      <c r="B8158" s="57"/>
      <c r="C8158" s="57"/>
      <c r="D8158" s="57"/>
      <c r="E8158" s="56"/>
      <c r="F8158" s="57"/>
      <c r="G8158" s="57"/>
      <c r="H8158" s="56"/>
      <c r="I8158" s="56"/>
      <c r="J8158" s="58"/>
      <c r="K8158" s="58"/>
      <c r="L8158" s="13" t="str">
        <f t="shared" si="1314"/>
        <v/>
      </c>
      <c r="M8158" s="13" t="str">
        <f t="shared" si="1315"/>
        <v/>
      </c>
      <c r="Q8158" t="str">
        <f t="shared" si="1316"/>
        <v/>
      </c>
      <c r="R8158" t="str">
        <f t="shared" si="1317"/>
        <v/>
      </c>
      <c r="S8158" t="str">
        <f t="shared" si="1318"/>
        <v/>
      </c>
      <c r="T8158" t="str">
        <f t="shared" si="1319"/>
        <v/>
      </c>
      <c r="U8158" t="str">
        <f t="shared" si="1320"/>
        <v/>
      </c>
      <c r="V8158" t="str">
        <f t="shared" si="1321"/>
        <v/>
      </c>
      <c r="W8158" t="str">
        <f t="shared" si="1322"/>
        <v/>
      </c>
      <c r="X8158">
        <f t="shared" si="1312"/>
        <v>0</v>
      </c>
      <c r="Z8158" t="str">
        <f t="shared" si="1323"/>
        <v/>
      </c>
      <c r="AA8158">
        <f t="shared" si="1313"/>
        <v>0</v>
      </c>
    </row>
    <row r="8159" spans="1:27" ht="21" customHeight="1" x14ac:dyDescent="0.95">
      <c r="A8159" s="56"/>
      <c r="B8159" s="57"/>
      <c r="C8159" s="57"/>
      <c r="D8159" s="57"/>
      <c r="E8159" s="56"/>
      <c r="F8159" s="57"/>
      <c r="G8159" s="57"/>
      <c r="H8159" s="56"/>
      <c r="I8159" s="56"/>
      <c r="J8159" s="58"/>
      <c r="K8159" s="58"/>
      <c r="L8159" s="13" t="str">
        <f t="shared" si="1314"/>
        <v/>
      </c>
      <c r="M8159" s="13" t="str">
        <f t="shared" si="1315"/>
        <v/>
      </c>
      <c r="Q8159" t="str">
        <f t="shared" si="1316"/>
        <v/>
      </c>
      <c r="R8159" t="str">
        <f t="shared" si="1317"/>
        <v/>
      </c>
      <c r="S8159" t="str">
        <f t="shared" si="1318"/>
        <v/>
      </c>
      <c r="T8159" t="str">
        <f t="shared" si="1319"/>
        <v/>
      </c>
      <c r="U8159" t="str">
        <f t="shared" si="1320"/>
        <v/>
      </c>
      <c r="V8159" t="str">
        <f t="shared" si="1321"/>
        <v/>
      </c>
      <c r="W8159" t="str">
        <f t="shared" si="1322"/>
        <v/>
      </c>
      <c r="X8159">
        <f t="shared" si="1312"/>
        <v>0</v>
      </c>
      <c r="Z8159" t="str">
        <f t="shared" si="1323"/>
        <v/>
      </c>
      <c r="AA8159">
        <f t="shared" si="1313"/>
        <v>0</v>
      </c>
    </row>
    <row r="8160" spans="1:27" ht="21" customHeight="1" x14ac:dyDescent="0.95">
      <c r="A8160" s="56"/>
      <c r="B8160" s="57"/>
      <c r="C8160" s="57"/>
      <c r="D8160" s="57"/>
      <c r="E8160" s="56"/>
      <c r="F8160" s="57"/>
      <c r="G8160" s="57"/>
      <c r="H8160" s="56"/>
      <c r="I8160" s="56"/>
      <c r="J8160" s="58"/>
      <c r="K8160" s="58"/>
      <c r="L8160" s="13" t="str">
        <f t="shared" si="1314"/>
        <v/>
      </c>
      <c r="M8160" s="13" t="str">
        <f t="shared" si="1315"/>
        <v/>
      </c>
      <c r="Q8160" t="str">
        <f t="shared" si="1316"/>
        <v/>
      </c>
      <c r="R8160" t="str">
        <f t="shared" si="1317"/>
        <v/>
      </c>
      <c r="S8160" t="str">
        <f t="shared" si="1318"/>
        <v/>
      </c>
      <c r="T8160" t="str">
        <f t="shared" si="1319"/>
        <v/>
      </c>
      <c r="U8160" t="str">
        <f t="shared" si="1320"/>
        <v/>
      </c>
      <c r="V8160" t="str">
        <f t="shared" si="1321"/>
        <v/>
      </c>
      <c r="W8160" t="str">
        <f t="shared" si="1322"/>
        <v/>
      </c>
      <c r="X8160">
        <f t="shared" si="1312"/>
        <v>0</v>
      </c>
      <c r="Z8160" t="str">
        <f t="shared" si="1323"/>
        <v/>
      </c>
      <c r="AA8160">
        <f t="shared" si="1313"/>
        <v>0</v>
      </c>
    </row>
    <row r="8161" spans="1:27" ht="21" customHeight="1" x14ac:dyDescent="0.95">
      <c r="A8161" s="56"/>
      <c r="B8161" s="57"/>
      <c r="C8161" s="57"/>
      <c r="D8161" s="57"/>
      <c r="E8161" s="56"/>
      <c r="F8161" s="57"/>
      <c r="G8161" s="57"/>
      <c r="H8161" s="56"/>
      <c r="I8161" s="56"/>
      <c r="J8161" s="58"/>
      <c r="K8161" s="58"/>
      <c r="L8161" s="13" t="str">
        <f t="shared" si="1314"/>
        <v/>
      </c>
      <c r="M8161" s="13" t="str">
        <f t="shared" si="1315"/>
        <v/>
      </c>
      <c r="Q8161" t="str">
        <f t="shared" si="1316"/>
        <v/>
      </c>
      <c r="R8161" t="str">
        <f t="shared" si="1317"/>
        <v/>
      </c>
      <c r="S8161" t="str">
        <f t="shared" si="1318"/>
        <v/>
      </c>
      <c r="T8161" t="str">
        <f t="shared" si="1319"/>
        <v/>
      </c>
      <c r="U8161" t="str">
        <f t="shared" si="1320"/>
        <v/>
      </c>
      <c r="V8161" t="str">
        <f t="shared" si="1321"/>
        <v/>
      </c>
      <c r="W8161" t="str">
        <f t="shared" si="1322"/>
        <v/>
      </c>
      <c r="X8161">
        <f t="shared" si="1312"/>
        <v>0</v>
      </c>
      <c r="Z8161" t="str">
        <f t="shared" si="1323"/>
        <v/>
      </c>
      <c r="AA8161">
        <f t="shared" si="1313"/>
        <v>0</v>
      </c>
    </row>
    <row r="8162" spans="1:27" ht="21" customHeight="1" x14ac:dyDescent="0.95">
      <c r="A8162" s="56"/>
      <c r="B8162" s="57"/>
      <c r="C8162" s="57"/>
      <c r="D8162" s="57"/>
      <c r="E8162" s="56"/>
      <c r="F8162" s="57"/>
      <c r="G8162" s="57"/>
      <c r="H8162" s="56"/>
      <c r="I8162" s="56"/>
      <c r="J8162" s="58"/>
      <c r="K8162" s="58"/>
      <c r="L8162" s="13" t="str">
        <f t="shared" si="1314"/>
        <v/>
      </c>
      <c r="M8162" s="13" t="str">
        <f t="shared" si="1315"/>
        <v/>
      </c>
      <c r="Q8162" t="str">
        <f t="shared" si="1316"/>
        <v/>
      </c>
      <c r="R8162" t="str">
        <f t="shared" si="1317"/>
        <v/>
      </c>
      <c r="S8162" t="str">
        <f t="shared" si="1318"/>
        <v/>
      </c>
      <c r="T8162" t="str">
        <f t="shared" si="1319"/>
        <v/>
      </c>
      <c r="U8162" t="str">
        <f t="shared" si="1320"/>
        <v/>
      </c>
      <c r="V8162" t="str">
        <f t="shared" si="1321"/>
        <v/>
      </c>
      <c r="W8162" t="str">
        <f t="shared" si="1322"/>
        <v/>
      </c>
      <c r="X8162">
        <f t="shared" si="1312"/>
        <v>0</v>
      </c>
      <c r="Z8162" t="str">
        <f t="shared" si="1323"/>
        <v/>
      </c>
      <c r="AA8162">
        <f t="shared" si="1313"/>
        <v>0</v>
      </c>
    </row>
    <row r="8163" spans="1:27" ht="21" customHeight="1" x14ac:dyDescent="0.95">
      <c r="A8163" s="56"/>
      <c r="B8163" s="57"/>
      <c r="C8163" s="57"/>
      <c r="D8163" s="57"/>
      <c r="E8163" s="56"/>
      <c r="F8163" s="57"/>
      <c r="G8163" s="57"/>
      <c r="H8163" s="56"/>
      <c r="I8163" s="56"/>
      <c r="J8163" s="58"/>
      <c r="K8163" s="58"/>
      <c r="L8163" s="13" t="str">
        <f t="shared" si="1314"/>
        <v/>
      </c>
      <c r="M8163" s="13" t="str">
        <f t="shared" si="1315"/>
        <v/>
      </c>
      <c r="Q8163" t="str">
        <f t="shared" si="1316"/>
        <v/>
      </c>
      <c r="R8163" t="str">
        <f t="shared" si="1317"/>
        <v/>
      </c>
      <c r="S8163" t="str">
        <f t="shared" si="1318"/>
        <v/>
      </c>
      <c r="T8163" t="str">
        <f t="shared" si="1319"/>
        <v/>
      </c>
      <c r="U8163" t="str">
        <f t="shared" si="1320"/>
        <v/>
      </c>
      <c r="V8163" t="str">
        <f t="shared" si="1321"/>
        <v/>
      </c>
      <c r="W8163" t="str">
        <f t="shared" si="1322"/>
        <v/>
      </c>
      <c r="X8163">
        <f t="shared" si="1312"/>
        <v>0</v>
      </c>
      <c r="Z8163" t="str">
        <f t="shared" si="1323"/>
        <v/>
      </c>
      <c r="AA8163">
        <f t="shared" si="1313"/>
        <v>0</v>
      </c>
    </row>
    <row r="8164" spans="1:27" ht="21" customHeight="1" x14ac:dyDescent="0.95">
      <c r="A8164" s="56"/>
      <c r="B8164" s="57"/>
      <c r="C8164" s="57"/>
      <c r="D8164" s="57"/>
      <c r="E8164" s="56"/>
      <c r="F8164" s="57"/>
      <c r="G8164" s="57"/>
      <c r="H8164" s="56"/>
      <c r="I8164" s="56"/>
      <c r="J8164" s="58"/>
      <c r="K8164" s="58"/>
      <c r="L8164" s="13" t="str">
        <f t="shared" si="1314"/>
        <v/>
      </c>
      <c r="M8164" s="13" t="str">
        <f t="shared" si="1315"/>
        <v/>
      </c>
      <c r="Q8164" t="str">
        <f t="shared" si="1316"/>
        <v/>
      </c>
      <c r="R8164" t="str">
        <f t="shared" si="1317"/>
        <v/>
      </c>
      <c r="S8164" t="str">
        <f t="shared" si="1318"/>
        <v/>
      </c>
      <c r="T8164" t="str">
        <f t="shared" si="1319"/>
        <v/>
      </c>
      <c r="U8164" t="str">
        <f t="shared" si="1320"/>
        <v/>
      </c>
      <c r="V8164" t="str">
        <f t="shared" si="1321"/>
        <v/>
      </c>
      <c r="W8164" t="str">
        <f t="shared" si="1322"/>
        <v/>
      </c>
      <c r="X8164">
        <f t="shared" si="1312"/>
        <v>0</v>
      </c>
      <c r="Z8164" t="str">
        <f t="shared" si="1323"/>
        <v/>
      </c>
      <c r="AA8164">
        <f t="shared" si="1313"/>
        <v>0</v>
      </c>
    </row>
    <row r="8165" spans="1:27" ht="21" customHeight="1" x14ac:dyDescent="0.95">
      <c r="A8165" s="56"/>
      <c r="B8165" s="57"/>
      <c r="C8165" s="57"/>
      <c r="D8165" s="57"/>
      <c r="E8165" s="56"/>
      <c r="F8165" s="57"/>
      <c r="G8165" s="57"/>
      <c r="H8165" s="56"/>
      <c r="I8165" s="56"/>
      <c r="J8165" s="58"/>
      <c r="K8165" s="58"/>
      <c r="L8165" s="13" t="str">
        <f t="shared" si="1314"/>
        <v/>
      </c>
      <c r="M8165" s="13" t="str">
        <f t="shared" si="1315"/>
        <v/>
      </c>
      <c r="Q8165" t="str">
        <f t="shared" si="1316"/>
        <v/>
      </c>
      <c r="R8165" t="str">
        <f t="shared" si="1317"/>
        <v/>
      </c>
      <c r="S8165" t="str">
        <f t="shared" si="1318"/>
        <v/>
      </c>
      <c r="T8165" t="str">
        <f t="shared" si="1319"/>
        <v/>
      </c>
      <c r="U8165" t="str">
        <f t="shared" si="1320"/>
        <v/>
      </c>
      <c r="V8165" t="str">
        <f t="shared" si="1321"/>
        <v/>
      </c>
      <c r="W8165" t="str">
        <f t="shared" si="1322"/>
        <v/>
      </c>
      <c r="X8165">
        <f t="shared" si="1312"/>
        <v>0</v>
      </c>
      <c r="Z8165" t="str">
        <f t="shared" si="1323"/>
        <v/>
      </c>
      <c r="AA8165">
        <f t="shared" si="1313"/>
        <v>0</v>
      </c>
    </row>
    <row r="8166" spans="1:27" ht="21" customHeight="1" x14ac:dyDescent="0.95">
      <c r="A8166" s="56"/>
      <c r="B8166" s="57"/>
      <c r="C8166" s="57"/>
      <c r="D8166" s="57"/>
      <c r="E8166" s="56"/>
      <c r="F8166" s="57"/>
      <c r="G8166" s="57"/>
      <c r="H8166" s="56"/>
      <c r="I8166" s="56"/>
      <c r="J8166" s="58"/>
      <c r="K8166" s="58"/>
      <c r="L8166" s="13" t="str">
        <f t="shared" si="1314"/>
        <v/>
      </c>
      <c r="M8166" s="13" t="str">
        <f t="shared" si="1315"/>
        <v/>
      </c>
      <c r="Q8166" t="str">
        <f t="shared" si="1316"/>
        <v/>
      </c>
      <c r="R8166" t="str">
        <f t="shared" si="1317"/>
        <v/>
      </c>
      <c r="S8166" t="str">
        <f t="shared" si="1318"/>
        <v/>
      </c>
      <c r="T8166" t="str">
        <f t="shared" si="1319"/>
        <v/>
      </c>
      <c r="U8166" t="str">
        <f t="shared" si="1320"/>
        <v/>
      </c>
      <c r="V8166" t="str">
        <f t="shared" si="1321"/>
        <v/>
      </c>
      <c r="W8166" t="str">
        <f t="shared" si="1322"/>
        <v/>
      </c>
      <c r="X8166">
        <f t="shared" si="1312"/>
        <v>0</v>
      </c>
      <c r="Z8166" t="str">
        <f t="shared" si="1323"/>
        <v/>
      </c>
      <c r="AA8166">
        <f t="shared" si="1313"/>
        <v>0</v>
      </c>
    </row>
    <row r="8167" spans="1:27" ht="21" customHeight="1" x14ac:dyDescent="0.95">
      <c r="A8167" s="56"/>
      <c r="B8167" s="57"/>
      <c r="C8167" s="57"/>
      <c r="D8167" s="57"/>
      <c r="E8167" s="56"/>
      <c r="F8167" s="57"/>
      <c r="G8167" s="57"/>
      <c r="H8167" s="56"/>
      <c r="I8167" s="56"/>
      <c r="J8167" s="58"/>
      <c r="K8167" s="58"/>
      <c r="L8167" s="13" t="str">
        <f t="shared" si="1314"/>
        <v/>
      </c>
      <c r="M8167" s="13" t="str">
        <f t="shared" si="1315"/>
        <v/>
      </c>
      <c r="Q8167" t="str">
        <f t="shared" si="1316"/>
        <v/>
      </c>
      <c r="R8167" t="str">
        <f t="shared" si="1317"/>
        <v/>
      </c>
      <c r="S8167" t="str">
        <f t="shared" si="1318"/>
        <v/>
      </c>
      <c r="T8167" t="str">
        <f t="shared" si="1319"/>
        <v/>
      </c>
      <c r="U8167" t="str">
        <f t="shared" si="1320"/>
        <v/>
      </c>
      <c r="V8167" t="str">
        <f t="shared" si="1321"/>
        <v/>
      </c>
      <c r="W8167" t="str">
        <f t="shared" si="1322"/>
        <v/>
      </c>
      <c r="X8167">
        <f t="shared" si="1312"/>
        <v>0</v>
      </c>
      <c r="Z8167" t="str">
        <f t="shared" si="1323"/>
        <v/>
      </c>
      <c r="AA8167">
        <f t="shared" si="1313"/>
        <v>0</v>
      </c>
    </row>
    <row r="8168" spans="1:27" ht="21" customHeight="1" x14ac:dyDescent="0.95">
      <c r="A8168" s="56"/>
      <c r="B8168" s="57"/>
      <c r="C8168" s="57"/>
      <c r="D8168" s="57"/>
      <c r="E8168" s="56"/>
      <c r="F8168" s="57"/>
      <c r="G8168" s="57"/>
      <c r="H8168" s="56"/>
      <c r="I8168" s="56"/>
      <c r="J8168" s="58"/>
      <c r="K8168" s="58"/>
      <c r="L8168" s="13" t="str">
        <f t="shared" si="1314"/>
        <v/>
      </c>
      <c r="M8168" s="13" t="str">
        <f t="shared" si="1315"/>
        <v/>
      </c>
      <c r="Q8168" t="str">
        <f t="shared" si="1316"/>
        <v/>
      </c>
      <c r="R8168" t="str">
        <f t="shared" si="1317"/>
        <v/>
      </c>
      <c r="S8168" t="str">
        <f t="shared" si="1318"/>
        <v/>
      </c>
      <c r="T8168" t="str">
        <f t="shared" si="1319"/>
        <v/>
      </c>
      <c r="U8168" t="str">
        <f t="shared" si="1320"/>
        <v/>
      </c>
      <c r="V8168" t="str">
        <f t="shared" si="1321"/>
        <v/>
      </c>
      <c r="W8168" t="str">
        <f t="shared" si="1322"/>
        <v/>
      </c>
      <c r="X8168">
        <f t="shared" si="1312"/>
        <v>0</v>
      </c>
      <c r="Z8168" t="str">
        <f t="shared" si="1323"/>
        <v/>
      </c>
      <c r="AA8168">
        <f t="shared" si="1313"/>
        <v>0</v>
      </c>
    </row>
    <row r="8169" spans="1:27" ht="21" customHeight="1" x14ac:dyDescent="0.95">
      <c r="A8169" s="56"/>
      <c r="B8169" s="57"/>
      <c r="C8169" s="57"/>
      <c r="D8169" s="57"/>
      <c r="E8169" s="56"/>
      <c r="F8169" s="57"/>
      <c r="G8169" s="57"/>
      <c r="H8169" s="56"/>
      <c r="I8169" s="56"/>
      <c r="J8169" s="58"/>
      <c r="K8169" s="58"/>
      <c r="L8169" s="13" t="str">
        <f t="shared" si="1314"/>
        <v/>
      </c>
      <c r="M8169" s="13" t="str">
        <f t="shared" si="1315"/>
        <v/>
      </c>
      <c r="Q8169" t="str">
        <f t="shared" si="1316"/>
        <v/>
      </c>
      <c r="R8169" t="str">
        <f t="shared" si="1317"/>
        <v/>
      </c>
      <c r="S8169" t="str">
        <f t="shared" si="1318"/>
        <v/>
      </c>
      <c r="T8169" t="str">
        <f t="shared" si="1319"/>
        <v/>
      </c>
      <c r="U8169" t="str">
        <f t="shared" si="1320"/>
        <v/>
      </c>
      <c r="V8169" t="str">
        <f t="shared" si="1321"/>
        <v/>
      </c>
      <c r="W8169" t="str">
        <f t="shared" si="1322"/>
        <v/>
      </c>
      <c r="X8169">
        <f t="shared" si="1312"/>
        <v>0</v>
      </c>
      <c r="Z8169" t="str">
        <f t="shared" si="1323"/>
        <v/>
      </c>
      <c r="AA8169">
        <f t="shared" si="1313"/>
        <v>0</v>
      </c>
    </row>
    <row r="8170" spans="1:27" ht="21" customHeight="1" x14ac:dyDescent="0.95">
      <c r="A8170" s="56"/>
      <c r="B8170" s="57"/>
      <c r="C8170" s="57"/>
      <c r="D8170" s="57"/>
      <c r="E8170" s="56"/>
      <c r="F8170" s="57"/>
      <c r="G8170" s="57"/>
      <c r="H8170" s="56"/>
      <c r="I8170" s="56"/>
      <c r="J8170" s="58"/>
      <c r="K8170" s="58"/>
      <c r="L8170" s="13" t="str">
        <f t="shared" si="1314"/>
        <v/>
      </c>
      <c r="M8170" s="13" t="str">
        <f t="shared" si="1315"/>
        <v/>
      </c>
      <c r="Q8170" t="str">
        <f t="shared" si="1316"/>
        <v/>
      </c>
      <c r="R8170" t="str">
        <f t="shared" si="1317"/>
        <v/>
      </c>
      <c r="S8170" t="str">
        <f t="shared" si="1318"/>
        <v/>
      </c>
      <c r="T8170" t="str">
        <f t="shared" si="1319"/>
        <v/>
      </c>
      <c r="U8170" t="str">
        <f t="shared" si="1320"/>
        <v/>
      </c>
      <c r="V8170" t="str">
        <f t="shared" si="1321"/>
        <v/>
      </c>
      <c r="W8170" t="str">
        <f t="shared" si="1322"/>
        <v/>
      </c>
      <c r="X8170">
        <f t="shared" si="1312"/>
        <v>0</v>
      </c>
      <c r="Z8170" t="str">
        <f t="shared" si="1323"/>
        <v/>
      </c>
      <c r="AA8170">
        <f t="shared" si="1313"/>
        <v>0</v>
      </c>
    </row>
    <row r="8171" spans="1:27" ht="21" customHeight="1" x14ac:dyDescent="0.95">
      <c r="A8171" s="56"/>
      <c r="B8171" s="57"/>
      <c r="C8171" s="57"/>
      <c r="D8171" s="57"/>
      <c r="E8171" s="56"/>
      <c r="F8171" s="57"/>
      <c r="G8171" s="57"/>
      <c r="H8171" s="56"/>
      <c r="I8171" s="56"/>
      <c r="J8171" s="58"/>
      <c r="K8171" s="58"/>
      <c r="L8171" s="13" t="str">
        <f t="shared" si="1314"/>
        <v/>
      </c>
      <c r="M8171" s="13" t="str">
        <f t="shared" si="1315"/>
        <v/>
      </c>
      <c r="Q8171" t="str">
        <f t="shared" si="1316"/>
        <v/>
      </c>
      <c r="R8171" t="str">
        <f t="shared" si="1317"/>
        <v/>
      </c>
      <c r="S8171" t="str">
        <f t="shared" si="1318"/>
        <v/>
      </c>
      <c r="T8171" t="str">
        <f t="shared" si="1319"/>
        <v/>
      </c>
      <c r="U8171" t="str">
        <f t="shared" si="1320"/>
        <v/>
      </c>
      <c r="V8171" t="str">
        <f t="shared" si="1321"/>
        <v/>
      </c>
      <c r="W8171" t="str">
        <f t="shared" si="1322"/>
        <v/>
      </c>
      <c r="X8171">
        <f t="shared" si="1312"/>
        <v>0</v>
      </c>
      <c r="Z8171" t="str">
        <f t="shared" si="1323"/>
        <v/>
      </c>
      <c r="AA8171">
        <f t="shared" si="1313"/>
        <v>0</v>
      </c>
    </row>
    <row r="8172" spans="1:27" ht="21" customHeight="1" x14ac:dyDescent="0.95">
      <c r="A8172" s="56"/>
      <c r="B8172" s="57"/>
      <c r="C8172" s="57"/>
      <c r="D8172" s="57"/>
      <c r="E8172" s="56"/>
      <c r="F8172" s="57"/>
      <c r="G8172" s="57"/>
      <c r="H8172" s="56"/>
      <c r="I8172" s="56"/>
      <c r="J8172" s="58"/>
      <c r="K8172" s="58"/>
      <c r="L8172" s="13" t="str">
        <f t="shared" si="1314"/>
        <v/>
      </c>
      <c r="M8172" s="13" t="str">
        <f t="shared" si="1315"/>
        <v/>
      </c>
      <c r="Q8172" t="str">
        <f t="shared" si="1316"/>
        <v/>
      </c>
      <c r="R8172" t="str">
        <f t="shared" si="1317"/>
        <v/>
      </c>
      <c r="S8172" t="str">
        <f t="shared" si="1318"/>
        <v/>
      </c>
      <c r="T8172" t="str">
        <f t="shared" si="1319"/>
        <v/>
      </c>
      <c r="U8172" t="str">
        <f t="shared" si="1320"/>
        <v/>
      </c>
      <c r="V8172" t="str">
        <f t="shared" si="1321"/>
        <v/>
      </c>
      <c r="W8172" t="str">
        <f t="shared" si="1322"/>
        <v/>
      </c>
      <c r="X8172">
        <f t="shared" si="1312"/>
        <v>0</v>
      </c>
      <c r="Z8172" t="str">
        <f t="shared" si="1323"/>
        <v/>
      </c>
      <c r="AA8172">
        <f t="shared" si="1313"/>
        <v>0</v>
      </c>
    </row>
    <row r="8173" spans="1:27" ht="21" customHeight="1" x14ac:dyDescent="0.95">
      <c r="A8173" s="56"/>
      <c r="B8173" s="57"/>
      <c r="C8173" s="57"/>
      <c r="D8173" s="57"/>
      <c r="E8173" s="56"/>
      <c r="F8173" s="57"/>
      <c r="G8173" s="57"/>
      <c r="H8173" s="56"/>
      <c r="I8173" s="56"/>
      <c r="J8173" s="58"/>
      <c r="K8173" s="58"/>
      <c r="L8173" s="13" t="str">
        <f t="shared" si="1314"/>
        <v/>
      </c>
      <c r="M8173" s="13" t="str">
        <f t="shared" si="1315"/>
        <v/>
      </c>
      <c r="Q8173" t="str">
        <f t="shared" si="1316"/>
        <v/>
      </c>
      <c r="R8173" t="str">
        <f t="shared" si="1317"/>
        <v/>
      </c>
      <c r="S8173" t="str">
        <f t="shared" si="1318"/>
        <v/>
      </c>
      <c r="T8173" t="str">
        <f t="shared" si="1319"/>
        <v/>
      </c>
      <c r="U8173" t="str">
        <f t="shared" si="1320"/>
        <v/>
      </c>
      <c r="V8173" t="str">
        <f t="shared" si="1321"/>
        <v/>
      </c>
      <c r="W8173" t="str">
        <f t="shared" si="1322"/>
        <v/>
      </c>
      <c r="X8173">
        <f t="shared" si="1312"/>
        <v>0</v>
      </c>
      <c r="Z8173" t="str">
        <f t="shared" si="1323"/>
        <v/>
      </c>
      <c r="AA8173">
        <f t="shared" si="1313"/>
        <v>0</v>
      </c>
    </row>
    <row r="8174" spans="1:27" ht="21" customHeight="1" x14ac:dyDescent="0.95">
      <c r="A8174" s="56"/>
      <c r="B8174" s="57"/>
      <c r="C8174" s="57"/>
      <c r="D8174" s="57"/>
      <c r="E8174" s="56"/>
      <c r="F8174" s="57"/>
      <c r="G8174" s="57"/>
      <c r="H8174" s="56"/>
      <c r="I8174" s="56"/>
      <c r="J8174" s="58"/>
      <c r="K8174" s="58"/>
      <c r="L8174" s="13" t="str">
        <f t="shared" si="1314"/>
        <v/>
      </c>
      <c r="M8174" s="13" t="str">
        <f t="shared" si="1315"/>
        <v/>
      </c>
      <c r="Q8174" t="str">
        <f t="shared" si="1316"/>
        <v/>
      </c>
      <c r="R8174" t="str">
        <f t="shared" si="1317"/>
        <v/>
      </c>
      <c r="S8174" t="str">
        <f t="shared" si="1318"/>
        <v/>
      </c>
      <c r="T8174" t="str">
        <f t="shared" si="1319"/>
        <v/>
      </c>
      <c r="U8174" t="str">
        <f t="shared" si="1320"/>
        <v/>
      </c>
      <c r="V8174" t="str">
        <f t="shared" si="1321"/>
        <v/>
      </c>
      <c r="W8174" t="str">
        <f t="shared" si="1322"/>
        <v/>
      </c>
      <c r="X8174">
        <f t="shared" si="1312"/>
        <v>0</v>
      </c>
      <c r="Z8174" t="str">
        <f t="shared" si="1323"/>
        <v/>
      </c>
      <c r="AA8174">
        <f t="shared" si="1313"/>
        <v>0</v>
      </c>
    </row>
    <row r="8175" spans="1:27" ht="21" customHeight="1" x14ac:dyDescent="0.95">
      <c r="A8175" s="56"/>
      <c r="B8175" s="57"/>
      <c r="C8175" s="57"/>
      <c r="D8175" s="57"/>
      <c r="E8175" s="56"/>
      <c r="F8175" s="57"/>
      <c r="G8175" s="57"/>
      <c r="H8175" s="56"/>
      <c r="I8175" s="56"/>
      <c r="J8175" s="58"/>
      <c r="K8175" s="58"/>
      <c r="L8175" s="13" t="str">
        <f t="shared" si="1314"/>
        <v/>
      </c>
      <c r="M8175" s="13" t="str">
        <f t="shared" si="1315"/>
        <v/>
      </c>
      <c r="Q8175" t="str">
        <f t="shared" si="1316"/>
        <v/>
      </c>
      <c r="R8175" t="str">
        <f t="shared" si="1317"/>
        <v/>
      </c>
      <c r="S8175" t="str">
        <f t="shared" si="1318"/>
        <v/>
      </c>
      <c r="T8175" t="str">
        <f t="shared" si="1319"/>
        <v/>
      </c>
      <c r="U8175" t="str">
        <f t="shared" si="1320"/>
        <v/>
      </c>
      <c r="V8175" t="str">
        <f t="shared" si="1321"/>
        <v/>
      </c>
      <c r="W8175" t="str">
        <f t="shared" si="1322"/>
        <v/>
      </c>
      <c r="X8175">
        <f t="shared" si="1312"/>
        <v>0</v>
      </c>
      <c r="Z8175" t="str">
        <f t="shared" si="1323"/>
        <v/>
      </c>
      <c r="AA8175">
        <f t="shared" si="1313"/>
        <v>0</v>
      </c>
    </row>
    <row r="8176" spans="1:27" ht="21" customHeight="1" x14ac:dyDescent="0.95">
      <c r="A8176" s="56"/>
      <c r="B8176" s="57"/>
      <c r="C8176" s="57"/>
      <c r="D8176" s="57"/>
      <c r="E8176" s="56"/>
      <c r="F8176" s="57"/>
      <c r="G8176" s="57"/>
      <c r="H8176" s="56"/>
      <c r="I8176" s="56"/>
      <c r="J8176" s="58"/>
      <c r="K8176" s="58"/>
      <c r="L8176" s="13" t="str">
        <f t="shared" si="1314"/>
        <v/>
      </c>
      <c r="M8176" s="13" t="str">
        <f t="shared" si="1315"/>
        <v/>
      </c>
      <c r="Q8176" t="str">
        <f t="shared" si="1316"/>
        <v/>
      </c>
      <c r="R8176" t="str">
        <f t="shared" si="1317"/>
        <v/>
      </c>
      <c r="S8176" t="str">
        <f t="shared" si="1318"/>
        <v/>
      </c>
      <c r="T8176" t="str">
        <f t="shared" si="1319"/>
        <v/>
      </c>
      <c r="U8176" t="str">
        <f t="shared" si="1320"/>
        <v/>
      </c>
      <c r="V8176" t="str">
        <f t="shared" si="1321"/>
        <v/>
      </c>
      <c r="W8176" t="str">
        <f t="shared" si="1322"/>
        <v/>
      </c>
      <c r="X8176">
        <f t="shared" si="1312"/>
        <v>0</v>
      </c>
      <c r="Z8176" t="str">
        <f t="shared" si="1323"/>
        <v/>
      </c>
      <c r="AA8176">
        <f t="shared" si="1313"/>
        <v>0</v>
      </c>
    </row>
    <row r="8177" spans="1:27" ht="21" customHeight="1" x14ac:dyDescent="0.95">
      <c r="A8177" s="56"/>
      <c r="B8177" s="57"/>
      <c r="C8177" s="57"/>
      <c r="D8177" s="57"/>
      <c r="E8177" s="56"/>
      <c r="F8177" s="57"/>
      <c r="G8177" s="57"/>
      <c r="H8177" s="56"/>
      <c r="I8177" s="56"/>
      <c r="J8177" s="58"/>
      <c r="K8177" s="58"/>
      <c r="L8177" s="13" t="str">
        <f t="shared" si="1314"/>
        <v/>
      </c>
      <c r="M8177" s="13" t="str">
        <f t="shared" si="1315"/>
        <v/>
      </c>
      <c r="Q8177" t="str">
        <f t="shared" si="1316"/>
        <v/>
      </c>
      <c r="R8177" t="str">
        <f t="shared" si="1317"/>
        <v/>
      </c>
      <c r="S8177" t="str">
        <f t="shared" si="1318"/>
        <v/>
      </c>
      <c r="T8177" t="str">
        <f t="shared" si="1319"/>
        <v/>
      </c>
      <c r="U8177" t="str">
        <f t="shared" si="1320"/>
        <v/>
      </c>
      <c r="V8177" t="str">
        <f t="shared" si="1321"/>
        <v/>
      </c>
      <c r="W8177" t="str">
        <f t="shared" si="1322"/>
        <v/>
      </c>
      <c r="X8177">
        <f t="shared" si="1312"/>
        <v>0</v>
      </c>
      <c r="Z8177" t="str">
        <f t="shared" si="1323"/>
        <v/>
      </c>
      <c r="AA8177">
        <f t="shared" si="1313"/>
        <v>0</v>
      </c>
    </row>
    <row r="8178" spans="1:27" ht="21" customHeight="1" x14ac:dyDescent="0.95">
      <c r="A8178" s="56"/>
      <c r="B8178" s="57"/>
      <c r="C8178" s="57"/>
      <c r="D8178" s="57"/>
      <c r="E8178" s="56"/>
      <c r="F8178" s="57"/>
      <c r="G8178" s="57"/>
      <c r="H8178" s="56"/>
      <c r="I8178" s="56"/>
      <c r="J8178" s="58"/>
      <c r="K8178" s="58"/>
      <c r="L8178" s="13" t="str">
        <f t="shared" si="1314"/>
        <v/>
      </c>
      <c r="M8178" s="13" t="str">
        <f t="shared" si="1315"/>
        <v/>
      </c>
      <c r="Q8178" t="str">
        <f t="shared" si="1316"/>
        <v/>
      </c>
      <c r="R8178" t="str">
        <f t="shared" si="1317"/>
        <v/>
      </c>
      <c r="S8178" t="str">
        <f t="shared" si="1318"/>
        <v/>
      </c>
      <c r="T8178" t="str">
        <f t="shared" si="1319"/>
        <v/>
      </c>
      <c r="U8178" t="str">
        <f t="shared" si="1320"/>
        <v/>
      </c>
      <c r="V8178" t="str">
        <f t="shared" si="1321"/>
        <v/>
      </c>
      <c r="W8178" t="str">
        <f t="shared" si="1322"/>
        <v/>
      </c>
      <c r="X8178">
        <f t="shared" si="1312"/>
        <v>0</v>
      </c>
      <c r="Z8178" t="str">
        <f t="shared" si="1323"/>
        <v/>
      </c>
      <c r="AA8178">
        <f t="shared" si="1313"/>
        <v>0</v>
      </c>
    </row>
    <row r="8179" spans="1:27" ht="21" customHeight="1" x14ac:dyDescent="0.95">
      <c r="A8179" s="56"/>
      <c r="B8179" s="57"/>
      <c r="C8179" s="57"/>
      <c r="D8179" s="57"/>
      <c r="E8179" s="56"/>
      <c r="F8179" s="57"/>
      <c r="G8179" s="57"/>
      <c r="H8179" s="56"/>
      <c r="I8179" s="56"/>
      <c r="J8179" s="58"/>
      <c r="K8179" s="58"/>
      <c r="L8179" s="13" t="str">
        <f t="shared" si="1314"/>
        <v/>
      </c>
      <c r="M8179" s="13" t="str">
        <f t="shared" si="1315"/>
        <v/>
      </c>
      <c r="Q8179" t="str">
        <f t="shared" si="1316"/>
        <v/>
      </c>
      <c r="R8179" t="str">
        <f t="shared" si="1317"/>
        <v/>
      </c>
      <c r="S8179" t="str">
        <f t="shared" si="1318"/>
        <v/>
      </c>
      <c r="T8179" t="str">
        <f t="shared" si="1319"/>
        <v/>
      </c>
      <c r="U8179" t="str">
        <f t="shared" si="1320"/>
        <v/>
      </c>
      <c r="V8179" t="str">
        <f t="shared" si="1321"/>
        <v/>
      </c>
      <c r="W8179" t="str">
        <f t="shared" si="1322"/>
        <v/>
      </c>
      <c r="X8179">
        <f t="shared" si="1312"/>
        <v>0</v>
      </c>
      <c r="Z8179" t="str">
        <f t="shared" si="1323"/>
        <v/>
      </c>
      <c r="AA8179">
        <f t="shared" si="1313"/>
        <v>0</v>
      </c>
    </row>
    <row r="8180" spans="1:27" ht="21" customHeight="1" x14ac:dyDescent="0.95">
      <c r="A8180" s="56"/>
      <c r="B8180" s="57"/>
      <c r="C8180" s="57"/>
      <c r="D8180" s="57"/>
      <c r="E8180" s="56"/>
      <c r="F8180" s="57"/>
      <c r="G8180" s="57"/>
      <c r="H8180" s="56"/>
      <c r="I8180" s="56"/>
      <c r="J8180" s="58"/>
      <c r="K8180" s="58"/>
      <c r="L8180" s="13" t="str">
        <f t="shared" si="1314"/>
        <v/>
      </c>
      <c r="M8180" s="13" t="str">
        <f t="shared" si="1315"/>
        <v/>
      </c>
      <c r="Q8180" t="str">
        <f t="shared" si="1316"/>
        <v/>
      </c>
      <c r="R8180" t="str">
        <f t="shared" si="1317"/>
        <v/>
      </c>
      <c r="S8180" t="str">
        <f t="shared" si="1318"/>
        <v/>
      </c>
      <c r="T8180" t="str">
        <f t="shared" si="1319"/>
        <v/>
      </c>
      <c r="U8180" t="str">
        <f t="shared" si="1320"/>
        <v/>
      </c>
      <c r="V8180" t="str">
        <f t="shared" si="1321"/>
        <v/>
      </c>
      <c r="W8180" t="str">
        <f t="shared" si="1322"/>
        <v/>
      </c>
      <c r="X8180">
        <f t="shared" si="1312"/>
        <v>0</v>
      </c>
      <c r="Z8180" t="str">
        <f t="shared" si="1323"/>
        <v/>
      </c>
      <c r="AA8180">
        <f t="shared" si="1313"/>
        <v>0</v>
      </c>
    </row>
    <row r="8181" spans="1:27" ht="21" customHeight="1" x14ac:dyDescent="0.95">
      <c r="A8181" s="56"/>
      <c r="B8181" s="57"/>
      <c r="C8181" s="57"/>
      <c r="D8181" s="57"/>
      <c r="E8181" s="56"/>
      <c r="F8181" s="57"/>
      <c r="G8181" s="57"/>
      <c r="H8181" s="56"/>
      <c r="I8181" s="56"/>
      <c r="J8181" s="58"/>
      <c r="K8181" s="58"/>
      <c r="L8181" s="13" t="str">
        <f t="shared" si="1314"/>
        <v/>
      </c>
      <c r="M8181" s="13" t="str">
        <f t="shared" si="1315"/>
        <v/>
      </c>
      <c r="Q8181" t="str">
        <f t="shared" si="1316"/>
        <v/>
      </c>
      <c r="R8181" t="str">
        <f t="shared" si="1317"/>
        <v/>
      </c>
      <c r="S8181" t="str">
        <f t="shared" si="1318"/>
        <v/>
      </c>
      <c r="T8181" t="str">
        <f t="shared" si="1319"/>
        <v/>
      </c>
      <c r="U8181" t="str">
        <f t="shared" si="1320"/>
        <v/>
      </c>
      <c r="V8181" t="str">
        <f t="shared" si="1321"/>
        <v/>
      </c>
      <c r="W8181" t="str">
        <f t="shared" si="1322"/>
        <v/>
      </c>
      <c r="X8181">
        <f t="shared" ref="X8181:X8244" si="1324">IF($T8181="",N($X8180),IF(MATCH($T8181,$T$6:$T$10005,0)=ROW()-5,N($X8180)+1,N($X8180)))</f>
        <v>0</v>
      </c>
      <c r="Z8181" t="str">
        <f t="shared" si="1323"/>
        <v/>
      </c>
      <c r="AA8181">
        <f t="shared" ref="AA8181:AA8244" si="1325">IF($V8181="",N($AA8180),IF(MATCH($V8181,$V$6:$V$10005,0)=ROW()-5,N($AA8180)+1,N($AA8180)))</f>
        <v>0</v>
      </c>
    </row>
    <row r="8182" spans="1:27" ht="21" customHeight="1" x14ac:dyDescent="0.95">
      <c r="A8182" s="56"/>
      <c r="B8182" s="57"/>
      <c r="C8182" s="57"/>
      <c r="D8182" s="57"/>
      <c r="E8182" s="56"/>
      <c r="F8182" s="57"/>
      <c r="G8182" s="57"/>
      <c r="H8182" s="56"/>
      <c r="I8182" s="56"/>
      <c r="J8182" s="58"/>
      <c r="K8182" s="58"/>
      <c r="L8182" s="13" t="str">
        <f t="shared" si="1314"/>
        <v/>
      </c>
      <c r="M8182" s="13" t="str">
        <f t="shared" si="1315"/>
        <v/>
      </c>
      <c r="Q8182" t="str">
        <f t="shared" si="1316"/>
        <v/>
      </c>
      <c r="R8182" t="str">
        <f t="shared" si="1317"/>
        <v/>
      </c>
      <c r="S8182" t="str">
        <f t="shared" si="1318"/>
        <v/>
      </c>
      <c r="T8182" t="str">
        <f t="shared" si="1319"/>
        <v/>
      </c>
      <c r="U8182" t="str">
        <f t="shared" si="1320"/>
        <v/>
      </c>
      <c r="V8182" t="str">
        <f t="shared" si="1321"/>
        <v/>
      </c>
      <c r="W8182" t="str">
        <f t="shared" si="1322"/>
        <v/>
      </c>
      <c r="X8182">
        <f t="shared" si="1324"/>
        <v>0</v>
      </c>
      <c r="Z8182" t="str">
        <f t="shared" si="1323"/>
        <v/>
      </c>
      <c r="AA8182">
        <f t="shared" si="1325"/>
        <v>0</v>
      </c>
    </row>
    <row r="8183" spans="1:27" ht="21" customHeight="1" x14ac:dyDescent="0.95">
      <c r="A8183" s="56"/>
      <c r="B8183" s="57"/>
      <c r="C8183" s="57"/>
      <c r="D8183" s="57"/>
      <c r="E8183" s="56"/>
      <c r="F8183" s="57"/>
      <c r="G8183" s="57"/>
      <c r="H8183" s="56"/>
      <c r="I8183" s="56"/>
      <c r="J8183" s="58"/>
      <c r="K8183" s="58"/>
      <c r="L8183" s="13" t="str">
        <f t="shared" si="1314"/>
        <v/>
      </c>
      <c r="M8183" s="13" t="str">
        <f t="shared" si="1315"/>
        <v/>
      </c>
      <c r="Q8183" t="str">
        <f t="shared" si="1316"/>
        <v/>
      </c>
      <c r="R8183" t="str">
        <f t="shared" si="1317"/>
        <v/>
      </c>
      <c r="S8183" t="str">
        <f t="shared" si="1318"/>
        <v/>
      </c>
      <c r="T8183" t="str">
        <f t="shared" si="1319"/>
        <v/>
      </c>
      <c r="U8183" t="str">
        <f t="shared" si="1320"/>
        <v/>
      </c>
      <c r="V8183" t="str">
        <f t="shared" si="1321"/>
        <v/>
      </c>
      <c r="W8183" t="str">
        <f t="shared" si="1322"/>
        <v/>
      </c>
      <c r="X8183">
        <f t="shared" si="1324"/>
        <v>0</v>
      </c>
      <c r="Z8183" t="str">
        <f t="shared" si="1323"/>
        <v/>
      </c>
      <c r="AA8183">
        <f t="shared" si="1325"/>
        <v>0</v>
      </c>
    </row>
    <row r="8184" spans="1:27" ht="21" customHeight="1" x14ac:dyDescent="0.95">
      <c r="A8184" s="56"/>
      <c r="B8184" s="57"/>
      <c r="C8184" s="57"/>
      <c r="D8184" s="57"/>
      <c r="E8184" s="56"/>
      <c r="F8184" s="57"/>
      <c r="G8184" s="57"/>
      <c r="H8184" s="56"/>
      <c r="I8184" s="56"/>
      <c r="J8184" s="58"/>
      <c r="K8184" s="58"/>
      <c r="L8184" s="13" t="str">
        <f t="shared" si="1314"/>
        <v/>
      </c>
      <c r="M8184" s="13" t="str">
        <f t="shared" si="1315"/>
        <v/>
      </c>
      <c r="Q8184" t="str">
        <f t="shared" si="1316"/>
        <v/>
      </c>
      <c r="R8184" t="str">
        <f t="shared" si="1317"/>
        <v/>
      </c>
      <c r="S8184" t="str">
        <f t="shared" si="1318"/>
        <v/>
      </c>
      <c r="T8184" t="str">
        <f t="shared" si="1319"/>
        <v/>
      </c>
      <c r="U8184" t="str">
        <f t="shared" si="1320"/>
        <v/>
      </c>
      <c r="V8184" t="str">
        <f t="shared" si="1321"/>
        <v/>
      </c>
      <c r="W8184" t="str">
        <f t="shared" si="1322"/>
        <v/>
      </c>
      <c r="X8184">
        <f t="shared" si="1324"/>
        <v>0</v>
      </c>
      <c r="Z8184" t="str">
        <f t="shared" si="1323"/>
        <v/>
      </c>
      <c r="AA8184">
        <f t="shared" si="1325"/>
        <v>0</v>
      </c>
    </row>
    <row r="8185" spans="1:27" ht="21" customHeight="1" x14ac:dyDescent="0.95">
      <c r="A8185" s="56"/>
      <c r="B8185" s="57"/>
      <c r="C8185" s="57"/>
      <c r="D8185" s="57"/>
      <c r="E8185" s="56"/>
      <c r="F8185" s="57"/>
      <c r="G8185" s="57"/>
      <c r="H8185" s="56"/>
      <c r="I8185" s="56"/>
      <c r="J8185" s="58"/>
      <c r="K8185" s="58"/>
      <c r="L8185" s="13" t="str">
        <f t="shared" si="1314"/>
        <v/>
      </c>
      <c r="M8185" s="13" t="str">
        <f t="shared" si="1315"/>
        <v/>
      </c>
      <c r="Q8185" t="str">
        <f t="shared" si="1316"/>
        <v/>
      </c>
      <c r="R8185" t="str">
        <f t="shared" si="1317"/>
        <v/>
      </c>
      <c r="S8185" t="str">
        <f t="shared" si="1318"/>
        <v/>
      </c>
      <c r="T8185" t="str">
        <f t="shared" si="1319"/>
        <v/>
      </c>
      <c r="U8185" t="str">
        <f t="shared" si="1320"/>
        <v/>
      </c>
      <c r="V8185" t="str">
        <f t="shared" si="1321"/>
        <v/>
      </c>
      <c r="W8185" t="str">
        <f t="shared" si="1322"/>
        <v/>
      </c>
      <c r="X8185">
        <f t="shared" si="1324"/>
        <v>0</v>
      </c>
      <c r="Z8185" t="str">
        <f t="shared" si="1323"/>
        <v/>
      </c>
      <c r="AA8185">
        <f t="shared" si="1325"/>
        <v>0</v>
      </c>
    </row>
    <row r="8186" spans="1:27" ht="21" customHeight="1" x14ac:dyDescent="0.95">
      <c r="A8186" s="56"/>
      <c r="B8186" s="57"/>
      <c r="C8186" s="57"/>
      <c r="D8186" s="57"/>
      <c r="E8186" s="56"/>
      <c r="F8186" s="57"/>
      <c r="G8186" s="57"/>
      <c r="H8186" s="56"/>
      <c r="I8186" s="56"/>
      <c r="J8186" s="58"/>
      <c r="K8186" s="58"/>
      <c r="L8186" s="13" t="str">
        <f t="shared" si="1314"/>
        <v/>
      </c>
      <c r="M8186" s="13" t="str">
        <f t="shared" si="1315"/>
        <v/>
      </c>
      <c r="Q8186" t="str">
        <f t="shared" si="1316"/>
        <v/>
      </c>
      <c r="R8186" t="str">
        <f t="shared" si="1317"/>
        <v/>
      </c>
      <c r="S8186" t="str">
        <f t="shared" si="1318"/>
        <v/>
      </c>
      <c r="T8186" t="str">
        <f t="shared" si="1319"/>
        <v/>
      </c>
      <c r="U8186" t="str">
        <f t="shared" si="1320"/>
        <v/>
      </c>
      <c r="V8186" t="str">
        <f t="shared" si="1321"/>
        <v/>
      </c>
      <c r="W8186" t="str">
        <f t="shared" si="1322"/>
        <v/>
      </c>
      <c r="X8186">
        <f t="shared" si="1324"/>
        <v>0</v>
      </c>
      <c r="Z8186" t="str">
        <f t="shared" si="1323"/>
        <v/>
      </c>
      <c r="AA8186">
        <f t="shared" si="1325"/>
        <v>0</v>
      </c>
    </row>
    <row r="8187" spans="1:27" ht="21" customHeight="1" x14ac:dyDescent="0.95">
      <c r="A8187" s="56"/>
      <c r="B8187" s="57"/>
      <c r="C8187" s="57"/>
      <c r="D8187" s="57"/>
      <c r="E8187" s="56"/>
      <c r="F8187" s="57"/>
      <c r="G8187" s="57"/>
      <c r="H8187" s="56"/>
      <c r="I8187" s="56"/>
      <c r="J8187" s="58"/>
      <c r="K8187" s="58"/>
      <c r="L8187" s="13" t="str">
        <f t="shared" si="1314"/>
        <v/>
      </c>
      <c r="M8187" s="13" t="str">
        <f t="shared" si="1315"/>
        <v/>
      </c>
      <c r="Q8187" t="str">
        <f t="shared" si="1316"/>
        <v/>
      </c>
      <c r="R8187" t="str">
        <f t="shared" si="1317"/>
        <v/>
      </c>
      <c r="S8187" t="str">
        <f t="shared" si="1318"/>
        <v/>
      </c>
      <c r="T8187" t="str">
        <f t="shared" si="1319"/>
        <v/>
      </c>
      <c r="U8187" t="str">
        <f t="shared" si="1320"/>
        <v/>
      </c>
      <c r="V8187" t="str">
        <f t="shared" si="1321"/>
        <v/>
      </c>
      <c r="W8187" t="str">
        <f t="shared" si="1322"/>
        <v/>
      </c>
      <c r="X8187">
        <f t="shared" si="1324"/>
        <v>0</v>
      </c>
      <c r="Z8187" t="str">
        <f t="shared" si="1323"/>
        <v/>
      </c>
      <c r="AA8187">
        <f t="shared" si="1325"/>
        <v>0</v>
      </c>
    </row>
    <row r="8188" spans="1:27" ht="21" customHeight="1" x14ac:dyDescent="0.95">
      <c r="A8188" s="56"/>
      <c r="B8188" s="57"/>
      <c r="C8188" s="57"/>
      <c r="D8188" s="57"/>
      <c r="E8188" s="56"/>
      <c r="F8188" s="57"/>
      <c r="G8188" s="57"/>
      <c r="H8188" s="56"/>
      <c r="I8188" s="56"/>
      <c r="J8188" s="58"/>
      <c r="K8188" s="58"/>
      <c r="L8188" s="13" t="str">
        <f t="shared" si="1314"/>
        <v/>
      </c>
      <c r="M8188" s="13" t="str">
        <f t="shared" si="1315"/>
        <v/>
      </c>
      <c r="Q8188" t="str">
        <f t="shared" si="1316"/>
        <v/>
      </c>
      <c r="R8188" t="str">
        <f t="shared" si="1317"/>
        <v/>
      </c>
      <c r="S8188" t="str">
        <f t="shared" si="1318"/>
        <v/>
      </c>
      <c r="T8188" t="str">
        <f t="shared" si="1319"/>
        <v/>
      </c>
      <c r="U8188" t="str">
        <f t="shared" si="1320"/>
        <v/>
      </c>
      <c r="V8188" t="str">
        <f t="shared" si="1321"/>
        <v/>
      </c>
      <c r="W8188" t="str">
        <f t="shared" si="1322"/>
        <v/>
      </c>
      <c r="X8188">
        <f t="shared" si="1324"/>
        <v>0</v>
      </c>
      <c r="Z8188" t="str">
        <f t="shared" si="1323"/>
        <v/>
      </c>
      <c r="AA8188">
        <f t="shared" si="1325"/>
        <v>0</v>
      </c>
    </row>
    <row r="8189" spans="1:27" ht="21" customHeight="1" x14ac:dyDescent="0.95">
      <c r="A8189" s="56"/>
      <c r="B8189" s="57"/>
      <c r="C8189" s="57"/>
      <c r="D8189" s="57"/>
      <c r="E8189" s="56"/>
      <c r="F8189" s="57"/>
      <c r="G8189" s="57"/>
      <c r="H8189" s="56"/>
      <c r="I8189" s="56"/>
      <c r="J8189" s="58"/>
      <c r="K8189" s="58"/>
      <c r="L8189" s="13" t="str">
        <f t="shared" si="1314"/>
        <v/>
      </c>
      <c r="M8189" s="13" t="str">
        <f t="shared" si="1315"/>
        <v/>
      </c>
      <c r="Q8189" t="str">
        <f t="shared" si="1316"/>
        <v/>
      </c>
      <c r="R8189" t="str">
        <f t="shared" si="1317"/>
        <v/>
      </c>
      <c r="S8189" t="str">
        <f t="shared" si="1318"/>
        <v/>
      </c>
      <c r="T8189" t="str">
        <f t="shared" si="1319"/>
        <v/>
      </c>
      <c r="U8189" t="str">
        <f t="shared" si="1320"/>
        <v/>
      </c>
      <c r="V8189" t="str">
        <f t="shared" si="1321"/>
        <v/>
      </c>
      <c r="W8189" t="str">
        <f t="shared" si="1322"/>
        <v/>
      </c>
      <c r="X8189">
        <f t="shared" si="1324"/>
        <v>0</v>
      </c>
      <c r="Z8189" t="str">
        <f t="shared" si="1323"/>
        <v/>
      </c>
      <c r="AA8189">
        <f t="shared" si="1325"/>
        <v>0</v>
      </c>
    </row>
    <row r="8190" spans="1:27" ht="21" customHeight="1" x14ac:dyDescent="0.95">
      <c r="A8190" s="56"/>
      <c r="B8190" s="57"/>
      <c r="C8190" s="57"/>
      <c r="D8190" s="57"/>
      <c r="E8190" s="56"/>
      <c r="F8190" s="57"/>
      <c r="G8190" s="57"/>
      <c r="H8190" s="56"/>
      <c r="I8190" s="56"/>
      <c r="J8190" s="58"/>
      <c r="K8190" s="58"/>
      <c r="L8190" s="13" t="str">
        <f t="shared" si="1314"/>
        <v/>
      </c>
      <c r="M8190" s="13" t="str">
        <f t="shared" si="1315"/>
        <v/>
      </c>
      <c r="Q8190" t="str">
        <f t="shared" si="1316"/>
        <v/>
      </c>
      <c r="R8190" t="str">
        <f t="shared" si="1317"/>
        <v/>
      </c>
      <c r="S8190" t="str">
        <f t="shared" si="1318"/>
        <v/>
      </c>
      <c r="T8190" t="str">
        <f t="shared" si="1319"/>
        <v/>
      </c>
      <c r="U8190" t="str">
        <f t="shared" si="1320"/>
        <v/>
      </c>
      <c r="V8190" t="str">
        <f t="shared" si="1321"/>
        <v/>
      </c>
      <c r="W8190" t="str">
        <f t="shared" si="1322"/>
        <v/>
      </c>
      <c r="X8190">
        <f t="shared" si="1324"/>
        <v>0</v>
      </c>
      <c r="Z8190" t="str">
        <f t="shared" si="1323"/>
        <v/>
      </c>
      <c r="AA8190">
        <f t="shared" si="1325"/>
        <v>0</v>
      </c>
    </row>
    <row r="8191" spans="1:27" ht="21" customHeight="1" x14ac:dyDescent="0.95">
      <c r="A8191" s="56"/>
      <c r="B8191" s="57"/>
      <c r="C8191" s="57"/>
      <c r="D8191" s="57"/>
      <c r="E8191" s="56"/>
      <c r="F8191" s="57"/>
      <c r="G8191" s="57"/>
      <c r="H8191" s="56"/>
      <c r="I8191" s="56"/>
      <c r="J8191" s="58"/>
      <c r="K8191" s="58"/>
      <c r="L8191" s="13" t="str">
        <f t="shared" si="1314"/>
        <v/>
      </c>
      <c r="M8191" s="13" t="str">
        <f t="shared" si="1315"/>
        <v/>
      </c>
      <c r="Q8191" t="str">
        <f t="shared" si="1316"/>
        <v/>
      </c>
      <c r="R8191" t="str">
        <f t="shared" si="1317"/>
        <v/>
      </c>
      <c r="S8191" t="str">
        <f t="shared" si="1318"/>
        <v/>
      </c>
      <c r="T8191" t="str">
        <f t="shared" si="1319"/>
        <v/>
      </c>
      <c r="U8191" t="str">
        <f t="shared" si="1320"/>
        <v/>
      </c>
      <c r="V8191" t="str">
        <f t="shared" si="1321"/>
        <v/>
      </c>
      <c r="W8191" t="str">
        <f t="shared" si="1322"/>
        <v/>
      </c>
      <c r="X8191">
        <f t="shared" si="1324"/>
        <v>0</v>
      </c>
      <c r="Z8191" t="str">
        <f t="shared" si="1323"/>
        <v/>
      </c>
      <c r="AA8191">
        <f t="shared" si="1325"/>
        <v>0</v>
      </c>
    </row>
    <row r="8192" spans="1:27" ht="21" customHeight="1" x14ac:dyDescent="0.95">
      <c r="A8192" s="56"/>
      <c r="B8192" s="57"/>
      <c r="C8192" s="57"/>
      <c r="D8192" s="57"/>
      <c r="E8192" s="56"/>
      <c r="F8192" s="57"/>
      <c r="G8192" s="57"/>
      <c r="H8192" s="56"/>
      <c r="I8192" s="56"/>
      <c r="J8192" s="58"/>
      <c r="K8192" s="58"/>
      <c r="L8192" s="13" t="str">
        <f t="shared" si="1314"/>
        <v/>
      </c>
      <c r="M8192" s="13" t="str">
        <f t="shared" si="1315"/>
        <v/>
      </c>
      <c r="Q8192" t="str">
        <f t="shared" si="1316"/>
        <v/>
      </c>
      <c r="R8192" t="str">
        <f t="shared" si="1317"/>
        <v/>
      </c>
      <c r="S8192" t="str">
        <f t="shared" si="1318"/>
        <v/>
      </c>
      <c r="T8192" t="str">
        <f t="shared" si="1319"/>
        <v/>
      </c>
      <c r="U8192" t="str">
        <f t="shared" si="1320"/>
        <v/>
      </c>
      <c r="V8192" t="str">
        <f t="shared" si="1321"/>
        <v/>
      </c>
      <c r="W8192" t="str">
        <f t="shared" si="1322"/>
        <v/>
      </c>
      <c r="X8192">
        <f t="shared" si="1324"/>
        <v>0</v>
      </c>
      <c r="Z8192" t="str">
        <f t="shared" si="1323"/>
        <v/>
      </c>
      <c r="AA8192">
        <f t="shared" si="1325"/>
        <v>0</v>
      </c>
    </row>
    <row r="8193" spans="1:27" ht="21" customHeight="1" x14ac:dyDescent="0.95">
      <c r="A8193" s="56"/>
      <c r="B8193" s="57"/>
      <c r="C8193" s="57"/>
      <c r="D8193" s="57"/>
      <c r="E8193" s="56"/>
      <c r="F8193" s="57"/>
      <c r="G8193" s="57"/>
      <c r="H8193" s="56"/>
      <c r="I8193" s="56"/>
      <c r="J8193" s="58"/>
      <c r="K8193" s="58"/>
      <c r="L8193" s="13" t="str">
        <f t="shared" si="1314"/>
        <v/>
      </c>
      <c r="M8193" s="13" t="str">
        <f t="shared" si="1315"/>
        <v/>
      </c>
      <c r="Q8193" t="str">
        <f t="shared" si="1316"/>
        <v/>
      </c>
      <c r="R8193" t="str">
        <f t="shared" si="1317"/>
        <v/>
      </c>
      <c r="S8193" t="str">
        <f t="shared" si="1318"/>
        <v/>
      </c>
      <c r="T8193" t="str">
        <f t="shared" si="1319"/>
        <v/>
      </c>
      <c r="U8193" t="str">
        <f t="shared" si="1320"/>
        <v/>
      </c>
      <c r="V8193" t="str">
        <f t="shared" si="1321"/>
        <v/>
      </c>
      <c r="W8193" t="str">
        <f t="shared" si="1322"/>
        <v/>
      </c>
      <c r="X8193">
        <f t="shared" si="1324"/>
        <v>0</v>
      </c>
      <c r="Z8193" t="str">
        <f t="shared" si="1323"/>
        <v/>
      </c>
      <c r="AA8193">
        <f t="shared" si="1325"/>
        <v>0</v>
      </c>
    </row>
    <row r="8194" spans="1:27" ht="21" customHeight="1" x14ac:dyDescent="0.95">
      <c r="A8194" s="56"/>
      <c r="B8194" s="57"/>
      <c r="C8194" s="57"/>
      <c r="D8194" s="57"/>
      <c r="E8194" s="56"/>
      <c r="F8194" s="57"/>
      <c r="G8194" s="57"/>
      <c r="H8194" s="56"/>
      <c r="I8194" s="56"/>
      <c r="J8194" s="58"/>
      <c r="K8194" s="58"/>
      <c r="L8194" s="13" t="str">
        <f t="shared" si="1314"/>
        <v/>
      </c>
      <c r="M8194" s="13" t="str">
        <f t="shared" si="1315"/>
        <v/>
      </c>
      <c r="Q8194" t="str">
        <f t="shared" si="1316"/>
        <v/>
      </c>
      <c r="R8194" t="str">
        <f t="shared" si="1317"/>
        <v/>
      </c>
      <c r="S8194" t="str">
        <f t="shared" si="1318"/>
        <v/>
      </c>
      <c r="T8194" t="str">
        <f t="shared" si="1319"/>
        <v/>
      </c>
      <c r="U8194" t="str">
        <f t="shared" si="1320"/>
        <v/>
      </c>
      <c r="V8194" t="str">
        <f t="shared" si="1321"/>
        <v/>
      </c>
      <c r="W8194" t="str">
        <f t="shared" si="1322"/>
        <v/>
      </c>
      <c r="X8194">
        <f t="shared" si="1324"/>
        <v>0</v>
      </c>
      <c r="Z8194" t="str">
        <f t="shared" si="1323"/>
        <v/>
      </c>
      <c r="AA8194">
        <f t="shared" si="1325"/>
        <v>0</v>
      </c>
    </row>
    <row r="8195" spans="1:27" ht="21" customHeight="1" x14ac:dyDescent="0.95">
      <c r="A8195" s="56"/>
      <c r="B8195" s="57"/>
      <c r="C8195" s="57"/>
      <c r="D8195" s="57"/>
      <c r="E8195" s="56"/>
      <c r="F8195" s="57"/>
      <c r="G8195" s="57"/>
      <c r="H8195" s="56"/>
      <c r="I8195" s="56"/>
      <c r="J8195" s="58"/>
      <c r="K8195" s="58"/>
      <c r="L8195" s="13" t="str">
        <f t="shared" si="1314"/>
        <v/>
      </c>
      <c r="M8195" s="13" t="str">
        <f t="shared" si="1315"/>
        <v/>
      </c>
      <c r="Q8195" t="str">
        <f t="shared" si="1316"/>
        <v/>
      </c>
      <c r="R8195" t="str">
        <f t="shared" si="1317"/>
        <v/>
      </c>
      <c r="S8195" t="str">
        <f t="shared" si="1318"/>
        <v/>
      </c>
      <c r="T8195" t="str">
        <f t="shared" si="1319"/>
        <v/>
      </c>
      <c r="U8195" t="str">
        <f t="shared" si="1320"/>
        <v/>
      </c>
      <c r="V8195" t="str">
        <f t="shared" si="1321"/>
        <v/>
      </c>
      <c r="W8195" t="str">
        <f t="shared" si="1322"/>
        <v/>
      </c>
      <c r="X8195">
        <f t="shared" si="1324"/>
        <v>0</v>
      </c>
      <c r="Z8195" t="str">
        <f t="shared" si="1323"/>
        <v/>
      </c>
      <c r="AA8195">
        <f t="shared" si="1325"/>
        <v>0</v>
      </c>
    </row>
    <row r="8196" spans="1:27" ht="21" customHeight="1" x14ac:dyDescent="0.95">
      <c r="A8196" s="56"/>
      <c r="B8196" s="57"/>
      <c r="C8196" s="57"/>
      <c r="D8196" s="57"/>
      <c r="E8196" s="56"/>
      <c r="F8196" s="57"/>
      <c r="G8196" s="57"/>
      <c r="H8196" s="56"/>
      <c r="I8196" s="56"/>
      <c r="J8196" s="58"/>
      <c r="K8196" s="58"/>
      <c r="L8196" s="13" t="str">
        <f t="shared" ref="L8196:L8259" si="1326">IF(OR($A8196="",AND($J8196="",$K8196="")),"",ROUND(N($J8196)-N($K8196),2))</f>
        <v/>
      </c>
      <c r="M8196" s="13" t="str">
        <f t="shared" ref="M8196:M8259" si="1327">IF(OR($A8196="",AND($J8196="",$K8196="")),"",MIN($J8196,$K8196))</f>
        <v/>
      </c>
      <c r="Q8196" t="str">
        <f t="shared" ref="Q8196:Q8259" si="1328">IF($A8196="","",$D8196&amp;"("&amp;SUBSTITUTE($E8196," ","")&amp;")")</f>
        <v/>
      </c>
      <c r="R8196" t="str">
        <f t="shared" ref="R8196:R8259" si="1329">IF($A8196="","",$B8196&amp;" - "&amp;$C8196)</f>
        <v/>
      </c>
      <c r="S8196" t="str">
        <f t="shared" ref="S8196:S8259" si="1330">IF($A8196="","",$R8196&amp;"|"&amp;$Q8196)</f>
        <v/>
      </c>
      <c r="T8196" t="str">
        <f t="shared" ref="T8196:T8259" si="1331">IF($A8196="","",$S8196&amp;"|"&amp;$F8196)</f>
        <v/>
      </c>
      <c r="U8196" t="str">
        <f t="shared" ref="U8196:U8259" si="1332">IF($A8196="","",$R8196&amp;"("&amp;$E8196&amp;")")</f>
        <v/>
      </c>
      <c r="V8196" t="str">
        <f t="shared" ref="V8196:V8259" si="1333">IF($A8196="","",$F8196&amp;"|"&amp;$U8196&amp;"|"&amp;$D8196)</f>
        <v/>
      </c>
      <c r="W8196" t="str">
        <f t="shared" si="1322"/>
        <v/>
      </c>
      <c r="X8196">
        <f t="shared" si="1324"/>
        <v>0</v>
      </c>
      <c r="Z8196" t="str">
        <f t="shared" si="1323"/>
        <v/>
      </c>
      <c r="AA8196">
        <f t="shared" si="1325"/>
        <v>0</v>
      </c>
    </row>
    <row r="8197" spans="1:27" ht="21" customHeight="1" x14ac:dyDescent="0.95">
      <c r="A8197" s="56"/>
      <c r="B8197" s="57"/>
      <c r="C8197" s="57"/>
      <c r="D8197" s="57"/>
      <c r="E8197" s="56"/>
      <c r="F8197" s="57"/>
      <c r="G8197" s="57"/>
      <c r="H8197" s="56"/>
      <c r="I8197" s="56"/>
      <c r="J8197" s="58"/>
      <c r="K8197" s="58"/>
      <c r="L8197" s="13" t="str">
        <f t="shared" si="1326"/>
        <v/>
      </c>
      <c r="M8197" s="13" t="str">
        <f t="shared" si="1327"/>
        <v/>
      </c>
      <c r="Q8197" t="str">
        <f t="shared" si="1328"/>
        <v/>
      </c>
      <c r="R8197" t="str">
        <f t="shared" si="1329"/>
        <v/>
      </c>
      <c r="S8197" t="str">
        <f t="shared" si="1330"/>
        <v/>
      </c>
      <c r="T8197" t="str">
        <f t="shared" si="1331"/>
        <v/>
      </c>
      <c r="U8197" t="str">
        <f t="shared" si="1332"/>
        <v/>
      </c>
      <c r="V8197" t="str">
        <f t="shared" si="1333"/>
        <v/>
      </c>
      <c r="W8197" t="str">
        <f t="shared" si="1322"/>
        <v/>
      </c>
      <c r="X8197">
        <f t="shared" si="1324"/>
        <v>0</v>
      </c>
      <c r="Z8197" t="str">
        <f t="shared" si="1323"/>
        <v/>
      </c>
      <c r="AA8197">
        <f t="shared" si="1325"/>
        <v>0</v>
      </c>
    </row>
    <row r="8198" spans="1:27" ht="21" customHeight="1" x14ac:dyDescent="0.95">
      <c r="A8198" s="56"/>
      <c r="B8198" s="57"/>
      <c r="C8198" s="57"/>
      <c r="D8198" s="57"/>
      <c r="E8198" s="56"/>
      <c r="F8198" s="57"/>
      <c r="G8198" s="57"/>
      <c r="H8198" s="56"/>
      <c r="I8198" s="56"/>
      <c r="J8198" s="58"/>
      <c r="K8198" s="58"/>
      <c r="L8198" s="13" t="str">
        <f t="shared" si="1326"/>
        <v/>
      </c>
      <c r="M8198" s="13" t="str">
        <f t="shared" si="1327"/>
        <v/>
      </c>
      <c r="Q8198" t="str">
        <f t="shared" si="1328"/>
        <v/>
      </c>
      <c r="R8198" t="str">
        <f t="shared" si="1329"/>
        <v/>
      </c>
      <c r="S8198" t="str">
        <f t="shared" si="1330"/>
        <v/>
      </c>
      <c r="T8198" t="str">
        <f t="shared" si="1331"/>
        <v/>
      </c>
      <c r="U8198" t="str">
        <f t="shared" si="1332"/>
        <v/>
      </c>
      <c r="V8198" t="str">
        <f t="shared" si="1333"/>
        <v/>
      </c>
      <c r="W8198" t="str">
        <f t="shared" ref="W8198:W8261" si="1334">IF($T8198="","",IF($X8198&gt;N($X8197),$X8198,""))</f>
        <v/>
      </c>
      <c r="X8198">
        <f t="shared" si="1324"/>
        <v>0</v>
      </c>
      <c r="Z8198" t="str">
        <f t="shared" ref="Z8198:Z8261" si="1335">IF($V8198="","",IF($AA8198&gt;N($AA8197),$AA8198,""))</f>
        <v/>
      </c>
      <c r="AA8198">
        <f t="shared" si="1325"/>
        <v>0</v>
      </c>
    </row>
    <row r="8199" spans="1:27" ht="21" customHeight="1" x14ac:dyDescent="0.95">
      <c r="A8199" s="56"/>
      <c r="B8199" s="57"/>
      <c r="C8199" s="57"/>
      <c r="D8199" s="57"/>
      <c r="E8199" s="56"/>
      <c r="F8199" s="57"/>
      <c r="G8199" s="57"/>
      <c r="H8199" s="56"/>
      <c r="I8199" s="56"/>
      <c r="J8199" s="58"/>
      <c r="K8199" s="58"/>
      <c r="L8199" s="13" t="str">
        <f t="shared" si="1326"/>
        <v/>
      </c>
      <c r="M8199" s="13" t="str">
        <f t="shared" si="1327"/>
        <v/>
      </c>
      <c r="Q8199" t="str">
        <f t="shared" si="1328"/>
        <v/>
      </c>
      <c r="R8199" t="str">
        <f t="shared" si="1329"/>
        <v/>
      </c>
      <c r="S8199" t="str">
        <f t="shared" si="1330"/>
        <v/>
      </c>
      <c r="T8199" t="str">
        <f t="shared" si="1331"/>
        <v/>
      </c>
      <c r="U8199" t="str">
        <f t="shared" si="1332"/>
        <v/>
      </c>
      <c r="V8199" t="str">
        <f t="shared" si="1333"/>
        <v/>
      </c>
      <c r="W8199" t="str">
        <f t="shared" si="1334"/>
        <v/>
      </c>
      <c r="X8199">
        <f t="shared" si="1324"/>
        <v>0</v>
      </c>
      <c r="Z8199" t="str">
        <f t="shared" si="1335"/>
        <v/>
      </c>
      <c r="AA8199">
        <f t="shared" si="1325"/>
        <v>0</v>
      </c>
    </row>
    <row r="8200" spans="1:27" ht="21" customHeight="1" x14ac:dyDescent="0.95">
      <c r="A8200" s="56"/>
      <c r="B8200" s="57"/>
      <c r="C8200" s="57"/>
      <c r="D8200" s="57"/>
      <c r="E8200" s="56"/>
      <c r="F8200" s="57"/>
      <c r="G8200" s="57"/>
      <c r="H8200" s="56"/>
      <c r="I8200" s="56"/>
      <c r="J8200" s="58"/>
      <c r="K8200" s="58"/>
      <c r="L8200" s="13" t="str">
        <f t="shared" si="1326"/>
        <v/>
      </c>
      <c r="M8200" s="13" t="str">
        <f t="shared" si="1327"/>
        <v/>
      </c>
      <c r="Q8200" t="str">
        <f t="shared" si="1328"/>
        <v/>
      </c>
      <c r="R8200" t="str">
        <f t="shared" si="1329"/>
        <v/>
      </c>
      <c r="S8200" t="str">
        <f t="shared" si="1330"/>
        <v/>
      </c>
      <c r="T8200" t="str">
        <f t="shared" si="1331"/>
        <v/>
      </c>
      <c r="U8200" t="str">
        <f t="shared" si="1332"/>
        <v/>
      </c>
      <c r="V8200" t="str">
        <f t="shared" si="1333"/>
        <v/>
      </c>
      <c r="W8200" t="str">
        <f t="shared" si="1334"/>
        <v/>
      </c>
      <c r="X8200">
        <f t="shared" si="1324"/>
        <v>0</v>
      </c>
      <c r="Z8200" t="str">
        <f t="shared" si="1335"/>
        <v/>
      </c>
      <c r="AA8200">
        <f t="shared" si="1325"/>
        <v>0</v>
      </c>
    </row>
    <row r="8201" spans="1:27" ht="21" customHeight="1" x14ac:dyDescent="0.95">
      <c r="A8201" s="56"/>
      <c r="B8201" s="57"/>
      <c r="C8201" s="57"/>
      <c r="D8201" s="57"/>
      <c r="E8201" s="56"/>
      <c r="F8201" s="57"/>
      <c r="G8201" s="57"/>
      <c r="H8201" s="56"/>
      <c r="I8201" s="56"/>
      <c r="J8201" s="58"/>
      <c r="K8201" s="58"/>
      <c r="L8201" s="13" t="str">
        <f t="shared" si="1326"/>
        <v/>
      </c>
      <c r="M8201" s="13" t="str">
        <f t="shared" si="1327"/>
        <v/>
      </c>
      <c r="Q8201" t="str">
        <f t="shared" si="1328"/>
        <v/>
      </c>
      <c r="R8201" t="str">
        <f t="shared" si="1329"/>
        <v/>
      </c>
      <c r="S8201" t="str">
        <f t="shared" si="1330"/>
        <v/>
      </c>
      <c r="T8201" t="str">
        <f t="shared" si="1331"/>
        <v/>
      </c>
      <c r="U8201" t="str">
        <f t="shared" si="1332"/>
        <v/>
      </c>
      <c r="V8201" t="str">
        <f t="shared" si="1333"/>
        <v/>
      </c>
      <c r="W8201" t="str">
        <f t="shared" si="1334"/>
        <v/>
      </c>
      <c r="X8201">
        <f t="shared" si="1324"/>
        <v>0</v>
      </c>
      <c r="Z8201" t="str">
        <f t="shared" si="1335"/>
        <v/>
      </c>
      <c r="AA8201">
        <f t="shared" si="1325"/>
        <v>0</v>
      </c>
    </row>
    <row r="8202" spans="1:27" ht="21" customHeight="1" x14ac:dyDescent="0.95">
      <c r="A8202" s="56"/>
      <c r="B8202" s="57"/>
      <c r="C8202" s="57"/>
      <c r="D8202" s="57"/>
      <c r="E8202" s="56"/>
      <c r="F8202" s="57"/>
      <c r="G8202" s="57"/>
      <c r="H8202" s="56"/>
      <c r="I8202" s="56"/>
      <c r="J8202" s="58"/>
      <c r="K8202" s="58"/>
      <c r="L8202" s="13" t="str">
        <f t="shared" si="1326"/>
        <v/>
      </c>
      <c r="M8202" s="13" t="str">
        <f t="shared" si="1327"/>
        <v/>
      </c>
      <c r="Q8202" t="str">
        <f t="shared" si="1328"/>
        <v/>
      </c>
      <c r="R8202" t="str">
        <f t="shared" si="1329"/>
        <v/>
      </c>
      <c r="S8202" t="str">
        <f t="shared" si="1330"/>
        <v/>
      </c>
      <c r="T8202" t="str">
        <f t="shared" si="1331"/>
        <v/>
      </c>
      <c r="U8202" t="str">
        <f t="shared" si="1332"/>
        <v/>
      </c>
      <c r="V8202" t="str">
        <f t="shared" si="1333"/>
        <v/>
      </c>
      <c r="W8202" t="str">
        <f t="shared" si="1334"/>
        <v/>
      </c>
      <c r="X8202">
        <f t="shared" si="1324"/>
        <v>0</v>
      </c>
      <c r="Z8202" t="str">
        <f t="shared" si="1335"/>
        <v/>
      </c>
      <c r="AA8202">
        <f t="shared" si="1325"/>
        <v>0</v>
      </c>
    </row>
    <row r="8203" spans="1:27" ht="21" customHeight="1" x14ac:dyDescent="0.95">
      <c r="A8203" s="56"/>
      <c r="B8203" s="57"/>
      <c r="C8203" s="57"/>
      <c r="D8203" s="57"/>
      <c r="E8203" s="56"/>
      <c r="F8203" s="57"/>
      <c r="G8203" s="57"/>
      <c r="H8203" s="56"/>
      <c r="I8203" s="56"/>
      <c r="J8203" s="58"/>
      <c r="K8203" s="58"/>
      <c r="L8203" s="13" t="str">
        <f t="shared" si="1326"/>
        <v/>
      </c>
      <c r="M8203" s="13" t="str">
        <f t="shared" si="1327"/>
        <v/>
      </c>
      <c r="Q8203" t="str">
        <f t="shared" si="1328"/>
        <v/>
      </c>
      <c r="R8203" t="str">
        <f t="shared" si="1329"/>
        <v/>
      </c>
      <c r="S8203" t="str">
        <f t="shared" si="1330"/>
        <v/>
      </c>
      <c r="T8203" t="str">
        <f t="shared" si="1331"/>
        <v/>
      </c>
      <c r="U8203" t="str">
        <f t="shared" si="1332"/>
        <v/>
      </c>
      <c r="V8203" t="str">
        <f t="shared" si="1333"/>
        <v/>
      </c>
      <c r="W8203" t="str">
        <f t="shared" si="1334"/>
        <v/>
      </c>
      <c r="X8203">
        <f t="shared" si="1324"/>
        <v>0</v>
      </c>
      <c r="Z8203" t="str">
        <f t="shared" si="1335"/>
        <v/>
      </c>
      <c r="AA8203">
        <f t="shared" si="1325"/>
        <v>0</v>
      </c>
    </row>
    <row r="8204" spans="1:27" ht="21" customHeight="1" x14ac:dyDescent="0.95">
      <c r="A8204" s="56"/>
      <c r="B8204" s="57"/>
      <c r="C8204" s="57"/>
      <c r="D8204" s="57"/>
      <c r="E8204" s="56"/>
      <c r="F8204" s="57"/>
      <c r="G8204" s="57"/>
      <c r="H8204" s="56"/>
      <c r="I8204" s="56"/>
      <c r="J8204" s="58"/>
      <c r="K8204" s="58"/>
      <c r="L8204" s="13" t="str">
        <f t="shared" si="1326"/>
        <v/>
      </c>
      <c r="M8204" s="13" t="str">
        <f t="shared" si="1327"/>
        <v/>
      </c>
      <c r="Q8204" t="str">
        <f t="shared" si="1328"/>
        <v/>
      </c>
      <c r="R8204" t="str">
        <f t="shared" si="1329"/>
        <v/>
      </c>
      <c r="S8204" t="str">
        <f t="shared" si="1330"/>
        <v/>
      </c>
      <c r="T8204" t="str">
        <f t="shared" si="1331"/>
        <v/>
      </c>
      <c r="U8204" t="str">
        <f t="shared" si="1332"/>
        <v/>
      </c>
      <c r="V8204" t="str">
        <f t="shared" si="1333"/>
        <v/>
      </c>
      <c r="W8204" t="str">
        <f t="shared" si="1334"/>
        <v/>
      </c>
      <c r="X8204">
        <f t="shared" si="1324"/>
        <v>0</v>
      </c>
      <c r="Z8204" t="str">
        <f t="shared" si="1335"/>
        <v/>
      </c>
      <c r="AA8204">
        <f t="shared" si="1325"/>
        <v>0</v>
      </c>
    </row>
    <row r="8205" spans="1:27" ht="21" customHeight="1" x14ac:dyDescent="0.95">
      <c r="A8205" s="56"/>
      <c r="B8205" s="57"/>
      <c r="C8205" s="57"/>
      <c r="D8205" s="57"/>
      <c r="E8205" s="56"/>
      <c r="F8205" s="57"/>
      <c r="G8205" s="57"/>
      <c r="H8205" s="56"/>
      <c r="I8205" s="56"/>
      <c r="J8205" s="58"/>
      <c r="K8205" s="58"/>
      <c r="L8205" s="13" t="str">
        <f t="shared" si="1326"/>
        <v/>
      </c>
      <c r="M8205" s="13" t="str">
        <f t="shared" si="1327"/>
        <v/>
      </c>
      <c r="Q8205" t="str">
        <f t="shared" si="1328"/>
        <v/>
      </c>
      <c r="R8205" t="str">
        <f t="shared" si="1329"/>
        <v/>
      </c>
      <c r="S8205" t="str">
        <f t="shared" si="1330"/>
        <v/>
      </c>
      <c r="T8205" t="str">
        <f t="shared" si="1331"/>
        <v/>
      </c>
      <c r="U8205" t="str">
        <f t="shared" si="1332"/>
        <v/>
      </c>
      <c r="V8205" t="str">
        <f t="shared" si="1333"/>
        <v/>
      </c>
      <c r="W8205" t="str">
        <f t="shared" si="1334"/>
        <v/>
      </c>
      <c r="X8205">
        <f t="shared" si="1324"/>
        <v>0</v>
      </c>
      <c r="Z8205" t="str">
        <f t="shared" si="1335"/>
        <v/>
      </c>
      <c r="AA8205">
        <f t="shared" si="1325"/>
        <v>0</v>
      </c>
    </row>
    <row r="8206" spans="1:27" ht="21" customHeight="1" x14ac:dyDescent="0.95">
      <c r="A8206" s="56"/>
      <c r="B8206" s="57"/>
      <c r="C8206" s="57"/>
      <c r="D8206" s="57"/>
      <c r="E8206" s="56"/>
      <c r="F8206" s="57"/>
      <c r="G8206" s="57"/>
      <c r="H8206" s="56"/>
      <c r="I8206" s="56"/>
      <c r="J8206" s="58"/>
      <c r="K8206" s="58"/>
      <c r="L8206" s="13" t="str">
        <f t="shared" si="1326"/>
        <v/>
      </c>
      <c r="M8206" s="13" t="str">
        <f t="shared" si="1327"/>
        <v/>
      </c>
      <c r="Q8206" t="str">
        <f t="shared" si="1328"/>
        <v/>
      </c>
      <c r="R8206" t="str">
        <f t="shared" si="1329"/>
        <v/>
      </c>
      <c r="S8206" t="str">
        <f t="shared" si="1330"/>
        <v/>
      </c>
      <c r="T8206" t="str">
        <f t="shared" si="1331"/>
        <v/>
      </c>
      <c r="U8206" t="str">
        <f t="shared" si="1332"/>
        <v/>
      </c>
      <c r="V8206" t="str">
        <f t="shared" si="1333"/>
        <v/>
      </c>
      <c r="W8206" t="str">
        <f t="shared" si="1334"/>
        <v/>
      </c>
      <c r="X8206">
        <f t="shared" si="1324"/>
        <v>0</v>
      </c>
      <c r="Z8206" t="str">
        <f t="shared" si="1335"/>
        <v/>
      </c>
      <c r="AA8206">
        <f t="shared" si="1325"/>
        <v>0</v>
      </c>
    </row>
    <row r="8207" spans="1:27" ht="21" customHeight="1" x14ac:dyDescent="0.95">
      <c r="A8207" s="56"/>
      <c r="B8207" s="57"/>
      <c r="C8207" s="57"/>
      <c r="D8207" s="57"/>
      <c r="E8207" s="56"/>
      <c r="F8207" s="57"/>
      <c r="G8207" s="57"/>
      <c r="H8207" s="56"/>
      <c r="I8207" s="56"/>
      <c r="J8207" s="58"/>
      <c r="K8207" s="58"/>
      <c r="L8207" s="13" t="str">
        <f t="shared" si="1326"/>
        <v/>
      </c>
      <c r="M8207" s="13" t="str">
        <f t="shared" si="1327"/>
        <v/>
      </c>
      <c r="Q8207" t="str">
        <f t="shared" si="1328"/>
        <v/>
      </c>
      <c r="R8207" t="str">
        <f t="shared" si="1329"/>
        <v/>
      </c>
      <c r="S8207" t="str">
        <f t="shared" si="1330"/>
        <v/>
      </c>
      <c r="T8207" t="str">
        <f t="shared" si="1331"/>
        <v/>
      </c>
      <c r="U8207" t="str">
        <f t="shared" si="1332"/>
        <v/>
      </c>
      <c r="V8207" t="str">
        <f t="shared" si="1333"/>
        <v/>
      </c>
      <c r="W8207" t="str">
        <f t="shared" si="1334"/>
        <v/>
      </c>
      <c r="X8207">
        <f t="shared" si="1324"/>
        <v>0</v>
      </c>
      <c r="Z8207" t="str">
        <f t="shared" si="1335"/>
        <v/>
      </c>
      <c r="AA8207">
        <f t="shared" si="1325"/>
        <v>0</v>
      </c>
    </row>
    <row r="8208" spans="1:27" ht="21" customHeight="1" x14ac:dyDescent="0.95">
      <c r="A8208" s="56"/>
      <c r="B8208" s="57"/>
      <c r="C8208" s="57"/>
      <c r="D8208" s="57"/>
      <c r="E8208" s="56"/>
      <c r="F8208" s="57"/>
      <c r="G8208" s="57"/>
      <c r="H8208" s="56"/>
      <c r="I8208" s="56"/>
      <c r="J8208" s="58"/>
      <c r="K8208" s="58"/>
      <c r="L8208" s="13" t="str">
        <f t="shared" si="1326"/>
        <v/>
      </c>
      <c r="M8208" s="13" t="str">
        <f t="shared" si="1327"/>
        <v/>
      </c>
      <c r="Q8208" t="str">
        <f t="shared" si="1328"/>
        <v/>
      </c>
      <c r="R8208" t="str">
        <f t="shared" si="1329"/>
        <v/>
      </c>
      <c r="S8208" t="str">
        <f t="shared" si="1330"/>
        <v/>
      </c>
      <c r="T8208" t="str">
        <f t="shared" si="1331"/>
        <v/>
      </c>
      <c r="U8208" t="str">
        <f t="shared" si="1332"/>
        <v/>
      </c>
      <c r="V8208" t="str">
        <f t="shared" si="1333"/>
        <v/>
      </c>
      <c r="W8208" t="str">
        <f t="shared" si="1334"/>
        <v/>
      </c>
      <c r="X8208">
        <f t="shared" si="1324"/>
        <v>0</v>
      </c>
      <c r="Z8208" t="str">
        <f t="shared" si="1335"/>
        <v/>
      </c>
      <c r="AA8208">
        <f t="shared" si="1325"/>
        <v>0</v>
      </c>
    </row>
    <row r="8209" spans="1:27" ht="21" customHeight="1" x14ac:dyDescent="0.95">
      <c r="A8209" s="56"/>
      <c r="B8209" s="57"/>
      <c r="C8209" s="57"/>
      <c r="D8209" s="57"/>
      <c r="E8209" s="56"/>
      <c r="F8209" s="57"/>
      <c r="G8209" s="57"/>
      <c r="H8209" s="56"/>
      <c r="I8209" s="56"/>
      <c r="J8209" s="58"/>
      <c r="K8209" s="58"/>
      <c r="L8209" s="13" t="str">
        <f t="shared" si="1326"/>
        <v/>
      </c>
      <c r="M8209" s="13" t="str">
        <f t="shared" si="1327"/>
        <v/>
      </c>
      <c r="Q8209" t="str">
        <f t="shared" si="1328"/>
        <v/>
      </c>
      <c r="R8209" t="str">
        <f t="shared" si="1329"/>
        <v/>
      </c>
      <c r="S8209" t="str">
        <f t="shared" si="1330"/>
        <v/>
      </c>
      <c r="T8209" t="str">
        <f t="shared" si="1331"/>
        <v/>
      </c>
      <c r="U8209" t="str">
        <f t="shared" si="1332"/>
        <v/>
      </c>
      <c r="V8209" t="str">
        <f t="shared" si="1333"/>
        <v/>
      </c>
      <c r="W8209" t="str">
        <f t="shared" si="1334"/>
        <v/>
      </c>
      <c r="X8209">
        <f t="shared" si="1324"/>
        <v>0</v>
      </c>
      <c r="Z8209" t="str">
        <f t="shared" si="1335"/>
        <v/>
      </c>
      <c r="AA8209">
        <f t="shared" si="1325"/>
        <v>0</v>
      </c>
    </row>
    <row r="8210" spans="1:27" ht="21" customHeight="1" x14ac:dyDescent="0.95">
      <c r="A8210" s="56"/>
      <c r="B8210" s="57"/>
      <c r="C8210" s="57"/>
      <c r="D8210" s="57"/>
      <c r="E8210" s="56"/>
      <c r="F8210" s="57"/>
      <c r="G8210" s="57"/>
      <c r="H8210" s="56"/>
      <c r="I8210" s="56"/>
      <c r="J8210" s="58"/>
      <c r="K8210" s="58"/>
      <c r="L8210" s="13" t="str">
        <f t="shared" si="1326"/>
        <v/>
      </c>
      <c r="M8210" s="13" t="str">
        <f t="shared" si="1327"/>
        <v/>
      </c>
      <c r="Q8210" t="str">
        <f t="shared" si="1328"/>
        <v/>
      </c>
      <c r="R8210" t="str">
        <f t="shared" si="1329"/>
        <v/>
      </c>
      <c r="S8210" t="str">
        <f t="shared" si="1330"/>
        <v/>
      </c>
      <c r="T8210" t="str">
        <f t="shared" si="1331"/>
        <v/>
      </c>
      <c r="U8210" t="str">
        <f t="shared" si="1332"/>
        <v/>
      </c>
      <c r="V8210" t="str">
        <f t="shared" si="1333"/>
        <v/>
      </c>
      <c r="W8210" t="str">
        <f t="shared" si="1334"/>
        <v/>
      </c>
      <c r="X8210">
        <f t="shared" si="1324"/>
        <v>0</v>
      </c>
      <c r="Z8210" t="str">
        <f t="shared" si="1335"/>
        <v/>
      </c>
      <c r="AA8210">
        <f t="shared" si="1325"/>
        <v>0</v>
      </c>
    </row>
    <row r="8211" spans="1:27" ht="21" customHeight="1" x14ac:dyDescent="0.95">
      <c r="A8211" s="56"/>
      <c r="B8211" s="57"/>
      <c r="C8211" s="57"/>
      <c r="D8211" s="57"/>
      <c r="E8211" s="56"/>
      <c r="F8211" s="57"/>
      <c r="G8211" s="57"/>
      <c r="H8211" s="56"/>
      <c r="I8211" s="56"/>
      <c r="J8211" s="58"/>
      <c r="K8211" s="58"/>
      <c r="L8211" s="13" t="str">
        <f t="shared" si="1326"/>
        <v/>
      </c>
      <c r="M8211" s="13" t="str">
        <f t="shared" si="1327"/>
        <v/>
      </c>
      <c r="Q8211" t="str">
        <f t="shared" si="1328"/>
        <v/>
      </c>
      <c r="R8211" t="str">
        <f t="shared" si="1329"/>
        <v/>
      </c>
      <c r="S8211" t="str">
        <f t="shared" si="1330"/>
        <v/>
      </c>
      <c r="T8211" t="str">
        <f t="shared" si="1331"/>
        <v/>
      </c>
      <c r="U8211" t="str">
        <f t="shared" si="1332"/>
        <v/>
      </c>
      <c r="V8211" t="str">
        <f t="shared" si="1333"/>
        <v/>
      </c>
      <c r="W8211" t="str">
        <f t="shared" si="1334"/>
        <v/>
      </c>
      <c r="X8211">
        <f t="shared" si="1324"/>
        <v>0</v>
      </c>
      <c r="Z8211" t="str">
        <f t="shared" si="1335"/>
        <v/>
      </c>
      <c r="AA8211">
        <f t="shared" si="1325"/>
        <v>0</v>
      </c>
    </row>
    <row r="8212" spans="1:27" ht="21" customHeight="1" x14ac:dyDescent="0.95">
      <c r="A8212" s="56"/>
      <c r="B8212" s="57"/>
      <c r="C8212" s="57"/>
      <c r="D8212" s="57"/>
      <c r="E8212" s="56"/>
      <c r="F8212" s="57"/>
      <c r="G8212" s="57"/>
      <c r="H8212" s="56"/>
      <c r="I8212" s="56"/>
      <c r="J8212" s="58"/>
      <c r="K8212" s="58"/>
      <c r="L8212" s="13" t="str">
        <f t="shared" si="1326"/>
        <v/>
      </c>
      <c r="M8212" s="13" t="str">
        <f t="shared" si="1327"/>
        <v/>
      </c>
      <c r="Q8212" t="str">
        <f t="shared" si="1328"/>
        <v/>
      </c>
      <c r="R8212" t="str">
        <f t="shared" si="1329"/>
        <v/>
      </c>
      <c r="S8212" t="str">
        <f t="shared" si="1330"/>
        <v/>
      </c>
      <c r="T8212" t="str">
        <f t="shared" si="1331"/>
        <v/>
      </c>
      <c r="U8212" t="str">
        <f t="shared" si="1332"/>
        <v/>
      </c>
      <c r="V8212" t="str">
        <f t="shared" si="1333"/>
        <v/>
      </c>
      <c r="W8212" t="str">
        <f t="shared" si="1334"/>
        <v/>
      </c>
      <c r="X8212">
        <f t="shared" si="1324"/>
        <v>0</v>
      </c>
      <c r="Z8212" t="str">
        <f t="shared" si="1335"/>
        <v/>
      </c>
      <c r="AA8212">
        <f t="shared" si="1325"/>
        <v>0</v>
      </c>
    </row>
    <row r="8213" spans="1:27" ht="21" customHeight="1" x14ac:dyDescent="0.95">
      <c r="A8213" s="56"/>
      <c r="B8213" s="57"/>
      <c r="C8213" s="57"/>
      <c r="D8213" s="57"/>
      <c r="E8213" s="56"/>
      <c r="F8213" s="57"/>
      <c r="G8213" s="57"/>
      <c r="H8213" s="56"/>
      <c r="I8213" s="56"/>
      <c r="J8213" s="58"/>
      <c r="K8213" s="58"/>
      <c r="L8213" s="13" t="str">
        <f t="shared" si="1326"/>
        <v/>
      </c>
      <c r="M8213" s="13" t="str">
        <f t="shared" si="1327"/>
        <v/>
      </c>
      <c r="Q8213" t="str">
        <f t="shared" si="1328"/>
        <v/>
      </c>
      <c r="R8213" t="str">
        <f t="shared" si="1329"/>
        <v/>
      </c>
      <c r="S8213" t="str">
        <f t="shared" si="1330"/>
        <v/>
      </c>
      <c r="T8213" t="str">
        <f t="shared" si="1331"/>
        <v/>
      </c>
      <c r="U8213" t="str">
        <f t="shared" si="1332"/>
        <v/>
      </c>
      <c r="V8213" t="str">
        <f t="shared" si="1333"/>
        <v/>
      </c>
      <c r="W8213" t="str">
        <f t="shared" si="1334"/>
        <v/>
      </c>
      <c r="X8213">
        <f t="shared" si="1324"/>
        <v>0</v>
      </c>
      <c r="Z8213" t="str">
        <f t="shared" si="1335"/>
        <v/>
      </c>
      <c r="AA8213">
        <f t="shared" si="1325"/>
        <v>0</v>
      </c>
    </row>
    <row r="8214" spans="1:27" ht="21" customHeight="1" x14ac:dyDescent="0.95">
      <c r="A8214" s="56"/>
      <c r="B8214" s="57"/>
      <c r="C8214" s="57"/>
      <c r="D8214" s="57"/>
      <c r="E8214" s="56"/>
      <c r="F8214" s="57"/>
      <c r="G8214" s="57"/>
      <c r="H8214" s="56"/>
      <c r="I8214" s="56"/>
      <c r="J8214" s="58"/>
      <c r="K8214" s="58"/>
      <c r="L8214" s="13" t="str">
        <f t="shared" si="1326"/>
        <v/>
      </c>
      <c r="M8214" s="13" t="str">
        <f t="shared" si="1327"/>
        <v/>
      </c>
      <c r="Q8214" t="str">
        <f t="shared" si="1328"/>
        <v/>
      </c>
      <c r="R8214" t="str">
        <f t="shared" si="1329"/>
        <v/>
      </c>
      <c r="S8214" t="str">
        <f t="shared" si="1330"/>
        <v/>
      </c>
      <c r="T8214" t="str">
        <f t="shared" si="1331"/>
        <v/>
      </c>
      <c r="U8214" t="str">
        <f t="shared" si="1332"/>
        <v/>
      </c>
      <c r="V8214" t="str">
        <f t="shared" si="1333"/>
        <v/>
      </c>
      <c r="W8214" t="str">
        <f t="shared" si="1334"/>
        <v/>
      </c>
      <c r="X8214">
        <f t="shared" si="1324"/>
        <v>0</v>
      </c>
      <c r="Z8214" t="str">
        <f t="shared" si="1335"/>
        <v/>
      </c>
      <c r="AA8214">
        <f t="shared" si="1325"/>
        <v>0</v>
      </c>
    </row>
    <row r="8215" spans="1:27" ht="21" customHeight="1" x14ac:dyDescent="0.95">
      <c r="A8215" s="56"/>
      <c r="B8215" s="57"/>
      <c r="C8215" s="57"/>
      <c r="D8215" s="57"/>
      <c r="E8215" s="56"/>
      <c r="F8215" s="57"/>
      <c r="G8215" s="57"/>
      <c r="H8215" s="56"/>
      <c r="I8215" s="56"/>
      <c r="J8215" s="58"/>
      <c r="K8215" s="58"/>
      <c r="L8215" s="13" t="str">
        <f t="shared" si="1326"/>
        <v/>
      </c>
      <c r="M8215" s="13" t="str">
        <f t="shared" si="1327"/>
        <v/>
      </c>
      <c r="Q8215" t="str">
        <f t="shared" si="1328"/>
        <v/>
      </c>
      <c r="R8215" t="str">
        <f t="shared" si="1329"/>
        <v/>
      </c>
      <c r="S8215" t="str">
        <f t="shared" si="1330"/>
        <v/>
      </c>
      <c r="T8215" t="str">
        <f t="shared" si="1331"/>
        <v/>
      </c>
      <c r="U8215" t="str">
        <f t="shared" si="1332"/>
        <v/>
      </c>
      <c r="V8215" t="str">
        <f t="shared" si="1333"/>
        <v/>
      </c>
      <c r="W8215" t="str">
        <f t="shared" si="1334"/>
        <v/>
      </c>
      <c r="X8215">
        <f t="shared" si="1324"/>
        <v>0</v>
      </c>
      <c r="Z8215" t="str">
        <f t="shared" si="1335"/>
        <v/>
      </c>
      <c r="AA8215">
        <f t="shared" si="1325"/>
        <v>0</v>
      </c>
    </row>
    <row r="8216" spans="1:27" ht="21" customHeight="1" x14ac:dyDescent="0.95">
      <c r="A8216" s="56"/>
      <c r="B8216" s="57"/>
      <c r="C8216" s="57"/>
      <c r="D8216" s="57"/>
      <c r="E8216" s="56"/>
      <c r="F8216" s="57"/>
      <c r="G8216" s="57"/>
      <c r="H8216" s="56"/>
      <c r="I8216" s="56"/>
      <c r="J8216" s="58"/>
      <c r="K8216" s="58"/>
      <c r="L8216" s="13" t="str">
        <f t="shared" si="1326"/>
        <v/>
      </c>
      <c r="M8216" s="13" t="str">
        <f t="shared" si="1327"/>
        <v/>
      </c>
      <c r="Q8216" t="str">
        <f t="shared" si="1328"/>
        <v/>
      </c>
      <c r="R8216" t="str">
        <f t="shared" si="1329"/>
        <v/>
      </c>
      <c r="S8216" t="str">
        <f t="shared" si="1330"/>
        <v/>
      </c>
      <c r="T8216" t="str">
        <f t="shared" si="1331"/>
        <v/>
      </c>
      <c r="U8216" t="str">
        <f t="shared" si="1332"/>
        <v/>
      </c>
      <c r="V8216" t="str">
        <f t="shared" si="1333"/>
        <v/>
      </c>
      <c r="W8216" t="str">
        <f t="shared" si="1334"/>
        <v/>
      </c>
      <c r="X8216">
        <f t="shared" si="1324"/>
        <v>0</v>
      </c>
      <c r="Z8216" t="str">
        <f t="shared" si="1335"/>
        <v/>
      </c>
      <c r="AA8216">
        <f t="shared" si="1325"/>
        <v>0</v>
      </c>
    </row>
    <row r="8217" spans="1:27" ht="21" customHeight="1" x14ac:dyDescent="0.95">
      <c r="A8217" s="56"/>
      <c r="B8217" s="57"/>
      <c r="C8217" s="57"/>
      <c r="D8217" s="57"/>
      <c r="E8217" s="56"/>
      <c r="F8217" s="57"/>
      <c r="G8217" s="57"/>
      <c r="H8217" s="56"/>
      <c r="I8217" s="56"/>
      <c r="J8217" s="58"/>
      <c r="K8217" s="58"/>
      <c r="L8217" s="13" t="str">
        <f t="shared" si="1326"/>
        <v/>
      </c>
      <c r="M8217" s="13" t="str">
        <f t="shared" si="1327"/>
        <v/>
      </c>
      <c r="Q8217" t="str">
        <f t="shared" si="1328"/>
        <v/>
      </c>
      <c r="R8217" t="str">
        <f t="shared" si="1329"/>
        <v/>
      </c>
      <c r="S8217" t="str">
        <f t="shared" si="1330"/>
        <v/>
      </c>
      <c r="T8217" t="str">
        <f t="shared" si="1331"/>
        <v/>
      </c>
      <c r="U8217" t="str">
        <f t="shared" si="1332"/>
        <v/>
      </c>
      <c r="V8217" t="str">
        <f t="shared" si="1333"/>
        <v/>
      </c>
      <c r="W8217" t="str">
        <f t="shared" si="1334"/>
        <v/>
      </c>
      <c r="X8217">
        <f t="shared" si="1324"/>
        <v>0</v>
      </c>
      <c r="Z8217" t="str">
        <f t="shared" si="1335"/>
        <v/>
      </c>
      <c r="AA8217">
        <f t="shared" si="1325"/>
        <v>0</v>
      </c>
    </row>
    <row r="8218" spans="1:27" ht="21" customHeight="1" x14ac:dyDescent="0.95">
      <c r="A8218" s="56"/>
      <c r="B8218" s="57"/>
      <c r="C8218" s="57"/>
      <c r="D8218" s="57"/>
      <c r="E8218" s="56"/>
      <c r="F8218" s="57"/>
      <c r="G8218" s="57"/>
      <c r="H8218" s="56"/>
      <c r="I8218" s="56"/>
      <c r="J8218" s="58"/>
      <c r="K8218" s="58"/>
      <c r="L8218" s="13" t="str">
        <f t="shared" si="1326"/>
        <v/>
      </c>
      <c r="M8218" s="13" t="str">
        <f t="shared" si="1327"/>
        <v/>
      </c>
      <c r="Q8218" t="str">
        <f t="shared" si="1328"/>
        <v/>
      </c>
      <c r="R8218" t="str">
        <f t="shared" si="1329"/>
        <v/>
      </c>
      <c r="S8218" t="str">
        <f t="shared" si="1330"/>
        <v/>
      </c>
      <c r="T8218" t="str">
        <f t="shared" si="1331"/>
        <v/>
      </c>
      <c r="U8218" t="str">
        <f t="shared" si="1332"/>
        <v/>
      </c>
      <c r="V8218" t="str">
        <f t="shared" si="1333"/>
        <v/>
      </c>
      <c r="W8218" t="str">
        <f t="shared" si="1334"/>
        <v/>
      </c>
      <c r="X8218">
        <f t="shared" si="1324"/>
        <v>0</v>
      </c>
      <c r="Z8218" t="str">
        <f t="shared" si="1335"/>
        <v/>
      </c>
      <c r="AA8218">
        <f t="shared" si="1325"/>
        <v>0</v>
      </c>
    </row>
    <row r="8219" spans="1:27" ht="21" customHeight="1" x14ac:dyDescent="0.95">
      <c r="A8219" s="56"/>
      <c r="B8219" s="57"/>
      <c r="C8219" s="57"/>
      <c r="D8219" s="57"/>
      <c r="E8219" s="56"/>
      <c r="F8219" s="57"/>
      <c r="G8219" s="57"/>
      <c r="H8219" s="56"/>
      <c r="I8219" s="56"/>
      <c r="J8219" s="58"/>
      <c r="K8219" s="58"/>
      <c r="L8219" s="13" t="str">
        <f t="shared" si="1326"/>
        <v/>
      </c>
      <c r="M8219" s="13" t="str">
        <f t="shared" si="1327"/>
        <v/>
      </c>
      <c r="Q8219" t="str">
        <f t="shared" si="1328"/>
        <v/>
      </c>
      <c r="R8219" t="str">
        <f t="shared" si="1329"/>
        <v/>
      </c>
      <c r="S8219" t="str">
        <f t="shared" si="1330"/>
        <v/>
      </c>
      <c r="T8219" t="str">
        <f t="shared" si="1331"/>
        <v/>
      </c>
      <c r="U8219" t="str">
        <f t="shared" si="1332"/>
        <v/>
      </c>
      <c r="V8219" t="str">
        <f t="shared" si="1333"/>
        <v/>
      </c>
      <c r="W8219" t="str">
        <f t="shared" si="1334"/>
        <v/>
      </c>
      <c r="X8219">
        <f t="shared" si="1324"/>
        <v>0</v>
      </c>
      <c r="Z8219" t="str">
        <f t="shared" si="1335"/>
        <v/>
      </c>
      <c r="AA8219">
        <f t="shared" si="1325"/>
        <v>0</v>
      </c>
    </row>
    <row r="8220" spans="1:27" ht="21" customHeight="1" x14ac:dyDescent="0.95">
      <c r="A8220" s="56"/>
      <c r="B8220" s="57"/>
      <c r="C8220" s="57"/>
      <c r="D8220" s="57"/>
      <c r="E8220" s="56"/>
      <c r="F8220" s="57"/>
      <c r="G8220" s="57"/>
      <c r="H8220" s="56"/>
      <c r="I8220" s="56"/>
      <c r="J8220" s="58"/>
      <c r="K8220" s="58"/>
      <c r="L8220" s="13" t="str">
        <f t="shared" si="1326"/>
        <v/>
      </c>
      <c r="M8220" s="13" t="str">
        <f t="shared" si="1327"/>
        <v/>
      </c>
      <c r="Q8220" t="str">
        <f t="shared" si="1328"/>
        <v/>
      </c>
      <c r="R8220" t="str">
        <f t="shared" si="1329"/>
        <v/>
      </c>
      <c r="S8220" t="str">
        <f t="shared" si="1330"/>
        <v/>
      </c>
      <c r="T8220" t="str">
        <f t="shared" si="1331"/>
        <v/>
      </c>
      <c r="U8220" t="str">
        <f t="shared" si="1332"/>
        <v/>
      </c>
      <c r="V8220" t="str">
        <f t="shared" si="1333"/>
        <v/>
      </c>
      <c r="W8220" t="str">
        <f t="shared" si="1334"/>
        <v/>
      </c>
      <c r="X8220">
        <f t="shared" si="1324"/>
        <v>0</v>
      </c>
      <c r="Z8220" t="str">
        <f t="shared" si="1335"/>
        <v/>
      </c>
      <c r="AA8220">
        <f t="shared" si="1325"/>
        <v>0</v>
      </c>
    </row>
    <row r="8221" spans="1:27" ht="21" customHeight="1" x14ac:dyDescent="0.95">
      <c r="A8221" s="56"/>
      <c r="B8221" s="57"/>
      <c r="C8221" s="57"/>
      <c r="D8221" s="57"/>
      <c r="E8221" s="56"/>
      <c r="F8221" s="57"/>
      <c r="G8221" s="57"/>
      <c r="H8221" s="56"/>
      <c r="I8221" s="56"/>
      <c r="J8221" s="58"/>
      <c r="K8221" s="58"/>
      <c r="L8221" s="13" t="str">
        <f t="shared" si="1326"/>
        <v/>
      </c>
      <c r="M8221" s="13" t="str">
        <f t="shared" si="1327"/>
        <v/>
      </c>
      <c r="Q8221" t="str">
        <f t="shared" si="1328"/>
        <v/>
      </c>
      <c r="R8221" t="str">
        <f t="shared" si="1329"/>
        <v/>
      </c>
      <c r="S8221" t="str">
        <f t="shared" si="1330"/>
        <v/>
      </c>
      <c r="T8221" t="str">
        <f t="shared" si="1331"/>
        <v/>
      </c>
      <c r="U8221" t="str">
        <f t="shared" si="1332"/>
        <v/>
      </c>
      <c r="V8221" t="str">
        <f t="shared" si="1333"/>
        <v/>
      </c>
      <c r="W8221" t="str">
        <f t="shared" si="1334"/>
        <v/>
      </c>
      <c r="X8221">
        <f t="shared" si="1324"/>
        <v>0</v>
      </c>
      <c r="Z8221" t="str">
        <f t="shared" si="1335"/>
        <v/>
      </c>
      <c r="AA8221">
        <f t="shared" si="1325"/>
        <v>0</v>
      </c>
    </row>
    <row r="8222" spans="1:27" ht="21" customHeight="1" x14ac:dyDescent="0.95">
      <c r="A8222" s="56"/>
      <c r="B8222" s="57"/>
      <c r="C8222" s="57"/>
      <c r="D8222" s="57"/>
      <c r="E8222" s="56"/>
      <c r="F8222" s="57"/>
      <c r="G8222" s="57"/>
      <c r="H8222" s="56"/>
      <c r="I8222" s="56"/>
      <c r="J8222" s="58"/>
      <c r="K8222" s="58"/>
      <c r="L8222" s="13" t="str">
        <f t="shared" si="1326"/>
        <v/>
      </c>
      <c r="M8222" s="13" t="str">
        <f t="shared" si="1327"/>
        <v/>
      </c>
      <c r="Q8222" t="str">
        <f t="shared" si="1328"/>
        <v/>
      </c>
      <c r="R8222" t="str">
        <f t="shared" si="1329"/>
        <v/>
      </c>
      <c r="S8222" t="str">
        <f t="shared" si="1330"/>
        <v/>
      </c>
      <c r="T8222" t="str">
        <f t="shared" si="1331"/>
        <v/>
      </c>
      <c r="U8222" t="str">
        <f t="shared" si="1332"/>
        <v/>
      </c>
      <c r="V8222" t="str">
        <f t="shared" si="1333"/>
        <v/>
      </c>
      <c r="W8222" t="str">
        <f t="shared" si="1334"/>
        <v/>
      </c>
      <c r="X8222">
        <f t="shared" si="1324"/>
        <v>0</v>
      </c>
      <c r="Z8222" t="str">
        <f t="shared" si="1335"/>
        <v/>
      </c>
      <c r="AA8222">
        <f t="shared" si="1325"/>
        <v>0</v>
      </c>
    </row>
    <row r="8223" spans="1:27" ht="21" customHeight="1" x14ac:dyDescent="0.95">
      <c r="A8223" s="56"/>
      <c r="B8223" s="57"/>
      <c r="C8223" s="57"/>
      <c r="D8223" s="57"/>
      <c r="E8223" s="56"/>
      <c r="F8223" s="57"/>
      <c r="G8223" s="57"/>
      <c r="H8223" s="56"/>
      <c r="I8223" s="56"/>
      <c r="J8223" s="58"/>
      <c r="K8223" s="58"/>
      <c r="L8223" s="13" t="str">
        <f t="shared" si="1326"/>
        <v/>
      </c>
      <c r="M8223" s="13" t="str">
        <f t="shared" si="1327"/>
        <v/>
      </c>
      <c r="Q8223" t="str">
        <f t="shared" si="1328"/>
        <v/>
      </c>
      <c r="R8223" t="str">
        <f t="shared" si="1329"/>
        <v/>
      </c>
      <c r="S8223" t="str">
        <f t="shared" si="1330"/>
        <v/>
      </c>
      <c r="T8223" t="str">
        <f t="shared" si="1331"/>
        <v/>
      </c>
      <c r="U8223" t="str">
        <f t="shared" si="1332"/>
        <v/>
      </c>
      <c r="V8223" t="str">
        <f t="shared" si="1333"/>
        <v/>
      </c>
      <c r="W8223" t="str">
        <f t="shared" si="1334"/>
        <v/>
      </c>
      <c r="X8223">
        <f t="shared" si="1324"/>
        <v>0</v>
      </c>
      <c r="Z8223" t="str">
        <f t="shared" si="1335"/>
        <v/>
      </c>
      <c r="AA8223">
        <f t="shared" si="1325"/>
        <v>0</v>
      </c>
    </row>
    <row r="8224" spans="1:27" ht="21" customHeight="1" x14ac:dyDescent="0.95">
      <c r="A8224" s="56"/>
      <c r="B8224" s="57"/>
      <c r="C8224" s="57"/>
      <c r="D8224" s="57"/>
      <c r="E8224" s="56"/>
      <c r="F8224" s="57"/>
      <c r="G8224" s="57"/>
      <c r="H8224" s="56"/>
      <c r="I8224" s="56"/>
      <c r="J8224" s="58"/>
      <c r="K8224" s="58"/>
      <c r="L8224" s="13" t="str">
        <f t="shared" si="1326"/>
        <v/>
      </c>
      <c r="M8224" s="13" t="str">
        <f t="shared" si="1327"/>
        <v/>
      </c>
      <c r="Q8224" t="str">
        <f t="shared" si="1328"/>
        <v/>
      </c>
      <c r="R8224" t="str">
        <f t="shared" si="1329"/>
        <v/>
      </c>
      <c r="S8224" t="str">
        <f t="shared" si="1330"/>
        <v/>
      </c>
      <c r="T8224" t="str">
        <f t="shared" si="1331"/>
        <v/>
      </c>
      <c r="U8224" t="str">
        <f t="shared" si="1332"/>
        <v/>
      </c>
      <c r="V8224" t="str">
        <f t="shared" si="1333"/>
        <v/>
      </c>
      <c r="W8224" t="str">
        <f t="shared" si="1334"/>
        <v/>
      </c>
      <c r="X8224">
        <f t="shared" si="1324"/>
        <v>0</v>
      </c>
      <c r="Z8224" t="str">
        <f t="shared" si="1335"/>
        <v/>
      </c>
      <c r="AA8224">
        <f t="shared" si="1325"/>
        <v>0</v>
      </c>
    </row>
    <row r="8225" spans="1:27" ht="21" customHeight="1" x14ac:dyDescent="0.95">
      <c r="A8225" s="56"/>
      <c r="B8225" s="57"/>
      <c r="C8225" s="57"/>
      <c r="D8225" s="57"/>
      <c r="E8225" s="56"/>
      <c r="F8225" s="57"/>
      <c r="G8225" s="57"/>
      <c r="H8225" s="56"/>
      <c r="I8225" s="56"/>
      <c r="J8225" s="58"/>
      <c r="K8225" s="58"/>
      <c r="L8225" s="13" t="str">
        <f t="shared" si="1326"/>
        <v/>
      </c>
      <c r="M8225" s="13" t="str">
        <f t="shared" si="1327"/>
        <v/>
      </c>
      <c r="Q8225" t="str">
        <f t="shared" si="1328"/>
        <v/>
      </c>
      <c r="R8225" t="str">
        <f t="shared" si="1329"/>
        <v/>
      </c>
      <c r="S8225" t="str">
        <f t="shared" si="1330"/>
        <v/>
      </c>
      <c r="T8225" t="str">
        <f t="shared" si="1331"/>
        <v/>
      </c>
      <c r="U8225" t="str">
        <f t="shared" si="1332"/>
        <v/>
      </c>
      <c r="V8225" t="str">
        <f t="shared" si="1333"/>
        <v/>
      </c>
      <c r="W8225" t="str">
        <f t="shared" si="1334"/>
        <v/>
      </c>
      <c r="X8225">
        <f t="shared" si="1324"/>
        <v>0</v>
      </c>
      <c r="Z8225" t="str">
        <f t="shared" si="1335"/>
        <v/>
      </c>
      <c r="AA8225">
        <f t="shared" si="1325"/>
        <v>0</v>
      </c>
    </row>
    <row r="8226" spans="1:27" ht="21" customHeight="1" x14ac:dyDescent="0.95">
      <c r="A8226" s="56"/>
      <c r="B8226" s="57"/>
      <c r="C8226" s="57"/>
      <c r="D8226" s="57"/>
      <c r="E8226" s="56"/>
      <c r="F8226" s="57"/>
      <c r="G8226" s="57"/>
      <c r="H8226" s="56"/>
      <c r="I8226" s="56"/>
      <c r="J8226" s="58"/>
      <c r="K8226" s="58"/>
      <c r="L8226" s="13" t="str">
        <f t="shared" si="1326"/>
        <v/>
      </c>
      <c r="M8226" s="13" t="str">
        <f t="shared" si="1327"/>
        <v/>
      </c>
      <c r="Q8226" t="str">
        <f t="shared" si="1328"/>
        <v/>
      </c>
      <c r="R8226" t="str">
        <f t="shared" si="1329"/>
        <v/>
      </c>
      <c r="S8226" t="str">
        <f t="shared" si="1330"/>
        <v/>
      </c>
      <c r="T8226" t="str">
        <f t="shared" si="1331"/>
        <v/>
      </c>
      <c r="U8226" t="str">
        <f t="shared" si="1332"/>
        <v/>
      </c>
      <c r="V8226" t="str">
        <f t="shared" si="1333"/>
        <v/>
      </c>
      <c r="W8226" t="str">
        <f t="shared" si="1334"/>
        <v/>
      </c>
      <c r="X8226">
        <f t="shared" si="1324"/>
        <v>0</v>
      </c>
      <c r="Z8226" t="str">
        <f t="shared" si="1335"/>
        <v/>
      </c>
      <c r="AA8226">
        <f t="shared" si="1325"/>
        <v>0</v>
      </c>
    </row>
    <row r="8227" spans="1:27" ht="21" customHeight="1" x14ac:dyDescent="0.95">
      <c r="A8227" s="56"/>
      <c r="B8227" s="57"/>
      <c r="C8227" s="57"/>
      <c r="D8227" s="57"/>
      <c r="E8227" s="56"/>
      <c r="F8227" s="57"/>
      <c r="G8227" s="57"/>
      <c r="H8227" s="56"/>
      <c r="I8227" s="56"/>
      <c r="J8227" s="58"/>
      <c r="K8227" s="58"/>
      <c r="L8227" s="13" t="str">
        <f t="shared" si="1326"/>
        <v/>
      </c>
      <c r="M8227" s="13" t="str">
        <f t="shared" si="1327"/>
        <v/>
      </c>
      <c r="Q8227" t="str">
        <f t="shared" si="1328"/>
        <v/>
      </c>
      <c r="R8227" t="str">
        <f t="shared" si="1329"/>
        <v/>
      </c>
      <c r="S8227" t="str">
        <f t="shared" si="1330"/>
        <v/>
      </c>
      <c r="T8227" t="str">
        <f t="shared" si="1331"/>
        <v/>
      </c>
      <c r="U8227" t="str">
        <f t="shared" si="1332"/>
        <v/>
      </c>
      <c r="V8227" t="str">
        <f t="shared" si="1333"/>
        <v/>
      </c>
      <c r="W8227" t="str">
        <f t="shared" si="1334"/>
        <v/>
      </c>
      <c r="X8227">
        <f t="shared" si="1324"/>
        <v>0</v>
      </c>
      <c r="Z8227" t="str">
        <f t="shared" si="1335"/>
        <v/>
      </c>
      <c r="AA8227">
        <f t="shared" si="1325"/>
        <v>0</v>
      </c>
    </row>
    <row r="8228" spans="1:27" ht="21" customHeight="1" x14ac:dyDescent="0.95">
      <c r="A8228" s="56"/>
      <c r="B8228" s="57"/>
      <c r="C8228" s="57"/>
      <c r="D8228" s="57"/>
      <c r="E8228" s="56"/>
      <c r="F8228" s="57"/>
      <c r="G8228" s="57"/>
      <c r="H8228" s="56"/>
      <c r="I8228" s="56"/>
      <c r="J8228" s="58"/>
      <c r="K8228" s="58"/>
      <c r="L8228" s="13" t="str">
        <f t="shared" si="1326"/>
        <v/>
      </c>
      <c r="M8228" s="13" t="str">
        <f t="shared" si="1327"/>
        <v/>
      </c>
      <c r="Q8228" t="str">
        <f t="shared" si="1328"/>
        <v/>
      </c>
      <c r="R8228" t="str">
        <f t="shared" si="1329"/>
        <v/>
      </c>
      <c r="S8228" t="str">
        <f t="shared" si="1330"/>
        <v/>
      </c>
      <c r="T8228" t="str">
        <f t="shared" si="1331"/>
        <v/>
      </c>
      <c r="U8228" t="str">
        <f t="shared" si="1332"/>
        <v/>
      </c>
      <c r="V8228" t="str">
        <f t="shared" si="1333"/>
        <v/>
      </c>
      <c r="W8228" t="str">
        <f t="shared" si="1334"/>
        <v/>
      </c>
      <c r="X8228">
        <f t="shared" si="1324"/>
        <v>0</v>
      </c>
      <c r="Z8228" t="str">
        <f t="shared" si="1335"/>
        <v/>
      </c>
      <c r="AA8228">
        <f t="shared" si="1325"/>
        <v>0</v>
      </c>
    </row>
    <row r="8229" spans="1:27" ht="21" customHeight="1" x14ac:dyDescent="0.95">
      <c r="A8229" s="56"/>
      <c r="B8229" s="57"/>
      <c r="C8229" s="57"/>
      <c r="D8229" s="57"/>
      <c r="E8229" s="56"/>
      <c r="F8229" s="57"/>
      <c r="G8229" s="57"/>
      <c r="H8229" s="56"/>
      <c r="I8229" s="56"/>
      <c r="J8229" s="58"/>
      <c r="K8229" s="58"/>
      <c r="L8229" s="13" t="str">
        <f t="shared" si="1326"/>
        <v/>
      </c>
      <c r="M8229" s="13" t="str">
        <f t="shared" si="1327"/>
        <v/>
      </c>
      <c r="Q8229" t="str">
        <f t="shared" si="1328"/>
        <v/>
      </c>
      <c r="R8229" t="str">
        <f t="shared" si="1329"/>
        <v/>
      </c>
      <c r="S8229" t="str">
        <f t="shared" si="1330"/>
        <v/>
      </c>
      <c r="T8229" t="str">
        <f t="shared" si="1331"/>
        <v/>
      </c>
      <c r="U8229" t="str">
        <f t="shared" si="1332"/>
        <v/>
      </c>
      <c r="V8229" t="str">
        <f t="shared" si="1333"/>
        <v/>
      </c>
      <c r="W8229" t="str">
        <f t="shared" si="1334"/>
        <v/>
      </c>
      <c r="X8229">
        <f t="shared" si="1324"/>
        <v>0</v>
      </c>
      <c r="Z8229" t="str">
        <f t="shared" si="1335"/>
        <v/>
      </c>
      <c r="AA8229">
        <f t="shared" si="1325"/>
        <v>0</v>
      </c>
    </row>
    <row r="8230" spans="1:27" ht="21" customHeight="1" x14ac:dyDescent="0.95">
      <c r="A8230" s="56"/>
      <c r="B8230" s="57"/>
      <c r="C8230" s="57"/>
      <c r="D8230" s="57"/>
      <c r="E8230" s="56"/>
      <c r="F8230" s="57"/>
      <c r="G8230" s="57"/>
      <c r="H8230" s="56"/>
      <c r="I8230" s="56"/>
      <c r="J8230" s="58"/>
      <c r="K8230" s="58"/>
      <c r="L8230" s="13" t="str">
        <f t="shared" si="1326"/>
        <v/>
      </c>
      <c r="M8230" s="13" t="str">
        <f t="shared" si="1327"/>
        <v/>
      </c>
      <c r="Q8230" t="str">
        <f t="shared" si="1328"/>
        <v/>
      </c>
      <c r="R8230" t="str">
        <f t="shared" si="1329"/>
        <v/>
      </c>
      <c r="S8230" t="str">
        <f t="shared" si="1330"/>
        <v/>
      </c>
      <c r="T8230" t="str">
        <f t="shared" si="1331"/>
        <v/>
      </c>
      <c r="U8230" t="str">
        <f t="shared" si="1332"/>
        <v/>
      </c>
      <c r="V8230" t="str">
        <f t="shared" si="1333"/>
        <v/>
      </c>
      <c r="W8230" t="str">
        <f t="shared" si="1334"/>
        <v/>
      </c>
      <c r="X8230">
        <f t="shared" si="1324"/>
        <v>0</v>
      </c>
      <c r="Z8230" t="str">
        <f t="shared" si="1335"/>
        <v/>
      </c>
      <c r="AA8230">
        <f t="shared" si="1325"/>
        <v>0</v>
      </c>
    </row>
    <row r="8231" spans="1:27" ht="21" customHeight="1" x14ac:dyDescent="0.95">
      <c r="A8231" s="56"/>
      <c r="B8231" s="57"/>
      <c r="C8231" s="57"/>
      <c r="D8231" s="57"/>
      <c r="E8231" s="56"/>
      <c r="F8231" s="57"/>
      <c r="G8231" s="57"/>
      <c r="H8231" s="56"/>
      <c r="I8231" s="56"/>
      <c r="J8231" s="58"/>
      <c r="K8231" s="58"/>
      <c r="L8231" s="13" t="str">
        <f t="shared" si="1326"/>
        <v/>
      </c>
      <c r="M8231" s="13" t="str">
        <f t="shared" si="1327"/>
        <v/>
      </c>
      <c r="Q8231" t="str">
        <f t="shared" si="1328"/>
        <v/>
      </c>
      <c r="R8231" t="str">
        <f t="shared" si="1329"/>
        <v/>
      </c>
      <c r="S8231" t="str">
        <f t="shared" si="1330"/>
        <v/>
      </c>
      <c r="T8231" t="str">
        <f t="shared" si="1331"/>
        <v/>
      </c>
      <c r="U8231" t="str">
        <f t="shared" si="1332"/>
        <v/>
      </c>
      <c r="V8231" t="str">
        <f t="shared" si="1333"/>
        <v/>
      </c>
      <c r="W8231" t="str">
        <f t="shared" si="1334"/>
        <v/>
      </c>
      <c r="X8231">
        <f t="shared" si="1324"/>
        <v>0</v>
      </c>
      <c r="Z8231" t="str">
        <f t="shared" si="1335"/>
        <v/>
      </c>
      <c r="AA8231">
        <f t="shared" si="1325"/>
        <v>0</v>
      </c>
    </row>
    <row r="8232" spans="1:27" ht="21" customHeight="1" x14ac:dyDescent="0.95">
      <c r="A8232" s="56"/>
      <c r="B8232" s="57"/>
      <c r="C8232" s="57"/>
      <c r="D8232" s="57"/>
      <c r="E8232" s="56"/>
      <c r="F8232" s="57"/>
      <c r="G8232" s="57"/>
      <c r="H8232" s="56"/>
      <c r="I8232" s="56"/>
      <c r="J8232" s="58"/>
      <c r="K8232" s="58"/>
      <c r="L8232" s="13" t="str">
        <f t="shared" si="1326"/>
        <v/>
      </c>
      <c r="M8232" s="13" t="str">
        <f t="shared" si="1327"/>
        <v/>
      </c>
      <c r="Q8232" t="str">
        <f t="shared" si="1328"/>
        <v/>
      </c>
      <c r="R8232" t="str">
        <f t="shared" si="1329"/>
        <v/>
      </c>
      <c r="S8232" t="str">
        <f t="shared" si="1330"/>
        <v/>
      </c>
      <c r="T8232" t="str">
        <f t="shared" si="1331"/>
        <v/>
      </c>
      <c r="U8232" t="str">
        <f t="shared" si="1332"/>
        <v/>
      </c>
      <c r="V8232" t="str">
        <f t="shared" si="1333"/>
        <v/>
      </c>
      <c r="W8232" t="str">
        <f t="shared" si="1334"/>
        <v/>
      </c>
      <c r="X8232">
        <f t="shared" si="1324"/>
        <v>0</v>
      </c>
      <c r="Z8232" t="str">
        <f t="shared" si="1335"/>
        <v/>
      </c>
      <c r="AA8232">
        <f t="shared" si="1325"/>
        <v>0</v>
      </c>
    </row>
    <row r="8233" spans="1:27" ht="21" customHeight="1" x14ac:dyDescent="0.95">
      <c r="A8233" s="56"/>
      <c r="B8233" s="57"/>
      <c r="C8233" s="57"/>
      <c r="D8233" s="57"/>
      <c r="E8233" s="56"/>
      <c r="F8233" s="57"/>
      <c r="G8233" s="57"/>
      <c r="H8233" s="56"/>
      <c r="I8233" s="56"/>
      <c r="J8233" s="58"/>
      <c r="K8233" s="58"/>
      <c r="L8233" s="13" t="str">
        <f t="shared" si="1326"/>
        <v/>
      </c>
      <c r="M8233" s="13" t="str">
        <f t="shared" si="1327"/>
        <v/>
      </c>
      <c r="Q8233" t="str">
        <f t="shared" si="1328"/>
        <v/>
      </c>
      <c r="R8233" t="str">
        <f t="shared" si="1329"/>
        <v/>
      </c>
      <c r="S8233" t="str">
        <f t="shared" si="1330"/>
        <v/>
      </c>
      <c r="T8233" t="str">
        <f t="shared" si="1331"/>
        <v/>
      </c>
      <c r="U8233" t="str">
        <f t="shared" si="1332"/>
        <v/>
      </c>
      <c r="V8233" t="str">
        <f t="shared" si="1333"/>
        <v/>
      </c>
      <c r="W8233" t="str">
        <f t="shared" si="1334"/>
        <v/>
      </c>
      <c r="X8233">
        <f t="shared" si="1324"/>
        <v>0</v>
      </c>
      <c r="Z8233" t="str">
        <f t="shared" si="1335"/>
        <v/>
      </c>
      <c r="AA8233">
        <f t="shared" si="1325"/>
        <v>0</v>
      </c>
    </row>
    <row r="8234" spans="1:27" ht="21" customHeight="1" x14ac:dyDescent="0.95">
      <c r="A8234" s="56"/>
      <c r="B8234" s="57"/>
      <c r="C8234" s="57"/>
      <c r="D8234" s="57"/>
      <c r="E8234" s="56"/>
      <c r="F8234" s="57"/>
      <c r="G8234" s="57"/>
      <c r="H8234" s="56"/>
      <c r="I8234" s="56"/>
      <c r="J8234" s="58"/>
      <c r="K8234" s="58"/>
      <c r="L8234" s="13" t="str">
        <f t="shared" si="1326"/>
        <v/>
      </c>
      <c r="M8234" s="13" t="str">
        <f t="shared" si="1327"/>
        <v/>
      </c>
      <c r="Q8234" t="str">
        <f t="shared" si="1328"/>
        <v/>
      </c>
      <c r="R8234" t="str">
        <f t="shared" si="1329"/>
        <v/>
      </c>
      <c r="S8234" t="str">
        <f t="shared" si="1330"/>
        <v/>
      </c>
      <c r="T8234" t="str">
        <f t="shared" si="1331"/>
        <v/>
      </c>
      <c r="U8234" t="str">
        <f t="shared" si="1332"/>
        <v/>
      </c>
      <c r="V8234" t="str">
        <f t="shared" si="1333"/>
        <v/>
      </c>
      <c r="W8234" t="str">
        <f t="shared" si="1334"/>
        <v/>
      </c>
      <c r="X8234">
        <f t="shared" si="1324"/>
        <v>0</v>
      </c>
      <c r="Z8234" t="str">
        <f t="shared" si="1335"/>
        <v/>
      </c>
      <c r="AA8234">
        <f t="shared" si="1325"/>
        <v>0</v>
      </c>
    </row>
    <row r="8235" spans="1:27" ht="21" customHeight="1" x14ac:dyDescent="0.95">
      <c r="A8235" s="56"/>
      <c r="B8235" s="57"/>
      <c r="C8235" s="57"/>
      <c r="D8235" s="57"/>
      <c r="E8235" s="56"/>
      <c r="F8235" s="57"/>
      <c r="G8235" s="57"/>
      <c r="H8235" s="56"/>
      <c r="I8235" s="56"/>
      <c r="J8235" s="58"/>
      <c r="K8235" s="58"/>
      <c r="L8235" s="13" t="str">
        <f t="shared" si="1326"/>
        <v/>
      </c>
      <c r="M8235" s="13" t="str">
        <f t="shared" si="1327"/>
        <v/>
      </c>
      <c r="Q8235" t="str">
        <f t="shared" si="1328"/>
        <v/>
      </c>
      <c r="R8235" t="str">
        <f t="shared" si="1329"/>
        <v/>
      </c>
      <c r="S8235" t="str">
        <f t="shared" si="1330"/>
        <v/>
      </c>
      <c r="T8235" t="str">
        <f t="shared" si="1331"/>
        <v/>
      </c>
      <c r="U8235" t="str">
        <f t="shared" si="1332"/>
        <v/>
      </c>
      <c r="V8235" t="str">
        <f t="shared" si="1333"/>
        <v/>
      </c>
      <c r="W8235" t="str">
        <f t="shared" si="1334"/>
        <v/>
      </c>
      <c r="X8235">
        <f t="shared" si="1324"/>
        <v>0</v>
      </c>
      <c r="Z8235" t="str">
        <f t="shared" si="1335"/>
        <v/>
      </c>
      <c r="AA8235">
        <f t="shared" si="1325"/>
        <v>0</v>
      </c>
    </row>
    <row r="8236" spans="1:27" ht="21" customHeight="1" x14ac:dyDescent="0.95">
      <c r="A8236" s="56"/>
      <c r="B8236" s="57"/>
      <c r="C8236" s="57"/>
      <c r="D8236" s="57"/>
      <c r="E8236" s="56"/>
      <c r="F8236" s="57"/>
      <c r="G8236" s="57"/>
      <c r="H8236" s="56"/>
      <c r="I8236" s="56"/>
      <c r="J8236" s="58"/>
      <c r="K8236" s="58"/>
      <c r="L8236" s="13" t="str">
        <f t="shared" si="1326"/>
        <v/>
      </c>
      <c r="M8236" s="13" t="str">
        <f t="shared" si="1327"/>
        <v/>
      </c>
      <c r="Q8236" t="str">
        <f t="shared" si="1328"/>
        <v/>
      </c>
      <c r="R8236" t="str">
        <f t="shared" si="1329"/>
        <v/>
      </c>
      <c r="S8236" t="str">
        <f t="shared" si="1330"/>
        <v/>
      </c>
      <c r="T8236" t="str">
        <f t="shared" si="1331"/>
        <v/>
      </c>
      <c r="U8236" t="str">
        <f t="shared" si="1332"/>
        <v/>
      </c>
      <c r="V8236" t="str">
        <f t="shared" si="1333"/>
        <v/>
      </c>
      <c r="W8236" t="str">
        <f t="shared" si="1334"/>
        <v/>
      </c>
      <c r="X8236">
        <f t="shared" si="1324"/>
        <v>0</v>
      </c>
      <c r="Z8236" t="str">
        <f t="shared" si="1335"/>
        <v/>
      </c>
      <c r="AA8236">
        <f t="shared" si="1325"/>
        <v>0</v>
      </c>
    </row>
    <row r="8237" spans="1:27" ht="21" customHeight="1" x14ac:dyDescent="0.95">
      <c r="A8237" s="56"/>
      <c r="B8237" s="57"/>
      <c r="C8237" s="57"/>
      <c r="D8237" s="57"/>
      <c r="E8237" s="56"/>
      <c r="F8237" s="57"/>
      <c r="G8237" s="57"/>
      <c r="H8237" s="56"/>
      <c r="I8237" s="56"/>
      <c r="J8237" s="58"/>
      <c r="K8237" s="58"/>
      <c r="L8237" s="13" t="str">
        <f t="shared" si="1326"/>
        <v/>
      </c>
      <c r="M8237" s="13" t="str">
        <f t="shared" si="1327"/>
        <v/>
      </c>
      <c r="Q8237" t="str">
        <f t="shared" si="1328"/>
        <v/>
      </c>
      <c r="R8237" t="str">
        <f t="shared" si="1329"/>
        <v/>
      </c>
      <c r="S8237" t="str">
        <f t="shared" si="1330"/>
        <v/>
      </c>
      <c r="T8237" t="str">
        <f t="shared" si="1331"/>
        <v/>
      </c>
      <c r="U8237" t="str">
        <f t="shared" si="1332"/>
        <v/>
      </c>
      <c r="V8237" t="str">
        <f t="shared" si="1333"/>
        <v/>
      </c>
      <c r="W8237" t="str">
        <f t="shared" si="1334"/>
        <v/>
      </c>
      <c r="X8237">
        <f t="shared" si="1324"/>
        <v>0</v>
      </c>
      <c r="Z8237" t="str">
        <f t="shared" si="1335"/>
        <v/>
      </c>
      <c r="AA8237">
        <f t="shared" si="1325"/>
        <v>0</v>
      </c>
    </row>
    <row r="8238" spans="1:27" ht="21" customHeight="1" x14ac:dyDescent="0.95">
      <c r="A8238" s="56"/>
      <c r="B8238" s="57"/>
      <c r="C8238" s="57"/>
      <c r="D8238" s="57"/>
      <c r="E8238" s="56"/>
      <c r="F8238" s="57"/>
      <c r="G8238" s="57"/>
      <c r="H8238" s="56"/>
      <c r="I8238" s="56"/>
      <c r="J8238" s="58"/>
      <c r="K8238" s="58"/>
      <c r="L8238" s="13" t="str">
        <f t="shared" si="1326"/>
        <v/>
      </c>
      <c r="M8238" s="13" t="str">
        <f t="shared" si="1327"/>
        <v/>
      </c>
      <c r="Q8238" t="str">
        <f t="shared" si="1328"/>
        <v/>
      </c>
      <c r="R8238" t="str">
        <f t="shared" si="1329"/>
        <v/>
      </c>
      <c r="S8238" t="str">
        <f t="shared" si="1330"/>
        <v/>
      </c>
      <c r="T8238" t="str">
        <f t="shared" si="1331"/>
        <v/>
      </c>
      <c r="U8238" t="str">
        <f t="shared" si="1332"/>
        <v/>
      </c>
      <c r="V8238" t="str">
        <f t="shared" si="1333"/>
        <v/>
      </c>
      <c r="W8238" t="str">
        <f t="shared" si="1334"/>
        <v/>
      </c>
      <c r="X8238">
        <f t="shared" si="1324"/>
        <v>0</v>
      </c>
      <c r="Z8238" t="str">
        <f t="shared" si="1335"/>
        <v/>
      </c>
      <c r="AA8238">
        <f t="shared" si="1325"/>
        <v>0</v>
      </c>
    </row>
    <row r="8239" spans="1:27" ht="21" customHeight="1" x14ac:dyDescent="0.95">
      <c r="A8239" s="56"/>
      <c r="B8239" s="57"/>
      <c r="C8239" s="57"/>
      <c r="D8239" s="57"/>
      <c r="E8239" s="56"/>
      <c r="F8239" s="57"/>
      <c r="G8239" s="57"/>
      <c r="H8239" s="56"/>
      <c r="I8239" s="56"/>
      <c r="J8239" s="58"/>
      <c r="K8239" s="58"/>
      <c r="L8239" s="13" t="str">
        <f t="shared" si="1326"/>
        <v/>
      </c>
      <c r="M8239" s="13" t="str">
        <f t="shared" si="1327"/>
        <v/>
      </c>
      <c r="Q8239" t="str">
        <f t="shared" si="1328"/>
        <v/>
      </c>
      <c r="R8239" t="str">
        <f t="shared" si="1329"/>
        <v/>
      </c>
      <c r="S8239" t="str">
        <f t="shared" si="1330"/>
        <v/>
      </c>
      <c r="T8239" t="str">
        <f t="shared" si="1331"/>
        <v/>
      </c>
      <c r="U8239" t="str">
        <f t="shared" si="1332"/>
        <v/>
      </c>
      <c r="V8239" t="str">
        <f t="shared" si="1333"/>
        <v/>
      </c>
      <c r="W8239" t="str">
        <f t="shared" si="1334"/>
        <v/>
      </c>
      <c r="X8239">
        <f t="shared" si="1324"/>
        <v>0</v>
      </c>
      <c r="Z8239" t="str">
        <f t="shared" si="1335"/>
        <v/>
      </c>
      <c r="AA8239">
        <f t="shared" si="1325"/>
        <v>0</v>
      </c>
    </row>
    <row r="8240" spans="1:27" ht="21" customHeight="1" x14ac:dyDescent="0.95">
      <c r="A8240" s="56"/>
      <c r="B8240" s="57"/>
      <c r="C8240" s="57"/>
      <c r="D8240" s="57"/>
      <c r="E8240" s="56"/>
      <c r="F8240" s="57"/>
      <c r="G8240" s="57"/>
      <c r="H8240" s="56"/>
      <c r="I8240" s="56"/>
      <c r="J8240" s="58"/>
      <c r="K8240" s="58"/>
      <c r="L8240" s="13" t="str">
        <f t="shared" si="1326"/>
        <v/>
      </c>
      <c r="M8240" s="13" t="str">
        <f t="shared" si="1327"/>
        <v/>
      </c>
      <c r="Q8240" t="str">
        <f t="shared" si="1328"/>
        <v/>
      </c>
      <c r="R8240" t="str">
        <f t="shared" si="1329"/>
        <v/>
      </c>
      <c r="S8240" t="str">
        <f t="shared" si="1330"/>
        <v/>
      </c>
      <c r="T8240" t="str">
        <f t="shared" si="1331"/>
        <v/>
      </c>
      <c r="U8240" t="str">
        <f t="shared" si="1332"/>
        <v/>
      </c>
      <c r="V8240" t="str">
        <f t="shared" si="1333"/>
        <v/>
      </c>
      <c r="W8240" t="str">
        <f t="shared" si="1334"/>
        <v/>
      </c>
      <c r="X8240">
        <f t="shared" si="1324"/>
        <v>0</v>
      </c>
      <c r="Z8240" t="str">
        <f t="shared" si="1335"/>
        <v/>
      </c>
      <c r="AA8240">
        <f t="shared" si="1325"/>
        <v>0</v>
      </c>
    </row>
    <row r="8241" spans="1:27" ht="21" customHeight="1" x14ac:dyDescent="0.95">
      <c r="A8241" s="56"/>
      <c r="B8241" s="57"/>
      <c r="C8241" s="57"/>
      <c r="D8241" s="57"/>
      <c r="E8241" s="56"/>
      <c r="F8241" s="57"/>
      <c r="G8241" s="57"/>
      <c r="H8241" s="56"/>
      <c r="I8241" s="56"/>
      <c r="J8241" s="58"/>
      <c r="K8241" s="58"/>
      <c r="L8241" s="13" t="str">
        <f t="shared" si="1326"/>
        <v/>
      </c>
      <c r="M8241" s="13" t="str">
        <f t="shared" si="1327"/>
        <v/>
      </c>
      <c r="Q8241" t="str">
        <f t="shared" si="1328"/>
        <v/>
      </c>
      <c r="R8241" t="str">
        <f t="shared" si="1329"/>
        <v/>
      </c>
      <c r="S8241" t="str">
        <f t="shared" si="1330"/>
        <v/>
      </c>
      <c r="T8241" t="str">
        <f t="shared" si="1331"/>
        <v/>
      </c>
      <c r="U8241" t="str">
        <f t="shared" si="1332"/>
        <v/>
      </c>
      <c r="V8241" t="str">
        <f t="shared" si="1333"/>
        <v/>
      </c>
      <c r="W8241" t="str">
        <f t="shared" si="1334"/>
        <v/>
      </c>
      <c r="X8241">
        <f t="shared" si="1324"/>
        <v>0</v>
      </c>
      <c r="Z8241" t="str">
        <f t="shared" si="1335"/>
        <v/>
      </c>
      <c r="AA8241">
        <f t="shared" si="1325"/>
        <v>0</v>
      </c>
    </row>
    <row r="8242" spans="1:27" ht="21" customHeight="1" x14ac:dyDescent="0.95">
      <c r="A8242" s="56"/>
      <c r="B8242" s="57"/>
      <c r="C8242" s="57"/>
      <c r="D8242" s="57"/>
      <c r="E8242" s="56"/>
      <c r="F8242" s="57"/>
      <c r="G8242" s="57"/>
      <c r="H8242" s="56"/>
      <c r="I8242" s="56"/>
      <c r="J8242" s="58"/>
      <c r="K8242" s="58"/>
      <c r="L8242" s="13" t="str">
        <f t="shared" si="1326"/>
        <v/>
      </c>
      <c r="M8242" s="13" t="str">
        <f t="shared" si="1327"/>
        <v/>
      </c>
      <c r="Q8242" t="str">
        <f t="shared" si="1328"/>
        <v/>
      </c>
      <c r="R8242" t="str">
        <f t="shared" si="1329"/>
        <v/>
      </c>
      <c r="S8242" t="str">
        <f t="shared" si="1330"/>
        <v/>
      </c>
      <c r="T8242" t="str">
        <f t="shared" si="1331"/>
        <v/>
      </c>
      <c r="U8242" t="str">
        <f t="shared" si="1332"/>
        <v/>
      </c>
      <c r="V8242" t="str">
        <f t="shared" si="1333"/>
        <v/>
      </c>
      <c r="W8242" t="str">
        <f t="shared" si="1334"/>
        <v/>
      </c>
      <c r="X8242">
        <f t="shared" si="1324"/>
        <v>0</v>
      </c>
      <c r="Z8242" t="str">
        <f t="shared" si="1335"/>
        <v/>
      </c>
      <c r="AA8242">
        <f t="shared" si="1325"/>
        <v>0</v>
      </c>
    </row>
    <row r="8243" spans="1:27" ht="21" customHeight="1" x14ac:dyDescent="0.95">
      <c r="A8243" s="56"/>
      <c r="B8243" s="57"/>
      <c r="C8243" s="57"/>
      <c r="D8243" s="57"/>
      <c r="E8243" s="56"/>
      <c r="F8243" s="57"/>
      <c r="G8243" s="57"/>
      <c r="H8243" s="56"/>
      <c r="I8243" s="56"/>
      <c r="J8243" s="58"/>
      <c r="K8243" s="58"/>
      <c r="L8243" s="13" t="str">
        <f t="shared" si="1326"/>
        <v/>
      </c>
      <c r="M8243" s="13" t="str">
        <f t="shared" si="1327"/>
        <v/>
      </c>
      <c r="Q8243" t="str">
        <f t="shared" si="1328"/>
        <v/>
      </c>
      <c r="R8243" t="str">
        <f t="shared" si="1329"/>
        <v/>
      </c>
      <c r="S8243" t="str">
        <f t="shared" si="1330"/>
        <v/>
      </c>
      <c r="T8243" t="str">
        <f t="shared" si="1331"/>
        <v/>
      </c>
      <c r="U8243" t="str">
        <f t="shared" si="1332"/>
        <v/>
      </c>
      <c r="V8243" t="str">
        <f t="shared" si="1333"/>
        <v/>
      </c>
      <c r="W8243" t="str">
        <f t="shared" si="1334"/>
        <v/>
      </c>
      <c r="X8243">
        <f t="shared" si="1324"/>
        <v>0</v>
      </c>
      <c r="Z8243" t="str">
        <f t="shared" si="1335"/>
        <v/>
      </c>
      <c r="AA8243">
        <f t="shared" si="1325"/>
        <v>0</v>
      </c>
    </row>
    <row r="8244" spans="1:27" ht="21" customHeight="1" x14ac:dyDescent="0.95">
      <c r="A8244" s="56"/>
      <c r="B8244" s="57"/>
      <c r="C8244" s="57"/>
      <c r="D8244" s="57"/>
      <c r="E8244" s="56"/>
      <c r="F8244" s="57"/>
      <c r="G8244" s="57"/>
      <c r="H8244" s="56"/>
      <c r="I8244" s="56"/>
      <c r="J8244" s="58"/>
      <c r="K8244" s="58"/>
      <c r="L8244" s="13" t="str">
        <f t="shared" si="1326"/>
        <v/>
      </c>
      <c r="M8244" s="13" t="str">
        <f t="shared" si="1327"/>
        <v/>
      </c>
      <c r="Q8244" t="str">
        <f t="shared" si="1328"/>
        <v/>
      </c>
      <c r="R8244" t="str">
        <f t="shared" si="1329"/>
        <v/>
      </c>
      <c r="S8244" t="str">
        <f t="shared" si="1330"/>
        <v/>
      </c>
      <c r="T8244" t="str">
        <f t="shared" si="1331"/>
        <v/>
      </c>
      <c r="U8244" t="str">
        <f t="shared" si="1332"/>
        <v/>
      </c>
      <c r="V8244" t="str">
        <f t="shared" si="1333"/>
        <v/>
      </c>
      <c r="W8244" t="str">
        <f t="shared" si="1334"/>
        <v/>
      </c>
      <c r="X8244">
        <f t="shared" si="1324"/>
        <v>0</v>
      </c>
      <c r="Z8244" t="str">
        <f t="shared" si="1335"/>
        <v/>
      </c>
      <c r="AA8244">
        <f t="shared" si="1325"/>
        <v>0</v>
      </c>
    </row>
    <row r="8245" spans="1:27" ht="21" customHeight="1" x14ac:dyDescent="0.95">
      <c r="A8245" s="56"/>
      <c r="B8245" s="57"/>
      <c r="C8245" s="57"/>
      <c r="D8245" s="57"/>
      <c r="E8245" s="56"/>
      <c r="F8245" s="57"/>
      <c r="G8245" s="57"/>
      <c r="H8245" s="56"/>
      <c r="I8245" s="56"/>
      <c r="J8245" s="58"/>
      <c r="K8245" s="58"/>
      <c r="L8245" s="13" t="str">
        <f t="shared" si="1326"/>
        <v/>
      </c>
      <c r="M8245" s="13" t="str">
        <f t="shared" si="1327"/>
        <v/>
      </c>
      <c r="Q8245" t="str">
        <f t="shared" si="1328"/>
        <v/>
      </c>
      <c r="R8245" t="str">
        <f t="shared" si="1329"/>
        <v/>
      </c>
      <c r="S8245" t="str">
        <f t="shared" si="1330"/>
        <v/>
      </c>
      <c r="T8245" t="str">
        <f t="shared" si="1331"/>
        <v/>
      </c>
      <c r="U8245" t="str">
        <f t="shared" si="1332"/>
        <v/>
      </c>
      <c r="V8245" t="str">
        <f t="shared" si="1333"/>
        <v/>
      </c>
      <c r="W8245" t="str">
        <f t="shared" si="1334"/>
        <v/>
      </c>
      <c r="X8245">
        <f t="shared" ref="X8245:X8308" si="1336">IF($T8245="",N($X8244),IF(MATCH($T8245,$T$6:$T$10005,0)=ROW()-5,N($X8244)+1,N($X8244)))</f>
        <v>0</v>
      </c>
      <c r="Z8245" t="str">
        <f t="shared" si="1335"/>
        <v/>
      </c>
      <c r="AA8245">
        <f t="shared" ref="AA8245:AA8308" si="1337">IF($V8245="",N($AA8244),IF(MATCH($V8245,$V$6:$V$10005,0)=ROW()-5,N($AA8244)+1,N($AA8244)))</f>
        <v>0</v>
      </c>
    </row>
    <row r="8246" spans="1:27" ht="21" customHeight="1" x14ac:dyDescent="0.95">
      <c r="A8246" s="56"/>
      <c r="B8246" s="57"/>
      <c r="C8246" s="57"/>
      <c r="D8246" s="57"/>
      <c r="E8246" s="56"/>
      <c r="F8246" s="57"/>
      <c r="G8246" s="57"/>
      <c r="H8246" s="56"/>
      <c r="I8246" s="56"/>
      <c r="J8246" s="58"/>
      <c r="K8246" s="58"/>
      <c r="L8246" s="13" t="str">
        <f t="shared" si="1326"/>
        <v/>
      </c>
      <c r="M8246" s="13" t="str">
        <f t="shared" si="1327"/>
        <v/>
      </c>
      <c r="Q8246" t="str">
        <f t="shared" si="1328"/>
        <v/>
      </c>
      <c r="R8246" t="str">
        <f t="shared" si="1329"/>
        <v/>
      </c>
      <c r="S8246" t="str">
        <f t="shared" si="1330"/>
        <v/>
      </c>
      <c r="T8246" t="str">
        <f t="shared" si="1331"/>
        <v/>
      </c>
      <c r="U8246" t="str">
        <f t="shared" si="1332"/>
        <v/>
      </c>
      <c r="V8246" t="str">
        <f t="shared" si="1333"/>
        <v/>
      </c>
      <c r="W8246" t="str">
        <f t="shared" si="1334"/>
        <v/>
      </c>
      <c r="X8246">
        <f t="shared" si="1336"/>
        <v>0</v>
      </c>
      <c r="Z8246" t="str">
        <f t="shared" si="1335"/>
        <v/>
      </c>
      <c r="AA8246">
        <f t="shared" si="1337"/>
        <v>0</v>
      </c>
    </row>
    <row r="8247" spans="1:27" ht="21" customHeight="1" x14ac:dyDescent="0.95">
      <c r="A8247" s="56"/>
      <c r="B8247" s="57"/>
      <c r="C8247" s="57"/>
      <c r="D8247" s="57"/>
      <c r="E8247" s="56"/>
      <c r="F8247" s="57"/>
      <c r="G8247" s="57"/>
      <c r="H8247" s="56"/>
      <c r="I8247" s="56"/>
      <c r="J8247" s="58"/>
      <c r="K8247" s="58"/>
      <c r="L8247" s="13" t="str">
        <f t="shared" si="1326"/>
        <v/>
      </c>
      <c r="M8247" s="13" t="str">
        <f t="shared" si="1327"/>
        <v/>
      </c>
      <c r="Q8247" t="str">
        <f t="shared" si="1328"/>
        <v/>
      </c>
      <c r="R8247" t="str">
        <f t="shared" si="1329"/>
        <v/>
      </c>
      <c r="S8247" t="str">
        <f t="shared" si="1330"/>
        <v/>
      </c>
      <c r="T8247" t="str">
        <f t="shared" si="1331"/>
        <v/>
      </c>
      <c r="U8247" t="str">
        <f t="shared" si="1332"/>
        <v/>
      </c>
      <c r="V8247" t="str">
        <f t="shared" si="1333"/>
        <v/>
      </c>
      <c r="W8247" t="str">
        <f t="shared" si="1334"/>
        <v/>
      </c>
      <c r="X8247">
        <f t="shared" si="1336"/>
        <v>0</v>
      </c>
      <c r="Z8247" t="str">
        <f t="shared" si="1335"/>
        <v/>
      </c>
      <c r="AA8247">
        <f t="shared" si="1337"/>
        <v>0</v>
      </c>
    </row>
    <row r="8248" spans="1:27" ht="21" customHeight="1" x14ac:dyDescent="0.95">
      <c r="A8248" s="56"/>
      <c r="B8248" s="57"/>
      <c r="C8248" s="57"/>
      <c r="D8248" s="57"/>
      <c r="E8248" s="56"/>
      <c r="F8248" s="57"/>
      <c r="G8248" s="57"/>
      <c r="H8248" s="56"/>
      <c r="I8248" s="56"/>
      <c r="J8248" s="58"/>
      <c r="K8248" s="58"/>
      <c r="L8248" s="13" t="str">
        <f t="shared" si="1326"/>
        <v/>
      </c>
      <c r="M8248" s="13" t="str">
        <f t="shared" si="1327"/>
        <v/>
      </c>
      <c r="Q8248" t="str">
        <f t="shared" si="1328"/>
        <v/>
      </c>
      <c r="R8248" t="str">
        <f t="shared" si="1329"/>
        <v/>
      </c>
      <c r="S8248" t="str">
        <f t="shared" si="1330"/>
        <v/>
      </c>
      <c r="T8248" t="str">
        <f t="shared" si="1331"/>
        <v/>
      </c>
      <c r="U8248" t="str">
        <f t="shared" si="1332"/>
        <v/>
      </c>
      <c r="V8248" t="str">
        <f t="shared" si="1333"/>
        <v/>
      </c>
      <c r="W8248" t="str">
        <f t="shared" si="1334"/>
        <v/>
      </c>
      <c r="X8248">
        <f t="shared" si="1336"/>
        <v>0</v>
      </c>
      <c r="Z8248" t="str">
        <f t="shared" si="1335"/>
        <v/>
      </c>
      <c r="AA8248">
        <f t="shared" si="1337"/>
        <v>0</v>
      </c>
    </row>
    <row r="8249" spans="1:27" ht="21" customHeight="1" x14ac:dyDescent="0.95">
      <c r="A8249" s="56"/>
      <c r="B8249" s="57"/>
      <c r="C8249" s="57"/>
      <c r="D8249" s="57"/>
      <c r="E8249" s="56"/>
      <c r="F8249" s="57"/>
      <c r="G8249" s="57"/>
      <c r="H8249" s="56"/>
      <c r="I8249" s="56"/>
      <c r="J8249" s="58"/>
      <c r="K8249" s="58"/>
      <c r="L8249" s="13" t="str">
        <f t="shared" si="1326"/>
        <v/>
      </c>
      <c r="M8249" s="13" t="str">
        <f t="shared" si="1327"/>
        <v/>
      </c>
      <c r="Q8249" t="str">
        <f t="shared" si="1328"/>
        <v/>
      </c>
      <c r="R8249" t="str">
        <f t="shared" si="1329"/>
        <v/>
      </c>
      <c r="S8249" t="str">
        <f t="shared" si="1330"/>
        <v/>
      </c>
      <c r="T8249" t="str">
        <f t="shared" si="1331"/>
        <v/>
      </c>
      <c r="U8249" t="str">
        <f t="shared" si="1332"/>
        <v/>
      </c>
      <c r="V8249" t="str">
        <f t="shared" si="1333"/>
        <v/>
      </c>
      <c r="W8249" t="str">
        <f t="shared" si="1334"/>
        <v/>
      </c>
      <c r="X8249">
        <f t="shared" si="1336"/>
        <v>0</v>
      </c>
      <c r="Z8249" t="str">
        <f t="shared" si="1335"/>
        <v/>
      </c>
      <c r="AA8249">
        <f t="shared" si="1337"/>
        <v>0</v>
      </c>
    </row>
    <row r="8250" spans="1:27" ht="21" customHeight="1" x14ac:dyDescent="0.95">
      <c r="A8250" s="56"/>
      <c r="B8250" s="57"/>
      <c r="C8250" s="57"/>
      <c r="D8250" s="57"/>
      <c r="E8250" s="56"/>
      <c r="F8250" s="57"/>
      <c r="G8250" s="57"/>
      <c r="H8250" s="56"/>
      <c r="I8250" s="56"/>
      <c r="J8250" s="58"/>
      <c r="K8250" s="58"/>
      <c r="L8250" s="13" t="str">
        <f t="shared" si="1326"/>
        <v/>
      </c>
      <c r="M8250" s="13" t="str">
        <f t="shared" si="1327"/>
        <v/>
      </c>
      <c r="Q8250" t="str">
        <f t="shared" si="1328"/>
        <v/>
      </c>
      <c r="R8250" t="str">
        <f t="shared" si="1329"/>
        <v/>
      </c>
      <c r="S8250" t="str">
        <f t="shared" si="1330"/>
        <v/>
      </c>
      <c r="T8250" t="str">
        <f t="shared" si="1331"/>
        <v/>
      </c>
      <c r="U8250" t="str">
        <f t="shared" si="1332"/>
        <v/>
      </c>
      <c r="V8250" t="str">
        <f t="shared" si="1333"/>
        <v/>
      </c>
      <c r="W8250" t="str">
        <f t="shared" si="1334"/>
        <v/>
      </c>
      <c r="X8250">
        <f t="shared" si="1336"/>
        <v>0</v>
      </c>
      <c r="Z8250" t="str">
        <f t="shared" si="1335"/>
        <v/>
      </c>
      <c r="AA8250">
        <f t="shared" si="1337"/>
        <v>0</v>
      </c>
    </row>
    <row r="8251" spans="1:27" ht="21" customHeight="1" x14ac:dyDescent="0.95">
      <c r="A8251" s="56"/>
      <c r="B8251" s="57"/>
      <c r="C8251" s="57"/>
      <c r="D8251" s="57"/>
      <c r="E8251" s="56"/>
      <c r="F8251" s="57"/>
      <c r="G8251" s="57"/>
      <c r="H8251" s="56"/>
      <c r="I8251" s="56"/>
      <c r="J8251" s="58"/>
      <c r="K8251" s="58"/>
      <c r="L8251" s="13" t="str">
        <f t="shared" si="1326"/>
        <v/>
      </c>
      <c r="M8251" s="13" t="str">
        <f t="shared" si="1327"/>
        <v/>
      </c>
      <c r="Q8251" t="str">
        <f t="shared" si="1328"/>
        <v/>
      </c>
      <c r="R8251" t="str">
        <f t="shared" si="1329"/>
        <v/>
      </c>
      <c r="S8251" t="str">
        <f t="shared" si="1330"/>
        <v/>
      </c>
      <c r="T8251" t="str">
        <f t="shared" si="1331"/>
        <v/>
      </c>
      <c r="U8251" t="str">
        <f t="shared" si="1332"/>
        <v/>
      </c>
      <c r="V8251" t="str">
        <f t="shared" si="1333"/>
        <v/>
      </c>
      <c r="W8251" t="str">
        <f t="shared" si="1334"/>
        <v/>
      </c>
      <c r="X8251">
        <f t="shared" si="1336"/>
        <v>0</v>
      </c>
      <c r="Z8251" t="str">
        <f t="shared" si="1335"/>
        <v/>
      </c>
      <c r="AA8251">
        <f t="shared" si="1337"/>
        <v>0</v>
      </c>
    </row>
    <row r="8252" spans="1:27" ht="21" customHeight="1" x14ac:dyDescent="0.95">
      <c r="A8252" s="56"/>
      <c r="B8252" s="57"/>
      <c r="C8252" s="57"/>
      <c r="D8252" s="57"/>
      <c r="E8252" s="56"/>
      <c r="F8252" s="57"/>
      <c r="G8252" s="57"/>
      <c r="H8252" s="56"/>
      <c r="I8252" s="56"/>
      <c r="J8252" s="58"/>
      <c r="K8252" s="58"/>
      <c r="L8252" s="13" t="str">
        <f t="shared" si="1326"/>
        <v/>
      </c>
      <c r="M8252" s="13" t="str">
        <f t="shared" si="1327"/>
        <v/>
      </c>
      <c r="Q8252" t="str">
        <f t="shared" si="1328"/>
        <v/>
      </c>
      <c r="R8252" t="str">
        <f t="shared" si="1329"/>
        <v/>
      </c>
      <c r="S8252" t="str">
        <f t="shared" si="1330"/>
        <v/>
      </c>
      <c r="T8252" t="str">
        <f t="shared" si="1331"/>
        <v/>
      </c>
      <c r="U8252" t="str">
        <f t="shared" si="1332"/>
        <v/>
      </c>
      <c r="V8252" t="str">
        <f t="shared" si="1333"/>
        <v/>
      </c>
      <c r="W8252" t="str">
        <f t="shared" si="1334"/>
        <v/>
      </c>
      <c r="X8252">
        <f t="shared" si="1336"/>
        <v>0</v>
      </c>
      <c r="Z8252" t="str">
        <f t="shared" si="1335"/>
        <v/>
      </c>
      <c r="AA8252">
        <f t="shared" si="1337"/>
        <v>0</v>
      </c>
    </row>
    <row r="8253" spans="1:27" ht="21" customHeight="1" x14ac:dyDescent="0.95">
      <c r="A8253" s="56"/>
      <c r="B8253" s="57"/>
      <c r="C8253" s="57"/>
      <c r="D8253" s="57"/>
      <c r="E8253" s="56"/>
      <c r="F8253" s="57"/>
      <c r="G8253" s="57"/>
      <c r="H8253" s="56"/>
      <c r="I8253" s="56"/>
      <c r="J8253" s="58"/>
      <c r="K8253" s="58"/>
      <c r="L8253" s="13" t="str">
        <f t="shared" si="1326"/>
        <v/>
      </c>
      <c r="M8253" s="13" t="str">
        <f t="shared" si="1327"/>
        <v/>
      </c>
      <c r="Q8253" t="str">
        <f t="shared" si="1328"/>
        <v/>
      </c>
      <c r="R8253" t="str">
        <f t="shared" si="1329"/>
        <v/>
      </c>
      <c r="S8253" t="str">
        <f t="shared" si="1330"/>
        <v/>
      </c>
      <c r="T8253" t="str">
        <f t="shared" si="1331"/>
        <v/>
      </c>
      <c r="U8253" t="str">
        <f t="shared" si="1332"/>
        <v/>
      </c>
      <c r="V8253" t="str">
        <f t="shared" si="1333"/>
        <v/>
      </c>
      <c r="W8253" t="str">
        <f t="shared" si="1334"/>
        <v/>
      </c>
      <c r="X8253">
        <f t="shared" si="1336"/>
        <v>0</v>
      </c>
      <c r="Z8253" t="str">
        <f t="shared" si="1335"/>
        <v/>
      </c>
      <c r="AA8253">
        <f t="shared" si="1337"/>
        <v>0</v>
      </c>
    </row>
    <row r="8254" spans="1:27" ht="21" customHeight="1" x14ac:dyDescent="0.95">
      <c r="A8254" s="56"/>
      <c r="B8254" s="57"/>
      <c r="C8254" s="57"/>
      <c r="D8254" s="57"/>
      <c r="E8254" s="56"/>
      <c r="F8254" s="57"/>
      <c r="G8254" s="57"/>
      <c r="H8254" s="56"/>
      <c r="I8254" s="56"/>
      <c r="J8254" s="58"/>
      <c r="K8254" s="58"/>
      <c r="L8254" s="13" t="str">
        <f t="shared" si="1326"/>
        <v/>
      </c>
      <c r="M8254" s="13" t="str">
        <f t="shared" si="1327"/>
        <v/>
      </c>
      <c r="Q8254" t="str">
        <f t="shared" si="1328"/>
        <v/>
      </c>
      <c r="R8254" t="str">
        <f t="shared" si="1329"/>
        <v/>
      </c>
      <c r="S8254" t="str">
        <f t="shared" si="1330"/>
        <v/>
      </c>
      <c r="T8254" t="str">
        <f t="shared" si="1331"/>
        <v/>
      </c>
      <c r="U8254" t="str">
        <f t="shared" si="1332"/>
        <v/>
      </c>
      <c r="V8254" t="str">
        <f t="shared" si="1333"/>
        <v/>
      </c>
      <c r="W8254" t="str">
        <f t="shared" si="1334"/>
        <v/>
      </c>
      <c r="X8254">
        <f t="shared" si="1336"/>
        <v>0</v>
      </c>
      <c r="Z8254" t="str">
        <f t="shared" si="1335"/>
        <v/>
      </c>
      <c r="AA8254">
        <f t="shared" si="1337"/>
        <v>0</v>
      </c>
    </row>
    <row r="8255" spans="1:27" ht="21" customHeight="1" x14ac:dyDescent="0.95">
      <c r="A8255" s="56"/>
      <c r="B8255" s="57"/>
      <c r="C8255" s="57"/>
      <c r="D8255" s="57"/>
      <c r="E8255" s="56"/>
      <c r="F8255" s="57"/>
      <c r="G8255" s="57"/>
      <c r="H8255" s="56"/>
      <c r="I8255" s="56"/>
      <c r="J8255" s="58"/>
      <c r="K8255" s="58"/>
      <c r="L8255" s="13" t="str">
        <f t="shared" si="1326"/>
        <v/>
      </c>
      <c r="M8255" s="13" t="str">
        <f t="shared" si="1327"/>
        <v/>
      </c>
      <c r="Q8255" t="str">
        <f t="shared" si="1328"/>
        <v/>
      </c>
      <c r="R8255" t="str">
        <f t="shared" si="1329"/>
        <v/>
      </c>
      <c r="S8255" t="str">
        <f t="shared" si="1330"/>
        <v/>
      </c>
      <c r="T8255" t="str">
        <f t="shared" si="1331"/>
        <v/>
      </c>
      <c r="U8255" t="str">
        <f t="shared" si="1332"/>
        <v/>
      </c>
      <c r="V8255" t="str">
        <f t="shared" si="1333"/>
        <v/>
      </c>
      <c r="W8255" t="str">
        <f t="shared" si="1334"/>
        <v/>
      </c>
      <c r="X8255">
        <f t="shared" si="1336"/>
        <v>0</v>
      </c>
      <c r="Z8255" t="str">
        <f t="shared" si="1335"/>
        <v/>
      </c>
      <c r="AA8255">
        <f t="shared" si="1337"/>
        <v>0</v>
      </c>
    </row>
    <row r="8256" spans="1:27" ht="21" customHeight="1" x14ac:dyDescent="0.95">
      <c r="A8256" s="56"/>
      <c r="B8256" s="57"/>
      <c r="C8256" s="57"/>
      <c r="D8256" s="57"/>
      <c r="E8256" s="56"/>
      <c r="F8256" s="57"/>
      <c r="G8256" s="57"/>
      <c r="H8256" s="56"/>
      <c r="I8256" s="56"/>
      <c r="J8256" s="58"/>
      <c r="K8256" s="58"/>
      <c r="L8256" s="13" t="str">
        <f t="shared" si="1326"/>
        <v/>
      </c>
      <c r="M8256" s="13" t="str">
        <f t="shared" si="1327"/>
        <v/>
      </c>
      <c r="Q8256" t="str">
        <f t="shared" si="1328"/>
        <v/>
      </c>
      <c r="R8256" t="str">
        <f t="shared" si="1329"/>
        <v/>
      </c>
      <c r="S8256" t="str">
        <f t="shared" si="1330"/>
        <v/>
      </c>
      <c r="T8256" t="str">
        <f t="shared" si="1331"/>
        <v/>
      </c>
      <c r="U8256" t="str">
        <f t="shared" si="1332"/>
        <v/>
      </c>
      <c r="V8256" t="str">
        <f t="shared" si="1333"/>
        <v/>
      </c>
      <c r="W8256" t="str">
        <f t="shared" si="1334"/>
        <v/>
      </c>
      <c r="X8256">
        <f t="shared" si="1336"/>
        <v>0</v>
      </c>
      <c r="Z8256" t="str">
        <f t="shared" si="1335"/>
        <v/>
      </c>
      <c r="AA8256">
        <f t="shared" si="1337"/>
        <v>0</v>
      </c>
    </row>
    <row r="8257" spans="1:27" ht="21" customHeight="1" x14ac:dyDescent="0.95">
      <c r="A8257" s="56"/>
      <c r="B8257" s="57"/>
      <c r="C8257" s="57"/>
      <c r="D8257" s="57"/>
      <c r="E8257" s="56"/>
      <c r="F8257" s="57"/>
      <c r="G8257" s="57"/>
      <c r="H8257" s="56"/>
      <c r="I8257" s="56"/>
      <c r="J8257" s="58"/>
      <c r="K8257" s="58"/>
      <c r="L8257" s="13" t="str">
        <f t="shared" si="1326"/>
        <v/>
      </c>
      <c r="M8257" s="13" t="str">
        <f t="shared" si="1327"/>
        <v/>
      </c>
      <c r="Q8257" t="str">
        <f t="shared" si="1328"/>
        <v/>
      </c>
      <c r="R8257" t="str">
        <f t="shared" si="1329"/>
        <v/>
      </c>
      <c r="S8257" t="str">
        <f t="shared" si="1330"/>
        <v/>
      </c>
      <c r="T8257" t="str">
        <f t="shared" si="1331"/>
        <v/>
      </c>
      <c r="U8257" t="str">
        <f t="shared" si="1332"/>
        <v/>
      </c>
      <c r="V8257" t="str">
        <f t="shared" si="1333"/>
        <v/>
      </c>
      <c r="W8257" t="str">
        <f t="shared" si="1334"/>
        <v/>
      </c>
      <c r="X8257">
        <f t="shared" si="1336"/>
        <v>0</v>
      </c>
      <c r="Z8257" t="str">
        <f t="shared" si="1335"/>
        <v/>
      </c>
      <c r="AA8257">
        <f t="shared" si="1337"/>
        <v>0</v>
      </c>
    </row>
    <row r="8258" spans="1:27" ht="21" customHeight="1" x14ac:dyDescent="0.95">
      <c r="A8258" s="56"/>
      <c r="B8258" s="57"/>
      <c r="C8258" s="57"/>
      <c r="D8258" s="57"/>
      <c r="E8258" s="56"/>
      <c r="F8258" s="57"/>
      <c r="G8258" s="57"/>
      <c r="H8258" s="56"/>
      <c r="I8258" s="56"/>
      <c r="J8258" s="58"/>
      <c r="K8258" s="58"/>
      <c r="L8258" s="13" t="str">
        <f t="shared" si="1326"/>
        <v/>
      </c>
      <c r="M8258" s="13" t="str">
        <f t="shared" si="1327"/>
        <v/>
      </c>
      <c r="Q8258" t="str">
        <f t="shared" si="1328"/>
        <v/>
      </c>
      <c r="R8258" t="str">
        <f t="shared" si="1329"/>
        <v/>
      </c>
      <c r="S8258" t="str">
        <f t="shared" si="1330"/>
        <v/>
      </c>
      <c r="T8258" t="str">
        <f t="shared" si="1331"/>
        <v/>
      </c>
      <c r="U8258" t="str">
        <f t="shared" si="1332"/>
        <v/>
      </c>
      <c r="V8258" t="str">
        <f t="shared" si="1333"/>
        <v/>
      </c>
      <c r="W8258" t="str">
        <f t="shared" si="1334"/>
        <v/>
      </c>
      <c r="X8258">
        <f t="shared" si="1336"/>
        <v>0</v>
      </c>
      <c r="Z8258" t="str">
        <f t="shared" si="1335"/>
        <v/>
      </c>
      <c r="AA8258">
        <f t="shared" si="1337"/>
        <v>0</v>
      </c>
    </row>
    <row r="8259" spans="1:27" ht="21" customHeight="1" x14ac:dyDescent="0.95">
      <c r="A8259" s="56"/>
      <c r="B8259" s="57"/>
      <c r="C8259" s="57"/>
      <c r="D8259" s="57"/>
      <c r="E8259" s="56"/>
      <c r="F8259" s="57"/>
      <c r="G8259" s="57"/>
      <c r="H8259" s="56"/>
      <c r="I8259" s="56"/>
      <c r="J8259" s="58"/>
      <c r="K8259" s="58"/>
      <c r="L8259" s="13" t="str">
        <f t="shared" si="1326"/>
        <v/>
      </c>
      <c r="M8259" s="13" t="str">
        <f t="shared" si="1327"/>
        <v/>
      </c>
      <c r="Q8259" t="str">
        <f t="shared" si="1328"/>
        <v/>
      </c>
      <c r="R8259" t="str">
        <f t="shared" si="1329"/>
        <v/>
      </c>
      <c r="S8259" t="str">
        <f t="shared" si="1330"/>
        <v/>
      </c>
      <c r="T8259" t="str">
        <f t="shared" si="1331"/>
        <v/>
      </c>
      <c r="U8259" t="str">
        <f t="shared" si="1332"/>
        <v/>
      </c>
      <c r="V8259" t="str">
        <f t="shared" si="1333"/>
        <v/>
      </c>
      <c r="W8259" t="str">
        <f t="shared" si="1334"/>
        <v/>
      </c>
      <c r="X8259">
        <f t="shared" si="1336"/>
        <v>0</v>
      </c>
      <c r="Z8259" t="str">
        <f t="shared" si="1335"/>
        <v/>
      </c>
      <c r="AA8259">
        <f t="shared" si="1337"/>
        <v>0</v>
      </c>
    </row>
    <row r="8260" spans="1:27" ht="21" customHeight="1" x14ac:dyDescent="0.95">
      <c r="A8260" s="56"/>
      <c r="B8260" s="57"/>
      <c r="C8260" s="57"/>
      <c r="D8260" s="57"/>
      <c r="E8260" s="56"/>
      <c r="F8260" s="57"/>
      <c r="G8260" s="57"/>
      <c r="H8260" s="56"/>
      <c r="I8260" s="56"/>
      <c r="J8260" s="58"/>
      <c r="K8260" s="58"/>
      <c r="L8260" s="13" t="str">
        <f t="shared" ref="L8260:L8323" si="1338">IF(OR($A8260="",AND($J8260="",$K8260="")),"",ROUND(N($J8260)-N($K8260),2))</f>
        <v/>
      </c>
      <c r="M8260" s="13" t="str">
        <f t="shared" ref="M8260:M8323" si="1339">IF(OR($A8260="",AND($J8260="",$K8260="")),"",MIN($J8260,$K8260))</f>
        <v/>
      </c>
      <c r="Q8260" t="str">
        <f t="shared" ref="Q8260:Q8323" si="1340">IF($A8260="","",$D8260&amp;"("&amp;SUBSTITUTE($E8260," ","")&amp;")")</f>
        <v/>
      </c>
      <c r="R8260" t="str">
        <f t="shared" ref="R8260:R8323" si="1341">IF($A8260="","",$B8260&amp;" - "&amp;$C8260)</f>
        <v/>
      </c>
      <c r="S8260" t="str">
        <f t="shared" ref="S8260:S8323" si="1342">IF($A8260="","",$R8260&amp;"|"&amp;$Q8260)</f>
        <v/>
      </c>
      <c r="T8260" t="str">
        <f t="shared" ref="T8260:T8323" si="1343">IF($A8260="","",$S8260&amp;"|"&amp;$F8260)</f>
        <v/>
      </c>
      <c r="U8260" t="str">
        <f t="shared" ref="U8260:U8323" si="1344">IF($A8260="","",$R8260&amp;"("&amp;$E8260&amp;")")</f>
        <v/>
      </c>
      <c r="V8260" t="str">
        <f t="shared" ref="V8260:V8323" si="1345">IF($A8260="","",$F8260&amp;"|"&amp;$U8260&amp;"|"&amp;$D8260)</f>
        <v/>
      </c>
      <c r="W8260" t="str">
        <f t="shared" si="1334"/>
        <v/>
      </c>
      <c r="X8260">
        <f t="shared" si="1336"/>
        <v>0</v>
      </c>
      <c r="Z8260" t="str">
        <f t="shared" si="1335"/>
        <v/>
      </c>
      <c r="AA8260">
        <f t="shared" si="1337"/>
        <v>0</v>
      </c>
    </row>
    <row r="8261" spans="1:27" ht="21" customHeight="1" x14ac:dyDescent="0.95">
      <c r="A8261" s="56"/>
      <c r="B8261" s="57"/>
      <c r="C8261" s="57"/>
      <c r="D8261" s="57"/>
      <c r="E8261" s="56"/>
      <c r="F8261" s="57"/>
      <c r="G8261" s="57"/>
      <c r="H8261" s="56"/>
      <c r="I8261" s="56"/>
      <c r="J8261" s="58"/>
      <c r="K8261" s="58"/>
      <c r="L8261" s="13" t="str">
        <f t="shared" si="1338"/>
        <v/>
      </c>
      <c r="M8261" s="13" t="str">
        <f t="shared" si="1339"/>
        <v/>
      </c>
      <c r="Q8261" t="str">
        <f t="shared" si="1340"/>
        <v/>
      </c>
      <c r="R8261" t="str">
        <f t="shared" si="1341"/>
        <v/>
      </c>
      <c r="S8261" t="str">
        <f t="shared" si="1342"/>
        <v/>
      </c>
      <c r="T8261" t="str">
        <f t="shared" si="1343"/>
        <v/>
      </c>
      <c r="U8261" t="str">
        <f t="shared" si="1344"/>
        <v/>
      </c>
      <c r="V8261" t="str">
        <f t="shared" si="1345"/>
        <v/>
      </c>
      <c r="W8261" t="str">
        <f t="shared" si="1334"/>
        <v/>
      </c>
      <c r="X8261">
        <f t="shared" si="1336"/>
        <v>0</v>
      </c>
      <c r="Z8261" t="str">
        <f t="shared" si="1335"/>
        <v/>
      </c>
      <c r="AA8261">
        <f t="shared" si="1337"/>
        <v>0</v>
      </c>
    </row>
    <row r="8262" spans="1:27" ht="21" customHeight="1" x14ac:dyDescent="0.95">
      <c r="A8262" s="56"/>
      <c r="B8262" s="57"/>
      <c r="C8262" s="57"/>
      <c r="D8262" s="57"/>
      <c r="E8262" s="56"/>
      <c r="F8262" s="57"/>
      <c r="G8262" s="57"/>
      <c r="H8262" s="56"/>
      <c r="I8262" s="56"/>
      <c r="J8262" s="58"/>
      <c r="K8262" s="58"/>
      <c r="L8262" s="13" t="str">
        <f t="shared" si="1338"/>
        <v/>
      </c>
      <c r="M8262" s="13" t="str">
        <f t="shared" si="1339"/>
        <v/>
      </c>
      <c r="Q8262" t="str">
        <f t="shared" si="1340"/>
        <v/>
      </c>
      <c r="R8262" t="str">
        <f t="shared" si="1341"/>
        <v/>
      </c>
      <c r="S8262" t="str">
        <f t="shared" si="1342"/>
        <v/>
      </c>
      <c r="T8262" t="str">
        <f t="shared" si="1343"/>
        <v/>
      </c>
      <c r="U8262" t="str">
        <f t="shared" si="1344"/>
        <v/>
      </c>
      <c r="V8262" t="str">
        <f t="shared" si="1345"/>
        <v/>
      </c>
      <c r="W8262" t="str">
        <f t="shared" ref="W8262:W8325" si="1346">IF($T8262="","",IF($X8262&gt;N($X8261),$X8262,""))</f>
        <v/>
      </c>
      <c r="X8262">
        <f t="shared" si="1336"/>
        <v>0</v>
      </c>
      <c r="Z8262" t="str">
        <f t="shared" ref="Z8262:Z8325" si="1347">IF($V8262="","",IF($AA8262&gt;N($AA8261),$AA8262,""))</f>
        <v/>
      </c>
      <c r="AA8262">
        <f t="shared" si="1337"/>
        <v>0</v>
      </c>
    </row>
    <row r="8263" spans="1:27" ht="21" customHeight="1" x14ac:dyDescent="0.95">
      <c r="A8263" s="56"/>
      <c r="B8263" s="57"/>
      <c r="C8263" s="57"/>
      <c r="D8263" s="57"/>
      <c r="E8263" s="56"/>
      <c r="F8263" s="57"/>
      <c r="G8263" s="57"/>
      <c r="H8263" s="56"/>
      <c r="I8263" s="56"/>
      <c r="J8263" s="58"/>
      <c r="K8263" s="58"/>
      <c r="L8263" s="13" t="str">
        <f t="shared" si="1338"/>
        <v/>
      </c>
      <c r="M8263" s="13" t="str">
        <f t="shared" si="1339"/>
        <v/>
      </c>
      <c r="Q8263" t="str">
        <f t="shared" si="1340"/>
        <v/>
      </c>
      <c r="R8263" t="str">
        <f t="shared" si="1341"/>
        <v/>
      </c>
      <c r="S8263" t="str">
        <f t="shared" si="1342"/>
        <v/>
      </c>
      <c r="T8263" t="str">
        <f t="shared" si="1343"/>
        <v/>
      </c>
      <c r="U8263" t="str">
        <f t="shared" si="1344"/>
        <v/>
      </c>
      <c r="V8263" t="str">
        <f t="shared" si="1345"/>
        <v/>
      </c>
      <c r="W8263" t="str">
        <f t="shared" si="1346"/>
        <v/>
      </c>
      <c r="X8263">
        <f t="shared" si="1336"/>
        <v>0</v>
      </c>
      <c r="Z8263" t="str">
        <f t="shared" si="1347"/>
        <v/>
      </c>
      <c r="AA8263">
        <f t="shared" si="1337"/>
        <v>0</v>
      </c>
    </row>
    <row r="8264" spans="1:27" ht="21" customHeight="1" x14ac:dyDescent="0.95">
      <c r="A8264" s="56"/>
      <c r="B8264" s="57"/>
      <c r="C8264" s="57"/>
      <c r="D8264" s="57"/>
      <c r="E8264" s="56"/>
      <c r="F8264" s="57"/>
      <c r="G8264" s="57"/>
      <c r="H8264" s="56"/>
      <c r="I8264" s="56"/>
      <c r="J8264" s="58"/>
      <c r="K8264" s="58"/>
      <c r="L8264" s="13" t="str">
        <f t="shared" si="1338"/>
        <v/>
      </c>
      <c r="M8264" s="13" t="str">
        <f t="shared" si="1339"/>
        <v/>
      </c>
      <c r="Q8264" t="str">
        <f t="shared" si="1340"/>
        <v/>
      </c>
      <c r="R8264" t="str">
        <f t="shared" si="1341"/>
        <v/>
      </c>
      <c r="S8264" t="str">
        <f t="shared" si="1342"/>
        <v/>
      </c>
      <c r="T8264" t="str">
        <f t="shared" si="1343"/>
        <v/>
      </c>
      <c r="U8264" t="str">
        <f t="shared" si="1344"/>
        <v/>
      </c>
      <c r="V8264" t="str">
        <f t="shared" si="1345"/>
        <v/>
      </c>
      <c r="W8264" t="str">
        <f t="shared" si="1346"/>
        <v/>
      </c>
      <c r="X8264">
        <f t="shared" si="1336"/>
        <v>0</v>
      </c>
      <c r="Z8264" t="str">
        <f t="shared" si="1347"/>
        <v/>
      </c>
      <c r="AA8264">
        <f t="shared" si="1337"/>
        <v>0</v>
      </c>
    </row>
    <row r="8265" spans="1:27" ht="21" customHeight="1" x14ac:dyDescent="0.95">
      <c r="A8265" s="56"/>
      <c r="B8265" s="57"/>
      <c r="C8265" s="57"/>
      <c r="D8265" s="57"/>
      <c r="E8265" s="56"/>
      <c r="F8265" s="57"/>
      <c r="G8265" s="57"/>
      <c r="H8265" s="56"/>
      <c r="I8265" s="56"/>
      <c r="J8265" s="58"/>
      <c r="K8265" s="58"/>
      <c r="L8265" s="13" t="str">
        <f t="shared" si="1338"/>
        <v/>
      </c>
      <c r="M8265" s="13" t="str">
        <f t="shared" si="1339"/>
        <v/>
      </c>
      <c r="Q8265" t="str">
        <f t="shared" si="1340"/>
        <v/>
      </c>
      <c r="R8265" t="str">
        <f t="shared" si="1341"/>
        <v/>
      </c>
      <c r="S8265" t="str">
        <f t="shared" si="1342"/>
        <v/>
      </c>
      <c r="T8265" t="str">
        <f t="shared" si="1343"/>
        <v/>
      </c>
      <c r="U8265" t="str">
        <f t="shared" si="1344"/>
        <v/>
      </c>
      <c r="V8265" t="str">
        <f t="shared" si="1345"/>
        <v/>
      </c>
      <c r="W8265" t="str">
        <f t="shared" si="1346"/>
        <v/>
      </c>
      <c r="X8265">
        <f t="shared" si="1336"/>
        <v>0</v>
      </c>
      <c r="Z8265" t="str">
        <f t="shared" si="1347"/>
        <v/>
      </c>
      <c r="AA8265">
        <f t="shared" si="1337"/>
        <v>0</v>
      </c>
    </row>
    <row r="8266" spans="1:27" ht="21" customHeight="1" x14ac:dyDescent="0.95">
      <c r="A8266" s="56"/>
      <c r="B8266" s="57"/>
      <c r="C8266" s="57"/>
      <c r="D8266" s="57"/>
      <c r="E8266" s="56"/>
      <c r="F8266" s="57"/>
      <c r="G8266" s="57"/>
      <c r="H8266" s="56"/>
      <c r="I8266" s="56"/>
      <c r="J8266" s="58"/>
      <c r="K8266" s="58"/>
      <c r="L8266" s="13" t="str">
        <f t="shared" si="1338"/>
        <v/>
      </c>
      <c r="M8266" s="13" t="str">
        <f t="shared" si="1339"/>
        <v/>
      </c>
      <c r="Q8266" t="str">
        <f t="shared" si="1340"/>
        <v/>
      </c>
      <c r="R8266" t="str">
        <f t="shared" si="1341"/>
        <v/>
      </c>
      <c r="S8266" t="str">
        <f t="shared" si="1342"/>
        <v/>
      </c>
      <c r="T8266" t="str">
        <f t="shared" si="1343"/>
        <v/>
      </c>
      <c r="U8266" t="str">
        <f t="shared" si="1344"/>
        <v/>
      </c>
      <c r="V8266" t="str">
        <f t="shared" si="1345"/>
        <v/>
      </c>
      <c r="W8266" t="str">
        <f t="shared" si="1346"/>
        <v/>
      </c>
      <c r="X8266">
        <f t="shared" si="1336"/>
        <v>0</v>
      </c>
      <c r="Z8266" t="str">
        <f t="shared" si="1347"/>
        <v/>
      </c>
      <c r="AA8266">
        <f t="shared" si="1337"/>
        <v>0</v>
      </c>
    </row>
    <row r="8267" spans="1:27" ht="21" customHeight="1" x14ac:dyDescent="0.95">
      <c r="A8267" s="56"/>
      <c r="B8267" s="57"/>
      <c r="C8267" s="57"/>
      <c r="D8267" s="57"/>
      <c r="E8267" s="56"/>
      <c r="F8267" s="57"/>
      <c r="G8267" s="57"/>
      <c r="H8267" s="56"/>
      <c r="I8267" s="56"/>
      <c r="J8267" s="58"/>
      <c r="K8267" s="58"/>
      <c r="L8267" s="13" t="str">
        <f t="shared" si="1338"/>
        <v/>
      </c>
      <c r="M8267" s="13" t="str">
        <f t="shared" si="1339"/>
        <v/>
      </c>
      <c r="Q8267" t="str">
        <f t="shared" si="1340"/>
        <v/>
      </c>
      <c r="R8267" t="str">
        <f t="shared" si="1341"/>
        <v/>
      </c>
      <c r="S8267" t="str">
        <f t="shared" si="1342"/>
        <v/>
      </c>
      <c r="T8267" t="str">
        <f t="shared" si="1343"/>
        <v/>
      </c>
      <c r="U8267" t="str">
        <f t="shared" si="1344"/>
        <v/>
      </c>
      <c r="V8267" t="str">
        <f t="shared" si="1345"/>
        <v/>
      </c>
      <c r="W8267" t="str">
        <f t="shared" si="1346"/>
        <v/>
      </c>
      <c r="X8267">
        <f t="shared" si="1336"/>
        <v>0</v>
      </c>
      <c r="Z8267" t="str">
        <f t="shared" si="1347"/>
        <v/>
      </c>
      <c r="AA8267">
        <f t="shared" si="1337"/>
        <v>0</v>
      </c>
    </row>
    <row r="8268" spans="1:27" ht="21" customHeight="1" x14ac:dyDescent="0.95">
      <c r="A8268" s="56"/>
      <c r="B8268" s="57"/>
      <c r="C8268" s="57"/>
      <c r="D8268" s="57"/>
      <c r="E8268" s="56"/>
      <c r="F8268" s="57"/>
      <c r="G8268" s="57"/>
      <c r="H8268" s="56"/>
      <c r="I8268" s="56"/>
      <c r="J8268" s="58"/>
      <c r="K8268" s="58"/>
      <c r="L8268" s="13" t="str">
        <f t="shared" si="1338"/>
        <v/>
      </c>
      <c r="M8268" s="13" t="str">
        <f t="shared" si="1339"/>
        <v/>
      </c>
      <c r="Q8268" t="str">
        <f t="shared" si="1340"/>
        <v/>
      </c>
      <c r="R8268" t="str">
        <f t="shared" si="1341"/>
        <v/>
      </c>
      <c r="S8268" t="str">
        <f t="shared" si="1342"/>
        <v/>
      </c>
      <c r="T8268" t="str">
        <f t="shared" si="1343"/>
        <v/>
      </c>
      <c r="U8268" t="str">
        <f t="shared" si="1344"/>
        <v/>
      </c>
      <c r="V8268" t="str">
        <f t="shared" si="1345"/>
        <v/>
      </c>
      <c r="W8268" t="str">
        <f t="shared" si="1346"/>
        <v/>
      </c>
      <c r="X8268">
        <f t="shared" si="1336"/>
        <v>0</v>
      </c>
      <c r="Z8268" t="str">
        <f t="shared" si="1347"/>
        <v/>
      </c>
      <c r="AA8268">
        <f t="shared" si="1337"/>
        <v>0</v>
      </c>
    </row>
    <row r="8269" spans="1:27" ht="21" customHeight="1" x14ac:dyDescent="0.95">
      <c r="A8269" s="56"/>
      <c r="B8269" s="57"/>
      <c r="C8269" s="57"/>
      <c r="D8269" s="57"/>
      <c r="E8269" s="56"/>
      <c r="F8269" s="57"/>
      <c r="G8269" s="57"/>
      <c r="H8269" s="56"/>
      <c r="I8269" s="56"/>
      <c r="J8269" s="58"/>
      <c r="K8269" s="58"/>
      <c r="L8269" s="13" t="str">
        <f t="shared" si="1338"/>
        <v/>
      </c>
      <c r="M8269" s="13" t="str">
        <f t="shared" si="1339"/>
        <v/>
      </c>
      <c r="Q8269" t="str">
        <f t="shared" si="1340"/>
        <v/>
      </c>
      <c r="R8269" t="str">
        <f t="shared" si="1341"/>
        <v/>
      </c>
      <c r="S8269" t="str">
        <f t="shared" si="1342"/>
        <v/>
      </c>
      <c r="T8269" t="str">
        <f t="shared" si="1343"/>
        <v/>
      </c>
      <c r="U8269" t="str">
        <f t="shared" si="1344"/>
        <v/>
      </c>
      <c r="V8269" t="str">
        <f t="shared" si="1345"/>
        <v/>
      </c>
      <c r="W8269" t="str">
        <f t="shared" si="1346"/>
        <v/>
      </c>
      <c r="X8269">
        <f t="shared" si="1336"/>
        <v>0</v>
      </c>
      <c r="Z8269" t="str">
        <f t="shared" si="1347"/>
        <v/>
      </c>
      <c r="AA8269">
        <f t="shared" si="1337"/>
        <v>0</v>
      </c>
    </row>
    <row r="8270" spans="1:27" ht="21" customHeight="1" x14ac:dyDescent="0.95">
      <c r="A8270" s="56"/>
      <c r="B8270" s="57"/>
      <c r="C8270" s="57"/>
      <c r="D8270" s="57"/>
      <c r="E8270" s="56"/>
      <c r="F8270" s="57"/>
      <c r="G8270" s="57"/>
      <c r="H8270" s="56"/>
      <c r="I8270" s="56"/>
      <c r="J8270" s="58"/>
      <c r="K8270" s="58"/>
      <c r="L8270" s="13" t="str">
        <f t="shared" si="1338"/>
        <v/>
      </c>
      <c r="M8270" s="13" t="str">
        <f t="shared" si="1339"/>
        <v/>
      </c>
      <c r="Q8270" t="str">
        <f t="shared" si="1340"/>
        <v/>
      </c>
      <c r="R8270" t="str">
        <f t="shared" si="1341"/>
        <v/>
      </c>
      <c r="S8270" t="str">
        <f t="shared" si="1342"/>
        <v/>
      </c>
      <c r="T8270" t="str">
        <f t="shared" si="1343"/>
        <v/>
      </c>
      <c r="U8270" t="str">
        <f t="shared" si="1344"/>
        <v/>
      </c>
      <c r="V8270" t="str">
        <f t="shared" si="1345"/>
        <v/>
      </c>
      <c r="W8270" t="str">
        <f t="shared" si="1346"/>
        <v/>
      </c>
      <c r="X8270">
        <f t="shared" si="1336"/>
        <v>0</v>
      </c>
      <c r="Z8270" t="str">
        <f t="shared" si="1347"/>
        <v/>
      </c>
      <c r="AA8270">
        <f t="shared" si="1337"/>
        <v>0</v>
      </c>
    </row>
    <row r="8271" spans="1:27" ht="21" customHeight="1" x14ac:dyDescent="0.95">
      <c r="A8271" s="56"/>
      <c r="B8271" s="57"/>
      <c r="C8271" s="57"/>
      <c r="D8271" s="57"/>
      <c r="E8271" s="56"/>
      <c r="F8271" s="57"/>
      <c r="G8271" s="57"/>
      <c r="H8271" s="56"/>
      <c r="I8271" s="56"/>
      <c r="J8271" s="58"/>
      <c r="K8271" s="58"/>
      <c r="L8271" s="13" t="str">
        <f t="shared" si="1338"/>
        <v/>
      </c>
      <c r="M8271" s="13" t="str">
        <f t="shared" si="1339"/>
        <v/>
      </c>
      <c r="Q8271" t="str">
        <f t="shared" si="1340"/>
        <v/>
      </c>
      <c r="R8271" t="str">
        <f t="shared" si="1341"/>
        <v/>
      </c>
      <c r="S8271" t="str">
        <f t="shared" si="1342"/>
        <v/>
      </c>
      <c r="T8271" t="str">
        <f t="shared" si="1343"/>
        <v/>
      </c>
      <c r="U8271" t="str">
        <f t="shared" si="1344"/>
        <v/>
      </c>
      <c r="V8271" t="str">
        <f t="shared" si="1345"/>
        <v/>
      </c>
      <c r="W8271" t="str">
        <f t="shared" si="1346"/>
        <v/>
      </c>
      <c r="X8271">
        <f t="shared" si="1336"/>
        <v>0</v>
      </c>
      <c r="Z8271" t="str">
        <f t="shared" si="1347"/>
        <v/>
      </c>
      <c r="AA8271">
        <f t="shared" si="1337"/>
        <v>0</v>
      </c>
    </row>
    <row r="8272" spans="1:27" ht="21" customHeight="1" x14ac:dyDescent="0.95">
      <c r="A8272" s="56"/>
      <c r="B8272" s="57"/>
      <c r="C8272" s="57"/>
      <c r="D8272" s="57"/>
      <c r="E8272" s="56"/>
      <c r="F8272" s="57"/>
      <c r="G8272" s="57"/>
      <c r="H8272" s="56"/>
      <c r="I8272" s="56"/>
      <c r="J8272" s="58"/>
      <c r="K8272" s="58"/>
      <c r="L8272" s="13" t="str">
        <f t="shared" si="1338"/>
        <v/>
      </c>
      <c r="M8272" s="13" t="str">
        <f t="shared" si="1339"/>
        <v/>
      </c>
      <c r="Q8272" t="str">
        <f t="shared" si="1340"/>
        <v/>
      </c>
      <c r="R8272" t="str">
        <f t="shared" si="1341"/>
        <v/>
      </c>
      <c r="S8272" t="str">
        <f t="shared" si="1342"/>
        <v/>
      </c>
      <c r="T8272" t="str">
        <f t="shared" si="1343"/>
        <v/>
      </c>
      <c r="U8272" t="str">
        <f t="shared" si="1344"/>
        <v/>
      </c>
      <c r="V8272" t="str">
        <f t="shared" si="1345"/>
        <v/>
      </c>
      <c r="W8272" t="str">
        <f t="shared" si="1346"/>
        <v/>
      </c>
      <c r="X8272">
        <f t="shared" si="1336"/>
        <v>0</v>
      </c>
      <c r="Z8272" t="str">
        <f t="shared" si="1347"/>
        <v/>
      </c>
      <c r="AA8272">
        <f t="shared" si="1337"/>
        <v>0</v>
      </c>
    </row>
    <row r="8273" spans="1:27" ht="21" customHeight="1" x14ac:dyDescent="0.95">
      <c r="A8273" s="56"/>
      <c r="B8273" s="57"/>
      <c r="C8273" s="57"/>
      <c r="D8273" s="57"/>
      <c r="E8273" s="56"/>
      <c r="F8273" s="57"/>
      <c r="G8273" s="57"/>
      <c r="H8273" s="56"/>
      <c r="I8273" s="56"/>
      <c r="J8273" s="58"/>
      <c r="K8273" s="58"/>
      <c r="L8273" s="13" t="str">
        <f t="shared" si="1338"/>
        <v/>
      </c>
      <c r="M8273" s="13" t="str">
        <f t="shared" si="1339"/>
        <v/>
      </c>
      <c r="Q8273" t="str">
        <f t="shared" si="1340"/>
        <v/>
      </c>
      <c r="R8273" t="str">
        <f t="shared" si="1341"/>
        <v/>
      </c>
      <c r="S8273" t="str">
        <f t="shared" si="1342"/>
        <v/>
      </c>
      <c r="T8273" t="str">
        <f t="shared" si="1343"/>
        <v/>
      </c>
      <c r="U8273" t="str">
        <f t="shared" si="1344"/>
        <v/>
      </c>
      <c r="V8273" t="str">
        <f t="shared" si="1345"/>
        <v/>
      </c>
      <c r="W8273" t="str">
        <f t="shared" si="1346"/>
        <v/>
      </c>
      <c r="X8273">
        <f t="shared" si="1336"/>
        <v>0</v>
      </c>
      <c r="Z8273" t="str">
        <f t="shared" si="1347"/>
        <v/>
      </c>
      <c r="AA8273">
        <f t="shared" si="1337"/>
        <v>0</v>
      </c>
    </row>
    <row r="8274" spans="1:27" ht="21" customHeight="1" x14ac:dyDescent="0.95">
      <c r="A8274" s="56"/>
      <c r="B8274" s="57"/>
      <c r="C8274" s="57"/>
      <c r="D8274" s="57"/>
      <c r="E8274" s="56"/>
      <c r="F8274" s="57"/>
      <c r="G8274" s="57"/>
      <c r="H8274" s="56"/>
      <c r="I8274" s="56"/>
      <c r="J8274" s="58"/>
      <c r="K8274" s="58"/>
      <c r="L8274" s="13" t="str">
        <f t="shared" si="1338"/>
        <v/>
      </c>
      <c r="M8274" s="13" t="str">
        <f t="shared" si="1339"/>
        <v/>
      </c>
      <c r="Q8274" t="str">
        <f t="shared" si="1340"/>
        <v/>
      </c>
      <c r="R8274" t="str">
        <f t="shared" si="1341"/>
        <v/>
      </c>
      <c r="S8274" t="str">
        <f t="shared" si="1342"/>
        <v/>
      </c>
      <c r="T8274" t="str">
        <f t="shared" si="1343"/>
        <v/>
      </c>
      <c r="U8274" t="str">
        <f t="shared" si="1344"/>
        <v/>
      </c>
      <c r="V8274" t="str">
        <f t="shared" si="1345"/>
        <v/>
      </c>
      <c r="W8274" t="str">
        <f t="shared" si="1346"/>
        <v/>
      </c>
      <c r="X8274">
        <f t="shared" si="1336"/>
        <v>0</v>
      </c>
      <c r="Z8274" t="str">
        <f t="shared" si="1347"/>
        <v/>
      </c>
      <c r="AA8274">
        <f t="shared" si="1337"/>
        <v>0</v>
      </c>
    </row>
    <row r="8275" spans="1:27" ht="21" customHeight="1" x14ac:dyDescent="0.95">
      <c r="A8275" s="56"/>
      <c r="B8275" s="57"/>
      <c r="C8275" s="57"/>
      <c r="D8275" s="57"/>
      <c r="E8275" s="56"/>
      <c r="F8275" s="57"/>
      <c r="G8275" s="57"/>
      <c r="H8275" s="56"/>
      <c r="I8275" s="56"/>
      <c r="J8275" s="58"/>
      <c r="K8275" s="58"/>
      <c r="L8275" s="13" t="str">
        <f t="shared" si="1338"/>
        <v/>
      </c>
      <c r="M8275" s="13" t="str">
        <f t="shared" si="1339"/>
        <v/>
      </c>
      <c r="Q8275" t="str">
        <f t="shared" si="1340"/>
        <v/>
      </c>
      <c r="R8275" t="str">
        <f t="shared" si="1341"/>
        <v/>
      </c>
      <c r="S8275" t="str">
        <f t="shared" si="1342"/>
        <v/>
      </c>
      <c r="T8275" t="str">
        <f t="shared" si="1343"/>
        <v/>
      </c>
      <c r="U8275" t="str">
        <f t="shared" si="1344"/>
        <v/>
      </c>
      <c r="V8275" t="str">
        <f t="shared" si="1345"/>
        <v/>
      </c>
      <c r="W8275" t="str">
        <f t="shared" si="1346"/>
        <v/>
      </c>
      <c r="X8275">
        <f t="shared" si="1336"/>
        <v>0</v>
      </c>
      <c r="Z8275" t="str">
        <f t="shared" si="1347"/>
        <v/>
      </c>
      <c r="AA8275">
        <f t="shared" si="1337"/>
        <v>0</v>
      </c>
    </row>
    <row r="8276" spans="1:27" ht="21" customHeight="1" x14ac:dyDescent="0.95">
      <c r="A8276" s="56"/>
      <c r="B8276" s="57"/>
      <c r="C8276" s="57"/>
      <c r="D8276" s="57"/>
      <c r="E8276" s="56"/>
      <c r="F8276" s="57"/>
      <c r="G8276" s="57"/>
      <c r="H8276" s="56"/>
      <c r="I8276" s="56"/>
      <c r="J8276" s="58"/>
      <c r="K8276" s="58"/>
      <c r="L8276" s="13" t="str">
        <f t="shared" si="1338"/>
        <v/>
      </c>
      <c r="M8276" s="13" t="str">
        <f t="shared" si="1339"/>
        <v/>
      </c>
      <c r="Q8276" t="str">
        <f t="shared" si="1340"/>
        <v/>
      </c>
      <c r="R8276" t="str">
        <f t="shared" si="1341"/>
        <v/>
      </c>
      <c r="S8276" t="str">
        <f t="shared" si="1342"/>
        <v/>
      </c>
      <c r="T8276" t="str">
        <f t="shared" si="1343"/>
        <v/>
      </c>
      <c r="U8276" t="str">
        <f t="shared" si="1344"/>
        <v/>
      </c>
      <c r="V8276" t="str">
        <f t="shared" si="1345"/>
        <v/>
      </c>
      <c r="W8276" t="str">
        <f t="shared" si="1346"/>
        <v/>
      </c>
      <c r="X8276">
        <f t="shared" si="1336"/>
        <v>0</v>
      </c>
      <c r="Z8276" t="str">
        <f t="shared" si="1347"/>
        <v/>
      </c>
      <c r="AA8276">
        <f t="shared" si="1337"/>
        <v>0</v>
      </c>
    </row>
    <row r="8277" spans="1:27" ht="21" customHeight="1" x14ac:dyDescent="0.95">
      <c r="A8277" s="56"/>
      <c r="B8277" s="57"/>
      <c r="C8277" s="57"/>
      <c r="D8277" s="57"/>
      <c r="E8277" s="56"/>
      <c r="F8277" s="57"/>
      <c r="G8277" s="57"/>
      <c r="H8277" s="56"/>
      <c r="I8277" s="56"/>
      <c r="J8277" s="58"/>
      <c r="K8277" s="58"/>
      <c r="L8277" s="13" t="str">
        <f t="shared" si="1338"/>
        <v/>
      </c>
      <c r="M8277" s="13" t="str">
        <f t="shared" si="1339"/>
        <v/>
      </c>
      <c r="Q8277" t="str">
        <f t="shared" si="1340"/>
        <v/>
      </c>
      <c r="R8277" t="str">
        <f t="shared" si="1341"/>
        <v/>
      </c>
      <c r="S8277" t="str">
        <f t="shared" si="1342"/>
        <v/>
      </c>
      <c r="T8277" t="str">
        <f t="shared" si="1343"/>
        <v/>
      </c>
      <c r="U8277" t="str">
        <f t="shared" si="1344"/>
        <v/>
      </c>
      <c r="V8277" t="str">
        <f t="shared" si="1345"/>
        <v/>
      </c>
      <c r="W8277" t="str">
        <f t="shared" si="1346"/>
        <v/>
      </c>
      <c r="X8277">
        <f t="shared" si="1336"/>
        <v>0</v>
      </c>
      <c r="Z8277" t="str">
        <f t="shared" si="1347"/>
        <v/>
      </c>
      <c r="AA8277">
        <f t="shared" si="1337"/>
        <v>0</v>
      </c>
    </row>
    <row r="8278" spans="1:27" ht="21" customHeight="1" x14ac:dyDescent="0.95">
      <c r="A8278" s="56"/>
      <c r="B8278" s="57"/>
      <c r="C8278" s="57"/>
      <c r="D8278" s="57"/>
      <c r="E8278" s="56"/>
      <c r="F8278" s="57"/>
      <c r="G8278" s="57"/>
      <c r="H8278" s="56"/>
      <c r="I8278" s="56"/>
      <c r="J8278" s="58"/>
      <c r="K8278" s="58"/>
      <c r="L8278" s="13" t="str">
        <f t="shared" si="1338"/>
        <v/>
      </c>
      <c r="M8278" s="13" t="str">
        <f t="shared" si="1339"/>
        <v/>
      </c>
      <c r="Q8278" t="str">
        <f t="shared" si="1340"/>
        <v/>
      </c>
      <c r="R8278" t="str">
        <f t="shared" si="1341"/>
        <v/>
      </c>
      <c r="S8278" t="str">
        <f t="shared" si="1342"/>
        <v/>
      </c>
      <c r="T8278" t="str">
        <f t="shared" si="1343"/>
        <v/>
      </c>
      <c r="U8278" t="str">
        <f t="shared" si="1344"/>
        <v/>
      </c>
      <c r="V8278" t="str">
        <f t="shared" si="1345"/>
        <v/>
      </c>
      <c r="W8278" t="str">
        <f t="shared" si="1346"/>
        <v/>
      </c>
      <c r="X8278">
        <f t="shared" si="1336"/>
        <v>0</v>
      </c>
      <c r="Z8278" t="str">
        <f t="shared" si="1347"/>
        <v/>
      </c>
      <c r="AA8278">
        <f t="shared" si="1337"/>
        <v>0</v>
      </c>
    </row>
    <row r="8279" spans="1:27" ht="21" customHeight="1" x14ac:dyDescent="0.95">
      <c r="A8279" s="56"/>
      <c r="B8279" s="57"/>
      <c r="C8279" s="57"/>
      <c r="D8279" s="57"/>
      <c r="E8279" s="56"/>
      <c r="F8279" s="57"/>
      <c r="G8279" s="57"/>
      <c r="H8279" s="56"/>
      <c r="I8279" s="56"/>
      <c r="J8279" s="58"/>
      <c r="K8279" s="58"/>
      <c r="L8279" s="13" t="str">
        <f t="shared" si="1338"/>
        <v/>
      </c>
      <c r="M8279" s="13" t="str">
        <f t="shared" si="1339"/>
        <v/>
      </c>
      <c r="Q8279" t="str">
        <f t="shared" si="1340"/>
        <v/>
      </c>
      <c r="R8279" t="str">
        <f t="shared" si="1341"/>
        <v/>
      </c>
      <c r="S8279" t="str">
        <f t="shared" si="1342"/>
        <v/>
      </c>
      <c r="T8279" t="str">
        <f t="shared" si="1343"/>
        <v/>
      </c>
      <c r="U8279" t="str">
        <f t="shared" si="1344"/>
        <v/>
      </c>
      <c r="V8279" t="str">
        <f t="shared" si="1345"/>
        <v/>
      </c>
      <c r="W8279" t="str">
        <f t="shared" si="1346"/>
        <v/>
      </c>
      <c r="X8279">
        <f t="shared" si="1336"/>
        <v>0</v>
      </c>
      <c r="Z8279" t="str">
        <f t="shared" si="1347"/>
        <v/>
      </c>
      <c r="AA8279">
        <f t="shared" si="1337"/>
        <v>0</v>
      </c>
    </row>
    <row r="8280" spans="1:27" ht="21" customHeight="1" x14ac:dyDescent="0.95">
      <c r="A8280" s="56"/>
      <c r="B8280" s="57"/>
      <c r="C8280" s="57"/>
      <c r="D8280" s="57"/>
      <c r="E8280" s="56"/>
      <c r="F8280" s="57"/>
      <c r="G8280" s="57"/>
      <c r="H8280" s="56"/>
      <c r="I8280" s="56"/>
      <c r="J8280" s="58"/>
      <c r="K8280" s="58"/>
      <c r="L8280" s="13" t="str">
        <f t="shared" si="1338"/>
        <v/>
      </c>
      <c r="M8280" s="13" t="str">
        <f t="shared" si="1339"/>
        <v/>
      </c>
      <c r="Q8280" t="str">
        <f t="shared" si="1340"/>
        <v/>
      </c>
      <c r="R8280" t="str">
        <f t="shared" si="1341"/>
        <v/>
      </c>
      <c r="S8280" t="str">
        <f t="shared" si="1342"/>
        <v/>
      </c>
      <c r="T8280" t="str">
        <f t="shared" si="1343"/>
        <v/>
      </c>
      <c r="U8280" t="str">
        <f t="shared" si="1344"/>
        <v/>
      </c>
      <c r="V8280" t="str">
        <f t="shared" si="1345"/>
        <v/>
      </c>
      <c r="W8280" t="str">
        <f t="shared" si="1346"/>
        <v/>
      </c>
      <c r="X8280">
        <f t="shared" si="1336"/>
        <v>0</v>
      </c>
      <c r="Z8280" t="str">
        <f t="shared" si="1347"/>
        <v/>
      </c>
      <c r="AA8280">
        <f t="shared" si="1337"/>
        <v>0</v>
      </c>
    </row>
    <row r="8281" spans="1:27" ht="21" customHeight="1" x14ac:dyDescent="0.95">
      <c r="A8281" s="56"/>
      <c r="B8281" s="57"/>
      <c r="C8281" s="57"/>
      <c r="D8281" s="57"/>
      <c r="E8281" s="56"/>
      <c r="F8281" s="57"/>
      <c r="G8281" s="57"/>
      <c r="H8281" s="56"/>
      <c r="I8281" s="56"/>
      <c r="J8281" s="58"/>
      <c r="K8281" s="58"/>
      <c r="L8281" s="13" t="str">
        <f t="shared" si="1338"/>
        <v/>
      </c>
      <c r="M8281" s="13" t="str">
        <f t="shared" si="1339"/>
        <v/>
      </c>
      <c r="Q8281" t="str">
        <f t="shared" si="1340"/>
        <v/>
      </c>
      <c r="R8281" t="str">
        <f t="shared" si="1341"/>
        <v/>
      </c>
      <c r="S8281" t="str">
        <f t="shared" si="1342"/>
        <v/>
      </c>
      <c r="T8281" t="str">
        <f t="shared" si="1343"/>
        <v/>
      </c>
      <c r="U8281" t="str">
        <f t="shared" si="1344"/>
        <v/>
      </c>
      <c r="V8281" t="str">
        <f t="shared" si="1345"/>
        <v/>
      </c>
      <c r="W8281" t="str">
        <f t="shared" si="1346"/>
        <v/>
      </c>
      <c r="X8281">
        <f t="shared" si="1336"/>
        <v>0</v>
      </c>
      <c r="Z8281" t="str">
        <f t="shared" si="1347"/>
        <v/>
      </c>
      <c r="AA8281">
        <f t="shared" si="1337"/>
        <v>0</v>
      </c>
    </row>
    <row r="8282" spans="1:27" ht="21" customHeight="1" x14ac:dyDescent="0.95">
      <c r="A8282" s="56"/>
      <c r="B8282" s="57"/>
      <c r="C8282" s="57"/>
      <c r="D8282" s="57"/>
      <c r="E8282" s="56"/>
      <c r="F8282" s="57"/>
      <c r="G8282" s="57"/>
      <c r="H8282" s="56"/>
      <c r="I8282" s="56"/>
      <c r="J8282" s="58"/>
      <c r="K8282" s="58"/>
      <c r="L8282" s="13" t="str">
        <f t="shared" si="1338"/>
        <v/>
      </c>
      <c r="M8282" s="13" t="str">
        <f t="shared" si="1339"/>
        <v/>
      </c>
      <c r="Q8282" t="str">
        <f t="shared" si="1340"/>
        <v/>
      </c>
      <c r="R8282" t="str">
        <f t="shared" si="1341"/>
        <v/>
      </c>
      <c r="S8282" t="str">
        <f t="shared" si="1342"/>
        <v/>
      </c>
      <c r="T8282" t="str">
        <f t="shared" si="1343"/>
        <v/>
      </c>
      <c r="U8282" t="str">
        <f t="shared" si="1344"/>
        <v/>
      </c>
      <c r="V8282" t="str">
        <f t="shared" si="1345"/>
        <v/>
      </c>
      <c r="W8282" t="str">
        <f t="shared" si="1346"/>
        <v/>
      </c>
      <c r="X8282">
        <f t="shared" si="1336"/>
        <v>0</v>
      </c>
      <c r="Z8282" t="str">
        <f t="shared" si="1347"/>
        <v/>
      </c>
      <c r="AA8282">
        <f t="shared" si="1337"/>
        <v>0</v>
      </c>
    </row>
    <row r="8283" spans="1:27" ht="21" customHeight="1" x14ac:dyDescent="0.95">
      <c r="A8283" s="56"/>
      <c r="B8283" s="57"/>
      <c r="C8283" s="57"/>
      <c r="D8283" s="57"/>
      <c r="E8283" s="56"/>
      <c r="F8283" s="57"/>
      <c r="G8283" s="57"/>
      <c r="H8283" s="56"/>
      <c r="I8283" s="56"/>
      <c r="J8283" s="58"/>
      <c r="K8283" s="58"/>
      <c r="L8283" s="13" t="str">
        <f t="shared" si="1338"/>
        <v/>
      </c>
      <c r="M8283" s="13" t="str">
        <f t="shared" si="1339"/>
        <v/>
      </c>
      <c r="Q8283" t="str">
        <f t="shared" si="1340"/>
        <v/>
      </c>
      <c r="R8283" t="str">
        <f t="shared" si="1341"/>
        <v/>
      </c>
      <c r="S8283" t="str">
        <f t="shared" si="1342"/>
        <v/>
      </c>
      <c r="T8283" t="str">
        <f t="shared" si="1343"/>
        <v/>
      </c>
      <c r="U8283" t="str">
        <f t="shared" si="1344"/>
        <v/>
      </c>
      <c r="V8283" t="str">
        <f t="shared" si="1345"/>
        <v/>
      </c>
      <c r="W8283" t="str">
        <f t="shared" si="1346"/>
        <v/>
      </c>
      <c r="X8283">
        <f t="shared" si="1336"/>
        <v>0</v>
      </c>
      <c r="Z8283" t="str">
        <f t="shared" si="1347"/>
        <v/>
      </c>
      <c r="AA8283">
        <f t="shared" si="1337"/>
        <v>0</v>
      </c>
    </row>
    <row r="8284" spans="1:27" ht="21" customHeight="1" x14ac:dyDescent="0.95">
      <c r="A8284" s="56"/>
      <c r="B8284" s="57"/>
      <c r="C8284" s="57"/>
      <c r="D8284" s="57"/>
      <c r="E8284" s="56"/>
      <c r="F8284" s="57"/>
      <c r="G8284" s="57"/>
      <c r="H8284" s="56"/>
      <c r="I8284" s="56"/>
      <c r="J8284" s="58"/>
      <c r="K8284" s="58"/>
      <c r="L8284" s="13" t="str">
        <f t="shared" si="1338"/>
        <v/>
      </c>
      <c r="M8284" s="13" t="str">
        <f t="shared" si="1339"/>
        <v/>
      </c>
      <c r="Q8284" t="str">
        <f t="shared" si="1340"/>
        <v/>
      </c>
      <c r="R8284" t="str">
        <f t="shared" si="1341"/>
        <v/>
      </c>
      <c r="S8284" t="str">
        <f t="shared" si="1342"/>
        <v/>
      </c>
      <c r="T8284" t="str">
        <f t="shared" si="1343"/>
        <v/>
      </c>
      <c r="U8284" t="str">
        <f t="shared" si="1344"/>
        <v/>
      </c>
      <c r="V8284" t="str">
        <f t="shared" si="1345"/>
        <v/>
      </c>
      <c r="W8284" t="str">
        <f t="shared" si="1346"/>
        <v/>
      </c>
      <c r="X8284">
        <f t="shared" si="1336"/>
        <v>0</v>
      </c>
      <c r="Z8284" t="str">
        <f t="shared" si="1347"/>
        <v/>
      </c>
      <c r="AA8284">
        <f t="shared" si="1337"/>
        <v>0</v>
      </c>
    </row>
    <row r="8285" spans="1:27" ht="21" customHeight="1" x14ac:dyDescent="0.95">
      <c r="A8285" s="56"/>
      <c r="B8285" s="57"/>
      <c r="C8285" s="57"/>
      <c r="D8285" s="57"/>
      <c r="E8285" s="56"/>
      <c r="F8285" s="57"/>
      <c r="G8285" s="57"/>
      <c r="H8285" s="56"/>
      <c r="I8285" s="56"/>
      <c r="J8285" s="58"/>
      <c r="K8285" s="58"/>
      <c r="L8285" s="13" t="str">
        <f t="shared" si="1338"/>
        <v/>
      </c>
      <c r="M8285" s="13" t="str">
        <f t="shared" si="1339"/>
        <v/>
      </c>
      <c r="Q8285" t="str">
        <f t="shared" si="1340"/>
        <v/>
      </c>
      <c r="R8285" t="str">
        <f t="shared" si="1341"/>
        <v/>
      </c>
      <c r="S8285" t="str">
        <f t="shared" si="1342"/>
        <v/>
      </c>
      <c r="T8285" t="str">
        <f t="shared" si="1343"/>
        <v/>
      </c>
      <c r="U8285" t="str">
        <f t="shared" si="1344"/>
        <v/>
      </c>
      <c r="V8285" t="str">
        <f t="shared" si="1345"/>
        <v/>
      </c>
      <c r="W8285" t="str">
        <f t="shared" si="1346"/>
        <v/>
      </c>
      <c r="X8285">
        <f t="shared" si="1336"/>
        <v>0</v>
      </c>
      <c r="Z8285" t="str">
        <f t="shared" si="1347"/>
        <v/>
      </c>
      <c r="AA8285">
        <f t="shared" si="1337"/>
        <v>0</v>
      </c>
    </row>
    <row r="8286" spans="1:27" ht="21" customHeight="1" x14ac:dyDescent="0.95">
      <c r="A8286" s="56"/>
      <c r="B8286" s="57"/>
      <c r="C8286" s="57"/>
      <c r="D8286" s="57"/>
      <c r="E8286" s="56"/>
      <c r="F8286" s="57"/>
      <c r="G8286" s="57"/>
      <c r="H8286" s="56"/>
      <c r="I8286" s="56"/>
      <c r="J8286" s="58"/>
      <c r="K8286" s="58"/>
      <c r="L8286" s="13" t="str">
        <f t="shared" si="1338"/>
        <v/>
      </c>
      <c r="M8286" s="13" t="str">
        <f t="shared" si="1339"/>
        <v/>
      </c>
      <c r="Q8286" t="str">
        <f t="shared" si="1340"/>
        <v/>
      </c>
      <c r="R8286" t="str">
        <f t="shared" si="1341"/>
        <v/>
      </c>
      <c r="S8286" t="str">
        <f t="shared" si="1342"/>
        <v/>
      </c>
      <c r="T8286" t="str">
        <f t="shared" si="1343"/>
        <v/>
      </c>
      <c r="U8286" t="str">
        <f t="shared" si="1344"/>
        <v/>
      </c>
      <c r="V8286" t="str">
        <f t="shared" si="1345"/>
        <v/>
      </c>
      <c r="W8286" t="str">
        <f t="shared" si="1346"/>
        <v/>
      </c>
      <c r="X8286">
        <f t="shared" si="1336"/>
        <v>0</v>
      </c>
      <c r="Z8286" t="str">
        <f t="shared" si="1347"/>
        <v/>
      </c>
      <c r="AA8286">
        <f t="shared" si="1337"/>
        <v>0</v>
      </c>
    </row>
    <row r="8287" spans="1:27" ht="21" customHeight="1" x14ac:dyDescent="0.95">
      <c r="A8287" s="56"/>
      <c r="B8287" s="57"/>
      <c r="C8287" s="57"/>
      <c r="D8287" s="57"/>
      <c r="E8287" s="56"/>
      <c r="F8287" s="57"/>
      <c r="G8287" s="57"/>
      <c r="H8287" s="56"/>
      <c r="I8287" s="56"/>
      <c r="J8287" s="58"/>
      <c r="K8287" s="58"/>
      <c r="L8287" s="13" t="str">
        <f t="shared" si="1338"/>
        <v/>
      </c>
      <c r="M8287" s="13" t="str">
        <f t="shared" si="1339"/>
        <v/>
      </c>
      <c r="Q8287" t="str">
        <f t="shared" si="1340"/>
        <v/>
      </c>
      <c r="R8287" t="str">
        <f t="shared" si="1341"/>
        <v/>
      </c>
      <c r="S8287" t="str">
        <f t="shared" si="1342"/>
        <v/>
      </c>
      <c r="T8287" t="str">
        <f t="shared" si="1343"/>
        <v/>
      </c>
      <c r="U8287" t="str">
        <f t="shared" si="1344"/>
        <v/>
      </c>
      <c r="V8287" t="str">
        <f t="shared" si="1345"/>
        <v/>
      </c>
      <c r="W8287" t="str">
        <f t="shared" si="1346"/>
        <v/>
      </c>
      <c r="X8287">
        <f t="shared" si="1336"/>
        <v>0</v>
      </c>
      <c r="Z8287" t="str">
        <f t="shared" si="1347"/>
        <v/>
      </c>
      <c r="AA8287">
        <f t="shared" si="1337"/>
        <v>0</v>
      </c>
    </row>
    <row r="8288" spans="1:27" ht="21" customHeight="1" x14ac:dyDescent="0.95">
      <c r="A8288" s="56"/>
      <c r="B8288" s="57"/>
      <c r="C8288" s="57"/>
      <c r="D8288" s="57"/>
      <c r="E8288" s="56"/>
      <c r="F8288" s="57"/>
      <c r="G8288" s="57"/>
      <c r="H8288" s="56"/>
      <c r="I8288" s="56"/>
      <c r="J8288" s="58"/>
      <c r="K8288" s="58"/>
      <c r="L8288" s="13" t="str">
        <f t="shared" si="1338"/>
        <v/>
      </c>
      <c r="M8288" s="13" t="str">
        <f t="shared" si="1339"/>
        <v/>
      </c>
      <c r="Q8288" t="str">
        <f t="shared" si="1340"/>
        <v/>
      </c>
      <c r="R8288" t="str">
        <f t="shared" si="1341"/>
        <v/>
      </c>
      <c r="S8288" t="str">
        <f t="shared" si="1342"/>
        <v/>
      </c>
      <c r="T8288" t="str">
        <f t="shared" si="1343"/>
        <v/>
      </c>
      <c r="U8288" t="str">
        <f t="shared" si="1344"/>
        <v/>
      </c>
      <c r="V8288" t="str">
        <f t="shared" si="1345"/>
        <v/>
      </c>
      <c r="W8288" t="str">
        <f t="shared" si="1346"/>
        <v/>
      </c>
      <c r="X8288">
        <f t="shared" si="1336"/>
        <v>0</v>
      </c>
      <c r="Z8288" t="str">
        <f t="shared" si="1347"/>
        <v/>
      </c>
      <c r="AA8288">
        <f t="shared" si="1337"/>
        <v>0</v>
      </c>
    </row>
    <row r="8289" spans="1:27" ht="21" customHeight="1" x14ac:dyDescent="0.95">
      <c r="A8289" s="56"/>
      <c r="B8289" s="57"/>
      <c r="C8289" s="57"/>
      <c r="D8289" s="57"/>
      <c r="E8289" s="56"/>
      <c r="F8289" s="57"/>
      <c r="G8289" s="57"/>
      <c r="H8289" s="56"/>
      <c r="I8289" s="56"/>
      <c r="J8289" s="58"/>
      <c r="K8289" s="58"/>
      <c r="L8289" s="13" t="str">
        <f t="shared" si="1338"/>
        <v/>
      </c>
      <c r="M8289" s="13" t="str">
        <f t="shared" si="1339"/>
        <v/>
      </c>
      <c r="Q8289" t="str">
        <f t="shared" si="1340"/>
        <v/>
      </c>
      <c r="R8289" t="str">
        <f t="shared" si="1341"/>
        <v/>
      </c>
      <c r="S8289" t="str">
        <f t="shared" si="1342"/>
        <v/>
      </c>
      <c r="T8289" t="str">
        <f t="shared" si="1343"/>
        <v/>
      </c>
      <c r="U8289" t="str">
        <f t="shared" si="1344"/>
        <v/>
      </c>
      <c r="V8289" t="str">
        <f t="shared" si="1345"/>
        <v/>
      </c>
      <c r="W8289" t="str">
        <f t="shared" si="1346"/>
        <v/>
      </c>
      <c r="X8289">
        <f t="shared" si="1336"/>
        <v>0</v>
      </c>
      <c r="Z8289" t="str">
        <f t="shared" si="1347"/>
        <v/>
      </c>
      <c r="AA8289">
        <f t="shared" si="1337"/>
        <v>0</v>
      </c>
    </row>
    <row r="8290" spans="1:27" ht="21" customHeight="1" x14ac:dyDescent="0.95">
      <c r="A8290" s="56"/>
      <c r="B8290" s="57"/>
      <c r="C8290" s="57"/>
      <c r="D8290" s="57"/>
      <c r="E8290" s="56"/>
      <c r="F8290" s="57"/>
      <c r="G8290" s="57"/>
      <c r="H8290" s="56"/>
      <c r="I8290" s="56"/>
      <c r="J8290" s="58"/>
      <c r="K8290" s="58"/>
      <c r="L8290" s="13" t="str">
        <f t="shared" si="1338"/>
        <v/>
      </c>
      <c r="M8290" s="13" t="str">
        <f t="shared" si="1339"/>
        <v/>
      </c>
      <c r="Q8290" t="str">
        <f t="shared" si="1340"/>
        <v/>
      </c>
      <c r="R8290" t="str">
        <f t="shared" si="1341"/>
        <v/>
      </c>
      <c r="S8290" t="str">
        <f t="shared" si="1342"/>
        <v/>
      </c>
      <c r="T8290" t="str">
        <f t="shared" si="1343"/>
        <v/>
      </c>
      <c r="U8290" t="str">
        <f t="shared" si="1344"/>
        <v/>
      </c>
      <c r="V8290" t="str">
        <f t="shared" si="1345"/>
        <v/>
      </c>
      <c r="W8290" t="str">
        <f t="shared" si="1346"/>
        <v/>
      </c>
      <c r="X8290">
        <f t="shared" si="1336"/>
        <v>0</v>
      </c>
      <c r="Z8290" t="str">
        <f t="shared" si="1347"/>
        <v/>
      </c>
      <c r="AA8290">
        <f t="shared" si="1337"/>
        <v>0</v>
      </c>
    </row>
    <row r="8291" spans="1:27" ht="21" customHeight="1" x14ac:dyDescent="0.95">
      <c r="A8291" s="56"/>
      <c r="B8291" s="57"/>
      <c r="C8291" s="57"/>
      <c r="D8291" s="57"/>
      <c r="E8291" s="56"/>
      <c r="F8291" s="57"/>
      <c r="G8291" s="57"/>
      <c r="H8291" s="56"/>
      <c r="I8291" s="56"/>
      <c r="J8291" s="58"/>
      <c r="K8291" s="58"/>
      <c r="L8291" s="13" t="str">
        <f t="shared" si="1338"/>
        <v/>
      </c>
      <c r="M8291" s="13" t="str">
        <f t="shared" si="1339"/>
        <v/>
      </c>
      <c r="Q8291" t="str">
        <f t="shared" si="1340"/>
        <v/>
      </c>
      <c r="R8291" t="str">
        <f t="shared" si="1341"/>
        <v/>
      </c>
      <c r="S8291" t="str">
        <f t="shared" si="1342"/>
        <v/>
      </c>
      <c r="T8291" t="str">
        <f t="shared" si="1343"/>
        <v/>
      </c>
      <c r="U8291" t="str">
        <f t="shared" si="1344"/>
        <v/>
      </c>
      <c r="V8291" t="str">
        <f t="shared" si="1345"/>
        <v/>
      </c>
      <c r="W8291" t="str">
        <f t="shared" si="1346"/>
        <v/>
      </c>
      <c r="X8291">
        <f t="shared" si="1336"/>
        <v>0</v>
      </c>
      <c r="Z8291" t="str">
        <f t="shared" si="1347"/>
        <v/>
      </c>
      <c r="AA8291">
        <f t="shared" si="1337"/>
        <v>0</v>
      </c>
    </row>
    <row r="8292" spans="1:27" ht="21" customHeight="1" x14ac:dyDescent="0.95">
      <c r="A8292" s="56"/>
      <c r="B8292" s="57"/>
      <c r="C8292" s="57"/>
      <c r="D8292" s="57"/>
      <c r="E8292" s="56"/>
      <c r="F8292" s="57"/>
      <c r="G8292" s="57"/>
      <c r="H8292" s="56"/>
      <c r="I8292" s="56"/>
      <c r="J8292" s="58"/>
      <c r="K8292" s="58"/>
      <c r="L8292" s="13" t="str">
        <f t="shared" si="1338"/>
        <v/>
      </c>
      <c r="M8292" s="13" t="str">
        <f t="shared" si="1339"/>
        <v/>
      </c>
      <c r="Q8292" t="str">
        <f t="shared" si="1340"/>
        <v/>
      </c>
      <c r="R8292" t="str">
        <f t="shared" si="1341"/>
        <v/>
      </c>
      <c r="S8292" t="str">
        <f t="shared" si="1342"/>
        <v/>
      </c>
      <c r="T8292" t="str">
        <f t="shared" si="1343"/>
        <v/>
      </c>
      <c r="U8292" t="str">
        <f t="shared" si="1344"/>
        <v/>
      </c>
      <c r="V8292" t="str">
        <f t="shared" si="1345"/>
        <v/>
      </c>
      <c r="W8292" t="str">
        <f t="shared" si="1346"/>
        <v/>
      </c>
      <c r="X8292">
        <f t="shared" si="1336"/>
        <v>0</v>
      </c>
      <c r="Z8292" t="str">
        <f t="shared" si="1347"/>
        <v/>
      </c>
      <c r="AA8292">
        <f t="shared" si="1337"/>
        <v>0</v>
      </c>
    </row>
    <row r="8293" spans="1:27" ht="21" customHeight="1" x14ac:dyDescent="0.95">
      <c r="A8293" s="56"/>
      <c r="B8293" s="57"/>
      <c r="C8293" s="57"/>
      <c r="D8293" s="57"/>
      <c r="E8293" s="56"/>
      <c r="F8293" s="57"/>
      <c r="G8293" s="57"/>
      <c r="H8293" s="56"/>
      <c r="I8293" s="56"/>
      <c r="J8293" s="58"/>
      <c r="K8293" s="58"/>
      <c r="L8293" s="13" t="str">
        <f t="shared" si="1338"/>
        <v/>
      </c>
      <c r="M8293" s="13" t="str">
        <f t="shared" si="1339"/>
        <v/>
      </c>
      <c r="Q8293" t="str">
        <f t="shared" si="1340"/>
        <v/>
      </c>
      <c r="R8293" t="str">
        <f t="shared" si="1341"/>
        <v/>
      </c>
      <c r="S8293" t="str">
        <f t="shared" si="1342"/>
        <v/>
      </c>
      <c r="T8293" t="str">
        <f t="shared" si="1343"/>
        <v/>
      </c>
      <c r="U8293" t="str">
        <f t="shared" si="1344"/>
        <v/>
      </c>
      <c r="V8293" t="str">
        <f t="shared" si="1345"/>
        <v/>
      </c>
      <c r="W8293" t="str">
        <f t="shared" si="1346"/>
        <v/>
      </c>
      <c r="X8293">
        <f t="shared" si="1336"/>
        <v>0</v>
      </c>
      <c r="Z8293" t="str">
        <f t="shared" si="1347"/>
        <v/>
      </c>
      <c r="AA8293">
        <f t="shared" si="1337"/>
        <v>0</v>
      </c>
    </row>
    <row r="8294" spans="1:27" ht="21" customHeight="1" x14ac:dyDescent="0.95">
      <c r="A8294" s="56"/>
      <c r="B8294" s="57"/>
      <c r="C8294" s="57"/>
      <c r="D8294" s="57"/>
      <c r="E8294" s="56"/>
      <c r="F8294" s="57"/>
      <c r="G8294" s="57"/>
      <c r="H8294" s="56"/>
      <c r="I8294" s="56"/>
      <c r="J8294" s="58"/>
      <c r="K8294" s="58"/>
      <c r="L8294" s="13" t="str">
        <f t="shared" si="1338"/>
        <v/>
      </c>
      <c r="M8294" s="13" t="str">
        <f t="shared" si="1339"/>
        <v/>
      </c>
      <c r="Q8294" t="str">
        <f t="shared" si="1340"/>
        <v/>
      </c>
      <c r="R8294" t="str">
        <f t="shared" si="1341"/>
        <v/>
      </c>
      <c r="S8294" t="str">
        <f t="shared" si="1342"/>
        <v/>
      </c>
      <c r="T8294" t="str">
        <f t="shared" si="1343"/>
        <v/>
      </c>
      <c r="U8294" t="str">
        <f t="shared" si="1344"/>
        <v/>
      </c>
      <c r="V8294" t="str">
        <f t="shared" si="1345"/>
        <v/>
      </c>
      <c r="W8294" t="str">
        <f t="shared" si="1346"/>
        <v/>
      </c>
      <c r="X8294">
        <f t="shared" si="1336"/>
        <v>0</v>
      </c>
      <c r="Z8294" t="str">
        <f t="shared" si="1347"/>
        <v/>
      </c>
      <c r="AA8294">
        <f t="shared" si="1337"/>
        <v>0</v>
      </c>
    </row>
    <row r="8295" spans="1:27" ht="21" customHeight="1" x14ac:dyDescent="0.95">
      <c r="A8295" s="56"/>
      <c r="B8295" s="57"/>
      <c r="C8295" s="57"/>
      <c r="D8295" s="57"/>
      <c r="E8295" s="56"/>
      <c r="F8295" s="57"/>
      <c r="G8295" s="57"/>
      <c r="H8295" s="56"/>
      <c r="I8295" s="56"/>
      <c r="J8295" s="58"/>
      <c r="K8295" s="58"/>
      <c r="L8295" s="13" t="str">
        <f t="shared" si="1338"/>
        <v/>
      </c>
      <c r="M8295" s="13" t="str">
        <f t="shared" si="1339"/>
        <v/>
      </c>
      <c r="Q8295" t="str">
        <f t="shared" si="1340"/>
        <v/>
      </c>
      <c r="R8295" t="str">
        <f t="shared" si="1341"/>
        <v/>
      </c>
      <c r="S8295" t="str">
        <f t="shared" si="1342"/>
        <v/>
      </c>
      <c r="T8295" t="str">
        <f t="shared" si="1343"/>
        <v/>
      </c>
      <c r="U8295" t="str">
        <f t="shared" si="1344"/>
        <v/>
      </c>
      <c r="V8295" t="str">
        <f t="shared" si="1345"/>
        <v/>
      </c>
      <c r="W8295" t="str">
        <f t="shared" si="1346"/>
        <v/>
      </c>
      <c r="X8295">
        <f t="shared" si="1336"/>
        <v>0</v>
      </c>
      <c r="Z8295" t="str">
        <f t="shared" si="1347"/>
        <v/>
      </c>
      <c r="AA8295">
        <f t="shared" si="1337"/>
        <v>0</v>
      </c>
    </row>
    <row r="8296" spans="1:27" ht="21" customHeight="1" x14ac:dyDescent="0.95">
      <c r="A8296" s="56"/>
      <c r="B8296" s="57"/>
      <c r="C8296" s="57"/>
      <c r="D8296" s="57"/>
      <c r="E8296" s="56"/>
      <c r="F8296" s="57"/>
      <c r="G8296" s="57"/>
      <c r="H8296" s="56"/>
      <c r="I8296" s="56"/>
      <c r="J8296" s="58"/>
      <c r="K8296" s="58"/>
      <c r="L8296" s="13" t="str">
        <f t="shared" si="1338"/>
        <v/>
      </c>
      <c r="M8296" s="13" t="str">
        <f t="shared" si="1339"/>
        <v/>
      </c>
      <c r="Q8296" t="str">
        <f t="shared" si="1340"/>
        <v/>
      </c>
      <c r="R8296" t="str">
        <f t="shared" si="1341"/>
        <v/>
      </c>
      <c r="S8296" t="str">
        <f t="shared" si="1342"/>
        <v/>
      </c>
      <c r="T8296" t="str">
        <f t="shared" si="1343"/>
        <v/>
      </c>
      <c r="U8296" t="str">
        <f t="shared" si="1344"/>
        <v/>
      </c>
      <c r="V8296" t="str">
        <f t="shared" si="1345"/>
        <v/>
      </c>
      <c r="W8296" t="str">
        <f t="shared" si="1346"/>
        <v/>
      </c>
      <c r="X8296">
        <f t="shared" si="1336"/>
        <v>0</v>
      </c>
      <c r="Z8296" t="str">
        <f t="shared" si="1347"/>
        <v/>
      </c>
      <c r="AA8296">
        <f t="shared" si="1337"/>
        <v>0</v>
      </c>
    </row>
    <row r="8297" spans="1:27" ht="21" customHeight="1" x14ac:dyDescent="0.95">
      <c r="A8297" s="56"/>
      <c r="B8297" s="57"/>
      <c r="C8297" s="57"/>
      <c r="D8297" s="57"/>
      <c r="E8297" s="56"/>
      <c r="F8297" s="57"/>
      <c r="G8297" s="57"/>
      <c r="H8297" s="56"/>
      <c r="I8297" s="56"/>
      <c r="J8297" s="58"/>
      <c r="K8297" s="58"/>
      <c r="L8297" s="13" t="str">
        <f t="shared" si="1338"/>
        <v/>
      </c>
      <c r="M8297" s="13" t="str">
        <f t="shared" si="1339"/>
        <v/>
      </c>
      <c r="Q8297" t="str">
        <f t="shared" si="1340"/>
        <v/>
      </c>
      <c r="R8297" t="str">
        <f t="shared" si="1341"/>
        <v/>
      </c>
      <c r="S8297" t="str">
        <f t="shared" si="1342"/>
        <v/>
      </c>
      <c r="T8297" t="str">
        <f t="shared" si="1343"/>
        <v/>
      </c>
      <c r="U8297" t="str">
        <f t="shared" si="1344"/>
        <v/>
      </c>
      <c r="V8297" t="str">
        <f t="shared" si="1345"/>
        <v/>
      </c>
      <c r="W8297" t="str">
        <f t="shared" si="1346"/>
        <v/>
      </c>
      <c r="X8297">
        <f t="shared" si="1336"/>
        <v>0</v>
      </c>
      <c r="Z8297" t="str">
        <f t="shared" si="1347"/>
        <v/>
      </c>
      <c r="AA8297">
        <f t="shared" si="1337"/>
        <v>0</v>
      </c>
    </row>
    <row r="8298" spans="1:27" ht="21" customHeight="1" x14ac:dyDescent="0.95">
      <c r="A8298" s="56"/>
      <c r="B8298" s="57"/>
      <c r="C8298" s="57"/>
      <c r="D8298" s="57"/>
      <c r="E8298" s="56"/>
      <c r="F8298" s="57"/>
      <c r="G8298" s="57"/>
      <c r="H8298" s="56"/>
      <c r="I8298" s="56"/>
      <c r="J8298" s="58"/>
      <c r="K8298" s="58"/>
      <c r="L8298" s="13" t="str">
        <f t="shared" si="1338"/>
        <v/>
      </c>
      <c r="M8298" s="13" t="str">
        <f t="shared" si="1339"/>
        <v/>
      </c>
      <c r="Q8298" t="str">
        <f t="shared" si="1340"/>
        <v/>
      </c>
      <c r="R8298" t="str">
        <f t="shared" si="1341"/>
        <v/>
      </c>
      <c r="S8298" t="str">
        <f t="shared" si="1342"/>
        <v/>
      </c>
      <c r="T8298" t="str">
        <f t="shared" si="1343"/>
        <v/>
      </c>
      <c r="U8298" t="str">
        <f t="shared" si="1344"/>
        <v/>
      </c>
      <c r="V8298" t="str">
        <f t="shared" si="1345"/>
        <v/>
      </c>
      <c r="W8298" t="str">
        <f t="shared" si="1346"/>
        <v/>
      </c>
      <c r="X8298">
        <f t="shared" si="1336"/>
        <v>0</v>
      </c>
      <c r="Z8298" t="str">
        <f t="shared" si="1347"/>
        <v/>
      </c>
      <c r="AA8298">
        <f t="shared" si="1337"/>
        <v>0</v>
      </c>
    </row>
    <row r="8299" spans="1:27" ht="21" customHeight="1" x14ac:dyDescent="0.95">
      <c r="A8299" s="56"/>
      <c r="B8299" s="57"/>
      <c r="C8299" s="57"/>
      <c r="D8299" s="57"/>
      <c r="E8299" s="56"/>
      <c r="F8299" s="57"/>
      <c r="G8299" s="57"/>
      <c r="H8299" s="56"/>
      <c r="I8299" s="56"/>
      <c r="J8299" s="58"/>
      <c r="K8299" s="58"/>
      <c r="L8299" s="13" t="str">
        <f t="shared" si="1338"/>
        <v/>
      </c>
      <c r="M8299" s="13" t="str">
        <f t="shared" si="1339"/>
        <v/>
      </c>
      <c r="Q8299" t="str">
        <f t="shared" si="1340"/>
        <v/>
      </c>
      <c r="R8299" t="str">
        <f t="shared" si="1341"/>
        <v/>
      </c>
      <c r="S8299" t="str">
        <f t="shared" si="1342"/>
        <v/>
      </c>
      <c r="T8299" t="str">
        <f t="shared" si="1343"/>
        <v/>
      </c>
      <c r="U8299" t="str">
        <f t="shared" si="1344"/>
        <v/>
      </c>
      <c r="V8299" t="str">
        <f t="shared" si="1345"/>
        <v/>
      </c>
      <c r="W8299" t="str">
        <f t="shared" si="1346"/>
        <v/>
      </c>
      <c r="X8299">
        <f t="shared" si="1336"/>
        <v>0</v>
      </c>
      <c r="Z8299" t="str">
        <f t="shared" si="1347"/>
        <v/>
      </c>
      <c r="AA8299">
        <f t="shared" si="1337"/>
        <v>0</v>
      </c>
    </row>
    <row r="8300" spans="1:27" ht="21" customHeight="1" x14ac:dyDescent="0.95">
      <c r="A8300" s="56"/>
      <c r="B8300" s="57"/>
      <c r="C8300" s="57"/>
      <c r="D8300" s="57"/>
      <c r="E8300" s="56"/>
      <c r="F8300" s="57"/>
      <c r="G8300" s="57"/>
      <c r="H8300" s="56"/>
      <c r="I8300" s="56"/>
      <c r="J8300" s="58"/>
      <c r="K8300" s="58"/>
      <c r="L8300" s="13" t="str">
        <f t="shared" si="1338"/>
        <v/>
      </c>
      <c r="M8300" s="13" t="str">
        <f t="shared" si="1339"/>
        <v/>
      </c>
      <c r="Q8300" t="str">
        <f t="shared" si="1340"/>
        <v/>
      </c>
      <c r="R8300" t="str">
        <f t="shared" si="1341"/>
        <v/>
      </c>
      <c r="S8300" t="str">
        <f t="shared" si="1342"/>
        <v/>
      </c>
      <c r="T8300" t="str">
        <f t="shared" si="1343"/>
        <v/>
      </c>
      <c r="U8300" t="str">
        <f t="shared" si="1344"/>
        <v/>
      </c>
      <c r="V8300" t="str">
        <f t="shared" si="1345"/>
        <v/>
      </c>
      <c r="W8300" t="str">
        <f t="shared" si="1346"/>
        <v/>
      </c>
      <c r="X8300">
        <f t="shared" si="1336"/>
        <v>0</v>
      </c>
      <c r="Z8300" t="str">
        <f t="shared" si="1347"/>
        <v/>
      </c>
      <c r="AA8300">
        <f t="shared" si="1337"/>
        <v>0</v>
      </c>
    </row>
    <row r="8301" spans="1:27" ht="21" customHeight="1" x14ac:dyDescent="0.95">
      <c r="A8301" s="56"/>
      <c r="B8301" s="57"/>
      <c r="C8301" s="57"/>
      <c r="D8301" s="57"/>
      <c r="E8301" s="56"/>
      <c r="F8301" s="57"/>
      <c r="G8301" s="57"/>
      <c r="H8301" s="56"/>
      <c r="I8301" s="56"/>
      <c r="J8301" s="58"/>
      <c r="K8301" s="58"/>
      <c r="L8301" s="13" t="str">
        <f t="shared" si="1338"/>
        <v/>
      </c>
      <c r="M8301" s="13" t="str">
        <f t="shared" si="1339"/>
        <v/>
      </c>
      <c r="Q8301" t="str">
        <f t="shared" si="1340"/>
        <v/>
      </c>
      <c r="R8301" t="str">
        <f t="shared" si="1341"/>
        <v/>
      </c>
      <c r="S8301" t="str">
        <f t="shared" si="1342"/>
        <v/>
      </c>
      <c r="T8301" t="str">
        <f t="shared" si="1343"/>
        <v/>
      </c>
      <c r="U8301" t="str">
        <f t="shared" si="1344"/>
        <v/>
      </c>
      <c r="V8301" t="str">
        <f t="shared" si="1345"/>
        <v/>
      </c>
      <c r="W8301" t="str">
        <f t="shared" si="1346"/>
        <v/>
      </c>
      <c r="X8301">
        <f t="shared" si="1336"/>
        <v>0</v>
      </c>
      <c r="Z8301" t="str">
        <f t="shared" si="1347"/>
        <v/>
      </c>
      <c r="AA8301">
        <f t="shared" si="1337"/>
        <v>0</v>
      </c>
    </row>
    <row r="8302" spans="1:27" ht="21" customHeight="1" x14ac:dyDescent="0.95">
      <c r="A8302" s="56"/>
      <c r="B8302" s="57"/>
      <c r="C8302" s="57"/>
      <c r="D8302" s="57"/>
      <c r="E8302" s="56"/>
      <c r="F8302" s="57"/>
      <c r="G8302" s="57"/>
      <c r="H8302" s="56"/>
      <c r="I8302" s="56"/>
      <c r="J8302" s="58"/>
      <c r="K8302" s="58"/>
      <c r="L8302" s="13" t="str">
        <f t="shared" si="1338"/>
        <v/>
      </c>
      <c r="M8302" s="13" t="str">
        <f t="shared" si="1339"/>
        <v/>
      </c>
      <c r="Q8302" t="str">
        <f t="shared" si="1340"/>
        <v/>
      </c>
      <c r="R8302" t="str">
        <f t="shared" si="1341"/>
        <v/>
      </c>
      <c r="S8302" t="str">
        <f t="shared" si="1342"/>
        <v/>
      </c>
      <c r="T8302" t="str">
        <f t="shared" si="1343"/>
        <v/>
      </c>
      <c r="U8302" t="str">
        <f t="shared" si="1344"/>
        <v/>
      </c>
      <c r="V8302" t="str">
        <f t="shared" si="1345"/>
        <v/>
      </c>
      <c r="W8302" t="str">
        <f t="shared" si="1346"/>
        <v/>
      </c>
      <c r="X8302">
        <f t="shared" si="1336"/>
        <v>0</v>
      </c>
      <c r="Z8302" t="str">
        <f t="shared" si="1347"/>
        <v/>
      </c>
      <c r="AA8302">
        <f t="shared" si="1337"/>
        <v>0</v>
      </c>
    </row>
    <row r="8303" spans="1:27" ht="21" customHeight="1" x14ac:dyDescent="0.95">
      <c r="A8303" s="56"/>
      <c r="B8303" s="57"/>
      <c r="C8303" s="57"/>
      <c r="D8303" s="57"/>
      <c r="E8303" s="56"/>
      <c r="F8303" s="57"/>
      <c r="G8303" s="57"/>
      <c r="H8303" s="56"/>
      <c r="I8303" s="56"/>
      <c r="J8303" s="58"/>
      <c r="K8303" s="58"/>
      <c r="L8303" s="13" t="str">
        <f t="shared" si="1338"/>
        <v/>
      </c>
      <c r="M8303" s="13" t="str">
        <f t="shared" si="1339"/>
        <v/>
      </c>
      <c r="Q8303" t="str">
        <f t="shared" si="1340"/>
        <v/>
      </c>
      <c r="R8303" t="str">
        <f t="shared" si="1341"/>
        <v/>
      </c>
      <c r="S8303" t="str">
        <f t="shared" si="1342"/>
        <v/>
      </c>
      <c r="T8303" t="str">
        <f t="shared" si="1343"/>
        <v/>
      </c>
      <c r="U8303" t="str">
        <f t="shared" si="1344"/>
        <v/>
      </c>
      <c r="V8303" t="str">
        <f t="shared" si="1345"/>
        <v/>
      </c>
      <c r="W8303" t="str">
        <f t="shared" si="1346"/>
        <v/>
      </c>
      <c r="X8303">
        <f t="shared" si="1336"/>
        <v>0</v>
      </c>
      <c r="Z8303" t="str">
        <f t="shared" si="1347"/>
        <v/>
      </c>
      <c r="AA8303">
        <f t="shared" si="1337"/>
        <v>0</v>
      </c>
    </row>
    <row r="8304" spans="1:27" ht="21" customHeight="1" x14ac:dyDescent="0.95">
      <c r="A8304" s="56"/>
      <c r="B8304" s="57"/>
      <c r="C8304" s="57"/>
      <c r="D8304" s="57"/>
      <c r="E8304" s="56"/>
      <c r="F8304" s="57"/>
      <c r="G8304" s="57"/>
      <c r="H8304" s="56"/>
      <c r="I8304" s="56"/>
      <c r="J8304" s="58"/>
      <c r="K8304" s="58"/>
      <c r="L8304" s="13" t="str">
        <f t="shared" si="1338"/>
        <v/>
      </c>
      <c r="M8304" s="13" t="str">
        <f t="shared" si="1339"/>
        <v/>
      </c>
      <c r="Q8304" t="str">
        <f t="shared" si="1340"/>
        <v/>
      </c>
      <c r="R8304" t="str">
        <f t="shared" si="1341"/>
        <v/>
      </c>
      <c r="S8304" t="str">
        <f t="shared" si="1342"/>
        <v/>
      </c>
      <c r="T8304" t="str">
        <f t="shared" si="1343"/>
        <v/>
      </c>
      <c r="U8304" t="str">
        <f t="shared" si="1344"/>
        <v/>
      </c>
      <c r="V8304" t="str">
        <f t="shared" si="1345"/>
        <v/>
      </c>
      <c r="W8304" t="str">
        <f t="shared" si="1346"/>
        <v/>
      </c>
      <c r="X8304">
        <f t="shared" si="1336"/>
        <v>0</v>
      </c>
      <c r="Z8304" t="str">
        <f t="shared" si="1347"/>
        <v/>
      </c>
      <c r="AA8304">
        <f t="shared" si="1337"/>
        <v>0</v>
      </c>
    </row>
    <row r="8305" spans="1:27" ht="21" customHeight="1" x14ac:dyDescent="0.95">
      <c r="A8305" s="56"/>
      <c r="B8305" s="57"/>
      <c r="C8305" s="57"/>
      <c r="D8305" s="57"/>
      <c r="E8305" s="56"/>
      <c r="F8305" s="57"/>
      <c r="G8305" s="57"/>
      <c r="H8305" s="56"/>
      <c r="I8305" s="56"/>
      <c r="J8305" s="58"/>
      <c r="K8305" s="58"/>
      <c r="L8305" s="13" t="str">
        <f t="shared" si="1338"/>
        <v/>
      </c>
      <c r="M8305" s="13" t="str">
        <f t="shared" si="1339"/>
        <v/>
      </c>
      <c r="Q8305" t="str">
        <f t="shared" si="1340"/>
        <v/>
      </c>
      <c r="R8305" t="str">
        <f t="shared" si="1341"/>
        <v/>
      </c>
      <c r="S8305" t="str">
        <f t="shared" si="1342"/>
        <v/>
      </c>
      <c r="T8305" t="str">
        <f t="shared" si="1343"/>
        <v/>
      </c>
      <c r="U8305" t="str">
        <f t="shared" si="1344"/>
        <v/>
      </c>
      <c r="V8305" t="str">
        <f t="shared" si="1345"/>
        <v/>
      </c>
      <c r="W8305" t="str">
        <f t="shared" si="1346"/>
        <v/>
      </c>
      <c r="X8305">
        <f t="shared" si="1336"/>
        <v>0</v>
      </c>
      <c r="Z8305" t="str">
        <f t="shared" si="1347"/>
        <v/>
      </c>
      <c r="AA8305">
        <f t="shared" si="1337"/>
        <v>0</v>
      </c>
    </row>
    <row r="8306" spans="1:27" ht="21" customHeight="1" x14ac:dyDescent="0.95">
      <c r="A8306" s="56"/>
      <c r="B8306" s="57"/>
      <c r="C8306" s="57"/>
      <c r="D8306" s="57"/>
      <c r="E8306" s="56"/>
      <c r="F8306" s="57"/>
      <c r="G8306" s="57"/>
      <c r="H8306" s="56"/>
      <c r="I8306" s="56"/>
      <c r="J8306" s="58"/>
      <c r="K8306" s="58"/>
      <c r="L8306" s="13" t="str">
        <f t="shared" si="1338"/>
        <v/>
      </c>
      <c r="M8306" s="13" t="str">
        <f t="shared" si="1339"/>
        <v/>
      </c>
      <c r="Q8306" t="str">
        <f t="shared" si="1340"/>
        <v/>
      </c>
      <c r="R8306" t="str">
        <f t="shared" si="1341"/>
        <v/>
      </c>
      <c r="S8306" t="str">
        <f t="shared" si="1342"/>
        <v/>
      </c>
      <c r="T8306" t="str">
        <f t="shared" si="1343"/>
        <v/>
      </c>
      <c r="U8306" t="str">
        <f t="shared" si="1344"/>
        <v/>
      </c>
      <c r="V8306" t="str">
        <f t="shared" si="1345"/>
        <v/>
      </c>
      <c r="W8306" t="str">
        <f t="shared" si="1346"/>
        <v/>
      </c>
      <c r="X8306">
        <f t="shared" si="1336"/>
        <v>0</v>
      </c>
      <c r="Z8306" t="str">
        <f t="shared" si="1347"/>
        <v/>
      </c>
      <c r="AA8306">
        <f t="shared" si="1337"/>
        <v>0</v>
      </c>
    </row>
    <row r="8307" spans="1:27" ht="21" customHeight="1" x14ac:dyDescent="0.95">
      <c r="A8307" s="56"/>
      <c r="B8307" s="57"/>
      <c r="C8307" s="57"/>
      <c r="D8307" s="57"/>
      <c r="E8307" s="56"/>
      <c r="F8307" s="57"/>
      <c r="G8307" s="57"/>
      <c r="H8307" s="56"/>
      <c r="I8307" s="56"/>
      <c r="J8307" s="58"/>
      <c r="K8307" s="58"/>
      <c r="L8307" s="13" t="str">
        <f t="shared" si="1338"/>
        <v/>
      </c>
      <c r="M8307" s="13" t="str">
        <f t="shared" si="1339"/>
        <v/>
      </c>
      <c r="Q8307" t="str">
        <f t="shared" si="1340"/>
        <v/>
      </c>
      <c r="R8307" t="str">
        <f t="shared" si="1341"/>
        <v/>
      </c>
      <c r="S8307" t="str">
        <f t="shared" si="1342"/>
        <v/>
      </c>
      <c r="T8307" t="str">
        <f t="shared" si="1343"/>
        <v/>
      </c>
      <c r="U8307" t="str">
        <f t="shared" si="1344"/>
        <v/>
      </c>
      <c r="V8307" t="str">
        <f t="shared" si="1345"/>
        <v/>
      </c>
      <c r="W8307" t="str">
        <f t="shared" si="1346"/>
        <v/>
      </c>
      <c r="X8307">
        <f t="shared" si="1336"/>
        <v>0</v>
      </c>
      <c r="Z8307" t="str">
        <f t="shared" si="1347"/>
        <v/>
      </c>
      <c r="AA8307">
        <f t="shared" si="1337"/>
        <v>0</v>
      </c>
    </row>
    <row r="8308" spans="1:27" ht="21" customHeight="1" x14ac:dyDescent="0.95">
      <c r="A8308" s="56"/>
      <c r="B8308" s="57"/>
      <c r="C8308" s="57"/>
      <c r="D8308" s="57"/>
      <c r="E8308" s="56"/>
      <c r="F8308" s="57"/>
      <c r="G8308" s="57"/>
      <c r="H8308" s="56"/>
      <c r="I8308" s="56"/>
      <c r="J8308" s="58"/>
      <c r="K8308" s="58"/>
      <c r="L8308" s="13" t="str">
        <f t="shared" si="1338"/>
        <v/>
      </c>
      <c r="M8308" s="13" t="str">
        <f t="shared" si="1339"/>
        <v/>
      </c>
      <c r="Q8308" t="str">
        <f t="shared" si="1340"/>
        <v/>
      </c>
      <c r="R8308" t="str">
        <f t="shared" si="1341"/>
        <v/>
      </c>
      <c r="S8308" t="str">
        <f t="shared" si="1342"/>
        <v/>
      </c>
      <c r="T8308" t="str">
        <f t="shared" si="1343"/>
        <v/>
      </c>
      <c r="U8308" t="str">
        <f t="shared" si="1344"/>
        <v/>
      </c>
      <c r="V8308" t="str">
        <f t="shared" si="1345"/>
        <v/>
      </c>
      <c r="W8308" t="str">
        <f t="shared" si="1346"/>
        <v/>
      </c>
      <c r="X8308">
        <f t="shared" si="1336"/>
        <v>0</v>
      </c>
      <c r="Z8308" t="str">
        <f t="shared" si="1347"/>
        <v/>
      </c>
      <c r="AA8308">
        <f t="shared" si="1337"/>
        <v>0</v>
      </c>
    </row>
    <row r="8309" spans="1:27" ht="21" customHeight="1" x14ac:dyDescent="0.95">
      <c r="A8309" s="56"/>
      <c r="B8309" s="57"/>
      <c r="C8309" s="57"/>
      <c r="D8309" s="57"/>
      <c r="E8309" s="56"/>
      <c r="F8309" s="57"/>
      <c r="G8309" s="57"/>
      <c r="H8309" s="56"/>
      <c r="I8309" s="56"/>
      <c r="J8309" s="58"/>
      <c r="K8309" s="58"/>
      <c r="L8309" s="13" t="str">
        <f t="shared" si="1338"/>
        <v/>
      </c>
      <c r="M8309" s="13" t="str">
        <f t="shared" si="1339"/>
        <v/>
      </c>
      <c r="Q8309" t="str">
        <f t="shared" si="1340"/>
        <v/>
      </c>
      <c r="R8309" t="str">
        <f t="shared" si="1341"/>
        <v/>
      </c>
      <c r="S8309" t="str">
        <f t="shared" si="1342"/>
        <v/>
      </c>
      <c r="T8309" t="str">
        <f t="shared" si="1343"/>
        <v/>
      </c>
      <c r="U8309" t="str">
        <f t="shared" si="1344"/>
        <v/>
      </c>
      <c r="V8309" t="str">
        <f t="shared" si="1345"/>
        <v/>
      </c>
      <c r="W8309" t="str">
        <f t="shared" si="1346"/>
        <v/>
      </c>
      <c r="X8309">
        <f t="shared" ref="X8309:X8372" si="1348">IF($T8309="",N($X8308),IF(MATCH($T8309,$T$6:$T$10005,0)=ROW()-5,N($X8308)+1,N($X8308)))</f>
        <v>0</v>
      </c>
      <c r="Z8309" t="str">
        <f t="shared" si="1347"/>
        <v/>
      </c>
      <c r="AA8309">
        <f t="shared" ref="AA8309:AA8372" si="1349">IF($V8309="",N($AA8308),IF(MATCH($V8309,$V$6:$V$10005,0)=ROW()-5,N($AA8308)+1,N($AA8308)))</f>
        <v>0</v>
      </c>
    </row>
    <row r="8310" spans="1:27" ht="21" customHeight="1" x14ac:dyDescent="0.95">
      <c r="A8310" s="56"/>
      <c r="B8310" s="57"/>
      <c r="C8310" s="57"/>
      <c r="D8310" s="57"/>
      <c r="E8310" s="56"/>
      <c r="F8310" s="57"/>
      <c r="G8310" s="57"/>
      <c r="H8310" s="56"/>
      <c r="I8310" s="56"/>
      <c r="J8310" s="58"/>
      <c r="K8310" s="58"/>
      <c r="L8310" s="13" t="str">
        <f t="shared" si="1338"/>
        <v/>
      </c>
      <c r="M8310" s="13" t="str">
        <f t="shared" si="1339"/>
        <v/>
      </c>
      <c r="Q8310" t="str">
        <f t="shared" si="1340"/>
        <v/>
      </c>
      <c r="R8310" t="str">
        <f t="shared" si="1341"/>
        <v/>
      </c>
      <c r="S8310" t="str">
        <f t="shared" si="1342"/>
        <v/>
      </c>
      <c r="T8310" t="str">
        <f t="shared" si="1343"/>
        <v/>
      </c>
      <c r="U8310" t="str">
        <f t="shared" si="1344"/>
        <v/>
      </c>
      <c r="V8310" t="str">
        <f t="shared" si="1345"/>
        <v/>
      </c>
      <c r="W8310" t="str">
        <f t="shared" si="1346"/>
        <v/>
      </c>
      <c r="X8310">
        <f t="shared" si="1348"/>
        <v>0</v>
      </c>
      <c r="Z8310" t="str">
        <f t="shared" si="1347"/>
        <v/>
      </c>
      <c r="AA8310">
        <f t="shared" si="1349"/>
        <v>0</v>
      </c>
    </row>
    <row r="8311" spans="1:27" ht="21" customHeight="1" x14ac:dyDescent="0.95">
      <c r="A8311" s="56"/>
      <c r="B8311" s="57"/>
      <c r="C8311" s="57"/>
      <c r="D8311" s="57"/>
      <c r="E8311" s="56"/>
      <c r="F8311" s="57"/>
      <c r="G8311" s="57"/>
      <c r="H8311" s="56"/>
      <c r="I8311" s="56"/>
      <c r="J8311" s="58"/>
      <c r="K8311" s="58"/>
      <c r="L8311" s="13" t="str">
        <f t="shared" si="1338"/>
        <v/>
      </c>
      <c r="M8311" s="13" t="str">
        <f t="shared" si="1339"/>
        <v/>
      </c>
      <c r="Q8311" t="str">
        <f t="shared" si="1340"/>
        <v/>
      </c>
      <c r="R8311" t="str">
        <f t="shared" si="1341"/>
        <v/>
      </c>
      <c r="S8311" t="str">
        <f t="shared" si="1342"/>
        <v/>
      </c>
      <c r="T8311" t="str">
        <f t="shared" si="1343"/>
        <v/>
      </c>
      <c r="U8311" t="str">
        <f t="shared" si="1344"/>
        <v/>
      </c>
      <c r="V8311" t="str">
        <f t="shared" si="1345"/>
        <v/>
      </c>
      <c r="W8311" t="str">
        <f t="shared" si="1346"/>
        <v/>
      </c>
      <c r="X8311">
        <f t="shared" si="1348"/>
        <v>0</v>
      </c>
      <c r="Z8311" t="str">
        <f t="shared" si="1347"/>
        <v/>
      </c>
      <c r="AA8311">
        <f t="shared" si="1349"/>
        <v>0</v>
      </c>
    </row>
    <row r="8312" spans="1:27" ht="21" customHeight="1" x14ac:dyDescent="0.95">
      <c r="A8312" s="56"/>
      <c r="B8312" s="57"/>
      <c r="C8312" s="57"/>
      <c r="D8312" s="57"/>
      <c r="E8312" s="56"/>
      <c r="F8312" s="57"/>
      <c r="G8312" s="57"/>
      <c r="H8312" s="56"/>
      <c r="I8312" s="56"/>
      <c r="J8312" s="58"/>
      <c r="K8312" s="58"/>
      <c r="L8312" s="13" t="str">
        <f t="shared" si="1338"/>
        <v/>
      </c>
      <c r="M8312" s="13" t="str">
        <f t="shared" si="1339"/>
        <v/>
      </c>
      <c r="Q8312" t="str">
        <f t="shared" si="1340"/>
        <v/>
      </c>
      <c r="R8312" t="str">
        <f t="shared" si="1341"/>
        <v/>
      </c>
      <c r="S8312" t="str">
        <f t="shared" si="1342"/>
        <v/>
      </c>
      <c r="T8312" t="str">
        <f t="shared" si="1343"/>
        <v/>
      </c>
      <c r="U8312" t="str">
        <f t="shared" si="1344"/>
        <v/>
      </c>
      <c r="V8312" t="str">
        <f t="shared" si="1345"/>
        <v/>
      </c>
      <c r="W8312" t="str">
        <f t="shared" si="1346"/>
        <v/>
      </c>
      <c r="X8312">
        <f t="shared" si="1348"/>
        <v>0</v>
      </c>
      <c r="Z8312" t="str">
        <f t="shared" si="1347"/>
        <v/>
      </c>
      <c r="AA8312">
        <f t="shared" si="1349"/>
        <v>0</v>
      </c>
    </row>
    <row r="8313" spans="1:27" ht="21" customHeight="1" x14ac:dyDescent="0.95">
      <c r="A8313" s="56"/>
      <c r="B8313" s="57"/>
      <c r="C8313" s="57"/>
      <c r="D8313" s="57"/>
      <c r="E8313" s="56"/>
      <c r="F8313" s="57"/>
      <c r="G8313" s="57"/>
      <c r="H8313" s="56"/>
      <c r="I8313" s="56"/>
      <c r="J8313" s="58"/>
      <c r="K8313" s="58"/>
      <c r="L8313" s="13" t="str">
        <f t="shared" si="1338"/>
        <v/>
      </c>
      <c r="M8313" s="13" t="str">
        <f t="shared" si="1339"/>
        <v/>
      </c>
      <c r="Q8313" t="str">
        <f t="shared" si="1340"/>
        <v/>
      </c>
      <c r="R8313" t="str">
        <f t="shared" si="1341"/>
        <v/>
      </c>
      <c r="S8313" t="str">
        <f t="shared" si="1342"/>
        <v/>
      </c>
      <c r="T8313" t="str">
        <f t="shared" si="1343"/>
        <v/>
      </c>
      <c r="U8313" t="str">
        <f t="shared" si="1344"/>
        <v/>
      </c>
      <c r="V8313" t="str">
        <f t="shared" si="1345"/>
        <v/>
      </c>
      <c r="W8313" t="str">
        <f t="shared" si="1346"/>
        <v/>
      </c>
      <c r="X8313">
        <f t="shared" si="1348"/>
        <v>0</v>
      </c>
      <c r="Z8313" t="str">
        <f t="shared" si="1347"/>
        <v/>
      </c>
      <c r="AA8313">
        <f t="shared" si="1349"/>
        <v>0</v>
      </c>
    </row>
    <row r="8314" spans="1:27" ht="21" customHeight="1" x14ac:dyDescent="0.95">
      <c r="A8314" s="56"/>
      <c r="B8314" s="57"/>
      <c r="C8314" s="57"/>
      <c r="D8314" s="57"/>
      <c r="E8314" s="56"/>
      <c r="F8314" s="57"/>
      <c r="G8314" s="57"/>
      <c r="H8314" s="56"/>
      <c r="I8314" s="56"/>
      <c r="J8314" s="58"/>
      <c r="K8314" s="58"/>
      <c r="L8314" s="13" t="str">
        <f t="shared" si="1338"/>
        <v/>
      </c>
      <c r="M8314" s="13" t="str">
        <f t="shared" si="1339"/>
        <v/>
      </c>
      <c r="Q8314" t="str">
        <f t="shared" si="1340"/>
        <v/>
      </c>
      <c r="R8314" t="str">
        <f t="shared" si="1341"/>
        <v/>
      </c>
      <c r="S8314" t="str">
        <f t="shared" si="1342"/>
        <v/>
      </c>
      <c r="T8314" t="str">
        <f t="shared" si="1343"/>
        <v/>
      </c>
      <c r="U8314" t="str">
        <f t="shared" si="1344"/>
        <v/>
      </c>
      <c r="V8314" t="str">
        <f t="shared" si="1345"/>
        <v/>
      </c>
      <c r="W8314" t="str">
        <f t="shared" si="1346"/>
        <v/>
      </c>
      <c r="X8314">
        <f t="shared" si="1348"/>
        <v>0</v>
      </c>
      <c r="Z8314" t="str">
        <f t="shared" si="1347"/>
        <v/>
      </c>
      <c r="AA8314">
        <f t="shared" si="1349"/>
        <v>0</v>
      </c>
    </row>
    <row r="8315" spans="1:27" ht="21" customHeight="1" x14ac:dyDescent="0.95">
      <c r="A8315" s="56"/>
      <c r="B8315" s="57"/>
      <c r="C8315" s="57"/>
      <c r="D8315" s="57"/>
      <c r="E8315" s="56"/>
      <c r="F8315" s="57"/>
      <c r="G8315" s="57"/>
      <c r="H8315" s="56"/>
      <c r="I8315" s="56"/>
      <c r="J8315" s="58"/>
      <c r="K8315" s="58"/>
      <c r="L8315" s="13" t="str">
        <f t="shared" si="1338"/>
        <v/>
      </c>
      <c r="M8315" s="13" t="str">
        <f t="shared" si="1339"/>
        <v/>
      </c>
      <c r="Q8315" t="str">
        <f t="shared" si="1340"/>
        <v/>
      </c>
      <c r="R8315" t="str">
        <f t="shared" si="1341"/>
        <v/>
      </c>
      <c r="S8315" t="str">
        <f t="shared" si="1342"/>
        <v/>
      </c>
      <c r="T8315" t="str">
        <f t="shared" si="1343"/>
        <v/>
      </c>
      <c r="U8315" t="str">
        <f t="shared" si="1344"/>
        <v/>
      </c>
      <c r="V8315" t="str">
        <f t="shared" si="1345"/>
        <v/>
      </c>
      <c r="W8315" t="str">
        <f t="shared" si="1346"/>
        <v/>
      </c>
      <c r="X8315">
        <f t="shared" si="1348"/>
        <v>0</v>
      </c>
      <c r="Z8315" t="str">
        <f t="shared" si="1347"/>
        <v/>
      </c>
      <c r="AA8315">
        <f t="shared" si="1349"/>
        <v>0</v>
      </c>
    </row>
    <row r="8316" spans="1:27" ht="21" customHeight="1" x14ac:dyDescent="0.95">
      <c r="A8316" s="56"/>
      <c r="B8316" s="57"/>
      <c r="C8316" s="57"/>
      <c r="D8316" s="57"/>
      <c r="E8316" s="56"/>
      <c r="F8316" s="57"/>
      <c r="G8316" s="57"/>
      <c r="H8316" s="56"/>
      <c r="I8316" s="56"/>
      <c r="J8316" s="58"/>
      <c r="K8316" s="58"/>
      <c r="L8316" s="13" t="str">
        <f t="shared" si="1338"/>
        <v/>
      </c>
      <c r="M8316" s="13" t="str">
        <f t="shared" si="1339"/>
        <v/>
      </c>
      <c r="Q8316" t="str">
        <f t="shared" si="1340"/>
        <v/>
      </c>
      <c r="R8316" t="str">
        <f t="shared" si="1341"/>
        <v/>
      </c>
      <c r="S8316" t="str">
        <f t="shared" si="1342"/>
        <v/>
      </c>
      <c r="T8316" t="str">
        <f t="shared" si="1343"/>
        <v/>
      </c>
      <c r="U8316" t="str">
        <f t="shared" si="1344"/>
        <v/>
      </c>
      <c r="V8316" t="str">
        <f t="shared" si="1345"/>
        <v/>
      </c>
      <c r="W8316" t="str">
        <f t="shared" si="1346"/>
        <v/>
      </c>
      <c r="X8316">
        <f t="shared" si="1348"/>
        <v>0</v>
      </c>
      <c r="Z8316" t="str">
        <f t="shared" si="1347"/>
        <v/>
      </c>
      <c r="AA8316">
        <f t="shared" si="1349"/>
        <v>0</v>
      </c>
    </row>
    <row r="8317" spans="1:27" ht="21" customHeight="1" x14ac:dyDescent="0.95">
      <c r="A8317" s="56"/>
      <c r="B8317" s="57"/>
      <c r="C8317" s="57"/>
      <c r="D8317" s="57"/>
      <c r="E8317" s="56"/>
      <c r="F8317" s="57"/>
      <c r="G8317" s="57"/>
      <c r="H8317" s="56"/>
      <c r="I8317" s="56"/>
      <c r="J8317" s="58"/>
      <c r="K8317" s="58"/>
      <c r="L8317" s="13" t="str">
        <f t="shared" si="1338"/>
        <v/>
      </c>
      <c r="M8317" s="13" t="str">
        <f t="shared" si="1339"/>
        <v/>
      </c>
      <c r="Q8317" t="str">
        <f t="shared" si="1340"/>
        <v/>
      </c>
      <c r="R8317" t="str">
        <f t="shared" si="1341"/>
        <v/>
      </c>
      <c r="S8317" t="str">
        <f t="shared" si="1342"/>
        <v/>
      </c>
      <c r="T8317" t="str">
        <f t="shared" si="1343"/>
        <v/>
      </c>
      <c r="U8317" t="str">
        <f t="shared" si="1344"/>
        <v/>
      </c>
      <c r="V8317" t="str">
        <f t="shared" si="1345"/>
        <v/>
      </c>
      <c r="W8317" t="str">
        <f t="shared" si="1346"/>
        <v/>
      </c>
      <c r="X8317">
        <f t="shared" si="1348"/>
        <v>0</v>
      </c>
      <c r="Z8317" t="str">
        <f t="shared" si="1347"/>
        <v/>
      </c>
      <c r="AA8317">
        <f t="shared" si="1349"/>
        <v>0</v>
      </c>
    </row>
    <row r="8318" spans="1:27" ht="21" customHeight="1" x14ac:dyDescent="0.95">
      <c r="A8318" s="56"/>
      <c r="B8318" s="57"/>
      <c r="C8318" s="57"/>
      <c r="D8318" s="57"/>
      <c r="E8318" s="56"/>
      <c r="F8318" s="57"/>
      <c r="G8318" s="57"/>
      <c r="H8318" s="56"/>
      <c r="I8318" s="56"/>
      <c r="J8318" s="58"/>
      <c r="K8318" s="58"/>
      <c r="L8318" s="13" t="str">
        <f t="shared" si="1338"/>
        <v/>
      </c>
      <c r="M8318" s="13" t="str">
        <f t="shared" si="1339"/>
        <v/>
      </c>
      <c r="Q8318" t="str">
        <f t="shared" si="1340"/>
        <v/>
      </c>
      <c r="R8318" t="str">
        <f t="shared" si="1341"/>
        <v/>
      </c>
      <c r="S8318" t="str">
        <f t="shared" si="1342"/>
        <v/>
      </c>
      <c r="T8318" t="str">
        <f t="shared" si="1343"/>
        <v/>
      </c>
      <c r="U8318" t="str">
        <f t="shared" si="1344"/>
        <v/>
      </c>
      <c r="V8318" t="str">
        <f t="shared" si="1345"/>
        <v/>
      </c>
      <c r="W8318" t="str">
        <f t="shared" si="1346"/>
        <v/>
      </c>
      <c r="X8318">
        <f t="shared" si="1348"/>
        <v>0</v>
      </c>
      <c r="Z8318" t="str">
        <f t="shared" si="1347"/>
        <v/>
      </c>
      <c r="AA8318">
        <f t="shared" si="1349"/>
        <v>0</v>
      </c>
    </row>
    <row r="8319" spans="1:27" ht="21" customHeight="1" x14ac:dyDescent="0.95">
      <c r="A8319" s="56"/>
      <c r="B8319" s="57"/>
      <c r="C8319" s="57"/>
      <c r="D8319" s="57"/>
      <c r="E8319" s="56"/>
      <c r="F8319" s="57"/>
      <c r="G8319" s="57"/>
      <c r="H8319" s="56"/>
      <c r="I8319" s="56"/>
      <c r="J8319" s="58"/>
      <c r="K8319" s="58"/>
      <c r="L8319" s="13" t="str">
        <f t="shared" si="1338"/>
        <v/>
      </c>
      <c r="M8319" s="13" t="str">
        <f t="shared" si="1339"/>
        <v/>
      </c>
      <c r="Q8319" t="str">
        <f t="shared" si="1340"/>
        <v/>
      </c>
      <c r="R8319" t="str">
        <f t="shared" si="1341"/>
        <v/>
      </c>
      <c r="S8319" t="str">
        <f t="shared" si="1342"/>
        <v/>
      </c>
      <c r="T8319" t="str">
        <f t="shared" si="1343"/>
        <v/>
      </c>
      <c r="U8319" t="str">
        <f t="shared" si="1344"/>
        <v/>
      </c>
      <c r="V8319" t="str">
        <f t="shared" si="1345"/>
        <v/>
      </c>
      <c r="W8319" t="str">
        <f t="shared" si="1346"/>
        <v/>
      </c>
      <c r="X8319">
        <f t="shared" si="1348"/>
        <v>0</v>
      </c>
      <c r="Z8319" t="str">
        <f t="shared" si="1347"/>
        <v/>
      </c>
      <c r="AA8319">
        <f t="shared" si="1349"/>
        <v>0</v>
      </c>
    </row>
    <row r="8320" spans="1:27" ht="21" customHeight="1" x14ac:dyDescent="0.95">
      <c r="A8320" s="56"/>
      <c r="B8320" s="57"/>
      <c r="C8320" s="57"/>
      <c r="D8320" s="57"/>
      <c r="E8320" s="56"/>
      <c r="F8320" s="57"/>
      <c r="G8320" s="57"/>
      <c r="H8320" s="56"/>
      <c r="I8320" s="56"/>
      <c r="J8320" s="58"/>
      <c r="K8320" s="58"/>
      <c r="L8320" s="13" t="str">
        <f t="shared" si="1338"/>
        <v/>
      </c>
      <c r="M8320" s="13" t="str">
        <f t="shared" si="1339"/>
        <v/>
      </c>
      <c r="Q8320" t="str">
        <f t="shared" si="1340"/>
        <v/>
      </c>
      <c r="R8320" t="str">
        <f t="shared" si="1341"/>
        <v/>
      </c>
      <c r="S8320" t="str">
        <f t="shared" si="1342"/>
        <v/>
      </c>
      <c r="T8320" t="str">
        <f t="shared" si="1343"/>
        <v/>
      </c>
      <c r="U8320" t="str">
        <f t="shared" si="1344"/>
        <v/>
      </c>
      <c r="V8320" t="str">
        <f t="shared" si="1345"/>
        <v/>
      </c>
      <c r="W8320" t="str">
        <f t="shared" si="1346"/>
        <v/>
      </c>
      <c r="X8320">
        <f t="shared" si="1348"/>
        <v>0</v>
      </c>
      <c r="Z8320" t="str">
        <f t="shared" si="1347"/>
        <v/>
      </c>
      <c r="AA8320">
        <f t="shared" si="1349"/>
        <v>0</v>
      </c>
    </row>
    <row r="8321" spans="1:27" ht="21" customHeight="1" x14ac:dyDescent="0.95">
      <c r="A8321" s="56"/>
      <c r="B8321" s="57"/>
      <c r="C8321" s="57"/>
      <c r="D8321" s="57"/>
      <c r="E8321" s="56"/>
      <c r="F8321" s="57"/>
      <c r="G8321" s="57"/>
      <c r="H8321" s="56"/>
      <c r="I8321" s="56"/>
      <c r="J8321" s="58"/>
      <c r="K8321" s="58"/>
      <c r="L8321" s="13" t="str">
        <f t="shared" si="1338"/>
        <v/>
      </c>
      <c r="M8321" s="13" t="str">
        <f t="shared" si="1339"/>
        <v/>
      </c>
      <c r="Q8321" t="str">
        <f t="shared" si="1340"/>
        <v/>
      </c>
      <c r="R8321" t="str">
        <f t="shared" si="1341"/>
        <v/>
      </c>
      <c r="S8321" t="str">
        <f t="shared" si="1342"/>
        <v/>
      </c>
      <c r="T8321" t="str">
        <f t="shared" si="1343"/>
        <v/>
      </c>
      <c r="U8321" t="str">
        <f t="shared" si="1344"/>
        <v/>
      </c>
      <c r="V8321" t="str">
        <f t="shared" si="1345"/>
        <v/>
      </c>
      <c r="W8321" t="str">
        <f t="shared" si="1346"/>
        <v/>
      </c>
      <c r="X8321">
        <f t="shared" si="1348"/>
        <v>0</v>
      </c>
      <c r="Z8321" t="str">
        <f t="shared" si="1347"/>
        <v/>
      </c>
      <c r="AA8321">
        <f t="shared" si="1349"/>
        <v>0</v>
      </c>
    </row>
    <row r="8322" spans="1:27" ht="21" customHeight="1" x14ac:dyDescent="0.95">
      <c r="A8322" s="56"/>
      <c r="B8322" s="57"/>
      <c r="C8322" s="57"/>
      <c r="D8322" s="57"/>
      <c r="E8322" s="56"/>
      <c r="F8322" s="57"/>
      <c r="G8322" s="57"/>
      <c r="H8322" s="56"/>
      <c r="I8322" s="56"/>
      <c r="J8322" s="58"/>
      <c r="K8322" s="58"/>
      <c r="L8322" s="13" t="str">
        <f t="shared" si="1338"/>
        <v/>
      </c>
      <c r="M8322" s="13" t="str">
        <f t="shared" si="1339"/>
        <v/>
      </c>
      <c r="Q8322" t="str">
        <f t="shared" si="1340"/>
        <v/>
      </c>
      <c r="R8322" t="str">
        <f t="shared" si="1341"/>
        <v/>
      </c>
      <c r="S8322" t="str">
        <f t="shared" si="1342"/>
        <v/>
      </c>
      <c r="T8322" t="str">
        <f t="shared" si="1343"/>
        <v/>
      </c>
      <c r="U8322" t="str">
        <f t="shared" si="1344"/>
        <v/>
      </c>
      <c r="V8322" t="str">
        <f t="shared" si="1345"/>
        <v/>
      </c>
      <c r="W8322" t="str">
        <f t="shared" si="1346"/>
        <v/>
      </c>
      <c r="X8322">
        <f t="shared" si="1348"/>
        <v>0</v>
      </c>
      <c r="Z8322" t="str">
        <f t="shared" si="1347"/>
        <v/>
      </c>
      <c r="AA8322">
        <f t="shared" si="1349"/>
        <v>0</v>
      </c>
    </row>
    <row r="8323" spans="1:27" ht="21" customHeight="1" x14ac:dyDescent="0.95">
      <c r="A8323" s="56"/>
      <c r="B8323" s="57"/>
      <c r="C8323" s="57"/>
      <c r="D8323" s="57"/>
      <c r="E8323" s="56"/>
      <c r="F8323" s="57"/>
      <c r="G8323" s="57"/>
      <c r="H8323" s="56"/>
      <c r="I8323" s="56"/>
      <c r="J8323" s="58"/>
      <c r="K8323" s="58"/>
      <c r="L8323" s="13" t="str">
        <f t="shared" si="1338"/>
        <v/>
      </c>
      <c r="M8323" s="13" t="str">
        <f t="shared" si="1339"/>
        <v/>
      </c>
      <c r="Q8323" t="str">
        <f t="shared" si="1340"/>
        <v/>
      </c>
      <c r="R8323" t="str">
        <f t="shared" si="1341"/>
        <v/>
      </c>
      <c r="S8323" t="str">
        <f t="shared" si="1342"/>
        <v/>
      </c>
      <c r="T8323" t="str">
        <f t="shared" si="1343"/>
        <v/>
      </c>
      <c r="U8323" t="str">
        <f t="shared" si="1344"/>
        <v/>
      </c>
      <c r="V8323" t="str">
        <f t="shared" si="1345"/>
        <v/>
      </c>
      <c r="W8323" t="str">
        <f t="shared" si="1346"/>
        <v/>
      </c>
      <c r="X8323">
        <f t="shared" si="1348"/>
        <v>0</v>
      </c>
      <c r="Z8323" t="str">
        <f t="shared" si="1347"/>
        <v/>
      </c>
      <c r="AA8323">
        <f t="shared" si="1349"/>
        <v>0</v>
      </c>
    </row>
    <row r="8324" spans="1:27" ht="21" customHeight="1" x14ac:dyDescent="0.95">
      <c r="A8324" s="56"/>
      <c r="B8324" s="57"/>
      <c r="C8324" s="57"/>
      <c r="D8324" s="57"/>
      <c r="E8324" s="56"/>
      <c r="F8324" s="57"/>
      <c r="G8324" s="57"/>
      <c r="H8324" s="56"/>
      <c r="I8324" s="56"/>
      <c r="J8324" s="58"/>
      <c r="K8324" s="58"/>
      <c r="L8324" s="13" t="str">
        <f t="shared" ref="L8324:L8387" si="1350">IF(OR($A8324="",AND($J8324="",$K8324="")),"",ROUND(N($J8324)-N($K8324),2))</f>
        <v/>
      </c>
      <c r="M8324" s="13" t="str">
        <f t="shared" ref="M8324:M8387" si="1351">IF(OR($A8324="",AND($J8324="",$K8324="")),"",MIN($J8324,$K8324))</f>
        <v/>
      </c>
      <c r="Q8324" t="str">
        <f t="shared" ref="Q8324:Q8387" si="1352">IF($A8324="","",$D8324&amp;"("&amp;SUBSTITUTE($E8324," ","")&amp;")")</f>
        <v/>
      </c>
      <c r="R8324" t="str">
        <f t="shared" ref="R8324:R8387" si="1353">IF($A8324="","",$B8324&amp;" - "&amp;$C8324)</f>
        <v/>
      </c>
      <c r="S8324" t="str">
        <f t="shared" ref="S8324:S8387" si="1354">IF($A8324="","",$R8324&amp;"|"&amp;$Q8324)</f>
        <v/>
      </c>
      <c r="T8324" t="str">
        <f t="shared" ref="T8324:T8387" si="1355">IF($A8324="","",$S8324&amp;"|"&amp;$F8324)</f>
        <v/>
      </c>
      <c r="U8324" t="str">
        <f t="shared" ref="U8324:U8387" si="1356">IF($A8324="","",$R8324&amp;"("&amp;$E8324&amp;")")</f>
        <v/>
      </c>
      <c r="V8324" t="str">
        <f t="shared" ref="V8324:V8387" si="1357">IF($A8324="","",$F8324&amp;"|"&amp;$U8324&amp;"|"&amp;$D8324)</f>
        <v/>
      </c>
      <c r="W8324" t="str">
        <f t="shared" si="1346"/>
        <v/>
      </c>
      <c r="X8324">
        <f t="shared" si="1348"/>
        <v>0</v>
      </c>
      <c r="Z8324" t="str">
        <f t="shared" si="1347"/>
        <v/>
      </c>
      <c r="AA8324">
        <f t="shared" si="1349"/>
        <v>0</v>
      </c>
    </row>
    <row r="8325" spans="1:27" ht="21" customHeight="1" x14ac:dyDescent="0.95">
      <c r="A8325" s="56"/>
      <c r="B8325" s="57"/>
      <c r="C8325" s="57"/>
      <c r="D8325" s="57"/>
      <c r="E8325" s="56"/>
      <c r="F8325" s="57"/>
      <c r="G8325" s="57"/>
      <c r="H8325" s="56"/>
      <c r="I8325" s="56"/>
      <c r="J8325" s="58"/>
      <c r="K8325" s="58"/>
      <c r="L8325" s="13" t="str">
        <f t="shared" si="1350"/>
        <v/>
      </c>
      <c r="M8325" s="13" t="str">
        <f t="shared" si="1351"/>
        <v/>
      </c>
      <c r="Q8325" t="str">
        <f t="shared" si="1352"/>
        <v/>
      </c>
      <c r="R8325" t="str">
        <f t="shared" si="1353"/>
        <v/>
      </c>
      <c r="S8325" t="str">
        <f t="shared" si="1354"/>
        <v/>
      </c>
      <c r="T8325" t="str">
        <f t="shared" si="1355"/>
        <v/>
      </c>
      <c r="U8325" t="str">
        <f t="shared" si="1356"/>
        <v/>
      </c>
      <c r="V8325" t="str">
        <f t="shared" si="1357"/>
        <v/>
      </c>
      <c r="W8325" t="str">
        <f t="shared" si="1346"/>
        <v/>
      </c>
      <c r="X8325">
        <f t="shared" si="1348"/>
        <v>0</v>
      </c>
      <c r="Z8325" t="str">
        <f t="shared" si="1347"/>
        <v/>
      </c>
      <c r="AA8325">
        <f t="shared" si="1349"/>
        <v>0</v>
      </c>
    </row>
    <row r="8326" spans="1:27" ht="21" customHeight="1" x14ac:dyDescent="0.95">
      <c r="A8326" s="56"/>
      <c r="B8326" s="57"/>
      <c r="C8326" s="57"/>
      <c r="D8326" s="57"/>
      <c r="E8326" s="56"/>
      <c r="F8326" s="57"/>
      <c r="G8326" s="57"/>
      <c r="H8326" s="56"/>
      <c r="I8326" s="56"/>
      <c r="J8326" s="58"/>
      <c r="K8326" s="58"/>
      <c r="L8326" s="13" t="str">
        <f t="shared" si="1350"/>
        <v/>
      </c>
      <c r="M8326" s="13" t="str">
        <f t="shared" si="1351"/>
        <v/>
      </c>
      <c r="Q8326" t="str">
        <f t="shared" si="1352"/>
        <v/>
      </c>
      <c r="R8326" t="str">
        <f t="shared" si="1353"/>
        <v/>
      </c>
      <c r="S8326" t="str">
        <f t="shared" si="1354"/>
        <v/>
      </c>
      <c r="T8326" t="str">
        <f t="shared" si="1355"/>
        <v/>
      </c>
      <c r="U8326" t="str">
        <f t="shared" si="1356"/>
        <v/>
      </c>
      <c r="V8326" t="str">
        <f t="shared" si="1357"/>
        <v/>
      </c>
      <c r="W8326" t="str">
        <f t="shared" ref="W8326:W8389" si="1358">IF($T8326="","",IF($X8326&gt;N($X8325),$X8326,""))</f>
        <v/>
      </c>
      <c r="X8326">
        <f t="shared" si="1348"/>
        <v>0</v>
      </c>
      <c r="Z8326" t="str">
        <f t="shared" ref="Z8326:Z8389" si="1359">IF($V8326="","",IF($AA8326&gt;N($AA8325),$AA8326,""))</f>
        <v/>
      </c>
      <c r="AA8326">
        <f t="shared" si="1349"/>
        <v>0</v>
      </c>
    </row>
    <row r="8327" spans="1:27" ht="21" customHeight="1" x14ac:dyDescent="0.95">
      <c r="A8327" s="56"/>
      <c r="B8327" s="57"/>
      <c r="C8327" s="57"/>
      <c r="D8327" s="57"/>
      <c r="E8327" s="56"/>
      <c r="F8327" s="57"/>
      <c r="G8327" s="57"/>
      <c r="H8327" s="56"/>
      <c r="I8327" s="56"/>
      <c r="J8327" s="58"/>
      <c r="K8327" s="58"/>
      <c r="L8327" s="13" t="str">
        <f t="shared" si="1350"/>
        <v/>
      </c>
      <c r="M8327" s="13" t="str">
        <f t="shared" si="1351"/>
        <v/>
      </c>
      <c r="Q8327" t="str">
        <f t="shared" si="1352"/>
        <v/>
      </c>
      <c r="R8327" t="str">
        <f t="shared" si="1353"/>
        <v/>
      </c>
      <c r="S8327" t="str">
        <f t="shared" si="1354"/>
        <v/>
      </c>
      <c r="T8327" t="str">
        <f t="shared" si="1355"/>
        <v/>
      </c>
      <c r="U8327" t="str">
        <f t="shared" si="1356"/>
        <v/>
      </c>
      <c r="V8327" t="str">
        <f t="shared" si="1357"/>
        <v/>
      </c>
      <c r="W8327" t="str">
        <f t="shared" si="1358"/>
        <v/>
      </c>
      <c r="X8327">
        <f t="shared" si="1348"/>
        <v>0</v>
      </c>
      <c r="Z8327" t="str">
        <f t="shared" si="1359"/>
        <v/>
      </c>
      <c r="AA8327">
        <f t="shared" si="1349"/>
        <v>0</v>
      </c>
    </row>
    <row r="8328" spans="1:27" ht="21" customHeight="1" x14ac:dyDescent="0.95">
      <c r="A8328" s="56"/>
      <c r="B8328" s="57"/>
      <c r="C8328" s="57"/>
      <c r="D8328" s="57"/>
      <c r="E8328" s="56"/>
      <c r="F8328" s="57"/>
      <c r="G8328" s="57"/>
      <c r="H8328" s="56"/>
      <c r="I8328" s="56"/>
      <c r="J8328" s="58"/>
      <c r="K8328" s="58"/>
      <c r="L8328" s="13" t="str">
        <f t="shared" si="1350"/>
        <v/>
      </c>
      <c r="M8328" s="13" t="str">
        <f t="shared" si="1351"/>
        <v/>
      </c>
      <c r="Q8328" t="str">
        <f t="shared" si="1352"/>
        <v/>
      </c>
      <c r="R8328" t="str">
        <f t="shared" si="1353"/>
        <v/>
      </c>
      <c r="S8328" t="str">
        <f t="shared" si="1354"/>
        <v/>
      </c>
      <c r="T8328" t="str">
        <f t="shared" si="1355"/>
        <v/>
      </c>
      <c r="U8328" t="str">
        <f t="shared" si="1356"/>
        <v/>
      </c>
      <c r="V8328" t="str">
        <f t="shared" si="1357"/>
        <v/>
      </c>
      <c r="W8328" t="str">
        <f t="shared" si="1358"/>
        <v/>
      </c>
      <c r="X8328">
        <f t="shared" si="1348"/>
        <v>0</v>
      </c>
      <c r="Z8328" t="str">
        <f t="shared" si="1359"/>
        <v/>
      </c>
      <c r="AA8328">
        <f t="shared" si="1349"/>
        <v>0</v>
      </c>
    </row>
    <row r="8329" spans="1:27" ht="21" customHeight="1" x14ac:dyDescent="0.95">
      <c r="A8329" s="56"/>
      <c r="B8329" s="57"/>
      <c r="C8329" s="57"/>
      <c r="D8329" s="57"/>
      <c r="E8329" s="56"/>
      <c r="F8329" s="57"/>
      <c r="G8329" s="57"/>
      <c r="H8329" s="56"/>
      <c r="I8329" s="56"/>
      <c r="J8329" s="58"/>
      <c r="K8329" s="58"/>
      <c r="L8329" s="13" t="str">
        <f t="shared" si="1350"/>
        <v/>
      </c>
      <c r="M8329" s="13" t="str">
        <f t="shared" si="1351"/>
        <v/>
      </c>
      <c r="Q8329" t="str">
        <f t="shared" si="1352"/>
        <v/>
      </c>
      <c r="R8329" t="str">
        <f t="shared" si="1353"/>
        <v/>
      </c>
      <c r="S8329" t="str">
        <f t="shared" si="1354"/>
        <v/>
      </c>
      <c r="T8329" t="str">
        <f t="shared" si="1355"/>
        <v/>
      </c>
      <c r="U8329" t="str">
        <f t="shared" si="1356"/>
        <v/>
      </c>
      <c r="V8329" t="str">
        <f t="shared" si="1357"/>
        <v/>
      </c>
      <c r="W8329" t="str">
        <f t="shared" si="1358"/>
        <v/>
      </c>
      <c r="X8329">
        <f t="shared" si="1348"/>
        <v>0</v>
      </c>
      <c r="Z8329" t="str">
        <f t="shared" si="1359"/>
        <v/>
      </c>
      <c r="AA8329">
        <f t="shared" si="1349"/>
        <v>0</v>
      </c>
    </row>
    <row r="8330" spans="1:27" ht="21" customHeight="1" x14ac:dyDescent="0.95">
      <c r="A8330" s="56"/>
      <c r="B8330" s="57"/>
      <c r="C8330" s="57"/>
      <c r="D8330" s="57"/>
      <c r="E8330" s="56"/>
      <c r="F8330" s="57"/>
      <c r="G8330" s="57"/>
      <c r="H8330" s="56"/>
      <c r="I8330" s="56"/>
      <c r="J8330" s="58"/>
      <c r="K8330" s="58"/>
      <c r="L8330" s="13" t="str">
        <f t="shared" si="1350"/>
        <v/>
      </c>
      <c r="M8330" s="13" t="str">
        <f t="shared" si="1351"/>
        <v/>
      </c>
      <c r="Q8330" t="str">
        <f t="shared" si="1352"/>
        <v/>
      </c>
      <c r="R8330" t="str">
        <f t="shared" si="1353"/>
        <v/>
      </c>
      <c r="S8330" t="str">
        <f t="shared" si="1354"/>
        <v/>
      </c>
      <c r="T8330" t="str">
        <f t="shared" si="1355"/>
        <v/>
      </c>
      <c r="U8330" t="str">
        <f t="shared" si="1356"/>
        <v/>
      </c>
      <c r="V8330" t="str">
        <f t="shared" si="1357"/>
        <v/>
      </c>
      <c r="W8330" t="str">
        <f t="shared" si="1358"/>
        <v/>
      </c>
      <c r="X8330">
        <f t="shared" si="1348"/>
        <v>0</v>
      </c>
      <c r="Z8330" t="str">
        <f t="shared" si="1359"/>
        <v/>
      </c>
      <c r="AA8330">
        <f t="shared" si="1349"/>
        <v>0</v>
      </c>
    </row>
    <row r="8331" spans="1:27" ht="21" customHeight="1" x14ac:dyDescent="0.95">
      <c r="A8331" s="56"/>
      <c r="B8331" s="57"/>
      <c r="C8331" s="57"/>
      <c r="D8331" s="57"/>
      <c r="E8331" s="56"/>
      <c r="F8331" s="57"/>
      <c r="G8331" s="57"/>
      <c r="H8331" s="56"/>
      <c r="I8331" s="56"/>
      <c r="J8331" s="58"/>
      <c r="K8331" s="58"/>
      <c r="L8331" s="13" t="str">
        <f t="shared" si="1350"/>
        <v/>
      </c>
      <c r="M8331" s="13" t="str">
        <f t="shared" si="1351"/>
        <v/>
      </c>
      <c r="Q8331" t="str">
        <f t="shared" si="1352"/>
        <v/>
      </c>
      <c r="R8331" t="str">
        <f t="shared" si="1353"/>
        <v/>
      </c>
      <c r="S8331" t="str">
        <f t="shared" si="1354"/>
        <v/>
      </c>
      <c r="T8331" t="str">
        <f t="shared" si="1355"/>
        <v/>
      </c>
      <c r="U8331" t="str">
        <f t="shared" si="1356"/>
        <v/>
      </c>
      <c r="V8331" t="str">
        <f t="shared" si="1357"/>
        <v/>
      </c>
      <c r="W8331" t="str">
        <f t="shared" si="1358"/>
        <v/>
      </c>
      <c r="X8331">
        <f t="shared" si="1348"/>
        <v>0</v>
      </c>
      <c r="Z8331" t="str">
        <f t="shared" si="1359"/>
        <v/>
      </c>
      <c r="AA8331">
        <f t="shared" si="1349"/>
        <v>0</v>
      </c>
    </row>
    <row r="8332" spans="1:27" ht="21" customHeight="1" x14ac:dyDescent="0.95">
      <c r="A8332" s="56"/>
      <c r="B8332" s="57"/>
      <c r="C8332" s="57"/>
      <c r="D8332" s="57"/>
      <c r="E8332" s="56"/>
      <c r="F8332" s="57"/>
      <c r="G8332" s="57"/>
      <c r="H8332" s="56"/>
      <c r="I8332" s="56"/>
      <c r="J8332" s="58"/>
      <c r="K8332" s="58"/>
      <c r="L8332" s="13" t="str">
        <f t="shared" si="1350"/>
        <v/>
      </c>
      <c r="M8332" s="13" t="str">
        <f t="shared" si="1351"/>
        <v/>
      </c>
      <c r="Q8332" t="str">
        <f t="shared" si="1352"/>
        <v/>
      </c>
      <c r="R8332" t="str">
        <f t="shared" si="1353"/>
        <v/>
      </c>
      <c r="S8332" t="str">
        <f t="shared" si="1354"/>
        <v/>
      </c>
      <c r="T8332" t="str">
        <f t="shared" si="1355"/>
        <v/>
      </c>
      <c r="U8332" t="str">
        <f t="shared" si="1356"/>
        <v/>
      </c>
      <c r="V8332" t="str">
        <f t="shared" si="1357"/>
        <v/>
      </c>
      <c r="W8332" t="str">
        <f t="shared" si="1358"/>
        <v/>
      </c>
      <c r="X8332">
        <f t="shared" si="1348"/>
        <v>0</v>
      </c>
      <c r="Z8332" t="str">
        <f t="shared" si="1359"/>
        <v/>
      </c>
      <c r="AA8332">
        <f t="shared" si="1349"/>
        <v>0</v>
      </c>
    </row>
    <row r="8333" spans="1:27" ht="21" customHeight="1" x14ac:dyDescent="0.95">
      <c r="A8333" s="56"/>
      <c r="B8333" s="57"/>
      <c r="C8333" s="57"/>
      <c r="D8333" s="57"/>
      <c r="E8333" s="56"/>
      <c r="F8333" s="57"/>
      <c r="G8333" s="57"/>
      <c r="H8333" s="56"/>
      <c r="I8333" s="56"/>
      <c r="J8333" s="58"/>
      <c r="K8333" s="58"/>
      <c r="L8333" s="13" t="str">
        <f t="shared" si="1350"/>
        <v/>
      </c>
      <c r="M8333" s="13" t="str">
        <f t="shared" si="1351"/>
        <v/>
      </c>
      <c r="Q8333" t="str">
        <f t="shared" si="1352"/>
        <v/>
      </c>
      <c r="R8333" t="str">
        <f t="shared" si="1353"/>
        <v/>
      </c>
      <c r="S8333" t="str">
        <f t="shared" si="1354"/>
        <v/>
      </c>
      <c r="T8333" t="str">
        <f t="shared" si="1355"/>
        <v/>
      </c>
      <c r="U8333" t="str">
        <f t="shared" si="1356"/>
        <v/>
      </c>
      <c r="V8333" t="str">
        <f t="shared" si="1357"/>
        <v/>
      </c>
      <c r="W8333" t="str">
        <f t="shared" si="1358"/>
        <v/>
      </c>
      <c r="X8333">
        <f t="shared" si="1348"/>
        <v>0</v>
      </c>
      <c r="Z8333" t="str">
        <f t="shared" si="1359"/>
        <v/>
      </c>
      <c r="AA8333">
        <f t="shared" si="1349"/>
        <v>0</v>
      </c>
    </row>
    <row r="8334" spans="1:27" ht="21" customHeight="1" x14ac:dyDescent="0.95">
      <c r="A8334" s="56"/>
      <c r="B8334" s="57"/>
      <c r="C8334" s="57"/>
      <c r="D8334" s="57"/>
      <c r="E8334" s="56"/>
      <c r="F8334" s="57"/>
      <c r="G8334" s="57"/>
      <c r="H8334" s="56"/>
      <c r="I8334" s="56"/>
      <c r="J8334" s="58"/>
      <c r="K8334" s="58"/>
      <c r="L8334" s="13" t="str">
        <f t="shared" si="1350"/>
        <v/>
      </c>
      <c r="M8334" s="13" t="str">
        <f t="shared" si="1351"/>
        <v/>
      </c>
      <c r="Q8334" t="str">
        <f t="shared" si="1352"/>
        <v/>
      </c>
      <c r="R8334" t="str">
        <f t="shared" si="1353"/>
        <v/>
      </c>
      <c r="S8334" t="str">
        <f t="shared" si="1354"/>
        <v/>
      </c>
      <c r="T8334" t="str">
        <f t="shared" si="1355"/>
        <v/>
      </c>
      <c r="U8334" t="str">
        <f t="shared" si="1356"/>
        <v/>
      </c>
      <c r="V8334" t="str">
        <f t="shared" si="1357"/>
        <v/>
      </c>
      <c r="W8334" t="str">
        <f t="shared" si="1358"/>
        <v/>
      </c>
      <c r="X8334">
        <f t="shared" si="1348"/>
        <v>0</v>
      </c>
      <c r="Z8334" t="str">
        <f t="shared" si="1359"/>
        <v/>
      </c>
      <c r="AA8334">
        <f t="shared" si="1349"/>
        <v>0</v>
      </c>
    </row>
    <row r="8335" spans="1:27" ht="21" customHeight="1" x14ac:dyDescent="0.95">
      <c r="A8335" s="56"/>
      <c r="B8335" s="57"/>
      <c r="C8335" s="57"/>
      <c r="D8335" s="57"/>
      <c r="E8335" s="56"/>
      <c r="F8335" s="57"/>
      <c r="G8335" s="57"/>
      <c r="H8335" s="56"/>
      <c r="I8335" s="56"/>
      <c r="J8335" s="58"/>
      <c r="K8335" s="58"/>
      <c r="L8335" s="13" t="str">
        <f t="shared" si="1350"/>
        <v/>
      </c>
      <c r="M8335" s="13" t="str">
        <f t="shared" si="1351"/>
        <v/>
      </c>
      <c r="Q8335" t="str">
        <f t="shared" si="1352"/>
        <v/>
      </c>
      <c r="R8335" t="str">
        <f t="shared" si="1353"/>
        <v/>
      </c>
      <c r="S8335" t="str">
        <f t="shared" si="1354"/>
        <v/>
      </c>
      <c r="T8335" t="str">
        <f t="shared" si="1355"/>
        <v/>
      </c>
      <c r="U8335" t="str">
        <f t="shared" si="1356"/>
        <v/>
      </c>
      <c r="V8335" t="str">
        <f t="shared" si="1357"/>
        <v/>
      </c>
      <c r="W8335" t="str">
        <f t="shared" si="1358"/>
        <v/>
      </c>
      <c r="X8335">
        <f t="shared" si="1348"/>
        <v>0</v>
      </c>
      <c r="Z8335" t="str">
        <f t="shared" si="1359"/>
        <v/>
      </c>
      <c r="AA8335">
        <f t="shared" si="1349"/>
        <v>0</v>
      </c>
    </row>
    <row r="8336" spans="1:27" ht="21" customHeight="1" x14ac:dyDescent="0.95">
      <c r="A8336" s="56"/>
      <c r="B8336" s="57"/>
      <c r="C8336" s="57"/>
      <c r="D8336" s="57"/>
      <c r="E8336" s="56"/>
      <c r="F8336" s="57"/>
      <c r="G8336" s="57"/>
      <c r="H8336" s="56"/>
      <c r="I8336" s="56"/>
      <c r="J8336" s="58"/>
      <c r="K8336" s="58"/>
      <c r="L8336" s="13" t="str">
        <f t="shared" si="1350"/>
        <v/>
      </c>
      <c r="M8336" s="13" t="str">
        <f t="shared" si="1351"/>
        <v/>
      </c>
      <c r="Q8336" t="str">
        <f t="shared" si="1352"/>
        <v/>
      </c>
      <c r="R8336" t="str">
        <f t="shared" si="1353"/>
        <v/>
      </c>
      <c r="S8336" t="str">
        <f t="shared" si="1354"/>
        <v/>
      </c>
      <c r="T8336" t="str">
        <f t="shared" si="1355"/>
        <v/>
      </c>
      <c r="U8336" t="str">
        <f t="shared" si="1356"/>
        <v/>
      </c>
      <c r="V8336" t="str">
        <f t="shared" si="1357"/>
        <v/>
      </c>
      <c r="W8336" t="str">
        <f t="shared" si="1358"/>
        <v/>
      </c>
      <c r="X8336">
        <f t="shared" si="1348"/>
        <v>0</v>
      </c>
      <c r="Z8336" t="str">
        <f t="shared" si="1359"/>
        <v/>
      </c>
      <c r="AA8336">
        <f t="shared" si="1349"/>
        <v>0</v>
      </c>
    </row>
    <row r="8337" spans="1:27" ht="21" customHeight="1" x14ac:dyDescent="0.95">
      <c r="A8337" s="56"/>
      <c r="B8337" s="57"/>
      <c r="C8337" s="57"/>
      <c r="D8337" s="57"/>
      <c r="E8337" s="56"/>
      <c r="F8337" s="57"/>
      <c r="G8337" s="57"/>
      <c r="H8337" s="56"/>
      <c r="I8337" s="56"/>
      <c r="J8337" s="58"/>
      <c r="K8337" s="58"/>
      <c r="L8337" s="13" t="str">
        <f t="shared" si="1350"/>
        <v/>
      </c>
      <c r="M8337" s="13" t="str">
        <f t="shared" si="1351"/>
        <v/>
      </c>
      <c r="Q8337" t="str">
        <f t="shared" si="1352"/>
        <v/>
      </c>
      <c r="R8337" t="str">
        <f t="shared" si="1353"/>
        <v/>
      </c>
      <c r="S8337" t="str">
        <f t="shared" si="1354"/>
        <v/>
      </c>
      <c r="T8337" t="str">
        <f t="shared" si="1355"/>
        <v/>
      </c>
      <c r="U8337" t="str">
        <f t="shared" si="1356"/>
        <v/>
      </c>
      <c r="V8337" t="str">
        <f t="shared" si="1357"/>
        <v/>
      </c>
      <c r="W8337" t="str">
        <f t="shared" si="1358"/>
        <v/>
      </c>
      <c r="X8337">
        <f t="shared" si="1348"/>
        <v>0</v>
      </c>
      <c r="Z8337" t="str">
        <f t="shared" si="1359"/>
        <v/>
      </c>
      <c r="AA8337">
        <f t="shared" si="1349"/>
        <v>0</v>
      </c>
    </row>
    <row r="8338" spans="1:27" ht="21" customHeight="1" x14ac:dyDescent="0.95">
      <c r="A8338" s="56"/>
      <c r="B8338" s="57"/>
      <c r="C8338" s="57"/>
      <c r="D8338" s="57"/>
      <c r="E8338" s="56"/>
      <c r="F8338" s="57"/>
      <c r="G8338" s="57"/>
      <c r="H8338" s="56"/>
      <c r="I8338" s="56"/>
      <c r="J8338" s="58"/>
      <c r="K8338" s="58"/>
      <c r="L8338" s="13" t="str">
        <f t="shared" si="1350"/>
        <v/>
      </c>
      <c r="M8338" s="13" t="str">
        <f t="shared" si="1351"/>
        <v/>
      </c>
      <c r="Q8338" t="str">
        <f t="shared" si="1352"/>
        <v/>
      </c>
      <c r="R8338" t="str">
        <f t="shared" si="1353"/>
        <v/>
      </c>
      <c r="S8338" t="str">
        <f t="shared" si="1354"/>
        <v/>
      </c>
      <c r="T8338" t="str">
        <f t="shared" si="1355"/>
        <v/>
      </c>
      <c r="U8338" t="str">
        <f t="shared" si="1356"/>
        <v/>
      </c>
      <c r="V8338" t="str">
        <f t="shared" si="1357"/>
        <v/>
      </c>
      <c r="W8338" t="str">
        <f t="shared" si="1358"/>
        <v/>
      </c>
      <c r="X8338">
        <f t="shared" si="1348"/>
        <v>0</v>
      </c>
      <c r="Z8338" t="str">
        <f t="shared" si="1359"/>
        <v/>
      </c>
      <c r="AA8338">
        <f t="shared" si="1349"/>
        <v>0</v>
      </c>
    </row>
    <row r="8339" spans="1:27" ht="21" customHeight="1" x14ac:dyDescent="0.95">
      <c r="A8339" s="56"/>
      <c r="B8339" s="57"/>
      <c r="C8339" s="57"/>
      <c r="D8339" s="57"/>
      <c r="E8339" s="56"/>
      <c r="F8339" s="57"/>
      <c r="G8339" s="57"/>
      <c r="H8339" s="56"/>
      <c r="I8339" s="56"/>
      <c r="J8339" s="58"/>
      <c r="K8339" s="58"/>
      <c r="L8339" s="13" t="str">
        <f t="shared" si="1350"/>
        <v/>
      </c>
      <c r="M8339" s="13" t="str">
        <f t="shared" si="1351"/>
        <v/>
      </c>
      <c r="Q8339" t="str">
        <f t="shared" si="1352"/>
        <v/>
      </c>
      <c r="R8339" t="str">
        <f t="shared" si="1353"/>
        <v/>
      </c>
      <c r="S8339" t="str">
        <f t="shared" si="1354"/>
        <v/>
      </c>
      <c r="T8339" t="str">
        <f t="shared" si="1355"/>
        <v/>
      </c>
      <c r="U8339" t="str">
        <f t="shared" si="1356"/>
        <v/>
      </c>
      <c r="V8339" t="str">
        <f t="shared" si="1357"/>
        <v/>
      </c>
      <c r="W8339" t="str">
        <f t="shared" si="1358"/>
        <v/>
      </c>
      <c r="X8339">
        <f t="shared" si="1348"/>
        <v>0</v>
      </c>
      <c r="Z8339" t="str">
        <f t="shared" si="1359"/>
        <v/>
      </c>
      <c r="AA8339">
        <f t="shared" si="1349"/>
        <v>0</v>
      </c>
    </row>
    <row r="8340" spans="1:27" ht="21" customHeight="1" x14ac:dyDescent="0.95">
      <c r="A8340" s="56"/>
      <c r="B8340" s="57"/>
      <c r="C8340" s="57"/>
      <c r="D8340" s="57"/>
      <c r="E8340" s="56"/>
      <c r="F8340" s="57"/>
      <c r="G8340" s="57"/>
      <c r="H8340" s="56"/>
      <c r="I8340" s="56"/>
      <c r="J8340" s="58"/>
      <c r="K8340" s="58"/>
      <c r="L8340" s="13" t="str">
        <f t="shared" si="1350"/>
        <v/>
      </c>
      <c r="M8340" s="13" t="str">
        <f t="shared" si="1351"/>
        <v/>
      </c>
      <c r="Q8340" t="str">
        <f t="shared" si="1352"/>
        <v/>
      </c>
      <c r="R8340" t="str">
        <f t="shared" si="1353"/>
        <v/>
      </c>
      <c r="S8340" t="str">
        <f t="shared" si="1354"/>
        <v/>
      </c>
      <c r="T8340" t="str">
        <f t="shared" si="1355"/>
        <v/>
      </c>
      <c r="U8340" t="str">
        <f t="shared" si="1356"/>
        <v/>
      </c>
      <c r="V8340" t="str">
        <f t="shared" si="1357"/>
        <v/>
      </c>
      <c r="W8340" t="str">
        <f t="shared" si="1358"/>
        <v/>
      </c>
      <c r="X8340">
        <f t="shared" si="1348"/>
        <v>0</v>
      </c>
      <c r="Z8340" t="str">
        <f t="shared" si="1359"/>
        <v/>
      </c>
      <c r="AA8340">
        <f t="shared" si="1349"/>
        <v>0</v>
      </c>
    </row>
    <row r="8341" spans="1:27" ht="21" customHeight="1" x14ac:dyDescent="0.95">
      <c r="A8341" s="56"/>
      <c r="B8341" s="57"/>
      <c r="C8341" s="57"/>
      <c r="D8341" s="57"/>
      <c r="E8341" s="56"/>
      <c r="F8341" s="57"/>
      <c r="G8341" s="57"/>
      <c r="H8341" s="56"/>
      <c r="I8341" s="56"/>
      <c r="J8341" s="58"/>
      <c r="K8341" s="58"/>
      <c r="L8341" s="13" t="str">
        <f t="shared" si="1350"/>
        <v/>
      </c>
      <c r="M8341" s="13" t="str">
        <f t="shared" si="1351"/>
        <v/>
      </c>
      <c r="Q8341" t="str">
        <f t="shared" si="1352"/>
        <v/>
      </c>
      <c r="R8341" t="str">
        <f t="shared" si="1353"/>
        <v/>
      </c>
      <c r="S8341" t="str">
        <f t="shared" si="1354"/>
        <v/>
      </c>
      <c r="T8341" t="str">
        <f t="shared" si="1355"/>
        <v/>
      </c>
      <c r="U8341" t="str">
        <f t="shared" si="1356"/>
        <v/>
      </c>
      <c r="V8341" t="str">
        <f t="shared" si="1357"/>
        <v/>
      </c>
      <c r="W8341" t="str">
        <f t="shared" si="1358"/>
        <v/>
      </c>
      <c r="X8341">
        <f t="shared" si="1348"/>
        <v>0</v>
      </c>
      <c r="Z8341" t="str">
        <f t="shared" si="1359"/>
        <v/>
      </c>
      <c r="AA8341">
        <f t="shared" si="1349"/>
        <v>0</v>
      </c>
    </row>
    <row r="8342" spans="1:27" ht="21" customHeight="1" x14ac:dyDescent="0.95">
      <c r="A8342" s="56"/>
      <c r="B8342" s="57"/>
      <c r="C8342" s="57"/>
      <c r="D8342" s="57"/>
      <c r="E8342" s="56"/>
      <c r="F8342" s="57"/>
      <c r="G8342" s="57"/>
      <c r="H8342" s="56"/>
      <c r="I8342" s="56"/>
      <c r="J8342" s="58"/>
      <c r="K8342" s="58"/>
      <c r="L8342" s="13" t="str">
        <f t="shared" si="1350"/>
        <v/>
      </c>
      <c r="M8342" s="13" t="str">
        <f t="shared" si="1351"/>
        <v/>
      </c>
      <c r="Q8342" t="str">
        <f t="shared" si="1352"/>
        <v/>
      </c>
      <c r="R8342" t="str">
        <f t="shared" si="1353"/>
        <v/>
      </c>
      <c r="S8342" t="str">
        <f t="shared" si="1354"/>
        <v/>
      </c>
      <c r="T8342" t="str">
        <f t="shared" si="1355"/>
        <v/>
      </c>
      <c r="U8342" t="str">
        <f t="shared" si="1356"/>
        <v/>
      </c>
      <c r="V8342" t="str">
        <f t="shared" si="1357"/>
        <v/>
      </c>
      <c r="W8342" t="str">
        <f t="shared" si="1358"/>
        <v/>
      </c>
      <c r="X8342">
        <f t="shared" si="1348"/>
        <v>0</v>
      </c>
      <c r="Z8342" t="str">
        <f t="shared" si="1359"/>
        <v/>
      </c>
      <c r="AA8342">
        <f t="shared" si="1349"/>
        <v>0</v>
      </c>
    </row>
    <row r="8343" spans="1:27" ht="21" customHeight="1" x14ac:dyDescent="0.95">
      <c r="A8343" s="56"/>
      <c r="B8343" s="57"/>
      <c r="C8343" s="57"/>
      <c r="D8343" s="57"/>
      <c r="E8343" s="56"/>
      <c r="F8343" s="57"/>
      <c r="G8343" s="57"/>
      <c r="H8343" s="56"/>
      <c r="I8343" s="56"/>
      <c r="J8343" s="58"/>
      <c r="K8343" s="58"/>
      <c r="L8343" s="13" t="str">
        <f t="shared" si="1350"/>
        <v/>
      </c>
      <c r="M8343" s="13" t="str">
        <f t="shared" si="1351"/>
        <v/>
      </c>
      <c r="Q8343" t="str">
        <f t="shared" si="1352"/>
        <v/>
      </c>
      <c r="R8343" t="str">
        <f t="shared" si="1353"/>
        <v/>
      </c>
      <c r="S8343" t="str">
        <f t="shared" si="1354"/>
        <v/>
      </c>
      <c r="T8343" t="str">
        <f t="shared" si="1355"/>
        <v/>
      </c>
      <c r="U8343" t="str">
        <f t="shared" si="1356"/>
        <v/>
      </c>
      <c r="V8343" t="str">
        <f t="shared" si="1357"/>
        <v/>
      </c>
      <c r="W8343" t="str">
        <f t="shared" si="1358"/>
        <v/>
      </c>
      <c r="X8343">
        <f t="shared" si="1348"/>
        <v>0</v>
      </c>
      <c r="Z8343" t="str">
        <f t="shared" si="1359"/>
        <v/>
      </c>
      <c r="AA8343">
        <f t="shared" si="1349"/>
        <v>0</v>
      </c>
    </row>
    <row r="8344" spans="1:27" ht="21" customHeight="1" x14ac:dyDescent="0.95">
      <c r="A8344" s="56"/>
      <c r="B8344" s="57"/>
      <c r="C8344" s="57"/>
      <c r="D8344" s="57"/>
      <c r="E8344" s="56"/>
      <c r="F8344" s="57"/>
      <c r="G8344" s="57"/>
      <c r="H8344" s="56"/>
      <c r="I8344" s="56"/>
      <c r="J8344" s="58"/>
      <c r="K8344" s="58"/>
      <c r="L8344" s="13" t="str">
        <f t="shared" si="1350"/>
        <v/>
      </c>
      <c r="M8344" s="13" t="str">
        <f t="shared" si="1351"/>
        <v/>
      </c>
      <c r="Q8344" t="str">
        <f t="shared" si="1352"/>
        <v/>
      </c>
      <c r="R8344" t="str">
        <f t="shared" si="1353"/>
        <v/>
      </c>
      <c r="S8344" t="str">
        <f t="shared" si="1354"/>
        <v/>
      </c>
      <c r="T8344" t="str">
        <f t="shared" si="1355"/>
        <v/>
      </c>
      <c r="U8344" t="str">
        <f t="shared" si="1356"/>
        <v/>
      </c>
      <c r="V8344" t="str">
        <f t="shared" si="1357"/>
        <v/>
      </c>
      <c r="W8344" t="str">
        <f t="shared" si="1358"/>
        <v/>
      </c>
      <c r="X8344">
        <f t="shared" si="1348"/>
        <v>0</v>
      </c>
      <c r="Z8344" t="str">
        <f t="shared" si="1359"/>
        <v/>
      </c>
      <c r="AA8344">
        <f t="shared" si="1349"/>
        <v>0</v>
      </c>
    </row>
    <row r="8345" spans="1:27" ht="21" customHeight="1" x14ac:dyDescent="0.95">
      <c r="A8345" s="56"/>
      <c r="B8345" s="57"/>
      <c r="C8345" s="57"/>
      <c r="D8345" s="57"/>
      <c r="E8345" s="56"/>
      <c r="F8345" s="57"/>
      <c r="G8345" s="57"/>
      <c r="H8345" s="56"/>
      <c r="I8345" s="56"/>
      <c r="J8345" s="58"/>
      <c r="K8345" s="58"/>
      <c r="L8345" s="13" t="str">
        <f t="shared" si="1350"/>
        <v/>
      </c>
      <c r="M8345" s="13" t="str">
        <f t="shared" si="1351"/>
        <v/>
      </c>
      <c r="Q8345" t="str">
        <f t="shared" si="1352"/>
        <v/>
      </c>
      <c r="R8345" t="str">
        <f t="shared" si="1353"/>
        <v/>
      </c>
      <c r="S8345" t="str">
        <f t="shared" si="1354"/>
        <v/>
      </c>
      <c r="T8345" t="str">
        <f t="shared" si="1355"/>
        <v/>
      </c>
      <c r="U8345" t="str">
        <f t="shared" si="1356"/>
        <v/>
      </c>
      <c r="V8345" t="str">
        <f t="shared" si="1357"/>
        <v/>
      </c>
      <c r="W8345" t="str">
        <f t="shared" si="1358"/>
        <v/>
      </c>
      <c r="X8345">
        <f t="shared" si="1348"/>
        <v>0</v>
      </c>
      <c r="Z8345" t="str">
        <f t="shared" si="1359"/>
        <v/>
      </c>
      <c r="AA8345">
        <f t="shared" si="1349"/>
        <v>0</v>
      </c>
    </row>
    <row r="8346" spans="1:27" ht="21" customHeight="1" x14ac:dyDescent="0.95">
      <c r="A8346" s="56"/>
      <c r="B8346" s="57"/>
      <c r="C8346" s="57"/>
      <c r="D8346" s="57"/>
      <c r="E8346" s="56"/>
      <c r="F8346" s="57"/>
      <c r="G8346" s="57"/>
      <c r="H8346" s="56"/>
      <c r="I8346" s="56"/>
      <c r="J8346" s="58"/>
      <c r="K8346" s="58"/>
      <c r="L8346" s="13" t="str">
        <f t="shared" si="1350"/>
        <v/>
      </c>
      <c r="M8346" s="13" t="str">
        <f t="shared" si="1351"/>
        <v/>
      </c>
      <c r="Q8346" t="str">
        <f t="shared" si="1352"/>
        <v/>
      </c>
      <c r="R8346" t="str">
        <f t="shared" si="1353"/>
        <v/>
      </c>
      <c r="S8346" t="str">
        <f t="shared" si="1354"/>
        <v/>
      </c>
      <c r="T8346" t="str">
        <f t="shared" si="1355"/>
        <v/>
      </c>
      <c r="U8346" t="str">
        <f t="shared" si="1356"/>
        <v/>
      </c>
      <c r="V8346" t="str">
        <f t="shared" si="1357"/>
        <v/>
      </c>
      <c r="W8346" t="str">
        <f t="shared" si="1358"/>
        <v/>
      </c>
      <c r="X8346">
        <f t="shared" si="1348"/>
        <v>0</v>
      </c>
      <c r="Z8346" t="str">
        <f t="shared" si="1359"/>
        <v/>
      </c>
      <c r="AA8346">
        <f t="shared" si="1349"/>
        <v>0</v>
      </c>
    </row>
    <row r="8347" spans="1:27" ht="21" customHeight="1" x14ac:dyDescent="0.95">
      <c r="A8347" s="56"/>
      <c r="B8347" s="57"/>
      <c r="C8347" s="57"/>
      <c r="D8347" s="57"/>
      <c r="E8347" s="56"/>
      <c r="F8347" s="57"/>
      <c r="G8347" s="57"/>
      <c r="H8347" s="56"/>
      <c r="I8347" s="56"/>
      <c r="J8347" s="58"/>
      <c r="K8347" s="58"/>
      <c r="L8347" s="13" t="str">
        <f t="shared" si="1350"/>
        <v/>
      </c>
      <c r="M8347" s="13" t="str">
        <f t="shared" si="1351"/>
        <v/>
      </c>
      <c r="Q8347" t="str">
        <f t="shared" si="1352"/>
        <v/>
      </c>
      <c r="R8347" t="str">
        <f t="shared" si="1353"/>
        <v/>
      </c>
      <c r="S8347" t="str">
        <f t="shared" si="1354"/>
        <v/>
      </c>
      <c r="T8347" t="str">
        <f t="shared" si="1355"/>
        <v/>
      </c>
      <c r="U8347" t="str">
        <f t="shared" si="1356"/>
        <v/>
      </c>
      <c r="V8347" t="str">
        <f t="shared" si="1357"/>
        <v/>
      </c>
      <c r="W8347" t="str">
        <f t="shared" si="1358"/>
        <v/>
      </c>
      <c r="X8347">
        <f t="shared" si="1348"/>
        <v>0</v>
      </c>
      <c r="Z8347" t="str">
        <f t="shared" si="1359"/>
        <v/>
      </c>
      <c r="AA8347">
        <f t="shared" si="1349"/>
        <v>0</v>
      </c>
    </row>
    <row r="8348" spans="1:27" ht="21" customHeight="1" x14ac:dyDescent="0.95">
      <c r="A8348" s="56"/>
      <c r="B8348" s="57"/>
      <c r="C8348" s="57"/>
      <c r="D8348" s="57"/>
      <c r="E8348" s="56"/>
      <c r="F8348" s="57"/>
      <c r="G8348" s="57"/>
      <c r="H8348" s="56"/>
      <c r="I8348" s="56"/>
      <c r="J8348" s="58"/>
      <c r="K8348" s="58"/>
      <c r="L8348" s="13" t="str">
        <f t="shared" si="1350"/>
        <v/>
      </c>
      <c r="M8348" s="13" t="str">
        <f t="shared" si="1351"/>
        <v/>
      </c>
      <c r="Q8348" t="str">
        <f t="shared" si="1352"/>
        <v/>
      </c>
      <c r="R8348" t="str">
        <f t="shared" si="1353"/>
        <v/>
      </c>
      <c r="S8348" t="str">
        <f t="shared" si="1354"/>
        <v/>
      </c>
      <c r="T8348" t="str">
        <f t="shared" si="1355"/>
        <v/>
      </c>
      <c r="U8348" t="str">
        <f t="shared" si="1356"/>
        <v/>
      </c>
      <c r="V8348" t="str">
        <f t="shared" si="1357"/>
        <v/>
      </c>
      <c r="W8348" t="str">
        <f t="shared" si="1358"/>
        <v/>
      </c>
      <c r="X8348">
        <f t="shared" si="1348"/>
        <v>0</v>
      </c>
      <c r="Z8348" t="str">
        <f t="shared" si="1359"/>
        <v/>
      </c>
      <c r="AA8348">
        <f t="shared" si="1349"/>
        <v>0</v>
      </c>
    </row>
    <row r="8349" spans="1:27" ht="21" customHeight="1" x14ac:dyDescent="0.95">
      <c r="A8349" s="56"/>
      <c r="B8349" s="57"/>
      <c r="C8349" s="57"/>
      <c r="D8349" s="57"/>
      <c r="E8349" s="56"/>
      <c r="F8349" s="57"/>
      <c r="G8349" s="57"/>
      <c r="H8349" s="56"/>
      <c r="I8349" s="56"/>
      <c r="J8349" s="58"/>
      <c r="K8349" s="58"/>
      <c r="L8349" s="13" t="str">
        <f t="shared" si="1350"/>
        <v/>
      </c>
      <c r="M8349" s="13" t="str">
        <f t="shared" si="1351"/>
        <v/>
      </c>
      <c r="Q8349" t="str">
        <f t="shared" si="1352"/>
        <v/>
      </c>
      <c r="R8349" t="str">
        <f t="shared" si="1353"/>
        <v/>
      </c>
      <c r="S8349" t="str">
        <f t="shared" si="1354"/>
        <v/>
      </c>
      <c r="T8349" t="str">
        <f t="shared" si="1355"/>
        <v/>
      </c>
      <c r="U8349" t="str">
        <f t="shared" si="1356"/>
        <v/>
      </c>
      <c r="V8349" t="str">
        <f t="shared" si="1357"/>
        <v/>
      </c>
      <c r="W8349" t="str">
        <f t="shared" si="1358"/>
        <v/>
      </c>
      <c r="X8349">
        <f t="shared" si="1348"/>
        <v>0</v>
      </c>
      <c r="Z8349" t="str">
        <f t="shared" si="1359"/>
        <v/>
      </c>
      <c r="AA8349">
        <f t="shared" si="1349"/>
        <v>0</v>
      </c>
    </row>
    <row r="8350" spans="1:27" ht="21" customHeight="1" x14ac:dyDescent="0.95">
      <c r="A8350" s="56"/>
      <c r="B8350" s="57"/>
      <c r="C8350" s="57"/>
      <c r="D8350" s="57"/>
      <c r="E8350" s="56"/>
      <c r="F8350" s="57"/>
      <c r="G8350" s="57"/>
      <c r="H8350" s="56"/>
      <c r="I8350" s="56"/>
      <c r="J8350" s="58"/>
      <c r="K8350" s="58"/>
      <c r="L8350" s="13" t="str">
        <f t="shared" si="1350"/>
        <v/>
      </c>
      <c r="M8350" s="13" t="str">
        <f t="shared" si="1351"/>
        <v/>
      </c>
      <c r="Q8350" t="str">
        <f t="shared" si="1352"/>
        <v/>
      </c>
      <c r="R8350" t="str">
        <f t="shared" si="1353"/>
        <v/>
      </c>
      <c r="S8350" t="str">
        <f t="shared" si="1354"/>
        <v/>
      </c>
      <c r="T8350" t="str">
        <f t="shared" si="1355"/>
        <v/>
      </c>
      <c r="U8350" t="str">
        <f t="shared" si="1356"/>
        <v/>
      </c>
      <c r="V8350" t="str">
        <f t="shared" si="1357"/>
        <v/>
      </c>
      <c r="W8350" t="str">
        <f t="shared" si="1358"/>
        <v/>
      </c>
      <c r="X8350">
        <f t="shared" si="1348"/>
        <v>0</v>
      </c>
      <c r="Z8350" t="str">
        <f t="shared" si="1359"/>
        <v/>
      </c>
      <c r="AA8350">
        <f t="shared" si="1349"/>
        <v>0</v>
      </c>
    </row>
    <row r="8351" spans="1:27" ht="21" customHeight="1" x14ac:dyDescent="0.95">
      <c r="A8351" s="56"/>
      <c r="B8351" s="57"/>
      <c r="C8351" s="57"/>
      <c r="D8351" s="57"/>
      <c r="E8351" s="56"/>
      <c r="F8351" s="57"/>
      <c r="G8351" s="57"/>
      <c r="H8351" s="56"/>
      <c r="I8351" s="56"/>
      <c r="J8351" s="58"/>
      <c r="K8351" s="58"/>
      <c r="L8351" s="13" t="str">
        <f t="shared" si="1350"/>
        <v/>
      </c>
      <c r="M8351" s="13" t="str">
        <f t="shared" si="1351"/>
        <v/>
      </c>
      <c r="Q8351" t="str">
        <f t="shared" si="1352"/>
        <v/>
      </c>
      <c r="R8351" t="str">
        <f t="shared" si="1353"/>
        <v/>
      </c>
      <c r="S8351" t="str">
        <f t="shared" si="1354"/>
        <v/>
      </c>
      <c r="T8351" t="str">
        <f t="shared" si="1355"/>
        <v/>
      </c>
      <c r="U8351" t="str">
        <f t="shared" si="1356"/>
        <v/>
      </c>
      <c r="V8351" t="str">
        <f t="shared" si="1357"/>
        <v/>
      </c>
      <c r="W8351" t="str">
        <f t="shared" si="1358"/>
        <v/>
      </c>
      <c r="X8351">
        <f t="shared" si="1348"/>
        <v>0</v>
      </c>
      <c r="Z8351" t="str">
        <f t="shared" si="1359"/>
        <v/>
      </c>
      <c r="AA8351">
        <f t="shared" si="1349"/>
        <v>0</v>
      </c>
    </row>
    <row r="8352" spans="1:27" ht="21" customHeight="1" x14ac:dyDescent="0.95">
      <c r="A8352" s="56"/>
      <c r="B8352" s="57"/>
      <c r="C8352" s="57"/>
      <c r="D8352" s="57"/>
      <c r="E8352" s="56"/>
      <c r="F8352" s="57"/>
      <c r="G8352" s="57"/>
      <c r="H8352" s="56"/>
      <c r="I8352" s="56"/>
      <c r="J8352" s="58"/>
      <c r="K8352" s="58"/>
      <c r="L8352" s="13" t="str">
        <f t="shared" si="1350"/>
        <v/>
      </c>
      <c r="M8352" s="13" t="str">
        <f t="shared" si="1351"/>
        <v/>
      </c>
      <c r="Q8352" t="str">
        <f t="shared" si="1352"/>
        <v/>
      </c>
      <c r="R8352" t="str">
        <f t="shared" si="1353"/>
        <v/>
      </c>
      <c r="S8352" t="str">
        <f t="shared" si="1354"/>
        <v/>
      </c>
      <c r="T8352" t="str">
        <f t="shared" si="1355"/>
        <v/>
      </c>
      <c r="U8352" t="str">
        <f t="shared" si="1356"/>
        <v/>
      </c>
      <c r="V8352" t="str">
        <f t="shared" si="1357"/>
        <v/>
      </c>
      <c r="W8352" t="str">
        <f t="shared" si="1358"/>
        <v/>
      </c>
      <c r="X8352">
        <f t="shared" si="1348"/>
        <v>0</v>
      </c>
      <c r="Z8352" t="str">
        <f t="shared" si="1359"/>
        <v/>
      </c>
      <c r="AA8352">
        <f t="shared" si="1349"/>
        <v>0</v>
      </c>
    </row>
    <row r="8353" spans="1:27" ht="21" customHeight="1" x14ac:dyDescent="0.95">
      <c r="A8353" s="56"/>
      <c r="B8353" s="57"/>
      <c r="C8353" s="57"/>
      <c r="D8353" s="57"/>
      <c r="E8353" s="56"/>
      <c r="F8353" s="57"/>
      <c r="G8353" s="57"/>
      <c r="H8353" s="56"/>
      <c r="I8353" s="56"/>
      <c r="J8353" s="58"/>
      <c r="K8353" s="58"/>
      <c r="L8353" s="13" t="str">
        <f t="shared" si="1350"/>
        <v/>
      </c>
      <c r="M8353" s="13" t="str">
        <f t="shared" si="1351"/>
        <v/>
      </c>
      <c r="Q8353" t="str">
        <f t="shared" si="1352"/>
        <v/>
      </c>
      <c r="R8353" t="str">
        <f t="shared" si="1353"/>
        <v/>
      </c>
      <c r="S8353" t="str">
        <f t="shared" si="1354"/>
        <v/>
      </c>
      <c r="T8353" t="str">
        <f t="shared" si="1355"/>
        <v/>
      </c>
      <c r="U8353" t="str">
        <f t="shared" si="1356"/>
        <v/>
      </c>
      <c r="V8353" t="str">
        <f t="shared" si="1357"/>
        <v/>
      </c>
      <c r="W8353" t="str">
        <f t="shared" si="1358"/>
        <v/>
      </c>
      <c r="X8353">
        <f t="shared" si="1348"/>
        <v>0</v>
      </c>
      <c r="Z8353" t="str">
        <f t="shared" si="1359"/>
        <v/>
      </c>
      <c r="AA8353">
        <f t="shared" si="1349"/>
        <v>0</v>
      </c>
    </row>
    <row r="8354" spans="1:27" ht="21" customHeight="1" x14ac:dyDescent="0.95">
      <c r="A8354" s="56"/>
      <c r="B8354" s="57"/>
      <c r="C8354" s="57"/>
      <c r="D8354" s="57"/>
      <c r="E8354" s="56"/>
      <c r="F8354" s="57"/>
      <c r="G8354" s="57"/>
      <c r="H8354" s="56"/>
      <c r="I8354" s="56"/>
      <c r="J8354" s="58"/>
      <c r="K8354" s="58"/>
      <c r="L8354" s="13" t="str">
        <f t="shared" si="1350"/>
        <v/>
      </c>
      <c r="M8354" s="13" t="str">
        <f t="shared" si="1351"/>
        <v/>
      </c>
      <c r="Q8354" t="str">
        <f t="shared" si="1352"/>
        <v/>
      </c>
      <c r="R8354" t="str">
        <f t="shared" si="1353"/>
        <v/>
      </c>
      <c r="S8354" t="str">
        <f t="shared" si="1354"/>
        <v/>
      </c>
      <c r="T8354" t="str">
        <f t="shared" si="1355"/>
        <v/>
      </c>
      <c r="U8354" t="str">
        <f t="shared" si="1356"/>
        <v/>
      </c>
      <c r="V8354" t="str">
        <f t="shared" si="1357"/>
        <v/>
      </c>
      <c r="W8354" t="str">
        <f t="shared" si="1358"/>
        <v/>
      </c>
      <c r="X8354">
        <f t="shared" si="1348"/>
        <v>0</v>
      </c>
      <c r="Z8354" t="str">
        <f t="shared" si="1359"/>
        <v/>
      </c>
      <c r="AA8354">
        <f t="shared" si="1349"/>
        <v>0</v>
      </c>
    </row>
    <row r="8355" spans="1:27" ht="21" customHeight="1" x14ac:dyDescent="0.95">
      <c r="A8355" s="56"/>
      <c r="B8355" s="57"/>
      <c r="C8355" s="57"/>
      <c r="D8355" s="57"/>
      <c r="E8355" s="56"/>
      <c r="F8355" s="57"/>
      <c r="G8355" s="57"/>
      <c r="H8355" s="56"/>
      <c r="I8355" s="56"/>
      <c r="J8355" s="58"/>
      <c r="K8355" s="58"/>
      <c r="L8355" s="13" t="str">
        <f t="shared" si="1350"/>
        <v/>
      </c>
      <c r="M8355" s="13" t="str">
        <f t="shared" si="1351"/>
        <v/>
      </c>
      <c r="Q8355" t="str">
        <f t="shared" si="1352"/>
        <v/>
      </c>
      <c r="R8355" t="str">
        <f t="shared" si="1353"/>
        <v/>
      </c>
      <c r="S8355" t="str">
        <f t="shared" si="1354"/>
        <v/>
      </c>
      <c r="T8355" t="str">
        <f t="shared" si="1355"/>
        <v/>
      </c>
      <c r="U8355" t="str">
        <f t="shared" si="1356"/>
        <v/>
      </c>
      <c r="V8355" t="str">
        <f t="shared" si="1357"/>
        <v/>
      </c>
      <c r="W8355" t="str">
        <f t="shared" si="1358"/>
        <v/>
      </c>
      <c r="X8355">
        <f t="shared" si="1348"/>
        <v>0</v>
      </c>
      <c r="Z8355" t="str">
        <f t="shared" si="1359"/>
        <v/>
      </c>
      <c r="AA8355">
        <f t="shared" si="1349"/>
        <v>0</v>
      </c>
    </row>
    <row r="8356" spans="1:27" ht="21" customHeight="1" x14ac:dyDescent="0.95">
      <c r="A8356" s="56"/>
      <c r="B8356" s="57"/>
      <c r="C8356" s="57"/>
      <c r="D8356" s="57"/>
      <c r="E8356" s="56"/>
      <c r="F8356" s="57"/>
      <c r="G8356" s="57"/>
      <c r="H8356" s="56"/>
      <c r="I8356" s="56"/>
      <c r="J8356" s="58"/>
      <c r="K8356" s="58"/>
      <c r="L8356" s="13" t="str">
        <f t="shared" si="1350"/>
        <v/>
      </c>
      <c r="M8356" s="13" t="str">
        <f t="shared" si="1351"/>
        <v/>
      </c>
      <c r="Q8356" t="str">
        <f t="shared" si="1352"/>
        <v/>
      </c>
      <c r="R8356" t="str">
        <f t="shared" si="1353"/>
        <v/>
      </c>
      <c r="S8356" t="str">
        <f t="shared" si="1354"/>
        <v/>
      </c>
      <c r="T8356" t="str">
        <f t="shared" si="1355"/>
        <v/>
      </c>
      <c r="U8356" t="str">
        <f t="shared" si="1356"/>
        <v/>
      </c>
      <c r="V8356" t="str">
        <f t="shared" si="1357"/>
        <v/>
      </c>
      <c r="W8356" t="str">
        <f t="shared" si="1358"/>
        <v/>
      </c>
      <c r="X8356">
        <f t="shared" si="1348"/>
        <v>0</v>
      </c>
      <c r="Z8356" t="str">
        <f t="shared" si="1359"/>
        <v/>
      </c>
      <c r="AA8356">
        <f t="shared" si="1349"/>
        <v>0</v>
      </c>
    </row>
    <row r="8357" spans="1:27" ht="21" customHeight="1" x14ac:dyDescent="0.95">
      <c r="A8357" s="56"/>
      <c r="B8357" s="57"/>
      <c r="C8357" s="57"/>
      <c r="D8357" s="57"/>
      <c r="E8357" s="56"/>
      <c r="F8357" s="57"/>
      <c r="G8357" s="57"/>
      <c r="H8357" s="56"/>
      <c r="I8357" s="56"/>
      <c r="J8357" s="58"/>
      <c r="K8357" s="58"/>
      <c r="L8357" s="13" t="str">
        <f t="shared" si="1350"/>
        <v/>
      </c>
      <c r="M8357" s="13" t="str">
        <f t="shared" si="1351"/>
        <v/>
      </c>
      <c r="Q8357" t="str">
        <f t="shared" si="1352"/>
        <v/>
      </c>
      <c r="R8357" t="str">
        <f t="shared" si="1353"/>
        <v/>
      </c>
      <c r="S8357" t="str">
        <f t="shared" si="1354"/>
        <v/>
      </c>
      <c r="T8357" t="str">
        <f t="shared" si="1355"/>
        <v/>
      </c>
      <c r="U8357" t="str">
        <f t="shared" si="1356"/>
        <v/>
      </c>
      <c r="V8357" t="str">
        <f t="shared" si="1357"/>
        <v/>
      </c>
      <c r="W8357" t="str">
        <f t="shared" si="1358"/>
        <v/>
      </c>
      <c r="X8357">
        <f t="shared" si="1348"/>
        <v>0</v>
      </c>
      <c r="Z8357" t="str">
        <f t="shared" si="1359"/>
        <v/>
      </c>
      <c r="AA8357">
        <f t="shared" si="1349"/>
        <v>0</v>
      </c>
    </row>
    <row r="8358" spans="1:27" ht="21" customHeight="1" x14ac:dyDescent="0.95">
      <c r="A8358" s="56"/>
      <c r="B8358" s="57"/>
      <c r="C8358" s="57"/>
      <c r="D8358" s="57"/>
      <c r="E8358" s="56"/>
      <c r="F8358" s="57"/>
      <c r="G8358" s="57"/>
      <c r="H8358" s="56"/>
      <c r="I8358" s="56"/>
      <c r="J8358" s="58"/>
      <c r="K8358" s="58"/>
      <c r="L8358" s="13" t="str">
        <f t="shared" si="1350"/>
        <v/>
      </c>
      <c r="M8358" s="13" t="str">
        <f t="shared" si="1351"/>
        <v/>
      </c>
      <c r="Q8358" t="str">
        <f t="shared" si="1352"/>
        <v/>
      </c>
      <c r="R8358" t="str">
        <f t="shared" si="1353"/>
        <v/>
      </c>
      <c r="S8358" t="str">
        <f t="shared" si="1354"/>
        <v/>
      </c>
      <c r="T8358" t="str">
        <f t="shared" si="1355"/>
        <v/>
      </c>
      <c r="U8358" t="str">
        <f t="shared" si="1356"/>
        <v/>
      </c>
      <c r="V8358" t="str">
        <f t="shared" si="1357"/>
        <v/>
      </c>
      <c r="W8358" t="str">
        <f t="shared" si="1358"/>
        <v/>
      </c>
      <c r="X8358">
        <f t="shared" si="1348"/>
        <v>0</v>
      </c>
      <c r="Z8358" t="str">
        <f t="shared" si="1359"/>
        <v/>
      </c>
      <c r="AA8358">
        <f t="shared" si="1349"/>
        <v>0</v>
      </c>
    </row>
    <row r="8359" spans="1:27" ht="21" customHeight="1" x14ac:dyDescent="0.95">
      <c r="A8359" s="56"/>
      <c r="B8359" s="57"/>
      <c r="C8359" s="57"/>
      <c r="D8359" s="57"/>
      <c r="E8359" s="56"/>
      <c r="F8359" s="57"/>
      <c r="G8359" s="57"/>
      <c r="H8359" s="56"/>
      <c r="I8359" s="56"/>
      <c r="J8359" s="58"/>
      <c r="K8359" s="58"/>
      <c r="L8359" s="13" t="str">
        <f t="shared" si="1350"/>
        <v/>
      </c>
      <c r="M8359" s="13" t="str">
        <f t="shared" si="1351"/>
        <v/>
      </c>
      <c r="Q8359" t="str">
        <f t="shared" si="1352"/>
        <v/>
      </c>
      <c r="R8359" t="str">
        <f t="shared" si="1353"/>
        <v/>
      </c>
      <c r="S8359" t="str">
        <f t="shared" si="1354"/>
        <v/>
      </c>
      <c r="T8359" t="str">
        <f t="shared" si="1355"/>
        <v/>
      </c>
      <c r="U8359" t="str">
        <f t="shared" si="1356"/>
        <v/>
      </c>
      <c r="V8359" t="str">
        <f t="shared" si="1357"/>
        <v/>
      </c>
      <c r="W8359" t="str">
        <f t="shared" si="1358"/>
        <v/>
      </c>
      <c r="X8359">
        <f t="shared" si="1348"/>
        <v>0</v>
      </c>
      <c r="Z8359" t="str">
        <f t="shared" si="1359"/>
        <v/>
      </c>
      <c r="AA8359">
        <f t="shared" si="1349"/>
        <v>0</v>
      </c>
    </row>
    <row r="8360" spans="1:27" ht="21" customHeight="1" x14ac:dyDescent="0.95">
      <c r="A8360" s="56"/>
      <c r="B8360" s="57"/>
      <c r="C8360" s="57"/>
      <c r="D8360" s="57"/>
      <c r="E8360" s="56"/>
      <c r="F8360" s="57"/>
      <c r="G8360" s="57"/>
      <c r="H8360" s="56"/>
      <c r="I8360" s="56"/>
      <c r="J8360" s="58"/>
      <c r="K8360" s="58"/>
      <c r="L8360" s="13" t="str">
        <f t="shared" si="1350"/>
        <v/>
      </c>
      <c r="M8360" s="13" t="str">
        <f t="shared" si="1351"/>
        <v/>
      </c>
      <c r="Q8360" t="str">
        <f t="shared" si="1352"/>
        <v/>
      </c>
      <c r="R8360" t="str">
        <f t="shared" si="1353"/>
        <v/>
      </c>
      <c r="S8360" t="str">
        <f t="shared" si="1354"/>
        <v/>
      </c>
      <c r="T8360" t="str">
        <f t="shared" si="1355"/>
        <v/>
      </c>
      <c r="U8360" t="str">
        <f t="shared" si="1356"/>
        <v/>
      </c>
      <c r="V8360" t="str">
        <f t="shared" si="1357"/>
        <v/>
      </c>
      <c r="W8360" t="str">
        <f t="shared" si="1358"/>
        <v/>
      </c>
      <c r="X8360">
        <f t="shared" si="1348"/>
        <v>0</v>
      </c>
      <c r="Z8360" t="str">
        <f t="shared" si="1359"/>
        <v/>
      </c>
      <c r="AA8360">
        <f t="shared" si="1349"/>
        <v>0</v>
      </c>
    </row>
    <row r="8361" spans="1:27" ht="21" customHeight="1" x14ac:dyDescent="0.95">
      <c r="A8361" s="56"/>
      <c r="B8361" s="57"/>
      <c r="C8361" s="57"/>
      <c r="D8361" s="57"/>
      <c r="E8361" s="56"/>
      <c r="F8361" s="57"/>
      <c r="G8361" s="57"/>
      <c r="H8361" s="56"/>
      <c r="I8361" s="56"/>
      <c r="J8361" s="58"/>
      <c r="K8361" s="58"/>
      <c r="L8361" s="13" t="str">
        <f t="shared" si="1350"/>
        <v/>
      </c>
      <c r="M8361" s="13" t="str">
        <f t="shared" si="1351"/>
        <v/>
      </c>
      <c r="Q8361" t="str">
        <f t="shared" si="1352"/>
        <v/>
      </c>
      <c r="R8361" t="str">
        <f t="shared" si="1353"/>
        <v/>
      </c>
      <c r="S8361" t="str">
        <f t="shared" si="1354"/>
        <v/>
      </c>
      <c r="T8361" t="str">
        <f t="shared" si="1355"/>
        <v/>
      </c>
      <c r="U8361" t="str">
        <f t="shared" si="1356"/>
        <v/>
      </c>
      <c r="V8361" t="str">
        <f t="shared" si="1357"/>
        <v/>
      </c>
      <c r="W8361" t="str">
        <f t="shared" si="1358"/>
        <v/>
      </c>
      <c r="X8361">
        <f t="shared" si="1348"/>
        <v>0</v>
      </c>
      <c r="Z8361" t="str">
        <f t="shared" si="1359"/>
        <v/>
      </c>
      <c r="AA8361">
        <f t="shared" si="1349"/>
        <v>0</v>
      </c>
    </row>
    <row r="8362" spans="1:27" ht="21" customHeight="1" x14ac:dyDescent="0.95">
      <c r="A8362" s="56"/>
      <c r="B8362" s="57"/>
      <c r="C8362" s="57"/>
      <c r="D8362" s="57"/>
      <c r="E8362" s="56"/>
      <c r="F8362" s="57"/>
      <c r="G8362" s="57"/>
      <c r="H8362" s="56"/>
      <c r="I8362" s="56"/>
      <c r="J8362" s="58"/>
      <c r="K8362" s="58"/>
      <c r="L8362" s="13" t="str">
        <f t="shared" si="1350"/>
        <v/>
      </c>
      <c r="M8362" s="13" t="str">
        <f t="shared" si="1351"/>
        <v/>
      </c>
      <c r="Q8362" t="str">
        <f t="shared" si="1352"/>
        <v/>
      </c>
      <c r="R8362" t="str">
        <f t="shared" si="1353"/>
        <v/>
      </c>
      <c r="S8362" t="str">
        <f t="shared" si="1354"/>
        <v/>
      </c>
      <c r="T8362" t="str">
        <f t="shared" si="1355"/>
        <v/>
      </c>
      <c r="U8362" t="str">
        <f t="shared" si="1356"/>
        <v/>
      </c>
      <c r="V8362" t="str">
        <f t="shared" si="1357"/>
        <v/>
      </c>
      <c r="W8362" t="str">
        <f t="shared" si="1358"/>
        <v/>
      </c>
      <c r="X8362">
        <f t="shared" si="1348"/>
        <v>0</v>
      </c>
      <c r="Z8362" t="str">
        <f t="shared" si="1359"/>
        <v/>
      </c>
      <c r="AA8362">
        <f t="shared" si="1349"/>
        <v>0</v>
      </c>
    </row>
    <row r="8363" spans="1:27" ht="21" customHeight="1" x14ac:dyDescent="0.95">
      <c r="A8363" s="56"/>
      <c r="B8363" s="57"/>
      <c r="C8363" s="57"/>
      <c r="D8363" s="57"/>
      <c r="E8363" s="56"/>
      <c r="F8363" s="57"/>
      <c r="G8363" s="57"/>
      <c r="H8363" s="56"/>
      <c r="I8363" s="56"/>
      <c r="J8363" s="58"/>
      <c r="K8363" s="58"/>
      <c r="L8363" s="13" t="str">
        <f t="shared" si="1350"/>
        <v/>
      </c>
      <c r="M8363" s="13" t="str">
        <f t="shared" si="1351"/>
        <v/>
      </c>
      <c r="Q8363" t="str">
        <f t="shared" si="1352"/>
        <v/>
      </c>
      <c r="R8363" t="str">
        <f t="shared" si="1353"/>
        <v/>
      </c>
      <c r="S8363" t="str">
        <f t="shared" si="1354"/>
        <v/>
      </c>
      <c r="T8363" t="str">
        <f t="shared" si="1355"/>
        <v/>
      </c>
      <c r="U8363" t="str">
        <f t="shared" si="1356"/>
        <v/>
      </c>
      <c r="V8363" t="str">
        <f t="shared" si="1357"/>
        <v/>
      </c>
      <c r="W8363" t="str">
        <f t="shared" si="1358"/>
        <v/>
      </c>
      <c r="X8363">
        <f t="shared" si="1348"/>
        <v>0</v>
      </c>
      <c r="Z8363" t="str">
        <f t="shared" si="1359"/>
        <v/>
      </c>
      <c r="AA8363">
        <f t="shared" si="1349"/>
        <v>0</v>
      </c>
    </row>
    <row r="8364" spans="1:27" ht="21" customHeight="1" x14ac:dyDescent="0.95">
      <c r="A8364" s="56"/>
      <c r="B8364" s="57"/>
      <c r="C8364" s="57"/>
      <c r="D8364" s="57"/>
      <c r="E8364" s="56"/>
      <c r="F8364" s="57"/>
      <c r="G8364" s="57"/>
      <c r="H8364" s="56"/>
      <c r="I8364" s="56"/>
      <c r="J8364" s="58"/>
      <c r="K8364" s="58"/>
      <c r="L8364" s="13" t="str">
        <f t="shared" si="1350"/>
        <v/>
      </c>
      <c r="M8364" s="13" t="str">
        <f t="shared" si="1351"/>
        <v/>
      </c>
      <c r="Q8364" t="str">
        <f t="shared" si="1352"/>
        <v/>
      </c>
      <c r="R8364" t="str">
        <f t="shared" si="1353"/>
        <v/>
      </c>
      <c r="S8364" t="str">
        <f t="shared" si="1354"/>
        <v/>
      </c>
      <c r="T8364" t="str">
        <f t="shared" si="1355"/>
        <v/>
      </c>
      <c r="U8364" t="str">
        <f t="shared" si="1356"/>
        <v/>
      </c>
      <c r="V8364" t="str">
        <f t="shared" si="1357"/>
        <v/>
      </c>
      <c r="W8364" t="str">
        <f t="shared" si="1358"/>
        <v/>
      </c>
      <c r="X8364">
        <f t="shared" si="1348"/>
        <v>0</v>
      </c>
      <c r="Z8364" t="str">
        <f t="shared" si="1359"/>
        <v/>
      </c>
      <c r="AA8364">
        <f t="shared" si="1349"/>
        <v>0</v>
      </c>
    </row>
    <row r="8365" spans="1:27" ht="21" customHeight="1" x14ac:dyDescent="0.95">
      <c r="A8365" s="56"/>
      <c r="B8365" s="57"/>
      <c r="C8365" s="57"/>
      <c r="D8365" s="57"/>
      <c r="E8365" s="56"/>
      <c r="F8365" s="57"/>
      <c r="G8365" s="57"/>
      <c r="H8365" s="56"/>
      <c r="I8365" s="56"/>
      <c r="J8365" s="58"/>
      <c r="K8365" s="58"/>
      <c r="L8365" s="13" t="str">
        <f t="shared" si="1350"/>
        <v/>
      </c>
      <c r="M8365" s="13" t="str">
        <f t="shared" si="1351"/>
        <v/>
      </c>
      <c r="Q8365" t="str">
        <f t="shared" si="1352"/>
        <v/>
      </c>
      <c r="R8365" t="str">
        <f t="shared" si="1353"/>
        <v/>
      </c>
      <c r="S8365" t="str">
        <f t="shared" si="1354"/>
        <v/>
      </c>
      <c r="T8365" t="str">
        <f t="shared" si="1355"/>
        <v/>
      </c>
      <c r="U8365" t="str">
        <f t="shared" si="1356"/>
        <v/>
      </c>
      <c r="V8365" t="str">
        <f t="shared" si="1357"/>
        <v/>
      </c>
      <c r="W8365" t="str">
        <f t="shared" si="1358"/>
        <v/>
      </c>
      <c r="X8365">
        <f t="shared" si="1348"/>
        <v>0</v>
      </c>
      <c r="Z8365" t="str">
        <f t="shared" si="1359"/>
        <v/>
      </c>
      <c r="AA8365">
        <f t="shared" si="1349"/>
        <v>0</v>
      </c>
    </row>
    <row r="8366" spans="1:27" ht="21" customHeight="1" x14ac:dyDescent="0.95">
      <c r="A8366" s="56"/>
      <c r="B8366" s="57"/>
      <c r="C8366" s="57"/>
      <c r="D8366" s="57"/>
      <c r="E8366" s="56"/>
      <c r="F8366" s="57"/>
      <c r="G8366" s="57"/>
      <c r="H8366" s="56"/>
      <c r="I8366" s="56"/>
      <c r="J8366" s="58"/>
      <c r="K8366" s="58"/>
      <c r="L8366" s="13" t="str">
        <f t="shared" si="1350"/>
        <v/>
      </c>
      <c r="M8366" s="13" t="str">
        <f t="shared" si="1351"/>
        <v/>
      </c>
      <c r="Q8366" t="str">
        <f t="shared" si="1352"/>
        <v/>
      </c>
      <c r="R8366" t="str">
        <f t="shared" si="1353"/>
        <v/>
      </c>
      <c r="S8366" t="str">
        <f t="shared" si="1354"/>
        <v/>
      </c>
      <c r="T8366" t="str">
        <f t="shared" si="1355"/>
        <v/>
      </c>
      <c r="U8366" t="str">
        <f t="shared" si="1356"/>
        <v/>
      </c>
      <c r="V8366" t="str">
        <f t="shared" si="1357"/>
        <v/>
      </c>
      <c r="W8366" t="str">
        <f t="shared" si="1358"/>
        <v/>
      </c>
      <c r="X8366">
        <f t="shared" si="1348"/>
        <v>0</v>
      </c>
      <c r="Z8366" t="str">
        <f t="shared" si="1359"/>
        <v/>
      </c>
      <c r="AA8366">
        <f t="shared" si="1349"/>
        <v>0</v>
      </c>
    </row>
    <row r="8367" spans="1:27" ht="21" customHeight="1" x14ac:dyDescent="0.95">
      <c r="A8367" s="56"/>
      <c r="B8367" s="57"/>
      <c r="C8367" s="57"/>
      <c r="D8367" s="57"/>
      <c r="E8367" s="56"/>
      <c r="F8367" s="57"/>
      <c r="G8367" s="57"/>
      <c r="H8367" s="56"/>
      <c r="I8367" s="56"/>
      <c r="J8367" s="58"/>
      <c r="K8367" s="58"/>
      <c r="L8367" s="13" t="str">
        <f t="shared" si="1350"/>
        <v/>
      </c>
      <c r="M8367" s="13" t="str">
        <f t="shared" si="1351"/>
        <v/>
      </c>
      <c r="Q8367" t="str">
        <f t="shared" si="1352"/>
        <v/>
      </c>
      <c r="R8367" t="str">
        <f t="shared" si="1353"/>
        <v/>
      </c>
      <c r="S8367" t="str">
        <f t="shared" si="1354"/>
        <v/>
      </c>
      <c r="T8367" t="str">
        <f t="shared" si="1355"/>
        <v/>
      </c>
      <c r="U8367" t="str">
        <f t="shared" si="1356"/>
        <v/>
      </c>
      <c r="V8367" t="str">
        <f t="shared" si="1357"/>
        <v/>
      </c>
      <c r="W8367" t="str">
        <f t="shared" si="1358"/>
        <v/>
      </c>
      <c r="X8367">
        <f t="shared" si="1348"/>
        <v>0</v>
      </c>
      <c r="Z8367" t="str">
        <f t="shared" si="1359"/>
        <v/>
      </c>
      <c r="AA8367">
        <f t="shared" si="1349"/>
        <v>0</v>
      </c>
    </row>
    <row r="8368" spans="1:27" ht="21" customHeight="1" x14ac:dyDescent="0.95">
      <c r="A8368" s="56"/>
      <c r="B8368" s="57"/>
      <c r="C8368" s="57"/>
      <c r="D8368" s="57"/>
      <c r="E8368" s="56"/>
      <c r="F8368" s="57"/>
      <c r="G8368" s="57"/>
      <c r="H8368" s="56"/>
      <c r="I8368" s="56"/>
      <c r="J8368" s="58"/>
      <c r="K8368" s="58"/>
      <c r="L8368" s="13" t="str">
        <f t="shared" si="1350"/>
        <v/>
      </c>
      <c r="M8368" s="13" t="str">
        <f t="shared" si="1351"/>
        <v/>
      </c>
      <c r="Q8368" t="str">
        <f t="shared" si="1352"/>
        <v/>
      </c>
      <c r="R8368" t="str">
        <f t="shared" si="1353"/>
        <v/>
      </c>
      <c r="S8368" t="str">
        <f t="shared" si="1354"/>
        <v/>
      </c>
      <c r="T8368" t="str">
        <f t="shared" si="1355"/>
        <v/>
      </c>
      <c r="U8368" t="str">
        <f t="shared" si="1356"/>
        <v/>
      </c>
      <c r="V8368" t="str">
        <f t="shared" si="1357"/>
        <v/>
      </c>
      <c r="W8368" t="str">
        <f t="shared" si="1358"/>
        <v/>
      </c>
      <c r="X8368">
        <f t="shared" si="1348"/>
        <v>0</v>
      </c>
      <c r="Z8368" t="str">
        <f t="shared" si="1359"/>
        <v/>
      </c>
      <c r="AA8368">
        <f t="shared" si="1349"/>
        <v>0</v>
      </c>
    </row>
    <row r="8369" spans="1:27" ht="21" customHeight="1" x14ac:dyDescent="0.95">
      <c r="A8369" s="56"/>
      <c r="B8369" s="57"/>
      <c r="C8369" s="57"/>
      <c r="D8369" s="57"/>
      <c r="E8369" s="56"/>
      <c r="F8369" s="57"/>
      <c r="G8369" s="57"/>
      <c r="H8369" s="56"/>
      <c r="I8369" s="56"/>
      <c r="J8369" s="58"/>
      <c r="K8369" s="58"/>
      <c r="L8369" s="13" t="str">
        <f t="shared" si="1350"/>
        <v/>
      </c>
      <c r="M8369" s="13" t="str">
        <f t="shared" si="1351"/>
        <v/>
      </c>
      <c r="Q8369" t="str">
        <f t="shared" si="1352"/>
        <v/>
      </c>
      <c r="R8369" t="str">
        <f t="shared" si="1353"/>
        <v/>
      </c>
      <c r="S8369" t="str">
        <f t="shared" si="1354"/>
        <v/>
      </c>
      <c r="T8369" t="str">
        <f t="shared" si="1355"/>
        <v/>
      </c>
      <c r="U8369" t="str">
        <f t="shared" si="1356"/>
        <v/>
      </c>
      <c r="V8369" t="str">
        <f t="shared" si="1357"/>
        <v/>
      </c>
      <c r="W8369" t="str">
        <f t="shared" si="1358"/>
        <v/>
      </c>
      <c r="X8369">
        <f t="shared" si="1348"/>
        <v>0</v>
      </c>
      <c r="Z8369" t="str">
        <f t="shared" si="1359"/>
        <v/>
      </c>
      <c r="AA8369">
        <f t="shared" si="1349"/>
        <v>0</v>
      </c>
    </row>
    <row r="8370" spans="1:27" ht="21" customHeight="1" x14ac:dyDescent="0.95">
      <c r="A8370" s="56"/>
      <c r="B8370" s="57"/>
      <c r="C8370" s="57"/>
      <c r="D8370" s="57"/>
      <c r="E8370" s="56"/>
      <c r="F8370" s="57"/>
      <c r="G8370" s="57"/>
      <c r="H8370" s="56"/>
      <c r="I8370" s="56"/>
      <c r="J8370" s="58"/>
      <c r="K8370" s="58"/>
      <c r="L8370" s="13" t="str">
        <f t="shared" si="1350"/>
        <v/>
      </c>
      <c r="M8370" s="13" t="str">
        <f t="shared" si="1351"/>
        <v/>
      </c>
      <c r="Q8370" t="str">
        <f t="shared" si="1352"/>
        <v/>
      </c>
      <c r="R8370" t="str">
        <f t="shared" si="1353"/>
        <v/>
      </c>
      <c r="S8370" t="str">
        <f t="shared" si="1354"/>
        <v/>
      </c>
      <c r="T8370" t="str">
        <f t="shared" si="1355"/>
        <v/>
      </c>
      <c r="U8370" t="str">
        <f t="shared" si="1356"/>
        <v/>
      </c>
      <c r="V8370" t="str">
        <f t="shared" si="1357"/>
        <v/>
      </c>
      <c r="W8370" t="str">
        <f t="shared" si="1358"/>
        <v/>
      </c>
      <c r="X8370">
        <f t="shared" si="1348"/>
        <v>0</v>
      </c>
      <c r="Z8370" t="str">
        <f t="shared" si="1359"/>
        <v/>
      </c>
      <c r="AA8370">
        <f t="shared" si="1349"/>
        <v>0</v>
      </c>
    </row>
    <row r="8371" spans="1:27" ht="21" customHeight="1" x14ac:dyDescent="0.95">
      <c r="A8371" s="56"/>
      <c r="B8371" s="57"/>
      <c r="C8371" s="57"/>
      <c r="D8371" s="57"/>
      <c r="E8371" s="56"/>
      <c r="F8371" s="57"/>
      <c r="G8371" s="57"/>
      <c r="H8371" s="56"/>
      <c r="I8371" s="56"/>
      <c r="J8371" s="58"/>
      <c r="K8371" s="58"/>
      <c r="L8371" s="13" t="str">
        <f t="shared" si="1350"/>
        <v/>
      </c>
      <c r="M8371" s="13" t="str">
        <f t="shared" si="1351"/>
        <v/>
      </c>
      <c r="Q8371" t="str">
        <f t="shared" si="1352"/>
        <v/>
      </c>
      <c r="R8371" t="str">
        <f t="shared" si="1353"/>
        <v/>
      </c>
      <c r="S8371" t="str">
        <f t="shared" si="1354"/>
        <v/>
      </c>
      <c r="T8371" t="str">
        <f t="shared" si="1355"/>
        <v/>
      </c>
      <c r="U8371" t="str">
        <f t="shared" si="1356"/>
        <v/>
      </c>
      <c r="V8371" t="str">
        <f t="shared" si="1357"/>
        <v/>
      </c>
      <c r="W8371" t="str">
        <f t="shared" si="1358"/>
        <v/>
      </c>
      <c r="X8371">
        <f t="shared" si="1348"/>
        <v>0</v>
      </c>
      <c r="Z8371" t="str">
        <f t="shared" si="1359"/>
        <v/>
      </c>
      <c r="AA8371">
        <f t="shared" si="1349"/>
        <v>0</v>
      </c>
    </row>
    <row r="8372" spans="1:27" ht="21" customHeight="1" x14ac:dyDescent="0.95">
      <c r="A8372" s="56"/>
      <c r="B8372" s="57"/>
      <c r="C8372" s="57"/>
      <c r="D8372" s="57"/>
      <c r="E8372" s="56"/>
      <c r="F8372" s="57"/>
      <c r="G8372" s="57"/>
      <c r="H8372" s="56"/>
      <c r="I8372" s="56"/>
      <c r="J8372" s="58"/>
      <c r="K8372" s="58"/>
      <c r="L8372" s="13" t="str">
        <f t="shared" si="1350"/>
        <v/>
      </c>
      <c r="M8372" s="13" t="str">
        <f t="shared" si="1351"/>
        <v/>
      </c>
      <c r="Q8372" t="str">
        <f t="shared" si="1352"/>
        <v/>
      </c>
      <c r="R8372" t="str">
        <f t="shared" si="1353"/>
        <v/>
      </c>
      <c r="S8372" t="str">
        <f t="shared" si="1354"/>
        <v/>
      </c>
      <c r="T8372" t="str">
        <f t="shared" si="1355"/>
        <v/>
      </c>
      <c r="U8372" t="str">
        <f t="shared" si="1356"/>
        <v/>
      </c>
      <c r="V8372" t="str">
        <f t="shared" si="1357"/>
        <v/>
      </c>
      <c r="W8372" t="str">
        <f t="shared" si="1358"/>
        <v/>
      </c>
      <c r="X8372">
        <f t="shared" si="1348"/>
        <v>0</v>
      </c>
      <c r="Z8372" t="str">
        <f t="shared" si="1359"/>
        <v/>
      </c>
      <c r="AA8372">
        <f t="shared" si="1349"/>
        <v>0</v>
      </c>
    </row>
    <row r="8373" spans="1:27" ht="21" customHeight="1" x14ac:dyDescent="0.95">
      <c r="A8373" s="56"/>
      <c r="B8373" s="57"/>
      <c r="C8373" s="57"/>
      <c r="D8373" s="57"/>
      <c r="E8373" s="56"/>
      <c r="F8373" s="57"/>
      <c r="G8373" s="57"/>
      <c r="H8373" s="56"/>
      <c r="I8373" s="56"/>
      <c r="J8373" s="58"/>
      <c r="K8373" s="58"/>
      <c r="L8373" s="13" t="str">
        <f t="shared" si="1350"/>
        <v/>
      </c>
      <c r="M8373" s="13" t="str">
        <f t="shared" si="1351"/>
        <v/>
      </c>
      <c r="Q8373" t="str">
        <f t="shared" si="1352"/>
        <v/>
      </c>
      <c r="R8373" t="str">
        <f t="shared" si="1353"/>
        <v/>
      </c>
      <c r="S8373" t="str">
        <f t="shared" si="1354"/>
        <v/>
      </c>
      <c r="T8373" t="str">
        <f t="shared" si="1355"/>
        <v/>
      </c>
      <c r="U8373" t="str">
        <f t="shared" si="1356"/>
        <v/>
      </c>
      <c r="V8373" t="str">
        <f t="shared" si="1357"/>
        <v/>
      </c>
      <c r="W8373" t="str">
        <f t="shared" si="1358"/>
        <v/>
      </c>
      <c r="X8373">
        <f t="shared" ref="X8373:X8436" si="1360">IF($T8373="",N($X8372),IF(MATCH($T8373,$T$6:$T$10005,0)=ROW()-5,N($X8372)+1,N($X8372)))</f>
        <v>0</v>
      </c>
      <c r="Z8373" t="str">
        <f t="shared" si="1359"/>
        <v/>
      </c>
      <c r="AA8373">
        <f t="shared" ref="AA8373:AA8436" si="1361">IF($V8373="",N($AA8372),IF(MATCH($V8373,$V$6:$V$10005,0)=ROW()-5,N($AA8372)+1,N($AA8372)))</f>
        <v>0</v>
      </c>
    </row>
    <row r="8374" spans="1:27" ht="21" customHeight="1" x14ac:dyDescent="0.95">
      <c r="A8374" s="56"/>
      <c r="B8374" s="57"/>
      <c r="C8374" s="57"/>
      <c r="D8374" s="57"/>
      <c r="E8374" s="56"/>
      <c r="F8374" s="57"/>
      <c r="G8374" s="57"/>
      <c r="H8374" s="56"/>
      <c r="I8374" s="56"/>
      <c r="J8374" s="58"/>
      <c r="K8374" s="58"/>
      <c r="L8374" s="13" t="str">
        <f t="shared" si="1350"/>
        <v/>
      </c>
      <c r="M8374" s="13" t="str">
        <f t="shared" si="1351"/>
        <v/>
      </c>
      <c r="Q8374" t="str">
        <f t="shared" si="1352"/>
        <v/>
      </c>
      <c r="R8374" t="str">
        <f t="shared" si="1353"/>
        <v/>
      </c>
      <c r="S8374" t="str">
        <f t="shared" si="1354"/>
        <v/>
      </c>
      <c r="T8374" t="str">
        <f t="shared" si="1355"/>
        <v/>
      </c>
      <c r="U8374" t="str">
        <f t="shared" si="1356"/>
        <v/>
      </c>
      <c r="V8374" t="str">
        <f t="shared" si="1357"/>
        <v/>
      </c>
      <c r="W8374" t="str">
        <f t="shared" si="1358"/>
        <v/>
      </c>
      <c r="X8374">
        <f t="shared" si="1360"/>
        <v>0</v>
      </c>
      <c r="Z8374" t="str">
        <f t="shared" si="1359"/>
        <v/>
      </c>
      <c r="AA8374">
        <f t="shared" si="1361"/>
        <v>0</v>
      </c>
    </row>
    <row r="8375" spans="1:27" ht="21" customHeight="1" x14ac:dyDescent="0.95">
      <c r="A8375" s="56"/>
      <c r="B8375" s="57"/>
      <c r="C8375" s="57"/>
      <c r="D8375" s="57"/>
      <c r="E8375" s="56"/>
      <c r="F8375" s="57"/>
      <c r="G8375" s="57"/>
      <c r="H8375" s="56"/>
      <c r="I8375" s="56"/>
      <c r="J8375" s="58"/>
      <c r="K8375" s="58"/>
      <c r="L8375" s="13" t="str">
        <f t="shared" si="1350"/>
        <v/>
      </c>
      <c r="M8375" s="13" t="str">
        <f t="shared" si="1351"/>
        <v/>
      </c>
      <c r="Q8375" t="str">
        <f t="shared" si="1352"/>
        <v/>
      </c>
      <c r="R8375" t="str">
        <f t="shared" si="1353"/>
        <v/>
      </c>
      <c r="S8375" t="str">
        <f t="shared" si="1354"/>
        <v/>
      </c>
      <c r="T8375" t="str">
        <f t="shared" si="1355"/>
        <v/>
      </c>
      <c r="U8375" t="str">
        <f t="shared" si="1356"/>
        <v/>
      </c>
      <c r="V8375" t="str">
        <f t="shared" si="1357"/>
        <v/>
      </c>
      <c r="W8375" t="str">
        <f t="shared" si="1358"/>
        <v/>
      </c>
      <c r="X8375">
        <f t="shared" si="1360"/>
        <v>0</v>
      </c>
      <c r="Z8375" t="str">
        <f t="shared" si="1359"/>
        <v/>
      </c>
      <c r="AA8375">
        <f t="shared" si="1361"/>
        <v>0</v>
      </c>
    </row>
    <row r="8376" spans="1:27" ht="21" customHeight="1" x14ac:dyDescent="0.95">
      <c r="A8376" s="56"/>
      <c r="B8376" s="57"/>
      <c r="C8376" s="57"/>
      <c r="D8376" s="57"/>
      <c r="E8376" s="56"/>
      <c r="F8376" s="57"/>
      <c r="G8376" s="57"/>
      <c r="H8376" s="56"/>
      <c r="I8376" s="56"/>
      <c r="J8376" s="58"/>
      <c r="K8376" s="58"/>
      <c r="L8376" s="13" t="str">
        <f t="shared" si="1350"/>
        <v/>
      </c>
      <c r="M8376" s="13" t="str">
        <f t="shared" si="1351"/>
        <v/>
      </c>
      <c r="Q8376" t="str">
        <f t="shared" si="1352"/>
        <v/>
      </c>
      <c r="R8376" t="str">
        <f t="shared" si="1353"/>
        <v/>
      </c>
      <c r="S8376" t="str">
        <f t="shared" si="1354"/>
        <v/>
      </c>
      <c r="T8376" t="str">
        <f t="shared" si="1355"/>
        <v/>
      </c>
      <c r="U8376" t="str">
        <f t="shared" si="1356"/>
        <v/>
      </c>
      <c r="V8376" t="str">
        <f t="shared" si="1357"/>
        <v/>
      </c>
      <c r="W8376" t="str">
        <f t="shared" si="1358"/>
        <v/>
      </c>
      <c r="X8376">
        <f t="shared" si="1360"/>
        <v>0</v>
      </c>
      <c r="Z8376" t="str">
        <f t="shared" si="1359"/>
        <v/>
      </c>
      <c r="AA8376">
        <f t="shared" si="1361"/>
        <v>0</v>
      </c>
    </row>
    <row r="8377" spans="1:27" ht="21" customHeight="1" x14ac:dyDescent="0.95">
      <c r="A8377" s="56"/>
      <c r="B8377" s="57"/>
      <c r="C8377" s="57"/>
      <c r="D8377" s="57"/>
      <c r="E8377" s="56"/>
      <c r="F8377" s="57"/>
      <c r="G8377" s="57"/>
      <c r="H8377" s="56"/>
      <c r="I8377" s="56"/>
      <c r="J8377" s="58"/>
      <c r="K8377" s="58"/>
      <c r="L8377" s="13" t="str">
        <f t="shared" si="1350"/>
        <v/>
      </c>
      <c r="M8377" s="13" t="str">
        <f t="shared" si="1351"/>
        <v/>
      </c>
      <c r="Q8377" t="str">
        <f t="shared" si="1352"/>
        <v/>
      </c>
      <c r="R8377" t="str">
        <f t="shared" si="1353"/>
        <v/>
      </c>
      <c r="S8377" t="str">
        <f t="shared" si="1354"/>
        <v/>
      </c>
      <c r="T8377" t="str">
        <f t="shared" si="1355"/>
        <v/>
      </c>
      <c r="U8377" t="str">
        <f t="shared" si="1356"/>
        <v/>
      </c>
      <c r="V8377" t="str">
        <f t="shared" si="1357"/>
        <v/>
      </c>
      <c r="W8377" t="str">
        <f t="shared" si="1358"/>
        <v/>
      </c>
      <c r="X8377">
        <f t="shared" si="1360"/>
        <v>0</v>
      </c>
      <c r="Z8377" t="str">
        <f t="shared" si="1359"/>
        <v/>
      </c>
      <c r="AA8377">
        <f t="shared" si="1361"/>
        <v>0</v>
      </c>
    </row>
    <row r="8378" spans="1:27" ht="21" customHeight="1" x14ac:dyDescent="0.95">
      <c r="A8378" s="56"/>
      <c r="B8378" s="57"/>
      <c r="C8378" s="57"/>
      <c r="D8378" s="57"/>
      <c r="E8378" s="56"/>
      <c r="F8378" s="57"/>
      <c r="G8378" s="57"/>
      <c r="H8378" s="56"/>
      <c r="I8378" s="56"/>
      <c r="J8378" s="58"/>
      <c r="K8378" s="58"/>
      <c r="L8378" s="13" t="str">
        <f t="shared" si="1350"/>
        <v/>
      </c>
      <c r="M8378" s="13" t="str">
        <f t="shared" si="1351"/>
        <v/>
      </c>
      <c r="Q8378" t="str">
        <f t="shared" si="1352"/>
        <v/>
      </c>
      <c r="R8378" t="str">
        <f t="shared" si="1353"/>
        <v/>
      </c>
      <c r="S8378" t="str">
        <f t="shared" si="1354"/>
        <v/>
      </c>
      <c r="T8378" t="str">
        <f t="shared" si="1355"/>
        <v/>
      </c>
      <c r="U8378" t="str">
        <f t="shared" si="1356"/>
        <v/>
      </c>
      <c r="V8378" t="str">
        <f t="shared" si="1357"/>
        <v/>
      </c>
      <c r="W8378" t="str">
        <f t="shared" si="1358"/>
        <v/>
      </c>
      <c r="X8378">
        <f t="shared" si="1360"/>
        <v>0</v>
      </c>
      <c r="Z8378" t="str">
        <f t="shared" si="1359"/>
        <v/>
      </c>
      <c r="AA8378">
        <f t="shared" si="1361"/>
        <v>0</v>
      </c>
    </row>
    <row r="8379" spans="1:27" ht="21" customHeight="1" x14ac:dyDescent="0.95">
      <c r="A8379" s="56"/>
      <c r="B8379" s="57"/>
      <c r="C8379" s="57"/>
      <c r="D8379" s="57"/>
      <c r="E8379" s="56"/>
      <c r="F8379" s="57"/>
      <c r="G8379" s="57"/>
      <c r="H8379" s="56"/>
      <c r="I8379" s="56"/>
      <c r="J8379" s="58"/>
      <c r="K8379" s="58"/>
      <c r="L8379" s="13" t="str">
        <f t="shared" si="1350"/>
        <v/>
      </c>
      <c r="M8379" s="13" t="str">
        <f t="shared" si="1351"/>
        <v/>
      </c>
      <c r="Q8379" t="str">
        <f t="shared" si="1352"/>
        <v/>
      </c>
      <c r="R8379" t="str">
        <f t="shared" si="1353"/>
        <v/>
      </c>
      <c r="S8379" t="str">
        <f t="shared" si="1354"/>
        <v/>
      </c>
      <c r="T8379" t="str">
        <f t="shared" si="1355"/>
        <v/>
      </c>
      <c r="U8379" t="str">
        <f t="shared" si="1356"/>
        <v/>
      </c>
      <c r="V8379" t="str">
        <f t="shared" si="1357"/>
        <v/>
      </c>
      <c r="W8379" t="str">
        <f t="shared" si="1358"/>
        <v/>
      </c>
      <c r="X8379">
        <f t="shared" si="1360"/>
        <v>0</v>
      </c>
      <c r="Z8379" t="str">
        <f t="shared" si="1359"/>
        <v/>
      </c>
      <c r="AA8379">
        <f t="shared" si="1361"/>
        <v>0</v>
      </c>
    </row>
    <row r="8380" spans="1:27" ht="21" customHeight="1" x14ac:dyDescent="0.95">
      <c r="A8380" s="56"/>
      <c r="B8380" s="57"/>
      <c r="C8380" s="57"/>
      <c r="D8380" s="57"/>
      <c r="E8380" s="56"/>
      <c r="F8380" s="57"/>
      <c r="G8380" s="57"/>
      <c r="H8380" s="56"/>
      <c r="I8380" s="56"/>
      <c r="J8380" s="58"/>
      <c r="K8380" s="58"/>
      <c r="L8380" s="13" t="str">
        <f t="shared" si="1350"/>
        <v/>
      </c>
      <c r="M8380" s="13" t="str">
        <f t="shared" si="1351"/>
        <v/>
      </c>
      <c r="Q8380" t="str">
        <f t="shared" si="1352"/>
        <v/>
      </c>
      <c r="R8380" t="str">
        <f t="shared" si="1353"/>
        <v/>
      </c>
      <c r="S8380" t="str">
        <f t="shared" si="1354"/>
        <v/>
      </c>
      <c r="T8380" t="str">
        <f t="shared" si="1355"/>
        <v/>
      </c>
      <c r="U8380" t="str">
        <f t="shared" si="1356"/>
        <v/>
      </c>
      <c r="V8380" t="str">
        <f t="shared" si="1357"/>
        <v/>
      </c>
      <c r="W8380" t="str">
        <f t="shared" si="1358"/>
        <v/>
      </c>
      <c r="X8380">
        <f t="shared" si="1360"/>
        <v>0</v>
      </c>
      <c r="Z8380" t="str">
        <f t="shared" si="1359"/>
        <v/>
      </c>
      <c r="AA8380">
        <f t="shared" si="1361"/>
        <v>0</v>
      </c>
    </row>
    <row r="8381" spans="1:27" ht="21" customHeight="1" x14ac:dyDescent="0.95">
      <c r="A8381" s="56"/>
      <c r="B8381" s="57"/>
      <c r="C8381" s="57"/>
      <c r="D8381" s="57"/>
      <c r="E8381" s="56"/>
      <c r="F8381" s="57"/>
      <c r="G8381" s="57"/>
      <c r="H8381" s="56"/>
      <c r="I8381" s="56"/>
      <c r="J8381" s="58"/>
      <c r="K8381" s="58"/>
      <c r="L8381" s="13" t="str">
        <f t="shared" si="1350"/>
        <v/>
      </c>
      <c r="M8381" s="13" t="str">
        <f t="shared" si="1351"/>
        <v/>
      </c>
      <c r="Q8381" t="str">
        <f t="shared" si="1352"/>
        <v/>
      </c>
      <c r="R8381" t="str">
        <f t="shared" si="1353"/>
        <v/>
      </c>
      <c r="S8381" t="str">
        <f t="shared" si="1354"/>
        <v/>
      </c>
      <c r="T8381" t="str">
        <f t="shared" si="1355"/>
        <v/>
      </c>
      <c r="U8381" t="str">
        <f t="shared" si="1356"/>
        <v/>
      </c>
      <c r="V8381" t="str">
        <f t="shared" si="1357"/>
        <v/>
      </c>
      <c r="W8381" t="str">
        <f t="shared" si="1358"/>
        <v/>
      </c>
      <c r="X8381">
        <f t="shared" si="1360"/>
        <v>0</v>
      </c>
      <c r="Z8381" t="str">
        <f t="shared" si="1359"/>
        <v/>
      </c>
      <c r="AA8381">
        <f t="shared" si="1361"/>
        <v>0</v>
      </c>
    </row>
    <row r="8382" spans="1:27" ht="21" customHeight="1" x14ac:dyDescent="0.95">
      <c r="A8382" s="56"/>
      <c r="B8382" s="57"/>
      <c r="C8382" s="57"/>
      <c r="D8382" s="57"/>
      <c r="E8382" s="56"/>
      <c r="F8382" s="57"/>
      <c r="G8382" s="57"/>
      <c r="H8382" s="56"/>
      <c r="I8382" s="56"/>
      <c r="J8382" s="58"/>
      <c r="K8382" s="58"/>
      <c r="L8382" s="13" t="str">
        <f t="shared" si="1350"/>
        <v/>
      </c>
      <c r="M8382" s="13" t="str">
        <f t="shared" si="1351"/>
        <v/>
      </c>
      <c r="Q8382" t="str">
        <f t="shared" si="1352"/>
        <v/>
      </c>
      <c r="R8382" t="str">
        <f t="shared" si="1353"/>
        <v/>
      </c>
      <c r="S8382" t="str">
        <f t="shared" si="1354"/>
        <v/>
      </c>
      <c r="T8382" t="str">
        <f t="shared" si="1355"/>
        <v/>
      </c>
      <c r="U8382" t="str">
        <f t="shared" si="1356"/>
        <v/>
      </c>
      <c r="V8382" t="str">
        <f t="shared" si="1357"/>
        <v/>
      </c>
      <c r="W8382" t="str">
        <f t="shared" si="1358"/>
        <v/>
      </c>
      <c r="X8382">
        <f t="shared" si="1360"/>
        <v>0</v>
      </c>
      <c r="Z8382" t="str">
        <f t="shared" si="1359"/>
        <v/>
      </c>
      <c r="AA8382">
        <f t="shared" si="1361"/>
        <v>0</v>
      </c>
    </row>
    <row r="8383" spans="1:27" ht="21" customHeight="1" x14ac:dyDescent="0.95">
      <c r="A8383" s="56"/>
      <c r="B8383" s="57"/>
      <c r="C8383" s="57"/>
      <c r="D8383" s="57"/>
      <c r="E8383" s="56"/>
      <c r="F8383" s="57"/>
      <c r="G8383" s="57"/>
      <c r="H8383" s="56"/>
      <c r="I8383" s="56"/>
      <c r="J8383" s="58"/>
      <c r="K8383" s="58"/>
      <c r="L8383" s="13" t="str">
        <f t="shared" si="1350"/>
        <v/>
      </c>
      <c r="M8383" s="13" t="str">
        <f t="shared" si="1351"/>
        <v/>
      </c>
      <c r="Q8383" t="str">
        <f t="shared" si="1352"/>
        <v/>
      </c>
      <c r="R8383" t="str">
        <f t="shared" si="1353"/>
        <v/>
      </c>
      <c r="S8383" t="str">
        <f t="shared" si="1354"/>
        <v/>
      </c>
      <c r="T8383" t="str">
        <f t="shared" si="1355"/>
        <v/>
      </c>
      <c r="U8383" t="str">
        <f t="shared" si="1356"/>
        <v/>
      </c>
      <c r="V8383" t="str">
        <f t="shared" si="1357"/>
        <v/>
      </c>
      <c r="W8383" t="str">
        <f t="shared" si="1358"/>
        <v/>
      </c>
      <c r="X8383">
        <f t="shared" si="1360"/>
        <v>0</v>
      </c>
      <c r="Z8383" t="str">
        <f t="shared" si="1359"/>
        <v/>
      </c>
      <c r="AA8383">
        <f t="shared" si="1361"/>
        <v>0</v>
      </c>
    </row>
    <row r="8384" spans="1:27" ht="21" customHeight="1" x14ac:dyDescent="0.95">
      <c r="A8384" s="56"/>
      <c r="B8384" s="57"/>
      <c r="C8384" s="57"/>
      <c r="D8384" s="57"/>
      <c r="E8384" s="56"/>
      <c r="F8384" s="57"/>
      <c r="G8384" s="57"/>
      <c r="H8384" s="56"/>
      <c r="I8384" s="56"/>
      <c r="J8384" s="58"/>
      <c r="K8384" s="58"/>
      <c r="L8384" s="13" t="str">
        <f t="shared" si="1350"/>
        <v/>
      </c>
      <c r="M8384" s="13" t="str">
        <f t="shared" si="1351"/>
        <v/>
      </c>
      <c r="Q8384" t="str">
        <f t="shared" si="1352"/>
        <v/>
      </c>
      <c r="R8384" t="str">
        <f t="shared" si="1353"/>
        <v/>
      </c>
      <c r="S8384" t="str">
        <f t="shared" si="1354"/>
        <v/>
      </c>
      <c r="T8384" t="str">
        <f t="shared" si="1355"/>
        <v/>
      </c>
      <c r="U8384" t="str">
        <f t="shared" si="1356"/>
        <v/>
      </c>
      <c r="V8384" t="str">
        <f t="shared" si="1357"/>
        <v/>
      </c>
      <c r="W8384" t="str">
        <f t="shared" si="1358"/>
        <v/>
      </c>
      <c r="X8384">
        <f t="shared" si="1360"/>
        <v>0</v>
      </c>
      <c r="Z8384" t="str">
        <f t="shared" si="1359"/>
        <v/>
      </c>
      <c r="AA8384">
        <f t="shared" si="1361"/>
        <v>0</v>
      </c>
    </row>
    <row r="8385" spans="1:27" ht="21" customHeight="1" x14ac:dyDescent="0.95">
      <c r="A8385" s="56"/>
      <c r="B8385" s="57"/>
      <c r="C8385" s="57"/>
      <c r="D8385" s="57"/>
      <c r="E8385" s="56"/>
      <c r="F8385" s="57"/>
      <c r="G8385" s="57"/>
      <c r="H8385" s="56"/>
      <c r="I8385" s="56"/>
      <c r="J8385" s="58"/>
      <c r="K8385" s="58"/>
      <c r="L8385" s="13" t="str">
        <f t="shared" si="1350"/>
        <v/>
      </c>
      <c r="M8385" s="13" t="str">
        <f t="shared" si="1351"/>
        <v/>
      </c>
      <c r="Q8385" t="str">
        <f t="shared" si="1352"/>
        <v/>
      </c>
      <c r="R8385" t="str">
        <f t="shared" si="1353"/>
        <v/>
      </c>
      <c r="S8385" t="str">
        <f t="shared" si="1354"/>
        <v/>
      </c>
      <c r="T8385" t="str">
        <f t="shared" si="1355"/>
        <v/>
      </c>
      <c r="U8385" t="str">
        <f t="shared" si="1356"/>
        <v/>
      </c>
      <c r="V8385" t="str">
        <f t="shared" si="1357"/>
        <v/>
      </c>
      <c r="W8385" t="str">
        <f t="shared" si="1358"/>
        <v/>
      </c>
      <c r="X8385">
        <f t="shared" si="1360"/>
        <v>0</v>
      </c>
      <c r="Z8385" t="str">
        <f t="shared" si="1359"/>
        <v/>
      </c>
      <c r="AA8385">
        <f t="shared" si="1361"/>
        <v>0</v>
      </c>
    </row>
    <row r="8386" spans="1:27" ht="21" customHeight="1" x14ac:dyDescent="0.95">
      <c r="A8386" s="56"/>
      <c r="B8386" s="57"/>
      <c r="C8386" s="57"/>
      <c r="D8386" s="57"/>
      <c r="E8386" s="56"/>
      <c r="F8386" s="57"/>
      <c r="G8386" s="57"/>
      <c r="H8386" s="56"/>
      <c r="I8386" s="56"/>
      <c r="J8386" s="58"/>
      <c r="K8386" s="58"/>
      <c r="L8386" s="13" t="str">
        <f t="shared" si="1350"/>
        <v/>
      </c>
      <c r="M8386" s="13" t="str">
        <f t="shared" si="1351"/>
        <v/>
      </c>
      <c r="Q8386" t="str">
        <f t="shared" si="1352"/>
        <v/>
      </c>
      <c r="R8386" t="str">
        <f t="shared" si="1353"/>
        <v/>
      </c>
      <c r="S8386" t="str">
        <f t="shared" si="1354"/>
        <v/>
      </c>
      <c r="T8386" t="str">
        <f t="shared" si="1355"/>
        <v/>
      </c>
      <c r="U8386" t="str">
        <f t="shared" si="1356"/>
        <v/>
      </c>
      <c r="V8386" t="str">
        <f t="shared" si="1357"/>
        <v/>
      </c>
      <c r="W8386" t="str">
        <f t="shared" si="1358"/>
        <v/>
      </c>
      <c r="X8386">
        <f t="shared" si="1360"/>
        <v>0</v>
      </c>
      <c r="Z8386" t="str">
        <f t="shared" si="1359"/>
        <v/>
      </c>
      <c r="AA8386">
        <f t="shared" si="1361"/>
        <v>0</v>
      </c>
    </row>
    <row r="8387" spans="1:27" ht="21" customHeight="1" x14ac:dyDescent="0.95">
      <c r="A8387" s="56"/>
      <c r="B8387" s="57"/>
      <c r="C8387" s="57"/>
      <c r="D8387" s="57"/>
      <c r="E8387" s="56"/>
      <c r="F8387" s="57"/>
      <c r="G8387" s="57"/>
      <c r="H8387" s="56"/>
      <c r="I8387" s="56"/>
      <c r="J8387" s="58"/>
      <c r="K8387" s="58"/>
      <c r="L8387" s="13" t="str">
        <f t="shared" si="1350"/>
        <v/>
      </c>
      <c r="M8387" s="13" t="str">
        <f t="shared" si="1351"/>
        <v/>
      </c>
      <c r="Q8387" t="str">
        <f t="shared" si="1352"/>
        <v/>
      </c>
      <c r="R8387" t="str">
        <f t="shared" si="1353"/>
        <v/>
      </c>
      <c r="S8387" t="str">
        <f t="shared" si="1354"/>
        <v/>
      </c>
      <c r="T8387" t="str">
        <f t="shared" si="1355"/>
        <v/>
      </c>
      <c r="U8387" t="str">
        <f t="shared" si="1356"/>
        <v/>
      </c>
      <c r="V8387" t="str">
        <f t="shared" si="1357"/>
        <v/>
      </c>
      <c r="W8387" t="str">
        <f t="shared" si="1358"/>
        <v/>
      </c>
      <c r="X8387">
        <f t="shared" si="1360"/>
        <v>0</v>
      </c>
      <c r="Z8387" t="str">
        <f t="shared" si="1359"/>
        <v/>
      </c>
      <c r="AA8387">
        <f t="shared" si="1361"/>
        <v>0</v>
      </c>
    </row>
    <row r="8388" spans="1:27" ht="21" customHeight="1" x14ac:dyDescent="0.95">
      <c r="A8388" s="56"/>
      <c r="B8388" s="57"/>
      <c r="C8388" s="57"/>
      <c r="D8388" s="57"/>
      <c r="E8388" s="56"/>
      <c r="F8388" s="57"/>
      <c r="G8388" s="57"/>
      <c r="H8388" s="56"/>
      <c r="I8388" s="56"/>
      <c r="J8388" s="58"/>
      <c r="K8388" s="58"/>
      <c r="L8388" s="13" t="str">
        <f t="shared" ref="L8388:L8451" si="1362">IF(OR($A8388="",AND($J8388="",$K8388="")),"",ROUND(N($J8388)-N($K8388),2))</f>
        <v/>
      </c>
      <c r="M8388" s="13" t="str">
        <f t="shared" ref="M8388:M8451" si="1363">IF(OR($A8388="",AND($J8388="",$K8388="")),"",MIN($J8388,$K8388))</f>
        <v/>
      </c>
      <c r="Q8388" t="str">
        <f t="shared" ref="Q8388:Q8451" si="1364">IF($A8388="","",$D8388&amp;"("&amp;SUBSTITUTE($E8388," ","")&amp;")")</f>
        <v/>
      </c>
      <c r="R8388" t="str">
        <f t="shared" ref="R8388:R8451" si="1365">IF($A8388="","",$B8388&amp;" - "&amp;$C8388)</f>
        <v/>
      </c>
      <c r="S8388" t="str">
        <f t="shared" ref="S8388:S8451" si="1366">IF($A8388="","",$R8388&amp;"|"&amp;$Q8388)</f>
        <v/>
      </c>
      <c r="T8388" t="str">
        <f t="shared" ref="T8388:T8451" si="1367">IF($A8388="","",$S8388&amp;"|"&amp;$F8388)</f>
        <v/>
      </c>
      <c r="U8388" t="str">
        <f t="shared" ref="U8388:U8451" si="1368">IF($A8388="","",$R8388&amp;"("&amp;$E8388&amp;")")</f>
        <v/>
      </c>
      <c r="V8388" t="str">
        <f t="shared" ref="V8388:V8451" si="1369">IF($A8388="","",$F8388&amp;"|"&amp;$U8388&amp;"|"&amp;$D8388)</f>
        <v/>
      </c>
      <c r="W8388" t="str">
        <f t="shared" si="1358"/>
        <v/>
      </c>
      <c r="X8388">
        <f t="shared" si="1360"/>
        <v>0</v>
      </c>
      <c r="Z8388" t="str">
        <f t="shared" si="1359"/>
        <v/>
      </c>
      <c r="AA8388">
        <f t="shared" si="1361"/>
        <v>0</v>
      </c>
    </row>
    <row r="8389" spans="1:27" ht="21" customHeight="1" x14ac:dyDescent="0.95">
      <c r="A8389" s="56"/>
      <c r="B8389" s="57"/>
      <c r="C8389" s="57"/>
      <c r="D8389" s="57"/>
      <c r="E8389" s="56"/>
      <c r="F8389" s="57"/>
      <c r="G8389" s="57"/>
      <c r="H8389" s="56"/>
      <c r="I8389" s="56"/>
      <c r="J8389" s="58"/>
      <c r="K8389" s="58"/>
      <c r="L8389" s="13" t="str">
        <f t="shared" si="1362"/>
        <v/>
      </c>
      <c r="M8389" s="13" t="str">
        <f t="shared" si="1363"/>
        <v/>
      </c>
      <c r="Q8389" t="str">
        <f t="shared" si="1364"/>
        <v/>
      </c>
      <c r="R8389" t="str">
        <f t="shared" si="1365"/>
        <v/>
      </c>
      <c r="S8389" t="str">
        <f t="shared" si="1366"/>
        <v/>
      </c>
      <c r="T8389" t="str">
        <f t="shared" si="1367"/>
        <v/>
      </c>
      <c r="U8389" t="str">
        <f t="shared" si="1368"/>
        <v/>
      </c>
      <c r="V8389" t="str">
        <f t="shared" si="1369"/>
        <v/>
      </c>
      <c r="W8389" t="str">
        <f t="shared" si="1358"/>
        <v/>
      </c>
      <c r="X8389">
        <f t="shared" si="1360"/>
        <v>0</v>
      </c>
      <c r="Z8389" t="str">
        <f t="shared" si="1359"/>
        <v/>
      </c>
      <c r="AA8389">
        <f t="shared" si="1361"/>
        <v>0</v>
      </c>
    </row>
    <row r="8390" spans="1:27" ht="21" customHeight="1" x14ac:dyDescent="0.95">
      <c r="A8390" s="56"/>
      <c r="B8390" s="57"/>
      <c r="C8390" s="57"/>
      <c r="D8390" s="57"/>
      <c r="E8390" s="56"/>
      <c r="F8390" s="57"/>
      <c r="G8390" s="57"/>
      <c r="H8390" s="56"/>
      <c r="I8390" s="56"/>
      <c r="J8390" s="58"/>
      <c r="K8390" s="58"/>
      <c r="L8390" s="13" t="str">
        <f t="shared" si="1362"/>
        <v/>
      </c>
      <c r="M8390" s="13" t="str">
        <f t="shared" si="1363"/>
        <v/>
      </c>
      <c r="Q8390" t="str">
        <f t="shared" si="1364"/>
        <v/>
      </c>
      <c r="R8390" t="str">
        <f t="shared" si="1365"/>
        <v/>
      </c>
      <c r="S8390" t="str">
        <f t="shared" si="1366"/>
        <v/>
      </c>
      <c r="T8390" t="str">
        <f t="shared" si="1367"/>
        <v/>
      </c>
      <c r="U8390" t="str">
        <f t="shared" si="1368"/>
        <v/>
      </c>
      <c r="V8390" t="str">
        <f t="shared" si="1369"/>
        <v/>
      </c>
      <c r="W8390" t="str">
        <f t="shared" ref="W8390:W8453" si="1370">IF($T8390="","",IF($X8390&gt;N($X8389),$X8390,""))</f>
        <v/>
      </c>
      <c r="X8390">
        <f t="shared" si="1360"/>
        <v>0</v>
      </c>
      <c r="Z8390" t="str">
        <f t="shared" ref="Z8390:Z8453" si="1371">IF($V8390="","",IF($AA8390&gt;N($AA8389),$AA8390,""))</f>
        <v/>
      </c>
      <c r="AA8390">
        <f t="shared" si="1361"/>
        <v>0</v>
      </c>
    </row>
    <row r="8391" spans="1:27" ht="21" customHeight="1" x14ac:dyDescent="0.95">
      <c r="A8391" s="56"/>
      <c r="B8391" s="57"/>
      <c r="C8391" s="57"/>
      <c r="D8391" s="57"/>
      <c r="E8391" s="56"/>
      <c r="F8391" s="57"/>
      <c r="G8391" s="57"/>
      <c r="H8391" s="56"/>
      <c r="I8391" s="56"/>
      <c r="J8391" s="58"/>
      <c r="K8391" s="58"/>
      <c r="L8391" s="13" t="str">
        <f t="shared" si="1362"/>
        <v/>
      </c>
      <c r="M8391" s="13" t="str">
        <f t="shared" si="1363"/>
        <v/>
      </c>
      <c r="Q8391" t="str">
        <f t="shared" si="1364"/>
        <v/>
      </c>
      <c r="R8391" t="str">
        <f t="shared" si="1365"/>
        <v/>
      </c>
      <c r="S8391" t="str">
        <f t="shared" si="1366"/>
        <v/>
      </c>
      <c r="T8391" t="str">
        <f t="shared" si="1367"/>
        <v/>
      </c>
      <c r="U8391" t="str">
        <f t="shared" si="1368"/>
        <v/>
      </c>
      <c r="V8391" t="str">
        <f t="shared" si="1369"/>
        <v/>
      </c>
      <c r="W8391" t="str">
        <f t="shared" si="1370"/>
        <v/>
      </c>
      <c r="X8391">
        <f t="shared" si="1360"/>
        <v>0</v>
      </c>
      <c r="Z8391" t="str">
        <f t="shared" si="1371"/>
        <v/>
      </c>
      <c r="AA8391">
        <f t="shared" si="1361"/>
        <v>0</v>
      </c>
    </row>
    <row r="8392" spans="1:27" ht="21" customHeight="1" x14ac:dyDescent="0.95">
      <c r="A8392" s="56"/>
      <c r="B8392" s="57"/>
      <c r="C8392" s="57"/>
      <c r="D8392" s="57"/>
      <c r="E8392" s="56"/>
      <c r="F8392" s="57"/>
      <c r="G8392" s="57"/>
      <c r="H8392" s="56"/>
      <c r="I8392" s="56"/>
      <c r="J8392" s="58"/>
      <c r="K8392" s="58"/>
      <c r="L8392" s="13" t="str">
        <f t="shared" si="1362"/>
        <v/>
      </c>
      <c r="M8392" s="13" t="str">
        <f t="shared" si="1363"/>
        <v/>
      </c>
      <c r="Q8392" t="str">
        <f t="shared" si="1364"/>
        <v/>
      </c>
      <c r="R8392" t="str">
        <f t="shared" si="1365"/>
        <v/>
      </c>
      <c r="S8392" t="str">
        <f t="shared" si="1366"/>
        <v/>
      </c>
      <c r="T8392" t="str">
        <f t="shared" si="1367"/>
        <v/>
      </c>
      <c r="U8392" t="str">
        <f t="shared" si="1368"/>
        <v/>
      </c>
      <c r="V8392" t="str">
        <f t="shared" si="1369"/>
        <v/>
      </c>
      <c r="W8392" t="str">
        <f t="shared" si="1370"/>
        <v/>
      </c>
      <c r="X8392">
        <f t="shared" si="1360"/>
        <v>0</v>
      </c>
      <c r="Z8392" t="str">
        <f t="shared" si="1371"/>
        <v/>
      </c>
      <c r="AA8392">
        <f t="shared" si="1361"/>
        <v>0</v>
      </c>
    </row>
    <row r="8393" spans="1:27" ht="21" customHeight="1" x14ac:dyDescent="0.95">
      <c r="A8393" s="56"/>
      <c r="B8393" s="57"/>
      <c r="C8393" s="57"/>
      <c r="D8393" s="57"/>
      <c r="E8393" s="56"/>
      <c r="F8393" s="57"/>
      <c r="G8393" s="57"/>
      <c r="H8393" s="56"/>
      <c r="I8393" s="56"/>
      <c r="J8393" s="58"/>
      <c r="K8393" s="58"/>
      <c r="L8393" s="13" t="str">
        <f t="shared" si="1362"/>
        <v/>
      </c>
      <c r="M8393" s="13" t="str">
        <f t="shared" si="1363"/>
        <v/>
      </c>
      <c r="Q8393" t="str">
        <f t="shared" si="1364"/>
        <v/>
      </c>
      <c r="R8393" t="str">
        <f t="shared" si="1365"/>
        <v/>
      </c>
      <c r="S8393" t="str">
        <f t="shared" si="1366"/>
        <v/>
      </c>
      <c r="T8393" t="str">
        <f t="shared" si="1367"/>
        <v/>
      </c>
      <c r="U8393" t="str">
        <f t="shared" si="1368"/>
        <v/>
      </c>
      <c r="V8393" t="str">
        <f t="shared" si="1369"/>
        <v/>
      </c>
      <c r="W8393" t="str">
        <f t="shared" si="1370"/>
        <v/>
      </c>
      <c r="X8393">
        <f t="shared" si="1360"/>
        <v>0</v>
      </c>
      <c r="Z8393" t="str">
        <f t="shared" si="1371"/>
        <v/>
      </c>
      <c r="AA8393">
        <f t="shared" si="1361"/>
        <v>0</v>
      </c>
    </row>
    <row r="8394" spans="1:27" ht="21" customHeight="1" x14ac:dyDescent="0.95">
      <c r="A8394" s="56"/>
      <c r="B8394" s="57"/>
      <c r="C8394" s="57"/>
      <c r="D8394" s="57"/>
      <c r="E8394" s="56"/>
      <c r="F8394" s="57"/>
      <c r="G8394" s="57"/>
      <c r="H8394" s="56"/>
      <c r="I8394" s="56"/>
      <c r="J8394" s="58"/>
      <c r="K8394" s="58"/>
      <c r="L8394" s="13" t="str">
        <f t="shared" si="1362"/>
        <v/>
      </c>
      <c r="M8394" s="13" t="str">
        <f t="shared" si="1363"/>
        <v/>
      </c>
      <c r="Q8394" t="str">
        <f t="shared" si="1364"/>
        <v/>
      </c>
      <c r="R8394" t="str">
        <f t="shared" si="1365"/>
        <v/>
      </c>
      <c r="S8394" t="str">
        <f t="shared" si="1366"/>
        <v/>
      </c>
      <c r="T8394" t="str">
        <f t="shared" si="1367"/>
        <v/>
      </c>
      <c r="U8394" t="str">
        <f t="shared" si="1368"/>
        <v/>
      </c>
      <c r="V8394" t="str">
        <f t="shared" si="1369"/>
        <v/>
      </c>
      <c r="W8394" t="str">
        <f t="shared" si="1370"/>
        <v/>
      </c>
      <c r="X8394">
        <f t="shared" si="1360"/>
        <v>0</v>
      </c>
      <c r="Z8394" t="str">
        <f t="shared" si="1371"/>
        <v/>
      </c>
      <c r="AA8394">
        <f t="shared" si="1361"/>
        <v>0</v>
      </c>
    </row>
    <row r="8395" spans="1:27" ht="21" customHeight="1" x14ac:dyDescent="0.95">
      <c r="A8395" s="56"/>
      <c r="B8395" s="57"/>
      <c r="C8395" s="57"/>
      <c r="D8395" s="57"/>
      <c r="E8395" s="56"/>
      <c r="F8395" s="57"/>
      <c r="G8395" s="57"/>
      <c r="H8395" s="56"/>
      <c r="I8395" s="56"/>
      <c r="J8395" s="58"/>
      <c r="K8395" s="58"/>
      <c r="L8395" s="13" t="str">
        <f t="shared" si="1362"/>
        <v/>
      </c>
      <c r="M8395" s="13" t="str">
        <f t="shared" si="1363"/>
        <v/>
      </c>
      <c r="Q8395" t="str">
        <f t="shared" si="1364"/>
        <v/>
      </c>
      <c r="R8395" t="str">
        <f t="shared" si="1365"/>
        <v/>
      </c>
      <c r="S8395" t="str">
        <f t="shared" si="1366"/>
        <v/>
      </c>
      <c r="T8395" t="str">
        <f t="shared" si="1367"/>
        <v/>
      </c>
      <c r="U8395" t="str">
        <f t="shared" si="1368"/>
        <v/>
      </c>
      <c r="V8395" t="str">
        <f t="shared" si="1369"/>
        <v/>
      </c>
      <c r="W8395" t="str">
        <f t="shared" si="1370"/>
        <v/>
      </c>
      <c r="X8395">
        <f t="shared" si="1360"/>
        <v>0</v>
      </c>
      <c r="Z8395" t="str">
        <f t="shared" si="1371"/>
        <v/>
      </c>
      <c r="AA8395">
        <f t="shared" si="1361"/>
        <v>0</v>
      </c>
    </row>
    <row r="8396" spans="1:27" ht="21" customHeight="1" x14ac:dyDescent="0.95">
      <c r="A8396" s="56"/>
      <c r="B8396" s="57"/>
      <c r="C8396" s="57"/>
      <c r="D8396" s="57"/>
      <c r="E8396" s="56"/>
      <c r="F8396" s="57"/>
      <c r="G8396" s="57"/>
      <c r="H8396" s="56"/>
      <c r="I8396" s="56"/>
      <c r="J8396" s="58"/>
      <c r="K8396" s="58"/>
      <c r="L8396" s="13" t="str">
        <f t="shared" si="1362"/>
        <v/>
      </c>
      <c r="M8396" s="13" t="str">
        <f t="shared" si="1363"/>
        <v/>
      </c>
      <c r="Q8396" t="str">
        <f t="shared" si="1364"/>
        <v/>
      </c>
      <c r="R8396" t="str">
        <f t="shared" si="1365"/>
        <v/>
      </c>
      <c r="S8396" t="str">
        <f t="shared" si="1366"/>
        <v/>
      </c>
      <c r="T8396" t="str">
        <f t="shared" si="1367"/>
        <v/>
      </c>
      <c r="U8396" t="str">
        <f t="shared" si="1368"/>
        <v/>
      </c>
      <c r="V8396" t="str">
        <f t="shared" si="1369"/>
        <v/>
      </c>
      <c r="W8396" t="str">
        <f t="shared" si="1370"/>
        <v/>
      </c>
      <c r="X8396">
        <f t="shared" si="1360"/>
        <v>0</v>
      </c>
      <c r="Z8396" t="str">
        <f t="shared" si="1371"/>
        <v/>
      </c>
      <c r="AA8396">
        <f t="shared" si="1361"/>
        <v>0</v>
      </c>
    </row>
    <row r="8397" spans="1:27" ht="21" customHeight="1" x14ac:dyDescent="0.95">
      <c r="A8397" s="56"/>
      <c r="B8397" s="57"/>
      <c r="C8397" s="57"/>
      <c r="D8397" s="57"/>
      <c r="E8397" s="56"/>
      <c r="F8397" s="57"/>
      <c r="G8397" s="57"/>
      <c r="H8397" s="56"/>
      <c r="I8397" s="56"/>
      <c r="J8397" s="58"/>
      <c r="K8397" s="58"/>
      <c r="L8397" s="13" t="str">
        <f t="shared" si="1362"/>
        <v/>
      </c>
      <c r="M8397" s="13" t="str">
        <f t="shared" si="1363"/>
        <v/>
      </c>
      <c r="Q8397" t="str">
        <f t="shared" si="1364"/>
        <v/>
      </c>
      <c r="R8397" t="str">
        <f t="shared" si="1365"/>
        <v/>
      </c>
      <c r="S8397" t="str">
        <f t="shared" si="1366"/>
        <v/>
      </c>
      <c r="T8397" t="str">
        <f t="shared" si="1367"/>
        <v/>
      </c>
      <c r="U8397" t="str">
        <f t="shared" si="1368"/>
        <v/>
      </c>
      <c r="V8397" t="str">
        <f t="shared" si="1369"/>
        <v/>
      </c>
      <c r="W8397" t="str">
        <f t="shared" si="1370"/>
        <v/>
      </c>
      <c r="X8397">
        <f t="shared" si="1360"/>
        <v>0</v>
      </c>
      <c r="Z8397" t="str">
        <f t="shared" si="1371"/>
        <v/>
      </c>
      <c r="AA8397">
        <f t="shared" si="1361"/>
        <v>0</v>
      </c>
    </row>
    <row r="8398" spans="1:27" ht="21" customHeight="1" x14ac:dyDescent="0.95">
      <c r="A8398" s="56"/>
      <c r="B8398" s="57"/>
      <c r="C8398" s="57"/>
      <c r="D8398" s="57"/>
      <c r="E8398" s="56"/>
      <c r="F8398" s="57"/>
      <c r="G8398" s="57"/>
      <c r="H8398" s="56"/>
      <c r="I8398" s="56"/>
      <c r="J8398" s="58"/>
      <c r="K8398" s="58"/>
      <c r="L8398" s="13" t="str">
        <f t="shared" si="1362"/>
        <v/>
      </c>
      <c r="M8398" s="13" t="str">
        <f t="shared" si="1363"/>
        <v/>
      </c>
      <c r="Q8398" t="str">
        <f t="shared" si="1364"/>
        <v/>
      </c>
      <c r="R8398" t="str">
        <f t="shared" si="1365"/>
        <v/>
      </c>
      <c r="S8398" t="str">
        <f t="shared" si="1366"/>
        <v/>
      </c>
      <c r="T8398" t="str">
        <f t="shared" si="1367"/>
        <v/>
      </c>
      <c r="U8398" t="str">
        <f t="shared" si="1368"/>
        <v/>
      </c>
      <c r="V8398" t="str">
        <f t="shared" si="1369"/>
        <v/>
      </c>
      <c r="W8398" t="str">
        <f t="shared" si="1370"/>
        <v/>
      </c>
      <c r="X8398">
        <f t="shared" si="1360"/>
        <v>0</v>
      </c>
      <c r="Z8398" t="str">
        <f t="shared" si="1371"/>
        <v/>
      </c>
      <c r="AA8398">
        <f t="shared" si="1361"/>
        <v>0</v>
      </c>
    </row>
    <row r="8399" spans="1:27" ht="21" customHeight="1" x14ac:dyDescent="0.95">
      <c r="A8399" s="56"/>
      <c r="B8399" s="57"/>
      <c r="C8399" s="57"/>
      <c r="D8399" s="57"/>
      <c r="E8399" s="56"/>
      <c r="F8399" s="57"/>
      <c r="G8399" s="57"/>
      <c r="H8399" s="56"/>
      <c r="I8399" s="56"/>
      <c r="J8399" s="58"/>
      <c r="K8399" s="58"/>
      <c r="L8399" s="13" t="str">
        <f t="shared" si="1362"/>
        <v/>
      </c>
      <c r="M8399" s="13" t="str">
        <f t="shared" si="1363"/>
        <v/>
      </c>
      <c r="Q8399" t="str">
        <f t="shared" si="1364"/>
        <v/>
      </c>
      <c r="R8399" t="str">
        <f t="shared" si="1365"/>
        <v/>
      </c>
      <c r="S8399" t="str">
        <f t="shared" si="1366"/>
        <v/>
      </c>
      <c r="T8399" t="str">
        <f t="shared" si="1367"/>
        <v/>
      </c>
      <c r="U8399" t="str">
        <f t="shared" si="1368"/>
        <v/>
      </c>
      <c r="V8399" t="str">
        <f t="shared" si="1369"/>
        <v/>
      </c>
      <c r="W8399" t="str">
        <f t="shared" si="1370"/>
        <v/>
      </c>
      <c r="X8399">
        <f t="shared" si="1360"/>
        <v>0</v>
      </c>
      <c r="Z8399" t="str">
        <f t="shared" si="1371"/>
        <v/>
      </c>
      <c r="AA8399">
        <f t="shared" si="1361"/>
        <v>0</v>
      </c>
    </row>
    <row r="8400" spans="1:27" ht="21" customHeight="1" x14ac:dyDescent="0.95">
      <c r="A8400" s="56"/>
      <c r="B8400" s="57"/>
      <c r="C8400" s="57"/>
      <c r="D8400" s="57"/>
      <c r="E8400" s="56"/>
      <c r="F8400" s="57"/>
      <c r="G8400" s="57"/>
      <c r="H8400" s="56"/>
      <c r="I8400" s="56"/>
      <c r="J8400" s="58"/>
      <c r="K8400" s="58"/>
      <c r="L8400" s="13" t="str">
        <f t="shared" si="1362"/>
        <v/>
      </c>
      <c r="M8400" s="13" t="str">
        <f t="shared" si="1363"/>
        <v/>
      </c>
      <c r="Q8400" t="str">
        <f t="shared" si="1364"/>
        <v/>
      </c>
      <c r="R8400" t="str">
        <f t="shared" si="1365"/>
        <v/>
      </c>
      <c r="S8400" t="str">
        <f t="shared" si="1366"/>
        <v/>
      </c>
      <c r="T8400" t="str">
        <f t="shared" si="1367"/>
        <v/>
      </c>
      <c r="U8400" t="str">
        <f t="shared" si="1368"/>
        <v/>
      </c>
      <c r="V8400" t="str">
        <f t="shared" si="1369"/>
        <v/>
      </c>
      <c r="W8400" t="str">
        <f t="shared" si="1370"/>
        <v/>
      </c>
      <c r="X8400">
        <f t="shared" si="1360"/>
        <v>0</v>
      </c>
      <c r="Z8400" t="str">
        <f t="shared" si="1371"/>
        <v/>
      </c>
      <c r="AA8400">
        <f t="shared" si="1361"/>
        <v>0</v>
      </c>
    </row>
    <row r="8401" spans="1:27" ht="21" customHeight="1" x14ac:dyDescent="0.95">
      <c r="A8401" s="56"/>
      <c r="B8401" s="57"/>
      <c r="C8401" s="57"/>
      <c r="D8401" s="57"/>
      <c r="E8401" s="56"/>
      <c r="F8401" s="57"/>
      <c r="G8401" s="57"/>
      <c r="H8401" s="56"/>
      <c r="I8401" s="56"/>
      <c r="J8401" s="58"/>
      <c r="K8401" s="58"/>
      <c r="L8401" s="13" t="str">
        <f t="shared" si="1362"/>
        <v/>
      </c>
      <c r="M8401" s="13" t="str">
        <f t="shared" si="1363"/>
        <v/>
      </c>
      <c r="Q8401" t="str">
        <f t="shared" si="1364"/>
        <v/>
      </c>
      <c r="R8401" t="str">
        <f t="shared" si="1365"/>
        <v/>
      </c>
      <c r="S8401" t="str">
        <f t="shared" si="1366"/>
        <v/>
      </c>
      <c r="T8401" t="str">
        <f t="shared" si="1367"/>
        <v/>
      </c>
      <c r="U8401" t="str">
        <f t="shared" si="1368"/>
        <v/>
      </c>
      <c r="V8401" t="str">
        <f t="shared" si="1369"/>
        <v/>
      </c>
      <c r="W8401" t="str">
        <f t="shared" si="1370"/>
        <v/>
      </c>
      <c r="X8401">
        <f t="shared" si="1360"/>
        <v>0</v>
      </c>
      <c r="Z8401" t="str">
        <f t="shared" si="1371"/>
        <v/>
      </c>
      <c r="AA8401">
        <f t="shared" si="1361"/>
        <v>0</v>
      </c>
    </row>
    <row r="8402" spans="1:27" ht="21" customHeight="1" x14ac:dyDescent="0.95">
      <c r="A8402" s="56"/>
      <c r="B8402" s="57"/>
      <c r="C8402" s="57"/>
      <c r="D8402" s="57"/>
      <c r="E8402" s="56"/>
      <c r="F8402" s="57"/>
      <c r="G8402" s="57"/>
      <c r="H8402" s="56"/>
      <c r="I8402" s="56"/>
      <c r="J8402" s="58"/>
      <c r="K8402" s="58"/>
      <c r="L8402" s="13" t="str">
        <f t="shared" si="1362"/>
        <v/>
      </c>
      <c r="M8402" s="13" t="str">
        <f t="shared" si="1363"/>
        <v/>
      </c>
      <c r="Q8402" t="str">
        <f t="shared" si="1364"/>
        <v/>
      </c>
      <c r="R8402" t="str">
        <f t="shared" si="1365"/>
        <v/>
      </c>
      <c r="S8402" t="str">
        <f t="shared" si="1366"/>
        <v/>
      </c>
      <c r="T8402" t="str">
        <f t="shared" si="1367"/>
        <v/>
      </c>
      <c r="U8402" t="str">
        <f t="shared" si="1368"/>
        <v/>
      </c>
      <c r="V8402" t="str">
        <f t="shared" si="1369"/>
        <v/>
      </c>
      <c r="W8402" t="str">
        <f t="shared" si="1370"/>
        <v/>
      </c>
      <c r="X8402">
        <f t="shared" si="1360"/>
        <v>0</v>
      </c>
      <c r="Z8402" t="str">
        <f t="shared" si="1371"/>
        <v/>
      </c>
      <c r="AA8402">
        <f t="shared" si="1361"/>
        <v>0</v>
      </c>
    </row>
    <row r="8403" spans="1:27" ht="21" customHeight="1" x14ac:dyDescent="0.95">
      <c r="A8403" s="56"/>
      <c r="B8403" s="57"/>
      <c r="C8403" s="57"/>
      <c r="D8403" s="57"/>
      <c r="E8403" s="56"/>
      <c r="F8403" s="57"/>
      <c r="G8403" s="57"/>
      <c r="H8403" s="56"/>
      <c r="I8403" s="56"/>
      <c r="J8403" s="58"/>
      <c r="K8403" s="58"/>
      <c r="L8403" s="13" t="str">
        <f t="shared" si="1362"/>
        <v/>
      </c>
      <c r="M8403" s="13" t="str">
        <f t="shared" si="1363"/>
        <v/>
      </c>
      <c r="Q8403" t="str">
        <f t="shared" si="1364"/>
        <v/>
      </c>
      <c r="R8403" t="str">
        <f t="shared" si="1365"/>
        <v/>
      </c>
      <c r="S8403" t="str">
        <f t="shared" si="1366"/>
        <v/>
      </c>
      <c r="T8403" t="str">
        <f t="shared" si="1367"/>
        <v/>
      </c>
      <c r="U8403" t="str">
        <f t="shared" si="1368"/>
        <v/>
      </c>
      <c r="V8403" t="str">
        <f t="shared" si="1369"/>
        <v/>
      </c>
      <c r="W8403" t="str">
        <f t="shared" si="1370"/>
        <v/>
      </c>
      <c r="X8403">
        <f t="shared" si="1360"/>
        <v>0</v>
      </c>
      <c r="Z8403" t="str">
        <f t="shared" si="1371"/>
        <v/>
      </c>
      <c r="AA8403">
        <f t="shared" si="1361"/>
        <v>0</v>
      </c>
    </row>
    <row r="8404" spans="1:27" ht="21" customHeight="1" x14ac:dyDescent="0.95">
      <c r="A8404" s="56"/>
      <c r="B8404" s="57"/>
      <c r="C8404" s="57"/>
      <c r="D8404" s="57"/>
      <c r="E8404" s="56"/>
      <c r="F8404" s="57"/>
      <c r="G8404" s="57"/>
      <c r="H8404" s="56"/>
      <c r="I8404" s="56"/>
      <c r="J8404" s="58"/>
      <c r="K8404" s="58"/>
      <c r="L8404" s="13" t="str">
        <f t="shared" si="1362"/>
        <v/>
      </c>
      <c r="M8404" s="13" t="str">
        <f t="shared" si="1363"/>
        <v/>
      </c>
      <c r="Q8404" t="str">
        <f t="shared" si="1364"/>
        <v/>
      </c>
      <c r="R8404" t="str">
        <f t="shared" si="1365"/>
        <v/>
      </c>
      <c r="S8404" t="str">
        <f t="shared" si="1366"/>
        <v/>
      </c>
      <c r="T8404" t="str">
        <f t="shared" si="1367"/>
        <v/>
      </c>
      <c r="U8404" t="str">
        <f t="shared" si="1368"/>
        <v/>
      </c>
      <c r="V8404" t="str">
        <f t="shared" si="1369"/>
        <v/>
      </c>
      <c r="W8404" t="str">
        <f t="shared" si="1370"/>
        <v/>
      </c>
      <c r="X8404">
        <f t="shared" si="1360"/>
        <v>0</v>
      </c>
      <c r="Z8404" t="str">
        <f t="shared" si="1371"/>
        <v/>
      </c>
      <c r="AA8404">
        <f t="shared" si="1361"/>
        <v>0</v>
      </c>
    </row>
    <row r="8405" spans="1:27" ht="21" customHeight="1" x14ac:dyDescent="0.95">
      <c r="A8405" s="56"/>
      <c r="B8405" s="57"/>
      <c r="C8405" s="57"/>
      <c r="D8405" s="57"/>
      <c r="E8405" s="56"/>
      <c r="F8405" s="57"/>
      <c r="G8405" s="57"/>
      <c r="H8405" s="56"/>
      <c r="I8405" s="56"/>
      <c r="J8405" s="58"/>
      <c r="K8405" s="58"/>
      <c r="L8405" s="13" t="str">
        <f t="shared" si="1362"/>
        <v/>
      </c>
      <c r="M8405" s="13" t="str">
        <f t="shared" si="1363"/>
        <v/>
      </c>
      <c r="Q8405" t="str">
        <f t="shared" si="1364"/>
        <v/>
      </c>
      <c r="R8405" t="str">
        <f t="shared" si="1365"/>
        <v/>
      </c>
      <c r="S8405" t="str">
        <f t="shared" si="1366"/>
        <v/>
      </c>
      <c r="T8405" t="str">
        <f t="shared" si="1367"/>
        <v/>
      </c>
      <c r="U8405" t="str">
        <f t="shared" si="1368"/>
        <v/>
      </c>
      <c r="V8405" t="str">
        <f t="shared" si="1369"/>
        <v/>
      </c>
      <c r="W8405" t="str">
        <f t="shared" si="1370"/>
        <v/>
      </c>
      <c r="X8405">
        <f t="shared" si="1360"/>
        <v>0</v>
      </c>
      <c r="Z8405" t="str">
        <f t="shared" si="1371"/>
        <v/>
      </c>
      <c r="AA8405">
        <f t="shared" si="1361"/>
        <v>0</v>
      </c>
    </row>
    <row r="8406" spans="1:27" ht="21" customHeight="1" x14ac:dyDescent="0.95">
      <c r="A8406" s="56"/>
      <c r="B8406" s="57"/>
      <c r="C8406" s="57"/>
      <c r="D8406" s="57"/>
      <c r="E8406" s="56"/>
      <c r="F8406" s="57"/>
      <c r="G8406" s="57"/>
      <c r="H8406" s="56"/>
      <c r="I8406" s="56"/>
      <c r="J8406" s="58"/>
      <c r="K8406" s="58"/>
      <c r="L8406" s="13" t="str">
        <f t="shared" si="1362"/>
        <v/>
      </c>
      <c r="M8406" s="13" t="str">
        <f t="shared" si="1363"/>
        <v/>
      </c>
      <c r="Q8406" t="str">
        <f t="shared" si="1364"/>
        <v/>
      </c>
      <c r="R8406" t="str">
        <f t="shared" si="1365"/>
        <v/>
      </c>
      <c r="S8406" t="str">
        <f t="shared" si="1366"/>
        <v/>
      </c>
      <c r="T8406" t="str">
        <f t="shared" si="1367"/>
        <v/>
      </c>
      <c r="U8406" t="str">
        <f t="shared" si="1368"/>
        <v/>
      </c>
      <c r="V8406" t="str">
        <f t="shared" si="1369"/>
        <v/>
      </c>
      <c r="W8406" t="str">
        <f t="shared" si="1370"/>
        <v/>
      </c>
      <c r="X8406">
        <f t="shared" si="1360"/>
        <v>0</v>
      </c>
      <c r="Z8406" t="str">
        <f t="shared" si="1371"/>
        <v/>
      </c>
      <c r="AA8406">
        <f t="shared" si="1361"/>
        <v>0</v>
      </c>
    </row>
    <row r="8407" spans="1:27" ht="21" customHeight="1" x14ac:dyDescent="0.95">
      <c r="A8407" s="56"/>
      <c r="B8407" s="57"/>
      <c r="C8407" s="57"/>
      <c r="D8407" s="57"/>
      <c r="E8407" s="56"/>
      <c r="F8407" s="57"/>
      <c r="G8407" s="57"/>
      <c r="H8407" s="56"/>
      <c r="I8407" s="56"/>
      <c r="J8407" s="58"/>
      <c r="K8407" s="58"/>
      <c r="L8407" s="13" t="str">
        <f t="shared" si="1362"/>
        <v/>
      </c>
      <c r="M8407" s="13" t="str">
        <f t="shared" si="1363"/>
        <v/>
      </c>
      <c r="Q8407" t="str">
        <f t="shared" si="1364"/>
        <v/>
      </c>
      <c r="R8407" t="str">
        <f t="shared" si="1365"/>
        <v/>
      </c>
      <c r="S8407" t="str">
        <f t="shared" si="1366"/>
        <v/>
      </c>
      <c r="T8407" t="str">
        <f t="shared" si="1367"/>
        <v/>
      </c>
      <c r="U8407" t="str">
        <f t="shared" si="1368"/>
        <v/>
      </c>
      <c r="V8407" t="str">
        <f t="shared" si="1369"/>
        <v/>
      </c>
      <c r="W8407" t="str">
        <f t="shared" si="1370"/>
        <v/>
      </c>
      <c r="X8407">
        <f t="shared" si="1360"/>
        <v>0</v>
      </c>
      <c r="Z8407" t="str">
        <f t="shared" si="1371"/>
        <v/>
      </c>
      <c r="AA8407">
        <f t="shared" si="1361"/>
        <v>0</v>
      </c>
    </row>
    <row r="8408" spans="1:27" ht="21" customHeight="1" x14ac:dyDescent="0.95">
      <c r="A8408" s="56"/>
      <c r="B8408" s="57"/>
      <c r="C8408" s="57"/>
      <c r="D8408" s="57"/>
      <c r="E8408" s="56"/>
      <c r="F8408" s="57"/>
      <c r="G8408" s="57"/>
      <c r="H8408" s="56"/>
      <c r="I8408" s="56"/>
      <c r="J8408" s="58"/>
      <c r="K8408" s="58"/>
      <c r="L8408" s="13" t="str">
        <f t="shared" si="1362"/>
        <v/>
      </c>
      <c r="M8408" s="13" t="str">
        <f t="shared" si="1363"/>
        <v/>
      </c>
      <c r="Q8408" t="str">
        <f t="shared" si="1364"/>
        <v/>
      </c>
      <c r="R8408" t="str">
        <f t="shared" si="1365"/>
        <v/>
      </c>
      <c r="S8408" t="str">
        <f t="shared" si="1366"/>
        <v/>
      </c>
      <c r="T8408" t="str">
        <f t="shared" si="1367"/>
        <v/>
      </c>
      <c r="U8408" t="str">
        <f t="shared" si="1368"/>
        <v/>
      </c>
      <c r="V8408" t="str">
        <f t="shared" si="1369"/>
        <v/>
      </c>
      <c r="W8408" t="str">
        <f t="shared" si="1370"/>
        <v/>
      </c>
      <c r="X8408">
        <f t="shared" si="1360"/>
        <v>0</v>
      </c>
      <c r="Z8408" t="str">
        <f t="shared" si="1371"/>
        <v/>
      </c>
      <c r="AA8408">
        <f t="shared" si="1361"/>
        <v>0</v>
      </c>
    </row>
    <row r="8409" spans="1:27" ht="21" customHeight="1" x14ac:dyDescent="0.95">
      <c r="A8409" s="56"/>
      <c r="B8409" s="57"/>
      <c r="C8409" s="57"/>
      <c r="D8409" s="57"/>
      <c r="E8409" s="56"/>
      <c r="F8409" s="57"/>
      <c r="G8409" s="57"/>
      <c r="H8409" s="56"/>
      <c r="I8409" s="56"/>
      <c r="J8409" s="58"/>
      <c r="K8409" s="58"/>
      <c r="L8409" s="13" t="str">
        <f t="shared" si="1362"/>
        <v/>
      </c>
      <c r="M8409" s="13" t="str">
        <f t="shared" si="1363"/>
        <v/>
      </c>
      <c r="Q8409" t="str">
        <f t="shared" si="1364"/>
        <v/>
      </c>
      <c r="R8409" t="str">
        <f t="shared" si="1365"/>
        <v/>
      </c>
      <c r="S8409" t="str">
        <f t="shared" si="1366"/>
        <v/>
      </c>
      <c r="T8409" t="str">
        <f t="shared" si="1367"/>
        <v/>
      </c>
      <c r="U8409" t="str">
        <f t="shared" si="1368"/>
        <v/>
      </c>
      <c r="V8409" t="str">
        <f t="shared" si="1369"/>
        <v/>
      </c>
      <c r="W8409" t="str">
        <f t="shared" si="1370"/>
        <v/>
      </c>
      <c r="X8409">
        <f t="shared" si="1360"/>
        <v>0</v>
      </c>
      <c r="Z8409" t="str">
        <f t="shared" si="1371"/>
        <v/>
      </c>
      <c r="AA8409">
        <f t="shared" si="1361"/>
        <v>0</v>
      </c>
    </row>
    <row r="8410" spans="1:27" ht="21" customHeight="1" x14ac:dyDescent="0.95">
      <c r="A8410" s="56"/>
      <c r="B8410" s="57"/>
      <c r="C8410" s="57"/>
      <c r="D8410" s="57"/>
      <c r="E8410" s="56"/>
      <c r="F8410" s="57"/>
      <c r="G8410" s="57"/>
      <c r="H8410" s="56"/>
      <c r="I8410" s="56"/>
      <c r="J8410" s="58"/>
      <c r="K8410" s="58"/>
      <c r="L8410" s="13" t="str">
        <f t="shared" si="1362"/>
        <v/>
      </c>
      <c r="M8410" s="13" t="str">
        <f t="shared" si="1363"/>
        <v/>
      </c>
      <c r="Q8410" t="str">
        <f t="shared" si="1364"/>
        <v/>
      </c>
      <c r="R8410" t="str">
        <f t="shared" si="1365"/>
        <v/>
      </c>
      <c r="S8410" t="str">
        <f t="shared" si="1366"/>
        <v/>
      </c>
      <c r="T8410" t="str">
        <f t="shared" si="1367"/>
        <v/>
      </c>
      <c r="U8410" t="str">
        <f t="shared" si="1368"/>
        <v/>
      </c>
      <c r="V8410" t="str">
        <f t="shared" si="1369"/>
        <v/>
      </c>
      <c r="W8410" t="str">
        <f t="shared" si="1370"/>
        <v/>
      </c>
      <c r="X8410">
        <f t="shared" si="1360"/>
        <v>0</v>
      </c>
      <c r="Z8410" t="str">
        <f t="shared" si="1371"/>
        <v/>
      </c>
      <c r="AA8410">
        <f t="shared" si="1361"/>
        <v>0</v>
      </c>
    </row>
    <row r="8411" spans="1:27" ht="21" customHeight="1" x14ac:dyDescent="0.95">
      <c r="A8411" s="56"/>
      <c r="B8411" s="57"/>
      <c r="C8411" s="57"/>
      <c r="D8411" s="57"/>
      <c r="E8411" s="56"/>
      <c r="F8411" s="57"/>
      <c r="G8411" s="57"/>
      <c r="H8411" s="56"/>
      <c r="I8411" s="56"/>
      <c r="J8411" s="58"/>
      <c r="K8411" s="58"/>
      <c r="L8411" s="13" t="str">
        <f t="shared" si="1362"/>
        <v/>
      </c>
      <c r="M8411" s="13" t="str">
        <f t="shared" si="1363"/>
        <v/>
      </c>
      <c r="Q8411" t="str">
        <f t="shared" si="1364"/>
        <v/>
      </c>
      <c r="R8411" t="str">
        <f t="shared" si="1365"/>
        <v/>
      </c>
      <c r="S8411" t="str">
        <f t="shared" si="1366"/>
        <v/>
      </c>
      <c r="T8411" t="str">
        <f t="shared" si="1367"/>
        <v/>
      </c>
      <c r="U8411" t="str">
        <f t="shared" si="1368"/>
        <v/>
      </c>
      <c r="V8411" t="str">
        <f t="shared" si="1369"/>
        <v/>
      </c>
      <c r="W8411" t="str">
        <f t="shared" si="1370"/>
        <v/>
      </c>
      <c r="X8411">
        <f t="shared" si="1360"/>
        <v>0</v>
      </c>
      <c r="Z8411" t="str">
        <f t="shared" si="1371"/>
        <v/>
      </c>
      <c r="AA8411">
        <f t="shared" si="1361"/>
        <v>0</v>
      </c>
    </row>
    <row r="8412" spans="1:27" ht="21" customHeight="1" x14ac:dyDescent="0.95">
      <c r="A8412" s="56"/>
      <c r="B8412" s="57"/>
      <c r="C8412" s="57"/>
      <c r="D8412" s="57"/>
      <c r="E8412" s="56"/>
      <c r="F8412" s="57"/>
      <c r="G8412" s="57"/>
      <c r="H8412" s="56"/>
      <c r="I8412" s="56"/>
      <c r="J8412" s="58"/>
      <c r="K8412" s="58"/>
      <c r="L8412" s="13" t="str">
        <f t="shared" si="1362"/>
        <v/>
      </c>
      <c r="M8412" s="13" t="str">
        <f t="shared" si="1363"/>
        <v/>
      </c>
      <c r="Q8412" t="str">
        <f t="shared" si="1364"/>
        <v/>
      </c>
      <c r="R8412" t="str">
        <f t="shared" si="1365"/>
        <v/>
      </c>
      <c r="S8412" t="str">
        <f t="shared" si="1366"/>
        <v/>
      </c>
      <c r="T8412" t="str">
        <f t="shared" si="1367"/>
        <v/>
      </c>
      <c r="U8412" t="str">
        <f t="shared" si="1368"/>
        <v/>
      </c>
      <c r="V8412" t="str">
        <f t="shared" si="1369"/>
        <v/>
      </c>
      <c r="W8412" t="str">
        <f t="shared" si="1370"/>
        <v/>
      </c>
      <c r="X8412">
        <f t="shared" si="1360"/>
        <v>0</v>
      </c>
      <c r="Z8412" t="str">
        <f t="shared" si="1371"/>
        <v/>
      </c>
      <c r="AA8412">
        <f t="shared" si="1361"/>
        <v>0</v>
      </c>
    </row>
    <row r="8413" spans="1:27" ht="21" customHeight="1" x14ac:dyDescent="0.95">
      <c r="A8413" s="56"/>
      <c r="B8413" s="57"/>
      <c r="C8413" s="57"/>
      <c r="D8413" s="57"/>
      <c r="E8413" s="56"/>
      <c r="F8413" s="57"/>
      <c r="G8413" s="57"/>
      <c r="H8413" s="56"/>
      <c r="I8413" s="56"/>
      <c r="J8413" s="58"/>
      <c r="K8413" s="58"/>
      <c r="L8413" s="13" t="str">
        <f t="shared" si="1362"/>
        <v/>
      </c>
      <c r="M8413" s="13" t="str">
        <f t="shared" si="1363"/>
        <v/>
      </c>
      <c r="Q8413" t="str">
        <f t="shared" si="1364"/>
        <v/>
      </c>
      <c r="R8413" t="str">
        <f t="shared" si="1365"/>
        <v/>
      </c>
      <c r="S8413" t="str">
        <f t="shared" si="1366"/>
        <v/>
      </c>
      <c r="T8413" t="str">
        <f t="shared" si="1367"/>
        <v/>
      </c>
      <c r="U8413" t="str">
        <f t="shared" si="1368"/>
        <v/>
      </c>
      <c r="V8413" t="str">
        <f t="shared" si="1369"/>
        <v/>
      </c>
      <c r="W8413" t="str">
        <f t="shared" si="1370"/>
        <v/>
      </c>
      <c r="X8413">
        <f t="shared" si="1360"/>
        <v>0</v>
      </c>
      <c r="Z8413" t="str">
        <f t="shared" si="1371"/>
        <v/>
      </c>
      <c r="AA8413">
        <f t="shared" si="1361"/>
        <v>0</v>
      </c>
    </row>
    <row r="8414" spans="1:27" ht="21" customHeight="1" x14ac:dyDescent="0.95">
      <c r="A8414" s="56"/>
      <c r="B8414" s="57"/>
      <c r="C8414" s="57"/>
      <c r="D8414" s="57"/>
      <c r="E8414" s="56"/>
      <c r="F8414" s="57"/>
      <c r="G8414" s="57"/>
      <c r="H8414" s="56"/>
      <c r="I8414" s="56"/>
      <c r="J8414" s="58"/>
      <c r="K8414" s="58"/>
      <c r="L8414" s="13" t="str">
        <f t="shared" si="1362"/>
        <v/>
      </c>
      <c r="M8414" s="13" t="str">
        <f t="shared" si="1363"/>
        <v/>
      </c>
      <c r="Q8414" t="str">
        <f t="shared" si="1364"/>
        <v/>
      </c>
      <c r="R8414" t="str">
        <f t="shared" si="1365"/>
        <v/>
      </c>
      <c r="S8414" t="str">
        <f t="shared" si="1366"/>
        <v/>
      </c>
      <c r="T8414" t="str">
        <f t="shared" si="1367"/>
        <v/>
      </c>
      <c r="U8414" t="str">
        <f t="shared" si="1368"/>
        <v/>
      </c>
      <c r="V8414" t="str">
        <f t="shared" si="1369"/>
        <v/>
      </c>
      <c r="W8414" t="str">
        <f t="shared" si="1370"/>
        <v/>
      </c>
      <c r="X8414">
        <f t="shared" si="1360"/>
        <v>0</v>
      </c>
      <c r="Z8414" t="str">
        <f t="shared" si="1371"/>
        <v/>
      </c>
      <c r="AA8414">
        <f t="shared" si="1361"/>
        <v>0</v>
      </c>
    </row>
    <row r="8415" spans="1:27" ht="21" customHeight="1" x14ac:dyDescent="0.95">
      <c r="A8415" s="56"/>
      <c r="B8415" s="57"/>
      <c r="C8415" s="57"/>
      <c r="D8415" s="57"/>
      <c r="E8415" s="56"/>
      <c r="F8415" s="57"/>
      <c r="G8415" s="57"/>
      <c r="H8415" s="56"/>
      <c r="I8415" s="56"/>
      <c r="J8415" s="58"/>
      <c r="K8415" s="58"/>
      <c r="L8415" s="13" t="str">
        <f t="shared" si="1362"/>
        <v/>
      </c>
      <c r="M8415" s="13" t="str">
        <f t="shared" si="1363"/>
        <v/>
      </c>
      <c r="Q8415" t="str">
        <f t="shared" si="1364"/>
        <v/>
      </c>
      <c r="R8415" t="str">
        <f t="shared" si="1365"/>
        <v/>
      </c>
      <c r="S8415" t="str">
        <f t="shared" si="1366"/>
        <v/>
      </c>
      <c r="T8415" t="str">
        <f t="shared" si="1367"/>
        <v/>
      </c>
      <c r="U8415" t="str">
        <f t="shared" si="1368"/>
        <v/>
      </c>
      <c r="V8415" t="str">
        <f t="shared" si="1369"/>
        <v/>
      </c>
      <c r="W8415" t="str">
        <f t="shared" si="1370"/>
        <v/>
      </c>
      <c r="X8415">
        <f t="shared" si="1360"/>
        <v>0</v>
      </c>
      <c r="Z8415" t="str">
        <f t="shared" si="1371"/>
        <v/>
      </c>
      <c r="AA8415">
        <f t="shared" si="1361"/>
        <v>0</v>
      </c>
    </row>
    <row r="8416" spans="1:27" ht="21" customHeight="1" x14ac:dyDescent="0.95">
      <c r="A8416" s="56"/>
      <c r="B8416" s="57"/>
      <c r="C8416" s="57"/>
      <c r="D8416" s="57"/>
      <c r="E8416" s="56"/>
      <c r="F8416" s="57"/>
      <c r="G8416" s="57"/>
      <c r="H8416" s="56"/>
      <c r="I8416" s="56"/>
      <c r="J8416" s="58"/>
      <c r="K8416" s="58"/>
      <c r="L8416" s="13" t="str">
        <f t="shared" si="1362"/>
        <v/>
      </c>
      <c r="M8416" s="13" t="str">
        <f t="shared" si="1363"/>
        <v/>
      </c>
      <c r="Q8416" t="str">
        <f t="shared" si="1364"/>
        <v/>
      </c>
      <c r="R8416" t="str">
        <f t="shared" si="1365"/>
        <v/>
      </c>
      <c r="S8416" t="str">
        <f t="shared" si="1366"/>
        <v/>
      </c>
      <c r="T8416" t="str">
        <f t="shared" si="1367"/>
        <v/>
      </c>
      <c r="U8416" t="str">
        <f t="shared" si="1368"/>
        <v/>
      </c>
      <c r="V8416" t="str">
        <f t="shared" si="1369"/>
        <v/>
      </c>
      <c r="W8416" t="str">
        <f t="shared" si="1370"/>
        <v/>
      </c>
      <c r="X8416">
        <f t="shared" si="1360"/>
        <v>0</v>
      </c>
      <c r="Z8416" t="str">
        <f t="shared" si="1371"/>
        <v/>
      </c>
      <c r="AA8416">
        <f t="shared" si="1361"/>
        <v>0</v>
      </c>
    </row>
    <row r="8417" spans="1:27" ht="21" customHeight="1" x14ac:dyDescent="0.95">
      <c r="A8417" s="56"/>
      <c r="B8417" s="57"/>
      <c r="C8417" s="57"/>
      <c r="D8417" s="57"/>
      <c r="E8417" s="56"/>
      <c r="F8417" s="57"/>
      <c r="G8417" s="57"/>
      <c r="H8417" s="56"/>
      <c r="I8417" s="56"/>
      <c r="J8417" s="58"/>
      <c r="K8417" s="58"/>
      <c r="L8417" s="13" t="str">
        <f t="shared" si="1362"/>
        <v/>
      </c>
      <c r="M8417" s="13" t="str">
        <f t="shared" si="1363"/>
        <v/>
      </c>
      <c r="Q8417" t="str">
        <f t="shared" si="1364"/>
        <v/>
      </c>
      <c r="R8417" t="str">
        <f t="shared" si="1365"/>
        <v/>
      </c>
      <c r="S8417" t="str">
        <f t="shared" si="1366"/>
        <v/>
      </c>
      <c r="T8417" t="str">
        <f t="shared" si="1367"/>
        <v/>
      </c>
      <c r="U8417" t="str">
        <f t="shared" si="1368"/>
        <v/>
      </c>
      <c r="V8417" t="str">
        <f t="shared" si="1369"/>
        <v/>
      </c>
      <c r="W8417" t="str">
        <f t="shared" si="1370"/>
        <v/>
      </c>
      <c r="X8417">
        <f t="shared" si="1360"/>
        <v>0</v>
      </c>
      <c r="Z8417" t="str">
        <f t="shared" si="1371"/>
        <v/>
      </c>
      <c r="AA8417">
        <f t="shared" si="1361"/>
        <v>0</v>
      </c>
    </row>
    <row r="8418" spans="1:27" ht="21" customHeight="1" x14ac:dyDescent="0.95">
      <c r="A8418" s="56"/>
      <c r="B8418" s="57"/>
      <c r="C8418" s="57"/>
      <c r="D8418" s="57"/>
      <c r="E8418" s="56"/>
      <c r="F8418" s="57"/>
      <c r="G8418" s="57"/>
      <c r="H8418" s="56"/>
      <c r="I8418" s="56"/>
      <c r="J8418" s="58"/>
      <c r="K8418" s="58"/>
      <c r="L8418" s="13" t="str">
        <f t="shared" si="1362"/>
        <v/>
      </c>
      <c r="M8418" s="13" t="str">
        <f t="shared" si="1363"/>
        <v/>
      </c>
      <c r="Q8418" t="str">
        <f t="shared" si="1364"/>
        <v/>
      </c>
      <c r="R8418" t="str">
        <f t="shared" si="1365"/>
        <v/>
      </c>
      <c r="S8418" t="str">
        <f t="shared" si="1366"/>
        <v/>
      </c>
      <c r="T8418" t="str">
        <f t="shared" si="1367"/>
        <v/>
      </c>
      <c r="U8418" t="str">
        <f t="shared" si="1368"/>
        <v/>
      </c>
      <c r="V8418" t="str">
        <f t="shared" si="1369"/>
        <v/>
      </c>
      <c r="W8418" t="str">
        <f t="shared" si="1370"/>
        <v/>
      </c>
      <c r="X8418">
        <f t="shared" si="1360"/>
        <v>0</v>
      </c>
      <c r="Z8418" t="str">
        <f t="shared" si="1371"/>
        <v/>
      </c>
      <c r="AA8418">
        <f t="shared" si="1361"/>
        <v>0</v>
      </c>
    </row>
    <row r="8419" spans="1:27" ht="21" customHeight="1" x14ac:dyDescent="0.95">
      <c r="A8419" s="56"/>
      <c r="B8419" s="57"/>
      <c r="C8419" s="57"/>
      <c r="D8419" s="57"/>
      <c r="E8419" s="56"/>
      <c r="F8419" s="57"/>
      <c r="G8419" s="57"/>
      <c r="H8419" s="56"/>
      <c r="I8419" s="56"/>
      <c r="J8419" s="58"/>
      <c r="K8419" s="58"/>
      <c r="L8419" s="13" t="str">
        <f t="shared" si="1362"/>
        <v/>
      </c>
      <c r="M8419" s="13" t="str">
        <f t="shared" si="1363"/>
        <v/>
      </c>
      <c r="Q8419" t="str">
        <f t="shared" si="1364"/>
        <v/>
      </c>
      <c r="R8419" t="str">
        <f t="shared" si="1365"/>
        <v/>
      </c>
      <c r="S8419" t="str">
        <f t="shared" si="1366"/>
        <v/>
      </c>
      <c r="T8419" t="str">
        <f t="shared" si="1367"/>
        <v/>
      </c>
      <c r="U8419" t="str">
        <f t="shared" si="1368"/>
        <v/>
      </c>
      <c r="V8419" t="str">
        <f t="shared" si="1369"/>
        <v/>
      </c>
      <c r="W8419" t="str">
        <f t="shared" si="1370"/>
        <v/>
      </c>
      <c r="X8419">
        <f t="shared" si="1360"/>
        <v>0</v>
      </c>
      <c r="Z8419" t="str">
        <f t="shared" si="1371"/>
        <v/>
      </c>
      <c r="AA8419">
        <f t="shared" si="1361"/>
        <v>0</v>
      </c>
    </row>
    <row r="8420" spans="1:27" ht="21" customHeight="1" x14ac:dyDescent="0.95">
      <c r="A8420" s="56"/>
      <c r="B8420" s="57"/>
      <c r="C8420" s="57"/>
      <c r="D8420" s="57"/>
      <c r="E8420" s="56"/>
      <c r="F8420" s="57"/>
      <c r="G8420" s="57"/>
      <c r="H8420" s="56"/>
      <c r="I8420" s="56"/>
      <c r="J8420" s="58"/>
      <c r="K8420" s="58"/>
      <c r="L8420" s="13" t="str">
        <f t="shared" si="1362"/>
        <v/>
      </c>
      <c r="M8420" s="13" t="str">
        <f t="shared" si="1363"/>
        <v/>
      </c>
      <c r="Q8420" t="str">
        <f t="shared" si="1364"/>
        <v/>
      </c>
      <c r="R8420" t="str">
        <f t="shared" si="1365"/>
        <v/>
      </c>
      <c r="S8420" t="str">
        <f t="shared" si="1366"/>
        <v/>
      </c>
      <c r="T8420" t="str">
        <f t="shared" si="1367"/>
        <v/>
      </c>
      <c r="U8420" t="str">
        <f t="shared" si="1368"/>
        <v/>
      </c>
      <c r="V8420" t="str">
        <f t="shared" si="1369"/>
        <v/>
      </c>
      <c r="W8420" t="str">
        <f t="shared" si="1370"/>
        <v/>
      </c>
      <c r="X8420">
        <f t="shared" si="1360"/>
        <v>0</v>
      </c>
      <c r="Z8420" t="str">
        <f t="shared" si="1371"/>
        <v/>
      </c>
      <c r="AA8420">
        <f t="shared" si="1361"/>
        <v>0</v>
      </c>
    </row>
    <row r="8421" spans="1:27" ht="21" customHeight="1" x14ac:dyDescent="0.95">
      <c r="A8421" s="56"/>
      <c r="B8421" s="57"/>
      <c r="C8421" s="57"/>
      <c r="D8421" s="57"/>
      <c r="E8421" s="56"/>
      <c r="F8421" s="57"/>
      <c r="G8421" s="57"/>
      <c r="H8421" s="56"/>
      <c r="I8421" s="56"/>
      <c r="J8421" s="58"/>
      <c r="K8421" s="58"/>
      <c r="L8421" s="13" t="str">
        <f t="shared" si="1362"/>
        <v/>
      </c>
      <c r="M8421" s="13" t="str">
        <f t="shared" si="1363"/>
        <v/>
      </c>
      <c r="Q8421" t="str">
        <f t="shared" si="1364"/>
        <v/>
      </c>
      <c r="R8421" t="str">
        <f t="shared" si="1365"/>
        <v/>
      </c>
      <c r="S8421" t="str">
        <f t="shared" si="1366"/>
        <v/>
      </c>
      <c r="T8421" t="str">
        <f t="shared" si="1367"/>
        <v/>
      </c>
      <c r="U8421" t="str">
        <f t="shared" si="1368"/>
        <v/>
      </c>
      <c r="V8421" t="str">
        <f t="shared" si="1369"/>
        <v/>
      </c>
      <c r="W8421" t="str">
        <f t="shared" si="1370"/>
        <v/>
      </c>
      <c r="X8421">
        <f t="shared" si="1360"/>
        <v>0</v>
      </c>
      <c r="Z8421" t="str">
        <f t="shared" si="1371"/>
        <v/>
      </c>
      <c r="AA8421">
        <f t="shared" si="1361"/>
        <v>0</v>
      </c>
    </row>
    <row r="8422" spans="1:27" ht="21" customHeight="1" x14ac:dyDescent="0.95">
      <c r="A8422" s="56"/>
      <c r="B8422" s="57"/>
      <c r="C8422" s="57"/>
      <c r="D8422" s="57"/>
      <c r="E8422" s="56"/>
      <c r="F8422" s="57"/>
      <c r="G8422" s="57"/>
      <c r="H8422" s="56"/>
      <c r="I8422" s="56"/>
      <c r="J8422" s="58"/>
      <c r="K8422" s="58"/>
      <c r="L8422" s="13" t="str">
        <f t="shared" si="1362"/>
        <v/>
      </c>
      <c r="M8422" s="13" t="str">
        <f t="shared" si="1363"/>
        <v/>
      </c>
      <c r="Q8422" t="str">
        <f t="shared" si="1364"/>
        <v/>
      </c>
      <c r="R8422" t="str">
        <f t="shared" si="1365"/>
        <v/>
      </c>
      <c r="S8422" t="str">
        <f t="shared" si="1366"/>
        <v/>
      </c>
      <c r="T8422" t="str">
        <f t="shared" si="1367"/>
        <v/>
      </c>
      <c r="U8422" t="str">
        <f t="shared" si="1368"/>
        <v/>
      </c>
      <c r="V8422" t="str">
        <f t="shared" si="1369"/>
        <v/>
      </c>
      <c r="W8422" t="str">
        <f t="shared" si="1370"/>
        <v/>
      </c>
      <c r="X8422">
        <f t="shared" si="1360"/>
        <v>0</v>
      </c>
      <c r="Z8422" t="str">
        <f t="shared" si="1371"/>
        <v/>
      </c>
      <c r="AA8422">
        <f t="shared" si="1361"/>
        <v>0</v>
      </c>
    </row>
    <row r="8423" spans="1:27" ht="21" customHeight="1" x14ac:dyDescent="0.95">
      <c r="A8423" s="56"/>
      <c r="B8423" s="57"/>
      <c r="C8423" s="57"/>
      <c r="D8423" s="57"/>
      <c r="E8423" s="56"/>
      <c r="F8423" s="57"/>
      <c r="G8423" s="57"/>
      <c r="H8423" s="56"/>
      <c r="I8423" s="56"/>
      <c r="J8423" s="58"/>
      <c r="K8423" s="58"/>
      <c r="L8423" s="13" t="str">
        <f t="shared" si="1362"/>
        <v/>
      </c>
      <c r="M8423" s="13" t="str">
        <f t="shared" si="1363"/>
        <v/>
      </c>
      <c r="Q8423" t="str">
        <f t="shared" si="1364"/>
        <v/>
      </c>
      <c r="R8423" t="str">
        <f t="shared" si="1365"/>
        <v/>
      </c>
      <c r="S8423" t="str">
        <f t="shared" si="1366"/>
        <v/>
      </c>
      <c r="T8423" t="str">
        <f t="shared" si="1367"/>
        <v/>
      </c>
      <c r="U8423" t="str">
        <f t="shared" si="1368"/>
        <v/>
      </c>
      <c r="V8423" t="str">
        <f t="shared" si="1369"/>
        <v/>
      </c>
      <c r="W8423" t="str">
        <f t="shared" si="1370"/>
        <v/>
      </c>
      <c r="X8423">
        <f t="shared" si="1360"/>
        <v>0</v>
      </c>
      <c r="Z8423" t="str">
        <f t="shared" si="1371"/>
        <v/>
      </c>
      <c r="AA8423">
        <f t="shared" si="1361"/>
        <v>0</v>
      </c>
    </row>
    <row r="8424" spans="1:27" ht="21" customHeight="1" x14ac:dyDescent="0.95">
      <c r="A8424" s="56"/>
      <c r="B8424" s="57"/>
      <c r="C8424" s="57"/>
      <c r="D8424" s="57"/>
      <c r="E8424" s="56"/>
      <c r="F8424" s="57"/>
      <c r="G8424" s="57"/>
      <c r="H8424" s="56"/>
      <c r="I8424" s="56"/>
      <c r="J8424" s="58"/>
      <c r="K8424" s="58"/>
      <c r="L8424" s="13" t="str">
        <f t="shared" si="1362"/>
        <v/>
      </c>
      <c r="M8424" s="13" t="str">
        <f t="shared" si="1363"/>
        <v/>
      </c>
      <c r="Q8424" t="str">
        <f t="shared" si="1364"/>
        <v/>
      </c>
      <c r="R8424" t="str">
        <f t="shared" si="1365"/>
        <v/>
      </c>
      <c r="S8424" t="str">
        <f t="shared" si="1366"/>
        <v/>
      </c>
      <c r="T8424" t="str">
        <f t="shared" si="1367"/>
        <v/>
      </c>
      <c r="U8424" t="str">
        <f t="shared" si="1368"/>
        <v/>
      </c>
      <c r="V8424" t="str">
        <f t="shared" si="1369"/>
        <v/>
      </c>
      <c r="W8424" t="str">
        <f t="shared" si="1370"/>
        <v/>
      </c>
      <c r="X8424">
        <f t="shared" si="1360"/>
        <v>0</v>
      </c>
      <c r="Z8424" t="str">
        <f t="shared" si="1371"/>
        <v/>
      </c>
      <c r="AA8424">
        <f t="shared" si="1361"/>
        <v>0</v>
      </c>
    </row>
    <row r="8425" spans="1:27" ht="21" customHeight="1" x14ac:dyDescent="0.95">
      <c r="A8425" s="56"/>
      <c r="B8425" s="57"/>
      <c r="C8425" s="57"/>
      <c r="D8425" s="57"/>
      <c r="E8425" s="56"/>
      <c r="F8425" s="57"/>
      <c r="G8425" s="57"/>
      <c r="H8425" s="56"/>
      <c r="I8425" s="56"/>
      <c r="J8425" s="58"/>
      <c r="K8425" s="58"/>
      <c r="L8425" s="13" t="str">
        <f t="shared" si="1362"/>
        <v/>
      </c>
      <c r="M8425" s="13" t="str">
        <f t="shared" si="1363"/>
        <v/>
      </c>
      <c r="Q8425" t="str">
        <f t="shared" si="1364"/>
        <v/>
      </c>
      <c r="R8425" t="str">
        <f t="shared" si="1365"/>
        <v/>
      </c>
      <c r="S8425" t="str">
        <f t="shared" si="1366"/>
        <v/>
      </c>
      <c r="T8425" t="str">
        <f t="shared" si="1367"/>
        <v/>
      </c>
      <c r="U8425" t="str">
        <f t="shared" si="1368"/>
        <v/>
      </c>
      <c r="V8425" t="str">
        <f t="shared" si="1369"/>
        <v/>
      </c>
      <c r="W8425" t="str">
        <f t="shared" si="1370"/>
        <v/>
      </c>
      <c r="X8425">
        <f t="shared" si="1360"/>
        <v>0</v>
      </c>
      <c r="Z8425" t="str">
        <f t="shared" si="1371"/>
        <v/>
      </c>
      <c r="AA8425">
        <f t="shared" si="1361"/>
        <v>0</v>
      </c>
    </row>
    <row r="8426" spans="1:27" ht="21" customHeight="1" x14ac:dyDescent="0.95">
      <c r="A8426" s="56"/>
      <c r="B8426" s="57"/>
      <c r="C8426" s="57"/>
      <c r="D8426" s="57"/>
      <c r="E8426" s="56"/>
      <c r="F8426" s="57"/>
      <c r="G8426" s="57"/>
      <c r="H8426" s="56"/>
      <c r="I8426" s="56"/>
      <c r="J8426" s="58"/>
      <c r="K8426" s="58"/>
      <c r="L8426" s="13" t="str">
        <f t="shared" si="1362"/>
        <v/>
      </c>
      <c r="M8426" s="13" t="str">
        <f t="shared" si="1363"/>
        <v/>
      </c>
      <c r="Q8426" t="str">
        <f t="shared" si="1364"/>
        <v/>
      </c>
      <c r="R8426" t="str">
        <f t="shared" si="1365"/>
        <v/>
      </c>
      <c r="S8426" t="str">
        <f t="shared" si="1366"/>
        <v/>
      </c>
      <c r="T8426" t="str">
        <f t="shared" si="1367"/>
        <v/>
      </c>
      <c r="U8426" t="str">
        <f t="shared" si="1368"/>
        <v/>
      </c>
      <c r="V8426" t="str">
        <f t="shared" si="1369"/>
        <v/>
      </c>
      <c r="W8426" t="str">
        <f t="shared" si="1370"/>
        <v/>
      </c>
      <c r="X8426">
        <f t="shared" si="1360"/>
        <v>0</v>
      </c>
      <c r="Z8426" t="str">
        <f t="shared" si="1371"/>
        <v/>
      </c>
      <c r="AA8426">
        <f t="shared" si="1361"/>
        <v>0</v>
      </c>
    </row>
    <row r="8427" spans="1:27" ht="21" customHeight="1" x14ac:dyDescent="0.95">
      <c r="A8427" s="56"/>
      <c r="B8427" s="57"/>
      <c r="C8427" s="57"/>
      <c r="D8427" s="57"/>
      <c r="E8427" s="56"/>
      <c r="F8427" s="57"/>
      <c r="G8427" s="57"/>
      <c r="H8427" s="56"/>
      <c r="I8427" s="56"/>
      <c r="J8427" s="58"/>
      <c r="K8427" s="58"/>
      <c r="L8427" s="13" t="str">
        <f t="shared" si="1362"/>
        <v/>
      </c>
      <c r="M8427" s="13" t="str">
        <f t="shared" si="1363"/>
        <v/>
      </c>
      <c r="Q8427" t="str">
        <f t="shared" si="1364"/>
        <v/>
      </c>
      <c r="R8427" t="str">
        <f t="shared" si="1365"/>
        <v/>
      </c>
      <c r="S8427" t="str">
        <f t="shared" si="1366"/>
        <v/>
      </c>
      <c r="T8427" t="str">
        <f t="shared" si="1367"/>
        <v/>
      </c>
      <c r="U8427" t="str">
        <f t="shared" si="1368"/>
        <v/>
      </c>
      <c r="V8427" t="str">
        <f t="shared" si="1369"/>
        <v/>
      </c>
      <c r="W8427" t="str">
        <f t="shared" si="1370"/>
        <v/>
      </c>
      <c r="X8427">
        <f t="shared" si="1360"/>
        <v>0</v>
      </c>
      <c r="Z8427" t="str">
        <f t="shared" si="1371"/>
        <v/>
      </c>
      <c r="AA8427">
        <f t="shared" si="1361"/>
        <v>0</v>
      </c>
    </row>
    <row r="8428" spans="1:27" ht="21" customHeight="1" x14ac:dyDescent="0.95">
      <c r="A8428" s="56"/>
      <c r="B8428" s="57"/>
      <c r="C8428" s="57"/>
      <c r="D8428" s="57"/>
      <c r="E8428" s="56"/>
      <c r="F8428" s="57"/>
      <c r="G8428" s="57"/>
      <c r="H8428" s="56"/>
      <c r="I8428" s="56"/>
      <c r="J8428" s="58"/>
      <c r="K8428" s="58"/>
      <c r="L8428" s="13" t="str">
        <f t="shared" si="1362"/>
        <v/>
      </c>
      <c r="M8428" s="13" t="str">
        <f t="shared" si="1363"/>
        <v/>
      </c>
      <c r="Q8428" t="str">
        <f t="shared" si="1364"/>
        <v/>
      </c>
      <c r="R8428" t="str">
        <f t="shared" si="1365"/>
        <v/>
      </c>
      <c r="S8428" t="str">
        <f t="shared" si="1366"/>
        <v/>
      </c>
      <c r="T8428" t="str">
        <f t="shared" si="1367"/>
        <v/>
      </c>
      <c r="U8428" t="str">
        <f t="shared" si="1368"/>
        <v/>
      </c>
      <c r="V8428" t="str">
        <f t="shared" si="1369"/>
        <v/>
      </c>
      <c r="W8428" t="str">
        <f t="shared" si="1370"/>
        <v/>
      </c>
      <c r="X8428">
        <f t="shared" si="1360"/>
        <v>0</v>
      </c>
      <c r="Z8428" t="str">
        <f t="shared" si="1371"/>
        <v/>
      </c>
      <c r="AA8428">
        <f t="shared" si="1361"/>
        <v>0</v>
      </c>
    </row>
    <row r="8429" spans="1:27" ht="21" customHeight="1" x14ac:dyDescent="0.95">
      <c r="A8429" s="56"/>
      <c r="B8429" s="57"/>
      <c r="C8429" s="57"/>
      <c r="D8429" s="57"/>
      <c r="E8429" s="56"/>
      <c r="F8429" s="57"/>
      <c r="G8429" s="57"/>
      <c r="H8429" s="56"/>
      <c r="I8429" s="56"/>
      <c r="J8429" s="58"/>
      <c r="K8429" s="58"/>
      <c r="L8429" s="13" t="str">
        <f t="shared" si="1362"/>
        <v/>
      </c>
      <c r="M8429" s="13" t="str">
        <f t="shared" si="1363"/>
        <v/>
      </c>
      <c r="Q8429" t="str">
        <f t="shared" si="1364"/>
        <v/>
      </c>
      <c r="R8429" t="str">
        <f t="shared" si="1365"/>
        <v/>
      </c>
      <c r="S8429" t="str">
        <f t="shared" si="1366"/>
        <v/>
      </c>
      <c r="T8429" t="str">
        <f t="shared" si="1367"/>
        <v/>
      </c>
      <c r="U8429" t="str">
        <f t="shared" si="1368"/>
        <v/>
      </c>
      <c r="V8429" t="str">
        <f t="shared" si="1369"/>
        <v/>
      </c>
      <c r="W8429" t="str">
        <f t="shared" si="1370"/>
        <v/>
      </c>
      <c r="X8429">
        <f t="shared" si="1360"/>
        <v>0</v>
      </c>
      <c r="Z8429" t="str">
        <f t="shared" si="1371"/>
        <v/>
      </c>
      <c r="AA8429">
        <f t="shared" si="1361"/>
        <v>0</v>
      </c>
    </row>
    <row r="8430" spans="1:27" ht="21" customHeight="1" x14ac:dyDescent="0.95">
      <c r="A8430" s="56"/>
      <c r="B8430" s="57"/>
      <c r="C8430" s="57"/>
      <c r="D8430" s="57"/>
      <c r="E8430" s="56"/>
      <c r="F8430" s="57"/>
      <c r="G8430" s="57"/>
      <c r="H8430" s="56"/>
      <c r="I8430" s="56"/>
      <c r="J8430" s="58"/>
      <c r="K8430" s="58"/>
      <c r="L8430" s="13" t="str">
        <f t="shared" si="1362"/>
        <v/>
      </c>
      <c r="M8430" s="13" t="str">
        <f t="shared" si="1363"/>
        <v/>
      </c>
      <c r="Q8430" t="str">
        <f t="shared" si="1364"/>
        <v/>
      </c>
      <c r="R8430" t="str">
        <f t="shared" si="1365"/>
        <v/>
      </c>
      <c r="S8430" t="str">
        <f t="shared" si="1366"/>
        <v/>
      </c>
      <c r="T8430" t="str">
        <f t="shared" si="1367"/>
        <v/>
      </c>
      <c r="U8430" t="str">
        <f t="shared" si="1368"/>
        <v/>
      </c>
      <c r="V8430" t="str">
        <f t="shared" si="1369"/>
        <v/>
      </c>
      <c r="W8430" t="str">
        <f t="shared" si="1370"/>
        <v/>
      </c>
      <c r="X8430">
        <f t="shared" si="1360"/>
        <v>0</v>
      </c>
      <c r="Z8430" t="str">
        <f t="shared" si="1371"/>
        <v/>
      </c>
      <c r="AA8430">
        <f t="shared" si="1361"/>
        <v>0</v>
      </c>
    </row>
    <row r="8431" spans="1:27" ht="21" customHeight="1" x14ac:dyDescent="0.95">
      <c r="A8431" s="56"/>
      <c r="B8431" s="57"/>
      <c r="C8431" s="57"/>
      <c r="D8431" s="57"/>
      <c r="E8431" s="56"/>
      <c r="F8431" s="57"/>
      <c r="G8431" s="57"/>
      <c r="H8431" s="56"/>
      <c r="I8431" s="56"/>
      <c r="J8431" s="58"/>
      <c r="K8431" s="58"/>
      <c r="L8431" s="13" t="str">
        <f t="shared" si="1362"/>
        <v/>
      </c>
      <c r="M8431" s="13" t="str">
        <f t="shared" si="1363"/>
        <v/>
      </c>
      <c r="Q8431" t="str">
        <f t="shared" si="1364"/>
        <v/>
      </c>
      <c r="R8431" t="str">
        <f t="shared" si="1365"/>
        <v/>
      </c>
      <c r="S8431" t="str">
        <f t="shared" si="1366"/>
        <v/>
      </c>
      <c r="T8431" t="str">
        <f t="shared" si="1367"/>
        <v/>
      </c>
      <c r="U8431" t="str">
        <f t="shared" si="1368"/>
        <v/>
      </c>
      <c r="V8431" t="str">
        <f t="shared" si="1369"/>
        <v/>
      </c>
      <c r="W8431" t="str">
        <f t="shared" si="1370"/>
        <v/>
      </c>
      <c r="X8431">
        <f t="shared" si="1360"/>
        <v>0</v>
      </c>
      <c r="Z8431" t="str">
        <f t="shared" si="1371"/>
        <v/>
      </c>
      <c r="AA8431">
        <f t="shared" si="1361"/>
        <v>0</v>
      </c>
    </row>
    <row r="8432" spans="1:27" ht="21" customHeight="1" x14ac:dyDescent="0.95">
      <c r="A8432" s="56"/>
      <c r="B8432" s="57"/>
      <c r="C8432" s="57"/>
      <c r="D8432" s="57"/>
      <c r="E8432" s="56"/>
      <c r="F8432" s="57"/>
      <c r="G8432" s="57"/>
      <c r="H8432" s="56"/>
      <c r="I8432" s="56"/>
      <c r="J8432" s="58"/>
      <c r="K8432" s="58"/>
      <c r="L8432" s="13" t="str">
        <f t="shared" si="1362"/>
        <v/>
      </c>
      <c r="M8432" s="13" t="str">
        <f t="shared" si="1363"/>
        <v/>
      </c>
      <c r="Q8432" t="str">
        <f t="shared" si="1364"/>
        <v/>
      </c>
      <c r="R8432" t="str">
        <f t="shared" si="1365"/>
        <v/>
      </c>
      <c r="S8432" t="str">
        <f t="shared" si="1366"/>
        <v/>
      </c>
      <c r="T8432" t="str">
        <f t="shared" si="1367"/>
        <v/>
      </c>
      <c r="U8432" t="str">
        <f t="shared" si="1368"/>
        <v/>
      </c>
      <c r="V8432" t="str">
        <f t="shared" si="1369"/>
        <v/>
      </c>
      <c r="W8432" t="str">
        <f t="shared" si="1370"/>
        <v/>
      </c>
      <c r="X8432">
        <f t="shared" si="1360"/>
        <v>0</v>
      </c>
      <c r="Z8432" t="str">
        <f t="shared" si="1371"/>
        <v/>
      </c>
      <c r="AA8432">
        <f t="shared" si="1361"/>
        <v>0</v>
      </c>
    </row>
    <row r="8433" spans="1:27" ht="21" customHeight="1" x14ac:dyDescent="0.95">
      <c r="A8433" s="56"/>
      <c r="B8433" s="57"/>
      <c r="C8433" s="57"/>
      <c r="D8433" s="57"/>
      <c r="E8433" s="56"/>
      <c r="F8433" s="57"/>
      <c r="G8433" s="57"/>
      <c r="H8433" s="56"/>
      <c r="I8433" s="56"/>
      <c r="J8433" s="58"/>
      <c r="K8433" s="58"/>
      <c r="L8433" s="13" t="str">
        <f t="shared" si="1362"/>
        <v/>
      </c>
      <c r="M8433" s="13" t="str">
        <f t="shared" si="1363"/>
        <v/>
      </c>
      <c r="Q8433" t="str">
        <f t="shared" si="1364"/>
        <v/>
      </c>
      <c r="R8433" t="str">
        <f t="shared" si="1365"/>
        <v/>
      </c>
      <c r="S8433" t="str">
        <f t="shared" si="1366"/>
        <v/>
      </c>
      <c r="T8433" t="str">
        <f t="shared" si="1367"/>
        <v/>
      </c>
      <c r="U8433" t="str">
        <f t="shared" si="1368"/>
        <v/>
      </c>
      <c r="V8433" t="str">
        <f t="shared" si="1369"/>
        <v/>
      </c>
      <c r="W8433" t="str">
        <f t="shared" si="1370"/>
        <v/>
      </c>
      <c r="X8433">
        <f t="shared" si="1360"/>
        <v>0</v>
      </c>
      <c r="Z8433" t="str">
        <f t="shared" si="1371"/>
        <v/>
      </c>
      <c r="AA8433">
        <f t="shared" si="1361"/>
        <v>0</v>
      </c>
    </row>
    <row r="8434" spans="1:27" ht="21" customHeight="1" x14ac:dyDescent="0.95">
      <c r="A8434" s="56"/>
      <c r="B8434" s="57"/>
      <c r="C8434" s="57"/>
      <c r="D8434" s="57"/>
      <c r="E8434" s="56"/>
      <c r="F8434" s="57"/>
      <c r="G8434" s="57"/>
      <c r="H8434" s="56"/>
      <c r="I8434" s="56"/>
      <c r="J8434" s="58"/>
      <c r="K8434" s="58"/>
      <c r="L8434" s="13" t="str">
        <f t="shared" si="1362"/>
        <v/>
      </c>
      <c r="M8434" s="13" t="str">
        <f t="shared" si="1363"/>
        <v/>
      </c>
      <c r="Q8434" t="str">
        <f t="shared" si="1364"/>
        <v/>
      </c>
      <c r="R8434" t="str">
        <f t="shared" si="1365"/>
        <v/>
      </c>
      <c r="S8434" t="str">
        <f t="shared" si="1366"/>
        <v/>
      </c>
      <c r="T8434" t="str">
        <f t="shared" si="1367"/>
        <v/>
      </c>
      <c r="U8434" t="str">
        <f t="shared" si="1368"/>
        <v/>
      </c>
      <c r="V8434" t="str">
        <f t="shared" si="1369"/>
        <v/>
      </c>
      <c r="W8434" t="str">
        <f t="shared" si="1370"/>
        <v/>
      </c>
      <c r="X8434">
        <f t="shared" si="1360"/>
        <v>0</v>
      </c>
      <c r="Z8434" t="str">
        <f t="shared" si="1371"/>
        <v/>
      </c>
      <c r="AA8434">
        <f t="shared" si="1361"/>
        <v>0</v>
      </c>
    </row>
    <row r="8435" spans="1:27" ht="21" customHeight="1" x14ac:dyDescent="0.95">
      <c r="A8435" s="56"/>
      <c r="B8435" s="57"/>
      <c r="C8435" s="57"/>
      <c r="D8435" s="57"/>
      <c r="E8435" s="56"/>
      <c r="F8435" s="57"/>
      <c r="G8435" s="57"/>
      <c r="H8435" s="56"/>
      <c r="I8435" s="56"/>
      <c r="J8435" s="58"/>
      <c r="K8435" s="58"/>
      <c r="L8435" s="13" t="str">
        <f t="shared" si="1362"/>
        <v/>
      </c>
      <c r="M8435" s="13" t="str">
        <f t="shared" si="1363"/>
        <v/>
      </c>
      <c r="Q8435" t="str">
        <f t="shared" si="1364"/>
        <v/>
      </c>
      <c r="R8435" t="str">
        <f t="shared" si="1365"/>
        <v/>
      </c>
      <c r="S8435" t="str">
        <f t="shared" si="1366"/>
        <v/>
      </c>
      <c r="T8435" t="str">
        <f t="shared" si="1367"/>
        <v/>
      </c>
      <c r="U8435" t="str">
        <f t="shared" si="1368"/>
        <v/>
      </c>
      <c r="V8435" t="str">
        <f t="shared" si="1369"/>
        <v/>
      </c>
      <c r="W8435" t="str">
        <f t="shared" si="1370"/>
        <v/>
      </c>
      <c r="X8435">
        <f t="shared" si="1360"/>
        <v>0</v>
      </c>
      <c r="Z8435" t="str">
        <f t="shared" si="1371"/>
        <v/>
      </c>
      <c r="AA8435">
        <f t="shared" si="1361"/>
        <v>0</v>
      </c>
    </row>
    <row r="8436" spans="1:27" ht="21" customHeight="1" x14ac:dyDescent="0.95">
      <c r="A8436" s="56"/>
      <c r="B8436" s="57"/>
      <c r="C8436" s="57"/>
      <c r="D8436" s="57"/>
      <c r="E8436" s="56"/>
      <c r="F8436" s="57"/>
      <c r="G8436" s="57"/>
      <c r="H8436" s="56"/>
      <c r="I8436" s="56"/>
      <c r="J8436" s="58"/>
      <c r="K8436" s="58"/>
      <c r="L8436" s="13" t="str">
        <f t="shared" si="1362"/>
        <v/>
      </c>
      <c r="M8436" s="13" t="str">
        <f t="shared" si="1363"/>
        <v/>
      </c>
      <c r="Q8436" t="str">
        <f t="shared" si="1364"/>
        <v/>
      </c>
      <c r="R8436" t="str">
        <f t="shared" si="1365"/>
        <v/>
      </c>
      <c r="S8436" t="str">
        <f t="shared" si="1366"/>
        <v/>
      </c>
      <c r="T8436" t="str">
        <f t="shared" si="1367"/>
        <v/>
      </c>
      <c r="U8436" t="str">
        <f t="shared" si="1368"/>
        <v/>
      </c>
      <c r="V8436" t="str">
        <f t="shared" si="1369"/>
        <v/>
      </c>
      <c r="W8436" t="str">
        <f t="shared" si="1370"/>
        <v/>
      </c>
      <c r="X8436">
        <f t="shared" si="1360"/>
        <v>0</v>
      </c>
      <c r="Z8436" t="str">
        <f t="shared" si="1371"/>
        <v/>
      </c>
      <c r="AA8436">
        <f t="shared" si="1361"/>
        <v>0</v>
      </c>
    </row>
    <row r="8437" spans="1:27" ht="21" customHeight="1" x14ac:dyDescent="0.95">
      <c r="A8437" s="56"/>
      <c r="B8437" s="57"/>
      <c r="C8437" s="57"/>
      <c r="D8437" s="57"/>
      <c r="E8437" s="56"/>
      <c r="F8437" s="57"/>
      <c r="G8437" s="57"/>
      <c r="H8437" s="56"/>
      <c r="I8437" s="56"/>
      <c r="J8437" s="58"/>
      <c r="K8437" s="58"/>
      <c r="L8437" s="13" t="str">
        <f t="shared" si="1362"/>
        <v/>
      </c>
      <c r="M8437" s="13" t="str">
        <f t="shared" si="1363"/>
        <v/>
      </c>
      <c r="Q8437" t="str">
        <f t="shared" si="1364"/>
        <v/>
      </c>
      <c r="R8437" t="str">
        <f t="shared" si="1365"/>
        <v/>
      </c>
      <c r="S8437" t="str">
        <f t="shared" si="1366"/>
        <v/>
      </c>
      <c r="T8437" t="str">
        <f t="shared" si="1367"/>
        <v/>
      </c>
      <c r="U8437" t="str">
        <f t="shared" si="1368"/>
        <v/>
      </c>
      <c r="V8437" t="str">
        <f t="shared" si="1369"/>
        <v/>
      </c>
      <c r="W8437" t="str">
        <f t="shared" si="1370"/>
        <v/>
      </c>
      <c r="X8437">
        <f t="shared" ref="X8437:X8500" si="1372">IF($T8437="",N($X8436),IF(MATCH($T8437,$T$6:$T$10005,0)=ROW()-5,N($X8436)+1,N($X8436)))</f>
        <v>0</v>
      </c>
      <c r="Z8437" t="str">
        <f t="shared" si="1371"/>
        <v/>
      </c>
      <c r="AA8437">
        <f t="shared" ref="AA8437:AA8500" si="1373">IF($V8437="",N($AA8436),IF(MATCH($V8437,$V$6:$V$10005,0)=ROW()-5,N($AA8436)+1,N($AA8436)))</f>
        <v>0</v>
      </c>
    </row>
    <row r="8438" spans="1:27" ht="21" customHeight="1" x14ac:dyDescent="0.95">
      <c r="A8438" s="56"/>
      <c r="B8438" s="57"/>
      <c r="C8438" s="57"/>
      <c r="D8438" s="57"/>
      <c r="E8438" s="56"/>
      <c r="F8438" s="57"/>
      <c r="G8438" s="57"/>
      <c r="H8438" s="56"/>
      <c r="I8438" s="56"/>
      <c r="J8438" s="58"/>
      <c r="K8438" s="58"/>
      <c r="L8438" s="13" t="str">
        <f t="shared" si="1362"/>
        <v/>
      </c>
      <c r="M8438" s="13" t="str">
        <f t="shared" si="1363"/>
        <v/>
      </c>
      <c r="Q8438" t="str">
        <f t="shared" si="1364"/>
        <v/>
      </c>
      <c r="R8438" t="str">
        <f t="shared" si="1365"/>
        <v/>
      </c>
      <c r="S8438" t="str">
        <f t="shared" si="1366"/>
        <v/>
      </c>
      <c r="T8438" t="str">
        <f t="shared" si="1367"/>
        <v/>
      </c>
      <c r="U8438" t="str">
        <f t="shared" si="1368"/>
        <v/>
      </c>
      <c r="V8438" t="str">
        <f t="shared" si="1369"/>
        <v/>
      </c>
      <c r="W8438" t="str">
        <f t="shared" si="1370"/>
        <v/>
      </c>
      <c r="X8438">
        <f t="shared" si="1372"/>
        <v>0</v>
      </c>
      <c r="Z8438" t="str">
        <f t="shared" si="1371"/>
        <v/>
      </c>
      <c r="AA8438">
        <f t="shared" si="1373"/>
        <v>0</v>
      </c>
    </row>
    <row r="8439" spans="1:27" ht="21" customHeight="1" x14ac:dyDescent="0.95">
      <c r="A8439" s="56"/>
      <c r="B8439" s="57"/>
      <c r="C8439" s="57"/>
      <c r="D8439" s="57"/>
      <c r="E8439" s="56"/>
      <c r="F8439" s="57"/>
      <c r="G8439" s="57"/>
      <c r="H8439" s="56"/>
      <c r="I8439" s="56"/>
      <c r="J8439" s="58"/>
      <c r="K8439" s="58"/>
      <c r="L8439" s="13" t="str">
        <f t="shared" si="1362"/>
        <v/>
      </c>
      <c r="M8439" s="13" t="str">
        <f t="shared" si="1363"/>
        <v/>
      </c>
      <c r="Q8439" t="str">
        <f t="shared" si="1364"/>
        <v/>
      </c>
      <c r="R8439" t="str">
        <f t="shared" si="1365"/>
        <v/>
      </c>
      <c r="S8439" t="str">
        <f t="shared" si="1366"/>
        <v/>
      </c>
      <c r="T8439" t="str">
        <f t="shared" si="1367"/>
        <v/>
      </c>
      <c r="U8439" t="str">
        <f t="shared" si="1368"/>
        <v/>
      </c>
      <c r="V8439" t="str">
        <f t="shared" si="1369"/>
        <v/>
      </c>
      <c r="W8439" t="str">
        <f t="shared" si="1370"/>
        <v/>
      </c>
      <c r="X8439">
        <f t="shared" si="1372"/>
        <v>0</v>
      </c>
      <c r="Z8439" t="str">
        <f t="shared" si="1371"/>
        <v/>
      </c>
      <c r="AA8439">
        <f t="shared" si="1373"/>
        <v>0</v>
      </c>
    </row>
    <row r="8440" spans="1:27" ht="21" customHeight="1" x14ac:dyDescent="0.95">
      <c r="A8440" s="56"/>
      <c r="B8440" s="57"/>
      <c r="C8440" s="57"/>
      <c r="D8440" s="57"/>
      <c r="E8440" s="56"/>
      <c r="F8440" s="57"/>
      <c r="G8440" s="57"/>
      <c r="H8440" s="56"/>
      <c r="I8440" s="56"/>
      <c r="J8440" s="58"/>
      <c r="K8440" s="58"/>
      <c r="L8440" s="13" t="str">
        <f t="shared" si="1362"/>
        <v/>
      </c>
      <c r="M8440" s="13" t="str">
        <f t="shared" si="1363"/>
        <v/>
      </c>
      <c r="Q8440" t="str">
        <f t="shared" si="1364"/>
        <v/>
      </c>
      <c r="R8440" t="str">
        <f t="shared" si="1365"/>
        <v/>
      </c>
      <c r="S8440" t="str">
        <f t="shared" si="1366"/>
        <v/>
      </c>
      <c r="T8440" t="str">
        <f t="shared" si="1367"/>
        <v/>
      </c>
      <c r="U8440" t="str">
        <f t="shared" si="1368"/>
        <v/>
      </c>
      <c r="V8440" t="str">
        <f t="shared" si="1369"/>
        <v/>
      </c>
      <c r="W8440" t="str">
        <f t="shared" si="1370"/>
        <v/>
      </c>
      <c r="X8440">
        <f t="shared" si="1372"/>
        <v>0</v>
      </c>
      <c r="Z8440" t="str">
        <f t="shared" si="1371"/>
        <v/>
      </c>
      <c r="AA8440">
        <f t="shared" si="1373"/>
        <v>0</v>
      </c>
    </row>
    <row r="8441" spans="1:27" ht="21" customHeight="1" x14ac:dyDescent="0.95">
      <c r="A8441" s="56"/>
      <c r="B8441" s="57"/>
      <c r="C8441" s="57"/>
      <c r="D8441" s="57"/>
      <c r="E8441" s="56"/>
      <c r="F8441" s="57"/>
      <c r="G8441" s="57"/>
      <c r="H8441" s="56"/>
      <c r="I8441" s="56"/>
      <c r="J8441" s="58"/>
      <c r="K8441" s="58"/>
      <c r="L8441" s="13" t="str">
        <f t="shared" si="1362"/>
        <v/>
      </c>
      <c r="M8441" s="13" t="str">
        <f t="shared" si="1363"/>
        <v/>
      </c>
      <c r="Q8441" t="str">
        <f t="shared" si="1364"/>
        <v/>
      </c>
      <c r="R8441" t="str">
        <f t="shared" si="1365"/>
        <v/>
      </c>
      <c r="S8441" t="str">
        <f t="shared" si="1366"/>
        <v/>
      </c>
      <c r="T8441" t="str">
        <f t="shared" si="1367"/>
        <v/>
      </c>
      <c r="U8441" t="str">
        <f t="shared" si="1368"/>
        <v/>
      </c>
      <c r="V8441" t="str">
        <f t="shared" si="1369"/>
        <v/>
      </c>
      <c r="W8441" t="str">
        <f t="shared" si="1370"/>
        <v/>
      </c>
      <c r="X8441">
        <f t="shared" si="1372"/>
        <v>0</v>
      </c>
      <c r="Z8441" t="str">
        <f t="shared" si="1371"/>
        <v/>
      </c>
      <c r="AA8441">
        <f t="shared" si="1373"/>
        <v>0</v>
      </c>
    </row>
    <row r="8442" spans="1:27" ht="21" customHeight="1" x14ac:dyDescent="0.95">
      <c r="A8442" s="56"/>
      <c r="B8442" s="57"/>
      <c r="C8442" s="57"/>
      <c r="D8442" s="57"/>
      <c r="E8442" s="56"/>
      <c r="F8442" s="57"/>
      <c r="G8442" s="57"/>
      <c r="H8442" s="56"/>
      <c r="I8442" s="56"/>
      <c r="J8442" s="58"/>
      <c r="K8442" s="58"/>
      <c r="L8442" s="13" t="str">
        <f t="shared" si="1362"/>
        <v/>
      </c>
      <c r="M8442" s="13" t="str">
        <f t="shared" si="1363"/>
        <v/>
      </c>
      <c r="Q8442" t="str">
        <f t="shared" si="1364"/>
        <v/>
      </c>
      <c r="R8442" t="str">
        <f t="shared" si="1365"/>
        <v/>
      </c>
      <c r="S8442" t="str">
        <f t="shared" si="1366"/>
        <v/>
      </c>
      <c r="T8442" t="str">
        <f t="shared" si="1367"/>
        <v/>
      </c>
      <c r="U8442" t="str">
        <f t="shared" si="1368"/>
        <v/>
      </c>
      <c r="V8442" t="str">
        <f t="shared" si="1369"/>
        <v/>
      </c>
      <c r="W8442" t="str">
        <f t="shared" si="1370"/>
        <v/>
      </c>
      <c r="X8442">
        <f t="shared" si="1372"/>
        <v>0</v>
      </c>
      <c r="Z8442" t="str">
        <f t="shared" si="1371"/>
        <v/>
      </c>
      <c r="AA8442">
        <f t="shared" si="1373"/>
        <v>0</v>
      </c>
    </row>
    <row r="8443" spans="1:27" ht="21" customHeight="1" x14ac:dyDescent="0.95">
      <c r="A8443" s="56"/>
      <c r="B8443" s="57"/>
      <c r="C8443" s="57"/>
      <c r="D8443" s="57"/>
      <c r="E8443" s="56"/>
      <c r="F8443" s="57"/>
      <c r="G8443" s="57"/>
      <c r="H8443" s="56"/>
      <c r="I8443" s="56"/>
      <c r="J8443" s="58"/>
      <c r="K8443" s="58"/>
      <c r="L8443" s="13" t="str">
        <f t="shared" si="1362"/>
        <v/>
      </c>
      <c r="M8443" s="13" t="str">
        <f t="shared" si="1363"/>
        <v/>
      </c>
      <c r="Q8443" t="str">
        <f t="shared" si="1364"/>
        <v/>
      </c>
      <c r="R8443" t="str">
        <f t="shared" si="1365"/>
        <v/>
      </c>
      <c r="S8443" t="str">
        <f t="shared" si="1366"/>
        <v/>
      </c>
      <c r="T8443" t="str">
        <f t="shared" si="1367"/>
        <v/>
      </c>
      <c r="U8443" t="str">
        <f t="shared" si="1368"/>
        <v/>
      </c>
      <c r="V8443" t="str">
        <f t="shared" si="1369"/>
        <v/>
      </c>
      <c r="W8443" t="str">
        <f t="shared" si="1370"/>
        <v/>
      </c>
      <c r="X8443">
        <f t="shared" si="1372"/>
        <v>0</v>
      </c>
      <c r="Z8443" t="str">
        <f t="shared" si="1371"/>
        <v/>
      </c>
      <c r="AA8443">
        <f t="shared" si="1373"/>
        <v>0</v>
      </c>
    </row>
    <row r="8444" spans="1:27" ht="21" customHeight="1" x14ac:dyDescent="0.95">
      <c r="A8444" s="56"/>
      <c r="B8444" s="57"/>
      <c r="C8444" s="57"/>
      <c r="D8444" s="57"/>
      <c r="E8444" s="56"/>
      <c r="F8444" s="57"/>
      <c r="G8444" s="57"/>
      <c r="H8444" s="56"/>
      <c r="I8444" s="56"/>
      <c r="J8444" s="58"/>
      <c r="K8444" s="58"/>
      <c r="L8444" s="13" t="str">
        <f t="shared" si="1362"/>
        <v/>
      </c>
      <c r="M8444" s="13" t="str">
        <f t="shared" si="1363"/>
        <v/>
      </c>
      <c r="Q8444" t="str">
        <f t="shared" si="1364"/>
        <v/>
      </c>
      <c r="R8444" t="str">
        <f t="shared" si="1365"/>
        <v/>
      </c>
      <c r="S8444" t="str">
        <f t="shared" si="1366"/>
        <v/>
      </c>
      <c r="T8444" t="str">
        <f t="shared" si="1367"/>
        <v/>
      </c>
      <c r="U8444" t="str">
        <f t="shared" si="1368"/>
        <v/>
      </c>
      <c r="V8444" t="str">
        <f t="shared" si="1369"/>
        <v/>
      </c>
      <c r="W8444" t="str">
        <f t="shared" si="1370"/>
        <v/>
      </c>
      <c r="X8444">
        <f t="shared" si="1372"/>
        <v>0</v>
      </c>
      <c r="Z8444" t="str">
        <f t="shared" si="1371"/>
        <v/>
      </c>
      <c r="AA8444">
        <f t="shared" si="1373"/>
        <v>0</v>
      </c>
    </row>
    <row r="8445" spans="1:27" ht="21" customHeight="1" x14ac:dyDescent="0.95">
      <c r="A8445" s="56"/>
      <c r="B8445" s="57"/>
      <c r="C8445" s="57"/>
      <c r="D8445" s="57"/>
      <c r="E8445" s="56"/>
      <c r="F8445" s="57"/>
      <c r="G8445" s="57"/>
      <c r="H8445" s="56"/>
      <c r="I8445" s="56"/>
      <c r="J8445" s="58"/>
      <c r="K8445" s="58"/>
      <c r="L8445" s="13" t="str">
        <f t="shared" si="1362"/>
        <v/>
      </c>
      <c r="M8445" s="13" t="str">
        <f t="shared" si="1363"/>
        <v/>
      </c>
      <c r="Q8445" t="str">
        <f t="shared" si="1364"/>
        <v/>
      </c>
      <c r="R8445" t="str">
        <f t="shared" si="1365"/>
        <v/>
      </c>
      <c r="S8445" t="str">
        <f t="shared" si="1366"/>
        <v/>
      </c>
      <c r="T8445" t="str">
        <f t="shared" si="1367"/>
        <v/>
      </c>
      <c r="U8445" t="str">
        <f t="shared" si="1368"/>
        <v/>
      </c>
      <c r="V8445" t="str">
        <f t="shared" si="1369"/>
        <v/>
      </c>
      <c r="W8445" t="str">
        <f t="shared" si="1370"/>
        <v/>
      </c>
      <c r="X8445">
        <f t="shared" si="1372"/>
        <v>0</v>
      </c>
      <c r="Z8445" t="str">
        <f t="shared" si="1371"/>
        <v/>
      </c>
      <c r="AA8445">
        <f t="shared" si="1373"/>
        <v>0</v>
      </c>
    </row>
    <row r="8446" spans="1:27" ht="21" customHeight="1" x14ac:dyDescent="0.95">
      <c r="A8446" s="56"/>
      <c r="B8446" s="57"/>
      <c r="C8446" s="57"/>
      <c r="D8446" s="57"/>
      <c r="E8446" s="56"/>
      <c r="F8446" s="57"/>
      <c r="G8446" s="57"/>
      <c r="H8446" s="56"/>
      <c r="I8446" s="56"/>
      <c r="J8446" s="58"/>
      <c r="K8446" s="58"/>
      <c r="L8446" s="13" t="str">
        <f t="shared" si="1362"/>
        <v/>
      </c>
      <c r="M8446" s="13" t="str">
        <f t="shared" si="1363"/>
        <v/>
      </c>
      <c r="Q8446" t="str">
        <f t="shared" si="1364"/>
        <v/>
      </c>
      <c r="R8446" t="str">
        <f t="shared" si="1365"/>
        <v/>
      </c>
      <c r="S8446" t="str">
        <f t="shared" si="1366"/>
        <v/>
      </c>
      <c r="T8446" t="str">
        <f t="shared" si="1367"/>
        <v/>
      </c>
      <c r="U8446" t="str">
        <f t="shared" si="1368"/>
        <v/>
      </c>
      <c r="V8446" t="str">
        <f t="shared" si="1369"/>
        <v/>
      </c>
      <c r="W8446" t="str">
        <f t="shared" si="1370"/>
        <v/>
      </c>
      <c r="X8446">
        <f t="shared" si="1372"/>
        <v>0</v>
      </c>
      <c r="Z8446" t="str">
        <f t="shared" si="1371"/>
        <v/>
      </c>
      <c r="AA8446">
        <f t="shared" si="1373"/>
        <v>0</v>
      </c>
    </row>
    <row r="8447" spans="1:27" ht="21" customHeight="1" x14ac:dyDescent="0.95">
      <c r="A8447" s="56"/>
      <c r="B8447" s="57"/>
      <c r="C8447" s="57"/>
      <c r="D8447" s="57"/>
      <c r="E8447" s="56"/>
      <c r="F8447" s="57"/>
      <c r="G8447" s="57"/>
      <c r="H8447" s="56"/>
      <c r="I8447" s="56"/>
      <c r="J8447" s="58"/>
      <c r="K8447" s="58"/>
      <c r="L8447" s="13" t="str">
        <f t="shared" si="1362"/>
        <v/>
      </c>
      <c r="M8447" s="13" t="str">
        <f t="shared" si="1363"/>
        <v/>
      </c>
      <c r="Q8447" t="str">
        <f t="shared" si="1364"/>
        <v/>
      </c>
      <c r="R8447" t="str">
        <f t="shared" si="1365"/>
        <v/>
      </c>
      <c r="S8447" t="str">
        <f t="shared" si="1366"/>
        <v/>
      </c>
      <c r="T8447" t="str">
        <f t="shared" si="1367"/>
        <v/>
      </c>
      <c r="U8447" t="str">
        <f t="shared" si="1368"/>
        <v/>
      </c>
      <c r="V8447" t="str">
        <f t="shared" si="1369"/>
        <v/>
      </c>
      <c r="W8447" t="str">
        <f t="shared" si="1370"/>
        <v/>
      </c>
      <c r="X8447">
        <f t="shared" si="1372"/>
        <v>0</v>
      </c>
      <c r="Z8447" t="str">
        <f t="shared" si="1371"/>
        <v/>
      </c>
      <c r="AA8447">
        <f t="shared" si="1373"/>
        <v>0</v>
      </c>
    </row>
    <row r="8448" spans="1:27" ht="21" customHeight="1" x14ac:dyDescent="0.95">
      <c r="A8448" s="56"/>
      <c r="B8448" s="57"/>
      <c r="C8448" s="57"/>
      <c r="D8448" s="57"/>
      <c r="E8448" s="56"/>
      <c r="F8448" s="57"/>
      <c r="G8448" s="57"/>
      <c r="H8448" s="56"/>
      <c r="I8448" s="56"/>
      <c r="J8448" s="58"/>
      <c r="K8448" s="58"/>
      <c r="L8448" s="13" t="str">
        <f t="shared" si="1362"/>
        <v/>
      </c>
      <c r="M8448" s="13" t="str">
        <f t="shared" si="1363"/>
        <v/>
      </c>
      <c r="Q8448" t="str">
        <f t="shared" si="1364"/>
        <v/>
      </c>
      <c r="R8448" t="str">
        <f t="shared" si="1365"/>
        <v/>
      </c>
      <c r="S8448" t="str">
        <f t="shared" si="1366"/>
        <v/>
      </c>
      <c r="T8448" t="str">
        <f t="shared" si="1367"/>
        <v/>
      </c>
      <c r="U8448" t="str">
        <f t="shared" si="1368"/>
        <v/>
      </c>
      <c r="V8448" t="str">
        <f t="shared" si="1369"/>
        <v/>
      </c>
      <c r="W8448" t="str">
        <f t="shared" si="1370"/>
        <v/>
      </c>
      <c r="X8448">
        <f t="shared" si="1372"/>
        <v>0</v>
      </c>
      <c r="Z8448" t="str">
        <f t="shared" si="1371"/>
        <v/>
      </c>
      <c r="AA8448">
        <f t="shared" si="1373"/>
        <v>0</v>
      </c>
    </row>
    <row r="8449" spans="1:27" ht="21" customHeight="1" x14ac:dyDescent="0.95">
      <c r="A8449" s="56"/>
      <c r="B8449" s="57"/>
      <c r="C8449" s="57"/>
      <c r="D8449" s="57"/>
      <c r="E8449" s="56"/>
      <c r="F8449" s="57"/>
      <c r="G8449" s="57"/>
      <c r="H8449" s="56"/>
      <c r="I8449" s="56"/>
      <c r="J8449" s="58"/>
      <c r="K8449" s="58"/>
      <c r="L8449" s="13" t="str">
        <f t="shared" si="1362"/>
        <v/>
      </c>
      <c r="M8449" s="13" t="str">
        <f t="shared" si="1363"/>
        <v/>
      </c>
      <c r="Q8449" t="str">
        <f t="shared" si="1364"/>
        <v/>
      </c>
      <c r="R8449" t="str">
        <f t="shared" si="1365"/>
        <v/>
      </c>
      <c r="S8449" t="str">
        <f t="shared" si="1366"/>
        <v/>
      </c>
      <c r="T8449" t="str">
        <f t="shared" si="1367"/>
        <v/>
      </c>
      <c r="U8449" t="str">
        <f t="shared" si="1368"/>
        <v/>
      </c>
      <c r="V8449" t="str">
        <f t="shared" si="1369"/>
        <v/>
      </c>
      <c r="W8449" t="str">
        <f t="shared" si="1370"/>
        <v/>
      </c>
      <c r="X8449">
        <f t="shared" si="1372"/>
        <v>0</v>
      </c>
      <c r="Z8449" t="str">
        <f t="shared" si="1371"/>
        <v/>
      </c>
      <c r="AA8449">
        <f t="shared" si="1373"/>
        <v>0</v>
      </c>
    </row>
    <row r="8450" spans="1:27" ht="21" customHeight="1" x14ac:dyDescent="0.95">
      <c r="A8450" s="56"/>
      <c r="B8450" s="57"/>
      <c r="C8450" s="57"/>
      <c r="D8450" s="57"/>
      <c r="E8450" s="56"/>
      <c r="F8450" s="57"/>
      <c r="G8450" s="57"/>
      <c r="H8450" s="56"/>
      <c r="I8450" s="56"/>
      <c r="J8450" s="58"/>
      <c r="K8450" s="58"/>
      <c r="L8450" s="13" t="str">
        <f t="shared" si="1362"/>
        <v/>
      </c>
      <c r="M8450" s="13" t="str">
        <f t="shared" si="1363"/>
        <v/>
      </c>
      <c r="Q8450" t="str">
        <f t="shared" si="1364"/>
        <v/>
      </c>
      <c r="R8450" t="str">
        <f t="shared" si="1365"/>
        <v/>
      </c>
      <c r="S8450" t="str">
        <f t="shared" si="1366"/>
        <v/>
      </c>
      <c r="T8450" t="str">
        <f t="shared" si="1367"/>
        <v/>
      </c>
      <c r="U8450" t="str">
        <f t="shared" si="1368"/>
        <v/>
      </c>
      <c r="V8450" t="str">
        <f t="shared" si="1369"/>
        <v/>
      </c>
      <c r="W8450" t="str">
        <f t="shared" si="1370"/>
        <v/>
      </c>
      <c r="X8450">
        <f t="shared" si="1372"/>
        <v>0</v>
      </c>
      <c r="Z8450" t="str">
        <f t="shared" si="1371"/>
        <v/>
      </c>
      <c r="AA8450">
        <f t="shared" si="1373"/>
        <v>0</v>
      </c>
    </row>
    <row r="8451" spans="1:27" ht="21" customHeight="1" x14ac:dyDescent="0.95">
      <c r="A8451" s="56"/>
      <c r="B8451" s="57"/>
      <c r="C8451" s="57"/>
      <c r="D8451" s="57"/>
      <c r="E8451" s="56"/>
      <c r="F8451" s="57"/>
      <c r="G8451" s="57"/>
      <c r="H8451" s="56"/>
      <c r="I8451" s="56"/>
      <c r="J8451" s="58"/>
      <c r="K8451" s="58"/>
      <c r="L8451" s="13" t="str">
        <f t="shared" si="1362"/>
        <v/>
      </c>
      <c r="M8451" s="13" t="str">
        <f t="shared" si="1363"/>
        <v/>
      </c>
      <c r="Q8451" t="str">
        <f t="shared" si="1364"/>
        <v/>
      </c>
      <c r="R8451" t="str">
        <f t="shared" si="1365"/>
        <v/>
      </c>
      <c r="S8451" t="str">
        <f t="shared" si="1366"/>
        <v/>
      </c>
      <c r="T8451" t="str">
        <f t="shared" si="1367"/>
        <v/>
      </c>
      <c r="U8451" t="str">
        <f t="shared" si="1368"/>
        <v/>
      </c>
      <c r="V8451" t="str">
        <f t="shared" si="1369"/>
        <v/>
      </c>
      <c r="W8451" t="str">
        <f t="shared" si="1370"/>
        <v/>
      </c>
      <c r="X8451">
        <f t="shared" si="1372"/>
        <v>0</v>
      </c>
      <c r="Z8451" t="str">
        <f t="shared" si="1371"/>
        <v/>
      </c>
      <c r="AA8451">
        <f t="shared" si="1373"/>
        <v>0</v>
      </c>
    </row>
    <row r="8452" spans="1:27" ht="21" customHeight="1" x14ac:dyDescent="0.95">
      <c r="A8452" s="56"/>
      <c r="B8452" s="57"/>
      <c r="C8452" s="57"/>
      <c r="D8452" s="57"/>
      <c r="E8452" s="56"/>
      <c r="F8452" s="57"/>
      <c r="G8452" s="57"/>
      <c r="H8452" s="56"/>
      <c r="I8452" s="56"/>
      <c r="J8452" s="58"/>
      <c r="K8452" s="58"/>
      <c r="L8452" s="13" t="str">
        <f t="shared" ref="L8452:L8515" si="1374">IF(OR($A8452="",AND($J8452="",$K8452="")),"",ROUND(N($J8452)-N($K8452),2))</f>
        <v/>
      </c>
      <c r="M8452" s="13" t="str">
        <f t="shared" ref="M8452:M8515" si="1375">IF(OR($A8452="",AND($J8452="",$K8452="")),"",MIN($J8452,$K8452))</f>
        <v/>
      </c>
      <c r="Q8452" t="str">
        <f t="shared" ref="Q8452:Q8515" si="1376">IF($A8452="","",$D8452&amp;"("&amp;SUBSTITUTE($E8452," ","")&amp;")")</f>
        <v/>
      </c>
      <c r="R8452" t="str">
        <f t="shared" ref="R8452:R8515" si="1377">IF($A8452="","",$B8452&amp;" - "&amp;$C8452)</f>
        <v/>
      </c>
      <c r="S8452" t="str">
        <f t="shared" ref="S8452:S8515" si="1378">IF($A8452="","",$R8452&amp;"|"&amp;$Q8452)</f>
        <v/>
      </c>
      <c r="T8452" t="str">
        <f t="shared" ref="T8452:T8515" si="1379">IF($A8452="","",$S8452&amp;"|"&amp;$F8452)</f>
        <v/>
      </c>
      <c r="U8452" t="str">
        <f t="shared" ref="U8452:U8515" si="1380">IF($A8452="","",$R8452&amp;"("&amp;$E8452&amp;")")</f>
        <v/>
      </c>
      <c r="V8452" t="str">
        <f t="shared" ref="V8452:V8515" si="1381">IF($A8452="","",$F8452&amp;"|"&amp;$U8452&amp;"|"&amp;$D8452)</f>
        <v/>
      </c>
      <c r="W8452" t="str">
        <f t="shared" si="1370"/>
        <v/>
      </c>
      <c r="X8452">
        <f t="shared" si="1372"/>
        <v>0</v>
      </c>
      <c r="Z8452" t="str">
        <f t="shared" si="1371"/>
        <v/>
      </c>
      <c r="AA8452">
        <f t="shared" si="1373"/>
        <v>0</v>
      </c>
    </row>
    <row r="8453" spans="1:27" ht="21" customHeight="1" x14ac:dyDescent="0.95">
      <c r="A8453" s="56"/>
      <c r="B8453" s="57"/>
      <c r="C8453" s="57"/>
      <c r="D8453" s="57"/>
      <c r="E8453" s="56"/>
      <c r="F8453" s="57"/>
      <c r="G8453" s="57"/>
      <c r="H8453" s="56"/>
      <c r="I8453" s="56"/>
      <c r="J8453" s="58"/>
      <c r="K8453" s="58"/>
      <c r="L8453" s="13" t="str">
        <f t="shared" si="1374"/>
        <v/>
      </c>
      <c r="M8453" s="13" t="str">
        <f t="shared" si="1375"/>
        <v/>
      </c>
      <c r="Q8453" t="str">
        <f t="shared" si="1376"/>
        <v/>
      </c>
      <c r="R8453" t="str">
        <f t="shared" si="1377"/>
        <v/>
      </c>
      <c r="S8453" t="str">
        <f t="shared" si="1378"/>
        <v/>
      </c>
      <c r="T8453" t="str">
        <f t="shared" si="1379"/>
        <v/>
      </c>
      <c r="U8453" t="str">
        <f t="shared" si="1380"/>
        <v/>
      </c>
      <c r="V8453" t="str">
        <f t="shared" si="1381"/>
        <v/>
      </c>
      <c r="W8453" t="str">
        <f t="shared" si="1370"/>
        <v/>
      </c>
      <c r="X8453">
        <f t="shared" si="1372"/>
        <v>0</v>
      </c>
      <c r="Z8453" t="str">
        <f t="shared" si="1371"/>
        <v/>
      </c>
      <c r="AA8453">
        <f t="shared" si="1373"/>
        <v>0</v>
      </c>
    </row>
    <row r="8454" spans="1:27" ht="21" customHeight="1" x14ac:dyDescent="0.95">
      <c r="A8454" s="56"/>
      <c r="B8454" s="57"/>
      <c r="C8454" s="57"/>
      <c r="D8454" s="57"/>
      <c r="E8454" s="56"/>
      <c r="F8454" s="57"/>
      <c r="G8454" s="57"/>
      <c r="H8454" s="56"/>
      <c r="I8454" s="56"/>
      <c r="J8454" s="58"/>
      <c r="K8454" s="58"/>
      <c r="L8454" s="13" t="str">
        <f t="shared" si="1374"/>
        <v/>
      </c>
      <c r="M8454" s="13" t="str">
        <f t="shared" si="1375"/>
        <v/>
      </c>
      <c r="Q8454" t="str">
        <f t="shared" si="1376"/>
        <v/>
      </c>
      <c r="R8454" t="str">
        <f t="shared" si="1377"/>
        <v/>
      </c>
      <c r="S8454" t="str">
        <f t="shared" si="1378"/>
        <v/>
      </c>
      <c r="T8454" t="str">
        <f t="shared" si="1379"/>
        <v/>
      </c>
      <c r="U8454" t="str">
        <f t="shared" si="1380"/>
        <v/>
      </c>
      <c r="V8454" t="str">
        <f t="shared" si="1381"/>
        <v/>
      </c>
      <c r="W8454" t="str">
        <f t="shared" ref="W8454:W8517" si="1382">IF($T8454="","",IF($X8454&gt;N($X8453),$X8454,""))</f>
        <v/>
      </c>
      <c r="X8454">
        <f t="shared" si="1372"/>
        <v>0</v>
      </c>
      <c r="Z8454" t="str">
        <f t="shared" ref="Z8454:Z8517" si="1383">IF($V8454="","",IF($AA8454&gt;N($AA8453),$AA8454,""))</f>
        <v/>
      </c>
      <c r="AA8454">
        <f t="shared" si="1373"/>
        <v>0</v>
      </c>
    </row>
    <row r="8455" spans="1:27" ht="21" customHeight="1" x14ac:dyDescent="0.95">
      <c r="A8455" s="56"/>
      <c r="B8455" s="57"/>
      <c r="C8455" s="57"/>
      <c r="D8455" s="57"/>
      <c r="E8455" s="56"/>
      <c r="F8455" s="57"/>
      <c r="G8455" s="57"/>
      <c r="H8455" s="56"/>
      <c r="I8455" s="56"/>
      <c r="J8455" s="58"/>
      <c r="K8455" s="58"/>
      <c r="L8455" s="13" t="str">
        <f t="shared" si="1374"/>
        <v/>
      </c>
      <c r="M8455" s="13" t="str">
        <f t="shared" si="1375"/>
        <v/>
      </c>
      <c r="Q8455" t="str">
        <f t="shared" si="1376"/>
        <v/>
      </c>
      <c r="R8455" t="str">
        <f t="shared" si="1377"/>
        <v/>
      </c>
      <c r="S8455" t="str">
        <f t="shared" si="1378"/>
        <v/>
      </c>
      <c r="T8455" t="str">
        <f t="shared" si="1379"/>
        <v/>
      </c>
      <c r="U8455" t="str">
        <f t="shared" si="1380"/>
        <v/>
      </c>
      <c r="V8455" t="str">
        <f t="shared" si="1381"/>
        <v/>
      </c>
      <c r="W8455" t="str">
        <f t="shared" si="1382"/>
        <v/>
      </c>
      <c r="X8455">
        <f t="shared" si="1372"/>
        <v>0</v>
      </c>
      <c r="Z8455" t="str">
        <f t="shared" si="1383"/>
        <v/>
      </c>
      <c r="AA8455">
        <f t="shared" si="1373"/>
        <v>0</v>
      </c>
    </row>
    <row r="8456" spans="1:27" ht="21" customHeight="1" x14ac:dyDescent="0.95">
      <c r="A8456" s="56"/>
      <c r="B8456" s="57"/>
      <c r="C8456" s="57"/>
      <c r="D8456" s="57"/>
      <c r="E8456" s="56"/>
      <c r="F8456" s="57"/>
      <c r="G8456" s="57"/>
      <c r="H8456" s="56"/>
      <c r="I8456" s="56"/>
      <c r="J8456" s="58"/>
      <c r="K8456" s="58"/>
      <c r="L8456" s="13" t="str">
        <f t="shared" si="1374"/>
        <v/>
      </c>
      <c r="M8456" s="13" t="str">
        <f t="shared" si="1375"/>
        <v/>
      </c>
      <c r="Q8456" t="str">
        <f t="shared" si="1376"/>
        <v/>
      </c>
      <c r="R8456" t="str">
        <f t="shared" si="1377"/>
        <v/>
      </c>
      <c r="S8456" t="str">
        <f t="shared" si="1378"/>
        <v/>
      </c>
      <c r="T8456" t="str">
        <f t="shared" si="1379"/>
        <v/>
      </c>
      <c r="U8456" t="str">
        <f t="shared" si="1380"/>
        <v/>
      </c>
      <c r="V8456" t="str">
        <f t="shared" si="1381"/>
        <v/>
      </c>
      <c r="W8456" t="str">
        <f t="shared" si="1382"/>
        <v/>
      </c>
      <c r="X8456">
        <f t="shared" si="1372"/>
        <v>0</v>
      </c>
      <c r="Z8456" t="str">
        <f t="shared" si="1383"/>
        <v/>
      </c>
      <c r="AA8456">
        <f t="shared" si="1373"/>
        <v>0</v>
      </c>
    </row>
    <row r="8457" spans="1:27" ht="21" customHeight="1" x14ac:dyDescent="0.95">
      <c r="A8457" s="56"/>
      <c r="B8457" s="57"/>
      <c r="C8457" s="57"/>
      <c r="D8457" s="57"/>
      <c r="E8457" s="56"/>
      <c r="F8457" s="57"/>
      <c r="G8457" s="57"/>
      <c r="H8457" s="56"/>
      <c r="I8457" s="56"/>
      <c r="J8457" s="58"/>
      <c r="K8457" s="58"/>
      <c r="L8457" s="13" t="str">
        <f t="shared" si="1374"/>
        <v/>
      </c>
      <c r="M8457" s="13" t="str">
        <f t="shared" si="1375"/>
        <v/>
      </c>
      <c r="Q8457" t="str">
        <f t="shared" si="1376"/>
        <v/>
      </c>
      <c r="R8457" t="str">
        <f t="shared" si="1377"/>
        <v/>
      </c>
      <c r="S8457" t="str">
        <f t="shared" si="1378"/>
        <v/>
      </c>
      <c r="T8457" t="str">
        <f t="shared" si="1379"/>
        <v/>
      </c>
      <c r="U8457" t="str">
        <f t="shared" si="1380"/>
        <v/>
      </c>
      <c r="V8457" t="str">
        <f t="shared" si="1381"/>
        <v/>
      </c>
      <c r="W8457" t="str">
        <f t="shared" si="1382"/>
        <v/>
      </c>
      <c r="X8457">
        <f t="shared" si="1372"/>
        <v>0</v>
      </c>
      <c r="Z8457" t="str">
        <f t="shared" si="1383"/>
        <v/>
      </c>
      <c r="AA8457">
        <f t="shared" si="1373"/>
        <v>0</v>
      </c>
    </row>
    <row r="8458" spans="1:27" ht="21" customHeight="1" x14ac:dyDescent="0.95">
      <c r="A8458" s="56"/>
      <c r="B8458" s="57"/>
      <c r="C8458" s="57"/>
      <c r="D8458" s="57"/>
      <c r="E8458" s="56"/>
      <c r="F8458" s="57"/>
      <c r="G8458" s="57"/>
      <c r="H8458" s="56"/>
      <c r="I8458" s="56"/>
      <c r="J8458" s="58"/>
      <c r="K8458" s="58"/>
      <c r="L8458" s="13" t="str">
        <f t="shared" si="1374"/>
        <v/>
      </c>
      <c r="M8458" s="13" t="str">
        <f t="shared" si="1375"/>
        <v/>
      </c>
      <c r="Q8458" t="str">
        <f t="shared" si="1376"/>
        <v/>
      </c>
      <c r="R8458" t="str">
        <f t="shared" si="1377"/>
        <v/>
      </c>
      <c r="S8458" t="str">
        <f t="shared" si="1378"/>
        <v/>
      </c>
      <c r="T8458" t="str">
        <f t="shared" si="1379"/>
        <v/>
      </c>
      <c r="U8458" t="str">
        <f t="shared" si="1380"/>
        <v/>
      </c>
      <c r="V8458" t="str">
        <f t="shared" si="1381"/>
        <v/>
      </c>
      <c r="W8458" t="str">
        <f t="shared" si="1382"/>
        <v/>
      </c>
      <c r="X8458">
        <f t="shared" si="1372"/>
        <v>0</v>
      </c>
      <c r="Z8458" t="str">
        <f t="shared" si="1383"/>
        <v/>
      </c>
      <c r="AA8458">
        <f t="shared" si="1373"/>
        <v>0</v>
      </c>
    </row>
    <row r="8459" spans="1:27" ht="21" customHeight="1" x14ac:dyDescent="0.95">
      <c r="A8459" s="56"/>
      <c r="B8459" s="57"/>
      <c r="C8459" s="57"/>
      <c r="D8459" s="57"/>
      <c r="E8459" s="56"/>
      <c r="F8459" s="57"/>
      <c r="G8459" s="57"/>
      <c r="H8459" s="56"/>
      <c r="I8459" s="56"/>
      <c r="J8459" s="58"/>
      <c r="K8459" s="58"/>
      <c r="L8459" s="13" t="str">
        <f t="shared" si="1374"/>
        <v/>
      </c>
      <c r="M8459" s="13" t="str">
        <f t="shared" si="1375"/>
        <v/>
      </c>
      <c r="Q8459" t="str">
        <f t="shared" si="1376"/>
        <v/>
      </c>
      <c r="R8459" t="str">
        <f t="shared" si="1377"/>
        <v/>
      </c>
      <c r="S8459" t="str">
        <f t="shared" si="1378"/>
        <v/>
      </c>
      <c r="T8459" t="str">
        <f t="shared" si="1379"/>
        <v/>
      </c>
      <c r="U8459" t="str">
        <f t="shared" si="1380"/>
        <v/>
      </c>
      <c r="V8459" t="str">
        <f t="shared" si="1381"/>
        <v/>
      </c>
      <c r="W8459" t="str">
        <f t="shared" si="1382"/>
        <v/>
      </c>
      <c r="X8459">
        <f t="shared" si="1372"/>
        <v>0</v>
      </c>
      <c r="Z8459" t="str">
        <f t="shared" si="1383"/>
        <v/>
      </c>
      <c r="AA8459">
        <f t="shared" si="1373"/>
        <v>0</v>
      </c>
    </row>
    <row r="8460" spans="1:27" ht="21" customHeight="1" x14ac:dyDescent="0.95">
      <c r="A8460" s="56"/>
      <c r="B8460" s="57"/>
      <c r="C8460" s="57"/>
      <c r="D8460" s="57"/>
      <c r="E8460" s="56"/>
      <c r="F8460" s="57"/>
      <c r="G8460" s="57"/>
      <c r="H8460" s="56"/>
      <c r="I8460" s="56"/>
      <c r="J8460" s="58"/>
      <c r="K8460" s="58"/>
      <c r="L8460" s="13" t="str">
        <f t="shared" si="1374"/>
        <v/>
      </c>
      <c r="M8460" s="13" t="str">
        <f t="shared" si="1375"/>
        <v/>
      </c>
      <c r="Q8460" t="str">
        <f t="shared" si="1376"/>
        <v/>
      </c>
      <c r="R8460" t="str">
        <f t="shared" si="1377"/>
        <v/>
      </c>
      <c r="S8460" t="str">
        <f t="shared" si="1378"/>
        <v/>
      </c>
      <c r="T8460" t="str">
        <f t="shared" si="1379"/>
        <v/>
      </c>
      <c r="U8460" t="str">
        <f t="shared" si="1380"/>
        <v/>
      </c>
      <c r="V8460" t="str">
        <f t="shared" si="1381"/>
        <v/>
      </c>
      <c r="W8460" t="str">
        <f t="shared" si="1382"/>
        <v/>
      </c>
      <c r="X8460">
        <f t="shared" si="1372"/>
        <v>0</v>
      </c>
      <c r="Z8460" t="str">
        <f t="shared" si="1383"/>
        <v/>
      </c>
      <c r="AA8460">
        <f t="shared" si="1373"/>
        <v>0</v>
      </c>
    </row>
    <row r="8461" spans="1:27" ht="21" customHeight="1" x14ac:dyDescent="0.95">
      <c r="A8461" s="56"/>
      <c r="B8461" s="57"/>
      <c r="C8461" s="57"/>
      <c r="D8461" s="57"/>
      <c r="E8461" s="56"/>
      <c r="F8461" s="57"/>
      <c r="G8461" s="57"/>
      <c r="H8461" s="56"/>
      <c r="I8461" s="56"/>
      <c r="J8461" s="58"/>
      <c r="K8461" s="58"/>
      <c r="L8461" s="13" t="str">
        <f t="shared" si="1374"/>
        <v/>
      </c>
      <c r="M8461" s="13" t="str">
        <f t="shared" si="1375"/>
        <v/>
      </c>
      <c r="Q8461" t="str">
        <f t="shared" si="1376"/>
        <v/>
      </c>
      <c r="R8461" t="str">
        <f t="shared" si="1377"/>
        <v/>
      </c>
      <c r="S8461" t="str">
        <f t="shared" si="1378"/>
        <v/>
      </c>
      <c r="T8461" t="str">
        <f t="shared" si="1379"/>
        <v/>
      </c>
      <c r="U8461" t="str">
        <f t="shared" si="1380"/>
        <v/>
      </c>
      <c r="V8461" t="str">
        <f t="shared" si="1381"/>
        <v/>
      </c>
      <c r="W8461" t="str">
        <f t="shared" si="1382"/>
        <v/>
      </c>
      <c r="X8461">
        <f t="shared" si="1372"/>
        <v>0</v>
      </c>
      <c r="Z8461" t="str">
        <f t="shared" si="1383"/>
        <v/>
      </c>
      <c r="AA8461">
        <f t="shared" si="1373"/>
        <v>0</v>
      </c>
    </row>
    <row r="8462" spans="1:27" ht="21" customHeight="1" x14ac:dyDescent="0.95">
      <c r="A8462" s="56"/>
      <c r="B8462" s="57"/>
      <c r="C8462" s="57"/>
      <c r="D8462" s="57"/>
      <c r="E8462" s="56"/>
      <c r="F8462" s="57"/>
      <c r="G8462" s="57"/>
      <c r="H8462" s="56"/>
      <c r="I8462" s="56"/>
      <c r="J8462" s="58"/>
      <c r="K8462" s="58"/>
      <c r="L8462" s="13" t="str">
        <f t="shared" si="1374"/>
        <v/>
      </c>
      <c r="M8462" s="13" t="str">
        <f t="shared" si="1375"/>
        <v/>
      </c>
      <c r="Q8462" t="str">
        <f t="shared" si="1376"/>
        <v/>
      </c>
      <c r="R8462" t="str">
        <f t="shared" si="1377"/>
        <v/>
      </c>
      <c r="S8462" t="str">
        <f t="shared" si="1378"/>
        <v/>
      </c>
      <c r="T8462" t="str">
        <f t="shared" si="1379"/>
        <v/>
      </c>
      <c r="U8462" t="str">
        <f t="shared" si="1380"/>
        <v/>
      </c>
      <c r="V8462" t="str">
        <f t="shared" si="1381"/>
        <v/>
      </c>
      <c r="W8462" t="str">
        <f t="shared" si="1382"/>
        <v/>
      </c>
      <c r="X8462">
        <f t="shared" si="1372"/>
        <v>0</v>
      </c>
      <c r="Z8462" t="str">
        <f t="shared" si="1383"/>
        <v/>
      </c>
      <c r="AA8462">
        <f t="shared" si="1373"/>
        <v>0</v>
      </c>
    </row>
    <row r="8463" spans="1:27" ht="21" customHeight="1" x14ac:dyDescent="0.95">
      <c r="A8463" s="56"/>
      <c r="B8463" s="57"/>
      <c r="C8463" s="57"/>
      <c r="D8463" s="57"/>
      <c r="E8463" s="56"/>
      <c r="F8463" s="57"/>
      <c r="G8463" s="57"/>
      <c r="H8463" s="56"/>
      <c r="I8463" s="56"/>
      <c r="J8463" s="58"/>
      <c r="K8463" s="58"/>
      <c r="L8463" s="13" t="str">
        <f t="shared" si="1374"/>
        <v/>
      </c>
      <c r="M8463" s="13" t="str">
        <f t="shared" si="1375"/>
        <v/>
      </c>
      <c r="Q8463" t="str">
        <f t="shared" si="1376"/>
        <v/>
      </c>
      <c r="R8463" t="str">
        <f t="shared" si="1377"/>
        <v/>
      </c>
      <c r="S8463" t="str">
        <f t="shared" si="1378"/>
        <v/>
      </c>
      <c r="T8463" t="str">
        <f t="shared" si="1379"/>
        <v/>
      </c>
      <c r="U8463" t="str">
        <f t="shared" si="1380"/>
        <v/>
      </c>
      <c r="V8463" t="str">
        <f t="shared" si="1381"/>
        <v/>
      </c>
      <c r="W8463" t="str">
        <f t="shared" si="1382"/>
        <v/>
      </c>
      <c r="X8463">
        <f t="shared" si="1372"/>
        <v>0</v>
      </c>
      <c r="Z8463" t="str">
        <f t="shared" si="1383"/>
        <v/>
      </c>
      <c r="AA8463">
        <f t="shared" si="1373"/>
        <v>0</v>
      </c>
    </row>
    <row r="8464" spans="1:27" ht="21" customHeight="1" x14ac:dyDescent="0.95">
      <c r="A8464" s="56"/>
      <c r="B8464" s="57"/>
      <c r="C8464" s="57"/>
      <c r="D8464" s="57"/>
      <c r="E8464" s="56"/>
      <c r="F8464" s="57"/>
      <c r="G8464" s="57"/>
      <c r="H8464" s="56"/>
      <c r="I8464" s="56"/>
      <c r="J8464" s="58"/>
      <c r="K8464" s="58"/>
      <c r="L8464" s="13" t="str">
        <f t="shared" si="1374"/>
        <v/>
      </c>
      <c r="M8464" s="13" t="str">
        <f t="shared" si="1375"/>
        <v/>
      </c>
      <c r="Q8464" t="str">
        <f t="shared" si="1376"/>
        <v/>
      </c>
      <c r="R8464" t="str">
        <f t="shared" si="1377"/>
        <v/>
      </c>
      <c r="S8464" t="str">
        <f t="shared" si="1378"/>
        <v/>
      </c>
      <c r="T8464" t="str">
        <f t="shared" si="1379"/>
        <v/>
      </c>
      <c r="U8464" t="str">
        <f t="shared" si="1380"/>
        <v/>
      </c>
      <c r="V8464" t="str">
        <f t="shared" si="1381"/>
        <v/>
      </c>
      <c r="W8464" t="str">
        <f t="shared" si="1382"/>
        <v/>
      </c>
      <c r="X8464">
        <f t="shared" si="1372"/>
        <v>0</v>
      </c>
      <c r="Z8464" t="str">
        <f t="shared" si="1383"/>
        <v/>
      </c>
      <c r="AA8464">
        <f t="shared" si="1373"/>
        <v>0</v>
      </c>
    </row>
    <row r="8465" spans="1:27" ht="21" customHeight="1" x14ac:dyDescent="0.95">
      <c r="A8465" s="56"/>
      <c r="B8465" s="57"/>
      <c r="C8465" s="57"/>
      <c r="D8465" s="57"/>
      <c r="E8465" s="56"/>
      <c r="F8465" s="57"/>
      <c r="G8465" s="57"/>
      <c r="H8465" s="56"/>
      <c r="I8465" s="56"/>
      <c r="J8465" s="58"/>
      <c r="K8465" s="58"/>
      <c r="L8465" s="13" t="str">
        <f t="shared" si="1374"/>
        <v/>
      </c>
      <c r="M8465" s="13" t="str">
        <f t="shared" si="1375"/>
        <v/>
      </c>
      <c r="Q8465" t="str">
        <f t="shared" si="1376"/>
        <v/>
      </c>
      <c r="R8465" t="str">
        <f t="shared" si="1377"/>
        <v/>
      </c>
      <c r="S8465" t="str">
        <f t="shared" si="1378"/>
        <v/>
      </c>
      <c r="T8465" t="str">
        <f t="shared" si="1379"/>
        <v/>
      </c>
      <c r="U8465" t="str">
        <f t="shared" si="1380"/>
        <v/>
      </c>
      <c r="V8465" t="str">
        <f t="shared" si="1381"/>
        <v/>
      </c>
      <c r="W8465" t="str">
        <f t="shared" si="1382"/>
        <v/>
      </c>
      <c r="X8465">
        <f t="shared" si="1372"/>
        <v>0</v>
      </c>
      <c r="Z8465" t="str">
        <f t="shared" si="1383"/>
        <v/>
      </c>
      <c r="AA8465">
        <f t="shared" si="1373"/>
        <v>0</v>
      </c>
    </row>
    <row r="8466" spans="1:27" ht="21" customHeight="1" x14ac:dyDescent="0.95">
      <c r="A8466" s="56"/>
      <c r="B8466" s="57"/>
      <c r="C8466" s="57"/>
      <c r="D8466" s="57"/>
      <c r="E8466" s="56"/>
      <c r="F8466" s="57"/>
      <c r="G8466" s="57"/>
      <c r="H8466" s="56"/>
      <c r="I8466" s="56"/>
      <c r="J8466" s="58"/>
      <c r="K8466" s="58"/>
      <c r="L8466" s="13" t="str">
        <f t="shared" si="1374"/>
        <v/>
      </c>
      <c r="M8466" s="13" t="str">
        <f t="shared" si="1375"/>
        <v/>
      </c>
      <c r="Q8466" t="str">
        <f t="shared" si="1376"/>
        <v/>
      </c>
      <c r="R8466" t="str">
        <f t="shared" si="1377"/>
        <v/>
      </c>
      <c r="S8466" t="str">
        <f t="shared" si="1378"/>
        <v/>
      </c>
      <c r="T8466" t="str">
        <f t="shared" si="1379"/>
        <v/>
      </c>
      <c r="U8466" t="str">
        <f t="shared" si="1380"/>
        <v/>
      </c>
      <c r="V8466" t="str">
        <f t="shared" si="1381"/>
        <v/>
      </c>
      <c r="W8466" t="str">
        <f t="shared" si="1382"/>
        <v/>
      </c>
      <c r="X8466">
        <f t="shared" si="1372"/>
        <v>0</v>
      </c>
      <c r="Z8466" t="str">
        <f t="shared" si="1383"/>
        <v/>
      </c>
      <c r="AA8466">
        <f t="shared" si="1373"/>
        <v>0</v>
      </c>
    </row>
    <row r="8467" spans="1:27" ht="21" customHeight="1" x14ac:dyDescent="0.95">
      <c r="A8467" s="56"/>
      <c r="B8467" s="57"/>
      <c r="C8467" s="57"/>
      <c r="D8467" s="57"/>
      <c r="E8467" s="56"/>
      <c r="F8467" s="57"/>
      <c r="G8467" s="57"/>
      <c r="H8467" s="56"/>
      <c r="I8467" s="56"/>
      <c r="J8467" s="58"/>
      <c r="K8467" s="58"/>
      <c r="L8467" s="13" t="str">
        <f t="shared" si="1374"/>
        <v/>
      </c>
      <c r="M8467" s="13" t="str">
        <f t="shared" si="1375"/>
        <v/>
      </c>
      <c r="Q8467" t="str">
        <f t="shared" si="1376"/>
        <v/>
      </c>
      <c r="R8467" t="str">
        <f t="shared" si="1377"/>
        <v/>
      </c>
      <c r="S8467" t="str">
        <f t="shared" si="1378"/>
        <v/>
      </c>
      <c r="T8467" t="str">
        <f t="shared" si="1379"/>
        <v/>
      </c>
      <c r="U8467" t="str">
        <f t="shared" si="1380"/>
        <v/>
      </c>
      <c r="V8467" t="str">
        <f t="shared" si="1381"/>
        <v/>
      </c>
      <c r="W8467" t="str">
        <f t="shared" si="1382"/>
        <v/>
      </c>
      <c r="X8467">
        <f t="shared" si="1372"/>
        <v>0</v>
      </c>
      <c r="Z8467" t="str">
        <f t="shared" si="1383"/>
        <v/>
      </c>
      <c r="AA8467">
        <f t="shared" si="1373"/>
        <v>0</v>
      </c>
    </row>
    <row r="8468" spans="1:27" ht="21" customHeight="1" x14ac:dyDescent="0.95">
      <c r="A8468" s="56"/>
      <c r="B8468" s="57"/>
      <c r="C8468" s="57"/>
      <c r="D8468" s="57"/>
      <c r="E8468" s="56"/>
      <c r="F8468" s="57"/>
      <c r="G8468" s="57"/>
      <c r="H8468" s="56"/>
      <c r="I8468" s="56"/>
      <c r="J8468" s="58"/>
      <c r="K8468" s="58"/>
      <c r="L8468" s="13" t="str">
        <f t="shared" si="1374"/>
        <v/>
      </c>
      <c r="M8468" s="13" t="str">
        <f t="shared" si="1375"/>
        <v/>
      </c>
      <c r="Q8468" t="str">
        <f t="shared" si="1376"/>
        <v/>
      </c>
      <c r="R8468" t="str">
        <f t="shared" si="1377"/>
        <v/>
      </c>
      <c r="S8468" t="str">
        <f t="shared" si="1378"/>
        <v/>
      </c>
      <c r="T8468" t="str">
        <f t="shared" si="1379"/>
        <v/>
      </c>
      <c r="U8468" t="str">
        <f t="shared" si="1380"/>
        <v/>
      </c>
      <c r="V8468" t="str">
        <f t="shared" si="1381"/>
        <v/>
      </c>
      <c r="W8468" t="str">
        <f t="shared" si="1382"/>
        <v/>
      </c>
      <c r="X8468">
        <f t="shared" si="1372"/>
        <v>0</v>
      </c>
      <c r="Z8468" t="str">
        <f t="shared" si="1383"/>
        <v/>
      </c>
      <c r="AA8468">
        <f t="shared" si="1373"/>
        <v>0</v>
      </c>
    </row>
    <row r="8469" spans="1:27" ht="21" customHeight="1" x14ac:dyDescent="0.95">
      <c r="A8469" s="56"/>
      <c r="B8469" s="57"/>
      <c r="C8469" s="57"/>
      <c r="D8469" s="57"/>
      <c r="E8469" s="56"/>
      <c r="F8469" s="57"/>
      <c r="G8469" s="57"/>
      <c r="H8469" s="56"/>
      <c r="I8469" s="56"/>
      <c r="J8469" s="58"/>
      <c r="K8469" s="58"/>
      <c r="L8469" s="13" t="str">
        <f t="shared" si="1374"/>
        <v/>
      </c>
      <c r="M8469" s="13" t="str">
        <f t="shared" si="1375"/>
        <v/>
      </c>
      <c r="Q8469" t="str">
        <f t="shared" si="1376"/>
        <v/>
      </c>
      <c r="R8469" t="str">
        <f t="shared" si="1377"/>
        <v/>
      </c>
      <c r="S8469" t="str">
        <f t="shared" si="1378"/>
        <v/>
      </c>
      <c r="T8469" t="str">
        <f t="shared" si="1379"/>
        <v/>
      </c>
      <c r="U8469" t="str">
        <f t="shared" si="1380"/>
        <v/>
      </c>
      <c r="V8469" t="str">
        <f t="shared" si="1381"/>
        <v/>
      </c>
      <c r="W8469" t="str">
        <f t="shared" si="1382"/>
        <v/>
      </c>
      <c r="X8469">
        <f t="shared" si="1372"/>
        <v>0</v>
      </c>
      <c r="Z8469" t="str">
        <f t="shared" si="1383"/>
        <v/>
      </c>
      <c r="AA8469">
        <f t="shared" si="1373"/>
        <v>0</v>
      </c>
    </row>
    <row r="8470" spans="1:27" ht="21" customHeight="1" x14ac:dyDescent="0.95">
      <c r="A8470" s="56"/>
      <c r="B8470" s="57"/>
      <c r="C8470" s="57"/>
      <c r="D8470" s="57"/>
      <c r="E8470" s="56"/>
      <c r="F8470" s="57"/>
      <c r="G8470" s="57"/>
      <c r="H8470" s="56"/>
      <c r="I8470" s="56"/>
      <c r="J8470" s="58"/>
      <c r="K8470" s="58"/>
      <c r="L8470" s="13" t="str">
        <f t="shared" si="1374"/>
        <v/>
      </c>
      <c r="M8470" s="13" t="str">
        <f t="shared" si="1375"/>
        <v/>
      </c>
      <c r="Q8470" t="str">
        <f t="shared" si="1376"/>
        <v/>
      </c>
      <c r="R8470" t="str">
        <f t="shared" si="1377"/>
        <v/>
      </c>
      <c r="S8470" t="str">
        <f t="shared" si="1378"/>
        <v/>
      </c>
      <c r="T8470" t="str">
        <f t="shared" si="1379"/>
        <v/>
      </c>
      <c r="U8470" t="str">
        <f t="shared" si="1380"/>
        <v/>
      </c>
      <c r="V8470" t="str">
        <f t="shared" si="1381"/>
        <v/>
      </c>
      <c r="W8470" t="str">
        <f t="shared" si="1382"/>
        <v/>
      </c>
      <c r="X8470">
        <f t="shared" si="1372"/>
        <v>0</v>
      </c>
      <c r="Z8470" t="str">
        <f t="shared" si="1383"/>
        <v/>
      </c>
      <c r="AA8470">
        <f t="shared" si="1373"/>
        <v>0</v>
      </c>
    </row>
    <row r="8471" spans="1:27" ht="21" customHeight="1" x14ac:dyDescent="0.95">
      <c r="A8471" s="56"/>
      <c r="B8471" s="57"/>
      <c r="C8471" s="57"/>
      <c r="D8471" s="57"/>
      <c r="E8471" s="56"/>
      <c r="F8471" s="57"/>
      <c r="G8471" s="57"/>
      <c r="H8471" s="56"/>
      <c r="I8471" s="56"/>
      <c r="J8471" s="58"/>
      <c r="K8471" s="58"/>
      <c r="L8471" s="13" t="str">
        <f t="shared" si="1374"/>
        <v/>
      </c>
      <c r="M8471" s="13" t="str">
        <f t="shared" si="1375"/>
        <v/>
      </c>
      <c r="Q8471" t="str">
        <f t="shared" si="1376"/>
        <v/>
      </c>
      <c r="R8471" t="str">
        <f t="shared" si="1377"/>
        <v/>
      </c>
      <c r="S8471" t="str">
        <f t="shared" si="1378"/>
        <v/>
      </c>
      <c r="T8471" t="str">
        <f t="shared" si="1379"/>
        <v/>
      </c>
      <c r="U8471" t="str">
        <f t="shared" si="1380"/>
        <v/>
      </c>
      <c r="V8471" t="str">
        <f t="shared" si="1381"/>
        <v/>
      </c>
      <c r="W8471" t="str">
        <f t="shared" si="1382"/>
        <v/>
      </c>
      <c r="X8471">
        <f t="shared" si="1372"/>
        <v>0</v>
      </c>
      <c r="Z8471" t="str">
        <f t="shared" si="1383"/>
        <v/>
      </c>
      <c r="AA8471">
        <f t="shared" si="1373"/>
        <v>0</v>
      </c>
    </row>
    <row r="8472" spans="1:27" ht="21" customHeight="1" x14ac:dyDescent="0.95">
      <c r="A8472" s="56"/>
      <c r="B8472" s="57"/>
      <c r="C8472" s="57"/>
      <c r="D8472" s="57"/>
      <c r="E8472" s="56"/>
      <c r="F8472" s="57"/>
      <c r="G8472" s="57"/>
      <c r="H8472" s="56"/>
      <c r="I8472" s="56"/>
      <c r="J8472" s="58"/>
      <c r="K8472" s="58"/>
      <c r="L8472" s="13" t="str">
        <f t="shared" si="1374"/>
        <v/>
      </c>
      <c r="M8472" s="13" t="str">
        <f t="shared" si="1375"/>
        <v/>
      </c>
      <c r="Q8472" t="str">
        <f t="shared" si="1376"/>
        <v/>
      </c>
      <c r="R8472" t="str">
        <f t="shared" si="1377"/>
        <v/>
      </c>
      <c r="S8472" t="str">
        <f t="shared" si="1378"/>
        <v/>
      </c>
      <c r="T8472" t="str">
        <f t="shared" si="1379"/>
        <v/>
      </c>
      <c r="U8472" t="str">
        <f t="shared" si="1380"/>
        <v/>
      </c>
      <c r="V8472" t="str">
        <f t="shared" si="1381"/>
        <v/>
      </c>
      <c r="W8472" t="str">
        <f t="shared" si="1382"/>
        <v/>
      </c>
      <c r="X8472">
        <f t="shared" si="1372"/>
        <v>0</v>
      </c>
      <c r="Z8472" t="str">
        <f t="shared" si="1383"/>
        <v/>
      </c>
      <c r="AA8472">
        <f t="shared" si="1373"/>
        <v>0</v>
      </c>
    </row>
    <row r="8473" spans="1:27" ht="21" customHeight="1" x14ac:dyDescent="0.95">
      <c r="A8473" s="56"/>
      <c r="B8473" s="57"/>
      <c r="C8473" s="57"/>
      <c r="D8473" s="57"/>
      <c r="E8473" s="56"/>
      <c r="F8473" s="57"/>
      <c r="G8473" s="57"/>
      <c r="H8473" s="56"/>
      <c r="I8473" s="56"/>
      <c r="J8473" s="58"/>
      <c r="K8473" s="58"/>
      <c r="L8473" s="13" t="str">
        <f t="shared" si="1374"/>
        <v/>
      </c>
      <c r="M8473" s="13" t="str">
        <f t="shared" si="1375"/>
        <v/>
      </c>
      <c r="Q8473" t="str">
        <f t="shared" si="1376"/>
        <v/>
      </c>
      <c r="R8473" t="str">
        <f t="shared" si="1377"/>
        <v/>
      </c>
      <c r="S8473" t="str">
        <f t="shared" si="1378"/>
        <v/>
      </c>
      <c r="T8473" t="str">
        <f t="shared" si="1379"/>
        <v/>
      </c>
      <c r="U8473" t="str">
        <f t="shared" si="1380"/>
        <v/>
      </c>
      <c r="V8473" t="str">
        <f t="shared" si="1381"/>
        <v/>
      </c>
      <c r="W8473" t="str">
        <f t="shared" si="1382"/>
        <v/>
      </c>
      <c r="X8473">
        <f t="shared" si="1372"/>
        <v>0</v>
      </c>
      <c r="Z8473" t="str">
        <f t="shared" si="1383"/>
        <v/>
      </c>
      <c r="AA8473">
        <f t="shared" si="1373"/>
        <v>0</v>
      </c>
    </row>
    <row r="8474" spans="1:27" ht="21" customHeight="1" x14ac:dyDescent="0.95">
      <c r="A8474" s="56"/>
      <c r="B8474" s="57"/>
      <c r="C8474" s="57"/>
      <c r="D8474" s="57"/>
      <c r="E8474" s="56"/>
      <c r="F8474" s="57"/>
      <c r="G8474" s="57"/>
      <c r="H8474" s="56"/>
      <c r="I8474" s="56"/>
      <c r="J8474" s="58"/>
      <c r="K8474" s="58"/>
      <c r="L8474" s="13" t="str">
        <f t="shared" si="1374"/>
        <v/>
      </c>
      <c r="M8474" s="13" t="str">
        <f t="shared" si="1375"/>
        <v/>
      </c>
      <c r="Q8474" t="str">
        <f t="shared" si="1376"/>
        <v/>
      </c>
      <c r="R8474" t="str">
        <f t="shared" si="1377"/>
        <v/>
      </c>
      <c r="S8474" t="str">
        <f t="shared" si="1378"/>
        <v/>
      </c>
      <c r="T8474" t="str">
        <f t="shared" si="1379"/>
        <v/>
      </c>
      <c r="U8474" t="str">
        <f t="shared" si="1380"/>
        <v/>
      </c>
      <c r="V8474" t="str">
        <f t="shared" si="1381"/>
        <v/>
      </c>
      <c r="W8474" t="str">
        <f t="shared" si="1382"/>
        <v/>
      </c>
      <c r="X8474">
        <f t="shared" si="1372"/>
        <v>0</v>
      </c>
      <c r="Z8474" t="str">
        <f t="shared" si="1383"/>
        <v/>
      </c>
      <c r="AA8474">
        <f t="shared" si="1373"/>
        <v>0</v>
      </c>
    </row>
    <row r="8475" spans="1:27" ht="21" customHeight="1" x14ac:dyDescent="0.95">
      <c r="A8475" s="56"/>
      <c r="B8475" s="57"/>
      <c r="C8475" s="57"/>
      <c r="D8475" s="57"/>
      <c r="E8475" s="56"/>
      <c r="F8475" s="57"/>
      <c r="G8475" s="57"/>
      <c r="H8475" s="56"/>
      <c r="I8475" s="56"/>
      <c r="J8475" s="58"/>
      <c r="K8475" s="58"/>
      <c r="L8475" s="13" t="str">
        <f t="shared" si="1374"/>
        <v/>
      </c>
      <c r="M8475" s="13" t="str">
        <f t="shared" si="1375"/>
        <v/>
      </c>
      <c r="Q8475" t="str">
        <f t="shared" si="1376"/>
        <v/>
      </c>
      <c r="R8475" t="str">
        <f t="shared" si="1377"/>
        <v/>
      </c>
      <c r="S8475" t="str">
        <f t="shared" si="1378"/>
        <v/>
      </c>
      <c r="T8475" t="str">
        <f t="shared" si="1379"/>
        <v/>
      </c>
      <c r="U8475" t="str">
        <f t="shared" si="1380"/>
        <v/>
      </c>
      <c r="V8475" t="str">
        <f t="shared" si="1381"/>
        <v/>
      </c>
      <c r="W8475" t="str">
        <f t="shared" si="1382"/>
        <v/>
      </c>
      <c r="X8475">
        <f t="shared" si="1372"/>
        <v>0</v>
      </c>
      <c r="Z8475" t="str">
        <f t="shared" si="1383"/>
        <v/>
      </c>
      <c r="AA8475">
        <f t="shared" si="1373"/>
        <v>0</v>
      </c>
    </row>
    <row r="8476" spans="1:27" ht="21" customHeight="1" x14ac:dyDescent="0.95">
      <c r="A8476" s="56"/>
      <c r="B8476" s="57"/>
      <c r="C8476" s="57"/>
      <c r="D8476" s="57"/>
      <c r="E8476" s="56"/>
      <c r="F8476" s="57"/>
      <c r="G8476" s="57"/>
      <c r="H8476" s="56"/>
      <c r="I8476" s="56"/>
      <c r="J8476" s="58"/>
      <c r="K8476" s="58"/>
      <c r="L8476" s="13" t="str">
        <f t="shared" si="1374"/>
        <v/>
      </c>
      <c r="M8476" s="13" t="str">
        <f t="shared" si="1375"/>
        <v/>
      </c>
      <c r="Q8476" t="str">
        <f t="shared" si="1376"/>
        <v/>
      </c>
      <c r="R8476" t="str">
        <f t="shared" si="1377"/>
        <v/>
      </c>
      <c r="S8476" t="str">
        <f t="shared" si="1378"/>
        <v/>
      </c>
      <c r="T8476" t="str">
        <f t="shared" si="1379"/>
        <v/>
      </c>
      <c r="U8476" t="str">
        <f t="shared" si="1380"/>
        <v/>
      </c>
      <c r="V8476" t="str">
        <f t="shared" si="1381"/>
        <v/>
      </c>
      <c r="W8476" t="str">
        <f t="shared" si="1382"/>
        <v/>
      </c>
      <c r="X8476">
        <f t="shared" si="1372"/>
        <v>0</v>
      </c>
      <c r="Z8476" t="str">
        <f t="shared" si="1383"/>
        <v/>
      </c>
      <c r="AA8476">
        <f t="shared" si="1373"/>
        <v>0</v>
      </c>
    </row>
    <row r="8477" spans="1:27" ht="21" customHeight="1" x14ac:dyDescent="0.95">
      <c r="A8477" s="56"/>
      <c r="B8477" s="57"/>
      <c r="C8477" s="57"/>
      <c r="D8477" s="57"/>
      <c r="E8477" s="56"/>
      <c r="F8477" s="57"/>
      <c r="G8477" s="57"/>
      <c r="H8477" s="56"/>
      <c r="I8477" s="56"/>
      <c r="J8477" s="58"/>
      <c r="K8477" s="58"/>
      <c r="L8477" s="13" t="str">
        <f t="shared" si="1374"/>
        <v/>
      </c>
      <c r="M8477" s="13" t="str">
        <f t="shared" si="1375"/>
        <v/>
      </c>
      <c r="Q8477" t="str">
        <f t="shared" si="1376"/>
        <v/>
      </c>
      <c r="R8477" t="str">
        <f t="shared" si="1377"/>
        <v/>
      </c>
      <c r="S8477" t="str">
        <f t="shared" si="1378"/>
        <v/>
      </c>
      <c r="T8477" t="str">
        <f t="shared" si="1379"/>
        <v/>
      </c>
      <c r="U8477" t="str">
        <f t="shared" si="1380"/>
        <v/>
      </c>
      <c r="V8477" t="str">
        <f t="shared" si="1381"/>
        <v/>
      </c>
      <c r="W8477" t="str">
        <f t="shared" si="1382"/>
        <v/>
      </c>
      <c r="X8477">
        <f t="shared" si="1372"/>
        <v>0</v>
      </c>
      <c r="Z8477" t="str">
        <f t="shared" si="1383"/>
        <v/>
      </c>
      <c r="AA8477">
        <f t="shared" si="1373"/>
        <v>0</v>
      </c>
    </row>
    <row r="8478" spans="1:27" ht="21" customHeight="1" x14ac:dyDescent="0.95">
      <c r="A8478" s="56"/>
      <c r="B8478" s="57"/>
      <c r="C8478" s="57"/>
      <c r="D8478" s="57"/>
      <c r="E8478" s="56"/>
      <c r="F8478" s="57"/>
      <c r="G8478" s="57"/>
      <c r="H8478" s="56"/>
      <c r="I8478" s="56"/>
      <c r="J8478" s="58"/>
      <c r="K8478" s="58"/>
      <c r="L8478" s="13" t="str">
        <f t="shared" si="1374"/>
        <v/>
      </c>
      <c r="M8478" s="13" t="str">
        <f t="shared" si="1375"/>
        <v/>
      </c>
      <c r="Q8478" t="str">
        <f t="shared" si="1376"/>
        <v/>
      </c>
      <c r="R8478" t="str">
        <f t="shared" si="1377"/>
        <v/>
      </c>
      <c r="S8478" t="str">
        <f t="shared" si="1378"/>
        <v/>
      </c>
      <c r="T8478" t="str">
        <f t="shared" si="1379"/>
        <v/>
      </c>
      <c r="U8478" t="str">
        <f t="shared" si="1380"/>
        <v/>
      </c>
      <c r="V8478" t="str">
        <f t="shared" si="1381"/>
        <v/>
      </c>
      <c r="W8478" t="str">
        <f t="shared" si="1382"/>
        <v/>
      </c>
      <c r="X8478">
        <f t="shared" si="1372"/>
        <v>0</v>
      </c>
      <c r="Z8478" t="str">
        <f t="shared" si="1383"/>
        <v/>
      </c>
      <c r="AA8478">
        <f t="shared" si="1373"/>
        <v>0</v>
      </c>
    </row>
    <row r="8479" spans="1:27" ht="21" customHeight="1" x14ac:dyDescent="0.95">
      <c r="A8479" s="56"/>
      <c r="B8479" s="57"/>
      <c r="C8479" s="57"/>
      <c r="D8479" s="57"/>
      <c r="E8479" s="56"/>
      <c r="F8479" s="57"/>
      <c r="G8479" s="57"/>
      <c r="H8479" s="56"/>
      <c r="I8479" s="56"/>
      <c r="J8479" s="58"/>
      <c r="K8479" s="58"/>
      <c r="L8479" s="13" t="str">
        <f t="shared" si="1374"/>
        <v/>
      </c>
      <c r="M8479" s="13" t="str">
        <f t="shared" si="1375"/>
        <v/>
      </c>
      <c r="Q8479" t="str">
        <f t="shared" si="1376"/>
        <v/>
      </c>
      <c r="R8479" t="str">
        <f t="shared" si="1377"/>
        <v/>
      </c>
      <c r="S8479" t="str">
        <f t="shared" si="1378"/>
        <v/>
      </c>
      <c r="T8479" t="str">
        <f t="shared" si="1379"/>
        <v/>
      </c>
      <c r="U8479" t="str">
        <f t="shared" si="1380"/>
        <v/>
      </c>
      <c r="V8479" t="str">
        <f t="shared" si="1381"/>
        <v/>
      </c>
      <c r="W8479" t="str">
        <f t="shared" si="1382"/>
        <v/>
      </c>
      <c r="X8479">
        <f t="shared" si="1372"/>
        <v>0</v>
      </c>
      <c r="Z8479" t="str">
        <f t="shared" si="1383"/>
        <v/>
      </c>
      <c r="AA8479">
        <f t="shared" si="1373"/>
        <v>0</v>
      </c>
    </row>
    <row r="8480" spans="1:27" ht="21" customHeight="1" x14ac:dyDescent="0.95">
      <c r="A8480" s="56"/>
      <c r="B8480" s="57"/>
      <c r="C8480" s="57"/>
      <c r="D8480" s="57"/>
      <c r="E8480" s="56"/>
      <c r="F8480" s="57"/>
      <c r="G8480" s="57"/>
      <c r="H8480" s="56"/>
      <c r="I8480" s="56"/>
      <c r="J8480" s="58"/>
      <c r="K8480" s="58"/>
      <c r="L8480" s="13" t="str">
        <f t="shared" si="1374"/>
        <v/>
      </c>
      <c r="M8480" s="13" t="str">
        <f t="shared" si="1375"/>
        <v/>
      </c>
      <c r="Q8480" t="str">
        <f t="shared" si="1376"/>
        <v/>
      </c>
      <c r="R8480" t="str">
        <f t="shared" si="1377"/>
        <v/>
      </c>
      <c r="S8480" t="str">
        <f t="shared" si="1378"/>
        <v/>
      </c>
      <c r="T8480" t="str">
        <f t="shared" si="1379"/>
        <v/>
      </c>
      <c r="U8480" t="str">
        <f t="shared" si="1380"/>
        <v/>
      </c>
      <c r="V8480" t="str">
        <f t="shared" si="1381"/>
        <v/>
      </c>
      <c r="W8480" t="str">
        <f t="shared" si="1382"/>
        <v/>
      </c>
      <c r="X8480">
        <f t="shared" si="1372"/>
        <v>0</v>
      </c>
      <c r="Z8480" t="str">
        <f t="shared" si="1383"/>
        <v/>
      </c>
      <c r="AA8480">
        <f t="shared" si="1373"/>
        <v>0</v>
      </c>
    </row>
    <row r="8481" spans="1:27" ht="21" customHeight="1" x14ac:dyDescent="0.95">
      <c r="A8481" s="56"/>
      <c r="B8481" s="57"/>
      <c r="C8481" s="57"/>
      <c r="D8481" s="57"/>
      <c r="E8481" s="56"/>
      <c r="F8481" s="57"/>
      <c r="G8481" s="57"/>
      <c r="H8481" s="56"/>
      <c r="I8481" s="56"/>
      <c r="J8481" s="58"/>
      <c r="K8481" s="58"/>
      <c r="L8481" s="13" t="str">
        <f t="shared" si="1374"/>
        <v/>
      </c>
      <c r="M8481" s="13" t="str">
        <f t="shared" si="1375"/>
        <v/>
      </c>
      <c r="Q8481" t="str">
        <f t="shared" si="1376"/>
        <v/>
      </c>
      <c r="R8481" t="str">
        <f t="shared" si="1377"/>
        <v/>
      </c>
      <c r="S8481" t="str">
        <f t="shared" si="1378"/>
        <v/>
      </c>
      <c r="T8481" t="str">
        <f t="shared" si="1379"/>
        <v/>
      </c>
      <c r="U8481" t="str">
        <f t="shared" si="1380"/>
        <v/>
      </c>
      <c r="V8481" t="str">
        <f t="shared" si="1381"/>
        <v/>
      </c>
      <c r="W8481" t="str">
        <f t="shared" si="1382"/>
        <v/>
      </c>
      <c r="X8481">
        <f t="shared" si="1372"/>
        <v>0</v>
      </c>
      <c r="Z8481" t="str">
        <f t="shared" si="1383"/>
        <v/>
      </c>
      <c r="AA8481">
        <f t="shared" si="1373"/>
        <v>0</v>
      </c>
    </row>
    <row r="8482" spans="1:27" ht="21" customHeight="1" x14ac:dyDescent="0.95">
      <c r="A8482" s="56"/>
      <c r="B8482" s="57"/>
      <c r="C8482" s="57"/>
      <c r="D8482" s="57"/>
      <c r="E8482" s="56"/>
      <c r="F8482" s="57"/>
      <c r="G8482" s="57"/>
      <c r="H8482" s="56"/>
      <c r="I8482" s="56"/>
      <c r="J8482" s="58"/>
      <c r="K8482" s="58"/>
      <c r="L8482" s="13" t="str">
        <f t="shared" si="1374"/>
        <v/>
      </c>
      <c r="M8482" s="13" t="str">
        <f t="shared" si="1375"/>
        <v/>
      </c>
      <c r="Q8482" t="str">
        <f t="shared" si="1376"/>
        <v/>
      </c>
      <c r="R8482" t="str">
        <f t="shared" si="1377"/>
        <v/>
      </c>
      <c r="S8482" t="str">
        <f t="shared" si="1378"/>
        <v/>
      </c>
      <c r="T8482" t="str">
        <f t="shared" si="1379"/>
        <v/>
      </c>
      <c r="U8482" t="str">
        <f t="shared" si="1380"/>
        <v/>
      </c>
      <c r="V8482" t="str">
        <f t="shared" si="1381"/>
        <v/>
      </c>
      <c r="W8482" t="str">
        <f t="shared" si="1382"/>
        <v/>
      </c>
      <c r="X8482">
        <f t="shared" si="1372"/>
        <v>0</v>
      </c>
      <c r="Z8482" t="str">
        <f t="shared" si="1383"/>
        <v/>
      </c>
      <c r="AA8482">
        <f t="shared" si="1373"/>
        <v>0</v>
      </c>
    </row>
    <row r="8483" spans="1:27" ht="21" customHeight="1" x14ac:dyDescent="0.95">
      <c r="A8483" s="56"/>
      <c r="B8483" s="57"/>
      <c r="C8483" s="57"/>
      <c r="D8483" s="57"/>
      <c r="E8483" s="56"/>
      <c r="F8483" s="57"/>
      <c r="G8483" s="57"/>
      <c r="H8483" s="56"/>
      <c r="I8483" s="56"/>
      <c r="J8483" s="58"/>
      <c r="K8483" s="58"/>
      <c r="L8483" s="13" t="str">
        <f t="shared" si="1374"/>
        <v/>
      </c>
      <c r="M8483" s="13" t="str">
        <f t="shared" si="1375"/>
        <v/>
      </c>
      <c r="Q8483" t="str">
        <f t="shared" si="1376"/>
        <v/>
      </c>
      <c r="R8483" t="str">
        <f t="shared" si="1377"/>
        <v/>
      </c>
      <c r="S8483" t="str">
        <f t="shared" si="1378"/>
        <v/>
      </c>
      <c r="T8483" t="str">
        <f t="shared" si="1379"/>
        <v/>
      </c>
      <c r="U8483" t="str">
        <f t="shared" si="1380"/>
        <v/>
      </c>
      <c r="V8483" t="str">
        <f t="shared" si="1381"/>
        <v/>
      </c>
      <c r="W8483" t="str">
        <f t="shared" si="1382"/>
        <v/>
      </c>
      <c r="X8483">
        <f t="shared" si="1372"/>
        <v>0</v>
      </c>
      <c r="Z8483" t="str">
        <f t="shared" si="1383"/>
        <v/>
      </c>
      <c r="AA8483">
        <f t="shared" si="1373"/>
        <v>0</v>
      </c>
    </row>
    <row r="8484" spans="1:27" ht="21" customHeight="1" x14ac:dyDescent="0.95">
      <c r="A8484" s="56"/>
      <c r="B8484" s="57"/>
      <c r="C8484" s="57"/>
      <c r="D8484" s="57"/>
      <c r="E8484" s="56"/>
      <c r="F8484" s="57"/>
      <c r="G8484" s="57"/>
      <c r="H8484" s="56"/>
      <c r="I8484" s="56"/>
      <c r="J8484" s="58"/>
      <c r="K8484" s="58"/>
      <c r="L8484" s="13" t="str">
        <f t="shared" si="1374"/>
        <v/>
      </c>
      <c r="M8484" s="13" t="str">
        <f t="shared" si="1375"/>
        <v/>
      </c>
      <c r="Q8484" t="str">
        <f t="shared" si="1376"/>
        <v/>
      </c>
      <c r="R8484" t="str">
        <f t="shared" si="1377"/>
        <v/>
      </c>
      <c r="S8484" t="str">
        <f t="shared" si="1378"/>
        <v/>
      </c>
      <c r="T8484" t="str">
        <f t="shared" si="1379"/>
        <v/>
      </c>
      <c r="U8484" t="str">
        <f t="shared" si="1380"/>
        <v/>
      </c>
      <c r="V8484" t="str">
        <f t="shared" si="1381"/>
        <v/>
      </c>
      <c r="W8484" t="str">
        <f t="shared" si="1382"/>
        <v/>
      </c>
      <c r="X8484">
        <f t="shared" si="1372"/>
        <v>0</v>
      </c>
      <c r="Z8484" t="str">
        <f t="shared" si="1383"/>
        <v/>
      </c>
      <c r="AA8484">
        <f t="shared" si="1373"/>
        <v>0</v>
      </c>
    </row>
    <row r="8485" spans="1:27" ht="21" customHeight="1" x14ac:dyDescent="0.95">
      <c r="A8485" s="56"/>
      <c r="B8485" s="57"/>
      <c r="C8485" s="57"/>
      <c r="D8485" s="57"/>
      <c r="E8485" s="56"/>
      <c r="F8485" s="57"/>
      <c r="G8485" s="57"/>
      <c r="H8485" s="56"/>
      <c r="I8485" s="56"/>
      <c r="J8485" s="58"/>
      <c r="K8485" s="58"/>
      <c r="L8485" s="13" t="str">
        <f t="shared" si="1374"/>
        <v/>
      </c>
      <c r="M8485" s="13" t="str">
        <f t="shared" si="1375"/>
        <v/>
      </c>
      <c r="Q8485" t="str">
        <f t="shared" si="1376"/>
        <v/>
      </c>
      <c r="R8485" t="str">
        <f t="shared" si="1377"/>
        <v/>
      </c>
      <c r="S8485" t="str">
        <f t="shared" si="1378"/>
        <v/>
      </c>
      <c r="T8485" t="str">
        <f t="shared" si="1379"/>
        <v/>
      </c>
      <c r="U8485" t="str">
        <f t="shared" si="1380"/>
        <v/>
      </c>
      <c r="V8485" t="str">
        <f t="shared" si="1381"/>
        <v/>
      </c>
      <c r="W8485" t="str">
        <f t="shared" si="1382"/>
        <v/>
      </c>
      <c r="X8485">
        <f t="shared" si="1372"/>
        <v>0</v>
      </c>
      <c r="Z8485" t="str">
        <f t="shared" si="1383"/>
        <v/>
      </c>
      <c r="AA8485">
        <f t="shared" si="1373"/>
        <v>0</v>
      </c>
    </row>
    <row r="8486" spans="1:27" ht="21" customHeight="1" x14ac:dyDescent="0.95">
      <c r="A8486" s="56"/>
      <c r="B8486" s="57"/>
      <c r="C8486" s="57"/>
      <c r="D8486" s="57"/>
      <c r="E8486" s="56"/>
      <c r="F8486" s="57"/>
      <c r="G8486" s="57"/>
      <c r="H8486" s="56"/>
      <c r="I8486" s="56"/>
      <c r="J8486" s="58"/>
      <c r="K8486" s="58"/>
      <c r="L8486" s="13" t="str">
        <f t="shared" si="1374"/>
        <v/>
      </c>
      <c r="M8486" s="13" t="str">
        <f t="shared" si="1375"/>
        <v/>
      </c>
      <c r="Q8486" t="str">
        <f t="shared" si="1376"/>
        <v/>
      </c>
      <c r="R8486" t="str">
        <f t="shared" si="1377"/>
        <v/>
      </c>
      <c r="S8486" t="str">
        <f t="shared" si="1378"/>
        <v/>
      </c>
      <c r="T8486" t="str">
        <f t="shared" si="1379"/>
        <v/>
      </c>
      <c r="U8486" t="str">
        <f t="shared" si="1380"/>
        <v/>
      </c>
      <c r="V8486" t="str">
        <f t="shared" si="1381"/>
        <v/>
      </c>
      <c r="W8486" t="str">
        <f t="shared" si="1382"/>
        <v/>
      </c>
      <c r="X8486">
        <f t="shared" si="1372"/>
        <v>0</v>
      </c>
      <c r="Z8486" t="str">
        <f t="shared" si="1383"/>
        <v/>
      </c>
      <c r="AA8486">
        <f t="shared" si="1373"/>
        <v>0</v>
      </c>
    </row>
    <row r="8487" spans="1:27" ht="21" customHeight="1" x14ac:dyDescent="0.95">
      <c r="A8487" s="56"/>
      <c r="B8487" s="57"/>
      <c r="C8487" s="57"/>
      <c r="D8487" s="57"/>
      <c r="E8487" s="56"/>
      <c r="F8487" s="57"/>
      <c r="G8487" s="57"/>
      <c r="H8487" s="56"/>
      <c r="I8487" s="56"/>
      <c r="J8487" s="58"/>
      <c r="K8487" s="58"/>
      <c r="L8487" s="13" t="str">
        <f t="shared" si="1374"/>
        <v/>
      </c>
      <c r="M8487" s="13" t="str">
        <f t="shared" si="1375"/>
        <v/>
      </c>
      <c r="Q8487" t="str">
        <f t="shared" si="1376"/>
        <v/>
      </c>
      <c r="R8487" t="str">
        <f t="shared" si="1377"/>
        <v/>
      </c>
      <c r="S8487" t="str">
        <f t="shared" si="1378"/>
        <v/>
      </c>
      <c r="T8487" t="str">
        <f t="shared" si="1379"/>
        <v/>
      </c>
      <c r="U8487" t="str">
        <f t="shared" si="1380"/>
        <v/>
      </c>
      <c r="V8487" t="str">
        <f t="shared" si="1381"/>
        <v/>
      </c>
      <c r="W8487" t="str">
        <f t="shared" si="1382"/>
        <v/>
      </c>
      <c r="X8487">
        <f t="shared" si="1372"/>
        <v>0</v>
      </c>
      <c r="Z8487" t="str">
        <f t="shared" si="1383"/>
        <v/>
      </c>
      <c r="AA8487">
        <f t="shared" si="1373"/>
        <v>0</v>
      </c>
    </row>
    <row r="8488" spans="1:27" ht="21" customHeight="1" x14ac:dyDescent="0.95">
      <c r="A8488" s="56"/>
      <c r="B8488" s="57"/>
      <c r="C8488" s="57"/>
      <c r="D8488" s="57"/>
      <c r="E8488" s="56"/>
      <c r="F8488" s="57"/>
      <c r="G8488" s="57"/>
      <c r="H8488" s="56"/>
      <c r="I8488" s="56"/>
      <c r="J8488" s="58"/>
      <c r="K8488" s="58"/>
      <c r="L8488" s="13" t="str">
        <f t="shared" si="1374"/>
        <v/>
      </c>
      <c r="M8488" s="13" t="str">
        <f t="shared" si="1375"/>
        <v/>
      </c>
      <c r="Q8488" t="str">
        <f t="shared" si="1376"/>
        <v/>
      </c>
      <c r="R8488" t="str">
        <f t="shared" si="1377"/>
        <v/>
      </c>
      <c r="S8488" t="str">
        <f t="shared" si="1378"/>
        <v/>
      </c>
      <c r="T8488" t="str">
        <f t="shared" si="1379"/>
        <v/>
      </c>
      <c r="U8488" t="str">
        <f t="shared" si="1380"/>
        <v/>
      </c>
      <c r="V8488" t="str">
        <f t="shared" si="1381"/>
        <v/>
      </c>
      <c r="W8488" t="str">
        <f t="shared" si="1382"/>
        <v/>
      </c>
      <c r="X8488">
        <f t="shared" si="1372"/>
        <v>0</v>
      </c>
      <c r="Z8488" t="str">
        <f t="shared" si="1383"/>
        <v/>
      </c>
      <c r="AA8488">
        <f t="shared" si="1373"/>
        <v>0</v>
      </c>
    </row>
    <row r="8489" spans="1:27" ht="21" customHeight="1" x14ac:dyDescent="0.95">
      <c r="A8489" s="56"/>
      <c r="B8489" s="57"/>
      <c r="C8489" s="57"/>
      <c r="D8489" s="57"/>
      <c r="E8489" s="56"/>
      <c r="F8489" s="57"/>
      <c r="G8489" s="57"/>
      <c r="H8489" s="56"/>
      <c r="I8489" s="56"/>
      <c r="J8489" s="58"/>
      <c r="K8489" s="58"/>
      <c r="L8489" s="13" t="str">
        <f t="shared" si="1374"/>
        <v/>
      </c>
      <c r="M8489" s="13" t="str">
        <f t="shared" si="1375"/>
        <v/>
      </c>
      <c r="Q8489" t="str">
        <f t="shared" si="1376"/>
        <v/>
      </c>
      <c r="R8489" t="str">
        <f t="shared" si="1377"/>
        <v/>
      </c>
      <c r="S8489" t="str">
        <f t="shared" si="1378"/>
        <v/>
      </c>
      <c r="T8489" t="str">
        <f t="shared" si="1379"/>
        <v/>
      </c>
      <c r="U8489" t="str">
        <f t="shared" si="1380"/>
        <v/>
      </c>
      <c r="V8489" t="str">
        <f t="shared" si="1381"/>
        <v/>
      </c>
      <c r="W8489" t="str">
        <f t="shared" si="1382"/>
        <v/>
      </c>
      <c r="X8489">
        <f t="shared" si="1372"/>
        <v>0</v>
      </c>
      <c r="Z8489" t="str">
        <f t="shared" si="1383"/>
        <v/>
      </c>
      <c r="AA8489">
        <f t="shared" si="1373"/>
        <v>0</v>
      </c>
    </row>
    <row r="8490" spans="1:27" ht="21" customHeight="1" x14ac:dyDescent="0.95">
      <c r="A8490" s="56"/>
      <c r="B8490" s="57"/>
      <c r="C8490" s="57"/>
      <c r="D8490" s="57"/>
      <c r="E8490" s="56"/>
      <c r="F8490" s="57"/>
      <c r="G8490" s="57"/>
      <c r="H8490" s="56"/>
      <c r="I8490" s="56"/>
      <c r="J8490" s="58"/>
      <c r="K8490" s="58"/>
      <c r="L8490" s="13" t="str">
        <f t="shared" si="1374"/>
        <v/>
      </c>
      <c r="M8490" s="13" t="str">
        <f t="shared" si="1375"/>
        <v/>
      </c>
      <c r="Q8490" t="str">
        <f t="shared" si="1376"/>
        <v/>
      </c>
      <c r="R8490" t="str">
        <f t="shared" si="1377"/>
        <v/>
      </c>
      <c r="S8490" t="str">
        <f t="shared" si="1378"/>
        <v/>
      </c>
      <c r="T8490" t="str">
        <f t="shared" si="1379"/>
        <v/>
      </c>
      <c r="U8490" t="str">
        <f t="shared" si="1380"/>
        <v/>
      </c>
      <c r="V8490" t="str">
        <f t="shared" si="1381"/>
        <v/>
      </c>
      <c r="W8490" t="str">
        <f t="shared" si="1382"/>
        <v/>
      </c>
      <c r="X8490">
        <f t="shared" si="1372"/>
        <v>0</v>
      </c>
      <c r="Z8490" t="str">
        <f t="shared" si="1383"/>
        <v/>
      </c>
      <c r="AA8490">
        <f t="shared" si="1373"/>
        <v>0</v>
      </c>
    </row>
    <row r="8491" spans="1:27" ht="21" customHeight="1" x14ac:dyDescent="0.95">
      <c r="A8491" s="56"/>
      <c r="B8491" s="57"/>
      <c r="C8491" s="57"/>
      <c r="D8491" s="57"/>
      <c r="E8491" s="56"/>
      <c r="F8491" s="57"/>
      <c r="G8491" s="57"/>
      <c r="H8491" s="56"/>
      <c r="I8491" s="56"/>
      <c r="J8491" s="58"/>
      <c r="K8491" s="58"/>
      <c r="L8491" s="13" t="str">
        <f t="shared" si="1374"/>
        <v/>
      </c>
      <c r="M8491" s="13" t="str">
        <f t="shared" si="1375"/>
        <v/>
      </c>
      <c r="Q8491" t="str">
        <f t="shared" si="1376"/>
        <v/>
      </c>
      <c r="R8491" t="str">
        <f t="shared" si="1377"/>
        <v/>
      </c>
      <c r="S8491" t="str">
        <f t="shared" si="1378"/>
        <v/>
      </c>
      <c r="T8491" t="str">
        <f t="shared" si="1379"/>
        <v/>
      </c>
      <c r="U8491" t="str">
        <f t="shared" si="1380"/>
        <v/>
      </c>
      <c r="V8491" t="str">
        <f t="shared" si="1381"/>
        <v/>
      </c>
      <c r="W8491" t="str">
        <f t="shared" si="1382"/>
        <v/>
      </c>
      <c r="X8491">
        <f t="shared" si="1372"/>
        <v>0</v>
      </c>
      <c r="Z8491" t="str">
        <f t="shared" si="1383"/>
        <v/>
      </c>
      <c r="AA8491">
        <f t="shared" si="1373"/>
        <v>0</v>
      </c>
    </row>
    <row r="8492" spans="1:27" ht="21" customHeight="1" x14ac:dyDescent="0.95">
      <c r="A8492" s="56"/>
      <c r="B8492" s="57"/>
      <c r="C8492" s="57"/>
      <c r="D8492" s="57"/>
      <c r="E8492" s="56"/>
      <c r="F8492" s="57"/>
      <c r="G8492" s="57"/>
      <c r="H8492" s="56"/>
      <c r="I8492" s="56"/>
      <c r="J8492" s="58"/>
      <c r="K8492" s="58"/>
      <c r="L8492" s="13" t="str">
        <f t="shared" si="1374"/>
        <v/>
      </c>
      <c r="M8492" s="13" t="str">
        <f t="shared" si="1375"/>
        <v/>
      </c>
      <c r="Q8492" t="str">
        <f t="shared" si="1376"/>
        <v/>
      </c>
      <c r="R8492" t="str">
        <f t="shared" si="1377"/>
        <v/>
      </c>
      <c r="S8492" t="str">
        <f t="shared" si="1378"/>
        <v/>
      </c>
      <c r="T8492" t="str">
        <f t="shared" si="1379"/>
        <v/>
      </c>
      <c r="U8492" t="str">
        <f t="shared" si="1380"/>
        <v/>
      </c>
      <c r="V8492" t="str">
        <f t="shared" si="1381"/>
        <v/>
      </c>
      <c r="W8492" t="str">
        <f t="shared" si="1382"/>
        <v/>
      </c>
      <c r="X8492">
        <f t="shared" si="1372"/>
        <v>0</v>
      </c>
      <c r="Z8492" t="str">
        <f t="shared" si="1383"/>
        <v/>
      </c>
      <c r="AA8492">
        <f t="shared" si="1373"/>
        <v>0</v>
      </c>
    </row>
    <row r="8493" spans="1:27" ht="21" customHeight="1" x14ac:dyDescent="0.95">
      <c r="A8493" s="56"/>
      <c r="B8493" s="57"/>
      <c r="C8493" s="57"/>
      <c r="D8493" s="57"/>
      <c r="E8493" s="56"/>
      <c r="F8493" s="57"/>
      <c r="G8493" s="57"/>
      <c r="H8493" s="56"/>
      <c r="I8493" s="56"/>
      <c r="J8493" s="58"/>
      <c r="K8493" s="58"/>
      <c r="L8493" s="13" t="str">
        <f t="shared" si="1374"/>
        <v/>
      </c>
      <c r="M8493" s="13" t="str">
        <f t="shared" si="1375"/>
        <v/>
      </c>
      <c r="Q8493" t="str">
        <f t="shared" si="1376"/>
        <v/>
      </c>
      <c r="R8493" t="str">
        <f t="shared" si="1377"/>
        <v/>
      </c>
      <c r="S8493" t="str">
        <f t="shared" si="1378"/>
        <v/>
      </c>
      <c r="T8493" t="str">
        <f t="shared" si="1379"/>
        <v/>
      </c>
      <c r="U8493" t="str">
        <f t="shared" si="1380"/>
        <v/>
      </c>
      <c r="V8493" t="str">
        <f t="shared" si="1381"/>
        <v/>
      </c>
      <c r="W8493" t="str">
        <f t="shared" si="1382"/>
        <v/>
      </c>
      <c r="X8493">
        <f t="shared" si="1372"/>
        <v>0</v>
      </c>
      <c r="Z8493" t="str">
        <f t="shared" si="1383"/>
        <v/>
      </c>
      <c r="AA8493">
        <f t="shared" si="1373"/>
        <v>0</v>
      </c>
    </row>
    <row r="8494" spans="1:27" ht="21" customHeight="1" x14ac:dyDescent="0.95">
      <c r="A8494" s="56"/>
      <c r="B8494" s="57"/>
      <c r="C8494" s="57"/>
      <c r="D8494" s="57"/>
      <c r="E8494" s="56"/>
      <c r="F8494" s="57"/>
      <c r="G8494" s="57"/>
      <c r="H8494" s="56"/>
      <c r="I8494" s="56"/>
      <c r="J8494" s="58"/>
      <c r="K8494" s="58"/>
      <c r="L8494" s="13" t="str">
        <f t="shared" si="1374"/>
        <v/>
      </c>
      <c r="M8494" s="13" t="str">
        <f t="shared" si="1375"/>
        <v/>
      </c>
      <c r="Q8494" t="str">
        <f t="shared" si="1376"/>
        <v/>
      </c>
      <c r="R8494" t="str">
        <f t="shared" si="1377"/>
        <v/>
      </c>
      <c r="S8494" t="str">
        <f t="shared" si="1378"/>
        <v/>
      </c>
      <c r="T8494" t="str">
        <f t="shared" si="1379"/>
        <v/>
      </c>
      <c r="U8494" t="str">
        <f t="shared" si="1380"/>
        <v/>
      </c>
      <c r="V8494" t="str">
        <f t="shared" si="1381"/>
        <v/>
      </c>
      <c r="W8494" t="str">
        <f t="shared" si="1382"/>
        <v/>
      </c>
      <c r="X8494">
        <f t="shared" si="1372"/>
        <v>0</v>
      </c>
      <c r="Z8494" t="str">
        <f t="shared" si="1383"/>
        <v/>
      </c>
      <c r="AA8494">
        <f t="shared" si="1373"/>
        <v>0</v>
      </c>
    </row>
    <row r="8495" spans="1:27" ht="21" customHeight="1" x14ac:dyDescent="0.95">
      <c r="A8495" s="56"/>
      <c r="B8495" s="57"/>
      <c r="C8495" s="57"/>
      <c r="D8495" s="57"/>
      <c r="E8495" s="56"/>
      <c r="F8495" s="57"/>
      <c r="G8495" s="57"/>
      <c r="H8495" s="56"/>
      <c r="I8495" s="56"/>
      <c r="J8495" s="58"/>
      <c r="K8495" s="58"/>
      <c r="L8495" s="13" t="str">
        <f t="shared" si="1374"/>
        <v/>
      </c>
      <c r="M8495" s="13" t="str">
        <f t="shared" si="1375"/>
        <v/>
      </c>
      <c r="Q8495" t="str">
        <f t="shared" si="1376"/>
        <v/>
      </c>
      <c r="R8495" t="str">
        <f t="shared" si="1377"/>
        <v/>
      </c>
      <c r="S8495" t="str">
        <f t="shared" si="1378"/>
        <v/>
      </c>
      <c r="T8495" t="str">
        <f t="shared" si="1379"/>
        <v/>
      </c>
      <c r="U8495" t="str">
        <f t="shared" si="1380"/>
        <v/>
      </c>
      <c r="V8495" t="str">
        <f t="shared" si="1381"/>
        <v/>
      </c>
      <c r="W8495" t="str">
        <f t="shared" si="1382"/>
        <v/>
      </c>
      <c r="X8495">
        <f t="shared" si="1372"/>
        <v>0</v>
      </c>
      <c r="Z8495" t="str">
        <f t="shared" si="1383"/>
        <v/>
      </c>
      <c r="AA8495">
        <f t="shared" si="1373"/>
        <v>0</v>
      </c>
    </row>
    <row r="8496" spans="1:27" ht="21" customHeight="1" x14ac:dyDescent="0.95">
      <c r="A8496" s="56"/>
      <c r="B8496" s="57"/>
      <c r="C8496" s="57"/>
      <c r="D8496" s="57"/>
      <c r="E8496" s="56"/>
      <c r="F8496" s="57"/>
      <c r="G8496" s="57"/>
      <c r="H8496" s="56"/>
      <c r="I8496" s="56"/>
      <c r="J8496" s="58"/>
      <c r="K8496" s="58"/>
      <c r="L8496" s="13" t="str">
        <f t="shared" si="1374"/>
        <v/>
      </c>
      <c r="M8496" s="13" t="str">
        <f t="shared" si="1375"/>
        <v/>
      </c>
      <c r="Q8496" t="str">
        <f t="shared" si="1376"/>
        <v/>
      </c>
      <c r="R8496" t="str">
        <f t="shared" si="1377"/>
        <v/>
      </c>
      <c r="S8496" t="str">
        <f t="shared" si="1378"/>
        <v/>
      </c>
      <c r="T8496" t="str">
        <f t="shared" si="1379"/>
        <v/>
      </c>
      <c r="U8496" t="str">
        <f t="shared" si="1380"/>
        <v/>
      </c>
      <c r="V8496" t="str">
        <f t="shared" si="1381"/>
        <v/>
      </c>
      <c r="W8496" t="str">
        <f t="shared" si="1382"/>
        <v/>
      </c>
      <c r="X8496">
        <f t="shared" si="1372"/>
        <v>0</v>
      </c>
      <c r="Z8496" t="str">
        <f t="shared" si="1383"/>
        <v/>
      </c>
      <c r="AA8496">
        <f t="shared" si="1373"/>
        <v>0</v>
      </c>
    </row>
    <row r="8497" spans="1:27" ht="21" customHeight="1" x14ac:dyDescent="0.95">
      <c r="A8497" s="56"/>
      <c r="B8497" s="57"/>
      <c r="C8497" s="57"/>
      <c r="D8497" s="57"/>
      <c r="E8497" s="56"/>
      <c r="F8497" s="57"/>
      <c r="G8497" s="57"/>
      <c r="H8497" s="56"/>
      <c r="I8497" s="56"/>
      <c r="J8497" s="58"/>
      <c r="K8497" s="58"/>
      <c r="L8497" s="13" t="str">
        <f t="shared" si="1374"/>
        <v/>
      </c>
      <c r="M8497" s="13" t="str">
        <f t="shared" si="1375"/>
        <v/>
      </c>
      <c r="Q8497" t="str">
        <f t="shared" si="1376"/>
        <v/>
      </c>
      <c r="R8497" t="str">
        <f t="shared" si="1377"/>
        <v/>
      </c>
      <c r="S8497" t="str">
        <f t="shared" si="1378"/>
        <v/>
      </c>
      <c r="T8497" t="str">
        <f t="shared" si="1379"/>
        <v/>
      </c>
      <c r="U8497" t="str">
        <f t="shared" si="1380"/>
        <v/>
      </c>
      <c r="V8497" t="str">
        <f t="shared" si="1381"/>
        <v/>
      </c>
      <c r="W8497" t="str">
        <f t="shared" si="1382"/>
        <v/>
      </c>
      <c r="X8497">
        <f t="shared" si="1372"/>
        <v>0</v>
      </c>
      <c r="Z8497" t="str">
        <f t="shared" si="1383"/>
        <v/>
      </c>
      <c r="AA8497">
        <f t="shared" si="1373"/>
        <v>0</v>
      </c>
    </row>
    <row r="8498" spans="1:27" ht="21" customHeight="1" x14ac:dyDescent="0.95">
      <c r="A8498" s="56"/>
      <c r="B8498" s="57"/>
      <c r="C8498" s="57"/>
      <c r="D8498" s="57"/>
      <c r="E8498" s="56"/>
      <c r="F8498" s="57"/>
      <c r="G8498" s="57"/>
      <c r="H8498" s="56"/>
      <c r="I8498" s="56"/>
      <c r="J8498" s="58"/>
      <c r="K8498" s="58"/>
      <c r="L8498" s="13" t="str">
        <f t="shared" si="1374"/>
        <v/>
      </c>
      <c r="M8498" s="13" t="str">
        <f t="shared" si="1375"/>
        <v/>
      </c>
      <c r="Q8498" t="str">
        <f t="shared" si="1376"/>
        <v/>
      </c>
      <c r="R8498" t="str">
        <f t="shared" si="1377"/>
        <v/>
      </c>
      <c r="S8498" t="str">
        <f t="shared" si="1378"/>
        <v/>
      </c>
      <c r="T8498" t="str">
        <f t="shared" si="1379"/>
        <v/>
      </c>
      <c r="U8498" t="str">
        <f t="shared" si="1380"/>
        <v/>
      </c>
      <c r="V8498" t="str">
        <f t="shared" si="1381"/>
        <v/>
      </c>
      <c r="W8498" t="str">
        <f t="shared" si="1382"/>
        <v/>
      </c>
      <c r="X8498">
        <f t="shared" si="1372"/>
        <v>0</v>
      </c>
      <c r="Z8498" t="str">
        <f t="shared" si="1383"/>
        <v/>
      </c>
      <c r="AA8498">
        <f t="shared" si="1373"/>
        <v>0</v>
      </c>
    </row>
    <row r="8499" spans="1:27" ht="21" customHeight="1" x14ac:dyDescent="0.95">
      <c r="A8499" s="56"/>
      <c r="B8499" s="57"/>
      <c r="C8499" s="57"/>
      <c r="D8499" s="57"/>
      <c r="E8499" s="56"/>
      <c r="F8499" s="57"/>
      <c r="G8499" s="57"/>
      <c r="H8499" s="56"/>
      <c r="I8499" s="56"/>
      <c r="J8499" s="58"/>
      <c r="K8499" s="58"/>
      <c r="L8499" s="13" t="str">
        <f t="shared" si="1374"/>
        <v/>
      </c>
      <c r="M8499" s="13" t="str">
        <f t="shared" si="1375"/>
        <v/>
      </c>
      <c r="Q8499" t="str">
        <f t="shared" si="1376"/>
        <v/>
      </c>
      <c r="R8499" t="str">
        <f t="shared" si="1377"/>
        <v/>
      </c>
      <c r="S8499" t="str">
        <f t="shared" si="1378"/>
        <v/>
      </c>
      <c r="T8499" t="str">
        <f t="shared" si="1379"/>
        <v/>
      </c>
      <c r="U8499" t="str">
        <f t="shared" si="1380"/>
        <v/>
      </c>
      <c r="V8499" t="str">
        <f t="shared" si="1381"/>
        <v/>
      </c>
      <c r="W8499" t="str">
        <f t="shared" si="1382"/>
        <v/>
      </c>
      <c r="X8499">
        <f t="shared" si="1372"/>
        <v>0</v>
      </c>
      <c r="Z8499" t="str">
        <f t="shared" si="1383"/>
        <v/>
      </c>
      <c r="AA8499">
        <f t="shared" si="1373"/>
        <v>0</v>
      </c>
    </row>
    <row r="8500" spans="1:27" ht="21" customHeight="1" x14ac:dyDescent="0.95">
      <c r="A8500" s="56"/>
      <c r="B8500" s="57"/>
      <c r="C8500" s="57"/>
      <c r="D8500" s="57"/>
      <c r="E8500" s="56"/>
      <c r="F8500" s="57"/>
      <c r="G8500" s="57"/>
      <c r="H8500" s="56"/>
      <c r="I8500" s="56"/>
      <c r="J8500" s="58"/>
      <c r="K8500" s="58"/>
      <c r="L8500" s="13" t="str">
        <f t="shared" si="1374"/>
        <v/>
      </c>
      <c r="M8500" s="13" t="str">
        <f t="shared" si="1375"/>
        <v/>
      </c>
      <c r="Q8500" t="str">
        <f t="shared" si="1376"/>
        <v/>
      </c>
      <c r="R8500" t="str">
        <f t="shared" si="1377"/>
        <v/>
      </c>
      <c r="S8500" t="str">
        <f t="shared" si="1378"/>
        <v/>
      </c>
      <c r="T8500" t="str">
        <f t="shared" si="1379"/>
        <v/>
      </c>
      <c r="U8500" t="str">
        <f t="shared" si="1380"/>
        <v/>
      </c>
      <c r="V8500" t="str">
        <f t="shared" si="1381"/>
        <v/>
      </c>
      <c r="W8500" t="str">
        <f t="shared" si="1382"/>
        <v/>
      </c>
      <c r="X8500">
        <f t="shared" si="1372"/>
        <v>0</v>
      </c>
      <c r="Z8500" t="str">
        <f t="shared" si="1383"/>
        <v/>
      </c>
      <c r="AA8500">
        <f t="shared" si="1373"/>
        <v>0</v>
      </c>
    </row>
    <row r="8501" spans="1:27" ht="21" customHeight="1" x14ac:dyDescent="0.95">
      <c r="A8501" s="56"/>
      <c r="B8501" s="57"/>
      <c r="C8501" s="57"/>
      <c r="D8501" s="57"/>
      <c r="E8501" s="56"/>
      <c r="F8501" s="57"/>
      <c r="G8501" s="57"/>
      <c r="H8501" s="56"/>
      <c r="I8501" s="56"/>
      <c r="J8501" s="58"/>
      <c r="K8501" s="58"/>
      <c r="L8501" s="13" t="str">
        <f t="shared" si="1374"/>
        <v/>
      </c>
      <c r="M8501" s="13" t="str">
        <f t="shared" si="1375"/>
        <v/>
      </c>
      <c r="Q8501" t="str">
        <f t="shared" si="1376"/>
        <v/>
      </c>
      <c r="R8501" t="str">
        <f t="shared" si="1377"/>
        <v/>
      </c>
      <c r="S8501" t="str">
        <f t="shared" si="1378"/>
        <v/>
      </c>
      <c r="T8501" t="str">
        <f t="shared" si="1379"/>
        <v/>
      </c>
      <c r="U8501" t="str">
        <f t="shared" si="1380"/>
        <v/>
      </c>
      <c r="V8501" t="str">
        <f t="shared" si="1381"/>
        <v/>
      </c>
      <c r="W8501" t="str">
        <f t="shared" si="1382"/>
        <v/>
      </c>
      <c r="X8501">
        <f t="shared" ref="X8501:X8564" si="1384">IF($T8501="",N($X8500),IF(MATCH($T8501,$T$6:$T$10005,0)=ROW()-5,N($X8500)+1,N($X8500)))</f>
        <v>0</v>
      </c>
      <c r="Z8501" t="str">
        <f t="shared" si="1383"/>
        <v/>
      </c>
      <c r="AA8501">
        <f t="shared" ref="AA8501:AA8564" si="1385">IF($V8501="",N($AA8500),IF(MATCH($V8501,$V$6:$V$10005,0)=ROW()-5,N($AA8500)+1,N($AA8500)))</f>
        <v>0</v>
      </c>
    </row>
    <row r="8502" spans="1:27" ht="21" customHeight="1" x14ac:dyDescent="0.95">
      <c r="A8502" s="56"/>
      <c r="B8502" s="57"/>
      <c r="C8502" s="57"/>
      <c r="D8502" s="57"/>
      <c r="E8502" s="56"/>
      <c r="F8502" s="57"/>
      <c r="G8502" s="57"/>
      <c r="H8502" s="56"/>
      <c r="I8502" s="56"/>
      <c r="J8502" s="58"/>
      <c r="K8502" s="58"/>
      <c r="L8502" s="13" t="str">
        <f t="shared" si="1374"/>
        <v/>
      </c>
      <c r="M8502" s="13" t="str">
        <f t="shared" si="1375"/>
        <v/>
      </c>
      <c r="Q8502" t="str">
        <f t="shared" si="1376"/>
        <v/>
      </c>
      <c r="R8502" t="str">
        <f t="shared" si="1377"/>
        <v/>
      </c>
      <c r="S8502" t="str">
        <f t="shared" si="1378"/>
        <v/>
      </c>
      <c r="T8502" t="str">
        <f t="shared" si="1379"/>
        <v/>
      </c>
      <c r="U8502" t="str">
        <f t="shared" si="1380"/>
        <v/>
      </c>
      <c r="V8502" t="str">
        <f t="shared" si="1381"/>
        <v/>
      </c>
      <c r="W8502" t="str">
        <f t="shared" si="1382"/>
        <v/>
      </c>
      <c r="X8502">
        <f t="shared" si="1384"/>
        <v>0</v>
      </c>
      <c r="Z8502" t="str">
        <f t="shared" si="1383"/>
        <v/>
      </c>
      <c r="AA8502">
        <f t="shared" si="1385"/>
        <v>0</v>
      </c>
    </row>
    <row r="8503" spans="1:27" ht="21" customHeight="1" x14ac:dyDescent="0.95">
      <c r="A8503" s="56"/>
      <c r="B8503" s="57"/>
      <c r="C8503" s="57"/>
      <c r="D8503" s="57"/>
      <c r="E8503" s="56"/>
      <c r="F8503" s="57"/>
      <c r="G8503" s="57"/>
      <c r="H8503" s="56"/>
      <c r="I8503" s="56"/>
      <c r="J8503" s="58"/>
      <c r="K8503" s="58"/>
      <c r="L8503" s="13" t="str">
        <f t="shared" si="1374"/>
        <v/>
      </c>
      <c r="M8503" s="13" t="str">
        <f t="shared" si="1375"/>
        <v/>
      </c>
      <c r="Q8503" t="str">
        <f t="shared" si="1376"/>
        <v/>
      </c>
      <c r="R8503" t="str">
        <f t="shared" si="1377"/>
        <v/>
      </c>
      <c r="S8503" t="str">
        <f t="shared" si="1378"/>
        <v/>
      </c>
      <c r="T8503" t="str">
        <f t="shared" si="1379"/>
        <v/>
      </c>
      <c r="U8503" t="str">
        <f t="shared" si="1380"/>
        <v/>
      </c>
      <c r="V8503" t="str">
        <f t="shared" si="1381"/>
        <v/>
      </c>
      <c r="W8503" t="str">
        <f t="shared" si="1382"/>
        <v/>
      </c>
      <c r="X8503">
        <f t="shared" si="1384"/>
        <v>0</v>
      </c>
      <c r="Z8503" t="str">
        <f t="shared" si="1383"/>
        <v/>
      </c>
      <c r="AA8503">
        <f t="shared" si="1385"/>
        <v>0</v>
      </c>
    </row>
    <row r="8504" spans="1:27" ht="21" customHeight="1" x14ac:dyDescent="0.95">
      <c r="A8504" s="56"/>
      <c r="B8504" s="57"/>
      <c r="C8504" s="57"/>
      <c r="D8504" s="57"/>
      <c r="E8504" s="56"/>
      <c r="F8504" s="57"/>
      <c r="G8504" s="57"/>
      <c r="H8504" s="56"/>
      <c r="I8504" s="56"/>
      <c r="J8504" s="58"/>
      <c r="K8504" s="58"/>
      <c r="L8504" s="13" t="str">
        <f t="shared" si="1374"/>
        <v/>
      </c>
      <c r="M8504" s="13" t="str">
        <f t="shared" si="1375"/>
        <v/>
      </c>
      <c r="Q8504" t="str">
        <f t="shared" si="1376"/>
        <v/>
      </c>
      <c r="R8504" t="str">
        <f t="shared" si="1377"/>
        <v/>
      </c>
      <c r="S8504" t="str">
        <f t="shared" si="1378"/>
        <v/>
      </c>
      <c r="T8504" t="str">
        <f t="shared" si="1379"/>
        <v/>
      </c>
      <c r="U8504" t="str">
        <f t="shared" si="1380"/>
        <v/>
      </c>
      <c r="V8504" t="str">
        <f t="shared" si="1381"/>
        <v/>
      </c>
      <c r="W8504" t="str">
        <f t="shared" si="1382"/>
        <v/>
      </c>
      <c r="X8504">
        <f t="shared" si="1384"/>
        <v>0</v>
      </c>
      <c r="Z8504" t="str">
        <f t="shared" si="1383"/>
        <v/>
      </c>
      <c r="AA8504">
        <f t="shared" si="1385"/>
        <v>0</v>
      </c>
    </row>
    <row r="8505" spans="1:27" ht="21" customHeight="1" x14ac:dyDescent="0.95">
      <c r="A8505" s="56"/>
      <c r="B8505" s="57"/>
      <c r="C8505" s="57"/>
      <c r="D8505" s="57"/>
      <c r="E8505" s="56"/>
      <c r="F8505" s="57"/>
      <c r="G8505" s="57"/>
      <c r="H8505" s="56"/>
      <c r="I8505" s="56"/>
      <c r="J8505" s="58"/>
      <c r="K8505" s="58"/>
      <c r="L8505" s="13" t="str">
        <f t="shared" si="1374"/>
        <v/>
      </c>
      <c r="M8505" s="13" t="str">
        <f t="shared" si="1375"/>
        <v/>
      </c>
      <c r="Q8505" t="str">
        <f t="shared" si="1376"/>
        <v/>
      </c>
      <c r="R8505" t="str">
        <f t="shared" si="1377"/>
        <v/>
      </c>
      <c r="S8505" t="str">
        <f t="shared" si="1378"/>
        <v/>
      </c>
      <c r="T8505" t="str">
        <f t="shared" si="1379"/>
        <v/>
      </c>
      <c r="U8505" t="str">
        <f t="shared" si="1380"/>
        <v/>
      </c>
      <c r="V8505" t="str">
        <f t="shared" si="1381"/>
        <v/>
      </c>
      <c r="W8505" t="str">
        <f t="shared" si="1382"/>
        <v/>
      </c>
      <c r="X8505">
        <f t="shared" si="1384"/>
        <v>0</v>
      </c>
      <c r="Z8505" t="str">
        <f t="shared" si="1383"/>
        <v/>
      </c>
      <c r="AA8505">
        <f t="shared" si="1385"/>
        <v>0</v>
      </c>
    </row>
    <row r="8506" spans="1:27" ht="21" customHeight="1" x14ac:dyDescent="0.95">
      <c r="A8506" s="56"/>
      <c r="B8506" s="57"/>
      <c r="C8506" s="57"/>
      <c r="D8506" s="57"/>
      <c r="E8506" s="56"/>
      <c r="F8506" s="57"/>
      <c r="G8506" s="57"/>
      <c r="H8506" s="56"/>
      <c r="I8506" s="56"/>
      <c r="J8506" s="58"/>
      <c r="K8506" s="58"/>
      <c r="L8506" s="13" t="str">
        <f t="shared" si="1374"/>
        <v/>
      </c>
      <c r="M8506" s="13" t="str">
        <f t="shared" si="1375"/>
        <v/>
      </c>
      <c r="Q8506" t="str">
        <f t="shared" si="1376"/>
        <v/>
      </c>
      <c r="R8506" t="str">
        <f t="shared" si="1377"/>
        <v/>
      </c>
      <c r="S8506" t="str">
        <f t="shared" si="1378"/>
        <v/>
      </c>
      <c r="T8506" t="str">
        <f t="shared" si="1379"/>
        <v/>
      </c>
      <c r="U8506" t="str">
        <f t="shared" si="1380"/>
        <v/>
      </c>
      <c r="V8506" t="str">
        <f t="shared" si="1381"/>
        <v/>
      </c>
      <c r="W8506" t="str">
        <f t="shared" si="1382"/>
        <v/>
      </c>
      <c r="X8506">
        <f t="shared" si="1384"/>
        <v>0</v>
      </c>
      <c r="Z8506" t="str">
        <f t="shared" si="1383"/>
        <v/>
      </c>
      <c r="AA8506">
        <f t="shared" si="1385"/>
        <v>0</v>
      </c>
    </row>
    <row r="8507" spans="1:27" ht="21" customHeight="1" x14ac:dyDescent="0.95">
      <c r="A8507" s="56"/>
      <c r="B8507" s="57"/>
      <c r="C8507" s="57"/>
      <c r="D8507" s="57"/>
      <c r="E8507" s="56"/>
      <c r="F8507" s="57"/>
      <c r="G8507" s="57"/>
      <c r="H8507" s="56"/>
      <c r="I8507" s="56"/>
      <c r="J8507" s="58"/>
      <c r="K8507" s="58"/>
      <c r="L8507" s="13" t="str">
        <f t="shared" si="1374"/>
        <v/>
      </c>
      <c r="M8507" s="13" t="str">
        <f t="shared" si="1375"/>
        <v/>
      </c>
      <c r="Q8507" t="str">
        <f t="shared" si="1376"/>
        <v/>
      </c>
      <c r="R8507" t="str">
        <f t="shared" si="1377"/>
        <v/>
      </c>
      <c r="S8507" t="str">
        <f t="shared" si="1378"/>
        <v/>
      </c>
      <c r="T8507" t="str">
        <f t="shared" si="1379"/>
        <v/>
      </c>
      <c r="U8507" t="str">
        <f t="shared" si="1380"/>
        <v/>
      </c>
      <c r="V8507" t="str">
        <f t="shared" si="1381"/>
        <v/>
      </c>
      <c r="W8507" t="str">
        <f t="shared" si="1382"/>
        <v/>
      </c>
      <c r="X8507">
        <f t="shared" si="1384"/>
        <v>0</v>
      </c>
      <c r="Z8507" t="str">
        <f t="shared" si="1383"/>
        <v/>
      </c>
      <c r="AA8507">
        <f t="shared" si="1385"/>
        <v>0</v>
      </c>
    </row>
    <row r="8508" spans="1:27" ht="21" customHeight="1" x14ac:dyDescent="0.95">
      <c r="A8508" s="56"/>
      <c r="B8508" s="57"/>
      <c r="C8508" s="57"/>
      <c r="D8508" s="57"/>
      <c r="E8508" s="56"/>
      <c r="F8508" s="57"/>
      <c r="G8508" s="57"/>
      <c r="H8508" s="56"/>
      <c r="I8508" s="56"/>
      <c r="J8508" s="58"/>
      <c r="K8508" s="58"/>
      <c r="L8508" s="13" t="str">
        <f t="shared" si="1374"/>
        <v/>
      </c>
      <c r="M8508" s="13" t="str">
        <f t="shared" si="1375"/>
        <v/>
      </c>
      <c r="Q8508" t="str">
        <f t="shared" si="1376"/>
        <v/>
      </c>
      <c r="R8508" t="str">
        <f t="shared" si="1377"/>
        <v/>
      </c>
      <c r="S8508" t="str">
        <f t="shared" si="1378"/>
        <v/>
      </c>
      <c r="T8508" t="str">
        <f t="shared" si="1379"/>
        <v/>
      </c>
      <c r="U8508" t="str">
        <f t="shared" si="1380"/>
        <v/>
      </c>
      <c r="V8508" t="str">
        <f t="shared" si="1381"/>
        <v/>
      </c>
      <c r="W8508" t="str">
        <f t="shared" si="1382"/>
        <v/>
      </c>
      <c r="X8508">
        <f t="shared" si="1384"/>
        <v>0</v>
      </c>
      <c r="Z8508" t="str">
        <f t="shared" si="1383"/>
        <v/>
      </c>
      <c r="AA8508">
        <f t="shared" si="1385"/>
        <v>0</v>
      </c>
    </row>
    <row r="8509" spans="1:27" ht="21" customHeight="1" x14ac:dyDescent="0.95">
      <c r="A8509" s="56"/>
      <c r="B8509" s="57"/>
      <c r="C8509" s="57"/>
      <c r="D8509" s="57"/>
      <c r="E8509" s="56"/>
      <c r="F8509" s="57"/>
      <c r="G8509" s="57"/>
      <c r="H8509" s="56"/>
      <c r="I8509" s="56"/>
      <c r="J8509" s="58"/>
      <c r="K8509" s="58"/>
      <c r="L8509" s="13" t="str">
        <f t="shared" si="1374"/>
        <v/>
      </c>
      <c r="M8509" s="13" t="str">
        <f t="shared" si="1375"/>
        <v/>
      </c>
      <c r="Q8509" t="str">
        <f t="shared" si="1376"/>
        <v/>
      </c>
      <c r="R8509" t="str">
        <f t="shared" si="1377"/>
        <v/>
      </c>
      <c r="S8509" t="str">
        <f t="shared" si="1378"/>
        <v/>
      </c>
      <c r="T8509" t="str">
        <f t="shared" si="1379"/>
        <v/>
      </c>
      <c r="U8509" t="str">
        <f t="shared" si="1380"/>
        <v/>
      </c>
      <c r="V8509" t="str">
        <f t="shared" si="1381"/>
        <v/>
      </c>
      <c r="W8509" t="str">
        <f t="shared" si="1382"/>
        <v/>
      </c>
      <c r="X8509">
        <f t="shared" si="1384"/>
        <v>0</v>
      </c>
      <c r="Z8509" t="str">
        <f t="shared" si="1383"/>
        <v/>
      </c>
      <c r="AA8509">
        <f t="shared" si="1385"/>
        <v>0</v>
      </c>
    </row>
    <row r="8510" spans="1:27" ht="21" customHeight="1" x14ac:dyDescent="0.95">
      <c r="A8510" s="56"/>
      <c r="B8510" s="57"/>
      <c r="C8510" s="57"/>
      <c r="D8510" s="57"/>
      <c r="E8510" s="56"/>
      <c r="F8510" s="57"/>
      <c r="G8510" s="57"/>
      <c r="H8510" s="56"/>
      <c r="I8510" s="56"/>
      <c r="J8510" s="58"/>
      <c r="K8510" s="58"/>
      <c r="L8510" s="13" t="str">
        <f t="shared" si="1374"/>
        <v/>
      </c>
      <c r="M8510" s="13" t="str">
        <f t="shared" si="1375"/>
        <v/>
      </c>
      <c r="Q8510" t="str">
        <f t="shared" si="1376"/>
        <v/>
      </c>
      <c r="R8510" t="str">
        <f t="shared" si="1377"/>
        <v/>
      </c>
      <c r="S8510" t="str">
        <f t="shared" si="1378"/>
        <v/>
      </c>
      <c r="T8510" t="str">
        <f t="shared" si="1379"/>
        <v/>
      </c>
      <c r="U8510" t="str">
        <f t="shared" si="1380"/>
        <v/>
      </c>
      <c r="V8510" t="str">
        <f t="shared" si="1381"/>
        <v/>
      </c>
      <c r="W8510" t="str">
        <f t="shared" si="1382"/>
        <v/>
      </c>
      <c r="X8510">
        <f t="shared" si="1384"/>
        <v>0</v>
      </c>
      <c r="Z8510" t="str">
        <f t="shared" si="1383"/>
        <v/>
      </c>
      <c r="AA8510">
        <f t="shared" si="1385"/>
        <v>0</v>
      </c>
    </row>
    <row r="8511" spans="1:27" ht="21" customHeight="1" x14ac:dyDescent="0.95">
      <c r="A8511" s="56"/>
      <c r="B8511" s="57"/>
      <c r="C8511" s="57"/>
      <c r="D8511" s="57"/>
      <c r="E8511" s="56"/>
      <c r="F8511" s="57"/>
      <c r="G8511" s="57"/>
      <c r="H8511" s="56"/>
      <c r="I8511" s="56"/>
      <c r="J8511" s="58"/>
      <c r="K8511" s="58"/>
      <c r="L8511" s="13" t="str">
        <f t="shared" si="1374"/>
        <v/>
      </c>
      <c r="M8511" s="13" t="str">
        <f t="shared" si="1375"/>
        <v/>
      </c>
      <c r="Q8511" t="str">
        <f t="shared" si="1376"/>
        <v/>
      </c>
      <c r="R8511" t="str">
        <f t="shared" si="1377"/>
        <v/>
      </c>
      <c r="S8511" t="str">
        <f t="shared" si="1378"/>
        <v/>
      </c>
      <c r="T8511" t="str">
        <f t="shared" si="1379"/>
        <v/>
      </c>
      <c r="U8511" t="str">
        <f t="shared" si="1380"/>
        <v/>
      </c>
      <c r="V8511" t="str">
        <f t="shared" si="1381"/>
        <v/>
      </c>
      <c r="W8511" t="str">
        <f t="shared" si="1382"/>
        <v/>
      </c>
      <c r="X8511">
        <f t="shared" si="1384"/>
        <v>0</v>
      </c>
      <c r="Z8511" t="str">
        <f t="shared" si="1383"/>
        <v/>
      </c>
      <c r="AA8511">
        <f t="shared" si="1385"/>
        <v>0</v>
      </c>
    </row>
    <row r="8512" spans="1:27" ht="21" customHeight="1" x14ac:dyDescent="0.95">
      <c r="A8512" s="56"/>
      <c r="B8512" s="57"/>
      <c r="C8512" s="57"/>
      <c r="D8512" s="57"/>
      <c r="E8512" s="56"/>
      <c r="F8512" s="57"/>
      <c r="G8512" s="57"/>
      <c r="H8512" s="56"/>
      <c r="I8512" s="56"/>
      <c r="J8512" s="58"/>
      <c r="K8512" s="58"/>
      <c r="L8512" s="13" t="str">
        <f t="shared" si="1374"/>
        <v/>
      </c>
      <c r="M8512" s="13" t="str">
        <f t="shared" si="1375"/>
        <v/>
      </c>
      <c r="Q8512" t="str">
        <f t="shared" si="1376"/>
        <v/>
      </c>
      <c r="R8512" t="str">
        <f t="shared" si="1377"/>
        <v/>
      </c>
      <c r="S8512" t="str">
        <f t="shared" si="1378"/>
        <v/>
      </c>
      <c r="T8512" t="str">
        <f t="shared" si="1379"/>
        <v/>
      </c>
      <c r="U8512" t="str">
        <f t="shared" si="1380"/>
        <v/>
      </c>
      <c r="V8512" t="str">
        <f t="shared" si="1381"/>
        <v/>
      </c>
      <c r="W8512" t="str">
        <f t="shared" si="1382"/>
        <v/>
      </c>
      <c r="X8512">
        <f t="shared" si="1384"/>
        <v>0</v>
      </c>
      <c r="Z8512" t="str">
        <f t="shared" si="1383"/>
        <v/>
      </c>
      <c r="AA8512">
        <f t="shared" si="1385"/>
        <v>0</v>
      </c>
    </row>
    <row r="8513" spans="1:27" ht="21" customHeight="1" x14ac:dyDescent="0.95">
      <c r="A8513" s="56"/>
      <c r="B8513" s="57"/>
      <c r="C8513" s="57"/>
      <c r="D8513" s="57"/>
      <c r="E8513" s="56"/>
      <c r="F8513" s="57"/>
      <c r="G8513" s="57"/>
      <c r="H8513" s="56"/>
      <c r="I8513" s="56"/>
      <c r="J8513" s="58"/>
      <c r="K8513" s="58"/>
      <c r="L8513" s="13" t="str">
        <f t="shared" si="1374"/>
        <v/>
      </c>
      <c r="M8513" s="13" t="str">
        <f t="shared" si="1375"/>
        <v/>
      </c>
      <c r="Q8513" t="str">
        <f t="shared" si="1376"/>
        <v/>
      </c>
      <c r="R8513" t="str">
        <f t="shared" si="1377"/>
        <v/>
      </c>
      <c r="S8513" t="str">
        <f t="shared" si="1378"/>
        <v/>
      </c>
      <c r="T8513" t="str">
        <f t="shared" si="1379"/>
        <v/>
      </c>
      <c r="U8513" t="str">
        <f t="shared" si="1380"/>
        <v/>
      </c>
      <c r="V8513" t="str">
        <f t="shared" si="1381"/>
        <v/>
      </c>
      <c r="W8513" t="str">
        <f t="shared" si="1382"/>
        <v/>
      </c>
      <c r="X8513">
        <f t="shared" si="1384"/>
        <v>0</v>
      </c>
      <c r="Z8513" t="str">
        <f t="shared" si="1383"/>
        <v/>
      </c>
      <c r="AA8513">
        <f t="shared" si="1385"/>
        <v>0</v>
      </c>
    </row>
    <row r="8514" spans="1:27" ht="21" customHeight="1" x14ac:dyDescent="0.95">
      <c r="A8514" s="56"/>
      <c r="B8514" s="57"/>
      <c r="C8514" s="57"/>
      <c r="D8514" s="57"/>
      <c r="E8514" s="56"/>
      <c r="F8514" s="57"/>
      <c r="G8514" s="57"/>
      <c r="H8514" s="56"/>
      <c r="I8514" s="56"/>
      <c r="J8514" s="58"/>
      <c r="K8514" s="58"/>
      <c r="L8514" s="13" t="str">
        <f t="shared" si="1374"/>
        <v/>
      </c>
      <c r="M8514" s="13" t="str">
        <f t="shared" si="1375"/>
        <v/>
      </c>
      <c r="Q8514" t="str">
        <f t="shared" si="1376"/>
        <v/>
      </c>
      <c r="R8514" t="str">
        <f t="shared" si="1377"/>
        <v/>
      </c>
      <c r="S8514" t="str">
        <f t="shared" si="1378"/>
        <v/>
      </c>
      <c r="T8514" t="str">
        <f t="shared" si="1379"/>
        <v/>
      </c>
      <c r="U8514" t="str">
        <f t="shared" si="1380"/>
        <v/>
      </c>
      <c r="V8514" t="str">
        <f t="shared" si="1381"/>
        <v/>
      </c>
      <c r="W8514" t="str">
        <f t="shared" si="1382"/>
        <v/>
      </c>
      <c r="X8514">
        <f t="shared" si="1384"/>
        <v>0</v>
      </c>
      <c r="Z8514" t="str">
        <f t="shared" si="1383"/>
        <v/>
      </c>
      <c r="AA8514">
        <f t="shared" si="1385"/>
        <v>0</v>
      </c>
    </row>
    <row r="8515" spans="1:27" ht="21" customHeight="1" x14ac:dyDescent="0.95">
      <c r="A8515" s="56"/>
      <c r="B8515" s="57"/>
      <c r="C8515" s="57"/>
      <c r="D8515" s="57"/>
      <c r="E8515" s="56"/>
      <c r="F8515" s="57"/>
      <c r="G8515" s="57"/>
      <c r="H8515" s="56"/>
      <c r="I8515" s="56"/>
      <c r="J8515" s="58"/>
      <c r="K8515" s="58"/>
      <c r="L8515" s="13" t="str">
        <f t="shared" si="1374"/>
        <v/>
      </c>
      <c r="M8515" s="13" t="str">
        <f t="shared" si="1375"/>
        <v/>
      </c>
      <c r="Q8515" t="str">
        <f t="shared" si="1376"/>
        <v/>
      </c>
      <c r="R8515" t="str">
        <f t="shared" si="1377"/>
        <v/>
      </c>
      <c r="S8515" t="str">
        <f t="shared" si="1378"/>
        <v/>
      </c>
      <c r="T8515" t="str">
        <f t="shared" si="1379"/>
        <v/>
      </c>
      <c r="U8515" t="str">
        <f t="shared" si="1380"/>
        <v/>
      </c>
      <c r="V8515" t="str">
        <f t="shared" si="1381"/>
        <v/>
      </c>
      <c r="W8515" t="str">
        <f t="shared" si="1382"/>
        <v/>
      </c>
      <c r="X8515">
        <f t="shared" si="1384"/>
        <v>0</v>
      </c>
      <c r="Z8515" t="str">
        <f t="shared" si="1383"/>
        <v/>
      </c>
      <c r="AA8515">
        <f t="shared" si="1385"/>
        <v>0</v>
      </c>
    </row>
    <row r="8516" spans="1:27" ht="21" customHeight="1" x14ac:dyDescent="0.95">
      <c r="A8516" s="56"/>
      <c r="B8516" s="57"/>
      <c r="C8516" s="57"/>
      <c r="D8516" s="57"/>
      <c r="E8516" s="56"/>
      <c r="F8516" s="57"/>
      <c r="G8516" s="57"/>
      <c r="H8516" s="56"/>
      <c r="I8516" s="56"/>
      <c r="J8516" s="58"/>
      <c r="K8516" s="58"/>
      <c r="L8516" s="13" t="str">
        <f t="shared" ref="L8516:L8579" si="1386">IF(OR($A8516="",AND($J8516="",$K8516="")),"",ROUND(N($J8516)-N($K8516),2))</f>
        <v/>
      </c>
      <c r="M8516" s="13" t="str">
        <f t="shared" ref="M8516:M8579" si="1387">IF(OR($A8516="",AND($J8516="",$K8516="")),"",MIN($J8516,$K8516))</f>
        <v/>
      </c>
      <c r="Q8516" t="str">
        <f t="shared" ref="Q8516:Q8579" si="1388">IF($A8516="","",$D8516&amp;"("&amp;SUBSTITUTE($E8516," ","")&amp;")")</f>
        <v/>
      </c>
      <c r="R8516" t="str">
        <f t="shared" ref="R8516:R8579" si="1389">IF($A8516="","",$B8516&amp;" - "&amp;$C8516)</f>
        <v/>
      </c>
      <c r="S8516" t="str">
        <f t="shared" ref="S8516:S8579" si="1390">IF($A8516="","",$R8516&amp;"|"&amp;$Q8516)</f>
        <v/>
      </c>
      <c r="T8516" t="str">
        <f t="shared" ref="T8516:T8579" si="1391">IF($A8516="","",$S8516&amp;"|"&amp;$F8516)</f>
        <v/>
      </c>
      <c r="U8516" t="str">
        <f t="shared" ref="U8516:U8579" si="1392">IF($A8516="","",$R8516&amp;"("&amp;$E8516&amp;")")</f>
        <v/>
      </c>
      <c r="V8516" t="str">
        <f t="shared" ref="V8516:V8579" si="1393">IF($A8516="","",$F8516&amp;"|"&amp;$U8516&amp;"|"&amp;$D8516)</f>
        <v/>
      </c>
      <c r="W8516" t="str">
        <f t="shared" si="1382"/>
        <v/>
      </c>
      <c r="X8516">
        <f t="shared" si="1384"/>
        <v>0</v>
      </c>
      <c r="Z8516" t="str">
        <f t="shared" si="1383"/>
        <v/>
      </c>
      <c r="AA8516">
        <f t="shared" si="1385"/>
        <v>0</v>
      </c>
    </row>
    <row r="8517" spans="1:27" ht="21" customHeight="1" x14ac:dyDescent="0.95">
      <c r="A8517" s="56"/>
      <c r="B8517" s="57"/>
      <c r="C8517" s="57"/>
      <c r="D8517" s="57"/>
      <c r="E8517" s="56"/>
      <c r="F8517" s="57"/>
      <c r="G8517" s="57"/>
      <c r="H8517" s="56"/>
      <c r="I8517" s="56"/>
      <c r="J8517" s="58"/>
      <c r="K8517" s="58"/>
      <c r="L8517" s="13" t="str">
        <f t="shared" si="1386"/>
        <v/>
      </c>
      <c r="M8517" s="13" t="str">
        <f t="shared" si="1387"/>
        <v/>
      </c>
      <c r="Q8517" t="str">
        <f t="shared" si="1388"/>
        <v/>
      </c>
      <c r="R8517" t="str">
        <f t="shared" si="1389"/>
        <v/>
      </c>
      <c r="S8517" t="str">
        <f t="shared" si="1390"/>
        <v/>
      </c>
      <c r="T8517" t="str">
        <f t="shared" si="1391"/>
        <v/>
      </c>
      <c r="U8517" t="str">
        <f t="shared" si="1392"/>
        <v/>
      </c>
      <c r="V8517" t="str">
        <f t="shared" si="1393"/>
        <v/>
      </c>
      <c r="W8517" t="str">
        <f t="shared" si="1382"/>
        <v/>
      </c>
      <c r="X8517">
        <f t="shared" si="1384"/>
        <v>0</v>
      </c>
      <c r="Z8517" t="str">
        <f t="shared" si="1383"/>
        <v/>
      </c>
      <c r="AA8517">
        <f t="shared" si="1385"/>
        <v>0</v>
      </c>
    </row>
    <row r="8518" spans="1:27" ht="21" customHeight="1" x14ac:dyDescent="0.95">
      <c r="A8518" s="56"/>
      <c r="B8518" s="57"/>
      <c r="C8518" s="57"/>
      <c r="D8518" s="57"/>
      <c r="E8518" s="56"/>
      <c r="F8518" s="57"/>
      <c r="G8518" s="57"/>
      <c r="H8518" s="56"/>
      <c r="I8518" s="56"/>
      <c r="J8518" s="58"/>
      <c r="K8518" s="58"/>
      <c r="L8518" s="13" t="str">
        <f t="shared" si="1386"/>
        <v/>
      </c>
      <c r="M8518" s="13" t="str">
        <f t="shared" si="1387"/>
        <v/>
      </c>
      <c r="Q8518" t="str">
        <f t="shared" si="1388"/>
        <v/>
      </c>
      <c r="R8518" t="str">
        <f t="shared" si="1389"/>
        <v/>
      </c>
      <c r="S8518" t="str">
        <f t="shared" si="1390"/>
        <v/>
      </c>
      <c r="T8518" t="str">
        <f t="shared" si="1391"/>
        <v/>
      </c>
      <c r="U8518" t="str">
        <f t="shared" si="1392"/>
        <v/>
      </c>
      <c r="V8518" t="str">
        <f t="shared" si="1393"/>
        <v/>
      </c>
      <c r="W8518" t="str">
        <f t="shared" ref="W8518:W8581" si="1394">IF($T8518="","",IF($X8518&gt;N($X8517),$X8518,""))</f>
        <v/>
      </c>
      <c r="X8518">
        <f t="shared" si="1384"/>
        <v>0</v>
      </c>
      <c r="Z8518" t="str">
        <f t="shared" ref="Z8518:Z8581" si="1395">IF($V8518="","",IF($AA8518&gt;N($AA8517),$AA8518,""))</f>
        <v/>
      </c>
      <c r="AA8518">
        <f t="shared" si="1385"/>
        <v>0</v>
      </c>
    </row>
    <row r="8519" spans="1:27" ht="21" customHeight="1" x14ac:dyDescent="0.95">
      <c r="A8519" s="56"/>
      <c r="B8519" s="57"/>
      <c r="C8519" s="57"/>
      <c r="D8519" s="57"/>
      <c r="E8519" s="56"/>
      <c r="F8519" s="57"/>
      <c r="G8519" s="57"/>
      <c r="H8519" s="56"/>
      <c r="I8519" s="56"/>
      <c r="J8519" s="58"/>
      <c r="K8519" s="58"/>
      <c r="L8519" s="13" t="str">
        <f t="shared" si="1386"/>
        <v/>
      </c>
      <c r="M8519" s="13" t="str">
        <f t="shared" si="1387"/>
        <v/>
      </c>
      <c r="Q8519" t="str">
        <f t="shared" si="1388"/>
        <v/>
      </c>
      <c r="R8519" t="str">
        <f t="shared" si="1389"/>
        <v/>
      </c>
      <c r="S8519" t="str">
        <f t="shared" si="1390"/>
        <v/>
      </c>
      <c r="T8519" t="str">
        <f t="shared" si="1391"/>
        <v/>
      </c>
      <c r="U8519" t="str">
        <f t="shared" si="1392"/>
        <v/>
      </c>
      <c r="V8519" t="str">
        <f t="shared" si="1393"/>
        <v/>
      </c>
      <c r="W8519" t="str">
        <f t="shared" si="1394"/>
        <v/>
      </c>
      <c r="X8519">
        <f t="shared" si="1384"/>
        <v>0</v>
      </c>
      <c r="Z8519" t="str">
        <f t="shared" si="1395"/>
        <v/>
      </c>
      <c r="AA8519">
        <f t="shared" si="1385"/>
        <v>0</v>
      </c>
    </row>
    <row r="8520" spans="1:27" ht="21" customHeight="1" x14ac:dyDescent="0.95">
      <c r="A8520" s="56"/>
      <c r="B8520" s="57"/>
      <c r="C8520" s="57"/>
      <c r="D8520" s="57"/>
      <c r="E8520" s="56"/>
      <c r="F8520" s="57"/>
      <c r="G8520" s="57"/>
      <c r="H8520" s="56"/>
      <c r="I8520" s="56"/>
      <c r="J8520" s="58"/>
      <c r="K8520" s="58"/>
      <c r="L8520" s="13" t="str">
        <f t="shared" si="1386"/>
        <v/>
      </c>
      <c r="M8520" s="13" t="str">
        <f t="shared" si="1387"/>
        <v/>
      </c>
      <c r="Q8520" t="str">
        <f t="shared" si="1388"/>
        <v/>
      </c>
      <c r="R8520" t="str">
        <f t="shared" si="1389"/>
        <v/>
      </c>
      <c r="S8520" t="str">
        <f t="shared" si="1390"/>
        <v/>
      </c>
      <c r="T8520" t="str">
        <f t="shared" si="1391"/>
        <v/>
      </c>
      <c r="U8520" t="str">
        <f t="shared" si="1392"/>
        <v/>
      </c>
      <c r="V8520" t="str">
        <f t="shared" si="1393"/>
        <v/>
      </c>
      <c r="W8520" t="str">
        <f t="shared" si="1394"/>
        <v/>
      </c>
      <c r="X8520">
        <f t="shared" si="1384"/>
        <v>0</v>
      </c>
      <c r="Z8520" t="str">
        <f t="shared" si="1395"/>
        <v/>
      </c>
      <c r="AA8520">
        <f t="shared" si="1385"/>
        <v>0</v>
      </c>
    </row>
    <row r="8521" spans="1:27" ht="21" customHeight="1" x14ac:dyDescent="0.95">
      <c r="A8521" s="56"/>
      <c r="B8521" s="57"/>
      <c r="C8521" s="57"/>
      <c r="D8521" s="57"/>
      <c r="E8521" s="56"/>
      <c r="F8521" s="57"/>
      <c r="G8521" s="57"/>
      <c r="H8521" s="56"/>
      <c r="I8521" s="56"/>
      <c r="J8521" s="58"/>
      <c r="K8521" s="58"/>
      <c r="L8521" s="13" t="str">
        <f t="shared" si="1386"/>
        <v/>
      </c>
      <c r="M8521" s="13" t="str">
        <f t="shared" si="1387"/>
        <v/>
      </c>
      <c r="Q8521" t="str">
        <f t="shared" si="1388"/>
        <v/>
      </c>
      <c r="R8521" t="str">
        <f t="shared" si="1389"/>
        <v/>
      </c>
      <c r="S8521" t="str">
        <f t="shared" si="1390"/>
        <v/>
      </c>
      <c r="T8521" t="str">
        <f t="shared" si="1391"/>
        <v/>
      </c>
      <c r="U8521" t="str">
        <f t="shared" si="1392"/>
        <v/>
      </c>
      <c r="V8521" t="str">
        <f t="shared" si="1393"/>
        <v/>
      </c>
      <c r="W8521" t="str">
        <f t="shared" si="1394"/>
        <v/>
      </c>
      <c r="X8521">
        <f t="shared" si="1384"/>
        <v>0</v>
      </c>
      <c r="Z8521" t="str">
        <f t="shared" si="1395"/>
        <v/>
      </c>
      <c r="AA8521">
        <f t="shared" si="1385"/>
        <v>0</v>
      </c>
    </row>
    <row r="8522" spans="1:27" ht="21" customHeight="1" x14ac:dyDescent="0.95">
      <c r="A8522" s="56"/>
      <c r="B8522" s="57"/>
      <c r="C8522" s="57"/>
      <c r="D8522" s="57"/>
      <c r="E8522" s="56"/>
      <c r="F8522" s="57"/>
      <c r="G8522" s="57"/>
      <c r="H8522" s="56"/>
      <c r="I8522" s="56"/>
      <c r="J8522" s="58"/>
      <c r="K8522" s="58"/>
      <c r="L8522" s="13" t="str">
        <f t="shared" si="1386"/>
        <v/>
      </c>
      <c r="M8522" s="13" t="str">
        <f t="shared" si="1387"/>
        <v/>
      </c>
      <c r="Q8522" t="str">
        <f t="shared" si="1388"/>
        <v/>
      </c>
      <c r="R8522" t="str">
        <f t="shared" si="1389"/>
        <v/>
      </c>
      <c r="S8522" t="str">
        <f t="shared" si="1390"/>
        <v/>
      </c>
      <c r="T8522" t="str">
        <f t="shared" si="1391"/>
        <v/>
      </c>
      <c r="U8522" t="str">
        <f t="shared" si="1392"/>
        <v/>
      </c>
      <c r="V8522" t="str">
        <f t="shared" si="1393"/>
        <v/>
      </c>
      <c r="W8522" t="str">
        <f t="shared" si="1394"/>
        <v/>
      </c>
      <c r="X8522">
        <f t="shared" si="1384"/>
        <v>0</v>
      </c>
      <c r="Z8522" t="str">
        <f t="shared" si="1395"/>
        <v/>
      </c>
      <c r="AA8522">
        <f t="shared" si="1385"/>
        <v>0</v>
      </c>
    </row>
    <row r="8523" spans="1:27" ht="21" customHeight="1" x14ac:dyDescent="0.95">
      <c r="A8523" s="56"/>
      <c r="B8523" s="57"/>
      <c r="C8523" s="57"/>
      <c r="D8523" s="57"/>
      <c r="E8523" s="56"/>
      <c r="F8523" s="57"/>
      <c r="G8523" s="57"/>
      <c r="H8523" s="56"/>
      <c r="I8523" s="56"/>
      <c r="J8523" s="58"/>
      <c r="K8523" s="58"/>
      <c r="L8523" s="13" t="str">
        <f t="shared" si="1386"/>
        <v/>
      </c>
      <c r="M8523" s="13" t="str">
        <f t="shared" si="1387"/>
        <v/>
      </c>
      <c r="Q8523" t="str">
        <f t="shared" si="1388"/>
        <v/>
      </c>
      <c r="R8523" t="str">
        <f t="shared" si="1389"/>
        <v/>
      </c>
      <c r="S8523" t="str">
        <f t="shared" si="1390"/>
        <v/>
      </c>
      <c r="T8523" t="str">
        <f t="shared" si="1391"/>
        <v/>
      </c>
      <c r="U8523" t="str">
        <f t="shared" si="1392"/>
        <v/>
      </c>
      <c r="V8523" t="str">
        <f t="shared" si="1393"/>
        <v/>
      </c>
      <c r="W8523" t="str">
        <f t="shared" si="1394"/>
        <v/>
      </c>
      <c r="X8523">
        <f t="shared" si="1384"/>
        <v>0</v>
      </c>
      <c r="Z8523" t="str">
        <f t="shared" si="1395"/>
        <v/>
      </c>
      <c r="AA8523">
        <f t="shared" si="1385"/>
        <v>0</v>
      </c>
    </row>
    <row r="8524" spans="1:27" ht="21" customHeight="1" x14ac:dyDescent="0.95">
      <c r="A8524" s="56"/>
      <c r="B8524" s="57"/>
      <c r="C8524" s="57"/>
      <c r="D8524" s="57"/>
      <c r="E8524" s="56"/>
      <c r="F8524" s="57"/>
      <c r="G8524" s="57"/>
      <c r="H8524" s="56"/>
      <c r="I8524" s="56"/>
      <c r="J8524" s="58"/>
      <c r="K8524" s="58"/>
      <c r="L8524" s="13" t="str">
        <f t="shared" si="1386"/>
        <v/>
      </c>
      <c r="M8524" s="13" t="str">
        <f t="shared" si="1387"/>
        <v/>
      </c>
      <c r="Q8524" t="str">
        <f t="shared" si="1388"/>
        <v/>
      </c>
      <c r="R8524" t="str">
        <f t="shared" si="1389"/>
        <v/>
      </c>
      <c r="S8524" t="str">
        <f t="shared" si="1390"/>
        <v/>
      </c>
      <c r="T8524" t="str">
        <f t="shared" si="1391"/>
        <v/>
      </c>
      <c r="U8524" t="str">
        <f t="shared" si="1392"/>
        <v/>
      </c>
      <c r="V8524" t="str">
        <f t="shared" si="1393"/>
        <v/>
      </c>
      <c r="W8524" t="str">
        <f t="shared" si="1394"/>
        <v/>
      </c>
      <c r="X8524">
        <f t="shared" si="1384"/>
        <v>0</v>
      </c>
      <c r="Z8524" t="str">
        <f t="shared" si="1395"/>
        <v/>
      </c>
      <c r="AA8524">
        <f t="shared" si="1385"/>
        <v>0</v>
      </c>
    </row>
    <row r="8525" spans="1:27" ht="21" customHeight="1" x14ac:dyDescent="0.95">
      <c r="A8525" s="56"/>
      <c r="B8525" s="57"/>
      <c r="C8525" s="57"/>
      <c r="D8525" s="57"/>
      <c r="E8525" s="56"/>
      <c r="F8525" s="57"/>
      <c r="G8525" s="57"/>
      <c r="H8525" s="56"/>
      <c r="I8525" s="56"/>
      <c r="J8525" s="58"/>
      <c r="K8525" s="58"/>
      <c r="L8525" s="13" t="str">
        <f t="shared" si="1386"/>
        <v/>
      </c>
      <c r="M8525" s="13" t="str">
        <f t="shared" si="1387"/>
        <v/>
      </c>
      <c r="Q8525" t="str">
        <f t="shared" si="1388"/>
        <v/>
      </c>
      <c r="R8525" t="str">
        <f t="shared" si="1389"/>
        <v/>
      </c>
      <c r="S8525" t="str">
        <f t="shared" si="1390"/>
        <v/>
      </c>
      <c r="T8525" t="str">
        <f t="shared" si="1391"/>
        <v/>
      </c>
      <c r="U8525" t="str">
        <f t="shared" si="1392"/>
        <v/>
      </c>
      <c r="V8525" t="str">
        <f t="shared" si="1393"/>
        <v/>
      </c>
      <c r="W8525" t="str">
        <f t="shared" si="1394"/>
        <v/>
      </c>
      <c r="X8525">
        <f t="shared" si="1384"/>
        <v>0</v>
      </c>
      <c r="Z8525" t="str">
        <f t="shared" si="1395"/>
        <v/>
      </c>
      <c r="AA8525">
        <f t="shared" si="1385"/>
        <v>0</v>
      </c>
    </row>
    <row r="8526" spans="1:27" ht="21" customHeight="1" x14ac:dyDescent="0.95">
      <c r="A8526" s="56"/>
      <c r="B8526" s="57"/>
      <c r="C8526" s="57"/>
      <c r="D8526" s="57"/>
      <c r="E8526" s="56"/>
      <c r="F8526" s="57"/>
      <c r="G8526" s="57"/>
      <c r="H8526" s="56"/>
      <c r="I8526" s="56"/>
      <c r="J8526" s="58"/>
      <c r="K8526" s="58"/>
      <c r="L8526" s="13" t="str">
        <f t="shared" si="1386"/>
        <v/>
      </c>
      <c r="M8526" s="13" t="str">
        <f t="shared" si="1387"/>
        <v/>
      </c>
      <c r="Q8526" t="str">
        <f t="shared" si="1388"/>
        <v/>
      </c>
      <c r="R8526" t="str">
        <f t="shared" si="1389"/>
        <v/>
      </c>
      <c r="S8526" t="str">
        <f t="shared" si="1390"/>
        <v/>
      </c>
      <c r="T8526" t="str">
        <f t="shared" si="1391"/>
        <v/>
      </c>
      <c r="U8526" t="str">
        <f t="shared" si="1392"/>
        <v/>
      </c>
      <c r="V8526" t="str">
        <f t="shared" si="1393"/>
        <v/>
      </c>
      <c r="W8526" t="str">
        <f t="shared" si="1394"/>
        <v/>
      </c>
      <c r="X8526">
        <f t="shared" si="1384"/>
        <v>0</v>
      </c>
      <c r="Z8526" t="str">
        <f t="shared" si="1395"/>
        <v/>
      </c>
      <c r="AA8526">
        <f t="shared" si="1385"/>
        <v>0</v>
      </c>
    </row>
    <row r="8527" spans="1:27" ht="21" customHeight="1" x14ac:dyDescent="0.95">
      <c r="A8527" s="56"/>
      <c r="B8527" s="57"/>
      <c r="C8527" s="57"/>
      <c r="D8527" s="57"/>
      <c r="E8527" s="56"/>
      <c r="F8527" s="57"/>
      <c r="G8527" s="57"/>
      <c r="H8527" s="56"/>
      <c r="I8527" s="56"/>
      <c r="J8527" s="58"/>
      <c r="K8527" s="58"/>
      <c r="L8527" s="13" t="str">
        <f t="shared" si="1386"/>
        <v/>
      </c>
      <c r="M8527" s="13" t="str">
        <f t="shared" si="1387"/>
        <v/>
      </c>
      <c r="Q8527" t="str">
        <f t="shared" si="1388"/>
        <v/>
      </c>
      <c r="R8527" t="str">
        <f t="shared" si="1389"/>
        <v/>
      </c>
      <c r="S8527" t="str">
        <f t="shared" si="1390"/>
        <v/>
      </c>
      <c r="T8527" t="str">
        <f t="shared" si="1391"/>
        <v/>
      </c>
      <c r="U8527" t="str">
        <f t="shared" si="1392"/>
        <v/>
      </c>
      <c r="V8527" t="str">
        <f t="shared" si="1393"/>
        <v/>
      </c>
      <c r="W8527" t="str">
        <f t="shared" si="1394"/>
        <v/>
      </c>
      <c r="X8527">
        <f t="shared" si="1384"/>
        <v>0</v>
      </c>
      <c r="Z8527" t="str">
        <f t="shared" si="1395"/>
        <v/>
      </c>
      <c r="AA8527">
        <f t="shared" si="1385"/>
        <v>0</v>
      </c>
    </row>
    <row r="8528" spans="1:27" ht="21" customHeight="1" x14ac:dyDescent="0.95">
      <c r="A8528" s="56"/>
      <c r="B8528" s="57"/>
      <c r="C8528" s="57"/>
      <c r="D8528" s="57"/>
      <c r="E8528" s="56"/>
      <c r="F8528" s="57"/>
      <c r="G8528" s="57"/>
      <c r="H8528" s="56"/>
      <c r="I8528" s="56"/>
      <c r="J8528" s="58"/>
      <c r="K8528" s="58"/>
      <c r="L8528" s="13" t="str">
        <f t="shared" si="1386"/>
        <v/>
      </c>
      <c r="M8528" s="13" t="str">
        <f t="shared" si="1387"/>
        <v/>
      </c>
      <c r="Q8528" t="str">
        <f t="shared" si="1388"/>
        <v/>
      </c>
      <c r="R8528" t="str">
        <f t="shared" si="1389"/>
        <v/>
      </c>
      <c r="S8528" t="str">
        <f t="shared" si="1390"/>
        <v/>
      </c>
      <c r="T8528" t="str">
        <f t="shared" si="1391"/>
        <v/>
      </c>
      <c r="U8528" t="str">
        <f t="shared" si="1392"/>
        <v/>
      </c>
      <c r="V8528" t="str">
        <f t="shared" si="1393"/>
        <v/>
      </c>
      <c r="W8528" t="str">
        <f t="shared" si="1394"/>
        <v/>
      </c>
      <c r="X8528">
        <f t="shared" si="1384"/>
        <v>0</v>
      </c>
      <c r="Z8528" t="str">
        <f t="shared" si="1395"/>
        <v/>
      </c>
      <c r="AA8528">
        <f t="shared" si="1385"/>
        <v>0</v>
      </c>
    </row>
    <row r="8529" spans="1:27" ht="21" customHeight="1" x14ac:dyDescent="0.95">
      <c r="A8529" s="56"/>
      <c r="B8529" s="57"/>
      <c r="C8529" s="57"/>
      <c r="D8529" s="57"/>
      <c r="E8529" s="56"/>
      <c r="F8529" s="57"/>
      <c r="G8529" s="57"/>
      <c r="H8529" s="56"/>
      <c r="I8529" s="56"/>
      <c r="J8529" s="58"/>
      <c r="K8529" s="58"/>
      <c r="L8529" s="13" t="str">
        <f t="shared" si="1386"/>
        <v/>
      </c>
      <c r="M8529" s="13" t="str">
        <f t="shared" si="1387"/>
        <v/>
      </c>
      <c r="Q8529" t="str">
        <f t="shared" si="1388"/>
        <v/>
      </c>
      <c r="R8529" t="str">
        <f t="shared" si="1389"/>
        <v/>
      </c>
      <c r="S8529" t="str">
        <f t="shared" si="1390"/>
        <v/>
      </c>
      <c r="T8529" t="str">
        <f t="shared" si="1391"/>
        <v/>
      </c>
      <c r="U8529" t="str">
        <f t="shared" si="1392"/>
        <v/>
      </c>
      <c r="V8529" t="str">
        <f t="shared" si="1393"/>
        <v/>
      </c>
      <c r="W8529" t="str">
        <f t="shared" si="1394"/>
        <v/>
      </c>
      <c r="X8529">
        <f t="shared" si="1384"/>
        <v>0</v>
      </c>
      <c r="Z8529" t="str">
        <f t="shared" si="1395"/>
        <v/>
      </c>
      <c r="AA8529">
        <f t="shared" si="1385"/>
        <v>0</v>
      </c>
    </row>
    <row r="8530" spans="1:27" ht="21" customHeight="1" x14ac:dyDescent="0.95">
      <c r="A8530" s="56"/>
      <c r="B8530" s="57"/>
      <c r="C8530" s="57"/>
      <c r="D8530" s="57"/>
      <c r="E8530" s="56"/>
      <c r="F8530" s="57"/>
      <c r="G8530" s="57"/>
      <c r="H8530" s="56"/>
      <c r="I8530" s="56"/>
      <c r="J8530" s="58"/>
      <c r="K8530" s="58"/>
      <c r="L8530" s="13" t="str">
        <f t="shared" si="1386"/>
        <v/>
      </c>
      <c r="M8530" s="13" t="str">
        <f t="shared" si="1387"/>
        <v/>
      </c>
      <c r="Q8530" t="str">
        <f t="shared" si="1388"/>
        <v/>
      </c>
      <c r="R8530" t="str">
        <f t="shared" si="1389"/>
        <v/>
      </c>
      <c r="S8530" t="str">
        <f t="shared" si="1390"/>
        <v/>
      </c>
      <c r="T8530" t="str">
        <f t="shared" si="1391"/>
        <v/>
      </c>
      <c r="U8530" t="str">
        <f t="shared" si="1392"/>
        <v/>
      </c>
      <c r="V8530" t="str">
        <f t="shared" si="1393"/>
        <v/>
      </c>
      <c r="W8530" t="str">
        <f t="shared" si="1394"/>
        <v/>
      </c>
      <c r="X8530">
        <f t="shared" si="1384"/>
        <v>0</v>
      </c>
      <c r="Z8530" t="str">
        <f t="shared" si="1395"/>
        <v/>
      </c>
      <c r="AA8530">
        <f t="shared" si="1385"/>
        <v>0</v>
      </c>
    </row>
    <row r="8531" spans="1:27" ht="21" customHeight="1" x14ac:dyDescent="0.95">
      <c r="A8531" s="56"/>
      <c r="B8531" s="57"/>
      <c r="C8531" s="57"/>
      <c r="D8531" s="57"/>
      <c r="E8531" s="56"/>
      <c r="F8531" s="57"/>
      <c r="G8531" s="57"/>
      <c r="H8531" s="56"/>
      <c r="I8531" s="56"/>
      <c r="J8531" s="58"/>
      <c r="K8531" s="58"/>
      <c r="L8531" s="13" t="str">
        <f t="shared" si="1386"/>
        <v/>
      </c>
      <c r="M8531" s="13" t="str">
        <f t="shared" si="1387"/>
        <v/>
      </c>
      <c r="Q8531" t="str">
        <f t="shared" si="1388"/>
        <v/>
      </c>
      <c r="R8531" t="str">
        <f t="shared" si="1389"/>
        <v/>
      </c>
      <c r="S8531" t="str">
        <f t="shared" si="1390"/>
        <v/>
      </c>
      <c r="T8531" t="str">
        <f t="shared" si="1391"/>
        <v/>
      </c>
      <c r="U8531" t="str">
        <f t="shared" si="1392"/>
        <v/>
      </c>
      <c r="V8531" t="str">
        <f t="shared" si="1393"/>
        <v/>
      </c>
      <c r="W8531" t="str">
        <f t="shared" si="1394"/>
        <v/>
      </c>
      <c r="X8531">
        <f t="shared" si="1384"/>
        <v>0</v>
      </c>
      <c r="Z8531" t="str">
        <f t="shared" si="1395"/>
        <v/>
      </c>
      <c r="AA8531">
        <f t="shared" si="1385"/>
        <v>0</v>
      </c>
    </row>
    <row r="8532" spans="1:27" ht="21" customHeight="1" x14ac:dyDescent="0.95">
      <c r="A8532" s="56"/>
      <c r="B8532" s="57"/>
      <c r="C8532" s="57"/>
      <c r="D8532" s="57"/>
      <c r="E8532" s="56"/>
      <c r="F8532" s="57"/>
      <c r="G8532" s="57"/>
      <c r="H8532" s="56"/>
      <c r="I8532" s="56"/>
      <c r="J8532" s="58"/>
      <c r="K8532" s="58"/>
      <c r="L8532" s="13" t="str">
        <f t="shared" si="1386"/>
        <v/>
      </c>
      <c r="M8532" s="13" t="str">
        <f t="shared" si="1387"/>
        <v/>
      </c>
      <c r="Q8532" t="str">
        <f t="shared" si="1388"/>
        <v/>
      </c>
      <c r="R8532" t="str">
        <f t="shared" si="1389"/>
        <v/>
      </c>
      <c r="S8532" t="str">
        <f t="shared" si="1390"/>
        <v/>
      </c>
      <c r="T8532" t="str">
        <f t="shared" si="1391"/>
        <v/>
      </c>
      <c r="U8532" t="str">
        <f t="shared" si="1392"/>
        <v/>
      </c>
      <c r="V8532" t="str">
        <f t="shared" si="1393"/>
        <v/>
      </c>
      <c r="W8532" t="str">
        <f t="shared" si="1394"/>
        <v/>
      </c>
      <c r="X8532">
        <f t="shared" si="1384"/>
        <v>0</v>
      </c>
      <c r="Z8532" t="str">
        <f t="shared" si="1395"/>
        <v/>
      </c>
      <c r="AA8532">
        <f t="shared" si="1385"/>
        <v>0</v>
      </c>
    </row>
    <row r="8533" spans="1:27" ht="21" customHeight="1" x14ac:dyDescent="0.95">
      <c r="A8533" s="56"/>
      <c r="B8533" s="57"/>
      <c r="C8533" s="57"/>
      <c r="D8533" s="57"/>
      <c r="E8533" s="56"/>
      <c r="F8533" s="57"/>
      <c r="G8533" s="57"/>
      <c r="H8533" s="56"/>
      <c r="I8533" s="56"/>
      <c r="J8533" s="58"/>
      <c r="K8533" s="58"/>
      <c r="L8533" s="13" t="str">
        <f t="shared" si="1386"/>
        <v/>
      </c>
      <c r="M8533" s="13" t="str">
        <f t="shared" si="1387"/>
        <v/>
      </c>
      <c r="Q8533" t="str">
        <f t="shared" si="1388"/>
        <v/>
      </c>
      <c r="R8533" t="str">
        <f t="shared" si="1389"/>
        <v/>
      </c>
      <c r="S8533" t="str">
        <f t="shared" si="1390"/>
        <v/>
      </c>
      <c r="T8533" t="str">
        <f t="shared" si="1391"/>
        <v/>
      </c>
      <c r="U8533" t="str">
        <f t="shared" si="1392"/>
        <v/>
      </c>
      <c r="V8533" t="str">
        <f t="shared" si="1393"/>
        <v/>
      </c>
      <c r="W8533" t="str">
        <f t="shared" si="1394"/>
        <v/>
      </c>
      <c r="X8533">
        <f t="shared" si="1384"/>
        <v>0</v>
      </c>
      <c r="Z8533" t="str">
        <f t="shared" si="1395"/>
        <v/>
      </c>
      <c r="AA8533">
        <f t="shared" si="1385"/>
        <v>0</v>
      </c>
    </row>
    <row r="8534" spans="1:27" ht="21" customHeight="1" x14ac:dyDescent="0.95">
      <c r="A8534" s="56"/>
      <c r="B8534" s="57"/>
      <c r="C8534" s="57"/>
      <c r="D8534" s="57"/>
      <c r="E8534" s="56"/>
      <c r="F8534" s="57"/>
      <c r="G8534" s="57"/>
      <c r="H8534" s="56"/>
      <c r="I8534" s="56"/>
      <c r="J8534" s="58"/>
      <c r="K8534" s="58"/>
      <c r="L8534" s="13" t="str">
        <f t="shared" si="1386"/>
        <v/>
      </c>
      <c r="M8534" s="13" t="str">
        <f t="shared" si="1387"/>
        <v/>
      </c>
      <c r="Q8534" t="str">
        <f t="shared" si="1388"/>
        <v/>
      </c>
      <c r="R8534" t="str">
        <f t="shared" si="1389"/>
        <v/>
      </c>
      <c r="S8534" t="str">
        <f t="shared" si="1390"/>
        <v/>
      </c>
      <c r="T8534" t="str">
        <f t="shared" si="1391"/>
        <v/>
      </c>
      <c r="U8534" t="str">
        <f t="shared" si="1392"/>
        <v/>
      </c>
      <c r="V8534" t="str">
        <f t="shared" si="1393"/>
        <v/>
      </c>
      <c r="W8534" t="str">
        <f t="shared" si="1394"/>
        <v/>
      </c>
      <c r="X8534">
        <f t="shared" si="1384"/>
        <v>0</v>
      </c>
      <c r="Z8534" t="str">
        <f t="shared" si="1395"/>
        <v/>
      </c>
      <c r="AA8534">
        <f t="shared" si="1385"/>
        <v>0</v>
      </c>
    </row>
    <row r="8535" spans="1:27" ht="21" customHeight="1" x14ac:dyDescent="0.95">
      <c r="A8535" s="56"/>
      <c r="B8535" s="57"/>
      <c r="C8535" s="57"/>
      <c r="D8535" s="57"/>
      <c r="E8535" s="56"/>
      <c r="F8535" s="57"/>
      <c r="G8535" s="57"/>
      <c r="H8535" s="56"/>
      <c r="I8535" s="56"/>
      <c r="J8535" s="58"/>
      <c r="K8535" s="58"/>
      <c r="L8535" s="13" t="str">
        <f t="shared" si="1386"/>
        <v/>
      </c>
      <c r="M8535" s="13" t="str">
        <f t="shared" si="1387"/>
        <v/>
      </c>
      <c r="Q8535" t="str">
        <f t="shared" si="1388"/>
        <v/>
      </c>
      <c r="R8535" t="str">
        <f t="shared" si="1389"/>
        <v/>
      </c>
      <c r="S8535" t="str">
        <f t="shared" si="1390"/>
        <v/>
      </c>
      <c r="T8535" t="str">
        <f t="shared" si="1391"/>
        <v/>
      </c>
      <c r="U8535" t="str">
        <f t="shared" si="1392"/>
        <v/>
      </c>
      <c r="V8535" t="str">
        <f t="shared" si="1393"/>
        <v/>
      </c>
      <c r="W8535" t="str">
        <f t="shared" si="1394"/>
        <v/>
      </c>
      <c r="X8535">
        <f t="shared" si="1384"/>
        <v>0</v>
      </c>
      <c r="Z8535" t="str">
        <f t="shared" si="1395"/>
        <v/>
      </c>
      <c r="AA8535">
        <f t="shared" si="1385"/>
        <v>0</v>
      </c>
    </row>
    <row r="8536" spans="1:27" ht="21" customHeight="1" x14ac:dyDescent="0.95">
      <c r="A8536" s="56"/>
      <c r="B8536" s="57"/>
      <c r="C8536" s="57"/>
      <c r="D8536" s="57"/>
      <c r="E8536" s="56"/>
      <c r="F8536" s="57"/>
      <c r="G8536" s="57"/>
      <c r="H8536" s="56"/>
      <c r="I8536" s="56"/>
      <c r="J8536" s="58"/>
      <c r="K8536" s="58"/>
      <c r="L8536" s="13" t="str">
        <f t="shared" si="1386"/>
        <v/>
      </c>
      <c r="M8536" s="13" t="str">
        <f t="shared" si="1387"/>
        <v/>
      </c>
      <c r="Q8536" t="str">
        <f t="shared" si="1388"/>
        <v/>
      </c>
      <c r="R8536" t="str">
        <f t="shared" si="1389"/>
        <v/>
      </c>
      <c r="S8536" t="str">
        <f t="shared" si="1390"/>
        <v/>
      </c>
      <c r="T8536" t="str">
        <f t="shared" si="1391"/>
        <v/>
      </c>
      <c r="U8536" t="str">
        <f t="shared" si="1392"/>
        <v/>
      </c>
      <c r="V8536" t="str">
        <f t="shared" si="1393"/>
        <v/>
      </c>
      <c r="W8536" t="str">
        <f t="shared" si="1394"/>
        <v/>
      </c>
      <c r="X8536">
        <f t="shared" si="1384"/>
        <v>0</v>
      </c>
      <c r="Z8536" t="str">
        <f t="shared" si="1395"/>
        <v/>
      </c>
      <c r="AA8536">
        <f t="shared" si="1385"/>
        <v>0</v>
      </c>
    </row>
    <row r="8537" spans="1:27" ht="21" customHeight="1" x14ac:dyDescent="0.95">
      <c r="A8537" s="56"/>
      <c r="B8537" s="57"/>
      <c r="C8537" s="57"/>
      <c r="D8537" s="57"/>
      <c r="E8537" s="56"/>
      <c r="F8537" s="57"/>
      <c r="G8537" s="57"/>
      <c r="H8537" s="56"/>
      <c r="I8537" s="56"/>
      <c r="J8537" s="58"/>
      <c r="K8537" s="58"/>
      <c r="L8537" s="13" t="str">
        <f t="shared" si="1386"/>
        <v/>
      </c>
      <c r="M8537" s="13" t="str">
        <f t="shared" si="1387"/>
        <v/>
      </c>
      <c r="Q8537" t="str">
        <f t="shared" si="1388"/>
        <v/>
      </c>
      <c r="R8537" t="str">
        <f t="shared" si="1389"/>
        <v/>
      </c>
      <c r="S8537" t="str">
        <f t="shared" si="1390"/>
        <v/>
      </c>
      <c r="T8537" t="str">
        <f t="shared" si="1391"/>
        <v/>
      </c>
      <c r="U8537" t="str">
        <f t="shared" si="1392"/>
        <v/>
      </c>
      <c r="V8537" t="str">
        <f t="shared" si="1393"/>
        <v/>
      </c>
      <c r="W8537" t="str">
        <f t="shared" si="1394"/>
        <v/>
      </c>
      <c r="X8537">
        <f t="shared" si="1384"/>
        <v>0</v>
      </c>
      <c r="Z8537" t="str">
        <f t="shared" si="1395"/>
        <v/>
      </c>
      <c r="AA8537">
        <f t="shared" si="1385"/>
        <v>0</v>
      </c>
    </row>
    <row r="8538" spans="1:27" ht="21" customHeight="1" x14ac:dyDescent="0.95">
      <c r="A8538" s="56"/>
      <c r="B8538" s="57"/>
      <c r="C8538" s="57"/>
      <c r="D8538" s="57"/>
      <c r="E8538" s="56"/>
      <c r="F8538" s="57"/>
      <c r="G8538" s="57"/>
      <c r="H8538" s="56"/>
      <c r="I8538" s="56"/>
      <c r="J8538" s="58"/>
      <c r="K8538" s="58"/>
      <c r="L8538" s="13" t="str">
        <f t="shared" si="1386"/>
        <v/>
      </c>
      <c r="M8538" s="13" t="str">
        <f t="shared" si="1387"/>
        <v/>
      </c>
      <c r="Q8538" t="str">
        <f t="shared" si="1388"/>
        <v/>
      </c>
      <c r="R8538" t="str">
        <f t="shared" si="1389"/>
        <v/>
      </c>
      <c r="S8538" t="str">
        <f t="shared" si="1390"/>
        <v/>
      </c>
      <c r="T8538" t="str">
        <f t="shared" si="1391"/>
        <v/>
      </c>
      <c r="U8538" t="str">
        <f t="shared" si="1392"/>
        <v/>
      </c>
      <c r="V8538" t="str">
        <f t="shared" si="1393"/>
        <v/>
      </c>
      <c r="W8538" t="str">
        <f t="shared" si="1394"/>
        <v/>
      </c>
      <c r="X8538">
        <f t="shared" si="1384"/>
        <v>0</v>
      </c>
      <c r="Z8538" t="str">
        <f t="shared" si="1395"/>
        <v/>
      </c>
      <c r="AA8538">
        <f t="shared" si="1385"/>
        <v>0</v>
      </c>
    </row>
    <row r="8539" spans="1:27" ht="21" customHeight="1" x14ac:dyDescent="0.95">
      <c r="A8539" s="56"/>
      <c r="B8539" s="57"/>
      <c r="C8539" s="57"/>
      <c r="D8539" s="57"/>
      <c r="E8539" s="56"/>
      <c r="F8539" s="57"/>
      <c r="G8539" s="57"/>
      <c r="H8539" s="56"/>
      <c r="I8539" s="56"/>
      <c r="J8539" s="58"/>
      <c r="K8539" s="58"/>
      <c r="L8539" s="13" t="str">
        <f t="shared" si="1386"/>
        <v/>
      </c>
      <c r="M8539" s="13" t="str">
        <f t="shared" si="1387"/>
        <v/>
      </c>
      <c r="Q8539" t="str">
        <f t="shared" si="1388"/>
        <v/>
      </c>
      <c r="R8539" t="str">
        <f t="shared" si="1389"/>
        <v/>
      </c>
      <c r="S8539" t="str">
        <f t="shared" si="1390"/>
        <v/>
      </c>
      <c r="T8539" t="str">
        <f t="shared" si="1391"/>
        <v/>
      </c>
      <c r="U8539" t="str">
        <f t="shared" si="1392"/>
        <v/>
      </c>
      <c r="V8539" t="str">
        <f t="shared" si="1393"/>
        <v/>
      </c>
      <c r="W8539" t="str">
        <f t="shared" si="1394"/>
        <v/>
      </c>
      <c r="X8539">
        <f t="shared" si="1384"/>
        <v>0</v>
      </c>
      <c r="Z8539" t="str">
        <f t="shared" si="1395"/>
        <v/>
      </c>
      <c r="AA8539">
        <f t="shared" si="1385"/>
        <v>0</v>
      </c>
    </row>
    <row r="8540" spans="1:27" ht="21" customHeight="1" x14ac:dyDescent="0.95">
      <c r="A8540" s="56"/>
      <c r="B8540" s="57"/>
      <c r="C8540" s="57"/>
      <c r="D8540" s="57"/>
      <c r="E8540" s="56"/>
      <c r="F8540" s="57"/>
      <c r="G8540" s="57"/>
      <c r="H8540" s="56"/>
      <c r="I8540" s="56"/>
      <c r="J8540" s="58"/>
      <c r="K8540" s="58"/>
      <c r="L8540" s="13" t="str">
        <f t="shared" si="1386"/>
        <v/>
      </c>
      <c r="M8540" s="13" t="str">
        <f t="shared" si="1387"/>
        <v/>
      </c>
      <c r="Q8540" t="str">
        <f t="shared" si="1388"/>
        <v/>
      </c>
      <c r="R8540" t="str">
        <f t="shared" si="1389"/>
        <v/>
      </c>
      <c r="S8540" t="str">
        <f t="shared" si="1390"/>
        <v/>
      </c>
      <c r="T8540" t="str">
        <f t="shared" si="1391"/>
        <v/>
      </c>
      <c r="U8540" t="str">
        <f t="shared" si="1392"/>
        <v/>
      </c>
      <c r="V8540" t="str">
        <f t="shared" si="1393"/>
        <v/>
      </c>
      <c r="W8540" t="str">
        <f t="shared" si="1394"/>
        <v/>
      </c>
      <c r="X8540">
        <f t="shared" si="1384"/>
        <v>0</v>
      </c>
      <c r="Z8540" t="str">
        <f t="shared" si="1395"/>
        <v/>
      </c>
      <c r="AA8540">
        <f t="shared" si="1385"/>
        <v>0</v>
      </c>
    </row>
    <row r="8541" spans="1:27" ht="21" customHeight="1" x14ac:dyDescent="0.95">
      <c r="A8541" s="56"/>
      <c r="B8541" s="57"/>
      <c r="C8541" s="57"/>
      <c r="D8541" s="57"/>
      <c r="E8541" s="56"/>
      <c r="F8541" s="57"/>
      <c r="G8541" s="57"/>
      <c r="H8541" s="56"/>
      <c r="I8541" s="56"/>
      <c r="J8541" s="58"/>
      <c r="K8541" s="58"/>
      <c r="L8541" s="13" t="str">
        <f t="shared" si="1386"/>
        <v/>
      </c>
      <c r="M8541" s="13" t="str">
        <f t="shared" si="1387"/>
        <v/>
      </c>
      <c r="Q8541" t="str">
        <f t="shared" si="1388"/>
        <v/>
      </c>
      <c r="R8541" t="str">
        <f t="shared" si="1389"/>
        <v/>
      </c>
      <c r="S8541" t="str">
        <f t="shared" si="1390"/>
        <v/>
      </c>
      <c r="T8541" t="str">
        <f t="shared" si="1391"/>
        <v/>
      </c>
      <c r="U8541" t="str">
        <f t="shared" si="1392"/>
        <v/>
      </c>
      <c r="V8541" t="str">
        <f t="shared" si="1393"/>
        <v/>
      </c>
      <c r="W8541" t="str">
        <f t="shared" si="1394"/>
        <v/>
      </c>
      <c r="X8541">
        <f t="shared" si="1384"/>
        <v>0</v>
      </c>
      <c r="Z8541" t="str">
        <f t="shared" si="1395"/>
        <v/>
      </c>
      <c r="AA8541">
        <f t="shared" si="1385"/>
        <v>0</v>
      </c>
    </row>
    <row r="8542" spans="1:27" ht="21" customHeight="1" x14ac:dyDescent="0.95">
      <c r="A8542" s="56"/>
      <c r="B8542" s="57"/>
      <c r="C8542" s="57"/>
      <c r="D8542" s="57"/>
      <c r="E8542" s="56"/>
      <c r="F8542" s="57"/>
      <c r="G8542" s="57"/>
      <c r="H8542" s="56"/>
      <c r="I8542" s="56"/>
      <c r="J8542" s="58"/>
      <c r="K8542" s="58"/>
      <c r="L8542" s="13" t="str">
        <f t="shared" si="1386"/>
        <v/>
      </c>
      <c r="M8542" s="13" t="str">
        <f t="shared" si="1387"/>
        <v/>
      </c>
      <c r="Q8542" t="str">
        <f t="shared" si="1388"/>
        <v/>
      </c>
      <c r="R8542" t="str">
        <f t="shared" si="1389"/>
        <v/>
      </c>
      <c r="S8542" t="str">
        <f t="shared" si="1390"/>
        <v/>
      </c>
      <c r="T8542" t="str">
        <f t="shared" si="1391"/>
        <v/>
      </c>
      <c r="U8542" t="str">
        <f t="shared" si="1392"/>
        <v/>
      </c>
      <c r="V8542" t="str">
        <f t="shared" si="1393"/>
        <v/>
      </c>
      <c r="W8542" t="str">
        <f t="shared" si="1394"/>
        <v/>
      </c>
      <c r="X8542">
        <f t="shared" si="1384"/>
        <v>0</v>
      </c>
      <c r="Z8542" t="str">
        <f t="shared" si="1395"/>
        <v/>
      </c>
      <c r="AA8542">
        <f t="shared" si="1385"/>
        <v>0</v>
      </c>
    </row>
    <row r="8543" spans="1:27" ht="21" customHeight="1" x14ac:dyDescent="0.95">
      <c r="A8543" s="56"/>
      <c r="B8543" s="57"/>
      <c r="C8543" s="57"/>
      <c r="D8543" s="57"/>
      <c r="E8543" s="56"/>
      <c r="F8543" s="57"/>
      <c r="G8543" s="57"/>
      <c r="H8543" s="56"/>
      <c r="I8543" s="56"/>
      <c r="J8543" s="58"/>
      <c r="K8543" s="58"/>
      <c r="L8543" s="13" t="str">
        <f t="shared" si="1386"/>
        <v/>
      </c>
      <c r="M8543" s="13" t="str">
        <f t="shared" si="1387"/>
        <v/>
      </c>
      <c r="Q8543" t="str">
        <f t="shared" si="1388"/>
        <v/>
      </c>
      <c r="R8543" t="str">
        <f t="shared" si="1389"/>
        <v/>
      </c>
      <c r="S8543" t="str">
        <f t="shared" si="1390"/>
        <v/>
      </c>
      <c r="T8543" t="str">
        <f t="shared" si="1391"/>
        <v/>
      </c>
      <c r="U8543" t="str">
        <f t="shared" si="1392"/>
        <v/>
      </c>
      <c r="V8543" t="str">
        <f t="shared" si="1393"/>
        <v/>
      </c>
      <c r="W8543" t="str">
        <f t="shared" si="1394"/>
        <v/>
      </c>
      <c r="X8543">
        <f t="shared" si="1384"/>
        <v>0</v>
      </c>
      <c r="Z8543" t="str">
        <f t="shared" si="1395"/>
        <v/>
      </c>
      <c r="AA8543">
        <f t="shared" si="1385"/>
        <v>0</v>
      </c>
    </row>
    <row r="8544" spans="1:27" ht="21" customHeight="1" x14ac:dyDescent="0.95">
      <c r="A8544" s="56"/>
      <c r="B8544" s="57"/>
      <c r="C8544" s="57"/>
      <c r="D8544" s="57"/>
      <c r="E8544" s="56"/>
      <c r="F8544" s="57"/>
      <c r="G8544" s="57"/>
      <c r="H8544" s="56"/>
      <c r="I8544" s="56"/>
      <c r="J8544" s="58"/>
      <c r="K8544" s="58"/>
      <c r="L8544" s="13" t="str">
        <f t="shared" si="1386"/>
        <v/>
      </c>
      <c r="M8544" s="13" t="str">
        <f t="shared" si="1387"/>
        <v/>
      </c>
      <c r="Q8544" t="str">
        <f t="shared" si="1388"/>
        <v/>
      </c>
      <c r="R8544" t="str">
        <f t="shared" si="1389"/>
        <v/>
      </c>
      <c r="S8544" t="str">
        <f t="shared" si="1390"/>
        <v/>
      </c>
      <c r="T8544" t="str">
        <f t="shared" si="1391"/>
        <v/>
      </c>
      <c r="U8544" t="str">
        <f t="shared" si="1392"/>
        <v/>
      </c>
      <c r="V8544" t="str">
        <f t="shared" si="1393"/>
        <v/>
      </c>
      <c r="W8544" t="str">
        <f t="shared" si="1394"/>
        <v/>
      </c>
      <c r="X8544">
        <f t="shared" si="1384"/>
        <v>0</v>
      </c>
      <c r="Z8544" t="str">
        <f t="shared" si="1395"/>
        <v/>
      </c>
      <c r="AA8544">
        <f t="shared" si="1385"/>
        <v>0</v>
      </c>
    </row>
    <row r="8545" spans="1:27" ht="21" customHeight="1" x14ac:dyDescent="0.95">
      <c r="A8545" s="56"/>
      <c r="B8545" s="57"/>
      <c r="C8545" s="57"/>
      <c r="D8545" s="57"/>
      <c r="E8545" s="56"/>
      <c r="F8545" s="57"/>
      <c r="G8545" s="57"/>
      <c r="H8545" s="56"/>
      <c r="I8545" s="56"/>
      <c r="J8545" s="58"/>
      <c r="K8545" s="58"/>
      <c r="L8545" s="13" t="str">
        <f t="shared" si="1386"/>
        <v/>
      </c>
      <c r="M8545" s="13" t="str">
        <f t="shared" si="1387"/>
        <v/>
      </c>
      <c r="Q8545" t="str">
        <f t="shared" si="1388"/>
        <v/>
      </c>
      <c r="R8545" t="str">
        <f t="shared" si="1389"/>
        <v/>
      </c>
      <c r="S8545" t="str">
        <f t="shared" si="1390"/>
        <v/>
      </c>
      <c r="T8545" t="str">
        <f t="shared" si="1391"/>
        <v/>
      </c>
      <c r="U8545" t="str">
        <f t="shared" si="1392"/>
        <v/>
      </c>
      <c r="V8545" t="str">
        <f t="shared" si="1393"/>
        <v/>
      </c>
      <c r="W8545" t="str">
        <f t="shared" si="1394"/>
        <v/>
      </c>
      <c r="X8545">
        <f t="shared" si="1384"/>
        <v>0</v>
      </c>
      <c r="Z8545" t="str">
        <f t="shared" si="1395"/>
        <v/>
      </c>
      <c r="AA8545">
        <f t="shared" si="1385"/>
        <v>0</v>
      </c>
    </row>
    <row r="8546" spans="1:27" ht="21" customHeight="1" x14ac:dyDescent="0.95">
      <c r="A8546" s="56"/>
      <c r="B8546" s="57"/>
      <c r="C8546" s="57"/>
      <c r="D8546" s="57"/>
      <c r="E8546" s="56"/>
      <c r="F8546" s="57"/>
      <c r="G8546" s="57"/>
      <c r="H8546" s="56"/>
      <c r="I8546" s="56"/>
      <c r="J8546" s="58"/>
      <c r="K8546" s="58"/>
      <c r="L8546" s="13" t="str">
        <f t="shared" si="1386"/>
        <v/>
      </c>
      <c r="M8546" s="13" t="str">
        <f t="shared" si="1387"/>
        <v/>
      </c>
      <c r="Q8546" t="str">
        <f t="shared" si="1388"/>
        <v/>
      </c>
      <c r="R8546" t="str">
        <f t="shared" si="1389"/>
        <v/>
      </c>
      <c r="S8546" t="str">
        <f t="shared" si="1390"/>
        <v/>
      </c>
      <c r="T8546" t="str">
        <f t="shared" si="1391"/>
        <v/>
      </c>
      <c r="U8546" t="str">
        <f t="shared" si="1392"/>
        <v/>
      </c>
      <c r="V8546" t="str">
        <f t="shared" si="1393"/>
        <v/>
      </c>
      <c r="W8546" t="str">
        <f t="shared" si="1394"/>
        <v/>
      </c>
      <c r="X8546">
        <f t="shared" si="1384"/>
        <v>0</v>
      </c>
      <c r="Z8546" t="str">
        <f t="shared" si="1395"/>
        <v/>
      </c>
      <c r="AA8546">
        <f t="shared" si="1385"/>
        <v>0</v>
      </c>
    </row>
    <row r="8547" spans="1:27" ht="21" customHeight="1" x14ac:dyDescent="0.95">
      <c r="A8547" s="56"/>
      <c r="B8547" s="57"/>
      <c r="C8547" s="57"/>
      <c r="D8547" s="57"/>
      <c r="E8547" s="56"/>
      <c r="F8547" s="57"/>
      <c r="G8547" s="57"/>
      <c r="H8547" s="56"/>
      <c r="I8547" s="56"/>
      <c r="J8547" s="58"/>
      <c r="K8547" s="58"/>
      <c r="L8547" s="13" t="str">
        <f t="shared" si="1386"/>
        <v/>
      </c>
      <c r="M8547" s="13" t="str">
        <f t="shared" si="1387"/>
        <v/>
      </c>
      <c r="Q8547" t="str">
        <f t="shared" si="1388"/>
        <v/>
      </c>
      <c r="R8547" t="str">
        <f t="shared" si="1389"/>
        <v/>
      </c>
      <c r="S8547" t="str">
        <f t="shared" si="1390"/>
        <v/>
      </c>
      <c r="T8547" t="str">
        <f t="shared" si="1391"/>
        <v/>
      </c>
      <c r="U8547" t="str">
        <f t="shared" si="1392"/>
        <v/>
      </c>
      <c r="V8547" t="str">
        <f t="shared" si="1393"/>
        <v/>
      </c>
      <c r="W8547" t="str">
        <f t="shared" si="1394"/>
        <v/>
      </c>
      <c r="X8547">
        <f t="shared" si="1384"/>
        <v>0</v>
      </c>
      <c r="Z8547" t="str">
        <f t="shared" si="1395"/>
        <v/>
      </c>
      <c r="AA8547">
        <f t="shared" si="1385"/>
        <v>0</v>
      </c>
    </row>
    <row r="8548" spans="1:27" ht="21" customHeight="1" x14ac:dyDescent="0.95">
      <c r="A8548" s="56"/>
      <c r="B8548" s="57"/>
      <c r="C8548" s="57"/>
      <c r="D8548" s="57"/>
      <c r="E8548" s="56"/>
      <c r="F8548" s="57"/>
      <c r="G8548" s="57"/>
      <c r="H8548" s="56"/>
      <c r="I8548" s="56"/>
      <c r="J8548" s="58"/>
      <c r="K8548" s="58"/>
      <c r="L8548" s="13" t="str">
        <f t="shared" si="1386"/>
        <v/>
      </c>
      <c r="M8548" s="13" t="str">
        <f t="shared" si="1387"/>
        <v/>
      </c>
      <c r="Q8548" t="str">
        <f t="shared" si="1388"/>
        <v/>
      </c>
      <c r="R8548" t="str">
        <f t="shared" si="1389"/>
        <v/>
      </c>
      <c r="S8548" t="str">
        <f t="shared" si="1390"/>
        <v/>
      </c>
      <c r="T8548" t="str">
        <f t="shared" si="1391"/>
        <v/>
      </c>
      <c r="U8548" t="str">
        <f t="shared" si="1392"/>
        <v/>
      </c>
      <c r="V8548" t="str">
        <f t="shared" si="1393"/>
        <v/>
      </c>
      <c r="W8548" t="str">
        <f t="shared" si="1394"/>
        <v/>
      </c>
      <c r="X8548">
        <f t="shared" si="1384"/>
        <v>0</v>
      </c>
      <c r="Z8548" t="str">
        <f t="shared" si="1395"/>
        <v/>
      </c>
      <c r="AA8548">
        <f t="shared" si="1385"/>
        <v>0</v>
      </c>
    </row>
    <row r="8549" spans="1:27" ht="21" customHeight="1" x14ac:dyDescent="0.95">
      <c r="A8549" s="56"/>
      <c r="B8549" s="57"/>
      <c r="C8549" s="57"/>
      <c r="D8549" s="57"/>
      <c r="E8549" s="56"/>
      <c r="F8549" s="57"/>
      <c r="G8549" s="57"/>
      <c r="H8549" s="56"/>
      <c r="I8549" s="56"/>
      <c r="J8549" s="58"/>
      <c r="K8549" s="58"/>
      <c r="L8549" s="13" t="str">
        <f t="shared" si="1386"/>
        <v/>
      </c>
      <c r="M8549" s="13" t="str">
        <f t="shared" si="1387"/>
        <v/>
      </c>
      <c r="Q8549" t="str">
        <f t="shared" si="1388"/>
        <v/>
      </c>
      <c r="R8549" t="str">
        <f t="shared" si="1389"/>
        <v/>
      </c>
      <c r="S8549" t="str">
        <f t="shared" si="1390"/>
        <v/>
      </c>
      <c r="T8549" t="str">
        <f t="shared" si="1391"/>
        <v/>
      </c>
      <c r="U8549" t="str">
        <f t="shared" si="1392"/>
        <v/>
      </c>
      <c r="V8549" t="str">
        <f t="shared" si="1393"/>
        <v/>
      </c>
      <c r="W8549" t="str">
        <f t="shared" si="1394"/>
        <v/>
      </c>
      <c r="X8549">
        <f t="shared" si="1384"/>
        <v>0</v>
      </c>
      <c r="Z8549" t="str">
        <f t="shared" si="1395"/>
        <v/>
      </c>
      <c r="AA8549">
        <f t="shared" si="1385"/>
        <v>0</v>
      </c>
    </row>
    <row r="8550" spans="1:27" ht="21" customHeight="1" x14ac:dyDescent="0.95">
      <c r="A8550" s="56"/>
      <c r="B8550" s="57"/>
      <c r="C8550" s="57"/>
      <c r="D8550" s="57"/>
      <c r="E8550" s="56"/>
      <c r="F8550" s="57"/>
      <c r="G8550" s="57"/>
      <c r="H8550" s="56"/>
      <c r="I8550" s="56"/>
      <c r="J8550" s="58"/>
      <c r="K8550" s="58"/>
      <c r="L8550" s="13" t="str">
        <f t="shared" si="1386"/>
        <v/>
      </c>
      <c r="M8550" s="13" t="str">
        <f t="shared" si="1387"/>
        <v/>
      </c>
      <c r="Q8550" t="str">
        <f t="shared" si="1388"/>
        <v/>
      </c>
      <c r="R8550" t="str">
        <f t="shared" si="1389"/>
        <v/>
      </c>
      <c r="S8550" t="str">
        <f t="shared" si="1390"/>
        <v/>
      </c>
      <c r="T8550" t="str">
        <f t="shared" si="1391"/>
        <v/>
      </c>
      <c r="U8550" t="str">
        <f t="shared" si="1392"/>
        <v/>
      </c>
      <c r="V8550" t="str">
        <f t="shared" si="1393"/>
        <v/>
      </c>
      <c r="W8550" t="str">
        <f t="shared" si="1394"/>
        <v/>
      </c>
      <c r="X8550">
        <f t="shared" si="1384"/>
        <v>0</v>
      </c>
      <c r="Z8550" t="str">
        <f t="shared" si="1395"/>
        <v/>
      </c>
      <c r="AA8550">
        <f t="shared" si="1385"/>
        <v>0</v>
      </c>
    </row>
    <row r="8551" spans="1:27" ht="21" customHeight="1" x14ac:dyDescent="0.95">
      <c r="A8551" s="56"/>
      <c r="B8551" s="57"/>
      <c r="C8551" s="57"/>
      <c r="D8551" s="57"/>
      <c r="E8551" s="56"/>
      <c r="F8551" s="57"/>
      <c r="G8551" s="57"/>
      <c r="H8551" s="56"/>
      <c r="I8551" s="56"/>
      <c r="J8551" s="58"/>
      <c r="K8551" s="58"/>
      <c r="L8551" s="13" t="str">
        <f t="shared" si="1386"/>
        <v/>
      </c>
      <c r="M8551" s="13" t="str">
        <f t="shared" si="1387"/>
        <v/>
      </c>
      <c r="Q8551" t="str">
        <f t="shared" si="1388"/>
        <v/>
      </c>
      <c r="R8551" t="str">
        <f t="shared" si="1389"/>
        <v/>
      </c>
      <c r="S8551" t="str">
        <f t="shared" si="1390"/>
        <v/>
      </c>
      <c r="T8551" t="str">
        <f t="shared" si="1391"/>
        <v/>
      </c>
      <c r="U8551" t="str">
        <f t="shared" si="1392"/>
        <v/>
      </c>
      <c r="V8551" t="str">
        <f t="shared" si="1393"/>
        <v/>
      </c>
      <c r="W8551" t="str">
        <f t="shared" si="1394"/>
        <v/>
      </c>
      <c r="X8551">
        <f t="shared" si="1384"/>
        <v>0</v>
      </c>
      <c r="Z8551" t="str">
        <f t="shared" si="1395"/>
        <v/>
      </c>
      <c r="AA8551">
        <f t="shared" si="1385"/>
        <v>0</v>
      </c>
    </row>
    <row r="8552" spans="1:27" ht="21" customHeight="1" x14ac:dyDescent="0.95">
      <c r="A8552" s="56"/>
      <c r="B8552" s="57"/>
      <c r="C8552" s="57"/>
      <c r="D8552" s="57"/>
      <c r="E8552" s="56"/>
      <c r="F8552" s="57"/>
      <c r="G8552" s="57"/>
      <c r="H8552" s="56"/>
      <c r="I8552" s="56"/>
      <c r="J8552" s="58"/>
      <c r="K8552" s="58"/>
      <c r="L8552" s="13" t="str">
        <f t="shared" si="1386"/>
        <v/>
      </c>
      <c r="M8552" s="13" t="str">
        <f t="shared" si="1387"/>
        <v/>
      </c>
      <c r="Q8552" t="str">
        <f t="shared" si="1388"/>
        <v/>
      </c>
      <c r="R8552" t="str">
        <f t="shared" si="1389"/>
        <v/>
      </c>
      <c r="S8552" t="str">
        <f t="shared" si="1390"/>
        <v/>
      </c>
      <c r="T8552" t="str">
        <f t="shared" si="1391"/>
        <v/>
      </c>
      <c r="U8552" t="str">
        <f t="shared" si="1392"/>
        <v/>
      </c>
      <c r="V8552" t="str">
        <f t="shared" si="1393"/>
        <v/>
      </c>
      <c r="W8552" t="str">
        <f t="shared" si="1394"/>
        <v/>
      </c>
      <c r="X8552">
        <f t="shared" si="1384"/>
        <v>0</v>
      </c>
      <c r="Z8552" t="str">
        <f t="shared" si="1395"/>
        <v/>
      </c>
      <c r="AA8552">
        <f t="shared" si="1385"/>
        <v>0</v>
      </c>
    </row>
    <row r="8553" spans="1:27" ht="21" customHeight="1" x14ac:dyDescent="0.95">
      <c r="A8553" s="56"/>
      <c r="B8553" s="57"/>
      <c r="C8553" s="57"/>
      <c r="D8553" s="57"/>
      <c r="E8553" s="56"/>
      <c r="F8553" s="57"/>
      <c r="G8553" s="57"/>
      <c r="H8553" s="56"/>
      <c r="I8553" s="56"/>
      <c r="J8553" s="58"/>
      <c r="K8553" s="58"/>
      <c r="L8553" s="13" t="str">
        <f t="shared" si="1386"/>
        <v/>
      </c>
      <c r="M8553" s="13" t="str">
        <f t="shared" si="1387"/>
        <v/>
      </c>
      <c r="Q8553" t="str">
        <f t="shared" si="1388"/>
        <v/>
      </c>
      <c r="R8553" t="str">
        <f t="shared" si="1389"/>
        <v/>
      </c>
      <c r="S8553" t="str">
        <f t="shared" si="1390"/>
        <v/>
      </c>
      <c r="T8553" t="str">
        <f t="shared" si="1391"/>
        <v/>
      </c>
      <c r="U8553" t="str">
        <f t="shared" si="1392"/>
        <v/>
      </c>
      <c r="V8553" t="str">
        <f t="shared" si="1393"/>
        <v/>
      </c>
      <c r="W8553" t="str">
        <f t="shared" si="1394"/>
        <v/>
      </c>
      <c r="X8553">
        <f t="shared" si="1384"/>
        <v>0</v>
      </c>
      <c r="Z8553" t="str">
        <f t="shared" si="1395"/>
        <v/>
      </c>
      <c r="AA8553">
        <f t="shared" si="1385"/>
        <v>0</v>
      </c>
    </row>
    <row r="8554" spans="1:27" ht="21" customHeight="1" x14ac:dyDescent="0.95">
      <c r="A8554" s="56"/>
      <c r="B8554" s="57"/>
      <c r="C8554" s="57"/>
      <c r="D8554" s="57"/>
      <c r="E8554" s="56"/>
      <c r="F8554" s="57"/>
      <c r="G8554" s="57"/>
      <c r="H8554" s="56"/>
      <c r="I8554" s="56"/>
      <c r="J8554" s="58"/>
      <c r="K8554" s="58"/>
      <c r="L8554" s="13" t="str">
        <f t="shared" si="1386"/>
        <v/>
      </c>
      <c r="M8554" s="13" t="str">
        <f t="shared" si="1387"/>
        <v/>
      </c>
      <c r="Q8554" t="str">
        <f t="shared" si="1388"/>
        <v/>
      </c>
      <c r="R8554" t="str">
        <f t="shared" si="1389"/>
        <v/>
      </c>
      <c r="S8554" t="str">
        <f t="shared" si="1390"/>
        <v/>
      </c>
      <c r="T8554" t="str">
        <f t="shared" si="1391"/>
        <v/>
      </c>
      <c r="U8554" t="str">
        <f t="shared" si="1392"/>
        <v/>
      </c>
      <c r="V8554" t="str">
        <f t="shared" si="1393"/>
        <v/>
      </c>
      <c r="W8554" t="str">
        <f t="shared" si="1394"/>
        <v/>
      </c>
      <c r="X8554">
        <f t="shared" si="1384"/>
        <v>0</v>
      </c>
      <c r="Z8554" t="str">
        <f t="shared" si="1395"/>
        <v/>
      </c>
      <c r="AA8554">
        <f t="shared" si="1385"/>
        <v>0</v>
      </c>
    </row>
    <row r="8555" spans="1:27" ht="21" customHeight="1" x14ac:dyDescent="0.95">
      <c r="A8555" s="56"/>
      <c r="B8555" s="57"/>
      <c r="C8555" s="57"/>
      <c r="D8555" s="57"/>
      <c r="E8555" s="56"/>
      <c r="F8555" s="57"/>
      <c r="G8555" s="57"/>
      <c r="H8555" s="56"/>
      <c r="I8555" s="56"/>
      <c r="J8555" s="58"/>
      <c r="K8555" s="58"/>
      <c r="L8555" s="13" t="str">
        <f t="shared" si="1386"/>
        <v/>
      </c>
      <c r="M8555" s="13" t="str">
        <f t="shared" si="1387"/>
        <v/>
      </c>
      <c r="Q8555" t="str">
        <f t="shared" si="1388"/>
        <v/>
      </c>
      <c r="R8555" t="str">
        <f t="shared" si="1389"/>
        <v/>
      </c>
      <c r="S8555" t="str">
        <f t="shared" si="1390"/>
        <v/>
      </c>
      <c r="T8555" t="str">
        <f t="shared" si="1391"/>
        <v/>
      </c>
      <c r="U8555" t="str">
        <f t="shared" si="1392"/>
        <v/>
      </c>
      <c r="V8555" t="str">
        <f t="shared" si="1393"/>
        <v/>
      </c>
      <c r="W8555" t="str">
        <f t="shared" si="1394"/>
        <v/>
      </c>
      <c r="X8555">
        <f t="shared" si="1384"/>
        <v>0</v>
      </c>
      <c r="Z8555" t="str">
        <f t="shared" si="1395"/>
        <v/>
      </c>
      <c r="AA8555">
        <f t="shared" si="1385"/>
        <v>0</v>
      </c>
    </row>
    <row r="8556" spans="1:27" ht="21" customHeight="1" x14ac:dyDescent="0.95">
      <c r="A8556" s="56"/>
      <c r="B8556" s="57"/>
      <c r="C8556" s="57"/>
      <c r="D8556" s="57"/>
      <c r="E8556" s="56"/>
      <c r="F8556" s="57"/>
      <c r="G8556" s="57"/>
      <c r="H8556" s="56"/>
      <c r="I8556" s="56"/>
      <c r="J8556" s="58"/>
      <c r="K8556" s="58"/>
      <c r="L8556" s="13" t="str">
        <f t="shared" si="1386"/>
        <v/>
      </c>
      <c r="M8556" s="13" t="str">
        <f t="shared" si="1387"/>
        <v/>
      </c>
      <c r="Q8556" t="str">
        <f t="shared" si="1388"/>
        <v/>
      </c>
      <c r="R8556" t="str">
        <f t="shared" si="1389"/>
        <v/>
      </c>
      <c r="S8556" t="str">
        <f t="shared" si="1390"/>
        <v/>
      </c>
      <c r="T8556" t="str">
        <f t="shared" si="1391"/>
        <v/>
      </c>
      <c r="U8556" t="str">
        <f t="shared" si="1392"/>
        <v/>
      </c>
      <c r="V8556" t="str">
        <f t="shared" si="1393"/>
        <v/>
      </c>
      <c r="W8556" t="str">
        <f t="shared" si="1394"/>
        <v/>
      </c>
      <c r="X8556">
        <f t="shared" si="1384"/>
        <v>0</v>
      </c>
      <c r="Z8556" t="str">
        <f t="shared" si="1395"/>
        <v/>
      </c>
      <c r="AA8556">
        <f t="shared" si="1385"/>
        <v>0</v>
      </c>
    </row>
    <row r="8557" spans="1:27" ht="21" customHeight="1" x14ac:dyDescent="0.95">
      <c r="A8557" s="56"/>
      <c r="B8557" s="57"/>
      <c r="C8557" s="57"/>
      <c r="D8557" s="57"/>
      <c r="E8557" s="56"/>
      <c r="F8557" s="57"/>
      <c r="G8557" s="57"/>
      <c r="H8557" s="56"/>
      <c r="I8557" s="56"/>
      <c r="J8557" s="58"/>
      <c r="K8557" s="58"/>
      <c r="L8557" s="13" t="str">
        <f t="shared" si="1386"/>
        <v/>
      </c>
      <c r="M8557" s="13" t="str">
        <f t="shared" si="1387"/>
        <v/>
      </c>
      <c r="Q8557" t="str">
        <f t="shared" si="1388"/>
        <v/>
      </c>
      <c r="R8557" t="str">
        <f t="shared" si="1389"/>
        <v/>
      </c>
      <c r="S8557" t="str">
        <f t="shared" si="1390"/>
        <v/>
      </c>
      <c r="T8557" t="str">
        <f t="shared" si="1391"/>
        <v/>
      </c>
      <c r="U8557" t="str">
        <f t="shared" si="1392"/>
        <v/>
      </c>
      <c r="V8557" t="str">
        <f t="shared" si="1393"/>
        <v/>
      </c>
      <c r="W8557" t="str">
        <f t="shared" si="1394"/>
        <v/>
      </c>
      <c r="X8557">
        <f t="shared" si="1384"/>
        <v>0</v>
      </c>
      <c r="Z8557" t="str">
        <f t="shared" si="1395"/>
        <v/>
      </c>
      <c r="AA8557">
        <f t="shared" si="1385"/>
        <v>0</v>
      </c>
    </row>
    <row r="8558" spans="1:27" ht="21" customHeight="1" x14ac:dyDescent="0.95">
      <c r="A8558" s="56"/>
      <c r="B8558" s="57"/>
      <c r="C8558" s="57"/>
      <c r="D8558" s="57"/>
      <c r="E8558" s="56"/>
      <c r="F8558" s="57"/>
      <c r="G8558" s="57"/>
      <c r="H8558" s="56"/>
      <c r="I8558" s="56"/>
      <c r="J8558" s="58"/>
      <c r="K8558" s="58"/>
      <c r="L8558" s="13" t="str">
        <f t="shared" si="1386"/>
        <v/>
      </c>
      <c r="M8558" s="13" t="str">
        <f t="shared" si="1387"/>
        <v/>
      </c>
      <c r="Q8558" t="str">
        <f t="shared" si="1388"/>
        <v/>
      </c>
      <c r="R8558" t="str">
        <f t="shared" si="1389"/>
        <v/>
      </c>
      <c r="S8558" t="str">
        <f t="shared" si="1390"/>
        <v/>
      </c>
      <c r="T8558" t="str">
        <f t="shared" si="1391"/>
        <v/>
      </c>
      <c r="U8558" t="str">
        <f t="shared" si="1392"/>
        <v/>
      </c>
      <c r="V8558" t="str">
        <f t="shared" si="1393"/>
        <v/>
      </c>
      <c r="W8558" t="str">
        <f t="shared" si="1394"/>
        <v/>
      </c>
      <c r="X8558">
        <f t="shared" si="1384"/>
        <v>0</v>
      </c>
      <c r="Z8558" t="str">
        <f t="shared" si="1395"/>
        <v/>
      </c>
      <c r="AA8558">
        <f t="shared" si="1385"/>
        <v>0</v>
      </c>
    </row>
    <row r="8559" spans="1:27" ht="21" customHeight="1" x14ac:dyDescent="0.95">
      <c r="A8559" s="56"/>
      <c r="B8559" s="57"/>
      <c r="C8559" s="57"/>
      <c r="D8559" s="57"/>
      <c r="E8559" s="56"/>
      <c r="F8559" s="57"/>
      <c r="G8559" s="57"/>
      <c r="H8559" s="56"/>
      <c r="I8559" s="56"/>
      <c r="J8559" s="58"/>
      <c r="K8559" s="58"/>
      <c r="L8559" s="13" t="str">
        <f t="shared" si="1386"/>
        <v/>
      </c>
      <c r="M8559" s="13" t="str">
        <f t="shared" si="1387"/>
        <v/>
      </c>
      <c r="Q8559" t="str">
        <f t="shared" si="1388"/>
        <v/>
      </c>
      <c r="R8559" t="str">
        <f t="shared" si="1389"/>
        <v/>
      </c>
      <c r="S8559" t="str">
        <f t="shared" si="1390"/>
        <v/>
      </c>
      <c r="T8559" t="str">
        <f t="shared" si="1391"/>
        <v/>
      </c>
      <c r="U8559" t="str">
        <f t="shared" si="1392"/>
        <v/>
      </c>
      <c r="V8559" t="str">
        <f t="shared" si="1393"/>
        <v/>
      </c>
      <c r="W8559" t="str">
        <f t="shared" si="1394"/>
        <v/>
      </c>
      <c r="X8559">
        <f t="shared" si="1384"/>
        <v>0</v>
      </c>
      <c r="Z8559" t="str">
        <f t="shared" si="1395"/>
        <v/>
      </c>
      <c r="AA8559">
        <f t="shared" si="1385"/>
        <v>0</v>
      </c>
    </row>
    <row r="8560" spans="1:27" ht="21" customHeight="1" x14ac:dyDescent="0.95">
      <c r="A8560" s="56"/>
      <c r="B8560" s="57"/>
      <c r="C8560" s="57"/>
      <c r="D8560" s="57"/>
      <c r="E8560" s="56"/>
      <c r="F8560" s="57"/>
      <c r="G8560" s="57"/>
      <c r="H8560" s="56"/>
      <c r="I8560" s="56"/>
      <c r="J8560" s="58"/>
      <c r="K8560" s="58"/>
      <c r="L8560" s="13" t="str">
        <f t="shared" si="1386"/>
        <v/>
      </c>
      <c r="M8560" s="13" t="str">
        <f t="shared" si="1387"/>
        <v/>
      </c>
      <c r="Q8560" t="str">
        <f t="shared" si="1388"/>
        <v/>
      </c>
      <c r="R8560" t="str">
        <f t="shared" si="1389"/>
        <v/>
      </c>
      <c r="S8560" t="str">
        <f t="shared" si="1390"/>
        <v/>
      </c>
      <c r="T8560" t="str">
        <f t="shared" si="1391"/>
        <v/>
      </c>
      <c r="U8560" t="str">
        <f t="shared" si="1392"/>
        <v/>
      </c>
      <c r="V8560" t="str">
        <f t="shared" si="1393"/>
        <v/>
      </c>
      <c r="W8560" t="str">
        <f t="shared" si="1394"/>
        <v/>
      </c>
      <c r="X8560">
        <f t="shared" si="1384"/>
        <v>0</v>
      </c>
      <c r="Z8560" t="str">
        <f t="shared" si="1395"/>
        <v/>
      </c>
      <c r="AA8560">
        <f t="shared" si="1385"/>
        <v>0</v>
      </c>
    </row>
    <row r="8561" spans="1:27" ht="21" customHeight="1" x14ac:dyDescent="0.95">
      <c r="A8561" s="56"/>
      <c r="B8561" s="57"/>
      <c r="C8561" s="57"/>
      <c r="D8561" s="57"/>
      <c r="E8561" s="56"/>
      <c r="F8561" s="57"/>
      <c r="G8561" s="57"/>
      <c r="H8561" s="56"/>
      <c r="I8561" s="56"/>
      <c r="J8561" s="58"/>
      <c r="K8561" s="58"/>
      <c r="L8561" s="13" t="str">
        <f t="shared" si="1386"/>
        <v/>
      </c>
      <c r="M8561" s="13" t="str">
        <f t="shared" si="1387"/>
        <v/>
      </c>
      <c r="Q8561" t="str">
        <f t="shared" si="1388"/>
        <v/>
      </c>
      <c r="R8561" t="str">
        <f t="shared" si="1389"/>
        <v/>
      </c>
      <c r="S8561" t="str">
        <f t="shared" si="1390"/>
        <v/>
      </c>
      <c r="T8561" t="str">
        <f t="shared" si="1391"/>
        <v/>
      </c>
      <c r="U8561" t="str">
        <f t="shared" si="1392"/>
        <v/>
      </c>
      <c r="V8561" t="str">
        <f t="shared" si="1393"/>
        <v/>
      </c>
      <c r="W8561" t="str">
        <f t="shared" si="1394"/>
        <v/>
      </c>
      <c r="X8561">
        <f t="shared" si="1384"/>
        <v>0</v>
      </c>
      <c r="Z8561" t="str">
        <f t="shared" si="1395"/>
        <v/>
      </c>
      <c r="AA8561">
        <f t="shared" si="1385"/>
        <v>0</v>
      </c>
    </row>
    <row r="8562" spans="1:27" ht="21" customHeight="1" x14ac:dyDescent="0.95">
      <c r="A8562" s="56"/>
      <c r="B8562" s="57"/>
      <c r="C8562" s="57"/>
      <c r="D8562" s="57"/>
      <c r="E8562" s="56"/>
      <c r="F8562" s="57"/>
      <c r="G8562" s="57"/>
      <c r="H8562" s="56"/>
      <c r="I8562" s="56"/>
      <c r="J8562" s="58"/>
      <c r="K8562" s="58"/>
      <c r="L8562" s="13" t="str">
        <f t="shared" si="1386"/>
        <v/>
      </c>
      <c r="M8562" s="13" t="str">
        <f t="shared" si="1387"/>
        <v/>
      </c>
      <c r="Q8562" t="str">
        <f t="shared" si="1388"/>
        <v/>
      </c>
      <c r="R8562" t="str">
        <f t="shared" si="1389"/>
        <v/>
      </c>
      <c r="S8562" t="str">
        <f t="shared" si="1390"/>
        <v/>
      </c>
      <c r="T8562" t="str">
        <f t="shared" si="1391"/>
        <v/>
      </c>
      <c r="U8562" t="str">
        <f t="shared" si="1392"/>
        <v/>
      </c>
      <c r="V8562" t="str">
        <f t="shared" si="1393"/>
        <v/>
      </c>
      <c r="W8562" t="str">
        <f t="shared" si="1394"/>
        <v/>
      </c>
      <c r="X8562">
        <f t="shared" si="1384"/>
        <v>0</v>
      </c>
      <c r="Z8562" t="str">
        <f t="shared" si="1395"/>
        <v/>
      </c>
      <c r="AA8562">
        <f t="shared" si="1385"/>
        <v>0</v>
      </c>
    </row>
    <row r="8563" spans="1:27" ht="21" customHeight="1" x14ac:dyDescent="0.95">
      <c r="A8563" s="56"/>
      <c r="B8563" s="57"/>
      <c r="C8563" s="57"/>
      <c r="D8563" s="57"/>
      <c r="E8563" s="56"/>
      <c r="F8563" s="57"/>
      <c r="G8563" s="57"/>
      <c r="H8563" s="56"/>
      <c r="I8563" s="56"/>
      <c r="J8563" s="58"/>
      <c r="K8563" s="58"/>
      <c r="L8563" s="13" t="str">
        <f t="shared" si="1386"/>
        <v/>
      </c>
      <c r="M8563" s="13" t="str">
        <f t="shared" si="1387"/>
        <v/>
      </c>
      <c r="Q8563" t="str">
        <f t="shared" si="1388"/>
        <v/>
      </c>
      <c r="R8563" t="str">
        <f t="shared" si="1389"/>
        <v/>
      </c>
      <c r="S8563" t="str">
        <f t="shared" si="1390"/>
        <v/>
      </c>
      <c r="T8563" t="str">
        <f t="shared" si="1391"/>
        <v/>
      </c>
      <c r="U8563" t="str">
        <f t="shared" si="1392"/>
        <v/>
      </c>
      <c r="V8563" t="str">
        <f t="shared" si="1393"/>
        <v/>
      </c>
      <c r="W8563" t="str">
        <f t="shared" si="1394"/>
        <v/>
      </c>
      <c r="X8563">
        <f t="shared" si="1384"/>
        <v>0</v>
      </c>
      <c r="Z8563" t="str">
        <f t="shared" si="1395"/>
        <v/>
      </c>
      <c r="AA8563">
        <f t="shared" si="1385"/>
        <v>0</v>
      </c>
    </row>
    <row r="8564" spans="1:27" ht="21" customHeight="1" x14ac:dyDescent="0.95">
      <c r="A8564" s="56"/>
      <c r="B8564" s="57"/>
      <c r="C8564" s="57"/>
      <c r="D8564" s="57"/>
      <c r="E8564" s="56"/>
      <c r="F8564" s="57"/>
      <c r="G8564" s="57"/>
      <c r="H8564" s="56"/>
      <c r="I8564" s="56"/>
      <c r="J8564" s="58"/>
      <c r="K8564" s="58"/>
      <c r="L8564" s="13" t="str">
        <f t="shared" si="1386"/>
        <v/>
      </c>
      <c r="M8564" s="13" t="str">
        <f t="shared" si="1387"/>
        <v/>
      </c>
      <c r="Q8564" t="str">
        <f t="shared" si="1388"/>
        <v/>
      </c>
      <c r="R8564" t="str">
        <f t="shared" si="1389"/>
        <v/>
      </c>
      <c r="S8564" t="str">
        <f t="shared" si="1390"/>
        <v/>
      </c>
      <c r="T8564" t="str">
        <f t="shared" si="1391"/>
        <v/>
      </c>
      <c r="U8564" t="str">
        <f t="shared" si="1392"/>
        <v/>
      </c>
      <c r="V8564" t="str">
        <f t="shared" si="1393"/>
        <v/>
      </c>
      <c r="W8564" t="str">
        <f t="shared" si="1394"/>
        <v/>
      </c>
      <c r="X8564">
        <f t="shared" si="1384"/>
        <v>0</v>
      </c>
      <c r="Z8564" t="str">
        <f t="shared" si="1395"/>
        <v/>
      </c>
      <c r="AA8564">
        <f t="shared" si="1385"/>
        <v>0</v>
      </c>
    </row>
    <row r="8565" spans="1:27" ht="21" customHeight="1" x14ac:dyDescent="0.95">
      <c r="A8565" s="56"/>
      <c r="B8565" s="57"/>
      <c r="C8565" s="57"/>
      <c r="D8565" s="57"/>
      <c r="E8565" s="56"/>
      <c r="F8565" s="57"/>
      <c r="G8565" s="57"/>
      <c r="H8565" s="56"/>
      <c r="I8565" s="56"/>
      <c r="J8565" s="58"/>
      <c r="K8565" s="58"/>
      <c r="L8565" s="13" t="str">
        <f t="shared" si="1386"/>
        <v/>
      </c>
      <c r="M8565" s="13" t="str">
        <f t="shared" si="1387"/>
        <v/>
      </c>
      <c r="Q8565" t="str">
        <f t="shared" si="1388"/>
        <v/>
      </c>
      <c r="R8565" t="str">
        <f t="shared" si="1389"/>
        <v/>
      </c>
      <c r="S8565" t="str">
        <f t="shared" si="1390"/>
        <v/>
      </c>
      <c r="T8565" t="str">
        <f t="shared" si="1391"/>
        <v/>
      </c>
      <c r="U8565" t="str">
        <f t="shared" si="1392"/>
        <v/>
      </c>
      <c r="V8565" t="str">
        <f t="shared" si="1393"/>
        <v/>
      </c>
      <c r="W8565" t="str">
        <f t="shared" si="1394"/>
        <v/>
      </c>
      <c r="X8565">
        <f t="shared" ref="X8565:X8628" si="1396">IF($T8565="",N($X8564),IF(MATCH($T8565,$T$6:$T$10005,0)=ROW()-5,N($X8564)+1,N($X8564)))</f>
        <v>0</v>
      </c>
      <c r="Z8565" t="str">
        <f t="shared" si="1395"/>
        <v/>
      </c>
      <c r="AA8565">
        <f t="shared" ref="AA8565:AA8628" si="1397">IF($V8565="",N($AA8564),IF(MATCH($V8565,$V$6:$V$10005,0)=ROW()-5,N($AA8564)+1,N($AA8564)))</f>
        <v>0</v>
      </c>
    </row>
    <row r="8566" spans="1:27" ht="21" customHeight="1" x14ac:dyDescent="0.95">
      <c r="A8566" s="56"/>
      <c r="B8566" s="57"/>
      <c r="C8566" s="57"/>
      <c r="D8566" s="57"/>
      <c r="E8566" s="56"/>
      <c r="F8566" s="57"/>
      <c r="G8566" s="57"/>
      <c r="H8566" s="56"/>
      <c r="I8566" s="56"/>
      <c r="J8566" s="58"/>
      <c r="K8566" s="58"/>
      <c r="L8566" s="13" t="str">
        <f t="shared" si="1386"/>
        <v/>
      </c>
      <c r="M8566" s="13" t="str">
        <f t="shared" si="1387"/>
        <v/>
      </c>
      <c r="Q8566" t="str">
        <f t="shared" si="1388"/>
        <v/>
      </c>
      <c r="R8566" t="str">
        <f t="shared" si="1389"/>
        <v/>
      </c>
      <c r="S8566" t="str">
        <f t="shared" si="1390"/>
        <v/>
      </c>
      <c r="T8566" t="str">
        <f t="shared" si="1391"/>
        <v/>
      </c>
      <c r="U8566" t="str">
        <f t="shared" si="1392"/>
        <v/>
      </c>
      <c r="V8566" t="str">
        <f t="shared" si="1393"/>
        <v/>
      </c>
      <c r="W8566" t="str">
        <f t="shared" si="1394"/>
        <v/>
      </c>
      <c r="X8566">
        <f t="shared" si="1396"/>
        <v>0</v>
      </c>
      <c r="Z8566" t="str">
        <f t="shared" si="1395"/>
        <v/>
      </c>
      <c r="AA8566">
        <f t="shared" si="1397"/>
        <v>0</v>
      </c>
    </row>
    <row r="8567" spans="1:27" ht="21" customHeight="1" x14ac:dyDescent="0.95">
      <c r="A8567" s="56"/>
      <c r="B8567" s="57"/>
      <c r="C8567" s="57"/>
      <c r="D8567" s="57"/>
      <c r="E8567" s="56"/>
      <c r="F8567" s="57"/>
      <c r="G8567" s="57"/>
      <c r="H8567" s="56"/>
      <c r="I8567" s="56"/>
      <c r="J8567" s="58"/>
      <c r="K8567" s="58"/>
      <c r="L8567" s="13" t="str">
        <f t="shared" si="1386"/>
        <v/>
      </c>
      <c r="M8567" s="13" t="str">
        <f t="shared" si="1387"/>
        <v/>
      </c>
      <c r="Q8567" t="str">
        <f t="shared" si="1388"/>
        <v/>
      </c>
      <c r="R8567" t="str">
        <f t="shared" si="1389"/>
        <v/>
      </c>
      <c r="S8567" t="str">
        <f t="shared" si="1390"/>
        <v/>
      </c>
      <c r="T8567" t="str">
        <f t="shared" si="1391"/>
        <v/>
      </c>
      <c r="U8567" t="str">
        <f t="shared" si="1392"/>
        <v/>
      </c>
      <c r="V8567" t="str">
        <f t="shared" si="1393"/>
        <v/>
      </c>
      <c r="W8567" t="str">
        <f t="shared" si="1394"/>
        <v/>
      </c>
      <c r="X8567">
        <f t="shared" si="1396"/>
        <v>0</v>
      </c>
      <c r="Z8567" t="str">
        <f t="shared" si="1395"/>
        <v/>
      </c>
      <c r="AA8567">
        <f t="shared" si="1397"/>
        <v>0</v>
      </c>
    </row>
    <row r="8568" spans="1:27" ht="21" customHeight="1" x14ac:dyDescent="0.95">
      <c r="A8568" s="56"/>
      <c r="B8568" s="57"/>
      <c r="C8568" s="57"/>
      <c r="D8568" s="57"/>
      <c r="E8568" s="56"/>
      <c r="F8568" s="57"/>
      <c r="G8568" s="57"/>
      <c r="H8568" s="56"/>
      <c r="I8568" s="56"/>
      <c r="J8568" s="58"/>
      <c r="K8568" s="58"/>
      <c r="L8568" s="13" t="str">
        <f t="shared" si="1386"/>
        <v/>
      </c>
      <c r="M8568" s="13" t="str">
        <f t="shared" si="1387"/>
        <v/>
      </c>
      <c r="Q8568" t="str">
        <f t="shared" si="1388"/>
        <v/>
      </c>
      <c r="R8568" t="str">
        <f t="shared" si="1389"/>
        <v/>
      </c>
      <c r="S8568" t="str">
        <f t="shared" si="1390"/>
        <v/>
      </c>
      <c r="T8568" t="str">
        <f t="shared" si="1391"/>
        <v/>
      </c>
      <c r="U8568" t="str">
        <f t="shared" si="1392"/>
        <v/>
      </c>
      <c r="V8568" t="str">
        <f t="shared" si="1393"/>
        <v/>
      </c>
      <c r="W8568" t="str">
        <f t="shared" si="1394"/>
        <v/>
      </c>
      <c r="X8568">
        <f t="shared" si="1396"/>
        <v>0</v>
      </c>
      <c r="Z8568" t="str">
        <f t="shared" si="1395"/>
        <v/>
      </c>
      <c r="AA8568">
        <f t="shared" si="1397"/>
        <v>0</v>
      </c>
    </row>
    <row r="8569" spans="1:27" ht="21" customHeight="1" x14ac:dyDescent="0.95">
      <c r="A8569" s="56"/>
      <c r="B8569" s="57"/>
      <c r="C8569" s="57"/>
      <c r="D8569" s="57"/>
      <c r="E8569" s="56"/>
      <c r="F8569" s="57"/>
      <c r="G8569" s="57"/>
      <c r="H8569" s="56"/>
      <c r="I8569" s="56"/>
      <c r="J8569" s="58"/>
      <c r="K8569" s="58"/>
      <c r="L8569" s="13" t="str">
        <f t="shared" si="1386"/>
        <v/>
      </c>
      <c r="M8569" s="13" t="str">
        <f t="shared" si="1387"/>
        <v/>
      </c>
      <c r="Q8569" t="str">
        <f t="shared" si="1388"/>
        <v/>
      </c>
      <c r="R8569" t="str">
        <f t="shared" si="1389"/>
        <v/>
      </c>
      <c r="S8569" t="str">
        <f t="shared" si="1390"/>
        <v/>
      </c>
      <c r="T8569" t="str">
        <f t="shared" si="1391"/>
        <v/>
      </c>
      <c r="U8569" t="str">
        <f t="shared" si="1392"/>
        <v/>
      </c>
      <c r="V8569" t="str">
        <f t="shared" si="1393"/>
        <v/>
      </c>
      <c r="W8569" t="str">
        <f t="shared" si="1394"/>
        <v/>
      </c>
      <c r="X8569">
        <f t="shared" si="1396"/>
        <v>0</v>
      </c>
      <c r="Z8569" t="str">
        <f t="shared" si="1395"/>
        <v/>
      </c>
      <c r="AA8569">
        <f t="shared" si="1397"/>
        <v>0</v>
      </c>
    </row>
    <row r="8570" spans="1:27" ht="21" customHeight="1" x14ac:dyDescent="0.95">
      <c r="A8570" s="56"/>
      <c r="B8570" s="57"/>
      <c r="C8570" s="57"/>
      <c r="D8570" s="57"/>
      <c r="E8570" s="56"/>
      <c r="F8570" s="57"/>
      <c r="G8570" s="57"/>
      <c r="H8570" s="56"/>
      <c r="I8570" s="56"/>
      <c r="J8570" s="58"/>
      <c r="K8570" s="58"/>
      <c r="L8570" s="13" t="str">
        <f t="shared" si="1386"/>
        <v/>
      </c>
      <c r="M8570" s="13" t="str">
        <f t="shared" si="1387"/>
        <v/>
      </c>
      <c r="Q8570" t="str">
        <f t="shared" si="1388"/>
        <v/>
      </c>
      <c r="R8570" t="str">
        <f t="shared" si="1389"/>
        <v/>
      </c>
      <c r="S8570" t="str">
        <f t="shared" si="1390"/>
        <v/>
      </c>
      <c r="T8570" t="str">
        <f t="shared" si="1391"/>
        <v/>
      </c>
      <c r="U8570" t="str">
        <f t="shared" si="1392"/>
        <v/>
      </c>
      <c r="V8570" t="str">
        <f t="shared" si="1393"/>
        <v/>
      </c>
      <c r="W8570" t="str">
        <f t="shared" si="1394"/>
        <v/>
      </c>
      <c r="X8570">
        <f t="shared" si="1396"/>
        <v>0</v>
      </c>
      <c r="Z8570" t="str">
        <f t="shared" si="1395"/>
        <v/>
      </c>
      <c r="AA8570">
        <f t="shared" si="1397"/>
        <v>0</v>
      </c>
    </row>
    <row r="8571" spans="1:27" ht="21" customHeight="1" x14ac:dyDescent="0.95">
      <c r="A8571" s="56"/>
      <c r="B8571" s="57"/>
      <c r="C8571" s="57"/>
      <c r="D8571" s="57"/>
      <c r="E8571" s="56"/>
      <c r="F8571" s="57"/>
      <c r="G8571" s="57"/>
      <c r="H8571" s="56"/>
      <c r="I8571" s="56"/>
      <c r="J8571" s="58"/>
      <c r="K8571" s="58"/>
      <c r="L8571" s="13" t="str">
        <f t="shared" si="1386"/>
        <v/>
      </c>
      <c r="M8571" s="13" t="str">
        <f t="shared" si="1387"/>
        <v/>
      </c>
      <c r="Q8571" t="str">
        <f t="shared" si="1388"/>
        <v/>
      </c>
      <c r="R8571" t="str">
        <f t="shared" si="1389"/>
        <v/>
      </c>
      <c r="S8571" t="str">
        <f t="shared" si="1390"/>
        <v/>
      </c>
      <c r="T8571" t="str">
        <f t="shared" si="1391"/>
        <v/>
      </c>
      <c r="U8571" t="str">
        <f t="shared" si="1392"/>
        <v/>
      </c>
      <c r="V8571" t="str">
        <f t="shared" si="1393"/>
        <v/>
      </c>
      <c r="W8571" t="str">
        <f t="shared" si="1394"/>
        <v/>
      </c>
      <c r="X8571">
        <f t="shared" si="1396"/>
        <v>0</v>
      </c>
      <c r="Z8571" t="str">
        <f t="shared" si="1395"/>
        <v/>
      </c>
      <c r="AA8571">
        <f t="shared" si="1397"/>
        <v>0</v>
      </c>
    </row>
    <row r="8572" spans="1:27" ht="21" customHeight="1" x14ac:dyDescent="0.95">
      <c r="A8572" s="56"/>
      <c r="B8572" s="57"/>
      <c r="C8572" s="57"/>
      <c r="D8572" s="57"/>
      <c r="E8572" s="56"/>
      <c r="F8572" s="57"/>
      <c r="G8572" s="57"/>
      <c r="H8572" s="56"/>
      <c r="I8572" s="56"/>
      <c r="J8572" s="58"/>
      <c r="K8572" s="58"/>
      <c r="L8572" s="13" t="str">
        <f t="shared" si="1386"/>
        <v/>
      </c>
      <c r="M8572" s="13" t="str">
        <f t="shared" si="1387"/>
        <v/>
      </c>
      <c r="Q8572" t="str">
        <f t="shared" si="1388"/>
        <v/>
      </c>
      <c r="R8572" t="str">
        <f t="shared" si="1389"/>
        <v/>
      </c>
      <c r="S8572" t="str">
        <f t="shared" si="1390"/>
        <v/>
      </c>
      <c r="T8572" t="str">
        <f t="shared" si="1391"/>
        <v/>
      </c>
      <c r="U8572" t="str">
        <f t="shared" si="1392"/>
        <v/>
      </c>
      <c r="V8572" t="str">
        <f t="shared" si="1393"/>
        <v/>
      </c>
      <c r="W8572" t="str">
        <f t="shared" si="1394"/>
        <v/>
      </c>
      <c r="X8572">
        <f t="shared" si="1396"/>
        <v>0</v>
      </c>
      <c r="Z8572" t="str">
        <f t="shared" si="1395"/>
        <v/>
      </c>
      <c r="AA8572">
        <f t="shared" si="1397"/>
        <v>0</v>
      </c>
    </row>
    <row r="8573" spans="1:27" ht="21" customHeight="1" x14ac:dyDescent="0.95">
      <c r="A8573" s="56"/>
      <c r="B8573" s="57"/>
      <c r="C8573" s="57"/>
      <c r="D8573" s="57"/>
      <c r="E8573" s="56"/>
      <c r="F8573" s="57"/>
      <c r="G8573" s="57"/>
      <c r="H8573" s="56"/>
      <c r="I8573" s="56"/>
      <c r="J8573" s="58"/>
      <c r="K8573" s="58"/>
      <c r="L8573" s="13" t="str">
        <f t="shared" si="1386"/>
        <v/>
      </c>
      <c r="M8573" s="13" t="str">
        <f t="shared" si="1387"/>
        <v/>
      </c>
      <c r="Q8573" t="str">
        <f t="shared" si="1388"/>
        <v/>
      </c>
      <c r="R8573" t="str">
        <f t="shared" si="1389"/>
        <v/>
      </c>
      <c r="S8573" t="str">
        <f t="shared" si="1390"/>
        <v/>
      </c>
      <c r="T8573" t="str">
        <f t="shared" si="1391"/>
        <v/>
      </c>
      <c r="U8573" t="str">
        <f t="shared" si="1392"/>
        <v/>
      </c>
      <c r="V8573" t="str">
        <f t="shared" si="1393"/>
        <v/>
      </c>
      <c r="W8573" t="str">
        <f t="shared" si="1394"/>
        <v/>
      </c>
      <c r="X8573">
        <f t="shared" si="1396"/>
        <v>0</v>
      </c>
      <c r="Z8573" t="str">
        <f t="shared" si="1395"/>
        <v/>
      </c>
      <c r="AA8573">
        <f t="shared" si="1397"/>
        <v>0</v>
      </c>
    </row>
    <row r="8574" spans="1:27" ht="21" customHeight="1" x14ac:dyDescent="0.95">
      <c r="A8574" s="56"/>
      <c r="B8574" s="57"/>
      <c r="C8574" s="57"/>
      <c r="D8574" s="57"/>
      <c r="E8574" s="56"/>
      <c r="F8574" s="57"/>
      <c r="G8574" s="57"/>
      <c r="H8574" s="56"/>
      <c r="I8574" s="56"/>
      <c r="J8574" s="58"/>
      <c r="K8574" s="58"/>
      <c r="L8574" s="13" t="str">
        <f t="shared" si="1386"/>
        <v/>
      </c>
      <c r="M8574" s="13" t="str">
        <f t="shared" si="1387"/>
        <v/>
      </c>
      <c r="Q8574" t="str">
        <f t="shared" si="1388"/>
        <v/>
      </c>
      <c r="R8574" t="str">
        <f t="shared" si="1389"/>
        <v/>
      </c>
      <c r="S8574" t="str">
        <f t="shared" si="1390"/>
        <v/>
      </c>
      <c r="T8574" t="str">
        <f t="shared" si="1391"/>
        <v/>
      </c>
      <c r="U8574" t="str">
        <f t="shared" si="1392"/>
        <v/>
      </c>
      <c r="V8574" t="str">
        <f t="shared" si="1393"/>
        <v/>
      </c>
      <c r="W8574" t="str">
        <f t="shared" si="1394"/>
        <v/>
      </c>
      <c r="X8574">
        <f t="shared" si="1396"/>
        <v>0</v>
      </c>
      <c r="Z8574" t="str">
        <f t="shared" si="1395"/>
        <v/>
      </c>
      <c r="AA8574">
        <f t="shared" si="1397"/>
        <v>0</v>
      </c>
    </row>
    <row r="8575" spans="1:27" ht="21" customHeight="1" x14ac:dyDescent="0.95">
      <c r="A8575" s="56"/>
      <c r="B8575" s="57"/>
      <c r="C8575" s="57"/>
      <c r="D8575" s="57"/>
      <c r="E8575" s="56"/>
      <c r="F8575" s="57"/>
      <c r="G8575" s="57"/>
      <c r="H8575" s="56"/>
      <c r="I8575" s="56"/>
      <c r="J8575" s="58"/>
      <c r="K8575" s="58"/>
      <c r="L8575" s="13" t="str">
        <f t="shared" si="1386"/>
        <v/>
      </c>
      <c r="M8575" s="13" t="str">
        <f t="shared" si="1387"/>
        <v/>
      </c>
      <c r="Q8575" t="str">
        <f t="shared" si="1388"/>
        <v/>
      </c>
      <c r="R8575" t="str">
        <f t="shared" si="1389"/>
        <v/>
      </c>
      <c r="S8575" t="str">
        <f t="shared" si="1390"/>
        <v/>
      </c>
      <c r="T8575" t="str">
        <f t="shared" si="1391"/>
        <v/>
      </c>
      <c r="U8575" t="str">
        <f t="shared" si="1392"/>
        <v/>
      </c>
      <c r="V8575" t="str">
        <f t="shared" si="1393"/>
        <v/>
      </c>
      <c r="W8575" t="str">
        <f t="shared" si="1394"/>
        <v/>
      </c>
      <c r="X8575">
        <f t="shared" si="1396"/>
        <v>0</v>
      </c>
      <c r="Z8575" t="str">
        <f t="shared" si="1395"/>
        <v/>
      </c>
      <c r="AA8575">
        <f t="shared" si="1397"/>
        <v>0</v>
      </c>
    </row>
    <row r="8576" spans="1:27" ht="21" customHeight="1" x14ac:dyDescent="0.95">
      <c r="A8576" s="56"/>
      <c r="B8576" s="57"/>
      <c r="C8576" s="57"/>
      <c r="D8576" s="57"/>
      <c r="E8576" s="56"/>
      <c r="F8576" s="57"/>
      <c r="G8576" s="57"/>
      <c r="H8576" s="56"/>
      <c r="I8576" s="56"/>
      <c r="J8576" s="58"/>
      <c r="K8576" s="58"/>
      <c r="L8576" s="13" t="str">
        <f t="shared" si="1386"/>
        <v/>
      </c>
      <c r="M8576" s="13" t="str">
        <f t="shared" si="1387"/>
        <v/>
      </c>
      <c r="Q8576" t="str">
        <f t="shared" si="1388"/>
        <v/>
      </c>
      <c r="R8576" t="str">
        <f t="shared" si="1389"/>
        <v/>
      </c>
      <c r="S8576" t="str">
        <f t="shared" si="1390"/>
        <v/>
      </c>
      <c r="T8576" t="str">
        <f t="shared" si="1391"/>
        <v/>
      </c>
      <c r="U8576" t="str">
        <f t="shared" si="1392"/>
        <v/>
      </c>
      <c r="V8576" t="str">
        <f t="shared" si="1393"/>
        <v/>
      </c>
      <c r="W8576" t="str">
        <f t="shared" si="1394"/>
        <v/>
      </c>
      <c r="X8576">
        <f t="shared" si="1396"/>
        <v>0</v>
      </c>
      <c r="Z8576" t="str">
        <f t="shared" si="1395"/>
        <v/>
      </c>
      <c r="AA8576">
        <f t="shared" si="1397"/>
        <v>0</v>
      </c>
    </row>
    <row r="8577" spans="1:27" ht="21" customHeight="1" x14ac:dyDescent="0.95">
      <c r="A8577" s="56"/>
      <c r="B8577" s="57"/>
      <c r="C8577" s="57"/>
      <c r="D8577" s="57"/>
      <c r="E8577" s="56"/>
      <c r="F8577" s="57"/>
      <c r="G8577" s="57"/>
      <c r="H8577" s="56"/>
      <c r="I8577" s="56"/>
      <c r="J8577" s="58"/>
      <c r="K8577" s="58"/>
      <c r="L8577" s="13" t="str">
        <f t="shared" si="1386"/>
        <v/>
      </c>
      <c r="M8577" s="13" t="str">
        <f t="shared" si="1387"/>
        <v/>
      </c>
      <c r="Q8577" t="str">
        <f t="shared" si="1388"/>
        <v/>
      </c>
      <c r="R8577" t="str">
        <f t="shared" si="1389"/>
        <v/>
      </c>
      <c r="S8577" t="str">
        <f t="shared" si="1390"/>
        <v/>
      </c>
      <c r="T8577" t="str">
        <f t="shared" si="1391"/>
        <v/>
      </c>
      <c r="U8577" t="str">
        <f t="shared" si="1392"/>
        <v/>
      </c>
      <c r="V8577" t="str">
        <f t="shared" si="1393"/>
        <v/>
      </c>
      <c r="W8577" t="str">
        <f t="shared" si="1394"/>
        <v/>
      </c>
      <c r="X8577">
        <f t="shared" si="1396"/>
        <v>0</v>
      </c>
      <c r="Z8577" t="str">
        <f t="shared" si="1395"/>
        <v/>
      </c>
      <c r="AA8577">
        <f t="shared" si="1397"/>
        <v>0</v>
      </c>
    </row>
    <row r="8578" spans="1:27" ht="21" customHeight="1" x14ac:dyDescent="0.95">
      <c r="A8578" s="56"/>
      <c r="B8578" s="57"/>
      <c r="C8578" s="57"/>
      <c r="D8578" s="57"/>
      <c r="E8578" s="56"/>
      <c r="F8578" s="57"/>
      <c r="G8578" s="57"/>
      <c r="H8578" s="56"/>
      <c r="I8578" s="56"/>
      <c r="J8578" s="58"/>
      <c r="K8578" s="58"/>
      <c r="L8578" s="13" t="str">
        <f t="shared" si="1386"/>
        <v/>
      </c>
      <c r="M8578" s="13" t="str">
        <f t="shared" si="1387"/>
        <v/>
      </c>
      <c r="Q8578" t="str">
        <f t="shared" si="1388"/>
        <v/>
      </c>
      <c r="R8578" t="str">
        <f t="shared" si="1389"/>
        <v/>
      </c>
      <c r="S8578" t="str">
        <f t="shared" si="1390"/>
        <v/>
      </c>
      <c r="T8578" t="str">
        <f t="shared" si="1391"/>
        <v/>
      </c>
      <c r="U8578" t="str">
        <f t="shared" si="1392"/>
        <v/>
      </c>
      <c r="V8578" t="str">
        <f t="shared" si="1393"/>
        <v/>
      </c>
      <c r="W8578" t="str">
        <f t="shared" si="1394"/>
        <v/>
      </c>
      <c r="X8578">
        <f t="shared" si="1396"/>
        <v>0</v>
      </c>
      <c r="Z8578" t="str">
        <f t="shared" si="1395"/>
        <v/>
      </c>
      <c r="AA8578">
        <f t="shared" si="1397"/>
        <v>0</v>
      </c>
    </row>
    <row r="8579" spans="1:27" ht="21" customHeight="1" x14ac:dyDescent="0.95">
      <c r="A8579" s="56"/>
      <c r="B8579" s="57"/>
      <c r="C8579" s="57"/>
      <c r="D8579" s="57"/>
      <c r="E8579" s="56"/>
      <c r="F8579" s="57"/>
      <c r="G8579" s="57"/>
      <c r="H8579" s="56"/>
      <c r="I8579" s="56"/>
      <c r="J8579" s="58"/>
      <c r="K8579" s="58"/>
      <c r="L8579" s="13" t="str">
        <f t="shared" si="1386"/>
        <v/>
      </c>
      <c r="M8579" s="13" t="str">
        <f t="shared" si="1387"/>
        <v/>
      </c>
      <c r="Q8579" t="str">
        <f t="shared" si="1388"/>
        <v/>
      </c>
      <c r="R8579" t="str">
        <f t="shared" si="1389"/>
        <v/>
      </c>
      <c r="S8579" t="str">
        <f t="shared" si="1390"/>
        <v/>
      </c>
      <c r="T8579" t="str">
        <f t="shared" si="1391"/>
        <v/>
      </c>
      <c r="U8579" t="str">
        <f t="shared" si="1392"/>
        <v/>
      </c>
      <c r="V8579" t="str">
        <f t="shared" si="1393"/>
        <v/>
      </c>
      <c r="W8579" t="str">
        <f t="shared" si="1394"/>
        <v/>
      </c>
      <c r="X8579">
        <f t="shared" si="1396"/>
        <v>0</v>
      </c>
      <c r="Z8579" t="str">
        <f t="shared" si="1395"/>
        <v/>
      </c>
      <c r="AA8579">
        <f t="shared" si="1397"/>
        <v>0</v>
      </c>
    </row>
    <row r="8580" spans="1:27" ht="21" customHeight="1" x14ac:dyDescent="0.95">
      <c r="A8580" s="56"/>
      <c r="B8580" s="57"/>
      <c r="C8580" s="57"/>
      <c r="D8580" s="57"/>
      <c r="E8580" s="56"/>
      <c r="F8580" s="57"/>
      <c r="G8580" s="57"/>
      <c r="H8580" s="56"/>
      <c r="I8580" s="56"/>
      <c r="J8580" s="58"/>
      <c r="K8580" s="58"/>
      <c r="L8580" s="13" t="str">
        <f t="shared" ref="L8580:L8643" si="1398">IF(OR($A8580="",AND($J8580="",$K8580="")),"",ROUND(N($J8580)-N($K8580),2))</f>
        <v/>
      </c>
      <c r="M8580" s="13" t="str">
        <f t="shared" ref="M8580:M8643" si="1399">IF(OR($A8580="",AND($J8580="",$K8580="")),"",MIN($J8580,$K8580))</f>
        <v/>
      </c>
      <c r="Q8580" t="str">
        <f t="shared" ref="Q8580:Q8643" si="1400">IF($A8580="","",$D8580&amp;"("&amp;SUBSTITUTE($E8580," ","")&amp;")")</f>
        <v/>
      </c>
      <c r="R8580" t="str">
        <f t="shared" ref="R8580:R8643" si="1401">IF($A8580="","",$B8580&amp;" - "&amp;$C8580)</f>
        <v/>
      </c>
      <c r="S8580" t="str">
        <f t="shared" ref="S8580:S8643" si="1402">IF($A8580="","",$R8580&amp;"|"&amp;$Q8580)</f>
        <v/>
      </c>
      <c r="T8580" t="str">
        <f t="shared" ref="T8580:T8643" si="1403">IF($A8580="","",$S8580&amp;"|"&amp;$F8580)</f>
        <v/>
      </c>
      <c r="U8580" t="str">
        <f t="shared" ref="U8580:U8643" si="1404">IF($A8580="","",$R8580&amp;"("&amp;$E8580&amp;")")</f>
        <v/>
      </c>
      <c r="V8580" t="str">
        <f t="shared" ref="V8580:V8643" si="1405">IF($A8580="","",$F8580&amp;"|"&amp;$U8580&amp;"|"&amp;$D8580)</f>
        <v/>
      </c>
      <c r="W8580" t="str">
        <f t="shared" si="1394"/>
        <v/>
      </c>
      <c r="X8580">
        <f t="shared" si="1396"/>
        <v>0</v>
      </c>
      <c r="Z8580" t="str">
        <f t="shared" si="1395"/>
        <v/>
      </c>
      <c r="AA8580">
        <f t="shared" si="1397"/>
        <v>0</v>
      </c>
    </row>
    <row r="8581" spans="1:27" ht="21" customHeight="1" x14ac:dyDescent="0.95">
      <c r="A8581" s="56"/>
      <c r="B8581" s="57"/>
      <c r="C8581" s="57"/>
      <c r="D8581" s="57"/>
      <c r="E8581" s="56"/>
      <c r="F8581" s="57"/>
      <c r="G8581" s="57"/>
      <c r="H8581" s="56"/>
      <c r="I8581" s="56"/>
      <c r="J8581" s="58"/>
      <c r="K8581" s="58"/>
      <c r="L8581" s="13" t="str">
        <f t="shared" si="1398"/>
        <v/>
      </c>
      <c r="M8581" s="13" t="str">
        <f t="shared" si="1399"/>
        <v/>
      </c>
      <c r="Q8581" t="str">
        <f t="shared" si="1400"/>
        <v/>
      </c>
      <c r="R8581" t="str">
        <f t="shared" si="1401"/>
        <v/>
      </c>
      <c r="S8581" t="str">
        <f t="shared" si="1402"/>
        <v/>
      </c>
      <c r="T8581" t="str">
        <f t="shared" si="1403"/>
        <v/>
      </c>
      <c r="U8581" t="str">
        <f t="shared" si="1404"/>
        <v/>
      </c>
      <c r="V8581" t="str">
        <f t="shared" si="1405"/>
        <v/>
      </c>
      <c r="W8581" t="str">
        <f t="shared" si="1394"/>
        <v/>
      </c>
      <c r="X8581">
        <f t="shared" si="1396"/>
        <v>0</v>
      </c>
      <c r="Z8581" t="str">
        <f t="shared" si="1395"/>
        <v/>
      </c>
      <c r="AA8581">
        <f t="shared" si="1397"/>
        <v>0</v>
      </c>
    </row>
    <row r="8582" spans="1:27" ht="21" customHeight="1" x14ac:dyDescent="0.95">
      <c r="A8582" s="56"/>
      <c r="B8582" s="57"/>
      <c r="C8582" s="57"/>
      <c r="D8582" s="57"/>
      <c r="E8582" s="56"/>
      <c r="F8582" s="57"/>
      <c r="G8582" s="57"/>
      <c r="H8582" s="56"/>
      <c r="I8582" s="56"/>
      <c r="J8582" s="58"/>
      <c r="K8582" s="58"/>
      <c r="L8582" s="13" t="str">
        <f t="shared" si="1398"/>
        <v/>
      </c>
      <c r="M8582" s="13" t="str">
        <f t="shared" si="1399"/>
        <v/>
      </c>
      <c r="Q8582" t="str">
        <f t="shared" si="1400"/>
        <v/>
      </c>
      <c r="R8582" t="str">
        <f t="shared" si="1401"/>
        <v/>
      </c>
      <c r="S8582" t="str">
        <f t="shared" si="1402"/>
        <v/>
      </c>
      <c r="T8582" t="str">
        <f t="shared" si="1403"/>
        <v/>
      </c>
      <c r="U8582" t="str">
        <f t="shared" si="1404"/>
        <v/>
      </c>
      <c r="V8582" t="str">
        <f t="shared" si="1405"/>
        <v/>
      </c>
      <c r="W8582" t="str">
        <f t="shared" ref="W8582:W8645" si="1406">IF($T8582="","",IF($X8582&gt;N($X8581),$X8582,""))</f>
        <v/>
      </c>
      <c r="X8582">
        <f t="shared" si="1396"/>
        <v>0</v>
      </c>
      <c r="Z8582" t="str">
        <f t="shared" ref="Z8582:Z8645" si="1407">IF($V8582="","",IF($AA8582&gt;N($AA8581),$AA8582,""))</f>
        <v/>
      </c>
      <c r="AA8582">
        <f t="shared" si="1397"/>
        <v>0</v>
      </c>
    </row>
    <row r="8583" spans="1:27" ht="21" customHeight="1" x14ac:dyDescent="0.95">
      <c r="A8583" s="56"/>
      <c r="B8583" s="57"/>
      <c r="C8583" s="57"/>
      <c r="D8583" s="57"/>
      <c r="E8583" s="56"/>
      <c r="F8583" s="57"/>
      <c r="G8583" s="57"/>
      <c r="H8583" s="56"/>
      <c r="I8583" s="56"/>
      <c r="J8583" s="58"/>
      <c r="K8583" s="58"/>
      <c r="L8583" s="13" t="str">
        <f t="shared" si="1398"/>
        <v/>
      </c>
      <c r="M8583" s="13" t="str">
        <f t="shared" si="1399"/>
        <v/>
      </c>
      <c r="Q8583" t="str">
        <f t="shared" si="1400"/>
        <v/>
      </c>
      <c r="R8583" t="str">
        <f t="shared" si="1401"/>
        <v/>
      </c>
      <c r="S8583" t="str">
        <f t="shared" si="1402"/>
        <v/>
      </c>
      <c r="T8583" t="str">
        <f t="shared" si="1403"/>
        <v/>
      </c>
      <c r="U8583" t="str">
        <f t="shared" si="1404"/>
        <v/>
      </c>
      <c r="V8583" t="str">
        <f t="shared" si="1405"/>
        <v/>
      </c>
      <c r="W8583" t="str">
        <f t="shared" si="1406"/>
        <v/>
      </c>
      <c r="X8583">
        <f t="shared" si="1396"/>
        <v>0</v>
      </c>
      <c r="Z8583" t="str">
        <f t="shared" si="1407"/>
        <v/>
      </c>
      <c r="AA8583">
        <f t="shared" si="1397"/>
        <v>0</v>
      </c>
    </row>
    <row r="8584" spans="1:27" ht="21" customHeight="1" x14ac:dyDescent="0.95">
      <c r="A8584" s="56"/>
      <c r="B8584" s="57"/>
      <c r="C8584" s="57"/>
      <c r="D8584" s="57"/>
      <c r="E8584" s="56"/>
      <c r="F8584" s="57"/>
      <c r="G8584" s="57"/>
      <c r="H8584" s="56"/>
      <c r="I8584" s="56"/>
      <c r="J8584" s="58"/>
      <c r="K8584" s="58"/>
      <c r="L8584" s="13" t="str">
        <f t="shared" si="1398"/>
        <v/>
      </c>
      <c r="M8584" s="13" t="str">
        <f t="shared" si="1399"/>
        <v/>
      </c>
      <c r="Q8584" t="str">
        <f t="shared" si="1400"/>
        <v/>
      </c>
      <c r="R8584" t="str">
        <f t="shared" si="1401"/>
        <v/>
      </c>
      <c r="S8584" t="str">
        <f t="shared" si="1402"/>
        <v/>
      </c>
      <c r="T8584" t="str">
        <f t="shared" si="1403"/>
        <v/>
      </c>
      <c r="U8584" t="str">
        <f t="shared" si="1404"/>
        <v/>
      </c>
      <c r="V8584" t="str">
        <f t="shared" si="1405"/>
        <v/>
      </c>
      <c r="W8584" t="str">
        <f t="shared" si="1406"/>
        <v/>
      </c>
      <c r="X8584">
        <f t="shared" si="1396"/>
        <v>0</v>
      </c>
      <c r="Z8584" t="str">
        <f t="shared" si="1407"/>
        <v/>
      </c>
      <c r="AA8584">
        <f t="shared" si="1397"/>
        <v>0</v>
      </c>
    </row>
    <row r="8585" spans="1:27" ht="21" customHeight="1" x14ac:dyDescent="0.95">
      <c r="A8585" s="56"/>
      <c r="B8585" s="57"/>
      <c r="C8585" s="57"/>
      <c r="D8585" s="57"/>
      <c r="E8585" s="56"/>
      <c r="F8585" s="57"/>
      <c r="G8585" s="57"/>
      <c r="H8585" s="56"/>
      <c r="I8585" s="56"/>
      <c r="J8585" s="58"/>
      <c r="K8585" s="58"/>
      <c r="L8585" s="13" t="str">
        <f t="shared" si="1398"/>
        <v/>
      </c>
      <c r="M8585" s="13" t="str">
        <f t="shared" si="1399"/>
        <v/>
      </c>
      <c r="Q8585" t="str">
        <f t="shared" si="1400"/>
        <v/>
      </c>
      <c r="R8585" t="str">
        <f t="shared" si="1401"/>
        <v/>
      </c>
      <c r="S8585" t="str">
        <f t="shared" si="1402"/>
        <v/>
      </c>
      <c r="T8585" t="str">
        <f t="shared" si="1403"/>
        <v/>
      </c>
      <c r="U8585" t="str">
        <f t="shared" si="1404"/>
        <v/>
      </c>
      <c r="V8585" t="str">
        <f t="shared" si="1405"/>
        <v/>
      </c>
      <c r="W8585" t="str">
        <f t="shared" si="1406"/>
        <v/>
      </c>
      <c r="X8585">
        <f t="shared" si="1396"/>
        <v>0</v>
      </c>
      <c r="Z8585" t="str">
        <f t="shared" si="1407"/>
        <v/>
      </c>
      <c r="AA8585">
        <f t="shared" si="1397"/>
        <v>0</v>
      </c>
    </row>
    <row r="8586" spans="1:27" ht="21" customHeight="1" x14ac:dyDescent="0.95">
      <c r="A8586" s="56"/>
      <c r="B8586" s="57"/>
      <c r="C8586" s="57"/>
      <c r="D8586" s="57"/>
      <c r="E8586" s="56"/>
      <c r="F8586" s="57"/>
      <c r="G8586" s="57"/>
      <c r="H8586" s="56"/>
      <c r="I8586" s="56"/>
      <c r="J8586" s="58"/>
      <c r="K8586" s="58"/>
      <c r="L8586" s="13" t="str">
        <f t="shared" si="1398"/>
        <v/>
      </c>
      <c r="M8586" s="13" t="str">
        <f t="shared" si="1399"/>
        <v/>
      </c>
      <c r="Q8586" t="str">
        <f t="shared" si="1400"/>
        <v/>
      </c>
      <c r="R8586" t="str">
        <f t="shared" si="1401"/>
        <v/>
      </c>
      <c r="S8586" t="str">
        <f t="shared" si="1402"/>
        <v/>
      </c>
      <c r="T8586" t="str">
        <f t="shared" si="1403"/>
        <v/>
      </c>
      <c r="U8586" t="str">
        <f t="shared" si="1404"/>
        <v/>
      </c>
      <c r="V8586" t="str">
        <f t="shared" si="1405"/>
        <v/>
      </c>
      <c r="W8586" t="str">
        <f t="shared" si="1406"/>
        <v/>
      </c>
      <c r="X8586">
        <f t="shared" si="1396"/>
        <v>0</v>
      </c>
      <c r="Z8586" t="str">
        <f t="shared" si="1407"/>
        <v/>
      </c>
      <c r="AA8586">
        <f t="shared" si="1397"/>
        <v>0</v>
      </c>
    </row>
    <row r="8587" spans="1:27" ht="21" customHeight="1" x14ac:dyDescent="0.95">
      <c r="A8587" s="56"/>
      <c r="B8587" s="57"/>
      <c r="C8587" s="57"/>
      <c r="D8587" s="57"/>
      <c r="E8587" s="56"/>
      <c r="F8587" s="57"/>
      <c r="G8587" s="57"/>
      <c r="H8587" s="56"/>
      <c r="I8587" s="56"/>
      <c r="J8587" s="58"/>
      <c r="K8587" s="58"/>
      <c r="L8587" s="13" t="str">
        <f t="shared" si="1398"/>
        <v/>
      </c>
      <c r="M8587" s="13" t="str">
        <f t="shared" si="1399"/>
        <v/>
      </c>
      <c r="Q8587" t="str">
        <f t="shared" si="1400"/>
        <v/>
      </c>
      <c r="R8587" t="str">
        <f t="shared" si="1401"/>
        <v/>
      </c>
      <c r="S8587" t="str">
        <f t="shared" si="1402"/>
        <v/>
      </c>
      <c r="T8587" t="str">
        <f t="shared" si="1403"/>
        <v/>
      </c>
      <c r="U8587" t="str">
        <f t="shared" si="1404"/>
        <v/>
      </c>
      <c r="V8587" t="str">
        <f t="shared" si="1405"/>
        <v/>
      </c>
      <c r="W8587" t="str">
        <f t="shared" si="1406"/>
        <v/>
      </c>
      <c r="X8587">
        <f t="shared" si="1396"/>
        <v>0</v>
      </c>
      <c r="Z8587" t="str">
        <f t="shared" si="1407"/>
        <v/>
      </c>
      <c r="AA8587">
        <f t="shared" si="1397"/>
        <v>0</v>
      </c>
    </row>
    <row r="8588" spans="1:27" ht="21" customHeight="1" x14ac:dyDescent="0.95">
      <c r="A8588" s="56"/>
      <c r="B8588" s="57"/>
      <c r="C8588" s="57"/>
      <c r="D8588" s="57"/>
      <c r="E8588" s="56"/>
      <c r="F8588" s="57"/>
      <c r="G8588" s="57"/>
      <c r="H8588" s="56"/>
      <c r="I8588" s="56"/>
      <c r="J8588" s="58"/>
      <c r="K8588" s="58"/>
      <c r="L8588" s="13" t="str">
        <f t="shared" si="1398"/>
        <v/>
      </c>
      <c r="M8588" s="13" t="str">
        <f t="shared" si="1399"/>
        <v/>
      </c>
      <c r="Q8588" t="str">
        <f t="shared" si="1400"/>
        <v/>
      </c>
      <c r="R8588" t="str">
        <f t="shared" si="1401"/>
        <v/>
      </c>
      <c r="S8588" t="str">
        <f t="shared" si="1402"/>
        <v/>
      </c>
      <c r="T8588" t="str">
        <f t="shared" si="1403"/>
        <v/>
      </c>
      <c r="U8588" t="str">
        <f t="shared" si="1404"/>
        <v/>
      </c>
      <c r="V8588" t="str">
        <f t="shared" si="1405"/>
        <v/>
      </c>
      <c r="W8588" t="str">
        <f t="shared" si="1406"/>
        <v/>
      </c>
      <c r="X8588">
        <f t="shared" si="1396"/>
        <v>0</v>
      </c>
      <c r="Z8588" t="str">
        <f t="shared" si="1407"/>
        <v/>
      </c>
      <c r="AA8588">
        <f t="shared" si="1397"/>
        <v>0</v>
      </c>
    </row>
    <row r="8589" spans="1:27" ht="21" customHeight="1" x14ac:dyDescent="0.95">
      <c r="A8589" s="56"/>
      <c r="B8589" s="57"/>
      <c r="C8589" s="57"/>
      <c r="D8589" s="57"/>
      <c r="E8589" s="56"/>
      <c r="F8589" s="57"/>
      <c r="G8589" s="57"/>
      <c r="H8589" s="56"/>
      <c r="I8589" s="56"/>
      <c r="J8589" s="58"/>
      <c r="K8589" s="58"/>
      <c r="L8589" s="13" t="str">
        <f t="shared" si="1398"/>
        <v/>
      </c>
      <c r="M8589" s="13" t="str">
        <f t="shared" si="1399"/>
        <v/>
      </c>
      <c r="Q8589" t="str">
        <f t="shared" si="1400"/>
        <v/>
      </c>
      <c r="R8589" t="str">
        <f t="shared" si="1401"/>
        <v/>
      </c>
      <c r="S8589" t="str">
        <f t="shared" si="1402"/>
        <v/>
      </c>
      <c r="T8589" t="str">
        <f t="shared" si="1403"/>
        <v/>
      </c>
      <c r="U8589" t="str">
        <f t="shared" si="1404"/>
        <v/>
      </c>
      <c r="V8589" t="str">
        <f t="shared" si="1405"/>
        <v/>
      </c>
      <c r="W8589" t="str">
        <f t="shared" si="1406"/>
        <v/>
      </c>
      <c r="X8589">
        <f t="shared" si="1396"/>
        <v>0</v>
      </c>
      <c r="Z8589" t="str">
        <f t="shared" si="1407"/>
        <v/>
      </c>
      <c r="AA8589">
        <f t="shared" si="1397"/>
        <v>0</v>
      </c>
    </row>
    <row r="8590" spans="1:27" ht="21" customHeight="1" x14ac:dyDescent="0.95">
      <c r="A8590" s="56"/>
      <c r="B8590" s="57"/>
      <c r="C8590" s="57"/>
      <c r="D8590" s="57"/>
      <c r="E8590" s="56"/>
      <c r="F8590" s="57"/>
      <c r="G8590" s="57"/>
      <c r="H8590" s="56"/>
      <c r="I8590" s="56"/>
      <c r="J8590" s="58"/>
      <c r="K8590" s="58"/>
      <c r="L8590" s="13" t="str">
        <f t="shared" si="1398"/>
        <v/>
      </c>
      <c r="M8590" s="13" t="str">
        <f t="shared" si="1399"/>
        <v/>
      </c>
      <c r="Q8590" t="str">
        <f t="shared" si="1400"/>
        <v/>
      </c>
      <c r="R8590" t="str">
        <f t="shared" si="1401"/>
        <v/>
      </c>
      <c r="S8590" t="str">
        <f t="shared" si="1402"/>
        <v/>
      </c>
      <c r="T8590" t="str">
        <f t="shared" si="1403"/>
        <v/>
      </c>
      <c r="U8590" t="str">
        <f t="shared" si="1404"/>
        <v/>
      </c>
      <c r="V8590" t="str">
        <f t="shared" si="1405"/>
        <v/>
      </c>
      <c r="W8590" t="str">
        <f t="shared" si="1406"/>
        <v/>
      </c>
      <c r="X8590">
        <f t="shared" si="1396"/>
        <v>0</v>
      </c>
      <c r="Z8590" t="str">
        <f t="shared" si="1407"/>
        <v/>
      </c>
      <c r="AA8590">
        <f t="shared" si="1397"/>
        <v>0</v>
      </c>
    </row>
    <row r="8591" spans="1:27" ht="21" customHeight="1" x14ac:dyDescent="0.95">
      <c r="A8591" s="56"/>
      <c r="B8591" s="57"/>
      <c r="C8591" s="57"/>
      <c r="D8591" s="57"/>
      <c r="E8591" s="56"/>
      <c r="F8591" s="57"/>
      <c r="G8591" s="57"/>
      <c r="H8591" s="56"/>
      <c r="I8591" s="56"/>
      <c r="J8591" s="58"/>
      <c r="K8591" s="58"/>
      <c r="L8591" s="13" t="str">
        <f t="shared" si="1398"/>
        <v/>
      </c>
      <c r="M8591" s="13" t="str">
        <f t="shared" si="1399"/>
        <v/>
      </c>
      <c r="Q8591" t="str">
        <f t="shared" si="1400"/>
        <v/>
      </c>
      <c r="R8591" t="str">
        <f t="shared" si="1401"/>
        <v/>
      </c>
      <c r="S8591" t="str">
        <f t="shared" si="1402"/>
        <v/>
      </c>
      <c r="T8591" t="str">
        <f t="shared" si="1403"/>
        <v/>
      </c>
      <c r="U8591" t="str">
        <f t="shared" si="1404"/>
        <v/>
      </c>
      <c r="V8591" t="str">
        <f t="shared" si="1405"/>
        <v/>
      </c>
      <c r="W8591" t="str">
        <f t="shared" si="1406"/>
        <v/>
      </c>
      <c r="X8591">
        <f t="shared" si="1396"/>
        <v>0</v>
      </c>
      <c r="Z8591" t="str">
        <f t="shared" si="1407"/>
        <v/>
      </c>
      <c r="AA8591">
        <f t="shared" si="1397"/>
        <v>0</v>
      </c>
    </row>
    <row r="8592" spans="1:27" ht="21" customHeight="1" x14ac:dyDescent="0.95">
      <c r="A8592" s="56"/>
      <c r="B8592" s="57"/>
      <c r="C8592" s="57"/>
      <c r="D8592" s="57"/>
      <c r="E8592" s="56"/>
      <c r="F8592" s="57"/>
      <c r="G8592" s="57"/>
      <c r="H8592" s="56"/>
      <c r="I8592" s="56"/>
      <c r="J8592" s="58"/>
      <c r="K8592" s="58"/>
      <c r="L8592" s="13" t="str">
        <f t="shared" si="1398"/>
        <v/>
      </c>
      <c r="M8592" s="13" t="str">
        <f t="shared" si="1399"/>
        <v/>
      </c>
      <c r="Q8592" t="str">
        <f t="shared" si="1400"/>
        <v/>
      </c>
      <c r="R8592" t="str">
        <f t="shared" si="1401"/>
        <v/>
      </c>
      <c r="S8592" t="str">
        <f t="shared" si="1402"/>
        <v/>
      </c>
      <c r="T8592" t="str">
        <f t="shared" si="1403"/>
        <v/>
      </c>
      <c r="U8592" t="str">
        <f t="shared" si="1404"/>
        <v/>
      </c>
      <c r="V8592" t="str">
        <f t="shared" si="1405"/>
        <v/>
      </c>
      <c r="W8592" t="str">
        <f t="shared" si="1406"/>
        <v/>
      </c>
      <c r="X8592">
        <f t="shared" si="1396"/>
        <v>0</v>
      </c>
      <c r="Z8592" t="str">
        <f t="shared" si="1407"/>
        <v/>
      </c>
      <c r="AA8592">
        <f t="shared" si="1397"/>
        <v>0</v>
      </c>
    </row>
    <row r="8593" spans="1:27" ht="21" customHeight="1" x14ac:dyDescent="0.95">
      <c r="A8593" s="56"/>
      <c r="B8593" s="57"/>
      <c r="C8593" s="57"/>
      <c r="D8593" s="57"/>
      <c r="E8593" s="56"/>
      <c r="F8593" s="57"/>
      <c r="G8593" s="57"/>
      <c r="H8593" s="56"/>
      <c r="I8593" s="56"/>
      <c r="J8593" s="58"/>
      <c r="K8593" s="58"/>
      <c r="L8593" s="13" t="str">
        <f t="shared" si="1398"/>
        <v/>
      </c>
      <c r="M8593" s="13" t="str">
        <f t="shared" si="1399"/>
        <v/>
      </c>
      <c r="Q8593" t="str">
        <f t="shared" si="1400"/>
        <v/>
      </c>
      <c r="R8593" t="str">
        <f t="shared" si="1401"/>
        <v/>
      </c>
      <c r="S8593" t="str">
        <f t="shared" si="1402"/>
        <v/>
      </c>
      <c r="T8593" t="str">
        <f t="shared" si="1403"/>
        <v/>
      </c>
      <c r="U8593" t="str">
        <f t="shared" si="1404"/>
        <v/>
      </c>
      <c r="V8593" t="str">
        <f t="shared" si="1405"/>
        <v/>
      </c>
      <c r="W8593" t="str">
        <f t="shared" si="1406"/>
        <v/>
      </c>
      <c r="X8593">
        <f t="shared" si="1396"/>
        <v>0</v>
      </c>
      <c r="Z8593" t="str">
        <f t="shared" si="1407"/>
        <v/>
      </c>
      <c r="AA8593">
        <f t="shared" si="1397"/>
        <v>0</v>
      </c>
    </row>
    <row r="8594" spans="1:27" ht="21" customHeight="1" x14ac:dyDescent="0.95">
      <c r="A8594" s="56"/>
      <c r="B8594" s="57"/>
      <c r="C8594" s="57"/>
      <c r="D8594" s="57"/>
      <c r="E8594" s="56"/>
      <c r="F8594" s="57"/>
      <c r="G8594" s="57"/>
      <c r="H8594" s="56"/>
      <c r="I8594" s="56"/>
      <c r="J8594" s="58"/>
      <c r="K8594" s="58"/>
      <c r="L8594" s="13" t="str">
        <f t="shared" si="1398"/>
        <v/>
      </c>
      <c r="M8594" s="13" t="str">
        <f t="shared" si="1399"/>
        <v/>
      </c>
      <c r="Q8594" t="str">
        <f t="shared" si="1400"/>
        <v/>
      </c>
      <c r="R8594" t="str">
        <f t="shared" si="1401"/>
        <v/>
      </c>
      <c r="S8594" t="str">
        <f t="shared" si="1402"/>
        <v/>
      </c>
      <c r="T8594" t="str">
        <f t="shared" si="1403"/>
        <v/>
      </c>
      <c r="U8594" t="str">
        <f t="shared" si="1404"/>
        <v/>
      </c>
      <c r="V8594" t="str">
        <f t="shared" si="1405"/>
        <v/>
      </c>
      <c r="W8594" t="str">
        <f t="shared" si="1406"/>
        <v/>
      </c>
      <c r="X8594">
        <f t="shared" si="1396"/>
        <v>0</v>
      </c>
      <c r="Z8594" t="str">
        <f t="shared" si="1407"/>
        <v/>
      </c>
      <c r="AA8594">
        <f t="shared" si="1397"/>
        <v>0</v>
      </c>
    </row>
    <row r="8595" spans="1:27" ht="21" customHeight="1" x14ac:dyDescent="0.95">
      <c r="A8595" s="56"/>
      <c r="B8595" s="57"/>
      <c r="C8595" s="57"/>
      <c r="D8595" s="57"/>
      <c r="E8595" s="56"/>
      <c r="F8595" s="57"/>
      <c r="G8595" s="57"/>
      <c r="H8595" s="56"/>
      <c r="I8595" s="56"/>
      <c r="J8595" s="58"/>
      <c r="K8595" s="58"/>
      <c r="L8595" s="13" t="str">
        <f t="shared" si="1398"/>
        <v/>
      </c>
      <c r="M8595" s="13" t="str">
        <f t="shared" si="1399"/>
        <v/>
      </c>
      <c r="Q8595" t="str">
        <f t="shared" si="1400"/>
        <v/>
      </c>
      <c r="R8595" t="str">
        <f t="shared" si="1401"/>
        <v/>
      </c>
      <c r="S8595" t="str">
        <f t="shared" si="1402"/>
        <v/>
      </c>
      <c r="T8595" t="str">
        <f t="shared" si="1403"/>
        <v/>
      </c>
      <c r="U8595" t="str">
        <f t="shared" si="1404"/>
        <v/>
      </c>
      <c r="V8595" t="str">
        <f t="shared" si="1405"/>
        <v/>
      </c>
      <c r="W8595" t="str">
        <f t="shared" si="1406"/>
        <v/>
      </c>
      <c r="X8595">
        <f t="shared" si="1396"/>
        <v>0</v>
      </c>
      <c r="Z8595" t="str">
        <f t="shared" si="1407"/>
        <v/>
      </c>
      <c r="AA8595">
        <f t="shared" si="1397"/>
        <v>0</v>
      </c>
    </row>
    <row r="8596" spans="1:27" ht="21" customHeight="1" x14ac:dyDescent="0.95">
      <c r="A8596" s="56"/>
      <c r="B8596" s="57"/>
      <c r="C8596" s="57"/>
      <c r="D8596" s="57"/>
      <c r="E8596" s="56"/>
      <c r="F8596" s="57"/>
      <c r="G8596" s="57"/>
      <c r="H8596" s="56"/>
      <c r="I8596" s="56"/>
      <c r="J8596" s="58"/>
      <c r="K8596" s="58"/>
      <c r="L8596" s="13" t="str">
        <f t="shared" si="1398"/>
        <v/>
      </c>
      <c r="M8596" s="13" t="str">
        <f t="shared" si="1399"/>
        <v/>
      </c>
      <c r="Q8596" t="str">
        <f t="shared" si="1400"/>
        <v/>
      </c>
      <c r="R8596" t="str">
        <f t="shared" si="1401"/>
        <v/>
      </c>
      <c r="S8596" t="str">
        <f t="shared" si="1402"/>
        <v/>
      </c>
      <c r="T8596" t="str">
        <f t="shared" si="1403"/>
        <v/>
      </c>
      <c r="U8596" t="str">
        <f t="shared" si="1404"/>
        <v/>
      </c>
      <c r="V8596" t="str">
        <f t="shared" si="1405"/>
        <v/>
      </c>
      <c r="W8596" t="str">
        <f t="shared" si="1406"/>
        <v/>
      </c>
      <c r="X8596">
        <f t="shared" si="1396"/>
        <v>0</v>
      </c>
      <c r="Z8596" t="str">
        <f t="shared" si="1407"/>
        <v/>
      </c>
      <c r="AA8596">
        <f t="shared" si="1397"/>
        <v>0</v>
      </c>
    </row>
    <row r="8597" spans="1:27" ht="21" customHeight="1" x14ac:dyDescent="0.95">
      <c r="A8597" s="56"/>
      <c r="B8597" s="57"/>
      <c r="C8597" s="57"/>
      <c r="D8597" s="57"/>
      <c r="E8597" s="56"/>
      <c r="F8597" s="57"/>
      <c r="G8597" s="57"/>
      <c r="H8597" s="56"/>
      <c r="I8597" s="56"/>
      <c r="J8597" s="58"/>
      <c r="K8597" s="58"/>
      <c r="L8597" s="13" t="str">
        <f t="shared" si="1398"/>
        <v/>
      </c>
      <c r="M8597" s="13" t="str">
        <f t="shared" si="1399"/>
        <v/>
      </c>
      <c r="Q8597" t="str">
        <f t="shared" si="1400"/>
        <v/>
      </c>
      <c r="R8597" t="str">
        <f t="shared" si="1401"/>
        <v/>
      </c>
      <c r="S8597" t="str">
        <f t="shared" si="1402"/>
        <v/>
      </c>
      <c r="T8597" t="str">
        <f t="shared" si="1403"/>
        <v/>
      </c>
      <c r="U8597" t="str">
        <f t="shared" si="1404"/>
        <v/>
      </c>
      <c r="V8597" t="str">
        <f t="shared" si="1405"/>
        <v/>
      </c>
      <c r="W8597" t="str">
        <f t="shared" si="1406"/>
        <v/>
      </c>
      <c r="X8597">
        <f t="shared" si="1396"/>
        <v>0</v>
      </c>
      <c r="Z8597" t="str">
        <f t="shared" si="1407"/>
        <v/>
      </c>
      <c r="AA8597">
        <f t="shared" si="1397"/>
        <v>0</v>
      </c>
    </row>
    <row r="8598" spans="1:27" ht="21" customHeight="1" x14ac:dyDescent="0.95">
      <c r="A8598" s="56"/>
      <c r="B8598" s="57"/>
      <c r="C8598" s="57"/>
      <c r="D8598" s="57"/>
      <c r="E8598" s="56"/>
      <c r="F8598" s="57"/>
      <c r="G8598" s="57"/>
      <c r="H8598" s="56"/>
      <c r="I8598" s="56"/>
      <c r="J8598" s="58"/>
      <c r="K8598" s="58"/>
      <c r="L8598" s="13" t="str">
        <f t="shared" si="1398"/>
        <v/>
      </c>
      <c r="M8598" s="13" t="str">
        <f t="shared" si="1399"/>
        <v/>
      </c>
      <c r="Q8598" t="str">
        <f t="shared" si="1400"/>
        <v/>
      </c>
      <c r="R8598" t="str">
        <f t="shared" si="1401"/>
        <v/>
      </c>
      <c r="S8598" t="str">
        <f t="shared" si="1402"/>
        <v/>
      </c>
      <c r="T8598" t="str">
        <f t="shared" si="1403"/>
        <v/>
      </c>
      <c r="U8598" t="str">
        <f t="shared" si="1404"/>
        <v/>
      </c>
      <c r="V8598" t="str">
        <f t="shared" si="1405"/>
        <v/>
      </c>
      <c r="W8598" t="str">
        <f t="shared" si="1406"/>
        <v/>
      </c>
      <c r="X8598">
        <f t="shared" si="1396"/>
        <v>0</v>
      </c>
      <c r="Z8598" t="str">
        <f t="shared" si="1407"/>
        <v/>
      </c>
      <c r="AA8598">
        <f t="shared" si="1397"/>
        <v>0</v>
      </c>
    </row>
    <row r="8599" spans="1:27" ht="21" customHeight="1" x14ac:dyDescent="0.95">
      <c r="A8599" s="56"/>
      <c r="B8599" s="57"/>
      <c r="C8599" s="57"/>
      <c r="D8599" s="57"/>
      <c r="E8599" s="56"/>
      <c r="F8599" s="57"/>
      <c r="G8599" s="57"/>
      <c r="H8599" s="56"/>
      <c r="I8599" s="56"/>
      <c r="J8599" s="58"/>
      <c r="K8599" s="58"/>
      <c r="L8599" s="13" t="str">
        <f t="shared" si="1398"/>
        <v/>
      </c>
      <c r="M8599" s="13" t="str">
        <f t="shared" si="1399"/>
        <v/>
      </c>
      <c r="Q8599" t="str">
        <f t="shared" si="1400"/>
        <v/>
      </c>
      <c r="R8599" t="str">
        <f t="shared" si="1401"/>
        <v/>
      </c>
      <c r="S8599" t="str">
        <f t="shared" si="1402"/>
        <v/>
      </c>
      <c r="T8599" t="str">
        <f t="shared" si="1403"/>
        <v/>
      </c>
      <c r="U8599" t="str">
        <f t="shared" si="1404"/>
        <v/>
      </c>
      <c r="V8599" t="str">
        <f t="shared" si="1405"/>
        <v/>
      </c>
      <c r="W8599" t="str">
        <f t="shared" si="1406"/>
        <v/>
      </c>
      <c r="X8599">
        <f t="shared" si="1396"/>
        <v>0</v>
      </c>
      <c r="Z8599" t="str">
        <f t="shared" si="1407"/>
        <v/>
      </c>
      <c r="AA8599">
        <f t="shared" si="1397"/>
        <v>0</v>
      </c>
    </row>
    <row r="8600" spans="1:27" ht="21" customHeight="1" x14ac:dyDescent="0.95">
      <c r="A8600" s="56"/>
      <c r="B8600" s="57"/>
      <c r="C8600" s="57"/>
      <c r="D8600" s="57"/>
      <c r="E8600" s="56"/>
      <c r="F8600" s="57"/>
      <c r="G8600" s="57"/>
      <c r="H8600" s="56"/>
      <c r="I8600" s="56"/>
      <c r="J8600" s="58"/>
      <c r="K8600" s="58"/>
      <c r="L8600" s="13" t="str">
        <f t="shared" si="1398"/>
        <v/>
      </c>
      <c r="M8600" s="13" t="str">
        <f t="shared" si="1399"/>
        <v/>
      </c>
      <c r="Q8600" t="str">
        <f t="shared" si="1400"/>
        <v/>
      </c>
      <c r="R8600" t="str">
        <f t="shared" si="1401"/>
        <v/>
      </c>
      <c r="S8600" t="str">
        <f t="shared" si="1402"/>
        <v/>
      </c>
      <c r="T8600" t="str">
        <f t="shared" si="1403"/>
        <v/>
      </c>
      <c r="U8600" t="str">
        <f t="shared" si="1404"/>
        <v/>
      </c>
      <c r="V8600" t="str">
        <f t="shared" si="1405"/>
        <v/>
      </c>
      <c r="W8600" t="str">
        <f t="shared" si="1406"/>
        <v/>
      </c>
      <c r="X8600">
        <f t="shared" si="1396"/>
        <v>0</v>
      </c>
      <c r="Z8600" t="str">
        <f t="shared" si="1407"/>
        <v/>
      </c>
      <c r="AA8600">
        <f t="shared" si="1397"/>
        <v>0</v>
      </c>
    </row>
    <row r="8601" spans="1:27" ht="21" customHeight="1" x14ac:dyDescent="0.95">
      <c r="A8601" s="56"/>
      <c r="B8601" s="57"/>
      <c r="C8601" s="57"/>
      <c r="D8601" s="57"/>
      <c r="E8601" s="56"/>
      <c r="F8601" s="57"/>
      <c r="G8601" s="57"/>
      <c r="H8601" s="56"/>
      <c r="I8601" s="56"/>
      <c r="J8601" s="58"/>
      <c r="K8601" s="58"/>
      <c r="L8601" s="13" t="str">
        <f t="shared" si="1398"/>
        <v/>
      </c>
      <c r="M8601" s="13" t="str">
        <f t="shared" si="1399"/>
        <v/>
      </c>
      <c r="Q8601" t="str">
        <f t="shared" si="1400"/>
        <v/>
      </c>
      <c r="R8601" t="str">
        <f t="shared" si="1401"/>
        <v/>
      </c>
      <c r="S8601" t="str">
        <f t="shared" si="1402"/>
        <v/>
      </c>
      <c r="T8601" t="str">
        <f t="shared" si="1403"/>
        <v/>
      </c>
      <c r="U8601" t="str">
        <f t="shared" si="1404"/>
        <v/>
      </c>
      <c r="V8601" t="str">
        <f t="shared" si="1405"/>
        <v/>
      </c>
      <c r="W8601" t="str">
        <f t="shared" si="1406"/>
        <v/>
      </c>
      <c r="X8601">
        <f t="shared" si="1396"/>
        <v>0</v>
      </c>
      <c r="Z8601" t="str">
        <f t="shared" si="1407"/>
        <v/>
      </c>
      <c r="AA8601">
        <f t="shared" si="1397"/>
        <v>0</v>
      </c>
    </row>
    <row r="8602" spans="1:27" ht="21" customHeight="1" x14ac:dyDescent="0.95">
      <c r="A8602" s="56"/>
      <c r="B8602" s="57"/>
      <c r="C8602" s="57"/>
      <c r="D8602" s="57"/>
      <c r="E8602" s="56"/>
      <c r="F8602" s="57"/>
      <c r="G8602" s="57"/>
      <c r="H8602" s="56"/>
      <c r="I8602" s="56"/>
      <c r="J8602" s="58"/>
      <c r="K8602" s="58"/>
      <c r="L8602" s="13" t="str">
        <f t="shared" si="1398"/>
        <v/>
      </c>
      <c r="M8602" s="13" t="str">
        <f t="shared" si="1399"/>
        <v/>
      </c>
      <c r="Q8602" t="str">
        <f t="shared" si="1400"/>
        <v/>
      </c>
      <c r="R8602" t="str">
        <f t="shared" si="1401"/>
        <v/>
      </c>
      <c r="S8602" t="str">
        <f t="shared" si="1402"/>
        <v/>
      </c>
      <c r="T8602" t="str">
        <f t="shared" si="1403"/>
        <v/>
      </c>
      <c r="U8602" t="str">
        <f t="shared" si="1404"/>
        <v/>
      </c>
      <c r="V8602" t="str">
        <f t="shared" si="1405"/>
        <v/>
      </c>
      <c r="W8602" t="str">
        <f t="shared" si="1406"/>
        <v/>
      </c>
      <c r="X8602">
        <f t="shared" si="1396"/>
        <v>0</v>
      </c>
      <c r="Z8602" t="str">
        <f t="shared" si="1407"/>
        <v/>
      </c>
      <c r="AA8602">
        <f t="shared" si="1397"/>
        <v>0</v>
      </c>
    </row>
    <row r="8603" spans="1:27" ht="21" customHeight="1" x14ac:dyDescent="0.95">
      <c r="A8603" s="56"/>
      <c r="B8603" s="57"/>
      <c r="C8603" s="57"/>
      <c r="D8603" s="57"/>
      <c r="E8603" s="56"/>
      <c r="F8603" s="57"/>
      <c r="G8603" s="57"/>
      <c r="H8603" s="56"/>
      <c r="I8603" s="56"/>
      <c r="J8603" s="58"/>
      <c r="K8603" s="58"/>
      <c r="L8603" s="13" t="str">
        <f t="shared" si="1398"/>
        <v/>
      </c>
      <c r="M8603" s="13" t="str">
        <f t="shared" si="1399"/>
        <v/>
      </c>
      <c r="Q8603" t="str">
        <f t="shared" si="1400"/>
        <v/>
      </c>
      <c r="R8603" t="str">
        <f t="shared" si="1401"/>
        <v/>
      </c>
      <c r="S8603" t="str">
        <f t="shared" si="1402"/>
        <v/>
      </c>
      <c r="T8603" t="str">
        <f t="shared" si="1403"/>
        <v/>
      </c>
      <c r="U8603" t="str">
        <f t="shared" si="1404"/>
        <v/>
      </c>
      <c r="V8603" t="str">
        <f t="shared" si="1405"/>
        <v/>
      </c>
      <c r="W8603" t="str">
        <f t="shared" si="1406"/>
        <v/>
      </c>
      <c r="X8603">
        <f t="shared" si="1396"/>
        <v>0</v>
      </c>
      <c r="Z8603" t="str">
        <f t="shared" si="1407"/>
        <v/>
      </c>
      <c r="AA8603">
        <f t="shared" si="1397"/>
        <v>0</v>
      </c>
    </row>
    <row r="8604" spans="1:27" ht="21" customHeight="1" x14ac:dyDescent="0.95">
      <c r="A8604" s="56"/>
      <c r="B8604" s="57"/>
      <c r="C8604" s="57"/>
      <c r="D8604" s="57"/>
      <c r="E8604" s="56"/>
      <c r="F8604" s="57"/>
      <c r="G8604" s="57"/>
      <c r="H8604" s="56"/>
      <c r="I8604" s="56"/>
      <c r="J8604" s="58"/>
      <c r="K8604" s="58"/>
      <c r="L8604" s="13" t="str">
        <f t="shared" si="1398"/>
        <v/>
      </c>
      <c r="M8604" s="13" t="str">
        <f t="shared" si="1399"/>
        <v/>
      </c>
      <c r="Q8604" t="str">
        <f t="shared" si="1400"/>
        <v/>
      </c>
      <c r="R8604" t="str">
        <f t="shared" si="1401"/>
        <v/>
      </c>
      <c r="S8604" t="str">
        <f t="shared" si="1402"/>
        <v/>
      </c>
      <c r="T8604" t="str">
        <f t="shared" si="1403"/>
        <v/>
      </c>
      <c r="U8604" t="str">
        <f t="shared" si="1404"/>
        <v/>
      </c>
      <c r="V8604" t="str">
        <f t="shared" si="1405"/>
        <v/>
      </c>
      <c r="W8604" t="str">
        <f t="shared" si="1406"/>
        <v/>
      </c>
      <c r="X8604">
        <f t="shared" si="1396"/>
        <v>0</v>
      </c>
      <c r="Z8604" t="str">
        <f t="shared" si="1407"/>
        <v/>
      </c>
      <c r="AA8604">
        <f t="shared" si="1397"/>
        <v>0</v>
      </c>
    </row>
    <row r="8605" spans="1:27" ht="21" customHeight="1" x14ac:dyDescent="0.95">
      <c r="A8605" s="56"/>
      <c r="B8605" s="57"/>
      <c r="C8605" s="57"/>
      <c r="D8605" s="57"/>
      <c r="E8605" s="56"/>
      <c r="F8605" s="57"/>
      <c r="G8605" s="57"/>
      <c r="H8605" s="56"/>
      <c r="I8605" s="56"/>
      <c r="J8605" s="58"/>
      <c r="K8605" s="58"/>
      <c r="L8605" s="13" t="str">
        <f t="shared" si="1398"/>
        <v/>
      </c>
      <c r="M8605" s="13" t="str">
        <f t="shared" si="1399"/>
        <v/>
      </c>
      <c r="Q8605" t="str">
        <f t="shared" si="1400"/>
        <v/>
      </c>
      <c r="R8605" t="str">
        <f t="shared" si="1401"/>
        <v/>
      </c>
      <c r="S8605" t="str">
        <f t="shared" si="1402"/>
        <v/>
      </c>
      <c r="T8605" t="str">
        <f t="shared" si="1403"/>
        <v/>
      </c>
      <c r="U8605" t="str">
        <f t="shared" si="1404"/>
        <v/>
      </c>
      <c r="V8605" t="str">
        <f t="shared" si="1405"/>
        <v/>
      </c>
      <c r="W8605" t="str">
        <f t="shared" si="1406"/>
        <v/>
      </c>
      <c r="X8605">
        <f t="shared" si="1396"/>
        <v>0</v>
      </c>
      <c r="Z8605" t="str">
        <f t="shared" si="1407"/>
        <v/>
      </c>
      <c r="AA8605">
        <f t="shared" si="1397"/>
        <v>0</v>
      </c>
    </row>
    <row r="8606" spans="1:27" ht="21" customHeight="1" x14ac:dyDescent="0.95">
      <c r="A8606" s="56"/>
      <c r="B8606" s="57"/>
      <c r="C8606" s="57"/>
      <c r="D8606" s="57"/>
      <c r="E8606" s="56"/>
      <c r="F8606" s="57"/>
      <c r="G8606" s="57"/>
      <c r="H8606" s="56"/>
      <c r="I8606" s="56"/>
      <c r="J8606" s="58"/>
      <c r="K8606" s="58"/>
      <c r="L8606" s="13" t="str">
        <f t="shared" si="1398"/>
        <v/>
      </c>
      <c r="M8606" s="13" t="str">
        <f t="shared" si="1399"/>
        <v/>
      </c>
      <c r="Q8606" t="str">
        <f t="shared" si="1400"/>
        <v/>
      </c>
      <c r="R8606" t="str">
        <f t="shared" si="1401"/>
        <v/>
      </c>
      <c r="S8606" t="str">
        <f t="shared" si="1402"/>
        <v/>
      </c>
      <c r="T8606" t="str">
        <f t="shared" si="1403"/>
        <v/>
      </c>
      <c r="U8606" t="str">
        <f t="shared" si="1404"/>
        <v/>
      </c>
      <c r="V8606" t="str">
        <f t="shared" si="1405"/>
        <v/>
      </c>
      <c r="W8606" t="str">
        <f t="shared" si="1406"/>
        <v/>
      </c>
      <c r="X8606">
        <f t="shared" si="1396"/>
        <v>0</v>
      </c>
      <c r="Z8606" t="str">
        <f t="shared" si="1407"/>
        <v/>
      </c>
      <c r="AA8606">
        <f t="shared" si="1397"/>
        <v>0</v>
      </c>
    </row>
    <row r="8607" spans="1:27" ht="21" customHeight="1" x14ac:dyDescent="0.95">
      <c r="A8607" s="56"/>
      <c r="B8607" s="57"/>
      <c r="C8607" s="57"/>
      <c r="D8607" s="57"/>
      <c r="E8607" s="56"/>
      <c r="F8607" s="57"/>
      <c r="G8607" s="57"/>
      <c r="H8607" s="56"/>
      <c r="I8607" s="56"/>
      <c r="J8607" s="58"/>
      <c r="K8607" s="58"/>
      <c r="L8607" s="13" t="str">
        <f t="shared" si="1398"/>
        <v/>
      </c>
      <c r="M8607" s="13" t="str">
        <f t="shared" si="1399"/>
        <v/>
      </c>
      <c r="Q8607" t="str">
        <f t="shared" si="1400"/>
        <v/>
      </c>
      <c r="R8607" t="str">
        <f t="shared" si="1401"/>
        <v/>
      </c>
      <c r="S8607" t="str">
        <f t="shared" si="1402"/>
        <v/>
      </c>
      <c r="T8607" t="str">
        <f t="shared" si="1403"/>
        <v/>
      </c>
      <c r="U8607" t="str">
        <f t="shared" si="1404"/>
        <v/>
      </c>
      <c r="V8607" t="str">
        <f t="shared" si="1405"/>
        <v/>
      </c>
      <c r="W8607" t="str">
        <f t="shared" si="1406"/>
        <v/>
      </c>
      <c r="X8607">
        <f t="shared" si="1396"/>
        <v>0</v>
      </c>
      <c r="Z8607" t="str">
        <f t="shared" si="1407"/>
        <v/>
      </c>
      <c r="AA8607">
        <f t="shared" si="1397"/>
        <v>0</v>
      </c>
    </row>
    <row r="8608" spans="1:27" ht="21" customHeight="1" x14ac:dyDescent="0.95">
      <c r="A8608" s="56"/>
      <c r="B8608" s="57"/>
      <c r="C8608" s="57"/>
      <c r="D8608" s="57"/>
      <c r="E8608" s="56"/>
      <c r="F8608" s="57"/>
      <c r="G8608" s="57"/>
      <c r="H8608" s="56"/>
      <c r="I8608" s="56"/>
      <c r="J8608" s="58"/>
      <c r="K8608" s="58"/>
      <c r="L8608" s="13" t="str">
        <f t="shared" si="1398"/>
        <v/>
      </c>
      <c r="M8608" s="13" t="str">
        <f t="shared" si="1399"/>
        <v/>
      </c>
      <c r="Q8608" t="str">
        <f t="shared" si="1400"/>
        <v/>
      </c>
      <c r="R8608" t="str">
        <f t="shared" si="1401"/>
        <v/>
      </c>
      <c r="S8608" t="str">
        <f t="shared" si="1402"/>
        <v/>
      </c>
      <c r="T8608" t="str">
        <f t="shared" si="1403"/>
        <v/>
      </c>
      <c r="U8608" t="str">
        <f t="shared" si="1404"/>
        <v/>
      </c>
      <c r="V8608" t="str">
        <f t="shared" si="1405"/>
        <v/>
      </c>
      <c r="W8608" t="str">
        <f t="shared" si="1406"/>
        <v/>
      </c>
      <c r="X8608">
        <f t="shared" si="1396"/>
        <v>0</v>
      </c>
      <c r="Z8608" t="str">
        <f t="shared" si="1407"/>
        <v/>
      </c>
      <c r="AA8608">
        <f t="shared" si="1397"/>
        <v>0</v>
      </c>
    </row>
    <row r="8609" spans="1:27" ht="21" customHeight="1" x14ac:dyDescent="0.95">
      <c r="A8609" s="56"/>
      <c r="B8609" s="57"/>
      <c r="C8609" s="57"/>
      <c r="D8609" s="57"/>
      <c r="E8609" s="56"/>
      <c r="F8609" s="57"/>
      <c r="G8609" s="57"/>
      <c r="H8609" s="56"/>
      <c r="I8609" s="56"/>
      <c r="J8609" s="58"/>
      <c r="K8609" s="58"/>
      <c r="L8609" s="13" t="str">
        <f t="shared" si="1398"/>
        <v/>
      </c>
      <c r="M8609" s="13" t="str">
        <f t="shared" si="1399"/>
        <v/>
      </c>
      <c r="Q8609" t="str">
        <f t="shared" si="1400"/>
        <v/>
      </c>
      <c r="R8609" t="str">
        <f t="shared" si="1401"/>
        <v/>
      </c>
      <c r="S8609" t="str">
        <f t="shared" si="1402"/>
        <v/>
      </c>
      <c r="T8609" t="str">
        <f t="shared" si="1403"/>
        <v/>
      </c>
      <c r="U8609" t="str">
        <f t="shared" si="1404"/>
        <v/>
      </c>
      <c r="V8609" t="str">
        <f t="shared" si="1405"/>
        <v/>
      </c>
      <c r="W8609" t="str">
        <f t="shared" si="1406"/>
        <v/>
      </c>
      <c r="X8609">
        <f t="shared" si="1396"/>
        <v>0</v>
      </c>
      <c r="Z8609" t="str">
        <f t="shared" si="1407"/>
        <v/>
      </c>
      <c r="AA8609">
        <f t="shared" si="1397"/>
        <v>0</v>
      </c>
    </row>
    <row r="8610" spans="1:27" ht="21" customHeight="1" x14ac:dyDescent="0.95">
      <c r="A8610" s="56"/>
      <c r="B8610" s="57"/>
      <c r="C8610" s="57"/>
      <c r="D8610" s="57"/>
      <c r="E8610" s="56"/>
      <c r="F8610" s="57"/>
      <c r="G8610" s="57"/>
      <c r="H8610" s="56"/>
      <c r="I8610" s="56"/>
      <c r="J8610" s="58"/>
      <c r="K8610" s="58"/>
      <c r="L8610" s="13" t="str">
        <f t="shared" si="1398"/>
        <v/>
      </c>
      <c r="M8610" s="13" t="str">
        <f t="shared" si="1399"/>
        <v/>
      </c>
      <c r="Q8610" t="str">
        <f t="shared" si="1400"/>
        <v/>
      </c>
      <c r="R8610" t="str">
        <f t="shared" si="1401"/>
        <v/>
      </c>
      <c r="S8610" t="str">
        <f t="shared" si="1402"/>
        <v/>
      </c>
      <c r="T8610" t="str">
        <f t="shared" si="1403"/>
        <v/>
      </c>
      <c r="U8610" t="str">
        <f t="shared" si="1404"/>
        <v/>
      </c>
      <c r="V8610" t="str">
        <f t="shared" si="1405"/>
        <v/>
      </c>
      <c r="W8610" t="str">
        <f t="shared" si="1406"/>
        <v/>
      </c>
      <c r="X8610">
        <f t="shared" si="1396"/>
        <v>0</v>
      </c>
      <c r="Z8610" t="str">
        <f t="shared" si="1407"/>
        <v/>
      </c>
      <c r="AA8610">
        <f t="shared" si="1397"/>
        <v>0</v>
      </c>
    </row>
    <row r="8611" spans="1:27" ht="21" customHeight="1" x14ac:dyDescent="0.95">
      <c r="A8611" s="56"/>
      <c r="B8611" s="57"/>
      <c r="C8611" s="57"/>
      <c r="D8611" s="57"/>
      <c r="E8611" s="56"/>
      <c r="F8611" s="57"/>
      <c r="G8611" s="57"/>
      <c r="H8611" s="56"/>
      <c r="I8611" s="56"/>
      <c r="J8611" s="58"/>
      <c r="K8611" s="58"/>
      <c r="L8611" s="13" t="str">
        <f t="shared" si="1398"/>
        <v/>
      </c>
      <c r="M8611" s="13" t="str">
        <f t="shared" si="1399"/>
        <v/>
      </c>
      <c r="Q8611" t="str">
        <f t="shared" si="1400"/>
        <v/>
      </c>
      <c r="R8611" t="str">
        <f t="shared" si="1401"/>
        <v/>
      </c>
      <c r="S8611" t="str">
        <f t="shared" si="1402"/>
        <v/>
      </c>
      <c r="T8611" t="str">
        <f t="shared" si="1403"/>
        <v/>
      </c>
      <c r="U8611" t="str">
        <f t="shared" si="1404"/>
        <v/>
      </c>
      <c r="V8611" t="str">
        <f t="shared" si="1405"/>
        <v/>
      </c>
      <c r="W8611" t="str">
        <f t="shared" si="1406"/>
        <v/>
      </c>
      <c r="X8611">
        <f t="shared" si="1396"/>
        <v>0</v>
      </c>
      <c r="Z8611" t="str">
        <f t="shared" si="1407"/>
        <v/>
      </c>
      <c r="AA8611">
        <f t="shared" si="1397"/>
        <v>0</v>
      </c>
    </row>
    <row r="8612" spans="1:27" ht="21" customHeight="1" x14ac:dyDescent="0.95">
      <c r="A8612" s="56"/>
      <c r="B8612" s="57"/>
      <c r="C8612" s="57"/>
      <c r="D8612" s="57"/>
      <c r="E8612" s="56"/>
      <c r="F8612" s="57"/>
      <c r="G8612" s="57"/>
      <c r="H8612" s="56"/>
      <c r="I8612" s="56"/>
      <c r="J8612" s="58"/>
      <c r="K8612" s="58"/>
      <c r="L8612" s="13" t="str">
        <f t="shared" si="1398"/>
        <v/>
      </c>
      <c r="M8612" s="13" t="str">
        <f t="shared" si="1399"/>
        <v/>
      </c>
      <c r="Q8612" t="str">
        <f t="shared" si="1400"/>
        <v/>
      </c>
      <c r="R8612" t="str">
        <f t="shared" si="1401"/>
        <v/>
      </c>
      <c r="S8612" t="str">
        <f t="shared" si="1402"/>
        <v/>
      </c>
      <c r="T8612" t="str">
        <f t="shared" si="1403"/>
        <v/>
      </c>
      <c r="U8612" t="str">
        <f t="shared" si="1404"/>
        <v/>
      </c>
      <c r="V8612" t="str">
        <f t="shared" si="1405"/>
        <v/>
      </c>
      <c r="W8612" t="str">
        <f t="shared" si="1406"/>
        <v/>
      </c>
      <c r="X8612">
        <f t="shared" si="1396"/>
        <v>0</v>
      </c>
      <c r="Z8612" t="str">
        <f t="shared" si="1407"/>
        <v/>
      </c>
      <c r="AA8612">
        <f t="shared" si="1397"/>
        <v>0</v>
      </c>
    </row>
    <row r="8613" spans="1:27" ht="21" customHeight="1" x14ac:dyDescent="0.95">
      <c r="A8613" s="56"/>
      <c r="B8613" s="57"/>
      <c r="C8613" s="57"/>
      <c r="D8613" s="57"/>
      <c r="E8613" s="56"/>
      <c r="F8613" s="57"/>
      <c r="G8613" s="57"/>
      <c r="H8613" s="56"/>
      <c r="I8613" s="56"/>
      <c r="J8613" s="58"/>
      <c r="K8613" s="58"/>
      <c r="L8613" s="13" t="str">
        <f t="shared" si="1398"/>
        <v/>
      </c>
      <c r="M8613" s="13" t="str">
        <f t="shared" si="1399"/>
        <v/>
      </c>
      <c r="Q8613" t="str">
        <f t="shared" si="1400"/>
        <v/>
      </c>
      <c r="R8613" t="str">
        <f t="shared" si="1401"/>
        <v/>
      </c>
      <c r="S8613" t="str">
        <f t="shared" si="1402"/>
        <v/>
      </c>
      <c r="T8613" t="str">
        <f t="shared" si="1403"/>
        <v/>
      </c>
      <c r="U8613" t="str">
        <f t="shared" si="1404"/>
        <v/>
      </c>
      <c r="V8613" t="str">
        <f t="shared" si="1405"/>
        <v/>
      </c>
      <c r="W8613" t="str">
        <f t="shared" si="1406"/>
        <v/>
      </c>
      <c r="X8613">
        <f t="shared" si="1396"/>
        <v>0</v>
      </c>
      <c r="Z8613" t="str">
        <f t="shared" si="1407"/>
        <v/>
      </c>
      <c r="AA8613">
        <f t="shared" si="1397"/>
        <v>0</v>
      </c>
    </row>
    <row r="8614" spans="1:27" ht="21" customHeight="1" x14ac:dyDescent="0.95">
      <c r="A8614" s="56"/>
      <c r="B8614" s="57"/>
      <c r="C8614" s="57"/>
      <c r="D8614" s="57"/>
      <c r="E8614" s="56"/>
      <c r="F8614" s="57"/>
      <c r="G8614" s="57"/>
      <c r="H8614" s="56"/>
      <c r="I8614" s="56"/>
      <c r="J8614" s="58"/>
      <c r="K8614" s="58"/>
      <c r="L8614" s="13" t="str">
        <f t="shared" si="1398"/>
        <v/>
      </c>
      <c r="M8614" s="13" t="str">
        <f t="shared" si="1399"/>
        <v/>
      </c>
      <c r="Q8614" t="str">
        <f t="shared" si="1400"/>
        <v/>
      </c>
      <c r="R8614" t="str">
        <f t="shared" si="1401"/>
        <v/>
      </c>
      <c r="S8614" t="str">
        <f t="shared" si="1402"/>
        <v/>
      </c>
      <c r="T8614" t="str">
        <f t="shared" si="1403"/>
        <v/>
      </c>
      <c r="U8614" t="str">
        <f t="shared" si="1404"/>
        <v/>
      </c>
      <c r="V8614" t="str">
        <f t="shared" si="1405"/>
        <v/>
      </c>
      <c r="W8614" t="str">
        <f t="shared" si="1406"/>
        <v/>
      </c>
      <c r="X8614">
        <f t="shared" si="1396"/>
        <v>0</v>
      </c>
      <c r="Z8614" t="str">
        <f t="shared" si="1407"/>
        <v/>
      </c>
      <c r="AA8614">
        <f t="shared" si="1397"/>
        <v>0</v>
      </c>
    </row>
    <row r="8615" spans="1:27" ht="21" customHeight="1" x14ac:dyDescent="0.95">
      <c r="A8615" s="56"/>
      <c r="B8615" s="57"/>
      <c r="C8615" s="57"/>
      <c r="D8615" s="57"/>
      <c r="E8615" s="56"/>
      <c r="F8615" s="57"/>
      <c r="G8615" s="57"/>
      <c r="H8615" s="56"/>
      <c r="I8615" s="56"/>
      <c r="J8615" s="58"/>
      <c r="K8615" s="58"/>
      <c r="L8615" s="13" t="str">
        <f t="shared" si="1398"/>
        <v/>
      </c>
      <c r="M8615" s="13" t="str">
        <f t="shared" si="1399"/>
        <v/>
      </c>
      <c r="Q8615" t="str">
        <f t="shared" si="1400"/>
        <v/>
      </c>
      <c r="R8615" t="str">
        <f t="shared" si="1401"/>
        <v/>
      </c>
      <c r="S8615" t="str">
        <f t="shared" si="1402"/>
        <v/>
      </c>
      <c r="T8615" t="str">
        <f t="shared" si="1403"/>
        <v/>
      </c>
      <c r="U8615" t="str">
        <f t="shared" si="1404"/>
        <v/>
      </c>
      <c r="V8615" t="str">
        <f t="shared" si="1405"/>
        <v/>
      </c>
      <c r="W8615" t="str">
        <f t="shared" si="1406"/>
        <v/>
      </c>
      <c r="X8615">
        <f t="shared" si="1396"/>
        <v>0</v>
      </c>
      <c r="Z8615" t="str">
        <f t="shared" si="1407"/>
        <v/>
      </c>
      <c r="AA8615">
        <f t="shared" si="1397"/>
        <v>0</v>
      </c>
    </row>
    <row r="8616" spans="1:27" ht="21" customHeight="1" x14ac:dyDescent="0.95">
      <c r="A8616" s="56"/>
      <c r="B8616" s="57"/>
      <c r="C8616" s="57"/>
      <c r="D8616" s="57"/>
      <c r="E8616" s="56"/>
      <c r="F8616" s="57"/>
      <c r="G8616" s="57"/>
      <c r="H8616" s="56"/>
      <c r="I8616" s="56"/>
      <c r="J8616" s="58"/>
      <c r="K8616" s="58"/>
      <c r="L8616" s="13" t="str">
        <f t="shared" si="1398"/>
        <v/>
      </c>
      <c r="M8616" s="13" t="str">
        <f t="shared" si="1399"/>
        <v/>
      </c>
      <c r="Q8616" t="str">
        <f t="shared" si="1400"/>
        <v/>
      </c>
      <c r="R8616" t="str">
        <f t="shared" si="1401"/>
        <v/>
      </c>
      <c r="S8616" t="str">
        <f t="shared" si="1402"/>
        <v/>
      </c>
      <c r="T8616" t="str">
        <f t="shared" si="1403"/>
        <v/>
      </c>
      <c r="U8616" t="str">
        <f t="shared" si="1404"/>
        <v/>
      </c>
      <c r="V8616" t="str">
        <f t="shared" si="1405"/>
        <v/>
      </c>
      <c r="W8616" t="str">
        <f t="shared" si="1406"/>
        <v/>
      </c>
      <c r="X8616">
        <f t="shared" si="1396"/>
        <v>0</v>
      </c>
      <c r="Z8616" t="str">
        <f t="shared" si="1407"/>
        <v/>
      </c>
      <c r="AA8616">
        <f t="shared" si="1397"/>
        <v>0</v>
      </c>
    </row>
    <row r="8617" spans="1:27" ht="21" customHeight="1" x14ac:dyDescent="0.95">
      <c r="A8617" s="56"/>
      <c r="B8617" s="57"/>
      <c r="C8617" s="57"/>
      <c r="D8617" s="57"/>
      <c r="E8617" s="56"/>
      <c r="F8617" s="57"/>
      <c r="G8617" s="57"/>
      <c r="H8617" s="56"/>
      <c r="I8617" s="56"/>
      <c r="J8617" s="58"/>
      <c r="K8617" s="58"/>
      <c r="L8617" s="13" t="str">
        <f t="shared" si="1398"/>
        <v/>
      </c>
      <c r="M8617" s="13" t="str">
        <f t="shared" si="1399"/>
        <v/>
      </c>
      <c r="Q8617" t="str">
        <f t="shared" si="1400"/>
        <v/>
      </c>
      <c r="R8617" t="str">
        <f t="shared" si="1401"/>
        <v/>
      </c>
      <c r="S8617" t="str">
        <f t="shared" si="1402"/>
        <v/>
      </c>
      <c r="T8617" t="str">
        <f t="shared" si="1403"/>
        <v/>
      </c>
      <c r="U8617" t="str">
        <f t="shared" si="1404"/>
        <v/>
      </c>
      <c r="V8617" t="str">
        <f t="shared" si="1405"/>
        <v/>
      </c>
      <c r="W8617" t="str">
        <f t="shared" si="1406"/>
        <v/>
      </c>
      <c r="X8617">
        <f t="shared" si="1396"/>
        <v>0</v>
      </c>
      <c r="Z8617" t="str">
        <f t="shared" si="1407"/>
        <v/>
      </c>
      <c r="AA8617">
        <f t="shared" si="1397"/>
        <v>0</v>
      </c>
    </row>
    <row r="8618" spans="1:27" ht="21" customHeight="1" x14ac:dyDescent="0.95">
      <c r="A8618" s="56"/>
      <c r="B8618" s="57"/>
      <c r="C8618" s="57"/>
      <c r="D8618" s="57"/>
      <c r="E8618" s="56"/>
      <c r="F8618" s="57"/>
      <c r="G8618" s="57"/>
      <c r="H8618" s="56"/>
      <c r="I8618" s="56"/>
      <c r="J8618" s="58"/>
      <c r="K8618" s="58"/>
      <c r="L8618" s="13" t="str">
        <f t="shared" si="1398"/>
        <v/>
      </c>
      <c r="M8618" s="13" t="str">
        <f t="shared" si="1399"/>
        <v/>
      </c>
      <c r="Q8618" t="str">
        <f t="shared" si="1400"/>
        <v/>
      </c>
      <c r="R8618" t="str">
        <f t="shared" si="1401"/>
        <v/>
      </c>
      <c r="S8618" t="str">
        <f t="shared" si="1402"/>
        <v/>
      </c>
      <c r="T8618" t="str">
        <f t="shared" si="1403"/>
        <v/>
      </c>
      <c r="U8618" t="str">
        <f t="shared" si="1404"/>
        <v/>
      </c>
      <c r="V8618" t="str">
        <f t="shared" si="1405"/>
        <v/>
      </c>
      <c r="W8618" t="str">
        <f t="shared" si="1406"/>
        <v/>
      </c>
      <c r="X8618">
        <f t="shared" si="1396"/>
        <v>0</v>
      </c>
      <c r="Z8618" t="str">
        <f t="shared" si="1407"/>
        <v/>
      </c>
      <c r="AA8618">
        <f t="shared" si="1397"/>
        <v>0</v>
      </c>
    </row>
    <row r="8619" spans="1:27" ht="21" customHeight="1" x14ac:dyDescent="0.95">
      <c r="A8619" s="56"/>
      <c r="B8619" s="57"/>
      <c r="C8619" s="57"/>
      <c r="D8619" s="57"/>
      <c r="E8619" s="56"/>
      <c r="F8619" s="57"/>
      <c r="G8619" s="57"/>
      <c r="H8619" s="56"/>
      <c r="I8619" s="56"/>
      <c r="J8619" s="58"/>
      <c r="K8619" s="58"/>
      <c r="L8619" s="13" t="str">
        <f t="shared" si="1398"/>
        <v/>
      </c>
      <c r="M8619" s="13" t="str">
        <f t="shared" si="1399"/>
        <v/>
      </c>
      <c r="Q8619" t="str">
        <f t="shared" si="1400"/>
        <v/>
      </c>
      <c r="R8619" t="str">
        <f t="shared" si="1401"/>
        <v/>
      </c>
      <c r="S8619" t="str">
        <f t="shared" si="1402"/>
        <v/>
      </c>
      <c r="T8619" t="str">
        <f t="shared" si="1403"/>
        <v/>
      </c>
      <c r="U8619" t="str">
        <f t="shared" si="1404"/>
        <v/>
      </c>
      <c r="V8619" t="str">
        <f t="shared" si="1405"/>
        <v/>
      </c>
      <c r="W8619" t="str">
        <f t="shared" si="1406"/>
        <v/>
      </c>
      <c r="X8619">
        <f t="shared" si="1396"/>
        <v>0</v>
      </c>
      <c r="Z8619" t="str">
        <f t="shared" si="1407"/>
        <v/>
      </c>
      <c r="AA8619">
        <f t="shared" si="1397"/>
        <v>0</v>
      </c>
    </row>
    <row r="8620" spans="1:27" ht="21" customHeight="1" x14ac:dyDescent="0.95">
      <c r="A8620" s="56"/>
      <c r="B8620" s="57"/>
      <c r="C8620" s="57"/>
      <c r="D8620" s="57"/>
      <c r="E8620" s="56"/>
      <c r="F8620" s="57"/>
      <c r="G8620" s="57"/>
      <c r="H8620" s="56"/>
      <c r="I8620" s="56"/>
      <c r="J8620" s="58"/>
      <c r="K8620" s="58"/>
      <c r="L8620" s="13" t="str">
        <f t="shared" si="1398"/>
        <v/>
      </c>
      <c r="M8620" s="13" t="str">
        <f t="shared" si="1399"/>
        <v/>
      </c>
      <c r="Q8620" t="str">
        <f t="shared" si="1400"/>
        <v/>
      </c>
      <c r="R8620" t="str">
        <f t="shared" si="1401"/>
        <v/>
      </c>
      <c r="S8620" t="str">
        <f t="shared" si="1402"/>
        <v/>
      </c>
      <c r="T8620" t="str">
        <f t="shared" si="1403"/>
        <v/>
      </c>
      <c r="U8620" t="str">
        <f t="shared" si="1404"/>
        <v/>
      </c>
      <c r="V8620" t="str">
        <f t="shared" si="1405"/>
        <v/>
      </c>
      <c r="W8620" t="str">
        <f t="shared" si="1406"/>
        <v/>
      </c>
      <c r="X8620">
        <f t="shared" si="1396"/>
        <v>0</v>
      </c>
      <c r="Z8620" t="str">
        <f t="shared" si="1407"/>
        <v/>
      </c>
      <c r="AA8620">
        <f t="shared" si="1397"/>
        <v>0</v>
      </c>
    </row>
    <row r="8621" spans="1:27" ht="21" customHeight="1" x14ac:dyDescent="0.95">
      <c r="A8621" s="56"/>
      <c r="B8621" s="57"/>
      <c r="C8621" s="57"/>
      <c r="D8621" s="57"/>
      <c r="E8621" s="56"/>
      <c r="F8621" s="57"/>
      <c r="G8621" s="57"/>
      <c r="H8621" s="56"/>
      <c r="I8621" s="56"/>
      <c r="J8621" s="58"/>
      <c r="K8621" s="58"/>
      <c r="L8621" s="13" t="str">
        <f t="shared" si="1398"/>
        <v/>
      </c>
      <c r="M8621" s="13" t="str">
        <f t="shared" si="1399"/>
        <v/>
      </c>
      <c r="Q8621" t="str">
        <f t="shared" si="1400"/>
        <v/>
      </c>
      <c r="R8621" t="str">
        <f t="shared" si="1401"/>
        <v/>
      </c>
      <c r="S8621" t="str">
        <f t="shared" si="1402"/>
        <v/>
      </c>
      <c r="T8621" t="str">
        <f t="shared" si="1403"/>
        <v/>
      </c>
      <c r="U8621" t="str">
        <f t="shared" si="1404"/>
        <v/>
      </c>
      <c r="V8621" t="str">
        <f t="shared" si="1405"/>
        <v/>
      </c>
      <c r="W8621" t="str">
        <f t="shared" si="1406"/>
        <v/>
      </c>
      <c r="X8621">
        <f t="shared" si="1396"/>
        <v>0</v>
      </c>
      <c r="Z8621" t="str">
        <f t="shared" si="1407"/>
        <v/>
      </c>
      <c r="AA8621">
        <f t="shared" si="1397"/>
        <v>0</v>
      </c>
    </row>
    <row r="8622" spans="1:27" ht="21" customHeight="1" x14ac:dyDescent="0.95">
      <c r="A8622" s="56"/>
      <c r="B8622" s="57"/>
      <c r="C8622" s="57"/>
      <c r="D8622" s="57"/>
      <c r="E8622" s="56"/>
      <c r="F8622" s="57"/>
      <c r="G8622" s="57"/>
      <c r="H8622" s="56"/>
      <c r="I8622" s="56"/>
      <c r="J8622" s="58"/>
      <c r="K8622" s="58"/>
      <c r="L8622" s="13" t="str">
        <f t="shared" si="1398"/>
        <v/>
      </c>
      <c r="M8622" s="13" t="str">
        <f t="shared" si="1399"/>
        <v/>
      </c>
      <c r="Q8622" t="str">
        <f t="shared" si="1400"/>
        <v/>
      </c>
      <c r="R8622" t="str">
        <f t="shared" si="1401"/>
        <v/>
      </c>
      <c r="S8622" t="str">
        <f t="shared" si="1402"/>
        <v/>
      </c>
      <c r="T8622" t="str">
        <f t="shared" si="1403"/>
        <v/>
      </c>
      <c r="U8622" t="str">
        <f t="shared" si="1404"/>
        <v/>
      </c>
      <c r="V8622" t="str">
        <f t="shared" si="1405"/>
        <v/>
      </c>
      <c r="W8622" t="str">
        <f t="shared" si="1406"/>
        <v/>
      </c>
      <c r="X8622">
        <f t="shared" si="1396"/>
        <v>0</v>
      </c>
      <c r="Z8622" t="str">
        <f t="shared" si="1407"/>
        <v/>
      </c>
      <c r="AA8622">
        <f t="shared" si="1397"/>
        <v>0</v>
      </c>
    </row>
    <row r="8623" spans="1:27" ht="21" customHeight="1" x14ac:dyDescent="0.95">
      <c r="A8623" s="56"/>
      <c r="B8623" s="57"/>
      <c r="C8623" s="57"/>
      <c r="D8623" s="57"/>
      <c r="E8623" s="56"/>
      <c r="F8623" s="57"/>
      <c r="G8623" s="57"/>
      <c r="H8623" s="56"/>
      <c r="I8623" s="56"/>
      <c r="J8623" s="58"/>
      <c r="K8623" s="58"/>
      <c r="L8623" s="13" t="str">
        <f t="shared" si="1398"/>
        <v/>
      </c>
      <c r="M8623" s="13" t="str">
        <f t="shared" si="1399"/>
        <v/>
      </c>
      <c r="Q8623" t="str">
        <f t="shared" si="1400"/>
        <v/>
      </c>
      <c r="R8623" t="str">
        <f t="shared" si="1401"/>
        <v/>
      </c>
      <c r="S8623" t="str">
        <f t="shared" si="1402"/>
        <v/>
      </c>
      <c r="T8623" t="str">
        <f t="shared" si="1403"/>
        <v/>
      </c>
      <c r="U8623" t="str">
        <f t="shared" si="1404"/>
        <v/>
      </c>
      <c r="V8623" t="str">
        <f t="shared" si="1405"/>
        <v/>
      </c>
      <c r="W8623" t="str">
        <f t="shared" si="1406"/>
        <v/>
      </c>
      <c r="X8623">
        <f t="shared" si="1396"/>
        <v>0</v>
      </c>
      <c r="Z8623" t="str">
        <f t="shared" si="1407"/>
        <v/>
      </c>
      <c r="AA8623">
        <f t="shared" si="1397"/>
        <v>0</v>
      </c>
    </row>
    <row r="8624" spans="1:27" ht="21" customHeight="1" x14ac:dyDescent="0.95">
      <c r="A8624" s="56"/>
      <c r="B8624" s="57"/>
      <c r="C8624" s="57"/>
      <c r="D8624" s="57"/>
      <c r="E8624" s="56"/>
      <c r="F8624" s="57"/>
      <c r="G8624" s="57"/>
      <c r="H8624" s="56"/>
      <c r="I8624" s="56"/>
      <c r="J8624" s="58"/>
      <c r="K8624" s="58"/>
      <c r="L8624" s="13" t="str">
        <f t="shared" si="1398"/>
        <v/>
      </c>
      <c r="M8624" s="13" t="str">
        <f t="shared" si="1399"/>
        <v/>
      </c>
      <c r="Q8624" t="str">
        <f t="shared" si="1400"/>
        <v/>
      </c>
      <c r="R8624" t="str">
        <f t="shared" si="1401"/>
        <v/>
      </c>
      <c r="S8624" t="str">
        <f t="shared" si="1402"/>
        <v/>
      </c>
      <c r="T8624" t="str">
        <f t="shared" si="1403"/>
        <v/>
      </c>
      <c r="U8624" t="str">
        <f t="shared" si="1404"/>
        <v/>
      </c>
      <c r="V8624" t="str">
        <f t="shared" si="1405"/>
        <v/>
      </c>
      <c r="W8624" t="str">
        <f t="shared" si="1406"/>
        <v/>
      </c>
      <c r="X8624">
        <f t="shared" si="1396"/>
        <v>0</v>
      </c>
      <c r="Z8624" t="str">
        <f t="shared" si="1407"/>
        <v/>
      </c>
      <c r="AA8624">
        <f t="shared" si="1397"/>
        <v>0</v>
      </c>
    </row>
    <row r="8625" spans="1:27" ht="21" customHeight="1" x14ac:dyDescent="0.95">
      <c r="A8625" s="56"/>
      <c r="B8625" s="57"/>
      <c r="C8625" s="57"/>
      <c r="D8625" s="57"/>
      <c r="E8625" s="56"/>
      <c r="F8625" s="57"/>
      <c r="G8625" s="57"/>
      <c r="H8625" s="56"/>
      <c r="I8625" s="56"/>
      <c r="J8625" s="58"/>
      <c r="K8625" s="58"/>
      <c r="L8625" s="13" t="str">
        <f t="shared" si="1398"/>
        <v/>
      </c>
      <c r="M8625" s="13" t="str">
        <f t="shared" si="1399"/>
        <v/>
      </c>
      <c r="Q8625" t="str">
        <f t="shared" si="1400"/>
        <v/>
      </c>
      <c r="R8625" t="str">
        <f t="shared" si="1401"/>
        <v/>
      </c>
      <c r="S8625" t="str">
        <f t="shared" si="1402"/>
        <v/>
      </c>
      <c r="T8625" t="str">
        <f t="shared" si="1403"/>
        <v/>
      </c>
      <c r="U8625" t="str">
        <f t="shared" si="1404"/>
        <v/>
      </c>
      <c r="V8625" t="str">
        <f t="shared" si="1405"/>
        <v/>
      </c>
      <c r="W8625" t="str">
        <f t="shared" si="1406"/>
        <v/>
      </c>
      <c r="X8625">
        <f t="shared" si="1396"/>
        <v>0</v>
      </c>
      <c r="Z8625" t="str">
        <f t="shared" si="1407"/>
        <v/>
      </c>
      <c r="AA8625">
        <f t="shared" si="1397"/>
        <v>0</v>
      </c>
    </row>
    <row r="8626" spans="1:27" ht="21" customHeight="1" x14ac:dyDescent="0.95">
      <c r="A8626" s="56"/>
      <c r="B8626" s="57"/>
      <c r="C8626" s="57"/>
      <c r="D8626" s="57"/>
      <c r="E8626" s="56"/>
      <c r="F8626" s="57"/>
      <c r="G8626" s="57"/>
      <c r="H8626" s="56"/>
      <c r="I8626" s="56"/>
      <c r="J8626" s="58"/>
      <c r="K8626" s="58"/>
      <c r="L8626" s="13" t="str">
        <f t="shared" si="1398"/>
        <v/>
      </c>
      <c r="M8626" s="13" t="str">
        <f t="shared" si="1399"/>
        <v/>
      </c>
      <c r="Q8626" t="str">
        <f t="shared" si="1400"/>
        <v/>
      </c>
      <c r="R8626" t="str">
        <f t="shared" si="1401"/>
        <v/>
      </c>
      <c r="S8626" t="str">
        <f t="shared" si="1402"/>
        <v/>
      </c>
      <c r="T8626" t="str">
        <f t="shared" si="1403"/>
        <v/>
      </c>
      <c r="U8626" t="str">
        <f t="shared" si="1404"/>
        <v/>
      </c>
      <c r="V8626" t="str">
        <f t="shared" si="1405"/>
        <v/>
      </c>
      <c r="W8626" t="str">
        <f t="shared" si="1406"/>
        <v/>
      </c>
      <c r="X8626">
        <f t="shared" si="1396"/>
        <v>0</v>
      </c>
      <c r="Z8626" t="str">
        <f t="shared" si="1407"/>
        <v/>
      </c>
      <c r="AA8626">
        <f t="shared" si="1397"/>
        <v>0</v>
      </c>
    </row>
    <row r="8627" spans="1:27" ht="21" customHeight="1" x14ac:dyDescent="0.95">
      <c r="A8627" s="56"/>
      <c r="B8627" s="57"/>
      <c r="C8627" s="57"/>
      <c r="D8627" s="57"/>
      <c r="E8627" s="56"/>
      <c r="F8627" s="57"/>
      <c r="G8627" s="57"/>
      <c r="H8627" s="56"/>
      <c r="I8627" s="56"/>
      <c r="J8627" s="58"/>
      <c r="K8627" s="58"/>
      <c r="L8627" s="13" t="str">
        <f t="shared" si="1398"/>
        <v/>
      </c>
      <c r="M8627" s="13" t="str">
        <f t="shared" si="1399"/>
        <v/>
      </c>
      <c r="Q8627" t="str">
        <f t="shared" si="1400"/>
        <v/>
      </c>
      <c r="R8627" t="str">
        <f t="shared" si="1401"/>
        <v/>
      </c>
      <c r="S8627" t="str">
        <f t="shared" si="1402"/>
        <v/>
      </c>
      <c r="T8627" t="str">
        <f t="shared" si="1403"/>
        <v/>
      </c>
      <c r="U8627" t="str">
        <f t="shared" si="1404"/>
        <v/>
      </c>
      <c r="V8627" t="str">
        <f t="shared" si="1405"/>
        <v/>
      </c>
      <c r="W8627" t="str">
        <f t="shared" si="1406"/>
        <v/>
      </c>
      <c r="X8627">
        <f t="shared" si="1396"/>
        <v>0</v>
      </c>
      <c r="Z8627" t="str">
        <f t="shared" si="1407"/>
        <v/>
      </c>
      <c r="AA8627">
        <f t="shared" si="1397"/>
        <v>0</v>
      </c>
    </row>
    <row r="8628" spans="1:27" ht="21" customHeight="1" x14ac:dyDescent="0.95">
      <c r="A8628" s="56"/>
      <c r="B8628" s="57"/>
      <c r="C8628" s="57"/>
      <c r="D8628" s="57"/>
      <c r="E8628" s="56"/>
      <c r="F8628" s="57"/>
      <c r="G8628" s="57"/>
      <c r="H8628" s="56"/>
      <c r="I8628" s="56"/>
      <c r="J8628" s="58"/>
      <c r="K8628" s="58"/>
      <c r="L8628" s="13" t="str">
        <f t="shared" si="1398"/>
        <v/>
      </c>
      <c r="M8628" s="13" t="str">
        <f t="shared" si="1399"/>
        <v/>
      </c>
      <c r="Q8628" t="str">
        <f t="shared" si="1400"/>
        <v/>
      </c>
      <c r="R8628" t="str">
        <f t="shared" si="1401"/>
        <v/>
      </c>
      <c r="S8628" t="str">
        <f t="shared" si="1402"/>
        <v/>
      </c>
      <c r="T8628" t="str">
        <f t="shared" si="1403"/>
        <v/>
      </c>
      <c r="U8628" t="str">
        <f t="shared" si="1404"/>
        <v/>
      </c>
      <c r="V8628" t="str">
        <f t="shared" si="1405"/>
        <v/>
      </c>
      <c r="W8628" t="str">
        <f t="shared" si="1406"/>
        <v/>
      </c>
      <c r="X8628">
        <f t="shared" si="1396"/>
        <v>0</v>
      </c>
      <c r="Z8628" t="str">
        <f t="shared" si="1407"/>
        <v/>
      </c>
      <c r="AA8628">
        <f t="shared" si="1397"/>
        <v>0</v>
      </c>
    </row>
    <row r="8629" spans="1:27" ht="21" customHeight="1" x14ac:dyDescent="0.95">
      <c r="A8629" s="56"/>
      <c r="B8629" s="57"/>
      <c r="C8629" s="57"/>
      <c r="D8629" s="57"/>
      <c r="E8629" s="56"/>
      <c r="F8629" s="57"/>
      <c r="G8629" s="57"/>
      <c r="H8629" s="56"/>
      <c r="I8629" s="56"/>
      <c r="J8629" s="58"/>
      <c r="K8629" s="58"/>
      <c r="L8629" s="13" t="str">
        <f t="shared" si="1398"/>
        <v/>
      </c>
      <c r="M8629" s="13" t="str">
        <f t="shared" si="1399"/>
        <v/>
      </c>
      <c r="Q8629" t="str">
        <f t="shared" si="1400"/>
        <v/>
      </c>
      <c r="R8629" t="str">
        <f t="shared" si="1401"/>
        <v/>
      </c>
      <c r="S8629" t="str">
        <f t="shared" si="1402"/>
        <v/>
      </c>
      <c r="T8629" t="str">
        <f t="shared" si="1403"/>
        <v/>
      </c>
      <c r="U8629" t="str">
        <f t="shared" si="1404"/>
        <v/>
      </c>
      <c r="V8629" t="str">
        <f t="shared" si="1405"/>
        <v/>
      </c>
      <c r="W8629" t="str">
        <f t="shared" si="1406"/>
        <v/>
      </c>
      <c r="X8629">
        <f t="shared" ref="X8629:X8692" si="1408">IF($T8629="",N($X8628),IF(MATCH($T8629,$T$6:$T$10005,0)=ROW()-5,N($X8628)+1,N($X8628)))</f>
        <v>0</v>
      </c>
      <c r="Z8629" t="str">
        <f t="shared" si="1407"/>
        <v/>
      </c>
      <c r="AA8629">
        <f t="shared" ref="AA8629:AA8692" si="1409">IF($V8629="",N($AA8628),IF(MATCH($V8629,$V$6:$V$10005,0)=ROW()-5,N($AA8628)+1,N($AA8628)))</f>
        <v>0</v>
      </c>
    </row>
    <row r="8630" spans="1:27" ht="21" customHeight="1" x14ac:dyDescent="0.95">
      <c r="A8630" s="56"/>
      <c r="B8630" s="57"/>
      <c r="C8630" s="57"/>
      <c r="D8630" s="57"/>
      <c r="E8630" s="56"/>
      <c r="F8630" s="57"/>
      <c r="G8630" s="57"/>
      <c r="H8630" s="56"/>
      <c r="I8630" s="56"/>
      <c r="J8630" s="58"/>
      <c r="K8630" s="58"/>
      <c r="L8630" s="13" t="str">
        <f t="shared" si="1398"/>
        <v/>
      </c>
      <c r="M8630" s="13" t="str">
        <f t="shared" si="1399"/>
        <v/>
      </c>
      <c r="Q8630" t="str">
        <f t="shared" si="1400"/>
        <v/>
      </c>
      <c r="R8630" t="str">
        <f t="shared" si="1401"/>
        <v/>
      </c>
      <c r="S8630" t="str">
        <f t="shared" si="1402"/>
        <v/>
      </c>
      <c r="T8630" t="str">
        <f t="shared" si="1403"/>
        <v/>
      </c>
      <c r="U8630" t="str">
        <f t="shared" si="1404"/>
        <v/>
      </c>
      <c r="V8630" t="str">
        <f t="shared" si="1405"/>
        <v/>
      </c>
      <c r="W8630" t="str">
        <f t="shared" si="1406"/>
        <v/>
      </c>
      <c r="X8630">
        <f t="shared" si="1408"/>
        <v>0</v>
      </c>
      <c r="Z8630" t="str">
        <f t="shared" si="1407"/>
        <v/>
      </c>
      <c r="AA8630">
        <f t="shared" si="1409"/>
        <v>0</v>
      </c>
    </row>
    <row r="8631" spans="1:27" ht="21" customHeight="1" x14ac:dyDescent="0.95">
      <c r="A8631" s="56"/>
      <c r="B8631" s="57"/>
      <c r="C8631" s="57"/>
      <c r="D8631" s="57"/>
      <c r="E8631" s="56"/>
      <c r="F8631" s="57"/>
      <c r="G8631" s="57"/>
      <c r="H8631" s="56"/>
      <c r="I8631" s="56"/>
      <c r="J8631" s="58"/>
      <c r="K8631" s="58"/>
      <c r="L8631" s="13" t="str">
        <f t="shared" si="1398"/>
        <v/>
      </c>
      <c r="M8631" s="13" t="str">
        <f t="shared" si="1399"/>
        <v/>
      </c>
      <c r="Q8631" t="str">
        <f t="shared" si="1400"/>
        <v/>
      </c>
      <c r="R8631" t="str">
        <f t="shared" si="1401"/>
        <v/>
      </c>
      <c r="S8631" t="str">
        <f t="shared" si="1402"/>
        <v/>
      </c>
      <c r="T8631" t="str">
        <f t="shared" si="1403"/>
        <v/>
      </c>
      <c r="U8631" t="str">
        <f t="shared" si="1404"/>
        <v/>
      </c>
      <c r="V8631" t="str">
        <f t="shared" si="1405"/>
        <v/>
      </c>
      <c r="W8631" t="str">
        <f t="shared" si="1406"/>
        <v/>
      </c>
      <c r="X8631">
        <f t="shared" si="1408"/>
        <v>0</v>
      </c>
      <c r="Z8631" t="str">
        <f t="shared" si="1407"/>
        <v/>
      </c>
      <c r="AA8631">
        <f t="shared" si="1409"/>
        <v>0</v>
      </c>
    </row>
    <row r="8632" spans="1:27" ht="21" customHeight="1" x14ac:dyDescent="0.95">
      <c r="A8632" s="56"/>
      <c r="B8632" s="57"/>
      <c r="C8632" s="57"/>
      <c r="D8632" s="57"/>
      <c r="E8632" s="56"/>
      <c r="F8632" s="57"/>
      <c r="G8632" s="57"/>
      <c r="H8632" s="56"/>
      <c r="I8632" s="56"/>
      <c r="J8632" s="58"/>
      <c r="K8632" s="58"/>
      <c r="L8632" s="13" t="str">
        <f t="shared" si="1398"/>
        <v/>
      </c>
      <c r="M8632" s="13" t="str">
        <f t="shared" si="1399"/>
        <v/>
      </c>
      <c r="Q8632" t="str">
        <f t="shared" si="1400"/>
        <v/>
      </c>
      <c r="R8632" t="str">
        <f t="shared" si="1401"/>
        <v/>
      </c>
      <c r="S8632" t="str">
        <f t="shared" si="1402"/>
        <v/>
      </c>
      <c r="T8632" t="str">
        <f t="shared" si="1403"/>
        <v/>
      </c>
      <c r="U8632" t="str">
        <f t="shared" si="1404"/>
        <v/>
      </c>
      <c r="V8632" t="str">
        <f t="shared" si="1405"/>
        <v/>
      </c>
      <c r="W8632" t="str">
        <f t="shared" si="1406"/>
        <v/>
      </c>
      <c r="X8632">
        <f t="shared" si="1408"/>
        <v>0</v>
      </c>
      <c r="Z8632" t="str">
        <f t="shared" si="1407"/>
        <v/>
      </c>
      <c r="AA8632">
        <f t="shared" si="1409"/>
        <v>0</v>
      </c>
    </row>
    <row r="8633" spans="1:27" ht="21" customHeight="1" x14ac:dyDescent="0.95">
      <c r="A8633" s="56"/>
      <c r="B8633" s="57"/>
      <c r="C8633" s="57"/>
      <c r="D8633" s="57"/>
      <c r="E8633" s="56"/>
      <c r="F8633" s="57"/>
      <c r="G8633" s="57"/>
      <c r="H8633" s="56"/>
      <c r="I8633" s="56"/>
      <c r="J8633" s="58"/>
      <c r="K8633" s="58"/>
      <c r="L8633" s="13" t="str">
        <f t="shared" si="1398"/>
        <v/>
      </c>
      <c r="M8633" s="13" t="str">
        <f t="shared" si="1399"/>
        <v/>
      </c>
      <c r="Q8633" t="str">
        <f t="shared" si="1400"/>
        <v/>
      </c>
      <c r="R8633" t="str">
        <f t="shared" si="1401"/>
        <v/>
      </c>
      <c r="S8633" t="str">
        <f t="shared" si="1402"/>
        <v/>
      </c>
      <c r="T8633" t="str">
        <f t="shared" si="1403"/>
        <v/>
      </c>
      <c r="U8633" t="str">
        <f t="shared" si="1404"/>
        <v/>
      </c>
      <c r="V8633" t="str">
        <f t="shared" si="1405"/>
        <v/>
      </c>
      <c r="W8633" t="str">
        <f t="shared" si="1406"/>
        <v/>
      </c>
      <c r="X8633">
        <f t="shared" si="1408"/>
        <v>0</v>
      </c>
      <c r="Z8633" t="str">
        <f t="shared" si="1407"/>
        <v/>
      </c>
      <c r="AA8633">
        <f t="shared" si="1409"/>
        <v>0</v>
      </c>
    </row>
    <row r="8634" spans="1:27" ht="21" customHeight="1" x14ac:dyDescent="0.95">
      <c r="A8634" s="56"/>
      <c r="B8634" s="57"/>
      <c r="C8634" s="57"/>
      <c r="D8634" s="57"/>
      <c r="E8634" s="56"/>
      <c r="F8634" s="57"/>
      <c r="G8634" s="57"/>
      <c r="H8634" s="56"/>
      <c r="I8634" s="56"/>
      <c r="J8634" s="58"/>
      <c r="K8634" s="58"/>
      <c r="L8634" s="13" t="str">
        <f t="shared" si="1398"/>
        <v/>
      </c>
      <c r="M8634" s="13" t="str">
        <f t="shared" si="1399"/>
        <v/>
      </c>
      <c r="Q8634" t="str">
        <f t="shared" si="1400"/>
        <v/>
      </c>
      <c r="R8634" t="str">
        <f t="shared" si="1401"/>
        <v/>
      </c>
      <c r="S8634" t="str">
        <f t="shared" si="1402"/>
        <v/>
      </c>
      <c r="T8634" t="str">
        <f t="shared" si="1403"/>
        <v/>
      </c>
      <c r="U8634" t="str">
        <f t="shared" si="1404"/>
        <v/>
      </c>
      <c r="V8634" t="str">
        <f t="shared" si="1405"/>
        <v/>
      </c>
      <c r="W8634" t="str">
        <f t="shared" si="1406"/>
        <v/>
      </c>
      <c r="X8634">
        <f t="shared" si="1408"/>
        <v>0</v>
      </c>
      <c r="Z8634" t="str">
        <f t="shared" si="1407"/>
        <v/>
      </c>
      <c r="AA8634">
        <f t="shared" si="1409"/>
        <v>0</v>
      </c>
    </row>
    <row r="8635" spans="1:27" ht="21" customHeight="1" x14ac:dyDescent="0.95">
      <c r="A8635" s="56"/>
      <c r="B8635" s="57"/>
      <c r="C8635" s="57"/>
      <c r="D8635" s="57"/>
      <c r="E8635" s="56"/>
      <c r="F8635" s="57"/>
      <c r="G8635" s="57"/>
      <c r="H8635" s="56"/>
      <c r="I8635" s="56"/>
      <c r="J8635" s="58"/>
      <c r="K8635" s="58"/>
      <c r="L8635" s="13" t="str">
        <f t="shared" si="1398"/>
        <v/>
      </c>
      <c r="M8635" s="13" t="str">
        <f t="shared" si="1399"/>
        <v/>
      </c>
      <c r="Q8635" t="str">
        <f t="shared" si="1400"/>
        <v/>
      </c>
      <c r="R8635" t="str">
        <f t="shared" si="1401"/>
        <v/>
      </c>
      <c r="S8635" t="str">
        <f t="shared" si="1402"/>
        <v/>
      </c>
      <c r="T8635" t="str">
        <f t="shared" si="1403"/>
        <v/>
      </c>
      <c r="U8635" t="str">
        <f t="shared" si="1404"/>
        <v/>
      </c>
      <c r="V8635" t="str">
        <f t="shared" si="1405"/>
        <v/>
      </c>
      <c r="W8635" t="str">
        <f t="shared" si="1406"/>
        <v/>
      </c>
      <c r="X8635">
        <f t="shared" si="1408"/>
        <v>0</v>
      </c>
      <c r="Z8635" t="str">
        <f t="shared" si="1407"/>
        <v/>
      </c>
      <c r="AA8635">
        <f t="shared" si="1409"/>
        <v>0</v>
      </c>
    </row>
    <row r="8636" spans="1:27" ht="21" customHeight="1" x14ac:dyDescent="0.95">
      <c r="A8636" s="56"/>
      <c r="B8636" s="57"/>
      <c r="C8636" s="57"/>
      <c r="D8636" s="57"/>
      <c r="E8636" s="56"/>
      <c r="F8636" s="57"/>
      <c r="G8636" s="57"/>
      <c r="H8636" s="56"/>
      <c r="I8636" s="56"/>
      <c r="J8636" s="58"/>
      <c r="K8636" s="58"/>
      <c r="L8636" s="13" t="str">
        <f t="shared" si="1398"/>
        <v/>
      </c>
      <c r="M8636" s="13" t="str">
        <f t="shared" si="1399"/>
        <v/>
      </c>
      <c r="Q8636" t="str">
        <f t="shared" si="1400"/>
        <v/>
      </c>
      <c r="R8636" t="str">
        <f t="shared" si="1401"/>
        <v/>
      </c>
      <c r="S8636" t="str">
        <f t="shared" si="1402"/>
        <v/>
      </c>
      <c r="T8636" t="str">
        <f t="shared" si="1403"/>
        <v/>
      </c>
      <c r="U8636" t="str">
        <f t="shared" si="1404"/>
        <v/>
      </c>
      <c r="V8636" t="str">
        <f t="shared" si="1405"/>
        <v/>
      </c>
      <c r="W8636" t="str">
        <f t="shared" si="1406"/>
        <v/>
      </c>
      <c r="X8636">
        <f t="shared" si="1408"/>
        <v>0</v>
      </c>
      <c r="Z8636" t="str">
        <f t="shared" si="1407"/>
        <v/>
      </c>
      <c r="AA8636">
        <f t="shared" si="1409"/>
        <v>0</v>
      </c>
    </row>
    <row r="8637" spans="1:27" ht="21" customHeight="1" x14ac:dyDescent="0.95">
      <c r="A8637" s="56"/>
      <c r="B8637" s="57"/>
      <c r="C8637" s="57"/>
      <c r="D8637" s="57"/>
      <c r="E8637" s="56"/>
      <c r="F8637" s="57"/>
      <c r="G8637" s="57"/>
      <c r="H8637" s="56"/>
      <c r="I8637" s="56"/>
      <c r="J8637" s="58"/>
      <c r="K8637" s="58"/>
      <c r="L8637" s="13" t="str">
        <f t="shared" si="1398"/>
        <v/>
      </c>
      <c r="M8637" s="13" t="str">
        <f t="shared" si="1399"/>
        <v/>
      </c>
      <c r="Q8637" t="str">
        <f t="shared" si="1400"/>
        <v/>
      </c>
      <c r="R8637" t="str">
        <f t="shared" si="1401"/>
        <v/>
      </c>
      <c r="S8637" t="str">
        <f t="shared" si="1402"/>
        <v/>
      </c>
      <c r="T8637" t="str">
        <f t="shared" si="1403"/>
        <v/>
      </c>
      <c r="U8637" t="str">
        <f t="shared" si="1404"/>
        <v/>
      </c>
      <c r="V8637" t="str">
        <f t="shared" si="1405"/>
        <v/>
      </c>
      <c r="W8637" t="str">
        <f t="shared" si="1406"/>
        <v/>
      </c>
      <c r="X8637">
        <f t="shared" si="1408"/>
        <v>0</v>
      </c>
      <c r="Z8637" t="str">
        <f t="shared" si="1407"/>
        <v/>
      </c>
      <c r="AA8637">
        <f t="shared" si="1409"/>
        <v>0</v>
      </c>
    </row>
    <row r="8638" spans="1:27" ht="21" customHeight="1" x14ac:dyDescent="0.95">
      <c r="A8638" s="56"/>
      <c r="B8638" s="57"/>
      <c r="C8638" s="57"/>
      <c r="D8638" s="57"/>
      <c r="E8638" s="56"/>
      <c r="F8638" s="57"/>
      <c r="G8638" s="57"/>
      <c r="H8638" s="56"/>
      <c r="I8638" s="56"/>
      <c r="J8638" s="58"/>
      <c r="K8638" s="58"/>
      <c r="L8638" s="13" t="str">
        <f t="shared" si="1398"/>
        <v/>
      </c>
      <c r="M8638" s="13" t="str">
        <f t="shared" si="1399"/>
        <v/>
      </c>
      <c r="Q8638" t="str">
        <f t="shared" si="1400"/>
        <v/>
      </c>
      <c r="R8638" t="str">
        <f t="shared" si="1401"/>
        <v/>
      </c>
      <c r="S8638" t="str">
        <f t="shared" si="1402"/>
        <v/>
      </c>
      <c r="T8638" t="str">
        <f t="shared" si="1403"/>
        <v/>
      </c>
      <c r="U8638" t="str">
        <f t="shared" si="1404"/>
        <v/>
      </c>
      <c r="V8638" t="str">
        <f t="shared" si="1405"/>
        <v/>
      </c>
      <c r="W8638" t="str">
        <f t="shared" si="1406"/>
        <v/>
      </c>
      <c r="X8638">
        <f t="shared" si="1408"/>
        <v>0</v>
      </c>
      <c r="Z8638" t="str">
        <f t="shared" si="1407"/>
        <v/>
      </c>
      <c r="AA8638">
        <f t="shared" si="1409"/>
        <v>0</v>
      </c>
    </row>
    <row r="8639" spans="1:27" ht="21" customHeight="1" x14ac:dyDescent="0.95">
      <c r="A8639" s="56"/>
      <c r="B8639" s="57"/>
      <c r="C8639" s="57"/>
      <c r="D8639" s="57"/>
      <c r="E8639" s="56"/>
      <c r="F8639" s="57"/>
      <c r="G8639" s="57"/>
      <c r="H8639" s="56"/>
      <c r="I8639" s="56"/>
      <c r="J8639" s="58"/>
      <c r="K8639" s="58"/>
      <c r="L8639" s="13" t="str">
        <f t="shared" si="1398"/>
        <v/>
      </c>
      <c r="M8639" s="13" t="str">
        <f t="shared" si="1399"/>
        <v/>
      </c>
      <c r="Q8639" t="str">
        <f t="shared" si="1400"/>
        <v/>
      </c>
      <c r="R8639" t="str">
        <f t="shared" si="1401"/>
        <v/>
      </c>
      <c r="S8639" t="str">
        <f t="shared" si="1402"/>
        <v/>
      </c>
      <c r="T8639" t="str">
        <f t="shared" si="1403"/>
        <v/>
      </c>
      <c r="U8639" t="str">
        <f t="shared" si="1404"/>
        <v/>
      </c>
      <c r="V8639" t="str">
        <f t="shared" si="1405"/>
        <v/>
      </c>
      <c r="W8639" t="str">
        <f t="shared" si="1406"/>
        <v/>
      </c>
      <c r="X8639">
        <f t="shared" si="1408"/>
        <v>0</v>
      </c>
      <c r="Z8639" t="str">
        <f t="shared" si="1407"/>
        <v/>
      </c>
      <c r="AA8639">
        <f t="shared" si="1409"/>
        <v>0</v>
      </c>
    </row>
    <row r="8640" spans="1:27" ht="21" customHeight="1" x14ac:dyDescent="0.95">
      <c r="A8640" s="56"/>
      <c r="B8640" s="57"/>
      <c r="C8640" s="57"/>
      <c r="D8640" s="57"/>
      <c r="E8640" s="56"/>
      <c r="F8640" s="57"/>
      <c r="G8640" s="57"/>
      <c r="H8640" s="56"/>
      <c r="I8640" s="56"/>
      <c r="J8640" s="58"/>
      <c r="K8640" s="58"/>
      <c r="L8640" s="13" t="str">
        <f t="shared" si="1398"/>
        <v/>
      </c>
      <c r="M8640" s="13" t="str">
        <f t="shared" si="1399"/>
        <v/>
      </c>
      <c r="Q8640" t="str">
        <f t="shared" si="1400"/>
        <v/>
      </c>
      <c r="R8640" t="str">
        <f t="shared" si="1401"/>
        <v/>
      </c>
      <c r="S8640" t="str">
        <f t="shared" si="1402"/>
        <v/>
      </c>
      <c r="T8640" t="str">
        <f t="shared" si="1403"/>
        <v/>
      </c>
      <c r="U8640" t="str">
        <f t="shared" si="1404"/>
        <v/>
      </c>
      <c r="V8640" t="str">
        <f t="shared" si="1405"/>
        <v/>
      </c>
      <c r="W8640" t="str">
        <f t="shared" si="1406"/>
        <v/>
      </c>
      <c r="X8640">
        <f t="shared" si="1408"/>
        <v>0</v>
      </c>
      <c r="Z8640" t="str">
        <f t="shared" si="1407"/>
        <v/>
      </c>
      <c r="AA8640">
        <f t="shared" si="1409"/>
        <v>0</v>
      </c>
    </row>
    <row r="8641" spans="1:27" ht="21" customHeight="1" x14ac:dyDescent="0.95">
      <c r="A8641" s="56"/>
      <c r="B8641" s="57"/>
      <c r="C8641" s="57"/>
      <c r="D8641" s="57"/>
      <c r="E8641" s="56"/>
      <c r="F8641" s="57"/>
      <c r="G8641" s="57"/>
      <c r="H8641" s="56"/>
      <c r="I8641" s="56"/>
      <c r="J8641" s="58"/>
      <c r="K8641" s="58"/>
      <c r="L8641" s="13" t="str">
        <f t="shared" si="1398"/>
        <v/>
      </c>
      <c r="M8641" s="13" t="str">
        <f t="shared" si="1399"/>
        <v/>
      </c>
      <c r="Q8641" t="str">
        <f t="shared" si="1400"/>
        <v/>
      </c>
      <c r="R8641" t="str">
        <f t="shared" si="1401"/>
        <v/>
      </c>
      <c r="S8641" t="str">
        <f t="shared" si="1402"/>
        <v/>
      </c>
      <c r="T8641" t="str">
        <f t="shared" si="1403"/>
        <v/>
      </c>
      <c r="U8641" t="str">
        <f t="shared" si="1404"/>
        <v/>
      </c>
      <c r="V8641" t="str">
        <f t="shared" si="1405"/>
        <v/>
      </c>
      <c r="W8641" t="str">
        <f t="shared" si="1406"/>
        <v/>
      </c>
      <c r="X8641">
        <f t="shared" si="1408"/>
        <v>0</v>
      </c>
      <c r="Z8641" t="str">
        <f t="shared" si="1407"/>
        <v/>
      </c>
      <c r="AA8641">
        <f t="shared" si="1409"/>
        <v>0</v>
      </c>
    </row>
    <row r="8642" spans="1:27" ht="21" customHeight="1" x14ac:dyDescent="0.95">
      <c r="A8642" s="56"/>
      <c r="B8642" s="57"/>
      <c r="C8642" s="57"/>
      <c r="D8642" s="57"/>
      <c r="E8642" s="56"/>
      <c r="F8642" s="57"/>
      <c r="G8642" s="57"/>
      <c r="H8642" s="56"/>
      <c r="I8642" s="56"/>
      <c r="J8642" s="58"/>
      <c r="K8642" s="58"/>
      <c r="L8642" s="13" t="str">
        <f t="shared" si="1398"/>
        <v/>
      </c>
      <c r="M8642" s="13" t="str">
        <f t="shared" si="1399"/>
        <v/>
      </c>
      <c r="Q8642" t="str">
        <f t="shared" si="1400"/>
        <v/>
      </c>
      <c r="R8642" t="str">
        <f t="shared" si="1401"/>
        <v/>
      </c>
      <c r="S8642" t="str">
        <f t="shared" si="1402"/>
        <v/>
      </c>
      <c r="T8642" t="str">
        <f t="shared" si="1403"/>
        <v/>
      </c>
      <c r="U8642" t="str">
        <f t="shared" si="1404"/>
        <v/>
      </c>
      <c r="V8642" t="str">
        <f t="shared" si="1405"/>
        <v/>
      </c>
      <c r="W8642" t="str">
        <f t="shared" si="1406"/>
        <v/>
      </c>
      <c r="X8642">
        <f t="shared" si="1408"/>
        <v>0</v>
      </c>
      <c r="Z8642" t="str">
        <f t="shared" si="1407"/>
        <v/>
      </c>
      <c r="AA8642">
        <f t="shared" si="1409"/>
        <v>0</v>
      </c>
    </row>
    <row r="8643" spans="1:27" ht="21" customHeight="1" x14ac:dyDescent="0.95">
      <c r="A8643" s="56"/>
      <c r="B8643" s="57"/>
      <c r="C8643" s="57"/>
      <c r="D8643" s="57"/>
      <c r="E8643" s="56"/>
      <c r="F8643" s="57"/>
      <c r="G8643" s="57"/>
      <c r="H8643" s="56"/>
      <c r="I8643" s="56"/>
      <c r="J8643" s="58"/>
      <c r="K8643" s="58"/>
      <c r="L8643" s="13" t="str">
        <f t="shared" si="1398"/>
        <v/>
      </c>
      <c r="M8643" s="13" t="str">
        <f t="shared" si="1399"/>
        <v/>
      </c>
      <c r="Q8643" t="str">
        <f t="shared" si="1400"/>
        <v/>
      </c>
      <c r="R8643" t="str">
        <f t="shared" si="1401"/>
        <v/>
      </c>
      <c r="S8643" t="str">
        <f t="shared" si="1402"/>
        <v/>
      </c>
      <c r="T8643" t="str">
        <f t="shared" si="1403"/>
        <v/>
      </c>
      <c r="U8643" t="str">
        <f t="shared" si="1404"/>
        <v/>
      </c>
      <c r="V8643" t="str">
        <f t="shared" si="1405"/>
        <v/>
      </c>
      <c r="W8643" t="str">
        <f t="shared" si="1406"/>
        <v/>
      </c>
      <c r="X8643">
        <f t="shared" si="1408"/>
        <v>0</v>
      </c>
      <c r="Z8643" t="str">
        <f t="shared" si="1407"/>
        <v/>
      </c>
      <c r="AA8643">
        <f t="shared" si="1409"/>
        <v>0</v>
      </c>
    </row>
    <row r="8644" spans="1:27" ht="21" customHeight="1" x14ac:dyDescent="0.95">
      <c r="A8644" s="56"/>
      <c r="B8644" s="57"/>
      <c r="C8644" s="57"/>
      <c r="D8644" s="57"/>
      <c r="E8644" s="56"/>
      <c r="F8644" s="57"/>
      <c r="G8644" s="57"/>
      <c r="H8644" s="56"/>
      <c r="I8644" s="56"/>
      <c r="J8644" s="58"/>
      <c r="K8644" s="58"/>
      <c r="L8644" s="13" t="str">
        <f t="shared" ref="L8644:L8707" si="1410">IF(OR($A8644="",AND($J8644="",$K8644="")),"",ROUND(N($J8644)-N($K8644),2))</f>
        <v/>
      </c>
      <c r="M8644" s="13" t="str">
        <f t="shared" ref="M8644:M8707" si="1411">IF(OR($A8644="",AND($J8644="",$K8644="")),"",MIN($J8644,$K8644))</f>
        <v/>
      </c>
      <c r="Q8644" t="str">
        <f t="shared" ref="Q8644:Q8707" si="1412">IF($A8644="","",$D8644&amp;"("&amp;SUBSTITUTE($E8644," ","")&amp;")")</f>
        <v/>
      </c>
      <c r="R8644" t="str">
        <f t="shared" ref="R8644:R8707" si="1413">IF($A8644="","",$B8644&amp;" - "&amp;$C8644)</f>
        <v/>
      </c>
      <c r="S8644" t="str">
        <f t="shared" ref="S8644:S8707" si="1414">IF($A8644="","",$R8644&amp;"|"&amp;$Q8644)</f>
        <v/>
      </c>
      <c r="T8644" t="str">
        <f t="shared" ref="T8644:T8707" si="1415">IF($A8644="","",$S8644&amp;"|"&amp;$F8644)</f>
        <v/>
      </c>
      <c r="U8644" t="str">
        <f t="shared" ref="U8644:U8707" si="1416">IF($A8644="","",$R8644&amp;"("&amp;$E8644&amp;")")</f>
        <v/>
      </c>
      <c r="V8644" t="str">
        <f t="shared" ref="V8644:V8707" si="1417">IF($A8644="","",$F8644&amp;"|"&amp;$U8644&amp;"|"&amp;$D8644)</f>
        <v/>
      </c>
      <c r="W8644" t="str">
        <f t="shared" si="1406"/>
        <v/>
      </c>
      <c r="X8644">
        <f t="shared" si="1408"/>
        <v>0</v>
      </c>
      <c r="Z8644" t="str">
        <f t="shared" si="1407"/>
        <v/>
      </c>
      <c r="AA8644">
        <f t="shared" si="1409"/>
        <v>0</v>
      </c>
    </row>
    <row r="8645" spans="1:27" ht="21" customHeight="1" x14ac:dyDescent="0.95">
      <c r="A8645" s="56"/>
      <c r="B8645" s="57"/>
      <c r="C8645" s="57"/>
      <c r="D8645" s="57"/>
      <c r="E8645" s="56"/>
      <c r="F8645" s="57"/>
      <c r="G8645" s="57"/>
      <c r="H8645" s="56"/>
      <c r="I8645" s="56"/>
      <c r="J8645" s="58"/>
      <c r="K8645" s="58"/>
      <c r="L8645" s="13" t="str">
        <f t="shared" si="1410"/>
        <v/>
      </c>
      <c r="M8645" s="13" t="str">
        <f t="shared" si="1411"/>
        <v/>
      </c>
      <c r="Q8645" t="str">
        <f t="shared" si="1412"/>
        <v/>
      </c>
      <c r="R8645" t="str">
        <f t="shared" si="1413"/>
        <v/>
      </c>
      <c r="S8645" t="str">
        <f t="shared" si="1414"/>
        <v/>
      </c>
      <c r="T8645" t="str">
        <f t="shared" si="1415"/>
        <v/>
      </c>
      <c r="U8645" t="str">
        <f t="shared" si="1416"/>
        <v/>
      </c>
      <c r="V8645" t="str">
        <f t="shared" si="1417"/>
        <v/>
      </c>
      <c r="W8645" t="str">
        <f t="shared" si="1406"/>
        <v/>
      </c>
      <c r="X8645">
        <f t="shared" si="1408"/>
        <v>0</v>
      </c>
      <c r="Z8645" t="str">
        <f t="shared" si="1407"/>
        <v/>
      </c>
      <c r="AA8645">
        <f t="shared" si="1409"/>
        <v>0</v>
      </c>
    </row>
    <row r="8646" spans="1:27" ht="21" customHeight="1" x14ac:dyDescent="0.95">
      <c r="A8646" s="56"/>
      <c r="B8646" s="57"/>
      <c r="C8646" s="57"/>
      <c r="D8646" s="57"/>
      <c r="E8646" s="56"/>
      <c r="F8646" s="57"/>
      <c r="G8646" s="57"/>
      <c r="H8646" s="56"/>
      <c r="I8646" s="56"/>
      <c r="J8646" s="58"/>
      <c r="K8646" s="58"/>
      <c r="L8646" s="13" t="str">
        <f t="shared" si="1410"/>
        <v/>
      </c>
      <c r="M8646" s="13" t="str">
        <f t="shared" si="1411"/>
        <v/>
      </c>
      <c r="Q8646" t="str">
        <f t="shared" si="1412"/>
        <v/>
      </c>
      <c r="R8646" t="str">
        <f t="shared" si="1413"/>
        <v/>
      </c>
      <c r="S8646" t="str">
        <f t="shared" si="1414"/>
        <v/>
      </c>
      <c r="T8646" t="str">
        <f t="shared" si="1415"/>
        <v/>
      </c>
      <c r="U8646" t="str">
        <f t="shared" si="1416"/>
        <v/>
      </c>
      <c r="V8646" t="str">
        <f t="shared" si="1417"/>
        <v/>
      </c>
      <c r="W8646" t="str">
        <f t="shared" ref="W8646:W8709" si="1418">IF($T8646="","",IF($X8646&gt;N($X8645),$X8646,""))</f>
        <v/>
      </c>
      <c r="X8646">
        <f t="shared" si="1408"/>
        <v>0</v>
      </c>
      <c r="Z8646" t="str">
        <f t="shared" ref="Z8646:Z8709" si="1419">IF($V8646="","",IF($AA8646&gt;N($AA8645),$AA8646,""))</f>
        <v/>
      </c>
      <c r="AA8646">
        <f t="shared" si="1409"/>
        <v>0</v>
      </c>
    </row>
    <row r="8647" spans="1:27" ht="21" customHeight="1" x14ac:dyDescent="0.95">
      <c r="A8647" s="56"/>
      <c r="B8647" s="57"/>
      <c r="C8647" s="57"/>
      <c r="D8647" s="57"/>
      <c r="E8647" s="56"/>
      <c r="F8647" s="57"/>
      <c r="G8647" s="57"/>
      <c r="H8647" s="56"/>
      <c r="I8647" s="56"/>
      <c r="J8647" s="58"/>
      <c r="K8647" s="58"/>
      <c r="L8647" s="13" t="str">
        <f t="shared" si="1410"/>
        <v/>
      </c>
      <c r="M8647" s="13" t="str">
        <f t="shared" si="1411"/>
        <v/>
      </c>
      <c r="Q8647" t="str">
        <f t="shared" si="1412"/>
        <v/>
      </c>
      <c r="R8647" t="str">
        <f t="shared" si="1413"/>
        <v/>
      </c>
      <c r="S8647" t="str">
        <f t="shared" si="1414"/>
        <v/>
      </c>
      <c r="T8647" t="str">
        <f t="shared" si="1415"/>
        <v/>
      </c>
      <c r="U8647" t="str">
        <f t="shared" si="1416"/>
        <v/>
      </c>
      <c r="V8647" t="str">
        <f t="shared" si="1417"/>
        <v/>
      </c>
      <c r="W8647" t="str">
        <f t="shared" si="1418"/>
        <v/>
      </c>
      <c r="X8647">
        <f t="shared" si="1408"/>
        <v>0</v>
      </c>
      <c r="Z8647" t="str">
        <f t="shared" si="1419"/>
        <v/>
      </c>
      <c r="AA8647">
        <f t="shared" si="1409"/>
        <v>0</v>
      </c>
    </row>
    <row r="8648" spans="1:27" ht="21" customHeight="1" x14ac:dyDescent="0.95">
      <c r="A8648" s="56"/>
      <c r="B8648" s="57"/>
      <c r="C8648" s="57"/>
      <c r="D8648" s="57"/>
      <c r="E8648" s="56"/>
      <c r="F8648" s="57"/>
      <c r="G8648" s="57"/>
      <c r="H8648" s="56"/>
      <c r="I8648" s="56"/>
      <c r="J8648" s="58"/>
      <c r="K8648" s="58"/>
      <c r="L8648" s="13" t="str">
        <f t="shared" si="1410"/>
        <v/>
      </c>
      <c r="M8648" s="13" t="str">
        <f t="shared" si="1411"/>
        <v/>
      </c>
      <c r="Q8648" t="str">
        <f t="shared" si="1412"/>
        <v/>
      </c>
      <c r="R8648" t="str">
        <f t="shared" si="1413"/>
        <v/>
      </c>
      <c r="S8648" t="str">
        <f t="shared" si="1414"/>
        <v/>
      </c>
      <c r="T8648" t="str">
        <f t="shared" si="1415"/>
        <v/>
      </c>
      <c r="U8648" t="str">
        <f t="shared" si="1416"/>
        <v/>
      </c>
      <c r="V8648" t="str">
        <f t="shared" si="1417"/>
        <v/>
      </c>
      <c r="W8648" t="str">
        <f t="shared" si="1418"/>
        <v/>
      </c>
      <c r="X8648">
        <f t="shared" si="1408"/>
        <v>0</v>
      </c>
      <c r="Z8648" t="str">
        <f t="shared" si="1419"/>
        <v/>
      </c>
      <c r="AA8648">
        <f t="shared" si="1409"/>
        <v>0</v>
      </c>
    </row>
    <row r="8649" spans="1:27" ht="21" customHeight="1" x14ac:dyDescent="0.95">
      <c r="A8649" s="56"/>
      <c r="B8649" s="57"/>
      <c r="C8649" s="57"/>
      <c r="D8649" s="57"/>
      <c r="E8649" s="56"/>
      <c r="F8649" s="57"/>
      <c r="G8649" s="57"/>
      <c r="H8649" s="56"/>
      <c r="I8649" s="56"/>
      <c r="J8649" s="58"/>
      <c r="K8649" s="58"/>
      <c r="L8649" s="13" t="str">
        <f t="shared" si="1410"/>
        <v/>
      </c>
      <c r="M8649" s="13" t="str">
        <f t="shared" si="1411"/>
        <v/>
      </c>
      <c r="Q8649" t="str">
        <f t="shared" si="1412"/>
        <v/>
      </c>
      <c r="R8649" t="str">
        <f t="shared" si="1413"/>
        <v/>
      </c>
      <c r="S8649" t="str">
        <f t="shared" si="1414"/>
        <v/>
      </c>
      <c r="T8649" t="str">
        <f t="shared" si="1415"/>
        <v/>
      </c>
      <c r="U8649" t="str">
        <f t="shared" si="1416"/>
        <v/>
      </c>
      <c r="V8649" t="str">
        <f t="shared" si="1417"/>
        <v/>
      </c>
      <c r="W8649" t="str">
        <f t="shared" si="1418"/>
        <v/>
      </c>
      <c r="X8649">
        <f t="shared" si="1408"/>
        <v>0</v>
      </c>
      <c r="Z8649" t="str">
        <f t="shared" si="1419"/>
        <v/>
      </c>
      <c r="AA8649">
        <f t="shared" si="1409"/>
        <v>0</v>
      </c>
    </row>
    <row r="8650" spans="1:27" ht="21" customHeight="1" x14ac:dyDescent="0.95">
      <c r="A8650" s="56"/>
      <c r="B8650" s="57"/>
      <c r="C8650" s="57"/>
      <c r="D8650" s="57"/>
      <c r="E8650" s="56"/>
      <c r="F8650" s="57"/>
      <c r="G8650" s="57"/>
      <c r="H8650" s="56"/>
      <c r="I8650" s="56"/>
      <c r="J8650" s="58"/>
      <c r="K8650" s="58"/>
      <c r="L8650" s="13" t="str">
        <f t="shared" si="1410"/>
        <v/>
      </c>
      <c r="M8650" s="13" t="str">
        <f t="shared" si="1411"/>
        <v/>
      </c>
      <c r="Q8650" t="str">
        <f t="shared" si="1412"/>
        <v/>
      </c>
      <c r="R8650" t="str">
        <f t="shared" si="1413"/>
        <v/>
      </c>
      <c r="S8650" t="str">
        <f t="shared" si="1414"/>
        <v/>
      </c>
      <c r="T8650" t="str">
        <f t="shared" si="1415"/>
        <v/>
      </c>
      <c r="U8650" t="str">
        <f t="shared" si="1416"/>
        <v/>
      </c>
      <c r="V8650" t="str">
        <f t="shared" si="1417"/>
        <v/>
      </c>
      <c r="W8650" t="str">
        <f t="shared" si="1418"/>
        <v/>
      </c>
      <c r="X8650">
        <f t="shared" si="1408"/>
        <v>0</v>
      </c>
      <c r="Z8650" t="str">
        <f t="shared" si="1419"/>
        <v/>
      </c>
      <c r="AA8650">
        <f t="shared" si="1409"/>
        <v>0</v>
      </c>
    </row>
    <row r="8651" spans="1:27" ht="21" customHeight="1" x14ac:dyDescent="0.95">
      <c r="A8651" s="56"/>
      <c r="B8651" s="57"/>
      <c r="C8651" s="57"/>
      <c r="D8651" s="57"/>
      <c r="E8651" s="56"/>
      <c r="F8651" s="57"/>
      <c r="G8651" s="57"/>
      <c r="H8651" s="56"/>
      <c r="I8651" s="56"/>
      <c r="J8651" s="58"/>
      <c r="K8651" s="58"/>
      <c r="L8651" s="13" t="str">
        <f t="shared" si="1410"/>
        <v/>
      </c>
      <c r="M8651" s="13" t="str">
        <f t="shared" si="1411"/>
        <v/>
      </c>
      <c r="Q8651" t="str">
        <f t="shared" si="1412"/>
        <v/>
      </c>
      <c r="R8651" t="str">
        <f t="shared" si="1413"/>
        <v/>
      </c>
      <c r="S8651" t="str">
        <f t="shared" si="1414"/>
        <v/>
      </c>
      <c r="T8651" t="str">
        <f t="shared" si="1415"/>
        <v/>
      </c>
      <c r="U8651" t="str">
        <f t="shared" si="1416"/>
        <v/>
      </c>
      <c r="V8651" t="str">
        <f t="shared" si="1417"/>
        <v/>
      </c>
      <c r="W8651" t="str">
        <f t="shared" si="1418"/>
        <v/>
      </c>
      <c r="X8651">
        <f t="shared" si="1408"/>
        <v>0</v>
      </c>
      <c r="Z8651" t="str">
        <f t="shared" si="1419"/>
        <v/>
      </c>
      <c r="AA8651">
        <f t="shared" si="1409"/>
        <v>0</v>
      </c>
    </row>
    <row r="8652" spans="1:27" ht="21" customHeight="1" x14ac:dyDescent="0.95">
      <c r="A8652" s="56"/>
      <c r="B8652" s="57"/>
      <c r="C8652" s="57"/>
      <c r="D8652" s="57"/>
      <c r="E8652" s="56"/>
      <c r="F8652" s="57"/>
      <c r="G8652" s="57"/>
      <c r="H8652" s="56"/>
      <c r="I8652" s="56"/>
      <c r="J8652" s="58"/>
      <c r="K8652" s="58"/>
      <c r="L8652" s="13" t="str">
        <f t="shared" si="1410"/>
        <v/>
      </c>
      <c r="M8652" s="13" t="str">
        <f t="shared" si="1411"/>
        <v/>
      </c>
      <c r="Q8652" t="str">
        <f t="shared" si="1412"/>
        <v/>
      </c>
      <c r="R8652" t="str">
        <f t="shared" si="1413"/>
        <v/>
      </c>
      <c r="S8652" t="str">
        <f t="shared" si="1414"/>
        <v/>
      </c>
      <c r="T8652" t="str">
        <f t="shared" si="1415"/>
        <v/>
      </c>
      <c r="U8652" t="str">
        <f t="shared" si="1416"/>
        <v/>
      </c>
      <c r="V8652" t="str">
        <f t="shared" si="1417"/>
        <v/>
      </c>
      <c r="W8652" t="str">
        <f t="shared" si="1418"/>
        <v/>
      </c>
      <c r="X8652">
        <f t="shared" si="1408"/>
        <v>0</v>
      </c>
      <c r="Z8652" t="str">
        <f t="shared" si="1419"/>
        <v/>
      </c>
      <c r="AA8652">
        <f t="shared" si="1409"/>
        <v>0</v>
      </c>
    </row>
    <row r="8653" spans="1:27" ht="21" customHeight="1" x14ac:dyDescent="0.95">
      <c r="A8653" s="56"/>
      <c r="B8653" s="57"/>
      <c r="C8653" s="57"/>
      <c r="D8653" s="57"/>
      <c r="E8653" s="56"/>
      <c r="F8653" s="57"/>
      <c r="G8653" s="57"/>
      <c r="H8653" s="56"/>
      <c r="I8653" s="56"/>
      <c r="J8653" s="58"/>
      <c r="K8653" s="58"/>
      <c r="L8653" s="13" t="str">
        <f t="shared" si="1410"/>
        <v/>
      </c>
      <c r="M8653" s="13" t="str">
        <f t="shared" si="1411"/>
        <v/>
      </c>
      <c r="Q8653" t="str">
        <f t="shared" si="1412"/>
        <v/>
      </c>
      <c r="R8653" t="str">
        <f t="shared" si="1413"/>
        <v/>
      </c>
      <c r="S8653" t="str">
        <f t="shared" si="1414"/>
        <v/>
      </c>
      <c r="T8653" t="str">
        <f t="shared" si="1415"/>
        <v/>
      </c>
      <c r="U8653" t="str">
        <f t="shared" si="1416"/>
        <v/>
      </c>
      <c r="V8653" t="str">
        <f t="shared" si="1417"/>
        <v/>
      </c>
      <c r="W8653" t="str">
        <f t="shared" si="1418"/>
        <v/>
      </c>
      <c r="X8653">
        <f t="shared" si="1408"/>
        <v>0</v>
      </c>
      <c r="Z8653" t="str">
        <f t="shared" si="1419"/>
        <v/>
      </c>
      <c r="AA8653">
        <f t="shared" si="1409"/>
        <v>0</v>
      </c>
    </row>
    <row r="8654" spans="1:27" ht="21" customHeight="1" x14ac:dyDescent="0.95">
      <c r="A8654" s="56"/>
      <c r="B8654" s="57"/>
      <c r="C8654" s="57"/>
      <c r="D8654" s="57"/>
      <c r="E8654" s="56"/>
      <c r="F8654" s="57"/>
      <c r="G8654" s="57"/>
      <c r="H8654" s="56"/>
      <c r="I8654" s="56"/>
      <c r="J8654" s="58"/>
      <c r="K8654" s="58"/>
      <c r="L8654" s="13" t="str">
        <f t="shared" si="1410"/>
        <v/>
      </c>
      <c r="M8654" s="13" t="str">
        <f t="shared" si="1411"/>
        <v/>
      </c>
      <c r="Q8654" t="str">
        <f t="shared" si="1412"/>
        <v/>
      </c>
      <c r="R8654" t="str">
        <f t="shared" si="1413"/>
        <v/>
      </c>
      <c r="S8654" t="str">
        <f t="shared" si="1414"/>
        <v/>
      </c>
      <c r="T8654" t="str">
        <f t="shared" si="1415"/>
        <v/>
      </c>
      <c r="U8654" t="str">
        <f t="shared" si="1416"/>
        <v/>
      </c>
      <c r="V8654" t="str">
        <f t="shared" si="1417"/>
        <v/>
      </c>
      <c r="W8654" t="str">
        <f t="shared" si="1418"/>
        <v/>
      </c>
      <c r="X8654">
        <f t="shared" si="1408"/>
        <v>0</v>
      </c>
      <c r="Z8654" t="str">
        <f t="shared" si="1419"/>
        <v/>
      </c>
      <c r="AA8654">
        <f t="shared" si="1409"/>
        <v>0</v>
      </c>
    </row>
    <row r="8655" spans="1:27" ht="21" customHeight="1" x14ac:dyDescent="0.95">
      <c r="A8655" s="56"/>
      <c r="B8655" s="57"/>
      <c r="C8655" s="57"/>
      <c r="D8655" s="57"/>
      <c r="E8655" s="56"/>
      <c r="F8655" s="57"/>
      <c r="G8655" s="57"/>
      <c r="H8655" s="56"/>
      <c r="I8655" s="56"/>
      <c r="J8655" s="58"/>
      <c r="K8655" s="58"/>
      <c r="L8655" s="13" t="str">
        <f t="shared" si="1410"/>
        <v/>
      </c>
      <c r="M8655" s="13" t="str">
        <f t="shared" si="1411"/>
        <v/>
      </c>
      <c r="Q8655" t="str">
        <f t="shared" si="1412"/>
        <v/>
      </c>
      <c r="R8655" t="str">
        <f t="shared" si="1413"/>
        <v/>
      </c>
      <c r="S8655" t="str">
        <f t="shared" si="1414"/>
        <v/>
      </c>
      <c r="T8655" t="str">
        <f t="shared" si="1415"/>
        <v/>
      </c>
      <c r="U8655" t="str">
        <f t="shared" si="1416"/>
        <v/>
      </c>
      <c r="V8655" t="str">
        <f t="shared" si="1417"/>
        <v/>
      </c>
      <c r="W8655" t="str">
        <f t="shared" si="1418"/>
        <v/>
      </c>
      <c r="X8655">
        <f t="shared" si="1408"/>
        <v>0</v>
      </c>
      <c r="Z8655" t="str">
        <f t="shared" si="1419"/>
        <v/>
      </c>
      <c r="AA8655">
        <f t="shared" si="1409"/>
        <v>0</v>
      </c>
    </row>
    <row r="8656" spans="1:27" ht="21" customHeight="1" x14ac:dyDescent="0.95">
      <c r="A8656" s="56"/>
      <c r="B8656" s="57"/>
      <c r="C8656" s="57"/>
      <c r="D8656" s="57"/>
      <c r="E8656" s="56"/>
      <c r="F8656" s="57"/>
      <c r="G8656" s="57"/>
      <c r="H8656" s="56"/>
      <c r="I8656" s="56"/>
      <c r="J8656" s="58"/>
      <c r="K8656" s="58"/>
      <c r="L8656" s="13" t="str">
        <f t="shared" si="1410"/>
        <v/>
      </c>
      <c r="M8656" s="13" t="str">
        <f t="shared" si="1411"/>
        <v/>
      </c>
      <c r="Q8656" t="str">
        <f t="shared" si="1412"/>
        <v/>
      </c>
      <c r="R8656" t="str">
        <f t="shared" si="1413"/>
        <v/>
      </c>
      <c r="S8656" t="str">
        <f t="shared" si="1414"/>
        <v/>
      </c>
      <c r="T8656" t="str">
        <f t="shared" si="1415"/>
        <v/>
      </c>
      <c r="U8656" t="str">
        <f t="shared" si="1416"/>
        <v/>
      </c>
      <c r="V8656" t="str">
        <f t="shared" si="1417"/>
        <v/>
      </c>
      <c r="W8656" t="str">
        <f t="shared" si="1418"/>
        <v/>
      </c>
      <c r="X8656">
        <f t="shared" si="1408"/>
        <v>0</v>
      </c>
      <c r="Z8656" t="str">
        <f t="shared" si="1419"/>
        <v/>
      </c>
      <c r="AA8656">
        <f t="shared" si="1409"/>
        <v>0</v>
      </c>
    </row>
    <row r="8657" spans="1:27" ht="21" customHeight="1" x14ac:dyDescent="0.95">
      <c r="A8657" s="56"/>
      <c r="B8657" s="57"/>
      <c r="C8657" s="57"/>
      <c r="D8657" s="57"/>
      <c r="E8657" s="56"/>
      <c r="F8657" s="57"/>
      <c r="G8657" s="57"/>
      <c r="H8657" s="56"/>
      <c r="I8657" s="56"/>
      <c r="J8657" s="58"/>
      <c r="K8657" s="58"/>
      <c r="L8657" s="13" t="str">
        <f t="shared" si="1410"/>
        <v/>
      </c>
      <c r="M8657" s="13" t="str">
        <f t="shared" si="1411"/>
        <v/>
      </c>
      <c r="Q8657" t="str">
        <f t="shared" si="1412"/>
        <v/>
      </c>
      <c r="R8657" t="str">
        <f t="shared" si="1413"/>
        <v/>
      </c>
      <c r="S8657" t="str">
        <f t="shared" si="1414"/>
        <v/>
      </c>
      <c r="T8657" t="str">
        <f t="shared" si="1415"/>
        <v/>
      </c>
      <c r="U8657" t="str">
        <f t="shared" si="1416"/>
        <v/>
      </c>
      <c r="V8657" t="str">
        <f t="shared" si="1417"/>
        <v/>
      </c>
      <c r="W8657" t="str">
        <f t="shared" si="1418"/>
        <v/>
      </c>
      <c r="X8657">
        <f t="shared" si="1408"/>
        <v>0</v>
      </c>
      <c r="Z8657" t="str">
        <f t="shared" si="1419"/>
        <v/>
      </c>
      <c r="AA8657">
        <f t="shared" si="1409"/>
        <v>0</v>
      </c>
    </row>
    <row r="8658" spans="1:27" ht="21" customHeight="1" x14ac:dyDescent="0.95">
      <c r="A8658" s="56"/>
      <c r="B8658" s="57"/>
      <c r="C8658" s="57"/>
      <c r="D8658" s="57"/>
      <c r="E8658" s="56"/>
      <c r="F8658" s="57"/>
      <c r="G8658" s="57"/>
      <c r="H8658" s="56"/>
      <c r="I8658" s="56"/>
      <c r="J8658" s="58"/>
      <c r="K8658" s="58"/>
      <c r="L8658" s="13" t="str">
        <f t="shared" si="1410"/>
        <v/>
      </c>
      <c r="M8658" s="13" t="str">
        <f t="shared" si="1411"/>
        <v/>
      </c>
      <c r="Q8658" t="str">
        <f t="shared" si="1412"/>
        <v/>
      </c>
      <c r="R8658" t="str">
        <f t="shared" si="1413"/>
        <v/>
      </c>
      <c r="S8658" t="str">
        <f t="shared" si="1414"/>
        <v/>
      </c>
      <c r="T8658" t="str">
        <f t="shared" si="1415"/>
        <v/>
      </c>
      <c r="U8658" t="str">
        <f t="shared" si="1416"/>
        <v/>
      </c>
      <c r="V8658" t="str">
        <f t="shared" si="1417"/>
        <v/>
      </c>
      <c r="W8658" t="str">
        <f t="shared" si="1418"/>
        <v/>
      </c>
      <c r="X8658">
        <f t="shared" si="1408"/>
        <v>0</v>
      </c>
      <c r="Z8658" t="str">
        <f t="shared" si="1419"/>
        <v/>
      </c>
      <c r="AA8658">
        <f t="shared" si="1409"/>
        <v>0</v>
      </c>
    </row>
    <row r="8659" spans="1:27" ht="21" customHeight="1" x14ac:dyDescent="0.95">
      <c r="A8659" s="56"/>
      <c r="B8659" s="57"/>
      <c r="C8659" s="57"/>
      <c r="D8659" s="57"/>
      <c r="E8659" s="56"/>
      <c r="F8659" s="57"/>
      <c r="G8659" s="57"/>
      <c r="H8659" s="56"/>
      <c r="I8659" s="56"/>
      <c r="J8659" s="58"/>
      <c r="K8659" s="58"/>
      <c r="L8659" s="13" t="str">
        <f t="shared" si="1410"/>
        <v/>
      </c>
      <c r="M8659" s="13" t="str">
        <f t="shared" si="1411"/>
        <v/>
      </c>
      <c r="Q8659" t="str">
        <f t="shared" si="1412"/>
        <v/>
      </c>
      <c r="R8659" t="str">
        <f t="shared" si="1413"/>
        <v/>
      </c>
      <c r="S8659" t="str">
        <f t="shared" si="1414"/>
        <v/>
      </c>
      <c r="T8659" t="str">
        <f t="shared" si="1415"/>
        <v/>
      </c>
      <c r="U8659" t="str">
        <f t="shared" si="1416"/>
        <v/>
      </c>
      <c r="V8659" t="str">
        <f t="shared" si="1417"/>
        <v/>
      </c>
      <c r="W8659" t="str">
        <f t="shared" si="1418"/>
        <v/>
      </c>
      <c r="X8659">
        <f t="shared" si="1408"/>
        <v>0</v>
      </c>
      <c r="Z8659" t="str">
        <f t="shared" si="1419"/>
        <v/>
      </c>
      <c r="AA8659">
        <f t="shared" si="1409"/>
        <v>0</v>
      </c>
    </row>
    <row r="8660" spans="1:27" ht="21" customHeight="1" x14ac:dyDescent="0.95">
      <c r="A8660" s="56"/>
      <c r="B8660" s="57"/>
      <c r="C8660" s="57"/>
      <c r="D8660" s="57"/>
      <c r="E8660" s="56"/>
      <c r="F8660" s="57"/>
      <c r="G8660" s="57"/>
      <c r="H8660" s="56"/>
      <c r="I8660" s="56"/>
      <c r="J8660" s="58"/>
      <c r="K8660" s="58"/>
      <c r="L8660" s="13" t="str">
        <f t="shared" si="1410"/>
        <v/>
      </c>
      <c r="M8660" s="13" t="str">
        <f t="shared" si="1411"/>
        <v/>
      </c>
      <c r="Q8660" t="str">
        <f t="shared" si="1412"/>
        <v/>
      </c>
      <c r="R8660" t="str">
        <f t="shared" si="1413"/>
        <v/>
      </c>
      <c r="S8660" t="str">
        <f t="shared" si="1414"/>
        <v/>
      </c>
      <c r="T8660" t="str">
        <f t="shared" si="1415"/>
        <v/>
      </c>
      <c r="U8660" t="str">
        <f t="shared" si="1416"/>
        <v/>
      </c>
      <c r="V8660" t="str">
        <f t="shared" si="1417"/>
        <v/>
      </c>
      <c r="W8660" t="str">
        <f t="shared" si="1418"/>
        <v/>
      </c>
      <c r="X8660">
        <f t="shared" si="1408"/>
        <v>0</v>
      </c>
      <c r="Z8660" t="str">
        <f t="shared" si="1419"/>
        <v/>
      </c>
      <c r="AA8660">
        <f t="shared" si="1409"/>
        <v>0</v>
      </c>
    </row>
    <row r="8661" spans="1:27" ht="21" customHeight="1" x14ac:dyDescent="0.95">
      <c r="A8661" s="56"/>
      <c r="B8661" s="57"/>
      <c r="C8661" s="57"/>
      <c r="D8661" s="57"/>
      <c r="E8661" s="56"/>
      <c r="F8661" s="57"/>
      <c r="G8661" s="57"/>
      <c r="H8661" s="56"/>
      <c r="I8661" s="56"/>
      <c r="J8661" s="58"/>
      <c r="K8661" s="58"/>
      <c r="L8661" s="13" t="str">
        <f t="shared" si="1410"/>
        <v/>
      </c>
      <c r="M8661" s="13" t="str">
        <f t="shared" si="1411"/>
        <v/>
      </c>
      <c r="Q8661" t="str">
        <f t="shared" si="1412"/>
        <v/>
      </c>
      <c r="R8661" t="str">
        <f t="shared" si="1413"/>
        <v/>
      </c>
      <c r="S8661" t="str">
        <f t="shared" si="1414"/>
        <v/>
      </c>
      <c r="T8661" t="str">
        <f t="shared" si="1415"/>
        <v/>
      </c>
      <c r="U8661" t="str">
        <f t="shared" si="1416"/>
        <v/>
      </c>
      <c r="V8661" t="str">
        <f t="shared" si="1417"/>
        <v/>
      </c>
      <c r="W8661" t="str">
        <f t="shared" si="1418"/>
        <v/>
      </c>
      <c r="X8661">
        <f t="shared" si="1408"/>
        <v>0</v>
      </c>
      <c r="Z8661" t="str">
        <f t="shared" si="1419"/>
        <v/>
      </c>
      <c r="AA8661">
        <f t="shared" si="1409"/>
        <v>0</v>
      </c>
    </row>
    <row r="8662" spans="1:27" ht="21" customHeight="1" x14ac:dyDescent="0.95">
      <c r="A8662" s="56"/>
      <c r="B8662" s="57"/>
      <c r="C8662" s="57"/>
      <c r="D8662" s="57"/>
      <c r="E8662" s="56"/>
      <c r="F8662" s="57"/>
      <c r="G8662" s="57"/>
      <c r="H8662" s="56"/>
      <c r="I8662" s="56"/>
      <c r="J8662" s="58"/>
      <c r="K8662" s="58"/>
      <c r="L8662" s="13" t="str">
        <f t="shared" si="1410"/>
        <v/>
      </c>
      <c r="M8662" s="13" t="str">
        <f t="shared" si="1411"/>
        <v/>
      </c>
      <c r="Q8662" t="str">
        <f t="shared" si="1412"/>
        <v/>
      </c>
      <c r="R8662" t="str">
        <f t="shared" si="1413"/>
        <v/>
      </c>
      <c r="S8662" t="str">
        <f t="shared" si="1414"/>
        <v/>
      </c>
      <c r="T8662" t="str">
        <f t="shared" si="1415"/>
        <v/>
      </c>
      <c r="U8662" t="str">
        <f t="shared" si="1416"/>
        <v/>
      </c>
      <c r="V8662" t="str">
        <f t="shared" si="1417"/>
        <v/>
      </c>
      <c r="W8662" t="str">
        <f t="shared" si="1418"/>
        <v/>
      </c>
      <c r="X8662">
        <f t="shared" si="1408"/>
        <v>0</v>
      </c>
      <c r="Z8662" t="str">
        <f t="shared" si="1419"/>
        <v/>
      </c>
      <c r="AA8662">
        <f t="shared" si="1409"/>
        <v>0</v>
      </c>
    </row>
    <row r="8663" spans="1:27" ht="21" customHeight="1" x14ac:dyDescent="0.95">
      <c r="A8663" s="56"/>
      <c r="B8663" s="57"/>
      <c r="C8663" s="57"/>
      <c r="D8663" s="57"/>
      <c r="E8663" s="56"/>
      <c r="F8663" s="57"/>
      <c r="G8663" s="57"/>
      <c r="H8663" s="56"/>
      <c r="I8663" s="56"/>
      <c r="J8663" s="58"/>
      <c r="K8663" s="58"/>
      <c r="L8663" s="13" t="str">
        <f t="shared" si="1410"/>
        <v/>
      </c>
      <c r="M8663" s="13" t="str">
        <f t="shared" si="1411"/>
        <v/>
      </c>
      <c r="Q8663" t="str">
        <f t="shared" si="1412"/>
        <v/>
      </c>
      <c r="R8663" t="str">
        <f t="shared" si="1413"/>
        <v/>
      </c>
      <c r="S8663" t="str">
        <f t="shared" si="1414"/>
        <v/>
      </c>
      <c r="T8663" t="str">
        <f t="shared" si="1415"/>
        <v/>
      </c>
      <c r="U8663" t="str">
        <f t="shared" si="1416"/>
        <v/>
      </c>
      <c r="V8663" t="str">
        <f t="shared" si="1417"/>
        <v/>
      </c>
      <c r="W8663" t="str">
        <f t="shared" si="1418"/>
        <v/>
      </c>
      <c r="X8663">
        <f t="shared" si="1408"/>
        <v>0</v>
      </c>
      <c r="Z8663" t="str">
        <f t="shared" si="1419"/>
        <v/>
      </c>
      <c r="AA8663">
        <f t="shared" si="1409"/>
        <v>0</v>
      </c>
    </row>
    <row r="8664" spans="1:27" ht="21" customHeight="1" x14ac:dyDescent="0.95">
      <c r="A8664" s="56"/>
      <c r="B8664" s="57"/>
      <c r="C8664" s="57"/>
      <c r="D8664" s="57"/>
      <c r="E8664" s="56"/>
      <c r="F8664" s="57"/>
      <c r="G8664" s="57"/>
      <c r="H8664" s="56"/>
      <c r="I8664" s="56"/>
      <c r="J8664" s="58"/>
      <c r="K8664" s="58"/>
      <c r="L8664" s="13" t="str">
        <f t="shared" si="1410"/>
        <v/>
      </c>
      <c r="M8664" s="13" t="str">
        <f t="shared" si="1411"/>
        <v/>
      </c>
      <c r="Q8664" t="str">
        <f t="shared" si="1412"/>
        <v/>
      </c>
      <c r="R8664" t="str">
        <f t="shared" si="1413"/>
        <v/>
      </c>
      <c r="S8664" t="str">
        <f t="shared" si="1414"/>
        <v/>
      </c>
      <c r="T8664" t="str">
        <f t="shared" si="1415"/>
        <v/>
      </c>
      <c r="U8664" t="str">
        <f t="shared" si="1416"/>
        <v/>
      </c>
      <c r="V8664" t="str">
        <f t="shared" si="1417"/>
        <v/>
      </c>
      <c r="W8664" t="str">
        <f t="shared" si="1418"/>
        <v/>
      </c>
      <c r="X8664">
        <f t="shared" si="1408"/>
        <v>0</v>
      </c>
      <c r="Z8664" t="str">
        <f t="shared" si="1419"/>
        <v/>
      </c>
      <c r="AA8664">
        <f t="shared" si="1409"/>
        <v>0</v>
      </c>
    </row>
    <row r="8665" spans="1:27" ht="21" customHeight="1" x14ac:dyDescent="0.95">
      <c r="A8665" s="56"/>
      <c r="B8665" s="57"/>
      <c r="C8665" s="57"/>
      <c r="D8665" s="57"/>
      <c r="E8665" s="56"/>
      <c r="F8665" s="57"/>
      <c r="G8665" s="57"/>
      <c r="H8665" s="56"/>
      <c r="I8665" s="56"/>
      <c r="J8665" s="58"/>
      <c r="K8665" s="58"/>
      <c r="L8665" s="13" t="str">
        <f t="shared" si="1410"/>
        <v/>
      </c>
      <c r="M8665" s="13" t="str">
        <f t="shared" si="1411"/>
        <v/>
      </c>
      <c r="Q8665" t="str">
        <f t="shared" si="1412"/>
        <v/>
      </c>
      <c r="R8665" t="str">
        <f t="shared" si="1413"/>
        <v/>
      </c>
      <c r="S8665" t="str">
        <f t="shared" si="1414"/>
        <v/>
      </c>
      <c r="T8665" t="str">
        <f t="shared" si="1415"/>
        <v/>
      </c>
      <c r="U8665" t="str">
        <f t="shared" si="1416"/>
        <v/>
      </c>
      <c r="V8665" t="str">
        <f t="shared" si="1417"/>
        <v/>
      </c>
      <c r="W8665" t="str">
        <f t="shared" si="1418"/>
        <v/>
      </c>
      <c r="X8665">
        <f t="shared" si="1408"/>
        <v>0</v>
      </c>
      <c r="Z8665" t="str">
        <f t="shared" si="1419"/>
        <v/>
      </c>
      <c r="AA8665">
        <f t="shared" si="1409"/>
        <v>0</v>
      </c>
    </row>
    <row r="8666" spans="1:27" ht="21" customHeight="1" x14ac:dyDescent="0.95">
      <c r="A8666" s="56"/>
      <c r="B8666" s="57"/>
      <c r="C8666" s="57"/>
      <c r="D8666" s="57"/>
      <c r="E8666" s="56"/>
      <c r="F8666" s="57"/>
      <c r="G8666" s="57"/>
      <c r="H8666" s="56"/>
      <c r="I8666" s="56"/>
      <c r="J8666" s="58"/>
      <c r="K8666" s="58"/>
      <c r="L8666" s="13" t="str">
        <f t="shared" si="1410"/>
        <v/>
      </c>
      <c r="M8666" s="13" t="str">
        <f t="shared" si="1411"/>
        <v/>
      </c>
      <c r="Q8666" t="str">
        <f t="shared" si="1412"/>
        <v/>
      </c>
      <c r="R8666" t="str">
        <f t="shared" si="1413"/>
        <v/>
      </c>
      <c r="S8666" t="str">
        <f t="shared" si="1414"/>
        <v/>
      </c>
      <c r="T8666" t="str">
        <f t="shared" si="1415"/>
        <v/>
      </c>
      <c r="U8666" t="str">
        <f t="shared" si="1416"/>
        <v/>
      </c>
      <c r="V8666" t="str">
        <f t="shared" si="1417"/>
        <v/>
      </c>
      <c r="W8666" t="str">
        <f t="shared" si="1418"/>
        <v/>
      </c>
      <c r="X8666">
        <f t="shared" si="1408"/>
        <v>0</v>
      </c>
      <c r="Z8666" t="str">
        <f t="shared" si="1419"/>
        <v/>
      </c>
      <c r="AA8666">
        <f t="shared" si="1409"/>
        <v>0</v>
      </c>
    </row>
    <row r="8667" spans="1:27" ht="21" customHeight="1" x14ac:dyDescent="0.95">
      <c r="A8667" s="56"/>
      <c r="B8667" s="57"/>
      <c r="C8667" s="57"/>
      <c r="D8667" s="57"/>
      <c r="E8667" s="56"/>
      <c r="F8667" s="57"/>
      <c r="G8667" s="57"/>
      <c r="H8667" s="56"/>
      <c r="I8667" s="56"/>
      <c r="J8667" s="58"/>
      <c r="K8667" s="58"/>
      <c r="L8667" s="13" t="str">
        <f t="shared" si="1410"/>
        <v/>
      </c>
      <c r="M8667" s="13" t="str">
        <f t="shared" si="1411"/>
        <v/>
      </c>
      <c r="Q8667" t="str">
        <f t="shared" si="1412"/>
        <v/>
      </c>
      <c r="R8667" t="str">
        <f t="shared" si="1413"/>
        <v/>
      </c>
      <c r="S8667" t="str">
        <f t="shared" si="1414"/>
        <v/>
      </c>
      <c r="T8667" t="str">
        <f t="shared" si="1415"/>
        <v/>
      </c>
      <c r="U8667" t="str">
        <f t="shared" si="1416"/>
        <v/>
      </c>
      <c r="V8667" t="str">
        <f t="shared" si="1417"/>
        <v/>
      </c>
      <c r="W8667" t="str">
        <f t="shared" si="1418"/>
        <v/>
      </c>
      <c r="X8667">
        <f t="shared" si="1408"/>
        <v>0</v>
      </c>
      <c r="Z8667" t="str">
        <f t="shared" si="1419"/>
        <v/>
      </c>
      <c r="AA8667">
        <f t="shared" si="1409"/>
        <v>0</v>
      </c>
    </row>
    <row r="8668" spans="1:27" ht="21" customHeight="1" x14ac:dyDescent="0.95">
      <c r="A8668" s="56"/>
      <c r="B8668" s="57"/>
      <c r="C8668" s="57"/>
      <c r="D8668" s="57"/>
      <c r="E8668" s="56"/>
      <c r="F8668" s="57"/>
      <c r="G8668" s="57"/>
      <c r="H8668" s="56"/>
      <c r="I8668" s="56"/>
      <c r="J8668" s="58"/>
      <c r="K8668" s="58"/>
      <c r="L8668" s="13" t="str">
        <f t="shared" si="1410"/>
        <v/>
      </c>
      <c r="M8668" s="13" t="str">
        <f t="shared" si="1411"/>
        <v/>
      </c>
      <c r="Q8668" t="str">
        <f t="shared" si="1412"/>
        <v/>
      </c>
      <c r="R8668" t="str">
        <f t="shared" si="1413"/>
        <v/>
      </c>
      <c r="S8668" t="str">
        <f t="shared" si="1414"/>
        <v/>
      </c>
      <c r="T8668" t="str">
        <f t="shared" si="1415"/>
        <v/>
      </c>
      <c r="U8668" t="str">
        <f t="shared" si="1416"/>
        <v/>
      </c>
      <c r="V8668" t="str">
        <f t="shared" si="1417"/>
        <v/>
      </c>
      <c r="W8668" t="str">
        <f t="shared" si="1418"/>
        <v/>
      </c>
      <c r="X8668">
        <f t="shared" si="1408"/>
        <v>0</v>
      </c>
      <c r="Z8668" t="str">
        <f t="shared" si="1419"/>
        <v/>
      </c>
      <c r="AA8668">
        <f t="shared" si="1409"/>
        <v>0</v>
      </c>
    </row>
    <row r="8669" spans="1:27" ht="21" customHeight="1" x14ac:dyDescent="0.95">
      <c r="A8669" s="56"/>
      <c r="B8669" s="57"/>
      <c r="C8669" s="57"/>
      <c r="D8669" s="57"/>
      <c r="E8669" s="56"/>
      <c r="F8669" s="57"/>
      <c r="G8669" s="57"/>
      <c r="H8669" s="56"/>
      <c r="I8669" s="56"/>
      <c r="J8669" s="58"/>
      <c r="K8669" s="58"/>
      <c r="L8669" s="13" t="str">
        <f t="shared" si="1410"/>
        <v/>
      </c>
      <c r="M8669" s="13" t="str">
        <f t="shared" si="1411"/>
        <v/>
      </c>
      <c r="Q8669" t="str">
        <f t="shared" si="1412"/>
        <v/>
      </c>
      <c r="R8669" t="str">
        <f t="shared" si="1413"/>
        <v/>
      </c>
      <c r="S8669" t="str">
        <f t="shared" si="1414"/>
        <v/>
      </c>
      <c r="T8669" t="str">
        <f t="shared" si="1415"/>
        <v/>
      </c>
      <c r="U8669" t="str">
        <f t="shared" si="1416"/>
        <v/>
      </c>
      <c r="V8669" t="str">
        <f t="shared" si="1417"/>
        <v/>
      </c>
      <c r="W8669" t="str">
        <f t="shared" si="1418"/>
        <v/>
      </c>
      <c r="X8669">
        <f t="shared" si="1408"/>
        <v>0</v>
      </c>
      <c r="Z8669" t="str">
        <f t="shared" si="1419"/>
        <v/>
      </c>
      <c r="AA8669">
        <f t="shared" si="1409"/>
        <v>0</v>
      </c>
    </row>
    <row r="8670" spans="1:27" ht="21" customHeight="1" x14ac:dyDescent="0.95">
      <c r="A8670" s="56"/>
      <c r="B8670" s="57"/>
      <c r="C8670" s="57"/>
      <c r="D8670" s="57"/>
      <c r="E8670" s="56"/>
      <c r="F8670" s="57"/>
      <c r="G8670" s="57"/>
      <c r="H8670" s="56"/>
      <c r="I8670" s="56"/>
      <c r="J8670" s="58"/>
      <c r="K8670" s="58"/>
      <c r="L8670" s="13" t="str">
        <f t="shared" si="1410"/>
        <v/>
      </c>
      <c r="M8670" s="13" t="str">
        <f t="shared" si="1411"/>
        <v/>
      </c>
      <c r="Q8670" t="str">
        <f t="shared" si="1412"/>
        <v/>
      </c>
      <c r="R8670" t="str">
        <f t="shared" si="1413"/>
        <v/>
      </c>
      <c r="S8670" t="str">
        <f t="shared" si="1414"/>
        <v/>
      </c>
      <c r="T8670" t="str">
        <f t="shared" si="1415"/>
        <v/>
      </c>
      <c r="U8670" t="str">
        <f t="shared" si="1416"/>
        <v/>
      </c>
      <c r="V8670" t="str">
        <f t="shared" si="1417"/>
        <v/>
      </c>
      <c r="W8670" t="str">
        <f t="shared" si="1418"/>
        <v/>
      </c>
      <c r="X8670">
        <f t="shared" si="1408"/>
        <v>0</v>
      </c>
      <c r="Z8670" t="str">
        <f t="shared" si="1419"/>
        <v/>
      </c>
      <c r="AA8670">
        <f t="shared" si="1409"/>
        <v>0</v>
      </c>
    </row>
    <row r="8671" spans="1:27" ht="21" customHeight="1" x14ac:dyDescent="0.95">
      <c r="A8671" s="56"/>
      <c r="B8671" s="57"/>
      <c r="C8671" s="57"/>
      <c r="D8671" s="57"/>
      <c r="E8671" s="56"/>
      <c r="F8671" s="57"/>
      <c r="G8671" s="57"/>
      <c r="H8671" s="56"/>
      <c r="I8671" s="56"/>
      <c r="J8671" s="58"/>
      <c r="K8671" s="58"/>
      <c r="L8671" s="13" t="str">
        <f t="shared" si="1410"/>
        <v/>
      </c>
      <c r="M8671" s="13" t="str">
        <f t="shared" si="1411"/>
        <v/>
      </c>
      <c r="Q8671" t="str">
        <f t="shared" si="1412"/>
        <v/>
      </c>
      <c r="R8671" t="str">
        <f t="shared" si="1413"/>
        <v/>
      </c>
      <c r="S8671" t="str">
        <f t="shared" si="1414"/>
        <v/>
      </c>
      <c r="T8671" t="str">
        <f t="shared" si="1415"/>
        <v/>
      </c>
      <c r="U8671" t="str">
        <f t="shared" si="1416"/>
        <v/>
      </c>
      <c r="V8671" t="str">
        <f t="shared" si="1417"/>
        <v/>
      </c>
      <c r="W8671" t="str">
        <f t="shared" si="1418"/>
        <v/>
      </c>
      <c r="X8671">
        <f t="shared" si="1408"/>
        <v>0</v>
      </c>
      <c r="Z8671" t="str">
        <f t="shared" si="1419"/>
        <v/>
      </c>
      <c r="AA8671">
        <f t="shared" si="1409"/>
        <v>0</v>
      </c>
    </row>
    <row r="8672" spans="1:27" ht="21" customHeight="1" x14ac:dyDescent="0.95">
      <c r="A8672" s="56"/>
      <c r="B8672" s="57"/>
      <c r="C8672" s="57"/>
      <c r="D8672" s="57"/>
      <c r="E8672" s="56"/>
      <c r="F8672" s="57"/>
      <c r="G8672" s="57"/>
      <c r="H8672" s="56"/>
      <c r="I8672" s="56"/>
      <c r="J8672" s="58"/>
      <c r="K8672" s="58"/>
      <c r="L8672" s="13" t="str">
        <f t="shared" si="1410"/>
        <v/>
      </c>
      <c r="M8672" s="13" t="str">
        <f t="shared" si="1411"/>
        <v/>
      </c>
      <c r="Q8672" t="str">
        <f t="shared" si="1412"/>
        <v/>
      </c>
      <c r="R8672" t="str">
        <f t="shared" si="1413"/>
        <v/>
      </c>
      <c r="S8672" t="str">
        <f t="shared" si="1414"/>
        <v/>
      </c>
      <c r="T8672" t="str">
        <f t="shared" si="1415"/>
        <v/>
      </c>
      <c r="U8672" t="str">
        <f t="shared" si="1416"/>
        <v/>
      </c>
      <c r="V8672" t="str">
        <f t="shared" si="1417"/>
        <v/>
      </c>
      <c r="W8672" t="str">
        <f t="shared" si="1418"/>
        <v/>
      </c>
      <c r="X8672">
        <f t="shared" si="1408"/>
        <v>0</v>
      </c>
      <c r="Z8672" t="str">
        <f t="shared" si="1419"/>
        <v/>
      </c>
      <c r="AA8672">
        <f t="shared" si="1409"/>
        <v>0</v>
      </c>
    </row>
    <row r="8673" spans="1:27" ht="21" customHeight="1" x14ac:dyDescent="0.95">
      <c r="A8673" s="56"/>
      <c r="B8673" s="57"/>
      <c r="C8673" s="57"/>
      <c r="D8673" s="57"/>
      <c r="E8673" s="56"/>
      <c r="F8673" s="57"/>
      <c r="G8673" s="57"/>
      <c r="H8673" s="56"/>
      <c r="I8673" s="56"/>
      <c r="J8673" s="58"/>
      <c r="K8673" s="58"/>
      <c r="L8673" s="13" t="str">
        <f t="shared" si="1410"/>
        <v/>
      </c>
      <c r="M8673" s="13" t="str">
        <f t="shared" si="1411"/>
        <v/>
      </c>
      <c r="Q8673" t="str">
        <f t="shared" si="1412"/>
        <v/>
      </c>
      <c r="R8673" t="str">
        <f t="shared" si="1413"/>
        <v/>
      </c>
      <c r="S8673" t="str">
        <f t="shared" si="1414"/>
        <v/>
      </c>
      <c r="T8673" t="str">
        <f t="shared" si="1415"/>
        <v/>
      </c>
      <c r="U8673" t="str">
        <f t="shared" si="1416"/>
        <v/>
      </c>
      <c r="V8673" t="str">
        <f t="shared" si="1417"/>
        <v/>
      </c>
      <c r="W8673" t="str">
        <f t="shared" si="1418"/>
        <v/>
      </c>
      <c r="X8673">
        <f t="shared" si="1408"/>
        <v>0</v>
      </c>
      <c r="Z8673" t="str">
        <f t="shared" si="1419"/>
        <v/>
      </c>
      <c r="AA8673">
        <f t="shared" si="1409"/>
        <v>0</v>
      </c>
    </row>
    <row r="8674" spans="1:27" ht="21" customHeight="1" x14ac:dyDescent="0.95">
      <c r="A8674" s="56"/>
      <c r="B8674" s="57"/>
      <c r="C8674" s="57"/>
      <c r="D8674" s="57"/>
      <c r="E8674" s="56"/>
      <c r="F8674" s="57"/>
      <c r="G8674" s="57"/>
      <c r="H8674" s="56"/>
      <c r="I8674" s="56"/>
      <c r="J8674" s="58"/>
      <c r="K8674" s="58"/>
      <c r="L8674" s="13" t="str">
        <f t="shared" si="1410"/>
        <v/>
      </c>
      <c r="M8674" s="13" t="str">
        <f t="shared" si="1411"/>
        <v/>
      </c>
      <c r="Q8674" t="str">
        <f t="shared" si="1412"/>
        <v/>
      </c>
      <c r="R8674" t="str">
        <f t="shared" si="1413"/>
        <v/>
      </c>
      <c r="S8674" t="str">
        <f t="shared" si="1414"/>
        <v/>
      </c>
      <c r="T8674" t="str">
        <f t="shared" si="1415"/>
        <v/>
      </c>
      <c r="U8674" t="str">
        <f t="shared" si="1416"/>
        <v/>
      </c>
      <c r="V8674" t="str">
        <f t="shared" si="1417"/>
        <v/>
      </c>
      <c r="W8674" t="str">
        <f t="shared" si="1418"/>
        <v/>
      </c>
      <c r="X8674">
        <f t="shared" si="1408"/>
        <v>0</v>
      </c>
      <c r="Z8674" t="str">
        <f t="shared" si="1419"/>
        <v/>
      </c>
      <c r="AA8674">
        <f t="shared" si="1409"/>
        <v>0</v>
      </c>
    </row>
    <row r="8675" spans="1:27" ht="21" customHeight="1" x14ac:dyDescent="0.95">
      <c r="A8675" s="56"/>
      <c r="B8675" s="57"/>
      <c r="C8675" s="57"/>
      <c r="D8675" s="57"/>
      <c r="E8675" s="56"/>
      <c r="F8675" s="57"/>
      <c r="G8675" s="57"/>
      <c r="H8675" s="56"/>
      <c r="I8675" s="56"/>
      <c r="J8675" s="58"/>
      <c r="K8675" s="58"/>
      <c r="L8675" s="13" t="str">
        <f t="shared" si="1410"/>
        <v/>
      </c>
      <c r="M8675" s="13" t="str">
        <f t="shared" si="1411"/>
        <v/>
      </c>
      <c r="Q8675" t="str">
        <f t="shared" si="1412"/>
        <v/>
      </c>
      <c r="R8675" t="str">
        <f t="shared" si="1413"/>
        <v/>
      </c>
      <c r="S8675" t="str">
        <f t="shared" si="1414"/>
        <v/>
      </c>
      <c r="T8675" t="str">
        <f t="shared" si="1415"/>
        <v/>
      </c>
      <c r="U8675" t="str">
        <f t="shared" si="1416"/>
        <v/>
      </c>
      <c r="V8675" t="str">
        <f t="shared" si="1417"/>
        <v/>
      </c>
      <c r="W8675" t="str">
        <f t="shared" si="1418"/>
        <v/>
      </c>
      <c r="X8675">
        <f t="shared" si="1408"/>
        <v>0</v>
      </c>
      <c r="Z8675" t="str">
        <f t="shared" si="1419"/>
        <v/>
      </c>
      <c r="AA8675">
        <f t="shared" si="1409"/>
        <v>0</v>
      </c>
    </row>
    <row r="8676" spans="1:27" ht="21" customHeight="1" x14ac:dyDescent="0.95">
      <c r="A8676" s="56"/>
      <c r="B8676" s="57"/>
      <c r="C8676" s="57"/>
      <c r="D8676" s="57"/>
      <c r="E8676" s="56"/>
      <c r="F8676" s="57"/>
      <c r="G8676" s="57"/>
      <c r="H8676" s="56"/>
      <c r="I8676" s="56"/>
      <c r="J8676" s="58"/>
      <c r="K8676" s="58"/>
      <c r="L8676" s="13" t="str">
        <f t="shared" si="1410"/>
        <v/>
      </c>
      <c r="M8676" s="13" t="str">
        <f t="shared" si="1411"/>
        <v/>
      </c>
      <c r="Q8676" t="str">
        <f t="shared" si="1412"/>
        <v/>
      </c>
      <c r="R8676" t="str">
        <f t="shared" si="1413"/>
        <v/>
      </c>
      <c r="S8676" t="str">
        <f t="shared" si="1414"/>
        <v/>
      </c>
      <c r="T8676" t="str">
        <f t="shared" si="1415"/>
        <v/>
      </c>
      <c r="U8676" t="str">
        <f t="shared" si="1416"/>
        <v/>
      </c>
      <c r="V8676" t="str">
        <f t="shared" si="1417"/>
        <v/>
      </c>
      <c r="W8676" t="str">
        <f t="shared" si="1418"/>
        <v/>
      </c>
      <c r="X8676">
        <f t="shared" si="1408"/>
        <v>0</v>
      </c>
      <c r="Z8676" t="str">
        <f t="shared" si="1419"/>
        <v/>
      </c>
      <c r="AA8676">
        <f t="shared" si="1409"/>
        <v>0</v>
      </c>
    </row>
    <row r="8677" spans="1:27" ht="21" customHeight="1" x14ac:dyDescent="0.95">
      <c r="A8677" s="56"/>
      <c r="B8677" s="57"/>
      <c r="C8677" s="57"/>
      <c r="D8677" s="57"/>
      <c r="E8677" s="56"/>
      <c r="F8677" s="57"/>
      <c r="G8677" s="57"/>
      <c r="H8677" s="56"/>
      <c r="I8677" s="56"/>
      <c r="J8677" s="58"/>
      <c r="K8677" s="58"/>
      <c r="L8677" s="13" t="str">
        <f t="shared" si="1410"/>
        <v/>
      </c>
      <c r="M8677" s="13" t="str">
        <f t="shared" si="1411"/>
        <v/>
      </c>
      <c r="Q8677" t="str">
        <f t="shared" si="1412"/>
        <v/>
      </c>
      <c r="R8677" t="str">
        <f t="shared" si="1413"/>
        <v/>
      </c>
      <c r="S8677" t="str">
        <f t="shared" si="1414"/>
        <v/>
      </c>
      <c r="T8677" t="str">
        <f t="shared" si="1415"/>
        <v/>
      </c>
      <c r="U8677" t="str">
        <f t="shared" si="1416"/>
        <v/>
      </c>
      <c r="V8677" t="str">
        <f t="shared" si="1417"/>
        <v/>
      </c>
      <c r="W8677" t="str">
        <f t="shared" si="1418"/>
        <v/>
      </c>
      <c r="X8677">
        <f t="shared" si="1408"/>
        <v>0</v>
      </c>
      <c r="Z8677" t="str">
        <f t="shared" si="1419"/>
        <v/>
      </c>
      <c r="AA8677">
        <f t="shared" si="1409"/>
        <v>0</v>
      </c>
    </row>
    <row r="8678" spans="1:27" ht="21" customHeight="1" x14ac:dyDescent="0.95">
      <c r="A8678" s="56"/>
      <c r="B8678" s="57"/>
      <c r="C8678" s="57"/>
      <c r="D8678" s="57"/>
      <c r="E8678" s="56"/>
      <c r="F8678" s="57"/>
      <c r="G8678" s="57"/>
      <c r="H8678" s="56"/>
      <c r="I8678" s="56"/>
      <c r="J8678" s="58"/>
      <c r="K8678" s="58"/>
      <c r="L8678" s="13" t="str">
        <f t="shared" si="1410"/>
        <v/>
      </c>
      <c r="M8678" s="13" t="str">
        <f t="shared" si="1411"/>
        <v/>
      </c>
      <c r="Q8678" t="str">
        <f t="shared" si="1412"/>
        <v/>
      </c>
      <c r="R8678" t="str">
        <f t="shared" si="1413"/>
        <v/>
      </c>
      <c r="S8678" t="str">
        <f t="shared" si="1414"/>
        <v/>
      </c>
      <c r="T8678" t="str">
        <f t="shared" si="1415"/>
        <v/>
      </c>
      <c r="U8678" t="str">
        <f t="shared" si="1416"/>
        <v/>
      </c>
      <c r="V8678" t="str">
        <f t="shared" si="1417"/>
        <v/>
      </c>
      <c r="W8678" t="str">
        <f t="shared" si="1418"/>
        <v/>
      </c>
      <c r="X8678">
        <f t="shared" si="1408"/>
        <v>0</v>
      </c>
      <c r="Z8678" t="str">
        <f t="shared" si="1419"/>
        <v/>
      </c>
      <c r="AA8678">
        <f t="shared" si="1409"/>
        <v>0</v>
      </c>
    </row>
    <row r="8679" spans="1:27" ht="21" customHeight="1" x14ac:dyDescent="0.95">
      <c r="A8679" s="56"/>
      <c r="B8679" s="57"/>
      <c r="C8679" s="57"/>
      <c r="D8679" s="57"/>
      <c r="E8679" s="56"/>
      <c r="F8679" s="57"/>
      <c r="G8679" s="57"/>
      <c r="H8679" s="56"/>
      <c r="I8679" s="56"/>
      <c r="J8679" s="58"/>
      <c r="K8679" s="58"/>
      <c r="L8679" s="13" t="str">
        <f t="shared" si="1410"/>
        <v/>
      </c>
      <c r="M8679" s="13" t="str">
        <f t="shared" si="1411"/>
        <v/>
      </c>
      <c r="Q8679" t="str">
        <f t="shared" si="1412"/>
        <v/>
      </c>
      <c r="R8679" t="str">
        <f t="shared" si="1413"/>
        <v/>
      </c>
      <c r="S8679" t="str">
        <f t="shared" si="1414"/>
        <v/>
      </c>
      <c r="T8679" t="str">
        <f t="shared" si="1415"/>
        <v/>
      </c>
      <c r="U8679" t="str">
        <f t="shared" si="1416"/>
        <v/>
      </c>
      <c r="V8679" t="str">
        <f t="shared" si="1417"/>
        <v/>
      </c>
      <c r="W8679" t="str">
        <f t="shared" si="1418"/>
        <v/>
      </c>
      <c r="X8679">
        <f t="shared" si="1408"/>
        <v>0</v>
      </c>
      <c r="Z8679" t="str">
        <f t="shared" si="1419"/>
        <v/>
      </c>
      <c r="AA8679">
        <f t="shared" si="1409"/>
        <v>0</v>
      </c>
    </row>
    <row r="8680" spans="1:27" ht="21" customHeight="1" x14ac:dyDescent="0.95">
      <c r="A8680" s="56"/>
      <c r="B8680" s="57"/>
      <c r="C8680" s="57"/>
      <c r="D8680" s="57"/>
      <c r="E8680" s="56"/>
      <c r="F8680" s="57"/>
      <c r="G8680" s="57"/>
      <c r="H8680" s="56"/>
      <c r="I8680" s="56"/>
      <c r="J8680" s="58"/>
      <c r="K8680" s="58"/>
      <c r="L8680" s="13" t="str">
        <f t="shared" si="1410"/>
        <v/>
      </c>
      <c r="M8680" s="13" t="str">
        <f t="shared" si="1411"/>
        <v/>
      </c>
      <c r="Q8680" t="str">
        <f t="shared" si="1412"/>
        <v/>
      </c>
      <c r="R8680" t="str">
        <f t="shared" si="1413"/>
        <v/>
      </c>
      <c r="S8680" t="str">
        <f t="shared" si="1414"/>
        <v/>
      </c>
      <c r="T8680" t="str">
        <f t="shared" si="1415"/>
        <v/>
      </c>
      <c r="U8680" t="str">
        <f t="shared" si="1416"/>
        <v/>
      </c>
      <c r="V8680" t="str">
        <f t="shared" si="1417"/>
        <v/>
      </c>
      <c r="W8680" t="str">
        <f t="shared" si="1418"/>
        <v/>
      </c>
      <c r="X8680">
        <f t="shared" si="1408"/>
        <v>0</v>
      </c>
      <c r="Z8680" t="str">
        <f t="shared" si="1419"/>
        <v/>
      </c>
      <c r="AA8680">
        <f t="shared" si="1409"/>
        <v>0</v>
      </c>
    </row>
    <row r="8681" spans="1:27" ht="21" customHeight="1" x14ac:dyDescent="0.95">
      <c r="A8681" s="56"/>
      <c r="B8681" s="57"/>
      <c r="C8681" s="57"/>
      <c r="D8681" s="57"/>
      <c r="E8681" s="56"/>
      <c r="F8681" s="57"/>
      <c r="G8681" s="57"/>
      <c r="H8681" s="56"/>
      <c r="I8681" s="56"/>
      <c r="J8681" s="58"/>
      <c r="K8681" s="58"/>
      <c r="L8681" s="13" t="str">
        <f t="shared" si="1410"/>
        <v/>
      </c>
      <c r="M8681" s="13" t="str">
        <f t="shared" si="1411"/>
        <v/>
      </c>
      <c r="Q8681" t="str">
        <f t="shared" si="1412"/>
        <v/>
      </c>
      <c r="R8681" t="str">
        <f t="shared" si="1413"/>
        <v/>
      </c>
      <c r="S8681" t="str">
        <f t="shared" si="1414"/>
        <v/>
      </c>
      <c r="T8681" t="str">
        <f t="shared" si="1415"/>
        <v/>
      </c>
      <c r="U8681" t="str">
        <f t="shared" si="1416"/>
        <v/>
      </c>
      <c r="V8681" t="str">
        <f t="shared" si="1417"/>
        <v/>
      </c>
      <c r="W8681" t="str">
        <f t="shared" si="1418"/>
        <v/>
      </c>
      <c r="X8681">
        <f t="shared" si="1408"/>
        <v>0</v>
      </c>
      <c r="Z8681" t="str">
        <f t="shared" si="1419"/>
        <v/>
      </c>
      <c r="AA8681">
        <f t="shared" si="1409"/>
        <v>0</v>
      </c>
    </row>
    <row r="8682" spans="1:27" ht="21" customHeight="1" x14ac:dyDescent="0.95">
      <c r="A8682" s="56"/>
      <c r="B8682" s="57"/>
      <c r="C8682" s="57"/>
      <c r="D8682" s="57"/>
      <c r="E8682" s="56"/>
      <c r="F8682" s="57"/>
      <c r="G8682" s="57"/>
      <c r="H8682" s="56"/>
      <c r="I8682" s="56"/>
      <c r="J8682" s="58"/>
      <c r="K8682" s="58"/>
      <c r="L8682" s="13" t="str">
        <f t="shared" si="1410"/>
        <v/>
      </c>
      <c r="M8682" s="13" t="str">
        <f t="shared" si="1411"/>
        <v/>
      </c>
      <c r="Q8682" t="str">
        <f t="shared" si="1412"/>
        <v/>
      </c>
      <c r="R8682" t="str">
        <f t="shared" si="1413"/>
        <v/>
      </c>
      <c r="S8682" t="str">
        <f t="shared" si="1414"/>
        <v/>
      </c>
      <c r="T8682" t="str">
        <f t="shared" si="1415"/>
        <v/>
      </c>
      <c r="U8682" t="str">
        <f t="shared" si="1416"/>
        <v/>
      </c>
      <c r="V8682" t="str">
        <f t="shared" si="1417"/>
        <v/>
      </c>
      <c r="W8682" t="str">
        <f t="shared" si="1418"/>
        <v/>
      </c>
      <c r="X8682">
        <f t="shared" si="1408"/>
        <v>0</v>
      </c>
      <c r="Z8682" t="str">
        <f t="shared" si="1419"/>
        <v/>
      </c>
      <c r="AA8682">
        <f t="shared" si="1409"/>
        <v>0</v>
      </c>
    </row>
    <row r="8683" spans="1:27" ht="21" customHeight="1" x14ac:dyDescent="0.95">
      <c r="A8683" s="56"/>
      <c r="B8683" s="57"/>
      <c r="C8683" s="57"/>
      <c r="D8683" s="57"/>
      <c r="E8683" s="56"/>
      <c r="F8683" s="57"/>
      <c r="G8683" s="57"/>
      <c r="H8683" s="56"/>
      <c r="I8683" s="56"/>
      <c r="J8683" s="58"/>
      <c r="K8683" s="58"/>
      <c r="L8683" s="13" t="str">
        <f t="shared" si="1410"/>
        <v/>
      </c>
      <c r="M8683" s="13" t="str">
        <f t="shared" si="1411"/>
        <v/>
      </c>
      <c r="Q8683" t="str">
        <f t="shared" si="1412"/>
        <v/>
      </c>
      <c r="R8683" t="str">
        <f t="shared" si="1413"/>
        <v/>
      </c>
      <c r="S8683" t="str">
        <f t="shared" si="1414"/>
        <v/>
      </c>
      <c r="T8683" t="str">
        <f t="shared" si="1415"/>
        <v/>
      </c>
      <c r="U8683" t="str">
        <f t="shared" si="1416"/>
        <v/>
      </c>
      <c r="V8683" t="str">
        <f t="shared" si="1417"/>
        <v/>
      </c>
      <c r="W8683" t="str">
        <f t="shared" si="1418"/>
        <v/>
      </c>
      <c r="X8683">
        <f t="shared" si="1408"/>
        <v>0</v>
      </c>
      <c r="Z8683" t="str">
        <f t="shared" si="1419"/>
        <v/>
      </c>
      <c r="AA8683">
        <f t="shared" si="1409"/>
        <v>0</v>
      </c>
    </row>
    <row r="8684" spans="1:27" ht="21" customHeight="1" x14ac:dyDescent="0.95">
      <c r="A8684" s="56"/>
      <c r="B8684" s="57"/>
      <c r="C8684" s="57"/>
      <c r="D8684" s="57"/>
      <c r="E8684" s="56"/>
      <c r="F8684" s="57"/>
      <c r="G8684" s="57"/>
      <c r="H8684" s="56"/>
      <c r="I8684" s="56"/>
      <c r="J8684" s="58"/>
      <c r="K8684" s="58"/>
      <c r="L8684" s="13" t="str">
        <f t="shared" si="1410"/>
        <v/>
      </c>
      <c r="M8684" s="13" t="str">
        <f t="shared" si="1411"/>
        <v/>
      </c>
      <c r="Q8684" t="str">
        <f t="shared" si="1412"/>
        <v/>
      </c>
      <c r="R8684" t="str">
        <f t="shared" si="1413"/>
        <v/>
      </c>
      <c r="S8684" t="str">
        <f t="shared" si="1414"/>
        <v/>
      </c>
      <c r="T8684" t="str">
        <f t="shared" si="1415"/>
        <v/>
      </c>
      <c r="U8684" t="str">
        <f t="shared" si="1416"/>
        <v/>
      </c>
      <c r="V8684" t="str">
        <f t="shared" si="1417"/>
        <v/>
      </c>
      <c r="W8684" t="str">
        <f t="shared" si="1418"/>
        <v/>
      </c>
      <c r="X8684">
        <f t="shared" si="1408"/>
        <v>0</v>
      </c>
      <c r="Z8684" t="str">
        <f t="shared" si="1419"/>
        <v/>
      </c>
      <c r="AA8684">
        <f t="shared" si="1409"/>
        <v>0</v>
      </c>
    </row>
    <row r="8685" spans="1:27" ht="21" customHeight="1" x14ac:dyDescent="0.95">
      <c r="A8685" s="56"/>
      <c r="B8685" s="57"/>
      <c r="C8685" s="57"/>
      <c r="D8685" s="57"/>
      <c r="E8685" s="56"/>
      <c r="F8685" s="57"/>
      <c r="G8685" s="57"/>
      <c r="H8685" s="56"/>
      <c r="I8685" s="56"/>
      <c r="J8685" s="58"/>
      <c r="K8685" s="58"/>
      <c r="L8685" s="13" t="str">
        <f t="shared" si="1410"/>
        <v/>
      </c>
      <c r="M8685" s="13" t="str">
        <f t="shared" si="1411"/>
        <v/>
      </c>
      <c r="Q8685" t="str">
        <f t="shared" si="1412"/>
        <v/>
      </c>
      <c r="R8685" t="str">
        <f t="shared" si="1413"/>
        <v/>
      </c>
      <c r="S8685" t="str">
        <f t="shared" si="1414"/>
        <v/>
      </c>
      <c r="T8685" t="str">
        <f t="shared" si="1415"/>
        <v/>
      </c>
      <c r="U8685" t="str">
        <f t="shared" si="1416"/>
        <v/>
      </c>
      <c r="V8685" t="str">
        <f t="shared" si="1417"/>
        <v/>
      </c>
      <c r="W8685" t="str">
        <f t="shared" si="1418"/>
        <v/>
      </c>
      <c r="X8685">
        <f t="shared" si="1408"/>
        <v>0</v>
      </c>
      <c r="Z8685" t="str">
        <f t="shared" si="1419"/>
        <v/>
      </c>
      <c r="AA8685">
        <f t="shared" si="1409"/>
        <v>0</v>
      </c>
    </row>
    <row r="8686" spans="1:27" ht="21" customHeight="1" x14ac:dyDescent="0.95">
      <c r="A8686" s="56"/>
      <c r="B8686" s="57"/>
      <c r="C8686" s="57"/>
      <c r="D8686" s="57"/>
      <c r="E8686" s="56"/>
      <c r="F8686" s="57"/>
      <c r="G8686" s="57"/>
      <c r="H8686" s="56"/>
      <c r="I8686" s="56"/>
      <c r="J8686" s="58"/>
      <c r="K8686" s="58"/>
      <c r="L8686" s="13" t="str">
        <f t="shared" si="1410"/>
        <v/>
      </c>
      <c r="M8686" s="13" t="str">
        <f t="shared" si="1411"/>
        <v/>
      </c>
      <c r="Q8686" t="str">
        <f t="shared" si="1412"/>
        <v/>
      </c>
      <c r="R8686" t="str">
        <f t="shared" si="1413"/>
        <v/>
      </c>
      <c r="S8686" t="str">
        <f t="shared" si="1414"/>
        <v/>
      </c>
      <c r="T8686" t="str">
        <f t="shared" si="1415"/>
        <v/>
      </c>
      <c r="U8686" t="str">
        <f t="shared" si="1416"/>
        <v/>
      </c>
      <c r="V8686" t="str">
        <f t="shared" si="1417"/>
        <v/>
      </c>
      <c r="W8686" t="str">
        <f t="shared" si="1418"/>
        <v/>
      </c>
      <c r="X8686">
        <f t="shared" si="1408"/>
        <v>0</v>
      </c>
      <c r="Z8686" t="str">
        <f t="shared" si="1419"/>
        <v/>
      </c>
      <c r="AA8686">
        <f t="shared" si="1409"/>
        <v>0</v>
      </c>
    </row>
    <row r="8687" spans="1:27" ht="21" customHeight="1" x14ac:dyDescent="0.95">
      <c r="A8687" s="56"/>
      <c r="B8687" s="57"/>
      <c r="C8687" s="57"/>
      <c r="D8687" s="57"/>
      <c r="E8687" s="56"/>
      <c r="F8687" s="57"/>
      <c r="G8687" s="57"/>
      <c r="H8687" s="56"/>
      <c r="I8687" s="56"/>
      <c r="J8687" s="58"/>
      <c r="K8687" s="58"/>
      <c r="L8687" s="13" t="str">
        <f t="shared" si="1410"/>
        <v/>
      </c>
      <c r="M8687" s="13" t="str">
        <f t="shared" si="1411"/>
        <v/>
      </c>
      <c r="Q8687" t="str">
        <f t="shared" si="1412"/>
        <v/>
      </c>
      <c r="R8687" t="str">
        <f t="shared" si="1413"/>
        <v/>
      </c>
      <c r="S8687" t="str">
        <f t="shared" si="1414"/>
        <v/>
      </c>
      <c r="T8687" t="str">
        <f t="shared" si="1415"/>
        <v/>
      </c>
      <c r="U8687" t="str">
        <f t="shared" si="1416"/>
        <v/>
      </c>
      <c r="V8687" t="str">
        <f t="shared" si="1417"/>
        <v/>
      </c>
      <c r="W8687" t="str">
        <f t="shared" si="1418"/>
        <v/>
      </c>
      <c r="X8687">
        <f t="shared" si="1408"/>
        <v>0</v>
      </c>
      <c r="Z8687" t="str">
        <f t="shared" si="1419"/>
        <v/>
      </c>
      <c r="AA8687">
        <f t="shared" si="1409"/>
        <v>0</v>
      </c>
    </row>
    <row r="8688" spans="1:27" ht="21" customHeight="1" x14ac:dyDescent="0.95">
      <c r="A8688" s="56"/>
      <c r="B8688" s="57"/>
      <c r="C8688" s="57"/>
      <c r="D8688" s="57"/>
      <c r="E8688" s="56"/>
      <c r="F8688" s="57"/>
      <c r="G8688" s="57"/>
      <c r="H8688" s="56"/>
      <c r="I8688" s="56"/>
      <c r="J8688" s="58"/>
      <c r="K8688" s="58"/>
      <c r="L8688" s="13" t="str">
        <f t="shared" si="1410"/>
        <v/>
      </c>
      <c r="M8688" s="13" t="str">
        <f t="shared" si="1411"/>
        <v/>
      </c>
      <c r="Q8688" t="str">
        <f t="shared" si="1412"/>
        <v/>
      </c>
      <c r="R8688" t="str">
        <f t="shared" si="1413"/>
        <v/>
      </c>
      <c r="S8688" t="str">
        <f t="shared" si="1414"/>
        <v/>
      </c>
      <c r="T8688" t="str">
        <f t="shared" si="1415"/>
        <v/>
      </c>
      <c r="U8688" t="str">
        <f t="shared" si="1416"/>
        <v/>
      </c>
      <c r="V8688" t="str">
        <f t="shared" si="1417"/>
        <v/>
      </c>
      <c r="W8688" t="str">
        <f t="shared" si="1418"/>
        <v/>
      </c>
      <c r="X8688">
        <f t="shared" si="1408"/>
        <v>0</v>
      </c>
      <c r="Z8688" t="str">
        <f t="shared" si="1419"/>
        <v/>
      </c>
      <c r="AA8688">
        <f t="shared" si="1409"/>
        <v>0</v>
      </c>
    </row>
    <row r="8689" spans="1:27" ht="21" customHeight="1" x14ac:dyDescent="0.95">
      <c r="A8689" s="56"/>
      <c r="B8689" s="57"/>
      <c r="C8689" s="57"/>
      <c r="D8689" s="57"/>
      <c r="E8689" s="56"/>
      <c r="F8689" s="57"/>
      <c r="G8689" s="57"/>
      <c r="H8689" s="56"/>
      <c r="I8689" s="56"/>
      <c r="J8689" s="58"/>
      <c r="K8689" s="58"/>
      <c r="L8689" s="13" t="str">
        <f t="shared" si="1410"/>
        <v/>
      </c>
      <c r="M8689" s="13" t="str">
        <f t="shared" si="1411"/>
        <v/>
      </c>
      <c r="Q8689" t="str">
        <f t="shared" si="1412"/>
        <v/>
      </c>
      <c r="R8689" t="str">
        <f t="shared" si="1413"/>
        <v/>
      </c>
      <c r="S8689" t="str">
        <f t="shared" si="1414"/>
        <v/>
      </c>
      <c r="T8689" t="str">
        <f t="shared" si="1415"/>
        <v/>
      </c>
      <c r="U8689" t="str">
        <f t="shared" si="1416"/>
        <v/>
      </c>
      <c r="V8689" t="str">
        <f t="shared" si="1417"/>
        <v/>
      </c>
      <c r="W8689" t="str">
        <f t="shared" si="1418"/>
        <v/>
      </c>
      <c r="X8689">
        <f t="shared" si="1408"/>
        <v>0</v>
      </c>
      <c r="Z8689" t="str">
        <f t="shared" si="1419"/>
        <v/>
      </c>
      <c r="AA8689">
        <f t="shared" si="1409"/>
        <v>0</v>
      </c>
    </row>
    <row r="8690" spans="1:27" ht="21" customHeight="1" x14ac:dyDescent="0.95">
      <c r="A8690" s="56"/>
      <c r="B8690" s="57"/>
      <c r="C8690" s="57"/>
      <c r="D8690" s="57"/>
      <c r="E8690" s="56"/>
      <c r="F8690" s="57"/>
      <c r="G8690" s="57"/>
      <c r="H8690" s="56"/>
      <c r="I8690" s="56"/>
      <c r="J8690" s="58"/>
      <c r="K8690" s="58"/>
      <c r="L8690" s="13" t="str">
        <f t="shared" si="1410"/>
        <v/>
      </c>
      <c r="M8690" s="13" t="str">
        <f t="shared" si="1411"/>
        <v/>
      </c>
      <c r="Q8690" t="str">
        <f t="shared" si="1412"/>
        <v/>
      </c>
      <c r="R8690" t="str">
        <f t="shared" si="1413"/>
        <v/>
      </c>
      <c r="S8690" t="str">
        <f t="shared" si="1414"/>
        <v/>
      </c>
      <c r="T8690" t="str">
        <f t="shared" si="1415"/>
        <v/>
      </c>
      <c r="U8690" t="str">
        <f t="shared" si="1416"/>
        <v/>
      </c>
      <c r="V8690" t="str">
        <f t="shared" si="1417"/>
        <v/>
      </c>
      <c r="W8690" t="str">
        <f t="shared" si="1418"/>
        <v/>
      </c>
      <c r="X8690">
        <f t="shared" si="1408"/>
        <v>0</v>
      </c>
      <c r="Z8690" t="str">
        <f t="shared" si="1419"/>
        <v/>
      </c>
      <c r="AA8690">
        <f t="shared" si="1409"/>
        <v>0</v>
      </c>
    </row>
    <row r="8691" spans="1:27" ht="21" customHeight="1" x14ac:dyDescent="0.95">
      <c r="A8691" s="56"/>
      <c r="B8691" s="57"/>
      <c r="C8691" s="57"/>
      <c r="D8691" s="57"/>
      <c r="E8691" s="56"/>
      <c r="F8691" s="57"/>
      <c r="G8691" s="57"/>
      <c r="H8691" s="56"/>
      <c r="I8691" s="56"/>
      <c r="J8691" s="58"/>
      <c r="K8691" s="58"/>
      <c r="L8691" s="13" t="str">
        <f t="shared" si="1410"/>
        <v/>
      </c>
      <c r="M8691" s="13" t="str">
        <f t="shared" si="1411"/>
        <v/>
      </c>
      <c r="Q8691" t="str">
        <f t="shared" si="1412"/>
        <v/>
      </c>
      <c r="R8691" t="str">
        <f t="shared" si="1413"/>
        <v/>
      </c>
      <c r="S8691" t="str">
        <f t="shared" si="1414"/>
        <v/>
      </c>
      <c r="T8691" t="str">
        <f t="shared" si="1415"/>
        <v/>
      </c>
      <c r="U8691" t="str">
        <f t="shared" si="1416"/>
        <v/>
      </c>
      <c r="V8691" t="str">
        <f t="shared" si="1417"/>
        <v/>
      </c>
      <c r="W8691" t="str">
        <f t="shared" si="1418"/>
        <v/>
      </c>
      <c r="X8691">
        <f t="shared" si="1408"/>
        <v>0</v>
      </c>
      <c r="Z8691" t="str">
        <f t="shared" si="1419"/>
        <v/>
      </c>
      <c r="AA8691">
        <f t="shared" si="1409"/>
        <v>0</v>
      </c>
    </row>
    <row r="8692" spans="1:27" ht="21" customHeight="1" x14ac:dyDescent="0.95">
      <c r="A8692" s="56"/>
      <c r="B8692" s="57"/>
      <c r="C8692" s="57"/>
      <c r="D8692" s="57"/>
      <c r="E8692" s="56"/>
      <c r="F8692" s="57"/>
      <c r="G8692" s="57"/>
      <c r="H8692" s="56"/>
      <c r="I8692" s="56"/>
      <c r="J8692" s="58"/>
      <c r="K8692" s="58"/>
      <c r="L8692" s="13" t="str">
        <f t="shared" si="1410"/>
        <v/>
      </c>
      <c r="M8692" s="13" t="str">
        <f t="shared" si="1411"/>
        <v/>
      </c>
      <c r="Q8692" t="str">
        <f t="shared" si="1412"/>
        <v/>
      </c>
      <c r="R8692" t="str">
        <f t="shared" si="1413"/>
        <v/>
      </c>
      <c r="S8692" t="str">
        <f t="shared" si="1414"/>
        <v/>
      </c>
      <c r="T8692" t="str">
        <f t="shared" si="1415"/>
        <v/>
      </c>
      <c r="U8692" t="str">
        <f t="shared" si="1416"/>
        <v/>
      </c>
      <c r="V8692" t="str">
        <f t="shared" si="1417"/>
        <v/>
      </c>
      <c r="W8692" t="str">
        <f t="shared" si="1418"/>
        <v/>
      </c>
      <c r="X8692">
        <f t="shared" si="1408"/>
        <v>0</v>
      </c>
      <c r="Z8692" t="str">
        <f t="shared" si="1419"/>
        <v/>
      </c>
      <c r="AA8692">
        <f t="shared" si="1409"/>
        <v>0</v>
      </c>
    </row>
    <row r="8693" spans="1:27" ht="21" customHeight="1" x14ac:dyDescent="0.95">
      <c r="A8693" s="56"/>
      <c r="B8693" s="57"/>
      <c r="C8693" s="57"/>
      <c r="D8693" s="57"/>
      <c r="E8693" s="56"/>
      <c r="F8693" s="57"/>
      <c r="G8693" s="57"/>
      <c r="H8693" s="56"/>
      <c r="I8693" s="56"/>
      <c r="J8693" s="58"/>
      <c r="K8693" s="58"/>
      <c r="L8693" s="13" t="str">
        <f t="shared" si="1410"/>
        <v/>
      </c>
      <c r="M8693" s="13" t="str">
        <f t="shared" si="1411"/>
        <v/>
      </c>
      <c r="Q8693" t="str">
        <f t="shared" si="1412"/>
        <v/>
      </c>
      <c r="R8693" t="str">
        <f t="shared" si="1413"/>
        <v/>
      </c>
      <c r="S8693" t="str">
        <f t="shared" si="1414"/>
        <v/>
      </c>
      <c r="T8693" t="str">
        <f t="shared" si="1415"/>
        <v/>
      </c>
      <c r="U8693" t="str">
        <f t="shared" si="1416"/>
        <v/>
      </c>
      <c r="V8693" t="str">
        <f t="shared" si="1417"/>
        <v/>
      </c>
      <c r="W8693" t="str">
        <f t="shared" si="1418"/>
        <v/>
      </c>
      <c r="X8693">
        <f t="shared" ref="X8693:X8756" si="1420">IF($T8693="",N($X8692),IF(MATCH($T8693,$T$6:$T$10005,0)=ROW()-5,N($X8692)+1,N($X8692)))</f>
        <v>0</v>
      </c>
      <c r="Z8693" t="str">
        <f t="shared" si="1419"/>
        <v/>
      </c>
      <c r="AA8693">
        <f t="shared" ref="AA8693:AA8756" si="1421">IF($V8693="",N($AA8692),IF(MATCH($V8693,$V$6:$V$10005,0)=ROW()-5,N($AA8692)+1,N($AA8692)))</f>
        <v>0</v>
      </c>
    </row>
    <row r="8694" spans="1:27" ht="21" customHeight="1" x14ac:dyDescent="0.95">
      <c r="A8694" s="56"/>
      <c r="B8694" s="57"/>
      <c r="C8694" s="57"/>
      <c r="D8694" s="57"/>
      <c r="E8694" s="56"/>
      <c r="F8694" s="57"/>
      <c r="G8694" s="57"/>
      <c r="H8694" s="56"/>
      <c r="I8694" s="56"/>
      <c r="J8694" s="58"/>
      <c r="K8694" s="58"/>
      <c r="L8694" s="13" t="str">
        <f t="shared" si="1410"/>
        <v/>
      </c>
      <c r="M8694" s="13" t="str">
        <f t="shared" si="1411"/>
        <v/>
      </c>
      <c r="Q8694" t="str">
        <f t="shared" si="1412"/>
        <v/>
      </c>
      <c r="R8694" t="str">
        <f t="shared" si="1413"/>
        <v/>
      </c>
      <c r="S8694" t="str">
        <f t="shared" si="1414"/>
        <v/>
      </c>
      <c r="T8694" t="str">
        <f t="shared" si="1415"/>
        <v/>
      </c>
      <c r="U8694" t="str">
        <f t="shared" si="1416"/>
        <v/>
      </c>
      <c r="V8694" t="str">
        <f t="shared" si="1417"/>
        <v/>
      </c>
      <c r="W8694" t="str">
        <f t="shared" si="1418"/>
        <v/>
      </c>
      <c r="X8694">
        <f t="shared" si="1420"/>
        <v>0</v>
      </c>
      <c r="Z8694" t="str">
        <f t="shared" si="1419"/>
        <v/>
      </c>
      <c r="AA8694">
        <f t="shared" si="1421"/>
        <v>0</v>
      </c>
    </row>
    <row r="8695" spans="1:27" ht="21" customHeight="1" x14ac:dyDescent="0.95">
      <c r="A8695" s="56"/>
      <c r="B8695" s="57"/>
      <c r="C8695" s="57"/>
      <c r="D8695" s="57"/>
      <c r="E8695" s="56"/>
      <c r="F8695" s="57"/>
      <c r="G8695" s="57"/>
      <c r="H8695" s="56"/>
      <c r="I8695" s="56"/>
      <c r="J8695" s="58"/>
      <c r="K8695" s="58"/>
      <c r="L8695" s="13" t="str">
        <f t="shared" si="1410"/>
        <v/>
      </c>
      <c r="M8695" s="13" t="str">
        <f t="shared" si="1411"/>
        <v/>
      </c>
      <c r="Q8695" t="str">
        <f t="shared" si="1412"/>
        <v/>
      </c>
      <c r="R8695" t="str">
        <f t="shared" si="1413"/>
        <v/>
      </c>
      <c r="S8695" t="str">
        <f t="shared" si="1414"/>
        <v/>
      </c>
      <c r="T8695" t="str">
        <f t="shared" si="1415"/>
        <v/>
      </c>
      <c r="U8695" t="str">
        <f t="shared" si="1416"/>
        <v/>
      </c>
      <c r="V8695" t="str">
        <f t="shared" si="1417"/>
        <v/>
      </c>
      <c r="W8695" t="str">
        <f t="shared" si="1418"/>
        <v/>
      </c>
      <c r="X8695">
        <f t="shared" si="1420"/>
        <v>0</v>
      </c>
      <c r="Z8695" t="str">
        <f t="shared" si="1419"/>
        <v/>
      </c>
      <c r="AA8695">
        <f t="shared" si="1421"/>
        <v>0</v>
      </c>
    </row>
    <row r="8696" spans="1:27" ht="21" customHeight="1" x14ac:dyDescent="0.95">
      <c r="A8696" s="56"/>
      <c r="B8696" s="57"/>
      <c r="C8696" s="57"/>
      <c r="D8696" s="57"/>
      <c r="E8696" s="56"/>
      <c r="F8696" s="57"/>
      <c r="G8696" s="57"/>
      <c r="H8696" s="56"/>
      <c r="I8696" s="56"/>
      <c r="J8696" s="58"/>
      <c r="K8696" s="58"/>
      <c r="L8696" s="13" t="str">
        <f t="shared" si="1410"/>
        <v/>
      </c>
      <c r="M8696" s="13" t="str">
        <f t="shared" si="1411"/>
        <v/>
      </c>
      <c r="Q8696" t="str">
        <f t="shared" si="1412"/>
        <v/>
      </c>
      <c r="R8696" t="str">
        <f t="shared" si="1413"/>
        <v/>
      </c>
      <c r="S8696" t="str">
        <f t="shared" si="1414"/>
        <v/>
      </c>
      <c r="T8696" t="str">
        <f t="shared" si="1415"/>
        <v/>
      </c>
      <c r="U8696" t="str">
        <f t="shared" si="1416"/>
        <v/>
      </c>
      <c r="V8696" t="str">
        <f t="shared" si="1417"/>
        <v/>
      </c>
      <c r="W8696" t="str">
        <f t="shared" si="1418"/>
        <v/>
      </c>
      <c r="X8696">
        <f t="shared" si="1420"/>
        <v>0</v>
      </c>
      <c r="Z8696" t="str">
        <f t="shared" si="1419"/>
        <v/>
      </c>
      <c r="AA8696">
        <f t="shared" si="1421"/>
        <v>0</v>
      </c>
    </row>
    <row r="8697" spans="1:27" ht="21" customHeight="1" x14ac:dyDescent="0.95">
      <c r="A8697" s="56"/>
      <c r="B8697" s="57"/>
      <c r="C8697" s="57"/>
      <c r="D8697" s="57"/>
      <c r="E8697" s="56"/>
      <c r="F8697" s="57"/>
      <c r="G8697" s="57"/>
      <c r="H8697" s="56"/>
      <c r="I8697" s="56"/>
      <c r="J8697" s="58"/>
      <c r="K8697" s="58"/>
      <c r="L8697" s="13" t="str">
        <f t="shared" si="1410"/>
        <v/>
      </c>
      <c r="M8697" s="13" t="str">
        <f t="shared" si="1411"/>
        <v/>
      </c>
      <c r="Q8697" t="str">
        <f t="shared" si="1412"/>
        <v/>
      </c>
      <c r="R8697" t="str">
        <f t="shared" si="1413"/>
        <v/>
      </c>
      <c r="S8697" t="str">
        <f t="shared" si="1414"/>
        <v/>
      </c>
      <c r="T8697" t="str">
        <f t="shared" si="1415"/>
        <v/>
      </c>
      <c r="U8697" t="str">
        <f t="shared" si="1416"/>
        <v/>
      </c>
      <c r="V8697" t="str">
        <f t="shared" si="1417"/>
        <v/>
      </c>
      <c r="W8697" t="str">
        <f t="shared" si="1418"/>
        <v/>
      </c>
      <c r="X8697">
        <f t="shared" si="1420"/>
        <v>0</v>
      </c>
      <c r="Z8697" t="str">
        <f t="shared" si="1419"/>
        <v/>
      </c>
      <c r="AA8697">
        <f t="shared" si="1421"/>
        <v>0</v>
      </c>
    </row>
    <row r="8698" spans="1:27" ht="21" customHeight="1" x14ac:dyDescent="0.95">
      <c r="A8698" s="56"/>
      <c r="B8698" s="57"/>
      <c r="C8698" s="57"/>
      <c r="D8698" s="57"/>
      <c r="E8698" s="56"/>
      <c r="F8698" s="57"/>
      <c r="G8698" s="57"/>
      <c r="H8698" s="56"/>
      <c r="I8698" s="56"/>
      <c r="J8698" s="58"/>
      <c r="K8698" s="58"/>
      <c r="L8698" s="13" t="str">
        <f t="shared" si="1410"/>
        <v/>
      </c>
      <c r="M8698" s="13" t="str">
        <f t="shared" si="1411"/>
        <v/>
      </c>
      <c r="Q8698" t="str">
        <f t="shared" si="1412"/>
        <v/>
      </c>
      <c r="R8698" t="str">
        <f t="shared" si="1413"/>
        <v/>
      </c>
      <c r="S8698" t="str">
        <f t="shared" si="1414"/>
        <v/>
      </c>
      <c r="T8698" t="str">
        <f t="shared" si="1415"/>
        <v/>
      </c>
      <c r="U8698" t="str">
        <f t="shared" si="1416"/>
        <v/>
      </c>
      <c r="V8698" t="str">
        <f t="shared" si="1417"/>
        <v/>
      </c>
      <c r="W8698" t="str">
        <f t="shared" si="1418"/>
        <v/>
      </c>
      <c r="X8698">
        <f t="shared" si="1420"/>
        <v>0</v>
      </c>
      <c r="Z8698" t="str">
        <f t="shared" si="1419"/>
        <v/>
      </c>
      <c r="AA8698">
        <f t="shared" si="1421"/>
        <v>0</v>
      </c>
    </row>
    <row r="8699" spans="1:27" ht="21" customHeight="1" x14ac:dyDescent="0.95">
      <c r="A8699" s="56"/>
      <c r="B8699" s="57"/>
      <c r="C8699" s="57"/>
      <c r="D8699" s="57"/>
      <c r="E8699" s="56"/>
      <c r="F8699" s="57"/>
      <c r="G8699" s="57"/>
      <c r="H8699" s="56"/>
      <c r="I8699" s="56"/>
      <c r="J8699" s="58"/>
      <c r="K8699" s="58"/>
      <c r="L8699" s="13" t="str">
        <f t="shared" si="1410"/>
        <v/>
      </c>
      <c r="M8699" s="13" t="str">
        <f t="shared" si="1411"/>
        <v/>
      </c>
      <c r="Q8699" t="str">
        <f t="shared" si="1412"/>
        <v/>
      </c>
      <c r="R8699" t="str">
        <f t="shared" si="1413"/>
        <v/>
      </c>
      <c r="S8699" t="str">
        <f t="shared" si="1414"/>
        <v/>
      </c>
      <c r="T8699" t="str">
        <f t="shared" si="1415"/>
        <v/>
      </c>
      <c r="U8699" t="str">
        <f t="shared" si="1416"/>
        <v/>
      </c>
      <c r="V8699" t="str">
        <f t="shared" si="1417"/>
        <v/>
      </c>
      <c r="W8699" t="str">
        <f t="shared" si="1418"/>
        <v/>
      </c>
      <c r="X8699">
        <f t="shared" si="1420"/>
        <v>0</v>
      </c>
      <c r="Z8699" t="str">
        <f t="shared" si="1419"/>
        <v/>
      </c>
      <c r="AA8699">
        <f t="shared" si="1421"/>
        <v>0</v>
      </c>
    </row>
    <row r="8700" spans="1:27" ht="21" customHeight="1" x14ac:dyDescent="0.95">
      <c r="A8700" s="56"/>
      <c r="B8700" s="57"/>
      <c r="C8700" s="57"/>
      <c r="D8700" s="57"/>
      <c r="E8700" s="56"/>
      <c r="F8700" s="57"/>
      <c r="G8700" s="57"/>
      <c r="H8700" s="56"/>
      <c r="I8700" s="56"/>
      <c r="J8700" s="58"/>
      <c r="K8700" s="58"/>
      <c r="L8700" s="13" t="str">
        <f t="shared" si="1410"/>
        <v/>
      </c>
      <c r="M8700" s="13" t="str">
        <f t="shared" si="1411"/>
        <v/>
      </c>
      <c r="Q8700" t="str">
        <f t="shared" si="1412"/>
        <v/>
      </c>
      <c r="R8700" t="str">
        <f t="shared" si="1413"/>
        <v/>
      </c>
      <c r="S8700" t="str">
        <f t="shared" si="1414"/>
        <v/>
      </c>
      <c r="T8700" t="str">
        <f t="shared" si="1415"/>
        <v/>
      </c>
      <c r="U8700" t="str">
        <f t="shared" si="1416"/>
        <v/>
      </c>
      <c r="V8700" t="str">
        <f t="shared" si="1417"/>
        <v/>
      </c>
      <c r="W8700" t="str">
        <f t="shared" si="1418"/>
        <v/>
      </c>
      <c r="X8700">
        <f t="shared" si="1420"/>
        <v>0</v>
      </c>
      <c r="Z8700" t="str">
        <f t="shared" si="1419"/>
        <v/>
      </c>
      <c r="AA8700">
        <f t="shared" si="1421"/>
        <v>0</v>
      </c>
    </row>
    <row r="8701" spans="1:27" ht="21" customHeight="1" x14ac:dyDescent="0.95">
      <c r="A8701" s="56"/>
      <c r="B8701" s="57"/>
      <c r="C8701" s="57"/>
      <c r="D8701" s="57"/>
      <c r="E8701" s="56"/>
      <c r="F8701" s="57"/>
      <c r="G8701" s="57"/>
      <c r="H8701" s="56"/>
      <c r="I8701" s="56"/>
      <c r="J8701" s="58"/>
      <c r="K8701" s="58"/>
      <c r="L8701" s="13" t="str">
        <f t="shared" si="1410"/>
        <v/>
      </c>
      <c r="M8701" s="13" t="str">
        <f t="shared" si="1411"/>
        <v/>
      </c>
      <c r="Q8701" t="str">
        <f t="shared" si="1412"/>
        <v/>
      </c>
      <c r="R8701" t="str">
        <f t="shared" si="1413"/>
        <v/>
      </c>
      <c r="S8701" t="str">
        <f t="shared" si="1414"/>
        <v/>
      </c>
      <c r="T8701" t="str">
        <f t="shared" si="1415"/>
        <v/>
      </c>
      <c r="U8701" t="str">
        <f t="shared" si="1416"/>
        <v/>
      </c>
      <c r="V8701" t="str">
        <f t="shared" si="1417"/>
        <v/>
      </c>
      <c r="W8701" t="str">
        <f t="shared" si="1418"/>
        <v/>
      </c>
      <c r="X8701">
        <f t="shared" si="1420"/>
        <v>0</v>
      </c>
      <c r="Z8701" t="str">
        <f t="shared" si="1419"/>
        <v/>
      </c>
      <c r="AA8701">
        <f t="shared" si="1421"/>
        <v>0</v>
      </c>
    </row>
    <row r="8702" spans="1:27" ht="21" customHeight="1" x14ac:dyDescent="0.95">
      <c r="A8702" s="56"/>
      <c r="B8702" s="57"/>
      <c r="C8702" s="57"/>
      <c r="D8702" s="57"/>
      <c r="E8702" s="56"/>
      <c r="F8702" s="57"/>
      <c r="G8702" s="57"/>
      <c r="H8702" s="56"/>
      <c r="I8702" s="56"/>
      <c r="J8702" s="58"/>
      <c r="K8702" s="58"/>
      <c r="L8702" s="13" t="str">
        <f t="shared" si="1410"/>
        <v/>
      </c>
      <c r="M8702" s="13" t="str">
        <f t="shared" si="1411"/>
        <v/>
      </c>
      <c r="Q8702" t="str">
        <f t="shared" si="1412"/>
        <v/>
      </c>
      <c r="R8702" t="str">
        <f t="shared" si="1413"/>
        <v/>
      </c>
      <c r="S8702" t="str">
        <f t="shared" si="1414"/>
        <v/>
      </c>
      <c r="T8702" t="str">
        <f t="shared" si="1415"/>
        <v/>
      </c>
      <c r="U8702" t="str">
        <f t="shared" si="1416"/>
        <v/>
      </c>
      <c r="V8702" t="str">
        <f t="shared" si="1417"/>
        <v/>
      </c>
      <c r="W8702" t="str">
        <f t="shared" si="1418"/>
        <v/>
      </c>
      <c r="X8702">
        <f t="shared" si="1420"/>
        <v>0</v>
      </c>
      <c r="Z8702" t="str">
        <f t="shared" si="1419"/>
        <v/>
      </c>
      <c r="AA8702">
        <f t="shared" si="1421"/>
        <v>0</v>
      </c>
    </row>
    <row r="8703" spans="1:27" ht="21" customHeight="1" x14ac:dyDescent="0.95">
      <c r="A8703" s="56"/>
      <c r="B8703" s="57"/>
      <c r="C8703" s="57"/>
      <c r="D8703" s="57"/>
      <c r="E8703" s="56"/>
      <c r="F8703" s="57"/>
      <c r="G8703" s="57"/>
      <c r="H8703" s="56"/>
      <c r="I8703" s="56"/>
      <c r="J8703" s="58"/>
      <c r="K8703" s="58"/>
      <c r="L8703" s="13" t="str">
        <f t="shared" si="1410"/>
        <v/>
      </c>
      <c r="M8703" s="13" t="str">
        <f t="shared" si="1411"/>
        <v/>
      </c>
      <c r="Q8703" t="str">
        <f t="shared" si="1412"/>
        <v/>
      </c>
      <c r="R8703" t="str">
        <f t="shared" si="1413"/>
        <v/>
      </c>
      <c r="S8703" t="str">
        <f t="shared" si="1414"/>
        <v/>
      </c>
      <c r="T8703" t="str">
        <f t="shared" si="1415"/>
        <v/>
      </c>
      <c r="U8703" t="str">
        <f t="shared" si="1416"/>
        <v/>
      </c>
      <c r="V8703" t="str">
        <f t="shared" si="1417"/>
        <v/>
      </c>
      <c r="W8703" t="str">
        <f t="shared" si="1418"/>
        <v/>
      </c>
      <c r="X8703">
        <f t="shared" si="1420"/>
        <v>0</v>
      </c>
      <c r="Z8703" t="str">
        <f t="shared" si="1419"/>
        <v/>
      </c>
      <c r="AA8703">
        <f t="shared" si="1421"/>
        <v>0</v>
      </c>
    </row>
    <row r="8704" spans="1:27" ht="21" customHeight="1" x14ac:dyDescent="0.95">
      <c r="A8704" s="56"/>
      <c r="B8704" s="57"/>
      <c r="C8704" s="57"/>
      <c r="D8704" s="57"/>
      <c r="E8704" s="56"/>
      <c r="F8704" s="57"/>
      <c r="G8704" s="57"/>
      <c r="H8704" s="56"/>
      <c r="I8704" s="56"/>
      <c r="J8704" s="58"/>
      <c r="K8704" s="58"/>
      <c r="L8704" s="13" t="str">
        <f t="shared" si="1410"/>
        <v/>
      </c>
      <c r="M8704" s="13" t="str">
        <f t="shared" si="1411"/>
        <v/>
      </c>
      <c r="Q8704" t="str">
        <f t="shared" si="1412"/>
        <v/>
      </c>
      <c r="R8704" t="str">
        <f t="shared" si="1413"/>
        <v/>
      </c>
      <c r="S8704" t="str">
        <f t="shared" si="1414"/>
        <v/>
      </c>
      <c r="T8704" t="str">
        <f t="shared" si="1415"/>
        <v/>
      </c>
      <c r="U8704" t="str">
        <f t="shared" si="1416"/>
        <v/>
      </c>
      <c r="V8704" t="str">
        <f t="shared" si="1417"/>
        <v/>
      </c>
      <c r="W8704" t="str">
        <f t="shared" si="1418"/>
        <v/>
      </c>
      <c r="X8704">
        <f t="shared" si="1420"/>
        <v>0</v>
      </c>
      <c r="Z8704" t="str">
        <f t="shared" si="1419"/>
        <v/>
      </c>
      <c r="AA8704">
        <f t="shared" si="1421"/>
        <v>0</v>
      </c>
    </row>
    <row r="8705" spans="1:27" ht="21" customHeight="1" x14ac:dyDescent="0.95">
      <c r="A8705" s="56"/>
      <c r="B8705" s="57"/>
      <c r="C8705" s="57"/>
      <c r="D8705" s="57"/>
      <c r="E8705" s="56"/>
      <c r="F8705" s="57"/>
      <c r="G8705" s="57"/>
      <c r="H8705" s="56"/>
      <c r="I8705" s="56"/>
      <c r="J8705" s="58"/>
      <c r="K8705" s="58"/>
      <c r="L8705" s="13" t="str">
        <f t="shared" si="1410"/>
        <v/>
      </c>
      <c r="M8705" s="13" t="str">
        <f t="shared" si="1411"/>
        <v/>
      </c>
      <c r="Q8705" t="str">
        <f t="shared" si="1412"/>
        <v/>
      </c>
      <c r="R8705" t="str">
        <f t="shared" si="1413"/>
        <v/>
      </c>
      <c r="S8705" t="str">
        <f t="shared" si="1414"/>
        <v/>
      </c>
      <c r="T8705" t="str">
        <f t="shared" si="1415"/>
        <v/>
      </c>
      <c r="U8705" t="str">
        <f t="shared" si="1416"/>
        <v/>
      </c>
      <c r="V8705" t="str">
        <f t="shared" si="1417"/>
        <v/>
      </c>
      <c r="W8705" t="str">
        <f t="shared" si="1418"/>
        <v/>
      </c>
      <c r="X8705">
        <f t="shared" si="1420"/>
        <v>0</v>
      </c>
      <c r="Z8705" t="str">
        <f t="shared" si="1419"/>
        <v/>
      </c>
      <c r="AA8705">
        <f t="shared" si="1421"/>
        <v>0</v>
      </c>
    </row>
    <row r="8706" spans="1:27" ht="21" customHeight="1" x14ac:dyDescent="0.95">
      <c r="A8706" s="56"/>
      <c r="B8706" s="57"/>
      <c r="C8706" s="57"/>
      <c r="D8706" s="57"/>
      <c r="E8706" s="56"/>
      <c r="F8706" s="57"/>
      <c r="G8706" s="57"/>
      <c r="H8706" s="56"/>
      <c r="I8706" s="56"/>
      <c r="J8706" s="58"/>
      <c r="K8706" s="58"/>
      <c r="L8706" s="13" t="str">
        <f t="shared" si="1410"/>
        <v/>
      </c>
      <c r="M8706" s="13" t="str">
        <f t="shared" si="1411"/>
        <v/>
      </c>
      <c r="Q8706" t="str">
        <f t="shared" si="1412"/>
        <v/>
      </c>
      <c r="R8706" t="str">
        <f t="shared" si="1413"/>
        <v/>
      </c>
      <c r="S8706" t="str">
        <f t="shared" si="1414"/>
        <v/>
      </c>
      <c r="T8706" t="str">
        <f t="shared" si="1415"/>
        <v/>
      </c>
      <c r="U8706" t="str">
        <f t="shared" si="1416"/>
        <v/>
      </c>
      <c r="V8706" t="str">
        <f t="shared" si="1417"/>
        <v/>
      </c>
      <c r="W8706" t="str">
        <f t="shared" si="1418"/>
        <v/>
      </c>
      <c r="X8706">
        <f t="shared" si="1420"/>
        <v>0</v>
      </c>
      <c r="Z8706" t="str">
        <f t="shared" si="1419"/>
        <v/>
      </c>
      <c r="AA8706">
        <f t="shared" si="1421"/>
        <v>0</v>
      </c>
    </row>
    <row r="8707" spans="1:27" ht="21" customHeight="1" x14ac:dyDescent="0.95">
      <c r="A8707" s="56"/>
      <c r="B8707" s="57"/>
      <c r="C8707" s="57"/>
      <c r="D8707" s="57"/>
      <c r="E8707" s="56"/>
      <c r="F8707" s="57"/>
      <c r="G8707" s="57"/>
      <c r="H8707" s="56"/>
      <c r="I8707" s="56"/>
      <c r="J8707" s="58"/>
      <c r="K8707" s="58"/>
      <c r="L8707" s="13" t="str">
        <f t="shared" si="1410"/>
        <v/>
      </c>
      <c r="M8707" s="13" t="str">
        <f t="shared" si="1411"/>
        <v/>
      </c>
      <c r="Q8707" t="str">
        <f t="shared" si="1412"/>
        <v/>
      </c>
      <c r="R8707" t="str">
        <f t="shared" si="1413"/>
        <v/>
      </c>
      <c r="S8707" t="str">
        <f t="shared" si="1414"/>
        <v/>
      </c>
      <c r="T8707" t="str">
        <f t="shared" si="1415"/>
        <v/>
      </c>
      <c r="U8707" t="str">
        <f t="shared" si="1416"/>
        <v/>
      </c>
      <c r="V8707" t="str">
        <f t="shared" si="1417"/>
        <v/>
      </c>
      <c r="W8707" t="str">
        <f t="shared" si="1418"/>
        <v/>
      </c>
      <c r="X8707">
        <f t="shared" si="1420"/>
        <v>0</v>
      </c>
      <c r="Z8707" t="str">
        <f t="shared" si="1419"/>
        <v/>
      </c>
      <c r="AA8707">
        <f t="shared" si="1421"/>
        <v>0</v>
      </c>
    </row>
    <row r="8708" spans="1:27" ht="21" customHeight="1" x14ac:dyDescent="0.95">
      <c r="A8708" s="56"/>
      <c r="B8708" s="57"/>
      <c r="C8708" s="57"/>
      <c r="D8708" s="57"/>
      <c r="E8708" s="56"/>
      <c r="F8708" s="57"/>
      <c r="G8708" s="57"/>
      <c r="H8708" s="56"/>
      <c r="I8708" s="56"/>
      <c r="J8708" s="58"/>
      <c r="K8708" s="58"/>
      <c r="L8708" s="13" t="str">
        <f t="shared" ref="L8708:L8771" si="1422">IF(OR($A8708="",AND($J8708="",$K8708="")),"",ROUND(N($J8708)-N($K8708),2))</f>
        <v/>
      </c>
      <c r="M8708" s="13" t="str">
        <f t="shared" ref="M8708:M8771" si="1423">IF(OR($A8708="",AND($J8708="",$K8708="")),"",MIN($J8708,$K8708))</f>
        <v/>
      </c>
      <c r="Q8708" t="str">
        <f t="shared" ref="Q8708:Q8771" si="1424">IF($A8708="","",$D8708&amp;"("&amp;SUBSTITUTE($E8708," ","")&amp;")")</f>
        <v/>
      </c>
      <c r="R8708" t="str">
        <f t="shared" ref="R8708:R8771" si="1425">IF($A8708="","",$B8708&amp;" - "&amp;$C8708)</f>
        <v/>
      </c>
      <c r="S8708" t="str">
        <f t="shared" ref="S8708:S8771" si="1426">IF($A8708="","",$R8708&amp;"|"&amp;$Q8708)</f>
        <v/>
      </c>
      <c r="T8708" t="str">
        <f t="shared" ref="T8708:T8771" si="1427">IF($A8708="","",$S8708&amp;"|"&amp;$F8708)</f>
        <v/>
      </c>
      <c r="U8708" t="str">
        <f t="shared" ref="U8708:U8771" si="1428">IF($A8708="","",$R8708&amp;"("&amp;$E8708&amp;")")</f>
        <v/>
      </c>
      <c r="V8708" t="str">
        <f t="shared" ref="V8708:V8771" si="1429">IF($A8708="","",$F8708&amp;"|"&amp;$U8708&amp;"|"&amp;$D8708)</f>
        <v/>
      </c>
      <c r="W8708" t="str">
        <f t="shared" si="1418"/>
        <v/>
      </c>
      <c r="X8708">
        <f t="shared" si="1420"/>
        <v>0</v>
      </c>
      <c r="Z8708" t="str">
        <f t="shared" si="1419"/>
        <v/>
      </c>
      <c r="AA8708">
        <f t="shared" si="1421"/>
        <v>0</v>
      </c>
    </row>
    <row r="8709" spans="1:27" ht="21" customHeight="1" x14ac:dyDescent="0.95">
      <c r="A8709" s="56"/>
      <c r="B8709" s="57"/>
      <c r="C8709" s="57"/>
      <c r="D8709" s="57"/>
      <c r="E8709" s="56"/>
      <c r="F8709" s="57"/>
      <c r="G8709" s="57"/>
      <c r="H8709" s="56"/>
      <c r="I8709" s="56"/>
      <c r="J8709" s="58"/>
      <c r="K8709" s="58"/>
      <c r="L8709" s="13" t="str">
        <f t="shared" si="1422"/>
        <v/>
      </c>
      <c r="M8709" s="13" t="str">
        <f t="shared" si="1423"/>
        <v/>
      </c>
      <c r="Q8709" t="str">
        <f t="shared" si="1424"/>
        <v/>
      </c>
      <c r="R8709" t="str">
        <f t="shared" si="1425"/>
        <v/>
      </c>
      <c r="S8709" t="str">
        <f t="shared" si="1426"/>
        <v/>
      </c>
      <c r="T8709" t="str">
        <f t="shared" si="1427"/>
        <v/>
      </c>
      <c r="U8709" t="str">
        <f t="shared" si="1428"/>
        <v/>
      </c>
      <c r="V8709" t="str">
        <f t="shared" si="1429"/>
        <v/>
      </c>
      <c r="W8709" t="str">
        <f t="shared" si="1418"/>
        <v/>
      </c>
      <c r="X8709">
        <f t="shared" si="1420"/>
        <v>0</v>
      </c>
      <c r="Z8709" t="str">
        <f t="shared" si="1419"/>
        <v/>
      </c>
      <c r="AA8709">
        <f t="shared" si="1421"/>
        <v>0</v>
      </c>
    </row>
    <row r="8710" spans="1:27" ht="21" customHeight="1" x14ac:dyDescent="0.95">
      <c r="A8710" s="56"/>
      <c r="B8710" s="57"/>
      <c r="C8710" s="57"/>
      <c r="D8710" s="57"/>
      <c r="E8710" s="56"/>
      <c r="F8710" s="57"/>
      <c r="G8710" s="57"/>
      <c r="H8710" s="56"/>
      <c r="I8710" s="56"/>
      <c r="J8710" s="58"/>
      <c r="K8710" s="58"/>
      <c r="L8710" s="13" t="str">
        <f t="shared" si="1422"/>
        <v/>
      </c>
      <c r="M8710" s="13" t="str">
        <f t="shared" si="1423"/>
        <v/>
      </c>
      <c r="Q8710" t="str">
        <f t="shared" si="1424"/>
        <v/>
      </c>
      <c r="R8710" t="str">
        <f t="shared" si="1425"/>
        <v/>
      </c>
      <c r="S8710" t="str">
        <f t="shared" si="1426"/>
        <v/>
      </c>
      <c r="T8710" t="str">
        <f t="shared" si="1427"/>
        <v/>
      </c>
      <c r="U8710" t="str">
        <f t="shared" si="1428"/>
        <v/>
      </c>
      <c r="V8710" t="str">
        <f t="shared" si="1429"/>
        <v/>
      </c>
      <c r="W8710" t="str">
        <f t="shared" ref="W8710:W8773" si="1430">IF($T8710="","",IF($X8710&gt;N($X8709),$X8710,""))</f>
        <v/>
      </c>
      <c r="X8710">
        <f t="shared" si="1420"/>
        <v>0</v>
      </c>
      <c r="Z8710" t="str">
        <f t="shared" ref="Z8710:Z8773" si="1431">IF($V8710="","",IF($AA8710&gt;N($AA8709),$AA8710,""))</f>
        <v/>
      </c>
      <c r="AA8710">
        <f t="shared" si="1421"/>
        <v>0</v>
      </c>
    </row>
    <row r="8711" spans="1:27" ht="21" customHeight="1" x14ac:dyDescent="0.95">
      <c r="A8711" s="56"/>
      <c r="B8711" s="57"/>
      <c r="C8711" s="57"/>
      <c r="D8711" s="57"/>
      <c r="E8711" s="56"/>
      <c r="F8711" s="57"/>
      <c r="G8711" s="57"/>
      <c r="H8711" s="56"/>
      <c r="I8711" s="56"/>
      <c r="J8711" s="58"/>
      <c r="K8711" s="58"/>
      <c r="L8711" s="13" t="str">
        <f t="shared" si="1422"/>
        <v/>
      </c>
      <c r="M8711" s="13" t="str">
        <f t="shared" si="1423"/>
        <v/>
      </c>
      <c r="Q8711" t="str">
        <f t="shared" si="1424"/>
        <v/>
      </c>
      <c r="R8711" t="str">
        <f t="shared" si="1425"/>
        <v/>
      </c>
      <c r="S8711" t="str">
        <f t="shared" si="1426"/>
        <v/>
      </c>
      <c r="T8711" t="str">
        <f t="shared" si="1427"/>
        <v/>
      </c>
      <c r="U8711" t="str">
        <f t="shared" si="1428"/>
        <v/>
      </c>
      <c r="V8711" t="str">
        <f t="shared" si="1429"/>
        <v/>
      </c>
      <c r="W8711" t="str">
        <f t="shared" si="1430"/>
        <v/>
      </c>
      <c r="X8711">
        <f t="shared" si="1420"/>
        <v>0</v>
      </c>
      <c r="Z8711" t="str">
        <f t="shared" si="1431"/>
        <v/>
      </c>
      <c r="AA8711">
        <f t="shared" si="1421"/>
        <v>0</v>
      </c>
    </row>
    <row r="8712" spans="1:27" ht="21" customHeight="1" x14ac:dyDescent="0.95">
      <c r="A8712" s="56"/>
      <c r="B8712" s="57"/>
      <c r="C8712" s="57"/>
      <c r="D8712" s="57"/>
      <c r="E8712" s="56"/>
      <c r="F8712" s="57"/>
      <c r="G8712" s="57"/>
      <c r="H8712" s="56"/>
      <c r="I8712" s="56"/>
      <c r="J8712" s="58"/>
      <c r="K8712" s="58"/>
      <c r="L8712" s="13" t="str">
        <f t="shared" si="1422"/>
        <v/>
      </c>
      <c r="M8712" s="13" t="str">
        <f t="shared" si="1423"/>
        <v/>
      </c>
      <c r="Q8712" t="str">
        <f t="shared" si="1424"/>
        <v/>
      </c>
      <c r="R8712" t="str">
        <f t="shared" si="1425"/>
        <v/>
      </c>
      <c r="S8712" t="str">
        <f t="shared" si="1426"/>
        <v/>
      </c>
      <c r="T8712" t="str">
        <f t="shared" si="1427"/>
        <v/>
      </c>
      <c r="U8712" t="str">
        <f t="shared" si="1428"/>
        <v/>
      </c>
      <c r="V8712" t="str">
        <f t="shared" si="1429"/>
        <v/>
      </c>
      <c r="W8712" t="str">
        <f t="shared" si="1430"/>
        <v/>
      </c>
      <c r="X8712">
        <f t="shared" si="1420"/>
        <v>0</v>
      </c>
      <c r="Z8712" t="str">
        <f t="shared" si="1431"/>
        <v/>
      </c>
      <c r="AA8712">
        <f t="shared" si="1421"/>
        <v>0</v>
      </c>
    </row>
    <row r="8713" spans="1:27" ht="21" customHeight="1" x14ac:dyDescent="0.95">
      <c r="A8713" s="56"/>
      <c r="B8713" s="57"/>
      <c r="C8713" s="57"/>
      <c r="D8713" s="57"/>
      <c r="E8713" s="56"/>
      <c r="F8713" s="57"/>
      <c r="G8713" s="57"/>
      <c r="H8713" s="56"/>
      <c r="I8713" s="56"/>
      <c r="J8713" s="58"/>
      <c r="K8713" s="58"/>
      <c r="L8713" s="13" t="str">
        <f t="shared" si="1422"/>
        <v/>
      </c>
      <c r="M8713" s="13" t="str">
        <f t="shared" si="1423"/>
        <v/>
      </c>
      <c r="Q8713" t="str">
        <f t="shared" si="1424"/>
        <v/>
      </c>
      <c r="R8713" t="str">
        <f t="shared" si="1425"/>
        <v/>
      </c>
      <c r="S8713" t="str">
        <f t="shared" si="1426"/>
        <v/>
      </c>
      <c r="T8713" t="str">
        <f t="shared" si="1427"/>
        <v/>
      </c>
      <c r="U8713" t="str">
        <f t="shared" si="1428"/>
        <v/>
      </c>
      <c r="V8713" t="str">
        <f t="shared" si="1429"/>
        <v/>
      </c>
      <c r="W8713" t="str">
        <f t="shared" si="1430"/>
        <v/>
      </c>
      <c r="X8713">
        <f t="shared" si="1420"/>
        <v>0</v>
      </c>
      <c r="Z8713" t="str">
        <f t="shared" si="1431"/>
        <v/>
      </c>
      <c r="AA8713">
        <f t="shared" si="1421"/>
        <v>0</v>
      </c>
    </row>
    <row r="8714" spans="1:27" ht="21" customHeight="1" x14ac:dyDescent="0.95">
      <c r="A8714" s="56"/>
      <c r="B8714" s="57"/>
      <c r="C8714" s="57"/>
      <c r="D8714" s="57"/>
      <c r="E8714" s="56"/>
      <c r="F8714" s="57"/>
      <c r="G8714" s="57"/>
      <c r="H8714" s="56"/>
      <c r="I8714" s="56"/>
      <c r="J8714" s="58"/>
      <c r="K8714" s="58"/>
      <c r="L8714" s="13" t="str">
        <f t="shared" si="1422"/>
        <v/>
      </c>
      <c r="M8714" s="13" t="str">
        <f t="shared" si="1423"/>
        <v/>
      </c>
      <c r="Q8714" t="str">
        <f t="shared" si="1424"/>
        <v/>
      </c>
      <c r="R8714" t="str">
        <f t="shared" si="1425"/>
        <v/>
      </c>
      <c r="S8714" t="str">
        <f t="shared" si="1426"/>
        <v/>
      </c>
      <c r="T8714" t="str">
        <f t="shared" si="1427"/>
        <v/>
      </c>
      <c r="U8714" t="str">
        <f t="shared" si="1428"/>
        <v/>
      </c>
      <c r="V8714" t="str">
        <f t="shared" si="1429"/>
        <v/>
      </c>
      <c r="W8714" t="str">
        <f t="shared" si="1430"/>
        <v/>
      </c>
      <c r="X8714">
        <f t="shared" si="1420"/>
        <v>0</v>
      </c>
      <c r="Z8714" t="str">
        <f t="shared" si="1431"/>
        <v/>
      </c>
      <c r="AA8714">
        <f t="shared" si="1421"/>
        <v>0</v>
      </c>
    </row>
    <row r="8715" spans="1:27" ht="21" customHeight="1" x14ac:dyDescent="0.95">
      <c r="A8715" s="56"/>
      <c r="B8715" s="57"/>
      <c r="C8715" s="57"/>
      <c r="D8715" s="57"/>
      <c r="E8715" s="56"/>
      <c r="F8715" s="57"/>
      <c r="G8715" s="57"/>
      <c r="H8715" s="56"/>
      <c r="I8715" s="56"/>
      <c r="J8715" s="58"/>
      <c r="K8715" s="58"/>
      <c r="L8715" s="13" t="str">
        <f t="shared" si="1422"/>
        <v/>
      </c>
      <c r="M8715" s="13" t="str">
        <f t="shared" si="1423"/>
        <v/>
      </c>
      <c r="Q8715" t="str">
        <f t="shared" si="1424"/>
        <v/>
      </c>
      <c r="R8715" t="str">
        <f t="shared" si="1425"/>
        <v/>
      </c>
      <c r="S8715" t="str">
        <f t="shared" si="1426"/>
        <v/>
      </c>
      <c r="T8715" t="str">
        <f t="shared" si="1427"/>
        <v/>
      </c>
      <c r="U8715" t="str">
        <f t="shared" si="1428"/>
        <v/>
      </c>
      <c r="V8715" t="str">
        <f t="shared" si="1429"/>
        <v/>
      </c>
      <c r="W8715" t="str">
        <f t="shared" si="1430"/>
        <v/>
      </c>
      <c r="X8715">
        <f t="shared" si="1420"/>
        <v>0</v>
      </c>
      <c r="Z8715" t="str">
        <f t="shared" si="1431"/>
        <v/>
      </c>
      <c r="AA8715">
        <f t="shared" si="1421"/>
        <v>0</v>
      </c>
    </row>
    <row r="8716" spans="1:27" ht="21" customHeight="1" x14ac:dyDescent="0.95">
      <c r="A8716" s="56"/>
      <c r="B8716" s="57"/>
      <c r="C8716" s="57"/>
      <c r="D8716" s="57"/>
      <c r="E8716" s="56"/>
      <c r="F8716" s="57"/>
      <c r="G8716" s="57"/>
      <c r="H8716" s="56"/>
      <c r="I8716" s="56"/>
      <c r="J8716" s="58"/>
      <c r="K8716" s="58"/>
      <c r="L8716" s="13" t="str">
        <f t="shared" si="1422"/>
        <v/>
      </c>
      <c r="M8716" s="13" t="str">
        <f t="shared" si="1423"/>
        <v/>
      </c>
      <c r="Q8716" t="str">
        <f t="shared" si="1424"/>
        <v/>
      </c>
      <c r="R8716" t="str">
        <f t="shared" si="1425"/>
        <v/>
      </c>
      <c r="S8716" t="str">
        <f t="shared" si="1426"/>
        <v/>
      </c>
      <c r="T8716" t="str">
        <f t="shared" si="1427"/>
        <v/>
      </c>
      <c r="U8716" t="str">
        <f t="shared" si="1428"/>
        <v/>
      </c>
      <c r="V8716" t="str">
        <f t="shared" si="1429"/>
        <v/>
      </c>
      <c r="W8716" t="str">
        <f t="shared" si="1430"/>
        <v/>
      </c>
      <c r="X8716">
        <f t="shared" si="1420"/>
        <v>0</v>
      </c>
      <c r="Z8716" t="str">
        <f t="shared" si="1431"/>
        <v/>
      </c>
      <c r="AA8716">
        <f t="shared" si="1421"/>
        <v>0</v>
      </c>
    </row>
    <row r="8717" spans="1:27" ht="21" customHeight="1" x14ac:dyDescent="0.95">
      <c r="A8717" s="56"/>
      <c r="B8717" s="57"/>
      <c r="C8717" s="57"/>
      <c r="D8717" s="57"/>
      <c r="E8717" s="56"/>
      <c r="F8717" s="57"/>
      <c r="G8717" s="57"/>
      <c r="H8717" s="56"/>
      <c r="I8717" s="56"/>
      <c r="J8717" s="58"/>
      <c r="K8717" s="58"/>
      <c r="L8717" s="13" t="str">
        <f t="shared" si="1422"/>
        <v/>
      </c>
      <c r="M8717" s="13" t="str">
        <f t="shared" si="1423"/>
        <v/>
      </c>
      <c r="Q8717" t="str">
        <f t="shared" si="1424"/>
        <v/>
      </c>
      <c r="R8717" t="str">
        <f t="shared" si="1425"/>
        <v/>
      </c>
      <c r="S8717" t="str">
        <f t="shared" si="1426"/>
        <v/>
      </c>
      <c r="T8717" t="str">
        <f t="shared" si="1427"/>
        <v/>
      </c>
      <c r="U8717" t="str">
        <f t="shared" si="1428"/>
        <v/>
      </c>
      <c r="V8717" t="str">
        <f t="shared" si="1429"/>
        <v/>
      </c>
      <c r="W8717" t="str">
        <f t="shared" si="1430"/>
        <v/>
      </c>
      <c r="X8717">
        <f t="shared" si="1420"/>
        <v>0</v>
      </c>
      <c r="Z8717" t="str">
        <f t="shared" si="1431"/>
        <v/>
      </c>
      <c r="AA8717">
        <f t="shared" si="1421"/>
        <v>0</v>
      </c>
    </row>
    <row r="8718" spans="1:27" ht="21" customHeight="1" x14ac:dyDescent="0.95">
      <c r="A8718" s="56"/>
      <c r="B8718" s="57"/>
      <c r="C8718" s="57"/>
      <c r="D8718" s="57"/>
      <c r="E8718" s="56"/>
      <c r="F8718" s="57"/>
      <c r="G8718" s="57"/>
      <c r="H8718" s="56"/>
      <c r="I8718" s="56"/>
      <c r="J8718" s="58"/>
      <c r="K8718" s="58"/>
      <c r="L8718" s="13" t="str">
        <f t="shared" si="1422"/>
        <v/>
      </c>
      <c r="M8718" s="13" t="str">
        <f t="shared" si="1423"/>
        <v/>
      </c>
      <c r="Q8718" t="str">
        <f t="shared" si="1424"/>
        <v/>
      </c>
      <c r="R8718" t="str">
        <f t="shared" si="1425"/>
        <v/>
      </c>
      <c r="S8718" t="str">
        <f t="shared" si="1426"/>
        <v/>
      </c>
      <c r="T8718" t="str">
        <f t="shared" si="1427"/>
        <v/>
      </c>
      <c r="U8718" t="str">
        <f t="shared" si="1428"/>
        <v/>
      </c>
      <c r="V8718" t="str">
        <f t="shared" si="1429"/>
        <v/>
      </c>
      <c r="W8718" t="str">
        <f t="shared" si="1430"/>
        <v/>
      </c>
      <c r="X8718">
        <f t="shared" si="1420"/>
        <v>0</v>
      </c>
      <c r="Z8718" t="str">
        <f t="shared" si="1431"/>
        <v/>
      </c>
      <c r="AA8718">
        <f t="shared" si="1421"/>
        <v>0</v>
      </c>
    </row>
    <row r="8719" spans="1:27" ht="21" customHeight="1" x14ac:dyDescent="0.95">
      <c r="A8719" s="56"/>
      <c r="B8719" s="57"/>
      <c r="C8719" s="57"/>
      <c r="D8719" s="57"/>
      <c r="E8719" s="56"/>
      <c r="F8719" s="57"/>
      <c r="G8719" s="57"/>
      <c r="H8719" s="56"/>
      <c r="I8719" s="56"/>
      <c r="J8719" s="58"/>
      <c r="K8719" s="58"/>
      <c r="L8719" s="13" t="str">
        <f t="shared" si="1422"/>
        <v/>
      </c>
      <c r="M8719" s="13" t="str">
        <f t="shared" si="1423"/>
        <v/>
      </c>
      <c r="Q8719" t="str">
        <f t="shared" si="1424"/>
        <v/>
      </c>
      <c r="R8719" t="str">
        <f t="shared" si="1425"/>
        <v/>
      </c>
      <c r="S8719" t="str">
        <f t="shared" si="1426"/>
        <v/>
      </c>
      <c r="T8719" t="str">
        <f t="shared" si="1427"/>
        <v/>
      </c>
      <c r="U8719" t="str">
        <f t="shared" si="1428"/>
        <v/>
      </c>
      <c r="V8719" t="str">
        <f t="shared" si="1429"/>
        <v/>
      </c>
      <c r="W8719" t="str">
        <f t="shared" si="1430"/>
        <v/>
      </c>
      <c r="X8719">
        <f t="shared" si="1420"/>
        <v>0</v>
      </c>
      <c r="Z8719" t="str">
        <f t="shared" si="1431"/>
        <v/>
      </c>
      <c r="AA8719">
        <f t="shared" si="1421"/>
        <v>0</v>
      </c>
    </row>
    <row r="8720" spans="1:27" ht="21" customHeight="1" x14ac:dyDescent="0.95">
      <c r="A8720" s="56"/>
      <c r="B8720" s="57"/>
      <c r="C8720" s="57"/>
      <c r="D8720" s="57"/>
      <c r="E8720" s="56"/>
      <c r="F8720" s="57"/>
      <c r="G8720" s="57"/>
      <c r="H8720" s="56"/>
      <c r="I8720" s="56"/>
      <c r="J8720" s="58"/>
      <c r="K8720" s="58"/>
      <c r="L8720" s="13" t="str">
        <f t="shared" si="1422"/>
        <v/>
      </c>
      <c r="M8720" s="13" t="str">
        <f t="shared" si="1423"/>
        <v/>
      </c>
      <c r="Q8720" t="str">
        <f t="shared" si="1424"/>
        <v/>
      </c>
      <c r="R8720" t="str">
        <f t="shared" si="1425"/>
        <v/>
      </c>
      <c r="S8720" t="str">
        <f t="shared" si="1426"/>
        <v/>
      </c>
      <c r="T8720" t="str">
        <f t="shared" si="1427"/>
        <v/>
      </c>
      <c r="U8720" t="str">
        <f t="shared" si="1428"/>
        <v/>
      </c>
      <c r="V8720" t="str">
        <f t="shared" si="1429"/>
        <v/>
      </c>
      <c r="W8720" t="str">
        <f t="shared" si="1430"/>
        <v/>
      </c>
      <c r="X8720">
        <f t="shared" si="1420"/>
        <v>0</v>
      </c>
      <c r="Z8720" t="str">
        <f t="shared" si="1431"/>
        <v/>
      </c>
      <c r="AA8720">
        <f t="shared" si="1421"/>
        <v>0</v>
      </c>
    </row>
    <row r="8721" spans="1:27" ht="21" customHeight="1" x14ac:dyDescent="0.95">
      <c r="A8721" s="56"/>
      <c r="B8721" s="57"/>
      <c r="C8721" s="57"/>
      <c r="D8721" s="57"/>
      <c r="E8721" s="56"/>
      <c r="F8721" s="57"/>
      <c r="G8721" s="57"/>
      <c r="H8721" s="56"/>
      <c r="I8721" s="56"/>
      <c r="J8721" s="58"/>
      <c r="K8721" s="58"/>
      <c r="L8721" s="13" t="str">
        <f t="shared" si="1422"/>
        <v/>
      </c>
      <c r="M8721" s="13" t="str">
        <f t="shared" si="1423"/>
        <v/>
      </c>
      <c r="Q8721" t="str">
        <f t="shared" si="1424"/>
        <v/>
      </c>
      <c r="R8721" t="str">
        <f t="shared" si="1425"/>
        <v/>
      </c>
      <c r="S8721" t="str">
        <f t="shared" si="1426"/>
        <v/>
      </c>
      <c r="T8721" t="str">
        <f t="shared" si="1427"/>
        <v/>
      </c>
      <c r="U8721" t="str">
        <f t="shared" si="1428"/>
        <v/>
      </c>
      <c r="V8721" t="str">
        <f t="shared" si="1429"/>
        <v/>
      </c>
      <c r="W8721" t="str">
        <f t="shared" si="1430"/>
        <v/>
      </c>
      <c r="X8721">
        <f t="shared" si="1420"/>
        <v>0</v>
      </c>
      <c r="Z8721" t="str">
        <f t="shared" si="1431"/>
        <v/>
      </c>
      <c r="AA8721">
        <f t="shared" si="1421"/>
        <v>0</v>
      </c>
    </row>
    <row r="8722" spans="1:27" ht="21" customHeight="1" x14ac:dyDescent="0.95">
      <c r="A8722" s="56"/>
      <c r="B8722" s="57"/>
      <c r="C8722" s="57"/>
      <c r="D8722" s="57"/>
      <c r="E8722" s="56"/>
      <c r="F8722" s="57"/>
      <c r="G8722" s="57"/>
      <c r="H8722" s="56"/>
      <c r="I8722" s="56"/>
      <c r="J8722" s="58"/>
      <c r="K8722" s="58"/>
      <c r="L8722" s="13" t="str">
        <f t="shared" si="1422"/>
        <v/>
      </c>
      <c r="M8722" s="13" t="str">
        <f t="shared" si="1423"/>
        <v/>
      </c>
      <c r="Q8722" t="str">
        <f t="shared" si="1424"/>
        <v/>
      </c>
      <c r="R8722" t="str">
        <f t="shared" si="1425"/>
        <v/>
      </c>
      <c r="S8722" t="str">
        <f t="shared" si="1426"/>
        <v/>
      </c>
      <c r="T8722" t="str">
        <f t="shared" si="1427"/>
        <v/>
      </c>
      <c r="U8722" t="str">
        <f t="shared" si="1428"/>
        <v/>
      </c>
      <c r="V8722" t="str">
        <f t="shared" si="1429"/>
        <v/>
      </c>
      <c r="W8722" t="str">
        <f t="shared" si="1430"/>
        <v/>
      </c>
      <c r="X8722">
        <f t="shared" si="1420"/>
        <v>0</v>
      </c>
      <c r="Z8722" t="str">
        <f t="shared" si="1431"/>
        <v/>
      </c>
      <c r="AA8722">
        <f t="shared" si="1421"/>
        <v>0</v>
      </c>
    </row>
    <row r="8723" spans="1:27" ht="21" customHeight="1" x14ac:dyDescent="0.95">
      <c r="A8723" s="56"/>
      <c r="B8723" s="57"/>
      <c r="C8723" s="57"/>
      <c r="D8723" s="57"/>
      <c r="E8723" s="56"/>
      <c r="F8723" s="57"/>
      <c r="G8723" s="57"/>
      <c r="H8723" s="56"/>
      <c r="I8723" s="56"/>
      <c r="J8723" s="58"/>
      <c r="K8723" s="58"/>
      <c r="L8723" s="13" t="str">
        <f t="shared" si="1422"/>
        <v/>
      </c>
      <c r="M8723" s="13" t="str">
        <f t="shared" si="1423"/>
        <v/>
      </c>
      <c r="Q8723" t="str">
        <f t="shared" si="1424"/>
        <v/>
      </c>
      <c r="R8723" t="str">
        <f t="shared" si="1425"/>
        <v/>
      </c>
      <c r="S8723" t="str">
        <f t="shared" si="1426"/>
        <v/>
      </c>
      <c r="T8723" t="str">
        <f t="shared" si="1427"/>
        <v/>
      </c>
      <c r="U8723" t="str">
        <f t="shared" si="1428"/>
        <v/>
      </c>
      <c r="V8723" t="str">
        <f t="shared" si="1429"/>
        <v/>
      </c>
      <c r="W8723" t="str">
        <f t="shared" si="1430"/>
        <v/>
      </c>
      <c r="X8723">
        <f t="shared" si="1420"/>
        <v>0</v>
      </c>
      <c r="Z8723" t="str">
        <f t="shared" si="1431"/>
        <v/>
      </c>
      <c r="AA8723">
        <f t="shared" si="1421"/>
        <v>0</v>
      </c>
    </row>
    <row r="8724" spans="1:27" ht="21" customHeight="1" x14ac:dyDescent="0.95">
      <c r="A8724" s="56"/>
      <c r="B8724" s="57"/>
      <c r="C8724" s="57"/>
      <c r="D8724" s="57"/>
      <c r="E8724" s="56"/>
      <c r="F8724" s="57"/>
      <c r="G8724" s="57"/>
      <c r="H8724" s="56"/>
      <c r="I8724" s="56"/>
      <c r="J8724" s="58"/>
      <c r="K8724" s="58"/>
      <c r="L8724" s="13" t="str">
        <f t="shared" si="1422"/>
        <v/>
      </c>
      <c r="M8724" s="13" t="str">
        <f t="shared" si="1423"/>
        <v/>
      </c>
      <c r="Q8724" t="str">
        <f t="shared" si="1424"/>
        <v/>
      </c>
      <c r="R8724" t="str">
        <f t="shared" si="1425"/>
        <v/>
      </c>
      <c r="S8724" t="str">
        <f t="shared" si="1426"/>
        <v/>
      </c>
      <c r="T8724" t="str">
        <f t="shared" si="1427"/>
        <v/>
      </c>
      <c r="U8724" t="str">
        <f t="shared" si="1428"/>
        <v/>
      </c>
      <c r="V8724" t="str">
        <f t="shared" si="1429"/>
        <v/>
      </c>
      <c r="W8724" t="str">
        <f t="shared" si="1430"/>
        <v/>
      </c>
      <c r="X8724">
        <f t="shared" si="1420"/>
        <v>0</v>
      </c>
      <c r="Z8724" t="str">
        <f t="shared" si="1431"/>
        <v/>
      </c>
      <c r="AA8724">
        <f t="shared" si="1421"/>
        <v>0</v>
      </c>
    </row>
    <row r="8725" spans="1:27" ht="21" customHeight="1" x14ac:dyDescent="0.95">
      <c r="A8725" s="56"/>
      <c r="B8725" s="57"/>
      <c r="C8725" s="57"/>
      <c r="D8725" s="57"/>
      <c r="E8725" s="56"/>
      <c r="F8725" s="57"/>
      <c r="G8725" s="57"/>
      <c r="H8725" s="56"/>
      <c r="I8725" s="56"/>
      <c r="J8725" s="58"/>
      <c r="K8725" s="58"/>
      <c r="L8725" s="13" t="str">
        <f t="shared" si="1422"/>
        <v/>
      </c>
      <c r="M8725" s="13" t="str">
        <f t="shared" si="1423"/>
        <v/>
      </c>
      <c r="Q8725" t="str">
        <f t="shared" si="1424"/>
        <v/>
      </c>
      <c r="R8725" t="str">
        <f t="shared" si="1425"/>
        <v/>
      </c>
      <c r="S8725" t="str">
        <f t="shared" si="1426"/>
        <v/>
      </c>
      <c r="T8725" t="str">
        <f t="shared" si="1427"/>
        <v/>
      </c>
      <c r="U8725" t="str">
        <f t="shared" si="1428"/>
        <v/>
      </c>
      <c r="V8725" t="str">
        <f t="shared" si="1429"/>
        <v/>
      </c>
      <c r="W8725" t="str">
        <f t="shared" si="1430"/>
        <v/>
      </c>
      <c r="X8725">
        <f t="shared" si="1420"/>
        <v>0</v>
      </c>
      <c r="Z8725" t="str">
        <f t="shared" si="1431"/>
        <v/>
      </c>
      <c r="AA8725">
        <f t="shared" si="1421"/>
        <v>0</v>
      </c>
    </row>
    <row r="8726" spans="1:27" ht="21" customHeight="1" x14ac:dyDescent="0.95">
      <c r="A8726" s="56"/>
      <c r="B8726" s="57"/>
      <c r="C8726" s="57"/>
      <c r="D8726" s="57"/>
      <c r="E8726" s="56"/>
      <c r="F8726" s="57"/>
      <c r="G8726" s="57"/>
      <c r="H8726" s="56"/>
      <c r="I8726" s="56"/>
      <c r="J8726" s="58"/>
      <c r="K8726" s="58"/>
      <c r="L8726" s="13" t="str">
        <f t="shared" si="1422"/>
        <v/>
      </c>
      <c r="M8726" s="13" t="str">
        <f t="shared" si="1423"/>
        <v/>
      </c>
      <c r="Q8726" t="str">
        <f t="shared" si="1424"/>
        <v/>
      </c>
      <c r="R8726" t="str">
        <f t="shared" si="1425"/>
        <v/>
      </c>
      <c r="S8726" t="str">
        <f t="shared" si="1426"/>
        <v/>
      </c>
      <c r="T8726" t="str">
        <f t="shared" si="1427"/>
        <v/>
      </c>
      <c r="U8726" t="str">
        <f t="shared" si="1428"/>
        <v/>
      </c>
      <c r="V8726" t="str">
        <f t="shared" si="1429"/>
        <v/>
      </c>
      <c r="W8726" t="str">
        <f t="shared" si="1430"/>
        <v/>
      </c>
      <c r="X8726">
        <f t="shared" si="1420"/>
        <v>0</v>
      </c>
      <c r="Z8726" t="str">
        <f t="shared" si="1431"/>
        <v/>
      </c>
      <c r="AA8726">
        <f t="shared" si="1421"/>
        <v>0</v>
      </c>
    </row>
    <row r="8727" spans="1:27" ht="21" customHeight="1" x14ac:dyDescent="0.95">
      <c r="A8727" s="56"/>
      <c r="B8727" s="57"/>
      <c r="C8727" s="57"/>
      <c r="D8727" s="57"/>
      <c r="E8727" s="56"/>
      <c r="F8727" s="57"/>
      <c r="G8727" s="57"/>
      <c r="H8727" s="56"/>
      <c r="I8727" s="56"/>
      <c r="J8727" s="58"/>
      <c r="K8727" s="58"/>
      <c r="L8727" s="13" t="str">
        <f t="shared" si="1422"/>
        <v/>
      </c>
      <c r="M8727" s="13" t="str">
        <f t="shared" si="1423"/>
        <v/>
      </c>
      <c r="Q8727" t="str">
        <f t="shared" si="1424"/>
        <v/>
      </c>
      <c r="R8727" t="str">
        <f t="shared" si="1425"/>
        <v/>
      </c>
      <c r="S8727" t="str">
        <f t="shared" si="1426"/>
        <v/>
      </c>
      <c r="T8727" t="str">
        <f t="shared" si="1427"/>
        <v/>
      </c>
      <c r="U8727" t="str">
        <f t="shared" si="1428"/>
        <v/>
      </c>
      <c r="V8727" t="str">
        <f t="shared" si="1429"/>
        <v/>
      </c>
      <c r="W8727" t="str">
        <f t="shared" si="1430"/>
        <v/>
      </c>
      <c r="X8727">
        <f t="shared" si="1420"/>
        <v>0</v>
      </c>
      <c r="Z8727" t="str">
        <f t="shared" si="1431"/>
        <v/>
      </c>
      <c r="AA8727">
        <f t="shared" si="1421"/>
        <v>0</v>
      </c>
    </row>
    <row r="8728" spans="1:27" ht="21" customHeight="1" x14ac:dyDescent="0.95">
      <c r="A8728" s="56"/>
      <c r="B8728" s="57"/>
      <c r="C8728" s="57"/>
      <c r="D8728" s="57"/>
      <c r="E8728" s="56"/>
      <c r="F8728" s="57"/>
      <c r="G8728" s="57"/>
      <c r="H8728" s="56"/>
      <c r="I8728" s="56"/>
      <c r="J8728" s="58"/>
      <c r="K8728" s="58"/>
      <c r="L8728" s="13" t="str">
        <f t="shared" si="1422"/>
        <v/>
      </c>
      <c r="M8728" s="13" t="str">
        <f t="shared" si="1423"/>
        <v/>
      </c>
      <c r="Q8728" t="str">
        <f t="shared" si="1424"/>
        <v/>
      </c>
      <c r="R8728" t="str">
        <f t="shared" si="1425"/>
        <v/>
      </c>
      <c r="S8728" t="str">
        <f t="shared" si="1426"/>
        <v/>
      </c>
      <c r="T8728" t="str">
        <f t="shared" si="1427"/>
        <v/>
      </c>
      <c r="U8728" t="str">
        <f t="shared" si="1428"/>
        <v/>
      </c>
      <c r="V8728" t="str">
        <f t="shared" si="1429"/>
        <v/>
      </c>
      <c r="W8728" t="str">
        <f t="shared" si="1430"/>
        <v/>
      </c>
      <c r="X8728">
        <f t="shared" si="1420"/>
        <v>0</v>
      </c>
      <c r="Z8728" t="str">
        <f t="shared" si="1431"/>
        <v/>
      </c>
      <c r="AA8728">
        <f t="shared" si="1421"/>
        <v>0</v>
      </c>
    </row>
    <row r="8729" spans="1:27" ht="21" customHeight="1" x14ac:dyDescent="0.95">
      <c r="A8729" s="56"/>
      <c r="B8729" s="57"/>
      <c r="C8729" s="57"/>
      <c r="D8729" s="57"/>
      <c r="E8729" s="56"/>
      <c r="F8729" s="57"/>
      <c r="G8729" s="57"/>
      <c r="H8729" s="56"/>
      <c r="I8729" s="56"/>
      <c r="J8729" s="58"/>
      <c r="K8729" s="58"/>
      <c r="L8729" s="13" t="str">
        <f t="shared" si="1422"/>
        <v/>
      </c>
      <c r="M8729" s="13" t="str">
        <f t="shared" si="1423"/>
        <v/>
      </c>
      <c r="Q8729" t="str">
        <f t="shared" si="1424"/>
        <v/>
      </c>
      <c r="R8729" t="str">
        <f t="shared" si="1425"/>
        <v/>
      </c>
      <c r="S8729" t="str">
        <f t="shared" si="1426"/>
        <v/>
      </c>
      <c r="T8729" t="str">
        <f t="shared" si="1427"/>
        <v/>
      </c>
      <c r="U8729" t="str">
        <f t="shared" si="1428"/>
        <v/>
      </c>
      <c r="V8729" t="str">
        <f t="shared" si="1429"/>
        <v/>
      </c>
      <c r="W8729" t="str">
        <f t="shared" si="1430"/>
        <v/>
      </c>
      <c r="X8729">
        <f t="shared" si="1420"/>
        <v>0</v>
      </c>
      <c r="Z8729" t="str">
        <f t="shared" si="1431"/>
        <v/>
      </c>
      <c r="AA8729">
        <f t="shared" si="1421"/>
        <v>0</v>
      </c>
    </row>
    <row r="8730" spans="1:27" ht="21" customHeight="1" x14ac:dyDescent="0.95">
      <c r="A8730" s="56"/>
      <c r="B8730" s="57"/>
      <c r="C8730" s="57"/>
      <c r="D8730" s="57"/>
      <c r="E8730" s="56"/>
      <c r="F8730" s="57"/>
      <c r="G8730" s="57"/>
      <c r="H8730" s="56"/>
      <c r="I8730" s="56"/>
      <c r="J8730" s="58"/>
      <c r="K8730" s="58"/>
      <c r="L8730" s="13" t="str">
        <f t="shared" si="1422"/>
        <v/>
      </c>
      <c r="M8730" s="13" t="str">
        <f t="shared" si="1423"/>
        <v/>
      </c>
      <c r="Q8730" t="str">
        <f t="shared" si="1424"/>
        <v/>
      </c>
      <c r="R8730" t="str">
        <f t="shared" si="1425"/>
        <v/>
      </c>
      <c r="S8730" t="str">
        <f t="shared" si="1426"/>
        <v/>
      </c>
      <c r="T8730" t="str">
        <f t="shared" si="1427"/>
        <v/>
      </c>
      <c r="U8730" t="str">
        <f t="shared" si="1428"/>
        <v/>
      </c>
      <c r="V8730" t="str">
        <f t="shared" si="1429"/>
        <v/>
      </c>
      <c r="W8730" t="str">
        <f t="shared" si="1430"/>
        <v/>
      </c>
      <c r="X8730">
        <f t="shared" si="1420"/>
        <v>0</v>
      </c>
      <c r="Z8730" t="str">
        <f t="shared" si="1431"/>
        <v/>
      </c>
      <c r="AA8730">
        <f t="shared" si="1421"/>
        <v>0</v>
      </c>
    </row>
    <row r="8731" spans="1:27" ht="21" customHeight="1" x14ac:dyDescent="0.95">
      <c r="A8731" s="56"/>
      <c r="B8731" s="57"/>
      <c r="C8731" s="57"/>
      <c r="D8731" s="57"/>
      <c r="E8731" s="56"/>
      <c r="F8731" s="57"/>
      <c r="G8731" s="57"/>
      <c r="H8731" s="56"/>
      <c r="I8731" s="56"/>
      <c r="J8731" s="58"/>
      <c r="K8731" s="58"/>
      <c r="L8731" s="13" t="str">
        <f t="shared" si="1422"/>
        <v/>
      </c>
      <c r="M8731" s="13" t="str">
        <f t="shared" si="1423"/>
        <v/>
      </c>
      <c r="Q8731" t="str">
        <f t="shared" si="1424"/>
        <v/>
      </c>
      <c r="R8731" t="str">
        <f t="shared" si="1425"/>
        <v/>
      </c>
      <c r="S8731" t="str">
        <f t="shared" si="1426"/>
        <v/>
      </c>
      <c r="T8731" t="str">
        <f t="shared" si="1427"/>
        <v/>
      </c>
      <c r="U8731" t="str">
        <f t="shared" si="1428"/>
        <v/>
      </c>
      <c r="V8731" t="str">
        <f t="shared" si="1429"/>
        <v/>
      </c>
      <c r="W8731" t="str">
        <f t="shared" si="1430"/>
        <v/>
      </c>
      <c r="X8731">
        <f t="shared" si="1420"/>
        <v>0</v>
      </c>
      <c r="Z8731" t="str">
        <f t="shared" si="1431"/>
        <v/>
      </c>
      <c r="AA8731">
        <f t="shared" si="1421"/>
        <v>0</v>
      </c>
    </row>
    <row r="8732" spans="1:27" ht="21" customHeight="1" x14ac:dyDescent="0.95">
      <c r="A8732" s="56"/>
      <c r="B8732" s="57"/>
      <c r="C8732" s="57"/>
      <c r="D8732" s="57"/>
      <c r="E8732" s="56"/>
      <c r="F8732" s="57"/>
      <c r="G8732" s="57"/>
      <c r="H8732" s="56"/>
      <c r="I8732" s="56"/>
      <c r="J8732" s="58"/>
      <c r="K8732" s="58"/>
      <c r="L8732" s="13" t="str">
        <f t="shared" si="1422"/>
        <v/>
      </c>
      <c r="M8732" s="13" t="str">
        <f t="shared" si="1423"/>
        <v/>
      </c>
      <c r="Q8732" t="str">
        <f t="shared" si="1424"/>
        <v/>
      </c>
      <c r="R8732" t="str">
        <f t="shared" si="1425"/>
        <v/>
      </c>
      <c r="S8732" t="str">
        <f t="shared" si="1426"/>
        <v/>
      </c>
      <c r="T8732" t="str">
        <f t="shared" si="1427"/>
        <v/>
      </c>
      <c r="U8732" t="str">
        <f t="shared" si="1428"/>
        <v/>
      </c>
      <c r="V8732" t="str">
        <f t="shared" si="1429"/>
        <v/>
      </c>
      <c r="W8732" t="str">
        <f t="shared" si="1430"/>
        <v/>
      </c>
      <c r="X8732">
        <f t="shared" si="1420"/>
        <v>0</v>
      </c>
      <c r="Z8732" t="str">
        <f t="shared" si="1431"/>
        <v/>
      </c>
      <c r="AA8732">
        <f t="shared" si="1421"/>
        <v>0</v>
      </c>
    </row>
    <row r="8733" spans="1:27" ht="21" customHeight="1" x14ac:dyDescent="0.95">
      <c r="A8733" s="56"/>
      <c r="B8733" s="57"/>
      <c r="C8733" s="57"/>
      <c r="D8733" s="57"/>
      <c r="E8733" s="56"/>
      <c r="F8733" s="57"/>
      <c r="G8733" s="57"/>
      <c r="H8733" s="56"/>
      <c r="I8733" s="56"/>
      <c r="J8733" s="58"/>
      <c r="K8733" s="58"/>
      <c r="L8733" s="13" t="str">
        <f t="shared" si="1422"/>
        <v/>
      </c>
      <c r="M8733" s="13" t="str">
        <f t="shared" si="1423"/>
        <v/>
      </c>
      <c r="Q8733" t="str">
        <f t="shared" si="1424"/>
        <v/>
      </c>
      <c r="R8733" t="str">
        <f t="shared" si="1425"/>
        <v/>
      </c>
      <c r="S8733" t="str">
        <f t="shared" si="1426"/>
        <v/>
      </c>
      <c r="T8733" t="str">
        <f t="shared" si="1427"/>
        <v/>
      </c>
      <c r="U8733" t="str">
        <f t="shared" si="1428"/>
        <v/>
      </c>
      <c r="V8733" t="str">
        <f t="shared" si="1429"/>
        <v/>
      </c>
      <c r="W8733" t="str">
        <f t="shared" si="1430"/>
        <v/>
      </c>
      <c r="X8733">
        <f t="shared" si="1420"/>
        <v>0</v>
      </c>
      <c r="Z8733" t="str">
        <f t="shared" si="1431"/>
        <v/>
      </c>
      <c r="AA8733">
        <f t="shared" si="1421"/>
        <v>0</v>
      </c>
    </row>
    <row r="8734" spans="1:27" ht="21" customHeight="1" x14ac:dyDescent="0.95">
      <c r="A8734" s="56"/>
      <c r="B8734" s="57"/>
      <c r="C8734" s="57"/>
      <c r="D8734" s="57"/>
      <c r="E8734" s="56"/>
      <c r="F8734" s="57"/>
      <c r="G8734" s="57"/>
      <c r="H8734" s="56"/>
      <c r="I8734" s="56"/>
      <c r="J8734" s="58"/>
      <c r="K8734" s="58"/>
      <c r="L8734" s="13" t="str">
        <f t="shared" si="1422"/>
        <v/>
      </c>
      <c r="M8734" s="13" t="str">
        <f t="shared" si="1423"/>
        <v/>
      </c>
      <c r="Q8734" t="str">
        <f t="shared" si="1424"/>
        <v/>
      </c>
      <c r="R8734" t="str">
        <f t="shared" si="1425"/>
        <v/>
      </c>
      <c r="S8734" t="str">
        <f t="shared" si="1426"/>
        <v/>
      </c>
      <c r="T8734" t="str">
        <f t="shared" si="1427"/>
        <v/>
      </c>
      <c r="U8734" t="str">
        <f t="shared" si="1428"/>
        <v/>
      </c>
      <c r="V8734" t="str">
        <f t="shared" si="1429"/>
        <v/>
      </c>
      <c r="W8734" t="str">
        <f t="shared" si="1430"/>
        <v/>
      </c>
      <c r="X8734">
        <f t="shared" si="1420"/>
        <v>0</v>
      </c>
      <c r="Z8734" t="str">
        <f t="shared" si="1431"/>
        <v/>
      </c>
      <c r="AA8734">
        <f t="shared" si="1421"/>
        <v>0</v>
      </c>
    </row>
    <row r="8735" spans="1:27" ht="21" customHeight="1" x14ac:dyDescent="0.95">
      <c r="A8735" s="56"/>
      <c r="B8735" s="57"/>
      <c r="C8735" s="57"/>
      <c r="D8735" s="57"/>
      <c r="E8735" s="56"/>
      <c r="F8735" s="57"/>
      <c r="G8735" s="57"/>
      <c r="H8735" s="56"/>
      <c r="I8735" s="56"/>
      <c r="J8735" s="58"/>
      <c r="K8735" s="58"/>
      <c r="L8735" s="13" t="str">
        <f t="shared" si="1422"/>
        <v/>
      </c>
      <c r="M8735" s="13" t="str">
        <f t="shared" si="1423"/>
        <v/>
      </c>
      <c r="Q8735" t="str">
        <f t="shared" si="1424"/>
        <v/>
      </c>
      <c r="R8735" t="str">
        <f t="shared" si="1425"/>
        <v/>
      </c>
      <c r="S8735" t="str">
        <f t="shared" si="1426"/>
        <v/>
      </c>
      <c r="T8735" t="str">
        <f t="shared" si="1427"/>
        <v/>
      </c>
      <c r="U8735" t="str">
        <f t="shared" si="1428"/>
        <v/>
      </c>
      <c r="V8735" t="str">
        <f t="shared" si="1429"/>
        <v/>
      </c>
      <c r="W8735" t="str">
        <f t="shared" si="1430"/>
        <v/>
      </c>
      <c r="X8735">
        <f t="shared" si="1420"/>
        <v>0</v>
      </c>
      <c r="Z8735" t="str">
        <f t="shared" si="1431"/>
        <v/>
      </c>
      <c r="AA8735">
        <f t="shared" si="1421"/>
        <v>0</v>
      </c>
    </row>
    <row r="8736" spans="1:27" ht="21" customHeight="1" x14ac:dyDescent="0.95">
      <c r="A8736" s="56"/>
      <c r="B8736" s="57"/>
      <c r="C8736" s="57"/>
      <c r="D8736" s="57"/>
      <c r="E8736" s="56"/>
      <c r="F8736" s="57"/>
      <c r="G8736" s="57"/>
      <c r="H8736" s="56"/>
      <c r="I8736" s="56"/>
      <c r="J8736" s="58"/>
      <c r="K8736" s="58"/>
      <c r="L8736" s="13" t="str">
        <f t="shared" si="1422"/>
        <v/>
      </c>
      <c r="M8736" s="13" t="str">
        <f t="shared" si="1423"/>
        <v/>
      </c>
      <c r="Q8736" t="str">
        <f t="shared" si="1424"/>
        <v/>
      </c>
      <c r="R8736" t="str">
        <f t="shared" si="1425"/>
        <v/>
      </c>
      <c r="S8736" t="str">
        <f t="shared" si="1426"/>
        <v/>
      </c>
      <c r="T8736" t="str">
        <f t="shared" si="1427"/>
        <v/>
      </c>
      <c r="U8736" t="str">
        <f t="shared" si="1428"/>
        <v/>
      </c>
      <c r="V8736" t="str">
        <f t="shared" si="1429"/>
        <v/>
      </c>
      <c r="W8736" t="str">
        <f t="shared" si="1430"/>
        <v/>
      </c>
      <c r="X8736">
        <f t="shared" si="1420"/>
        <v>0</v>
      </c>
      <c r="Z8736" t="str">
        <f t="shared" si="1431"/>
        <v/>
      </c>
      <c r="AA8736">
        <f t="shared" si="1421"/>
        <v>0</v>
      </c>
    </row>
    <row r="8737" spans="1:27" ht="21" customHeight="1" x14ac:dyDescent="0.95">
      <c r="A8737" s="56"/>
      <c r="B8737" s="57"/>
      <c r="C8737" s="57"/>
      <c r="D8737" s="57"/>
      <c r="E8737" s="56"/>
      <c r="F8737" s="57"/>
      <c r="G8737" s="57"/>
      <c r="H8737" s="56"/>
      <c r="I8737" s="56"/>
      <c r="J8737" s="58"/>
      <c r="K8737" s="58"/>
      <c r="L8737" s="13" t="str">
        <f t="shared" si="1422"/>
        <v/>
      </c>
      <c r="M8737" s="13" t="str">
        <f t="shared" si="1423"/>
        <v/>
      </c>
      <c r="Q8737" t="str">
        <f t="shared" si="1424"/>
        <v/>
      </c>
      <c r="R8737" t="str">
        <f t="shared" si="1425"/>
        <v/>
      </c>
      <c r="S8737" t="str">
        <f t="shared" si="1426"/>
        <v/>
      </c>
      <c r="T8737" t="str">
        <f t="shared" si="1427"/>
        <v/>
      </c>
      <c r="U8737" t="str">
        <f t="shared" si="1428"/>
        <v/>
      </c>
      <c r="V8737" t="str">
        <f t="shared" si="1429"/>
        <v/>
      </c>
      <c r="W8737" t="str">
        <f t="shared" si="1430"/>
        <v/>
      </c>
      <c r="X8737">
        <f t="shared" si="1420"/>
        <v>0</v>
      </c>
      <c r="Z8737" t="str">
        <f t="shared" si="1431"/>
        <v/>
      </c>
      <c r="AA8737">
        <f t="shared" si="1421"/>
        <v>0</v>
      </c>
    </row>
    <row r="8738" spans="1:27" ht="21" customHeight="1" x14ac:dyDescent="0.95">
      <c r="A8738" s="56"/>
      <c r="B8738" s="57"/>
      <c r="C8738" s="57"/>
      <c r="D8738" s="57"/>
      <c r="E8738" s="56"/>
      <c r="F8738" s="57"/>
      <c r="G8738" s="57"/>
      <c r="H8738" s="56"/>
      <c r="I8738" s="56"/>
      <c r="J8738" s="58"/>
      <c r="K8738" s="58"/>
      <c r="L8738" s="13" t="str">
        <f t="shared" si="1422"/>
        <v/>
      </c>
      <c r="M8738" s="13" t="str">
        <f t="shared" si="1423"/>
        <v/>
      </c>
      <c r="Q8738" t="str">
        <f t="shared" si="1424"/>
        <v/>
      </c>
      <c r="R8738" t="str">
        <f t="shared" si="1425"/>
        <v/>
      </c>
      <c r="S8738" t="str">
        <f t="shared" si="1426"/>
        <v/>
      </c>
      <c r="T8738" t="str">
        <f t="shared" si="1427"/>
        <v/>
      </c>
      <c r="U8738" t="str">
        <f t="shared" si="1428"/>
        <v/>
      </c>
      <c r="V8738" t="str">
        <f t="shared" si="1429"/>
        <v/>
      </c>
      <c r="W8738" t="str">
        <f t="shared" si="1430"/>
        <v/>
      </c>
      <c r="X8738">
        <f t="shared" si="1420"/>
        <v>0</v>
      </c>
      <c r="Z8738" t="str">
        <f t="shared" si="1431"/>
        <v/>
      </c>
      <c r="AA8738">
        <f t="shared" si="1421"/>
        <v>0</v>
      </c>
    </row>
    <row r="8739" spans="1:27" ht="21" customHeight="1" x14ac:dyDescent="0.95">
      <c r="A8739" s="56"/>
      <c r="B8739" s="57"/>
      <c r="C8739" s="57"/>
      <c r="D8739" s="57"/>
      <c r="E8739" s="56"/>
      <c r="F8739" s="57"/>
      <c r="G8739" s="57"/>
      <c r="H8739" s="56"/>
      <c r="I8739" s="56"/>
      <c r="J8739" s="58"/>
      <c r="K8739" s="58"/>
      <c r="L8739" s="13" t="str">
        <f t="shared" si="1422"/>
        <v/>
      </c>
      <c r="M8739" s="13" t="str">
        <f t="shared" si="1423"/>
        <v/>
      </c>
      <c r="Q8739" t="str">
        <f t="shared" si="1424"/>
        <v/>
      </c>
      <c r="R8739" t="str">
        <f t="shared" si="1425"/>
        <v/>
      </c>
      <c r="S8739" t="str">
        <f t="shared" si="1426"/>
        <v/>
      </c>
      <c r="T8739" t="str">
        <f t="shared" si="1427"/>
        <v/>
      </c>
      <c r="U8739" t="str">
        <f t="shared" si="1428"/>
        <v/>
      </c>
      <c r="V8739" t="str">
        <f t="shared" si="1429"/>
        <v/>
      </c>
      <c r="W8739" t="str">
        <f t="shared" si="1430"/>
        <v/>
      </c>
      <c r="X8739">
        <f t="shared" si="1420"/>
        <v>0</v>
      </c>
      <c r="Z8739" t="str">
        <f t="shared" si="1431"/>
        <v/>
      </c>
      <c r="AA8739">
        <f t="shared" si="1421"/>
        <v>0</v>
      </c>
    </row>
    <row r="8740" spans="1:27" ht="21" customHeight="1" x14ac:dyDescent="0.95">
      <c r="A8740" s="56"/>
      <c r="B8740" s="57"/>
      <c r="C8740" s="57"/>
      <c r="D8740" s="57"/>
      <c r="E8740" s="56"/>
      <c r="F8740" s="57"/>
      <c r="G8740" s="57"/>
      <c r="H8740" s="56"/>
      <c r="I8740" s="56"/>
      <c r="J8740" s="58"/>
      <c r="K8740" s="58"/>
      <c r="L8740" s="13" t="str">
        <f t="shared" si="1422"/>
        <v/>
      </c>
      <c r="M8740" s="13" t="str">
        <f t="shared" si="1423"/>
        <v/>
      </c>
      <c r="Q8740" t="str">
        <f t="shared" si="1424"/>
        <v/>
      </c>
      <c r="R8740" t="str">
        <f t="shared" si="1425"/>
        <v/>
      </c>
      <c r="S8740" t="str">
        <f t="shared" si="1426"/>
        <v/>
      </c>
      <c r="T8740" t="str">
        <f t="shared" si="1427"/>
        <v/>
      </c>
      <c r="U8740" t="str">
        <f t="shared" si="1428"/>
        <v/>
      </c>
      <c r="V8740" t="str">
        <f t="shared" si="1429"/>
        <v/>
      </c>
      <c r="W8740" t="str">
        <f t="shared" si="1430"/>
        <v/>
      </c>
      <c r="X8740">
        <f t="shared" si="1420"/>
        <v>0</v>
      </c>
      <c r="Z8740" t="str">
        <f t="shared" si="1431"/>
        <v/>
      </c>
      <c r="AA8740">
        <f t="shared" si="1421"/>
        <v>0</v>
      </c>
    </row>
    <row r="8741" spans="1:27" ht="21" customHeight="1" x14ac:dyDescent="0.95">
      <c r="A8741" s="56"/>
      <c r="B8741" s="57"/>
      <c r="C8741" s="57"/>
      <c r="D8741" s="57"/>
      <c r="E8741" s="56"/>
      <c r="F8741" s="57"/>
      <c r="G8741" s="57"/>
      <c r="H8741" s="56"/>
      <c r="I8741" s="56"/>
      <c r="J8741" s="58"/>
      <c r="K8741" s="58"/>
      <c r="L8741" s="13" t="str">
        <f t="shared" si="1422"/>
        <v/>
      </c>
      <c r="M8741" s="13" t="str">
        <f t="shared" si="1423"/>
        <v/>
      </c>
      <c r="Q8741" t="str">
        <f t="shared" si="1424"/>
        <v/>
      </c>
      <c r="R8741" t="str">
        <f t="shared" si="1425"/>
        <v/>
      </c>
      <c r="S8741" t="str">
        <f t="shared" si="1426"/>
        <v/>
      </c>
      <c r="T8741" t="str">
        <f t="shared" si="1427"/>
        <v/>
      </c>
      <c r="U8741" t="str">
        <f t="shared" si="1428"/>
        <v/>
      </c>
      <c r="V8741" t="str">
        <f t="shared" si="1429"/>
        <v/>
      </c>
      <c r="W8741" t="str">
        <f t="shared" si="1430"/>
        <v/>
      </c>
      <c r="X8741">
        <f t="shared" si="1420"/>
        <v>0</v>
      </c>
      <c r="Z8741" t="str">
        <f t="shared" si="1431"/>
        <v/>
      </c>
      <c r="AA8741">
        <f t="shared" si="1421"/>
        <v>0</v>
      </c>
    </row>
    <row r="8742" spans="1:27" ht="21" customHeight="1" x14ac:dyDescent="0.95">
      <c r="A8742" s="56"/>
      <c r="B8742" s="57"/>
      <c r="C8742" s="57"/>
      <c r="D8742" s="57"/>
      <c r="E8742" s="56"/>
      <c r="F8742" s="57"/>
      <c r="G8742" s="57"/>
      <c r="H8742" s="56"/>
      <c r="I8742" s="56"/>
      <c r="J8742" s="58"/>
      <c r="K8742" s="58"/>
      <c r="L8742" s="13" t="str">
        <f t="shared" si="1422"/>
        <v/>
      </c>
      <c r="M8742" s="13" t="str">
        <f t="shared" si="1423"/>
        <v/>
      </c>
      <c r="Q8742" t="str">
        <f t="shared" si="1424"/>
        <v/>
      </c>
      <c r="R8742" t="str">
        <f t="shared" si="1425"/>
        <v/>
      </c>
      <c r="S8742" t="str">
        <f t="shared" si="1426"/>
        <v/>
      </c>
      <c r="T8742" t="str">
        <f t="shared" si="1427"/>
        <v/>
      </c>
      <c r="U8742" t="str">
        <f t="shared" si="1428"/>
        <v/>
      </c>
      <c r="V8742" t="str">
        <f t="shared" si="1429"/>
        <v/>
      </c>
      <c r="W8742" t="str">
        <f t="shared" si="1430"/>
        <v/>
      </c>
      <c r="X8742">
        <f t="shared" si="1420"/>
        <v>0</v>
      </c>
      <c r="Z8742" t="str">
        <f t="shared" si="1431"/>
        <v/>
      </c>
      <c r="AA8742">
        <f t="shared" si="1421"/>
        <v>0</v>
      </c>
    </row>
    <row r="8743" spans="1:27" ht="21" customHeight="1" x14ac:dyDescent="0.95">
      <c r="A8743" s="56"/>
      <c r="B8743" s="57"/>
      <c r="C8743" s="57"/>
      <c r="D8743" s="57"/>
      <c r="E8743" s="56"/>
      <c r="F8743" s="57"/>
      <c r="G8743" s="57"/>
      <c r="H8743" s="56"/>
      <c r="I8743" s="56"/>
      <c r="J8743" s="58"/>
      <c r="K8743" s="58"/>
      <c r="L8743" s="13" t="str">
        <f t="shared" si="1422"/>
        <v/>
      </c>
      <c r="M8743" s="13" t="str">
        <f t="shared" si="1423"/>
        <v/>
      </c>
      <c r="Q8743" t="str">
        <f t="shared" si="1424"/>
        <v/>
      </c>
      <c r="R8743" t="str">
        <f t="shared" si="1425"/>
        <v/>
      </c>
      <c r="S8743" t="str">
        <f t="shared" si="1426"/>
        <v/>
      </c>
      <c r="T8743" t="str">
        <f t="shared" si="1427"/>
        <v/>
      </c>
      <c r="U8743" t="str">
        <f t="shared" si="1428"/>
        <v/>
      </c>
      <c r="V8743" t="str">
        <f t="shared" si="1429"/>
        <v/>
      </c>
      <c r="W8743" t="str">
        <f t="shared" si="1430"/>
        <v/>
      </c>
      <c r="X8743">
        <f t="shared" si="1420"/>
        <v>0</v>
      </c>
      <c r="Z8743" t="str">
        <f t="shared" si="1431"/>
        <v/>
      </c>
      <c r="AA8743">
        <f t="shared" si="1421"/>
        <v>0</v>
      </c>
    </row>
    <row r="8744" spans="1:27" ht="21" customHeight="1" x14ac:dyDescent="0.95">
      <c r="A8744" s="56"/>
      <c r="B8744" s="57"/>
      <c r="C8744" s="57"/>
      <c r="D8744" s="57"/>
      <c r="E8744" s="56"/>
      <c r="F8744" s="57"/>
      <c r="G8744" s="57"/>
      <c r="H8744" s="56"/>
      <c r="I8744" s="56"/>
      <c r="J8744" s="58"/>
      <c r="K8744" s="58"/>
      <c r="L8744" s="13" t="str">
        <f t="shared" si="1422"/>
        <v/>
      </c>
      <c r="M8744" s="13" t="str">
        <f t="shared" si="1423"/>
        <v/>
      </c>
      <c r="Q8744" t="str">
        <f t="shared" si="1424"/>
        <v/>
      </c>
      <c r="R8744" t="str">
        <f t="shared" si="1425"/>
        <v/>
      </c>
      <c r="S8744" t="str">
        <f t="shared" si="1426"/>
        <v/>
      </c>
      <c r="T8744" t="str">
        <f t="shared" si="1427"/>
        <v/>
      </c>
      <c r="U8744" t="str">
        <f t="shared" si="1428"/>
        <v/>
      </c>
      <c r="V8744" t="str">
        <f t="shared" si="1429"/>
        <v/>
      </c>
      <c r="W8744" t="str">
        <f t="shared" si="1430"/>
        <v/>
      </c>
      <c r="X8744">
        <f t="shared" si="1420"/>
        <v>0</v>
      </c>
      <c r="Z8744" t="str">
        <f t="shared" si="1431"/>
        <v/>
      </c>
      <c r="AA8744">
        <f t="shared" si="1421"/>
        <v>0</v>
      </c>
    </row>
    <row r="8745" spans="1:27" ht="21" customHeight="1" x14ac:dyDescent="0.95">
      <c r="A8745" s="56"/>
      <c r="B8745" s="57"/>
      <c r="C8745" s="57"/>
      <c r="D8745" s="57"/>
      <c r="E8745" s="56"/>
      <c r="F8745" s="57"/>
      <c r="G8745" s="57"/>
      <c r="H8745" s="56"/>
      <c r="I8745" s="56"/>
      <c r="J8745" s="58"/>
      <c r="K8745" s="58"/>
      <c r="L8745" s="13" t="str">
        <f t="shared" si="1422"/>
        <v/>
      </c>
      <c r="M8745" s="13" t="str">
        <f t="shared" si="1423"/>
        <v/>
      </c>
      <c r="Q8745" t="str">
        <f t="shared" si="1424"/>
        <v/>
      </c>
      <c r="R8745" t="str">
        <f t="shared" si="1425"/>
        <v/>
      </c>
      <c r="S8745" t="str">
        <f t="shared" si="1426"/>
        <v/>
      </c>
      <c r="T8745" t="str">
        <f t="shared" si="1427"/>
        <v/>
      </c>
      <c r="U8745" t="str">
        <f t="shared" si="1428"/>
        <v/>
      </c>
      <c r="V8745" t="str">
        <f t="shared" si="1429"/>
        <v/>
      </c>
      <c r="W8745" t="str">
        <f t="shared" si="1430"/>
        <v/>
      </c>
      <c r="X8745">
        <f t="shared" si="1420"/>
        <v>0</v>
      </c>
      <c r="Z8745" t="str">
        <f t="shared" si="1431"/>
        <v/>
      </c>
      <c r="AA8745">
        <f t="shared" si="1421"/>
        <v>0</v>
      </c>
    </row>
    <row r="8746" spans="1:27" ht="21" customHeight="1" x14ac:dyDescent="0.95">
      <c r="A8746" s="56"/>
      <c r="B8746" s="57"/>
      <c r="C8746" s="57"/>
      <c r="D8746" s="57"/>
      <c r="E8746" s="56"/>
      <c r="F8746" s="57"/>
      <c r="G8746" s="57"/>
      <c r="H8746" s="56"/>
      <c r="I8746" s="56"/>
      <c r="J8746" s="58"/>
      <c r="K8746" s="58"/>
      <c r="L8746" s="13" t="str">
        <f t="shared" si="1422"/>
        <v/>
      </c>
      <c r="M8746" s="13" t="str">
        <f t="shared" si="1423"/>
        <v/>
      </c>
      <c r="Q8746" t="str">
        <f t="shared" si="1424"/>
        <v/>
      </c>
      <c r="R8746" t="str">
        <f t="shared" si="1425"/>
        <v/>
      </c>
      <c r="S8746" t="str">
        <f t="shared" si="1426"/>
        <v/>
      </c>
      <c r="T8746" t="str">
        <f t="shared" si="1427"/>
        <v/>
      </c>
      <c r="U8746" t="str">
        <f t="shared" si="1428"/>
        <v/>
      </c>
      <c r="V8746" t="str">
        <f t="shared" si="1429"/>
        <v/>
      </c>
      <c r="W8746" t="str">
        <f t="shared" si="1430"/>
        <v/>
      </c>
      <c r="X8746">
        <f t="shared" si="1420"/>
        <v>0</v>
      </c>
      <c r="Z8746" t="str">
        <f t="shared" si="1431"/>
        <v/>
      </c>
      <c r="AA8746">
        <f t="shared" si="1421"/>
        <v>0</v>
      </c>
    </row>
    <row r="8747" spans="1:27" ht="21" customHeight="1" x14ac:dyDescent="0.95">
      <c r="A8747" s="56"/>
      <c r="B8747" s="57"/>
      <c r="C8747" s="57"/>
      <c r="D8747" s="57"/>
      <c r="E8747" s="56"/>
      <c r="F8747" s="57"/>
      <c r="G8747" s="57"/>
      <c r="H8747" s="56"/>
      <c r="I8747" s="56"/>
      <c r="J8747" s="58"/>
      <c r="K8747" s="58"/>
      <c r="L8747" s="13" t="str">
        <f t="shared" si="1422"/>
        <v/>
      </c>
      <c r="M8747" s="13" t="str">
        <f t="shared" si="1423"/>
        <v/>
      </c>
      <c r="Q8747" t="str">
        <f t="shared" si="1424"/>
        <v/>
      </c>
      <c r="R8747" t="str">
        <f t="shared" si="1425"/>
        <v/>
      </c>
      <c r="S8747" t="str">
        <f t="shared" si="1426"/>
        <v/>
      </c>
      <c r="T8747" t="str">
        <f t="shared" si="1427"/>
        <v/>
      </c>
      <c r="U8747" t="str">
        <f t="shared" si="1428"/>
        <v/>
      </c>
      <c r="V8747" t="str">
        <f t="shared" si="1429"/>
        <v/>
      </c>
      <c r="W8747" t="str">
        <f t="shared" si="1430"/>
        <v/>
      </c>
      <c r="X8747">
        <f t="shared" si="1420"/>
        <v>0</v>
      </c>
      <c r="Z8747" t="str">
        <f t="shared" si="1431"/>
        <v/>
      </c>
      <c r="AA8747">
        <f t="shared" si="1421"/>
        <v>0</v>
      </c>
    </row>
    <row r="8748" spans="1:27" ht="21" customHeight="1" x14ac:dyDescent="0.95">
      <c r="A8748" s="56"/>
      <c r="B8748" s="57"/>
      <c r="C8748" s="57"/>
      <c r="D8748" s="57"/>
      <c r="E8748" s="56"/>
      <c r="F8748" s="57"/>
      <c r="G8748" s="57"/>
      <c r="H8748" s="56"/>
      <c r="I8748" s="56"/>
      <c r="J8748" s="58"/>
      <c r="K8748" s="58"/>
      <c r="L8748" s="13" t="str">
        <f t="shared" si="1422"/>
        <v/>
      </c>
      <c r="M8748" s="13" t="str">
        <f t="shared" si="1423"/>
        <v/>
      </c>
      <c r="Q8748" t="str">
        <f t="shared" si="1424"/>
        <v/>
      </c>
      <c r="R8748" t="str">
        <f t="shared" si="1425"/>
        <v/>
      </c>
      <c r="S8748" t="str">
        <f t="shared" si="1426"/>
        <v/>
      </c>
      <c r="T8748" t="str">
        <f t="shared" si="1427"/>
        <v/>
      </c>
      <c r="U8748" t="str">
        <f t="shared" si="1428"/>
        <v/>
      </c>
      <c r="V8748" t="str">
        <f t="shared" si="1429"/>
        <v/>
      </c>
      <c r="W8748" t="str">
        <f t="shared" si="1430"/>
        <v/>
      </c>
      <c r="X8748">
        <f t="shared" si="1420"/>
        <v>0</v>
      </c>
      <c r="Z8748" t="str">
        <f t="shared" si="1431"/>
        <v/>
      </c>
      <c r="AA8748">
        <f t="shared" si="1421"/>
        <v>0</v>
      </c>
    </row>
    <row r="8749" spans="1:27" ht="21" customHeight="1" x14ac:dyDescent="0.95">
      <c r="A8749" s="56"/>
      <c r="B8749" s="57"/>
      <c r="C8749" s="57"/>
      <c r="D8749" s="57"/>
      <c r="E8749" s="56"/>
      <c r="F8749" s="57"/>
      <c r="G8749" s="57"/>
      <c r="H8749" s="56"/>
      <c r="I8749" s="56"/>
      <c r="J8749" s="58"/>
      <c r="K8749" s="58"/>
      <c r="L8749" s="13" t="str">
        <f t="shared" si="1422"/>
        <v/>
      </c>
      <c r="M8749" s="13" t="str">
        <f t="shared" si="1423"/>
        <v/>
      </c>
      <c r="Q8749" t="str">
        <f t="shared" si="1424"/>
        <v/>
      </c>
      <c r="R8749" t="str">
        <f t="shared" si="1425"/>
        <v/>
      </c>
      <c r="S8749" t="str">
        <f t="shared" si="1426"/>
        <v/>
      </c>
      <c r="T8749" t="str">
        <f t="shared" si="1427"/>
        <v/>
      </c>
      <c r="U8749" t="str">
        <f t="shared" si="1428"/>
        <v/>
      </c>
      <c r="V8749" t="str">
        <f t="shared" si="1429"/>
        <v/>
      </c>
      <c r="W8749" t="str">
        <f t="shared" si="1430"/>
        <v/>
      </c>
      <c r="X8749">
        <f t="shared" si="1420"/>
        <v>0</v>
      </c>
      <c r="Z8749" t="str">
        <f t="shared" si="1431"/>
        <v/>
      </c>
      <c r="AA8749">
        <f t="shared" si="1421"/>
        <v>0</v>
      </c>
    </row>
    <row r="8750" spans="1:27" ht="21" customHeight="1" x14ac:dyDescent="0.95">
      <c r="A8750" s="56"/>
      <c r="B8750" s="57"/>
      <c r="C8750" s="57"/>
      <c r="D8750" s="57"/>
      <c r="E8750" s="56"/>
      <c r="F8750" s="57"/>
      <c r="G8750" s="57"/>
      <c r="H8750" s="56"/>
      <c r="I8750" s="56"/>
      <c r="J8750" s="58"/>
      <c r="K8750" s="58"/>
      <c r="L8750" s="13" t="str">
        <f t="shared" si="1422"/>
        <v/>
      </c>
      <c r="M8750" s="13" t="str">
        <f t="shared" si="1423"/>
        <v/>
      </c>
      <c r="Q8750" t="str">
        <f t="shared" si="1424"/>
        <v/>
      </c>
      <c r="R8750" t="str">
        <f t="shared" si="1425"/>
        <v/>
      </c>
      <c r="S8750" t="str">
        <f t="shared" si="1426"/>
        <v/>
      </c>
      <c r="T8750" t="str">
        <f t="shared" si="1427"/>
        <v/>
      </c>
      <c r="U8750" t="str">
        <f t="shared" si="1428"/>
        <v/>
      </c>
      <c r="V8750" t="str">
        <f t="shared" si="1429"/>
        <v/>
      </c>
      <c r="W8750" t="str">
        <f t="shared" si="1430"/>
        <v/>
      </c>
      <c r="X8750">
        <f t="shared" si="1420"/>
        <v>0</v>
      </c>
      <c r="Z8750" t="str">
        <f t="shared" si="1431"/>
        <v/>
      </c>
      <c r="AA8750">
        <f t="shared" si="1421"/>
        <v>0</v>
      </c>
    </row>
    <row r="8751" spans="1:27" ht="21" customHeight="1" x14ac:dyDescent="0.95">
      <c r="A8751" s="56"/>
      <c r="B8751" s="57"/>
      <c r="C8751" s="57"/>
      <c r="D8751" s="57"/>
      <c r="E8751" s="56"/>
      <c r="F8751" s="57"/>
      <c r="G8751" s="57"/>
      <c r="H8751" s="56"/>
      <c r="I8751" s="56"/>
      <c r="J8751" s="58"/>
      <c r="K8751" s="58"/>
      <c r="L8751" s="13" t="str">
        <f t="shared" si="1422"/>
        <v/>
      </c>
      <c r="M8751" s="13" t="str">
        <f t="shared" si="1423"/>
        <v/>
      </c>
      <c r="Q8751" t="str">
        <f t="shared" si="1424"/>
        <v/>
      </c>
      <c r="R8751" t="str">
        <f t="shared" si="1425"/>
        <v/>
      </c>
      <c r="S8751" t="str">
        <f t="shared" si="1426"/>
        <v/>
      </c>
      <c r="T8751" t="str">
        <f t="shared" si="1427"/>
        <v/>
      </c>
      <c r="U8751" t="str">
        <f t="shared" si="1428"/>
        <v/>
      </c>
      <c r="V8751" t="str">
        <f t="shared" si="1429"/>
        <v/>
      </c>
      <c r="W8751" t="str">
        <f t="shared" si="1430"/>
        <v/>
      </c>
      <c r="X8751">
        <f t="shared" si="1420"/>
        <v>0</v>
      </c>
      <c r="Z8751" t="str">
        <f t="shared" si="1431"/>
        <v/>
      </c>
      <c r="AA8751">
        <f t="shared" si="1421"/>
        <v>0</v>
      </c>
    </row>
    <row r="8752" spans="1:27" ht="21" customHeight="1" x14ac:dyDescent="0.95">
      <c r="A8752" s="56"/>
      <c r="B8752" s="57"/>
      <c r="C8752" s="57"/>
      <c r="D8752" s="57"/>
      <c r="E8752" s="56"/>
      <c r="F8752" s="57"/>
      <c r="G8752" s="57"/>
      <c r="H8752" s="56"/>
      <c r="I8752" s="56"/>
      <c r="J8752" s="58"/>
      <c r="K8752" s="58"/>
      <c r="L8752" s="13" t="str">
        <f t="shared" si="1422"/>
        <v/>
      </c>
      <c r="M8752" s="13" t="str">
        <f t="shared" si="1423"/>
        <v/>
      </c>
      <c r="Q8752" t="str">
        <f t="shared" si="1424"/>
        <v/>
      </c>
      <c r="R8752" t="str">
        <f t="shared" si="1425"/>
        <v/>
      </c>
      <c r="S8752" t="str">
        <f t="shared" si="1426"/>
        <v/>
      </c>
      <c r="T8752" t="str">
        <f t="shared" si="1427"/>
        <v/>
      </c>
      <c r="U8752" t="str">
        <f t="shared" si="1428"/>
        <v/>
      </c>
      <c r="V8752" t="str">
        <f t="shared" si="1429"/>
        <v/>
      </c>
      <c r="W8752" t="str">
        <f t="shared" si="1430"/>
        <v/>
      </c>
      <c r="X8752">
        <f t="shared" si="1420"/>
        <v>0</v>
      </c>
      <c r="Z8752" t="str">
        <f t="shared" si="1431"/>
        <v/>
      </c>
      <c r="AA8752">
        <f t="shared" si="1421"/>
        <v>0</v>
      </c>
    </row>
    <row r="8753" spans="1:27" ht="21" customHeight="1" x14ac:dyDescent="0.95">
      <c r="A8753" s="56"/>
      <c r="B8753" s="57"/>
      <c r="C8753" s="57"/>
      <c r="D8753" s="57"/>
      <c r="E8753" s="56"/>
      <c r="F8753" s="57"/>
      <c r="G8753" s="57"/>
      <c r="H8753" s="56"/>
      <c r="I8753" s="56"/>
      <c r="J8753" s="58"/>
      <c r="K8753" s="58"/>
      <c r="L8753" s="13" t="str">
        <f t="shared" si="1422"/>
        <v/>
      </c>
      <c r="M8753" s="13" t="str">
        <f t="shared" si="1423"/>
        <v/>
      </c>
      <c r="Q8753" t="str">
        <f t="shared" si="1424"/>
        <v/>
      </c>
      <c r="R8753" t="str">
        <f t="shared" si="1425"/>
        <v/>
      </c>
      <c r="S8753" t="str">
        <f t="shared" si="1426"/>
        <v/>
      </c>
      <c r="T8753" t="str">
        <f t="shared" si="1427"/>
        <v/>
      </c>
      <c r="U8753" t="str">
        <f t="shared" si="1428"/>
        <v/>
      </c>
      <c r="V8753" t="str">
        <f t="shared" si="1429"/>
        <v/>
      </c>
      <c r="W8753" t="str">
        <f t="shared" si="1430"/>
        <v/>
      </c>
      <c r="X8753">
        <f t="shared" si="1420"/>
        <v>0</v>
      </c>
      <c r="Z8753" t="str">
        <f t="shared" si="1431"/>
        <v/>
      </c>
      <c r="AA8753">
        <f t="shared" si="1421"/>
        <v>0</v>
      </c>
    </row>
    <row r="8754" spans="1:27" ht="21" customHeight="1" x14ac:dyDescent="0.95">
      <c r="A8754" s="56"/>
      <c r="B8754" s="57"/>
      <c r="C8754" s="57"/>
      <c r="D8754" s="57"/>
      <c r="E8754" s="56"/>
      <c r="F8754" s="57"/>
      <c r="G8754" s="57"/>
      <c r="H8754" s="56"/>
      <c r="I8754" s="56"/>
      <c r="J8754" s="58"/>
      <c r="K8754" s="58"/>
      <c r="L8754" s="13" t="str">
        <f t="shared" si="1422"/>
        <v/>
      </c>
      <c r="M8754" s="13" t="str">
        <f t="shared" si="1423"/>
        <v/>
      </c>
      <c r="Q8754" t="str">
        <f t="shared" si="1424"/>
        <v/>
      </c>
      <c r="R8754" t="str">
        <f t="shared" si="1425"/>
        <v/>
      </c>
      <c r="S8754" t="str">
        <f t="shared" si="1426"/>
        <v/>
      </c>
      <c r="T8754" t="str">
        <f t="shared" si="1427"/>
        <v/>
      </c>
      <c r="U8754" t="str">
        <f t="shared" si="1428"/>
        <v/>
      </c>
      <c r="V8754" t="str">
        <f t="shared" si="1429"/>
        <v/>
      </c>
      <c r="W8754" t="str">
        <f t="shared" si="1430"/>
        <v/>
      </c>
      <c r="X8754">
        <f t="shared" si="1420"/>
        <v>0</v>
      </c>
      <c r="Z8754" t="str">
        <f t="shared" si="1431"/>
        <v/>
      </c>
      <c r="AA8754">
        <f t="shared" si="1421"/>
        <v>0</v>
      </c>
    </row>
    <row r="8755" spans="1:27" ht="21" customHeight="1" x14ac:dyDescent="0.95">
      <c r="A8755" s="56"/>
      <c r="B8755" s="57"/>
      <c r="C8755" s="57"/>
      <c r="D8755" s="57"/>
      <c r="E8755" s="56"/>
      <c r="F8755" s="57"/>
      <c r="G8755" s="57"/>
      <c r="H8755" s="56"/>
      <c r="I8755" s="56"/>
      <c r="J8755" s="58"/>
      <c r="K8755" s="58"/>
      <c r="L8755" s="13" t="str">
        <f t="shared" si="1422"/>
        <v/>
      </c>
      <c r="M8755" s="13" t="str">
        <f t="shared" si="1423"/>
        <v/>
      </c>
      <c r="Q8755" t="str">
        <f t="shared" si="1424"/>
        <v/>
      </c>
      <c r="R8755" t="str">
        <f t="shared" si="1425"/>
        <v/>
      </c>
      <c r="S8755" t="str">
        <f t="shared" si="1426"/>
        <v/>
      </c>
      <c r="T8755" t="str">
        <f t="shared" si="1427"/>
        <v/>
      </c>
      <c r="U8755" t="str">
        <f t="shared" si="1428"/>
        <v/>
      </c>
      <c r="V8755" t="str">
        <f t="shared" si="1429"/>
        <v/>
      </c>
      <c r="W8755" t="str">
        <f t="shared" si="1430"/>
        <v/>
      </c>
      <c r="X8755">
        <f t="shared" si="1420"/>
        <v>0</v>
      </c>
      <c r="Z8755" t="str">
        <f t="shared" si="1431"/>
        <v/>
      </c>
      <c r="AA8755">
        <f t="shared" si="1421"/>
        <v>0</v>
      </c>
    </row>
    <row r="8756" spans="1:27" ht="21" customHeight="1" x14ac:dyDescent="0.95">
      <c r="A8756" s="56"/>
      <c r="B8756" s="57"/>
      <c r="C8756" s="57"/>
      <c r="D8756" s="57"/>
      <c r="E8756" s="56"/>
      <c r="F8756" s="57"/>
      <c r="G8756" s="57"/>
      <c r="H8756" s="56"/>
      <c r="I8756" s="56"/>
      <c r="J8756" s="58"/>
      <c r="K8756" s="58"/>
      <c r="L8756" s="13" t="str">
        <f t="shared" si="1422"/>
        <v/>
      </c>
      <c r="M8756" s="13" t="str">
        <f t="shared" si="1423"/>
        <v/>
      </c>
      <c r="Q8756" t="str">
        <f t="shared" si="1424"/>
        <v/>
      </c>
      <c r="R8756" t="str">
        <f t="shared" si="1425"/>
        <v/>
      </c>
      <c r="S8756" t="str">
        <f t="shared" si="1426"/>
        <v/>
      </c>
      <c r="T8756" t="str">
        <f t="shared" si="1427"/>
        <v/>
      </c>
      <c r="U8756" t="str">
        <f t="shared" si="1428"/>
        <v/>
      </c>
      <c r="V8756" t="str">
        <f t="shared" si="1429"/>
        <v/>
      </c>
      <c r="W8756" t="str">
        <f t="shared" si="1430"/>
        <v/>
      </c>
      <c r="X8756">
        <f t="shared" si="1420"/>
        <v>0</v>
      </c>
      <c r="Z8756" t="str">
        <f t="shared" si="1431"/>
        <v/>
      </c>
      <c r="AA8756">
        <f t="shared" si="1421"/>
        <v>0</v>
      </c>
    </row>
    <row r="8757" spans="1:27" ht="21" customHeight="1" x14ac:dyDescent="0.95">
      <c r="A8757" s="56"/>
      <c r="B8757" s="57"/>
      <c r="C8757" s="57"/>
      <c r="D8757" s="57"/>
      <c r="E8757" s="56"/>
      <c r="F8757" s="57"/>
      <c r="G8757" s="57"/>
      <c r="H8757" s="56"/>
      <c r="I8757" s="56"/>
      <c r="J8757" s="58"/>
      <c r="K8757" s="58"/>
      <c r="L8757" s="13" t="str">
        <f t="shared" si="1422"/>
        <v/>
      </c>
      <c r="M8757" s="13" t="str">
        <f t="shared" si="1423"/>
        <v/>
      </c>
      <c r="Q8757" t="str">
        <f t="shared" si="1424"/>
        <v/>
      </c>
      <c r="R8757" t="str">
        <f t="shared" si="1425"/>
        <v/>
      </c>
      <c r="S8757" t="str">
        <f t="shared" si="1426"/>
        <v/>
      </c>
      <c r="T8757" t="str">
        <f t="shared" si="1427"/>
        <v/>
      </c>
      <c r="U8757" t="str">
        <f t="shared" si="1428"/>
        <v/>
      </c>
      <c r="V8757" t="str">
        <f t="shared" si="1429"/>
        <v/>
      </c>
      <c r="W8757" t="str">
        <f t="shared" si="1430"/>
        <v/>
      </c>
      <c r="X8757">
        <f t="shared" ref="X8757:X8820" si="1432">IF($T8757="",N($X8756),IF(MATCH($T8757,$T$6:$T$10005,0)=ROW()-5,N($X8756)+1,N($X8756)))</f>
        <v>0</v>
      </c>
      <c r="Z8757" t="str">
        <f t="shared" si="1431"/>
        <v/>
      </c>
      <c r="AA8757">
        <f t="shared" ref="AA8757:AA8820" si="1433">IF($V8757="",N($AA8756),IF(MATCH($V8757,$V$6:$V$10005,0)=ROW()-5,N($AA8756)+1,N($AA8756)))</f>
        <v>0</v>
      </c>
    </row>
    <row r="8758" spans="1:27" ht="21" customHeight="1" x14ac:dyDescent="0.95">
      <c r="A8758" s="56"/>
      <c r="B8758" s="57"/>
      <c r="C8758" s="57"/>
      <c r="D8758" s="57"/>
      <c r="E8758" s="56"/>
      <c r="F8758" s="57"/>
      <c r="G8758" s="57"/>
      <c r="H8758" s="56"/>
      <c r="I8758" s="56"/>
      <c r="J8758" s="58"/>
      <c r="K8758" s="58"/>
      <c r="L8758" s="13" t="str">
        <f t="shared" si="1422"/>
        <v/>
      </c>
      <c r="M8758" s="13" t="str">
        <f t="shared" si="1423"/>
        <v/>
      </c>
      <c r="Q8758" t="str">
        <f t="shared" si="1424"/>
        <v/>
      </c>
      <c r="R8758" t="str">
        <f t="shared" si="1425"/>
        <v/>
      </c>
      <c r="S8758" t="str">
        <f t="shared" si="1426"/>
        <v/>
      </c>
      <c r="T8758" t="str">
        <f t="shared" si="1427"/>
        <v/>
      </c>
      <c r="U8758" t="str">
        <f t="shared" si="1428"/>
        <v/>
      </c>
      <c r="V8758" t="str">
        <f t="shared" si="1429"/>
        <v/>
      </c>
      <c r="W8758" t="str">
        <f t="shared" si="1430"/>
        <v/>
      </c>
      <c r="X8758">
        <f t="shared" si="1432"/>
        <v>0</v>
      </c>
      <c r="Z8758" t="str">
        <f t="shared" si="1431"/>
        <v/>
      </c>
      <c r="AA8758">
        <f t="shared" si="1433"/>
        <v>0</v>
      </c>
    </row>
    <row r="8759" spans="1:27" ht="21" customHeight="1" x14ac:dyDescent="0.95">
      <c r="A8759" s="56"/>
      <c r="B8759" s="57"/>
      <c r="C8759" s="57"/>
      <c r="D8759" s="57"/>
      <c r="E8759" s="56"/>
      <c r="F8759" s="57"/>
      <c r="G8759" s="57"/>
      <c r="H8759" s="56"/>
      <c r="I8759" s="56"/>
      <c r="J8759" s="58"/>
      <c r="K8759" s="58"/>
      <c r="L8759" s="13" t="str">
        <f t="shared" si="1422"/>
        <v/>
      </c>
      <c r="M8759" s="13" t="str">
        <f t="shared" si="1423"/>
        <v/>
      </c>
      <c r="Q8759" t="str">
        <f t="shared" si="1424"/>
        <v/>
      </c>
      <c r="R8759" t="str">
        <f t="shared" si="1425"/>
        <v/>
      </c>
      <c r="S8759" t="str">
        <f t="shared" si="1426"/>
        <v/>
      </c>
      <c r="T8759" t="str">
        <f t="shared" si="1427"/>
        <v/>
      </c>
      <c r="U8759" t="str">
        <f t="shared" si="1428"/>
        <v/>
      </c>
      <c r="V8759" t="str">
        <f t="shared" si="1429"/>
        <v/>
      </c>
      <c r="W8759" t="str">
        <f t="shared" si="1430"/>
        <v/>
      </c>
      <c r="X8759">
        <f t="shared" si="1432"/>
        <v>0</v>
      </c>
      <c r="Z8759" t="str">
        <f t="shared" si="1431"/>
        <v/>
      </c>
      <c r="AA8759">
        <f t="shared" si="1433"/>
        <v>0</v>
      </c>
    </row>
    <row r="8760" spans="1:27" ht="21" customHeight="1" x14ac:dyDescent="0.95">
      <c r="A8760" s="56"/>
      <c r="B8760" s="57"/>
      <c r="C8760" s="57"/>
      <c r="D8760" s="57"/>
      <c r="E8760" s="56"/>
      <c r="F8760" s="57"/>
      <c r="G8760" s="57"/>
      <c r="H8760" s="56"/>
      <c r="I8760" s="56"/>
      <c r="J8760" s="58"/>
      <c r="K8760" s="58"/>
      <c r="L8760" s="13" t="str">
        <f t="shared" si="1422"/>
        <v/>
      </c>
      <c r="M8760" s="13" t="str">
        <f t="shared" si="1423"/>
        <v/>
      </c>
      <c r="Q8760" t="str">
        <f t="shared" si="1424"/>
        <v/>
      </c>
      <c r="R8760" t="str">
        <f t="shared" si="1425"/>
        <v/>
      </c>
      <c r="S8760" t="str">
        <f t="shared" si="1426"/>
        <v/>
      </c>
      <c r="T8760" t="str">
        <f t="shared" si="1427"/>
        <v/>
      </c>
      <c r="U8760" t="str">
        <f t="shared" si="1428"/>
        <v/>
      </c>
      <c r="V8760" t="str">
        <f t="shared" si="1429"/>
        <v/>
      </c>
      <c r="W8760" t="str">
        <f t="shared" si="1430"/>
        <v/>
      </c>
      <c r="X8760">
        <f t="shared" si="1432"/>
        <v>0</v>
      </c>
      <c r="Z8760" t="str">
        <f t="shared" si="1431"/>
        <v/>
      </c>
      <c r="AA8760">
        <f t="shared" si="1433"/>
        <v>0</v>
      </c>
    </row>
    <row r="8761" spans="1:27" ht="21" customHeight="1" x14ac:dyDescent="0.95">
      <c r="A8761" s="56"/>
      <c r="B8761" s="57"/>
      <c r="C8761" s="57"/>
      <c r="D8761" s="57"/>
      <c r="E8761" s="56"/>
      <c r="F8761" s="57"/>
      <c r="G8761" s="57"/>
      <c r="H8761" s="56"/>
      <c r="I8761" s="56"/>
      <c r="J8761" s="58"/>
      <c r="K8761" s="58"/>
      <c r="L8761" s="13" t="str">
        <f t="shared" si="1422"/>
        <v/>
      </c>
      <c r="M8761" s="13" t="str">
        <f t="shared" si="1423"/>
        <v/>
      </c>
      <c r="Q8761" t="str">
        <f t="shared" si="1424"/>
        <v/>
      </c>
      <c r="R8761" t="str">
        <f t="shared" si="1425"/>
        <v/>
      </c>
      <c r="S8761" t="str">
        <f t="shared" si="1426"/>
        <v/>
      </c>
      <c r="T8761" t="str">
        <f t="shared" si="1427"/>
        <v/>
      </c>
      <c r="U8761" t="str">
        <f t="shared" si="1428"/>
        <v/>
      </c>
      <c r="V8761" t="str">
        <f t="shared" si="1429"/>
        <v/>
      </c>
      <c r="W8761" t="str">
        <f t="shared" si="1430"/>
        <v/>
      </c>
      <c r="X8761">
        <f t="shared" si="1432"/>
        <v>0</v>
      </c>
      <c r="Z8761" t="str">
        <f t="shared" si="1431"/>
        <v/>
      </c>
      <c r="AA8761">
        <f t="shared" si="1433"/>
        <v>0</v>
      </c>
    </row>
    <row r="8762" spans="1:27" ht="21" customHeight="1" x14ac:dyDescent="0.95">
      <c r="A8762" s="56"/>
      <c r="B8762" s="57"/>
      <c r="C8762" s="57"/>
      <c r="D8762" s="57"/>
      <c r="E8762" s="56"/>
      <c r="F8762" s="57"/>
      <c r="G8762" s="57"/>
      <c r="H8762" s="56"/>
      <c r="I8762" s="56"/>
      <c r="J8762" s="58"/>
      <c r="K8762" s="58"/>
      <c r="L8762" s="13" t="str">
        <f t="shared" si="1422"/>
        <v/>
      </c>
      <c r="M8762" s="13" t="str">
        <f t="shared" si="1423"/>
        <v/>
      </c>
      <c r="Q8762" t="str">
        <f t="shared" si="1424"/>
        <v/>
      </c>
      <c r="R8762" t="str">
        <f t="shared" si="1425"/>
        <v/>
      </c>
      <c r="S8762" t="str">
        <f t="shared" si="1426"/>
        <v/>
      </c>
      <c r="T8762" t="str">
        <f t="shared" si="1427"/>
        <v/>
      </c>
      <c r="U8762" t="str">
        <f t="shared" si="1428"/>
        <v/>
      </c>
      <c r="V8762" t="str">
        <f t="shared" si="1429"/>
        <v/>
      </c>
      <c r="W8762" t="str">
        <f t="shared" si="1430"/>
        <v/>
      </c>
      <c r="X8762">
        <f t="shared" si="1432"/>
        <v>0</v>
      </c>
      <c r="Z8762" t="str">
        <f t="shared" si="1431"/>
        <v/>
      </c>
      <c r="AA8762">
        <f t="shared" si="1433"/>
        <v>0</v>
      </c>
    </row>
    <row r="8763" spans="1:27" ht="21" customHeight="1" x14ac:dyDescent="0.95">
      <c r="A8763" s="56"/>
      <c r="B8763" s="57"/>
      <c r="C8763" s="57"/>
      <c r="D8763" s="57"/>
      <c r="E8763" s="56"/>
      <c r="F8763" s="57"/>
      <c r="G8763" s="57"/>
      <c r="H8763" s="56"/>
      <c r="I8763" s="56"/>
      <c r="J8763" s="58"/>
      <c r="K8763" s="58"/>
      <c r="L8763" s="13" t="str">
        <f t="shared" si="1422"/>
        <v/>
      </c>
      <c r="M8763" s="13" t="str">
        <f t="shared" si="1423"/>
        <v/>
      </c>
      <c r="Q8763" t="str">
        <f t="shared" si="1424"/>
        <v/>
      </c>
      <c r="R8763" t="str">
        <f t="shared" si="1425"/>
        <v/>
      </c>
      <c r="S8763" t="str">
        <f t="shared" si="1426"/>
        <v/>
      </c>
      <c r="T8763" t="str">
        <f t="shared" si="1427"/>
        <v/>
      </c>
      <c r="U8763" t="str">
        <f t="shared" si="1428"/>
        <v/>
      </c>
      <c r="V8763" t="str">
        <f t="shared" si="1429"/>
        <v/>
      </c>
      <c r="W8763" t="str">
        <f t="shared" si="1430"/>
        <v/>
      </c>
      <c r="X8763">
        <f t="shared" si="1432"/>
        <v>0</v>
      </c>
      <c r="Z8763" t="str">
        <f t="shared" si="1431"/>
        <v/>
      </c>
      <c r="AA8763">
        <f t="shared" si="1433"/>
        <v>0</v>
      </c>
    </row>
    <row r="8764" spans="1:27" ht="21" customHeight="1" x14ac:dyDescent="0.95">
      <c r="A8764" s="56"/>
      <c r="B8764" s="57"/>
      <c r="C8764" s="57"/>
      <c r="D8764" s="57"/>
      <c r="E8764" s="56"/>
      <c r="F8764" s="57"/>
      <c r="G8764" s="57"/>
      <c r="H8764" s="56"/>
      <c r="I8764" s="56"/>
      <c r="J8764" s="58"/>
      <c r="K8764" s="58"/>
      <c r="L8764" s="13" t="str">
        <f t="shared" si="1422"/>
        <v/>
      </c>
      <c r="M8764" s="13" t="str">
        <f t="shared" si="1423"/>
        <v/>
      </c>
      <c r="Q8764" t="str">
        <f t="shared" si="1424"/>
        <v/>
      </c>
      <c r="R8764" t="str">
        <f t="shared" si="1425"/>
        <v/>
      </c>
      <c r="S8764" t="str">
        <f t="shared" si="1426"/>
        <v/>
      </c>
      <c r="T8764" t="str">
        <f t="shared" si="1427"/>
        <v/>
      </c>
      <c r="U8764" t="str">
        <f t="shared" si="1428"/>
        <v/>
      </c>
      <c r="V8764" t="str">
        <f t="shared" si="1429"/>
        <v/>
      </c>
      <c r="W8764" t="str">
        <f t="shared" si="1430"/>
        <v/>
      </c>
      <c r="X8764">
        <f t="shared" si="1432"/>
        <v>0</v>
      </c>
      <c r="Z8764" t="str">
        <f t="shared" si="1431"/>
        <v/>
      </c>
      <c r="AA8764">
        <f t="shared" si="1433"/>
        <v>0</v>
      </c>
    </row>
    <row r="8765" spans="1:27" ht="21" customHeight="1" x14ac:dyDescent="0.95">
      <c r="A8765" s="56"/>
      <c r="B8765" s="57"/>
      <c r="C8765" s="57"/>
      <c r="D8765" s="57"/>
      <c r="E8765" s="56"/>
      <c r="F8765" s="57"/>
      <c r="G8765" s="57"/>
      <c r="H8765" s="56"/>
      <c r="I8765" s="56"/>
      <c r="J8765" s="58"/>
      <c r="K8765" s="58"/>
      <c r="L8765" s="13" t="str">
        <f t="shared" si="1422"/>
        <v/>
      </c>
      <c r="M8765" s="13" t="str">
        <f t="shared" si="1423"/>
        <v/>
      </c>
      <c r="Q8765" t="str">
        <f t="shared" si="1424"/>
        <v/>
      </c>
      <c r="R8765" t="str">
        <f t="shared" si="1425"/>
        <v/>
      </c>
      <c r="S8765" t="str">
        <f t="shared" si="1426"/>
        <v/>
      </c>
      <c r="T8765" t="str">
        <f t="shared" si="1427"/>
        <v/>
      </c>
      <c r="U8765" t="str">
        <f t="shared" si="1428"/>
        <v/>
      </c>
      <c r="V8765" t="str">
        <f t="shared" si="1429"/>
        <v/>
      </c>
      <c r="W8765" t="str">
        <f t="shared" si="1430"/>
        <v/>
      </c>
      <c r="X8765">
        <f t="shared" si="1432"/>
        <v>0</v>
      </c>
      <c r="Z8765" t="str">
        <f t="shared" si="1431"/>
        <v/>
      </c>
      <c r="AA8765">
        <f t="shared" si="1433"/>
        <v>0</v>
      </c>
    </row>
    <row r="8766" spans="1:27" ht="21" customHeight="1" x14ac:dyDescent="0.95">
      <c r="A8766" s="56"/>
      <c r="B8766" s="57"/>
      <c r="C8766" s="57"/>
      <c r="D8766" s="57"/>
      <c r="E8766" s="56"/>
      <c r="F8766" s="57"/>
      <c r="G8766" s="57"/>
      <c r="H8766" s="56"/>
      <c r="I8766" s="56"/>
      <c r="J8766" s="58"/>
      <c r="K8766" s="58"/>
      <c r="L8766" s="13" t="str">
        <f t="shared" si="1422"/>
        <v/>
      </c>
      <c r="M8766" s="13" t="str">
        <f t="shared" si="1423"/>
        <v/>
      </c>
      <c r="Q8766" t="str">
        <f t="shared" si="1424"/>
        <v/>
      </c>
      <c r="R8766" t="str">
        <f t="shared" si="1425"/>
        <v/>
      </c>
      <c r="S8766" t="str">
        <f t="shared" si="1426"/>
        <v/>
      </c>
      <c r="T8766" t="str">
        <f t="shared" si="1427"/>
        <v/>
      </c>
      <c r="U8766" t="str">
        <f t="shared" si="1428"/>
        <v/>
      </c>
      <c r="V8766" t="str">
        <f t="shared" si="1429"/>
        <v/>
      </c>
      <c r="W8766" t="str">
        <f t="shared" si="1430"/>
        <v/>
      </c>
      <c r="X8766">
        <f t="shared" si="1432"/>
        <v>0</v>
      </c>
      <c r="Z8766" t="str">
        <f t="shared" si="1431"/>
        <v/>
      </c>
      <c r="AA8766">
        <f t="shared" si="1433"/>
        <v>0</v>
      </c>
    </row>
    <row r="8767" spans="1:27" ht="21" customHeight="1" x14ac:dyDescent="0.95">
      <c r="A8767" s="56"/>
      <c r="B8767" s="57"/>
      <c r="C8767" s="57"/>
      <c r="D8767" s="57"/>
      <c r="E8767" s="56"/>
      <c r="F8767" s="57"/>
      <c r="G8767" s="57"/>
      <c r="H8767" s="56"/>
      <c r="I8767" s="56"/>
      <c r="J8767" s="58"/>
      <c r="K8767" s="58"/>
      <c r="L8767" s="13" t="str">
        <f t="shared" si="1422"/>
        <v/>
      </c>
      <c r="M8767" s="13" t="str">
        <f t="shared" si="1423"/>
        <v/>
      </c>
      <c r="Q8767" t="str">
        <f t="shared" si="1424"/>
        <v/>
      </c>
      <c r="R8767" t="str">
        <f t="shared" si="1425"/>
        <v/>
      </c>
      <c r="S8767" t="str">
        <f t="shared" si="1426"/>
        <v/>
      </c>
      <c r="T8767" t="str">
        <f t="shared" si="1427"/>
        <v/>
      </c>
      <c r="U8767" t="str">
        <f t="shared" si="1428"/>
        <v/>
      </c>
      <c r="V8767" t="str">
        <f t="shared" si="1429"/>
        <v/>
      </c>
      <c r="W8767" t="str">
        <f t="shared" si="1430"/>
        <v/>
      </c>
      <c r="X8767">
        <f t="shared" si="1432"/>
        <v>0</v>
      </c>
      <c r="Z8767" t="str">
        <f t="shared" si="1431"/>
        <v/>
      </c>
      <c r="AA8767">
        <f t="shared" si="1433"/>
        <v>0</v>
      </c>
    </row>
    <row r="8768" spans="1:27" ht="21" customHeight="1" x14ac:dyDescent="0.95">
      <c r="A8768" s="56"/>
      <c r="B8768" s="57"/>
      <c r="C8768" s="57"/>
      <c r="D8768" s="57"/>
      <c r="E8768" s="56"/>
      <c r="F8768" s="57"/>
      <c r="G8768" s="57"/>
      <c r="H8768" s="56"/>
      <c r="I8768" s="56"/>
      <c r="J8768" s="58"/>
      <c r="K8768" s="58"/>
      <c r="L8768" s="13" t="str">
        <f t="shared" si="1422"/>
        <v/>
      </c>
      <c r="M8768" s="13" t="str">
        <f t="shared" si="1423"/>
        <v/>
      </c>
      <c r="Q8768" t="str">
        <f t="shared" si="1424"/>
        <v/>
      </c>
      <c r="R8768" t="str">
        <f t="shared" si="1425"/>
        <v/>
      </c>
      <c r="S8768" t="str">
        <f t="shared" si="1426"/>
        <v/>
      </c>
      <c r="T8768" t="str">
        <f t="shared" si="1427"/>
        <v/>
      </c>
      <c r="U8768" t="str">
        <f t="shared" si="1428"/>
        <v/>
      </c>
      <c r="V8768" t="str">
        <f t="shared" si="1429"/>
        <v/>
      </c>
      <c r="W8768" t="str">
        <f t="shared" si="1430"/>
        <v/>
      </c>
      <c r="X8768">
        <f t="shared" si="1432"/>
        <v>0</v>
      </c>
      <c r="Z8768" t="str">
        <f t="shared" si="1431"/>
        <v/>
      </c>
      <c r="AA8768">
        <f t="shared" si="1433"/>
        <v>0</v>
      </c>
    </row>
    <row r="8769" spans="1:27" ht="21" customHeight="1" x14ac:dyDescent="0.95">
      <c r="A8769" s="56"/>
      <c r="B8769" s="57"/>
      <c r="C8769" s="57"/>
      <c r="D8769" s="57"/>
      <c r="E8769" s="56"/>
      <c r="F8769" s="57"/>
      <c r="G8769" s="57"/>
      <c r="H8769" s="56"/>
      <c r="I8769" s="56"/>
      <c r="J8769" s="58"/>
      <c r="K8769" s="58"/>
      <c r="L8769" s="13" t="str">
        <f t="shared" si="1422"/>
        <v/>
      </c>
      <c r="M8769" s="13" t="str">
        <f t="shared" si="1423"/>
        <v/>
      </c>
      <c r="Q8769" t="str">
        <f t="shared" si="1424"/>
        <v/>
      </c>
      <c r="R8769" t="str">
        <f t="shared" si="1425"/>
        <v/>
      </c>
      <c r="S8769" t="str">
        <f t="shared" si="1426"/>
        <v/>
      </c>
      <c r="T8769" t="str">
        <f t="shared" si="1427"/>
        <v/>
      </c>
      <c r="U8769" t="str">
        <f t="shared" si="1428"/>
        <v/>
      </c>
      <c r="V8769" t="str">
        <f t="shared" si="1429"/>
        <v/>
      </c>
      <c r="W8769" t="str">
        <f t="shared" si="1430"/>
        <v/>
      </c>
      <c r="X8769">
        <f t="shared" si="1432"/>
        <v>0</v>
      </c>
      <c r="Z8769" t="str">
        <f t="shared" si="1431"/>
        <v/>
      </c>
      <c r="AA8769">
        <f t="shared" si="1433"/>
        <v>0</v>
      </c>
    </row>
    <row r="8770" spans="1:27" ht="21" customHeight="1" x14ac:dyDescent="0.95">
      <c r="A8770" s="56"/>
      <c r="B8770" s="57"/>
      <c r="C8770" s="57"/>
      <c r="D8770" s="57"/>
      <c r="E8770" s="56"/>
      <c r="F8770" s="57"/>
      <c r="G8770" s="57"/>
      <c r="H8770" s="56"/>
      <c r="I8770" s="56"/>
      <c r="J8770" s="58"/>
      <c r="K8770" s="58"/>
      <c r="L8770" s="13" t="str">
        <f t="shared" si="1422"/>
        <v/>
      </c>
      <c r="M8770" s="13" t="str">
        <f t="shared" si="1423"/>
        <v/>
      </c>
      <c r="Q8770" t="str">
        <f t="shared" si="1424"/>
        <v/>
      </c>
      <c r="R8770" t="str">
        <f t="shared" si="1425"/>
        <v/>
      </c>
      <c r="S8770" t="str">
        <f t="shared" si="1426"/>
        <v/>
      </c>
      <c r="T8770" t="str">
        <f t="shared" si="1427"/>
        <v/>
      </c>
      <c r="U8770" t="str">
        <f t="shared" si="1428"/>
        <v/>
      </c>
      <c r="V8770" t="str">
        <f t="shared" si="1429"/>
        <v/>
      </c>
      <c r="W8770" t="str">
        <f t="shared" si="1430"/>
        <v/>
      </c>
      <c r="X8770">
        <f t="shared" si="1432"/>
        <v>0</v>
      </c>
      <c r="Z8770" t="str">
        <f t="shared" si="1431"/>
        <v/>
      </c>
      <c r="AA8770">
        <f t="shared" si="1433"/>
        <v>0</v>
      </c>
    </row>
    <row r="8771" spans="1:27" ht="21" customHeight="1" x14ac:dyDescent="0.95">
      <c r="A8771" s="56"/>
      <c r="B8771" s="57"/>
      <c r="C8771" s="57"/>
      <c r="D8771" s="57"/>
      <c r="E8771" s="56"/>
      <c r="F8771" s="57"/>
      <c r="G8771" s="57"/>
      <c r="H8771" s="56"/>
      <c r="I8771" s="56"/>
      <c r="J8771" s="58"/>
      <c r="K8771" s="58"/>
      <c r="L8771" s="13" t="str">
        <f t="shared" si="1422"/>
        <v/>
      </c>
      <c r="M8771" s="13" t="str">
        <f t="shared" si="1423"/>
        <v/>
      </c>
      <c r="Q8771" t="str">
        <f t="shared" si="1424"/>
        <v/>
      </c>
      <c r="R8771" t="str">
        <f t="shared" si="1425"/>
        <v/>
      </c>
      <c r="S8771" t="str">
        <f t="shared" si="1426"/>
        <v/>
      </c>
      <c r="T8771" t="str">
        <f t="shared" si="1427"/>
        <v/>
      </c>
      <c r="U8771" t="str">
        <f t="shared" si="1428"/>
        <v/>
      </c>
      <c r="V8771" t="str">
        <f t="shared" si="1429"/>
        <v/>
      </c>
      <c r="W8771" t="str">
        <f t="shared" si="1430"/>
        <v/>
      </c>
      <c r="X8771">
        <f t="shared" si="1432"/>
        <v>0</v>
      </c>
      <c r="Z8771" t="str">
        <f t="shared" si="1431"/>
        <v/>
      </c>
      <c r="AA8771">
        <f t="shared" si="1433"/>
        <v>0</v>
      </c>
    </row>
    <row r="8772" spans="1:27" ht="21" customHeight="1" x14ac:dyDescent="0.95">
      <c r="A8772" s="56"/>
      <c r="B8772" s="57"/>
      <c r="C8772" s="57"/>
      <c r="D8772" s="57"/>
      <c r="E8772" s="56"/>
      <c r="F8772" s="57"/>
      <c r="G8772" s="57"/>
      <c r="H8772" s="56"/>
      <c r="I8772" s="56"/>
      <c r="J8772" s="58"/>
      <c r="K8772" s="58"/>
      <c r="L8772" s="13" t="str">
        <f t="shared" ref="L8772:L8835" si="1434">IF(OR($A8772="",AND($J8772="",$K8772="")),"",ROUND(N($J8772)-N($K8772),2))</f>
        <v/>
      </c>
      <c r="M8772" s="13" t="str">
        <f t="shared" ref="M8772:M8835" si="1435">IF(OR($A8772="",AND($J8772="",$K8772="")),"",MIN($J8772,$K8772))</f>
        <v/>
      </c>
      <c r="Q8772" t="str">
        <f t="shared" ref="Q8772:Q8835" si="1436">IF($A8772="","",$D8772&amp;"("&amp;SUBSTITUTE($E8772," ","")&amp;")")</f>
        <v/>
      </c>
      <c r="R8772" t="str">
        <f t="shared" ref="R8772:R8835" si="1437">IF($A8772="","",$B8772&amp;" - "&amp;$C8772)</f>
        <v/>
      </c>
      <c r="S8772" t="str">
        <f t="shared" ref="S8772:S8835" si="1438">IF($A8772="","",$R8772&amp;"|"&amp;$Q8772)</f>
        <v/>
      </c>
      <c r="T8772" t="str">
        <f t="shared" ref="T8772:T8835" si="1439">IF($A8772="","",$S8772&amp;"|"&amp;$F8772)</f>
        <v/>
      </c>
      <c r="U8772" t="str">
        <f t="shared" ref="U8772:U8835" si="1440">IF($A8772="","",$R8772&amp;"("&amp;$E8772&amp;")")</f>
        <v/>
      </c>
      <c r="V8772" t="str">
        <f t="shared" ref="V8772:V8835" si="1441">IF($A8772="","",$F8772&amp;"|"&amp;$U8772&amp;"|"&amp;$D8772)</f>
        <v/>
      </c>
      <c r="W8772" t="str">
        <f t="shared" si="1430"/>
        <v/>
      </c>
      <c r="X8772">
        <f t="shared" si="1432"/>
        <v>0</v>
      </c>
      <c r="Z8772" t="str">
        <f t="shared" si="1431"/>
        <v/>
      </c>
      <c r="AA8772">
        <f t="shared" si="1433"/>
        <v>0</v>
      </c>
    </row>
    <row r="8773" spans="1:27" ht="21" customHeight="1" x14ac:dyDescent="0.95">
      <c r="A8773" s="56"/>
      <c r="B8773" s="57"/>
      <c r="C8773" s="57"/>
      <c r="D8773" s="57"/>
      <c r="E8773" s="56"/>
      <c r="F8773" s="57"/>
      <c r="G8773" s="57"/>
      <c r="H8773" s="56"/>
      <c r="I8773" s="56"/>
      <c r="J8773" s="58"/>
      <c r="K8773" s="58"/>
      <c r="L8773" s="13" t="str">
        <f t="shared" si="1434"/>
        <v/>
      </c>
      <c r="M8773" s="13" t="str">
        <f t="shared" si="1435"/>
        <v/>
      </c>
      <c r="Q8773" t="str">
        <f t="shared" si="1436"/>
        <v/>
      </c>
      <c r="R8773" t="str">
        <f t="shared" si="1437"/>
        <v/>
      </c>
      <c r="S8773" t="str">
        <f t="shared" si="1438"/>
        <v/>
      </c>
      <c r="T8773" t="str">
        <f t="shared" si="1439"/>
        <v/>
      </c>
      <c r="U8773" t="str">
        <f t="shared" si="1440"/>
        <v/>
      </c>
      <c r="V8773" t="str">
        <f t="shared" si="1441"/>
        <v/>
      </c>
      <c r="W8773" t="str">
        <f t="shared" si="1430"/>
        <v/>
      </c>
      <c r="X8773">
        <f t="shared" si="1432"/>
        <v>0</v>
      </c>
      <c r="Z8773" t="str">
        <f t="shared" si="1431"/>
        <v/>
      </c>
      <c r="AA8773">
        <f t="shared" si="1433"/>
        <v>0</v>
      </c>
    </row>
    <row r="8774" spans="1:27" ht="21" customHeight="1" x14ac:dyDescent="0.95">
      <c r="A8774" s="56"/>
      <c r="B8774" s="57"/>
      <c r="C8774" s="57"/>
      <c r="D8774" s="57"/>
      <c r="E8774" s="56"/>
      <c r="F8774" s="57"/>
      <c r="G8774" s="57"/>
      <c r="H8774" s="56"/>
      <c r="I8774" s="56"/>
      <c r="J8774" s="58"/>
      <c r="K8774" s="58"/>
      <c r="L8774" s="13" t="str">
        <f t="shared" si="1434"/>
        <v/>
      </c>
      <c r="M8774" s="13" t="str">
        <f t="shared" si="1435"/>
        <v/>
      </c>
      <c r="Q8774" t="str">
        <f t="shared" si="1436"/>
        <v/>
      </c>
      <c r="R8774" t="str">
        <f t="shared" si="1437"/>
        <v/>
      </c>
      <c r="S8774" t="str">
        <f t="shared" si="1438"/>
        <v/>
      </c>
      <c r="T8774" t="str">
        <f t="shared" si="1439"/>
        <v/>
      </c>
      <c r="U8774" t="str">
        <f t="shared" si="1440"/>
        <v/>
      </c>
      <c r="V8774" t="str">
        <f t="shared" si="1441"/>
        <v/>
      </c>
      <c r="W8774" t="str">
        <f t="shared" ref="W8774:W8837" si="1442">IF($T8774="","",IF($X8774&gt;N($X8773),$X8774,""))</f>
        <v/>
      </c>
      <c r="X8774">
        <f t="shared" si="1432"/>
        <v>0</v>
      </c>
      <c r="Z8774" t="str">
        <f t="shared" ref="Z8774:Z8837" si="1443">IF($V8774="","",IF($AA8774&gt;N($AA8773),$AA8774,""))</f>
        <v/>
      </c>
      <c r="AA8774">
        <f t="shared" si="1433"/>
        <v>0</v>
      </c>
    </row>
    <row r="8775" spans="1:27" ht="21" customHeight="1" x14ac:dyDescent="0.95">
      <c r="A8775" s="56"/>
      <c r="B8775" s="57"/>
      <c r="C8775" s="57"/>
      <c r="D8775" s="57"/>
      <c r="E8775" s="56"/>
      <c r="F8775" s="57"/>
      <c r="G8775" s="57"/>
      <c r="H8775" s="56"/>
      <c r="I8775" s="56"/>
      <c r="J8775" s="58"/>
      <c r="K8775" s="58"/>
      <c r="L8775" s="13" t="str">
        <f t="shared" si="1434"/>
        <v/>
      </c>
      <c r="M8775" s="13" t="str">
        <f t="shared" si="1435"/>
        <v/>
      </c>
      <c r="Q8775" t="str">
        <f t="shared" si="1436"/>
        <v/>
      </c>
      <c r="R8775" t="str">
        <f t="shared" si="1437"/>
        <v/>
      </c>
      <c r="S8775" t="str">
        <f t="shared" si="1438"/>
        <v/>
      </c>
      <c r="T8775" t="str">
        <f t="shared" si="1439"/>
        <v/>
      </c>
      <c r="U8775" t="str">
        <f t="shared" si="1440"/>
        <v/>
      </c>
      <c r="V8775" t="str">
        <f t="shared" si="1441"/>
        <v/>
      </c>
      <c r="W8775" t="str">
        <f t="shared" si="1442"/>
        <v/>
      </c>
      <c r="X8775">
        <f t="shared" si="1432"/>
        <v>0</v>
      </c>
      <c r="Z8775" t="str">
        <f t="shared" si="1443"/>
        <v/>
      </c>
      <c r="AA8775">
        <f t="shared" si="1433"/>
        <v>0</v>
      </c>
    </row>
    <row r="8776" spans="1:27" ht="21" customHeight="1" x14ac:dyDescent="0.95">
      <c r="A8776" s="56"/>
      <c r="B8776" s="57"/>
      <c r="C8776" s="57"/>
      <c r="D8776" s="57"/>
      <c r="E8776" s="56"/>
      <c r="F8776" s="57"/>
      <c r="G8776" s="57"/>
      <c r="H8776" s="56"/>
      <c r="I8776" s="56"/>
      <c r="J8776" s="58"/>
      <c r="K8776" s="58"/>
      <c r="L8776" s="13" t="str">
        <f t="shared" si="1434"/>
        <v/>
      </c>
      <c r="M8776" s="13" t="str">
        <f t="shared" si="1435"/>
        <v/>
      </c>
      <c r="Q8776" t="str">
        <f t="shared" si="1436"/>
        <v/>
      </c>
      <c r="R8776" t="str">
        <f t="shared" si="1437"/>
        <v/>
      </c>
      <c r="S8776" t="str">
        <f t="shared" si="1438"/>
        <v/>
      </c>
      <c r="T8776" t="str">
        <f t="shared" si="1439"/>
        <v/>
      </c>
      <c r="U8776" t="str">
        <f t="shared" si="1440"/>
        <v/>
      </c>
      <c r="V8776" t="str">
        <f t="shared" si="1441"/>
        <v/>
      </c>
      <c r="W8776" t="str">
        <f t="shared" si="1442"/>
        <v/>
      </c>
      <c r="X8776">
        <f t="shared" si="1432"/>
        <v>0</v>
      </c>
      <c r="Z8776" t="str">
        <f t="shared" si="1443"/>
        <v/>
      </c>
      <c r="AA8776">
        <f t="shared" si="1433"/>
        <v>0</v>
      </c>
    </row>
    <row r="8777" spans="1:27" ht="21" customHeight="1" x14ac:dyDescent="0.95">
      <c r="A8777" s="56"/>
      <c r="B8777" s="57"/>
      <c r="C8777" s="57"/>
      <c r="D8777" s="57"/>
      <c r="E8777" s="56"/>
      <c r="F8777" s="57"/>
      <c r="G8777" s="57"/>
      <c r="H8777" s="56"/>
      <c r="I8777" s="56"/>
      <c r="J8777" s="58"/>
      <c r="K8777" s="58"/>
      <c r="L8777" s="13" t="str">
        <f t="shared" si="1434"/>
        <v/>
      </c>
      <c r="M8777" s="13" t="str">
        <f t="shared" si="1435"/>
        <v/>
      </c>
      <c r="Q8777" t="str">
        <f t="shared" si="1436"/>
        <v/>
      </c>
      <c r="R8777" t="str">
        <f t="shared" si="1437"/>
        <v/>
      </c>
      <c r="S8777" t="str">
        <f t="shared" si="1438"/>
        <v/>
      </c>
      <c r="T8777" t="str">
        <f t="shared" si="1439"/>
        <v/>
      </c>
      <c r="U8777" t="str">
        <f t="shared" si="1440"/>
        <v/>
      </c>
      <c r="V8777" t="str">
        <f t="shared" si="1441"/>
        <v/>
      </c>
      <c r="W8777" t="str">
        <f t="shared" si="1442"/>
        <v/>
      </c>
      <c r="X8777">
        <f t="shared" si="1432"/>
        <v>0</v>
      </c>
      <c r="Z8777" t="str">
        <f t="shared" si="1443"/>
        <v/>
      </c>
      <c r="AA8777">
        <f t="shared" si="1433"/>
        <v>0</v>
      </c>
    </row>
    <row r="8778" spans="1:27" ht="21" customHeight="1" x14ac:dyDescent="0.95">
      <c r="A8778" s="56"/>
      <c r="B8778" s="57"/>
      <c r="C8778" s="57"/>
      <c r="D8778" s="57"/>
      <c r="E8778" s="56"/>
      <c r="F8778" s="57"/>
      <c r="G8778" s="57"/>
      <c r="H8778" s="56"/>
      <c r="I8778" s="56"/>
      <c r="J8778" s="58"/>
      <c r="K8778" s="58"/>
      <c r="L8778" s="13" t="str">
        <f t="shared" si="1434"/>
        <v/>
      </c>
      <c r="M8778" s="13" t="str">
        <f t="shared" si="1435"/>
        <v/>
      </c>
      <c r="Q8778" t="str">
        <f t="shared" si="1436"/>
        <v/>
      </c>
      <c r="R8778" t="str">
        <f t="shared" si="1437"/>
        <v/>
      </c>
      <c r="S8778" t="str">
        <f t="shared" si="1438"/>
        <v/>
      </c>
      <c r="T8778" t="str">
        <f t="shared" si="1439"/>
        <v/>
      </c>
      <c r="U8778" t="str">
        <f t="shared" si="1440"/>
        <v/>
      </c>
      <c r="V8778" t="str">
        <f t="shared" si="1441"/>
        <v/>
      </c>
      <c r="W8778" t="str">
        <f t="shared" si="1442"/>
        <v/>
      </c>
      <c r="X8778">
        <f t="shared" si="1432"/>
        <v>0</v>
      </c>
      <c r="Z8778" t="str">
        <f t="shared" si="1443"/>
        <v/>
      </c>
      <c r="AA8778">
        <f t="shared" si="1433"/>
        <v>0</v>
      </c>
    </row>
    <row r="8779" spans="1:27" ht="21" customHeight="1" x14ac:dyDescent="0.95">
      <c r="A8779" s="56"/>
      <c r="B8779" s="57"/>
      <c r="C8779" s="57"/>
      <c r="D8779" s="57"/>
      <c r="E8779" s="56"/>
      <c r="F8779" s="57"/>
      <c r="G8779" s="57"/>
      <c r="H8779" s="56"/>
      <c r="I8779" s="56"/>
      <c r="J8779" s="58"/>
      <c r="K8779" s="58"/>
      <c r="L8779" s="13" t="str">
        <f t="shared" si="1434"/>
        <v/>
      </c>
      <c r="M8779" s="13" t="str">
        <f t="shared" si="1435"/>
        <v/>
      </c>
      <c r="Q8779" t="str">
        <f t="shared" si="1436"/>
        <v/>
      </c>
      <c r="R8779" t="str">
        <f t="shared" si="1437"/>
        <v/>
      </c>
      <c r="S8779" t="str">
        <f t="shared" si="1438"/>
        <v/>
      </c>
      <c r="T8779" t="str">
        <f t="shared" si="1439"/>
        <v/>
      </c>
      <c r="U8779" t="str">
        <f t="shared" si="1440"/>
        <v/>
      </c>
      <c r="V8779" t="str">
        <f t="shared" si="1441"/>
        <v/>
      </c>
      <c r="W8779" t="str">
        <f t="shared" si="1442"/>
        <v/>
      </c>
      <c r="X8779">
        <f t="shared" si="1432"/>
        <v>0</v>
      </c>
      <c r="Z8779" t="str">
        <f t="shared" si="1443"/>
        <v/>
      </c>
      <c r="AA8779">
        <f t="shared" si="1433"/>
        <v>0</v>
      </c>
    </row>
    <row r="8780" spans="1:27" ht="21" customHeight="1" x14ac:dyDescent="0.95">
      <c r="A8780" s="56"/>
      <c r="B8780" s="57"/>
      <c r="C8780" s="57"/>
      <c r="D8780" s="57"/>
      <c r="E8780" s="56"/>
      <c r="F8780" s="57"/>
      <c r="G8780" s="57"/>
      <c r="H8780" s="56"/>
      <c r="I8780" s="56"/>
      <c r="J8780" s="58"/>
      <c r="K8780" s="58"/>
      <c r="L8780" s="13" t="str">
        <f t="shared" si="1434"/>
        <v/>
      </c>
      <c r="M8780" s="13" t="str">
        <f t="shared" si="1435"/>
        <v/>
      </c>
      <c r="Q8780" t="str">
        <f t="shared" si="1436"/>
        <v/>
      </c>
      <c r="R8780" t="str">
        <f t="shared" si="1437"/>
        <v/>
      </c>
      <c r="S8780" t="str">
        <f t="shared" si="1438"/>
        <v/>
      </c>
      <c r="T8780" t="str">
        <f t="shared" si="1439"/>
        <v/>
      </c>
      <c r="U8780" t="str">
        <f t="shared" si="1440"/>
        <v/>
      </c>
      <c r="V8780" t="str">
        <f t="shared" si="1441"/>
        <v/>
      </c>
      <c r="W8780" t="str">
        <f t="shared" si="1442"/>
        <v/>
      </c>
      <c r="X8780">
        <f t="shared" si="1432"/>
        <v>0</v>
      </c>
      <c r="Z8780" t="str">
        <f t="shared" si="1443"/>
        <v/>
      </c>
      <c r="AA8780">
        <f t="shared" si="1433"/>
        <v>0</v>
      </c>
    </row>
    <row r="8781" spans="1:27" ht="21" customHeight="1" x14ac:dyDescent="0.95">
      <c r="A8781" s="56"/>
      <c r="B8781" s="57"/>
      <c r="C8781" s="57"/>
      <c r="D8781" s="57"/>
      <c r="E8781" s="56"/>
      <c r="F8781" s="57"/>
      <c r="G8781" s="57"/>
      <c r="H8781" s="56"/>
      <c r="I8781" s="56"/>
      <c r="J8781" s="58"/>
      <c r="K8781" s="58"/>
      <c r="L8781" s="13" t="str">
        <f t="shared" si="1434"/>
        <v/>
      </c>
      <c r="M8781" s="13" t="str">
        <f t="shared" si="1435"/>
        <v/>
      </c>
      <c r="Q8781" t="str">
        <f t="shared" si="1436"/>
        <v/>
      </c>
      <c r="R8781" t="str">
        <f t="shared" si="1437"/>
        <v/>
      </c>
      <c r="S8781" t="str">
        <f t="shared" si="1438"/>
        <v/>
      </c>
      <c r="T8781" t="str">
        <f t="shared" si="1439"/>
        <v/>
      </c>
      <c r="U8781" t="str">
        <f t="shared" si="1440"/>
        <v/>
      </c>
      <c r="V8781" t="str">
        <f t="shared" si="1441"/>
        <v/>
      </c>
      <c r="W8781" t="str">
        <f t="shared" si="1442"/>
        <v/>
      </c>
      <c r="X8781">
        <f t="shared" si="1432"/>
        <v>0</v>
      </c>
      <c r="Z8781" t="str">
        <f t="shared" si="1443"/>
        <v/>
      </c>
      <c r="AA8781">
        <f t="shared" si="1433"/>
        <v>0</v>
      </c>
    </row>
    <row r="8782" spans="1:27" ht="21" customHeight="1" x14ac:dyDescent="0.95">
      <c r="A8782" s="56"/>
      <c r="B8782" s="57"/>
      <c r="C8782" s="57"/>
      <c r="D8782" s="57"/>
      <c r="E8782" s="56"/>
      <c r="F8782" s="57"/>
      <c r="G8782" s="57"/>
      <c r="H8782" s="56"/>
      <c r="I8782" s="56"/>
      <c r="J8782" s="58"/>
      <c r="K8782" s="58"/>
      <c r="L8782" s="13" t="str">
        <f t="shared" si="1434"/>
        <v/>
      </c>
      <c r="M8782" s="13" t="str">
        <f t="shared" si="1435"/>
        <v/>
      </c>
      <c r="Q8782" t="str">
        <f t="shared" si="1436"/>
        <v/>
      </c>
      <c r="R8782" t="str">
        <f t="shared" si="1437"/>
        <v/>
      </c>
      <c r="S8782" t="str">
        <f t="shared" si="1438"/>
        <v/>
      </c>
      <c r="T8782" t="str">
        <f t="shared" si="1439"/>
        <v/>
      </c>
      <c r="U8782" t="str">
        <f t="shared" si="1440"/>
        <v/>
      </c>
      <c r="V8782" t="str">
        <f t="shared" si="1441"/>
        <v/>
      </c>
      <c r="W8782" t="str">
        <f t="shared" si="1442"/>
        <v/>
      </c>
      <c r="X8782">
        <f t="shared" si="1432"/>
        <v>0</v>
      </c>
      <c r="Z8782" t="str">
        <f t="shared" si="1443"/>
        <v/>
      </c>
      <c r="AA8782">
        <f t="shared" si="1433"/>
        <v>0</v>
      </c>
    </row>
    <row r="8783" spans="1:27" ht="21" customHeight="1" x14ac:dyDescent="0.95">
      <c r="A8783" s="56"/>
      <c r="B8783" s="57"/>
      <c r="C8783" s="57"/>
      <c r="D8783" s="57"/>
      <c r="E8783" s="56"/>
      <c r="F8783" s="57"/>
      <c r="G8783" s="57"/>
      <c r="H8783" s="56"/>
      <c r="I8783" s="56"/>
      <c r="J8783" s="58"/>
      <c r="K8783" s="58"/>
      <c r="L8783" s="13" t="str">
        <f t="shared" si="1434"/>
        <v/>
      </c>
      <c r="M8783" s="13" t="str">
        <f t="shared" si="1435"/>
        <v/>
      </c>
      <c r="Q8783" t="str">
        <f t="shared" si="1436"/>
        <v/>
      </c>
      <c r="R8783" t="str">
        <f t="shared" si="1437"/>
        <v/>
      </c>
      <c r="S8783" t="str">
        <f t="shared" si="1438"/>
        <v/>
      </c>
      <c r="T8783" t="str">
        <f t="shared" si="1439"/>
        <v/>
      </c>
      <c r="U8783" t="str">
        <f t="shared" si="1440"/>
        <v/>
      </c>
      <c r="V8783" t="str">
        <f t="shared" si="1441"/>
        <v/>
      </c>
      <c r="W8783" t="str">
        <f t="shared" si="1442"/>
        <v/>
      </c>
      <c r="X8783">
        <f t="shared" si="1432"/>
        <v>0</v>
      </c>
      <c r="Z8783" t="str">
        <f t="shared" si="1443"/>
        <v/>
      </c>
      <c r="AA8783">
        <f t="shared" si="1433"/>
        <v>0</v>
      </c>
    </row>
    <row r="8784" spans="1:27" ht="21" customHeight="1" x14ac:dyDescent="0.95">
      <c r="A8784" s="56"/>
      <c r="B8784" s="57"/>
      <c r="C8784" s="57"/>
      <c r="D8784" s="57"/>
      <c r="E8784" s="56"/>
      <c r="F8784" s="57"/>
      <c r="G8784" s="57"/>
      <c r="H8784" s="56"/>
      <c r="I8784" s="56"/>
      <c r="J8784" s="58"/>
      <c r="K8784" s="58"/>
      <c r="L8784" s="13" t="str">
        <f t="shared" si="1434"/>
        <v/>
      </c>
      <c r="M8784" s="13" t="str">
        <f t="shared" si="1435"/>
        <v/>
      </c>
      <c r="Q8784" t="str">
        <f t="shared" si="1436"/>
        <v/>
      </c>
      <c r="R8784" t="str">
        <f t="shared" si="1437"/>
        <v/>
      </c>
      <c r="S8784" t="str">
        <f t="shared" si="1438"/>
        <v/>
      </c>
      <c r="T8784" t="str">
        <f t="shared" si="1439"/>
        <v/>
      </c>
      <c r="U8784" t="str">
        <f t="shared" si="1440"/>
        <v/>
      </c>
      <c r="V8784" t="str">
        <f t="shared" si="1441"/>
        <v/>
      </c>
      <c r="W8784" t="str">
        <f t="shared" si="1442"/>
        <v/>
      </c>
      <c r="X8784">
        <f t="shared" si="1432"/>
        <v>0</v>
      </c>
      <c r="Z8784" t="str">
        <f t="shared" si="1443"/>
        <v/>
      </c>
      <c r="AA8784">
        <f t="shared" si="1433"/>
        <v>0</v>
      </c>
    </row>
    <row r="8785" spans="1:27" ht="21" customHeight="1" x14ac:dyDescent="0.95">
      <c r="A8785" s="56"/>
      <c r="B8785" s="57"/>
      <c r="C8785" s="57"/>
      <c r="D8785" s="57"/>
      <c r="E8785" s="56"/>
      <c r="F8785" s="57"/>
      <c r="G8785" s="57"/>
      <c r="H8785" s="56"/>
      <c r="I8785" s="56"/>
      <c r="J8785" s="58"/>
      <c r="K8785" s="58"/>
      <c r="L8785" s="13" t="str">
        <f t="shared" si="1434"/>
        <v/>
      </c>
      <c r="M8785" s="13" t="str">
        <f t="shared" si="1435"/>
        <v/>
      </c>
      <c r="Q8785" t="str">
        <f t="shared" si="1436"/>
        <v/>
      </c>
      <c r="R8785" t="str">
        <f t="shared" si="1437"/>
        <v/>
      </c>
      <c r="S8785" t="str">
        <f t="shared" si="1438"/>
        <v/>
      </c>
      <c r="T8785" t="str">
        <f t="shared" si="1439"/>
        <v/>
      </c>
      <c r="U8785" t="str">
        <f t="shared" si="1440"/>
        <v/>
      </c>
      <c r="V8785" t="str">
        <f t="shared" si="1441"/>
        <v/>
      </c>
      <c r="W8785" t="str">
        <f t="shared" si="1442"/>
        <v/>
      </c>
      <c r="X8785">
        <f t="shared" si="1432"/>
        <v>0</v>
      </c>
      <c r="Z8785" t="str">
        <f t="shared" si="1443"/>
        <v/>
      </c>
      <c r="AA8785">
        <f t="shared" si="1433"/>
        <v>0</v>
      </c>
    </row>
    <row r="8786" spans="1:27" ht="21" customHeight="1" x14ac:dyDescent="0.95">
      <c r="A8786" s="56"/>
      <c r="B8786" s="57"/>
      <c r="C8786" s="57"/>
      <c r="D8786" s="57"/>
      <c r="E8786" s="56"/>
      <c r="F8786" s="57"/>
      <c r="G8786" s="57"/>
      <c r="H8786" s="56"/>
      <c r="I8786" s="56"/>
      <c r="J8786" s="58"/>
      <c r="K8786" s="58"/>
      <c r="L8786" s="13" t="str">
        <f t="shared" si="1434"/>
        <v/>
      </c>
      <c r="M8786" s="13" t="str">
        <f t="shared" si="1435"/>
        <v/>
      </c>
      <c r="Q8786" t="str">
        <f t="shared" si="1436"/>
        <v/>
      </c>
      <c r="R8786" t="str">
        <f t="shared" si="1437"/>
        <v/>
      </c>
      <c r="S8786" t="str">
        <f t="shared" si="1438"/>
        <v/>
      </c>
      <c r="T8786" t="str">
        <f t="shared" si="1439"/>
        <v/>
      </c>
      <c r="U8786" t="str">
        <f t="shared" si="1440"/>
        <v/>
      </c>
      <c r="V8786" t="str">
        <f t="shared" si="1441"/>
        <v/>
      </c>
      <c r="W8786" t="str">
        <f t="shared" si="1442"/>
        <v/>
      </c>
      <c r="X8786">
        <f t="shared" si="1432"/>
        <v>0</v>
      </c>
      <c r="Z8786" t="str">
        <f t="shared" si="1443"/>
        <v/>
      </c>
      <c r="AA8786">
        <f t="shared" si="1433"/>
        <v>0</v>
      </c>
    </row>
    <row r="8787" spans="1:27" ht="21" customHeight="1" x14ac:dyDescent="0.95">
      <c r="A8787" s="56"/>
      <c r="B8787" s="57"/>
      <c r="C8787" s="57"/>
      <c r="D8787" s="57"/>
      <c r="E8787" s="56"/>
      <c r="F8787" s="57"/>
      <c r="G8787" s="57"/>
      <c r="H8787" s="56"/>
      <c r="I8787" s="56"/>
      <c r="J8787" s="58"/>
      <c r="K8787" s="58"/>
      <c r="L8787" s="13" t="str">
        <f t="shared" si="1434"/>
        <v/>
      </c>
      <c r="M8787" s="13" t="str">
        <f t="shared" si="1435"/>
        <v/>
      </c>
      <c r="Q8787" t="str">
        <f t="shared" si="1436"/>
        <v/>
      </c>
      <c r="R8787" t="str">
        <f t="shared" si="1437"/>
        <v/>
      </c>
      <c r="S8787" t="str">
        <f t="shared" si="1438"/>
        <v/>
      </c>
      <c r="T8787" t="str">
        <f t="shared" si="1439"/>
        <v/>
      </c>
      <c r="U8787" t="str">
        <f t="shared" si="1440"/>
        <v/>
      </c>
      <c r="V8787" t="str">
        <f t="shared" si="1441"/>
        <v/>
      </c>
      <c r="W8787" t="str">
        <f t="shared" si="1442"/>
        <v/>
      </c>
      <c r="X8787">
        <f t="shared" si="1432"/>
        <v>0</v>
      </c>
      <c r="Z8787" t="str">
        <f t="shared" si="1443"/>
        <v/>
      </c>
      <c r="AA8787">
        <f t="shared" si="1433"/>
        <v>0</v>
      </c>
    </row>
    <row r="8788" spans="1:27" ht="21" customHeight="1" x14ac:dyDescent="0.95">
      <c r="A8788" s="56"/>
      <c r="B8788" s="57"/>
      <c r="C8788" s="57"/>
      <c r="D8788" s="57"/>
      <c r="E8788" s="56"/>
      <c r="F8788" s="57"/>
      <c r="G8788" s="57"/>
      <c r="H8788" s="56"/>
      <c r="I8788" s="56"/>
      <c r="J8788" s="58"/>
      <c r="K8788" s="58"/>
      <c r="L8788" s="13" t="str">
        <f t="shared" si="1434"/>
        <v/>
      </c>
      <c r="M8788" s="13" t="str">
        <f t="shared" si="1435"/>
        <v/>
      </c>
      <c r="Q8788" t="str">
        <f t="shared" si="1436"/>
        <v/>
      </c>
      <c r="R8788" t="str">
        <f t="shared" si="1437"/>
        <v/>
      </c>
      <c r="S8788" t="str">
        <f t="shared" si="1438"/>
        <v/>
      </c>
      <c r="T8788" t="str">
        <f t="shared" si="1439"/>
        <v/>
      </c>
      <c r="U8788" t="str">
        <f t="shared" si="1440"/>
        <v/>
      </c>
      <c r="V8788" t="str">
        <f t="shared" si="1441"/>
        <v/>
      </c>
      <c r="W8788" t="str">
        <f t="shared" si="1442"/>
        <v/>
      </c>
      <c r="X8788">
        <f t="shared" si="1432"/>
        <v>0</v>
      </c>
      <c r="Z8788" t="str">
        <f t="shared" si="1443"/>
        <v/>
      </c>
      <c r="AA8788">
        <f t="shared" si="1433"/>
        <v>0</v>
      </c>
    </row>
    <row r="8789" spans="1:27" ht="21" customHeight="1" x14ac:dyDescent="0.95">
      <c r="A8789" s="56"/>
      <c r="B8789" s="57"/>
      <c r="C8789" s="57"/>
      <c r="D8789" s="57"/>
      <c r="E8789" s="56"/>
      <c r="F8789" s="57"/>
      <c r="G8789" s="57"/>
      <c r="H8789" s="56"/>
      <c r="I8789" s="56"/>
      <c r="J8789" s="58"/>
      <c r="K8789" s="58"/>
      <c r="L8789" s="13" t="str">
        <f t="shared" si="1434"/>
        <v/>
      </c>
      <c r="M8789" s="13" t="str">
        <f t="shared" si="1435"/>
        <v/>
      </c>
      <c r="Q8789" t="str">
        <f t="shared" si="1436"/>
        <v/>
      </c>
      <c r="R8789" t="str">
        <f t="shared" si="1437"/>
        <v/>
      </c>
      <c r="S8789" t="str">
        <f t="shared" si="1438"/>
        <v/>
      </c>
      <c r="T8789" t="str">
        <f t="shared" si="1439"/>
        <v/>
      </c>
      <c r="U8789" t="str">
        <f t="shared" si="1440"/>
        <v/>
      </c>
      <c r="V8789" t="str">
        <f t="shared" si="1441"/>
        <v/>
      </c>
      <c r="W8789" t="str">
        <f t="shared" si="1442"/>
        <v/>
      </c>
      <c r="X8789">
        <f t="shared" si="1432"/>
        <v>0</v>
      </c>
      <c r="Z8789" t="str">
        <f t="shared" si="1443"/>
        <v/>
      </c>
      <c r="AA8789">
        <f t="shared" si="1433"/>
        <v>0</v>
      </c>
    </row>
    <row r="8790" spans="1:27" ht="21" customHeight="1" x14ac:dyDescent="0.95">
      <c r="A8790" s="56"/>
      <c r="B8790" s="57"/>
      <c r="C8790" s="57"/>
      <c r="D8790" s="57"/>
      <c r="E8790" s="56"/>
      <c r="F8790" s="57"/>
      <c r="G8790" s="57"/>
      <c r="H8790" s="56"/>
      <c r="I8790" s="56"/>
      <c r="J8790" s="58"/>
      <c r="K8790" s="58"/>
      <c r="L8790" s="13" t="str">
        <f t="shared" si="1434"/>
        <v/>
      </c>
      <c r="M8790" s="13" t="str">
        <f t="shared" si="1435"/>
        <v/>
      </c>
      <c r="Q8790" t="str">
        <f t="shared" si="1436"/>
        <v/>
      </c>
      <c r="R8790" t="str">
        <f t="shared" si="1437"/>
        <v/>
      </c>
      <c r="S8790" t="str">
        <f t="shared" si="1438"/>
        <v/>
      </c>
      <c r="T8790" t="str">
        <f t="shared" si="1439"/>
        <v/>
      </c>
      <c r="U8790" t="str">
        <f t="shared" si="1440"/>
        <v/>
      </c>
      <c r="V8790" t="str">
        <f t="shared" si="1441"/>
        <v/>
      </c>
      <c r="W8790" t="str">
        <f t="shared" si="1442"/>
        <v/>
      </c>
      <c r="X8790">
        <f t="shared" si="1432"/>
        <v>0</v>
      </c>
      <c r="Z8790" t="str">
        <f t="shared" si="1443"/>
        <v/>
      </c>
      <c r="AA8790">
        <f t="shared" si="1433"/>
        <v>0</v>
      </c>
    </row>
    <row r="8791" spans="1:27" ht="21" customHeight="1" x14ac:dyDescent="0.95">
      <c r="A8791" s="56"/>
      <c r="B8791" s="57"/>
      <c r="C8791" s="57"/>
      <c r="D8791" s="57"/>
      <c r="E8791" s="56"/>
      <c r="F8791" s="57"/>
      <c r="G8791" s="57"/>
      <c r="H8791" s="56"/>
      <c r="I8791" s="56"/>
      <c r="J8791" s="58"/>
      <c r="K8791" s="58"/>
      <c r="L8791" s="13" t="str">
        <f t="shared" si="1434"/>
        <v/>
      </c>
      <c r="M8791" s="13" t="str">
        <f t="shared" si="1435"/>
        <v/>
      </c>
      <c r="Q8791" t="str">
        <f t="shared" si="1436"/>
        <v/>
      </c>
      <c r="R8791" t="str">
        <f t="shared" si="1437"/>
        <v/>
      </c>
      <c r="S8791" t="str">
        <f t="shared" si="1438"/>
        <v/>
      </c>
      <c r="T8791" t="str">
        <f t="shared" si="1439"/>
        <v/>
      </c>
      <c r="U8791" t="str">
        <f t="shared" si="1440"/>
        <v/>
      </c>
      <c r="V8791" t="str">
        <f t="shared" si="1441"/>
        <v/>
      </c>
      <c r="W8791" t="str">
        <f t="shared" si="1442"/>
        <v/>
      </c>
      <c r="X8791">
        <f t="shared" si="1432"/>
        <v>0</v>
      </c>
      <c r="Z8791" t="str">
        <f t="shared" si="1443"/>
        <v/>
      </c>
      <c r="AA8791">
        <f t="shared" si="1433"/>
        <v>0</v>
      </c>
    </row>
    <row r="8792" spans="1:27" ht="21" customHeight="1" x14ac:dyDescent="0.95">
      <c r="A8792" s="56"/>
      <c r="B8792" s="57"/>
      <c r="C8792" s="57"/>
      <c r="D8792" s="57"/>
      <c r="E8792" s="56"/>
      <c r="F8792" s="57"/>
      <c r="G8792" s="57"/>
      <c r="H8792" s="56"/>
      <c r="I8792" s="56"/>
      <c r="J8792" s="58"/>
      <c r="K8792" s="58"/>
      <c r="L8792" s="13" t="str">
        <f t="shared" si="1434"/>
        <v/>
      </c>
      <c r="M8792" s="13" t="str">
        <f t="shared" si="1435"/>
        <v/>
      </c>
      <c r="Q8792" t="str">
        <f t="shared" si="1436"/>
        <v/>
      </c>
      <c r="R8792" t="str">
        <f t="shared" si="1437"/>
        <v/>
      </c>
      <c r="S8792" t="str">
        <f t="shared" si="1438"/>
        <v/>
      </c>
      <c r="T8792" t="str">
        <f t="shared" si="1439"/>
        <v/>
      </c>
      <c r="U8792" t="str">
        <f t="shared" si="1440"/>
        <v/>
      </c>
      <c r="V8792" t="str">
        <f t="shared" si="1441"/>
        <v/>
      </c>
      <c r="W8792" t="str">
        <f t="shared" si="1442"/>
        <v/>
      </c>
      <c r="X8792">
        <f t="shared" si="1432"/>
        <v>0</v>
      </c>
      <c r="Z8792" t="str">
        <f t="shared" si="1443"/>
        <v/>
      </c>
      <c r="AA8792">
        <f t="shared" si="1433"/>
        <v>0</v>
      </c>
    </row>
    <row r="8793" spans="1:27" ht="21" customHeight="1" x14ac:dyDescent="0.95">
      <c r="A8793" s="56"/>
      <c r="B8793" s="57"/>
      <c r="C8793" s="57"/>
      <c r="D8793" s="57"/>
      <c r="E8793" s="56"/>
      <c r="F8793" s="57"/>
      <c r="G8793" s="57"/>
      <c r="H8793" s="56"/>
      <c r="I8793" s="56"/>
      <c r="J8793" s="58"/>
      <c r="K8793" s="58"/>
      <c r="L8793" s="13" t="str">
        <f t="shared" si="1434"/>
        <v/>
      </c>
      <c r="M8793" s="13" t="str">
        <f t="shared" si="1435"/>
        <v/>
      </c>
      <c r="Q8793" t="str">
        <f t="shared" si="1436"/>
        <v/>
      </c>
      <c r="R8793" t="str">
        <f t="shared" si="1437"/>
        <v/>
      </c>
      <c r="S8793" t="str">
        <f t="shared" si="1438"/>
        <v/>
      </c>
      <c r="T8793" t="str">
        <f t="shared" si="1439"/>
        <v/>
      </c>
      <c r="U8793" t="str">
        <f t="shared" si="1440"/>
        <v/>
      </c>
      <c r="V8793" t="str">
        <f t="shared" si="1441"/>
        <v/>
      </c>
      <c r="W8793" t="str">
        <f t="shared" si="1442"/>
        <v/>
      </c>
      <c r="X8793">
        <f t="shared" si="1432"/>
        <v>0</v>
      </c>
      <c r="Z8793" t="str">
        <f t="shared" si="1443"/>
        <v/>
      </c>
      <c r="AA8793">
        <f t="shared" si="1433"/>
        <v>0</v>
      </c>
    </row>
    <row r="8794" spans="1:27" ht="21" customHeight="1" x14ac:dyDescent="0.95">
      <c r="A8794" s="56"/>
      <c r="B8794" s="57"/>
      <c r="C8794" s="57"/>
      <c r="D8794" s="57"/>
      <c r="E8794" s="56"/>
      <c r="F8794" s="57"/>
      <c r="G8794" s="57"/>
      <c r="H8794" s="56"/>
      <c r="I8794" s="56"/>
      <c r="J8794" s="58"/>
      <c r="K8794" s="58"/>
      <c r="L8794" s="13" t="str">
        <f t="shared" si="1434"/>
        <v/>
      </c>
      <c r="M8794" s="13" t="str">
        <f t="shared" si="1435"/>
        <v/>
      </c>
      <c r="Q8794" t="str">
        <f t="shared" si="1436"/>
        <v/>
      </c>
      <c r="R8794" t="str">
        <f t="shared" si="1437"/>
        <v/>
      </c>
      <c r="S8794" t="str">
        <f t="shared" si="1438"/>
        <v/>
      </c>
      <c r="T8794" t="str">
        <f t="shared" si="1439"/>
        <v/>
      </c>
      <c r="U8794" t="str">
        <f t="shared" si="1440"/>
        <v/>
      </c>
      <c r="V8794" t="str">
        <f t="shared" si="1441"/>
        <v/>
      </c>
      <c r="W8794" t="str">
        <f t="shared" si="1442"/>
        <v/>
      </c>
      <c r="X8794">
        <f t="shared" si="1432"/>
        <v>0</v>
      </c>
      <c r="Z8794" t="str">
        <f t="shared" si="1443"/>
        <v/>
      </c>
      <c r="AA8794">
        <f t="shared" si="1433"/>
        <v>0</v>
      </c>
    </row>
    <row r="8795" spans="1:27" ht="21" customHeight="1" x14ac:dyDescent="0.95">
      <c r="A8795" s="56"/>
      <c r="B8795" s="57"/>
      <c r="C8795" s="57"/>
      <c r="D8795" s="57"/>
      <c r="E8795" s="56"/>
      <c r="F8795" s="57"/>
      <c r="G8795" s="57"/>
      <c r="H8795" s="56"/>
      <c r="I8795" s="56"/>
      <c r="J8795" s="58"/>
      <c r="K8795" s="58"/>
      <c r="L8795" s="13" t="str">
        <f t="shared" si="1434"/>
        <v/>
      </c>
      <c r="M8795" s="13" t="str">
        <f t="shared" si="1435"/>
        <v/>
      </c>
      <c r="Q8795" t="str">
        <f t="shared" si="1436"/>
        <v/>
      </c>
      <c r="R8795" t="str">
        <f t="shared" si="1437"/>
        <v/>
      </c>
      <c r="S8795" t="str">
        <f t="shared" si="1438"/>
        <v/>
      </c>
      <c r="T8795" t="str">
        <f t="shared" si="1439"/>
        <v/>
      </c>
      <c r="U8795" t="str">
        <f t="shared" si="1440"/>
        <v/>
      </c>
      <c r="V8795" t="str">
        <f t="shared" si="1441"/>
        <v/>
      </c>
      <c r="W8795" t="str">
        <f t="shared" si="1442"/>
        <v/>
      </c>
      <c r="X8795">
        <f t="shared" si="1432"/>
        <v>0</v>
      </c>
      <c r="Z8795" t="str">
        <f t="shared" si="1443"/>
        <v/>
      </c>
      <c r="AA8795">
        <f t="shared" si="1433"/>
        <v>0</v>
      </c>
    </row>
    <row r="8796" spans="1:27" ht="21" customHeight="1" x14ac:dyDescent="0.95">
      <c r="A8796" s="56"/>
      <c r="B8796" s="57"/>
      <c r="C8796" s="57"/>
      <c r="D8796" s="57"/>
      <c r="E8796" s="56"/>
      <c r="F8796" s="57"/>
      <c r="G8796" s="57"/>
      <c r="H8796" s="56"/>
      <c r="I8796" s="56"/>
      <c r="J8796" s="58"/>
      <c r="K8796" s="58"/>
      <c r="L8796" s="13" t="str">
        <f t="shared" si="1434"/>
        <v/>
      </c>
      <c r="M8796" s="13" t="str">
        <f t="shared" si="1435"/>
        <v/>
      </c>
      <c r="Q8796" t="str">
        <f t="shared" si="1436"/>
        <v/>
      </c>
      <c r="R8796" t="str">
        <f t="shared" si="1437"/>
        <v/>
      </c>
      <c r="S8796" t="str">
        <f t="shared" si="1438"/>
        <v/>
      </c>
      <c r="T8796" t="str">
        <f t="shared" si="1439"/>
        <v/>
      </c>
      <c r="U8796" t="str">
        <f t="shared" si="1440"/>
        <v/>
      </c>
      <c r="V8796" t="str">
        <f t="shared" si="1441"/>
        <v/>
      </c>
      <c r="W8796" t="str">
        <f t="shared" si="1442"/>
        <v/>
      </c>
      <c r="X8796">
        <f t="shared" si="1432"/>
        <v>0</v>
      </c>
      <c r="Z8796" t="str">
        <f t="shared" si="1443"/>
        <v/>
      </c>
      <c r="AA8796">
        <f t="shared" si="1433"/>
        <v>0</v>
      </c>
    </row>
    <row r="8797" spans="1:27" ht="21" customHeight="1" x14ac:dyDescent="0.95">
      <c r="A8797" s="56"/>
      <c r="B8797" s="57"/>
      <c r="C8797" s="57"/>
      <c r="D8797" s="57"/>
      <c r="E8797" s="56"/>
      <c r="F8797" s="57"/>
      <c r="G8797" s="57"/>
      <c r="H8797" s="56"/>
      <c r="I8797" s="56"/>
      <c r="J8797" s="58"/>
      <c r="K8797" s="58"/>
      <c r="L8797" s="13" t="str">
        <f t="shared" si="1434"/>
        <v/>
      </c>
      <c r="M8797" s="13" t="str">
        <f t="shared" si="1435"/>
        <v/>
      </c>
      <c r="Q8797" t="str">
        <f t="shared" si="1436"/>
        <v/>
      </c>
      <c r="R8797" t="str">
        <f t="shared" si="1437"/>
        <v/>
      </c>
      <c r="S8797" t="str">
        <f t="shared" si="1438"/>
        <v/>
      </c>
      <c r="T8797" t="str">
        <f t="shared" si="1439"/>
        <v/>
      </c>
      <c r="U8797" t="str">
        <f t="shared" si="1440"/>
        <v/>
      </c>
      <c r="V8797" t="str">
        <f t="shared" si="1441"/>
        <v/>
      </c>
      <c r="W8797" t="str">
        <f t="shared" si="1442"/>
        <v/>
      </c>
      <c r="X8797">
        <f t="shared" si="1432"/>
        <v>0</v>
      </c>
      <c r="Z8797" t="str">
        <f t="shared" si="1443"/>
        <v/>
      </c>
      <c r="AA8797">
        <f t="shared" si="1433"/>
        <v>0</v>
      </c>
    </row>
    <row r="8798" spans="1:27" ht="21" customHeight="1" x14ac:dyDescent="0.95">
      <c r="A8798" s="56"/>
      <c r="B8798" s="57"/>
      <c r="C8798" s="57"/>
      <c r="D8798" s="57"/>
      <c r="E8798" s="56"/>
      <c r="F8798" s="57"/>
      <c r="G8798" s="57"/>
      <c r="H8798" s="56"/>
      <c r="I8798" s="56"/>
      <c r="J8798" s="58"/>
      <c r="K8798" s="58"/>
      <c r="L8798" s="13" t="str">
        <f t="shared" si="1434"/>
        <v/>
      </c>
      <c r="M8798" s="13" t="str">
        <f t="shared" si="1435"/>
        <v/>
      </c>
      <c r="Q8798" t="str">
        <f t="shared" si="1436"/>
        <v/>
      </c>
      <c r="R8798" t="str">
        <f t="shared" si="1437"/>
        <v/>
      </c>
      <c r="S8798" t="str">
        <f t="shared" si="1438"/>
        <v/>
      </c>
      <c r="T8798" t="str">
        <f t="shared" si="1439"/>
        <v/>
      </c>
      <c r="U8798" t="str">
        <f t="shared" si="1440"/>
        <v/>
      </c>
      <c r="V8798" t="str">
        <f t="shared" si="1441"/>
        <v/>
      </c>
      <c r="W8798" t="str">
        <f t="shared" si="1442"/>
        <v/>
      </c>
      <c r="X8798">
        <f t="shared" si="1432"/>
        <v>0</v>
      </c>
      <c r="Z8798" t="str">
        <f t="shared" si="1443"/>
        <v/>
      </c>
      <c r="AA8798">
        <f t="shared" si="1433"/>
        <v>0</v>
      </c>
    </row>
    <row r="8799" spans="1:27" ht="21" customHeight="1" x14ac:dyDescent="0.95">
      <c r="A8799" s="56"/>
      <c r="B8799" s="57"/>
      <c r="C8799" s="57"/>
      <c r="D8799" s="57"/>
      <c r="E8799" s="56"/>
      <c r="F8799" s="57"/>
      <c r="G8799" s="57"/>
      <c r="H8799" s="56"/>
      <c r="I8799" s="56"/>
      <c r="J8799" s="58"/>
      <c r="K8799" s="58"/>
      <c r="L8799" s="13" t="str">
        <f t="shared" si="1434"/>
        <v/>
      </c>
      <c r="M8799" s="13" t="str">
        <f t="shared" si="1435"/>
        <v/>
      </c>
      <c r="Q8799" t="str">
        <f t="shared" si="1436"/>
        <v/>
      </c>
      <c r="R8799" t="str">
        <f t="shared" si="1437"/>
        <v/>
      </c>
      <c r="S8799" t="str">
        <f t="shared" si="1438"/>
        <v/>
      </c>
      <c r="T8799" t="str">
        <f t="shared" si="1439"/>
        <v/>
      </c>
      <c r="U8799" t="str">
        <f t="shared" si="1440"/>
        <v/>
      </c>
      <c r="V8799" t="str">
        <f t="shared" si="1441"/>
        <v/>
      </c>
      <c r="W8799" t="str">
        <f t="shared" si="1442"/>
        <v/>
      </c>
      <c r="X8799">
        <f t="shared" si="1432"/>
        <v>0</v>
      </c>
      <c r="Z8799" t="str">
        <f t="shared" si="1443"/>
        <v/>
      </c>
      <c r="AA8799">
        <f t="shared" si="1433"/>
        <v>0</v>
      </c>
    </row>
    <row r="8800" spans="1:27" ht="21" customHeight="1" x14ac:dyDescent="0.95">
      <c r="A8800" s="56"/>
      <c r="B8800" s="57"/>
      <c r="C8800" s="57"/>
      <c r="D8800" s="57"/>
      <c r="E8800" s="56"/>
      <c r="F8800" s="57"/>
      <c r="G8800" s="57"/>
      <c r="H8800" s="56"/>
      <c r="I8800" s="56"/>
      <c r="J8800" s="58"/>
      <c r="K8800" s="58"/>
      <c r="L8800" s="13" t="str">
        <f t="shared" si="1434"/>
        <v/>
      </c>
      <c r="M8800" s="13" t="str">
        <f t="shared" si="1435"/>
        <v/>
      </c>
      <c r="Q8800" t="str">
        <f t="shared" si="1436"/>
        <v/>
      </c>
      <c r="R8800" t="str">
        <f t="shared" si="1437"/>
        <v/>
      </c>
      <c r="S8800" t="str">
        <f t="shared" si="1438"/>
        <v/>
      </c>
      <c r="T8800" t="str">
        <f t="shared" si="1439"/>
        <v/>
      </c>
      <c r="U8800" t="str">
        <f t="shared" si="1440"/>
        <v/>
      </c>
      <c r="V8800" t="str">
        <f t="shared" si="1441"/>
        <v/>
      </c>
      <c r="W8800" t="str">
        <f t="shared" si="1442"/>
        <v/>
      </c>
      <c r="X8800">
        <f t="shared" si="1432"/>
        <v>0</v>
      </c>
      <c r="Z8800" t="str">
        <f t="shared" si="1443"/>
        <v/>
      </c>
      <c r="AA8800">
        <f t="shared" si="1433"/>
        <v>0</v>
      </c>
    </row>
    <row r="8801" spans="1:27" ht="21" customHeight="1" x14ac:dyDescent="0.95">
      <c r="A8801" s="56"/>
      <c r="B8801" s="57"/>
      <c r="C8801" s="57"/>
      <c r="D8801" s="57"/>
      <c r="E8801" s="56"/>
      <c r="F8801" s="57"/>
      <c r="G8801" s="57"/>
      <c r="H8801" s="56"/>
      <c r="I8801" s="56"/>
      <c r="J8801" s="58"/>
      <c r="K8801" s="58"/>
      <c r="L8801" s="13" t="str">
        <f t="shared" si="1434"/>
        <v/>
      </c>
      <c r="M8801" s="13" t="str">
        <f t="shared" si="1435"/>
        <v/>
      </c>
      <c r="Q8801" t="str">
        <f t="shared" si="1436"/>
        <v/>
      </c>
      <c r="R8801" t="str">
        <f t="shared" si="1437"/>
        <v/>
      </c>
      <c r="S8801" t="str">
        <f t="shared" si="1438"/>
        <v/>
      </c>
      <c r="T8801" t="str">
        <f t="shared" si="1439"/>
        <v/>
      </c>
      <c r="U8801" t="str">
        <f t="shared" si="1440"/>
        <v/>
      </c>
      <c r="V8801" t="str">
        <f t="shared" si="1441"/>
        <v/>
      </c>
      <c r="W8801" t="str">
        <f t="shared" si="1442"/>
        <v/>
      </c>
      <c r="X8801">
        <f t="shared" si="1432"/>
        <v>0</v>
      </c>
      <c r="Z8801" t="str">
        <f t="shared" si="1443"/>
        <v/>
      </c>
      <c r="AA8801">
        <f t="shared" si="1433"/>
        <v>0</v>
      </c>
    </row>
    <row r="8802" spans="1:27" ht="21" customHeight="1" x14ac:dyDescent="0.95">
      <c r="A8802" s="56"/>
      <c r="B8802" s="57"/>
      <c r="C8802" s="57"/>
      <c r="D8802" s="57"/>
      <c r="E8802" s="56"/>
      <c r="F8802" s="57"/>
      <c r="G8802" s="57"/>
      <c r="H8802" s="56"/>
      <c r="I8802" s="56"/>
      <c r="J8802" s="58"/>
      <c r="K8802" s="58"/>
      <c r="L8802" s="13" t="str">
        <f t="shared" si="1434"/>
        <v/>
      </c>
      <c r="M8802" s="13" t="str">
        <f t="shared" si="1435"/>
        <v/>
      </c>
      <c r="Q8802" t="str">
        <f t="shared" si="1436"/>
        <v/>
      </c>
      <c r="R8802" t="str">
        <f t="shared" si="1437"/>
        <v/>
      </c>
      <c r="S8802" t="str">
        <f t="shared" si="1438"/>
        <v/>
      </c>
      <c r="T8802" t="str">
        <f t="shared" si="1439"/>
        <v/>
      </c>
      <c r="U8802" t="str">
        <f t="shared" si="1440"/>
        <v/>
      </c>
      <c r="V8802" t="str">
        <f t="shared" si="1441"/>
        <v/>
      </c>
      <c r="W8802" t="str">
        <f t="shared" si="1442"/>
        <v/>
      </c>
      <c r="X8802">
        <f t="shared" si="1432"/>
        <v>0</v>
      </c>
      <c r="Z8802" t="str">
        <f t="shared" si="1443"/>
        <v/>
      </c>
      <c r="AA8802">
        <f t="shared" si="1433"/>
        <v>0</v>
      </c>
    </row>
    <row r="8803" spans="1:27" ht="21" customHeight="1" x14ac:dyDescent="0.95">
      <c r="A8803" s="56"/>
      <c r="B8803" s="57"/>
      <c r="C8803" s="57"/>
      <c r="D8803" s="57"/>
      <c r="E8803" s="56"/>
      <c r="F8803" s="57"/>
      <c r="G8803" s="57"/>
      <c r="H8803" s="56"/>
      <c r="I8803" s="56"/>
      <c r="J8803" s="58"/>
      <c r="K8803" s="58"/>
      <c r="L8803" s="13" t="str">
        <f t="shared" si="1434"/>
        <v/>
      </c>
      <c r="M8803" s="13" t="str">
        <f t="shared" si="1435"/>
        <v/>
      </c>
      <c r="Q8803" t="str">
        <f t="shared" si="1436"/>
        <v/>
      </c>
      <c r="R8803" t="str">
        <f t="shared" si="1437"/>
        <v/>
      </c>
      <c r="S8803" t="str">
        <f t="shared" si="1438"/>
        <v/>
      </c>
      <c r="T8803" t="str">
        <f t="shared" si="1439"/>
        <v/>
      </c>
      <c r="U8803" t="str">
        <f t="shared" si="1440"/>
        <v/>
      </c>
      <c r="V8803" t="str">
        <f t="shared" si="1441"/>
        <v/>
      </c>
      <c r="W8803" t="str">
        <f t="shared" si="1442"/>
        <v/>
      </c>
      <c r="X8803">
        <f t="shared" si="1432"/>
        <v>0</v>
      </c>
      <c r="Z8803" t="str">
        <f t="shared" si="1443"/>
        <v/>
      </c>
      <c r="AA8803">
        <f t="shared" si="1433"/>
        <v>0</v>
      </c>
    </row>
    <row r="8804" spans="1:27" ht="21" customHeight="1" x14ac:dyDescent="0.95">
      <c r="A8804" s="56"/>
      <c r="B8804" s="57"/>
      <c r="C8804" s="57"/>
      <c r="D8804" s="57"/>
      <c r="E8804" s="56"/>
      <c r="F8804" s="57"/>
      <c r="G8804" s="57"/>
      <c r="H8804" s="56"/>
      <c r="I8804" s="56"/>
      <c r="J8804" s="58"/>
      <c r="K8804" s="58"/>
      <c r="L8804" s="13" t="str">
        <f t="shared" si="1434"/>
        <v/>
      </c>
      <c r="M8804" s="13" t="str">
        <f t="shared" si="1435"/>
        <v/>
      </c>
      <c r="Q8804" t="str">
        <f t="shared" si="1436"/>
        <v/>
      </c>
      <c r="R8804" t="str">
        <f t="shared" si="1437"/>
        <v/>
      </c>
      <c r="S8804" t="str">
        <f t="shared" si="1438"/>
        <v/>
      </c>
      <c r="T8804" t="str">
        <f t="shared" si="1439"/>
        <v/>
      </c>
      <c r="U8804" t="str">
        <f t="shared" si="1440"/>
        <v/>
      </c>
      <c r="V8804" t="str">
        <f t="shared" si="1441"/>
        <v/>
      </c>
      <c r="W8804" t="str">
        <f t="shared" si="1442"/>
        <v/>
      </c>
      <c r="X8804">
        <f t="shared" si="1432"/>
        <v>0</v>
      </c>
      <c r="Z8804" t="str">
        <f t="shared" si="1443"/>
        <v/>
      </c>
      <c r="AA8804">
        <f t="shared" si="1433"/>
        <v>0</v>
      </c>
    </row>
    <row r="8805" spans="1:27" ht="21" customHeight="1" x14ac:dyDescent="0.95">
      <c r="A8805" s="56"/>
      <c r="B8805" s="57"/>
      <c r="C8805" s="57"/>
      <c r="D8805" s="57"/>
      <c r="E8805" s="56"/>
      <c r="F8805" s="57"/>
      <c r="G8805" s="57"/>
      <c r="H8805" s="56"/>
      <c r="I8805" s="56"/>
      <c r="J8805" s="58"/>
      <c r="K8805" s="58"/>
      <c r="L8805" s="13" t="str">
        <f t="shared" si="1434"/>
        <v/>
      </c>
      <c r="M8805" s="13" t="str">
        <f t="shared" si="1435"/>
        <v/>
      </c>
      <c r="Q8805" t="str">
        <f t="shared" si="1436"/>
        <v/>
      </c>
      <c r="R8805" t="str">
        <f t="shared" si="1437"/>
        <v/>
      </c>
      <c r="S8805" t="str">
        <f t="shared" si="1438"/>
        <v/>
      </c>
      <c r="T8805" t="str">
        <f t="shared" si="1439"/>
        <v/>
      </c>
      <c r="U8805" t="str">
        <f t="shared" si="1440"/>
        <v/>
      </c>
      <c r="V8805" t="str">
        <f t="shared" si="1441"/>
        <v/>
      </c>
      <c r="W8805" t="str">
        <f t="shared" si="1442"/>
        <v/>
      </c>
      <c r="X8805">
        <f t="shared" si="1432"/>
        <v>0</v>
      </c>
      <c r="Z8805" t="str">
        <f t="shared" si="1443"/>
        <v/>
      </c>
      <c r="AA8805">
        <f t="shared" si="1433"/>
        <v>0</v>
      </c>
    </row>
    <row r="8806" spans="1:27" ht="21" customHeight="1" x14ac:dyDescent="0.95">
      <c r="A8806" s="56"/>
      <c r="B8806" s="57"/>
      <c r="C8806" s="57"/>
      <c r="D8806" s="57"/>
      <c r="E8806" s="56"/>
      <c r="F8806" s="57"/>
      <c r="G8806" s="57"/>
      <c r="H8806" s="56"/>
      <c r="I8806" s="56"/>
      <c r="J8806" s="58"/>
      <c r="K8806" s="58"/>
      <c r="L8806" s="13" t="str">
        <f t="shared" si="1434"/>
        <v/>
      </c>
      <c r="M8806" s="13" t="str">
        <f t="shared" si="1435"/>
        <v/>
      </c>
      <c r="Q8806" t="str">
        <f t="shared" si="1436"/>
        <v/>
      </c>
      <c r="R8806" t="str">
        <f t="shared" si="1437"/>
        <v/>
      </c>
      <c r="S8806" t="str">
        <f t="shared" si="1438"/>
        <v/>
      </c>
      <c r="T8806" t="str">
        <f t="shared" si="1439"/>
        <v/>
      </c>
      <c r="U8806" t="str">
        <f t="shared" si="1440"/>
        <v/>
      </c>
      <c r="V8806" t="str">
        <f t="shared" si="1441"/>
        <v/>
      </c>
      <c r="W8806" t="str">
        <f t="shared" si="1442"/>
        <v/>
      </c>
      <c r="X8806">
        <f t="shared" si="1432"/>
        <v>0</v>
      </c>
      <c r="Z8806" t="str">
        <f t="shared" si="1443"/>
        <v/>
      </c>
      <c r="AA8806">
        <f t="shared" si="1433"/>
        <v>0</v>
      </c>
    </row>
    <row r="8807" spans="1:27" ht="21" customHeight="1" x14ac:dyDescent="0.95">
      <c r="A8807" s="56"/>
      <c r="B8807" s="57"/>
      <c r="C8807" s="57"/>
      <c r="D8807" s="57"/>
      <c r="E8807" s="56"/>
      <c r="F8807" s="57"/>
      <c r="G8807" s="57"/>
      <c r="H8807" s="56"/>
      <c r="I8807" s="56"/>
      <c r="J8807" s="58"/>
      <c r="K8807" s="58"/>
      <c r="L8807" s="13" t="str">
        <f t="shared" si="1434"/>
        <v/>
      </c>
      <c r="M8807" s="13" t="str">
        <f t="shared" si="1435"/>
        <v/>
      </c>
      <c r="Q8807" t="str">
        <f t="shared" si="1436"/>
        <v/>
      </c>
      <c r="R8807" t="str">
        <f t="shared" si="1437"/>
        <v/>
      </c>
      <c r="S8807" t="str">
        <f t="shared" si="1438"/>
        <v/>
      </c>
      <c r="T8807" t="str">
        <f t="shared" si="1439"/>
        <v/>
      </c>
      <c r="U8807" t="str">
        <f t="shared" si="1440"/>
        <v/>
      </c>
      <c r="V8807" t="str">
        <f t="shared" si="1441"/>
        <v/>
      </c>
      <c r="W8807" t="str">
        <f t="shared" si="1442"/>
        <v/>
      </c>
      <c r="X8807">
        <f t="shared" si="1432"/>
        <v>0</v>
      </c>
      <c r="Z8807" t="str">
        <f t="shared" si="1443"/>
        <v/>
      </c>
      <c r="AA8807">
        <f t="shared" si="1433"/>
        <v>0</v>
      </c>
    </row>
    <row r="8808" spans="1:27" ht="21" customHeight="1" x14ac:dyDescent="0.95">
      <c r="A8808" s="56"/>
      <c r="B8808" s="57"/>
      <c r="C8808" s="57"/>
      <c r="D8808" s="57"/>
      <c r="E8808" s="56"/>
      <c r="F8808" s="57"/>
      <c r="G8808" s="57"/>
      <c r="H8808" s="56"/>
      <c r="I8808" s="56"/>
      <c r="J8808" s="58"/>
      <c r="K8808" s="58"/>
      <c r="L8808" s="13" t="str">
        <f t="shared" si="1434"/>
        <v/>
      </c>
      <c r="M8808" s="13" t="str">
        <f t="shared" si="1435"/>
        <v/>
      </c>
      <c r="Q8808" t="str">
        <f t="shared" si="1436"/>
        <v/>
      </c>
      <c r="R8808" t="str">
        <f t="shared" si="1437"/>
        <v/>
      </c>
      <c r="S8808" t="str">
        <f t="shared" si="1438"/>
        <v/>
      </c>
      <c r="T8808" t="str">
        <f t="shared" si="1439"/>
        <v/>
      </c>
      <c r="U8808" t="str">
        <f t="shared" si="1440"/>
        <v/>
      </c>
      <c r="V8808" t="str">
        <f t="shared" si="1441"/>
        <v/>
      </c>
      <c r="W8808" t="str">
        <f t="shared" si="1442"/>
        <v/>
      </c>
      <c r="X8808">
        <f t="shared" si="1432"/>
        <v>0</v>
      </c>
      <c r="Z8808" t="str">
        <f t="shared" si="1443"/>
        <v/>
      </c>
      <c r="AA8808">
        <f t="shared" si="1433"/>
        <v>0</v>
      </c>
    </row>
    <row r="8809" spans="1:27" ht="21" customHeight="1" x14ac:dyDescent="0.95">
      <c r="A8809" s="56"/>
      <c r="B8809" s="57"/>
      <c r="C8809" s="57"/>
      <c r="D8809" s="57"/>
      <c r="E8809" s="56"/>
      <c r="F8809" s="57"/>
      <c r="G8809" s="57"/>
      <c r="H8809" s="56"/>
      <c r="I8809" s="56"/>
      <c r="J8809" s="58"/>
      <c r="K8809" s="58"/>
      <c r="L8809" s="13" t="str">
        <f t="shared" si="1434"/>
        <v/>
      </c>
      <c r="M8809" s="13" t="str">
        <f t="shared" si="1435"/>
        <v/>
      </c>
      <c r="Q8809" t="str">
        <f t="shared" si="1436"/>
        <v/>
      </c>
      <c r="R8809" t="str">
        <f t="shared" si="1437"/>
        <v/>
      </c>
      <c r="S8809" t="str">
        <f t="shared" si="1438"/>
        <v/>
      </c>
      <c r="T8809" t="str">
        <f t="shared" si="1439"/>
        <v/>
      </c>
      <c r="U8809" t="str">
        <f t="shared" si="1440"/>
        <v/>
      </c>
      <c r="V8809" t="str">
        <f t="shared" si="1441"/>
        <v/>
      </c>
      <c r="W8809" t="str">
        <f t="shared" si="1442"/>
        <v/>
      </c>
      <c r="X8809">
        <f t="shared" si="1432"/>
        <v>0</v>
      </c>
      <c r="Z8809" t="str">
        <f t="shared" si="1443"/>
        <v/>
      </c>
      <c r="AA8809">
        <f t="shared" si="1433"/>
        <v>0</v>
      </c>
    </row>
    <row r="8810" spans="1:27" ht="21" customHeight="1" x14ac:dyDescent="0.95">
      <c r="A8810" s="56"/>
      <c r="B8810" s="57"/>
      <c r="C8810" s="57"/>
      <c r="D8810" s="57"/>
      <c r="E8810" s="56"/>
      <c r="F8810" s="57"/>
      <c r="G8810" s="57"/>
      <c r="H8810" s="56"/>
      <c r="I8810" s="56"/>
      <c r="J8810" s="58"/>
      <c r="K8810" s="58"/>
      <c r="L8810" s="13" t="str">
        <f t="shared" si="1434"/>
        <v/>
      </c>
      <c r="M8810" s="13" t="str">
        <f t="shared" si="1435"/>
        <v/>
      </c>
      <c r="Q8810" t="str">
        <f t="shared" si="1436"/>
        <v/>
      </c>
      <c r="R8810" t="str">
        <f t="shared" si="1437"/>
        <v/>
      </c>
      <c r="S8810" t="str">
        <f t="shared" si="1438"/>
        <v/>
      </c>
      <c r="T8810" t="str">
        <f t="shared" si="1439"/>
        <v/>
      </c>
      <c r="U8810" t="str">
        <f t="shared" si="1440"/>
        <v/>
      </c>
      <c r="V8810" t="str">
        <f t="shared" si="1441"/>
        <v/>
      </c>
      <c r="W8810" t="str">
        <f t="shared" si="1442"/>
        <v/>
      </c>
      <c r="X8810">
        <f t="shared" si="1432"/>
        <v>0</v>
      </c>
      <c r="Z8810" t="str">
        <f t="shared" si="1443"/>
        <v/>
      </c>
      <c r="AA8810">
        <f t="shared" si="1433"/>
        <v>0</v>
      </c>
    </row>
    <row r="8811" spans="1:27" ht="21" customHeight="1" x14ac:dyDescent="0.95">
      <c r="A8811" s="56"/>
      <c r="B8811" s="57"/>
      <c r="C8811" s="57"/>
      <c r="D8811" s="57"/>
      <c r="E8811" s="56"/>
      <c r="F8811" s="57"/>
      <c r="G8811" s="57"/>
      <c r="H8811" s="56"/>
      <c r="I8811" s="56"/>
      <c r="J8811" s="58"/>
      <c r="K8811" s="58"/>
      <c r="L8811" s="13" t="str">
        <f t="shared" si="1434"/>
        <v/>
      </c>
      <c r="M8811" s="13" t="str">
        <f t="shared" si="1435"/>
        <v/>
      </c>
      <c r="Q8811" t="str">
        <f t="shared" si="1436"/>
        <v/>
      </c>
      <c r="R8811" t="str">
        <f t="shared" si="1437"/>
        <v/>
      </c>
      <c r="S8811" t="str">
        <f t="shared" si="1438"/>
        <v/>
      </c>
      <c r="T8811" t="str">
        <f t="shared" si="1439"/>
        <v/>
      </c>
      <c r="U8811" t="str">
        <f t="shared" si="1440"/>
        <v/>
      </c>
      <c r="V8811" t="str">
        <f t="shared" si="1441"/>
        <v/>
      </c>
      <c r="W8811" t="str">
        <f t="shared" si="1442"/>
        <v/>
      </c>
      <c r="X8811">
        <f t="shared" si="1432"/>
        <v>0</v>
      </c>
      <c r="Z8811" t="str">
        <f t="shared" si="1443"/>
        <v/>
      </c>
      <c r="AA8811">
        <f t="shared" si="1433"/>
        <v>0</v>
      </c>
    </row>
    <row r="8812" spans="1:27" ht="21" customHeight="1" x14ac:dyDescent="0.95">
      <c r="A8812" s="56"/>
      <c r="B8812" s="57"/>
      <c r="C8812" s="57"/>
      <c r="D8812" s="57"/>
      <c r="E8812" s="56"/>
      <c r="F8812" s="57"/>
      <c r="G8812" s="57"/>
      <c r="H8812" s="56"/>
      <c r="I8812" s="56"/>
      <c r="J8812" s="58"/>
      <c r="K8812" s="58"/>
      <c r="L8812" s="13" t="str">
        <f t="shared" si="1434"/>
        <v/>
      </c>
      <c r="M8812" s="13" t="str">
        <f t="shared" si="1435"/>
        <v/>
      </c>
      <c r="Q8812" t="str">
        <f t="shared" si="1436"/>
        <v/>
      </c>
      <c r="R8812" t="str">
        <f t="shared" si="1437"/>
        <v/>
      </c>
      <c r="S8812" t="str">
        <f t="shared" si="1438"/>
        <v/>
      </c>
      <c r="T8812" t="str">
        <f t="shared" si="1439"/>
        <v/>
      </c>
      <c r="U8812" t="str">
        <f t="shared" si="1440"/>
        <v/>
      </c>
      <c r="V8812" t="str">
        <f t="shared" si="1441"/>
        <v/>
      </c>
      <c r="W8812" t="str">
        <f t="shared" si="1442"/>
        <v/>
      </c>
      <c r="X8812">
        <f t="shared" si="1432"/>
        <v>0</v>
      </c>
      <c r="Z8812" t="str">
        <f t="shared" si="1443"/>
        <v/>
      </c>
      <c r="AA8812">
        <f t="shared" si="1433"/>
        <v>0</v>
      </c>
    </row>
    <row r="8813" spans="1:27" ht="21" customHeight="1" x14ac:dyDescent="0.95">
      <c r="A8813" s="56"/>
      <c r="B8813" s="57"/>
      <c r="C8813" s="57"/>
      <c r="D8813" s="57"/>
      <c r="E8813" s="56"/>
      <c r="F8813" s="57"/>
      <c r="G8813" s="57"/>
      <c r="H8813" s="56"/>
      <c r="I8813" s="56"/>
      <c r="J8813" s="58"/>
      <c r="K8813" s="58"/>
      <c r="L8813" s="13" t="str">
        <f t="shared" si="1434"/>
        <v/>
      </c>
      <c r="M8813" s="13" t="str">
        <f t="shared" si="1435"/>
        <v/>
      </c>
      <c r="Q8813" t="str">
        <f t="shared" si="1436"/>
        <v/>
      </c>
      <c r="R8813" t="str">
        <f t="shared" si="1437"/>
        <v/>
      </c>
      <c r="S8813" t="str">
        <f t="shared" si="1438"/>
        <v/>
      </c>
      <c r="T8813" t="str">
        <f t="shared" si="1439"/>
        <v/>
      </c>
      <c r="U8813" t="str">
        <f t="shared" si="1440"/>
        <v/>
      </c>
      <c r="V8813" t="str">
        <f t="shared" si="1441"/>
        <v/>
      </c>
      <c r="W8813" t="str">
        <f t="shared" si="1442"/>
        <v/>
      </c>
      <c r="X8813">
        <f t="shared" si="1432"/>
        <v>0</v>
      </c>
      <c r="Z8813" t="str">
        <f t="shared" si="1443"/>
        <v/>
      </c>
      <c r="AA8813">
        <f t="shared" si="1433"/>
        <v>0</v>
      </c>
    </row>
    <row r="8814" spans="1:27" ht="21" customHeight="1" x14ac:dyDescent="0.95">
      <c r="A8814" s="56"/>
      <c r="B8814" s="57"/>
      <c r="C8814" s="57"/>
      <c r="D8814" s="57"/>
      <c r="E8814" s="56"/>
      <c r="F8814" s="57"/>
      <c r="G8814" s="57"/>
      <c r="H8814" s="56"/>
      <c r="I8814" s="56"/>
      <c r="J8814" s="58"/>
      <c r="K8814" s="58"/>
      <c r="L8814" s="13" t="str">
        <f t="shared" si="1434"/>
        <v/>
      </c>
      <c r="M8814" s="13" t="str">
        <f t="shared" si="1435"/>
        <v/>
      </c>
      <c r="Q8814" t="str">
        <f t="shared" si="1436"/>
        <v/>
      </c>
      <c r="R8814" t="str">
        <f t="shared" si="1437"/>
        <v/>
      </c>
      <c r="S8814" t="str">
        <f t="shared" si="1438"/>
        <v/>
      </c>
      <c r="T8814" t="str">
        <f t="shared" si="1439"/>
        <v/>
      </c>
      <c r="U8814" t="str">
        <f t="shared" si="1440"/>
        <v/>
      </c>
      <c r="V8814" t="str">
        <f t="shared" si="1441"/>
        <v/>
      </c>
      <c r="W8814" t="str">
        <f t="shared" si="1442"/>
        <v/>
      </c>
      <c r="X8814">
        <f t="shared" si="1432"/>
        <v>0</v>
      </c>
      <c r="Z8814" t="str">
        <f t="shared" si="1443"/>
        <v/>
      </c>
      <c r="AA8814">
        <f t="shared" si="1433"/>
        <v>0</v>
      </c>
    </row>
    <row r="8815" spans="1:27" ht="21" customHeight="1" x14ac:dyDescent="0.95">
      <c r="A8815" s="56"/>
      <c r="B8815" s="57"/>
      <c r="C8815" s="57"/>
      <c r="D8815" s="57"/>
      <c r="E8815" s="56"/>
      <c r="F8815" s="57"/>
      <c r="G8815" s="57"/>
      <c r="H8815" s="56"/>
      <c r="I8815" s="56"/>
      <c r="J8815" s="58"/>
      <c r="K8815" s="58"/>
      <c r="L8815" s="13" t="str">
        <f t="shared" si="1434"/>
        <v/>
      </c>
      <c r="M8815" s="13" t="str">
        <f t="shared" si="1435"/>
        <v/>
      </c>
      <c r="Q8815" t="str">
        <f t="shared" si="1436"/>
        <v/>
      </c>
      <c r="R8815" t="str">
        <f t="shared" si="1437"/>
        <v/>
      </c>
      <c r="S8815" t="str">
        <f t="shared" si="1438"/>
        <v/>
      </c>
      <c r="T8815" t="str">
        <f t="shared" si="1439"/>
        <v/>
      </c>
      <c r="U8815" t="str">
        <f t="shared" si="1440"/>
        <v/>
      </c>
      <c r="V8815" t="str">
        <f t="shared" si="1441"/>
        <v/>
      </c>
      <c r="W8815" t="str">
        <f t="shared" si="1442"/>
        <v/>
      </c>
      <c r="X8815">
        <f t="shared" si="1432"/>
        <v>0</v>
      </c>
      <c r="Z8815" t="str">
        <f t="shared" si="1443"/>
        <v/>
      </c>
      <c r="AA8815">
        <f t="shared" si="1433"/>
        <v>0</v>
      </c>
    </row>
    <row r="8816" spans="1:27" ht="21" customHeight="1" x14ac:dyDescent="0.95">
      <c r="A8816" s="56"/>
      <c r="B8816" s="57"/>
      <c r="C8816" s="57"/>
      <c r="D8816" s="57"/>
      <c r="E8816" s="56"/>
      <c r="F8816" s="57"/>
      <c r="G8816" s="57"/>
      <c r="H8816" s="56"/>
      <c r="I8816" s="56"/>
      <c r="J8816" s="58"/>
      <c r="K8816" s="58"/>
      <c r="L8816" s="13" t="str">
        <f t="shared" si="1434"/>
        <v/>
      </c>
      <c r="M8816" s="13" t="str">
        <f t="shared" si="1435"/>
        <v/>
      </c>
      <c r="Q8816" t="str">
        <f t="shared" si="1436"/>
        <v/>
      </c>
      <c r="R8816" t="str">
        <f t="shared" si="1437"/>
        <v/>
      </c>
      <c r="S8816" t="str">
        <f t="shared" si="1438"/>
        <v/>
      </c>
      <c r="T8816" t="str">
        <f t="shared" si="1439"/>
        <v/>
      </c>
      <c r="U8816" t="str">
        <f t="shared" si="1440"/>
        <v/>
      </c>
      <c r="V8816" t="str">
        <f t="shared" si="1441"/>
        <v/>
      </c>
      <c r="W8816" t="str">
        <f t="shared" si="1442"/>
        <v/>
      </c>
      <c r="X8816">
        <f t="shared" si="1432"/>
        <v>0</v>
      </c>
      <c r="Z8816" t="str">
        <f t="shared" si="1443"/>
        <v/>
      </c>
      <c r="AA8816">
        <f t="shared" si="1433"/>
        <v>0</v>
      </c>
    </row>
    <row r="8817" spans="1:27" ht="21" customHeight="1" x14ac:dyDescent="0.95">
      <c r="A8817" s="56"/>
      <c r="B8817" s="57"/>
      <c r="C8817" s="57"/>
      <c r="D8817" s="57"/>
      <c r="E8817" s="56"/>
      <c r="F8817" s="57"/>
      <c r="G8817" s="57"/>
      <c r="H8817" s="56"/>
      <c r="I8817" s="56"/>
      <c r="J8817" s="58"/>
      <c r="K8817" s="58"/>
      <c r="L8817" s="13" t="str">
        <f t="shared" si="1434"/>
        <v/>
      </c>
      <c r="M8817" s="13" t="str">
        <f t="shared" si="1435"/>
        <v/>
      </c>
      <c r="Q8817" t="str">
        <f t="shared" si="1436"/>
        <v/>
      </c>
      <c r="R8817" t="str">
        <f t="shared" si="1437"/>
        <v/>
      </c>
      <c r="S8817" t="str">
        <f t="shared" si="1438"/>
        <v/>
      </c>
      <c r="T8817" t="str">
        <f t="shared" si="1439"/>
        <v/>
      </c>
      <c r="U8817" t="str">
        <f t="shared" si="1440"/>
        <v/>
      </c>
      <c r="V8817" t="str">
        <f t="shared" si="1441"/>
        <v/>
      </c>
      <c r="W8817" t="str">
        <f t="shared" si="1442"/>
        <v/>
      </c>
      <c r="X8817">
        <f t="shared" si="1432"/>
        <v>0</v>
      </c>
      <c r="Z8817" t="str">
        <f t="shared" si="1443"/>
        <v/>
      </c>
      <c r="AA8817">
        <f t="shared" si="1433"/>
        <v>0</v>
      </c>
    </row>
    <row r="8818" spans="1:27" ht="21" customHeight="1" x14ac:dyDescent="0.95">
      <c r="A8818" s="56"/>
      <c r="B8818" s="57"/>
      <c r="C8818" s="57"/>
      <c r="D8818" s="57"/>
      <c r="E8818" s="56"/>
      <c r="F8818" s="57"/>
      <c r="G8818" s="57"/>
      <c r="H8818" s="56"/>
      <c r="I8818" s="56"/>
      <c r="J8818" s="58"/>
      <c r="K8818" s="58"/>
      <c r="L8818" s="13" t="str">
        <f t="shared" si="1434"/>
        <v/>
      </c>
      <c r="M8818" s="13" t="str">
        <f t="shared" si="1435"/>
        <v/>
      </c>
      <c r="Q8818" t="str">
        <f t="shared" si="1436"/>
        <v/>
      </c>
      <c r="R8818" t="str">
        <f t="shared" si="1437"/>
        <v/>
      </c>
      <c r="S8818" t="str">
        <f t="shared" si="1438"/>
        <v/>
      </c>
      <c r="T8818" t="str">
        <f t="shared" si="1439"/>
        <v/>
      </c>
      <c r="U8818" t="str">
        <f t="shared" si="1440"/>
        <v/>
      </c>
      <c r="V8818" t="str">
        <f t="shared" si="1441"/>
        <v/>
      </c>
      <c r="W8818" t="str">
        <f t="shared" si="1442"/>
        <v/>
      </c>
      <c r="X8818">
        <f t="shared" si="1432"/>
        <v>0</v>
      </c>
      <c r="Z8818" t="str">
        <f t="shared" si="1443"/>
        <v/>
      </c>
      <c r="AA8818">
        <f t="shared" si="1433"/>
        <v>0</v>
      </c>
    </row>
    <row r="8819" spans="1:27" ht="21" customHeight="1" x14ac:dyDescent="0.95">
      <c r="A8819" s="56"/>
      <c r="B8819" s="57"/>
      <c r="C8819" s="57"/>
      <c r="D8819" s="57"/>
      <c r="E8819" s="56"/>
      <c r="F8819" s="57"/>
      <c r="G8819" s="57"/>
      <c r="H8819" s="56"/>
      <c r="I8819" s="56"/>
      <c r="J8819" s="58"/>
      <c r="K8819" s="58"/>
      <c r="L8819" s="13" t="str">
        <f t="shared" si="1434"/>
        <v/>
      </c>
      <c r="M8819" s="13" t="str">
        <f t="shared" si="1435"/>
        <v/>
      </c>
      <c r="Q8819" t="str">
        <f t="shared" si="1436"/>
        <v/>
      </c>
      <c r="R8819" t="str">
        <f t="shared" si="1437"/>
        <v/>
      </c>
      <c r="S8819" t="str">
        <f t="shared" si="1438"/>
        <v/>
      </c>
      <c r="T8819" t="str">
        <f t="shared" si="1439"/>
        <v/>
      </c>
      <c r="U8819" t="str">
        <f t="shared" si="1440"/>
        <v/>
      </c>
      <c r="V8819" t="str">
        <f t="shared" si="1441"/>
        <v/>
      </c>
      <c r="W8819" t="str">
        <f t="shared" si="1442"/>
        <v/>
      </c>
      <c r="X8819">
        <f t="shared" si="1432"/>
        <v>0</v>
      </c>
      <c r="Z8819" t="str">
        <f t="shared" si="1443"/>
        <v/>
      </c>
      <c r="AA8819">
        <f t="shared" si="1433"/>
        <v>0</v>
      </c>
    </row>
    <row r="8820" spans="1:27" ht="21" customHeight="1" x14ac:dyDescent="0.95">
      <c r="A8820" s="56"/>
      <c r="B8820" s="57"/>
      <c r="C8820" s="57"/>
      <c r="D8820" s="57"/>
      <c r="E8820" s="56"/>
      <c r="F8820" s="57"/>
      <c r="G8820" s="57"/>
      <c r="H8820" s="56"/>
      <c r="I8820" s="56"/>
      <c r="J8820" s="58"/>
      <c r="K8820" s="58"/>
      <c r="L8820" s="13" t="str">
        <f t="shared" si="1434"/>
        <v/>
      </c>
      <c r="M8820" s="13" t="str">
        <f t="shared" si="1435"/>
        <v/>
      </c>
      <c r="Q8820" t="str">
        <f t="shared" si="1436"/>
        <v/>
      </c>
      <c r="R8820" t="str">
        <f t="shared" si="1437"/>
        <v/>
      </c>
      <c r="S8820" t="str">
        <f t="shared" si="1438"/>
        <v/>
      </c>
      <c r="T8820" t="str">
        <f t="shared" si="1439"/>
        <v/>
      </c>
      <c r="U8820" t="str">
        <f t="shared" si="1440"/>
        <v/>
      </c>
      <c r="V8820" t="str">
        <f t="shared" si="1441"/>
        <v/>
      </c>
      <c r="W8820" t="str">
        <f t="shared" si="1442"/>
        <v/>
      </c>
      <c r="X8820">
        <f t="shared" si="1432"/>
        <v>0</v>
      </c>
      <c r="Z8820" t="str">
        <f t="shared" si="1443"/>
        <v/>
      </c>
      <c r="AA8820">
        <f t="shared" si="1433"/>
        <v>0</v>
      </c>
    </row>
    <row r="8821" spans="1:27" ht="21" customHeight="1" x14ac:dyDescent="0.95">
      <c r="A8821" s="56"/>
      <c r="B8821" s="57"/>
      <c r="C8821" s="57"/>
      <c r="D8821" s="57"/>
      <c r="E8821" s="56"/>
      <c r="F8821" s="57"/>
      <c r="G8821" s="57"/>
      <c r="H8821" s="56"/>
      <c r="I8821" s="56"/>
      <c r="J8821" s="58"/>
      <c r="K8821" s="58"/>
      <c r="L8821" s="13" t="str">
        <f t="shared" si="1434"/>
        <v/>
      </c>
      <c r="M8821" s="13" t="str">
        <f t="shared" si="1435"/>
        <v/>
      </c>
      <c r="Q8821" t="str">
        <f t="shared" si="1436"/>
        <v/>
      </c>
      <c r="R8821" t="str">
        <f t="shared" si="1437"/>
        <v/>
      </c>
      <c r="S8821" t="str">
        <f t="shared" si="1438"/>
        <v/>
      </c>
      <c r="T8821" t="str">
        <f t="shared" si="1439"/>
        <v/>
      </c>
      <c r="U8821" t="str">
        <f t="shared" si="1440"/>
        <v/>
      </c>
      <c r="V8821" t="str">
        <f t="shared" si="1441"/>
        <v/>
      </c>
      <c r="W8821" t="str">
        <f t="shared" si="1442"/>
        <v/>
      </c>
      <c r="X8821">
        <f t="shared" ref="X8821:X8884" si="1444">IF($T8821="",N($X8820),IF(MATCH($T8821,$T$6:$T$10005,0)=ROW()-5,N($X8820)+1,N($X8820)))</f>
        <v>0</v>
      </c>
      <c r="Z8821" t="str">
        <f t="shared" si="1443"/>
        <v/>
      </c>
      <c r="AA8821">
        <f t="shared" ref="AA8821:AA8884" si="1445">IF($V8821="",N($AA8820),IF(MATCH($V8821,$V$6:$V$10005,0)=ROW()-5,N($AA8820)+1,N($AA8820)))</f>
        <v>0</v>
      </c>
    </row>
    <row r="8822" spans="1:27" ht="21" customHeight="1" x14ac:dyDescent="0.95">
      <c r="A8822" s="56"/>
      <c r="B8822" s="57"/>
      <c r="C8822" s="57"/>
      <c r="D8822" s="57"/>
      <c r="E8822" s="56"/>
      <c r="F8822" s="57"/>
      <c r="G8822" s="57"/>
      <c r="H8822" s="56"/>
      <c r="I8822" s="56"/>
      <c r="J8822" s="58"/>
      <c r="K8822" s="58"/>
      <c r="L8822" s="13" t="str">
        <f t="shared" si="1434"/>
        <v/>
      </c>
      <c r="M8822" s="13" t="str">
        <f t="shared" si="1435"/>
        <v/>
      </c>
      <c r="Q8822" t="str">
        <f t="shared" si="1436"/>
        <v/>
      </c>
      <c r="R8822" t="str">
        <f t="shared" si="1437"/>
        <v/>
      </c>
      <c r="S8822" t="str">
        <f t="shared" si="1438"/>
        <v/>
      </c>
      <c r="T8822" t="str">
        <f t="shared" si="1439"/>
        <v/>
      </c>
      <c r="U8822" t="str">
        <f t="shared" si="1440"/>
        <v/>
      </c>
      <c r="V8822" t="str">
        <f t="shared" si="1441"/>
        <v/>
      </c>
      <c r="W8822" t="str">
        <f t="shared" si="1442"/>
        <v/>
      </c>
      <c r="X8822">
        <f t="shared" si="1444"/>
        <v>0</v>
      </c>
      <c r="Z8822" t="str">
        <f t="shared" si="1443"/>
        <v/>
      </c>
      <c r="AA8822">
        <f t="shared" si="1445"/>
        <v>0</v>
      </c>
    </row>
    <row r="8823" spans="1:27" ht="21" customHeight="1" x14ac:dyDescent="0.95">
      <c r="A8823" s="56"/>
      <c r="B8823" s="57"/>
      <c r="C8823" s="57"/>
      <c r="D8823" s="57"/>
      <c r="E8823" s="56"/>
      <c r="F8823" s="57"/>
      <c r="G8823" s="57"/>
      <c r="H8823" s="56"/>
      <c r="I8823" s="56"/>
      <c r="J8823" s="58"/>
      <c r="K8823" s="58"/>
      <c r="L8823" s="13" t="str">
        <f t="shared" si="1434"/>
        <v/>
      </c>
      <c r="M8823" s="13" t="str">
        <f t="shared" si="1435"/>
        <v/>
      </c>
      <c r="Q8823" t="str">
        <f t="shared" si="1436"/>
        <v/>
      </c>
      <c r="R8823" t="str">
        <f t="shared" si="1437"/>
        <v/>
      </c>
      <c r="S8823" t="str">
        <f t="shared" si="1438"/>
        <v/>
      </c>
      <c r="T8823" t="str">
        <f t="shared" si="1439"/>
        <v/>
      </c>
      <c r="U8823" t="str">
        <f t="shared" si="1440"/>
        <v/>
      </c>
      <c r="V8823" t="str">
        <f t="shared" si="1441"/>
        <v/>
      </c>
      <c r="W8823" t="str">
        <f t="shared" si="1442"/>
        <v/>
      </c>
      <c r="X8823">
        <f t="shared" si="1444"/>
        <v>0</v>
      </c>
      <c r="Z8823" t="str">
        <f t="shared" si="1443"/>
        <v/>
      </c>
      <c r="AA8823">
        <f t="shared" si="1445"/>
        <v>0</v>
      </c>
    </row>
    <row r="8824" spans="1:27" ht="21" customHeight="1" x14ac:dyDescent="0.95">
      <c r="A8824" s="56"/>
      <c r="B8824" s="57"/>
      <c r="C8824" s="57"/>
      <c r="D8824" s="57"/>
      <c r="E8824" s="56"/>
      <c r="F8824" s="57"/>
      <c r="G8824" s="57"/>
      <c r="H8824" s="56"/>
      <c r="I8824" s="56"/>
      <c r="J8824" s="58"/>
      <c r="K8824" s="58"/>
      <c r="L8824" s="13" t="str">
        <f t="shared" si="1434"/>
        <v/>
      </c>
      <c r="M8824" s="13" t="str">
        <f t="shared" si="1435"/>
        <v/>
      </c>
      <c r="Q8824" t="str">
        <f t="shared" si="1436"/>
        <v/>
      </c>
      <c r="R8824" t="str">
        <f t="shared" si="1437"/>
        <v/>
      </c>
      <c r="S8824" t="str">
        <f t="shared" si="1438"/>
        <v/>
      </c>
      <c r="T8824" t="str">
        <f t="shared" si="1439"/>
        <v/>
      </c>
      <c r="U8824" t="str">
        <f t="shared" si="1440"/>
        <v/>
      </c>
      <c r="V8824" t="str">
        <f t="shared" si="1441"/>
        <v/>
      </c>
      <c r="W8824" t="str">
        <f t="shared" si="1442"/>
        <v/>
      </c>
      <c r="X8824">
        <f t="shared" si="1444"/>
        <v>0</v>
      </c>
      <c r="Z8824" t="str">
        <f t="shared" si="1443"/>
        <v/>
      </c>
      <c r="AA8824">
        <f t="shared" si="1445"/>
        <v>0</v>
      </c>
    </row>
    <row r="8825" spans="1:27" ht="21" customHeight="1" x14ac:dyDescent="0.95">
      <c r="A8825" s="56"/>
      <c r="B8825" s="57"/>
      <c r="C8825" s="57"/>
      <c r="D8825" s="57"/>
      <c r="E8825" s="56"/>
      <c r="F8825" s="57"/>
      <c r="G8825" s="57"/>
      <c r="H8825" s="56"/>
      <c r="I8825" s="56"/>
      <c r="J8825" s="58"/>
      <c r="K8825" s="58"/>
      <c r="L8825" s="13" t="str">
        <f t="shared" si="1434"/>
        <v/>
      </c>
      <c r="M8825" s="13" t="str">
        <f t="shared" si="1435"/>
        <v/>
      </c>
      <c r="Q8825" t="str">
        <f t="shared" si="1436"/>
        <v/>
      </c>
      <c r="R8825" t="str">
        <f t="shared" si="1437"/>
        <v/>
      </c>
      <c r="S8825" t="str">
        <f t="shared" si="1438"/>
        <v/>
      </c>
      <c r="T8825" t="str">
        <f t="shared" si="1439"/>
        <v/>
      </c>
      <c r="U8825" t="str">
        <f t="shared" si="1440"/>
        <v/>
      </c>
      <c r="V8825" t="str">
        <f t="shared" si="1441"/>
        <v/>
      </c>
      <c r="W8825" t="str">
        <f t="shared" si="1442"/>
        <v/>
      </c>
      <c r="X8825">
        <f t="shared" si="1444"/>
        <v>0</v>
      </c>
      <c r="Z8825" t="str">
        <f t="shared" si="1443"/>
        <v/>
      </c>
      <c r="AA8825">
        <f t="shared" si="1445"/>
        <v>0</v>
      </c>
    </row>
    <row r="8826" spans="1:27" ht="21" customHeight="1" x14ac:dyDescent="0.95">
      <c r="A8826" s="56"/>
      <c r="B8826" s="57"/>
      <c r="C8826" s="57"/>
      <c r="D8826" s="57"/>
      <c r="E8826" s="56"/>
      <c r="F8826" s="57"/>
      <c r="G8826" s="57"/>
      <c r="H8826" s="56"/>
      <c r="I8826" s="56"/>
      <c r="J8826" s="58"/>
      <c r="K8826" s="58"/>
      <c r="L8826" s="13" t="str">
        <f t="shared" si="1434"/>
        <v/>
      </c>
      <c r="M8826" s="13" t="str">
        <f t="shared" si="1435"/>
        <v/>
      </c>
      <c r="Q8826" t="str">
        <f t="shared" si="1436"/>
        <v/>
      </c>
      <c r="R8826" t="str">
        <f t="shared" si="1437"/>
        <v/>
      </c>
      <c r="S8826" t="str">
        <f t="shared" si="1438"/>
        <v/>
      </c>
      <c r="T8826" t="str">
        <f t="shared" si="1439"/>
        <v/>
      </c>
      <c r="U8826" t="str">
        <f t="shared" si="1440"/>
        <v/>
      </c>
      <c r="V8826" t="str">
        <f t="shared" si="1441"/>
        <v/>
      </c>
      <c r="W8826" t="str">
        <f t="shared" si="1442"/>
        <v/>
      </c>
      <c r="X8826">
        <f t="shared" si="1444"/>
        <v>0</v>
      </c>
      <c r="Z8826" t="str">
        <f t="shared" si="1443"/>
        <v/>
      </c>
      <c r="AA8826">
        <f t="shared" si="1445"/>
        <v>0</v>
      </c>
    </row>
    <row r="8827" spans="1:27" ht="21" customHeight="1" x14ac:dyDescent="0.95">
      <c r="A8827" s="56"/>
      <c r="B8827" s="57"/>
      <c r="C8827" s="57"/>
      <c r="D8827" s="57"/>
      <c r="E8827" s="56"/>
      <c r="F8827" s="57"/>
      <c r="G8827" s="57"/>
      <c r="H8827" s="56"/>
      <c r="I8827" s="56"/>
      <c r="J8827" s="58"/>
      <c r="K8827" s="58"/>
      <c r="L8827" s="13" t="str">
        <f t="shared" si="1434"/>
        <v/>
      </c>
      <c r="M8827" s="13" t="str">
        <f t="shared" si="1435"/>
        <v/>
      </c>
      <c r="Q8827" t="str">
        <f t="shared" si="1436"/>
        <v/>
      </c>
      <c r="R8827" t="str">
        <f t="shared" si="1437"/>
        <v/>
      </c>
      <c r="S8827" t="str">
        <f t="shared" si="1438"/>
        <v/>
      </c>
      <c r="T8827" t="str">
        <f t="shared" si="1439"/>
        <v/>
      </c>
      <c r="U8827" t="str">
        <f t="shared" si="1440"/>
        <v/>
      </c>
      <c r="V8827" t="str">
        <f t="shared" si="1441"/>
        <v/>
      </c>
      <c r="W8827" t="str">
        <f t="shared" si="1442"/>
        <v/>
      </c>
      <c r="X8827">
        <f t="shared" si="1444"/>
        <v>0</v>
      </c>
      <c r="Z8827" t="str">
        <f t="shared" si="1443"/>
        <v/>
      </c>
      <c r="AA8827">
        <f t="shared" si="1445"/>
        <v>0</v>
      </c>
    </row>
    <row r="8828" spans="1:27" ht="21" customHeight="1" x14ac:dyDescent="0.95">
      <c r="A8828" s="56"/>
      <c r="B8828" s="57"/>
      <c r="C8828" s="57"/>
      <c r="D8828" s="57"/>
      <c r="E8828" s="56"/>
      <c r="F8828" s="57"/>
      <c r="G8828" s="57"/>
      <c r="H8828" s="56"/>
      <c r="I8828" s="56"/>
      <c r="J8828" s="58"/>
      <c r="K8828" s="58"/>
      <c r="L8828" s="13" t="str">
        <f t="shared" si="1434"/>
        <v/>
      </c>
      <c r="M8828" s="13" t="str">
        <f t="shared" si="1435"/>
        <v/>
      </c>
      <c r="Q8828" t="str">
        <f t="shared" si="1436"/>
        <v/>
      </c>
      <c r="R8828" t="str">
        <f t="shared" si="1437"/>
        <v/>
      </c>
      <c r="S8828" t="str">
        <f t="shared" si="1438"/>
        <v/>
      </c>
      <c r="T8828" t="str">
        <f t="shared" si="1439"/>
        <v/>
      </c>
      <c r="U8828" t="str">
        <f t="shared" si="1440"/>
        <v/>
      </c>
      <c r="V8828" t="str">
        <f t="shared" si="1441"/>
        <v/>
      </c>
      <c r="W8828" t="str">
        <f t="shared" si="1442"/>
        <v/>
      </c>
      <c r="X8828">
        <f t="shared" si="1444"/>
        <v>0</v>
      </c>
      <c r="Z8828" t="str">
        <f t="shared" si="1443"/>
        <v/>
      </c>
      <c r="AA8828">
        <f t="shared" si="1445"/>
        <v>0</v>
      </c>
    </row>
    <row r="8829" spans="1:27" ht="21" customHeight="1" x14ac:dyDescent="0.95">
      <c r="A8829" s="56"/>
      <c r="B8829" s="57"/>
      <c r="C8829" s="57"/>
      <c r="D8829" s="57"/>
      <c r="E8829" s="56"/>
      <c r="F8829" s="57"/>
      <c r="G8829" s="57"/>
      <c r="H8829" s="56"/>
      <c r="I8829" s="56"/>
      <c r="J8829" s="58"/>
      <c r="K8829" s="58"/>
      <c r="L8829" s="13" t="str">
        <f t="shared" si="1434"/>
        <v/>
      </c>
      <c r="M8829" s="13" t="str">
        <f t="shared" si="1435"/>
        <v/>
      </c>
      <c r="Q8829" t="str">
        <f t="shared" si="1436"/>
        <v/>
      </c>
      <c r="R8829" t="str">
        <f t="shared" si="1437"/>
        <v/>
      </c>
      <c r="S8829" t="str">
        <f t="shared" si="1438"/>
        <v/>
      </c>
      <c r="T8829" t="str">
        <f t="shared" si="1439"/>
        <v/>
      </c>
      <c r="U8829" t="str">
        <f t="shared" si="1440"/>
        <v/>
      </c>
      <c r="V8829" t="str">
        <f t="shared" si="1441"/>
        <v/>
      </c>
      <c r="W8829" t="str">
        <f t="shared" si="1442"/>
        <v/>
      </c>
      <c r="X8829">
        <f t="shared" si="1444"/>
        <v>0</v>
      </c>
      <c r="Z8829" t="str">
        <f t="shared" si="1443"/>
        <v/>
      </c>
      <c r="AA8829">
        <f t="shared" si="1445"/>
        <v>0</v>
      </c>
    </row>
    <row r="8830" spans="1:27" ht="21" customHeight="1" x14ac:dyDescent="0.95">
      <c r="A8830" s="56"/>
      <c r="B8830" s="57"/>
      <c r="C8830" s="57"/>
      <c r="D8830" s="57"/>
      <c r="E8830" s="56"/>
      <c r="F8830" s="57"/>
      <c r="G8830" s="57"/>
      <c r="H8830" s="56"/>
      <c r="I8830" s="56"/>
      <c r="J8830" s="58"/>
      <c r="K8830" s="58"/>
      <c r="L8830" s="13" t="str">
        <f t="shared" si="1434"/>
        <v/>
      </c>
      <c r="M8830" s="13" t="str">
        <f t="shared" si="1435"/>
        <v/>
      </c>
      <c r="Q8830" t="str">
        <f t="shared" si="1436"/>
        <v/>
      </c>
      <c r="R8830" t="str">
        <f t="shared" si="1437"/>
        <v/>
      </c>
      <c r="S8830" t="str">
        <f t="shared" si="1438"/>
        <v/>
      </c>
      <c r="T8830" t="str">
        <f t="shared" si="1439"/>
        <v/>
      </c>
      <c r="U8830" t="str">
        <f t="shared" si="1440"/>
        <v/>
      </c>
      <c r="V8830" t="str">
        <f t="shared" si="1441"/>
        <v/>
      </c>
      <c r="W8830" t="str">
        <f t="shared" si="1442"/>
        <v/>
      </c>
      <c r="X8830">
        <f t="shared" si="1444"/>
        <v>0</v>
      </c>
      <c r="Z8830" t="str">
        <f t="shared" si="1443"/>
        <v/>
      </c>
      <c r="AA8830">
        <f t="shared" si="1445"/>
        <v>0</v>
      </c>
    </row>
    <row r="8831" spans="1:27" ht="21" customHeight="1" x14ac:dyDescent="0.95">
      <c r="A8831" s="56"/>
      <c r="B8831" s="57"/>
      <c r="C8831" s="57"/>
      <c r="D8831" s="57"/>
      <c r="E8831" s="56"/>
      <c r="F8831" s="57"/>
      <c r="G8831" s="57"/>
      <c r="H8831" s="56"/>
      <c r="I8831" s="56"/>
      <c r="J8831" s="58"/>
      <c r="K8831" s="58"/>
      <c r="L8831" s="13" t="str">
        <f t="shared" si="1434"/>
        <v/>
      </c>
      <c r="M8831" s="13" t="str">
        <f t="shared" si="1435"/>
        <v/>
      </c>
      <c r="Q8831" t="str">
        <f t="shared" si="1436"/>
        <v/>
      </c>
      <c r="R8831" t="str">
        <f t="shared" si="1437"/>
        <v/>
      </c>
      <c r="S8831" t="str">
        <f t="shared" si="1438"/>
        <v/>
      </c>
      <c r="T8831" t="str">
        <f t="shared" si="1439"/>
        <v/>
      </c>
      <c r="U8831" t="str">
        <f t="shared" si="1440"/>
        <v/>
      </c>
      <c r="V8831" t="str">
        <f t="shared" si="1441"/>
        <v/>
      </c>
      <c r="W8831" t="str">
        <f t="shared" si="1442"/>
        <v/>
      </c>
      <c r="X8831">
        <f t="shared" si="1444"/>
        <v>0</v>
      </c>
      <c r="Z8831" t="str">
        <f t="shared" si="1443"/>
        <v/>
      </c>
      <c r="AA8831">
        <f t="shared" si="1445"/>
        <v>0</v>
      </c>
    </row>
    <row r="8832" spans="1:27" ht="21" customHeight="1" x14ac:dyDescent="0.95">
      <c r="A8832" s="56"/>
      <c r="B8832" s="57"/>
      <c r="C8832" s="57"/>
      <c r="D8832" s="57"/>
      <c r="E8832" s="56"/>
      <c r="F8832" s="57"/>
      <c r="G8832" s="57"/>
      <c r="H8832" s="56"/>
      <c r="I8832" s="56"/>
      <c r="J8832" s="58"/>
      <c r="K8832" s="58"/>
      <c r="L8832" s="13" t="str">
        <f t="shared" si="1434"/>
        <v/>
      </c>
      <c r="M8832" s="13" t="str">
        <f t="shared" si="1435"/>
        <v/>
      </c>
      <c r="Q8832" t="str">
        <f t="shared" si="1436"/>
        <v/>
      </c>
      <c r="R8832" t="str">
        <f t="shared" si="1437"/>
        <v/>
      </c>
      <c r="S8832" t="str">
        <f t="shared" si="1438"/>
        <v/>
      </c>
      <c r="T8832" t="str">
        <f t="shared" si="1439"/>
        <v/>
      </c>
      <c r="U8832" t="str">
        <f t="shared" si="1440"/>
        <v/>
      </c>
      <c r="V8832" t="str">
        <f t="shared" si="1441"/>
        <v/>
      </c>
      <c r="W8832" t="str">
        <f t="shared" si="1442"/>
        <v/>
      </c>
      <c r="X8832">
        <f t="shared" si="1444"/>
        <v>0</v>
      </c>
      <c r="Z8832" t="str">
        <f t="shared" si="1443"/>
        <v/>
      </c>
      <c r="AA8832">
        <f t="shared" si="1445"/>
        <v>0</v>
      </c>
    </row>
    <row r="8833" spans="1:27" ht="21" customHeight="1" x14ac:dyDescent="0.95">
      <c r="A8833" s="56"/>
      <c r="B8833" s="57"/>
      <c r="C8833" s="57"/>
      <c r="D8833" s="57"/>
      <c r="E8833" s="56"/>
      <c r="F8833" s="57"/>
      <c r="G8833" s="57"/>
      <c r="H8833" s="56"/>
      <c r="I8833" s="56"/>
      <c r="J8833" s="58"/>
      <c r="K8833" s="58"/>
      <c r="L8833" s="13" t="str">
        <f t="shared" si="1434"/>
        <v/>
      </c>
      <c r="M8833" s="13" t="str">
        <f t="shared" si="1435"/>
        <v/>
      </c>
      <c r="Q8833" t="str">
        <f t="shared" si="1436"/>
        <v/>
      </c>
      <c r="R8833" t="str">
        <f t="shared" si="1437"/>
        <v/>
      </c>
      <c r="S8833" t="str">
        <f t="shared" si="1438"/>
        <v/>
      </c>
      <c r="T8833" t="str">
        <f t="shared" si="1439"/>
        <v/>
      </c>
      <c r="U8833" t="str">
        <f t="shared" si="1440"/>
        <v/>
      </c>
      <c r="V8833" t="str">
        <f t="shared" si="1441"/>
        <v/>
      </c>
      <c r="W8833" t="str">
        <f t="shared" si="1442"/>
        <v/>
      </c>
      <c r="X8833">
        <f t="shared" si="1444"/>
        <v>0</v>
      </c>
      <c r="Z8833" t="str">
        <f t="shared" si="1443"/>
        <v/>
      </c>
      <c r="AA8833">
        <f t="shared" si="1445"/>
        <v>0</v>
      </c>
    </row>
    <row r="8834" spans="1:27" ht="21" customHeight="1" x14ac:dyDescent="0.95">
      <c r="A8834" s="56"/>
      <c r="B8834" s="57"/>
      <c r="C8834" s="57"/>
      <c r="D8834" s="57"/>
      <c r="E8834" s="56"/>
      <c r="F8834" s="57"/>
      <c r="G8834" s="57"/>
      <c r="H8834" s="56"/>
      <c r="I8834" s="56"/>
      <c r="J8834" s="58"/>
      <c r="K8834" s="58"/>
      <c r="L8834" s="13" t="str">
        <f t="shared" si="1434"/>
        <v/>
      </c>
      <c r="M8834" s="13" t="str">
        <f t="shared" si="1435"/>
        <v/>
      </c>
      <c r="Q8834" t="str">
        <f t="shared" si="1436"/>
        <v/>
      </c>
      <c r="R8834" t="str">
        <f t="shared" si="1437"/>
        <v/>
      </c>
      <c r="S8834" t="str">
        <f t="shared" si="1438"/>
        <v/>
      </c>
      <c r="T8834" t="str">
        <f t="shared" si="1439"/>
        <v/>
      </c>
      <c r="U8834" t="str">
        <f t="shared" si="1440"/>
        <v/>
      </c>
      <c r="V8834" t="str">
        <f t="shared" si="1441"/>
        <v/>
      </c>
      <c r="W8834" t="str">
        <f t="shared" si="1442"/>
        <v/>
      </c>
      <c r="X8834">
        <f t="shared" si="1444"/>
        <v>0</v>
      </c>
      <c r="Z8834" t="str">
        <f t="shared" si="1443"/>
        <v/>
      </c>
      <c r="AA8834">
        <f t="shared" si="1445"/>
        <v>0</v>
      </c>
    </row>
    <row r="8835" spans="1:27" ht="21" customHeight="1" x14ac:dyDescent="0.95">
      <c r="A8835" s="56"/>
      <c r="B8835" s="57"/>
      <c r="C8835" s="57"/>
      <c r="D8835" s="57"/>
      <c r="E8835" s="56"/>
      <c r="F8835" s="57"/>
      <c r="G8835" s="57"/>
      <c r="H8835" s="56"/>
      <c r="I8835" s="56"/>
      <c r="J8835" s="58"/>
      <c r="K8835" s="58"/>
      <c r="L8835" s="13" t="str">
        <f t="shared" si="1434"/>
        <v/>
      </c>
      <c r="M8835" s="13" t="str">
        <f t="shared" si="1435"/>
        <v/>
      </c>
      <c r="Q8835" t="str">
        <f t="shared" si="1436"/>
        <v/>
      </c>
      <c r="R8835" t="str">
        <f t="shared" si="1437"/>
        <v/>
      </c>
      <c r="S8835" t="str">
        <f t="shared" si="1438"/>
        <v/>
      </c>
      <c r="T8835" t="str">
        <f t="shared" si="1439"/>
        <v/>
      </c>
      <c r="U8835" t="str">
        <f t="shared" si="1440"/>
        <v/>
      </c>
      <c r="V8835" t="str">
        <f t="shared" si="1441"/>
        <v/>
      </c>
      <c r="W8835" t="str">
        <f t="shared" si="1442"/>
        <v/>
      </c>
      <c r="X8835">
        <f t="shared" si="1444"/>
        <v>0</v>
      </c>
      <c r="Z8835" t="str">
        <f t="shared" si="1443"/>
        <v/>
      </c>
      <c r="AA8835">
        <f t="shared" si="1445"/>
        <v>0</v>
      </c>
    </row>
    <row r="8836" spans="1:27" ht="21" customHeight="1" x14ac:dyDescent="0.95">
      <c r="A8836" s="56"/>
      <c r="B8836" s="57"/>
      <c r="C8836" s="57"/>
      <c r="D8836" s="57"/>
      <c r="E8836" s="56"/>
      <c r="F8836" s="57"/>
      <c r="G8836" s="57"/>
      <c r="H8836" s="56"/>
      <c r="I8836" s="56"/>
      <c r="J8836" s="58"/>
      <c r="K8836" s="58"/>
      <c r="L8836" s="13" t="str">
        <f t="shared" ref="L8836:L8899" si="1446">IF(OR($A8836="",AND($J8836="",$K8836="")),"",ROUND(N($J8836)-N($K8836),2))</f>
        <v/>
      </c>
      <c r="M8836" s="13" t="str">
        <f t="shared" ref="M8836:M8899" si="1447">IF(OR($A8836="",AND($J8836="",$K8836="")),"",MIN($J8836,$K8836))</f>
        <v/>
      </c>
      <c r="Q8836" t="str">
        <f t="shared" ref="Q8836:Q8899" si="1448">IF($A8836="","",$D8836&amp;"("&amp;SUBSTITUTE($E8836," ","")&amp;")")</f>
        <v/>
      </c>
      <c r="R8836" t="str">
        <f t="shared" ref="R8836:R8899" si="1449">IF($A8836="","",$B8836&amp;" - "&amp;$C8836)</f>
        <v/>
      </c>
      <c r="S8836" t="str">
        <f t="shared" ref="S8836:S8899" si="1450">IF($A8836="","",$R8836&amp;"|"&amp;$Q8836)</f>
        <v/>
      </c>
      <c r="T8836" t="str">
        <f t="shared" ref="T8836:T8899" si="1451">IF($A8836="","",$S8836&amp;"|"&amp;$F8836)</f>
        <v/>
      </c>
      <c r="U8836" t="str">
        <f t="shared" ref="U8836:U8899" si="1452">IF($A8836="","",$R8836&amp;"("&amp;$E8836&amp;")")</f>
        <v/>
      </c>
      <c r="V8836" t="str">
        <f t="shared" ref="V8836:V8899" si="1453">IF($A8836="","",$F8836&amp;"|"&amp;$U8836&amp;"|"&amp;$D8836)</f>
        <v/>
      </c>
      <c r="W8836" t="str">
        <f t="shared" si="1442"/>
        <v/>
      </c>
      <c r="X8836">
        <f t="shared" si="1444"/>
        <v>0</v>
      </c>
      <c r="Z8836" t="str">
        <f t="shared" si="1443"/>
        <v/>
      </c>
      <c r="AA8836">
        <f t="shared" si="1445"/>
        <v>0</v>
      </c>
    </row>
    <row r="8837" spans="1:27" ht="21" customHeight="1" x14ac:dyDescent="0.95">
      <c r="A8837" s="56"/>
      <c r="B8837" s="57"/>
      <c r="C8837" s="57"/>
      <c r="D8837" s="57"/>
      <c r="E8837" s="56"/>
      <c r="F8837" s="57"/>
      <c r="G8837" s="57"/>
      <c r="H8837" s="56"/>
      <c r="I8837" s="56"/>
      <c r="J8837" s="58"/>
      <c r="K8837" s="58"/>
      <c r="L8837" s="13" t="str">
        <f t="shared" si="1446"/>
        <v/>
      </c>
      <c r="M8837" s="13" t="str">
        <f t="shared" si="1447"/>
        <v/>
      </c>
      <c r="Q8837" t="str">
        <f t="shared" si="1448"/>
        <v/>
      </c>
      <c r="R8837" t="str">
        <f t="shared" si="1449"/>
        <v/>
      </c>
      <c r="S8837" t="str">
        <f t="shared" si="1450"/>
        <v/>
      </c>
      <c r="T8837" t="str">
        <f t="shared" si="1451"/>
        <v/>
      </c>
      <c r="U8837" t="str">
        <f t="shared" si="1452"/>
        <v/>
      </c>
      <c r="V8837" t="str">
        <f t="shared" si="1453"/>
        <v/>
      </c>
      <c r="W8837" t="str">
        <f t="shared" si="1442"/>
        <v/>
      </c>
      <c r="X8837">
        <f t="shared" si="1444"/>
        <v>0</v>
      </c>
      <c r="Z8837" t="str">
        <f t="shared" si="1443"/>
        <v/>
      </c>
      <c r="AA8837">
        <f t="shared" si="1445"/>
        <v>0</v>
      </c>
    </row>
    <row r="8838" spans="1:27" ht="21" customHeight="1" x14ac:dyDescent="0.95">
      <c r="A8838" s="56"/>
      <c r="B8838" s="57"/>
      <c r="C8838" s="57"/>
      <c r="D8838" s="57"/>
      <c r="E8838" s="56"/>
      <c r="F8838" s="57"/>
      <c r="G8838" s="57"/>
      <c r="H8838" s="56"/>
      <c r="I8838" s="56"/>
      <c r="J8838" s="58"/>
      <c r="K8838" s="58"/>
      <c r="L8838" s="13" t="str">
        <f t="shared" si="1446"/>
        <v/>
      </c>
      <c r="M8838" s="13" t="str">
        <f t="shared" si="1447"/>
        <v/>
      </c>
      <c r="Q8838" t="str">
        <f t="shared" si="1448"/>
        <v/>
      </c>
      <c r="R8838" t="str">
        <f t="shared" si="1449"/>
        <v/>
      </c>
      <c r="S8838" t="str">
        <f t="shared" si="1450"/>
        <v/>
      </c>
      <c r="T8838" t="str">
        <f t="shared" si="1451"/>
        <v/>
      </c>
      <c r="U8838" t="str">
        <f t="shared" si="1452"/>
        <v/>
      </c>
      <c r="V8838" t="str">
        <f t="shared" si="1453"/>
        <v/>
      </c>
      <c r="W8838" t="str">
        <f t="shared" ref="W8838:W8901" si="1454">IF($T8838="","",IF($X8838&gt;N($X8837),$X8838,""))</f>
        <v/>
      </c>
      <c r="X8838">
        <f t="shared" si="1444"/>
        <v>0</v>
      </c>
      <c r="Z8838" t="str">
        <f t="shared" ref="Z8838:Z8901" si="1455">IF($V8838="","",IF($AA8838&gt;N($AA8837),$AA8838,""))</f>
        <v/>
      </c>
      <c r="AA8838">
        <f t="shared" si="1445"/>
        <v>0</v>
      </c>
    </row>
    <row r="8839" spans="1:27" ht="21" customHeight="1" x14ac:dyDescent="0.95">
      <c r="A8839" s="56"/>
      <c r="B8839" s="57"/>
      <c r="C8839" s="57"/>
      <c r="D8839" s="57"/>
      <c r="E8839" s="56"/>
      <c r="F8839" s="57"/>
      <c r="G8839" s="57"/>
      <c r="H8839" s="56"/>
      <c r="I8839" s="56"/>
      <c r="J8839" s="58"/>
      <c r="K8839" s="58"/>
      <c r="L8839" s="13" t="str">
        <f t="shared" si="1446"/>
        <v/>
      </c>
      <c r="M8839" s="13" t="str">
        <f t="shared" si="1447"/>
        <v/>
      </c>
      <c r="Q8839" t="str">
        <f t="shared" si="1448"/>
        <v/>
      </c>
      <c r="R8839" t="str">
        <f t="shared" si="1449"/>
        <v/>
      </c>
      <c r="S8839" t="str">
        <f t="shared" si="1450"/>
        <v/>
      </c>
      <c r="T8839" t="str">
        <f t="shared" si="1451"/>
        <v/>
      </c>
      <c r="U8839" t="str">
        <f t="shared" si="1452"/>
        <v/>
      </c>
      <c r="V8839" t="str">
        <f t="shared" si="1453"/>
        <v/>
      </c>
      <c r="W8839" t="str">
        <f t="shared" si="1454"/>
        <v/>
      </c>
      <c r="X8839">
        <f t="shared" si="1444"/>
        <v>0</v>
      </c>
      <c r="Z8839" t="str">
        <f t="shared" si="1455"/>
        <v/>
      </c>
      <c r="AA8839">
        <f t="shared" si="1445"/>
        <v>0</v>
      </c>
    </row>
    <row r="8840" spans="1:27" ht="21" customHeight="1" x14ac:dyDescent="0.95">
      <c r="A8840" s="56"/>
      <c r="B8840" s="57"/>
      <c r="C8840" s="57"/>
      <c r="D8840" s="57"/>
      <c r="E8840" s="56"/>
      <c r="F8840" s="57"/>
      <c r="G8840" s="57"/>
      <c r="H8840" s="56"/>
      <c r="I8840" s="56"/>
      <c r="J8840" s="58"/>
      <c r="K8840" s="58"/>
      <c r="L8840" s="13" t="str">
        <f t="shared" si="1446"/>
        <v/>
      </c>
      <c r="M8840" s="13" t="str">
        <f t="shared" si="1447"/>
        <v/>
      </c>
      <c r="Q8840" t="str">
        <f t="shared" si="1448"/>
        <v/>
      </c>
      <c r="R8840" t="str">
        <f t="shared" si="1449"/>
        <v/>
      </c>
      <c r="S8840" t="str">
        <f t="shared" si="1450"/>
        <v/>
      </c>
      <c r="T8840" t="str">
        <f t="shared" si="1451"/>
        <v/>
      </c>
      <c r="U8840" t="str">
        <f t="shared" si="1452"/>
        <v/>
      </c>
      <c r="V8840" t="str">
        <f t="shared" si="1453"/>
        <v/>
      </c>
      <c r="W8840" t="str">
        <f t="shared" si="1454"/>
        <v/>
      </c>
      <c r="X8840">
        <f t="shared" si="1444"/>
        <v>0</v>
      </c>
      <c r="Z8840" t="str">
        <f t="shared" si="1455"/>
        <v/>
      </c>
      <c r="AA8840">
        <f t="shared" si="1445"/>
        <v>0</v>
      </c>
    </row>
    <row r="8841" spans="1:27" ht="21" customHeight="1" x14ac:dyDescent="0.95">
      <c r="A8841" s="56"/>
      <c r="B8841" s="57"/>
      <c r="C8841" s="57"/>
      <c r="D8841" s="57"/>
      <c r="E8841" s="56"/>
      <c r="F8841" s="57"/>
      <c r="G8841" s="57"/>
      <c r="H8841" s="56"/>
      <c r="I8841" s="56"/>
      <c r="J8841" s="58"/>
      <c r="K8841" s="58"/>
      <c r="L8841" s="13" t="str">
        <f t="shared" si="1446"/>
        <v/>
      </c>
      <c r="M8841" s="13" t="str">
        <f t="shared" si="1447"/>
        <v/>
      </c>
      <c r="Q8841" t="str">
        <f t="shared" si="1448"/>
        <v/>
      </c>
      <c r="R8841" t="str">
        <f t="shared" si="1449"/>
        <v/>
      </c>
      <c r="S8841" t="str">
        <f t="shared" si="1450"/>
        <v/>
      </c>
      <c r="T8841" t="str">
        <f t="shared" si="1451"/>
        <v/>
      </c>
      <c r="U8841" t="str">
        <f t="shared" si="1452"/>
        <v/>
      </c>
      <c r="V8841" t="str">
        <f t="shared" si="1453"/>
        <v/>
      </c>
      <c r="W8841" t="str">
        <f t="shared" si="1454"/>
        <v/>
      </c>
      <c r="X8841">
        <f t="shared" si="1444"/>
        <v>0</v>
      </c>
      <c r="Z8841" t="str">
        <f t="shared" si="1455"/>
        <v/>
      </c>
      <c r="AA8841">
        <f t="shared" si="1445"/>
        <v>0</v>
      </c>
    </row>
    <row r="8842" spans="1:27" ht="21" customHeight="1" x14ac:dyDescent="0.95">
      <c r="A8842" s="56"/>
      <c r="B8842" s="57"/>
      <c r="C8842" s="57"/>
      <c r="D8842" s="57"/>
      <c r="E8842" s="56"/>
      <c r="F8842" s="57"/>
      <c r="G8842" s="57"/>
      <c r="H8842" s="56"/>
      <c r="I8842" s="56"/>
      <c r="J8842" s="58"/>
      <c r="K8842" s="58"/>
      <c r="L8842" s="13" t="str">
        <f t="shared" si="1446"/>
        <v/>
      </c>
      <c r="M8842" s="13" t="str">
        <f t="shared" si="1447"/>
        <v/>
      </c>
      <c r="Q8842" t="str">
        <f t="shared" si="1448"/>
        <v/>
      </c>
      <c r="R8842" t="str">
        <f t="shared" si="1449"/>
        <v/>
      </c>
      <c r="S8842" t="str">
        <f t="shared" si="1450"/>
        <v/>
      </c>
      <c r="T8842" t="str">
        <f t="shared" si="1451"/>
        <v/>
      </c>
      <c r="U8842" t="str">
        <f t="shared" si="1452"/>
        <v/>
      </c>
      <c r="V8842" t="str">
        <f t="shared" si="1453"/>
        <v/>
      </c>
      <c r="W8842" t="str">
        <f t="shared" si="1454"/>
        <v/>
      </c>
      <c r="X8842">
        <f t="shared" si="1444"/>
        <v>0</v>
      </c>
      <c r="Z8842" t="str">
        <f t="shared" si="1455"/>
        <v/>
      </c>
      <c r="AA8842">
        <f t="shared" si="1445"/>
        <v>0</v>
      </c>
    </row>
    <row r="8843" spans="1:27" ht="21" customHeight="1" x14ac:dyDescent="0.95">
      <c r="A8843" s="56"/>
      <c r="B8843" s="57"/>
      <c r="C8843" s="57"/>
      <c r="D8843" s="57"/>
      <c r="E8843" s="56"/>
      <c r="F8843" s="57"/>
      <c r="G8843" s="57"/>
      <c r="H8843" s="56"/>
      <c r="I8843" s="56"/>
      <c r="J8843" s="58"/>
      <c r="K8843" s="58"/>
      <c r="L8843" s="13" t="str">
        <f t="shared" si="1446"/>
        <v/>
      </c>
      <c r="M8843" s="13" t="str">
        <f t="shared" si="1447"/>
        <v/>
      </c>
      <c r="Q8843" t="str">
        <f t="shared" si="1448"/>
        <v/>
      </c>
      <c r="R8843" t="str">
        <f t="shared" si="1449"/>
        <v/>
      </c>
      <c r="S8843" t="str">
        <f t="shared" si="1450"/>
        <v/>
      </c>
      <c r="T8843" t="str">
        <f t="shared" si="1451"/>
        <v/>
      </c>
      <c r="U8843" t="str">
        <f t="shared" si="1452"/>
        <v/>
      </c>
      <c r="V8843" t="str">
        <f t="shared" si="1453"/>
        <v/>
      </c>
      <c r="W8843" t="str">
        <f t="shared" si="1454"/>
        <v/>
      </c>
      <c r="X8843">
        <f t="shared" si="1444"/>
        <v>0</v>
      </c>
      <c r="Z8843" t="str">
        <f t="shared" si="1455"/>
        <v/>
      </c>
      <c r="AA8843">
        <f t="shared" si="1445"/>
        <v>0</v>
      </c>
    </row>
    <row r="8844" spans="1:27" ht="21" customHeight="1" x14ac:dyDescent="0.95">
      <c r="A8844" s="56"/>
      <c r="B8844" s="57"/>
      <c r="C8844" s="57"/>
      <c r="D8844" s="57"/>
      <c r="E8844" s="56"/>
      <c r="F8844" s="57"/>
      <c r="G8844" s="57"/>
      <c r="H8844" s="56"/>
      <c r="I8844" s="56"/>
      <c r="J8844" s="58"/>
      <c r="K8844" s="58"/>
      <c r="L8844" s="13" t="str">
        <f t="shared" si="1446"/>
        <v/>
      </c>
      <c r="M8844" s="13" t="str">
        <f t="shared" si="1447"/>
        <v/>
      </c>
      <c r="Q8844" t="str">
        <f t="shared" si="1448"/>
        <v/>
      </c>
      <c r="R8844" t="str">
        <f t="shared" si="1449"/>
        <v/>
      </c>
      <c r="S8844" t="str">
        <f t="shared" si="1450"/>
        <v/>
      </c>
      <c r="T8844" t="str">
        <f t="shared" si="1451"/>
        <v/>
      </c>
      <c r="U8844" t="str">
        <f t="shared" si="1452"/>
        <v/>
      </c>
      <c r="V8844" t="str">
        <f t="shared" si="1453"/>
        <v/>
      </c>
      <c r="W8844" t="str">
        <f t="shared" si="1454"/>
        <v/>
      </c>
      <c r="X8844">
        <f t="shared" si="1444"/>
        <v>0</v>
      </c>
      <c r="Z8844" t="str">
        <f t="shared" si="1455"/>
        <v/>
      </c>
      <c r="AA8844">
        <f t="shared" si="1445"/>
        <v>0</v>
      </c>
    </row>
    <row r="8845" spans="1:27" ht="21" customHeight="1" x14ac:dyDescent="0.95">
      <c r="A8845" s="56"/>
      <c r="B8845" s="57"/>
      <c r="C8845" s="57"/>
      <c r="D8845" s="57"/>
      <c r="E8845" s="56"/>
      <c r="F8845" s="57"/>
      <c r="G8845" s="57"/>
      <c r="H8845" s="56"/>
      <c r="I8845" s="56"/>
      <c r="J8845" s="58"/>
      <c r="K8845" s="58"/>
      <c r="L8845" s="13" t="str">
        <f t="shared" si="1446"/>
        <v/>
      </c>
      <c r="M8845" s="13" t="str">
        <f t="shared" si="1447"/>
        <v/>
      </c>
      <c r="Q8845" t="str">
        <f t="shared" si="1448"/>
        <v/>
      </c>
      <c r="R8845" t="str">
        <f t="shared" si="1449"/>
        <v/>
      </c>
      <c r="S8845" t="str">
        <f t="shared" si="1450"/>
        <v/>
      </c>
      <c r="T8845" t="str">
        <f t="shared" si="1451"/>
        <v/>
      </c>
      <c r="U8845" t="str">
        <f t="shared" si="1452"/>
        <v/>
      </c>
      <c r="V8845" t="str">
        <f t="shared" si="1453"/>
        <v/>
      </c>
      <c r="W8845" t="str">
        <f t="shared" si="1454"/>
        <v/>
      </c>
      <c r="X8845">
        <f t="shared" si="1444"/>
        <v>0</v>
      </c>
      <c r="Z8845" t="str">
        <f t="shared" si="1455"/>
        <v/>
      </c>
      <c r="AA8845">
        <f t="shared" si="1445"/>
        <v>0</v>
      </c>
    </row>
    <row r="8846" spans="1:27" ht="21" customHeight="1" x14ac:dyDescent="0.95">
      <c r="A8846" s="56"/>
      <c r="B8846" s="57"/>
      <c r="C8846" s="57"/>
      <c r="D8846" s="57"/>
      <c r="E8846" s="56"/>
      <c r="F8846" s="57"/>
      <c r="G8846" s="57"/>
      <c r="H8846" s="56"/>
      <c r="I8846" s="56"/>
      <c r="J8846" s="58"/>
      <c r="K8846" s="58"/>
      <c r="L8846" s="13" t="str">
        <f t="shared" si="1446"/>
        <v/>
      </c>
      <c r="M8846" s="13" t="str">
        <f t="shared" si="1447"/>
        <v/>
      </c>
      <c r="Q8846" t="str">
        <f t="shared" si="1448"/>
        <v/>
      </c>
      <c r="R8846" t="str">
        <f t="shared" si="1449"/>
        <v/>
      </c>
      <c r="S8846" t="str">
        <f t="shared" si="1450"/>
        <v/>
      </c>
      <c r="T8846" t="str">
        <f t="shared" si="1451"/>
        <v/>
      </c>
      <c r="U8846" t="str">
        <f t="shared" si="1452"/>
        <v/>
      </c>
      <c r="V8846" t="str">
        <f t="shared" si="1453"/>
        <v/>
      </c>
      <c r="W8846" t="str">
        <f t="shared" si="1454"/>
        <v/>
      </c>
      <c r="X8846">
        <f t="shared" si="1444"/>
        <v>0</v>
      </c>
      <c r="Z8846" t="str">
        <f t="shared" si="1455"/>
        <v/>
      </c>
      <c r="AA8846">
        <f t="shared" si="1445"/>
        <v>0</v>
      </c>
    </row>
    <row r="8847" spans="1:27" ht="21" customHeight="1" x14ac:dyDescent="0.95">
      <c r="A8847" s="56"/>
      <c r="B8847" s="57"/>
      <c r="C8847" s="57"/>
      <c r="D8847" s="57"/>
      <c r="E8847" s="56"/>
      <c r="F8847" s="57"/>
      <c r="G8847" s="57"/>
      <c r="H8847" s="56"/>
      <c r="I8847" s="56"/>
      <c r="J8847" s="58"/>
      <c r="K8847" s="58"/>
      <c r="L8847" s="13" t="str">
        <f t="shared" si="1446"/>
        <v/>
      </c>
      <c r="M8847" s="13" t="str">
        <f t="shared" si="1447"/>
        <v/>
      </c>
      <c r="Q8847" t="str">
        <f t="shared" si="1448"/>
        <v/>
      </c>
      <c r="R8847" t="str">
        <f t="shared" si="1449"/>
        <v/>
      </c>
      <c r="S8847" t="str">
        <f t="shared" si="1450"/>
        <v/>
      </c>
      <c r="T8847" t="str">
        <f t="shared" si="1451"/>
        <v/>
      </c>
      <c r="U8847" t="str">
        <f t="shared" si="1452"/>
        <v/>
      </c>
      <c r="V8847" t="str">
        <f t="shared" si="1453"/>
        <v/>
      </c>
      <c r="W8847" t="str">
        <f t="shared" si="1454"/>
        <v/>
      </c>
      <c r="X8847">
        <f t="shared" si="1444"/>
        <v>0</v>
      </c>
      <c r="Z8847" t="str">
        <f t="shared" si="1455"/>
        <v/>
      </c>
      <c r="AA8847">
        <f t="shared" si="1445"/>
        <v>0</v>
      </c>
    </row>
    <row r="8848" spans="1:27" ht="21" customHeight="1" x14ac:dyDescent="0.95">
      <c r="A8848" s="56"/>
      <c r="B8848" s="57"/>
      <c r="C8848" s="57"/>
      <c r="D8848" s="57"/>
      <c r="E8848" s="56"/>
      <c r="F8848" s="57"/>
      <c r="G8848" s="57"/>
      <c r="H8848" s="56"/>
      <c r="I8848" s="56"/>
      <c r="J8848" s="58"/>
      <c r="K8848" s="58"/>
      <c r="L8848" s="13" t="str">
        <f t="shared" si="1446"/>
        <v/>
      </c>
      <c r="M8848" s="13" t="str">
        <f t="shared" si="1447"/>
        <v/>
      </c>
      <c r="Q8848" t="str">
        <f t="shared" si="1448"/>
        <v/>
      </c>
      <c r="R8848" t="str">
        <f t="shared" si="1449"/>
        <v/>
      </c>
      <c r="S8848" t="str">
        <f t="shared" si="1450"/>
        <v/>
      </c>
      <c r="T8848" t="str">
        <f t="shared" si="1451"/>
        <v/>
      </c>
      <c r="U8848" t="str">
        <f t="shared" si="1452"/>
        <v/>
      </c>
      <c r="V8848" t="str">
        <f t="shared" si="1453"/>
        <v/>
      </c>
      <c r="W8848" t="str">
        <f t="shared" si="1454"/>
        <v/>
      </c>
      <c r="X8848">
        <f t="shared" si="1444"/>
        <v>0</v>
      </c>
      <c r="Z8848" t="str">
        <f t="shared" si="1455"/>
        <v/>
      </c>
      <c r="AA8848">
        <f t="shared" si="1445"/>
        <v>0</v>
      </c>
    </row>
    <row r="8849" spans="1:27" ht="21" customHeight="1" x14ac:dyDescent="0.95">
      <c r="A8849" s="56"/>
      <c r="B8849" s="57"/>
      <c r="C8849" s="57"/>
      <c r="D8849" s="57"/>
      <c r="E8849" s="56"/>
      <c r="F8849" s="57"/>
      <c r="G8849" s="57"/>
      <c r="H8849" s="56"/>
      <c r="I8849" s="56"/>
      <c r="J8849" s="58"/>
      <c r="K8849" s="58"/>
      <c r="L8849" s="13" t="str">
        <f t="shared" si="1446"/>
        <v/>
      </c>
      <c r="M8849" s="13" t="str">
        <f t="shared" si="1447"/>
        <v/>
      </c>
      <c r="Q8849" t="str">
        <f t="shared" si="1448"/>
        <v/>
      </c>
      <c r="R8849" t="str">
        <f t="shared" si="1449"/>
        <v/>
      </c>
      <c r="S8849" t="str">
        <f t="shared" si="1450"/>
        <v/>
      </c>
      <c r="T8849" t="str">
        <f t="shared" si="1451"/>
        <v/>
      </c>
      <c r="U8849" t="str">
        <f t="shared" si="1452"/>
        <v/>
      </c>
      <c r="V8849" t="str">
        <f t="shared" si="1453"/>
        <v/>
      </c>
      <c r="W8849" t="str">
        <f t="shared" si="1454"/>
        <v/>
      </c>
      <c r="X8849">
        <f t="shared" si="1444"/>
        <v>0</v>
      </c>
      <c r="Z8849" t="str">
        <f t="shared" si="1455"/>
        <v/>
      </c>
      <c r="AA8849">
        <f t="shared" si="1445"/>
        <v>0</v>
      </c>
    </row>
    <row r="8850" spans="1:27" ht="21" customHeight="1" x14ac:dyDescent="0.95">
      <c r="A8850" s="56"/>
      <c r="B8850" s="57"/>
      <c r="C8850" s="57"/>
      <c r="D8850" s="57"/>
      <c r="E8850" s="56"/>
      <c r="F8850" s="57"/>
      <c r="G8850" s="57"/>
      <c r="H8850" s="56"/>
      <c r="I8850" s="56"/>
      <c r="J8850" s="58"/>
      <c r="K8850" s="58"/>
      <c r="L8850" s="13" t="str">
        <f t="shared" si="1446"/>
        <v/>
      </c>
      <c r="M8850" s="13" t="str">
        <f t="shared" si="1447"/>
        <v/>
      </c>
      <c r="Q8850" t="str">
        <f t="shared" si="1448"/>
        <v/>
      </c>
      <c r="R8850" t="str">
        <f t="shared" si="1449"/>
        <v/>
      </c>
      <c r="S8850" t="str">
        <f t="shared" si="1450"/>
        <v/>
      </c>
      <c r="T8850" t="str">
        <f t="shared" si="1451"/>
        <v/>
      </c>
      <c r="U8850" t="str">
        <f t="shared" si="1452"/>
        <v/>
      </c>
      <c r="V8850" t="str">
        <f t="shared" si="1453"/>
        <v/>
      </c>
      <c r="W8850" t="str">
        <f t="shared" si="1454"/>
        <v/>
      </c>
      <c r="X8850">
        <f t="shared" si="1444"/>
        <v>0</v>
      </c>
      <c r="Z8850" t="str">
        <f t="shared" si="1455"/>
        <v/>
      </c>
      <c r="AA8850">
        <f t="shared" si="1445"/>
        <v>0</v>
      </c>
    </row>
    <row r="8851" spans="1:27" ht="21" customHeight="1" x14ac:dyDescent="0.95">
      <c r="A8851" s="56"/>
      <c r="B8851" s="57"/>
      <c r="C8851" s="57"/>
      <c r="D8851" s="57"/>
      <c r="E8851" s="56"/>
      <c r="F8851" s="57"/>
      <c r="G8851" s="57"/>
      <c r="H8851" s="56"/>
      <c r="I8851" s="56"/>
      <c r="J8851" s="58"/>
      <c r="K8851" s="58"/>
      <c r="L8851" s="13" t="str">
        <f t="shared" si="1446"/>
        <v/>
      </c>
      <c r="M8851" s="13" t="str">
        <f t="shared" si="1447"/>
        <v/>
      </c>
      <c r="Q8851" t="str">
        <f t="shared" si="1448"/>
        <v/>
      </c>
      <c r="R8851" t="str">
        <f t="shared" si="1449"/>
        <v/>
      </c>
      <c r="S8851" t="str">
        <f t="shared" si="1450"/>
        <v/>
      </c>
      <c r="T8851" t="str">
        <f t="shared" si="1451"/>
        <v/>
      </c>
      <c r="U8851" t="str">
        <f t="shared" si="1452"/>
        <v/>
      </c>
      <c r="V8851" t="str">
        <f t="shared" si="1453"/>
        <v/>
      </c>
      <c r="W8851" t="str">
        <f t="shared" si="1454"/>
        <v/>
      </c>
      <c r="X8851">
        <f t="shared" si="1444"/>
        <v>0</v>
      </c>
      <c r="Z8851" t="str">
        <f t="shared" si="1455"/>
        <v/>
      </c>
      <c r="AA8851">
        <f t="shared" si="1445"/>
        <v>0</v>
      </c>
    </row>
    <row r="8852" spans="1:27" ht="21" customHeight="1" x14ac:dyDescent="0.95">
      <c r="A8852" s="56"/>
      <c r="B8852" s="57"/>
      <c r="C8852" s="57"/>
      <c r="D8852" s="57"/>
      <c r="E8852" s="56"/>
      <c r="F8852" s="57"/>
      <c r="G8852" s="57"/>
      <c r="H8852" s="56"/>
      <c r="I8852" s="56"/>
      <c r="J8852" s="58"/>
      <c r="K8852" s="58"/>
      <c r="L8852" s="13" t="str">
        <f t="shared" si="1446"/>
        <v/>
      </c>
      <c r="M8852" s="13" t="str">
        <f t="shared" si="1447"/>
        <v/>
      </c>
      <c r="Q8852" t="str">
        <f t="shared" si="1448"/>
        <v/>
      </c>
      <c r="R8852" t="str">
        <f t="shared" si="1449"/>
        <v/>
      </c>
      <c r="S8852" t="str">
        <f t="shared" si="1450"/>
        <v/>
      </c>
      <c r="T8852" t="str">
        <f t="shared" si="1451"/>
        <v/>
      </c>
      <c r="U8852" t="str">
        <f t="shared" si="1452"/>
        <v/>
      </c>
      <c r="V8852" t="str">
        <f t="shared" si="1453"/>
        <v/>
      </c>
      <c r="W8852" t="str">
        <f t="shared" si="1454"/>
        <v/>
      </c>
      <c r="X8852">
        <f t="shared" si="1444"/>
        <v>0</v>
      </c>
      <c r="Z8852" t="str">
        <f t="shared" si="1455"/>
        <v/>
      </c>
      <c r="AA8852">
        <f t="shared" si="1445"/>
        <v>0</v>
      </c>
    </row>
    <row r="8853" spans="1:27" ht="21" customHeight="1" x14ac:dyDescent="0.95">
      <c r="A8853" s="56"/>
      <c r="B8853" s="57"/>
      <c r="C8853" s="57"/>
      <c r="D8853" s="57"/>
      <c r="E8853" s="56"/>
      <c r="F8853" s="57"/>
      <c r="G8853" s="57"/>
      <c r="H8853" s="56"/>
      <c r="I8853" s="56"/>
      <c r="J8853" s="58"/>
      <c r="K8853" s="58"/>
      <c r="L8853" s="13" t="str">
        <f t="shared" si="1446"/>
        <v/>
      </c>
      <c r="M8853" s="13" t="str">
        <f t="shared" si="1447"/>
        <v/>
      </c>
      <c r="Q8853" t="str">
        <f t="shared" si="1448"/>
        <v/>
      </c>
      <c r="R8853" t="str">
        <f t="shared" si="1449"/>
        <v/>
      </c>
      <c r="S8853" t="str">
        <f t="shared" si="1450"/>
        <v/>
      </c>
      <c r="T8853" t="str">
        <f t="shared" si="1451"/>
        <v/>
      </c>
      <c r="U8853" t="str">
        <f t="shared" si="1452"/>
        <v/>
      </c>
      <c r="V8853" t="str">
        <f t="shared" si="1453"/>
        <v/>
      </c>
      <c r="W8853" t="str">
        <f t="shared" si="1454"/>
        <v/>
      </c>
      <c r="X8853">
        <f t="shared" si="1444"/>
        <v>0</v>
      </c>
      <c r="Z8853" t="str">
        <f t="shared" si="1455"/>
        <v/>
      </c>
      <c r="AA8853">
        <f t="shared" si="1445"/>
        <v>0</v>
      </c>
    </row>
    <row r="8854" spans="1:27" ht="21" customHeight="1" x14ac:dyDescent="0.95">
      <c r="A8854" s="56"/>
      <c r="B8854" s="57"/>
      <c r="C8854" s="57"/>
      <c r="D8854" s="57"/>
      <c r="E8854" s="56"/>
      <c r="F8854" s="57"/>
      <c r="G8854" s="57"/>
      <c r="H8854" s="56"/>
      <c r="I8854" s="56"/>
      <c r="J8854" s="58"/>
      <c r="K8854" s="58"/>
      <c r="L8854" s="13" t="str">
        <f t="shared" si="1446"/>
        <v/>
      </c>
      <c r="M8854" s="13" t="str">
        <f t="shared" si="1447"/>
        <v/>
      </c>
      <c r="Q8854" t="str">
        <f t="shared" si="1448"/>
        <v/>
      </c>
      <c r="R8854" t="str">
        <f t="shared" si="1449"/>
        <v/>
      </c>
      <c r="S8854" t="str">
        <f t="shared" si="1450"/>
        <v/>
      </c>
      <c r="T8854" t="str">
        <f t="shared" si="1451"/>
        <v/>
      </c>
      <c r="U8854" t="str">
        <f t="shared" si="1452"/>
        <v/>
      </c>
      <c r="V8854" t="str">
        <f t="shared" si="1453"/>
        <v/>
      </c>
      <c r="W8854" t="str">
        <f t="shared" si="1454"/>
        <v/>
      </c>
      <c r="X8854">
        <f t="shared" si="1444"/>
        <v>0</v>
      </c>
      <c r="Z8854" t="str">
        <f t="shared" si="1455"/>
        <v/>
      </c>
      <c r="AA8854">
        <f t="shared" si="1445"/>
        <v>0</v>
      </c>
    </row>
    <row r="8855" spans="1:27" ht="21" customHeight="1" x14ac:dyDescent="0.95">
      <c r="A8855" s="56"/>
      <c r="B8855" s="57"/>
      <c r="C8855" s="57"/>
      <c r="D8855" s="57"/>
      <c r="E8855" s="56"/>
      <c r="F8855" s="57"/>
      <c r="G8855" s="57"/>
      <c r="H8855" s="56"/>
      <c r="I8855" s="56"/>
      <c r="J8855" s="58"/>
      <c r="K8855" s="58"/>
      <c r="L8855" s="13" t="str">
        <f t="shared" si="1446"/>
        <v/>
      </c>
      <c r="M8855" s="13" t="str">
        <f t="shared" si="1447"/>
        <v/>
      </c>
      <c r="Q8855" t="str">
        <f t="shared" si="1448"/>
        <v/>
      </c>
      <c r="R8855" t="str">
        <f t="shared" si="1449"/>
        <v/>
      </c>
      <c r="S8855" t="str">
        <f t="shared" si="1450"/>
        <v/>
      </c>
      <c r="T8855" t="str">
        <f t="shared" si="1451"/>
        <v/>
      </c>
      <c r="U8855" t="str">
        <f t="shared" si="1452"/>
        <v/>
      </c>
      <c r="V8855" t="str">
        <f t="shared" si="1453"/>
        <v/>
      </c>
      <c r="W8855" t="str">
        <f t="shared" si="1454"/>
        <v/>
      </c>
      <c r="X8855">
        <f t="shared" si="1444"/>
        <v>0</v>
      </c>
      <c r="Z8855" t="str">
        <f t="shared" si="1455"/>
        <v/>
      </c>
      <c r="AA8855">
        <f t="shared" si="1445"/>
        <v>0</v>
      </c>
    </row>
    <row r="8856" spans="1:27" ht="21" customHeight="1" x14ac:dyDescent="0.95">
      <c r="A8856" s="56"/>
      <c r="B8856" s="57"/>
      <c r="C8856" s="57"/>
      <c r="D8856" s="57"/>
      <c r="E8856" s="56"/>
      <c r="F8856" s="57"/>
      <c r="G8856" s="57"/>
      <c r="H8856" s="56"/>
      <c r="I8856" s="56"/>
      <c r="J8856" s="58"/>
      <c r="K8856" s="58"/>
      <c r="L8856" s="13" t="str">
        <f t="shared" si="1446"/>
        <v/>
      </c>
      <c r="M8856" s="13" t="str">
        <f t="shared" si="1447"/>
        <v/>
      </c>
      <c r="Q8856" t="str">
        <f t="shared" si="1448"/>
        <v/>
      </c>
      <c r="R8856" t="str">
        <f t="shared" si="1449"/>
        <v/>
      </c>
      <c r="S8856" t="str">
        <f t="shared" si="1450"/>
        <v/>
      </c>
      <c r="T8856" t="str">
        <f t="shared" si="1451"/>
        <v/>
      </c>
      <c r="U8856" t="str">
        <f t="shared" si="1452"/>
        <v/>
      </c>
      <c r="V8856" t="str">
        <f t="shared" si="1453"/>
        <v/>
      </c>
      <c r="W8856" t="str">
        <f t="shared" si="1454"/>
        <v/>
      </c>
      <c r="X8856">
        <f t="shared" si="1444"/>
        <v>0</v>
      </c>
      <c r="Z8856" t="str">
        <f t="shared" si="1455"/>
        <v/>
      </c>
      <c r="AA8856">
        <f t="shared" si="1445"/>
        <v>0</v>
      </c>
    </row>
    <row r="8857" spans="1:27" ht="21" customHeight="1" x14ac:dyDescent="0.95">
      <c r="A8857" s="56"/>
      <c r="B8857" s="57"/>
      <c r="C8857" s="57"/>
      <c r="D8857" s="57"/>
      <c r="E8857" s="56"/>
      <c r="F8857" s="57"/>
      <c r="G8857" s="57"/>
      <c r="H8857" s="56"/>
      <c r="I8857" s="56"/>
      <c r="J8857" s="58"/>
      <c r="K8857" s="58"/>
      <c r="L8857" s="13" t="str">
        <f t="shared" si="1446"/>
        <v/>
      </c>
      <c r="M8857" s="13" t="str">
        <f t="shared" si="1447"/>
        <v/>
      </c>
      <c r="Q8857" t="str">
        <f t="shared" si="1448"/>
        <v/>
      </c>
      <c r="R8857" t="str">
        <f t="shared" si="1449"/>
        <v/>
      </c>
      <c r="S8857" t="str">
        <f t="shared" si="1450"/>
        <v/>
      </c>
      <c r="T8857" t="str">
        <f t="shared" si="1451"/>
        <v/>
      </c>
      <c r="U8857" t="str">
        <f t="shared" si="1452"/>
        <v/>
      </c>
      <c r="V8857" t="str">
        <f t="shared" si="1453"/>
        <v/>
      </c>
      <c r="W8857" t="str">
        <f t="shared" si="1454"/>
        <v/>
      </c>
      <c r="X8857">
        <f t="shared" si="1444"/>
        <v>0</v>
      </c>
      <c r="Z8857" t="str">
        <f t="shared" si="1455"/>
        <v/>
      </c>
      <c r="AA8857">
        <f t="shared" si="1445"/>
        <v>0</v>
      </c>
    </row>
    <row r="8858" spans="1:27" ht="21" customHeight="1" x14ac:dyDescent="0.95">
      <c r="A8858" s="56"/>
      <c r="B8858" s="57"/>
      <c r="C8858" s="57"/>
      <c r="D8858" s="57"/>
      <c r="E8858" s="56"/>
      <c r="F8858" s="57"/>
      <c r="G8858" s="57"/>
      <c r="H8858" s="56"/>
      <c r="I8858" s="56"/>
      <c r="J8858" s="58"/>
      <c r="K8858" s="58"/>
      <c r="L8858" s="13" t="str">
        <f t="shared" si="1446"/>
        <v/>
      </c>
      <c r="M8858" s="13" t="str">
        <f t="shared" si="1447"/>
        <v/>
      </c>
      <c r="Q8858" t="str">
        <f t="shared" si="1448"/>
        <v/>
      </c>
      <c r="R8858" t="str">
        <f t="shared" si="1449"/>
        <v/>
      </c>
      <c r="S8858" t="str">
        <f t="shared" si="1450"/>
        <v/>
      </c>
      <c r="T8858" t="str">
        <f t="shared" si="1451"/>
        <v/>
      </c>
      <c r="U8858" t="str">
        <f t="shared" si="1452"/>
        <v/>
      </c>
      <c r="V8858" t="str">
        <f t="shared" si="1453"/>
        <v/>
      </c>
      <c r="W8858" t="str">
        <f t="shared" si="1454"/>
        <v/>
      </c>
      <c r="X8858">
        <f t="shared" si="1444"/>
        <v>0</v>
      </c>
      <c r="Z8858" t="str">
        <f t="shared" si="1455"/>
        <v/>
      </c>
      <c r="AA8858">
        <f t="shared" si="1445"/>
        <v>0</v>
      </c>
    </row>
    <row r="8859" spans="1:27" ht="21" customHeight="1" x14ac:dyDescent="0.95">
      <c r="A8859" s="56"/>
      <c r="B8859" s="57"/>
      <c r="C8859" s="57"/>
      <c r="D8859" s="57"/>
      <c r="E8859" s="56"/>
      <c r="F8859" s="57"/>
      <c r="G8859" s="57"/>
      <c r="H8859" s="56"/>
      <c r="I8859" s="56"/>
      <c r="J8859" s="58"/>
      <c r="K8859" s="58"/>
      <c r="L8859" s="13" t="str">
        <f t="shared" si="1446"/>
        <v/>
      </c>
      <c r="M8859" s="13" t="str">
        <f t="shared" si="1447"/>
        <v/>
      </c>
      <c r="Q8859" t="str">
        <f t="shared" si="1448"/>
        <v/>
      </c>
      <c r="R8859" t="str">
        <f t="shared" si="1449"/>
        <v/>
      </c>
      <c r="S8859" t="str">
        <f t="shared" si="1450"/>
        <v/>
      </c>
      <c r="T8859" t="str">
        <f t="shared" si="1451"/>
        <v/>
      </c>
      <c r="U8859" t="str">
        <f t="shared" si="1452"/>
        <v/>
      </c>
      <c r="V8859" t="str">
        <f t="shared" si="1453"/>
        <v/>
      </c>
      <c r="W8859" t="str">
        <f t="shared" si="1454"/>
        <v/>
      </c>
      <c r="X8859">
        <f t="shared" si="1444"/>
        <v>0</v>
      </c>
      <c r="Z8859" t="str">
        <f t="shared" si="1455"/>
        <v/>
      </c>
      <c r="AA8859">
        <f t="shared" si="1445"/>
        <v>0</v>
      </c>
    </row>
    <row r="8860" spans="1:27" ht="21" customHeight="1" x14ac:dyDescent="0.95">
      <c r="A8860" s="56"/>
      <c r="B8860" s="57"/>
      <c r="C8860" s="57"/>
      <c r="D8860" s="57"/>
      <c r="E8860" s="56"/>
      <c r="F8860" s="57"/>
      <c r="G8860" s="57"/>
      <c r="H8860" s="56"/>
      <c r="I8860" s="56"/>
      <c r="J8860" s="58"/>
      <c r="K8860" s="58"/>
      <c r="L8860" s="13" t="str">
        <f t="shared" si="1446"/>
        <v/>
      </c>
      <c r="M8860" s="13" t="str">
        <f t="shared" si="1447"/>
        <v/>
      </c>
      <c r="Q8860" t="str">
        <f t="shared" si="1448"/>
        <v/>
      </c>
      <c r="R8860" t="str">
        <f t="shared" si="1449"/>
        <v/>
      </c>
      <c r="S8860" t="str">
        <f t="shared" si="1450"/>
        <v/>
      </c>
      <c r="T8860" t="str">
        <f t="shared" si="1451"/>
        <v/>
      </c>
      <c r="U8860" t="str">
        <f t="shared" si="1452"/>
        <v/>
      </c>
      <c r="V8860" t="str">
        <f t="shared" si="1453"/>
        <v/>
      </c>
      <c r="W8860" t="str">
        <f t="shared" si="1454"/>
        <v/>
      </c>
      <c r="X8860">
        <f t="shared" si="1444"/>
        <v>0</v>
      </c>
      <c r="Z8860" t="str">
        <f t="shared" si="1455"/>
        <v/>
      </c>
      <c r="AA8860">
        <f t="shared" si="1445"/>
        <v>0</v>
      </c>
    </row>
    <row r="8861" spans="1:27" ht="21" customHeight="1" x14ac:dyDescent="0.95">
      <c r="A8861" s="56"/>
      <c r="B8861" s="57"/>
      <c r="C8861" s="57"/>
      <c r="D8861" s="57"/>
      <c r="E8861" s="56"/>
      <c r="F8861" s="57"/>
      <c r="G8861" s="57"/>
      <c r="H8861" s="56"/>
      <c r="I8861" s="56"/>
      <c r="J8861" s="58"/>
      <c r="K8861" s="58"/>
      <c r="L8861" s="13" t="str">
        <f t="shared" si="1446"/>
        <v/>
      </c>
      <c r="M8861" s="13" t="str">
        <f t="shared" si="1447"/>
        <v/>
      </c>
      <c r="Q8861" t="str">
        <f t="shared" si="1448"/>
        <v/>
      </c>
      <c r="R8861" t="str">
        <f t="shared" si="1449"/>
        <v/>
      </c>
      <c r="S8861" t="str">
        <f t="shared" si="1450"/>
        <v/>
      </c>
      <c r="T8861" t="str">
        <f t="shared" si="1451"/>
        <v/>
      </c>
      <c r="U8861" t="str">
        <f t="shared" si="1452"/>
        <v/>
      </c>
      <c r="V8861" t="str">
        <f t="shared" si="1453"/>
        <v/>
      </c>
      <c r="W8861" t="str">
        <f t="shared" si="1454"/>
        <v/>
      </c>
      <c r="X8861">
        <f t="shared" si="1444"/>
        <v>0</v>
      </c>
      <c r="Z8861" t="str">
        <f t="shared" si="1455"/>
        <v/>
      </c>
      <c r="AA8861">
        <f t="shared" si="1445"/>
        <v>0</v>
      </c>
    </row>
    <row r="8862" spans="1:27" ht="21" customHeight="1" x14ac:dyDescent="0.95">
      <c r="A8862" s="56"/>
      <c r="B8862" s="57"/>
      <c r="C8862" s="57"/>
      <c r="D8862" s="57"/>
      <c r="E8862" s="56"/>
      <c r="F8862" s="57"/>
      <c r="G8862" s="57"/>
      <c r="H8862" s="56"/>
      <c r="I8862" s="56"/>
      <c r="J8862" s="58"/>
      <c r="K8862" s="58"/>
      <c r="L8862" s="13" t="str">
        <f t="shared" si="1446"/>
        <v/>
      </c>
      <c r="M8862" s="13" t="str">
        <f t="shared" si="1447"/>
        <v/>
      </c>
      <c r="Q8862" t="str">
        <f t="shared" si="1448"/>
        <v/>
      </c>
      <c r="R8862" t="str">
        <f t="shared" si="1449"/>
        <v/>
      </c>
      <c r="S8862" t="str">
        <f t="shared" si="1450"/>
        <v/>
      </c>
      <c r="T8862" t="str">
        <f t="shared" si="1451"/>
        <v/>
      </c>
      <c r="U8862" t="str">
        <f t="shared" si="1452"/>
        <v/>
      </c>
      <c r="V8862" t="str">
        <f t="shared" si="1453"/>
        <v/>
      </c>
      <c r="W8862" t="str">
        <f t="shared" si="1454"/>
        <v/>
      </c>
      <c r="X8862">
        <f t="shared" si="1444"/>
        <v>0</v>
      </c>
      <c r="Z8862" t="str">
        <f t="shared" si="1455"/>
        <v/>
      </c>
      <c r="AA8862">
        <f t="shared" si="1445"/>
        <v>0</v>
      </c>
    </row>
    <row r="8863" spans="1:27" ht="21" customHeight="1" x14ac:dyDescent="0.95">
      <c r="A8863" s="56"/>
      <c r="B8863" s="57"/>
      <c r="C8863" s="57"/>
      <c r="D8863" s="57"/>
      <c r="E8863" s="56"/>
      <c r="F8863" s="57"/>
      <c r="G8863" s="57"/>
      <c r="H8863" s="56"/>
      <c r="I8863" s="56"/>
      <c r="J8863" s="58"/>
      <c r="K8863" s="58"/>
      <c r="L8863" s="13" t="str">
        <f t="shared" si="1446"/>
        <v/>
      </c>
      <c r="M8863" s="13" t="str">
        <f t="shared" si="1447"/>
        <v/>
      </c>
      <c r="Q8863" t="str">
        <f t="shared" si="1448"/>
        <v/>
      </c>
      <c r="R8863" t="str">
        <f t="shared" si="1449"/>
        <v/>
      </c>
      <c r="S8863" t="str">
        <f t="shared" si="1450"/>
        <v/>
      </c>
      <c r="T8863" t="str">
        <f t="shared" si="1451"/>
        <v/>
      </c>
      <c r="U8863" t="str">
        <f t="shared" si="1452"/>
        <v/>
      </c>
      <c r="V8863" t="str">
        <f t="shared" si="1453"/>
        <v/>
      </c>
      <c r="W8863" t="str">
        <f t="shared" si="1454"/>
        <v/>
      </c>
      <c r="X8863">
        <f t="shared" si="1444"/>
        <v>0</v>
      </c>
      <c r="Z8863" t="str">
        <f t="shared" si="1455"/>
        <v/>
      </c>
      <c r="AA8863">
        <f t="shared" si="1445"/>
        <v>0</v>
      </c>
    </row>
    <row r="8864" spans="1:27" ht="21" customHeight="1" x14ac:dyDescent="0.95">
      <c r="A8864" s="56"/>
      <c r="B8864" s="57"/>
      <c r="C8864" s="57"/>
      <c r="D8864" s="57"/>
      <c r="E8864" s="56"/>
      <c r="F8864" s="57"/>
      <c r="G8864" s="57"/>
      <c r="H8864" s="56"/>
      <c r="I8864" s="56"/>
      <c r="J8864" s="58"/>
      <c r="K8864" s="58"/>
      <c r="L8864" s="13" t="str">
        <f t="shared" si="1446"/>
        <v/>
      </c>
      <c r="M8864" s="13" t="str">
        <f t="shared" si="1447"/>
        <v/>
      </c>
      <c r="Q8864" t="str">
        <f t="shared" si="1448"/>
        <v/>
      </c>
      <c r="R8864" t="str">
        <f t="shared" si="1449"/>
        <v/>
      </c>
      <c r="S8864" t="str">
        <f t="shared" si="1450"/>
        <v/>
      </c>
      <c r="T8864" t="str">
        <f t="shared" si="1451"/>
        <v/>
      </c>
      <c r="U8864" t="str">
        <f t="shared" si="1452"/>
        <v/>
      </c>
      <c r="V8864" t="str">
        <f t="shared" si="1453"/>
        <v/>
      </c>
      <c r="W8864" t="str">
        <f t="shared" si="1454"/>
        <v/>
      </c>
      <c r="X8864">
        <f t="shared" si="1444"/>
        <v>0</v>
      </c>
      <c r="Z8864" t="str">
        <f t="shared" si="1455"/>
        <v/>
      </c>
      <c r="AA8864">
        <f t="shared" si="1445"/>
        <v>0</v>
      </c>
    </row>
    <row r="8865" spans="1:27" ht="21" customHeight="1" x14ac:dyDescent="0.95">
      <c r="A8865" s="56"/>
      <c r="B8865" s="57"/>
      <c r="C8865" s="57"/>
      <c r="D8865" s="57"/>
      <c r="E8865" s="56"/>
      <c r="F8865" s="57"/>
      <c r="G8865" s="57"/>
      <c r="H8865" s="56"/>
      <c r="I8865" s="56"/>
      <c r="J8865" s="58"/>
      <c r="K8865" s="58"/>
      <c r="L8865" s="13" t="str">
        <f t="shared" si="1446"/>
        <v/>
      </c>
      <c r="M8865" s="13" t="str">
        <f t="shared" si="1447"/>
        <v/>
      </c>
      <c r="Q8865" t="str">
        <f t="shared" si="1448"/>
        <v/>
      </c>
      <c r="R8865" t="str">
        <f t="shared" si="1449"/>
        <v/>
      </c>
      <c r="S8865" t="str">
        <f t="shared" si="1450"/>
        <v/>
      </c>
      <c r="T8865" t="str">
        <f t="shared" si="1451"/>
        <v/>
      </c>
      <c r="U8865" t="str">
        <f t="shared" si="1452"/>
        <v/>
      </c>
      <c r="V8865" t="str">
        <f t="shared" si="1453"/>
        <v/>
      </c>
      <c r="W8865" t="str">
        <f t="shared" si="1454"/>
        <v/>
      </c>
      <c r="X8865">
        <f t="shared" si="1444"/>
        <v>0</v>
      </c>
      <c r="Z8865" t="str">
        <f t="shared" si="1455"/>
        <v/>
      </c>
      <c r="AA8865">
        <f t="shared" si="1445"/>
        <v>0</v>
      </c>
    </row>
    <row r="8866" spans="1:27" ht="21" customHeight="1" x14ac:dyDescent="0.95">
      <c r="A8866" s="56"/>
      <c r="B8866" s="57"/>
      <c r="C8866" s="57"/>
      <c r="D8866" s="57"/>
      <c r="E8866" s="56"/>
      <c r="F8866" s="57"/>
      <c r="G8866" s="57"/>
      <c r="H8866" s="56"/>
      <c r="I8866" s="56"/>
      <c r="J8866" s="58"/>
      <c r="K8866" s="58"/>
      <c r="L8866" s="13" t="str">
        <f t="shared" si="1446"/>
        <v/>
      </c>
      <c r="M8866" s="13" t="str">
        <f t="shared" si="1447"/>
        <v/>
      </c>
      <c r="Q8866" t="str">
        <f t="shared" si="1448"/>
        <v/>
      </c>
      <c r="R8866" t="str">
        <f t="shared" si="1449"/>
        <v/>
      </c>
      <c r="S8866" t="str">
        <f t="shared" si="1450"/>
        <v/>
      </c>
      <c r="T8866" t="str">
        <f t="shared" si="1451"/>
        <v/>
      </c>
      <c r="U8866" t="str">
        <f t="shared" si="1452"/>
        <v/>
      </c>
      <c r="V8866" t="str">
        <f t="shared" si="1453"/>
        <v/>
      </c>
      <c r="W8866" t="str">
        <f t="shared" si="1454"/>
        <v/>
      </c>
      <c r="X8866">
        <f t="shared" si="1444"/>
        <v>0</v>
      </c>
      <c r="Z8866" t="str">
        <f t="shared" si="1455"/>
        <v/>
      </c>
      <c r="AA8866">
        <f t="shared" si="1445"/>
        <v>0</v>
      </c>
    </row>
    <row r="8867" spans="1:27" ht="21" customHeight="1" x14ac:dyDescent="0.95">
      <c r="A8867" s="56"/>
      <c r="B8867" s="57"/>
      <c r="C8867" s="57"/>
      <c r="D8867" s="57"/>
      <c r="E8867" s="56"/>
      <c r="F8867" s="57"/>
      <c r="G8867" s="57"/>
      <c r="H8867" s="56"/>
      <c r="I8867" s="56"/>
      <c r="J8867" s="58"/>
      <c r="K8867" s="58"/>
      <c r="L8867" s="13" t="str">
        <f t="shared" si="1446"/>
        <v/>
      </c>
      <c r="M8867" s="13" t="str">
        <f t="shared" si="1447"/>
        <v/>
      </c>
      <c r="Q8867" t="str">
        <f t="shared" si="1448"/>
        <v/>
      </c>
      <c r="R8867" t="str">
        <f t="shared" si="1449"/>
        <v/>
      </c>
      <c r="S8867" t="str">
        <f t="shared" si="1450"/>
        <v/>
      </c>
      <c r="T8867" t="str">
        <f t="shared" si="1451"/>
        <v/>
      </c>
      <c r="U8867" t="str">
        <f t="shared" si="1452"/>
        <v/>
      </c>
      <c r="V8867" t="str">
        <f t="shared" si="1453"/>
        <v/>
      </c>
      <c r="W8867" t="str">
        <f t="shared" si="1454"/>
        <v/>
      </c>
      <c r="X8867">
        <f t="shared" si="1444"/>
        <v>0</v>
      </c>
      <c r="Z8867" t="str">
        <f t="shared" si="1455"/>
        <v/>
      </c>
      <c r="AA8867">
        <f t="shared" si="1445"/>
        <v>0</v>
      </c>
    </row>
    <row r="8868" spans="1:27" ht="21" customHeight="1" x14ac:dyDescent="0.95">
      <c r="A8868" s="56"/>
      <c r="B8868" s="57"/>
      <c r="C8868" s="57"/>
      <c r="D8868" s="57"/>
      <c r="E8868" s="56"/>
      <c r="F8868" s="57"/>
      <c r="G8868" s="57"/>
      <c r="H8868" s="56"/>
      <c r="I8868" s="56"/>
      <c r="J8868" s="58"/>
      <c r="K8868" s="58"/>
      <c r="L8868" s="13" t="str">
        <f t="shared" si="1446"/>
        <v/>
      </c>
      <c r="M8868" s="13" t="str">
        <f t="shared" si="1447"/>
        <v/>
      </c>
      <c r="Q8868" t="str">
        <f t="shared" si="1448"/>
        <v/>
      </c>
      <c r="R8868" t="str">
        <f t="shared" si="1449"/>
        <v/>
      </c>
      <c r="S8868" t="str">
        <f t="shared" si="1450"/>
        <v/>
      </c>
      <c r="T8868" t="str">
        <f t="shared" si="1451"/>
        <v/>
      </c>
      <c r="U8868" t="str">
        <f t="shared" si="1452"/>
        <v/>
      </c>
      <c r="V8868" t="str">
        <f t="shared" si="1453"/>
        <v/>
      </c>
      <c r="W8868" t="str">
        <f t="shared" si="1454"/>
        <v/>
      </c>
      <c r="X8868">
        <f t="shared" si="1444"/>
        <v>0</v>
      </c>
      <c r="Z8868" t="str">
        <f t="shared" si="1455"/>
        <v/>
      </c>
      <c r="AA8868">
        <f t="shared" si="1445"/>
        <v>0</v>
      </c>
    </row>
    <row r="8869" spans="1:27" ht="21" customHeight="1" x14ac:dyDescent="0.95">
      <c r="A8869" s="56"/>
      <c r="B8869" s="57"/>
      <c r="C8869" s="57"/>
      <c r="D8869" s="57"/>
      <c r="E8869" s="56"/>
      <c r="F8869" s="57"/>
      <c r="G8869" s="57"/>
      <c r="H8869" s="56"/>
      <c r="I8869" s="56"/>
      <c r="J8869" s="58"/>
      <c r="K8869" s="58"/>
      <c r="L8869" s="13" t="str">
        <f t="shared" si="1446"/>
        <v/>
      </c>
      <c r="M8869" s="13" t="str">
        <f t="shared" si="1447"/>
        <v/>
      </c>
      <c r="Q8869" t="str">
        <f t="shared" si="1448"/>
        <v/>
      </c>
      <c r="R8869" t="str">
        <f t="shared" si="1449"/>
        <v/>
      </c>
      <c r="S8869" t="str">
        <f t="shared" si="1450"/>
        <v/>
      </c>
      <c r="T8869" t="str">
        <f t="shared" si="1451"/>
        <v/>
      </c>
      <c r="U8869" t="str">
        <f t="shared" si="1452"/>
        <v/>
      </c>
      <c r="V8869" t="str">
        <f t="shared" si="1453"/>
        <v/>
      </c>
      <c r="W8869" t="str">
        <f t="shared" si="1454"/>
        <v/>
      </c>
      <c r="X8869">
        <f t="shared" si="1444"/>
        <v>0</v>
      </c>
      <c r="Z8869" t="str">
        <f t="shared" si="1455"/>
        <v/>
      </c>
      <c r="AA8869">
        <f t="shared" si="1445"/>
        <v>0</v>
      </c>
    </row>
    <row r="8870" spans="1:27" ht="21" customHeight="1" x14ac:dyDescent="0.95">
      <c r="A8870" s="56"/>
      <c r="B8870" s="57"/>
      <c r="C8870" s="57"/>
      <c r="D8870" s="57"/>
      <c r="E8870" s="56"/>
      <c r="F8870" s="57"/>
      <c r="G8870" s="57"/>
      <c r="H8870" s="56"/>
      <c r="I8870" s="56"/>
      <c r="J8870" s="58"/>
      <c r="K8870" s="58"/>
      <c r="L8870" s="13" t="str">
        <f t="shared" si="1446"/>
        <v/>
      </c>
      <c r="M8870" s="13" t="str">
        <f t="shared" si="1447"/>
        <v/>
      </c>
      <c r="Q8870" t="str">
        <f t="shared" si="1448"/>
        <v/>
      </c>
      <c r="R8870" t="str">
        <f t="shared" si="1449"/>
        <v/>
      </c>
      <c r="S8870" t="str">
        <f t="shared" si="1450"/>
        <v/>
      </c>
      <c r="T8870" t="str">
        <f t="shared" si="1451"/>
        <v/>
      </c>
      <c r="U8870" t="str">
        <f t="shared" si="1452"/>
        <v/>
      </c>
      <c r="V8870" t="str">
        <f t="shared" si="1453"/>
        <v/>
      </c>
      <c r="W8870" t="str">
        <f t="shared" si="1454"/>
        <v/>
      </c>
      <c r="X8870">
        <f t="shared" si="1444"/>
        <v>0</v>
      </c>
      <c r="Z8870" t="str">
        <f t="shared" si="1455"/>
        <v/>
      </c>
      <c r="AA8870">
        <f t="shared" si="1445"/>
        <v>0</v>
      </c>
    </row>
    <row r="8871" spans="1:27" ht="21" customHeight="1" x14ac:dyDescent="0.95">
      <c r="A8871" s="56"/>
      <c r="B8871" s="57"/>
      <c r="C8871" s="57"/>
      <c r="D8871" s="57"/>
      <c r="E8871" s="56"/>
      <c r="F8871" s="57"/>
      <c r="G8871" s="57"/>
      <c r="H8871" s="56"/>
      <c r="I8871" s="56"/>
      <c r="J8871" s="58"/>
      <c r="K8871" s="58"/>
      <c r="L8871" s="13" t="str">
        <f t="shared" si="1446"/>
        <v/>
      </c>
      <c r="M8871" s="13" t="str">
        <f t="shared" si="1447"/>
        <v/>
      </c>
      <c r="Q8871" t="str">
        <f t="shared" si="1448"/>
        <v/>
      </c>
      <c r="R8871" t="str">
        <f t="shared" si="1449"/>
        <v/>
      </c>
      <c r="S8871" t="str">
        <f t="shared" si="1450"/>
        <v/>
      </c>
      <c r="T8871" t="str">
        <f t="shared" si="1451"/>
        <v/>
      </c>
      <c r="U8871" t="str">
        <f t="shared" si="1452"/>
        <v/>
      </c>
      <c r="V8871" t="str">
        <f t="shared" si="1453"/>
        <v/>
      </c>
      <c r="W8871" t="str">
        <f t="shared" si="1454"/>
        <v/>
      </c>
      <c r="X8871">
        <f t="shared" si="1444"/>
        <v>0</v>
      </c>
      <c r="Z8871" t="str">
        <f t="shared" si="1455"/>
        <v/>
      </c>
      <c r="AA8871">
        <f t="shared" si="1445"/>
        <v>0</v>
      </c>
    </row>
    <row r="8872" spans="1:27" ht="21" customHeight="1" x14ac:dyDescent="0.95">
      <c r="A8872" s="56"/>
      <c r="B8872" s="57"/>
      <c r="C8872" s="57"/>
      <c r="D8872" s="57"/>
      <c r="E8872" s="56"/>
      <c r="F8872" s="57"/>
      <c r="G8872" s="57"/>
      <c r="H8872" s="56"/>
      <c r="I8872" s="56"/>
      <c r="J8872" s="58"/>
      <c r="K8872" s="58"/>
      <c r="L8872" s="13" t="str">
        <f t="shared" si="1446"/>
        <v/>
      </c>
      <c r="M8872" s="13" t="str">
        <f t="shared" si="1447"/>
        <v/>
      </c>
      <c r="Q8872" t="str">
        <f t="shared" si="1448"/>
        <v/>
      </c>
      <c r="R8872" t="str">
        <f t="shared" si="1449"/>
        <v/>
      </c>
      <c r="S8872" t="str">
        <f t="shared" si="1450"/>
        <v/>
      </c>
      <c r="T8872" t="str">
        <f t="shared" si="1451"/>
        <v/>
      </c>
      <c r="U8872" t="str">
        <f t="shared" si="1452"/>
        <v/>
      </c>
      <c r="V8872" t="str">
        <f t="shared" si="1453"/>
        <v/>
      </c>
      <c r="W8872" t="str">
        <f t="shared" si="1454"/>
        <v/>
      </c>
      <c r="X8872">
        <f t="shared" si="1444"/>
        <v>0</v>
      </c>
      <c r="Z8872" t="str">
        <f t="shared" si="1455"/>
        <v/>
      </c>
      <c r="AA8872">
        <f t="shared" si="1445"/>
        <v>0</v>
      </c>
    </row>
    <row r="8873" spans="1:27" ht="21" customHeight="1" x14ac:dyDescent="0.95">
      <c r="A8873" s="56"/>
      <c r="B8873" s="57"/>
      <c r="C8873" s="57"/>
      <c r="D8873" s="57"/>
      <c r="E8873" s="56"/>
      <c r="F8873" s="57"/>
      <c r="G8873" s="57"/>
      <c r="H8873" s="56"/>
      <c r="I8873" s="56"/>
      <c r="J8873" s="58"/>
      <c r="K8873" s="58"/>
      <c r="L8873" s="13" t="str">
        <f t="shared" si="1446"/>
        <v/>
      </c>
      <c r="M8873" s="13" t="str">
        <f t="shared" si="1447"/>
        <v/>
      </c>
      <c r="Q8873" t="str">
        <f t="shared" si="1448"/>
        <v/>
      </c>
      <c r="R8873" t="str">
        <f t="shared" si="1449"/>
        <v/>
      </c>
      <c r="S8873" t="str">
        <f t="shared" si="1450"/>
        <v/>
      </c>
      <c r="T8873" t="str">
        <f t="shared" si="1451"/>
        <v/>
      </c>
      <c r="U8873" t="str">
        <f t="shared" si="1452"/>
        <v/>
      </c>
      <c r="V8873" t="str">
        <f t="shared" si="1453"/>
        <v/>
      </c>
      <c r="W8873" t="str">
        <f t="shared" si="1454"/>
        <v/>
      </c>
      <c r="X8873">
        <f t="shared" si="1444"/>
        <v>0</v>
      </c>
      <c r="Z8873" t="str">
        <f t="shared" si="1455"/>
        <v/>
      </c>
      <c r="AA8873">
        <f t="shared" si="1445"/>
        <v>0</v>
      </c>
    </row>
    <row r="8874" spans="1:27" ht="21" customHeight="1" x14ac:dyDescent="0.95">
      <c r="A8874" s="56"/>
      <c r="B8874" s="57"/>
      <c r="C8874" s="57"/>
      <c r="D8874" s="57"/>
      <c r="E8874" s="56"/>
      <c r="F8874" s="57"/>
      <c r="G8874" s="57"/>
      <c r="H8874" s="56"/>
      <c r="I8874" s="56"/>
      <c r="J8874" s="58"/>
      <c r="K8874" s="58"/>
      <c r="L8874" s="13" t="str">
        <f t="shared" si="1446"/>
        <v/>
      </c>
      <c r="M8874" s="13" t="str">
        <f t="shared" si="1447"/>
        <v/>
      </c>
      <c r="Q8874" t="str">
        <f t="shared" si="1448"/>
        <v/>
      </c>
      <c r="R8874" t="str">
        <f t="shared" si="1449"/>
        <v/>
      </c>
      <c r="S8874" t="str">
        <f t="shared" si="1450"/>
        <v/>
      </c>
      <c r="T8874" t="str">
        <f t="shared" si="1451"/>
        <v/>
      </c>
      <c r="U8874" t="str">
        <f t="shared" si="1452"/>
        <v/>
      </c>
      <c r="V8874" t="str">
        <f t="shared" si="1453"/>
        <v/>
      </c>
      <c r="W8874" t="str">
        <f t="shared" si="1454"/>
        <v/>
      </c>
      <c r="X8874">
        <f t="shared" si="1444"/>
        <v>0</v>
      </c>
      <c r="Z8874" t="str">
        <f t="shared" si="1455"/>
        <v/>
      </c>
      <c r="AA8874">
        <f t="shared" si="1445"/>
        <v>0</v>
      </c>
    </row>
    <row r="8875" spans="1:27" ht="21" customHeight="1" x14ac:dyDescent="0.95">
      <c r="A8875" s="56"/>
      <c r="B8875" s="57"/>
      <c r="C8875" s="57"/>
      <c r="D8875" s="57"/>
      <c r="E8875" s="56"/>
      <c r="F8875" s="57"/>
      <c r="G8875" s="57"/>
      <c r="H8875" s="56"/>
      <c r="I8875" s="56"/>
      <c r="J8875" s="58"/>
      <c r="K8875" s="58"/>
      <c r="L8875" s="13" t="str">
        <f t="shared" si="1446"/>
        <v/>
      </c>
      <c r="M8875" s="13" t="str">
        <f t="shared" si="1447"/>
        <v/>
      </c>
      <c r="Q8875" t="str">
        <f t="shared" si="1448"/>
        <v/>
      </c>
      <c r="R8875" t="str">
        <f t="shared" si="1449"/>
        <v/>
      </c>
      <c r="S8875" t="str">
        <f t="shared" si="1450"/>
        <v/>
      </c>
      <c r="T8875" t="str">
        <f t="shared" si="1451"/>
        <v/>
      </c>
      <c r="U8875" t="str">
        <f t="shared" si="1452"/>
        <v/>
      </c>
      <c r="V8875" t="str">
        <f t="shared" si="1453"/>
        <v/>
      </c>
      <c r="W8875" t="str">
        <f t="shared" si="1454"/>
        <v/>
      </c>
      <c r="X8875">
        <f t="shared" si="1444"/>
        <v>0</v>
      </c>
      <c r="Z8875" t="str">
        <f t="shared" si="1455"/>
        <v/>
      </c>
      <c r="AA8875">
        <f t="shared" si="1445"/>
        <v>0</v>
      </c>
    </row>
    <row r="8876" spans="1:27" ht="21" customHeight="1" x14ac:dyDescent="0.95">
      <c r="A8876" s="56"/>
      <c r="B8876" s="57"/>
      <c r="C8876" s="57"/>
      <c r="D8876" s="57"/>
      <c r="E8876" s="56"/>
      <c r="F8876" s="57"/>
      <c r="G8876" s="57"/>
      <c r="H8876" s="56"/>
      <c r="I8876" s="56"/>
      <c r="J8876" s="58"/>
      <c r="K8876" s="58"/>
      <c r="L8876" s="13" t="str">
        <f t="shared" si="1446"/>
        <v/>
      </c>
      <c r="M8876" s="13" t="str">
        <f t="shared" si="1447"/>
        <v/>
      </c>
      <c r="Q8876" t="str">
        <f t="shared" si="1448"/>
        <v/>
      </c>
      <c r="R8876" t="str">
        <f t="shared" si="1449"/>
        <v/>
      </c>
      <c r="S8876" t="str">
        <f t="shared" si="1450"/>
        <v/>
      </c>
      <c r="T8876" t="str">
        <f t="shared" si="1451"/>
        <v/>
      </c>
      <c r="U8876" t="str">
        <f t="shared" si="1452"/>
        <v/>
      </c>
      <c r="V8876" t="str">
        <f t="shared" si="1453"/>
        <v/>
      </c>
      <c r="W8876" t="str">
        <f t="shared" si="1454"/>
        <v/>
      </c>
      <c r="X8876">
        <f t="shared" si="1444"/>
        <v>0</v>
      </c>
      <c r="Z8876" t="str">
        <f t="shared" si="1455"/>
        <v/>
      </c>
      <c r="AA8876">
        <f t="shared" si="1445"/>
        <v>0</v>
      </c>
    </row>
    <row r="8877" spans="1:27" ht="21" customHeight="1" x14ac:dyDescent="0.95">
      <c r="A8877" s="56"/>
      <c r="B8877" s="57"/>
      <c r="C8877" s="57"/>
      <c r="D8877" s="57"/>
      <c r="E8877" s="56"/>
      <c r="F8877" s="57"/>
      <c r="G8877" s="57"/>
      <c r="H8877" s="56"/>
      <c r="I8877" s="56"/>
      <c r="J8877" s="58"/>
      <c r="K8877" s="58"/>
      <c r="L8877" s="13" t="str">
        <f t="shared" si="1446"/>
        <v/>
      </c>
      <c r="M8877" s="13" t="str">
        <f t="shared" si="1447"/>
        <v/>
      </c>
      <c r="Q8877" t="str">
        <f t="shared" si="1448"/>
        <v/>
      </c>
      <c r="R8877" t="str">
        <f t="shared" si="1449"/>
        <v/>
      </c>
      <c r="S8877" t="str">
        <f t="shared" si="1450"/>
        <v/>
      </c>
      <c r="T8877" t="str">
        <f t="shared" si="1451"/>
        <v/>
      </c>
      <c r="U8877" t="str">
        <f t="shared" si="1452"/>
        <v/>
      </c>
      <c r="V8877" t="str">
        <f t="shared" si="1453"/>
        <v/>
      </c>
      <c r="W8877" t="str">
        <f t="shared" si="1454"/>
        <v/>
      </c>
      <c r="X8877">
        <f t="shared" si="1444"/>
        <v>0</v>
      </c>
      <c r="Z8877" t="str">
        <f t="shared" si="1455"/>
        <v/>
      </c>
      <c r="AA8877">
        <f t="shared" si="1445"/>
        <v>0</v>
      </c>
    </row>
    <row r="8878" spans="1:27" ht="21" customHeight="1" x14ac:dyDescent="0.95">
      <c r="A8878" s="56"/>
      <c r="B8878" s="57"/>
      <c r="C8878" s="57"/>
      <c r="D8878" s="57"/>
      <c r="E8878" s="56"/>
      <c r="F8878" s="57"/>
      <c r="G8878" s="57"/>
      <c r="H8878" s="56"/>
      <c r="I8878" s="56"/>
      <c r="J8878" s="58"/>
      <c r="K8878" s="58"/>
      <c r="L8878" s="13" t="str">
        <f t="shared" si="1446"/>
        <v/>
      </c>
      <c r="M8878" s="13" t="str">
        <f t="shared" si="1447"/>
        <v/>
      </c>
      <c r="Q8878" t="str">
        <f t="shared" si="1448"/>
        <v/>
      </c>
      <c r="R8878" t="str">
        <f t="shared" si="1449"/>
        <v/>
      </c>
      <c r="S8878" t="str">
        <f t="shared" si="1450"/>
        <v/>
      </c>
      <c r="T8878" t="str">
        <f t="shared" si="1451"/>
        <v/>
      </c>
      <c r="U8878" t="str">
        <f t="shared" si="1452"/>
        <v/>
      </c>
      <c r="V8878" t="str">
        <f t="shared" si="1453"/>
        <v/>
      </c>
      <c r="W8878" t="str">
        <f t="shared" si="1454"/>
        <v/>
      </c>
      <c r="X8878">
        <f t="shared" si="1444"/>
        <v>0</v>
      </c>
      <c r="Z8878" t="str">
        <f t="shared" si="1455"/>
        <v/>
      </c>
      <c r="AA8878">
        <f t="shared" si="1445"/>
        <v>0</v>
      </c>
    </row>
    <row r="8879" spans="1:27" ht="21" customHeight="1" x14ac:dyDescent="0.95">
      <c r="A8879" s="56"/>
      <c r="B8879" s="57"/>
      <c r="C8879" s="57"/>
      <c r="D8879" s="57"/>
      <c r="E8879" s="56"/>
      <c r="F8879" s="57"/>
      <c r="G8879" s="57"/>
      <c r="H8879" s="56"/>
      <c r="I8879" s="56"/>
      <c r="J8879" s="58"/>
      <c r="K8879" s="58"/>
      <c r="L8879" s="13" t="str">
        <f t="shared" si="1446"/>
        <v/>
      </c>
      <c r="M8879" s="13" t="str">
        <f t="shared" si="1447"/>
        <v/>
      </c>
      <c r="Q8879" t="str">
        <f t="shared" si="1448"/>
        <v/>
      </c>
      <c r="R8879" t="str">
        <f t="shared" si="1449"/>
        <v/>
      </c>
      <c r="S8879" t="str">
        <f t="shared" si="1450"/>
        <v/>
      </c>
      <c r="T8879" t="str">
        <f t="shared" si="1451"/>
        <v/>
      </c>
      <c r="U8879" t="str">
        <f t="shared" si="1452"/>
        <v/>
      </c>
      <c r="V8879" t="str">
        <f t="shared" si="1453"/>
        <v/>
      </c>
      <c r="W8879" t="str">
        <f t="shared" si="1454"/>
        <v/>
      </c>
      <c r="X8879">
        <f t="shared" si="1444"/>
        <v>0</v>
      </c>
      <c r="Z8879" t="str">
        <f t="shared" si="1455"/>
        <v/>
      </c>
      <c r="AA8879">
        <f t="shared" si="1445"/>
        <v>0</v>
      </c>
    </row>
    <row r="8880" spans="1:27" ht="21" customHeight="1" x14ac:dyDescent="0.95">
      <c r="A8880" s="56"/>
      <c r="B8880" s="57"/>
      <c r="C8880" s="57"/>
      <c r="D8880" s="57"/>
      <c r="E8880" s="56"/>
      <c r="F8880" s="57"/>
      <c r="G8880" s="57"/>
      <c r="H8880" s="56"/>
      <c r="I8880" s="56"/>
      <c r="J8880" s="58"/>
      <c r="K8880" s="58"/>
      <c r="L8880" s="13" t="str">
        <f t="shared" si="1446"/>
        <v/>
      </c>
      <c r="M8880" s="13" t="str">
        <f t="shared" si="1447"/>
        <v/>
      </c>
      <c r="Q8880" t="str">
        <f t="shared" si="1448"/>
        <v/>
      </c>
      <c r="R8880" t="str">
        <f t="shared" si="1449"/>
        <v/>
      </c>
      <c r="S8880" t="str">
        <f t="shared" si="1450"/>
        <v/>
      </c>
      <c r="T8880" t="str">
        <f t="shared" si="1451"/>
        <v/>
      </c>
      <c r="U8880" t="str">
        <f t="shared" si="1452"/>
        <v/>
      </c>
      <c r="V8880" t="str">
        <f t="shared" si="1453"/>
        <v/>
      </c>
      <c r="W8880" t="str">
        <f t="shared" si="1454"/>
        <v/>
      </c>
      <c r="X8880">
        <f t="shared" si="1444"/>
        <v>0</v>
      </c>
      <c r="Z8880" t="str">
        <f t="shared" si="1455"/>
        <v/>
      </c>
      <c r="AA8880">
        <f t="shared" si="1445"/>
        <v>0</v>
      </c>
    </row>
    <row r="8881" spans="1:27" ht="21" customHeight="1" x14ac:dyDescent="0.95">
      <c r="A8881" s="56"/>
      <c r="B8881" s="57"/>
      <c r="C8881" s="57"/>
      <c r="D8881" s="57"/>
      <c r="E8881" s="56"/>
      <c r="F8881" s="57"/>
      <c r="G8881" s="57"/>
      <c r="H8881" s="56"/>
      <c r="I8881" s="56"/>
      <c r="J8881" s="58"/>
      <c r="K8881" s="58"/>
      <c r="L8881" s="13" t="str">
        <f t="shared" si="1446"/>
        <v/>
      </c>
      <c r="M8881" s="13" t="str">
        <f t="shared" si="1447"/>
        <v/>
      </c>
      <c r="Q8881" t="str">
        <f t="shared" si="1448"/>
        <v/>
      </c>
      <c r="R8881" t="str">
        <f t="shared" si="1449"/>
        <v/>
      </c>
      <c r="S8881" t="str">
        <f t="shared" si="1450"/>
        <v/>
      </c>
      <c r="T8881" t="str">
        <f t="shared" si="1451"/>
        <v/>
      </c>
      <c r="U8881" t="str">
        <f t="shared" si="1452"/>
        <v/>
      </c>
      <c r="V8881" t="str">
        <f t="shared" si="1453"/>
        <v/>
      </c>
      <c r="W8881" t="str">
        <f t="shared" si="1454"/>
        <v/>
      </c>
      <c r="X8881">
        <f t="shared" si="1444"/>
        <v>0</v>
      </c>
      <c r="Z8881" t="str">
        <f t="shared" si="1455"/>
        <v/>
      </c>
      <c r="AA8881">
        <f t="shared" si="1445"/>
        <v>0</v>
      </c>
    </row>
    <row r="8882" spans="1:27" ht="21" customHeight="1" x14ac:dyDescent="0.95">
      <c r="A8882" s="56"/>
      <c r="B8882" s="57"/>
      <c r="C8882" s="57"/>
      <c r="D8882" s="57"/>
      <c r="E8882" s="56"/>
      <c r="F8882" s="57"/>
      <c r="G8882" s="57"/>
      <c r="H8882" s="56"/>
      <c r="I8882" s="56"/>
      <c r="J8882" s="58"/>
      <c r="K8882" s="58"/>
      <c r="L8882" s="13" t="str">
        <f t="shared" si="1446"/>
        <v/>
      </c>
      <c r="M8882" s="13" t="str">
        <f t="shared" si="1447"/>
        <v/>
      </c>
      <c r="Q8882" t="str">
        <f t="shared" si="1448"/>
        <v/>
      </c>
      <c r="R8882" t="str">
        <f t="shared" si="1449"/>
        <v/>
      </c>
      <c r="S8882" t="str">
        <f t="shared" si="1450"/>
        <v/>
      </c>
      <c r="T8882" t="str">
        <f t="shared" si="1451"/>
        <v/>
      </c>
      <c r="U8882" t="str">
        <f t="shared" si="1452"/>
        <v/>
      </c>
      <c r="V8882" t="str">
        <f t="shared" si="1453"/>
        <v/>
      </c>
      <c r="W8882" t="str">
        <f t="shared" si="1454"/>
        <v/>
      </c>
      <c r="X8882">
        <f t="shared" si="1444"/>
        <v>0</v>
      </c>
      <c r="Z8882" t="str">
        <f t="shared" si="1455"/>
        <v/>
      </c>
      <c r="AA8882">
        <f t="shared" si="1445"/>
        <v>0</v>
      </c>
    </row>
    <row r="8883" spans="1:27" ht="21" customHeight="1" x14ac:dyDescent="0.95">
      <c r="A8883" s="56"/>
      <c r="B8883" s="57"/>
      <c r="C8883" s="57"/>
      <c r="D8883" s="57"/>
      <c r="E8883" s="56"/>
      <c r="F8883" s="57"/>
      <c r="G8883" s="57"/>
      <c r="H8883" s="56"/>
      <c r="I8883" s="56"/>
      <c r="J8883" s="58"/>
      <c r="K8883" s="58"/>
      <c r="L8883" s="13" t="str">
        <f t="shared" si="1446"/>
        <v/>
      </c>
      <c r="M8883" s="13" t="str">
        <f t="shared" si="1447"/>
        <v/>
      </c>
      <c r="Q8883" t="str">
        <f t="shared" si="1448"/>
        <v/>
      </c>
      <c r="R8883" t="str">
        <f t="shared" si="1449"/>
        <v/>
      </c>
      <c r="S8883" t="str">
        <f t="shared" si="1450"/>
        <v/>
      </c>
      <c r="T8883" t="str">
        <f t="shared" si="1451"/>
        <v/>
      </c>
      <c r="U8883" t="str">
        <f t="shared" si="1452"/>
        <v/>
      </c>
      <c r="V8883" t="str">
        <f t="shared" si="1453"/>
        <v/>
      </c>
      <c r="W8883" t="str">
        <f t="shared" si="1454"/>
        <v/>
      </c>
      <c r="X8883">
        <f t="shared" si="1444"/>
        <v>0</v>
      </c>
      <c r="Z8883" t="str">
        <f t="shared" si="1455"/>
        <v/>
      </c>
      <c r="AA8883">
        <f t="shared" si="1445"/>
        <v>0</v>
      </c>
    </row>
    <row r="8884" spans="1:27" ht="21" customHeight="1" x14ac:dyDescent="0.95">
      <c r="A8884" s="56"/>
      <c r="B8884" s="57"/>
      <c r="C8884" s="57"/>
      <c r="D8884" s="57"/>
      <c r="E8884" s="56"/>
      <c r="F8884" s="57"/>
      <c r="G8884" s="57"/>
      <c r="H8884" s="56"/>
      <c r="I8884" s="56"/>
      <c r="J8884" s="58"/>
      <c r="K8884" s="58"/>
      <c r="L8884" s="13" t="str">
        <f t="shared" si="1446"/>
        <v/>
      </c>
      <c r="M8884" s="13" t="str">
        <f t="shared" si="1447"/>
        <v/>
      </c>
      <c r="Q8884" t="str">
        <f t="shared" si="1448"/>
        <v/>
      </c>
      <c r="R8884" t="str">
        <f t="shared" si="1449"/>
        <v/>
      </c>
      <c r="S8884" t="str">
        <f t="shared" si="1450"/>
        <v/>
      </c>
      <c r="T8884" t="str">
        <f t="shared" si="1451"/>
        <v/>
      </c>
      <c r="U8884" t="str">
        <f t="shared" si="1452"/>
        <v/>
      </c>
      <c r="V8884" t="str">
        <f t="shared" si="1453"/>
        <v/>
      </c>
      <c r="W8884" t="str">
        <f t="shared" si="1454"/>
        <v/>
      </c>
      <c r="X8884">
        <f t="shared" si="1444"/>
        <v>0</v>
      </c>
      <c r="Z8884" t="str">
        <f t="shared" si="1455"/>
        <v/>
      </c>
      <c r="AA8884">
        <f t="shared" si="1445"/>
        <v>0</v>
      </c>
    </row>
    <row r="8885" spans="1:27" ht="21" customHeight="1" x14ac:dyDescent="0.95">
      <c r="A8885" s="56"/>
      <c r="B8885" s="57"/>
      <c r="C8885" s="57"/>
      <c r="D8885" s="57"/>
      <c r="E8885" s="56"/>
      <c r="F8885" s="57"/>
      <c r="G8885" s="57"/>
      <c r="H8885" s="56"/>
      <c r="I8885" s="56"/>
      <c r="J8885" s="58"/>
      <c r="K8885" s="58"/>
      <c r="L8885" s="13" t="str">
        <f t="shared" si="1446"/>
        <v/>
      </c>
      <c r="M8885" s="13" t="str">
        <f t="shared" si="1447"/>
        <v/>
      </c>
      <c r="Q8885" t="str">
        <f t="shared" si="1448"/>
        <v/>
      </c>
      <c r="R8885" t="str">
        <f t="shared" si="1449"/>
        <v/>
      </c>
      <c r="S8885" t="str">
        <f t="shared" si="1450"/>
        <v/>
      </c>
      <c r="T8885" t="str">
        <f t="shared" si="1451"/>
        <v/>
      </c>
      <c r="U8885" t="str">
        <f t="shared" si="1452"/>
        <v/>
      </c>
      <c r="V8885" t="str">
        <f t="shared" si="1453"/>
        <v/>
      </c>
      <c r="W8885" t="str">
        <f t="shared" si="1454"/>
        <v/>
      </c>
      <c r="X8885">
        <f t="shared" ref="X8885:X8948" si="1456">IF($T8885="",N($X8884),IF(MATCH($T8885,$T$6:$T$10005,0)=ROW()-5,N($X8884)+1,N($X8884)))</f>
        <v>0</v>
      </c>
      <c r="Z8885" t="str">
        <f t="shared" si="1455"/>
        <v/>
      </c>
      <c r="AA8885">
        <f t="shared" ref="AA8885:AA8948" si="1457">IF($V8885="",N($AA8884),IF(MATCH($V8885,$V$6:$V$10005,0)=ROW()-5,N($AA8884)+1,N($AA8884)))</f>
        <v>0</v>
      </c>
    </row>
    <row r="8886" spans="1:27" ht="21" customHeight="1" x14ac:dyDescent="0.95">
      <c r="A8886" s="56"/>
      <c r="B8886" s="57"/>
      <c r="C8886" s="57"/>
      <c r="D8886" s="57"/>
      <c r="E8886" s="56"/>
      <c r="F8886" s="57"/>
      <c r="G8886" s="57"/>
      <c r="H8886" s="56"/>
      <c r="I8886" s="56"/>
      <c r="J8886" s="58"/>
      <c r="K8886" s="58"/>
      <c r="L8886" s="13" t="str">
        <f t="shared" si="1446"/>
        <v/>
      </c>
      <c r="M8886" s="13" t="str">
        <f t="shared" si="1447"/>
        <v/>
      </c>
      <c r="Q8886" t="str">
        <f t="shared" si="1448"/>
        <v/>
      </c>
      <c r="R8886" t="str">
        <f t="shared" si="1449"/>
        <v/>
      </c>
      <c r="S8886" t="str">
        <f t="shared" si="1450"/>
        <v/>
      </c>
      <c r="T8886" t="str">
        <f t="shared" si="1451"/>
        <v/>
      </c>
      <c r="U8886" t="str">
        <f t="shared" si="1452"/>
        <v/>
      </c>
      <c r="V8886" t="str">
        <f t="shared" si="1453"/>
        <v/>
      </c>
      <c r="W8886" t="str">
        <f t="shared" si="1454"/>
        <v/>
      </c>
      <c r="X8886">
        <f t="shared" si="1456"/>
        <v>0</v>
      </c>
      <c r="Z8886" t="str">
        <f t="shared" si="1455"/>
        <v/>
      </c>
      <c r="AA8886">
        <f t="shared" si="1457"/>
        <v>0</v>
      </c>
    </row>
    <row r="8887" spans="1:27" ht="21" customHeight="1" x14ac:dyDescent="0.95">
      <c r="A8887" s="56"/>
      <c r="B8887" s="57"/>
      <c r="C8887" s="57"/>
      <c r="D8887" s="57"/>
      <c r="E8887" s="56"/>
      <c r="F8887" s="57"/>
      <c r="G8887" s="57"/>
      <c r="H8887" s="56"/>
      <c r="I8887" s="56"/>
      <c r="J8887" s="58"/>
      <c r="K8887" s="58"/>
      <c r="L8887" s="13" t="str">
        <f t="shared" si="1446"/>
        <v/>
      </c>
      <c r="M8887" s="13" t="str">
        <f t="shared" si="1447"/>
        <v/>
      </c>
      <c r="Q8887" t="str">
        <f t="shared" si="1448"/>
        <v/>
      </c>
      <c r="R8887" t="str">
        <f t="shared" si="1449"/>
        <v/>
      </c>
      <c r="S8887" t="str">
        <f t="shared" si="1450"/>
        <v/>
      </c>
      <c r="T8887" t="str">
        <f t="shared" si="1451"/>
        <v/>
      </c>
      <c r="U8887" t="str">
        <f t="shared" si="1452"/>
        <v/>
      </c>
      <c r="V8887" t="str">
        <f t="shared" si="1453"/>
        <v/>
      </c>
      <c r="W8887" t="str">
        <f t="shared" si="1454"/>
        <v/>
      </c>
      <c r="X8887">
        <f t="shared" si="1456"/>
        <v>0</v>
      </c>
      <c r="Z8887" t="str">
        <f t="shared" si="1455"/>
        <v/>
      </c>
      <c r="AA8887">
        <f t="shared" si="1457"/>
        <v>0</v>
      </c>
    </row>
    <row r="8888" spans="1:27" ht="21" customHeight="1" x14ac:dyDescent="0.95">
      <c r="A8888" s="56"/>
      <c r="B8888" s="57"/>
      <c r="C8888" s="57"/>
      <c r="D8888" s="57"/>
      <c r="E8888" s="56"/>
      <c r="F8888" s="57"/>
      <c r="G8888" s="57"/>
      <c r="H8888" s="56"/>
      <c r="I8888" s="56"/>
      <c r="J8888" s="58"/>
      <c r="K8888" s="58"/>
      <c r="L8888" s="13" t="str">
        <f t="shared" si="1446"/>
        <v/>
      </c>
      <c r="M8888" s="13" t="str">
        <f t="shared" si="1447"/>
        <v/>
      </c>
      <c r="Q8888" t="str">
        <f t="shared" si="1448"/>
        <v/>
      </c>
      <c r="R8888" t="str">
        <f t="shared" si="1449"/>
        <v/>
      </c>
      <c r="S8888" t="str">
        <f t="shared" si="1450"/>
        <v/>
      </c>
      <c r="T8888" t="str">
        <f t="shared" si="1451"/>
        <v/>
      </c>
      <c r="U8888" t="str">
        <f t="shared" si="1452"/>
        <v/>
      </c>
      <c r="V8888" t="str">
        <f t="shared" si="1453"/>
        <v/>
      </c>
      <c r="W8888" t="str">
        <f t="shared" si="1454"/>
        <v/>
      </c>
      <c r="X8888">
        <f t="shared" si="1456"/>
        <v>0</v>
      </c>
      <c r="Z8888" t="str">
        <f t="shared" si="1455"/>
        <v/>
      </c>
      <c r="AA8888">
        <f t="shared" si="1457"/>
        <v>0</v>
      </c>
    </row>
    <row r="8889" spans="1:27" ht="21" customHeight="1" x14ac:dyDescent="0.95">
      <c r="A8889" s="56"/>
      <c r="B8889" s="57"/>
      <c r="C8889" s="57"/>
      <c r="D8889" s="57"/>
      <c r="E8889" s="56"/>
      <c r="F8889" s="57"/>
      <c r="G8889" s="57"/>
      <c r="H8889" s="56"/>
      <c r="I8889" s="56"/>
      <c r="J8889" s="58"/>
      <c r="K8889" s="58"/>
      <c r="L8889" s="13" t="str">
        <f t="shared" si="1446"/>
        <v/>
      </c>
      <c r="M8889" s="13" t="str">
        <f t="shared" si="1447"/>
        <v/>
      </c>
      <c r="Q8889" t="str">
        <f t="shared" si="1448"/>
        <v/>
      </c>
      <c r="R8889" t="str">
        <f t="shared" si="1449"/>
        <v/>
      </c>
      <c r="S8889" t="str">
        <f t="shared" si="1450"/>
        <v/>
      </c>
      <c r="T8889" t="str">
        <f t="shared" si="1451"/>
        <v/>
      </c>
      <c r="U8889" t="str">
        <f t="shared" si="1452"/>
        <v/>
      </c>
      <c r="V8889" t="str">
        <f t="shared" si="1453"/>
        <v/>
      </c>
      <c r="W8889" t="str">
        <f t="shared" si="1454"/>
        <v/>
      </c>
      <c r="X8889">
        <f t="shared" si="1456"/>
        <v>0</v>
      </c>
      <c r="Z8889" t="str">
        <f t="shared" si="1455"/>
        <v/>
      </c>
      <c r="AA8889">
        <f t="shared" si="1457"/>
        <v>0</v>
      </c>
    </row>
    <row r="8890" spans="1:27" ht="21" customHeight="1" x14ac:dyDescent="0.95">
      <c r="A8890" s="56"/>
      <c r="B8890" s="57"/>
      <c r="C8890" s="57"/>
      <c r="D8890" s="57"/>
      <c r="E8890" s="56"/>
      <c r="F8890" s="57"/>
      <c r="G8890" s="57"/>
      <c r="H8890" s="56"/>
      <c r="I8890" s="56"/>
      <c r="J8890" s="58"/>
      <c r="K8890" s="58"/>
      <c r="L8890" s="13" t="str">
        <f t="shared" si="1446"/>
        <v/>
      </c>
      <c r="M8890" s="13" t="str">
        <f t="shared" si="1447"/>
        <v/>
      </c>
      <c r="Q8890" t="str">
        <f t="shared" si="1448"/>
        <v/>
      </c>
      <c r="R8890" t="str">
        <f t="shared" si="1449"/>
        <v/>
      </c>
      <c r="S8890" t="str">
        <f t="shared" si="1450"/>
        <v/>
      </c>
      <c r="T8890" t="str">
        <f t="shared" si="1451"/>
        <v/>
      </c>
      <c r="U8890" t="str">
        <f t="shared" si="1452"/>
        <v/>
      </c>
      <c r="V8890" t="str">
        <f t="shared" si="1453"/>
        <v/>
      </c>
      <c r="W8890" t="str">
        <f t="shared" si="1454"/>
        <v/>
      </c>
      <c r="X8890">
        <f t="shared" si="1456"/>
        <v>0</v>
      </c>
      <c r="Z8890" t="str">
        <f t="shared" si="1455"/>
        <v/>
      </c>
      <c r="AA8890">
        <f t="shared" si="1457"/>
        <v>0</v>
      </c>
    </row>
    <row r="8891" spans="1:27" ht="21" customHeight="1" x14ac:dyDescent="0.95">
      <c r="A8891" s="56"/>
      <c r="B8891" s="57"/>
      <c r="C8891" s="57"/>
      <c r="D8891" s="57"/>
      <c r="E8891" s="56"/>
      <c r="F8891" s="57"/>
      <c r="G8891" s="57"/>
      <c r="H8891" s="56"/>
      <c r="I8891" s="56"/>
      <c r="J8891" s="58"/>
      <c r="K8891" s="58"/>
      <c r="L8891" s="13" t="str">
        <f t="shared" si="1446"/>
        <v/>
      </c>
      <c r="M8891" s="13" t="str">
        <f t="shared" si="1447"/>
        <v/>
      </c>
      <c r="Q8891" t="str">
        <f t="shared" si="1448"/>
        <v/>
      </c>
      <c r="R8891" t="str">
        <f t="shared" si="1449"/>
        <v/>
      </c>
      <c r="S8891" t="str">
        <f t="shared" si="1450"/>
        <v/>
      </c>
      <c r="T8891" t="str">
        <f t="shared" si="1451"/>
        <v/>
      </c>
      <c r="U8891" t="str">
        <f t="shared" si="1452"/>
        <v/>
      </c>
      <c r="V8891" t="str">
        <f t="shared" si="1453"/>
        <v/>
      </c>
      <c r="W8891" t="str">
        <f t="shared" si="1454"/>
        <v/>
      </c>
      <c r="X8891">
        <f t="shared" si="1456"/>
        <v>0</v>
      </c>
      <c r="Z8891" t="str">
        <f t="shared" si="1455"/>
        <v/>
      </c>
      <c r="AA8891">
        <f t="shared" si="1457"/>
        <v>0</v>
      </c>
    </row>
    <row r="8892" spans="1:27" ht="21" customHeight="1" x14ac:dyDescent="0.95">
      <c r="A8892" s="56"/>
      <c r="B8892" s="57"/>
      <c r="C8892" s="57"/>
      <c r="D8892" s="57"/>
      <c r="E8892" s="56"/>
      <c r="F8892" s="57"/>
      <c r="G8892" s="57"/>
      <c r="H8892" s="56"/>
      <c r="I8892" s="56"/>
      <c r="J8892" s="58"/>
      <c r="K8892" s="58"/>
      <c r="L8892" s="13" t="str">
        <f t="shared" si="1446"/>
        <v/>
      </c>
      <c r="M8892" s="13" t="str">
        <f t="shared" si="1447"/>
        <v/>
      </c>
      <c r="Q8892" t="str">
        <f t="shared" si="1448"/>
        <v/>
      </c>
      <c r="R8892" t="str">
        <f t="shared" si="1449"/>
        <v/>
      </c>
      <c r="S8892" t="str">
        <f t="shared" si="1450"/>
        <v/>
      </c>
      <c r="T8892" t="str">
        <f t="shared" si="1451"/>
        <v/>
      </c>
      <c r="U8892" t="str">
        <f t="shared" si="1452"/>
        <v/>
      </c>
      <c r="V8892" t="str">
        <f t="shared" si="1453"/>
        <v/>
      </c>
      <c r="W8892" t="str">
        <f t="shared" si="1454"/>
        <v/>
      </c>
      <c r="X8892">
        <f t="shared" si="1456"/>
        <v>0</v>
      </c>
      <c r="Z8892" t="str">
        <f t="shared" si="1455"/>
        <v/>
      </c>
      <c r="AA8892">
        <f t="shared" si="1457"/>
        <v>0</v>
      </c>
    </row>
    <row r="8893" spans="1:27" ht="21" customHeight="1" x14ac:dyDescent="0.95">
      <c r="A8893" s="56"/>
      <c r="B8893" s="57"/>
      <c r="C8893" s="57"/>
      <c r="D8893" s="57"/>
      <c r="E8893" s="56"/>
      <c r="F8893" s="57"/>
      <c r="G8893" s="57"/>
      <c r="H8893" s="56"/>
      <c r="I8893" s="56"/>
      <c r="J8893" s="58"/>
      <c r="K8893" s="58"/>
      <c r="L8893" s="13" t="str">
        <f t="shared" si="1446"/>
        <v/>
      </c>
      <c r="M8893" s="13" t="str">
        <f t="shared" si="1447"/>
        <v/>
      </c>
      <c r="Q8893" t="str">
        <f t="shared" si="1448"/>
        <v/>
      </c>
      <c r="R8893" t="str">
        <f t="shared" si="1449"/>
        <v/>
      </c>
      <c r="S8893" t="str">
        <f t="shared" si="1450"/>
        <v/>
      </c>
      <c r="T8893" t="str">
        <f t="shared" si="1451"/>
        <v/>
      </c>
      <c r="U8893" t="str">
        <f t="shared" si="1452"/>
        <v/>
      </c>
      <c r="V8893" t="str">
        <f t="shared" si="1453"/>
        <v/>
      </c>
      <c r="W8893" t="str">
        <f t="shared" si="1454"/>
        <v/>
      </c>
      <c r="X8893">
        <f t="shared" si="1456"/>
        <v>0</v>
      </c>
      <c r="Z8893" t="str">
        <f t="shared" si="1455"/>
        <v/>
      </c>
      <c r="AA8893">
        <f t="shared" si="1457"/>
        <v>0</v>
      </c>
    </row>
    <row r="8894" spans="1:27" ht="21" customHeight="1" x14ac:dyDescent="0.95">
      <c r="A8894" s="56"/>
      <c r="B8894" s="57"/>
      <c r="C8894" s="57"/>
      <c r="D8894" s="57"/>
      <c r="E8894" s="56"/>
      <c r="F8894" s="57"/>
      <c r="G8894" s="57"/>
      <c r="H8894" s="56"/>
      <c r="I8894" s="56"/>
      <c r="J8894" s="58"/>
      <c r="K8894" s="58"/>
      <c r="L8894" s="13" t="str">
        <f t="shared" si="1446"/>
        <v/>
      </c>
      <c r="M8894" s="13" t="str">
        <f t="shared" si="1447"/>
        <v/>
      </c>
      <c r="Q8894" t="str">
        <f t="shared" si="1448"/>
        <v/>
      </c>
      <c r="R8894" t="str">
        <f t="shared" si="1449"/>
        <v/>
      </c>
      <c r="S8894" t="str">
        <f t="shared" si="1450"/>
        <v/>
      </c>
      <c r="T8894" t="str">
        <f t="shared" si="1451"/>
        <v/>
      </c>
      <c r="U8894" t="str">
        <f t="shared" si="1452"/>
        <v/>
      </c>
      <c r="V8894" t="str">
        <f t="shared" si="1453"/>
        <v/>
      </c>
      <c r="W8894" t="str">
        <f t="shared" si="1454"/>
        <v/>
      </c>
      <c r="X8894">
        <f t="shared" si="1456"/>
        <v>0</v>
      </c>
      <c r="Z8894" t="str">
        <f t="shared" si="1455"/>
        <v/>
      </c>
      <c r="AA8894">
        <f t="shared" si="1457"/>
        <v>0</v>
      </c>
    </row>
    <row r="8895" spans="1:27" ht="21" customHeight="1" x14ac:dyDescent="0.95">
      <c r="A8895" s="56"/>
      <c r="B8895" s="57"/>
      <c r="C8895" s="57"/>
      <c r="D8895" s="57"/>
      <c r="E8895" s="56"/>
      <c r="F8895" s="57"/>
      <c r="G8895" s="57"/>
      <c r="H8895" s="56"/>
      <c r="I8895" s="56"/>
      <c r="J8895" s="58"/>
      <c r="K8895" s="58"/>
      <c r="L8895" s="13" t="str">
        <f t="shared" si="1446"/>
        <v/>
      </c>
      <c r="M8895" s="13" t="str">
        <f t="shared" si="1447"/>
        <v/>
      </c>
      <c r="Q8895" t="str">
        <f t="shared" si="1448"/>
        <v/>
      </c>
      <c r="R8895" t="str">
        <f t="shared" si="1449"/>
        <v/>
      </c>
      <c r="S8895" t="str">
        <f t="shared" si="1450"/>
        <v/>
      </c>
      <c r="T8895" t="str">
        <f t="shared" si="1451"/>
        <v/>
      </c>
      <c r="U8895" t="str">
        <f t="shared" si="1452"/>
        <v/>
      </c>
      <c r="V8895" t="str">
        <f t="shared" si="1453"/>
        <v/>
      </c>
      <c r="W8895" t="str">
        <f t="shared" si="1454"/>
        <v/>
      </c>
      <c r="X8895">
        <f t="shared" si="1456"/>
        <v>0</v>
      </c>
      <c r="Z8895" t="str">
        <f t="shared" si="1455"/>
        <v/>
      </c>
      <c r="AA8895">
        <f t="shared" si="1457"/>
        <v>0</v>
      </c>
    </row>
    <row r="8896" spans="1:27" ht="21" customHeight="1" x14ac:dyDescent="0.95">
      <c r="A8896" s="56"/>
      <c r="B8896" s="57"/>
      <c r="C8896" s="57"/>
      <c r="D8896" s="57"/>
      <c r="E8896" s="56"/>
      <c r="F8896" s="57"/>
      <c r="G8896" s="57"/>
      <c r="H8896" s="56"/>
      <c r="I8896" s="56"/>
      <c r="J8896" s="58"/>
      <c r="K8896" s="58"/>
      <c r="L8896" s="13" t="str">
        <f t="shared" si="1446"/>
        <v/>
      </c>
      <c r="M8896" s="13" t="str">
        <f t="shared" si="1447"/>
        <v/>
      </c>
      <c r="Q8896" t="str">
        <f t="shared" si="1448"/>
        <v/>
      </c>
      <c r="R8896" t="str">
        <f t="shared" si="1449"/>
        <v/>
      </c>
      <c r="S8896" t="str">
        <f t="shared" si="1450"/>
        <v/>
      </c>
      <c r="T8896" t="str">
        <f t="shared" si="1451"/>
        <v/>
      </c>
      <c r="U8896" t="str">
        <f t="shared" si="1452"/>
        <v/>
      </c>
      <c r="V8896" t="str">
        <f t="shared" si="1453"/>
        <v/>
      </c>
      <c r="W8896" t="str">
        <f t="shared" si="1454"/>
        <v/>
      </c>
      <c r="X8896">
        <f t="shared" si="1456"/>
        <v>0</v>
      </c>
      <c r="Z8896" t="str">
        <f t="shared" si="1455"/>
        <v/>
      </c>
      <c r="AA8896">
        <f t="shared" si="1457"/>
        <v>0</v>
      </c>
    </row>
    <row r="8897" spans="1:27" ht="21" customHeight="1" x14ac:dyDescent="0.95">
      <c r="A8897" s="56"/>
      <c r="B8897" s="57"/>
      <c r="C8897" s="57"/>
      <c r="D8897" s="57"/>
      <c r="E8897" s="56"/>
      <c r="F8897" s="57"/>
      <c r="G8897" s="57"/>
      <c r="H8897" s="56"/>
      <c r="I8897" s="56"/>
      <c r="J8897" s="58"/>
      <c r="K8897" s="58"/>
      <c r="L8897" s="13" t="str">
        <f t="shared" si="1446"/>
        <v/>
      </c>
      <c r="M8897" s="13" t="str">
        <f t="shared" si="1447"/>
        <v/>
      </c>
      <c r="Q8897" t="str">
        <f t="shared" si="1448"/>
        <v/>
      </c>
      <c r="R8897" t="str">
        <f t="shared" si="1449"/>
        <v/>
      </c>
      <c r="S8897" t="str">
        <f t="shared" si="1450"/>
        <v/>
      </c>
      <c r="T8897" t="str">
        <f t="shared" si="1451"/>
        <v/>
      </c>
      <c r="U8897" t="str">
        <f t="shared" si="1452"/>
        <v/>
      </c>
      <c r="V8897" t="str">
        <f t="shared" si="1453"/>
        <v/>
      </c>
      <c r="W8897" t="str">
        <f t="shared" si="1454"/>
        <v/>
      </c>
      <c r="X8897">
        <f t="shared" si="1456"/>
        <v>0</v>
      </c>
      <c r="Z8897" t="str">
        <f t="shared" si="1455"/>
        <v/>
      </c>
      <c r="AA8897">
        <f t="shared" si="1457"/>
        <v>0</v>
      </c>
    </row>
    <row r="8898" spans="1:27" ht="21" customHeight="1" x14ac:dyDescent="0.95">
      <c r="A8898" s="56"/>
      <c r="B8898" s="57"/>
      <c r="C8898" s="57"/>
      <c r="D8898" s="57"/>
      <c r="E8898" s="56"/>
      <c r="F8898" s="57"/>
      <c r="G8898" s="57"/>
      <c r="H8898" s="56"/>
      <c r="I8898" s="56"/>
      <c r="J8898" s="58"/>
      <c r="K8898" s="58"/>
      <c r="L8898" s="13" t="str">
        <f t="shared" si="1446"/>
        <v/>
      </c>
      <c r="M8898" s="13" t="str">
        <f t="shared" si="1447"/>
        <v/>
      </c>
      <c r="Q8898" t="str">
        <f t="shared" si="1448"/>
        <v/>
      </c>
      <c r="R8898" t="str">
        <f t="shared" si="1449"/>
        <v/>
      </c>
      <c r="S8898" t="str">
        <f t="shared" si="1450"/>
        <v/>
      </c>
      <c r="T8898" t="str">
        <f t="shared" si="1451"/>
        <v/>
      </c>
      <c r="U8898" t="str">
        <f t="shared" si="1452"/>
        <v/>
      </c>
      <c r="V8898" t="str">
        <f t="shared" si="1453"/>
        <v/>
      </c>
      <c r="W8898" t="str">
        <f t="shared" si="1454"/>
        <v/>
      </c>
      <c r="X8898">
        <f t="shared" si="1456"/>
        <v>0</v>
      </c>
      <c r="Z8898" t="str">
        <f t="shared" si="1455"/>
        <v/>
      </c>
      <c r="AA8898">
        <f t="shared" si="1457"/>
        <v>0</v>
      </c>
    </row>
    <row r="8899" spans="1:27" ht="21" customHeight="1" x14ac:dyDescent="0.95">
      <c r="A8899" s="56"/>
      <c r="B8899" s="57"/>
      <c r="C8899" s="57"/>
      <c r="D8899" s="57"/>
      <c r="E8899" s="56"/>
      <c r="F8899" s="57"/>
      <c r="G8899" s="57"/>
      <c r="H8899" s="56"/>
      <c r="I8899" s="56"/>
      <c r="J8899" s="58"/>
      <c r="K8899" s="58"/>
      <c r="L8899" s="13" t="str">
        <f t="shared" si="1446"/>
        <v/>
      </c>
      <c r="M8899" s="13" t="str">
        <f t="shared" si="1447"/>
        <v/>
      </c>
      <c r="Q8899" t="str">
        <f t="shared" si="1448"/>
        <v/>
      </c>
      <c r="R8899" t="str">
        <f t="shared" si="1449"/>
        <v/>
      </c>
      <c r="S8899" t="str">
        <f t="shared" si="1450"/>
        <v/>
      </c>
      <c r="T8899" t="str">
        <f t="shared" si="1451"/>
        <v/>
      </c>
      <c r="U8899" t="str">
        <f t="shared" si="1452"/>
        <v/>
      </c>
      <c r="V8899" t="str">
        <f t="shared" si="1453"/>
        <v/>
      </c>
      <c r="W8899" t="str">
        <f t="shared" si="1454"/>
        <v/>
      </c>
      <c r="X8899">
        <f t="shared" si="1456"/>
        <v>0</v>
      </c>
      <c r="Z8899" t="str">
        <f t="shared" si="1455"/>
        <v/>
      </c>
      <c r="AA8899">
        <f t="shared" si="1457"/>
        <v>0</v>
      </c>
    </row>
    <row r="8900" spans="1:27" ht="21" customHeight="1" x14ac:dyDescent="0.95">
      <c r="A8900" s="56"/>
      <c r="B8900" s="57"/>
      <c r="C8900" s="57"/>
      <c r="D8900" s="57"/>
      <c r="E8900" s="56"/>
      <c r="F8900" s="57"/>
      <c r="G8900" s="57"/>
      <c r="H8900" s="56"/>
      <c r="I8900" s="56"/>
      <c r="J8900" s="58"/>
      <c r="K8900" s="58"/>
      <c r="L8900" s="13" t="str">
        <f t="shared" ref="L8900:L8963" si="1458">IF(OR($A8900="",AND($J8900="",$K8900="")),"",ROUND(N($J8900)-N($K8900),2))</f>
        <v/>
      </c>
      <c r="M8900" s="13" t="str">
        <f t="shared" ref="M8900:M8963" si="1459">IF(OR($A8900="",AND($J8900="",$K8900="")),"",MIN($J8900,$K8900))</f>
        <v/>
      </c>
      <c r="Q8900" t="str">
        <f t="shared" ref="Q8900:Q8963" si="1460">IF($A8900="","",$D8900&amp;"("&amp;SUBSTITUTE($E8900," ","")&amp;")")</f>
        <v/>
      </c>
      <c r="R8900" t="str">
        <f t="shared" ref="R8900:R8963" si="1461">IF($A8900="","",$B8900&amp;" - "&amp;$C8900)</f>
        <v/>
      </c>
      <c r="S8900" t="str">
        <f t="shared" ref="S8900:S8963" si="1462">IF($A8900="","",$R8900&amp;"|"&amp;$Q8900)</f>
        <v/>
      </c>
      <c r="T8900" t="str">
        <f t="shared" ref="T8900:T8963" si="1463">IF($A8900="","",$S8900&amp;"|"&amp;$F8900)</f>
        <v/>
      </c>
      <c r="U8900" t="str">
        <f t="shared" ref="U8900:U8963" si="1464">IF($A8900="","",$R8900&amp;"("&amp;$E8900&amp;")")</f>
        <v/>
      </c>
      <c r="V8900" t="str">
        <f t="shared" ref="V8900:V8963" si="1465">IF($A8900="","",$F8900&amp;"|"&amp;$U8900&amp;"|"&amp;$D8900)</f>
        <v/>
      </c>
      <c r="W8900" t="str">
        <f t="shared" si="1454"/>
        <v/>
      </c>
      <c r="X8900">
        <f t="shared" si="1456"/>
        <v>0</v>
      </c>
      <c r="Z8900" t="str">
        <f t="shared" si="1455"/>
        <v/>
      </c>
      <c r="AA8900">
        <f t="shared" si="1457"/>
        <v>0</v>
      </c>
    </row>
    <row r="8901" spans="1:27" ht="21" customHeight="1" x14ac:dyDescent="0.95">
      <c r="A8901" s="56"/>
      <c r="B8901" s="57"/>
      <c r="C8901" s="57"/>
      <c r="D8901" s="57"/>
      <c r="E8901" s="56"/>
      <c r="F8901" s="57"/>
      <c r="G8901" s="57"/>
      <c r="H8901" s="56"/>
      <c r="I8901" s="56"/>
      <c r="J8901" s="58"/>
      <c r="K8901" s="58"/>
      <c r="L8901" s="13" t="str">
        <f t="shared" si="1458"/>
        <v/>
      </c>
      <c r="M8901" s="13" t="str">
        <f t="shared" si="1459"/>
        <v/>
      </c>
      <c r="Q8901" t="str">
        <f t="shared" si="1460"/>
        <v/>
      </c>
      <c r="R8901" t="str">
        <f t="shared" si="1461"/>
        <v/>
      </c>
      <c r="S8901" t="str">
        <f t="shared" si="1462"/>
        <v/>
      </c>
      <c r="T8901" t="str">
        <f t="shared" si="1463"/>
        <v/>
      </c>
      <c r="U8901" t="str">
        <f t="shared" si="1464"/>
        <v/>
      </c>
      <c r="V8901" t="str">
        <f t="shared" si="1465"/>
        <v/>
      </c>
      <c r="W8901" t="str">
        <f t="shared" si="1454"/>
        <v/>
      </c>
      <c r="X8901">
        <f t="shared" si="1456"/>
        <v>0</v>
      </c>
      <c r="Z8901" t="str">
        <f t="shared" si="1455"/>
        <v/>
      </c>
      <c r="AA8901">
        <f t="shared" si="1457"/>
        <v>0</v>
      </c>
    </row>
    <row r="8902" spans="1:27" ht="21" customHeight="1" x14ac:dyDescent="0.95">
      <c r="A8902" s="56"/>
      <c r="B8902" s="57"/>
      <c r="C8902" s="57"/>
      <c r="D8902" s="57"/>
      <c r="E8902" s="56"/>
      <c r="F8902" s="57"/>
      <c r="G8902" s="57"/>
      <c r="H8902" s="56"/>
      <c r="I8902" s="56"/>
      <c r="J8902" s="58"/>
      <c r="K8902" s="58"/>
      <c r="L8902" s="13" t="str">
        <f t="shared" si="1458"/>
        <v/>
      </c>
      <c r="M8902" s="13" t="str">
        <f t="shared" si="1459"/>
        <v/>
      </c>
      <c r="Q8902" t="str">
        <f t="shared" si="1460"/>
        <v/>
      </c>
      <c r="R8902" t="str">
        <f t="shared" si="1461"/>
        <v/>
      </c>
      <c r="S8902" t="str">
        <f t="shared" si="1462"/>
        <v/>
      </c>
      <c r="T8902" t="str">
        <f t="shared" si="1463"/>
        <v/>
      </c>
      <c r="U8902" t="str">
        <f t="shared" si="1464"/>
        <v/>
      </c>
      <c r="V8902" t="str">
        <f t="shared" si="1465"/>
        <v/>
      </c>
      <c r="W8902" t="str">
        <f t="shared" ref="W8902:W8965" si="1466">IF($T8902="","",IF($X8902&gt;N($X8901),$X8902,""))</f>
        <v/>
      </c>
      <c r="X8902">
        <f t="shared" si="1456"/>
        <v>0</v>
      </c>
      <c r="Z8902" t="str">
        <f t="shared" ref="Z8902:Z8965" si="1467">IF($V8902="","",IF($AA8902&gt;N($AA8901),$AA8902,""))</f>
        <v/>
      </c>
      <c r="AA8902">
        <f t="shared" si="1457"/>
        <v>0</v>
      </c>
    </row>
    <row r="8903" spans="1:27" ht="21" customHeight="1" x14ac:dyDescent="0.95">
      <c r="A8903" s="56"/>
      <c r="B8903" s="57"/>
      <c r="C8903" s="57"/>
      <c r="D8903" s="57"/>
      <c r="E8903" s="56"/>
      <c r="F8903" s="57"/>
      <c r="G8903" s="57"/>
      <c r="H8903" s="56"/>
      <c r="I8903" s="56"/>
      <c r="J8903" s="58"/>
      <c r="K8903" s="58"/>
      <c r="L8903" s="13" t="str">
        <f t="shared" si="1458"/>
        <v/>
      </c>
      <c r="M8903" s="13" t="str">
        <f t="shared" si="1459"/>
        <v/>
      </c>
      <c r="Q8903" t="str">
        <f t="shared" si="1460"/>
        <v/>
      </c>
      <c r="R8903" t="str">
        <f t="shared" si="1461"/>
        <v/>
      </c>
      <c r="S8903" t="str">
        <f t="shared" si="1462"/>
        <v/>
      </c>
      <c r="T8903" t="str">
        <f t="shared" si="1463"/>
        <v/>
      </c>
      <c r="U8903" t="str">
        <f t="shared" si="1464"/>
        <v/>
      </c>
      <c r="V8903" t="str">
        <f t="shared" si="1465"/>
        <v/>
      </c>
      <c r="W8903" t="str">
        <f t="shared" si="1466"/>
        <v/>
      </c>
      <c r="X8903">
        <f t="shared" si="1456"/>
        <v>0</v>
      </c>
      <c r="Z8903" t="str">
        <f t="shared" si="1467"/>
        <v/>
      </c>
      <c r="AA8903">
        <f t="shared" si="1457"/>
        <v>0</v>
      </c>
    </row>
    <row r="8904" spans="1:27" ht="21" customHeight="1" x14ac:dyDescent="0.95">
      <c r="A8904" s="56"/>
      <c r="B8904" s="57"/>
      <c r="C8904" s="57"/>
      <c r="D8904" s="57"/>
      <c r="E8904" s="56"/>
      <c r="F8904" s="57"/>
      <c r="G8904" s="57"/>
      <c r="H8904" s="56"/>
      <c r="I8904" s="56"/>
      <c r="J8904" s="58"/>
      <c r="K8904" s="58"/>
      <c r="L8904" s="13" t="str">
        <f t="shared" si="1458"/>
        <v/>
      </c>
      <c r="M8904" s="13" t="str">
        <f t="shared" si="1459"/>
        <v/>
      </c>
      <c r="Q8904" t="str">
        <f t="shared" si="1460"/>
        <v/>
      </c>
      <c r="R8904" t="str">
        <f t="shared" si="1461"/>
        <v/>
      </c>
      <c r="S8904" t="str">
        <f t="shared" si="1462"/>
        <v/>
      </c>
      <c r="T8904" t="str">
        <f t="shared" si="1463"/>
        <v/>
      </c>
      <c r="U8904" t="str">
        <f t="shared" si="1464"/>
        <v/>
      </c>
      <c r="V8904" t="str">
        <f t="shared" si="1465"/>
        <v/>
      </c>
      <c r="W8904" t="str">
        <f t="shared" si="1466"/>
        <v/>
      </c>
      <c r="X8904">
        <f t="shared" si="1456"/>
        <v>0</v>
      </c>
      <c r="Z8904" t="str">
        <f t="shared" si="1467"/>
        <v/>
      </c>
      <c r="AA8904">
        <f t="shared" si="1457"/>
        <v>0</v>
      </c>
    </row>
    <row r="8905" spans="1:27" ht="21" customHeight="1" x14ac:dyDescent="0.95">
      <c r="A8905" s="56"/>
      <c r="B8905" s="57"/>
      <c r="C8905" s="57"/>
      <c r="D8905" s="57"/>
      <c r="E8905" s="56"/>
      <c r="F8905" s="57"/>
      <c r="G8905" s="57"/>
      <c r="H8905" s="56"/>
      <c r="I8905" s="56"/>
      <c r="J8905" s="58"/>
      <c r="K8905" s="58"/>
      <c r="L8905" s="13" t="str">
        <f t="shared" si="1458"/>
        <v/>
      </c>
      <c r="M8905" s="13" t="str">
        <f t="shared" si="1459"/>
        <v/>
      </c>
      <c r="Q8905" t="str">
        <f t="shared" si="1460"/>
        <v/>
      </c>
      <c r="R8905" t="str">
        <f t="shared" si="1461"/>
        <v/>
      </c>
      <c r="S8905" t="str">
        <f t="shared" si="1462"/>
        <v/>
      </c>
      <c r="T8905" t="str">
        <f t="shared" si="1463"/>
        <v/>
      </c>
      <c r="U8905" t="str">
        <f t="shared" si="1464"/>
        <v/>
      </c>
      <c r="V8905" t="str">
        <f t="shared" si="1465"/>
        <v/>
      </c>
      <c r="W8905" t="str">
        <f t="shared" si="1466"/>
        <v/>
      </c>
      <c r="X8905">
        <f t="shared" si="1456"/>
        <v>0</v>
      </c>
      <c r="Z8905" t="str">
        <f t="shared" si="1467"/>
        <v/>
      </c>
      <c r="AA8905">
        <f t="shared" si="1457"/>
        <v>0</v>
      </c>
    </row>
    <row r="8906" spans="1:27" ht="21" customHeight="1" x14ac:dyDescent="0.95">
      <c r="A8906" s="56"/>
      <c r="B8906" s="57"/>
      <c r="C8906" s="57"/>
      <c r="D8906" s="57"/>
      <c r="E8906" s="56"/>
      <c r="F8906" s="57"/>
      <c r="G8906" s="57"/>
      <c r="H8906" s="56"/>
      <c r="I8906" s="56"/>
      <c r="J8906" s="58"/>
      <c r="K8906" s="58"/>
      <c r="L8906" s="13" t="str">
        <f t="shared" si="1458"/>
        <v/>
      </c>
      <c r="M8906" s="13" t="str">
        <f t="shared" si="1459"/>
        <v/>
      </c>
      <c r="Q8906" t="str">
        <f t="shared" si="1460"/>
        <v/>
      </c>
      <c r="R8906" t="str">
        <f t="shared" si="1461"/>
        <v/>
      </c>
      <c r="S8906" t="str">
        <f t="shared" si="1462"/>
        <v/>
      </c>
      <c r="T8906" t="str">
        <f t="shared" si="1463"/>
        <v/>
      </c>
      <c r="U8906" t="str">
        <f t="shared" si="1464"/>
        <v/>
      </c>
      <c r="V8906" t="str">
        <f t="shared" si="1465"/>
        <v/>
      </c>
      <c r="W8906" t="str">
        <f t="shared" si="1466"/>
        <v/>
      </c>
      <c r="X8906">
        <f t="shared" si="1456"/>
        <v>0</v>
      </c>
      <c r="Z8906" t="str">
        <f t="shared" si="1467"/>
        <v/>
      </c>
      <c r="AA8906">
        <f t="shared" si="1457"/>
        <v>0</v>
      </c>
    </row>
    <row r="8907" spans="1:27" ht="21" customHeight="1" x14ac:dyDescent="0.95">
      <c r="A8907" s="56"/>
      <c r="B8907" s="57"/>
      <c r="C8907" s="57"/>
      <c r="D8907" s="57"/>
      <c r="E8907" s="56"/>
      <c r="F8907" s="57"/>
      <c r="G8907" s="57"/>
      <c r="H8907" s="56"/>
      <c r="I8907" s="56"/>
      <c r="J8907" s="58"/>
      <c r="K8907" s="58"/>
      <c r="L8907" s="13" t="str">
        <f t="shared" si="1458"/>
        <v/>
      </c>
      <c r="M8907" s="13" t="str">
        <f t="shared" si="1459"/>
        <v/>
      </c>
      <c r="Q8907" t="str">
        <f t="shared" si="1460"/>
        <v/>
      </c>
      <c r="R8907" t="str">
        <f t="shared" si="1461"/>
        <v/>
      </c>
      <c r="S8907" t="str">
        <f t="shared" si="1462"/>
        <v/>
      </c>
      <c r="T8907" t="str">
        <f t="shared" si="1463"/>
        <v/>
      </c>
      <c r="U8907" t="str">
        <f t="shared" si="1464"/>
        <v/>
      </c>
      <c r="V8907" t="str">
        <f t="shared" si="1465"/>
        <v/>
      </c>
      <c r="W8907" t="str">
        <f t="shared" si="1466"/>
        <v/>
      </c>
      <c r="X8907">
        <f t="shared" si="1456"/>
        <v>0</v>
      </c>
      <c r="Z8907" t="str">
        <f t="shared" si="1467"/>
        <v/>
      </c>
      <c r="AA8907">
        <f t="shared" si="1457"/>
        <v>0</v>
      </c>
    </row>
    <row r="8908" spans="1:27" ht="21" customHeight="1" x14ac:dyDescent="0.95">
      <c r="A8908" s="56"/>
      <c r="B8908" s="57"/>
      <c r="C8908" s="57"/>
      <c r="D8908" s="57"/>
      <c r="E8908" s="56"/>
      <c r="F8908" s="57"/>
      <c r="G8908" s="57"/>
      <c r="H8908" s="56"/>
      <c r="I8908" s="56"/>
      <c r="J8908" s="58"/>
      <c r="K8908" s="58"/>
      <c r="L8908" s="13" t="str">
        <f t="shared" si="1458"/>
        <v/>
      </c>
      <c r="M8908" s="13" t="str">
        <f t="shared" si="1459"/>
        <v/>
      </c>
      <c r="Q8908" t="str">
        <f t="shared" si="1460"/>
        <v/>
      </c>
      <c r="R8908" t="str">
        <f t="shared" si="1461"/>
        <v/>
      </c>
      <c r="S8908" t="str">
        <f t="shared" si="1462"/>
        <v/>
      </c>
      <c r="T8908" t="str">
        <f t="shared" si="1463"/>
        <v/>
      </c>
      <c r="U8908" t="str">
        <f t="shared" si="1464"/>
        <v/>
      </c>
      <c r="V8908" t="str">
        <f t="shared" si="1465"/>
        <v/>
      </c>
      <c r="W8908" t="str">
        <f t="shared" si="1466"/>
        <v/>
      </c>
      <c r="X8908">
        <f t="shared" si="1456"/>
        <v>0</v>
      </c>
      <c r="Z8908" t="str">
        <f t="shared" si="1467"/>
        <v/>
      </c>
      <c r="AA8908">
        <f t="shared" si="1457"/>
        <v>0</v>
      </c>
    </row>
    <row r="8909" spans="1:27" ht="21" customHeight="1" x14ac:dyDescent="0.95">
      <c r="A8909" s="56"/>
      <c r="B8909" s="57"/>
      <c r="C8909" s="57"/>
      <c r="D8909" s="57"/>
      <c r="E8909" s="56"/>
      <c r="F8909" s="57"/>
      <c r="G8909" s="57"/>
      <c r="H8909" s="56"/>
      <c r="I8909" s="56"/>
      <c r="J8909" s="58"/>
      <c r="K8909" s="58"/>
      <c r="L8909" s="13" t="str">
        <f t="shared" si="1458"/>
        <v/>
      </c>
      <c r="M8909" s="13" t="str">
        <f t="shared" si="1459"/>
        <v/>
      </c>
      <c r="Q8909" t="str">
        <f t="shared" si="1460"/>
        <v/>
      </c>
      <c r="R8909" t="str">
        <f t="shared" si="1461"/>
        <v/>
      </c>
      <c r="S8909" t="str">
        <f t="shared" si="1462"/>
        <v/>
      </c>
      <c r="T8909" t="str">
        <f t="shared" si="1463"/>
        <v/>
      </c>
      <c r="U8909" t="str">
        <f t="shared" si="1464"/>
        <v/>
      </c>
      <c r="V8909" t="str">
        <f t="shared" si="1465"/>
        <v/>
      </c>
      <c r="W8909" t="str">
        <f t="shared" si="1466"/>
        <v/>
      </c>
      <c r="X8909">
        <f t="shared" si="1456"/>
        <v>0</v>
      </c>
      <c r="Z8909" t="str">
        <f t="shared" si="1467"/>
        <v/>
      </c>
      <c r="AA8909">
        <f t="shared" si="1457"/>
        <v>0</v>
      </c>
    </row>
    <row r="8910" spans="1:27" ht="21" customHeight="1" x14ac:dyDescent="0.95">
      <c r="A8910" s="56"/>
      <c r="B8910" s="57"/>
      <c r="C8910" s="57"/>
      <c r="D8910" s="57"/>
      <c r="E8910" s="56"/>
      <c r="F8910" s="57"/>
      <c r="G8910" s="57"/>
      <c r="H8910" s="56"/>
      <c r="I8910" s="56"/>
      <c r="J8910" s="58"/>
      <c r="K8910" s="58"/>
      <c r="L8910" s="13" t="str">
        <f t="shared" si="1458"/>
        <v/>
      </c>
      <c r="M8910" s="13" t="str">
        <f t="shared" si="1459"/>
        <v/>
      </c>
      <c r="Q8910" t="str">
        <f t="shared" si="1460"/>
        <v/>
      </c>
      <c r="R8910" t="str">
        <f t="shared" si="1461"/>
        <v/>
      </c>
      <c r="S8910" t="str">
        <f t="shared" si="1462"/>
        <v/>
      </c>
      <c r="T8910" t="str">
        <f t="shared" si="1463"/>
        <v/>
      </c>
      <c r="U8910" t="str">
        <f t="shared" si="1464"/>
        <v/>
      </c>
      <c r="V8910" t="str">
        <f t="shared" si="1465"/>
        <v/>
      </c>
      <c r="W8910" t="str">
        <f t="shared" si="1466"/>
        <v/>
      </c>
      <c r="X8910">
        <f t="shared" si="1456"/>
        <v>0</v>
      </c>
      <c r="Z8910" t="str">
        <f t="shared" si="1467"/>
        <v/>
      </c>
      <c r="AA8910">
        <f t="shared" si="1457"/>
        <v>0</v>
      </c>
    </row>
    <row r="8911" spans="1:27" ht="21" customHeight="1" x14ac:dyDescent="0.95">
      <c r="A8911" s="56"/>
      <c r="B8911" s="57"/>
      <c r="C8911" s="57"/>
      <c r="D8911" s="57"/>
      <c r="E8911" s="56"/>
      <c r="F8911" s="57"/>
      <c r="G8911" s="57"/>
      <c r="H8911" s="56"/>
      <c r="I8911" s="56"/>
      <c r="J8911" s="58"/>
      <c r="K8911" s="58"/>
      <c r="L8911" s="13" t="str">
        <f t="shared" si="1458"/>
        <v/>
      </c>
      <c r="M8911" s="13" t="str">
        <f t="shared" si="1459"/>
        <v/>
      </c>
      <c r="Q8911" t="str">
        <f t="shared" si="1460"/>
        <v/>
      </c>
      <c r="R8911" t="str">
        <f t="shared" si="1461"/>
        <v/>
      </c>
      <c r="S8911" t="str">
        <f t="shared" si="1462"/>
        <v/>
      </c>
      <c r="T8911" t="str">
        <f t="shared" si="1463"/>
        <v/>
      </c>
      <c r="U8911" t="str">
        <f t="shared" si="1464"/>
        <v/>
      </c>
      <c r="V8911" t="str">
        <f t="shared" si="1465"/>
        <v/>
      </c>
      <c r="W8911" t="str">
        <f t="shared" si="1466"/>
        <v/>
      </c>
      <c r="X8911">
        <f t="shared" si="1456"/>
        <v>0</v>
      </c>
      <c r="Z8911" t="str">
        <f t="shared" si="1467"/>
        <v/>
      </c>
      <c r="AA8911">
        <f t="shared" si="1457"/>
        <v>0</v>
      </c>
    </row>
    <row r="8912" spans="1:27" ht="21" customHeight="1" x14ac:dyDescent="0.95">
      <c r="A8912" s="56"/>
      <c r="B8912" s="57"/>
      <c r="C8912" s="57"/>
      <c r="D8912" s="57"/>
      <c r="E8912" s="56"/>
      <c r="F8912" s="57"/>
      <c r="G8912" s="57"/>
      <c r="H8912" s="56"/>
      <c r="I8912" s="56"/>
      <c r="J8912" s="58"/>
      <c r="K8912" s="58"/>
      <c r="L8912" s="13" t="str">
        <f t="shared" si="1458"/>
        <v/>
      </c>
      <c r="M8912" s="13" t="str">
        <f t="shared" si="1459"/>
        <v/>
      </c>
      <c r="Q8912" t="str">
        <f t="shared" si="1460"/>
        <v/>
      </c>
      <c r="R8912" t="str">
        <f t="shared" si="1461"/>
        <v/>
      </c>
      <c r="S8912" t="str">
        <f t="shared" si="1462"/>
        <v/>
      </c>
      <c r="T8912" t="str">
        <f t="shared" si="1463"/>
        <v/>
      </c>
      <c r="U8912" t="str">
        <f t="shared" si="1464"/>
        <v/>
      </c>
      <c r="V8912" t="str">
        <f t="shared" si="1465"/>
        <v/>
      </c>
      <c r="W8912" t="str">
        <f t="shared" si="1466"/>
        <v/>
      </c>
      <c r="X8912">
        <f t="shared" si="1456"/>
        <v>0</v>
      </c>
      <c r="Z8912" t="str">
        <f t="shared" si="1467"/>
        <v/>
      </c>
      <c r="AA8912">
        <f t="shared" si="1457"/>
        <v>0</v>
      </c>
    </row>
    <row r="8913" spans="1:27" ht="21" customHeight="1" x14ac:dyDescent="0.95">
      <c r="A8913" s="56"/>
      <c r="B8913" s="57"/>
      <c r="C8913" s="57"/>
      <c r="D8913" s="57"/>
      <c r="E8913" s="56"/>
      <c r="F8913" s="57"/>
      <c r="G8913" s="57"/>
      <c r="H8913" s="56"/>
      <c r="I8913" s="56"/>
      <c r="J8913" s="58"/>
      <c r="K8913" s="58"/>
      <c r="L8913" s="13" t="str">
        <f t="shared" si="1458"/>
        <v/>
      </c>
      <c r="M8913" s="13" t="str">
        <f t="shared" si="1459"/>
        <v/>
      </c>
      <c r="Q8913" t="str">
        <f t="shared" si="1460"/>
        <v/>
      </c>
      <c r="R8913" t="str">
        <f t="shared" si="1461"/>
        <v/>
      </c>
      <c r="S8913" t="str">
        <f t="shared" si="1462"/>
        <v/>
      </c>
      <c r="T8913" t="str">
        <f t="shared" si="1463"/>
        <v/>
      </c>
      <c r="U8913" t="str">
        <f t="shared" si="1464"/>
        <v/>
      </c>
      <c r="V8913" t="str">
        <f t="shared" si="1465"/>
        <v/>
      </c>
      <c r="W8913" t="str">
        <f t="shared" si="1466"/>
        <v/>
      </c>
      <c r="X8913">
        <f t="shared" si="1456"/>
        <v>0</v>
      </c>
      <c r="Z8913" t="str">
        <f t="shared" si="1467"/>
        <v/>
      </c>
      <c r="AA8913">
        <f t="shared" si="1457"/>
        <v>0</v>
      </c>
    </row>
    <row r="8914" spans="1:27" ht="21" customHeight="1" x14ac:dyDescent="0.95">
      <c r="A8914" s="56"/>
      <c r="B8914" s="57"/>
      <c r="C8914" s="57"/>
      <c r="D8914" s="57"/>
      <c r="E8914" s="56"/>
      <c r="F8914" s="57"/>
      <c r="G8914" s="57"/>
      <c r="H8914" s="56"/>
      <c r="I8914" s="56"/>
      <c r="J8914" s="58"/>
      <c r="K8914" s="58"/>
      <c r="L8914" s="13" t="str">
        <f t="shared" si="1458"/>
        <v/>
      </c>
      <c r="M8914" s="13" t="str">
        <f t="shared" si="1459"/>
        <v/>
      </c>
      <c r="Q8914" t="str">
        <f t="shared" si="1460"/>
        <v/>
      </c>
      <c r="R8914" t="str">
        <f t="shared" si="1461"/>
        <v/>
      </c>
      <c r="S8914" t="str">
        <f t="shared" si="1462"/>
        <v/>
      </c>
      <c r="T8914" t="str">
        <f t="shared" si="1463"/>
        <v/>
      </c>
      <c r="U8914" t="str">
        <f t="shared" si="1464"/>
        <v/>
      </c>
      <c r="V8914" t="str">
        <f t="shared" si="1465"/>
        <v/>
      </c>
      <c r="W8914" t="str">
        <f t="shared" si="1466"/>
        <v/>
      </c>
      <c r="X8914">
        <f t="shared" si="1456"/>
        <v>0</v>
      </c>
      <c r="Z8914" t="str">
        <f t="shared" si="1467"/>
        <v/>
      </c>
      <c r="AA8914">
        <f t="shared" si="1457"/>
        <v>0</v>
      </c>
    </row>
    <row r="8915" spans="1:27" ht="21" customHeight="1" x14ac:dyDescent="0.95">
      <c r="A8915" s="56"/>
      <c r="B8915" s="57"/>
      <c r="C8915" s="57"/>
      <c r="D8915" s="57"/>
      <c r="E8915" s="56"/>
      <c r="F8915" s="57"/>
      <c r="G8915" s="57"/>
      <c r="H8915" s="56"/>
      <c r="I8915" s="56"/>
      <c r="J8915" s="58"/>
      <c r="K8915" s="58"/>
      <c r="L8915" s="13" t="str">
        <f t="shared" si="1458"/>
        <v/>
      </c>
      <c r="M8915" s="13" t="str">
        <f t="shared" si="1459"/>
        <v/>
      </c>
      <c r="Q8915" t="str">
        <f t="shared" si="1460"/>
        <v/>
      </c>
      <c r="R8915" t="str">
        <f t="shared" si="1461"/>
        <v/>
      </c>
      <c r="S8915" t="str">
        <f t="shared" si="1462"/>
        <v/>
      </c>
      <c r="T8915" t="str">
        <f t="shared" si="1463"/>
        <v/>
      </c>
      <c r="U8915" t="str">
        <f t="shared" si="1464"/>
        <v/>
      </c>
      <c r="V8915" t="str">
        <f t="shared" si="1465"/>
        <v/>
      </c>
      <c r="W8915" t="str">
        <f t="shared" si="1466"/>
        <v/>
      </c>
      <c r="X8915">
        <f t="shared" si="1456"/>
        <v>0</v>
      </c>
      <c r="Z8915" t="str">
        <f t="shared" si="1467"/>
        <v/>
      </c>
      <c r="AA8915">
        <f t="shared" si="1457"/>
        <v>0</v>
      </c>
    </row>
    <row r="8916" spans="1:27" ht="21" customHeight="1" x14ac:dyDescent="0.95">
      <c r="A8916" s="56"/>
      <c r="B8916" s="57"/>
      <c r="C8916" s="57"/>
      <c r="D8916" s="57"/>
      <c r="E8916" s="56"/>
      <c r="F8916" s="57"/>
      <c r="G8916" s="57"/>
      <c r="H8916" s="56"/>
      <c r="I8916" s="56"/>
      <c r="J8916" s="58"/>
      <c r="K8916" s="58"/>
      <c r="L8916" s="13" t="str">
        <f t="shared" si="1458"/>
        <v/>
      </c>
      <c r="M8916" s="13" t="str">
        <f t="shared" si="1459"/>
        <v/>
      </c>
      <c r="Q8916" t="str">
        <f t="shared" si="1460"/>
        <v/>
      </c>
      <c r="R8916" t="str">
        <f t="shared" si="1461"/>
        <v/>
      </c>
      <c r="S8916" t="str">
        <f t="shared" si="1462"/>
        <v/>
      </c>
      <c r="T8916" t="str">
        <f t="shared" si="1463"/>
        <v/>
      </c>
      <c r="U8916" t="str">
        <f t="shared" si="1464"/>
        <v/>
      </c>
      <c r="V8916" t="str">
        <f t="shared" si="1465"/>
        <v/>
      </c>
      <c r="W8916" t="str">
        <f t="shared" si="1466"/>
        <v/>
      </c>
      <c r="X8916">
        <f t="shared" si="1456"/>
        <v>0</v>
      </c>
      <c r="Z8916" t="str">
        <f t="shared" si="1467"/>
        <v/>
      </c>
      <c r="AA8916">
        <f t="shared" si="1457"/>
        <v>0</v>
      </c>
    </row>
    <row r="8917" spans="1:27" ht="21" customHeight="1" x14ac:dyDescent="0.95">
      <c r="A8917" s="56"/>
      <c r="B8917" s="57"/>
      <c r="C8917" s="57"/>
      <c r="D8917" s="57"/>
      <c r="E8917" s="56"/>
      <c r="F8917" s="57"/>
      <c r="G8917" s="57"/>
      <c r="H8917" s="56"/>
      <c r="I8917" s="56"/>
      <c r="J8917" s="58"/>
      <c r="K8917" s="58"/>
      <c r="L8917" s="13" t="str">
        <f t="shared" si="1458"/>
        <v/>
      </c>
      <c r="M8917" s="13" t="str">
        <f t="shared" si="1459"/>
        <v/>
      </c>
      <c r="Q8917" t="str">
        <f t="shared" si="1460"/>
        <v/>
      </c>
      <c r="R8917" t="str">
        <f t="shared" si="1461"/>
        <v/>
      </c>
      <c r="S8917" t="str">
        <f t="shared" si="1462"/>
        <v/>
      </c>
      <c r="T8917" t="str">
        <f t="shared" si="1463"/>
        <v/>
      </c>
      <c r="U8917" t="str">
        <f t="shared" si="1464"/>
        <v/>
      </c>
      <c r="V8917" t="str">
        <f t="shared" si="1465"/>
        <v/>
      </c>
      <c r="W8917" t="str">
        <f t="shared" si="1466"/>
        <v/>
      </c>
      <c r="X8917">
        <f t="shared" si="1456"/>
        <v>0</v>
      </c>
      <c r="Z8917" t="str">
        <f t="shared" si="1467"/>
        <v/>
      </c>
      <c r="AA8917">
        <f t="shared" si="1457"/>
        <v>0</v>
      </c>
    </row>
    <row r="8918" spans="1:27" ht="21" customHeight="1" x14ac:dyDescent="0.95">
      <c r="A8918" s="56"/>
      <c r="B8918" s="57"/>
      <c r="C8918" s="57"/>
      <c r="D8918" s="57"/>
      <c r="E8918" s="56"/>
      <c r="F8918" s="57"/>
      <c r="G8918" s="57"/>
      <c r="H8918" s="56"/>
      <c r="I8918" s="56"/>
      <c r="J8918" s="58"/>
      <c r="K8918" s="58"/>
      <c r="L8918" s="13" t="str">
        <f t="shared" si="1458"/>
        <v/>
      </c>
      <c r="M8918" s="13" t="str">
        <f t="shared" si="1459"/>
        <v/>
      </c>
      <c r="Q8918" t="str">
        <f t="shared" si="1460"/>
        <v/>
      </c>
      <c r="R8918" t="str">
        <f t="shared" si="1461"/>
        <v/>
      </c>
      <c r="S8918" t="str">
        <f t="shared" si="1462"/>
        <v/>
      </c>
      <c r="T8918" t="str">
        <f t="shared" si="1463"/>
        <v/>
      </c>
      <c r="U8918" t="str">
        <f t="shared" si="1464"/>
        <v/>
      </c>
      <c r="V8918" t="str">
        <f t="shared" si="1465"/>
        <v/>
      </c>
      <c r="W8918" t="str">
        <f t="shared" si="1466"/>
        <v/>
      </c>
      <c r="X8918">
        <f t="shared" si="1456"/>
        <v>0</v>
      </c>
      <c r="Z8918" t="str">
        <f t="shared" si="1467"/>
        <v/>
      </c>
      <c r="AA8918">
        <f t="shared" si="1457"/>
        <v>0</v>
      </c>
    </row>
    <row r="8919" spans="1:27" ht="21" customHeight="1" x14ac:dyDescent="0.95">
      <c r="A8919" s="56"/>
      <c r="B8919" s="57"/>
      <c r="C8919" s="57"/>
      <c r="D8919" s="57"/>
      <c r="E8919" s="56"/>
      <c r="F8919" s="57"/>
      <c r="G8919" s="57"/>
      <c r="H8919" s="56"/>
      <c r="I8919" s="56"/>
      <c r="J8919" s="58"/>
      <c r="K8919" s="58"/>
      <c r="L8919" s="13" t="str">
        <f t="shared" si="1458"/>
        <v/>
      </c>
      <c r="M8919" s="13" t="str">
        <f t="shared" si="1459"/>
        <v/>
      </c>
      <c r="Q8919" t="str">
        <f t="shared" si="1460"/>
        <v/>
      </c>
      <c r="R8919" t="str">
        <f t="shared" si="1461"/>
        <v/>
      </c>
      <c r="S8919" t="str">
        <f t="shared" si="1462"/>
        <v/>
      </c>
      <c r="T8919" t="str">
        <f t="shared" si="1463"/>
        <v/>
      </c>
      <c r="U8919" t="str">
        <f t="shared" si="1464"/>
        <v/>
      </c>
      <c r="V8919" t="str">
        <f t="shared" si="1465"/>
        <v/>
      </c>
      <c r="W8919" t="str">
        <f t="shared" si="1466"/>
        <v/>
      </c>
      <c r="X8919">
        <f t="shared" si="1456"/>
        <v>0</v>
      </c>
      <c r="Z8919" t="str">
        <f t="shared" si="1467"/>
        <v/>
      </c>
      <c r="AA8919">
        <f t="shared" si="1457"/>
        <v>0</v>
      </c>
    </row>
    <row r="8920" spans="1:27" ht="21" customHeight="1" x14ac:dyDescent="0.95">
      <c r="A8920" s="56"/>
      <c r="B8920" s="57"/>
      <c r="C8920" s="57"/>
      <c r="D8920" s="57"/>
      <c r="E8920" s="56"/>
      <c r="F8920" s="57"/>
      <c r="G8920" s="57"/>
      <c r="H8920" s="56"/>
      <c r="I8920" s="56"/>
      <c r="J8920" s="58"/>
      <c r="K8920" s="58"/>
      <c r="L8920" s="13" t="str">
        <f t="shared" si="1458"/>
        <v/>
      </c>
      <c r="M8920" s="13" t="str">
        <f t="shared" si="1459"/>
        <v/>
      </c>
      <c r="Q8920" t="str">
        <f t="shared" si="1460"/>
        <v/>
      </c>
      <c r="R8920" t="str">
        <f t="shared" si="1461"/>
        <v/>
      </c>
      <c r="S8920" t="str">
        <f t="shared" si="1462"/>
        <v/>
      </c>
      <c r="T8920" t="str">
        <f t="shared" si="1463"/>
        <v/>
      </c>
      <c r="U8920" t="str">
        <f t="shared" si="1464"/>
        <v/>
      </c>
      <c r="V8920" t="str">
        <f t="shared" si="1465"/>
        <v/>
      </c>
      <c r="W8920" t="str">
        <f t="shared" si="1466"/>
        <v/>
      </c>
      <c r="X8920">
        <f t="shared" si="1456"/>
        <v>0</v>
      </c>
      <c r="Z8920" t="str">
        <f t="shared" si="1467"/>
        <v/>
      </c>
      <c r="AA8920">
        <f t="shared" si="1457"/>
        <v>0</v>
      </c>
    </row>
    <row r="8921" spans="1:27" ht="21" customHeight="1" x14ac:dyDescent="0.95">
      <c r="A8921" s="56"/>
      <c r="B8921" s="57"/>
      <c r="C8921" s="57"/>
      <c r="D8921" s="57"/>
      <c r="E8921" s="56"/>
      <c r="F8921" s="57"/>
      <c r="G8921" s="57"/>
      <c r="H8921" s="56"/>
      <c r="I8921" s="56"/>
      <c r="J8921" s="58"/>
      <c r="K8921" s="58"/>
      <c r="L8921" s="13" t="str">
        <f t="shared" si="1458"/>
        <v/>
      </c>
      <c r="M8921" s="13" t="str">
        <f t="shared" si="1459"/>
        <v/>
      </c>
      <c r="Q8921" t="str">
        <f t="shared" si="1460"/>
        <v/>
      </c>
      <c r="R8921" t="str">
        <f t="shared" si="1461"/>
        <v/>
      </c>
      <c r="S8921" t="str">
        <f t="shared" si="1462"/>
        <v/>
      </c>
      <c r="T8921" t="str">
        <f t="shared" si="1463"/>
        <v/>
      </c>
      <c r="U8921" t="str">
        <f t="shared" si="1464"/>
        <v/>
      </c>
      <c r="V8921" t="str">
        <f t="shared" si="1465"/>
        <v/>
      </c>
      <c r="W8921" t="str">
        <f t="shared" si="1466"/>
        <v/>
      </c>
      <c r="X8921">
        <f t="shared" si="1456"/>
        <v>0</v>
      </c>
      <c r="Z8921" t="str">
        <f t="shared" si="1467"/>
        <v/>
      </c>
      <c r="AA8921">
        <f t="shared" si="1457"/>
        <v>0</v>
      </c>
    </row>
    <row r="8922" spans="1:27" ht="21" customHeight="1" x14ac:dyDescent="0.95">
      <c r="A8922" s="56"/>
      <c r="B8922" s="57"/>
      <c r="C8922" s="57"/>
      <c r="D8922" s="57"/>
      <c r="E8922" s="56"/>
      <c r="F8922" s="57"/>
      <c r="G8922" s="57"/>
      <c r="H8922" s="56"/>
      <c r="I8922" s="56"/>
      <c r="J8922" s="58"/>
      <c r="K8922" s="58"/>
      <c r="L8922" s="13" t="str">
        <f t="shared" si="1458"/>
        <v/>
      </c>
      <c r="M8922" s="13" t="str">
        <f t="shared" si="1459"/>
        <v/>
      </c>
      <c r="Q8922" t="str">
        <f t="shared" si="1460"/>
        <v/>
      </c>
      <c r="R8922" t="str">
        <f t="shared" si="1461"/>
        <v/>
      </c>
      <c r="S8922" t="str">
        <f t="shared" si="1462"/>
        <v/>
      </c>
      <c r="T8922" t="str">
        <f t="shared" si="1463"/>
        <v/>
      </c>
      <c r="U8922" t="str">
        <f t="shared" si="1464"/>
        <v/>
      </c>
      <c r="V8922" t="str">
        <f t="shared" si="1465"/>
        <v/>
      </c>
      <c r="W8922" t="str">
        <f t="shared" si="1466"/>
        <v/>
      </c>
      <c r="X8922">
        <f t="shared" si="1456"/>
        <v>0</v>
      </c>
      <c r="Z8922" t="str">
        <f t="shared" si="1467"/>
        <v/>
      </c>
      <c r="AA8922">
        <f t="shared" si="1457"/>
        <v>0</v>
      </c>
    </row>
    <row r="8923" spans="1:27" ht="21" customHeight="1" x14ac:dyDescent="0.95">
      <c r="A8923" s="56"/>
      <c r="B8923" s="57"/>
      <c r="C8923" s="57"/>
      <c r="D8923" s="57"/>
      <c r="E8923" s="56"/>
      <c r="F8923" s="57"/>
      <c r="G8923" s="57"/>
      <c r="H8923" s="56"/>
      <c r="I8923" s="56"/>
      <c r="J8923" s="58"/>
      <c r="K8923" s="58"/>
      <c r="L8923" s="13" t="str">
        <f t="shared" si="1458"/>
        <v/>
      </c>
      <c r="M8923" s="13" t="str">
        <f t="shared" si="1459"/>
        <v/>
      </c>
      <c r="Q8923" t="str">
        <f t="shared" si="1460"/>
        <v/>
      </c>
      <c r="R8923" t="str">
        <f t="shared" si="1461"/>
        <v/>
      </c>
      <c r="S8923" t="str">
        <f t="shared" si="1462"/>
        <v/>
      </c>
      <c r="T8923" t="str">
        <f t="shared" si="1463"/>
        <v/>
      </c>
      <c r="U8923" t="str">
        <f t="shared" si="1464"/>
        <v/>
      </c>
      <c r="V8923" t="str">
        <f t="shared" si="1465"/>
        <v/>
      </c>
      <c r="W8923" t="str">
        <f t="shared" si="1466"/>
        <v/>
      </c>
      <c r="X8923">
        <f t="shared" si="1456"/>
        <v>0</v>
      </c>
      <c r="Z8923" t="str">
        <f t="shared" si="1467"/>
        <v/>
      </c>
      <c r="AA8923">
        <f t="shared" si="1457"/>
        <v>0</v>
      </c>
    </row>
    <row r="8924" spans="1:27" ht="21" customHeight="1" x14ac:dyDescent="0.95">
      <c r="A8924" s="56"/>
      <c r="B8924" s="57"/>
      <c r="C8924" s="57"/>
      <c r="D8924" s="57"/>
      <c r="E8924" s="56"/>
      <c r="F8924" s="57"/>
      <c r="G8924" s="57"/>
      <c r="H8924" s="56"/>
      <c r="I8924" s="56"/>
      <c r="J8924" s="58"/>
      <c r="K8924" s="58"/>
      <c r="L8924" s="13" t="str">
        <f t="shared" si="1458"/>
        <v/>
      </c>
      <c r="M8924" s="13" t="str">
        <f t="shared" si="1459"/>
        <v/>
      </c>
      <c r="Q8924" t="str">
        <f t="shared" si="1460"/>
        <v/>
      </c>
      <c r="R8924" t="str">
        <f t="shared" si="1461"/>
        <v/>
      </c>
      <c r="S8924" t="str">
        <f t="shared" si="1462"/>
        <v/>
      </c>
      <c r="T8924" t="str">
        <f t="shared" si="1463"/>
        <v/>
      </c>
      <c r="U8924" t="str">
        <f t="shared" si="1464"/>
        <v/>
      </c>
      <c r="V8924" t="str">
        <f t="shared" si="1465"/>
        <v/>
      </c>
      <c r="W8924" t="str">
        <f t="shared" si="1466"/>
        <v/>
      </c>
      <c r="X8924">
        <f t="shared" si="1456"/>
        <v>0</v>
      </c>
      <c r="Z8924" t="str">
        <f t="shared" si="1467"/>
        <v/>
      </c>
      <c r="AA8924">
        <f t="shared" si="1457"/>
        <v>0</v>
      </c>
    </row>
    <row r="8925" spans="1:27" ht="21" customHeight="1" x14ac:dyDescent="0.95">
      <c r="A8925" s="56"/>
      <c r="B8925" s="57"/>
      <c r="C8925" s="57"/>
      <c r="D8925" s="57"/>
      <c r="E8925" s="56"/>
      <c r="F8925" s="57"/>
      <c r="G8925" s="57"/>
      <c r="H8925" s="56"/>
      <c r="I8925" s="56"/>
      <c r="J8925" s="58"/>
      <c r="K8925" s="58"/>
      <c r="L8925" s="13" t="str">
        <f t="shared" si="1458"/>
        <v/>
      </c>
      <c r="M8925" s="13" t="str">
        <f t="shared" si="1459"/>
        <v/>
      </c>
      <c r="Q8925" t="str">
        <f t="shared" si="1460"/>
        <v/>
      </c>
      <c r="R8925" t="str">
        <f t="shared" si="1461"/>
        <v/>
      </c>
      <c r="S8925" t="str">
        <f t="shared" si="1462"/>
        <v/>
      </c>
      <c r="T8925" t="str">
        <f t="shared" si="1463"/>
        <v/>
      </c>
      <c r="U8925" t="str">
        <f t="shared" si="1464"/>
        <v/>
      </c>
      <c r="V8925" t="str">
        <f t="shared" si="1465"/>
        <v/>
      </c>
      <c r="W8925" t="str">
        <f t="shared" si="1466"/>
        <v/>
      </c>
      <c r="X8925">
        <f t="shared" si="1456"/>
        <v>0</v>
      </c>
      <c r="Z8925" t="str">
        <f t="shared" si="1467"/>
        <v/>
      </c>
      <c r="AA8925">
        <f t="shared" si="1457"/>
        <v>0</v>
      </c>
    </row>
    <row r="8926" spans="1:27" ht="21" customHeight="1" x14ac:dyDescent="0.95">
      <c r="A8926" s="56"/>
      <c r="B8926" s="57"/>
      <c r="C8926" s="57"/>
      <c r="D8926" s="57"/>
      <c r="E8926" s="56"/>
      <c r="F8926" s="57"/>
      <c r="G8926" s="57"/>
      <c r="H8926" s="56"/>
      <c r="I8926" s="56"/>
      <c r="J8926" s="58"/>
      <c r="K8926" s="58"/>
      <c r="L8926" s="13" t="str">
        <f t="shared" si="1458"/>
        <v/>
      </c>
      <c r="M8926" s="13" t="str">
        <f t="shared" si="1459"/>
        <v/>
      </c>
      <c r="Q8926" t="str">
        <f t="shared" si="1460"/>
        <v/>
      </c>
      <c r="R8926" t="str">
        <f t="shared" si="1461"/>
        <v/>
      </c>
      <c r="S8926" t="str">
        <f t="shared" si="1462"/>
        <v/>
      </c>
      <c r="T8926" t="str">
        <f t="shared" si="1463"/>
        <v/>
      </c>
      <c r="U8926" t="str">
        <f t="shared" si="1464"/>
        <v/>
      </c>
      <c r="V8926" t="str">
        <f t="shared" si="1465"/>
        <v/>
      </c>
      <c r="W8926" t="str">
        <f t="shared" si="1466"/>
        <v/>
      </c>
      <c r="X8926">
        <f t="shared" si="1456"/>
        <v>0</v>
      </c>
      <c r="Z8926" t="str">
        <f t="shared" si="1467"/>
        <v/>
      </c>
      <c r="AA8926">
        <f t="shared" si="1457"/>
        <v>0</v>
      </c>
    </row>
    <row r="8927" spans="1:27" ht="21" customHeight="1" x14ac:dyDescent="0.95">
      <c r="A8927" s="56"/>
      <c r="B8927" s="57"/>
      <c r="C8927" s="57"/>
      <c r="D8927" s="57"/>
      <c r="E8927" s="56"/>
      <c r="F8927" s="57"/>
      <c r="G8927" s="57"/>
      <c r="H8927" s="56"/>
      <c r="I8927" s="56"/>
      <c r="J8927" s="58"/>
      <c r="K8927" s="58"/>
      <c r="L8927" s="13" t="str">
        <f t="shared" si="1458"/>
        <v/>
      </c>
      <c r="M8927" s="13" t="str">
        <f t="shared" si="1459"/>
        <v/>
      </c>
      <c r="Q8927" t="str">
        <f t="shared" si="1460"/>
        <v/>
      </c>
      <c r="R8927" t="str">
        <f t="shared" si="1461"/>
        <v/>
      </c>
      <c r="S8927" t="str">
        <f t="shared" si="1462"/>
        <v/>
      </c>
      <c r="T8927" t="str">
        <f t="shared" si="1463"/>
        <v/>
      </c>
      <c r="U8927" t="str">
        <f t="shared" si="1464"/>
        <v/>
      </c>
      <c r="V8927" t="str">
        <f t="shared" si="1465"/>
        <v/>
      </c>
      <c r="W8927" t="str">
        <f t="shared" si="1466"/>
        <v/>
      </c>
      <c r="X8927">
        <f t="shared" si="1456"/>
        <v>0</v>
      </c>
      <c r="Z8927" t="str">
        <f t="shared" si="1467"/>
        <v/>
      </c>
      <c r="AA8927">
        <f t="shared" si="1457"/>
        <v>0</v>
      </c>
    </row>
    <row r="8928" spans="1:27" ht="21" customHeight="1" x14ac:dyDescent="0.95">
      <c r="A8928" s="56"/>
      <c r="B8928" s="57"/>
      <c r="C8928" s="57"/>
      <c r="D8928" s="57"/>
      <c r="E8928" s="56"/>
      <c r="F8928" s="57"/>
      <c r="G8928" s="57"/>
      <c r="H8928" s="56"/>
      <c r="I8928" s="56"/>
      <c r="J8928" s="58"/>
      <c r="K8928" s="58"/>
      <c r="L8928" s="13" t="str">
        <f t="shared" si="1458"/>
        <v/>
      </c>
      <c r="M8928" s="13" t="str">
        <f t="shared" si="1459"/>
        <v/>
      </c>
      <c r="Q8928" t="str">
        <f t="shared" si="1460"/>
        <v/>
      </c>
      <c r="R8928" t="str">
        <f t="shared" si="1461"/>
        <v/>
      </c>
      <c r="S8928" t="str">
        <f t="shared" si="1462"/>
        <v/>
      </c>
      <c r="T8928" t="str">
        <f t="shared" si="1463"/>
        <v/>
      </c>
      <c r="U8928" t="str">
        <f t="shared" si="1464"/>
        <v/>
      </c>
      <c r="V8928" t="str">
        <f t="shared" si="1465"/>
        <v/>
      </c>
      <c r="W8928" t="str">
        <f t="shared" si="1466"/>
        <v/>
      </c>
      <c r="X8928">
        <f t="shared" si="1456"/>
        <v>0</v>
      </c>
      <c r="Z8928" t="str">
        <f t="shared" si="1467"/>
        <v/>
      </c>
      <c r="AA8928">
        <f t="shared" si="1457"/>
        <v>0</v>
      </c>
    </row>
    <row r="8929" spans="1:27" ht="21" customHeight="1" x14ac:dyDescent="0.95">
      <c r="A8929" s="56"/>
      <c r="B8929" s="57"/>
      <c r="C8929" s="57"/>
      <c r="D8929" s="57"/>
      <c r="E8929" s="56"/>
      <c r="F8929" s="57"/>
      <c r="G8929" s="57"/>
      <c r="H8929" s="56"/>
      <c r="I8929" s="56"/>
      <c r="J8929" s="58"/>
      <c r="K8929" s="58"/>
      <c r="L8929" s="13" t="str">
        <f t="shared" si="1458"/>
        <v/>
      </c>
      <c r="M8929" s="13" t="str">
        <f t="shared" si="1459"/>
        <v/>
      </c>
      <c r="Q8929" t="str">
        <f t="shared" si="1460"/>
        <v/>
      </c>
      <c r="R8929" t="str">
        <f t="shared" si="1461"/>
        <v/>
      </c>
      <c r="S8929" t="str">
        <f t="shared" si="1462"/>
        <v/>
      </c>
      <c r="T8929" t="str">
        <f t="shared" si="1463"/>
        <v/>
      </c>
      <c r="U8929" t="str">
        <f t="shared" si="1464"/>
        <v/>
      </c>
      <c r="V8929" t="str">
        <f t="shared" si="1465"/>
        <v/>
      </c>
      <c r="W8929" t="str">
        <f t="shared" si="1466"/>
        <v/>
      </c>
      <c r="X8929">
        <f t="shared" si="1456"/>
        <v>0</v>
      </c>
      <c r="Z8929" t="str">
        <f t="shared" si="1467"/>
        <v/>
      </c>
      <c r="AA8929">
        <f t="shared" si="1457"/>
        <v>0</v>
      </c>
    </row>
    <row r="8930" spans="1:27" ht="21" customHeight="1" x14ac:dyDescent="0.95">
      <c r="A8930" s="56"/>
      <c r="B8930" s="57"/>
      <c r="C8930" s="57"/>
      <c r="D8930" s="57"/>
      <c r="E8930" s="56"/>
      <c r="F8930" s="57"/>
      <c r="G8930" s="57"/>
      <c r="H8930" s="56"/>
      <c r="I8930" s="56"/>
      <c r="J8930" s="58"/>
      <c r="K8930" s="58"/>
      <c r="L8930" s="13" t="str">
        <f t="shared" si="1458"/>
        <v/>
      </c>
      <c r="M8930" s="13" t="str">
        <f t="shared" si="1459"/>
        <v/>
      </c>
      <c r="Q8930" t="str">
        <f t="shared" si="1460"/>
        <v/>
      </c>
      <c r="R8930" t="str">
        <f t="shared" si="1461"/>
        <v/>
      </c>
      <c r="S8930" t="str">
        <f t="shared" si="1462"/>
        <v/>
      </c>
      <c r="T8930" t="str">
        <f t="shared" si="1463"/>
        <v/>
      </c>
      <c r="U8930" t="str">
        <f t="shared" si="1464"/>
        <v/>
      </c>
      <c r="V8930" t="str">
        <f t="shared" si="1465"/>
        <v/>
      </c>
      <c r="W8930" t="str">
        <f t="shared" si="1466"/>
        <v/>
      </c>
      <c r="X8930">
        <f t="shared" si="1456"/>
        <v>0</v>
      </c>
      <c r="Z8930" t="str">
        <f t="shared" si="1467"/>
        <v/>
      </c>
      <c r="AA8930">
        <f t="shared" si="1457"/>
        <v>0</v>
      </c>
    </row>
    <row r="8931" spans="1:27" ht="21" customHeight="1" x14ac:dyDescent="0.95">
      <c r="A8931" s="56"/>
      <c r="B8931" s="57"/>
      <c r="C8931" s="57"/>
      <c r="D8931" s="57"/>
      <c r="E8931" s="56"/>
      <c r="F8931" s="57"/>
      <c r="G8931" s="57"/>
      <c r="H8931" s="56"/>
      <c r="I8931" s="56"/>
      <c r="J8931" s="58"/>
      <c r="K8931" s="58"/>
      <c r="L8931" s="13" t="str">
        <f t="shared" si="1458"/>
        <v/>
      </c>
      <c r="M8931" s="13" t="str">
        <f t="shared" si="1459"/>
        <v/>
      </c>
      <c r="Q8931" t="str">
        <f t="shared" si="1460"/>
        <v/>
      </c>
      <c r="R8931" t="str">
        <f t="shared" si="1461"/>
        <v/>
      </c>
      <c r="S8931" t="str">
        <f t="shared" si="1462"/>
        <v/>
      </c>
      <c r="T8931" t="str">
        <f t="shared" si="1463"/>
        <v/>
      </c>
      <c r="U8931" t="str">
        <f t="shared" si="1464"/>
        <v/>
      </c>
      <c r="V8931" t="str">
        <f t="shared" si="1465"/>
        <v/>
      </c>
      <c r="W8931" t="str">
        <f t="shared" si="1466"/>
        <v/>
      </c>
      <c r="X8931">
        <f t="shared" si="1456"/>
        <v>0</v>
      </c>
      <c r="Z8931" t="str">
        <f t="shared" si="1467"/>
        <v/>
      </c>
      <c r="AA8931">
        <f t="shared" si="1457"/>
        <v>0</v>
      </c>
    </row>
    <row r="8932" spans="1:27" ht="21" customHeight="1" x14ac:dyDescent="0.95">
      <c r="A8932" s="56"/>
      <c r="B8932" s="57"/>
      <c r="C8932" s="57"/>
      <c r="D8932" s="57"/>
      <c r="E8932" s="56"/>
      <c r="F8932" s="57"/>
      <c r="G8932" s="57"/>
      <c r="H8932" s="56"/>
      <c r="I8932" s="56"/>
      <c r="J8932" s="58"/>
      <c r="K8932" s="58"/>
      <c r="L8932" s="13" t="str">
        <f t="shared" si="1458"/>
        <v/>
      </c>
      <c r="M8932" s="13" t="str">
        <f t="shared" si="1459"/>
        <v/>
      </c>
      <c r="Q8932" t="str">
        <f t="shared" si="1460"/>
        <v/>
      </c>
      <c r="R8932" t="str">
        <f t="shared" si="1461"/>
        <v/>
      </c>
      <c r="S8932" t="str">
        <f t="shared" si="1462"/>
        <v/>
      </c>
      <c r="T8932" t="str">
        <f t="shared" si="1463"/>
        <v/>
      </c>
      <c r="U8932" t="str">
        <f t="shared" si="1464"/>
        <v/>
      </c>
      <c r="V8932" t="str">
        <f t="shared" si="1465"/>
        <v/>
      </c>
      <c r="W8932" t="str">
        <f t="shared" si="1466"/>
        <v/>
      </c>
      <c r="X8932">
        <f t="shared" si="1456"/>
        <v>0</v>
      </c>
      <c r="Z8932" t="str">
        <f t="shared" si="1467"/>
        <v/>
      </c>
      <c r="AA8932">
        <f t="shared" si="1457"/>
        <v>0</v>
      </c>
    </row>
    <row r="8933" spans="1:27" ht="21" customHeight="1" x14ac:dyDescent="0.95">
      <c r="A8933" s="56"/>
      <c r="B8933" s="57"/>
      <c r="C8933" s="57"/>
      <c r="D8933" s="57"/>
      <c r="E8933" s="56"/>
      <c r="F8933" s="57"/>
      <c r="G8933" s="57"/>
      <c r="H8933" s="56"/>
      <c r="I8933" s="56"/>
      <c r="J8933" s="58"/>
      <c r="K8933" s="58"/>
      <c r="L8933" s="13" t="str">
        <f t="shared" si="1458"/>
        <v/>
      </c>
      <c r="M8933" s="13" t="str">
        <f t="shared" si="1459"/>
        <v/>
      </c>
      <c r="Q8933" t="str">
        <f t="shared" si="1460"/>
        <v/>
      </c>
      <c r="R8933" t="str">
        <f t="shared" si="1461"/>
        <v/>
      </c>
      <c r="S8933" t="str">
        <f t="shared" si="1462"/>
        <v/>
      </c>
      <c r="T8933" t="str">
        <f t="shared" si="1463"/>
        <v/>
      </c>
      <c r="U8933" t="str">
        <f t="shared" si="1464"/>
        <v/>
      </c>
      <c r="V8933" t="str">
        <f t="shared" si="1465"/>
        <v/>
      </c>
      <c r="W8933" t="str">
        <f t="shared" si="1466"/>
        <v/>
      </c>
      <c r="X8933">
        <f t="shared" si="1456"/>
        <v>0</v>
      </c>
      <c r="Z8933" t="str">
        <f t="shared" si="1467"/>
        <v/>
      </c>
      <c r="AA8933">
        <f t="shared" si="1457"/>
        <v>0</v>
      </c>
    </row>
    <row r="8934" spans="1:27" ht="21" customHeight="1" x14ac:dyDescent="0.95">
      <c r="A8934" s="56"/>
      <c r="B8934" s="57"/>
      <c r="C8934" s="57"/>
      <c r="D8934" s="57"/>
      <c r="E8934" s="56"/>
      <c r="F8934" s="57"/>
      <c r="G8934" s="57"/>
      <c r="H8934" s="56"/>
      <c r="I8934" s="56"/>
      <c r="J8934" s="58"/>
      <c r="K8934" s="58"/>
      <c r="L8934" s="13" t="str">
        <f t="shared" si="1458"/>
        <v/>
      </c>
      <c r="M8934" s="13" t="str">
        <f t="shared" si="1459"/>
        <v/>
      </c>
      <c r="Q8934" t="str">
        <f t="shared" si="1460"/>
        <v/>
      </c>
      <c r="R8934" t="str">
        <f t="shared" si="1461"/>
        <v/>
      </c>
      <c r="S8934" t="str">
        <f t="shared" si="1462"/>
        <v/>
      </c>
      <c r="T8934" t="str">
        <f t="shared" si="1463"/>
        <v/>
      </c>
      <c r="U8934" t="str">
        <f t="shared" si="1464"/>
        <v/>
      </c>
      <c r="V8934" t="str">
        <f t="shared" si="1465"/>
        <v/>
      </c>
      <c r="W8934" t="str">
        <f t="shared" si="1466"/>
        <v/>
      </c>
      <c r="X8934">
        <f t="shared" si="1456"/>
        <v>0</v>
      </c>
      <c r="Z8934" t="str">
        <f t="shared" si="1467"/>
        <v/>
      </c>
      <c r="AA8934">
        <f t="shared" si="1457"/>
        <v>0</v>
      </c>
    </row>
    <row r="8935" spans="1:27" ht="21" customHeight="1" x14ac:dyDescent="0.95">
      <c r="A8935" s="56"/>
      <c r="B8935" s="57"/>
      <c r="C8935" s="57"/>
      <c r="D8935" s="57"/>
      <c r="E8935" s="56"/>
      <c r="F8935" s="57"/>
      <c r="G8935" s="57"/>
      <c r="H8935" s="56"/>
      <c r="I8935" s="56"/>
      <c r="J8935" s="58"/>
      <c r="K8935" s="58"/>
      <c r="L8935" s="13" t="str">
        <f t="shared" si="1458"/>
        <v/>
      </c>
      <c r="M8935" s="13" t="str">
        <f t="shared" si="1459"/>
        <v/>
      </c>
      <c r="Q8935" t="str">
        <f t="shared" si="1460"/>
        <v/>
      </c>
      <c r="R8935" t="str">
        <f t="shared" si="1461"/>
        <v/>
      </c>
      <c r="S8935" t="str">
        <f t="shared" si="1462"/>
        <v/>
      </c>
      <c r="T8935" t="str">
        <f t="shared" si="1463"/>
        <v/>
      </c>
      <c r="U8935" t="str">
        <f t="shared" si="1464"/>
        <v/>
      </c>
      <c r="V8935" t="str">
        <f t="shared" si="1465"/>
        <v/>
      </c>
      <c r="W8935" t="str">
        <f t="shared" si="1466"/>
        <v/>
      </c>
      <c r="X8935">
        <f t="shared" si="1456"/>
        <v>0</v>
      </c>
      <c r="Z8935" t="str">
        <f t="shared" si="1467"/>
        <v/>
      </c>
      <c r="AA8935">
        <f t="shared" si="1457"/>
        <v>0</v>
      </c>
    </row>
    <row r="8936" spans="1:27" ht="21" customHeight="1" x14ac:dyDescent="0.95">
      <c r="A8936" s="56"/>
      <c r="B8936" s="57"/>
      <c r="C8936" s="57"/>
      <c r="D8936" s="57"/>
      <c r="E8936" s="56"/>
      <c r="F8936" s="57"/>
      <c r="G8936" s="57"/>
      <c r="H8936" s="56"/>
      <c r="I8936" s="56"/>
      <c r="J8936" s="58"/>
      <c r="K8936" s="58"/>
      <c r="L8936" s="13" t="str">
        <f t="shared" si="1458"/>
        <v/>
      </c>
      <c r="M8936" s="13" t="str">
        <f t="shared" si="1459"/>
        <v/>
      </c>
      <c r="Q8936" t="str">
        <f t="shared" si="1460"/>
        <v/>
      </c>
      <c r="R8936" t="str">
        <f t="shared" si="1461"/>
        <v/>
      </c>
      <c r="S8936" t="str">
        <f t="shared" si="1462"/>
        <v/>
      </c>
      <c r="T8936" t="str">
        <f t="shared" si="1463"/>
        <v/>
      </c>
      <c r="U8936" t="str">
        <f t="shared" si="1464"/>
        <v/>
      </c>
      <c r="V8936" t="str">
        <f t="shared" si="1465"/>
        <v/>
      </c>
      <c r="W8936" t="str">
        <f t="shared" si="1466"/>
        <v/>
      </c>
      <c r="X8936">
        <f t="shared" si="1456"/>
        <v>0</v>
      </c>
      <c r="Z8936" t="str">
        <f t="shared" si="1467"/>
        <v/>
      </c>
      <c r="AA8936">
        <f t="shared" si="1457"/>
        <v>0</v>
      </c>
    </row>
    <row r="8937" spans="1:27" ht="21" customHeight="1" x14ac:dyDescent="0.95">
      <c r="A8937" s="56"/>
      <c r="B8937" s="57"/>
      <c r="C8937" s="57"/>
      <c r="D8937" s="57"/>
      <c r="E8937" s="56"/>
      <c r="F8937" s="57"/>
      <c r="G8937" s="57"/>
      <c r="H8937" s="56"/>
      <c r="I8937" s="56"/>
      <c r="J8937" s="58"/>
      <c r="K8937" s="58"/>
      <c r="L8937" s="13" t="str">
        <f t="shared" si="1458"/>
        <v/>
      </c>
      <c r="M8937" s="13" t="str">
        <f t="shared" si="1459"/>
        <v/>
      </c>
      <c r="Q8937" t="str">
        <f t="shared" si="1460"/>
        <v/>
      </c>
      <c r="R8937" t="str">
        <f t="shared" si="1461"/>
        <v/>
      </c>
      <c r="S8937" t="str">
        <f t="shared" si="1462"/>
        <v/>
      </c>
      <c r="T8937" t="str">
        <f t="shared" si="1463"/>
        <v/>
      </c>
      <c r="U8937" t="str">
        <f t="shared" si="1464"/>
        <v/>
      </c>
      <c r="V8937" t="str">
        <f t="shared" si="1465"/>
        <v/>
      </c>
      <c r="W8937" t="str">
        <f t="shared" si="1466"/>
        <v/>
      </c>
      <c r="X8937">
        <f t="shared" si="1456"/>
        <v>0</v>
      </c>
      <c r="Z8937" t="str">
        <f t="shared" si="1467"/>
        <v/>
      </c>
      <c r="AA8937">
        <f t="shared" si="1457"/>
        <v>0</v>
      </c>
    </row>
    <row r="8938" spans="1:27" ht="21" customHeight="1" x14ac:dyDescent="0.95">
      <c r="A8938" s="56"/>
      <c r="B8938" s="57"/>
      <c r="C8938" s="57"/>
      <c r="D8938" s="57"/>
      <c r="E8938" s="56"/>
      <c r="F8938" s="57"/>
      <c r="G8938" s="57"/>
      <c r="H8938" s="56"/>
      <c r="I8938" s="56"/>
      <c r="J8938" s="58"/>
      <c r="K8938" s="58"/>
      <c r="L8938" s="13" t="str">
        <f t="shared" si="1458"/>
        <v/>
      </c>
      <c r="M8938" s="13" t="str">
        <f t="shared" si="1459"/>
        <v/>
      </c>
      <c r="Q8938" t="str">
        <f t="shared" si="1460"/>
        <v/>
      </c>
      <c r="R8938" t="str">
        <f t="shared" si="1461"/>
        <v/>
      </c>
      <c r="S8938" t="str">
        <f t="shared" si="1462"/>
        <v/>
      </c>
      <c r="T8938" t="str">
        <f t="shared" si="1463"/>
        <v/>
      </c>
      <c r="U8938" t="str">
        <f t="shared" si="1464"/>
        <v/>
      </c>
      <c r="V8938" t="str">
        <f t="shared" si="1465"/>
        <v/>
      </c>
      <c r="W8938" t="str">
        <f t="shared" si="1466"/>
        <v/>
      </c>
      <c r="X8938">
        <f t="shared" si="1456"/>
        <v>0</v>
      </c>
      <c r="Z8938" t="str">
        <f t="shared" si="1467"/>
        <v/>
      </c>
      <c r="AA8938">
        <f t="shared" si="1457"/>
        <v>0</v>
      </c>
    </row>
    <row r="8939" spans="1:27" ht="21" customHeight="1" x14ac:dyDescent="0.95">
      <c r="A8939" s="56"/>
      <c r="B8939" s="57"/>
      <c r="C8939" s="57"/>
      <c r="D8939" s="57"/>
      <c r="E8939" s="56"/>
      <c r="F8939" s="57"/>
      <c r="G8939" s="57"/>
      <c r="H8939" s="56"/>
      <c r="I8939" s="56"/>
      <c r="J8939" s="58"/>
      <c r="K8939" s="58"/>
      <c r="L8939" s="13" t="str">
        <f t="shared" si="1458"/>
        <v/>
      </c>
      <c r="M8939" s="13" t="str">
        <f t="shared" si="1459"/>
        <v/>
      </c>
      <c r="Q8939" t="str">
        <f t="shared" si="1460"/>
        <v/>
      </c>
      <c r="R8939" t="str">
        <f t="shared" si="1461"/>
        <v/>
      </c>
      <c r="S8939" t="str">
        <f t="shared" si="1462"/>
        <v/>
      </c>
      <c r="T8939" t="str">
        <f t="shared" si="1463"/>
        <v/>
      </c>
      <c r="U8939" t="str">
        <f t="shared" si="1464"/>
        <v/>
      </c>
      <c r="V8939" t="str">
        <f t="shared" si="1465"/>
        <v/>
      </c>
      <c r="W8939" t="str">
        <f t="shared" si="1466"/>
        <v/>
      </c>
      <c r="X8939">
        <f t="shared" si="1456"/>
        <v>0</v>
      </c>
      <c r="Z8939" t="str">
        <f t="shared" si="1467"/>
        <v/>
      </c>
      <c r="AA8939">
        <f t="shared" si="1457"/>
        <v>0</v>
      </c>
    </row>
    <row r="8940" spans="1:27" ht="21" customHeight="1" x14ac:dyDescent="0.95">
      <c r="A8940" s="56"/>
      <c r="B8940" s="57"/>
      <c r="C8940" s="57"/>
      <c r="D8940" s="57"/>
      <c r="E8940" s="56"/>
      <c r="F8940" s="57"/>
      <c r="G8940" s="57"/>
      <c r="H8940" s="56"/>
      <c r="I8940" s="56"/>
      <c r="J8940" s="58"/>
      <c r="K8940" s="58"/>
      <c r="L8940" s="13" t="str">
        <f t="shared" si="1458"/>
        <v/>
      </c>
      <c r="M8940" s="13" t="str">
        <f t="shared" si="1459"/>
        <v/>
      </c>
      <c r="Q8940" t="str">
        <f t="shared" si="1460"/>
        <v/>
      </c>
      <c r="R8940" t="str">
        <f t="shared" si="1461"/>
        <v/>
      </c>
      <c r="S8940" t="str">
        <f t="shared" si="1462"/>
        <v/>
      </c>
      <c r="T8940" t="str">
        <f t="shared" si="1463"/>
        <v/>
      </c>
      <c r="U8940" t="str">
        <f t="shared" si="1464"/>
        <v/>
      </c>
      <c r="V8940" t="str">
        <f t="shared" si="1465"/>
        <v/>
      </c>
      <c r="W8940" t="str">
        <f t="shared" si="1466"/>
        <v/>
      </c>
      <c r="X8940">
        <f t="shared" si="1456"/>
        <v>0</v>
      </c>
      <c r="Z8940" t="str">
        <f t="shared" si="1467"/>
        <v/>
      </c>
      <c r="AA8940">
        <f t="shared" si="1457"/>
        <v>0</v>
      </c>
    </row>
    <row r="8941" spans="1:27" ht="21" customHeight="1" x14ac:dyDescent="0.95">
      <c r="A8941" s="56"/>
      <c r="B8941" s="57"/>
      <c r="C8941" s="57"/>
      <c r="D8941" s="57"/>
      <c r="E8941" s="56"/>
      <c r="F8941" s="57"/>
      <c r="G8941" s="57"/>
      <c r="H8941" s="56"/>
      <c r="I8941" s="56"/>
      <c r="J8941" s="58"/>
      <c r="K8941" s="58"/>
      <c r="L8941" s="13" t="str">
        <f t="shared" si="1458"/>
        <v/>
      </c>
      <c r="M8941" s="13" t="str">
        <f t="shared" si="1459"/>
        <v/>
      </c>
      <c r="Q8941" t="str">
        <f t="shared" si="1460"/>
        <v/>
      </c>
      <c r="R8941" t="str">
        <f t="shared" si="1461"/>
        <v/>
      </c>
      <c r="S8941" t="str">
        <f t="shared" si="1462"/>
        <v/>
      </c>
      <c r="T8941" t="str">
        <f t="shared" si="1463"/>
        <v/>
      </c>
      <c r="U8941" t="str">
        <f t="shared" si="1464"/>
        <v/>
      </c>
      <c r="V8941" t="str">
        <f t="shared" si="1465"/>
        <v/>
      </c>
      <c r="W8941" t="str">
        <f t="shared" si="1466"/>
        <v/>
      </c>
      <c r="X8941">
        <f t="shared" si="1456"/>
        <v>0</v>
      </c>
      <c r="Z8941" t="str">
        <f t="shared" si="1467"/>
        <v/>
      </c>
      <c r="AA8941">
        <f t="shared" si="1457"/>
        <v>0</v>
      </c>
    </row>
    <row r="8942" spans="1:27" ht="21" customHeight="1" x14ac:dyDescent="0.95">
      <c r="A8942" s="56"/>
      <c r="B8942" s="57"/>
      <c r="C8942" s="57"/>
      <c r="D8942" s="57"/>
      <c r="E8942" s="56"/>
      <c r="F8942" s="57"/>
      <c r="G8942" s="57"/>
      <c r="H8942" s="56"/>
      <c r="I8942" s="56"/>
      <c r="J8942" s="58"/>
      <c r="K8942" s="58"/>
      <c r="L8942" s="13" t="str">
        <f t="shared" si="1458"/>
        <v/>
      </c>
      <c r="M8942" s="13" t="str">
        <f t="shared" si="1459"/>
        <v/>
      </c>
      <c r="Q8942" t="str">
        <f t="shared" si="1460"/>
        <v/>
      </c>
      <c r="R8942" t="str">
        <f t="shared" si="1461"/>
        <v/>
      </c>
      <c r="S8942" t="str">
        <f t="shared" si="1462"/>
        <v/>
      </c>
      <c r="T8942" t="str">
        <f t="shared" si="1463"/>
        <v/>
      </c>
      <c r="U8942" t="str">
        <f t="shared" si="1464"/>
        <v/>
      </c>
      <c r="V8942" t="str">
        <f t="shared" si="1465"/>
        <v/>
      </c>
      <c r="W8942" t="str">
        <f t="shared" si="1466"/>
        <v/>
      </c>
      <c r="X8942">
        <f t="shared" si="1456"/>
        <v>0</v>
      </c>
      <c r="Z8942" t="str">
        <f t="shared" si="1467"/>
        <v/>
      </c>
      <c r="AA8942">
        <f t="shared" si="1457"/>
        <v>0</v>
      </c>
    </row>
    <row r="8943" spans="1:27" ht="21" customHeight="1" x14ac:dyDescent="0.95">
      <c r="A8943" s="56"/>
      <c r="B8943" s="57"/>
      <c r="C8943" s="57"/>
      <c r="D8943" s="57"/>
      <c r="E8943" s="56"/>
      <c r="F8943" s="57"/>
      <c r="G8943" s="57"/>
      <c r="H8943" s="56"/>
      <c r="I8943" s="56"/>
      <c r="J8943" s="58"/>
      <c r="K8943" s="58"/>
      <c r="L8943" s="13" t="str">
        <f t="shared" si="1458"/>
        <v/>
      </c>
      <c r="M8943" s="13" t="str">
        <f t="shared" si="1459"/>
        <v/>
      </c>
      <c r="Q8943" t="str">
        <f t="shared" si="1460"/>
        <v/>
      </c>
      <c r="R8943" t="str">
        <f t="shared" si="1461"/>
        <v/>
      </c>
      <c r="S8943" t="str">
        <f t="shared" si="1462"/>
        <v/>
      </c>
      <c r="T8943" t="str">
        <f t="shared" si="1463"/>
        <v/>
      </c>
      <c r="U8943" t="str">
        <f t="shared" si="1464"/>
        <v/>
      </c>
      <c r="V8943" t="str">
        <f t="shared" si="1465"/>
        <v/>
      </c>
      <c r="W8943" t="str">
        <f t="shared" si="1466"/>
        <v/>
      </c>
      <c r="X8943">
        <f t="shared" si="1456"/>
        <v>0</v>
      </c>
      <c r="Z8943" t="str">
        <f t="shared" si="1467"/>
        <v/>
      </c>
      <c r="AA8943">
        <f t="shared" si="1457"/>
        <v>0</v>
      </c>
    </row>
    <row r="8944" spans="1:27" ht="21" customHeight="1" x14ac:dyDescent="0.95">
      <c r="A8944" s="56"/>
      <c r="B8944" s="57"/>
      <c r="C8944" s="57"/>
      <c r="D8944" s="57"/>
      <c r="E8944" s="56"/>
      <c r="F8944" s="57"/>
      <c r="G8944" s="57"/>
      <c r="H8944" s="56"/>
      <c r="I8944" s="56"/>
      <c r="J8944" s="58"/>
      <c r="K8944" s="58"/>
      <c r="L8944" s="13" t="str">
        <f t="shared" si="1458"/>
        <v/>
      </c>
      <c r="M8944" s="13" t="str">
        <f t="shared" si="1459"/>
        <v/>
      </c>
      <c r="Q8944" t="str">
        <f t="shared" si="1460"/>
        <v/>
      </c>
      <c r="R8944" t="str">
        <f t="shared" si="1461"/>
        <v/>
      </c>
      <c r="S8944" t="str">
        <f t="shared" si="1462"/>
        <v/>
      </c>
      <c r="T8944" t="str">
        <f t="shared" si="1463"/>
        <v/>
      </c>
      <c r="U8944" t="str">
        <f t="shared" si="1464"/>
        <v/>
      </c>
      <c r="V8944" t="str">
        <f t="shared" si="1465"/>
        <v/>
      </c>
      <c r="W8944" t="str">
        <f t="shared" si="1466"/>
        <v/>
      </c>
      <c r="X8944">
        <f t="shared" si="1456"/>
        <v>0</v>
      </c>
      <c r="Z8944" t="str">
        <f t="shared" si="1467"/>
        <v/>
      </c>
      <c r="AA8944">
        <f t="shared" si="1457"/>
        <v>0</v>
      </c>
    </row>
    <row r="8945" spans="1:27" ht="21" customHeight="1" x14ac:dyDescent="0.95">
      <c r="A8945" s="56"/>
      <c r="B8945" s="57"/>
      <c r="C8945" s="57"/>
      <c r="D8945" s="57"/>
      <c r="E8945" s="56"/>
      <c r="F8945" s="57"/>
      <c r="G8945" s="57"/>
      <c r="H8945" s="56"/>
      <c r="I8945" s="56"/>
      <c r="J8945" s="58"/>
      <c r="K8945" s="58"/>
      <c r="L8945" s="13" t="str">
        <f t="shared" si="1458"/>
        <v/>
      </c>
      <c r="M8945" s="13" t="str">
        <f t="shared" si="1459"/>
        <v/>
      </c>
      <c r="Q8945" t="str">
        <f t="shared" si="1460"/>
        <v/>
      </c>
      <c r="R8945" t="str">
        <f t="shared" si="1461"/>
        <v/>
      </c>
      <c r="S8945" t="str">
        <f t="shared" si="1462"/>
        <v/>
      </c>
      <c r="T8945" t="str">
        <f t="shared" si="1463"/>
        <v/>
      </c>
      <c r="U8945" t="str">
        <f t="shared" si="1464"/>
        <v/>
      </c>
      <c r="V8945" t="str">
        <f t="shared" si="1465"/>
        <v/>
      </c>
      <c r="W8945" t="str">
        <f t="shared" si="1466"/>
        <v/>
      </c>
      <c r="X8945">
        <f t="shared" si="1456"/>
        <v>0</v>
      </c>
      <c r="Z8945" t="str">
        <f t="shared" si="1467"/>
        <v/>
      </c>
      <c r="AA8945">
        <f t="shared" si="1457"/>
        <v>0</v>
      </c>
    </row>
    <row r="8946" spans="1:27" ht="21" customHeight="1" x14ac:dyDescent="0.95">
      <c r="A8946" s="56"/>
      <c r="B8946" s="57"/>
      <c r="C8946" s="57"/>
      <c r="D8946" s="57"/>
      <c r="E8946" s="56"/>
      <c r="F8946" s="57"/>
      <c r="G8946" s="57"/>
      <c r="H8946" s="56"/>
      <c r="I8946" s="56"/>
      <c r="J8946" s="58"/>
      <c r="K8946" s="58"/>
      <c r="L8946" s="13" t="str">
        <f t="shared" si="1458"/>
        <v/>
      </c>
      <c r="M8946" s="13" t="str">
        <f t="shared" si="1459"/>
        <v/>
      </c>
      <c r="Q8946" t="str">
        <f t="shared" si="1460"/>
        <v/>
      </c>
      <c r="R8946" t="str">
        <f t="shared" si="1461"/>
        <v/>
      </c>
      <c r="S8946" t="str">
        <f t="shared" si="1462"/>
        <v/>
      </c>
      <c r="T8946" t="str">
        <f t="shared" si="1463"/>
        <v/>
      </c>
      <c r="U8946" t="str">
        <f t="shared" si="1464"/>
        <v/>
      </c>
      <c r="V8946" t="str">
        <f t="shared" si="1465"/>
        <v/>
      </c>
      <c r="W8946" t="str">
        <f t="shared" si="1466"/>
        <v/>
      </c>
      <c r="X8946">
        <f t="shared" si="1456"/>
        <v>0</v>
      </c>
      <c r="Z8946" t="str">
        <f t="shared" si="1467"/>
        <v/>
      </c>
      <c r="AA8946">
        <f t="shared" si="1457"/>
        <v>0</v>
      </c>
    </row>
    <row r="8947" spans="1:27" ht="21" customHeight="1" x14ac:dyDescent="0.95">
      <c r="A8947" s="56"/>
      <c r="B8947" s="57"/>
      <c r="C8947" s="57"/>
      <c r="D8947" s="57"/>
      <c r="E8947" s="56"/>
      <c r="F8947" s="57"/>
      <c r="G8947" s="57"/>
      <c r="H8947" s="56"/>
      <c r="I8947" s="56"/>
      <c r="J8947" s="58"/>
      <c r="K8947" s="58"/>
      <c r="L8947" s="13" t="str">
        <f t="shared" si="1458"/>
        <v/>
      </c>
      <c r="M8947" s="13" t="str">
        <f t="shared" si="1459"/>
        <v/>
      </c>
      <c r="Q8947" t="str">
        <f t="shared" si="1460"/>
        <v/>
      </c>
      <c r="R8947" t="str">
        <f t="shared" si="1461"/>
        <v/>
      </c>
      <c r="S8947" t="str">
        <f t="shared" si="1462"/>
        <v/>
      </c>
      <c r="T8947" t="str">
        <f t="shared" si="1463"/>
        <v/>
      </c>
      <c r="U8947" t="str">
        <f t="shared" si="1464"/>
        <v/>
      </c>
      <c r="V8947" t="str">
        <f t="shared" si="1465"/>
        <v/>
      </c>
      <c r="W8947" t="str">
        <f t="shared" si="1466"/>
        <v/>
      </c>
      <c r="X8947">
        <f t="shared" si="1456"/>
        <v>0</v>
      </c>
      <c r="Z8947" t="str">
        <f t="shared" si="1467"/>
        <v/>
      </c>
      <c r="AA8947">
        <f t="shared" si="1457"/>
        <v>0</v>
      </c>
    </row>
    <row r="8948" spans="1:27" ht="21" customHeight="1" x14ac:dyDescent="0.95">
      <c r="A8948" s="56"/>
      <c r="B8948" s="57"/>
      <c r="C8948" s="57"/>
      <c r="D8948" s="57"/>
      <c r="E8948" s="56"/>
      <c r="F8948" s="57"/>
      <c r="G8948" s="57"/>
      <c r="H8948" s="56"/>
      <c r="I8948" s="56"/>
      <c r="J8948" s="58"/>
      <c r="K8948" s="58"/>
      <c r="L8948" s="13" t="str">
        <f t="shared" si="1458"/>
        <v/>
      </c>
      <c r="M8948" s="13" t="str">
        <f t="shared" si="1459"/>
        <v/>
      </c>
      <c r="Q8948" t="str">
        <f t="shared" si="1460"/>
        <v/>
      </c>
      <c r="R8948" t="str">
        <f t="shared" si="1461"/>
        <v/>
      </c>
      <c r="S8948" t="str">
        <f t="shared" si="1462"/>
        <v/>
      </c>
      <c r="T8948" t="str">
        <f t="shared" si="1463"/>
        <v/>
      </c>
      <c r="U8948" t="str">
        <f t="shared" si="1464"/>
        <v/>
      </c>
      <c r="V8948" t="str">
        <f t="shared" si="1465"/>
        <v/>
      </c>
      <c r="W8948" t="str">
        <f t="shared" si="1466"/>
        <v/>
      </c>
      <c r="X8948">
        <f t="shared" si="1456"/>
        <v>0</v>
      </c>
      <c r="Z8948" t="str">
        <f t="shared" si="1467"/>
        <v/>
      </c>
      <c r="AA8948">
        <f t="shared" si="1457"/>
        <v>0</v>
      </c>
    </row>
    <row r="8949" spans="1:27" ht="21" customHeight="1" x14ac:dyDescent="0.95">
      <c r="A8949" s="56"/>
      <c r="B8949" s="57"/>
      <c r="C8949" s="57"/>
      <c r="D8949" s="57"/>
      <c r="E8949" s="56"/>
      <c r="F8949" s="57"/>
      <c r="G8949" s="57"/>
      <c r="H8949" s="56"/>
      <c r="I8949" s="56"/>
      <c r="J8949" s="58"/>
      <c r="K8949" s="58"/>
      <c r="L8949" s="13" t="str">
        <f t="shared" si="1458"/>
        <v/>
      </c>
      <c r="M8949" s="13" t="str">
        <f t="shared" si="1459"/>
        <v/>
      </c>
      <c r="Q8949" t="str">
        <f t="shared" si="1460"/>
        <v/>
      </c>
      <c r="R8949" t="str">
        <f t="shared" si="1461"/>
        <v/>
      </c>
      <c r="S8949" t="str">
        <f t="shared" si="1462"/>
        <v/>
      </c>
      <c r="T8949" t="str">
        <f t="shared" si="1463"/>
        <v/>
      </c>
      <c r="U8949" t="str">
        <f t="shared" si="1464"/>
        <v/>
      </c>
      <c r="V8949" t="str">
        <f t="shared" si="1465"/>
        <v/>
      </c>
      <c r="W8949" t="str">
        <f t="shared" si="1466"/>
        <v/>
      </c>
      <c r="X8949">
        <f t="shared" ref="X8949:X9012" si="1468">IF($T8949="",N($X8948),IF(MATCH($T8949,$T$6:$T$10005,0)=ROW()-5,N($X8948)+1,N($X8948)))</f>
        <v>0</v>
      </c>
      <c r="Z8949" t="str">
        <f t="shared" si="1467"/>
        <v/>
      </c>
      <c r="AA8949">
        <f t="shared" ref="AA8949:AA9012" si="1469">IF($V8949="",N($AA8948),IF(MATCH($V8949,$V$6:$V$10005,0)=ROW()-5,N($AA8948)+1,N($AA8948)))</f>
        <v>0</v>
      </c>
    </row>
    <row r="8950" spans="1:27" ht="21" customHeight="1" x14ac:dyDescent="0.95">
      <c r="A8950" s="56"/>
      <c r="B8950" s="57"/>
      <c r="C8950" s="57"/>
      <c r="D8950" s="57"/>
      <c r="E8950" s="56"/>
      <c r="F8950" s="57"/>
      <c r="G8950" s="57"/>
      <c r="H8950" s="56"/>
      <c r="I8950" s="56"/>
      <c r="J8950" s="58"/>
      <c r="K8950" s="58"/>
      <c r="L8950" s="13" t="str">
        <f t="shared" si="1458"/>
        <v/>
      </c>
      <c r="M8950" s="13" t="str">
        <f t="shared" si="1459"/>
        <v/>
      </c>
      <c r="Q8950" t="str">
        <f t="shared" si="1460"/>
        <v/>
      </c>
      <c r="R8950" t="str">
        <f t="shared" si="1461"/>
        <v/>
      </c>
      <c r="S8950" t="str">
        <f t="shared" si="1462"/>
        <v/>
      </c>
      <c r="T8950" t="str">
        <f t="shared" si="1463"/>
        <v/>
      </c>
      <c r="U8950" t="str">
        <f t="shared" si="1464"/>
        <v/>
      </c>
      <c r="V8950" t="str">
        <f t="shared" si="1465"/>
        <v/>
      </c>
      <c r="W8950" t="str">
        <f t="shared" si="1466"/>
        <v/>
      </c>
      <c r="X8950">
        <f t="shared" si="1468"/>
        <v>0</v>
      </c>
      <c r="Z8950" t="str">
        <f t="shared" si="1467"/>
        <v/>
      </c>
      <c r="AA8950">
        <f t="shared" si="1469"/>
        <v>0</v>
      </c>
    </row>
    <row r="8951" spans="1:27" ht="21" customHeight="1" x14ac:dyDescent="0.95">
      <c r="A8951" s="56"/>
      <c r="B8951" s="57"/>
      <c r="C8951" s="57"/>
      <c r="D8951" s="57"/>
      <c r="E8951" s="56"/>
      <c r="F8951" s="57"/>
      <c r="G8951" s="57"/>
      <c r="H8951" s="56"/>
      <c r="I8951" s="56"/>
      <c r="J8951" s="58"/>
      <c r="K8951" s="58"/>
      <c r="L8951" s="13" t="str">
        <f t="shared" si="1458"/>
        <v/>
      </c>
      <c r="M8951" s="13" t="str">
        <f t="shared" si="1459"/>
        <v/>
      </c>
      <c r="Q8951" t="str">
        <f t="shared" si="1460"/>
        <v/>
      </c>
      <c r="R8951" t="str">
        <f t="shared" si="1461"/>
        <v/>
      </c>
      <c r="S8951" t="str">
        <f t="shared" si="1462"/>
        <v/>
      </c>
      <c r="T8951" t="str">
        <f t="shared" si="1463"/>
        <v/>
      </c>
      <c r="U8951" t="str">
        <f t="shared" si="1464"/>
        <v/>
      </c>
      <c r="V8951" t="str">
        <f t="shared" si="1465"/>
        <v/>
      </c>
      <c r="W8951" t="str">
        <f t="shared" si="1466"/>
        <v/>
      </c>
      <c r="X8951">
        <f t="shared" si="1468"/>
        <v>0</v>
      </c>
      <c r="Z8951" t="str">
        <f t="shared" si="1467"/>
        <v/>
      </c>
      <c r="AA8951">
        <f t="shared" si="1469"/>
        <v>0</v>
      </c>
    </row>
    <row r="8952" spans="1:27" ht="21" customHeight="1" x14ac:dyDescent="0.95">
      <c r="A8952" s="56"/>
      <c r="B8952" s="57"/>
      <c r="C8952" s="57"/>
      <c r="D8952" s="57"/>
      <c r="E8952" s="56"/>
      <c r="F8952" s="57"/>
      <c r="G8952" s="57"/>
      <c r="H8952" s="56"/>
      <c r="I8952" s="56"/>
      <c r="J8952" s="58"/>
      <c r="K8952" s="58"/>
      <c r="L8952" s="13" t="str">
        <f t="shared" si="1458"/>
        <v/>
      </c>
      <c r="M8952" s="13" t="str">
        <f t="shared" si="1459"/>
        <v/>
      </c>
      <c r="Q8952" t="str">
        <f t="shared" si="1460"/>
        <v/>
      </c>
      <c r="R8952" t="str">
        <f t="shared" si="1461"/>
        <v/>
      </c>
      <c r="S8952" t="str">
        <f t="shared" si="1462"/>
        <v/>
      </c>
      <c r="T8952" t="str">
        <f t="shared" si="1463"/>
        <v/>
      </c>
      <c r="U8952" t="str">
        <f t="shared" si="1464"/>
        <v/>
      </c>
      <c r="V8952" t="str">
        <f t="shared" si="1465"/>
        <v/>
      </c>
      <c r="W8952" t="str">
        <f t="shared" si="1466"/>
        <v/>
      </c>
      <c r="X8952">
        <f t="shared" si="1468"/>
        <v>0</v>
      </c>
      <c r="Z8952" t="str">
        <f t="shared" si="1467"/>
        <v/>
      </c>
      <c r="AA8952">
        <f t="shared" si="1469"/>
        <v>0</v>
      </c>
    </row>
    <row r="8953" spans="1:27" ht="21" customHeight="1" x14ac:dyDescent="0.95">
      <c r="A8953" s="56"/>
      <c r="B8953" s="57"/>
      <c r="C8953" s="57"/>
      <c r="D8953" s="57"/>
      <c r="E8953" s="56"/>
      <c r="F8953" s="57"/>
      <c r="G8953" s="57"/>
      <c r="H8953" s="56"/>
      <c r="I8953" s="56"/>
      <c r="J8953" s="58"/>
      <c r="K8953" s="58"/>
      <c r="L8953" s="13" t="str">
        <f t="shared" si="1458"/>
        <v/>
      </c>
      <c r="M8953" s="13" t="str">
        <f t="shared" si="1459"/>
        <v/>
      </c>
      <c r="Q8953" t="str">
        <f t="shared" si="1460"/>
        <v/>
      </c>
      <c r="R8953" t="str">
        <f t="shared" si="1461"/>
        <v/>
      </c>
      <c r="S8953" t="str">
        <f t="shared" si="1462"/>
        <v/>
      </c>
      <c r="T8953" t="str">
        <f t="shared" si="1463"/>
        <v/>
      </c>
      <c r="U8953" t="str">
        <f t="shared" si="1464"/>
        <v/>
      </c>
      <c r="V8953" t="str">
        <f t="shared" si="1465"/>
        <v/>
      </c>
      <c r="W8953" t="str">
        <f t="shared" si="1466"/>
        <v/>
      </c>
      <c r="X8953">
        <f t="shared" si="1468"/>
        <v>0</v>
      </c>
      <c r="Z8953" t="str">
        <f t="shared" si="1467"/>
        <v/>
      </c>
      <c r="AA8953">
        <f t="shared" si="1469"/>
        <v>0</v>
      </c>
    </row>
    <row r="8954" spans="1:27" ht="21" customHeight="1" x14ac:dyDescent="0.95">
      <c r="A8954" s="56"/>
      <c r="B8954" s="57"/>
      <c r="C8954" s="57"/>
      <c r="D8954" s="57"/>
      <c r="E8954" s="56"/>
      <c r="F8954" s="57"/>
      <c r="G8954" s="57"/>
      <c r="H8954" s="56"/>
      <c r="I8954" s="56"/>
      <c r="J8954" s="58"/>
      <c r="K8954" s="58"/>
      <c r="L8954" s="13" t="str">
        <f t="shared" si="1458"/>
        <v/>
      </c>
      <c r="M8954" s="13" t="str">
        <f t="shared" si="1459"/>
        <v/>
      </c>
      <c r="Q8954" t="str">
        <f t="shared" si="1460"/>
        <v/>
      </c>
      <c r="R8954" t="str">
        <f t="shared" si="1461"/>
        <v/>
      </c>
      <c r="S8954" t="str">
        <f t="shared" si="1462"/>
        <v/>
      </c>
      <c r="T8954" t="str">
        <f t="shared" si="1463"/>
        <v/>
      </c>
      <c r="U8954" t="str">
        <f t="shared" si="1464"/>
        <v/>
      </c>
      <c r="V8954" t="str">
        <f t="shared" si="1465"/>
        <v/>
      </c>
      <c r="W8954" t="str">
        <f t="shared" si="1466"/>
        <v/>
      </c>
      <c r="X8954">
        <f t="shared" si="1468"/>
        <v>0</v>
      </c>
      <c r="Z8954" t="str">
        <f t="shared" si="1467"/>
        <v/>
      </c>
      <c r="AA8954">
        <f t="shared" si="1469"/>
        <v>0</v>
      </c>
    </row>
    <row r="8955" spans="1:27" ht="21" customHeight="1" x14ac:dyDescent="0.95">
      <c r="A8955" s="56"/>
      <c r="B8955" s="57"/>
      <c r="C8955" s="57"/>
      <c r="D8955" s="57"/>
      <c r="E8955" s="56"/>
      <c r="F8955" s="57"/>
      <c r="G8955" s="57"/>
      <c r="H8955" s="56"/>
      <c r="I8955" s="56"/>
      <c r="J8955" s="58"/>
      <c r="K8955" s="58"/>
      <c r="L8955" s="13" t="str">
        <f t="shared" si="1458"/>
        <v/>
      </c>
      <c r="M8955" s="13" t="str">
        <f t="shared" si="1459"/>
        <v/>
      </c>
      <c r="Q8955" t="str">
        <f t="shared" si="1460"/>
        <v/>
      </c>
      <c r="R8955" t="str">
        <f t="shared" si="1461"/>
        <v/>
      </c>
      <c r="S8955" t="str">
        <f t="shared" si="1462"/>
        <v/>
      </c>
      <c r="T8955" t="str">
        <f t="shared" si="1463"/>
        <v/>
      </c>
      <c r="U8955" t="str">
        <f t="shared" si="1464"/>
        <v/>
      </c>
      <c r="V8955" t="str">
        <f t="shared" si="1465"/>
        <v/>
      </c>
      <c r="W8955" t="str">
        <f t="shared" si="1466"/>
        <v/>
      </c>
      <c r="X8955">
        <f t="shared" si="1468"/>
        <v>0</v>
      </c>
      <c r="Z8955" t="str">
        <f t="shared" si="1467"/>
        <v/>
      </c>
      <c r="AA8955">
        <f t="shared" si="1469"/>
        <v>0</v>
      </c>
    </row>
    <row r="8956" spans="1:27" ht="21" customHeight="1" x14ac:dyDescent="0.95">
      <c r="A8956" s="56"/>
      <c r="B8956" s="57"/>
      <c r="C8956" s="57"/>
      <c r="D8956" s="57"/>
      <c r="E8956" s="56"/>
      <c r="F8956" s="57"/>
      <c r="G8956" s="57"/>
      <c r="H8956" s="56"/>
      <c r="I8956" s="56"/>
      <c r="J8956" s="58"/>
      <c r="K8956" s="58"/>
      <c r="L8956" s="13" t="str">
        <f t="shared" si="1458"/>
        <v/>
      </c>
      <c r="M8956" s="13" t="str">
        <f t="shared" si="1459"/>
        <v/>
      </c>
      <c r="Q8956" t="str">
        <f t="shared" si="1460"/>
        <v/>
      </c>
      <c r="R8956" t="str">
        <f t="shared" si="1461"/>
        <v/>
      </c>
      <c r="S8956" t="str">
        <f t="shared" si="1462"/>
        <v/>
      </c>
      <c r="T8956" t="str">
        <f t="shared" si="1463"/>
        <v/>
      </c>
      <c r="U8956" t="str">
        <f t="shared" si="1464"/>
        <v/>
      </c>
      <c r="V8956" t="str">
        <f t="shared" si="1465"/>
        <v/>
      </c>
      <c r="W8956" t="str">
        <f t="shared" si="1466"/>
        <v/>
      </c>
      <c r="X8956">
        <f t="shared" si="1468"/>
        <v>0</v>
      </c>
      <c r="Z8956" t="str">
        <f t="shared" si="1467"/>
        <v/>
      </c>
      <c r="AA8956">
        <f t="shared" si="1469"/>
        <v>0</v>
      </c>
    </row>
    <row r="8957" spans="1:27" ht="21" customHeight="1" x14ac:dyDescent="0.95">
      <c r="A8957" s="56"/>
      <c r="B8957" s="57"/>
      <c r="C8957" s="57"/>
      <c r="D8957" s="57"/>
      <c r="E8957" s="56"/>
      <c r="F8957" s="57"/>
      <c r="G8957" s="57"/>
      <c r="H8957" s="56"/>
      <c r="I8957" s="56"/>
      <c r="J8957" s="58"/>
      <c r="K8957" s="58"/>
      <c r="L8957" s="13" t="str">
        <f t="shared" si="1458"/>
        <v/>
      </c>
      <c r="M8957" s="13" t="str">
        <f t="shared" si="1459"/>
        <v/>
      </c>
      <c r="Q8957" t="str">
        <f t="shared" si="1460"/>
        <v/>
      </c>
      <c r="R8957" t="str">
        <f t="shared" si="1461"/>
        <v/>
      </c>
      <c r="S8957" t="str">
        <f t="shared" si="1462"/>
        <v/>
      </c>
      <c r="T8957" t="str">
        <f t="shared" si="1463"/>
        <v/>
      </c>
      <c r="U8957" t="str">
        <f t="shared" si="1464"/>
        <v/>
      </c>
      <c r="V8957" t="str">
        <f t="shared" si="1465"/>
        <v/>
      </c>
      <c r="W8957" t="str">
        <f t="shared" si="1466"/>
        <v/>
      </c>
      <c r="X8957">
        <f t="shared" si="1468"/>
        <v>0</v>
      </c>
      <c r="Z8957" t="str">
        <f t="shared" si="1467"/>
        <v/>
      </c>
      <c r="AA8957">
        <f t="shared" si="1469"/>
        <v>0</v>
      </c>
    </row>
    <row r="8958" spans="1:27" ht="21" customHeight="1" x14ac:dyDescent="0.95">
      <c r="A8958" s="56"/>
      <c r="B8958" s="57"/>
      <c r="C8958" s="57"/>
      <c r="D8958" s="57"/>
      <c r="E8958" s="56"/>
      <c r="F8958" s="57"/>
      <c r="G8958" s="57"/>
      <c r="H8958" s="56"/>
      <c r="I8958" s="56"/>
      <c r="J8958" s="58"/>
      <c r="K8958" s="58"/>
      <c r="L8958" s="13" t="str">
        <f t="shared" si="1458"/>
        <v/>
      </c>
      <c r="M8958" s="13" t="str">
        <f t="shared" si="1459"/>
        <v/>
      </c>
      <c r="Q8958" t="str">
        <f t="shared" si="1460"/>
        <v/>
      </c>
      <c r="R8958" t="str">
        <f t="shared" si="1461"/>
        <v/>
      </c>
      <c r="S8958" t="str">
        <f t="shared" si="1462"/>
        <v/>
      </c>
      <c r="T8958" t="str">
        <f t="shared" si="1463"/>
        <v/>
      </c>
      <c r="U8958" t="str">
        <f t="shared" si="1464"/>
        <v/>
      </c>
      <c r="V8958" t="str">
        <f t="shared" si="1465"/>
        <v/>
      </c>
      <c r="W8958" t="str">
        <f t="shared" si="1466"/>
        <v/>
      </c>
      <c r="X8958">
        <f t="shared" si="1468"/>
        <v>0</v>
      </c>
      <c r="Z8958" t="str">
        <f t="shared" si="1467"/>
        <v/>
      </c>
      <c r="AA8958">
        <f t="shared" si="1469"/>
        <v>0</v>
      </c>
    </row>
    <row r="8959" spans="1:27" ht="21" customHeight="1" x14ac:dyDescent="0.95">
      <c r="A8959" s="56"/>
      <c r="B8959" s="57"/>
      <c r="C8959" s="57"/>
      <c r="D8959" s="57"/>
      <c r="E8959" s="56"/>
      <c r="F8959" s="57"/>
      <c r="G8959" s="57"/>
      <c r="H8959" s="56"/>
      <c r="I8959" s="56"/>
      <c r="J8959" s="58"/>
      <c r="K8959" s="58"/>
      <c r="L8959" s="13" t="str">
        <f t="shared" si="1458"/>
        <v/>
      </c>
      <c r="M8959" s="13" t="str">
        <f t="shared" si="1459"/>
        <v/>
      </c>
      <c r="Q8959" t="str">
        <f t="shared" si="1460"/>
        <v/>
      </c>
      <c r="R8959" t="str">
        <f t="shared" si="1461"/>
        <v/>
      </c>
      <c r="S8959" t="str">
        <f t="shared" si="1462"/>
        <v/>
      </c>
      <c r="T8959" t="str">
        <f t="shared" si="1463"/>
        <v/>
      </c>
      <c r="U8959" t="str">
        <f t="shared" si="1464"/>
        <v/>
      </c>
      <c r="V8959" t="str">
        <f t="shared" si="1465"/>
        <v/>
      </c>
      <c r="W8959" t="str">
        <f t="shared" si="1466"/>
        <v/>
      </c>
      <c r="X8959">
        <f t="shared" si="1468"/>
        <v>0</v>
      </c>
      <c r="Z8959" t="str">
        <f t="shared" si="1467"/>
        <v/>
      </c>
      <c r="AA8959">
        <f t="shared" si="1469"/>
        <v>0</v>
      </c>
    </row>
    <row r="8960" spans="1:27" ht="21" customHeight="1" x14ac:dyDescent="0.95">
      <c r="A8960" s="56"/>
      <c r="B8960" s="57"/>
      <c r="C8960" s="57"/>
      <c r="D8960" s="57"/>
      <c r="E8960" s="56"/>
      <c r="F8960" s="57"/>
      <c r="G8960" s="57"/>
      <c r="H8960" s="56"/>
      <c r="I8960" s="56"/>
      <c r="J8960" s="58"/>
      <c r="K8960" s="58"/>
      <c r="L8960" s="13" t="str">
        <f t="shared" si="1458"/>
        <v/>
      </c>
      <c r="M8960" s="13" t="str">
        <f t="shared" si="1459"/>
        <v/>
      </c>
      <c r="Q8960" t="str">
        <f t="shared" si="1460"/>
        <v/>
      </c>
      <c r="R8960" t="str">
        <f t="shared" si="1461"/>
        <v/>
      </c>
      <c r="S8960" t="str">
        <f t="shared" si="1462"/>
        <v/>
      </c>
      <c r="T8960" t="str">
        <f t="shared" si="1463"/>
        <v/>
      </c>
      <c r="U8960" t="str">
        <f t="shared" si="1464"/>
        <v/>
      </c>
      <c r="V8960" t="str">
        <f t="shared" si="1465"/>
        <v/>
      </c>
      <c r="W8960" t="str">
        <f t="shared" si="1466"/>
        <v/>
      </c>
      <c r="X8960">
        <f t="shared" si="1468"/>
        <v>0</v>
      </c>
      <c r="Z8960" t="str">
        <f t="shared" si="1467"/>
        <v/>
      </c>
      <c r="AA8960">
        <f t="shared" si="1469"/>
        <v>0</v>
      </c>
    </row>
    <row r="8961" spans="1:27" ht="21" customHeight="1" x14ac:dyDescent="0.95">
      <c r="A8961" s="56"/>
      <c r="B8961" s="57"/>
      <c r="C8961" s="57"/>
      <c r="D8961" s="57"/>
      <c r="E8961" s="56"/>
      <c r="F8961" s="57"/>
      <c r="G8961" s="57"/>
      <c r="H8961" s="56"/>
      <c r="I8961" s="56"/>
      <c r="J8961" s="58"/>
      <c r="K8961" s="58"/>
      <c r="L8961" s="13" t="str">
        <f t="shared" si="1458"/>
        <v/>
      </c>
      <c r="M8961" s="13" t="str">
        <f t="shared" si="1459"/>
        <v/>
      </c>
      <c r="Q8961" t="str">
        <f t="shared" si="1460"/>
        <v/>
      </c>
      <c r="R8961" t="str">
        <f t="shared" si="1461"/>
        <v/>
      </c>
      <c r="S8961" t="str">
        <f t="shared" si="1462"/>
        <v/>
      </c>
      <c r="T8961" t="str">
        <f t="shared" si="1463"/>
        <v/>
      </c>
      <c r="U8961" t="str">
        <f t="shared" si="1464"/>
        <v/>
      </c>
      <c r="V8961" t="str">
        <f t="shared" si="1465"/>
        <v/>
      </c>
      <c r="W8961" t="str">
        <f t="shared" si="1466"/>
        <v/>
      </c>
      <c r="X8961">
        <f t="shared" si="1468"/>
        <v>0</v>
      </c>
      <c r="Z8961" t="str">
        <f t="shared" si="1467"/>
        <v/>
      </c>
      <c r="AA8961">
        <f t="shared" si="1469"/>
        <v>0</v>
      </c>
    </row>
    <row r="8962" spans="1:27" ht="21" customHeight="1" x14ac:dyDescent="0.95">
      <c r="A8962" s="56"/>
      <c r="B8962" s="57"/>
      <c r="C8962" s="57"/>
      <c r="D8962" s="57"/>
      <c r="E8962" s="56"/>
      <c r="F8962" s="57"/>
      <c r="G8962" s="57"/>
      <c r="H8962" s="56"/>
      <c r="I8962" s="56"/>
      <c r="J8962" s="58"/>
      <c r="K8962" s="58"/>
      <c r="L8962" s="13" t="str">
        <f t="shared" si="1458"/>
        <v/>
      </c>
      <c r="M8962" s="13" t="str">
        <f t="shared" si="1459"/>
        <v/>
      </c>
      <c r="Q8962" t="str">
        <f t="shared" si="1460"/>
        <v/>
      </c>
      <c r="R8962" t="str">
        <f t="shared" si="1461"/>
        <v/>
      </c>
      <c r="S8962" t="str">
        <f t="shared" si="1462"/>
        <v/>
      </c>
      <c r="T8962" t="str">
        <f t="shared" si="1463"/>
        <v/>
      </c>
      <c r="U8962" t="str">
        <f t="shared" si="1464"/>
        <v/>
      </c>
      <c r="V8962" t="str">
        <f t="shared" si="1465"/>
        <v/>
      </c>
      <c r="W8962" t="str">
        <f t="shared" si="1466"/>
        <v/>
      </c>
      <c r="X8962">
        <f t="shared" si="1468"/>
        <v>0</v>
      </c>
      <c r="Z8962" t="str">
        <f t="shared" si="1467"/>
        <v/>
      </c>
      <c r="AA8962">
        <f t="shared" si="1469"/>
        <v>0</v>
      </c>
    </row>
    <row r="8963" spans="1:27" ht="21" customHeight="1" x14ac:dyDescent="0.95">
      <c r="A8963" s="56"/>
      <c r="B8963" s="57"/>
      <c r="C8963" s="57"/>
      <c r="D8963" s="57"/>
      <c r="E8963" s="56"/>
      <c r="F8963" s="57"/>
      <c r="G8963" s="57"/>
      <c r="H8963" s="56"/>
      <c r="I8963" s="56"/>
      <c r="J8963" s="58"/>
      <c r="K8963" s="58"/>
      <c r="L8963" s="13" t="str">
        <f t="shared" si="1458"/>
        <v/>
      </c>
      <c r="M8963" s="13" t="str">
        <f t="shared" si="1459"/>
        <v/>
      </c>
      <c r="Q8963" t="str">
        <f t="shared" si="1460"/>
        <v/>
      </c>
      <c r="R8963" t="str">
        <f t="shared" si="1461"/>
        <v/>
      </c>
      <c r="S8963" t="str">
        <f t="shared" si="1462"/>
        <v/>
      </c>
      <c r="T8963" t="str">
        <f t="shared" si="1463"/>
        <v/>
      </c>
      <c r="U8963" t="str">
        <f t="shared" si="1464"/>
        <v/>
      </c>
      <c r="V8963" t="str">
        <f t="shared" si="1465"/>
        <v/>
      </c>
      <c r="W8963" t="str">
        <f t="shared" si="1466"/>
        <v/>
      </c>
      <c r="X8963">
        <f t="shared" si="1468"/>
        <v>0</v>
      </c>
      <c r="Z8963" t="str">
        <f t="shared" si="1467"/>
        <v/>
      </c>
      <c r="AA8963">
        <f t="shared" si="1469"/>
        <v>0</v>
      </c>
    </row>
    <row r="8964" spans="1:27" ht="21" customHeight="1" x14ac:dyDescent="0.95">
      <c r="A8964" s="56"/>
      <c r="B8964" s="57"/>
      <c r="C8964" s="57"/>
      <c r="D8964" s="57"/>
      <c r="E8964" s="56"/>
      <c r="F8964" s="57"/>
      <c r="G8964" s="57"/>
      <c r="H8964" s="56"/>
      <c r="I8964" s="56"/>
      <c r="J8964" s="58"/>
      <c r="K8964" s="58"/>
      <c r="L8964" s="13" t="str">
        <f t="shared" ref="L8964:L9027" si="1470">IF(OR($A8964="",AND($J8964="",$K8964="")),"",ROUND(N($J8964)-N($K8964),2))</f>
        <v/>
      </c>
      <c r="M8964" s="13" t="str">
        <f t="shared" ref="M8964:M9027" si="1471">IF(OR($A8964="",AND($J8964="",$K8964="")),"",MIN($J8964,$K8964))</f>
        <v/>
      </c>
      <c r="Q8964" t="str">
        <f t="shared" ref="Q8964:Q9027" si="1472">IF($A8964="","",$D8964&amp;"("&amp;SUBSTITUTE($E8964," ","")&amp;")")</f>
        <v/>
      </c>
      <c r="R8964" t="str">
        <f t="shared" ref="R8964:R9027" si="1473">IF($A8964="","",$B8964&amp;" - "&amp;$C8964)</f>
        <v/>
      </c>
      <c r="S8964" t="str">
        <f t="shared" ref="S8964:S9027" si="1474">IF($A8964="","",$R8964&amp;"|"&amp;$Q8964)</f>
        <v/>
      </c>
      <c r="T8964" t="str">
        <f t="shared" ref="T8964:T9027" si="1475">IF($A8964="","",$S8964&amp;"|"&amp;$F8964)</f>
        <v/>
      </c>
      <c r="U8964" t="str">
        <f t="shared" ref="U8964:U9027" si="1476">IF($A8964="","",$R8964&amp;"("&amp;$E8964&amp;")")</f>
        <v/>
      </c>
      <c r="V8964" t="str">
        <f t="shared" ref="V8964:V9027" si="1477">IF($A8964="","",$F8964&amp;"|"&amp;$U8964&amp;"|"&amp;$D8964)</f>
        <v/>
      </c>
      <c r="W8964" t="str">
        <f t="shared" si="1466"/>
        <v/>
      </c>
      <c r="X8964">
        <f t="shared" si="1468"/>
        <v>0</v>
      </c>
      <c r="Z8964" t="str">
        <f t="shared" si="1467"/>
        <v/>
      </c>
      <c r="AA8964">
        <f t="shared" si="1469"/>
        <v>0</v>
      </c>
    </row>
    <row r="8965" spans="1:27" ht="21" customHeight="1" x14ac:dyDescent="0.95">
      <c r="A8965" s="56"/>
      <c r="B8965" s="57"/>
      <c r="C8965" s="57"/>
      <c r="D8965" s="57"/>
      <c r="E8965" s="56"/>
      <c r="F8965" s="57"/>
      <c r="G8965" s="57"/>
      <c r="H8965" s="56"/>
      <c r="I8965" s="56"/>
      <c r="J8965" s="58"/>
      <c r="K8965" s="58"/>
      <c r="L8965" s="13" t="str">
        <f t="shared" si="1470"/>
        <v/>
      </c>
      <c r="M8965" s="13" t="str">
        <f t="shared" si="1471"/>
        <v/>
      </c>
      <c r="Q8965" t="str">
        <f t="shared" si="1472"/>
        <v/>
      </c>
      <c r="R8965" t="str">
        <f t="shared" si="1473"/>
        <v/>
      </c>
      <c r="S8965" t="str">
        <f t="shared" si="1474"/>
        <v/>
      </c>
      <c r="T8965" t="str">
        <f t="shared" si="1475"/>
        <v/>
      </c>
      <c r="U8965" t="str">
        <f t="shared" si="1476"/>
        <v/>
      </c>
      <c r="V8965" t="str">
        <f t="shared" si="1477"/>
        <v/>
      </c>
      <c r="W8965" t="str">
        <f t="shared" si="1466"/>
        <v/>
      </c>
      <c r="X8965">
        <f t="shared" si="1468"/>
        <v>0</v>
      </c>
      <c r="Z8965" t="str">
        <f t="shared" si="1467"/>
        <v/>
      </c>
      <c r="AA8965">
        <f t="shared" si="1469"/>
        <v>0</v>
      </c>
    </row>
    <row r="8966" spans="1:27" ht="21" customHeight="1" x14ac:dyDescent="0.95">
      <c r="A8966" s="56"/>
      <c r="B8966" s="57"/>
      <c r="C8966" s="57"/>
      <c r="D8966" s="57"/>
      <c r="E8966" s="56"/>
      <c r="F8966" s="57"/>
      <c r="G8966" s="57"/>
      <c r="H8966" s="56"/>
      <c r="I8966" s="56"/>
      <c r="J8966" s="58"/>
      <c r="K8966" s="58"/>
      <c r="L8966" s="13" t="str">
        <f t="shared" si="1470"/>
        <v/>
      </c>
      <c r="M8966" s="13" t="str">
        <f t="shared" si="1471"/>
        <v/>
      </c>
      <c r="Q8966" t="str">
        <f t="shared" si="1472"/>
        <v/>
      </c>
      <c r="R8966" t="str">
        <f t="shared" si="1473"/>
        <v/>
      </c>
      <c r="S8966" t="str">
        <f t="shared" si="1474"/>
        <v/>
      </c>
      <c r="T8966" t="str">
        <f t="shared" si="1475"/>
        <v/>
      </c>
      <c r="U8966" t="str">
        <f t="shared" si="1476"/>
        <v/>
      </c>
      <c r="V8966" t="str">
        <f t="shared" si="1477"/>
        <v/>
      </c>
      <c r="W8966" t="str">
        <f t="shared" ref="W8966:W9029" si="1478">IF($T8966="","",IF($X8966&gt;N($X8965),$X8966,""))</f>
        <v/>
      </c>
      <c r="X8966">
        <f t="shared" si="1468"/>
        <v>0</v>
      </c>
      <c r="Z8966" t="str">
        <f t="shared" ref="Z8966:Z9029" si="1479">IF($V8966="","",IF($AA8966&gt;N($AA8965),$AA8966,""))</f>
        <v/>
      </c>
      <c r="AA8966">
        <f t="shared" si="1469"/>
        <v>0</v>
      </c>
    </row>
    <row r="8967" spans="1:27" ht="21" customHeight="1" x14ac:dyDescent="0.95">
      <c r="A8967" s="56"/>
      <c r="B8967" s="57"/>
      <c r="C8967" s="57"/>
      <c r="D8967" s="57"/>
      <c r="E8967" s="56"/>
      <c r="F8967" s="57"/>
      <c r="G8967" s="57"/>
      <c r="H8967" s="56"/>
      <c r="I8967" s="56"/>
      <c r="J8967" s="58"/>
      <c r="K8967" s="58"/>
      <c r="L8967" s="13" t="str">
        <f t="shared" si="1470"/>
        <v/>
      </c>
      <c r="M8967" s="13" t="str">
        <f t="shared" si="1471"/>
        <v/>
      </c>
      <c r="Q8967" t="str">
        <f t="shared" si="1472"/>
        <v/>
      </c>
      <c r="R8967" t="str">
        <f t="shared" si="1473"/>
        <v/>
      </c>
      <c r="S8967" t="str">
        <f t="shared" si="1474"/>
        <v/>
      </c>
      <c r="T8967" t="str">
        <f t="shared" si="1475"/>
        <v/>
      </c>
      <c r="U8967" t="str">
        <f t="shared" si="1476"/>
        <v/>
      </c>
      <c r="V8967" t="str">
        <f t="shared" si="1477"/>
        <v/>
      </c>
      <c r="W8967" t="str">
        <f t="shared" si="1478"/>
        <v/>
      </c>
      <c r="X8967">
        <f t="shared" si="1468"/>
        <v>0</v>
      </c>
      <c r="Z8967" t="str">
        <f t="shared" si="1479"/>
        <v/>
      </c>
      <c r="AA8967">
        <f t="shared" si="1469"/>
        <v>0</v>
      </c>
    </row>
    <row r="8968" spans="1:27" ht="21" customHeight="1" x14ac:dyDescent="0.95">
      <c r="A8968" s="56"/>
      <c r="B8968" s="57"/>
      <c r="C8968" s="57"/>
      <c r="D8968" s="57"/>
      <c r="E8968" s="56"/>
      <c r="F8968" s="57"/>
      <c r="G8968" s="57"/>
      <c r="H8968" s="56"/>
      <c r="I8968" s="56"/>
      <c r="J8968" s="58"/>
      <c r="K8968" s="58"/>
      <c r="L8968" s="13" t="str">
        <f t="shared" si="1470"/>
        <v/>
      </c>
      <c r="M8968" s="13" t="str">
        <f t="shared" si="1471"/>
        <v/>
      </c>
      <c r="Q8968" t="str">
        <f t="shared" si="1472"/>
        <v/>
      </c>
      <c r="R8968" t="str">
        <f t="shared" si="1473"/>
        <v/>
      </c>
      <c r="S8968" t="str">
        <f t="shared" si="1474"/>
        <v/>
      </c>
      <c r="T8968" t="str">
        <f t="shared" si="1475"/>
        <v/>
      </c>
      <c r="U8968" t="str">
        <f t="shared" si="1476"/>
        <v/>
      </c>
      <c r="V8968" t="str">
        <f t="shared" si="1477"/>
        <v/>
      </c>
      <c r="W8968" t="str">
        <f t="shared" si="1478"/>
        <v/>
      </c>
      <c r="X8968">
        <f t="shared" si="1468"/>
        <v>0</v>
      </c>
      <c r="Z8968" t="str">
        <f t="shared" si="1479"/>
        <v/>
      </c>
      <c r="AA8968">
        <f t="shared" si="1469"/>
        <v>0</v>
      </c>
    </row>
    <row r="8969" spans="1:27" ht="21" customHeight="1" x14ac:dyDescent="0.95">
      <c r="A8969" s="56"/>
      <c r="B8969" s="57"/>
      <c r="C8969" s="57"/>
      <c r="D8969" s="57"/>
      <c r="E8969" s="56"/>
      <c r="F8969" s="57"/>
      <c r="G8969" s="57"/>
      <c r="H8969" s="56"/>
      <c r="I8969" s="56"/>
      <c r="J8969" s="58"/>
      <c r="K8969" s="58"/>
      <c r="L8969" s="13" t="str">
        <f t="shared" si="1470"/>
        <v/>
      </c>
      <c r="M8969" s="13" t="str">
        <f t="shared" si="1471"/>
        <v/>
      </c>
      <c r="Q8969" t="str">
        <f t="shared" si="1472"/>
        <v/>
      </c>
      <c r="R8969" t="str">
        <f t="shared" si="1473"/>
        <v/>
      </c>
      <c r="S8969" t="str">
        <f t="shared" si="1474"/>
        <v/>
      </c>
      <c r="T8969" t="str">
        <f t="shared" si="1475"/>
        <v/>
      </c>
      <c r="U8969" t="str">
        <f t="shared" si="1476"/>
        <v/>
      </c>
      <c r="V8969" t="str">
        <f t="shared" si="1477"/>
        <v/>
      </c>
      <c r="W8969" t="str">
        <f t="shared" si="1478"/>
        <v/>
      </c>
      <c r="X8969">
        <f t="shared" si="1468"/>
        <v>0</v>
      </c>
      <c r="Z8969" t="str">
        <f t="shared" si="1479"/>
        <v/>
      </c>
      <c r="AA8969">
        <f t="shared" si="1469"/>
        <v>0</v>
      </c>
    </row>
    <row r="8970" spans="1:27" ht="21" customHeight="1" x14ac:dyDescent="0.95">
      <c r="A8970" s="56"/>
      <c r="B8970" s="57"/>
      <c r="C8970" s="57"/>
      <c r="D8970" s="57"/>
      <c r="E8970" s="56"/>
      <c r="F8970" s="57"/>
      <c r="G8970" s="57"/>
      <c r="H8970" s="56"/>
      <c r="I8970" s="56"/>
      <c r="J8970" s="58"/>
      <c r="K8970" s="58"/>
      <c r="L8970" s="13" t="str">
        <f t="shared" si="1470"/>
        <v/>
      </c>
      <c r="M8970" s="13" t="str">
        <f t="shared" si="1471"/>
        <v/>
      </c>
      <c r="Q8970" t="str">
        <f t="shared" si="1472"/>
        <v/>
      </c>
      <c r="R8970" t="str">
        <f t="shared" si="1473"/>
        <v/>
      </c>
      <c r="S8970" t="str">
        <f t="shared" si="1474"/>
        <v/>
      </c>
      <c r="T8970" t="str">
        <f t="shared" si="1475"/>
        <v/>
      </c>
      <c r="U8970" t="str">
        <f t="shared" si="1476"/>
        <v/>
      </c>
      <c r="V8970" t="str">
        <f t="shared" si="1477"/>
        <v/>
      </c>
      <c r="W8970" t="str">
        <f t="shared" si="1478"/>
        <v/>
      </c>
      <c r="X8970">
        <f t="shared" si="1468"/>
        <v>0</v>
      </c>
      <c r="Z8970" t="str">
        <f t="shared" si="1479"/>
        <v/>
      </c>
      <c r="AA8970">
        <f t="shared" si="1469"/>
        <v>0</v>
      </c>
    </row>
    <row r="8971" spans="1:27" ht="21" customHeight="1" x14ac:dyDescent="0.95">
      <c r="A8971" s="56"/>
      <c r="B8971" s="57"/>
      <c r="C8971" s="57"/>
      <c r="D8971" s="57"/>
      <c r="E8971" s="56"/>
      <c r="F8971" s="57"/>
      <c r="G8971" s="57"/>
      <c r="H8971" s="56"/>
      <c r="I8971" s="56"/>
      <c r="J8971" s="58"/>
      <c r="K8971" s="58"/>
      <c r="L8971" s="13" t="str">
        <f t="shared" si="1470"/>
        <v/>
      </c>
      <c r="M8971" s="13" t="str">
        <f t="shared" si="1471"/>
        <v/>
      </c>
      <c r="Q8971" t="str">
        <f t="shared" si="1472"/>
        <v/>
      </c>
      <c r="R8971" t="str">
        <f t="shared" si="1473"/>
        <v/>
      </c>
      <c r="S8971" t="str">
        <f t="shared" si="1474"/>
        <v/>
      </c>
      <c r="T8971" t="str">
        <f t="shared" si="1475"/>
        <v/>
      </c>
      <c r="U8971" t="str">
        <f t="shared" si="1476"/>
        <v/>
      </c>
      <c r="V8971" t="str">
        <f t="shared" si="1477"/>
        <v/>
      </c>
      <c r="W8971" t="str">
        <f t="shared" si="1478"/>
        <v/>
      </c>
      <c r="X8971">
        <f t="shared" si="1468"/>
        <v>0</v>
      </c>
      <c r="Z8971" t="str">
        <f t="shared" si="1479"/>
        <v/>
      </c>
      <c r="AA8971">
        <f t="shared" si="1469"/>
        <v>0</v>
      </c>
    </row>
    <row r="8972" spans="1:27" ht="21" customHeight="1" x14ac:dyDescent="0.95">
      <c r="A8972" s="56"/>
      <c r="B8972" s="57"/>
      <c r="C8972" s="57"/>
      <c r="D8972" s="57"/>
      <c r="E8972" s="56"/>
      <c r="F8972" s="57"/>
      <c r="G8972" s="57"/>
      <c r="H8972" s="56"/>
      <c r="I8972" s="56"/>
      <c r="J8972" s="58"/>
      <c r="K8972" s="58"/>
      <c r="L8972" s="13" t="str">
        <f t="shared" si="1470"/>
        <v/>
      </c>
      <c r="M8972" s="13" t="str">
        <f t="shared" si="1471"/>
        <v/>
      </c>
      <c r="Q8972" t="str">
        <f t="shared" si="1472"/>
        <v/>
      </c>
      <c r="R8972" t="str">
        <f t="shared" si="1473"/>
        <v/>
      </c>
      <c r="S8972" t="str">
        <f t="shared" si="1474"/>
        <v/>
      </c>
      <c r="T8972" t="str">
        <f t="shared" si="1475"/>
        <v/>
      </c>
      <c r="U8972" t="str">
        <f t="shared" si="1476"/>
        <v/>
      </c>
      <c r="V8972" t="str">
        <f t="shared" si="1477"/>
        <v/>
      </c>
      <c r="W8972" t="str">
        <f t="shared" si="1478"/>
        <v/>
      </c>
      <c r="X8972">
        <f t="shared" si="1468"/>
        <v>0</v>
      </c>
      <c r="Z8972" t="str">
        <f t="shared" si="1479"/>
        <v/>
      </c>
      <c r="AA8972">
        <f t="shared" si="1469"/>
        <v>0</v>
      </c>
    </row>
    <row r="8973" spans="1:27" ht="21" customHeight="1" x14ac:dyDescent="0.95">
      <c r="A8973" s="56"/>
      <c r="B8973" s="57"/>
      <c r="C8973" s="57"/>
      <c r="D8973" s="57"/>
      <c r="E8973" s="56"/>
      <c r="F8973" s="57"/>
      <c r="G8973" s="57"/>
      <c r="H8973" s="56"/>
      <c r="I8973" s="56"/>
      <c r="J8973" s="58"/>
      <c r="K8973" s="58"/>
      <c r="L8973" s="13" t="str">
        <f t="shared" si="1470"/>
        <v/>
      </c>
      <c r="M8973" s="13" t="str">
        <f t="shared" si="1471"/>
        <v/>
      </c>
      <c r="Q8973" t="str">
        <f t="shared" si="1472"/>
        <v/>
      </c>
      <c r="R8973" t="str">
        <f t="shared" si="1473"/>
        <v/>
      </c>
      <c r="S8973" t="str">
        <f t="shared" si="1474"/>
        <v/>
      </c>
      <c r="T8973" t="str">
        <f t="shared" si="1475"/>
        <v/>
      </c>
      <c r="U8973" t="str">
        <f t="shared" si="1476"/>
        <v/>
      </c>
      <c r="V8973" t="str">
        <f t="shared" si="1477"/>
        <v/>
      </c>
      <c r="W8973" t="str">
        <f t="shared" si="1478"/>
        <v/>
      </c>
      <c r="X8973">
        <f t="shared" si="1468"/>
        <v>0</v>
      </c>
      <c r="Z8973" t="str">
        <f t="shared" si="1479"/>
        <v/>
      </c>
      <c r="AA8973">
        <f t="shared" si="1469"/>
        <v>0</v>
      </c>
    </row>
    <row r="8974" spans="1:27" ht="21" customHeight="1" x14ac:dyDescent="0.95">
      <c r="A8974" s="56"/>
      <c r="B8974" s="57"/>
      <c r="C8974" s="57"/>
      <c r="D8974" s="57"/>
      <c r="E8974" s="56"/>
      <c r="F8974" s="57"/>
      <c r="G8974" s="57"/>
      <c r="H8974" s="56"/>
      <c r="I8974" s="56"/>
      <c r="J8974" s="58"/>
      <c r="K8974" s="58"/>
      <c r="L8974" s="13" t="str">
        <f t="shared" si="1470"/>
        <v/>
      </c>
      <c r="M8974" s="13" t="str">
        <f t="shared" si="1471"/>
        <v/>
      </c>
      <c r="Q8974" t="str">
        <f t="shared" si="1472"/>
        <v/>
      </c>
      <c r="R8974" t="str">
        <f t="shared" si="1473"/>
        <v/>
      </c>
      <c r="S8974" t="str">
        <f t="shared" si="1474"/>
        <v/>
      </c>
      <c r="T8974" t="str">
        <f t="shared" si="1475"/>
        <v/>
      </c>
      <c r="U8974" t="str">
        <f t="shared" si="1476"/>
        <v/>
      </c>
      <c r="V8974" t="str">
        <f t="shared" si="1477"/>
        <v/>
      </c>
      <c r="W8974" t="str">
        <f t="shared" si="1478"/>
        <v/>
      </c>
      <c r="X8974">
        <f t="shared" si="1468"/>
        <v>0</v>
      </c>
      <c r="Z8974" t="str">
        <f t="shared" si="1479"/>
        <v/>
      </c>
      <c r="AA8974">
        <f t="shared" si="1469"/>
        <v>0</v>
      </c>
    </row>
    <row r="8975" spans="1:27" ht="21" customHeight="1" x14ac:dyDescent="0.95">
      <c r="A8975" s="56"/>
      <c r="B8975" s="57"/>
      <c r="C8975" s="57"/>
      <c r="D8975" s="57"/>
      <c r="E8975" s="56"/>
      <c r="F8975" s="57"/>
      <c r="G8975" s="57"/>
      <c r="H8975" s="56"/>
      <c r="I8975" s="56"/>
      <c r="J8975" s="58"/>
      <c r="K8975" s="58"/>
      <c r="L8975" s="13" t="str">
        <f t="shared" si="1470"/>
        <v/>
      </c>
      <c r="M8975" s="13" t="str">
        <f t="shared" si="1471"/>
        <v/>
      </c>
      <c r="Q8975" t="str">
        <f t="shared" si="1472"/>
        <v/>
      </c>
      <c r="R8975" t="str">
        <f t="shared" si="1473"/>
        <v/>
      </c>
      <c r="S8975" t="str">
        <f t="shared" si="1474"/>
        <v/>
      </c>
      <c r="T8975" t="str">
        <f t="shared" si="1475"/>
        <v/>
      </c>
      <c r="U8975" t="str">
        <f t="shared" si="1476"/>
        <v/>
      </c>
      <c r="V8975" t="str">
        <f t="shared" si="1477"/>
        <v/>
      </c>
      <c r="W8975" t="str">
        <f t="shared" si="1478"/>
        <v/>
      </c>
      <c r="X8975">
        <f t="shared" si="1468"/>
        <v>0</v>
      </c>
      <c r="Z8975" t="str">
        <f t="shared" si="1479"/>
        <v/>
      </c>
      <c r="AA8975">
        <f t="shared" si="1469"/>
        <v>0</v>
      </c>
    </row>
    <row r="8976" spans="1:27" ht="21" customHeight="1" x14ac:dyDescent="0.95">
      <c r="A8976" s="56"/>
      <c r="B8976" s="57"/>
      <c r="C8976" s="57"/>
      <c r="D8976" s="57"/>
      <c r="E8976" s="56"/>
      <c r="F8976" s="57"/>
      <c r="G8976" s="57"/>
      <c r="H8976" s="56"/>
      <c r="I8976" s="56"/>
      <c r="J8976" s="58"/>
      <c r="K8976" s="58"/>
      <c r="L8976" s="13" t="str">
        <f t="shared" si="1470"/>
        <v/>
      </c>
      <c r="M8976" s="13" t="str">
        <f t="shared" si="1471"/>
        <v/>
      </c>
      <c r="Q8976" t="str">
        <f t="shared" si="1472"/>
        <v/>
      </c>
      <c r="R8976" t="str">
        <f t="shared" si="1473"/>
        <v/>
      </c>
      <c r="S8976" t="str">
        <f t="shared" si="1474"/>
        <v/>
      </c>
      <c r="T8976" t="str">
        <f t="shared" si="1475"/>
        <v/>
      </c>
      <c r="U8976" t="str">
        <f t="shared" si="1476"/>
        <v/>
      </c>
      <c r="V8976" t="str">
        <f t="shared" si="1477"/>
        <v/>
      </c>
      <c r="W8976" t="str">
        <f t="shared" si="1478"/>
        <v/>
      </c>
      <c r="X8976">
        <f t="shared" si="1468"/>
        <v>0</v>
      </c>
      <c r="Z8976" t="str">
        <f t="shared" si="1479"/>
        <v/>
      </c>
      <c r="AA8976">
        <f t="shared" si="1469"/>
        <v>0</v>
      </c>
    </row>
    <row r="8977" spans="1:27" ht="21" customHeight="1" x14ac:dyDescent="0.95">
      <c r="A8977" s="56"/>
      <c r="B8977" s="57"/>
      <c r="C8977" s="57"/>
      <c r="D8977" s="57"/>
      <c r="E8977" s="56"/>
      <c r="F8977" s="57"/>
      <c r="G8977" s="57"/>
      <c r="H8977" s="56"/>
      <c r="I8977" s="56"/>
      <c r="J8977" s="58"/>
      <c r="K8977" s="58"/>
      <c r="L8977" s="13" t="str">
        <f t="shared" si="1470"/>
        <v/>
      </c>
      <c r="M8977" s="13" t="str">
        <f t="shared" si="1471"/>
        <v/>
      </c>
      <c r="Q8977" t="str">
        <f t="shared" si="1472"/>
        <v/>
      </c>
      <c r="R8977" t="str">
        <f t="shared" si="1473"/>
        <v/>
      </c>
      <c r="S8977" t="str">
        <f t="shared" si="1474"/>
        <v/>
      </c>
      <c r="T8977" t="str">
        <f t="shared" si="1475"/>
        <v/>
      </c>
      <c r="U8977" t="str">
        <f t="shared" si="1476"/>
        <v/>
      </c>
      <c r="V8977" t="str">
        <f t="shared" si="1477"/>
        <v/>
      </c>
      <c r="W8977" t="str">
        <f t="shared" si="1478"/>
        <v/>
      </c>
      <c r="X8977">
        <f t="shared" si="1468"/>
        <v>0</v>
      </c>
      <c r="Z8977" t="str">
        <f t="shared" si="1479"/>
        <v/>
      </c>
      <c r="AA8977">
        <f t="shared" si="1469"/>
        <v>0</v>
      </c>
    </row>
    <row r="8978" spans="1:27" ht="21" customHeight="1" x14ac:dyDescent="0.95">
      <c r="A8978" s="56"/>
      <c r="B8978" s="57"/>
      <c r="C8978" s="57"/>
      <c r="D8978" s="57"/>
      <c r="E8978" s="56"/>
      <c r="F8978" s="57"/>
      <c r="G8978" s="57"/>
      <c r="H8978" s="56"/>
      <c r="I8978" s="56"/>
      <c r="J8978" s="58"/>
      <c r="K8978" s="58"/>
      <c r="L8978" s="13" t="str">
        <f t="shared" si="1470"/>
        <v/>
      </c>
      <c r="M8978" s="13" t="str">
        <f t="shared" si="1471"/>
        <v/>
      </c>
      <c r="Q8978" t="str">
        <f t="shared" si="1472"/>
        <v/>
      </c>
      <c r="R8978" t="str">
        <f t="shared" si="1473"/>
        <v/>
      </c>
      <c r="S8978" t="str">
        <f t="shared" si="1474"/>
        <v/>
      </c>
      <c r="T8978" t="str">
        <f t="shared" si="1475"/>
        <v/>
      </c>
      <c r="U8978" t="str">
        <f t="shared" si="1476"/>
        <v/>
      </c>
      <c r="V8978" t="str">
        <f t="shared" si="1477"/>
        <v/>
      </c>
      <c r="W8978" t="str">
        <f t="shared" si="1478"/>
        <v/>
      </c>
      <c r="X8978">
        <f t="shared" si="1468"/>
        <v>0</v>
      </c>
      <c r="Z8978" t="str">
        <f t="shared" si="1479"/>
        <v/>
      </c>
      <c r="AA8978">
        <f t="shared" si="1469"/>
        <v>0</v>
      </c>
    </row>
    <row r="8979" spans="1:27" ht="21" customHeight="1" x14ac:dyDescent="0.95">
      <c r="A8979" s="56"/>
      <c r="B8979" s="57"/>
      <c r="C8979" s="57"/>
      <c r="D8979" s="57"/>
      <c r="E8979" s="56"/>
      <c r="F8979" s="57"/>
      <c r="G8979" s="57"/>
      <c r="H8979" s="56"/>
      <c r="I8979" s="56"/>
      <c r="J8979" s="58"/>
      <c r="K8979" s="58"/>
      <c r="L8979" s="13" t="str">
        <f t="shared" si="1470"/>
        <v/>
      </c>
      <c r="M8979" s="13" t="str">
        <f t="shared" si="1471"/>
        <v/>
      </c>
      <c r="Q8979" t="str">
        <f t="shared" si="1472"/>
        <v/>
      </c>
      <c r="R8979" t="str">
        <f t="shared" si="1473"/>
        <v/>
      </c>
      <c r="S8979" t="str">
        <f t="shared" si="1474"/>
        <v/>
      </c>
      <c r="T8979" t="str">
        <f t="shared" si="1475"/>
        <v/>
      </c>
      <c r="U8979" t="str">
        <f t="shared" si="1476"/>
        <v/>
      </c>
      <c r="V8979" t="str">
        <f t="shared" si="1477"/>
        <v/>
      </c>
      <c r="W8979" t="str">
        <f t="shared" si="1478"/>
        <v/>
      </c>
      <c r="X8979">
        <f t="shared" si="1468"/>
        <v>0</v>
      </c>
      <c r="Z8979" t="str">
        <f t="shared" si="1479"/>
        <v/>
      </c>
      <c r="AA8979">
        <f t="shared" si="1469"/>
        <v>0</v>
      </c>
    </row>
    <row r="8980" spans="1:27" ht="21" customHeight="1" x14ac:dyDescent="0.95">
      <c r="A8980" s="56"/>
      <c r="B8980" s="57"/>
      <c r="C8980" s="57"/>
      <c r="D8980" s="57"/>
      <c r="E8980" s="56"/>
      <c r="F8980" s="57"/>
      <c r="G8980" s="57"/>
      <c r="H8980" s="56"/>
      <c r="I8980" s="56"/>
      <c r="J8980" s="58"/>
      <c r="K8980" s="58"/>
      <c r="L8980" s="13" t="str">
        <f t="shared" si="1470"/>
        <v/>
      </c>
      <c r="M8980" s="13" t="str">
        <f t="shared" si="1471"/>
        <v/>
      </c>
      <c r="Q8980" t="str">
        <f t="shared" si="1472"/>
        <v/>
      </c>
      <c r="R8980" t="str">
        <f t="shared" si="1473"/>
        <v/>
      </c>
      <c r="S8980" t="str">
        <f t="shared" si="1474"/>
        <v/>
      </c>
      <c r="T8980" t="str">
        <f t="shared" si="1475"/>
        <v/>
      </c>
      <c r="U8980" t="str">
        <f t="shared" si="1476"/>
        <v/>
      </c>
      <c r="V8980" t="str">
        <f t="shared" si="1477"/>
        <v/>
      </c>
      <c r="W8980" t="str">
        <f t="shared" si="1478"/>
        <v/>
      </c>
      <c r="X8980">
        <f t="shared" si="1468"/>
        <v>0</v>
      </c>
      <c r="Z8980" t="str">
        <f t="shared" si="1479"/>
        <v/>
      </c>
      <c r="AA8980">
        <f t="shared" si="1469"/>
        <v>0</v>
      </c>
    </row>
    <row r="8981" spans="1:27" ht="21" customHeight="1" x14ac:dyDescent="0.95">
      <c r="A8981" s="56"/>
      <c r="B8981" s="57"/>
      <c r="C8981" s="57"/>
      <c r="D8981" s="57"/>
      <c r="E8981" s="56"/>
      <c r="F8981" s="57"/>
      <c r="G8981" s="57"/>
      <c r="H8981" s="56"/>
      <c r="I8981" s="56"/>
      <c r="J8981" s="58"/>
      <c r="K8981" s="58"/>
      <c r="L8981" s="13" t="str">
        <f t="shared" si="1470"/>
        <v/>
      </c>
      <c r="M8981" s="13" t="str">
        <f t="shared" si="1471"/>
        <v/>
      </c>
      <c r="Q8981" t="str">
        <f t="shared" si="1472"/>
        <v/>
      </c>
      <c r="R8981" t="str">
        <f t="shared" si="1473"/>
        <v/>
      </c>
      <c r="S8981" t="str">
        <f t="shared" si="1474"/>
        <v/>
      </c>
      <c r="T8981" t="str">
        <f t="shared" si="1475"/>
        <v/>
      </c>
      <c r="U8981" t="str">
        <f t="shared" si="1476"/>
        <v/>
      </c>
      <c r="V8981" t="str">
        <f t="shared" si="1477"/>
        <v/>
      </c>
      <c r="W8981" t="str">
        <f t="shared" si="1478"/>
        <v/>
      </c>
      <c r="X8981">
        <f t="shared" si="1468"/>
        <v>0</v>
      </c>
      <c r="Z8981" t="str">
        <f t="shared" si="1479"/>
        <v/>
      </c>
      <c r="AA8981">
        <f t="shared" si="1469"/>
        <v>0</v>
      </c>
    </row>
    <row r="8982" spans="1:27" ht="21" customHeight="1" x14ac:dyDescent="0.95">
      <c r="A8982" s="56"/>
      <c r="B8982" s="57"/>
      <c r="C8982" s="57"/>
      <c r="D8982" s="57"/>
      <c r="E8982" s="56"/>
      <c r="F8982" s="57"/>
      <c r="G8982" s="57"/>
      <c r="H8982" s="56"/>
      <c r="I8982" s="56"/>
      <c r="J8982" s="58"/>
      <c r="K8982" s="58"/>
      <c r="L8982" s="13" t="str">
        <f t="shared" si="1470"/>
        <v/>
      </c>
      <c r="M8982" s="13" t="str">
        <f t="shared" si="1471"/>
        <v/>
      </c>
      <c r="Q8982" t="str">
        <f t="shared" si="1472"/>
        <v/>
      </c>
      <c r="R8982" t="str">
        <f t="shared" si="1473"/>
        <v/>
      </c>
      <c r="S8982" t="str">
        <f t="shared" si="1474"/>
        <v/>
      </c>
      <c r="T8982" t="str">
        <f t="shared" si="1475"/>
        <v/>
      </c>
      <c r="U8982" t="str">
        <f t="shared" si="1476"/>
        <v/>
      </c>
      <c r="V8982" t="str">
        <f t="shared" si="1477"/>
        <v/>
      </c>
      <c r="W8982" t="str">
        <f t="shared" si="1478"/>
        <v/>
      </c>
      <c r="X8982">
        <f t="shared" si="1468"/>
        <v>0</v>
      </c>
      <c r="Z8982" t="str">
        <f t="shared" si="1479"/>
        <v/>
      </c>
      <c r="AA8982">
        <f t="shared" si="1469"/>
        <v>0</v>
      </c>
    </row>
    <row r="8983" spans="1:27" ht="21" customHeight="1" x14ac:dyDescent="0.95">
      <c r="A8983" s="56"/>
      <c r="B8983" s="57"/>
      <c r="C8983" s="57"/>
      <c r="D8983" s="57"/>
      <c r="E8983" s="56"/>
      <c r="F8983" s="57"/>
      <c r="G8983" s="57"/>
      <c r="H8983" s="56"/>
      <c r="I8983" s="56"/>
      <c r="J8983" s="58"/>
      <c r="K8983" s="58"/>
      <c r="L8983" s="13" t="str">
        <f t="shared" si="1470"/>
        <v/>
      </c>
      <c r="M8983" s="13" t="str">
        <f t="shared" si="1471"/>
        <v/>
      </c>
      <c r="Q8983" t="str">
        <f t="shared" si="1472"/>
        <v/>
      </c>
      <c r="R8983" t="str">
        <f t="shared" si="1473"/>
        <v/>
      </c>
      <c r="S8983" t="str">
        <f t="shared" si="1474"/>
        <v/>
      </c>
      <c r="T8983" t="str">
        <f t="shared" si="1475"/>
        <v/>
      </c>
      <c r="U8983" t="str">
        <f t="shared" si="1476"/>
        <v/>
      </c>
      <c r="V8983" t="str">
        <f t="shared" si="1477"/>
        <v/>
      </c>
      <c r="W8983" t="str">
        <f t="shared" si="1478"/>
        <v/>
      </c>
      <c r="X8983">
        <f t="shared" si="1468"/>
        <v>0</v>
      </c>
      <c r="Z8983" t="str">
        <f t="shared" si="1479"/>
        <v/>
      </c>
      <c r="AA8983">
        <f t="shared" si="1469"/>
        <v>0</v>
      </c>
    </row>
    <row r="8984" spans="1:27" ht="21" customHeight="1" x14ac:dyDescent="0.95">
      <c r="A8984" s="56"/>
      <c r="B8984" s="57"/>
      <c r="C8984" s="57"/>
      <c r="D8984" s="57"/>
      <c r="E8984" s="56"/>
      <c r="F8984" s="57"/>
      <c r="G8984" s="57"/>
      <c r="H8984" s="56"/>
      <c r="I8984" s="56"/>
      <c r="J8984" s="58"/>
      <c r="K8984" s="58"/>
      <c r="L8984" s="13" t="str">
        <f t="shared" si="1470"/>
        <v/>
      </c>
      <c r="M8984" s="13" t="str">
        <f t="shared" si="1471"/>
        <v/>
      </c>
      <c r="Q8984" t="str">
        <f t="shared" si="1472"/>
        <v/>
      </c>
      <c r="R8984" t="str">
        <f t="shared" si="1473"/>
        <v/>
      </c>
      <c r="S8984" t="str">
        <f t="shared" si="1474"/>
        <v/>
      </c>
      <c r="T8984" t="str">
        <f t="shared" si="1475"/>
        <v/>
      </c>
      <c r="U8984" t="str">
        <f t="shared" si="1476"/>
        <v/>
      </c>
      <c r="V8984" t="str">
        <f t="shared" si="1477"/>
        <v/>
      </c>
      <c r="W8984" t="str">
        <f t="shared" si="1478"/>
        <v/>
      </c>
      <c r="X8984">
        <f t="shared" si="1468"/>
        <v>0</v>
      </c>
      <c r="Z8984" t="str">
        <f t="shared" si="1479"/>
        <v/>
      </c>
      <c r="AA8984">
        <f t="shared" si="1469"/>
        <v>0</v>
      </c>
    </row>
    <row r="8985" spans="1:27" ht="21" customHeight="1" x14ac:dyDescent="0.95">
      <c r="A8985" s="56"/>
      <c r="B8985" s="57"/>
      <c r="C8985" s="57"/>
      <c r="D8985" s="57"/>
      <c r="E8985" s="56"/>
      <c r="F8985" s="57"/>
      <c r="G8985" s="57"/>
      <c r="H8985" s="56"/>
      <c r="I8985" s="56"/>
      <c r="J8985" s="58"/>
      <c r="K8985" s="58"/>
      <c r="L8985" s="13" t="str">
        <f t="shared" si="1470"/>
        <v/>
      </c>
      <c r="M8985" s="13" t="str">
        <f t="shared" si="1471"/>
        <v/>
      </c>
      <c r="Q8985" t="str">
        <f t="shared" si="1472"/>
        <v/>
      </c>
      <c r="R8985" t="str">
        <f t="shared" si="1473"/>
        <v/>
      </c>
      <c r="S8985" t="str">
        <f t="shared" si="1474"/>
        <v/>
      </c>
      <c r="T8985" t="str">
        <f t="shared" si="1475"/>
        <v/>
      </c>
      <c r="U8985" t="str">
        <f t="shared" si="1476"/>
        <v/>
      </c>
      <c r="V8985" t="str">
        <f t="shared" si="1477"/>
        <v/>
      </c>
      <c r="W8985" t="str">
        <f t="shared" si="1478"/>
        <v/>
      </c>
      <c r="X8985">
        <f t="shared" si="1468"/>
        <v>0</v>
      </c>
      <c r="Z8985" t="str">
        <f t="shared" si="1479"/>
        <v/>
      </c>
      <c r="AA8985">
        <f t="shared" si="1469"/>
        <v>0</v>
      </c>
    </row>
    <row r="8986" spans="1:27" ht="21" customHeight="1" x14ac:dyDescent="0.95">
      <c r="A8986" s="56"/>
      <c r="B8986" s="57"/>
      <c r="C8986" s="57"/>
      <c r="D8986" s="57"/>
      <c r="E8986" s="56"/>
      <c r="F8986" s="57"/>
      <c r="G8986" s="57"/>
      <c r="H8986" s="56"/>
      <c r="I8986" s="56"/>
      <c r="J8986" s="58"/>
      <c r="K8986" s="58"/>
      <c r="L8986" s="13" t="str">
        <f t="shared" si="1470"/>
        <v/>
      </c>
      <c r="M8986" s="13" t="str">
        <f t="shared" si="1471"/>
        <v/>
      </c>
      <c r="Q8986" t="str">
        <f t="shared" si="1472"/>
        <v/>
      </c>
      <c r="R8986" t="str">
        <f t="shared" si="1473"/>
        <v/>
      </c>
      <c r="S8986" t="str">
        <f t="shared" si="1474"/>
        <v/>
      </c>
      <c r="T8986" t="str">
        <f t="shared" si="1475"/>
        <v/>
      </c>
      <c r="U8986" t="str">
        <f t="shared" si="1476"/>
        <v/>
      </c>
      <c r="V8986" t="str">
        <f t="shared" si="1477"/>
        <v/>
      </c>
      <c r="W8986" t="str">
        <f t="shared" si="1478"/>
        <v/>
      </c>
      <c r="X8986">
        <f t="shared" si="1468"/>
        <v>0</v>
      </c>
      <c r="Z8986" t="str">
        <f t="shared" si="1479"/>
        <v/>
      </c>
      <c r="AA8986">
        <f t="shared" si="1469"/>
        <v>0</v>
      </c>
    </row>
    <row r="8987" spans="1:27" ht="21" customHeight="1" x14ac:dyDescent="0.95">
      <c r="A8987" s="56"/>
      <c r="B8987" s="57"/>
      <c r="C8987" s="57"/>
      <c r="D8987" s="57"/>
      <c r="E8987" s="56"/>
      <c r="F8987" s="57"/>
      <c r="G8987" s="57"/>
      <c r="H8987" s="56"/>
      <c r="I8987" s="56"/>
      <c r="J8987" s="58"/>
      <c r="K8987" s="58"/>
      <c r="L8987" s="13" t="str">
        <f t="shared" si="1470"/>
        <v/>
      </c>
      <c r="M8987" s="13" t="str">
        <f t="shared" si="1471"/>
        <v/>
      </c>
      <c r="Q8987" t="str">
        <f t="shared" si="1472"/>
        <v/>
      </c>
      <c r="R8987" t="str">
        <f t="shared" si="1473"/>
        <v/>
      </c>
      <c r="S8987" t="str">
        <f t="shared" si="1474"/>
        <v/>
      </c>
      <c r="T8987" t="str">
        <f t="shared" si="1475"/>
        <v/>
      </c>
      <c r="U8987" t="str">
        <f t="shared" si="1476"/>
        <v/>
      </c>
      <c r="V8987" t="str">
        <f t="shared" si="1477"/>
        <v/>
      </c>
      <c r="W8987" t="str">
        <f t="shared" si="1478"/>
        <v/>
      </c>
      <c r="X8987">
        <f t="shared" si="1468"/>
        <v>0</v>
      </c>
      <c r="Z8987" t="str">
        <f t="shared" si="1479"/>
        <v/>
      </c>
      <c r="AA8987">
        <f t="shared" si="1469"/>
        <v>0</v>
      </c>
    </row>
    <row r="8988" spans="1:27" ht="21" customHeight="1" x14ac:dyDescent="0.95">
      <c r="A8988" s="56"/>
      <c r="B8988" s="57"/>
      <c r="C8988" s="57"/>
      <c r="D8988" s="57"/>
      <c r="E8988" s="56"/>
      <c r="F8988" s="57"/>
      <c r="G8988" s="57"/>
      <c r="H8988" s="56"/>
      <c r="I8988" s="56"/>
      <c r="J8988" s="58"/>
      <c r="K8988" s="58"/>
      <c r="L8988" s="13" t="str">
        <f t="shared" si="1470"/>
        <v/>
      </c>
      <c r="M8988" s="13" t="str">
        <f t="shared" si="1471"/>
        <v/>
      </c>
      <c r="Q8988" t="str">
        <f t="shared" si="1472"/>
        <v/>
      </c>
      <c r="R8988" t="str">
        <f t="shared" si="1473"/>
        <v/>
      </c>
      <c r="S8988" t="str">
        <f t="shared" si="1474"/>
        <v/>
      </c>
      <c r="T8988" t="str">
        <f t="shared" si="1475"/>
        <v/>
      </c>
      <c r="U8988" t="str">
        <f t="shared" si="1476"/>
        <v/>
      </c>
      <c r="V8988" t="str">
        <f t="shared" si="1477"/>
        <v/>
      </c>
      <c r="W8988" t="str">
        <f t="shared" si="1478"/>
        <v/>
      </c>
      <c r="X8988">
        <f t="shared" si="1468"/>
        <v>0</v>
      </c>
      <c r="Z8988" t="str">
        <f t="shared" si="1479"/>
        <v/>
      </c>
      <c r="AA8988">
        <f t="shared" si="1469"/>
        <v>0</v>
      </c>
    </row>
    <row r="8989" spans="1:27" ht="21" customHeight="1" x14ac:dyDescent="0.95">
      <c r="A8989" s="56"/>
      <c r="B8989" s="57"/>
      <c r="C8989" s="57"/>
      <c r="D8989" s="57"/>
      <c r="E8989" s="56"/>
      <c r="F8989" s="57"/>
      <c r="G8989" s="57"/>
      <c r="H8989" s="56"/>
      <c r="I8989" s="56"/>
      <c r="J8989" s="58"/>
      <c r="K8989" s="58"/>
      <c r="L8989" s="13" t="str">
        <f t="shared" si="1470"/>
        <v/>
      </c>
      <c r="M8989" s="13" t="str">
        <f t="shared" si="1471"/>
        <v/>
      </c>
      <c r="Q8989" t="str">
        <f t="shared" si="1472"/>
        <v/>
      </c>
      <c r="R8989" t="str">
        <f t="shared" si="1473"/>
        <v/>
      </c>
      <c r="S8989" t="str">
        <f t="shared" si="1474"/>
        <v/>
      </c>
      <c r="T8989" t="str">
        <f t="shared" si="1475"/>
        <v/>
      </c>
      <c r="U8989" t="str">
        <f t="shared" si="1476"/>
        <v/>
      </c>
      <c r="V8989" t="str">
        <f t="shared" si="1477"/>
        <v/>
      </c>
      <c r="W8989" t="str">
        <f t="shared" si="1478"/>
        <v/>
      </c>
      <c r="X8989">
        <f t="shared" si="1468"/>
        <v>0</v>
      </c>
      <c r="Z8989" t="str">
        <f t="shared" si="1479"/>
        <v/>
      </c>
      <c r="AA8989">
        <f t="shared" si="1469"/>
        <v>0</v>
      </c>
    </row>
    <row r="8990" spans="1:27" ht="21" customHeight="1" x14ac:dyDescent="0.95">
      <c r="A8990" s="56"/>
      <c r="B8990" s="57"/>
      <c r="C8990" s="57"/>
      <c r="D8990" s="57"/>
      <c r="E8990" s="56"/>
      <c r="F8990" s="57"/>
      <c r="G8990" s="57"/>
      <c r="H8990" s="56"/>
      <c r="I8990" s="56"/>
      <c r="J8990" s="58"/>
      <c r="K8990" s="58"/>
      <c r="L8990" s="13" t="str">
        <f t="shared" si="1470"/>
        <v/>
      </c>
      <c r="M8990" s="13" t="str">
        <f t="shared" si="1471"/>
        <v/>
      </c>
      <c r="Q8990" t="str">
        <f t="shared" si="1472"/>
        <v/>
      </c>
      <c r="R8990" t="str">
        <f t="shared" si="1473"/>
        <v/>
      </c>
      <c r="S8990" t="str">
        <f t="shared" si="1474"/>
        <v/>
      </c>
      <c r="T8990" t="str">
        <f t="shared" si="1475"/>
        <v/>
      </c>
      <c r="U8990" t="str">
        <f t="shared" si="1476"/>
        <v/>
      </c>
      <c r="V8990" t="str">
        <f t="shared" si="1477"/>
        <v/>
      </c>
      <c r="W8990" t="str">
        <f t="shared" si="1478"/>
        <v/>
      </c>
      <c r="X8990">
        <f t="shared" si="1468"/>
        <v>0</v>
      </c>
      <c r="Z8990" t="str">
        <f t="shared" si="1479"/>
        <v/>
      </c>
      <c r="AA8990">
        <f t="shared" si="1469"/>
        <v>0</v>
      </c>
    </row>
    <row r="8991" spans="1:27" ht="21" customHeight="1" x14ac:dyDescent="0.95">
      <c r="A8991" s="56"/>
      <c r="B8991" s="57"/>
      <c r="C8991" s="57"/>
      <c r="D8991" s="57"/>
      <c r="E8991" s="56"/>
      <c r="F8991" s="57"/>
      <c r="G8991" s="57"/>
      <c r="H8991" s="56"/>
      <c r="I8991" s="56"/>
      <c r="J8991" s="58"/>
      <c r="K8991" s="58"/>
      <c r="L8991" s="13" t="str">
        <f t="shared" si="1470"/>
        <v/>
      </c>
      <c r="M8991" s="13" t="str">
        <f t="shared" si="1471"/>
        <v/>
      </c>
      <c r="Q8991" t="str">
        <f t="shared" si="1472"/>
        <v/>
      </c>
      <c r="R8991" t="str">
        <f t="shared" si="1473"/>
        <v/>
      </c>
      <c r="S8991" t="str">
        <f t="shared" si="1474"/>
        <v/>
      </c>
      <c r="T8991" t="str">
        <f t="shared" si="1475"/>
        <v/>
      </c>
      <c r="U8991" t="str">
        <f t="shared" si="1476"/>
        <v/>
      </c>
      <c r="V8991" t="str">
        <f t="shared" si="1477"/>
        <v/>
      </c>
      <c r="W8991" t="str">
        <f t="shared" si="1478"/>
        <v/>
      </c>
      <c r="X8991">
        <f t="shared" si="1468"/>
        <v>0</v>
      </c>
      <c r="Z8991" t="str">
        <f t="shared" si="1479"/>
        <v/>
      </c>
      <c r="AA8991">
        <f t="shared" si="1469"/>
        <v>0</v>
      </c>
    </row>
    <row r="8992" spans="1:27" ht="21" customHeight="1" x14ac:dyDescent="0.95">
      <c r="A8992" s="56"/>
      <c r="B8992" s="57"/>
      <c r="C8992" s="57"/>
      <c r="D8992" s="57"/>
      <c r="E8992" s="56"/>
      <c r="F8992" s="57"/>
      <c r="G8992" s="57"/>
      <c r="H8992" s="56"/>
      <c r="I8992" s="56"/>
      <c r="J8992" s="58"/>
      <c r="K8992" s="58"/>
      <c r="L8992" s="13" t="str">
        <f t="shared" si="1470"/>
        <v/>
      </c>
      <c r="M8992" s="13" t="str">
        <f t="shared" si="1471"/>
        <v/>
      </c>
      <c r="Q8992" t="str">
        <f t="shared" si="1472"/>
        <v/>
      </c>
      <c r="R8992" t="str">
        <f t="shared" si="1473"/>
        <v/>
      </c>
      <c r="S8992" t="str">
        <f t="shared" si="1474"/>
        <v/>
      </c>
      <c r="T8992" t="str">
        <f t="shared" si="1475"/>
        <v/>
      </c>
      <c r="U8992" t="str">
        <f t="shared" si="1476"/>
        <v/>
      </c>
      <c r="V8992" t="str">
        <f t="shared" si="1477"/>
        <v/>
      </c>
      <c r="W8992" t="str">
        <f t="shared" si="1478"/>
        <v/>
      </c>
      <c r="X8992">
        <f t="shared" si="1468"/>
        <v>0</v>
      </c>
      <c r="Z8992" t="str">
        <f t="shared" si="1479"/>
        <v/>
      </c>
      <c r="AA8992">
        <f t="shared" si="1469"/>
        <v>0</v>
      </c>
    </row>
    <row r="8993" spans="1:27" ht="21" customHeight="1" x14ac:dyDescent="0.95">
      <c r="A8993" s="56"/>
      <c r="B8993" s="57"/>
      <c r="C8993" s="57"/>
      <c r="D8993" s="57"/>
      <c r="E8993" s="56"/>
      <c r="F8993" s="57"/>
      <c r="G8993" s="57"/>
      <c r="H8993" s="56"/>
      <c r="I8993" s="56"/>
      <c r="J8993" s="58"/>
      <c r="K8993" s="58"/>
      <c r="L8993" s="13" t="str">
        <f t="shared" si="1470"/>
        <v/>
      </c>
      <c r="M8993" s="13" t="str">
        <f t="shared" si="1471"/>
        <v/>
      </c>
      <c r="Q8993" t="str">
        <f t="shared" si="1472"/>
        <v/>
      </c>
      <c r="R8993" t="str">
        <f t="shared" si="1473"/>
        <v/>
      </c>
      <c r="S8993" t="str">
        <f t="shared" si="1474"/>
        <v/>
      </c>
      <c r="T8993" t="str">
        <f t="shared" si="1475"/>
        <v/>
      </c>
      <c r="U8993" t="str">
        <f t="shared" si="1476"/>
        <v/>
      </c>
      <c r="V8993" t="str">
        <f t="shared" si="1477"/>
        <v/>
      </c>
      <c r="W8993" t="str">
        <f t="shared" si="1478"/>
        <v/>
      </c>
      <c r="X8993">
        <f t="shared" si="1468"/>
        <v>0</v>
      </c>
      <c r="Z8993" t="str">
        <f t="shared" si="1479"/>
        <v/>
      </c>
      <c r="AA8993">
        <f t="shared" si="1469"/>
        <v>0</v>
      </c>
    </row>
    <row r="8994" spans="1:27" ht="21" customHeight="1" x14ac:dyDescent="0.95">
      <c r="A8994" s="56"/>
      <c r="B8994" s="57"/>
      <c r="C8994" s="57"/>
      <c r="D8994" s="57"/>
      <c r="E8994" s="56"/>
      <c r="F8994" s="57"/>
      <c r="G8994" s="57"/>
      <c r="H8994" s="56"/>
      <c r="I8994" s="56"/>
      <c r="J8994" s="58"/>
      <c r="K8994" s="58"/>
      <c r="L8994" s="13" t="str">
        <f t="shared" si="1470"/>
        <v/>
      </c>
      <c r="M8994" s="13" t="str">
        <f t="shared" si="1471"/>
        <v/>
      </c>
      <c r="Q8994" t="str">
        <f t="shared" si="1472"/>
        <v/>
      </c>
      <c r="R8994" t="str">
        <f t="shared" si="1473"/>
        <v/>
      </c>
      <c r="S8994" t="str">
        <f t="shared" si="1474"/>
        <v/>
      </c>
      <c r="T8994" t="str">
        <f t="shared" si="1475"/>
        <v/>
      </c>
      <c r="U8994" t="str">
        <f t="shared" si="1476"/>
        <v/>
      </c>
      <c r="V8994" t="str">
        <f t="shared" si="1477"/>
        <v/>
      </c>
      <c r="W8994" t="str">
        <f t="shared" si="1478"/>
        <v/>
      </c>
      <c r="X8994">
        <f t="shared" si="1468"/>
        <v>0</v>
      </c>
      <c r="Z8994" t="str">
        <f t="shared" si="1479"/>
        <v/>
      </c>
      <c r="AA8994">
        <f t="shared" si="1469"/>
        <v>0</v>
      </c>
    </row>
    <row r="8995" spans="1:27" ht="21" customHeight="1" x14ac:dyDescent="0.95">
      <c r="A8995" s="56"/>
      <c r="B8995" s="57"/>
      <c r="C8995" s="57"/>
      <c r="D8995" s="57"/>
      <c r="E8995" s="56"/>
      <c r="F8995" s="57"/>
      <c r="G8995" s="57"/>
      <c r="H8995" s="56"/>
      <c r="I8995" s="56"/>
      <c r="J8995" s="58"/>
      <c r="K8995" s="58"/>
      <c r="L8995" s="13" t="str">
        <f t="shared" si="1470"/>
        <v/>
      </c>
      <c r="M8995" s="13" t="str">
        <f t="shared" si="1471"/>
        <v/>
      </c>
      <c r="Q8995" t="str">
        <f t="shared" si="1472"/>
        <v/>
      </c>
      <c r="R8995" t="str">
        <f t="shared" si="1473"/>
        <v/>
      </c>
      <c r="S8995" t="str">
        <f t="shared" si="1474"/>
        <v/>
      </c>
      <c r="T8995" t="str">
        <f t="shared" si="1475"/>
        <v/>
      </c>
      <c r="U8995" t="str">
        <f t="shared" si="1476"/>
        <v/>
      </c>
      <c r="V8995" t="str">
        <f t="shared" si="1477"/>
        <v/>
      </c>
      <c r="W8995" t="str">
        <f t="shared" si="1478"/>
        <v/>
      </c>
      <c r="X8995">
        <f t="shared" si="1468"/>
        <v>0</v>
      </c>
      <c r="Z8995" t="str">
        <f t="shared" si="1479"/>
        <v/>
      </c>
      <c r="AA8995">
        <f t="shared" si="1469"/>
        <v>0</v>
      </c>
    </row>
    <row r="8996" spans="1:27" ht="21" customHeight="1" x14ac:dyDescent="0.95">
      <c r="A8996" s="56"/>
      <c r="B8996" s="57"/>
      <c r="C8996" s="57"/>
      <c r="D8996" s="57"/>
      <c r="E8996" s="56"/>
      <c r="F8996" s="57"/>
      <c r="G8996" s="57"/>
      <c r="H8996" s="56"/>
      <c r="I8996" s="56"/>
      <c r="J8996" s="58"/>
      <c r="K8996" s="58"/>
      <c r="L8996" s="13" t="str">
        <f t="shared" si="1470"/>
        <v/>
      </c>
      <c r="M8996" s="13" t="str">
        <f t="shared" si="1471"/>
        <v/>
      </c>
      <c r="Q8996" t="str">
        <f t="shared" si="1472"/>
        <v/>
      </c>
      <c r="R8996" t="str">
        <f t="shared" si="1473"/>
        <v/>
      </c>
      <c r="S8996" t="str">
        <f t="shared" si="1474"/>
        <v/>
      </c>
      <c r="T8996" t="str">
        <f t="shared" si="1475"/>
        <v/>
      </c>
      <c r="U8996" t="str">
        <f t="shared" si="1476"/>
        <v/>
      </c>
      <c r="V8996" t="str">
        <f t="shared" si="1477"/>
        <v/>
      </c>
      <c r="W8996" t="str">
        <f t="shared" si="1478"/>
        <v/>
      </c>
      <c r="X8996">
        <f t="shared" si="1468"/>
        <v>0</v>
      </c>
      <c r="Z8996" t="str">
        <f t="shared" si="1479"/>
        <v/>
      </c>
      <c r="AA8996">
        <f t="shared" si="1469"/>
        <v>0</v>
      </c>
    </row>
    <row r="8997" spans="1:27" ht="21" customHeight="1" x14ac:dyDescent="0.95">
      <c r="A8997" s="56"/>
      <c r="B8997" s="57"/>
      <c r="C8997" s="57"/>
      <c r="D8997" s="57"/>
      <c r="E8997" s="56"/>
      <c r="F8997" s="57"/>
      <c r="G8997" s="57"/>
      <c r="H8997" s="56"/>
      <c r="I8997" s="56"/>
      <c r="J8997" s="58"/>
      <c r="K8997" s="58"/>
      <c r="L8997" s="13" t="str">
        <f t="shared" si="1470"/>
        <v/>
      </c>
      <c r="M8997" s="13" t="str">
        <f t="shared" si="1471"/>
        <v/>
      </c>
      <c r="Q8997" t="str">
        <f t="shared" si="1472"/>
        <v/>
      </c>
      <c r="R8997" t="str">
        <f t="shared" si="1473"/>
        <v/>
      </c>
      <c r="S8997" t="str">
        <f t="shared" si="1474"/>
        <v/>
      </c>
      <c r="T8997" t="str">
        <f t="shared" si="1475"/>
        <v/>
      </c>
      <c r="U8997" t="str">
        <f t="shared" si="1476"/>
        <v/>
      </c>
      <c r="V8997" t="str">
        <f t="shared" si="1477"/>
        <v/>
      </c>
      <c r="W8997" t="str">
        <f t="shared" si="1478"/>
        <v/>
      </c>
      <c r="X8997">
        <f t="shared" si="1468"/>
        <v>0</v>
      </c>
      <c r="Z8997" t="str">
        <f t="shared" si="1479"/>
        <v/>
      </c>
      <c r="AA8997">
        <f t="shared" si="1469"/>
        <v>0</v>
      </c>
    </row>
    <row r="8998" spans="1:27" ht="21" customHeight="1" x14ac:dyDescent="0.95">
      <c r="A8998" s="56"/>
      <c r="B8998" s="57"/>
      <c r="C8998" s="57"/>
      <c r="D8998" s="57"/>
      <c r="E8998" s="56"/>
      <c r="F8998" s="57"/>
      <c r="G8998" s="57"/>
      <c r="H8998" s="56"/>
      <c r="I8998" s="56"/>
      <c r="J8998" s="58"/>
      <c r="K8998" s="58"/>
      <c r="L8998" s="13" t="str">
        <f t="shared" si="1470"/>
        <v/>
      </c>
      <c r="M8998" s="13" t="str">
        <f t="shared" si="1471"/>
        <v/>
      </c>
      <c r="Q8998" t="str">
        <f t="shared" si="1472"/>
        <v/>
      </c>
      <c r="R8998" t="str">
        <f t="shared" si="1473"/>
        <v/>
      </c>
      <c r="S8998" t="str">
        <f t="shared" si="1474"/>
        <v/>
      </c>
      <c r="T8998" t="str">
        <f t="shared" si="1475"/>
        <v/>
      </c>
      <c r="U8998" t="str">
        <f t="shared" si="1476"/>
        <v/>
      </c>
      <c r="V8998" t="str">
        <f t="shared" si="1477"/>
        <v/>
      </c>
      <c r="W8998" t="str">
        <f t="shared" si="1478"/>
        <v/>
      </c>
      <c r="X8998">
        <f t="shared" si="1468"/>
        <v>0</v>
      </c>
      <c r="Z8998" t="str">
        <f t="shared" si="1479"/>
        <v/>
      </c>
      <c r="AA8998">
        <f t="shared" si="1469"/>
        <v>0</v>
      </c>
    </row>
    <row r="8999" spans="1:27" ht="21" customHeight="1" x14ac:dyDescent="0.95">
      <c r="A8999" s="56"/>
      <c r="B8999" s="57"/>
      <c r="C8999" s="57"/>
      <c r="D8999" s="57"/>
      <c r="E8999" s="56"/>
      <c r="F8999" s="57"/>
      <c r="G8999" s="57"/>
      <c r="H8999" s="56"/>
      <c r="I8999" s="56"/>
      <c r="J8999" s="58"/>
      <c r="K8999" s="58"/>
      <c r="L8999" s="13" t="str">
        <f t="shared" si="1470"/>
        <v/>
      </c>
      <c r="M8999" s="13" t="str">
        <f t="shared" si="1471"/>
        <v/>
      </c>
      <c r="Q8999" t="str">
        <f t="shared" si="1472"/>
        <v/>
      </c>
      <c r="R8999" t="str">
        <f t="shared" si="1473"/>
        <v/>
      </c>
      <c r="S8999" t="str">
        <f t="shared" si="1474"/>
        <v/>
      </c>
      <c r="T8999" t="str">
        <f t="shared" si="1475"/>
        <v/>
      </c>
      <c r="U8999" t="str">
        <f t="shared" si="1476"/>
        <v/>
      </c>
      <c r="V8999" t="str">
        <f t="shared" si="1477"/>
        <v/>
      </c>
      <c r="W8999" t="str">
        <f t="shared" si="1478"/>
        <v/>
      </c>
      <c r="X8999">
        <f t="shared" si="1468"/>
        <v>0</v>
      </c>
      <c r="Z8999" t="str">
        <f t="shared" si="1479"/>
        <v/>
      </c>
      <c r="AA8999">
        <f t="shared" si="1469"/>
        <v>0</v>
      </c>
    </row>
    <row r="9000" spans="1:27" ht="21" customHeight="1" x14ac:dyDescent="0.95">
      <c r="A9000" s="56"/>
      <c r="B9000" s="57"/>
      <c r="C9000" s="57"/>
      <c r="D9000" s="57"/>
      <c r="E9000" s="56"/>
      <c r="F9000" s="57"/>
      <c r="G9000" s="57"/>
      <c r="H9000" s="56"/>
      <c r="I9000" s="56"/>
      <c r="J9000" s="58"/>
      <c r="K9000" s="58"/>
      <c r="L9000" s="13" t="str">
        <f t="shared" si="1470"/>
        <v/>
      </c>
      <c r="M9000" s="13" t="str">
        <f t="shared" si="1471"/>
        <v/>
      </c>
      <c r="Q9000" t="str">
        <f t="shared" si="1472"/>
        <v/>
      </c>
      <c r="R9000" t="str">
        <f t="shared" si="1473"/>
        <v/>
      </c>
      <c r="S9000" t="str">
        <f t="shared" si="1474"/>
        <v/>
      </c>
      <c r="T9000" t="str">
        <f t="shared" si="1475"/>
        <v/>
      </c>
      <c r="U9000" t="str">
        <f t="shared" si="1476"/>
        <v/>
      </c>
      <c r="V9000" t="str">
        <f t="shared" si="1477"/>
        <v/>
      </c>
      <c r="W9000" t="str">
        <f t="shared" si="1478"/>
        <v/>
      </c>
      <c r="X9000">
        <f t="shared" si="1468"/>
        <v>0</v>
      </c>
      <c r="Z9000" t="str">
        <f t="shared" si="1479"/>
        <v/>
      </c>
      <c r="AA9000">
        <f t="shared" si="1469"/>
        <v>0</v>
      </c>
    </row>
    <row r="9001" spans="1:27" ht="21" customHeight="1" x14ac:dyDescent="0.95">
      <c r="A9001" s="56"/>
      <c r="B9001" s="57"/>
      <c r="C9001" s="57"/>
      <c r="D9001" s="57"/>
      <c r="E9001" s="56"/>
      <c r="F9001" s="57"/>
      <c r="G9001" s="57"/>
      <c r="H9001" s="56"/>
      <c r="I9001" s="56"/>
      <c r="J9001" s="58"/>
      <c r="K9001" s="58"/>
      <c r="L9001" s="13" t="str">
        <f t="shared" si="1470"/>
        <v/>
      </c>
      <c r="M9001" s="13" t="str">
        <f t="shared" si="1471"/>
        <v/>
      </c>
      <c r="Q9001" t="str">
        <f t="shared" si="1472"/>
        <v/>
      </c>
      <c r="R9001" t="str">
        <f t="shared" si="1473"/>
        <v/>
      </c>
      <c r="S9001" t="str">
        <f t="shared" si="1474"/>
        <v/>
      </c>
      <c r="T9001" t="str">
        <f t="shared" si="1475"/>
        <v/>
      </c>
      <c r="U9001" t="str">
        <f t="shared" si="1476"/>
        <v/>
      </c>
      <c r="V9001" t="str">
        <f t="shared" si="1477"/>
        <v/>
      </c>
      <c r="W9001" t="str">
        <f t="shared" si="1478"/>
        <v/>
      </c>
      <c r="X9001">
        <f t="shared" si="1468"/>
        <v>0</v>
      </c>
      <c r="Z9001" t="str">
        <f t="shared" si="1479"/>
        <v/>
      </c>
      <c r="AA9001">
        <f t="shared" si="1469"/>
        <v>0</v>
      </c>
    </row>
    <row r="9002" spans="1:27" ht="21" customHeight="1" x14ac:dyDescent="0.95">
      <c r="A9002" s="56"/>
      <c r="B9002" s="57"/>
      <c r="C9002" s="57"/>
      <c r="D9002" s="57"/>
      <c r="E9002" s="56"/>
      <c r="F9002" s="57"/>
      <c r="G9002" s="57"/>
      <c r="H9002" s="56"/>
      <c r="I9002" s="56"/>
      <c r="J9002" s="58"/>
      <c r="K9002" s="58"/>
      <c r="L9002" s="13" t="str">
        <f t="shared" si="1470"/>
        <v/>
      </c>
      <c r="M9002" s="13" t="str">
        <f t="shared" si="1471"/>
        <v/>
      </c>
      <c r="Q9002" t="str">
        <f t="shared" si="1472"/>
        <v/>
      </c>
      <c r="R9002" t="str">
        <f t="shared" si="1473"/>
        <v/>
      </c>
      <c r="S9002" t="str">
        <f t="shared" si="1474"/>
        <v/>
      </c>
      <c r="T9002" t="str">
        <f t="shared" si="1475"/>
        <v/>
      </c>
      <c r="U9002" t="str">
        <f t="shared" si="1476"/>
        <v/>
      </c>
      <c r="V9002" t="str">
        <f t="shared" si="1477"/>
        <v/>
      </c>
      <c r="W9002" t="str">
        <f t="shared" si="1478"/>
        <v/>
      </c>
      <c r="X9002">
        <f t="shared" si="1468"/>
        <v>0</v>
      </c>
      <c r="Z9002" t="str">
        <f t="shared" si="1479"/>
        <v/>
      </c>
      <c r="AA9002">
        <f t="shared" si="1469"/>
        <v>0</v>
      </c>
    </row>
    <row r="9003" spans="1:27" ht="21" customHeight="1" x14ac:dyDescent="0.95">
      <c r="A9003" s="56"/>
      <c r="B9003" s="57"/>
      <c r="C9003" s="57"/>
      <c r="D9003" s="57"/>
      <c r="E9003" s="56"/>
      <c r="F9003" s="57"/>
      <c r="G9003" s="57"/>
      <c r="H9003" s="56"/>
      <c r="I9003" s="56"/>
      <c r="J9003" s="58"/>
      <c r="K9003" s="58"/>
      <c r="L9003" s="13" t="str">
        <f t="shared" si="1470"/>
        <v/>
      </c>
      <c r="M9003" s="13" t="str">
        <f t="shared" si="1471"/>
        <v/>
      </c>
      <c r="Q9003" t="str">
        <f t="shared" si="1472"/>
        <v/>
      </c>
      <c r="R9003" t="str">
        <f t="shared" si="1473"/>
        <v/>
      </c>
      <c r="S9003" t="str">
        <f t="shared" si="1474"/>
        <v/>
      </c>
      <c r="T9003" t="str">
        <f t="shared" si="1475"/>
        <v/>
      </c>
      <c r="U9003" t="str">
        <f t="shared" si="1476"/>
        <v/>
      </c>
      <c r="V9003" t="str">
        <f t="shared" si="1477"/>
        <v/>
      </c>
      <c r="W9003" t="str">
        <f t="shared" si="1478"/>
        <v/>
      </c>
      <c r="X9003">
        <f t="shared" si="1468"/>
        <v>0</v>
      </c>
      <c r="Z9003" t="str">
        <f t="shared" si="1479"/>
        <v/>
      </c>
      <c r="AA9003">
        <f t="shared" si="1469"/>
        <v>0</v>
      </c>
    </row>
    <row r="9004" spans="1:27" ht="21" customHeight="1" x14ac:dyDescent="0.95">
      <c r="A9004" s="56"/>
      <c r="B9004" s="57"/>
      <c r="C9004" s="57"/>
      <c r="D9004" s="57"/>
      <c r="E9004" s="56"/>
      <c r="F9004" s="57"/>
      <c r="G9004" s="57"/>
      <c r="H9004" s="56"/>
      <c r="I9004" s="56"/>
      <c r="J9004" s="58"/>
      <c r="K9004" s="58"/>
      <c r="L9004" s="13" t="str">
        <f t="shared" si="1470"/>
        <v/>
      </c>
      <c r="M9004" s="13" t="str">
        <f t="shared" si="1471"/>
        <v/>
      </c>
      <c r="Q9004" t="str">
        <f t="shared" si="1472"/>
        <v/>
      </c>
      <c r="R9004" t="str">
        <f t="shared" si="1473"/>
        <v/>
      </c>
      <c r="S9004" t="str">
        <f t="shared" si="1474"/>
        <v/>
      </c>
      <c r="T9004" t="str">
        <f t="shared" si="1475"/>
        <v/>
      </c>
      <c r="U9004" t="str">
        <f t="shared" si="1476"/>
        <v/>
      </c>
      <c r="V9004" t="str">
        <f t="shared" si="1477"/>
        <v/>
      </c>
      <c r="W9004" t="str">
        <f t="shared" si="1478"/>
        <v/>
      </c>
      <c r="X9004">
        <f t="shared" si="1468"/>
        <v>0</v>
      </c>
      <c r="Z9004" t="str">
        <f t="shared" si="1479"/>
        <v/>
      </c>
      <c r="AA9004">
        <f t="shared" si="1469"/>
        <v>0</v>
      </c>
    </row>
    <row r="9005" spans="1:27" ht="21" customHeight="1" x14ac:dyDescent="0.95">
      <c r="A9005" s="56"/>
      <c r="B9005" s="57"/>
      <c r="C9005" s="57"/>
      <c r="D9005" s="57"/>
      <c r="E9005" s="56"/>
      <c r="F9005" s="57"/>
      <c r="G9005" s="57"/>
      <c r="H9005" s="56"/>
      <c r="I9005" s="56"/>
      <c r="J9005" s="58"/>
      <c r="K9005" s="58"/>
      <c r="L9005" s="13" t="str">
        <f t="shared" si="1470"/>
        <v/>
      </c>
      <c r="M9005" s="13" t="str">
        <f t="shared" si="1471"/>
        <v/>
      </c>
      <c r="Q9005" t="str">
        <f t="shared" si="1472"/>
        <v/>
      </c>
      <c r="R9005" t="str">
        <f t="shared" si="1473"/>
        <v/>
      </c>
      <c r="S9005" t="str">
        <f t="shared" si="1474"/>
        <v/>
      </c>
      <c r="T9005" t="str">
        <f t="shared" si="1475"/>
        <v/>
      </c>
      <c r="U9005" t="str">
        <f t="shared" si="1476"/>
        <v/>
      </c>
      <c r="V9005" t="str">
        <f t="shared" si="1477"/>
        <v/>
      </c>
      <c r="W9005" t="str">
        <f t="shared" si="1478"/>
        <v/>
      </c>
      <c r="X9005">
        <f t="shared" si="1468"/>
        <v>0</v>
      </c>
      <c r="Z9005" t="str">
        <f t="shared" si="1479"/>
        <v/>
      </c>
      <c r="AA9005">
        <f t="shared" si="1469"/>
        <v>0</v>
      </c>
    </row>
    <row r="9006" spans="1:27" ht="21" customHeight="1" x14ac:dyDescent="0.95">
      <c r="A9006" s="56"/>
      <c r="B9006" s="57"/>
      <c r="C9006" s="57"/>
      <c r="D9006" s="57"/>
      <c r="E9006" s="56"/>
      <c r="F9006" s="57"/>
      <c r="G9006" s="57"/>
      <c r="H9006" s="56"/>
      <c r="I9006" s="56"/>
      <c r="J9006" s="58"/>
      <c r="K9006" s="58"/>
      <c r="L9006" s="13" t="str">
        <f t="shared" si="1470"/>
        <v/>
      </c>
      <c r="M9006" s="13" t="str">
        <f t="shared" si="1471"/>
        <v/>
      </c>
      <c r="Q9006" t="str">
        <f t="shared" si="1472"/>
        <v/>
      </c>
      <c r="R9006" t="str">
        <f t="shared" si="1473"/>
        <v/>
      </c>
      <c r="S9006" t="str">
        <f t="shared" si="1474"/>
        <v/>
      </c>
      <c r="T9006" t="str">
        <f t="shared" si="1475"/>
        <v/>
      </c>
      <c r="U9006" t="str">
        <f t="shared" si="1476"/>
        <v/>
      </c>
      <c r="V9006" t="str">
        <f t="shared" si="1477"/>
        <v/>
      </c>
      <c r="W9006" t="str">
        <f t="shared" si="1478"/>
        <v/>
      </c>
      <c r="X9006">
        <f t="shared" si="1468"/>
        <v>0</v>
      </c>
      <c r="Z9006" t="str">
        <f t="shared" si="1479"/>
        <v/>
      </c>
      <c r="AA9006">
        <f t="shared" si="1469"/>
        <v>0</v>
      </c>
    </row>
    <row r="9007" spans="1:27" ht="21" customHeight="1" x14ac:dyDescent="0.95">
      <c r="A9007" s="56"/>
      <c r="B9007" s="57"/>
      <c r="C9007" s="57"/>
      <c r="D9007" s="57"/>
      <c r="E9007" s="56"/>
      <c r="F9007" s="57"/>
      <c r="G9007" s="57"/>
      <c r="H9007" s="56"/>
      <c r="I9007" s="56"/>
      <c r="J9007" s="58"/>
      <c r="K9007" s="58"/>
      <c r="L9007" s="13" t="str">
        <f t="shared" si="1470"/>
        <v/>
      </c>
      <c r="M9007" s="13" t="str">
        <f t="shared" si="1471"/>
        <v/>
      </c>
      <c r="Q9007" t="str">
        <f t="shared" si="1472"/>
        <v/>
      </c>
      <c r="R9007" t="str">
        <f t="shared" si="1473"/>
        <v/>
      </c>
      <c r="S9007" t="str">
        <f t="shared" si="1474"/>
        <v/>
      </c>
      <c r="T9007" t="str">
        <f t="shared" si="1475"/>
        <v/>
      </c>
      <c r="U9007" t="str">
        <f t="shared" si="1476"/>
        <v/>
      </c>
      <c r="V9007" t="str">
        <f t="shared" si="1477"/>
        <v/>
      </c>
      <c r="W9007" t="str">
        <f t="shared" si="1478"/>
        <v/>
      </c>
      <c r="X9007">
        <f t="shared" si="1468"/>
        <v>0</v>
      </c>
      <c r="Z9007" t="str">
        <f t="shared" si="1479"/>
        <v/>
      </c>
      <c r="AA9007">
        <f t="shared" si="1469"/>
        <v>0</v>
      </c>
    </row>
    <row r="9008" spans="1:27" ht="21" customHeight="1" x14ac:dyDescent="0.95">
      <c r="A9008" s="56"/>
      <c r="B9008" s="57"/>
      <c r="C9008" s="57"/>
      <c r="D9008" s="57"/>
      <c r="E9008" s="56"/>
      <c r="F9008" s="57"/>
      <c r="G9008" s="57"/>
      <c r="H9008" s="56"/>
      <c r="I9008" s="56"/>
      <c r="J9008" s="58"/>
      <c r="K9008" s="58"/>
      <c r="L9008" s="13" t="str">
        <f t="shared" si="1470"/>
        <v/>
      </c>
      <c r="M9008" s="13" t="str">
        <f t="shared" si="1471"/>
        <v/>
      </c>
      <c r="Q9008" t="str">
        <f t="shared" si="1472"/>
        <v/>
      </c>
      <c r="R9008" t="str">
        <f t="shared" si="1473"/>
        <v/>
      </c>
      <c r="S9008" t="str">
        <f t="shared" si="1474"/>
        <v/>
      </c>
      <c r="T9008" t="str">
        <f t="shared" si="1475"/>
        <v/>
      </c>
      <c r="U9008" t="str">
        <f t="shared" si="1476"/>
        <v/>
      </c>
      <c r="V9008" t="str">
        <f t="shared" si="1477"/>
        <v/>
      </c>
      <c r="W9008" t="str">
        <f t="shared" si="1478"/>
        <v/>
      </c>
      <c r="X9008">
        <f t="shared" si="1468"/>
        <v>0</v>
      </c>
      <c r="Z9008" t="str">
        <f t="shared" si="1479"/>
        <v/>
      </c>
      <c r="AA9008">
        <f t="shared" si="1469"/>
        <v>0</v>
      </c>
    </row>
    <row r="9009" spans="1:27" ht="21" customHeight="1" x14ac:dyDescent="0.95">
      <c r="A9009" s="56"/>
      <c r="B9009" s="57"/>
      <c r="C9009" s="57"/>
      <c r="D9009" s="57"/>
      <c r="E9009" s="56"/>
      <c r="F9009" s="57"/>
      <c r="G9009" s="57"/>
      <c r="H9009" s="56"/>
      <c r="I9009" s="56"/>
      <c r="J9009" s="58"/>
      <c r="K9009" s="58"/>
      <c r="L9009" s="13" t="str">
        <f t="shared" si="1470"/>
        <v/>
      </c>
      <c r="M9009" s="13" t="str">
        <f t="shared" si="1471"/>
        <v/>
      </c>
      <c r="Q9009" t="str">
        <f t="shared" si="1472"/>
        <v/>
      </c>
      <c r="R9009" t="str">
        <f t="shared" si="1473"/>
        <v/>
      </c>
      <c r="S9009" t="str">
        <f t="shared" si="1474"/>
        <v/>
      </c>
      <c r="T9009" t="str">
        <f t="shared" si="1475"/>
        <v/>
      </c>
      <c r="U9009" t="str">
        <f t="shared" si="1476"/>
        <v/>
      </c>
      <c r="V9009" t="str">
        <f t="shared" si="1477"/>
        <v/>
      </c>
      <c r="W9009" t="str">
        <f t="shared" si="1478"/>
        <v/>
      </c>
      <c r="X9009">
        <f t="shared" si="1468"/>
        <v>0</v>
      </c>
      <c r="Z9009" t="str">
        <f t="shared" si="1479"/>
        <v/>
      </c>
      <c r="AA9009">
        <f t="shared" si="1469"/>
        <v>0</v>
      </c>
    </row>
    <row r="9010" spans="1:27" ht="21" customHeight="1" x14ac:dyDescent="0.95">
      <c r="A9010" s="56"/>
      <c r="B9010" s="57"/>
      <c r="C9010" s="57"/>
      <c r="D9010" s="57"/>
      <c r="E9010" s="56"/>
      <c r="F9010" s="57"/>
      <c r="G9010" s="57"/>
      <c r="H9010" s="56"/>
      <c r="I9010" s="56"/>
      <c r="J9010" s="58"/>
      <c r="K9010" s="58"/>
      <c r="L9010" s="13" t="str">
        <f t="shared" si="1470"/>
        <v/>
      </c>
      <c r="M9010" s="13" t="str">
        <f t="shared" si="1471"/>
        <v/>
      </c>
      <c r="Q9010" t="str">
        <f t="shared" si="1472"/>
        <v/>
      </c>
      <c r="R9010" t="str">
        <f t="shared" si="1473"/>
        <v/>
      </c>
      <c r="S9010" t="str">
        <f t="shared" si="1474"/>
        <v/>
      </c>
      <c r="T9010" t="str">
        <f t="shared" si="1475"/>
        <v/>
      </c>
      <c r="U9010" t="str">
        <f t="shared" si="1476"/>
        <v/>
      </c>
      <c r="V9010" t="str">
        <f t="shared" si="1477"/>
        <v/>
      </c>
      <c r="W9010" t="str">
        <f t="shared" si="1478"/>
        <v/>
      </c>
      <c r="X9010">
        <f t="shared" si="1468"/>
        <v>0</v>
      </c>
      <c r="Z9010" t="str">
        <f t="shared" si="1479"/>
        <v/>
      </c>
      <c r="AA9010">
        <f t="shared" si="1469"/>
        <v>0</v>
      </c>
    </row>
    <row r="9011" spans="1:27" ht="21" customHeight="1" x14ac:dyDescent="0.95">
      <c r="A9011" s="56"/>
      <c r="B9011" s="57"/>
      <c r="C9011" s="57"/>
      <c r="D9011" s="57"/>
      <c r="E9011" s="56"/>
      <c r="F9011" s="57"/>
      <c r="G9011" s="57"/>
      <c r="H9011" s="56"/>
      <c r="I9011" s="56"/>
      <c r="J9011" s="58"/>
      <c r="K9011" s="58"/>
      <c r="L9011" s="13" t="str">
        <f t="shared" si="1470"/>
        <v/>
      </c>
      <c r="M9011" s="13" t="str">
        <f t="shared" si="1471"/>
        <v/>
      </c>
      <c r="Q9011" t="str">
        <f t="shared" si="1472"/>
        <v/>
      </c>
      <c r="R9011" t="str">
        <f t="shared" si="1473"/>
        <v/>
      </c>
      <c r="S9011" t="str">
        <f t="shared" si="1474"/>
        <v/>
      </c>
      <c r="T9011" t="str">
        <f t="shared" si="1475"/>
        <v/>
      </c>
      <c r="U9011" t="str">
        <f t="shared" si="1476"/>
        <v/>
      </c>
      <c r="V9011" t="str">
        <f t="shared" si="1477"/>
        <v/>
      </c>
      <c r="W9011" t="str">
        <f t="shared" si="1478"/>
        <v/>
      </c>
      <c r="X9011">
        <f t="shared" si="1468"/>
        <v>0</v>
      </c>
      <c r="Z9011" t="str">
        <f t="shared" si="1479"/>
        <v/>
      </c>
      <c r="AA9011">
        <f t="shared" si="1469"/>
        <v>0</v>
      </c>
    </row>
    <row r="9012" spans="1:27" ht="21" customHeight="1" x14ac:dyDescent="0.95">
      <c r="A9012" s="56"/>
      <c r="B9012" s="57"/>
      <c r="C9012" s="57"/>
      <c r="D9012" s="57"/>
      <c r="E9012" s="56"/>
      <c r="F9012" s="57"/>
      <c r="G9012" s="57"/>
      <c r="H9012" s="56"/>
      <c r="I9012" s="56"/>
      <c r="J9012" s="58"/>
      <c r="K9012" s="58"/>
      <c r="L9012" s="13" t="str">
        <f t="shared" si="1470"/>
        <v/>
      </c>
      <c r="M9012" s="13" t="str">
        <f t="shared" si="1471"/>
        <v/>
      </c>
      <c r="Q9012" t="str">
        <f t="shared" si="1472"/>
        <v/>
      </c>
      <c r="R9012" t="str">
        <f t="shared" si="1473"/>
        <v/>
      </c>
      <c r="S9012" t="str">
        <f t="shared" si="1474"/>
        <v/>
      </c>
      <c r="T9012" t="str">
        <f t="shared" si="1475"/>
        <v/>
      </c>
      <c r="U9012" t="str">
        <f t="shared" si="1476"/>
        <v/>
      </c>
      <c r="V9012" t="str">
        <f t="shared" si="1477"/>
        <v/>
      </c>
      <c r="W9012" t="str">
        <f t="shared" si="1478"/>
        <v/>
      </c>
      <c r="X9012">
        <f t="shared" si="1468"/>
        <v>0</v>
      </c>
      <c r="Z9012" t="str">
        <f t="shared" si="1479"/>
        <v/>
      </c>
      <c r="AA9012">
        <f t="shared" si="1469"/>
        <v>0</v>
      </c>
    </row>
    <row r="9013" spans="1:27" ht="21" customHeight="1" x14ac:dyDescent="0.95">
      <c r="A9013" s="56"/>
      <c r="B9013" s="57"/>
      <c r="C9013" s="57"/>
      <c r="D9013" s="57"/>
      <c r="E9013" s="56"/>
      <c r="F9013" s="57"/>
      <c r="G9013" s="57"/>
      <c r="H9013" s="56"/>
      <c r="I9013" s="56"/>
      <c r="J9013" s="58"/>
      <c r="K9013" s="58"/>
      <c r="L9013" s="13" t="str">
        <f t="shared" si="1470"/>
        <v/>
      </c>
      <c r="M9013" s="13" t="str">
        <f t="shared" si="1471"/>
        <v/>
      </c>
      <c r="Q9013" t="str">
        <f t="shared" si="1472"/>
        <v/>
      </c>
      <c r="R9013" t="str">
        <f t="shared" si="1473"/>
        <v/>
      </c>
      <c r="S9013" t="str">
        <f t="shared" si="1474"/>
        <v/>
      </c>
      <c r="T9013" t="str">
        <f t="shared" si="1475"/>
        <v/>
      </c>
      <c r="U9013" t="str">
        <f t="shared" si="1476"/>
        <v/>
      </c>
      <c r="V9013" t="str">
        <f t="shared" si="1477"/>
        <v/>
      </c>
      <c r="W9013" t="str">
        <f t="shared" si="1478"/>
        <v/>
      </c>
      <c r="X9013">
        <f t="shared" ref="X9013:X9076" si="1480">IF($T9013="",N($X9012),IF(MATCH($T9013,$T$6:$T$10005,0)=ROW()-5,N($X9012)+1,N($X9012)))</f>
        <v>0</v>
      </c>
      <c r="Z9013" t="str">
        <f t="shared" si="1479"/>
        <v/>
      </c>
      <c r="AA9013">
        <f t="shared" ref="AA9013:AA9076" si="1481">IF($V9013="",N($AA9012),IF(MATCH($V9013,$V$6:$V$10005,0)=ROW()-5,N($AA9012)+1,N($AA9012)))</f>
        <v>0</v>
      </c>
    </row>
    <row r="9014" spans="1:27" ht="21" customHeight="1" x14ac:dyDescent="0.95">
      <c r="A9014" s="56"/>
      <c r="B9014" s="57"/>
      <c r="C9014" s="57"/>
      <c r="D9014" s="57"/>
      <c r="E9014" s="56"/>
      <c r="F9014" s="57"/>
      <c r="G9014" s="57"/>
      <c r="H9014" s="56"/>
      <c r="I9014" s="56"/>
      <c r="J9014" s="58"/>
      <c r="K9014" s="58"/>
      <c r="L9014" s="13" t="str">
        <f t="shared" si="1470"/>
        <v/>
      </c>
      <c r="M9014" s="13" t="str">
        <f t="shared" si="1471"/>
        <v/>
      </c>
      <c r="Q9014" t="str">
        <f t="shared" si="1472"/>
        <v/>
      </c>
      <c r="R9014" t="str">
        <f t="shared" si="1473"/>
        <v/>
      </c>
      <c r="S9014" t="str">
        <f t="shared" si="1474"/>
        <v/>
      </c>
      <c r="T9014" t="str">
        <f t="shared" si="1475"/>
        <v/>
      </c>
      <c r="U9014" t="str">
        <f t="shared" si="1476"/>
        <v/>
      </c>
      <c r="V9014" t="str">
        <f t="shared" si="1477"/>
        <v/>
      </c>
      <c r="W9014" t="str">
        <f t="shared" si="1478"/>
        <v/>
      </c>
      <c r="X9014">
        <f t="shared" si="1480"/>
        <v>0</v>
      </c>
      <c r="Z9014" t="str">
        <f t="shared" si="1479"/>
        <v/>
      </c>
      <c r="AA9014">
        <f t="shared" si="1481"/>
        <v>0</v>
      </c>
    </row>
    <row r="9015" spans="1:27" ht="21" customHeight="1" x14ac:dyDescent="0.95">
      <c r="A9015" s="56"/>
      <c r="B9015" s="57"/>
      <c r="C9015" s="57"/>
      <c r="D9015" s="57"/>
      <c r="E9015" s="56"/>
      <c r="F9015" s="57"/>
      <c r="G9015" s="57"/>
      <c r="H9015" s="56"/>
      <c r="I9015" s="56"/>
      <c r="J9015" s="58"/>
      <c r="K9015" s="58"/>
      <c r="L9015" s="13" t="str">
        <f t="shared" si="1470"/>
        <v/>
      </c>
      <c r="M9015" s="13" t="str">
        <f t="shared" si="1471"/>
        <v/>
      </c>
      <c r="Q9015" t="str">
        <f t="shared" si="1472"/>
        <v/>
      </c>
      <c r="R9015" t="str">
        <f t="shared" si="1473"/>
        <v/>
      </c>
      <c r="S9015" t="str">
        <f t="shared" si="1474"/>
        <v/>
      </c>
      <c r="T9015" t="str">
        <f t="shared" si="1475"/>
        <v/>
      </c>
      <c r="U9015" t="str">
        <f t="shared" si="1476"/>
        <v/>
      </c>
      <c r="V9015" t="str">
        <f t="shared" si="1477"/>
        <v/>
      </c>
      <c r="W9015" t="str">
        <f t="shared" si="1478"/>
        <v/>
      </c>
      <c r="X9015">
        <f t="shared" si="1480"/>
        <v>0</v>
      </c>
      <c r="Z9015" t="str">
        <f t="shared" si="1479"/>
        <v/>
      </c>
      <c r="AA9015">
        <f t="shared" si="1481"/>
        <v>0</v>
      </c>
    </row>
    <row r="9016" spans="1:27" ht="21" customHeight="1" x14ac:dyDescent="0.95">
      <c r="A9016" s="56"/>
      <c r="B9016" s="57"/>
      <c r="C9016" s="57"/>
      <c r="D9016" s="57"/>
      <c r="E9016" s="56"/>
      <c r="F9016" s="57"/>
      <c r="G9016" s="57"/>
      <c r="H9016" s="56"/>
      <c r="I9016" s="56"/>
      <c r="J9016" s="58"/>
      <c r="K9016" s="58"/>
      <c r="L9016" s="13" t="str">
        <f t="shared" si="1470"/>
        <v/>
      </c>
      <c r="M9016" s="13" t="str">
        <f t="shared" si="1471"/>
        <v/>
      </c>
      <c r="Q9016" t="str">
        <f t="shared" si="1472"/>
        <v/>
      </c>
      <c r="R9016" t="str">
        <f t="shared" si="1473"/>
        <v/>
      </c>
      <c r="S9016" t="str">
        <f t="shared" si="1474"/>
        <v/>
      </c>
      <c r="T9016" t="str">
        <f t="shared" si="1475"/>
        <v/>
      </c>
      <c r="U9016" t="str">
        <f t="shared" si="1476"/>
        <v/>
      </c>
      <c r="V9016" t="str">
        <f t="shared" si="1477"/>
        <v/>
      </c>
      <c r="W9016" t="str">
        <f t="shared" si="1478"/>
        <v/>
      </c>
      <c r="X9016">
        <f t="shared" si="1480"/>
        <v>0</v>
      </c>
      <c r="Z9016" t="str">
        <f t="shared" si="1479"/>
        <v/>
      </c>
      <c r="AA9016">
        <f t="shared" si="1481"/>
        <v>0</v>
      </c>
    </row>
    <row r="9017" spans="1:27" ht="21" customHeight="1" x14ac:dyDescent="0.95">
      <c r="A9017" s="56"/>
      <c r="B9017" s="57"/>
      <c r="C9017" s="57"/>
      <c r="D9017" s="57"/>
      <c r="E9017" s="56"/>
      <c r="F9017" s="57"/>
      <c r="G9017" s="57"/>
      <c r="H9017" s="56"/>
      <c r="I9017" s="56"/>
      <c r="J9017" s="58"/>
      <c r="K9017" s="58"/>
      <c r="L9017" s="13" t="str">
        <f t="shared" si="1470"/>
        <v/>
      </c>
      <c r="M9017" s="13" t="str">
        <f t="shared" si="1471"/>
        <v/>
      </c>
      <c r="Q9017" t="str">
        <f t="shared" si="1472"/>
        <v/>
      </c>
      <c r="R9017" t="str">
        <f t="shared" si="1473"/>
        <v/>
      </c>
      <c r="S9017" t="str">
        <f t="shared" si="1474"/>
        <v/>
      </c>
      <c r="T9017" t="str">
        <f t="shared" si="1475"/>
        <v/>
      </c>
      <c r="U9017" t="str">
        <f t="shared" si="1476"/>
        <v/>
      </c>
      <c r="V9017" t="str">
        <f t="shared" si="1477"/>
        <v/>
      </c>
      <c r="W9017" t="str">
        <f t="shared" si="1478"/>
        <v/>
      </c>
      <c r="X9017">
        <f t="shared" si="1480"/>
        <v>0</v>
      </c>
      <c r="Z9017" t="str">
        <f t="shared" si="1479"/>
        <v/>
      </c>
      <c r="AA9017">
        <f t="shared" si="1481"/>
        <v>0</v>
      </c>
    </row>
    <row r="9018" spans="1:27" ht="21" customHeight="1" x14ac:dyDescent="0.95">
      <c r="A9018" s="56"/>
      <c r="B9018" s="57"/>
      <c r="C9018" s="57"/>
      <c r="D9018" s="57"/>
      <c r="E9018" s="56"/>
      <c r="F9018" s="57"/>
      <c r="G9018" s="57"/>
      <c r="H9018" s="56"/>
      <c r="I9018" s="56"/>
      <c r="J9018" s="58"/>
      <c r="K9018" s="58"/>
      <c r="L9018" s="13" t="str">
        <f t="shared" si="1470"/>
        <v/>
      </c>
      <c r="M9018" s="13" t="str">
        <f t="shared" si="1471"/>
        <v/>
      </c>
      <c r="Q9018" t="str">
        <f t="shared" si="1472"/>
        <v/>
      </c>
      <c r="R9018" t="str">
        <f t="shared" si="1473"/>
        <v/>
      </c>
      <c r="S9018" t="str">
        <f t="shared" si="1474"/>
        <v/>
      </c>
      <c r="T9018" t="str">
        <f t="shared" si="1475"/>
        <v/>
      </c>
      <c r="U9018" t="str">
        <f t="shared" si="1476"/>
        <v/>
      </c>
      <c r="V9018" t="str">
        <f t="shared" si="1477"/>
        <v/>
      </c>
      <c r="W9018" t="str">
        <f t="shared" si="1478"/>
        <v/>
      </c>
      <c r="X9018">
        <f t="shared" si="1480"/>
        <v>0</v>
      </c>
      <c r="Z9018" t="str">
        <f t="shared" si="1479"/>
        <v/>
      </c>
      <c r="AA9018">
        <f t="shared" si="1481"/>
        <v>0</v>
      </c>
    </row>
    <row r="9019" spans="1:27" ht="21" customHeight="1" x14ac:dyDescent="0.95">
      <c r="A9019" s="56"/>
      <c r="B9019" s="57"/>
      <c r="C9019" s="57"/>
      <c r="D9019" s="57"/>
      <c r="E9019" s="56"/>
      <c r="F9019" s="57"/>
      <c r="G9019" s="57"/>
      <c r="H9019" s="56"/>
      <c r="I9019" s="56"/>
      <c r="J9019" s="58"/>
      <c r="K9019" s="58"/>
      <c r="L9019" s="13" t="str">
        <f t="shared" si="1470"/>
        <v/>
      </c>
      <c r="M9019" s="13" t="str">
        <f t="shared" si="1471"/>
        <v/>
      </c>
      <c r="Q9019" t="str">
        <f t="shared" si="1472"/>
        <v/>
      </c>
      <c r="R9019" t="str">
        <f t="shared" si="1473"/>
        <v/>
      </c>
      <c r="S9019" t="str">
        <f t="shared" si="1474"/>
        <v/>
      </c>
      <c r="T9019" t="str">
        <f t="shared" si="1475"/>
        <v/>
      </c>
      <c r="U9019" t="str">
        <f t="shared" si="1476"/>
        <v/>
      </c>
      <c r="V9019" t="str">
        <f t="shared" si="1477"/>
        <v/>
      </c>
      <c r="W9019" t="str">
        <f t="shared" si="1478"/>
        <v/>
      </c>
      <c r="X9019">
        <f t="shared" si="1480"/>
        <v>0</v>
      </c>
      <c r="Z9019" t="str">
        <f t="shared" si="1479"/>
        <v/>
      </c>
      <c r="AA9019">
        <f t="shared" si="1481"/>
        <v>0</v>
      </c>
    </row>
    <row r="9020" spans="1:27" ht="21" customHeight="1" x14ac:dyDescent="0.95">
      <c r="A9020" s="56"/>
      <c r="B9020" s="57"/>
      <c r="C9020" s="57"/>
      <c r="D9020" s="57"/>
      <c r="E9020" s="56"/>
      <c r="F9020" s="57"/>
      <c r="G9020" s="57"/>
      <c r="H9020" s="56"/>
      <c r="I9020" s="56"/>
      <c r="J9020" s="58"/>
      <c r="K9020" s="58"/>
      <c r="L9020" s="13" t="str">
        <f t="shared" si="1470"/>
        <v/>
      </c>
      <c r="M9020" s="13" t="str">
        <f t="shared" si="1471"/>
        <v/>
      </c>
      <c r="Q9020" t="str">
        <f t="shared" si="1472"/>
        <v/>
      </c>
      <c r="R9020" t="str">
        <f t="shared" si="1473"/>
        <v/>
      </c>
      <c r="S9020" t="str">
        <f t="shared" si="1474"/>
        <v/>
      </c>
      <c r="T9020" t="str">
        <f t="shared" si="1475"/>
        <v/>
      </c>
      <c r="U9020" t="str">
        <f t="shared" si="1476"/>
        <v/>
      </c>
      <c r="V9020" t="str">
        <f t="shared" si="1477"/>
        <v/>
      </c>
      <c r="W9020" t="str">
        <f t="shared" si="1478"/>
        <v/>
      </c>
      <c r="X9020">
        <f t="shared" si="1480"/>
        <v>0</v>
      </c>
      <c r="Z9020" t="str">
        <f t="shared" si="1479"/>
        <v/>
      </c>
      <c r="AA9020">
        <f t="shared" si="1481"/>
        <v>0</v>
      </c>
    </row>
    <row r="9021" spans="1:27" ht="21" customHeight="1" x14ac:dyDescent="0.95">
      <c r="A9021" s="56"/>
      <c r="B9021" s="57"/>
      <c r="C9021" s="57"/>
      <c r="D9021" s="57"/>
      <c r="E9021" s="56"/>
      <c r="F9021" s="57"/>
      <c r="G9021" s="57"/>
      <c r="H9021" s="56"/>
      <c r="I9021" s="56"/>
      <c r="J9021" s="58"/>
      <c r="K9021" s="58"/>
      <c r="L9021" s="13" t="str">
        <f t="shared" si="1470"/>
        <v/>
      </c>
      <c r="M9021" s="13" t="str">
        <f t="shared" si="1471"/>
        <v/>
      </c>
      <c r="Q9021" t="str">
        <f t="shared" si="1472"/>
        <v/>
      </c>
      <c r="R9021" t="str">
        <f t="shared" si="1473"/>
        <v/>
      </c>
      <c r="S9021" t="str">
        <f t="shared" si="1474"/>
        <v/>
      </c>
      <c r="T9021" t="str">
        <f t="shared" si="1475"/>
        <v/>
      </c>
      <c r="U9021" t="str">
        <f t="shared" si="1476"/>
        <v/>
      </c>
      <c r="V9021" t="str">
        <f t="shared" si="1477"/>
        <v/>
      </c>
      <c r="W9021" t="str">
        <f t="shared" si="1478"/>
        <v/>
      </c>
      <c r="X9021">
        <f t="shared" si="1480"/>
        <v>0</v>
      </c>
      <c r="Z9021" t="str">
        <f t="shared" si="1479"/>
        <v/>
      </c>
      <c r="AA9021">
        <f t="shared" si="1481"/>
        <v>0</v>
      </c>
    </row>
    <row r="9022" spans="1:27" ht="21" customHeight="1" x14ac:dyDescent="0.95">
      <c r="A9022" s="56"/>
      <c r="B9022" s="57"/>
      <c r="C9022" s="57"/>
      <c r="D9022" s="57"/>
      <c r="E9022" s="56"/>
      <c r="F9022" s="57"/>
      <c r="G9022" s="57"/>
      <c r="H9022" s="56"/>
      <c r="I9022" s="56"/>
      <c r="J9022" s="58"/>
      <c r="K9022" s="58"/>
      <c r="L9022" s="13" t="str">
        <f t="shared" si="1470"/>
        <v/>
      </c>
      <c r="M9022" s="13" t="str">
        <f t="shared" si="1471"/>
        <v/>
      </c>
      <c r="Q9022" t="str">
        <f t="shared" si="1472"/>
        <v/>
      </c>
      <c r="R9022" t="str">
        <f t="shared" si="1473"/>
        <v/>
      </c>
      <c r="S9022" t="str">
        <f t="shared" si="1474"/>
        <v/>
      </c>
      <c r="T9022" t="str">
        <f t="shared" si="1475"/>
        <v/>
      </c>
      <c r="U9022" t="str">
        <f t="shared" si="1476"/>
        <v/>
      </c>
      <c r="V9022" t="str">
        <f t="shared" si="1477"/>
        <v/>
      </c>
      <c r="W9022" t="str">
        <f t="shared" si="1478"/>
        <v/>
      </c>
      <c r="X9022">
        <f t="shared" si="1480"/>
        <v>0</v>
      </c>
      <c r="Z9022" t="str">
        <f t="shared" si="1479"/>
        <v/>
      </c>
      <c r="AA9022">
        <f t="shared" si="1481"/>
        <v>0</v>
      </c>
    </row>
    <row r="9023" spans="1:27" ht="21" customHeight="1" x14ac:dyDescent="0.95">
      <c r="A9023" s="56"/>
      <c r="B9023" s="57"/>
      <c r="C9023" s="57"/>
      <c r="D9023" s="57"/>
      <c r="E9023" s="56"/>
      <c r="F9023" s="57"/>
      <c r="G9023" s="57"/>
      <c r="H9023" s="56"/>
      <c r="I9023" s="56"/>
      <c r="J9023" s="58"/>
      <c r="K9023" s="58"/>
      <c r="L9023" s="13" t="str">
        <f t="shared" si="1470"/>
        <v/>
      </c>
      <c r="M9023" s="13" t="str">
        <f t="shared" si="1471"/>
        <v/>
      </c>
      <c r="Q9023" t="str">
        <f t="shared" si="1472"/>
        <v/>
      </c>
      <c r="R9023" t="str">
        <f t="shared" si="1473"/>
        <v/>
      </c>
      <c r="S9023" t="str">
        <f t="shared" si="1474"/>
        <v/>
      </c>
      <c r="T9023" t="str">
        <f t="shared" si="1475"/>
        <v/>
      </c>
      <c r="U9023" t="str">
        <f t="shared" si="1476"/>
        <v/>
      </c>
      <c r="V9023" t="str">
        <f t="shared" si="1477"/>
        <v/>
      </c>
      <c r="W9023" t="str">
        <f t="shared" si="1478"/>
        <v/>
      </c>
      <c r="X9023">
        <f t="shared" si="1480"/>
        <v>0</v>
      </c>
      <c r="Z9023" t="str">
        <f t="shared" si="1479"/>
        <v/>
      </c>
      <c r="AA9023">
        <f t="shared" si="1481"/>
        <v>0</v>
      </c>
    </row>
    <row r="9024" spans="1:27" ht="21" customHeight="1" x14ac:dyDescent="0.95">
      <c r="A9024" s="56"/>
      <c r="B9024" s="57"/>
      <c r="C9024" s="57"/>
      <c r="D9024" s="57"/>
      <c r="E9024" s="56"/>
      <c r="F9024" s="57"/>
      <c r="G9024" s="57"/>
      <c r="H9024" s="56"/>
      <c r="I9024" s="56"/>
      <c r="J9024" s="58"/>
      <c r="K9024" s="58"/>
      <c r="L9024" s="13" t="str">
        <f t="shared" si="1470"/>
        <v/>
      </c>
      <c r="M9024" s="13" t="str">
        <f t="shared" si="1471"/>
        <v/>
      </c>
      <c r="Q9024" t="str">
        <f t="shared" si="1472"/>
        <v/>
      </c>
      <c r="R9024" t="str">
        <f t="shared" si="1473"/>
        <v/>
      </c>
      <c r="S9024" t="str">
        <f t="shared" si="1474"/>
        <v/>
      </c>
      <c r="T9024" t="str">
        <f t="shared" si="1475"/>
        <v/>
      </c>
      <c r="U9024" t="str">
        <f t="shared" si="1476"/>
        <v/>
      </c>
      <c r="V9024" t="str">
        <f t="shared" si="1477"/>
        <v/>
      </c>
      <c r="W9024" t="str">
        <f t="shared" si="1478"/>
        <v/>
      </c>
      <c r="X9024">
        <f t="shared" si="1480"/>
        <v>0</v>
      </c>
      <c r="Z9024" t="str">
        <f t="shared" si="1479"/>
        <v/>
      </c>
      <c r="AA9024">
        <f t="shared" si="1481"/>
        <v>0</v>
      </c>
    </row>
    <row r="9025" spans="1:27" ht="21" customHeight="1" x14ac:dyDescent="0.95">
      <c r="A9025" s="56"/>
      <c r="B9025" s="57"/>
      <c r="C9025" s="57"/>
      <c r="D9025" s="57"/>
      <c r="E9025" s="56"/>
      <c r="F9025" s="57"/>
      <c r="G9025" s="57"/>
      <c r="H9025" s="56"/>
      <c r="I9025" s="56"/>
      <c r="J9025" s="58"/>
      <c r="K9025" s="58"/>
      <c r="L9025" s="13" t="str">
        <f t="shared" si="1470"/>
        <v/>
      </c>
      <c r="M9025" s="13" t="str">
        <f t="shared" si="1471"/>
        <v/>
      </c>
      <c r="Q9025" t="str">
        <f t="shared" si="1472"/>
        <v/>
      </c>
      <c r="R9025" t="str">
        <f t="shared" si="1473"/>
        <v/>
      </c>
      <c r="S9025" t="str">
        <f t="shared" si="1474"/>
        <v/>
      </c>
      <c r="T9025" t="str">
        <f t="shared" si="1475"/>
        <v/>
      </c>
      <c r="U9025" t="str">
        <f t="shared" si="1476"/>
        <v/>
      </c>
      <c r="V9025" t="str">
        <f t="shared" si="1477"/>
        <v/>
      </c>
      <c r="W9025" t="str">
        <f t="shared" si="1478"/>
        <v/>
      </c>
      <c r="X9025">
        <f t="shared" si="1480"/>
        <v>0</v>
      </c>
      <c r="Z9025" t="str">
        <f t="shared" si="1479"/>
        <v/>
      </c>
      <c r="AA9025">
        <f t="shared" si="1481"/>
        <v>0</v>
      </c>
    </row>
    <row r="9026" spans="1:27" ht="21" customHeight="1" x14ac:dyDescent="0.95">
      <c r="A9026" s="56"/>
      <c r="B9026" s="57"/>
      <c r="C9026" s="57"/>
      <c r="D9026" s="57"/>
      <c r="E9026" s="56"/>
      <c r="F9026" s="57"/>
      <c r="G9026" s="57"/>
      <c r="H9026" s="56"/>
      <c r="I9026" s="56"/>
      <c r="J9026" s="58"/>
      <c r="K9026" s="58"/>
      <c r="L9026" s="13" t="str">
        <f t="shared" si="1470"/>
        <v/>
      </c>
      <c r="M9026" s="13" t="str">
        <f t="shared" si="1471"/>
        <v/>
      </c>
      <c r="Q9026" t="str">
        <f t="shared" si="1472"/>
        <v/>
      </c>
      <c r="R9026" t="str">
        <f t="shared" si="1473"/>
        <v/>
      </c>
      <c r="S9026" t="str">
        <f t="shared" si="1474"/>
        <v/>
      </c>
      <c r="T9026" t="str">
        <f t="shared" si="1475"/>
        <v/>
      </c>
      <c r="U9026" t="str">
        <f t="shared" si="1476"/>
        <v/>
      </c>
      <c r="V9026" t="str">
        <f t="shared" si="1477"/>
        <v/>
      </c>
      <c r="W9026" t="str">
        <f t="shared" si="1478"/>
        <v/>
      </c>
      <c r="X9026">
        <f t="shared" si="1480"/>
        <v>0</v>
      </c>
      <c r="Z9026" t="str">
        <f t="shared" si="1479"/>
        <v/>
      </c>
      <c r="AA9026">
        <f t="shared" si="1481"/>
        <v>0</v>
      </c>
    </row>
    <row r="9027" spans="1:27" ht="21" customHeight="1" x14ac:dyDescent="0.95">
      <c r="A9027" s="56"/>
      <c r="B9027" s="57"/>
      <c r="C9027" s="57"/>
      <c r="D9027" s="57"/>
      <c r="E9027" s="56"/>
      <c r="F9027" s="57"/>
      <c r="G9027" s="57"/>
      <c r="H9027" s="56"/>
      <c r="I9027" s="56"/>
      <c r="J9027" s="58"/>
      <c r="K9027" s="58"/>
      <c r="L9027" s="13" t="str">
        <f t="shared" si="1470"/>
        <v/>
      </c>
      <c r="M9027" s="13" t="str">
        <f t="shared" si="1471"/>
        <v/>
      </c>
      <c r="Q9027" t="str">
        <f t="shared" si="1472"/>
        <v/>
      </c>
      <c r="R9027" t="str">
        <f t="shared" si="1473"/>
        <v/>
      </c>
      <c r="S9027" t="str">
        <f t="shared" si="1474"/>
        <v/>
      </c>
      <c r="T9027" t="str">
        <f t="shared" si="1475"/>
        <v/>
      </c>
      <c r="U9027" t="str">
        <f t="shared" si="1476"/>
        <v/>
      </c>
      <c r="V9027" t="str">
        <f t="shared" si="1477"/>
        <v/>
      </c>
      <c r="W9027" t="str">
        <f t="shared" si="1478"/>
        <v/>
      </c>
      <c r="X9027">
        <f t="shared" si="1480"/>
        <v>0</v>
      </c>
      <c r="Z9027" t="str">
        <f t="shared" si="1479"/>
        <v/>
      </c>
      <c r="AA9027">
        <f t="shared" si="1481"/>
        <v>0</v>
      </c>
    </row>
    <row r="9028" spans="1:27" ht="21" customHeight="1" x14ac:dyDescent="0.95">
      <c r="A9028" s="56"/>
      <c r="B9028" s="57"/>
      <c r="C9028" s="57"/>
      <c r="D9028" s="57"/>
      <c r="E9028" s="56"/>
      <c r="F9028" s="57"/>
      <c r="G9028" s="57"/>
      <c r="H9028" s="56"/>
      <c r="I9028" s="56"/>
      <c r="J9028" s="58"/>
      <c r="K9028" s="58"/>
      <c r="L9028" s="13" t="str">
        <f t="shared" ref="L9028:L9091" si="1482">IF(OR($A9028="",AND($J9028="",$K9028="")),"",ROUND(N($J9028)-N($K9028),2))</f>
        <v/>
      </c>
      <c r="M9028" s="13" t="str">
        <f t="shared" ref="M9028:M9091" si="1483">IF(OR($A9028="",AND($J9028="",$K9028="")),"",MIN($J9028,$K9028))</f>
        <v/>
      </c>
      <c r="Q9028" t="str">
        <f t="shared" ref="Q9028:Q9091" si="1484">IF($A9028="","",$D9028&amp;"("&amp;SUBSTITUTE($E9028," ","")&amp;")")</f>
        <v/>
      </c>
      <c r="R9028" t="str">
        <f t="shared" ref="R9028:R9091" si="1485">IF($A9028="","",$B9028&amp;" - "&amp;$C9028)</f>
        <v/>
      </c>
      <c r="S9028" t="str">
        <f t="shared" ref="S9028:S9091" si="1486">IF($A9028="","",$R9028&amp;"|"&amp;$Q9028)</f>
        <v/>
      </c>
      <c r="T9028" t="str">
        <f t="shared" ref="T9028:T9091" si="1487">IF($A9028="","",$S9028&amp;"|"&amp;$F9028)</f>
        <v/>
      </c>
      <c r="U9028" t="str">
        <f t="shared" ref="U9028:U9091" si="1488">IF($A9028="","",$R9028&amp;"("&amp;$E9028&amp;")")</f>
        <v/>
      </c>
      <c r="V9028" t="str">
        <f t="shared" ref="V9028:V9091" si="1489">IF($A9028="","",$F9028&amp;"|"&amp;$U9028&amp;"|"&amp;$D9028)</f>
        <v/>
      </c>
      <c r="W9028" t="str">
        <f t="shared" si="1478"/>
        <v/>
      </c>
      <c r="X9028">
        <f t="shared" si="1480"/>
        <v>0</v>
      </c>
      <c r="Z9028" t="str">
        <f t="shared" si="1479"/>
        <v/>
      </c>
      <c r="AA9028">
        <f t="shared" si="1481"/>
        <v>0</v>
      </c>
    </row>
    <row r="9029" spans="1:27" ht="21" customHeight="1" x14ac:dyDescent="0.95">
      <c r="A9029" s="56"/>
      <c r="B9029" s="57"/>
      <c r="C9029" s="57"/>
      <c r="D9029" s="57"/>
      <c r="E9029" s="56"/>
      <c r="F9029" s="57"/>
      <c r="G9029" s="57"/>
      <c r="H9029" s="56"/>
      <c r="I9029" s="56"/>
      <c r="J9029" s="58"/>
      <c r="K9029" s="58"/>
      <c r="L9029" s="13" t="str">
        <f t="shared" si="1482"/>
        <v/>
      </c>
      <c r="M9029" s="13" t="str">
        <f t="shared" si="1483"/>
        <v/>
      </c>
      <c r="Q9029" t="str">
        <f t="shared" si="1484"/>
        <v/>
      </c>
      <c r="R9029" t="str">
        <f t="shared" si="1485"/>
        <v/>
      </c>
      <c r="S9029" t="str">
        <f t="shared" si="1486"/>
        <v/>
      </c>
      <c r="T9029" t="str">
        <f t="shared" si="1487"/>
        <v/>
      </c>
      <c r="U9029" t="str">
        <f t="shared" si="1488"/>
        <v/>
      </c>
      <c r="V9029" t="str">
        <f t="shared" si="1489"/>
        <v/>
      </c>
      <c r="W9029" t="str">
        <f t="shared" si="1478"/>
        <v/>
      </c>
      <c r="X9029">
        <f t="shared" si="1480"/>
        <v>0</v>
      </c>
      <c r="Z9029" t="str">
        <f t="shared" si="1479"/>
        <v/>
      </c>
      <c r="AA9029">
        <f t="shared" si="1481"/>
        <v>0</v>
      </c>
    </row>
    <row r="9030" spans="1:27" ht="21" customHeight="1" x14ac:dyDescent="0.95">
      <c r="A9030" s="56"/>
      <c r="B9030" s="57"/>
      <c r="C9030" s="57"/>
      <c r="D9030" s="57"/>
      <c r="E9030" s="56"/>
      <c r="F9030" s="57"/>
      <c r="G9030" s="57"/>
      <c r="H9030" s="56"/>
      <c r="I9030" s="56"/>
      <c r="J9030" s="58"/>
      <c r="K9030" s="58"/>
      <c r="L9030" s="13" t="str">
        <f t="shared" si="1482"/>
        <v/>
      </c>
      <c r="M9030" s="13" t="str">
        <f t="shared" si="1483"/>
        <v/>
      </c>
      <c r="Q9030" t="str">
        <f t="shared" si="1484"/>
        <v/>
      </c>
      <c r="R9030" t="str">
        <f t="shared" si="1485"/>
        <v/>
      </c>
      <c r="S9030" t="str">
        <f t="shared" si="1486"/>
        <v/>
      </c>
      <c r="T9030" t="str">
        <f t="shared" si="1487"/>
        <v/>
      </c>
      <c r="U9030" t="str">
        <f t="shared" si="1488"/>
        <v/>
      </c>
      <c r="V9030" t="str">
        <f t="shared" si="1489"/>
        <v/>
      </c>
      <c r="W9030" t="str">
        <f t="shared" ref="W9030:W9093" si="1490">IF($T9030="","",IF($X9030&gt;N($X9029),$X9030,""))</f>
        <v/>
      </c>
      <c r="X9030">
        <f t="shared" si="1480"/>
        <v>0</v>
      </c>
      <c r="Z9030" t="str">
        <f t="shared" ref="Z9030:Z9093" si="1491">IF($V9030="","",IF($AA9030&gt;N($AA9029),$AA9030,""))</f>
        <v/>
      </c>
      <c r="AA9030">
        <f t="shared" si="1481"/>
        <v>0</v>
      </c>
    </row>
    <row r="9031" spans="1:27" ht="21" customHeight="1" x14ac:dyDescent="0.95">
      <c r="A9031" s="56"/>
      <c r="B9031" s="57"/>
      <c r="C9031" s="57"/>
      <c r="D9031" s="57"/>
      <c r="E9031" s="56"/>
      <c r="F9031" s="57"/>
      <c r="G9031" s="57"/>
      <c r="H9031" s="56"/>
      <c r="I9031" s="56"/>
      <c r="J9031" s="58"/>
      <c r="K9031" s="58"/>
      <c r="L9031" s="13" t="str">
        <f t="shared" si="1482"/>
        <v/>
      </c>
      <c r="M9031" s="13" t="str">
        <f t="shared" si="1483"/>
        <v/>
      </c>
      <c r="Q9031" t="str">
        <f t="shared" si="1484"/>
        <v/>
      </c>
      <c r="R9031" t="str">
        <f t="shared" si="1485"/>
        <v/>
      </c>
      <c r="S9031" t="str">
        <f t="shared" si="1486"/>
        <v/>
      </c>
      <c r="T9031" t="str">
        <f t="shared" si="1487"/>
        <v/>
      </c>
      <c r="U9031" t="str">
        <f t="shared" si="1488"/>
        <v/>
      </c>
      <c r="V9031" t="str">
        <f t="shared" si="1489"/>
        <v/>
      </c>
      <c r="W9031" t="str">
        <f t="shared" si="1490"/>
        <v/>
      </c>
      <c r="X9031">
        <f t="shared" si="1480"/>
        <v>0</v>
      </c>
      <c r="Z9031" t="str">
        <f t="shared" si="1491"/>
        <v/>
      </c>
      <c r="AA9031">
        <f t="shared" si="1481"/>
        <v>0</v>
      </c>
    </row>
    <row r="9032" spans="1:27" ht="21" customHeight="1" x14ac:dyDescent="0.95">
      <c r="A9032" s="56"/>
      <c r="B9032" s="57"/>
      <c r="C9032" s="57"/>
      <c r="D9032" s="57"/>
      <c r="E9032" s="56"/>
      <c r="F9032" s="57"/>
      <c r="G9032" s="57"/>
      <c r="H9032" s="56"/>
      <c r="I9032" s="56"/>
      <c r="J9032" s="58"/>
      <c r="K9032" s="58"/>
      <c r="L9032" s="13" t="str">
        <f t="shared" si="1482"/>
        <v/>
      </c>
      <c r="M9032" s="13" t="str">
        <f t="shared" si="1483"/>
        <v/>
      </c>
      <c r="Q9032" t="str">
        <f t="shared" si="1484"/>
        <v/>
      </c>
      <c r="R9032" t="str">
        <f t="shared" si="1485"/>
        <v/>
      </c>
      <c r="S9032" t="str">
        <f t="shared" si="1486"/>
        <v/>
      </c>
      <c r="T9032" t="str">
        <f t="shared" si="1487"/>
        <v/>
      </c>
      <c r="U9032" t="str">
        <f t="shared" si="1488"/>
        <v/>
      </c>
      <c r="V9032" t="str">
        <f t="shared" si="1489"/>
        <v/>
      </c>
      <c r="W9032" t="str">
        <f t="shared" si="1490"/>
        <v/>
      </c>
      <c r="X9032">
        <f t="shared" si="1480"/>
        <v>0</v>
      </c>
      <c r="Z9032" t="str">
        <f t="shared" si="1491"/>
        <v/>
      </c>
      <c r="AA9032">
        <f t="shared" si="1481"/>
        <v>0</v>
      </c>
    </row>
    <row r="9033" spans="1:27" ht="21" customHeight="1" x14ac:dyDescent="0.95">
      <c r="A9033" s="56"/>
      <c r="B9033" s="57"/>
      <c r="C9033" s="57"/>
      <c r="D9033" s="57"/>
      <c r="E9033" s="56"/>
      <c r="F9033" s="57"/>
      <c r="G9033" s="57"/>
      <c r="H9033" s="56"/>
      <c r="I9033" s="56"/>
      <c r="J9033" s="58"/>
      <c r="K9033" s="58"/>
      <c r="L9033" s="13" t="str">
        <f t="shared" si="1482"/>
        <v/>
      </c>
      <c r="M9033" s="13" t="str">
        <f t="shared" si="1483"/>
        <v/>
      </c>
      <c r="Q9033" t="str">
        <f t="shared" si="1484"/>
        <v/>
      </c>
      <c r="R9033" t="str">
        <f t="shared" si="1485"/>
        <v/>
      </c>
      <c r="S9033" t="str">
        <f t="shared" si="1486"/>
        <v/>
      </c>
      <c r="T9033" t="str">
        <f t="shared" si="1487"/>
        <v/>
      </c>
      <c r="U9033" t="str">
        <f t="shared" si="1488"/>
        <v/>
      </c>
      <c r="V9033" t="str">
        <f t="shared" si="1489"/>
        <v/>
      </c>
      <c r="W9033" t="str">
        <f t="shared" si="1490"/>
        <v/>
      </c>
      <c r="X9033">
        <f t="shared" si="1480"/>
        <v>0</v>
      </c>
      <c r="Z9033" t="str">
        <f t="shared" si="1491"/>
        <v/>
      </c>
      <c r="AA9033">
        <f t="shared" si="1481"/>
        <v>0</v>
      </c>
    </row>
    <row r="9034" spans="1:27" ht="21" customHeight="1" x14ac:dyDescent="0.95">
      <c r="A9034" s="56"/>
      <c r="B9034" s="57"/>
      <c r="C9034" s="57"/>
      <c r="D9034" s="57"/>
      <c r="E9034" s="56"/>
      <c r="F9034" s="57"/>
      <c r="G9034" s="57"/>
      <c r="H9034" s="56"/>
      <c r="I9034" s="56"/>
      <c r="J9034" s="58"/>
      <c r="K9034" s="58"/>
      <c r="L9034" s="13" t="str">
        <f t="shared" si="1482"/>
        <v/>
      </c>
      <c r="M9034" s="13" t="str">
        <f t="shared" si="1483"/>
        <v/>
      </c>
      <c r="Q9034" t="str">
        <f t="shared" si="1484"/>
        <v/>
      </c>
      <c r="R9034" t="str">
        <f t="shared" si="1485"/>
        <v/>
      </c>
      <c r="S9034" t="str">
        <f t="shared" si="1486"/>
        <v/>
      </c>
      <c r="T9034" t="str">
        <f t="shared" si="1487"/>
        <v/>
      </c>
      <c r="U9034" t="str">
        <f t="shared" si="1488"/>
        <v/>
      </c>
      <c r="V9034" t="str">
        <f t="shared" si="1489"/>
        <v/>
      </c>
      <c r="W9034" t="str">
        <f t="shared" si="1490"/>
        <v/>
      </c>
      <c r="X9034">
        <f t="shared" si="1480"/>
        <v>0</v>
      </c>
      <c r="Z9034" t="str">
        <f t="shared" si="1491"/>
        <v/>
      </c>
      <c r="AA9034">
        <f t="shared" si="1481"/>
        <v>0</v>
      </c>
    </row>
    <row r="9035" spans="1:27" ht="21" customHeight="1" x14ac:dyDescent="0.95">
      <c r="A9035" s="56"/>
      <c r="B9035" s="57"/>
      <c r="C9035" s="57"/>
      <c r="D9035" s="57"/>
      <c r="E9035" s="56"/>
      <c r="F9035" s="57"/>
      <c r="G9035" s="57"/>
      <c r="H9035" s="56"/>
      <c r="I9035" s="56"/>
      <c r="J9035" s="58"/>
      <c r="K9035" s="58"/>
      <c r="L9035" s="13" t="str">
        <f t="shared" si="1482"/>
        <v/>
      </c>
      <c r="M9035" s="13" t="str">
        <f t="shared" si="1483"/>
        <v/>
      </c>
      <c r="Q9035" t="str">
        <f t="shared" si="1484"/>
        <v/>
      </c>
      <c r="R9035" t="str">
        <f t="shared" si="1485"/>
        <v/>
      </c>
      <c r="S9035" t="str">
        <f t="shared" si="1486"/>
        <v/>
      </c>
      <c r="T9035" t="str">
        <f t="shared" si="1487"/>
        <v/>
      </c>
      <c r="U9035" t="str">
        <f t="shared" si="1488"/>
        <v/>
      </c>
      <c r="V9035" t="str">
        <f t="shared" si="1489"/>
        <v/>
      </c>
      <c r="W9035" t="str">
        <f t="shared" si="1490"/>
        <v/>
      </c>
      <c r="X9035">
        <f t="shared" si="1480"/>
        <v>0</v>
      </c>
      <c r="Z9035" t="str">
        <f t="shared" si="1491"/>
        <v/>
      </c>
      <c r="AA9035">
        <f t="shared" si="1481"/>
        <v>0</v>
      </c>
    </row>
    <row r="9036" spans="1:27" ht="21" customHeight="1" x14ac:dyDescent="0.95">
      <c r="A9036" s="56"/>
      <c r="B9036" s="57"/>
      <c r="C9036" s="57"/>
      <c r="D9036" s="57"/>
      <c r="E9036" s="56"/>
      <c r="F9036" s="57"/>
      <c r="G9036" s="57"/>
      <c r="H9036" s="56"/>
      <c r="I9036" s="56"/>
      <c r="J9036" s="58"/>
      <c r="K9036" s="58"/>
      <c r="L9036" s="13" t="str">
        <f t="shared" si="1482"/>
        <v/>
      </c>
      <c r="M9036" s="13" t="str">
        <f t="shared" si="1483"/>
        <v/>
      </c>
      <c r="Q9036" t="str">
        <f t="shared" si="1484"/>
        <v/>
      </c>
      <c r="R9036" t="str">
        <f t="shared" si="1485"/>
        <v/>
      </c>
      <c r="S9036" t="str">
        <f t="shared" si="1486"/>
        <v/>
      </c>
      <c r="T9036" t="str">
        <f t="shared" si="1487"/>
        <v/>
      </c>
      <c r="U9036" t="str">
        <f t="shared" si="1488"/>
        <v/>
      </c>
      <c r="V9036" t="str">
        <f t="shared" si="1489"/>
        <v/>
      </c>
      <c r="W9036" t="str">
        <f t="shared" si="1490"/>
        <v/>
      </c>
      <c r="X9036">
        <f t="shared" si="1480"/>
        <v>0</v>
      </c>
      <c r="Z9036" t="str">
        <f t="shared" si="1491"/>
        <v/>
      </c>
      <c r="AA9036">
        <f t="shared" si="1481"/>
        <v>0</v>
      </c>
    </row>
    <row r="9037" spans="1:27" ht="21" customHeight="1" x14ac:dyDescent="0.95">
      <c r="A9037" s="56"/>
      <c r="B9037" s="57"/>
      <c r="C9037" s="57"/>
      <c r="D9037" s="57"/>
      <c r="E9037" s="56"/>
      <c r="F9037" s="57"/>
      <c r="G9037" s="57"/>
      <c r="H9037" s="56"/>
      <c r="I9037" s="56"/>
      <c r="J9037" s="58"/>
      <c r="K9037" s="58"/>
      <c r="L9037" s="13" t="str">
        <f t="shared" si="1482"/>
        <v/>
      </c>
      <c r="M9037" s="13" t="str">
        <f t="shared" si="1483"/>
        <v/>
      </c>
      <c r="Q9037" t="str">
        <f t="shared" si="1484"/>
        <v/>
      </c>
      <c r="R9037" t="str">
        <f t="shared" si="1485"/>
        <v/>
      </c>
      <c r="S9037" t="str">
        <f t="shared" si="1486"/>
        <v/>
      </c>
      <c r="T9037" t="str">
        <f t="shared" si="1487"/>
        <v/>
      </c>
      <c r="U9037" t="str">
        <f t="shared" si="1488"/>
        <v/>
      </c>
      <c r="V9037" t="str">
        <f t="shared" si="1489"/>
        <v/>
      </c>
      <c r="W9037" t="str">
        <f t="shared" si="1490"/>
        <v/>
      </c>
      <c r="X9037">
        <f t="shared" si="1480"/>
        <v>0</v>
      </c>
      <c r="Z9037" t="str">
        <f t="shared" si="1491"/>
        <v/>
      </c>
      <c r="AA9037">
        <f t="shared" si="1481"/>
        <v>0</v>
      </c>
    </row>
    <row r="9038" spans="1:27" ht="21" customHeight="1" x14ac:dyDescent="0.95">
      <c r="A9038" s="56"/>
      <c r="B9038" s="57"/>
      <c r="C9038" s="57"/>
      <c r="D9038" s="57"/>
      <c r="E9038" s="56"/>
      <c r="F9038" s="57"/>
      <c r="G9038" s="57"/>
      <c r="H9038" s="56"/>
      <c r="I9038" s="56"/>
      <c r="J9038" s="58"/>
      <c r="K9038" s="58"/>
      <c r="L9038" s="13" t="str">
        <f t="shared" si="1482"/>
        <v/>
      </c>
      <c r="M9038" s="13" t="str">
        <f t="shared" si="1483"/>
        <v/>
      </c>
      <c r="Q9038" t="str">
        <f t="shared" si="1484"/>
        <v/>
      </c>
      <c r="R9038" t="str">
        <f t="shared" si="1485"/>
        <v/>
      </c>
      <c r="S9038" t="str">
        <f t="shared" si="1486"/>
        <v/>
      </c>
      <c r="T9038" t="str">
        <f t="shared" si="1487"/>
        <v/>
      </c>
      <c r="U9038" t="str">
        <f t="shared" si="1488"/>
        <v/>
      </c>
      <c r="V9038" t="str">
        <f t="shared" si="1489"/>
        <v/>
      </c>
      <c r="W9038" t="str">
        <f t="shared" si="1490"/>
        <v/>
      </c>
      <c r="X9038">
        <f t="shared" si="1480"/>
        <v>0</v>
      </c>
      <c r="Z9038" t="str">
        <f t="shared" si="1491"/>
        <v/>
      </c>
      <c r="AA9038">
        <f t="shared" si="1481"/>
        <v>0</v>
      </c>
    </row>
    <row r="9039" spans="1:27" ht="21" customHeight="1" x14ac:dyDescent="0.95">
      <c r="A9039" s="56"/>
      <c r="B9039" s="57"/>
      <c r="C9039" s="57"/>
      <c r="D9039" s="57"/>
      <c r="E9039" s="56"/>
      <c r="F9039" s="57"/>
      <c r="G9039" s="57"/>
      <c r="H9039" s="56"/>
      <c r="I9039" s="56"/>
      <c r="J9039" s="58"/>
      <c r="K9039" s="58"/>
      <c r="L9039" s="13" t="str">
        <f t="shared" si="1482"/>
        <v/>
      </c>
      <c r="M9039" s="13" t="str">
        <f t="shared" si="1483"/>
        <v/>
      </c>
      <c r="Q9039" t="str">
        <f t="shared" si="1484"/>
        <v/>
      </c>
      <c r="R9039" t="str">
        <f t="shared" si="1485"/>
        <v/>
      </c>
      <c r="S9039" t="str">
        <f t="shared" si="1486"/>
        <v/>
      </c>
      <c r="T9039" t="str">
        <f t="shared" si="1487"/>
        <v/>
      </c>
      <c r="U9039" t="str">
        <f t="shared" si="1488"/>
        <v/>
      </c>
      <c r="V9039" t="str">
        <f t="shared" si="1489"/>
        <v/>
      </c>
      <c r="W9039" t="str">
        <f t="shared" si="1490"/>
        <v/>
      </c>
      <c r="X9039">
        <f t="shared" si="1480"/>
        <v>0</v>
      </c>
      <c r="Z9039" t="str">
        <f t="shared" si="1491"/>
        <v/>
      </c>
      <c r="AA9039">
        <f t="shared" si="1481"/>
        <v>0</v>
      </c>
    </row>
    <row r="9040" spans="1:27" ht="21" customHeight="1" x14ac:dyDescent="0.95">
      <c r="A9040" s="56"/>
      <c r="B9040" s="57"/>
      <c r="C9040" s="57"/>
      <c r="D9040" s="57"/>
      <c r="E9040" s="56"/>
      <c r="F9040" s="57"/>
      <c r="G9040" s="57"/>
      <c r="H9040" s="56"/>
      <c r="I9040" s="56"/>
      <c r="J9040" s="58"/>
      <c r="K9040" s="58"/>
      <c r="L9040" s="13" t="str">
        <f t="shared" si="1482"/>
        <v/>
      </c>
      <c r="M9040" s="13" t="str">
        <f t="shared" si="1483"/>
        <v/>
      </c>
      <c r="Q9040" t="str">
        <f t="shared" si="1484"/>
        <v/>
      </c>
      <c r="R9040" t="str">
        <f t="shared" si="1485"/>
        <v/>
      </c>
      <c r="S9040" t="str">
        <f t="shared" si="1486"/>
        <v/>
      </c>
      <c r="T9040" t="str">
        <f t="shared" si="1487"/>
        <v/>
      </c>
      <c r="U9040" t="str">
        <f t="shared" si="1488"/>
        <v/>
      </c>
      <c r="V9040" t="str">
        <f t="shared" si="1489"/>
        <v/>
      </c>
      <c r="W9040" t="str">
        <f t="shared" si="1490"/>
        <v/>
      </c>
      <c r="X9040">
        <f t="shared" si="1480"/>
        <v>0</v>
      </c>
      <c r="Z9040" t="str">
        <f t="shared" si="1491"/>
        <v/>
      </c>
      <c r="AA9040">
        <f t="shared" si="1481"/>
        <v>0</v>
      </c>
    </row>
    <row r="9041" spans="1:27" ht="21" customHeight="1" x14ac:dyDescent="0.95">
      <c r="A9041" s="56"/>
      <c r="B9041" s="57"/>
      <c r="C9041" s="57"/>
      <c r="D9041" s="57"/>
      <c r="E9041" s="56"/>
      <c r="F9041" s="57"/>
      <c r="G9041" s="57"/>
      <c r="H9041" s="56"/>
      <c r="I9041" s="56"/>
      <c r="J9041" s="58"/>
      <c r="K9041" s="58"/>
      <c r="L9041" s="13" t="str">
        <f t="shared" si="1482"/>
        <v/>
      </c>
      <c r="M9041" s="13" t="str">
        <f t="shared" si="1483"/>
        <v/>
      </c>
      <c r="Q9041" t="str">
        <f t="shared" si="1484"/>
        <v/>
      </c>
      <c r="R9041" t="str">
        <f t="shared" si="1485"/>
        <v/>
      </c>
      <c r="S9041" t="str">
        <f t="shared" si="1486"/>
        <v/>
      </c>
      <c r="T9041" t="str">
        <f t="shared" si="1487"/>
        <v/>
      </c>
      <c r="U9041" t="str">
        <f t="shared" si="1488"/>
        <v/>
      </c>
      <c r="V9041" t="str">
        <f t="shared" si="1489"/>
        <v/>
      </c>
      <c r="W9041" t="str">
        <f t="shared" si="1490"/>
        <v/>
      </c>
      <c r="X9041">
        <f t="shared" si="1480"/>
        <v>0</v>
      </c>
      <c r="Z9041" t="str">
        <f t="shared" si="1491"/>
        <v/>
      </c>
      <c r="AA9041">
        <f t="shared" si="1481"/>
        <v>0</v>
      </c>
    </row>
    <row r="9042" spans="1:27" ht="21" customHeight="1" x14ac:dyDescent="0.95">
      <c r="A9042" s="56"/>
      <c r="B9042" s="57"/>
      <c r="C9042" s="57"/>
      <c r="D9042" s="57"/>
      <c r="E9042" s="56"/>
      <c r="F9042" s="57"/>
      <c r="G9042" s="57"/>
      <c r="H9042" s="56"/>
      <c r="I9042" s="56"/>
      <c r="J9042" s="58"/>
      <c r="K9042" s="58"/>
      <c r="L9042" s="13" t="str">
        <f t="shared" si="1482"/>
        <v/>
      </c>
      <c r="M9042" s="13" t="str">
        <f t="shared" si="1483"/>
        <v/>
      </c>
      <c r="Q9042" t="str">
        <f t="shared" si="1484"/>
        <v/>
      </c>
      <c r="R9042" t="str">
        <f t="shared" si="1485"/>
        <v/>
      </c>
      <c r="S9042" t="str">
        <f t="shared" si="1486"/>
        <v/>
      </c>
      <c r="T9042" t="str">
        <f t="shared" si="1487"/>
        <v/>
      </c>
      <c r="U9042" t="str">
        <f t="shared" si="1488"/>
        <v/>
      </c>
      <c r="V9042" t="str">
        <f t="shared" si="1489"/>
        <v/>
      </c>
      <c r="W9042" t="str">
        <f t="shared" si="1490"/>
        <v/>
      </c>
      <c r="X9042">
        <f t="shared" si="1480"/>
        <v>0</v>
      </c>
      <c r="Z9042" t="str">
        <f t="shared" si="1491"/>
        <v/>
      </c>
      <c r="AA9042">
        <f t="shared" si="1481"/>
        <v>0</v>
      </c>
    </row>
    <row r="9043" spans="1:27" ht="21" customHeight="1" x14ac:dyDescent="0.95">
      <c r="A9043" s="56"/>
      <c r="B9043" s="57"/>
      <c r="C9043" s="57"/>
      <c r="D9043" s="57"/>
      <c r="E9043" s="56"/>
      <c r="F9043" s="57"/>
      <c r="G9043" s="57"/>
      <c r="H9043" s="56"/>
      <c r="I9043" s="56"/>
      <c r="J9043" s="58"/>
      <c r="K9043" s="58"/>
      <c r="L9043" s="13" t="str">
        <f t="shared" si="1482"/>
        <v/>
      </c>
      <c r="M9043" s="13" t="str">
        <f t="shared" si="1483"/>
        <v/>
      </c>
      <c r="Q9043" t="str">
        <f t="shared" si="1484"/>
        <v/>
      </c>
      <c r="R9043" t="str">
        <f t="shared" si="1485"/>
        <v/>
      </c>
      <c r="S9043" t="str">
        <f t="shared" si="1486"/>
        <v/>
      </c>
      <c r="T9043" t="str">
        <f t="shared" si="1487"/>
        <v/>
      </c>
      <c r="U9043" t="str">
        <f t="shared" si="1488"/>
        <v/>
      </c>
      <c r="V9043" t="str">
        <f t="shared" si="1489"/>
        <v/>
      </c>
      <c r="W9043" t="str">
        <f t="shared" si="1490"/>
        <v/>
      </c>
      <c r="X9043">
        <f t="shared" si="1480"/>
        <v>0</v>
      </c>
      <c r="Z9043" t="str">
        <f t="shared" si="1491"/>
        <v/>
      </c>
      <c r="AA9043">
        <f t="shared" si="1481"/>
        <v>0</v>
      </c>
    </row>
    <row r="9044" spans="1:27" ht="21" customHeight="1" x14ac:dyDescent="0.95">
      <c r="A9044" s="56"/>
      <c r="B9044" s="57"/>
      <c r="C9044" s="57"/>
      <c r="D9044" s="57"/>
      <c r="E9044" s="56"/>
      <c r="F9044" s="57"/>
      <c r="G9044" s="57"/>
      <c r="H9044" s="56"/>
      <c r="I9044" s="56"/>
      <c r="J9044" s="58"/>
      <c r="K9044" s="58"/>
      <c r="L9044" s="13" t="str">
        <f t="shared" si="1482"/>
        <v/>
      </c>
      <c r="M9044" s="13" t="str">
        <f t="shared" si="1483"/>
        <v/>
      </c>
      <c r="Q9044" t="str">
        <f t="shared" si="1484"/>
        <v/>
      </c>
      <c r="R9044" t="str">
        <f t="shared" si="1485"/>
        <v/>
      </c>
      <c r="S9044" t="str">
        <f t="shared" si="1486"/>
        <v/>
      </c>
      <c r="T9044" t="str">
        <f t="shared" si="1487"/>
        <v/>
      </c>
      <c r="U9044" t="str">
        <f t="shared" si="1488"/>
        <v/>
      </c>
      <c r="V9044" t="str">
        <f t="shared" si="1489"/>
        <v/>
      </c>
      <c r="W9044" t="str">
        <f t="shared" si="1490"/>
        <v/>
      </c>
      <c r="X9044">
        <f t="shared" si="1480"/>
        <v>0</v>
      </c>
      <c r="Z9044" t="str">
        <f t="shared" si="1491"/>
        <v/>
      </c>
      <c r="AA9044">
        <f t="shared" si="1481"/>
        <v>0</v>
      </c>
    </row>
    <row r="9045" spans="1:27" ht="21" customHeight="1" x14ac:dyDescent="0.95">
      <c r="A9045" s="56"/>
      <c r="B9045" s="57"/>
      <c r="C9045" s="57"/>
      <c r="D9045" s="57"/>
      <c r="E9045" s="56"/>
      <c r="F9045" s="57"/>
      <c r="G9045" s="57"/>
      <c r="H9045" s="56"/>
      <c r="I9045" s="56"/>
      <c r="J9045" s="58"/>
      <c r="K9045" s="58"/>
      <c r="L9045" s="13" t="str">
        <f t="shared" si="1482"/>
        <v/>
      </c>
      <c r="M9045" s="13" t="str">
        <f t="shared" si="1483"/>
        <v/>
      </c>
      <c r="Q9045" t="str">
        <f t="shared" si="1484"/>
        <v/>
      </c>
      <c r="R9045" t="str">
        <f t="shared" si="1485"/>
        <v/>
      </c>
      <c r="S9045" t="str">
        <f t="shared" si="1486"/>
        <v/>
      </c>
      <c r="T9045" t="str">
        <f t="shared" si="1487"/>
        <v/>
      </c>
      <c r="U9045" t="str">
        <f t="shared" si="1488"/>
        <v/>
      </c>
      <c r="V9045" t="str">
        <f t="shared" si="1489"/>
        <v/>
      </c>
      <c r="W9045" t="str">
        <f t="shared" si="1490"/>
        <v/>
      </c>
      <c r="X9045">
        <f t="shared" si="1480"/>
        <v>0</v>
      </c>
      <c r="Z9045" t="str">
        <f t="shared" si="1491"/>
        <v/>
      </c>
      <c r="AA9045">
        <f t="shared" si="1481"/>
        <v>0</v>
      </c>
    </row>
    <row r="9046" spans="1:27" ht="21" customHeight="1" x14ac:dyDescent="0.95">
      <c r="A9046" s="56"/>
      <c r="B9046" s="57"/>
      <c r="C9046" s="57"/>
      <c r="D9046" s="57"/>
      <c r="E9046" s="56"/>
      <c r="F9046" s="57"/>
      <c r="G9046" s="57"/>
      <c r="H9046" s="56"/>
      <c r="I9046" s="56"/>
      <c r="J9046" s="58"/>
      <c r="K9046" s="58"/>
      <c r="L9046" s="13" t="str">
        <f t="shared" si="1482"/>
        <v/>
      </c>
      <c r="M9046" s="13" t="str">
        <f t="shared" si="1483"/>
        <v/>
      </c>
      <c r="Q9046" t="str">
        <f t="shared" si="1484"/>
        <v/>
      </c>
      <c r="R9046" t="str">
        <f t="shared" si="1485"/>
        <v/>
      </c>
      <c r="S9046" t="str">
        <f t="shared" si="1486"/>
        <v/>
      </c>
      <c r="T9046" t="str">
        <f t="shared" si="1487"/>
        <v/>
      </c>
      <c r="U9046" t="str">
        <f t="shared" si="1488"/>
        <v/>
      </c>
      <c r="V9046" t="str">
        <f t="shared" si="1489"/>
        <v/>
      </c>
      <c r="W9046" t="str">
        <f t="shared" si="1490"/>
        <v/>
      </c>
      <c r="X9046">
        <f t="shared" si="1480"/>
        <v>0</v>
      </c>
      <c r="Z9046" t="str">
        <f t="shared" si="1491"/>
        <v/>
      </c>
      <c r="AA9046">
        <f t="shared" si="1481"/>
        <v>0</v>
      </c>
    </row>
    <row r="9047" spans="1:27" ht="21" customHeight="1" x14ac:dyDescent="0.95">
      <c r="A9047" s="56"/>
      <c r="B9047" s="57"/>
      <c r="C9047" s="57"/>
      <c r="D9047" s="57"/>
      <c r="E9047" s="56"/>
      <c r="F9047" s="57"/>
      <c r="G9047" s="57"/>
      <c r="H9047" s="56"/>
      <c r="I9047" s="56"/>
      <c r="J9047" s="58"/>
      <c r="K9047" s="58"/>
      <c r="L9047" s="13" t="str">
        <f t="shared" si="1482"/>
        <v/>
      </c>
      <c r="M9047" s="13" t="str">
        <f t="shared" si="1483"/>
        <v/>
      </c>
      <c r="Q9047" t="str">
        <f t="shared" si="1484"/>
        <v/>
      </c>
      <c r="R9047" t="str">
        <f t="shared" si="1485"/>
        <v/>
      </c>
      <c r="S9047" t="str">
        <f t="shared" si="1486"/>
        <v/>
      </c>
      <c r="T9047" t="str">
        <f t="shared" si="1487"/>
        <v/>
      </c>
      <c r="U9047" t="str">
        <f t="shared" si="1488"/>
        <v/>
      </c>
      <c r="V9047" t="str">
        <f t="shared" si="1489"/>
        <v/>
      </c>
      <c r="W9047" t="str">
        <f t="shared" si="1490"/>
        <v/>
      </c>
      <c r="X9047">
        <f t="shared" si="1480"/>
        <v>0</v>
      </c>
      <c r="Z9047" t="str">
        <f t="shared" si="1491"/>
        <v/>
      </c>
      <c r="AA9047">
        <f t="shared" si="1481"/>
        <v>0</v>
      </c>
    </row>
    <row r="9048" spans="1:27" ht="21" customHeight="1" x14ac:dyDescent="0.95">
      <c r="A9048" s="56"/>
      <c r="B9048" s="57"/>
      <c r="C9048" s="57"/>
      <c r="D9048" s="57"/>
      <c r="E9048" s="56"/>
      <c r="F9048" s="57"/>
      <c r="G9048" s="57"/>
      <c r="H9048" s="56"/>
      <c r="I9048" s="56"/>
      <c r="J9048" s="58"/>
      <c r="K9048" s="58"/>
      <c r="L9048" s="13" t="str">
        <f t="shared" si="1482"/>
        <v/>
      </c>
      <c r="M9048" s="13" t="str">
        <f t="shared" si="1483"/>
        <v/>
      </c>
      <c r="Q9048" t="str">
        <f t="shared" si="1484"/>
        <v/>
      </c>
      <c r="R9048" t="str">
        <f t="shared" si="1485"/>
        <v/>
      </c>
      <c r="S9048" t="str">
        <f t="shared" si="1486"/>
        <v/>
      </c>
      <c r="T9048" t="str">
        <f t="shared" si="1487"/>
        <v/>
      </c>
      <c r="U9048" t="str">
        <f t="shared" si="1488"/>
        <v/>
      </c>
      <c r="V9048" t="str">
        <f t="shared" si="1489"/>
        <v/>
      </c>
      <c r="W9048" t="str">
        <f t="shared" si="1490"/>
        <v/>
      </c>
      <c r="X9048">
        <f t="shared" si="1480"/>
        <v>0</v>
      </c>
      <c r="Z9048" t="str">
        <f t="shared" si="1491"/>
        <v/>
      </c>
      <c r="AA9048">
        <f t="shared" si="1481"/>
        <v>0</v>
      </c>
    </row>
    <row r="9049" spans="1:27" ht="21" customHeight="1" x14ac:dyDescent="0.95">
      <c r="A9049" s="56"/>
      <c r="B9049" s="57"/>
      <c r="C9049" s="57"/>
      <c r="D9049" s="57"/>
      <c r="E9049" s="56"/>
      <c r="F9049" s="57"/>
      <c r="G9049" s="57"/>
      <c r="H9049" s="56"/>
      <c r="I9049" s="56"/>
      <c r="J9049" s="58"/>
      <c r="K9049" s="58"/>
      <c r="L9049" s="13" t="str">
        <f t="shared" si="1482"/>
        <v/>
      </c>
      <c r="M9049" s="13" t="str">
        <f t="shared" si="1483"/>
        <v/>
      </c>
      <c r="Q9049" t="str">
        <f t="shared" si="1484"/>
        <v/>
      </c>
      <c r="R9049" t="str">
        <f t="shared" si="1485"/>
        <v/>
      </c>
      <c r="S9049" t="str">
        <f t="shared" si="1486"/>
        <v/>
      </c>
      <c r="T9049" t="str">
        <f t="shared" si="1487"/>
        <v/>
      </c>
      <c r="U9049" t="str">
        <f t="shared" si="1488"/>
        <v/>
      </c>
      <c r="V9049" t="str">
        <f t="shared" si="1489"/>
        <v/>
      </c>
      <c r="W9049" t="str">
        <f t="shared" si="1490"/>
        <v/>
      </c>
      <c r="X9049">
        <f t="shared" si="1480"/>
        <v>0</v>
      </c>
      <c r="Z9049" t="str">
        <f t="shared" si="1491"/>
        <v/>
      </c>
      <c r="AA9049">
        <f t="shared" si="1481"/>
        <v>0</v>
      </c>
    </row>
    <row r="9050" spans="1:27" ht="21" customHeight="1" x14ac:dyDescent="0.95">
      <c r="A9050" s="56"/>
      <c r="B9050" s="57"/>
      <c r="C9050" s="57"/>
      <c r="D9050" s="57"/>
      <c r="E9050" s="56"/>
      <c r="F9050" s="57"/>
      <c r="G9050" s="57"/>
      <c r="H9050" s="56"/>
      <c r="I9050" s="56"/>
      <c r="J9050" s="58"/>
      <c r="K9050" s="58"/>
      <c r="L9050" s="13" t="str">
        <f t="shared" si="1482"/>
        <v/>
      </c>
      <c r="M9050" s="13" t="str">
        <f t="shared" si="1483"/>
        <v/>
      </c>
      <c r="Q9050" t="str">
        <f t="shared" si="1484"/>
        <v/>
      </c>
      <c r="R9050" t="str">
        <f t="shared" si="1485"/>
        <v/>
      </c>
      <c r="S9050" t="str">
        <f t="shared" si="1486"/>
        <v/>
      </c>
      <c r="T9050" t="str">
        <f t="shared" si="1487"/>
        <v/>
      </c>
      <c r="U9050" t="str">
        <f t="shared" si="1488"/>
        <v/>
      </c>
      <c r="V9050" t="str">
        <f t="shared" si="1489"/>
        <v/>
      </c>
      <c r="W9050" t="str">
        <f t="shared" si="1490"/>
        <v/>
      </c>
      <c r="X9050">
        <f t="shared" si="1480"/>
        <v>0</v>
      </c>
      <c r="Z9050" t="str">
        <f t="shared" si="1491"/>
        <v/>
      </c>
      <c r="AA9050">
        <f t="shared" si="1481"/>
        <v>0</v>
      </c>
    </row>
    <row r="9051" spans="1:27" ht="21" customHeight="1" x14ac:dyDescent="0.95">
      <c r="A9051" s="56"/>
      <c r="B9051" s="57"/>
      <c r="C9051" s="57"/>
      <c r="D9051" s="57"/>
      <c r="E9051" s="56"/>
      <c r="F9051" s="57"/>
      <c r="G9051" s="57"/>
      <c r="H9051" s="56"/>
      <c r="I9051" s="56"/>
      <c r="J9051" s="58"/>
      <c r="K9051" s="58"/>
      <c r="L9051" s="13" t="str">
        <f t="shared" si="1482"/>
        <v/>
      </c>
      <c r="M9051" s="13" t="str">
        <f t="shared" si="1483"/>
        <v/>
      </c>
      <c r="Q9051" t="str">
        <f t="shared" si="1484"/>
        <v/>
      </c>
      <c r="R9051" t="str">
        <f t="shared" si="1485"/>
        <v/>
      </c>
      <c r="S9051" t="str">
        <f t="shared" si="1486"/>
        <v/>
      </c>
      <c r="T9051" t="str">
        <f t="shared" si="1487"/>
        <v/>
      </c>
      <c r="U9051" t="str">
        <f t="shared" si="1488"/>
        <v/>
      </c>
      <c r="V9051" t="str">
        <f t="shared" si="1489"/>
        <v/>
      </c>
      <c r="W9051" t="str">
        <f t="shared" si="1490"/>
        <v/>
      </c>
      <c r="X9051">
        <f t="shared" si="1480"/>
        <v>0</v>
      </c>
      <c r="Z9051" t="str">
        <f t="shared" si="1491"/>
        <v/>
      </c>
      <c r="AA9051">
        <f t="shared" si="1481"/>
        <v>0</v>
      </c>
    </row>
    <row r="9052" spans="1:27" ht="21" customHeight="1" x14ac:dyDescent="0.95">
      <c r="A9052" s="56"/>
      <c r="B9052" s="57"/>
      <c r="C9052" s="57"/>
      <c r="D9052" s="57"/>
      <c r="E9052" s="56"/>
      <c r="F9052" s="57"/>
      <c r="G9052" s="57"/>
      <c r="H9052" s="56"/>
      <c r="I9052" s="56"/>
      <c r="J9052" s="58"/>
      <c r="K9052" s="58"/>
      <c r="L9052" s="13" t="str">
        <f t="shared" si="1482"/>
        <v/>
      </c>
      <c r="M9052" s="13" t="str">
        <f t="shared" si="1483"/>
        <v/>
      </c>
      <c r="Q9052" t="str">
        <f t="shared" si="1484"/>
        <v/>
      </c>
      <c r="R9052" t="str">
        <f t="shared" si="1485"/>
        <v/>
      </c>
      <c r="S9052" t="str">
        <f t="shared" si="1486"/>
        <v/>
      </c>
      <c r="T9052" t="str">
        <f t="shared" si="1487"/>
        <v/>
      </c>
      <c r="U9052" t="str">
        <f t="shared" si="1488"/>
        <v/>
      </c>
      <c r="V9052" t="str">
        <f t="shared" si="1489"/>
        <v/>
      </c>
      <c r="W9052" t="str">
        <f t="shared" si="1490"/>
        <v/>
      </c>
      <c r="X9052">
        <f t="shared" si="1480"/>
        <v>0</v>
      </c>
      <c r="Z9052" t="str">
        <f t="shared" si="1491"/>
        <v/>
      </c>
      <c r="AA9052">
        <f t="shared" si="1481"/>
        <v>0</v>
      </c>
    </row>
    <row r="9053" spans="1:27" ht="21" customHeight="1" x14ac:dyDescent="0.95">
      <c r="A9053" s="56"/>
      <c r="B9053" s="57"/>
      <c r="C9053" s="57"/>
      <c r="D9053" s="57"/>
      <c r="E9053" s="56"/>
      <c r="F9053" s="57"/>
      <c r="G9053" s="57"/>
      <c r="H9053" s="56"/>
      <c r="I9053" s="56"/>
      <c r="J9053" s="58"/>
      <c r="K9053" s="58"/>
      <c r="L9053" s="13" t="str">
        <f t="shared" si="1482"/>
        <v/>
      </c>
      <c r="M9053" s="13" t="str">
        <f t="shared" si="1483"/>
        <v/>
      </c>
      <c r="Q9053" t="str">
        <f t="shared" si="1484"/>
        <v/>
      </c>
      <c r="R9053" t="str">
        <f t="shared" si="1485"/>
        <v/>
      </c>
      <c r="S9053" t="str">
        <f t="shared" si="1486"/>
        <v/>
      </c>
      <c r="T9053" t="str">
        <f t="shared" si="1487"/>
        <v/>
      </c>
      <c r="U9053" t="str">
        <f t="shared" si="1488"/>
        <v/>
      </c>
      <c r="V9053" t="str">
        <f t="shared" si="1489"/>
        <v/>
      </c>
      <c r="W9053" t="str">
        <f t="shared" si="1490"/>
        <v/>
      </c>
      <c r="X9053">
        <f t="shared" si="1480"/>
        <v>0</v>
      </c>
      <c r="Z9053" t="str">
        <f t="shared" si="1491"/>
        <v/>
      </c>
      <c r="AA9053">
        <f t="shared" si="1481"/>
        <v>0</v>
      </c>
    </row>
    <row r="9054" spans="1:27" ht="21" customHeight="1" x14ac:dyDescent="0.95">
      <c r="A9054" s="56"/>
      <c r="B9054" s="57"/>
      <c r="C9054" s="57"/>
      <c r="D9054" s="57"/>
      <c r="E9054" s="56"/>
      <c r="F9054" s="57"/>
      <c r="G9054" s="57"/>
      <c r="H9054" s="56"/>
      <c r="I9054" s="56"/>
      <c r="J9054" s="58"/>
      <c r="K9054" s="58"/>
      <c r="L9054" s="13" t="str">
        <f t="shared" si="1482"/>
        <v/>
      </c>
      <c r="M9054" s="13" t="str">
        <f t="shared" si="1483"/>
        <v/>
      </c>
      <c r="Q9054" t="str">
        <f t="shared" si="1484"/>
        <v/>
      </c>
      <c r="R9054" t="str">
        <f t="shared" si="1485"/>
        <v/>
      </c>
      <c r="S9054" t="str">
        <f t="shared" si="1486"/>
        <v/>
      </c>
      <c r="T9054" t="str">
        <f t="shared" si="1487"/>
        <v/>
      </c>
      <c r="U9054" t="str">
        <f t="shared" si="1488"/>
        <v/>
      </c>
      <c r="V9054" t="str">
        <f t="shared" si="1489"/>
        <v/>
      </c>
      <c r="W9054" t="str">
        <f t="shared" si="1490"/>
        <v/>
      </c>
      <c r="X9054">
        <f t="shared" si="1480"/>
        <v>0</v>
      </c>
      <c r="Z9054" t="str">
        <f t="shared" si="1491"/>
        <v/>
      </c>
      <c r="AA9054">
        <f t="shared" si="1481"/>
        <v>0</v>
      </c>
    </row>
    <row r="9055" spans="1:27" ht="21" customHeight="1" x14ac:dyDescent="0.95">
      <c r="A9055" s="56"/>
      <c r="B9055" s="57"/>
      <c r="C9055" s="57"/>
      <c r="D9055" s="57"/>
      <c r="E9055" s="56"/>
      <c r="F9055" s="57"/>
      <c r="G9055" s="57"/>
      <c r="H9055" s="56"/>
      <c r="I9055" s="56"/>
      <c r="J9055" s="58"/>
      <c r="K9055" s="58"/>
      <c r="L9055" s="13" t="str">
        <f t="shared" si="1482"/>
        <v/>
      </c>
      <c r="M9055" s="13" t="str">
        <f t="shared" si="1483"/>
        <v/>
      </c>
      <c r="Q9055" t="str">
        <f t="shared" si="1484"/>
        <v/>
      </c>
      <c r="R9055" t="str">
        <f t="shared" si="1485"/>
        <v/>
      </c>
      <c r="S9055" t="str">
        <f t="shared" si="1486"/>
        <v/>
      </c>
      <c r="T9055" t="str">
        <f t="shared" si="1487"/>
        <v/>
      </c>
      <c r="U9055" t="str">
        <f t="shared" si="1488"/>
        <v/>
      </c>
      <c r="V9055" t="str">
        <f t="shared" si="1489"/>
        <v/>
      </c>
      <c r="W9055" t="str">
        <f t="shared" si="1490"/>
        <v/>
      </c>
      <c r="X9055">
        <f t="shared" si="1480"/>
        <v>0</v>
      </c>
      <c r="Z9055" t="str">
        <f t="shared" si="1491"/>
        <v/>
      </c>
      <c r="AA9055">
        <f t="shared" si="1481"/>
        <v>0</v>
      </c>
    </row>
    <row r="9056" spans="1:27" ht="21" customHeight="1" x14ac:dyDescent="0.95">
      <c r="A9056" s="56"/>
      <c r="B9056" s="57"/>
      <c r="C9056" s="57"/>
      <c r="D9056" s="57"/>
      <c r="E9056" s="56"/>
      <c r="F9056" s="57"/>
      <c r="G9056" s="57"/>
      <c r="H9056" s="56"/>
      <c r="I9056" s="56"/>
      <c r="J9056" s="58"/>
      <c r="K9056" s="58"/>
      <c r="L9056" s="13" t="str">
        <f t="shared" si="1482"/>
        <v/>
      </c>
      <c r="M9056" s="13" t="str">
        <f t="shared" si="1483"/>
        <v/>
      </c>
      <c r="Q9056" t="str">
        <f t="shared" si="1484"/>
        <v/>
      </c>
      <c r="R9056" t="str">
        <f t="shared" si="1485"/>
        <v/>
      </c>
      <c r="S9056" t="str">
        <f t="shared" si="1486"/>
        <v/>
      </c>
      <c r="T9056" t="str">
        <f t="shared" si="1487"/>
        <v/>
      </c>
      <c r="U9056" t="str">
        <f t="shared" si="1488"/>
        <v/>
      </c>
      <c r="V9056" t="str">
        <f t="shared" si="1489"/>
        <v/>
      </c>
      <c r="W9056" t="str">
        <f t="shared" si="1490"/>
        <v/>
      </c>
      <c r="X9056">
        <f t="shared" si="1480"/>
        <v>0</v>
      </c>
      <c r="Z9056" t="str">
        <f t="shared" si="1491"/>
        <v/>
      </c>
      <c r="AA9056">
        <f t="shared" si="1481"/>
        <v>0</v>
      </c>
    </row>
    <row r="9057" spans="1:27" ht="21" customHeight="1" x14ac:dyDescent="0.95">
      <c r="A9057" s="56"/>
      <c r="B9057" s="57"/>
      <c r="C9057" s="57"/>
      <c r="D9057" s="57"/>
      <c r="E9057" s="56"/>
      <c r="F9057" s="57"/>
      <c r="G9057" s="57"/>
      <c r="H9057" s="56"/>
      <c r="I9057" s="56"/>
      <c r="J9057" s="58"/>
      <c r="K9057" s="58"/>
      <c r="L9057" s="13" t="str">
        <f t="shared" si="1482"/>
        <v/>
      </c>
      <c r="M9057" s="13" t="str">
        <f t="shared" si="1483"/>
        <v/>
      </c>
      <c r="Q9057" t="str">
        <f t="shared" si="1484"/>
        <v/>
      </c>
      <c r="R9057" t="str">
        <f t="shared" si="1485"/>
        <v/>
      </c>
      <c r="S9057" t="str">
        <f t="shared" si="1486"/>
        <v/>
      </c>
      <c r="T9057" t="str">
        <f t="shared" si="1487"/>
        <v/>
      </c>
      <c r="U9057" t="str">
        <f t="shared" si="1488"/>
        <v/>
      </c>
      <c r="V9057" t="str">
        <f t="shared" si="1489"/>
        <v/>
      </c>
      <c r="W9057" t="str">
        <f t="shared" si="1490"/>
        <v/>
      </c>
      <c r="X9057">
        <f t="shared" si="1480"/>
        <v>0</v>
      </c>
      <c r="Z9057" t="str">
        <f t="shared" si="1491"/>
        <v/>
      </c>
      <c r="AA9057">
        <f t="shared" si="1481"/>
        <v>0</v>
      </c>
    </row>
    <row r="9058" spans="1:27" ht="21" customHeight="1" x14ac:dyDescent="0.95">
      <c r="A9058" s="56"/>
      <c r="B9058" s="57"/>
      <c r="C9058" s="57"/>
      <c r="D9058" s="57"/>
      <c r="E9058" s="56"/>
      <c r="F9058" s="57"/>
      <c r="G9058" s="57"/>
      <c r="H9058" s="56"/>
      <c r="I9058" s="56"/>
      <c r="J9058" s="58"/>
      <c r="K9058" s="58"/>
      <c r="L9058" s="13" t="str">
        <f t="shared" si="1482"/>
        <v/>
      </c>
      <c r="M9058" s="13" t="str">
        <f t="shared" si="1483"/>
        <v/>
      </c>
      <c r="Q9058" t="str">
        <f t="shared" si="1484"/>
        <v/>
      </c>
      <c r="R9058" t="str">
        <f t="shared" si="1485"/>
        <v/>
      </c>
      <c r="S9058" t="str">
        <f t="shared" si="1486"/>
        <v/>
      </c>
      <c r="T9058" t="str">
        <f t="shared" si="1487"/>
        <v/>
      </c>
      <c r="U9058" t="str">
        <f t="shared" si="1488"/>
        <v/>
      </c>
      <c r="V9058" t="str">
        <f t="shared" si="1489"/>
        <v/>
      </c>
      <c r="W9058" t="str">
        <f t="shared" si="1490"/>
        <v/>
      </c>
      <c r="X9058">
        <f t="shared" si="1480"/>
        <v>0</v>
      </c>
      <c r="Z9058" t="str">
        <f t="shared" si="1491"/>
        <v/>
      </c>
      <c r="AA9058">
        <f t="shared" si="1481"/>
        <v>0</v>
      </c>
    </row>
    <row r="9059" spans="1:27" ht="21" customHeight="1" x14ac:dyDescent="0.95">
      <c r="A9059" s="56"/>
      <c r="B9059" s="57"/>
      <c r="C9059" s="57"/>
      <c r="D9059" s="57"/>
      <c r="E9059" s="56"/>
      <c r="F9059" s="57"/>
      <c r="G9059" s="57"/>
      <c r="H9059" s="56"/>
      <c r="I9059" s="56"/>
      <c r="J9059" s="58"/>
      <c r="K9059" s="58"/>
      <c r="L9059" s="13" t="str">
        <f t="shared" si="1482"/>
        <v/>
      </c>
      <c r="M9059" s="13" t="str">
        <f t="shared" si="1483"/>
        <v/>
      </c>
      <c r="Q9059" t="str">
        <f t="shared" si="1484"/>
        <v/>
      </c>
      <c r="R9059" t="str">
        <f t="shared" si="1485"/>
        <v/>
      </c>
      <c r="S9059" t="str">
        <f t="shared" si="1486"/>
        <v/>
      </c>
      <c r="T9059" t="str">
        <f t="shared" si="1487"/>
        <v/>
      </c>
      <c r="U9059" t="str">
        <f t="shared" si="1488"/>
        <v/>
      </c>
      <c r="V9059" t="str">
        <f t="shared" si="1489"/>
        <v/>
      </c>
      <c r="W9059" t="str">
        <f t="shared" si="1490"/>
        <v/>
      </c>
      <c r="X9059">
        <f t="shared" si="1480"/>
        <v>0</v>
      </c>
      <c r="Z9059" t="str">
        <f t="shared" si="1491"/>
        <v/>
      </c>
      <c r="AA9059">
        <f t="shared" si="1481"/>
        <v>0</v>
      </c>
    </row>
    <row r="9060" spans="1:27" ht="21" customHeight="1" x14ac:dyDescent="0.95">
      <c r="A9060" s="56"/>
      <c r="B9060" s="57"/>
      <c r="C9060" s="57"/>
      <c r="D9060" s="57"/>
      <c r="E9060" s="56"/>
      <c r="F9060" s="57"/>
      <c r="G9060" s="57"/>
      <c r="H9060" s="56"/>
      <c r="I9060" s="56"/>
      <c r="J9060" s="58"/>
      <c r="K9060" s="58"/>
      <c r="L9060" s="13" t="str">
        <f t="shared" si="1482"/>
        <v/>
      </c>
      <c r="M9060" s="13" t="str">
        <f t="shared" si="1483"/>
        <v/>
      </c>
      <c r="Q9060" t="str">
        <f t="shared" si="1484"/>
        <v/>
      </c>
      <c r="R9060" t="str">
        <f t="shared" si="1485"/>
        <v/>
      </c>
      <c r="S9060" t="str">
        <f t="shared" si="1486"/>
        <v/>
      </c>
      <c r="T9060" t="str">
        <f t="shared" si="1487"/>
        <v/>
      </c>
      <c r="U9060" t="str">
        <f t="shared" si="1488"/>
        <v/>
      </c>
      <c r="V9060" t="str">
        <f t="shared" si="1489"/>
        <v/>
      </c>
      <c r="W9060" t="str">
        <f t="shared" si="1490"/>
        <v/>
      </c>
      <c r="X9060">
        <f t="shared" si="1480"/>
        <v>0</v>
      </c>
      <c r="Z9060" t="str">
        <f t="shared" si="1491"/>
        <v/>
      </c>
      <c r="AA9060">
        <f t="shared" si="1481"/>
        <v>0</v>
      </c>
    </row>
    <row r="9061" spans="1:27" ht="21" customHeight="1" x14ac:dyDescent="0.95">
      <c r="A9061" s="56"/>
      <c r="B9061" s="57"/>
      <c r="C9061" s="57"/>
      <c r="D9061" s="57"/>
      <c r="E9061" s="56"/>
      <c r="F9061" s="57"/>
      <c r="G9061" s="57"/>
      <c r="H9061" s="56"/>
      <c r="I9061" s="56"/>
      <c r="J9061" s="58"/>
      <c r="K9061" s="58"/>
      <c r="L9061" s="13" t="str">
        <f t="shared" si="1482"/>
        <v/>
      </c>
      <c r="M9061" s="13" t="str">
        <f t="shared" si="1483"/>
        <v/>
      </c>
      <c r="Q9061" t="str">
        <f t="shared" si="1484"/>
        <v/>
      </c>
      <c r="R9061" t="str">
        <f t="shared" si="1485"/>
        <v/>
      </c>
      <c r="S9061" t="str">
        <f t="shared" si="1486"/>
        <v/>
      </c>
      <c r="T9061" t="str">
        <f t="shared" si="1487"/>
        <v/>
      </c>
      <c r="U9061" t="str">
        <f t="shared" si="1488"/>
        <v/>
      </c>
      <c r="V9061" t="str">
        <f t="shared" si="1489"/>
        <v/>
      </c>
      <c r="W9061" t="str">
        <f t="shared" si="1490"/>
        <v/>
      </c>
      <c r="X9061">
        <f t="shared" si="1480"/>
        <v>0</v>
      </c>
      <c r="Z9061" t="str">
        <f t="shared" si="1491"/>
        <v/>
      </c>
      <c r="AA9061">
        <f t="shared" si="1481"/>
        <v>0</v>
      </c>
    </row>
    <row r="9062" spans="1:27" ht="21" customHeight="1" x14ac:dyDescent="0.95">
      <c r="A9062" s="56"/>
      <c r="B9062" s="57"/>
      <c r="C9062" s="57"/>
      <c r="D9062" s="57"/>
      <c r="E9062" s="56"/>
      <c r="F9062" s="57"/>
      <c r="G9062" s="57"/>
      <c r="H9062" s="56"/>
      <c r="I9062" s="56"/>
      <c r="J9062" s="58"/>
      <c r="K9062" s="58"/>
      <c r="L9062" s="13" t="str">
        <f t="shared" si="1482"/>
        <v/>
      </c>
      <c r="M9062" s="13" t="str">
        <f t="shared" si="1483"/>
        <v/>
      </c>
      <c r="Q9062" t="str">
        <f t="shared" si="1484"/>
        <v/>
      </c>
      <c r="R9062" t="str">
        <f t="shared" si="1485"/>
        <v/>
      </c>
      <c r="S9062" t="str">
        <f t="shared" si="1486"/>
        <v/>
      </c>
      <c r="T9062" t="str">
        <f t="shared" si="1487"/>
        <v/>
      </c>
      <c r="U9062" t="str">
        <f t="shared" si="1488"/>
        <v/>
      </c>
      <c r="V9062" t="str">
        <f t="shared" si="1489"/>
        <v/>
      </c>
      <c r="W9062" t="str">
        <f t="shared" si="1490"/>
        <v/>
      </c>
      <c r="X9062">
        <f t="shared" si="1480"/>
        <v>0</v>
      </c>
      <c r="Z9062" t="str">
        <f t="shared" si="1491"/>
        <v/>
      </c>
      <c r="AA9062">
        <f t="shared" si="1481"/>
        <v>0</v>
      </c>
    </row>
    <row r="9063" spans="1:27" ht="21" customHeight="1" x14ac:dyDescent="0.95">
      <c r="A9063" s="56"/>
      <c r="B9063" s="57"/>
      <c r="C9063" s="57"/>
      <c r="D9063" s="57"/>
      <c r="E9063" s="56"/>
      <c r="F9063" s="57"/>
      <c r="G9063" s="57"/>
      <c r="H9063" s="56"/>
      <c r="I9063" s="56"/>
      <c r="J9063" s="58"/>
      <c r="K9063" s="58"/>
      <c r="L9063" s="13" t="str">
        <f t="shared" si="1482"/>
        <v/>
      </c>
      <c r="M9063" s="13" t="str">
        <f t="shared" si="1483"/>
        <v/>
      </c>
      <c r="Q9063" t="str">
        <f t="shared" si="1484"/>
        <v/>
      </c>
      <c r="R9063" t="str">
        <f t="shared" si="1485"/>
        <v/>
      </c>
      <c r="S9063" t="str">
        <f t="shared" si="1486"/>
        <v/>
      </c>
      <c r="T9063" t="str">
        <f t="shared" si="1487"/>
        <v/>
      </c>
      <c r="U9063" t="str">
        <f t="shared" si="1488"/>
        <v/>
      </c>
      <c r="V9063" t="str">
        <f t="shared" si="1489"/>
        <v/>
      </c>
      <c r="W9063" t="str">
        <f t="shared" si="1490"/>
        <v/>
      </c>
      <c r="X9063">
        <f t="shared" si="1480"/>
        <v>0</v>
      </c>
      <c r="Z9063" t="str">
        <f t="shared" si="1491"/>
        <v/>
      </c>
      <c r="AA9063">
        <f t="shared" si="1481"/>
        <v>0</v>
      </c>
    </row>
    <row r="9064" spans="1:27" ht="21" customHeight="1" x14ac:dyDescent="0.95">
      <c r="A9064" s="56"/>
      <c r="B9064" s="57"/>
      <c r="C9064" s="57"/>
      <c r="D9064" s="57"/>
      <c r="E9064" s="56"/>
      <c r="F9064" s="57"/>
      <c r="G9064" s="57"/>
      <c r="H9064" s="56"/>
      <c r="I9064" s="56"/>
      <c r="J9064" s="58"/>
      <c r="K9064" s="58"/>
      <c r="L9064" s="13" t="str">
        <f t="shared" si="1482"/>
        <v/>
      </c>
      <c r="M9064" s="13" t="str">
        <f t="shared" si="1483"/>
        <v/>
      </c>
      <c r="Q9064" t="str">
        <f t="shared" si="1484"/>
        <v/>
      </c>
      <c r="R9064" t="str">
        <f t="shared" si="1485"/>
        <v/>
      </c>
      <c r="S9064" t="str">
        <f t="shared" si="1486"/>
        <v/>
      </c>
      <c r="T9064" t="str">
        <f t="shared" si="1487"/>
        <v/>
      </c>
      <c r="U9064" t="str">
        <f t="shared" si="1488"/>
        <v/>
      </c>
      <c r="V9064" t="str">
        <f t="shared" si="1489"/>
        <v/>
      </c>
      <c r="W9064" t="str">
        <f t="shared" si="1490"/>
        <v/>
      </c>
      <c r="X9064">
        <f t="shared" si="1480"/>
        <v>0</v>
      </c>
      <c r="Z9064" t="str">
        <f t="shared" si="1491"/>
        <v/>
      </c>
      <c r="AA9064">
        <f t="shared" si="1481"/>
        <v>0</v>
      </c>
    </row>
    <row r="9065" spans="1:27" ht="21" customHeight="1" x14ac:dyDescent="0.95">
      <c r="A9065" s="56"/>
      <c r="B9065" s="57"/>
      <c r="C9065" s="57"/>
      <c r="D9065" s="57"/>
      <c r="E9065" s="56"/>
      <c r="F9065" s="57"/>
      <c r="G9065" s="57"/>
      <c r="H9065" s="56"/>
      <c r="I9065" s="56"/>
      <c r="J9065" s="58"/>
      <c r="K9065" s="58"/>
      <c r="L9065" s="13" t="str">
        <f t="shared" si="1482"/>
        <v/>
      </c>
      <c r="M9065" s="13" t="str">
        <f t="shared" si="1483"/>
        <v/>
      </c>
      <c r="Q9065" t="str">
        <f t="shared" si="1484"/>
        <v/>
      </c>
      <c r="R9065" t="str">
        <f t="shared" si="1485"/>
        <v/>
      </c>
      <c r="S9065" t="str">
        <f t="shared" si="1486"/>
        <v/>
      </c>
      <c r="T9065" t="str">
        <f t="shared" si="1487"/>
        <v/>
      </c>
      <c r="U9065" t="str">
        <f t="shared" si="1488"/>
        <v/>
      </c>
      <c r="V9065" t="str">
        <f t="shared" si="1489"/>
        <v/>
      </c>
      <c r="W9065" t="str">
        <f t="shared" si="1490"/>
        <v/>
      </c>
      <c r="X9065">
        <f t="shared" si="1480"/>
        <v>0</v>
      </c>
      <c r="Z9065" t="str">
        <f t="shared" si="1491"/>
        <v/>
      </c>
      <c r="AA9065">
        <f t="shared" si="1481"/>
        <v>0</v>
      </c>
    </row>
    <row r="9066" spans="1:27" ht="21" customHeight="1" x14ac:dyDescent="0.95">
      <c r="A9066" s="56"/>
      <c r="B9066" s="57"/>
      <c r="C9066" s="57"/>
      <c r="D9066" s="57"/>
      <c r="E9066" s="56"/>
      <c r="F9066" s="57"/>
      <c r="G9066" s="57"/>
      <c r="H9066" s="56"/>
      <c r="I9066" s="56"/>
      <c r="J9066" s="58"/>
      <c r="K9066" s="58"/>
      <c r="L9066" s="13" t="str">
        <f t="shared" si="1482"/>
        <v/>
      </c>
      <c r="M9066" s="13" t="str">
        <f t="shared" si="1483"/>
        <v/>
      </c>
      <c r="Q9066" t="str">
        <f t="shared" si="1484"/>
        <v/>
      </c>
      <c r="R9066" t="str">
        <f t="shared" si="1485"/>
        <v/>
      </c>
      <c r="S9066" t="str">
        <f t="shared" si="1486"/>
        <v/>
      </c>
      <c r="T9066" t="str">
        <f t="shared" si="1487"/>
        <v/>
      </c>
      <c r="U9066" t="str">
        <f t="shared" si="1488"/>
        <v/>
      </c>
      <c r="V9066" t="str">
        <f t="shared" si="1489"/>
        <v/>
      </c>
      <c r="W9066" t="str">
        <f t="shared" si="1490"/>
        <v/>
      </c>
      <c r="X9066">
        <f t="shared" si="1480"/>
        <v>0</v>
      </c>
      <c r="Z9066" t="str">
        <f t="shared" si="1491"/>
        <v/>
      </c>
      <c r="AA9066">
        <f t="shared" si="1481"/>
        <v>0</v>
      </c>
    </row>
    <row r="9067" spans="1:27" ht="21" customHeight="1" x14ac:dyDescent="0.95">
      <c r="A9067" s="56"/>
      <c r="B9067" s="57"/>
      <c r="C9067" s="57"/>
      <c r="D9067" s="57"/>
      <c r="E9067" s="56"/>
      <c r="F9067" s="57"/>
      <c r="G9067" s="57"/>
      <c r="H9067" s="56"/>
      <c r="I9067" s="56"/>
      <c r="J9067" s="58"/>
      <c r="K9067" s="58"/>
      <c r="L9067" s="13" t="str">
        <f t="shared" si="1482"/>
        <v/>
      </c>
      <c r="M9067" s="13" t="str">
        <f t="shared" si="1483"/>
        <v/>
      </c>
      <c r="Q9067" t="str">
        <f t="shared" si="1484"/>
        <v/>
      </c>
      <c r="R9067" t="str">
        <f t="shared" si="1485"/>
        <v/>
      </c>
      <c r="S9067" t="str">
        <f t="shared" si="1486"/>
        <v/>
      </c>
      <c r="T9067" t="str">
        <f t="shared" si="1487"/>
        <v/>
      </c>
      <c r="U9067" t="str">
        <f t="shared" si="1488"/>
        <v/>
      </c>
      <c r="V9067" t="str">
        <f t="shared" si="1489"/>
        <v/>
      </c>
      <c r="W9067" t="str">
        <f t="shared" si="1490"/>
        <v/>
      </c>
      <c r="X9067">
        <f t="shared" si="1480"/>
        <v>0</v>
      </c>
      <c r="Z9067" t="str">
        <f t="shared" si="1491"/>
        <v/>
      </c>
      <c r="AA9067">
        <f t="shared" si="1481"/>
        <v>0</v>
      </c>
    </row>
    <row r="9068" spans="1:27" ht="21" customHeight="1" x14ac:dyDescent="0.95">
      <c r="A9068" s="56"/>
      <c r="B9068" s="57"/>
      <c r="C9068" s="57"/>
      <c r="D9068" s="57"/>
      <c r="E9068" s="56"/>
      <c r="F9068" s="57"/>
      <c r="G9068" s="57"/>
      <c r="H9068" s="56"/>
      <c r="I9068" s="56"/>
      <c r="J9068" s="58"/>
      <c r="K9068" s="58"/>
      <c r="L9068" s="13" t="str">
        <f t="shared" si="1482"/>
        <v/>
      </c>
      <c r="M9068" s="13" t="str">
        <f t="shared" si="1483"/>
        <v/>
      </c>
      <c r="Q9068" t="str">
        <f t="shared" si="1484"/>
        <v/>
      </c>
      <c r="R9068" t="str">
        <f t="shared" si="1485"/>
        <v/>
      </c>
      <c r="S9068" t="str">
        <f t="shared" si="1486"/>
        <v/>
      </c>
      <c r="T9068" t="str">
        <f t="shared" si="1487"/>
        <v/>
      </c>
      <c r="U9068" t="str">
        <f t="shared" si="1488"/>
        <v/>
      </c>
      <c r="V9068" t="str">
        <f t="shared" si="1489"/>
        <v/>
      </c>
      <c r="W9068" t="str">
        <f t="shared" si="1490"/>
        <v/>
      </c>
      <c r="X9068">
        <f t="shared" si="1480"/>
        <v>0</v>
      </c>
      <c r="Z9068" t="str">
        <f t="shared" si="1491"/>
        <v/>
      </c>
      <c r="AA9068">
        <f t="shared" si="1481"/>
        <v>0</v>
      </c>
    </row>
    <row r="9069" spans="1:27" ht="21" customHeight="1" x14ac:dyDescent="0.95">
      <c r="A9069" s="56"/>
      <c r="B9069" s="57"/>
      <c r="C9069" s="57"/>
      <c r="D9069" s="57"/>
      <c r="E9069" s="56"/>
      <c r="F9069" s="57"/>
      <c r="G9069" s="57"/>
      <c r="H9069" s="56"/>
      <c r="I9069" s="56"/>
      <c r="J9069" s="58"/>
      <c r="K9069" s="58"/>
      <c r="L9069" s="13" t="str">
        <f t="shared" si="1482"/>
        <v/>
      </c>
      <c r="M9069" s="13" t="str">
        <f t="shared" si="1483"/>
        <v/>
      </c>
      <c r="Q9069" t="str">
        <f t="shared" si="1484"/>
        <v/>
      </c>
      <c r="R9069" t="str">
        <f t="shared" si="1485"/>
        <v/>
      </c>
      <c r="S9069" t="str">
        <f t="shared" si="1486"/>
        <v/>
      </c>
      <c r="T9069" t="str">
        <f t="shared" si="1487"/>
        <v/>
      </c>
      <c r="U9069" t="str">
        <f t="shared" si="1488"/>
        <v/>
      </c>
      <c r="V9069" t="str">
        <f t="shared" si="1489"/>
        <v/>
      </c>
      <c r="W9069" t="str">
        <f t="shared" si="1490"/>
        <v/>
      </c>
      <c r="X9069">
        <f t="shared" si="1480"/>
        <v>0</v>
      </c>
      <c r="Z9069" t="str">
        <f t="shared" si="1491"/>
        <v/>
      </c>
      <c r="AA9069">
        <f t="shared" si="1481"/>
        <v>0</v>
      </c>
    </row>
    <row r="9070" spans="1:27" ht="21" customHeight="1" x14ac:dyDescent="0.95">
      <c r="A9070" s="56"/>
      <c r="B9070" s="57"/>
      <c r="C9070" s="57"/>
      <c r="D9070" s="57"/>
      <c r="E9070" s="56"/>
      <c r="F9070" s="57"/>
      <c r="G9070" s="57"/>
      <c r="H9070" s="56"/>
      <c r="I9070" s="56"/>
      <c r="J9070" s="58"/>
      <c r="K9070" s="58"/>
      <c r="L9070" s="13" t="str">
        <f t="shared" si="1482"/>
        <v/>
      </c>
      <c r="M9070" s="13" t="str">
        <f t="shared" si="1483"/>
        <v/>
      </c>
      <c r="Q9070" t="str">
        <f t="shared" si="1484"/>
        <v/>
      </c>
      <c r="R9070" t="str">
        <f t="shared" si="1485"/>
        <v/>
      </c>
      <c r="S9070" t="str">
        <f t="shared" si="1486"/>
        <v/>
      </c>
      <c r="T9070" t="str">
        <f t="shared" si="1487"/>
        <v/>
      </c>
      <c r="U9070" t="str">
        <f t="shared" si="1488"/>
        <v/>
      </c>
      <c r="V9070" t="str">
        <f t="shared" si="1489"/>
        <v/>
      </c>
      <c r="W9070" t="str">
        <f t="shared" si="1490"/>
        <v/>
      </c>
      <c r="X9070">
        <f t="shared" si="1480"/>
        <v>0</v>
      </c>
      <c r="Z9070" t="str">
        <f t="shared" si="1491"/>
        <v/>
      </c>
      <c r="AA9070">
        <f t="shared" si="1481"/>
        <v>0</v>
      </c>
    </row>
    <row r="9071" spans="1:27" ht="21" customHeight="1" x14ac:dyDescent="0.95">
      <c r="A9071" s="56"/>
      <c r="B9071" s="57"/>
      <c r="C9071" s="57"/>
      <c r="D9071" s="57"/>
      <c r="E9071" s="56"/>
      <c r="F9071" s="57"/>
      <c r="G9071" s="57"/>
      <c r="H9071" s="56"/>
      <c r="I9071" s="56"/>
      <c r="J9071" s="58"/>
      <c r="K9071" s="58"/>
      <c r="L9071" s="13" t="str">
        <f t="shared" si="1482"/>
        <v/>
      </c>
      <c r="M9071" s="13" t="str">
        <f t="shared" si="1483"/>
        <v/>
      </c>
      <c r="Q9071" t="str">
        <f t="shared" si="1484"/>
        <v/>
      </c>
      <c r="R9071" t="str">
        <f t="shared" si="1485"/>
        <v/>
      </c>
      <c r="S9071" t="str">
        <f t="shared" si="1486"/>
        <v/>
      </c>
      <c r="T9071" t="str">
        <f t="shared" si="1487"/>
        <v/>
      </c>
      <c r="U9071" t="str">
        <f t="shared" si="1488"/>
        <v/>
      </c>
      <c r="V9071" t="str">
        <f t="shared" si="1489"/>
        <v/>
      </c>
      <c r="W9071" t="str">
        <f t="shared" si="1490"/>
        <v/>
      </c>
      <c r="X9071">
        <f t="shared" si="1480"/>
        <v>0</v>
      </c>
      <c r="Z9071" t="str">
        <f t="shared" si="1491"/>
        <v/>
      </c>
      <c r="AA9071">
        <f t="shared" si="1481"/>
        <v>0</v>
      </c>
    </row>
    <row r="9072" spans="1:27" ht="21" customHeight="1" x14ac:dyDescent="0.95">
      <c r="A9072" s="56"/>
      <c r="B9072" s="57"/>
      <c r="C9072" s="57"/>
      <c r="D9072" s="57"/>
      <c r="E9072" s="56"/>
      <c r="F9072" s="57"/>
      <c r="G9072" s="57"/>
      <c r="H9072" s="56"/>
      <c r="I9072" s="56"/>
      <c r="J9072" s="58"/>
      <c r="K9072" s="58"/>
      <c r="L9072" s="13" t="str">
        <f t="shared" si="1482"/>
        <v/>
      </c>
      <c r="M9072" s="13" t="str">
        <f t="shared" si="1483"/>
        <v/>
      </c>
      <c r="Q9072" t="str">
        <f t="shared" si="1484"/>
        <v/>
      </c>
      <c r="R9072" t="str">
        <f t="shared" si="1485"/>
        <v/>
      </c>
      <c r="S9072" t="str">
        <f t="shared" si="1486"/>
        <v/>
      </c>
      <c r="T9072" t="str">
        <f t="shared" si="1487"/>
        <v/>
      </c>
      <c r="U9072" t="str">
        <f t="shared" si="1488"/>
        <v/>
      </c>
      <c r="V9072" t="str">
        <f t="shared" si="1489"/>
        <v/>
      </c>
      <c r="W9072" t="str">
        <f t="shared" si="1490"/>
        <v/>
      </c>
      <c r="X9072">
        <f t="shared" si="1480"/>
        <v>0</v>
      </c>
      <c r="Z9072" t="str">
        <f t="shared" si="1491"/>
        <v/>
      </c>
      <c r="AA9072">
        <f t="shared" si="1481"/>
        <v>0</v>
      </c>
    </row>
    <row r="9073" spans="1:27" ht="21" customHeight="1" x14ac:dyDescent="0.95">
      <c r="A9073" s="56"/>
      <c r="B9073" s="57"/>
      <c r="C9073" s="57"/>
      <c r="D9073" s="57"/>
      <c r="E9073" s="56"/>
      <c r="F9073" s="57"/>
      <c r="G9073" s="57"/>
      <c r="H9073" s="56"/>
      <c r="I9073" s="56"/>
      <c r="J9073" s="58"/>
      <c r="K9073" s="58"/>
      <c r="L9073" s="13" t="str">
        <f t="shared" si="1482"/>
        <v/>
      </c>
      <c r="M9073" s="13" t="str">
        <f t="shared" si="1483"/>
        <v/>
      </c>
      <c r="Q9073" t="str">
        <f t="shared" si="1484"/>
        <v/>
      </c>
      <c r="R9073" t="str">
        <f t="shared" si="1485"/>
        <v/>
      </c>
      <c r="S9073" t="str">
        <f t="shared" si="1486"/>
        <v/>
      </c>
      <c r="T9073" t="str">
        <f t="shared" si="1487"/>
        <v/>
      </c>
      <c r="U9073" t="str">
        <f t="shared" si="1488"/>
        <v/>
      </c>
      <c r="V9073" t="str">
        <f t="shared" si="1489"/>
        <v/>
      </c>
      <c r="W9073" t="str">
        <f t="shared" si="1490"/>
        <v/>
      </c>
      <c r="X9073">
        <f t="shared" si="1480"/>
        <v>0</v>
      </c>
      <c r="Z9073" t="str">
        <f t="shared" si="1491"/>
        <v/>
      </c>
      <c r="AA9073">
        <f t="shared" si="1481"/>
        <v>0</v>
      </c>
    </row>
    <row r="9074" spans="1:27" ht="21" customHeight="1" x14ac:dyDescent="0.95">
      <c r="A9074" s="56"/>
      <c r="B9074" s="57"/>
      <c r="C9074" s="57"/>
      <c r="D9074" s="57"/>
      <c r="E9074" s="56"/>
      <c r="F9074" s="57"/>
      <c r="G9074" s="57"/>
      <c r="H9074" s="56"/>
      <c r="I9074" s="56"/>
      <c r="J9074" s="58"/>
      <c r="K9074" s="58"/>
      <c r="L9074" s="13" t="str">
        <f t="shared" si="1482"/>
        <v/>
      </c>
      <c r="M9074" s="13" t="str">
        <f t="shared" si="1483"/>
        <v/>
      </c>
      <c r="Q9074" t="str">
        <f t="shared" si="1484"/>
        <v/>
      </c>
      <c r="R9074" t="str">
        <f t="shared" si="1485"/>
        <v/>
      </c>
      <c r="S9074" t="str">
        <f t="shared" si="1486"/>
        <v/>
      </c>
      <c r="T9074" t="str">
        <f t="shared" si="1487"/>
        <v/>
      </c>
      <c r="U9074" t="str">
        <f t="shared" si="1488"/>
        <v/>
      </c>
      <c r="V9074" t="str">
        <f t="shared" si="1489"/>
        <v/>
      </c>
      <c r="W9074" t="str">
        <f t="shared" si="1490"/>
        <v/>
      </c>
      <c r="X9074">
        <f t="shared" si="1480"/>
        <v>0</v>
      </c>
      <c r="Z9074" t="str">
        <f t="shared" si="1491"/>
        <v/>
      </c>
      <c r="AA9074">
        <f t="shared" si="1481"/>
        <v>0</v>
      </c>
    </row>
    <row r="9075" spans="1:27" ht="21" customHeight="1" x14ac:dyDescent="0.95">
      <c r="A9075" s="56"/>
      <c r="B9075" s="57"/>
      <c r="C9075" s="57"/>
      <c r="D9075" s="57"/>
      <c r="E9075" s="56"/>
      <c r="F9075" s="57"/>
      <c r="G9075" s="57"/>
      <c r="H9075" s="56"/>
      <c r="I9075" s="56"/>
      <c r="J9075" s="58"/>
      <c r="K9075" s="58"/>
      <c r="L9075" s="13" t="str">
        <f t="shared" si="1482"/>
        <v/>
      </c>
      <c r="M9075" s="13" t="str">
        <f t="shared" si="1483"/>
        <v/>
      </c>
      <c r="Q9075" t="str">
        <f t="shared" si="1484"/>
        <v/>
      </c>
      <c r="R9075" t="str">
        <f t="shared" si="1485"/>
        <v/>
      </c>
      <c r="S9075" t="str">
        <f t="shared" si="1486"/>
        <v/>
      </c>
      <c r="T9075" t="str">
        <f t="shared" si="1487"/>
        <v/>
      </c>
      <c r="U9075" t="str">
        <f t="shared" si="1488"/>
        <v/>
      </c>
      <c r="V9075" t="str">
        <f t="shared" si="1489"/>
        <v/>
      </c>
      <c r="W9075" t="str">
        <f t="shared" si="1490"/>
        <v/>
      </c>
      <c r="X9075">
        <f t="shared" si="1480"/>
        <v>0</v>
      </c>
      <c r="Z9075" t="str">
        <f t="shared" si="1491"/>
        <v/>
      </c>
      <c r="AA9075">
        <f t="shared" si="1481"/>
        <v>0</v>
      </c>
    </row>
    <row r="9076" spans="1:27" ht="21" customHeight="1" x14ac:dyDescent="0.95">
      <c r="A9076" s="56"/>
      <c r="B9076" s="57"/>
      <c r="C9076" s="57"/>
      <c r="D9076" s="57"/>
      <c r="E9076" s="56"/>
      <c r="F9076" s="57"/>
      <c r="G9076" s="57"/>
      <c r="H9076" s="56"/>
      <c r="I9076" s="56"/>
      <c r="J9076" s="58"/>
      <c r="K9076" s="58"/>
      <c r="L9076" s="13" t="str">
        <f t="shared" si="1482"/>
        <v/>
      </c>
      <c r="M9076" s="13" t="str">
        <f t="shared" si="1483"/>
        <v/>
      </c>
      <c r="Q9076" t="str">
        <f t="shared" si="1484"/>
        <v/>
      </c>
      <c r="R9076" t="str">
        <f t="shared" si="1485"/>
        <v/>
      </c>
      <c r="S9076" t="str">
        <f t="shared" si="1486"/>
        <v/>
      </c>
      <c r="T9076" t="str">
        <f t="shared" si="1487"/>
        <v/>
      </c>
      <c r="U9076" t="str">
        <f t="shared" si="1488"/>
        <v/>
      </c>
      <c r="V9076" t="str">
        <f t="shared" si="1489"/>
        <v/>
      </c>
      <c r="W9076" t="str">
        <f t="shared" si="1490"/>
        <v/>
      </c>
      <c r="X9076">
        <f t="shared" si="1480"/>
        <v>0</v>
      </c>
      <c r="Z9076" t="str">
        <f t="shared" si="1491"/>
        <v/>
      </c>
      <c r="AA9076">
        <f t="shared" si="1481"/>
        <v>0</v>
      </c>
    </row>
    <row r="9077" spans="1:27" ht="21" customHeight="1" x14ac:dyDescent="0.95">
      <c r="A9077" s="56"/>
      <c r="B9077" s="57"/>
      <c r="C9077" s="57"/>
      <c r="D9077" s="57"/>
      <c r="E9077" s="56"/>
      <c r="F9077" s="57"/>
      <c r="G9077" s="57"/>
      <c r="H9077" s="56"/>
      <c r="I9077" s="56"/>
      <c r="J9077" s="58"/>
      <c r="K9077" s="58"/>
      <c r="L9077" s="13" t="str">
        <f t="shared" si="1482"/>
        <v/>
      </c>
      <c r="M9077" s="13" t="str">
        <f t="shared" si="1483"/>
        <v/>
      </c>
      <c r="Q9077" t="str">
        <f t="shared" si="1484"/>
        <v/>
      </c>
      <c r="R9077" t="str">
        <f t="shared" si="1485"/>
        <v/>
      </c>
      <c r="S9077" t="str">
        <f t="shared" si="1486"/>
        <v/>
      </c>
      <c r="T9077" t="str">
        <f t="shared" si="1487"/>
        <v/>
      </c>
      <c r="U9077" t="str">
        <f t="shared" si="1488"/>
        <v/>
      </c>
      <c r="V9077" t="str">
        <f t="shared" si="1489"/>
        <v/>
      </c>
      <c r="W9077" t="str">
        <f t="shared" si="1490"/>
        <v/>
      </c>
      <c r="X9077">
        <f t="shared" ref="X9077:X9140" si="1492">IF($T9077="",N($X9076),IF(MATCH($T9077,$T$6:$T$10005,0)=ROW()-5,N($X9076)+1,N($X9076)))</f>
        <v>0</v>
      </c>
      <c r="Z9077" t="str">
        <f t="shared" si="1491"/>
        <v/>
      </c>
      <c r="AA9077">
        <f t="shared" ref="AA9077:AA9140" si="1493">IF($V9077="",N($AA9076),IF(MATCH($V9077,$V$6:$V$10005,0)=ROW()-5,N($AA9076)+1,N($AA9076)))</f>
        <v>0</v>
      </c>
    </row>
    <row r="9078" spans="1:27" ht="21" customHeight="1" x14ac:dyDescent="0.95">
      <c r="A9078" s="56"/>
      <c r="B9078" s="57"/>
      <c r="C9078" s="57"/>
      <c r="D9078" s="57"/>
      <c r="E9078" s="56"/>
      <c r="F9078" s="57"/>
      <c r="G9078" s="57"/>
      <c r="H9078" s="56"/>
      <c r="I9078" s="56"/>
      <c r="J9078" s="58"/>
      <c r="K9078" s="58"/>
      <c r="L9078" s="13" t="str">
        <f t="shared" si="1482"/>
        <v/>
      </c>
      <c r="M9078" s="13" t="str">
        <f t="shared" si="1483"/>
        <v/>
      </c>
      <c r="Q9078" t="str">
        <f t="shared" si="1484"/>
        <v/>
      </c>
      <c r="R9078" t="str">
        <f t="shared" si="1485"/>
        <v/>
      </c>
      <c r="S9078" t="str">
        <f t="shared" si="1486"/>
        <v/>
      </c>
      <c r="T9078" t="str">
        <f t="shared" si="1487"/>
        <v/>
      </c>
      <c r="U9078" t="str">
        <f t="shared" si="1488"/>
        <v/>
      </c>
      <c r="V9078" t="str">
        <f t="shared" si="1489"/>
        <v/>
      </c>
      <c r="W9078" t="str">
        <f t="shared" si="1490"/>
        <v/>
      </c>
      <c r="X9078">
        <f t="shared" si="1492"/>
        <v>0</v>
      </c>
      <c r="Z9078" t="str">
        <f t="shared" si="1491"/>
        <v/>
      </c>
      <c r="AA9078">
        <f t="shared" si="1493"/>
        <v>0</v>
      </c>
    </row>
    <row r="9079" spans="1:27" ht="21" customHeight="1" x14ac:dyDescent="0.95">
      <c r="A9079" s="56"/>
      <c r="B9079" s="57"/>
      <c r="C9079" s="57"/>
      <c r="D9079" s="57"/>
      <c r="E9079" s="56"/>
      <c r="F9079" s="57"/>
      <c r="G9079" s="57"/>
      <c r="H9079" s="56"/>
      <c r="I9079" s="56"/>
      <c r="J9079" s="58"/>
      <c r="K9079" s="58"/>
      <c r="L9079" s="13" t="str">
        <f t="shared" si="1482"/>
        <v/>
      </c>
      <c r="M9079" s="13" t="str">
        <f t="shared" si="1483"/>
        <v/>
      </c>
      <c r="Q9079" t="str">
        <f t="shared" si="1484"/>
        <v/>
      </c>
      <c r="R9079" t="str">
        <f t="shared" si="1485"/>
        <v/>
      </c>
      <c r="S9079" t="str">
        <f t="shared" si="1486"/>
        <v/>
      </c>
      <c r="T9079" t="str">
        <f t="shared" si="1487"/>
        <v/>
      </c>
      <c r="U9079" t="str">
        <f t="shared" si="1488"/>
        <v/>
      </c>
      <c r="V9079" t="str">
        <f t="shared" si="1489"/>
        <v/>
      </c>
      <c r="W9079" t="str">
        <f t="shared" si="1490"/>
        <v/>
      </c>
      <c r="X9079">
        <f t="shared" si="1492"/>
        <v>0</v>
      </c>
      <c r="Z9079" t="str">
        <f t="shared" si="1491"/>
        <v/>
      </c>
      <c r="AA9079">
        <f t="shared" si="1493"/>
        <v>0</v>
      </c>
    </row>
    <row r="9080" spans="1:27" ht="21" customHeight="1" x14ac:dyDescent="0.95">
      <c r="A9080" s="56"/>
      <c r="B9080" s="57"/>
      <c r="C9080" s="57"/>
      <c r="D9080" s="57"/>
      <c r="E9080" s="56"/>
      <c r="F9080" s="57"/>
      <c r="G9080" s="57"/>
      <c r="H9080" s="56"/>
      <c r="I9080" s="56"/>
      <c r="J9080" s="58"/>
      <c r="K9080" s="58"/>
      <c r="L9080" s="13" t="str">
        <f t="shared" si="1482"/>
        <v/>
      </c>
      <c r="M9080" s="13" t="str">
        <f t="shared" si="1483"/>
        <v/>
      </c>
      <c r="Q9080" t="str">
        <f t="shared" si="1484"/>
        <v/>
      </c>
      <c r="R9080" t="str">
        <f t="shared" si="1485"/>
        <v/>
      </c>
      <c r="S9080" t="str">
        <f t="shared" si="1486"/>
        <v/>
      </c>
      <c r="T9080" t="str">
        <f t="shared" si="1487"/>
        <v/>
      </c>
      <c r="U9080" t="str">
        <f t="shared" si="1488"/>
        <v/>
      </c>
      <c r="V9080" t="str">
        <f t="shared" si="1489"/>
        <v/>
      </c>
      <c r="W9080" t="str">
        <f t="shared" si="1490"/>
        <v/>
      </c>
      <c r="X9080">
        <f t="shared" si="1492"/>
        <v>0</v>
      </c>
      <c r="Z9080" t="str">
        <f t="shared" si="1491"/>
        <v/>
      </c>
      <c r="AA9080">
        <f t="shared" si="1493"/>
        <v>0</v>
      </c>
    </row>
    <row r="9081" spans="1:27" ht="21" customHeight="1" x14ac:dyDescent="0.95">
      <c r="A9081" s="56"/>
      <c r="B9081" s="57"/>
      <c r="C9081" s="57"/>
      <c r="D9081" s="57"/>
      <c r="E9081" s="56"/>
      <c r="F9081" s="57"/>
      <c r="G9081" s="57"/>
      <c r="H9081" s="56"/>
      <c r="I9081" s="56"/>
      <c r="J9081" s="58"/>
      <c r="K9081" s="58"/>
      <c r="L9081" s="13" t="str">
        <f t="shared" si="1482"/>
        <v/>
      </c>
      <c r="M9081" s="13" t="str">
        <f t="shared" si="1483"/>
        <v/>
      </c>
      <c r="Q9081" t="str">
        <f t="shared" si="1484"/>
        <v/>
      </c>
      <c r="R9081" t="str">
        <f t="shared" si="1485"/>
        <v/>
      </c>
      <c r="S9081" t="str">
        <f t="shared" si="1486"/>
        <v/>
      </c>
      <c r="T9081" t="str">
        <f t="shared" si="1487"/>
        <v/>
      </c>
      <c r="U9081" t="str">
        <f t="shared" si="1488"/>
        <v/>
      </c>
      <c r="V9081" t="str">
        <f t="shared" si="1489"/>
        <v/>
      </c>
      <c r="W9081" t="str">
        <f t="shared" si="1490"/>
        <v/>
      </c>
      <c r="X9081">
        <f t="shared" si="1492"/>
        <v>0</v>
      </c>
      <c r="Z9081" t="str">
        <f t="shared" si="1491"/>
        <v/>
      </c>
      <c r="AA9081">
        <f t="shared" si="1493"/>
        <v>0</v>
      </c>
    </row>
    <row r="9082" spans="1:27" ht="21" customHeight="1" x14ac:dyDescent="0.95">
      <c r="A9082" s="56"/>
      <c r="B9082" s="57"/>
      <c r="C9082" s="57"/>
      <c r="D9082" s="57"/>
      <c r="E9082" s="56"/>
      <c r="F9082" s="57"/>
      <c r="G9082" s="57"/>
      <c r="H9082" s="56"/>
      <c r="I9082" s="56"/>
      <c r="J9082" s="58"/>
      <c r="K9082" s="58"/>
      <c r="L9082" s="13" t="str">
        <f t="shared" si="1482"/>
        <v/>
      </c>
      <c r="M9082" s="13" t="str">
        <f t="shared" si="1483"/>
        <v/>
      </c>
      <c r="Q9082" t="str">
        <f t="shared" si="1484"/>
        <v/>
      </c>
      <c r="R9082" t="str">
        <f t="shared" si="1485"/>
        <v/>
      </c>
      <c r="S9082" t="str">
        <f t="shared" si="1486"/>
        <v/>
      </c>
      <c r="T9082" t="str">
        <f t="shared" si="1487"/>
        <v/>
      </c>
      <c r="U9082" t="str">
        <f t="shared" si="1488"/>
        <v/>
      </c>
      <c r="V9082" t="str">
        <f t="shared" si="1489"/>
        <v/>
      </c>
      <c r="W9082" t="str">
        <f t="shared" si="1490"/>
        <v/>
      </c>
      <c r="X9082">
        <f t="shared" si="1492"/>
        <v>0</v>
      </c>
      <c r="Z9082" t="str">
        <f t="shared" si="1491"/>
        <v/>
      </c>
      <c r="AA9082">
        <f t="shared" si="1493"/>
        <v>0</v>
      </c>
    </row>
    <row r="9083" spans="1:27" ht="21" customHeight="1" x14ac:dyDescent="0.95">
      <c r="A9083" s="56"/>
      <c r="B9083" s="57"/>
      <c r="C9083" s="57"/>
      <c r="D9083" s="57"/>
      <c r="E9083" s="56"/>
      <c r="F9083" s="57"/>
      <c r="G9083" s="57"/>
      <c r="H9083" s="56"/>
      <c r="I9083" s="56"/>
      <c r="J9083" s="58"/>
      <c r="K9083" s="58"/>
      <c r="L9083" s="13" t="str">
        <f t="shared" si="1482"/>
        <v/>
      </c>
      <c r="M9083" s="13" t="str">
        <f t="shared" si="1483"/>
        <v/>
      </c>
      <c r="Q9083" t="str">
        <f t="shared" si="1484"/>
        <v/>
      </c>
      <c r="R9083" t="str">
        <f t="shared" si="1485"/>
        <v/>
      </c>
      <c r="S9083" t="str">
        <f t="shared" si="1486"/>
        <v/>
      </c>
      <c r="T9083" t="str">
        <f t="shared" si="1487"/>
        <v/>
      </c>
      <c r="U9083" t="str">
        <f t="shared" si="1488"/>
        <v/>
      </c>
      <c r="V9083" t="str">
        <f t="shared" si="1489"/>
        <v/>
      </c>
      <c r="W9083" t="str">
        <f t="shared" si="1490"/>
        <v/>
      </c>
      <c r="X9083">
        <f t="shared" si="1492"/>
        <v>0</v>
      </c>
      <c r="Z9083" t="str">
        <f t="shared" si="1491"/>
        <v/>
      </c>
      <c r="AA9083">
        <f t="shared" si="1493"/>
        <v>0</v>
      </c>
    </row>
    <row r="9084" spans="1:27" ht="21" customHeight="1" x14ac:dyDescent="0.95">
      <c r="A9084" s="56"/>
      <c r="B9084" s="57"/>
      <c r="C9084" s="57"/>
      <c r="D9084" s="57"/>
      <c r="E9084" s="56"/>
      <c r="F9084" s="57"/>
      <c r="G9084" s="57"/>
      <c r="H9084" s="56"/>
      <c r="I9084" s="56"/>
      <c r="J9084" s="58"/>
      <c r="K9084" s="58"/>
      <c r="L9084" s="13" t="str">
        <f t="shared" si="1482"/>
        <v/>
      </c>
      <c r="M9084" s="13" t="str">
        <f t="shared" si="1483"/>
        <v/>
      </c>
      <c r="Q9084" t="str">
        <f t="shared" si="1484"/>
        <v/>
      </c>
      <c r="R9084" t="str">
        <f t="shared" si="1485"/>
        <v/>
      </c>
      <c r="S9084" t="str">
        <f t="shared" si="1486"/>
        <v/>
      </c>
      <c r="T9084" t="str">
        <f t="shared" si="1487"/>
        <v/>
      </c>
      <c r="U9084" t="str">
        <f t="shared" si="1488"/>
        <v/>
      </c>
      <c r="V9084" t="str">
        <f t="shared" si="1489"/>
        <v/>
      </c>
      <c r="W9084" t="str">
        <f t="shared" si="1490"/>
        <v/>
      </c>
      <c r="X9084">
        <f t="shared" si="1492"/>
        <v>0</v>
      </c>
      <c r="Z9084" t="str">
        <f t="shared" si="1491"/>
        <v/>
      </c>
      <c r="AA9084">
        <f t="shared" si="1493"/>
        <v>0</v>
      </c>
    </row>
    <row r="9085" spans="1:27" ht="21" customHeight="1" x14ac:dyDescent="0.95">
      <c r="A9085" s="56"/>
      <c r="B9085" s="57"/>
      <c r="C9085" s="57"/>
      <c r="D9085" s="57"/>
      <c r="E9085" s="56"/>
      <c r="F9085" s="57"/>
      <c r="G9085" s="57"/>
      <c r="H9085" s="56"/>
      <c r="I9085" s="56"/>
      <c r="J9085" s="58"/>
      <c r="K9085" s="58"/>
      <c r="L9085" s="13" t="str">
        <f t="shared" si="1482"/>
        <v/>
      </c>
      <c r="M9085" s="13" t="str">
        <f t="shared" si="1483"/>
        <v/>
      </c>
      <c r="Q9085" t="str">
        <f t="shared" si="1484"/>
        <v/>
      </c>
      <c r="R9085" t="str">
        <f t="shared" si="1485"/>
        <v/>
      </c>
      <c r="S9085" t="str">
        <f t="shared" si="1486"/>
        <v/>
      </c>
      <c r="T9085" t="str">
        <f t="shared" si="1487"/>
        <v/>
      </c>
      <c r="U9085" t="str">
        <f t="shared" si="1488"/>
        <v/>
      </c>
      <c r="V9085" t="str">
        <f t="shared" si="1489"/>
        <v/>
      </c>
      <c r="W9085" t="str">
        <f t="shared" si="1490"/>
        <v/>
      </c>
      <c r="X9085">
        <f t="shared" si="1492"/>
        <v>0</v>
      </c>
      <c r="Z9085" t="str">
        <f t="shared" si="1491"/>
        <v/>
      </c>
      <c r="AA9085">
        <f t="shared" si="1493"/>
        <v>0</v>
      </c>
    </row>
    <row r="9086" spans="1:27" ht="21" customHeight="1" x14ac:dyDescent="0.95">
      <c r="A9086" s="56"/>
      <c r="B9086" s="57"/>
      <c r="C9086" s="57"/>
      <c r="D9086" s="57"/>
      <c r="E9086" s="56"/>
      <c r="F9086" s="57"/>
      <c r="G9086" s="57"/>
      <c r="H9086" s="56"/>
      <c r="I9086" s="56"/>
      <c r="J9086" s="58"/>
      <c r="K9086" s="58"/>
      <c r="L9086" s="13" t="str">
        <f t="shared" si="1482"/>
        <v/>
      </c>
      <c r="M9086" s="13" t="str">
        <f t="shared" si="1483"/>
        <v/>
      </c>
      <c r="Q9086" t="str">
        <f t="shared" si="1484"/>
        <v/>
      </c>
      <c r="R9086" t="str">
        <f t="shared" si="1485"/>
        <v/>
      </c>
      <c r="S9086" t="str">
        <f t="shared" si="1486"/>
        <v/>
      </c>
      <c r="T9086" t="str">
        <f t="shared" si="1487"/>
        <v/>
      </c>
      <c r="U9086" t="str">
        <f t="shared" si="1488"/>
        <v/>
      </c>
      <c r="V9086" t="str">
        <f t="shared" si="1489"/>
        <v/>
      </c>
      <c r="W9086" t="str">
        <f t="shared" si="1490"/>
        <v/>
      </c>
      <c r="X9086">
        <f t="shared" si="1492"/>
        <v>0</v>
      </c>
      <c r="Z9086" t="str">
        <f t="shared" si="1491"/>
        <v/>
      </c>
      <c r="AA9086">
        <f t="shared" si="1493"/>
        <v>0</v>
      </c>
    </row>
    <row r="9087" spans="1:27" ht="21" customHeight="1" x14ac:dyDescent="0.95">
      <c r="A9087" s="56"/>
      <c r="B9087" s="57"/>
      <c r="C9087" s="57"/>
      <c r="D9087" s="57"/>
      <c r="E9087" s="56"/>
      <c r="F9087" s="57"/>
      <c r="G9087" s="57"/>
      <c r="H9087" s="56"/>
      <c r="I9087" s="56"/>
      <c r="J9087" s="58"/>
      <c r="K9087" s="58"/>
      <c r="L9087" s="13" t="str">
        <f t="shared" si="1482"/>
        <v/>
      </c>
      <c r="M9087" s="13" t="str">
        <f t="shared" si="1483"/>
        <v/>
      </c>
      <c r="Q9087" t="str">
        <f t="shared" si="1484"/>
        <v/>
      </c>
      <c r="R9087" t="str">
        <f t="shared" si="1485"/>
        <v/>
      </c>
      <c r="S9087" t="str">
        <f t="shared" si="1486"/>
        <v/>
      </c>
      <c r="T9087" t="str">
        <f t="shared" si="1487"/>
        <v/>
      </c>
      <c r="U9087" t="str">
        <f t="shared" si="1488"/>
        <v/>
      </c>
      <c r="V9087" t="str">
        <f t="shared" si="1489"/>
        <v/>
      </c>
      <c r="W9087" t="str">
        <f t="shared" si="1490"/>
        <v/>
      </c>
      <c r="X9087">
        <f t="shared" si="1492"/>
        <v>0</v>
      </c>
      <c r="Z9087" t="str">
        <f t="shared" si="1491"/>
        <v/>
      </c>
      <c r="AA9087">
        <f t="shared" si="1493"/>
        <v>0</v>
      </c>
    </row>
    <row r="9088" spans="1:27" ht="21" customHeight="1" x14ac:dyDescent="0.95">
      <c r="A9088" s="56"/>
      <c r="B9088" s="57"/>
      <c r="C9088" s="57"/>
      <c r="D9088" s="57"/>
      <c r="E9088" s="56"/>
      <c r="F9088" s="57"/>
      <c r="G9088" s="57"/>
      <c r="H9088" s="56"/>
      <c r="I9088" s="56"/>
      <c r="J9088" s="58"/>
      <c r="K9088" s="58"/>
      <c r="L9088" s="13" t="str">
        <f t="shared" si="1482"/>
        <v/>
      </c>
      <c r="M9088" s="13" t="str">
        <f t="shared" si="1483"/>
        <v/>
      </c>
      <c r="Q9088" t="str">
        <f t="shared" si="1484"/>
        <v/>
      </c>
      <c r="R9088" t="str">
        <f t="shared" si="1485"/>
        <v/>
      </c>
      <c r="S9088" t="str">
        <f t="shared" si="1486"/>
        <v/>
      </c>
      <c r="T9088" t="str">
        <f t="shared" si="1487"/>
        <v/>
      </c>
      <c r="U9088" t="str">
        <f t="shared" si="1488"/>
        <v/>
      </c>
      <c r="V9088" t="str">
        <f t="shared" si="1489"/>
        <v/>
      </c>
      <c r="W9088" t="str">
        <f t="shared" si="1490"/>
        <v/>
      </c>
      <c r="X9088">
        <f t="shared" si="1492"/>
        <v>0</v>
      </c>
      <c r="Z9088" t="str">
        <f t="shared" si="1491"/>
        <v/>
      </c>
      <c r="AA9088">
        <f t="shared" si="1493"/>
        <v>0</v>
      </c>
    </row>
    <row r="9089" spans="1:27" ht="21" customHeight="1" x14ac:dyDescent="0.95">
      <c r="A9089" s="56"/>
      <c r="B9089" s="57"/>
      <c r="C9089" s="57"/>
      <c r="D9089" s="57"/>
      <c r="E9089" s="56"/>
      <c r="F9089" s="57"/>
      <c r="G9089" s="57"/>
      <c r="H9089" s="56"/>
      <c r="I9089" s="56"/>
      <c r="J9089" s="58"/>
      <c r="K9089" s="58"/>
      <c r="L9089" s="13" t="str">
        <f t="shared" si="1482"/>
        <v/>
      </c>
      <c r="M9089" s="13" t="str">
        <f t="shared" si="1483"/>
        <v/>
      </c>
      <c r="Q9089" t="str">
        <f t="shared" si="1484"/>
        <v/>
      </c>
      <c r="R9089" t="str">
        <f t="shared" si="1485"/>
        <v/>
      </c>
      <c r="S9089" t="str">
        <f t="shared" si="1486"/>
        <v/>
      </c>
      <c r="T9089" t="str">
        <f t="shared" si="1487"/>
        <v/>
      </c>
      <c r="U9089" t="str">
        <f t="shared" si="1488"/>
        <v/>
      </c>
      <c r="V9089" t="str">
        <f t="shared" si="1489"/>
        <v/>
      </c>
      <c r="W9089" t="str">
        <f t="shared" si="1490"/>
        <v/>
      </c>
      <c r="X9089">
        <f t="shared" si="1492"/>
        <v>0</v>
      </c>
      <c r="Z9089" t="str">
        <f t="shared" si="1491"/>
        <v/>
      </c>
      <c r="AA9089">
        <f t="shared" si="1493"/>
        <v>0</v>
      </c>
    </row>
    <row r="9090" spans="1:27" ht="21" customHeight="1" x14ac:dyDescent="0.95">
      <c r="A9090" s="56"/>
      <c r="B9090" s="57"/>
      <c r="C9090" s="57"/>
      <c r="D9090" s="57"/>
      <c r="E9090" s="56"/>
      <c r="F9090" s="57"/>
      <c r="G9090" s="57"/>
      <c r="H9090" s="56"/>
      <c r="I9090" s="56"/>
      <c r="J9090" s="58"/>
      <c r="K9090" s="58"/>
      <c r="L9090" s="13" t="str">
        <f t="shared" si="1482"/>
        <v/>
      </c>
      <c r="M9090" s="13" t="str">
        <f t="shared" si="1483"/>
        <v/>
      </c>
      <c r="Q9090" t="str">
        <f t="shared" si="1484"/>
        <v/>
      </c>
      <c r="R9090" t="str">
        <f t="shared" si="1485"/>
        <v/>
      </c>
      <c r="S9090" t="str">
        <f t="shared" si="1486"/>
        <v/>
      </c>
      <c r="T9090" t="str">
        <f t="shared" si="1487"/>
        <v/>
      </c>
      <c r="U9090" t="str">
        <f t="shared" si="1488"/>
        <v/>
      </c>
      <c r="V9090" t="str">
        <f t="shared" si="1489"/>
        <v/>
      </c>
      <c r="W9090" t="str">
        <f t="shared" si="1490"/>
        <v/>
      </c>
      <c r="X9090">
        <f t="shared" si="1492"/>
        <v>0</v>
      </c>
      <c r="Z9090" t="str">
        <f t="shared" si="1491"/>
        <v/>
      </c>
      <c r="AA9090">
        <f t="shared" si="1493"/>
        <v>0</v>
      </c>
    </row>
    <row r="9091" spans="1:27" ht="21" customHeight="1" x14ac:dyDescent="0.95">
      <c r="A9091" s="56"/>
      <c r="B9091" s="57"/>
      <c r="C9091" s="57"/>
      <c r="D9091" s="57"/>
      <c r="E9091" s="56"/>
      <c r="F9091" s="57"/>
      <c r="G9091" s="57"/>
      <c r="H9091" s="56"/>
      <c r="I9091" s="56"/>
      <c r="J9091" s="58"/>
      <c r="K9091" s="58"/>
      <c r="L9091" s="13" t="str">
        <f t="shared" si="1482"/>
        <v/>
      </c>
      <c r="M9091" s="13" t="str">
        <f t="shared" si="1483"/>
        <v/>
      </c>
      <c r="Q9091" t="str">
        <f t="shared" si="1484"/>
        <v/>
      </c>
      <c r="R9091" t="str">
        <f t="shared" si="1485"/>
        <v/>
      </c>
      <c r="S9091" t="str">
        <f t="shared" si="1486"/>
        <v/>
      </c>
      <c r="T9091" t="str">
        <f t="shared" si="1487"/>
        <v/>
      </c>
      <c r="U9091" t="str">
        <f t="shared" si="1488"/>
        <v/>
      </c>
      <c r="V9091" t="str">
        <f t="shared" si="1489"/>
        <v/>
      </c>
      <c r="W9091" t="str">
        <f t="shared" si="1490"/>
        <v/>
      </c>
      <c r="X9091">
        <f t="shared" si="1492"/>
        <v>0</v>
      </c>
      <c r="Z9091" t="str">
        <f t="shared" si="1491"/>
        <v/>
      </c>
      <c r="AA9091">
        <f t="shared" si="1493"/>
        <v>0</v>
      </c>
    </row>
    <row r="9092" spans="1:27" ht="21" customHeight="1" x14ac:dyDescent="0.95">
      <c r="A9092" s="56"/>
      <c r="B9092" s="57"/>
      <c r="C9092" s="57"/>
      <c r="D9092" s="57"/>
      <c r="E9092" s="56"/>
      <c r="F9092" s="57"/>
      <c r="G9092" s="57"/>
      <c r="H9092" s="56"/>
      <c r="I9092" s="56"/>
      <c r="J9092" s="58"/>
      <c r="K9092" s="58"/>
      <c r="L9092" s="13" t="str">
        <f t="shared" ref="L9092:L9155" si="1494">IF(OR($A9092="",AND($J9092="",$K9092="")),"",ROUND(N($J9092)-N($K9092),2))</f>
        <v/>
      </c>
      <c r="M9092" s="13" t="str">
        <f t="shared" ref="M9092:M9155" si="1495">IF(OR($A9092="",AND($J9092="",$K9092="")),"",MIN($J9092,$K9092))</f>
        <v/>
      </c>
      <c r="Q9092" t="str">
        <f t="shared" ref="Q9092:Q9155" si="1496">IF($A9092="","",$D9092&amp;"("&amp;SUBSTITUTE($E9092," ","")&amp;")")</f>
        <v/>
      </c>
      <c r="R9092" t="str">
        <f t="shared" ref="R9092:R9155" si="1497">IF($A9092="","",$B9092&amp;" - "&amp;$C9092)</f>
        <v/>
      </c>
      <c r="S9092" t="str">
        <f t="shared" ref="S9092:S9155" si="1498">IF($A9092="","",$R9092&amp;"|"&amp;$Q9092)</f>
        <v/>
      </c>
      <c r="T9092" t="str">
        <f t="shared" ref="T9092:T9155" si="1499">IF($A9092="","",$S9092&amp;"|"&amp;$F9092)</f>
        <v/>
      </c>
      <c r="U9092" t="str">
        <f t="shared" ref="U9092:U9155" si="1500">IF($A9092="","",$R9092&amp;"("&amp;$E9092&amp;")")</f>
        <v/>
      </c>
      <c r="V9092" t="str">
        <f t="shared" ref="V9092:V9155" si="1501">IF($A9092="","",$F9092&amp;"|"&amp;$U9092&amp;"|"&amp;$D9092)</f>
        <v/>
      </c>
      <c r="W9092" t="str">
        <f t="shared" si="1490"/>
        <v/>
      </c>
      <c r="X9092">
        <f t="shared" si="1492"/>
        <v>0</v>
      </c>
      <c r="Z9092" t="str">
        <f t="shared" si="1491"/>
        <v/>
      </c>
      <c r="AA9092">
        <f t="shared" si="1493"/>
        <v>0</v>
      </c>
    </row>
    <row r="9093" spans="1:27" ht="21" customHeight="1" x14ac:dyDescent="0.95">
      <c r="A9093" s="56"/>
      <c r="B9093" s="57"/>
      <c r="C9093" s="57"/>
      <c r="D9093" s="57"/>
      <c r="E9093" s="56"/>
      <c r="F9093" s="57"/>
      <c r="G9093" s="57"/>
      <c r="H9093" s="56"/>
      <c r="I9093" s="56"/>
      <c r="J9093" s="58"/>
      <c r="K9093" s="58"/>
      <c r="L9093" s="13" t="str">
        <f t="shared" si="1494"/>
        <v/>
      </c>
      <c r="M9093" s="13" t="str">
        <f t="shared" si="1495"/>
        <v/>
      </c>
      <c r="Q9093" t="str">
        <f t="shared" si="1496"/>
        <v/>
      </c>
      <c r="R9093" t="str">
        <f t="shared" si="1497"/>
        <v/>
      </c>
      <c r="S9093" t="str">
        <f t="shared" si="1498"/>
        <v/>
      </c>
      <c r="T9093" t="str">
        <f t="shared" si="1499"/>
        <v/>
      </c>
      <c r="U9093" t="str">
        <f t="shared" si="1500"/>
        <v/>
      </c>
      <c r="V9093" t="str">
        <f t="shared" si="1501"/>
        <v/>
      </c>
      <c r="W9093" t="str">
        <f t="shared" si="1490"/>
        <v/>
      </c>
      <c r="X9093">
        <f t="shared" si="1492"/>
        <v>0</v>
      </c>
      <c r="Z9093" t="str">
        <f t="shared" si="1491"/>
        <v/>
      </c>
      <c r="AA9093">
        <f t="shared" si="1493"/>
        <v>0</v>
      </c>
    </row>
    <row r="9094" spans="1:27" ht="21" customHeight="1" x14ac:dyDescent="0.95">
      <c r="A9094" s="56"/>
      <c r="B9094" s="57"/>
      <c r="C9094" s="57"/>
      <c r="D9094" s="57"/>
      <c r="E9094" s="56"/>
      <c r="F9094" s="57"/>
      <c r="G9094" s="57"/>
      <c r="H9094" s="56"/>
      <c r="I9094" s="56"/>
      <c r="J9094" s="58"/>
      <c r="K9094" s="58"/>
      <c r="L9094" s="13" t="str">
        <f t="shared" si="1494"/>
        <v/>
      </c>
      <c r="M9094" s="13" t="str">
        <f t="shared" si="1495"/>
        <v/>
      </c>
      <c r="Q9094" t="str">
        <f t="shared" si="1496"/>
        <v/>
      </c>
      <c r="R9094" t="str">
        <f t="shared" si="1497"/>
        <v/>
      </c>
      <c r="S9094" t="str">
        <f t="shared" si="1498"/>
        <v/>
      </c>
      <c r="T9094" t="str">
        <f t="shared" si="1499"/>
        <v/>
      </c>
      <c r="U9094" t="str">
        <f t="shared" si="1500"/>
        <v/>
      </c>
      <c r="V9094" t="str">
        <f t="shared" si="1501"/>
        <v/>
      </c>
      <c r="W9094" t="str">
        <f t="shared" ref="W9094:W9157" si="1502">IF($T9094="","",IF($X9094&gt;N($X9093),$X9094,""))</f>
        <v/>
      </c>
      <c r="X9094">
        <f t="shared" si="1492"/>
        <v>0</v>
      </c>
      <c r="Z9094" t="str">
        <f t="shared" ref="Z9094:Z9157" si="1503">IF($V9094="","",IF($AA9094&gt;N($AA9093),$AA9094,""))</f>
        <v/>
      </c>
      <c r="AA9094">
        <f t="shared" si="1493"/>
        <v>0</v>
      </c>
    </row>
    <row r="9095" spans="1:27" ht="21" customHeight="1" x14ac:dyDescent="0.95">
      <c r="A9095" s="56"/>
      <c r="B9095" s="57"/>
      <c r="C9095" s="57"/>
      <c r="D9095" s="57"/>
      <c r="E9095" s="56"/>
      <c r="F9095" s="57"/>
      <c r="G9095" s="57"/>
      <c r="H9095" s="56"/>
      <c r="I9095" s="56"/>
      <c r="J9095" s="58"/>
      <c r="K9095" s="58"/>
      <c r="L9095" s="13" t="str">
        <f t="shared" si="1494"/>
        <v/>
      </c>
      <c r="M9095" s="13" t="str">
        <f t="shared" si="1495"/>
        <v/>
      </c>
      <c r="Q9095" t="str">
        <f t="shared" si="1496"/>
        <v/>
      </c>
      <c r="R9095" t="str">
        <f t="shared" si="1497"/>
        <v/>
      </c>
      <c r="S9095" t="str">
        <f t="shared" si="1498"/>
        <v/>
      </c>
      <c r="T9095" t="str">
        <f t="shared" si="1499"/>
        <v/>
      </c>
      <c r="U9095" t="str">
        <f t="shared" si="1500"/>
        <v/>
      </c>
      <c r="V9095" t="str">
        <f t="shared" si="1501"/>
        <v/>
      </c>
      <c r="W9095" t="str">
        <f t="shared" si="1502"/>
        <v/>
      </c>
      <c r="X9095">
        <f t="shared" si="1492"/>
        <v>0</v>
      </c>
      <c r="Z9095" t="str">
        <f t="shared" si="1503"/>
        <v/>
      </c>
      <c r="AA9095">
        <f t="shared" si="1493"/>
        <v>0</v>
      </c>
    </row>
    <row r="9096" spans="1:27" ht="21" customHeight="1" x14ac:dyDescent="0.95">
      <c r="A9096" s="56"/>
      <c r="B9096" s="57"/>
      <c r="C9096" s="57"/>
      <c r="D9096" s="57"/>
      <c r="E9096" s="56"/>
      <c r="F9096" s="57"/>
      <c r="G9096" s="57"/>
      <c r="H9096" s="56"/>
      <c r="I9096" s="56"/>
      <c r="J9096" s="58"/>
      <c r="K9096" s="58"/>
      <c r="L9096" s="13" t="str">
        <f t="shared" si="1494"/>
        <v/>
      </c>
      <c r="M9096" s="13" t="str">
        <f t="shared" si="1495"/>
        <v/>
      </c>
      <c r="Q9096" t="str">
        <f t="shared" si="1496"/>
        <v/>
      </c>
      <c r="R9096" t="str">
        <f t="shared" si="1497"/>
        <v/>
      </c>
      <c r="S9096" t="str">
        <f t="shared" si="1498"/>
        <v/>
      </c>
      <c r="T9096" t="str">
        <f t="shared" si="1499"/>
        <v/>
      </c>
      <c r="U9096" t="str">
        <f t="shared" si="1500"/>
        <v/>
      </c>
      <c r="V9096" t="str">
        <f t="shared" si="1501"/>
        <v/>
      </c>
      <c r="W9096" t="str">
        <f t="shared" si="1502"/>
        <v/>
      </c>
      <c r="X9096">
        <f t="shared" si="1492"/>
        <v>0</v>
      </c>
      <c r="Z9096" t="str">
        <f t="shared" si="1503"/>
        <v/>
      </c>
      <c r="AA9096">
        <f t="shared" si="1493"/>
        <v>0</v>
      </c>
    </row>
    <row r="9097" spans="1:27" ht="21" customHeight="1" x14ac:dyDescent="0.95">
      <c r="A9097" s="56"/>
      <c r="B9097" s="57"/>
      <c r="C9097" s="57"/>
      <c r="D9097" s="57"/>
      <c r="E9097" s="56"/>
      <c r="F9097" s="57"/>
      <c r="G9097" s="57"/>
      <c r="H9097" s="56"/>
      <c r="I9097" s="56"/>
      <c r="J9097" s="58"/>
      <c r="K9097" s="58"/>
      <c r="L9097" s="13" t="str">
        <f t="shared" si="1494"/>
        <v/>
      </c>
      <c r="M9097" s="13" t="str">
        <f t="shared" si="1495"/>
        <v/>
      </c>
      <c r="Q9097" t="str">
        <f t="shared" si="1496"/>
        <v/>
      </c>
      <c r="R9097" t="str">
        <f t="shared" si="1497"/>
        <v/>
      </c>
      <c r="S9097" t="str">
        <f t="shared" si="1498"/>
        <v/>
      </c>
      <c r="T9097" t="str">
        <f t="shared" si="1499"/>
        <v/>
      </c>
      <c r="U9097" t="str">
        <f t="shared" si="1500"/>
        <v/>
      </c>
      <c r="V9097" t="str">
        <f t="shared" si="1501"/>
        <v/>
      </c>
      <c r="W9097" t="str">
        <f t="shared" si="1502"/>
        <v/>
      </c>
      <c r="X9097">
        <f t="shared" si="1492"/>
        <v>0</v>
      </c>
      <c r="Z9097" t="str">
        <f t="shared" si="1503"/>
        <v/>
      </c>
      <c r="AA9097">
        <f t="shared" si="1493"/>
        <v>0</v>
      </c>
    </row>
    <row r="9098" spans="1:27" ht="21" customHeight="1" x14ac:dyDescent="0.95">
      <c r="A9098" s="56"/>
      <c r="B9098" s="57"/>
      <c r="C9098" s="57"/>
      <c r="D9098" s="57"/>
      <c r="E9098" s="56"/>
      <c r="F9098" s="57"/>
      <c r="G9098" s="57"/>
      <c r="H9098" s="56"/>
      <c r="I9098" s="56"/>
      <c r="J9098" s="58"/>
      <c r="K9098" s="58"/>
      <c r="L9098" s="13" t="str">
        <f t="shared" si="1494"/>
        <v/>
      </c>
      <c r="M9098" s="13" t="str">
        <f t="shared" si="1495"/>
        <v/>
      </c>
      <c r="Q9098" t="str">
        <f t="shared" si="1496"/>
        <v/>
      </c>
      <c r="R9098" t="str">
        <f t="shared" si="1497"/>
        <v/>
      </c>
      <c r="S9098" t="str">
        <f t="shared" si="1498"/>
        <v/>
      </c>
      <c r="T9098" t="str">
        <f t="shared" si="1499"/>
        <v/>
      </c>
      <c r="U9098" t="str">
        <f t="shared" si="1500"/>
        <v/>
      </c>
      <c r="V9098" t="str">
        <f t="shared" si="1501"/>
        <v/>
      </c>
      <c r="W9098" t="str">
        <f t="shared" si="1502"/>
        <v/>
      </c>
      <c r="X9098">
        <f t="shared" si="1492"/>
        <v>0</v>
      </c>
      <c r="Z9098" t="str">
        <f t="shared" si="1503"/>
        <v/>
      </c>
      <c r="AA9098">
        <f t="shared" si="1493"/>
        <v>0</v>
      </c>
    </row>
    <row r="9099" spans="1:27" ht="21" customHeight="1" x14ac:dyDescent="0.95">
      <c r="A9099" s="56"/>
      <c r="B9099" s="57"/>
      <c r="C9099" s="57"/>
      <c r="D9099" s="57"/>
      <c r="E9099" s="56"/>
      <c r="F9099" s="57"/>
      <c r="G9099" s="57"/>
      <c r="H9099" s="56"/>
      <c r="I9099" s="56"/>
      <c r="J9099" s="58"/>
      <c r="K9099" s="58"/>
      <c r="L9099" s="13" t="str">
        <f t="shared" si="1494"/>
        <v/>
      </c>
      <c r="M9099" s="13" t="str">
        <f t="shared" si="1495"/>
        <v/>
      </c>
      <c r="Q9099" t="str">
        <f t="shared" si="1496"/>
        <v/>
      </c>
      <c r="R9099" t="str">
        <f t="shared" si="1497"/>
        <v/>
      </c>
      <c r="S9099" t="str">
        <f t="shared" si="1498"/>
        <v/>
      </c>
      <c r="T9099" t="str">
        <f t="shared" si="1499"/>
        <v/>
      </c>
      <c r="U9099" t="str">
        <f t="shared" si="1500"/>
        <v/>
      </c>
      <c r="V9099" t="str">
        <f t="shared" si="1501"/>
        <v/>
      </c>
      <c r="W9099" t="str">
        <f t="shared" si="1502"/>
        <v/>
      </c>
      <c r="X9099">
        <f t="shared" si="1492"/>
        <v>0</v>
      </c>
      <c r="Z9099" t="str">
        <f t="shared" si="1503"/>
        <v/>
      </c>
      <c r="AA9099">
        <f t="shared" si="1493"/>
        <v>0</v>
      </c>
    </row>
    <row r="9100" spans="1:27" ht="21" customHeight="1" x14ac:dyDescent="0.95">
      <c r="A9100" s="56"/>
      <c r="B9100" s="57"/>
      <c r="C9100" s="57"/>
      <c r="D9100" s="57"/>
      <c r="E9100" s="56"/>
      <c r="F9100" s="57"/>
      <c r="G9100" s="57"/>
      <c r="H9100" s="56"/>
      <c r="I9100" s="56"/>
      <c r="J9100" s="58"/>
      <c r="K9100" s="58"/>
      <c r="L9100" s="13" t="str">
        <f t="shared" si="1494"/>
        <v/>
      </c>
      <c r="M9100" s="13" t="str">
        <f t="shared" si="1495"/>
        <v/>
      </c>
      <c r="Q9100" t="str">
        <f t="shared" si="1496"/>
        <v/>
      </c>
      <c r="R9100" t="str">
        <f t="shared" si="1497"/>
        <v/>
      </c>
      <c r="S9100" t="str">
        <f t="shared" si="1498"/>
        <v/>
      </c>
      <c r="T9100" t="str">
        <f t="shared" si="1499"/>
        <v/>
      </c>
      <c r="U9100" t="str">
        <f t="shared" si="1500"/>
        <v/>
      </c>
      <c r="V9100" t="str">
        <f t="shared" si="1501"/>
        <v/>
      </c>
      <c r="W9100" t="str">
        <f t="shared" si="1502"/>
        <v/>
      </c>
      <c r="X9100">
        <f t="shared" si="1492"/>
        <v>0</v>
      </c>
      <c r="Z9100" t="str">
        <f t="shared" si="1503"/>
        <v/>
      </c>
      <c r="AA9100">
        <f t="shared" si="1493"/>
        <v>0</v>
      </c>
    </row>
    <row r="9101" spans="1:27" ht="21" customHeight="1" x14ac:dyDescent="0.95">
      <c r="A9101" s="56"/>
      <c r="B9101" s="57"/>
      <c r="C9101" s="57"/>
      <c r="D9101" s="57"/>
      <c r="E9101" s="56"/>
      <c r="F9101" s="57"/>
      <c r="G9101" s="57"/>
      <c r="H9101" s="56"/>
      <c r="I9101" s="56"/>
      <c r="J9101" s="58"/>
      <c r="K9101" s="58"/>
      <c r="L9101" s="13" t="str">
        <f t="shared" si="1494"/>
        <v/>
      </c>
      <c r="M9101" s="13" t="str">
        <f t="shared" si="1495"/>
        <v/>
      </c>
      <c r="Q9101" t="str">
        <f t="shared" si="1496"/>
        <v/>
      </c>
      <c r="R9101" t="str">
        <f t="shared" si="1497"/>
        <v/>
      </c>
      <c r="S9101" t="str">
        <f t="shared" si="1498"/>
        <v/>
      </c>
      <c r="T9101" t="str">
        <f t="shared" si="1499"/>
        <v/>
      </c>
      <c r="U9101" t="str">
        <f t="shared" si="1500"/>
        <v/>
      </c>
      <c r="V9101" t="str">
        <f t="shared" si="1501"/>
        <v/>
      </c>
      <c r="W9101" t="str">
        <f t="shared" si="1502"/>
        <v/>
      </c>
      <c r="X9101">
        <f t="shared" si="1492"/>
        <v>0</v>
      </c>
      <c r="Z9101" t="str">
        <f t="shared" si="1503"/>
        <v/>
      </c>
      <c r="AA9101">
        <f t="shared" si="1493"/>
        <v>0</v>
      </c>
    </row>
    <row r="9102" spans="1:27" ht="21" customHeight="1" x14ac:dyDescent="0.95">
      <c r="A9102" s="56"/>
      <c r="B9102" s="57"/>
      <c r="C9102" s="57"/>
      <c r="D9102" s="57"/>
      <c r="E9102" s="56"/>
      <c r="F9102" s="57"/>
      <c r="G9102" s="57"/>
      <c r="H9102" s="56"/>
      <c r="I9102" s="56"/>
      <c r="J9102" s="58"/>
      <c r="K9102" s="58"/>
      <c r="L9102" s="13" t="str">
        <f t="shared" si="1494"/>
        <v/>
      </c>
      <c r="M9102" s="13" t="str">
        <f t="shared" si="1495"/>
        <v/>
      </c>
      <c r="Q9102" t="str">
        <f t="shared" si="1496"/>
        <v/>
      </c>
      <c r="R9102" t="str">
        <f t="shared" si="1497"/>
        <v/>
      </c>
      <c r="S9102" t="str">
        <f t="shared" si="1498"/>
        <v/>
      </c>
      <c r="T9102" t="str">
        <f t="shared" si="1499"/>
        <v/>
      </c>
      <c r="U9102" t="str">
        <f t="shared" si="1500"/>
        <v/>
      </c>
      <c r="V9102" t="str">
        <f t="shared" si="1501"/>
        <v/>
      </c>
      <c r="W9102" t="str">
        <f t="shared" si="1502"/>
        <v/>
      </c>
      <c r="X9102">
        <f t="shared" si="1492"/>
        <v>0</v>
      </c>
      <c r="Z9102" t="str">
        <f t="shared" si="1503"/>
        <v/>
      </c>
      <c r="AA9102">
        <f t="shared" si="1493"/>
        <v>0</v>
      </c>
    </row>
    <row r="9103" spans="1:27" ht="21" customHeight="1" x14ac:dyDescent="0.95">
      <c r="A9103" s="56"/>
      <c r="B9103" s="57"/>
      <c r="C9103" s="57"/>
      <c r="D9103" s="57"/>
      <c r="E9103" s="56"/>
      <c r="F9103" s="57"/>
      <c r="G9103" s="57"/>
      <c r="H9103" s="56"/>
      <c r="I9103" s="56"/>
      <c r="J9103" s="58"/>
      <c r="K9103" s="58"/>
      <c r="L9103" s="13" t="str">
        <f t="shared" si="1494"/>
        <v/>
      </c>
      <c r="M9103" s="13" t="str">
        <f t="shared" si="1495"/>
        <v/>
      </c>
      <c r="Q9103" t="str">
        <f t="shared" si="1496"/>
        <v/>
      </c>
      <c r="R9103" t="str">
        <f t="shared" si="1497"/>
        <v/>
      </c>
      <c r="S9103" t="str">
        <f t="shared" si="1498"/>
        <v/>
      </c>
      <c r="T9103" t="str">
        <f t="shared" si="1499"/>
        <v/>
      </c>
      <c r="U9103" t="str">
        <f t="shared" si="1500"/>
        <v/>
      </c>
      <c r="V9103" t="str">
        <f t="shared" si="1501"/>
        <v/>
      </c>
      <c r="W9103" t="str">
        <f t="shared" si="1502"/>
        <v/>
      </c>
      <c r="X9103">
        <f t="shared" si="1492"/>
        <v>0</v>
      </c>
      <c r="Z9103" t="str">
        <f t="shared" si="1503"/>
        <v/>
      </c>
      <c r="AA9103">
        <f t="shared" si="1493"/>
        <v>0</v>
      </c>
    </row>
    <row r="9104" spans="1:27" ht="21" customHeight="1" x14ac:dyDescent="0.95">
      <c r="A9104" s="56"/>
      <c r="B9104" s="57"/>
      <c r="C9104" s="57"/>
      <c r="D9104" s="57"/>
      <c r="E9104" s="56"/>
      <c r="F9104" s="57"/>
      <c r="G9104" s="57"/>
      <c r="H9104" s="56"/>
      <c r="I9104" s="56"/>
      <c r="J9104" s="58"/>
      <c r="K9104" s="58"/>
      <c r="L9104" s="13" t="str">
        <f t="shared" si="1494"/>
        <v/>
      </c>
      <c r="M9104" s="13" t="str">
        <f t="shared" si="1495"/>
        <v/>
      </c>
      <c r="Q9104" t="str">
        <f t="shared" si="1496"/>
        <v/>
      </c>
      <c r="R9104" t="str">
        <f t="shared" si="1497"/>
        <v/>
      </c>
      <c r="S9104" t="str">
        <f t="shared" si="1498"/>
        <v/>
      </c>
      <c r="T9104" t="str">
        <f t="shared" si="1499"/>
        <v/>
      </c>
      <c r="U9104" t="str">
        <f t="shared" si="1500"/>
        <v/>
      </c>
      <c r="V9104" t="str">
        <f t="shared" si="1501"/>
        <v/>
      </c>
      <c r="W9104" t="str">
        <f t="shared" si="1502"/>
        <v/>
      </c>
      <c r="X9104">
        <f t="shared" si="1492"/>
        <v>0</v>
      </c>
      <c r="Z9104" t="str">
        <f t="shared" si="1503"/>
        <v/>
      </c>
      <c r="AA9104">
        <f t="shared" si="1493"/>
        <v>0</v>
      </c>
    </row>
    <row r="9105" spans="1:27" ht="21" customHeight="1" x14ac:dyDescent="0.95">
      <c r="A9105" s="56"/>
      <c r="B9105" s="57"/>
      <c r="C9105" s="57"/>
      <c r="D9105" s="57"/>
      <c r="E9105" s="56"/>
      <c r="F9105" s="57"/>
      <c r="G9105" s="57"/>
      <c r="H9105" s="56"/>
      <c r="I9105" s="56"/>
      <c r="J9105" s="58"/>
      <c r="K9105" s="58"/>
      <c r="L9105" s="13" t="str">
        <f t="shared" si="1494"/>
        <v/>
      </c>
      <c r="M9105" s="13" t="str">
        <f t="shared" si="1495"/>
        <v/>
      </c>
      <c r="Q9105" t="str">
        <f t="shared" si="1496"/>
        <v/>
      </c>
      <c r="R9105" t="str">
        <f t="shared" si="1497"/>
        <v/>
      </c>
      <c r="S9105" t="str">
        <f t="shared" si="1498"/>
        <v/>
      </c>
      <c r="T9105" t="str">
        <f t="shared" si="1499"/>
        <v/>
      </c>
      <c r="U9105" t="str">
        <f t="shared" si="1500"/>
        <v/>
      </c>
      <c r="V9105" t="str">
        <f t="shared" si="1501"/>
        <v/>
      </c>
      <c r="W9105" t="str">
        <f t="shared" si="1502"/>
        <v/>
      </c>
      <c r="X9105">
        <f t="shared" si="1492"/>
        <v>0</v>
      </c>
      <c r="Z9105" t="str">
        <f t="shared" si="1503"/>
        <v/>
      </c>
      <c r="AA9105">
        <f t="shared" si="1493"/>
        <v>0</v>
      </c>
    </row>
    <row r="9106" spans="1:27" ht="21" customHeight="1" x14ac:dyDescent="0.95">
      <c r="A9106" s="56"/>
      <c r="B9106" s="57"/>
      <c r="C9106" s="57"/>
      <c r="D9106" s="57"/>
      <c r="E9106" s="56"/>
      <c r="F9106" s="57"/>
      <c r="G9106" s="57"/>
      <c r="H9106" s="56"/>
      <c r="I9106" s="56"/>
      <c r="J9106" s="58"/>
      <c r="K9106" s="58"/>
      <c r="L9106" s="13" t="str">
        <f t="shared" si="1494"/>
        <v/>
      </c>
      <c r="M9106" s="13" t="str">
        <f t="shared" si="1495"/>
        <v/>
      </c>
      <c r="Q9106" t="str">
        <f t="shared" si="1496"/>
        <v/>
      </c>
      <c r="R9106" t="str">
        <f t="shared" si="1497"/>
        <v/>
      </c>
      <c r="S9106" t="str">
        <f t="shared" si="1498"/>
        <v/>
      </c>
      <c r="T9106" t="str">
        <f t="shared" si="1499"/>
        <v/>
      </c>
      <c r="U9106" t="str">
        <f t="shared" si="1500"/>
        <v/>
      </c>
      <c r="V9106" t="str">
        <f t="shared" si="1501"/>
        <v/>
      </c>
      <c r="W9106" t="str">
        <f t="shared" si="1502"/>
        <v/>
      </c>
      <c r="X9106">
        <f t="shared" si="1492"/>
        <v>0</v>
      </c>
      <c r="Z9106" t="str">
        <f t="shared" si="1503"/>
        <v/>
      </c>
      <c r="AA9106">
        <f t="shared" si="1493"/>
        <v>0</v>
      </c>
    </row>
    <row r="9107" spans="1:27" ht="21" customHeight="1" x14ac:dyDescent="0.95">
      <c r="A9107" s="56"/>
      <c r="B9107" s="57"/>
      <c r="C9107" s="57"/>
      <c r="D9107" s="57"/>
      <c r="E9107" s="56"/>
      <c r="F9107" s="57"/>
      <c r="G9107" s="57"/>
      <c r="H9107" s="56"/>
      <c r="I9107" s="56"/>
      <c r="J9107" s="58"/>
      <c r="K9107" s="58"/>
      <c r="L9107" s="13" t="str">
        <f t="shared" si="1494"/>
        <v/>
      </c>
      <c r="M9107" s="13" t="str">
        <f t="shared" si="1495"/>
        <v/>
      </c>
      <c r="Q9107" t="str">
        <f t="shared" si="1496"/>
        <v/>
      </c>
      <c r="R9107" t="str">
        <f t="shared" si="1497"/>
        <v/>
      </c>
      <c r="S9107" t="str">
        <f t="shared" si="1498"/>
        <v/>
      </c>
      <c r="T9107" t="str">
        <f t="shared" si="1499"/>
        <v/>
      </c>
      <c r="U9107" t="str">
        <f t="shared" si="1500"/>
        <v/>
      </c>
      <c r="V9107" t="str">
        <f t="shared" si="1501"/>
        <v/>
      </c>
      <c r="W9107" t="str">
        <f t="shared" si="1502"/>
        <v/>
      </c>
      <c r="X9107">
        <f t="shared" si="1492"/>
        <v>0</v>
      </c>
      <c r="Z9107" t="str">
        <f t="shared" si="1503"/>
        <v/>
      </c>
      <c r="AA9107">
        <f t="shared" si="1493"/>
        <v>0</v>
      </c>
    </row>
    <row r="9108" spans="1:27" ht="21" customHeight="1" x14ac:dyDescent="0.95">
      <c r="A9108" s="56"/>
      <c r="B9108" s="57"/>
      <c r="C9108" s="57"/>
      <c r="D9108" s="57"/>
      <c r="E9108" s="56"/>
      <c r="F9108" s="57"/>
      <c r="G9108" s="57"/>
      <c r="H9108" s="56"/>
      <c r="I9108" s="56"/>
      <c r="J9108" s="58"/>
      <c r="K9108" s="58"/>
      <c r="L9108" s="13" t="str">
        <f t="shared" si="1494"/>
        <v/>
      </c>
      <c r="M9108" s="13" t="str">
        <f t="shared" si="1495"/>
        <v/>
      </c>
      <c r="Q9108" t="str">
        <f t="shared" si="1496"/>
        <v/>
      </c>
      <c r="R9108" t="str">
        <f t="shared" si="1497"/>
        <v/>
      </c>
      <c r="S9108" t="str">
        <f t="shared" si="1498"/>
        <v/>
      </c>
      <c r="T9108" t="str">
        <f t="shared" si="1499"/>
        <v/>
      </c>
      <c r="U9108" t="str">
        <f t="shared" si="1500"/>
        <v/>
      </c>
      <c r="V9108" t="str">
        <f t="shared" si="1501"/>
        <v/>
      </c>
      <c r="W9108" t="str">
        <f t="shared" si="1502"/>
        <v/>
      </c>
      <c r="X9108">
        <f t="shared" si="1492"/>
        <v>0</v>
      </c>
      <c r="Z9108" t="str">
        <f t="shared" si="1503"/>
        <v/>
      </c>
      <c r="AA9108">
        <f t="shared" si="1493"/>
        <v>0</v>
      </c>
    </row>
    <row r="9109" spans="1:27" ht="21" customHeight="1" x14ac:dyDescent="0.95">
      <c r="A9109" s="56"/>
      <c r="B9109" s="57"/>
      <c r="C9109" s="57"/>
      <c r="D9109" s="57"/>
      <c r="E9109" s="56"/>
      <c r="F9109" s="57"/>
      <c r="G9109" s="57"/>
      <c r="H9109" s="56"/>
      <c r="I9109" s="56"/>
      <c r="J9109" s="58"/>
      <c r="K9109" s="58"/>
      <c r="L9109" s="13" t="str">
        <f t="shared" si="1494"/>
        <v/>
      </c>
      <c r="M9109" s="13" t="str">
        <f t="shared" si="1495"/>
        <v/>
      </c>
      <c r="Q9109" t="str">
        <f t="shared" si="1496"/>
        <v/>
      </c>
      <c r="R9109" t="str">
        <f t="shared" si="1497"/>
        <v/>
      </c>
      <c r="S9109" t="str">
        <f t="shared" si="1498"/>
        <v/>
      </c>
      <c r="T9109" t="str">
        <f t="shared" si="1499"/>
        <v/>
      </c>
      <c r="U9109" t="str">
        <f t="shared" si="1500"/>
        <v/>
      </c>
      <c r="V9109" t="str">
        <f t="shared" si="1501"/>
        <v/>
      </c>
      <c r="W9109" t="str">
        <f t="shared" si="1502"/>
        <v/>
      </c>
      <c r="X9109">
        <f t="shared" si="1492"/>
        <v>0</v>
      </c>
      <c r="Z9109" t="str">
        <f t="shared" si="1503"/>
        <v/>
      </c>
      <c r="AA9109">
        <f t="shared" si="1493"/>
        <v>0</v>
      </c>
    </row>
    <row r="9110" spans="1:27" ht="21" customHeight="1" x14ac:dyDescent="0.95">
      <c r="A9110" s="56"/>
      <c r="B9110" s="57"/>
      <c r="C9110" s="57"/>
      <c r="D9110" s="57"/>
      <c r="E9110" s="56"/>
      <c r="F9110" s="57"/>
      <c r="G9110" s="57"/>
      <c r="H9110" s="56"/>
      <c r="I9110" s="56"/>
      <c r="J9110" s="58"/>
      <c r="K9110" s="58"/>
      <c r="L9110" s="13" t="str">
        <f t="shared" si="1494"/>
        <v/>
      </c>
      <c r="M9110" s="13" t="str">
        <f t="shared" si="1495"/>
        <v/>
      </c>
      <c r="Q9110" t="str">
        <f t="shared" si="1496"/>
        <v/>
      </c>
      <c r="R9110" t="str">
        <f t="shared" si="1497"/>
        <v/>
      </c>
      <c r="S9110" t="str">
        <f t="shared" si="1498"/>
        <v/>
      </c>
      <c r="T9110" t="str">
        <f t="shared" si="1499"/>
        <v/>
      </c>
      <c r="U9110" t="str">
        <f t="shared" si="1500"/>
        <v/>
      </c>
      <c r="V9110" t="str">
        <f t="shared" si="1501"/>
        <v/>
      </c>
      <c r="W9110" t="str">
        <f t="shared" si="1502"/>
        <v/>
      </c>
      <c r="X9110">
        <f t="shared" si="1492"/>
        <v>0</v>
      </c>
      <c r="Z9110" t="str">
        <f t="shared" si="1503"/>
        <v/>
      </c>
      <c r="AA9110">
        <f t="shared" si="1493"/>
        <v>0</v>
      </c>
    </row>
    <row r="9111" spans="1:27" ht="21" customHeight="1" x14ac:dyDescent="0.95">
      <c r="A9111" s="56"/>
      <c r="B9111" s="57"/>
      <c r="C9111" s="57"/>
      <c r="D9111" s="57"/>
      <c r="E9111" s="56"/>
      <c r="F9111" s="57"/>
      <c r="G9111" s="57"/>
      <c r="H9111" s="56"/>
      <c r="I9111" s="56"/>
      <c r="J9111" s="58"/>
      <c r="K9111" s="58"/>
      <c r="L9111" s="13" t="str">
        <f t="shared" si="1494"/>
        <v/>
      </c>
      <c r="M9111" s="13" t="str">
        <f t="shared" si="1495"/>
        <v/>
      </c>
      <c r="Q9111" t="str">
        <f t="shared" si="1496"/>
        <v/>
      </c>
      <c r="R9111" t="str">
        <f t="shared" si="1497"/>
        <v/>
      </c>
      <c r="S9111" t="str">
        <f t="shared" si="1498"/>
        <v/>
      </c>
      <c r="T9111" t="str">
        <f t="shared" si="1499"/>
        <v/>
      </c>
      <c r="U9111" t="str">
        <f t="shared" si="1500"/>
        <v/>
      </c>
      <c r="V9111" t="str">
        <f t="shared" si="1501"/>
        <v/>
      </c>
      <c r="W9111" t="str">
        <f t="shared" si="1502"/>
        <v/>
      </c>
      <c r="X9111">
        <f t="shared" si="1492"/>
        <v>0</v>
      </c>
      <c r="Z9111" t="str">
        <f t="shared" si="1503"/>
        <v/>
      </c>
      <c r="AA9111">
        <f t="shared" si="1493"/>
        <v>0</v>
      </c>
    </row>
    <row r="9112" spans="1:27" ht="21" customHeight="1" x14ac:dyDescent="0.95">
      <c r="A9112" s="56"/>
      <c r="B9112" s="57"/>
      <c r="C9112" s="57"/>
      <c r="D9112" s="57"/>
      <c r="E9112" s="56"/>
      <c r="F9112" s="57"/>
      <c r="G9112" s="57"/>
      <c r="H9112" s="56"/>
      <c r="I9112" s="56"/>
      <c r="J9112" s="58"/>
      <c r="K9112" s="58"/>
      <c r="L9112" s="13" t="str">
        <f t="shared" si="1494"/>
        <v/>
      </c>
      <c r="M9112" s="13" t="str">
        <f t="shared" si="1495"/>
        <v/>
      </c>
      <c r="Q9112" t="str">
        <f t="shared" si="1496"/>
        <v/>
      </c>
      <c r="R9112" t="str">
        <f t="shared" si="1497"/>
        <v/>
      </c>
      <c r="S9112" t="str">
        <f t="shared" si="1498"/>
        <v/>
      </c>
      <c r="T9112" t="str">
        <f t="shared" si="1499"/>
        <v/>
      </c>
      <c r="U9112" t="str">
        <f t="shared" si="1500"/>
        <v/>
      </c>
      <c r="V9112" t="str">
        <f t="shared" si="1501"/>
        <v/>
      </c>
      <c r="W9112" t="str">
        <f t="shared" si="1502"/>
        <v/>
      </c>
      <c r="X9112">
        <f t="shared" si="1492"/>
        <v>0</v>
      </c>
      <c r="Z9112" t="str">
        <f t="shared" si="1503"/>
        <v/>
      </c>
      <c r="AA9112">
        <f t="shared" si="1493"/>
        <v>0</v>
      </c>
    </row>
    <row r="9113" spans="1:27" ht="21" customHeight="1" x14ac:dyDescent="0.95">
      <c r="A9113" s="56"/>
      <c r="B9113" s="57"/>
      <c r="C9113" s="57"/>
      <c r="D9113" s="57"/>
      <c r="E9113" s="56"/>
      <c r="F9113" s="57"/>
      <c r="G9113" s="57"/>
      <c r="H9113" s="56"/>
      <c r="I9113" s="56"/>
      <c r="J9113" s="58"/>
      <c r="K9113" s="58"/>
      <c r="L9113" s="13" t="str">
        <f t="shared" si="1494"/>
        <v/>
      </c>
      <c r="M9113" s="13" t="str">
        <f t="shared" si="1495"/>
        <v/>
      </c>
      <c r="Q9113" t="str">
        <f t="shared" si="1496"/>
        <v/>
      </c>
      <c r="R9113" t="str">
        <f t="shared" si="1497"/>
        <v/>
      </c>
      <c r="S9113" t="str">
        <f t="shared" si="1498"/>
        <v/>
      </c>
      <c r="T9113" t="str">
        <f t="shared" si="1499"/>
        <v/>
      </c>
      <c r="U9113" t="str">
        <f t="shared" si="1500"/>
        <v/>
      </c>
      <c r="V9113" t="str">
        <f t="shared" si="1501"/>
        <v/>
      </c>
      <c r="W9113" t="str">
        <f t="shared" si="1502"/>
        <v/>
      </c>
      <c r="X9113">
        <f t="shared" si="1492"/>
        <v>0</v>
      </c>
      <c r="Z9113" t="str">
        <f t="shared" si="1503"/>
        <v/>
      </c>
      <c r="AA9113">
        <f t="shared" si="1493"/>
        <v>0</v>
      </c>
    </row>
    <row r="9114" spans="1:27" ht="21" customHeight="1" x14ac:dyDescent="0.95">
      <c r="A9114" s="56"/>
      <c r="B9114" s="57"/>
      <c r="C9114" s="57"/>
      <c r="D9114" s="57"/>
      <c r="E9114" s="56"/>
      <c r="F9114" s="57"/>
      <c r="G9114" s="57"/>
      <c r="H9114" s="56"/>
      <c r="I9114" s="56"/>
      <c r="J9114" s="58"/>
      <c r="K9114" s="58"/>
      <c r="L9114" s="13" t="str">
        <f t="shared" si="1494"/>
        <v/>
      </c>
      <c r="M9114" s="13" t="str">
        <f t="shared" si="1495"/>
        <v/>
      </c>
      <c r="Q9114" t="str">
        <f t="shared" si="1496"/>
        <v/>
      </c>
      <c r="R9114" t="str">
        <f t="shared" si="1497"/>
        <v/>
      </c>
      <c r="S9114" t="str">
        <f t="shared" si="1498"/>
        <v/>
      </c>
      <c r="T9114" t="str">
        <f t="shared" si="1499"/>
        <v/>
      </c>
      <c r="U9114" t="str">
        <f t="shared" si="1500"/>
        <v/>
      </c>
      <c r="V9114" t="str">
        <f t="shared" si="1501"/>
        <v/>
      </c>
      <c r="W9114" t="str">
        <f t="shared" si="1502"/>
        <v/>
      </c>
      <c r="X9114">
        <f t="shared" si="1492"/>
        <v>0</v>
      </c>
      <c r="Z9114" t="str">
        <f t="shared" si="1503"/>
        <v/>
      </c>
      <c r="AA9114">
        <f t="shared" si="1493"/>
        <v>0</v>
      </c>
    </row>
    <row r="9115" spans="1:27" ht="21" customHeight="1" x14ac:dyDescent="0.95">
      <c r="A9115" s="56"/>
      <c r="B9115" s="57"/>
      <c r="C9115" s="57"/>
      <c r="D9115" s="57"/>
      <c r="E9115" s="56"/>
      <c r="F9115" s="57"/>
      <c r="G9115" s="57"/>
      <c r="H9115" s="56"/>
      <c r="I9115" s="56"/>
      <c r="J9115" s="58"/>
      <c r="K9115" s="58"/>
      <c r="L9115" s="13" t="str">
        <f t="shared" si="1494"/>
        <v/>
      </c>
      <c r="M9115" s="13" t="str">
        <f t="shared" si="1495"/>
        <v/>
      </c>
      <c r="Q9115" t="str">
        <f t="shared" si="1496"/>
        <v/>
      </c>
      <c r="R9115" t="str">
        <f t="shared" si="1497"/>
        <v/>
      </c>
      <c r="S9115" t="str">
        <f t="shared" si="1498"/>
        <v/>
      </c>
      <c r="T9115" t="str">
        <f t="shared" si="1499"/>
        <v/>
      </c>
      <c r="U9115" t="str">
        <f t="shared" si="1500"/>
        <v/>
      </c>
      <c r="V9115" t="str">
        <f t="shared" si="1501"/>
        <v/>
      </c>
      <c r="W9115" t="str">
        <f t="shared" si="1502"/>
        <v/>
      </c>
      <c r="X9115">
        <f t="shared" si="1492"/>
        <v>0</v>
      </c>
      <c r="Z9115" t="str">
        <f t="shared" si="1503"/>
        <v/>
      </c>
      <c r="AA9115">
        <f t="shared" si="1493"/>
        <v>0</v>
      </c>
    </row>
    <row r="9116" spans="1:27" ht="21" customHeight="1" x14ac:dyDescent="0.95">
      <c r="A9116" s="56"/>
      <c r="B9116" s="57"/>
      <c r="C9116" s="57"/>
      <c r="D9116" s="57"/>
      <c r="E9116" s="56"/>
      <c r="F9116" s="57"/>
      <c r="G9116" s="57"/>
      <c r="H9116" s="56"/>
      <c r="I9116" s="56"/>
      <c r="J9116" s="58"/>
      <c r="K9116" s="58"/>
      <c r="L9116" s="13" t="str">
        <f t="shared" si="1494"/>
        <v/>
      </c>
      <c r="M9116" s="13" t="str">
        <f t="shared" si="1495"/>
        <v/>
      </c>
      <c r="Q9116" t="str">
        <f t="shared" si="1496"/>
        <v/>
      </c>
      <c r="R9116" t="str">
        <f t="shared" si="1497"/>
        <v/>
      </c>
      <c r="S9116" t="str">
        <f t="shared" si="1498"/>
        <v/>
      </c>
      <c r="T9116" t="str">
        <f t="shared" si="1499"/>
        <v/>
      </c>
      <c r="U9116" t="str">
        <f t="shared" si="1500"/>
        <v/>
      </c>
      <c r="V9116" t="str">
        <f t="shared" si="1501"/>
        <v/>
      </c>
      <c r="W9116" t="str">
        <f t="shared" si="1502"/>
        <v/>
      </c>
      <c r="X9116">
        <f t="shared" si="1492"/>
        <v>0</v>
      </c>
      <c r="Z9116" t="str">
        <f t="shared" si="1503"/>
        <v/>
      </c>
      <c r="AA9116">
        <f t="shared" si="1493"/>
        <v>0</v>
      </c>
    </row>
    <row r="9117" spans="1:27" ht="21" customHeight="1" x14ac:dyDescent="0.95">
      <c r="A9117" s="56"/>
      <c r="B9117" s="57"/>
      <c r="C9117" s="57"/>
      <c r="D9117" s="57"/>
      <c r="E9117" s="56"/>
      <c r="F9117" s="57"/>
      <c r="G9117" s="57"/>
      <c r="H9117" s="56"/>
      <c r="I9117" s="56"/>
      <c r="J9117" s="58"/>
      <c r="K9117" s="58"/>
      <c r="L9117" s="13" t="str">
        <f t="shared" si="1494"/>
        <v/>
      </c>
      <c r="M9117" s="13" t="str">
        <f t="shared" si="1495"/>
        <v/>
      </c>
      <c r="Q9117" t="str">
        <f t="shared" si="1496"/>
        <v/>
      </c>
      <c r="R9117" t="str">
        <f t="shared" si="1497"/>
        <v/>
      </c>
      <c r="S9117" t="str">
        <f t="shared" si="1498"/>
        <v/>
      </c>
      <c r="T9117" t="str">
        <f t="shared" si="1499"/>
        <v/>
      </c>
      <c r="U9117" t="str">
        <f t="shared" si="1500"/>
        <v/>
      </c>
      <c r="V9117" t="str">
        <f t="shared" si="1501"/>
        <v/>
      </c>
      <c r="W9117" t="str">
        <f t="shared" si="1502"/>
        <v/>
      </c>
      <c r="X9117">
        <f t="shared" si="1492"/>
        <v>0</v>
      </c>
      <c r="Z9117" t="str">
        <f t="shared" si="1503"/>
        <v/>
      </c>
      <c r="AA9117">
        <f t="shared" si="1493"/>
        <v>0</v>
      </c>
    </row>
    <row r="9118" spans="1:27" ht="21" customHeight="1" x14ac:dyDescent="0.95">
      <c r="A9118" s="56"/>
      <c r="B9118" s="57"/>
      <c r="C9118" s="57"/>
      <c r="D9118" s="57"/>
      <c r="E9118" s="56"/>
      <c r="F9118" s="57"/>
      <c r="G9118" s="57"/>
      <c r="H9118" s="56"/>
      <c r="I9118" s="56"/>
      <c r="J9118" s="58"/>
      <c r="K9118" s="58"/>
      <c r="L9118" s="13" t="str">
        <f t="shared" si="1494"/>
        <v/>
      </c>
      <c r="M9118" s="13" t="str">
        <f t="shared" si="1495"/>
        <v/>
      </c>
      <c r="Q9118" t="str">
        <f t="shared" si="1496"/>
        <v/>
      </c>
      <c r="R9118" t="str">
        <f t="shared" si="1497"/>
        <v/>
      </c>
      <c r="S9118" t="str">
        <f t="shared" si="1498"/>
        <v/>
      </c>
      <c r="T9118" t="str">
        <f t="shared" si="1499"/>
        <v/>
      </c>
      <c r="U9118" t="str">
        <f t="shared" si="1500"/>
        <v/>
      </c>
      <c r="V9118" t="str">
        <f t="shared" si="1501"/>
        <v/>
      </c>
      <c r="W9118" t="str">
        <f t="shared" si="1502"/>
        <v/>
      </c>
      <c r="X9118">
        <f t="shared" si="1492"/>
        <v>0</v>
      </c>
      <c r="Z9118" t="str">
        <f t="shared" si="1503"/>
        <v/>
      </c>
      <c r="AA9118">
        <f t="shared" si="1493"/>
        <v>0</v>
      </c>
    </row>
    <row r="9119" spans="1:27" ht="21" customHeight="1" x14ac:dyDescent="0.95">
      <c r="A9119" s="56"/>
      <c r="B9119" s="57"/>
      <c r="C9119" s="57"/>
      <c r="D9119" s="57"/>
      <c r="E9119" s="56"/>
      <c r="F9119" s="57"/>
      <c r="G9119" s="57"/>
      <c r="H9119" s="56"/>
      <c r="I9119" s="56"/>
      <c r="J9119" s="58"/>
      <c r="K9119" s="58"/>
      <c r="L9119" s="13" t="str">
        <f t="shared" si="1494"/>
        <v/>
      </c>
      <c r="M9119" s="13" t="str">
        <f t="shared" si="1495"/>
        <v/>
      </c>
      <c r="Q9119" t="str">
        <f t="shared" si="1496"/>
        <v/>
      </c>
      <c r="R9119" t="str">
        <f t="shared" si="1497"/>
        <v/>
      </c>
      <c r="S9119" t="str">
        <f t="shared" si="1498"/>
        <v/>
      </c>
      <c r="T9119" t="str">
        <f t="shared" si="1499"/>
        <v/>
      </c>
      <c r="U9119" t="str">
        <f t="shared" si="1500"/>
        <v/>
      </c>
      <c r="V9119" t="str">
        <f t="shared" si="1501"/>
        <v/>
      </c>
      <c r="W9119" t="str">
        <f t="shared" si="1502"/>
        <v/>
      </c>
      <c r="X9119">
        <f t="shared" si="1492"/>
        <v>0</v>
      </c>
      <c r="Z9119" t="str">
        <f t="shared" si="1503"/>
        <v/>
      </c>
      <c r="AA9119">
        <f t="shared" si="1493"/>
        <v>0</v>
      </c>
    </row>
    <row r="9120" spans="1:27" ht="21" customHeight="1" x14ac:dyDescent="0.95">
      <c r="A9120" s="56"/>
      <c r="B9120" s="57"/>
      <c r="C9120" s="57"/>
      <c r="D9120" s="57"/>
      <c r="E9120" s="56"/>
      <c r="F9120" s="57"/>
      <c r="G9120" s="57"/>
      <c r="H9120" s="56"/>
      <c r="I9120" s="56"/>
      <c r="J9120" s="58"/>
      <c r="K9120" s="58"/>
      <c r="L9120" s="13" t="str">
        <f t="shared" si="1494"/>
        <v/>
      </c>
      <c r="M9120" s="13" t="str">
        <f t="shared" si="1495"/>
        <v/>
      </c>
      <c r="Q9120" t="str">
        <f t="shared" si="1496"/>
        <v/>
      </c>
      <c r="R9120" t="str">
        <f t="shared" si="1497"/>
        <v/>
      </c>
      <c r="S9120" t="str">
        <f t="shared" si="1498"/>
        <v/>
      </c>
      <c r="T9120" t="str">
        <f t="shared" si="1499"/>
        <v/>
      </c>
      <c r="U9120" t="str">
        <f t="shared" si="1500"/>
        <v/>
      </c>
      <c r="V9120" t="str">
        <f t="shared" si="1501"/>
        <v/>
      </c>
      <c r="W9120" t="str">
        <f t="shared" si="1502"/>
        <v/>
      </c>
      <c r="X9120">
        <f t="shared" si="1492"/>
        <v>0</v>
      </c>
      <c r="Z9120" t="str">
        <f t="shared" si="1503"/>
        <v/>
      </c>
      <c r="AA9120">
        <f t="shared" si="1493"/>
        <v>0</v>
      </c>
    </row>
    <row r="9121" spans="1:27" ht="21" customHeight="1" x14ac:dyDescent="0.95">
      <c r="A9121" s="56"/>
      <c r="B9121" s="57"/>
      <c r="C9121" s="57"/>
      <c r="D9121" s="57"/>
      <c r="E9121" s="56"/>
      <c r="F9121" s="57"/>
      <c r="G9121" s="57"/>
      <c r="H9121" s="56"/>
      <c r="I9121" s="56"/>
      <c r="J9121" s="58"/>
      <c r="K9121" s="58"/>
      <c r="L9121" s="13" t="str">
        <f t="shared" si="1494"/>
        <v/>
      </c>
      <c r="M9121" s="13" t="str">
        <f t="shared" si="1495"/>
        <v/>
      </c>
      <c r="Q9121" t="str">
        <f t="shared" si="1496"/>
        <v/>
      </c>
      <c r="R9121" t="str">
        <f t="shared" si="1497"/>
        <v/>
      </c>
      <c r="S9121" t="str">
        <f t="shared" si="1498"/>
        <v/>
      </c>
      <c r="T9121" t="str">
        <f t="shared" si="1499"/>
        <v/>
      </c>
      <c r="U9121" t="str">
        <f t="shared" si="1500"/>
        <v/>
      </c>
      <c r="V9121" t="str">
        <f t="shared" si="1501"/>
        <v/>
      </c>
      <c r="W9121" t="str">
        <f t="shared" si="1502"/>
        <v/>
      </c>
      <c r="X9121">
        <f t="shared" si="1492"/>
        <v>0</v>
      </c>
      <c r="Z9121" t="str">
        <f t="shared" si="1503"/>
        <v/>
      </c>
      <c r="AA9121">
        <f t="shared" si="1493"/>
        <v>0</v>
      </c>
    </row>
    <row r="9122" spans="1:27" ht="21" customHeight="1" x14ac:dyDescent="0.95">
      <c r="A9122" s="56"/>
      <c r="B9122" s="57"/>
      <c r="C9122" s="57"/>
      <c r="D9122" s="57"/>
      <c r="E9122" s="56"/>
      <c r="F9122" s="57"/>
      <c r="G9122" s="57"/>
      <c r="H9122" s="56"/>
      <c r="I9122" s="56"/>
      <c r="J9122" s="58"/>
      <c r="K9122" s="58"/>
      <c r="L9122" s="13" t="str">
        <f t="shared" si="1494"/>
        <v/>
      </c>
      <c r="M9122" s="13" t="str">
        <f t="shared" si="1495"/>
        <v/>
      </c>
      <c r="Q9122" t="str">
        <f t="shared" si="1496"/>
        <v/>
      </c>
      <c r="R9122" t="str">
        <f t="shared" si="1497"/>
        <v/>
      </c>
      <c r="S9122" t="str">
        <f t="shared" si="1498"/>
        <v/>
      </c>
      <c r="T9122" t="str">
        <f t="shared" si="1499"/>
        <v/>
      </c>
      <c r="U9122" t="str">
        <f t="shared" si="1500"/>
        <v/>
      </c>
      <c r="V9122" t="str">
        <f t="shared" si="1501"/>
        <v/>
      </c>
      <c r="W9122" t="str">
        <f t="shared" si="1502"/>
        <v/>
      </c>
      <c r="X9122">
        <f t="shared" si="1492"/>
        <v>0</v>
      </c>
      <c r="Z9122" t="str">
        <f t="shared" si="1503"/>
        <v/>
      </c>
      <c r="AA9122">
        <f t="shared" si="1493"/>
        <v>0</v>
      </c>
    </row>
    <row r="9123" spans="1:27" ht="21" customHeight="1" x14ac:dyDescent="0.95">
      <c r="A9123" s="56"/>
      <c r="B9123" s="57"/>
      <c r="C9123" s="57"/>
      <c r="D9123" s="57"/>
      <c r="E9123" s="56"/>
      <c r="F9123" s="57"/>
      <c r="G9123" s="57"/>
      <c r="H9123" s="56"/>
      <c r="I9123" s="56"/>
      <c r="J9123" s="58"/>
      <c r="K9123" s="58"/>
      <c r="L9123" s="13" t="str">
        <f t="shared" si="1494"/>
        <v/>
      </c>
      <c r="M9123" s="13" t="str">
        <f t="shared" si="1495"/>
        <v/>
      </c>
      <c r="Q9123" t="str">
        <f t="shared" si="1496"/>
        <v/>
      </c>
      <c r="R9123" t="str">
        <f t="shared" si="1497"/>
        <v/>
      </c>
      <c r="S9123" t="str">
        <f t="shared" si="1498"/>
        <v/>
      </c>
      <c r="T9123" t="str">
        <f t="shared" si="1499"/>
        <v/>
      </c>
      <c r="U9123" t="str">
        <f t="shared" si="1500"/>
        <v/>
      </c>
      <c r="V9123" t="str">
        <f t="shared" si="1501"/>
        <v/>
      </c>
      <c r="W9123" t="str">
        <f t="shared" si="1502"/>
        <v/>
      </c>
      <c r="X9123">
        <f t="shared" si="1492"/>
        <v>0</v>
      </c>
      <c r="Z9123" t="str">
        <f t="shared" si="1503"/>
        <v/>
      </c>
      <c r="AA9123">
        <f t="shared" si="1493"/>
        <v>0</v>
      </c>
    </row>
    <row r="9124" spans="1:27" ht="21" customHeight="1" x14ac:dyDescent="0.95">
      <c r="A9124" s="56"/>
      <c r="B9124" s="57"/>
      <c r="C9124" s="57"/>
      <c r="D9124" s="57"/>
      <c r="E9124" s="56"/>
      <c r="F9124" s="57"/>
      <c r="G9124" s="57"/>
      <c r="H9124" s="56"/>
      <c r="I9124" s="56"/>
      <c r="J9124" s="58"/>
      <c r="K9124" s="58"/>
      <c r="L9124" s="13" t="str">
        <f t="shared" si="1494"/>
        <v/>
      </c>
      <c r="M9124" s="13" t="str">
        <f t="shared" si="1495"/>
        <v/>
      </c>
      <c r="Q9124" t="str">
        <f t="shared" si="1496"/>
        <v/>
      </c>
      <c r="R9124" t="str">
        <f t="shared" si="1497"/>
        <v/>
      </c>
      <c r="S9124" t="str">
        <f t="shared" si="1498"/>
        <v/>
      </c>
      <c r="T9124" t="str">
        <f t="shared" si="1499"/>
        <v/>
      </c>
      <c r="U9124" t="str">
        <f t="shared" si="1500"/>
        <v/>
      </c>
      <c r="V9124" t="str">
        <f t="shared" si="1501"/>
        <v/>
      </c>
      <c r="W9124" t="str">
        <f t="shared" si="1502"/>
        <v/>
      </c>
      <c r="X9124">
        <f t="shared" si="1492"/>
        <v>0</v>
      </c>
      <c r="Z9124" t="str">
        <f t="shared" si="1503"/>
        <v/>
      </c>
      <c r="AA9124">
        <f t="shared" si="1493"/>
        <v>0</v>
      </c>
    </row>
    <row r="9125" spans="1:27" ht="21" customHeight="1" x14ac:dyDescent="0.95">
      <c r="A9125" s="56"/>
      <c r="B9125" s="57"/>
      <c r="C9125" s="57"/>
      <c r="D9125" s="57"/>
      <c r="E9125" s="56"/>
      <c r="F9125" s="57"/>
      <c r="G9125" s="57"/>
      <c r="H9125" s="56"/>
      <c r="I9125" s="56"/>
      <c r="J9125" s="58"/>
      <c r="K9125" s="58"/>
      <c r="L9125" s="13" t="str">
        <f t="shared" si="1494"/>
        <v/>
      </c>
      <c r="M9125" s="13" t="str">
        <f t="shared" si="1495"/>
        <v/>
      </c>
      <c r="Q9125" t="str">
        <f t="shared" si="1496"/>
        <v/>
      </c>
      <c r="R9125" t="str">
        <f t="shared" si="1497"/>
        <v/>
      </c>
      <c r="S9125" t="str">
        <f t="shared" si="1498"/>
        <v/>
      </c>
      <c r="T9125" t="str">
        <f t="shared" si="1499"/>
        <v/>
      </c>
      <c r="U9125" t="str">
        <f t="shared" si="1500"/>
        <v/>
      </c>
      <c r="V9125" t="str">
        <f t="shared" si="1501"/>
        <v/>
      </c>
      <c r="W9125" t="str">
        <f t="shared" si="1502"/>
        <v/>
      </c>
      <c r="X9125">
        <f t="shared" si="1492"/>
        <v>0</v>
      </c>
      <c r="Z9125" t="str">
        <f t="shared" si="1503"/>
        <v/>
      </c>
      <c r="AA9125">
        <f t="shared" si="1493"/>
        <v>0</v>
      </c>
    </row>
    <row r="9126" spans="1:27" ht="21" customHeight="1" x14ac:dyDescent="0.95">
      <c r="A9126" s="56"/>
      <c r="B9126" s="57"/>
      <c r="C9126" s="57"/>
      <c r="D9126" s="57"/>
      <c r="E9126" s="56"/>
      <c r="F9126" s="57"/>
      <c r="G9126" s="57"/>
      <c r="H9126" s="56"/>
      <c r="I9126" s="56"/>
      <c r="J9126" s="58"/>
      <c r="K9126" s="58"/>
      <c r="L9126" s="13" t="str">
        <f t="shared" si="1494"/>
        <v/>
      </c>
      <c r="M9126" s="13" t="str">
        <f t="shared" si="1495"/>
        <v/>
      </c>
      <c r="Q9126" t="str">
        <f t="shared" si="1496"/>
        <v/>
      </c>
      <c r="R9126" t="str">
        <f t="shared" si="1497"/>
        <v/>
      </c>
      <c r="S9126" t="str">
        <f t="shared" si="1498"/>
        <v/>
      </c>
      <c r="T9126" t="str">
        <f t="shared" si="1499"/>
        <v/>
      </c>
      <c r="U9126" t="str">
        <f t="shared" si="1500"/>
        <v/>
      </c>
      <c r="V9126" t="str">
        <f t="shared" si="1501"/>
        <v/>
      </c>
      <c r="W9126" t="str">
        <f t="shared" si="1502"/>
        <v/>
      </c>
      <c r="X9126">
        <f t="shared" si="1492"/>
        <v>0</v>
      </c>
      <c r="Z9126" t="str">
        <f t="shared" si="1503"/>
        <v/>
      </c>
      <c r="AA9126">
        <f t="shared" si="1493"/>
        <v>0</v>
      </c>
    </row>
    <row r="9127" spans="1:27" ht="21" customHeight="1" x14ac:dyDescent="0.95">
      <c r="A9127" s="56"/>
      <c r="B9127" s="57"/>
      <c r="C9127" s="57"/>
      <c r="D9127" s="57"/>
      <c r="E9127" s="56"/>
      <c r="F9127" s="57"/>
      <c r="G9127" s="57"/>
      <c r="H9127" s="56"/>
      <c r="I9127" s="56"/>
      <c r="J9127" s="58"/>
      <c r="K9127" s="58"/>
      <c r="L9127" s="13" t="str">
        <f t="shared" si="1494"/>
        <v/>
      </c>
      <c r="M9127" s="13" t="str">
        <f t="shared" si="1495"/>
        <v/>
      </c>
      <c r="Q9127" t="str">
        <f t="shared" si="1496"/>
        <v/>
      </c>
      <c r="R9127" t="str">
        <f t="shared" si="1497"/>
        <v/>
      </c>
      <c r="S9127" t="str">
        <f t="shared" si="1498"/>
        <v/>
      </c>
      <c r="T9127" t="str">
        <f t="shared" si="1499"/>
        <v/>
      </c>
      <c r="U9127" t="str">
        <f t="shared" si="1500"/>
        <v/>
      </c>
      <c r="V9127" t="str">
        <f t="shared" si="1501"/>
        <v/>
      </c>
      <c r="W9127" t="str">
        <f t="shared" si="1502"/>
        <v/>
      </c>
      <c r="X9127">
        <f t="shared" si="1492"/>
        <v>0</v>
      </c>
      <c r="Z9127" t="str">
        <f t="shared" si="1503"/>
        <v/>
      </c>
      <c r="AA9127">
        <f t="shared" si="1493"/>
        <v>0</v>
      </c>
    </row>
    <row r="9128" spans="1:27" ht="21" customHeight="1" x14ac:dyDescent="0.95">
      <c r="A9128" s="56"/>
      <c r="B9128" s="57"/>
      <c r="C9128" s="57"/>
      <c r="D9128" s="57"/>
      <c r="E9128" s="56"/>
      <c r="F9128" s="57"/>
      <c r="G9128" s="57"/>
      <c r="H9128" s="56"/>
      <c r="I9128" s="56"/>
      <c r="J9128" s="58"/>
      <c r="K9128" s="58"/>
      <c r="L9128" s="13" t="str">
        <f t="shared" si="1494"/>
        <v/>
      </c>
      <c r="M9128" s="13" t="str">
        <f t="shared" si="1495"/>
        <v/>
      </c>
      <c r="Q9128" t="str">
        <f t="shared" si="1496"/>
        <v/>
      </c>
      <c r="R9128" t="str">
        <f t="shared" si="1497"/>
        <v/>
      </c>
      <c r="S9128" t="str">
        <f t="shared" si="1498"/>
        <v/>
      </c>
      <c r="T9128" t="str">
        <f t="shared" si="1499"/>
        <v/>
      </c>
      <c r="U9128" t="str">
        <f t="shared" si="1500"/>
        <v/>
      </c>
      <c r="V9128" t="str">
        <f t="shared" si="1501"/>
        <v/>
      </c>
      <c r="W9128" t="str">
        <f t="shared" si="1502"/>
        <v/>
      </c>
      <c r="X9128">
        <f t="shared" si="1492"/>
        <v>0</v>
      </c>
      <c r="Z9128" t="str">
        <f t="shared" si="1503"/>
        <v/>
      </c>
      <c r="AA9128">
        <f t="shared" si="1493"/>
        <v>0</v>
      </c>
    </row>
    <row r="9129" spans="1:27" ht="21" customHeight="1" x14ac:dyDescent="0.95">
      <c r="A9129" s="56"/>
      <c r="B9129" s="57"/>
      <c r="C9129" s="57"/>
      <c r="D9129" s="57"/>
      <c r="E9129" s="56"/>
      <c r="F9129" s="57"/>
      <c r="G9129" s="57"/>
      <c r="H9129" s="56"/>
      <c r="I9129" s="56"/>
      <c r="J9129" s="58"/>
      <c r="K9129" s="58"/>
      <c r="L9129" s="13" t="str">
        <f t="shared" si="1494"/>
        <v/>
      </c>
      <c r="M9129" s="13" t="str">
        <f t="shared" si="1495"/>
        <v/>
      </c>
      <c r="Q9129" t="str">
        <f t="shared" si="1496"/>
        <v/>
      </c>
      <c r="R9129" t="str">
        <f t="shared" si="1497"/>
        <v/>
      </c>
      <c r="S9129" t="str">
        <f t="shared" si="1498"/>
        <v/>
      </c>
      <c r="T9129" t="str">
        <f t="shared" si="1499"/>
        <v/>
      </c>
      <c r="U9129" t="str">
        <f t="shared" si="1500"/>
        <v/>
      </c>
      <c r="V9129" t="str">
        <f t="shared" si="1501"/>
        <v/>
      </c>
      <c r="W9129" t="str">
        <f t="shared" si="1502"/>
        <v/>
      </c>
      <c r="X9129">
        <f t="shared" si="1492"/>
        <v>0</v>
      </c>
      <c r="Z9129" t="str">
        <f t="shared" si="1503"/>
        <v/>
      </c>
      <c r="AA9129">
        <f t="shared" si="1493"/>
        <v>0</v>
      </c>
    </row>
    <row r="9130" spans="1:27" ht="21" customHeight="1" x14ac:dyDescent="0.95">
      <c r="A9130" s="56"/>
      <c r="B9130" s="57"/>
      <c r="C9130" s="57"/>
      <c r="D9130" s="57"/>
      <c r="E9130" s="56"/>
      <c r="F9130" s="57"/>
      <c r="G9130" s="57"/>
      <c r="H9130" s="56"/>
      <c r="I9130" s="56"/>
      <c r="J9130" s="58"/>
      <c r="K9130" s="58"/>
      <c r="L9130" s="13" t="str">
        <f t="shared" si="1494"/>
        <v/>
      </c>
      <c r="M9130" s="13" t="str">
        <f t="shared" si="1495"/>
        <v/>
      </c>
      <c r="Q9130" t="str">
        <f t="shared" si="1496"/>
        <v/>
      </c>
      <c r="R9130" t="str">
        <f t="shared" si="1497"/>
        <v/>
      </c>
      <c r="S9130" t="str">
        <f t="shared" si="1498"/>
        <v/>
      </c>
      <c r="T9130" t="str">
        <f t="shared" si="1499"/>
        <v/>
      </c>
      <c r="U9130" t="str">
        <f t="shared" si="1500"/>
        <v/>
      </c>
      <c r="V9130" t="str">
        <f t="shared" si="1501"/>
        <v/>
      </c>
      <c r="W9130" t="str">
        <f t="shared" si="1502"/>
        <v/>
      </c>
      <c r="X9130">
        <f t="shared" si="1492"/>
        <v>0</v>
      </c>
      <c r="Z9130" t="str">
        <f t="shared" si="1503"/>
        <v/>
      </c>
      <c r="AA9130">
        <f t="shared" si="1493"/>
        <v>0</v>
      </c>
    </row>
    <row r="9131" spans="1:27" ht="21" customHeight="1" x14ac:dyDescent="0.95">
      <c r="A9131" s="56"/>
      <c r="B9131" s="57"/>
      <c r="C9131" s="57"/>
      <c r="D9131" s="57"/>
      <c r="E9131" s="56"/>
      <c r="F9131" s="57"/>
      <c r="G9131" s="57"/>
      <c r="H9131" s="56"/>
      <c r="I9131" s="56"/>
      <c r="J9131" s="58"/>
      <c r="K9131" s="58"/>
      <c r="L9131" s="13" t="str">
        <f t="shared" si="1494"/>
        <v/>
      </c>
      <c r="M9131" s="13" t="str">
        <f t="shared" si="1495"/>
        <v/>
      </c>
      <c r="Q9131" t="str">
        <f t="shared" si="1496"/>
        <v/>
      </c>
      <c r="R9131" t="str">
        <f t="shared" si="1497"/>
        <v/>
      </c>
      <c r="S9131" t="str">
        <f t="shared" si="1498"/>
        <v/>
      </c>
      <c r="T9131" t="str">
        <f t="shared" si="1499"/>
        <v/>
      </c>
      <c r="U9131" t="str">
        <f t="shared" si="1500"/>
        <v/>
      </c>
      <c r="V9131" t="str">
        <f t="shared" si="1501"/>
        <v/>
      </c>
      <c r="W9131" t="str">
        <f t="shared" si="1502"/>
        <v/>
      </c>
      <c r="X9131">
        <f t="shared" si="1492"/>
        <v>0</v>
      </c>
      <c r="Z9131" t="str">
        <f t="shared" si="1503"/>
        <v/>
      </c>
      <c r="AA9131">
        <f t="shared" si="1493"/>
        <v>0</v>
      </c>
    </row>
    <row r="9132" spans="1:27" ht="21" customHeight="1" x14ac:dyDescent="0.95">
      <c r="A9132" s="56"/>
      <c r="B9132" s="57"/>
      <c r="C9132" s="57"/>
      <c r="D9132" s="57"/>
      <c r="E9132" s="56"/>
      <c r="F9132" s="57"/>
      <c r="G9132" s="57"/>
      <c r="H9132" s="56"/>
      <c r="I9132" s="56"/>
      <c r="J9132" s="58"/>
      <c r="K9132" s="58"/>
      <c r="L9132" s="13" t="str">
        <f t="shared" si="1494"/>
        <v/>
      </c>
      <c r="M9132" s="13" t="str">
        <f t="shared" si="1495"/>
        <v/>
      </c>
      <c r="Q9132" t="str">
        <f t="shared" si="1496"/>
        <v/>
      </c>
      <c r="R9132" t="str">
        <f t="shared" si="1497"/>
        <v/>
      </c>
      <c r="S9132" t="str">
        <f t="shared" si="1498"/>
        <v/>
      </c>
      <c r="T9132" t="str">
        <f t="shared" si="1499"/>
        <v/>
      </c>
      <c r="U9132" t="str">
        <f t="shared" si="1500"/>
        <v/>
      </c>
      <c r="V9132" t="str">
        <f t="shared" si="1501"/>
        <v/>
      </c>
      <c r="W9132" t="str">
        <f t="shared" si="1502"/>
        <v/>
      </c>
      <c r="X9132">
        <f t="shared" si="1492"/>
        <v>0</v>
      </c>
      <c r="Z9132" t="str">
        <f t="shared" si="1503"/>
        <v/>
      </c>
      <c r="AA9132">
        <f t="shared" si="1493"/>
        <v>0</v>
      </c>
    </row>
    <row r="9133" spans="1:27" ht="21" customHeight="1" x14ac:dyDescent="0.95">
      <c r="A9133" s="56"/>
      <c r="B9133" s="57"/>
      <c r="C9133" s="57"/>
      <c r="D9133" s="57"/>
      <c r="E9133" s="56"/>
      <c r="F9133" s="57"/>
      <c r="G9133" s="57"/>
      <c r="H9133" s="56"/>
      <c r="I9133" s="56"/>
      <c r="J9133" s="58"/>
      <c r="K9133" s="58"/>
      <c r="L9133" s="13" t="str">
        <f t="shared" si="1494"/>
        <v/>
      </c>
      <c r="M9133" s="13" t="str">
        <f t="shared" si="1495"/>
        <v/>
      </c>
      <c r="Q9133" t="str">
        <f t="shared" si="1496"/>
        <v/>
      </c>
      <c r="R9133" t="str">
        <f t="shared" si="1497"/>
        <v/>
      </c>
      <c r="S9133" t="str">
        <f t="shared" si="1498"/>
        <v/>
      </c>
      <c r="T9133" t="str">
        <f t="shared" si="1499"/>
        <v/>
      </c>
      <c r="U9133" t="str">
        <f t="shared" si="1500"/>
        <v/>
      </c>
      <c r="V9133" t="str">
        <f t="shared" si="1501"/>
        <v/>
      </c>
      <c r="W9133" t="str">
        <f t="shared" si="1502"/>
        <v/>
      </c>
      <c r="X9133">
        <f t="shared" si="1492"/>
        <v>0</v>
      </c>
      <c r="Z9133" t="str">
        <f t="shared" si="1503"/>
        <v/>
      </c>
      <c r="AA9133">
        <f t="shared" si="1493"/>
        <v>0</v>
      </c>
    </row>
    <row r="9134" spans="1:27" ht="21" customHeight="1" x14ac:dyDescent="0.95">
      <c r="A9134" s="56"/>
      <c r="B9134" s="57"/>
      <c r="C9134" s="57"/>
      <c r="D9134" s="57"/>
      <c r="E9134" s="56"/>
      <c r="F9134" s="57"/>
      <c r="G9134" s="57"/>
      <c r="H9134" s="56"/>
      <c r="I9134" s="56"/>
      <c r="J9134" s="58"/>
      <c r="K9134" s="58"/>
      <c r="L9134" s="13" t="str">
        <f t="shared" si="1494"/>
        <v/>
      </c>
      <c r="M9134" s="13" t="str">
        <f t="shared" si="1495"/>
        <v/>
      </c>
      <c r="Q9134" t="str">
        <f t="shared" si="1496"/>
        <v/>
      </c>
      <c r="R9134" t="str">
        <f t="shared" si="1497"/>
        <v/>
      </c>
      <c r="S9134" t="str">
        <f t="shared" si="1498"/>
        <v/>
      </c>
      <c r="T9134" t="str">
        <f t="shared" si="1499"/>
        <v/>
      </c>
      <c r="U9134" t="str">
        <f t="shared" si="1500"/>
        <v/>
      </c>
      <c r="V9134" t="str">
        <f t="shared" si="1501"/>
        <v/>
      </c>
      <c r="W9134" t="str">
        <f t="shared" si="1502"/>
        <v/>
      </c>
      <c r="X9134">
        <f t="shared" si="1492"/>
        <v>0</v>
      </c>
      <c r="Z9134" t="str">
        <f t="shared" si="1503"/>
        <v/>
      </c>
      <c r="AA9134">
        <f t="shared" si="1493"/>
        <v>0</v>
      </c>
    </row>
    <row r="9135" spans="1:27" ht="21" customHeight="1" x14ac:dyDescent="0.95">
      <c r="A9135" s="56"/>
      <c r="B9135" s="57"/>
      <c r="C9135" s="57"/>
      <c r="D9135" s="57"/>
      <c r="E9135" s="56"/>
      <c r="F9135" s="57"/>
      <c r="G9135" s="57"/>
      <c r="H9135" s="56"/>
      <c r="I9135" s="56"/>
      <c r="J9135" s="58"/>
      <c r="K9135" s="58"/>
      <c r="L9135" s="13" t="str">
        <f t="shared" si="1494"/>
        <v/>
      </c>
      <c r="M9135" s="13" t="str">
        <f t="shared" si="1495"/>
        <v/>
      </c>
      <c r="Q9135" t="str">
        <f t="shared" si="1496"/>
        <v/>
      </c>
      <c r="R9135" t="str">
        <f t="shared" si="1497"/>
        <v/>
      </c>
      <c r="S9135" t="str">
        <f t="shared" si="1498"/>
        <v/>
      </c>
      <c r="T9135" t="str">
        <f t="shared" si="1499"/>
        <v/>
      </c>
      <c r="U9135" t="str">
        <f t="shared" si="1500"/>
        <v/>
      </c>
      <c r="V9135" t="str">
        <f t="shared" si="1501"/>
        <v/>
      </c>
      <c r="W9135" t="str">
        <f t="shared" si="1502"/>
        <v/>
      </c>
      <c r="X9135">
        <f t="shared" si="1492"/>
        <v>0</v>
      </c>
      <c r="Z9135" t="str">
        <f t="shared" si="1503"/>
        <v/>
      </c>
      <c r="AA9135">
        <f t="shared" si="1493"/>
        <v>0</v>
      </c>
    </row>
    <row r="9136" spans="1:27" ht="21" customHeight="1" x14ac:dyDescent="0.95">
      <c r="A9136" s="56"/>
      <c r="B9136" s="57"/>
      <c r="C9136" s="57"/>
      <c r="D9136" s="57"/>
      <c r="E9136" s="56"/>
      <c r="F9136" s="57"/>
      <c r="G9136" s="57"/>
      <c r="H9136" s="56"/>
      <c r="I9136" s="56"/>
      <c r="J9136" s="58"/>
      <c r="K9136" s="58"/>
      <c r="L9136" s="13" t="str">
        <f t="shared" si="1494"/>
        <v/>
      </c>
      <c r="M9136" s="13" t="str">
        <f t="shared" si="1495"/>
        <v/>
      </c>
      <c r="Q9136" t="str">
        <f t="shared" si="1496"/>
        <v/>
      </c>
      <c r="R9136" t="str">
        <f t="shared" si="1497"/>
        <v/>
      </c>
      <c r="S9136" t="str">
        <f t="shared" si="1498"/>
        <v/>
      </c>
      <c r="T9136" t="str">
        <f t="shared" si="1499"/>
        <v/>
      </c>
      <c r="U9136" t="str">
        <f t="shared" si="1500"/>
        <v/>
      </c>
      <c r="V9136" t="str">
        <f t="shared" si="1501"/>
        <v/>
      </c>
      <c r="W9136" t="str">
        <f t="shared" si="1502"/>
        <v/>
      </c>
      <c r="X9136">
        <f t="shared" si="1492"/>
        <v>0</v>
      </c>
      <c r="Z9136" t="str">
        <f t="shared" si="1503"/>
        <v/>
      </c>
      <c r="AA9136">
        <f t="shared" si="1493"/>
        <v>0</v>
      </c>
    </row>
    <row r="9137" spans="1:27" ht="21" customHeight="1" x14ac:dyDescent="0.95">
      <c r="A9137" s="56"/>
      <c r="B9137" s="57"/>
      <c r="C9137" s="57"/>
      <c r="D9137" s="57"/>
      <c r="E9137" s="56"/>
      <c r="F9137" s="57"/>
      <c r="G9137" s="57"/>
      <c r="H9137" s="56"/>
      <c r="I9137" s="56"/>
      <c r="J9137" s="58"/>
      <c r="K9137" s="58"/>
      <c r="L9137" s="13" t="str">
        <f t="shared" si="1494"/>
        <v/>
      </c>
      <c r="M9137" s="13" t="str">
        <f t="shared" si="1495"/>
        <v/>
      </c>
      <c r="Q9137" t="str">
        <f t="shared" si="1496"/>
        <v/>
      </c>
      <c r="R9137" t="str">
        <f t="shared" si="1497"/>
        <v/>
      </c>
      <c r="S9137" t="str">
        <f t="shared" si="1498"/>
        <v/>
      </c>
      <c r="T9137" t="str">
        <f t="shared" si="1499"/>
        <v/>
      </c>
      <c r="U9137" t="str">
        <f t="shared" si="1500"/>
        <v/>
      </c>
      <c r="V9137" t="str">
        <f t="shared" si="1501"/>
        <v/>
      </c>
      <c r="W9137" t="str">
        <f t="shared" si="1502"/>
        <v/>
      </c>
      <c r="X9137">
        <f t="shared" si="1492"/>
        <v>0</v>
      </c>
      <c r="Z9137" t="str">
        <f t="shared" si="1503"/>
        <v/>
      </c>
      <c r="AA9137">
        <f t="shared" si="1493"/>
        <v>0</v>
      </c>
    </row>
    <row r="9138" spans="1:27" ht="21" customHeight="1" x14ac:dyDescent="0.95">
      <c r="A9138" s="56"/>
      <c r="B9138" s="57"/>
      <c r="C9138" s="57"/>
      <c r="D9138" s="57"/>
      <c r="E9138" s="56"/>
      <c r="F9138" s="57"/>
      <c r="G9138" s="57"/>
      <c r="H9138" s="56"/>
      <c r="I9138" s="56"/>
      <c r="J9138" s="58"/>
      <c r="K9138" s="58"/>
      <c r="L9138" s="13" t="str">
        <f t="shared" si="1494"/>
        <v/>
      </c>
      <c r="M9138" s="13" t="str">
        <f t="shared" si="1495"/>
        <v/>
      </c>
      <c r="Q9138" t="str">
        <f t="shared" si="1496"/>
        <v/>
      </c>
      <c r="R9138" t="str">
        <f t="shared" si="1497"/>
        <v/>
      </c>
      <c r="S9138" t="str">
        <f t="shared" si="1498"/>
        <v/>
      </c>
      <c r="T9138" t="str">
        <f t="shared" si="1499"/>
        <v/>
      </c>
      <c r="U9138" t="str">
        <f t="shared" si="1500"/>
        <v/>
      </c>
      <c r="V9138" t="str">
        <f t="shared" si="1501"/>
        <v/>
      </c>
      <c r="W9138" t="str">
        <f t="shared" si="1502"/>
        <v/>
      </c>
      <c r="X9138">
        <f t="shared" si="1492"/>
        <v>0</v>
      </c>
      <c r="Z9138" t="str">
        <f t="shared" si="1503"/>
        <v/>
      </c>
      <c r="AA9138">
        <f t="shared" si="1493"/>
        <v>0</v>
      </c>
    </row>
    <row r="9139" spans="1:27" ht="21" customHeight="1" x14ac:dyDescent="0.95">
      <c r="A9139" s="56"/>
      <c r="B9139" s="57"/>
      <c r="C9139" s="57"/>
      <c r="D9139" s="57"/>
      <c r="E9139" s="56"/>
      <c r="F9139" s="57"/>
      <c r="G9139" s="57"/>
      <c r="H9139" s="56"/>
      <c r="I9139" s="56"/>
      <c r="J9139" s="58"/>
      <c r="K9139" s="58"/>
      <c r="L9139" s="13" t="str">
        <f t="shared" si="1494"/>
        <v/>
      </c>
      <c r="M9139" s="13" t="str">
        <f t="shared" si="1495"/>
        <v/>
      </c>
      <c r="Q9139" t="str">
        <f t="shared" si="1496"/>
        <v/>
      </c>
      <c r="R9139" t="str">
        <f t="shared" si="1497"/>
        <v/>
      </c>
      <c r="S9139" t="str">
        <f t="shared" si="1498"/>
        <v/>
      </c>
      <c r="T9139" t="str">
        <f t="shared" si="1499"/>
        <v/>
      </c>
      <c r="U9139" t="str">
        <f t="shared" si="1500"/>
        <v/>
      </c>
      <c r="V9139" t="str">
        <f t="shared" si="1501"/>
        <v/>
      </c>
      <c r="W9139" t="str">
        <f t="shared" si="1502"/>
        <v/>
      </c>
      <c r="X9139">
        <f t="shared" si="1492"/>
        <v>0</v>
      </c>
      <c r="Z9139" t="str">
        <f t="shared" si="1503"/>
        <v/>
      </c>
      <c r="AA9139">
        <f t="shared" si="1493"/>
        <v>0</v>
      </c>
    </row>
    <row r="9140" spans="1:27" ht="21" customHeight="1" x14ac:dyDescent="0.95">
      <c r="A9140" s="56"/>
      <c r="B9140" s="57"/>
      <c r="C9140" s="57"/>
      <c r="D9140" s="57"/>
      <c r="E9140" s="56"/>
      <c r="F9140" s="57"/>
      <c r="G9140" s="57"/>
      <c r="H9140" s="56"/>
      <c r="I9140" s="56"/>
      <c r="J9140" s="58"/>
      <c r="K9140" s="58"/>
      <c r="L9140" s="13" t="str">
        <f t="shared" si="1494"/>
        <v/>
      </c>
      <c r="M9140" s="13" t="str">
        <f t="shared" si="1495"/>
        <v/>
      </c>
      <c r="Q9140" t="str">
        <f t="shared" si="1496"/>
        <v/>
      </c>
      <c r="R9140" t="str">
        <f t="shared" si="1497"/>
        <v/>
      </c>
      <c r="S9140" t="str">
        <f t="shared" si="1498"/>
        <v/>
      </c>
      <c r="T9140" t="str">
        <f t="shared" si="1499"/>
        <v/>
      </c>
      <c r="U9140" t="str">
        <f t="shared" si="1500"/>
        <v/>
      </c>
      <c r="V9140" t="str">
        <f t="shared" si="1501"/>
        <v/>
      </c>
      <c r="W9140" t="str">
        <f t="shared" si="1502"/>
        <v/>
      </c>
      <c r="X9140">
        <f t="shared" si="1492"/>
        <v>0</v>
      </c>
      <c r="Z9140" t="str">
        <f t="shared" si="1503"/>
        <v/>
      </c>
      <c r="AA9140">
        <f t="shared" si="1493"/>
        <v>0</v>
      </c>
    </row>
    <row r="9141" spans="1:27" ht="21" customHeight="1" x14ac:dyDescent="0.95">
      <c r="A9141" s="56"/>
      <c r="B9141" s="57"/>
      <c r="C9141" s="57"/>
      <c r="D9141" s="57"/>
      <c r="E9141" s="56"/>
      <c r="F9141" s="57"/>
      <c r="G9141" s="57"/>
      <c r="H9141" s="56"/>
      <c r="I9141" s="56"/>
      <c r="J9141" s="58"/>
      <c r="K9141" s="58"/>
      <c r="L9141" s="13" t="str">
        <f t="shared" si="1494"/>
        <v/>
      </c>
      <c r="M9141" s="13" t="str">
        <f t="shared" si="1495"/>
        <v/>
      </c>
      <c r="Q9141" t="str">
        <f t="shared" si="1496"/>
        <v/>
      </c>
      <c r="R9141" t="str">
        <f t="shared" si="1497"/>
        <v/>
      </c>
      <c r="S9141" t="str">
        <f t="shared" si="1498"/>
        <v/>
      </c>
      <c r="T9141" t="str">
        <f t="shared" si="1499"/>
        <v/>
      </c>
      <c r="U9141" t="str">
        <f t="shared" si="1500"/>
        <v/>
      </c>
      <c r="V9141" t="str">
        <f t="shared" si="1501"/>
        <v/>
      </c>
      <c r="W9141" t="str">
        <f t="shared" si="1502"/>
        <v/>
      </c>
      <c r="X9141">
        <f t="shared" ref="X9141:X9204" si="1504">IF($T9141="",N($X9140),IF(MATCH($T9141,$T$6:$T$10005,0)=ROW()-5,N($X9140)+1,N($X9140)))</f>
        <v>0</v>
      </c>
      <c r="Z9141" t="str">
        <f t="shared" si="1503"/>
        <v/>
      </c>
      <c r="AA9141">
        <f t="shared" ref="AA9141:AA9204" si="1505">IF($V9141="",N($AA9140),IF(MATCH($V9141,$V$6:$V$10005,0)=ROW()-5,N($AA9140)+1,N($AA9140)))</f>
        <v>0</v>
      </c>
    </row>
    <row r="9142" spans="1:27" ht="21" customHeight="1" x14ac:dyDescent="0.95">
      <c r="A9142" s="56"/>
      <c r="B9142" s="57"/>
      <c r="C9142" s="57"/>
      <c r="D9142" s="57"/>
      <c r="E9142" s="56"/>
      <c r="F9142" s="57"/>
      <c r="G9142" s="57"/>
      <c r="H9142" s="56"/>
      <c r="I9142" s="56"/>
      <c r="J9142" s="58"/>
      <c r="K9142" s="58"/>
      <c r="L9142" s="13" t="str">
        <f t="shared" si="1494"/>
        <v/>
      </c>
      <c r="M9142" s="13" t="str">
        <f t="shared" si="1495"/>
        <v/>
      </c>
      <c r="Q9142" t="str">
        <f t="shared" si="1496"/>
        <v/>
      </c>
      <c r="R9142" t="str">
        <f t="shared" si="1497"/>
        <v/>
      </c>
      <c r="S9142" t="str">
        <f t="shared" si="1498"/>
        <v/>
      </c>
      <c r="T9142" t="str">
        <f t="shared" si="1499"/>
        <v/>
      </c>
      <c r="U9142" t="str">
        <f t="shared" si="1500"/>
        <v/>
      </c>
      <c r="V9142" t="str">
        <f t="shared" si="1501"/>
        <v/>
      </c>
      <c r="W9142" t="str">
        <f t="shared" si="1502"/>
        <v/>
      </c>
      <c r="X9142">
        <f t="shared" si="1504"/>
        <v>0</v>
      </c>
      <c r="Z9142" t="str">
        <f t="shared" si="1503"/>
        <v/>
      </c>
      <c r="AA9142">
        <f t="shared" si="1505"/>
        <v>0</v>
      </c>
    </row>
    <row r="9143" spans="1:27" ht="21" customHeight="1" x14ac:dyDescent="0.95">
      <c r="A9143" s="56"/>
      <c r="B9143" s="57"/>
      <c r="C9143" s="57"/>
      <c r="D9143" s="57"/>
      <c r="E9143" s="56"/>
      <c r="F9143" s="57"/>
      <c r="G9143" s="57"/>
      <c r="H9143" s="56"/>
      <c r="I9143" s="56"/>
      <c r="J9143" s="58"/>
      <c r="K9143" s="58"/>
      <c r="L9143" s="13" t="str">
        <f t="shared" si="1494"/>
        <v/>
      </c>
      <c r="M9143" s="13" t="str">
        <f t="shared" si="1495"/>
        <v/>
      </c>
      <c r="Q9143" t="str">
        <f t="shared" si="1496"/>
        <v/>
      </c>
      <c r="R9143" t="str">
        <f t="shared" si="1497"/>
        <v/>
      </c>
      <c r="S9143" t="str">
        <f t="shared" si="1498"/>
        <v/>
      </c>
      <c r="T9143" t="str">
        <f t="shared" si="1499"/>
        <v/>
      </c>
      <c r="U9143" t="str">
        <f t="shared" si="1500"/>
        <v/>
      </c>
      <c r="V9143" t="str">
        <f t="shared" si="1501"/>
        <v/>
      </c>
      <c r="W9143" t="str">
        <f t="shared" si="1502"/>
        <v/>
      </c>
      <c r="X9143">
        <f t="shared" si="1504"/>
        <v>0</v>
      </c>
      <c r="Z9143" t="str">
        <f t="shared" si="1503"/>
        <v/>
      </c>
      <c r="AA9143">
        <f t="shared" si="1505"/>
        <v>0</v>
      </c>
    </row>
    <row r="9144" spans="1:27" ht="21" customHeight="1" x14ac:dyDescent="0.95">
      <c r="A9144" s="56"/>
      <c r="B9144" s="57"/>
      <c r="C9144" s="57"/>
      <c r="D9144" s="57"/>
      <c r="E9144" s="56"/>
      <c r="F9144" s="57"/>
      <c r="G9144" s="57"/>
      <c r="H9144" s="56"/>
      <c r="I9144" s="56"/>
      <c r="J9144" s="58"/>
      <c r="K9144" s="58"/>
      <c r="L9144" s="13" t="str">
        <f t="shared" si="1494"/>
        <v/>
      </c>
      <c r="M9144" s="13" t="str">
        <f t="shared" si="1495"/>
        <v/>
      </c>
      <c r="Q9144" t="str">
        <f t="shared" si="1496"/>
        <v/>
      </c>
      <c r="R9144" t="str">
        <f t="shared" si="1497"/>
        <v/>
      </c>
      <c r="S9144" t="str">
        <f t="shared" si="1498"/>
        <v/>
      </c>
      <c r="T9144" t="str">
        <f t="shared" si="1499"/>
        <v/>
      </c>
      <c r="U9144" t="str">
        <f t="shared" si="1500"/>
        <v/>
      </c>
      <c r="V9144" t="str">
        <f t="shared" si="1501"/>
        <v/>
      </c>
      <c r="W9144" t="str">
        <f t="shared" si="1502"/>
        <v/>
      </c>
      <c r="X9144">
        <f t="shared" si="1504"/>
        <v>0</v>
      </c>
      <c r="Z9144" t="str">
        <f t="shared" si="1503"/>
        <v/>
      </c>
      <c r="AA9144">
        <f t="shared" si="1505"/>
        <v>0</v>
      </c>
    </row>
    <row r="9145" spans="1:27" ht="21" customHeight="1" x14ac:dyDescent="0.95">
      <c r="A9145" s="56"/>
      <c r="B9145" s="57"/>
      <c r="C9145" s="57"/>
      <c r="D9145" s="57"/>
      <c r="E9145" s="56"/>
      <c r="F9145" s="57"/>
      <c r="G9145" s="57"/>
      <c r="H9145" s="56"/>
      <c r="I9145" s="56"/>
      <c r="J9145" s="58"/>
      <c r="K9145" s="58"/>
      <c r="L9145" s="13" t="str">
        <f t="shared" si="1494"/>
        <v/>
      </c>
      <c r="M9145" s="13" t="str">
        <f t="shared" si="1495"/>
        <v/>
      </c>
      <c r="Q9145" t="str">
        <f t="shared" si="1496"/>
        <v/>
      </c>
      <c r="R9145" t="str">
        <f t="shared" si="1497"/>
        <v/>
      </c>
      <c r="S9145" t="str">
        <f t="shared" si="1498"/>
        <v/>
      </c>
      <c r="T9145" t="str">
        <f t="shared" si="1499"/>
        <v/>
      </c>
      <c r="U9145" t="str">
        <f t="shared" si="1500"/>
        <v/>
      </c>
      <c r="V9145" t="str">
        <f t="shared" si="1501"/>
        <v/>
      </c>
      <c r="W9145" t="str">
        <f t="shared" si="1502"/>
        <v/>
      </c>
      <c r="X9145">
        <f t="shared" si="1504"/>
        <v>0</v>
      </c>
      <c r="Z9145" t="str">
        <f t="shared" si="1503"/>
        <v/>
      </c>
      <c r="AA9145">
        <f t="shared" si="1505"/>
        <v>0</v>
      </c>
    </row>
    <row r="9146" spans="1:27" ht="21" customHeight="1" x14ac:dyDescent="0.95">
      <c r="A9146" s="56"/>
      <c r="B9146" s="57"/>
      <c r="C9146" s="57"/>
      <c r="D9146" s="57"/>
      <c r="E9146" s="56"/>
      <c r="F9146" s="57"/>
      <c r="G9146" s="57"/>
      <c r="H9146" s="56"/>
      <c r="I9146" s="56"/>
      <c r="J9146" s="58"/>
      <c r="K9146" s="58"/>
      <c r="L9146" s="13" t="str">
        <f t="shared" si="1494"/>
        <v/>
      </c>
      <c r="M9146" s="13" t="str">
        <f t="shared" si="1495"/>
        <v/>
      </c>
      <c r="Q9146" t="str">
        <f t="shared" si="1496"/>
        <v/>
      </c>
      <c r="R9146" t="str">
        <f t="shared" si="1497"/>
        <v/>
      </c>
      <c r="S9146" t="str">
        <f t="shared" si="1498"/>
        <v/>
      </c>
      <c r="T9146" t="str">
        <f t="shared" si="1499"/>
        <v/>
      </c>
      <c r="U9146" t="str">
        <f t="shared" si="1500"/>
        <v/>
      </c>
      <c r="V9146" t="str">
        <f t="shared" si="1501"/>
        <v/>
      </c>
      <c r="W9146" t="str">
        <f t="shared" si="1502"/>
        <v/>
      </c>
      <c r="X9146">
        <f t="shared" si="1504"/>
        <v>0</v>
      </c>
      <c r="Z9146" t="str">
        <f t="shared" si="1503"/>
        <v/>
      </c>
      <c r="AA9146">
        <f t="shared" si="1505"/>
        <v>0</v>
      </c>
    </row>
    <row r="9147" spans="1:27" ht="21" customHeight="1" x14ac:dyDescent="0.95">
      <c r="A9147" s="56"/>
      <c r="B9147" s="57"/>
      <c r="C9147" s="57"/>
      <c r="D9147" s="57"/>
      <c r="E9147" s="56"/>
      <c r="F9147" s="57"/>
      <c r="G9147" s="57"/>
      <c r="H9147" s="56"/>
      <c r="I9147" s="56"/>
      <c r="J9147" s="58"/>
      <c r="K9147" s="58"/>
      <c r="L9147" s="13" t="str">
        <f t="shared" si="1494"/>
        <v/>
      </c>
      <c r="M9147" s="13" t="str">
        <f t="shared" si="1495"/>
        <v/>
      </c>
      <c r="Q9147" t="str">
        <f t="shared" si="1496"/>
        <v/>
      </c>
      <c r="R9147" t="str">
        <f t="shared" si="1497"/>
        <v/>
      </c>
      <c r="S9147" t="str">
        <f t="shared" si="1498"/>
        <v/>
      </c>
      <c r="T9147" t="str">
        <f t="shared" si="1499"/>
        <v/>
      </c>
      <c r="U9147" t="str">
        <f t="shared" si="1500"/>
        <v/>
      </c>
      <c r="V9147" t="str">
        <f t="shared" si="1501"/>
        <v/>
      </c>
      <c r="W9147" t="str">
        <f t="shared" si="1502"/>
        <v/>
      </c>
      <c r="X9147">
        <f t="shared" si="1504"/>
        <v>0</v>
      </c>
      <c r="Z9147" t="str">
        <f t="shared" si="1503"/>
        <v/>
      </c>
      <c r="AA9147">
        <f t="shared" si="1505"/>
        <v>0</v>
      </c>
    </row>
    <row r="9148" spans="1:27" ht="21" customHeight="1" x14ac:dyDescent="0.95">
      <c r="A9148" s="56"/>
      <c r="B9148" s="57"/>
      <c r="C9148" s="57"/>
      <c r="D9148" s="57"/>
      <c r="E9148" s="56"/>
      <c r="F9148" s="57"/>
      <c r="G9148" s="57"/>
      <c r="H9148" s="56"/>
      <c r="I9148" s="56"/>
      <c r="J9148" s="58"/>
      <c r="K9148" s="58"/>
      <c r="L9148" s="13" t="str">
        <f t="shared" si="1494"/>
        <v/>
      </c>
      <c r="M9148" s="13" t="str">
        <f t="shared" si="1495"/>
        <v/>
      </c>
      <c r="Q9148" t="str">
        <f t="shared" si="1496"/>
        <v/>
      </c>
      <c r="R9148" t="str">
        <f t="shared" si="1497"/>
        <v/>
      </c>
      <c r="S9148" t="str">
        <f t="shared" si="1498"/>
        <v/>
      </c>
      <c r="T9148" t="str">
        <f t="shared" si="1499"/>
        <v/>
      </c>
      <c r="U9148" t="str">
        <f t="shared" si="1500"/>
        <v/>
      </c>
      <c r="V9148" t="str">
        <f t="shared" si="1501"/>
        <v/>
      </c>
      <c r="W9148" t="str">
        <f t="shared" si="1502"/>
        <v/>
      </c>
      <c r="X9148">
        <f t="shared" si="1504"/>
        <v>0</v>
      </c>
      <c r="Z9148" t="str">
        <f t="shared" si="1503"/>
        <v/>
      </c>
      <c r="AA9148">
        <f t="shared" si="1505"/>
        <v>0</v>
      </c>
    </row>
    <row r="9149" spans="1:27" ht="21" customHeight="1" x14ac:dyDescent="0.95">
      <c r="A9149" s="56"/>
      <c r="B9149" s="57"/>
      <c r="C9149" s="57"/>
      <c r="D9149" s="57"/>
      <c r="E9149" s="56"/>
      <c r="F9149" s="57"/>
      <c r="G9149" s="57"/>
      <c r="H9149" s="56"/>
      <c r="I9149" s="56"/>
      <c r="J9149" s="58"/>
      <c r="K9149" s="58"/>
      <c r="L9149" s="13" t="str">
        <f t="shared" si="1494"/>
        <v/>
      </c>
      <c r="M9149" s="13" t="str">
        <f t="shared" si="1495"/>
        <v/>
      </c>
      <c r="Q9149" t="str">
        <f t="shared" si="1496"/>
        <v/>
      </c>
      <c r="R9149" t="str">
        <f t="shared" si="1497"/>
        <v/>
      </c>
      <c r="S9149" t="str">
        <f t="shared" si="1498"/>
        <v/>
      </c>
      <c r="T9149" t="str">
        <f t="shared" si="1499"/>
        <v/>
      </c>
      <c r="U9149" t="str">
        <f t="shared" si="1500"/>
        <v/>
      </c>
      <c r="V9149" t="str">
        <f t="shared" si="1501"/>
        <v/>
      </c>
      <c r="W9149" t="str">
        <f t="shared" si="1502"/>
        <v/>
      </c>
      <c r="X9149">
        <f t="shared" si="1504"/>
        <v>0</v>
      </c>
      <c r="Z9149" t="str">
        <f t="shared" si="1503"/>
        <v/>
      </c>
      <c r="AA9149">
        <f t="shared" si="1505"/>
        <v>0</v>
      </c>
    </row>
    <row r="9150" spans="1:27" ht="21" customHeight="1" x14ac:dyDescent="0.95">
      <c r="A9150" s="56"/>
      <c r="B9150" s="57"/>
      <c r="C9150" s="57"/>
      <c r="D9150" s="57"/>
      <c r="E9150" s="56"/>
      <c r="F9150" s="57"/>
      <c r="G9150" s="57"/>
      <c r="H9150" s="56"/>
      <c r="I9150" s="56"/>
      <c r="J9150" s="58"/>
      <c r="K9150" s="58"/>
      <c r="L9150" s="13" t="str">
        <f t="shared" si="1494"/>
        <v/>
      </c>
      <c r="M9150" s="13" t="str">
        <f t="shared" si="1495"/>
        <v/>
      </c>
      <c r="Q9150" t="str">
        <f t="shared" si="1496"/>
        <v/>
      </c>
      <c r="R9150" t="str">
        <f t="shared" si="1497"/>
        <v/>
      </c>
      <c r="S9150" t="str">
        <f t="shared" si="1498"/>
        <v/>
      </c>
      <c r="T9150" t="str">
        <f t="shared" si="1499"/>
        <v/>
      </c>
      <c r="U9150" t="str">
        <f t="shared" si="1500"/>
        <v/>
      </c>
      <c r="V9150" t="str">
        <f t="shared" si="1501"/>
        <v/>
      </c>
      <c r="W9150" t="str">
        <f t="shared" si="1502"/>
        <v/>
      </c>
      <c r="X9150">
        <f t="shared" si="1504"/>
        <v>0</v>
      </c>
      <c r="Z9150" t="str">
        <f t="shared" si="1503"/>
        <v/>
      </c>
      <c r="AA9150">
        <f t="shared" si="1505"/>
        <v>0</v>
      </c>
    </row>
    <row r="9151" spans="1:27" ht="21" customHeight="1" x14ac:dyDescent="0.95">
      <c r="A9151" s="56"/>
      <c r="B9151" s="57"/>
      <c r="C9151" s="57"/>
      <c r="D9151" s="57"/>
      <c r="E9151" s="56"/>
      <c r="F9151" s="57"/>
      <c r="G9151" s="57"/>
      <c r="H9151" s="56"/>
      <c r="I9151" s="56"/>
      <c r="J9151" s="58"/>
      <c r="K9151" s="58"/>
      <c r="L9151" s="13" t="str">
        <f t="shared" si="1494"/>
        <v/>
      </c>
      <c r="M9151" s="13" t="str">
        <f t="shared" si="1495"/>
        <v/>
      </c>
      <c r="Q9151" t="str">
        <f t="shared" si="1496"/>
        <v/>
      </c>
      <c r="R9151" t="str">
        <f t="shared" si="1497"/>
        <v/>
      </c>
      <c r="S9151" t="str">
        <f t="shared" si="1498"/>
        <v/>
      </c>
      <c r="T9151" t="str">
        <f t="shared" si="1499"/>
        <v/>
      </c>
      <c r="U9151" t="str">
        <f t="shared" si="1500"/>
        <v/>
      </c>
      <c r="V9151" t="str">
        <f t="shared" si="1501"/>
        <v/>
      </c>
      <c r="W9151" t="str">
        <f t="shared" si="1502"/>
        <v/>
      </c>
      <c r="X9151">
        <f t="shared" si="1504"/>
        <v>0</v>
      </c>
      <c r="Z9151" t="str">
        <f t="shared" si="1503"/>
        <v/>
      </c>
      <c r="AA9151">
        <f t="shared" si="1505"/>
        <v>0</v>
      </c>
    </row>
    <row r="9152" spans="1:27" ht="21" customHeight="1" x14ac:dyDescent="0.95">
      <c r="A9152" s="56"/>
      <c r="B9152" s="57"/>
      <c r="C9152" s="57"/>
      <c r="D9152" s="57"/>
      <c r="E9152" s="56"/>
      <c r="F9152" s="57"/>
      <c r="G9152" s="57"/>
      <c r="H9152" s="56"/>
      <c r="I9152" s="56"/>
      <c r="J9152" s="58"/>
      <c r="K9152" s="58"/>
      <c r="L9152" s="13" t="str">
        <f t="shared" si="1494"/>
        <v/>
      </c>
      <c r="M9152" s="13" t="str">
        <f t="shared" si="1495"/>
        <v/>
      </c>
      <c r="Q9152" t="str">
        <f t="shared" si="1496"/>
        <v/>
      </c>
      <c r="R9152" t="str">
        <f t="shared" si="1497"/>
        <v/>
      </c>
      <c r="S9152" t="str">
        <f t="shared" si="1498"/>
        <v/>
      </c>
      <c r="T9152" t="str">
        <f t="shared" si="1499"/>
        <v/>
      </c>
      <c r="U9152" t="str">
        <f t="shared" si="1500"/>
        <v/>
      </c>
      <c r="V9152" t="str">
        <f t="shared" si="1501"/>
        <v/>
      </c>
      <c r="W9152" t="str">
        <f t="shared" si="1502"/>
        <v/>
      </c>
      <c r="X9152">
        <f t="shared" si="1504"/>
        <v>0</v>
      </c>
      <c r="Z9152" t="str">
        <f t="shared" si="1503"/>
        <v/>
      </c>
      <c r="AA9152">
        <f t="shared" si="1505"/>
        <v>0</v>
      </c>
    </row>
    <row r="9153" spans="1:27" ht="21" customHeight="1" x14ac:dyDescent="0.95">
      <c r="A9153" s="56"/>
      <c r="B9153" s="57"/>
      <c r="C9153" s="57"/>
      <c r="D9153" s="57"/>
      <c r="E9153" s="56"/>
      <c r="F9153" s="57"/>
      <c r="G9153" s="57"/>
      <c r="H9153" s="56"/>
      <c r="I9153" s="56"/>
      <c r="J9153" s="58"/>
      <c r="K9153" s="58"/>
      <c r="L9153" s="13" t="str">
        <f t="shared" si="1494"/>
        <v/>
      </c>
      <c r="M9153" s="13" t="str">
        <f t="shared" si="1495"/>
        <v/>
      </c>
      <c r="Q9153" t="str">
        <f t="shared" si="1496"/>
        <v/>
      </c>
      <c r="R9153" t="str">
        <f t="shared" si="1497"/>
        <v/>
      </c>
      <c r="S9153" t="str">
        <f t="shared" si="1498"/>
        <v/>
      </c>
      <c r="T9153" t="str">
        <f t="shared" si="1499"/>
        <v/>
      </c>
      <c r="U9153" t="str">
        <f t="shared" si="1500"/>
        <v/>
      </c>
      <c r="V9153" t="str">
        <f t="shared" si="1501"/>
        <v/>
      </c>
      <c r="W9153" t="str">
        <f t="shared" si="1502"/>
        <v/>
      </c>
      <c r="X9153">
        <f t="shared" si="1504"/>
        <v>0</v>
      </c>
      <c r="Z9153" t="str">
        <f t="shared" si="1503"/>
        <v/>
      </c>
      <c r="AA9153">
        <f t="shared" si="1505"/>
        <v>0</v>
      </c>
    </row>
    <row r="9154" spans="1:27" ht="21" customHeight="1" x14ac:dyDescent="0.95">
      <c r="A9154" s="56"/>
      <c r="B9154" s="57"/>
      <c r="C9154" s="57"/>
      <c r="D9154" s="57"/>
      <c r="E9154" s="56"/>
      <c r="F9154" s="57"/>
      <c r="G9154" s="57"/>
      <c r="H9154" s="56"/>
      <c r="I9154" s="56"/>
      <c r="J9154" s="58"/>
      <c r="K9154" s="58"/>
      <c r="L9154" s="13" t="str">
        <f t="shared" si="1494"/>
        <v/>
      </c>
      <c r="M9154" s="13" t="str">
        <f t="shared" si="1495"/>
        <v/>
      </c>
      <c r="Q9154" t="str">
        <f t="shared" si="1496"/>
        <v/>
      </c>
      <c r="R9154" t="str">
        <f t="shared" si="1497"/>
        <v/>
      </c>
      <c r="S9154" t="str">
        <f t="shared" si="1498"/>
        <v/>
      </c>
      <c r="T9154" t="str">
        <f t="shared" si="1499"/>
        <v/>
      </c>
      <c r="U9154" t="str">
        <f t="shared" si="1500"/>
        <v/>
      </c>
      <c r="V9154" t="str">
        <f t="shared" si="1501"/>
        <v/>
      </c>
      <c r="W9154" t="str">
        <f t="shared" si="1502"/>
        <v/>
      </c>
      <c r="X9154">
        <f t="shared" si="1504"/>
        <v>0</v>
      </c>
      <c r="Z9154" t="str">
        <f t="shared" si="1503"/>
        <v/>
      </c>
      <c r="AA9154">
        <f t="shared" si="1505"/>
        <v>0</v>
      </c>
    </row>
    <row r="9155" spans="1:27" ht="21" customHeight="1" x14ac:dyDescent="0.95">
      <c r="A9155" s="56"/>
      <c r="B9155" s="57"/>
      <c r="C9155" s="57"/>
      <c r="D9155" s="57"/>
      <c r="E9155" s="56"/>
      <c r="F9155" s="57"/>
      <c r="G9155" s="57"/>
      <c r="H9155" s="56"/>
      <c r="I9155" s="56"/>
      <c r="J9155" s="58"/>
      <c r="K9155" s="58"/>
      <c r="L9155" s="13" t="str">
        <f t="shared" si="1494"/>
        <v/>
      </c>
      <c r="M9155" s="13" t="str">
        <f t="shared" si="1495"/>
        <v/>
      </c>
      <c r="Q9155" t="str">
        <f t="shared" si="1496"/>
        <v/>
      </c>
      <c r="R9155" t="str">
        <f t="shared" si="1497"/>
        <v/>
      </c>
      <c r="S9155" t="str">
        <f t="shared" si="1498"/>
        <v/>
      </c>
      <c r="T9155" t="str">
        <f t="shared" si="1499"/>
        <v/>
      </c>
      <c r="U9155" t="str">
        <f t="shared" si="1500"/>
        <v/>
      </c>
      <c r="V9155" t="str">
        <f t="shared" si="1501"/>
        <v/>
      </c>
      <c r="W9155" t="str">
        <f t="shared" si="1502"/>
        <v/>
      </c>
      <c r="X9155">
        <f t="shared" si="1504"/>
        <v>0</v>
      </c>
      <c r="Z9155" t="str">
        <f t="shared" si="1503"/>
        <v/>
      </c>
      <c r="AA9155">
        <f t="shared" si="1505"/>
        <v>0</v>
      </c>
    </row>
    <row r="9156" spans="1:27" ht="21" customHeight="1" x14ac:dyDescent="0.95">
      <c r="A9156" s="56"/>
      <c r="B9156" s="57"/>
      <c r="C9156" s="57"/>
      <c r="D9156" s="57"/>
      <c r="E9156" s="56"/>
      <c r="F9156" s="57"/>
      <c r="G9156" s="57"/>
      <c r="H9156" s="56"/>
      <c r="I9156" s="56"/>
      <c r="J9156" s="58"/>
      <c r="K9156" s="58"/>
      <c r="L9156" s="13" t="str">
        <f t="shared" ref="L9156:L9219" si="1506">IF(OR($A9156="",AND($J9156="",$K9156="")),"",ROUND(N($J9156)-N($K9156),2))</f>
        <v/>
      </c>
      <c r="M9156" s="13" t="str">
        <f t="shared" ref="M9156:M9219" si="1507">IF(OR($A9156="",AND($J9156="",$K9156="")),"",MIN($J9156,$K9156))</f>
        <v/>
      </c>
      <c r="Q9156" t="str">
        <f t="shared" ref="Q9156:Q9219" si="1508">IF($A9156="","",$D9156&amp;"("&amp;SUBSTITUTE($E9156," ","")&amp;")")</f>
        <v/>
      </c>
      <c r="R9156" t="str">
        <f t="shared" ref="R9156:R9219" si="1509">IF($A9156="","",$B9156&amp;" - "&amp;$C9156)</f>
        <v/>
      </c>
      <c r="S9156" t="str">
        <f t="shared" ref="S9156:S9219" si="1510">IF($A9156="","",$R9156&amp;"|"&amp;$Q9156)</f>
        <v/>
      </c>
      <c r="T9156" t="str">
        <f t="shared" ref="T9156:T9219" si="1511">IF($A9156="","",$S9156&amp;"|"&amp;$F9156)</f>
        <v/>
      </c>
      <c r="U9156" t="str">
        <f t="shared" ref="U9156:U9219" si="1512">IF($A9156="","",$R9156&amp;"("&amp;$E9156&amp;")")</f>
        <v/>
      </c>
      <c r="V9156" t="str">
        <f t="shared" ref="V9156:V9219" si="1513">IF($A9156="","",$F9156&amp;"|"&amp;$U9156&amp;"|"&amp;$D9156)</f>
        <v/>
      </c>
      <c r="W9156" t="str">
        <f t="shared" si="1502"/>
        <v/>
      </c>
      <c r="X9156">
        <f t="shared" si="1504"/>
        <v>0</v>
      </c>
      <c r="Z9156" t="str">
        <f t="shared" si="1503"/>
        <v/>
      </c>
      <c r="AA9156">
        <f t="shared" si="1505"/>
        <v>0</v>
      </c>
    </row>
    <row r="9157" spans="1:27" ht="21" customHeight="1" x14ac:dyDescent="0.95">
      <c r="A9157" s="56"/>
      <c r="B9157" s="57"/>
      <c r="C9157" s="57"/>
      <c r="D9157" s="57"/>
      <c r="E9157" s="56"/>
      <c r="F9157" s="57"/>
      <c r="G9157" s="57"/>
      <c r="H9157" s="56"/>
      <c r="I9157" s="56"/>
      <c r="J9157" s="58"/>
      <c r="K9157" s="58"/>
      <c r="L9157" s="13" t="str">
        <f t="shared" si="1506"/>
        <v/>
      </c>
      <c r="M9157" s="13" t="str">
        <f t="shared" si="1507"/>
        <v/>
      </c>
      <c r="Q9157" t="str">
        <f t="shared" si="1508"/>
        <v/>
      </c>
      <c r="R9157" t="str">
        <f t="shared" si="1509"/>
        <v/>
      </c>
      <c r="S9157" t="str">
        <f t="shared" si="1510"/>
        <v/>
      </c>
      <c r="T9157" t="str">
        <f t="shared" si="1511"/>
        <v/>
      </c>
      <c r="U9157" t="str">
        <f t="shared" si="1512"/>
        <v/>
      </c>
      <c r="V9157" t="str">
        <f t="shared" si="1513"/>
        <v/>
      </c>
      <c r="W9157" t="str">
        <f t="shared" si="1502"/>
        <v/>
      </c>
      <c r="X9157">
        <f t="shared" si="1504"/>
        <v>0</v>
      </c>
      <c r="Z9157" t="str">
        <f t="shared" si="1503"/>
        <v/>
      </c>
      <c r="AA9157">
        <f t="shared" si="1505"/>
        <v>0</v>
      </c>
    </row>
    <row r="9158" spans="1:27" ht="21" customHeight="1" x14ac:dyDescent="0.95">
      <c r="A9158" s="56"/>
      <c r="B9158" s="57"/>
      <c r="C9158" s="57"/>
      <c r="D9158" s="57"/>
      <c r="E9158" s="56"/>
      <c r="F9158" s="57"/>
      <c r="G9158" s="57"/>
      <c r="H9158" s="56"/>
      <c r="I9158" s="56"/>
      <c r="J9158" s="58"/>
      <c r="K9158" s="58"/>
      <c r="L9158" s="13" t="str">
        <f t="shared" si="1506"/>
        <v/>
      </c>
      <c r="M9158" s="13" t="str">
        <f t="shared" si="1507"/>
        <v/>
      </c>
      <c r="Q9158" t="str">
        <f t="shared" si="1508"/>
        <v/>
      </c>
      <c r="R9158" t="str">
        <f t="shared" si="1509"/>
        <v/>
      </c>
      <c r="S9158" t="str">
        <f t="shared" si="1510"/>
        <v/>
      </c>
      <c r="T9158" t="str">
        <f t="shared" si="1511"/>
        <v/>
      </c>
      <c r="U9158" t="str">
        <f t="shared" si="1512"/>
        <v/>
      </c>
      <c r="V9158" t="str">
        <f t="shared" si="1513"/>
        <v/>
      </c>
      <c r="W9158" t="str">
        <f t="shared" ref="W9158:W9221" si="1514">IF($T9158="","",IF($X9158&gt;N($X9157),$X9158,""))</f>
        <v/>
      </c>
      <c r="X9158">
        <f t="shared" si="1504"/>
        <v>0</v>
      </c>
      <c r="Z9158" t="str">
        <f t="shared" ref="Z9158:Z9221" si="1515">IF($V9158="","",IF($AA9158&gt;N($AA9157),$AA9158,""))</f>
        <v/>
      </c>
      <c r="AA9158">
        <f t="shared" si="1505"/>
        <v>0</v>
      </c>
    </row>
    <row r="9159" spans="1:27" ht="21" customHeight="1" x14ac:dyDescent="0.95">
      <c r="A9159" s="56"/>
      <c r="B9159" s="57"/>
      <c r="C9159" s="57"/>
      <c r="D9159" s="57"/>
      <c r="E9159" s="56"/>
      <c r="F9159" s="57"/>
      <c r="G9159" s="57"/>
      <c r="H9159" s="56"/>
      <c r="I9159" s="56"/>
      <c r="J9159" s="58"/>
      <c r="K9159" s="58"/>
      <c r="L9159" s="13" t="str">
        <f t="shared" si="1506"/>
        <v/>
      </c>
      <c r="M9159" s="13" t="str">
        <f t="shared" si="1507"/>
        <v/>
      </c>
      <c r="Q9159" t="str">
        <f t="shared" si="1508"/>
        <v/>
      </c>
      <c r="R9159" t="str">
        <f t="shared" si="1509"/>
        <v/>
      </c>
      <c r="S9159" t="str">
        <f t="shared" si="1510"/>
        <v/>
      </c>
      <c r="T9159" t="str">
        <f t="shared" si="1511"/>
        <v/>
      </c>
      <c r="U9159" t="str">
        <f t="shared" si="1512"/>
        <v/>
      </c>
      <c r="V9159" t="str">
        <f t="shared" si="1513"/>
        <v/>
      </c>
      <c r="W9159" t="str">
        <f t="shared" si="1514"/>
        <v/>
      </c>
      <c r="X9159">
        <f t="shared" si="1504"/>
        <v>0</v>
      </c>
      <c r="Z9159" t="str">
        <f t="shared" si="1515"/>
        <v/>
      </c>
      <c r="AA9159">
        <f t="shared" si="1505"/>
        <v>0</v>
      </c>
    </row>
    <row r="9160" spans="1:27" ht="21" customHeight="1" x14ac:dyDescent="0.95">
      <c r="A9160" s="56"/>
      <c r="B9160" s="57"/>
      <c r="C9160" s="57"/>
      <c r="D9160" s="57"/>
      <c r="E9160" s="56"/>
      <c r="F9160" s="57"/>
      <c r="G9160" s="57"/>
      <c r="H9160" s="56"/>
      <c r="I9160" s="56"/>
      <c r="J9160" s="58"/>
      <c r="K9160" s="58"/>
      <c r="L9160" s="13" t="str">
        <f t="shared" si="1506"/>
        <v/>
      </c>
      <c r="M9160" s="13" t="str">
        <f t="shared" si="1507"/>
        <v/>
      </c>
      <c r="Q9160" t="str">
        <f t="shared" si="1508"/>
        <v/>
      </c>
      <c r="R9160" t="str">
        <f t="shared" si="1509"/>
        <v/>
      </c>
      <c r="S9160" t="str">
        <f t="shared" si="1510"/>
        <v/>
      </c>
      <c r="T9160" t="str">
        <f t="shared" si="1511"/>
        <v/>
      </c>
      <c r="U9160" t="str">
        <f t="shared" si="1512"/>
        <v/>
      </c>
      <c r="V9160" t="str">
        <f t="shared" si="1513"/>
        <v/>
      </c>
      <c r="W9160" t="str">
        <f t="shared" si="1514"/>
        <v/>
      </c>
      <c r="X9160">
        <f t="shared" si="1504"/>
        <v>0</v>
      </c>
      <c r="Z9160" t="str">
        <f t="shared" si="1515"/>
        <v/>
      </c>
      <c r="AA9160">
        <f t="shared" si="1505"/>
        <v>0</v>
      </c>
    </row>
    <row r="9161" spans="1:27" ht="21" customHeight="1" x14ac:dyDescent="0.95">
      <c r="A9161" s="56"/>
      <c r="B9161" s="57"/>
      <c r="C9161" s="57"/>
      <c r="D9161" s="57"/>
      <c r="E9161" s="56"/>
      <c r="F9161" s="57"/>
      <c r="G9161" s="57"/>
      <c r="H9161" s="56"/>
      <c r="I9161" s="56"/>
      <c r="J9161" s="58"/>
      <c r="K9161" s="58"/>
      <c r="L9161" s="13" t="str">
        <f t="shared" si="1506"/>
        <v/>
      </c>
      <c r="M9161" s="13" t="str">
        <f t="shared" si="1507"/>
        <v/>
      </c>
      <c r="Q9161" t="str">
        <f t="shared" si="1508"/>
        <v/>
      </c>
      <c r="R9161" t="str">
        <f t="shared" si="1509"/>
        <v/>
      </c>
      <c r="S9161" t="str">
        <f t="shared" si="1510"/>
        <v/>
      </c>
      <c r="T9161" t="str">
        <f t="shared" si="1511"/>
        <v/>
      </c>
      <c r="U9161" t="str">
        <f t="shared" si="1512"/>
        <v/>
      </c>
      <c r="V9161" t="str">
        <f t="shared" si="1513"/>
        <v/>
      </c>
      <c r="W9161" t="str">
        <f t="shared" si="1514"/>
        <v/>
      </c>
      <c r="X9161">
        <f t="shared" si="1504"/>
        <v>0</v>
      </c>
      <c r="Z9161" t="str">
        <f t="shared" si="1515"/>
        <v/>
      </c>
      <c r="AA9161">
        <f t="shared" si="1505"/>
        <v>0</v>
      </c>
    </row>
    <row r="9162" spans="1:27" ht="21" customHeight="1" x14ac:dyDescent="0.95">
      <c r="A9162" s="56"/>
      <c r="B9162" s="57"/>
      <c r="C9162" s="57"/>
      <c r="D9162" s="57"/>
      <c r="E9162" s="56"/>
      <c r="F9162" s="57"/>
      <c r="G9162" s="57"/>
      <c r="H9162" s="56"/>
      <c r="I9162" s="56"/>
      <c r="J9162" s="58"/>
      <c r="K9162" s="58"/>
      <c r="L9162" s="13" t="str">
        <f t="shared" si="1506"/>
        <v/>
      </c>
      <c r="M9162" s="13" t="str">
        <f t="shared" si="1507"/>
        <v/>
      </c>
      <c r="Q9162" t="str">
        <f t="shared" si="1508"/>
        <v/>
      </c>
      <c r="R9162" t="str">
        <f t="shared" si="1509"/>
        <v/>
      </c>
      <c r="S9162" t="str">
        <f t="shared" si="1510"/>
        <v/>
      </c>
      <c r="T9162" t="str">
        <f t="shared" si="1511"/>
        <v/>
      </c>
      <c r="U9162" t="str">
        <f t="shared" si="1512"/>
        <v/>
      </c>
      <c r="V9162" t="str">
        <f t="shared" si="1513"/>
        <v/>
      </c>
      <c r="W9162" t="str">
        <f t="shared" si="1514"/>
        <v/>
      </c>
      <c r="X9162">
        <f t="shared" si="1504"/>
        <v>0</v>
      </c>
      <c r="Z9162" t="str">
        <f t="shared" si="1515"/>
        <v/>
      </c>
      <c r="AA9162">
        <f t="shared" si="1505"/>
        <v>0</v>
      </c>
    </row>
    <row r="9163" spans="1:27" ht="21" customHeight="1" x14ac:dyDescent="0.95">
      <c r="A9163" s="56"/>
      <c r="B9163" s="57"/>
      <c r="C9163" s="57"/>
      <c r="D9163" s="57"/>
      <c r="E9163" s="56"/>
      <c r="F9163" s="57"/>
      <c r="G9163" s="57"/>
      <c r="H9163" s="56"/>
      <c r="I9163" s="56"/>
      <c r="J9163" s="58"/>
      <c r="K9163" s="58"/>
      <c r="L9163" s="13" t="str">
        <f t="shared" si="1506"/>
        <v/>
      </c>
      <c r="M9163" s="13" t="str">
        <f t="shared" si="1507"/>
        <v/>
      </c>
      <c r="Q9163" t="str">
        <f t="shared" si="1508"/>
        <v/>
      </c>
      <c r="R9163" t="str">
        <f t="shared" si="1509"/>
        <v/>
      </c>
      <c r="S9163" t="str">
        <f t="shared" si="1510"/>
        <v/>
      </c>
      <c r="T9163" t="str">
        <f t="shared" si="1511"/>
        <v/>
      </c>
      <c r="U9163" t="str">
        <f t="shared" si="1512"/>
        <v/>
      </c>
      <c r="V9163" t="str">
        <f t="shared" si="1513"/>
        <v/>
      </c>
      <c r="W9163" t="str">
        <f t="shared" si="1514"/>
        <v/>
      </c>
      <c r="X9163">
        <f t="shared" si="1504"/>
        <v>0</v>
      </c>
      <c r="Z9163" t="str">
        <f t="shared" si="1515"/>
        <v/>
      </c>
      <c r="AA9163">
        <f t="shared" si="1505"/>
        <v>0</v>
      </c>
    </row>
    <row r="9164" spans="1:27" ht="21" customHeight="1" x14ac:dyDescent="0.95">
      <c r="A9164" s="56"/>
      <c r="B9164" s="57"/>
      <c r="C9164" s="57"/>
      <c r="D9164" s="57"/>
      <c r="E9164" s="56"/>
      <c r="F9164" s="57"/>
      <c r="G9164" s="57"/>
      <c r="H9164" s="56"/>
      <c r="I9164" s="56"/>
      <c r="J9164" s="58"/>
      <c r="K9164" s="58"/>
      <c r="L9164" s="13" t="str">
        <f t="shared" si="1506"/>
        <v/>
      </c>
      <c r="M9164" s="13" t="str">
        <f t="shared" si="1507"/>
        <v/>
      </c>
      <c r="Q9164" t="str">
        <f t="shared" si="1508"/>
        <v/>
      </c>
      <c r="R9164" t="str">
        <f t="shared" si="1509"/>
        <v/>
      </c>
      <c r="S9164" t="str">
        <f t="shared" si="1510"/>
        <v/>
      </c>
      <c r="T9164" t="str">
        <f t="shared" si="1511"/>
        <v/>
      </c>
      <c r="U9164" t="str">
        <f t="shared" si="1512"/>
        <v/>
      </c>
      <c r="V9164" t="str">
        <f t="shared" si="1513"/>
        <v/>
      </c>
      <c r="W9164" t="str">
        <f t="shared" si="1514"/>
        <v/>
      </c>
      <c r="X9164">
        <f t="shared" si="1504"/>
        <v>0</v>
      </c>
      <c r="Z9164" t="str">
        <f t="shared" si="1515"/>
        <v/>
      </c>
      <c r="AA9164">
        <f t="shared" si="1505"/>
        <v>0</v>
      </c>
    </row>
    <row r="9165" spans="1:27" ht="21" customHeight="1" x14ac:dyDescent="0.95">
      <c r="A9165" s="56"/>
      <c r="B9165" s="57"/>
      <c r="C9165" s="57"/>
      <c r="D9165" s="57"/>
      <c r="E9165" s="56"/>
      <c r="F9165" s="57"/>
      <c r="G9165" s="57"/>
      <c r="H9165" s="56"/>
      <c r="I9165" s="56"/>
      <c r="J9165" s="58"/>
      <c r="K9165" s="58"/>
      <c r="L9165" s="13" t="str">
        <f t="shared" si="1506"/>
        <v/>
      </c>
      <c r="M9165" s="13" t="str">
        <f t="shared" si="1507"/>
        <v/>
      </c>
      <c r="Q9165" t="str">
        <f t="shared" si="1508"/>
        <v/>
      </c>
      <c r="R9165" t="str">
        <f t="shared" si="1509"/>
        <v/>
      </c>
      <c r="S9165" t="str">
        <f t="shared" si="1510"/>
        <v/>
      </c>
      <c r="T9165" t="str">
        <f t="shared" si="1511"/>
        <v/>
      </c>
      <c r="U9165" t="str">
        <f t="shared" si="1512"/>
        <v/>
      </c>
      <c r="V9165" t="str">
        <f t="shared" si="1513"/>
        <v/>
      </c>
      <c r="W9165" t="str">
        <f t="shared" si="1514"/>
        <v/>
      </c>
      <c r="X9165">
        <f t="shared" si="1504"/>
        <v>0</v>
      </c>
      <c r="Z9165" t="str">
        <f t="shared" si="1515"/>
        <v/>
      </c>
      <c r="AA9165">
        <f t="shared" si="1505"/>
        <v>0</v>
      </c>
    </row>
    <row r="9166" spans="1:27" ht="21" customHeight="1" x14ac:dyDescent="0.95">
      <c r="A9166" s="56"/>
      <c r="B9166" s="57"/>
      <c r="C9166" s="57"/>
      <c r="D9166" s="57"/>
      <c r="E9166" s="56"/>
      <c r="F9166" s="57"/>
      <c r="G9166" s="57"/>
      <c r="H9166" s="56"/>
      <c r="I9166" s="56"/>
      <c r="J9166" s="58"/>
      <c r="K9166" s="58"/>
      <c r="L9166" s="13" t="str">
        <f t="shared" si="1506"/>
        <v/>
      </c>
      <c r="M9166" s="13" t="str">
        <f t="shared" si="1507"/>
        <v/>
      </c>
      <c r="Q9166" t="str">
        <f t="shared" si="1508"/>
        <v/>
      </c>
      <c r="R9166" t="str">
        <f t="shared" si="1509"/>
        <v/>
      </c>
      <c r="S9166" t="str">
        <f t="shared" si="1510"/>
        <v/>
      </c>
      <c r="T9166" t="str">
        <f t="shared" si="1511"/>
        <v/>
      </c>
      <c r="U9166" t="str">
        <f t="shared" si="1512"/>
        <v/>
      </c>
      <c r="V9166" t="str">
        <f t="shared" si="1513"/>
        <v/>
      </c>
      <c r="W9166" t="str">
        <f t="shared" si="1514"/>
        <v/>
      </c>
      <c r="X9166">
        <f t="shared" si="1504"/>
        <v>0</v>
      </c>
      <c r="Z9166" t="str">
        <f t="shared" si="1515"/>
        <v/>
      </c>
      <c r="AA9166">
        <f t="shared" si="1505"/>
        <v>0</v>
      </c>
    </row>
    <row r="9167" spans="1:27" ht="21" customHeight="1" x14ac:dyDescent="0.95">
      <c r="A9167" s="56"/>
      <c r="B9167" s="57"/>
      <c r="C9167" s="57"/>
      <c r="D9167" s="57"/>
      <c r="E9167" s="56"/>
      <c r="F9167" s="57"/>
      <c r="G9167" s="57"/>
      <c r="H9167" s="56"/>
      <c r="I9167" s="56"/>
      <c r="J9167" s="58"/>
      <c r="K9167" s="58"/>
      <c r="L9167" s="13" t="str">
        <f t="shared" si="1506"/>
        <v/>
      </c>
      <c r="M9167" s="13" t="str">
        <f t="shared" si="1507"/>
        <v/>
      </c>
      <c r="Q9167" t="str">
        <f t="shared" si="1508"/>
        <v/>
      </c>
      <c r="R9167" t="str">
        <f t="shared" si="1509"/>
        <v/>
      </c>
      <c r="S9167" t="str">
        <f t="shared" si="1510"/>
        <v/>
      </c>
      <c r="T9167" t="str">
        <f t="shared" si="1511"/>
        <v/>
      </c>
      <c r="U9167" t="str">
        <f t="shared" si="1512"/>
        <v/>
      </c>
      <c r="V9167" t="str">
        <f t="shared" si="1513"/>
        <v/>
      </c>
      <c r="W9167" t="str">
        <f t="shared" si="1514"/>
        <v/>
      </c>
      <c r="X9167">
        <f t="shared" si="1504"/>
        <v>0</v>
      </c>
      <c r="Z9167" t="str">
        <f t="shared" si="1515"/>
        <v/>
      </c>
      <c r="AA9167">
        <f t="shared" si="1505"/>
        <v>0</v>
      </c>
    </row>
    <row r="9168" spans="1:27" ht="21" customHeight="1" x14ac:dyDescent="0.95">
      <c r="A9168" s="56"/>
      <c r="B9168" s="57"/>
      <c r="C9168" s="57"/>
      <c r="D9168" s="57"/>
      <c r="E9168" s="56"/>
      <c r="F9168" s="57"/>
      <c r="G9168" s="57"/>
      <c r="H9168" s="56"/>
      <c r="I9168" s="56"/>
      <c r="J9168" s="58"/>
      <c r="K9168" s="58"/>
      <c r="L9168" s="13" t="str">
        <f t="shared" si="1506"/>
        <v/>
      </c>
      <c r="M9168" s="13" t="str">
        <f t="shared" si="1507"/>
        <v/>
      </c>
      <c r="Q9168" t="str">
        <f t="shared" si="1508"/>
        <v/>
      </c>
      <c r="R9168" t="str">
        <f t="shared" si="1509"/>
        <v/>
      </c>
      <c r="S9168" t="str">
        <f t="shared" si="1510"/>
        <v/>
      </c>
      <c r="T9168" t="str">
        <f t="shared" si="1511"/>
        <v/>
      </c>
      <c r="U9168" t="str">
        <f t="shared" si="1512"/>
        <v/>
      </c>
      <c r="V9168" t="str">
        <f t="shared" si="1513"/>
        <v/>
      </c>
      <c r="W9168" t="str">
        <f t="shared" si="1514"/>
        <v/>
      </c>
      <c r="X9168">
        <f t="shared" si="1504"/>
        <v>0</v>
      </c>
      <c r="Z9168" t="str">
        <f t="shared" si="1515"/>
        <v/>
      </c>
      <c r="AA9168">
        <f t="shared" si="1505"/>
        <v>0</v>
      </c>
    </row>
    <row r="9169" spans="1:27" ht="21" customHeight="1" x14ac:dyDescent="0.95">
      <c r="A9169" s="56"/>
      <c r="B9169" s="57"/>
      <c r="C9169" s="57"/>
      <c r="D9169" s="57"/>
      <c r="E9169" s="56"/>
      <c r="F9169" s="57"/>
      <c r="G9169" s="57"/>
      <c r="H9169" s="56"/>
      <c r="I9169" s="56"/>
      <c r="J9169" s="58"/>
      <c r="K9169" s="58"/>
      <c r="L9169" s="13" t="str">
        <f t="shared" si="1506"/>
        <v/>
      </c>
      <c r="M9169" s="13" t="str">
        <f t="shared" si="1507"/>
        <v/>
      </c>
      <c r="Q9169" t="str">
        <f t="shared" si="1508"/>
        <v/>
      </c>
      <c r="R9169" t="str">
        <f t="shared" si="1509"/>
        <v/>
      </c>
      <c r="S9169" t="str">
        <f t="shared" si="1510"/>
        <v/>
      </c>
      <c r="T9169" t="str">
        <f t="shared" si="1511"/>
        <v/>
      </c>
      <c r="U9169" t="str">
        <f t="shared" si="1512"/>
        <v/>
      </c>
      <c r="V9169" t="str">
        <f t="shared" si="1513"/>
        <v/>
      </c>
      <c r="W9169" t="str">
        <f t="shared" si="1514"/>
        <v/>
      </c>
      <c r="X9169">
        <f t="shared" si="1504"/>
        <v>0</v>
      </c>
      <c r="Z9169" t="str">
        <f t="shared" si="1515"/>
        <v/>
      </c>
      <c r="AA9169">
        <f t="shared" si="1505"/>
        <v>0</v>
      </c>
    </row>
    <row r="9170" spans="1:27" ht="21" customHeight="1" x14ac:dyDescent="0.95">
      <c r="A9170" s="56"/>
      <c r="B9170" s="57"/>
      <c r="C9170" s="57"/>
      <c r="D9170" s="57"/>
      <c r="E9170" s="56"/>
      <c r="F9170" s="57"/>
      <c r="G9170" s="57"/>
      <c r="H9170" s="56"/>
      <c r="I9170" s="56"/>
      <c r="J9170" s="58"/>
      <c r="K9170" s="58"/>
      <c r="L9170" s="13" t="str">
        <f t="shared" si="1506"/>
        <v/>
      </c>
      <c r="M9170" s="13" t="str">
        <f t="shared" si="1507"/>
        <v/>
      </c>
      <c r="Q9170" t="str">
        <f t="shared" si="1508"/>
        <v/>
      </c>
      <c r="R9170" t="str">
        <f t="shared" si="1509"/>
        <v/>
      </c>
      <c r="S9170" t="str">
        <f t="shared" si="1510"/>
        <v/>
      </c>
      <c r="T9170" t="str">
        <f t="shared" si="1511"/>
        <v/>
      </c>
      <c r="U9170" t="str">
        <f t="shared" si="1512"/>
        <v/>
      </c>
      <c r="V9170" t="str">
        <f t="shared" si="1513"/>
        <v/>
      </c>
      <c r="W9170" t="str">
        <f t="shared" si="1514"/>
        <v/>
      </c>
      <c r="X9170">
        <f t="shared" si="1504"/>
        <v>0</v>
      </c>
      <c r="Z9170" t="str">
        <f t="shared" si="1515"/>
        <v/>
      </c>
      <c r="AA9170">
        <f t="shared" si="1505"/>
        <v>0</v>
      </c>
    </row>
    <row r="9171" spans="1:27" ht="21" customHeight="1" x14ac:dyDescent="0.95">
      <c r="A9171" s="56"/>
      <c r="B9171" s="57"/>
      <c r="C9171" s="57"/>
      <c r="D9171" s="57"/>
      <c r="E9171" s="56"/>
      <c r="F9171" s="57"/>
      <c r="G9171" s="57"/>
      <c r="H9171" s="56"/>
      <c r="I9171" s="56"/>
      <c r="J9171" s="58"/>
      <c r="K9171" s="58"/>
      <c r="L9171" s="13" t="str">
        <f t="shared" si="1506"/>
        <v/>
      </c>
      <c r="M9171" s="13" t="str">
        <f t="shared" si="1507"/>
        <v/>
      </c>
      <c r="Q9171" t="str">
        <f t="shared" si="1508"/>
        <v/>
      </c>
      <c r="R9171" t="str">
        <f t="shared" si="1509"/>
        <v/>
      </c>
      <c r="S9171" t="str">
        <f t="shared" si="1510"/>
        <v/>
      </c>
      <c r="T9171" t="str">
        <f t="shared" si="1511"/>
        <v/>
      </c>
      <c r="U9171" t="str">
        <f t="shared" si="1512"/>
        <v/>
      </c>
      <c r="V9171" t="str">
        <f t="shared" si="1513"/>
        <v/>
      </c>
      <c r="W9171" t="str">
        <f t="shared" si="1514"/>
        <v/>
      </c>
      <c r="X9171">
        <f t="shared" si="1504"/>
        <v>0</v>
      </c>
      <c r="Z9171" t="str">
        <f t="shared" si="1515"/>
        <v/>
      </c>
      <c r="AA9171">
        <f t="shared" si="1505"/>
        <v>0</v>
      </c>
    </row>
    <row r="9172" spans="1:27" ht="21" customHeight="1" x14ac:dyDescent="0.95">
      <c r="A9172" s="56"/>
      <c r="B9172" s="57"/>
      <c r="C9172" s="57"/>
      <c r="D9172" s="57"/>
      <c r="E9172" s="56"/>
      <c r="F9172" s="57"/>
      <c r="G9172" s="57"/>
      <c r="H9172" s="56"/>
      <c r="I9172" s="56"/>
      <c r="J9172" s="58"/>
      <c r="K9172" s="58"/>
      <c r="L9172" s="13" t="str">
        <f t="shared" si="1506"/>
        <v/>
      </c>
      <c r="M9172" s="13" t="str">
        <f t="shared" si="1507"/>
        <v/>
      </c>
      <c r="Q9172" t="str">
        <f t="shared" si="1508"/>
        <v/>
      </c>
      <c r="R9172" t="str">
        <f t="shared" si="1509"/>
        <v/>
      </c>
      <c r="S9172" t="str">
        <f t="shared" si="1510"/>
        <v/>
      </c>
      <c r="T9172" t="str">
        <f t="shared" si="1511"/>
        <v/>
      </c>
      <c r="U9172" t="str">
        <f t="shared" si="1512"/>
        <v/>
      </c>
      <c r="V9172" t="str">
        <f t="shared" si="1513"/>
        <v/>
      </c>
      <c r="W9172" t="str">
        <f t="shared" si="1514"/>
        <v/>
      </c>
      <c r="X9172">
        <f t="shared" si="1504"/>
        <v>0</v>
      </c>
      <c r="Z9172" t="str">
        <f t="shared" si="1515"/>
        <v/>
      </c>
      <c r="AA9172">
        <f t="shared" si="1505"/>
        <v>0</v>
      </c>
    </row>
    <row r="9173" spans="1:27" ht="21" customHeight="1" x14ac:dyDescent="0.95">
      <c r="A9173" s="56"/>
      <c r="B9173" s="57"/>
      <c r="C9173" s="57"/>
      <c r="D9173" s="57"/>
      <c r="E9173" s="56"/>
      <c r="F9173" s="57"/>
      <c r="G9173" s="57"/>
      <c r="H9173" s="56"/>
      <c r="I9173" s="56"/>
      <c r="J9173" s="58"/>
      <c r="K9173" s="58"/>
      <c r="L9173" s="13" t="str">
        <f t="shared" si="1506"/>
        <v/>
      </c>
      <c r="M9173" s="13" t="str">
        <f t="shared" si="1507"/>
        <v/>
      </c>
      <c r="Q9173" t="str">
        <f t="shared" si="1508"/>
        <v/>
      </c>
      <c r="R9173" t="str">
        <f t="shared" si="1509"/>
        <v/>
      </c>
      <c r="S9173" t="str">
        <f t="shared" si="1510"/>
        <v/>
      </c>
      <c r="T9173" t="str">
        <f t="shared" si="1511"/>
        <v/>
      </c>
      <c r="U9173" t="str">
        <f t="shared" si="1512"/>
        <v/>
      </c>
      <c r="V9173" t="str">
        <f t="shared" si="1513"/>
        <v/>
      </c>
      <c r="W9173" t="str">
        <f t="shared" si="1514"/>
        <v/>
      </c>
      <c r="X9173">
        <f t="shared" si="1504"/>
        <v>0</v>
      </c>
      <c r="Z9173" t="str">
        <f t="shared" si="1515"/>
        <v/>
      </c>
      <c r="AA9173">
        <f t="shared" si="1505"/>
        <v>0</v>
      </c>
    </row>
    <row r="9174" spans="1:27" ht="21" customHeight="1" x14ac:dyDescent="0.95">
      <c r="A9174" s="56"/>
      <c r="B9174" s="57"/>
      <c r="C9174" s="57"/>
      <c r="D9174" s="57"/>
      <c r="E9174" s="56"/>
      <c r="F9174" s="57"/>
      <c r="G9174" s="57"/>
      <c r="H9174" s="56"/>
      <c r="I9174" s="56"/>
      <c r="J9174" s="58"/>
      <c r="K9174" s="58"/>
      <c r="L9174" s="13" t="str">
        <f t="shared" si="1506"/>
        <v/>
      </c>
      <c r="M9174" s="13" t="str">
        <f t="shared" si="1507"/>
        <v/>
      </c>
      <c r="Q9174" t="str">
        <f t="shared" si="1508"/>
        <v/>
      </c>
      <c r="R9174" t="str">
        <f t="shared" si="1509"/>
        <v/>
      </c>
      <c r="S9174" t="str">
        <f t="shared" si="1510"/>
        <v/>
      </c>
      <c r="T9174" t="str">
        <f t="shared" si="1511"/>
        <v/>
      </c>
      <c r="U9174" t="str">
        <f t="shared" si="1512"/>
        <v/>
      </c>
      <c r="V9174" t="str">
        <f t="shared" si="1513"/>
        <v/>
      </c>
      <c r="W9174" t="str">
        <f t="shared" si="1514"/>
        <v/>
      </c>
      <c r="X9174">
        <f t="shared" si="1504"/>
        <v>0</v>
      </c>
      <c r="Z9174" t="str">
        <f t="shared" si="1515"/>
        <v/>
      </c>
      <c r="AA9174">
        <f t="shared" si="1505"/>
        <v>0</v>
      </c>
    </row>
    <row r="9175" spans="1:27" ht="21" customHeight="1" x14ac:dyDescent="0.95">
      <c r="A9175" s="56"/>
      <c r="B9175" s="57"/>
      <c r="C9175" s="57"/>
      <c r="D9175" s="57"/>
      <c r="E9175" s="56"/>
      <c r="F9175" s="57"/>
      <c r="G9175" s="57"/>
      <c r="H9175" s="56"/>
      <c r="I9175" s="56"/>
      <c r="J9175" s="58"/>
      <c r="K9175" s="58"/>
      <c r="L9175" s="13" t="str">
        <f t="shared" si="1506"/>
        <v/>
      </c>
      <c r="M9175" s="13" t="str">
        <f t="shared" si="1507"/>
        <v/>
      </c>
      <c r="Q9175" t="str">
        <f t="shared" si="1508"/>
        <v/>
      </c>
      <c r="R9175" t="str">
        <f t="shared" si="1509"/>
        <v/>
      </c>
      <c r="S9175" t="str">
        <f t="shared" si="1510"/>
        <v/>
      </c>
      <c r="T9175" t="str">
        <f t="shared" si="1511"/>
        <v/>
      </c>
      <c r="U9175" t="str">
        <f t="shared" si="1512"/>
        <v/>
      </c>
      <c r="V9175" t="str">
        <f t="shared" si="1513"/>
        <v/>
      </c>
      <c r="W9175" t="str">
        <f t="shared" si="1514"/>
        <v/>
      </c>
      <c r="X9175">
        <f t="shared" si="1504"/>
        <v>0</v>
      </c>
      <c r="Z9175" t="str">
        <f t="shared" si="1515"/>
        <v/>
      </c>
      <c r="AA9175">
        <f t="shared" si="1505"/>
        <v>0</v>
      </c>
    </row>
    <row r="9176" spans="1:27" ht="21" customHeight="1" x14ac:dyDescent="0.95">
      <c r="A9176" s="56"/>
      <c r="B9176" s="57"/>
      <c r="C9176" s="57"/>
      <c r="D9176" s="57"/>
      <c r="E9176" s="56"/>
      <c r="F9176" s="57"/>
      <c r="G9176" s="57"/>
      <c r="H9176" s="56"/>
      <c r="I9176" s="56"/>
      <c r="J9176" s="58"/>
      <c r="K9176" s="58"/>
      <c r="L9176" s="13" t="str">
        <f t="shared" si="1506"/>
        <v/>
      </c>
      <c r="M9176" s="13" t="str">
        <f t="shared" si="1507"/>
        <v/>
      </c>
      <c r="Q9176" t="str">
        <f t="shared" si="1508"/>
        <v/>
      </c>
      <c r="R9176" t="str">
        <f t="shared" si="1509"/>
        <v/>
      </c>
      <c r="S9176" t="str">
        <f t="shared" si="1510"/>
        <v/>
      </c>
      <c r="T9176" t="str">
        <f t="shared" si="1511"/>
        <v/>
      </c>
      <c r="U9176" t="str">
        <f t="shared" si="1512"/>
        <v/>
      </c>
      <c r="V9176" t="str">
        <f t="shared" si="1513"/>
        <v/>
      </c>
      <c r="W9176" t="str">
        <f t="shared" si="1514"/>
        <v/>
      </c>
      <c r="X9176">
        <f t="shared" si="1504"/>
        <v>0</v>
      </c>
      <c r="Z9176" t="str">
        <f t="shared" si="1515"/>
        <v/>
      </c>
      <c r="AA9176">
        <f t="shared" si="1505"/>
        <v>0</v>
      </c>
    </row>
    <row r="9177" spans="1:27" ht="21" customHeight="1" x14ac:dyDescent="0.95">
      <c r="A9177" s="56"/>
      <c r="B9177" s="57"/>
      <c r="C9177" s="57"/>
      <c r="D9177" s="57"/>
      <c r="E9177" s="56"/>
      <c r="F9177" s="57"/>
      <c r="G9177" s="57"/>
      <c r="H9177" s="56"/>
      <c r="I9177" s="56"/>
      <c r="J9177" s="58"/>
      <c r="K9177" s="58"/>
      <c r="L9177" s="13" t="str">
        <f t="shared" si="1506"/>
        <v/>
      </c>
      <c r="M9177" s="13" t="str">
        <f t="shared" si="1507"/>
        <v/>
      </c>
      <c r="Q9177" t="str">
        <f t="shared" si="1508"/>
        <v/>
      </c>
      <c r="R9177" t="str">
        <f t="shared" si="1509"/>
        <v/>
      </c>
      <c r="S9177" t="str">
        <f t="shared" si="1510"/>
        <v/>
      </c>
      <c r="T9177" t="str">
        <f t="shared" si="1511"/>
        <v/>
      </c>
      <c r="U9177" t="str">
        <f t="shared" si="1512"/>
        <v/>
      </c>
      <c r="V9177" t="str">
        <f t="shared" si="1513"/>
        <v/>
      </c>
      <c r="W9177" t="str">
        <f t="shared" si="1514"/>
        <v/>
      </c>
      <c r="X9177">
        <f t="shared" si="1504"/>
        <v>0</v>
      </c>
      <c r="Z9177" t="str">
        <f t="shared" si="1515"/>
        <v/>
      </c>
      <c r="AA9177">
        <f t="shared" si="1505"/>
        <v>0</v>
      </c>
    </row>
    <row r="9178" spans="1:27" ht="21" customHeight="1" x14ac:dyDescent="0.95">
      <c r="A9178" s="56"/>
      <c r="B9178" s="57"/>
      <c r="C9178" s="57"/>
      <c r="D9178" s="57"/>
      <c r="E9178" s="56"/>
      <c r="F9178" s="57"/>
      <c r="G9178" s="57"/>
      <c r="H9178" s="56"/>
      <c r="I9178" s="56"/>
      <c r="J9178" s="58"/>
      <c r="K9178" s="58"/>
      <c r="L9178" s="13" t="str">
        <f t="shared" si="1506"/>
        <v/>
      </c>
      <c r="M9178" s="13" t="str">
        <f t="shared" si="1507"/>
        <v/>
      </c>
      <c r="Q9178" t="str">
        <f t="shared" si="1508"/>
        <v/>
      </c>
      <c r="R9178" t="str">
        <f t="shared" si="1509"/>
        <v/>
      </c>
      <c r="S9178" t="str">
        <f t="shared" si="1510"/>
        <v/>
      </c>
      <c r="T9178" t="str">
        <f t="shared" si="1511"/>
        <v/>
      </c>
      <c r="U9178" t="str">
        <f t="shared" si="1512"/>
        <v/>
      </c>
      <c r="V9178" t="str">
        <f t="shared" si="1513"/>
        <v/>
      </c>
      <c r="W9178" t="str">
        <f t="shared" si="1514"/>
        <v/>
      </c>
      <c r="X9178">
        <f t="shared" si="1504"/>
        <v>0</v>
      </c>
      <c r="Z9178" t="str">
        <f t="shared" si="1515"/>
        <v/>
      </c>
      <c r="AA9178">
        <f t="shared" si="1505"/>
        <v>0</v>
      </c>
    </row>
    <row r="9179" spans="1:27" ht="21" customHeight="1" x14ac:dyDescent="0.95">
      <c r="A9179" s="56"/>
      <c r="B9179" s="57"/>
      <c r="C9179" s="57"/>
      <c r="D9179" s="57"/>
      <c r="E9179" s="56"/>
      <c r="F9179" s="57"/>
      <c r="G9179" s="57"/>
      <c r="H9179" s="56"/>
      <c r="I9179" s="56"/>
      <c r="J9179" s="58"/>
      <c r="K9179" s="58"/>
      <c r="L9179" s="13" t="str">
        <f t="shared" si="1506"/>
        <v/>
      </c>
      <c r="M9179" s="13" t="str">
        <f t="shared" si="1507"/>
        <v/>
      </c>
      <c r="Q9179" t="str">
        <f t="shared" si="1508"/>
        <v/>
      </c>
      <c r="R9179" t="str">
        <f t="shared" si="1509"/>
        <v/>
      </c>
      <c r="S9179" t="str">
        <f t="shared" si="1510"/>
        <v/>
      </c>
      <c r="T9179" t="str">
        <f t="shared" si="1511"/>
        <v/>
      </c>
      <c r="U9179" t="str">
        <f t="shared" si="1512"/>
        <v/>
      </c>
      <c r="V9179" t="str">
        <f t="shared" si="1513"/>
        <v/>
      </c>
      <c r="W9179" t="str">
        <f t="shared" si="1514"/>
        <v/>
      </c>
      <c r="X9179">
        <f t="shared" si="1504"/>
        <v>0</v>
      </c>
      <c r="Z9179" t="str">
        <f t="shared" si="1515"/>
        <v/>
      </c>
      <c r="AA9179">
        <f t="shared" si="1505"/>
        <v>0</v>
      </c>
    </row>
    <row r="9180" spans="1:27" ht="21" customHeight="1" x14ac:dyDescent="0.95">
      <c r="A9180" s="56"/>
      <c r="B9180" s="57"/>
      <c r="C9180" s="57"/>
      <c r="D9180" s="57"/>
      <c r="E9180" s="56"/>
      <c r="F9180" s="57"/>
      <c r="G9180" s="57"/>
      <c r="H9180" s="56"/>
      <c r="I9180" s="56"/>
      <c r="J9180" s="58"/>
      <c r="K9180" s="58"/>
      <c r="L9180" s="13" t="str">
        <f t="shared" si="1506"/>
        <v/>
      </c>
      <c r="M9180" s="13" t="str">
        <f t="shared" si="1507"/>
        <v/>
      </c>
      <c r="Q9180" t="str">
        <f t="shared" si="1508"/>
        <v/>
      </c>
      <c r="R9180" t="str">
        <f t="shared" si="1509"/>
        <v/>
      </c>
      <c r="S9180" t="str">
        <f t="shared" si="1510"/>
        <v/>
      </c>
      <c r="T9180" t="str">
        <f t="shared" si="1511"/>
        <v/>
      </c>
      <c r="U9180" t="str">
        <f t="shared" si="1512"/>
        <v/>
      </c>
      <c r="V9180" t="str">
        <f t="shared" si="1513"/>
        <v/>
      </c>
      <c r="W9180" t="str">
        <f t="shared" si="1514"/>
        <v/>
      </c>
      <c r="X9180">
        <f t="shared" si="1504"/>
        <v>0</v>
      </c>
      <c r="Z9180" t="str">
        <f t="shared" si="1515"/>
        <v/>
      </c>
      <c r="AA9180">
        <f t="shared" si="1505"/>
        <v>0</v>
      </c>
    </row>
    <row r="9181" spans="1:27" ht="21" customHeight="1" x14ac:dyDescent="0.95">
      <c r="A9181" s="56"/>
      <c r="B9181" s="57"/>
      <c r="C9181" s="57"/>
      <c r="D9181" s="57"/>
      <c r="E9181" s="56"/>
      <c r="F9181" s="57"/>
      <c r="G9181" s="57"/>
      <c r="H9181" s="56"/>
      <c r="I9181" s="56"/>
      <c r="J9181" s="58"/>
      <c r="K9181" s="58"/>
      <c r="L9181" s="13" t="str">
        <f t="shared" si="1506"/>
        <v/>
      </c>
      <c r="M9181" s="13" t="str">
        <f t="shared" si="1507"/>
        <v/>
      </c>
      <c r="Q9181" t="str">
        <f t="shared" si="1508"/>
        <v/>
      </c>
      <c r="R9181" t="str">
        <f t="shared" si="1509"/>
        <v/>
      </c>
      <c r="S9181" t="str">
        <f t="shared" si="1510"/>
        <v/>
      </c>
      <c r="T9181" t="str">
        <f t="shared" si="1511"/>
        <v/>
      </c>
      <c r="U9181" t="str">
        <f t="shared" si="1512"/>
        <v/>
      </c>
      <c r="V9181" t="str">
        <f t="shared" si="1513"/>
        <v/>
      </c>
      <c r="W9181" t="str">
        <f t="shared" si="1514"/>
        <v/>
      </c>
      <c r="X9181">
        <f t="shared" si="1504"/>
        <v>0</v>
      </c>
      <c r="Z9181" t="str">
        <f t="shared" si="1515"/>
        <v/>
      </c>
      <c r="AA9181">
        <f t="shared" si="1505"/>
        <v>0</v>
      </c>
    </row>
    <row r="9182" spans="1:27" ht="21" customHeight="1" x14ac:dyDescent="0.95">
      <c r="A9182" s="56"/>
      <c r="B9182" s="57"/>
      <c r="C9182" s="57"/>
      <c r="D9182" s="57"/>
      <c r="E9182" s="56"/>
      <c r="F9182" s="57"/>
      <c r="G9182" s="57"/>
      <c r="H9182" s="56"/>
      <c r="I9182" s="56"/>
      <c r="J9182" s="58"/>
      <c r="K9182" s="58"/>
      <c r="L9182" s="13" t="str">
        <f t="shared" si="1506"/>
        <v/>
      </c>
      <c r="M9182" s="13" t="str">
        <f t="shared" si="1507"/>
        <v/>
      </c>
      <c r="Q9182" t="str">
        <f t="shared" si="1508"/>
        <v/>
      </c>
      <c r="R9182" t="str">
        <f t="shared" si="1509"/>
        <v/>
      </c>
      <c r="S9182" t="str">
        <f t="shared" si="1510"/>
        <v/>
      </c>
      <c r="T9182" t="str">
        <f t="shared" si="1511"/>
        <v/>
      </c>
      <c r="U9182" t="str">
        <f t="shared" si="1512"/>
        <v/>
      </c>
      <c r="V9182" t="str">
        <f t="shared" si="1513"/>
        <v/>
      </c>
      <c r="W9182" t="str">
        <f t="shared" si="1514"/>
        <v/>
      </c>
      <c r="X9182">
        <f t="shared" si="1504"/>
        <v>0</v>
      </c>
      <c r="Z9182" t="str">
        <f t="shared" si="1515"/>
        <v/>
      </c>
      <c r="AA9182">
        <f t="shared" si="1505"/>
        <v>0</v>
      </c>
    </row>
    <row r="9183" spans="1:27" ht="21" customHeight="1" x14ac:dyDescent="0.95">
      <c r="A9183" s="56"/>
      <c r="B9183" s="57"/>
      <c r="C9183" s="57"/>
      <c r="D9183" s="57"/>
      <c r="E9183" s="56"/>
      <c r="F9183" s="57"/>
      <c r="G9183" s="57"/>
      <c r="H9183" s="56"/>
      <c r="I9183" s="56"/>
      <c r="J9183" s="58"/>
      <c r="K9183" s="58"/>
      <c r="L9183" s="13" t="str">
        <f t="shared" si="1506"/>
        <v/>
      </c>
      <c r="M9183" s="13" t="str">
        <f t="shared" si="1507"/>
        <v/>
      </c>
      <c r="Q9183" t="str">
        <f t="shared" si="1508"/>
        <v/>
      </c>
      <c r="R9183" t="str">
        <f t="shared" si="1509"/>
        <v/>
      </c>
      <c r="S9183" t="str">
        <f t="shared" si="1510"/>
        <v/>
      </c>
      <c r="T9183" t="str">
        <f t="shared" si="1511"/>
        <v/>
      </c>
      <c r="U9183" t="str">
        <f t="shared" si="1512"/>
        <v/>
      </c>
      <c r="V9183" t="str">
        <f t="shared" si="1513"/>
        <v/>
      </c>
      <c r="W9183" t="str">
        <f t="shared" si="1514"/>
        <v/>
      </c>
      <c r="X9183">
        <f t="shared" si="1504"/>
        <v>0</v>
      </c>
      <c r="Z9183" t="str">
        <f t="shared" si="1515"/>
        <v/>
      </c>
      <c r="AA9183">
        <f t="shared" si="1505"/>
        <v>0</v>
      </c>
    </row>
    <row r="9184" spans="1:27" ht="21" customHeight="1" x14ac:dyDescent="0.95">
      <c r="A9184" s="56"/>
      <c r="B9184" s="57"/>
      <c r="C9184" s="57"/>
      <c r="D9184" s="57"/>
      <c r="E9184" s="56"/>
      <c r="F9184" s="57"/>
      <c r="G9184" s="57"/>
      <c r="H9184" s="56"/>
      <c r="I9184" s="56"/>
      <c r="J9184" s="58"/>
      <c r="K9184" s="58"/>
      <c r="L9184" s="13" t="str">
        <f t="shared" si="1506"/>
        <v/>
      </c>
      <c r="M9184" s="13" t="str">
        <f t="shared" si="1507"/>
        <v/>
      </c>
      <c r="Q9184" t="str">
        <f t="shared" si="1508"/>
        <v/>
      </c>
      <c r="R9184" t="str">
        <f t="shared" si="1509"/>
        <v/>
      </c>
      <c r="S9184" t="str">
        <f t="shared" si="1510"/>
        <v/>
      </c>
      <c r="T9184" t="str">
        <f t="shared" si="1511"/>
        <v/>
      </c>
      <c r="U9184" t="str">
        <f t="shared" si="1512"/>
        <v/>
      </c>
      <c r="V9184" t="str">
        <f t="shared" si="1513"/>
        <v/>
      </c>
      <c r="W9184" t="str">
        <f t="shared" si="1514"/>
        <v/>
      </c>
      <c r="X9184">
        <f t="shared" si="1504"/>
        <v>0</v>
      </c>
      <c r="Z9184" t="str">
        <f t="shared" si="1515"/>
        <v/>
      </c>
      <c r="AA9184">
        <f t="shared" si="1505"/>
        <v>0</v>
      </c>
    </row>
    <row r="9185" spans="1:27" ht="21" customHeight="1" x14ac:dyDescent="0.95">
      <c r="A9185" s="56"/>
      <c r="B9185" s="57"/>
      <c r="C9185" s="57"/>
      <c r="D9185" s="57"/>
      <c r="E9185" s="56"/>
      <c r="F9185" s="57"/>
      <c r="G9185" s="57"/>
      <c r="H9185" s="56"/>
      <c r="I9185" s="56"/>
      <c r="J9185" s="58"/>
      <c r="K9185" s="58"/>
      <c r="L9185" s="13" t="str">
        <f t="shared" si="1506"/>
        <v/>
      </c>
      <c r="M9185" s="13" t="str">
        <f t="shared" si="1507"/>
        <v/>
      </c>
      <c r="Q9185" t="str">
        <f t="shared" si="1508"/>
        <v/>
      </c>
      <c r="R9185" t="str">
        <f t="shared" si="1509"/>
        <v/>
      </c>
      <c r="S9185" t="str">
        <f t="shared" si="1510"/>
        <v/>
      </c>
      <c r="T9185" t="str">
        <f t="shared" si="1511"/>
        <v/>
      </c>
      <c r="U9185" t="str">
        <f t="shared" si="1512"/>
        <v/>
      </c>
      <c r="V9185" t="str">
        <f t="shared" si="1513"/>
        <v/>
      </c>
      <c r="W9185" t="str">
        <f t="shared" si="1514"/>
        <v/>
      </c>
      <c r="X9185">
        <f t="shared" si="1504"/>
        <v>0</v>
      </c>
      <c r="Z9185" t="str">
        <f t="shared" si="1515"/>
        <v/>
      </c>
      <c r="AA9185">
        <f t="shared" si="1505"/>
        <v>0</v>
      </c>
    </row>
    <row r="9186" spans="1:27" ht="21" customHeight="1" x14ac:dyDescent="0.95">
      <c r="A9186" s="56"/>
      <c r="B9186" s="57"/>
      <c r="C9186" s="57"/>
      <c r="D9186" s="57"/>
      <c r="E9186" s="56"/>
      <c r="F9186" s="57"/>
      <c r="G9186" s="57"/>
      <c r="H9186" s="56"/>
      <c r="I9186" s="56"/>
      <c r="J9186" s="58"/>
      <c r="K9186" s="58"/>
      <c r="L9186" s="13" t="str">
        <f t="shared" si="1506"/>
        <v/>
      </c>
      <c r="M9186" s="13" t="str">
        <f t="shared" si="1507"/>
        <v/>
      </c>
      <c r="Q9186" t="str">
        <f t="shared" si="1508"/>
        <v/>
      </c>
      <c r="R9186" t="str">
        <f t="shared" si="1509"/>
        <v/>
      </c>
      <c r="S9186" t="str">
        <f t="shared" si="1510"/>
        <v/>
      </c>
      <c r="T9186" t="str">
        <f t="shared" si="1511"/>
        <v/>
      </c>
      <c r="U9186" t="str">
        <f t="shared" si="1512"/>
        <v/>
      </c>
      <c r="V9186" t="str">
        <f t="shared" si="1513"/>
        <v/>
      </c>
      <c r="W9186" t="str">
        <f t="shared" si="1514"/>
        <v/>
      </c>
      <c r="X9186">
        <f t="shared" si="1504"/>
        <v>0</v>
      </c>
      <c r="Z9186" t="str">
        <f t="shared" si="1515"/>
        <v/>
      </c>
      <c r="AA9186">
        <f t="shared" si="1505"/>
        <v>0</v>
      </c>
    </row>
    <row r="9187" spans="1:27" ht="21" customHeight="1" x14ac:dyDescent="0.95">
      <c r="A9187" s="56"/>
      <c r="B9187" s="57"/>
      <c r="C9187" s="57"/>
      <c r="D9187" s="57"/>
      <c r="E9187" s="56"/>
      <c r="F9187" s="57"/>
      <c r="G9187" s="57"/>
      <c r="H9187" s="56"/>
      <c r="I9187" s="56"/>
      <c r="J9187" s="58"/>
      <c r="K9187" s="58"/>
      <c r="L9187" s="13" t="str">
        <f t="shared" si="1506"/>
        <v/>
      </c>
      <c r="M9187" s="13" t="str">
        <f t="shared" si="1507"/>
        <v/>
      </c>
      <c r="Q9187" t="str">
        <f t="shared" si="1508"/>
        <v/>
      </c>
      <c r="R9187" t="str">
        <f t="shared" si="1509"/>
        <v/>
      </c>
      <c r="S9187" t="str">
        <f t="shared" si="1510"/>
        <v/>
      </c>
      <c r="T9187" t="str">
        <f t="shared" si="1511"/>
        <v/>
      </c>
      <c r="U9187" t="str">
        <f t="shared" si="1512"/>
        <v/>
      </c>
      <c r="V9187" t="str">
        <f t="shared" si="1513"/>
        <v/>
      </c>
      <c r="W9187" t="str">
        <f t="shared" si="1514"/>
        <v/>
      </c>
      <c r="X9187">
        <f t="shared" si="1504"/>
        <v>0</v>
      </c>
      <c r="Z9187" t="str">
        <f t="shared" si="1515"/>
        <v/>
      </c>
      <c r="AA9187">
        <f t="shared" si="1505"/>
        <v>0</v>
      </c>
    </row>
    <row r="9188" spans="1:27" ht="21" customHeight="1" x14ac:dyDescent="0.95">
      <c r="A9188" s="56"/>
      <c r="B9188" s="57"/>
      <c r="C9188" s="57"/>
      <c r="D9188" s="57"/>
      <c r="E9188" s="56"/>
      <c r="F9188" s="57"/>
      <c r="G9188" s="57"/>
      <c r="H9188" s="56"/>
      <c r="I9188" s="56"/>
      <c r="J9188" s="58"/>
      <c r="K9188" s="58"/>
      <c r="L9188" s="13" t="str">
        <f t="shared" si="1506"/>
        <v/>
      </c>
      <c r="M9188" s="13" t="str">
        <f t="shared" si="1507"/>
        <v/>
      </c>
      <c r="Q9188" t="str">
        <f t="shared" si="1508"/>
        <v/>
      </c>
      <c r="R9188" t="str">
        <f t="shared" si="1509"/>
        <v/>
      </c>
      <c r="S9188" t="str">
        <f t="shared" si="1510"/>
        <v/>
      </c>
      <c r="T9188" t="str">
        <f t="shared" si="1511"/>
        <v/>
      </c>
      <c r="U9188" t="str">
        <f t="shared" si="1512"/>
        <v/>
      </c>
      <c r="V9188" t="str">
        <f t="shared" si="1513"/>
        <v/>
      </c>
      <c r="W9188" t="str">
        <f t="shared" si="1514"/>
        <v/>
      </c>
      <c r="X9188">
        <f t="shared" si="1504"/>
        <v>0</v>
      </c>
      <c r="Z9188" t="str">
        <f t="shared" si="1515"/>
        <v/>
      </c>
      <c r="AA9188">
        <f t="shared" si="1505"/>
        <v>0</v>
      </c>
    </row>
    <row r="9189" spans="1:27" ht="21" customHeight="1" x14ac:dyDescent="0.95">
      <c r="A9189" s="56"/>
      <c r="B9189" s="57"/>
      <c r="C9189" s="57"/>
      <c r="D9189" s="57"/>
      <c r="E9189" s="56"/>
      <c r="F9189" s="57"/>
      <c r="G9189" s="57"/>
      <c r="H9189" s="56"/>
      <c r="I9189" s="56"/>
      <c r="J9189" s="58"/>
      <c r="K9189" s="58"/>
      <c r="L9189" s="13" t="str">
        <f t="shared" si="1506"/>
        <v/>
      </c>
      <c r="M9189" s="13" t="str">
        <f t="shared" si="1507"/>
        <v/>
      </c>
      <c r="Q9189" t="str">
        <f t="shared" si="1508"/>
        <v/>
      </c>
      <c r="R9189" t="str">
        <f t="shared" si="1509"/>
        <v/>
      </c>
      <c r="S9189" t="str">
        <f t="shared" si="1510"/>
        <v/>
      </c>
      <c r="T9189" t="str">
        <f t="shared" si="1511"/>
        <v/>
      </c>
      <c r="U9189" t="str">
        <f t="shared" si="1512"/>
        <v/>
      </c>
      <c r="V9189" t="str">
        <f t="shared" si="1513"/>
        <v/>
      </c>
      <c r="W9189" t="str">
        <f t="shared" si="1514"/>
        <v/>
      </c>
      <c r="X9189">
        <f t="shared" si="1504"/>
        <v>0</v>
      </c>
      <c r="Z9189" t="str">
        <f t="shared" si="1515"/>
        <v/>
      </c>
      <c r="AA9189">
        <f t="shared" si="1505"/>
        <v>0</v>
      </c>
    </row>
    <row r="9190" spans="1:27" ht="21" customHeight="1" x14ac:dyDescent="0.95">
      <c r="A9190" s="56"/>
      <c r="B9190" s="57"/>
      <c r="C9190" s="57"/>
      <c r="D9190" s="57"/>
      <c r="E9190" s="56"/>
      <c r="F9190" s="57"/>
      <c r="G9190" s="57"/>
      <c r="H9190" s="56"/>
      <c r="I9190" s="56"/>
      <c r="J9190" s="58"/>
      <c r="K9190" s="58"/>
      <c r="L9190" s="13" t="str">
        <f t="shared" si="1506"/>
        <v/>
      </c>
      <c r="M9190" s="13" t="str">
        <f t="shared" si="1507"/>
        <v/>
      </c>
      <c r="Q9190" t="str">
        <f t="shared" si="1508"/>
        <v/>
      </c>
      <c r="R9190" t="str">
        <f t="shared" si="1509"/>
        <v/>
      </c>
      <c r="S9190" t="str">
        <f t="shared" si="1510"/>
        <v/>
      </c>
      <c r="T9190" t="str">
        <f t="shared" si="1511"/>
        <v/>
      </c>
      <c r="U9190" t="str">
        <f t="shared" si="1512"/>
        <v/>
      </c>
      <c r="V9190" t="str">
        <f t="shared" si="1513"/>
        <v/>
      </c>
      <c r="W9190" t="str">
        <f t="shared" si="1514"/>
        <v/>
      </c>
      <c r="X9190">
        <f t="shared" si="1504"/>
        <v>0</v>
      </c>
      <c r="Z9190" t="str">
        <f t="shared" si="1515"/>
        <v/>
      </c>
      <c r="AA9190">
        <f t="shared" si="1505"/>
        <v>0</v>
      </c>
    </row>
    <row r="9191" spans="1:27" ht="21" customHeight="1" x14ac:dyDescent="0.95">
      <c r="A9191" s="56"/>
      <c r="B9191" s="57"/>
      <c r="C9191" s="57"/>
      <c r="D9191" s="57"/>
      <c r="E9191" s="56"/>
      <c r="F9191" s="57"/>
      <c r="G9191" s="57"/>
      <c r="H9191" s="56"/>
      <c r="I9191" s="56"/>
      <c r="J9191" s="58"/>
      <c r="K9191" s="58"/>
      <c r="L9191" s="13" t="str">
        <f t="shared" si="1506"/>
        <v/>
      </c>
      <c r="M9191" s="13" t="str">
        <f t="shared" si="1507"/>
        <v/>
      </c>
      <c r="Q9191" t="str">
        <f t="shared" si="1508"/>
        <v/>
      </c>
      <c r="R9191" t="str">
        <f t="shared" si="1509"/>
        <v/>
      </c>
      <c r="S9191" t="str">
        <f t="shared" si="1510"/>
        <v/>
      </c>
      <c r="T9191" t="str">
        <f t="shared" si="1511"/>
        <v/>
      </c>
      <c r="U9191" t="str">
        <f t="shared" si="1512"/>
        <v/>
      </c>
      <c r="V9191" t="str">
        <f t="shared" si="1513"/>
        <v/>
      </c>
      <c r="W9191" t="str">
        <f t="shared" si="1514"/>
        <v/>
      </c>
      <c r="X9191">
        <f t="shared" si="1504"/>
        <v>0</v>
      </c>
      <c r="Z9191" t="str">
        <f t="shared" si="1515"/>
        <v/>
      </c>
      <c r="AA9191">
        <f t="shared" si="1505"/>
        <v>0</v>
      </c>
    </row>
    <row r="9192" spans="1:27" ht="21" customHeight="1" x14ac:dyDescent="0.95">
      <c r="A9192" s="56"/>
      <c r="B9192" s="57"/>
      <c r="C9192" s="57"/>
      <c r="D9192" s="57"/>
      <c r="E9192" s="56"/>
      <c r="F9192" s="57"/>
      <c r="G9192" s="57"/>
      <c r="H9192" s="56"/>
      <c r="I9192" s="56"/>
      <c r="J9192" s="58"/>
      <c r="K9192" s="58"/>
      <c r="L9192" s="13" t="str">
        <f t="shared" si="1506"/>
        <v/>
      </c>
      <c r="M9192" s="13" t="str">
        <f t="shared" si="1507"/>
        <v/>
      </c>
      <c r="Q9192" t="str">
        <f t="shared" si="1508"/>
        <v/>
      </c>
      <c r="R9192" t="str">
        <f t="shared" si="1509"/>
        <v/>
      </c>
      <c r="S9192" t="str">
        <f t="shared" si="1510"/>
        <v/>
      </c>
      <c r="T9192" t="str">
        <f t="shared" si="1511"/>
        <v/>
      </c>
      <c r="U9192" t="str">
        <f t="shared" si="1512"/>
        <v/>
      </c>
      <c r="V9192" t="str">
        <f t="shared" si="1513"/>
        <v/>
      </c>
      <c r="W9192" t="str">
        <f t="shared" si="1514"/>
        <v/>
      </c>
      <c r="X9192">
        <f t="shared" si="1504"/>
        <v>0</v>
      </c>
      <c r="Z9192" t="str">
        <f t="shared" si="1515"/>
        <v/>
      </c>
      <c r="AA9192">
        <f t="shared" si="1505"/>
        <v>0</v>
      </c>
    </row>
    <row r="9193" spans="1:27" ht="21" customHeight="1" x14ac:dyDescent="0.95">
      <c r="A9193" s="56"/>
      <c r="B9193" s="57"/>
      <c r="C9193" s="57"/>
      <c r="D9193" s="57"/>
      <c r="E9193" s="56"/>
      <c r="F9193" s="57"/>
      <c r="G9193" s="57"/>
      <c r="H9193" s="56"/>
      <c r="I9193" s="56"/>
      <c r="J9193" s="58"/>
      <c r="K9193" s="58"/>
      <c r="L9193" s="13" t="str">
        <f t="shared" si="1506"/>
        <v/>
      </c>
      <c r="M9193" s="13" t="str">
        <f t="shared" si="1507"/>
        <v/>
      </c>
      <c r="Q9193" t="str">
        <f t="shared" si="1508"/>
        <v/>
      </c>
      <c r="R9193" t="str">
        <f t="shared" si="1509"/>
        <v/>
      </c>
      <c r="S9193" t="str">
        <f t="shared" si="1510"/>
        <v/>
      </c>
      <c r="T9193" t="str">
        <f t="shared" si="1511"/>
        <v/>
      </c>
      <c r="U9193" t="str">
        <f t="shared" si="1512"/>
        <v/>
      </c>
      <c r="V9193" t="str">
        <f t="shared" si="1513"/>
        <v/>
      </c>
      <c r="W9193" t="str">
        <f t="shared" si="1514"/>
        <v/>
      </c>
      <c r="X9193">
        <f t="shared" si="1504"/>
        <v>0</v>
      </c>
      <c r="Z9193" t="str">
        <f t="shared" si="1515"/>
        <v/>
      </c>
      <c r="AA9193">
        <f t="shared" si="1505"/>
        <v>0</v>
      </c>
    </row>
    <row r="9194" spans="1:27" ht="21" customHeight="1" x14ac:dyDescent="0.95">
      <c r="A9194" s="56"/>
      <c r="B9194" s="57"/>
      <c r="C9194" s="57"/>
      <c r="D9194" s="57"/>
      <c r="E9194" s="56"/>
      <c r="F9194" s="57"/>
      <c r="G9194" s="57"/>
      <c r="H9194" s="56"/>
      <c r="I9194" s="56"/>
      <c r="J9194" s="58"/>
      <c r="K9194" s="58"/>
      <c r="L9194" s="13" t="str">
        <f t="shared" si="1506"/>
        <v/>
      </c>
      <c r="M9194" s="13" t="str">
        <f t="shared" si="1507"/>
        <v/>
      </c>
      <c r="Q9194" t="str">
        <f t="shared" si="1508"/>
        <v/>
      </c>
      <c r="R9194" t="str">
        <f t="shared" si="1509"/>
        <v/>
      </c>
      <c r="S9194" t="str">
        <f t="shared" si="1510"/>
        <v/>
      </c>
      <c r="T9194" t="str">
        <f t="shared" si="1511"/>
        <v/>
      </c>
      <c r="U9194" t="str">
        <f t="shared" si="1512"/>
        <v/>
      </c>
      <c r="V9194" t="str">
        <f t="shared" si="1513"/>
        <v/>
      </c>
      <c r="W9194" t="str">
        <f t="shared" si="1514"/>
        <v/>
      </c>
      <c r="X9194">
        <f t="shared" si="1504"/>
        <v>0</v>
      </c>
      <c r="Z9194" t="str">
        <f t="shared" si="1515"/>
        <v/>
      </c>
      <c r="AA9194">
        <f t="shared" si="1505"/>
        <v>0</v>
      </c>
    </row>
    <row r="9195" spans="1:27" ht="21" customHeight="1" x14ac:dyDescent="0.95">
      <c r="A9195" s="56"/>
      <c r="B9195" s="57"/>
      <c r="C9195" s="57"/>
      <c r="D9195" s="57"/>
      <c r="E9195" s="56"/>
      <c r="F9195" s="57"/>
      <c r="G9195" s="57"/>
      <c r="H9195" s="56"/>
      <c r="I9195" s="56"/>
      <c r="J9195" s="58"/>
      <c r="K9195" s="58"/>
      <c r="L9195" s="13" t="str">
        <f t="shared" si="1506"/>
        <v/>
      </c>
      <c r="M9195" s="13" t="str">
        <f t="shared" si="1507"/>
        <v/>
      </c>
      <c r="Q9195" t="str">
        <f t="shared" si="1508"/>
        <v/>
      </c>
      <c r="R9195" t="str">
        <f t="shared" si="1509"/>
        <v/>
      </c>
      <c r="S9195" t="str">
        <f t="shared" si="1510"/>
        <v/>
      </c>
      <c r="T9195" t="str">
        <f t="shared" si="1511"/>
        <v/>
      </c>
      <c r="U9195" t="str">
        <f t="shared" si="1512"/>
        <v/>
      </c>
      <c r="V9195" t="str">
        <f t="shared" si="1513"/>
        <v/>
      </c>
      <c r="W9195" t="str">
        <f t="shared" si="1514"/>
        <v/>
      </c>
      <c r="X9195">
        <f t="shared" si="1504"/>
        <v>0</v>
      </c>
      <c r="Z9195" t="str">
        <f t="shared" si="1515"/>
        <v/>
      </c>
      <c r="AA9195">
        <f t="shared" si="1505"/>
        <v>0</v>
      </c>
    </row>
    <row r="9196" spans="1:27" ht="21" customHeight="1" x14ac:dyDescent="0.95">
      <c r="A9196" s="56"/>
      <c r="B9196" s="57"/>
      <c r="C9196" s="57"/>
      <c r="D9196" s="57"/>
      <c r="E9196" s="56"/>
      <c r="F9196" s="57"/>
      <c r="G9196" s="57"/>
      <c r="H9196" s="56"/>
      <c r="I9196" s="56"/>
      <c r="J9196" s="58"/>
      <c r="K9196" s="58"/>
      <c r="L9196" s="13" t="str">
        <f t="shared" si="1506"/>
        <v/>
      </c>
      <c r="M9196" s="13" t="str">
        <f t="shared" si="1507"/>
        <v/>
      </c>
      <c r="Q9196" t="str">
        <f t="shared" si="1508"/>
        <v/>
      </c>
      <c r="R9196" t="str">
        <f t="shared" si="1509"/>
        <v/>
      </c>
      <c r="S9196" t="str">
        <f t="shared" si="1510"/>
        <v/>
      </c>
      <c r="T9196" t="str">
        <f t="shared" si="1511"/>
        <v/>
      </c>
      <c r="U9196" t="str">
        <f t="shared" si="1512"/>
        <v/>
      </c>
      <c r="V9196" t="str">
        <f t="shared" si="1513"/>
        <v/>
      </c>
      <c r="W9196" t="str">
        <f t="shared" si="1514"/>
        <v/>
      </c>
      <c r="X9196">
        <f t="shared" si="1504"/>
        <v>0</v>
      </c>
      <c r="Z9196" t="str">
        <f t="shared" si="1515"/>
        <v/>
      </c>
      <c r="AA9196">
        <f t="shared" si="1505"/>
        <v>0</v>
      </c>
    </row>
    <row r="9197" spans="1:27" ht="21" customHeight="1" x14ac:dyDescent="0.95">
      <c r="A9197" s="56"/>
      <c r="B9197" s="57"/>
      <c r="C9197" s="57"/>
      <c r="D9197" s="57"/>
      <c r="E9197" s="56"/>
      <c r="F9197" s="57"/>
      <c r="G9197" s="57"/>
      <c r="H9197" s="56"/>
      <c r="I9197" s="56"/>
      <c r="J9197" s="58"/>
      <c r="K9197" s="58"/>
      <c r="L9197" s="13" t="str">
        <f t="shared" si="1506"/>
        <v/>
      </c>
      <c r="M9197" s="13" t="str">
        <f t="shared" si="1507"/>
        <v/>
      </c>
      <c r="Q9197" t="str">
        <f t="shared" si="1508"/>
        <v/>
      </c>
      <c r="R9197" t="str">
        <f t="shared" si="1509"/>
        <v/>
      </c>
      <c r="S9197" t="str">
        <f t="shared" si="1510"/>
        <v/>
      </c>
      <c r="T9197" t="str">
        <f t="shared" si="1511"/>
        <v/>
      </c>
      <c r="U9197" t="str">
        <f t="shared" si="1512"/>
        <v/>
      </c>
      <c r="V9197" t="str">
        <f t="shared" si="1513"/>
        <v/>
      </c>
      <c r="W9197" t="str">
        <f t="shared" si="1514"/>
        <v/>
      </c>
      <c r="X9197">
        <f t="shared" si="1504"/>
        <v>0</v>
      </c>
      <c r="Z9197" t="str">
        <f t="shared" si="1515"/>
        <v/>
      </c>
      <c r="AA9197">
        <f t="shared" si="1505"/>
        <v>0</v>
      </c>
    </row>
    <row r="9198" spans="1:27" ht="21" customHeight="1" x14ac:dyDescent="0.95">
      <c r="A9198" s="56"/>
      <c r="B9198" s="57"/>
      <c r="C9198" s="57"/>
      <c r="D9198" s="57"/>
      <c r="E9198" s="56"/>
      <c r="F9198" s="57"/>
      <c r="G9198" s="57"/>
      <c r="H9198" s="56"/>
      <c r="I9198" s="56"/>
      <c r="J9198" s="58"/>
      <c r="K9198" s="58"/>
      <c r="L9198" s="13" t="str">
        <f t="shared" si="1506"/>
        <v/>
      </c>
      <c r="M9198" s="13" t="str">
        <f t="shared" si="1507"/>
        <v/>
      </c>
      <c r="Q9198" t="str">
        <f t="shared" si="1508"/>
        <v/>
      </c>
      <c r="R9198" t="str">
        <f t="shared" si="1509"/>
        <v/>
      </c>
      <c r="S9198" t="str">
        <f t="shared" si="1510"/>
        <v/>
      </c>
      <c r="T9198" t="str">
        <f t="shared" si="1511"/>
        <v/>
      </c>
      <c r="U9198" t="str">
        <f t="shared" si="1512"/>
        <v/>
      </c>
      <c r="V9198" t="str">
        <f t="shared" si="1513"/>
        <v/>
      </c>
      <c r="W9198" t="str">
        <f t="shared" si="1514"/>
        <v/>
      </c>
      <c r="X9198">
        <f t="shared" si="1504"/>
        <v>0</v>
      </c>
      <c r="Z9198" t="str">
        <f t="shared" si="1515"/>
        <v/>
      </c>
      <c r="AA9198">
        <f t="shared" si="1505"/>
        <v>0</v>
      </c>
    </row>
    <row r="9199" spans="1:27" ht="21" customHeight="1" x14ac:dyDescent="0.95">
      <c r="A9199" s="56"/>
      <c r="B9199" s="57"/>
      <c r="C9199" s="57"/>
      <c r="D9199" s="57"/>
      <c r="E9199" s="56"/>
      <c r="F9199" s="57"/>
      <c r="G9199" s="57"/>
      <c r="H9199" s="56"/>
      <c r="I9199" s="56"/>
      <c r="J9199" s="58"/>
      <c r="K9199" s="58"/>
      <c r="L9199" s="13" t="str">
        <f t="shared" si="1506"/>
        <v/>
      </c>
      <c r="M9199" s="13" t="str">
        <f t="shared" si="1507"/>
        <v/>
      </c>
      <c r="Q9199" t="str">
        <f t="shared" si="1508"/>
        <v/>
      </c>
      <c r="R9199" t="str">
        <f t="shared" si="1509"/>
        <v/>
      </c>
      <c r="S9199" t="str">
        <f t="shared" si="1510"/>
        <v/>
      </c>
      <c r="T9199" t="str">
        <f t="shared" si="1511"/>
        <v/>
      </c>
      <c r="U9199" t="str">
        <f t="shared" si="1512"/>
        <v/>
      </c>
      <c r="V9199" t="str">
        <f t="shared" si="1513"/>
        <v/>
      </c>
      <c r="W9199" t="str">
        <f t="shared" si="1514"/>
        <v/>
      </c>
      <c r="X9199">
        <f t="shared" si="1504"/>
        <v>0</v>
      </c>
      <c r="Z9199" t="str">
        <f t="shared" si="1515"/>
        <v/>
      </c>
      <c r="AA9199">
        <f t="shared" si="1505"/>
        <v>0</v>
      </c>
    </row>
    <row r="9200" spans="1:27" ht="21" customHeight="1" x14ac:dyDescent="0.95">
      <c r="A9200" s="56"/>
      <c r="B9200" s="57"/>
      <c r="C9200" s="57"/>
      <c r="D9200" s="57"/>
      <c r="E9200" s="56"/>
      <c r="F9200" s="57"/>
      <c r="G9200" s="57"/>
      <c r="H9200" s="56"/>
      <c r="I9200" s="56"/>
      <c r="J9200" s="58"/>
      <c r="K9200" s="58"/>
      <c r="L9200" s="13" t="str">
        <f t="shared" si="1506"/>
        <v/>
      </c>
      <c r="M9200" s="13" t="str">
        <f t="shared" si="1507"/>
        <v/>
      </c>
      <c r="Q9200" t="str">
        <f t="shared" si="1508"/>
        <v/>
      </c>
      <c r="R9200" t="str">
        <f t="shared" si="1509"/>
        <v/>
      </c>
      <c r="S9200" t="str">
        <f t="shared" si="1510"/>
        <v/>
      </c>
      <c r="T9200" t="str">
        <f t="shared" si="1511"/>
        <v/>
      </c>
      <c r="U9200" t="str">
        <f t="shared" si="1512"/>
        <v/>
      </c>
      <c r="V9200" t="str">
        <f t="shared" si="1513"/>
        <v/>
      </c>
      <c r="W9200" t="str">
        <f t="shared" si="1514"/>
        <v/>
      </c>
      <c r="X9200">
        <f t="shared" si="1504"/>
        <v>0</v>
      </c>
      <c r="Z9200" t="str">
        <f t="shared" si="1515"/>
        <v/>
      </c>
      <c r="AA9200">
        <f t="shared" si="1505"/>
        <v>0</v>
      </c>
    </row>
    <row r="9201" spans="1:27" ht="21" customHeight="1" x14ac:dyDescent="0.95">
      <c r="A9201" s="56"/>
      <c r="B9201" s="57"/>
      <c r="C9201" s="57"/>
      <c r="D9201" s="57"/>
      <c r="E9201" s="56"/>
      <c r="F9201" s="57"/>
      <c r="G9201" s="57"/>
      <c r="H9201" s="56"/>
      <c r="I9201" s="56"/>
      <c r="J9201" s="58"/>
      <c r="K9201" s="58"/>
      <c r="L9201" s="13" t="str">
        <f t="shared" si="1506"/>
        <v/>
      </c>
      <c r="M9201" s="13" t="str">
        <f t="shared" si="1507"/>
        <v/>
      </c>
      <c r="Q9201" t="str">
        <f t="shared" si="1508"/>
        <v/>
      </c>
      <c r="R9201" t="str">
        <f t="shared" si="1509"/>
        <v/>
      </c>
      <c r="S9201" t="str">
        <f t="shared" si="1510"/>
        <v/>
      </c>
      <c r="T9201" t="str">
        <f t="shared" si="1511"/>
        <v/>
      </c>
      <c r="U9201" t="str">
        <f t="shared" si="1512"/>
        <v/>
      </c>
      <c r="V9201" t="str">
        <f t="shared" si="1513"/>
        <v/>
      </c>
      <c r="W9201" t="str">
        <f t="shared" si="1514"/>
        <v/>
      </c>
      <c r="X9201">
        <f t="shared" si="1504"/>
        <v>0</v>
      </c>
      <c r="Z9201" t="str">
        <f t="shared" si="1515"/>
        <v/>
      </c>
      <c r="AA9201">
        <f t="shared" si="1505"/>
        <v>0</v>
      </c>
    </row>
    <row r="9202" spans="1:27" ht="21" customHeight="1" x14ac:dyDescent="0.95">
      <c r="A9202" s="56"/>
      <c r="B9202" s="57"/>
      <c r="C9202" s="57"/>
      <c r="D9202" s="57"/>
      <c r="E9202" s="56"/>
      <c r="F9202" s="57"/>
      <c r="G9202" s="57"/>
      <c r="H9202" s="56"/>
      <c r="I9202" s="56"/>
      <c r="J9202" s="58"/>
      <c r="K9202" s="58"/>
      <c r="L9202" s="13" t="str">
        <f t="shared" si="1506"/>
        <v/>
      </c>
      <c r="M9202" s="13" t="str">
        <f t="shared" si="1507"/>
        <v/>
      </c>
      <c r="Q9202" t="str">
        <f t="shared" si="1508"/>
        <v/>
      </c>
      <c r="R9202" t="str">
        <f t="shared" si="1509"/>
        <v/>
      </c>
      <c r="S9202" t="str">
        <f t="shared" si="1510"/>
        <v/>
      </c>
      <c r="T9202" t="str">
        <f t="shared" si="1511"/>
        <v/>
      </c>
      <c r="U9202" t="str">
        <f t="shared" si="1512"/>
        <v/>
      </c>
      <c r="V9202" t="str">
        <f t="shared" si="1513"/>
        <v/>
      </c>
      <c r="W9202" t="str">
        <f t="shared" si="1514"/>
        <v/>
      </c>
      <c r="X9202">
        <f t="shared" si="1504"/>
        <v>0</v>
      </c>
      <c r="Z9202" t="str">
        <f t="shared" si="1515"/>
        <v/>
      </c>
      <c r="AA9202">
        <f t="shared" si="1505"/>
        <v>0</v>
      </c>
    </row>
    <row r="9203" spans="1:27" ht="21" customHeight="1" x14ac:dyDescent="0.95">
      <c r="A9203" s="56"/>
      <c r="B9203" s="57"/>
      <c r="C9203" s="57"/>
      <c r="D9203" s="57"/>
      <c r="E9203" s="56"/>
      <c r="F9203" s="57"/>
      <c r="G9203" s="57"/>
      <c r="H9203" s="56"/>
      <c r="I9203" s="56"/>
      <c r="J9203" s="58"/>
      <c r="K9203" s="58"/>
      <c r="L9203" s="13" t="str">
        <f t="shared" si="1506"/>
        <v/>
      </c>
      <c r="M9203" s="13" t="str">
        <f t="shared" si="1507"/>
        <v/>
      </c>
      <c r="Q9203" t="str">
        <f t="shared" si="1508"/>
        <v/>
      </c>
      <c r="R9203" t="str">
        <f t="shared" si="1509"/>
        <v/>
      </c>
      <c r="S9203" t="str">
        <f t="shared" si="1510"/>
        <v/>
      </c>
      <c r="T9203" t="str">
        <f t="shared" si="1511"/>
        <v/>
      </c>
      <c r="U9203" t="str">
        <f t="shared" si="1512"/>
        <v/>
      </c>
      <c r="V9203" t="str">
        <f t="shared" si="1513"/>
        <v/>
      </c>
      <c r="W9203" t="str">
        <f t="shared" si="1514"/>
        <v/>
      </c>
      <c r="X9203">
        <f t="shared" si="1504"/>
        <v>0</v>
      </c>
      <c r="Z9203" t="str">
        <f t="shared" si="1515"/>
        <v/>
      </c>
      <c r="AA9203">
        <f t="shared" si="1505"/>
        <v>0</v>
      </c>
    </row>
    <row r="9204" spans="1:27" ht="21" customHeight="1" x14ac:dyDescent="0.95">
      <c r="A9204" s="56"/>
      <c r="B9204" s="57"/>
      <c r="C9204" s="57"/>
      <c r="D9204" s="57"/>
      <c r="E9204" s="56"/>
      <c r="F9204" s="57"/>
      <c r="G9204" s="57"/>
      <c r="H9204" s="56"/>
      <c r="I9204" s="56"/>
      <c r="J9204" s="58"/>
      <c r="K9204" s="58"/>
      <c r="L9204" s="13" t="str">
        <f t="shared" si="1506"/>
        <v/>
      </c>
      <c r="M9204" s="13" t="str">
        <f t="shared" si="1507"/>
        <v/>
      </c>
      <c r="Q9204" t="str">
        <f t="shared" si="1508"/>
        <v/>
      </c>
      <c r="R9204" t="str">
        <f t="shared" si="1509"/>
        <v/>
      </c>
      <c r="S9204" t="str">
        <f t="shared" si="1510"/>
        <v/>
      </c>
      <c r="T9204" t="str">
        <f t="shared" si="1511"/>
        <v/>
      </c>
      <c r="U9204" t="str">
        <f t="shared" si="1512"/>
        <v/>
      </c>
      <c r="V9204" t="str">
        <f t="shared" si="1513"/>
        <v/>
      </c>
      <c r="W9204" t="str">
        <f t="shared" si="1514"/>
        <v/>
      </c>
      <c r="X9204">
        <f t="shared" si="1504"/>
        <v>0</v>
      </c>
      <c r="Z9204" t="str">
        <f t="shared" si="1515"/>
        <v/>
      </c>
      <c r="AA9204">
        <f t="shared" si="1505"/>
        <v>0</v>
      </c>
    </row>
    <row r="9205" spans="1:27" ht="21" customHeight="1" x14ac:dyDescent="0.95">
      <c r="A9205" s="56"/>
      <c r="B9205" s="57"/>
      <c r="C9205" s="57"/>
      <c r="D9205" s="57"/>
      <c r="E9205" s="56"/>
      <c r="F9205" s="57"/>
      <c r="G9205" s="57"/>
      <c r="H9205" s="56"/>
      <c r="I9205" s="56"/>
      <c r="J9205" s="58"/>
      <c r="K9205" s="58"/>
      <c r="L9205" s="13" t="str">
        <f t="shared" si="1506"/>
        <v/>
      </c>
      <c r="M9205" s="13" t="str">
        <f t="shared" si="1507"/>
        <v/>
      </c>
      <c r="Q9205" t="str">
        <f t="shared" si="1508"/>
        <v/>
      </c>
      <c r="R9205" t="str">
        <f t="shared" si="1509"/>
        <v/>
      </c>
      <c r="S9205" t="str">
        <f t="shared" si="1510"/>
        <v/>
      </c>
      <c r="T9205" t="str">
        <f t="shared" si="1511"/>
        <v/>
      </c>
      <c r="U9205" t="str">
        <f t="shared" si="1512"/>
        <v/>
      </c>
      <c r="V9205" t="str">
        <f t="shared" si="1513"/>
        <v/>
      </c>
      <c r="W9205" t="str">
        <f t="shared" si="1514"/>
        <v/>
      </c>
      <c r="X9205">
        <f t="shared" ref="X9205:X9268" si="1516">IF($T9205="",N($X9204),IF(MATCH($T9205,$T$6:$T$10005,0)=ROW()-5,N($X9204)+1,N($X9204)))</f>
        <v>0</v>
      </c>
      <c r="Z9205" t="str">
        <f t="shared" si="1515"/>
        <v/>
      </c>
      <c r="AA9205">
        <f t="shared" ref="AA9205:AA9268" si="1517">IF($V9205="",N($AA9204),IF(MATCH($V9205,$V$6:$V$10005,0)=ROW()-5,N($AA9204)+1,N($AA9204)))</f>
        <v>0</v>
      </c>
    </row>
    <row r="9206" spans="1:27" ht="21" customHeight="1" x14ac:dyDescent="0.95">
      <c r="A9206" s="56"/>
      <c r="B9206" s="57"/>
      <c r="C9206" s="57"/>
      <c r="D9206" s="57"/>
      <c r="E9206" s="56"/>
      <c r="F9206" s="57"/>
      <c r="G9206" s="57"/>
      <c r="H9206" s="56"/>
      <c r="I9206" s="56"/>
      <c r="J9206" s="58"/>
      <c r="K9206" s="58"/>
      <c r="L9206" s="13" t="str">
        <f t="shared" si="1506"/>
        <v/>
      </c>
      <c r="M9206" s="13" t="str">
        <f t="shared" si="1507"/>
        <v/>
      </c>
      <c r="Q9206" t="str">
        <f t="shared" si="1508"/>
        <v/>
      </c>
      <c r="R9206" t="str">
        <f t="shared" si="1509"/>
        <v/>
      </c>
      <c r="S9206" t="str">
        <f t="shared" si="1510"/>
        <v/>
      </c>
      <c r="T9206" t="str">
        <f t="shared" si="1511"/>
        <v/>
      </c>
      <c r="U9206" t="str">
        <f t="shared" si="1512"/>
        <v/>
      </c>
      <c r="V9206" t="str">
        <f t="shared" si="1513"/>
        <v/>
      </c>
      <c r="W9206" t="str">
        <f t="shared" si="1514"/>
        <v/>
      </c>
      <c r="X9206">
        <f t="shared" si="1516"/>
        <v>0</v>
      </c>
      <c r="Z9206" t="str">
        <f t="shared" si="1515"/>
        <v/>
      </c>
      <c r="AA9206">
        <f t="shared" si="1517"/>
        <v>0</v>
      </c>
    </row>
    <row r="9207" spans="1:27" ht="21" customHeight="1" x14ac:dyDescent="0.95">
      <c r="A9207" s="56"/>
      <c r="B9207" s="57"/>
      <c r="C9207" s="57"/>
      <c r="D9207" s="57"/>
      <c r="E9207" s="56"/>
      <c r="F9207" s="57"/>
      <c r="G9207" s="57"/>
      <c r="H9207" s="56"/>
      <c r="I9207" s="56"/>
      <c r="J9207" s="58"/>
      <c r="K9207" s="58"/>
      <c r="L9207" s="13" t="str">
        <f t="shared" si="1506"/>
        <v/>
      </c>
      <c r="M9207" s="13" t="str">
        <f t="shared" si="1507"/>
        <v/>
      </c>
      <c r="Q9207" t="str">
        <f t="shared" si="1508"/>
        <v/>
      </c>
      <c r="R9207" t="str">
        <f t="shared" si="1509"/>
        <v/>
      </c>
      <c r="S9207" t="str">
        <f t="shared" si="1510"/>
        <v/>
      </c>
      <c r="T9207" t="str">
        <f t="shared" si="1511"/>
        <v/>
      </c>
      <c r="U9207" t="str">
        <f t="shared" si="1512"/>
        <v/>
      </c>
      <c r="V9207" t="str">
        <f t="shared" si="1513"/>
        <v/>
      </c>
      <c r="W9207" t="str">
        <f t="shared" si="1514"/>
        <v/>
      </c>
      <c r="X9207">
        <f t="shared" si="1516"/>
        <v>0</v>
      </c>
      <c r="Z9207" t="str">
        <f t="shared" si="1515"/>
        <v/>
      </c>
      <c r="AA9207">
        <f t="shared" si="1517"/>
        <v>0</v>
      </c>
    </row>
    <row r="9208" spans="1:27" ht="21" customHeight="1" x14ac:dyDescent="0.95">
      <c r="A9208" s="56"/>
      <c r="B9208" s="57"/>
      <c r="C9208" s="57"/>
      <c r="D9208" s="57"/>
      <c r="E9208" s="56"/>
      <c r="F9208" s="57"/>
      <c r="G9208" s="57"/>
      <c r="H9208" s="56"/>
      <c r="I9208" s="56"/>
      <c r="J9208" s="58"/>
      <c r="K9208" s="58"/>
      <c r="L9208" s="13" t="str">
        <f t="shared" si="1506"/>
        <v/>
      </c>
      <c r="M9208" s="13" t="str">
        <f t="shared" si="1507"/>
        <v/>
      </c>
      <c r="Q9208" t="str">
        <f t="shared" si="1508"/>
        <v/>
      </c>
      <c r="R9208" t="str">
        <f t="shared" si="1509"/>
        <v/>
      </c>
      <c r="S9208" t="str">
        <f t="shared" si="1510"/>
        <v/>
      </c>
      <c r="T9208" t="str">
        <f t="shared" si="1511"/>
        <v/>
      </c>
      <c r="U9208" t="str">
        <f t="shared" si="1512"/>
        <v/>
      </c>
      <c r="V9208" t="str">
        <f t="shared" si="1513"/>
        <v/>
      </c>
      <c r="W9208" t="str">
        <f t="shared" si="1514"/>
        <v/>
      </c>
      <c r="X9208">
        <f t="shared" si="1516"/>
        <v>0</v>
      </c>
      <c r="Z9208" t="str">
        <f t="shared" si="1515"/>
        <v/>
      </c>
      <c r="AA9208">
        <f t="shared" si="1517"/>
        <v>0</v>
      </c>
    </row>
    <row r="9209" spans="1:27" ht="21" customHeight="1" x14ac:dyDescent="0.95">
      <c r="A9209" s="56"/>
      <c r="B9209" s="57"/>
      <c r="C9209" s="57"/>
      <c r="D9209" s="57"/>
      <c r="E9209" s="56"/>
      <c r="F9209" s="57"/>
      <c r="G9209" s="57"/>
      <c r="H9209" s="56"/>
      <c r="I9209" s="56"/>
      <c r="J9209" s="58"/>
      <c r="K9209" s="58"/>
      <c r="L9209" s="13" t="str">
        <f t="shared" si="1506"/>
        <v/>
      </c>
      <c r="M9209" s="13" t="str">
        <f t="shared" si="1507"/>
        <v/>
      </c>
      <c r="Q9209" t="str">
        <f t="shared" si="1508"/>
        <v/>
      </c>
      <c r="R9209" t="str">
        <f t="shared" si="1509"/>
        <v/>
      </c>
      <c r="S9209" t="str">
        <f t="shared" si="1510"/>
        <v/>
      </c>
      <c r="T9209" t="str">
        <f t="shared" si="1511"/>
        <v/>
      </c>
      <c r="U9209" t="str">
        <f t="shared" si="1512"/>
        <v/>
      </c>
      <c r="V9209" t="str">
        <f t="shared" si="1513"/>
        <v/>
      </c>
      <c r="W9209" t="str">
        <f t="shared" si="1514"/>
        <v/>
      </c>
      <c r="X9209">
        <f t="shared" si="1516"/>
        <v>0</v>
      </c>
      <c r="Z9209" t="str">
        <f t="shared" si="1515"/>
        <v/>
      </c>
      <c r="AA9209">
        <f t="shared" si="1517"/>
        <v>0</v>
      </c>
    </row>
    <row r="9210" spans="1:27" ht="21" customHeight="1" x14ac:dyDescent="0.95">
      <c r="A9210" s="56"/>
      <c r="B9210" s="57"/>
      <c r="C9210" s="57"/>
      <c r="D9210" s="57"/>
      <c r="E9210" s="56"/>
      <c r="F9210" s="57"/>
      <c r="G9210" s="57"/>
      <c r="H9210" s="56"/>
      <c r="I9210" s="56"/>
      <c r="J9210" s="58"/>
      <c r="K9210" s="58"/>
      <c r="L9210" s="13" t="str">
        <f t="shared" si="1506"/>
        <v/>
      </c>
      <c r="M9210" s="13" t="str">
        <f t="shared" si="1507"/>
        <v/>
      </c>
      <c r="Q9210" t="str">
        <f t="shared" si="1508"/>
        <v/>
      </c>
      <c r="R9210" t="str">
        <f t="shared" si="1509"/>
        <v/>
      </c>
      <c r="S9210" t="str">
        <f t="shared" si="1510"/>
        <v/>
      </c>
      <c r="T9210" t="str">
        <f t="shared" si="1511"/>
        <v/>
      </c>
      <c r="U9210" t="str">
        <f t="shared" si="1512"/>
        <v/>
      </c>
      <c r="V9210" t="str">
        <f t="shared" si="1513"/>
        <v/>
      </c>
      <c r="W9210" t="str">
        <f t="shared" si="1514"/>
        <v/>
      </c>
      <c r="X9210">
        <f t="shared" si="1516"/>
        <v>0</v>
      </c>
      <c r="Z9210" t="str">
        <f t="shared" si="1515"/>
        <v/>
      </c>
      <c r="AA9210">
        <f t="shared" si="1517"/>
        <v>0</v>
      </c>
    </row>
    <row r="9211" spans="1:27" ht="21" customHeight="1" x14ac:dyDescent="0.95">
      <c r="A9211" s="56"/>
      <c r="B9211" s="57"/>
      <c r="C9211" s="57"/>
      <c r="D9211" s="57"/>
      <c r="E9211" s="56"/>
      <c r="F9211" s="57"/>
      <c r="G9211" s="57"/>
      <c r="H9211" s="56"/>
      <c r="I9211" s="56"/>
      <c r="J9211" s="58"/>
      <c r="K9211" s="58"/>
      <c r="L9211" s="13" t="str">
        <f t="shared" si="1506"/>
        <v/>
      </c>
      <c r="M9211" s="13" t="str">
        <f t="shared" si="1507"/>
        <v/>
      </c>
      <c r="Q9211" t="str">
        <f t="shared" si="1508"/>
        <v/>
      </c>
      <c r="R9211" t="str">
        <f t="shared" si="1509"/>
        <v/>
      </c>
      <c r="S9211" t="str">
        <f t="shared" si="1510"/>
        <v/>
      </c>
      <c r="T9211" t="str">
        <f t="shared" si="1511"/>
        <v/>
      </c>
      <c r="U9211" t="str">
        <f t="shared" si="1512"/>
        <v/>
      </c>
      <c r="V9211" t="str">
        <f t="shared" si="1513"/>
        <v/>
      </c>
      <c r="W9211" t="str">
        <f t="shared" si="1514"/>
        <v/>
      </c>
      <c r="X9211">
        <f t="shared" si="1516"/>
        <v>0</v>
      </c>
      <c r="Z9211" t="str">
        <f t="shared" si="1515"/>
        <v/>
      </c>
      <c r="AA9211">
        <f t="shared" si="1517"/>
        <v>0</v>
      </c>
    </row>
    <row r="9212" spans="1:27" ht="21" customHeight="1" x14ac:dyDescent="0.95">
      <c r="A9212" s="56"/>
      <c r="B9212" s="57"/>
      <c r="C9212" s="57"/>
      <c r="D9212" s="57"/>
      <c r="E9212" s="56"/>
      <c r="F9212" s="57"/>
      <c r="G9212" s="57"/>
      <c r="H9212" s="56"/>
      <c r="I9212" s="56"/>
      <c r="J9212" s="58"/>
      <c r="K9212" s="58"/>
      <c r="L9212" s="13" t="str">
        <f t="shared" si="1506"/>
        <v/>
      </c>
      <c r="M9212" s="13" t="str">
        <f t="shared" si="1507"/>
        <v/>
      </c>
      <c r="Q9212" t="str">
        <f t="shared" si="1508"/>
        <v/>
      </c>
      <c r="R9212" t="str">
        <f t="shared" si="1509"/>
        <v/>
      </c>
      <c r="S9212" t="str">
        <f t="shared" si="1510"/>
        <v/>
      </c>
      <c r="T9212" t="str">
        <f t="shared" si="1511"/>
        <v/>
      </c>
      <c r="U9212" t="str">
        <f t="shared" si="1512"/>
        <v/>
      </c>
      <c r="V9212" t="str">
        <f t="shared" si="1513"/>
        <v/>
      </c>
      <c r="W9212" t="str">
        <f t="shared" si="1514"/>
        <v/>
      </c>
      <c r="X9212">
        <f t="shared" si="1516"/>
        <v>0</v>
      </c>
      <c r="Z9212" t="str">
        <f t="shared" si="1515"/>
        <v/>
      </c>
      <c r="AA9212">
        <f t="shared" si="1517"/>
        <v>0</v>
      </c>
    </row>
    <row r="9213" spans="1:27" ht="21" customHeight="1" x14ac:dyDescent="0.95">
      <c r="A9213" s="56"/>
      <c r="B9213" s="57"/>
      <c r="C9213" s="57"/>
      <c r="D9213" s="57"/>
      <c r="E9213" s="56"/>
      <c r="F9213" s="57"/>
      <c r="G9213" s="57"/>
      <c r="H9213" s="56"/>
      <c r="I9213" s="56"/>
      <c r="J9213" s="58"/>
      <c r="K9213" s="58"/>
      <c r="L9213" s="13" t="str">
        <f t="shared" si="1506"/>
        <v/>
      </c>
      <c r="M9213" s="13" t="str">
        <f t="shared" si="1507"/>
        <v/>
      </c>
      <c r="Q9213" t="str">
        <f t="shared" si="1508"/>
        <v/>
      </c>
      <c r="R9213" t="str">
        <f t="shared" si="1509"/>
        <v/>
      </c>
      <c r="S9213" t="str">
        <f t="shared" si="1510"/>
        <v/>
      </c>
      <c r="T9213" t="str">
        <f t="shared" si="1511"/>
        <v/>
      </c>
      <c r="U9213" t="str">
        <f t="shared" si="1512"/>
        <v/>
      </c>
      <c r="V9213" t="str">
        <f t="shared" si="1513"/>
        <v/>
      </c>
      <c r="W9213" t="str">
        <f t="shared" si="1514"/>
        <v/>
      </c>
      <c r="X9213">
        <f t="shared" si="1516"/>
        <v>0</v>
      </c>
      <c r="Z9213" t="str">
        <f t="shared" si="1515"/>
        <v/>
      </c>
      <c r="AA9213">
        <f t="shared" si="1517"/>
        <v>0</v>
      </c>
    </row>
    <row r="9214" spans="1:27" ht="21" customHeight="1" x14ac:dyDescent="0.95">
      <c r="A9214" s="56"/>
      <c r="B9214" s="57"/>
      <c r="C9214" s="57"/>
      <c r="D9214" s="57"/>
      <c r="E9214" s="56"/>
      <c r="F9214" s="57"/>
      <c r="G9214" s="57"/>
      <c r="H9214" s="56"/>
      <c r="I9214" s="56"/>
      <c r="J9214" s="58"/>
      <c r="K9214" s="58"/>
      <c r="L9214" s="13" t="str">
        <f t="shared" si="1506"/>
        <v/>
      </c>
      <c r="M9214" s="13" t="str">
        <f t="shared" si="1507"/>
        <v/>
      </c>
      <c r="Q9214" t="str">
        <f t="shared" si="1508"/>
        <v/>
      </c>
      <c r="R9214" t="str">
        <f t="shared" si="1509"/>
        <v/>
      </c>
      <c r="S9214" t="str">
        <f t="shared" si="1510"/>
        <v/>
      </c>
      <c r="T9214" t="str">
        <f t="shared" si="1511"/>
        <v/>
      </c>
      <c r="U9214" t="str">
        <f t="shared" si="1512"/>
        <v/>
      </c>
      <c r="V9214" t="str">
        <f t="shared" si="1513"/>
        <v/>
      </c>
      <c r="W9214" t="str">
        <f t="shared" si="1514"/>
        <v/>
      </c>
      <c r="X9214">
        <f t="shared" si="1516"/>
        <v>0</v>
      </c>
      <c r="Z9214" t="str">
        <f t="shared" si="1515"/>
        <v/>
      </c>
      <c r="AA9214">
        <f t="shared" si="1517"/>
        <v>0</v>
      </c>
    </row>
    <row r="9215" spans="1:27" ht="21" customHeight="1" x14ac:dyDescent="0.95">
      <c r="A9215" s="56"/>
      <c r="B9215" s="57"/>
      <c r="C9215" s="57"/>
      <c r="D9215" s="57"/>
      <c r="E9215" s="56"/>
      <c r="F9215" s="57"/>
      <c r="G9215" s="57"/>
      <c r="H9215" s="56"/>
      <c r="I9215" s="56"/>
      <c r="J9215" s="58"/>
      <c r="K9215" s="58"/>
      <c r="L9215" s="13" t="str">
        <f t="shared" si="1506"/>
        <v/>
      </c>
      <c r="M9215" s="13" t="str">
        <f t="shared" si="1507"/>
        <v/>
      </c>
      <c r="Q9215" t="str">
        <f t="shared" si="1508"/>
        <v/>
      </c>
      <c r="R9215" t="str">
        <f t="shared" si="1509"/>
        <v/>
      </c>
      <c r="S9215" t="str">
        <f t="shared" si="1510"/>
        <v/>
      </c>
      <c r="T9215" t="str">
        <f t="shared" si="1511"/>
        <v/>
      </c>
      <c r="U9215" t="str">
        <f t="shared" si="1512"/>
        <v/>
      </c>
      <c r="V9215" t="str">
        <f t="shared" si="1513"/>
        <v/>
      </c>
      <c r="W9215" t="str">
        <f t="shared" si="1514"/>
        <v/>
      </c>
      <c r="X9215">
        <f t="shared" si="1516"/>
        <v>0</v>
      </c>
      <c r="Z9215" t="str">
        <f t="shared" si="1515"/>
        <v/>
      </c>
      <c r="AA9215">
        <f t="shared" si="1517"/>
        <v>0</v>
      </c>
    </row>
    <row r="9216" spans="1:27" ht="21" customHeight="1" x14ac:dyDescent="0.95">
      <c r="A9216" s="56"/>
      <c r="B9216" s="57"/>
      <c r="C9216" s="57"/>
      <c r="D9216" s="57"/>
      <c r="E9216" s="56"/>
      <c r="F9216" s="57"/>
      <c r="G9216" s="57"/>
      <c r="H9216" s="56"/>
      <c r="I9216" s="56"/>
      <c r="J9216" s="58"/>
      <c r="K9216" s="58"/>
      <c r="L9216" s="13" t="str">
        <f t="shared" si="1506"/>
        <v/>
      </c>
      <c r="M9216" s="13" t="str">
        <f t="shared" si="1507"/>
        <v/>
      </c>
      <c r="Q9216" t="str">
        <f t="shared" si="1508"/>
        <v/>
      </c>
      <c r="R9216" t="str">
        <f t="shared" si="1509"/>
        <v/>
      </c>
      <c r="S9216" t="str">
        <f t="shared" si="1510"/>
        <v/>
      </c>
      <c r="T9216" t="str">
        <f t="shared" si="1511"/>
        <v/>
      </c>
      <c r="U9216" t="str">
        <f t="shared" si="1512"/>
        <v/>
      </c>
      <c r="V9216" t="str">
        <f t="shared" si="1513"/>
        <v/>
      </c>
      <c r="W9216" t="str">
        <f t="shared" si="1514"/>
        <v/>
      </c>
      <c r="X9216">
        <f t="shared" si="1516"/>
        <v>0</v>
      </c>
      <c r="Z9216" t="str">
        <f t="shared" si="1515"/>
        <v/>
      </c>
      <c r="AA9216">
        <f t="shared" si="1517"/>
        <v>0</v>
      </c>
    </row>
    <row r="9217" spans="1:27" ht="21" customHeight="1" x14ac:dyDescent="0.95">
      <c r="A9217" s="56"/>
      <c r="B9217" s="57"/>
      <c r="C9217" s="57"/>
      <c r="D9217" s="57"/>
      <c r="E9217" s="56"/>
      <c r="F9217" s="57"/>
      <c r="G9217" s="57"/>
      <c r="H9217" s="56"/>
      <c r="I9217" s="56"/>
      <c r="J9217" s="58"/>
      <c r="K9217" s="58"/>
      <c r="L9217" s="13" t="str">
        <f t="shared" si="1506"/>
        <v/>
      </c>
      <c r="M9217" s="13" t="str">
        <f t="shared" si="1507"/>
        <v/>
      </c>
      <c r="Q9217" t="str">
        <f t="shared" si="1508"/>
        <v/>
      </c>
      <c r="R9217" t="str">
        <f t="shared" si="1509"/>
        <v/>
      </c>
      <c r="S9217" t="str">
        <f t="shared" si="1510"/>
        <v/>
      </c>
      <c r="T9217" t="str">
        <f t="shared" si="1511"/>
        <v/>
      </c>
      <c r="U9217" t="str">
        <f t="shared" si="1512"/>
        <v/>
      </c>
      <c r="V9217" t="str">
        <f t="shared" si="1513"/>
        <v/>
      </c>
      <c r="W9217" t="str">
        <f t="shared" si="1514"/>
        <v/>
      </c>
      <c r="X9217">
        <f t="shared" si="1516"/>
        <v>0</v>
      </c>
      <c r="Z9217" t="str">
        <f t="shared" si="1515"/>
        <v/>
      </c>
      <c r="AA9217">
        <f t="shared" si="1517"/>
        <v>0</v>
      </c>
    </row>
    <row r="9218" spans="1:27" ht="21" customHeight="1" x14ac:dyDescent="0.95">
      <c r="A9218" s="56"/>
      <c r="B9218" s="57"/>
      <c r="C9218" s="57"/>
      <c r="D9218" s="57"/>
      <c r="E9218" s="56"/>
      <c r="F9218" s="57"/>
      <c r="G9218" s="57"/>
      <c r="H9218" s="56"/>
      <c r="I9218" s="56"/>
      <c r="J9218" s="58"/>
      <c r="K9218" s="58"/>
      <c r="L9218" s="13" t="str">
        <f t="shared" si="1506"/>
        <v/>
      </c>
      <c r="M9218" s="13" t="str">
        <f t="shared" si="1507"/>
        <v/>
      </c>
      <c r="Q9218" t="str">
        <f t="shared" si="1508"/>
        <v/>
      </c>
      <c r="R9218" t="str">
        <f t="shared" si="1509"/>
        <v/>
      </c>
      <c r="S9218" t="str">
        <f t="shared" si="1510"/>
        <v/>
      </c>
      <c r="T9218" t="str">
        <f t="shared" si="1511"/>
        <v/>
      </c>
      <c r="U9218" t="str">
        <f t="shared" si="1512"/>
        <v/>
      </c>
      <c r="V9218" t="str">
        <f t="shared" si="1513"/>
        <v/>
      </c>
      <c r="W9218" t="str">
        <f t="shared" si="1514"/>
        <v/>
      </c>
      <c r="X9218">
        <f t="shared" si="1516"/>
        <v>0</v>
      </c>
      <c r="Z9218" t="str">
        <f t="shared" si="1515"/>
        <v/>
      </c>
      <c r="AA9218">
        <f t="shared" si="1517"/>
        <v>0</v>
      </c>
    </row>
    <row r="9219" spans="1:27" ht="21" customHeight="1" x14ac:dyDescent="0.95">
      <c r="A9219" s="56"/>
      <c r="B9219" s="57"/>
      <c r="C9219" s="57"/>
      <c r="D9219" s="57"/>
      <c r="E9219" s="56"/>
      <c r="F9219" s="57"/>
      <c r="G9219" s="57"/>
      <c r="H9219" s="56"/>
      <c r="I9219" s="56"/>
      <c r="J9219" s="58"/>
      <c r="K9219" s="58"/>
      <c r="L9219" s="13" t="str">
        <f t="shared" si="1506"/>
        <v/>
      </c>
      <c r="M9219" s="13" t="str">
        <f t="shared" si="1507"/>
        <v/>
      </c>
      <c r="Q9219" t="str">
        <f t="shared" si="1508"/>
        <v/>
      </c>
      <c r="R9219" t="str">
        <f t="shared" si="1509"/>
        <v/>
      </c>
      <c r="S9219" t="str">
        <f t="shared" si="1510"/>
        <v/>
      </c>
      <c r="T9219" t="str">
        <f t="shared" si="1511"/>
        <v/>
      </c>
      <c r="U9219" t="str">
        <f t="shared" si="1512"/>
        <v/>
      </c>
      <c r="V9219" t="str">
        <f t="shared" si="1513"/>
        <v/>
      </c>
      <c r="W9219" t="str">
        <f t="shared" si="1514"/>
        <v/>
      </c>
      <c r="X9219">
        <f t="shared" si="1516"/>
        <v>0</v>
      </c>
      <c r="Z9219" t="str">
        <f t="shared" si="1515"/>
        <v/>
      </c>
      <c r="AA9219">
        <f t="shared" si="1517"/>
        <v>0</v>
      </c>
    </row>
    <row r="9220" spans="1:27" ht="21" customHeight="1" x14ac:dyDescent="0.95">
      <c r="A9220" s="56"/>
      <c r="B9220" s="57"/>
      <c r="C9220" s="57"/>
      <c r="D9220" s="57"/>
      <c r="E9220" s="56"/>
      <c r="F9220" s="57"/>
      <c r="G9220" s="57"/>
      <c r="H9220" s="56"/>
      <c r="I9220" s="56"/>
      <c r="J9220" s="58"/>
      <c r="K9220" s="58"/>
      <c r="L9220" s="13" t="str">
        <f t="shared" ref="L9220:L9283" si="1518">IF(OR($A9220="",AND($J9220="",$K9220="")),"",ROUND(N($J9220)-N($K9220),2))</f>
        <v/>
      </c>
      <c r="M9220" s="13" t="str">
        <f t="shared" ref="M9220:M9283" si="1519">IF(OR($A9220="",AND($J9220="",$K9220="")),"",MIN($J9220,$K9220))</f>
        <v/>
      </c>
      <c r="Q9220" t="str">
        <f t="shared" ref="Q9220:Q9283" si="1520">IF($A9220="","",$D9220&amp;"("&amp;SUBSTITUTE($E9220," ","")&amp;")")</f>
        <v/>
      </c>
      <c r="R9220" t="str">
        <f t="shared" ref="R9220:R9283" si="1521">IF($A9220="","",$B9220&amp;" - "&amp;$C9220)</f>
        <v/>
      </c>
      <c r="S9220" t="str">
        <f t="shared" ref="S9220:S9283" si="1522">IF($A9220="","",$R9220&amp;"|"&amp;$Q9220)</f>
        <v/>
      </c>
      <c r="T9220" t="str">
        <f t="shared" ref="T9220:T9283" si="1523">IF($A9220="","",$S9220&amp;"|"&amp;$F9220)</f>
        <v/>
      </c>
      <c r="U9220" t="str">
        <f t="shared" ref="U9220:U9283" si="1524">IF($A9220="","",$R9220&amp;"("&amp;$E9220&amp;")")</f>
        <v/>
      </c>
      <c r="V9220" t="str">
        <f t="shared" ref="V9220:V9283" si="1525">IF($A9220="","",$F9220&amp;"|"&amp;$U9220&amp;"|"&amp;$D9220)</f>
        <v/>
      </c>
      <c r="W9220" t="str">
        <f t="shared" si="1514"/>
        <v/>
      </c>
      <c r="X9220">
        <f t="shared" si="1516"/>
        <v>0</v>
      </c>
      <c r="Z9220" t="str">
        <f t="shared" si="1515"/>
        <v/>
      </c>
      <c r="AA9220">
        <f t="shared" si="1517"/>
        <v>0</v>
      </c>
    </row>
    <row r="9221" spans="1:27" ht="21" customHeight="1" x14ac:dyDescent="0.95">
      <c r="A9221" s="56"/>
      <c r="B9221" s="57"/>
      <c r="C9221" s="57"/>
      <c r="D9221" s="57"/>
      <c r="E9221" s="56"/>
      <c r="F9221" s="57"/>
      <c r="G9221" s="57"/>
      <c r="H9221" s="56"/>
      <c r="I9221" s="56"/>
      <c r="J9221" s="58"/>
      <c r="K9221" s="58"/>
      <c r="L9221" s="13" t="str">
        <f t="shared" si="1518"/>
        <v/>
      </c>
      <c r="M9221" s="13" t="str">
        <f t="shared" si="1519"/>
        <v/>
      </c>
      <c r="Q9221" t="str">
        <f t="shared" si="1520"/>
        <v/>
      </c>
      <c r="R9221" t="str">
        <f t="shared" si="1521"/>
        <v/>
      </c>
      <c r="S9221" t="str">
        <f t="shared" si="1522"/>
        <v/>
      </c>
      <c r="T9221" t="str">
        <f t="shared" si="1523"/>
        <v/>
      </c>
      <c r="U9221" t="str">
        <f t="shared" si="1524"/>
        <v/>
      </c>
      <c r="V9221" t="str">
        <f t="shared" si="1525"/>
        <v/>
      </c>
      <c r="W9221" t="str">
        <f t="shared" si="1514"/>
        <v/>
      </c>
      <c r="X9221">
        <f t="shared" si="1516"/>
        <v>0</v>
      </c>
      <c r="Z9221" t="str">
        <f t="shared" si="1515"/>
        <v/>
      </c>
      <c r="AA9221">
        <f t="shared" si="1517"/>
        <v>0</v>
      </c>
    </row>
    <row r="9222" spans="1:27" ht="21" customHeight="1" x14ac:dyDescent="0.95">
      <c r="A9222" s="56"/>
      <c r="B9222" s="57"/>
      <c r="C9222" s="57"/>
      <c r="D9222" s="57"/>
      <c r="E9222" s="56"/>
      <c r="F9222" s="57"/>
      <c r="G9222" s="57"/>
      <c r="H9222" s="56"/>
      <c r="I9222" s="56"/>
      <c r="J9222" s="58"/>
      <c r="K9222" s="58"/>
      <c r="L9222" s="13" t="str">
        <f t="shared" si="1518"/>
        <v/>
      </c>
      <c r="M9222" s="13" t="str">
        <f t="shared" si="1519"/>
        <v/>
      </c>
      <c r="Q9222" t="str">
        <f t="shared" si="1520"/>
        <v/>
      </c>
      <c r="R9222" t="str">
        <f t="shared" si="1521"/>
        <v/>
      </c>
      <c r="S9222" t="str">
        <f t="shared" si="1522"/>
        <v/>
      </c>
      <c r="T9222" t="str">
        <f t="shared" si="1523"/>
        <v/>
      </c>
      <c r="U9222" t="str">
        <f t="shared" si="1524"/>
        <v/>
      </c>
      <c r="V9222" t="str">
        <f t="shared" si="1525"/>
        <v/>
      </c>
      <c r="W9222" t="str">
        <f t="shared" ref="W9222:W9285" si="1526">IF($T9222="","",IF($X9222&gt;N($X9221),$X9222,""))</f>
        <v/>
      </c>
      <c r="X9222">
        <f t="shared" si="1516"/>
        <v>0</v>
      </c>
      <c r="Z9222" t="str">
        <f t="shared" ref="Z9222:Z9285" si="1527">IF($V9222="","",IF($AA9222&gt;N($AA9221),$AA9222,""))</f>
        <v/>
      </c>
      <c r="AA9222">
        <f t="shared" si="1517"/>
        <v>0</v>
      </c>
    </row>
    <row r="9223" spans="1:27" ht="21" customHeight="1" x14ac:dyDescent="0.95">
      <c r="A9223" s="56"/>
      <c r="B9223" s="57"/>
      <c r="C9223" s="57"/>
      <c r="D9223" s="57"/>
      <c r="E9223" s="56"/>
      <c r="F9223" s="57"/>
      <c r="G9223" s="57"/>
      <c r="H9223" s="56"/>
      <c r="I9223" s="56"/>
      <c r="J9223" s="58"/>
      <c r="K9223" s="58"/>
      <c r="L9223" s="13" t="str">
        <f t="shared" si="1518"/>
        <v/>
      </c>
      <c r="M9223" s="13" t="str">
        <f t="shared" si="1519"/>
        <v/>
      </c>
      <c r="Q9223" t="str">
        <f t="shared" si="1520"/>
        <v/>
      </c>
      <c r="R9223" t="str">
        <f t="shared" si="1521"/>
        <v/>
      </c>
      <c r="S9223" t="str">
        <f t="shared" si="1522"/>
        <v/>
      </c>
      <c r="T9223" t="str">
        <f t="shared" si="1523"/>
        <v/>
      </c>
      <c r="U9223" t="str">
        <f t="shared" si="1524"/>
        <v/>
      </c>
      <c r="V9223" t="str">
        <f t="shared" si="1525"/>
        <v/>
      </c>
      <c r="W9223" t="str">
        <f t="shared" si="1526"/>
        <v/>
      </c>
      <c r="X9223">
        <f t="shared" si="1516"/>
        <v>0</v>
      </c>
      <c r="Z9223" t="str">
        <f t="shared" si="1527"/>
        <v/>
      </c>
      <c r="AA9223">
        <f t="shared" si="1517"/>
        <v>0</v>
      </c>
    </row>
    <row r="9224" spans="1:27" ht="21" customHeight="1" x14ac:dyDescent="0.95">
      <c r="A9224" s="56"/>
      <c r="B9224" s="57"/>
      <c r="C9224" s="57"/>
      <c r="D9224" s="57"/>
      <c r="E9224" s="56"/>
      <c r="F9224" s="57"/>
      <c r="G9224" s="57"/>
      <c r="H9224" s="56"/>
      <c r="I9224" s="56"/>
      <c r="J9224" s="58"/>
      <c r="K9224" s="58"/>
      <c r="L9224" s="13" t="str">
        <f t="shared" si="1518"/>
        <v/>
      </c>
      <c r="M9224" s="13" t="str">
        <f t="shared" si="1519"/>
        <v/>
      </c>
      <c r="Q9224" t="str">
        <f t="shared" si="1520"/>
        <v/>
      </c>
      <c r="R9224" t="str">
        <f t="shared" si="1521"/>
        <v/>
      </c>
      <c r="S9224" t="str">
        <f t="shared" si="1522"/>
        <v/>
      </c>
      <c r="T9224" t="str">
        <f t="shared" si="1523"/>
        <v/>
      </c>
      <c r="U9224" t="str">
        <f t="shared" si="1524"/>
        <v/>
      </c>
      <c r="V9224" t="str">
        <f t="shared" si="1525"/>
        <v/>
      </c>
      <c r="W9224" t="str">
        <f t="shared" si="1526"/>
        <v/>
      </c>
      <c r="X9224">
        <f t="shared" si="1516"/>
        <v>0</v>
      </c>
      <c r="Z9224" t="str">
        <f t="shared" si="1527"/>
        <v/>
      </c>
      <c r="AA9224">
        <f t="shared" si="1517"/>
        <v>0</v>
      </c>
    </row>
    <row r="9225" spans="1:27" ht="21" customHeight="1" x14ac:dyDescent="0.95">
      <c r="A9225" s="56"/>
      <c r="B9225" s="57"/>
      <c r="C9225" s="57"/>
      <c r="D9225" s="57"/>
      <c r="E9225" s="56"/>
      <c r="F9225" s="57"/>
      <c r="G9225" s="57"/>
      <c r="H9225" s="56"/>
      <c r="I9225" s="56"/>
      <c r="J9225" s="58"/>
      <c r="K9225" s="58"/>
      <c r="L9225" s="13" t="str">
        <f t="shared" si="1518"/>
        <v/>
      </c>
      <c r="M9225" s="13" t="str">
        <f t="shared" si="1519"/>
        <v/>
      </c>
      <c r="Q9225" t="str">
        <f t="shared" si="1520"/>
        <v/>
      </c>
      <c r="R9225" t="str">
        <f t="shared" si="1521"/>
        <v/>
      </c>
      <c r="S9225" t="str">
        <f t="shared" si="1522"/>
        <v/>
      </c>
      <c r="T9225" t="str">
        <f t="shared" si="1523"/>
        <v/>
      </c>
      <c r="U9225" t="str">
        <f t="shared" si="1524"/>
        <v/>
      </c>
      <c r="V9225" t="str">
        <f t="shared" si="1525"/>
        <v/>
      </c>
      <c r="W9225" t="str">
        <f t="shared" si="1526"/>
        <v/>
      </c>
      <c r="X9225">
        <f t="shared" si="1516"/>
        <v>0</v>
      </c>
      <c r="Z9225" t="str">
        <f t="shared" si="1527"/>
        <v/>
      </c>
      <c r="AA9225">
        <f t="shared" si="1517"/>
        <v>0</v>
      </c>
    </row>
    <row r="9226" spans="1:27" ht="21" customHeight="1" x14ac:dyDescent="0.95">
      <c r="A9226" s="56"/>
      <c r="B9226" s="57"/>
      <c r="C9226" s="57"/>
      <c r="D9226" s="57"/>
      <c r="E9226" s="56"/>
      <c r="F9226" s="57"/>
      <c r="G9226" s="57"/>
      <c r="H9226" s="56"/>
      <c r="I9226" s="56"/>
      <c r="J9226" s="58"/>
      <c r="K9226" s="58"/>
      <c r="L9226" s="13" t="str">
        <f t="shared" si="1518"/>
        <v/>
      </c>
      <c r="M9226" s="13" t="str">
        <f t="shared" si="1519"/>
        <v/>
      </c>
      <c r="Q9226" t="str">
        <f t="shared" si="1520"/>
        <v/>
      </c>
      <c r="R9226" t="str">
        <f t="shared" si="1521"/>
        <v/>
      </c>
      <c r="S9226" t="str">
        <f t="shared" si="1522"/>
        <v/>
      </c>
      <c r="T9226" t="str">
        <f t="shared" si="1523"/>
        <v/>
      </c>
      <c r="U9226" t="str">
        <f t="shared" si="1524"/>
        <v/>
      </c>
      <c r="V9226" t="str">
        <f t="shared" si="1525"/>
        <v/>
      </c>
      <c r="W9226" t="str">
        <f t="shared" si="1526"/>
        <v/>
      </c>
      <c r="X9226">
        <f t="shared" si="1516"/>
        <v>0</v>
      </c>
      <c r="Z9226" t="str">
        <f t="shared" si="1527"/>
        <v/>
      </c>
      <c r="AA9226">
        <f t="shared" si="1517"/>
        <v>0</v>
      </c>
    </row>
    <row r="9227" spans="1:27" ht="21" customHeight="1" x14ac:dyDescent="0.95">
      <c r="A9227" s="56"/>
      <c r="B9227" s="57"/>
      <c r="C9227" s="57"/>
      <c r="D9227" s="57"/>
      <c r="E9227" s="56"/>
      <c r="F9227" s="57"/>
      <c r="G9227" s="57"/>
      <c r="H9227" s="56"/>
      <c r="I9227" s="56"/>
      <c r="J9227" s="58"/>
      <c r="K9227" s="58"/>
      <c r="L9227" s="13" t="str">
        <f t="shared" si="1518"/>
        <v/>
      </c>
      <c r="M9227" s="13" t="str">
        <f t="shared" si="1519"/>
        <v/>
      </c>
      <c r="Q9227" t="str">
        <f t="shared" si="1520"/>
        <v/>
      </c>
      <c r="R9227" t="str">
        <f t="shared" si="1521"/>
        <v/>
      </c>
      <c r="S9227" t="str">
        <f t="shared" si="1522"/>
        <v/>
      </c>
      <c r="T9227" t="str">
        <f t="shared" si="1523"/>
        <v/>
      </c>
      <c r="U9227" t="str">
        <f t="shared" si="1524"/>
        <v/>
      </c>
      <c r="V9227" t="str">
        <f t="shared" si="1525"/>
        <v/>
      </c>
      <c r="W9227" t="str">
        <f t="shared" si="1526"/>
        <v/>
      </c>
      <c r="X9227">
        <f t="shared" si="1516"/>
        <v>0</v>
      </c>
      <c r="Z9227" t="str">
        <f t="shared" si="1527"/>
        <v/>
      </c>
      <c r="AA9227">
        <f t="shared" si="1517"/>
        <v>0</v>
      </c>
    </row>
    <row r="9228" spans="1:27" ht="21" customHeight="1" x14ac:dyDescent="0.95">
      <c r="A9228" s="56"/>
      <c r="B9228" s="57"/>
      <c r="C9228" s="57"/>
      <c r="D9228" s="57"/>
      <c r="E9228" s="56"/>
      <c r="F9228" s="57"/>
      <c r="G9228" s="57"/>
      <c r="H9228" s="56"/>
      <c r="I9228" s="56"/>
      <c r="J9228" s="58"/>
      <c r="K9228" s="58"/>
      <c r="L9228" s="13" t="str">
        <f t="shared" si="1518"/>
        <v/>
      </c>
      <c r="M9228" s="13" t="str">
        <f t="shared" si="1519"/>
        <v/>
      </c>
      <c r="Q9228" t="str">
        <f t="shared" si="1520"/>
        <v/>
      </c>
      <c r="R9228" t="str">
        <f t="shared" si="1521"/>
        <v/>
      </c>
      <c r="S9228" t="str">
        <f t="shared" si="1522"/>
        <v/>
      </c>
      <c r="T9228" t="str">
        <f t="shared" si="1523"/>
        <v/>
      </c>
      <c r="U9228" t="str">
        <f t="shared" si="1524"/>
        <v/>
      </c>
      <c r="V9228" t="str">
        <f t="shared" si="1525"/>
        <v/>
      </c>
      <c r="W9228" t="str">
        <f t="shared" si="1526"/>
        <v/>
      </c>
      <c r="X9228">
        <f t="shared" si="1516"/>
        <v>0</v>
      </c>
      <c r="Z9228" t="str">
        <f t="shared" si="1527"/>
        <v/>
      </c>
      <c r="AA9228">
        <f t="shared" si="1517"/>
        <v>0</v>
      </c>
    </row>
    <row r="9229" spans="1:27" ht="21" customHeight="1" x14ac:dyDescent="0.95">
      <c r="A9229" s="56"/>
      <c r="B9229" s="57"/>
      <c r="C9229" s="57"/>
      <c r="D9229" s="57"/>
      <c r="E9229" s="56"/>
      <c r="F9229" s="57"/>
      <c r="G9229" s="57"/>
      <c r="H9229" s="56"/>
      <c r="I9229" s="56"/>
      <c r="J9229" s="58"/>
      <c r="K9229" s="58"/>
      <c r="L9229" s="13" t="str">
        <f t="shared" si="1518"/>
        <v/>
      </c>
      <c r="M9229" s="13" t="str">
        <f t="shared" si="1519"/>
        <v/>
      </c>
      <c r="Q9229" t="str">
        <f t="shared" si="1520"/>
        <v/>
      </c>
      <c r="R9229" t="str">
        <f t="shared" si="1521"/>
        <v/>
      </c>
      <c r="S9229" t="str">
        <f t="shared" si="1522"/>
        <v/>
      </c>
      <c r="T9229" t="str">
        <f t="shared" si="1523"/>
        <v/>
      </c>
      <c r="U9229" t="str">
        <f t="shared" si="1524"/>
        <v/>
      </c>
      <c r="V9229" t="str">
        <f t="shared" si="1525"/>
        <v/>
      </c>
      <c r="W9229" t="str">
        <f t="shared" si="1526"/>
        <v/>
      </c>
      <c r="X9229">
        <f t="shared" si="1516"/>
        <v>0</v>
      </c>
      <c r="Z9229" t="str">
        <f t="shared" si="1527"/>
        <v/>
      </c>
      <c r="AA9229">
        <f t="shared" si="1517"/>
        <v>0</v>
      </c>
    </row>
    <row r="9230" spans="1:27" ht="21" customHeight="1" x14ac:dyDescent="0.95">
      <c r="A9230" s="56"/>
      <c r="B9230" s="57"/>
      <c r="C9230" s="57"/>
      <c r="D9230" s="57"/>
      <c r="E9230" s="56"/>
      <c r="F9230" s="57"/>
      <c r="G9230" s="57"/>
      <c r="H9230" s="56"/>
      <c r="I9230" s="56"/>
      <c r="J9230" s="58"/>
      <c r="K9230" s="58"/>
      <c r="L9230" s="13" t="str">
        <f t="shared" si="1518"/>
        <v/>
      </c>
      <c r="M9230" s="13" t="str">
        <f t="shared" si="1519"/>
        <v/>
      </c>
      <c r="Q9230" t="str">
        <f t="shared" si="1520"/>
        <v/>
      </c>
      <c r="R9230" t="str">
        <f t="shared" si="1521"/>
        <v/>
      </c>
      <c r="S9230" t="str">
        <f t="shared" si="1522"/>
        <v/>
      </c>
      <c r="T9230" t="str">
        <f t="shared" si="1523"/>
        <v/>
      </c>
      <c r="U9230" t="str">
        <f t="shared" si="1524"/>
        <v/>
      </c>
      <c r="V9230" t="str">
        <f t="shared" si="1525"/>
        <v/>
      </c>
      <c r="W9230" t="str">
        <f t="shared" si="1526"/>
        <v/>
      </c>
      <c r="X9230">
        <f t="shared" si="1516"/>
        <v>0</v>
      </c>
      <c r="Z9230" t="str">
        <f t="shared" si="1527"/>
        <v/>
      </c>
      <c r="AA9230">
        <f t="shared" si="1517"/>
        <v>0</v>
      </c>
    </row>
    <row r="9231" spans="1:27" ht="21" customHeight="1" x14ac:dyDescent="0.95">
      <c r="A9231" s="56"/>
      <c r="B9231" s="57"/>
      <c r="C9231" s="57"/>
      <c r="D9231" s="57"/>
      <c r="E9231" s="56"/>
      <c r="F9231" s="57"/>
      <c r="G9231" s="57"/>
      <c r="H9231" s="56"/>
      <c r="I9231" s="56"/>
      <c r="J9231" s="58"/>
      <c r="K9231" s="58"/>
      <c r="L9231" s="13" t="str">
        <f t="shared" si="1518"/>
        <v/>
      </c>
      <c r="M9231" s="13" t="str">
        <f t="shared" si="1519"/>
        <v/>
      </c>
      <c r="Q9231" t="str">
        <f t="shared" si="1520"/>
        <v/>
      </c>
      <c r="R9231" t="str">
        <f t="shared" si="1521"/>
        <v/>
      </c>
      <c r="S9231" t="str">
        <f t="shared" si="1522"/>
        <v/>
      </c>
      <c r="T9231" t="str">
        <f t="shared" si="1523"/>
        <v/>
      </c>
      <c r="U9231" t="str">
        <f t="shared" si="1524"/>
        <v/>
      </c>
      <c r="V9231" t="str">
        <f t="shared" si="1525"/>
        <v/>
      </c>
      <c r="W9231" t="str">
        <f t="shared" si="1526"/>
        <v/>
      </c>
      <c r="X9231">
        <f t="shared" si="1516"/>
        <v>0</v>
      </c>
      <c r="Z9231" t="str">
        <f t="shared" si="1527"/>
        <v/>
      </c>
      <c r="AA9231">
        <f t="shared" si="1517"/>
        <v>0</v>
      </c>
    </row>
    <row r="9232" spans="1:27" ht="21" customHeight="1" x14ac:dyDescent="0.95">
      <c r="A9232" s="56"/>
      <c r="B9232" s="57"/>
      <c r="C9232" s="57"/>
      <c r="D9232" s="57"/>
      <c r="E9232" s="56"/>
      <c r="F9232" s="57"/>
      <c r="G9232" s="57"/>
      <c r="H9232" s="56"/>
      <c r="I9232" s="56"/>
      <c r="J9232" s="58"/>
      <c r="K9232" s="58"/>
      <c r="L9232" s="13" t="str">
        <f t="shared" si="1518"/>
        <v/>
      </c>
      <c r="M9232" s="13" t="str">
        <f t="shared" si="1519"/>
        <v/>
      </c>
      <c r="Q9232" t="str">
        <f t="shared" si="1520"/>
        <v/>
      </c>
      <c r="R9232" t="str">
        <f t="shared" si="1521"/>
        <v/>
      </c>
      <c r="S9232" t="str">
        <f t="shared" si="1522"/>
        <v/>
      </c>
      <c r="T9232" t="str">
        <f t="shared" si="1523"/>
        <v/>
      </c>
      <c r="U9232" t="str">
        <f t="shared" si="1524"/>
        <v/>
      </c>
      <c r="V9232" t="str">
        <f t="shared" si="1525"/>
        <v/>
      </c>
      <c r="W9232" t="str">
        <f t="shared" si="1526"/>
        <v/>
      </c>
      <c r="X9232">
        <f t="shared" si="1516"/>
        <v>0</v>
      </c>
      <c r="Z9232" t="str">
        <f t="shared" si="1527"/>
        <v/>
      </c>
      <c r="AA9232">
        <f t="shared" si="1517"/>
        <v>0</v>
      </c>
    </row>
    <row r="9233" spans="1:27" ht="21" customHeight="1" x14ac:dyDescent="0.95">
      <c r="A9233" s="56"/>
      <c r="B9233" s="57"/>
      <c r="C9233" s="57"/>
      <c r="D9233" s="57"/>
      <c r="E9233" s="56"/>
      <c r="F9233" s="57"/>
      <c r="G9233" s="57"/>
      <c r="H9233" s="56"/>
      <c r="I9233" s="56"/>
      <c r="J9233" s="58"/>
      <c r="K9233" s="58"/>
      <c r="L9233" s="13" t="str">
        <f t="shared" si="1518"/>
        <v/>
      </c>
      <c r="M9233" s="13" t="str">
        <f t="shared" si="1519"/>
        <v/>
      </c>
      <c r="Q9233" t="str">
        <f t="shared" si="1520"/>
        <v/>
      </c>
      <c r="R9233" t="str">
        <f t="shared" si="1521"/>
        <v/>
      </c>
      <c r="S9233" t="str">
        <f t="shared" si="1522"/>
        <v/>
      </c>
      <c r="T9233" t="str">
        <f t="shared" si="1523"/>
        <v/>
      </c>
      <c r="U9233" t="str">
        <f t="shared" si="1524"/>
        <v/>
      </c>
      <c r="V9233" t="str">
        <f t="shared" si="1525"/>
        <v/>
      </c>
      <c r="W9233" t="str">
        <f t="shared" si="1526"/>
        <v/>
      </c>
      <c r="X9233">
        <f t="shared" si="1516"/>
        <v>0</v>
      </c>
      <c r="Z9233" t="str">
        <f t="shared" si="1527"/>
        <v/>
      </c>
      <c r="AA9233">
        <f t="shared" si="1517"/>
        <v>0</v>
      </c>
    </row>
    <row r="9234" spans="1:27" ht="21" customHeight="1" x14ac:dyDescent="0.95">
      <c r="A9234" s="56"/>
      <c r="B9234" s="57"/>
      <c r="C9234" s="57"/>
      <c r="D9234" s="57"/>
      <c r="E9234" s="56"/>
      <c r="F9234" s="57"/>
      <c r="G9234" s="57"/>
      <c r="H9234" s="56"/>
      <c r="I9234" s="56"/>
      <c r="J9234" s="58"/>
      <c r="K9234" s="58"/>
      <c r="L9234" s="13" t="str">
        <f t="shared" si="1518"/>
        <v/>
      </c>
      <c r="M9234" s="13" t="str">
        <f t="shared" si="1519"/>
        <v/>
      </c>
      <c r="Q9234" t="str">
        <f t="shared" si="1520"/>
        <v/>
      </c>
      <c r="R9234" t="str">
        <f t="shared" si="1521"/>
        <v/>
      </c>
      <c r="S9234" t="str">
        <f t="shared" si="1522"/>
        <v/>
      </c>
      <c r="T9234" t="str">
        <f t="shared" si="1523"/>
        <v/>
      </c>
      <c r="U9234" t="str">
        <f t="shared" si="1524"/>
        <v/>
      </c>
      <c r="V9234" t="str">
        <f t="shared" si="1525"/>
        <v/>
      </c>
      <c r="W9234" t="str">
        <f t="shared" si="1526"/>
        <v/>
      </c>
      <c r="X9234">
        <f t="shared" si="1516"/>
        <v>0</v>
      </c>
      <c r="Z9234" t="str">
        <f t="shared" si="1527"/>
        <v/>
      </c>
      <c r="AA9234">
        <f t="shared" si="1517"/>
        <v>0</v>
      </c>
    </row>
    <row r="9235" spans="1:27" ht="21" customHeight="1" x14ac:dyDescent="0.95">
      <c r="A9235" s="56"/>
      <c r="B9235" s="57"/>
      <c r="C9235" s="57"/>
      <c r="D9235" s="57"/>
      <c r="E9235" s="56"/>
      <c r="F9235" s="57"/>
      <c r="G9235" s="57"/>
      <c r="H9235" s="56"/>
      <c r="I9235" s="56"/>
      <c r="J9235" s="58"/>
      <c r="K9235" s="58"/>
      <c r="L9235" s="13" t="str">
        <f t="shared" si="1518"/>
        <v/>
      </c>
      <c r="M9235" s="13" t="str">
        <f t="shared" si="1519"/>
        <v/>
      </c>
      <c r="Q9235" t="str">
        <f t="shared" si="1520"/>
        <v/>
      </c>
      <c r="R9235" t="str">
        <f t="shared" si="1521"/>
        <v/>
      </c>
      <c r="S9235" t="str">
        <f t="shared" si="1522"/>
        <v/>
      </c>
      <c r="T9235" t="str">
        <f t="shared" si="1523"/>
        <v/>
      </c>
      <c r="U9235" t="str">
        <f t="shared" si="1524"/>
        <v/>
      </c>
      <c r="V9235" t="str">
        <f t="shared" si="1525"/>
        <v/>
      </c>
      <c r="W9235" t="str">
        <f t="shared" si="1526"/>
        <v/>
      </c>
      <c r="X9235">
        <f t="shared" si="1516"/>
        <v>0</v>
      </c>
      <c r="Z9235" t="str">
        <f t="shared" si="1527"/>
        <v/>
      </c>
      <c r="AA9235">
        <f t="shared" si="1517"/>
        <v>0</v>
      </c>
    </row>
    <row r="9236" spans="1:27" ht="21" customHeight="1" x14ac:dyDescent="0.95">
      <c r="A9236" s="56"/>
      <c r="B9236" s="57"/>
      <c r="C9236" s="57"/>
      <c r="D9236" s="57"/>
      <c r="E9236" s="56"/>
      <c r="F9236" s="57"/>
      <c r="G9236" s="57"/>
      <c r="H9236" s="56"/>
      <c r="I9236" s="56"/>
      <c r="J9236" s="58"/>
      <c r="K9236" s="58"/>
      <c r="L9236" s="13" t="str">
        <f t="shared" si="1518"/>
        <v/>
      </c>
      <c r="M9236" s="13" t="str">
        <f t="shared" si="1519"/>
        <v/>
      </c>
      <c r="Q9236" t="str">
        <f t="shared" si="1520"/>
        <v/>
      </c>
      <c r="R9236" t="str">
        <f t="shared" si="1521"/>
        <v/>
      </c>
      <c r="S9236" t="str">
        <f t="shared" si="1522"/>
        <v/>
      </c>
      <c r="T9236" t="str">
        <f t="shared" si="1523"/>
        <v/>
      </c>
      <c r="U9236" t="str">
        <f t="shared" si="1524"/>
        <v/>
      </c>
      <c r="V9236" t="str">
        <f t="shared" si="1525"/>
        <v/>
      </c>
      <c r="W9236" t="str">
        <f t="shared" si="1526"/>
        <v/>
      </c>
      <c r="X9236">
        <f t="shared" si="1516"/>
        <v>0</v>
      </c>
      <c r="Z9236" t="str">
        <f t="shared" si="1527"/>
        <v/>
      </c>
      <c r="AA9236">
        <f t="shared" si="1517"/>
        <v>0</v>
      </c>
    </row>
    <row r="9237" spans="1:27" ht="21" customHeight="1" x14ac:dyDescent="0.95">
      <c r="A9237" s="56"/>
      <c r="B9237" s="57"/>
      <c r="C9237" s="57"/>
      <c r="D9237" s="57"/>
      <c r="E9237" s="56"/>
      <c r="F9237" s="57"/>
      <c r="G9237" s="57"/>
      <c r="H9237" s="56"/>
      <c r="I9237" s="56"/>
      <c r="J9237" s="58"/>
      <c r="K9237" s="58"/>
      <c r="L9237" s="13" t="str">
        <f t="shared" si="1518"/>
        <v/>
      </c>
      <c r="M9237" s="13" t="str">
        <f t="shared" si="1519"/>
        <v/>
      </c>
      <c r="Q9237" t="str">
        <f t="shared" si="1520"/>
        <v/>
      </c>
      <c r="R9237" t="str">
        <f t="shared" si="1521"/>
        <v/>
      </c>
      <c r="S9237" t="str">
        <f t="shared" si="1522"/>
        <v/>
      </c>
      <c r="T9237" t="str">
        <f t="shared" si="1523"/>
        <v/>
      </c>
      <c r="U9237" t="str">
        <f t="shared" si="1524"/>
        <v/>
      </c>
      <c r="V9237" t="str">
        <f t="shared" si="1525"/>
        <v/>
      </c>
      <c r="W9237" t="str">
        <f t="shared" si="1526"/>
        <v/>
      </c>
      <c r="X9237">
        <f t="shared" si="1516"/>
        <v>0</v>
      </c>
      <c r="Z9237" t="str">
        <f t="shared" si="1527"/>
        <v/>
      </c>
      <c r="AA9237">
        <f t="shared" si="1517"/>
        <v>0</v>
      </c>
    </row>
    <row r="9238" spans="1:27" ht="21" customHeight="1" x14ac:dyDescent="0.95">
      <c r="A9238" s="56"/>
      <c r="B9238" s="57"/>
      <c r="C9238" s="57"/>
      <c r="D9238" s="57"/>
      <c r="E9238" s="56"/>
      <c r="F9238" s="57"/>
      <c r="G9238" s="57"/>
      <c r="H9238" s="56"/>
      <c r="I9238" s="56"/>
      <c r="J9238" s="58"/>
      <c r="K9238" s="58"/>
      <c r="L9238" s="13" t="str">
        <f t="shared" si="1518"/>
        <v/>
      </c>
      <c r="M9238" s="13" t="str">
        <f t="shared" si="1519"/>
        <v/>
      </c>
      <c r="Q9238" t="str">
        <f t="shared" si="1520"/>
        <v/>
      </c>
      <c r="R9238" t="str">
        <f t="shared" si="1521"/>
        <v/>
      </c>
      <c r="S9238" t="str">
        <f t="shared" si="1522"/>
        <v/>
      </c>
      <c r="T9238" t="str">
        <f t="shared" si="1523"/>
        <v/>
      </c>
      <c r="U9238" t="str">
        <f t="shared" si="1524"/>
        <v/>
      </c>
      <c r="V9238" t="str">
        <f t="shared" si="1525"/>
        <v/>
      </c>
      <c r="W9238" t="str">
        <f t="shared" si="1526"/>
        <v/>
      </c>
      <c r="X9238">
        <f t="shared" si="1516"/>
        <v>0</v>
      </c>
      <c r="Z9238" t="str">
        <f t="shared" si="1527"/>
        <v/>
      </c>
      <c r="AA9238">
        <f t="shared" si="1517"/>
        <v>0</v>
      </c>
    </row>
    <row r="9239" spans="1:27" ht="21" customHeight="1" x14ac:dyDescent="0.95">
      <c r="A9239" s="56"/>
      <c r="B9239" s="57"/>
      <c r="C9239" s="57"/>
      <c r="D9239" s="57"/>
      <c r="E9239" s="56"/>
      <c r="F9239" s="57"/>
      <c r="G9239" s="57"/>
      <c r="H9239" s="56"/>
      <c r="I9239" s="56"/>
      <c r="J9239" s="58"/>
      <c r="K9239" s="58"/>
      <c r="L9239" s="13" t="str">
        <f t="shared" si="1518"/>
        <v/>
      </c>
      <c r="M9239" s="13" t="str">
        <f t="shared" si="1519"/>
        <v/>
      </c>
      <c r="Q9239" t="str">
        <f t="shared" si="1520"/>
        <v/>
      </c>
      <c r="R9239" t="str">
        <f t="shared" si="1521"/>
        <v/>
      </c>
      <c r="S9239" t="str">
        <f t="shared" si="1522"/>
        <v/>
      </c>
      <c r="T9239" t="str">
        <f t="shared" si="1523"/>
        <v/>
      </c>
      <c r="U9239" t="str">
        <f t="shared" si="1524"/>
        <v/>
      </c>
      <c r="V9239" t="str">
        <f t="shared" si="1525"/>
        <v/>
      </c>
      <c r="W9239" t="str">
        <f t="shared" si="1526"/>
        <v/>
      </c>
      <c r="X9239">
        <f t="shared" si="1516"/>
        <v>0</v>
      </c>
      <c r="Z9239" t="str">
        <f t="shared" si="1527"/>
        <v/>
      </c>
      <c r="AA9239">
        <f t="shared" si="1517"/>
        <v>0</v>
      </c>
    </row>
    <row r="9240" spans="1:27" ht="21" customHeight="1" x14ac:dyDescent="0.95">
      <c r="A9240" s="56"/>
      <c r="B9240" s="57"/>
      <c r="C9240" s="57"/>
      <c r="D9240" s="57"/>
      <c r="E9240" s="56"/>
      <c r="F9240" s="57"/>
      <c r="G9240" s="57"/>
      <c r="H9240" s="56"/>
      <c r="I9240" s="56"/>
      <c r="J9240" s="58"/>
      <c r="K9240" s="58"/>
      <c r="L9240" s="13" t="str">
        <f t="shared" si="1518"/>
        <v/>
      </c>
      <c r="M9240" s="13" t="str">
        <f t="shared" si="1519"/>
        <v/>
      </c>
      <c r="Q9240" t="str">
        <f t="shared" si="1520"/>
        <v/>
      </c>
      <c r="R9240" t="str">
        <f t="shared" si="1521"/>
        <v/>
      </c>
      <c r="S9240" t="str">
        <f t="shared" si="1522"/>
        <v/>
      </c>
      <c r="T9240" t="str">
        <f t="shared" si="1523"/>
        <v/>
      </c>
      <c r="U9240" t="str">
        <f t="shared" si="1524"/>
        <v/>
      </c>
      <c r="V9240" t="str">
        <f t="shared" si="1525"/>
        <v/>
      </c>
      <c r="W9240" t="str">
        <f t="shared" si="1526"/>
        <v/>
      </c>
      <c r="X9240">
        <f t="shared" si="1516"/>
        <v>0</v>
      </c>
      <c r="Z9240" t="str">
        <f t="shared" si="1527"/>
        <v/>
      </c>
      <c r="AA9240">
        <f t="shared" si="1517"/>
        <v>0</v>
      </c>
    </row>
    <row r="9241" spans="1:27" ht="21" customHeight="1" x14ac:dyDescent="0.95">
      <c r="A9241" s="56"/>
      <c r="B9241" s="57"/>
      <c r="C9241" s="57"/>
      <c r="D9241" s="57"/>
      <c r="E9241" s="56"/>
      <c r="F9241" s="57"/>
      <c r="G9241" s="57"/>
      <c r="H9241" s="56"/>
      <c r="I9241" s="56"/>
      <c r="J9241" s="58"/>
      <c r="K9241" s="58"/>
      <c r="L9241" s="13" t="str">
        <f t="shared" si="1518"/>
        <v/>
      </c>
      <c r="M9241" s="13" t="str">
        <f t="shared" si="1519"/>
        <v/>
      </c>
      <c r="Q9241" t="str">
        <f t="shared" si="1520"/>
        <v/>
      </c>
      <c r="R9241" t="str">
        <f t="shared" si="1521"/>
        <v/>
      </c>
      <c r="S9241" t="str">
        <f t="shared" si="1522"/>
        <v/>
      </c>
      <c r="T9241" t="str">
        <f t="shared" si="1523"/>
        <v/>
      </c>
      <c r="U9241" t="str">
        <f t="shared" si="1524"/>
        <v/>
      </c>
      <c r="V9241" t="str">
        <f t="shared" si="1525"/>
        <v/>
      </c>
      <c r="W9241" t="str">
        <f t="shared" si="1526"/>
        <v/>
      </c>
      <c r="X9241">
        <f t="shared" si="1516"/>
        <v>0</v>
      </c>
      <c r="Z9241" t="str">
        <f t="shared" si="1527"/>
        <v/>
      </c>
      <c r="AA9241">
        <f t="shared" si="1517"/>
        <v>0</v>
      </c>
    </row>
    <row r="9242" spans="1:27" ht="21" customHeight="1" x14ac:dyDescent="0.95">
      <c r="A9242" s="56"/>
      <c r="B9242" s="57"/>
      <c r="C9242" s="57"/>
      <c r="D9242" s="57"/>
      <c r="E9242" s="56"/>
      <c r="F9242" s="57"/>
      <c r="G9242" s="57"/>
      <c r="H9242" s="56"/>
      <c r="I9242" s="56"/>
      <c r="J9242" s="58"/>
      <c r="K9242" s="58"/>
      <c r="L9242" s="13" t="str">
        <f t="shared" si="1518"/>
        <v/>
      </c>
      <c r="M9242" s="13" t="str">
        <f t="shared" si="1519"/>
        <v/>
      </c>
      <c r="Q9242" t="str">
        <f t="shared" si="1520"/>
        <v/>
      </c>
      <c r="R9242" t="str">
        <f t="shared" si="1521"/>
        <v/>
      </c>
      <c r="S9242" t="str">
        <f t="shared" si="1522"/>
        <v/>
      </c>
      <c r="T9242" t="str">
        <f t="shared" si="1523"/>
        <v/>
      </c>
      <c r="U9242" t="str">
        <f t="shared" si="1524"/>
        <v/>
      </c>
      <c r="V9242" t="str">
        <f t="shared" si="1525"/>
        <v/>
      </c>
      <c r="W9242" t="str">
        <f t="shared" si="1526"/>
        <v/>
      </c>
      <c r="X9242">
        <f t="shared" si="1516"/>
        <v>0</v>
      </c>
      <c r="Z9242" t="str">
        <f t="shared" si="1527"/>
        <v/>
      </c>
      <c r="AA9242">
        <f t="shared" si="1517"/>
        <v>0</v>
      </c>
    </row>
    <row r="9243" spans="1:27" ht="21" customHeight="1" x14ac:dyDescent="0.95">
      <c r="A9243" s="56"/>
      <c r="B9243" s="57"/>
      <c r="C9243" s="57"/>
      <c r="D9243" s="57"/>
      <c r="E9243" s="56"/>
      <c r="F9243" s="57"/>
      <c r="G9243" s="57"/>
      <c r="H9243" s="56"/>
      <c r="I9243" s="56"/>
      <c r="J9243" s="58"/>
      <c r="K9243" s="58"/>
      <c r="L9243" s="13" t="str">
        <f t="shared" si="1518"/>
        <v/>
      </c>
      <c r="M9243" s="13" t="str">
        <f t="shared" si="1519"/>
        <v/>
      </c>
      <c r="Q9243" t="str">
        <f t="shared" si="1520"/>
        <v/>
      </c>
      <c r="R9243" t="str">
        <f t="shared" si="1521"/>
        <v/>
      </c>
      <c r="S9243" t="str">
        <f t="shared" si="1522"/>
        <v/>
      </c>
      <c r="T9243" t="str">
        <f t="shared" si="1523"/>
        <v/>
      </c>
      <c r="U9243" t="str">
        <f t="shared" si="1524"/>
        <v/>
      </c>
      <c r="V9243" t="str">
        <f t="shared" si="1525"/>
        <v/>
      </c>
      <c r="W9243" t="str">
        <f t="shared" si="1526"/>
        <v/>
      </c>
      <c r="X9243">
        <f t="shared" si="1516"/>
        <v>0</v>
      </c>
      <c r="Z9243" t="str">
        <f t="shared" si="1527"/>
        <v/>
      </c>
      <c r="AA9243">
        <f t="shared" si="1517"/>
        <v>0</v>
      </c>
    </row>
    <row r="9244" spans="1:27" ht="21" customHeight="1" x14ac:dyDescent="0.95">
      <c r="A9244" s="56"/>
      <c r="B9244" s="57"/>
      <c r="C9244" s="57"/>
      <c r="D9244" s="57"/>
      <c r="E9244" s="56"/>
      <c r="F9244" s="57"/>
      <c r="G9244" s="57"/>
      <c r="H9244" s="56"/>
      <c r="I9244" s="56"/>
      <c r="J9244" s="58"/>
      <c r="K9244" s="58"/>
      <c r="L9244" s="13" t="str">
        <f t="shared" si="1518"/>
        <v/>
      </c>
      <c r="M9244" s="13" t="str">
        <f t="shared" si="1519"/>
        <v/>
      </c>
      <c r="Q9244" t="str">
        <f t="shared" si="1520"/>
        <v/>
      </c>
      <c r="R9244" t="str">
        <f t="shared" si="1521"/>
        <v/>
      </c>
      <c r="S9244" t="str">
        <f t="shared" si="1522"/>
        <v/>
      </c>
      <c r="T9244" t="str">
        <f t="shared" si="1523"/>
        <v/>
      </c>
      <c r="U9244" t="str">
        <f t="shared" si="1524"/>
        <v/>
      </c>
      <c r="V9244" t="str">
        <f t="shared" si="1525"/>
        <v/>
      </c>
      <c r="W9244" t="str">
        <f t="shared" si="1526"/>
        <v/>
      </c>
      <c r="X9244">
        <f t="shared" si="1516"/>
        <v>0</v>
      </c>
      <c r="Z9244" t="str">
        <f t="shared" si="1527"/>
        <v/>
      </c>
      <c r="AA9244">
        <f t="shared" si="1517"/>
        <v>0</v>
      </c>
    </row>
    <row r="9245" spans="1:27" ht="21" customHeight="1" x14ac:dyDescent="0.95">
      <c r="A9245" s="56"/>
      <c r="B9245" s="57"/>
      <c r="C9245" s="57"/>
      <c r="D9245" s="57"/>
      <c r="E9245" s="56"/>
      <c r="F9245" s="57"/>
      <c r="G9245" s="57"/>
      <c r="H9245" s="56"/>
      <c r="I9245" s="56"/>
      <c r="J9245" s="58"/>
      <c r="K9245" s="58"/>
      <c r="L9245" s="13" t="str">
        <f t="shared" si="1518"/>
        <v/>
      </c>
      <c r="M9245" s="13" t="str">
        <f t="shared" si="1519"/>
        <v/>
      </c>
      <c r="Q9245" t="str">
        <f t="shared" si="1520"/>
        <v/>
      </c>
      <c r="R9245" t="str">
        <f t="shared" si="1521"/>
        <v/>
      </c>
      <c r="S9245" t="str">
        <f t="shared" si="1522"/>
        <v/>
      </c>
      <c r="T9245" t="str">
        <f t="shared" si="1523"/>
        <v/>
      </c>
      <c r="U9245" t="str">
        <f t="shared" si="1524"/>
        <v/>
      </c>
      <c r="V9245" t="str">
        <f t="shared" si="1525"/>
        <v/>
      </c>
      <c r="W9245" t="str">
        <f t="shared" si="1526"/>
        <v/>
      </c>
      <c r="X9245">
        <f t="shared" si="1516"/>
        <v>0</v>
      </c>
      <c r="Z9245" t="str">
        <f t="shared" si="1527"/>
        <v/>
      </c>
      <c r="AA9245">
        <f t="shared" si="1517"/>
        <v>0</v>
      </c>
    </row>
    <row r="9246" spans="1:27" ht="21" customHeight="1" x14ac:dyDescent="0.95">
      <c r="A9246" s="56"/>
      <c r="B9246" s="57"/>
      <c r="C9246" s="57"/>
      <c r="D9246" s="57"/>
      <c r="E9246" s="56"/>
      <c r="F9246" s="57"/>
      <c r="G9246" s="57"/>
      <c r="H9246" s="56"/>
      <c r="I9246" s="56"/>
      <c r="J9246" s="58"/>
      <c r="K9246" s="58"/>
      <c r="L9246" s="13" t="str">
        <f t="shared" si="1518"/>
        <v/>
      </c>
      <c r="M9246" s="13" t="str">
        <f t="shared" si="1519"/>
        <v/>
      </c>
      <c r="Q9246" t="str">
        <f t="shared" si="1520"/>
        <v/>
      </c>
      <c r="R9246" t="str">
        <f t="shared" si="1521"/>
        <v/>
      </c>
      <c r="S9246" t="str">
        <f t="shared" si="1522"/>
        <v/>
      </c>
      <c r="T9246" t="str">
        <f t="shared" si="1523"/>
        <v/>
      </c>
      <c r="U9246" t="str">
        <f t="shared" si="1524"/>
        <v/>
      </c>
      <c r="V9246" t="str">
        <f t="shared" si="1525"/>
        <v/>
      </c>
      <c r="W9246" t="str">
        <f t="shared" si="1526"/>
        <v/>
      </c>
      <c r="X9246">
        <f t="shared" si="1516"/>
        <v>0</v>
      </c>
      <c r="Z9246" t="str">
        <f t="shared" si="1527"/>
        <v/>
      </c>
      <c r="AA9246">
        <f t="shared" si="1517"/>
        <v>0</v>
      </c>
    </row>
    <row r="9247" spans="1:27" ht="21" customHeight="1" x14ac:dyDescent="0.95">
      <c r="A9247" s="56"/>
      <c r="B9247" s="57"/>
      <c r="C9247" s="57"/>
      <c r="D9247" s="57"/>
      <c r="E9247" s="56"/>
      <c r="F9247" s="57"/>
      <c r="G9247" s="57"/>
      <c r="H9247" s="56"/>
      <c r="I9247" s="56"/>
      <c r="J9247" s="58"/>
      <c r="K9247" s="58"/>
      <c r="L9247" s="13" t="str">
        <f t="shared" si="1518"/>
        <v/>
      </c>
      <c r="M9247" s="13" t="str">
        <f t="shared" si="1519"/>
        <v/>
      </c>
      <c r="Q9247" t="str">
        <f t="shared" si="1520"/>
        <v/>
      </c>
      <c r="R9247" t="str">
        <f t="shared" si="1521"/>
        <v/>
      </c>
      <c r="S9247" t="str">
        <f t="shared" si="1522"/>
        <v/>
      </c>
      <c r="T9247" t="str">
        <f t="shared" si="1523"/>
        <v/>
      </c>
      <c r="U9247" t="str">
        <f t="shared" si="1524"/>
        <v/>
      </c>
      <c r="V9247" t="str">
        <f t="shared" si="1525"/>
        <v/>
      </c>
      <c r="W9247" t="str">
        <f t="shared" si="1526"/>
        <v/>
      </c>
      <c r="X9247">
        <f t="shared" si="1516"/>
        <v>0</v>
      </c>
      <c r="Z9247" t="str">
        <f t="shared" si="1527"/>
        <v/>
      </c>
      <c r="AA9247">
        <f t="shared" si="1517"/>
        <v>0</v>
      </c>
    </row>
    <row r="9248" spans="1:27" ht="21" customHeight="1" x14ac:dyDescent="0.95">
      <c r="A9248" s="56"/>
      <c r="B9248" s="57"/>
      <c r="C9248" s="57"/>
      <c r="D9248" s="57"/>
      <c r="E9248" s="56"/>
      <c r="F9248" s="57"/>
      <c r="G9248" s="57"/>
      <c r="H9248" s="56"/>
      <c r="I9248" s="56"/>
      <c r="J9248" s="58"/>
      <c r="K9248" s="58"/>
      <c r="L9248" s="13" t="str">
        <f t="shared" si="1518"/>
        <v/>
      </c>
      <c r="M9248" s="13" t="str">
        <f t="shared" si="1519"/>
        <v/>
      </c>
      <c r="Q9248" t="str">
        <f t="shared" si="1520"/>
        <v/>
      </c>
      <c r="R9248" t="str">
        <f t="shared" si="1521"/>
        <v/>
      </c>
      <c r="S9248" t="str">
        <f t="shared" si="1522"/>
        <v/>
      </c>
      <c r="T9248" t="str">
        <f t="shared" si="1523"/>
        <v/>
      </c>
      <c r="U9248" t="str">
        <f t="shared" si="1524"/>
        <v/>
      </c>
      <c r="V9248" t="str">
        <f t="shared" si="1525"/>
        <v/>
      </c>
      <c r="W9248" t="str">
        <f t="shared" si="1526"/>
        <v/>
      </c>
      <c r="X9248">
        <f t="shared" si="1516"/>
        <v>0</v>
      </c>
      <c r="Z9248" t="str">
        <f t="shared" si="1527"/>
        <v/>
      </c>
      <c r="AA9248">
        <f t="shared" si="1517"/>
        <v>0</v>
      </c>
    </row>
    <row r="9249" spans="1:27" ht="21" customHeight="1" x14ac:dyDescent="0.95">
      <c r="A9249" s="56"/>
      <c r="B9249" s="57"/>
      <c r="C9249" s="57"/>
      <c r="D9249" s="57"/>
      <c r="E9249" s="56"/>
      <c r="F9249" s="57"/>
      <c r="G9249" s="57"/>
      <c r="H9249" s="56"/>
      <c r="I9249" s="56"/>
      <c r="J9249" s="58"/>
      <c r="K9249" s="58"/>
      <c r="L9249" s="13" t="str">
        <f t="shared" si="1518"/>
        <v/>
      </c>
      <c r="M9249" s="13" t="str">
        <f t="shared" si="1519"/>
        <v/>
      </c>
      <c r="Q9249" t="str">
        <f t="shared" si="1520"/>
        <v/>
      </c>
      <c r="R9249" t="str">
        <f t="shared" si="1521"/>
        <v/>
      </c>
      <c r="S9249" t="str">
        <f t="shared" si="1522"/>
        <v/>
      </c>
      <c r="T9249" t="str">
        <f t="shared" si="1523"/>
        <v/>
      </c>
      <c r="U9249" t="str">
        <f t="shared" si="1524"/>
        <v/>
      </c>
      <c r="V9249" t="str">
        <f t="shared" si="1525"/>
        <v/>
      </c>
      <c r="W9249" t="str">
        <f t="shared" si="1526"/>
        <v/>
      </c>
      <c r="X9249">
        <f t="shared" si="1516"/>
        <v>0</v>
      </c>
      <c r="Z9249" t="str">
        <f t="shared" si="1527"/>
        <v/>
      </c>
      <c r="AA9249">
        <f t="shared" si="1517"/>
        <v>0</v>
      </c>
    </row>
    <row r="9250" spans="1:27" ht="21" customHeight="1" x14ac:dyDescent="0.95">
      <c r="A9250" s="56"/>
      <c r="B9250" s="57"/>
      <c r="C9250" s="57"/>
      <c r="D9250" s="57"/>
      <c r="E9250" s="56"/>
      <c r="F9250" s="57"/>
      <c r="G9250" s="57"/>
      <c r="H9250" s="56"/>
      <c r="I9250" s="56"/>
      <c r="J9250" s="58"/>
      <c r="K9250" s="58"/>
      <c r="L9250" s="13" t="str">
        <f t="shared" si="1518"/>
        <v/>
      </c>
      <c r="M9250" s="13" t="str">
        <f t="shared" si="1519"/>
        <v/>
      </c>
      <c r="Q9250" t="str">
        <f t="shared" si="1520"/>
        <v/>
      </c>
      <c r="R9250" t="str">
        <f t="shared" si="1521"/>
        <v/>
      </c>
      <c r="S9250" t="str">
        <f t="shared" si="1522"/>
        <v/>
      </c>
      <c r="T9250" t="str">
        <f t="shared" si="1523"/>
        <v/>
      </c>
      <c r="U9250" t="str">
        <f t="shared" si="1524"/>
        <v/>
      </c>
      <c r="V9250" t="str">
        <f t="shared" si="1525"/>
        <v/>
      </c>
      <c r="W9250" t="str">
        <f t="shared" si="1526"/>
        <v/>
      </c>
      <c r="X9250">
        <f t="shared" si="1516"/>
        <v>0</v>
      </c>
      <c r="Z9250" t="str">
        <f t="shared" si="1527"/>
        <v/>
      </c>
      <c r="AA9250">
        <f t="shared" si="1517"/>
        <v>0</v>
      </c>
    </row>
    <row r="9251" spans="1:27" ht="21" customHeight="1" x14ac:dyDescent="0.95">
      <c r="A9251" s="56"/>
      <c r="B9251" s="57"/>
      <c r="C9251" s="57"/>
      <c r="D9251" s="57"/>
      <c r="E9251" s="56"/>
      <c r="F9251" s="57"/>
      <c r="G9251" s="57"/>
      <c r="H9251" s="56"/>
      <c r="I9251" s="56"/>
      <c r="J9251" s="58"/>
      <c r="K9251" s="58"/>
      <c r="L9251" s="13" t="str">
        <f t="shared" si="1518"/>
        <v/>
      </c>
      <c r="M9251" s="13" t="str">
        <f t="shared" si="1519"/>
        <v/>
      </c>
      <c r="Q9251" t="str">
        <f t="shared" si="1520"/>
        <v/>
      </c>
      <c r="R9251" t="str">
        <f t="shared" si="1521"/>
        <v/>
      </c>
      <c r="S9251" t="str">
        <f t="shared" si="1522"/>
        <v/>
      </c>
      <c r="T9251" t="str">
        <f t="shared" si="1523"/>
        <v/>
      </c>
      <c r="U9251" t="str">
        <f t="shared" si="1524"/>
        <v/>
      </c>
      <c r="V9251" t="str">
        <f t="shared" si="1525"/>
        <v/>
      </c>
      <c r="W9251" t="str">
        <f t="shared" si="1526"/>
        <v/>
      </c>
      <c r="X9251">
        <f t="shared" si="1516"/>
        <v>0</v>
      </c>
      <c r="Z9251" t="str">
        <f t="shared" si="1527"/>
        <v/>
      </c>
      <c r="AA9251">
        <f t="shared" si="1517"/>
        <v>0</v>
      </c>
    </row>
    <row r="9252" spans="1:27" ht="21" customHeight="1" x14ac:dyDescent="0.95">
      <c r="A9252" s="56"/>
      <c r="B9252" s="57"/>
      <c r="C9252" s="57"/>
      <c r="D9252" s="57"/>
      <c r="E9252" s="56"/>
      <c r="F9252" s="57"/>
      <c r="G9252" s="57"/>
      <c r="H9252" s="56"/>
      <c r="I9252" s="56"/>
      <c r="J9252" s="58"/>
      <c r="K9252" s="58"/>
      <c r="L9252" s="13" t="str">
        <f t="shared" si="1518"/>
        <v/>
      </c>
      <c r="M9252" s="13" t="str">
        <f t="shared" si="1519"/>
        <v/>
      </c>
      <c r="Q9252" t="str">
        <f t="shared" si="1520"/>
        <v/>
      </c>
      <c r="R9252" t="str">
        <f t="shared" si="1521"/>
        <v/>
      </c>
      <c r="S9252" t="str">
        <f t="shared" si="1522"/>
        <v/>
      </c>
      <c r="T9252" t="str">
        <f t="shared" si="1523"/>
        <v/>
      </c>
      <c r="U9252" t="str">
        <f t="shared" si="1524"/>
        <v/>
      </c>
      <c r="V9252" t="str">
        <f t="shared" si="1525"/>
        <v/>
      </c>
      <c r="W9252" t="str">
        <f t="shared" si="1526"/>
        <v/>
      </c>
      <c r="X9252">
        <f t="shared" si="1516"/>
        <v>0</v>
      </c>
      <c r="Z9252" t="str">
        <f t="shared" si="1527"/>
        <v/>
      </c>
      <c r="AA9252">
        <f t="shared" si="1517"/>
        <v>0</v>
      </c>
    </row>
    <row r="9253" spans="1:27" ht="21" customHeight="1" x14ac:dyDescent="0.95">
      <c r="A9253" s="56"/>
      <c r="B9253" s="57"/>
      <c r="C9253" s="57"/>
      <c r="D9253" s="57"/>
      <c r="E9253" s="56"/>
      <c r="F9253" s="57"/>
      <c r="G9253" s="57"/>
      <c r="H9253" s="56"/>
      <c r="I9253" s="56"/>
      <c r="J9253" s="58"/>
      <c r="K9253" s="58"/>
      <c r="L9253" s="13" t="str">
        <f t="shared" si="1518"/>
        <v/>
      </c>
      <c r="M9253" s="13" t="str">
        <f t="shared" si="1519"/>
        <v/>
      </c>
      <c r="Q9253" t="str">
        <f t="shared" si="1520"/>
        <v/>
      </c>
      <c r="R9253" t="str">
        <f t="shared" si="1521"/>
        <v/>
      </c>
      <c r="S9253" t="str">
        <f t="shared" si="1522"/>
        <v/>
      </c>
      <c r="T9253" t="str">
        <f t="shared" si="1523"/>
        <v/>
      </c>
      <c r="U9253" t="str">
        <f t="shared" si="1524"/>
        <v/>
      </c>
      <c r="V9253" t="str">
        <f t="shared" si="1525"/>
        <v/>
      </c>
      <c r="W9253" t="str">
        <f t="shared" si="1526"/>
        <v/>
      </c>
      <c r="X9253">
        <f t="shared" si="1516"/>
        <v>0</v>
      </c>
      <c r="Z9253" t="str">
        <f t="shared" si="1527"/>
        <v/>
      </c>
      <c r="AA9253">
        <f t="shared" si="1517"/>
        <v>0</v>
      </c>
    </row>
    <row r="9254" spans="1:27" ht="21" customHeight="1" x14ac:dyDescent="0.95">
      <c r="A9254" s="56"/>
      <c r="B9254" s="57"/>
      <c r="C9254" s="57"/>
      <c r="D9254" s="57"/>
      <c r="E9254" s="56"/>
      <c r="F9254" s="57"/>
      <c r="G9254" s="57"/>
      <c r="H9254" s="56"/>
      <c r="I9254" s="56"/>
      <c r="J9254" s="58"/>
      <c r="K9254" s="58"/>
      <c r="L9254" s="13" t="str">
        <f t="shared" si="1518"/>
        <v/>
      </c>
      <c r="M9254" s="13" t="str">
        <f t="shared" si="1519"/>
        <v/>
      </c>
      <c r="Q9254" t="str">
        <f t="shared" si="1520"/>
        <v/>
      </c>
      <c r="R9254" t="str">
        <f t="shared" si="1521"/>
        <v/>
      </c>
      <c r="S9254" t="str">
        <f t="shared" si="1522"/>
        <v/>
      </c>
      <c r="T9254" t="str">
        <f t="shared" si="1523"/>
        <v/>
      </c>
      <c r="U9254" t="str">
        <f t="shared" si="1524"/>
        <v/>
      </c>
      <c r="V9254" t="str">
        <f t="shared" si="1525"/>
        <v/>
      </c>
      <c r="W9254" t="str">
        <f t="shared" si="1526"/>
        <v/>
      </c>
      <c r="X9254">
        <f t="shared" si="1516"/>
        <v>0</v>
      </c>
      <c r="Z9254" t="str">
        <f t="shared" si="1527"/>
        <v/>
      </c>
      <c r="AA9254">
        <f t="shared" si="1517"/>
        <v>0</v>
      </c>
    </row>
    <row r="9255" spans="1:27" ht="21" customHeight="1" x14ac:dyDescent="0.95">
      <c r="A9255" s="56"/>
      <c r="B9255" s="57"/>
      <c r="C9255" s="57"/>
      <c r="D9255" s="57"/>
      <c r="E9255" s="56"/>
      <c r="F9255" s="57"/>
      <c r="G9255" s="57"/>
      <c r="H9255" s="56"/>
      <c r="I9255" s="56"/>
      <c r="J9255" s="58"/>
      <c r="K9255" s="58"/>
      <c r="L9255" s="13" t="str">
        <f t="shared" si="1518"/>
        <v/>
      </c>
      <c r="M9255" s="13" t="str">
        <f t="shared" si="1519"/>
        <v/>
      </c>
      <c r="Q9255" t="str">
        <f t="shared" si="1520"/>
        <v/>
      </c>
      <c r="R9255" t="str">
        <f t="shared" si="1521"/>
        <v/>
      </c>
      <c r="S9255" t="str">
        <f t="shared" si="1522"/>
        <v/>
      </c>
      <c r="T9255" t="str">
        <f t="shared" si="1523"/>
        <v/>
      </c>
      <c r="U9255" t="str">
        <f t="shared" si="1524"/>
        <v/>
      </c>
      <c r="V9255" t="str">
        <f t="shared" si="1525"/>
        <v/>
      </c>
      <c r="W9255" t="str">
        <f t="shared" si="1526"/>
        <v/>
      </c>
      <c r="X9255">
        <f t="shared" si="1516"/>
        <v>0</v>
      </c>
      <c r="Z9255" t="str">
        <f t="shared" si="1527"/>
        <v/>
      </c>
      <c r="AA9255">
        <f t="shared" si="1517"/>
        <v>0</v>
      </c>
    </row>
    <row r="9256" spans="1:27" ht="21" customHeight="1" x14ac:dyDescent="0.95">
      <c r="A9256" s="56"/>
      <c r="B9256" s="57"/>
      <c r="C9256" s="57"/>
      <c r="D9256" s="57"/>
      <c r="E9256" s="56"/>
      <c r="F9256" s="57"/>
      <c r="G9256" s="57"/>
      <c r="H9256" s="56"/>
      <c r="I9256" s="56"/>
      <c r="J9256" s="58"/>
      <c r="K9256" s="58"/>
      <c r="L9256" s="13" t="str">
        <f t="shared" si="1518"/>
        <v/>
      </c>
      <c r="M9256" s="13" t="str">
        <f t="shared" si="1519"/>
        <v/>
      </c>
      <c r="Q9256" t="str">
        <f t="shared" si="1520"/>
        <v/>
      </c>
      <c r="R9256" t="str">
        <f t="shared" si="1521"/>
        <v/>
      </c>
      <c r="S9256" t="str">
        <f t="shared" si="1522"/>
        <v/>
      </c>
      <c r="T9256" t="str">
        <f t="shared" si="1523"/>
        <v/>
      </c>
      <c r="U9256" t="str">
        <f t="shared" si="1524"/>
        <v/>
      </c>
      <c r="V9256" t="str">
        <f t="shared" si="1525"/>
        <v/>
      </c>
      <c r="W9256" t="str">
        <f t="shared" si="1526"/>
        <v/>
      </c>
      <c r="X9256">
        <f t="shared" si="1516"/>
        <v>0</v>
      </c>
      <c r="Z9256" t="str">
        <f t="shared" si="1527"/>
        <v/>
      </c>
      <c r="AA9256">
        <f t="shared" si="1517"/>
        <v>0</v>
      </c>
    </row>
    <row r="9257" spans="1:27" ht="21" customHeight="1" x14ac:dyDescent="0.95">
      <c r="A9257" s="56"/>
      <c r="B9257" s="57"/>
      <c r="C9257" s="57"/>
      <c r="D9257" s="57"/>
      <c r="E9257" s="56"/>
      <c r="F9257" s="57"/>
      <c r="G9257" s="57"/>
      <c r="H9257" s="56"/>
      <c r="I9257" s="56"/>
      <c r="J9257" s="58"/>
      <c r="K9257" s="58"/>
      <c r="L9257" s="13" t="str">
        <f t="shared" si="1518"/>
        <v/>
      </c>
      <c r="M9257" s="13" t="str">
        <f t="shared" si="1519"/>
        <v/>
      </c>
      <c r="Q9257" t="str">
        <f t="shared" si="1520"/>
        <v/>
      </c>
      <c r="R9257" t="str">
        <f t="shared" si="1521"/>
        <v/>
      </c>
      <c r="S9257" t="str">
        <f t="shared" si="1522"/>
        <v/>
      </c>
      <c r="T9257" t="str">
        <f t="shared" si="1523"/>
        <v/>
      </c>
      <c r="U9257" t="str">
        <f t="shared" si="1524"/>
        <v/>
      </c>
      <c r="V9257" t="str">
        <f t="shared" si="1525"/>
        <v/>
      </c>
      <c r="W9257" t="str">
        <f t="shared" si="1526"/>
        <v/>
      </c>
      <c r="X9257">
        <f t="shared" si="1516"/>
        <v>0</v>
      </c>
      <c r="Z9257" t="str">
        <f t="shared" si="1527"/>
        <v/>
      </c>
      <c r="AA9257">
        <f t="shared" si="1517"/>
        <v>0</v>
      </c>
    </row>
    <row r="9258" spans="1:27" ht="21" customHeight="1" x14ac:dyDescent="0.95">
      <c r="A9258" s="56"/>
      <c r="B9258" s="57"/>
      <c r="C9258" s="57"/>
      <c r="D9258" s="57"/>
      <c r="E9258" s="56"/>
      <c r="F9258" s="57"/>
      <c r="G9258" s="57"/>
      <c r="H9258" s="56"/>
      <c r="I9258" s="56"/>
      <c r="J9258" s="58"/>
      <c r="K9258" s="58"/>
      <c r="L9258" s="13" t="str">
        <f t="shared" si="1518"/>
        <v/>
      </c>
      <c r="M9258" s="13" t="str">
        <f t="shared" si="1519"/>
        <v/>
      </c>
      <c r="Q9258" t="str">
        <f t="shared" si="1520"/>
        <v/>
      </c>
      <c r="R9258" t="str">
        <f t="shared" si="1521"/>
        <v/>
      </c>
      <c r="S9258" t="str">
        <f t="shared" si="1522"/>
        <v/>
      </c>
      <c r="T9258" t="str">
        <f t="shared" si="1523"/>
        <v/>
      </c>
      <c r="U9258" t="str">
        <f t="shared" si="1524"/>
        <v/>
      </c>
      <c r="V9258" t="str">
        <f t="shared" si="1525"/>
        <v/>
      </c>
      <c r="W9258" t="str">
        <f t="shared" si="1526"/>
        <v/>
      </c>
      <c r="X9258">
        <f t="shared" si="1516"/>
        <v>0</v>
      </c>
      <c r="Z9258" t="str">
        <f t="shared" si="1527"/>
        <v/>
      </c>
      <c r="AA9258">
        <f t="shared" si="1517"/>
        <v>0</v>
      </c>
    </row>
    <row r="9259" spans="1:27" ht="21" customHeight="1" x14ac:dyDescent="0.95">
      <c r="A9259" s="56"/>
      <c r="B9259" s="57"/>
      <c r="C9259" s="57"/>
      <c r="D9259" s="57"/>
      <c r="E9259" s="56"/>
      <c r="F9259" s="57"/>
      <c r="G9259" s="57"/>
      <c r="H9259" s="56"/>
      <c r="I9259" s="56"/>
      <c r="J9259" s="58"/>
      <c r="K9259" s="58"/>
      <c r="L9259" s="13" t="str">
        <f t="shared" si="1518"/>
        <v/>
      </c>
      <c r="M9259" s="13" t="str">
        <f t="shared" si="1519"/>
        <v/>
      </c>
      <c r="Q9259" t="str">
        <f t="shared" si="1520"/>
        <v/>
      </c>
      <c r="R9259" t="str">
        <f t="shared" si="1521"/>
        <v/>
      </c>
      <c r="S9259" t="str">
        <f t="shared" si="1522"/>
        <v/>
      </c>
      <c r="T9259" t="str">
        <f t="shared" si="1523"/>
        <v/>
      </c>
      <c r="U9259" t="str">
        <f t="shared" si="1524"/>
        <v/>
      </c>
      <c r="V9259" t="str">
        <f t="shared" si="1525"/>
        <v/>
      </c>
      <c r="W9259" t="str">
        <f t="shared" si="1526"/>
        <v/>
      </c>
      <c r="X9259">
        <f t="shared" si="1516"/>
        <v>0</v>
      </c>
      <c r="Z9259" t="str">
        <f t="shared" si="1527"/>
        <v/>
      </c>
      <c r="AA9259">
        <f t="shared" si="1517"/>
        <v>0</v>
      </c>
    </row>
    <row r="9260" spans="1:27" ht="21" customHeight="1" x14ac:dyDescent="0.95">
      <c r="A9260" s="56"/>
      <c r="B9260" s="57"/>
      <c r="C9260" s="57"/>
      <c r="D9260" s="57"/>
      <c r="E9260" s="56"/>
      <c r="F9260" s="57"/>
      <c r="G9260" s="57"/>
      <c r="H9260" s="56"/>
      <c r="I9260" s="56"/>
      <c r="J9260" s="58"/>
      <c r="K9260" s="58"/>
      <c r="L9260" s="13" t="str">
        <f t="shared" si="1518"/>
        <v/>
      </c>
      <c r="M9260" s="13" t="str">
        <f t="shared" si="1519"/>
        <v/>
      </c>
      <c r="Q9260" t="str">
        <f t="shared" si="1520"/>
        <v/>
      </c>
      <c r="R9260" t="str">
        <f t="shared" si="1521"/>
        <v/>
      </c>
      <c r="S9260" t="str">
        <f t="shared" si="1522"/>
        <v/>
      </c>
      <c r="T9260" t="str">
        <f t="shared" si="1523"/>
        <v/>
      </c>
      <c r="U9260" t="str">
        <f t="shared" si="1524"/>
        <v/>
      </c>
      <c r="V9260" t="str">
        <f t="shared" si="1525"/>
        <v/>
      </c>
      <c r="W9260" t="str">
        <f t="shared" si="1526"/>
        <v/>
      </c>
      <c r="X9260">
        <f t="shared" si="1516"/>
        <v>0</v>
      </c>
      <c r="Z9260" t="str">
        <f t="shared" si="1527"/>
        <v/>
      </c>
      <c r="AA9260">
        <f t="shared" si="1517"/>
        <v>0</v>
      </c>
    </row>
    <row r="9261" spans="1:27" ht="21" customHeight="1" x14ac:dyDescent="0.95">
      <c r="A9261" s="56"/>
      <c r="B9261" s="57"/>
      <c r="C9261" s="57"/>
      <c r="D9261" s="57"/>
      <c r="E9261" s="56"/>
      <c r="F9261" s="57"/>
      <c r="G9261" s="57"/>
      <c r="H9261" s="56"/>
      <c r="I9261" s="56"/>
      <c r="J9261" s="58"/>
      <c r="K9261" s="58"/>
      <c r="L9261" s="13" t="str">
        <f t="shared" si="1518"/>
        <v/>
      </c>
      <c r="M9261" s="13" t="str">
        <f t="shared" si="1519"/>
        <v/>
      </c>
      <c r="Q9261" t="str">
        <f t="shared" si="1520"/>
        <v/>
      </c>
      <c r="R9261" t="str">
        <f t="shared" si="1521"/>
        <v/>
      </c>
      <c r="S9261" t="str">
        <f t="shared" si="1522"/>
        <v/>
      </c>
      <c r="T9261" t="str">
        <f t="shared" si="1523"/>
        <v/>
      </c>
      <c r="U9261" t="str">
        <f t="shared" si="1524"/>
        <v/>
      </c>
      <c r="V9261" t="str">
        <f t="shared" si="1525"/>
        <v/>
      </c>
      <c r="W9261" t="str">
        <f t="shared" si="1526"/>
        <v/>
      </c>
      <c r="X9261">
        <f t="shared" si="1516"/>
        <v>0</v>
      </c>
      <c r="Z9261" t="str">
        <f t="shared" si="1527"/>
        <v/>
      </c>
      <c r="AA9261">
        <f t="shared" si="1517"/>
        <v>0</v>
      </c>
    </row>
    <row r="9262" spans="1:27" ht="21" customHeight="1" x14ac:dyDescent="0.95">
      <c r="A9262" s="56"/>
      <c r="B9262" s="57"/>
      <c r="C9262" s="57"/>
      <c r="D9262" s="57"/>
      <c r="E9262" s="56"/>
      <c r="F9262" s="57"/>
      <c r="G9262" s="57"/>
      <c r="H9262" s="56"/>
      <c r="I9262" s="56"/>
      <c r="J9262" s="58"/>
      <c r="K9262" s="58"/>
      <c r="L9262" s="13" t="str">
        <f t="shared" si="1518"/>
        <v/>
      </c>
      <c r="M9262" s="13" t="str">
        <f t="shared" si="1519"/>
        <v/>
      </c>
      <c r="Q9262" t="str">
        <f t="shared" si="1520"/>
        <v/>
      </c>
      <c r="R9262" t="str">
        <f t="shared" si="1521"/>
        <v/>
      </c>
      <c r="S9262" t="str">
        <f t="shared" si="1522"/>
        <v/>
      </c>
      <c r="T9262" t="str">
        <f t="shared" si="1523"/>
        <v/>
      </c>
      <c r="U9262" t="str">
        <f t="shared" si="1524"/>
        <v/>
      </c>
      <c r="V9262" t="str">
        <f t="shared" si="1525"/>
        <v/>
      </c>
      <c r="W9262" t="str">
        <f t="shared" si="1526"/>
        <v/>
      </c>
      <c r="X9262">
        <f t="shared" si="1516"/>
        <v>0</v>
      </c>
      <c r="Z9262" t="str">
        <f t="shared" si="1527"/>
        <v/>
      </c>
      <c r="AA9262">
        <f t="shared" si="1517"/>
        <v>0</v>
      </c>
    </row>
    <row r="9263" spans="1:27" ht="21" customHeight="1" x14ac:dyDescent="0.95">
      <c r="A9263" s="56"/>
      <c r="B9263" s="57"/>
      <c r="C9263" s="57"/>
      <c r="D9263" s="57"/>
      <c r="E9263" s="56"/>
      <c r="F9263" s="57"/>
      <c r="G9263" s="57"/>
      <c r="H9263" s="56"/>
      <c r="I9263" s="56"/>
      <c r="J9263" s="58"/>
      <c r="K9263" s="58"/>
      <c r="L9263" s="13" t="str">
        <f t="shared" si="1518"/>
        <v/>
      </c>
      <c r="M9263" s="13" t="str">
        <f t="shared" si="1519"/>
        <v/>
      </c>
      <c r="Q9263" t="str">
        <f t="shared" si="1520"/>
        <v/>
      </c>
      <c r="R9263" t="str">
        <f t="shared" si="1521"/>
        <v/>
      </c>
      <c r="S9263" t="str">
        <f t="shared" si="1522"/>
        <v/>
      </c>
      <c r="T9263" t="str">
        <f t="shared" si="1523"/>
        <v/>
      </c>
      <c r="U9263" t="str">
        <f t="shared" si="1524"/>
        <v/>
      </c>
      <c r="V9263" t="str">
        <f t="shared" si="1525"/>
        <v/>
      </c>
      <c r="W9263" t="str">
        <f t="shared" si="1526"/>
        <v/>
      </c>
      <c r="X9263">
        <f t="shared" si="1516"/>
        <v>0</v>
      </c>
      <c r="Z9263" t="str">
        <f t="shared" si="1527"/>
        <v/>
      </c>
      <c r="AA9263">
        <f t="shared" si="1517"/>
        <v>0</v>
      </c>
    </row>
    <row r="9264" spans="1:27" ht="21" customHeight="1" x14ac:dyDescent="0.95">
      <c r="A9264" s="56"/>
      <c r="B9264" s="57"/>
      <c r="C9264" s="57"/>
      <c r="D9264" s="57"/>
      <c r="E9264" s="56"/>
      <c r="F9264" s="57"/>
      <c r="G9264" s="57"/>
      <c r="H9264" s="56"/>
      <c r="I9264" s="56"/>
      <c r="J9264" s="58"/>
      <c r="K9264" s="58"/>
      <c r="L9264" s="13" t="str">
        <f t="shared" si="1518"/>
        <v/>
      </c>
      <c r="M9264" s="13" t="str">
        <f t="shared" si="1519"/>
        <v/>
      </c>
      <c r="Q9264" t="str">
        <f t="shared" si="1520"/>
        <v/>
      </c>
      <c r="R9264" t="str">
        <f t="shared" si="1521"/>
        <v/>
      </c>
      <c r="S9264" t="str">
        <f t="shared" si="1522"/>
        <v/>
      </c>
      <c r="T9264" t="str">
        <f t="shared" si="1523"/>
        <v/>
      </c>
      <c r="U9264" t="str">
        <f t="shared" si="1524"/>
        <v/>
      </c>
      <c r="V9264" t="str">
        <f t="shared" si="1525"/>
        <v/>
      </c>
      <c r="W9264" t="str">
        <f t="shared" si="1526"/>
        <v/>
      </c>
      <c r="X9264">
        <f t="shared" si="1516"/>
        <v>0</v>
      </c>
      <c r="Z9264" t="str">
        <f t="shared" si="1527"/>
        <v/>
      </c>
      <c r="AA9264">
        <f t="shared" si="1517"/>
        <v>0</v>
      </c>
    </row>
    <row r="9265" spans="1:27" ht="21" customHeight="1" x14ac:dyDescent="0.95">
      <c r="A9265" s="56"/>
      <c r="B9265" s="57"/>
      <c r="C9265" s="57"/>
      <c r="D9265" s="57"/>
      <c r="E9265" s="56"/>
      <c r="F9265" s="57"/>
      <c r="G9265" s="57"/>
      <c r="H9265" s="56"/>
      <c r="I9265" s="56"/>
      <c r="J9265" s="58"/>
      <c r="K9265" s="58"/>
      <c r="L9265" s="13" t="str">
        <f t="shared" si="1518"/>
        <v/>
      </c>
      <c r="M9265" s="13" t="str">
        <f t="shared" si="1519"/>
        <v/>
      </c>
      <c r="Q9265" t="str">
        <f t="shared" si="1520"/>
        <v/>
      </c>
      <c r="R9265" t="str">
        <f t="shared" si="1521"/>
        <v/>
      </c>
      <c r="S9265" t="str">
        <f t="shared" si="1522"/>
        <v/>
      </c>
      <c r="T9265" t="str">
        <f t="shared" si="1523"/>
        <v/>
      </c>
      <c r="U9265" t="str">
        <f t="shared" si="1524"/>
        <v/>
      </c>
      <c r="V9265" t="str">
        <f t="shared" si="1525"/>
        <v/>
      </c>
      <c r="W9265" t="str">
        <f t="shared" si="1526"/>
        <v/>
      </c>
      <c r="X9265">
        <f t="shared" si="1516"/>
        <v>0</v>
      </c>
      <c r="Z9265" t="str">
        <f t="shared" si="1527"/>
        <v/>
      </c>
      <c r="AA9265">
        <f t="shared" si="1517"/>
        <v>0</v>
      </c>
    </row>
    <row r="9266" spans="1:27" ht="21" customHeight="1" x14ac:dyDescent="0.95">
      <c r="A9266" s="56"/>
      <c r="B9266" s="57"/>
      <c r="C9266" s="57"/>
      <c r="D9266" s="57"/>
      <c r="E9266" s="56"/>
      <c r="F9266" s="57"/>
      <c r="G9266" s="57"/>
      <c r="H9266" s="56"/>
      <c r="I9266" s="56"/>
      <c r="J9266" s="58"/>
      <c r="K9266" s="58"/>
      <c r="L9266" s="13" t="str">
        <f t="shared" si="1518"/>
        <v/>
      </c>
      <c r="M9266" s="13" t="str">
        <f t="shared" si="1519"/>
        <v/>
      </c>
      <c r="Q9266" t="str">
        <f t="shared" si="1520"/>
        <v/>
      </c>
      <c r="R9266" t="str">
        <f t="shared" si="1521"/>
        <v/>
      </c>
      <c r="S9266" t="str">
        <f t="shared" si="1522"/>
        <v/>
      </c>
      <c r="T9266" t="str">
        <f t="shared" si="1523"/>
        <v/>
      </c>
      <c r="U9266" t="str">
        <f t="shared" si="1524"/>
        <v/>
      </c>
      <c r="V9266" t="str">
        <f t="shared" si="1525"/>
        <v/>
      </c>
      <c r="W9266" t="str">
        <f t="shared" si="1526"/>
        <v/>
      </c>
      <c r="X9266">
        <f t="shared" si="1516"/>
        <v>0</v>
      </c>
      <c r="Z9266" t="str">
        <f t="shared" si="1527"/>
        <v/>
      </c>
      <c r="AA9266">
        <f t="shared" si="1517"/>
        <v>0</v>
      </c>
    </row>
    <row r="9267" spans="1:27" ht="21" customHeight="1" x14ac:dyDescent="0.95">
      <c r="A9267" s="56"/>
      <c r="B9267" s="57"/>
      <c r="C9267" s="57"/>
      <c r="D9267" s="57"/>
      <c r="E9267" s="56"/>
      <c r="F9267" s="57"/>
      <c r="G9267" s="57"/>
      <c r="H9267" s="56"/>
      <c r="I9267" s="56"/>
      <c r="J9267" s="58"/>
      <c r="K9267" s="58"/>
      <c r="L9267" s="13" t="str">
        <f t="shared" si="1518"/>
        <v/>
      </c>
      <c r="M9267" s="13" t="str">
        <f t="shared" si="1519"/>
        <v/>
      </c>
      <c r="Q9267" t="str">
        <f t="shared" si="1520"/>
        <v/>
      </c>
      <c r="R9267" t="str">
        <f t="shared" si="1521"/>
        <v/>
      </c>
      <c r="S9267" t="str">
        <f t="shared" si="1522"/>
        <v/>
      </c>
      <c r="T9267" t="str">
        <f t="shared" si="1523"/>
        <v/>
      </c>
      <c r="U9267" t="str">
        <f t="shared" si="1524"/>
        <v/>
      </c>
      <c r="V9267" t="str">
        <f t="shared" si="1525"/>
        <v/>
      </c>
      <c r="W9267" t="str">
        <f t="shared" si="1526"/>
        <v/>
      </c>
      <c r="X9267">
        <f t="shared" si="1516"/>
        <v>0</v>
      </c>
      <c r="Z9267" t="str">
        <f t="shared" si="1527"/>
        <v/>
      </c>
      <c r="AA9267">
        <f t="shared" si="1517"/>
        <v>0</v>
      </c>
    </row>
    <row r="9268" spans="1:27" ht="21" customHeight="1" x14ac:dyDescent="0.95">
      <c r="A9268" s="56"/>
      <c r="B9268" s="57"/>
      <c r="C9268" s="57"/>
      <c r="D9268" s="57"/>
      <c r="E9268" s="56"/>
      <c r="F9268" s="57"/>
      <c r="G9268" s="57"/>
      <c r="H9268" s="56"/>
      <c r="I9268" s="56"/>
      <c r="J9268" s="58"/>
      <c r="K9268" s="58"/>
      <c r="L9268" s="13" t="str">
        <f t="shared" si="1518"/>
        <v/>
      </c>
      <c r="M9268" s="13" t="str">
        <f t="shared" si="1519"/>
        <v/>
      </c>
      <c r="Q9268" t="str">
        <f t="shared" si="1520"/>
        <v/>
      </c>
      <c r="R9268" t="str">
        <f t="shared" si="1521"/>
        <v/>
      </c>
      <c r="S9268" t="str">
        <f t="shared" si="1522"/>
        <v/>
      </c>
      <c r="T9268" t="str">
        <f t="shared" si="1523"/>
        <v/>
      </c>
      <c r="U9268" t="str">
        <f t="shared" si="1524"/>
        <v/>
      </c>
      <c r="V9268" t="str">
        <f t="shared" si="1525"/>
        <v/>
      </c>
      <c r="W9268" t="str">
        <f t="shared" si="1526"/>
        <v/>
      </c>
      <c r="X9268">
        <f t="shared" si="1516"/>
        <v>0</v>
      </c>
      <c r="Z9268" t="str">
        <f t="shared" si="1527"/>
        <v/>
      </c>
      <c r="AA9268">
        <f t="shared" si="1517"/>
        <v>0</v>
      </c>
    </row>
    <row r="9269" spans="1:27" ht="21" customHeight="1" x14ac:dyDescent="0.95">
      <c r="A9269" s="56"/>
      <c r="B9269" s="57"/>
      <c r="C9269" s="57"/>
      <c r="D9269" s="57"/>
      <c r="E9269" s="56"/>
      <c r="F9269" s="57"/>
      <c r="G9269" s="57"/>
      <c r="H9269" s="56"/>
      <c r="I9269" s="56"/>
      <c r="J9269" s="58"/>
      <c r="K9269" s="58"/>
      <c r="L9269" s="13" t="str">
        <f t="shared" si="1518"/>
        <v/>
      </c>
      <c r="M9269" s="13" t="str">
        <f t="shared" si="1519"/>
        <v/>
      </c>
      <c r="Q9269" t="str">
        <f t="shared" si="1520"/>
        <v/>
      </c>
      <c r="R9269" t="str">
        <f t="shared" si="1521"/>
        <v/>
      </c>
      <c r="S9269" t="str">
        <f t="shared" si="1522"/>
        <v/>
      </c>
      <c r="T9269" t="str">
        <f t="shared" si="1523"/>
        <v/>
      </c>
      <c r="U9269" t="str">
        <f t="shared" si="1524"/>
        <v/>
      </c>
      <c r="V9269" t="str">
        <f t="shared" si="1525"/>
        <v/>
      </c>
      <c r="W9269" t="str">
        <f t="shared" si="1526"/>
        <v/>
      </c>
      <c r="X9269">
        <f t="shared" ref="X9269:X9332" si="1528">IF($T9269="",N($X9268),IF(MATCH($T9269,$T$6:$T$10005,0)=ROW()-5,N($X9268)+1,N($X9268)))</f>
        <v>0</v>
      </c>
      <c r="Z9269" t="str">
        <f t="shared" si="1527"/>
        <v/>
      </c>
      <c r="AA9269">
        <f t="shared" ref="AA9269:AA9332" si="1529">IF($V9269="",N($AA9268),IF(MATCH($V9269,$V$6:$V$10005,0)=ROW()-5,N($AA9268)+1,N($AA9268)))</f>
        <v>0</v>
      </c>
    </row>
    <row r="9270" spans="1:27" ht="21" customHeight="1" x14ac:dyDescent="0.95">
      <c r="A9270" s="56"/>
      <c r="B9270" s="57"/>
      <c r="C9270" s="57"/>
      <c r="D9270" s="57"/>
      <c r="E9270" s="56"/>
      <c r="F9270" s="57"/>
      <c r="G9270" s="57"/>
      <c r="H9270" s="56"/>
      <c r="I9270" s="56"/>
      <c r="J9270" s="58"/>
      <c r="K9270" s="58"/>
      <c r="L9270" s="13" t="str">
        <f t="shared" si="1518"/>
        <v/>
      </c>
      <c r="M9270" s="13" t="str">
        <f t="shared" si="1519"/>
        <v/>
      </c>
      <c r="Q9270" t="str">
        <f t="shared" si="1520"/>
        <v/>
      </c>
      <c r="R9270" t="str">
        <f t="shared" si="1521"/>
        <v/>
      </c>
      <c r="S9270" t="str">
        <f t="shared" si="1522"/>
        <v/>
      </c>
      <c r="T9270" t="str">
        <f t="shared" si="1523"/>
        <v/>
      </c>
      <c r="U9270" t="str">
        <f t="shared" si="1524"/>
        <v/>
      </c>
      <c r="V9270" t="str">
        <f t="shared" si="1525"/>
        <v/>
      </c>
      <c r="W9270" t="str">
        <f t="shared" si="1526"/>
        <v/>
      </c>
      <c r="X9270">
        <f t="shared" si="1528"/>
        <v>0</v>
      </c>
      <c r="Z9270" t="str">
        <f t="shared" si="1527"/>
        <v/>
      </c>
      <c r="AA9270">
        <f t="shared" si="1529"/>
        <v>0</v>
      </c>
    </row>
    <row r="9271" spans="1:27" ht="21" customHeight="1" x14ac:dyDescent="0.95">
      <c r="A9271" s="56"/>
      <c r="B9271" s="57"/>
      <c r="C9271" s="57"/>
      <c r="D9271" s="57"/>
      <c r="E9271" s="56"/>
      <c r="F9271" s="57"/>
      <c r="G9271" s="57"/>
      <c r="H9271" s="56"/>
      <c r="I9271" s="56"/>
      <c r="J9271" s="58"/>
      <c r="K9271" s="58"/>
      <c r="L9271" s="13" t="str">
        <f t="shared" si="1518"/>
        <v/>
      </c>
      <c r="M9271" s="13" t="str">
        <f t="shared" si="1519"/>
        <v/>
      </c>
      <c r="Q9271" t="str">
        <f t="shared" si="1520"/>
        <v/>
      </c>
      <c r="R9271" t="str">
        <f t="shared" si="1521"/>
        <v/>
      </c>
      <c r="S9271" t="str">
        <f t="shared" si="1522"/>
        <v/>
      </c>
      <c r="T9271" t="str">
        <f t="shared" si="1523"/>
        <v/>
      </c>
      <c r="U9271" t="str">
        <f t="shared" si="1524"/>
        <v/>
      </c>
      <c r="V9271" t="str">
        <f t="shared" si="1525"/>
        <v/>
      </c>
      <c r="W9271" t="str">
        <f t="shared" si="1526"/>
        <v/>
      </c>
      <c r="X9271">
        <f t="shared" si="1528"/>
        <v>0</v>
      </c>
      <c r="Z9271" t="str">
        <f t="shared" si="1527"/>
        <v/>
      </c>
      <c r="AA9271">
        <f t="shared" si="1529"/>
        <v>0</v>
      </c>
    </row>
    <row r="9272" spans="1:27" ht="21" customHeight="1" x14ac:dyDescent="0.95">
      <c r="A9272" s="56"/>
      <c r="B9272" s="57"/>
      <c r="C9272" s="57"/>
      <c r="D9272" s="57"/>
      <c r="E9272" s="56"/>
      <c r="F9272" s="57"/>
      <c r="G9272" s="57"/>
      <c r="H9272" s="56"/>
      <c r="I9272" s="56"/>
      <c r="J9272" s="58"/>
      <c r="K9272" s="58"/>
      <c r="L9272" s="13" t="str">
        <f t="shared" si="1518"/>
        <v/>
      </c>
      <c r="M9272" s="13" t="str">
        <f t="shared" si="1519"/>
        <v/>
      </c>
      <c r="Q9272" t="str">
        <f t="shared" si="1520"/>
        <v/>
      </c>
      <c r="R9272" t="str">
        <f t="shared" si="1521"/>
        <v/>
      </c>
      <c r="S9272" t="str">
        <f t="shared" si="1522"/>
        <v/>
      </c>
      <c r="T9272" t="str">
        <f t="shared" si="1523"/>
        <v/>
      </c>
      <c r="U9272" t="str">
        <f t="shared" si="1524"/>
        <v/>
      </c>
      <c r="V9272" t="str">
        <f t="shared" si="1525"/>
        <v/>
      </c>
      <c r="W9272" t="str">
        <f t="shared" si="1526"/>
        <v/>
      </c>
      <c r="X9272">
        <f t="shared" si="1528"/>
        <v>0</v>
      </c>
      <c r="Z9272" t="str">
        <f t="shared" si="1527"/>
        <v/>
      </c>
      <c r="AA9272">
        <f t="shared" si="1529"/>
        <v>0</v>
      </c>
    </row>
    <row r="9273" spans="1:27" ht="21" customHeight="1" x14ac:dyDescent="0.95">
      <c r="A9273" s="56"/>
      <c r="B9273" s="57"/>
      <c r="C9273" s="57"/>
      <c r="D9273" s="57"/>
      <c r="E9273" s="56"/>
      <c r="F9273" s="57"/>
      <c r="G9273" s="57"/>
      <c r="H9273" s="56"/>
      <c r="I9273" s="56"/>
      <c r="J9273" s="58"/>
      <c r="K9273" s="58"/>
      <c r="L9273" s="13" t="str">
        <f t="shared" si="1518"/>
        <v/>
      </c>
      <c r="M9273" s="13" t="str">
        <f t="shared" si="1519"/>
        <v/>
      </c>
      <c r="Q9273" t="str">
        <f t="shared" si="1520"/>
        <v/>
      </c>
      <c r="R9273" t="str">
        <f t="shared" si="1521"/>
        <v/>
      </c>
      <c r="S9273" t="str">
        <f t="shared" si="1522"/>
        <v/>
      </c>
      <c r="T9273" t="str">
        <f t="shared" si="1523"/>
        <v/>
      </c>
      <c r="U9273" t="str">
        <f t="shared" si="1524"/>
        <v/>
      </c>
      <c r="V9273" t="str">
        <f t="shared" si="1525"/>
        <v/>
      </c>
      <c r="W9273" t="str">
        <f t="shared" si="1526"/>
        <v/>
      </c>
      <c r="X9273">
        <f t="shared" si="1528"/>
        <v>0</v>
      </c>
      <c r="Z9273" t="str">
        <f t="shared" si="1527"/>
        <v/>
      </c>
      <c r="AA9273">
        <f t="shared" si="1529"/>
        <v>0</v>
      </c>
    </row>
    <row r="9274" spans="1:27" ht="21" customHeight="1" x14ac:dyDescent="0.95">
      <c r="A9274" s="56"/>
      <c r="B9274" s="57"/>
      <c r="C9274" s="57"/>
      <c r="D9274" s="57"/>
      <c r="E9274" s="56"/>
      <c r="F9274" s="57"/>
      <c r="G9274" s="57"/>
      <c r="H9274" s="56"/>
      <c r="I9274" s="56"/>
      <c r="J9274" s="58"/>
      <c r="K9274" s="58"/>
      <c r="L9274" s="13" t="str">
        <f t="shared" si="1518"/>
        <v/>
      </c>
      <c r="M9274" s="13" t="str">
        <f t="shared" si="1519"/>
        <v/>
      </c>
      <c r="Q9274" t="str">
        <f t="shared" si="1520"/>
        <v/>
      </c>
      <c r="R9274" t="str">
        <f t="shared" si="1521"/>
        <v/>
      </c>
      <c r="S9274" t="str">
        <f t="shared" si="1522"/>
        <v/>
      </c>
      <c r="T9274" t="str">
        <f t="shared" si="1523"/>
        <v/>
      </c>
      <c r="U9274" t="str">
        <f t="shared" si="1524"/>
        <v/>
      </c>
      <c r="V9274" t="str">
        <f t="shared" si="1525"/>
        <v/>
      </c>
      <c r="W9274" t="str">
        <f t="shared" si="1526"/>
        <v/>
      </c>
      <c r="X9274">
        <f t="shared" si="1528"/>
        <v>0</v>
      </c>
      <c r="Z9274" t="str">
        <f t="shared" si="1527"/>
        <v/>
      </c>
      <c r="AA9274">
        <f t="shared" si="1529"/>
        <v>0</v>
      </c>
    </row>
    <row r="9275" spans="1:27" ht="21" customHeight="1" x14ac:dyDescent="0.95">
      <c r="A9275" s="56"/>
      <c r="B9275" s="57"/>
      <c r="C9275" s="57"/>
      <c r="D9275" s="57"/>
      <c r="E9275" s="56"/>
      <c r="F9275" s="57"/>
      <c r="G9275" s="57"/>
      <c r="H9275" s="56"/>
      <c r="I9275" s="56"/>
      <c r="J9275" s="58"/>
      <c r="K9275" s="58"/>
      <c r="L9275" s="13" t="str">
        <f t="shared" si="1518"/>
        <v/>
      </c>
      <c r="M9275" s="13" t="str">
        <f t="shared" si="1519"/>
        <v/>
      </c>
      <c r="Q9275" t="str">
        <f t="shared" si="1520"/>
        <v/>
      </c>
      <c r="R9275" t="str">
        <f t="shared" si="1521"/>
        <v/>
      </c>
      <c r="S9275" t="str">
        <f t="shared" si="1522"/>
        <v/>
      </c>
      <c r="T9275" t="str">
        <f t="shared" si="1523"/>
        <v/>
      </c>
      <c r="U9275" t="str">
        <f t="shared" si="1524"/>
        <v/>
      </c>
      <c r="V9275" t="str">
        <f t="shared" si="1525"/>
        <v/>
      </c>
      <c r="W9275" t="str">
        <f t="shared" si="1526"/>
        <v/>
      </c>
      <c r="X9275">
        <f t="shared" si="1528"/>
        <v>0</v>
      </c>
      <c r="Z9275" t="str">
        <f t="shared" si="1527"/>
        <v/>
      </c>
      <c r="AA9275">
        <f t="shared" si="1529"/>
        <v>0</v>
      </c>
    </row>
    <row r="9276" spans="1:27" ht="21" customHeight="1" x14ac:dyDescent="0.95">
      <c r="A9276" s="56"/>
      <c r="B9276" s="57"/>
      <c r="C9276" s="57"/>
      <c r="D9276" s="57"/>
      <c r="E9276" s="56"/>
      <c r="F9276" s="57"/>
      <c r="G9276" s="57"/>
      <c r="H9276" s="56"/>
      <c r="I9276" s="56"/>
      <c r="J9276" s="58"/>
      <c r="K9276" s="58"/>
      <c r="L9276" s="13" t="str">
        <f t="shared" si="1518"/>
        <v/>
      </c>
      <c r="M9276" s="13" t="str">
        <f t="shared" si="1519"/>
        <v/>
      </c>
      <c r="Q9276" t="str">
        <f t="shared" si="1520"/>
        <v/>
      </c>
      <c r="R9276" t="str">
        <f t="shared" si="1521"/>
        <v/>
      </c>
      <c r="S9276" t="str">
        <f t="shared" si="1522"/>
        <v/>
      </c>
      <c r="T9276" t="str">
        <f t="shared" si="1523"/>
        <v/>
      </c>
      <c r="U9276" t="str">
        <f t="shared" si="1524"/>
        <v/>
      </c>
      <c r="V9276" t="str">
        <f t="shared" si="1525"/>
        <v/>
      </c>
      <c r="W9276" t="str">
        <f t="shared" si="1526"/>
        <v/>
      </c>
      <c r="X9276">
        <f t="shared" si="1528"/>
        <v>0</v>
      </c>
      <c r="Z9276" t="str">
        <f t="shared" si="1527"/>
        <v/>
      </c>
      <c r="AA9276">
        <f t="shared" si="1529"/>
        <v>0</v>
      </c>
    </row>
    <row r="9277" spans="1:27" ht="21" customHeight="1" x14ac:dyDescent="0.95">
      <c r="A9277" s="56"/>
      <c r="B9277" s="57"/>
      <c r="C9277" s="57"/>
      <c r="D9277" s="57"/>
      <c r="E9277" s="56"/>
      <c r="F9277" s="57"/>
      <c r="G9277" s="57"/>
      <c r="H9277" s="56"/>
      <c r="I9277" s="56"/>
      <c r="J9277" s="58"/>
      <c r="K9277" s="58"/>
      <c r="L9277" s="13" t="str">
        <f t="shared" si="1518"/>
        <v/>
      </c>
      <c r="M9277" s="13" t="str">
        <f t="shared" si="1519"/>
        <v/>
      </c>
      <c r="Q9277" t="str">
        <f t="shared" si="1520"/>
        <v/>
      </c>
      <c r="R9277" t="str">
        <f t="shared" si="1521"/>
        <v/>
      </c>
      <c r="S9277" t="str">
        <f t="shared" si="1522"/>
        <v/>
      </c>
      <c r="T9277" t="str">
        <f t="shared" si="1523"/>
        <v/>
      </c>
      <c r="U9277" t="str">
        <f t="shared" si="1524"/>
        <v/>
      </c>
      <c r="V9277" t="str">
        <f t="shared" si="1525"/>
        <v/>
      </c>
      <c r="W9277" t="str">
        <f t="shared" si="1526"/>
        <v/>
      </c>
      <c r="X9277">
        <f t="shared" si="1528"/>
        <v>0</v>
      </c>
      <c r="Z9277" t="str">
        <f t="shared" si="1527"/>
        <v/>
      </c>
      <c r="AA9277">
        <f t="shared" si="1529"/>
        <v>0</v>
      </c>
    </row>
    <row r="9278" spans="1:27" ht="21" customHeight="1" x14ac:dyDescent="0.95">
      <c r="A9278" s="56"/>
      <c r="B9278" s="57"/>
      <c r="C9278" s="57"/>
      <c r="D9278" s="57"/>
      <c r="E9278" s="56"/>
      <c r="F9278" s="57"/>
      <c r="G9278" s="57"/>
      <c r="H9278" s="56"/>
      <c r="I9278" s="56"/>
      <c r="J9278" s="58"/>
      <c r="K9278" s="58"/>
      <c r="L9278" s="13" t="str">
        <f t="shared" si="1518"/>
        <v/>
      </c>
      <c r="M9278" s="13" t="str">
        <f t="shared" si="1519"/>
        <v/>
      </c>
      <c r="Q9278" t="str">
        <f t="shared" si="1520"/>
        <v/>
      </c>
      <c r="R9278" t="str">
        <f t="shared" si="1521"/>
        <v/>
      </c>
      <c r="S9278" t="str">
        <f t="shared" si="1522"/>
        <v/>
      </c>
      <c r="T9278" t="str">
        <f t="shared" si="1523"/>
        <v/>
      </c>
      <c r="U9278" t="str">
        <f t="shared" si="1524"/>
        <v/>
      </c>
      <c r="V9278" t="str">
        <f t="shared" si="1525"/>
        <v/>
      </c>
      <c r="W9278" t="str">
        <f t="shared" si="1526"/>
        <v/>
      </c>
      <c r="X9278">
        <f t="shared" si="1528"/>
        <v>0</v>
      </c>
      <c r="Z9278" t="str">
        <f t="shared" si="1527"/>
        <v/>
      </c>
      <c r="AA9278">
        <f t="shared" si="1529"/>
        <v>0</v>
      </c>
    </row>
    <row r="9279" spans="1:27" ht="21" customHeight="1" x14ac:dyDescent="0.95">
      <c r="A9279" s="56"/>
      <c r="B9279" s="57"/>
      <c r="C9279" s="57"/>
      <c r="D9279" s="57"/>
      <c r="E9279" s="56"/>
      <c r="F9279" s="57"/>
      <c r="G9279" s="57"/>
      <c r="H9279" s="56"/>
      <c r="I9279" s="56"/>
      <c r="J9279" s="58"/>
      <c r="K9279" s="58"/>
      <c r="L9279" s="13" t="str">
        <f t="shared" si="1518"/>
        <v/>
      </c>
      <c r="M9279" s="13" t="str">
        <f t="shared" si="1519"/>
        <v/>
      </c>
      <c r="Q9279" t="str">
        <f t="shared" si="1520"/>
        <v/>
      </c>
      <c r="R9279" t="str">
        <f t="shared" si="1521"/>
        <v/>
      </c>
      <c r="S9279" t="str">
        <f t="shared" si="1522"/>
        <v/>
      </c>
      <c r="T9279" t="str">
        <f t="shared" si="1523"/>
        <v/>
      </c>
      <c r="U9279" t="str">
        <f t="shared" si="1524"/>
        <v/>
      </c>
      <c r="V9279" t="str">
        <f t="shared" si="1525"/>
        <v/>
      </c>
      <c r="W9279" t="str">
        <f t="shared" si="1526"/>
        <v/>
      </c>
      <c r="X9279">
        <f t="shared" si="1528"/>
        <v>0</v>
      </c>
      <c r="Z9279" t="str">
        <f t="shared" si="1527"/>
        <v/>
      </c>
      <c r="AA9279">
        <f t="shared" si="1529"/>
        <v>0</v>
      </c>
    </row>
    <row r="9280" spans="1:27" ht="21" customHeight="1" x14ac:dyDescent="0.95">
      <c r="A9280" s="56"/>
      <c r="B9280" s="57"/>
      <c r="C9280" s="57"/>
      <c r="D9280" s="57"/>
      <c r="E9280" s="56"/>
      <c r="F9280" s="57"/>
      <c r="G9280" s="57"/>
      <c r="H9280" s="56"/>
      <c r="I9280" s="56"/>
      <c r="J9280" s="58"/>
      <c r="K9280" s="58"/>
      <c r="L9280" s="13" t="str">
        <f t="shared" si="1518"/>
        <v/>
      </c>
      <c r="M9280" s="13" t="str">
        <f t="shared" si="1519"/>
        <v/>
      </c>
      <c r="Q9280" t="str">
        <f t="shared" si="1520"/>
        <v/>
      </c>
      <c r="R9280" t="str">
        <f t="shared" si="1521"/>
        <v/>
      </c>
      <c r="S9280" t="str">
        <f t="shared" si="1522"/>
        <v/>
      </c>
      <c r="T9280" t="str">
        <f t="shared" si="1523"/>
        <v/>
      </c>
      <c r="U9280" t="str">
        <f t="shared" si="1524"/>
        <v/>
      </c>
      <c r="V9280" t="str">
        <f t="shared" si="1525"/>
        <v/>
      </c>
      <c r="W9280" t="str">
        <f t="shared" si="1526"/>
        <v/>
      </c>
      <c r="X9280">
        <f t="shared" si="1528"/>
        <v>0</v>
      </c>
      <c r="Z9280" t="str">
        <f t="shared" si="1527"/>
        <v/>
      </c>
      <c r="AA9280">
        <f t="shared" si="1529"/>
        <v>0</v>
      </c>
    </row>
    <row r="9281" spans="1:27" ht="21" customHeight="1" x14ac:dyDescent="0.95">
      <c r="A9281" s="56"/>
      <c r="B9281" s="57"/>
      <c r="C9281" s="57"/>
      <c r="D9281" s="57"/>
      <c r="E9281" s="56"/>
      <c r="F9281" s="57"/>
      <c r="G9281" s="57"/>
      <c r="H9281" s="56"/>
      <c r="I9281" s="56"/>
      <c r="J9281" s="58"/>
      <c r="K9281" s="58"/>
      <c r="L9281" s="13" t="str">
        <f t="shared" si="1518"/>
        <v/>
      </c>
      <c r="M9281" s="13" t="str">
        <f t="shared" si="1519"/>
        <v/>
      </c>
      <c r="Q9281" t="str">
        <f t="shared" si="1520"/>
        <v/>
      </c>
      <c r="R9281" t="str">
        <f t="shared" si="1521"/>
        <v/>
      </c>
      <c r="S9281" t="str">
        <f t="shared" si="1522"/>
        <v/>
      </c>
      <c r="T9281" t="str">
        <f t="shared" si="1523"/>
        <v/>
      </c>
      <c r="U9281" t="str">
        <f t="shared" si="1524"/>
        <v/>
      </c>
      <c r="V9281" t="str">
        <f t="shared" si="1525"/>
        <v/>
      </c>
      <c r="W9281" t="str">
        <f t="shared" si="1526"/>
        <v/>
      </c>
      <c r="X9281">
        <f t="shared" si="1528"/>
        <v>0</v>
      </c>
      <c r="Z9281" t="str">
        <f t="shared" si="1527"/>
        <v/>
      </c>
      <c r="AA9281">
        <f t="shared" si="1529"/>
        <v>0</v>
      </c>
    </row>
    <row r="9282" spans="1:27" ht="21" customHeight="1" x14ac:dyDescent="0.95">
      <c r="A9282" s="56"/>
      <c r="B9282" s="57"/>
      <c r="C9282" s="57"/>
      <c r="D9282" s="57"/>
      <c r="E9282" s="56"/>
      <c r="F9282" s="57"/>
      <c r="G9282" s="57"/>
      <c r="H9282" s="56"/>
      <c r="I9282" s="56"/>
      <c r="J9282" s="58"/>
      <c r="K9282" s="58"/>
      <c r="L9282" s="13" t="str">
        <f t="shared" si="1518"/>
        <v/>
      </c>
      <c r="M9282" s="13" t="str">
        <f t="shared" si="1519"/>
        <v/>
      </c>
      <c r="Q9282" t="str">
        <f t="shared" si="1520"/>
        <v/>
      </c>
      <c r="R9282" t="str">
        <f t="shared" si="1521"/>
        <v/>
      </c>
      <c r="S9282" t="str">
        <f t="shared" si="1522"/>
        <v/>
      </c>
      <c r="T9282" t="str">
        <f t="shared" si="1523"/>
        <v/>
      </c>
      <c r="U9282" t="str">
        <f t="shared" si="1524"/>
        <v/>
      </c>
      <c r="V9282" t="str">
        <f t="shared" si="1525"/>
        <v/>
      </c>
      <c r="W9282" t="str">
        <f t="shared" si="1526"/>
        <v/>
      </c>
      <c r="X9282">
        <f t="shared" si="1528"/>
        <v>0</v>
      </c>
      <c r="Z9282" t="str">
        <f t="shared" si="1527"/>
        <v/>
      </c>
      <c r="AA9282">
        <f t="shared" si="1529"/>
        <v>0</v>
      </c>
    </row>
    <row r="9283" spans="1:27" ht="21" customHeight="1" x14ac:dyDescent="0.95">
      <c r="A9283" s="56"/>
      <c r="B9283" s="57"/>
      <c r="C9283" s="57"/>
      <c r="D9283" s="57"/>
      <c r="E9283" s="56"/>
      <c r="F9283" s="57"/>
      <c r="G9283" s="57"/>
      <c r="H9283" s="56"/>
      <c r="I9283" s="56"/>
      <c r="J9283" s="58"/>
      <c r="K9283" s="58"/>
      <c r="L9283" s="13" t="str">
        <f t="shared" si="1518"/>
        <v/>
      </c>
      <c r="M9283" s="13" t="str">
        <f t="shared" si="1519"/>
        <v/>
      </c>
      <c r="Q9283" t="str">
        <f t="shared" si="1520"/>
        <v/>
      </c>
      <c r="R9283" t="str">
        <f t="shared" si="1521"/>
        <v/>
      </c>
      <c r="S9283" t="str">
        <f t="shared" si="1522"/>
        <v/>
      </c>
      <c r="T9283" t="str">
        <f t="shared" si="1523"/>
        <v/>
      </c>
      <c r="U9283" t="str">
        <f t="shared" si="1524"/>
        <v/>
      </c>
      <c r="V9283" t="str">
        <f t="shared" si="1525"/>
        <v/>
      </c>
      <c r="W9283" t="str">
        <f t="shared" si="1526"/>
        <v/>
      </c>
      <c r="X9283">
        <f t="shared" si="1528"/>
        <v>0</v>
      </c>
      <c r="Z9283" t="str">
        <f t="shared" si="1527"/>
        <v/>
      </c>
      <c r="AA9283">
        <f t="shared" si="1529"/>
        <v>0</v>
      </c>
    </row>
    <row r="9284" spans="1:27" ht="21" customHeight="1" x14ac:dyDescent="0.95">
      <c r="A9284" s="56"/>
      <c r="B9284" s="57"/>
      <c r="C9284" s="57"/>
      <c r="D9284" s="57"/>
      <c r="E9284" s="56"/>
      <c r="F9284" s="57"/>
      <c r="G9284" s="57"/>
      <c r="H9284" s="56"/>
      <c r="I9284" s="56"/>
      <c r="J9284" s="58"/>
      <c r="K9284" s="58"/>
      <c r="L9284" s="13" t="str">
        <f t="shared" ref="L9284:L9347" si="1530">IF(OR($A9284="",AND($J9284="",$K9284="")),"",ROUND(N($J9284)-N($K9284),2))</f>
        <v/>
      </c>
      <c r="M9284" s="13" t="str">
        <f t="shared" ref="M9284:M9347" si="1531">IF(OR($A9284="",AND($J9284="",$K9284="")),"",MIN($J9284,$K9284))</f>
        <v/>
      </c>
      <c r="Q9284" t="str">
        <f t="shared" ref="Q9284:Q9347" si="1532">IF($A9284="","",$D9284&amp;"("&amp;SUBSTITUTE($E9284," ","")&amp;")")</f>
        <v/>
      </c>
      <c r="R9284" t="str">
        <f t="shared" ref="R9284:R9347" si="1533">IF($A9284="","",$B9284&amp;" - "&amp;$C9284)</f>
        <v/>
      </c>
      <c r="S9284" t="str">
        <f t="shared" ref="S9284:S9347" si="1534">IF($A9284="","",$R9284&amp;"|"&amp;$Q9284)</f>
        <v/>
      </c>
      <c r="T9284" t="str">
        <f t="shared" ref="T9284:T9347" si="1535">IF($A9284="","",$S9284&amp;"|"&amp;$F9284)</f>
        <v/>
      </c>
      <c r="U9284" t="str">
        <f t="shared" ref="U9284:U9347" si="1536">IF($A9284="","",$R9284&amp;"("&amp;$E9284&amp;")")</f>
        <v/>
      </c>
      <c r="V9284" t="str">
        <f t="shared" ref="V9284:V9347" si="1537">IF($A9284="","",$F9284&amp;"|"&amp;$U9284&amp;"|"&amp;$D9284)</f>
        <v/>
      </c>
      <c r="W9284" t="str">
        <f t="shared" si="1526"/>
        <v/>
      </c>
      <c r="X9284">
        <f t="shared" si="1528"/>
        <v>0</v>
      </c>
      <c r="Z9284" t="str">
        <f t="shared" si="1527"/>
        <v/>
      </c>
      <c r="AA9284">
        <f t="shared" si="1529"/>
        <v>0</v>
      </c>
    </row>
    <row r="9285" spans="1:27" ht="21" customHeight="1" x14ac:dyDescent="0.95">
      <c r="A9285" s="56"/>
      <c r="B9285" s="57"/>
      <c r="C9285" s="57"/>
      <c r="D9285" s="57"/>
      <c r="E9285" s="56"/>
      <c r="F9285" s="57"/>
      <c r="G9285" s="57"/>
      <c r="H9285" s="56"/>
      <c r="I9285" s="56"/>
      <c r="J9285" s="58"/>
      <c r="K9285" s="58"/>
      <c r="L9285" s="13" t="str">
        <f t="shared" si="1530"/>
        <v/>
      </c>
      <c r="M9285" s="13" t="str">
        <f t="shared" si="1531"/>
        <v/>
      </c>
      <c r="Q9285" t="str">
        <f t="shared" si="1532"/>
        <v/>
      </c>
      <c r="R9285" t="str">
        <f t="shared" si="1533"/>
        <v/>
      </c>
      <c r="S9285" t="str">
        <f t="shared" si="1534"/>
        <v/>
      </c>
      <c r="T9285" t="str">
        <f t="shared" si="1535"/>
        <v/>
      </c>
      <c r="U9285" t="str">
        <f t="shared" si="1536"/>
        <v/>
      </c>
      <c r="V9285" t="str">
        <f t="shared" si="1537"/>
        <v/>
      </c>
      <c r="W9285" t="str">
        <f t="shared" si="1526"/>
        <v/>
      </c>
      <c r="X9285">
        <f t="shared" si="1528"/>
        <v>0</v>
      </c>
      <c r="Z9285" t="str">
        <f t="shared" si="1527"/>
        <v/>
      </c>
      <c r="AA9285">
        <f t="shared" si="1529"/>
        <v>0</v>
      </c>
    </row>
    <row r="9286" spans="1:27" ht="21" customHeight="1" x14ac:dyDescent="0.95">
      <c r="A9286" s="56"/>
      <c r="B9286" s="57"/>
      <c r="C9286" s="57"/>
      <c r="D9286" s="57"/>
      <c r="E9286" s="56"/>
      <c r="F9286" s="57"/>
      <c r="G9286" s="57"/>
      <c r="H9286" s="56"/>
      <c r="I9286" s="56"/>
      <c r="J9286" s="58"/>
      <c r="K9286" s="58"/>
      <c r="L9286" s="13" t="str">
        <f t="shared" si="1530"/>
        <v/>
      </c>
      <c r="M9286" s="13" t="str">
        <f t="shared" si="1531"/>
        <v/>
      </c>
      <c r="Q9286" t="str">
        <f t="shared" si="1532"/>
        <v/>
      </c>
      <c r="R9286" t="str">
        <f t="shared" si="1533"/>
        <v/>
      </c>
      <c r="S9286" t="str">
        <f t="shared" si="1534"/>
        <v/>
      </c>
      <c r="T9286" t="str">
        <f t="shared" si="1535"/>
        <v/>
      </c>
      <c r="U9286" t="str">
        <f t="shared" si="1536"/>
        <v/>
      </c>
      <c r="V9286" t="str">
        <f t="shared" si="1537"/>
        <v/>
      </c>
      <c r="W9286" t="str">
        <f t="shared" ref="W9286:W9349" si="1538">IF($T9286="","",IF($X9286&gt;N($X9285),$X9286,""))</f>
        <v/>
      </c>
      <c r="X9286">
        <f t="shared" si="1528"/>
        <v>0</v>
      </c>
      <c r="Z9286" t="str">
        <f t="shared" ref="Z9286:Z9349" si="1539">IF($V9286="","",IF($AA9286&gt;N($AA9285),$AA9286,""))</f>
        <v/>
      </c>
      <c r="AA9286">
        <f t="shared" si="1529"/>
        <v>0</v>
      </c>
    </row>
    <row r="9287" spans="1:27" ht="21" customHeight="1" x14ac:dyDescent="0.95">
      <c r="A9287" s="56"/>
      <c r="B9287" s="57"/>
      <c r="C9287" s="57"/>
      <c r="D9287" s="57"/>
      <c r="E9287" s="56"/>
      <c r="F9287" s="57"/>
      <c r="G9287" s="57"/>
      <c r="H9287" s="56"/>
      <c r="I9287" s="56"/>
      <c r="J9287" s="58"/>
      <c r="K9287" s="58"/>
      <c r="L9287" s="13" t="str">
        <f t="shared" si="1530"/>
        <v/>
      </c>
      <c r="M9287" s="13" t="str">
        <f t="shared" si="1531"/>
        <v/>
      </c>
      <c r="Q9287" t="str">
        <f t="shared" si="1532"/>
        <v/>
      </c>
      <c r="R9287" t="str">
        <f t="shared" si="1533"/>
        <v/>
      </c>
      <c r="S9287" t="str">
        <f t="shared" si="1534"/>
        <v/>
      </c>
      <c r="T9287" t="str">
        <f t="shared" si="1535"/>
        <v/>
      </c>
      <c r="U9287" t="str">
        <f t="shared" si="1536"/>
        <v/>
      </c>
      <c r="V9287" t="str">
        <f t="shared" si="1537"/>
        <v/>
      </c>
      <c r="W9287" t="str">
        <f t="shared" si="1538"/>
        <v/>
      </c>
      <c r="X9287">
        <f t="shared" si="1528"/>
        <v>0</v>
      </c>
      <c r="Z9287" t="str">
        <f t="shared" si="1539"/>
        <v/>
      </c>
      <c r="AA9287">
        <f t="shared" si="1529"/>
        <v>0</v>
      </c>
    </row>
    <row r="9288" spans="1:27" ht="21" customHeight="1" x14ac:dyDescent="0.95">
      <c r="A9288" s="56"/>
      <c r="B9288" s="57"/>
      <c r="C9288" s="57"/>
      <c r="D9288" s="57"/>
      <c r="E9288" s="56"/>
      <c r="F9288" s="57"/>
      <c r="G9288" s="57"/>
      <c r="H9288" s="56"/>
      <c r="I9288" s="56"/>
      <c r="J9288" s="58"/>
      <c r="K9288" s="58"/>
      <c r="L9288" s="13" t="str">
        <f t="shared" si="1530"/>
        <v/>
      </c>
      <c r="M9288" s="13" t="str">
        <f t="shared" si="1531"/>
        <v/>
      </c>
      <c r="Q9288" t="str">
        <f t="shared" si="1532"/>
        <v/>
      </c>
      <c r="R9288" t="str">
        <f t="shared" si="1533"/>
        <v/>
      </c>
      <c r="S9288" t="str">
        <f t="shared" si="1534"/>
        <v/>
      </c>
      <c r="T9288" t="str">
        <f t="shared" si="1535"/>
        <v/>
      </c>
      <c r="U9288" t="str">
        <f t="shared" si="1536"/>
        <v/>
      </c>
      <c r="V9288" t="str">
        <f t="shared" si="1537"/>
        <v/>
      </c>
      <c r="W9288" t="str">
        <f t="shared" si="1538"/>
        <v/>
      </c>
      <c r="X9288">
        <f t="shared" si="1528"/>
        <v>0</v>
      </c>
      <c r="Z9288" t="str">
        <f t="shared" si="1539"/>
        <v/>
      </c>
      <c r="AA9288">
        <f t="shared" si="1529"/>
        <v>0</v>
      </c>
    </row>
    <row r="9289" spans="1:27" ht="21" customHeight="1" x14ac:dyDescent="0.95">
      <c r="A9289" s="56"/>
      <c r="B9289" s="57"/>
      <c r="C9289" s="57"/>
      <c r="D9289" s="57"/>
      <c r="E9289" s="56"/>
      <c r="F9289" s="57"/>
      <c r="G9289" s="57"/>
      <c r="H9289" s="56"/>
      <c r="I9289" s="56"/>
      <c r="J9289" s="58"/>
      <c r="K9289" s="58"/>
      <c r="L9289" s="13" t="str">
        <f t="shared" si="1530"/>
        <v/>
      </c>
      <c r="M9289" s="13" t="str">
        <f t="shared" si="1531"/>
        <v/>
      </c>
      <c r="Q9289" t="str">
        <f t="shared" si="1532"/>
        <v/>
      </c>
      <c r="R9289" t="str">
        <f t="shared" si="1533"/>
        <v/>
      </c>
      <c r="S9289" t="str">
        <f t="shared" si="1534"/>
        <v/>
      </c>
      <c r="T9289" t="str">
        <f t="shared" si="1535"/>
        <v/>
      </c>
      <c r="U9289" t="str">
        <f t="shared" si="1536"/>
        <v/>
      </c>
      <c r="V9289" t="str">
        <f t="shared" si="1537"/>
        <v/>
      </c>
      <c r="W9289" t="str">
        <f t="shared" si="1538"/>
        <v/>
      </c>
      <c r="X9289">
        <f t="shared" si="1528"/>
        <v>0</v>
      </c>
      <c r="Z9289" t="str">
        <f t="shared" si="1539"/>
        <v/>
      </c>
      <c r="AA9289">
        <f t="shared" si="1529"/>
        <v>0</v>
      </c>
    </row>
    <row r="9290" spans="1:27" ht="21" customHeight="1" x14ac:dyDescent="0.95">
      <c r="A9290" s="56"/>
      <c r="B9290" s="57"/>
      <c r="C9290" s="57"/>
      <c r="D9290" s="57"/>
      <c r="E9290" s="56"/>
      <c r="F9290" s="57"/>
      <c r="G9290" s="57"/>
      <c r="H9290" s="56"/>
      <c r="I9290" s="56"/>
      <c r="J9290" s="58"/>
      <c r="K9290" s="58"/>
      <c r="L9290" s="13" t="str">
        <f t="shared" si="1530"/>
        <v/>
      </c>
      <c r="M9290" s="13" t="str">
        <f t="shared" si="1531"/>
        <v/>
      </c>
      <c r="Q9290" t="str">
        <f t="shared" si="1532"/>
        <v/>
      </c>
      <c r="R9290" t="str">
        <f t="shared" si="1533"/>
        <v/>
      </c>
      <c r="S9290" t="str">
        <f t="shared" si="1534"/>
        <v/>
      </c>
      <c r="T9290" t="str">
        <f t="shared" si="1535"/>
        <v/>
      </c>
      <c r="U9290" t="str">
        <f t="shared" si="1536"/>
        <v/>
      </c>
      <c r="V9290" t="str">
        <f t="shared" si="1537"/>
        <v/>
      </c>
      <c r="W9290" t="str">
        <f t="shared" si="1538"/>
        <v/>
      </c>
      <c r="X9290">
        <f t="shared" si="1528"/>
        <v>0</v>
      </c>
      <c r="Z9290" t="str">
        <f t="shared" si="1539"/>
        <v/>
      </c>
      <c r="AA9290">
        <f t="shared" si="1529"/>
        <v>0</v>
      </c>
    </row>
    <row r="9291" spans="1:27" ht="21" customHeight="1" x14ac:dyDescent="0.95">
      <c r="A9291" s="56"/>
      <c r="B9291" s="57"/>
      <c r="C9291" s="57"/>
      <c r="D9291" s="57"/>
      <c r="E9291" s="56"/>
      <c r="F9291" s="57"/>
      <c r="G9291" s="57"/>
      <c r="H9291" s="56"/>
      <c r="I9291" s="56"/>
      <c r="J9291" s="58"/>
      <c r="K9291" s="58"/>
      <c r="L9291" s="13" t="str">
        <f t="shared" si="1530"/>
        <v/>
      </c>
      <c r="M9291" s="13" t="str">
        <f t="shared" si="1531"/>
        <v/>
      </c>
      <c r="Q9291" t="str">
        <f t="shared" si="1532"/>
        <v/>
      </c>
      <c r="R9291" t="str">
        <f t="shared" si="1533"/>
        <v/>
      </c>
      <c r="S9291" t="str">
        <f t="shared" si="1534"/>
        <v/>
      </c>
      <c r="T9291" t="str">
        <f t="shared" si="1535"/>
        <v/>
      </c>
      <c r="U9291" t="str">
        <f t="shared" si="1536"/>
        <v/>
      </c>
      <c r="V9291" t="str">
        <f t="shared" si="1537"/>
        <v/>
      </c>
      <c r="W9291" t="str">
        <f t="shared" si="1538"/>
        <v/>
      </c>
      <c r="X9291">
        <f t="shared" si="1528"/>
        <v>0</v>
      </c>
      <c r="Z9291" t="str">
        <f t="shared" si="1539"/>
        <v/>
      </c>
      <c r="AA9291">
        <f t="shared" si="1529"/>
        <v>0</v>
      </c>
    </row>
    <row r="9292" spans="1:27" ht="21" customHeight="1" x14ac:dyDescent="0.95">
      <c r="A9292" s="56"/>
      <c r="B9292" s="57"/>
      <c r="C9292" s="57"/>
      <c r="D9292" s="57"/>
      <c r="E9292" s="56"/>
      <c r="F9292" s="57"/>
      <c r="G9292" s="57"/>
      <c r="H9292" s="56"/>
      <c r="I9292" s="56"/>
      <c r="J9292" s="58"/>
      <c r="K9292" s="58"/>
      <c r="L9292" s="13" t="str">
        <f t="shared" si="1530"/>
        <v/>
      </c>
      <c r="M9292" s="13" t="str">
        <f t="shared" si="1531"/>
        <v/>
      </c>
      <c r="Q9292" t="str">
        <f t="shared" si="1532"/>
        <v/>
      </c>
      <c r="R9292" t="str">
        <f t="shared" si="1533"/>
        <v/>
      </c>
      <c r="S9292" t="str">
        <f t="shared" si="1534"/>
        <v/>
      </c>
      <c r="T9292" t="str">
        <f t="shared" si="1535"/>
        <v/>
      </c>
      <c r="U9292" t="str">
        <f t="shared" si="1536"/>
        <v/>
      </c>
      <c r="V9292" t="str">
        <f t="shared" si="1537"/>
        <v/>
      </c>
      <c r="W9292" t="str">
        <f t="shared" si="1538"/>
        <v/>
      </c>
      <c r="X9292">
        <f t="shared" si="1528"/>
        <v>0</v>
      </c>
      <c r="Z9292" t="str">
        <f t="shared" si="1539"/>
        <v/>
      </c>
      <c r="AA9292">
        <f t="shared" si="1529"/>
        <v>0</v>
      </c>
    </row>
    <row r="9293" spans="1:27" ht="21" customHeight="1" x14ac:dyDescent="0.95">
      <c r="A9293" s="56"/>
      <c r="B9293" s="57"/>
      <c r="C9293" s="57"/>
      <c r="D9293" s="57"/>
      <c r="E9293" s="56"/>
      <c r="F9293" s="57"/>
      <c r="G9293" s="57"/>
      <c r="H9293" s="56"/>
      <c r="I9293" s="56"/>
      <c r="J9293" s="58"/>
      <c r="K9293" s="58"/>
      <c r="L9293" s="13" t="str">
        <f t="shared" si="1530"/>
        <v/>
      </c>
      <c r="M9293" s="13" t="str">
        <f t="shared" si="1531"/>
        <v/>
      </c>
      <c r="Q9293" t="str">
        <f t="shared" si="1532"/>
        <v/>
      </c>
      <c r="R9293" t="str">
        <f t="shared" si="1533"/>
        <v/>
      </c>
      <c r="S9293" t="str">
        <f t="shared" si="1534"/>
        <v/>
      </c>
      <c r="T9293" t="str">
        <f t="shared" si="1535"/>
        <v/>
      </c>
      <c r="U9293" t="str">
        <f t="shared" si="1536"/>
        <v/>
      </c>
      <c r="V9293" t="str">
        <f t="shared" si="1537"/>
        <v/>
      </c>
      <c r="W9293" t="str">
        <f t="shared" si="1538"/>
        <v/>
      </c>
      <c r="X9293">
        <f t="shared" si="1528"/>
        <v>0</v>
      </c>
      <c r="Z9293" t="str">
        <f t="shared" si="1539"/>
        <v/>
      </c>
      <c r="AA9293">
        <f t="shared" si="1529"/>
        <v>0</v>
      </c>
    </row>
    <row r="9294" spans="1:27" ht="21" customHeight="1" x14ac:dyDescent="0.95">
      <c r="A9294" s="56"/>
      <c r="B9294" s="57"/>
      <c r="C9294" s="57"/>
      <c r="D9294" s="57"/>
      <c r="E9294" s="56"/>
      <c r="F9294" s="57"/>
      <c r="G9294" s="57"/>
      <c r="H9294" s="56"/>
      <c r="I9294" s="56"/>
      <c r="J9294" s="58"/>
      <c r="K9294" s="58"/>
      <c r="L9294" s="13" t="str">
        <f t="shared" si="1530"/>
        <v/>
      </c>
      <c r="M9294" s="13" t="str">
        <f t="shared" si="1531"/>
        <v/>
      </c>
      <c r="Q9294" t="str">
        <f t="shared" si="1532"/>
        <v/>
      </c>
      <c r="R9294" t="str">
        <f t="shared" si="1533"/>
        <v/>
      </c>
      <c r="S9294" t="str">
        <f t="shared" si="1534"/>
        <v/>
      </c>
      <c r="T9294" t="str">
        <f t="shared" si="1535"/>
        <v/>
      </c>
      <c r="U9294" t="str">
        <f t="shared" si="1536"/>
        <v/>
      </c>
      <c r="V9294" t="str">
        <f t="shared" si="1537"/>
        <v/>
      </c>
      <c r="W9294" t="str">
        <f t="shared" si="1538"/>
        <v/>
      </c>
      <c r="X9294">
        <f t="shared" si="1528"/>
        <v>0</v>
      </c>
      <c r="Z9294" t="str">
        <f t="shared" si="1539"/>
        <v/>
      </c>
      <c r="AA9294">
        <f t="shared" si="1529"/>
        <v>0</v>
      </c>
    </row>
    <row r="9295" spans="1:27" ht="21" customHeight="1" x14ac:dyDescent="0.95">
      <c r="A9295" s="56"/>
      <c r="B9295" s="57"/>
      <c r="C9295" s="57"/>
      <c r="D9295" s="57"/>
      <c r="E9295" s="56"/>
      <c r="F9295" s="57"/>
      <c r="G9295" s="57"/>
      <c r="H9295" s="56"/>
      <c r="I9295" s="56"/>
      <c r="J9295" s="58"/>
      <c r="K9295" s="58"/>
      <c r="L9295" s="13" t="str">
        <f t="shared" si="1530"/>
        <v/>
      </c>
      <c r="M9295" s="13" t="str">
        <f t="shared" si="1531"/>
        <v/>
      </c>
      <c r="Q9295" t="str">
        <f t="shared" si="1532"/>
        <v/>
      </c>
      <c r="R9295" t="str">
        <f t="shared" si="1533"/>
        <v/>
      </c>
      <c r="S9295" t="str">
        <f t="shared" si="1534"/>
        <v/>
      </c>
      <c r="T9295" t="str">
        <f t="shared" si="1535"/>
        <v/>
      </c>
      <c r="U9295" t="str">
        <f t="shared" si="1536"/>
        <v/>
      </c>
      <c r="V9295" t="str">
        <f t="shared" si="1537"/>
        <v/>
      </c>
      <c r="W9295" t="str">
        <f t="shared" si="1538"/>
        <v/>
      </c>
      <c r="X9295">
        <f t="shared" si="1528"/>
        <v>0</v>
      </c>
      <c r="Z9295" t="str">
        <f t="shared" si="1539"/>
        <v/>
      </c>
      <c r="AA9295">
        <f t="shared" si="1529"/>
        <v>0</v>
      </c>
    </row>
    <row r="9296" spans="1:27" ht="21" customHeight="1" x14ac:dyDescent="0.95">
      <c r="A9296" s="56"/>
      <c r="B9296" s="57"/>
      <c r="C9296" s="57"/>
      <c r="D9296" s="57"/>
      <c r="E9296" s="56"/>
      <c r="F9296" s="57"/>
      <c r="G9296" s="57"/>
      <c r="H9296" s="56"/>
      <c r="I9296" s="56"/>
      <c r="J9296" s="58"/>
      <c r="K9296" s="58"/>
      <c r="L9296" s="13" t="str">
        <f t="shared" si="1530"/>
        <v/>
      </c>
      <c r="M9296" s="13" t="str">
        <f t="shared" si="1531"/>
        <v/>
      </c>
      <c r="Q9296" t="str">
        <f t="shared" si="1532"/>
        <v/>
      </c>
      <c r="R9296" t="str">
        <f t="shared" si="1533"/>
        <v/>
      </c>
      <c r="S9296" t="str">
        <f t="shared" si="1534"/>
        <v/>
      </c>
      <c r="T9296" t="str">
        <f t="shared" si="1535"/>
        <v/>
      </c>
      <c r="U9296" t="str">
        <f t="shared" si="1536"/>
        <v/>
      </c>
      <c r="V9296" t="str">
        <f t="shared" si="1537"/>
        <v/>
      </c>
      <c r="W9296" t="str">
        <f t="shared" si="1538"/>
        <v/>
      </c>
      <c r="X9296">
        <f t="shared" si="1528"/>
        <v>0</v>
      </c>
      <c r="Z9296" t="str">
        <f t="shared" si="1539"/>
        <v/>
      </c>
      <c r="AA9296">
        <f t="shared" si="1529"/>
        <v>0</v>
      </c>
    </row>
    <row r="9297" spans="1:27" ht="21" customHeight="1" x14ac:dyDescent="0.95">
      <c r="A9297" s="56"/>
      <c r="B9297" s="57"/>
      <c r="C9297" s="57"/>
      <c r="D9297" s="57"/>
      <c r="E9297" s="56"/>
      <c r="F9297" s="57"/>
      <c r="G9297" s="57"/>
      <c r="H9297" s="56"/>
      <c r="I9297" s="56"/>
      <c r="J9297" s="58"/>
      <c r="K9297" s="58"/>
      <c r="L9297" s="13" t="str">
        <f t="shared" si="1530"/>
        <v/>
      </c>
      <c r="M9297" s="13" t="str">
        <f t="shared" si="1531"/>
        <v/>
      </c>
      <c r="Q9297" t="str">
        <f t="shared" si="1532"/>
        <v/>
      </c>
      <c r="R9297" t="str">
        <f t="shared" si="1533"/>
        <v/>
      </c>
      <c r="S9297" t="str">
        <f t="shared" si="1534"/>
        <v/>
      </c>
      <c r="T9297" t="str">
        <f t="shared" si="1535"/>
        <v/>
      </c>
      <c r="U9297" t="str">
        <f t="shared" si="1536"/>
        <v/>
      </c>
      <c r="V9297" t="str">
        <f t="shared" si="1537"/>
        <v/>
      </c>
      <c r="W9297" t="str">
        <f t="shared" si="1538"/>
        <v/>
      </c>
      <c r="X9297">
        <f t="shared" si="1528"/>
        <v>0</v>
      </c>
      <c r="Z9297" t="str">
        <f t="shared" si="1539"/>
        <v/>
      </c>
      <c r="AA9297">
        <f t="shared" si="1529"/>
        <v>0</v>
      </c>
    </row>
    <row r="9298" spans="1:27" ht="21" customHeight="1" x14ac:dyDescent="0.95">
      <c r="A9298" s="56"/>
      <c r="B9298" s="57"/>
      <c r="C9298" s="57"/>
      <c r="D9298" s="57"/>
      <c r="E9298" s="56"/>
      <c r="F9298" s="57"/>
      <c r="G9298" s="57"/>
      <c r="H9298" s="56"/>
      <c r="I9298" s="56"/>
      <c r="J9298" s="58"/>
      <c r="K9298" s="58"/>
      <c r="L9298" s="13" t="str">
        <f t="shared" si="1530"/>
        <v/>
      </c>
      <c r="M9298" s="13" t="str">
        <f t="shared" si="1531"/>
        <v/>
      </c>
      <c r="Q9298" t="str">
        <f t="shared" si="1532"/>
        <v/>
      </c>
      <c r="R9298" t="str">
        <f t="shared" si="1533"/>
        <v/>
      </c>
      <c r="S9298" t="str">
        <f t="shared" si="1534"/>
        <v/>
      </c>
      <c r="T9298" t="str">
        <f t="shared" si="1535"/>
        <v/>
      </c>
      <c r="U9298" t="str">
        <f t="shared" si="1536"/>
        <v/>
      </c>
      <c r="V9298" t="str">
        <f t="shared" si="1537"/>
        <v/>
      </c>
      <c r="W9298" t="str">
        <f t="shared" si="1538"/>
        <v/>
      </c>
      <c r="X9298">
        <f t="shared" si="1528"/>
        <v>0</v>
      </c>
      <c r="Z9298" t="str">
        <f t="shared" si="1539"/>
        <v/>
      </c>
      <c r="AA9298">
        <f t="shared" si="1529"/>
        <v>0</v>
      </c>
    </row>
    <row r="9299" spans="1:27" ht="21" customHeight="1" x14ac:dyDescent="0.95">
      <c r="A9299" s="56"/>
      <c r="B9299" s="57"/>
      <c r="C9299" s="57"/>
      <c r="D9299" s="57"/>
      <c r="E9299" s="56"/>
      <c r="F9299" s="57"/>
      <c r="G9299" s="57"/>
      <c r="H9299" s="56"/>
      <c r="I9299" s="56"/>
      <c r="J9299" s="58"/>
      <c r="K9299" s="58"/>
      <c r="L9299" s="13" t="str">
        <f t="shared" si="1530"/>
        <v/>
      </c>
      <c r="M9299" s="13" t="str">
        <f t="shared" si="1531"/>
        <v/>
      </c>
      <c r="Q9299" t="str">
        <f t="shared" si="1532"/>
        <v/>
      </c>
      <c r="R9299" t="str">
        <f t="shared" si="1533"/>
        <v/>
      </c>
      <c r="S9299" t="str">
        <f t="shared" si="1534"/>
        <v/>
      </c>
      <c r="T9299" t="str">
        <f t="shared" si="1535"/>
        <v/>
      </c>
      <c r="U9299" t="str">
        <f t="shared" si="1536"/>
        <v/>
      </c>
      <c r="V9299" t="str">
        <f t="shared" si="1537"/>
        <v/>
      </c>
      <c r="W9299" t="str">
        <f t="shared" si="1538"/>
        <v/>
      </c>
      <c r="X9299">
        <f t="shared" si="1528"/>
        <v>0</v>
      </c>
      <c r="Z9299" t="str">
        <f t="shared" si="1539"/>
        <v/>
      </c>
      <c r="AA9299">
        <f t="shared" si="1529"/>
        <v>0</v>
      </c>
    </row>
    <row r="9300" spans="1:27" ht="21" customHeight="1" x14ac:dyDescent="0.95">
      <c r="A9300" s="56"/>
      <c r="B9300" s="57"/>
      <c r="C9300" s="57"/>
      <c r="D9300" s="57"/>
      <c r="E9300" s="56"/>
      <c r="F9300" s="57"/>
      <c r="G9300" s="57"/>
      <c r="H9300" s="56"/>
      <c r="I9300" s="56"/>
      <c r="J9300" s="58"/>
      <c r="K9300" s="58"/>
      <c r="L9300" s="13" t="str">
        <f t="shared" si="1530"/>
        <v/>
      </c>
      <c r="M9300" s="13" t="str">
        <f t="shared" si="1531"/>
        <v/>
      </c>
      <c r="Q9300" t="str">
        <f t="shared" si="1532"/>
        <v/>
      </c>
      <c r="R9300" t="str">
        <f t="shared" si="1533"/>
        <v/>
      </c>
      <c r="S9300" t="str">
        <f t="shared" si="1534"/>
        <v/>
      </c>
      <c r="T9300" t="str">
        <f t="shared" si="1535"/>
        <v/>
      </c>
      <c r="U9300" t="str">
        <f t="shared" si="1536"/>
        <v/>
      </c>
      <c r="V9300" t="str">
        <f t="shared" si="1537"/>
        <v/>
      </c>
      <c r="W9300" t="str">
        <f t="shared" si="1538"/>
        <v/>
      </c>
      <c r="X9300">
        <f t="shared" si="1528"/>
        <v>0</v>
      </c>
      <c r="Z9300" t="str">
        <f t="shared" si="1539"/>
        <v/>
      </c>
      <c r="AA9300">
        <f t="shared" si="1529"/>
        <v>0</v>
      </c>
    </row>
    <row r="9301" spans="1:27" ht="21" customHeight="1" x14ac:dyDescent="0.95">
      <c r="A9301" s="56"/>
      <c r="B9301" s="57"/>
      <c r="C9301" s="57"/>
      <c r="D9301" s="57"/>
      <c r="E9301" s="56"/>
      <c r="F9301" s="57"/>
      <c r="G9301" s="57"/>
      <c r="H9301" s="56"/>
      <c r="I9301" s="56"/>
      <c r="J9301" s="58"/>
      <c r="K9301" s="58"/>
      <c r="L9301" s="13" t="str">
        <f t="shared" si="1530"/>
        <v/>
      </c>
      <c r="M9301" s="13" t="str">
        <f t="shared" si="1531"/>
        <v/>
      </c>
      <c r="Q9301" t="str">
        <f t="shared" si="1532"/>
        <v/>
      </c>
      <c r="R9301" t="str">
        <f t="shared" si="1533"/>
        <v/>
      </c>
      <c r="S9301" t="str">
        <f t="shared" si="1534"/>
        <v/>
      </c>
      <c r="T9301" t="str">
        <f t="shared" si="1535"/>
        <v/>
      </c>
      <c r="U9301" t="str">
        <f t="shared" si="1536"/>
        <v/>
      </c>
      <c r="V9301" t="str">
        <f t="shared" si="1537"/>
        <v/>
      </c>
      <c r="W9301" t="str">
        <f t="shared" si="1538"/>
        <v/>
      </c>
      <c r="X9301">
        <f t="shared" si="1528"/>
        <v>0</v>
      </c>
      <c r="Z9301" t="str">
        <f t="shared" si="1539"/>
        <v/>
      </c>
      <c r="AA9301">
        <f t="shared" si="1529"/>
        <v>0</v>
      </c>
    </row>
    <row r="9302" spans="1:27" ht="21" customHeight="1" x14ac:dyDescent="0.95">
      <c r="A9302" s="56"/>
      <c r="B9302" s="57"/>
      <c r="C9302" s="57"/>
      <c r="D9302" s="57"/>
      <c r="E9302" s="56"/>
      <c r="F9302" s="57"/>
      <c r="G9302" s="57"/>
      <c r="H9302" s="56"/>
      <c r="I9302" s="56"/>
      <c r="J9302" s="58"/>
      <c r="K9302" s="58"/>
      <c r="L9302" s="13" t="str">
        <f t="shared" si="1530"/>
        <v/>
      </c>
      <c r="M9302" s="13" t="str">
        <f t="shared" si="1531"/>
        <v/>
      </c>
      <c r="Q9302" t="str">
        <f t="shared" si="1532"/>
        <v/>
      </c>
      <c r="R9302" t="str">
        <f t="shared" si="1533"/>
        <v/>
      </c>
      <c r="S9302" t="str">
        <f t="shared" si="1534"/>
        <v/>
      </c>
      <c r="T9302" t="str">
        <f t="shared" si="1535"/>
        <v/>
      </c>
      <c r="U9302" t="str">
        <f t="shared" si="1536"/>
        <v/>
      </c>
      <c r="V9302" t="str">
        <f t="shared" si="1537"/>
        <v/>
      </c>
      <c r="W9302" t="str">
        <f t="shared" si="1538"/>
        <v/>
      </c>
      <c r="X9302">
        <f t="shared" si="1528"/>
        <v>0</v>
      </c>
      <c r="Z9302" t="str">
        <f t="shared" si="1539"/>
        <v/>
      </c>
      <c r="AA9302">
        <f t="shared" si="1529"/>
        <v>0</v>
      </c>
    </row>
    <row r="9303" spans="1:27" ht="21" customHeight="1" x14ac:dyDescent="0.95">
      <c r="A9303" s="56"/>
      <c r="B9303" s="57"/>
      <c r="C9303" s="57"/>
      <c r="D9303" s="57"/>
      <c r="E9303" s="56"/>
      <c r="F9303" s="57"/>
      <c r="G9303" s="57"/>
      <c r="H9303" s="56"/>
      <c r="I9303" s="56"/>
      <c r="J9303" s="58"/>
      <c r="K9303" s="58"/>
      <c r="L9303" s="13" t="str">
        <f t="shared" si="1530"/>
        <v/>
      </c>
      <c r="M9303" s="13" t="str">
        <f t="shared" si="1531"/>
        <v/>
      </c>
      <c r="Q9303" t="str">
        <f t="shared" si="1532"/>
        <v/>
      </c>
      <c r="R9303" t="str">
        <f t="shared" si="1533"/>
        <v/>
      </c>
      <c r="S9303" t="str">
        <f t="shared" si="1534"/>
        <v/>
      </c>
      <c r="T9303" t="str">
        <f t="shared" si="1535"/>
        <v/>
      </c>
      <c r="U9303" t="str">
        <f t="shared" si="1536"/>
        <v/>
      </c>
      <c r="V9303" t="str">
        <f t="shared" si="1537"/>
        <v/>
      </c>
      <c r="W9303" t="str">
        <f t="shared" si="1538"/>
        <v/>
      </c>
      <c r="X9303">
        <f t="shared" si="1528"/>
        <v>0</v>
      </c>
      <c r="Z9303" t="str">
        <f t="shared" si="1539"/>
        <v/>
      </c>
      <c r="AA9303">
        <f t="shared" si="1529"/>
        <v>0</v>
      </c>
    </row>
    <row r="9304" spans="1:27" ht="21" customHeight="1" x14ac:dyDescent="0.95">
      <c r="A9304" s="56"/>
      <c r="B9304" s="57"/>
      <c r="C9304" s="57"/>
      <c r="D9304" s="57"/>
      <c r="E9304" s="56"/>
      <c r="F9304" s="57"/>
      <c r="G9304" s="57"/>
      <c r="H9304" s="56"/>
      <c r="I9304" s="56"/>
      <c r="J9304" s="58"/>
      <c r="K9304" s="58"/>
      <c r="L9304" s="13" t="str">
        <f t="shared" si="1530"/>
        <v/>
      </c>
      <c r="M9304" s="13" t="str">
        <f t="shared" si="1531"/>
        <v/>
      </c>
      <c r="Q9304" t="str">
        <f t="shared" si="1532"/>
        <v/>
      </c>
      <c r="R9304" t="str">
        <f t="shared" si="1533"/>
        <v/>
      </c>
      <c r="S9304" t="str">
        <f t="shared" si="1534"/>
        <v/>
      </c>
      <c r="T9304" t="str">
        <f t="shared" si="1535"/>
        <v/>
      </c>
      <c r="U9304" t="str">
        <f t="shared" si="1536"/>
        <v/>
      </c>
      <c r="V9304" t="str">
        <f t="shared" si="1537"/>
        <v/>
      </c>
      <c r="W9304" t="str">
        <f t="shared" si="1538"/>
        <v/>
      </c>
      <c r="X9304">
        <f t="shared" si="1528"/>
        <v>0</v>
      </c>
      <c r="Z9304" t="str">
        <f t="shared" si="1539"/>
        <v/>
      </c>
      <c r="AA9304">
        <f t="shared" si="1529"/>
        <v>0</v>
      </c>
    </row>
    <row r="9305" spans="1:27" ht="21" customHeight="1" x14ac:dyDescent="0.95">
      <c r="A9305" s="56"/>
      <c r="B9305" s="57"/>
      <c r="C9305" s="57"/>
      <c r="D9305" s="57"/>
      <c r="E9305" s="56"/>
      <c r="F9305" s="57"/>
      <c r="G9305" s="57"/>
      <c r="H9305" s="56"/>
      <c r="I9305" s="56"/>
      <c r="J9305" s="58"/>
      <c r="K9305" s="58"/>
      <c r="L9305" s="13" t="str">
        <f t="shared" si="1530"/>
        <v/>
      </c>
      <c r="M9305" s="13" t="str">
        <f t="shared" si="1531"/>
        <v/>
      </c>
      <c r="Q9305" t="str">
        <f t="shared" si="1532"/>
        <v/>
      </c>
      <c r="R9305" t="str">
        <f t="shared" si="1533"/>
        <v/>
      </c>
      <c r="S9305" t="str">
        <f t="shared" si="1534"/>
        <v/>
      </c>
      <c r="T9305" t="str">
        <f t="shared" si="1535"/>
        <v/>
      </c>
      <c r="U9305" t="str">
        <f t="shared" si="1536"/>
        <v/>
      </c>
      <c r="V9305" t="str">
        <f t="shared" si="1537"/>
        <v/>
      </c>
      <c r="W9305" t="str">
        <f t="shared" si="1538"/>
        <v/>
      </c>
      <c r="X9305">
        <f t="shared" si="1528"/>
        <v>0</v>
      </c>
      <c r="Z9305" t="str">
        <f t="shared" si="1539"/>
        <v/>
      </c>
      <c r="AA9305">
        <f t="shared" si="1529"/>
        <v>0</v>
      </c>
    </row>
    <row r="9306" spans="1:27" ht="21" customHeight="1" x14ac:dyDescent="0.95">
      <c r="A9306" s="56"/>
      <c r="B9306" s="57"/>
      <c r="C9306" s="57"/>
      <c r="D9306" s="57"/>
      <c r="E9306" s="56"/>
      <c r="F9306" s="57"/>
      <c r="G9306" s="57"/>
      <c r="H9306" s="56"/>
      <c r="I9306" s="56"/>
      <c r="J9306" s="58"/>
      <c r="K9306" s="58"/>
      <c r="L9306" s="13" t="str">
        <f t="shared" si="1530"/>
        <v/>
      </c>
      <c r="M9306" s="13" t="str">
        <f t="shared" si="1531"/>
        <v/>
      </c>
      <c r="Q9306" t="str">
        <f t="shared" si="1532"/>
        <v/>
      </c>
      <c r="R9306" t="str">
        <f t="shared" si="1533"/>
        <v/>
      </c>
      <c r="S9306" t="str">
        <f t="shared" si="1534"/>
        <v/>
      </c>
      <c r="T9306" t="str">
        <f t="shared" si="1535"/>
        <v/>
      </c>
      <c r="U9306" t="str">
        <f t="shared" si="1536"/>
        <v/>
      </c>
      <c r="V9306" t="str">
        <f t="shared" si="1537"/>
        <v/>
      </c>
      <c r="W9306" t="str">
        <f t="shared" si="1538"/>
        <v/>
      </c>
      <c r="X9306">
        <f t="shared" si="1528"/>
        <v>0</v>
      </c>
      <c r="Z9306" t="str">
        <f t="shared" si="1539"/>
        <v/>
      </c>
      <c r="AA9306">
        <f t="shared" si="1529"/>
        <v>0</v>
      </c>
    </row>
    <row r="9307" spans="1:27" ht="21" customHeight="1" x14ac:dyDescent="0.95">
      <c r="A9307" s="56"/>
      <c r="B9307" s="57"/>
      <c r="C9307" s="57"/>
      <c r="D9307" s="57"/>
      <c r="E9307" s="56"/>
      <c r="F9307" s="57"/>
      <c r="G9307" s="57"/>
      <c r="H9307" s="56"/>
      <c r="I9307" s="56"/>
      <c r="J9307" s="58"/>
      <c r="K9307" s="58"/>
      <c r="L9307" s="13" t="str">
        <f t="shared" si="1530"/>
        <v/>
      </c>
      <c r="M9307" s="13" t="str">
        <f t="shared" si="1531"/>
        <v/>
      </c>
      <c r="Q9307" t="str">
        <f t="shared" si="1532"/>
        <v/>
      </c>
      <c r="R9307" t="str">
        <f t="shared" si="1533"/>
        <v/>
      </c>
      <c r="S9307" t="str">
        <f t="shared" si="1534"/>
        <v/>
      </c>
      <c r="T9307" t="str">
        <f t="shared" si="1535"/>
        <v/>
      </c>
      <c r="U9307" t="str">
        <f t="shared" si="1536"/>
        <v/>
      </c>
      <c r="V9307" t="str">
        <f t="shared" si="1537"/>
        <v/>
      </c>
      <c r="W9307" t="str">
        <f t="shared" si="1538"/>
        <v/>
      </c>
      <c r="X9307">
        <f t="shared" si="1528"/>
        <v>0</v>
      </c>
      <c r="Z9307" t="str">
        <f t="shared" si="1539"/>
        <v/>
      </c>
      <c r="AA9307">
        <f t="shared" si="1529"/>
        <v>0</v>
      </c>
    </row>
    <row r="9308" spans="1:27" ht="21" customHeight="1" x14ac:dyDescent="0.95">
      <c r="A9308" s="56"/>
      <c r="B9308" s="57"/>
      <c r="C9308" s="57"/>
      <c r="D9308" s="57"/>
      <c r="E9308" s="56"/>
      <c r="F9308" s="57"/>
      <c r="G9308" s="57"/>
      <c r="H9308" s="56"/>
      <c r="I9308" s="56"/>
      <c r="J9308" s="58"/>
      <c r="K9308" s="58"/>
      <c r="L9308" s="13" t="str">
        <f t="shared" si="1530"/>
        <v/>
      </c>
      <c r="M9308" s="13" t="str">
        <f t="shared" si="1531"/>
        <v/>
      </c>
      <c r="Q9308" t="str">
        <f t="shared" si="1532"/>
        <v/>
      </c>
      <c r="R9308" t="str">
        <f t="shared" si="1533"/>
        <v/>
      </c>
      <c r="S9308" t="str">
        <f t="shared" si="1534"/>
        <v/>
      </c>
      <c r="T9308" t="str">
        <f t="shared" si="1535"/>
        <v/>
      </c>
      <c r="U9308" t="str">
        <f t="shared" si="1536"/>
        <v/>
      </c>
      <c r="V9308" t="str">
        <f t="shared" si="1537"/>
        <v/>
      </c>
      <c r="W9308" t="str">
        <f t="shared" si="1538"/>
        <v/>
      </c>
      <c r="X9308">
        <f t="shared" si="1528"/>
        <v>0</v>
      </c>
      <c r="Z9308" t="str">
        <f t="shared" si="1539"/>
        <v/>
      </c>
      <c r="AA9308">
        <f t="shared" si="1529"/>
        <v>0</v>
      </c>
    </row>
    <row r="9309" spans="1:27" ht="21" customHeight="1" x14ac:dyDescent="0.95">
      <c r="A9309" s="56"/>
      <c r="B9309" s="57"/>
      <c r="C9309" s="57"/>
      <c r="D9309" s="57"/>
      <c r="E9309" s="56"/>
      <c r="F9309" s="57"/>
      <c r="G9309" s="57"/>
      <c r="H9309" s="56"/>
      <c r="I9309" s="56"/>
      <c r="J9309" s="58"/>
      <c r="K9309" s="58"/>
      <c r="L9309" s="13" t="str">
        <f t="shared" si="1530"/>
        <v/>
      </c>
      <c r="M9309" s="13" t="str">
        <f t="shared" si="1531"/>
        <v/>
      </c>
      <c r="Q9309" t="str">
        <f t="shared" si="1532"/>
        <v/>
      </c>
      <c r="R9309" t="str">
        <f t="shared" si="1533"/>
        <v/>
      </c>
      <c r="S9309" t="str">
        <f t="shared" si="1534"/>
        <v/>
      </c>
      <c r="T9309" t="str">
        <f t="shared" si="1535"/>
        <v/>
      </c>
      <c r="U9309" t="str">
        <f t="shared" si="1536"/>
        <v/>
      </c>
      <c r="V9309" t="str">
        <f t="shared" si="1537"/>
        <v/>
      </c>
      <c r="W9309" t="str">
        <f t="shared" si="1538"/>
        <v/>
      </c>
      <c r="X9309">
        <f t="shared" si="1528"/>
        <v>0</v>
      </c>
      <c r="Z9309" t="str">
        <f t="shared" si="1539"/>
        <v/>
      </c>
      <c r="AA9309">
        <f t="shared" si="1529"/>
        <v>0</v>
      </c>
    </row>
    <row r="9310" spans="1:27" ht="21" customHeight="1" x14ac:dyDescent="0.95">
      <c r="A9310" s="56"/>
      <c r="B9310" s="57"/>
      <c r="C9310" s="57"/>
      <c r="D9310" s="57"/>
      <c r="E9310" s="56"/>
      <c r="F9310" s="57"/>
      <c r="G9310" s="57"/>
      <c r="H9310" s="56"/>
      <c r="I9310" s="56"/>
      <c r="J9310" s="58"/>
      <c r="K9310" s="58"/>
      <c r="L9310" s="13" t="str">
        <f t="shared" si="1530"/>
        <v/>
      </c>
      <c r="M9310" s="13" t="str">
        <f t="shared" si="1531"/>
        <v/>
      </c>
      <c r="Q9310" t="str">
        <f t="shared" si="1532"/>
        <v/>
      </c>
      <c r="R9310" t="str">
        <f t="shared" si="1533"/>
        <v/>
      </c>
      <c r="S9310" t="str">
        <f t="shared" si="1534"/>
        <v/>
      </c>
      <c r="T9310" t="str">
        <f t="shared" si="1535"/>
        <v/>
      </c>
      <c r="U9310" t="str">
        <f t="shared" si="1536"/>
        <v/>
      </c>
      <c r="V9310" t="str">
        <f t="shared" si="1537"/>
        <v/>
      </c>
      <c r="W9310" t="str">
        <f t="shared" si="1538"/>
        <v/>
      </c>
      <c r="X9310">
        <f t="shared" si="1528"/>
        <v>0</v>
      </c>
      <c r="Z9310" t="str">
        <f t="shared" si="1539"/>
        <v/>
      </c>
      <c r="AA9310">
        <f t="shared" si="1529"/>
        <v>0</v>
      </c>
    </row>
    <row r="9311" spans="1:27" ht="21" customHeight="1" x14ac:dyDescent="0.95">
      <c r="A9311" s="56"/>
      <c r="B9311" s="57"/>
      <c r="C9311" s="57"/>
      <c r="D9311" s="57"/>
      <c r="E9311" s="56"/>
      <c r="F9311" s="57"/>
      <c r="G9311" s="57"/>
      <c r="H9311" s="56"/>
      <c r="I9311" s="56"/>
      <c r="J9311" s="58"/>
      <c r="K9311" s="58"/>
      <c r="L9311" s="13" t="str">
        <f t="shared" si="1530"/>
        <v/>
      </c>
      <c r="M9311" s="13" t="str">
        <f t="shared" si="1531"/>
        <v/>
      </c>
      <c r="Q9311" t="str">
        <f t="shared" si="1532"/>
        <v/>
      </c>
      <c r="R9311" t="str">
        <f t="shared" si="1533"/>
        <v/>
      </c>
      <c r="S9311" t="str">
        <f t="shared" si="1534"/>
        <v/>
      </c>
      <c r="T9311" t="str">
        <f t="shared" si="1535"/>
        <v/>
      </c>
      <c r="U9311" t="str">
        <f t="shared" si="1536"/>
        <v/>
      </c>
      <c r="V9311" t="str">
        <f t="shared" si="1537"/>
        <v/>
      </c>
      <c r="W9311" t="str">
        <f t="shared" si="1538"/>
        <v/>
      </c>
      <c r="X9311">
        <f t="shared" si="1528"/>
        <v>0</v>
      </c>
      <c r="Z9311" t="str">
        <f t="shared" si="1539"/>
        <v/>
      </c>
      <c r="AA9311">
        <f t="shared" si="1529"/>
        <v>0</v>
      </c>
    </row>
    <row r="9312" spans="1:27" ht="21" customHeight="1" x14ac:dyDescent="0.95">
      <c r="A9312" s="56"/>
      <c r="B9312" s="57"/>
      <c r="C9312" s="57"/>
      <c r="D9312" s="57"/>
      <c r="E9312" s="56"/>
      <c r="F9312" s="57"/>
      <c r="G9312" s="57"/>
      <c r="H9312" s="56"/>
      <c r="I9312" s="56"/>
      <c r="J9312" s="58"/>
      <c r="K9312" s="58"/>
      <c r="L9312" s="13" t="str">
        <f t="shared" si="1530"/>
        <v/>
      </c>
      <c r="M9312" s="13" t="str">
        <f t="shared" si="1531"/>
        <v/>
      </c>
      <c r="Q9312" t="str">
        <f t="shared" si="1532"/>
        <v/>
      </c>
      <c r="R9312" t="str">
        <f t="shared" si="1533"/>
        <v/>
      </c>
      <c r="S9312" t="str">
        <f t="shared" si="1534"/>
        <v/>
      </c>
      <c r="T9312" t="str">
        <f t="shared" si="1535"/>
        <v/>
      </c>
      <c r="U9312" t="str">
        <f t="shared" si="1536"/>
        <v/>
      </c>
      <c r="V9312" t="str">
        <f t="shared" si="1537"/>
        <v/>
      </c>
      <c r="W9312" t="str">
        <f t="shared" si="1538"/>
        <v/>
      </c>
      <c r="X9312">
        <f t="shared" si="1528"/>
        <v>0</v>
      </c>
      <c r="Z9312" t="str">
        <f t="shared" si="1539"/>
        <v/>
      </c>
      <c r="AA9312">
        <f t="shared" si="1529"/>
        <v>0</v>
      </c>
    </row>
    <row r="9313" spans="1:27" ht="21" customHeight="1" x14ac:dyDescent="0.95">
      <c r="A9313" s="56"/>
      <c r="B9313" s="57"/>
      <c r="C9313" s="57"/>
      <c r="D9313" s="57"/>
      <c r="E9313" s="56"/>
      <c r="F9313" s="57"/>
      <c r="G9313" s="57"/>
      <c r="H9313" s="56"/>
      <c r="I9313" s="56"/>
      <c r="J9313" s="58"/>
      <c r="K9313" s="58"/>
      <c r="L9313" s="13" t="str">
        <f t="shared" si="1530"/>
        <v/>
      </c>
      <c r="M9313" s="13" t="str">
        <f t="shared" si="1531"/>
        <v/>
      </c>
      <c r="Q9313" t="str">
        <f t="shared" si="1532"/>
        <v/>
      </c>
      <c r="R9313" t="str">
        <f t="shared" si="1533"/>
        <v/>
      </c>
      <c r="S9313" t="str">
        <f t="shared" si="1534"/>
        <v/>
      </c>
      <c r="T9313" t="str">
        <f t="shared" si="1535"/>
        <v/>
      </c>
      <c r="U9313" t="str">
        <f t="shared" si="1536"/>
        <v/>
      </c>
      <c r="V9313" t="str">
        <f t="shared" si="1537"/>
        <v/>
      </c>
      <c r="W9313" t="str">
        <f t="shared" si="1538"/>
        <v/>
      </c>
      <c r="X9313">
        <f t="shared" si="1528"/>
        <v>0</v>
      </c>
      <c r="Z9313" t="str">
        <f t="shared" si="1539"/>
        <v/>
      </c>
      <c r="AA9313">
        <f t="shared" si="1529"/>
        <v>0</v>
      </c>
    </row>
    <row r="9314" spans="1:27" ht="21" customHeight="1" x14ac:dyDescent="0.95">
      <c r="A9314" s="56"/>
      <c r="B9314" s="57"/>
      <c r="C9314" s="57"/>
      <c r="D9314" s="57"/>
      <c r="E9314" s="56"/>
      <c r="F9314" s="57"/>
      <c r="G9314" s="57"/>
      <c r="H9314" s="56"/>
      <c r="I9314" s="56"/>
      <c r="J9314" s="58"/>
      <c r="K9314" s="58"/>
      <c r="L9314" s="13" t="str">
        <f t="shared" si="1530"/>
        <v/>
      </c>
      <c r="M9314" s="13" t="str">
        <f t="shared" si="1531"/>
        <v/>
      </c>
      <c r="Q9314" t="str">
        <f t="shared" si="1532"/>
        <v/>
      </c>
      <c r="R9314" t="str">
        <f t="shared" si="1533"/>
        <v/>
      </c>
      <c r="S9314" t="str">
        <f t="shared" si="1534"/>
        <v/>
      </c>
      <c r="T9314" t="str">
        <f t="shared" si="1535"/>
        <v/>
      </c>
      <c r="U9314" t="str">
        <f t="shared" si="1536"/>
        <v/>
      </c>
      <c r="V9314" t="str">
        <f t="shared" si="1537"/>
        <v/>
      </c>
      <c r="W9314" t="str">
        <f t="shared" si="1538"/>
        <v/>
      </c>
      <c r="X9314">
        <f t="shared" si="1528"/>
        <v>0</v>
      </c>
      <c r="Z9314" t="str">
        <f t="shared" si="1539"/>
        <v/>
      </c>
      <c r="AA9314">
        <f t="shared" si="1529"/>
        <v>0</v>
      </c>
    </row>
    <row r="9315" spans="1:27" ht="21" customHeight="1" x14ac:dyDescent="0.95">
      <c r="A9315" s="56"/>
      <c r="B9315" s="57"/>
      <c r="C9315" s="57"/>
      <c r="D9315" s="57"/>
      <c r="E9315" s="56"/>
      <c r="F9315" s="57"/>
      <c r="G9315" s="57"/>
      <c r="H9315" s="56"/>
      <c r="I9315" s="56"/>
      <c r="J9315" s="58"/>
      <c r="K9315" s="58"/>
      <c r="L9315" s="13" t="str">
        <f t="shared" si="1530"/>
        <v/>
      </c>
      <c r="M9315" s="13" t="str">
        <f t="shared" si="1531"/>
        <v/>
      </c>
      <c r="Q9315" t="str">
        <f t="shared" si="1532"/>
        <v/>
      </c>
      <c r="R9315" t="str">
        <f t="shared" si="1533"/>
        <v/>
      </c>
      <c r="S9315" t="str">
        <f t="shared" si="1534"/>
        <v/>
      </c>
      <c r="T9315" t="str">
        <f t="shared" si="1535"/>
        <v/>
      </c>
      <c r="U9315" t="str">
        <f t="shared" si="1536"/>
        <v/>
      </c>
      <c r="V9315" t="str">
        <f t="shared" si="1537"/>
        <v/>
      </c>
      <c r="W9315" t="str">
        <f t="shared" si="1538"/>
        <v/>
      </c>
      <c r="X9315">
        <f t="shared" si="1528"/>
        <v>0</v>
      </c>
      <c r="Z9315" t="str">
        <f t="shared" si="1539"/>
        <v/>
      </c>
      <c r="AA9315">
        <f t="shared" si="1529"/>
        <v>0</v>
      </c>
    </row>
    <row r="9316" spans="1:27" ht="21" customHeight="1" x14ac:dyDescent="0.95">
      <c r="A9316" s="56"/>
      <c r="B9316" s="57"/>
      <c r="C9316" s="57"/>
      <c r="D9316" s="57"/>
      <c r="E9316" s="56"/>
      <c r="F9316" s="57"/>
      <c r="G9316" s="57"/>
      <c r="H9316" s="56"/>
      <c r="I9316" s="56"/>
      <c r="J9316" s="58"/>
      <c r="K9316" s="58"/>
      <c r="L9316" s="13" t="str">
        <f t="shared" si="1530"/>
        <v/>
      </c>
      <c r="M9316" s="13" t="str">
        <f t="shared" si="1531"/>
        <v/>
      </c>
      <c r="Q9316" t="str">
        <f t="shared" si="1532"/>
        <v/>
      </c>
      <c r="R9316" t="str">
        <f t="shared" si="1533"/>
        <v/>
      </c>
      <c r="S9316" t="str">
        <f t="shared" si="1534"/>
        <v/>
      </c>
      <c r="T9316" t="str">
        <f t="shared" si="1535"/>
        <v/>
      </c>
      <c r="U9316" t="str">
        <f t="shared" si="1536"/>
        <v/>
      </c>
      <c r="V9316" t="str">
        <f t="shared" si="1537"/>
        <v/>
      </c>
      <c r="W9316" t="str">
        <f t="shared" si="1538"/>
        <v/>
      </c>
      <c r="X9316">
        <f t="shared" si="1528"/>
        <v>0</v>
      </c>
      <c r="Z9316" t="str">
        <f t="shared" si="1539"/>
        <v/>
      </c>
      <c r="AA9316">
        <f t="shared" si="1529"/>
        <v>0</v>
      </c>
    </row>
    <row r="9317" spans="1:27" ht="21" customHeight="1" x14ac:dyDescent="0.95">
      <c r="A9317" s="56"/>
      <c r="B9317" s="57"/>
      <c r="C9317" s="57"/>
      <c r="D9317" s="57"/>
      <c r="E9317" s="56"/>
      <c r="F9317" s="57"/>
      <c r="G9317" s="57"/>
      <c r="H9317" s="56"/>
      <c r="I9317" s="56"/>
      <c r="J9317" s="58"/>
      <c r="K9317" s="58"/>
      <c r="L9317" s="13" t="str">
        <f t="shared" si="1530"/>
        <v/>
      </c>
      <c r="M9317" s="13" t="str">
        <f t="shared" si="1531"/>
        <v/>
      </c>
      <c r="Q9317" t="str">
        <f t="shared" si="1532"/>
        <v/>
      </c>
      <c r="R9317" t="str">
        <f t="shared" si="1533"/>
        <v/>
      </c>
      <c r="S9317" t="str">
        <f t="shared" si="1534"/>
        <v/>
      </c>
      <c r="T9317" t="str">
        <f t="shared" si="1535"/>
        <v/>
      </c>
      <c r="U9317" t="str">
        <f t="shared" si="1536"/>
        <v/>
      </c>
      <c r="V9317" t="str">
        <f t="shared" si="1537"/>
        <v/>
      </c>
      <c r="W9317" t="str">
        <f t="shared" si="1538"/>
        <v/>
      </c>
      <c r="X9317">
        <f t="shared" si="1528"/>
        <v>0</v>
      </c>
      <c r="Z9317" t="str">
        <f t="shared" si="1539"/>
        <v/>
      </c>
      <c r="AA9317">
        <f t="shared" si="1529"/>
        <v>0</v>
      </c>
    </row>
    <row r="9318" spans="1:27" ht="21" customHeight="1" x14ac:dyDescent="0.95">
      <c r="A9318" s="56"/>
      <c r="B9318" s="57"/>
      <c r="C9318" s="57"/>
      <c r="D9318" s="57"/>
      <c r="E9318" s="56"/>
      <c r="F9318" s="57"/>
      <c r="G9318" s="57"/>
      <c r="H9318" s="56"/>
      <c r="I9318" s="56"/>
      <c r="J9318" s="58"/>
      <c r="K9318" s="58"/>
      <c r="L9318" s="13" t="str">
        <f t="shared" si="1530"/>
        <v/>
      </c>
      <c r="M9318" s="13" t="str">
        <f t="shared" si="1531"/>
        <v/>
      </c>
      <c r="Q9318" t="str">
        <f t="shared" si="1532"/>
        <v/>
      </c>
      <c r="R9318" t="str">
        <f t="shared" si="1533"/>
        <v/>
      </c>
      <c r="S9318" t="str">
        <f t="shared" si="1534"/>
        <v/>
      </c>
      <c r="T9318" t="str">
        <f t="shared" si="1535"/>
        <v/>
      </c>
      <c r="U9318" t="str">
        <f t="shared" si="1536"/>
        <v/>
      </c>
      <c r="V9318" t="str">
        <f t="shared" si="1537"/>
        <v/>
      </c>
      <c r="W9318" t="str">
        <f t="shared" si="1538"/>
        <v/>
      </c>
      <c r="X9318">
        <f t="shared" si="1528"/>
        <v>0</v>
      </c>
      <c r="Z9318" t="str">
        <f t="shared" si="1539"/>
        <v/>
      </c>
      <c r="AA9318">
        <f t="shared" si="1529"/>
        <v>0</v>
      </c>
    </row>
    <row r="9319" spans="1:27" ht="21" customHeight="1" x14ac:dyDescent="0.95">
      <c r="A9319" s="56"/>
      <c r="B9319" s="57"/>
      <c r="C9319" s="57"/>
      <c r="D9319" s="57"/>
      <c r="E9319" s="56"/>
      <c r="F9319" s="57"/>
      <c r="G9319" s="57"/>
      <c r="H9319" s="56"/>
      <c r="I9319" s="56"/>
      <c r="J9319" s="58"/>
      <c r="K9319" s="58"/>
      <c r="L9319" s="13" t="str">
        <f t="shared" si="1530"/>
        <v/>
      </c>
      <c r="M9319" s="13" t="str">
        <f t="shared" si="1531"/>
        <v/>
      </c>
      <c r="Q9319" t="str">
        <f t="shared" si="1532"/>
        <v/>
      </c>
      <c r="R9319" t="str">
        <f t="shared" si="1533"/>
        <v/>
      </c>
      <c r="S9319" t="str">
        <f t="shared" si="1534"/>
        <v/>
      </c>
      <c r="T9319" t="str">
        <f t="shared" si="1535"/>
        <v/>
      </c>
      <c r="U9319" t="str">
        <f t="shared" si="1536"/>
        <v/>
      </c>
      <c r="V9319" t="str">
        <f t="shared" si="1537"/>
        <v/>
      </c>
      <c r="W9319" t="str">
        <f t="shared" si="1538"/>
        <v/>
      </c>
      <c r="X9319">
        <f t="shared" si="1528"/>
        <v>0</v>
      </c>
      <c r="Z9319" t="str">
        <f t="shared" si="1539"/>
        <v/>
      </c>
      <c r="AA9319">
        <f t="shared" si="1529"/>
        <v>0</v>
      </c>
    </row>
    <row r="9320" spans="1:27" ht="21" customHeight="1" x14ac:dyDescent="0.95">
      <c r="A9320" s="56"/>
      <c r="B9320" s="57"/>
      <c r="C9320" s="57"/>
      <c r="D9320" s="57"/>
      <c r="E9320" s="56"/>
      <c r="F9320" s="57"/>
      <c r="G9320" s="57"/>
      <c r="H9320" s="56"/>
      <c r="I9320" s="56"/>
      <c r="J9320" s="58"/>
      <c r="K9320" s="58"/>
      <c r="L9320" s="13" t="str">
        <f t="shared" si="1530"/>
        <v/>
      </c>
      <c r="M9320" s="13" t="str">
        <f t="shared" si="1531"/>
        <v/>
      </c>
      <c r="Q9320" t="str">
        <f t="shared" si="1532"/>
        <v/>
      </c>
      <c r="R9320" t="str">
        <f t="shared" si="1533"/>
        <v/>
      </c>
      <c r="S9320" t="str">
        <f t="shared" si="1534"/>
        <v/>
      </c>
      <c r="T9320" t="str">
        <f t="shared" si="1535"/>
        <v/>
      </c>
      <c r="U9320" t="str">
        <f t="shared" si="1536"/>
        <v/>
      </c>
      <c r="V9320" t="str">
        <f t="shared" si="1537"/>
        <v/>
      </c>
      <c r="W9320" t="str">
        <f t="shared" si="1538"/>
        <v/>
      </c>
      <c r="X9320">
        <f t="shared" si="1528"/>
        <v>0</v>
      </c>
      <c r="Z9320" t="str">
        <f t="shared" si="1539"/>
        <v/>
      </c>
      <c r="AA9320">
        <f t="shared" si="1529"/>
        <v>0</v>
      </c>
    </row>
    <row r="9321" spans="1:27" ht="21" customHeight="1" x14ac:dyDescent="0.95">
      <c r="A9321" s="56"/>
      <c r="B9321" s="57"/>
      <c r="C9321" s="57"/>
      <c r="D9321" s="57"/>
      <c r="E9321" s="56"/>
      <c r="F9321" s="57"/>
      <c r="G9321" s="57"/>
      <c r="H9321" s="56"/>
      <c r="I9321" s="56"/>
      <c r="J9321" s="58"/>
      <c r="K9321" s="58"/>
      <c r="L9321" s="13" t="str">
        <f t="shared" si="1530"/>
        <v/>
      </c>
      <c r="M9321" s="13" t="str">
        <f t="shared" si="1531"/>
        <v/>
      </c>
      <c r="Q9321" t="str">
        <f t="shared" si="1532"/>
        <v/>
      </c>
      <c r="R9321" t="str">
        <f t="shared" si="1533"/>
        <v/>
      </c>
      <c r="S9321" t="str">
        <f t="shared" si="1534"/>
        <v/>
      </c>
      <c r="T9321" t="str">
        <f t="shared" si="1535"/>
        <v/>
      </c>
      <c r="U9321" t="str">
        <f t="shared" si="1536"/>
        <v/>
      </c>
      <c r="V9321" t="str">
        <f t="shared" si="1537"/>
        <v/>
      </c>
      <c r="W9321" t="str">
        <f t="shared" si="1538"/>
        <v/>
      </c>
      <c r="X9321">
        <f t="shared" si="1528"/>
        <v>0</v>
      </c>
      <c r="Z9321" t="str">
        <f t="shared" si="1539"/>
        <v/>
      </c>
      <c r="AA9321">
        <f t="shared" si="1529"/>
        <v>0</v>
      </c>
    </row>
    <row r="9322" spans="1:27" ht="21" customHeight="1" x14ac:dyDescent="0.95">
      <c r="A9322" s="56"/>
      <c r="B9322" s="57"/>
      <c r="C9322" s="57"/>
      <c r="D9322" s="57"/>
      <c r="E9322" s="56"/>
      <c r="F9322" s="57"/>
      <c r="G9322" s="57"/>
      <c r="H9322" s="56"/>
      <c r="I9322" s="56"/>
      <c r="J9322" s="58"/>
      <c r="K9322" s="58"/>
      <c r="L9322" s="13" t="str">
        <f t="shared" si="1530"/>
        <v/>
      </c>
      <c r="M9322" s="13" t="str">
        <f t="shared" si="1531"/>
        <v/>
      </c>
      <c r="Q9322" t="str">
        <f t="shared" si="1532"/>
        <v/>
      </c>
      <c r="R9322" t="str">
        <f t="shared" si="1533"/>
        <v/>
      </c>
      <c r="S9322" t="str">
        <f t="shared" si="1534"/>
        <v/>
      </c>
      <c r="T9322" t="str">
        <f t="shared" si="1535"/>
        <v/>
      </c>
      <c r="U9322" t="str">
        <f t="shared" si="1536"/>
        <v/>
      </c>
      <c r="V9322" t="str">
        <f t="shared" si="1537"/>
        <v/>
      </c>
      <c r="W9322" t="str">
        <f t="shared" si="1538"/>
        <v/>
      </c>
      <c r="X9322">
        <f t="shared" si="1528"/>
        <v>0</v>
      </c>
      <c r="Z9322" t="str">
        <f t="shared" si="1539"/>
        <v/>
      </c>
      <c r="AA9322">
        <f t="shared" si="1529"/>
        <v>0</v>
      </c>
    </row>
    <row r="9323" spans="1:27" ht="21" customHeight="1" x14ac:dyDescent="0.95">
      <c r="A9323" s="56"/>
      <c r="B9323" s="57"/>
      <c r="C9323" s="57"/>
      <c r="D9323" s="57"/>
      <c r="E9323" s="56"/>
      <c r="F9323" s="57"/>
      <c r="G9323" s="57"/>
      <c r="H9323" s="56"/>
      <c r="I9323" s="56"/>
      <c r="J9323" s="58"/>
      <c r="K9323" s="58"/>
      <c r="L9323" s="13" t="str">
        <f t="shared" si="1530"/>
        <v/>
      </c>
      <c r="M9323" s="13" t="str">
        <f t="shared" si="1531"/>
        <v/>
      </c>
      <c r="Q9323" t="str">
        <f t="shared" si="1532"/>
        <v/>
      </c>
      <c r="R9323" t="str">
        <f t="shared" si="1533"/>
        <v/>
      </c>
      <c r="S9323" t="str">
        <f t="shared" si="1534"/>
        <v/>
      </c>
      <c r="T9323" t="str">
        <f t="shared" si="1535"/>
        <v/>
      </c>
      <c r="U9323" t="str">
        <f t="shared" si="1536"/>
        <v/>
      </c>
      <c r="V9323" t="str">
        <f t="shared" si="1537"/>
        <v/>
      </c>
      <c r="W9323" t="str">
        <f t="shared" si="1538"/>
        <v/>
      </c>
      <c r="X9323">
        <f t="shared" si="1528"/>
        <v>0</v>
      </c>
      <c r="Z9323" t="str">
        <f t="shared" si="1539"/>
        <v/>
      </c>
      <c r="AA9323">
        <f t="shared" si="1529"/>
        <v>0</v>
      </c>
    </row>
    <row r="9324" spans="1:27" ht="21" customHeight="1" x14ac:dyDescent="0.95">
      <c r="A9324" s="56"/>
      <c r="B9324" s="57"/>
      <c r="C9324" s="57"/>
      <c r="D9324" s="57"/>
      <c r="E9324" s="56"/>
      <c r="F9324" s="57"/>
      <c r="G9324" s="57"/>
      <c r="H9324" s="56"/>
      <c r="I9324" s="56"/>
      <c r="J9324" s="58"/>
      <c r="K9324" s="58"/>
      <c r="L9324" s="13" t="str">
        <f t="shared" si="1530"/>
        <v/>
      </c>
      <c r="M9324" s="13" t="str">
        <f t="shared" si="1531"/>
        <v/>
      </c>
      <c r="Q9324" t="str">
        <f t="shared" si="1532"/>
        <v/>
      </c>
      <c r="R9324" t="str">
        <f t="shared" si="1533"/>
        <v/>
      </c>
      <c r="S9324" t="str">
        <f t="shared" si="1534"/>
        <v/>
      </c>
      <c r="T9324" t="str">
        <f t="shared" si="1535"/>
        <v/>
      </c>
      <c r="U9324" t="str">
        <f t="shared" si="1536"/>
        <v/>
      </c>
      <c r="V9324" t="str">
        <f t="shared" si="1537"/>
        <v/>
      </c>
      <c r="W9324" t="str">
        <f t="shared" si="1538"/>
        <v/>
      </c>
      <c r="X9324">
        <f t="shared" si="1528"/>
        <v>0</v>
      </c>
      <c r="Z9324" t="str">
        <f t="shared" si="1539"/>
        <v/>
      </c>
      <c r="AA9324">
        <f t="shared" si="1529"/>
        <v>0</v>
      </c>
    </row>
    <row r="9325" spans="1:27" ht="21" customHeight="1" x14ac:dyDescent="0.95">
      <c r="A9325" s="56"/>
      <c r="B9325" s="57"/>
      <c r="C9325" s="57"/>
      <c r="D9325" s="57"/>
      <c r="E9325" s="56"/>
      <c r="F9325" s="57"/>
      <c r="G9325" s="57"/>
      <c r="H9325" s="56"/>
      <c r="I9325" s="56"/>
      <c r="J9325" s="58"/>
      <c r="K9325" s="58"/>
      <c r="L9325" s="13" t="str">
        <f t="shared" si="1530"/>
        <v/>
      </c>
      <c r="M9325" s="13" t="str">
        <f t="shared" si="1531"/>
        <v/>
      </c>
      <c r="Q9325" t="str">
        <f t="shared" si="1532"/>
        <v/>
      </c>
      <c r="R9325" t="str">
        <f t="shared" si="1533"/>
        <v/>
      </c>
      <c r="S9325" t="str">
        <f t="shared" si="1534"/>
        <v/>
      </c>
      <c r="T9325" t="str">
        <f t="shared" si="1535"/>
        <v/>
      </c>
      <c r="U9325" t="str">
        <f t="shared" si="1536"/>
        <v/>
      </c>
      <c r="V9325" t="str">
        <f t="shared" si="1537"/>
        <v/>
      </c>
      <c r="W9325" t="str">
        <f t="shared" si="1538"/>
        <v/>
      </c>
      <c r="X9325">
        <f t="shared" si="1528"/>
        <v>0</v>
      </c>
      <c r="Z9325" t="str">
        <f t="shared" si="1539"/>
        <v/>
      </c>
      <c r="AA9325">
        <f t="shared" si="1529"/>
        <v>0</v>
      </c>
    </row>
    <row r="9326" spans="1:27" ht="21" customHeight="1" x14ac:dyDescent="0.95">
      <c r="A9326" s="56"/>
      <c r="B9326" s="57"/>
      <c r="C9326" s="57"/>
      <c r="D9326" s="57"/>
      <c r="E9326" s="56"/>
      <c r="F9326" s="57"/>
      <c r="G9326" s="57"/>
      <c r="H9326" s="56"/>
      <c r="I9326" s="56"/>
      <c r="J9326" s="58"/>
      <c r="K9326" s="58"/>
      <c r="L9326" s="13" t="str">
        <f t="shared" si="1530"/>
        <v/>
      </c>
      <c r="M9326" s="13" t="str">
        <f t="shared" si="1531"/>
        <v/>
      </c>
      <c r="Q9326" t="str">
        <f t="shared" si="1532"/>
        <v/>
      </c>
      <c r="R9326" t="str">
        <f t="shared" si="1533"/>
        <v/>
      </c>
      <c r="S9326" t="str">
        <f t="shared" si="1534"/>
        <v/>
      </c>
      <c r="T9326" t="str">
        <f t="shared" si="1535"/>
        <v/>
      </c>
      <c r="U9326" t="str">
        <f t="shared" si="1536"/>
        <v/>
      </c>
      <c r="V9326" t="str">
        <f t="shared" si="1537"/>
        <v/>
      </c>
      <c r="W9326" t="str">
        <f t="shared" si="1538"/>
        <v/>
      </c>
      <c r="X9326">
        <f t="shared" si="1528"/>
        <v>0</v>
      </c>
      <c r="Z9326" t="str">
        <f t="shared" si="1539"/>
        <v/>
      </c>
      <c r="AA9326">
        <f t="shared" si="1529"/>
        <v>0</v>
      </c>
    </row>
    <row r="9327" spans="1:27" ht="21" customHeight="1" x14ac:dyDescent="0.95">
      <c r="A9327" s="56"/>
      <c r="B9327" s="57"/>
      <c r="C9327" s="57"/>
      <c r="D9327" s="57"/>
      <c r="E9327" s="56"/>
      <c r="F9327" s="57"/>
      <c r="G9327" s="57"/>
      <c r="H9327" s="56"/>
      <c r="I9327" s="56"/>
      <c r="J9327" s="58"/>
      <c r="K9327" s="58"/>
      <c r="L9327" s="13" t="str">
        <f t="shared" si="1530"/>
        <v/>
      </c>
      <c r="M9327" s="13" t="str">
        <f t="shared" si="1531"/>
        <v/>
      </c>
      <c r="Q9327" t="str">
        <f t="shared" si="1532"/>
        <v/>
      </c>
      <c r="R9327" t="str">
        <f t="shared" si="1533"/>
        <v/>
      </c>
      <c r="S9327" t="str">
        <f t="shared" si="1534"/>
        <v/>
      </c>
      <c r="T9327" t="str">
        <f t="shared" si="1535"/>
        <v/>
      </c>
      <c r="U9327" t="str">
        <f t="shared" si="1536"/>
        <v/>
      </c>
      <c r="V9327" t="str">
        <f t="shared" si="1537"/>
        <v/>
      </c>
      <c r="W9327" t="str">
        <f t="shared" si="1538"/>
        <v/>
      </c>
      <c r="X9327">
        <f t="shared" si="1528"/>
        <v>0</v>
      </c>
      <c r="Z9327" t="str">
        <f t="shared" si="1539"/>
        <v/>
      </c>
      <c r="AA9327">
        <f t="shared" si="1529"/>
        <v>0</v>
      </c>
    </row>
    <row r="9328" spans="1:27" ht="21" customHeight="1" x14ac:dyDescent="0.95">
      <c r="A9328" s="56"/>
      <c r="B9328" s="57"/>
      <c r="C9328" s="57"/>
      <c r="D9328" s="57"/>
      <c r="E9328" s="56"/>
      <c r="F9328" s="57"/>
      <c r="G9328" s="57"/>
      <c r="H9328" s="56"/>
      <c r="I9328" s="56"/>
      <c r="J9328" s="58"/>
      <c r="K9328" s="58"/>
      <c r="L9328" s="13" t="str">
        <f t="shared" si="1530"/>
        <v/>
      </c>
      <c r="M9328" s="13" t="str">
        <f t="shared" si="1531"/>
        <v/>
      </c>
      <c r="Q9328" t="str">
        <f t="shared" si="1532"/>
        <v/>
      </c>
      <c r="R9328" t="str">
        <f t="shared" si="1533"/>
        <v/>
      </c>
      <c r="S9328" t="str">
        <f t="shared" si="1534"/>
        <v/>
      </c>
      <c r="T9328" t="str">
        <f t="shared" si="1535"/>
        <v/>
      </c>
      <c r="U9328" t="str">
        <f t="shared" si="1536"/>
        <v/>
      </c>
      <c r="V9328" t="str">
        <f t="shared" si="1537"/>
        <v/>
      </c>
      <c r="W9328" t="str">
        <f t="shared" si="1538"/>
        <v/>
      </c>
      <c r="X9328">
        <f t="shared" si="1528"/>
        <v>0</v>
      </c>
      <c r="Z9328" t="str">
        <f t="shared" si="1539"/>
        <v/>
      </c>
      <c r="AA9328">
        <f t="shared" si="1529"/>
        <v>0</v>
      </c>
    </row>
    <row r="9329" spans="1:27" ht="21" customHeight="1" x14ac:dyDescent="0.95">
      <c r="A9329" s="56"/>
      <c r="B9329" s="57"/>
      <c r="C9329" s="57"/>
      <c r="D9329" s="57"/>
      <c r="E9329" s="56"/>
      <c r="F9329" s="57"/>
      <c r="G9329" s="57"/>
      <c r="H9329" s="56"/>
      <c r="I9329" s="56"/>
      <c r="J9329" s="58"/>
      <c r="K9329" s="58"/>
      <c r="L9329" s="13" t="str">
        <f t="shared" si="1530"/>
        <v/>
      </c>
      <c r="M9329" s="13" t="str">
        <f t="shared" si="1531"/>
        <v/>
      </c>
      <c r="Q9329" t="str">
        <f t="shared" si="1532"/>
        <v/>
      </c>
      <c r="R9329" t="str">
        <f t="shared" si="1533"/>
        <v/>
      </c>
      <c r="S9329" t="str">
        <f t="shared" si="1534"/>
        <v/>
      </c>
      <c r="T9329" t="str">
        <f t="shared" si="1535"/>
        <v/>
      </c>
      <c r="U9329" t="str">
        <f t="shared" si="1536"/>
        <v/>
      </c>
      <c r="V9329" t="str">
        <f t="shared" si="1537"/>
        <v/>
      </c>
      <c r="W9329" t="str">
        <f t="shared" si="1538"/>
        <v/>
      </c>
      <c r="X9329">
        <f t="shared" si="1528"/>
        <v>0</v>
      </c>
      <c r="Z9329" t="str">
        <f t="shared" si="1539"/>
        <v/>
      </c>
      <c r="AA9329">
        <f t="shared" si="1529"/>
        <v>0</v>
      </c>
    </row>
    <row r="9330" spans="1:27" ht="21" customHeight="1" x14ac:dyDescent="0.95">
      <c r="A9330" s="56"/>
      <c r="B9330" s="57"/>
      <c r="C9330" s="57"/>
      <c r="D9330" s="57"/>
      <c r="E9330" s="56"/>
      <c r="F9330" s="57"/>
      <c r="G9330" s="57"/>
      <c r="H9330" s="56"/>
      <c r="I9330" s="56"/>
      <c r="J9330" s="58"/>
      <c r="K9330" s="58"/>
      <c r="L9330" s="13" t="str">
        <f t="shared" si="1530"/>
        <v/>
      </c>
      <c r="M9330" s="13" t="str">
        <f t="shared" si="1531"/>
        <v/>
      </c>
      <c r="Q9330" t="str">
        <f t="shared" si="1532"/>
        <v/>
      </c>
      <c r="R9330" t="str">
        <f t="shared" si="1533"/>
        <v/>
      </c>
      <c r="S9330" t="str">
        <f t="shared" si="1534"/>
        <v/>
      </c>
      <c r="T9330" t="str">
        <f t="shared" si="1535"/>
        <v/>
      </c>
      <c r="U9330" t="str">
        <f t="shared" si="1536"/>
        <v/>
      </c>
      <c r="V9330" t="str">
        <f t="shared" si="1537"/>
        <v/>
      </c>
      <c r="W9330" t="str">
        <f t="shared" si="1538"/>
        <v/>
      </c>
      <c r="X9330">
        <f t="shared" si="1528"/>
        <v>0</v>
      </c>
      <c r="Z9330" t="str">
        <f t="shared" si="1539"/>
        <v/>
      </c>
      <c r="AA9330">
        <f t="shared" si="1529"/>
        <v>0</v>
      </c>
    </row>
    <row r="9331" spans="1:27" ht="21" customHeight="1" x14ac:dyDescent="0.95">
      <c r="A9331" s="56"/>
      <c r="B9331" s="57"/>
      <c r="C9331" s="57"/>
      <c r="D9331" s="57"/>
      <c r="E9331" s="56"/>
      <c r="F9331" s="57"/>
      <c r="G9331" s="57"/>
      <c r="H9331" s="56"/>
      <c r="I9331" s="56"/>
      <c r="J9331" s="58"/>
      <c r="K9331" s="58"/>
      <c r="L9331" s="13" t="str">
        <f t="shared" si="1530"/>
        <v/>
      </c>
      <c r="M9331" s="13" t="str">
        <f t="shared" si="1531"/>
        <v/>
      </c>
      <c r="Q9331" t="str">
        <f t="shared" si="1532"/>
        <v/>
      </c>
      <c r="R9331" t="str">
        <f t="shared" si="1533"/>
        <v/>
      </c>
      <c r="S9331" t="str">
        <f t="shared" si="1534"/>
        <v/>
      </c>
      <c r="T9331" t="str">
        <f t="shared" si="1535"/>
        <v/>
      </c>
      <c r="U9331" t="str">
        <f t="shared" si="1536"/>
        <v/>
      </c>
      <c r="V9331" t="str">
        <f t="shared" si="1537"/>
        <v/>
      </c>
      <c r="W9331" t="str">
        <f t="shared" si="1538"/>
        <v/>
      </c>
      <c r="X9331">
        <f t="shared" si="1528"/>
        <v>0</v>
      </c>
      <c r="Z9331" t="str">
        <f t="shared" si="1539"/>
        <v/>
      </c>
      <c r="AA9331">
        <f t="shared" si="1529"/>
        <v>0</v>
      </c>
    </row>
    <row r="9332" spans="1:27" ht="21" customHeight="1" x14ac:dyDescent="0.95">
      <c r="A9332" s="56"/>
      <c r="B9332" s="57"/>
      <c r="C9332" s="57"/>
      <c r="D9332" s="57"/>
      <c r="E9332" s="56"/>
      <c r="F9332" s="57"/>
      <c r="G9332" s="57"/>
      <c r="H9332" s="56"/>
      <c r="I9332" s="56"/>
      <c r="J9332" s="58"/>
      <c r="K9332" s="58"/>
      <c r="L9332" s="13" t="str">
        <f t="shared" si="1530"/>
        <v/>
      </c>
      <c r="M9332" s="13" t="str">
        <f t="shared" si="1531"/>
        <v/>
      </c>
      <c r="Q9332" t="str">
        <f t="shared" si="1532"/>
        <v/>
      </c>
      <c r="R9332" t="str">
        <f t="shared" si="1533"/>
        <v/>
      </c>
      <c r="S9332" t="str">
        <f t="shared" si="1534"/>
        <v/>
      </c>
      <c r="T9332" t="str">
        <f t="shared" si="1535"/>
        <v/>
      </c>
      <c r="U9332" t="str">
        <f t="shared" si="1536"/>
        <v/>
      </c>
      <c r="V9332" t="str">
        <f t="shared" si="1537"/>
        <v/>
      </c>
      <c r="W9332" t="str">
        <f t="shared" si="1538"/>
        <v/>
      </c>
      <c r="X9332">
        <f t="shared" si="1528"/>
        <v>0</v>
      </c>
      <c r="Z9332" t="str">
        <f t="shared" si="1539"/>
        <v/>
      </c>
      <c r="AA9332">
        <f t="shared" si="1529"/>
        <v>0</v>
      </c>
    </row>
    <row r="9333" spans="1:27" ht="21" customHeight="1" x14ac:dyDescent="0.95">
      <c r="A9333" s="56"/>
      <c r="B9333" s="57"/>
      <c r="C9333" s="57"/>
      <c r="D9333" s="57"/>
      <c r="E9333" s="56"/>
      <c r="F9333" s="57"/>
      <c r="G9333" s="57"/>
      <c r="H9333" s="56"/>
      <c r="I9333" s="56"/>
      <c r="J9333" s="58"/>
      <c r="K9333" s="58"/>
      <c r="L9333" s="13" t="str">
        <f t="shared" si="1530"/>
        <v/>
      </c>
      <c r="M9333" s="13" t="str">
        <f t="shared" si="1531"/>
        <v/>
      </c>
      <c r="Q9333" t="str">
        <f t="shared" si="1532"/>
        <v/>
      </c>
      <c r="R9333" t="str">
        <f t="shared" si="1533"/>
        <v/>
      </c>
      <c r="S9333" t="str">
        <f t="shared" si="1534"/>
        <v/>
      </c>
      <c r="T9333" t="str">
        <f t="shared" si="1535"/>
        <v/>
      </c>
      <c r="U9333" t="str">
        <f t="shared" si="1536"/>
        <v/>
      </c>
      <c r="V9333" t="str">
        <f t="shared" si="1537"/>
        <v/>
      </c>
      <c r="W9333" t="str">
        <f t="shared" si="1538"/>
        <v/>
      </c>
      <c r="X9333">
        <f t="shared" ref="X9333:X9396" si="1540">IF($T9333="",N($X9332),IF(MATCH($T9333,$T$6:$T$10005,0)=ROW()-5,N($X9332)+1,N($X9332)))</f>
        <v>0</v>
      </c>
      <c r="Z9333" t="str">
        <f t="shared" si="1539"/>
        <v/>
      </c>
      <c r="AA9333">
        <f t="shared" ref="AA9333:AA9396" si="1541">IF($V9333="",N($AA9332),IF(MATCH($V9333,$V$6:$V$10005,0)=ROW()-5,N($AA9332)+1,N($AA9332)))</f>
        <v>0</v>
      </c>
    </row>
    <row r="9334" spans="1:27" ht="21" customHeight="1" x14ac:dyDescent="0.95">
      <c r="A9334" s="56"/>
      <c r="B9334" s="57"/>
      <c r="C9334" s="57"/>
      <c r="D9334" s="57"/>
      <c r="E9334" s="56"/>
      <c r="F9334" s="57"/>
      <c r="G9334" s="57"/>
      <c r="H9334" s="56"/>
      <c r="I9334" s="56"/>
      <c r="J9334" s="58"/>
      <c r="K9334" s="58"/>
      <c r="L9334" s="13" t="str">
        <f t="shared" si="1530"/>
        <v/>
      </c>
      <c r="M9334" s="13" t="str">
        <f t="shared" si="1531"/>
        <v/>
      </c>
      <c r="Q9334" t="str">
        <f t="shared" si="1532"/>
        <v/>
      </c>
      <c r="R9334" t="str">
        <f t="shared" si="1533"/>
        <v/>
      </c>
      <c r="S9334" t="str">
        <f t="shared" si="1534"/>
        <v/>
      </c>
      <c r="T9334" t="str">
        <f t="shared" si="1535"/>
        <v/>
      </c>
      <c r="U9334" t="str">
        <f t="shared" si="1536"/>
        <v/>
      </c>
      <c r="V9334" t="str">
        <f t="shared" si="1537"/>
        <v/>
      </c>
      <c r="W9334" t="str">
        <f t="shared" si="1538"/>
        <v/>
      </c>
      <c r="X9334">
        <f t="shared" si="1540"/>
        <v>0</v>
      </c>
      <c r="Z9334" t="str">
        <f t="shared" si="1539"/>
        <v/>
      </c>
      <c r="AA9334">
        <f t="shared" si="1541"/>
        <v>0</v>
      </c>
    </row>
    <row r="9335" spans="1:27" ht="21" customHeight="1" x14ac:dyDescent="0.95">
      <c r="A9335" s="56"/>
      <c r="B9335" s="57"/>
      <c r="C9335" s="57"/>
      <c r="D9335" s="57"/>
      <c r="E9335" s="56"/>
      <c r="F9335" s="57"/>
      <c r="G9335" s="57"/>
      <c r="H9335" s="56"/>
      <c r="I9335" s="56"/>
      <c r="J9335" s="58"/>
      <c r="K9335" s="58"/>
      <c r="L9335" s="13" t="str">
        <f t="shared" si="1530"/>
        <v/>
      </c>
      <c r="M9335" s="13" t="str">
        <f t="shared" si="1531"/>
        <v/>
      </c>
      <c r="Q9335" t="str">
        <f t="shared" si="1532"/>
        <v/>
      </c>
      <c r="R9335" t="str">
        <f t="shared" si="1533"/>
        <v/>
      </c>
      <c r="S9335" t="str">
        <f t="shared" si="1534"/>
        <v/>
      </c>
      <c r="T9335" t="str">
        <f t="shared" si="1535"/>
        <v/>
      </c>
      <c r="U9335" t="str">
        <f t="shared" si="1536"/>
        <v/>
      </c>
      <c r="V9335" t="str">
        <f t="shared" si="1537"/>
        <v/>
      </c>
      <c r="W9335" t="str">
        <f t="shared" si="1538"/>
        <v/>
      </c>
      <c r="X9335">
        <f t="shared" si="1540"/>
        <v>0</v>
      </c>
      <c r="Z9335" t="str">
        <f t="shared" si="1539"/>
        <v/>
      </c>
      <c r="AA9335">
        <f t="shared" si="1541"/>
        <v>0</v>
      </c>
    </row>
    <row r="9336" spans="1:27" ht="21" customHeight="1" x14ac:dyDescent="0.95">
      <c r="A9336" s="56"/>
      <c r="B9336" s="57"/>
      <c r="C9336" s="57"/>
      <c r="D9336" s="57"/>
      <c r="E9336" s="56"/>
      <c r="F9336" s="57"/>
      <c r="G9336" s="57"/>
      <c r="H9336" s="56"/>
      <c r="I9336" s="56"/>
      <c r="J9336" s="58"/>
      <c r="K9336" s="58"/>
      <c r="L9336" s="13" t="str">
        <f t="shared" si="1530"/>
        <v/>
      </c>
      <c r="M9336" s="13" t="str">
        <f t="shared" si="1531"/>
        <v/>
      </c>
      <c r="Q9336" t="str">
        <f t="shared" si="1532"/>
        <v/>
      </c>
      <c r="R9336" t="str">
        <f t="shared" si="1533"/>
        <v/>
      </c>
      <c r="S9336" t="str">
        <f t="shared" si="1534"/>
        <v/>
      </c>
      <c r="T9336" t="str">
        <f t="shared" si="1535"/>
        <v/>
      </c>
      <c r="U9336" t="str">
        <f t="shared" si="1536"/>
        <v/>
      </c>
      <c r="V9336" t="str">
        <f t="shared" si="1537"/>
        <v/>
      </c>
      <c r="W9336" t="str">
        <f t="shared" si="1538"/>
        <v/>
      </c>
      <c r="X9336">
        <f t="shared" si="1540"/>
        <v>0</v>
      </c>
      <c r="Z9336" t="str">
        <f t="shared" si="1539"/>
        <v/>
      </c>
      <c r="AA9336">
        <f t="shared" si="1541"/>
        <v>0</v>
      </c>
    </row>
    <row r="9337" spans="1:27" ht="21" customHeight="1" x14ac:dyDescent="0.95">
      <c r="A9337" s="56"/>
      <c r="B9337" s="57"/>
      <c r="C9337" s="57"/>
      <c r="D9337" s="57"/>
      <c r="E9337" s="56"/>
      <c r="F9337" s="57"/>
      <c r="G9337" s="57"/>
      <c r="H9337" s="56"/>
      <c r="I9337" s="56"/>
      <c r="J9337" s="58"/>
      <c r="K9337" s="58"/>
      <c r="L9337" s="13" t="str">
        <f t="shared" si="1530"/>
        <v/>
      </c>
      <c r="M9337" s="13" t="str">
        <f t="shared" si="1531"/>
        <v/>
      </c>
      <c r="Q9337" t="str">
        <f t="shared" si="1532"/>
        <v/>
      </c>
      <c r="R9337" t="str">
        <f t="shared" si="1533"/>
        <v/>
      </c>
      <c r="S9337" t="str">
        <f t="shared" si="1534"/>
        <v/>
      </c>
      <c r="T9337" t="str">
        <f t="shared" si="1535"/>
        <v/>
      </c>
      <c r="U9337" t="str">
        <f t="shared" si="1536"/>
        <v/>
      </c>
      <c r="V9337" t="str">
        <f t="shared" si="1537"/>
        <v/>
      </c>
      <c r="W9337" t="str">
        <f t="shared" si="1538"/>
        <v/>
      </c>
      <c r="X9337">
        <f t="shared" si="1540"/>
        <v>0</v>
      </c>
      <c r="Z9337" t="str">
        <f t="shared" si="1539"/>
        <v/>
      </c>
      <c r="AA9337">
        <f t="shared" si="1541"/>
        <v>0</v>
      </c>
    </row>
    <row r="9338" spans="1:27" ht="21" customHeight="1" x14ac:dyDescent="0.95">
      <c r="A9338" s="56"/>
      <c r="B9338" s="57"/>
      <c r="C9338" s="57"/>
      <c r="D9338" s="57"/>
      <c r="E9338" s="56"/>
      <c r="F9338" s="57"/>
      <c r="G9338" s="57"/>
      <c r="H9338" s="56"/>
      <c r="I9338" s="56"/>
      <c r="J9338" s="58"/>
      <c r="K9338" s="58"/>
      <c r="L9338" s="13" t="str">
        <f t="shared" si="1530"/>
        <v/>
      </c>
      <c r="M9338" s="13" t="str">
        <f t="shared" si="1531"/>
        <v/>
      </c>
      <c r="Q9338" t="str">
        <f t="shared" si="1532"/>
        <v/>
      </c>
      <c r="R9338" t="str">
        <f t="shared" si="1533"/>
        <v/>
      </c>
      <c r="S9338" t="str">
        <f t="shared" si="1534"/>
        <v/>
      </c>
      <c r="T9338" t="str">
        <f t="shared" si="1535"/>
        <v/>
      </c>
      <c r="U9338" t="str">
        <f t="shared" si="1536"/>
        <v/>
      </c>
      <c r="V9338" t="str">
        <f t="shared" si="1537"/>
        <v/>
      </c>
      <c r="W9338" t="str">
        <f t="shared" si="1538"/>
        <v/>
      </c>
      <c r="X9338">
        <f t="shared" si="1540"/>
        <v>0</v>
      </c>
      <c r="Z9338" t="str">
        <f t="shared" si="1539"/>
        <v/>
      </c>
      <c r="AA9338">
        <f t="shared" si="1541"/>
        <v>0</v>
      </c>
    </row>
    <row r="9339" spans="1:27" ht="21" customHeight="1" x14ac:dyDescent="0.95">
      <c r="A9339" s="56"/>
      <c r="B9339" s="57"/>
      <c r="C9339" s="57"/>
      <c r="D9339" s="57"/>
      <c r="E9339" s="56"/>
      <c r="F9339" s="57"/>
      <c r="G9339" s="57"/>
      <c r="H9339" s="56"/>
      <c r="I9339" s="56"/>
      <c r="J9339" s="58"/>
      <c r="K9339" s="58"/>
      <c r="L9339" s="13" t="str">
        <f t="shared" si="1530"/>
        <v/>
      </c>
      <c r="M9339" s="13" t="str">
        <f t="shared" si="1531"/>
        <v/>
      </c>
      <c r="Q9339" t="str">
        <f t="shared" si="1532"/>
        <v/>
      </c>
      <c r="R9339" t="str">
        <f t="shared" si="1533"/>
        <v/>
      </c>
      <c r="S9339" t="str">
        <f t="shared" si="1534"/>
        <v/>
      </c>
      <c r="T9339" t="str">
        <f t="shared" si="1535"/>
        <v/>
      </c>
      <c r="U9339" t="str">
        <f t="shared" si="1536"/>
        <v/>
      </c>
      <c r="V9339" t="str">
        <f t="shared" si="1537"/>
        <v/>
      </c>
      <c r="W9339" t="str">
        <f t="shared" si="1538"/>
        <v/>
      </c>
      <c r="X9339">
        <f t="shared" si="1540"/>
        <v>0</v>
      </c>
      <c r="Z9339" t="str">
        <f t="shared" si="1539"/>
        <v/>
      </c>
      <c r="AA9339">
        <f t="shared" si="1541"/>
        <v>0</v>
      </c>
    </row>
    <row r="9340" spans="1:27" ht="21" customHeight="1" x14ac:dyDescent="0.95">
      <c r="A9340" s="56"/>
      <c r="B9340" s="57"/>
      <c r="C9340" s="57"/>
      <c r="D9340" s="57"/>
      <c r="E9340" s="56"/>
      <c r="F9340" s="57"/>
      <c r="G9340" s="57"/>
      <c r="H9340" s="56"/>
      <c r="I9340" s="56"/>
      <c r="J9340" s="58"/>
      <c r="K9340" s="58"/>
      <c r="L9340" s="13" t="str">
        <f t="shared" si="1530"/>
        <v/>
      </c>
      <c r="M9340" s="13" t="str">
        <f t="shared" si="1531"/>
        <v/>
      </c>
      <c r="Q9340" t="str">
        <f t="shared" si="1532"/>
        <v/>
      </c>
      <c r="R9340" t="str">
        <f t="shared" si="1533"/>
        <v/>
      </c>
      <c r="S9340" t="str">
        <f t="shared" si="1534"/>
        <v/>
      </c>
      <c r="T9340" t="str">
        <f t="shared" si="1535"/>
        <v/>
      </c>
      <c r="U9340" t="str">
        <f t="shared" si="1536"/>
        <v/>
      </c>
      <c r="V9340" t="str">
        <f t="shared" si="1537"/>
        <v/>
      </c>
      <c r="W9340" t="str">
        <f t="shared" si="1538"/>
        <v/>
      </c>
      <c r="X9340">
        <f t="shared" si="1540"/>
        <v>0</v>
      </c>
      <c r="Z9340" t="str">
        <f t="shared" si="1539"/>
        <v/>
      </c>
      <c r="AA9340">
        <f t="shared" si="1541"/>
        <v>0</v>
      </c>
    </row>
    <row r="9341" spans="1:27" ht="21" customHeight="1" x14ac:dyDescent="0.95">
      <c r="A9341" s="56"/>
      <c r="B9341" s="57"/>
      <c r="C9341" s="57"/>
      <c r="D9341" s="57"/>
      <c r="E9341" s="56"/>
      <c r="F9341" s="57"/>
      <c r="G9341" s="57"/>
      <c r="H9341" s="56"/>
      <c r="I9341" s="56"/>
      <c r="J9341" s="58"/>
      <c r="K9341" s="58"/>
      <c r="L9341" s="13" t="str">
        <f t="shared" si="1530"/>
        <v/>
      </c>
      <c r="M9341" s="13" t="str">
        <f t="shared" si="1531"/>
        <v/>
      </c>
      <c r="Q9341" t="str">
        <f t="shared" si="1532"/>
        <v/>
      </c>
      <c r="R9341" t="str">
        <f t="shared" si="1533"/>
        <v/>
      </c>
      <c r="S9341" t="str">
        <f t="shared" si="1534"/>
        <v/>
      </c>
      <c r="T9341" t="str">
        <f t="shared" si="1535"/>
        <v/>
      </c>
      <c r="U9341" t="str">
        <f t="shared" si="1536"/>
        <v/>
      </c>
      <c r="V9341" t="str">
        <f t="shared" si="1537"/>
        <v/>
      </c>
      <c r="W9341" t="str">
        <f t="shared" si="1538"/>
        <v/>
      </c>
      <c r="X9341">
        <f t="shared" si="1540"/>
        <v>0</v>
      </c>
      <c r="Z9341" t="str">
        <f t="shared" si="1539"/>
        <v/>
      </c>
      <c r="AA9341">
        <f t="shared" si="1541"/>
        <v>0</v>
      </c>
    </row>
    <row r="9342" spans="1:27" ht="21" customHeight="1" x14ac:dyDescent="0.95">
      <c r="A9342" s="56"/>
      <c r="B9342" s="57"/>
      <c r="C9342" s="57"/>
      <c r="D9342" s="57"/>
      <c r="E9342" s="56"/>
      <c r="F9342" s="57"/>
      <c r="G9342" s="57"/>
      <c r="H9342" s="56"/>
      <c r="I9342" s="56"/>
      <c r="J9342" s="58"/>
      <c r="K9342" s="58"/>
      <c r="L9342" s="13" t="str">
        <f t="shared" si="1530"/>
        <v/>
      </c>
      <c r="M9342" s="13" t="str">
        <f t="shared" si="1531"/>
        <v/>
      </c>
      <c r="Q9342" t="str">
        <f t="shared" si="1532"/>
        <v/>
      </c>
      <c r="R9342" t="str">
        <f t="shared" si="1533"/>
        <v/>
      </c>
      <c r="S9342" t="str">
        <f t="shared" si="1534"/>
        <v/>
      </c>
      <c r="T9342" t="str">
        <f t="shared" si="1535"/>
        <v/>
      </c>
      <c r="U9342" t="str">
        <f t="shared" si="1536"/>
        <v/>
      </c>
      <c r="V9342" t="str">
        <f t="shared" si="1537"/>
        <v/>
      </c>
      <c r="W9342" t="str">
        <f t="shared" si="1538"/>
        <v/>
      </c>
      <c r="X9342">
        <f t="shared" si="1540"/>
        <v>0</v>
      </c>
      <c r="Z9342" t="str">
        <f t="shared" si="1539"/>
        <v/>
      </c>
      <c r="AA9342">
        <f t="shared" si="1541"/>
        <v>0</v>
      </c>
    </row>
    <row r="9343" spans="1:27" ht="21" customHeight="1" x14ac:dyDescent="0.95">
      <c r="A9343" s="56"/>
      <c r="B9343" s="57"/>
      <c r="C9343" s="57"/>
      <c r="D9343" s="57"/>
      <c r="E9343" s="56"/>
      <c r="F9343" s="57"/>
      <c r="G9343" s="57"/>
      <c r="H9343" s="56"/>
      <c r="I9343" s="56"/>
      <c r="J9343" s="58"/>
      <c r="K9343" s="58"/>
      <c r="L9343" s="13" t="str">
        <f t="shared" si="1530"/>
        <v/>
      </c>
      <c r="M9343" s="13" t="str">
        <f t="shared" si="1531"/>
        <v/>
      </c>
      <c r="Q9343" t="str">
        <f t="shared" si="1532"/>
        <v/>
      </c>
      <c r="R9343" t="str">
        <f t="shared" si="1533"/>
        <v/>
      </c>
      <c r="S9343" t="str">
        <f t="shared" si="1534"/>
        <v/>
      </c>
      <c r="T9343" t="str">
        <f t="shared" si="1535"/>
        <v/>
      </c>
      <c r="U9343" t="str">
        <f t="shared" si="1536"/>
        <v/>
      </c>
      <c r="V9343" t="str">
        <f t="shared" si="1537"/>
        <v/>
      </c>
      <c r="W9343" t="str">
        <f t="shared" si="1538"/>
        <v/>
      </c>
      <c r="X9343">
        <f t="shared" si="1540"/>
        <v>0</v>
      </c>
      <c r="Z9343" t="str">
        <f t="shared" si="1539"/>
        <v/>
      </c>
      <c r="AA9343">
        <f t="shared" si="1541"/>
        <v>0</v>
      </c>
    </row>
    <row r="9344" spans="1:27" ht="21" customHeight="1" x14ac:dyDescent="0.95">
      <c r="A9344" s="56"/>
      <c r="B9344" s="57"/>
      <c r="C9344" s="57"/>
      <c r="D9344" s="57"/>
      <c r="E9344" s="56"/>
      <c r="F9344" s="57"/>
      <c r="G9344" s="57"/>
      <c r="H9344" s="56"/>
      <c r="I9344" s="56"/>
      <c r="J9344" s="58"/>
      <c r="K9344" s="58"/>
      <c r="L9344" s="13" t="str">
        <f t="shared" si="1530"/>
        <v/>
      </c>
      <c r="M9344" s="13" t="str">
        <f t="shared" si="1531"/>
        <v/>
      </c>
      <c r="Q9344" t="str">
        <f t="shared" si="1532"/>
        <v/>
      </c>
      <c r="R9344" t="str">
        <f t="shared" si="1533"/>
        <v/>
      </c>
      <c r="S9344" t="str">
        <f t="shared" si="1534"/>
        <v/>
      </c>
      <c r="T9344" t="str">
        <f t="shared" si="1535"/>
        <v/>
      </c>
      <c r="U9344" t="str">
        <f t="shared" si="1536"/>
        <v/>
      </c>
      <c r="V9344" t="str">
        <f t="shared" si="1537"/>
        <v/>
      </c>
      <c r="W9344" t="str">
        <f t="shared" si="1538"/>
        <v/>
      </c>
      <c r="X9344">
        <f t="shared" si="1540"/>
        <v>0</v>
      </c>
      <c r="Z9344" t="str">
        <f t="shared" si="1539"/>
        <v/>
      </c>
      <c r="AA9344">
        <f t="shared" si="1541"/>
        <v>0</v>
      </c>
    </row>
    <row r="9345" spans="1:27" ht="21" customHeight="1" x14ac:dyDescent="0.95">
      <c r="A9345" s="56"/>
      <c r="B9345" s="57"/>
      <c r="C9345" s="57"/>
      <c r="D9345" s="57"/>
      <c r="E9345" s="56"/>
      <c r="F9345" s="57"/>
      <c r="G9345" s="57"/>
      <c r="H9345" s="56"/>
      <c r="I9345" s="56"/>
      <c r="J9345" s="58"/>
      <c r="K9345" s="58"/>
      <c r="L9345" s="13" t="str">
        <f t="shared" si="1530"/>
        <v/>
      </c>
      <c r="M9345" s="13" t="str">
        <f t="shared" si="1531"/>
        <v/>
      </c>
      <c r="Q9345" t="str">
        <f t="shared" si="1532"/>
        <v/>
      </c>
      <c r="R9345" t="str">
        <f t="shared" si="1533"/>
        <v/>
      </c>
      <c r="S9345" t="str">
        <f t="shared" si="1534"/>
        <v/>
      </c>
      <c r="T9345" t="str">
        <f t="shared" si="1535"/>
        <v/>
      </c>
      <c r="U9345" t="str">
        <f t="shared" si="1536"/>
        <v/>
      </c>
      <c r="V9345" t="str">
        <f t="shared" si="1537"/>
        <v/>
      </c>
      <c r="W9345" t="str">
        <f t="shared" si="1538"/>
        <v/>
      </c>
      <c r="X9345">
        <f t="shared" si="1540"/>
        <v>0</v>
      </c>
      <c r="Z9345" t="str">
        <f t="shared" si="1539"/>
        <v/>
      </c>
      <c r="AA9345">
        <f t="shared" si="1541"/>
        <v>0</v>
      </c>
    </row>
    <row r="9346" spans="1:27" ht="21" customHeight="1" x14ac:dyDescent="0.95">
      <c r="A9346" s="56"/>
      <c r="B9346" s="57"/>
      <c r="C9346" s="57"/>
      <c r="D9346" s="57"/>
      <c r="E9346" s="56"/>
      <c r="F9346" s="57"/>
      <c r="G9346" s="57"/>
      <c r="H9346" s="56"/>
      <c r="I9346" s="56"/>
      <c r="J9346" s="58"/>
      <c r="K9346" s="58"/>
      <c r="L9346" s="13" t="str">
        <f t="shared" si="1530"/>
        <v/>
      </c>
      <c r="M9346" s="13" t="str">
        <f t="shared" si="1531"/>
        <v/>
      </c>
      <c r="Q9346" t="str">
        <f t="shared" si="1532"/>
        <v/>
      </c>
      <c r="R9346" t="str">
        <f t="shared" si="1533"/>
        <v/>
      </c>
      <c r="S9346" t="str">
        <f t="shared" si="1534"/>
        <v/>
      </c>
      <c r="T9346" t="str">
        <f t="shared" si="1535"/>
        <v/>
      </c>
      <c r="U9346" t="str">
        <f t="shared" si="1536"/>
        <v/>
      </c>
      <c r="V9346" t="str">
        <f t="shared" si="1537"/>
        <v/>
      </c>
      <c r="W9346" t="str">
        <f t="shared" si="1538"/>
        <v/>
      </c>
      <c r="X9346">
        <f t="shared" si="1540"/>
        <v>0</v>
      </c>
      <c r="Z9346" t="str">
        <f t="shared" si="1539"/>
        <v/>
      </c>
      <c r="AA9346">
        <f t="shared" si="1541"/>
        <v>0</v>
      </c>
    </row>
    <row r="9347" spans="1:27" ht="21" customHeight="1" x14ac:dyDescent="0.95">
      <c r="A9347" s="56"/>
      <c r="B9347" s="57"/>
      <c r="C9347" s="57"/>
      <c r="D9347" s="57"/>
      <c r="E9347" s="56"/>
      <c r="F9347" s="57"/>
      <c r="G9347" s="57"/>
      <c r="H9347" s="56"/>
      <c r="I9347" s="56"/>
      <c r="J9347" s="58"/>
      <c r="K9347" s="58"/>
      <c r="L9347" s="13" t="str">
        <f t="shared" si="1530"/>
        <v/>
      </c>
      <c r="M9347" s="13" t="str">
        <f t="shared" si="1531"/>
        <v/>
      </c>
      <c r="Q9347" t="str">
        <f t="shared" si="1532"/>
        <v/>
      </c>
      <c r="R9347" t="str">
        <f t="shared" si="1533"/>
        <v/>
      </c>
      <c r="S9347" t="str">
        <f t="shared" si="1534"/>
        <v/>
      </c>
      <c r="T9347" t="str">
        <f t="shared" si="1535"/>
        <v/>
      </c>
      <c r="U9347" t="str">
        <f t="shared" si="1536"/>
        <v/>
      </c>
      <c r="V9347" t="str">
        <f t="shared" si="1537"/>
        <v/>
      </c>
      <c r="W9347" t="str">
        <f t="shared" si="1538"/>
        <v/>
      </c>
      <c r="X9347">
        <f t="shared" si="1540"/>
        <v>0</v>
      </c>
      <c r="Z9347" t="str">
        <f t="shared" si="1539"/>
        <v/>
      </c>
      <c r="AA9347">
        <f t="shared" si="1541"/>
        <v>0</v>
      </c>
    </row>
    <row r="9348" spans="1:27" ht="21" customHeight="1" x14ac:dyDescent="0.95">
      <c r="A9348" s="56"/>
      <c r="B9348" s="57"/>
      <c r="C9348" s="57"/>
      <c r="D9348" s="57"/>
      <c r="E9348" s="56"/>
      <c r="F9348" s="57"/>
      <c r="G9348" s="57"/>
      <c r="H9348" s="56"/>
      <c r="I9348" s="56"/>
      <c r="J9348" s="58"/>
      <c r="K9348" s="58"/>
      <c r="L9348" s="13" t="str">
        <f t="shared" ref="L9348:L9411" si="1542">IF(OR($A9348="",AND($J9348="",$K9348="")),"",ROUND(N($J9348)-N($K9348),2))</f>
        <v/>
      </c>
      <c r="M9348" s="13" t="str">
        <f t="shared" ref="M9348:M9411" si="1543">IF(OR($A9348="",AND($J9348="",$K9348="")),"",MIN($J9348,$K9348))</f>
        <v/>
      </c>
      <c r="Q9348" t="str">
        <f t="shared" ref="Q9348:Q9411" si="1544">IF($A9348="","",$D9348&amp;"("&amp;SUBSTITUTE($E9348," ","")&amp;")")</f>
        <v/>
      </c>
      <c r="R9348" t="str">
        <f t="shared" ref="R9348:R9411" si="1545">IF($A9348="","",$B9348&amp;" - "&amp;$C9348)</f>
        <v/>
      </c>
      <c r="S9348" t="str">
        <f t="shared" ref="S9348:S9411" si="1546">IF($A9348="","",$R9348&amp;"|"&amp;$Q9348)</f>
        <v/>
      </c>
      <c r="T9348" t="str">
        <f t="shared" ref="T9348:T9411" si="1547">IF($A9348="","",$S9348&amp;"|"&amp;$F9348)</f>
        <v/>
      </c>
      <c r="U9348" t="str">
        <f t="shared" ref="U9348:U9411" si="1548">IF($A9348="","",$R9348&amp;"("&amp;$E9348&amp;")")</f>
        <v/>
      </c>
      <c r="V9348" t="str">
        <f t="shared" ref="V9348:V9411" si="1549">IF($A9348="","",$F9348&amp;"|"&amp;$U9348&amp;"|"&amp;$D9348)</f>
        <v/>
      </c>
      <c r="W9348" t="str">
        <f t="shared" si="1538"/>
        <v/>
      </c>
      <c r="X9348">
        <f t="shared" si="1540"/>
        <v>0</v>
      </c>
      <c r="Z9348" t="str">
        <f t="shared" si="1539"/>
        <v/>
      </c>
      <c r="AA9348">
        <f t="shared" si="1541"/>
        <v>0</v>
      </c>
    </row>
    <row r="9349" spans="1:27" ht="21" customHeight="1" x14ac:dyDescent="0.95">
      <c r="A9349" s="56"/>
      <c r="B9349" s="57"/>
      <c r="C9349" s="57"/>
      <c r="D9349" s="57"/>
      <c r="E9349" s="56"/>
      <c r="F9349" s="57"/>
      <c r="G9349" s="57"/>
      <c r="H9349" s="56"/>
      <c r="I9349" s="56"/>
      <c r="J9349" s="58"/>
      <c r="K9349" s="58"/>
      <c r="L9349" s="13" t="str">
        <f t="shared" si="1542"/>
        <v/>
      </c>
      <c r="M9349" s="13" t="str">
        <f t="shared" si="1543"/>
        <v/>
      </c>
      <c r="Q9349" t="str">
        <f t="shared" si="1544"/>
        <v/>
      </c>
      <c r="R9349" t="str">
        <f t="shared" si="1545"/>
        <v/>
      </c>
      <c r="S9349" t="str">
        <f t="shared" si="1546"/>
        <v/>
      </c>
      <c r="T9349" t="str">
        <f t="shared" si="1547"/>
        <v/>
      </c>
      <c r="U9349" t="str">
        <f t="shared" si="1548"/>
        <v/>
      </c>
      <c r="V9349" t="str">
        <f t="shared" si="1549"/>
        <v/>
      </c>
      <c r="W9349" t="str">
        <f t="shared" si="1538"/>
        <v/>
      </c>
      <c r="X9349">
        <f t="shared" si="1540"/>
        <v>0</v>
      </c>
      <c r="Z9349" t="str">
        <f t="shared" si="1539"/>
        <v/>
      </c>
      <c r="AA9349">
        <f t="shared" si="1541"/>
        <v>0</v>
      </c>
    </row>
    <row r="9350" spans="1:27" ht="21" customHeight="1" x14ac:dyDescent="0.95">
      <c r="A9350" s="56"/>
      <c r="B9350" s="57"/>
      <c r="C9350" s="57"/>
      <c r="D9350" s="57"/>
      <c r="E9350" s="56"/>
      <c r="F9350" s="57"/>
      <c r="G9350" s="57"/>
      <c r="H9350" s="56"/>
      <c r="I9350" s="56"/>
      <c r="J9350" s="58"/>
      <c r="K9350" s="58"/>
      <c r="L9350" s="13" t="str">
        <f t="shared" si="1542"/>
        <v/>
      </c>
      <c r="M9350" s="13" t="str">
        <f t="shared" si="1543"/>
        <v/>
      </c>
      <c r="Q9350" t="str">
        <f t="shared" si="1544"/>
        <v/>
      </c>
      <c r="R9350" t="str">
        <f t="shared" si="1545"/>
        <v/>
      </c>
      <c r="S9350" t="str">
        <f t="shared" si="1546"/>
        <v/>
      </c>
      <c r="T9350" t="str">
        <f t="shared" si="1547"/>
        <v/>
      </c>
      <c r="U9350" t="str">
        <f t="shared" si="1548"/>
        <v/>
      </c>
      <c r="V9350" t="str">
        <f t="shared" si="1549"/>
        <v/>
      </c>
      <c r="W9350" t="str">
        <f t="shared" ref="W9350:W9413" si="1550">IF($T9350="","",IF($X9350&gt;N($X9349),$X9350,""))</f>
        <v/>
      </c>
      <c r="X9350">
        <f t="shared" si="1540"/>
        <v>0</v>
      </c>
      <c r="Z9350" t="str">
        <f t="shared" ref="Z9350:Z9413" si="1551">IF($V9350="","",IF($AA9350&gt;N($AA9349),$AA9350,""))</f>
        <v/>
      </c>
      <c r="AA9350">
        <f t="shared" si="1541"/>
        <v>0</v>
      </c>
    </row>
    <row r="9351" spans="1:27" ht="21" customHeight="1" x14ac:dyDescent="0.95">
      <c r="A9351" s="56"/>
      <c r="B9351" s="57"/>
      <c r="C9351" s="57"/>
      <c r="D9351" s="57"/>
      <c r="E9351" s="56"/>
      <c r="F9351" s="57"/>
      <c r="G9351" s="57"/>
      <c r="H9351" s="56"/>
      <c r="I9351" s="56"/>
      <c r="J9351" s="58"/>
      <c r="K9351" s="58"/>
      <c r="L9351" s="13" t="str">
        <f t="shared" si="1542"/>
        <v/>
      </c>
      <c r="M9351" s="13" t="str">
        <f t="shared" si="1543"/>
        <v/>
      </c>
      <c r="Q9351" t="str">
        <f t="shared" si="1544"/>
        <v/>
      </c>
      <c r="R9351" t="str">
        <f t="shared" si="1545"/>
        <v/>
      </c>
      <c r="S9351" t="str">
        <f t="shared" si="1546"/>
        <v/>
      </c>
      <c r="T9351" t="str">
        <f t="shared" si="1547"/>
        <v/>
      </c>
      <c r="U9351" t="str">
        <f t="shared" si="1548"/>
        <v/>
      </c>
      <c r="V9351" t="str">
        <f t="shared" si="1549"/>
        <v/>
      </c>
      <c r="W9351" t="str">
        <f t="shared" si="1550"/>
        <v/>
      </c>
      <c r="X9351">
        <f t="shared" si="1540"/>
        <v>0</v>
      </c>
      <c r="Z9351" t="str">
        <f t="shared" si="1551"/>
        <v/>
      </c>
      <c r="AA9351">
        <f t="shared" si="1541"/>
        <v>0</v>
      </c>
    </row>
    <row r="9352" spans="1:27" ht="21" customHeight="1" x14ac:dyDescent="0.95">
      <c r="A9352" s="56"/>
      <c r="B9352" s="57"/>
      <c r="C9352" s="57"/>
      <c r="D9352" s="57"/>
      <c r="E9352" s="56"/>
      <c r="F9352" s="57"/>
      <c r="G9352" s="57"/>
      <c r="H9352" s="56"/>
      <c r="I9352" s="56"/>
      <c r="J9352" s="58"/>
      <c r="K9352" s="58"/>
      <c r="L9352" s="13" t="str">
        <f t="shared" si="1542"/>
        <v/>
      </c>
      <c r="M9352" s="13" t="str">
        <f t="shared" si="1543"/>
        <v/>
      </c>
      <c r="Q9352" t="str">
        <f t="shared" si="1544"/>
        <v/>
      </c>
      <c r="R9352" t="str">
        <f t="shared" si="1545"/>
        <v/>
      </c>
      <c r="S9352" t="str">
        <f t="shared" si="1546"/>
        <v/>
      </c>
      <c r="T9352" t="str">
        <f t="shared" si="1547"/>
        <v/>
      </c>
      <c r="U9352" t="str">
        <f t="shared" si="1548"/>
        <v/>
      </c>
      <c r="V9352" t="str">
        <f t="shared" si="1549"/>
        <v/>
      </c>
      <c r="W9352" t="str">
        <f t="shared" si="1550"/>
        <v/>
      </c>
      <c r="X9352">
        <f t="shared" si="1540"/>
        <v>0</v>
      </c>
      <c r="Z9352" t="str">
        <f t="shared" si="1551"/>
        <v/>
      </c>
      <c r="AA9352">
        <f t="shared" si="1541"/>
        <v>0</v>
      </c>
    </row>
    <row r="9353" spans="1:27" ht="21" customHeight="1" x14ac:dyDescent="0.95">
      <c r="A9353" s="56"/>
      <c r="B9353" s="57"/>
      <c r="C9353" s="57"/>
      <c r="D9353" s="57"/>
      <c r="E9353" s="56"/>
      <c r="F9353" s="57"/>
      <c r="G9353" s="57"/>
      <c r="H9353" s="56"/>
      <c r="I9353" s="56"/>
      <c r="J9353" s="58"/>
      <c r="K9353" s="58"/>
      <c r="L9353" s="13" t="str">
        <f t="shared" si="1542"/>
        <v/>
      </c>
      <c r="M9353" s="13" t="str">
        <f t="shared" si="1543"/>
        <v/>
      </c>
      <c r="Q9353" t="str">
        <f t="shared" si="1544"/>
        <v/>
      </c>
      <c r="R9353" t="str">
        <f t="shared" si="1545"/>
        <v/>
      </c>
      <c r="S9353" t="str">
        <f t="shared" si="1546"/>
        <v/>
      </c>
      <c r="T9353" t="str">
        <f t="shared" si="1547"/>
        <v/>
      </c>
      <c r="U9353" t="str">
        <f t="shared" si="1548"/>
        <v/>
      </c>
      <c r="V9353" t="str">
        <f t="shared" si="1549"/>
        <v/>
      </c>
      <c r="W9353" t="str">
        <f t="shared" si="1550"/>
        <v/>
      </c>
      <c r="X9353">
        <f t="shared" si="1540"/>
        <v>0</v>
      </c>
      <c r="Z9353" t="str">
        <f t="shared" si="1551"/>
        <v/>
      </c>
      <c r="AA9353">
        <f t="shared" si="1541"/>
        <v>0</v>
      </c>
    </row>
    <row r="9354" spans="1:27" ht="21" customHeight="1" x14ac:dyDescent="0.95">
      <c r="A9354" s="56"/>
      <c r="B9354" s="57"/>
      <c r="C9354" s="57"/>
      <c r="D9354" s="57"/>
      <c r="E9354" s="56"/>
      <c r="F9354" s="57"/>
      <c r="G9354" s="57"/>
      <c r="H9354" s="56"/>
      <c r="I9354" s="56"/>
      <c r="J9354" s="58"/>
      <c r="K9354" s="58"/>
      <c r="L9354" s="13" t="str">
        <f t="shared" si="1542"/>
        <v/>
      </c>
      <c r="M9354" s="13" t="str">
        <f t="shared" si="1543"/>
        <v/>
      </c>
      <c r="Q9354" t="str">
        <f t="shared" si="1544"/>
        <v/>
      </c>
      <c r="R9354" t="str">
        <f t="shared" si="1545"/>
        <v/>
      </c>
      <c r="S9354" t="str">
        <f t="shared" si="1546"/>
        <v/>
      </c>
      <c r="T9354" t="str">
        <f t="shared" si="1547"/>
        <v/>
      </c>
      <c r="U9354" t="str">
        <f t="shared" si="1548"/>
        <v/>
      </c>
      <c r="V9354" t="str">
        <f t="shared" si="1549"/>
        <v/>
      </c>
      <c r="W9354" t="str">
        <f t="shared" si="1550"/>
        <v/>
      </c>
      <c r="X9354">
        <f t="shared" si="1540"/>
        <v>0</v>
      </c>
      <c r="Z9354" t="str">
        <f t="shared" si="1551"/>
        <v/>
      </c>
      <c r="AA9354">
        <f t="shared" si="1541"/>
        <v>0</v>
      </c>
    </row>
    <row r="9355" spans="1:27" ht="21" customHeight="1" x14ac:dyDescent="0.95">
      <c r="A9355" s="56"/>
      <c r="B9355" s="57"/>
      <c r="C9355" s="57"/>
      <c r="D9355" s="57"/>
      <c r="E9355" s="56"/>
      <c r="F9355" s="57"/>
      <c r="G9355" s="57"/>
      <c r="H9355" s="56"/>
      <c r="I9355" s="56"/>
      <c r="J9355" s="58"/>
      <c r="K9355" s="58"/>
      <c r="L9355" s="13" t="str">
        <f t="shared" si="1542"/>
        <v/>
      </c>
      <c r="M9355" s="13" t="str">
        <f t="shared" si="1543"/>
        <v/>
      </c>
      <c r="Q9355" t="str">
        <f t="shared" si="1544"/>
        <v/>
      </c>
      <c r="R9355" t="str">
        <f t="shared" si="1545"/>
        <v/>
      </c>
      <c r="S9355" t="str">
        <f t="shared" si="1546"/>
        <v/>
      </c>
      <c r="T9355" t="str">
        <f t="shared" si="1547"/>
        <v/>
      </c>
      <c r="U9355" t="str">
        <f t="shared" si="1548"/>
        <v/>
      </c>
      <c r="V9355" t="str">
        <f t="shared" si="1549"/>
        <v/>
      </c>
      <c r="W9355" t="str">
        <f t="shared" si="1550"/>
        <v/>
      </c>
      <c r="X9355">
        <f t="shared" si="1540"/>
        <v>0</v>
      </c>
      <c r="Z9355" t="str">
        <f t="shared" si="1551"/>
        <v/>
      </c>
      <c r="AA9355">
        <f t="shared" si="1541"/>
        <v>0</v>
      </c>
    </row>
    <row r="9356" spans="1:27" ht="21" customHeight="1" x14ac:dyDescent="0.95">
      <c r="A9356" s="56"/>
      <c r="B9356" s="57"/>
      <c r="C9356" s="57"/>
      <c r="D9356" s="57"/>
      <c r="E9356" s="56"/>
      <c r="F9356" s="57"/>
      <c r="G9356" s="57"/>
      <c r="H9356" s="56"/>
      <c r="I9356" s="56"/>
      <c r="J9356" s="58"/>
      <c r="K9356" s="58"/>
      <c r="L9356" s="13" t="str">
        <f t="shared" si="1542"/>
        <v/>
      </c>
      <c r="M9356" s="13" t="str">
        <f t="shared" si="1543"/>
        <v/>
      </c>
      <c r="Q9356" t="str">
        <f t="shared" si="1544"/>
        <v/>
      </c>
      <c r="R9356" t="str">
        <f t="shared" si="1545"/>
        <v/>
      </c>
      <c r="S9356" t="str">
        <f t="shared" si="1546"/>
        <v/>
      </c>
      <c r="T9356" t="str">
        <f t="shared" si="1547"/>
        <v/>
      </c>
      <c r="U9356" t="str">
        <f t="shared" si="1548"/>
        <v/>
      </c>
      <c r="V9356" t="str">
        <f t="shared" si="1549"/>
        <v/>
      </c>
      <c r="W9356" t="str">
        <f t="shared" si="1550"/>
        <v/>
      </c>
      <c r="X9356">
        <f t="shared" si="1540"/>
        <v>0</v>
      </c>
      <c r="Z9356" t="str">
        <f t="shared" si="1551"/>
        <v/>
      </c>
      <c r="AA9356">
        <f t="shared" si="1541"/>
        <v>0</v>
      </c>
    </row>
    <row r="9357" spans="1:27" ht="21" customHeight="1" x14ac:dyDescent="0.95">
      <c r="A9357" s="56"/>
      <c r="B9357" s="57"/>
      <c r="C9357" s="57"/>
      <c r="D9357" s="57"/>
      <c r="E9357" s="56"/>
      <c r="F9357" s="57"/>
      <c r="G9357" s="57"/>
      <c r="H9357" s="56"/>
      <c r="I9357" s="56"/>
      <c r="J9357" s="58"/>
      <c r="K9357" s="58"/>
      <c r="L9357" s="13" t="str">
        <f t="shared" si="1542"/>
        <v/>
      </c>
      <c r="M9357" s="13" t="str">
        <f t="shared" si="1543"/>
        <v/>
      </c>
      <c r="Q9357" t="str">
        <f t="shared" si="1544"/>
        <v/>
      </c>
      <c r="R9357" t="str">
        <f t="shared" si="1545"/>
        <v/>
      </c>
      <c r="S9357" t="str">
        <f t="shared" si="1546"/>
        <v/>
      </c>
      <c r="T9357" t="str">
        <f t="shared" si="1547"/>
        <v/>
      </c>
      <c r="U9357" t="str">
        <f t="shared" si="1548"/>
        <v/>
      </c>
      <c r="V9357" t="str">
        <f t="shared" si="1549"/>
        <v/>
      </c>
      <c r="W9357" t="str">
        <f t="shared" si="1550"/>
        <v/>
      </c>
      <c r="X9357">
        <f t="shared" si="1540"/>
        <v>0</v>
      </c>
      <c r="Z9357" t="str">
        <f t="shared" si="1551"/>
        <v/>
      </c>
      <c r="AA9357">
        <f t="shared" si="1541"/>
        <v>0</v>
      </c>
    </row>
    <row r="9358" spans="1:27" ht="21" customHeight="1" x14ac:dyDescent="0.95">
      <c r="A9358" s="56"/>
      <c r="B9358" s="57"/>
      <c r="C9358" s="57"/>
      <c r="D9358" s="57"/>
      <c r="E9358" s="56"/>
      <c r="F9358" s="57"/>
      <c r="G9358" s="57"/>
      <c r="H9358" s="56"/>
      <c r="I9358" s="56"/>
      <c r="J9358" s="58"/>
      <c r="K9358" s="58"/>
      <c r="L9358" s="13" t="str">
        <f t="shared" si="1542"/>
        <v/>
      </c>
      <c r="M9358" s="13" t="str">
        <f t="shared" si="1543"/>
        <v/>
      </c>
      <c r="Q9358" t="str">
        <f t="shared" si="1544"/>
        <v/>
      </c>
      <c r="R9358" t="str">
        <f t="shared" si="1545"/>
        <v/>
      </c>
      <c r="S9358" t="str">
        <f t="shared" si="1546"/>
        <v/>
      </c>
      <c r="T9358" t="str">
        <f t="shared" si="1547"/>
        <v/>
      </c>
      <c r="U9358" t="str">
        <f t="shared" si="1548"/>
        <v/>
      </c>
      <c r="V9358" t="str">
        <f t="shared" si="1549"/>
        <v/>
      </c>
      <c r="W9358" t="str">
        <f t="shared" si="1550"/>
        <v/>
      </c>
      <c r="X9358">
        <f t="shared" si="1540"/>
        <v>0</v>
      </c>
      <c r="Z9358" t="str">
        <f t="shared" si="1551"/>
        <v/>
      </c>
      <c r="AA9358">
        <f t="shared" si="1541"/>
        <v>0</v>
      </c>
    </row>
    <row r="9359" spans="1:27" ht="21" customHeight="1" x14ac:dyDescent="0.95">
      <c r="A9359" s="56"/>
      <c r="B9359" s="57"/>
      <c r="C9359" s="57"/>
      <c r="D9359" s="57"/>
      <c r="E9359" s="56"/>
      <c r="F9359" s="57"/>
      <c r="G9359" s="57"/>
      <c r="H9359" s="56"/>
      <c r="I9359" s="56"/>
      <c r="J9359" s="58"/>
      <c r="K9359" s="58"/>
      <c r="L9359" s="13" t="str">
        <f t="shared" si="1542"/>
        <v/>
      </c>
      <c r="M9359" s="13" t="str">
        <f t="shared" si="1543"/>
        <v/>
      </c>
      <c r="Q9359" t="str">
        <f t="shared" si="1544"/>
        <v/>
      </c>
      <c r="R9359" t="str">
        <f t="shared" si="1545"/>
        <v/>
      </c>
      <c r="S9359" t="str">
        <f t="shared" si="1546"/>
        <v/>
      </c>
      <c r="T9359" t="str">
        <f t="shared" si="1547"/>
        <v/>
      </c>
      <c r="U9359" t="str">
        <f t="shared" si="1548"/>
        <v/>
      </c>
      <c r="V9359" t="str">
        <f t="shared" si="1549"/>
        <v/>
      </c>
      <c r="W9359" t="str">
        <f t="shared" si="1550"/>
        <v/>
      </c>
      <c r="X9359">
        <f t="shared" si="1540"/>
        <v>0</v>
      </c>
      <c r="Z9359" t="str">
        <f t="shared" si="1551"/>
        <v/>
      </c>
      <c r="AA9359">
        <f t="shared" si="1541"/>
        <v>0</v>
      </c>
    </row>
    <row r="9360" spans="1:27" ht="21" customHeight="1" x14ac:dyDescent="0.95">
      <c r="A9360" s="56"/>
      <c r="B9360" s="57"/>
      <c r="C9360" s="57"/>
      <c r="D9360" s="57"/>
      <c r="E9360" s="56"/>
      <c r="F9360" s="57"/>
      <c r="G9360" s="57"/>
      <c r="H9360" s="56"/>
      <c r="I9360" s="56"/>
      <c r="J9360" s="58"/>
      <c r="K9360" s="58"/>
      <c r="L9360" s="13" t="str">
        <f t="shared" si="1542"/>
        <v/>
      </c>
      <c r="M9360" s="13" t="str">
        <f t="shared" si="1543"/>
        <v/>
      </c>
      <c r="Q9360" t="str">
        <f t="shared" si="1544"/>
        <v/>
      </c>
      <c r="R9360" t="str">
        <f t="shared" si="1545"/>
        <v/>
      </c>
      <c r="S9360" t="str">
        <f t="shared" si="1546"/>
        <v/>
      </c>
      <c r="T9360" t="str">
        <f t="shared" si="1547"/>
        <v/>
      </c>
      <c r="U9360" t="str">
        <f t="shared" si="1548"/>
        <v/>
      </c>
      <c r="V9360" t="str">
        <f t="shared" si="1549"/>
        <v/>
      </c>
      <c r="W9360" t="str">
        <f t="shared" si="1550"/>
        <v/>
      </c>
      <c r="X9360">
        <f t="shared" si="1540"/>
        <v>0</v>
      </c>
      <c r="Z9360" t="str">
        <f t="shared" si="1551"/>
        <v/>
      </c>
      <c r="AA9360">
        <f t="shared" si="1541"/>
        <v>0</v>
      </c>
    </row>
    <row r="9361" spans="1:27" ht="21" customHeight="1" x14ac:dyDescent="0.95">
      <c r="A9361" s="56"/>
      <c r="B9361" s="57"/>
      <c r="C9361" s="57"/>
      <c r="D9361" s="57"/>
      <c r="E9361" s="56"/>
      <c r="F9361" s="57"/>
      <c r="G9361" s="57"/>
      <c r="H9361" s="56"/>
      <c r="I9361" s="56"/>
      <c r="J9361" s="58"/>
      <c r="K9361" s="58"/>
      <c r="L9361" s="13" t="str">
        <f t="shared" si="1542"/>
        <v/>
      </c>
      <c r="M9361" s="13" t="str">
        <f t="shared" si="1543"/>
        <v/>
      </c>
      <c r="Q9361" t="str">
        <f t="shared" si="1544"/>
        <v/>
      </c>
      <c r="R9361" t="str">
        <f t="shared" si="1545"/>
        <v/>
      </c>
      <c r="S9361" t="str">
        <f t="shared" si="1546"/>
        <v/>
      </c>
      <c r="T9361" t="str">
        <f t="shared" si="1547"/>
        <v/>
      </c>
      <c r="U9361" t="str">
        <f t="shared" si="1548"/>
        <v/>
      </c>
      <c r="V9361" t="str">
        <f t="shared" si="1549"/>
        <v/>
      </c>
      <c r="W9361" t="str">
        <f t="shared" si="1550"/>
        <v/>
      </c>
      <c r="X9361">
        <f t="shared" si="1540"/>
        <v>0</v>
      </c>
      <c r="Z9361" t="str">
        <f t="shared" si="1551"/>
        <v/>
      </c>
      <c r="AA9361">
        <f t="shared" si="1541"/>
        <v>0</v>
      </c>
    </row>
    <row r="9362" spans="1:27" ht="21" customHeight="1" x14ac:dyDescent="0.95">
      <c r="A9362" s="56"/>
      <c r="B9362" s="57"/>
      <c r="C9362" s="57"/>
      <c r="D9362" s="57"/>
      <c r="E9362" s="56"/>
      <c r="F9362" s="57"/>
      <c r="G9362" s="57"/>
      <c r="H9362" s="56"/>
      <c r="I9362" s="56"/>
      <c r="J9362" s="58"/>
      <c r="K9362" s="58"/>
      <c r="L9362" s="13" t="str">
        <f t="shared" si="1542"/>
        <v/>
      </c>
      <c r="M9362" s="13" t="str">
        <f t="shared" si="1543"/>
        <v/>
      </c>
      <c r="Q9362" t="str">
        <f t="shared" si="1544"/>
        <v/>
      </c>
      <c r="R9362" t="str">
        <f t="shared" si="1545"/>
        <v/>
      </c>
      <c r="S9362" t="str">
        <f t="shared" si="1546"/>
        <v/>
      </c>
      <c r="T9362" t="str">
        <f t="shared" si="1547"/>
        <v/>
      </c>
      <c r="U9362" t="str">
        <f t="shared" si="1548"/>
        <v/>
      </c>
      <c r="V9362" t="str">
        <f t="shared" si="1549"/>
        <v/>
      </c>
      <c r="W9362" t="str">
        <f t="shared" si="1550"/>
        <v/>
      </c>
      <c r="X9362">
        <f t="shared" si="1540"/>
        <v>0</v>
      </c>
      <c r="Z9362" t="str">
        <f t="shared" si="1551"/>
        <v/>
      </c>
      <c r="AA9362">
        <f t="shared" si="1541"/>
        <v>0</v>
      </c>
    </row>
    <row r="9363" spans="1:27" ht="21" customHeight="1" x14ac:dyDescent="0.95">
      <c r="A9363" s="56"/>
      <c r="B9363" s="57"/>
      <c r="C9363" s="57"/>
      <c r="D9363" s="57"/>
      <c r="E9363" s="56"/>
      <c r="F9363" s="57"/>
      <c r="G9363" s="57"/>
      <c r="H9363" s="56"/>
      <c r="I9363" s="56"/>
      <c r="J9363" s="58"/>
      <c r="K9363" s="58"/>
      <c r="L9363" s="13" t="str">
        <f t="shared" si="1542"/>
        <v/>
      </c>
      <c r="M9363" s="13" t="str">
        <f t="shared" si="1543"/>
        <v/>
      </c>
      <c r="Q9363" t="str">
        <f t="shared" si="1544"/>
        <v/>
      </c>
      <c r="R9363" t="str">
        <f t="shared" si="1545"/>
        <v/>
      </c>
      <c r="S9363" t="str">
        <f t="shared" si="1546"/>
        <v/>
      </c>
      <c r="T9363" t="str">
        <f t="shared" si="1547"/>
        <v/>
      </c>
      <c r="U9363" t="str">
        <f t="shared" si="1548"/>
        <v/>
      </c>
      <c r="V9363" t="str">
        <f t="shared" si="1549"/>
        <v/>
      </c>
      <c r="W9363" t="str">
        <f t="shared" si="1550"/>
        <v/>
      </c>
      <c r="X9363">
        <f t="shared" si="1540"/>
        <v>0</v>
      </c>
      <c r="Z9363" t="str">
        <f t="shared" si="1551"/>
        <v/>
      </c>
      <c r="AA9363">
        <f t="shared" si="1541"/>
        <v>0</v>
      </c>
    </row>
    <row r="9364" spans="1:27" ht="21" customHeight="1" x14ac:dyDescent="0.95">
      <c r="A9364" s="56"/>
      <c r="B9364" s="57"/>
      <c r="C9364" s="57"/>
      <c r="D9364" s="57"/>
      <c r="E9364" s="56"/>
      <c r="F9364" s="57"/>
      <c r="G9364" s="57"/>
      <c r="H9364" s="56"/>
      <c r="I9364" s="56"/>
      <c r="J9364" s="58"/>
      <c r="K9364" s="58"/>
      <c r="L9364" s="13" t="str">
        <f t="shared" si="1542"/>
        <v/>
      </c>
      <c r="M9364" s="13" t="str">
        <f t="shared" si="1543"/>
        <v/>
      </c>
      <c r="Q9364" t="str">
        <f t="shared" si="1544"/>
        <v/>
      </c>
      <c r="R9364" t="str">
        <f t="shared" si="1545"/>
        <v/>
      </c>
      <c r="S9364" t="str">
        <f t="shared" si="1546"/>
        <v/>
      </c>
      <c r="T9364" t="str">
        <f t="shared" si="1547"/>
        <v/>
      </c>
      <c r="U9364" t="str">
        <f t="shared" si="1548"/>
        <v/>
      </c>
      <c r="V9364" t="str">
        <f t="shared" si="1549"/>
        <v/>
      </c>
      <c r="W9364" t="str">
        <f t="shared" si="1550"/>
        <v/>
      </c>
      <c r="X9364">
        <f t="shared" si="1540"/>
        <v>0</v>
      </c>
      <c r="Z9364" t="str">
        <f t="shared" si="1551"/>
        <v/>
      </c>
      <c r="AA9364">
        <f t="shared" si="1541"/>
        <v>0</v>
      </c>
    </row>
    <row r="9365" spans="1:27" ht="21" customHeight="1" x14ac:dyDescent="0.95">
      <c r="A9365" s="56"/>
      <c r="B9365" s="57"/>
      <c r="C9365" s="57"/>
      <c r="D9365" s="57"/>
      <c r="E9365" s="56"/>
      <c r="F9365" s="57"/>
      <c r="G9365" s="57"/>
      <c r="H9365" s="56"/>
      <c r="I9365" s="56"/>
      <c r="J9365" s="58"/>
      <c r="K9365" s="58"/>
      <c r="L9365" s="13" t="str">
        <f t="shared" si="1542"/>
        <v/>
      </c>
      <c r="M9365" s="13" t="str">
        <f t="shared" si="1543"/>
        <v/>
      </c>
      <c r="Q9365" t="str">
        <f t="shared" si="1544"/>
        <v/>
      </c>
      <c r="R9365" t="str">
        <f t="shared" si="1545"/>
        <v/>
      </c>
      <c r="S9365" t="str">
        <f t="shared" si="1546"/>
        <v/>
      </c>
      <c r="T9365" t="str">
        <f t="shared" si="1547"/>
        <v/>
      </c>
      <c r="U9365" t="str">
        <f t="shared" si="1548"/>
        <v/>
      </c>
      <c r="V9365" t="str">
        <f t="shared" si="1549"/>
        <v/>
      </c>
      <c r="W9365" t="str">
        <f t="shared" si="1550"/>
        <v/>
      </c>
      <c r="X9365">
        <f t="shared" si="1540"/>
        <v>0</v>
      </c>
      <c r="Z9365" t="str">
        <f t="shared" si="1551"/>
        <v/>
      </c>
      <c r="AA9365">
        <f t="shared" si="1541"/>
        <v>0</v>
      </c>
    </row>
    <row r="9366" spans="1:27" ht="21" customHeight="1" x14ac:dyDescent="0.95">
      <c r="A9366" s="56"/>
      <c r="B9366" s="57"/>
      <c r="C9366" s="57"/>
      <c r="D9366" s="57"/>
      <c r="E9366" s="56"/>
      <c r="F9366" s="57"/>
      <c r="G9366" s="57"/>
      <c r="H9366" s="56"/>
      <c r="I9366" s="56"/>
      <c r="J9366" s="58"/>
      <c r="K9366" s="58"/>
      <c r="L9366" s="13" t="str">
        <f t="shared" si="1542"/>
        <v/>
      </c>
      <c r="M9366" s="13" t="str">
        <f t="shared" si="1543"/>
        <v/>
      </c>
      <c r="Q9366" t="str">
        <f t="shared" si="1544"/>
        <v/>
      </c>
      <c r="R9366" t="str">
        <f t="shared" si="1545"/>
        <v/>
      </c>
      <c r="S9366" t="str">
        <f t="shared" si="1546"/>
        <v/>
      </c>
      <c r="T9366" t="str">
        <f t="shared" si="1547"/>
        <v/>
      </c>
      <c r="U9366" t="str">
        <f t="shared" si="1548"/>
        <v/>
      </c>
      <c r="V9366" t="str">
        <f t="shared" si="1549"/>
        <v/>
      </c>
      <c r="W9366" t="str">
        <f t="shared" si="1550"/>
        <v/>
      </c>
      <c r="X9366">
        <f t="shared" si="1540"/>
        <v>0</v>
      </c>
      <c r="Z9366" t="str">
        <f t="shared" si="1551"/>
        <v/>
      </c>
      <c r="AA9366">
        <f t="shared" si="1541"/>
        <v>0</v>
      </c>
    </row>
    <row r="9367" spans="1:27" ht="21" customHeight="1" x14ac:dyDescent="0.95">
      <c r="A9367" s="56"/>
      <c r="B9367" s="57"/>
      <c r="C9367" s="57"/>
      <c r="D9367" s="57"/>
      <c r="E9367" s="56"/>
      <c r="F9367" s="57"/>
      <c r="G9367" s="57"/>
      <c r="H9367" s="56"/>
      <c r="I9367" s="56"/>
      <c r="J9367" s="58"/>
      <c r="K9367" s="58"/>
      <c r="L9367" s="13" t="str">
        <f t="shared" si="1542"/>
        <v/>
      </c>
      <c r="M9367" s="13" t="str">
        <f t="shared" si="1543"/>
        <v/>
      </c>
      <c r="Q9367" t="str">
        <f t="shared" si="1544"/>
        <v/>
      </c>
      <c r="R9367" t="str">
        <f t="shared" si="1545"/>
        <v/>
      </c>
      <c r="S9367" t="str">
        <f t="shared" si="1546"/>
        <v/>
      </c>
      <c r="T9367" t="str">
        <f t="shared" si="1547"/>
        <v/>
      </c>
      <c r="U9367" t="str">
        <f t="shared" si="1548"/>
        <v/>
      </c>
      <c r="V9367" t="str">
        <f t="shared" si="1549"/>
        <v/>
      </c>
      <c r="W9367" t="str">
        <f t="shared" si="1550"/>
        <v/>
      </c>
      <c r="X9367">
        <f t="shared" si="1540"/>
        <v>0</v>
      </c>
      <c r="Z9367" t="str">
        <f t="shared" si="1551"/>
        <v/>
      </c>
      <c r="AA9367">
        <f t="shared" si="1541"/>
        <v>0</v>
      </c>
    </row>
    <row r="9368" spans="1:27" ht="21" customHeight="1" x14ac:dyDescent="0.95">
      <c r="A9368" s="56"/>
      <c r="B9368" s="57"/>
      <c r="C9368" s="57"/>
      <c r="D9368" s="57"/>
      <c r="E9368" s="56"/>
      <c r="F9368" s="57"/>
      <c r="G9368" s="57"/>
      <c r="H9368" s="56"/>
      <c r="I9368" s="56"/>
      <c r="J9368" s="58"/>
      <c r="K9368" s="58"/>
      <c r="L9368" s="13" t="str">
        <f t="shared" si="1542"/>
        <v/>
      </c>
      <c r="M9368" s="13" t="str">
        <f t="shared" si="1543"/>
        <v/>
      </c>
      <c r="Q9368" t="str">
        <f t="shared" si="1544"/>
        <v/>
      </c>
      <c r="R9368" t="str">
        <f t="shared" si="1545"/>
        <v/>
      </c>
      <c r="S9368" t="str">
        <f t="shared" si="1546"/>
        <v/>
      </c>
      <c r="T9368" t="str">
        <f t="shared" si="1547"/>
        <v/>
      </c>
      <c r="U9368" t="str">
        <f t="shared" si="1548"/>
        <v/>
      </c>
      <c r="V9368" t="str">
        <f t="shared" si="1549"/>
        <v/>
      </c>
      <c r="W9368" t="str">
        <f t="shared" si="1550"/>
        <v/>
      </c>
      <c r="X9368">
        <f t="shared" si="1540"/>
        <v>0</v>
      </c>
      <c r="Z9368" t="str">
        <f t="shared" si="1551"/>
        <v/>
      </c>
      <c r="AA9368">
        <f t="shared" si="1541"/>
        <v>0</v>
      </c>
    </row>
    <row r="9369" spans="1:27" ht="21" customHeight="1" x14ac:dyDescent="0.95">
      <c r="A9369" s="56"/>
      <c r="B9369" s="57"/>
      <c r="C9369" s="57"/>
      <c r="D9369" s="57"/>
      <c r="E9369" s="56"/>
      <c r="F9369" s="57"/>
      <c r="G9369" s="57"/>
      <c r="H9369" s="56"/>
      <c r="I9369" s="56"/>
      <c r="J9369" s="58"/>
      <c r="K9369" s="58"/>
      <c r="L9369" s="13" t="str">
        <f t="shared" si="1542"/>
        <v/>
      </c>
      <c r="M9369" s="13" t="str">
        <f t="shared" si="1543"/>
        <v/>
      </c>
      <c r="Q9369" t="str">
        <f t="shared" si="1544"/>
        <v/>
      </c>
      <c r="R9369" t="str">
        <f t="shared" si="1545"/>
        <v/>
      </c>
      <c r="S9369" t="str">
        <f t="shared" si="1546"/>
        <v/>
      </c>
      <c r="T9369" t="str">
        <f t="shared" si="1547"/>
        <v/>
      </c>
      <c r="U9369" t="str">
        <f t="shared" si="1548"/>
        <v/>
      </c>
      <c r="V9369" t="str">
        <f t="shared" si="1549"/>
        <v/>
      </c>
      <c r="W9369" t="str">
        <f t="shared" si="1550"/>
        <v/>
      </c>
      <c r="X9369">
        <f t="shared" si="1540"/>
        <v>0</v>
      </c>
      <c r="Z9369" t="str">
        <f t="shared" si="1551"/>
        <v/>
      </c>
      <c r="AA9369">
        <f t="shared" si="1541"/>
        <v>0</v>
      </c>
    </row>
    <row r="9370" spans="1:27" ht="21" customHeight="1" x14ac:dyDescent="0.95">
      <c r="A9370" s="56"/>
      <c r="B9370" s="57"/>
      <c r="C9370" s="57"/>
      <c r="D9370" s="57"/>
      <c r="E9370" s="56"/>
      <c r="F9370" s="57"/>
      <c r="G9370" s="57"/>
      <c r="H9370" s="56"/>
      <c r="I9370" s="56"/>
      <c r="J9370" s="58"/>
      <c r="K9370" s="58"/>
      <c r="L9370" s="13" t="str">
        <f t="shared" si="1542"/>
        <v/>
      </c>
      <c r="M9370" s="13" t="str">
        <f t="shared" si="1543"/>
        <v/>
      </c>
      <c r="Q9370" t="str">
        <f t="shared" si="1544"/>
        <v/>
      </c>
      <c r="R9370" t="str">
        <f t="shared" si="1545"/>
        <v/>
      </c>
      <c r="S9370" t="str">
        <f t="shared" si="1546"/>
        <v/>
      </c>
      <c r="T9370" t="str">
        <f t="shared" si="1547"/>
        <v/>
      </c>
      <c r="U9370" t="str">
        <f t="shared" si="1548"/>
        <v/>
      </c>
      <c r="V9370" t="str">
        <f t="shared" si="1549"/>
        <v/>
      </c>
      <c r="W9370" t="str">
        <f t="shared" si="1550"/>
        <v/>
      </c>
      <c r="X9370">
        <f t="shared" si="1540"/>
        <v>0</v>
      </c>
      <c r="Z9370" t="str">
        <f t="shared" si="1551"/>
        <v/>
      </c>
      <c r="AA9370">
        <f t="shared" si="1541"/>
        <v>0</v>
      </c>
    </row>
    <row r="9371" spans="1:27" ht="21" customHeight="1" x14ac:dyDescent="0.95">
      <c r="A9371" s="56"/>
      <c r="B9371" s="57"/>
      <c r="C9371" s="57"/>
      <c r="D9371" s="57"/>
      <c r="E9371" s="56"/>
      <c r="F9371" s="57"/>
      <c r="G9371" s="57"/>
      <c r="H9371" s="56"/>
      <c r="I9371" s="56"/>
      <c r="J9371" s="58"/>
      <c r="K9371" s="58"/>
      <c r="L9371" s="13" t="str">
        <f t="shared" si="1542"/>
        <v/>
      </c>
      <c r="M9371" s="13" t="str">
        <f t="shared" si="1543"/>
        <v/>
      </c>
      <c r="Q9371" t="str">
        <f t="shared" si="1544"/>
        <v/>
      </c>
      <c r="R9371" t="str">
        <f t="shared" si="1545"/>
        <v/>
      </c>
      <c r="S9371" t="str">
        <f t="shared" si="1546"/>
        <v/>
      </c>
      <c r="T9371" t="str">
        <f t="shared" si="1547"/>
        <v/>
      </c>
      <c r="U9371" t="str">
        <f t="shared" si="1548"/>
        <v/>
      </c>
      <c r="V9371" t="str">
        <f t="shared" si="1549"/>
        <v/>
      </c>
      <c r="W9371" t="str">
        <f t="shared" si="1550"/>
        <v/>
      </c>
      <c r="X9371">
        <f t="shared" si="1540"/>
        <v>0</v>
      </c>
      <c r="Z9371" t="str">
        <f t="shared" si="1551"/>
        <v/>
      </c>
      <c r="AA9371">
        <f t="shared" si="1541"/>
        <v>0</v>
      </c>
    </row>
    <row r="9372" spans="1:27" ht="21" customHeight="1" x14ac:dyDescent="0.95">
      <c r="A9372" s="56"/>
      <c r="B9372" s="57"/>
      <c r="C9372" s="57"/>
      <c r="D9372" s="57"/>
      <c r="E9372" s="56"/>
      <c r="F9372" s="57"/>
      <c r="G9372" s="57"/>
      <c r="H9372" s="56"/>
      <c r="I9372" s="56"/>
      <c r="J9372" s="58"/>
      <c r="K9372" s="58"/>
      <c r="L9372" s="13" t="str">
        <f t="shared" si="1542"/>
        <v/>
      </c>
      <c r="M9372" s="13" t="str">
        <f t="shared" si="1543"/>
        <v/>
      </c>
      <c r="Q9372" t="str">
        <f t="shared" si="1544"/>
        <v/>
      </c>
      <c r="R9372" t="str">
        <f t="shared" si="1545"/>
        <v/>
      </c>
      <c r="S9372" t="str">
        <f t="shared" si="1546"/>
        <v/>
      </c>
      <c r="T9372" t="str">
        <f t="shared" si="1547"/>
        <v/>
      </c>
      <c r="U9372" t="str">
        <f t="shared" si="1548"/>
        <v/>
      </c>
      <c r="V9372" t="str">
        <f t="shared" si="1549"/>
        <v/>
      </c>
      <c r="W9372" t="str">
        <f t="shared" si="1550"/>
        <v/>
      </c>
      <c r="X9372">
        <f t="shared" si="1540"/>
        <v>0</v>
      </c>
      <c r="Z9372" t="str">
        <f t="shared" si="1551"/>
        <v/>
      </c>
      <c r="AA9372">
        <f t="shared" si="1541"/>
        <v>0</v>
      </c>
    </row>
    <row r="9373" spans="1:27" ht="21" customHeight="1" x14ac:dyDescent="0.95">
      <c r="A9373" s="56"/>
      <c r="B9373" s="57"/>
      <c r="C9373" s="57"/>
      <c r="D9373" s="57"/>
      <c r="E9373" s="56"/>
      <c r="F9373" s="57"/>
      <c r="G9373" s="57"/>
      <c r="H9373" s="56"/>
      <c r="I9373" s="56"/>
      <c r="J9373" s="58"/>
      <c r="K9373" s="58"/>
      <c r="L9373" s="13" t="str">
        <f t="shared" si="1542"/>
        <v/>
      </c>
      <c r="M9373" s="13" t="str">
        <f t="shared" si="1543"/>
        <v/>
      </c>
      <c r="Q9373" t="str">
        <f t="shared" si="1544"/>
        <v/>
      </c>
      <c r="R9373" t="str">
        <f t="shared" si="1545"/>
        <v/>
      </c>
      <c r="S9373" t="str">
        <f t="shared" si="1546"/>
        <v/>
      </c>
      <c r="T9373" t="str">
        <f t="shared" si="1547"/>
        <v/>
      </c>
      <c r="U9373" t="str">
        <f t="shared" si="1548"/>
        <v/>
      </c>
      <c r="V9373" t="str">
        <f t="shared" si="1549"/>
        <v/>
      </c>
      <c r="W9373" t="str">
        <f t="shared" si="1550"/>
        <v/>
      </c>
      <c r="X9373">
        <f t="shared" si="1540"/>
        <v>0</v>
      </c>
      <c r="Z9373" t="str">
        <f t="shared" si="1551"/>
        <v/>
      </c>
      <c r="AA9373">
        <f t="shared" si="1541"/>
        <v>0</v>
      </c>
    </row>
    <row r="9374" spans="1:27" ht="21" customHeight="1" x14ac:dyDescent="0.95">
      <c r="A9374" s="56"/>
      <c r="B9374" s="57"/>
      <c r="C9374" s="57"/>
      <c r="D9374" s="57"/>
      <c r="E9374" s="56"/>
      <c r="F9374" s="57"/>
      <c r="G9374" s="57"/>
      <c r="H9374" s="56"/>
      <c r="I9374" s="56"/>
      <c r="J9374" s="58"/>
      <c r="K9374" s="58"/>
      <c r="L9374" s="13" t="str">
        <f t="shared" si="1542"/>
        <v/>
      </c>
      <c r="M9374" s="13" t="str">
        <f t="shared" si="1543"/>
        <v/>
      </c>
      <c r="Q9374" t="str">
        <f t="shared" si="1544"/>
        <v/>
      </c>
      <c r="R9374" t="str">
        <f t="shared" si="1545"/>
        <v/>
      </c>
      <c r="S9374" t="str">
        <f t="shared" si="1546"/>
        <v/>
      </c>
      <c r="T9374" t="str">
        <f t="shared" si="1547"/>
        <v/>
      </c>
      <c r="U9374" t="str">
        <f t="shared" si="1548"/>
        <v/>
      </c>
      <c r="V9374" t="str">
        <f t="shared" si="1549"/>
        <v/>
      </c>
      <c r="W9374" t="str">
        <f t="shared" si="1550"/>
        <v/>
      </c>
      <c r="X9374">
        <f t="shared" si="1540"/>
        <v>0</v>
      </c>
      <c r="Z9374" t="str">
        <f t="shared" si="1551"/>
        <v/>
      </c>
      <c r="AA9374">
        <f t="shared" si="1541"/>
        <v>0</v>
      </c>
    </row>
    <row r="9375" spans="1:27" ht="21" customHeight="1" x14ac:dyDescent="0.95">
      <c r="A9375" s="56"/>
      <c r="B9375" s="57"/>
      <c r="C9375" s="57"/>
      <c r="D9375" s="57"/>
      <c r="E9375" s="56"/>
      <c r="F9375" s="57"/>
      <c r="G9375" s="57"/>
      <c r="H9375" s="56"/>
      <c r="I9375" s="56"/>
      <c r="J9375" s="58"/>
      <c r="K9375" s="58"/>
      <c r="L9375" s="13" t="str">
        <f t="shared" si="1542"/>
        <v/>
      </c>
      <c r="M9375" s="13" t="str">
        <f t="shared" si="1543"/>
        <v/>
      </c>
      <c r="Q9375" t="str">
        <f t="shared" si="1544"/>
        <v/>
      </c>
      <c r="R9375" t="str">
        <f t="shared" si="1545"/>
        <v/>
      </c>
      <c r="S9375" t="str">
        <f t="shared" si="1546"/>
        <v/>
      </c>
      <c r="T9375" t="str">
        <f t="shared" si="1547"/>
        <v/>
      </c>
      <c r="U9375" t="str">
        <f t="shared" si="1548"/>
        <v/>
      </c>
      <c r="V9375" t="str">
        <f t="shared" si="1549"/>
        <v/>
      </c>
      <c r="W9375" t="str">
        <f t="shared" si="1550"/>
        <v/>
      </c>
      <c r="X9375">
        <f t="shared" si="1540"/>
        <v>0</v>
      </c>
      <c r="Z9375" t="str">
        <f t="shared" si="1551"/>
        <v/>
      </c>
      <c r="AA9375">
        <f t="shared" si="1541"/>
        <v>0</v>
      </c>
    </row>
    <row r="9376" spans="1:27" ht="21" customHeight="1" x14ac:dyDescent="0.95">
      <c r="A9376" s="56"/>
      <c r="B9376" s="57"/>
      <c r="C9376" s="57"/>
      <c r="D9376" s="57"/>
      <c r="E9376" s="56"/>
      <c r="F9376" s="57"/>
      <c r="G9376" s="57"/>
      <c r="H9376" s="56"/>
      <c r="I9376" s="56"/>
      <c r="J9376" s="58"/>
      <c r="K9376" s="58"/>
      <c r="L9376" s="13" t="str">
        <f t="shared" si="1542"/>
        <v/>
      </c>
      <c r="M9376" s="13" t="str">
        <f t="shared" si="1543"/>
        <v/>
      </c>
      <c r="Q9376" t="str">
        <f t="shared" si="1544"/>
        <v/>
      </c>
      <c r="R9376" t="str">
        <f t="shared" si="1545"/>
        <v/>
      </c>
      <c r="S9376" t="str">
        <f t="shared" si="1546"/>
        <v/>
      </c>
      <c r="T9376" t="str">
        <f t="shared" si="1547"/>
        <v/>
      </c>
      <c r="U9376" t="str">
        <f t="shared" si="1548"/>
        <v/>
      </c>
      <c r="V9376" t="str">
        <f t="shared" si="1549"/>
        <v/>
      </c>
      <c r="W9376" t="str">
        <f t="shared" si="1550"/>
        <v/>
      </c>
      <c r="X9376">
        <f t="shared" si="1540"/>
        <v>0</v>
      </c>
      <c r="Z9376" t="str">
        <f t="shared" si="1551"/>
        <v/>
      </c>
      <c r="AA9376">
        <f t="shared" si="1541"/>
        <v>0</v>
      </c>
    </row>
    <row r="9377" spans="1:27" ht="21" customHeight="1" x14ac:dyDescent="0.95">
      <c r="A9377" s="56"/>
      <c r="B9377" s="57"/>
      <c r="C9377" s="57"/>
      <c r="D9377" s="57"/>
      <c r="E9377" s="56"/>
      <c r="F9377" s="57"/>
      <c r="G9377" s="57"/>
      <c r="H9377" s="56"/>
      <c r="I9377" s="56"/>
      <c r="J9377" s="58"/>
      <c r="K9377" s="58"/>
      <c r="L9377" s="13" t="str">
        <f t="shared" si="1542"/>
        <v/>
      </c>
      <c r="M9377" s="13" t="str">
        <f t="shared" si="1543"/>
        <v/>
      </c>
      <c r="Q9377" t="str">
        <f t="shared" si="1544"/>
        <v/>
      </c>
      <c r="R9377" t="str">
        <f t="shared" si="1545"/>
        <v/>
      </c>
      <c r="S9377" t="str">
        <f t="shared" si="1546"/>
        <v/>
      </c>
      <c r="T9377" t="str">
        <f t="shared" si="1547"/>
        <v/>
      </c>
      <c r="U9377" t="str">
        <f t="shared" si="1548"/>
        <v/>
      </c>
      <c r="V9377" t="str">
        <f t="shared" si="1549"/>
        <v/>
      </c>
      <c r="W9377" t="str">
        <f t="shared" si="1550"/>
        <v/>
      </c>
      <c r="X9377">
        <f t="shared" si="1540"/>
        <v>0</v>
      </c>
      <c r="Z9377" t="str">
        <f t="shared" si="1551"/>
        <v/>
      </c>
      <c r="AA9377">
        <f t="shared" si="1541"/>
        <v>0</v>
      </c>
    </row>
    <row r="9378" spans="1:27" ht="21" customHeight="1" x14ac:dyDescent="0.95">
      <c r="A9378" s="56"/>
      <c r="B9378" s="57"/>
      <c r="C9378" s="57"/>
      <c r="D9378" s="57"/>
      <c r="E9378" s="56"/>
      <c r="F9378" s="57"/>
      <c r="G9378" s="57"/>
      <c r="H9378" s="56"/>
      <c r="I9378" s="56"/>
      <c r="J9378" s="58"/>
      <c r="K9378" s="58"/>
      <c r="L9378" s="13" t="str">
        <f t="shared" si="1542"/>
        <v/>
      </c>
      <c r="M9378" s="13" t="str">
        <f t="shared" si="1543"/>
        <v/>
      </c>
      <c r="Q9378" t="str">
        <f t="shared" si="1544"/>
        <v/>
      </c>
      <c r="R9378" t="str">
        <f t="shared" si="1545"/>
        <v/>
      </c>
      <c r="S9378" t="str">
        <f t="shared" si="1546"/>
        <v/>
      </c>
      <c r="T9378" t="str">
        <f t="shared" si="1547"/>
        <v/>
      </c>
      <c r="U9378" t="str">
        <f t="shared" si="1548"/>
        <v/>
      </c>
      <c r="V9378" t="str">
        <f t="shared" si="1549"/>
        <v/>
      </c>
      <c r="W9378" t="str">
        <f t="shared" si="1550"/>
        <v/>
      </c>
      <c r="X9378">
        <f t="shared" si="1540"/>
        <v>0</v>
      </c>
      <c r="Z9378" t="str">
        <f t="shared" si="1551"/>
        <v/>
      </c>
      <c r="AA9378">
        <f t="shared" si="1541"/>
        <v>0</v>
      </c>
    </row>
    <row r="9379" spans="1:27" ht="21" customHeight="1" x14ac:dyDescent="0.95">
      <c r="A9379" s="56"/>
      <c r="B9379" s="57"/>
      <c r="C9379" s="57"/>
      <c r="D9379" s="57"/>
      <c r="E9379" s="56"/>
      <c r="F9379" s="57"/>
      <c r="G9379" s="57"/>
      <c r="H9379" s="56"/>
      <c r="I9379" s="56"/>
      <c r="J9379" s="58"/>
      <c r="K9379" s="58"/>
      <c r="L9379" s="13" t="str">
        <f t="shared" si="1542"/>
        <v/>
      </c>
      <c r="M9379" s="13" t="str">
        <f t="shared" si="1543"/>
        <v/>
      </c>
      <c r="Q9379" t="str">
        <f t="shared" si="1544"/>
        <v/>
      </c>
      <c r="R9379" t="str">
        <f t="shared" si="1545"/>
        <v/>
      </c>
      <c r="S9379" t="str">
        <f t="shared" si="1546"/>
        <v/>
      </c>
      <c r="T9379" t="str">
        <f t="shared" si="1547"/>
        <v/>
      </c>
      <c r="U9379" t="str">
        <f t="shared" si="1548"/>
        <v/>
      </c>
      <c r="V9379" t="str">
        <f t="shared" si="1549"/>
        <v/>
      </c>
      <c r="W9379" t="str">
        <f t="shared" si="1550"/>
        <v/>
      </c>
      <c r="X9379">
        <f t="shared" si="1540"/>
        <v>0</v>
      </c>
      <c r="Z9379" t="str">
        <f t="shared" si="1551"/>
        <v/>
      </c>
      <c r="AA9379">
        <f t="shared" si="1541"/>
        <v>0</v>
      </c>
    </row>
    <row r="9380" spans="1:27" ht="21" customHeight="1" x14ac:dyDescent="0.95">
      <c r="A9380" s="56"/>
      <c r="B9380" s="57"/>
      <c r="C9380" s="57"/>
      <c r="D9380" s="57"/>
      <c r="E9380" s="56"/>
      <c r="F9380" s="57"/>
      <c r="G9380" s="57"/>
      <c r="H9380" s="56"/>
      <c r="I9380" s="56"/>
      <c r="J9380" s="58"/>
      <c r="K9380" s="58"/>
      <c r="L9380" s="13" t="str">
        <f t="shared" si="1542"/>
        <v/>
      </c>
      <c r="M9380" s="13" t="str">
        <f t="shared" si="1543"/>
        <v/>
      </c>
      <c r="Q9380" t="str">
        <f t="shared" si="1544"/>
        <v/>
      </c>
      <c r="R9380" t="str">
        <f t="shared" si="1545"/>
        <v/>
      </c>
      <c r="S9380" t="str">
        <f t="shared" si="1546"/>
        <v/>
      </c>
      <c r="T9380" t="str">
        <f t="shared" si="1547"/>
        <v/>
      </c>
      <c r="U9380" t="str">
        <f t="shared" si="1548"/>
        <v/>
      </c>
      <c r="V9380" t="str">
        <f t="shared" si="1549"/>
        <v/>
      </c>
      <c r="W9380" t="str">
        <f t="shared" si="1550"/>
        <v/>
      </c>
      <c r="X9380">
        <f t="shared" si="1540"/>
        <v>0</v>
      </c>
      <c r="Z9380" t="str">
        <f t="shared" si="1551"/>
        <v/>
      </c>
      <c r="AA9380">
        <f t="shared" si="1541"/>
        <v>0</v>
      </c>
    </row>
    <row r="9381" spans="1:27" ht="21" customHeight="1" x14ac:dyDescent="0.95">
      <c r="A9381" s="56"/>
      <c r="B9381" s="57"/>
      <c r="C9381" s="57"/>
      <c r="D9381" s="57"/>
      <c r="E9381" s="56"/>
      <c r="F9381" s="57"/>
      <c r="G9381" s="57"/>
      <c r="H9381" s="56"/>
      <c r="I9381" s="56"/>
      <c r="J9381" s="58"/>
      <c r="K9381" s="58"/>
      <c r="L9381" s="13" t="str">
        <f t="shared" si="1542"/>
        <v/>
      </c>
      <c r="M9381" s="13" t="str">
        <f t="shared" si="1543"/>
        <v/>
      </c>
      <c r="Q9381" t="str">
        <f t="shared" si="1544"/>
        <v/>
      </c>
      <c r="R9381" t="str">
        <f t="shared" si="1545"/>
        <v/>
      </c>
      <c r="S9381" t="str">
        <f t="shared" si="1546"/>
        <v/>
      </c>
      <c r="T9381" t="str">
        <f t="shared" si="1547"/>
        <v/>
      </c>
      <c r="U9381" t="str">
        <f t="shared" si="1548"/>
        <v/>
      </c>
      <c r="V9381" t="str">
        <f t="shared" si="1549"/>
        <v/>
      </c>
      <c r="W9381" t="str">
        <f t="shared" si="1550"/>
        <v/>
      </c>
      <c r="X9381">
        <f t="shared" si="1540"/>
        <v>0</v>
      </c>
      <c r="Z9381" t="str">
        <f t="shared" si="1551"/>
        <v/>
      </c>
      <c r="AA9381">
        <f t="shared" si="1541"/>
        <v>0</v>
      </c>
    </row>
    <row r="9382" spans="1:27" ht="21" customHeight="1" x14ac:dyDescent="0.95">
      <c r="A9382" s="56"/>
      <c r="B9382" s="57"/>
      <c r="C9382" s="57"/>
      <c r="D9382" s="57"/>
      <c r="E9382" s="56"/>
      <c r="F9382" s="57"/>
      <c r="G9382" s="57"/>
      <c r="H9382" s="56"/>
      <c r="I9382" s="56"/>
      <c r="J9382" s="58"/>
      <c r="K9382" s="58"/>
      <c r="L9382" s="13" t="str">
        <f t="shared" si="1542"/>
        <v/>
      </c>
      <c r="M9382" s="13" t="str">
        <f t="shared" si="1543"/>
        <v/>
      </c>
      <c r="Q9382" t="str">
        <f t="shared" si="1544"/>
        <v/>
      </c>
      <c r="R9382" t="str">
        <f t="shared" si="1545"/>
        <v/>
      </c>
      <c r="S9382" t="str">
        <f t="shared" si="1546"/>
        <v/>
      </c>
      <c r="T9382" t="str">
        <f t="shared" si="1547"/>
        <v/>
      </c>
      <c r="U9382" t="str">
        <f t="shared" si="1548"/>
        <v/>
      </c>
      <c r="V9382" t="str">
        <f t="shared" si="1549"/>
        <v/>
      </c>
      <c r="W9382" t="str">
        <f t="shared" si="1550"/>
        <v/>
      </c>
      <c r="X9382">
        <f t="shared" si="1540"/>
        <v>0</v>
      </c>
      <c r="Z9382" t="str">
        <f t="shared" si="1551"/>
        <v/>
      </c>
      <c r="AA9382">
        <f t="shared" si="1541"/>
        <v>0</v>
      </c>
    </row>
    <row r="9383" spans="1:27" ht="21" customHeight="1" x14ac:dyDescent="0.95">
      <c r="A9383" s="56"/>
      <c r="B9383" s="57"/>
      <c r="C9383" s="57"/>
      <c r="D9383" s="57"/>
      <c r="E9383" s="56"/>
      <c r="F9383" s="57"/>
      <c r="G9383" s="57"/>
      <c r="H9383" s="56"/>
      <c r="I9383" s="56"/>
      <c r="J9383" s="58"/>
      <c r="K9383" s="58"/>
      <c r="L9383" s="13" t="str">
        <f t="shared" si="1542"/>
        <v/>
      </c>
      <c r="M9383" s="13" t="str">
        <f t="shared" si="1543"/>
        <v/>
      </c>
      <c r="Q9383" t="str">
        <f t="shared" si="1544"/>
        <v/>
      </c>
      <c r="R9383" t="str">
        <f t="shared" si="1545"/>
        <v/>
      </c>
      <c r="S9383" t="str">
        <f t="shared" si="1546"/>
        <v/>
      </c>
      <c r="T9383" t="str">
        <f t="shared" si="1547"/>
        <v/>
      </c>
      <c r="U9383" t="str">
        <f t="shared" si="1548"/>
        <v/>
      </c>
      <c r="V9383" t="str">
        <f t="shared" si="1549"/>
        <v/>
      </c>
      <c r="W9383" t="str">
        <f t="shared" si="1550"/>
        <v/>
      </c>
      <c r="X9383">
        <f t="shared" si="1540"/>
        <v>0</v>
      </c>
      <c r="Z9383" t="str">
        <f t="shared" si="1551"/>
        <v/>
      </c>
      <c r="AA9383">
        <f t="shared" si="1541"/>
        <v>0</v>
      </c>
    </row>
    <row r="9384" spans="1:27" ht="21" customHeight="1" x14ac:dyDescent="0.95">
      <c r="A9384" s="56"/>
      <c r="B9384" s="57"/>
      <c r="C9384" s="57"/>
      <c r="D9384" s="57"/>
      <c r="E9384" s="56"/>
      <c r="F9384" s="57"/>
      <c r="G9384" s="57"/>
      <c r="H9384" s="56"/>
      <c r="I9384" s="56"/>
      <c r="J9384" s="58"/>
      <c r="K9384" s="58"/>
      <c r="L9384" s="13" t="str">
        <f t="shared" si="1542"/>
        <v/>
      </c>
      <c r="M9384" s="13" t="str">
        <f t="shared" si="1543"/>
        <v/>
      </c>
      <c r="Q9384" t="str">
        <f t="shared" si="1544"/>
        <v/>
      </c>
      <c r="R9384" t="str">
        <f t="shared" si="1545"/>
        <v/>
      </c>
      <c r="S9384" t="str">
        <f t="shared" si="1546"/>
        <v/>
      </c>
      <c r="T9384" t="str">
        <f t="shared" si="1547"/>
        <v/>
      </c>
      <c r="U9384" t="str">
        <f t="shared" si="1548"/>
        <v/>
      </c>
      <c r="V9384" t="str">
        <f t="shared" si="1549"/>
        <v/>
      </c>
      <c r="W9384" t="str">
        <f t="shared" si="1550"/>
        <v/>
      </c>
      <c r="X9384">
        <f t="shared" si="1540"/>
        <v>0</v>
      </c>
      <c r="Z9384" t="str">
        <f t="shared" si="1551"/>
        <v/>
      </c>
      <c r="AA9384">
        <f t="shared" si="1541"/>
        <v>0</v>
      </c>
    </row>
    <row r="9385" spans="1:27" ht="21" customHeight="1" x14ac:dyDescent="0.95">
      <c r="A9385" s="56"/>
      <c r="B9385" s="57"/>
      <c r="C9385" s="57"/>
      <c r="D9385" s="57"/>
      <c r="E9385" s="56"/>
      <c r="F9385" s="57"/>
      <c r="G9385" s="57"/>
      <c r="H9385" s="56"/>
      <c r="I9385" s="56"/>
      <c r="J9385" s="58"/>
      <c r="K9385" s="58"/>
      <c r="L9385" s="13" t="str">
        <f t="shared" si="1542"/>
        <v/>
      </c>
      <c r="M9385" s="13" t="str">
        <f t="shared" si="1543"/>
        <v/>
      </c>
      <c r="Q9385" t="str">
        <f t="shared" si="1544"/>
        <v/>
      </c>
      <c r="R9385" t="str">
        <f t="shared" si="1545"/>
        <v/>
      </c>
      <c r="S9385" t="str">
        <f t="shared" si="1546"/>
        <v/>
      </c>
      <c r="T9385" t="str">
        <f t="shared" si="1547"/>
        <v/>
      </c>
      <c r="U9385" t="str">
        <f t="shared" si="1548"/>
        <v/>
      </c>
      <c r="V9385" t="str">
        <f t="shared" si="1549"/>
        <v/>
      </c>
      <c r="W9385" t="str">
        <f t="shared" si="1550"/>
        <v/>
      </c>
      <c r="X9385">
        <f t="shared" si="1540"/>
        <v>0</v>
      </c>
      <c r="Z9385" t="str">
        <f t="shared" si="1551"/>
        <v/>
      </c>
      <c r="AA9385">
        <f t="shared" si="1541"/>
        <v>0</v>
      </c>
    </row>
    <row r="9386" spans="1:27" ht="21" customHeight="1" x14ac:dyDescent="0.95">
      <c r="A9386" s="56"/>
      <c r="B9386" s="57"/>
      <c r="C9386" s="57"/>
      <c r="D9386" s="57"/>
      <c r="E9386" s="56"/>
      <c r="F9386" s="57"/>
      <c r="G9386" s="57"/>
      <c r="H9386" s="56"/>
      <c r="I9386" s="56"/>
      <c r="J9386" s="58"/>
      <c r="K9386" s="58"/>
      <c r="L9386" s="13" t="str">
        <f t="shared" si="1542"/>
        <v/>
      </c>
      <c r="M9386" s="13" t="str">
        <f t="shared" si="1543"/>
        <v/>
      </c>
      <c r="Q9386" t="str">
        <f t="shared" si="1544"/>
        <v/>
      </c>
      <c r="R9386" t="str">
        <f t="shared" si="1545"/>
        <v/>
      </c>
      <c r="S9386" t="str">
        <f t="shared" si="1546"/>
        <v/>
      </c>
      <c r="T9386" t="str">
        <f t="shared" si="1547"/>
        <v/>
      </c>
      <c r="U9386" t="str">
        <f t="shared" si="1548"/>
        <v/>
      </c>
      <c r="V9386" t="str">
        <f t="shared" si="1549"/>
        <v/>
      </c>
      <c r="W9386" t="str">
        <f t="shared" si="1550"/>
        <v/>
      </c>
      <c r="X9386">
        <f t="shared" si="1540"/>
        <v>0</v>
      </c>
      <c r="Z9386" t="str">
        <f t="shared" si="1551"/>
        <v/>
      </c>
      <c r="AA9386">
        <f t="shared" si="1541"/>
        <v>0</v>
      </c>
    </row>
    <row r="9387" spans="1:27" ht="21" customHeight="1" x14ac:dyDescent="0.95">
      <c r="A9387" s="56"/>
      <c r="B9387" s="57"/>
      <c r="C9387" s="57"/>
      <c r="D9387" s="57"/>
      <c r="E9387" s="56"/>
      <c r="F9387" s="57"/>
      <c r="G9387" s="57"/>
      <c r="H9387" s="56"/>
      <c r="I9387" s="56"/>
      <c r="J9387" s="58"/>
      <c r="K9387" s="58"/>
      <c r="L9387" s="13" t="str">
        <f t="shared" si="1542"/>
        <v/>
      </c>
      <c r="M9387" s="13" t="str">
        <f t="shared" si="1543"/>
        <v/>
      </c>
      <c r="Q9387" t="str">
        <f t="shared" si="1544"/>
        <v/>
      </c>
      <c r="R9387" t="str">
        <f t="shared" si="1545"/>
        <v/>
      </c>
      <c r="S9387" t="str">
        <f t="shared" si="1546"/>
        <v/>
      </c>
      <c r="T9387" t="str">
        <f t="shared" si="1547"/>
        <v/>
      </c>
      <c r="U9387" t="str">
        <f t="shared" si="1548"/>
        <v/>
      </c>
      <c r="V9387" t="str">
        <f t="shared" si="1549"/>
        <v/>
      </c>
      <c r="W9387" t="str">
        <f t="shared" si="1550"/>
        <v/>
      </c>
      <c r="X9387">
        <f t="shared" si="1540"/>
        <v>0</v>
      </c>
      <c r="Z9387" t="str">
        <f t="shared" si="1551"/>
        <v/>
      </c>
      <c r="AA9387">
        <f t="shared" si="1541"/>
        <v>0</v>
      </c>
    </row>
    <row r="9388" spans="1:27" ht="21" customHeight="1" x14ac:dyDescent="0.95">
      <c r="A9388" s="56"/>
      <c r="B9388" s="57"/>
      <c r="C9388" s="57"/>
      <c r="D9388" s="57"/>
      <c r="E9388" s="56"/>
      <c r="F9388" s="57"/>
      <c r="G9388" s="57"/>
      <c r="H9388" s="56"/>
      <c r="I9388" s="56"/>
      <c r="J9388" s="58"/>
      <c r="K9388" s="58"/>
      <c r="L9388" s="13" t="str">
        <f t="shared" si="1542"/>
        <v/>
      </c>
      <c r="M9388" s="13" t="str">
        <f t="shared" si="1543"/>
        <v/>
      </c>
      <c r="Q9388" t="str">
        <f t="shared" si="1544"/>
        <v/>
      </c>
      <c r="R9388" t="str">
        <f t="shared" si="1545"/>
        <v/>
      </c>
      <c r="S9388" t="str">
        <f t="shared" si="1546"/>
        <v/>
      </c>
      <c r="T9388" t="str">
        <f t="shared" si="1547"/>
        <v/>
      </c>
      <c r="U9388" t="str">
        <f t="shared" si="1548"/>
        <v/>
      </c>
      <c r="V9388" t="str">
        <f t="shared" si="1549"/>
        <v/>
      </c>
      <c r="W9388" t="str">
        <f t="shared" si="1550"/>
        <v/>
      </c>
      <c r="X9388">
        <f t="shared" si="1540"/>
        <v>0</v>
      </c>
      <c r="Z9388" t="str">
        <f t="shared" si="1551"/>
        <v/>
      </c>
      <c r="AA9388">
        <f t="shared" si="1541"/>
        <v>0</v>
      </c>
    </row>
    <row r="9389" spans="1:27" ht="21" customHeight="1" x14ac:dyDescent="0.95">
      <c r="A9389" s="56"/>
      <c r="B9389" s="57"/>
      <c r="C9389" s="57"/>
      <c r="D9389" s="57"/>
      <c r="E9389" s="56"/>
      <c r="F9389" s="57"/>
      <c r="G9389" s="57"/>
      <c r="H9389" s="56"/>
      <c r="I9389" s="56"/>
      <c r="J9389" s="58"/>
      <c r="K9389" s="58"/>
      <c r="L9389" s="13" t="str">
        <f t="shared" si="1542"/>
        <v/>
      </c>
      <c r="M9389" s="13" t="str">
        <f t="shared" si="1543"/>
        <v/>
      </c>
      <c r="Q9389" t="str">
        <f t="shared" si="1544"/>
        <v/>
      </c>
      <c r="R9389" t="str">
        <f t="shared" si="1545"/>
        <v/>
      </c>
      <c r="S9389" t="str">
        <f t="shared" si="1546"/>
        <v/>
      </c>
      <c r="T9389" t="str">
        <f t="shared" si="1547"/>
        <v/>
      </c>
      <c r="U9389" t="str">
        <f t="shared" si="1548"/>
        <v/>
      </c>
      <c r="V9389" t="str">
        <f t="shared" si="1549"/>
        <v/>
      </c>
      <c r="W9389" t="str">
        <f t="shared" si="1550"/>
        <v/>
      </c>
      <c r="X9389">
        <f t="shared" si="1540"/>
        <v>0</v>
      </c>
      <c r="Z9389" t="str">
        <f t="shared" si="1551"/>
        <v/>
      </c>
      <c r="AA9389">
        <f t="shared" si="1541"/>
        <v>0</v>
      </c>
    </row>
    <row r="9390" spans="1:27" ht="21" customHeight="1" x14ac:dyDescent="0.95">
      <c r="A9390" s="56"/>
      <c r="B9390" s="57"/>
      <c r="C9390" s="57"/>
      <c r="D9390" s="57"/>
      <c r="E9390" s="56"/>
      <c r="F9390" s="57"/>
      <c r="G9390" s="57"/>
      <c r="H9390" s="56"/>
      <c r="I9390" s="56"/>
      <c r="J9390" s="58"/>
      <c r="K9390" s="58"/>
      <c r="L9390" s="13" t="str">
        <f t="shared" si="1542"/>
        <v/>
      </c>
      <c r="M9390" s="13" t="str">
        <f t="shared" si="1543"/>
        <v/>
      </c>
      <c r="Q9390" t="str">
        <f t="shared" si="1544"/>
        <v/>
      </c>
      <c r="R9390" t="str">
        <f t="shared" si="1545"/>
        <v/>
      </c>
      <c r="S9390" t="str">
        <f t="shared" si="1546"/>
        <v/>
      </c>
      <c r="T9390" t="str">
        <f t="shared" si="1547"/>
        <v/>
      </c>
      <c r="U9390" t="str">
        <f t="shared" si="1548"/>
        <v/>
      </c>
      <c r="V9390" t="str">
        <f t="shared" si="1549"/>
        <v/>
      </c>
      <c r="W9390" t="str">
        <f t="shared" si="1550"/>
        <v/>
      </c>
      <c r="X9390">
        <f t="shared" si="1540"/>
        <v>0</v>
      </c>
      <c r="Z9390" t="str">
        <f t="shared" si="1551"/>
        <v/>
      </c>
      <c r="AA9390">
        <f t="shared" si="1541"/>
        <v>0</v>
      </c>
    </row>
    <row r="9391" spans="1:27" ht="21" customHeight="1" x14ac:dyDescent="0.95">
      <c r="A9391" s="56"/>
      <c r="B9391" s="57"/>
      <c r="C9391" s="57"/>
      <c r="D9391" s="57"/>
      <c r="E9391" s="56"/>
      <c r="F9391" s="57"/>
      <c r="G9391" s="57"/>
      <c r="H9391" s="56"/>
      <c r="I9391" s="56"/>
      <c r="J9391" s="58"/>
      <c r="K9391" s="58"/>
      <c r="L9391" s="13" t="str">
        <f t="shared" si="1542"/>
        <v/>
      </c>
      <c r="M9391" s="13" t="str">
        <f t="shared" si="1543"/>
        <v/>
      </c>
      <c r="Q9391" t="str">
        <f t="shared" si="1544"/>
        <v/>
      </c>
      <c r="R9391" t="str">
        <f t="shared" si="1545"/>
        <v/>
      </c>
      <c r="S9391" t="str">
        <f t="shared" si="1546"/>
        <v/>
      </c>
      <c r="T9391" t="str">
        <f t="shared" si="1547"/>
        <v/>
      </c>
      <c r="U9391" t="str">
        <f t="shared" si="1548"/>
        <v/>
      </c>
      <c r="V9391" t="str">
        <f t="shared" si="1549"/>
        <v/>
      </c>
      <c r="W9391" t="str">
        <f t="shared" si="1550"/>
        <v/>
      </c>
      <c r="X9391">
        <f t="shared" si="1540"/>
        <v>0</v>
      </c>
      <c r="Z9391" t="str">
        <f t="shared" si="1551"/>
        <v/>
      </c>
      <c r="AA9391">
        <f t="shared" si="1541"/>
        <v>0</v>
      </c>
    </row>
    <row r="9392" spans="1:27" ht="21" customHeight="1" x14ac:dyDescent="0.95">
      <c r="A9392" s="56"/>
      <c r="B9392" s="57"/>
      <c r="C9392" s="57"/>
      <c r="D9392" s="57"/>
      <c r="E9392" s="56"/>
      <c r="F9392" s="57"/>
      <c r="G9392" s="57"/>
      <c r="H9392" s="56"/>
      <c r="I9392" s="56"/>
      <c r="J9392" s="58"/>
      <c r="K9392" s="58"/>
      <c r="L9392" s="13" t="str">
        <f t="shared" si="1542"/>
        <v/>
      </c>
      <c r="M9392" s="13" t="str">
        <f t="shared" si="1543"/>
        <v/>
      </c>
      <c r="Q9392" t="str">
        <f t="shared" si="1544"/>
        <v/>
      </c>
      <c r="R9392" t="str">
        <f t="shared" si="1545"/>
        <v/>
      </c>
      <c r="S9392" t="str">
        <f t="shared" si="1546"/>
        <v/>
      </c>
      <c r="T9392" t="str">
        <f t="shared" si="1547"/>
        <v/>
      </c>
      <c r="U9392" t="str">
        <f t="shared" si="1548"/>
        <v/>
      </c>
      <c r="V9392" t="str">
        <f t="shared" si="1549"/>
        <v/>
      </c>
      <c r="W9392" t="str">
        <f t="shared" si="1550"/>
        <v/>
      </c>
      <c r="X9392">
        <f t="shared" si="1540"/>
        <v>0</v>
      </c>
      <c r="Z9392" t="str">
        <f t="shared" si="1551"/>
        <v/>
      </c>
      <c r="AA9392">
        <f t="shared" si="1541"/>
        <v>0</v>
      </c>
    </row>
    <row r="9393" spans="1:27" ht="21" customHeight="1" x14ac:dyDescent="0.95">
      <c r="A9393" s="56"/>
      <c r="B9393" s="57"/>
      <c r="C9393" s="57"/>
      <c r="D9393" s="57"/>
      <c r="E9393" s="56"/>
      <c r="F9393" s="57"/>
      <c r="G9393" s="57"/>
      <c r="H9393" s="56"/>
      <c r="I9393" s="56"/>
      <c r="J9393" s="58"/>
      <c r="K9393" s="58"/>
      <c r="L9393" s="13" t="str">
        <f t="shared" si="1542"/>
        <v/>
      </c>
      <c r="M9393" s="13" t="str">
        <f t="shared" si="1543"/>
        <v/>
      </c>
      <c r="Q9393" t="str">
        <f t="shared" si="1544"/>
        <v/>
      </c>
      <c r="R9393" t="str">
        <f t="shared" si="1545"/>
        <v/>
      </c>
      <c r="S9393" t="str">
        <f t="shared" si="1546"/>
        <v/>
      </c>
      <c r="T9393" t="str">
        <f t="shared" si="1547"/>
        <v/>
      </c>
      <c r="U9393" t="str">
        <f t="shared" si="1548"/>
        <v/>
      </c>
      <c r="V9393" t="str">
        <f t="shared" si="1549"/>
        <v/>
      </c>
      <c r="W9393" t="str">
        <f t="shared" si="1550"/>
        <v/>
      </c>
      <c r="X9393">
        <f t="shared" si="1540"/>
        <v>0</v>
      </c>
      <c r="Z9393" t="str">
        <f t="shared" si="1551"/>
        <v/>
      </c>
      <c r="AA9393">
        <f t="shared" si="1541"/>
        <v>0</v>
      </c>
    </row>
    <row r="9394" spans="1:27" ht="21" customHeight="1" x14ac:dyDescent="0.95">
      <c r="A9394" s="56"/>
      <c r="B9394" s="57"/>
      <c r="C9394" s="57"/>
      <c r="D9394" s="57"/>
      <c r="E9394" s="56"/>
      <c r="F9394" s="57"/>
      <c r="G9394" s="57"/>
      <c r="H9394" s="56"/>
      <c r="I9394" s="56"/>
      <c r="J9394" s="58"/>
      <c r="K9394" s="58"/>
      <c r="L9394" s="13" t="str">
        <f t="shared" si="1542"/>
        <v/>
      </c>
      <c r="M9394" s="13" t="str">
        <f t="shared" si="1543"/>
        <v/>
      </c>
      <c r="Q9394" t="str">
        <f t="shared" si="1544"/>
        <v/>
      </c>
      <c r="R9394" t="str">
        <f t="shared" si="1545"/>
        <v/>
      </c>
      <c r="S9394" t="str">
        <f t="shared" si="1546"/>
        <v/>
      </c>
      <c r="T9394" t="str">
        <f t="shared" si="1547"/>
        <v/>
      </c>
      <c r="U9394" t="str">
        <f t="shared" si="1548"/>
        <v/>
      </c>
      <c r="V9394" t="str">
        <f t="shared" si="1549"/>
        <v/>
      </c>
      <c r="W9394" t="str">
        <f t="shared" si="1550"/>
        <v/>
      </c>
      <c r="X9394">
        <f t="shared" si="1540"/>
        <v>0</v>
      </c>
      <c r="Z9394" t="str">
        <f t="shared" si="1551"/>
        <v/>
      </c>
      <c r="AA9394">
        <f t="shared" si="1541"/>
        <v>0</v>
      </c>
    </row>
    <row r="9395" spans="1:27" ht="21" customHeight="1" x14ac:dyDescent="0.95">
      <c r="A9395" s="56"/>
      <c r="B9395" s="57"/>
      <c r="C9395" s="57"/>
      <c r="D9395" s="57"/>
      <c r="E9395" s="56"/>
      <c r="F9395" s="57"/>
      <c r="G9395" s="57"/>
      <c r="H9395" s="56"/>
      <c r="I9395" s="56"/>
      <c r="J9395" s="58"/>
      <c r="K9395" s="58"/>
      <c r="L9395" s="13" t="str">
        <f t="shared" si="1542"/>
        <v/>
      </c>
      <c r="M9395" s="13" t="str">
        <f t="shared" si="1543"/>
        <v/>
      </c>
      <c r="Q9395" t="str">
        <f t="shared" si="1544"/>
        <v/>
      </c>
      <c r="R9395" t="str">
        <f t="shared" si="1545"/>
        <v/>
      </c>
      <c r="S9395" t="str">
        <f t="shared" si="1546"/>
        <v/>
      </c>
      <c r="T9395" t="str">
        <f t="shared" si="1547"/>
        <v/>
      </c>
      <c r="U9395" t="str">
        <f t="shared" si="1548"/>
        <v/>
      </c>
      <c r="V9395" t="str">
        <f t="shared" si="1549"/>
        <v/>
      </c>
      <c r="W9395" t="str">
        <f t="shared" si="1550"/>
        <v/>
      </c>
      <c r="X9395">
        <f t="shared" si="1540"/>
        <v>0</v>
      </c>
      <c r="Z9395" t="str">
        <f t="shared" si="1551"/>
        <v/>
      </c>
      <c r="AA9395">
        <f t="shared" si="1541"/>
        <v>0</v>
      </c>
    </row>
    <row r="9396" spans="1:27" ht="21" customHeight="1" x14ac:dyDescent="0.95">
      <c r="A9396" s="56"/>
      <c r="B9396" s="57"/>
      <c r="C9396" s="57"/>
      <c r="D9396" s="57"/>
      <c r="E9396" s="56"/>
      <c r="F9396" s="57"/>
      <c r="G9396" s="57"/>
      <c r="H9396" s="56"/>
      <c r="I9396" s="56"/>
      <c r="J9396" s="58"/>
      <c r="K9396" s="58"/>
      <c r="L9396" s="13" t="str">
        <f t="shared" si="1542"/>
        <v/>
      </c>
      <c r="M9396" s="13" t="str">
        <f t="shared" si="1543"/>
        <v/>
      </c>
      <c r="Q9396" t="str">
        <f t="shared" si="1544"/>
        <v/>
      </c>
      <c r="R9396" t="str">
        <f t="shared" si="1545"/>
        <v/>
      </c>
      <c r="S9396" t="str">
        <f t="shared" si="1546"/>
        <v/>
      </c>
      <c r="T9396" t="str">
        <f t="shared" si="1547"/>
        <v/>
      </c>
      <c r="U9396" t="str">
        <f t="shared" si="1548"/>
        <v/>
      </c>
      <c r="V9396" t="str">
        <f t="shared" si="1549"/>
        <v/>
      </c>
      <c r="W9396" t="str">
        <f t="shared" si="1550"/>
        <v/>
      </c>
      <c r="X9396">
        <f t="shared" si="1540"/>
        <v>0</v>
      </c>
      <c r="Z9396" t="str">
        <f t="shared" si="1551"/>
        <v/>
      </c>
      <c r="AA9396">
        <f t="shared" si="1541"/>
        <v>0</v>
      </c>
    </row>
    <row r="9397" spans="1:27" ht="21" customHeight="1" x14ac:dyDescent="0.95">
      <c r="A9397" s="56"/>
      <c r="B9397" s="57"/>
      <c r="C9397" s="57"/>
      <c r="D9397" s="57"/>
      <c r="E9397" s="56"/>
      <c r="F9397" s="57"/>
      <c r="G9397" s="57"/>
      <c r="H9397" s="56"/>
      <c r="I9397" s="56"/>
      <c r="J9397" s="58"/>
      <c r="K9397" s="58"/>
      <c r="L9397" s="13" t="str">
        <f t="shared" si="1542"/>
        <v/>
      </c>
      <c r="M9397" s="13" t="str">
        <f t="shared" si="1543"/>
        <v/>
      </c>
      <c r="Q9397" t="str">
        <f t="shared" si="1544"/>
        <v/>
      </c>
      <c r="R9397" t="str">
        <f t="shared" si="1545"/>
        <v/>
      </c>
      <c r="S9397" t="str">
        <f t="shared" si="1546"/>
        <v/>
      </c>
      <c r="T9397" t="str">
        <f t="shared" si="1547"/>
        <v/>
      </c>
      <c r="U9397" t="str">
        <f t="shared" si="1548"/>
        <v/>
      </c>
      <c r="V9397" t="str">
        <f t="shared" si="1549"/>
        <v/>
      </c>
      <c r="W9397" t="str">
        <f t="shared" si="1550"/>
        <v/>
      </c>
      <c r="X9397">
        <f t="shared" ref="X9397:X9460" si="1552">IF($T9397="",N($X9396),IF(MATCH($T9397,$T$6:$T$10005,0)=ROW()-5,N($X9396)+1,N($X9396)))</f>
        <v>0</v>
      </c>
      <c r="Z9397" t="str">
        <f t="shared" si="1551"/>
        <v/>
      </c>
      <c r="AA9397">
        <f t="shared" ref="AA9397:AA9460" si="1553">IF($V9397="",N($AA9396),IF(MATCH($V9397,$V$6:$V$10005,0)=ROW()-5,N($AA9396)+1,N($AA9396)))</f>
        <v>0</v>
      </c>
    </row>
    <row r="9398" spans="1:27" ht="21" customHeight="1" x14ac:dyDescent="0.95">
      <c r="A9398" s="56"/>
      <c r="B9398" s="57"/>
      <c r="C9398" s="57"/>
      <c r="D9398" s="57"/>
      <c r="E9398" s="56"/>
      <c r="F9398" s="57"/>
      <c r="G9398" s="57"/>
      <c r="H9398" s="56"/>
      <c r="I9398" s="56"/>
      <c r="J9398" s="58"/>
      <c r="K9398" s="58"/>
      <c r="L9398" s="13" t="str">
        <f t="shared" si="1542"/>
        <v/>
      </c>
      <c r="M9398" s="13" t="str">
        <f t="shared" si="1543"/>
        <v/>
      </c>
      <c r="Q9398" t="str">
        <f t="shared" si="1544"/>
        <v/>
      </c>
      <c r="R9398" t="str">
        <f t="shared" si="1545"/>
        <v/>
      </c>
      <c r="S9398" t="str">
        <f t="shared" si="1546"/>
        <v/>
      </c>
      <c r="T9398" t="str">
        <f t="shared" si="1547"/>
        <v/>
      </c>
      <c r="U9398" t="str">
        <f t="shared" si="1548"/>
        <v/>
      </c>
      <c r="V9398" t="str">
        <f t="shared" si="1549"/>
        <v/>
      </c>
      <c r="W9398" t="str">
        <f t="shared" si="1550"/>
        <v/>
      </c>
      <c r="X9398">
        <f t="shared" si="1552"/>
        <v>0</v>
      </c>
      <c r="Z9398" t="str">
        <f t="shared" si="1551"/>
        <v/>
      </c>
      <c r="AA9398">
        <f t="shared" si="1553"/>
        <v>0</v>
      </c>
    </row>
    <row r="9399" spans="1:27" ht="21" customHeight="1" x14ac:dyDescent="0.95">
      <c r="A9399" s="56"/>
      <c r="B9399" s="57"/>
      <c r="C9399" s="57"/>
      <c r="D9399" s="57"/>
      <c r="E9399" s="56"/>
      <c r="F9399" s="57"/>
      <c r="G9399" s="57"/>
      <c r="H9399" s="56"/>
      <c r="I9399" s="56"/>
      <c r="J9399" s="58"/>
      <c r="K9399" s="58"/>
      <c r="L9399" s="13" t="str">
        <f t="shared" si="1542"/>
        <v/>
      </c>
      <c r="M9399" s="13" t="str">
        <f t="shared" si="1543"/>
        <v/>
      </c>
      <c r="Q9399" t="str">
        <f t="shared" si="1544"/>
        <v/>
      </c>
      <c r="R9399" t="str">
        <f t="shared" si="1545"/>
        <v/>
      </c>
      <c r="S9399" t="str">
        <f t="shared" si="1546"/>
        <v/>
      </c>
      <c r="T9399" t="str">
        <f t="shared" si="1547"/>
        <v/>
      </c>
      <c r="U9399" t="str">
        <f t="shared" si="1548"/>
        <v/>
      </c>
      <c r="V9399" t="str">
        <f t="shared" si="1549"/>
        <v/>
      </c>
      <c r="W9399" t="str">
        <f t="shared" si="1550"/>
        <v/>
      </c>
      <c r="X9399">
        <f t="shared" si="1552"/>
        <v>0</v>
      </c>
      <c r="Z9399" t="str">
        <f t="shared" si="1551"/>
        <v/>
      </c>
      <c r="AA9399">
        <f t="shared" si="1553"/>
        <v>0</v>
      </c>
    </row>
    <row r="9400" spans="1:27" ht="21" customHeight="1" x14ac:dyDescent="0.95">
      <c r="A9400" s="56"/>
      <c r="B9400" s="57"/>
      <c r="C9400" s="57"/>
      <c r="D9400" s="57"/>
      <c r="E9400" s="56"/>
      <c r="F9400" s="57"/>
      <c r="G9400" s="57"/>
      <c r="H9400" s="56"/>
      <c r="I9400" s="56"/>
      <c r="J9400" s="58"/>
      <c r="K9400" s="58"/>
      <c r="L9400" s="13" t="str">
        <f t="shared" si="1542"/>
        <v/>
      </c>
      <c r="M9400" s="13" t="str">
        <f t="shared" si="1543"/>
        <v/>
      </c>
      <c r="Q9400" t="str">
        <f t="shared" si="1544"/>
        <v/>
      </c>
      <c r="R9400" t="str">
        <f t="shared" si="1545"/>
        <v/>
      </c>
      <c r="S9400" t="str">
        <f t="shared" si="1546"/>
        <v/>
      </c>
      <c r="T9400" t="str">
        <f t="shared" si="1547"/>
        <v/>
      </c>
      <c r="U9400" t="str">
        <f t="shared" si="1548"/>
        <v/>
      </c>
      <c r="V9400" t="str">
        <f t="shared" si="1549"/>
        <v/>
      </c>
      <c r="W9400" t="str">
        <f t="shared" si="1550"/>
        <v/>
      </c>
      <c r="X9400">
        <f t="shared" si="1552"/>
        <v>0</v>
      </c>
      <c r="Z9400" t="str">
        <f t="shared" si="1551"/>
        <v/>
      </c>
      <c r="AA9400">
        <f t="shared" si="1553"/>
        <v>0</v>
      </c>
    </row>
    <row r="9401" spans="1:27" ht="21" customHeight="1" x14ac:dyDescent="0.95">
      <c r="A9401" s="56"/>
      <c r="B9401" s="57"/>
      <c r="C9401" s="57"/>
      <c r="D9401" s="57"/>
      <c r="E9401" s="56"/>
      <c r="F9401" s="57"/>
      <c r="G9401" s="57"/>
      <c r="H9401" s="56"/>
      <c r="I9401" s="56"/>
      <c r="J9401" s="58"/>
      <c r="K9401" s="58"/>
      <c r="L9401" s="13" t="str">
        <f t="shared" si="1542"/>
        <v/>
      </c>
      <c r="M9401" s="13" t="str">
        <f t="shared" si="1543"/>
        <v/>
      </c>
      <c r="Q9401" t="str">
        <f t="shared" si="1544"/>
        <v/>
      </c>
      <c r="R9401" t="str">
        <f t="shared" si="1545"/>
        <v/>
      </c>
      <c r="S9401" t="str">
        <f t="shared" si="1546"/>
        <v/>
      </c>
      <c r="T9401" t="str">
        <f t="shared" si="1547"/>
        <v/>
      </c>
      <c r="U9401" t="str">
        <f t="shared" si="1548"/>
        <v/>
      </c>
      <c r="V9401" t="str">
        <f t="shared" si="1549"/>
        <v/>
      </c>
      <c r="W9401" t="str">
        <f t="shared" si="1550"/>
        <v/>
      </c>
      <c r="X9401">
        <f t="shared" si="1552"/>
        <v>0</v>
      </c>
      <c r="Z9401" t="str">
        <f t="shared" si="1551"/>
        <v/>
      </c>
      <c r="AA9401">
        <f t="shared" si="1553"/>
        <v>0</v>
      </c>
    </row>
    <row r="9402" spans="1:27" ht="21" customHeight="1" x14ac:dyDescent="0.95">
      <c r="A9402" s="56"/>
      <c r="B9402" s="57"/>
      <c r="C9402" s="57"/>
      <c r="D9402" s="57"/>
      <c r="E9402" s="56"/>
      <c r="F9402" s="57"/>
      <c r="G9402" s="57"/>
      <c r="H9402" s="56"/>
      <c r="I9402" s="56"/>
      <c r="J9402" s="58"/>
      <c r="K9402" s="58"/>
      <c r="L9402" s="13" t="str">
        <f t="shared" si="1542"/>
        <v/>
      </c>
      <c r="M9402" s="13" t="str">
        <f t="shared" si="1543"/>
        <v/>
      </c>
      <c r="Q9402" t="str">
        <f t="shared" si="1544"/>
        <v/>
      </c>
      <c r="R9402" t="str">
        <f t="shared" si="1545"/>
        <v/>
      </c>
      <c r="S9402" t="str">
        <f t="shared" si="1546"/>
        <v/>
      </c>
      <c r="T9402" t="str">
        <f t="shared" si="1547"/>
        <v/>
      </c>
      <c r="U9402" t="str">
        <f t="shared" si="1548"/>
        <v/>
      </c>
      <c r="V9402" t="str">
        <f t="shared" si="1549"/>
        <v/>
      </c>
      <c r="W9402" t="str">
        <f t="shared" si="1550"/>
        <v/>
      </c>
      <c r="X9402">
        <f t="shared" si="1552"/>
        <v>0</v>
      </c>
      <c r="Z9402" t="str">
        <f t="shared" si="1551"/>
        <v/>
      </c>
      <c r="AA9402">
        <f t="shared" si="1553"/>
        <v>0</v>
      </c>
    </row>
    <row r="9403" spans="1:27" ht="21" customHeight="1" x14ac:dyDescent="0.95">
      <c r="A9403" s="56"/>
      <c r="B9403" s="57"/>
      <c r="C9403" s="57"/>
      <c r="D9403" s="57"/>
      <c r="E9403" s="56"/>
      <c r="F9403" s="57"/>
      <c r="G9403" s="57"/>
      <c r="H9403" s="56"/>
      <c r="I9403" s="56"/>
      <c r="J9403" s="58"/>
      <c r="K9403" s="58"/>
      <c r="L9403" s="13" t="str">
        <f t="shared" si="1542"/>
        <v/>
      </c>
      <c r="M9403" s="13" t="str">
        <f t="shared" si="1543"/>
        <v/>
      </c>
      <c r="Q9403" t="str">
        <f t="shared" si="1544"/>
        <v/>
      </c>
      <c r="R9403" t="str">
        <f t="shared" si="1545"/>
        <v/>
      </c>
      <c r="S9403" t="str">
        <f t="shared" si="1546"/>
        <v/>
      </c>
      <c r="T9403" t="str">
        <f t="shared" si="1547"/>
        <v/>
      </c>
      <c r="U9403" t="str">
        <f t="shared" si="1548"/>
        <v/>
      </c>
      <c r="V9403" t="str">
        <f t="shared" si="1549"/>
        <v/>
      </c>
      <c r="W9403" t="str">
        <f t="shared" si="1550"/>
        <v/>
      </c>
      <c r="X9403">
        <f t="shared" si="1552"/>
        <v>0</v>
      </c>
      <c r="Z9403" t="str">
        <f t="shared" si="1551"/>
        <v/>
      </c>
      <c r="AA9403">
        <f t="shared" si="1553"/>
        <v>0</v>
      </c>
    </row>
    <row r="9404" spans="1:27" ht="21" customHeight="1" x14ac:dyDescent="0.95">
      <c r="A9404" s="56"/>
      <c r="B9404" s="57"/>
      <c r="C9404" s="57"/>
      <c r="D9404" s="57"/>
      <c r="E9404" s="56"/>
      <c r="F9404" s="57"/>
      <c r="G9404" s="57"/>
      <c r="H9404" s="56"/>
      <c r="I9404" s="56"/>
      <c r="J9404" s="58"/>
      <c r="K9404" s="58"/>
      <c r="L9404" s="13" t="str">
        <f t="shared" si="1542"/>
        <v/>
      </c>
      <c r="M9404" s="13" t="str">
        <f t="shared" si="1543"/>
        <v/>
      </c>
      <c r="Q9404" t="str">
        <f t="shared" si="1544"/>
        <v/>
      </c>
      <c r="R9404" t="str">
        <f t="shared" si="1545"/>
        <v/>
      </c>
      <c r="S9404" t="str">
        <f t="shared" si="1546"/>
        <v/>
      </c>
      <c r="T9404" t="str">
        <f t="shared" si="1547"/>
        <v/>
      </c>
      <c r="U9404" t="str">
        <f t="shared" si="1548"/>
        <v/>
      </c>
      <c r="V9404" t="str">
        <f t="shared" si="1549"/>
        <v/>
      </c>
      <c r="W9404" t="str">
        <f t="shared" si="1550"/>
        <v/>
      </c>
      <c r="X9404">
        <f t="shared" si="1552"/>
        <v>0</v>
      </c>
      <c r="Z9404" t="str">
        <f t="shared" si="1551"/>
        <v/>
      </c>
      <c r="AA9404">
        <f t="shared" si="1553"/>
        <v>0</v>
      </c>
    </row>
    <row r="9405" spans="1:27" ht="21" customHeight="1" x14ac:dyDescent="0.95">
      <c r="A9405" s="56"/>
      <c r="B9405" s="57"/>
      <c r="C9405" s="57"/>
      <c r="D9405" s="57"/>
      <c r="E9405" s="56"/>
      <c r="F9405" s="57"/>
      <c r="G9405" s="57"/>
      <c r="H9405" s="56"/>
      <c r="I9405" s="56"/>
      <c r="J9405" s="58"/>
      <c r="K9405" s="58"/>
      <c r="L9405" s="13" t="str">
        <f t="shared" si="1542"/>
        <v/>
      </c>
      <c r="M9405" s="13" t="str">
        <f t="shared" si="1543"/>
        <v/>
      </c>
      <c r="Q9405" t="str">
        <f t="shared" si="1544"/>
        <v/>
      </c>
      <c r="R9405" t="str">
        <f t="shared" si="1545"/>
        <v/>
      </c>
      <c r="S9405" t="str">
        <f t="shared" si="1546"/>
        <v/>
      </c>
      <c r="T9405" t="str">
        <f t="shared" si="1547"/>
        <v/>
      </c>
      <c r="U9405" t="str">
        <f t="shared" si="1548"/>
        <v/>
      </c>
      <c r="V9405" t="str">
        <f t="shared" si="1549"/>
        <v/>
      </c>
      <c r="W9405" t="str">
        <f t="shared" si="1550"/>
        <v/>
      </c>
      <c r="X9405">
        <f t="shared" si="1552"/>
        <v>0</v>
      </c>
      <c r="Z9405" t="str">
        <f t="shared" si="1551"/>
        <v/>
      </c>
      <c r="AA9405">
        <f t="shared" si="1553"/>
        <v>0</v>
      </c>
    </row>
    <row r="9406" spans="1:27" ht="21" customHeight="1" x14ac:dyDescent="0.95">
      <c r="A9406" s="56"/>
      <c r="B9406" s="57"/>
      <c r="C9406" s="57"/>
      <c r="D9406" s="57"/>
      <c r="E9406" s="56"/>
      <c r="F9406" s="57"/>
      <c r="G9406" s="57"/>
      <c r="H9406" s="56"/>
      <c r="I9406" s="56"/>
      <c r="J9406" s="58"/>
      <c r="K9406" s="58"/>
      <c r="L9406" s="13" t="str">
        <f t="shared" si="1542"/>
        <v/>
      </c>
      <c r="M9406" s="13" t="str">
        <f t="shared" si="1543"/>
        <v/>
      </c>
      <c r="Q9406" t="str">
        <f t="shared" si="1544"/>
        <v/>
      </c>
      <c r="R9406" t="str">
        <f t="shared" si="1545"/>
        <v/>
      </c>
      <c r="S9406" t="str">
        <f t="shared" si="1546"/>
        <v/>
      </c>
      <c r="T9406" t="str">
        <f t="shared" si="1547"/>
        <v/>
      </c>
      <c r="U9406" t="str">
        <f t="shared" si="1548"/>
        <v/>
      </c>
      <c r="V9406" t="str">
        <f t="shared" si="1549"/>
        <v/>
      </c>
      <c r="W9406" t="str">
        <f t="shared" si="1550"/>
        <v/>
      </c>
      <c r="X9406">
        <f t="shared" si="1552"/>
        <v>0</v>
      </c>
      <c r="Z9406" t="str">
        <f t="shared" si="1551"/>
        <v/>
      </c>
      <c r="AA9406">
        <f t="shared" si="1553"/>
        <v>0</v>
      </c>
    </row>
    <row r="9407" spans="1:27" ht="21" customHeight="1" x14ac:dyDescent="0.95">
      <c r="A9407" s="56"/>
      <c r="B9407" s="57"/>
      <c r="C9407" s="57"/>
      <c r="D9407" s="57"/>
      <c r="E9407" s="56"/>
      <c r="F9407" s="57"/>
      <c r="G9407" s="57"/>
      <c r="H9407" s="56"/>
      <c r="I9407" s="56"/>
      <c r="J9407" s="58"/>
      <c r="K9407" s="58"/>
      <c r="L9407" s="13" t="str">
        <f t="shared" si="1542"/>
        <v/>
      </c>
      <c r="M9407" s="13" t="str">
        <f t="shared" si="1543"/>
        <v/>
      </c>
      <c r="Q9407" t="str">
        <f t="shared" si="1544"/>
        <v/>
      </c>
      <c r="R9407" t="str">
        <f t="shared" si="1545"/>
        <v/>
      </c>
      <c r="S9407" t="str">
        <f t="shared" si="1546"/>
        <v/>
      </c>
      <c r="T9407" t="str">
        <f t="shared" si="1547"/>
        <v/>
      </c>
      <c r="U9407" t="str">
        <f t="shared" si="1548"/>
        <v/>
      </c>
      <c r="V9407" t="str">
        <f t="shared" si="1549"/>
        <v/>
      </c>
      <c r="W9407" t="str">
        <f t="shared" si="1550"/>
        <v/>
      </c>
      <c r="X9407">
        <f t="shared" si="1552"/>
        <v>0</v>
      </c>
      <c r="Z9407" t="str">
        <f t="shared" si="1551"/>
        <v/>
      </c>
      <c r="AA9407">
        <f t="shared" si="1553"/>
        <v>0</v>
      </c>
    </row>
    <row r="9408" spans="1:27" ht="21" customHeight="1" x14ac:dyDescent="0.95">
      <c r="A9408" s="56"/>
      <c r="B9408" s="57"/>
      <c r="C9408" s="57"/>
      <c r="D9408" s="57"/>
      <c r="E9408" s="56"/>
      <c r="F9408" s="57"/>
      <c r="G9408" s="57"/>
      <c r="H9408" s="56"/>
      <c r="I9408" s="56"/>
      <c r="J9408" s="58"/>
      <c r="K9408" s="58"/>
      <c r="L9408" s="13" t="str">
        <f t="shared" si="1542"/>
        <v/>
      </c>
      <c r="M9408" s="13" t="str">
        <f t="shared" si="1543"/>
        <v/>
      </c>
      <c r="Q9408" t="str">
        <f t="shared" si="1544"/>
        <v/>
      </c>
      <c r="R9408" t="str">
        <f t="shared" si="1545"/>
        <v/>
      </c>
      <c r="S9408" t="str">
        <f t="shared" si="1546"/>
        <v/>
      </c>
      <c r="T9408" t="str">
        <f t="shared" si="1547"/>
        <v/>
      </c>
      <c r="U9408" t="str">
        <f t="shared" si="1548"/>
        <v/>
      </c>
      <c r="V9408" t="str">
        <f t="shared" si="1549"/>
        <v/>
      </c>
      <c r="W9408" t="str">
        <f t="shared" si="1550"/>
        <v/>
      </c>
      <c r="X9408">
        <f t="shared" si="1552"/>
        <v>0</v>
      </c>
      <c r="Z9408" t="str">
        <f t="shared" si="1551"/>
        <v/>
      </c>
      <c r="AA9408">
        <f t="shared" si="1553"/>
        <v>0</v>
      </c>
    </row>
    <row r="9409" spans="1:27" ht="21" customHeight="1" x14ac:dyDescent="0.95">
      <c r="A9409" s="56"/>
      <c r="B9409" s="57"/>
      <c r="C9409" s="57"/>
      <c r="D9409" s="57"/>
      <c r="E9409" s="56"/>
      <c r="F9409" s="57"/>
      <c r="G9409" s="57"/>
      <c r="H9409" s="56"/>
      <c r="I9409" s="56"/>
      <c r="J9409" s="58"/>
      <c r="K9409" s="58"/>
      <c r="L9409" s="13" t="str">
        <f t="shared" si="1542"/>
        <v/>
      </c>
      <c r="M9409" s="13" t="str">
        <f t="shared" si="1543"/>
        <v/>
      </c>
      <c r="Q9409" t="str">
        <f t="shared" si="1544"/>
        <v/>
      </c>
      <c r="R9409" t="str">
        <f t="shared" si="1545"/>
        <v/>
      </c>
      <c r="S9409" t="str">
        <f t="shared" si="1546"/>
        <v/>
      </c>
      <c r="T9409" t="str">
        <f t="shared" si="1547"/>
        <v/>
      </c>
      <c r="U9409" t="str">
        <f t="shared" si="1548"/>
        <v/>
      </c>
      <c r="V9409" t="str">
        <f t="shared" si="1549"/>
        <v/>
      </c>
      <c r="W9409" t="str">
        <f t="shared" si="1550"/>
        <v/>
      </c>
      <c r="X9409">
        <f t="shared" si="1552"/>
        <v>0</v>
      </c>
      <c r="Z9409" t="str">
        <f t="shared" si="1551"/>
        <v/>
      </c>
      <c r="AA9409">
        <f t="shared" si="1553"/>
        <v>0</v>
      </c>
    </row>
    <row r="9410" spans="1:27" ht="21" customHeight="1" x14ac:dyDescent="0.95">
      <c r="A9410" s="56"/>
      <c r="B9410" s="57"/>
      <c r="C9410" s="57"/>
      <c r="D9410" s="57"/>
      <c r="E9410" s="56"/>
      <c r="F9410" s="57"/>
      <c r="G9410" s="57"/>
      <c r="H9410" s="56"/>
      <c r="I9410" s="56"/>
      <c r="J9410" s="58"/>
      <c r="K9410" s="58"/>
      <c r="L9410" s="13" t="str">
        <f t="shared" si="1542"/>
        <v/>
      </c>
      <c r="M9410" s="13" t="str">
        <f t="shared" si="1543"/>
        <v/>
      </c>
      <c r="Q9410" t="str">
        <f t="shared" si="1544"/>
        <v/>
      </c>
      <c r="R9410" t="str">
        <f t="shared" si="1545"/>
        <v/>
      </c>
      <c r="S9410" t="str">
        <f t="shared" si="1546"/>
        <v/>
      </c>
      <c r="T9410" t="str">
        <f t="shared" si="1547"/>
        <v/>
      </c>
      <c r="U9410" t="str">
        <f t="shared" si="1548"/>
        <v/>
      </c>
      <c r="V9410" t="str">
        <f t="shared" si="1549"/>
        <v/>
      </c>
      <c r="W9410" t="str">
        <f t="shared" si="1550"/>
        <v/>
      </c>
      <c r="X9410">
        <f t="shared" si="1552"/>
        <v>0</v>
      </c>
      <c r="Z9410" t="str">
        <f t="shared" si="1551"/>
        <v/>
      </c>
      <c r="AA9410">
        <f t="shared" si="1553"/>
        <v>0</v>
      </c>
    </row>
    <row r="9411" spans="1:27" ht="21" customHeight="1" x14ac:dyDescent="0.95">
      <c r="A9411" s="56"/>
      <c r="B9411" s="57"/>
      <c r="C9411" s="57"/>
      <c r="D9411" s="57"/>
      <c r="E9411" s="56"/>
      <c r="F9411" s="57"/>
      <c r="G9411" s="57"/>
      <c r="H9411" s="56"/>
      <c r="I9411" s="56"/>
      <c r="J9411" s="58"/>
      <c r="K9411" s="58"/>
      <c r="L9411" s="13" t="str">
        <f t="shared" si="1542"/>
        <v/>
      </c>
      <c r="M9411" s="13" t="str">
        <f t="shared" si="1543"/>
        <v/>
      </c>
      <c r="Q9411" t="str">
        <f t="shared" si="1544"/>
        <v/>
      </c>
      <c r="R9411" t="str">
        <f t="shared" si="1545"/>
        <v/>
      </c>
      <c r="S9411" t="str">
        <f t="shared" si="1546"/>
        <v/>
      </c>
      <c r="T9411" t="str">
        <f t="shared" si="1547"/>
        <v/>
      </c>
      <c r="U9411" t="str">
        <f t="shared" si="1548"/>
        <v/>
      </c>
      <c r="V9411" t="str">
        <f t="shared" si="1549"/>
        <v/>
      </c>
      <c r="W9411" t="str">
        <f t="shared" si="1550"/>
        <v/>
      </c>
      <c r="X9411">
        <f t="shared" si="1552"/>
        <v>0</v>
      </c>
      <c r="Z9411" t="str">
        <f t="shared" si="1551"/>
        <v/>
      </c>
      <c r="AA9411">
        <f t="shared" si="1553"/>
        <v>0</v>
      </c>
    </row>
    <row r="9412" spans="1:27" ht="21" customHeight="1" x14ac:dyDescent="0.95">
      <c r="A9412" s="56"/>
      <c r="B9412" s="57"/>
      <c r="C9412" s="57"/>
      <c r="D9412" s="57"/>
      <c r="E9412" s="56"/>
      <c r="F9412" s="57"/>
      <c r="G9412" s="57"/>
      <c r="H9412" s="56"/>
      <c r="I9412" s="56"/>
      <c r="J9412" s="58"/>
      <c r="K9412" s="58"/>
      <c r="L9412" s="13" t="str">
        <f t="shared" ref="L9412:L9475" si="1554">IF(OR($A9412="",AND($J9412="",$K9412="")),"",ROUND(N($J9412)-N($K9412),2))</f>
        <v/>
      </c>
      <c r="M9412" s="13" t="str">
        <f t="shared" ref="M9412:M9475" si="1555">IF(OR($A9412="",AND($J9412="",$K9412="")),"",MIN($J9412,$K9412))</f>
        <v/>
      </c>
      <c r="Q9412" t="str">
        <f t="shared" ref="Q9412:Q9475" si="1556">IF($A9412="","",$D9412&amp;"("&amp;SUBSTITUTE($E9412," ","")&amp;")")</f>
        <v/>
      </c>
      <c r="R9412" t="str">
        <f t="shared" ref="R9412:R9475" si="1557">IF($A9412="","",$B9412&amp;" - "&amp;$C9412)</f>
        <v/>
      </c>
      <c r="S9412" t="str">
        <f t="shared" ref="S9412:S9475" si="1558">IF($A9412="","",$R9412&amp;"|"&amp;$Q9412)</f>
        <v/>
      </c>
      <c r="T9412" t="str">
        <f t="shared" ref="T9412:T9475" si="1559">IF($A9412="","",$S9412&amp;"|"&amp;$F9412)</f>
        <v/>
      </c>
      <c r="U9412" t="str">
        <f t="shared" ref="U9412:U9475" si="1560">IF($A9412="","",$R9412&amp;"("&amp;$E9412&amp;")")</f>
        <v/>
      </c>
      <c r="V9412" t="str">
        <f t="shared" ref="V9412:V9475" si="1561">IF($A9412="","",$F9412&amp;"|"&amp;$U9412&amp;"|"&amp;$D9412)</f>
        <v/>
      </c>
      <c r="W9412" t="str">
        <f t="shared" si="1550"/>
        <v/>
      </c>
      <c r="X9412">
        <f t="shared" si="1552"/>
        <v>0</v>
      </c>
      <c r="Z9412" t="str">
        <f t="shared" si="1551"/>
        <v/>
      </c>
      <c r="AA9412">
        <f t="shared" si="1553"/>
        <v>0</v>
      </c>
    </row>
    <row r="9413" spans="1:27" ht="21" customHeight="1" x14ac:dyDescent="0.95">
      <c r="A9413" s="56"/>
      <c r="B9413" s="57"/>
      <c r="C9413" s="57"/>
      <c r="D9413" s="57"/>
      <c r="E9413" s="56"/>
      <c r="F9413" s="57"/>
      <c r="G9413" s="57"/>
      <c r="H9413" s="56"/>
      <c r="I9413" s="56"/>
      <c r="J9413" s="58"/>
      <c r="K9413" s="58"/>
      <c r="L9413" s="13" t="str">
        <f t="shared" si="1554"/>
        <v/>
      </c>
      <c r="M9413" s="13" t="str">
        <f t="shared" si="1555"/>
        <v/>
      </c>
      <c r="Q9413" t="str">
        <f t="shared" si="1556"/>
        <v/>
      </c>
      <c r="R9413" t="str">
        <f t="shared" si="1557"/>
        <v/>
      </c>
      <c r="S9413" t="str">
        <f t="shared" si="1558"/>
        <v/>
      </c>
      <c r="T9413" t="str">
        <f t="shared" si="1559"/>
        <v/>
      </c>
      <c r="U9413" t="str">
        <f t="shared" si="1560"/>
        <v/>
      </c>
      <c r="V9413" t="str">
        <f t="shared" si="1561"/>
        <v/>
      </c>
      <c r="W9413" t="str">
        <f t="shared" si="1550"/>
        <v/>
      </c>
      <c r="X9413">
        <f t="shared" si="1552"/>
        <v>0</v>
      </c>
      <c r="Z9413" t="str">
        <f t="shared" si="1551"/>
        <v/>
      </c>
      <c r="AA9413">
        <f t="shared" si="1553"/>
        <v>0</v>
      </c>
    </row>
    <row r="9414" spans="1:27" ht="21" customHeight="1" x14ac:dyDescent="0.95">
      <c r="A9414" s="56"/>
      <c r="B9414" s="57"/>
      <c r="C9414" s="57"/>
      <c r="D9414" s="57"/>
      <c r="E9414" s="56"/>
      <c r="F9414" s="57"/>
      <c r="G9414" s="57"/>
      <c r="H9414" s="56"/>
      <c r="I9414" s="56"/>
      <c r="J9414" s="58"/>
      <c r="K9414" s="58"/>
      <c r="L9414" s="13" t="str">
        <f t="shared" si="1554"/>
        <v/>
      </c>
      <c r="M9414" s="13" t="str">
        <f t="shared" si="1555"/>
        <v/>
      </c>
      <c r="Q9414" t="str">
        <f t="shared" si="1556"/>
        <v/>
      </c>
      <c r="R9414" t="str">
        <f t="shared" si="1557"/>
        <v/>
      </c>
      <c r="S9414" t="str">
        <f t="shared" si="1558"/>
        <v/>
      </c>
      <c r="T9414" t="str">
        <f t="shared" si="1559"/>
        <v/>
      </c>
      <c r="U9414" t="str">
        <f t="shared" si="1560"/>
        <v/>
      </c>
      <c r="V9414" t="str">
        <f t="shared" si="1561"/>
        <v/>
      </c>
      <c r="W9414" t="str">
        <f t="shared" ref="W9414:W9477" si="1562">IF($T9414="","",IF($X9414&gt;N($X9413),$X9414,""))</f>
        <v/>
      </c>
      <c r="X9414">
        <f t="shared" si="1552"/>
        <v>0</v>
      </c>
      <c r="Z9414" t="str">
        <f t="shared" ref="Z9414:Z9477" si="1563">IF($V9414="","",IF($AA9414&gt;N($AA9413),$AA9414,""))</f>
        <v/>
      </c>
      <c r="AA9414">
        <f t="shared" si="1553"/>
        <v>0</v>
      </c>
    </row>
    <row r="9415" spans="1:27" ht="21" customHeight="1" x14ac:dyDescent="0.95">
      <c r="A9415" s="56"/>
      <c r="B9415" s="57"/>
      <c r="C9415" s="57"/>
      <c r="D9415" s="57"/>
      <c r="E9415" s="56"/>
      <c r="F9415" s="57"/>
      <c r="G9415" s="57"/>
      <c r="H9415" s="56"/>
      <c r="I9415" s="56"/>
      <c r="J9415" s="58"/>
      <c r="K9415" s="58"/>
      <c r="L9415" s="13" t="str">
        <f t="shared" si="1554"/>
        <v/>
      </c>
      <c r="M9415" s="13" t="str">
        <f t="shared" si="1555"/>
        <v/>
      </c>
      <c r="Q9415" t="str">
        <f t="shared" si="1556"/>
        <v/>
      </c>
      <c r="R9415" t="str">
        <f t="shared" si="1557"/>
        <v/>
      </c>
      <c r="S9415" t="str">
        <f t="shared" si="1558"/>
        <v/>
      </c>
      <c r="T9415" t="str">
        <f t="shared" si="1559"/>
        <v/>
      </c>
      <c r="U9415" t="str">
        <f t="shared" si="1560"/>
        <v/>
      </c>
      <c r="V9415" t="str">
        <f t="shared" si="1561"/>
        <v/>
      </c>
      <c r="W9415" t="str">
        <f t="shared" si="1562"/>
        <v/>
      </c>
      <c r="X9415">
        <f t="shared" si="1552"/>
        <v>0</v>
      </c>
      <c r="Z9415" t="str">
        <f t="shared" si="1563"/>
        <v/>
      </c>
      <c r="AA9415">
        <f t="shared" si="1553"/>
        <v>0</v>
      </c>
    </row>
    <row r="9416" spans="1:27" ht="21" customHeight="1" x14ac:dyDescent="0.95">
      <c r="A9416" s="56"/>
      <c r="B9416" s="57"/>
      <c r="C9416" s="57"/>
      <c r="D9416" s="57"/>
      <c r="E9416" s="56"/>
      <c r="F9416" s="57"/>
      <c r="G9416" s="57"/>
      <c r="H9416" s="56"/>
      <c r="I9416" s="56"/>
      <c r="J9416" s="58"/>
      <c r="K9416" s="58"/>
      <c r="L9416" s="13" t="str">
        <f t="shared" si="1554"/>
        <v/>
      </c>
      <c r="M9416" s="13" t="str">
        <f t="shared" si="1555"/>
        <v/>
      </c>
      <c r="Q9416" t="str">
        <f t="shared" si="1556"/>
        <v/>
      </c>
      <c r="R9416" t="str">
        <f t="shared" si="1557"/>
        <v/>
      </c>
      <c r="S9416" t="str">
        <f t="shared" si="1558"/>
        <v/>
      </c>
      <c r="T9416" t="str">
        <f t="shared" si="1559"/>
        <v/>
      </c>
      <c r="U9416" t="str">
        <f t="shared" si="1560"/>
        <v/>
      </c>
      <c r="V9416" t="str">
        <f t="shared" si="1561"/>
        <v/>
      </c>
      <c r="W9416" t="str">
        <f t="shared" si="1562"/>
        <v/>
      </c>
      <c r="X9416">
        <f t="shared" si="1552"/>
        <v>0</v>
      </c>
      <c r="Z9416" t="str">
        <f t="shared" si="1563"/>
        <v/>
      </c>
      <c r="AA9416">
        <f t="shared" si="1553"/>
        <v>0</v>
      </c>
    </row>
    <row r="9417" spans="1:27" ht="21" customHeight="1" x14ac:dyDescent="0.95">
      <c r="A9417" s="56"/>
      <c r="B9417" s="57"/>
      <c r="C9417" s="57"/>
      <c r="D9417" s="57"/>
      <c r="E9417" s="56"/>
      <c r="F9417" s="57"/>
      <c r="G9417" s="57"/>
      <c r="H9417" s="56"/>
      <c r="I9417" s="56"/>
      <c r="J9417" s="58"/>
      <c r="K9417" s="58"/>
      <c r="L9417" s="13" t="str">
        <f t="shared" si="1554"/>
        <v/>
      </c>
      <c r="M9417" s="13" t="str">
        <f t="shared" si="1555"/>
        <v/>
      </c>
      <c r="Q9417" t="str">
        <f t="shared" si="1556"/>
        <v/>
      </c>
      <c r="R9417" t="str">
        <f t="shared" si="1557"/>
        <v/>
      </c>
      <c r="S9417" t="str">
        <f t="shared" si="1558"/>
        <v/>
      </c>
      <c r="T9417" t="str">
        <f t="shared" si="1559"/>
        <v/>
      </c>
      <c r="U9417" t="str">
        <f t="shared" si="1560"/>
        <v/>
      </c>
      <c r="V9417" t="str">
        <f t="shared" si="1561"/>
        <v/>
      </c>
      <c r="W9417" t="str">
        <f t="shared" si="1562"/>
        <v/>
      </c>
      <c r="X9417">
        <f t="shared" si="1552"/>
        <v>0</v>
      </c>
      <c r="Z9417" t="str">
        <f t="shared" si="1563"/>
        <v/>
      </c>
      <c r="AA9417">
        <f t="shared" si="1553"/>
        <v>0</v>
      </c>
    </row>
    <row r="9418" spans="1:27" ht="21" customHeight="1" x14ac:dyDescent="0.95">
      <c r="A9418" s="56"/>
      <c r="B9418" s="57"/>
      <c r="C9418" s="57"/>
      <c r="D9418" s="57"/>
      <c r="E9418" s="56"/>
      <c r="F9418" s="57"/>
      <c r="G9418" s="57"/>
      <c r="H9418" s="56"/>
      <c r="I9418" s="56"/>
      <c r="J9418" s="58"/>
      <c r="K9418" s="58"/>
      <c r="L9418" s="13" t="str">
        <f t="shared" si="1554"/>
        <v/>
      </c>
      <c r="M9418" s="13" t="str">
        <f t="shared" si="1555"/>
        <v/>
      </c>
      <c r="Q9418" t="str">
        <f t="shared" si="1556"/>
        <v/>
      </c>
      <c r="R9418" t="str">
        <f t="shared" si="1557"/>
        <v/>
      </c>
      <c r="S9418" t="str">
        <f t="shared" si="1558"/>
        <v/>
      </c>
      <c r="T9418" t="str">
        <f t="shared" si="1559"/>
        <v/>
      </c>
      <c r="U9418" t="str">
        <f t="shared" si="1560"/>
        <v/>
      </c>
      <c r="V9418" t="str">
        <f t="shared" si="1561"/>
        <v/>
      </c>
      <c r="W9418" t="str">
        <f t="shared" si="1562"/>
        <v/>
      </c>
      <c r="X9418">
        <f t="shared" si="1552"/>
        <v>0</v>
      </c>
      <c r="Z9418" t="str">
        <f t="shared" si="1563"/>
        <v/>
      </c>
      <c r="AA9418">
        <f t="shared" si="1553"/>
        <v>0</v>
      </c>
    </row>
    <row r="9419" spans="1:27" ht="21" customHeight="1" x14ac:dyDescent="0.95">
      <c r="A9419" s="56"/>
      <c r="B9419" s="57"/>
      <c r="C9419" s="57"/>
      <c r="D9419" s="57"/>
      <c r="E9419" s="56"/>
      <c r="F9419" s="57"/>
      <c r="G9419" s="57"/>
      <c r="H9419" s="56"/>
      <c r="I9419" s="56"/>
      <c r="J9419" s="58"/>
      <c r="K9419" s="58"/>
      <c r="L9419" s="13" t="str">
        <f t="shared" si="1554"/>
        <v/>
      </c>
      <c r="M9419" s="13" t="str">
        <f t="shared" si="1555"/>
        <v/>
      </c>
      <c r="Q9419" t="str">
        <f t="shared" si="1556"/>
        <v/>
      </c>
      <c r="R9419" t="str">
        <f t="shared" si="1557"/>
        <v/>
      </c>
      <c r="S9419" t="str">
        <f t="shared" si="1558"/>
        <v/>
      </c>
      <c r="T9419" t="str">
        <f t="shared" si="1559"/>
        <v/>
      </c>
      <c r="U9419" t="str">
        <f t="shared" si="1560"/>
        <v/>
      </c>
      <c r="V9419" t="str">
        <f t="shared" si="1561"/>
        <v/>
      </c>
      <c r="W9419" t="str">
        <f t="shared" si="1562"/>
        <v/>
      </c>
      <c r="X9419">
        <f t="shared" si="1552"/>
        <v>0</v>
      </c>
      <c r="Z9419" t="str">
        <f t="shared" si="1563"/>
        <v/>
      </c>
      <c r="AA9419">
        <f t="shared" si="1553"/>
        <v>0</v>
      </c>
    </row>
    <row r="9420" spans="1:27" ht="21" customHeight="1" x14ac:dyDescent="0.95">
      <c r="A9420" s="56"/>
      <c r="B9420" s="57"/>
      <c r="C9420" s="57"/>
      <c r="D9420" s="57"/>
      <c r="E9420" s="56"/>
      <c r="F9420" s="57"/>
      <c r="G9420" s="57"/>
      <c r="H9420" s="56"/>
      <c r="I9420" s="56"/>
      <c r="J9420" s="58"/>
      <c r="K9420" s="58"/>
      <c r="L9420" s="13" t="str">
        <f t="shared" si="1554"/>
        <v/>
      </c>
      <c r="M9420" s="13" t="str">
        <f t="shared" si="1555"/>
        <v/>
      </c>
      <c r="Q9420" t="str">
        <f t="shared" si="1556"/>
        <v/>
      </c>
      <c r="R9420" t="str">
        <f t="shared" si="1557"/>
        <v/>
      </c>
      <c r="S9420" t="str">
        <f t="shared" si="1558"/>
        <v/>
      </c>
      <c r="T9420" t="str">
        <f t="shared" si="1559"/>
        <v/>
      </c>
      <c r="U9420" t="str">
        <f t="shared" si="1560"/>
        <v/>
      </c>
      <c r="V9420" t="str">
        <f t="shared" si="1561"/>
        <v/>
      </c>
      <c r="W9420" t="str">
        <f t="shared" si="1562"/>
        <v/>
      </c>
      <c r="X9420">
        <f t="shared" si="1552"/>
        <v>0</v>
      </c>
      <c r="Z9420" t="str">
        <f t="shared" si="1563"/>
        <v/>
      </c>
      <c r="AA9420">
        <f t="shared" si="1553"/>
        <v>0</v>
      </c>
    </row>
    <row r="9421" spans="1:27" ht="21" customHeight="1" x14ac:dyDescent="0.95">
      <c r="A9421" s="56"/>
      <c r="B9421" s="57"/>
      <c r="C9421" s="57"/>
      <c r="D9421" s="57"/>
      <c r="E9421" s="56"/>
      <c r="F9421" s="57"/>
      <c r="G9421" s="57"/>
      <c r="H9421" s="56"/>
      <c r="I9421" s="56"/>
      <c r="J9421" s="58"/>
      <c r="K9421" s="58"/>
      <c r="L9421" s="13" t="str">
        <f t="shared" si="1554"/>
        <v/>
      </c>
      <c r="M9421" s="13" t="str">
        <f t="shared" si="1555"/>
        <v/>
      </c>
      <c r="Q9421" t="str">
        <f t="shared" si="1556"/>
        <v/>
      </c>
      <c r="R9421" t="str">
        <f t="shared" si="1557"/>
        <v/>
      </c>
      <c r="S9421" t="str">
        <f t="shared" si="1558"/>
        <v/>
      </c>
      <c r="T9421" t="str">
        <f t="shared" si="1559"/>
        <v/>
      </c>
      <c r="U9421" t="str">
        <f t="shared" si="1560"/>
        <v/>
      </c>
      <c r="V9421" t="str">
        <f t="shared" si="1561"/>
        <v/>
      </c>
      <c r="W9421" t="str">
        <f t="shared" si="1562"/>
        <v/>
      </c>
      <c r="X9421">
        <f t="shared" si="1552"/>
        <v>0</v>
      </c>
      <c r="Z9421" t="str">
        <f t="shared" si="1563"/>
        <v/>
      </c>
      <c r="AA9421">
        <f t="shared" si="1553"/>
        <v>0</v>
      </c>
    </row>
    <row r="9422" spans="1:27" ht="21" customHeight="1" x14ac:dyDescent="0.95">
      <c r="A9422" s="56"/>
      <c r="B9422" s="57"/>
      <c r="C9422" s="57"/>
      <c r="D9422" s="57"/>
      <c r="E9422" s="56"/>
      <c r="F9422" s="57"/>
      <c r="G9422" s="57"/>
      <c r="H9422" s="56"/>
      <c r="I9422" s="56"/>
      <c r="J9422" s="58"/>
      <c r="K9422" s="58"/>
      <c r="L9422" s="13" t="str">
        <f t="shared" si="1554"/>
        <v/>
      </c>
      <c r="M9422" s="13" t="str">
        <f t="shared" si="1555"/>
        <v/>
      </c>
      <c r="Q9422" t="str">
        <f t="shared" si="1556"/>
        <v/>
      </c>
      <c r="R9422" t="str">
        <f t="shared" si="1557"/>
        <v/>
      </c>
      <c r="S9422" t="str">
        <f t="shared" si="1558"/>
        <v/>
      </c>
      <c r="T9422" t="str">
        <f t="shared" si="1559"/>
        <v/>
      </c>
      <c r="U9422" t="str">
        <f t="shared" si="1560"/>
        <v/>
      </c>
      <c r="V9422" t="str">
        <f t="shared" si="1561"/>
        <v/>
      </c>
      <c r="W9422" t="str">
        <f t="shared" si="1562"/>
        <v/>
      </c>
      <c r="X9422">
        <f t="shared" si="1552"/>
        <v>0</v>
      </c>
      <c r="Z9422" t="str">
        <f t="shared" si="1563"/>
        <v/>
      </c>
      <c r="AA9422">
        <f t="shared" si="1553"/>
        <v>0</v>
      </c>
    </row>
    <row r="9423" spans="1:27" ht="21" customHeight="1" x14ac:dyDescent="0.95">
      <c r="A9423" s="56"/>
      <c r="B9423" s="57"/>
      <c r="C9423" s="57"/>
      <c r="D9423" s="57"/>
      <c r="E9423" s="56"/>
      <c r="F9423" s="57"/>
      <c r="G9423" s="57"/>
      <c r="H9423" s="56"/>
      <c r="I9423" s="56"/>
      <c r="J9423" s="58"/>
      <c r="K9423" s="58"/>
      <c r="L9423" s="13" t="str">
        <f t="shared" si="1554"/>
        <v/>
      </c>
      <c r="M9423" s="13" t="str">
        <f t="shared" si="1555"/>
        <v/>
      </c>
      <c r="Q9423" t="str">
        <f t="shared" si="1556"/>
        <v/>
      </c>
      <c r="R9423" t="str">
        <f t="shared" si="1557"/>
        <v/>
      </c>
      <c r="S9423" t="str">
        <f t="shared" si="1558"/>
        <v/>
      </c>
      <c r="T9423" t="str">
        <f t="shared" si="1559"/>
        <v/>
      </c>
      <c r="U9423" t="str">
        <f t="shared" si="1560"/>
        <v/>
      </c>
      <c r="V9423" t="str">
        <f t="shared" si="1561"/>
        <v/>
      </c>
      <c r="W9423" t="str">
        <f t="shared" si="1562"/>
        <v/>
      </c>
      <c r="X9423">
        <f t="shared" si="1552"/>
        <v>0</v>
      </c>
      <c r="Z9423" t="str">
        <f t="shared" si="1563"/>
        <v/>
      </c>
      <c r="AA9423">
        <f t="shared" si="1553"/>
        <v>0</v>
      </c>
    </row>
    <row r="9424" spans="1:27" ht="21" customHeight="1" x14ac:dyDescent="0.95">
      <c r="A9424" s="56"/>
      <c r="B9424" s="57"/>
      <c r="C9424" s="57"/>
      <c r="D9424" s="57"/>
      <c r="E9424" s="56"/>
      <c r="F9424" s="57"/>
      <c r="G9424" s="57"/>
      <c r="H9424" s="56"/>
      <c r="I9424" s="56"/>
      <c r="J9424" s="58"/>
      <c r="K9424" s="58"/>
      <c r="L9424" s="13" t="str">
        <f t="shared" si="1554"/>
        <v/>
      </c>
      <c r="M9424" s="13" t="str">
        <f t="shared" si="1555"/>
        <v/>
      </c>
      <c r="Q9424" t="str">
        <f t="shared" si="1556"/>
        <v/>
      </c>
      <c r="R9424" t="str">
        <f t="shared" si="1557"/>
        <v/>
      </c>
      <c r="S9424" t="str">
        <f t="shared" si="1558"/>
        <v/>
      </c>
      <c r="T9424" t="str">
        <f t="shared" si="1559"/>
        <v/>
      </c>
      <c r="U9424" t="str">
        <f t="shared" si="1560"/>
        <v/>
      </c>
      <c r="V9424" t="str">
        <f t="shared" si="1561"/>
        <v/>
      </c>
      <c r="W9424" t="str">
        <f t="shared" si="1562"/>
        <v/>
      </c>
      <c r="X9424">
        <f t="shared" si="1552"/>
        <v>0</v>
      </c>
      <c r="Z9424" t="str">
        <f t="shared" si="1563"/>
        <v/>
      </c>
      <c r="AA9424">
        <f t="shared" si="1553"/>
        <v>0</v>
      </c>
    </row>
    <row r="9425" spans="1:27" ht="21" customHeight="1" x14ac:dyDescent="0.95">
      <c r="A9425" s="56"/>
      <c r="B9425" s="57"/>
      <c r="C9425" s="57"/>
      <c r="D9425" s="57"/>
      <c r="E9425" s="56"/>
      <c r="F9425" s="57"/>
      <c r="G9425" s="57"/>
      <c r="H9425" s="56"/>
      <c r="I9425" s="56"/>
      <c r="J9425" s="58"/>
      <c r="K9425" s="58"/>
      <c r="L9425" s="13" t="str">
        <f t="shared" si="1554"/>
        <v/>
      </c>
      <c r="M9425" s="13" t="str">
        <f t="shared" si="1555"/>
        <v/>
      </c>
      <c r="Q9425" t="str">
        <f t="shared" si="1556"/>
        <v/>
      </c>
      <c r="R9425" t="str">
        <f t="shared" si="1557"/>
        <v/>
      </c>
      <c r="S9425" t="str">
        <f t="shared" si="1558"/>
        <v/>
      </c>
      <c r="T9425" t="str">
        <f t="shared" si="1559"/>
        <v/>
      </c>
      <c r="U9425" t="str">
        <f t="shared" si="1560"/>
        <v/>
      </c>
      <c r="V9425" t="str">
        <f t="shared" si="1561"/>
        <v/>
      </c>
      <c r="W9425" t="str">
        <f t="shared" si="1562"/>
        <v/>
      </c>
      <c r="X9425">
        <f t="shared" si="1552"/>
        <v>0</v>
      </c>
      <c r="Z9425" t="str">
        <f t="shared" si="1563"/>
        <v/>
      </c>
      <c r="AA9425">
        <f t="shared" si="1553"/>
        <v>0</v>
      </c>
    </row>
    <row r="9426" spans="1:27" ht="21" customHeight="1" x14ac:dyDescent="0.95">
      <c r="A9426" s="56"/>
      <c r="B9426" s="57"/>
      <c r="C9426" s="57"/>
      <c r="D9426" s="57"/>
      <c r="E9426" s="56"/>
      <c r="F9426" s="57"/>
      <c r="G9426" s="57"/>
      <c r="H9426" s="56"/>
      <c r="I9426" s="56"/>
      <c r="J9426" s="58"/>
      <c r="K9426" s="58"/>
      <c r="L9426" s="13" t="str">
        <f t="shared" si="1554"/>
        <v/>
      </c>
      <c r="M9426" s="13" t="str">
        <f t="shared" si="1555"/>
        <v/>
      </c>
      <c r="Q9426" t="str">
        <f t="shared" si="1556"/>
        <v/>
      </c>
      <c r="R9426" t="str">
        <f t="shared" si="1557"/>
        <v/>
      </c>
      <c r="S9426" t="str">
        <f t="shared" si="1558"/>
        <v/>
      </c>
      <c r="T9426" t="str">
        <f t="shared" si="1559"/>
        <v/>
      </c>
      <c r="U9426" t="str">
        <f t="shared" si="1560"/>
        <v/>
      </c>
      <c r="V9426" t="str">
        <f t="shared" si="1561"/>
        <v/>
      </c>
      <c r="W9426" t="str">
        <f t="shared" si="1562"/>
        <v/>
      </c>
      <c r="X9426">
        <f t="shared" si="1552"/>
        <v>0</v>
      </c>
      <c r="Z9426" t="str">
        <f t="shared" si="1563"/>
        <v/>
      </c>
      <c r="AA9426">
        <f t="shared" si="1553"/>
        <v>0</v>
      </c>
    </row>
    <row r="9427" spans="1:27" ht="21" customHeight="1" x14ac:dyDescent="0.95">
      <c r="A9427" s="56"/>
      <c r="B9427" s="57"/>
      <c r="C9427" s="57"/>
      <c r="D9427" s="57"/>
      <c r="E9427" s="56"/>
      <c r="F9427" s="57"/>
      <c r="G9427" s="57"/>
      <c r="H9427" s="56"/>
      <c r="I9427" s="56"/>
      <c r="J9427" s="58"/>
      <c r="K9427" s="58"/>
      <c r="L9427" s="13" t="str">
        <f t="shared" si="1554"/>
        <v/>
      </c>
      <c r="M9427" s="13" t="str">
        <f t="shared" si="1555"/>
        <v/>
      </c>
      <c r="Q9427" t="str">
        <f t="shared" si="1556"/>
        <v/>
      </c>
      <c r="R9427" t="str">
        <f t="shared" si="1557"/>
        <v/>
      </c>
      <c r="S9427" t="str">
        <f t="shared" si="1558"/>
        <v/>
      </c>
      <c r="T9427" t="str">
        <f t="shared" si="1559"/>
        <v/>
      </c>
      <c r="U9427" t="str">
        <f t="shared" si="1560"/>
        <v/>
      </c>
      <c r="V9427" t="str">
        <f t="shared" si="1561"/>
        <v/>
      </c>
      <c r="W9427" t="str">
        <f t="shared" si="1562"/>
        <v/>
      </c>
      <c r="X9427">
        <f t="shared" si="1552"/>
        <v>0</v>
      </c>
      <c r="Z9427" t="str">
        <f t="shared" si="1563"/>
        <v/>
      </c>
      <c r="AA9427">
        <f t="shared" si="1553"/>
        <v>0</v>
      </c>
    </row>
    <row r="9428" spans="1:27" ht="21" customHeight="1" x14ac:dyDescent="0.95">
      <c r="A9428" s="56"/>
      <c r="B9428" s="57"/>
      <c r="C9428" s="57"/>
      <c r="D9428" s="57"/>
      <c r="E9428" s="56"/>
      <c r="F9428" s="57"/>
      <c r="G9428" s="57"/>
      <c r="H9428" s="56"/>
      <c r="I9428" s="56"/>
      <c r="J9428" s="58"/>
      <c r="K9428" s="58"/>
      <c r="L9428" s="13" t="str">
        <f t="shared" si="1554"/>
        <v/>
      </c>
      <c r="M9428" s="13" t="str">
        <f t="shared" si="1555"/>
        <v/>
      </c>
      <c r="Q9428" t="str">
        <f t="shared" si="1556"/>
        <v/>
      </c>
      <c r="R9428" t="str">
        <f t="shared" si="1557"/>
        <v/>
      </c>
      <c r="S9428" t="str">
        <f t="shared" si="1558"/>
        <v/>
      </c>
      <c r="T9428" t="str">
        <f t="shared" si="1559"/>
        <v/>
      </c>
      <c r="U9428" t="str">
        <f t="shared" si="1560"/>
        <v/>
      </c>
      <c r="V9428" t="str">
        <f t="shared" si="1561"/>
        <v/>
      </c>
      <c r="W9428" t="str">
        <f t="shared" si="1562"/>
        <v/>
      </c>
      <c r="X9428">
        <f t="shared" si="1552"/>
        <v>0</v>
      </c>
      <c r="Z9428" t="str">
        <f t="shared" si="1563"/>
        <v/>
      </c>
      <c r="AA9428">
        <f t="shared" si="1553"/>
        <v>0</v>
      </c>
    </row>
    <row r="9429" spans="1:27" ht="21" customHeight="1" x14ac:dyDescent="0.95">
      <c r="A9429" s="56"/>
      <c r="B9429" s="57"/>
      <c r="C9429" s="57"/>
      <c r="D9429" s="57"/>
      <c r="E9429" s="56"/>
      <c r="F9429" s="57"/>
      <c r="G9429" s="57"/>
      <c r="H9429" s="56"/>
      <c r="I9429" s="56"/>
      <c r="J9429" s="58"/>
      <c r="K9429" s="58"/>
      <c r="L9429" s="13" t="str">
        <f t="shared" si="1554"/>
        <v/>
      </c>
      <c r="M9429" s="13" t="str">
        <f t="shared" si="1555"/>
        <v/>
      </c>
      <c r="Q9429" t="str">
        <f t="shared" si="1556"/>
        <v/>
      </c>
      <c r="R9429" t="str">
        <f t="shared" si="1557"/>
        <v/>
      </c>
      <c r="S9429" t="str">
        <f t="shared" si="1558"/>
        <v/>
      </c>
      <c r="T9429" t="str">
        <f t="shared" si="1559"/>
        <v/>
      </c>
      <c r="U9429" t="str">
        <f t="shared" si="1560"/>
        <v/>
      </c>
      <c r="V9429" t="str">
        <f t="shared" si="1561"/>
        <v/>
      </c>
      <c r="W9429" t="str">
        <f t="shared" si="1562"/>
        <v/>
      </c>
      <c r="X9429">
        <f t="shared" si="1552"/>
        <v>0</v>
      </c>
      <c r="Z9429" t="str">
        <f t="shared" si="1563"/>
        <v/>
      </c>
      <c r="AA9429">
        <f t="shared" si="1553"/>
        <v>0</v>
      </c>
    </row>
    <row r="9430" spans="1:27" ht="21" customHeight="1" x14ac:dyDescent="0.95">
      <c r="A9430" s="56"/>
      <c r="B9430" s="57"/>
      <c r="C9430" s="57"/>
      <c r="D9430" s="57"/>
      <c r="E9430" s="56"/>
      <c r="F9430" s="57"/>
      <c r="G9430" s="57"/>
      <c r="H9430" s="56"/>
      <c r="I9430" s="56"/>
      <c r="J9430" s="58"/>
      <c r="K9430" s="58"/>
      <c r="L9430" s="13" t="str">
        <f t="shared" si="1554"/>
        <v/>
      </c>
      <c r="M9430" s="13" t="str">
        <f t="shared" si="1555"/>
        <v/>
      </c>
      <c r="Q9430" t="str">
        <f t="shared" si="1556"/>
        <v/>
      </c>
      <c r="R9430" t="str">
        <f t="shared" si="1557"/>
        <v/>
      </c>
      <c r="S9430" t="str">
        <f t="shared" si="1558"/>
        <v/>
      </c>
      <c r="T9430" t="str">
        <f t="shared" si="1559"/>
        <v/>
      </c>
      <c r="U9430" t="str">
        <f t="shared" si="1560"/>
        <v/>
      </c>
      <c r="V9430" t="str">
        <f t="shared" si="1561"/>
        <v/>
      </c>
      <c r="W9430" t="str">
        <f t="shared" si="1562"/>
        <v/>
      </c>
      <c r="X9430">
        <f t="shared" si="1552"/>
        <v>0</v>
      </c>
      <c r="Z9430" t="str">
        <f t="shared" si="1563"/>
        <v/>
      </c>
      <c r="AA9430">
        <f t="shared" si="1553"/>
        <v>0</v>
      </c>
    </row>
    <row r="9431" spans="1:27" ht="21" customHeight="1" x14ac:dyDescent="0.95">
      <c r="A9431" s="56"/>
      <c r="B9431" s="57"/>
      <c r="C9431" s="57"/>
      <c r="D9431" s="57"/>
      <c r="E9431" s="56"/>
      <c r="F9431" s="57"/>
      <c r="G9431" s="57"/>
      <c r="H9431" s="56"/>
      <c r="I9431" s="56"/>
      <c r="J9431" s="58"/>
      <c r="K9431" s="58"/>
      <c r="L9431" s="13" t="str">
        <f t="shared" si="1554"/>
        <v/>
      </c>
      <c r="M9431" s="13" t="str">
        <f t="shared" si="1555"/>
        <v/>
      </c>
      <c r="Q9431" t="str">
        <f t="shared" si="1556"/>
        <v/>
      </c>
      <c r="R9431" t="str">
        <f t="shared" si="1557"/>
        <v/>
      </c>
      <c r="S9431" t="str">
        <f t="shared" si="1558"/>
        <v/>
      </c>
      <c r="T9431" t="str">
        <f t="shared" si="1559"/>
        <v/>
      </c>
      <c r="U9431" t="str">
        <f t="shared" si="1560"/>
        <v/>
      </c>
      <c r="V9431" t="str">
        <f t="shared" si="1561"/>
        <v/>
      </c>
      <c r="W9431" t="str">
        <f t="shared" si="1562"/>
        <v/>
      </c>
      <c r="X9431">
        <f t="shared" si="1552"/>
        <v>0</v>
      </c>
      <c r="Z9431" t="str">
        <f t="shared" si="1563"/>
        <v/>
      </c>
      <c r="AA9431">
        <f t="shared" si="1553"/>
        <v>0</v>
      </c>
    </row>
    <row r="9432" spans="1:27" ht="21" customHeight="1" x14ac:dyDescent="0.95">
      <c r="A9432" s="56"/>
      <c r="B9432" s="57"/>
      <c r="C9432" s="57"/>
      <c r="D9432" s="57"/>
      <c r="E9432" s="56"/>
      <c r="F9432" s="57"/>
      <c r="G9432" s="57"/>
      <c r="H9432" s="56"/>
      <c r="I9432" s="56"/>
      <c r="J9432" s="58"/>
      <c r="K9432" s="58"/>
      <c r="L9432" s="13" t="str">
        <f t="shared" si="1554"/>
        <v/>
      </c>
      <c r="M9432" s="13" t="str">
        <f t="shared" si="1555"/>
        <v/>
      </c>
      <c r="Q9432" t="str">
        <f t="shared" si="1556"/>
        <v/>
      </c>
      <c r="R9432" t="str">
        <f t="shared" si="1557"/>
        <v/>
      </c>
      <c r="S9432" t="str">
        <f t="shared" si="1558"/>
        <v/>
      </c>
      <c r="T9432" t="str">
        <f t="shared" si="1559"/>
        <v/>
      </c>
      <c r="U9432" t="str">
        <f t="shared" si="1560"/>
        <v/>
      </c>
      <c r="V9432" t="str">
        <f t="shared" si="1561"/>
        <v/>
      </c>
      <c r="W9432" t="str">
        <f t="shared" si="1562"/>
        <v/>
      </c>
      <c r="X9432">
        <f t="shared" si="1552"/>
        <v>0</v>
      </c>
      <c r="Z9432" t="str">
        <f t="shared" si="1563"/>
        <v/>
      </c>
      <c r="AA9432">
        <f t="shared" si="1553"/>
        <v>0</v>
      </c>
    </row>
    <row r="9433" spans="1:27" ht="21" customHeight="1" x14ac:dyDescent="0.95">
      <c r="A9433" s="56"/>
      <c r="B9433" s="57"/>
      <c r="C9433" s="57"/>
      <c r="D9433" s="57"/>
      <c r="E9433" s="56"/>
      <c r="F9433" s="57"/>
      <c r="G9433" s="57"/>
      <c r="H9433" s="56"/>
      <c r="I9433" s="56"/>
      <c r="J9433" s="58"/>
      <c r="K9433" s="58"/>
      <c r="L9433" s="13" t="str">
        <f t="shared" si="1554"/>
        <v/>
      </c>
      <c r="M9433" s="13" t="str">
        <f t="shared" si="1555"/>
        <v/>
      </c>
      <c r="Q9433" t="str">
        <f t="shared" si="1556"/>
        <v/>
      </c>
      <c r="R9433" t="str">
        <f t="shared" si="1557"/>
        <v/>
      </c>
      <c r="S9433" t="str">
        <f t="shared" si="1558"/>
        <v/>
      </c>
      <c r="T9433" t="str">
        <f t="shared" si="1559"/>
        <v/>
      </c>
      <c r="U9433" t="str">
        <f t="shared" si="1560"/>
        <v/>
      </c>
      <c r="V9433" t="str">
        <f t="shared" si="1561"/>
        <v/>
      </c>
      <c r="W9433" t="str">
        <f t="shared" si="1562"/>
        <v/>
      </c>
      <c r="X9433">
        <f t="shared" si="1552"/>
        <v>0</v>
      </c>
      <c r="Z9433" t="str">
        <f t="shared" si="1563"/>
        <v/>
      </c>
      <c r="AA9433">
        <f t="shared" si="1553"/>
        <v>0</v>
      </c>
    </row>
    <row r="9434" spans="1:27" ht="21" customHeight="1" x14ac:dyDescent="0.95">
      <c r="A9434" s="56"/>
      <c r="B9434" s="57"/>
      <c r="C9434" s="57"/>
      <c r="D9434" s="57"/>
      <c r="E9434" s="56"/>
      <c r="F9434" s="57"/>
      <c r="G9434" s="57"/>
      <c r="H9434" s="56"/>
      <c r="I9434" s="56"/>
      <c r="J9434" s="58"/>
      <c r="K9434" s="58"/>
      <c r="L9434" s="13" t="str">
        <f t="shared" si="1554"/>
        <v/>
      </c>
      <c r="M9434" s="13" t="str">
        <f t="shared" si="1555"/>
        <v/>
      </c>
      <c r="Q9434" t="str">
        <f t="shared" si="1556"/>
        <v/>
      </c>
      <c r="R9434" t="str">
        <f t="shared" si="1557"/>
        <v/>
      </c>
      <c r="S9434" t="str">
        <f t="shared" si="1558"/>
        <v/>
      </c>
      <c r="T9434" t="str">
        <f t="shared" si="1559"/>
        <v/>
      </c>
      <c r="U9434" t="str">
        <f t="shared" si="1560"/>
        <v/>
      </c>
      <c r="V9434" t="str">
        <f t="shared" si="1561"/>
        <v/>
      </c>
      <c r="W9434" t="str">
        <f t="shared" si="1562"/>
        <v/>
      </c>
      <c r="X9434">
        <f t="shared" si="1552"/>
        <v>0</v>
      </c>
      <c r="Z9434" t="str">
        <f t="shared" si="1563"/>
        <v/>
      </c>
      <c r="AA9434">
        <f t="shared" si="1553"/>
        <v>0</v>
      </c>
    </row>
    <row r="9435" spans="1:27" ht="21" customHeight="1" x14ac:dyDescent="0.95">
      <c r="A9435" s="56"/>
      <c r="B9435" s="57"/>
      <c r="C9435" s="57"/>
      <c r="D9435" s="57"/>
      <c r="E9435" s="56"/>
      <c r="F9435" s="57"/>
      <c r="G9435" s="57"/>
      <c r="H9435" s="56"/>
      <c r="I9435" s="56"/>
      <c r="J9435" s="58"/>
      <c r="K9435" s="58"/>
      <c r="L9435" s="13" t="str">
        <f t="shared" si="1554"/>
        <v/>
      </c>
      <c r="M9435" s="13" t="str">
        <f t="shared" si="1555"/>
        <v/>
      </c>
      <c r="Q9435" t="str">
        <f t="shared" si="1556"/>
        <v/>
      </c>
      <c r="R9435" t="str">
        <f t="shared" si="1557"/>
        <v/>
      </c>
      <c r="S9435" t="str">
        <f t="shared" si="1558"/>
        <v/>
      </c>
      <c r="T9435" t="str">
        <f t="shared" si="1559"/>
        <v/>
      </c>
      <c r="U9435" t="str">
        <f t="shared" si="1560"/>
        <v/>
      </c>
      <c r="V9435" t="str">
        <f t="shared" si="1561"/>
        <v/>
      </c>
      <c r="W9435" t="str">
        <f t="shared" si="1562"/>
        <v/>
      </c>
      <c r="X9435">
        <f t="shared" si="1552"/>
        <v>0</v>
      </c>
      <c r="Z9435" t="str">
        <f t="shared" si="1563"/>
        <v/>
      </c>
      <c r="AA9435">
        <f t="shared" si="1553"/>
        <v>0</v>
      </c>
    </row>
    <row r="9436" spans="1:27" ht="21" customHeight="1" x14ac:dyDescent="0.95">
      <c r="A9436" s="56"/>
      <c r="B9436" s="57"/>
      <c r="C9436" s="57"/>
      <c r="D9436" s="57"/>
      <c r="E9436" s="56"/>
      <c r="F9436" s="57"/>
      <c r="G9436" s="57"/>
      <c r="H9436" s="56"/>
      <c r="I9436" s="56"/>
      <c r="J9436" s="58"/>
      <c r="K9436" s="58"/>
      <c r="L9436" s="13" t="str">
        <f t="shared" si="1554"/>
        <v/>
      </c>
      <c r="M9436" s="13" t="str">
        <f t="shared" si="1555"/>
        <v/>
      </c>
      <c r="Q9436" t="str">
        <f t="shared" si="1556"/>
        <v/>
      </c>
      <c r="R9436" t="str">
        <f t="shared" si="1557"/>
        <v/>
      </c>
      <c r="S9436" t="str">
        <f t="shared" si="1558"/>
        <v/>
      </c>
      <c r="T9436" t="str">
        <f t="shared" si="1559"/>
        <v/>
      </c>
      <c r="U9436" t="str">
        <f t="shared" si="1560"/>
        <v/>
      </c>
      <c r="V9436" t="str">
        <f t="shared" si="1561"/>
        <v/>
      </c>
      <c r="W9436" t="str">
        <f t="shared" si="1562"/>
        <v/>
      </c>
      <c r="X9436">
        <f t="shared" si="1552"/>
        <v>0</v>
      </c>
      <c r="Z9436" t="str">
        <f t="shared" si="1563"/>
        <v/>
      </c>
      <c r="AA9436">
        <f t="shared" si="1553"/>
        <v>0</v>
      </c>
    </row>
    <row r="9437" spans="1:27" ht="21" customHeight="1" x14ac:dyDescent="0.95">
      <c r="A9437" s="56"/>
      <c r="B9437" s="57"/>
      <c r="C9437" s="57"/>
      <c r="D9437" s="57"/>
      <c r="E9437" s="56"/>
      <c r="F9437" s="57"/>
      <c r="G9437" s="57"/>
      <c r="H9437" s="56"/>
      <c r="I9437" s="56"/>
      <c r="J9437" s="58"/>
      <c r="K9437" s="58"/>
      <c r="L9437" s="13" t="str">
        <f t="shared" si="1554"/>
        <v/>
      </c>
      <c r="M9437" s="13" t="str">
        <f t="shared" si="1555"/>
        <v/>
      </c>
      <c r="Q9437" t="str">
        <f t="shared" si="1556"/>
        <v/>
      </c>
      <c r="R9437" t="str">
        <f t="shared" si="1557"/>
        <v/>
      </c>
      <c r="S9437" t="str">
        <f t="shared" si="1558"/>
        <v/>
      </c>
      <c r="T9437" t="str">
        <f t="shared" si="1559"/>
        <v/>
      </c>
      <c r="U9437" t="str">
        <f t="shared" si="1560"/>
        <v/>
      </c>
      <c r="V9437" t="str">
        <f t="shared" si="1561"/>
        <v/>
      </c>
      <c r="W9437" t="str">
        <f t="shared" si="1562"/>
        <v/>
      </c>
      <c r="X9437">
        <f t="shared" si="1552"/>
        <v>0</v>
      </c>
      <c r="Z9437" t="str">
        <f t="shared" si="1563"/>
        <v/>
      </c>
      <c r="AA9437">
        <f t="shared" si="1553"/>
        <v>0</v>
      </c>
    </row>
    <row r="9438" spans="1:27" ht="21" customHeight="1" x14ac:dyDescent="0.95">
      <c r="A9438" s="56"/>
      <c r="B9438" s="57"/>
      <c r="C9438" s="57"/>
      <c r="D9438" s="57"/>
      <c r="E9438" s="56"/>
      <c r="F9438" s="57"/>
      <c r="G9438" s="57"/>
      <c r="H9438" s="56"/>
      <c r="I9438" s="56"/>
      <c r="J9438" s="58"/>
      <c r="K9438" s="58"/>
      <c r="L9438" s="13" t="str">
        <f t="shared" si="1554"/>
        <v/>
      </c>
      <c r="M9438" s="13" t="str">
        <f t="shared" si="1555"/>
        <v/>
      </c>
      <c r="Q9438" t="str">
        <f t="shared" si="1556"/>
        <v/>
      </c>
      <c r="R9438" t="str">
        <f t="shared" si="1557"/>
        <v/>
      </c>
      <c r="S9438" t="str">
        <f t="shared" si="1558"/>
        <v/>
      </c>
      <c r="T9438" t="str">
        <f t="shared" si="1559"/>
        <v/>
      </c>
      <c r="U9438" t="str">
        <f t="shared" si="1560"/>
        <v/>
      </c>
      <c r="V9438" t="str">
        <f t="shared" si="1561"/>
        <v/>
      </c>
      <c r="W9438" t="str">
        <f t="shared" si="1562"/>
        <v/>
      </c>
      <c r="X9438">
        <f t="shared" si="1552"/>
        <v>0</v>
      </c>
      <c r="Z9438" t="str">
        <f t="shared" si="1563"/>
        <v/>
      </c>
      <c r="AA9438">
        <f t="shared" si="1553"/>
        <v>0</v>
      </c>
    </row>
    <row r="9439" spans="1:27" ht="21" customHeight="1" x14ac:dyDescent="0.95">
      <c r="A9439" s="56"/>
      <c r="B9439" s="57"/>
      <c r="C9439" s="57"/>
      <c r="D9439" s="57"/>
      <c r="E9439" s="56"/>
      <c r="F9439" s="57"/>
      <c r="G9439" s="57"/>
      <c r="H9439" s="56"/>
      <c r="I9439" s="56"/>
      <c r="J9439" s="58"/>
      <c r="K9439" s="58"/>
      <c r="L9439" s="13" t="str">
        <f t="shared" si="1554"/>
        <v/>
      </c>
      <c r="M9439" s="13" t="str">
        <f t="shared" si="1555"/>
        <v/>
      </c>
      <c r="Q9439" t="str">
        <f t="shared" si="1556"/>
        <v/>
      </c>
      <c r="R9439" t="str">
        <f t="shared" si="1557"/>
        <v/>
      </c>
      <c r="S9439" t="str">
        <f t="shared" si="1558"/>
        <v/>
      </c>
      <c r="T9439" t="str">
        <f t="shared" si="1559"/>
        <v/>
      </c>
      <c r="U9439" t="str">
        <f t="shared" si="1560"/>
        <v/>
      </c>
      <c r="V9439" t="str">
        <f t="shared" si="1561"/>
        <v/>
      </c>
      <c r="W9439" t="str">
        <f t="shared" si="1562"/>
        <v/>
      </c>
      <c r="X9439">
        <f t="shared" si="1552"/>
        <v>0</v>
      </c>
      <c r="Z9439" t="str">
        <f t="shared" si="1563"/>
        <v/>
      </c>
      <c r="AA9439">
        <f t="shared" si="1553"/>
        <v>0</v>
      </c>
    </row>
    <row r="9440" spans="1:27" ht="21" customHeight="1" x14ac:dyDescent="0.95">
      <c r="A9440" s="56"/>
      <c r="B9440" s="57"/>
      <c r="C9440" s="57"/>
      <c r="D9440" s="57"/>
      <c r="E9440" s="56"/>
      <c r="F9440" s="57"/>
      <c r="G9440" s="57"/>
      <c r="H9440" s="56"/>
      <c r="I9440" s="56"/>
      <c r="J9440" s="58"/>
      <c r="K9440" s="58"/>
      <c r="L9440" s="13" t="str">
        <f t="shared" si="1554"/>
        <v/>
      </c>
      <c r="M9440" s="13" t="str">
        <f t="shared" si="1555"/>
        <v/>
      </c>
      <c r="Q9440" t="str">
        <f t="shared" si="1556"/>
        <v/>
      </c>
      <c r="R9440" t="str">
        <f t="shared" si="1557"/>
        <v/>
      </c>
      <c r="S9440" t="str">
        <f t="shared" si="1558"/>
        <v/>
      </c>
      <c r="T9440" t="str">
        <f t="shared" si="1559"/>
        <v/>
      </c>
      <c r="U9440" t="str">
        <f t="shared" si="1560"/>
        <v/>
      </c>
      <c r="V9440" t="str">
        <f t="shared" si="1561"/>
        <v/>
      </c>
      <c r="W9440" t="str">
        <f t="shared" si="1562"/>
        <v/>
      </c>
      <c r="X9440">
        <f t="shared" si="1552"/>
        <v>0</v>
      </c>
      <c r="Z9440" t="str">
        <f t="shared" si="1563"/>
        <v/>
      </c>
      <c r="AA9440">
        <f t="shared" si="1553"/>
        <v>0</v>
      </c>
    </row>
    <row r="9441" spans="1:27" ht="21" customHeight="1" x14ac:dyDescent="0.95">
      <c r="A9441" s="56"/>
      <c r="B9441" s="57"/>
      <c r="C9441" s="57"/>
      <c r="D9441" s="57"/>
      <c r="E9441" s="56"/>
      <c r="F9441" s="57"/>
      <c r="G9441" s="57"/>
      <c r="H9441" s="56"/>
      <c r="I9441" s="56"/>
      <c r="J9441" s="58"/>
      <c r="K9441" s="58"/>
      <c r="L9441" s="13" t="str">
        <f t="shared" si="1554"/>
        <v/>
      </c>
      <c r="M9441" s="13" t="str">
        <f t="shared" si="1555"/>
        <v/>
      </c>
      <c r="Q9441" t="str">
        <f t="shared" si="1556"/>
        <v/>
      </c>
      <c r="R9441" t="str">
        <f t="shared" si="1557"/>
        <v/>
      </c>
      <c r="S9441" t="str">
        <f t="shared" si="1558"/>
        <v/>
      </c>
      <c r="T9441" t="str">
        <f t="shared" si="1559"/>
        <v/>
      </c>
      <c r="U9441" t="str">
        <f t="shared" si="1560"/>
        <v/>
      </c>
      <c r="V9441" t="str">
        <f t="shared" si="1561"/>
        <v/>
      </c>
      <c r="W9441" t="str">
        <f t="shared" si="1562"/>
        <v/>
      </c>
      <c r="X9441">
        <f t="shared" si="1552"/>
        <v>0</v>
      </c>
      <c r="Z9441" t="str">
        <f t="shared" si="1563"/>
        <v/>
      </c>
      <c r="AA9441">
        <f t="shared" si="1553"/>
        <v>0</v>
      </c>
    </row>
    <row r="9442" spans="1:27" ht="21" customHeight="1" x14ac:dyDescent="0.95">
      <c r="A9442" s="56"/>
      <c r="B9442" s="57"/>
      <c r="C9442" s="57"/>
      <c r="D9442" s="57"/>
      <c r="E9442" s="56"/>
      <c r="F9442" s="57"/>
      <c r="G9442" s="57"/>
      <c r="H9442" s="56"/>
      <c r="I9442" s="56"/>
      <c r="J9442" s="58"/>
      <c r="K9442" s="58"/>
      <c r="L9442" s="13" t="str">
        <f t="shared" si="1554"/>
        <v/>
      </c>
      <c r="M9442" s="13" t="str">
        <f t="shared" si="1555"/>
        <v/>
      </c>
      <c r="Q9442" t="str">
        <f t="shared" si="1556"/>
        <v/>
      </c>
      <c r="R9442" t="str">
        <f t="shared" si="1557"/>
        <v/>
      </c>
      <c r="S9442" t="str">
        <f t="shared" si="1558"/>
        <v/>
      </c>
      <c r="T9442" t="str">
        <f t="shared" si="1559"/>
        <v/>
      </c>
      <c r="U9442" t="str">
        <f t="shared" si="1560"/>
        <v/>
      </c>
      <c r="V9442" t="str">
        <f t="shared" si="1561"/>
        <v/>
      </c>
      <c r="W9442" t="str">
        <f t="shared" si="1562"/>
        <v/>
      </c>
      <c r="X9442">
        <f t="shared" si="1552"/>
        <v>0</v>
      </c>
      <c r="Z9442" t="str">
        <f t="shared" si="1563"/>
        <v/>
      </c>
      <c r="AA9442">
        <f t="shared" si="1553"/>
        <v>0</v>
      </c>
    </row>
    <row r="9443" spans="1:27" ht="21" customHeight="1" x14ac:dyDescent="0.95">
      <c r="A9443" s="56"/>
      <c r="B9443" s="57"/>
      <c r="C9443" s="57"/>
      <c r="D9443" s="57"/>
      <c r="E9443" s="56"/>
      <c r="F9443" s="57"/>
      <c r="G9443" s="57"/>
      <c r="H9443" s="56"/>
      <c r="I9443" s="56"/>
      <c r="J9443" s="58"/>
      <c r="K9443" s="58"/>
      <c r="L9443" s="13" t="str">
        <f t="shared" si="1554"/>
        <v/>
      </c>
      <c r="M9443" s="13" t="str">
        <f t="shared" si="1555"/>
        <v/>
      </c>
      <c r="Q9443" t="str">
        <f t="shared" si="1556"/>
        <v/>
      </c>
      <c r="R9443" t="str">
        <f t="shared" si="1557"/>
        <v/>
      </c>
      <c r="S9443" t="str">
        <f t="shared" si="1558"/>
        <v/>
      </c>
      <c r="T9443" t="str">
        <f t="shared" si="1559"/>
        <v/>
      </c>
      <c r="U9443" t="str">
        <f t="shared" si="1560"/>
        <v/>
      </c>
      <c r="V9443" t="str">
        <f t="shared" si="1561"/>
        <v/>
      </c>
      <c r="W9443" t="str">
        <f t="shared" si="1562"/>
        <v/>
      </c>
      <c r="X9443">
        <f t="shared" si="1552"/>
        <v>0</v>
      </c>
      <c r="Z9443" t="str">
        <f t="shared" si="1563"/>
        <v/>
      </c>
      <c r="AA9443">
        <f t="shared" si="1553"/>
        <v>0</v>
      </c>
    </row>
    <row r="9444" spans="1:27" ht="21" customHeight="1" x14ac:dyDescent="0.95">
      <c r="A9444" s="56"/>
      <c r="B9444" s="57"/>
      <c r="C9444" s="57"/>
      <c r="D9444" s="57"/>
      <c r="E9444" s="56"/>
      <c r="F9444" s="57"/>
      <c r="G9444" s="57"/>
      <c r="H9444" s="56"/>
      <c r="I9444" s="56"/>
      <c r="J9444" s="58"/>
      <c r="K9444" s="58"/>
      <c r="L9444" s="13" t="str">
        <f t="shared" si="1554"/>
        <v/>
      </c>
      <c r="M9444" s="13" t="str">
        <f t="shared" si="1555"/>
        <v/>
      </c>
      <c r="Q9444" t="str">
        <f t="shared" si="1556"/>
        <v/>
      </c>
      <c r="R9444" t="str">
        <f t="shared" si="1557"/>
        <v/>
      </c>
      <c r="S9444" t="str">
        <f t="shared" si="1558"/>
        <v/>
      </c>
      <c r="T9444" t="str">
        <f t="shared" si="1559"/>
        <v/>
      </c>
      <c r="U9444" t="str">
        <f t="shared" si="1560"/>
        <v/>
      </c>
      <c r="V9444" t="str">
        <f t="shared" si="1561"/>
        <v/>
      </c>
      <c r="W9444" t="str">
        <f t="shared" si="1562"/>
        <v/>
      </c>
      <c r="X9444">
        <f t="shared" si="1552"/>
        <v>0</v>
      </c>
      <c r="Z9444" t="str">
        <f t="shared" si="1563"/>
        <v/>
      </c>
      <c r="AA9444">
        <f t="shared" si="1553"/>
        <v>0</v>
      </c>
    </row>
    <row r="9445" spans="1:27" ht="21" customHeight="1" x14ac:dyDescent="0.95">
      <c r="A9445" s="56"/>
      <c r="B9445" s="57"/>
      <c r="C9445" s="57"/>
      <c r="D9445" s="57"/>
      <c r="E9445" s="56"/>
      <c r="F9445" s="57"/>
      <c r="G9445" s="57"/>
      <c r="H9445" s="56"/>
      <c r="I9445" s="56"/>
      <c r="J9445" s="58"/>
      <c r="K9445" s="58"/>
      <c r="L9445" s="13" t="str">
        <f t="shared" si="1554"/>
        <v/>
      </c>
      <c r="M9445" s="13" t="str">
        <f t="shared" si="1555"/>
        <v/>
      </c>
      <c r="Q9445" t="str">
        <f t="shared" si="1556"/>
        <v/>
      </c>
      <c r="R9445" t="str">
        <f t="shared" si="1557"/>
        <v/>
      </c>
      <c r="S9445" t="str">
        <f t="shared" si="1558"/>
        <v/>
      </c>
      <c r="T9445" t="str">
        <f t="shared" si="1559"/>
        <v/>
      </c>
      <c r="U9445" t="str">
        <f t="shared" si="1560"/>
        <v/>
      </c>
      <c r="V9445" t="str">
        <f t="shared" si="1561"/>
        <v/>
      </c>
      <c r="W9445" t="str">
        <f t="shared" si="1562"/>
        <v/>
      </c>
      <c r="X9445">
        <f t="shared" si="1552"/>
        <v>0</v>
      </c>
      <c r="Z9445" t="str">
        <f t="shared" si="1563"/>
        <v/>
      </c>
      <c r="AA9445">
        <f t="shared" si="1553"/>
        <v>0</v>
      </c>
    </row>
    <row r="9446" spans="1:27" ht="21" customHeight="1" x14ac:dyDescent="0.95">
      <c r="A9446" s="56"/>
      <c r="B9446" s="57"/>
      <c r="C9446" s="57"/>
      <c r="D9446" s="57"/>
      <c r="E9446" s="56"/>
      <c r="F9446" s="57"/>
      <c r="G9446" s="57"/>
      <c r="H9446" s="56"/>
      <c r="I9446" s="56"/>
      <c r="J9446" s="58"/>
      <c r="K9446" s="58"/>
      <c r="L9446" s="13" t="str">
        <f t="shared" si="1554"/>
        <v/>
      </c>
      <c r="M9446" s="13" t="str">
        <f t="shared" si="1555"/>
        <v/>
      </c>
      <c r="Q9446" t="str">
        <f t="shared" si="1556"/>
        <v/>
      </c>
      <c r="R9446" t="str">
        <f t="shared" si="1557"/>
        <v/>
      </c>
      <c r="S9446" t="str">
        <f t="shared" si="1558"/>
        <v/>
      </c>
      <c r="T9446" t="str">
        <f t="shared" si="1559"/>
        <v/>
      </c>
      <c r="U9446" t="str">
        <f t="shared" si="1560"/>
        <v/>
      </c>
      <c r="V9446" t="str">
        <f t="shared" si="1561"/>
        <v/>
      </c>
      <c r="W9446" t="str">
        <f t="shared" si="1562"/>
        <v/>
      </c>
      <c r="X9446">
        <f t="shared" si="1552"/>
        <v>0</v>
      </c>
      <c r="Z9446" t="str">
        <f t="shared" si="1563"/>
        <v/>
      </c>
      <c r="AA9446">
        <f t="shared" si="1553"/>
        <v>0</v>
      </c>
    </row>
    <row r="9447" spans="1:27" ht="21" customHeight="1" x14ac:dyDescent="0.95">
      <c r="A9447" s="56"/>
      <c r="B9447" s="57"/>
      <c r="C9447" s="57"/>
      <c r="D9447" s="57"/>
      <c r="E9447" s="56"/>
      <c r="F9447" s="57"/>
      <c r="G9447" s="57"/>
      <c r="H9447" s="56"/>
      <c r="I9447" s="56"/>
      <c r="J9447" s="58"/>
      <c r="K9447" s="58"/>
      <c r="L9447" s="13" t="str">
        <f t="shared" si="1554"/>
        <v/>
      </c>
      <c r="M9447" s="13" t="str">
        <f t="shared" si="1555"/>
        <v/>
      </c>
      <c r="Q9447" t="str">
        <f t="shared" si="1556"/>
        <v/>
      </c>
      <c r="R9447" t="str">
        <f t="shared" si="1557"/>
        <v/>
      </c>
      <c r="S9447" t="str">
        <f t="shared" si="1558"/>
        <v/>
      </c>
      <c r="T9447" t="str">
        <f t="shared" si="1559"/>
        <v/>
      </c>
      <c r="U9447" t="str">
        <f t="shared" si="1560"/>
        <v/>
      </c>
      <c r="V9447" t="str">
        <f t="shared" si="1561"/>
        <v/>
      </c>
      <c r="W9447" t="str">
        <f t="shared" si="1562"/>
        <v/>
      </c>
      <c r="X9447">
        <f t="shared" si="1552"/>
        <v>0</v>
      </c>
      <c r="Z9447" t="str">
        <f t="shared" si="1563"/>
        <v/>
      </c>
      <c r="AA9447">
        <f t="shared" si="1553"/>
        <v>0</v>
      </c>
    </row>
    <row r="9448" spans="1:27" ht="21" customHeight="1" x14ac:dyDescent="0.95">
      <c r="A9448" s="56"/>
      <c r="B9448" s="57"/>
      <c r="C9448" s="57"/>
      <c r="D9448" s="57"/>
      <c r="E9448" s="56"/>
      <c r="F9448" s="57"/>
      <c r="G9448" s="57"/>
      <c r="H9448" s="56"/>
      <c r="I9448" s="56"/>
      <c r="J9448" s="58"/>
      <c r="K9448" s="58"/>
      <c r="L9448" s="13" t="str">
        <f t="shared" si="1554"/>
        <v/>
      </c>
      <c r="M9448" s="13" t="str">
        <f t="shared" si="1555"/>
        <v/>
      </c>
      <c r="Q9448" t="str">
        <f t="shared" si="1556"/>
        <v/>
      </c>
      <c r="R9448" t="str">
        <f t="shared" si="1557"/>
        <v/>
      </c>
      <c r="S9448" t="str">
        <f t="shared" si="1558"/>
        <v/>
      </c>
      <c r="T9448" t="str">
        <f t="shared" si="1559"/>
        <v/>
      </c>
      <c r="U9448" t="str">
        <f t="shared" si="1560"/>
        <v/>
      </c>
      <c r="V9448" t="str">
        <f t="shared" si="1561"/>
        <v/>
      </c>
      <c r="W9448" t="str">
        <f t="shared" si="1562"/>
        <v/>
      </c>
      <c r="X9448">
        <f t="shared" si="1552"/>
        <v>0</v>
      </c>
      <c r="Z9448" t="str">
        <f t="shared" si="1563"/>
        <v/>
      </c>
      <c r="AA9448">
        <f t="shared" si="1553"/>
        <v>0</v>
      </c>
    </row>
    <row r="9449" spans="1:27" ht="21" customHeight="1" x14ac:dyDescent="0.95">
      <c r="A9449" s="56"/>
      <c r="B9449" s="57"/>
      <c r="C9449" s="57"/>
      <c r="D9449" s="57"/>
      <c r="E9449" s="56"/>
      <c r="F9449" s="57"/>
      <c r="G9449" s="57"/>
      <c r="H9449" s="56"/>
      <c r="I9449" s="56"/>
      <c r="J9449" s="58"/>
      <c r="K9449" s="58"/>
      <c r="L9449" s="13" t="str">
        <f t="shared" si="1554"/>
        <v/>
      </c>
      <c r="M9449" s="13" t="str">
        <f t="shared" si="1555"/>
        <v/>
      </c>
      <c r="Q9449" t="str">
        <f t="shared" si="1556"/>
        <v/>
      </c>
      <c r="R9449" t="str">
        <f t="shared" si="1557"/>
        <v/>
      </c>
      <c r="S9449" t="str">
        <f t="shared" si="1558"/>
        <v/>
      </c>
      <c r="T9449" t="str">
        <f t="shared" si="1559"/>
        <v/>
      </c>
      <c r="U9449" t="str">
        <f t="shared" si="1560"/>
        <v/>
      </c>
      <c r="V9449" t="str">
        <f t="shared" si="1561"/>
        <v/>
      </c>
      <c r="W9449" t="str">
        <f t="shared" si="1562"/>
        <v/>
      </c>
      <c r="X9449">
        <f t="shared" si="1552"/>
        <v>0</v>
      </c>
      <c r="Z9449" t="str">
        <f t="shared" si="1563"/>
        <v/>
      </c>
      <c r="AA9449">
        <f t="shared" si="1553"/>
        <v>0</v>
      </c>
    </row>
    <row r="9450" spans="1:27" ht="21" customHeight="1" x14ac:dyDescent="0.95">
      <c r="A9450" s="56"/>
      <c r="B9450" s="57"/>
      <c r="C9450" s="57"/>
      <c r="D9450" s="57"/>
      <c r="E9450" s="56"/>
      <c r="F9450" s="57"/>
      <c r="G9450" s="57"/>
      <c r="H9450" s="56"/>
      <c r="I9450" s="56"/>
      <c r="J9450" s="58"/>
      <c r="K9450" s="58"/>
      <c r="L9450" s="13" t="str">
        <f t="shared" si="1554"/>
        <v/>
      </c>
      <c r="M9450" s="13" t="str">
        <f t="shared" si="1555"/>
        <v/>
      </c>
      <c r="Q9450" t="str">
        <f t="shared" si="1556"/>
        <v/>
      </c>
      <c r="R9450" t="str">
        <f t="shared" si="1557"/>
        <v/>
      </c>
      <c r="S9450" t="str">
        <f t="shared" si="1558"/>
        <v/>
      </c>
      <c r="T9450" t="str">
        <f t="shared" si="1559"/>
        <v/>
      </c>
      <c r="U9450" t="str">
        <f t="shared" si="1560"/>
        <v/>
      </c>
      <c r="V9450" t="str">
        <f t="shared" si="1561"/>
        <v/>
      </c>
      <c r="W9450" t="str">
        <f t="shared" si="1562"/>
        <v/>
      </c>
      <c r="X9450">
        <f t="shared" si="1552"/>
        <v>0</v>
      </c>
      <c r="Z9450" t="str">
        <f t="shared" si="1563"/>
        <v/>
      </c>
      <c r="AA9450">
        <f t="shared" si="1553"/>
        <v>0</v>
      </c>
    </row>
    <row r="9451" spans="1:27" ht="21" customHeight="1" x14ac:dyDescent="0.95">
      <c r="A9451" s="56"/>
      <c r="B9451" s="57"/>
      <c r="C9451" s="57"/>
      <c r="D9451" s="57"/>
      <c r="E9451" s="56"/>
      <c r="F9451" s="57"/>
      <c r="G9451" s="57"/>
      <c r="H9451" s="56"/>
      <c r="I9451" s="56"/>
      <c r="J9451" s="58"/>
      <c r="K9451" s="58"/>
      <c r="L9451" s="13" t="str">
        <f t="shared" si="1554"/>
        <v/>
      </c>
      <c r="M9451" s="13" t="str">
        <f t="shared" si="1555"/>
        <v/>
      </c>
      <c r="Q9451" t="str">
        <f t="shared" si="1556"/>
        <v/>
      </c>
      <c r="R9451" t="str">
        <f t="shared" si="1557"/>
        <v/>
      </c>
      <c r="S9451" t="str">
        <f t="shared" si="1558"/>
        <v/>
      </c>
      <c r="T9451" t="str">
        <f t="shared" si="1559"/>
        <v/>
      </c>
      <c r="U9451" t="str">
        <f t="shared" si="1560"/>
        <v/>
      </c>
      <c r="V9451" t="str">
        <f t="shared" si="1561"/>
        <v/>
      </c>
      <c r="W9451" t="str">
        <f t="shared" si="1562"/>
        <v/>
      </c>
      <c r="X9451">
        <f t="shared" si="1552"/>
        <v>0</v>
      </c>
      <c r="Z9451" t="str">
        <f t="shared" si="1563"/>
        <v/>
      </c>
      <c r="AA9451">
        <f t="shared" si="1553"/>
        <v>0</v>
      </c>
    </row>
    <row r="9452" spans="1:27" ht="21" customHeight="1" x14ac:dyDescent="0.95">
      <c r="A9452" s="56"/>
      <c r="B9452" s="57"/>
      <c r="C9452" s="57"/>
      <c r="D9452" s="57"/>
      <c r="E9452" s="56"/>
      <c r="F9452" s="57"/>
      <c r="G9452" s="57"/>
      <c r="H9452" s="56"/>
      <c r="I9452" s="56"/>
      <c r="J9452" s="58"/>
      <c r="K9452" s="58"/>
      <c r="L9452" s="13" t="str">
        <f t="shared" si="1554"/>
        <v/>
      </c>
      <c r="M9452" s="13" t="str">
        <f t="shared" si="1555"/>
        <v/>
      </c>
      <c r="Q9452" t="str">
        <f t="shared" si="1556"/>
        <v/>
      </c>
      <c r="R9452" t="str">
        <f t="shared" si="1557"/>
        <v/>
      </c>
      <c r="S9452" t="str">
        <f t="shared" si="1558"/>
        <v/>
      </c>
      <c r="T9452" t="str">
        <f t="shared" si="1559"/>
        <v/>
      </c>
      <c r="U9452" t="str">
        <f t="shared" si="1560"/>
        <v/>
      </c>
      <c r="V9452" t="str">
        <f t="shared" si="1561"/>
        <v/>
      </c>
      <c r="W9452" t="str">
        <f t="shared" si="1562"/>
        <v/>
      </c>
      <c r="X9452">
        <f t="shared" si="1552"/>
        <v>0</v>
      </c>
      <c r="Z9452" t="str">
        <f t="shared" si="1563"/>
        <v/>
      </c>
      <c r="AA9452">
        <f t="shared" si="1553"/>
        <v>0</v>
      </c>
    </row>
    <row r="9453" spans="1:27" ht="21" customHeight="1" x14ac:dyDescent="0.95">
      <c r="A9453" s="56"/>
      <c r="B9453" s="57"/>
      <c r="C9453" s="57"/>
      <c r="D9453" s="57"/>
      <c r="E9453" s="56"/>
      <c r="F9453" s="57"/>
      <c r="G9453" s="57"/>
      <c r="H9453" s="56"/>
      <c r="I9453" s="56"/>
      <c r="J9453" s="58"/>
      <c r="K9453" s="58"/>
      <c r="L9453" s="13" t="str">
        <f t="shared" si="1554"/>
        <v/>
      </c>
      <c r="M9453" s="13" t="str">
        <f t="shared" si="1555"/>
        <v/>
      </c>
      <c r="Q9453" t="str">
        <f t="shared" si="1556"/>
        <v/>
      </c>
      <c r="R9453" t="str">
        <f t="shared" si="1557"/>
        <v/>
      </c>
      <c r="S9453" t="str">
        <f t="shared" si="1558"/>
        <v/>
      </c>
      <c r="T9453" t="str">
        <f t="shared" si="1559"/>
        <v/>
      </c>
      <c r="U9453" t="str">
        <f t="shared" si="1560"/>
        <v/>
      </c>
      <c r="V9453" t="str">
        <f t="shared" si="1561"/>
        <v/>
      </c>
      <c r="W9453" t="str">
        <f t="shared" si="1562"/>
        <v/>
      </c>
      <c r="X9453">
        <f t="shared" si="1552"/>
        <v>0</v>
      </c>
      <c r="Z9453" t="str">
        <f t="shared" si="1563"/>
        <v/>
      </c>
      <c r="AA9453">
        <f t="shared" si="1553"/>
        <v>0</v>
      </c>
    </row>
    <row r="9454" spans="1:27" ht="21" customHeight="1" x14ac:dyDescent="0.95">
      <c r="A9454" s="56"/>
      <c r="B9454" s="57"/>
      <c r="C9454" s="57"/>
      <c r="D9454" s="57"/>
      <c r="E9454" s="56"/>
      <c r="F9454" s="57"/>
      <c r="G9454" s="57"/>
      <c r="H9454" s="56"/>
      <c r="I9454" s="56"/>
      <c r="J9454" s="58"/>
      <c r="K9454" s="58"/>
      <c r="L9454" s="13" t="str">
        <f t="shared" si="1554"/>
        <v/>
      </c>
      <c r="M9454" s="13" t="str">
        <f t="shared" si="1555"/>
        <v/>
      </c>
      <c r="Q9454" t="str">
        <f t="shared" si="1556"/>
        <v/>
      </c>
      <c r="R9454" t="str">
        <f t="shared" si="1557"/>
        <v/>
      </c>
      <c r="S9454" t="str">
        <f t="shared" si="1558"/>
        <v/>
      </c>
      <c r="T9454" t="str">
        <f t="shared" si="1559"/>
        <v/>
      </c>
      <c r="U9454" t="str">
        <f t="shared" si="1560"/>
        <v/>
      </c>
      <c r="V9454" t="str">
        <f t="shared" si="1561"/>
        <v/>
      </c>
      <c r="W9454" t="str">
        <f t="shared" si="1562"/>
        <v/>
      </c>
      <c r="X9454">
        <f t="shared" si="1552"/>
        <v>0</v>
      </c>
      <c r="Z9454" t="str">
        <f t="shared" si="1563"/>
        <v/>
      </c>
      <c r="AA9454">
        <f t="shared" si="1553"/>
        <v>0</v>
      </c>
    </row>
    <row r="9455" spans="1:27" ht="21" customHeight="1" x14ac:dyDescent="0.95">
      <c r="A9455" s="56"/>
      <c r="B9455" s="57"/>
      <c r="C9455" s="57"/>
      <c r="D9455" s="57"/>
      <c r="E9455" s="56"/>
      <c r="F9455" s="57"/>
      <c r="G9455" s="57"/>
      <c r="H9455" s="56"/>
      <c r="I9455" s="56"/>
      <c r="J9455" s="58"/>
      <c r="K9455" s="58"/>
      <c r="L9455" s="13" t="str">
        <f t="shared" si="1554"/>
        <v/>
      </c>
      <c r="M9455" s="13" t="str">
        <f t="shared" si="1555"/>
        <v/>
      </c>
      <c r="Q9455" t="str">
        <f t="shared" si="1556"/>
        <v/>
      </c>
      <c r="R9455" t="str">
        <f t="shared" si="1557"/>
        <v/>
      </c>
      <c r="S9455" t="str">
        <f t="shared" si="1558"/>
        <v/>
      </c>
      <c r="T9455" t="str">
        <f t="shared" si="1559"/>
        <v/>
      </c>
      <c r="U9455" t="str">
        <f t="shared" si="1560"/>
        <v/>
      </c>
      <c r="V9455" t="str">
        <f t="shared" si="1561"/>
        <v/>
      </c>
      <c r="W9455" t="str">
        <f t="shared" si="1562"/>
        <v/>
      </c>
      <c r="X9455">
        <f t="shared" si="1552"/>
        <v>0</v>
      </c>
      <c r="Z9455" t="str">
        <f t="shared" si="1563"/>
        <v/>
      </c>
      <c r="AA9455">
        <f t="shared" si="1553"/>
        <v>0</v>
      </c>
    </row>
    <row r="9456" spans="1:27" ht="21" customHeight="1" x14ac:dyDescent="0.95">
      <c r="A9456" s="56"/>
      <c r="B9456" s="57"/>
      <c r="C9456" s="57"/>
      <c r="D9456" s="57"/>
      <c r="E9456" s="56"/>
      <c r="F9456" s="57"/>
      <c r="G9456" s="57"/>
      <c r="H9456" s="56"/>
      <c r="I9456" s="56"/>
      <c r="J9456" s="58"/>
      <c r="K9456" s="58"/>
      <c r="L9456" s="13" t="str">
        <f t="shared" si="1554"/>
        <v/>
      </c>
      <c r="M9456" s="13" t="str">
        <f t="shared" si="1555"/>
        <v/>
      </c>
      <c r="Q9456" t="str">
        <f t="shared" si="1556"/>
        <v/>
      </c>
      <c r="R9456" t="str">
        <f t="shared" si="1557"/>
        <v/>
      </c>
      <c r="S9456" t="str">
        <f t="shared" si="1558"/>
        <v/>
      </c>
      <c r="T9456" t="str">
        <f t="shared" si="1559"/>
        <v/>
      </c>
      <c r="U9456" t="str">
        <f t="shared" si="1560"/>
        <v/>
      </c>
      <c r="V9456" t="str">
        <f t="shared" si="1561"/>
        <v/>
      </c>
      <c r="W9456" t="str">
        <f t="shared" si="1562"/>
        <v/>
      </c>
      <c r="X9456">
        <f t="shared" si="1552"/>
        <v>0</v>
      </c>
      <c r="Z9456" t="str">
        <f t="shared" si="1563"/>
        <v/>
      </c>
      <c r="AA9456">
        <f t="shared" si="1553"/>
        <v>0</v>
      </c>
    </row>
    <row r="9457" spans="1:27" ht="21" customHeight="1" x14ac:dyDescent="0.95">
      <c r="A9457" s="56"/>
      <c r="B9457" s="57"/>
      <c r="C9457" s="57"/>
      <c r="D9457" s="57"/>
      <c r="E9457" s="56"/>
      <c r="F9457" s="57"/>
      <c r="G9457" s="57"/>
      <c r="H9457" s="56"/>
      <c r="I9457" s="56"/>
      <c r="J9457" s="58"/>
      <c r="K9457" s="58"/>
      <c r="L9457" s="13" t="str">
        <f t="shared" si="1554"/>
        <v/>
      </c>
      <c r="M9457" s="13" t="str">
        <f t="shared" si="1555"/>
        <v/>
      </c>
      <c r="Q9457" t="str">
        <f t="shared" si="1556"/>
        <v/>
      </c>
      <c r="R9457" t="str">
        <f t="shared" si="1557"/>
        <v/>
      </c>
      <c r="S9457" t="str">
        <f t="shared" si="1558"/>
        <v/>
      </c>
      <c r="T9457" t="str">
        <f t="shared" si="1559"/>
        <v/>
      </c>
      <c r="U9457" t="str">
        <f t="shared" si="1560"/>
        <v/>
      </c>
      <c r="V9457" t="str">
        <f t="shared" si="1561"/>
        <v/>
      </c>
      <c r="W9457" t="str">
        <f t="shared" si="1562"/>
        <v/>
      </c>
      <c r="X9457">
        <f t="shared" si="1552"/>
        <v>0</v>
      </c>
      <c r="Z9457" t="str">
        <f t="shared" si="1563"/>
        <v/>
      </c>
      <c r="AA9457">
        <f t="shared" si="1553"/>
        <v>0</v>
      </c>
    </row>
    <row r="9458" spans="1:27" ht="21" customHeight="1" x14ac:dyDescent="0.95">
      <c r="A9458" s="56"/>
      <c r="B9458" s="57"/>
      <c r="C9458" s="57"/>
      <c r="D9458" s="57"/>
      <c r="E9458" s="56"/>
      <c r="F9458" s="57"/>
      <c r="G9458" s="57"/>
      <c r="H9458" s="56"/>
      <c r="I9458" s="56"/>
      <c r="J9458" s="58"/>
      <c r="K9458" s="58"/>
      <c r="L9458" s="13" t="str">
        <f t="shared" si="1554"/>
        <v/>
      </c>
      <c r="M9458" s="13" t="str">
        <f t="shared" si="1555"/>
        <v/>
      </c>
      <c r="Q9458" t="str">
        <f t="shared" si="1556"/>
        <v/>
      </c>
      <c r="R9458" t="str">
        <f t="shared" si="1557"/>
        <v/>
      </c>
      <c r="S9458" t="str">
        <f t="shared" si="1558"/>
        <v/>
      </c>
      <c r="T9458" t="str">
        <f t="shared" si="1559"/>
        <v/>
      </c>
      <c r="U9458" t="str">
        <f t="shared" si="1560"/>
        <v/>
      </c>
      <c r="V9458" t="str">
        <f t="shared" si="1561"/>
        <v/>
      </c>
      <c r="W9458" t="str">
        <f t="shared" si="1562"/>
        <v/>
      </c>
      <c r="X9458">
        <f t="shared" si="1552"/>
        <v>0</v>
      </c>
      <c r="Z9458" t="str">
        <f t="shared" si="1563"/>
        <v/>
      </c>
      <c r="AA9458">
        <f t="shared" si="1553"/>
        <v>0</v>
      </c>
    </row>
    <row r="9459" spans="1:27" ht="21" customHeight="1" x14ac:dyDescent="0.95">
      <c r="A9459" s="56"/>
      <c r="B9459" s="57"/>
      <c r="C9459" s="57"/>
      <c r="D9459" s="57"/>
      <c r="E9459" s="56"/>
      <c r="F9459" s="57"/>
      <c r="G9459" s="57"/>
      <c r="H9459" s="56"/>
      <c r="I9459" s="56"/>
      <c r="J9459" s="58"/>
      <c r="K9459" s="58"/>
      <c r="L9459" s="13" t="str">
        <f t="shared" si="1554"/>
        <v/>
      </c>
      <c r="M9459" s="13" t="str">
        <f t="shared" si="1555"/>
        <v/>
      </c>
      <c r="Q9459" t="str">
        <f t="shared" si="1556"/>
        <v/>
      </c>
      <c r="R9459" t="str">
        <f t="shared" si="1557"/>
        <v/>
      </c>
      <c r="S9459" t="str">
        <f t="shared" si="1558"/>
        <v/>
      </c>
      <c r="T9459" t="str">
        <f t="shared" si="1559"/>
        <v/>
      </c>
      <c r="U9459" t="str">
        <f t="shared" si="1560"/>
        <v/>
      </c>
      <c r="V9459" t="str">
        <f t="shared" si="1561"/>
        <v/>
      </c>
      <c r="W9459" t="str">
        <f t="shared" si="1562"/>
        <v/>
      </c>
      <c r="X9459">
        <f t="shared" si="1552"/>
        <v>0</v>
      </c>
      <c r="Z9459" t="str">
        <f t="shared" si="1563"/>
        <v/>
      </c>
      <c r="AA9459">
        <f t="shared" si="1553"/>
        <v>0</v>
      </c>
    </row>
    <row r="9460" spans="1:27" ht="21" customHeight="1" x14ac:dyDescent="0.95">
      <c r="A9460" s="56"/>
      <c r="B9460" s="57"/>
      <c r="C9460" s="57"/>
      <c r="D9460" s="57"/>
      <c r="E9460" s="56"/>
      <c r="F9460" s="57"/>
      <c r="G9460" s="57"/>
      <c r="H9460" s="56"/>
      <c r="I9460" s="56"/>
      <c r="J9460" s="58"/>
      <c r="K9460" s="58"/>
      <c r="L9460" s="13" t="str">
        <f t="shared" si="1554"/>
        <v/>
      </c>
      <c r="M9460" s="13" t="str">
        <f t="shared" si="1555"/>
        <v/>
      </c>
      <c r="Q9460" t="str">
        <f t="shared" si="1556"/>
        <v/>
      </c>
      <c r="R9460" t="str">
        <f t="shared" si="1557"/>
        <v/>
      </c>
      <c r="S9460" t="str">
        <f t="shared" si="1558"/>
        <v/>
      </c>
      <c r="T9460" t="str">
        <f t="shared" si="1559"/>
        <v/>
      </c>
      <c r="U9460" t="str">
        <f t="shared" si="1560"/>
        <v/>
      </c>
      <c r="V9460" t="str">
        <f t="shared" si="1561"/>
        <v/>
      </c>
      <c r="W9460" t="str">
        <f t="shared" si="1562"/>
        <v/>
      </c>
      <c r="X9460">
        <f t="shared" si="1552"/>
        <v>0</v>
      </c>
      <c r="Z9460" t="str">
        <f t="shared" si="1563"/>
        <v/>
      </c>
      <c r="AA9460">
        <f t="shared" si="1553"/>
        <v>0</v>
      </c>
    </row>
    <row r="9461" spans="1:27" ht="21" customHeight="1" x14ac:dyDescent="0.95">
      <c r="A9461" s="56"/>
      <c r="B9461" s="57"/>
      <c r="C9461" s="57"/>
      <c r="D9461" s="57"/>
      <c r="E9461" s="56"/>
      <c r="F9461" s="57"/>
      <c r="G9461" s="57"/>
      <c r="H9461" s="56"/>
      <c r="I9461" s="56"/>
      <c r="J9461" s="58"/>
      <c r="K9461" s="58"/>
      <c r="L9461" s="13" t="str">
        <f t="shared" si="1554"/>
        <v/>
      </c>
      <c r="M9461" s="13" t="str">
        <f t="shared" si="1555"/>
        <v/>
      </c>
      <c r="Q9461" t="str">
        <f t="shared" si="1556"/>
        <v/>
      </c>
      <c r="R9461" t="str">
        <f t="shared" si="1557"/>
        <v/>
      </c>
      <c r="S9461" t="str">
        <f t="shared" si="1558"/>
        <v/>
      </c>
      <c r="T9461" t="str">
        <f t="shared" si="1559"/>
        <v/>
      </c>
      <c r="U9461" t="str">
        <f t="shared" si="1560"/>
        <v/>
      </c>
      <c r="V9461" t="str">
        <f t="shared" si="1561"/>
        <v/>
      </c>
      <c r="W9461" t="str">
        <f t="shared" si="1562"/>
        <v/>
      </c>
      <c r="X9461">
        <f t="shared" ref="X9461:X9524" si="1564">IF($T9461="",N($X9460),IF(MATCH($T9461,$T$6:$T$10005,0)=ROW()-5,N($X9460)+1,N($X9460)))</f>
        <v>0</v>
      </c>
      <c r="Z9461" t="str">
        <f t="shared" si="1563"/>
        <v/>
      </c>
      <c r="AA9461">
        <f t="shared" ref="AA9461:AA9524" si="1565">IF($V9461="",N($AA9460),IF(MATCH($V9461,$V$6:$V$10005,0)=ROW()-5,N($AA9460)+1,N($AA9460)))</f>
        <v>0</v>
      </c>
    </row>
    <row r="9462" spans="1:27" ht="21" customHeight="1" x14ac:dyDescent="0.95">
      <c r="A9462" s="56"/>
      <c r="B9462" s="57"/>
      <c r="C9462" s="57"/>
      <c r="D9462" s="57"/>
      <c r="E9462" s="56"/>
      <c r="F9462" s="57"/>
      <c r="G9462" s="57"/>
      <c r="H9462" s="56"/>
      <c r="I9462" s="56"/>
      <c r="J9462" s="58"/>
      <c r="K9462" s="58"/>
      <c r="L9462" s="13" t="str">
        <f t="shared" si="1554"/>
        <v/>
      </c>
      <c r="M9462" s="13" t="str">
        <f t="shared" si="1555"/>
        <v/>
      </c>
      <c r="Q9462" t="str">
        <f t="shared" si="1556"/>
        <v/>
      </c>
      <c r="R9462" t="str">
        <f t="shared" si="1557"/>
        <v/>
      </c>
      <c r="S9462" t="str">
        <f t="shared" si="1558"/>
        <v/>
      </c>
      <c r="T9462" t="str">
        <f t="shared" si="1559"/>
        <v/>
      </c>
      <c r="U9462" t="str">
        <f t="shared" si="1560"/>
        <v/>
      </c>
      <c r="V9462" t="str">
        <f t="shared" si="1561"/>
        <v/>
      </c>
      <c r="W9462" t="str">
        <f t="shared" si="1562"/>
        <v/>
      </c>
      <c r="X9462">
        <f t="shared" si="1564"/>
        <v>0</v>
      </c>
      <c r="Z9462" t="str">
        <f t="shared" si="1563"/>
        <v/>
      </c>
      <c r="AA9462">
        <f t="shared" si="1565"/>
        <v>0</v>
      </c>
    </row>
    <row r="9463" spans="1:27" ht="21" customHeight="1" x14ac:dyDescent="0.95">
      <c r="A9463" s="56"/>
      <c r="B9463" s="57"/>
      <c r="C9463" s="57"/>
      <c r="D9463" s="57"/>
      <c r="E9463" s="56"/>
      <c r="F9463" s="57"/>
      <c r="G9463" s="57"/>
      <c r="H9463" s="56"/>
      <c r="I9463" s="56"/>
      <c r="J9463" s="58"/>
      <c r="K9463" s="58"/>
      <c r="L9463" s="13" t="str">
        <f t="shared" si="1554"/>
        <v/>
      </c>
      <c r="M9463" s="13" t="str">
        <f t="shared" si="1555"/>
        <v/>
      </c>
      <c r="Q9463" t="str">
        <f t="shared" si="1556"/>
        <v/>
      </c>
      <c r="R9463" t="str">
        <f t="shared" si="1557"/>
        <v/>
      </c>
      <c r="S9463" t="str">
        <f t="shared" si="1558"/>
        <v/>
      </c>
      <c r="T9463" t="str">
        <f t="shared" si="1559"/>
        <v/>
      </c>
      <c r="U9463" t="str">
        <f t="shared" si="1560"/>
        <v/>
      </c>
      <c r="V9463" t="str">
        <f t="shared" si="1561"/>
        <v/>
      </c>
      <c r="W9463" t="str">
        <f t="shared" si="1562"/>
        <v/>
      </c>
      <c r="X9463">
        <f t="shared" si="1564"/>
        <v>0</v>
      </c>
      <c r="Z9463" t="str">
        <f t="shared" si="1563"/>
        <v/>
      </c>
      <c r="AA9463">
        <f t="shared" si="1565"/>
        <v>0</v>
      </c>
    </row>
    <row r="9464" spans="1:27" ht="21" customHeight="1" x14ac:dyDescent="0.95">
      <c r="A9464" s="56"/>
      <c r="B9464" s="57"/>
      <c r="C9464" s="57"/>
      <c r="D9464" s="57"/>
      <c r="E9464" s="56"/>
      <c r="F9464" s="57"/>
      <c r="G9464" s="57"/>
      <c r="H9464" s="56"/>
      <c r="I9464" s="56"/>
      <c r="J9464" s="58"/>
      <c r="K9464" s="58"/>
      <c r="L9464" s="13" t="str">
        <f t="shared" si="1554"/>
        <v/>
      </c>
      <c r="M9464" s="13" t="str">
        <f t="shared" si="1555"/>
        <v/>
      </c>
      <c r="Q9464" t="str">
        <f t="shared" si="1556"/>
        <v/>
      </c>
      <c r="R9464" t="str">
        <f t="shared" si="1557"/>
        <v/>
      </c>
      <c r="S9464" t="str">
        <f t="shared" si="1558"/>
        <v/>
      </c>
      <c r="T9464" t="str">
        <f t="shared" si="1559"/>
        <v/>
      </c>
      <c r="U9464" t="str">
        <f t="shared" si="1560"/>
        <v/>
      </c>
      <c r="V9464" t="str">
        <f t="shared" si="1561"/>
        <v/>
      </c>
      <c r="W9464" t="str">
        <f t="shared" si="1562"/>
        <v/>
      </c>
      <c r="X9464">
        <f t="shared" si="1564"/>
        <v>0</v>
      </c>
      <c r="Z9464" t="str">
        <f t="shared" si="1563"/>
        <v/>
      </c>
      <c r="AA9464">
        <f t="shared" si="1565"/>
        <v>0</v>
      </c>
    </row>
    <row r="9465" spans="1:27" ht="21" customHeight="1" x14ac:dyDescent="0.95">
      <c r="A9465" s="56"/>
      <c r="B9465" s="57"/>
      <c r="C9465" s="57"/>
      <c r="D9465" s="57"/>
      <c r="E9465" s="56"/>
      <c r="F9465" s="57"/>
      <c r="G9465" s="57"/>
      <c r="H9465" s="56"/>
      <c r="I9465" s="56"/>
      <c r="J9465" s="58"/>
      <c r="K9465" s="58"/>
      <c r="L9465" s="13" t="str">
        <f t="shared" si="1554"/>
        <v/>
      </c>
      <c r="M9465" s="13" t="str">
        <f t="shared" si="1555"/>
        <v/>
      </c>
      <c r="Q9465" t="str">
        <f t="shared" si="1556"/>
        <v/>
      </c>
      <c r="R9465" t="str">
        <f t="shared" si="1557"/>
        <v/>
      </c>
      <c r="S9465" t="str">
        <f t="shared" si="1558"/>
        <v/>
      </c>
      <c r="T9465" t="str">
        <f t="shared" si="1559"/>
        <v/>
      </c>
      <c r="U9465" t="str">
        <f t="shared" si="1560"/>
        <v/>
      </c>
      <c r="V9465" t="str">
        <f t="shared" si="1561"/>
        <v/>
      </c>
      <c r="W9465" t="str">
        <f t="shared" si="1562"/>
        <v/>
      </c>
      <c r="X9465">
        <f t="shared" si="1564"/>
        <v>0</v>
      </c>
      <c r="Z9465" t="str">
        <f t="shared" si="1563"/>
        <v/>
      </c>
      <c r="AA9465">
        <f t="shared" si="1565"/>
        <v>0</v>
      </c>
    </row>
    <row r="9466" spans="1:27" ht="21" customHeight="1" x14ac:dyDescent="0.95">
      <c r="A9466" s="56"/>
      <c r="B9466" s="57"/>
      <c r="C9466" s="57"/>
      <c r="D9466" s="57"/>
      <c r="E9466" s="56"/>
      <c r="F9466" s="57"/>
      <c r="G9466" s="57"/>
      <c r="H9466" s="56"/>
      <c r="I9466" s="56"/>
      <c r="J9466" s="58"/>
      <c r="K9466" s="58"/>
      <c r="L9466" s="13" t="str">
        <f t="shared" si="1554"/>
        <v/>
      </c>
      <c r="M9466" s="13" t="str">
        <f t="shared" si="1555"/>
        <v/>
      </c>
      <c r="Q9466" t="str">
        <f t="shared" si="1556"/>
        <v/>
      </c>
      <c r="R9466" t="str">
        <f t="shared" si="1557"/>
        <v/>
      </c>
      <c r="S9466" t="str">
        <f t="shared" si="1558"/>
        <v/>
      </c>
      <c r="T9466" t="str">
        <f t="shared" si="1559"/>
        <v/>
      </c>
      <c r="U9466" t="str">
        <f t="shared" si="1560"/>
        <v/>
      </c>
      <c r="V9466" t="str">
        <f t="shared" si="1561"/>
        <v/>
      </c>
      <c r="W9466" t="str">
        <f t="shared" si="1562"/>
        <v/>
      </c>
      <c r="X9466">
        <f t="shared" si="1564"/>
        <v>0</v>
      </c>
      <c r="Z9466" t="str">
        <f t="shared" si="1563"/>
        <v/>
      </c>
      <c r="AA9466">
        <f t="shared" si="1565"/>
        <v>0</v>
      </c>
    </row>
    <row r="9467" spans="1:27" ht="21" customHeight="1" x14ac:dyDescent="0.95">
      <c r="A9467" s="56"/>
      <c r="B9467" s="57"/>
      <c r="C9467" s="57"/>
      <c r="D9467" s="57"/>
      <c r="E9467" s="56"/>
      <c r="F9467" s="57"/>
      <c r="G9467" s="57"/>
      <c r="H9467" s="56"/>
      <c r="I9467" s="56"/>
      <c r="J9467" s="58"/>
      <c r="K9467" s="58"/>
      <c r="L9467" s="13" t="str">
        <f t="shared" si="1554"/>
        <v/>
      </c>
      <c r="M9467" s="13" t="str">
        <f t="shared" si="1555"/>
        <v/>
      </c>
      <c r="Q9467" t="str">
        <f t="shared" si="1556"/>
        <v/>
      </c>
      <c r="R9467" t="str">
        <f t="shared" si="1557"/>
        <v/>
      </c>
      <c r="S9467" t="str">
        <f t="shared" si="1558"/>
        <v/>
      </c>
      <c r="T9467" t="str">
        <f t="shared" si="1559"/>
        <v/>
      </c>
      <c r="U9467" t="str">
        <f t="shared" si="1560"/>
        <v/>
      </c>
      <c r="V9467" t="str">
        <f t="shared" si="1561"/>
        <v/>
      </c>
      <c r="W9467" t="str">
        <f t="shared" si="1562"/>
        <v/>
      </c>
      <c r="X9467">
        <f t="shared" si="1564"/>
        <v>0</v>
      </c>
      <c r="Z9467" t="str">
        <f t="shared" si="1563"/>
        <v/>
      </c>
      <c r="AA9467">
        <f t="shared" si="1565"/>
        <v>0</v>
      </c>
    </row>
    <row r="9468" spans="1:27" ht="21" customHeight="1" x14ac:dyDescent="0.95">
      <c r="A9468" s="56"/>
      <c r="B9468" s="57"/>
      <c r="C9468" s="57"/>
      <c r="D9468" s="57"/>
      <c r="E9468" s="56"/>
      <c r="F9468" s="57"/>
      <c r="G9468" s="57"/>
      <c r="H9468" s="56"/>
      <c r="I9468" s="56"/>
      <c r="J9468" s="58"/>
      <c r="K9468" s="58"/>
      <c r="L9468" s="13" t="str">
        <f t="shared" si="1554"/>
        <v/>
      </c>
      <c r="M9468" s="13" t="str">
        <f t="shared" si="1555"/>
        <v/>
      </c>
      <c r="Q9468" t="str">
        <f t="shared" si="1556"/>
        <v/>
      </c>
      <c r="R9468" t="str">
        <f t="shared" si="1557"/>
        <v/>
      </c>
      <c r="S9468" t="str">
        <f t="shared" si="1558"/>
        <v/>
      </c>
      <c r="T9468" t="str">
        <f t="shared" si="1559"/>
        <v/>
      </c>
      <c r="U9468" t="str">
        <f t="shared" si="1560"/>
        <v/>
      </c>
      <c r="V9468" t="str">
        <f t="shared" si="1561"/>
        <v/>
      </c>
      <c r="W9468" t="str">
        <f t="shared" si="1562"/>
        <v/>
      </c>
      <c r="X9468">
        <f t="shared" si="1564"/>
        <v>0</v>
      </c>
      <c r="Z9468" t="str">
        <f t="shared" si="1563"/>
        <v/>
      </c>
      <c r="AA9468">
        <f t="shared" si="1565"/>
        <v>0</v>
      </c>
    </row>
    <row r="9469" spans="1:27" ht="21" customHeight="1" x14ac:dyDescent="0.95">
      <c r="A9469" s="56"/>
      <c r="B9469" s="57"/>
      <c r="C9469" s="57"/>
      <c r="D9469" s="57"/>
      <c r="E9469" s="56"/>
      <c r="F9469" s="57"/>
      <c r="G9469" s="57"/>
      <c r="H9469" s="56"/>
      <c r="I9469" s="56"/>
      <c r="J9469" s="58"/>
      <c r="K9469" s="58"/>
      <c r="L9469" s="13" t="str">
        <f t="shared" si="1554"/>
        <v/>
      </c>
      <c r="M9469" s="13" t="str">
        <f t="shared" si="1555"/>
        <v/>
      </c>
      <c r="Q9469" t="str">
        <f t="shared" si="1556"/>
        <v/>
      </c>
      <c r="R9469" t="str">
        <f t="shared" si="1557"/>
        <v/>
      </c>
      <c r="S9469" t="str">
        <f t="shared" si="1558"/>
        <v/>
      </c>
      <c r="T9469" t="str">
        <f t="shared" si="1559"/>
        <v/>
      </c>
      <c r="U9469" t="str">
        <f t="shared" si="1560"/>
        <v/>
      </c>
      <c r="V9469" t="str">
        <f t="shared" si="1561"/>
        <v/>
      </c>
      <c r="W9469" t="str">
        <f t="shared" si="1562"/>
        <v/>
      </c>
      <c r="X9469">
        <f t="shared" si="1564"/>
        <v>0</v>
      </c>
      <c r="Z9469" t="str">
        <f t="shared" si="1563"/>
        <v/>
      </c>
      <c r="AA9469">
        <f t="shared" si="1565"/>
        <v>0</v>
      </c>
    </row>
    <row r="9470" spans="1:27" ht="21" customHeight="1" x14ac:dyDescent="0.95">
      <c r="A9470" s="56"/>
      <c r="B9470" s="57"/>
      <c r="C9470" s="57"/>
      <c r="D9470" s="57"/>
      <c r="E9470" s="56"/>
      <c r="F9470" s="57"/>
      <c r="G9470" s="57"/>
      <c r="H9470" s="56"/>
      <c r="I9470" s="56"/>
      <c r="J9470" s="58"/>
      <c r="K9470" s="58"/>
      <c r="L9470" s="13" t="str">
        <f t="shared" si="1554"/>
        <v/>
      </c>
      <c r="M9470" s="13" t="str">
        <f t="shared" si="1555"/>
        <v/>
      </c>
      <c r="Q9470" t="str">
        <f t="shared" si="1556"/>
        <v/>
      </c>
      <c r="R9470" t="str">
        <f t="shared" si="1557"/>
        <v/>
      </c>
      <c r="S9470" t="str">
        <f t="shared" si="1558"/>
        <v/>
      </c>
      <c r="T9470" t="str">
        <f t="shared" si="1559"/>
        <v/>
      </c>
      <c r="U9470" t="str">
        <f t="shared" si="1560"/>
        <v/>
      </c>
      <c r="V9470" t="str">
        <f t="shared" si="1561"/>
        <v/>
      </c>
      <c r="W9470" t="str">
        <f t="shared" si="1562"/>
        <v/>
      </c>
      <c r="X9470">
        <f t="shared" si="1564"/>
        <v>0</v>
      </c>
      <c r="Z9470" t="str">
        <f t="shared" si="1563"/>
        <v/>
      </c>
      <c r="AA9470">
        <f t="shared" si="1565"/>
        <v>0</v>
      </c>
    </row>
    <row r="9471" spans="1:27" ht="21" customHeight="1" x14ac:dyDescent="0.95">
      <c r="A9471" s="56"/>
      <c r="B9471" s="57"/>
      <c r="C9471" s="57"/>
      <c r="D9471" s="57"/>
      <c r="E9471" s="56"/>
      <c r="F9471" s="57"/>
      <c r="G9471" s="57"/>
      <c r="H9471" s="56"/>
      <c r="I9471" s="56"/>
      <c r="J9471" s="58"/>
      <c r="K9471" s="58"/>
      <c r="L9471" s="13" t="str">
        <f t="shared" si="1554"/>
        <v/>
      </c>
      <c r="M9471" s="13" t="str">
        <f t="shared" si="1555"/>
        <v/>
      </c>
      <c r="Q9471" t="str">
        <f t="shared" si="1556"/>
        <v/>
      </c>
      <c r="R9471" t="str">
        <f t="shared" si="1557"/>
        <v/>
      </c>
      <c r="S9471" t="str">
        <f t="shared" si="1558"/>
        <v/>
      </c>
      <c r="T9471" t="str">
        <f t="shared" si="1559"/>
        <v/>
      </c>
      <c r="U9471" t="str">
        <f t="shared" si="1560"/>
        <v/>
      </c>
      <c r="V9471" t="str">
        <f t="shared" si="1561"/>
        <v/>
      </c>
      <c r="W9471" t="str">
        <f t="shared" si="1562"/>
        <v/>
      </c>
      <c r="X9471">
        <f t="shared" si="1564"/>
        <v>0</v>
      </c>
      <c r="Z9471" t="str">
        <f t="shared" si="1563"/>
        <v/>
      </c>
      <c r="AA9471">
        <f t="shared" si="1565"/>
        <v>0</v>
      </c>
    </row>
    <row r="9472" spans="1:27" ht="21" customHeight="1" x14ac:dyDescent="0.95">
      <c r="A9472" s="56"/>
      <c r="B9472" s="57"/>
      <c r="C9472" s="57"/>
      <c r="D9472" s="57"/>
      <c r="E9472" s="56"/>
      <c r="F9472" s="57"/>
      <c r="G9472" s="57"/>
      <c r="H9472" s="56"/>
      <c r="I9472" s="56"/>
      <c r="J9472" s="58"/>
      <c r="K9472" s="58"/>
      <c r="L9472" s="13" t="str">
        <f t="shared" si="1554"/>
        <v/>
      </c>
      <c r="M9472" s="13" t="str">
        <f t="shared" si="1555"/>
        <v/>
      </c>
      <c r="Q9472" t="str">
        <f t="shared" si="1556"/>
        <v/>
      </c>
      <c r="R9472" t="str">
        <f t="shared" si="1557"/>
        <v/>
      </c>
      <c r="S9472" t="str">
        <f t="shared" si="1558"/>
        <v/>
      </c>
      <c r="T9472" t="str">
        <f t="shared" si="1559"/>
        <v/>
      </c>
      <c r="U9472" t="str">
        <f t="shared" si="1560"/>
        <v/>
      </c>
      <c r="V9472" t="str">
        <f t="shared" si="1561"/>
        <v/>
      </c>
      <c r="W9472" t="str">
        <f t="shared" si="1562"/>
        <v/>
      </c>
      <c r="X9472">
        <f t="shared" si="1564"/>
        <v>0</v>
      </c>
      <c r="Z9472" t="str">
        <f t="shared" si="1563"/>
        <v/>
      </c>
      <c r="AA9472">
        <f t="shared" si="1565"/>
        <v>0</v>
      </c>
    </row>
    <row r="9473" spans="1:27" ht="21" customHeight="1" x14ac:dyDescent="0.95">
      <c r="A9473" s="56"/>
      <c r="B9473" s="57"/>
      <c r="C9473" s="57"/>
      <c r="D9473" s="57"/>
      <c r="E9473" s="56"/>
      <c r="F9473" s="57"/>
      <c r="G9473" s="57"/>
      <c r="H9473" s="56"/>
      <c r="I9473" s="56"/>
      <c r="J9473" s="58"/>
      <c r="K9473" s="58"/>
      <c r="L9473" s="13" t="str">
        <f t="shared" si="1554"/>
        <v/>
      </c>
      <c r="M9473" s="13" t="str">
        <f t="shared" si="1555"/>
        <v/>
      </c>
      <c r="Q9473" t="str">
        <f t="shared" si="1556"/>
        <v/>
      </c>
      <c r="R9473" t="str">
        <f t="shared" si="1557"/>
        <v/>
      </c>
      <c r="S9473" t="str">
        <f t="shared" si="1558"/>
        <v/>
      </c>
      <c r="T9473" t="str">
        <f t="shared" si="1559"/>
        <v/>
      </c>
      <c r="U9473" t="str">
        <f t="shared" si="1560"/>
        <v/>
      </c>
      <c r="V9473" t="str">
        <f t="shared" si="1561"/>
        <v/>
      </c>
      <c r="W9473" t="str">
        <f t="shared" si="1562"/>
        <v/>
      </c>
      <c r="X9473">
        <f t="shared" si="1564"/>
        <v>0</v>
      </c>
      <c r="Z9473" t="str">
        <f t="shared" si="1563"/>
        <v/>
      </c>
      <c r="AA9473">
        <f t="shared" si="1565"/>
        <v>0</v>
      </c>
    </row>
    <row r="9474" spans="1:27" ht="21" customHeight="1" x14ac:dyDescent="0.95">
      <c r="A9474" s="56"/>
      <c r="B9474" s="57"/>
      <c r="C9474" s="57"/>
      <c r="D9474" s="57"/>
      <c r="E9474" s="56"/>
      <c r="F9474" s="57"/>
      <c r="G9474" s="57"/>
      <c r="H9474" s="56"/>
      <c r="I9474" s="56"/>
      <c r="J9474" s="58"/>
      <c r="K9474" s="58"/>
      <c r="L9474" s="13" t="str">
        <f t="shared" si="1554"/>
        <v/>
      </c>
      <c r="M9474" s="13" t="str">
        <f t="shared" si="1555"/>
        <v/>
      </c>
      <c r="Q9474" t="str">
        <f t="shared" si="1556"/>
        <v/>
      </c>
      <c r="R9474" t="str">
        <f t="shared" si="1557"/>
        <v/>
      </c>
      <c r="S9474" t="str">
        <f t="shared" si="1558"/>
        <v/>
      </c>
      <c r="T9474" t="str">
        <f t="shared" si="1559"/>
        <v/>
      </c>
      <c r="U9474" t="str">
        <f t="shared" si="1560"/>
        <v/>
      </c>
      <c r="V9474" t="str">
        <f t="shared" si="1561"/>
        <v/>
      </c>
      <c r="W9474" t="str">
        <f t="shared" si="1562"/>
        <v/>
      </c>
      <c r="X9474">
        <f t="shared" si="1564"/>
        <v>0</v>
      </c>
      <c r="Z9474" t="str">
        <f t="shared" si="1563"/>
        <v/>
      </c>
      <c r="AA9474">
        <f t="shared" si="1565"/>
        <v>0</v>
      </c>
    </row>
    <row r="9475" spans="1:27" ht="21" customHeight="1" x14ac:dyDescent="0.95">
      <c r="A9475" s="56"/>
      <c r="B9475" s="57"/>
      <c r="C9475" s="57"/>
      <c r="D9475" s="57"/>
      <c r="E9475" s="56"/>
      <c r="F9475" s="57"/>
      <c r="G9475" s="57"/>
      <c r="H9475" s="56"/>
      <c r="I9475" s="56"/>
      <c r="J9475" s="58"/>
      <c r="K9475" s="58"/>
      <c r="L9475" s="13" t="str">
        <f t="shared" si="1554"/>
        <v/>
      </c>
      <c r="M9475" s="13" t="str">
        <f t="shared" si="1555"/>
        <v/>
      </c>
      <c r="Q9475" t="str">
        <f t="shared" si="1556"/>
        <v/>
      </c>
      <c r="R9475" t="str">
        <f t="shared" si="1557"/>
        <v/>
      </c>
      <c r="S9475" t="str">
        <f t="shared" si="1558"/>
        <v/>
      </c>
      <c r="T9475" t="str">
        <f t="shared" si="1559"/>
        <v/>
      </c>
      <c r="U9475" t="str">
        <f t="shared" si="1560"/>
        <v/>
      </c>
      <c r="V9475" t="str">
        <f t="shared" si="1561"/>
        <v/>
      </c>
      <c r="W9475" t="str">
        <f t="shared" si="1562"/>
        <v/>
      </c>
      <c r="X9475">
        <f t="shared" si="1564"/>
        <v>0</v>
      </c>
      <c r="Z9475" t="str">
        <f t="shared" si="1563"/>
        <v/>
      </c>
      <c r="AA9475">
        <f t="shared" si="1565"/>
        <v>0</v>
      </c>
    </row>
    <row r="9476" spans="1:27" ht="21" customHeight="1" x14ac:dyDescent="0.95">
      <c r="A9476" s="56"/>
      <c r="B9476" s="57"/>
      <c r="C9476" s="57"/>
      <c r="D9476" s="57"/>
      <c r="E9476" s="56"/>
      <c r="F9476" s="57"/>
      <c r="G9476" s="57"/>
      <c r="H9476" s="56"/>
      <c r="I9476" s="56"/>
      <c r="J9476" s="58"/>
      <c r="K9476" s="58"/>
      <c r="L9476" s="13" t="str">
        <f t="shared" ref="L9476:L9539" si="1566">IF(OR($A9476="",AND($J9476="",$K9476="")),"",ROUND(N($J9476)-N($K9476),2))</f>
        <v/>
      </c>
      <c r="M9476" s="13" t="str">
        <f t="shared" ref="M9476:M9539" si="1567">IF(OR($A9476="",AND($J9476="",$K9476="")),"",MIN($J9476,$K9476))</f>
        <v/>
      </c>
      <c r="Q9476" t="str">
        <f t="shared" ref="Q9476:Q9539" si="1568">IF($A9476="","",$D9476&amp;"("&amp;SUBSTITUTE($E9476," ","")&amp;")")</f>
        <v/>
      </c>
      <c r="R9476" t="str">
        <f t="shared" ref="R9476:R9539" si="1569">IF($A9476="","",$B9476&amp;" - "&amp;$C9476)</f>
        <v/>
      </c>
      <c r="S9476" t="str">
        <f t="shared" ref="S9476:S9539" si="1570">IF($A9476="","",$R9476&amp;"|"&amp;$Q9476)</f>
        <v/>
      </c>
      <c r="T9476" t="str">
        <f t="shared" ref="T9476:T9539" si="1571">IF($A9476="","",$S9476&amp;"|"&amp;$F9476)</f>
        <v/>
      </c>
      <c r="U9476" t="str">
        <f t="shared" ref="U9476:U9539" si="1572">IF($A9476="","",$R9476&amp;"("&amp;$E9476&amp;")")</f>
        <v/>
      </c>
      <c r="V9476" t="str">
        <f t="shared" ref="V9476:V9539" si="1573">IF($A9476="","",$F9476&amp;"|"&amp;$U9476&amp;"|"&amp;$D9476)</f>
        <v/>
      </c>
      <c r="W9476" t="str">
        <f t="shared" si="1562"/>
        <v/>
      </c>
      <c r="X9476">
        <f t="shared" si="1564"/>
        <v>0</v>
      </c>
      <c r="Z9476" t="str">
        <f t="shared" si="1563"/>
        <v/>
      </c>
      <c r="AA9476">
        <f t="shared" si="1565"/>
        <v>0</v>
      </c>
    </row>
    <row r="9477" spans="1:27" ht="21" customHeight="1" x14ac:dyDescent="0.95">
      <c r="A9477" s="56"/>
      <c r="B9477" s="57"/>
      <c r="C9477" s="57"/>
      <c r="D9477" s="57"/>
      <c r="E9477" s="56"/>
      <c r="F9477" s="57"/>
      <c r="G9477" s="57"/>
      <c r="H9477" s="56"/>
      <c r="I9477" s="56"/>
      <c r="J9477" s="58"/>
      <c r="K9477" s="58"/>
      <c r="L9477" s="13" t="str">
        <f t="shared" si="1566"/>
        <v/>
      </c>
      <c r="M9477" s="13" t="str">
        <f t="shared" si="1567"/>
        <v/>
      </c>
      <c r="Q9477" t="str">
        <f t="shared" si="1568"/>
        <v/>
      </c>
      <c r="R9477" t="str">
        <f t="shared" si="1569"/>
        <v/>
      </c>
      <c r="S9477" t="str">
        <f t="shared" si="1570"/>
        <v/>
      </c>
      <c r="T9477" t="str">
        <f t="shared" si="1571"/>
        <v/>
      </c>
      <c r="U9477" t="str">
        <f t="shared" si="1572"/>
        <v/>
      </c>
      <c r="V9477" t="str">
        <f t="shared" si="1573"/>
        <v/>
      </c>
      <c r="W9477" t="str">
        <f t="shared" si="1562"/>
        <v/>
      </c>
      <c r="X9477">
        <f t="shared" si="1564"/>
        <v>0</v>
      </c>
      <c r="Z9477" t="str">
        <f t="shared" si="1563"/>
        <v/>
      </c>
      <c r="AA9477">
        <f t="shared" si="1565"/>
        <v>0</v>
      </c>
    </row>
    <row r="9478" spans="1:27" ht="21" customHeight="1" x14ac:dyDescent="0.95">
      <c r="A9478" s="56"/>
      <c r="B9478" s="57"/>
      <c r="C9478" s="57"/>
      <c r="D9478" s="57"/>
      <c r="E9478" s="56"/>
      <c r="F9478" s="57"/>
      <c r="G9478" s="57"/>
      <c r="H9478" s="56"/>
      <c r="I9478" s="56"/>
      <c r="J9478" s="58"/>
      <c r="K9478" s="58"/>
      <c r="L9478" s="13" t="str">
        <f t="shared" si="1566"/>
        <v/>
      </c>
      <c r="M9478" s="13" t="str">
        <f t="shared" si="1567"/>
        <v/>
      </c>
      <c r="Q9478" t="str">
        <f t="shared" si="1568"/>
        <v/>
      </c>
      <c r="R9478" t="str">
        <f t="shared" si="1569"/>
        <v/>
      </c>
      <c r="S9478" t="str">
        <f t="shared" si="1570"/>
        <v/>
      </c>
      <c r="T9478" t="str">
        <f t="shared" si="1571"/>
        <v/>
      </c>
      <c r="U9478" t="str">
        <f t="shared" si="1572"/>
        <v/>
      </c>
      <c r="V9478" t="str">
        <f t="shared" si="1573"/>
        <v/>
      </c>
      <c r="W9478" t="str">
        <f t="shared" ref="W9478:W9541" si="1574">IF($T9478="","",IF($X9478&gt;N($X9477),$X9478,""))</f>
        <v/>
      </c>
      <c r="X9478">
        <f t="shared" si="1564"/>
        <v>0</v>
      </c>
      <c r="Z9478" t="str">
        <f t="shared" ref="Z9478:Z9541" si="1575">IF($V9478="","",IF($AA9478&gt;N($AA9477),$AA9478,""))</f>
        <v/>
      </c>
      <c r="AA9478">
        <f t="shared" si="1565"/>
        <v>0</v>
      </c>
    </row>
    <row r="9479" spans="1:27" ht="21" customHeight="1" x14ac:dyDescent="0.95">
      <c r="A9479" s="56"/>
      <c r="B9479" s="57"/>
      <c r="C9479" s="57"/>
      <c r="D9479" s="57"/>
      <c r="E9479" s="56"/>
      <c r="F9479" s="57"/>
      <c r="G9479" s="57"/>
      <c r="H9479" s="56"/>
      <c r="I9479" s="56"/>
      <c r="J9479" s="58"/>
      <c r="K9479" s="58"/>
      <c r="L9479" s="13" t="str">
        <f t="shared" si="1566"/>
        <v/>
      </c>
      <c r="M9479" s="13" t="str">
        <f t="shared" si="1567"/>
        <v/>
      </c>
      <c r="Q9479" t="str">
        <f t="shared" si="1568"/>
        <v/>
      </c>
      <c r="R9479" t="str">
        <f t="shared" si="1569"/>
        <v/>
      </c>
      <c r="S9479" t="str">
        <f t="shared" si="1570"/>
        <v/>
      </c>
      <c r="T9479" t="str">
        <f t="shared" si="1571"/>
        <v/>
      </c>
      <c r="U9479" t="str">
        <f t="shared" si="1572"/>
        <v/>
      </c>
      <c r="V9479" t="str">
        <f t="shared" si="1573"/>
        <v/>
      </c>
      <c r="W9479" t="str">
        <f t="shared" si="1574"/>
        <v/>
      </c>
      <c r="X9479">
        <f t="shared" si="1564"/>
        <v>0</v>
      </c>
      <c r="Z9479" t="str">
        <f t="shared" si="1575"/>
        <v/>
      </c>
      <c r="AA9479">
        <f t="shared" si="1565"/>
        <v>0</v>
      </c>
    </row>
    <row r="9480" spans="1:27" ht="21" customHeight="1" x14ac:dyDescent="0.95">
      <c r="A9480" s="56"/>
      <c r="B9480" s="57"/>
      <c r="C9480" s="57"/>
      <c r="D9480" s="57"/>
      <c r="E9480" s="56"/>
      <c r="F9480" s="57"/>
      <c r="G9480" s="57"/>
      <c r="H9480" s="56"/>
      <c r="I9480" s="56"/>
      <c r="J9480" s="58"/>
      <c r="K9480" s="58"/>
      <c r="L9480" s="13" t="str">
        <f t="shared" si="1566"/>
        <v/>
      </c>
      <c r="M9480" s="13" t="str">
        <f t="shared" si="1567"/>
        <v/>
      </c>
      <c r="Q9480" t="str">
        <f t="shared" si="1568"/>
        <v/>
      </c>
      <c r="R9480" t="str">
        <f t="shared" si="1569"/>
        <v/>
      </c>
      <c r="S9480" t="str">
        <f t="shared" si="1570"/>
        <v/>
      </c>
      <c r="T9480" t="str">
        <f t="shared" si="1571"/>
        <v/>
      </c>
      <c r="U9480" t="str">
        <f t="shared" si="1572"/>
        <v/>
      </c>
      <c r="V9480" t="str">
        <f t="shared" si="1573"/>
        <v/>
      </c>
      <c r="W9480" t="str">
        <f t="shared" si="1574"/>
        <v/>
      </c>
      <c r="X9480">
        <f t="shared" si="1564"/>
        <v>0</v>
      </c>
      <c r="Z9480" t="str">
        <f t="shared" si="1575"/>
        <v/>
      </c>
      <c r="AA9480">
        <f t="shared" si="1565"/>
        <v>0</v>
      </c>
    </row>
    <row r="9481" spans="1:27" ht="21" customHeight="1" x14ac:dyDescent="0.95">
      <c r="A9481" s="56"/>
      <c r="B9481" s="57"/>
      <c r="C9481" s="57"/>
      <c r="D9481" s="57"/>
      <c r="E9481" s="56"/>
      <c r="F9481" s="57"/>
      <c r="G9481" s="57"/>
      <c r="H9481" s="56"/>
      <c r="I9481" s="56"/>
      <c r="J9481" s="58"/>
      <c r="K9481" s="58"/>
      <c r="L9481" s="13" t="str">
        <f t="shared" si="1566"/>
        <v/>
      </c>
      <c r="M9481" s="13" t="str">
        <f t="shared" si="1567"/>
        <v/>
      </c>
      <c r="Q9481" t="str">
        <f t="shared" si="1568"/>
        <v/>
      </c>
      <c r="R9481" t="str">
        <f t="shared" si="1569"/>
        <v/>
      </c>
      <c r="S9481" t="str">
        <f t="shared" si="1570"/>
        <v/>
      </c>
      <c r="T9481" t="str">
        <f t="shared" si="1571"/>
        <v/>
      </c>
      <c r="U9481" t="str">
        <f t="shared" si="1572"/>
        <v/>
      </c>
      <c r="V9481" t="str">
        <f t="shared" si="1573"/>
        <v/>
      </c>
      <c r="W9481" t="str">
        <f t="shared" si="1574"/>
        <v/>
      </c>
      <c r="X9481">
        <f t="shared" si="1564"/>
        <v>0</v>
      </c>
      <c r="Z9481" t="str">
        <f t="shared" si="1575"/>
        <v/>
      </c>
      <c r="AA9481">
        <f t="shared" si="1565"/>
        <v>0</v>
      </c>
    </row>
    <row r="9482" spans="1:27" ht="21" customHeight="1" x14ac:dyDescent="0.95">
      <c r="A9482" s="56"/>
      <c r="B9482" s="57"/>
      <c r="C9482" s="57"/>
      <c r="D9482" s="57"/>
      <c r="E9482" s="56"/>
      <c r="F9482" s="57"/>
      <c r="G9482" s="57"/>
      <c r="H9482" s="56"/>
      <c r="I9482" s="56"/>
      <c r="J9482" s="58"/>
      <c r="K9482" s="58"/>
      <c r="L9482" s="13" t="str">
        <f t="shared" si="1566"/>
        <v/>
      </c>
      <c r="M9482" s="13" t="str">
        <f t="shared" si="1567"/>
        <v/>
      </c>
      <c r="Q9482" t="str">
        <f t="shared" si="1568"/>
        <v/>
      </c>
      <c r="R9482" t="str">
        <f t="shared" si="1569"/>
        <v/>
      </c>
      <c r="S9482" t="str">
        <f t="shared" si="1570"/>
        <v/>
      </c>
      <c r="T9482" t="str">
        <f t="shared" si="1571"/>
        <v/>
      </c>
      <c r="U9482" t="str">
        <f t="shared" si="1572"/>
        <v/>
      </c>
      <c r="V9482" t="str">
        <f t="shared" si="1573"/>
        <v/>
      </c>
      <c r="W9482" t="str">
        <f t="shared" si="1574"/>
        <v/>
      </c>
      <c r="X9482">
        <f t="shared" si="1564"/>
        <v>0</v>
      </c>
      <c r="Z9482" t="str">
        <f t="shared" si="1575"/>
        <v/>
      </c>
      <c r="AA9482">
        <f t="shared" si="1565"/>
        <v>0</v>
      </c>
    </row>
    <row r="9483" spans="1:27" ht="21" customHeight="1" x14ac:dyDescent="0.95">
      <c r="A9483" s="56"/>
      <c r="B9483" s="57"/>
      <c r="C9483" s="57"/>
      <c r="D9483" s="57"/>
      <c r="E9483" s="56"/>
      <c r="F9483" s="57"/>
      <c r="G9483" s="57"/>
      <c r="H9483" s="56"/>
      <c r="I9483" s="56"/>
      <c r="J9483" s="58"/>
      <c r="K9483" s="58"/>
      <c r="L9483" s="13" t="str">
        <f t="shared" si="1566"/>
        <v/>
      </c>
      <c r="M9483" s="13" t="str">
        <f t="shared" si="1567"/>
        <v/>
      </c>
      <c r="Q9483" t="str">
        <f t="shared" si="1568"/>
        <v/>
      </c>
      <c r="R9483" t="str">
        <f t="shared" si="1569"/>
        <v/>
      </c>
      <c r="S9483" t="str">
        <f t="shared" si="1570"/>
        <v/>
      </c>
      <c r="T9483" t="str">
        <f t="shared" si="1571"/>
        <v/>
      </c>
      <c r="U9483" t="str">
        <f t="shared" si="1572"/>
        <v/>
      </c>
      <c r="V9483" t="str">
        <f t="shared" si="1573"/>
        <v/>
      </c>
      <c r="W9483" t="str">
        <f t="shared" si="1574"/>
        <v/>
      </c>
      <c r="X9483">
        <f t="shared" si="1564"/>
        <v>0</v>
      </c>
      <c r="Z9483" t="str">
        <f t="shared" si="1575"/>
        <v/>
      </c>
      <c r="AA9483">
        <f t="shared" si="1565"/>
        <v>0</v>
      </c>
    </row>
    <row r="9484" spans="1:27" ht="21" customHeight="1" x14ac:dyDescent="0.95">
      <c r="A9484" s="56"/>
      <c r="B9484" s="57"/>
      <c r="C9484" s="57"/>
      <c r="D9484" s="57"/>
      <c r="E9484" s="56"/>
      <c r="F9484" s="57"/>
      <c r="G9484" s="57"/>
      <c r="H9484" s="56"/>
      <c r="I9484" s="56"/>
      <c r="J9484" s="58"/>
      <c r="K9484" s="58"/>
      <c r="L9484" s="13" t="str">
        <f t="shared" si="1566"/>
        <v/>
      </c>
      <c r="M9484" s="13" t="str">
        <f t="shared" si="1567"/>
        <v/>
      </c>
      <c r="Q9484" t="str">
        <f t="shared" si="1568"/>
        <v/>
      </c>
      <c r="R9484" t="str">
        <f t="shared" si="1569"/>
        <v/>
      </c>
      <c r="S9484" t="str">
        <f t="shared" si="1570"/>
        <v/>
      </c>
      <c r="T9484" t="str">
        <f t="shared" si="1571"/>
        <v/>
      </c>
      <c r="U9484" t="str">
        <f t="shared" si="1572"/>
        <v/>
      </c>
      <c r="V9484" t="str">
        <f t="shared" si="1573"/>
        <v/>
      </c>
      <c r="W9484" t="str">
        <f t="shared" si="1574"/>
        <v/>
      </c>
      <c r="X9484">
        <f t="shared" si="1564"/>
        <v>0</v>
      </c>
      <c r="Z9484" t="str">
        <f t="shared" si="1575"/>
        <v/>
      </c>
      <c r="AA9484">
        <f t="shared" si="1565"/>
        <v>0</v>
      </c>
    </row>
    <row r="9485" spans="1:27" ht="21" customHeight="1" x14ac:dyDescent="0.95">
      <c r="A9485" s="56"/>
      <c r="B9485" s="57"/>
      <c r="C9485" s="57"/>
      <c r="D9485" s="57"/>
      <c r="E9485" s="56"/>
      <c r="F9485" s="57"/>
      <c r="G9485" s="57"/>
      <c r="H9485" s="56"/>
      <c r="I9485" s="56"/>
      <c r="J9485" s="58"/>
      <c r="K9485" s="58"/>
      <c r="L9485" s="13" t="str">
        <f t="shared" si="1566"/>
        <v/>
      </c>
      <c r="M9485" s="13" t="str">
        <f t="shared" si="1567"/>
        <v/>
      </c>
      <c r="Q9485" t="str">
        <f t="shared" si="1568"/>
        <v/>
      </c>
      <c r="R9485" t="str">
        <f t="shared" si="1569"/>
        <v/>
      </c>
      <c r="S9485" t="str">
        <f t="shared" si="1570"/>
        <v/>
      </c>
      <c r="T9485" t="str">
        <f t="shared" si="1571"/>
        <v/>
      </c>
      <c r="U9485" t="str">
        <f t="shared" si="1572"/>
        <v/>
      </c>
      <c r="V9485" t="str">
        <f t="shared" si="1573"/>
        <v/>
      </c>
      <c r="W9485" t="str">
        <f t="shared" si="1574"/>
        <v/>
      </c>
      <c r="X9485">
        <f t="shared" si="1564"/>
        <v>0</v>
      </c>
      <c r="Z9485" t="str">
        <f t="shared" si="1575"/>
        <v/>
      </c>
      <c r="AA9485">
        <f t="shared" si="1565"/>
        <v>0</v>
      </c>
    </row>
    <row r="9486" spans="1:27" ht="21" customHeight="1" x14ac:dyDescent="0.95">
      <c r="A9486" s="56"/>
      <c r="B9486" s="57"/>
      <c r="C9486" s="57"/>
      <c r="D9486" s="57"/>
      <c r="E9486" s="56"/>
      <c r="F9486" s="57"/>
      <c r="G9486" s="57"/>
      <c r="H9486" s="56"/>
      <c r="I9486" s="56"/>
      <c r="J9486" s="58"/>
      <c r="K9486" s="58"/>
      <c r="L9486" s="13" t="str">
        <f t="shared" si="1566"/>
        <v/>
      </c>
      <c r="M9486" s="13" t="str">
        <f t="shared" si="1567"/>
        <v/>
      </c>
      <c r="Q9486" t="str">
        <f t="shared" si="1568"/>
        <v/>
      </c>
      <c r="R9486" t="str">
        <f t="shared" si="1569"/>
        <v/>
      </c>
      <c r="S9486" t="str">
        <f t="shared" si="1570"/>
        <v/>
      </c>
      <c r="T9486" t="str">
        <f t="shared" si="1571"/>
        <v/>
      </c>
      <c r="U9486" t="str">
        <f t="shared" si="1572"/>
        <v/>
      </c>
      <c r="V9486" t="str">
        <f t="shared" si="1573"/>
        <v/>
      </c>
      <c r="W9486" t="str">
        <f t="shared" si="1574"/>
        <v/>
      </c>
      <c r="X9486">
        <f t="shared" si="1564"/>
        <v>0</v>
      </c>
      <c r="Z9486" t="str">
        <f t="shared" si="1575"/>
        <v/>
      </c>
      <c r="AA9486">
        <f t="shared" si="1565"/>
        <v>0</v>
      </c>
    </row>
    <row r="9487" spans="1:27" ht="21" customHeight="1" x14ac:dyDescent="0.95">
      <c r="A9487" s="56"/>
      <c r="B9487" s="57"/>
      <c r="C9487" s="57"/>
      <c r="D9487" s="57"/>
      <c r="E9487" s="56"/>
      <c r="F9487" s="57"/>
      <c r="G9487" s="57"/>
      <c r="H9487" s="56"/>
      <c r="I9487" s="56"/>
      <c r="J9487" s="58"/>
      <c r="K9487" s="58"/>
      <c r="L9487" s="13" t="str">
        <f t="shared" si="1566"/>
        <v/>
      </c>
      <c r="M9487" s="13" t="str">
        <f t="shared" si="1567"/>
        <v/>
      </c>
      <c r="Q9487" t="str">
        <f t="shared" si="1568"/>
        <v/>
      </c>
      <c r="R9487" t="str">
        <f t="shared" si="1569"/>
        <v/>
      </c>
      <c r="S9487" t="str">
        <f t="shared" si="1570"/>
        <v/>
      </c>
      <c r="T9487" t="str">
        <f t="shared" si="1571"/>
        <v/>
      </c>
      <c r="U9487" t="str">
        <f t="shared" si="1572"/>
        <v/>
      </c>
      <c r="V9487" t="str">
        <f t="shared" si="1573"/>
        <v/>
      </c>
      <c r="W9487" t="str">
        <f t="shared" si="1574"/>
        <v/>
      </c>
      <c r="X9487">
        <f t="shared" si="1564"/>
        <v>0</v>
      </c>
      <c r="Z9487" t="str">
        <f t="shared" si="1575"/>
        <v/>
      </c>
      <c r="AA9487">
        <f t="shared" si="1565"/>
        <v>0</v>
      </c>
    </row>
    <row r="9488" spans="1:27" ht="21" customHeight="1" x14ac:dyDescent="0.95">
      <c r="A9488" s="56"/>
      <c r="B9488" s="57"/>
      <c r="C9488" s="57"/>
      <c r="D9488" s="57"/>
      <c r="E9488" s="56"/>
      <c r="F9488" s="57"/>
      <c r="G9488" s="57"/>
      <c r="H9488" s="56"/>
      <c r="I9488" s="56"/>
      <c r="J9488" s="58"/>
      <c r="K9488" s="58"/>
      <c r="L9488" s="13" t="str">
        <f t="shared" si="1566"/>
        <v/>
      </c>
      <c r="M9488" s="13" t="str">
        <f t="shared" si="1567"/>
        <v/>
      </c>
      <c r="Q9488" t="str">
        <f t="shared" si="1568"/>
        <v/>
      </c>
      <c r="R9488" t="str">
        <f t="shared" si="1569"/>
        <v/>
      </c>
      <c r="S9488" t="str">
        <f t="shared" si="1570"/>
        <v/>
      </c>
      <c r="T9488" t="str">
        <f t="shared" si="1571"/>
        <v/>
      </c>
      <c r="U9488" t="str">
        <f t="shared" si="1572"/>
        <v/>
      </c>
      <c r="V9488" t="str">
        <f t="shared" si="1573"/>
        <v/>
      </c>
      <c r="W9488" t="str">
        <f t="shared" si="1574"/>
        <v/>
      </c>
      <c r="X9488">
        <f t="shared" si="1564"/>
        <v>0</v>
      </c>
      <c r="Z9488" t="str">
        <f t="shared" si="1575"/>
        <v/>
      </c>
      <c r="AA9488">
        <f t="shared" si="1565"/>
        <v>0</v>
      </c>
    </row>
    <row r="9489" spans="1:27" ht="21" customHeight="1" x14ac:dyDescent="0.95">
      <c r="A9489" s="56"/>
      <c r="B9489" s="57"/>
      <c r="C9489" s="57"/>
      <c r="D9489" s="57"/>
      <c r="E9489" s="56"/>
      <c r="F9489" s="57"/>
      <c r="G9489" s="57"/>
      <c r="H9489" s="56"/>
      <c r="I9489" s="56"/>
      <c r="J9489" s="58"/>
      <c r="K9489" s="58"/>
      <c r="L9489" s="13" t="str">
        <f t="shared" si="1566"/>
        <v/>
      </c>
      <c r="M9489" s="13" t="str">
        <f t="shared" si="1567"/>
        <v/>
      </c>
      <c r="Q9489" t="str">
        <f t="shared" si="1568"/>
        <v/>
      </c>
      <c r="R9489" t="str">
        <f t="shared" si="1569"/>
        <v/>
      </c>
      <c r="S9489" t="str">
        <f t="shared" si="1570"/>
        <v/>
      </c>
      <c r="T9489" t="str">
        <f t="shared" si="1571"/>
        <v/>
      </c>
      <c r="U9489" t="str">
        <f t="shared" si="1572"/>
        <v/>
      </c>
      <c r="V9489" t="str">
        <f t="shared" si="1573"/>
        <v/>
      </c>
      <c r="W9489" t="str">
        <f t="shared" si="1574"/>
        <v/>
      </c>
      <c r="X9489">
        <f t="shared" si="1564"/>
        <v>0</v>
      </c>
      <c r="Z9489" t="str">
        <f t="shared" si="1575"/>
        <v/>
      </c>
      <c r="AA9489">
        <f t="shared" si="1565"/>
        <v>0</v>
      </c>
    </row>
    <row r="9490" spans="1:27" ht="21" customHeight="1" x14ac:dyDescent="0.95">
      <c r="A9490" s="56"/>
      <c r="B9490" s="57"/>
      <c r="C9490" s="57"/>
      <c r="D9490" s="57"/>
      <c r="E9490" s="56"/>
      <c r="F9490" s="57"/>
      <c r="G9490" s="57"/>
      <c r="H9490" s="56"/>
      <c r="I9490" s="56"/>
      <c r="J9490" s="58"/>
      <c r="K9490" s="58"/>
      <c r="L9490" s="13" t="str">
        <f t="shared" si="1566"/>
        <v/>
      </c>
      <c r="M9490" s="13" t="str">
        <f t="shared" si="1567"/>
        <v/>
      </c>
      <c r="Q9490" t="str">
        <f t="shared" si="1568"/>
        <v/>
      </c>
      <c r="R9490" t="str">
        <f t="shared" si="1569"/>
        <v/>
      </c>
      <c r="S9490" t="str">
        <f t="shared" si="1570"/>
        <v/>
      </c>
      <c r="T9490" t="str">
        <f t="shared" si="1571"/>
        <v/>
      </c>
      <c r="U9490" t="str">
        <f t="shared" si="1572"/>
        <v/>
      </c>
      <c r="V9490" t="str">
        <f t="shared" si="1573"/>
        <v/>
      </c>
      <c r="W9490" t="str">
        <f t="shared" si="1574"/>
        <v/>
      </c>
      <c r="X9490">
        <f t="shared" si="1564"/>
        <v>0</v>
      </c>
      <c r="Z9490" t="str">
        <f t="shared" si="1575"/>
        <v/>
      </c>
      <c r="AA9490">
        <f t="shared" si="1565"/>
        <v>0</v>
      </c>
    </row>
    <row r="9491" spans="1:27" ht="21" customHeight="1" x14ac:dyDescent="0.95">
      <c r="A9491" s="56"/>
      <c r="B9491" s="57"/>
      <c r="C9491" s="57"/>
      <c r="D9491" s="57"/>
      <c r="E9491" s="56"/>
      <c r="F9491" s="57"/>
      <c r="G9491" s="57"/>
      <c r="H9491" s="56"/>
      <c r="I9491" s="56"/>
      <c r="J9491" s="58"/>
      <c r="K9491" s="58"/>
      <c r="L9491" s="13" t="str">
        <f t="shared" si="1566"/>
        <v/>
      </c>
      <c r="M9491" s="13" t="str">
        <f t="shared" si="1567"/>
        <v/>
      </c>
      <c r="Q9491" t="str">
        <f t="shared" si="1568"/>
        <v/>
      </c>
      <c r="R9491" t="str">
        <f t="shared" si="1569"/>
        <v/>
      </c>
      <c r="S9491" t="str">
        <f t="shared" si="1570"/>
        <v/>
      </c>
      <c r="T9491" t="str">
        <f t="shared" si="1571"/>
        <v/>
      </c>
      <c r="U9491" t="str">
        <f t="shared" si="1572"/>
        <v/>
      </c>
      <c r="V9491" t="str">
        <f t="shared" si="1573"/>
        <v/>
      </c>
      <c r="W9491" t="str">
        <f t="shared" si="1574"/>
        <v/>
      </c>
      <c r="X9491">
        <f t="shared" si="1564"/>
        <v>0</v>
      </c>
      <c r="Z9491" t="str">
        <f t="shared" si="1575"/>
        <v/>
      </c>
      <c r="AA9491">
        <f t="shared" si="1565"/>
        <v>0</v>
      </c>
    </row>
    <row r="9492" spans="1:27" ht="21" customHeight="1" x14ac:dyDescent="0.95">
      <c r="A9492" s="56"/>
      <c r="B9492" s="57"/>
      <c r="C9492" s="57"/>
      <c r="D9492" s="57"/>
      <c r="E9492" s="56"/>
      <c r="F9492" s="57"/>
      <c r="G9492" s="57"/>
      <c r="H9492" s="56"/>
      <c r="I9492" s="56"/>
      <c r="J9492" s="58"/>
      <c r="K9492" s="58"/>
      <c r="L9492" s="13" t="str">
        <f t="shared" si="1566"/>
        <v/>
      </c>
      <c r="M9492" s="13" t="str">
        <f t="shared" si="1567"/>
        <v/>
      </c>
      <c r="Q9492" t="str">
        <f t="shared" si="1568"/>
        <v/>
      </c>
      <c r="R9492" t="str">
        <f t="shared" si="1569"/>
        <v/>
      </c>
      <c r="S9492" t="str">
        <f t="shared" si="1570"/>
        <v/>
      </c>
      <c r="T9492" t="str">
        <f t="shared" si="1571"/>
        <v/>
      </c>
      <c r="U9492" t="str">
        <f t="shared" si="1572"/>
        <v/>
      </c>
      <c r="V9492" t="str">
        <f t="shared" si="1573"/>
        <v/>
      </c>
      <c r="W9492" t="str">
        <f t="shared" si="1574"/>
        <v/>
      </c>
      <c r="X9492">
        <f t="shared" si="1564"/>
        <v>0</v>
      </c>
      <c r="Z9492" t="str">
        <f t="shared" si="1575"/>
        <v/>
      </c>
      <c r="AA9492">
        <f t="shared" si="1565"/>
        <v>0</v>
      </c>
    </row>
    <row r="9493" spans="1:27" ht="21" customHeight="1" x14ac:dyDescent="0.95">
      <c r="A9493" s="56"/>
      <c r="B9493" s="57"/>
      <c r="C9493" s="57"/>
      <c r="D9493" s="57"/>
      <c r="E9493" s="56"/>
      <c r="F9493" s="57"/>
      <c r="G9493" s="57"/>
      <c r="H9493" s="56"/>
      <c r="I9493" s="56"/>
      <c r="J9493" s="58"/>
      <c r="K9493" s="58"/>
      <c r="L9493" s="13" t="str">
        <f t="shared" si="1566"/>
        <v/>
      </c>
      <c r="M9493" s="13" t="str">
        <f t="shared" si="1567"/>
        <v/>
      </c>
      <c r="Q9493" t="str">
        <f t="shared" si="1568"/>
        <v/>
      </c>
      <c r="R9493" t="str">
        <f t="shared" si="1569"/>
        <v/>
      </c>
      <c r="S9493" t="str">
        <f t="shared" si="1570"/>
        <v/>
      </c>
      <c r="T9493" t="str">
        <f t="shared" si="1571"/>
        <v/>
      </c>
      <c r="U9493" t="str">
        <f t="shared" si="1572"/>
        <v/>
      </c>
      <c r="V9493" t="str">
        <f t="shared" si="1573"/>
        <v/>
      </c>
      <c r="W9493" t="str">
        <f t="shared" si="1574"/>
        <v/>
      </c>
      <c r="X9493">
        <f t="shared" si="1564"/>
        <v>0</v>
      </c>
      <c r="Z9493" t="str">
        <f t="shared" si="1575"/>
        <v/>
      </c>
      <c r="AA9493">
        <f t="shared" si="1565"/>
        <v>0</v>
      </c>
    </row>
    <row r="9494" spans="1:27" ht="21" customHeight="1" x14ac:dyDescent="0.95">
      <c r="A9494" s="56"/>
      <c r="B9494" s="57"/>
      <c r="C9494" s="57"/>
      <c r="D9494" s="57"/>
      <c r="E9494" s="56"/>
      <c r="F9494" s="57"/>
      <c r="G9494" s="57"/>
      <c r="H9494" s="56"/>
      <c r="I9494" s="56"/>
      <c r="J9494" s="58"/>
      <c r="K9494" s="58"/>
      <c r="L9494" s="13" t="str">
        <f t="shared" si="1566"/>
        <v/>
      </c>
      <c r="M9494" s="13" t="str">
        <f t="shared" si="1567"/>
        <v/>
      </c>
      <c r="Q9494" t="str">
        <f t="shared" si="1568"/>
        <v/>
      </c>
      <c r="R9494" t="str">
        <f t="shared" si="1569"/>
        <v/>
      </c>
      <c r="S9494" t="str">
        <f t="shared" si="1570"/>
        <v/>
      </c>
      <c r="T9494" t="str">
        <f t="shared" si="1571"/>
        <v/>
      </c>
      <c r="U9494" t="str">
        <f t="shared" si="1572"/>
        <v/>
      </c>
      <c r="V9494" t="str">
        <f t="shared" si="1573"/>
        <v/>
      </c>
      <c r="W9494" t="str">
        <f t="shared" si="1574"/>
        <v/>
      </c>
      <c r="X9494">
        <f t="shared" si="1564"/>
        <v>0</v>
      </c>
      <c r="Z9494" t="str">
        <f t="shared" si="1575"/>
        <v/>
      </c>
      <c r="AA9494">
        <f t="shared" si="1565"/>
        <v>0</v>
      </c>
    </row>
    <row r="9495" spans="1:27" ht="21" customHeight="1" x14ac:dyDescent="0.95">
      <c r="A9495" s="56"/>
      <c r="B9495" s="57"/>
      <c r="C9495" s="57"/>
      <c r="D9495" s="57"/>
      <c r="E9495" s="56"/>
      <c r="F9495" s="57"/>
      <c r="G9495" s="57"/>
      <c r="H9495" s="56"/>
      <c r="I9495" s="56"/>
      <c r="J9495" s="58"/>
      <c r="K9495" s="58"/>
      <c r="L9495" s="13" t="str">
        <f t="shared" si="1566"/>
        <v/>
      </c>
      <c r="M9495" s="13" t="str">
        <f t="shared" si="1567"/>
        <v/>
      </c>
      <c r="Q9495" t="str">
        <f t="shared" si="1568"/>
        <v/>
      </c>
      <c r="R9495" t="str">
        <f t="shared" si="1569"/>
        <v/>
      </c>
      <c r="S9495" t="str">
        <f t="shared" si="1570"/>
        <v/>
      </c>
      <c r="T9495" t="str">
        <f t="shared" si="1571"/>
        <v/>
      </c>
      <c r="U9495" t="str">
        <f t="shared" si="1572"/>
        <v/>
      </c>
      <c r="V9495" t="str">
        <f t="shared" si="1573"/>
        <v/>
      </c>
      <c r="W9495" t="str">
        <f t="shared" si="1574"/>
        <v/>
      </c>
      <c r="X9495">
        <f t="shared" si="1564"/>
        <v>0</v>
      </c>
      <c r="Z9495" t="str">
        <f t="shared" si="1575"/>
        <v/>
      </c>
      <c r="AA9495">
        <f t="shared" si="1565"/>
        <v>0</v>
      </c>
    </row>
    <row r="9496" spans="1:27" ht="21" customHeight="1" x14ac:dyDescent="0.95">
      <c r="A9496" s="56"/>
      <c r="B9496" s="57"/>
      <c r="C9496" s="57"/>
      <c r="D9496" s="57"/>
      <c r="E9496" s="56"/>
      <c r="F9496" s="57"/>
      <c r="G9496" s="57"/>
      <c r="H9496" s="56"/>
      <c r="I9496" s="56"/>
      <c r="J9496" s="58"/>
      <c r="K9496" s="58"/>
      <c r="L9496" s="13" t="str">
        <f t="shared" si="1566"/>
        <v/>
      </c>
      <c r="M9496" s="13" t="str">
        <f t="shared" si="1567"/>
        <v/>
      </c>
      <c r="Q9496" t="str">
        <f t="shared" si="1568"/>
        <v/>
      </c>
      <c r="R9496" t="str">
        <f t="shared" si="1569"/>
        <v/>
      </c>
      <c r="S9496" t="str">
        <f t="shared" si="1570"/>
        <v/>
      </c>
      <c r="T9496" t="str">
        <f t="shared" si="1571"/>
        <v/>
      </c>
      <c r="U9496" t="str">
        <f t="shared" si="1572"/>
        <v/>
      </c>
      <c r="V9496" t="str">
        <f t="shared" si="1573"/>
        <v/>
      </c>
      <c r="W9496" t="str">
        <f t="shared" si="1574"/>
        <v/>
      </c>
      <c r="X9496">
        <f t="shared" si="1564"/>
        <v>0</v>
      </c>
      <c r="Z9496" t="str">
        <f t="shared" si="1575"/>
        <v/>
      </c>
      <c r="AA9496">
        <f t="shared" si="1565"/>
        <v>0</v>
      </c>
    </row>
    <row r="9497" spans="1:27" ht="21" customHeight="1" x14ac:dyDescent="0.95">
      <c r="A9497" s="56"/>
      <c r="B9497" s="57"/>
      <c r="C9497" s="57"/>
      <c r="D9497" s="57"/>
      <c r="E9497" s="56"/>
      <c r="F9497" s="57"/>
      <c r="G9497" s="57"/>
      <c r="H9497" s="56"/>
      <c r="I9497" s="56"/>
      <c r="J9497" s="58"/>
      <c r="K9497" s="58"/>
      <c r="L9497" s="13" t="str">
        <f t="shared" si="1566"/>
        <v/>
      </c>
      <c r="M9497" s="13" t="str">
        <f t="shared" si="1567"/>
        <v/>
      </c>
      <c r="Q9497" t="str">
        <f t="shared" si="1568"/>
        <v/>
      </c>
      <c r="R9497" t="str">
        <f t="shared" si="1569"/>
        <v/>
      </c>
      <c r="S9497" t="str">
        <f t="shared" si="1570"/>
        <v/>
      </c>
      <c r="T9497" t="str">
        <f t="shared" si="1571"/>
        <v/>
      </c>
      <c r="U9497" t="str">
        <f t="shared" si="1572"/>
        <v/>
      </c>
      <c r="V9497" t="str">
        <f t="shared" si="1573"/>
        <v/>
      </c>
      <c r="W9497" t="str">
        <f t="shared" si="1574"/>
        <v/>
      </c>
      <c r="X9497">
        <f t="shared" si="1564"/>
        <v>0</v>
      </c>
      <c r="Z9497" t="str">
        <f t="shared" si="1575"/>
        <v/>
      </c>
      <c r="AA9497">
        <f t="shared" si="1565"/>
        <v>0</v>
      </c>
    </row>
    <row r="9498" spans="1:27" ht="21" customHeight="1" x14ac:dyDescent="0.95">
      <c r="A9498" s="56"/>
      <c r="B9498" s="57"/>
      <c r="C9498" s="57"/>
      <c r="D9498" s="57"/>
      <c r="E9498" s="56"/>
      <c r="F9498" s="57"/>
      <c r="G9498" s="57"/>
      <c r="H9498" s="56"/>
      <c r="I9498" s="56"/>
      <c r="J9498" s="58"/>
      <c r="K9498" s="58"/>
      <c r="L9498" s="13" t="str">
        <f t="shared" si="1566"/>
        <v/>
      </c>
      <c r="M9498" s="13" t="str">
        <f t="shared" si="1567"/>
        <v/>
      </c>
      <c r="Q9498" t="str">
        <f t="shared" si="1568"/>
        <v/>
      </c>
      <c r="R9498" t="str">
        <f t="shared" si="1569"/>
        <v/>
      </c>
      <c r="S9498" t="str">
        <f t="shared" si="1570"/>
        <v/>
      </c>
      <c r="T9498" t="str">
        <f t="shared" si="1571"/>
        <v/>
      </c>
      <c r="U9498" t="str">
        <f t="shared" si="1572"/>
        <v/>
      </c>
      <c r="V9498" t="str">
        <f t="shared" si="1573"/>
        <v/>
      </c>
      <c r="W9498" t="str">
        <f t="shared" si="1574"/>
        <v/>
      </c>
      <c r="X9498">
        <f t="shared" si="1564"/>
        <v>0</v>
      </c>
      <c r="Z9498" t="str">
        <f t="shared" si="1575"/>
        <v/>
      </c>
      <c r="AA9498">
        <f t="shared" si="1565"/>
        <v>0</v>
      </c>
    </row>
    <row r="9499" spans="1:27" ht="21" customHeight="1" x14ac:dyDescent="0.95">
      <c r="A9499" s="56"/>
      <c r="B9499" s="57"/>
      <c r="C9499" s="57"/>
      <c r="D9499" s="57"/>
      <c r="E9499" s="56"/>
      <c r="F9499" s="57"/>
      <c r="G9499" s="57"/>
      <c r="H9499" s="56"/>
      <c r="I9499" s="56"/>
      <c r="J9499" s="58"/>
      <c r="K9499" s="58"/>
      <c r="L9499" s="13" t="str">
        <f t="shared" si="1566"/>
        <v/>
      </c>
      <c r="M9499" s="13" t="str">
        <f t="shared" si="1567"/>
        <v/>
      </c>
      <c r="Q9499" t="str">
        <f t="shared" si="1568"/>
        <v/>
      </c>
      <c r="R9499" t="str">
        <f t="shared" si="1569"/>
        <v/>
      </c>
      <c r="S9499" t="str">
        <f t="shared" si="1570"/>
        <v/>
      </c>
      <c r="T9499" t="str">
        <f t="shared" si="1571"/>
        <v/>
      </c>
      <c r="U9499" t="str">
        <f t="shared" si="1572"/>
        <v/>
      </c>
      <c r="V9499" t="str">
        <f t="shared" si="1573"/>
        <v/>
      </c>
      <c r="W9499" t="str">
        <f t="shared" si="1574"/>
        <v/>
      </c>
      <c r="X9499">
        <f t="shared" si="1564"/>
        <v>0</v>
      </c>
      <c r="Z9499" t="str">
        <f t="shared" si="1575"/>
        <v/>
      </c>
      <c r="AA9499">
        <f t="shared" si="1565"/>
        <v>0</v>
      </c>
    </row>
    <row r="9500" spans="1:27" ht="21" customHeight="1" x14ac:dyDescent="0.95">
      <c r="A9500" s="56"/>
      <c r="B9500" s="57"/>
      <c r="C9500" s="57"/>
      <c r="D9500" s="57"/>
      <c r="E9500" s="56"/>
      <c r="F9500" s="57"/>
      <c r="G9500" s="57"/>
      <c r="H9500" s="56"/>
      <c r="I9500" s="56"/>
      <c r="J9500" s="58"/>
      <c r="K9500" s="58"/>
      <c r="L9500" s="13" t="str">
        <f t="shared" si="1566"/>
        <v/>
      </c>
      <c r="M9500" s="13" t="str">
        <f t="shared" si="1567"/>
        <v/>
      </c>
      <c r="Q9500" t="str">
        <f t="shared" si="1568"/>
        <v/>
      </c>
      <c r="R9500" t="str">
        <f t="shared" si="1569"/>
        <v/>
      </c>
      <c r="S9500" t="str">
        <f t="shared" si="1570"/>
        <v/>
      </c>
      <c r="T9500" t="str">
        <f t="shared" si="1571"/>
        <v/>
      </c>
      <c r="U9500" t="str">
        <f t="shared" si="1572"/>
        <v/>
      </c>
      <c r="V9500" t="str">
        <f t="shared" si="1573"/>
        <v/>
      </c>
      <c r="W9500" t="str">
        <f t="shared" si="1574"/>
        <v/>
      </c>
      <c r="X9500">
        <f t="shared" si="1564"/>
        <v>0</v>
      </c>
      <c r="Z9500" t="str">
        <f t="shared" si="1575"/>
        <v/>
      </c>
      <c r="AA9500">
        <f t="shared" si="1565"/>
        <v>0</v>
      </c>
    </row>
    <row r="9501" spans="1:27" ht="21" customHeight="1" x14ac:dyDescent="0.95">
      <c r="A9501" s="56"/>
      <c r="B9501" s="57"/>
      <c r="C9501" s="57"/>
      <c r="D9501" s="57"/>
      <c r="E9501" s="56"/>
      <c r="F9501" s="57"/>
      <c r="G9501" s="57"/>
      <c r="H9501" s="56"/>
      <c r="I9501" s="56"/>
      <c r="J9501" s="58"/>
      <c r="K9501" s="58"/>
      <c r="L9501" s="13" t="str">
        <f t="shared" si="1566"/>
        <v/>
      </c>
      <c r="M9501" s="13" t="str">
        <f t="shared" si="1567"/>
        <v/>
      </c>
      <c r="Q9501" t="str">
        <f t="shared" si="1568"/>
        <v/>
      </c>
      <c r="R9501" t="str">
        <f t="shared" si="1569"/>
        <v/>
      </c>
      <c r="S9501" t="str">
        <f t="shared" si="1570"/>
        <v/>
      </c>
      <c r="T9501" t="str">
        <f t="shared" si="1571"/>
        <v/>
      </c>
      <c r="U9501" t="str">
        <f t="shared" si="1572"/>
        <v/>
      </c>
      <c r="V9501" t="str">
        <f t="shared" si="1573"/>
        <v/>
      </c>
      <c r="W9501" t="str">
        <f t="shared" si="1574"/>
        <v/>
      </c>
      <c r="X9501">
        <f t="shared" si="1564"/>
        <v>0</v>
      </c>
      <c r="Z9501" t="str">
        <f t="shared" si="1575"/>
        <v/>
      </c>
      <c r="AA9501">
        <f t="shared" si="1565"/>
        <v>0</v>
      </c>
    </row>
    <row r="9502" spans="1:27" ht="21" customHeight="1" x14ac:dyDescent="0.95">
      <c r="A9502" s="56"/>
      <c r="B9502" s="57"/>
      <c r="C9502" s="57"/>
      <c r="D9502" s="57"/>
      <c r="E9502" s="56"/>
      <c r="F9502" s="57"/>
      <c r="G9502" s="57"/>
      <c r="H9502" s="56"/>
      <c r="I9502" s="56"/>
      <c r="J9502" s="58"/>
      <c r="K9502" s="58"/>
      <c r="L9502" s="13" t="str">
        <f t="shared" si="1566"/>
        <v/>
      </c>
      <c r="M9502" s="13" t="str">
        <f t="shared" si="1567"/>
        <v/>
      </c>
      <c r="Q9502" t="str">
        <f t="shared" si="1568"/>
        <v/>
      </c>
      <c r="R9502" t="str">
        <f t="shared" si="1569"/>
        <v/>
      </c>
      <c r="S9502" t="str">
        <f t="shared" si="1570"/>
        <v/>
      </c>
      <c r="T9502" t="str">
        <f t="shared" si="1571"/>
        <v/>
      </c>
      <c r="U9502" t="str">
        <f t="shared" si="1572"/>
        <v/>
      </c>
      <c r="V9502" t="str">
        <f t="shared" si="1573"/>
        <v/>
      </c>
      <c r="W9502" t="str">
        <f t="shared" si="1574"/>
        <v/>
      </c>
      <c r="X9502">
        <f t="shared" si="1564"/>
        <v>0</v>
      </c>
      <c r="Z9502" t="str">
        <f t="shared" si="1575"/>
        <v/>
      </c>
      <c r="AA9502">
        <f t="shared" si="1565"/>
        <v>0</v>
      </c>
    </row>
    <row r="9503" spans="1:27" ht="21" customHeight="1" x14ac:dyDescent="0.95">
      <c r="A9503" s="56"/>
      <c r="B9503" s="57"/>
      <c r="C9503" s="57"/>
      <c r="D9503" s="57"/>
      <c r="E9503" s="56"/>
      <c r="F9503" s="57"/>
      <c r="G9503" s="57"/>
      <c r="H9503" s="56"/>
      <c r="I9503" s="56"/>
      <c r="J9503" s="58"/>
      <c r="K9503" s="58"/>
      <c r="L9503" s="13" t="str">
        <f t="shared" si="1566"/>
        <v/>
      </c>
      <c r="M9503" s="13" t="str">
        <f t="shared" si="1567"/>
        <v/>
      </c>
      <c r="Q9503" t="str">
        <f t="shared" si="1568"/>
        <v/>
      </c>
      <c r="R9503" t="str">
        <f t="shared" si="1569"/>
        <v/>
      </c>
      <c r="S9503" t="str">
        <f t="shared" si="1570"/>
        <v/>
      </c>
      <c r="T9503" t="str">
        <f t="shared" si="1571"/>
        <v/>
      </c>
      <c r="U9503" t="str">
        <f t="shared" si="1572"/>
        <v/>
      </c>
      <c r="V9503" t="str">
        <f t="shared" si="1573"/>
        <v/>
      </c>
      <c r="W9503" t="str">
        <f t="shared" si="1574"/>
        <v/>
      </c>
      <c r="X9503">
        <f t="shared" si="1564"/>
        <v>0</v>
      </c>
      <c r="Z9503" t="str">
        <f t="shared" si="1575"/>
        <v/>
      </c>
      <c r="AA9503">
        <f t="shared" si="1565"/>
        <v>0</v>
      </c>
    </row>
    <row r="9504" spans="1:27" ht="21" customHeight="1" x14ac:dyDescent="0.95">
      <c r="A9504" s="56"/>
      <c r="B9504" s="57"/>
      <c r="C9504" s="57"/>
      <c r="D9504" s="57"/>
      <c r="E9504" s="56"/>
      <c r="F9504" s="57"/>
      <c r="G9504" s="57"/>
      <c r="H9504" s="56"/>
      <c r="I9504" s="56"/>
      <c r="J9504" s="58"/>
      <c r="K9504" s="58"/>
      <c r="L9504" s="13" t="str">
        <f t="shared" si="1566"/>
        <v/>
      </c>
      <c r="M9504" s="13" t="str">
        <f t="shared" si="1567"/>
        <v/>
      </c>
      <c r="Q9504" t="str">
        <f t="shared" si="1568"/>
        <v/>
      </c>
      <c r="R9504" t="str">
        <f t="shared" si="1569"/>
        <v/>
      </c>
      <c r="S9504" t="str">
        <f t="shared" si="1570"/>
        <v/>
      </c>
      <c r="T9504" t="str">
        <f t="shared" si="1571"/>
        <v/>
      </c>
      <c r="U9504" t="str">
        <f t="shared" si="1572"/>
        <v/>
      </c>
      <c r="V9504" t="str">
        <f t="shared" si="1573"/>
        <v/>
      </c>
      <c r="W9504" t="str">
        <f t="shared" si="1574"/>
        <v/>
      </c>
      <c r="X9504">
        <f t="shared" si="1564"/>
        <v>0</v>
      </c>
      <c r="Z9504" t="str">
        <f t="shared" si="1575"/>
        <v/>
      </c>
      <c r="AA9504">
        <f t="shared" si="1565"/>
        <v>0</v>
      </c>
    </row>
    <row r="9505" spans="1:27" ht="21" customHeight="1" x14ac:dyDescent="0.95">
      <c r="A9505" s="56"/>
      <c r="B9505" s="57"/>
      <c r="C9505" s="57"/>
      <c r="D9505" s="57"/>
      <c r="E9505" s="56"/>
      <c r="F9505" s="57"/>
      <c r="G9505" s="57"/>
      <c r="H9505" s="56"/>
      <c r="I9505" s="56"/>
      <c r="J9505" s="58"/>
      <c r="K9505" s="58"/>
      <c r="L9505" s="13" t="str">
        <f t="shared" si="1566"/>
        <v/>
      </c>
      <c r="M9505" s="13" t="str">
        <f t="shared" si="1567"/>
        <v/>
      </c>
      <c r="Q9505" t="str">
        <f t="shared" si="1568"/>
        <v/>
      </c>
      <c r="R9505" t="str">
        <f t="shared" si="1569"/>
        <v/>
      </c>
      <c r="S9505" t="str">
        <f t="shared" si="1570"/>
        <v/>
      </c>
      <c r="T9505" t="str">
        <f t="shared" si="1571"/>
        <v/>
      </c>
      <c r="U9505" t="str">
        <f t="shared" si="1572"/>
        <v/>
      </c>
      <c r="V9505" t="str">
        <f t="shared" si="1573"/>
        <v/>
      </c>
      <c r="W9505" t="str">
        <f t="shared" si="1574"/>
        <v/>
      </c>
      <c r="X9505">
        <f t="shared" si="1564"/>
        <v>0</v>
      </c>
      <c r="Z9505" t="str">
        <f t="shared" si="1575"/>
        <v/>
      </c>
      <c r="AA9505">
        <f t="shared" si="1565"/>
        <v>0</v>
      </c>
    </row>
    <row r="9506" spans="1:27" ht="21" customHeight="1" x14ac:dyDescent="0.95">
      <c r="A9506" s="56"/>
      <c r="B9506" s="57"/>
      <c r="C9506" s="57"/>
      <c r="D9506" s="57"/>
      <c r="E9506" s="56"/>
      <c r="F9506" s="57"/>
      <c r="G9506" s="57"/>
      <c r="H9506" s="56"/>
      <c r="I9506" s="56"/>
      <c r="J9506" s="58"/>
      <c r="K9506" s="58"/>
      <c r="L9506" s="13" t="str">
        <f t="shared" si="1566"/>
        <v/>
      </c>
      <c r="M9506" s="13" t="str">
        <f t="shared" si="1567"/>
        <v/>
      </c>
      <c r="Q9506" t="str">
        <f t="shared" si="1568"/>
        <v/>
      </c>
      <c r="R9506" t="str">
        <f t="shared" si="1569"/>
        <v/>
      </c>
      <c r="S9506" t="str">
        <f t="shared" si="1570"/>
        <v/>
      </c>
      <c r="T9506" t="str">
        <f t="shared" si="1571"/>
        <v/>
      </c>
      <c r="U9506" t="str">
        <f t="shared" si="1572"/>
        <v/>
      </c>
      <c r="V9506" t="str">
        <f t="shared" si="1573"/>
        <v/>
      </c>
      <c r="W9506" t="str">
        <f t="shared" si="1574"/>
        <v/>
      </c>
      <c r="X9506">
        <f t="shared" si="1564"/>
        <v>0</v>
      </c>
      <c r="Z9506" t="str">
        <f t="shared" si="1575"/>
        <v/>
      </c>
      <c r="AA9506">
        <f t="shared" si="1565"/>
        <v>0</v>
      </c>
    </row>
    <row r="9507" spans="1:27" ht="21" customHeight="1" x14ac:dyDescent="0.95">
      <c r="A9507" s="56"/>
      <c r="B9507" s="57"/>
      <c r="C9507" s="57"/>
      <c r="D9507" s="57"/>
      <c r="E9507" s="56"/>
      <c r="F9507" s="57"/>
      <c r="G9507" s="57"/>
      <c r="H9507" s="56"/>
      <c r="I9507" s="56"/>
      <c r="J9507" s="58"/>
      <c r="K9507" s="58"/>
      <c r="L9507" s="13" t="str">
        <f t="shared" si="1566"/>
        <v/>
      </c>
      <c r="M9507" s="13" t="str">
        <f t="shared" si="1567"/>
        <v/>
      </c>
      <c r="Q9507" t="str">
        <f t="shared" si="1568"/>
        <v/>
      </c>
      <c r="R9507" t="str">
        <f t="shared" si="1569"/>
        <v/>
      </c>
      <c r="S9507" t="str">
        <f t="shared" si="1570"/>
        <v/>
      </c>
      <c r="T9507" t="str">
        <f t="shared" si="1571"/>
        <v/>
      </c>
      <c r="U9507" t="str">
        <f t="shared" si="1572"/>
        <v/>
      </c>
      <c r="V9507" t="str">
        <f t="shared" si="1573"/>
        <v/>
      </c>
      <c r="W9507" t="str">
        <f t="shared" si="1574"/>
        <v/>
      </c>
      <c r="X9507">
        <f t="shared" si="1564"/>
        <v>0</v>
      </c>
      <c r="Z9507" t="str">
        <f t="shared" si="1575"/>
        <v/>
      </c>
      <c r="AA9507">
        <f t="shared" si="1565"/>
        <v>0</v>
      </c>
    </row>
    <row r="9508" spans="1:27" ht="21" customHeight="1" x14ac:dyDescent="0.95">
      <c r="A9508" s="56"/>
      <c r="B9508" s="57"/>
      <c r="C9508" s="57"/>
      <c r="D9508" s="57"/>
      <c r="E9508" s="56"/>
      <c r="F9508" s="57"/>
      <c r="G9508" s="57"/>
      <c r="H9508" s="56"/>
      <c r="I9508" s="56"/>
      <c r="J9508" s="58"/>
      <c r="K9508" s="58"/>
      <c r="L9508" s="13" t="str">
        <f t="shared" si="1566"/>
        <v/>
      </c>
      <c r="M9508" s="13" t="str">
        <f t="shared" si="1567"/>
        <v/>
      </c>
      <c r="Q9508" t="str">
        <f t="shared" si="1568"/>
        <v/>
      </c>
      <c r="R9508" t="str">
        <f t="shared" si="1569"/>
        <v/>
      </c>
      <c r="S9508" t="str">
        <f t="shared" si="1570"/>
        <v/>
      </c>
      <c r="T9508" t="str">
        <f t="shared" si="1571"/>
        <v/>
      </c>
      <c r="U9508" t="str">
        <f t="shared" si="1572"/>
        <v/>
      </c>
      <c r="V9508" t="str">
        <f t="shared" si="1573"/>
        <v/>
      </c>
      <c r="W9508" t="str">
        <f t="shared" si="1574"/>
        <v/>
      </c>
      <c r="X9508">
        <f t="shared" si="1564"/>
        <v>0</v>
      </c>
      <c r="Z9508" t="str">
        <f t="shared" si="1575"/>
        <v/>
      </c>
      <c r="AA9508">
        <f t="shared" si="1565"/>
        <v>0</v>
      </c>
    </row>
    <row r="9509" spans="1:27" ht="21" customHeight="1" x14ac:dyDescent="0.95">
      <c r="A9509" s="56"/>
      <c r="B9509" s="57"/>
      <c r="C9509" s="57"/>
      <c r="D9509" s="57"/>
      <c r="E9509" s="56"/>
      <c r="F9509" s="57"/>
      <c r="G9509" s="57"/>
      <c r="H9509" s="56"/>
      <c r="I9509" s="56"/>
      <c r="J9509" s="58"/>
      <c r="K9509" s="58"/>
      <c r="L9509" s="13" t="str">
        <f t="shared" si="1566"/>
        <v/>
      </c>
      <c r="M9509" s="13" t="str">
        <f t="shared" si="1567"/>
        <v/>
      </c>
      <c r="Q9509" t="str">
        <f t="shared" si="1568"/>
        <v/>
      </c>
      <c r="R9509" t="str">
        <f t="shared" si="1569"/>
        <v/>
      </c>
      <c r="S9509" t="str">
        <f t="shared" si="1570"/>
        <v/>
      </c>
      <c r="T9509" t="str">
        <f t="shared" si="1571"/>
        <v/>
      </c>
      <c r="U9509" t="str">
        <f t="shared" si="1572"/>
        <v/>
      </c>
      <c r="V9509" t="str">
        <f t="shared" si="1573"/>
        <v/>
      </c>
      <c r="W9509" t="str">
        <f t="shared" si="1574"/>
        <v/>
      </c>
      <c r="X9509">
        <f t="shared" si="1564"/>
        <v>0</v>
      </c>
      <c r="Z9509" t="str">
        <f t="shared" si="1575"/>
        <v/>
      </c>
      <c r="AA9509">
        <f t="shared" si="1565"/>
        <v>0</v>
      </c>
    </row>
    <row r="9510" spans="1:27" ht="21" customHeight="1" x14ac:dyDescent="0.95">
      <c r="A9510" s="56"/>
      <c r="B9510" s="57"/>
      <c r="C9510" s="57"/>
      <c r="D9510" s="57"/>
      <c r="E9510" s="56"/>
      <c r="F9510" s="57"/>
      <c r="G9510" s="57"/>
      <c r="H9510" s="56"/>
      <c r="I9510" s="56"/>
      <c r="J9510" s="58"/>
      <c r="K9510" s="58"/>
      <c r="L9510" s="13" t="str">
        <f t="shared" si="1566"/>
        <v/>
      </c>
      <c r="M9510" s="13" t="str">
        <f t="shared" si="1567"/>
        <v/>
      </c>
      <c r="Q9510" t="str">
        <f t="shared" si="1568"/>
        <v/>
      </c>
      <c r="R9510" t="str">
        <f t="shared" si="1569"/>
        <v/>
      </c>
      <c r="S9510" t="str">
        <f t="shared" si="1570"/>
        <v/>
      </c>
      <c r="T9510" t="str">
        <f t="shared" si="1571"/>
        <v/>
      </c>
      <c r="U9510" t="str">
        <f t="shared" si="1572"/>
        <v/>
      </c>
      <c r="V9510" t="str">
        <f t="shared" si="1573"/>
        <v/>
      </c>
      <c r="W9510" t="str">
        <f t="shared" si="1574"/>
        <v/>
      </c>
      <c r="X9510">
        <f t="shared" si="1564"/>
        <v>0</v>
      </c>
      <c r="Z9510" t="str">
        <f t="shared" si="1575"/>
        <v/>
      </c>
      <c r="AA9510">
        <f t="shared" si="1565"/>
        <v>0</v>
      </c>
    </row>
    <row r="9511" spans="1:27" ht="21" customHeight="1" x14ac:dyDescent="0.95">
      <c r="A9511" s="56"/>
      <c r="B9511" s="57"/>
      <c r="C9511" s="57"/>
      <c r="D9511" s="57"/>
      <c r="E9511" s="56"/>
      <c r="F9511" s="57"/>
      <c r="G9511" s="57"/>
      <c r="H9511" s="56"/>
      <c r="I9511" s="56"/>
      <c r="J9511" s="58"/>
      <c r="K9511" s="58"/>
      <c r="L9511" s="13" t="str">
        <f t="shared" si="1566"/>
        <v/>
      </c>
      <c r="M9511" s="13" t="str">
        <f t="shared" si="1567"/>
        <v/>
      </c>
      <c r="Q9511" t="str">
        <f t="shared" si="1568"/>
        <v/>
      </c>
      <c r="R9511" t="str">
        <f t="shared" si="1569"/>
        <v/>
      </c>
      <c r="S9511" t="str">
        <f t="shared" si="1570"/>
        <v/>
      </c>
      <c r="T9511" t="str">
        <f t="shared" si="1571"/>
        <v/>
      </c>
      <c r="U9511" t="str">
        <f t="shared" si="1572"/>
        <v/>
      </c>
      <c r="V9511" t="str">
        <f t="shared" si="1573"/>
        <v/>
      </c>
      <c r="W9511" t="str">
        <f t="shared" si="1574"/>
        <v/>
      </c>
      <c r="X9511">
        <f t="shared" si="1564"/>
        <v>0</v>
      </c>
      <c r="Z9511" t="str">
        <f t="shared" si="1575"/>
        <v/>
      </c>
      <c r="AA9511">
        <f t="shared" si="1565"/>
        <v>0</v>
      </c>
    </row>
    <row r="9512" spans="1:27" ht="21" customHeight="1" x14ac:dyDescent="0.95">
      <c r="A9512" s="56"/>
      <c r="B9512" s="57"/>
      <c r="C9512" s="57"/>
      <c r="D9512" s="57"/>
      <c r="E9512" s="56"/>
      <c r="F9512" s="57"/>
      <c r="G9512" s="57"/>
      <c r="H9512" s="56"/>
      <c r="I9512" s="56"/>
      <c r="J9512" s="58"/>
      <c r="K9512" s="58"/>
      <c r="L9512" s="13" t="str">
        <f t="shared" si="1566"/>
        <v/>
      </c>
      <c r="M9512" s="13" t="str">
        <f t="shared" si="1567"/>
        <v/>
      </c>
      <c r="Q9512" t="str">
        <f t="shared" si="1568"/>
        <v/>
      </c>
      <c r="R9512" t="str">
        <f t="shared" si="1569"/>
        <v/>
      </c>
      <c r="S9512" t="str">
        <f t="shared" si="1570"/>
        <v/>
      </c>
      <c r="T9512" t="str">
        <f t="shared" si="1571"/>
        <v/>
      </c>
      <c r="U9512" t="str">
        <f t="shared" si="1572"/>
        <v/>
      </c>
      <c r="V9512" t="str">
        <f t="shared" si="1573"/>
        <v/>
      </c>
      <c r="W9512" t="str">
        <f t="shared" si="1574"/>
        <v/>
      </c>
      <c r="X9512">
        <f t="shared" si="1564"/>
        <v>0</v>
      </c>
      <c r="Z9512" t="str">
        <f t="shared" si="1575"/>
        <v/>
      </c>
      <c r="AA9512">
        <f t="shared" si="1565"/>
        <v>0</v>
      </c>
    </row>
    <row r="9513" spans="1:27" ht="21" customHeight="1" x14ac:dyDescent="0.95">
      <c r="A9513" s="56"/>
      <c r="B9513" s="57"/>
      <c r="C9513" s="57"/>
      <c r="D9513" s="57"/>
      <c r="E9513" s="56"/>
      <c r="F9513" s="57"/>
      <c r="G9513" s="57"/>
      <c r="H9513" s="56"/>
      <c r="I9513" s="56"/>
      <c r="J9513" s="58"/>
      <c r="K9513" s="58"/>
      <c r="L9513" s="13" t="str">
        <f t="shared" si="1566"/>
        <v/>
      </c>
      <c r="M9513" s="13" t="str">
        <f t="shared" si="1567"/>
        <v/>
      </c>
      <c r="Q9513" t="str">
        <f t="shared" si="1568"/>
        <v/>
      </c>
      <c r="R9513" t="str">
        <f t="shared" si="1569"/>
        <v/>
      </c>
      <c r="S9513" t="str">
        <f t="shared" si="1570"/>
        <v/>
      </c>
      <c r="T9513" t="str">
        <f t="shared" si="1571"/>
        <v/>
      </c>
      <c r="U9513" t="str">
        <f t="shared" si="1572"/>
        <v/>
      </c>
      <c r="V9513" t="str">
        <f t="shared" si="1573"/>
        <v/>
      </c>
      <c r="W9513" t="str">
        <f t="shared" si="1574"/>
        <v/>
      </c>
      <c r="X9513">
        <f t="shared" si="1564"/>
        <v>0</v>
      </c>
      <c r="Z9513" t="str">
        <f t="shared" si="1575"/>
        <v/>
      </c>
      <c r="AA9513">
        <f t="shared" si="1565"/>
        <v>0</v>
      </c>
    </row>
    <row r="9514" spans="1:27" ht="21" customHeight="1" x14ac:dyDescent="0.95">
      <c r="A9514" s="56"/>
      <c r="B9514" s="57"/>
      <c r="C9514" s="57"/>
      <c r="D9514" s="57"/>
      <c r="E9514" s="56"/>
      <c r="F9514" s="57"/>
      <c r="G9514" s="57"/>
      <c r="H9514" s="56"/>
      <c r="I9514" s="56"/>
      <c r="J9514" s="58"/>
      <c r="K9514" s="58"/>
      <c r="L9514" s="13" t="str">
        <f t="shared" si="1566"/>
        <v/>
      </c>
      <c r="M9514" s="13" t="str">
        <f t="shared" si="1567"/>
        <v/>
      </c>
      <c r="Q9514" t="str">
        <f t="shared" si="1568"/>
        <v/>
      </c>
      <c r="R9514" t="str">
        <f t="shared" si="1569"/>
        <v/>
      </c>
      <c r="S9514" t="str">
        <f t="shared" si="1570"/>
        <v/>
      </c>
      <c r="T9514" t="str">
        <f t="shared" si="1571"/>
        <v/>
      </c>
      <c r="U9514" t="str">
        <f t="shared" si="1572"/>
        <v/>
      </c>
      <c r="V9514" t="str">
        <f t="shared" si="1573"/>
        <v/>
      </c>
      <c r="W9514" t="str">
        <f t="shared" si="1574"/>
        <v/>
      </c>
      <c r="X9514">
        <f t="shared" si="1564"/>
        <v>0</v>
      </c>
      <c r="Z9514" t="str">
        <f t="shared" si="1575"/>
        <v/>
      </c>
      <c r="AA9514">
        <f t="shared" si="1565"/>
        <v>0</v>
      </c>
    </row>
    <row r="9515" spans="1:27" ht="21" customHeight="1" x14ac:dyDescent="0.95">
      <c r="A9515" s="56"/>
      <c r="B9515" s="57"/>
      <c r="C9515" s="57"/>
      <c r="D9515" s="57"/>
      <c r="E9515" s="56"/>
      <c r="F9515" s="57"/>
      <c r="G9515" s="57"/>
      <c r="H9515" s="56"/>
      <c r="I9515" s="56"/>
      <c r="J9515" s="58"/>
      <c r="K9515" s="58"/>
      <c r="L9515" s="13" t="str">
        <f t="shared" si="1566"/>
        <v/>
      </c>
      <c r="M9515" s="13" t="str">
        <f t="shared" si="1567"/>
        <v/>
      </c>
      <c r="Q9515" t="str">
        <f t="shared" si="1568"/>
        <v/>
      </c>
      <c r="R9515" t="str">
        <f t="shared" si="1569"/>
        <v/>
      </c>
      <c r="S9515" t="str">
        <f t="shared" si="1570"/>
        <v/>
      </c>
      <c r="T9515" t="str">
        <f t="shared" si="1571"/>
        <v/>
      </c>
      <c r="U9515" t="str">
        <f t="shared" si="1572"/>
        <v/>
      </c>
      <c r="V9515" t="str">
        <f t="shared" si="1573"/>
        <v/>
      </c>
      <c r="W9515" t="str">
        <f t="shared" si="1574"/>
        <v/>
      </c>
      <c r="X9515">
        <f t="shared" si="1564"/>
        <v>0</v>
      </c>
      <c r="Z9515" t="str">
        <f t="shared" si="1575"/>
        <v/>
      </c>
      <c r="AA9515">
        <f t="shared" si="1565"/>
        <v>0</v>
      </c>
    </row>
    <row r="9516" spans="1:27" ht="21" customHeight="1" x14ac:dyDescent="0.95">
      <c r="A9516" s="56"/>
      <c r="B9516" s="57"/>
      <c r="C9516" s="57"/>
      <c r="D9516" s="57"/>
      <c r="E9516" s="56"/>
      <c r="F9516" s="57"/>
      <c r="G9516" s="57"/>
      <c r="H9516" s="56"/>
      <c r="I9516" s="56"/>
      <c r="J9516" s="58"/>
      <c r="K9516" s="58"/>
      <c r="L9516" s="13" t="str">
        <f t="shared" si="1566"/>
        <v/>
      </c>
      <c r="M9516" s="13" t="str">
        <f t="shared" si="1567"/>
        <v/>
      </c>
      <c r="Q9516" t="str">
        <f t="shared" si="1568"/>
        <v/>
      </c>
      <c r="R9516" t="str">
        <f t="shared" si="1569"/>
        <v/>
      </c>
      <c r="S9516" t="str">
        <f t="shared" si="1570"/>
        <v/>
      </c>
      <c r="T9516" t="str">
        <f t="shared" si="1571"/>
        <v/>
      </c>
      <c r="U9516" t="str">
        <f t="shared" si="1572"/>
        <v/>
      </c>
      <c r="V9516" t="str">
        <f t="shared" si="1573"/>
        <v/>
      </c>
      <c r="W9516" t="str">
        <f t="shared" si="1574"/>
        <v/>
      </c>
      <c r="X9516">
        <f t="shared" si="1564"/>
        <v>0</v>
      </c>
      <c r="Z9516" t="str">
        <f t="shared" si="1575"/>
        <v/>
      </c>
      <c r="AA9516">
        <f t="shared" si="1565"/>
        <v>0</v>
      </c>
    </row>
    <row r="9517" spans="1:27" ht="21" customHeight="1" x14ac:dyDescent="0.95">
      <c r="A9517" s="56"/>
      <c r="B9517" s="57"/>
      <c r="C9517" s="57"/>
      <c r="D9517" s="57"/>
      <c r="E9517" s="56"/>
      <c r="F9517" s="57"/>
      <c r="G9517" s="57"/>
      <c r="H9517" s="56"/>
      <c r="I9517" s="56"/>
      <c r="J9517" s="58"/>
      <c r="K9517" s="58"/>
      <c r="L9517" s="13" t="str">
        <f t="shared" si="1566"/>
        <v/>
      </c>
      <c r="M9517" s="13" t="str">
        <f t="shared" si="1567"/>
        <v/>
      </c>
      <c r="Q9517" t="str">
        <f t="shared" si="1568"/>
        <v/>
      </c>
      <c r="R9517" t="str">
        <f t="shared" si="1569"/>
        <v/>
      </c>
      <c r="S9517" t="str">
        <f t="shared" si="1570"/>
        <v/>
      </c>
      <c r="T9517" t="str">
        <f t="shared" si="1571"/>
        <v/>
      </c>
      <c r="U9517" t="str">
        <f t="shared" si="1572"/>
        <v/>
      </c>
      <c r="V9517" t="str">
        <f t="shared" si="1573"/>
        <v/>
      </c>
      <c r="W9517" t="str">
        <f t="shared" si="1574"/>
        <v/>
      </c>
      <c r="X9517">
        <f t="shared" si="1564"/>
        <v>0</v>
      </c>
      <c r="Z9517" t="str">
        <f t="shared" si="1575"/>
        <v/>
      </c>
      <c r="AA9517">
        <f t="shared" si="1565"/>
        <v>0</v>
      </c>
    </row>
    <row r="9518" spans="1:27" ht="21" customHeight="1" x14ac:dyDescent="0.95">
      <c r="A9518" s="56"/>
      <c r="B9518" s="57"/>
      <c r="C9518" s="57"/>
      <c r="D9518" s="57"/>
      <c r="E9518" s="56"/>
      <c r="F9518" s="57"/>
      <c r="G9518" s="57"/>
      <c r="H9518" s="56"/>
      <c r="I9518" s="56"/>
      <c r="J9518" s="58"/>
      <c r="K9518" s="58"/>
      <c r="L9518" s="13" t="str">
        <f t="shared" si="1566"/>
        <v/>
      </c>
      <c r="M9518" s="13" t="str">
        <f t="shared" si="1567"/>
        <v/>
      </c>
      <c r="Q9518" t="str">
        <f t="shared" si="1568"/>
        <v/>
      </c>
      <c r="R9518" t="str">
        <f t="shared" si="1569"/>
        <v/>
      </c>
      <c r="S9518" t="str">
        <f t="shared" si="1570"/>
        <v/>
      </c>
      <c r="T9518" t="str">
        <f t="shared" si="1571"/>
        <v/>
      </c>
      <c r="U9518" t="str">
        <f t="shared" si="1572"/>
        <v/>
      </c>
      <c r="V9518" t="str">
        <f t="shared" si="1573"/>
        <v/>
      </c>
      <c r="W9518" t="str">
        <f t="shared" si="1574"/>
        <v/>
      </c>
      <c r="X9518">
        <f t="shared" si="1564"/>
        <v>0</v>
      </c>
      <c r="Z9518" t="str">
        <f t="shared" si="1575"/>
        <v/>
      </c>
      <c r="AA9518">
        <f t="shared" si="1565"/>
        <v>0</v>
      </c>
    </row>
    <row r="9519" spans="1:27" ht="21" customHeight="1" x14ac:dyDescent="0.95">
      <c r="A9519" s="56"/>
      <c r="B9519" s="57"/>
      <c r="C9519" s="57"/>
      <c r="D9519" s="57"/>
      <c r="E9519" s="56"/>
      <c r="F9519" s="57"/>
      <c r="G9519" s="57"/>
      <c r="H9519" s="56"/>
      <c r="I9519" s="56"/>
      <c r="J9519" s="58"/>
      <c r="K9519" s="58"/>
      <c r="L9519" s="13" t="str">
        <f t="shared" si="1566"/>
        <v/>
      </c>
      <c r="M9519" s="13" t="str">
        <f t="shared" si="1567"/>
        <v/>
      </c>
      <c r="Q9519" t="str">
        <f t="shared" si="1568"/>
        <v/>
      </c>
      <c r="R9519" t="str">
        <f t="shared" si="1569"/>
        <v/>
      </c>
      <c r="S9519" t="str">
        <f t="shared" si="1570"/>
        <v/>
      </c>
      <c r="T9519" t="str">
        <f t="shared" si="1571"/>
        <v/>
      </c>
      <c r="U9519" t="str">
        <f t="shared" si="1572"/>
        <v/>
      </c>
      <c r="V9519" t="str">
        <f t="shared" si="1573"/>
        <v/>
      </c>
      <c r="W9519" t="str">
        <f t="shared" si="1574"/>
        <v/>
      </c>
      <c r="X9519">
        <f t="shared" si="1564"/>
        <v>0</v>
      </c>
      <c r="Z9519" t="str">
        <f t="shared" si="1575"/>
        <v/>
      </c>
      <c r="AA9519">
        <f t="shared" si="1565"/>
        <v>0</v>
      </c>
    </row>
    <row r="9520" spans="1:27" ht="21" customHeight="1" x14ac:dyDescent="0.95">
      <c r="A9520" s="56"/>
      <c r="B9520" s="57"/>
      <c r="C9520" s="57"/>
      <c r="D9520" s="57"/>
      <c r="E9520" s="56"/>
      <c r="F9520" s="57"/>
      <c r="G9520" s="57"/>
      <c r="H9520" s="56"/>
      <c r="I9520" s="56"/>
      <c r="J9520" s="58"/>
      <c r="K9520" s="58"/>
      <c r="L9520" s="13" t="str">
        <f t="shared" si="1566"/>
        <v/>
      </c>
      <c r="M9520" s="13" t="str">
        <f t="shared" si="1567"/>
        <v/>
      </c>
      <c r="Q9520" t="str">
        <f t="shared" si="1568"/>
        <v/>
      </c>
      <c r="R9520" t="str">
        <f t="shared" si="1569"/>
        <v/>
      </c>
      <c r="S9520" t="str">
        <f t="shared" si="1570"/>
        <v/>
      </c>
      <c r="T9520" t="str">
        <f t="shared" si="1571"/>
        <v/>
      </c>
      <c r="U9520" t="str">
        <f t="shared" si="1572"/>
        <v/>
      </c>
      <c r="V9520" t="str">
        <f t="shared" si="1573"/>
        <v/>
      </c>
      <c r="W9520" t="str">
        <f t="shared" si="1574"/>
        <v/>
      </c>
      <c r="X9520">
        <f t="shared" si="1564"/>
        <v>0</v>
      </c>
      <c r="Z9520" t="str">
        <f t="shared" si="1575"/>
        <v/>
      </c>
      <c r="AA9520">
        <f t="shared" si="1565"/>
        <v>0</v>
      </c>
    </row>
    <row r="9521" spans="1:27" ht="21" customHeight="1" x14ac:dyDescent="0.95">
      <c r="A9521" s="56"/>
      <c r="B9521" s="57"/>
      <c r="C9521" s="57"/>
      <c r="D9521" s="57"/>
      <c r="E9521" s="56"/>
      <c r="F9521" s="57"/>
      <c r="G9521" s="57"/>
      <c r="H9521" s="56"/>
      <c r="I9521" s="56"/>
      <c r="J9521" s="58"/>
      <c r="K9521" s="58"/>
      <c r="L9521" s="13" t="str">
        <f t="shared" si="1566"/>
        <v/>
      </c>
      <c r="M9521" s="13" t="str">
        <f t="shared" si="1567"/>
        <v/>
      </c>
      <c r="Q9521" t="str">
        <f t="shared" si="1568"/>
        <v/>
      </c>
      <c r="R9521" t="str">
        <f t="shared" si="1569"/>
        <v/>
      </c>
      <c r="S9521" t="str">
        <f t="shared" si="1570"/>
        <v/>
      </c>
      <c r="T9521" t="str">
        <f t="shared" si="1571"/>
        <v/>
      </c>
      <c r="U9521" t="str">
        <f t="shared" si="1572"/>
        <v/>
      </c>
      <c r="V9521" t="str">
        <f t="shared" si="1573"/>
        <v/>
      </c>
      <c r="W9521" t="str">
        <f t="shared" si="1574"/>
        <v/>
      </c>
      <c r="X9521">
        <f t="shared" si="1564"/>
        <v>0</v>
      </c>
      <c r="Z9521" t="str">
        <f t="shared" si="1575"/>
        <v/>
      </c>
      <c r="AA9521">
        <f t="shared" si="1565"/>
        <v>0</v>
      </c>
    </row>
    <row r="9522" spans="1:27" ht="21" customHeight="1" x14ac:dyDescent="0.95">
      <c r="A9522" s="56"/>
      <c r="B9522" s="57"/>
      <c r="C9522" s="57"/>
      <c r="D9522" s="57"/>
      <c r="E9522" s="56"/>
      <c r="F9522" s="57"/>
      <c r="G9522" s="57"/>
      <c r="H9522" s="56"/>
      <c r="I9522" s="56"/>
      <c r="J9522" s="58"/>
      <c r="K9522" s="58"/>
      <c r="L9522" s="13" t="str">
        <f t="shared" si="1566"/>
        <v/>
      </c>
      <c r="M9522" s="13" t="str">
        <f t="shared" si="1567"/>
        <v/>
      </c>
      <c r="Q9522" t="str">
        <f t="shared" si="1568"/>
        <v/>
      </c>
      <c r="R9522" t="str">
        <f t="shared" si="1569"/>
        <v/>
      </c>
      <c r="S9522" t="str">
        <f t="shared" si="1570"/>
        <v/>
      </c>
      <c r="T9522" t="str">
        <f t="shared" si="1571"/>
        <v/>
      </c>
      <c r="U9522" t="str">
        <f t="shared" si="1572"/>
        <v/>
      </c>
      <c r="V9522" t="str">
        <f t="shared" si="1573"/>
        <v/>
      </c>
      <c r="W9522" t="str">
        <f t="shared" si="1574"/>
        <v/>
      </c>
      <c r="X9522">
        <f t="shared" si="1564"/>
        <v>0</v>
      </c>
      <c r="Z9522" t="str">
        <f t="shared" si="1575"/>
        <v/>
      </c>
      <c r="AA9522">
        <f t="shared" si="1565"/>
        <v>0</v>
      </c>
    </row>
    <row r="9523" spans="1:27" ht="21" customHeight="1" x14ac:dyDescent="0.95">
      <c r="A9523" s="56"/>
      <c r="B9523" s="57"/>
      <c r="C9523" s="57"/>
      <c r="D9523" s="57"/>
      <c r="E9523" s="56"/>
      <c r="F9523" s="57"/>
      <c r="G9523" s="57"/>
      <c r="H9523" s="56"/>
      <c r="I9523" s="56"/>
      <c r="J9523" s="58"/>
      <c r="K9523" s="58"/>
      <c r="L9523" s="13" t="str">
        <f t="shared" si="1566"/>
        <v/>
      </c>
      <c r="M9523" s="13" t="str">
        <f t="shared" si="1567"/>
        <v/>
      </c>
      <c r="Q9523" t="str">
        <f t="shared" si="1568"/>
        <v/>
      </c>
      <c r="R9523" t="str">
        <f t="shared" si="1569"/>
        <v/>
      </c>
      <c r="S9523" t="str">
        <f t="shared" si="1570"/>
        <v/>
      </c>
      <c r="T9523" t="str">
        <f t="shared" si="1571"/>
        <v/>
      </c>
      <c r="U9523" t="str">
        <f t="shared" si="1572"/>
        <v/>
      </c>
      <c r="V9523" t="str">
        <f t="shared" si="1573"/>
        <v/>
      </c>
      <c r="W9523" t="str">
        <f t="shared" si="1574"/>
        <v/>
      </c>
      <c r="X9523">
        <f t="shared" si="1564"/>
        <v>0</v>
      </c>
      <c r="Z9523" t="str">
        <f t="shared" si="1575"/>
        <v/>
      </c>
      <c r="AA9523">
        <f t="shared" si="1565"/>
        <v>0</v>
      </c>
    </row>
    <row r="9524" spans="1:27" ht="21" customHeight="1" x14ac:dyDescent="0.95">
      <c r="A9524" s="56"/>
      <c r="B9524" s="57"/>
      <c r="C9524" s="57"/>
      <c r="D9524" s="57"/>
      <c r="E9524" s="56"/>
      <c r="F9524" s="57"/>
      <c r="G9524" s="57"/>
      <c r="H9524" s="56"/>
      <c r="I9524" s="56"/>
      <c r="J9524" s="58"/>
      <c r="K9524" s="58"/>
      <c r="L9524" s="13" t="str">
        <f t="shared" si="1566"/>
        <v/>
      </c>
      <c r="M9524" s="13" t="str">
        <f t="shared" si="1567"/>
        <v/>
      </c>
      <c r="Q9524" t="str">
        <f t="shared" si="1568"/>
        <v/>
      </c>
      <c r="R9524" t="str">
        <f t="shared" si="1569"/>
        <v/>
      </c>
      <c r="S9524" t="str">
        <f t="shared" si="1570"/>
        <v/>
      </c>
      <c r="T9524" t="str">
        <f t="shared" si="1571"/>
        <v/>
      </c>
      <c r="U9524" t="str">
        <f t="shared" si="1572"/>
        <v/>
      </c>
      <c r="V9524" t="str">
        <f t="shared" si="1573"/>
        <v/>
      </c>
      <c r="W9524" t="str">
        <f t="shared" si="1574"/>
        <v/>
      </c>
      <c r="X9524">
        <f t="shared" si="1564"/>
        <v>0</v>
      </c>
      <c r="Z9524" t="str">
        <f t="shared" si="1575"/>
        <v/>
      </c>
      <c r="AA9524">
        <f t="shared" si="1565"/>
        <v>0</v>
      </c>
    </row>
    <row r="9525" spans="1:27" ht="21" customHeight="1" x14ac:dyDescent="0.95">
      <c r="A9525" s="56"/>
      <c r="B9525" s="57"/>
      <c r="C9525" s="57"/>
      <c r="D9525" s="57"/>
      <c r="E9525" s="56"/>
      <c r="F9525" s="57"/>
      <c r="G9525" s="57"/>
      <c r="H9525" s="56"/>
      <c r="I9525" s="56"/>
      <c r="J9525" s="58"/>
      <c r="K9525" s="58"/>
      <c r="L9525" s="13" t="str">
        <f t="shared" si="1566"/>
        <v/>
      </c>
      <c r="M9525" s="13" t="str">
        <f t="shared" si="1567"/>
        <v/>
      </c>
      <c r="Q9525" t="str">
        <f t="shared" si="1568"/>
        <v/>
      </c>
      <c r="R9525" t="str">
        <f t="shared" si="1569"/>
        <v/>
      </c>
      <c r="S9525" t="str">
        <f t="shared" si="1570"/>
        <v/>
      </c>
      <c r="T9525" t="str">
        <f t="shared" si="1571"/>
        <v/>
      </c>
      <c r="U9525" t="str">
        <f t="shared" si="1572"/>
        <v/>
      </c>
      <c r="V9525" t="str">
        <f t="shared" si="1573"/>
        <v/>
      </c>
      <c r="W9525" t="str">
        <f t="shared" si="1574"/>
        <v/>
      </c>
      <c r="X9525">
        <f t="shared" ref="X9525:X9588" si="1576">IF($T9525="",N($X9524),IF(MATCH($T9525,$T$6:$T$10005,0)=ROW()-5,N($X9524)+1,N($X9524)))</f>
        <v>0</v>
      </c>
      <c r="Z9525" t="str">
        <f t="shared" si="1575"/>
        <v/>
      </c>
      <c r="AA9525">
        <f t="shared" ref="AA9525:AA9588" si="1577">IF($V9525="",N($AA9524),IF(MATCH($V9525,$V$6:$V$10005,0)=ROW()-5,N($AA9524)+1,N($AA9524)))</f>
        <v>0</v>
      </c>
    </row>
    <row r="9526" spans="1:27" ht="21" customHeight="1" x14ac:dyDescent="0.95">
      <c r="A9526" s="56"/>
      <c r="B9526" s="57"/>
      <c r="C9526" s="57"/>
      <c r="D9526" s="57"/>
      <c r="E9526" s="56"/>
      <c r="F9526" s="57"/>
      <c r="G9526" s="57"/>
      <c r="H9526" s="56"/>
      <c r="I9526" s="56"/>
      <c r="J9526" s="58"/>
      <c r="K9526" s="58"/>
      <c r="L9526" s="13" t="str">
        <f t="shared" si="1566"/>
        <v/>
      </c>
      <c r="M9526" s="13" t="str">
        <f t="shared" si="1567"/>
        <v/>
      </c>
      <c r="Q9526" t="str">
        <f t="shared" si="1568"/>
        <v/>
      </c>
      <c r="R9526" t="str">
        <f t="shared" si="1569"/>
        <v/>
      </c>
      <c r="S9526" t="str">
        <f t="shared" si="1570"/>
        <v/>
      </c>
      <c r="T9526" t="str">
        <f t="shared" si="1571"/>
        <v/>
      </c>
      <c r="U9526" t="str">
        <f t="shared" si="1572"/>
        <v/>
      </c>
      <c r="V9526" t="str">
        <f t="shared" si="1573"/>
        <v/>
      </c>
      <c r="W9526" t="str">
        <f t="shared" si="1574"/>
        <v/>
      </c>
      <c r="X9526">
        <f t="shared" si="1576"/>
        <v>0</v>
      </c>
      <c r="Z9526" t="str">
        <f t="shared" si="1575"/>
        <v/>
      </c>
      <c r="AA9526">
        <f t="shared" si="1577"/>
        <v>0</v>
      </c>
    </row>
    <row r="9527" spans="1:27" ht="21" customHeight="1" x14ac:dyDescent="0.95">
      <c r="A9527" s="56"/>
      <c r="B9527" s="57"/>
      <c r="C9527" s="57"/>
      <c r="D9527" s="57"/>
      <c r="E9527" s="56"/>
      <c r="F9527" s="57"/>
      <c r="G9527" s="57"/>
      <c r="H9527" s="56"/>
      <c r="I9527" s="56"/>
      <c r="J9527" s="58"/>
      <c r="K9527" s="58"/>
      <c r="L9527" s="13" t="str">
        <f t="shared" si="1566"/>
        <v/>
      </c>
      <c r="M9527" s="13" t="str">
        <f t="shared" si="1567"/>
        <v/>
      </c>
      <c r="Q9527" t="str">
        <f t="shared" si="1568"/>
        <v/>
      </c>
      <c r="R9527" t="str">
        <f t="shared" si="1569"/>
        <v/>
      </c>
      <c r="S9527" t="str">
        <f t="shared" si="1570"/>
        <v/>
      </c>
      <c r="T9527" t="str">
        <f t="shared" si="1571"/>
        <v/>
      </c>
      <c r="U9527" t="str">
        <f t="shared" si="1572"/>
        <v/>
      </c>
      <c r="V9527" t="str">
        <f t="shared" si="1573"/>
        <v/>
      </c>
      <c r="W9527" t="str">
        <f t="shared" si="1574"/>
        <v/>
      </c>
      <c r="X9527">
        <f t="shared" si="1576"/>
        <v>0</v>
      </c>
      <c r="Z9527" t="str">
        <f t="shared" si="1575"/>
        <v/>
      </c>
      <c r="AA9527">
        <f t="shared" si="1577"/>
        <v>0</v>
      </c>
    </row>
    <row r="9528" spans="1:27" ht="21" customHeight="1" x14ac:dyDescent="0.95">
      <c r="A9528" s="56"/>
      <c r="B9528" s="57"/>
      <c r="C9528" s="57"/>
      <c r="D9528" s="57"/>
      <c r="E9528" s="56"/>
      <c r="F9528" s="57"/>
      <c r="G9528" s="57"/>
      <c r="H9528" s="56"/>
      <c r="I9528" s="56"/>
      <c r="J9528" s="58"/>
      <c r="K9528" s="58"/>
      <c r="L9528" s="13" t="str">
        <f t="shared" si="1566"/>
        <v/>
      </c>
      <c r="M9528" s="13" t="str">
        <f t="shared" si="1567"/>
        <v/>
      </c>
      <c r="Q9528" t="str">
        <f t="shared" si="1568"/>
        <v/>
      </c>
      <c r="R9528" t="str">
        <f t="shared" si="1569"/>
        <v/>
      </c>
      <c r="S9528" t="str">
        <f t="shared" si="1570"/>
        <v/>
      </c>
      <c r="T9528" t="str">
        <f t="shared" si="1571"/>
        <v/>
      </c>
      <c r="U9528" t="str">
        <f t="shared" si="1572"/>
        <v/>
      </c>
      <c r="V9528" t="str">
        <f t="shared" si="1573"/>
        <v/>
      </c>
      <c r="W9528" t="str">
        <f t="shared" si="1574"/>
        <v/>
      </c>
      <c r="X9528">
        <f t="shared" si="1576"/>
        <v>0</v>
      </c>
      <c r="Z9528" t="str">
        <f t="shared" si="1575"/>
        <v/>
      </c>
      <c r="AA9528">
        <f t="shared" si="1577"/>
        <v>0</v>
      </c>
    </row>
    <row r="9529" spans="1:27" ht="21" customHeight="1" x14ac:dyDescent="0.95">
      <c r="A9529" s="56"/>
      <c r="B9529" s="57"/>
      <c r="C9529" s="57"/>
      <c r="D9529" s="57"/>
      <c r="E9529" s="56"/>
      <c r="F9529" s="57"/>
      <c r="G9529" s="57"/>
      <c r="H9529" s="56"/>
      <c r="I9529" s="56"/>
      <c r="J9529" s="58"/>
      <c r="K9529" s="58"/>
      <c r="L9529" s="13" t="str">
        <f t="shared" si="1566"/>
        <v/>
      </c>
      <c r="M9529" s="13" t="str">
        <f t="shared" si="1567"/>
        <v/>
      </c>
      <c r="Q9529" t="str">
        <f t="shared" si="1568"/>
        <v/>
      </c>
      <c r="R9529" t="str">
        <f t="shared" si="1569"/>
        <v/>
      </c>
      <c r="S9529" t="str">
        <f t="shared" si="1570"/>
        <v/>
      </c>
      <c r="T9529" t="str">
        <f t="shared" si="1571"/>
        <v/>
      </c>
      <c r="U9529" t="str">
        <f t="shared" si="1572"/>
        <v/>
      </c>
      <c r="V9529" t="str">
        <f t="shared" si="1573"/>
        <v/>
      </c>
      <c r="W9529" t="str">
        <f t="shared" si="1574"/>
        <v/>
      </c>
      <c r="X9529">
        <f t="shared" si="1576"/>
        <v>0</v>
      </c>
      <c r="Z9529" t="str">
        <f t="shared" si="1575"/>
        <v/>
      </c>
      <c r="AA9529">
        <f t="shared" si="1577"/>
        <v>0</v>
      </c>
    </row>
    <row r="9530" spans="1:27" ht="21" customHeight="1" x14ac:dyDescent="0.95">
      <c r="A9530" s="56"/>
      <c r="B9530" s="57"/>
      <c r="C9530" s="57"/>
      <c r="D9530" s="57"/>
      <c r="E9530" s="56"/>
      <c r="F9530" s="57"/>
      <c r="G9530" s="57"/>
      <c r="H9530" s="56"/>
      <c r="I9530" s="56"/>
      <c r="J9530" s="58"/>
      <c r="K9530" s="58"/>
      <c r="L9530" s="13" t="str">
        <f t="shared" si="1566"/>
        <v/>
      </c>
      <c r="M9530" s="13" t="str">
        <f t="shared" si="1567"/>
        <v/>
      </c>
      <c r="Q9530" t="str">
        <f t="shared" si="1568"/>
        <v/>
      </c>
      <c r="R9530" t="str">
        <f t="shared" si="1569"/>
        <v/>
      </c>
      <c r="S9530" t="str">
        <f t="shared" si="1570"/>
        <v/>
      </c>
      <c r="T9530" t="str">
        <f t="shared" si="1571"/>
        <v/>
      </c>
      <c r="U9530" t="str">
        <f t="shared" si="1572"/>
        <v/>
      </c>
      <c r="V9530" t="str">
        <f t="shared" si="1573"/>
        <v/>
      </c>
      <c r="W9530" t="str">
        <f t="shared" si="1574"/>
        <v/>
      </c>
      <c r="X9530">
        <f t="shared" si="1576"/>
        <v>0</v>
      </c>
      <c r="Z9530" t="str">
        <f t="shared" si="1575"/>
        <v/>
      </c>
      <c r="AA9530">
        <f t="shared" si="1577"/>
        <v>0</v>
      </c>
    </row>
    <row r="9531" spans="1:27" ht="21" customHeight="1" x14ac:dyDescent="0.95">
      <c r="A9531" s="56"/>
      <c r="B9531" s="57"/>
      <c r="C9531" s="57"/>
      <c r="D9531" s="57"/>
      <c r="E9531" s="56"/>
      <c r="F9531" s="57"/>
      <c r="G9531" s="57"/>
      <c r="H9531" s="56"/>
      <c r="I9531" s="56"/>
      <c r="J9531" s="58"/>
      <c r="K9531" s="58"/>
      <c r="L9531" s="13" t="str">
        <f t="shared" si="1566"/>
        <v/>
      </c>
      <c r="M9531" s="13" t="str">
        <f t="shared" si="1567"/>
        <v/>
      </c>
      <c r="Q9531" t="str">
        <f t="shared" si="1568"/>
        <v/>
      </c>
      <c r="R9531" t="str">
        <f t="shared" si="1569"/>
        <v/>
      </c>
      <c r="S9531" t="str">
        <f t="shared" si="1570"/>
        <v/>
      </c>
      <c r="T9531" t="str">
        <f t="shared" si="1571"/>
        <v/>
      </c>
      <c r="U9531" t="str">
        <f t="shared" si="1572"/>
        <v/>
      </c>
      <c r="V9531" t="str">
        <f t="shared" si="1573"/>
        <v/>
      </c>
      <c r="W9531" t="str">
        <f t="shared" si="1574"/>
        <v/>
      </c>
      <c r="X9531">
        <f t="shared" si="1576"/>
        <v>0</v>
      </c>
      <c r="Z9531" t="str">
        <f t="shared" si="1575"/>
        <v/>
      </c>
      <c r="AA9531">
        <f t="shared" si="1577"/>
        <v>0</v>
      </c>
    </row>
    <row r="9532" spans="1:27" ht="21" customHeight="1" x14ac:dyDescent="0.95">
      <c r="A9532" s="56"/>
      <c r="B9532" s="57"/>
      <c r="C9532" s="57"/>
      <c r="D9532" s="57"/>
      <c r="E9532" s="56"/>
      <c r="F9532" s="57"/>
      <c r="G9532" s="57"/>
      <c r="H9532" s="56"/>
      <c r="I9532" s="56"/>
      <c r="J9532" s="58"/>
      <c r="K9532" s="58"/>
      <c r="L9532" s="13" t="str">
        <f t="shared" si="1566"/>
        <v/>
      </c>
      <c r="M9532" s="13" t="str">
        <f t="shared" si="1567"/>
        <v/>
      </c>
      <c r="Q9532" t="str">
        <f t="shared" si="1568"/>
        <v/>
      </c>
      <c r="R9532" t="str">
        <f t="shared" si="1569"/>
        <v/>
      </c>
      <c r="S9532" t="str">
        <f t="shared" si="1570"/>
        <v/>
      </c>
      <c r="T9532" t="str">
        <f t="shared" si="1571"/>
        <v/>
      </c>
      <c r="U9532" t="str">
        <f t="shared" si="1572"/>
        <v/>
      </c>
      <c r="V9532" t="str">
        <f t="shared" si="1573"/>
        <v/>
      </c>
      <c r="W9532" t="str">
        <f t="shared" si="1574"/>
        <v/>
      </c>
      <c r="X9532">
        <f t="shared" si="1576"/>
        <v>0</v>
      </c>
      <c r="Z9532" t="str">
        <f t="shared" si="1575"/>
        <v/>
      </c>
      <c r="AA9532">
        <f t="shared" si="1577"/>
        <v>0</v>
      </c>
    </row>
    <row r="9533" spans="1:27" ht="21" customHeight="1" x14ac:dyDescent="0.95">
      <c r="A9533" s="56"/>
      <c r="B9533" s="57"/>
      <c r="C9533" s="57"/>
      <c r="D9533" s="57"/>
      <c r="E9533" s="56"/>
      <c r="F9533" s="57"/>
      <c r="G9533" s="57"/>
      <c r="H9533" s="56"/>
      <c r="I9533" s="56"/>
      <c r="J9533" s="58"/>
      <c r="K9533" s="58"/>
      <c r="L9533" s="13" t="str">
        <f t="shared" si="1566"/>
        <v/>
      </c>
      <c r="M9533" s="13" t="str">
        <f t="shared" si="1567"/>
        <v/>
      </c>
      <c r="Q9533" t="str">
        <f t="shared" si="1568"/>
        <v/>
      </c>
      <c r="R9533" t="str">
        <f t="shared" si="1569"/>
        <v/>
      </c>
      <c r="S9533" t="str">
        <f t="shared" si="1570"/>
        <v/>
      </c>
      <c r="T9533" t="str">
        <f t="shared" si="1571"/>
        <v/>
      </c>
      <c r="U9533" t="str">
        <f t="shared" si="1572"/>
        <v/>
      </c>
      <c r="V9533" t="str">
        <f t="shared" si="1573"/>
        <v/>
      </c>
      <c r="W9533" t="str">
        <f t="shared" si="1574"/>
        <v/>
      </c>
      <c r="X9533">
        <f t="shared" si="1576"/>
        <v>0</v>
      </c>
      <c r="Z9533" t="str">
        <f t="shared" si="1575"/>
        <v/>
      </c>
      <c r="AA9533">
        <f t="shared" si="1577"/>
        <v>0</v>
      </c>
    </row>
    <row r="9534" spans="1:27" ht="21" customHeight="1" x14ac:dyDescent="0.95">
      <c r="A9534" s="56"/>
      <c r="B9534" s="57"/>
      <c r="C9534" s="57"/>
      <c r="D9534" s="57"/>
      <c r="E9534" s="56"/>
      <c r="F9534" s="57"/>
      <c r="G9534" s="57"/>
      <c r="H9534" s="56"/>
      <c r="I9534" s="56"/>
      <c r="J9534" s="58"/>
      <c r="K9534" s="58"/>
      <c r="L9534" s="13" t="str">
        <f t="shared" si="1566"/>
        <v/>
      </c>
      <c r="M9534" s="13" t="str">
        <f t="shared" si="1567"/>
        <v/>
      </c>
      <c r="Q9534" t="str">
        <f t="shared" si="1568"/>
        <v/>
      </c>
      <c r="R9534" t="str">
        <f t="shared" si="1569"/>
        <v/>
      </c>
      <c r="S9534" t="str">
        <f t="shared" si="1570"/>
        <v/>
      </c>
      <c r="T9534" t="str">
        <f t="shared" si="1571"/>
        <v/>
      </c>
      <c r="U9534" t="str">
        <f t="shared" si="1572"/>
        <v/>
      </c>
      <c r="V9534" t="str">
        <f t="shared" si="1573"/>
        <v/>
      </c>
      <c r="W9534" t="str">
        <f t="shared" si="1574"/>
        <v/>
      </c>
      <c r="X9534">
        <f t="shared" si="1576"/>
        <v>0</v>
      </c>
      <c r="Z9534" t="str">
        <f t="shared" si="1575"/>
        <v/>
      </c>
      <c r="AA9534">
        <f t="shared" si="1577"/>
        <v>0</v>
      </c>
    </row>
    <row r="9535" spans="1:27" ht="21" customHeight="1" x14ac:dyDescent="0.95">
      <c r="A9535" s="56"/>
      <c r="B9535" s="57"/>
      <c r="C9535" s="57"/>
      <c r="D9535" s="57"/>
      <c r="E9535" s="56"/>
      <c r="F9535" s="57"/>
      <c r="G9535" s="57"/>
      <c r="H9535" s="56"/>
      <c r="I9535" s="56"/>
      <c r="J9535" s="58"/>
      <c r="K9535" s="58"/>
      <c r="L9535" s="13" t="str">
        <f t="shared" si="1566"/>
        <v/>
      </c>
      <c r="M9535" s="13" t="str">
        <f t="shared" si="1567"/>
        <v/>
      </c>
      <c r="Q9535" t="str">
        <f t="shared" si="1568"/>
        <v/>
      </c>
      <c r="R9535" t="str">
        <f t="shared" si="1569"/>
        <v/>
      </c>
      <c r="S9535" t="str">
        <f t="shared" si="1570"/>
        <v/>
      </c>
      <c r="T9535" t="str">
        <f t="shared" si="1571"/>
        <v/>
      </c>
      <c r="U9535" t="str">
        <f t="shared" si="1572"/>
        <v/>
      </c>
      <c r="V9535" t="str">
        <f t="shared" si="1573"/>
        <v/>
      </c>
      <c r="W9535" t="str">
        <f t="shared" si="1574"/>
        <v/>
      </c>
      <c r="X9535">
        <f t="shared" si="1576"/>
        <v>0</v>
      </c>
      <c r="Z9535" t="str">
        <f t="shared" si="1575"/>
        <v/>
      </c>
      <c r="AA9535">
        <f t="shared" si="1577"/>
        <v>0</v>
      </c>
    </row>
    <row r="9536" spans="1:27" ht="21" customHeight="1" x14ac:dyDescent="0.95">
      <c r="A9536" s="56"/>
      <c r="B9536" s="57"/>
      <c r="C9536" s="57"/>
      <c r="D9536" s="57"/>
      <c r="E9536" s="56"/>
      <c r="F9536" s="57"/>
      <c r="G9536" s="57"/>
      <c r="H9536" s="56"/>
      <c r="I9536" s="56"/>
      <c r="J9536" s="58"/>
      <c r="K9536" s="58"/>
      <c r="L9536" s="13" t="str">
        <f t="shared" si="1566"/>
        <v/>
      </c>
      <c r="M9536" s="13" t="str">
        <f t="shared" si="1567"/>
        <v/>
      </c>
      <c r="Q9536" t="str">
        <f t="shared" si="1568"/>
        <v/>
      </c>
      <c r="R9536" t="str">
        <f t="shared" si="1569"/>
        <v/>
      </c>
      <c r="S9536" t="str">
        <f t="shared" si="1570"/>
        <v/>
      </c>
      <c r="T9536" t="str">
        <f t="shared" si="1571"/>
        <v/>
      </c>
      <c r="U9536" t="str">
        <f t="shared" si="1572"/>
        <v/>
      </c>
      <c r="V9536" t="str">
        <f t="shared" si="1573"/>
        <v/>
      </c>
      <c r="W9536" t="str">
        <f t="shared" si="1574"/>
        <v/>
      </c>
      <c r="X9536">
        <f t="shared" si="1576"/>
        <v>0</v>
      </c>
      <c r="Z9536" t="str">
        <f t="shared" si="1575"/>
        <v/>
      </c>
      <c r="AA9536">
        <f t="shared" si="1577"/>
        <v>0</v>
      </c>
    </row>
    <row r="9537" spans="1:27" ht="21" customHeight="1" x14ac:dyDescent="0.95">
      <c r="A9537" s="56"/>
      <c r="B9537" s="57"/>
      <c r="C9537" s="57"/>
      <c r="D9537" s="57"/>
      <c r="E9537" s="56"/>
      <c r="F9537" s="57"/>
      <c r="G9537" s="57"/>
      <c r="H9537" s="56"/>
      <c r="I9537" s="56"/>
      <c r="J9537" s="58"/>
      <c r="K9537" s="58"/>
      <c r="L9537" s="13" t="str">
        <f t="shared" si="1566"/>
        <v/>
      </c>
      <c r="M9537" s="13" t="str">
        <f t="shared" si="1567"/>
        <v/>
      </c>
      <c r="Q9537" t="str">
        <f t="shared" si="1568"/>
        <v/>
      </c>
      <c r="R9537" t="str">
        <f t="shared" si="1569"/>
        <v/>
      </c>
      <c r="S9537" t="str">
        <f t="shared" si="1570"/>
        <v/>
      </c>
      <c r="T9537" t="str">
        <f t="shared" si="1571"/>
        <v/>
      </c>
      <c r="U9537" t="str">
        <f t="shared" si="1572"/>
        <v/>
      </c>
      <c r="V9537" t="str">
        <f t="shared" si="1573"/>
        <v/>
      </c>
      <c r="W9537" t="str">
        <f t="shared" si="1574"/>
        <v/>
      </c>
      <c r="X9537">
        <f t="shared" si="1576"/>
        <v>0</v>
      </c>
      <c r="Z9537" t="str">
        <f t="shared" si="1575"/>
        <v/>
      </c>
      <c r="AA9537">
        <f t="shared" si="1577"/>
        <v>0</v>
      </c>
    </row>
    <row r="9538" spans="1:27" ht="21" customHeight="1" x14ac:dyDescent="0.95">
      <c r="A9538" s="56"/>
      <c r="B9538" s="57"/>
      <c r="C9538" s="57"/>
      <c r="D9538" s="57"/>
      <c r="E9538" s="56"/>
      <c r="F9538" s="57"/>
      <c r="G9538" s="57"/>
      <c r="H9538" s="56"/>
      <c r="I9538" s="56"/>
      <c r="J9538" s="58"/>
      <c r="K9538" s="58"/>
      <c r="L9538" s="13" t="str">
        <f t="shared" si="1566"/>
        <v/>
      </c>
      <c r="M9538" s="13" t="str">
        <f t="shared" si="1567"/>
        <v/>
      </c>
      <c r="Q9538" t="str">
        <f t="shared" si="1568"/>
        <v/>
      </c>
      <c r="R9538" t="str">
        <f t="shared" si="1569"/>
        <v/>
      </c>
      <c r="S9538" t="str">
        <f t="shared" si="1570"/>
        <v/>
      </c>
      <c r="T9538" t="str">
        <f t="shared" si="1571"/>
        <v/>
      </c>
      <c r="U9538" t="str">
        <f t="shared" si="1572"/>
        <v/>
      </c>
      <c r="V9538" t="str">
        <f t="shared" si="1573"/>
        <v/>
      </c>
      <c r="W9538" t="str">
        <f t="shared" si="1574"/>
        <v/>
      </c>
      <c r="X9538">
        <f t="shared" si="1576"/>
        <v>0</v>
      </c>
      <c r="Z9538" t="str">
        <f t="shared" si="1575"/>
        <v/>
      </c>
      <c r="AA9538">
        <f t="shared" si="1577"/>
        <v>0</v>
      </c>
    </row>
    <row r="9539" spans="1:27" ht="21" customHeight="1" x14ac:dyDescent="0.95">
      <c r="A9539" s="56"/>
      <c r="B9539" s="57"/>
      <c r="C9539" s="57"/>
      <c r="D9539" s="57"/>
      <c r="E9539" s="56"/>
      <c r="F9539" s="57"/>
      <c r="G9539" s="57"/>
      <c r="H9539" s="56"/>
      <c r="I9539" s="56"/>
      <c r="J9539" s="58"/>
      <c r="K9539" s="58"/>
      <c r="L9539" s="13" t="str">
        <f t="shared" si="1566"/>
        <v/>
      </c>
      <c r="M9539" s="13" t="str">
        <f t="shared" si="1567"/>
        <v/>
      </c>
      <c r="Q9539" t="str">
        <f t="shared" si="1568"/>
        <v/>
      </c>
      <c r="R9539" t="str">
        <f t="shared" si="1569"/>
        <v/>
      </c>
      <c r="S9539" t="str">
        <f t="shared" si="1570"/>
        <v/>
      </c>
      <c r="T9539" t="str">
        <f t="shared" si="1571"/>
        <v/>
      </c>
      <c r="U9539" t="str">
        <f t="shared" si="1572"/>
        <v/>
      </c>
      <c r="V9539" t="str">
        <f t="shared" si="1573"/>
        <v/>
      </c>
      <c r="W9539" t="str">
        <f t="shared" si="1574"/>
        <v/>
      </c>
      <c r="X9539">
        <f t="shared" si="1576"/>
        <v>0</v>
      </c>
      <c r="Z9539" t="str">
        <f t="shared" si="1575"/>
        <v/>
      </c>
      <c r="AA9539">
        <f t="shared" si="1577"/>
        <v>0</v>
      </c>
    </row>
    <row r="9540" spans="1:27" ht="21" customHeight="1" x14ac:dyDescent="0.95">
      <c r="A9540" s="56"/>
      <c r="B9540" s="57"/>
      <c r="C9540" s="57"/>
      <c r="D9540" s="57"/>
      <c r="E9540" s="56"/>
      <c r="F9540" s="57"/>
      <c r="G9540" s="57"/>
      <c r="H9540" s="56"/>
      <c r="I9540" s="56"/>
      <c r="J9540" s="58"/>
      <c r="K9540" s="58"/>
      <c r="L9540" s="13" t="str">
        <f t="shared" ref="L9540:L9603" si="1578">IF(OR($A9540="",AND($J9540="",$K9540="")),"",ROUND(N($J9540)-N($K9540),2))</f>
        <v/>
      </c>
      <c r="M9540" s="13" t="str">
        <f t="shared" ref="M9540:M9603" si="1579">IF(OR($A9540="",AND($J9540="",$K9540="")),"",MIN($J9540,$K9540))</f>
        <v/>
      </c>
      <c r="Q9540" t="str">
        <f t="shared" ref="Q9540:Q9603" si="1580">IF($A9540="","",$D9540&amp;"("&amp;SUBSTITUTE($E9540," ","")&amp;")")</f>
        <v/>
      </c>
      <c r="R9540" t="str">
        <f t="shared" ref="R9540:R9603" si="1581">IF($A9540="","",$B9540&amp;" - "&amp;$C9540)</f>
        <v/>
      </c>
      <c r="S9540" t="str">
        <f t="shared" ref="S9540:S9603" si="1582">IF($A9540="","",$R9540&amp;"|"&amp;$Q9540)</f>
        <v/>
      </c>
      <c r="T9540" t="str">
        <f t="shared" ref="T9540:T9603" si="1583">IF($A9540="","",$S9540&amp;"|"&amp;$F9540)</f>
        <v/>
      </c>
      <c r="U9540" t="str">
        <f t="shared" ref="U9540:U9603" si="1584">IF($A9540="","",$R9540&amp;"("&amp;$E9540&amp;")")</f>
        <v/>
      </c>
      <c r="V9540" t="str">
        <f t="shared" ref="V9540:V9603" si="1585">IF($A9540="","",$F9540&amp;"|"&amp;$U9540&amp;"|"&amp;$D9540)</f>
        <v/>
      </c>
      <c r="W9540" t="str">
        <f t="shared" si="1574"/>
        <v/>
      </c>
      <c r="X9540">
        <f t="shared" si="1576"/>
        <v>0</v>
      </c>
      <c r="Z9540" t="str">
        <f t="shared" si="1575"/>
        <v/>
      </c>
      <c r="AA9540">
        <f t="shared" si="1577"/>
        <v>0</v>
      </c>
    </row>
    <row r="9541" spans="1:27" ht="21" customHeight="1" x14ac:dyDescent="0.95">
      <c r="A9541" s="56"/>
      <c r="B9541" s="57"/>
      <c r="C9541" s="57"/>
      <c r="D9541" s="57"/>
      <c r="E9541" s="56"/>
      <c r="F9541" s="57"/>
      <c r="G9541" s="57"/>
      <c r="H9541" s="56"/>
      <c r="I9541" s="56"/>
      <c r="J9541" s="58"/>
      <c r="K9541" s="58"/>
      <c r="L9541" s="13" t="str">
        <f t="shared" si="1578"/>
        <v/>
      </c>
      <c r="M9541" s="13" t="str">
        <f t="shared" si="1579"/>
        <v/>
      </c>
      <c r="Q9541" t="str">
        <f t="shared" si="1580"/>
        <v/>
      </c>
      <c r="R9541" t="str">
        <f t="shared" si="1581"/>
        <v/>
      </c>
      <c r="S9541" t="str">
        <f t="shared" si="1582"/>
        <v/>
      </c>
      <c r="T9541" t="str">
        <f t="shared" si="1583"/>
        <v/>
      </c>
      <c r="U9541" t="str">
        <f t="shared" si="1584"/>
        <v/>
      </c>
      <c r="V9541" t="str">
        <f t="shared" si="1585"/>
        <v/>
      </c>
      <c r="W9541" t="str">
        <f t="shared" si="1574"/>
        <v/>
      </c>
      <c r="X9541">
        <f t="shared" si="1576"/>
        <v>0</v>
      </c>
      <c r="Z9541" t="str">
        <f t="shared" si="1575"/>
        <v/>
      </c>
      <c r="AA9541">
        <f t="shared" si="1577"/>
        <v>0</v>
      </c>
    </row>
    <row r="9542" spans="1:27" ht="21" customHeight="1" x14ac:dyDescent="0.95">
      <c r="A9542" s="56"/>
      <c r="B9542" s="57"/>
      <c r="C9542" s="57"/>
      <c r="D9542" s="57"/>
      <c r="E9542" s="56"/>
      <c r="F9542" s="57"/>
      <c r="G9542" s="57"/>
      <c r="H9542" s="56"/>
      <c r="I9542" s="56"/>
      <c r="J9542" s="58"/>
      <c r="K9542" s="58"/>
      <c r="L9542" s="13" t="str">
        <f t="shared" si="1578"/>
        <v/>
      </c>
      <c r="M9542" s="13" t="str">
        <f t="shared" si="1579"/>
        <v/>
      </c>
      <c r="Q9542" t="str">
        <f t="shared" si="1580"/>
        <v/>
      </c>
      <c r="R9542" t="str">
        <f t="shared" si="1581"/>
        <v/>
      </c>
      <c r="S9542" t="str">
        <f t="shared" si="1582"/>
        <v/>
      </c>
      <c r="T9542" t="str">
        <f t="shared" si="1583"/>
        <v/>
      </c>
      <c r="U9542" t="str">
        <f t="shared" si="1584"/>
        <v/>
      </c>
      <c r="V9542" t="str">
        <f t="shared" si="1585"/>
        <v/>
      </c>
      <c r="W9542" t="str">
        <f t="shared" ref="W9542:W9605" si="1586">IF($T9542="","",IF($X9542&gt;N($X9541),$X9542,""))</f>
        <v/>
      </c>
      <c r="X9542">
        <f t="shared" si="1576"/>
        <v>0</v>
      </c>
      <c r="Z9542" t="str">
        <f t="shared" ref="Z9542:Z9605" si="1587">IF($V9542="","",IF($AA9542&gt;N($AA9541),$AA9542,""))</f>
        <v/>
      </c>
      <c r="AA9542">
        <f t="shared" si="1577"/>
        <v>0</v>
      </c>
    </row>
    <row r="9543" spans="1:27" ht="21" customHeight="1" x14ac:dyDescent="0.95">
      <c r="A9543" s="56"/>
      <c r="B9543" s="57"/>
      <c r="C9543" s="57"/>
      <c r="D9543" s="57"/>
      <c r="E9543" s="56"/>
      <c r="F9543" s="57"/>
      <c r="G9543" s="57"/>
      <c r="H9543" s="56"/>
      <c r="I9543" s="56"/>
      <c r="J9543" s="58"/>
      <c r="K9543" s="58"/>
      <c r="L9543" s="13" t="str">
        <f t="shared" si="1578"/>
        <v/>
      </c>
      <c r="M9543" s="13" t="str">
        <f t="shared" si="1579"/>
        <v/>
      </c>
      <c r="Q9543" t="str">
        <f t="shared" si="1580"/>
        <v/>
      </c>
      <c r="R9543" t="str">
        <f t="shared" si="1581"/>
        <v/>
      </c>
      <c r="S9543" t="str">
        <f t="shared" si="1582"/>
        <v/>
      </c>
      <c r="T9543" t="str">
        <f t="shared" si="1583"/>
        <v/>
      </c>
      <c r="U9543" t="str">
        <f t="shared" si="1584"/>
        <v/>
      </c>
      <c r="V9543" t="str">
        <f t="shared" si="1585"/>
        <v/>
      </c>
      <c r="W9543" t="str">
        <f t="shared" si="1586"/>
        <v/>
      </c>
      <c r="X9543">
        <f t="shared" si="1576"/>
        <v>0</v>
      </c>
      <c r="Z9543" t="str">
        <f t="shared" si="1587"/>
        <v/>
      </c>
      <c r="AA9543">
        <f t="shared" si="1577"/>
        <v>0</v>
      </c>
    </row>
    <row r="9544" spans="1:27" ht="21" customHeight="1" x14ac:dyDescent="0.95">
      <c r="A9544" s="56"/>
      <c r="B9544" s="57"/>
      <c r="C9544" s="57"/>
      <c r="D9544" s="57"/>
      <c r="E9544" s="56"/>
      <c r="F9544" s="57"/>
      <c r="G9544" s="57"/>
      <c r="H9544" s="56"/>
      <c r="I9544" s="56"/>
      <c r="J9544" s="58"/>
      <c r="K9544" s="58"/>
      <c r="L9544" s="13" t="str">
        <f t="shared" si="1578"/>
        <v/>
      </c>
      <c r="M9544" s="13" t="str">
        <f t="shared" si="1579"/>
        <v/>
      </c>
      <c r="Q9544" t="str">
        <f t="shared" si="1580"/>
        <v/>
      </c>
      <c r="R9544" t="str">
        <f t="shared" si="1581"/>
        <v/>
      </c>
      <c r="S9544" t="str">
        <f t="shared" si="1582"/>
        <v/>
      </c>
      <c r="T9544" t="str">
        <f t="shared" si="1583"/>
        <v/>
      </c>
      <c r="U9544" t="str">
        <f t="shared" si="1584"/>
        <v/>
      </c>
      <c r="V9544" t="str">
        <f t="shared" si="1585"/>
        <v/>
      </c>
      <c r="W9544" t="str">
        <f t="shared" si="1586"/>
        <v/>
      </c>
      <c r="X9544">
        <f t="shared" si="1576"/>
        <v>0</v>
      </c>
      <c r="Z9544" t="str">
        <f t="shared" si="1587"/>
        <v/>
      </c>
      <c r="AA9544">
        <f t="shared" si="1577"/>
        <v>0</v>
      </c>
    </row>
    <row r="9545" spans="1:27" ht="21" customHeight="1" x14ac:dyDescent="0.95">
      <c r="A9545" s="56"/>
      <c r="B9545" s="57"/>
      <c r="C9545" s="57"/>
      <c r="D9545" s="57"/>
      <c r="E9545" s="56"/>
      <c r="F9545" s="57"/>
      <c r="G9545" s="57"/>
      <c r="H9545" s="56"/>
      <c r="I9545" s="56"/>
      <c r="J9545" s="58"/>
      <c r="K9545" s="58"/>
      <c r="L9545" s="13" t="str">
        <f t="shared" si="1578"/>
        <v/>
      </c>
      <c r="M9545" s="13" t="str">
        <f t="shared" si="1579"/>
        <v/>
      </c>
      <c r="Q9545" t="str">
        <f t="shared" si="1580"/>
        <v/>
      </c>
      <c r="R9545" t="str">
        <f t="shared" si="1581"/>
        <v/>
      </c>
      <c r="S9545" t="str">
        <f t="shared" si="1582"/>
        <v/>
      </c>
      <c r="T9545" t="str">
        <f t="shared" si="1583"/>
        <v/>
      </c>
      <c r="U9545" t="str">
        <f t="shared" si="1584"/>
        <v/>
      </c>
      <c r="V9545" t="str">
        <f t="shared" si="1585"/>
        <v/>
      </c>
      <c r="W9545" t="str">
        <f t="shared" si="1586"/>
        <v/>
      </c>
      <c r="X9545">
        <f t="shared" si="1576"/>
        <v>0</v>
      </c>
      <c r="Z9545" t="str">
        <f t="shared" si="1587"/>
        <v/>
      </c>
      <c r="AA9545">
        <f t="shared" si="1577"/>
        <v>0</v>
      </c>
    </row>
    <row r="9546" spans="1:27" ht="21" customHeight="1" x14ac:dyDescent="0.95">
      <c r="A9546" s="56"/>
      <c r="B9546" s="57"/>
      <c r="C9546" s="57"/>
      <c r="D9546" s="57"/>
      <c r="E9546" s="56"/>
      <c r="F9546" s="57"/>
      <c r="G9546" s="57"/>
      <c r="H9546" s="56"/>
      <c r="I9546" s="56"/>
      <c r="J9546" s="58"/>
      <c r="K9546" s="58"/>
      <c r="L9546" s="13" t="str">
        <f t="shared" si="1578"/>
        <v/>
      </c>
      <c r="M9546" s="13" t="str">
        <f t="shared" si="1579"/>
        <v/>
      </c>
      <c r="Q9546" t="str">
        <f t="shared" si="1580"/>
        <v/>
      </c>
      <c r="R9546" t="str">
        <f t="shared" si="1581"/>
        <v/>
      </c>
      <c r="S9546" t="str">
        <f t="shared" si="1582"/>
        <v/>
      </c>
      <c r="T9546" t="str">
        <f t="shared" si="1583"/>
        <v/>
      </c>
      <c r="U9546" t="str">
        <f t="shared" si="1584"/>
        <v/>
      </c>
      <c r="V9546" t="str">
        <f t="shared" si="1585"/>
        <v/>
      </c>
      <c r="W9546" t="str">
        <f t="shared" si="1586"/>
        <v/>
      </c>
      <c r="X9546">
        <f t="shared" si="1576"/>
        <v>0</v>
      </c>
      <c r="Z9546" t="str">
        <f t="shared" si="1587"/>
        <v/>
      </c>
      <c r="AA9546">
        <f t="shared" si="1577"/>
        <v>0</v>
      </c>
    </row>
    <row r="9547" spans="1:27" ht="21" customHeight="1" x14ac:dyDescent="0.95">
      <c r="A9547" s="56"/>
      <c r="B9547" s="57"/>
      <c r="C9547" s="57"/>
      <c r="D9547" s="57"/>
      <c r="E9547" s="56"/>
      <c r="F9547" s="57"/>
      <c r="G9547" s="57"/>
      <c r="H9547" s="56"/>
      <c r="I9547" s="56"/>
      <c r="J9547" s="58"/>
      <c r="K9547" s="58"/>
      <c r="L9547" s="13" t="str">
        <f t="shared" si="1578"/>
        <v/>
      </c>
      <c r="M9547" s="13" t="str">
        <f t="shared" si="1579"/>
        <v/>
      </c>
      <c r="Q9547" t="str">
        <f t="shared" si="1580"/>
        <v/>
      </c>
      <c r="R9547" t="str">
        <f t="shared" si="1581"/>
        <v/>
      </c>
      <c r="S9547" t="str">
        <f t="shared" si="1582"/>
        <v/>
      </c>
      <c r="T9547" t="str">
        <f t="shared" si="1583"/>
        <v/>
      </c>
      <c r="U9547" t="str">
        <f t="shared" si="1584"/>
        <v/>
      </c>
      <c r="V9547" t="str">
        <f t="shared" si="1585"/>
        <v/>
      </c>
      <c r="W9547" t="str">
        <f t="shared" si="1586"/>
        <v/>
      </c>
      <c r="X9547">
        <f t="shared" si="1576"/>
        <v>0</v>
      </c>
      <c r="Z9547" t="str">
        <f t="shared" si="1587"/>
        <v/>
      </c>
      <c r="AA9547">
        <f t="shared" si="1577"/>
        <v>0</v>
      </c>
    </row>
    <row r="9548" spans="1:27" ht="21" customHeight="1" x14ac:dyDescent="0.95">
      <c r="A9548" s="56"/>
      <c r="B9548" s="57"/>
      <c r="C9548" s="57"/>
      <c r="D9548" s="57"/>
      <c r="E9548" s="56"/>
      <c r="F9548" s="57"/>
      <c r="G9548" s="57"/>
      <c r="H9548" s="56"/>
      <c r="I9548" s="56"/>
      <c r="J9548" s="58"/>
      <c r="K9548" s="58"/>
      <c r="L9548" s="13" t="str">
        <f t="shared" si="1578"/>
        <v/>
      </c>
      <c r="M9548" s="13" t="str">
        <f t="shared" si="1579"/>
        <v/>
      </c>
      <c r="Q9548" t="str">
        <f t="shared" si="1580"/>
        <v/>
      </c>
      <c r="R9548" t="str">
        <f t="shared" si="1581"/>
        <v/>
      </c>
      <c r="S9548" t="str">
        <f t="shared" si="1582"/>
        <v/>
      </c>
      <c r="T9548" t="str">
        <f t="shared" si="1583"/>
        <v/>
      </c>
      <c r="U9548" t="str">
        <f t="shared" si="1584"/>
        <v/>
      </c>
      <c r="V9548" t="str">
        <f t="shared" si="1585"/>
        <v/>
      </c>
      <c r="W9548" t="str">
        <f t="shared" si="1586"/>
        <v/>
      </c>
      <c r="X9548">
        <f t="shared" si="1576"/>
        <v>0</v>
      </c>
      <c r="Z9548" t="str">
        <f t="shared" si="1587"/>
        <v/>
      </c>
      <c r="AA9548">
        <f t="shared" si="1577"/>
        <v>0</v>
      </c>
    </row>
    <row r="9549" spans="1:27" ht="21" customHeight="1" x14ac:dyDescent="0.95">
      <c r="A9549" s="56"/>
      <c r="B9549" s="57"/>
      <c r="C9549" s="57"/>
      <c r="D9549" s="57"/>
      <c r="E9549" s="56"/>
      <c r="F9549" s="57"/>
      <c r="G9549" s="57"/>
      <c r="H9549" s="56"/>
      <c r="I9549" s="56"/>
      <c r="J9549" s="58"/>
      <c r="K9549" s="58"/>
      <c r="L9549" s="13" t="str">
        <f t="shared" si="1578"/>
        <v/>
      </c>
      <c r="M9549" s="13" t="str">
        <f t="shared" si="1579"/>
        <v/>
      </c>
      <c r="Q9549" t="str">
        <f t="shared" si="1580"/>
        <v/>
      </c>
      <c r="R9549" t="str">
        <f t="shared" si="1581"/>
        <v/>
      </c>
      <c r="S9549" t="str">
        <f t="shared" si="1582"/>
        <v/>
      </c>
      <c r="T9549" t="str">
        <f t="shared" si="1583"/>
        <v/>
      </c>
      <c r="U9549" t="str">
        <f t="shared" si="1584"/>
        <v/>
      </c>
      <c r="V9549" t="str">
        <f t="shared" si="1585"/>
        <v/>
      </c>
      <c r="W9549" t="str">
        <f t="shared" si="1586"/>
        <v/>
      </c>
      <c r="X9549">
        <f t="shared" si="1576"/>
        <v>0</v>
      </c>
      <c r="Z9549" t="str">
        <f t="shared" si="1587"/>
        <v/>
      </c>
      <c r="AA9549">
        <f t="shared" si="1577"/>
        <v>0</v>
      </c>
    </row>
    <row r="9550" spans="1:27" ht="21" customHeight="1" x14ac:dyDescent="0.95">
      <c r="A9550" s="56"/>
      <c r="B9550" s="57"/>
      <c r="C9550" s="57"/>
      <c r="D9550" s="57"/>
      <c r="E9550" s="56"/>
      <c r="F9550" s="57"/>
      <c r="G9550" s="57"/>
      <c r="H9550" s="56"/>
      <c r="I9550" s="56"/>
      <c r="J9550" s="58"/>
      <c r="K9550" s="58"/>
      <c r="L9550" s="13" t="str">
        <f t="shared" si="1578"/>
        <v/>
      </c>
      <c r="M9550" s="13" t="str">
        <f t="shared" si="1579"/>
        <v/>
      </c>
      <c r="Q9550" t="str">
        <f t="shared" si="1580"/>
        <v/>
      </c>
      <c r="R9550" t="str">
        <f t="shared" si="1581"/>
        <v/>
      </c>
      <c r="S9550" t="str">
        <f t="shared" si="1582"/>
        <v/>
      </c>
      <c r="T9550" t="str">
        <f t="shared" si="1583"/>
        <v/>
      </c>
      <c r="U9550" t="str">
        <f t="shared" si="1584"/>
        <v/>
      </c>
      <c r="V9550" t="str">
        <f t="shared" si="1585"/>
        <v/>
      </c>
      <c r="W9550" t="str">
        <f t="shared" si="1586"/>
        <v/>
      </c>
      <c r="X9550">
        <f t="shared" si="1576"/>
        <v>0</v>
      </c>
      <c r="Z9550" t="str">
        <f t="shared" si="1587"/>
        <v/>
      </c>
      <c r="AA9550">
        <f t="shared" si="1577"/>
        <v>0</v>
      </c>
    </row>
    <row r="9551" spans="1:27" ht="21" customHeight="1" x14ac:dyDescent="0.95">
      <c r="A9551" s="56"/>
      <c r="B9551" s="57"/>
      <c r="C9551" s="57"/>
      <c r="D9551" s="57"/>
      <c r="E9551" s="56"/>
      <c r="F9551" s="57"/>
      <c r="G9551" s="57"/>
      <c r="H9551" s="56"/>
      <c r="I9551" s="56"/>
      <c r="J9551" s="58"/>
      <c r="K9551" s="58"/>
      <c r="L9551" s="13" t="str">
        <f t="shared" si="1578"/>
        <v/>
      </c>
      <c r="M9551" s="13" t="str">
        <f t="shared" si="1579"/>
        <v/>
      </c>
      <c r="Q9551" t="str">
        <f t="shared" si="1580"/>
        <v/>
      </c>
      <c r="R9551" t="str">
        <f t="shared" si="1581"/>
        <v/>
      </c>
      <c r="S9551" t="str">
        <f t="shared" si="1582"/>
        <v/>
      </c>
      <c r="T9551" t="str">
        <f t="shared" si="1583"/>
        <v/>
      </c>
      <c r="U9551" t="str">
        <f t="shared" si="1584"/>
        <v/>
      </c>
      <c r="V9551" t="str">
        <f t="shared" si="1585"/>
        <v/>
      </c>
      <c r="W9551" t="str">
        <f t="shared" si="1586"/>
        <v/>
      </c>
      <c r="X9551">
        <f t="shared" si="1576"/>
        <v>0</v>
      </c>
      <c r="Z9551" t="str">
        <f t="shared" si="1587"/>
        <v/>
      </c>
      <c r="AA9551">
        <f t="shared" si="1577"/>
        <v>0</v>
      </c>
    </row>
    <row r="9552" spans="1:27" ht="21" customHeight="1" x14ac:dyDescent="0.95">
      <c r="A9552" s="56"/>
      <c r="B9552" s="57"/>
      <c r="C9552" s="57"/>
      <c r="D9552" s="57"/>
      <c r="E9552" s="56"/>
      <c r="F9552" s="57"/>
      <c r="G9552" s="57"/>
      <c r="H9552" s="56"/>
      <c r="I9552" s="56"/>
      <c r="J9552" s="58"/>
      <c r="K9552" s="58"/>
      <c r="L9552" s="13" t="str">
        <f t="shared" si="1578"/>
        <v/>
      </c>
      <c r="M9552" s="13" t="str">
        <f t="shared" si="1579"/>
        <v/>
      </c>
      <c r="Q9552" t="str">
        <f t="shared" si="1580"/>
        <v/>
      </c>
      <c r="R9552" t="str">
        <f t="shared" si="1581"/>
        <v/>
      </c>
      <c r="S9552" t="str">
        <f t="shared" si="1582"/>
        <v/>
      </c>
      <c r="T9552" t="str">
        <f t="shared" si="1583"/>
        <v/>
      </c>
      <c r="U9552" t="str">
        <f t="shared" si="1584"/>
        <v/>
      </c>
      <c r="V9552" t="str">
        <f t="shared" si="1585"/>
        <v/>
      </c>
      <c r="W9552" t="str">
        <f t="shared" si="1586"/>
        <v/>
      </c>
      <c r="X9552">
        <f t="shared" si="1576"/>
        <v>0</v>
      </c>
      <c r="Z9552" t="str">
        <f t="shared" si="1587"/>
        <v/>
      </c>
      <c r="AA9552">
        <f t="shared" si="1577"/>
        <v>0</v>
      </c>
    </row>
    <row r="9553" spans="1:27" ht="21" customHeight="1" x14ac:dyDescent="0.95">
      <c r="A9553" s="56"/>
      <c r="B9553" s="57"/>
      <c r="C9553" s="57"/>
      <c r="D9553" s="57"/>
      <c r="E9553" s="56"/>
      <c r="F9553" s="57"/>
      <c r="G9553" s="57"/>
      <c r="H9553" s="56"/>
      <c r="I9553" s="56"/>
      <c r="J9553" s="58"/>
      <c r="K9553" s="58"/>
      <c r="L9553" s="13" t="str">
        <f t="shared" si="1578"/>
        <v/>
      </c>
      <c r="M9553" s="13" t="str">
        <f t="shared" si="1579"/>
        <v/>
      </c>
      <c r="Q9553" t="str">
        <f t="shared" si="1580"/>
        <v/>
      </c>
      <c r="R9553" t="str">
        <f t="shared" si="1581"/>
        <v/>
      </c>
      <c r="S9553" t="str">
        <f t="shared" si="1582"/>
        <v/>
      </c>
      <c r="T9553" t="str">
        <f t="shared" si="1583"/>
        <v/>
      </c>
      <c r="U9553" t="str">
        <f t="shared" si="1584"/>
        <v/>
      </c>
      <c r="V9553" t="str">
        <f t="shared" si="1585"/>
        <v/>
      </c>
      <c r="W9553" t="str">
        <f t="shared" si="1586"/>
        <v/>
      </c>
      <c r="X9553">
        <f t="shared" si="1576"/>
        <v>0</v>
      </c>
      <c r="Z9553" t="str">
        <f t="shared" si="1587"/>
        <v/>
      </c>
      <c r="AA9553">
        <f t="shared" si="1577"/>
        <v>0</v>
      </c>
    </row>
    <row r="9554" spans="1:27" ht="21" customHeight="1" x14ac:dyDescent="0.95">
      <c r="A9554" s="56"/>
      <c r="B9554" s="57"/>
      <c r="C9554" s="57"/>
      <c r="D9554" s="57"/>
      <c r="E9554" s="56"/>
      <c r="F9554" s="57"/>
      <c r="G9554" s="57"/>
      <c r="H9554" s="56"/>
      <c r="I9554" s="56"/>
      <c r="J9554" s="58"/>
      <c r="K9554" s="58"/>
      <c r="L9554" s="13" t="str">
        <f t="shared" si="1578"/>
        <v/>
      </c>
      <c r="M9554" s="13" t="str">
        <f t="shared" si="1579"/>
        <v/>
      </c>
      <c r="Q9554" t="str">
        <f t="shared" si="1580"/>
        <v/>
      </c>
      <c r="R9554" t="str">
        <f t="shared" si="1581"/>
        <v/>
      </c>
      <c r="S9554" t="str">
        <f t="shared" si="1582"/>
        <v/>
      </c>
      <c r="T9554" t="str">
        <f t="shared" si="1583"/>
        <v/>
      </c>
      <c r="U9554" t="str">
        <f t="shared" si="1584"/>
        <v/>
      </c>
      <c r="V9554" t="str">
        <f t="shared" si="1585"/>
        <v/>
      </c>
      <c r="W9554" t="str">
        <f t="shared" si="1586"/>
        <v/>
      </c>
      <c r="X9554">
        <f t="shared" si="1576"/>
        <v>0</v>
      </c>
      <c r="Z9554" t="str">
        <f t="shared" si="1587"/>
        <v/>
      </c>
      <c r="AA9554">
        <f t="shared" si="1577"/>
        <v>0</v>
      </c>
    </row>
    <row r="9555" spans="1:27" ht="21" customHeight="1" x14ac:dyDescent="0.95">
      <c r="A9555" s="56"/>
      <c r="B9555" s="57"/>
      <c r="C9555" s="57"/>
      <c r="D9555" s="57"/>
      <c r="E9555" s="56"/>
      <c r="F9555" s="57"/>
      <c r="G9555" s="57"/>
      <c r="H9555" s="56"/>
      <c r="I9555" s="56"/>
      <c r="J9555" s="58"/>
      <c r="K9555" s="58"/>
      <c r="L9555" s="13" t="str">
        <f t="shared" si="1578"/>
        <v/>
      </c>
      <c r="M9555" s="13" t="str">
        <f t="shared" si="1579"/>
        <v/>
      </c>
      <c r="Q9555" t="str">
        <f t="shared" si="1580"/>
        <v/>
      </c>
      <c r="R9555" t="str">
        <f t="shared" si="1581"/>
        <v/>
      </c>
      <c r="S9555" t="str">
        <f t="shared" si="1582"/>
        <v/>
      </c>
      <c r="T9555" t="str">
        <f t="shared" si="1583"/>
        <v/>
      </c>
      <c r="U9555" t="str">
        <f t="shared" si="1584"/>
        <v/>
      </c>
      <c r="V9555" t="str">
        <f t="shared" si="1585"/>
        <v/>
      </c>
      <c r="W9555" t="str">
        <f t="shared" si="1586"/>
        <v/>
      </c>
      <c r="X9555">
        <f t="shared" si="1576"/>
        <v>0</v>
      </c>
      <c r="Z9555" t="str">
        <f t="shared" si="1587"/>
        <v/>
      </c>
      <c r="AA9555">
        <f t="shared" si="1577"/>
        <v>0</v>
      </c>
    </row>
    <row r="9556" spans="1:27" ht="21" customHeight="1" x14ac:dyDescent="0.95">
      <c r="A9556" s="56"/>
      <c r="B9556" s="57"/>
      <c r="C9556" s="57"/>
      <c r="D9556" s="57"/>
      <c r="E9556" s="56"/>
      <c r="F9556" s="57"/>
      <c r="G9556" s="57"/>
      <c r="H9556" s="56"/>
      <c r="I9556" s="56"/>
      <c r="J9556" s="58"/>
      <c r="K9556" s="58"/>
      <c r="L9556" s="13" t="str">
        <f t="shared" si="1578"/>
        <v/>
      </c>
      <c r="M9556" s="13" t="str">
        <f t="shared" si="1579"/>
        <v/>
      </c>
      <c r="Q9556" t="str">
        <f t="shared" si="1580"/>
        <v/>
      </c>
      <c r="R9556" t="str">
        <f t="shared" si="1581"/>
        <v/>
      </c>
      <c r="S9556" t="str">
        <f t="shared" si="1582"/>
        <v/>
      </c>
      <c r="T9556" t="str">
        <f t="shared" si="1583"/>
        <v/>
      </c>
      <c r="U9556" t="str">
        <f t="shared" si="1584"/>
        <v/>
      </c>
      <c r="V9556" t="str">
        <f t="shared" si="1585"/>
        <v/>
      </c>
      <c r="W9556" t="str">
        <f t="shared" si="1586"/>
        <v/>
      </c>
      <c r="X9556">
        <f t="shared" si="1576"/>
        <v>0</v>
      </c>
      <c r="Z9556" t="str">
        <f t="shared" si="1587"/>
        <v/>
      </c>
      <c r="AA9556">
        <f t="shared" si="1577"/>
        <v>0</v>
      </c>
    </row>
    <row r="9557" spans="1:27" ht="21" customHeight="1" x14ac:dyDescent="0.95">
      <c r="A9557" s="56"/>
      <c r="B9557" s="57"/>
      <c r="C9557" s="57"/>
      <c r="D9557" s="57"/>
      <c r="E9557" s="56"/>
      <c r="F9557" s="57"/>
      <c r="G9557" s="57"/>
      <c r="H9557" s="56"/>
      <c r="I9557" s="56"/>
      <c r="J9557" s="58"/>
      <c r="K9557" s="58"/>
      <c r="L9557" s="13" t="str">
        <f t="shared" si="1578"/>
        <v/>
      </c>
      <c r="M9557" s="13" t="str">
        <f t="shared" si="1579"/>
        <v/>
      </c>
      <c r="Q9557" t="str">
        <f t="shared" si="1580"/>
        <v/>
      </c>
      <c r="R9557" t="str">
        <f t="shared" si="1581"/>
        <v/>
      </c>
      <c r="S9557" t="str">
        <f t="shared" si="1582"/>
        <v/>
      </c>
      <c r="T9557" t="str">
        <f t="shared" si="1583"/>
        <v/>
      </c>
      <c r="U9557" t="str">
        <f t="shared" si="1584"/>
        <v/>
      </c>
      <c r="V9557" t="str">
        <f t="shared" si="1585"/>
        <v/>
      </c>
      <c r="W9557" t="str">
        <f t="shared" si="1586"/>
        <v/>
      </c>
      <c r="X9557">
        <f t="shared" si="1576"/>
        <v>0</v>
      </c>
      <c r="Z9557" t="str">
        <f t="shared" si="1587"/>
        <v/>
      </c>
      <c r="AA9557">
        <f t="shared" si="1577"/>
        <v>0</v>
      </c>
    </row>
    <row r="9558" spans="1:27" ht="21" customHeight="1" x14ac:dyDescent="0.95">
      <c r="A9558" s="56"/>
      <c r="B9558" s="57"/>
      <c r="C9558" s="57"/>
      <c r="D9558" s="57"/>
      <c r="E9558" s="56"/>
      <c r="F9558" s="57"/>
      <c r="G9558" s="57"/>
      <c r="H9558" s="56"/>
      <c r="I9558" s="56"/>
      <c r="J9558" s="58"/>
      <c r="K9558" s="58"/>
      <c r="L9558" s="13" t="str">
        <f t="shared" si="1578"/>
        <v/>
      </c>
      <c r="M9558" s="13" t="str">
        <f t="shared" si="1579"/>
        <v/>
      </c>
      <c r="Q9558" t="str">
        <f t="shared" si="1580"/>
        <v/>
      </c>
      <c r="R9558" t="str">
        <f t="shared" si="1581"/>
        <v/>
      </c>
      <c r="S9558" t="str">
        <f t="shared" si="1582"/>
        <v/>
      </c>
      <c r="T9558" t="str">
        <f t="shared" si="1583"/>
        <v/>
      </c>
      <c r="U9558" t="str">
        <f t="shared" si="1584"/>
        <v/>
      </c>
      <c r="V9558" t="str">
        <f t="shared" si="1585"/>
        <v/>
      </c>
      <c r="W9558" t="str">
        <f t="shared" si="1586"/>
        <v/>
      </c>
      <c r="X9558">
        <f t="shared" si="1576"/>
        <v>0</v>
      </c>
      <c r="Z9558" t="str">
        <f t="shared" si="1587"/>
        <v/>
      </c>
      <c r="AA9558">
        <f t="shared" si="1577"/>
        <v>0</v>
      </c>
    </row>
    <row r="9559" spans="1:27" ht="21" customHeight="1" x14ac:dyDescent="0.95">
      <c r="A9559" s="56"/>
      <c r="B9559" s="57"/>
      <c r="C9559" s="57"/>
      <c r="D9559" s="57"/>
      <c r="E9559" s="56"/>
      <c r="F9559" s="57"/>
      <c r="G9559" s="57"/>
      <c r="H9559" s="56"/>
      <c r="I9559" s="56"/>
      <c r="J9559" s="58"/>
      <c r="K9559" s="58"/>
      <c r="L9559" s="13" t="str">
        <f t="shared" si="1578"/>
        <v/>
      </c>
      <c r="M9559" s="13" t="str">
        <f t="shared" si="1579"/>
        <v/>
      </c>
      <c r="Q9559" t="str">
        <f t="shared" si="1580"/>
        <v/>
      </c>
      <c r="R9559" t="str">
        <f t="shared" si="1581"/>
        <v/>
      </c>
      <c r="S9559" t="str">
        <f t="shared" si="1582"/>
        <v/>
      </c>
      <c r="T9559" t="str">
        <f t="shared" si="1583"/>
        <v/>
      </c>
      <c r="U9559" t="str">
        <f t="shared" si="1584"/>
        <v/>
      </c>
      <c r="V9559" t="str">
        <f t="shared" si="1585"/>
        <v/>
      </c>
      <c r="W9559" t="str">
        <f t="shared" si="1586"/>
        <v/>
      </c>
      <c r="X9559">
        <f t="shared" si="1576"/>
        <v>0</v>
      </c>
      <c r="Z9559" t="str">
        <f t="shared" si="1587"/>
        <v/>
      </c>
      <c r="AA9559">
        <f t="shared" si="1577"/>
        <v>0</v>
      </c>
    </row>
    <row r="9560" spans="1:27" ht="21" customHeight="1" x14ac:dyDescent="0.95">
      <c r="A9560" s="56"/>
      <c r="B9560" s="57"/>
      <c r="C9560" s="57"/>
      <c r="D9560" s="57"/>
      <c r="E9560" s="56"/>
      <c r="F9560" s="57"/>
      <c r="G9560" s="57"/>
      <c r="H9560" s="56"/>
      <c r="I9560" s="56"/>
      <c r="J9560" s="58"/>
      <c r="K9560" s="58"/>
      <c r="L9560" s="13" t="str">
        <f t="shared" si="1578"/>
        <v/>
      </c>
      <c r="M9560" s="13" t="str">
        <f t="shared" si="1579"/>
        <v/>
      </c>
      <c r="Q9560" t="str">
        <f t="shared" si="1580"/>
        <v/>
      </c>
      <c r="R9560" t="str">
        <f t="shared" si="1581"/>
        <v/>
      </c>
      <c r="S9560" t="str">
        <f t="shared" si="1582"/>
        <v/>
      </c>
      <c r="T9560" t="str">
        <f t="shared" si="1583"/>
        <v/>
      </c>
      <c r="U9560" t="str">
        <f t="shared" si="1584"/>
        <v/>
      </c>
      <c r="V9560" t="str">
        <f t="shared" si="1585"/>
        <v/>
      </c>
      <c r="W9560" t="str">
        <f t="shared" si="1586"/>
        <v/>
      </c>
      <c r="X9560">
        <f t="shared" si="1576"/>
        <v>0</v>
      </c>
      <c r="Z9560" t="str">
        <f t="shared" si="1587"/>
        <v/>
      </c>
      <c r="AA9560">
        <f t="shared" si="1577"/>
        <v>0</v>
      </c>
    </row>
    <row r="9561" spans="1:27" ht="21" customHeight="1" x14ac:dyDescent="0.95">
      <c r="A9561" s="56"/>
      <c r="B9561" s="57"/>
      <c r="C9561" s="57"/>
      <c r="D9561" s="57"/>
      <c r="E9561" s="56"/>
      <c r="F9561" s="57"/>
      <c r="G9561" s="57"/>
      <c r="H9561" s="56"/>
      <c r="I9561" s="56"/>
      <c r="J9561" s="58"/>
      <c r="K9561" s="58"/>
      <c r="L9561" s="13" t="str">
        <f t="shared" si="1578"/>
        <v/>
      </c>
      <c r="M9561" s="13" t="str">
        <f t="shared" si="1579"/>
        <v/>
      </c>
      <c r="Q9561" t="str">
        <f t="shared" si="1580"/>
        <v/>
      </c>
      <c r="R9561" t="str">
        <f t="shared" si="1581"/>
        <v/>
      </c>
      <c r="S9561" t="str">
        <f t="shared" si="1582"/>
        <v/>
      </c>
      <c r="T9561" t="str">
        <f t="shared" si="1583"/>
        <v/>
      </c>
      <c r="U9561" t="str">
        <f t="shared" si="1584"/>
        <v/>
      </c>
      <c r="V9561" t="str">
        <f t="shared" si="1585"/>
        <v/>
      </c>
      <c r="W9561" t="str">
        <f t="shared" si="1586"/>
        <v/>
      </c>
      <c r="X9561">
        <f t="shared" si="1576"/>
        <v>0</v>
      </c>
      <c r="Z9561" t="str">
        <f t="shared" si="1587"/>
        <v/>
      </c>
      <c r="AA9561">
        <f t="shared" si="1577"/>
        <v>0</v>
      </c>
    </row>
    <row r="9562" spans="1:27" ht="21" customHeight="1" x14ac:dyDescent="0.95">
      <c r="A9562" s="56"/>
      <c r="B9562" s="57"/>
      <c r="C9562" s="57"/>
      <c r="D9562" s="57"/>
      <c r="E9562" s="56"/>
      <c r="F9562" s="57"/>
      <c r="G9562" s="57"/>
      <c r="H9562" s="56"/>
      <c r="I9562" s="56"/>
      <c r="J9562" s="58"/>
      <c r="K9562" s="58"/>
      <c r="L9562" s="13" t="str">
        <f t="shared" si="1578"/>
        <v/>
      </c>
      <c r="M9562" s="13" t="str">
        <f t="shared" si="1579"/>
        <v/>
      </c>
      <c r="Q9562" t="str">
        <f t="shared" si="1580"/>
        <v/>
      </c>
      <c r="R9562" t="str">
        <f t="shared" si="1581"/>
        <v/>
      </c>
      <c r="S9562" t="str">
        <f t="shared" si="1582"/>
        <v/>
      </c>
      <c r="T9562" t="str">
        <f t="shared" si="1583"/>
        <v/>
      </c>
      <c r="U9562" t="str">
        <f t="shared" si="1584"/>
        <v/>
      </c>
      <c r="V9562" t="str">
        <f t="shared" si="1585"/>
        <v/>
      </c>
      <c r="W9562" t="str">
        <f t="shared" si="1586"/>
        <v/>
      </c>
      <c r="X9562">
        <f t="shared" si="1576"/>
        <v>0</v>
      </c>
      <c r="Z9562" t="str">
        <f t="shared" si="1587"/>
        <v/>
      </c>
      <c r="AA9562">
        <f t="shared" si="1577"/>
        <v>0</v>
      </c>
    </row>
    <row r="9563" spans="1:27" ht="21" customHeight="1" x14ac:dyDescent="0.95">
      <c r="A9563" s="56"/>
      <c r="B9563" s="57"/>
      <c r="C9563" s="57"/>
      <c r="D9563" s="57"/>
      <c r="E9563" s="56"/>
      <c r="F9563" s="57"/>
      <c r="G9563" s="57"/>
      <c r="H9563" s="56"/>
      <c r="I9563" s="56"/>
      <c r="J9563" s="58"/>
      <c r="K9563" s="58"/>
      <c r="L9563" s="13" t="str">
        <f t="shared" si="1578"/>
        <v/>
      </c>
      <c r="M9563" s="13" t="str">
        <f t="shared" si="1579"/>
        <v/>
      </c>
      <c r="Q9563" t="str">
        <f t="shared" si="1580"/>
        <v/>
      </c>
      <c r="R9563" t="str">
        <f t="shared" si="1581"/>
        <v/>
      </c>
      <c r="S9563" t="str">
        <f t="shared" si="1582"/>
        <v/>
      </c>
      <c r="T9563" t="str">
        <f t="shared" si="1583"/>
        <v/>
      </c>
      <c r="U9563" t="str">
        <f t="shared" si="1584"/>
        <v/>
      </c>
      <c r="V9563" t="str">
        <f t="shared" si="1585"/>
        <v/>
      </c>
      <c r="W9563" t="str">
        <f t="shared" si="1586"/>
        <v/>
      </c>
      <c r="X9563">
        <f t="shared" si="1576"/>
        <v>0</v>
      </c>
      <c r="Z9563" t="str">
        <f t="shared" si="1587"/>
        <v/>
      </c>
      <c r="AA9563">
        <f t="shared" si="1577"/>
        <v>0</v>
      </c>
    </row>
    <row r="9564" spans="1:27" ht="21" customHeight="1" x14ac:dyDescent="0.95">
      <c r="A9564" s="56"/>
      <c r="B9564" s="57"/>
      <c r="C9564" s="57"/>
      <c r="D9564" s="57"/>
      <c r="E9564" s="56"/>
      <c r="F9564" s="57"/>
      <c r="G9564" s="57"/>
      <c r="H9564" s="56"/>
      <c r="I9564" s="56"/>
      <c r="J9564" s="58"/>
      <c r="K9564" s="58"/>
      <c r="L9564" s="13" t="str">
        <f t="shared" si="1578"/>
        <v/>
      </c>
      <c r="M9564" s="13" t="str">
        <f t="shared" si="1579"/>
        <v/>
      </c>
      <c r="Q9564" t="str">
        <f t="shared" si="1580"/>
        <v/>
      </c>
      <c r="R9564" t="str">
        <f t="shared" si="1581"/>
        <v/>
      </c>
      <c r="S9564" t="str">
        <f t="shared" si="1582"/>
        <v/>
      </c>
      <c r="T9564" t="str">
        <f t="shared" si="1583"/>
        <v/>
      </c>
      <c r="U9564" t="str">
        <f t="shared" si="1584"/>
        <v/>
      </c>
      <c r="V9564" t="str">
        <f t="shared" si="1585"/>
        <v/>
      </c>
      <c r="W9564" t="str">
        <f t="shared" si="1586"/>
        <v/>
      </c>
      <c r="X9564">
        <f t="shared" si="1576"/>
        <v>0</v>
      </c>
      <c r="Z9564" t="str">
        <f t="shared" si="1587"/>
        <v/>
      </c>
      <c r="AA9564">
        <f t="shared" si="1577"/>
        <v>0</v>
      </c>
    </row>
    <row r="9565" spans="1:27" ht="21" customHeight="1" x14ac:dyDescent="0.95">
      <c r="A9565" s="56"/>
      <c r="B9565" s="57"/>
      <c r="C9565" s="57"/>
      <c r="D9565" s="57"/>
      <c r="E9565" s="56"/>
      <c r="F9565" s="57"/>
      <c r="G9565" s="57"/>
      <c r="H9565" s="56"/>
      <c r="I9565" s="56"/>
      <c r="J9565" s="58"/>
      <c r="K9565" s="58"/>
      <c r="L9565" s="13" t="str">
        <f t="shared" si="1578"/>
        <v/>
      </c>
      <c r="M9565" s="13" t="str">
        <f t="shared" si="1579"/>
        <v/>
      </c>
      <c r="Q9565" t="str">
        <f t="shared" si="1580"/>
        <v/>
      </c>
      <c r="R9565" t="str">
        <f t="shared" si="1581"/>
        <v/>
      </c>
      <c r="S9565" t="str">
        <f t="shared" si="1582"/>
        <v/>
      </c>
      <c r="T9565" t="str">
        <f t="shared" si="1583"/>
        <v/>
      </c>
      <c r="U9565" t="str">
        <f t="shared" si="1584"/>
        <v/>
      </c>
      <c r="V9565" t="str">
        <f t="shared" si="1585"/>
        <v/>
      </c>
      <c r="W9565" t="str">
        <f t="shared" si="1586"/>
        <v/>
      </c>
      <c r="X9565">
        <f t="shared" si="1576"/>
        <v>0</v>
      </c>
      <c r="Z9565" t="str">
        <f t="shared" si="1587"/>
        <v/>
      </c>
      <c r="AA9565">
        <f t="shared" si="1577"/>
        <v>0</v>
      </c>
    </row>
    <row r="9566" spans="1:27" ht="21" customHeight="1" x14ac:dyDescent="0.95">
      <c r="A9566" s="56"/>
      <c r="B9566" s="57"/>
      <c r="C9566" s="57"/>
      <c r="D9566" s="57"/>
      <c r="E9566" s="56"/>
      <c r="F9566" s="57"/>
      <c r="G9566" s="57"/>
      <c r="H9566" s="56"/>
      <c r="I9566" s="56"/>
      <c r="J9566" s="58"/>
      <c r="K9566" s="58"/>
      <c r="L9566" s="13" t="str">
        <f t="shared" si="1578"/>
        <v/>
      </c>
      <c r="M9566" s="13" t="str">
        <f t="shared" si="1579"/>
        <v/>
      </c>
      <c r="Q9566" t="str">
        <f t="shared" si="1580"/>
        <v/>
      </c>
      <c r="R9566" t="str">
        <f t="shared" si="1581"/>
        <v/>
      </c>
      <c r="S9566" t="str">
        <f t="shared" si="1582"/>
        <v/>
      </c>
      <c r="T9566" t="str">
        <f t="shared" si="1583"/>
        <v/>
      </c>
      <c r="U9566" t="str">
        <f t="shared" si="1584"/>
        <v/>
      </c>
      <c r="V9566" t="str">
        <f t="shared" si="1585"/>
        <v/>
      </c>
      <c r="W9566" t="str">
        <f t="shared" si="1586"/>
        <v/>
      </c>
      <c r="X9566">
        <f t="shared" si="1576"/>
        <v>0</v>
      </c>
      <c r="Z9566" t="str">
        <f t="shared" si="1587"/>
        <v/>
      </c>
      <c r="AA9566">
        <f t="shared" si="1577"/>
        <v>0</v>
      </c>
    </row>
    <row r="9567" spans="1:27" ht="21" customHeight="1" x14ac:dyDescent="0.95">
      <c r="A9567" s="56"/>
      <c r="B9567" s="57"/>
      <c r="C9567" s="57"/>
      <c r="D9567" s="57"/>
      <c r="E9567" s="56"/>
      <c r="F9567" s="57"/>
      <c r="G9567" s="57"/>
      <c r="H9567" s="56"/>
      <c r="I9567" s="56"/>
      <c r="J9567" s="58"/>
      <c r="K9567" s="58"/>
      <c r="L9567" s="13" t="str">
        <f t="shared" si="1578"/>
        <v/>
      </c>
      <c r="M9567" s="13" t="str">
        <f t="shared" si="1579"/>
        <v/>
      </c>
      <c r="Q9567" t="str">
        <f t="shared" si="1580"/>
        <v/>
      </c>
      <c r="R9567" t="str">
        <f t="shared" si="1581"/>
        <v/>
      </c>
      <c r="S9567" t="str">
        <f t="shared" si="1582"/>
        <v/>
      </c>
      <c r="T9567" t="str">
        <f t="shared" si="1583"/>
        <v/>
      </c>
      <c r="U9567" t="str">
        <f t="shared" si="1584"/>
        <v/>
      </c>
      <c r="V9567" t="str">
        <f t="shared" si="1585"/>
        <v/>
      </c>
      <c r="W9567" t="str">
        <f t="shared" si="1586"/>
        <v/>
      </c>
      <c r="X9567">
        <f t="shared" si="1576"/>
        <v>0</v>
      </c>
      <c r="Z9567" t="str">
        <f t="shared" si="1587"/>
        <v/>
      </c>
      <c r="AA9567">
        <f t="shared" si="1577"/>
        <v>0</v>
      </c>
    </row>
    <row r="9568" spans="1:27" ht="21" customHeight="1" x14ac:dyDescent="0.95">
      <c r="A9568" s="56"/>
      <c r="B9568" s="57"/>
      <c r="C9568" s="57"/>
      <c r="D9568" s="57"/>
      <c r="E9568" s="56"/>
      <c r="F9568" s="57"/>
      <c r="G9568" s="57"/>
      <c r="H9568" s="56"/>
      <c r="I9568" s="56"/>
      <c r="J9568" s="58"/>
      <c r="K9568" s="58"/>
      <c r="L9568" s="13" t="str">
        <f t="shared" si="1578"/>
        <v/>
      </c>
      <c r="M9568" s="13" t="str">
        <f t="shared" si="1579"/>
        <v/>
      </c>
      <c r="Q9568" t="str">
        <f t="shared" si="1580"/>
        <v/>
      </c>
      <c r="R9568" t="str">
        <f t="shared" si="1581"/>
        <v/>
      </c>
      <c r="S9568" t="str">
        <f t="shared" si="1582"/>
        <v/>
      </c>
      <c r="T9568" t="str">
        <f t="shared" si="1583"/>
        <v/>
      </c>
      <c r="U9568" t="str">
        <f t="shared" si="1584"/>
        <v/>
      </c>
      <c r="V9568" t="str">
        <f t="shared" si="1585"/>
        <v/>
      </c>
      <c r="W9568" t="str">
        <f t="shared" si="1586"/>
        <v/>
      </c>
      <c r="X9568">
        <f t="shared" si="1576"/>
        <v>0</v>
      </c>
      <c r="Z9568" t="str">
        <f t="shared" si="1587"/>
        <v/>
      </c>
      <c r="AA9568">
        <f t="shared" si="1577"/>
        <v>0</v>
      </c>
    </row>
    <row r="9569" spans="1:27" ht="21" customHeight="1" x14ac:dyDescent="0.95">
      <c r="A9569" s="56"/>
      <c r="B9569" s="57"/>
      <c r="C9569" s="57"/>
      <c r="D9569" s="57"/>
      <c r="E9569" s="56"/>
      <c r="F9569" s="57"/>
      <c r="G9569" s="57"/>
      <c r="H9569" s="56"/>
      <c r="I9569" s="56"/>
      <c r="J9569" s="58"/>
      <c r="K9569" s="58"/>
      <c r="L9569" s="13" t="str">
        <f t="shared" si="1578"/>
        <v/>
      </c>
      <c r="M9569" s="13" t="str">
        <f t="shared" si="1579"/>
        <v/>
      </c>
      <c r="Q9569" t="str">
        <f t="shared" si="1580"/>
        <v/>
      </c>
      <c r="R9569" t="str">
        <f t="shared" si="1581"/>
        <v/>
      </c>
      <c r="S9569" t="str">
        <f t="shared" si="1582"/>
        <v/>
      </c>
      <c r="T9569" t="str">
        <f t="shared" si="1583"/>
        <v/>
      </c>
      <c r="U9569" t="str">
        <f t="shared" si="1584"/>
        <v/>
      </c>
      <c r="V9569" t="str">
        <f t="shared" si="1585"/>
        <v/>
      </c>
      <c r="W9569" t="str">
        <f t="shared" si="1586"/>
        <v/>
      </c>
      <c r="X9569">
        <f t="shared" si="1576"/>
        <v>0</v>
      </c>
      <c r="Z9569" t="str">
        <f t="shared" si="1587"/>
        <v/>
      </c>
      <c r="AA9569">
        <f t="shared" si="1577"/>
        <v>0</v>
      </c>
    </row>
    <row r="9570" spans="1:27" ht="21" customHeight="1" x14ac:dyDescent="0.95">
      <c r="A9570" s="56"/>
      <c r="B9570" s="57"/>
      <c r="C9570" s="57"/>
      <c r="D9570" s="57"/>
      <c r="E9570" s="56"/>
      <c r="F9570" s="57"/>
      <c r="G9570" s="57"/>
      <c r="H9570" s="56"/>
      <c r="I9570" s="56"/>
      <c r="J9570" s="58"/>
      <c r="K9570" s="58"/>
      <c r="L9570" s="13" t="str">
        <f t="shared" si="1578"/>
        <v/>
      </c>
      <c r="M9570" s="13" t="str">
        <f t="shared" si="1579"/>
        <v/>
      </c>
      <c r="Q9570" t="str">
        <f t="shared" si="1580"/>
        <v/>
      </c>
      <c r="R9570" t="str">
        <f t="shared" si="1581"/>
        <v/>
      </c>
      <c r="S9570" t="str">
        <f t="shared" si="1582"/>
        <v/>
      </c>
      <c r="T9570" t="str">
        <f t="shared" si="1583"/>
        <v/>
      </c>
      <c r="U9570" t="str">
        <f t="shared" si="1584"/>
        <v/>
      </c>
      <c r="V9570" t="str">
        <f t="shared" si="1585"/>
        <v/>
      </c>
      <c r="W9570" t="str">
        <f t="shared" si="1586"/>
        <v/>
      </c>
      <c r="X9570">
        <f t="shared" si="1576"/>
        <v>0</v>
      </c>
      <c r="Z9570" t="str">
        <f t="shared" si="1587"/>
        <v/>
      </c>
      <c r="AA9570">
        <f t="shared" si="1577"/>
        <v>0</v>
      </c>
    </row>
    <row r="9571" spans="1:27" ht="21" customHeight="1" x14ac:dyDescent="0.95">
      <c r="A9571" s="56"/>
      <c r="B9571" s="57"/>
      <c r="C9571" s="57"/>
      <c r="D9571" s="57"/>
      <c r="E9571" s="56"/>
      <c r="F9571" s="57"/>
      <c r="G9571" s="57"/>
      <c r="H9571" s="56"/>
      <c r="I9571" s="56"/>
      <c r="J9571" s="58"/>
      <c r="K9571" s="58"/>
      <c r="L9571" s="13" t="str">
        <f t="shared" si="1578"/>
        <v/>
      </c>
      <c r="M9571" s="13" t="str">
        <f t="shared" si="1579"/>
        <v/>
      </c>
      <c r="Q9571" t="str">
        <f t="shared" si="1580"/>
        <v/>
      </c>
      <c r="R9571" t="str">
        <f t="shared" si="1581"/>
        <v/>
      </c>
      <c r="S9571" t="str">
        <f t="shared" si="1582"/>
        <v/>
      </c>
      <c r="T9571" t="str">
        <f t="shared" si="1583"/>
        <v/>
      </c>
      <c r="U9571" t="str">
        <f t="shared" si="1584"/>
        <v/>
      </c>
      <c r="V9571" t="str">
        <f t="shared" si="1585"/>
        <v/>
      </c>
      <c r="W9571" t="str">
        <f t="shared" si="1586"/>
        <v/>
      </c>
      <c r="X9571">
        <f t="shared" si="1576"/>
        <v>0</v>
      </c>
      <c r="Z9571" t="str">
        <f t="shared" si="1587"/>
        <v/>
      </c>
      <c r="AA9571">
        <f t="shared" si="1577"/>
        <v>0</v>
      </c>
    </row>
    <row r="9572" spans="1:27" ht="21" customHeight="1" x14ac:dyDescent="0.95">
      <c r="A9572" s="56"/>
      <c r="B9572" s="57"/>
      <c r="C9572" s="57"/>
      <c r="D9572" s="57"/>
      <c r="E9572" s="56"/>
      <c r="F9572" s="57"/>
      <c r="G9572" s="57"/>
      <c r="H9572" s="56"/>
      <c r="I9572" s="56"/>
      <c r="J9572" s="58"/>
      <c r="K9572" s="58"/>
      <c r="L9572" s="13" t="str">
        <f t="shared" si="1578"/>
        <v/>
      </c>
      <c r="M9572" s="13" t="str">
        <f t="shared" si="1579"/>
        <v/>
      </c>
      <c r="Q9572" t="str">
        <f t="shared" si="1580"/>
        <v/>
      </c>
      <c r="R9572" t="str">
        <f t="shared" si="1581"/>
        <v/>
      </c>
      <c r="S9572" t="str">
        <f t="shared" si="1582"/>
        <v/>
      </c>
      <c r="T9572" t="str">
        <f t="shared" si="1583"/>
        <v/>
      </c>
      <c r="U9572" t="str">
        <f t="shared" si="1584"/>
        <v/>
      </c>
      <c r="V9572" t="str">
        <f t="shared" si="1585"/>
        <v/>
      </c>
      <c r="W9572" t="str">
        <f t="shared" si="1586"/>
        <v/>
      </c>
      <c r="X9572">
        <f t="shared" si="1576"/>
        <v>0</v>
      </c>
      <c r="Z9572" t="str">
        <f t="shared" si="1587"/>
        <v/>
      </c>
      <c r="AA9572">
        <f t="shared" si="1577"/>
        <v>0</v>
      </c>
    </row>
    <row r="9573" spans="1:27" ht="21" customHeight="1" x14ac:dyDescent="0.95">
      <c r="A9573" s="56"/>
      <c r="B9573" s="57"/>
      <c r="C9573" s="57"/>
      <c r="D9573" s="57"/>
      <c r="E9573" s="56"/>
      <c r="F9573" s="57"/>
      <c r="G9573" s="57"/>
      <c r="H9573" s="56"/>
      <c r="I9573" s="56"/>
      <c r="J9573" s="58"/>
      <c r="K9573" s="58"/>
      <c r="L9573" s="13" t="str">
        <f t="shared" si="1578"/>
        <v/>
      </c>
      <c r="M9573" s="13" t="str">
        <f t="shared" si="1579"/>
        <v/>
      </c>
      <c r="Q9573" t="str">
        <f t="shared" si="1580"/>
        <v/>
      </c>
      <c r="R9573" t="str">
        <f t="shared" si="1581"/>
        <v/>
      </c>
      <c r="S9573" t="str">
        <f t="shared" si="1582"/>
        <v/>
      </c>
      <c r="T9573" t="str">
        <f t="shared" si="1583"/>
        <v/>
      </c>
      <c r="U9573" t="str">
        <f t="shared" si="1584"/>
        <v/>
      </c>
      <c r="V9573" t="str">
        <f t="shared" si="1585"/>
        <v/>
      </c>
      <c r="W9573" t="str">
        <f t="shared" si="1586"/>
        <v/>
      </c>
      <c r="X9573">
        <f t="shared" si="1576"/>
        <v>0</v>
      </c>
      <c r="Z9573" t="str">
        <f t="shared" si="1587"/>
        <v/>
      </c>
      <c r="AA9573">
        <f t="shared" si="1577"/>
        <v>0</v>
      </c>
    </row>
    <row r="9574" spans="1:27" ht="21" customHeight="1" x14ac:dyDescent="0.95">
      <c r="A9574" s="56"/>
      <c r="B9574" s="57"/>
      <c r="C9574" s="57"/>
      <c r="D9574" s="57"/>
      <c r="E9574" s="56"/>
      <c r="F9574" s="57"/>
      <c r="G9574" s="57"/>
      <c r="H9574" s="56"/>
      <c r="I9574" s="56"/>
      <c r="J9574" s="58"/>
      <c r="K9574" s="58"/>
      <c r="L9574" s="13" t="str">
        <f t="shared" si="1578"/>
        <v/>
      </c>
      <c r="M9574" s="13" t="str">
        <f t="shared" si="1579"/>
        <v/>
      </c>
      <c r="Q9574" t="str">
        <f t="shared" si="1580"/>
        <v/>
      </c>
      <c r="R9574" t="str">
        <f t="shared" si="1581"/>
        <v/>
      </c>
      <c r="S9574" t="str">
        <f t="shared" si="1582"/>
        <v/>
      </c>
      <c r="T9574" t="str">
        <f t="shared" si="1583"/>
        <v/>
      </c>
      <c r="U9574" t="str">
        <f t="shared" si="1584"/>
        <v/>
      </c>
      <c r="V9574" t="str">
        <f t="shared" si="1585"/>
        <v/>
      </c>
      <c r="W9574" t="str">
        <f t="shared" si="1586"/>
        <v/>
      </c>
      <c r="X9574">
        <f t="shared" si="1576"/>
        <v>0</v>
      </c>
      <c r="Z9574" t="str">
        <f t="shared" si="1587"/>
        <v/>
      </c>
      <c r="AA9574">
        <f t="shared" si="1577"/>
        <v>0</v>
      </c>
    </row>
    <row r="9575" spans="1:27" ht="21" customHeight="1" x14ac:dyDescent="0.95">
      <c r="A9575" s="56"/>
      <c r="B9575" s="57"/>
      <c r="C9575" s="57"/>
      <c r="D9575" s="57"/>
      <c r="E9575" s="56"/>
      <c r="F9575" s="57"/>
      <c r="G9575" s="57"/>
      <c r="H9575" s="56"/>
      <c r="I9575" s="56"/>
      <c r="J9575" s="58"/>
      <c r="K9575" s="58"/>
      <c r="L9575" s="13" t="str">
        <f t="shared" si="1578"/>
        <v/>
      </c>
      <c r="M9575" s="13" t="str">
        <f t="shared" si="1579"/>
        <v/>
      </c>
      <c r="Q9575" t="str">
        <f t="shared" si="1580"/>
        <v/>
      </c>
      <c r="R9575" t="str">
        <f t="shared" si="1581"/>
        <v/>
      </c>
      <c r="S9575" t="str">
        <f t="shared" si="1582"/>
        <v/>
      </c>
      <c r="T9575" t="str">
        <f t="shared" si="1583"/>
        <v/>
      </c>
      <c r="U9575" t="str">
        <f t="shared" si="1584"/>
        <v/>
      </c>
      <c r="V9575" t="str">
        <f t="shared" si="1585"/>
        <v/>
      </c>
      <c r="W9575" t="str">
        <f t="shared" si="1586"/>
        <v/>
      </c>
      <c r="X9575">
        <f t="shared" si="1576"/>
        <v>0</v>
      </c>
      <c r="Z9575" t="str">
        <f t="shared" si="1587"/>
        <v/>
      </c>
      <c r="AA9575">
        <f t="shared" si="1577"/>
        <v>0</v>
      </c>
    </row>
    <row r="9576" spans="1:27" ht="21" customHeight="1" x14ac:dyDescent="0.95">
      <c r="A9576" s="56"/>
      <c r="B9576" s="57"/>
      <c r="C9576" s="57"/>
      <c r="D9576" s="57"/>
      <c r="E9576" s="56"/>
      <c r="F9576" s="57"/>
      <c r="G9576" s="57"/>
      <c r="H9576" s="56"/>
      <c r="I9576" s="56"/>
      <c r="J9576" s="58"/>
      <c r="K9576" s="58"/>
      <c r="L9576" s="13" t="str">
        <f t="shared" si="1578"/>
        <v/>
      </c>
      <c r="M9576" s="13" t="str">
        <f t="shared" si="1579"/>
        <v/>
      </c>
      <c r="Q9576" t="str">
        <f t="shared" si="1580"/>
        <v/>
      </c>
      <c r="R9576" t="str">
        <f t="shared" si="1581"/>
        <v/>
      </c>
      <c r="S9576" t="str">
        <f t="shared" si="1582"/>
        <v/>
      </c>
      <c r="T9576" t="str">
        <f t="shared" si="1583"/>
        <v/>
      </c>
      <c r="U9576" t="str">
        <f t="shared" si="1584"/>
        <v/>
      </c>
      <c r="V9576" t="str">
        <f t="shared" si="1585"/>
        <v/>
      </c>
      <c r="W9576" t="str">
        <f t="shared" si="1586"/>
        <v/>
      </c>
      <c r="X9576">
        <f t="shared" si="1576"/>
        <v>0</v>
      </c>
      <c r="Z9576" t="str">
        <f t="shared" si="1587"/>
        <v/>
      </c>
      <c r="AA9576">
        <f t="shared" si="1577"/>
        <v>0</v>
      </c>
    </row>
    <row r="9577" spans="1:27" ht="21" customHeight="1" x14ac:dyDescent="0.95">
      <c r="A9577" s="56"/>
      <c r="B9577" s="57"/>
      <c r="C9577" s="57"/>
      <c r="D9577" s="57"/>
      <c r="E9577" s="56"/>
      <c r="F9577" s="57"/>
      <c r="G9577" s="57"/>
      <c r="H9577" s="56"/>
      <c r="I9577" s="56"/>
      <c r="J9577" s="58"/>
      <c r="K9577" s="58"/>
      <c r="L9577" s="13" t="str">
        <f t="shared" si="1578"/>
        <v/>
      </c>
      <c r="M9577" s="13" t="str">
        <f t="shared" si="1579"/>
        <v/>
      </c>
      <c r="Q9577" t="str">
        <f t="shared" si="1580"/>
        <v/>
      </c>
      <c r="R9577" t="str">
        <f t="shared" si="1581"/>
        <v/>
      </c>
      <c r="S9577" t="str">
        <f t="shared" si="1582"/>
        <v/>
      </c>
      <c r="T9577" t="str">
        <f t="shared" si="1583"/>
        <v/>
      </c>
      <c r="U9577" t="str">
        <f t="shared" si="1584"/>
        <v/>
      </c>
      <c r="V9577" t="str">
        <f t="shared" si="1585"/>
        <v/>
      </c>
      <c r="W9577" t="str">
        <f t="shared" si="1586"/>
        <v/>
      </c>
      <c r="X9577">
        <f t="shared" si="1576"/>
        <v>0</v>
      </c>
      <c r="Z9577" t="str">
        <f t="shared" si="1587"/>
        <v/>
      </c>
      <c r="AA9577">
        <f t="shared" si="1577"/>
        <v>0</v>
      </c>
    </row>
    <row r="9578" spans="1:27" ht="21" customHeight="1" x14ac:dyDescent="0.95">
      <c r="A9578" s="56"/>
      <c r="B9578" s="57"/>
      <c r="C9578" s="57"/>
      <c r="D9578" s="57"/>
      <c r="E9578" s="56"/>
      <c r="F9578" s="57"/>
      <c r="G9578" s="57"/>
      <c r="H9578" s="56"/>
      <c r="I9578" s="56"/>
      <c r="J9578" s="58"/>
      <c r="K9578" s="58"/>
      <c r="L9578" s="13" t="str">
        <f t="shared" si="1578"/>
        <v/>
      </c>
      <c r="M9578" s="13" t="str">
        <f t="shared" si="1579"/>
        <v/>
      </c>
      <c r="Q9578" t="str">
        <f t="shared" si="1580"/>
        <v/>
      </c>
      <c r="R9578" t="str">
        <f t="shared" si="1581"/>
        <v/>
      </c>
      <c r="S9578" t="str">
        <f t="shared" si="1582"/>
        <v/>
      </c>
      <c r="T9578" t="str">
        <f t="shared" si="1583"/>
        <v/>
      </c>
      <c r="U9578" t="str">
        <f t="shared" si="1584"/>
        <v/>
      </c>
      <c r="V9578" t="str">
        <f t="shared" si="1585"/>
        <v/>
      </c>
      <c r="W9578" t="str">
        <f t="shared" si="1586"/>
        <v/>
      </c>
      <c r="X9578">
        <f t="shared" si="1576"/>
        <v>0</v>
      </c>
      <c r="Z9578" t="str">
        <f t="shared" si="1587"/>
        <v/>
      </c>
      <c r="AA9578">
        <f t="shared" si="1577"/>
        <v>0</v>
      </c>
    </row>
    <row r="9579" spans="1:27" ht="21" customHeight="1" x14ac:dyDescent="0.95">
      <c r="A9579" s="56"/>
      <c r="B9579" s="57"/>
      <c r="C9579" s="57"/>
      <c r="D9579" s="57"/>
      <c r="E9579" s="56"/>
      <c r="F9579" s="57"/>
      <c r="G9579" s="57"/>
      <c r="H9579" s="56"/>
      <c r="I9579" s="56"/>
      <c r="J9579" s="58"/>
      <c r="K9579" s="58"/>
      <c r="L9579" s="13" t="str">
        <f t="shared" si="1578"/>
        <v/>
      </c>
      <c r="M9579" s="13" t="str">
        <f t="shared" si="1579"/>
        <v/>
      </c>
      <c r="Q9579" t="str">
        <f t="shared" si="1580"/>
        <v/>
      </c>
      <c r="R9579" t="str">
        <f t="shared" si="1581"/>
        <v/>
      </c>
      <c r="S9579" t="str">
        <f t="shared" si="1582"/>
        <v/>
      </c>
      <c r="T9579" t="str">
        <f t="shared" si="1583"/>
        <v/>
      </c>
      <c r="U9579" t="str">
        <f t="shared" si="1584"/>
        <v/>
      </c>
      <c r="V9579" t="str">
        <f t="shared" si="1585"/>
        <v/>
      </c>
      <c r="W9579" t="str">
        <f t="shared" si="1586"/>
        <v/>
      </c>
      <c r="X9579">
        <f t="shared" si="1576"/>
        <v>0</v>
      </c>
      <c r="Z9579" t="str">
        <f t="shared" si="1587"/>
        <v/>
      </c>
      <c r="AA9579">
        <f t="shared" si="1577"/>
        <v>0</v>
      </c>
    </row>
    <row r="9580" spans="1:27" ht="21" customHeight="1" x14ac:dyDescent="0.95">
      <c r="A9580" s="56"/>
      <c r="B9580" s="57"/>
      <c r="C9580" s="57"/>
      <c r="D9580" s="57"/>
      <c r="E9580" s="56"/>
      <c r="F9580" s="57"/>
      <c r="G9580" s="57"/>
      <c r="H9580" s="56"/>
      <c r="I9580" s="56"/>
      <c r="J9580" s="58"/>
      <c r="K9580" s="58"/>
      <c r="L9580" s="13" t="str">
        <f t="shared" si="1578"/>
        <v/>
      </c>
      <c r="M9580" s="13" t="str">
        <f t="shared" si="1579"/>
        <v/>
      </c>
      <c r="Q9580" t="str">
        <f t="shared" si="1580"/>
        <v/>
      </c>
      <c r="R9580" t="str">
        <f t="shared" si="1581"/>
        <v/>
      </c>
      <c r="S9580" t="str">
        <f t="shared" si="1582"/>
        <v/>
      </c>
      <c r="T9580" t="str">
        <f t="shared" si="1583"/>
        <v/>
      </c>
      <c r="U9580" t="str">
        <f t="shared" si="1584"/>
        <v/>
      </c>
      <c r="V9580" t="str">
        <f t="shared" si="1585"/>
        <v/>
      </c>
      <c r="W9580" t="str">
        <f t="shared" si="1586"/>
        <v/>
      </c>
      <c r="X9580">
        <f t="shared" si="1576"/>
        <v>0</v>
      </c>
      <c r="Z9580" t="str">
        <f t="shared" si="1587"/>
        <v/>
      </c>
      <c r="AA9580">
        <f t="shared" si="1577"/>
        <v>0</v>
      </c>
    </row>
    <row r="9581" spans="1:27" ht="21" customHeight="1" x14ac:dyDescent="0.95">
      <c r="A9581" s="56"/>
      <c r="B9581" s="57"/>
      <c r="C9581" s="57"/>
      <c r="D9581" s="57"/>
      <c r="E9581" s="56"/>
      <c r="F9581" s="57"/>
      <c r="G9581" s="57"/>
      <c r="H9581" s="56"/>
      <c r="I9581" s="56"/>
      <c r="J9581" s="58"/>
      <c r="K9581" s="58"/>
      <c r="L9581" s="13" t="str">
        <f t="shared" si="1578"/>
        <v/>
      </c>
      <c r="M9581" s="13" t="str">
        <f t="shared" si="1579"/>
        <v/>
      </c>
      <c r="Q9581" t="str">
        <f t="shared" si="1580"/>
        <v/>
      </c>
      <c r="R9581" t="str">
        <f t="shared" si="1581"/>
        <v/>
      </c>
      <c r="S9581" t="str">
        <f t="shared" si="1582"/>
        <v/>
      </c>
      <c r="T9581" t="str">
        <f t="shared" si="1583"/>
        <v/>
      </c>
      <c r="U9581" t="str">
        <f t="shared" si="1584"/>
        <v/>
      </c>
      <c r="V9581" t="str">
        <f t="shared" si="1585"/>
        <v/>
      </c>
      <c r="W9581" t="str">
        <f t="shared" si="1586"/>
        <v/>
      </c>
      <c r="X9581">
        <f t="shared" si="1576"/>
        <v>0</v>
      </c>
      <c r="Z9581" t="str">
        <f t="shared" si="1587"/>
        <v/>
      </c>
      <c r="AA9581">
        <f t="shared" si="1577"/>
        <v>0</v>
      </c>
    </row>
    <row r="9582" spans="1:27" ht="21" customHeight="1" x14ac:dyDescent="0.95">
      <c r="A9582" s="56"/>
      <c r="B9582" s="57"/>
      <c r="C9582" s="57"/>
      <c r="D9582" s="57"/>
      <c r="E9582" s="56"/>
      <c r="F9582" s="57"/>
      <c r="G9582" s="57"/>
      <c r="H9582" s="56"/>
      <c r="I9582" s="56"/>
      <c r="J9582" s="58"/>
      <c r="K9582" s="58"/>
      <c r="L9582" s="13" t="str">
        <f t="shared" si="1578"/>
        <v/>
      </c>
      <c r="M9582" s="13" t="str">
        <f t="shared" si="1579"/>
        <v/>
      </c>
      <c r="Q9582" t="str">
        <f t="shared" si="1580"/>
        <v/>
      </c>
      <c r="R9582" t="str">
        <f t="shared" si="1581"/>
        <v/>
      </c>
      <c r="S9582" t="str">
        <f t="shared" si="1582"/>
        <v/>
      </c>
      <c r="T9582" t="str">
        <f t="shared" si="1583"/>
        <v/>
      </c>
      <c r="U9582" t="str">
        <f t="shared" si="1584"/>
        <v/>
      </c>
      <c r="V9582" t="str">
        <f t="shared" si="1585"/>
        <v/>
      </c>
      <c r="W9582" t="str">
        <f t="shared" si="1586"/>
        <v/>
      </c>
      <c r="X9582">
        <f t="shared" si="1576"/>
        <v>0</v>
      </c>
      <c r="Z9582" t="str">
        <f t="shared" si="1587"/>
        <v/>
      </c>
      <c r="AA9582">
        <f t="shared" si="1577"/>
        <v>0</v>
      </c>
    </row>
    <row r="9583" spans="1:27" ht="21" customHeight="1" x14ac:dyDescent="0.95">
      <c r="A9583" s="56"/>
      <c r="B9583" s="57"/>
      <c r="C9583" s="57"/>
      <c r="D9583" s="57"/>
      <c r="E9583" s="56"/>
      <c r="F9583" s="57"/>
      <c r="G9583" s="57"/>
      <c r="H9583" s="56"/>
      <c r="I9583" s="56"/>
      <c r="J9583" s="58"/>
      <c r="K9583" s="58"/>
      <c r="L9583" s="13" t="str">
        <f t="shared" si="1578"/>
        <v/>
      </c>
      <c r="M9583" s="13" t="str">
        <f t="shared" si="1579"/>
        <v/>
      </c>
      <c r="Q9583" t="str">
        <f t="shared" si="1580"/>
        <v/>
      </c>
      <c r="R9583" t="str">
        <f t="shared" si="1581"/>
        <v/>
      </c>
      <c r="S9583" t="str">
        <f t="shared" si="1582"/>
        <v/>
      </c>
      <c r="T9583" t="str">
        <f t="shared" si="1583"/>
        <v/>
      </c>
      <c r="U9583" t="str">
        <f t="shared" si="1584"/>
        <v/>
      </c>
      <c r="V9583" t="str">
        <f t="shared" si="1585"/>
        <v/>
      </c>
      <c r="W9583" t="str">
        <f t="shared" si="1586"/>
        <v/>
      </c>
      <c r="X9583">
        <f t="shared" si="1576"/>
        <v>0</v>
      </c>
      <c r="Z9583" t="str">
        <f t="shared" si="1587"/>
        <v/>
      </c>
      <c r="AA9583">
        <f t="shared" si="1577"/>
        <v>0</v>
      </c>
    </row>
    <row r="9584" spans="1:27" ht="21" customHeight="1" x14ac:dyDescent="0.95">
      <c r="A9584" s="56"/>
      <c r="B9584" s="57"/>
      <c r="C9584" s="57"/>
      <c r="D9584" s="57"/>
      <c r="E9584" s="56"/>
      <c r="F9584" s="57"/>
      <c r="G9584" s="57"/>
      <c r="H9584" s="56"/>
      <c r="I9584" s="56"/>
      <c r="J9584" s="58"/>
      <c r="K9584" s="58"/>
      <c r="L9584" s="13" t="str">
        <f t="shared" si="1578"/>
        <v/>
      </c>
      <c r="M9584" s="13" t="str">
        <f t="shared" si="1579"/>
        <v/>
      </c>
      <c r="Q9584" t="str">
        <f t="shared" si="1580"/>
        <v/>
      </c>
      <c r="R9584" t="str">
        <f t="shared" si="1581"/>
        <v/>
      </c>
      <c r="S9584" t="str">
        <f t="shared" si="1582"/>
        <v/>
      </c>
      <c r="T9584" t="str">
        <f t="shared" si="1583"/>
        <v/>
      </c>
      <c r="U9584" t="str">
        <f t="shared" si="1584"/>
        <v/>
      </c>
      <c r="V9584" t="str">
        <f t="shared" si="1585"/>
        <v/>
      </c>
      <c r="W9584" t="str">
        <f t="shared" si="1586"/>
        <v/>
      </c>
      <c r="X9584">
        <f t="shared" si="1576"/>
        <v>0</v>
      </c>
      <c r="Z9584" t="str">
        <f t="shared" si="1587"/>
        <v/>
      </c>
      <c r="AA9584">
        <f t="shared" si="1577"/>
        <v>0</v>
      </c>
    </row>
    <row r="9585" spans="1:27" ht="21" customHeight="1" x14ac:dyDescent="0.95">
      <c r="A9585" s="56"/>
      <c r="B9585" s="57"/>
      <c r="C9585" s="57"/>
      <c r="D9585" s="57"/>
      <c r="E9585" s="56"/>
      <c r="F9585" s="57"/>
      <c r="G9585" s="57"/>
      <c r="H9585" s="56"/>
      <c r="I9585" s="56"/>
      <c r="J9585" s="58"/>
      <c r="K9585" s="58"/>
      <c r="L9585" s="13" t="str">
        <f t="shared" si="1578"/>
        <v/>
      </c>
      <c r="M9585" s="13" t="str">
        <f t="shared" si="1579"/>
        <v/>
      </c>
      <c r="Q9585" t="str">
        <f t="shared" si="1580"/>
        <v/>
      </c>
      <c r="R9585" t="str">
        <f t="shared" si="1581"/>
        <v/>
      </c>
      <c r="S9585" t="str">
        <f t="shared" si="1582"/>
        <v/>
      </c>
      <c r="T9585" t="str">
        <f t="shared" si="1583"/>
        <v/>
      </c>
      <c r="U9585" t="str">
        <f t="shared" si="1584"/>
        <v/>
      </c>
      <c r="V9585" t="str">
        <f t="shared" si="1585"/>
        <v/>
      </c>
      <c r="W9585" t="str">
        <f t="shared" si="1586"/>
        <v/>
      </c>
      <c r="X9585">
        <f t="shared" si="1576"/>
        <v>0</v>
      </c>
      <c r="Z9585" t="str">
        <f t="shared" si="1587"/>
        <v/>
      </c>
      <c r="AA9585">
        <f t="shared" si="1577"/>
        <v>0</v>
      </c>
    </row>
    <row r="9586" spans="1:27" ht="21" customHeight="1" x14ac:dyDescent="0.95">
      <c r="A9586" s="56"/>
      <c r="B9586" s="57"/>
      <c r="C9586" s="57"/>
      <c r="D9586" s="57"/>
      <c r="E9586" s="56"/>
      <c r="F9586" s="57"/>
      <c r="G9586" s="57"/>
      <c r="H9586" s="56"/>
      <c r="I9586" s="56"/>
      <c r="J9586" s="58"/>
      <c r="K9586" s="58"/>
      <c r="L9586" s="13" t="str">
        <f t="shared" si="1578"/>
        <v/>
      </c>
      <c r="M9586" s="13" t="str">
        <f t="shared" si="1579"/>
        <v/>
      </c>
      <c r="Q9586" t="str">
        <f t="shared" si="1580"/>
        <v/>
      </c>
      <c r="R9586" t="str">
        <f t="shared" si="1581"/>
        <v/>
      </c>
      <c r="S9586" t="str">
        <f t="shared" si="1582"/>
        <v/>
      </c>
      <c r="T9586" t="str">
        <f t="shared" si="1583"/>
        <v/>
      </c>
      <c r="U9586" t="str">
        <f t="shared" si="1584"/>
        <v/>
      </c>
      <c r="V9586" t="str">
        <f t="shared" si="1585"/>
        <v/>
      </c>
      <c r="W9586" t="str">
        <f t="shared" si="1586"/>
        <v/>
      </c>
      <c r="X9586">
        <f t="shared" si="1576"/>
        <v>0</v>
      </c>
      <c r="Z9586" t="str">
        <f t="shared" si="1587"/>
        <v/>
      </c>
      <c r="AA9586">
        <f t="shared" si="1577"/>
        <v>0</v>
      </c>
    </row>
    <row r="9587" spans="1:27" ht="21" customHeight="1" x14ac:dyDescent="0.95">
      <c r="A9587" s="56"/>
      <c r="B9587" s="57"/>
      <c r="C9587" s="57"/>
      <c r="D9587" s="57"/>
      <c r="E9587" s="56"/>
      <c r="F9587" s="57"/>
      <c r="G9587" s="57"/>
      <c r="H9587" s="56"/>
      <c r="I9587" s="56"/>
      <c r="J9587" s="58"/>
      <c r="K9587" s="58"/>
      <c r="L9587" s="13" t="str">
        <f t="shared" si="1578"/>
        <v/>
      </c>
      <c r="M9587" s="13" t="str">
        <f t="shared" si="1579"/>
        <v/>
      </c>
      <c r="Q9587" t="str">
        <f t="shared" si="1580"/>
        <v/>
      </c>
      <c r="R9587" t="str">
        <f t="shared" si="1581"/>
        <v/>
      </c>
      <c r="S9587" t="str">
        <f t="shared" si="1582"/>
        <v/>
      </c>
      <c r="T9587" t="str">
        <f t="shared" si="1583"/>
        <v/>
      </c>
      <c r="U9587" t="str">
        <f t="shared" si="1584"/>
        <v/>
      </c>
      <c r="V9587" t="str">
        <f t="shared" si="1585"/>
        <v/>
      </c>
      <c r="W9587" t="str">
        <f t="shared" si="1586"/>
        <v/>
      </c>
      <c r="X9587">
        <f t="shared" si="1576"/>
        <v>0</v>
      </c>
      <c r="Z9587" t="str">
        <f t="shared" si="1587"/>
        <v/>
      </c>
      <c r="AA9587">
        <f t="shared" si="1577"/>
        <v>0</v>
      </c>
    </row>
    <row r="9588" spans="1:27" ht="21" customHeight="1" x14ac:dyDescent="0.95">
      <c r="A9588" s="56"/>
      <c r="B9588" s="57"/>
      <c r="C9588" s="57"/>
      <c r="D9588" s="57"/>
      <c r="E9588" s="56"/>
      <c r="F9588" s="57"/>
      <c r="G9588" s="57"/>
      <c r="H9588" s="56"/>
      <c r="I9588" s="56"/>
      <c r="J9588" s="58"/>
      <c r="K9588" s="58"/>
      <c r="L9588" s="13" t="str">
        <f t="shared" si="1578"/>
        <v/>
      </c>
      <c r="M9588" s="13" t="str">
        <f t="shared" si="1579"/>
        <v/>
      </c>
      <c r="Q9588" t="str">
        <f t="shared" si="1580"/>
        <v/>
      </c>
      <c r="R9588" t="str">
        <f t="shared" si="1581"/>
        <v/>
      </c>
      <c r="S9588" t="str">
        <f t="shared" si="1582"/>
        <v/>
      </c>
      <c r="T9588" t="str">
        <f t="shared" si="1583"/>
        <v/>
      </c>
      <c r="U9588" t="str">
        <f t="shared" si="1584"/>
        <v/>
      </c>
      <c r="V9588" t="str">
        <f t="shared" si="1585"/>
        <v/>
      </c>
      <c r="W9588" t="str">
        <f t="shared" si="1586"/>
        <v/>
      </c>
      <c r="X9588">
        <f t="shared" si="1576"/>
        <v>0</v>
      </c>
      <c r="Z9588" t="str">
        <f t="shared" si="1587"/>
        <v/>
      </c>
      <c r="AA9588">
        <f t="shared" si="1577"/>
        <v>0</v>
      </c>
    </row>
    <row r="9589" spans="1:27" ht="21" customHeight="1" x14ac:dyDescent="0.95">
      <c r="A9589" s="56"/>
      <c r="B9589" s="57"/>
      <c r="C9589" s="57"/>
      <c r="D9589" s="57"/>
      <c r="E9589" s="56"/>
      <c r="F9589" s="57"/>
      <c r="G9589" s="57"/>
      <c r="H9589" s="56"/>
      <c r="I9589" s="56"/>
      <c r="J9589" s="58"/>
      <c r="K9589" s="58"/>
      <c r="L9589" s="13" t="str">
        <f t="shared" si="1578"/>
        <v/>
      </c>
      <c r="M9589" s="13" t="str">
        <f t="shared" si="1579"/>
        <v/>
      </c>
      <c r="Q9589" t="str">
        <f t="shared" si="1580"/>
        <v/>
      </c>
      <c r="R9589" t="str">
        <f t="shared" si="1581"/>
        <v/>
      </c>
      <c r="S9589" t="str">
        <f t="shared" si="1582"/>
        <v/>
      </c>
      <c r="T9589" t="str">
        <f t="shared" si="1583"/>
        <v/>
      </c>
      <c r="U9589" t="str">
        <f t="shared" si="1584"/>
        <v/>
      </c>
      <c r="V9589" t="str">
        <f t="shared" si="1585"/>
        <v/>
      </c>
      <c r="W9589" t="str">
        <f t="shared" si="1586"/>
        <v/>
      </c>
      <c r="X9589">
        <f t="shared" ref="X9589:X9652" si="1588">IF($T9589="",N($X9588),IF(MATCH($T9589,$T$6:$T$10005,0)=ROW()-5,N($X9588)+1,N($X9588)))</f>
        <v>0</v>
      </c>
      <c r="Z9589" t="str">
        <f t="shared" si="1587"/>
        <v/>
      </c>
      <c r="AA9589">
        <f t="shared" ref="AA9589:AA9652" si="1589">IF($V9589="",N($AA9588),IF(MATCH($V9589,$V$6:$V$10005,0)=ROW()-5,N($AA9588)+1,N($AA9588)))</f>
        <v>0</v>
      </c>
    </row>
    <row r="9590" spans="1:27" ht="21" customHeight="1" x14ac:dyDescent="0.95">
      <c r="A9590" s="56"/>
      <c r="B9590" s="57"/>
      <c r="C9590" s="57"/>
      <c r="D9590" s="57"/>
      <c r="E9590" s="56"/>
      <c r="F9590" s="57"/>
      <c r="G9590" s="57"/>
      <c r="H9590" s="56"/>
      <c r="I9590" s="56"/>
      <c r="J9590" s="58"/>
      <c r="K9590" s="58"/>
      <c r="L9590" s="13" t="str">
        <f t="shared" si="1578"/>
        <v/>
      </c>
      <c r="M9590" s="13" t="str">
        <f t="shared" si="1579"/>
        <v/>
      </c>
      <c r="Q9590" t="str">
        <f t="shared" si="1580"/>
        <v/>
      </c>
      <c r="R9590" t="str">
        <f t="shared" si="1581"/>
        <v/>
      </c>
      <c r="S9590" t="str">
        <f t="shared" si="1582"/>
        <v/>
      </c>
      <c r="T9590" t="str">
        <f t="shared" si="1583"/>
        <v/>
      </c>
      <c r="U9590" t="str">
        <f t="shared" si="1584"/>
        <v/>
      </c>
      <c r="V9590" t="str">
        <f t="shared" si="1585"/>
        <v/>
      </c>
      <c r="W9590" t="str">
        <f t="shared" si="1586"/>
        <v/>
      </c>
      <c r="X9590">
        <f t="shared" si="1588"/>
        <v>0</v>
      </c>
      <c r="Z9590" t="str">
        <f t="shared" si="1587"/>
        <v/>
      </c>
      <c r="AA9590">
        <f t="shared" si="1589"/>
        <v>0</v>
      </c>
    </row>
    <row r="9591" spans="1:27" ht="21" customHeight="1" x14ac:dyDescent="0.95">
      <c r="A9591" s="56"/>
      <c r="B9591" s="57"/>
      <c r="C9591" s="57"/>
      <c r="D9591" s="57"/>
      <c r="E9591" s="56"/>
      <c r="F9591" s="57"/>
      <c r="G9591" s="57"/>
      <c r="H9591" s="56"/>
      <c r="I9591" s="56"/>
      <c r="J9591" s="58"/>
      <c r="K9591" s="58"/>
      <c r="L9591" s="13" t="str">
        <f t="shared" si="1578"/>
        <v/>
      </c>
      <c r="M9591" s="13" t="str">
        <f t="shared" si="1579"/>
        <v/>
      </c>
      <c r="Q9591" t="str">
        <f t="shared" si="1580"/>
        <v/>
      </c>
      <c r="R9591" t="str">
        <f t="shared" si="1581"/>
        <v/>
      </c>
      <c r="S9591" t="str">
        <f t="shared" si="1582"/>
        <v/>
      </c>
      <c r="T9591" t="str">
        <f t="shared" si="1583"/>
        <v/>
      </c>
      <c r="U9591" t="str">
        <f t="shared" si="1584"/>
        <v/>
      </c>
      <c r="V9591" t="str">
        <f t="shared" si="1585"/>
        <v/>
      </c>
      <c r="W9591" t="str">
        <f t="shared" si="1586"/>
        <v/>
      </c>
      <c r="X9591">
        <f t="shared" si="1588"/>
        <v>0</v>
      </c>
      <c r="Z9591" t="str">
        <f t="shared" si="1587"/>
        <v/>
      </c>
      <c r="AA9591">
        <f t="shared" si="1589"/>
        <v>0</v>
      </c>
    </row>
    <row r="9592" spans="1:27" ht="21" customHeight="1" x14ac:dyDescent="0.95">
      <c r="A9592" s="56"/>
      <c r="B9592" s="57"/>
      <c r="C9592" s="57"/>
      <c r="D9592" s="57"/>
      <c r="E9592" s="56"/>
      <c r="F9592" s="57"/>
      <c r="G9592" s="57"/>
      <c r="H9592" s="56"/>
      <c r="I9592" s="56"/>
      <c r="J9592" s="58"/>
      <c r="K9592" s="58"/>
      <c r="L9592" s="13" t="str">
        <f t="shared" si="1578"/>
        <v/>
      </c>
      <c r="M9592" s="13" t="str">
        <f t="shared" si="1579"/>
        <v/>
      </c>
      <c r="Q9592" t="str">
        <f t="shared" si="1580"/>
        <v/>
      </c>
      <c r="R9592" t="str">
        <f t="shared" si="1581"/>
        <v/>
      </c>
      <c r="S9592" t="str">
        <f t="shared" si="1582"/>
        <v/>
      </c>
      <c r="T9592" t="str">
        <f t="shared" si="1583"/>
        <v/>
      </c>
      <c r="U9592" t="str">
        <f t="shared" si="1584"/>
        <v/>
      </c>
      <c r="V9592" t="str">
        <f t="shared" si="1585"/>
        <v/>
      </c>
      <c r="W9592" t="str">
        <f t="shared" si="1586"/>
        <v/>
      </c>
      <c r="X9592">
        <f t="shared" si="1588"/>
        <v>0</v>
      </c>
      <c r="Z9592" t="str">
        <f t="shared" si="1587"/>
        <v/>
      </c>
      <c r="AA9592">
        <f t="shared" si="1589"/>
        <v>0</v>
      </c>
    </row>
    <row r="9593" spans="1:27" ht="21" customHeight="1" x14ac:dyDescent="0.95">
      <c r="A9593" s="56"/>
      <c r="B9593" s="57"/>
      <c r="C9593" s="57"/>
      <c r="D9593" s="57"/>
      <c r="E9593" s="56"/>
      <c r="F9593" s="57"/>
      <c r="G9593" s="57"/>
      <c r="H9593" s="56"/>
      <c r="I9593" s="56"/>
      <c r="J9593" s="58"/>
      <c r="K9593" s="58"/>
      <c r="L9593" s="13" t="str">
        <f t="shared" si="1578"/>
        <v/>
      </c>
      <c r="M9593" s="13" t="str">
        <f t="shared" si="1579"/>
        <v/>
      </c>
      <c r="Q9593" t="str">
        <f t="shared" si="1580"/>
        <v/>
      </c>
      <c r="R9593" t="str">
        <f t="shared" si="1581"/>
        <v/>
      </c>
      <c r="S9593" t="str">
        <f t="shared" si="1582"/>
        <v/>
      </c>
      <c r="T9593" t="str">
        <f t="shared" si="1583"/>
        <v/>
      </c>
      <c r="U9593" t="str">
        <f t="shared" si="1584"/>
        <v/>
      </c>
      <c r="V9593" t="str">
        <f t="shared" si="1585"/>
        <v/>
      </c>
      <c r="W9593" t="str">
        <f t="shared" si="1586"/>
        <v/>
      </c>
      <c r="X9593">
        <f t="shared" si="1588"/>
        <v>0</v>
      </c>
      <c r="Z9593" t="str">
        <f t="shared" si="1587"/>
        <v/>
      </c>
      <c r="AA9593">
        <f t="shared" si="1589"/>
        <v>0</v>
      </c>
    </row>
    <row r="9594" spans="1:27" ht="21" customHeight="1" x14ac:dyDescent="0.95">
      <c r="A9594" s="56"/>
      <c r="B9594" s="57"/>
      <c r="C9594" s="57"/>
      <c r="D9594" s="57"/>
      <c r="E9594" s="56"/>
      <c r="F9594" s="57"/>
      <c r="G9594" s="57"/>
      <c r="H9594" s="56"/>
      <c r="I9594" s="56"/>
      <c r="J9594" s="58"/>
      <c r="K9594" s="58"/>
      <c r="L9594" s="13" t="str">
        <f t="shared" si="1578"/>
        <v/>
      </c>
      <c r="M9594" s="13" t="str">
        <f t="shared" si="1579"/>
        <v/>
      </c>
      <c r="Q9594" t="str">
        <f t="shared" si="1580"/>
        <v/>
      </c>
      <c r="R9594" t="str">
        <f t="shared" si="1581"/>
        <v/>
      </c>
      <c r="S9594" t="str">
        <f t="shared" si="1582"/>
        <v/>
      </c>
      <c r="T9594" t="str">
        <f t="shared" si="1583"/>
        <v/>
      </c>
      <c r="U9594" t="str">
        <f t="shared" si="1584"/>
        <v/>
      </c>
      <c r="V9594" t="str">
        <f t="shared" si="1585"/>
        <v/>
      </c>
      <c r="W9594" t="str">
        <f t="shared" si="1586"/>
        <v/>
      </c>
      <c r="X9594">
        <f t="shared" si="1588"/>
        <v>0</v>
      </c>
      <c r="Z9594" t="str">
        <f t="shared" si="1587"/>
        <v/>
      </c>
      <c r="AA9594">
        <f t="shared" si="1589"/>
        <v>0</v>
      </c>
    </row>
    <row r="9595" spans="1:27" ht="21" customHeight="1" x14ac:dyDescent="0.95">
      <c r="A9595" s="56"/>
      <c r="B9595" s="57"/>
      <c r="C9595" s="57"/>
      <c r="D9595" s="57"/>
      <c r="E9595" s="56"/>
      <c r="F9595" s="57"/>
      <c r="G9595" s="57"/>
      <c r="H9595" s="56"/>
      <c r="I9595" s="56"/>
      <c r="J9595" s="58"/>
      <c r="K9595" s="58"/>
      <c r="L9595" s="13" t="str">
        <f t="shared" si="1578"/>
        <v/>
      </c>
      <c r="M9595" s="13" t="str">
        <f t="shared" si="1579"/>
        <v/>
      </c>
      <c r="Q9595" t="str">
        <f t="shared" si="1580"/>
        <v/>
      </c>
      <c r="R9595" t="str">
        <f t="shared" si="1581"/>
        <v/>
      </c>
      <c r="S9595" t="str">
        <f t="shared" si="1582"/>
        <v/>
      </c>
      <c r="T9595" t="str">
        <f t="shared" si="1583"/>
        <v/>
      </c>
      <c r="U9595" t="str">
        <f t="shared" si="1584"/>
        <v/>
      </c>
      <c r="V9595" t="str">
        <f t="shared" si="1585"/>
        <v/>
      </c>
      <c r="W9595" t="str">
        <f t="shared" si="1586"/>
        <v/>
      </c>
      <c r="X9595">
        <f t="shared" si="1588"/>
        <v>0</v>
      </c>
      <c r="Z9595" t="str">
        <f t="shared" si="1587"/>
        <v/>
      </c>
      <c r="AA9595">
        <f t="shared" si="1589"/>
        <v>0</v>
      </c>
    </row>
    <row r="9596" spans="1:27" ht="21" customHeight="1" x14ac:dyDescent="0.95">
      <c r="A9596" s="56"/>
      <c r="B9596" s="57"/>
      <c r="C9596" s="57"/>
      <c r="D9596" s="57"/>
      <c r="E9596" s="56"/>
      <c r="F9596" s="57"/>
      <c r="G9596" s="57"/>
      <c r="H9596" s="56"/>
      <c r="I9596" s="56"/>
      <c r="J9596" s="58"/>
      <c r="K9596" s="58"/>
      <c r="L9596" s="13" t="str">
        <f t="shared" si="1578"/>
        <v/>
      </c>
      <c r="M9596" s="13" t="str">
        <f t="shared" si="1579"/>
        <v/>
      </c>
      <c r="Q9596" t="str">
        <f t="shared" si="1580"/>
        <v/>
      </c>
      <c r="R9596" t="str">
        <f t="shared" si="1581"/>
        <v/>
      </c>
      <c r="S9596" t="str">
        <f t="shared" si="1582"/>
        <v/>
      </c>
      <c r="T9596" t="str">
        <f t="shared" si="1583"/>
        <v/>
      </c>
      <c r="U9596" t="str">
        <f t="shared" si="1584"/>
        <v/>
      </c>
      <c r="V9596" t="str">
        <f t="shared" si="1585"/>
        <v/>
      </c>
      <c r="W9596" t="str">
        <f t="shared" si="1586"/>
        <v/>
      </c>
      <c r="X9596">
        <f t="shared" si="1588"/>
        <v>0</v>
      </c>
      <c r="Z9596" t="str">
        <f t="shared" si="1587"/>
        <v/>
      </c>
      <c r="AA9596">
        <f t="shared" si="1589"/>
        <v>0</v>
      </c>
    </row>
    <row r="9597" spans="1:27" ht="21" customHeight="1" x14ac:dyDescent="0.95">
      <c r="A9597" s="56"/>
      <c r="B9597" s="57"/>
      <c r="C9597" s="57"/>
      <c r="D9597" s="57"/>
      <c r="E9597" s="56"/>
      <c r="F9597" s="57"/>
      <c r="G9597" s="57"/>
      <c r="H9597" s="56"/>
      <c r="I9597" s="56"/>
      <c r="J9597" s="58"/>
      <c r="K9597" s="58"/>
      <c r="L9597" s="13" t="str">
        <f t="shared" si="1578"/>
        <v/>
      </c>
      <c r="M9597" s="13" t="str">
        <f t="shared" si="1579"/>
        <v/>
      </c>
      <c r="Q9597" t="str">
        <f t="shared" si="1580"/>
        <v/>
      </c>
      <c r="R9597" t="str">
        <f t="shared" si="1581"/>
        <v/>
      </c>
      <c r="S9597" t="str">
        <f t="shared" si="1582"/>
        <v/>
      </c>
      <c r="T9597" t="str">
        <f t="shared" si="1583"/>
        <v/>
      </c>
      <c r="U9597" t="str">
        <f t="shared" si="1584"/>
        <v/>
      </c>
      <c r="V9597" t="str">
        <f t="shared" si="1585"/>
        <v/>
      </c>
      <c r="W9597" t="str">
        <f t="shared" si="1586"/>
        <v/>
      </c>
      <c r="X9597">
        <f t="shared" si="1588"/>
        <v>0</v>
      </c>
      <c r="Z9597" t="str">
        <f t="shared" si="1587"/>
        <v/>
      </c>
      <c r="AA9597">
        <f t="shared" si="1589"/>
        <v>0</v>
      </c>
    </row>
    <row r="9598" spans="1:27" ht="21" customHeight="1" x14ac:dyDescent="0.95">
      <c r="A9598" s="56"/>
      <c r="B9598" s="57"/>
      <c r="C9598" s="57"/>
      <c r="D9598" s="57"/>
      <c r="E9598" s="56"/>
      <c r="F9598" s="57"/>
      <c r="G9598" s="57"/>
      <c r="H9598" s="56"/>
      <c r="I9598" s="56"/>
      <c r="J9598" s="58"/>
      <c r="K9598" s="58"/>
      <c r="L9598" s="13" t="str">
        <f t="shared" si="1578"/>
        <v/>
      </c>
      <c r="M9598" s="13" t="str">
        <f t="shared" si="1579"/>
        <v/>
      </c>
      <c r="Q9598" t="str">
        <f t="shared" si="1580"/>
        <v/>
      </c>
      <c r="R9598" t="str">
        <f t="shared" si="1581"/>
        <v/>
      </c>
      <c r="S9598" t="str">
        <f t="shared" si="1582"/>
        <v/>
      </c>
      <c r="T9598" t="str">
        <f t="shared" si="1583"/>
        <v/>
      </c>
      <c r="U9598" t="str">
        <f t="shared" si="1584"/>
        <v/>
      </c>
      <c r="V9598" t="str">
        <f t="shared" si="1585"/>
        <v/>
      </c>
      <c r="W9598" t="str">
        <f t="shared" si="1586"/>
        <v/>
      </c>
      <c r="X9598">
        <f t="shared" si="1588"/>
        <v>0</v>
      </c>
      <c r="Z9598" t="str">
        <f t="shared" si="1587"/>
        <v/>
      </c>
      <c r="AA9598">
        <f t="shared" si="1589"/>
        <v>0</v>
      </c>
    </row>
    <row r="9599" spans="1:27" ht="21" customHeight="1" x14ac:dyDescent="0.95">
      <c r="A9599" s="56"/>
      <c r="B9599" s="57"/>
      <c r="C9599" s="57"/>
      <c r="D9599" s="57"/>
      <c r="E9599" s="56"/>
      <c r="F9599" s="57"/>
      <c r="G9599" s="57"/>
      <c r="H9599" s="56"/>
      <c r="I9599" s="56"/>
      <c r="J9599" s="58"/>
      <c r="K9599" s="58"/>
      <c r="L9599" s="13" t="str">
        <f t="shared" si="1578"/>
        <v/>
      </c>
      <c r="M9599" s="13" t="str">
        <f t="shared" si="1579"/>
        <v/>
      </c>
      <c r="Q9599" t="str">
        <f t="shared" si="1580"/>
        <v/>
      </c>
      <c r="R9599" t="str">
        <f t="shared" si="1581"/>
        <v/>
      </c>
      <c r="S9599" t="str">
        <f t="shared" si="1582"/>
        <v/>
      </c>
      <c r="T9599" t="str">
        <f t="shared" si="1583"/>
        <v/>
      </c>
      <c r="U9599" t="str">
        <f t="shared" si="1584"/>
        <v/>
      </c>
      <c r="V9599" t="str">
        <f t="shared" si="1585"/>
        <v/>
      </c>
      <c r="W9599" t="str">
        <f t="shared" si="1586"/>
        <v/>
      </c>
      <c r="X9599">
        <f t="shared" si="1588"/>
        <v>0</v>
      </c>
      <c r="Z9599" t="str">
        <f t="shared" si="1587"/>
        <v/>
      </c>
      <c r="AA9599">
        <f t="shared" si="1589"/>
        <v>0</v>
      </c>
    </row>
    <row r="9600" spans="1:27" ht="21" customHeight="1" x14ac:dyDescent="0.95">
      <c r="A9600" s="56"/>
      <c r="B9600" s="57"/>
      <c r="C9600" s="57"/>
      <c r="D9600" s="57"/>
      <c r="E9600" s="56"/>
      <c r="F9600" s="57"/>
      <c r="G9600" s="57"/>
      <c r="H9600" s="56"/>
      <c r="I9600" s="56"/>
      <c r="J9600" s="58"/>
      <c r="K9600" s="58"/>
      <c r="L9600" s="13" t="str">
        <f t="shared" si="1578"/>
        <v/>
      </c>
      <c r="M9600" s="13" t="str">
        <f t="shared" si="1579"/>
        <v/>
      </c>
      <c r="Q9600" t="str">
        <f t="shared" si="1580"/>
        <v/>
      </c>
      <c r="R9600" t="str">
        <f t="shared" si="1581"/>
        <v/>
      </c>
      <c r="S9600" t="str">
        <f t="shared" si="1582"/>
        <v/>
      </c>
      <c r="T9600" t="str">
        <f t="shared" si="1583"/>
        <v/>
      </c>
      <c r="U9600" t="str">
        <f t="shared" si="1584"/>
        <v/>
      </c>
      <c r="V9600" t="str">
        <f t="shared" si="1585"/>
        <v/>
      </c>
      <c r="W9600" t="str">
        <f t="shared" si="1586"/>
        <v/>
      </c>
      <c r="X9600">
        <f t="shared" si="1588"/>
        <v>0</v>
      </c>
      <c r="Z9600" t="str">
        <f t="shared" si="1587"/>
        <v/>
      </c>
      <c r="AA9600">
        <f t="shared" si="1589"/>
        <v>0</v>
      </c>
    </row>
    <row r="9601" spans="1:27" ht="21" customHeight="1" x14ac:dyDescent="0.95">
      <c r="A9601" s="56"/>
      <c r="B9601" s="57"/>
      <c r="C9601" s="57"/>
      <c r="D9601" s="57"/>
      <c r="E9601" s="56"/>
      <c r="F9601" s="57"/>
      <c r="G9601" s="57"/>
      <c r="H9601" s="56"/>
      <c r="I9601" s="56"/>
      <c r="J9601" s="58"/>
      <c r="K9601" s="58"/>
      <c r="L9601" s="13" t="str">
        <f t="shared" si="1578"/>
        <v/>
      </c>
      <c r="M9601" s="13" t="str">
        <f t="shared" si="1579"/>
        <v/>
      </c>
      <c r="Q9601" t="str">
        <f t="shared" si="1580"/>
        <v/>
      </c>
      <c r="R9601" t="str">
        <f t="shared" si="1581"/>
        <v/>
      </c>
      <c r="S9601" t="str">
        <f t="shared" si="1582"/>
        <v/>
      </c>
      <c r="T9601" t="str">
        <f t="shared" si="1583"/>
        <v/>
      </c>
      <c r="U9601" t="str">
        <f t="shared" si="1584"/>
        <v/>
      </c>
      <c r="V9601" t="str">
        <f t="shared" si="1585"/>
        <v/>
      </c>
      <c r="W9601" t="str">
        <f t="shared" si="1586"/>
        <v/>
      </c>
      <c r="X9601">
        <f t="shared" si="1588"/>
        <v>0</v>
      </c>
      <c r="Z9601" t="str">
        <f t="shared" si="1587"/>
        <v/>
      </c>
      <c r="AA9601">
        <f t="shared" si="1589"/>
        <v>0</v>
      </c>
    </row>
    <row r="9602" spans="1:27" ht="21" customHeight="1" x14ac:dyDescent="0.95">
      <c r="A9602" s="56"/>
      <c r="B9602" s="57"/>
      <c r="C9602" s="57"/>
      <c r="D9602" s="57"/>
      <c r="E9602" s="56"/>
      <c r="F9602" s="57"/>
      <c r="G9602" s="57"/>
      <c r="H9602" s="56"/>
      <c r="I9602" s="56"/>
      <c r="J9602" s="58"/>
      <c r="K9602" s="58"/>
      <c r="L9602" s="13" t="str">
        <f t="shared" si="1578"/>
        <v/>
      </c>
      <c r="M9602" s="13" t="str">
        <f t="shared" si="1579"/>
        <v/>
      </c>
      <c r="Q9602" t="str">
        <f t="shared" si="1580"/>
        <v/>
      </c>
      <c r="R9602" t="str">
        <f t="shared" si="1581"/>
        <v/>
      </c>
      <c r="S9602" t="str">
        <f t="shared" si="1582"/>
        <v/>
      </c>
      <c r="T9602" t="str">
        <f t="shared" si="1583"/>
        <v/>
      </c>
      <c r="U9602" t="str">
        <f t="shared" si="1584"/>
        <v/>
      </c>
      <c r="V9602" t="str">
        <f t="shared" si="1585"/>
        <v/>
      </c>
      <c r="W9602" t="str">
        <f t="shared" si="1586"/>
        <v/>
      </c>
      <c r="X9602">
        <f t="shared" si="1588"/>
        <v>0</v>
      </c>
      <c r="Z9602" t="str">
        <f t="shared" si="1587"/>
        <v/>
      </c>
      <c r="AA9602">
        <f t="shared" si="1589"/>
        <v>0</v>
      </c>
    </row>
    <row r="9603" spans="1:27" ht="21" customHeight="1" x14ac:dyDescent="0.95">
      <c r="A9603" s="56"/>
      <c r="B9603" s="57"/>
      <c r="C9603" s="57"/>
      <c r="D9603" s="57"/>
      <c r="E9603" s="56"/>
      <c r="F9603" s="57"/>
      <c r="G9603" s="57"/>
      <c r="H9603" s="56"/>
      <c r="I9603" s="56"/>
      <c r="J9603" s="58"/>
      <c r="K9603" s="58"/>
      <c r="L9603" s="13" t="str">
        <f t="shared" si="1578"/>
        <v/>
      </c>
      <c r="M9603" s="13" t="str">
        <f t="shared" si="1579"/>
        <v/>
      </c>
      <c r="Q9603" t="str">
        <f t="shared" si="1580"/>
        <v/>
      </c>
      <c r="R9603" t="str">
        <f t="shared" si="1581"/>
        <v/>
      </c>
      <c r="S9603" t="str">
        <f t="shared" si="1582"/>
        <v/>
      </c>
      <c r="T9603" t="str">
        <f t="shared" si="1583"/>
        <v/>
      </c>
      <c r="U9603" t="str">
        <f t="shared" si="1584"/>
        <v/>
      </c>
      <c r="V9603" t="str">
        <f t="shared" si="1585"/>
        <v/>
      </c>
      <c r="W9603" t="str">
        <f t="shared" si="1586"/>
        <v/>
      </c>
      <c r="X9603">
        <f t="shared" si="1588"/>
        <v>0</v>
      </c>
      <c r="Z9603" t="str">
        <f t="shared" si="1587"/>
        <v/>
      </c>
      <c r="AA9603">
        <f t="shared" si="1589"/>
        <v>0</v>
      </c>
    </row>
    <row r="9604" spans="1:27" ht="21" customHeight="1" x14ac:dyDescent="0.95">
      <c r="A9604" s="56"/>
      <c r="B9604" s="57"/>
      <c r="C9604" s="57"/>
      <c r="D9604" s="57"/>
      <c r="E9604" s="56"/>
      <c r="F9604" s="57"/>
      <c r="G9604" s="57"/>
      <c r="H9604" s="56"/>
      <c r="I9604" s="56"/>
      <c r="J9604" s="58"/>
      <c r="K9604" s="58"/>
      <c r="L9604" s="13" t="str">
        <f t="shared" ref="L9604:L9667" si="1590">IF(OR($A9604="",AND($J9604="",$K9604="")),"",ROUND(N($J9604)-N($K9604),2))</f>
        <v/>
      </c>
      <c r="M9604" s="13" t="str">
        <f t="shared" ref="M9604:M9667" si="1591">IF(OR($A9604="",AND($J9604="",$K9604="")),"",MIN($J9604,$K9604))</f>
        <v/>
      </c>
      <c r="Q9604" t="str">
        <f t="shared" ref="Q9604:Q9667" si="1592">IF($A9604="","",$D9604&amp;"("&amp;SUBSTITUTE($E9604," ","")&amp;")")</f>
        <v/>
      </c>
      <c r="R9604" t="str">
        <f t="shared" ref="R9604:R9667" si="1593">IF($A9604="","",$B9604&amp;" - "&amp;$C9604)</f>
        <v/>
      </c>
      <c r="S9604" t="str">
        <f t="shared" ref="S9604:S9667" si="1594">IF($A9604="","",$R9604&amp;"|"&amp;$Q9604)</f>
        <v/>
      </c>
      <c r="T9604" t="str">
        <f t="shared" ref="T9604:T9667" si="1595">IF($A9604="","",$S9604&amp;"|"&amp;$F9604)</f>
        <v/>
      </c>
      <c r="U9604" t="str">
        <f t="shared" ref="U9604:U9667" si="1596">IF($A9604="","",$R9604&amp;"("&amp;$E9604&amp;")")</f>
        <v/>
      </c>
      <c r="V9604" t="str">
        <f t="shared" ref="V9604:V9667" si="1597">IF($A9604="","",$F9604&amp;"|"&amp;$U9604&amp;"|"&amp;$D9604)</f>
        <v/>
      </c>
      <c r="W9604" t="str">
        <f t="shared" si="1586"/>
        <v/>
      </c>
      <c r="X9604">
        <f t="shared" si="1588"/>
        <v>0</v>
      </c>
      <c r="Z9604" t="str">
        <f t="shared" si="1587"/>
        <v/>
      </c>
      <c r="AA9604">
        <f t="shared" si="1589"/>
        <v>0</v>
      </c>
    </row>
    <row r="9605" spans="1:27" ht="21" customHeight="1" x14ac:dyDescent="0.95">
      <c r="A9605" s="56"/>
      <c r="B9605" s="57"/>
      <c r="C9605" s="57"/>
      <c r="D9605" s="57"/>
      <c r="E9605" s="56"/>
      <c r="F9605" s="57"/>
      <c r="G9605" s="57"/>
      <c r="H9605" s="56"/>
      <c r="I9605" s="56"/>
      <c r="J9605" s="58"/>
      <c r="K9605" s="58"/>
      <c r="L9605" s="13" t="str">
        <f t="shared" si="1590"/>
        <v/>
      </c>
      <c r="M9605" s="13" t="str">
        <f t="shared" si="1591"/>
        <v/>
      </c>
      <c r="Q9605" t="str">
        <f t="shared" si="1592"/>
        <v/>
      </c>
      <c r="R9605" t="str">
        <f t="shared" si="1593"/>
        <v/>
      </c>
      <c r="S9605" t="str">
        <f t="shared" si="1594"/>
        <v/>
      </c>
      <c r="T9605" t="str">
        <f t="shared" si="1595"/>
        <v/>
      </c>
      <c r="U9605" t="str">
        <f t="shared" si="1596"/>
        <v/>
      </c>
      <c r="V9605" t="str">
        <f t="shared" si="1597"/>
        <v/>
      </c>
      <c r="W9605" t="str">
        <f t="shared" si="1586"/>
        <v/>
      </c>
      <c r="X9605">
        <f t="shared" si="1588"/>
        <v>0</v>
      </c>
      <c r="Z9605" t="str">
        <f t="shared" si="1587"/>
        <v/>
      </c>
      <c r="AA9605">
        <f t="shared" si="1589"/>
        <v>0</v>
      </c>
    </row>
    <row r="9606" spans="1:27" ht="21" customHeight="1" x14ac:dyDescent="0.95">
      <c r="A9606" s="56"/>
      <c r="B9606" s="57"/>
      <c r="C9606" s="57"/>
      <c r="D9606" s="57"/>
      <c r="E9606" s="56"/>
      <c r="F9606" s="57"/>
      <c r="G9606" s="57"/>
      <c r="H9606" s="56"/>
      <c r="I9606" s="56"/>
      <c r="J9606" s="58"/>
      <c r="K9606" s="58"/>
      <c r="L9606" s="13" t="str">
        <f t="shared" si="1590"/>
        <v/>
      </c>
      <c r="M9606" s="13" t="str">
        <f t="shared" si="1591"/>
        <v/>
      </c>
      <c r="Q9606" t="str">
        <f t="shared" si="1592"/>
        <v/>
      </c>
      <c r="R9606" t="str">
        <f t="shared" si="1593"/>
        <v/>
      </c>
      <c r="S9606" t="str">
        <f t="shared" si="1594"/>
        <v/>
      </c>
      <c r="T9606" t="str">
        <f t="shared" si="1595"/>
        <v/>
      </c>
      <c r="U9606" t="str">
        <f t="shared" si="1596"/>
        <v/>
      </c>
      <c r="V9606" t="str">
        <f t="shared" si="1597"/>
        <v/>
      </c>
      <c r="W9606" t="str">
        <f t="shared" ref="W9606:W9669" si="1598">IF($T9606="","",IF($X9606&gt;N($X9605),$X9606,""))</f>
        <v/>
      </c>
      <c r="X9606">
        <f t="shared" si="1588"/>
        <v>0</v>
      </c>
      <c r="Z9606" t="str">
        <f t="shared" ref="Z9606:Z9669" si="1599">IF($V9606="","",IF($AA9606&gt;N($AA9605),$AA9606,""))</f>
        <v/>
      </c>
      <c r="AA9606">
        <f t="shared" si="1589"/>
        <v>0</v>
      </c>
    </row>
    <row r="9607" spans="1:27" ht="21" customHeight="1" x14ac:dyDescent="0.95">
      <c r="A9607" s="56"/>
      <c r="B9607" s="57"/>
      <c r="C9607" s="57"/>
      <c r="D9607" s="57"/>
      <c r="E9607" s="56"/>
      <c r="F9607" s="57"/>
      <c r="G9607" s="57"/>
      <c r="H9607" s="56"/>
      <c r="I9607" s="56"/>
      <c r="J9607" s="58"/>
      <c r="K9607" s="58"/>
      <c r="L9607" s="13" t="str">
        <f t="shared" si="1590"/>
        <v/>
      </c>
      <c r="M9607" s="13" t="str">
        <f t="shared" si="1591"/>
        <v/>
      </c>
      <c r="Q9607" t="str">
        <f t="shared" si="1592"/>
        <v/>
      </c>
      <c r="R9607" t="str">
        <f t="shared" si="1593"/>
        <v/>
      </c>
      <c r="S9607" t="str">
        <f t="shared" si="1594"/>
        <v/>
      </c>
      <c r="T9607" t="str">
        <f t="shared" si="1595"/>
        <v/>
      </c>
      <c r="U9607" t="str">
        <f t="shared" si="1596"/>
        <v/>
      </c>
      <c r="V9607" t="str">
        <f t="shared" si="1597"/>
        <v/>
      </c>
      <c r="W9607" t="str">
        <f t="shared" si="1598"/>
        <v/>
      </c>
      <c r="X9607">
        <f t="shared" si="1588"/>
        <v>0</v>
      </c>
      <c r="Z9607" t="str">
        <f t="shared" si="1599"/>
        <v/>
      </c>
      <c r="AA9607">
        <f t="shared" si="1589"/>
        <v>0</v>
      </c>
    </row>
    <row r="9608" spans="1:27" ht="21" customHeight="1" x14ac:dyDescent="0.95">
      <c r="A9608" s="56"/>
      <c r="B9608" s="57"/>
      <c r="C9608" s="57"/>
      <c r="D9608" s="57"/>
      <c r="E9608" s="56"/>
      <c r="F9608" s="57"/>
      <c r="G9608" s="57"/>
      <c r="H9608" s="56"/>
      <c r="I9608" s="56"/>
      <c r="J9608" s="58"/>
      <c r="K9608" s="58"/>
      <c r="L9608" s="13" t="str">
        <f t="shared" si="1590"/>
        <v/>
      </c>
      <c r="M9608" s="13" t="str">
        <f t="shared" si="1591"/>
        <v/>
      </c>
      <c r="Q9608" t="str">
        <f t="shared" si="1592"/>
        <v/>
      </c>
      <c r="R9608" t="str">
        <f t="shared" si="1593"/>
        <v/>
      </c>
      <c r="S9608" t="str">
        <f t="shared" si="1594"/>
        <v/>
      </c>
      <c r="T9608" t="str">
        <f t="shared" si="1595"/>
        <v/>
      </c>
      <c r="U9608" t="str">
        <f t="shared" si="1596"/>
        <v/>
      </c>
      <c r="V9608" t="str">
        <f t="shared" si="1597"/>
        <v/>
      </c>
      <c r="W9608" t="str">
        <f t="shared" si="1598"/>
        <v/>
      </c>
      <c r="X9608">
        <f t="shared" si="1588"/>
        <v>0</v>
      </c>
      <c r="Z9608" t="str">
        <f t="shared" si="1599"/>
        <v/>
      </c>
      <c r="AA9608">
        <f t="shared" si="1589"/>
        <v>0</v>
      </c>
    </row>
    <row r="9609" spans="1:27" ht="21" customHeight="1" x14ac:dyDescent="0.95">
      <c r="A9609" s="56"/>
      <c r="B9609" s="57"/>
      <c r="C9609" s="57"/>
      <c r="D9609" s="57"/>
      <c r="E9609" s="56"/>
      <c r="F9609" s="57"/>
      <c r="G9609" s="57"/>
      <c r="H9609" s="56"/>
      <c r="I9609" s="56"/>
      <c r="J9609" s="58"/>
      <c r="K9609" s="58"/>
      <c r="L9609" s="13" t="str">
        <f t="shared" si="1590"/>
        <v/>
      </c>
      <c r="M9609" s="13" t="str">
        <f t="shared" si="1591"/>
        <v/>
      </c>
      <c r="Q9609" t="str">
        <f t="shared" si="1592"/>
        <v/>
      </c>
      <c r="R9609" t="str">
        <f t="shared" si="1593"/>
        <v/>
      </c>
      <c r="S9609" t="str">
        <f t="shared" si="1594"/>
        <v/>
      </c>
      <c r="T9609" t="str">
        <f t="shared" si="1595"/>
        <v/>
      </c>
      <c r="U9609" t="str">
        <f t="shared" si="1596"/>
        <v/>
      </c>
      <c r="V9609" t="str">
        <f t="shared" si="1597"/>
        <v/>
      </c>
      <c r="W9609" t="str">
        <f t="shared" si="1598"/>
        <v/>
      </c>
      <c r="X9609">
        <f t="shared" si="1588"/>
        <v>0</v>
      </c>
      <c r="Z9609" t="str">
        <f t="shared" si="1599"/>
        <v/>
      </c>
      <c r="AA9609">
        <f t="shared" si="1589"/>
        <v>0</v>
      </c>
    </row>
    <row r="9610" spans="1:27" ht="21" customHeight="1" x14ac:dyDescent="0.95">
      <c r="A9610" s="56"/>
      <c r="B9610" s="57"/>
      <c r="C9610" s="57"/>
      <c r="D9610" s="57"/>
      <c r="E9610" s="56"/>
      <c r="F9610" s="57"/>
      <c r="G9610" s="57"/>
      <c r="H9610" s="56"/>
      <c r="I9610" s="56"/>
      <c r="J9610" s="58"/>
      <c r="K9610" s="58"/>
      <c r="L9610" s="13" t="str">
        <f t="shared" si="1590"/>
        <v/>
      </c>
      <c r="M9610" s="13" t="str">
        <f t="shared" si="1591"/>
        <v/>
      </c>
      <c r="Q9610" t="str">
        <f t="shared" si="1592"/>
        <v/>
      </c>
      <c r="R9610" t="str">
        <f t="shared" si="1593"/>
        <v/>
      </c>
      <c r="S9610" t="str">
        <f t="shared" si="1594"/>
        <v/>
      </c>
      <c r="T9610" t="str">
        <f t="shared" si="1595"/>
        <v/>
      </c>
      <c r="U9610" t="str">
        <f t="shared" si="1596"/>
        <v/>
      </c>
      <c r="V9610" t="str">
        <f t="shared" si="1597"/>
        <v/>
      </c>
      <c r="W9610" t="str">
        <f t="shared" si="1598"/>
        <v/>
      </c>
      <c r="X9610">
        <f t="shared" si="1588"/>
        <v>0</v>
      </c>
      <c r="Z9610" t="str">
        <f t="shared" si="1599"/>
        <v/>
      </c>
      <c r="AA9610">
        <f t="shared" si="1589"/>
        <v>0</v>
      </c>
    </row>
    <row r="9611" spans="1:27" ht="21" customHeight="1" x14ac:dyDescent="0.95">
      <c r="A9611" s="56"/>
      <c r="B9611" s="57"/>
      <c r="C9611" s="57"/>
      <c r="D9611" s="57"/>
      <c r="E9611" s="56"/>
      <c r="F9611" s="57"/>
      <c r="G9611" s="57"/>
      <c r="H9611" s="56"/>
      <c r="I9611" s="56"/>
      <c r="J9611" s="58"/>
      <c r="K9611" s="58"/>
      <c r="L9611" s="13" t="str">
        <f t="shared" si="1590"/>
        <v/>
      </c>
      <c r="M9611" s="13" t="str">
        <f t="shared" si="1591"/>
        <v/>
      </c>
      <c r="Q9611" t="str">
        <f t="shared" si="1592"/>
        <v/>
      </c>
      <c r="R9611" t="str">
        <f t="shared" si="1593"/>
        <v/>
      </c>
      <c r="S9611" t="str">
        <f t="shared" si="1594"/>
        <v/>
      </c>
      <c r="T9611" t="str">
        <f t="shared" si="1595"/>
        <v/>
      </c>
      <c r="U9611" t="str">
        <f t="shared" si="1596"/>
        <v/>
      </c>
      <c r="V9611" t="str">
        <f t="shared" si="1597"/>
        <v/>
      </c>
      <c r="W9611" t="str">
        <f t="shared" si="1598"/>
        <v/>
      </c>
      <c r="X9611">
        <f t="shared" si="1588"/>
        <v>0</v>
      </c>
      <c r="Z9611" t="str">
        <f t="shared" si="1599"/>
        <v/>
      </c>
      <c r="AA9611">
        <f t="shared" si="1589"/>
        <v>0</v>
      </c>
    </row>
    <row r="9612" spans="1:27" ht="21" customHeight="1" x14ac:dyDescent="0.95">
      <c r="A9612" s="56"/>
      <c r="B9612" s="57"/>
      <c r="C9612" s="57"/>
      <c r="D9612" s="57"/>
      <c r="E9612" s="56"/>
      <c r="F9612" s="57"/>
      <c r="G9612" s="57"/>
      <c r="H9612" s="56"/>
      <c r="I9612" s="56"/>
      <c r="J9612" s="58"/>
      <c r="K9612" s="58"/>
      <c r="L9612" s="13" t="str">
        <f t="shared" si="1590"/>
        <v/>
      </c>
      <c r="M9612" s="13" t="str">
        <f t="shared" si="1591"/>
        <v/>
      </c>
      <c r="Q9612" t="str">
        <f t="shared" si="1592"/>
        <v/>
      </c>
      <c r="R9612" t="str">
        <f t="shared" si="1593"/>
        <v/>
      </c>
      <c r="S9612" t="str">
        <f t="shared" si="1594"/>
        <v/>
      </c>
      <c r="T9612" t="str">
        <f t="shared" si="1595"/>
        <v/>
      </c>
      <c r="U9612" t="str">
        <f t="shared" si="1596"/>
        <v/>
      </c>
      <c r="V9612" t="str">
        <f t="shared" si="1597"/>
        <v/>
      </c>
      <c r="W9612" t="str">
        <f t="shared" si="1598"/>
        <v/>
      </c>
      <c r="X9612">
        <f t="shared" si="1588"/>
        <v>0</v>
      </c>
      <c r="Z9612" t="str">
        <f t="shared" si="1599"/>
        <v/>
      </c>
      <c r="AA9612">
        <f t="shared" si="1589"/>
        <v>0</v>
      </c>
    </row>
    <row r="9613" spans="1:27" ht="21" customHeight="1" x14ac:dyDescent="0.95">
      <c r="A9613" s="56"/>
      <c r="B9613" s="57"/>
      <c r="C9613" s="57"/>
      <c r="D9613" s="57"/>
      <c r="E9613" s="56"/>
      <c r="F9613" s="57"/>
      <c r="G9613" s="57"/>
      <c r="H9613" s="56"/>
      <c r="I9613" s="56"/>
      <c r="J9613" s="58"/>
      <c r="K9613" s="58"/>
      <c r="L9613" s="13" t="str">
        <f t="shared" si="1590"/>
        <v/>
      </c>
      <c r="M9613" s="13" t="str">
        <f t="shared" si="1591"/>
        <v/>
      </c>
      <c r="Q9613" t="str">
        <f t="shared" si="1592"/>
        <v/>
      </c>
      <c r="R9613" t="str">
        <f t="shared" si="1593"/>
        <v/>
      </c>
      <c r="S9613" t="str">
        <f t="shared" si="1594"/>
        <v/>
      </c>
      <c r="T9613" t="str">
        <f t="shared" si="1595"/>
        <v/>
      </c>
      <c r="U9613" t="str">
        <f t="shared" si="1596"/>
        <v/>
      </c>
      <c r="V9613" t="str">
        <f t="shared" si="1597"/>
        <v/>
      </c>
      <c r="W9613" t="str">
        <f t="shared" si="1598"/>
        <v/>
      </c>
      <c r="X9613">
        <f t="shared" si="1588"/>
        <v>0</v>
      </c>
      <c r="Z9613" t="str">
        <f t="shared" si="1599"/>
        <v/>
      </c>
      <c r="AA9613">
        <f t="shared" si="1589"/>
        <v>0</v>
      </c>
    </row>
    <row r="9614" spans="1:27" ht="21" customHeight="1" x14ac:dyDescent="0.95">
      <c r="A9614" s="56"/>
      <c r="B9614" s="57"/>
      <c r="C9614" s="57"/>
      <c r="D9614" s="57"/>
      <c r="E9614" s="56"/>
      <c r="F9614" s="57"/>
      <c r="G9614" s="57"/>
      <c r="H9614" s="56"/>
      <c r="I9614" s="56"/>
      <c r="J9614" s="58"/>
      <c r="K9614" s="58"/>
      <c r="L9614" s="13" t="str">
        <f t="shared" si="1590"/>
        <v/>
      </c>
      <c r="M9614" s="13" t="str">
        <f t="shared" si="1591"/>
        <v/>
      </c>
      <c r="Q9614" t="str">
        <f t="shared" si="1592"/>
        <v/>
      </c>
      <c r="R9614" t="str">
        <f t="shared" si="1593"/>
        <v/>
      </c>
      <c r="S9614" t="str">
        <f t="shared" si="1594"/>
        <v/>
      </c>
      <c r="T9614" t="str">
        <f t="shared" si="1595"/>
        <v/>
      </c>
      <c r="U9614" t="str">
        <f t="shared" si="1596"/>
        <v/>
      </c>
      <c r="V9614" t="str">
        <f t="shared" si="1597"/>
        <v/>
      </c>
      <c r="W9614" t="str">
        <f t="shared" si="1598"/>
        <v/>
      </c>
      <c r="X9614">
        <f t="shared" si="1588"/>
        <v>0</v>
      </c>
      <c r="Z9614" t="str">
        <f t="shared" si="1599"/>
        <v/>
      </c>
      <c r="AA9614">
        <f t="shared" si="1589"/>
        <v>0</v>
      </c>
    </row>
    <row r="9615" spans="1:27" ht="21" customHeight="1" x14ac:dyDescent="0.95">
      <c r="A9615" s="56"/>
      <c r="B9615" s="57"/>
      <c r="C9615" s="57"/>
      <c r="D9615" s="57"/>
      <c r="E9615" s="56"/>
      <c r="F9615" s="57"/>
      <c r="G9615" s="57"/>
      <c r="H9615" s="56"/>
      <c r="I9615" s="56"/>
      <c r="J9615" s="58"/>
      <c r="K9615" s="58"/>
      <c r="L9615" s="13" t="str">
        <f t="shared" si="1590"/>
        <v/>
      </c>
      <c r="M9615" s="13" t="str">
        <f t="shared" si="1591"/>
        <v/>
      </c>
      <c r="Q9615" t="str">
        <f t="shared" si="1592"/>
        <v/>
      </c>
      <c r="R9615" t="str">
        <f t="shared" si="1593"/>
        <v/>
      </c>
      <c r="S9615" t="str">
        <f t="shared" si="1594"/>
        <v/>
      </c>
      <c r="T9615" t="str">
        <f t="shared" si="1595"/>
        <v/>
      </c>
      <c r="U9615" t="str">
        <f t="shared" si="1596"/>
        <v/>
      </c>
      <c r="V9615" t="str">
        <f t="shared" si="1597"/>
        <v/>
      </c>
      <c r="W9615" t="str">
        <f t="shared" si="1598"/>
        <v/>
      </c>
      <c r="X9615">
        <f t="shared" si="1588"/>
        <v>0</v>
      </c>
      <c r="Z9615" t="str">
        <f t="shared" si="1599"/>
        <v/>
      </c>
      <c r="AA9615">
        <f t="shared" si="1589"/>
        <v>0</v>
      </c>
    </row>
    <row r="9616" spans="1:27" ht="21" customHeight="1" x14ac:dyDescent="0.95">
      <c r="A9616" s="56"/>
      <c r="B9616" s="57"/>
      <c r="C9616" s="57"/>
      <c r="D9616" s="57"/>
      <c r="E9616" s="56"/>
      <c r="F9616" s="57"/>
      <c r="G9616" s="57"/>
      <c r="H9616" s="56"/>
      <c r="I9616" s="56"/>
      <c r="J9616" s="58"/>
      <c r="K9616" s="58"/>
      <c r="L9616" s="13" t="str">
        <f t="shared" si="1590"/>
        <v/>
      </c>
      <c r="M9616" s="13" t="str">
        <f t="shared" si="1591"/>
        <v/>
      </c>
      <c r="Q9616" t="str">
        <f t="shared" si="1592"/>
        <v/>
      </c>
      <c r="R9616" t="str">
        <f t="shared" si="1593"/>
        <v/>
      </c>
      <c r="S9616" t="str">
        <f t="shared" si="1594"/>
        <v/>
      </c>
      <c r="T9616" t="str">
        <f t="shared" si="1595"/>
        <v/>
      </c>
      <c r="U9616" t="str">
        <f t="shared" si="1596"/>
        <v/>
      </c>
      <c r="V9616" t="str">
        <f t="shared" si="1597"/>
        <v/>
      </c>
      <c r="W9616" t="str">
        <f t="shared" si="1598"/>
        <v/>
      </c>
      <c r="X9616">
        <f t="shared" si="1588"/>
        <v>0</v>
      </c>
      <c r="Z9616" t="str">
        <f t="shared" si="1599"/>
        <v/>
      </c>
      <c r="AA9616">
        <f t="shared" si="1589"/>
        <v>0</v>
      </c>
    </row>
    <row r="9617" spans="1:27" ht="21" customHeight="1" x14ac:dyDescent="0.95">
      <c r="A9617" s="56"/>
      <c r="B9617" s="57"/>
      <c r="C9617" s="57"/>
      <c r="D9617" s="57"/>
      <c r="E9617" s="56"/>
      <c r="F9617" s="57"/>
      <c r="G9617" s="57"/>
      <c r="H9617" s="56"/>
      <c r="I9617" s="56"/>
      <c r="J9617" s="58"/>
      <c r="K9617" s="58"/>
      <c r="L9617" s="13" t="str">
        <f t="shared" si="1590"/>
        <v/>
      </c>
      <c r="M9617" s="13" t="str">
        <f t="shared" si="1591"/>
        <v/>
      </c>
      <c r="Q9617" t="str">
        <f t="shared" si="1592"/>
        <v/>
      </c>
      <c r="R9617" t="str">
        <f t="shared" si="1593"/>
        <v/>
      </c>
      <c r="S9617" t="str">
        <f t="shared" si="1594"/>
        <v/>
      </c>
      <c r="T9617" t="str">
        <f t="shared" si="1595"/>
        <v/>
      </c>
      <c r="U9617" t="str">
        <f t="shared" si="1596"/>
        <v/>
      </c>
      <c r="V9617" t="str">
        <f t="shared" si="1597"/>
        <v/>
      </c>
      <c r="W9617" t="str">
        <f t="shared" si="1598"/>
        <v/>
      </c>
      <c r="X9617">
        <f t="shared" si="1588"/>
        <v>0</v>
      </c>
      <c r="Z9617" t="str">
        <f t="shared" si="1599"/>
        <v/>
      </c>
      <c r="AA9617">
        <f t="shared" si="1589"/>
        <v>0</v>
      </c>
    </row>
    <row r="9618" spans="1:27" ht="21" customHeight="1" x14ac:dyDescent="0.95">
      <c r="A9618" s="56"/>
      <c r="B9618" s="57"/>
      <c r="C9618" s="57"/>
      <c r="D9618" s="57"/>
      <c r="E9618" s="56"/>
      <c r="F9618" s="57"/>
      <c r="G9618" s="57"/>
      <c r="H9618" s="56"/>
      <c r="I9618" s="56"/>
      <c r="J9618" s="58"/>
      <c r="K9618" s="58"/>
      <c r="L9618" s="13" t="str">
        <f t="shared" si="1590"/>
        <v/>
      </c>
      <c r="M9618" s="13" t="str">
        <f t="shared" si="1591"/>
        <v/>
      </c>
      <c r="Q9618" t="str">
        <f t="shared" si="1592"/>
        <v/>
      </c>
      <c r="R9618" t="str">
        <f t="shared" si="1593"/>
        <v/>
      </c>
      <c r="S9618" t="str">
        <f t="shared" si="1594"/>
        <v/>
      </c>
      <c r="T9618" t="str">
        <f t="shared" si="1595"/>
        <v/>
      </c>
      <c r="U9618" t="str">
        <f t="shared" si="1596"/>
        <v/>
      </c>
      <c r="V9618" t="str">
        <f t="shared" si="1597"/>
        <v/>
      </c>
      <c r="W9618" t="str">
        <f t="shared" si="1598"/>
        <v/>
      </c>
      <c r="X9618">
        <f t="shared" si="1588"/>
        <v>0</v>
      </c>
      <c r="Z9618" t="str">
        <f t="shared" si="1599"/>
        <v/>
      </c>
      <c r="AA9618">
        <f t="shared" si="1589"/>
        <v>0</v>
      </c>
    </row>
    <row r="9619" spans="1:27" ht="21" customHeight="1" x14ac:dyDescent="0.95">
      <c r="A9619" s="56"/>
      <c r="B9619" s="57"/>
      <c r="C9619" s="57"/>
      <c r="D9619" s="57"/>
      <c r="E9619" s="56"/>
      <c r="F9619" s="57"/>
      <c r="G9619" s="57"/>
      <c r="H9619" s="56"/>
      <c r="I9619" s="56"/>
      <c r="J9619" s="58"/>
      <c r="K9619" s="58"/>
      <c r="L9619" s="13" t="str">
        <f t="shared" si="1590"/>
        <v/>
      </c>
      <c r="M9619" s="13" t="str">
        <f t="shared" si="1591"/>
        <v/>
      </c>
      <c r="Q9619" t="str">
        <f t="shared" si="1592"/>
        <v/>
      </c>
      <c r="R9619" t="str">
        <f t="shared" si="1593"/>
        <v/>
      </c>
      <c r="S9619" t="str">
        <f t="shared" si="1594"/>
        <v/>
      </c>
      <c r="T9619" t="str">
        <f t="shared" si="1595"/>
        <v/>
      </c>
      <c r="U9619" t="str">
        <f t="shared" si="1596"/>
        <v/>
      </c>
      <c r="V9619" t="str">
        <f t="shared" si="1597"/>
        <v/>
      </c>
      <c r="W9619" t="str">
        <f t="shared" si="1598"/>
        <v/>
      </c>
      <c r="X9619">
        <f t="shared" si="1588"/>
        <v>0</v>
      </c>
      <c r="Z9619" t="str">
        <f t="shared" si="1599"/>
        <v/>
      </c>
      <c r="AA9619">
        <f t="shared" si="1589"/>
        <v>0</v>
      </c>
    </row>
    <row r="9620" spans="1:27" ht="21" customHeight="1" x14ac:dyDescent="0.95">
      <c r="A9620" s="56"/>
      <c r="B9620" s="57"/>
      <c r="C9620" s="57"/>
      <c r="D9620" s="57"/>
      <c r="E9620" s="56"/>
      <c r="F9620" s="57"/>
      <c r="G9620" s="57"/>
      <c r="H9620" s="56"/>
      <c r="I9620" s="56"/>
      <c r="J9620" s="58"/>
      <c r="K9620" s="58"/>
      <c r="L9620" s="13" t="str">
        <f t="shared" si="1590"/>
        <v/>
      </c>
      <c r="M9620" s="13" t="str">
        <f t="shared" si="1591"/>
        <v/>
      </c>
      <c r="Q9620" t="str">
        <f t="shared" si="1592"/>
        <v/>
      </c>
      <c r="R9620" t="str">
        <f t="shared" si="1593"/>
        <v/>
      </c>
      <c r="S9620" t="str">
        <f t="shared" si="1594"/>
        <v/>
      </c>
      <c r="T9620" t="str">
        <f t="shared" si="1595"/>
        <v/>
      </c>
      <c r="U9620" t="str">
        <f t="shared" si="1596"/>
        <v/>
      </c>
      <c r="V9620" t="str">
        <f t="shared" si="1597"/>
        <v/>
      </c>
      <c r="W9620" t="str">
        <f t="shared" si="1598"/>
        <v/>
      </c>
      <c r="X9620">
        <f t="shared" si="1588"/>
        <v>0</v>
      </c>
      <c r="Z9620" t="str">
        <f t="shared" si="1599"/>
        <v/>
      </c>
      <c r="AA9620">
        <f t="shared" si="1589"/>
        <v>0</v>
      </c>
    </row>
    <row r="9621" spans="1:27" ht="21" customHeight="1" x14ac:dyDescent="0.95">
      <c r="A9621" s="56"/>
      <c r="B9621" s="57"/>
      <c r="C9621" s="57"/>
      <c r="D9621" s="57"/>
      <c r="E9621" s="56"/>
      <c r="F9621" s="57"/>
      <c r="G9621" s="57"/>
      <c r="H9621" s="56"/>
      <c r="I9621" s="56"/>
      <c r="J9621" s="58"/>
      <c r="K9621" s="58"/>
      <c r="L9621" s="13" t="str">
        <f t="shared" si="1590"/>
        <v/>
      </c>
      <c r="M9621" s="13" t="str">
        <f t="shared" si="1591"/>
        <v/>
      </c>
      <c r="Q9621" t="str">
        <f t="shared" si="1592"/>
        <v/>
      </c>
      <c r="R9621" t="str">
        <f t="shared" si="1593"/>
        <v/>
      </c>
      <c r="S9621" t="str">
        <f t="shared" si="1594"/>
        <v/>
      </c>
      <c r="T9621" t="str">
        <f t="shared" si="1595"/>
        <v/>
      </c>
      <c r="U9621" t="str">
        <f t="shared" si="1596"/>
        <v/>
      </c>
      <c r="V9621" t="str">
        <f t="shared" si="1597"/>
        <v/>
      </c>
      <c r="W9621" t="str">
        <f t="shared" si="1598"/>
        <v/>
      </c>
      <c r="X9621">
        <f t="shared" si="1588"/>
        <v>0</v>
      </c>
      <c r="Z9621" t="str">
        <f t="shared" si="1599"/>
        <v/>
      </c>
      <c r="AA9621">
        <f t="shared" si="1589"/>
        <v>0</v>
      </c>
    </row>
    <row r="9622" spans="1:27" ht="21" customHeight="1" x14ac:dyDescent="0.95">
      <c r="A9622" s="56"/>
      <c r="B9622" s="57"/>
      <c r="C9622" s="57"/>
      <c r="D9622" s="57"/>
      <c r="E9622" s="56"/>
      <c r="F9622" s="57"/>
      <c r="G9622" s="57"/>
      <c r="H9622" s="56"/>
      <c r="I9622" s="56"/>
      <c r="J9622" s="58"/>
      <c r="K9622" s="58"/>
      <c r="L9622" s="13" t="str">
        <f t="shared" si="1590"/>
        <v/>
      </c>
      <c r="M9622" s="13" t="str">
        <f t="shared" si="1591"/>
        <v/>
      </c>
      <c r="Q9622" t="str">
        <f t="shared" si="1592"/>
        <v/>
      </c>
      <c r="R9622" t="str">
        <f t="shared" si="1593"/>
        <v/>
      </c>
      <c r="S9622" t="str">
        <f t="shared" si="1594"/>
        <v/>
      </c>
      <c r="T9622" t="str">
        <f t="shared" si="1595"/>
        <v/>
      </c>
      <c r="U9622" t="str">
        <f t="shared" si="1596"/>
        <v/>
      </c>
      <c r="V9622" t="str">
        <f t="shared" si="1597"/>
        <v/>
      </c>
      <c r="W9622" t="str">
        <f t="shared" si="1598"/>
        <v/>
      </c>
      <c r="X9622">
        <f t="shared" si="1588"/>
        <v>0</v>
      </c>
      <c r="Z9622" t="str">
        <f t="shared" si="1599"/>
        <v/>
      </c>
      <c r="AA9622">
        <f t="shared" si="1589"/>
        <v>0</v>
      </c>
    </row>
    <row r="9623" spans="1:27" ht="21" customHeight="1" x14ac:dyDescent="0.95">
      <c r="A9623" s="56"/>
      <c r="B9623" s="57"/>
      <c r="C9623" s="57"/>
      <c r="D9623" s="57"/>
      <c r="E9623" s="56"/>
      <c r="F9623" s="57"/>
      <c r="G9623" s="57"/>
      <c r="H9623" s="56"/>
      <c r="I9623" s="56"/>
      <c r="J9623" s="58"/>
      <c r="K9623" s="58"/>
      <c r="L9623" s="13" t="str">
        <f t="shared" si="1590"/>
        <v/>
      </c>
      <c r="M9623" s="13" t="str">
        <f t="shared" si="1591"/>
        <v/>
      </c>
      <c r="Q9623" t="str">
        <f t="shared" si="1592"/>
        <v/>
      </c>
      <c r="R9623" t="str">
        <f t="shared" si="1593"/>
        <v/>
      </c>
      <c r="S9623" t="str">
        <f t="shared" si="1594"/>
        <v/>
      </c>
      <c r="T9623" t="str">
        <f t="shared" si="1595"/>
        <v/>
      </c>
      <c r="U9623" t="str">
        <f t="shared" si="1596"/>
        <v/>
      </c>
      <c r="V9623" t="str">
        <f t="shared" si="1597"/>
        <v/>
      </c>
      <c r="W9623" t="str">
        <f t="shared" si="1598"/>
        <v/>
      </c>
      <c r="X9623">
        <f t="shared" si="1588"/>
        <v>0</v>
      </c>
      <c r="Z9623" t="str">
        <f t="shared" si="1599"/>
        <v/>
      </c>
      <c r="AA9623">
        <f t="shared" si="1589"/>
        <v>0</v>
      </c>
    </row>
    <row r="9624" spans="1:27" ht="21" customHeight="1" x14ac:dyDescent="0.95">
      <c r="A9624" s="56"/>
      <c r="B9624" s="57"/>
      <c r="C9624" s="57"/>
      <c r="D9624" s="57"/>
      <c r="E9624" s="56"/>
      <c r="F9624" s="57"/>
      <c r="G9624" s="57"/>
      <c r="H9624" s="56"/>
      <c r="I9624" s="56"/>
      <c r="J9624" s="58"/>
      <c r="K9624" s="58"/>
      <c r="L9624" s="13" t="str">
        <f t="shared" si="1590"/>
        <v/>
      </c>
      <c r="M9624" s="13" t="str">
        <f t="shared" si="1591"/>
        <v/>
      </c>
      <c r="Q9624" t="str">
        <f t="shared" si="1592"/>
        <v/>
      </c>
      <c r="R9624" t="str">
        <f t="shared" si="1593"/>
        <v/>
      </c>
      <c r="S9624" t="str">
        <f t="shared" si="1594"/>
        <v/>
      </c>
      <c r="T9624" t="str">
        <f t="shared" si="1595"/>
        <v/>
      </c>
      <c r="U9624" t="str">
        <f t="shared" si="1596"/>
        <v/>
      </c>
      <c r="V9624" t="str">
        <f t="shared" si="1597"/>
        <v/>
      </c>
      <c r="W9624" t="str">
        <f t="shared" si="1598"/>
        <v/>
      </c>
      <c r="X9624">
        <f t="shared" si="1588"/>
        <v>0</v>
      </c>
      <c r="Z9624" t="str">
        <f t="shared" si="1599"/>
        <v/>
      </c>
      <c r="AA9624">
        <f t="shared" si="1589"/>
        <v>0</v>
      </c>
    </row>
    <row r="9625" spans="1:27" ht="21" customHeight="1" x14ac:dyDescent="0.95">
      <c r="A9625" s="56"/>
      <c r="B9625" s="57"/>
      <c r="C9625" s="57"/>
      <c r="D9625" s="57"/>
      <c r="E9625" s="56"/>
      <c r="F9625" s="57"/>
      <c r="G9625" s="57"/>
      <c r="H9625" s="56"/>
      <c r="I9625" s="56"/>
      <c r="J9625" s="58"/>
      <c r="K9625" s="58"/>
      <c r="L9625" s="13" t="str">
        <f t="shared" si="1590"/>
        <v/>
      </c>
      <c r="M9625" s="13" t="str">
        <f t="shared" si="1591"/>
        <v/>
      </c>
      <c r="Q9625" t="str">
        <f t="shared" si="1592"/>
        <v/>
      </c>
      <c r="R9625" t="str">
        <f t="shared" si="1593"/>
        <v/>
      </c>
      <c r="S9625" t="str">
        <f t="shared" si="1594"/>
        <v/>
      </c>
      <c r="T9625" t="str">
        <f t="shared" si="1595"/>
        <v/>
      </c>
      <c r="U9625" t="str">
        <f t="shared" si="1596"/>
        <v/>
      </c>
      <c r="V9625" t="str">
        <f t="shared" si="1597"/>
        <v/>
      </c>
      <c r="W9625" t="str">
        <f t="shared" si="1598"/>
        <v/>
      </c>
      <c r="X9625">
        <f t="shared" si="1588"/>
        <v>0</v>
      </c>
      <c r="Z9625" t="str">
        <f t="shared" si="1599"/>
        <v/>
      </c>
      <c r="AA9625">
        <f t="shared" si="1589"/>
        <v>0</v>
      </c>
    </row>
    <row r="9626" spans="1:27" ht="21" customHeight="1" x14ac:dyDescent="0.95">
      <c r="A9626" s="56"/>
      <c r="B9626" s="57"/>
      <c r="C9626" s="57"/>
      <c r="D9626" s="57"/>
      <c r="E9626" s="56"/>
      <c r="F9626" s="57"/>
      <c r="G9626" s="57"/>
      <c r="H9626" s="56"/>
      <c r="I9626" s="56"/>
      <c r="J9626" s="58"/>
      <c r="K9626" s="58"/>
      <c r="L9626" s="13" t="str">
        <f t="shared" si="1590"/>
        <v/>
      </c>
      <c r="M9626" s="13" t="str">
        <f t="shared" si="1591"/>
        <v/>
      </c>
      <c r="Q9626" t="str">
        <f t="shared" si="1592"/>
        <v/>
      </c>
      <c r="R9626" t="str">
        <f t="shared" si="1593"/>
        <v/>
      </c>
      <c r="S9626" t="str">
        <f t="shared" si="1594"/>
        <v/>
      </c>
      <c r="T9626" t="str">
        <f t="shared" si="1595"/>
        <v/>
      </c>
      <c r="U9626" t="str">
        <f t="shared" si="1596"/>
        <v/>
      </c>
      <c r="V9626" t="str">
        <f t="shared" si="1597"/>
        <v/>
      </c>
      <c r="W9626" t="str">
        <f t="shared" si="1598"/>
        <v/>
      </c>
      <c r="X9626">
        <f t="shared" si="1588"/>
        <v>0</v>
      </c>
      <c r="Z9626" t="str">
        <f t="shared" si="1599"/>
        <v/>
      </c>
      <c r="AA9626">
        <f t="shared" si="1589"/>
        <v>0</v>
      </c>
    </row>
    <row r="9627" spans="1:27" ht="21" customHeight="1" x14ac:dyDescent="0.95">
      <c r="A9627" s="56"/>
      <c r="B9627" s="57"/>
      <c r="C9627" s="57"/>
      <c r="D9627" s="57"/>
      <c r="E9627" s="56"/>
      <c r="F9627" s="57"/>
      <c r="G9627" s="57"/>
      <c r="H9627" s="56"/>
      <c r="I9627" s="56"/>
      <c r="J9627" s="58"/>
      <c r="K9627" s="58"/>
      <c r="L9627" s="13" t="str">
        <f t="shared" si="1590"/>
        <v/>
      </c>
      <c r="M9627" s="13" t="str">
        <f t="shared" si="1591"/>
        <v/>
      </c>
      <c r="Q9627" t="str">
        <f t="shared" si="1592"/>
        <v/>
      </c>
      <c r="R9627" t="str">
        <f t="shared" si="1593"/>
        <v/>
      </c>
      <c r="S9627" t="str">
        <f t="shared" si="1594"/>
        <v/>
      </c>
      <c r="T9627" t="str">
        <f t="shared" si="1595"/>
        <v/>
      </c>
      <c r="U9627" t="str">
        <f t="shared" si="1596"/>
        <v/>
      </c>
      <c r="V9627" t="str">
        <f t="shared" si="1597"/>
        <v/>
      </c>
      <c r="W9627" t="str">
        <f t="shared" si="1598"/>
        <v/>
      </c>
      <c r="X9627">
        <f t="shared" si="1588"/>
        <v>0</v>
      </c>
      <c r="Z9627" t="str">
        <f t="shared" si="1599"/>
        <v/>
      </c>
      <c r="AA9627">
        <f t="shared" si="1589"/>
        <v>0</v>
      </c>
    </row>
    <row r="9628" spans="1:27" ht="21" customHeight="1" x14ac:dyDescent="0.95">
      <c r="A9628" s="56"/>
      <c r="B9628" s="57"/>
      <c r="C9628" s="57"/>
      <c r="D9628" s="57"/>
      <c r="E9628" s="56"/>
      <c r="F9628" s="57"/>
      <c r="G9628" s="57"/>
      <c r="H9628" s="56"/>
      <c r="I9628" s="56"/>
      <c r="J9628" s="58"/>
      <c r="K9628" s="58"/>
      <c r="L9628" s="13" t="str">
        <f t="shared" si="1590"/>
        <v/>
      </c>
      <c r="M9628" s="13" t="str">
        <f t="shared" si="1591"/>
        <v/>
      </c>
      <c r="Q9628" t="str">
        <f t="shared" si="1592"/>
        <v/>
      </c>
      <c r="R9628" t="str">
        <f t="shared" si="1593"/>
        <v/>
      </c>
      <c r="S9628" t="str">
        <f t="shared" si="1594"/>
        <v/>
      </c>
      <c r="T9628" t="str">
        <f t="shared" si="1595"/>
        <v/>
      </c>
      <c r="U9628" t="str">
        <f t="shared" si="1596"/>
        <v/>
      </c>
      <c r="V9628" t="str">
        <f t="shared" si="1597"/>
        <v/>
      </c>
      <c r="W9628" t="str">
        <f t="shared" si="1598"/>
        <v/>
      </c>
      <c r="X9628">
        <f t="shared" si="1588"/>
        <v>0</v>
      </c>
      <c r="Z9628" t="str">
        <f t="shared" si="1599"/>
        <v/>
      </c>
      <c r="AA9628">
        <f t="shared" si="1589"/>
        <v>0</v>
      </c>
    </row>
    <row r="9629" spans="1:27" ht="21" customHeight="1" x14ac:dyDescent="0.95">
      <c r="A9629" s="56"/>
      <c r="B9629" s="57"/>
      <c r="C9629" s="57"/>
      <c r="D9629" s="57"/>
      <c r="E9629" s="56"/>
      <c r="F9629" s="57"/>
      <c r="G9629" s="57"/>
      <c r="H9629" s="56"/>
      <c r="I9629" s="56"/>
      <c r="J9629" s="58"/>
      <c r="K9629" s="58"/>
      <c r="L9629" s="13" t="str">
        <f t="shared" si="1590"/>
        <v/>
      </c>
      <c r="M9629" s="13" t="str">
        <f t="shared" si="1591"/>
        <v/>
      </c>
      <c r="Q9629" t="str">
        <f t="shared" si="1592"/>
        <v/>
      </c>
      <c r="R9629" t="str">
        <f t="shared" si="1593"/>
        <v/>
      </c>
      <c r="S9629" t="str">
        <f t="shared" si="1594"/>
        <v/>
      </c>
      <c r="T9629" t="str">
        <f t="shared" si="1595"/>
        <v/>
      </c>
      <c r="U9629" t="str">
        <f t="shared" si="1596"/>
        <v/>
      </c>
      <c r="V9629" t="str">
        <f t="shared" si="1597"/>
        <v/>
      </c>
      <c r="W9629" t="str">
        <f t="shared" si="1598"/>
        <v/>
      </c>
      <c r="X9629">
        <f t="shared" si="1588"/>
        <v>0</v>
      </c>
      <c r="Z9629" t="str">
        <f t="shared" si="1599"/>
        <v/>
      </c>
      <c r="AA9629">
        <f t="shared" si="1589"/>
        <v>0</v>
      </c>
    </row>
    <row r="9630" spans="1:27" ht="21" customHeight="1" x14ac:dyDescent="0.95">
      <c r="A9630" s="56"/>
      <c r="B9630" s="57"/>
      <c r="C9630" s="57"/>
      <c r="D9630" s="57"/>
      <c r="E9630" s="56"/>
      <c r="F9630" s="57"/>
      <c r="G9630" s="57"/>
      <c r="H9630" s="56"/>
      <c r="I9630" s="56"/>
      <c r="J9630" s="58"/>
      <c r="K9630" s="58"/>
      <c r="L9630" s="13" t="str">
        <f t="shared" si="1590"/>
        <v/>
      </c>
      <c r="M9630" s="13" t="str">
        <f t="shared" si="1591"/>
        <v/>
      </c>
      <c r="Q9630" t="str">
        <f t="shared" si="1592"/>
        <v/>
      </c>
      <c r="R9630" t="str">
        <f t="shared" si="1593"/>
        <v/>
      </c>
      <c r="S9630" t="str">
        <f t="shared" si="1594"/>
        <v/>
      </c>
      <c r="T9630" t="str">
        <f t="shared" si="1595"/>
        <v/>
      </c>
      <c r="U9630" t="str">
        <f t="shared" si="1596"/>
        <v/>
      </c>
      <c r="V9630" t="str">
        <f t="shared" si="1597"/>
        <v/>
      </c>
      <c r="W9630" t="str">
        <f t="shared" si="1598"/>
        <v/>
      </c>
      <c r="X9630">
        <f t="shared" si="1588"/>
        <v>0</v>
      </c>
      <c r="Z9630" t="str">
        <f t="shared" si="1599"/>
        <v/>
      </c>
      <c r="AA9630">
        <f t="shared" si="1589"/>
        <v>0</v>
      </c>
    </row>
    <row r="9631" spans="1:27" ht="21" customHeight="1" x14ac:dyDescent="0.95">
      <c r="A9631" s="56"/>
      <c r="B9631" s="57"/>
      <c r="C9631" s="57"/>
      <c r="D9631" s="57"/>
      <c r="E9631" s="56"/>
      <c r="F9631" s="57"/>
      <c r="G9631" s="57"/>
      <c r="H9631" s="56"/>
      <c r="I9631" s="56"/>
      <c r="J9631" s="58"/>
      <c r="K9631" s="58"/>
      <c r="L9631" s="13" t="str">
        <f t="shared" si="1590"/>
        <v/>
      </c>
      <c r="M9631" s="13" t="str">
        <f t="shared" si="1591"/>
        <v/>
      </c>
      <c r="Q9631" t="str">
        <f t="shared" si="1592"/>
        <v/>
      </c>
      <c r="R9631" t="str">
        <f t="shared" si="1593"/>
        <v/>
      </c>
      <c r="S9631" t="str">
        <f t="shared" si="1594"/>
        <v/>
      </c>
      <c r="T9631" t="str">
        <f t="shared" si="1595"/>
        <v/>
      </c>
      <c r="U9631" t="str">
        <f t="shared" si="1596"/>
        <v/>
      </c>
      <c r="V9631" t="str">
        <f t="shared" si="1597"/>
        <v/>
      </c>
      <c r="W9631" t="str">
        <f t="shared" si="1598"/>
        <v/>
      </c>
      <c r="X9631">
        <f t="shared" si="1588"/>
        <v>0</v>
      </c>
      <c r="Z9631" t="str">
        <f t="shared" si="1599"/>
        <v/>
      </c>
      <c r="AA9631">
        <f t="shared" si="1589"/>
        <v>0</v>
      </c>
    </row>
    <row r="9632" spans="1:27" ht="21" customHeight="1" x14ac:dyDescent="0.95">
      <c r="A9632" s="56"/>
      <c r="B9632" s="57"/>
      <c r="C9632" s="57"/>
      <c r="D9632" s="57"/>
      <c r="E9632" s="56"/>
      <c r="F9632" s="57"/>
      <c r="G9632" s="57"/>
      <c r="H9632" s="56"/>
      <c r="I9632" s="56"/>
      <c r="J9632" s="58"/>
      <c r="K9632" s="58"/>
      <c r="L9632" s="13" t="str">
        <f t="shared" si="1590"/>
        <v/>
      </c>
      <c r="M9632" s="13" t="str">
        <f t="shared" si="1591"/>
        <v/>
      </c>
      <c r="Q9632" t="str">
        <f t="shared" si="1592"/>
        <v/>
      </c>
      <c r="R9632" t="str">
        <f t="shared" si="1593"/>
        <v/>
      </c>
      <c r="S9632" t="str">
        <f t="shared" si="1594"/>
        <v/>
      </c>
      <c r="T9632" t="str">
        <f t="shared" si="1595"/>
        <v/>
      </c>
      <c r="U9632" t="str">
        <f t="shared" si="1596"/>
        <v/>
      </c>
      <c r="V9632" t="str">
        <f t="shared" si="1597"/>
        <v/>
      </c>
      <c r="W9632" t="str">
        <f t="shared" si="1598"/>
        <v/>
      </c>
      <c r="X9632">
        <f t="shared" si="1588"/>
        <v>0</v>
      </c>
      <c r="Z9632" t="str">
        <f t="shared" si="1599"/>
        <v/>
      </c>
      <c r="AA9632">
        <f t="shared" si="1589"/>
        <v>0</v>
      </c>
    </row>
    <row r="9633" spans="1:27" ht="21" customHeight="1" x14ac:dyDescent="0.95">
      <c r="A9633" s="56"/>
      <c r="B9633" s="57"/>
      <c r="C9633" s="57"/>
      <c r="D9633" s="57"/>
      <c r="E9633" s="56"/>
      <c r="F9633" s="57"/>
      <c r="G9633" s="57"/>
      <c r="H9633" s="56"/>
      <c r="I9633" s="56"/>
      <c r="J9633" s="58"/>
      <c r="K9633" s="58"/>
      <c r="L9633" s="13" t="str">
        <f t="shared" si="1590"/>
        <v/>
      </c>
      <c r="M9633" s="13" t="str">
        <f t="shared" si="1591"/>
        <v/>
      </c>
      <c r="Q9633" t="str">
        <f t="shared" si="1592"/>
        <v/>
      </c>
      <c r="R9633" t="str">
        <f t="shared" si="1593"/>
        <v/>
      </c>
      <c r="S9633" t="str">
        <f t="shared" si="1594"/>
        <v/>
      </c>
      <c r="T9633" t="str">
        <f t="shared" si="1595"/>
        <v/>
      </c>
      <c r="U9633" t="str">
        <f t="shared" si="1596"/>
        <v/>
      </c>
      <c r="V9633" t="str">
        <f t="shared" si="1597"/>
        <v/>
      </c>
      <c r="W9633" t="str">
        <f t="shared" si="1598"/>
        <v/>
      </c>
      <c r="X9633">
        <f t="shared" si="1588"/>
        <v>0</v>
      </c>
      <c r="Z9633" t="str">
        <f t="shared" si="1599"/>
        <v/>
      </c>
      <c r="AA9633">
        <f t="shared" si="1589"/>
        <v>0</v>
      </c>
    </row>
    <row r="9634" spans="1:27" ht="21" customHeight="1" x14ac:dyDescent="0.95">
      <c r="A9634" s="56"/>
      <c r="B9634" s="57"/>
      <c r="C9634" s="57"/>
      <c r="D9634" s="57"/>
      <c r="E9634" s="56"/>
      <c r="F9634" s="57"/>
      <c r="G9634" s="57"/>
      <c r="H9634" s="56"/>
      <c r="I9634" s="56"/>
      <c r="J9634" s="58"/>
      <c r="K9634" s="58"/>
      <c r="L9634" s="13" t="str">
        <f t="shared" si="1590"/>
        <v/>
      </c>
      <c r="M9634" s="13" t="str">
        <f t="shared" si="1591"/>
        <v/>
      </c>
      <c r="Q9634" t="str">
        <f t="shared" si="1592"/>
        <v/>
      </c>
      <c r="R9634" t="str">
        <f t="shared" si="1593"/>
        <v/>
      </c>
      <c r="S9634" t="str">
        <f t="shared" si="1594"/>
        <v/>
      </c>
      <c r="T9634" t="str">
        <f t="shared" si="1595"/>
        <v/>
      </c>
      <c r="U9634" t="str">
        <f t="shared" si="1596"/>
        <v/>
      </c>
      <c r="V9634" t="str">
        <f t="shared" si="1597"/>
        <v/>
      </c>
      <c r="W9634" t="str">
        <f t="shared" si="1598"/>
        <v/>
      </c>
      <c r="X9634">
        <f t="shared" si="1588"/>
        <v>0</v>
      </c>
      <c r="Z9634" t="str">
        <f t="shared" si="1599"/>
        <v/>
      </c>
      <c r="AA9634">
        <f t="shared" si="1589"/>
        <v>0</v>
      </c>
    </row>
    <row r="9635" spans="1:27" ht="21" customHeight="1" x14ac:dyDescent="0.95">
      <c r="A9635" s="56"/>
      <c r="B9635" s="57"/>
      <c r="C9635" s="57"/>
      <c r="D9635" s="57"/>
      <c r="E9635" s="56"/>
      <c r="F9635" s="57"/>
      <c r="G9635" s="57"/>
      <c r="H9635" s="56"/>
      <c r="I9635" s="56"/>
      <c r="J9635" s="58"/>
      <c r="K9635" s="58"/>
      <c r="L9635" s="13" t="str">
        <f t="shared" si="1590"/>
        <v/>
      </c>
      <c r="M9635" s="13" t="str">
        <f t="shared" si="1591"/>
        <v/>
      </c>
      <c r="Q9635" t="str">
        <f t="shared" si="1592"/>
        <v/>
      </c>
      <c r="R9635" t="str">
        <f t="shared" si="1593"/>
        <v/>
      </c>
      <c r="S9635" t="str">
        <f t="shared" si="1594"/>
        <v/>
      </c>
      <c r="T9635" t="str">
        <f t="shared" si="1595"/>
        <v/>
      </c>
      <c r="U9635" t="str">
        <f t="shared" si="1596"/>
        <v/>
      </c>
      <c r="V9635" t="str">
        <f t="shared" si="1597"/>
        <v/>
      </c>
      <c r="W9635" t="str">
        <f t="shared" si="1598"/>
        <v/>
      </c>
      <c r="X9635">
        <f t="shared" si="1588"/>
        <v>0</v>
      </c>
      <c r="Z9635" t="str">
        <f t="shared" si="1599"/>
        <v/>
      </c>
      <c r="AA9635">
        <f t="shared" si="1589"/>
        <v>0</v>
      </c>
    </row>
    <row r="9636" spans="1:27" ht="21" customHeight="1" x14ac:dyDescent="0.95">
      <c r="A9636" s="56"/>
      <c r="B9636" s="57"/>
      <c r="C9636" s="57"/>
      <c r="D9636" s="57"/>
      <c r="E9636" s="56"/>
      <c r="F9636" s="57"/>
      <c r="G9636" s="57"/>
      <c r="H9636" s="56"/>
      <c r="I9636" s="56"/>
      <c r="J9636" s="58"/>
      <c r="K9636" s="58"/>
      <c r="L9636" s="13" t="str">
        <f t="shared" si="1590"/>
        <v/>
      </c>
      <c r="M9636" s="13" t="str">
        <f t="shared" si="1591"/>
        <v/>
      </c>
      <c r="Q9636" t="str">
        <f t="shared" si="1592"/>
        <v/>
      </c>
      <c r="R9636" t="str">
        <f t="shared" si="1593"/>
        <v/>
      </c>
      <c r="S9636" t="str">
        <f t="shared" si="1594"/>
        <v/>
      </c>
      <c r="T9636" t="str">
        <f t="shared" si="1595"/>
        <v/>
      </c>
      <c r="U9636" t="str">
        <f t="shared" si="1596"/>
        <v/>
      </c>
      <c r="V9636" t="str">
        <f t="shared" si="1597"/>
        <v/>
      </c>
      <c r="W9636" t="str">
        <f t="shared" si="1598"/>
        <v/>
      </c>
      <c r="X9636">
        <f t="shared" si="1588"/>
        <v>0</v>
      </c>
      <c r="Z9636" t="str">
        <f t="shared" si="1599"/>
        <v/>
      </c>
      <c r="AA9636">
        <f t="shared" si="1589"/>
        <v>0</v>
      </c>
    </row>
    <row r="9637" spans="1:27" ht="21" customHeight="1" x14ac:dyDescent="0.95">
      <c r="A9637" s="56"/>
      <c r="B9637" s="57"/>
      <c r="C9637" s="57"/>
      <c r="D9637" s="57"/>
      <c r="E9637" s="56"/>
      <c r="F9637" s="57"/>
      <c r="G9637" s="57"/>
      <c r="H9637" s="56"/>
      <c r="I9637" s="56"/>
      <c r="J9637" s="58"/>
      <c r="K9637" s="58"/>
      <c r="L9637" s="13" t="str">
        <f t="shared" si="1590"/>
        <v/>
      </c>
      <c r="M9637" s="13" t="str">
        <f t="shared" si="1591"/>
        <v/>
      </c>
      <c r="Q9637" t="str">
        <f t="shared" si="1592"/>
        <v/>
      </c>
      <c r="R9637" t="str">
        <f t="shared" si="1593"/>
        <v/>
      </c>
      <c r="S9637" t="str">
        <f t="shared" si="1594"/>
        <v/>
      </c>
      <c r="T9637" t="str">
        <f t="shared" si="1595"/>
        <v/>
      </c>
      <c r="U9637" t="str">
        <f t="shared" si="1596"/>
        <v/>
      </c>
      <c r="V9637" t="str">
        <f t="shared" si="1597"/>
        <v/>
      </c>
      <c r="W9637" t="str">
        <f t="shared" si="1598"/>
        <v/>
      </c>
      <c r="X9637">
        <f t="shared" si="1588"/>
        <v>0</v>
      </c>
      <c r="Z9637" t="str">
        <f t="shared" si="1599"/>
        <v/>
      </c>
      <c r="AA9637">
        <f t="shared" si="1589"/>
        <v>0</v>
      </c>
    </row>
    <row r="9638" spans="1:27" ht="21" customHeight="1" x14ac:dyDescent="0.95">
      <c r="A9638" s="56"/>
      <c r="B9638" s="57"/>
      <c r="C9638" s="57"/>
      <c r="D9638" s="57"/>
      <c r="E9638" s="56"/>
      <c r="F9638" s="57"/>
      <c r="G9638" s="57"/>
      <c r="H9638" s="56"/>
      <c r="I9638" s="56"/>
      <c r="J9638" s="58"/>
      <c r="K9638" s="58"/>
      <c r="L9638" s="13" t="str">
        <f t="shared" si="1590"/>
        <v/>
      </c>
      <c r="M9638" s="13" t="str">
        <f t="shared" si="1591"/>
        <v/>
      </c>
      <c r="Q9638" t="str">
        <f t="shared" si="1592"/>
        <v/>
      </c>
      <c r="R9638" t="str">
        <f t="shared" si="1593"/>
        <v/>
      </c>
      <c r="S9638" t="str">
        <f t="shared" si="1594"/>
        <v/>
      </c>
      <c r="T9638" t="str">
        <f t="shared" si="1595"/>
        <v/>
      </c>
      <c r="U9638" t="str">
        <f t="shared" si="1596"/>
        <v/>
      </c>
      <c r="V9638" t="str">
        <f t="shared" si="1597"/>
        <v/>
      </c>
      <c r="W9638" t="str">
        <f t="shared" si="1598"/>
        <v/>
      </c>
      <c r="X9638">
        <f t="shared" si="1588"/>
        <v>0</v>
      </c>
      <c r="Z9638" t="str">
        <f t="shared" si="1599"/>
        <v/>
      </c>
      <c r="AA9638">
        <f t="shared" si="1589"/>
        <v>0</v>
      </c>
    </row>
    <row r="9639" spans="1:27" ht="21" customHeight="1" x14ac:dyDescent="0.95">
      <c r="A9639" s="56"/>
      <c r="B9639" s="57"/>
      <c r="C9639" s="57"/>
      <c r="D9639" s="57"/>
      <c r="E9639" s="56"/>
      <c r="F9639" s="57"/>
      <c r="G9639" s="57"/>
      <c r="H9639" s="56"/>
      <c r="I9639" s="56"/>
      <c r="J9639" s="58"/>
      <c r="K9639" s="58"/>
      <c r="L9639" s="13" t="str">
        <f t="shared" si="1590"/>
        <v/>
      </c>
      <c r="M9639" s="13" t="str">
        <f t="shared" si="1591"/>
        <v/>
      </c>
      <c r="Q9639" t="str">
        <f t="shared" si="1592"/>
        <v/>
      </c>
      <c r="R9639" t="str">
        <f t="shared" si="1593"/>
        <v/>
      </c>
      <c r="S9639" t="str">
        <f t="shared" si="1594"/>
        <v/>
      </c>
      <c r="T9639" t="str">
        <f t="shared" si="1595"/>
        <v/>
      </c>
      <c r="U9639" t="str">
        <f t="shared" si="1596"/>
        <v/>
      </c>
      <c r="V9639" t="str">
        <f t="shared" si="1597"/>
        <v/>
      </c>
      <c r="W9639" t="str">
        <f t="shared" si="1598"/>
        <v/>
      </c>
      <c r="X9639">
        <f t="shared" si="1588"/>
        <v>0</v>
      </c>
      <c r="Z9639" t="str">
        <f t="shared" si="1599"/>
        <v/>
      </c>
      <c r="AA9639">
        <f t="shared" si="1589"/>
        <v>0</v>
      </c>
    </row>
    <row r="9640" spans="1:27" ht="21" customHeight="1" x14ac:dyDescent="0.95">
      <c r="A9640" s="56"/>
      <c r="B9640" s="57"/>
      <c r="C9640" s="57"/>
      <c r="D9640" s="57"/>
      <c r="E9640" s="56"/>
      <c r="F9640" s="57"/>
      <c r="G9640" s="57"/>
      <c r="H9640" s="56"/>
      <c r="I9640" s="56"/>
      <c r="J9640" s="58"/>
      <c r="K9640" s="58"/>
      <c r="L9640" s="13" t="str">
        <f t="shared" si="1590"/>
        <v/>
      </c>
      <c r="M9640" s="13" t="str">
        <f t="shared" si="1591"/>
        <v/>
      </c>
      <c r="Q9640" t="str">
        <f t="shared" si="1592"/>
        <v/>
      </c>
      <c r="R9640" t="str">
        <f t="shared" si="1593"/>
        <v/>
      </c>
      <c r="S9640" t="str">
        <f t="shared" si="1594"/>
        <v/>
      </c>
      <c r="T9640" t="str">
        <f t="shared" si="1595"/>
        <v/>
      </c>
      <c r="U9640" t="str">
        <f t="shared" si="1596"/>
        <v/>
      </c>
      <c r="V9640" t="str">
        <f t="shared" si="1597"/>
        <v/>
      </c>
      <c r="W9640" t="str">
        <f t="shared" si="1598"/>
        <v/>
      </c>
      <c r="X9640">
        <f t="shared" si="1588"/>
        <v>0</v>
      </c>
      <c r="Z9640" t="str">
        <f t="shared" si="1599"/>
        <v/>
      </c>
      <c r="AA9640">
        <f t="shared" si="1589"/>
        <v>0</v>
      </c>
    </row>
    <row r="9641" spans="1:27" ht="21" customHeight="1" x14ac:dyDescent="0.95">
      <c r="A9641" s="56"/>
      <c r="B9641" s="57"/>
      <c r="C9641" s="57"/>
      <c r="D9641" s="57"/>
      <c r="E9641" s="56"/>
      <c r="F9641" s="57"/>
      <c r="G9641" s="57"/>
      <c r="H9641" s="56"/>
      <c r="I9641" s="56"/>
      <c r="J9641" s="58"/>
      <c r="K9641" s="58"/>
      <c r="L9641" s="13" t="str">
        <f t="shared" si="1590"/>
        <v/>
      </c>
      <c r="M9641" s="13" t="str">
        <f t="shared" si="1591"/>
        <v/>
      </c>
      <c r="Q9641" t="str">
        <f t="shared" si="1592"/>
        <v/>
      </c>
      <c r="R9641" t="str">
        <f t="shared" si="1593"/>
        <v/>
      </c>
      <c r="S9641" t="str">
        <f t="shared" si="1594"/>
        <v/>
      </c>
      <c r="T9641" t="str">
        <f t="shared" si="1595"/>
        <v/>
      </c>
      <c r="U9641" t="str">
        <f t="shared" si="1596"/>
        <v/>
      </c>
      <c r="V9641" t="str">
        <f t="shared" si="1597"/>
        <v/>
      </c>
      <c r="W9641" t="str">
        <f t="shared" si="1598"/>
        <v/>
      </c>
      <c r="X9641">
        <f t="shared" si="1588"/>
        <v>0</v>
      </c>
      <c r="Z9641" t="str">
        <f t="shared" si="1599"/>
        <v/>
      </c>
      <c r="AA9641">
        <f t="shared" si="1589"/>
        <v>0</v>
      </c>
    </row>
    <row r="9642" spans="1:27" ht="21" customHeight="1" x14ac:dyDescent="0.95">
      <c r="A9642" s="56"/>
      <c r="B9642" s="57"/>
      <c r="C9642" s="57"/>
      <c r="D9642" s="57"/>
      <c r="E9642" s="56"/>
      <c r="F9642" s="57"/>
      <c r="G9642" s="57"/>
      <c r="H9642" s="56"/>
      <c r="I9642" s="56"/>
      <c r="J9642" s="58"/>
      <c r="K9642" s="58"/>
      <c r="L9642" s="13" t="str">
        <f t="shared" si="1590"/>
        <v/>
      </c>
      <c r="M9642" s="13" t="str">
        <f t="shared" si="1591"/>
        <v/>
      </c>
      <c r="Q9642" t="str">
        <f t="shared" si="1592"/>
        <v/>
      </c>
      <c r="R9642" t="str">
        <f t="shared" si="1593"/>
        <v/>
      </c>
      <c r="S9642" t="str">
        <f t="shared" si="1594"/>
        <v/>
      </c>
      <c r="T9642" t="str">
        <f t="shared" si="1595"/>
        <v/>
      </c>
      <c r="U9642" t="str">
        <f t="shared" si="1596"/>
        <v/>
      </c>
      <c r="V9642" t="str">
        <f t="shared" si="1597"/>
        <v/>
      </c>
      <c r="W9642" t="str">
        <f t="shared" si="1598"/>
        <v/>
      </c>
      <c r="X9642">
        <f t="shared" si="1588"/>
        <v>0</v>
      </c>
      <c r="Z9642" t="str">
        <f t="shared" si="1599"/>
        <v/>
      </c>
      <c r="AA9642">
        <f t="shared" si="1589"/>
        <v>0</v>
      </c>
    </row>
    <row r="9643" spans="1:27" ht="21" customHeight="1" x14ac:dyDescent="0.95">
      <c r="A9643" s="56"/>
      <c r="B9643" s="57"/>
      <c r="C9643" s="57"/>
      <c r="D9643" s="57"/>
      <c r="E9643" s="56"/>
      <c r="F9643" s="57"/>
      <c r="G9643" s="57"/>
      <c r="H9643" s="56"/>
      <c r="I9643" s="56"/>
      <c r="J9643" s="58"/>
      <c r="K9643" s="58"/>
      <c r="L9643" s="13" t="str">
        <f t="shared" si="1590"/>
        <v/>
      </c>
      <c r="M9643" s="13" t="str">
        <f t="shared" si="1591"/>
        <v/>
      </c>
      <c r="Q9643" t="str">
        <f t="shared" si="1592"/>
        <v/>
      </c>
      <c r="R9643" t="str">
        <f t="shared" si="1593"/>
        <v/>
      </c>
      <c r="S9643" t="str">
        <f t="shared" si="1594"/>
        <v/>
      </c>
      <c r="T9643" t="str">
        <f t="shared" si="1595"/>
        <v/>
      </c>
      <c r="U9643" t="str">
        <f t="shared" si="1596"/>
        <v/>
      </c>
      <c r="V9643" t="str">
        <f t="shared" si="1597"/>
        <v/>
      </c>
      <c r="W9643" t="str">
        <f t="shared" si="1598"/>
        <v/>
      </c>
      <c r="X9643">
        <f t="shared" si="1588"/>
        <v>0</v>
      </c>
      <c r="Z9643" t="str">
        <f t="shared" si="1599"/>
        <v/>
      </c>
      <c r="AA9643">
        <f t="shared" si="1589"/>
        <v>0</v>
      </c>
    </row>
    <row r="9644" spans="1:27" ht="21" customHeight="1" x14ac:dyDescent="0.95">
      <c r="A9644" s="56"/>
      <c r="B9644" s="57"/>
      <c r="C9644" s="57"/>
      <c r="D9644" s="57"/>
      <c r="E9644" s="56"/>
      <c r="F9644" s="57"/>
      <c r="G9644" s="57"/>
      <c r="H9644" s="56"/>
      <c r="I9644" s="56"/>
      <c r="J9644" s="58"/>
      <c r="K9644" s="58"/>
      <c r="L9644" s="13" t="str">
        <f t="shared" si="1590"/>
        <v/>
      </c>
      <c r="M9644" s="13" t="str">
        <f t="shared" si="1591"/>
        <v/>
      </c>
      <c r="Q9644" t="str">
        <f t="shared" si="1592"/>
        <v/>
      </c>
      <c r="R9644" t="str">
        <f t="shared" si="1593"/>
        <v/>
      </c>
      <c r="S9644" t="str">
        <f t="shared" si="1594"/>
        <v/>
      </c>
      <c r="T9644" t="str">
        <f t="shared" si="1595"/>
        <v/>
      </c>
      <c r="U9644" t="str">
        <f t="shared" si="1596"/>
        <v/>
      </c>
      <c r="V9644" t="str">
        <f t="shared" si="1597"/>
        <v/>
      </c>
      <c r="W9644" t="str">
        <f t="shared" si="1598"/>
        <v/>
      </c>
      <c r="X9644">
        <f t="shared" si="1588"/>
        <v>0</v>
      </c>
      <c r="Z9644" t="str">
        <f t="shared" si="1599"/>
        <v/>
      </c>
      <c r="AA9644">
        <f t="shared" si="1589"/>
        <v>0</v>
      </c>
    </row>
    <row r="9645" spans="1:27" ht="21" customHeight="1" x14ac:dyDescent="0.95">
      <c r="A9645" s="56"/>
      <c r="B9645" s="57"/>
      <c r="C9645" s="57"/>
      <c r="D9645" s="57"/>
      <c r="E9645" s="56"/>
      <c r="F9645" s="57"/>
      <c r="G9645" s="57"/>
      <c r="H9645" s="56"/>
      <c r="I9645" s="56"/>
      <c r="J9645" s="58"/>
      <c r="K9645" s="58"/>
      <c r="L9645" s="13" t="str">
        <f t="shared" si="1590"/>
        <v/>
      </c>
      <c r="M9645" s="13" t="str">
        <f t="shared" si="1591"/>
        <v/>
      </c>
      <c r="Q9645" t="str">
        <f t="shared" si="1592"/>
        <v/>
      </c>
      <c r="R9645" t="str">
        <f t="shared" si="1593"/>
        <v/>
      </c>
      <c r="S9645" t="str">
        <f t="shared" si="1594"/>
        <v/>
      </c>
      <c r="T9645" t="str">
        <f t="shared" si="1595"/>
        <v/>
      </c>
      <c r="U9645" t="str">
        <f t="shared" si="1596"/>
        <v/>
      </c>
      <c r="V9645" t="str">
        <f t="shared" si="1597"/>
        <v/>
      </c>
      <c r="W9645" t="str">
        <f t="shared" si="1598"/>
        <v/>
      </c>
      <c r="X9645">
        <f t="shared" si="1588"/>
        <v>0</v>
      </c>
      <c r="Z9645" t="str">
        <f t="shared" si="1599"/>
        <v/>
      </c>
      <c r="AA9645">
        <f t="shared" si="1589"/>
        <v>0</v>
      </c>
    </row>
    <row r="9646" spans="1:27" ht="21" customHeight="1" x14ac:dyDescent="0.95">
      <c r="A9646" s="56"/>
      <c r="B9646" s="57"/>
      <c r="C9646" s="57"/>
      <c r="D9646" s="57"/>
      <c r="E9646" s="56"/>
      <c r="F9646" s="57"/>
      <c r="G9646" s="57"/>
      <c r="H9646" s="56"/>
      <c r="I9646" s="56"/>
      <c r="J9646" s="58"/>
      <c r="K9646" s="58"/>
      <c r="L9646" s="13" t="str">
        <f t="shared" si="1590"/>
        <v/>
      </c>
      <c r="M9646" s="13" t="str">
        <f t="shared" si="1591"/>
        <v/>
      </c>
      <c r="Q9646" t="str">
        <f t="shared" si="1592"/>
        <v/>
      </c>
      <c r="R9646" t="str">
        <f t="shared" si="1593"/>
        <v/>
      </c>
      <c r="S9646" t="str">
        <f t="shared" si="1594"/>
        <v/>
      </c>
      <c r="T9646" t="str">
        <f t="shared" si="1595"/>
        <v/>
      </c>
      <c r="U9646" t="str">
        <f t="shared" si="1596"/>
        <v/>
      </c>
      <c r="V9646" t="str">
        <f t="shared" si="1597"/>
        <v/>
      </c>
      <c r="W9646" t="str">
        <f t="shared" si="1598"/>
        <v/>
      </c>
      <c r="X9646">
        <f t="shared" si="1588"/>
        <v>0</v>
      </c>
      <c r="Z9646" t="str">
        <f t="shared" si="1599"/>
        <v/>
      </c>
      <c r="AA9646">
        <f t="shared" si="1589"/>
        <v>0</v>
      </c>
    </row>
    <row r="9647" spans="1:27" ht="21" customHeight="1" x14ac:dyDescent="0.95">
      <c r="A9647" s="56"/>
      <c r="B9647" s="57"/>
      <c r="C9647" s="57"/>
      <c r="D9647" s="57"/>
      <c r="E9647" s="56"/>
      <c r="F9647" s="57"/>
      <c r="G9647" s="57"/>
      <c r="H9647" s="56"/>
      <c r="I9647" s="56"/>
      <c r="J9647" s="58"/>
      <c r="K9647" s="58"/>
      <c r="L9647" s="13" t="str">
        <f t="shared" si="1590"/>
        <v/>
      </c>
      <c r="M9647" s="13" t="str">
        <f t="shared" si="1591"/>
        <v/>
      </c>
      <c r="Q9647" t="str">
        <f t="shared" si="1592"/>
        <v/>
      </c>
      <c r="R9647" t="str">
        <f t="shared" si="1593"/>
        <v/>
      </c>
      <c r="S9647" t="str">
        <f t="shared" si="1594"/>
        <v/>
      </c>
      <c r="T9647" t="str">
        <f t="shared" si="1595"/>
        <v/>
      </c>
      <c r="U9647" t="str">
        <f t="shared" si="1596"/>
        <v/>
      </c>
      <c r="V9647" t="str">
        <f t="shared" si="1597"/>
        <v/>
      </c>
      <c r="W9647" t="str">
        <f t="shared" si="1598"/>
        <v/>
      </c>
      <c r="X9647">
        <f t="shared" si="1588"/>
        <v>0</v>
      </c>
      <c r="Z9647" t="str">
        <f t="shared" si="1599"/>
        <v/>
      </c>
      <c r="AA9647">
        <f t="shared" si="1589"/>
        <v>0</v>
      </c>
    </row>
    <row r="9648" spans="1:27" ht="21" customHeight="1" x14ac:dyDescent="0.95">
      <c r="A9648" s="56"/>
      <c r="B9648" s="57"/>
      <c r="C9648" s="57"/>
      <c r="D9648" s="57"/>
      <c r="E9648" s="56"/>
      <c r="F9648" s="57"/>
      <c r="G9648" s="57"/>
      <c r="H9648" s="56"/>
      <c r="I9648" s="56"/>
      <c r="J9648" s="58"/>
      <c r="K9648" s="58"/>
      <c r="L9648" s="13" t="str">
        <f t="shared" si="1590"/>
        <v/>
      </c>
      <c r="M9648" s="13" t="str">
        <f t="shared" si="1591"/>
        <v/>
      </c>
      <c r="Q9648" t="str">
        <f t="shared" si="1592"/>
        <v/>
      </c>
      <c r="R9648" t="str">
        <f t="shared" si="1593"/>
        <v/>
      </c>
      <c r="S9648" t="str">
        <f t="shared" si="1594"/>
        <v/>
      </c>
      <c r="T9648" t="str">
        <f t="shared" si="1595"/>
        <v/>
      </c>
      <c r="U9648" t="str">
        <f t="shared" si="1596"/>
        <v/>
      </c>
      <c r="V9648" t="str">
        <f t="shared" si="1597"/>
        <v/>
      </c>
      <c r="W9648" t="str">
        <f t="shared" si="1598"/>
        <v/>
      </c>
      <c r="X9648">
        <f t="shared" si="1588"/>
        <v>0</v>
      </c>
      <c r="Z9648" t="str">
        <f t="shared" si="1599"/>
        <v/>
      </c>
      <c r="AA9648">
        <f t="shared" si="1589"/>
        <v>0</v>
      </c>
    </row>
    <row r="9649" spans="1:27" ht="21" customHeight="1" x14ac:dyDescent="0.95">
      <c r="A9649" s="56"/>
      <c r="B9649" s="57"/>
      <c r="C9649" s="57"/>
      <c r="D9649" s="57"/>
      <c r="E9649" s="56"/>
      <c r="F9649" s="57"/>
      <c r="G9649" s="57"/>
      <c r="H9649" s="56"/>
      <c r="I9649" s="56"/>
      <c r="J9649" s="58"/>
      <c r="K9649" s="58"/>
      <c r="L9649" s="13" t="str">
        <f t="shared" si="1590"/>
        <v/>
      </c>
      <c r="M9649" s="13" t="str">
        <f t="shared" si="1591"/>
        <v/>
      </c>
      <c r="Q9649" t="str">
        <f t="shared" si="1592"/>
        <v/>
      </c>
      <c r="R9649" t="str">
        <f t="shared" si="1593"/>
        <v/>
      </c>
      <c r="S9649" t="str">
        <f t="shared" si="1594"/>
        <v/>
      </c>
      <c r="T9649" t="str">
        <f t="shared" si="1595"/>
        <v/>
      </c>
      <c r="U9649" t="str">
        <f t="shared" si="1596"/>
        <v/>
      </c>
      <c r="V9649" t="str">
        <f t="shared" si="1597"/>
        <v/>
      </c>
      <c r="W9649" t="str">
        <f t="shared" si="1598"/>
        <v/>
      </c>
      <c r="X9649">
        <f t="shared" si="1588"/>
        <v>0</v>
      </c>
      <c r="Z9649" t="str">
        <f t="shared" si="1599"/>
        <v/>
      </c>
      <c r="AA9649">
        <f t="shared" si="1589"/>
        <v>0</v>
      </c>
    </row>
    <row r="9650" spans="1:27" ht="21" customHeight="1" x14ac:dyDescent="0.95">
      <c r="A9650" s="56"/>
      <c r="B9650" s="57"/>
      <c r="C9650" s="57"/>
      <c r="D9650" s="57"/>
      <c r="E9650" s="56"/>
      <c r="F9650" s="57"/>
      <c r="G9650" s="57"/>
      <c r="H9650" s="56"/>
      <c r="I9650" s="56"/>
      <c r="J9650" s="58"/>
      <c r="K9650" s="58"/>
      <c r="L9650" s="13" t="str">
        <f t="shared" si="1590"/>
        <v/>
      </c>
      <c r="M9650" s="13" t="str">
        <f t="shared" si="1591"/>
        <v/>
      </c>
      <c r="Q9650" t="str">
        <f t="shared" si="1592"/>
        <v/>
      </c>
      <c r="R9650" t="str">
        <f t="shared" si="1593"/>
        <v/>
      </c>
      <c r="S9650" t="str">
        <f t="shared" si="1594"/>
        <v/>
      </c>
      <c r="T9650" t="str">
        <f t="shared" si="1595"/>
        <v/>
      </c>
      <c r="U9650" t="str">
        <f t="shared" si="1596"/>
        <v/>
      </c>
      <c r="V9650" t="str">
        <f t="shared" si="1597"/>
        <v/>
      </c>
      <c r="W9650" t="str">
        <f t="shared" si="1598"/>
        <v/>
      </c>
      <c r="X9650">
        <f t="shared" si="1588"/>
        <v>0</v>
      </c>
      <c r="Z9650" t="str">
        <f t="shared" si="1599"/>
        <v/>
      </c>
      <c r="AA9650">
        <f t="shared" si="1589"/>
        <v>0</v>
      </c>
    </row>
    <row r="9651" spans="1:27" ht="21" customHeight="1" x14ac:dyDescent="0.95">
      <c r="A9651" s="56"/>
      <c r="B9651" s="57"/>
      <c r="C9651" s="57"/>
      <c r="D9651" s="57"/>
      <c r="E9651" s="56"/>
      <c r="F9651" s="57"/>
      <c r="G9651" s="57"/>
      <c r="H9651" s="56"/>
      <c r="I9651" s="56"/>
      <c r="J9651" s="58"/>
      <c r="K9651" s="58"/>
      <c r="L9651" s="13" t="str">
        <f t="shared" si="1590"/>
        <v/>
      </c>
      <c r="M9651" s="13" t="str">
        <f t="shared" si="1591"/>
        <v/>
      </c>
      <c r="Q9651" t="str">
        <f t="shared" si="1592"/>
        <v/>
      </c>
      <c r="R9651" t="str">
        <f t="shared" si="1593"/>
        <v/>
      </c>
      <c r="S9651" t="str">
        <f t="shared" si="1594"/>
        <v/>
      </c>
      <c r="T9651" t="str">
        <f t="shared" si="1595"/>
        <v/>
      </c>
      <c r="U9651" t="str">
        <f t="shared" si="1596"/>
        <v/>
      </c>
      <c r="V9651" t="str">
        <f t="shared" si="1597"/>
        <v/>
      </c>
      <c r="W9651" t="str">
        <f t="shared" si="1598"/>
        <v/>
      </c>
      <c r="X9651">
        <f t="shared" si="1588"/>
        <v>0</v>
      </c>
      <c r="Z9651" t="str">
        <f t="shared" si="1599"/>
        <v/>
      </c>
      <c r="AA9651">
        <f t="shared" si="1589"/>
        <v>0</v>
      </c>
    </row>
    <row r="9652" spans="1:27" ht="21" customHeight="1" x14ac:dyDescent="0.95">
      <c r="A9652" s="56"/>
      <c r="B9652" s="57"/>
      <c r="C9652" s="57"/>
      <c r="D9652" s="57"/>
      <c r="E9652" s="56"/>
      <c r="F9652" s="57"/>
      <c r="G9652" s="57"/>
      <c r="H9652" s="56"/>
      <c r="I9652" s="56"/>
      <c r="J9652" s="58"/>
      <c r="K9652" s="58"/>
      <c r="L9652" s="13" t="str">
        <f t="shared" si="1590"/>
        <v/>
      </c>
      <c r="M9652" s="13" t="str">
        <f t="shared" si="1591"/>
        <v/>
      </c>
      <c r="Q9652" t="str">
        <f t="shared" si="1592"/>
        <v/>
      </c>
      <c r="R9652" t="str">
        <f t="shared" si="1593"/>
        <v/>
      </c>
      <c r="S9652" t="str">
        <f t="shared" si="1594"/>
        <v/>
      </c>
      <c r="T9652" t="str">
        <f t="shared" si="1595"/>
        <v/>
      </c>
      <c r="U9652" t="str">
        <f t="shared" si="1596"/>
        <v/>
      </c>
      <c r="V9652" t="str">
        <f t="shared" si="1597"/>
        <v/>
      </c>
      <c r="W9652" t="str">
        <f t="shared" si="1598"/>
        <v/>
      </c>
      <c r="X9652">
        <f t="shared" si="1588"/>
        <v>0</v>
      </c>
      <c r="Z9652" t="str">
        <f t="shared" si="1599"/>
        <v/>
      </c>
      <c r="AA9652">
        <f t="shared" si="1589"/>
        <v>0</v>
      </c>
    </row>
    <row r="9653" spans="1:27" ht="21" customHeight="1" x14ac:dyDescent="0.95">
      <c r="A9653" s="56"/>
      <c r="B9653" s="57"/>
      <c r="C9653" s="57"/>
      <c r="D9653" s="57"/>
      <c r="E9653" s="56"/>
      <c r="F9653" s="57"/>
      <c r="G9653" s="57"/>
      <c r="H9653" s="56"/>
      <c r="I9653" s="56"/>
      <c r="J9653" s="58"/>
      <c r="K9653" s="58"/>
      <c r="L9653" s="13" t="str">
        <f t="shared" si="1590"/>
        <v/>
      </c>
      <c r="M9653" s="13" t="str">
        <f t="shared" si="1591"/>
        <v/>
      </c>
      <c r="Q9653" t="str">
        <f t="shared" si="1592"/>
        <v/>
      </c>
      <c r="R9653" t="str">
        <f t="shared" si="1593"/>
        <v/>
      </c>
      <c r="S9653" t="str">
        <f t="shared" si="1594"/>
        <v/>
      </c>
      <c r="T9653" t="str">
        <f t="shared" si="1595"/>
        <v/>
      </c>
      <c r="U9653" t="str">
        <f t="shared" si="1596"/>
        <v/>
      </c>
      <c r="V9653" t="str">
        <f t="shared" si="1597"/>
        <v/>
      </c>
      <c r="W9653" t="str">
        <f t="shared" si="1598"/>
        <v/>
      </c>
      <c r="X9653">
        <f t="shared" ref="X9653:X9716" si="1600">IF($T9653="",N($X9652),IF(MATCH($T9653,$T$6:$T$10005,0)=ROW()-5,N($X9652)+1,N($X9652)))</f>
        <v>0</v>
      </c>
      <c r="Z9653" t="str">
        <f t="shared" si="1599"/>
        <v/>
      </c>
      <c r="AA9653">
        <f t="shared" ref="AA9653:AA9716" si="1601">IF($V9653="",N($AA9652),IF(MATCH($V9653,$V$6:$V$10005,0)=ROW()-5,N($AA9652)+1,N($AA9652)))</f>
        <v>0</v>
      </c>
    </row>
    <row r="9654" spans="1:27" ht="21" customHeight="1" x14ac:dyDescent="0.95">
      <c r="A9654" s="56"/>
      <c r="B9654" s="57"/>
      <c r="C9654" s="57"/>
      <c r="D9654" s="57"/>
      <c r="E9654" s="56"/>
      <c r="F9654" s="57"/>
      <c r="G9654" s="57"/>
      <c r="H9654" s="56"/>
      <c r="I9654" s="56"/>
      <c r="J9654" s="58"/>
      <c r="K9654" s="58"/>
      <c r="L9654" s="13" t="str">
        <f t="shared" si="1590"/>
        <v/>
      </c>
      <c r="M9654" s="13" t="str">
        <f t="shared" si="1591"/>
        <v/>
      </c>
      <c r="Q9654" t="str">
        <f t="shared" si="1592"/>
        <v/>
      </c>
      <c r="R9654" t="str">
        <f t="shared" si="1593"/>
        <v/>
      </c>
      <c r="S9654" t="str">
        <f t="shared" si="1594"/>
        <v/>
      </c>
      <c r="T9654" t="str">
        <f t="shared" si="1595"/>
        <v/>
      </c>
      <c r="U9654" t="str">
        <f t="shared" si="1596"/>
        <v/>
      </c>
      <c r="V9654" t="str">
        <f t="shared" si="1597"/>
        <v/>
      </c>
      <c r="W9654" t="str">
        <f t="shared" si="1598"/>
        <v/>
      </c>
      <c r="X9654">
        <f t="shared" si="1600"/>
        <v>0</v>
      </c>
      <c r="Z9654" t="str">
        <f t="shared" si="1599"/>
        <v/>
      </c>
      <c r="AA9654">
        <f t="shared" si="1601"/>
        <v>0</v>
      </c>
    </row>
    <row r="9655" spans="1:27" ht="21" customHeight="1" x14ac:dyDescent="0.95">
      <c r="A9655" s="56"/>
      <c r="B9655" s="57"/>
      <c r="C9655" s="57"/>
      <c r="D9655" s="57"/>
      <c r="E9655" s="56"/>
      <c r="F9655" s="57"/>
      <c r="G9655" s="57"/>
      <c r="H9655" s="56"/>
      <c r="I9655" s="56"/>
      <c r="J9655" s="58"/>
      <c r="K9655" s="58"/>
      <c r="L9655" s="13" t="str">
        <f t="shared" si="1590"/>
        <v/>
      </c>
      <c r="M9655" s="13" t="str">
        <f t="shared" si="1591"/>
        <v/>
      </c>
      <c r="Q9655" t="str">
        <f t="shared" si="1592"/>
        <v/>
      </c>
      <c r="R9655" t="str">
        <f t="shared" si="1593"/>
        <v/>
      </c>
      <c r="S9655" t="str">
        <f t="shared" si="1594"/>
        <v/>
      </c>
      <c r="T9655" t="str">
        <f t="shared" si="1595"/>
        <v/>
      </c>
      <c r="U9655" t="str">
        <f t="shared" si="1596"/>
        <v/>
      </c>
      <c r="V9655" t="str">
        <f t="shared" si="1597"/>
        <v/>
      </c>
      <c r="W9655" t="str">
        <f t="shared" si="1598"/>
        <v/>
      </c>
      <c r="X9655">
        <f t="shared" si="1600"/>
        <v>0</v>
      </c>
      <c r="Z9655" t="str">
        <f t="shared" si="1599"/>
        <v/>
      </c>
      <c r="AA9655">
        <f t="shared" si="1601"/>
        <v>0</v>
      </c>
    </row>
    <row r="9656" spans="1:27" ht="21" customHeight="1" x14ac:dyDescent="0.95">
      <c r="A9656" s="56"/>
      <c r="B9656" s="57"/>
      <c r="C9656" s="57"/>
      <c r="D9656" s="57"/>
      <c r="E9656" s="56"/>
      <c r="F9656" s="57"/>
      <c r="G9656" s="57"/>
      <c r="H9656" s="56"/>
      <c r="I9656" s="56"/>
      <c r="J9656" s="58"/>
      <c r="K9656" s="58"/>
      <c r="L9656" s="13" t="str">
        <f t="shared" si="1590"/>
        <v/>
      </c>
      <c r="M9656" s="13" t="str">
        <f t="shared" si="1591"/>
        <v/>
      </c>
      <c r="Q9656" t="str">
        <f t="shared" si="1592"/>
        <v/>
      </c>
      <c r="R9656" t="str">
        <f t="shared" si="1593"/>
        <v/>
      </c>
      <c r="S9656" t="str">
        <f t="shared" si="1594"/>
        <v/>
      </c>
      <c r="T9656" t="str">
        <f t="shared" si="1595"/>
        <v/>
      </c>
      <c r="U9656" t="str">
        <f t="shared" si="1596"/>
        <v/>
      </c>
      <c r="V9656" t="str">
        <f t="shared" si="1597"/>
        <v/>
      </c>
      <c r="W9656" t="str">
        <f t="shared" si="1598"/>
        <v/>
      </c>
      <c r="X9656">
        <f t="shared" si="1600"/>
        <v>0</v>
      </c>
      <c r="Z9656" t="str">
        <f t="shared" si="1599"/>
        <v/>
      </c>
      <c r="AA9656">
        <f t="shared" si="1601"/>
        <v>0</v>
      </c>
    </row>
    <row r="9657" spans="1:27" ht="21" customHeight="1" x14ac:dyDescent="0.95">
      <c r="A9657" s="56"/>
      <c r="B9657" s="57"/>
      <c r="C9657" s="57"/>
      <c r="D9657" s="57"/>
      <c r="E9657" s="56"/>
      <c r="F9657" s="57"/>
      <c r="G9657" s="57"/>
      <c r="H9657" s="56"/>
      <c r="I9657" s="56"/>
      <c r="J9657" s="58"/>
      <c r="K9657" s="58"/>
      <c r="L9657" s="13" t="str">
        <f t="shared" si="1590"/>
        <v/>
      </c>
      <c r="M9657" s="13" t="str">
        <f t="shared" si="1591"/>
        <v/>
      </c>
      <c r="Q9657" t="str">
        <f t="shared" si="1592"/>
        <v/>
      </c>
      <c r="R9657" t="str">
        <f t="shared" si="1593"/>
        <v/>
      </c>
      <c r="S9657" t="str">
        <f t="shared" si="1594"/>
        <v/>
      </c>
      <c r="T9657" t="str">
        <f t="shared" si="1595"/>
        <v/>
      </c>
      <c r="U9657" t="str">
        <f t="shared" si="1596"/>
        <v/>
      </c>
      <c r="V9657" t="str">
        <f t="shared" si="1597"/>
        <v/>
      </c>
      <c r="W9657" t="str">
        <f t="shared" si="1598"/>
        <v/>
      </c>
      <c r="X9657">
        <f t="shared" si="1600"/>
        <v>0</v>
      </c>
      <c r="Z9657" t="str">
        <f t="shared" si="1599"/>
        <v/>
      </c>
      <c r="AA9657">
        <f t="shared" si="1601"/>
        <v>0</v>
      </c>
    </row>
    <row r="9658" spans="1:27" ht="21" customHeight="1" x14ac:dyDescent="0.95">
      <c r="A9658" s="56"/>
      <c r="B9658" s="57"/>
      <c r="C9658" s="57"/>
      <c r="D9658" s="57"/>
      <c r="E9658" s="56"/>
      <c r="F9658" s="57"/>
      <c r="G9658" s="57"/>
      <c r="H9658" s="56"/>
      <c r="I9658" s="56"/>
      <c r="J9658" s="58"/>
      <c r="K9658" s="58"/>
      <c r="L9658" s="13" t="str">
        <f t="shared" si="1590"/>
        <v/>
      </c>
      <c r="M9658" s="13" t="str">
        <f t="shared" si="1591"/>
        <v/>
      </c>
      <c r="Q9658" t="str">
        <f t="shared" si="1592"/>
        <v/>
      </c>
      <c r="R9658" t="str">
        <f t="shared" si="1593"/>
        <v/>
      </c>
      <c r="S9658" t="str">
        <f t="shared" si="1594"/>
        <v/>
      </c>
      <c r="T9658" t="str">
        <f t="shared" si="1595"/>
        <v/>
      </c>
      <c r="U9658" t="str">
        <f t="shared" si="1596"/>
        <v/>
      </c>
      <c r="V9658" t="str">
        <f t="shared" si="1597"/>
        <v/>
      </c>
      <c r="W9658" t="str">
        <f t="shared" si="1598"/>
        <v/>
      </c>
      <c r="X9658">
        <f t="shared" si="1600"/>
        <v>0</v>
      </c>
      <c r="Z9658" t="str">
        <f t="shared" si="1599"/>
        <v/>
      </c>
      <c r="AA9658">
        <f t="shared" si="1601"/>
        <v>0</v>
      </c>
    </row>
    <row r="9659" spans="1:27" ht="21" customHeight="1" x14ac:dyDescent="0.95">
      <c r="A9659" s="56"/>
      <c r="B9659" s="57"/>
      <c r="C9659" s="57"/>
      <c r="D9659" s="57"/>
      <c r="E9659" s="56"/>
      <c r="F9659" s="57"/>
      <c r="G9659" s="57"/>
      <c r="H9659" s="56"/>
      <c r="I9659" s="56"/>
      <c r="J9659" s="58"/>
      <c r="K9659" s="58"/>
      <c r="L9659" s="13" t="str">
        <f t="shared" si="1590"/>
        <v/>
      </c>
      <c r="M9659" s="13" t="str">
        <f t="shared" si="1591"/>
        <v/>
      </c>
      <c r="Q9659" t="str">
        <f t="shared" si="1592"/>
        <v/>
      </c>
      <c r="R9659" t="str">
        <f t="shared" si="1593"/>
        <v/>
      </c>
      <c r="S9659" t="str">
        <f t="shared" si="1594"/>
        <v/>
      </c>
      <c r="T9659" t="str">
        <f t="shared" si="1595"/>
        <v/>
      </c>
      <c r="U9659" t="str">
        <f t="shared" si="1596"/>
        <v/>
      </c>
      <c r="V9659" t="str">
        <f t="shared" si="1597"/>
        <v/>
      </c>
      <c r="W9659" t="str">
        <f t="shared" si="1598"/>
        <v/>
      </c>
      <c r="X9659">
        <f t="shared" si="1600"/>
        <v>0</v>
      </c>
      <c r="Z9659" t="str">
        <f t="shared" si="1599"/>
        <v/>
      </c>
      <c r="AA9659">
        <f t="shared" si="1601"/>
        <v>0</v>
      </c>
    </row>
    <row r="9660" spans="1:27" ht="21" customHeight="1" x14ac:dyDescent="0.95">
      <c r="A9660" s="56"/>
      <c r="B9660" s="57"/>
      <c r="C9660" s="57"/>
      <c r="D9660" s="57"/>
      <c r="E9660" s="56"/>
      <c r="F9660" s="57"/>
      <c r="G9660" s="57"/>
      <c r="H9660" s="56"/>
      <c r="I9660" s="56"/>
      <c r="J9660" s="58"/>
      <c r="K9660" s="58"/>
      <c r="L9660" s="13" t="str">
        <f t="shared" si="1590"/>
        <v/>
      </c>
      <c r="M9660" s="13" t="str">
        <f t="shared" si="1591"/>
        <v/>
      </c>
      <c r="Q9660" t="str">
        <f t="shared" si="1592"/>
        <v/>
      </c>
      <c r="R9660" t="str">
        <f t="shared" si="1593"/>
        <v/>
      </c>
      <c r="S9660" t="str">
        <f t="shared" si="1594"/>
        <v/>
      </c>
      <c r="T9660" t="str">
        <f t="shared" si="1595"/>
        <v/>
      </c>
      <c r="U9660" t="str">
        <f t="shared" si="1596"/>
        <v/>
      </c>
      <c r="V9660" t="str">
        <f t="shared" si="1597"/>
        <v/>
      </c>
      <c r="W9660" t="str">
        <f t="shared" si="1598"/>
        <v/>
      </c>
      <c r="X9660">
        <f t="shared" si="1600"/>
        <v>0</v>
      </c>
      <c r="Z9660" t="str">
        <f t="shared" si="1599"/>
        <v/>
      </c>
      <c r="AA9660">
        <f t="shared" si="1601"/>
        <v>0</v>
      </c>
    </row>
    <row r="9661" spans="1:27" ht="21" customHeight="1" x14ac:dyDescent="0.95">
      <c r="A9661" s="56"/>
      <c r="B9661" s="57"/>
      <c r="C9661" s="57"/>
      <c r="D9661" s="57"/>
      <c r="E9661" s="56"/>
      <c r="F9661" s="57"/>
      <c r="G9661" s="57"/>
      <c r="H9661" s="56"/>
      <c r="I9661" s="56"/>
      <c r="J9661" s="58"/>
      <c r="K9661" s="58"/>
      <c r="L9661" s="13" t="str">
        <f t="shared" si="1590"/>
        <v/>
      </c>
      <c r="M9661" s="13" t="str">
        <f t="shared" si="1591"/>
        <v/>
      </c>
      <c r="Q9661" t="str">
        <f t="shared" si="1592"/>
        <v/>
      </c>
      <c r="R9661" t="str">
        <f t="shared" si="1593"/>
        <v/>
      </c>
      <c r="S9661" t="str">
        <f t="shared" si="1594"/>
        <v/>
      </c>
      <c r="T9661" t="str">
        <f t="shared" si="1595"/>
        <v/>
      </c>
      <c r="U9661" t="str">
        <f t="shared" si="1596"/>
        <v/>
      </c>
      <c r="V9661" t="str">
        <f t="shared" si="1597"/>
        <v/>
      </c>
      <c r="W9661" t="str">
        <f t="shared" si="1598"/>
        <v/>
      </c>
      <c r="X9661">
        <f t="shared" si="1600"/>
        <v>0</v>
      </c>
      <c r="Z9661" t="str">
        <f t="shared" si="1599"/>
        <v/>
      </c>
      <c r="AA9661">
        <f t="shared" si="1601"/>
        <v>0</v>
      </c>
    </row>
    <row r="9662" spans="1:27" ht="21" customHeight="1" x14ac:dyDescent="0.95">
      <c r="A9662" s="56"/>
      <c r="B9662" s="57"/>
      <c r="C9662" s="57"/>
      <c r="D9662" s="57"/>
      <c r="E9662" s="56"/>
      <c r="F9662" s="57"/>
      <c r="G9662" s="57"/>
      <c r="H9662" s="56"/>
      <c r="I9662" s="56"/>
      <c r="J9662" s="58"/>
      <c r="K9662" s="58"/>
      <c r="L9662" s="13" t="str">
        <f t="shared" si="1590"/>
        <v/>
      </c>
      <c r="M9662" s="13" t="str">
        <f t="shared" si="1591"/>
        <v/>
      </c>
      <c r="Q9662" t="str">
        <f t="shared" si="1592"/>
        <v/>
      </c>
      <c r="R9662" t="str">
        <f t="shared" si="1593"/>
        <v/>
      </c>
      <c r="S9662" t="str">
        <f t="shared" si="1594"/>
        <v/>
      </c>
      <c r="T9662" t="str">
        <f t="shared" si="1595"/>
        <v/>
      </c>
      <c r="U9662" t="str">
        <f t="shared" si="1596"/>
        <v/>
      </c>
      <c r="V9662" t="str">
        <f t="shared" si="1597"/>
        <v/>
      </c>
      <c r="W9662" t="str">
        <f t="shared" si="1598"/>
        <v/>
      </c>
      <c r="X9662">
        <f t="shared" si="1600"/>
        <v>0</v>
      </c>
      <c r="Z9662" t="str">
        <f t="shared" si="1599"/>
        <v/>
      </c>
      <c r="AA9662">
        <f t="shared" si="1601"/>
        <v>0</v>
      </c>
    </row>
    <row r="9663" spans="1:27" ht="21" customHeight="1" x14ac:dyDescent="0.95">
      <c r="A9663" s="56"/>
      <c r="B9663" s="57"/>
      <c r="C9663" s="57"/>
      <c r="D9663" s="57"/>
      <c r="E9663" s="56"/>
      <c r="F9663" s="57"/>
      <c r="G9663" s="57"/>
      <c r="H9663" s="56"/>
      <c r="I9663" s="56"/>
      <c r="J9663" s="58"/>
      <c r="K9663" s="58"/>
      <c r="L9663" s="13" t="str">
        <f t="shared" si="1590"/>
        <v/>
      </c>
      <c r="M9663" s="13" t="str">
        <f t="shared" si="1591"/>
        <v/>
      </c>
      <c r="Q9663" t="str">
        <f t="shared" si="1592"/>
        <v/>
      </c>
      <c r="R9663" t="str">
        <f t="shared" si="1593"/>
        <v/>
      </c>
      <c r="S9663" t="str">
        <f t="shared" si="1594"/>
        <v/>
      </c>
      <c r="T9663" t="str">
        <f t="shared" si="1595"/>
        <v/>
      </c>
      <c r="U9663" t="str">
        <f t="shared" si="1596"/>
        <v/>
      </c>
      <c r="V9663" t="str">
        <f t="shared" si="1597"/>
        <v/>
      </c>
      <c r="W9663" t="str">
        <f t="shared" si="1598"/>
        <v/>
      </c>
      <c r="X9663">
        <f t="shared" si="1600"/>
        <v>0</v>
      </c>
      <c r="Z9663" t="str">
        <f t="shared" si="1599"/>
        <v/>
      </c>
      <c r="AA9663">
        <f t="shared" si="1601"/>
        <v>0</v>
      </c>
    </row>
    <row r="9664" spans="1:27" ht="21" customHeight="1" x14ac:dyDescent="0.95">
      <c r="A9664" s="56"/>
      <c r="B9664" s="57"/>
      <c r="C9664" s="57"/>
      <c r="D9664" s="57"/>
      <c r="E9664" s="56"/>
      <c r="F9664" s="57"/>
      <c r="G9664" s="57"/>
      <c r="H9664" s="56"/>
      <c r="I9664" s="56"/>
      <c r="J9664" s="58"/>
      <c r="K9664" s="58"/>
      <c r="L9664" s="13" t="str">
        <f t="shared" si="1590"/>
        <v/>
      </c>
      <c r="M9664" s="13" t="str">
        <f t="shared" si="1591"/>
        <v/>
      </c>
      <c r="Q9664" t="str">
        <f t="shared" si="1592"/>
        <v/>
      </c>
      <c r="R9664" t="str">
        <f t="shared" si="1593"/>
        <v/>
      </c>
      <c r="S9664" t="str">
        <f t="shared" si="1594"/>
        <v/>
      </c>
      <c r="T9664" t="str">
        <f t="shared" si="1595"/>
        <v/>
      </c>
      <c r="U9664" t="str">
        <f t="shared" si="1596"/>
        <v/>
      </c>
      <c r="V9664" t="str">
        <f t="shared" si="1597"/>
        <v/>
      </c>
      <c r="W9664" t="str">
        <f t="shared" si="1598"/>
        <v/>
      </c>
      <c r="X9664">
        <f t="shared" si="1600"/>
        <v>0</v>
      </c>
      <c r="Z9664" t="str">
        <f t="shared" si="1599"/>
        <v/>
      </c>
      <c r="AA9664">
        <f t="shared" si="1601"/>
        <v>0</v>
      </c>
    </row>
    <row r="9665" spans="1:27" ht="21" customHeight="1" x14ac:dyDescent="0.95">
      <c r="A9665" s="56"/>
      <c r="B9665" s="57"/>
      <c r="C9665" s="57"/>
      <c r="D9665" s="57"/>
      <c r="E9665" s="56"/>
      <c r="F9665" s="57"/>
      <c r="G9665" s="57"/>
      <c r="H9665" s="56"/>
      <c r="I9665" s="56"/>
      <c r="J9665" s="58"/>
      <c r="K9665" s="58"/>
      <c r="L9665" s="13" t="str">
        <f t="shared" si="1590"/>
        <v/>
      </c>
      <c r="M9665" s="13" t="str">
        <f t="shared" si="1591"/>
        <v/>
      </c>
      <c r="Q9665" t="str">
        <f t="shared" si="1592"/>
        <v/>
      </c>
      <c r="R9665" t="str">
        <f t="shared" si="1593"/>
        <v/>
      </c>
      <c r="S9665" t="str">
        <f t="shared" si="1594"/>
        <v/>
      </c>
      <c r="T9665" t="str">
        <f t="shared" si="1595"/>
        <v/>
      </c>
      <c r="U9665" t="str">
        <f t="shared" si="1596"/>
        <v/>
      </c>
      <c r="V9665" t="str">
        <f t="shared" si="1597"/>
        <v/>
      </c>
      <c r="W9665" t="str">
        <f t="shared" si="1598"/>
        <v/>
      </c>
      <c r="X9665">
        <f t="shared" si="1600"/>
        <v>0</v>
      </c>
      <c r="Z9665" t="str">
        <f t="shared" si="1599"/>
        <v/>
      </c>
      <c r="AA9665">
        <f t="shared" si="1601"/>
        <v>0</v>
      </c>
    </row>
    <row r="9666" spans="1:27" ht="21" customHeight="1" x14ac:dyDescent="0.95">
      <c r="A9666" s="56"/>
      <c r="B9666" s="57"/>
      <c r="C9666" s="57"/>
      <c r="D9666" s="57"/>
      <c r="E9666" s="56"/>
      <c r="F9666" s="57"/>
      <c r="G9666" s="57"/>
      <c r="H9666" s="56"/>
      <c r="I9666" s="56"/>
      <c r="J9666" s="58"/>
      <c r="K9666" s="58"/>
      <c r="L9666" s="13" t="str">
        <f t="shared" si="1590"/>
        <v/>
      </c>
      <c r="M9666" s="13" t="str">
        <f t="shared" si="1591"/>
        <v/>
      </c>
      <c r="Q9666" t="str">
        <f t="shared" si="1592"/>
        <v/>
      </c>
      <c r="R9666" t="str">
        <f t="shared" si="1593"/>
        <v/>
      </c>
      <c r="S9666" t="str">
        <f t="shared" si="1594"/>
        <v/>
      </c>
      <c r="T9666" t="str">
        <f t="shared" si="1595"/>
        <v/>
      </c>
      <c r="U9666" t="str">
        <f t="shared" si="1596"/>
        <v/>
      </c>
      <c r="V9666" t="str">
        <f t="shared" si="1597"/>
        <v/>
      </c>
      <c r="W9666" t="str">
        <f t="shared" si="1598"/>
        <v/>
      </c>
      <c r="X9666">
        <f t="shared" si="1600"/>
        <v>0</v>
      </c>
      <c r="Z9666" t="str">
        <f t="shared" si="1599"/>
        <v/>
      </c>
      <c r="AA9666">
        <f t="shared" si="1601"/>
        <v>0</v>
      </c>
    </row>
    <row r="9667" spans="1:27" ht="21" customHeight="1" x14ac:dyDescent="0.95">
      <c r="A9667" s="56"/>
      <c r="B9667" s="57"/>
      <c r="C9667" s="57"/>
      <c r="D9667" s="57"/>
      <c r="E9667" s="56"/>
      <c r="F9667" s="57"/>
      <c r="G9667" s="57"/>
      <c r="H9667" s="56"/>
      <c r="I9667" s="56"/>
      <c r="J9667" s="58"/>
      <c r="K9667" s="58"/>
      <c r="L9667" s="13" t="str">
        <f t="shared" si="1590"/>
        <v/>
      </c>
      <c r="M9667" s="13" t="str">
        <f t="shared" si="1591"/>
        <v/>
      </c>
      <c r="Q9667" t="str">
        <f t="shared" si="1592"/>
        <v/>
      </c>
      <c r="R9667" t="str">
        <f t="shared" si="1593"/>
        <v/>
      </c>
      <c r="S9667" t="str">
        <f t="shared" si="1594"/>
        <v/>
      </c>
      <c r="T9667" t="str">
        <f t="shared" si="1595"/>
        <v/>
      </c>
      <c r="U9667" t="str">
        <f t="shared" si="1596"/>
        <v/>
      </c>
      <c r="V9667" t="str">
        <f t="shared" si="1597"/>
        <v/>
      </c>
      <c r="W9667" t="str">
        <f t="shared" si="1598"/>
        <v/>
      </c>
      <c r="X9667">
        <f t="shared" si="1600"/>
        <v>0</v>
      </c>
      <c r="Z9667" t="str">
        <f t="shared" si="1599"/>
        <v/>
      </c>
      <c r="AA9667">
        <f t="shared" si="1601"/>
        <v>0</v>
      </c>
    </row>
    <row r="9668" spans="1:27" ht="21" customHeight="1" x14ac:dyDescent="0.95">
      <c r="A9668" s="56"/>
      <c r="B9668" s="57"/>
      <c r="C9668" s="57"/>
      <c r="D9668" s="57"/>
      <c r="E9668" s="56"/>
      <c r="F9668" s="57"/>
      <c r="G9668" s="57"/>
      <c r="H9668" s="56"/>
      <c r="I9668" s="56"/>
      <c r="J9668" s="58"/>
      <c r="K9668" s="58"/>
      <c r="L9668" s="13" t="str">
        <f t="shared" ref="L9668:L9731" si="1602">IF(OR($A9668="",AND($J9668="",$K9668="")),"",ROUND(N($J9668)-N($K9668),2))</f>
        <v/>
      </c>
      <c r="M9668" s="13" t="str">
        <f t="shared" ref="M9668:M9731" si="1603">IF(OR($A9668="",AND($J9668="",$K9668="")),"",MIN($J9668,$K9668))</f>
        <v/>
      </c>
      <c r="Q9668" t="str">
        <f t="shared" ref="Q9668:Q9731" si="1604">IF($A9668="","",$D9668&amp;"("&amp;SUBSTITUTE($E9668," ","")&amp;")")</f>
        <v/>
      </c>
      <c r="R9668" t="str">
        <f t="shared" ref="R9668:R9731" si="1605">IF($A9668="","",$B9668&amp;" - "&amp;$C9668)</f>
        <v/>
      </c>
      <c r="S9668" t="str">
        <f t="shared" ref="S9668:S9731" si="1606">IF($A9668="","",$R9668&amp;"|"&amp;$Q9668)</f>
        <v/>
      </c>
      <c r="T9668" t="str">
        <f t="shared" ref="T9668:T9731" si="1607">IF($A9668="","",$S9668&amp;"|"&amp;$F9668)</f>
        <v/>
      </c>
      <c r="U9668" t="str">
        <f t="shared" ref="U9668:U9731" si="1608">IF($A9668="","",$R9668&amp;"("&amp;$E9668&amp;")")</f>
        <v/>
      </c>
      <c r="V9668" t="str">
        <f t="shared" ref="V9668:V9731" si="1609">IF($A9668="","",$F9668&amp;"|"&amp;$U9668&amp;"|"&amp;$D9668)</f>
        <v/>
      </c>
      <c r="W9668" t="str">
        <f t="shared" si="1598"/>
        <v/>
      </c>
      <c r="X9668">
        <f t="shared" si="1600"/>
        <v>0</v>
      </c>
      <c r="Z9668" t="str">
        <f t="shared" si="1599"/>
        <v/>
      </c>
      <c r="AA9668">
        <f t="shared" si="1601"/>
        <v>0</v>
      </c>
    </row>
    <row r="9669" spans="1:27" ht="21" customHeight="1" x14ac:dyDescent="0.95">
      <c r="A9669" s="56"/>
      <c r="B9669" s="57"/>
      <c r="C9669" s="57"/>
      <c r="D9669" s="57"/>
      <c r="E9669" s="56"/>
      <c r="F9669" s="57"/>
      <c r="G9669" s="57"/>
      <c r="H9669" s="56"/>
      <c r="I9669" s="56"/>
      <c r="J9669" s="58"/>
      <c r="K9669" s="58"/>
      <c r="L9669" s="13" t="str">
        <f t="shared" si="1602"/>
        <v/>
      </c>
      <c r="M9669" s="13" t="str">
        <f t="shared" si="1603"/>
        <v/>
      </c>
      <c r="Q9669" t="str">
        <f t="shared" si="1604"/>
        <v/>
      </c>
      <c r="R9669" t="str">
        <f t="shared" si="1605"/>
        <v/>
      </c>
      <c r="S9669" t="str">
        <f t="shared" si="1606"/>
        <v/>
      </c>
      <c r="T9669" t="str">
        <f t="shared" si="1607"/>
        <v/>
      </c>
      <c r="U9669" t="str">
        <f t="shared" si="1608"/>
        <v/>
      </c>
      <c r="V9669" t="str">
        <f t="shared" si="1609"/>
        <v/>
      </c>
      <c r="W9669" t="str">
        <f t="shared" si="1598"/>
        <v/>
      </c>
      <c r="X9669">
        <f t="shared" si="1600"/>
        <v>0</v>
      </c>
      <c r="Z9669" t="str">
        <f t="shared" si="1599"/>
        <v/>
      </c>
      <c r="AA9669">
        <f t="shared" si="1601"/>
        <v>0</v>
      </c>
    </row>
    <row r="9670" spans="1:27" ht="21" customHeight="1" x14ac:dyDescent="0.95">
      <c r="A9670" s="56"/>
      <c r="B9670" s="57"/>
      <c r="C9670" s="57"/>
      <c r="D9670" s="57"/>
      <c r="E9670" s="56"/>
      <c r="F9670" s="57"/>
      <c r="G9670" s="57"/>
      <c r="H9670" s="56"/>
      <c r="I9670" s="56"/>
      <c r="J9670" s="58"/>
      <c r="K9670" s="58"/>
      <c r="L9670" s="13" t="str">
        <f t="shared" si="1602"/>
        <v/>
      </c>
      <c r="M9670" s="13" t="str">
        <f t="shared" si="1603"/>
        <v/>
      </c>
      <c r="Q9670" t="str">
        <f t="shared" si="1604"/>
        <v/>
      </c>
      <c r="R9670" t="str">
        <f t="shared" si="1605"/>
        <v/>
      </c>
      <c r="S9670" t="str">
        <f t="shared" si="1606"/>
        <v/>
      </c>
      <c r="T9670" t="str">
        <f t="shared" si="1607"/>
        <v/>
      </c>
      <c r="U9670" t="str">
        <f t="shared" si="1608"/>
        <v/>
      </c>
      <c r="V9670" t="str">
        <f t="shared" si="1609"/>
        <v/>
      </c>
      <c r="W9670" t="str">
        <f t="shared" ref="W9670:W9733" si="1610">IF($T9670="","",IF($X9670&gt;N($X9669),$X9670,""))</f>
        <v/>
      </c>
      <c r="X9670">
        <f t="shared" si="1600"/>
        <v>0</v>
      </c>
      <c r="Z9670" t="str">
        <f t="shared" ref="Z9670:Z9733" si="1611">IF($V9670="","",IF($AA9670&gt;N($AA9669),$AA9670,""))</f>
        <v/>
      </c>
      <c r="AA9670">
        <f t="shared" si="1601"/>
        <v>0</v>
      </c>
    </row>
    <row r="9671" spans="1:27" ht="21" customHeight="1" x14ac:dyDescent="0.95">
      <c r="A9671" s="56"/>
      <c r="B9671" s="57"/>
      <c r="C9671" s="57"/>
      <c r="D9671" s="57"/>
      <c r="E9671" s="56"/>
      <c r="F9671" s="57"/>
      <c r="G9671" s="57"/>
      <c r="H9671" s="56"/>
      <c r="I9671" s="56"/>
      <c r="J9671" s="58"/>
      <c r="K9671" s="58"/>
      <c r="L9671" s="13" t="str">
        <f t="shared" si="1602"/>
        <v/>
      </c>
      <c r="M9671" s="13" t="str">
        <f t="shared" si="1603"/>
        <v/>
      </c>
      <c r="Q9671" t="str">
        <f t="shared" si="1604"/>
        <v/>
      </c>
      <c r="R9671" t="str">
        <f t="shared" si="1605"/>
        <v/>
      </c>
      <c r="S9671" t="str">
        <f t="shared" si="1606"/>
        <v/>
      </c>
      <c r="T9671" t="str">
        <f t="shared" si="1607"/>
        <v/>
      </c>
      <c r="U9671" t="str">
        <f t="shared" si="1608"/>
        <v/>
      </c>
      <c r="V9671" t="str">
        <f t="shared" si="1609"/>
        <v/>
      </c>
      <c r="W9671" t="str">
        <f t="shared" si="1610"/>
        <v/>
      </c>
      <c r="X9671">
        <f t="shared" si="1600"/>
        <v>0</v>
      </c>
      <c r="Z9671" t="str">
        <f t="shared" si="1611"/>
        <v/>
      </c>
      <c r="AA9671">
        <f t="shared" si="1601"/>
        <v>0</v>
      </c>
    </row>
    <row r="9672" spans="1:27" ht="21" customHeight="1" x14ac:dyDescent="0.95">
      <c r="A9672" s="56"/>
      <c r="B9672" s="57"/>
      <c r="C9672" s="57"/>
      <c r="D9672" s="57"/>
      <c r="E9672" s="56"/>
      <c r="F9672" s="57"/>
      <c r="G9672" s="57"/>
      <c r="H9672" s="56"/>
      <c r="I9672" s="56"/>
      <c r="J9672" s="58"/>
      <c r="K9672" s="58"/>
      <c r="L9672" s="13" t="str">
        <f t="shared" si="1602"/>
        <v/>
      </c>
      <c r="M9672" s="13" t="str">
        <f t="shared" si="1603"/>
        <v/>
      </c>
      <c r="Q9672" t="str">
        <f t="shared" si="1604"/>
        <v/>
      </c>
      <c r="R9672" t="str">
        <f t="shared" si="1605"/>
        <v/>
      </c>
      <c r="S9672" t="str">
        <f t="shared" si="1606"/>
        <v/>
      </c>
      <c r="T9672" t="str">
        <f t="shared" si="1607"/>
        <v/>
      </c>
      <c r="U9672" t="str">
        <f t="shared" si="1608"/>
        <v/>
      </c>
      <c r="V9672" t="str">
        <f t="shared" si="1609"/>
        <v/>
      </c>
      <c r="W9672" t="str">
        <f t="shared" si="1610"/>
        <v/>
      </c>
      <c r="X9672">
        <f t="shared" si="1600"/>
        <v>0</v>
      </c>
      <c r="Z9672" t="str">
        <f t="shared" si="1611"/>
        <v/>
      </c>
      <c r="AA9672">
        <f t="shared" si="1601"/>
        <v>0</v>
      </c>
    </row>
    <row r="9673" spans="1:27" ht="21" customHeight="1" x14ac:dyDescent="0.95">
      <c r="A9673" s="56"/>
      <c r="B9673" s="57"/>
      <c r="C9673" s="57"/>
      <c r="D9673" s="57"/>
      <c r="E9673" s="56"/>
      <c r="F9673" s="57"/>
      <c r="G9673" s="57"/>
      <c r="H9673" s="56"/>
      <c r="I9673" s="56"/>
      <c r="J9673" s="58"/>
      <c r="K9673" s="58"/>
      <c r="L9673" s="13" t="str">
        <f t="shared" si="1602"/>
        <v/>
      </c>
      <c r="M9673" s="13" t="str">
        <f t="shared" si="1603"/>
        <v/>
      </c>
      <c r="Q9673" t="str">
        <f t="shared" si="1604"/>
        <v/>
      </c>
      <c r="R9673" t="str">
        <f t="shared" si="1605"/>
        <v/>
      </c>
      <c r="S9673" t="str">
        <f t="shared" si="1606"/>
        <v/>
      </c>
      <c r="T9673" t="str">
        <f t="shared" si="1607"/>
        <v/>
      </c>
      <c r="U9673" t="str">
        <f t="shared" si="1608"/>
        <v/>
      </c>
      <c r="V9673" t="str">
        <f t="shared" si="1609"/>
        <v/>
      </c>
      <c r="W9673" t="str">
        <f t="shared" si="1610"/>
        <v/>
      </c>
      <c r="X9673">
        <f t="shared" si="1600"/>
        <v>0</v>
      </c>
      <c r="Z9673" t="str">
        <f t="shared" si="1611"/>
        <v/>
      </c>
      <c r="AA9673">
        <f t="shared" si="1601"/>
        <v>0</v>
      </c>
    </row>
    <row r="9674" spans="1:27" ht="21" customHeight="1" x14ac:dyDescent="0.95">
      <c r="A9674" s="56"/>
      <c r="B9674" s="57"/>
      <c r="C9674" s="57"/>
      <c r="D9674" s="57"/>
      <c r="E9674" s="56"/>
      <c r="F9674" s="57"/>
      <c r="G9674" s="57"/>
      <c r="H9674" s="56"/>
      <c r="I9674" s="56"/>
      <c r="J9674" s="58"/>
      <c r="K9674" s="58"/>
      <c r="L9674" s="13" t="str">
        <f t="shared" si="1602"/>
        <v/>
      </c>
      <c r="M9674" s="13" t="str">
        <f t="shared" si="1603"/>
        <v/>
      </c>
      <c r="Q9674" t="str">
        <f t="shared" si="1604"/>
        <v/>
      </c>
      <c r="R9674" t="str">
        <f t="shared" si="1605"/>
        <v/>
      </c>
      <c r="S9674" t="str">
        <f t="shared" si="1606"/>
        <v/>
      </c>
      <c r="T9674" t="str">
        <f t="shared" si="1607"/>
        <v/>
      </c>
      <c r="U9674" t="str">
        <f t="shared" si="1608"/>
        <v/>
      </c>
      <c r="V9674" t="str">
        <f t="shared" si="1609"/>
        <v/>
      </c>
      <c r="W9674" t="str">
        <f t="shared" si="1610"/>
        <v/>
      </c>
      <c r="X9674">
        <f t="shared" si="1600"/>
        <v>0</v>
      </c>
      <c r="Z9674" t="str">
        <f t="shared" si="1611"/>
        <v/>
      </c>
      <c r="AA9674">
        <f t="shared" si="1601"/>
        <v>0</v>
      </c>
    </row>
    <row r="9675" spans="1:27" ht="21" customHeight="1" x14ac:dyDescent="0.95">
      <c r="A9675" s="56"/>
      <c r="B9675" s="57"/>
      <c r="C9675" s="57"/>
      <c r="D9675" s="57"/>
      <c r="E9675" s="56"/>
      <c r="F9675" s="57"/>
      <c r="G9675" s="57"/>
      <c r="H9675" s="56"/>
      <c r="I9675" s="56"/>
      <c r="J9675" s="58"/>
      <c r="K9675" s="58"/>
      <c r="L9675" s="13" t="str">
        <f t="shared" si="1602"/>
        <v/>
      </c>
      <c r="M9675" s="13" t="str">
        <f t="shared" si="1603"/>
        <v/>
      </c>
      <c r="Q9675" t="str">
        <f t="shared" si="1604"/>
        <v/>
      </c>
      <c r="R9675" t="str">
        <f t="shared" si="1605"/>
        <v/>
      </c>
      <c r="S9675" t="str">
        <f t="shared" si="1606"/>
        <v/>
      </c>
      <c r="T9675" t="str">
        <f t="shared" si="1607"/>
        <v/>
      </c>
      <c r="U9675" t="str">
        <f t="shared" si="1608"/>
        <v/>
      </c>
      <c r="V9675" t="str">
        <f t="shared" si="1609"/>
        <v/>
      </c>
      <c r="W9675" t="str">
        <f t="shared" si="1610"/>
        <v/>
      </c>
      <c r="X9675">
        <f t="shared" si="1600"/>
        <v>0</v>
      </c>
      <c r="Z9675" t="str">
        <f t="shared" si="1611"/>
        <v/>
      </c>
      <c r="AA9675">
        <f t="shared" si="1601"/>
        <v>0</v>
      </c>
    </row>
    <row r="9676" spans="1:27" ht="21" customHeight="1" x14ac:dyDescent="0.95">
      <c r="A9676" s="56"/>
      <c r="B9676" s="57"/>
      <c r="C9676" s="57"/>
      <c r="D9676" s="57"/>
      <c r="E9676" s="56"/>
      <c r="F9676" s="57"/>
      <c r="G9676" s="57"/>
      <c r="H9676" s="56"/>
      <c r="I9676" s="56"/>
      <c r="J9676" s="58"/>
      <c r="K9676" s="58"/>
      <c r="L9676" s="13" t="str">
        <f t="shared" si="1602"/>
        <v/>
      </c>
      <c r="M9676" s="13" t="str">
        <f t="shared" si="1603"/>
        <v/>
      </c>
      <c r="Q9676" t="str">
        <f t="shared" si="1604"/>
        <v/>
      </c>
      <c r="R9676" t="str">
        <f t="shared" si="1605"/>
        <v/>
      </c>
      <c r="S9676" t="str">
        <f t="shared" si="1606"/>
        <v/>
      </c>
      <c r="T9676" t="str">
        <f t="shared" si="1607"/>
        <v/>
      </c>
      <c r="U9676" t="str">
        <f t="shared" si="1608"/>
        <v/>
      </c>
      <c r="V9676" t="str">
        <f t="shared" si="1609"/>
        <v/>
      </c>
      <c r="W9676" t="str">
        <f t="shared" si="1610"/>
        <v/>
      </c>
      <c r="X9676">
        <f t="shared" si="1600"/>
        <v>0</v>
      </c>
      <c r="Z9676" t="str">
        <f t="shared" si="1611"/>
        <v/>
      </c>
      <c r="AA9676">
        <f t="shared" si="1601"/>
        <v>0</v>
      </c>
    </row>
    <row r="9677" spans="1:27" ht="21" customHeight="1" x14ac:dyDescent="0.95">
      <c r="A9677" s="56"/>
      <c r="B9677" s="57"/>
      <c r="C9677" s="57"/>
      <c r="D9677" s="57"/>
      <c r="E9677" s="56"/>
      <c r="F9677" s="57"/>
      <c r="G9677" s="57"/>
      <c r="H9677" s="56"/>
      <c r="I9677" s="56"/>
      <c r="J9677" s="58"/>
      <c r="K9677" s="58"/>
      <c r="L9677" s="13" t="str">
        <f t="shared" si="1602"/>
        <v/>
      </c>
      <c r="M9677" s="13" t="str">
        <f t="shared" si="1603"/>
        <v/>
      </c>
      <c r="Q9677" t="str">
        <f t="shared" si="1604"/>
        <v/>
      </c>
      <c r="R9677" t="str">
        <f t="shared" si="1605"/>
        <v/>
      </c>
      <c r="S9677" t="str">
        <f t="shared" si="1606"/>
        <v/>
      </c>
      <c r="T9677" t="str">
        <f t="shared" si="1607"/>
        <v/>
      </c>
      <c r="U9677" t="str">
        <f t="shared" si="1608"/>
        <v/>
      </c>
      <c r="V9677" t="str">
        <f t="shared" si="1609"/>
        <v/>
      </c>
      <c r="W9677" t="str">
        <f t="shared" si="1610"/>
        <v/>
      </c>
      <c r="X9677">
        <f t="shared" si="1600"/>
        <v>0</v>
      </c>
      <c r="Z9677" t="str">
        <f t="shared" si="1611"/>
        <v/>
      </c>
      <c r="AA9677">
        <f t="shared" si="1601"/>
        <v>0</v>
      </c>
    </row>
    <row r="9678" spans="1:27" ht="21" customHeight="1" x14ac:dyDescent="0.95">
      <c r="A9678" s="56"/>
      <c r="B9678" s="57"/>
      <c r="C9678" s="57"/>
      <c r="D9678" s="57"/>
      <c r="E9678" s="56"/>
      <c r="F9678" s="57"/>
      <c r="G9678" s="57"/>
      <c r="H9678" s="56"/>
      <c r="I9678" s="56"/>
      <c r="J9678" s="58"/>
      <c r="K9678" s="58"/>
      <c r="L9678" s="13" t="str">
        <f t="shared" si="1602"/>
        <v/>
      </c>
      <c r="M9678" s="13" t="str">
        <f t="shared" si="1603"/>
        <v/>
      </c>
      <c r="Q9678" t="str">
        <f t="shared" si="1604"/>
        <v/>
      </c>
      <c r="R9678" t="str">
        <f t="shared" si="1605"/>
        <v/>
      </c>
      <c r="S9678" t="str">
        <f t="shared" si="1606"/>
        <v/>
      </c>
      <c r="T9678" t="str">
        <f t="shared" si="1607"/>
        <v/>
      </c>
      <c r="U9678" t="str">
        <f t="shared" si="1608"/>
        <v/>
      </c>
      <c r="V9678" t="str">
        <f t="shared" si="1609"/>
        <v/>
      </c>
      <c r="W9678" t="str">
        <f t="shared" si="1610"/>
        <v/>
      </c>
      <c r="X9678">
        <f t="shared" si="1600"/>
        <v>0</v>
      </c>
      <c r="Z9678" t="str">
        <f t="shared" si="1611"/>
        <v/>
      </c>
      <c r="AA9678">
        <f t="shared" si="1601"/>
        <v>0</v>
      </c>
    </row>
    <row r="9679" spans="1:27" ht="21" customHeight="1" x14ac:dyDescent="0.95">
      <c r="A9679" s="56"/>
      <c r="B9679" s="57"/>
      <c r="C9679" s="57"/>
      <c r="D9679" s="57"/>
      <c r="E9679" s="56"/>
      <c r="F9679" s="57"/>
      <c r="G9679" s="57"/>
      <c r="H9679" s="56"/>
      <c r="I9679" s="56"/>
      <c r="J9679" s="58"/>
      <c r="K9679" s="58"/>
      <c r="L9679" s="13" t="str">
        <f t="shared" si="1602"/>
        <v/>
      </c>
      <c r="M9679" s="13" t="str">
        <f t="shared" si="1603"/>
        <v/>
      </c>
      <c r="Q9679" t="str">
        <f t="shared" si="1604"/>
        <v/>
      </c>
      <c r="R9679" t="str">
        <f t="shared" si="1605"/>
        <v/>
      </c>
      <c r="S9679" t="str">
        <f t="shared" si="1606"/>
        <v/>
      </c>
      <c r="T9679" t="str">
        <f t="shared" si="1607"/>
        <v/>
      </c>
      <c r="U9679" t="str">
        <f t="shared" si="1608"/>
        <v/>
      </c>
      <c r="V9679" t="str">
        <f t="shared" si="1609"/>
        <v/>
      </c>
      <c r="W9679" t="str">
        <f t="shared" si="1610"/>
        <v/>
      </c>
      <c r="X9679">
        <f t="shared" si="1600"/>
        <v>0</v>
      </c>
      <c r="Z9679" t="str">
        <f t="shared" si="1611"/>
        <v/>
      </c>
      <c r="AA9679">
        <f t="shared" si="1601"/>
        <v>0</v>
      </c>
    </row>
    <row r="9680" spans="1:27" ht="21" customHeight="1" x14ac:dyDescent="0.95">
      <c r="A9680" s="56"/>
      <c r="B9680" s="57"/>
      <c r="C9680" s="57"/>
      <c r="D9680" s="57"/>
      <c r="E9680" s="56"/>
      <c r="F9680" s="57"/>
      <c r="G9680" s="57"/>
      <c r="H9680" s="56"/>
      <c r="I9680" s="56"/>
      <c r="J9680" s="58"/>
      <c r="K9680" s="58"/>
      <c r="L9680" s="13" t="str">
        <f t="shared" si="1602"/>
        <v/>
      </c>
      <c r="M9680" s="13" t="str">
        <f t="shared" si="1603"/>
        <v/>
      </c>
      <c r="Q9680" t="str">
        <f t="shared" si="1604"/>
        <v/>
      </c>
      <c r="R9680" t="str">
        <f t="shared" si="1605"/>
        <v/>
      </c>
      <c r="S9680" t="str">
        <f t="shared" si="1606"/>
        <v/>
      </c>
      <c r="T9680" t="str">
        <f t="shared" si="1607"/>
        <v/>
      </c>
      <c r="U9680" t="str">
        <f t="shared" si="1608"/>
        <v/>
      </c>
      <c r="V9680" t="str">
        <f t="shared" si="1609"/>
        <v/>
      </c>
      <c r="W9680" t="str">
        <f t="shared" si="1610"/>
        <v/>
      </c>
      <c r="X9680">
        <f t="shared" si="1600"/>
        <v>0</v>
      </c>
      <c r="Z9680" t="str">
        <f t="shared" si="1611"/>
        <v/>
      </c>
      <c r="AA9680">
        <f t="shared" si="1601"/>
        <v>0</v>
      </c>
    </row>
    <row r="9681" spans="1:27" ht="21" customHeight="1" x14ac:dyDescent="0.95">
      <c r="A9681" s="56"/>
      <c r="B9681" s="57"/>
      <c r="C9681" s="57"/>
      <c r="D9681" s="57"/>
      <c r="E9681" s="56"/>
      <c r="F9681" s="57"/>
      <c r="G9681" s="57"/>
      <c r="H9681" s="56"/>
      <c r="I9681" s="56"/>
      <c r="J9681" s="58"/>
      <c r="K9681" s="58"/>
      <c r="L9681" s="13" t="str">
        <f t="shared" si="1602"/>
        <v/>
      </c>
      <c r="M9681" s="13" t="str">
        <f t="shared" si="1603"/>
        <v/>
      </c>
      <c r="Q9681" t="str">
        <f t="shared" si="1604"/>
        <v/>
      </c>
      <c r="R9681" t="str">
        <f t="shared" si="1605"/>
        <v/>
      </c>
      <c r="S9681" t="str">
        <f t="shared" si="1606"/>
        <v/>
      </c>
      <c r="T9681" t="str">
        <f t="shared" si="1607"/>
        <v/>
      </c>
      <c r="U9681" t="str">
        <f t="shared" si="1608"/>
        <v/>
      </c>
      <c r="V9681" t="str">
        <f t="shared" si="1609"/>
        <v/>
      </c>
      <c r="W9681" t="str">
        <f t="shared" si="1610"/>
        <v/>
      </c>
      <c r="X9681">
        <f t="shared" si="1600"/>
        <v>0</v>
      </c>
      <c r="Z9681" t="str">
        <f t="shared" si="1611"/>
        <v/>
      </c>
      <c r="AA9681">
        <f t="shared" si="1601"/>
        <v>0</v>
      </c>
    </row>
    <row r="9682" spans="1:27" ht="21" customHeight="1" x14ac:dyDescent="0.95">
      <c r="A9682" s="56"/>
      <c r="B9682" s="57"/>
      <c r="C9682" s="57"/>
      <c r="D9682" s="57"/>
      <c r="E9682" s="56"/>
      <c r="F9682" s="57"/>
      <c r="G9682" s="57"/>
      <c r="H9682" s="56"/>
      <c r="I9682" s="56"/>
      <c r="J9682" s="58"/>
      <c r="K9682" s="58"/>
      <c r="L9682" s="13" t="str">
        <f t="shared" si="1602"/>
        <v/>
      </c>
      <c r="M9682" s="13" t="str">
        <f t="shared" si="1603"/>
        <v/>
      </c>
      <c r="Q9682" t="str">
        <f t="shared" si="1604"/>
        <v/>
      </c>
      <c r="R9682" t="str">
        <f t="shared" si="1605"/>
        <v/>
      </c>
      <c r="S9682" t="str">
        <f t="shared" si="1606"/>
        <v/>
      </c>
      <c r="T9682" t="str">
        <f t="shared" si="1607"/>
        <v/>
      </c>
      <c r="U9682" t="str">
        <f t="shared" si="1608"/>
        <v/>
      </c>
      <c r="V9682" t="str">
        <f t="shared" si="1609"/>
        <v/>
      </c>
      <c r="W9682" t="str">
        <f t="shared" si="1610"/>
        <v/>
      </c>
      <c r="X9682">
        <f t="shared" si="1600"/>
        <v>0</v>
      </c>
      <c r="Z9682" t="str">
        <f t="shared" si="1611"/>
        <v/>
      </c>
      <c r="AA9682">
        <f t="shared" si="1601"/>
        <v>0</v>
      </c>
    </row>
    <row r="9683" spans="1:27" ht="21" customHeight="1" x14ac:dyDescent="0.95">
      <c r="A9683" s="56"/>
      <c r="B9683" s="57"/>
      <c r="C9683" s="57"/>
      <c r="D9683" s="57"/>
      <c r="E9683" s="56"/>
      <c r="F9683" s="57"/>
      <c r="G9683" s="57"/>
      <c r="H9683" s="56"/>
      <c r="I9683" s="56"/>
      <c r="J9683" s="58"/>
      <c r="K9683" s="58"/>
      <c r="L9683" s="13" t="str">
        <f t="shared" si="1602"/>
        <v/>
      </c>
      <c r="M9683" s="13" t="str">
        <f t="shared" si="1603"/>
        <v/>
      </c>
      <c r="Q9683" t="str">
        <f t="shared" si="1604"/>
        <v/>
      </c>
      <c r="R9683" t="str">
        <f t="shared" si="1605"/>
        <v/>
      </c>
      <c r="S9683" t="str">
        <f t="shared" si="1606"/>
        <v/>
      </c>
      <c r="T9683" t="str">
        <f t="shared" si="1607"/>
        <v/>
      </c>
      <c r="U9683" t="str">
        <f t="shared" si="1608"/>
        <v/>
      </c>
      <c r="V9683" t="str">
        <f t="shared" si="1609"/>
        <v/>
      </c>
      <c r="W9683" t="str">
        <f t="shared" si="1610"/>
        <v/>
      </c>
      <c r="X9683">
        <f t="shared" si="1600"/>
        <v>0</v>
      </c>
      <c r="Z9683" t="str">
        <f t="shared" si="1611"/>
        <v/>
      </c>
      <c r="AA9683">
        <f t="shared" si="1601"/>
        <v>0</v>
      </c>
    </row>
    <row r="9684" spans="1:27" ht="21" customHeight="1" x14ac:dyDescent="0.95">
      <c r="A9684" s="56"/>
      <c r="B9684" s="57"/>
      <c r="C9684" s="57"/>
      <c r="D9684" s="57"/>
      <c r="E9684" s="56"/>
      <c r="F9684" s="57"/>
      <c r="G9684" s="57"/>
      <c r="H9684" s="56"/>
      <c r="I9684" s="56"/>
      <c r="J9684" s="58"/>
      <c r="K9684" s="58"/>
      <c r="L9684" s="13" t="str">
        <f t="shared" si="1602"/>
        <v/>
      </c>
      <c r="M9684" s="13" t="str">
        <f t="shared" si="1603"/>
        <v/>
      </c>
      <c r="Q9684" t="str">
        <f t="shared" si="1604"/>
        <v/>
      </c>
      <c r="R9684" t="str">
        <f t="shared" si="1605"/>
        <v/>
      </c>
      <c r="S9684" t="str">
        <f t="shared" si="1606"/>
        <v/>
      </c>
      <c r="T9684" t="str">
        <f t="shared" si="1607"/>
        <v/>
      </c>
      <c r="U9684" t="str">
        <f t="shared" si="1608"/>
        <v/>
      </c>
      <c r="V9684" t="str">
        <f t="shared" si="1609"/>
        <v/>
      </c>
      <c r="W9684" t="str">
        <f t="shared" si="1610"/>
        <v/>
      </c>
      <c r="X9684">
        <f t="shared" si="1600"/>
        <v>0</v>
      </c>
      <c r="Z9684" t="str">
        <f t="shared" si="1611"/>
        <v/>
      </c>
      <c r="AA9684">
        <f t="shared" si="1601"/>
        <v>0</v>
      </c>
    </row>
    <row r="9685" spans="1:27" ht="21" customHeight="1" x14ac:dyDescent="0.95">
      <c r="A9685" s="56"/>
      <c r="B9685" s="57"/>
      <c r="C9685" s="57"/>
      <c r="D9685" s="57"/>
      <c r="E9685" s="56"/>
      <c r="F9685" s="57"/>
      <c r="G9685" s="57"/>
      <c r="H9685" s="56"/>
      <c r="I9685" s="56"/>
      <c r="J9685" s="58"/>
      <c r="K9685" s="58"/>
      <c r="L9685" s="13" t="str">
        <f t="shared" si="1602"/>
        <v/>
      </c>
      <c r="M9685" s="13" t="str">
        <f t="shared" si="1603"/>
        <v/>
      </c>
      <c r="Q9685" t="str">
        <f t="shared" si="1604"/>
        <v/>
      </c>
      <c r="R9685" t="str">
        <f t="shared" si="1605"/>
        <v/>
      </c>
      <c r="S9685" t="str">
        <f t="shared" si="1606"/>
        <v/>
      </c>
      <c r="T9685" t="str">
        <f t="shared" si="1607"/>
        <v/>
      </c>
      <c r="U9685" t="str">
        <f t="shared" si="1608"/>
        <v/>
      </c>
      <c r="V9685" t="str">
        <f t="shared" si="1609"/>
        <v/>
      </c>
      <c r="W9685" t="str">
        <f t="shared" si="1610"/>
        <v/>
      </c>
      <c r="X9685">
        <f t="shared" si="1600"/>
        <v>0</v>
      </c>
      <c r="Z9685" t="str">
        <f t="shared" si="1611"/>
        <v/>
      </c>
      <c r="AA9685">
        <f t="shared" si="1601"/>
        <v>0</v>
      </c>
    </row>
    <row r="9686" spans="1:27" ht="21" customHeight="1" x14ac:dyDescent="0.95">
      <c r="A9686" s="56"/>
      <c r="B9686" s="57"/>
      <c r="C9686" s="57"/>
      <c r="D9686" s="57"/>
      <c r="E9686" s="56"/>
      <c r="F9686" s="57"/>
      <c r="G9686" s="57"/>
      <c r="H9686" s="56"/>
      <c r="I9686" s="56"/>
      <c r="J9686" s="58"/>
      <c r="K9686" s="58"/>
      <c r="L9686" s="13" t="str">
        <f t="shared" si="1602"/>
        <v/>
      </c>
      <c r="M9686" s="13" t="str">
        <f t="shared" si="1603"/>
        <v/>
      </c>
      <c r="Q9686" t="str">
        <f t="shared" si="1604"/>
        <v/>
      </c>
      <c r="R9686" t="str">
        <f t="shared" si="1605"/>
        <v/>
      </c>
      <c r="S9686" t="str">
        <f t="shared" si="1606"/>
        <v/>
      </c>
      <c r="T9686" t="str">
        <f t="shared" si="1607"/>
        <v/>
      </c>
      <c r="U9686" t="str">
        <f t="shared" si="1608"/>
        <v/>
      </c>
      <c r="V9686" t="str">
        <f t="shared" si="1609"/>
        <v/>
      </c>
      <c r="W9686" t="str">
        <f t="shared" si="1610"/>
        <v/>
      </c>
      <c r="X9686">
        <f t="shared" si="1600"/>
        <v>0</v>
      </c>
      <c r="Z9686" t="str">
        <f t="shared" si="1611"/>
        <v/>
      </c>
      <c r="AA9686">
        <f t="shared" si="1601"/>
        <v>0</v>
      </c>
    </row>
    <row r="9687" spans="1:27" ht="21" customHeight="1" x14ac:dyDescent="0.95">
      <c r="A9687" s="56"/>
      <c r="B9687" s="57"/>
      <c r="C9687" s="57"/>
      <c r="D9687" s="57"/>
      <c r="E9687" s="56"/>
      <c r="F9687" s="57"/>
      <c r="G9687" s="57"/>
      <c r="H9687" s="56"/>
      <c r="I9687" s="56"/>
      <c r="J9687" s="58"/>
      <c r="K9687" s="58"/>
      <c r="L9687" s="13" t="str">
        <f t="shared" si="1602"/>
        <v/>
      </c>
      <c r="M9687" s="13" t="str">
        <f t="shared" si="1603"/>
        <v/>
      </c>
      <c r="Q9687" t="str">
        <f t="shared" si="1604"/>
        <v/>
      </c>
      <c r="R9687" t="str">
        <f t="shared" si="1605"/>
        <v/>
      </c>
      <c r="S9687" t="str">
        <f t="shared" si="1606"/>
        <v/>
      </c>
      <c r="T9687" t="str">
        <f t="shared" si="1607"/>
        <v/>
      </c>
      <c r="U9687" t="str">
        <f t="shared" si="1608"/>
        <v/>
      </c>
      <c r="V9687" t="str">
        <f t="shared" si="1609"/>
        <v/>
      </c>
      <c r="W9687" t="str">
        <f t="shared" si="1610"/>
        <v/>
      </c>
      <c r="X9687">
        <f t="shared" si="1600"/>
        <v>0</v>
      </c>
      <c r="Z9687" t="str">
        <f t="shared" si="1611"/>
        <v/>
      </c>
      <c r="AA9687">
        <f t="shared" si="1601"/>
        <v>0</v>
      </c>
    </row>
    <row r="9688" spans="1:27" ht="21" customHeight="1" x14ac:dyDescent="0.95">
      <c r="A9688" s="56"/>
      <c r="B9688" s="57"/>
      <c r="C9688" s="57"/>
      <c r="D9688" s="57"/>
      <c r="E9688" s="56"/>
      <c r="F9688" s="57"/>
      <c r="G9688" s="57"/>
      <c r="H9688" s="56"/>
      <c r="I9688" s="56"/>
      <c r="J9688" s="58"/>
      <c r="K9688" s="58"/>
      <c r="L9688" s="13" t="str">
        <f t="shared" si="1602"/>
        <v/>
      </c>
      <c r="M9688" s="13" t="str">
        <f t="shared" si="1603"/>
        <v/>
      </c>
      <c r="Q9688" t="str">
        <f t="shared" si="1604"/>
        <v/>
      </c>
      <c r="R9688" t="str">
        <f t="shared" si="1605"/>
        <v/>
      </c>
      <c r="S9688" t="str">
        <f t="shared" si="1606"/>
        <v/>
      </c>
      <c r="T9688" t="str">
        <f t="shared" si="1607"/>
        <v/>
      </c>
      <c r="U9688" t="str">
        <f t="shared" si="1608"/>
        <v/>
      </c>
      <c r="V9688" t="str">
        <f t="shared" si="1609"/>
        <v/>
      </c>
      <c r="W9688" t="str">
        <f t="shared" si="1610"/>
        <v/>
      </c>
      <c r="X9688">
        <f t="shared" si="1600"/>
        <v>0</v>
      </c>
      <c r="Z9688" t="str">
        <f t="shared" si="1611"/>
        <v/>
      </c>
      <c r="AA9688">
        <f t="shared" si="1601"/>
        <v>0</v>
      </c>
    </row>
    <row r="9689" spans="1:27" ht="21" customHeight="1" x14ac:dyDescent="0.95">
      <c r="A9689" s="56"/>
      <c r="B9689" s="57"/>
      <c r="C9689" s="57"/>
      <c r="D9689" s="57"/>
      <c r="E9689" s="56"/>
      <c r="F9689" s="57"/>
      <c r="G9689" s="57"/>
      <c r="H9689" s="56"/>
      <c r="I9689" s="56"/>
      <c r="J9689" s="58"/>
      <c r="K9689" s="58"/>
      <c r="L9689" s="13" t="str">
        <f t="shared" si="1602"/>
        <v/>
      </c>
      <c r="M9689" s="13" t="str">
        <f t="shared" si="1603"/>
        <v/>
      </c>
      <c r="Q9689" t="str">
        <f t="shared" si="1604"/>
        <v/>
      </c>
      <c r="R9689" t="str">
        <f t="shared" si="1605"/>
        <v/>
      </c>
      <c r="S9689" t="str">
        <f t="shared" si="1606"/>
        <v/>
      </c>
      <c r="T9689" t="str">
        <f t="shared" si="1607"/>
        <v/>
      </c>
      <c r="U9689" t="str">
        <f t="shared" si="1608"/>
        <v/>
      </c>
      <c r="V9689" t="str">
        <f t="shared" si="1609"/>
        <v/>
      </c>
      <c r="W9689" t="str">
        <f t="shared" si="1610"/>
        <v/>
      </c>
      <c r="X9689">
        <f t="shared" si="1600"/>
        <v>0</v>
      </c>
      <c r="Z9689" t="str">
        <f t="shared" si="1611"/>
        <v/>
      </c>
      <c r="AA9689">
        <f t="shared" si="1601"/>
        <v>0</v>
      </c>
    </row>
    <row r="9690" spans="1:27" ht="21" customHeight="1" x14ac:dyDescent="0.95">
      <c r="A9690" s="56"/>
      <c r="B9690" s="57"/>
      <c r="C9690" s="57"/>
      <c r="D9690" s="57"/>
      <c r="E9690" s="56"/>
      <c r="F9690" s="57"/>
      <c r="G9690" s="57"/>
      <c r="H9690" s="56"/>
      <c r="I9690" s="56"/>
      <c r="J9690" s="58"/>
      <c r="K9690" s="58"/>
      <c r="L9690" s="13" t="str">
        <f t="shared" si="1602"/>
        <v/>
      </c>
      <c r="M9690" s="13" t="str">
        <f t="shared" si="1603"/>
        <v/>
      </c>
      <c r="Q9690" t="str">
        <f t="shared" si="1604"/>
        <v/>
      </c>
      <c r="R9690" t="str">
        <f t="shared" si="1605"/>
        <v/>
      </c>
      <c r="S9690" t="str">
        <f t="shared" si="1606"/>
        <v/>
      </c>
      <c r="T9690" t="str">
        <f t="shared" si="1607"/>
        <v/>
      </c>
      <c r="U9690" t="str">
        <f t="shared" si="1608"/>
        <v/>
      </c>
      <c r="V9690" t="str">
        <f t="shared" si="1609"/>
        <v/>
      </c>
      <c r="W9690" t="str">
        <f t="shared" si="1610"/>
        <v/>
      </c>
      <c r="X9690">
        <f t="shared" si="1600"/>
        <v>0</v>
      </c>
      <c r="Z9690" t="str">
        <f t="shared" si="1611"/>
        <v/>
      </c>
      <c r="AA9690">
        <f t="shared" si="1601"/>
        <v>0</v>
      </c>
    </row>
    <row r="9691" spans="1:27" ht="21" customHeight="1" x14ac:dyDescent="0.95">
      <c r="A9691" s="56"/>
      <c r="B9691" s="57"/>
      <c r="C9691" s="57"/>
      <c r="D9691" s="57"/>
      <c r="E9691" s="56"/>
      <c r="F9691" s="57"/>
      <c r="G9691" s="57"/>
      <c r="H9691" s="56"/>
      <c r="I9691" s="56"/>
      <c r="J9691" s="58"/>
      <c r="K9691" s="58"/>
      <c r="L9691" s="13" t="str">
        <f t="shared" si="1602"/>
        <v/>
      </c>
      <c r="M9691" s="13" t="str">
        <f t="shared" si="1603"/>
        <v/>
      </c>
      <c r="Q9691" t="str">
        <f t="shared" si="1604"/>
        <v/>
      </c>
      <c r="R9691" t="str">
        <f t="shared" si="1605"/>
        <v/>
      </c>
      <c r="S9691" t="str">
        <f t="shared" si="1606"/>
        <v/>
      </c>
      <c r="T9691" t="str">
        <f t="shared" si="1607"/>
        <v/>
      </c>
      <c r="U9691" t="str">
        <f t="shared" si="1608"/>
        <v/>
      </c>
      <c r="V9691" t="str">
        <f t="shared" si="1609"/>
        <v/>
      </c>
      <c r="W9691" t="str">
        <f t="shared" si="1610"/>
        <v/>
      </c>
      <c r="X9691">
        <f t="shared" si="1600"/>
        <v>0</v>
      </c>
      <c r="Z9691" t="str">
        <f t="shared" si="1611"/>
        <v/>
      </c>
      <c r="AA9691">
        <f t="shared" si="1601"/>
        <v>0</v>
      </c>
    </row>
    <row r="9692" spans="1:27" ht="21" customHeight="1" x14ac:dyDescent="0.95">
      <c r="A9692" s="56"/>
      <c r="B9692" s="57"/>
      <c r="C9692" s="57"/>
      <c r="D9692" s="57"/>
      <c r="E9692" s="56"/>
      <c r="F9692" s="57"/>
      <c r="G9692" s="57"/>
      <c r="H9692" s="56"/>
      <c r="I9692" s="56"/>
      <c r="J9692" s="58"/>
      <c r="K9692" s="58"/>
      <c r="L9692" s="13" t="str">
        <f t="shared" si="1602"/>
        <v/>
      </c>
      <c r="M9692" s="13" t="str">
        <f t="shared" si="1603"/>
        <v/>
      </c>
      <c r="Q9692" t="str">
        <f t="shared" si="1604"/>
        <v/>
      </c>
      <c r="R9692" t="str">
        <f t="shared" si="1605"/>
        <v/>
      </c>
      <c r="S9692" t="str">
        <f t="shared" si="1606"/>
        <v/>
      </c>
      <c r="T9692" t="str">
        <f t="shared" si="1607"/>
        <v/>
      </c>
      <c r="U9692" t="str">
        <f t="shared" si="1608"/>
        <v/>
      </c>
      <c r="V9692" t="str">
        <f t="shared" si="1609"/>
        <v/>
      </c>
      <c r="W9692" t="str">
        <f t="shared" si="1610"/>
        <v/>
      </c>
      <c r="X9692">
        <f t="shared" si="1600"/>
        <v>0</v>
      </c>
      <c r="Z9692" t="str">
        <f t="shared" si="1611"/>
        <v/>
      </c>
      <c r="AA9692">
        <f t="shared" si="1601"/>
        <v>0</v>
      </c>
    </row>
    <row r="9693" spans="1:27" ht="21" customHeight="1" x14ac:dyDescent="0.95">
      <c r="A9693" s="56"/>
      <c r="B9693" s="57"/>
      <c r="C9693" s="57"/>
      <c r="D9693" s="57"/>
      <c r="E9693" s="56"/>
      <c r="F9693" s="57"/>
      <c r="G9693" s="57"/>
      <c r="H9693" s="56"/>
      <c r="I9693" s="56"/>
      <c r="J9693" s="58"/>
      <c r="K9693" s="58"/>
      <c r="L9693" s="13" t="str">
        <f t="shared" si="1602"/>
        <v/>
      </c>
      <c r="M9693" s="13" t="str">
        <f t="shared" si="1603"/>
        <v/>
      </c>
      <c r="Q9693" t="str">
        <f t="shared" si="1604"/>
        <v/>
      </c>
      <c r="R9693" t="str">
        <f t="shared" si="1605"/>
        <v/>
      </c>
      <c r="S9693" t="str">
        <f t="shared" si="1606"/>
        <v/>
      </c>
      <c r="T9693" t="str">
        <f t="shared" si="1607"/>
        <v/>
      </c>
      <c r="U9693" t="str">
        <f t="shared" si="1608"/>
        <v/>
      </c>
      <c r="V9693" t="str">
        <f t="shared" si="1609"/>
        <v/>
      </c>
      <c r="W9693" t="str">
        <f t="shared" si="1610"/>
        <v/>
      </c>
      <c r="X9693">
        <f t="shared" si="1600"/>
        <v>0</v>
      </c>
      <c r="Z9693" t="str">
        <f t="shared" si="1611"/>
        <v/>
      </c>
      <c r="AA9693">
        <f t="shared" si="1601"/>
        <v>0</v>
      </c>
    </row>
    <row r="9694" spans="1:27" ht="21" customHeight="1" x14ac:dyDescent="0.95">
      <c r="A9694" s="56"/>
      <c r="B9694" s="57"/>
      <c r="C9694" s="57"/>
      <c r="D9694" s="57"/>
      <c r="E9694" s="56"/>
      <c r="F9694" s="57"/>
      <c r="G9694" s="57"/>
      <c r="H9694" s="56"/>
      <c r="I9694" s="56"/>
      <c r="J9694" s="58"/>
      <c r="K9694" s="58"/>
      <c r="L9694" s="13" t="str">
        <f t="shared" si="1602"/>
        <v/>
      </c>
      <c r="M9694" s="13" t="str">
        <f t="shared" si="1603"/>
        <v/>
      </c>
      <c r="Q9694" t="str">
        <f t="shared" si="1604"/>
        <v/>
      </c>
      <c r="R9694" t="str">
        <f t="shared" si="1605"/>
        <v/>
      </c>
      <c r="S9694" t="str">
        <f t="shared" si="1606"/>
        <v/>
      </c>
      <c r="T9694" t="str">
        <f t="shared" si="1607"/>
        <v/>
      </c>
      <c r="U9694" t="str">
        <f t="shared" si="1608"/>
        <v/>
      </c>
      <c r="V9694" t="str">
        <f t="shared" si="1609"/>
        <v/>
      </c>
      <c r="W9694" t="str">
        <f t="shared" si="1610"/>
        <v/>
      </c>
      <c r="X9694">
        <f t="shared" si="1600"/>
        <v>0</v>
      </c>
      <c r="Z9694" t="str">
        <f t="shared" si="1611"/>
        <v/>
      </c>
      <c r="AA9694">
        <f t="shared" si="1601"/>
        <v>0</v>
      </c>
    </row>
    <row r="9695" spans="1:27" ht="21" customHeight="1" x14ac:dyDescent="0.95">
      <c r="A9695" s="56"/>
      <c r="B9695" s="57"/>
      <c r="C9695" s="57"/>
      <c r="D9695" s="57"/>
      <c r="E9695" s="56"/>
      <c r="F9695" s="57"/>
      <c r="G9695" s="57"/>
      <c r="H9695" s="56"/>
      <c r="I9695" s="56"/>
      <c r="J9695" s="58"/>
      <c r="K9695" s="58"/>
      <c r="L9695" s="13" t="str">
        <f t="shared" si="1602"/>
        <v/>
      </c>
      <c r="M9695" s="13" t="str">
        <f t="shared" si="1603"/>
        <v/>
      </c>
      <c r="Q9695" t="str">
        <f t="shared" si="1604"/>
        <v/>
      </c>
      <c r="R9695" t="str">
        <f t="shared" si="1605"/>
        <v/>
      </c>
      <c r="S9695" t="str">
        <f t="shared" si="1606"/>
        <v/>
      </c>
      <c r="T9695" t="str">
        <f t="shared" si="1607"/>
        <v/>
      </c>
      <c r="U9695" t="str">
        <f t="shared" si="1608"/>
        <v/>
      </c>
      <c r="V9695" t="str">
        <f t="shared" si="1609"/>
        <v/>
      </c>
      <c r="W9695" t="str">
        <f t="shared" si="1610"/>
        <v/>
      </c>
      <c r="X9695">
        <f t="shared" si="1600"/>
        <v>0</v>
      </c>
      <c r="Z9695" t="str">
        <f t="shared" si="1611"/>
        <v/>
      </c>
      <c r="AA9695">
        <f t="shared" si="1601"/>
        <v>0</v>
      </c>
    </row>
    <row r="9696" spans="1:27" ht="21" customHeight="1" x14ac:dyDescent="0.95">
      <c r="A9696" s="56"/>
      <c r="B9696" s="57"/>
      <c r="C9696" s="57"/>
      <c r="D9696" s="57"/>
      <c r="E9696" s="56"/>
      <c r="F9696" s="57"/>
      <c r="G9696" s="57"/>
      <c r="H9696" s="56"/>
      <c r="I9696" s="56"/>
      <c r="J9696" s="58"/>
      <c r="K9696" s="58"/>
      <c r="L9696" s="13" t="str">
        <f t="shared" si="1602"/>
        <v/>
      </c>
      <c r="M9696" s="13" t="str">
        <f t="shared" si="1603"/>
        <v/>
      </c>
      <c r="Q9696" t="str">
        <f t="shared" si="1604"/>
        <v/>
      </c>
      <c r="R9696" t="str">
        <f t="shared" si="1605"/>
        <v/>
      </c>
      <c r="S9696" t="str">
        <f t="shared" si="1606"/>
        <v/>
      </c>
      <c r="T9696" t="str">
        <f t="shared" si="1607"/>
        <v/>
      </c>
      <c r="U9696" t="str">
        <f t="shared" si="1608"/>
        <v/>
      </c>
      <c r="V9696" t="str">
        <f t="shared" si="1609"/>
        <v/>
      </c>
      <c r="W9696" t="str">
        <f t="shared" si="1610"/>
        <v/>
      </c>
      <c r="X9696">
        <f t="shared" si="1600"/>
        <v>0</v>
      </c>
      <c r="Z9696" t="str">
        <f t="shared" si="1611"/>
        <v/>
      </c>
      <c r="AA9696">
        <f t="shared" si="1601"/>
        <v>0</v>
      </c>
    </row>
    <row r="9697" spans="1:27" ht="21" customHeight="1" x14ac:dyDescent="0.95">
      <c r="A9697" s="56"/>
      <c r="B9697" s="57"/>
      <c r="C9697" s="57"/>
      <c r="D9697" s="57"/>
      <c r="E9697" s="56"/>
      <c r="F9697" s="57"/>
      <c r="G9697" s="57"/>
      <c r="H9697" s="56"/>
      <c r="I9697" s="56"/>
      <c r="J9697" s="58"/>
      <c r="K9697" s="58"/>
      <c r="L9697" s="13" t="str">
        <f t="shared" si="1602"/>
        <v/>
      </c>
      <c r="M9697" s="13" t="str">
        <f t="shared" si="1603"/>
        <v/>
      </c>
      <c r="Q9697" t="str">
        <f t="shared" si="1604"/>
        <v/>
      </c>
      <c r="R9697" t="str">
        <f t="shared" si="1605"/>
        <v/>
      </c>
      <c r="S9697" t="str">
        <f t="shared" si="1606"/>
        <v/>
      </c>
      <c r="T9697" t="str">
        <f t="shared" si="1607"/>
        <v/>
      </c>
      <c r="U9697" t="str">
        <f t="shared" si="1608"/>
        <v/>
      </c>
      <c r="V9697" t="str">
        <f t="shared" si="1609"/>
        <v/>
      </c>
      <c r="W9697" t="str">
        <f t="shared" si="1610"/>
        <v/>
      </c>
      <c r="X9697">
        <f t="shared" si="1600"/>
        <v>0</v>
      </c>
      <c r="Z9697" t="str">
        <f t="shared" si="1611"/>
        <v/>
      </c>
      <c r="AA9697">
        <f t="shared" si="1601"/>
        <v>0</v>
      </c>
    </row>
    <row r="9698" spans="1:27" ht="21" customHeight="1" x14ac:dyDescent="0.95">
      <c r="A9698" s="56"/>
      <c r="B9698" s="57"/>
      <c r="C9698" s="57"/>
      <c r="D9698" s="57"/>
      <c r="E9698" s="56"/>
      <c r="F9698" s="57"/>
      <c r="G9698" s="57"/>
      <c r="H9698" s="56"/>
      <c r="I9698" s="56"/>
      <c r="J9698" s="58"/>
      <c r="K9698" s="58"/>
      <c r="L9698" s="13" t="str">
        <f t="shared" si="1602"/>
        <v/>
      </c>
      <c r="M9698" s="13" t="str">
        <f t="shared" si="1603"/>
        <v/>
      </c>
      <c r="Q9698" t="str">
        <f t="shared" si="1604"/>
        <v/>
      </c>
      <c r="R9698" t="str">
        <f t="shared" si="1605"/>
        <v/>
      </c>
      <c r="S9698" t="str">
        <f t="shared" si="1606"/>
        <v/>
      </c>
      <c r="T9698" t="str">
        <f t="shared" si="1607"/>
        <v/>
      </c>
      <c r="U9698" t="str">
        <f t="shared" si="1608"/>
        <v/>
      </c>
      <c r="V9698" t="str">
        <f t="shared" si="1609"/>
        <v/>
      </c>
      <c r="W9698" t="str">
        <f t="shared" si="1610"/>
        <v/>
      </c>
      <c r="X9698">
        <f t="shared" si="1600"/>
        <v>0</v>
      </c>
      <c r="Z9698" t="str">
        <f t="shared" si="1611"/>
        <v/>
      </c>
      <c r="AA9698">
        <f t="shared" si="1601"/>
        <v>0</v>
      </c>
    </row>
    <row r="9699" spans="1:27" ht="21" customHeight="1" x14ac:dyDescent="0.95">
      <c r="A9699" s="56"/>
      <c r="B9699" s="57"/>
      <c r="C9699" s="57"/>
      <c r="D9699" s="57"/>
      <c r="E9699" s="56"/>
      <c r="F9699" s="57"/>
      <c r="G9699" s="57"/>
      <c r="H9699" s="56"/>
      <c r="I9699" s="56"/>
      <c r="J9699" s="58"/>
      <c r="K9699" s="58"/>
      <c r="L9699" s="13" t="str">
        <f t="shared" si="1602"/>
        <v/>
      </c>
      <c r="M9699" s="13" t="str">
        <f t="shared" si="1603"/>
        <v/>
      </c>
      <c r="Q9699" t="str">
        <f t="shared" si="1604"/>
        <v/>
      </c>
      <c r="R9699" t="str">
        <f t="shared" si="1605"/>
        <v/>
      </c>
      <c r="S9699" t="str">
        <f t="shared" si="1606"/>
        <v/>
      </c>
      <c r="T9699" t="str">
        <f t="shared" si="1607"/>
        <v/>
      </c>
      <c r="U9699" t="str">
        <f t="shared" si="1608"/>
        <v/>
      </c>
      <c r="V9699" t="str">
        <f t="shared" si="1609"/>
        <v/>
      </c>
      <c r="W9699" t="str">
        <f t="shared" si="1610"/>
        <v/>
      </c>
      <c r="X9699">
        <f t="shared" si="1600"/>
        <v>0</v>
      </c>
      <c r="Z9699" t="str">
        <f t="shared" si="1611"/>
        <v/>
      </c>
      <c r="AA9699">
        <f t="shared" si="1601"/>
        <v>0</v>
      </c>
    </row>
    <row r="9700" spans="1:27" ht="21" customHeight="1" x14ac:dyDescent="0.95">
      <c r="A9700" s="56"/>
      <c r="B9700" s="57"/>
      <c r="C9700" s="57"/>
      <c r="D9700" s="57"/>
      <c r="E9700" s="56"/>
      <c r="F9700" s="57"/>
      <c r="G9700" s="57"/>
      <c r="H9700" s="56"/>
      <c r="I9700" s="56"/>
      <c r="J9700" s="58"/>
      <c r="K9700" s="58"/>
      <c r="L9700" s="13" t="str">
        <f t="shared" si="1602"/>
        <v/>
      </c>
      <c r="M9700" s="13" t="str">
        <f t="shared" si="1603"/>
        <v/>
      </c>
      <c r="Q9700" t="str">
        <f t="shared" si="1604"/>
        <v/>
      </c>
      <c r="R9700" t="str">
        <f t="shared" si="1605"/>
        <v/>
      </c>
      <c r="S9700" t="str">
        <f t="shared" si="1606"/>
        <v/>
      </c>
      <c r="T9700" t="str">
        <f t="shared" si="1607"/>
        <v/>
      </c>
      <c r="U9700" t="str">
        <f t="shared" si="1608"/>
        <v/>
      </c>
      <c r="V9700" t="str">
        <f t="shared" si="1609"/>
        <v/>
      </c>
      <c r="W9700" t="str">
        <f t="shared" si="1610"/>
        <v/>
      </c>
      <c r="X9700">
        <f t="shared" si="1600"/>
        <v>0</v>
      </c>
      <c r="Z9700" t="str">
        <f t="shared" si="1611"/>
        <v/>
      </c>
      <c r="AA9700">
        <f t="shared" si="1601"/>
        <v>0</v>
      </c>
    </row>
    <row r="9701" spans="1:27" ht="21" customHeight="1" x14ac:dyDescent="0.95">
      <c r="A9701" s="56"/>
      <c r="B9701" s="57"/>
      <c r="C9701" s="57"/>
      <c r="D9701" s="57"/>
      <c r="E9701" s="56"/>
      <c r="F9701" s="57"/>
      <c r="G9701" s="57"/>
      <c r="H9701" s="56"/>
      <c r="I9701" s="56"/>
      <c r="J9701" s="58"/>
      <c r="K9701" s="58"/>
      <c r="L9701" s="13" t="str">
        <f t="shared" si="1602"/>
        <v/>
      </c>
      <c r="M9701" s="13" t="str">
        <f t="shared" si="1603"/>
        <v/>
      </c>
      <c r="Q9701" t="str">
        <f t="shared" si="1604"/>
        <v/>
      </c>
      <c r="R9701" t="str">
        <f t="shared" si="1605"/>
        <v/>
      </c>
      <c r="S9701" t="str">
        <f t="shared" si="1606"/>
        <v/>
      </c>
      <c r="T9701" t="str">
        <f t="shared" si="1607"/>
        <v/>
      </c>
      <c r="U9701" t="str">
        <f t="shared" si="1608"/>
        <v/>
      </c>
      <c r="V9701" t="str">
        <f t="shared" si="1609"/>
        <v/>
      </c>
      <c r="W9701" t="str">
        <f t="shared" si="1610"/>
        <v/>
      </c>
      <c r="X9701">
        <f t="shared" si="1600"/>
        <v>0</v>
      </c>
      <c r="Z9701" t="str">
        <f t="shared" si="1611"/>
        <v/>
      </c>
      <c r="AA9701">
        <f t="shared" si="1601"/>
        <v>0</v>
      </c>
    </row>
    <row r="9702" spans="1:27" ht="21" customHeight="1" x14ac:dyDescent="0.95">
      <c r="A9702" s="56"/>
      <c r="B9702" s="57"/>
      <c r="C9702" s="57"/>
      <c r="D9702" s="57"/>
      <c r="E9702" s="56"/>
      <c r="F9702" s="57"/>
      <c r="G9702" s="57"/>
      <c r="H9702" s="56"/>
      <c r="I9702" s="56"/>
      <c r="J9702" s="58"/>
      <c r="K9702" s="58"/>
      <c r="L9702" s="13" t="str">
        <f t="shared" si="1602"/>
        <v/>
      </c>
      <c r="M9702" s="13" t="str">
        <f t="shared" si="1603"/>
        <v/>
      </c>
      <c r="Q9702" t="str">
        <f t="shared" si="1604"/>
        <v/>
      </c>
      <c r="R9702" t="str">
        <f t="shared" si="1605"/>
        <v/>
      </c>
      <c r="S9702" t="str">
        <f t="shared" si="1606"/>
        <v/>
      </c>
      <c r="T9702" t="str">
        <f t="shared" si="1607"/>
        <v/>
      </c>
      <c r="U9702" t="str">
        <f t="shared" si="1608"/>
        <v/>
      </c>
      <c r="V9702" t="str">
        <f t="shared" si="1609"/>
        <v/>
      </c>
      <c r="W9702" t="str">
        <f t="shared" si="1610"/>
        <v/>
      </c>
      <c r="X9702">
        <f t="shared" si="1600"/>
        <v>0</v>
      </c>
      <c r="Z9702" t="str">
        <f t="shared" si="1611"/>
        <v/>
      </c>
      <c r="AA9702">
        <f t="shared" si="1601"/>
        <v>0</v>
      </c>
    </row>
    <row r="9703" spans="1:27" ht="21" customHeight="1" x14ac:dyDescent="0.95">
      <c r="A9703" s="56"/>
      <c r="B9703" s="57"/>
      <c r="C9703" s="57"/>
      <c r="D9703" s="57"/>
      <c r="E9703" s="56"/>
      <c r="F9703" s="57"/>
      <c r="G9703" s="57"/>
      <c r="H9703" s="56"/>
      <c r="I9703" s="56"/>
      <c r="J9703" s="58"/>
      <c r="K9703" s="58"/>
      <c r="L9703" s="13" t="str">
        <f t="shared" si="1602"/>
        <v/>
      </c>
      <c r="M9703" s="13" t="str">
        <f t="shared" si="1603"/>
        <v/>
      </c>
      <c r="Q9703" t="str">
        <f t="shared" si="1604"/>
        <v/>
      </c>
      <c r="R9703" t="str">
        <f t="shared" si="1605"/>
        <v/>
      </c>
      <c r="S9703" t="str">
        <f t="shared" si="1606"/>
        <v/>
      </c>
      <c r="T9703" t="str">
        <f t="shared" si="1607"/>
        <v/>
      </c>
      <c r="U9703" t="str">
        <f t="shared" si="1608"/>
        <v/>
      </c>
      <c r="V9703" t="str">
        <f t="shared" si="1609"/>
        <v/>
      </c>
      <c r="W9703" t="str">
        <f t="shared" si="1610"/>
        <v/>
      </c>
      <c r="X9703">
        <f t="shared" si="1600"/>
        <v>0</v>
      </c>
      <c r="Z9703" t="str">
        <f t="shared" si="1611"/>
        <v/>
      </c>
      <c r="AA9703">
        <f t="shared" si="1601"/>
        <v>0</v>
      </c>
    </row>
    <row r="9704" spans="1:27" ht="21" customHeight="1" x14ac:dyDescent="0.95">
      <c r="A9704" s="56"/>
      <c r="B9704" s="57"/>
      <c r="C9704" s="57"/>
      <c r="D9704" s="57"/>
      <c r="E9704" s="56"/>
      <c r="F9704" s="57"/>
      <c r="G9704" s="57"/>
      <c r="H9704" s="56"/>
      <c r="I9704" s="56"/>
      <c r="J9704" s="58"/>
      <c r="K9704" s="58"/>
      <c r="L9704" s="13" t="str">
        <f t="shared" si="1602"/>
        <v/>
      </c>
      <c r="M9704" s="13" t="str">
        <f t="shared" si="1603"/>
        <v/>
      </c>
      <c r="Q9704" t="str">
        <f t="shared" si="1604"/>
        <v/>
      </c>
      <c r="R9704" t="str">
        <f t="shared" si="1605"/>
        <v/>
      </c>
      <c r="S9704" t="str">
        <f t="shared" si="1606"/>
        <v/>
      </c>
      <c r="T9704" t="str">
        <f t="shared" si="1607"/>
        <v/>
      </c>
      <c r="U9704" t="str">
        <f t="shared" si="1608"/>
        <v/>
      </c>
      <c r="V9704" t="str">
        <f t="shared" si="1609"/>
        <v/>
      </c>
      <c r="W9704" t="str">
        <f t="shared" si="1610"/>
        <v/>
      </c>
      <c r="X9704">
        <f t="shared" si="1600"/>
        <v>0</v>
      </c>
      <c r="Z9704" t="str">
        <f t="shared" si="1611"/>
        <v/>
      </c>
      <c r="AA9704">
        <f t="shared" si="1601"/>
        <v>0</v>
      </c>
    </row>
    <row r="9705" spans="1:27" ht="21" customHeight="1" x14ac:dyDescent="0.95">
      <c r="A9705" s="56"/>
      <c r="B9705" s="57"/>
      <c r="C9705" s="57"/>
      <c r="D9705" s="57"/>
      <c r="E9705" s="56"/>
      <c r="F9705" s="57"/>
      <c r="G9705" s="57"/>
      <c r="H9705" s="56"/>
      <c r="I9705" s="56"/>
      <c r="J9705" s="58"/>
      <c r="K9705" s="58"/>
      <c r="L9705" s="13" t="str">
        <f t="shared" si="1602"/>
        <v/>
      </c>
      <c r="M9705" s="13" t="str">
        <f t="shared" si="1603"/>
        <v/>
      </c>
      <c r="Q9705" t="str">
        <f t="shared" si="1604"/>
        <v/>
      </c>
      <c r="R9705" t="str">
        <f t="shared" si="1605"/>
        <v/>
      </c>
      <c r="S9705" t="str">
        <f t="shared" si="1606"/>
        <v/>
      </c>
      <c r="T9705" t="str">
        <f t="shared" si="1607"/>
        <v/>
      </c>
      <c r="U9705" t="str">
        <f t="shared" si="1608"/>
        <v/>
      </c>
      <c r="V9705" t="str">
        <f t="shared" si="1609"/>
        <v/>
      </c>
      <c r="W9705" t="str">
        <f t="shared" si="1610"/>
        <v/>
      </c>
      <c r="X9705">
        <f t="shared" si="1600"/>
        <v>0</v>
      </c>
      <c r="Z9705" t="str">
        <f t="shared" si="1611"/>
        <v/>
      </c>
      <c r="AA9705">
        <f t="shared" si="1601"/>
        <v>0</v>
      </c>
    </row>
    <row r="9706" spans="1:27" ht="21" customHeight="1" x14ac:dyDescent="0.95">
      <c r="A9706" s="56"/>
      <c r="B9706" s="57"/>
      <c r="C9706" s="57"/>
      <c r="D9706" s="57"/>
      <c r="E9706" s="56"/>
      <c r="F9706" s="57"/>
      <c r="G9706" s="57"/>
      <c r="H9706" s="56"/>
      <c r="I9706" s="56"/>
      <c r="J9706" s="58"/>
      <c r="K9706" s="58"/>
      <c r="L9706" s="13" t="str">
        <f t="shared" si="1602"/>
        <v/>
      </c>
      <c r="M9706" s="13" t="str">
        <f t="shared" si="1603"/>
        <v/>
      </c>
      <c r="Q9706" t="str">
        <f t="shared" si="1604"/>
        <v/>
      </c>
      <c r="R9706" t="str">
        <f t="shared" si="1605"/>
        <v/>
      </c>
      <c r="S9706" t="str">
        <f t="shared" si="1606"/>
        <v/>
      </c>
      <c r="T9706" t="str">
        <f t="shared" si="1607"/>
        <v/>
      </c>
      <c r="U9706" t="str">
        <f t="shared" si="1608"/>
        <v/>
      </c>
      <c r="V9706" t="str">
        <f t="shared" si="1609"/>
        <v/>
      </c>
      <c r="W9706" t="str">
        <f t="shared" si="1610"/>
        <v/>
      </c>
      <c r="X9706">
        <f t="shared" si="1600"/>
        <v>0</v>
      </c>
      <c r="Z9706" t="str">
        <f t="shared" si="1611"/>
        <v/>
      </c>
      <c r="AA9706">
        <f t="shared" si="1601"/>
        <v>0</v>
      </c>
    </row>
    <row r="9707" spans="1:27" ht="21" customHeight="1" x14ac:dyDescent="0.95">
      <c r="A9707" s="56"/>
      <c r="B9707" s="57"/>
      <c r="C9707" s="57"/>
      <c r="D9707" s="57"/>
      <c r="E9707" s="56"/>
      <c r="F9707" s="57"/>
      <c r="G9707" s="57"/>
      <c r="H9707" s="56"/>
      <c r="I9707" s="56"/>
      <c r="J9707" s="58"/>
      <c r="K9707" s="58"/>
      <c r="L9707" s="13" t="str">
        <f t="shared" si="1602"/>
        <v/>
      </c>
      <c r="M9707" s="13" t="str">
        <f t="shared" si="1603"/>
        <v/>
      </c>
      <c r="Q9707" t="str">
        <f t="shared" si="1604"/>
        <v/>
      </c>
      <c r="R9707" t="str">
        <f t="shared" si="1605"/>
        <v/>
      </c>
      <c r="S9707" t="str">
        <f t="shared" si="1606"/>
        <v/>
      </c>
      <c r="T9707" t="str">
        <f t="shared" si="1607"/>
        <v/>
      </c>
      <c r="U9707" t="str">
        <f t="shared" si="1608"/>
        <v/>
      </c>
      <c r="V9707" t="str">
        <f t="shared" si="1609"/>
        <v/>
      </c>
      <c r="W9707" t="str">
        <f t="shared" si="1610"/>
        <v/>
      </c>
      <c r="X9707">
        <f t="shared" si="1600"/>
        <v>0</v>
      </c>
      <c r="Z9707" t="str">
        <f t="shared" si="1611"/>
        <v/>
      </c>
      <c r="AA9707">
        <f t="shared" si="1601"/>
        <v>0</v>
      </c>
    </row>
    <row r="9708" spans="1:27" ht="21" customHeight="1" x14ac:dyDescent="0.95">
      <c r="A9708" s="56"/>
      <c r="B9708" s="57"/>
      <c r="C9708" s="57"/>
      <c r="D9708" s="57"/>
      <c r="E9708" s="56"/>
      <c r="F9708" s="57"/>
      <c r="G9708" s="57"/>
      <c r="H9708" s="56"/>
      <c r="I9708" s="56"/>
      <c r="J9708" s="58"/>
      <c r="K9708" s="58"/>
      <c r="L9708" s="13" t="str">
        <f t="shared" si="1602"/>
        <v/>
      </c>
      <c r="M9708" s="13" t="str">
        <f t="shared" si="1603"/>
        <v/>
      </c>
      <c r="Q9708" t="str">
        <f t="shared" si="1604"/>
        <v/>
      </c>
      <c r="R9708" t="str">
        <f t="shared" si="1605"/>
        <v/>
      </c>
      <c r="S9708" t="str">
        <f t="shared" si="1606"/>
        <v/>
      </c>
      <c r="T9708" t="str">
        <f t="shared" si="1607"/>
        <v/>
      </c>
      <c r="U9708" t="str">
        <f t="shared" si="1608"/>
        <v/>
      </c>
      <c r="V9708" t="str">
        <f t="shared" si="1609"/>
        <v/>
      </c>
      <c r="W9708" t="str">
        <f t="shared" si="1610"/>
        <v/>
      </c>
      <c r="X9708">
        <f t="shared" si="1600"/>
        <v>0</v>
      </c>
      <c r="Z9708" t="str">
        <f t="shared" si="1611"/>
        <v/>
      </c>
      <c r="AA9708">
        <f t="shared" si="1601"/>
        <v>0</v>
      </c>
    </row>
    <row r="9709" spans="1:27" ht="21" customHeight="1" x14ac:dyDescent="0.95">
      <c r="A9709" s="56"/>
      <c r="B9709" s="57"/>
      <c r="C9709" s="57"/>
      <c r="D9709" s="57"/>
      <c r="E9709" s="56"/>
      <c r="F9709" s="57"/>
      <c r="G9709" s="57"/>
      <c r="H9709" s="56"/>
      <c r="I9709" s="56"/>
      <c r="J9709" s="58"/>
      <c r="K9709" s="58"/>
      <c r="L9709" s="13" t="str">
        <f t="shared" si="1602"/>
        <v/>
      </c>
      <c r="M9709" s="13" t="str">
        <f t="shared" si="1603"/>
        <v/>
      </c>
      <c r="Q9709" t="str">
        <f t="shared" si="1604"/>
        <v/>
      </c>
      <c r="R9709" t="str">
        <f t="shared" si="1605"/>
        <v/>
      </c>
      <c r="S9709" t="str">
        <f t="shared" si="1606"/>
        <v/>
      </c>
      <c r="T9709" t="str">
        <f t="shared" si="1607"/>
        <v/>
      </c>
      <c r="U9709" t="str">
        <f t="shared" si="1608"/>
        <v/>
      </c>
      <c r="V9709" t="str">
        <f t="shared" si="1609"/>
        <v/>
      </c>
      <c r="W9709" t="str">
        <f t="shared" si="1610"/>
        <v/>
      </c>
      <c r="X9709">
        <f t="shared" si="1600"/>
        <v>0</v>
      </c>
      <c r="Z9709" t="str">
        <f t="shared" si="1611"/>
        <v/>
      </c>
      <c r="AA9709">
        <f t="shared" si="1601"/>
        <v>0</v>
      </c>
    </row>
    <row r="9710" spans="1:27" ht="21" customHeight="1" x14ac:dyDescent="0.95">
      <c r="A9710" s="56"/>
      <c r="B9710" s="57"/>
      <c r="C9710" s="57"/>
      <c r="D9710" s="57"/>
      <c r="E9710" s="56"/>
      <c r="F9710" s="57"/>
      <c r="G9710" s="57"/>
      <c r="H9710" s="56"/>
      <c r="I9710" s="56"/>
      <c r="J9710" s="58"/>
      <c r="K9710" s="58"/>
      <c r="L9710" s="13" t="str">
        <f t="shared" si="1602"/>
        <v/>
      </c>
      <c r="M9710" s="13" t="str">
        <f t="shared" si="1603"/>
        <v/>
      </c>
      <c r="Q9710" t="str">
        <f t="shared" si="1604"/>
        <v/>
      </c>
      <c r="R9710" t="str">
        <f t="shared" si="1605"/>
        <v/>
      </c>
      <c r="S9710" t="str">
        <f t="shared" si="1606"/>
        <v/>
      </c>
      <c r="T9710" t="str">
        <f t="shared" si="1607"/>
        <v/>
      </c>
      <c r="U9710" t="str">
        <f t="shared" si="1608"/>
        <v/>
      </c>
      <c r="V9710" t="str">
        <f t="shared" si="1609"/>
        <v/>
      </c>
      <c r="W9710" t="str">
        <f t="shared" si="1610"/>
        <v/>
      </c>
      <c r="X9710">
        <f t="shared" si="1600"/>
        <v>0</v>
      </c>
      <c r="Z9710" t="str">
        <f t="shared" si="1611"/>
        <v/>
      </c>
      <c r="AA9710">
        <f t="shared" si="1601"/>
        <v>0</v>
      </c>
    </row>
    <row r="9711" spans="1:27" ht="21" customHeight="1" x14ac:dyDescent="0.95">
      <c r="A9711" s="56"/>
      <c r="B9711" s="57"/>
      <c r="C9711" s="57"/>
      <c r="D9711" s="57"/>
      <c r="E9711" s="56"/>
      <c r="F9711" s="57"/>
      <c r="G9711" s="57"/>
      <c r="H9711" s="56"/>
      <c r="I9711" s="56"/>
      <c r="J9711" s="58"/>
      <c r="K9711" s="58"/>
      <c r="L9711" s="13" t="str">
        <f t="shared" si="1602"/>
        <v/>
      </c>
      <c r="M9711" s="13" t="str">
        <f t="shared" si="1603"/>
        <v/>
      </c>
      <c r="Q9711" t="str">
        <f t="shared" si="1604"/>
        <v/>
      </c>
      <c r="R9711" t="str">
        <f t="shared" si="1605"/>
        <v/>
      </c>
      <c r="S9711" t="str">
        <f t="shared" si="1606"/>
        <v/>
      </c>
      <c r="T9711" t="str">
        <f t="shared" si="1607"/>
        <v/>
      </c>
      <c r="U9711" t="str">
        <f t="shared" si="1608"/>
        <v/>
      </c>
      <c r="V9711" t="str">
        <f t="shared" si="1609"/>
        <v/>
      </c>
      <c r="W9711" t="str">
        <f t="shared" si="1610"/>
        <v/>
      </c>
      <c r="X9711">
        <f t="shared" si="1600"/>
        <v>0</v>
      </c>
      <c r="Z9711" t="str">
        <f t="shared" si="1611"/>
        <v/>
      </c>
      <c r="AA9711">
        <f t="shared" si="1601"/>
        <v>0</v>
      </c>
    </row>
    <row r="9712" spans="1:27" ht="21" customHeight="1" x14ac:dyDescent="0.95">
      <c r="A9712" s="56"/>
      <c r="B9712" s="57"/>
      <c r="C9712" s="57"/>
      <c r="D9712" s="57"/>
      <c r="E9712" s="56"/>
      <c r="F9712" s="57"/>
      <c r="G9712" s="57"/>
      <c r="H9712" s="56"/>
      <c r="I9712" s="56"/>
      <c r="J9712" s="58"/>
      <c r="K9712" s="58"/>
      <c r="L9712" s="13" t="str">
        <f t="shared" si="1602"/>
        <v/>
      </c>
      <c r="M9712" s="13" t="str">
        <f t="shared" si="1603"/>
        <v/>
      </c>
      <c r="Q9712" t="str">
        <f t="shared" si="1604"/>
        <v/>
      </c>
      <c r="R9712" t="str">
        <f t="shared" si="1605"/>
        <v/>
      </c>
      <c r="S9712" t="str">
        <f t="shared" si="1606"/>
        <v/>
      </c>
      <c r="T9712" t="str">
        <f t="shared" si="1607"/>
        <v/>
      </c>
      <c r="U9712" t="str">
        <f t="shared" si="1608"/>
        <v/>
      </c>
      <c r="V9712" t="str">
        <f t="shared" si="1609"/>
        <v/>
      </c>
      <c r="W9712" t="str">
        <f t="shared" si="1610"/>
        <v/>
      </c>
      <c r="X9712">
        <f t="shared" si="1600"/>
        <v>0</v>
      </c>
      <c r="Z9712" t="str">
        <f t="shared" si="1611"/>
        <v/>
      </c>
      <c r="AA9712">
        <f t="shared" si="1601"/>
        <v>0</v>
      </c>
    </row>
    <row r="9713" spans="1:27" ht="21" customHeight="1" x14ac:dyDescent="0.95">
      <c r="A9713" s="56"/>
      <c r="B9713" s="57"/>
      <c r="C9713" s="57"/>
      <c r="D9713" s="57"/>
      <c r="E9713" s="56"/>
      <c r="F9713" s="57"/>
      <c r="G9713" s="57"/>
      <c r="H9713" s="56"/>
      <c r="I9713" s="56"/>
      <c r="J9713" s="58"/>
      <c r="K9713" s="58"/>
      <c r="L9713" s="13" t="str">
        <f t="shared" si="1602"/>
        <v/>
      </c>
      <c r="M9713" s="13" t="str">
        <f t="shared" si="1603"/>
        <v/>
      </c>
      <c r="Q9713" t="str">
        <f t="shared" si="1604"/>
        <v/>
      </c>
      <c r="R9713" t="str">
        <f t="shared" si="1605"/>
        <v/>
      </c>
      <c r="S9713" t="str">
        <f t="shared" si="1606"/>
        <v/>
      </c>
      <c r="T9713" t="str">
        <f t="shared" si="1607"/>
        <v/>
      </c>
      <c r="U9713" t="str">
        <f t="shared" si="1608"/>
        <v/>
      </c>
      <c r="V9713" t="str">
        <f t="shared" si="1609"/>
        <v/>
      </c>
      <c r="W9713" t="str">
        <f t="shared" si="1610"/>
        <v/>
      </c>
      <c r="X9713">
        <f t="shared" si="1600"/>
        <v>0</v>
      </c>
      <c r="Z9713" t="str">
        <f t="shared" si="1611"/>
        <v/>
      </c>
      <c r="AA9713">
        <f t="shared" si="1601"/>
        <v>0</v>
      </c>
    </row>
    <row r="9714" spans="1:27" ht="21" customHeight="1" x14ac:dyDescent="0.95">
      <c r="A9714" s="56"/>
      <c r="B9714" s="57"/>
      <c r="C9714" s="57"/>
      <c r="D9714" s="57"/>
      <c r="E9714" s="56"/>
      <c r="F9714" s="57"/>
      <c r="G9714" s="57"/>
      <c r="H9714" s="56"/>
      <c r="I9714" s="56"/>
      <c r="J9714" s="58"/>
      <c r="K9714" s="58"/>
      <c r="L9714" s="13" t="str">
        <f t="shared" si="1602"/>
        <v/>
      </c>
      <c r="M9714" s="13" t="str">
        <f t="shared" si="1603"/>
        <v/>
      </c>
      <c r="Q9714" t="str">
        <f t="shared" si="1604"/>
        <v/>
      </c>
      <c r="R9714" t="str">
        <f t="shared" si="1605"/>
        <v/>
      </c>
      <c r="S9714" t="str">
        <f t="shared" si="1606"/>
        <v/>
      </c>
      <c r="T9714" t="str">
        <f t="shared" si="1607"/>
        <v/>
      </c>
      <c r="U9714" t="str">
        <f t="shared" si="1608"/>
        <v/>
      </c>
      <c r="V9714" t="str">
        <f t="shared" si="1609"/>
        <v/>
      </c>
      <c r="W9714" t="str">
        <f t="shared" si="1610"/>
        <v/>
      </c>
      <c r="X9714">
        <f t="shared" si="1600"/>
        <v>0</v>
      </c>
      <c r="Z9714" t="str">
        <f t="shared" si="1611"/>
        <v/>
      </c>
      <c r="AA9714">
        <f t="shared" si="1601"/>
        <v>0</v>
      </c>
    </row>
    <row r="9715" spans="1:27" ht="21" customHeight="1" x14ac:dyDescent="0.95">
      <c r="A9715" s="56"/>
      <c r="B9715" s="57"/>
      <c r="C9715" s="57"/>
      <c r="D9715" s="57"/>
      <c r="E9715" s="56"/>
      <c r="F9715" s="57"/>
      <c r="G9715" s="57"/>
      <c r="H9715" s="56"/>
      <c r="I9715" s="56"/>
      <c r="J9715" s="58"/>
      <c r="K9715" s="58"/>
      <c r="L9715" s="13" t="str">
        <f t="shared" si="1602"/>
        <v/>
      </c>
      <c r="M9715" s="13" t="str">
        <f t="shared" si="1603"/>
        <v/>
      </c>
      <c r="Q9715" t="str">
        <f t="shared" si="1604"/>
        <v/>
      </c>
      <c r="R9715" t="str">
        <f t="shared" si="1605"/>
        <v/>
      </c>
      <c r="S9715" t="str">
        <f t="shared" si="1606"/>
        <v/>
      </c>
      <c r="T9715" t="str">
        <f t="shared" si="1607"/>
        <v/>
      </c>
      <c r="U9715" t="str">
        <f t="shared" si="1608"/>
        <v/>
      </c>
      <c r="V9715" t="str">
        <f t="shared" si="1609"/>
        <v/>
      </c>
      <c r="W9715" t="str">
        <f t="shared" si="1610"/>
        <v/>
      </c>
      <c r="X9715">
        <f t="shared" si="1600"/>
        <v>0</v>
      </c>
      <c r="Z9715" t="str">
        <f t="shared" si="1611"/>
        <v/>
      </c>
      <c r="AA9715">
        <f t="shared" si="1601"/>
        <v>0</v>
      </c>
    </row>
    <row r="9716" spans="1:27" ht="21" customHeight="1" x14ac:dyDescent="0.95">
      <c r="A9716" s="56"/>
      <c r="B9716" s="57"/>
      <c r="C9716" s="57"/>
      <c r="D9716" s="57"/>
      <c r="E9716" s="56"/>
      <c r="F9716" s="57"/>
      <c r="G9716" s="57"/>
      <c r="H9716" s="56"/>
      <c r="I9716" s="56"/>
      <c r="J9716" s="58"/>
      <c r="K9716" s="58"/>
      <c r="L9716" s="13" t="str">
        <f t="shared" si="1602"/>
        <v/>
      </c>
      <c r="M9716" s="13" t="str">
        <f t="shared" si="1603"/>
        <v/>
      </c>
      <c r="Q9716" t="str">
        <f t="shared" si="1604"/>
        <v/>
      </c>
      <c r="R9716" t="str">
        <f t="shared" si="1605"/>
        <v/>
      </c>
      <c r="S9716" t="str">
        <f t="shared" si="1606"/>
        <v/>
      </c>
      <c r="T9716" t="str">
        <f t="shared" si="1607"/>
        <v/>
      </c>
      <c r="U9716" t="str">
        <f t="shared" si="1608"/>
        <v/>
      </c>
      <c r="V9716" t="str">
        <f t="shared" si="1609"/>
        <v/>
      </c>
      <c r="W9716" t="str">
        <f t="shared" si="1610"/>
        <v/>
      </c>
      <c r="X9716">
        <f t="shared" si="1600"/>
        <v>0</v>
      </c>
      <c r="Z9716" t="str">
        <f t="shared" si="1611"/>
        <v/>
      </c>
      <c r="AA9716">
        <f t="shared" si="1601"/>
        <v>0</v>
      </c>
    </row>
    <row r="9717" spans="1:27" ht="21" customHeight="1" x14ac:dyDescent="0.95">
      <c r="A9717" s="56"/>
      <c r="B9717" s="57"/>
      <c r="C9717" s="57"/>
      <c r="D9717" s="57"/>
      <c r="E9717" s="56"/>
      <c r="F9717" s="57"/>
      <c r="G9717" s="57"/>
      <c r="H9717" s="56"/>
      <c r="I9717" s="56"/>
      <c r="J9717" s="58"/>
      <c r="K9717" s="58"/>
      <c r="L9717" s="13" t="str">
        <f t="shared" si="1602"/>
        <v/>
      </c>
      <c r="M9717" s="13" t="str">
        <f t="shared" si="1603"/>
        <v/>
      </c>
      <c r="Q9717" t="str">
        <f t="shared" si="1604"/>
        <v/>
      </c>
      <c r="R9717" t="str">
        <f t="shared" si="1605"/>
        <v/>
      </c>
      <c r="S9717" t="str">
        <f t="shared" si="1606"/>
        <v/>
      </c>
      <c r="T9717" t="str">
        <f t="shared" si="1607"/>
        <v/>
      </c>
      <c r="U9717" t="str">
        <f t="shared" si="1608"/>
        <v/>
      </c>
      <c r="V9717" t="str">
        <f t="shared" si="1609"/>
        <v/>
      </c>
      <c r="W9717" t="str">
        <f t="shared" si="1610"/>
        <v/>
      </c>
      <c r="X9717">
        <f t="shared" ref="X9717:X9780" si="1612">IF($T9717="",N($X9716),IF(MATCH($T9717,$T$6:$T$10005,0)=ROW()-5,N($X9716)+1,N($X9716)))</f>
        <v>0</v>
      </c>
      <c r="Z9717" t="str">
        <f t="shared" si="1611"/>
        <v/>
      </c>
      <c r="AA9717">
        <f t="shared" ref="AA9717:AA9780" si="1613">IF($V9717="",N($AA9716),IF(MATCH($V9717,$V$6:$V$10005,0)=ROW()-5,N($AA9716)+1,N($AA9716)))</f>
        <v>0</v>
      </c>
    </row>
    <row r="9718" spans="1:27" ht="21" customHeight="1" x14ac:dyDescent="0.95">
      <c r="A9718" s="56"/>
      <c r="B9718" s="57"/>
      <c r="C9718" s="57"/>
      <c r="D9718" s="57"/>
      <c r="E9718" s="56"/>
      <c r="F9718" s="57"/>
      <c r="G9718" s="57"/>
      <c r="H9718" s="56"/>
      <c r="I9718" s="56"/>
      <c r="J9718" s="58"/>
      <c r="K9718" s="58"/>
      <c r="L9718" s="13" t="str">
        <f t="shared" si="1602"/>
        <v/>
      </c>
      <c r="M9718" s="13" t="str">
        <f t="shared" si="1603"/>
        <v/>
      </c>
      <c r="Q9718" t="str">
        <f t="shared" si="1604"/>
        <v/>
      </c>
      <c r="R9718" t="str">
        <f t="shared" si="1605"/>
        <v/>
      </c>
      <c r="S9718" t="str">
        <f t="shared" si="1606"/>
        <v/>
      </c>
      <c r="T9718" t="str">
        <f t="shared" si="1607"/>
        <v/>
      </c>
      <c r="U9718" t="str">
        <f t="shared" si="1608"/>
        <v/>
      </c>
      <c r="V9718" t="str">
        <f t="shared" si="1609"/>
        <v/>
      </c>
      <c r="W9718" t="str">
        <f t="shared" si="1610"/>
        <v/>
      </c>
      <c r="X9718">
        <f t="shared" si="1612"/>
        <v>0</v>
      </c>
      <c r="Z9718" t="str">
        <f t="shared" si="1611"/>
        <v/>
      </c>
      <c r="AA9718">
        <f t="shared" si="1613"/>
        <v>0</v>
      </c>
    </row>
    <row r="9719" spans="1:27" ht="21" customHeight="1" x14ac:dyDescent="0.95">
      <c r="A9719" s="56"/>
      <c r="B9719" s="57"/>
      <c r="C9719" s="57"/>
      <c r="D9719" s="57"/>
      <c r="E9719" s="56"/>
      <c r="F9719" s="57"/>
      <c r="G9719" s="57"/>
      <c r="H9719" s="56"/>
      <c r="I9719" s="56"/>
      <c r="J9719" s="58"/>
      <c r="K9719" s="58"/>
      <c r="L9719" s="13" t="str">
        <f t="shared" si="1602"/>
        <v/>
      </c>
      <c r="M9719" s="13" t="str">
        <f t="shared" si="1603"/>
        <v/>
      </c>
      <c r="Q9719" t="str">
        <f t="shared" si="1604"/>
        <v/>
      </c>
      <c r="R9719" t="str">
        <f t="shared" si="1605"/>
        <v/>
      </c>
      <c r="S9719" t="str">
        <f t="shared" si="1606"/>
        <v/>
      </c>
      <c r="T9719" t="str">
        <f t="shared" si="1607"/>
        <v/>
      </c>
      <c r="U9719" t="str">
        <f t="shared" si="1608"/>
        <v/>
      </c>
      <c r="V9719" t="str">
        <f t="shared" si="1609"/>
        <v/>
      </c>
      <c r="W9719" t="str">
        <f t="shared" si="1610"/>
        <v/>
      </c>
      <c r="X9719">
        <f t="shared" si="1612"/>
        <v>0</v>
      </c>
      <c r="Z9719" t="str">
        <f t="shared" si="1611"/>
        <v/>
      </c>
      <c r="AA9719">
        <f t="shared" si="1613"/>
        <v>0</v>
      </c>
    </row>
    <row r="9720" spans="1:27" ht="21" customHeight="1" x14ac:dyDescent="0.95">
      <c r="A9720" s="56"/>
      <c r="B9720" s="57"/>
      <c r="C9720" s="57"/>
      <c r="D9720" s="57"/>
      <c r="E9720" s="56"/>
      <c r="F9720" s="57"/>
      <c r="G9720" s="57"/>
      <c r="H9720" s="56"/>
      <c r="I9720" s="56"/>
      <c r="J9720" s="58"/>
      <c r="K9720" s="58"/>
      <c r="L9720" s="13" t="str">
        <f t="shared" si="1602"/>
        <v/>
      </c>
      <c r="M9720" s="13" t="str">
        <f t="shared" si="1603"/>
        <v/>
      </c>
      <c r="Q9720" t="str">
        <f t="shared" si="1604"/>
        <v/>
      </c>
      <c r="R9720" t="str">
        <f t="shared" si="1605"/>
        <v/>
      </c>
      <c r="S9720" t="str">
        <f t="shared" si="1606"/>
        <v/>
      </c>
      <c r="T9720" t="str">
        <f t="shared" si="1607"/>
        <v/>
      </c>
      <c r="U9720" t="str">
        <f t="shared" si="1608"/>
        <v/>
      </c>
      <c r="V9720" t="str">
        <f t="shared" si="1609"/>
        <v/>
      </c>
      <c r="W9720" t="str">
        <f t="shared" si="1610"/>
        <v/>
      </c>
      <c r="X9720">
        <f t="shared" si="1612"/>
        <v>0</v>
      </c>
      <c r="Z9720" t="str">
        <f t="shared" si="1611"/>
        <v/>
      </c>
      <c r="AA9720">
        <f t="shared" si="1613"/>
        <v>0</v>
      </c>
    </row>
    <row r="9721" spans="1:27" ht="21" customHeight="1" x14ac:dyDescent="0.95">
      <c r="A9721" s="56"/>
      <c r="B9721" s="57"/>
      <c r="C9721" s="57"/>
      <c r="D9721" s="57"/>
      <c r="E9721" s="56"/>
      <c r="F9721" s="57"/>
      <c r="G9721" s="57"/>
      <c r="H9721" s="56"/>
      <c r="I9721" s="56"/>
      <c r="J9721" s="58"/>
      <c r="K9721" s="58"/>
      <c r="L9721" s="13" t="str">
        <f t="shared" si="1602"/>
        <v/>
      </c>
      <c r="M9721" s="13" t="str">
        <f t="shared" si="1603"/>
        <v/>
      </c>
      <c r="Q9721" t="str">
        <f t="shared" si="1604"/>
        <v/>
      </c>
      <c r="R9721" t="str">
        <f t="shared" si="1605"/>
        <v/>
      </c>
      <c r="S9721" t="str">
        <f t="shared" si="1606"/>
        <v/>
      </c>
      <c r="T9721" t="str">
        <f t="shared" si="1607"/>
        <v/>
      </c>
      <c r="U9721" t="str">
        <f t="shared" si="1608"/>
        <v/>
      </c>
      <c r="V9721" t="str">
        <f t="shared" si="1609"/>
        <v/>
      </c>
      <c r="W9721" t="str">
        <f t="shared" si="1610"/>
        <v/>
      </c>
      <c r="X9721">
        <f t="shared" si="1612"/>
        <v>0</v>
      </c>
      <c r="Z9721" t="str">
        <f t="shared" si="1611"/>
        <v/>
      </c>
      <c r="AA9721">
        <f t="shared" si="1613"/>
        <v>0</v>
      </c>
    </row>
    <row r="9722" spans="1:27" ht="21" customHeight="1" x14ac:dyDescent="0.95">
      <c r="A9722" s="56"/>
      <c r="B9722" s="57"/>
      <c r="C9722" s="57"/>
      <c r="D9722" s="57"/>
      <c r="E9722" s="56"/>
      <c r="F9722" s="57"/>
      <c r="G9722" s="57"/>
      <c r="H9722" s="56"/>
      <c r="I9722" s="56"/>
      <c r="J9722" s="58"/>
      <c r="K9722" s="58"/>
      <c r="L9722" s="13" t="str">
        <f t="shared" si="1602"/>
        <v/>
      </c>
      <c r="M9722" s="13" t="str">
        <f t="shared" si="1603"/>
        <v/>
      </c>
      <c r="Q9722" t="str">
        <f t="shared" si="1604"/>
        <v/>
      </c>
      <c r="R9722" t="str">
        <f t="shared" si="1605"/>
        <v/>
      </c>
      <c r="S9722" t="str">
        <f t="shared" si="1606"/>
        <v/>
      </c>
      <c r="T9722" t="str">
        <f t="shared" si="1607"/>
        <v/>
      </c>
      <c r="U9722" t="str">
        <f t="shared" si="1608"/>
        <v/>
      </c>
      <c r="V9722" t="str">
        <f t="shared" si="1609"/>
        <v/>
      </c>
      <c r="W9722" t="str">
        <f t="shared" si="1610"/>
        <v/>
      </c>
      <c r="X9722">
        <f t="shared" si="1612"/>
        <v>0</v>
      </c>
      <c r="Z9722" t="str">
        <f t="shared" si="1611"/>
        <v/>
      </c>
      <c r="AA9722">
        <f t="shared" si="1613"/>
        <v>0</v>
      </c>
    </row>
    <row r="9723" spans="1:27" ht="21" customHeight="1" x14ac:dyDescent="0.95">
      <c r="A9723" s="56"/>
      <c r="B9723" s="57"/>
      <c r="C9723" s="57"/>
      <c r="D9723" s="57"/>
      <c r="E9723" s="56"/>
      <c r="F9723" s="57"/>
      <c r="G9723" s="57"/>
      <c r="H9723" s="56"/>
      <c r="I9723" s="56"/>
      <c r="J9723" s="58"/>
      <c r="K9723" s="58"/>
      <c r="L9723" s="13" t="str">
        <f t="shared" si="1602"/>
        <v/>
      </c>
      <c r="M9723" s="13" t="str">
        <f t="shared" si="1603"/>
        <v/>
      </c>
      <c r="Q9723" t="str">
        <f t="shared" si="1604"/>
        <v/>
      </c>
      <c r="R9723" t="str">
        <f t="shared" si="1605"/>
        <v/>
      </c>
      <c r="S9723" t="str">
        <f t="shared" si="1606"/>
        <v/>
      </c>
      <c r="T9723" t="str">
        <f t="shared" si="1607"/>
        <v/>
      </c>
      <c r="U9723" t="str">
        <f t="shared" si="1608"/>
        <v/>
      </c>
      <c r="V9723" t="str">
        <f t="shared" si="1609"/>
        <v/>
      </c>
      <c r="W9723" t="str">
        <f t="shared" si="1610"/>
        <v/>
      </c>
      <c r="X9723">
        <f t="shared" si="1612"/>
        <v>0</v>
      </c>
      <c r="Z9723" t="str">
        <f t="shared" si="1611"/>
        <v/>
      </c>
      <c r="AA9723">
        <f t="shared" si="1613"/>
        <v>0</v>
      </c>
    </row>
    <row r="9724" spans="1:27" ht="21" customHeight="1" x14ac:dyDescent="0.95">
      <c r="A9724" s="56"/>
      <c r="B9724" s="57"/>
      <c r="C9724" s="57"/>
      <c r="D9724" s="57"/>
      <c r="E9724" s="56"/>
      <c r="F9724" s="57"/>
      <c r="G9724" s="57"/>
      <c r="H9724" s="56"/>
      <c r="I9724" s="56"/>
      <c r="J9724" s="58"/>
      <c r="K9724" s="58"/>
      <c r="L9724" s="13" t="str">
        <f t="shared" si="1602"/>
        <v/>
      </c>
      <c r="M9724" s="13" t="str">
        <f t="shared" si="1603"/>
        <v/>
      </c>
      <c r="Q9724" t="str">
        <f t="shared" si="1604"/>
        <v/>
      </c>
      <c r="R9724" t="str">
        <f t="shared" si="1605"/>
        <v/>
      </c>
      <c r="S9724" t="str">
        <f t="shared" si="1606"/>
        <v/>
      </c>
      <c r="T9724" t="str">
        <f t="shared" si="1607"/>
        <v/>
      </c>
      <c r="U9724" t="str">
        <f t="shared" si="1608"/>
        <v/>
      </c>
      <c r="V9724" t="str">
        <f t="shared" si="1609"/>
        <v/>
      </c>
      <c r="W9724" t="str">
        <f t="shared" si="1610"/>
        <v/>
      </c>
      <c r="X9724">
        <f t="shared" si="1612"/>
        <v>0</v>
      </c>
      <c r="Z9724" t="str">
        <f t="shared" si="1611"/>
        <v/>
      </c>
      <c r="AA9724">
        <f t="shared" si="1613"/>
        <v>0</v>
      </c>
    </row>
    <row r="9725" spans="1:27" ht="21" customHeight="1" x14ac:dyDescent="0.95">
      <c r="A9725" s="56"/>
      <c r="B9725" s="57"/>
      <c r="C9725" s="57"/>
      <c r="D9725" s="57"/>
      <c r="E9725" s="56"/>
      <c r="F9725" s="57"/>
      <c r="G9725" s="57"/>
      <c r="H9725" s="56"/>
      <c r="I9725" s="56"/>
      <c r="J9725" s="58"/>
      <c r="K9725" s="58"/>
      <c r="L9725" s="13" t="str">
        <f t="shared" si="1602"/>
        <v/>
      </c>
      <c r="M9725" s="13" t="str">
        <f t="shared" si="1603"/>
        <v/>
      </c>
      <c r="Q9725" t="str">
        <f t="shared" si="1604"/>
        <v/>
      </c>
      <c r="R9725" t="str">
        <f t="shared" si="1605"/>
        <v/>
      </c>
      <c r="S9725" t="str">
        <f t="shared" si="1606"/>
        <v/>
      </c>
      <c r="T9725" t="str">
        <f t="shared" si="1607"/>
        <v/>
      </c>
      <c r="U9725" t="str">
        <f t="shared" si="1608"/>
        <v/>
      </c>
      <c r="V9725" t="str">
        <f t="shared" si="1609"/>
        <v/>
      </c>
      <c r="W9725" t="str">
        <f t="shared" si="1610"/>
        <v/>
      </c>
      <c r="X9725">
        <f t="shared" si="1612"/>
        <v>0</v>
      </c>
      <c r="Z9725" t="str">
        <f t="shared" si="1611"/>
        <v/>
      </c>
      <c r="AA9725">
        <f t="shared" si="1613"/>
        <v>0</v>
      </c>
    </row>
    <row r="9726" spans="1:27" ht="21" customHeight="1" x14ac:dyDescent="0.95">
      <c r="A9726" s="56"/>
      <c r="B9726" s="57"/>
      <c r="C9726" s="57"/>
      <c r="D9726" s="57"/>
      <c r="E9726" s="56"/>
      <c r="F9726" s="57"/>
      <c r="G9726" s="57"/>
      <c r="H9726" s="56"/>
      <c r="I9726" s="56"/>
      <c r="J9726" s="58"/>
      <c r="K9726" s="58"/>
      <c r="L9726" s="13" t="str">
        <f t="shared" si="1602"/>
        <v/>
      </c>
      <c r="M9726" s="13" t="str">
        <f t="shared" si="1603"/>
        <v/>
      </c>
      <c r="Q9726" t="str">
        <f t="shared" si="1604"/>
        <v/>
      </c>
      <c r="R9726" t="str">
        <f t="shared" si="1605"/>
        <v/>
      </c>
      <c r="S9726" t="str">
        <f t="shared" si="1606"/>
        <v/>
      </c>
      <c r="T9726" t="str">
        <f t="shared" si="1607"/>
        <v/>
      </c>
      <c r="U9726" t="str">
        <f t="shared" si="1608"/>
        <v/>
      </c>
      <c r="V9726" t="str">
        <f t="shared" si="1609"/>
        <v/>
      </c>
      <c r="W9726" t="str">
        <f t="shared" si="1610"/>
        <v/>
      </c>
      <c r="X9726">
        <f t="shared" si="1612"/>
        <v>0</v>
      </c>
      <c r="Z9726" t="str">
        <f t="shared" si="1611"/>
        <v/>
      </c>
      <c r="AA9726">
        <f t="shared" si="1613"/>
        <v>0</v>
      </c>
    </row>
    <row r="9727" spans="1:27" ht="21" customHeight="1" x14ac:dyDescent="0.95">
      <c r="A9727" s="56"/>
      <c r="B9727" s="57"/>
      <c r="C9727" s="57"/>
      <c r="D9727" s="57"/>
      <c r="E9727" s="56"/>
      <c r="F9727" s="57"/>
      <c r="G9727" s="57"/>
      <c r="H9727" s="56"/>
      <c r="I9727" s="56"/>
      <c r="J9727" s="58"/>
      <c r="K9727" s="58"/>
      <c r="L9727" s="13" t="str">
        <f t="shared" si="1602"/>
        <v/>
      </c>
      <c r="M9727" s="13" t="str">
        <f t="shared" si="1603"/>
        <v/>
      </c>
      <c r="Q9727" t="str">
        <f t="shared" si="1604"/>
        <v/>
      </c>
      <c r="R9727" t="str">
        <f t="shared" si="1605"/>
        <v/>
      </c>
      <c r="S9727" t="str">
        <f t="shared" si="1606"/>
        <v/>
      </c>
      <c r="T9727" t="str">
        <f t="shared" si="1607"/>
        <v/>
      </c>
      <c r="U9727" t="str">
        <f t="shared" si="1608"/>
        <v/>
      </c>
      <c r="V9727" t="str">
        <f t="shared" si="1609"/>
        <v/>
      </c>
      <c r="W9727" t="str">
        <f t="shared" si="1610"/>
        <v/>
      </c>
      <c r="X9727">
        <f t="shared" si="1612"/>
        <v>0</v>
      </c>
      <c r="Z9727" t="str">
        <f t="shared" si="1611"/>
        <v/>
      </c>
      <c r="AA9727">
        <f t="shared" si="1613"/>
        <v>0</v>
      </c>
    </row>
    <row r="9728" spans="1:27" ht="21" customHeight="1" x14ac:dyDescent="0.95">
      <c r="A9728" s="56"/>
      <c r="B9728" s="57"/>
      <c r="C9728" s="57"/>
      <c r="D9728" s="57"/>
      <c r="E9728" s="56"/>
      <c r="F9728" s="57"/>
      <c r="G9728" s="57"/>
      <c r="H9728" s="56"/>
      <c r="I9728" s="56"/>
      <c r="J9728" s="58"/>
      <c r="K9728" s="58"/>
      <c r="L9728" s="13" t="str">
        <f t="shared" si="1602"/>
        <v/>
      </c>
      <c r="M9728" s="13" t="str">
        <f t="shared" si="1603"/>
        <v/>
      </c>
      <c r="Q9728" t="str">
        <f t="shared" si="1604"/>
        <v/>
      </c>
      <c r="R9728" t="str">
        <f t="shared" si="1605"/>
        <v/>
      </c>
      <c r="S9728" t="str">
        <f t="shared" si="1606"/>
        <v/>
      </c>
      <c r="T9728" t="str">
        <f t="shared" si="1607"/>
        <v/>
      </c>
      <c r="U9728" t="str">
        <f t="shared" si="1608"/>
        <v/>
      </c>
      <c r="V9728" t="str">
        <f t="shared" si="1609"/>
        <v/>
      </c>
      <c r="W9728" t="str">
        <f t="shared" si="1610"/>
        <v/>
      </c>
      <c r="X9728">
        <f t="shared" si="1612"/>
        <v>0</v>
      </c>
      <c r="Z9728" t="str">
        <f t="shared" si="1611"/>
        <v/>
      </c>
      <c r="AA9728">
        <f t="shared" si="1613"/>
        <v>0</v>
      </c>
    </row>
    <row r="9729" spans="1:27" ht="21" customHeight="1" x14ac:dyDescent="0.95">
      <c r="A9729" s="56"/>
      <c r="B9729" s="57"/>
      <c r="C9729" s="57"/>
      <c r="D9729" s="57"/>
      <c r="E9729" s="56"/>
      <c r="F9729" s="57"/>
      <c r="G9729" s="57"/>
      <c r="H9729" s="56"/>
      <c r="I9729" s="56"/>
      <c r="J9729" s="58"/>
      <c r="K9729" s="58"/>
      <c r="L9729" s="13" t="str">
        <f t="shared" si="1602"/>
        <v/>
      </c>
      <c r="M9729" s="13" t="str">
        <f t="shared" si="1603"/>
        <v/>
      </c>
      <c r="Q9729" t="str">
        <f t="shared" si="1604"/>
        <v/>
      </c>
      <c r="R9729" t="str">
        <f t="shared" si="1605"/>
        <v/>
      </c>
      <c r="S9729" t="str">
        <f t="shared" si="1606"/>
        <v/>
      </c>
      <c r="T9729" t="str">
        <f t="shared" si="1607"/>
        <v/>
      </c>
      <c r="U9729" t="str">
        <f t="shared" si="1608"/>
        <v/>
      </c>
      <c r="V9729" t="str">
        <f t="shared" si="1609"/>
        <v/>
      </c>
      <c r="W9729" t="str">
        <f t="shared" si="1610"/>
        <v/>
      </c>
      <c r="X9729">
        <f t="shared" si="1612"/>
        <v>0</v>
      </c>
      <c r="Z9729" t="str">
        <f t="shared" si="1611"/>
        <v/>
      </c>
      <c r="AA9729">
        <f t="shared" si="1613"/>
        <v>0</v>
      </c>
    </row>
    <row r="9730" spans="1:27" ht="21" customHeight="1" x14ac:dyDescent="0.95">
      <c r="A9730" s="56"/>
      <c r="B9730" s="57"/>
      <c r="C9730" s="57"/>
      <c r="D9730" s="57"/>
      <c r="E9730" s="56"/>
      <c r="F9730" s="57"/>
      <c r="G9730" s="57"/>
      <c r="H9730" s="56"/>
      <c r="I9730" s="56"/>
      <c r="J9730" s="58"/>
      <c r="K9730" s="58"/>
      <c r="L9730" s="13" t="str">
        <f t="shared" si="1602"/>
        <v/>
      </c>
      <c r="M9730" s="13" t="str">
        <f t="shared" si="1603"/>
        <v/>
      </c>
      <c r="Q9730" t="str">
        <f t="shared" si="1604"/>
        <v/>
      </c>
      <c r="R9730" t="str">
        <f t="shared" si="1605"/>
        <v/>
      </c>
      <c r="S9730" t="str">
        <f t="shared" si="1606"/>
        <v/>
      </c>
      <c r="T9730" t="str">
        <f t="shared" si="1607"/>
        <v/>
      </c>
      <c r="U9730" t="str">
        <f t="shared" si="1608"/>
        <v/>
      </c>
      <c r="V9730" t="str">
        <f t="shared" si="1609"/>
        <v/>
      </c>
      <c r="W9730" t="str">
        <f t="shared" si="1610"/>
        <v/>
      </c>
      <c r="X9730">
        <f t="shared" si="1612"/>
        <v>0</v>
      </c>
      <c r="Z9730" t="str">
        <f t="shared" si="1611"/>
        <v/>
      </c>
      <c r="AA9730">
        <f t="shared" si="1613"/>
        <v>0</v>
      </c>
    </row>
    <row r="9731" spans="1:27" ht="21" customHeight="1" x14ac:dyDescent="0.95">
      <c r="A9731" s="56"/>
      <c r="B9731" s="57"/>
      <c r="C9731" s="57"/>
      <c r="D9731" s="57"/>
      <c r="E9731" s="56"/>
      <c r="F9731" s="57"/>
      <c r="G9731" s="57"/>
      <c r="H9731" s="56"/>
      <c r="I9731" s="56"/>
      <c r="J9731" s="58"/>
      <c r="K9731" s="58"/>
      <c r="L9731" s="13" t="str">
        <f t="shared" si="1602"/>
        <v/>
      </c>
      <c r="M9731" s="13" t="str">
        <f t="shared" si="1603"/>
        <v/>
      </c>
      <c r="Q9731" t="str">
        <f t="shared" si="1604"/>
        <v/>
      </c>
      <c r="R9731" t="str">
        <f t="shared" si="1605"/>
        <v/>
      </c>
      <c r="S9731" t="str">
        <f t="shared" si="1606"/>
        <v/>
      </c>
      <c r="T9731" t="str">
        <f t="shared" si="1607"/>
        <v/>
      </c>
      <c r="U9731" t="str">
        <f t="shared" si="1608"/>
        <v/>
      </c>
      <c r="V9731" t="str">
        <f t="shared" si="1609"/>
        <v/>
      </c>
      <c r="W9731" t="str">
        <f t="shared" si="1610"/>
        <v/>
      </c>
      <c r="X9731">
        <f t="shared" si="1612"/>
        <v>0</v>
      </c>
      <c r="Z9731" t="str">
        <f t="shared" si="1611"/>
        <v/>
      </c>
      <c r="AA9731">
        <f t="shared" si="1613"/>
        <v>0</v>
      </c>
    </row>
    <row r="9732" spans="1:27" ht="21" customHeight="1" x14ac:dyDescent="0.95">
      <c r="A9732" s="56"/>
      <c r="B9732" s="57"/>
      <c r="C9732" s="57"/>
      <c r="D9732" s="57"/>
      <c r="E9732" s="56"/>
      <c r="F9732" s="57"/>
      <c r="G9732" s="57"/>
      <c r="H9732" s="56"/>
      <c r="I9732" s="56"/>
      <c r="J9732" s="58"/>
      <c r="K9732" s="58"/>
      <c r="L9732" s="13" t="str">
        <f t="shared" ref="L9732:L9795" si="1614">IF(OR($A9732="",AND($J9732="",$K9732="")),"",ROUND(N($J9732)-N($K9732),2))</f>
        <v/>
      </c>
      <c r="M9732" s="13" t="str">
        <f t="shared" ref="M9732:M9795" si="1615">IF(OR($A9732="",AND($J9732="",$K9732="")),"",MIN($J9732,$K9732))</f>
        <v/>
      </c>
      <c r="Q9732" t="str">
        <f t="shared" ref="Q9732:Q9795" si="1616">IF($A9732="","",$D9732&amp;"("&amp;SUBSTITUTE($E9732," ","")&amp;")")</f>
        <v/>
      </c>
      <c r="R9732" t="str">
        <f t="shared" ref="R9732:R9795" si="1617">IF($A9732="","",$B9732&amp;" - "&amp;$C9732)</f>
        <v/>
      </c>
      <c r="S9732" t="str">
        <f t="shared" ref="S9732:S9795" si="1618">IF($A9732="","",$R9732&amp;"|"&amp;$Q9732)</f>
        <v/>
      </c>
      <c r="T9732" t="str">
        <f t="shared" ref="T9732:T9795" si="1619">IF($A9732="","",$S9732&amp;"|"&amp;$F9732)</f>
        <v/>
      </c>
      <c r="U9732" t="str">
        <f t="shared" ref="U9732:U9795" si="1620">IF($A9732="","",$R9732&amp;"("&amp;$E9732&amp;")")</f>
        <v/>
      </c>
      <c r="V9732" t="str">
        <f t="shared" ref="V9732:V9795" si="1621">IF($A9732="","",$F9732&amp;"|"&amp;$U9732&amp;"|"&amp;$D9732)</f>
        <v/>
      </c>
      <c r="W9732" t="str">
        <f t="shared" si="1610"/>
        <v/>
      </c>
      <c r="X9732">
        <f t="shared" si="1612"/>
        <v>0</v>
      </c>
      <c r="Z9732" t="str">
        <f t="shared" si="1611"/>
        <v/>
      </c>
      <c r="AA9732">
        <f t="shared" si="1613"/>
        <v>0</v>
      </c>
    </row>
    <row r="9733" spans="1:27" ht="21" customHeight="1" x14ac:dyDescent="0.95">
      <c r="A9733" s="56"/>
      <c r="B9733" s="57"/>
      <c r="C9733" s="57"/>
      <c r="D9733" s="57"/>
      <c r="E9733" s="56"/>
      <c r="F9733" s="57"/>
      <c r="G9733" s="57"/>
      <c r="H9733" s="56"/>
      <c r="I9733" s="56"/>
      <c r="J9733" s="58"/>
      <c r="K9733" s="58"/>
      <c r="L9733" s="13" t="str">
        <f t="shared" si="1614"/>
        <v/>
      </c>
      <c r="M9733" s="13" t="str">
        <f t="shared" si="1615"/>
        <v/>
      </c>
      <c r="Q9733" t="str">
        <f t="shared" si="1616"/>
        <v/>
      </c>
      <c r="R9733" t="str">
        <f t="shared" si="1617"/>
        <v/>
      </c>
      <c r="S9733" t="str">
        <f t="shared" si="1618"/>
        <v/>
      </c>
      <c r="T9733" t="str">
        <f t="shared" si="1619"/>
        <v/>
      </c>
      <c r="U9733" t="str">
        <f t="shared" si="1620"/>
        <v/>
      </c>
      <c r="V9733" t="str">
        <f t="shared" si="1621"/>
        <v/>
      </c>
      <c r="W9733" t="str">
        <f t="shared" si="1610"/>
        <v/>
      </c>
      <c r="X9733">
        <f t="shared" si="1612"/>
        <v>0</v>
      </c>
      <c r="Z9733" t="str">
        <f t="shared" si="1611"/>
        <v/>
      </c>
      <c r="AA9733">
        <f t="shared" si="1613"/>
        <v>0</v>
      </c>
    </row>
    <row r="9734" spans="1:27" ht="21" customHeight="1" x14ac:dyDescent="0.95">
      <c r="A9734" s="56"/>
      <c r="B9734" s="57"/>
      <c r="C9734" s="57"/>
      <c r="D9734" s="57"/>
      <c r="E9734" s="56"/>
      <c r="F9734" s="57"/>
      <c r="G9734" s="57"/>
      <c r="H9734" s="56"/>
      <c r="I9734" s="56"/>
      <c r="J9734" s="58"/>
      <c r="K9734" s="58"/>
      <c r="L9734" s="13" t="str">
        <f t="shared" si="1614"/>
        <v/>
      </c>
      <c r="M9734" s="13" t="str">
        <f t="shared" si="1615"/>
        <v/>
      </c>
      <c r="Q9734" t="str">
        <f t="shared" si="1616"/>
        <v/>
      </c>
      <c r="R9734" t="str">
        <f t="shared" si="1617"/>
        <v/>
      </c>
      <c r="S9734" t="str">
        <f t="shared" si="1618"/>
        <v/>
      </c>
      <c r="T9734" t="str">
        <f t="shared" si="1619"/>
        <v/>
      </c>
      <c r="U9734" t="str">
        <f t="shared" si="1620"/>
        <v/>
      </c>
      <c r="V9734" t="str">
        <f t="shared" si="1621"/>
        <v/>
      </c>
      <c r="W9734" t="str">
        <f t="shared" ref="W9734:W9797" si="1622">IF($T9734="","",IF($X9734&gt;N($X9733),$X9734,""))</f>
        <v/>
      </c>
      <c r="X9734">
        <f t="shared" si="1612"/>
        <v>0</v>
      </c>
      <c r="Z9734" t="str">
        <f t="shared" ref="Z9734:Z9797" si="1623">IF($V9734="","",IF($AA9734&gt;N($AA9733),$AA9734,""))</f>
        <v/>
      </c>
      <c r="AA9734">
        <f t="shared" si="1613"/>
        <v>0</v>
      </c>
    </row>
    <row r="9735" spans="1:27" ht="21" customHeight="1" x14ac:dyDescent="0.95">
      <c r="A9735" s="56"/>
      <c r="B9735" s="57"/>
      <c r="C9735" s="57"/>
      <c r="D9735" s="57"/>
      <c r="E9735" s="56"/>
      <c r="F9735" s="57"/>
      <c r="G9735" s="57"/>
      <c r="H9735" s="56"/>
      <c r="I9735" s="56"/>
      <c r="J9735" s="58"/>
      <c r="K9735" s="58"/>
      <c r="L9735" s="13" t="str">
        <f t="shared" si="1614"/>
        <v/>
      </c>
      <c r="M9735" s="13" t="str">
        <f t="shared" si="1615"/>
        <v/>
      </c>
      <c r="Q9735" t="str">
        <f t="shared" si="1616"/>
        <v/>
      </c>
      <c r="R9735" t="str">
        <f t="shared" si="1617"/>
        <v/>
      </c>
      <c r="S9735" t="str">
        <f t="shared" si="1618"/>
        <v/>
      </c>
      <c r="T9735" t="str">
        <f t="shared" si="1619"/>
        <v/>
      </c>
      <c r="U9735" t="str">
        <f t="shared" si="1620"/>
        <v/>
      </c>
      <c r="V9735" t="str">
        <f t="shared" si="1621"/>
        <v/>
      </c>
      <c r="W9735" t="str">
        <f t="shared" si="1622"/>
        <v/>
      </c>
      <c r="X9735">
        <f t="shared" si="1612"/>
        <v>0</v>
      </c>
      <c r="Z9735" t="str">
        <f t="shared" si="1623"/>
        <v/>
      </c>
      <c r="AA9735">
        <f t="shared" si="1613"/>
        <v>0</v>
      </c>
    </row>
    <row r="9736" spans="1:27" ht="21" customHeight="1" x14ac:dyDescent="0.95">
      <c r="A9736" s="56"/>
      <c r="B9736" s="57"/>
      <c r="C9736" s="57"/>
      <c r="D9736" s="57"/>
      <c r="E9736" s="56"/>
      <c r="F9736" s="57"/>
      <c r="G9736" s="57"/>
      <c r="H9736" s="56"/>
      <c r="I9736" s="56"/>
      <c r="J9736" s="58"/>
      <c r="K9736" s="58"/>
      <c r="L9736" s="13" t="str">
        <f t="shared" si="1614"/>
        <v/>
      </c>
      <c r="M9736" s="13" t="str">
        <f t="shared" si="1615"/>
        <v/>
      </c>
      <c r="Q9736" t="str">
        <f t="shared" si="1616"/>
        <v/>
      </c>
      <c r="R9736" t="str">
        <f t="shared" si="1617"/>
        <v/>
      </c>
      <c r="S9736" t="str">
        <f t="shared" si="1618"/>
        <v/>
      </c>
      <c r="T9736" t="str">
        <f t="shared" si="1619"/>
        <v/>
      </c>
      <c r="U9736" t="str">
        <f t="shared" si="1620"/>
        <v/>
      </c>
      <c r="V9736" t="str">
        <f t="shared" si="1621"/>
        <v/>
      </c>
      <c r="W9736" t="str">
        <f t="shared" si="1622"/>
        <v/>
      </c>
      <c r="X9736">
        <f t="shared" si="1612"/>
        <v>0</v>
      </c>
      <c r="Z9736" t="str">
        <f t="shared" si="1623"/>
        <v/>
      </c>
      <c r="AA9736">
        <f t="shared" si="1613"/>
        <v>0</v>
      </c>
    </row>
    <row r="9737" spans="1:27" ht="21" customHeight="1" x14ac:dyDescent="0.95">
      <c r="A9737" s="56"/>
      <c r="B9737" s="57"/>
      <c r="C9737" s="57"/>
      <c r="D9737" s="57"/>
      <c r="E9737" s="56"/>
      <c r="F9737" s="57"/>
      <c r="G9737" s="57"/>
      <c r="H9737" s="56"/>
      <c r="I9737" s="56"/>
      <c r="J9737" s="58"/>
      <c r="K9737" s="58"/>
      <c r="L9737" s="13" t="str">
        <f t="shared" si="1614"/>
        <v/>
      </c>
      <c r="M9737" s="13" t="str">
        <f t="shared" si="1615"/>
        <v/>
      </c>
      <c r="Q9737" t="str">
        <f t="shared" si="1616"/>
        <v/>
      </c>
      <c r="R9737" t="str">
        <f t="shared" si="1617"/>
        <v/>
      </c>
      <c r="S9737" t="str">
        <f t="shared" si="1618"/>
        <v/>
      </c>
      <c r="T9737" t="str">
        <f t="shared" si="1619"/>
        <v/>
      </c>
      <c r="U9737" t="str">
        <f t="shared" si="1620"/>
        <v/>
      </c>
      <c r="V9737" t="str">
        <f t="shared" si="1621"/>
        <v/>
      </c>
      <c r="W9737" t="str">
        <f t="shared" si="1622"/>
        <v/>
      </c>
      <c r="X9737">
        <f t="shared" si="1612"/>
        <v>0</v>
      </c>
      <c r="Z9737" t="str">
        <f t="shared" si="1623"/>
        <v/>
      </c>
      <c r="AA9737">
        <f t="shared" si="1613"/>
        <v>0</v>
      </c>
    </row>
    <row r="9738" spans="1:27" ht="21" customHeight="1" x14ac:dyDescent="0.95">
      <c r="A9738" s="56"/>
      <c r="B9738" s="57"/>
      <c r="C9738" s="57"/>
      <c r="D9738" s="57"/>
      <c r="E9738" s="56"/>
      <c r="F9738" s="57"/>
      <c r="G9738" s="57"/>
      <c r="H9738" s="56"/>
      <c r="I9738" s="56"/>
      <c r="J9738" s="58"/>
      <c r="K9738" s="58"/>
      <c r="L9738" s="13" t="str">
        <f t="shared" si="1614"/>
        <v/>
      </c>
      <c r="M9738" s="13" t="str">
        <f t="shared" si="1615"/>
        <v/>
      </c>
      <c r="Q9738" t="str">
        <f t="shared" si="1616"/>
        <v/>
      </c>
      <c r="R9738" t="str">
        <f t="shared" si="1617"/>
        <v/>
      </c>
      <c r="S9738" t="str">
        <f t="shared" si="1618"/>
        <v/>
      </c>
      <c r="T9738" t="str">
        <f t="shared" si="1619"/>
        <v/>
      </c>
      <c r="U9738" t="str">
        <f t="shared" si="1620"/>
        <v/>
      </c>
      <c r="V9738" t="str">
        <f t="shared" si="1621"/>
        <v/>
      </c>
      <c r="W9738" t="str">
        <f t="shared" si="1622"/>
        <v/>
      </c>
      <c r="X9738">
        <f t="shared" si="1612"/>
        <v>0</v>
      </c>
      <c r="Z9738" t="str">
        <f t="shared" si="1623"/>
        <v/>
      </c>
      <c r="AA9738">
        <f t="shared" si="1613"/>
        <v>0</v>
      </c>
    </row>
    <row r="9739" spans="1:27" ht="21" customHeight="1" x14ac:dyDescent="0.95">
      <c r="A9739" s="56"/>
      <c r="B9739" s="57"/>
      <c r="C9739" s="57"/>
      <c r="D9739" s="57"/>
      <c r="E9739" s="56"/>
      <c r="F9739" s="57"/>
      <c r="G9739" s="57"/>
      <c r="H9739" s="56"/>
      <c r="I9739" s="56"/>
      <c r="J9739" s="58"/>
      <c r="K9739" s="58"/>
      <c r="L9739" s="13" t="str">
        <f t="shared" si="1614"/>
        <v/>
      </c>
      <c r="M9739" s="13" t="str">
        <f t="shared" si="1615"/>
        <v/>
      </c>
      <c r="Q9739" t="str">
        <f t="shared" si="1616"/>
        <v/>
      </c>
      <c r="R9739" t="str">
        <f t="shared" si="1617"/>
        <v/>
      </c>
      <c r="S9739" t="str">
        <f t="shared" si="1618"/>
        <v/>
      </c>
      <c r="T9739" t="str">
        <f t="shared" si="1619"/>
        <v/>
      </c>
      <c r="U9739" t="str">
        <f t="shared" si="1620"/>
        <v/>
      </c>
      <c r="V9739" t="str">
        <f t="shared" si="1621"/>
        <v/>
      </c>
      <c r="W9739" t="str">
        <f t="shared" si="1622"/>
        <v/>
      </c>
      <c r="X9739">
        <f t="shared" si="1612"/>
        <v>0</v>
      </c>
      <c r="Z9739" t="str">
        <f t="shared" si="1623"/>
        <v/>
      </c>
      <c r="AA9739">
        <f t="shared" si="1613"/>
        <v>0</v>
      </c>
    </row>
    <row r="9740" spans="1:27" ht="21" customHeight="1" x14ac:dyDescent="0.95">
      <c r="A9740" s="56"/>
      <c r="B9740" s="57"/>
      <c r="C9740" s="57"/>
      <c r="D9740" s="57"/>
      <c r="E9740" s="56"/>
      <c r="F9740" s="57"/>
      <c r="G9740" s="57"/>
      <c r="H9740" s="56"/>
      <c r="I9740" s="56"/>
      <c r="J9740" s="58"/>
      <c r="K9740" s="58"/>
      <c r="L9740" s="13" t="str">
        <f t="shared" si="1614"/>
        <v/>
      </c>
      <c r="M9740" s="13" t="str">
        <f t="shared" si="1615"/>
        <v/>
      </c>
      <c r="Q9740" t="str">
        <f t="shared" si="1616"/>
        <v/>
      </c>
      <c r="R9740" t="str">
        <f t="shared" si="1617"/>
        <v/>
      </c>
      <c r="S9740" t="str">
        <f t="shared" si="1618"/>
        <v/>
      </c>
      <c r="T9740" t="str">
        <f t="shared" si="1619"/>
        <v/>
      </c>
      <c r="U9740" t="str">
        <f t="shared" si="1620"/>
        <v/>
      </c>
      <c r="V9740" t="str">
        <f t="shared" si="1621"/>
        <v/>
      </c>
      <c r="W9740" t="str">
        <f t="shared" si="1622"/>
        <v/>
      </c>
      <c r="X9740">
        <f t="shared" si="1612"/>
        <v>0</v>
      </c>
      <c r="Z9740" t="str">
        <f t="shared" si="1623"/>
        <v/>
      </c>
      <c r="AA9740">
        <f t="shared" si="1613"/>
        <v>0</v>
      </c>
    </row>
    <row r="9741" spans="1:27" ht="21" customHeight="1" x14ac:dyDescent="0.95">
      <c r="A9741" s="56"/>
      <c r="B9741" s="57"/>
      <c r="C9741" s="57"/>
      <c r="D9741" s="57"/>
      <c r="E9741" s="56"/>
      <c r="F9741" s="57"/>
      <c r="G9741" s="57"/>
      <c r="H9741" s="56"/>
      <c r="I9741" s="56"/>
      <c r="J9741" s="58"/>
      <c r="K9741" s="58"/>
      <c r="L9741" s="13" t="str">
        <f t="shared" si="1614"/>
        <v/>
      </c>
      <c r="M9741" s="13" t="str">
        <f t="shared" si="1615"/>
        <v/>
      </c>
      <c r="Q9741" t="str">
        <f t="shared" si="1616"/>
        <v/>
      </c>
      <c r="R9741" t="str">
        <f t="shared" si="1617"/>
        <v/>
      </c>
      <c r="S9741" t="str">
        <f t="shared" si="1618"/>
        <v/>
      </c>
      <c r="T9741" t="str">
        <f t="shared" si="1619"/>
        <v/>
      </c>
      <c r="U9741" t="str">
        <f t="shared" si="1620"/>
        <v/>
      </c>
      <c r="V9741" t="str">
        <f t="shared" si="1621"/>
        <v/>
      </c>
      <c r="W9741" t="str">
        <f t="shared" si="1622"/>
        <v/>
      </c>
      <c r="X9741">
        <f t="shared" si="1612"/>
        <v>0</v>
      </c>
      <c r="Z9741" t="str">
        <f t="shared" si="1623"/>
        <v/>
      </c>
      <c r="AA9741">
        <f t="shared" si="1613"/>
        <v>0</v>
      </c>
    </row>
    <row r="9742" spans="1:27" ht="21" customHeight="1" x14ac:dyDescent="0.95">
      <c r="A9742" s="56"/>
      <c r="B9742" s="57"/>
      <c r="C9742" s="57"/>
      <c r="D9742" s="57"/>
      <c r="E9742" s="56"/>
      <c r="F9742" s="57"/>
      <c r="G9742" s="57"/>
      <c r="H9742" s="56"/>
      <c r="I9742" s="56"/>
      <c r="J9742" s="58"/>
      <c r="K9742" s="58"/>
      <c r="L9742" s="13" t="str">
        <f t="shared" si="1614"/>
        <v/>
      </c>
      <c r="M9742" s="13" t="str">
        <f t="shared" si="1615"/>
        <v/>
      </c>
      <c r="Q9742" t="str">
        <f t="shared" si="1616"/>
        <v/>
      </c>
      <c r="R9742" t="str">
        <f t="shared" si="1617"/>
        <v/>
      </c>
      <c r="S9742" t="str">
        <f t="shared" si="1618"/>
        <v/>
      </c>
      <c r="T9742" t="str">
        <f t="shared" si="1619"/>
        <v/>
      </c>
      <c r="U9742" t="str">
        <f t="shared" si="1620"/>
        <v/>
      </c>
      <c r="V9742" t="str">
        <f t="shared" si="1621"/>
        <v/>
      </c>
      <c r="W9742" t="str">
        <f t="shared" si="1622"/>
        <v/>
      </c>
      <c r="X9742">
        <f t="shared" si="1612"/>
        <v>0</v>
      </c>
      <c r="Z9742" t="str">
        <f t="shared" si="1623"/>
        <v/>
      </c>
      <c r="AA9742">
        <f t="shared" si="1613"/>
        <v>0</v>
      </c>
    </row>
    <row r="9743" spans="1:27" ht="21" customHeight="1" x14ac:dyDescent="0.95">
      <c r="A9743" s="56"/>
      <c r="B9743" s="57"/>
      <c r="C9743" s="57"/>
      <c r="D9743" s="57"/>
      <c r="E9743" s="56"/>
      <c r="F9743" s="57"/>
      <c r="G9743" s="57"/>
      <c r="H9743" s="56"/>
      <c r="I9743" s="56"/>
      <c r="J9743" s="58"/>
      <c r="K9743" s="58"/>
      <c r="L9743" s="13" t="str">
        <f t="shared" si="1614"/>
        <v/>
      </c>
      <c r="M9743" s="13" t="str">
        <f t="shared" si="1615"/>
        <v/>
      </c>
      <c r="Q9743" t="str">
        <f t="shared" si="1616"/>
        <v/>
      </c>
      <c r="R9743" t="str">
        <f t="shared" si="1617"/>
        <v/>
      </c>
      <c r="S9743" t="str">
        <f t="shared" si="1618"/>
        <v/>
      </c>
      <c r="T9743" t="str">
        <f t="shared" si="1619"/>
        <v/>
      </c>
      <c r="U9743" t="str">
        <f t="shared" si="1620"/>
        <v/>
      </c>
      <c r="V9743" t="str">
        <f t="shared" si="1621"/>
        <v/>
      </c>
      <c r="W9743" t="str">
        <f t="shared" si="1622"/>
        <v/>
      </c>
      <c r="X9743">
        <f t="shared" si="1612"/>
        <v>0</v>
      </c>
      <c r="Z9743" t="str">
        <f t="shared" si="1623"/>
        <v/>
      </c>
      <c r="AA9743">
        <f t="shared" si="1613"/>
        <v>0</v>
      </c>
    </row>
    <row r="9744" spans="1:27" ht="21" customHeight="1" x14ac:dyDescent="0.95">
      <c r="A9744" s="56"/>
      <c r="B9744" s="57"/>
      <c r="C9744" s="57"/>
      <c r="D9744" s="57"/>
      <c r="E9744" s="56"/>
      <c r="F9744" s="57"/>
      <c r="G9744" s="57"/>
      <c r="H9744" s="56"/>
      <c r="I9744" s="56"/>
      <c r="J9744" s="58"/>
      <c r="K9744" s="58"/>
      <c r="L9744" s="13" t="str">
        <f t="shared" si="1614"/>
        <v/>
      </c>
      <c r="M9744" s="13" t="str">
        <f t="shared" si="1615"/>
        <v/>
      </c>
      <c r="Q9744" t="str">
        <f t="shared" si="1616"/>
        <v/>
      </c>
      <c r="R9744" t="str">
        <f t="shared" si="1617"/>
        <v/>
      </c>
      <c r="S9744" t="str">
        <f t="shared" si="1618"/>
        <v/>
      </c>
      <c r="T9744" t="str">
        <f t="shared" si="1619"/>
        <v/>
      </c>
      <c r="U9744" t="str">
        <f t="shared" si="1620"/>
        <v/>
      </c>
      <c r="V9744" t="str">
        <f t="shared" si="1621"/>
        <v/>
      </c>
      <c r="W9744" t="str">
        <f t="shared" si="1622"/>
        <v/>
      </c>
      <c r="X9744">
        <f t="shared" si="1612"/>
        <v>0</v>
      </c>
      <c r="Z9744" t="str">
        <f t="shared" si="1623"/>
        <v/>
      </c>
      <c r="AA9744">
        <f t="shared" si="1613"/>
        <v>0</v>
      </c>
    </row>
    <row r="9745" spans="1:27" ht="21" customHeight="1" x14ac:dyDescent="0.95">
      <c r="A9745" s="56"/>
      <c r="B9745" s="57"/>
      <c r="C9745" s="57"/>
      <c r="D9745" s="57"/>
      <c r="E9745" s="56"/>
      <c r="F9745" s="57"/>
      <c r="G9745" s="57"/>
      <c r="H9745" s="56"/>
      <c r="I9745" s="56"/>
      <c r="J9745" s="58"/>
      <c r="K9745" s="58"/>
      <c r="L9745" s="13" t="str">
        <f t="shared" si="1614"/>
        <v/>
      </c>
      <c r="M9745" s="13" t="str">
        <f t="shared" si="1615"/>
        <v/>
      </c>
      <c r="Q9745" t="str">
        <f t="shared" si="1616"/>
        <v/>
      </c>
      <c r="R9745" t="str">
        <f t="shared" si="1617"/>
        <v/>
      </c>
      <c r="S9745" t="str">
        <f t="shared" si="1618"/>
        <v/>
      </c>
      <c r="T9745" t="str">
        <f t="shared" si="1619"/>
        <v/>
      </c>
      <c r="U9745" t="str">
        <f t="shared" si="1620"/>
        <v/>
      </c>
      <c r="V9745" t="str">
        <f t="shared" si="1621"/>
        <v/>
      </c>
      <c r="W9745" t="str">
        <f t="shared" si="1622"/>
        <v/>
      </c>
      <c r="X9745">
        <f t="shared" si="1612"/>
        <v>0</v>
      </c>
      <c r="Z9745" t="str">
        <f t="shared" si="1623"/>
        <v/>
      </c>
      <c r="AA9745">
        <f t="shared" si="1613"/>
        <v>0</v>
      </c>
    </row>
    <row r="9746" spans="1:27" ht="21" customHeight="1" x14ac:dyDescent="0.95">
      <c r="A9746" s="56"/>
      <c r="B9746" s="57"/>
      <c r="C9746" s="57"/>
      <c r="D9746" s="57"/>
      <c r="E9746" s="56"/>
      <c r="F9746" s="57"/>
      <c r="G9746" s="57"/>
      <c r="H9746" s="56"/>
      <c r="I9746" s="56"/>
      <c r="J9746" s="58"/>
      <c r="K9746" s="58"/>
      <c r="L9746" s="13" t="str">
        <f t="shared" si="1614"/>
        <v/>
      </c>
      <c r="M9746" s="13" t="str">
        <f t="shared" si="1615"/>
        <v/>
      </c>
      <c r="Q9746" t="str">
        <f t="shared" si="1616"/>
        <v/>
      </c>
      <c r="R9746" t="str">
        <f t="shared" si="1617"/>
        <v/>
      </c>
      <c r="S9746" t="str">
        <f t="shared" si="1618"/>
        <v/>
      </c>
      <c r="T9746" t="str">
        <f t="shared" si="1619"/>
        <v/>
      </c>
      <c r="U9746" t="str">
        <f t="shared" si="1620"/>
        <v/>
      </c>
      <c r="V9746" t="str">
        <f t="shared" si="1621"/>
        <v/>
      </c>
      <c r="W9746" t="str">
        <f t="shared" si="1622"/>
        <v/>
      </c>
      <c r="X9746">
        <f t="shared" si="1612"/>
        <v>0</v>
      </c>
      <c r="Z9746" t="str">
        <f t="shared" si="1623"/>
        <v/>
      </c>
      <c r="AA9746">
        <f t="shared" si="1613"/>
        <v>0</v>
      </c>
    </row>
    <row r="9747" spans="1:27" ht="21" customHeight="1" x14ac:dyDescent="0.95">
      <c r="A9747" s="56"/>
      <c r="B9747" s="57"/>
      <c r="C9747" s="57"/>
      <c r="D9747" s="57"/>
      <c r="E9747" s="56"/>
      <c r="F9747" s="57"/>
      <c r="G9747" s="57"/>
      <c r="H9747" s="56"/>
      <c r="I9747" s="56"/>
      <c r="J9747" s="58"/>
      <c r="K9747" s="58"/>
      <c r="L9747" s="13" t="str">
        <f t="shared" si="1614"/>
        <v/>
      </c>
      <c r="M9747" s="13" t="str">
        <f t="shared" si="1615"/>
        <v/>
      </c>
      <c r="Q9747" t="str">
        <f t="shared" si="1616"/>
        <v/>
      </c>
      <c r="R9747" t="str">
        <f t="shared" si="1617"/>
        <v/>
      </c>
      <c r="S9747" t="str">
        <f t="shared" si="1618"/>
        <v/>
      </c>
      <c r="T9747" t="str">
        <f t="shared" si="1619"/>
        <v/>
      </c>
      <c r="U9747" t="str">
        <f t="shared" si="1620"/>
        <v/>
      </c>
      <c r="V9747" t="str">
        <f t="shared" si="1621"/>
        <v/>
      </c>
      <c r="W9747" t="str">
        <f t="shared" si="1622"/>
        <v/>
      </c>
      <c r="X9747">
        <f t="shared" si="1612"/>
        <v>0</v>
      </c>
      <c r="Z9747" t="str">
        <f t="shared" si="1623"/>
        <v/>
      </c>
      <c r="AA9747">
        <f t="shared" si="1613"/>
        <v>0</v>
      </c>
    </row>
    <row r="9748" spans="1:27" ht="21" customHeight="1" x14ac:dyDescent="0.95">
      <c r="A9748" s="56"/>
      <c r="B9748" s="57"/>
      <c r="C9748" s="57"/>
      <c r="D9748" s="57"/>
      <c r="E9748" s="56"/>
      <c r="F9748" s="57"/>
      <c r="G9748" s="57"/>
      <c r="H9748" s="56"/>
      <c r="I9748" s="56"/>
      <c r="J9748" s="58"/>
      <c r="K9748" s="58"/>
      <c r="L9748" s="13" t="str">
        <f t="shared" si="1614"/>
        <v/>
      </c>
      <c r="M9748" s="13" t="str">
        <f t="shared" si="1615"/>
        <v/>
      </c>
      <c r="Q9748" t="str">
        <f t="shared" si="1616"/>
        <v/>
      </c>
      <c r="R9748" t="str">
        <f t="shared" si="1617"/>
        <v/>
      </c>
      <c r="S9748" t="str">
        <f t="shared" si="1618"/>
        <v/>
      </c>
      <c r="T9748" t="str">
        <f t="shared" si="1619"/>
        <v/>
      </c>
      <c r="U9748" t="str">
        <f t="shared" si="1620"/>
        <v/>
      </c>
      <c r="V9748" t="str">
        <f t="shared" si="1621"/>
        <v/>
      </c>
      <c r="W9748" t="str">
        <f t="shared" si="1622"/>
        <v/>
      </c>
      <c r="X9748">
        <f t="shared" si="1612"/>
        <v>0</v>
      </c>
      <c r="Z9748" t="str">
        <f t="shared" si="1623"/>
        <v/>
      </c>
      <c r="AA9748">
        <f t="shared" si="1613"/>
        <v>0</v>
      </c>
    </row>
    <row r="9749" spans="1:27" ht="21" customHeight="1" x14ac:dyDescent="0.95">
      <c r="A9749" s="56"/>
      <c r="B9749" s="57"/>
      <c r="C9749" s="57"/>
      <c r="D9749" s="57"/>
      <c r="E9749" s="56"/>
      <c r="F9749" s="57"/>
      <c r="G9749" s="57"/>
      <c r="H9749" s="56"/>
      <c r="I9749" s="56"/>
      <c r="J9749" s="58"/>
      <c r="K9749" s="58"/>
      <c r="L9749" s="13" t="str">
        <f t="shared" si="1614"/>
        <v/>
      </c>
      <c r="M9749" s="13" t="str">
        <f t="shared" si="1615"/>
        <v/>
      </c>
      <c r="Q9749" t="str">
        <f t="shared" si="1616"/>
        <v/>
      </c>
      <c r="R9749" t="str">
        <f t="shared" si="1617"/>
        <v/>
      </c>
      <c r="S9749" t="str">
        <f t="shared" si="1618"/>
        <v/>
      </c>
      <c r="T9749" t="str">
        <f t="shared" si="1619"/>
        <v/>
      </c>
      <c r="U9749" t="str">
        <f t="shared" si="1620"/>
        <v/>
      </c>
      <c r="V9749" t="str">
        <f t="shared" si="1621"/>
        <v/>
      </c>
      <c r="W9749" t="str">
        <f t="shared" si="1622"/>
        <v/>
      </c>
      <c r="X9749">
        <f t="shared" si="1612"/>
        <v>0</v>
      </c>
      <c r="Z9749" t="str">
        <f t="shared" si="1623"/>
        <v/>
      </c>
      <c r="AA9749">
        <f t="shared" si="1613"/>
        <v>0</v>
      </c>
    </row>
    <row r="9750" spans="1:27" ht="21" customHeight="1" x14ac:dyDescent="0.95">
      <c r="A9750" s="56"/>
      <c r="B9750" s="57"/>
      <c r="C9750" s="57"/>
      <c r="D9750" s="57"/>
      <c r="E9750" s="56"/>
      <c r="F9750" s="57"/>
      <c r="G9750" s="57"/>
      <c r="H9750" s="56"/>
      <c r="I9750" s="56"/>
      <c r="J9750" s="58"/>
      <c r="K9750" s="58"/>
      <c r="L9750" s="13" t="str">
        <f t="shared" si="1614"/>
        <v/>
      </c>
      <c r="M9750" s="13" t="str">
        <f t="shared" si="1615"/>
        <v/>
      </c>
      <c r="Q9750" t="str">
        <f t="shared" si="1616"/>
        <v/>
      </c>
      <c r="R9750" t="str">
        <f t="shared" si="1617"/>
        <v/>
      </c>
      <c r="S9750" t="str">
        <f t="shared" si="1618"/>
        <v/>
      </c>
      <c r="T9750" t="str">
        <f t="shared" si="1619"/>
        <v/>
      </c>
      <c r="U9750" t="str">
        <f t="shared" si="1620"/>
        <v/>
      </c>
      <c r="V9750" t="str">
        <f t="shared" si="1621"/>
        <v/>
      </c>
      <c r="W9750" t="str">
        <f t="shared" si="1622"/>
        <v/>
      </c>
      <c r="X9750">
        <f t="shared" si="1612"/>
        <v>0</v>
      </c>
      <c r="Z9750" t="str">
        <f t="shared" si="1623"/>
        <v/>
      </c>
      <c r="AA9750">
        <f t="shared" si="1613"/>
        <v>0</v>
      </c>
    </row>
    <row r="9751" spans="1:27" ht="21" customHeight="1" x14ac:dyDescent="0.95">
      <c r="A9751" s="56"/>
      <c r="B9751" s="57"/>
      <c r="C9751" s="57"/>
      <c r="D9751" s="57"/>
      <c r="E9751" s="56"/>
      <c r="F9751" s="57"/>
      <c r="G9751" s="57"/>
      <c r="H9751" s="56"/>
      <c r="I9751" s="56"/>
      <c r="J9751" s="58"/>
      <c r="K9751" s="58"/>
      <c r="L9751" s="13" t="str">
        <f t="shared" si="1614"/>
        <v/>
      </c>
      <c r="M9751" s="13" t="str">
        <f t="shared" si="1615"/>
        <v/>
      </c>
      <c r="Q9751" t="str">
        <f t="shared" si="1616"/>
        <v/>
      </c>
      <c r="R9751" t="str">
        <f t="shared" si="1617"/>
        <v/>
      </c>
      <c r="S9751" t="str">
        <f t="shared" si="1618"/>
        <v/>
      </c>
      <c r="T9751" t="str">
        <f t="shared" si="1619"/>
        <v/>
      </c>
      <c r="U9751" t="str">
        <f t="shared" si="1620"/>
        <v/>
      </c>
      <c r="V9751" t="str">
        <f t="shared" si="1621"/>
        <v/>
      </c>
      <c r="W9751" t="str">
        <f t="shared" si="1622"/>
        <v/>
      </c>
      <c r="X9751">
        <f t="shared" si="1612"/>
        <v>0</v>
      </c>
      <c r="Z9751" t="str">
        <f t="shared" si="1623"/>
        <v/>
      </c>
      <c r="AA9751">
        <f t="shared" si="1613"/>
        <v>0</v>
      </c>
    </row>
    <row r="9752" spans="1:27" ht="21" customHeight="1" x14ac:dyDescent="0.95">
      <c r="A9752" s="56"/>
      <c r="B9752" s="57"/>
      <c r="C9752" s="57"/>
      <c r="D9752" s="57"/>
      <c r="E9752" s="56"/>
      <c r="F9752" s="57"/>
      <c r="G9752" s="57"/>
      <c r="H9752" s="56"/>
      <c r="I9752" s="56"/>
      <c r="J9752" s="58"/>
      <c r="K9752" s="58"/>
      <c r="L9752" s="13" t="str">
        <f t="shared" si="1614"/>
        <v/>
      </c>
      <c r="M9752" s="13" t="str">
        <f t="shared" si="1615"/>
        <v/>
      </c>
      <c r="Q9752" t="str">
        <f t="shared" si="1616"/>
        <v/>
      </c>
      <c r="R9752" t="str">
        <f t="shared" si="1617"/>
        <v/>
      </c>
      <c r="S9752" t="str">
        <f t="shared" si="1618"/>
        <v/>
      </c>
      <c r="T9752" t="str">
        <f t="shared" si="1619"/>
        <v/>
      </c>
      <c r="U9752" t="str">
        <f t="shared" si="1620"/>
        <v/>
      </c>
      <c r="V9752" t="str">
        <f t="shared" si="1621"/>
        <v/>
      </c>
      <c r="W9752" t="str">
        <f t="shared" si="1622"/>
        <v/>
      </c>
      <c r="X9752">
        <f t="shared" si="1612"/>
        <v>0</v>
      </c>
      <c r="Z9752" t="str">
        <f t="shared" si="1623"/>
        <v/>
      </c>
      <c r="AA9752">
        <f t="shared" si="1613"/>
        <v>0</v>
      </c>
    </row>
    <row r="9753" spans="1:27" ht="21" customHeight="1" x14ac:dyDescent="0.95">
      <c r="A9753" s="56"/>
      <c r="B9753" s="57"/>
      <c r="C9753" s="57"/>
      <c r="D9753" s="57"/>
      <c r="E9753" s="56"/>
      <c r="F9753" s="57"/>
      <c r="G9753" s="57"/>
      <c r="H9753" s="56"/>
      <c r="I9753" s="56"/>
      <c r="J9753" s="58"/>
      <c r="K9753" s="58"/>
      <c r="L9753" s="13" t="str">
        <f t="shared" si="1614"/>
        <v/>
      </c>
      <c r="M9753" s="13" t="str">
        <f t="shared" si="1615"/>
        <v/>
      </c>
      <c r="Q9753" t="str">
        <f t="shared" si="1616"/>
        <v/>
      </c>
      <c r="R9753" t="str">
        <f t="shared" si="1617"/>
        <v/>
      </c>
      <c r="S9753" t="str">
        <f t="shared" si="1618"/>
        <v/>
      </c>
      <c r="T9753" t="str">
        <f t="shared" si="1619"/>
        <v/>
      </c>
      <c r="U9753" t="str">
        <f t="shared" si="1620"/>
        <v/>
      </c>
      <c r="V9753" t="str">
        <f t="shared" si="1621"/>
        <v/>
      </c>
      <c r="W9753" t="str">
        <f t="shared" si="1622"/>
        <v/>
      </c>
      <c r="X9753">
        <f t="shared" si="1612"/>
        <v>0</v>
      </c>
      <c r="Z9753" t="str">
        <f t="shared" si="1623"/>
        <v/>
      </c>
      <c r="AA9753">
        <f t="shared" si="1613"/>
        <v>0</v>
      </c>
    </row>
    <row r="9754" spans="1:27" ht="21" customHeight="1" x14ac:dyDescent="0.95">
      <c r="A9754" s="56"/>
      <c r="B9754" s="57"/>
      <c r="C9754" s="57"/>
      <c r="D9754" s="57"/>
      <c r="E9754" s="56"/>
      <c r="F9754" s="57"/>
      <c r="G9754" s="57"/>
      <c r="H9754" s="56"/>
      <c r="I9754" s="56"/>
      <c r="J9754" s="58"/>
      <c r="K9754" s="58"/>
      <c r="L9754" s="13" t="str">
        <f t="shared" si="1614"/>
        <v/>
      </c>
      <c r="M9754" s="13" t="str">
        <f t="shared" si="1615"/>
        <v/>
      </c>
      <c r="Q9754" t="str">
        <f t="shared" si="1616"/>
        <v/>
      </c>
      <c r="R9754" t="str">
        <f t="shared" si="1617"/>
        <v/>
      </c>
      <c r="S9754" t="str">
        <f t="shared" si="1618"/>
        <v/>
      </c>
      <c r="T9754" t="str">
        <f t="shared" si="1619"/>
        <v/>
      </c>
      <c r="U9754" t="str">
        <f t="shared" si="1620"/>
        <v/>
      </c>
      <c r="V9754" t="str">
        <f t="shared" si="1621"/>
        <v/>
      </c>
      <c r="W9754" t="str">
        <f t="shared" si="1622"/>
        <v/>
      </c>
      <c r="X9754">
        <f t="shared" si="1612"/>
        <v>0</v>
      </c>
      <c r="Z9754" t="str">
        <f t="shared" si="1623"/>
        <v/>
      </c>
      <c r="AA9754">
        <f t="shared" si="1613"/>
        <v>0</v>
      </c>
    </row>
    <row r="9755" spans="1:27" ht="21" customHeight="1" x14ac:dyDescent="0.95">
      <c r="A9755" s="56"/>
      <c r="B9755" s="57"/>
      <c r="C9755" s="57"/>
      <c r="D9755" s="57"/>
      <c r="E9755" s="56"/>
      <c r="F9755" s="57"/>
      <c r="G9755" s="57"/>
      <c r="H9755" s="56"/>
      <c r="I9755" s="56"/>
      <c r="J9755" s="58"/>
      <c r="K9755" s="58"/>
      <c r="L9755" s="13" t="str">
        <f t="shared" si="1614"/>
        <v/>
      </c>
      <c r="M9755" s="13" t="str">
        <f t="shared" si="1615"/>
        <v/>
      </c>
      <c r="Q9755" t="str">
        <f t="shared" si="1616"/>
        <v/>
      </c>
      <c r="R9755" t="str">
        <f t="shared" si="1617"/>
        <v/>
      </c>
      <c r="S9755" t="str">
        <f t="shared" si="1618"/>
        <v/>
      </c>
      <c r="T9755" t="str">
        <f t="shared" si="1619"/>
        <v/>
      </c>
      <c r="U9755" t="str">
        <f t="shared" si="1620"/>
        <v/>
      </c>
      <c r="V9755" t="str">
        <f t="shared" si="1621"/>
        <v/>
      </c>
      <c r="W9755" t="str">
        <f t="shared" si="1622"/>
        <v/>
      </c>
      <c r="X9755">
        <f t="shared" si="1612"/>
        <v>0</v>
      </c>
      <c r="Z9755" t="str">
        <f t="shared" si="1623"/>
        <v/>
      </c>
      <c r="AA9755">
        <f t="shared" si="1613"/>
        <v>0</v>
      </c>
    </row>
    <row r="9756" spans="1:27" ht="21" customHeight="1" x14ac:dyDescent="0.95">
      <c r="A9756" s="56"/>
      <c r="B9756" s="57"/>
      <c r="C9756" s="57"/>
      <c r="D9756" s="57"/>
      <c r="E9756" s="56"/>
      <c r="F9756" s="57"/>
      <c r="G9756" s="57"/>
      <c r="H9756" s="56"/>
      <c r="I9756" s="56"/>
      <c r="J9756" s="58"/>
      <c r="K9756" s="58"/>
      <c r="L9756" s="13" t="str">
        <f t="shared" si="1614"/>
        <v/>
      </c>
      <c r="M9756" s="13" t="str">
        <f t="shared" si="1615"/>
        <v/>
      </c>
      <c r="Q9756" t="str">
        <f t="shared" si="1616"/>
        <v/>
      </c>
      <c r="R9756" t="str">
        <f t="shared" si="1617"/>
        <v/>
      </c>
      <c r="S9756" t="str">
        <f t="shared" si="1618"/>
        <v/>
      </c>
      <c r="T9756" t="str">
        <f t="shared" si="1619"/>
        <v/>
      </c>
      <c r="U9756" t="str">
        <f t="shared" si="1620"/>
        <v/>
      </c>
      <c r="V9756" t="str">
        <f t="shared" si="1621"/>
        <v/>
      </c>
      <c r="W9756" t="str">
        <f t="shared" si="1622"/>
        <v/>
      </c>
      <c r="X9756">
        <f t="shared" si="1612"/>
        <v>0</v>
      </c>
      <c r="Z9756" t="str">
        <f t="shared" si="1623"/>
        <v/>
      </c>
      <c r="AA9756">
        <f t="shared" si="1613"/>
        <v>0</v>
      </c>
    </row>
    <row r="9757" spans="1:27" ht="21" customHeight="1" x14ac:dyDescent="0.95">
      <c r="A9757" s="56"/>
      <c r="B9757" s="57"/>
      <c r="C9757" s="57"/>
      <c r="D9757" s="57"/>
      <c r="E9757" s="56"/>
      <c r="F9757" s="57"/>
      <c r="G9757" s="57"/>
      <c r="H9757" s="56"/>
      <c r="I9757" s="56"/>
      <c r="J9757" s="58"/>
      <c r="K9757" s="58"/>
      <c r="L9757" s="13" t="str">
        <f t="shared" si="1614"/>
        <v/>
      </c>
      <c r="M9757" s="13" t="str">
        <f t="shared" si="1615"/>
        <v/>
      </c>
      <c r="Q9757" t="str">
        <f t="shared" si="1616"/>
        <v/>
      </c>
      <c r="R9757" t="str">
        <f t="shared" si="1617"/>
        <v/>
      </c>
      <c r="S9757" t="str">
        <f t="shared" si="1618"/>
        <v/>
      </c>
      <c r="T9757" t="str">
        <f t="shared" si="1619"/>
        <v/>
      </c>
      <c r="U9757" t="str">
        <f t="shared" si="1620"/>
        <v/>
      </c>
      <c r="V9757" t="str">
        <f t="shared" si="1621"/>
        <v/>
      </c>
      <c r="W9757" t="str">
        <f t="shared" si="1622"/>
        <v/>
      </c>
      <c r="X9757">
        <f t="shared" si="1612"/>
        <v>0</v>
      </c>
      <c r="Z9757" t="str">
        <f t="shared" si="1623"/>
        <v/>
      </c>
      <c r="AA9757">
        <f t="shared" si="1613"/>
        <v>0</v>
      </c>
    </row>
    <row r="9758" spans="1:27" ht="21" customHeight="1" x14ac:dyDescent="0.95">
      <c r="A9758" s="56"/>
      <c r="B9758" s="57"/>
      <c r="C9758" s="57"/>
      <c r="D9758" s="57"/>
      <c r="E9758" s="56"/>
      <c r="F9758" s="57"/>
      <c r="G9758" s="57"/>
      <c r="H9758" s="56"/>
      <c r="I9758" s="56"/>
      <c r="J9758" s="58"/>
      <c r="K9758" s="58"/>
      <c r="L9758" s="13" t="str">
        <f t="shared" si="1614"/>
        <v/>
      </c>
      <c r="M9758" s="13" t="str">
        <f t="shared" si="1615"/>
        <v/>
      </c>
      <c r="Q9758" t="str">
        <f t="shared" si="1616"/>
        <v/>
      </c>
      <c r="R9758" t="str">
        <f t="shared" si="1617"/>
        <v/>
      </c>
      <c r="S9758" t="str">
        <f t="shared" si="1618"/>
        <v/>
      </c>
      <c r="T9758" t="str">
        <f t="shared" si="1619"/>
        <v/>
      </c>
      <c r="U9758" t="str">
        <f t="shared" si="1620"/>
        <v/>
      </c>
      <c r="V9758" t="str">
        <f t="shared" si="1621"/>
        <v/>
      </c>
      <c r="W9758" t="str">
        <f t="shared" si="1622"/>
        <v/>
      </c>
      <c r="X9758">
        <f t="shared" si="1612"/>
        <v>0</v>
      </c>
      <c r="Z9758" t="str">
        <f t="shared" si="1623"/>
        <v/>
      </c>
      <c r="AA9758">
        <f t="shared" si="1613"/>
        <v>0</v>
      </c>
    </row>
    <row r="9759" spans="1:27" ht="21" customHeight="1" x14ac:dyDescent="0.95">
      <c r="A9759" s="56"/>
      <c r="B9759" s="57"/>
      <c r="C9759" s="57"/>
      <c r="D9759" s="57"/>
      <c r="E9759" s="56"/>
      <c r="F9759" s="57"/>
      <c r="G9759" s="57"/>
      <c r="H9759" s="56"/>
      <c r="I9759" s="56"/>
      <c r="J9759" s="58"/>
      <c r="K9759" s="58"/>
      <c r="L9759" s="13" t="str">
        <f t="shared" si="1614"/>
        <v/>
      </c>
      <c r="M9759" s="13" t="str">
        <f t="shared" si="1615"/>
        <v/>
      </c>
      <c r="Q9759" t="str">
        <f t="shared" si="1616"/>
        <v/>
      </c>
      <c r="R9759" t="str">
        <f t="shared" si="1617"/>
        <v/>
      </c>
      <c r="S9759" t="str">
        <f t="shared" si="1618"/>
        <v/>
      </c>
      <c r="T9759" t="str">
        <f t="shared" si="1619"/>
        <v/>
      </c>
      <c r="U9759" t="str">
        <f t="shared" si="1620"/>
        <v/>
      </c>
      <c r="V9759" t="str">
        <f t="shared" si="1621"/>
        <v/>
      </c>
      <c r="W9759" t="str">
        <f t="shared" si="1622"/>
        <v/>
      </c>
      <c r="X9759">
        <f t="shared" si="1612"/>
        <v>0</v>
      </c>
      <c r="Z9759" t="str">
        <f t="shared" si="1623"/>
        <v/>
      </c>
      <c r="AA9759">
        <f t="shared" si="1613"/>
        <v>0</v>
      </c>
    </row>
    <row r="9760" spans="1:27" ht="21" customHeight="1" x14ac:dyDescent="0.95">
      <c r="A9760" s="56"/>
      <c r="B9760" s="57"/>
      <c r="C9760" s="57"/>
      <c r="D9760" s="57"/>
      <c r="E9760" s="56"/>
      <c r="F9760" s="57"/>
      <c r="G9760" s="57"/>
      <c r="H9760" s="56"/>
      <c r="I9760" s="56"/>
      <c r="J9760" s="58"/>
      <c r="K9760" s="58"/>
      <c r="L9760" s="13" t="str">
        <f t="shared" si="1614"/>
        <v/>
      </c>
      <c r="M9760" s="13" t="str">
        <f t="shared" si="1615"/>
        <v/>
      </c>
      <c r="Q9760" t="str">
        <f t="shared" si="1616"/>
        <v/>
      </c>
      <c r="R9760" t="str">
        <f t="shared" si="1617"/>
        <v/>
      </c>
      <c r="S9760" t="str">
        <f t="shared" si="1618"/>
        <v/>
      </c>
      <c r="T9760" t="str">
        <f t="shared" si="1619"/>
        <v/>
      </c>
      <c r="U9760" t="str">
        <f t="shared" si="1620"/>
        <v/>
      </c>
      <c r="V9760" t="str">
        <f t="shared" si="1621"/>
        <v/>
      </c>
      <c r="W9760" t="str">
        <f t="shared" si="1622"/>
        <v/>
      </c>
      <c r="X9760">
        <f t="shared" si="1612"/>
        <v>0</v>
      </c>
      <c r="Z9760" t="str">
        <f t="shared" si="1623"/>
        <v/>
      </c>
      <c r="AA9760">
        <f t="shared" si="1613"/>
        <v>0</v>
      </c>
    </row>
    <row r="9761" spans="1:27" ht="21" customHeight="1" x14ac:dyDescent="0.95">
      <c r="A9761" s="56"/>
      <c r="B9761" s="57"/>
      <c r="C9761" s="57"/>
      <c r="D9761" s="57"/>
      <c r="E9761" s="56"/>
      <c r="F9761" s="57"/>
      <c r="G9761" s="57"/>
      <c r="H9761" s="56"/>
      <c r="I9761" s="56"/>
      <c r="J9761" s="58"/>
      <c r="K9761" s="58"/>
      <c r="L9761" s="13" t="str">
        <f t="shared" si="1614"/>
        <v/>
      </c>
      <c r="M9761" s="13" t="str">
        <f t="shared" si="1615"/>
        <v/>
      </c>
      <c r="Q9761" t="str">
        <f t="shared" si="1616"/>
        <v/>
      </c>
      <c r="R9761" t="str">
        <f t="shared" si="1617"/>
        <v/>
      </c>
      <c r="S9761" t="str">
        <f t="shared" si="1618"/>
        <v/>
      </c>
      <c r="T9761" t="str">
        <f t="shared" si="1619"/>
        <v/>
      </c>
      <c r="U9761" t="str">
        <f t="shared" si="1620"/>
        <v/>
      </c>
      <c r="V9761" t="str">
        <f t="shared" si="1621"/>
        <v/>
      </c>
      <c r="W9761" t="str">
        <f t="shared" si="1622"/>
        <v/>
      </c>
      <c r="X9761">
        <f t="shared" si="1612"/>
        <v>0</v>
      </c>
      <c r="Z9761" t="str">
        <f t="shared" si="1623"/>
        <v/>
      </c>
      <c r="AA9761">
        <f t="shared" si="1613"/>
        <v>0</v>
      </c>
    </row>
    <row r="9762" spans="1:27" ht="21" customHeight="1" x14ac:dyDescent="0.95">
      <c r="A9762" s="56"/>
      <c r="B9762" s="57"/>
      <c r="C9762" s="57"/>
      <c r="D9762" s="57"/>
      <c r="E9762" s="56"/>
      <c r="F9762" s="57"/>
      <c r="G9762" s="57"/>
      <c r="H9762" s="56"/>
      <c r="I9762" s="56"/>
      <c r="J9762" s="58"/>
      <c r="K9762" s="58"/>
      <c r="L9762" s="13" t="str">
        <f t="shared" si="1614"/>
        <v/>
      </c>
      <c r="M9762" s="13" t="str">
        <f t="shared" si="1615"/>
        <v/>
      </c>
      <c r="Q9762" t="str">
        <f t="shared" si="1616"/>
        <v/>
      </c>
      <c r="R9762" t="str">
        <f t="shared" si="1617"/>
        <v/>
      </c>
      <c r="S9762" t="str">
        <f t="shared" si="1618"/>
        <v/>
      </c>
      <c r="T9762" t="str">
        <f t="shared" si="1619"/>
        <v/>
      </c>
      <c r="U9762" t="str">
        <f t="shared" si="1620"/>
        <v/>
      </c>
      <c r="V9762" t="str">
        <f t="shared" si="1621"/>
        <v/>
      </c>
      <c r="W9762" t="str">
        <f t="shared" si="1622"/>
        <v/>
      </c>
      <c r="X9762">
        <f t="shared" si="1612"/>
        <v>0</v>
      </c>
      <c r="Z9762" t="str">
        <f t="shared" si="1623"/>
        <v/>
      </c>
      <c r="AA9762">
        <f t="shared" si="1613"/>
        <v>0</v>
      </c>
    </row>
    <row r="9763" spans="1:27" ht="21" customHeight="1" x14ac:dyDescent="0.95">
      <c r="A9763" s="56"/>
      <c r="B9763" s="57"/>
      <c r="C9763" s="57"/>
      <c r="D9763" s="57"/>
      <c r="E9763" s="56"/>
      <c r="F9763" s="57"/>
      <c r="G9763" s="57"/>
      <c r="H9763" s="56"/>
      <c r="I9763" s="56"/>
      <c r="J9763" s="58"/>
      <c r="K9763" s="58"/>
      <c r="L9763" s="13" t="str">
        <f t="shared" si="1614"/>
        <v/>
      </c>
      <c r="M9763" s="13" t="str">
        <f t="shared" si="1615"/>
        <v/>
      </c>
      <c r="Q9763" t="str">
        <f t="shared" si="1616"/>
        <v/>
      </c>
      <c r="R9763" t="str">
        <f t="shared" si="1617"/>
        <v/>
      </c>
      <c r="S9763" t="str">
        <f t="shared" si="1618"/>
        <v/>
      </c>
      <c r="T9763" t="str">
        <f t="shared" si="1619"/>
        <v/>
      </c>
      <c r="U9763" t="str">
        <f t="shared" si="1620"/>
        <v/>
      </c>
      <c r="V9763" t="str">
        <f t="shared" si="1621"/>
        <v/>
      </c>
      <c r="W9763" t="str">
        <f t="shared" si="1622"/>
        <v/>
      </c>
      <c r="X9763">
        <f t="shared" si="1612"/>
        <v>0</v>
      </c>
      <c r="Z9763" t="str">
        <f t="shared" si="1623"/>
        <v/>
      </c>
      <c r="AA9763">
        <f t="shared" si="1613"/>
        <v>0</v>
      </c>
    </row>
    <row r="9764" spans="1:27" ht="21" customHeight="1" x14ac:dyDescent="0.95">
      <c r="A9764" s="56"/>
      <c r="B9764" s="57"/>
      <c r="C9764" s="57"/>
      <c r="D9764" s="57"/>
      <c r="E9764" s="56"/>
      <c r="F9764" s="57"/>
      <c r="G9764" s="57"/>
      <c r="H9764" s="56"/>
      <c r="I9764" s="56"/>
      <c r="J9764" s="58"/>
      <c r="K9764" s="58"/>
      <c r="L9764" s="13" t="str">
        <f t="shared" si="1614"/>
        <v/>
      </c>
      <c r="M9764" s="13" t="str">
        <f t="shared" si="1615"/>
        <v/>
      </c>
      <c r="Q9764" t="str">
        <f t="shared" si="1616"/>
        <v/>
      </c>
      <c r="R9764" t="str">
        <f t="shared" si="1617"/>
        <v/>
      </c>
      <c r="S9764" t="str">
        <f t="shared" si="1618"/>
        <v/>
      </c>
      <c r="T9764" t="str">
        <f t="shared" si="1619"/>
        <v/>
      </c>
      <c r="U9764" t="str">
        <f t="shared" si="1620"/>
        <v/>
      </c>
      <c r="V9764" t="str">
        <f t="shared" si="1621"/>
        <v/>
      </c>
      <c r="W9764" t="str">
        <f t="shared" si="1622"/>
        <v/>
      </c>
      <c r="X9764">
        <f t="shared" si="1612"/>
        <v>0</v>
      </c>
      <c r="Z9764" t="str">
        <f t="shared" si="1623"/>
        <v/>
      </c>
      <c r="AA9764">
        <f t="shared" si="1613"/>
        <v>0</v>
      </c>
    </row>
    <row r="9765" spans="1:27" ht="21" customHeight="1" x14ac:dyDescent="0.95">
      <c r="A9765" s="56"/>
      <c r="B9765" s="57"/>
      <c r="C9765" s="57"/>
      <c r="D9765" s="57"/>
      <c r="E9765" s="56"/>
      <c r="F9765" s="57"/>
      <c r="G9765" s="57"/>
      <c r="H9765" s="56"/>
      <c r="I9765" s="56"/>
      <c r="J9765" s="58"/>
      <c r="K9765" s="58"/>
      <c r="L9765" s="13" t="str">
        <f t="shared" si="1614"/>
        <v/>
      </c>
      <c r="M9765" s="13" t="str">
        <f t="shared" si="1615"/>
        <v/>
      </c>
      <c r="Q9765" t="str">
        <f t="shared" si="1616"/>
        <v/>
      </c>
      <c r="R9765" t="str">
        <f t="shared" si="1617"/>
        <v/>
      </c>
      <c r="S9765" t="str">
        <f t="shared" si="1618"/>
        <v/>
      </c>
      <c r="T9765" t="str">
        <f t="shared" si="1619"/>
        <v/>
      </c>
      <c r="U9765" t="str">
        <f t="shared" si="1620"/>
        <v/>
      </c>
      <c r="V9765" t="str">
        <f t="shared" si="1621"/>
        <v/>
      </c>
      <c r="W9765" t="str">
        <f t="shared" si="1622"/>
        <v/>
      </c>
      <c r="X9765">
        <f t="shared" si="1612"/>
        <v>0</v>
      </c>
      <c r="Z9765" t="str">
        <f t="shared" si="1623"/>
        <v/>
      </c>
      <c r="AA9765">
        <f t="shared" si="1613"/>
        <v>0</v>
      </c>
    </row>
    <row r="9766" spans="1:27" ht="21" customHeight="1" x14ac:dyDescent="0.95">
      <c r="A9766" s="56"/>
      <c r="B9766" s="57"/>
      <c r="C9766" s="57"/>
      <c r="D9766" s="57"/>
      <c r="E9766" s="56"/>
      <c r="F9766" s="57"/>
      <c r="G9766" s="57"/>
      <c r="H9766" s="56"/>
      <c r="I9766" s="56"/>
      <c r="J9766" s="58"/>
      <c r="K9766" s="58"/>
      <c r="L9766" s="13" t="str">
        <f t="shared" si="1614"/>
        <v/>
      </c>
      <c r="M9766" s="13" t="str">
        <f t="shared" si="1615"/>
        <v/>
      </c>
      <c r="Q9766" t="str">
        <f t="shared" si="1616"/>
        <v/>
      </c>
      <c r="R9766" t="str">
        <f t="shared" si="1617"/>
        <v/>
      </c>
      <c r="S9766" t="str">
        <f t="shared" si="1618"/>
        <v/>
      </c>
      <c r="T9766" t="str">
        <f t="shared" si="1619"/>
        <v/>
      </c>
      <c r="U9766" t="str">
        <f t="shared" si="1620"/>
        <v/>
      </c>
      <c r="V9766" t="str">
        <f t="shared" si="1621"/>
        <v/>
      </c>
      <c r="W9766" t="str">
        <f t="shared" si="1622"/>
        <v/>
      </c>
      <c r="X9766">
        <f t="shared" si="1612"/>
        <v>0</v>
      </c>
      <c r="Z9766" t="str">
        <f t="shared" si="1623"/>
        <v/>
      </c>
      <c r="AA9766">
        <f t="shared" si="1613"/>
        <v>0</v>
      </c>
    </row>
    <row r="9767" spans="1:27" ht="21" customHeight="1" x14ac:dyDescent="0.95">
      <c r="A9767" s="56"/>
      <c r="B9767" s="57"/>
      <c r="C9767" s="57"/>
      <c r="D9767" s="57"/>
      <c r="E9767" s="56"/>
      <c r="F9767" s="57"/>
      <c r="G9767" s="57"/>
      <c r="H9767" s="56"/>
      <c r="I9767" s="56"/>
      <c r="J9767" s="58"/>
      <c r="K9767" s="58"/>
      <c r="L9767" s="13" t="str">
        <f t="shared" si="1614"/>
        <v/>
      </c>
      <c r="M9767" s="13" t="str">
        <f t="shared" si="1615"/>
        <v/>
      </c>
      <c r="Q9767" t="str">
        <f t="shared" si="1616"/>
        <v/>
      </c>
      <c r="R9767" t="str">
        <f t="shared" si="1617"/>
        <v/>
      </c>
      <c r="S9767" t="str">
        <f t="shared" si="1618"/>
        <v/>
      </c>
      <c r="T9767" t="str">
        <f t="shared" si="1619"/>
        <v/>
      </c>
      <c r="U9767" t="str">
        <f t="shared" si="1620"/>
        <v/>
      </c>
      <c r="V9767" t="str">
        <f t="shared" si="1621"/>
        <v/>
      </c>
      <c r="W9767" t="str">
        <f t="shared" si="1622"/>
        <v/>
      </c>
      <c r="X9767">
        <f t="shared" si="1612"/>
        <v>0</v>
      </c>
      <c r="Z9767" t="str">
        <f t="shared" si="1623"/>
        <v/>
      </c>
      <c r="AA9767">
        <f t="shared" si="1613"/>
        <v>0</v>
      </c>
    </row>
    <row r="9768" spans="1:27" ht="21" customHeight="1" x14ac:dyDescent="0.95">
      <c r="A9768" s="56"/>
      <c r="B9768" s="57"/>
      <c r="C9768" s="57"/>
      <c r="D9768" s="57"/>
      <c r="E9768" s="56"/>
      <c r="F9768" s="57"/>
      <c r="G9768" s="57"/>
      <c r="H9768" s="56"/>
      <c r="I9768" s="56"/>
      <c r="J9768" s="58"/>
      <c r="K9768" s="58"/>
      <c r="L9768" s="13" t="str">
        <f t="shared" si="1614"/>
        <v/>
      </c>
      <c r="M9768" s="13" t="str">
        <f t="shared" si="1615"/>
        <v/>
      </c>
      <c r="Q9768" t="str">
        <f t="shared" si="1616"/>
        <v/>
      </c>
      <c r="R9768" t="str">
        <f t="shared" si="1617"/>
        <v/>
      </c>
      <c r="S9768" t="str">
        <f t="shared" si="1618"/>
        <v/>
      </c>
      <c r="T9768" t="str">
        <f t="shared" si="1619"/>
        <v/>
      </c>
      <c r="U9768" t="str">
        <f t="shared" si="1620"/>
        <v/>
      </c>
      <c r="V9768" t="str">
        <f t="shared" si="1621"/>
        <v/>
      </c>
      <c r="W9768" t="str">
        <f t="shared" si="1622"/>
        <v/>
      </c>
      <c r="X9768">
        <f t="shared" si="1612"/>
        <v>0</v>
      </c>
      <c r="Z9768" t="str">
        <f t="shared" si="1623"/>
        <v/>
      </c>
      <c r="AA9768">
        <f t="shared" si="1613"/>
        <v>0</v>
      </c>
    </row>
    <row r="9769" spans="1:27" ht="21" customHeight="1" x14ac:dyDescent="0.95">
      <c r="A9769" s="56"/>
      <c r="B9769" s="57"/>
      <c r="C9769" s="57"/>
      <c r="D9769" s="57"/>
      <c r="E9769" s="56"/>
      <c r="F9769" s="57"/>
      <c r="G9769" s="57"/>
      <c r="H9769" s="56"/>
      <c r="I9769" s="56"/>
      <c r="J9769" s="58"/>
      <c r="K9769" s="58"/>
      <c r="L9769" s="13" t="str">
        <f t="shared" si="1614"/>
        <v/>
      </c>
      <c r="M9769" s="13" t="str">
        <f t="shared" si="1615"/>
        <v/>
      </c>
      <c r="Q9769" t="str">
        <f t="shared" si="1616"/>
        <v/>
      </c>
      <c r="R9769" t="str">
        <f t="shared" si="1617"/>
        <v/>
      </c>
      <c r="S9769" t="str">
        <f t="shared" si="1618"/>
        <v/>
      </c>
      <c r="T9769" t="str">
        <f t="shared" si="1619"/>
        <v/>
      </c>
      <c r="U9769" t="str">
        <f t="shared" si="1620"/>
        <v/>
      </c>
      <c r="V9769" t="str">
        <f t="shared" si="1621"/>
        <v/>
      </c>
      <c r="W9769" t="str">
        <f t="shared" si="1622"/>
        <v/>
      </c>
      <c r="X9769">
        <f t="shared" si="1612"/>
        <v>0</v>
      </c>
      <c r="Z9769" t="str">
        <f t="shared" si="1623"/>
        <v/>
      </c>
      <c r="AA9769">
        <f t="shared" si="1613"/>
        <v>0</v>
      </c>
    </row>
    <row r="9770" spans="1:27" ht="21" customHeight="1" x14ac:dyDescent="0.95">
      <c r="A9770" s="56"/>
      <c r="B9770" s="57"/>
      <c r="C9770" s="57"/>
      <c r="D9770" s="57"/>
      <c r="E9770" s="56"/>
      <c r="F9770" s="57"/>
      <c r="G9770" s="57"/>
      <c r="H9770" s="56"/>
      <c r="I9770" s="56"/>
      <c r="J9770" s="58"/>
      <c r="K9770" s="58"/>
      <c r="L9770" s="13" t="str">
        <f t="shared" si="1614"/>
        <v/>
      </c>
      <c r="M9770" s="13" t="str">
        <f t="shared" si="1615"/>
        <v/>
      </c>
      <c r="Q9770" t="str">
        <f t="shared" si="1616"/>
        <v/>
      </c>
      <c r="R9770" t="str">
        <f t="shared" si="1617"/>
        <v/>
      </c>
      <c r="S9770" t="str">
        <f t="shared" si="1618"/>
        <v/>
      </c>
      <c r="T9770" t="str">
        <f t="shared" si="1619"/>
        <v/>
      </c>
      <c r="U9770" t="str">
        <f t="shared" si="1620"/>
        <v/>
      </c>
      <c r="V9770" t="str">
        <f t="shared" si="1621"/>
        <v/>
      </c>
      <c r="W9770" t="str">
        <f t="shared" si="1622"/>
        <v/>
      </c>
      <c r="X9770">
        <f t="shared" si="1612"/>
        <v>0</v>
      </c>
      <c r="Z9770" t="str">
        <f t="shared" si="1623"/>
        <v/>
      </c>
      <c r="AA9770">
        <f t="shared" si="1613"/>
        <v>0</v>
      </c>
    </row>
    <row r="9771" spans="1:27" ht="21" customHeight="1" x14ac:dyDescent="0.95">
      <c r="A9771" s="56"/>
      <c r="B9771" s="57"/>
      <c r="C9771" s="57"/>
      <c r="D9771" s="57"/>
      <c r="E9771" s="56"/>
      <c r="F9771" s="57"/>
      <c r="G9771" s="57"/>
      <c r="H9771" s="56"/>
      <c r="I9771" s="56"/>
      <c r="J9771" s="58"/>
      <c r="K9771" s="58"/>
      <c r="L9771" s="13" t="str">
        <f t="shared" si="1614"/>
        <v/>
      </c>
      <c r="M9771" s="13" t="str">
        <f t="shared" si="1615"/>
        <v/>
      </c>
      <c r="Q9771" t="str">
        <f t="shared" si="1616"/>
        <v/>
      </c>
      <c r="R9771" t="str">
        <f t="shared" si="1617"/>
        <v/>
      </c>
      <c r="S9771" t="str">
        <f t="shared" si="1618"/>
        <v/>
      </c>
      <c r="T9771" t="str">
        <f t="shared" si="1619"/>
        <v/>
      </c>
      <c r="U9771" t="str">
        <f t="shared" si="1620"/>
        <v/>
      </c>
      <c r="V9771" t="str">
        <f t="shared" si="1621"/>
        <v/>
      </c>
      <c r="W9771" t="str">
        <f t="shared" si="1622"/>
        <v/>
      </c>
      <c r="X9771">
        <f t="shared" si="1612"/>
        <v>0</v>
      </c>
      <c r="Z9771" t="str">
        <f t="shared" si="1623"/>
        <v/>
      </c>
      <c r="AA9771">
        <f t="shared" si="1613"/>
        <v>0</v>
      </c>
    </row>
    <row r="9772" spans="1:27" ht="21" customHeight="1" x14ac:dyDescent="0.95">
      <c r="A9772" s="56"/>
      <c r="B9772" s="57"/>
      <c r="C9772" s="57"/>
      <c r="D9772" s="57"/>
      <c r="E9772" s="56"/>
      <c r="F9772" s="57"/>
      <c r="G9772" s="57"/>
      <c r="H9772" s="56"/>
      <c r="I9772" s="56"/>
      <c r="J9772" s="58"/>
      <c r="K9772" s="58"/>
      <c r="L9772" s="13" t="str">
        <f t="shared" si="1614"/>
        <v/>
      </c>
      <c r="M9772" s="13" t="str">
        <f t="shared" si="1615"/>
        <v/>
      </c>
      <c r="Q9772" t="str">
        <f t="shared" si="1616"/>
        <v/>
      </c>
      <c r="R9772" t="str">
        <f t="shared" si="1617"/>
        <v/>
      </c>
      <c r="S9772" t="str">
        <f t="shared" si="1618"/>
        <v/>
      </c>
      <c r="T9772" t="str">
        <f t="shared" si="1619"/>
        <v/>
      </c>
      <c r="U9772" t="str">
        <f t="shared" si="1620"/>
        <v/>
      </c>
      <c r="V9772" t="str">
        <f t="shared" si="1621"/>
        <v/>
      </c>
      <c r="W9772" t="str">
        <f t="shared" si="1622"/>
        <v/>
      </c>
      <c r="X9772">
        <f t="shared" si="1612"/>
        <v>0</v>
      </c>
      <c r="Z9772" t="str">
        <f t="shared" si="1623"/>
        <v/>
      </c>
      <c r="AA9772">
        <f t="shared" si="1613"/>
        <v>0</v>
      </c>
    </row>
    <row r="9773" spans="1:27" ht="21" customHeight="1" x14ac:dyDescent="0.95">
      <c r="A9773" s="56"/>
      <c r="B9773" s="57"/>
      <c r="C9773" s="57"/>
      <c r="D9773" s="57"/>
      <c r="E9773" s="56"/>
      <c r="F9773" s="57"/>
      <c r="G9773" s="57"/>
      <c r="H9773" s="56"/>
      <c r="I9773" s="56"/>
      <c r="J9773" s="58"/>
      <c r="K9773" s="58"/>
      <c r="L9773" s="13" t="str">
        <f t="shared" si="1614"/>
        <v/>
      </c>
      <c r="M9773" s="13" t="str">
        <f t="shared" si="1615"/>
        <v/>
      </c>
      <c r="Q9773" t="str">
        <f t="shared" si="1616"/>
        <v/>
      </c>
      <c r="R9773" t="str">
        <f t="shared" si="1617"/>
        <v/>
      </c>
      <c r="S9773" t="str">
        <f t="shared" si="1618"/>
        <v/>
      </c>
      <c r="T9773" t="str">
        <f t="shared" si="1619"/>
        <v/>
      </c>
      <c r="U9773" t="str">
        <f t="shared" si="1620"/>
        <v/>
      </c>
      <c r="V9773" t="str">
        <f t="shared" si="1621"/>
        <v/>
      </c>
      <c r="W9773" t="str">
        <f t="shared" si="1622"/>
        <v/>
      </c>
      <c r="X9773">
        <f t="shared" si="1612"/>
        <v>0</v>
      </c>
      <c r="Z9773" t="str">
        <f t="shared" si="1623"/>
        <v/>
      </c>
      <c r="AA9773">
        <f t="shared" si="1613"/>
        <v>0</v>
      </c>
    </row>
    <row r="9774" spans="1:27" ht="21" customHeight="1" x14ac:dyDescent="0.95">
      <c r="A9774" s="56"/>
      <c r="B9774" s="57"/>
      <c r="C9774" s="57"/>
      <c r="D9774" s="57"/>
      <c r="E9774" s="56"/>
      <c r="F9774" s="57"/>
      <c r="G9774" s="57"/>
      <c r="H9774" s="56"/>
      <c r="I9774" s="56"/>
      <c r="J9774" s="58"/>
      <c r="K9774" s="58"/>
      <c r="L9774" s="13" t="str">
        <f t="shared" si="1614"/>
        <v/>
      </c>
      <c r="M9774" s="13" t="str">
        <f t="shared" si="1615"/>
        <v/>
      </c>
      <c r="Q9774" t="str">
        <f t="shared" si="1616"/>
        <v/>
      </c>
      <c r="R9774" t="str">
        <f t="shared" si="1617"/>
        <v/>
      </c>
      <c r="S9774" t="str">
        <f t="shared" si="1618"/>
        <v/>
      </c>
      <c r="T9774" t="str">
        <f t="shared" si="1619"/>
        <v/>
      </c>
      <c r="U9774" t="str">
        <f t="shared" si="1620"/>
        <v/>
      </c>
      <c r="V9774" t="str">
        <f t="shared" si="1621"/>
        <v/>
      </c>
      <c r="W9774" t="str">
        <f t="shared" si="1622"/>
        <v/>
      </c>
      <c r="X9774">
        <f t="shared" si="1612"/>
        <v>0</v>
      </c>
      <c r="Z9774" t="str">
        <f t="shared" si="1623"/>
        <v/>
      </c>
      <c r="AA9774">
        <f t="shared" si="1613"/>
        <v>0</v>
      </c>
    </row>
    <row r="9775" spans="1:27" ht="21" customHeight="1" x14ac:dyDescent="0.95">
      <c r="A9775" s="56"/>
      <c r="B9775" s="57"/>
      <c r="C9775" s="57"/>
      <c r="D9775" s="57"/>
      <c r="E9775" s="56"/>
      <c r="F9775" s="57"/>
      <c r="G9775" s="57"/>
      <c r="H9775" s="56"/>
      <c r="I9775" s="56"/>
      <c r="J9775" s="58"/>
      <c r="K9775" s="58"/>
      <c r="L9775" s="13" t="str">
        <f t="shared" si="1614"/>
        <v/>
      </c>
      <c r="M9775" s="13" t="str">
        <f t="shared" si="1615"/>
        <v/>
      </c>
      <c r="Q9775" t="str">
        <f t="shared" si="1616"/>
        <v/>
      </c>
      <c r="R9775" t="str">
        <f t="shared" si="1617"/>
        <v/>
      </c>
      <c r="S9775" t="str">
        <f t="shared" si="1618"/>
        <v/>
      </c>
      <c r="T9775" t="str">
        <f t="shared" si="1619"/>
        <v/>
      </c>
      <c r="U9775" t="str">
        <f t="shared" si="1620"/>
        <v/>
      </c>
      <c r="V9775" t="str">
        <f t="shared" si="1621"/>
        <v/>
      </c>
      <c r="W9775" t="str">
        <f t="shared" si="1622"/>
        <v/>
      </c>
      <c r="X9775">
        <f t="shared" si="1612"/>
        <v>0</v>
      </c>
      <c r="Z9775" t="str">
        <f t="shared" si="1623"/>
        <v/>
      </c>
      <c r="AA9775">
        <f t="shared" si="1613"/>
        <v>0</v>
      </c>
    </row>
    <row r="9776" spans="1:27" ht="21" customHeight="1" x14ac:dyDescent="0.95">
      <c r="A9776" s="56"/>
      <c r="B9776" s="57"/>
      <c r="C9776" s="57"/>
      <c r="D9776" s="57"/>
      <c r="E9776" s="56"/>
      <c r="F9776" s="57"/>
      <c r="G9776" s="57"/>
      <c r="H9776" s="56"/>
      <c r="I9776" s="56"/>
      <c r="J9776" s="58"/>
      <c r="K9776" s="58"/>
      <c r="L9776" s="13" t="str">
        <f t="shared" si="1614"/>
        <v/>
      </c>
      <c r="M9776" s="13" t="str">
        <f t="shared" si="1615"/>
        <v/>
      </c>
      <c r="Q9776" t="str">
        <f t="shared" si="1616"/>
        <v/>
      </c>
      <c r="R9776" t="str">
        <f t="shared" si="1617"/>
        <v/>
      </c>
      <c r="S9776" t="str">
        <f t="shared" si="1618"/>
        <v/>
      </c>
      <c r="T9776" t="str">
        <f t="shared" si="1619"/>
        <v/>
      </c>
      <c r="U9776" t="str">
        <f t="shared" si="1620"/>
        <v/>
      </c>
      <c r="V9776" t="str">
        <f t="shared" si="1621"/>
        <v/>
      </c>
      <c r="W9776" t="str">
        <f t="shared" si="1622"/>
        <v/>
      </c>
      <c r="X9776">
        <f t="shared" si="1612"/>
        <v>0</v>
      </c>
      <c r="Z9776" t="str">
        <f t="shared" si="1623"/>
        <v/>
      </c>
      <c r="AA9776">
        <f t="shared" si="1613"/>
        <v>0</v>
      </c>
    </row>
    <row r="9777" spans="1:27" ht="21" customHeight="1" x14ac:dyDescent="0.95">
      <c r="A9777" s="56"/>
      <c r="B9777" s="57"/>
      <c r="C9777" s="57"/>
      <c r="D9777" s="57"/>
      <c r="E9777" s="56"/>
      <c r="F9777" s="57"/>
      <c r="G9777" s="57"/>
      <c r="H9777" s="56"/>
      <c r="I9777" s="56"/>
      <c r="J9777" s="58"/>
      <c r="K9777" s="58"/>
      <c r="L9777" s="13" t="str">
        <f t="shared" si="1614"/>
        <v/>
      </c>
      <c r="M9777" s="13" t="str">
        <f t="shared" si="1615"/>
        <v/>
      </c>
      <c r="Q9777" t="str">
        <f t="shared" si="1616"/>
        <v/>
      </c>
      <c r="R9777" t="str">
        <f t="shared" si="1617"/>
        <v/>
      </c>
      <c r="S9777" t="str">
        <f t="shared" si="1618"/>
        <v/>
      </c>
      <c r="T9777" t="str">
        <f t="shared" si="1619"/>
        <v/>
      </c>
      <c r="U9777" t="str">
        <f t="shared" si="1620"/>
        <v/>
      </c>
      <c r="V9777" t="str">
        <f t="shared" si="1621"/>
        <v/>
      </c>
      <c r="W9777" t="str">
        <f t="shared" si="1622"/>
        <v/>
      </c>
      <c r="X9777">
        <f t="shared" si="1612"/>
        <v>0</v>
      </c>
      <c r="Z9777" t="str">
        <f t="shared" si="1623"/>
        <v/>
      </c>
      <c r="AA9777">
        <f t="shared" si="1613"/>
        <v>0</v>
      </c>
    </row>
    <row r="9778" spans="1:27" ht="21" customHeight="1" x14ac:dyDescent="0.95">
      <c r="A9778" s="56"/>
      <c r="B9778" s="57"/>
      <c r="C9778" s="57"/>
      <c r="D9778" s="57"/>
      <c r="E9778" s="56"/>
      <c r="F9778" s="57"/>
      <c r="G9778" s="57"/>
      <c r="H9778" s="56"/>
      <c r="I9778" s="56"/>
      <c r="J9778" s="58"/>
      <c r="K9778" s="58"/>
      <c r="L9778" s="13" t="str">
        <f t="shared" si="1614"/>
        <v/>
      </c>
      <c r="M9778" s="13" t="str">
        <f t="shared" si="1615"/>
        <v/>
      </c>
      <c r="Q9778" t="str">
        <f t="shared" si="1616"/>
        <v/>
      </c>
      <c r="R9778" t="str">
        <f t="shared" si="1617"/>
        <v/>
      </c>
      <c r="S9778" t="str">
        <f t="shared" si="1618"/>
        <v/>
      </c>
      <c r="T9778" t="str">
        <f t="shared" si="1619"/>
        <v/>
      </c>
      <c r="U9778" t="str">
        <f t="shared" si="1620"/>
        <v/>
      </c>
      <c r="V9778" t="str">
        <f t="shared" si="1621"/>
        <v/>
      </c>
      <c r="W9778" t="str">
        <f t="shared" si="1622"/>
        <v/>
      </c>
      <c r="X9778">
        <f t="shared" si="1612"/>
        <v>0</v>
      </c>
      <c r="Z9778" t="str">
        <f t="shared" si="1623"/>
        <v/>
      </c>
      <c r="AA9778">
        <f t="shared" si="1613"/>
        <v>0</v>
      </c>
    </row>
    <row r="9779" spans="1:27" ht="21" customHeight="1" x14ac:dyDescent="0.95">
      <c r="A9779" s="56"/>
      <c r="B9779" s="57"/>
      <c r="C9779" s="57"/>
      <c r="D9779" s="57"/>
      <c r="E9779" s="56"/>
      <c r="F9779" s="57"/>
      <c r="G9779" s="57"/>
      <c r="H9779" s="56"/>
      <c r="I9779" s="56"/>
      <c r="J9779" s="58"/>
      <c r="K9779" s="58"/>
      <c r="L9779" s="13" t="str">
        <f t="shared" si="1614"/>
        <v/>
      </c>
      <c r="M9779" s="13" t="str">
        <f t="shared" si="1615"/>
        <v/>
      </c>
      <c r="Q9779" t="str">
        <f t="shared" si="1616"/>
        <v/>
      </c>
      <c r="R9779" t="str">
        <f t="shared" si="1617"/>
        <v/>
      </c>
      <c r="S9779" t="str">
        <f t="shared" si="1618"/>
        <v/>
      </c>
      <c r="T9779" t="str">
        <f t="shared" si="1619"/>
        <v/>
      </c>
      <c r="U9779" t="str">
        <f t="shared" si="1620"/>
        <v/>
      </c>
      <c r="V9779" t="str">
        <f t="shared" si="1621"/>
        <v/>
      </c>
      <c r="W9779" t="str">
        <f t="shared" si="1622"/>
        <v/>
      </c>
      <c r="X9779">
        <f t="shared" si="1612"/>
        <v>0</v>
      </c>
      <c r="Z9779" t="str">
        <f t="shared" si="1623"/>
        <v/>
      </c>
      <c r="AA9779">
        <f t="shared" si="1613"/>
        <v>0</v>
      </c>
    </row>
    <row r="9780" spans="1:27" ht="21" customHeight="1" x14ac:dyDescent="0.95">
      <c r="A9780" s="56"/>
      <c r="B9780" s="57"/>
      <c r="C9780" s="57"/>
      <c r="D9780" s="57"/>
      <c r="E9780" s="56"/>
      <c r="F9780" s="57"/>
      <c r="G9780" s="57"/>
      <c r="H9780" s="56"/>
      <c r="I9780" s="56"/>
      <c r="J9780" s="58"/>
      <c r="K9780" s="58"/>
      <c r="L9780" s="13" t="str">
        <f t="shared" si="1614"/>
        <v/>
      </c>
      <c r="M9780" s="13" t="str">
        <f t="shared" si="1615"/>
        <v/>
      </c>
      <c r="Q9780" t="str">
        <f t="shared" si="1616"/>
        <v/>
      </c>
      <c r="R9780" t="str">
        <f t="shared" si="1617"/>
        <v/>
      </c>
      <c r="S9780" t="str">
        <f t="shared" si="1618"/>
        <v/>
      </c>
      <c r="T9780" t="str">
        <f t="shared" si="1619"/>
        <v/>
      </c>
      <c r="U9780" t="str">
        <f t="shared" si="1620"/>
        <v/>
      </c>
      <c r="V9780" t="str">
        <f t="shared" si="1621"/>
        <v/>
      </c>
      <c r="W9780" t="str">
        <f t="shared" si="1622"/>
        <v/>
      </c>
      <c r="X9780">
        <f t="shared" si="1612"/>
        <v>0</v>
      </c>
      <c r="Z9780" t="str">
        <f t="shared" si="1623"/>
        <v/>
      </c>
      <c r="AA9780">
        <f t="shared" si="1613"/>
        <v>0</v>
      </c>
    </row>
    <row r="9781" spans="1:27" ht="21" customHeight="1" x14ac:dyDescent="0.95">
      <c r="A9781" s="56"/>
      <c r="B9781" s="57"/>
      <c r="C9781" s="57"/>
      <c r="D9781" s="57"/>
      <c r="E9781" s="56"/>
      <c r="F9781" s="57"/>
      <c r="G9781" s="57"/>
      <c r="H9781" s="56"/>
      <c r="I9781" s="56"/>
      <c r="J9781" s="58"/>
      <c r="K9781" s="58"/>
      <c r="L9781" s="13" t="str">
        <f t="shared" si="1614"/>
        <v/>
      </c>
      <c r="M9781" s="13" t="str">
        <f t="shared" si="1615"/>
        <v/>
      </c>
      <c r="Q9781" t="str">
        <f t="shared" si="1616"/>
        <v/>
      </c>
      <c r="R9781" t="str">
        <f t="shared" si="1617"/>
        <v/>
      </c>
      <c r="S9781" t="str">
        <f t="shared" si="1618"/>
        <v/>
      </c>
      <c r="T9781" t="str">
        <f t="shared" si="1619"/>
        <v/>
      </c>
      <c r="U9781" t="str">
        <f t="shared" si="1620"/>
        <v/>
      </c>
      <c r="V9781" t="str">
        <f t="shared" si="1621"/>
        <v/>
      </c>
      <c r="W9781" t="str">
        <f t="shared" si="1622"/>
        <v/>
      </c>
      <c r="X9781">
        <f t="shared" ref="X9781:X9844" si="1624">IF($T9781="",N($X9780),IF(MATCH($T9781,$T$6:$T$10005,0)=ROW()-5,N($X9780)+1,N($X9780)))</f>
        <v>0</v>
      </c>
      <c r="Z9781" t="str">
        <f t="shared" si="1623"/>
        <v/>
      </c>
      <c r="AA9781">
        <f t="shared" ref="AA9781:AA9844" si="1625">IF($V9781="",N($AA9780),IF(MATCH($V9781,$V$6:$V$10005,0)=ROW()-5,N($AA9780)+1,N($AA9780)))</f>
        <v>0</v>
      </c>
    </row>
    <row r="9782" spans="1:27" ht="21" customHeight="1" x14ac:dyDescent="0.95">
      <c r="A9782" s="56"/>
      <c r="B9782" s="57"/>
      <c r="C9782" s="57"/>
      <c r="D9782" s="57"/>
      <c r="E9782" s="56"/>
      <c r="F9782" s="57"/>
      <c r="G9782" s="57"/>
      <c r="H9782" s="56"/>
      <c r="I9782" s="56"/>
      <c r="J9782" s="58"/>
      <c r="K9782" s="58"/>
      <c r="L9782" s="13" t="str">
        <f t="shared" si="1614"/>
        <v/>
      </c>
      <c r="M9782" s="13" t="str">
        <f t="shared" si="1615"/>
        <v/>
      </c>
      <c r="Q9782" t="str">
        <f t="shared" si="1616"/>
        <v/>
      </c>
      <c r="R9782" t="str">
        <f t="shared" si="1617"/>
        <v/>
      </c>
      <c r="S9782" t="str">
        <f t="shared" si="1618"/>
        <v/>
      </c>
      <c r="T9782" t="str">
        <f t="shared" si="1619"/>
        <v/>
      </c>
      <c r="U9782" t="str">
        <f t="shared" si="1620"/>
        <v/>
      </c>
      <c r="V9782" t="str">
        <f t="shared" si="1621"/>
        <v/>
      </c>
      <c r="W9782" t="str">
        <f t="shared" si="1622"/>
        <v/>
      </c>
      <c r="X9782">
        <f t="shared" si="1624"/>
        <v>0</v>
      </c>
      <c r="Z9782" t="str">
        <f t="shared" si="1623"/>
        <v/>
      </c>
      <c r="AA9782">
        <f t="shared" si="1625"/>
        <v>0</v>
      </c>
    </row>
    <row r="9783" spans="1:27" ht="21" customHeight="1" x14ac:dyDescent="0.95">
      <c r="A9783" s="56"/>
      <c r="B9783" s="57"/>
      <c r="C9783" s="57"/>
      <c r="D9783" s="57"/>
      <c r="E9783" s="56"/>
      <c r="F9783" s="57"/>
      <c r="G9783" s="57"/>
      <c r="H9783" s="56"/>
      <c r="I9783" s="56"/>
      <c r="J9783" s="58"/>
      <c r="K9783" s="58"/>
      <c r="L9783" s="13" t="str">
        <f t="shared" si="1614"/>
        <v/>
      </c>
      <c r="M9783" s="13" t="str">
        <f t="shared" si="1615"/>
        <v/>
      </c>
      <c r="Q9783" t="str">
        <f t="shared" si="1616"/>
        <v/>
      </c>
      <c r="R9783" t="str">
        <f t="shared" si="1617"/>
        <v/>
      </c>
      <c r="S9783" t="str">
        <f t="shared" si="1618"/>
        <v/>
      </c>
      <c r="T9783" t="str">
        <f t="shared" si="1619"/>
        <v/>
      </c>
      <c r="U9783" t="str">
        <f t="shared" si="1620"/>
        <v/>
      </c>
      <c r="V9783" t="str">
        <f t="shared" si="1621"/>
        <v/>
      </c>
      <c r="W9783" t="str">
        <f t="shared" si="1622"/>
        <v/>
      </c>
      <c r="X9783">
        <f t="shared" si="1624"/>
        <v>0</v>
      </c>
      <c r="Z9783" t="str">
        <f t="shared" si="1623"/>
        <v/>
      </c>
      <c r="AA9783">
        <f t="shared" si="1625"/>
        <v>0</v>
      </c>
    </row>
    <row r="9784" spans="1:27" ht="21" customHeight="1" x14ac:dyDescent="0.95">
      <c r="A9784" s="56"/>
      <c r="B9784" s="57"/>
      <c r="C9784" s="57"/>
      <c r="D9784" s="57"/>
      <c r="E9784" s="56"/>
      <c r="F9784" s="57"/>
      <c r="G9784" s="57"/>
      <c r="H9784" s="56"/>
      <c r="I9784" s="56"/>
      <c r="J9784" s="58"/>
      <c r="K9784" s="58"/>
      <c r="L9784" s="13" t="str">
        <f t="shared" si="1614"/>
        <v/>
      </c>
      <c r="M9784" s="13" t="str">
        <f t="shared" si="1615"/>
        <v/>
      </c>
      <c r="Q9784" t="str">
        <f t="shared" si="1616"/>
        <v/>
      </c>
      <c r="R9784" t="str">
        <f t="shared" si="1617"/>
        <v/>
      </c>
      <c r="S9784" t="str">
        <f t="shared" si="1618"/>
        <v/>
      </c>
      <c r="T9784" t="str">
        <f t="shared" si="1619"/>
        <v/>
      </c>
      <c r="U9784" t="str">
        <f t="shared" si="1620"/>
        <v/>
      </c>
      <c r="V9784" t="str">
        <f t="shared" si="1621"/>
        <v/>
      </c>
      <c r="W9784" t="str">
        <f t="shared" si="1622"/>
        <v/>
      </c>
      <c r="X9784">
        <f t="shared" si="1624"/>
        <v>0</v>
      </c>
      <c r="Z9784" t="str">
        <f t="shared" si="1623"/>
        <v/>
      </c>
      <c r="AA9784">
        <f t="shared" si="1625"/>
        <v>0</v>
      </c>
    </row>
    <row r="9785" spans="1:27" ht="21" customHeight="1" x14ac:dyDescent="0.95">
      <c r="A9785" s="56"/>
      <c r="B9785" s="57"/>
      <c r="C9785" s="57"/>
      <c r="D9785" s="57"/>
      <c r="E9785" s="56"/>
      <c r="F9785" s="57"/>
      <c r="G9785" s="57"/>
      <c r="H9785" s="56"/>
      <c r="I9785" s="56"/>
      <c r="J9785" s="58"/>
      <c r="K9785" s="58"/>
      <c r="L9785" s="13" t="str">
        <f t="shared" si="1614"/>
        <v/>
      </c>
      <c r="M9785" s="13" t="str">
        <f t="shared" si="1615"/>
        <v/>
      </c>
      <c r="Q9785" t="str">
        <f t="shared" si="1616"/>
        <v/>
      </c>
      <c r="R9785" t="str">
        <f t="shared" si="1617"/>
        <v/>
      </c>
      <c r="S9785" t="str">
        <f t="shared" si="1618"/>
        <v/>
      </c>
      <c r="T9785" t="str">
        <f t="shared" si="1619"/>
        <v/>
      </c>
      <c r="U9785" t="str">
        <f t="shared" si="1620"/>
        <v/>
      </c>
      <c r="V9785" t="str">
        <f t="shared" si="1621"/>
        <v/>
      </c>
      <c r="W9785" t="str">
        <f t="shared" si="1622"/>
        <v/>
      </c>
      <c r="X9785">
        <f t="shared" si="1624"/>
        <v>0</v>
      </c>
      <c r="Z9785" t="str">
        <f t="shared" si="1623"/>
        <v/>
      </c>
      <c r="AA9785">
        <f t="shared" si="1625"/>
        <v>0</v>
      </c>
    </row>
    <row r="9786" spans="1:27" ht="21" customHeight="1" x14ac:dyDescent="0.95">
      <c r="A9786" s="56"/>
      <c r="B9786" s="57"/>
      <c r="C9786" s="57"/>
      <c r="D9786" s="57"/>
      <c r="E9786" s="56"/>
      <c r="F9786" s="57"/>
      <c r="G9786" s="57"/>
      <c r="H9786" s="56"/>
      <c r="I9786" s="56"/>
      <c r="J9786" s="58"/>
      <c r="K9786" s="58"/>
      <c r="L9786" s="13" t="str">
        <f t="shared" si="1614"/>
        <v/>
      </c>
      <c r="M9786" s="13" t="str">
        <f t="shared" si="1615"/>
        <v/>
      </c>
      <c r="Q9786" t="str">
        <f t="shared" si="1616"/>
        <v/>
      </c>
      <c r="R9786" t="str">
        <f t="shared" si="1617"/>
        <v/>
      </c>
      <c r="S9786" t="str">
        <f t="shared" si="1618"/>
        <v/>
      </c>
      <c r="T9786" t="str">
        <f t="shared" si="1619"/>
        <v/>
      </c>
      <c r="U9786" t="str">
        <f t="shared" si="1620"/>
        <v/>
      </c>
      <c r="V9786" t="str">
        <f t="shared" si="1621"/>
        <v/>
      </c>
      <c r="W9786" t="str">
        <f t="shared" si="1622"/>
        <v/>
      </c>
      <c r="X9786">
        <f t="shared" si="1624"/>
        <v>0</v>
      </c>
      <c r="Z9786" t="str">
        <f t="shared" si="1623"/>
        <v/>
      </c>
      <c r="AA9786">
        <f t="shared" si="1625"/>
        <v>0</v>
      </c>
    </row>
    <row r="9787" spans="1:27" ht="21" customHeight="1" x14ac:dyDescent="0.95">
      <c r="A9787" s="56"/>
      <c r="B9787" s="57"/>
      <c r="C9787" s="57"/>
      <c r="D9787" s="57"/>
      <c r="E9787" s="56"/>
      <c r="F9787" s="57"/>
      <c r="G9787" s="57"/>
      <c r="H9787" s="56"/>
      <c r="I9787" s="56"/>
      <c r="J9787" s="58"/>
      <c r="K9787" s="58"/>
      <c r="L9787" s="13" t="str">
        <f t="shared" si="1614"/>
        <v/>
      </c>
      <c r="M9787" s="13" t="str">
        <f t="shared" si="1615"/>
        <v/>
      </c>
      <c r="Q9787" t="str">
        <f t="shared" si="1616"/>
        <v/>
      </c>
      <c r="R9787" t="str">
        <f t="shared" si="1617"/>
        <v/>
      </c>
      <c r="S9787" t="str">
        <f t="shared" si="1618"/>
        <v/>
      </c>
      <c r="T9787" t="str">
        <f t="shared" si="1619"/>
        <v/>
      </c>
      <c r="U9787" t="str">
        <f t="shared" si="1620"/>
        <v/>
      </c>
      <c r="V9787" t="str">
        <f t="shared" si="1621"/>
        <v/>
      </c>
      <c r="W9787" t="str">
        <f t="shared" si="1622"/>
        <v/>
      </c>
      <c r="X9787">
        <f t="shared" si="1624"/>
        <v>0</v>
      </c>
      <c r="Z9787" t="str">
        <f t="shared" si="1623"/>
        <v/>
      </c>
      <c r="AA9787">
        <f t="shared" si="1625"/>
        <v>0</v>
      </c>
    </row>
    <row r="9788" spans="1:27" ht="21" customHeight="1" x14ac:dyDescent="0.95">
      <c r="A9788" s="56"/>
      <c r="B9788" s="57"/>
      <c r="C9788" s="57"/>
      <c r="D9788" s="57"/>
      <c r="E9788" s="56"/>
      <c r="F9788" s="57"/>
      <c r="G9788" s="57"/>
      <c r="H9788" s="56"/>
      <c r="I9788" s="56"/>
      <c r="J9788" s="58"/>
      <c r="K9788" s="58"/>
      <c r="L9788" s="13" t="str">
        <f t="shared" si="1614"/>
        <v/>
      </c>
      <c r="M9788" s="13" t="str">
        <f t="shared" si="1615"/>
        <v/>
      </c>
      <c r="Q9788" t="str">
        <f t="shared" si="1616"/>
        <v/>
      </c>
      <c r="R9788" t="str">
        <f t="shared" si="1617"/>
        <v/>
      </c>
      <c r="S9788" t="str">
        <f t="shared" si="1618"/>
        <v/>
      </c>
      <c r="T9788" t="str">
        <f t="shared" si="1619"/>
        <v/>
      </c>
      <c r="U9788" t="str">
        <f t="shared" si="1620"/>
        <v/>
      </c>
      <c r="V9788" t="str">
        <f t="shared" si="1621"/>
        <v/>
      </c>
      <c r="W9788" t="str">
        <f t="shared" si="1622"/>
        <v/>
      </c>
      <c r="X9788">
        <f t="shared" si="1624"/>
        <v>0</v>
      </c>
      <c r="Z9788" t="str">
        <f t="shared" si="1623"/>
        <v/>
      </c>
      <c r="AA9788">
        <f t="shared" si="1625"/>
        <v>0</v>
      </c>
    </row>
    <row r="9789" spans="1:27" ht="21" customHeight="1" x14ac:dyDescent="0.95">
      <c r="A9789" s="56"/>
      <c r="B9789" s="57"/>
      <c r="C9789" s="57"/>
      <c r="D9789" s="57"/>
      <c r="E9789" s="56"/>
      <c r="F9789" s="57"/>
      <c r="G9789" s="57"/>
      <c r="H9789" s="56"/>
      <c r="I9789" s="56"/>
      <c r="J9789" s="58"/>
      <c r="K9789" s="58"/>
      <c r="L9789" s="13" t="str">
        <f t="shared" si="1614"/>
        <v/>
      </c>
      <c r="M9789" s="13" t="str">
        <f t="shared" si="1615"/>
        <v/>
      </c>
      <c r="Q9789" t="str">
        <f t="shared" si="1616"/>
        <v/>
      </c>
      <c r="R9789" t="str">
        <f t="shared" si="1617"/>
        <v/>
      </c>
      <c r="S9789" t="str">
        <f t="shared" si="1618"/>
        <v/>
      </c>
      <c r="T9789" t="str">
        <f t="shared" si="1619"/>
        <v/>
      </c>
      <c r="U9789" t="str">
        <f t="shared" si="1620"/>
        <v/>
      </c>
      <c r="V9789" t="str">
        <f t="shared" si="1621"/>
        <v/>
      </c>
      <c r="W9789" t="str">
        <f t="shared" si="1622"/>
        <v/>
      </c>
      <c r="X9789">
        <f t="shared" si="1624"/>
        <v>0</v>
      </c>
      <c r="Z9789" t="str">
        <f t="shared" si="1623"/>
        <v/>
      </c>
      <c r="AA9789">
        <f t="shared" si="1625"/>
        <v>0</v>
      </c>
    </row>
    <row r="9790" spans="1:27" ht="21" customHeight="1" x14ac:dyDescent="0.95">
      <c r="A9790" s="56"/>
      <c r="B9790" s="57"/>
      <c r="C9790" s="57"/>
      <c r="D9790" s="57"/>
      <c r="E9790" s="56"/>
      <c r="F9790" s="57"/>
      <c r="G9790" s="57"/>
      <c r="H9790" s="56"/>
      <c r="I9790" s="56"/>
      <c r="J9790" s="58"/>
      <c r="K9790" s="58"/>
      <c r="L9790" s="13" t="str">
        <f t="shared" si="1614"/>
        <v/>
      </c>
      <c r="M9790" s="13" t="str">
        <f t="shared" si="1615"/>
        <v/>
      </c>
      <c r="Q9790" t="str">
        <f t="shared" si="1616"/>
        <v/>
      </c>
      <c r="R9790" t="str">
        <f t="shared" si="1617"/>
        <v/>
      </c>
      <c r="S9790" t="str">
        <f t="shared" si="1618"/>
        <v/>
      </c>
      <c r="T9790" t="str">
        <f t="shared" si="1619"/>
        <v/>
      </c>
      <c r="U9790" t="str">
        <f t="shared" si="1620"/>
        <v/>
      </c>
      <c r="V9790" t="str">
        <f t="shared" si="1621"/>
        <v/>
      </c>
      <c r="W9790" t="str">
        <f t="shared" si="1622"/>
        <v/>
      </c>
      <c r="X9790">
        <f t="shared" si="1624"/>
        <v>0</v>
      </c>
      <c r="Z9790" t="str">
        <f t="shared" si="1623"/>
        <v/>
      </c>
      <c r="AA9790">
        <f t="shared" si="1625"/>
        <v>0</v>
      </c>
    </row>
    <row r="9791" spans="1:27" ht="21" customHeight="1" x14ac:dyDescent="0.95">
      <c r="A9791" s="56"/>
      <c r="B9791" s="57"/>
      <c r="C9791" s="57"/>
      <c r="D9791" s="57"/>
      <c r="E9791" s="56"/>
      <c r="F9791" s="57"/>
      <c r="G9791" s="57"/>
      <c r="H9791" s="56"/>
      <c r="I9791" s="56"/>
      <c r="J9791" s="58"/>
      <c r="K9791" s="58"/>
      <c r="L9791" s="13" t="str">
        <f t="shared" si="1614"/>
        <v/>
      </c>
      <c r="M9791" s="13" t="str">
        <f t="shared" si="1615"/>
        <v/>
      </c>
      <c r="Q9791" t="str">
        <f t="shared" si="1616"/>
        <v/>
      </c>
      <c r="R9791" t="str">
        <f t="shared" si="1617"/>
        <v/>
      </c>
      <c r="S9791" t="str">
        <f t="shared" si="1618"/>
        <v/>
      </c>
      <c r="T9791" t="str">
        <f t="shared" si="1619"/>
        <v/>
      </c>
      <c r="U9791" t="str">
        <f t="shared" si="1620"/>
        <v/>
      </c>
      <c r="V9791" t="str">
        <f t="shared" si="1621"/>
        <v/>
      </c>
      <c r="W9791" t="str">
        <f t="shared" si="1622"/>
        <v/>
      </c>
      <c r="X9791">
        <f t="shared" si="1624"/>
        <v>0</v>
      </c>
      <c r="Z9791" t="str">
        <f t="shared" si="1623"/>
        <v/>
      </c>
      <c r="AA9791">
        <f t="shared" si="1625"/>
        <v>0</v>
      </c>
    </row>
    <row r="9792" spans="1:27" ht="21" customHeight="1" x14ac:dyDescent="0.95">
      <c r="A9792" s="56"/>
      <c r="B9792" s="57"/>
      <c r="C9792" s="57"/>
      <c r="D9792" s="57"/>
      <c r="E9792" s="56"/>
      <c r="F9792" s="57"/>
      <c r="G9792" s="57"/>
      <c r="H9792" s="56"/>
      <c r="I9792" s="56"/>
      <c r="J9792" s="58"/>
      <c r="K9792" s="58"/>
      <c r="L9792" s="13" t="str">
        <f t="shared" si="1614"/>
        <v/>
      </c>
      <c r="M9792" s="13" t="str">
        <f t="shared" si="1615"/>
        <v/>
      </c>
      <c r="Q9792" t="str">
        <f t="shared" si="1616"/>
        <v/>
      </c>
      <c r="R9792" t="str">
        <f t="shared" si="1617"/>
        <v/>
      </c>
      <c r="S9792" t="str">
        <f t="shared" si="1618"/>
        <v/>
      </c>
      <c r="T9792" t="str">
        <f t="shared" si="1619"/>
        <v/>
      </c>
      <c r="U9792" t="str">
        <f t="shared" si="1620"/>
        <v/>
      </c>
      <c r="V9792" t="str">
        <f t="shared" si="1621"/>
        <v/>
      </c>
      <c r="W9792" t="str">
        <f t="shared" si="1622"/>
        <v/>
      </c>
      <c r="X9792">
        <f t="shared" si="1624"/>
        <v>0</v>
      </c>
      <c r="Z9792" t="str">
        <f t="shared" si="1623"/>
        <v/>
      </c>
      <c r="AA9792">
        <f t="shared" si="1625"/>
        <v>0</v>
      </c>
    </row>
    <row r="9793" spans="1:27" ht="21" customHeight="1" x14ac:dyDescent="0.95">
      <c r="A9793" s="56"/>
      <c r="B9793" s="57"/>
      <c r="C9793" s="57"/>
      <c r="D9793" s="57"/>
      <c r="E9793" s="56"/>
      <c r="F9793" s="57"/>
      <c r="G9793" s="57"/>
      <c r="H9793" s="56"/>
      <c r="I9793" s="56"/>
      <c r="J9793" s="58"/>
      <c r="K9793" s="58"/>
      <c r="L9793" s="13" t="str">
        <f t="shared" si="1614"/>
        <v/>
      </c>
      <c r="M9793" s="13" t="str">
        <f t="shared" si="1615"/>
        <v/>
      </c>
      <c r="Q9793" t="str">
        <f t="shared" si="1616"/>
        <v/>
      </c>
      <c r="R9793" t="str">
        <f t="shared" si="1617"/>
        <v/>
      </c>
      <c r="S9793" t="str">
        <f t="shared" si="1618"/>
        <v/>
      </c>
      <c r="T9793" t="str">
        <f t="shared" si="1619"/>
        <v/>
      </c>
      <c r="U9793" t="str">
        <f t="shared" si="1620"/>
        <v/>
      </c>
      <c r="V9793" t="str">
        <f t="shared" si="1621"/>
        <v/>
      </c>
      <c r="W9793" t="str">
        <f t="shared" si="1622"/>
        <v/>
      </c>
      <c r="X9793">
        <f t="shared" si="1624"/>
        <v>0</v>
      </c>
      <c r="Z9793" t="str">
        <f t="shared" si="1623"/>
        <v/>
      </c>
      <c r="AA9793">
        <f t="shared" si="1625"/>
        <v>0</v>
      </c>
    </row>
    <row r="9794" spans="1:27" ht="21" customHeight="1" x14ac:dyDescent="0.95">
      <c r="A9794" s="56"/>
      <c r="B9794" s="57"/>
      <c r="C9794" s="57"/>
      <c r="D9794" s="57"/>
      <c r="E9794" s="56"/>
      <c r="F9794" s="57"/>
      <c r="G9794" s="57"/>
      <c r="H9794" s="56"/>
      <c r="I9794" s="56"/>
      <c r="J9794" s="58"/>
      <c r="K9794" s="58"/>
      <c r="L9794" s="13" t="str">
        <f t="shared" si="1614"/>
        <v/>
      </c>
      <c r="M9794" s="13" t="str">
        <f t="shared" si="1615"/>
        <v/>
      </c>
      <c r="Q9794" t="str">
        <f t="shared" si="1616"/>
        <v/>
      </c>
      <c r="R9794" t="str">
        <f t="shared" si="1617"/>
        <v/>
      </c>
      <c r="S9794" t="str">
        <f t="shared" si="1618"/>
        <v/>
      </c>
      <c r="T9794" t="str">
        <f t="shared" si="1619"/>
        <v/>
      </c>
      <c r="U9794" t="str">
        <f t="shared" si="1620"/>
        <v/>
      </c>
      <c r="V9794" t="str">
        <f t="shared" si="1621"/>
        <v/>
      </c>
      <c r="W9794" t="str">
        <f t="shared" si="1622"/>
        <v/>
      </c>
      <c r="X9794">
        <f t="shared" si="1624"/>
        <v>0</v>
      </c>
      <c r="Z9794" t="str">
        <f t="shared" si="1623"/>
        <v/>
      </c>
      <c r="AA9794">
        <f t="shared" si="1625"/>
        <v>0</v>
      </c>
    </row>
    <row r="9795" spans="1:27" ht="21" customHeight="1" x14ac:dyDescent="0.95">
      <c r="A9795" s="56"/>
      <c r="B9795" s="57"/>
      <c r="C9795" s="57"/>
      <c r="D9795" s="57"/>
      <c r="E9795" s="56"/>
      <c r="F9795" s="57"/>
      <c r="G9795" s="57"/>
      <c r="H9795" s="56"/>
      <c r="I9795" s="56"/>
      <c r="J9795" s="58"/>
      <c r="K9795" s="58"/>
      <c r="L9795" s="13" t="str">
        <f t="shared" si="1614"/>
        <v/>
      </c>
      <c r="M9795" s="13" t="str">
        <f t="shared" si="1615"/>
        <v/>
      </c>
      <c r="Q9795" t="str">
        <f t="shared" si="1616"/>
        <v/>
      </c>
      <c r="R9795" t="str">
        <f t="shared" si="1617"/>
        <v/>
      </c>
      <c r="S9795" t="str">
        <f t="shared" si="1618"/>
        <v/>
      </c>
      <c r="T9795" t="str">
        <f t="shared" si="1619"/>
        <v/>
      </c>
      <c r="U9795" t="str">
        <f t="shared" si="1620"/>
        <v/>
      </c>
      <c r="V9795" t="str">
        <f t="shared" si="1621"/>
        <v/>
      </c>
      <c r="W9795" t="str">
        <f t="shared" si="1622"/>
        <v/>
      </c>
      <c r="X9795">
        <f t="shared" si="1624"/>
        <v>0</v>
      </c>
      <c r="Z9795" t="str">
        <f t="shared" si="1623"/>
        <v/>
      </c>
      <c r="AA9795">
        <f t="shared" si="1625"/>
        <v>0</v>
      </c>
    </row>
    <row r="9796" spans="1:27" ht="21" customHeight="1" x14ac:dyDescent="0.95">
      <c r="A9796" s="56"/>
      <c r="B9796" s="57"/>
      <c r="C9796" s="57"/>
      <c r="D9796" s="57"/>
      <c r="E9796" s="56"/>
      <c r="F9796" s="57"/>
      <c r="G9796" s="57"/>
      <c r="H9796" s="56"/>
      <c r="I9796" s="56"/>
      <c r="J9796" s="58"/>
      <c r="K9796" s="58"/>
      <c r="L9796" s="13" t="str">
        <f t="shared" ref="L9796:L9859" si="1626">IF(OR($A9796="",AND($J9796="",$K9796="")),"",ROUND(N($J9796)-N($K9796),2))</f>
        <v/>
      </c>
      <c r="M9796" s="13" t="str">
        <f t="shared" ref="M9796:M9859" si="1627">IF(OR($A9796="",AND($J9796="",$K9796="")),"",MIN($J9796,$K9796))</f>
        <v/>
      </c>
      <c r="Q9796" t="str">
        <f t="shared" ref="Q9796:Q9859" si="1628">IF($A9796="","",$D9796&amp;"("&amp;SUBSTITUTE($E9796," ","")&amp;")")</f>
        <v/>
      </c>
      <c r="R9796" t="str">
        <f t="shared" ref="R9796:R9859" si="1629">IF($A9796="","",$B9796&amp;" - "&amp;$C9796)</f>
        <v/>
      </c>
      <c r="S9796" t="str">
        <f t="shared" ref="S9796:S9859" si="1630">IF($A9796="","",$R9796&amp;"|"&amp;$Q9796)</f>
        <v/>
      </c>
      <c r="T9796" t="str">
        <f t="shared" ref="T9796:T9859" si="1631">IF($A9796="","",$S9796&amp;"|"&amp;$F9796)</f>
        <v/>
      </c>
      <c r="U9796" t="str">
        <f t="shared" ref="U9796:U9859" si="1632">IF($A9796="","",$R9796&amp;"("&amp;$E9796&amp;")")</f>
        <v/>
      </c>
      <c r="V9796" t="str">
        <f t="shared" ref="V9796:V9859" si="1633">IF($A9796="","",$F9796&amp;"|"&amp;$U9796&amp;"|"&amp;$D9796)</f>
        <v/>
      </c>
      <c r="W9796" t="str">
        <f t="shared" si="1622"/>
        <v/>
      </c>
      <c r="X9796">
        <f t="shared" si="1624"/>
        <v>0</v>
      </c>
      <c r="Z9796" t="str">
        <f t="shared" si="1623"/>
        <v/>
      </c>
      <c r="AA9796">
        <f t="shared" si="1625"/>
        <v>0</v>
      </c>
    </row>
    <row r="9797" spans="1:27" ht="21" customHeight="1" x14ac:dyDescent="0.95">
      <c r="A9797" s="56"/>
      <c r="B9797" s="57"/>
      <c r="C9797" s="57"/>
      <c r="D9797" s="57"/>
      <c r="E9797" s="56"/>
      <c r="F9797" s="57"/>
      <c r="G9797" s="57"/>
      <c r="H9797" s="56"/>
      <c r="I9797" s="56"/>
      <c r="J9797" s="58"/>
      <c r="K9797" s="58"/>
      <c r="L9797" s="13" t="str">
        <f t="shared" si="1626"/>
        <v/>
      </c>
      <c r="M9797" s="13" t="str">
        <f t="shared" si="1627"/>
        <v/>
      </c>
      <c r="Q9797" t="str">
        <f t="shared" si="1628"/>
        <v/>
      </c>
      <c r="R9797" t="str">
        <f t="shared" si="1629"/>
        <v/>
      </c>
      <c r="S9797" t="str">
        <f t="shared" si="1630"/>
        <v/>
      </c>
      <c r="T9797" t="str">
        <f t="shared" si="1631"/>
        <v/>
      </c>
      <c r="U9797" t="str">
        <f t="shared" si="1632"/>
        <v/>
      </c>
      <c r="V9797" t="str">
        <f t="shared" si="1633"/>
        <v/>
      </c>
      <c r="W9797" t="str">
        <f t="shared" si="1622"/>
        <v/>
      </c>
      <c r="X9797">
        <f t="shared" si="1624"/>
        <v>0</v>
      </c>
      <c r="Z9797" t="str">
        <f t="shared" si="1623"/>
        <v/>
      </c>
      <c r="AA9797">
        <f t="shared" si="1625"/>
        <v>0</v>
      </c>
    </row>
    <row r="9798" spans="1:27" ht="21" customHeight="1" x14ac:dyDescent="0.95">
      <c r="A9798" s="56"/>
      <c r="B9798" s="57"/>
      <c r="C9798" s="57"/>
      <c r="D9798" s="57"/>
      <c r="E9798" s="56"/>
      <c r="F9798" s="57"/>
      <c r="G9798" s="57"/>
      <c r="H9798" s="56"/>
      <c r="I9798" s="56"/>
      <c r="J9798" s="58"/>
      <c r="K9798" s="58"/>
      <c r="L9798" s="13" t="str">
        <f t="shared" si="1626"/>
        <v/>
      </c>
      <c r="M9798" s="13" t="str">
        <f t="shared" si="1627"/>
        <v/>
      </c>
      <c r="Q9798" t="str">
        <f t="shared" si="1628"/>
        <v/>
      </c>
      <c r="R9798" t="str">
        <f t="shared" si="1629"/>
        <v/>
      </c>
      <c r="S9798" t="str">
        <f t="shared" si="1630"/>
        <v/>
      </c>
      <c r="T9798" t="str">
        <f t="shared" si="1631"/>
        <v/>
      </c>
      <c r="U9798" t="str">
        <f t="shared" si="1632"/>
        <v/>
      </c>
      <c r="V9798" t="str">
        <f t="shared" si="1633"/>
        <v/>
      </c>
      <c r="W9798" t="str">
        <f t="shared" ref="W9798:W9861" si="1634">IF($T9798="","",IF($X9798&gt;N($X9797),$X9798,""))</f>
        <v/>
      </c>
      <c r="X9798">
        <f t="shared" si="1624"/>
        <v>0</v>
      </c>
      <c r="Z9798" t="str">
        <f t="shared" ref="Z9798:Z9861" si="1635">IF($V9798="","",IF($AA9798&gt;N($AA9797),$AA9798,""))</f>
        <v/>
      </c>
      <c r="AA9798">
        <f t="shared" si="1625"/>
        <v>0</v>
      </c>
    </row>
    <row r="9799" spans="1:27" ht="21" customHeight="1" x14ac:dyDescent="0.95">
      <c r="A9799" s="56"/>
      <c r="B9799" s="57"/>
      <c r="C9799" s="57"/>
      <c r="D9799" s="57"/>
      <c r="E9799" s="56"/>
      <c r="F9799" s="57"/>
      <c r="G9799" s="57"/>
      <c r="H9799" s="56"/>
      <c r="I9799" s="56"/>
      <c r="J9799" s="58"/>
      <c r="K9799" s="58"/>
      <c r="L9799" s="13" t="str">
        <f t="shared" si="1626"/>
        <v/>
      </c>
      <c r="M9799" s="13" t="str">
        <f t="shared" si="1627"/>
        <v/>
      </c>
      <c r="Q9799" t="str">
        <f t="shared" si="1628"/>
        <v/>
      </c>
      <c r="R9799" t="str">
        <f t="shared" si="1629"/>
        <v/>
      </c>
      <c r="S9799" t="str">
        <f t="shared" si="1630"/>
        <v/>
      </c>
      <c r="T9799" t="str">
        <f t="shared" si="1631"/>
        <v/>
      </c>
      <c r="U9799" t="str">
        <f t="shared" si="1632"/>
        <v/>
      </c>
      <c r="V9799" t="str">
        <f t="shared" si="1633"/>
        <v/>
      </c>
      <c r="W9799" t="str">
        <f t="shared" si="1634"/>
        <v/>
      </c>
      <c r="X9799">
        <f t="shared" si="1624"/>
        <v>0</v>
      </c>
      <c r="Z9799" t="str">
        <f t="shared" si="1635"/>
        <v/>
      </c>
      <c r="AA9799">
        <f t="shared" si="1625"/>
        <v>0</v>
      </c>
    </row>
    <row r="9800" spans="1:27" ht="21" customHeight="1" x14ac:dyDescent="0.95">
      <c r="A9800" s="56"/>
      <c r="B9800" s="57"/>
      <c r="C9800" s="57"/>
      <c r="D9800" s="57"/>
      <c r="E9800" s="56"/>
      <c r="F9800" s="57"/>
      <c r="G9800" s="57"/>
      <c r="H9800" s="56"/>
      <c r="I9800" s="56"/>
      <c r="J9800" s="58"/>
      <c r="K9800" s="58"/>
      <c r="L9800" s="13" t="str">
        <f t="shared" si="1626"/>
        <v/>
      </c>
      <c r="M9800" s="13" t="str">
        <f t="shared" si="1627"/>
        <v/>
      </c>
      <c r="Q9800" t="str">
        <f t="shared" si="1628"/>
        <v/>
      </c>
      <c r="R9800" t="str">
        <f t="shared" si="1629"/>
        <v/>
      </c>
      <c r="S9800" t="str">
        <f t="shared" si="1630"/>
        <v/>
      </c>
      <c r="T9800" t="str">
        <f t="shared" si="1631"/>
        <v/>
      </c>
      <c r="U9800" t="str">
        <f t="shared" si="1632"/>
        <v/>
      </c>
      <c r="V9800" t="str">
        <f t="shared" si="1633"/>
        <v/>
      </c>
      <c r="W9800" t="str">
        <f t="shared" si="1634"/>
        <v/>
      </c>
      <c r="X9800">
        <f t="shared" si="1624"/>
        <v>0</v>
      </c>
      <c r="Z9800" t="str">
        <f t="shared" si="1635"/>
        <v/>
      </c>
      <c r="AA9800">
        <f t="shared" si="1625"/>
        <v>0</v>
      </c>
    </row>
    <row r="9801" spans="1:27" ht="21" customHeight="1" x14ac:dyDescent="0.95">
      <c r="A9801" s="56"/>
      <c r="B9801" s="57"/>
      <c r="C9801" s="57"/>
      <c r="D9801" s="57"/>
      <c r="E9801" s="56"/>
      <c r="F9801" s="57"/>
      <c r="G9801" s="57"/>
      <c r="H9801" s="56"/>
      <c r="I9801" s="56"/>
      <c r="J9801" s="58"/>
      <c r="K9801" s="58"/>
      <c r="L9801" s="13" t="str">
        <f t="shared" si="1626"/>
        <v/>
      </c>
      <c r="M9801" s="13" t="str">
        <f t="shared" si="1627"/>
        <v/>
      </c>
      <c r="Q9801" t="str">
        <f t="shared" si="1628"/>
        <v/>
      </c>
      <c r="R9801" t="str">
        <f t="shared" si="1629"/>
        <v/>
      </c>
      <c r="S9801" t="str">
        <f t="shared" si="1630"/>
        <v/>
      </c>
      <c r="T9801" t="str">
        <f t="shared" si="1631"/>
        <v/>
      </c>
      <c r="U9801" t="str">
        <f t="shared" si="1632"/>
        <v/>
      </c>
      <c r="V9801" t="str">
        <f t="shared" si="1633"/>
        <v/>
      </c>
      <c r="W9801" t="str">
        <f t="shared" si="1634"/>
        <v/>
      </c>
      <c r="X9801">
        <f t="shared" si="1624"/>
        <v>0</v>
      </c>
      <c r="Z9801" t="str">
        <f t="shared" si="1635"/>
        <v/>
      </c>
      <c r="AA9801">
        <f t="shared" si="1625"/>
        <v>0</v>
      </c>
    </row>
    <row r="9802" spans="1:27" ht="21" customHeight="1" x14ac:dyDescent="0.95">
      <c r="A9802" s="56"/>
      <c r="B9802" s="57"/>
      <c r="C9802" s="57"/>
      <c r="D9802" s="57"/>
      <c r="E9802" s="56"/>
      <c r="F9802" s="57"/>
      <c r="G9802" s="57"/>
      <c r="H9802" s="56"/>
      <c r="I9802" s="56"/>
      <c r="J9802" s="58"/>
      <c r="K9802" s="58"/>
      <c r="L9802" s="13" t="str">
        <f t="shared" si="1626"/>
        <v/>
      </c>
      <c r="M9802" s="13" t="str">
        <f t="shared" si="1627"/>
        <v/>
      </c>
      <c r="Q9802" t="str">
        <f t="shared" si="1628"/>
        <v/>
      </c>
      <c r="R9802" t="str">
        <f t="shared" si="1629"/>
        <v/>
      </c>
      <c r="S9802" t="str">
        <f t="shared" si="1630"/>
        <v/>
      </c>
      <c r="T9802" t="str">
        <f t="shared" si="1631"/>
        <v/>
      </c>
      <c r="U9802" t="str">
        <f t="shared" si="1632"/>
        <v/>
      </c>
      <c r="V9802" t="str">
        <f t="shared" si="1633"/>
        <v/>
      </c>
      <c r="W9802" t="str">
        <f t="shared" si="1634"/>
        <v/>
      </c>
      <c r="X9802">
        <f t="shared" si="1624"/>
        <v>0</v>
      </c>
      <c r="Z9802" t="str">
        <f t="shared" si="1635"/>
        <v/>
      </c>
      <c r="AA9802">
        <f t="shared" si="1625"/>
        <v>0</v>
      </c>
    </row>
    <row r="9803" spans="1:27" ht="21" customHeight="1" x14ac:dyDescent="0.95">
      <c r="A9803" s="56"/>
      <c r="B9803" s="57"/>
      <c r="C9803" s="57"/>
      <c r="D9803" s="57"/>
      <c r="E9803" s="56"/>
      <c r="F9803" s="57"/>
      <c r="G9803" s="57"/>
      <c r="H9803" s="56"/>
      <c r="I9803" s="56"/>
      <c r="J9803" s="58"/>
      <c r="K9803" s="58"/>
      <c r="L9803" s="13" t="str">
        <f t="shared" si="1626"/>
        <v/>
      </c>
      <c r="M9803" s="13" t="str">
        <f t="shared" si="1627"/>
        <v/>
      </c>
      <c r="Q9803" t="str">
        <f t="shared" si="1628"/>
        <v/>
      </c>
      <c r="R9803" t="str">
        <f t="shared" si="1629"/>
        <v/>
      </c>
      <c r="S9803" t="str">
        <f t="shared" si="1630"/>
        <v/>
      </c>
      <c r="T9803" t="str">
        <f t="shared" si="1631"/>
        <v/>
      </c>
      <c r="U9803" t="str">
        <f t="shared" si="1632"/>
        <v/>
      </c>
      <c r="V9803" t="str">
        <f t="shared" si="1633"/>
        <v/>
      </c>
      <c r="W9803" t="str">
        <f t="shared" si="1634"/>
        <v/>
      </c>
      <c r="X9803">
        <f t="shared" si="1624"/>
        <v>0</v>
      </c>
      <c r="Z9803" t="str">
        <f t="shared" si="1635"/>
        <v/>
      </c>
      <c r="AA9803">
        <f t="shared" si="1625"/>
        <v>0</v>
      </c>
    </row>
    <row r="9804" spans="1:27" ht="21" customHeight="1" x14ac:dyDescent="0.95">
      <c r="A9804" s="56"/>
      <c r="B9804" s="57"/>
      <c r="C9804" s="57"/>
      <c r="D9804" s="57"/>
      <c r="E9804" s="56"/>
      <c r="F9804" s="57"/>
      <c r="G9804" s="57"/>
      <c r="H9804" s="56"/>
      <c r="I9804" s="56"/>
      <c r="J9804" s="58"/>
      <c r="K9804" s="58"/>
      <c r="L9804" s="13" t="str">
        <f t="shared" si="1626"/>
        <v/>
      </c>
      <c r="M9804" s="13" t="str">
        <f t="shared" si="1627"/>
        <v/>
      </c>
      <c r="Q9804" t="str">
        <f t="shared" si="1628"/>
        <v/>
      </c>
      <c r="R9804" t="str">
        <f t="shared" si="1629"/>
        <v/>
      </c>
      <c r="S9804" t="str">
        <f t="shared" si="1630"/>
        <v/>
      </c>
      <c r="T9804" t="str">
        <f t="shared" si="1631"/>
        <v/>
      </c>
      <c r="U9804" t="str">
        <f t="shared" si="1632"/>
        <v/>
      </c>
      <c r="V9804" t="str">
        <f t="shared" si="1633"/>
        <v/>
      </c>
      <c r="W9804" t="str">
        <f t="shared" si="1634"/>
        <v/>
      </c>
      <c r="X9804">
        <f t="shared" si="1624"/>
        <v>0</v>
      </c>
      <c r="Z9804" t="str">
        <f t="shared" si="1635"/>
        <v/>
      </c>
      <c r="AA9804">
        <f t="shared" si="1625"/>
        <v>0</v>
      </c>
    </row>
    <row r="9805" spans="1:27" ht="21" customHeight="1" x14ac:dyDescent="0.95">
      <c r="A9805" s="56"/>
      <c r="B9805" s="57"/>
      <c r="C9805" s="57"/>
      <c r="D9805" s="57"/>
      <c r="E9805" s="56"/>
      <c r="F9805" s="57"/>
      <c r="G9805" s="57"/>
      <c r="H9805" s="56"/>
      <c r="I9805" s="56"/>
      <c r="J9805" s="58"/>
      <c r="K9805" s="58"/>
      <c r="L9805" s="13" t="str">
        <f t="shared" si="1626"/>
        <v/>
      </c>
      <c r="M9805" s="13" t="str">
        <f t="shared" si="1627"/>
        <v/>
      </c>
      <c r="Q9805" t="str">
        <f t="shared" si="1628"/>
        <v/>
      </c>
      <c r="R9805" t="str">
        <f t="shared" si="1629"/>
        <v/>
      </c>
      <c r="S9805" t="str">
        <f t="shared" si="1630"/>
        <v/>
      </c>
      <c r="T9805" t="str">
        <f t="shared" si="1631"/>
        <v/>
      </c>
      <c r="U9805" t="str">
        <f t="shared" si="1632"/>
        <v/>
      </c>
      <c r="V9805" t="str">
        <f t="shared" si="1633"/>
        <v/>
      </c>
      <c r="W9805" t="str">
        <f t="shared" si="1634"/>
        <v/>
      </c>
      <c r="X9805">
        <f t="shared" si="1624"/>
        <v>0</v>
      </c>
      <c r="Z9805" t="str">
        <f t="shared" si="1635"/>
        <v/>
      </c>
      <c r="AA9805">
        <f t="shared" si="1625"/>
        <v>0</v>
      </c>
    </row>
    <row r="9806" spans="1:27" ht="21" customHeight="1" x14ac:dyDescent="0.95">
      <c r="A9806" s="56"/>
      <c r="B9806" s="57"/>
      <c r="C9806" s="57"/>
      <c r="D9806" s="57"/>
      <c r="E9806" s="56"/>
      <c r="F9806" s="57"/>
      <c r="G9806" s="57"/>
      <c r="H9806" s="56"/>
      <c r="I9806" s="56"/>
      <c r="J9806" s="58"/>
      <c r="K9806" s="58"/>
      <c r="L9806" s="13" t="str">
        <f t="shared" si="1626"/>
        <v/>
      </c>
      <c r="M9806" s="13" t="str">
        <f t="shared" si="1627"/>
        <v/>
      </c>
      <c r="Q9806" t="str">
        <f t="shared" si="1628"/>
        <v/>
      </c>
      <c r="R9806" t="str">
        <f t="shared" si="1629"/>
        <v/>
      </c>
      <c r="S9806" t="str">
        <f t="shared" si="1630"/>
        <v/>
      </c>
      <c r="T9806" t="str">
        <f t="shared" si="1631"/>
        <v/>
      </c>
      <c r="U9806" t="str">
        <f t="shared" si="1632"/>
        <v/>
      </c>
      <c r="V9806" t="str">
        <f t="shared" si="1633"/>
        <v/>
      </c>
      <c r="W9806" t="str">
        <f t="shared" si="1634"/>
        <v/>
      </c>
      <c r="X9806">
        <f t="shared" si="1624"/>
        <v>0</v>
      </c>
      <c r="Z9806" t="str">
        <f t="shared" si="1635"/>
        <v/>
      </c>
      <c r="AA9806">
        <f t="shared" si="1625"/>
        <v>0</v>
      </c>
    </row>
    <row r="9807" spans="1:27" ht="21" customHeight="1" x14ac:dyDescent="0.95">
      <c r="A9807" s="56"/>
      <c r="B9807" s="57"/>
      <c r="C9807" s="57"/>
      <c r="D9807" s="57"/>
      <c r="E9807" s="56"/>
      <c r="F9807" s="57"/>
      <c r="G9807" s="57"/>
      <c r="H9807" s="56"/>
      <c r="I9807" s="56"/>
      <c r="J9807" s="58"/>
      <c r="K9807" s="58"/>
      <c r="L9807" s="13" t="str">
        <f t="shared" si="1626"/>
        <v/>
      </c>
      <c r="M9807" s="13" t="str">
        <f t="shared" si="1627"/>
        <v/>
      </c>
      <c r="Q9807" t="str">
        <f t="shared" si="1628"/>
        <v/>
      </c>
      <c r="R9807" t="str">
        <f t="shared" si="1629"/>
        <v/>
      </c>
      <c r="S9807" t="str">
        <f t="shared" si="1630"/>
        <v/>
      </c>
      <c r="T9807" t="str">
        <f t="shared" si="1631"/>
        <v/>
      </c>
      <c r="U9807" t="str">
        <f t="shared" si="1632"/>
        <v/>
      </c>
      <c r="V9807" t="str">
        <f t="shared" si="1633"/>
        <v/>
      </c>
      <c r="W9807" t="str">
        <f t="shared" si="1634"/>
        <v/>
      </c>
      <c r="X9807">
        <f t="shared" si="1624"/>
        <v>0</v>
      </c>
      <c r="Z9807" t="str">
        <f t="shared" si="1635"/>
        <v/>
      </c>
      <c r="AA9807">
        <f t="shared" si="1625"/>
        <v>0</v>
      </c>
    </row>
    <row r="9808" spans="1:27" ht="21" customHeight="1" x14ac:dyDescent="0.95">
      <c r="A9808" s="56"/>
      <c r="B9808" s="57"/>
      <c r="C9808" s="57"/>
      <c r="D9808" s="57"/>
      <c r="E9808" s="56"/>
      <c r="F9808" s="57"/>
      <c r="G9808" s="57"/>
      <c r="H9808" s="56"/>
      <c r="I9808" s="56"/>
      <c r="J9808" s="58"/>
      <c r="K9808" s="58"/>
      <c r="L9808" s="13" t="str">
        <f t="shared" si="1626"/>
        <v/>
      </c>
      <c r="M9808" s="13" t="str">
        <f t="shared" si="1627"/>
        <v/>
      </c>
      <c r="Q9808" t="str">
        <f t="shared" si="1628"/>
        <v/>
      </c>
      <c r="R9808" t="str">
        <f t="shared" si="1629"/>
        <v/>
      </c>
      <c r="S9808" t="str">
        <f t="shared" si="1630"/>
        <v/>
      </c>
      <c r="T9808" t="str">
        <f t="shared" si="1631"/>
        <v/>
      </c>
      <c r="U9808" t="str">
        <f t="shared" si="1632"/>
        <v/>
      </c>
      <c r="V9808" t="str">
        <f t="shared" si="1633"/>
        <v/>
      </c>
      <c r="W9808" t="str">
        <f t="shared" si="1634"/>
        <v/>
      </c>
      <c r="X9808">
        <f t="shared" si="1624"/>
        <v>0</v>
      </c>
      <c r="Z9808" t="str">
        <f t="shared" si="1635"/>
        <v/>
      </c>
      <c r="AA9808">
        <f t="shared" si="1625"/>
        <v>0</v>
      </c>
    </row>
    <row r="9809" spans="1:27" ht="21" customHeight="1" x14ac:dyDescent="0.95">
      <c r="A9809" s="56"/>
      <c r="B9809" s="57"/>
      <c r="C9809" s="57"/>
      <c r="D9809" s="57"/>
      <c r="E9809" s="56"/>
      <c r="F9809" s="57"/>
      <c r="G9809" s="57"/>
      <c r="H9809" s="56"/>
      <c r="I9809" s="56"/>
      <c r="J9809" s="58"/>
      <c r="K9809" s="58"/>
      <c r="L9809" s="13" t="str">
        <f t="shared" si="1626"/>
        <v/>
      </c>
      <c r="M9809" s="13" t="str">
        <f t="shared" si="1627"/>
        <v/>
      </c>
      <c r="Q9809" t="str">
        <f t="shared" si="1628"/>
        <v/>
      </c>
      <c r="R9809" t="str">
        <f t="shared" si="1629"/>
        <v/>
      </c>
      <c r="S9809" t="str">
        <f t="shared" si="1630"/>
        <v/>
      </c>
      <c r="T9809" t="str">
        <f t="shared" si="1631"/>
        <v/>
      </c>
      <c r="U9809" t="str">
        <f t="shared" si="1632"/>
        <v/>
      </c>
      <c r="V9809" t="str">
        <f t="shared" si="1633"/>
        <v/>
      </c>
      <c r="W9809" t="str">
        <f t="shared" si="1634"/>
        <v/>
      </c>
      <c r="X9809">
        <f t="shared" si="1624"/>
        <v>0</v>
      </c>
      <c r="Z9809" t="str">
        <f t="shared" si="1635"/>
        <v/>
      </c>
      <c r="AA9809">
        <f t="shared" si="1625"/>
        <v>0</v>
      </c>
    </row>
    <row r="9810" spans="1:27" ht="21" customHeight="1" x14ac:dyDescent="0.95">
      <c r="A9810" s="56"/>
      <c r="B9810" s="57"/>
      <c r="C9810" s="57"/>
      <c r="D9810" s="57"/>
      <c r="E9810" s="56"/>
      <c r="F9810" s="57"/>
      <c r="G9810" s="57"/>
      <c r="H9810" s="56"/>
      <c r="I9810" s="56"/>
      <c r="J9810" s="58"/>
      <c r="K9810" s="58"/>
      <c r="L9810" s="13" t="str">
        <f t="shared" si="1626"/>
        <v/>
      </c>
      <c r="M9810" s="13" t="str">
        <f t="shared" si="1627"/>
        <v/>
      </c>
      <c r="Q9810" t="str">
        <f t="shared" si="1628"/>
        <v/>
      </c>
      <c r="R9810" t="str">
        <f t="shared" si="1629"/>
        <v/>
      </c>
      <c r="S9810" t="str">
        <f t="shared" si="1630"/>
        <v/>
      </c>
      <c r="T9810" t="str">
        <f t="shared" si="1631"/>
        <v/>
      </c>
      <c r="U9810" t="str">
        <f t="shared" si="1632"/>
        <v/>
      </c>
      <c r="V9810" t="str">
        <f t="shared" si="1633"/>
        <v/>
      </c>
      <c r="W9810" t="str">
        <f t="shared" si="1634"/>
        <v/>
      </c>
      <c r="X9810">
        <f t="shared" si="1624"/>
        <v>0</v>
      </c>
      <c r="Z9810" t="str">
        <f t="shared" si="1635"/>
        <v/>
      </c>
      <c r="AA9810">
        <f t="shared" si="1625"/>
        <v>0</v>
      </c>
    </row>
    <row r="9811" spans="1:27" ht="21" customHeight="1" x14ac:dyDescent="0.95">
      <c r="A9811" s="56"/>
      <c r="B9811" s="57"/>
      <c r="C9811" s="57"/>
      <c r="D9811" s="57"/>
      <c r="E9811" s="56"/>
      <c r="F9811" s="57"/>
      <c r="G9811" s="57"/>
      <c r="H9811" s="56"/>
      <c r="I9811" s="56"/>
      <c r="J9811" s="58"/>
      <c r="K9811" s="58"/>
      <c r="L9811" s="13" t="str">
        <f t="shared" si="1626"/>
        <v/>
      </c>
      <c r="M9811" s="13" t="str">
        <f t="shared" si="1627"/>
        <v/>
      </c>
      <c r="Q9811" t="str">
        <f t="shared" si="1628"/>
        <v/>
      </c>
      <c r="R9811" t="str">
        <f t="shared" si="1629"/>
        <v/>
      </c>
      <c r="S9811" t="str">
        <f t="shared" si="1630"/>
        <v/>
      </c>
      <c r="T9811" t="str">
        <f t="shared" si="1631"/>
        <v/>
      </c>
      <c r="U9811" t="str">
        <f t="shared" si="1632"/>
        <v/>
      </c>
      <c r="V9811" t="str">
        <f t="shared" si="1633"/>
        <v/>
      </c>
      <c r="W9811" t="str">
        <f t="shared" si="1634"/>
        <v/>
      </c>
      <c r="X9811">
        <f t="shared" si="1624"/>
        <v>0</v>
      </c>
      <c r="Z9811" t="str">
        <f t="shared" si="1635"/>
        <v/>
      </c>
      <c r="AA9811">
        <f t="shared" si="1625"/>
        <v>0</v>
      </c>
    </row>
    <row r="9812" spans="1:27" ht="21" customHeight="1" x14ac:dyDescent="0.95">
      <c r="A9812" s="56"/>
      <c r="B9812" s="57"/>
      <c r="C9812" s="57"/>
      <c r="D9812" s="57"/>
      <c r="E9812" s="56"/>
      <c r="F9812" s="57"/>
      <c r="G9812" s="57"/>
      <c r="H9812" s="56"/>
      <c r="I9812" s="56"/>
      <c r="J9812" s="58"/>
      <c r="K9812" s="58"/>
      <c r="L9812" s="13" t="str">
        <f t="shared" si="1626"/>
        <v/>
      </c>
      <c r="M9812" s="13" t="str">
        <f t="shared" si="1627"/>
        <v/>
      </c>
      <c r="Q9812" t="str">
        <f t="shared" si="1628"/>
        <v/>
      </c>
      <c r="R9812" t="str">
        <f t="shared" si="1629"/>
        <v/>
      </c>
      <c r="S9812" t="str">
        <f t="shared" si="1630"/>
        <v/>
      </c>
      <c r="T9812" t="str">
        <f t="shared" si="1631"/>
        <v/>
      </c>
      <c r="U9812" t="str">
        <f t="shared" si="1632"/>
        <v/>
      </c>
      <c r="V9812" t="str">
        <f t="shared" si="1633"/>
        <v/>
      </c>
      <c r="W9812" t="str">
        <f t="shared" si="1634"/>
        <v/>
      </c>
      <c r="X9812">
        <f t="shared" si="1624"/>
        <v>0</v>
      </c>
      <c r="Z9812" t="str">
        <f t="shared" si="1635"/>
        <v/>
      </c>
      <c r="AA9812">
        <f t="shared" si="1625"/>
        <v>0</v>
      </c>
    </row>
    <row r="9813" spans="1:27" ht="21" customHeight="1" x14ac:dyDescent="0.95">
      <c r="A9813" s="56"/>
      <c r="B9813" s="57"/>
      <c r="C9813" s="57"/>
      <c r="D9813" s="57"/>
      <c r="E9813" s="56"/>
      <c r="F9813" s="57"/>
      <c r="G9813" s="57"/>
      <c r="H9813" s="56"/>
      <c r="I9813" s="56"/>
      <c r="J9813" s="58"/>
      <c r="K9813" s="58"/>
      <c r="L9813" s="13" t="str">
        <f t="shared" si="1626"/>
        <v/>
      </c>
      <c r="M9813" s="13" t="str">
        <f t="shared" si="1627"/>
        <v/>
      </c>
      <c r="Q9813" t="str">
        <f t="shared" si="1628"/>
        <v/>
      </c>
      <c r="R9813" t="str">
        <f t="shared" si="1629"/>
        <v/>
      </c>
      <c r="S9813" t="str">
        <f t="shared" si="1630"/>
        <v/>
      </c>
      <c r="T9813" t="str">
        <f t="shared" si="1631"/>
        <v/>
      </c>
      <c r="U9813" t="str">
        <f t="shared" si="1632"/>
        <v/>
      </c>
      <c r="V9813" t="str">
        <f t="shared" si="1633"/>
        <v/>
      </c>
      <c r="W9813" t="str">
        <f t="shared" si="1634"/>
        <v/>
      </c>
      <c r="X9813">
        <f t="shared" si="1624"/>
        <v>0</v>
      </c>
      <c r="Z9813" t="str">
        <f t="shared" si="1635"/>
        <v/>
      </c>
      <c r="AA9813">
        <f t="shared" si="1625"/>
        <v>0</v>
      </c>
    </row>
    <row r="9814" spans="1:27" ht="21" customHeight="1" x14ac:dyDescent="0.95">
      <c r="A9814" s="56"/>
      <c r="B9814" s="57"/>
      <c r="C9814" s="57"/>
      <c r="D9814" s="57"/>
      <c r="E9814" s="56"/>
      <c r="F9814" s="57"/>
      <c r="G9814" s="57"/>
      <c r="H9814" s="56"/>
      <c r="I9814" s="56"/>
      <c r="J9814" s="58"/>
      <c r="K9814" s="58"/>
      <c r="L9814" s="13" t="str">
        <f t="shared" si="1626"/>
        <v/>
      </c>
      <c r="M9814" s="13" t="str">
        <f t="shared" si="1627"/>
        <v/>
      </c>
      <c r="Q9814" t="str">
        <f t="shared" si="1628"/>
        <v/>
      </c>
      <c r="R9814" t="str">
        <f t="shared" si="1629"/>
        <v/>
      </c>
      <c r="S9814" t="str">
        <f t="shared" si="1630"/>
        <v/>
      </c>
      <c r="T9814" t="str">
        <f t="shared" si="1631"/>
        <v/>
      </c>
      <c r="U9814" t="str">
        <f t="shared" si="1632"/>
        <v/>
      </c>
      <c r="V9814" t="str">
        <f t="shared" si="1633"/>
        <v/>
      </c>
      <c r="W9814" t="str">
        <f t="shared" si="1634"/>
        <v/>
      </c>
      <c r="X9814">
        <f t="shared" si="1624"/>
        <v>0</v>
      </c>
      <c r="Z9814" t="str">
        <f t="shared" si="1635"/>
        <v/>
      </c>
      <c r="AA9814">
        <f t="shared" si="1625"/>
        <v>0</v>
      </c>
    </row>
    <row r="9815" spans="1:27" ht="21" customHeight="1" x14ac:dyDescent="0.95">
      <c r="A9815" s="56"/>
      <c r="B9815" s="57"/>
      <c r="C9815" s="57"/>
      <c r="D9815" s="57"/>
      <c r="E9815" s="56"/>
      <c r="F9815" s="57"/>
      <c r="G9815" s="57"/>
      <c r="H9815" s="56"/>
      <c r="I9815" s="56"/>
      <c r="J9815" s="58"/>
      <c r="K9815" s="58"/>
      <c r="L9815" s="13" t="str">
        <f t="shared" si="1626"/>
        <v/>
      </c>
      <c r="M9815" s="13" t="str">
        <f t="shared" si="1627"/>
        <v/>
      </c>
      <c r="Q9815" t="str">
        <f t="shared" si="1628"/>
        <v/>
      </c>
      <c r="R9815" t="str">
        <f t="shared" si="1629"/>
        <v/>
      </c>
      <c r="S9815" t="str">
        <f t="shared" si="1630"/>
        <v/>
      </c>
      <c r="T9815" t="str">
        <f t="shared" si="1631"/>
        <v/>
      </c>
      <c r="U9815" t="str">
        <f t="shared" si="1632"/>
        <v/>
      </c>
      <c r="V9815" t="str">
        <f t="shared" si="1633"/>
        <v/>
      </c>
      <c r="W9815" t="str">
        <f t="shared" si="1634"/>
        <v/>
      </c>
      <c r="X9815">
        <f t="shared" si="1624"/>
        <v>0</v>
      </c>
      <c r="Z9815" t="str">
        <f t="shared" si="1635"/>
        <v/>
      </c>
      <c r="AA9815">
        <f t="shared" si="1625"/>
        <v>0</v>
      </c>
    </row>
    <row r="9816" spans="1:27" ht="21" customHeight="1" x14ac:dyDescent="0.95">
      <c r="A9816" s="56"/>
      <c r="B9816" s="57"/>
      <c r="C9816" s="57"/>
      <c r="D9816" s="57"/>
      <c r="E9816" s="56"/>
      <c r="F9816" s="57"/>
      <c r="G9816" s="57"/>
      <c r="H9816" s="56"/>
      <c r="I9816" s="56"/>
      <c r="J9816" s="58"/>
      <c r="K9816" s="58"/>
      <c r="L9816" s="13" t="str">
        <f t="shared" si="1626"/>
        <v/>
      </c>
      <c r="M9816" s="13" t="str">
        <f t="shared" si="1627"/>
        <v/>
      </c>
      <c r="Q9816" t="str">
        <f t="shared" si="1628"/>
        <v/>
      </c>
      <c r="R9816" t="str">
        <f t="shared" si="1629"/>
        <v/>
      </c>
      <c r="S9816" t="str">
        <f t="shared" si="1630"/>
        <v/>
      </c>
      <c r="T9816" t="str">
        <f t="shared" si="1631"/>
        <v/>
      </c>
      <c r="U9816" t="str">
        <f t="shared" si="1632"/>
        <v/>
      </c>
      <c r="V9816" t="str">
        <f t="shared" si="1633"/>
        <v/>
      </c>
      <c r="W9816" t="str">
        <f t="shared" si="1634"/>
        <v/>
      </c>
      <c r="X9816">
        <f t="shared" si="1624"/>
        <v>0</v>
      </c>
      <c r="Z9816" t="str">
        <f t="shared" si="1635"/>
        <v/>
      </c>
      <c r="AA9816">
        <f t="shared" si="1625"/>
        <v>0</v>
      </c>
    </row>
    <row r="9817" spans="1:27" ht="21" customHeight="1" x14ac:dyDescent="0.95">
      <c r="A9817" s="56"/>
      <c r="B9817" s="57"/>
      <c r="C9817" s="57"/>
      <c r="D9817" s="57"/>
      <c r="E9817" s="56"/>
      <c r="F9817" s="57"/>
      <c r="G9817" s="57"/>
      <c r="H9817" s="56"/>
      <c r="I9817" s="56"/>
      <c r="J9817" s="58"/>
      <c r="K9817" s="58"/>
      <c r="L9817" s="13" t="str">
        <f t="shared" si="1626"/>
        <v/>
      </c>
      <c r="M9817" s="13" t="str">
        <f t="shared" si="1627"/>
        <v/>
      </c>
      <c r="Q9817" t="str">
        <f t="shared" si="1628"/>
        <v/>
      </c>
      <c r="R9817" t="str">
        <f t="shared" si="1629"/>
        <v/>
      </c>
      <c r="S9817" t="str">
        <f t="shared" si="1630"/>
        <v/>
      </c>
      <c r="T9817" t="str">
        <f t="shared" si="1631"/>
        <v/>
      </c>
      <c r="U9817" t="str">
        <f t="shared" si="1632"/>
        <v/>
      </c>
      <c r="V9817" t="str">
        <f t="shared" si="1633"/>
        <v/>
      </c>
      <c r="W9817" t="str">
        <f t="shared" si="1634"/>
        <v/>
      </c>
      <c r="X9817">
        <f t="shared" si="1624"/>
        <v>0</v>
      </c>
      <c r="Z9817" t="str">
        <f t="shared" si="1635"/>
        <v/>
      </c>
      <c r="AA9817">
        <f t="shared" si="1625"/>
        <v>0</v>
      </c>
    </row>
    <row r="9818" spans="1:27" ht="21" customHeight="1" x14ac:dyDescent="0.95">
      <c r="A9818" s="56"/>
      <c r="B9818" s="57"/>
      <c r="C9818" s="57"/>
      <c r="D9818" s="57"/>
      <c r="E9818" s="56"/>
      <c r="F9818" s="57"/>
      <c r="G9818" s="57"/>
      <c r="H9818" s="56"/>
      <c r="I9818" s="56"/>
      <c r="J9818" s="58"/>
      <c r="K9818" s="58"/>
      <c r="L9818" s="13" t="str">
        <f t="shared" si="1626"/>
        <v/>
      </c>
      <c r="M9818" s="13" t="str">
        <f t="shared" si="1627"/>
        <v/>
      </c>
      <c r="Q9818" t="str">
        <f t="shared" si="1628"/>
        <v/>
      </c>
      <c r="R9818" t="str">
        <f t="shared" si="1629"/>
        <v/>
      </c>
      <c r="S9818" t="str">
        <f t="shared" si="1630"/>
        <v/>
      </c>
      <c r="T9818" t="str">
        <f t="shared" si="1631"/>
        <v/>
      </c>
      <c r="U9818" t="str">
        <f t="shared" si="1632"/>
        <v/>
      </c>
      <c r="V9818" t="str">
        <f t="shared" si="1633"/>
        <v/>
      </c>
      <c r="W9818" t="str">
        <f t="shared" si="1634"/>
        <v/>
      </c>
      <c r="X9818">
        <f t="shared" si="1624"/>
        <v>0</v>
      </c>
      <c r="Z9818" t="str">
        <f t="shared" si="1635"/>
        <v/>
      </c>
      <c r="AA9818">
        <f t="shared" si="1625"/>
        <v>0</v>
      </c>
    </row>
    <row r="9819" spans="1:27" ht="21" customHeight="1" x14ac:dyDescent="0.95">
      <c r="A9819" s="56"/>
      <c r="B9819" s="57"/>
      <c r="C9819" s="57"/>
      <c r="D9819" s="57"/>
      <c r="E9819" s="56"/>
      <c r="F9819" s="57"/>
      <c r="G9819" s="57"/>
      <c r="H9819" s="56"/>
      <c r="I9819" s="56"/>
      <c r="J9819" s="58"/>
      <c r="K9819" s="58"/>
      <c r="L9819" s="13" t="str">
        <f t="shared" si="1626"/>
        <v/>
      </c>
      <c r="M9819" s="13" t="str">
        <f t="shared" si="1627"/>
        <v/>
      </c>
      <c r="Q9819" t="str">
        <f t="shared" si="1628"/>
        <v/>
      </c>
      <c r="R9819" t="str">
        <f t="shared" si="1629"/>
        <v/>
      </c>
      <c r="S9819" t="str">
        <f t="shared" si="1630"/>
        <v/>
      </c>
      <c r="T9819" t="str">
        <f t="shared" si="1631"/>
        <v/>
      </c>
      <c r="U9819" t="str">
        <f t="shared" si="1632"/>
        <v/>
      </c>
      <c r="V9819" t="str">
        <f t="shared" si="1633"/>
        <v/>
      </c>
      <c r="W9819" t="str">
        <f t="shared" si="1634"/>
        <v/>
      </c>
      <c r="X9819">
        <f t="shared" si="1624"/>
        <v>0</v>
      </c>
      <c r="Z9819" t="str">
        <f t="shared" si="1635"/>
        <v/>
      </c>
      <c r="AA9819">
        <f t="shared" si="1625"/>
        <v>0</v>
      </c>
    </row>
    <row r="9820" spans="1:27" ht="21" customHeight="1" x14ac:dyDescent="0.95">
      <c r="A9820" s="56"/>
      <c r="B9820" s="57"/>
      <c r="C9820" s="57"/>
      <c r="D9820" s="57"/>
      <c r="E9820" s="56"/>
      <c r="F9820" s="57"/>
      <c r="G9820" s="57"/>
      <c r="H9820" s="56"/>
      <c r="I9820" s="56"/>
      <c r="J9820" s="58"/>
      <c r="K9820" s="58"/>
      <c r="L9820" s="13" t="str">
        <f t="shared" si="1626"/>
        <v/>
      </c>
      <c r="M9820" s="13" t="str">
        <f t="shared" si="1627"/>
        <v/>
      </c>
      <c r="Q9820" t="str">
        <f t="shared" si="1628"/>
        <v/>
      </c>
      <c r="R9820" t="str">
        <f t="shared" si="1629"/>
        <v/>
      </c>
      <c r="S9820" t="str">
        <f t="shared" si="1630"/>
        <v/>
      </c>
      <c r="T9820" t="str">
        <f t="shared" si="1631"/>
        <v/>
      </c>
      <c r="U9820" t="str">
        <f t="shared" si="1632"/>
        <v/>
      </c>
      <c r="V9820" t="str">
        <f t="shared" si="1633"/>
        <v/>
      </c>
      <c r="W9820" t="str">
        <f t="shared" si="1634"/>
        <v/>
      </c>
      <c r="X9820">
        <f t="shared" si="1624"/>
        <v>0</v>
      </c>
      <c r="Z9820" t="str">
        <f t="shared" si="1635"/>
        <v/>
      </c>
      <c r="AA9820">
        <f t="shared" si="1625"/>
        <v>0</v>
      </c>
    </row>
    <row r="9821" spans="1:27" ht="21" customHeight="1" x14ac:dyDescent="0.95">
      <c r="A9821" s="56"/>
      <c r="B9821" s="57"/>
      <c r="C9821" s="57"/>
      <c r="D9821" s="57"/>
      <c r="E9821" s="56"/>
      <c r="F9821" s="57"/>
      <c r="G9821" s="57"/>
      <c r="H9821" s="56"/>
      <c r="I9821" s="56"/>
      <c r="J9821" s="58"/>
      <c r="K9821" s="58"/>
      <c r="L9821" s="13" t="str">
        <f t="shared" si="1626"/>
        <v/>
      </c>
      <c r="M9821" s="13" t="str">
        <f t="shared" si="1627"/>
        <v/>
      </c>
      <c r="Q9821" t="str">
        <f t="shared" si="1628"/>
        <v/>
      </c>
      <c r="R9821" t="str">
        <f t="shared" si="1629"/>
        <v/>
      </c>
      <c r="S9821" t="str">
        <f t="shared" si="1630"/>
        <v/>
      </c>
      <c r="T9821" t="str">
        <f t="shared" si="1631"/>
        <v/>
      </c>
      <c r="U9821" t="str">
        <f t="shared" si="1632"/>
        <v/>
      </c>
      <c r="V9821" t="str">
        <f t="shared" si="1633"/>
        <v/>
      </c>
      <c r="W9821" t="str">
        <f t="shared" si="1634"/>
        <v/>
      </c>
      <c r="X9821">
        <f t="shared" si="1624"/>
        <v>0</v>
      </c>
      <c r="Z9821" t="str">
        <f t="shared" si="1635"/>
        <v/>
      </c>
      <c r="AA9821">
        <f t="shared" si="1625"/>
        <v>0</v>
      </c>
    </row>
    <row r="9822" spans="1:27" ht="21" customHeight="1" x14ac:dyDescent="0.95">
      <c r="A9822" s="56"/>
      <c r="B9822" s="57"/>
      <c r="C9822" s="57"/>
      <c r="D9822" s="57"/>
      <c r="E9822" s="56"/>
      <c r="F9822" s="57"/>
      <c r="G9822" s="57"/>
      <c r="H9822" s="56"/>
      <c r="I9822" s="56"/>
      <c r="J9822" s="58"/>
      <c r="K9822" s="58"/>
      <c r="L9822" s="13" t="str">
        <f t="shared" si="1626"/>
        <v/>
      </c>
      <c r="M9822" s="13" t="str">
        <f t="shared" si="1627"/>
        <v/>
      </c>
      <c r="Q9822" t="str">
        <f t="shared" si="1628"/>
        <v/>
      </c>
      <c r="R9822" t="str">
        <f t="shared" si="1629"/>
        <v/>
      </c>
      <c r="S9822" t="str">
        <f t="shared" si="1630"/>
        <v/>
      </c>
      <c r="T9822" t="str">
        <f t="shared" si="1631"/>
        <v/>
      </c>
      <c r="U9822" t="str">
        <f t="shared" si="1632"/>
        <v/>
      </c>
      <c r="V9822" t="str">
        <f t="shared" si="1633"/>
        <v/>
      </c>
      <c r="W9822" t="str">
        <f t="shared" si="1634"/>
        <v/>
      </c>
      <c r="X9822">
        <f t="shared" si="1624"/>
        <v>0</v>
      </c>
      <c r="Z9822" t="str">
        <f t="shared" si="1635"/>
        <v/>
      </c>
      <c r="AA9822">
        <f t="shared" si="1625"/>
        <v>0</v>
      </c>
    </row>
    <row r="9823" spans="1:27" ht="21" customHeight="1" x14ac:dyDescent="0.95">
      <c r="A9823" s="56"/>
      <c r="B9823" s="57"/>
      <c r="C9823" s="57"/>
      <c r="D9823" s="57"/>
      <c r="E9823" s="56"/>
      <c r="F9823" s="57"/>
      <c r="G9823" s="57"/>
      <c r="H9823" s="56"/>
      <c r="I9823" s="56"/>
      <c r="J9823" s="58"/>
      <c r="K9823" s="58"/>
      <c r="L9823" s="13" t="str">
        <f t="shared" si="1626"/>
        <v/>
      </c>
      <c r="M9823" s="13" t="str">
        <f t="shared" si="1627"/>
        <v/>
      </c>
      <c r="Q9823" t="str">
        <f t="shared" si="1628"/>
        <v/>
      </c>
      <c r="R9823" t="str">
        <f t="shared" si="1629"/>
        <v/>
      </c>
      <c r="S9823" t="str">
        <f t="shared" si="1630"/>
        <v/>
      </c>
      <c r="T9823" t="str">
        <f t="shared" si="1631"/>
        <v/>
      </c>
      <c r="U9823" t="str">
        <f t="shared" si="1632"/>
        <v/>
      </c>
      <c r="V9823" t="str">
        <f t="shared" si="1633"/>
        <v/>
      </c>
      <c r="W9823" t="str">
        <f t="shared" si="1634"/>
        <v/>
      </c>
      <c r="X9823">
        <f t="shared" si="1624"/>
        <v>0</v>
      </c>
      <c r="Z9823" t="str">
        <f t="shared" si="1635"/>
        <v/>
      </c>
      <c r="AA9823">
        <f t="shared" si="1625"/>
        <v>0</v>
      </c>
    </row>
    <row r="9824" spans="1:27" ht="21" customHeight="1" x14ac:dyDescent="0.95">
      <c r="A9824" s="56"/>
      <c r="B9824" s="57"/>
      <c r="C9824" s="57"/>
      <c r="D9824" s="57"/>
      <c r="E9824" s="56"/>
      <c r="F9824" s="57"/>
      <c r="G9824" s="57"/>
      <c r="H9824" s="56"/>
      <c r="I9824" s="56"/>
      <c r="J9824" s="58"/>
      <c r="K9824" s="58"/>
      <c r="L9824" s="13" t="str">
        <f t="shared" si="1626"/>
        <v/>
      </c>
      <c r="M9824" s="13" t="str">
        <f t="shared" si="1627"/>
        <v/>
      </c>
      <c r="Q9824" t="str">
        <f t="shared" si="1628"/>
        <v/>
      </c>
      <c r="R9824" t="str">
        <f t="shared" si="1629"/>
        <v/>
      </c>
      <c r="S9824" t="str">
        <f t="shared" si="1630"/>
        <v/>
      </c>
      <c r="T9824" t="str">
        <f t="shared" si="1631"/>
        <v/>
      </c>
      <c r="U9824" t="str">
        <f t="shared" si="1632"/>
        <v/>
      </c>
      <c r="V9824" t="str">
        <f t="shared" si="1633"/>
        <v/>
      </c>
      <c r="W9824" t="str">
        <f t="shared" si="1634"/>
        <v/>
      </c>
      <c r="X9824">
        <f t="shared" si="1624"/>
        <v>0</v>
      </c>
      <c r="Z9824" t="str">
        <f t="shared" si="1635"/>
        <v/>
      </c>
      <c r="AA9824">
        <f t="shared" si="1625"/>
        <v>0</v>
      </c>
    </row>
    <row r="9825" spans="1:27" ht="21" customHeight="1" x14ac:dyDescent="0.95">
      <c r="A9825" s="56"/>
      <c r="B9825" s="57"/>
      <c r="C9825" s="57"/>
      <c r="D9825" s="57"/>
      <c r="E9825" s="56"/>
      <c r="F9825" s="57"/>
      <c r="G9825" s="57"/>
      <c r="H9825" s="56"/>
      <c r="I9825" s="56"/>
      <c r="J9825" s="58"/>
      <c r="K9825" s="58"/>
      <c r="L9825" s="13" t="str">
        <f t="shared" si="1626"/>
        <v/>
      </c>
      <c r="M9825" s="13" t="str">
        <f t="shared" si="1627"/>
        <v/>
      </c>
      <c r="Q9825" t="str">
        <f t="shared" si="1628"/>
        <v/>
      </c>
      <c r="R9825" t="str">
        <f t="shared" si="1629"/>
        <v/>
      </c>
      <c r="S9825" t="str">
        <f t="shared" si="1630"/>
        <v/>
      </c>
      <c r="T9825" t="str">
        <f t="shared" si="1631"/>
        <v/>
      </c>
      <c r="U9825" t="str">
        <f t="shared" si="1632"/>
        <v/>
      </c>
      <c r="V9825" t="str">
        <f t="shared" si="1633"/>
        <v/>
      </c>
      <c r="W9825" t="str">
        <f t="shared" si="1634"/>
        <v/>
      </c>
      <c r="X9825">
        <f t="shared" si="1624"/>
        <v>0</v>
      </c>
      <c r="Z9825" t="str">
        <f t="shared" si="1635"/>
        <v/>
      </c>
      <c r="AA9825">
        <f t="shared" si="1625"/>
        <v>0</v>
      </c>
    </row>
    <row r="9826" spans="1:27" ht="21" customHeight="1" x14ac:dyDescent="0.95">
      <c r="A9826" s="56"/>
      <c r="B9826" s="57"/>
      <c r="C9826" s="57"/>
      <c r="D9826" s="57"/>
      <c r="E9826" s="56"/>
      <c r="F9826" s="57"/>
      <c r="G9826" s="57"/>
      <c r="H9826" s="56"/>
      <c r="I9826" s="56"/>
      <c r="J9826" s="58"/>
      <c r="K9826" s="58"/>
      <c r="L9826" s="13" t="str">
        <f t="shared" si="1626"/>
        <v/>
      </c>
      <c r="M9826" s="13" t="str">
        <f t="shared" si="1627"/>
        <v/>
      </c>
      <c r="Q9826" t="str">
        <f t="shared" si="1628"/>
        <v/>
      </c>
      <c r="R9826" t="str">
        <f t="shared" si="1629"/>
        <v/>
      </c>
      <c r="S9826" t="str">
        <f t="shared" si="1630"/>
        <v/>
      </c>
      <c r="T9826" t="str">
        <f t="shared" si="1631"/>
        <v/>
      </c>
      <c r="U9826" t="str">
        <f t="shared" si="1632"/>
        <v/>
      </c>
      <c r="V9826" t="str">
        <f t="shared" si="1633"/>
        <v/>
      </c>
      <c r="W9826" t="str">
        <f t="shared" si="1634"/>
        <v/>
      </c>
      <c r="X9826">
        <f t="shared" si="1624"/>
        <v>0</v>
      </c>
      <c r="Z9826" t="str">
        <f t="shared" si="1635"/>
        <v/>
      </c>
      <c r="AA9826">
        <f t="shared" si="1625"/>
        <v>0</v>
      </c>
    </row>
    <row r="9827" spans="1:27" ht="21" customHeight="1" x14ac:dyDescent="0.95">
      <c r="A9827" s="56"/>
      <c r="B9827" s="57"/>
      <c r="C9827" s="57"/>
      <c r="D9827" s="57"/>
      <c r="E9827" s="56"/>
      <c r="F9827" s="57"/>
      <c r="G9827" s="57"/>
      <c r="H9827" s="56"/>
      <c r="I9827" s="56"/>
      <c r="J9827" s="58"/>
      <c r="K9827" s="58"/>
      <c r="L9827" s="13" t="str">
        <f t="shared" si="1626"/>
        <v/>
      </c>
      <c r="M9827" s="13" t="str">
        <f t="shared" si="1627"/>
        <v/>
      </c>
      <c r="Q9827" t="str">
        <f t="shared" si="1628"/>
        <v/>
      </c>
      <c r="R9827" t="str">
        <f t="shared" si="1629"/>
        <v/>
      </c>
      <c r="S9827" t="str">
        <f t="shared" si="1630"/>
        <v/>
      </c>
      <c r="T9827" t="str">
        <f t="shared" si="1631"/>
        <v/>
      </c>
      <c r="U9827" t="str">
        <f t="shared" si="1632"/>
        <v/>
      </c>
      <c r="V9827" t="str">
        <f t="shared" si="1633"/>
        <v/>
      </c>
      <c r="W9827" t="str">
        <f t="shared" si="1634"/>
        <v/>
      </c>
      <c r="X9827">
        <f t="shared" si="1624"/>
        <v>0</v>
      </c>
      <c r="Z9827" t="str">
        <f t="shared" si="1635"/>
        <v/>
      </c>
      <c r="AA9827">
        <f t="shared" si="1625"/>
        <v>0</v>
      </c>
    </row>
    <row r="9828" spans="1:27" ht="21" customHeight="1" x14ac:dyDescent="0.95">
      <c r="A9828" s="56"/>
      <c r="B9828" s="57"/>
      <c r="C9828" s="57"/>
      <c r="D9828" s="57"/>
      <c r="E9828" s="56"/>
      <c r="F9828" s="57"/>
      <c r="G9828" s="57"/>
      <c r="H9828" s="56"/>
      <c r="I9828" s="56"/>
      <c r="J9828" s="58"/>
      <c r="K9828" s="58"/>
      <c r="L9828" s="13" t="str">
        <f t="shared" si="1626"/>
        <v/>
      </c>
      <c r="M9828" s="13" t="str">
        <f t="shared" si="1627"/>
        <v/>
      </c>
      <c r="Q9828" t="str">
        <f t="shared" si="1628"/>
        <v/>
      </c>
      <c r="R9828" t="str">
        <f t="shared" si="1629"/>
        <v/>
      </c>
      <c r="S9828" t="str">
        <f t="shared" si="1630"/>
        <v/>
      </c>
      <c r="T9828" t="str">
        <f t="shared" si="1631"/>
        <v/>
      </c>
      <c r="U9828" t="str">
        <f t="shared" si="1632"/>
        <v/>
      </c>
      <c r="V9828" t="str">
        <f t="shared" si="1633"/>
        <v/>
      </c>
      <c r="W9828" t="str">
        <f t="shared" si="1634"/>
        <v/>
      </c>
      <c r="X9828">
        <f t="shared" si="1624"/>
        <v>0</v>
      </c>
      <c r="Z9828" t="str">
        <f t="shared" si="1635"/>
        <v/>
      </c>
      <c r="AA9828">
        <f t="shared" si="1625"/>
        <v>0</v>
      </c>
    </row>
    <row r="9829" spans="1:27" ht="21" customHeight="1" x14ac:dyDescent="0.95">
      <c r="A9829" s="56"/>
      <c r="B9829" s="57"/>
      <c r="C9829" s="57"/>
      <c r="D9829" s="57"/>
      <c r="E9829" s="56"/>
      <c r="F9829" s="57"/>
      <c r="G9829" s="57"/>
      <c r="H9829" s="56"/>
      <c r="I9829" s="56"/>
      <c r="J9829" s="58"/>
      <c r="K9829" s="58"/>
      <c r="L9829" s="13" t="str">
        <f t="shared" si="1626"/>
        <v/>
      </c>
      <c r="M9829" s="13" t="str">
        <f t="shared" si="1627"/>
        <v/>
      </c>
      <c r="Q9829" t="str">
        <f t="shared" si="1628"/>
        <v/>
      </c>
      <c r="R9829" t="str">
        <f t="shared" si="1629"/>
        <v/>
      </c>
      <c r="S9829" t="str">
        <f t="shared" si="1630"/>
        <v/>
      </c>
      <c r="T9829" t="str">
        <f t="shared" si="1631"/>
        <v/>
      </c>
      <c r="U9829" t="str">
        <f t="shared" si="1632"/>
        <v/>
      </c>
      <c r="V9829" t="str">
        <f t="shared" si="1633"/>
        <v/>
      </c>
      <c r="W9829" t="str">
        <f t="shared" si="1634"/>
        <v/>
      </c>
      <c r="X9829">
        <f t="shared" si="1624"/>
        <v>0</v>
      </c>
      <c r="Z9829" t="str">
        <f t="shared" si="1635"/>
        <v/>
      </c>
      <c r="AA9829">
        <f t="shared" si="1625"/>
        <v>0</v>
      </c>
    </row>
    <row r="9830" spans="1:27" ht="21" customHeight="1" x14ac:dyDescent="0.95">
      <c r="A9830" s="56"/>
      <c r="B9830" s="57"/>
      <c r="C9830" s="57"/>
      <c r="D9830" s="57"/>
      <c r="E9830" s="56"/>
      <c r="F9830" s="57"/>
      <c r="G9830" s="57"/>
      <c r="H9830" s="56"/>
      <c r="I9830" s="56"/>
      <c r="J9830" s="58"/>
      <c r="K9830" s="58"/>
      <c r="L9830" s="13" t="str">
        <f t="shared" si="1626"/>
        <v/>
      </c>
      <c r="M9830" s="13" t="str">
        <f t="shared" si="1627"/>
        <v/>
      </c>
      <c r="Q9830" t="str">
        <f t="shared" si="1628"/>
        <v/>
      </c>
      <c r="R9830" t="str">
        <f t="shared" si="1629"/>
        <v/>
      </c>
      <c r="S9830" t="str">
        <f t="shared" si="1630"/>
        <v/>
      </c>
      <c r="T9830" t="str">
        <f t="shared" si="1631"/>
        <v/>
      </c>
      <c r="U9830" t="str">
        <f t="shared" si="1632"/>
        <v/>
      </c>
      <c r="V9830" t="str">
        <f t="shared" si="1633"/>
        <v/>
      </c>
      <c r="W9830" t="str">
        <f t="shared" si="1634"/>
        <v/>
      </c>
      <c r="X9830">
        <f t="shared" si="1624"/>
        <v>0</v>
      </c>
      <c r="Z9830" t="str">
        <f t="shared" si="1635"/>
        <v/>
      </c>
      <c r="AA9830">
        <f t="shared" si="1625"/>
        <v>0</v>
      </c>
    </row>
    <row r="9831" spans="1:27" ht="21" customHeight="1" x14ac:dyDescent="0.95">
      <c r="A9831" s="56"/>
      <c r="B9831" s="57"/>
      <c r="C9831" s="57"/>
      <c r="D9831" s="57"/>
      <c r="E9831" s="56"/>
      <c r="F9831" s="57"/>
      <c r="G9831" s="57"/>
      <c r="H9831" s="56"/>
      <c r="I9831" s="56"/>
      <c r="J9831" s="58"/>
      <c r="K9831" s="58"/>
      <c r="L9831" s="13" t="str">
        <f t="shared" si="1626"/>
        <v/>
      </c>
      <c r="M9831" s="13" t="str">
        <f t="shared" si="1627"/>
        <v/>
      </c>
      <c r="Q9831" t="str">
        <f t="shared" si="1628"/>
        <v/>
      </c>
      <c r="R9831" t="str">
        <f t="shared" si="1629"/>
        <v/>
      </c>
      <c r="S9831" t="str">
        <f t="shared" si="1630"/>
        <v/>
      </c>
      <c r="T9831" t="str">
        <f t="shared" si="1631"/>
        <v/>
      </c>
      <c r="U9831" t="str">
        <f t="shared" si="1632"/>
        <v/>
      </c>
      <c r="V9831" t="str">
        <f t="shared" si="1633"/>
        <v/>
      </c>
      <c r="W9831" t="str">
        <f t="shared" si="1634"/>
        <v/>
      </c>
      <c r="X9831">
        <f t="shared" si="1624"/>
        <v>0</v>
      </c>
      <c r="Z9831" t="str">
        <f t="shared" si="1635"/>
        <v/>
      </c>
      <c r="AA9831">
        <f t="shared" si="1625"/>
        <v>0</v>
      </c>
    </row>
    <row r="9832" spans="1:27" ht="21" customHeight="1" x14ac:dyDescent="0.95">
      <c r="A9832" s="56"/>
      <c r="B9832" s="57"/>
      <c r="C9832" s="57"/>
      <c r="D9832" s="57"/>
      <c r="E9832" s="56"/>
      <c r="F9832" s="57"/>
      <c r="G9832" s="57"/>
      <c r="H9832" s="56"/>
      <c r="I9832" s="56"/>
      <c r="J9832" s="58"/>
      <c r="K9832" s="58"/>
      <c r="L9832" s="13" t="str">
        <f t="shared" si="1626"/>
        <v/>
      </c>
      <c r="M9832" s="13" t="str">
        <f t="shared" si="1627"/>
        <v/>
      </c>
      <c r="Q9832" t="str">
        <f t="shared" si="1628"/>
        <v/>
      </c>
      <c r="R9832" t="str">
        <f t="shared" si="1629"/>
        <v/>
      </c>
      <c r="S9832" t="str">
        <f t="shared" si="1630"/>
        <v/>
      </c>
      <c r="T9832" t="str">
        <f t="shared" si="1631"/>
        <v/>
      </c>
      <c r="U9832" t="str">
        <f t="shared" si="1632"/>
        <v/>
      </c>
      <c r="V9832" t="str">
        <f t="shared" si="1633"/>
        <v/>
      </c>
      <c r="W9832" t="str">
        <f t="shared" si="1634"/>
        <v/>
      </c>
      <c r="X9832">
        <f t="shared" si="1624"/>
        <v>0</v>
      </c>
      <c r="Z9832" t="str">
        <f t="shared" si="1635"/>
        <v/>
      </c>
      <c r="AA9832">
        <f t="shared" si="1625"/>
        <v>0</v>
      </c>
    </row>
    <row r="9833" spans="1:27" ht="21" customHeight="1" x14ac:dyDescent="0.95">
      <c r="A9833" s="56"/>
      <c r="B9833" s="57"/>
      <c r="C9833" s="57"/>
      <c r="D9833" s="57"/>
      <c r="E9833" s="56"/>
      <c r="F9833" s="57"/>
      <c r="G9833" s="57"/>
      <c r="H9833" s="56"/>
      <c r="I9833" s="56"/>
      <c r="J9833" s="58"/>
      <c r="K9833" s="58"/>
      <c r="L9833" s="13" t="str">
        <f t="shared" si="1626"/>
        <v/>
      </c>
      <c r="M9833" s="13" t="str">
        <f t="shared" si="1627"/>
        <v/>
      </c>
      <c r="Q9833" t="str">
        <f t="shared" si="1628"/>
        <v/>
      </c>
      <c r="R9833" t="str">
        <f t="shared" si="1629"/>
        <v/>
      </c>
      <c r="S9833" t="str">
        <f t="shared" si="1630"/>
        <v/>
      </c>
      <c r="T9833" t="str">
        <f t="shared" si="1631"/>
        <v/>
      </c>
      <c r="U9833" t="str">
        <f t="shared" si="1632"/>
        <v/>
      </c>
      <c r="V9833" t="str">
        <f t="shared" si="1633"/>
        <v/>
      </c>
      <c r="W9833" t="str">
        <f t="shared" si="1634"/>
        <v/>
      </c>
      <c r="X9833">
        <f t="shared" si="1624"/>
        <v>0</v>
      </c>
      <c r="Z9833" t="str">
        <f t="shared" si="1635"/>
        <v/>
      </c>
      <c r="AA9833">
        <f t="shared" si="1625"/>
        <v>0</v>
      </c>
    </row>
    <row r="9834" spans="1:27" ht="21" customHeight="1" x14ac:dyDescent="0.95">
      <c r="A9834" s="56"/>
      <c r="B9834" s="57"/>
      <c r="C9834" s="57"/>
      <c r="D9834" s="57"/>
      <c r="E9834" s="56"/>
      <c r="F9834" s="57"/>
      <c r="G9834" s="57"/>
      <c r="H9834" s="56"/>
      <c r="I9834" s="56"/>
      <c r="J9834" s="58"/>
      <c r="K9834" s="58"/>
      <c r="L9834" s="13" t="str">
        <f t="shared" si="1626"/>
        <v/>
      </c>
      <c r="M9834" s="13" t="str">
        <f t="shared" si="1627"/>
        <v/>
      </c>
      <c r="Q9834" t="str">
        <f t="shared" si="1628"/>
        <v/>
      </c>
      <c r="R9834" t="str">
        <f t="shared" si="1629"/>
        <v/>
      </c>
      <c r="S9834" t="str">
        <f t="shared" si="1630"/>
        <v/>
      </c>
      <c r="T9834" t="str">
        <f t="shared" si="1631"/>
        <v/>
      </c>
      <c r="U9834" t="str">
        <f t="shared" si="1632"/>
        <v/>
      </c>
      <c r="V9834" t="str">
        <f t="shared" si="1633"/>
        <v/>
      </c>
      <c r="W9834" t="str">
        <f t="shared" si="1634"/>
        <v/>
      </c>
      <c r="X9834">
        <f t="shared" si="1624"/>
        <v>0</v>
      </c>
      <c r="Z9834" t="str">
        <f t="shared" si="1635"/>
        <v/>
      </c>
      <c r="AA9834">
        <f t="shared" si="1625"/>
        <v>0</v>
      </c>
    </row>
    <row r="9835" spans="1:27" ht="21" customHeight="1" x14ac:dyDescent="0.95">
      <c r="A9835" s="56"/>
      <c r="B9835" s="57"/>
      <c r="C9835" s="57"/>
      <c r="D9835" s="57"/>
      <c r="E9835" s="56"/>
      <c r="F9835" s="57"/>
      <c r="G9835" s="57"/>
      <c r="H9835" s="56"/>
      <c r="I9835" s="56"/>
      <c r="J9835" s="58"/>
      <c r="K9835" s="58"/>
      <c r="L9835" s="13" t="str">
        <f t="shared" si="1626"/>
        <v/>
      </c>
      <c r="M9835" s="13" t="str">
        <f t="shared" si="1627"/>
        <v/>
      </c>
      <c r="Q9835" t="str">
        <f t="shared" si="1628"/>
        <v/>
      </c>
      <c r="R9835" t="str">
        <f t="shared" si="1629"/>
        <v/>
      </c>
      <c r="S9835" t="str">
        <f t="shared" si="1630"/>
        <v/>
      </c>
      <c r="T9835" t="str">
        <f t="shared" si="1631"/>
        <v/>
      </c>
      <c r="U9835" t="str">
        <f t="shared" si="1632"/>
        <v/>
      </c>
      <c r="V9835" t="str">
        <f t="shared" si="1633"/>
        <v/>
      </c>
      <c r="W9835" t="str">
        <f t="shared" si="1634"/>
        <v/>
      </c>
      <c r="X9835">
        <f t="shared" si="1624"/>
        <v>0</v>
      </c>
      <c r="Z9835" t="str">
        <f t="shared" si="1635"/>
        <v/>
      </c>
      <c r="AA9835">
        <f t="shared" si="1625"/>
        <v>0</v>
      </c>
    </row>
    <row r="9836" spans="1:27" ht="21" customHeight="1" x14ac:dyDescent="0.95">
      <c r="A9836" s="56"/>
      <c r="B9836" s="57"/>
      <c r="C9836" s="57"/>
      <c r="D9836" s="57"/>
      <c r="E9836" s="56"/>
      <c r="F9836" s="57"/>
      <c r="G9836" s="57"/>
      <c r="H9836" s="56"/>
      <c r="I9836" s="56"/>
      <c r="J9836" s="58"/>
      <c r="K9836" s="58"/>
      <c r="L9836" s="13" t="str">
        <f t="shared" si="1626"/>
        <v/>
      </c>
      <c r="M9836" s="13" t="str">
        <f t="shared" si="1627"/>
        <v/>
      </c>
      <c r="Q9836" t="str">
        <f t="shared" si="1628"/>
        <v/>
      </c>
      <c r="R9836" t="str">
        <f t="shared" si="1629"/>
        <v/>
      </c>
      <c r="S9836" t="str">
        <f t="shared" si="1630"/>
        <v/>
      </c>
      <c r="T9836" t="str">
        <f t="shared" si="1631"/>
        <v/>
      </c>
      <c r="U9836" t="str">
        <f t="shared" si="1632"/>
        <v/>
      </c>
      <c r="V9836" t="str">
        <f t="shared" si="1633"/>
        <v/>
      </c>
      <c r="W9836" t="str">
        <f t="shared" si="1634"/>
        <v/>
      </c>
      <c r="X9836">
        <f t="shared" si="1624"/>
        <v>0</v>
      </c>
      <c r="Z9836" t="str">
        <f t="shared" si="1635"/>
        <v/>
      </c>
      <c r="AA9836">
        <f t="shared" si="1625"/>
        <v>0</v>
      </c>
    </row>
    <row r="9837" spans="1:27" ht="21" customHeight="1" x14ac:dyDescent="0.95">
      <c r="A9837" s="56"/>
      <c r="B9837" s="57"/>
      <c r="C9837" s="57"/>
      <c r="D9837" s="57"/>
      <c r="E9837" s="56"/>
      <c r="F9837" s="57"/>
      <c r="G9837" s="57"/>
      <c r="H9837" s="56"/>
      <c r="I9837" s="56"/>
      <c r="J9837" s="58"/>
      <c r="K9837" s="58"/>
      <c r="L9837" s="13" t="str">
        <f t="shared" si="1626"/>
        <v/>
      </c>
      <c r="M9837" s="13" t="str">
        <f t="shared" si="1627"/>
        <v/>
      </c>
      <c r="Q9837" t="str">
        <f t="shared" si="1628"/>
        <v/>
      </c>
      <c r="R9837" t="str">
        <f t="shared" si="1629"/>
        <v/>
      </c>
      <c r="S9837" t="str">
        <f t="shared" si="1630"/>
        <v/>
      </c>
      <c r="T9837" t="str">
        <f t="shared" si="1631"/>
        <v/>
      </c>
      <c r="U9837" t="str">
        <f t="shared" si="1632"/>
        <v/>
      </c>
      <c r="V9837" t="str">
        <f t="shared" si="1633"/>
        <v/>
      </c>
      <c r="W9837" t="str">
        <f t="shared" si="1634"/>
        <v/>
      </c>
      <c r="X9837">
        <f t="shared" si="1624"/>
        <v>0</v>
      </c>
      <c r="Z9837" t="str">
        <f t="shared" si="1635"/>
        <v/>
      </c>
      <c r="AA9837">
        <f t="shared" si="1625"/>
        <v>0</v>
      </c>
    </row>
    <row r="9838" spans="1:27" ht="21" customHeight="1" x14ac:dyDescent="0.95">
      <c r="A9838" s="56"/>
      <c r="B9838" s="57"/>
      <c r="C9838" s="57"/>
      <c r="D9838" s="57"/>
      <c r="E9838" s="56"/>
      <c r="F9838" s="57"/>
      <c r="G9838" s="57"/>
      <c r="H9838" s="56"/>
      <c r="I9838" s="56"/>
      <c r="J9838" s="58"/>
      <c r="K9838" s="58"/>
      <c r="L9838" s="13" t="str">
        <f t="shared" si="1626"/>
        <v/>
      </c>
      <c r="M9838" s="13" t="str">
        <f t="shared" si="1627"/>
        <v/>
      </c>
      <c r="Q9838" t="str">
        <f t="shared" si="1628"/>
        <v/>
      </c>
      <c r="R9838" t="str">
        <f t="shared" si="1629"/>
        <v/>
      </c>
      <c r="S9838" t="str">
        <f t="shared" si="1630"/>
        <v/>
      </c>
      <c r="T9838" t="str">
        <f t="shared" si="1631"/>
        <v/>
      </c>
      <c r="U9838" t="str">
        <f t="shared" si="1632"/>
        <v/>
      </c>
      <c r="V9838" t="str">
        <f t="shared" si="1633"/>
        <v/>
      </c>
      <c r="W9838" t="str">
        <f t="shared" si="1634"/>
        <v/>
      </c>
      <c r="X9838">
        <f t="shared" si="1624"/>
        <v>0</v>
      </c>
      <c r="Z9838" t="str">
        <f t="shared" si="1635"/>
        <v/>
      </c>
      <c r="AA9838">
        <f t="shared" si="1625"/>
        <v>0</v>
      </c>
    </row>
    <row r="9839" spans="1:27" ht="21" customHeight="1" x14ac:dyDescent="0.95">
      <c r="A9839" s="56"/>
      <c r="B9839" s="57"/>
      <c r="C9839" s="57"/>
      <c r="D9839" s="57"/>
      <c r="E9839" s="56"/>
      <c r="F9839" s="57"/>
      <c r="G9839" s="57"/>
      <c r="H9839" s="56"/>
      <c r="I9839" s="56"/>
      <c r="J9839" s="58"/>
      <c r="K9839" s="58"/>
      <c r="L9839" s="13" t="str">
        <f t="shared" si="1626"/>
        <v/>
      </c>
      <c r="M9839" s="13" t="str">
        <f t="shared" si="1627"/>
        <v/>
      </c>
      <c r="Q9839" t="str">
        <f t="shared" si="1628"/>
        <v/>
      </c>
      <c r="R9839" t="str">
        <f t="shared" si="1629"/>
        <v/>
      </c>
      <c r="S9839" t="str">
        <f t="shared" si="1630"/>
        <v/>
      </c>
      <c r="T9839" t="str">
        <f t="shared" si="1631"/>
        <v/>
      </c>
      <c r="U9839" t="str">
        <f t="shared" si="1632"/>
        <v/>
      </c>
      <c r="V9839" t="str">
        <f t="shared" si="1633"/>
        <v/>
      </c>
      <c r="W9839" t="str">
        <f t="shared" si="1634"/>
        <v/>
      </c>
      <c r="X9839">
        <f t="shared" si="1624"/>
        <v>0</v>
      </c>
      <c r="Z9839" t="str">
        <f t="shared" si="1635"/>
        <v/>
      </c>
      <c r="AA9839">
        <f t="shared" si="1625"/>
        <v>0</v>
      </c>
    </row>
    <row r="9840" spans="1:27" ht="21" customHeight="1" x14ac:dyDescent="0.95">
      <c r="A9840" s="56"/>
      <c r="B9840" s="57"/>
      <c r="C9840" s="57"/>
      <c r="D9840" s="57"/>
      <c r="E9840" s="56"/>
      <c r="F9840" s="57"/>
      <c r="G9840" s="57"/>
      <c r="H9840" s="56"/>
      <c r="I9840" s="56"/>
      <c r="J9840" s="58"/>
      <c r="K9840" s="58"/>
      <c r="L9840" s="13" t="str">
        <f t="shared" si="1626"/>
        <v/>
      </c>
      <c r="M9840" s="13" t="str">
        <f t="shared" si="1627"/>
        <v/>
      </c>
      <c r="Q9840" t="str">
        <f t="shared" si="1628"/>
        <v/>
      </c>
      <c r="R9840" t="str">
        <f t="shared" si="1629"/>
        <v/>
      </c>
      <c r="S9840" t="str">
        <f t="shared" si="1630"/>
        <v/>
      </c>
      <c r="T9840" t="str">
        <f t="shared" si="1631"/>
        <v/>
      </c>
      <c r="U9840" t="str">
        <f t="shared" si="1632"/>
        <v/>
      </c>
      <c r="V9840" t="str">
        <f t="shared" si="1633"/>
        <v/>
      </c>
      <c r="W9840" t="str">
        <f t="shared" si="1634"/>
        <v/>
      </c>
      <c r="X9840">
        <f t="shared" si="1624"/>
        <v>0</v>
      </c>
      <c r="Z9840" t="str">
        <f t="shared" si="1635"/>
        <v/>
      </c>
      <c r="AA9840">
        <f t="shared" si="1625"/>
        <v>0</v>
      </c>
    </row>
    <row r="9841" spans="1:27" ht="21" customHeight="1" x14ac:dyDescent="0.95">
      <c r="A9841" s="56"/>
      <c r="B9841" s="57"/>
      <c r="C9841" s="57"/>
      <c r="D9841" s="57"/>
      <c r="E9841" s="56"/>
      <c r="F9841" s="57"/>
      <c r="G9841" s="57"/>
      <c r="H9841" s="56"/>
      <c r="I9841" s="56"/>
      <c r="J9841" s="58"/>
      <c r="K9841" s="58"/>
      <c r="L9841" s="13" t="str">
        <f t="shared" si="1626"/>
        <v/>
      </c>
      <c r="M9841" s="13" t="str">
        <f t="shared" si="1627"/>
        <v/>
      </c>
      <c r="Q9841" t="str">
        <f t="shared" si="1628"/>
        <v/>
      </c>
      <c r="R9841" t="str">
        <f t="shared" si="1629"/>
        <v/>
      </c>
      <c r="S9841" t="str">
        <f t="shared" si="1630"/>
        <v/>
      </c>
      <c r="T9841" t="str">
        <f t="shared" si="1631"/>
        <v/>
      </c>
      <c r="U9841" t="str">
        <f t="shared" si="1632"/>
        <v/>
      </c>
      <c r="V9841" t="str">
        <f t="shared" si="1633"/>
        <v/>
      </c>
      <c r="W9841" t="str">
        <f t="shared" si="1634"/>
        <v/>
      </c>
      <c r="X9841">
        <f t="shared" si="1624"/>
        <v>0</v>
      </c>
      <c r="Z9841" t="str">
        <f t="shared" si="1635"/>
        <v/>
      </c>
      <c r="AA9841">
        <f t="shared" si="1625"/>
        <v>0</v>
      </c>
    </row>
    <row r="9842" spans="1:27" ht="21" customHeight="1" x14ac:dyDescent="0.95">
      <c r="A9842" s="56"/>
      <c r="B9842" s="57"/>
      <c r="C9842" s="57"/>
      <c r="D9842" s="57"/>
      <c r="E9842" s="56"/>
      <c r="F9842" s="57"/>
      <c r="G9842" s="57"/>
      <c r="H9842" s="56"/>
      <c r="I9842" s="56"/>
      <c r="J9842" s="58"/>
      <c r="K9842" s="58"/>
      <c r="L9842" s="13" t="str">
        <f t="shared" si="1626"/>
        <v/>
      </c>
      <c r="M9842" s="13" t="str">
        <f t="shared" si="1627"/>
        <v/>
      </c>
      <c r="Q9842" t="str">
        <f t="shared" si="1628"/>
        <v/>
      </c>
      <c r="R9842" t="str">
        <f t="shared" si="1629"/>
        <v/>
      </c>
      <c r="S9842" t="str">
        <f t="shared" si="1630"/>
        <v/>
      </c>
      <c r="T9842" t="str">
        <f t="shared" si="1631"/>
        <v/>
      </c>
      <c r="U9842" t="str">
        <f t="shared" si="1632"/>
        <v/>
      </c>
      <c r="V9842" t="str">
        <f t="shared" si="1633"/>
        <v/>
      </c>
      <c r="W9842" t="str">
        <f t="shared" si="1634"/>
        <v/>
      </c>
      <c r="X9842">
        <f t="shared" si="1624"/>
        <v>0</v>
      </c>
      <c r="Z9842" t="str">
        <f t="shared" si="1635"/>
        <v/>
      </c>
      <c r="AA9842">
        <f t="shared" si="1625"/>
        <v>0</v>
      </c>
    </row>
    <row r="9843" spans="1:27" ht="21" customHeight="1" x14ac:dyDescent="0.95">
      <c r="A9843" s="56"/>
      <c r="B9843" s="57"/>
      <c r="C9843" s="57"/>
      <c r="D9843" s="57"/>
      <c r="E9843" s="56"/>
      <c r="F9843" s="57"/>
      <c r="G9843" s="57"/>
      <c r="H9843" s="56"/>
      <c r="I9843" s="56"/>
      <c r="J9843" s="58"/>
      <c r="K9843" s="58"/>
      <c r="L9843" s="13" t="str">
        <f t="shared" si="1626"/>
        <v/>
      </c>
      <c r="M9843" s="13" t="str">
        <f t="shared" si="1627"/>
        <v/>
      </c>
      <c r="Q9843" t="str">
        <f t="shared" si="1628"/>
        <v/>
      </c>
      <c r="R9843" t="str">
        <f t="shared" si="1629"/>
        <v/>
      </c>
      <c r="S9843" t="str">
        <f t="shared" si="1630"/>
        <v/>
      </c>
      <c r="T9843" t="str">
        <f t="shared" si="1631"/>
        <v/>
      </c>
      <c r="U9843" t="str">
        <f t="shared" si="1632"/>
        <v/>
      </c>
      <c r="V9843" t="str">
        <f t="shared" si="1633"/>
        <v/>
      </c>
      <c r="W9843" t="str">
        <f t="shared" si="1634"/>
        <v/>
      </c>
      <c r="X9843">
        <f t="shared" si="1624"/>
        <v>0</v>
      </c>
      <c r="Z9843" t="str">
        <f t="shared" si="1635"/>
        <v/>
      </c>
      <c r="AA9843">
        <f t="shared" si="1625"/>
        <v>0</v>
      </c>
    </row>
    <row r="9844" spans="1:27" ht="21" customHeight="1" x14ac:dyDescent="0.95">
      <c r="A9844" s="56"/>
      <c r="B9844" s="57"/>
      <c r="C9844" s="57"/>
      <c r="D9844" s="57"/>
      <c r="E9844" s="56"/>
      <c r="F9844" s="57"/>
      <c r="G9844" s="57"/>
      <c r="H9844" s="56"/>
      <c r="I9844" s="56"/>
      <c r="J9844" s="58"/>
      <c r="K9844" s="58"/>
      <c r="L9844" s="13" t="str">
        <f t="shared" si="1626"/>
        <v/>
      </c>
      <c r="M9844" s="13" t="str">
        <f t="shared" si="1627"/>
        <v/>
      </c>
      <c r="Q9844" t="str">
        <f t="shared" si="1628"/>
        <v/>
      </c>
      <c r="R9844" t="str">
        <f t="shared" si="1629"/>
        <v/>
      </c>
      <c r="S9844" t="str">
        <f t="shared" si="1630"/>
        <v/>
      </c>
      <c r="T9844" t="str">
        <f t="shared" si="1631"/>
        <v/>
      </c>
      <c r="U9844" t="str">
        <f t="shared" si="1632"/>
        <v/>
      </c>
      <c r="V9844" t="str">
        <f t="shared" si="1633"/>
        <v/>
      </c>
      <c r="W9844" t="str">
        <f t="shared" si="1634"/>
        <v/>
      </c>
      <c r="X9844">
        <f t="shared" si="1624"/>
        <v>0</v>
      </c>
      <c r="Z9844" t="str">
        <f t="shared" si="1635"/>
        <v/>
      </c>
      <c r="AA9844">
        <f t="shared" si="1625"/>
        <v>0</v>
      </c>
    </row>
    <row r="9845" spans="1:27" ht="21" customHeight="1" x14ac:dyDescent="0.95">
      <c r="A9845" s="56"/>
      <c r="B9845" s="57"/>
      <c r="C9845" s="57"/>
      <c r="D9845" s="57"/>
      <c r="E9845" s="56"/>
      <c r="F9845" s="57"/>
      <c r="G9845" s="57"/>
      <c r="H9845" s="56"/>
      <c r="I9845" s="56"/>
      <c r="J9845" s="58"/>
      <c r="K9845" s="58"/>
      <c r="L9845" s="13" t="str">
        <f t="shared" si="1626"/>
        <v/>
      </c>
      <c r="M9845" s="13" t="str">
        <f t="shared" si="1627"/>
        <v/>
      </c>
      <c r="Q9845" t="str">
        <f t="shared" si="1628"/>
        <v/>
      </c>
      <c r="R9845" t="str">
        <f t="shared" si="1629"/>
        <v/>
      </c>
      <c r="S9845" t="str">
        <f t="shared" si="1630"/>
        <v/>
      </c>
      <c r="T9845" t="str">
        <f t="shared" si="1631"/>
        <v/>
      </c>
      <c r="U9845" t="str">
        <f t="shared" si="1632"/>
        <v/>
      </c>
      <c r="V9845" t="str">
        <f t="shared" si="1633"/>
        <v/>
      </c>
      <c r="W9845" t="str">
        <f t="shared" si="1634"/>
        <v/>
      </c>
      <c r="X9845">
        <f t="shared" ref="X9845:X9908" si="1636">IF($T9845="",N($X9844),IF(MATCH($T9845,$T$6:$T$10005,0)=ROW()-5,N($X9844)+1,N($X9844)))</f>
        <v>0</v>
      </c>
      <c r="Z9845" t="str">
        <f t="shared" si="1635"/>
        <v/>
      </c>
      <c r="AA9845">
        <f t="shared" ref="AA9845:AA9908" si="1637">IF($V9845="",N($AA9844),IF(MATCH($V9845,$V$6:$V$10005,0)=ROW()-5,N($AA9844)+1,N($AA9844)))</f>
        <v>0</v>
      </c>
    </row>
    <row r="9846" spans="1:27" ht="21" customHeight="1" x14ac:dyDescent="0.95">
      <c r="A9846" s="56"/>
      <c r="B9846" s="57"/>
      <c r="C9846" s="57"/>
      <c r="D9846" s="57"/>
      <c r="E9846" s="56"/>
      <c r="F9846" s="57"/>
      <c r="G9846" s="57"/>
      <c r="H9846" s="56"/>
      <c r="I9846" s="56"/>
      <c r="J9846" s="58"/>
      <c r="K9846" s="58"/>
      <c r="L9846" s="13" t="str">
        <f t="shared" si="1626"/>
        <v/>
      </c>
      <c r="M9846" s="13" t="str">
        <f t="shared" si="1627"/>
        <v/>
      </c>
      <c r="Q9846" t="str">
        <f t="shared" si="1628"/>
        <v/>
      </c>
      <c r="R9846" t="str">
        <f t="shared" si="1629"/>
        <v/>
      </c>
      <c r="S9846" t="str">
        <f t="shared" si="1630"/>
        <v/>
      </c>
      <c r="T9846" t="str">
        <f t="shared" si="1631"/>
        <v/>
      </c>
      <c r="U9846" t="str">
        <f t="shared" si="1632"/>
        <v/>
      </c>
      <c r="V9846" t="str">
        <f t="shared" si="1633"/>
        <v/>
      </c>
      <c r="W9846" t="str">
        <f t="shared" si="1634"/>
        <v/>
      </c>
      <c r="X9846">
        <f t="shared" si="1636"/>
        <v>0</v>
      </c>
      <c r="Z9846" t="str">
        <f t="shared" si="1635"/>
        <v/>
      </c>
      <c r="AA9846">
        <f t="shared" si="1637"/>
        <v>0</v>
      </c>
    </row>
    <row r="9847" spans="1:27" ht="21" customHeight="1" x14ac:dyDescent="0.95">
      <c r="A9847" s="56"/>
      <c r="B9847" s="57"/>
      <c r="C9847" s="57"/>
      <c r="D9847" s="57"/>
      <c r="E9847" s="56"/>
      <c r="F9847" s="57"/>
      <c r="G9847" s="57"/>
      <c r="H9847" s="56"/>
      <c r="I9847" s="56"/>
      <c r="J9847" s="58"/>
      <c r="K9847" s="58"/>
      <c r="L9847" s="13" t="str">
        <f t="shared" si="1626"/>
        <v/>
      </c>
      <c r="M9847" s="13" t="str">
        <f t="shared" si="1627"/>
        <v/>
      </c>
      <c r="Q9847" t="str">
        <f t="shared" si="1628"/>
        <v/>
      </c>
      <c r="R9847" t="str">
        <f t="shared" si="1629"/>
        <v/>
      </c>
      <c r="S9847" t="str">
        <f t="shared" si="1630"/>
        <v/>
      </c>
      <c r="T9847" t="str">
        <f t="shared" si="1631"/>
        <v/>
      </c>
      <c r="U9847" t="str">
        <f t="shared" si="1632"/>
        <v/>
      </c>
      <c r="V9847" t="str">
        <f t="shared" si="1633"/>
        <v/>
      </c>
      <c r="W9847" t="str">
        <f t="shared" si="1634"/>
        <v/>
      </c>
      <c r="X9847">
        <f t="shared" si="1636"/>
        <v>0</v>
      </c>
      <c r="Z9847" t="str">
        <f t="shared" si="1635"/>
        <v/>
      </c>
      <c r="AA9847">
        <f t="shared" si="1637"/>
        <v>0</v>
      </c>
    </row>
    <row r="9848" spans="1:27" ht="21" customHeight="1" x14ac:dyDescent="0.95">
      <c r="A9848" s="56"/>
      <c r="B9848" s="57"/>
      <c r="C9848" s="57"/>
      <c r="D9848" s="57"/>
      <c r="E9848" s="56"/>
      <c r="F9848" s="57"/>
      <c r="G9848" s="57"/>
      <c r="H9848" s="56"/>
      <c r="I9848" s="56"/>
      <c r="J9848" s="58"/>
      <c r="K9848" s="58"/>
      <c r="L9848" s="13" t="str">
        <f t="shared" si="1626"/>
        <v/>
      </c>
      <c r="M9848" s="13" t="str">
        <f t="shared" si="1627"/>
        <v/>
      </c>
      <c r="Q9848" t="str">
        <f t="shared" si="1628"/>
        <v/>
      </c>
      <c r="R9848" t="str">
        <f t="shared" si="1629"/>
        <v/>
      </c>
      <c r="S9848" t="str">
        <f t="shared" si="1630"/>
        <v/>
      </c>
      <c r="T9848" t="str">
        <f t="shared" si="1631"/>
        <v/>
      </c>
      <c r="U9848" t="str">
        <f t="shared" si="1632"/>
        <v/>
      </c>
      <c r="V9848" t="str">
        <f t="shared" si="1633"/>
        <v/>
      </c>
      <c r="W9848" t="str">
        <f t="shared" si="1634"/>
        <v/>
      </c>
      <c r="X9848">
        <f t="shared" si="1636"/>
        <v>0</v>
      </c>
      <c r="Z9848" t="str">
        <f t="shared" si="1635"/>
        <v/>
      </c>
      <c r="AA9848">
        <f t="shared" si="1637"/>
        <v>0</v>
      </c>
    </row>
    <row r="9849" spans="1:27" ht="21" customHeight="1" x14ac:dyDescent="0.95">
      <c r="A9849" s="56"/>
      <c r="B9849" s="57"/>
      <c r="C9849" s="57"/>
      <c r="D9849" s="57"/>
      <c r="E9849" s="56"/>
      <c r="F9849" s="57"/>
      <c r="G9849" s="57"/>
      <c r="H9849" s="56"/>
      <c r="I9849" s="56"/>
      <c r="J9849" s="58"/>
      <c r="K9849" s="58"/>
      <c r="L9849" s="13" t="str">
        <f t="shared" si="1626"/>
        <v/>
      </c>
      <c r="M9849" s="13" t="str">
        <f t="shared" si="1627"/>
        <v/>
      </c>
      <c r="Q9849" t="str">
        <f t="shared" si="1628"/>
        <v/>
      </c>
      <c r="R9849" t="str">
        <f t="shared" si="1629"/>
        <v/>
      </c>
      <c r="S9849" t="str">
        <f t="shared" si="1630"/>
        <v/>
      </c>
      <c r="T9849" t="str">
        <f t="shared" si="1631"/>
        <v/>
      </c>
      <c r="U9849" t="str">
        <f t="shared" si="1632"/>
        <v/>
      </c>
      <c r="V9849" t="str">
        <f t="shared" si="1633"/>
        <v/>
      </c>
      <c r="W9849" t="str">
        <f t="shared" si="1634"/>
        <v/>
      </c>
      <c r="X9849">
        <f t="shared" si="1636"/>
        <v>0</v>
      </c>
      <c r="Z9849" t="str">
        <f t="shared" si="1635"/>
        <v/>
      </c>
      <c r="AA9849">
        <f t="shared" si="1637"/>
        <v>0</v>
      </c>
    </row>
    <row r="9850" spans="1:27" ht="21" customHeight="1" x14ac:dyDescent="0.95">
      <c r="A9850" s="56"/>
      <c r="B9850" s="57"/>
      <c r="C9850" s="57"/>
      <c r="D9850" s="57"/>
      <c r="E9850" s="56"/>
      <c r="F9850" s="57"/>
      <c r="G9850" s="57"/>
      <c r="H9850" s="56"/>
      <c r="I9850" s="56"/>
      <c r="J9850" s="58"/>
      <c r="K9850" s="58"/>
      <c r="L9850" s="13" t="str">
        <f t="shared" si="1626"/>
        <v/>
      </c>
      <c r="M9850" s="13" t="str">
        <f t="shared" si="1627"/>
        <v/>
      </c>
      <c r="Q9850" t="str">
        <f t="shared" si="1628"/>
        <v/>
      </c>
      <c r="R9850" t="str">
        <f t="shared" si="1629"/>
        <v/>
      </c>
      <c r="S9850" t="str">
        <f t="shared" si="1630"/>
        <v/>
      </c>
      <c r="T9850" t="str">
        <f t="shared" si="1631"/>
        <v/>
      </c>
      <c r="U9850" t="str">
        <f t="shared" si="1632"/>
        <v/>
      </c>
      <c r="V9850" t="str">
        <f t="shared" si="1633"/>
        <v/>
      </c>
      <c r="W9850" t="str">
        <f t="shared" si="1634"/>
        <v/>
      </c>
      <c r="X9850">
        <f t="shared" si="1636"/>
        <v>0</v>
      </c>
      <c r="Z9850" t="str">
        <f t="shared" si="1635"/>
        <v/>
      </c>
      <c r="AA9850">
        <f t="shared" si="1637"/>
        <v>0</v>
      </c>
    </row>
    <row r="9851" spans="1:27" ht="21" customHeight="1" x14ac:dyDescent="0.95">
      <c r="A9851" s="56"/>
      <c r="B9851" s="57"/>
      <c r="C9851" s="57"/>
      <c r="D9851" s="57"/>
      <c r="E9851" s="56"/>
      <c r="F9851" s="57"/>
      <c r="G9851" s="57"/>
      <c r="H9851" s="56"/>
      <c r="I9851" s="56"/>
      <c r="J9851" s="58"/>
      <c r="K9851" s="58"/>
      <c r="L9851" s="13" t="str">
        <f t="shared" si="1626"/>
        <v/>
      </c>
      <c r="M9851" s="13" t="str">
        <f t="shared" si="1627"/>
        <v/>
      </c>
      <c r="Q9851" t="str">
        <f t="shared" si="1628"/>
        <v/>
      </c>
      <c r="R9851" t="str">
        <f t="shared" si="1629"/>
        <v/>
      </c>
      <c r="S9851" t="str">
        <f t="shared" si="1630"/>
        <v/>
      </c>
      <c r="T9851" t="str">
        <f t="shared" si="1631"/>
        <v/>
      </c>
      <c r="U9851" t="str">
        <f t="shared" si="1632"/>
        <v/>
      </c>
      <c r="V9851" t="str">
        <f t="shared" si="1633"/>
        <v/>
      </c>
      <c r="W9851" t="str">
        <f t="shared" si="1634"/>
        <v/>
      </c>
      <c r="X9851">
        <f t="shared" si="1636"/>
        <v>0</v>
      </c>
      <c r="Z9851" t="str">
        <f t="shared" si="1635"/>
        <v/>
      </c>
      <c r="AA9851">
        <f t="shared" si="1637"/>
        <v>0</v>
      </c>
    </row>
    <row r="9852" spans="1:27" ht="21" customHeight="1" x14ac:dyDescent="0.95">
      <c r="A9852" s="56"/>
      <c r="B9852" s="57"/>
      <c r="C9852" s="57"/>
      <c r="D9852" s="57"/>
      <c r="E9852" s="56"/>
      <c r="F9852" s="57"/>
      <c r="G9852" s="57"/>
      <c r="H9852" s="56"/>
      <c r="I9852" s="56"/>
      <c r="J9852" s="58"/>
      <c r="K9852" s="58"/>
      <c r="L9852" s="13" t="str">
        <f t="shared" si="1626"/>
        <v/>
      </c>
      <c r="M9852" s="13" t="str">
        <f t="shared" si="1627"/>
        <v/>
      </c>
      <c r="Q9852" t="str">
        <f t="shared" si="1628"/>
        <v/>
      </c>
      <c r="R9852" t="str">
        <f t="shared" si="1629"/>
        <v/>
      </c>
      <c r="S9852" t="str">
        <f t="shared" si="1630"/>
        <v/>
      </c>
      <c r="T9852" t="str">
        <f t="shared" si="1631"/>
        <v/>
      </c>
      <c r="U9852" t="str">
        <f t="shared" si="1632"/>
        <v/>
      </c>
      <c r="V9852" t="str">
        <f t="shared" si="1633"/>
        <v/>
      </c>
      <c r="W9852" t="str">
        <f t="shared" si="1634"/>
        <v/>
      </c>
      <c r="X9852">
        <f t="shared" si="1636"/>
        <v>0</v>
      </c>
      <c r="Z9852" t="str">
        <f t="shared" si="1635"/>
        <v/>
      </c>
      <c r="AA9852">
        <f t="shared" si="1637"/>
        <v>0</v>
      </c>
    </row>
    <row r="9853" spans="1:27" ht="21" customHeight="1" x14ac:dyDescent="0.95">
      <c r="A9853" s="56"/>
      <c r="B9853" s="57"/>
      <c r="C9853" s="57"/>
      <c r="D9853" s="57"/>
      <c r="E9853" s="56"/>
      <c r="F9853" s="57"/>
      <c r="G9853" s="57"/>
      <c r="H9853" s="56"/>
      <c r="I9853" s="56"/>
      <c r="J9853" s="58"/>
      <c r="K9853" s="58"/>
      <c r="L9853" s="13" t="str">
        <f t="shared" si="1626"/>
        <v/>
      </c>
      <c r="M9853" s="13" t="str">
        <f t="shared" si="1627"/>
        <v/>
      </c>
      <c r="Q9853" t="str">
        <f t="shared" si="1628"/>
        <v/>
      </c>
      <c r="R9853" t="str">
        <f t="shared" si="1629"/>
        <v/>
      </c>
      <c r="S9853" t="str">
        <f t="shared" si="1630"/>
        <v/>
      </c>
      <c r="T9853" t="str">
        <f t="shared" si="1631"/>
        <v/>
      </c>
      <c r="U9853" t="str">
        <f t="shared" si="1632"/>
        <v/>
      </c>
      <c r="V9853" t="str">
        <f t="shared" si="1633"/>
        <v/>
      </c>
      <c r="W9853" t="str">
        <f t="shared" si="1634"/>
        <v/>
      </c>
      <c r="X9853">
        <f t="shared" si="1636"/>
        <v>0</v>
      </c>
      <c r="Z9853" t="str">
        <f t="shared" si="1635"/>
        <v/>
      </c>
      <c r="AA9853">
        <f t="shared" si="1637"/>
        <v>0</v>
      </c>
    </row>
    <row r="9854" spans="1:27" ht="21" customHeight="1" x14ac:dyDescent="0.95">
      <c r="A9854" s="56"/>
      <c r="B9854" s="57"/>
      <c r="C9854" s="57"/>
      <c r="D9854" s="57"/>
      <c r="E9854" s="56"/>
      <c r="F9854" s="57"/>
      <c r="G9854" s="57"/>
      <c r="H9854" s="56"/>
      <c r="I9854" s="56"/>
      <c r="J9854" s="58"/>
      <c r="K9854" s="58"/>
      <c r="L9854" s="13" t="str">
        <f t="shared" si="1626"/>
        <v/>
      </c>
      <c r="M9854" s="13" t="str">
        <f t="shared" si="1627"/>
        <v/>
      </c>
      <c r="Q9854" t="str">
        <f t="shared" si="1628"/>
        <v/>
      </c>
      <c r="R9854" t="str">
        <f t="shared" si="1629"/>
        <v/>
      </c>
      <c r="S9854" t="str">
        <f t="shared" si="1630"/>
        <v/>
      </c>
      <c r="T9854" t="str">
        <f t="shared" si="1631"/>
        <v/>
      </c>
      <c r="U9854" t="str">
        <f t="shared" si="1632"/>
        <v/>
      </c>
      <c r="V9854" t="str">
        <f t="shared" si="1633"/>
        <v/>
      </c>
      <c r="W9854" t="str">
        <f t="shared" si="1634"/>
        <v/>
      </c>
      <c r="X9854">
        <f t="shared" si="1636"/>
        <v>0</v>
      </c>
      <c r="Z9854" t="str">
        <f t="shared" si="1635"/>
        <v/>
      </c>
      <c r="AA9854">
        <f t="shared" si="1637"/>
        <v>0</v>
      </c>
    </row>
    <row r="9855" spans="1:27" ht="21" customHeight="1" x14ac:dyDescent="0.95">
      <c r="A9855" s="56"/>
      <c r="B9855" s="57"/>
      <c r="C9855" s="57"/>
      <c r="D9855" s="57"/>
      <c r="E9855" s="56"/>
      <c r="F9855" s="57"/>
      <c r="G9855" s="57"/>
      <c r="H9855" s="56"/>
      <c r="I9855" s="56"/>
      <c r="J9855" s="58"/>
      <c r="K9855" s="58"/>
      <c r="L9855" s="13" t="str">
        <f t="shared" si="1626"/>
        <v/>
      </c>
      <c r="M9855" s="13" t="str">
        <f t="shared" si="1627"/>
        <v/>
      </c>
      <c r="Q9855" t="str">
        <f t="shared" si="1628"/>
        <v/>
      </c>
      <c r="R9855" t="str">
        <f t="shared" si="1629"/>
        <v/>
      </c>
      <c r="S9855" t="str">
        <f t="shared" si="1630"/>
        <v/>
      </c>
      <c r="T9855" t="str">
        <f t="shared" si="1631"/>
        <v/>
      </c>
      <c r="U9855" t="str">
        <f t="shared" si="1632"/>
        <v/>
      </c>
      <c r="V9855" t="str">
        <f t="shared" si="1633"/>
        <v/>
      </c>
      <c r="W9855" t="str">
        <f t="shared" si="1634"/>
        <v/>
      </c>
      <c r="X9855">
        <f t="shared" si="1636"/>
        <v>0</v>
      </c>
      <c r="Z9855" t="str">
        <f t="shared" si="1635"/>
        <v/>
      </c>
      <c r="AA9855">
        <f t="shared" si="1637"/>
        <v>0</v>
      </c>
    </row>
    <row r="9856" spans="1:27" ht="21" customHeight="1" x14ac:dyDescent="0.95">
      <c r="A9856" s="56"/>
      <c r="B9856" s="57"/>
      <c r="C9856" s="57"/>
      <c r="D9856" s="57"/>
      <c r="E9856" s="56"/>
      <c r="F9856" s="57"/>
      <c r="G9856" s="57"/>
      <c r="H9856" s="56"/>
      <c r="I9856" s="56"/>
      <c r="J9856" s="58"/>
      <c r="K9856" s="58"/>
      <c r="L9856" s="13" t="str">
        <f t="shared" si="1626"/>
        <v/>
      </c>
      <c r="M9856" s="13" t="str">
        <f t="shared" si="1627"/>
        <v/>
      </c>
      <c r="Q9856" t="str">
        <f t="shared" si="1628"/>
        <v/>
      </c>
      <c r="R9856" t="str">
        <f t="shared" si="1629"/>
        <v/>
      </c>
      <c r="S9856" t="str">
        <f t="shared" si="1630"/>
        <v/>
      </c>
      <c r="T9856" t="str">
        <f t="shared" si="1631"/>
        <v/>
      </c>
      <c r="U9856" t="str">
        <f t="shared" si="1632"/>
        <v/>
      </c>
      <c r="V9856" t="str">
        <f t="shared" si="1633"/>
        <v/>
      </c>
      <c r="W9856" t="str">
        <f t="shared" si="1634"/>
        <v/>
      </c>
      <c r="X9856">
        <f t="shared" si="1636"/>
        <v>0</v>
      </c>
      <c r="Z9856" t="str">
        <f t="shared" si="1635"/>
        <v/>
      </c>
      <c r="AA9856">
        <f t="shared" si="1637"/>
        <v>0</v>
      </c>
    </row>
    <row r="9857" spans="1:27" ht="21" customHeight="1" x14ac:dyDescent="0.95">
      <c r="A9857" s="56"/>
      <c r="B9857" s="57"/>
      <c r="C9857" s="57"/>
      <c r="D9857" s="57"/>
      <c r="E9857" s="56"/>
      <c r="F9857" s="57"/>
      <c r="G9857" s="57"/>
      <c r="H9857" s="56"/>
      <c r="I9857" s="56"/>
      <c r="J9857" s="58"/>
      <c r="K9857" s="58"/>
      <c r="L9857" s="13" t="str">
        <f t="shared" si="1626"/>
        <v/>
      </c>
      <c r="M9857" s="13" t="str">
        <f t="shared" si="1627"/>
        <v/>
      </c>
      <c r="Q9857" t="str">
        <f t="shared" si="1628"/>
        <v/>
      </c>
      <c r="R9857" t="str">
        <f t="shared" si="1629"/>
        <v/>
      </c>
      <c r="S9857" t="str">
        <f t="shared" si="1630"/>
        <v/>
      </c>
      <c r="T9857" t="str">
        <f t="shared" si="1631"/>
        <v/>
      </c>
      <c r="U9857" t="str">
        <f t="shared" si="1632"/>
        <v/>
      </c>
      <c r="V9857" t="str">
        <f t="shared" si="1633"/>
        <v/>
      </c>
      <c r="W9857" t="str">
        <f t="shared" si="1634"/>
        <v/>
      </c>
      <c r="X9857">
        <f t="shared" si="1636"/>
        <v>0</v>
      </c>
      <c r="Z9857" t="str">
        <f t="shared" si="1635"/>
        <v/>
      </c>
      <c r="AA9857">
        <f t="shared" si="1637"/>
        <v>0</v>
      </c>
    </row>
    <row r="9858" spans="1:27" ht="21" customHeight="1" x14ac:dyDescent="0.95">
      <c r="A9858" s="56"/>
      <c r="B9858" s="57"/>
      <c r="C9858" s="57"/>
      <c r="D9858" s="57"/>
      <c r="E9858" s="56"/>
      <c r="F9858" s="57"/>
      <c r="G9858" s="57"/>
      <c r="H9858" s="56"/>
      <c r="I9858" s="56"/>
      <c r="J9858" s="58"/>
      <c r="K9858" s="58"/>
      <c r="L9858" s="13" t="str">
        <f t="shared" si="1626"/>
        <v/>
      </c>
      <c r="M9858" s="13" t="str">
        <f t="shared" si="1627"/>
        <v/>
      </c>
      <c r="Q9858" t="str">
        <f t="shared" si="1628"/>
        <v/>
      </c>
      <c r="R9858" t="str">
        <f t="shared" si="1629"/>
        <v/>
      </c>
      <c r="S9858" t="str">
        <f t="shared" si="1630"/>
        <v/>
      </c>
      <c r="T9858" t="str">
        <f t="shared" si="1631"/>
        <v/>
      </c>
      <c r="U9858" t="str">
        <f t="shared" si="1632"/>
        <v/>
      </c>
      <c r="V9858" t="str">
        <f t="shared" si="1633"/>
        <v/>
      </c>
      <c r="W9858" t="str">
        <f t="shared" si="1634"/>
        <v/>
      </c>
      <c r="X9858">
        <f t="shared" si="1636"/>
        <v>0</v>
      </c>
      <c r="Z9858" t="str">
        <f t="shared" si="1635"/>
        <v/>
      </c>
      <c r="AA9858">
        <f t="shared" si="1637"/>
        <v>0</v>
      </c>
    </row>
    <row r="9859" spans="1:27" ht="21" customHeight="1" x14ac:dyDescent="0.95">
      <c r="A9859" s="56"/>
      <c r="B9859" s="57"/>
      <c r="C9859" s="57"/>
      <c r="D9859" s="57"/>
      <c r="E9859" s="56"/>
      <c r="F9859" s="57"/>
      <c r="G9859" s="57"/>
      <c r="H9859" s="56"/>
      <c r="I9859" s="56"/>
      <c r="J9859" s="58"/>
      <c r="K9859" s="58"/>
      <c r="L9859" s="13" t="str">
        <f t="shared" si="1626"/>
        <v/>
      </c>
      <c r="M9859" s="13" t="str">
        <f t="shared" si="1627"/>
        <v/>
      </c>
      <c r="Q9859" t="str">
        <f t="shared" si="1628"/>
        <v/>
      </c>
      <c r="R9859" t="str">
        <f t="shared" si="1629"/>
        <v/>
      </c>
      <c r="S9859" t="str">
        <f t="shared" si="1630"/>
        <v/>
      </c>
      <c r="T9859" t="str">
        <f t="shared" si="1631"/>
        <v/>
      </c>
      <c r="U9859" t="str">
        <f t="shared" si="1632"/>
        <v/>
      </c>
      <c r="V9859" t="str">
        <f t="shared" si="1633"/>
        <v/>
      </c>
      <c r="W9859" t="str">
        <f t="shared" si="1634"/>
        <v/>
      </c>
      <c r="X9859">
        <f t="shared" si="1636"/>
        <v>0</v>
      </c>
      <c r="Z9859" t="str">
        <f t="shared" si="1635"/>
        <v/>
      </c>
      <c r="AA9859">
        <f t="shared" si="1637"/>
        <v>0</v>
      </c>
    </row>
    <row r="9860" spans="1:27" ht="21" customHeight="1" x14ac:dyDescent="0.95">
      <c r="A9860" s="56"/>
      <c r="B9860" s="57"/>
      <c r="C9860" s="57"/>
      <c r="D9860" s="57"/>
      <c r="E9860" s="56"/>
      <c r="F9860" s="57"/>
      <c r="G9860" s="57"/>
      <c r="H9860" s="56"/>
      <c r="I9860" s="56"/>
      <c r="J9860" s="58"/>
      <c r="K9860" s="58"/>
      <c r="L9860" s="13" t="str">
        <f t="shared" ref="L9860:L9923" si="1638">IF(OR($A9860="",AND($J9860="",$K9860="")),"",ROUND(N($J9860)-N($K9860),2))</f>
        <v/>
      </c>
      <c r="M9860" s="13" t="str">
        <f t="shared" ref="M9860:M9923" si="1639">IF(OR($A9860="",AND($J9860="",$K9860="")),"",MIN($J9860,$K9860))</f>
        <v/>
      </c>
      <c r="Q9860" t="str">
        <f t="shared" ref="Q9860:Q9923" si="1640">IF($A9860="","",$D9860&amp;"("&amp;SUBSTITUTE($E9860," ","")&amp;")")</f>
        <v/>
      </c>
      <c r="R9860" t="str">
        <f t="shared" ref="R9860:R9923" si="1641">IF($A9860="","",$B9860&amp;" - "&amp;$C9860)</f>
        <v/>
      </c>
      <c r="S9860" t="str">
        <f t="shared" ref="S9860:S9923" si="1642">IF($A9860="","",$R9860&amp;"|"&amp;$Q9860)</f>
        <v/>
      </c>
      <c r="T9860" t="str">
        <f t="shared" ref="T9860:T9923" si="1643">IF($A9860="","",$S9860&amp;"|"&amp;$F9860)</f>
        <v/>
      </c>
      <c r="U9860" t="str">
        <f t="shared" ref="U9860:U9923" si="1644">IF($A9860="","",$R9860&amp;"("&amp;$E9860&amp;")")</f>
        <v/>
      </c>
      <c r="V9860" t="str">
        <f t="shared" ref="V9860:V9923" si="1645">IF($A9860="","",$F9860&amp;"|"&amp;$U9860&amp;"|"&amp;$D9860)</f>
        <v/>
      </c>
      <c r="W9860" t="str">
        <f t="shared" si="1634"/>
        <v/>
      </c>
      <c r="X9860">
        <f t="shared" si="1636"/>
        <v>0</v>
      </c>
      <c r="Z9860" t="str">
        <f t="shared" si="1635"/>
        <v/>
      </c>
      <c r="AA9860">
        <f t="shared" si="1637"/>
        <v>0</v>
      </c>
    </row>
    <row r="9861" spans="1:27" ht="21" customHeight="1" x14ac:dyDescent="0.95">
      <c r="A9861" s="56"/>
      <c r="B9861" s="57"/>
      <c r="C9861" s="57"/>
      <c r="D9861" s="57"/>
      <c r="E9861" s="56"/>
      <c r="F9861" s="57"/>
      <c r="G9861" s="57"/>
      <c r="H9861" s="56"/>
      <c r="I9861" s="56"/>
      <c r="J9861" s="58"/>
      <c r="K9861" s="58"/>
      <c r="L9861" s="13" t="str">
        <f t="shared" si="1638"/>
        <v/>
      </c>
      <c r="M9861" s="13" t="str">
        <f t="shared" si="1639"/>
        <v/>
      </c>
      <c r="Q9861" t="str">
        <f t="shared" si="1640"/>
        <v/>
      </c>
      <c r="R9861" t="str">
        <f t="shared" si="1641"/>
        <v/>
      </c>
      <c r="S9861" t="str">
        <f t="shared" si="1642"/>
        <v/>
      </c>
      <c r="T9861" t="str">
        <f t="shared" si="1643"/>
        <v/>
      </c>
      <c r="U9861" t="str">
        <f t="shared" si="1644"/>
        <v/>
      </c>
      <c r="V9861" t="str">
        <f t="shared" si="1645"/>
        <v/>
      </c>
      <c r="W9861" t="str">
        <f t="shared" si="1634"/>
        <v/>
      </c>
      <c r="X9861">
        <f t="shared" si="1636"/>
        <v>0</v>
      </c>
      <c r="Z9861" t="str">
        <f t="shared" si="1635"/>
        <v/>
      </c>
      <c r="AA9861">
        <f t="shared" si="1637"/>
        <v>0</v>
      </c>
    </row>
    <row r="9862" spans="1:27" ht="21" customHeight="1" x14ac:dyDescent="0.95">
      <c r="A9862" s="56"/>
      <c r="B9862" s="57"/>
      <c r="C9862" s="57"/>
      <c r="D9862" s="57"/>
      <c r="E9862" s="56"/>
      <c r="F9862" s="57"/>
      <c r="G9862" s="57"/>
      <c r="H9862" s="56"/>
      <c r="I9862" s="56"/>
      <c r="J9862" s="58"/>
      <c r="K9862" s="58"/>
      <c r="L9862" s="13" t="str">
        <f t="shared" si="1638"/>
        <v/>
      </c>
      <c r="M9862" s="13" t="str">
        <f t="shared" si="1639"/>
        <v/>
      </c>
      <c r="Q9862" t="str">
        <f t="shared" si="1640"/>
        <v/>
      </c>
      <c r="R9862" t="str">
        <f t="shared" si="1641"/>
        <v/>
      </c>
      <c r="S9862" t="str">
        <f t="shared" si="1642"/>
        <v/>
      </c>
      <c r="T9862" t="str">
        <f t="shared" si="1643"/>
        <v/>
      </c>
      <c r="U9862" t="str">
        <f t="shared" si="1644"/>
        <v/>
      </c>
      <c r="V9862" t="str">
        <f t="shared" si="1645"/>
        <v/>
      </c>
      <c r="W9862" t="str">
        <f t="shared" ref="W9862:W9925" si="1646">IF($T9862="","",IF($X9862&gt;N($X9861),$X9862,""))</f>
        <v/>
      </c>
      <c r="X9862">
        <f t="shared" si="1636"/>
        <v>0</v>
      </c>
      <c r="Z9862" t="str">
        <f t="shared" ref="Z9862:Z9925" si="1647">IF($V9862="","",IF($AA9862&gt;N($AA9861),$AA9862,""))</f>
        <v/>
      </c>
      <c r="AA9862">
        <f t="shared" si="1637"/>
        <v>0</v>
      </c>
    </row>
    <row r="9863" spans="1:27" ht="21" customHeight="1" x14ac:dyDescent="0.95">
      <c r="A9863" s="56"/>
      <c r="B9863" s="57"/>
      <c r="C9863" s="57"/>
      <c r="D9863" s="57"/>
      <c r="E9863" s="56"/>
      <c r="F9863" s="57"/>
      <c r="G9863" s="57"/>
      <c r="H9863" s="56"/>
      <c r="I9863" s="56"/>
      <c r="J9863" s="58"/>
      <c r="K9863" s="58"/>
      <c r="L9863" s="13" t="str">
        <f t="shared" si="1638"/>
        <v/>
      </c>
      <c r="M9863" s="13" t="str">
        <f t="shared" si="1639"/>
        <v/>
      </c>
      <c r="Q9863" t="str">
        <f t="shared" si="1640"/>
        <v/>
      </c>
      <c r="R9863" t="str">
        <f t="shared" si="1641"/>
        <v/>
      </c>
      <c r="S9863" t="str">
        <f t="shared" si="1642"/>
        <v/>
      </c>
      <c r="T9863" t="str">
        <f t="shared" si="1643"/>
        <v/>
      </c>
      <c r="U9863" t="str">
        <f t="shared" si="1644"/>
        <v/>
      </c>
      <c r="V9863" t="str">
        <f t="shared" si="1645"/>
        <v/>
      </c>
      <c r="W9863" t="str">
        <f t="shared" si="1646"/>
        <v/>
      </c>
      <c r="X9863">
        <f t="shared" si="1636"/>
        <v>0</v>
      </c>
      <c r="Z9863" t="str">
        <f t="shared" si="1647"/>
        <v/>
      </c>
      <c r="AA9863">
        <f t="shared" si="1637"/>
        <v>0</v>
      </c>
    </row>
    <row r="9864" spans="1:27" ht="21" customHeight="1" x14ac:dyDescent="0.95">
      <c r="A9864" s="56"/>
      <c r="B9864" s="57"/>
      <c r="C9864" s="57"/>
      <c r="D9864" s="57"/>
      <c r="E9864" s="56"/>
      <c r="F9864" s="57"/>
      <c r="G9864" s="57"/>
      <c r="H9864" s="56"/>
      <c r="I9864" s="56"/>
      <c r="J9864" s="58"/>
      <c r="K9864" s="58"/>
      <c r="L9864" s="13" t="str">
        <f t="shared" si="1638"/>
        <v/>
      </c>
      <c r="M9864" s="13" t="str">
        <f t="shared" si="1639"/>
        <v/>
      </c>
      <c r="Q9864" t="str">
        <f t="shared" si="1640"/>
        <v/>
      </c>
      <c r="R9864" t="str">
        <f t="shared" si="1641"/>
        <v/>
      </c>
      <c r="S9864" t="str">
        <f t="shared" si="1642"/>
        <v/>
      </c>
      <c r="T9864" t="str">
        <f t="shared" si="1643"/>
        <v/>
      </c>
      <c r="U9864" t="str">
        <f t="shared" si="1644"/>
        <v/>
      </c>
      <c r="V9864" t="str">
        <f t="shared" si="1645"/>
        <v/>
      </c>
      <c r="W9864" t="str">
        <f t="shared" si="1646"/>
        <v/>
      </c>
      <c r="X9864">
        <f t="shared" si="1636"/>
        <v>0</v>
      </c>
      <c r="Z9864" t="str">
        <f t="shared" si="1647"/>
        <v/>
      </c>
      <c r="AA9864">
        <f t="shared" si="1637"/>
        <v>0</v>
      </c>
    </row>
    <row r="9865" spans="1:27" ht="21" customHeight="1" x14ac:dyDescent="0.95">
      <c r="A9865" s="56"/>
      <c r="B9865" s="57"/>
      <c r="C9865" s="57"/>
      <c r="D9865" s="57"/>
      <c r="E9865" s="56"/>
      <c r="F9865" s="57"/>
      <c r="G9865" s="57"/>
      <c r="H9865" s="56"/>
      <c r="I9865" s="56"/>
      <c r="J9865" s="58"/>
      <c r="K9865" s="58"/>
      <c r="L9865" s="13" t="str">
        <f t="shared" si="1638"/>
        <v/>
      </c>
      <c r="M9865" s="13" t="str">
        <f t="shared" si="1639"/>
        <v/>
      </c>
      <c r="Q9865" t="str">
        <f t="shared" si="1640"/>
        <v/>
      </c>
      <c r="R9865" t="str">
        <f t="shared" si="1641"/>
        <v/>
      </c>
      <c r="S9865" t="str">
        <f t="shared" si="1642"/>
        <v/>
      </c>
      <c r="T9865" t="str">
        <f t="shared" si="1643"/>
        <v/>
      </c>
      <c r="U9865" t="str">
        <f t="shared" si="1644"/>
        <v/>
      </c>
      <c r="V9865" t="str">
        <f t="shared" si="1645"/>
        <v/>
      </c>
      <c r="W9865" t="str">
        <f t="shared" si="1646"/>
        <v/>
      </c>
      <c r="X9865">
        <f t="shared" si="1636"/>
        <v>0</v>
      </c>
      <c r="Z9865" t="str">
        <f t="shared" si="1647"/>
        <v/>
      </c>
      <c r="AA9865">
        <f t="shared" si="1637"/>
        <v>0</v>
      </c>
    </row>
    <row r="9866" spans="1:27" ht="21" customHeight="1" x14ac:dyDescent="0.95">
      <c r="A9866" s="56"/>
      <c r="B9866" s="57"/>
      <c r="C9866" s="57"/>
      <c r="D9866" s="57"/>
      <c r="E9866" s="56"/>
      <c r="F9866" s="57"/>
      <c r="G9866" s="57"/>
      <c r="H9866" s="56"/>
      <c r="I9866" s="56"/>
      <c r="J9866" s="58"/>
      <c r="K9866" s="58"/>
      <c r="L9866" s="13" t="str">
        <f t="shared" si="1638"/>
        <v/>
      </c>
      <c r="M9866" s="13" t="str">
        <f t="shared" si="1639"/>
        <v/>
      </c>
      <c r="Q9866" t="str">
        <f t="shared" si="1640"/>
        <v/>
      </c>
      <c r="R9866" t="str">
        <f t="shared" si="1641"/>
        <v/>
      </c>
      <c r="S9866" t="str">
        <f t="shared" si="1642"/>
        <v/>
      </c>
      <c r="T9866" t="str">
        <f t="shared" si="1643"/>
        <v/>
      </c>
      <c r="U9866" t="str">
        <f t="shared" si="1644"/>
        <v/>
      </c>
      <c r="V9866" t="str">
        <f t="shared" si="1645"/>
        <v/>
      </c>
      <c r="W9866" t="str">
        <f t="shared" si="1646"/>
        <v/>
      </c>
      <c r="X9866">
        <f t="shared" si="1636"/>
        <v>0</v>
      </c>
      <c r="Z9866" t="str">
        <f t="shared" si="1647"/>
        <v/>
      </c>
      <c r="AA9866">
        <f t="shared" si="1637"/>
        <v>0</v>
      </c>
    </row>
    <row r="9867" spans="1:27" ht="21" customHeight="1" x14ac:dyDescent="0.95">
      <c r="A9867" s="56"/>
      <c r="B9867" s="57"/>
      <c r="C9867" s="57"/>
      <c r="D9867" s="57"/>
      <c r="E9867" s="56"/>
      <c r="F9867" s="57"/>
      <c r="G9867" s="57"/>
      <c r="H9867" s="56"/>
      <c r="I9867" s="56"/>
      <c r="J9867" s="58"/>
      <c r="K9867" s="58"/>
      <c r="L9867" s="13" t="str">
        <f t="shared" si="1638"/>
        <v/>
      </c>
      <c r="M9867" s="13" t="str">
        <f t="shared" si="1639"/>
        <v/>
      </c>
      <c r="Q9867" t="str">
        <f t="shared" si="1640"/>
        <v/>
      </c>
      <c r="R9867" t="str">
        <f t="shared" si="1641"/>
        <v/>
      </c>
      <c r="S9867" t="str">
        <f t="shared" si="1642"/>
        <v/>
      </c>
      <c r="T9867" t="str">
        <f t="shared" si="1643"/>
        <v/>
      </c>
      <c r="U9867" t="str">
        <f t="shared" si="1644"/>
        <v/>
      </c>
      <c r="V9867" t="str">
        <f t="shared" si="1645"/>
        <v/>
      </c>
      <c r="W9867" t="str">
        <f t="shared" si="1646"/>
        <v/>
      </c>
      <c r="X9867">
        <f t="shared" si="1636"/>
        <v>0</v>
      </c>
      <c r="Z9867" t="str">
        <f t="shared" si="1647"/>
        <v/>
      </c>
      <c r="AA9867">
        <f t="shared" si="1637"/>
        <v>0</v>
      </c>
    </row>
    <row r="9868" spans="1:27" ht="21" customHeight="1" x14ac:dyDescent="0.95">
      <c r="A9868" s="56"/>
      <c r="B9868" s="57"/>
      <c r="C9868" s="57"/>
      <c r="D9868" s="57"/>
      <c r="E9868" s="56"/>
      <c r="F9868" s="57"/>
      <c r="G9868" s="57"/>
      <c r="H9868" s="56"/>
      <c r="I9868" s="56"/>
      <c r="J9868" s="58"/>
      <c r="K9868" s="58"/>
      <c r="L9868" s="13" t="str">
        <f t="shared" si="1638"/>
        <v/>
      </c>
      <c r="M9868" s="13" t="str">
        <f t="shared" si="1639"/>
        <v/>
      </c>
      <c r="Q9868" t="str">
        <f t="shared" si="1640"/>
        <v/>
      </c>
      <c r="R9868" t="str">
        <f t="shared" si="1641"/>
        <v/>
      </c>
      <c r="S9868" t="str">
        <f t="shared" si="1642"/>
        <v/>
      </c>
      <c r="T9868" t="str">
        <f t="shared" si="1643"/>
        <v/>
      </c>
      <c r="U9868" t="str">
        <f t="shared" si="1644"/>
        <v/>
      </c>
      <c r="V9868" t="str">
        <f t="shared" si="1645"/>
        <v/>
      </c>
      <c r="W9868" t="str">
        <f t="shared" si="1646"/>
        <v/>
      </c>
      <c r="X9868">
        <f t="shared" si="1636"/>
        <v>0</v>
      </c>
      <c r="Z9868" t="str">
        <f t="shared" si="1647"/>
        <v/>
      </c>
      <c r="AA9868">
        <f t="shared" si="1637"/>
        <v>0</v>
      </c>
    </row>
    <row r="9869" spans="1:27" ht="21" customHeight="1" x14ac:dyDescent="0.95">
      <c r="A9869" s="56"/>
      <c r="B9869" s="57"/>
      <c r="C9869" s="57"/>
      <c r="D9869" s="57"/>
      <c r="E9869" s="56"/>
      <c r="F9869" s="57"/>
      <c r="G9869" s="57"/>
      <c r="H9869" s="56"/>
      <c r="I9869" s="56"/>
      <c r="J9869" s="58"/>
      <c r="K9869" s="58"/>
      <c r="L9869" s="13" t="str">
        <f t="shared" si="1638"/>
        <v/>
      </c>
      <c r="M9869" s="13" t="str">
        <f t="shared" si="1639"/>
        <v/>
      </c>
      <c r="Q9869" t="str">
        <f t="shared" si="1640"/>
        <v/>
      </c>
      <c r="R9869" t="str">
        <f t="shared" si="1641"/>
        <v/>
      </c>
      <c r="S9869" t="str">
        <f t="shared" si="1642"/>
        <v/>
      </c>
      <c r="T9869" t="str">
        <f t="shared" si="1643"/>
        <v/>
      </c>
      <c r="U9869" t="str">
        <f t="shared" si="1644"/>
        <v/>
      </c>
      <c r="V9869" t="str">
        <f t="shared" si="1645"/>
        <v/>
      </c>
      <c r="W9869" t="str">
        <f t="shared" si="1646"/>
        <v/>
      </c>
      <c r="X9869">
        <f t="shared" si="1636"/>
        <v>0</v>
      </c>
      <c r="Z9869" t="str">
        <f t="shared" si="1647"/>
        <v/>
      </c>
      <c r="AA9869">
        <f t="shared" si="1637"/>
        <v>0</v>
      </c>
    </row>
    <row r="9870" spans="1:27" ht="21" customHeight="1" x14ac:dyDescent="0.95">
      <c r="A9870" s="56"/>
      <c r="B9870" s="57"/>
      <c r="C9870" s="57"/>
      <c r="D9870" s="57"/>
      <c r="E9870" s="56"/>
      <c r="F9870" s="57"/>
      <c r="G9870" s="57"/>
      <c r="H9870" s="56"/>
      <c r="I9870" s="56"/>
      <c r="J9870" s="58"/>
      <c r="K9870" s="58"/>
      <c r="L9870" s="13" t="str">
        <f t="shared" si="1638"/>
        <v/>
      </c>
      <c r="M9870" s="13" t="str">
        <f t="shared" si="1639"/>
        <v/>
      </c>
      <c r="Q9870" t="str">
        <f t="shared" si="1640"/>
        <v/>
      </c>
      <c r="R9870" t="str">
        <f t="shared" si="1641"/>
        <v/>
      </c>
      <c r="S9870" t="str">
        <f t="shared" si="1642"/>
        <v/>
      </c>
      <c r="T9870" t="str">
        <f t="shared" si="1643"/>
        <v/>
      </c>
      <c r="U9870" t="str">
        <f t="shared" si="1644"/>
        <v/>
      </c>
      <c r="V9870" t="str">
        <f t="shared" si="1645"/>
        <v/>
      </c>
      <c r="W9870" t="str">
        <f t="shared" si="1646"/>
        <v/>
      </c>
      <c r="X9870">
        <f t="shared" si="1636"/>
        <v>0</v>
      </c>
      <c r="Z9870" t="str">
        <f t="shared" si="1647"/>
        <v/>
      </c>
      <c r="AA9870">
        <f t="shared" si="1637"/>
        <v>0</v>
      </c>
    </row>
    <row r="9871" spans="1:27" ht="21" customHeight="1" x14ac:dyDescent="0.95">
      <c r="A9871" s="56"/>
      <c r="B9871" s="57"/>
      <c r="C9871" s="57"/>
      <c r="D9871" s="57"/>
      <c r="E9871" s="56"/>
      <c r="F9871" s="57"/>
      <c r="G9871" s="57"/>
      <c r="H9871" s="56"/>
      <c r="I9871" s="56"/>
      <c r="J9871" s="58"/>
      <c r="K9871" s="58"/>
      <c r="L9871" s="13" t="str">
        <f t="shared" si="1638"/>
        <v/>
      </c>
      <c r="M9871" s="13" t="str">
        <f t="shared" si="1639"/>
        <v/>
      </c>
      <c r="Q9871" t="str">
        <f t="shared" si="1640"/>
        <v/>
      </c>
      <c r="R9871" t="str">
        <f t="shared" si="1641"/>
        <v/>
      </c>
      <c r="S9871" t="str">
        <f t="shared" si="1642"/>
        <v/>
      </c>
      <c r="T9871" t="str">
        <f t="shared" si="1643"/>
        <v/>
      </c>
      <c r="U9871" t="str">
        <f t="shared" si="1644"/>
        <v/>
      </c>
      <c r="V9871" t="str">
        <f t="shared" si="1645"/>
        <v/>
      </c>
      <c r="W9871" t="str">
        <f t="shared" si="1646"/>
        <v/>
      </c>
      <c r="X9871">
        <f t="shared" si="1636"/>
        <v>0</v>
      </c>
      <c r="Z9871" t="str">
        <f t="shared" si="1647"/>
        <v/>
      </c>
      <c r="AA9871">
        <f t="shared" si="1637"/>
        <v>0</v>
      </c>
    </row>
    <row r="9872" spans="1:27" ht="21" customHeight="1" x14ac:dyDescent="0.95">
      <c r="A9872" s="56"/>
      <c r="B9872" s="57"/>
      <c r="C9872" s="57"/>
      <c r="D9872" s="57"/>
      <c r="E9872" s="56"/>
      <c r="F9872" s="57"/>
      <c r="G9872" s="57"/>
      <c r="H9872" s="56"/>
      <c r="I9872" s="56"/>
      <c r="J9872" s="58"/>
      <c r="K9872" s="58"/>
      <c r="L9872" s="13" t="str">
        <f t="shared" si="1638"/>
        <v/>
      </c>
      <c r="M9872" s="13" t="str">
        <f t="shared" si="1639"/>
        <v/>
      </c>
      <c r="Q9872" t="str">
        <f t="shared" si="1640"/>
        <v/>
      </c>
      <c r="R9872" t="str">
        <f t="shared" si="1641"/>
        <v/>
      </c>
      <c r="S9872" t="str">
        <f t="shared" si="1642"/>
        <v/>
      </c>
      <c r="T9872" t="str">
        <f t="shared" si="1643"/>
        <v/>
      </c>
      <c r="U9872" t="str">
        <f t="shared" si="1644"/>
        <v/>
      </c>
      <c r="V9872" t="str">
        <f t="shared" si="1645"/>
        <v/>
      </c>
      <c r="W9872" t="str">
        <f t="shared" si="1646"/>
        <v/>
      </c>
      <c r="X9872">
        <f t="shared" si="1636"/>
        <v>0</v>
      </c>
      <c r="Z9872" t="str">
        <f t="shared" si="1647"/>
        <v/>
      </c>
      <c r="AA9872">
        <f t="shared" si="1637"/>
        <v>0</v>
      </c>
    </row>
    <row r="9873" spans="1:27" ht="21" customHeight="1" x14ac:dyDescent="0.95">
      <c r="A9873" s="56"/>
      <c r="B9873" s="57"/>
      <c r="C9873" s="57"/>
      <c r="D9873" s="57"/>
      <c r="E9873" s="56"/>
      <c r="F9873" s="57"/>
      <c r="G9873" s="57"/>
      <c r="H9873" s="56"/>
      <c r="I9873" s="56"/>
      <c r="J9873" s="58"/>
      <c r="K9873" s="58"/>
      <c r="L9873" s="13" t="str">
        <f t="shared" si="1638"/>
        <v/>
      </c>
      <c r="M9873" s="13" t="str">
        <f t="shared" si="1639"/>
        <v/>
      </c>
      <c r="Q9873" t="str">
        <f t="shared" si="1640"/>
        <v/>
      </c>
      <c r="R9873" t="str">
        <f t="shared" si="1641"/>
        <v/>
      </c>
      <c r="S9873" t="str">
        <f t="shared" si="1642"/>
        <v/>
      </c>
      <c r="T9873" t="str">
        <f t="shared" si="1643"/>
        <v/>
      </c>
      <c r="U9873" t="str">
        <f t="shared" si="1644"/>
        <v/>
      </c>
      <c r="V9873" t="str">
        <f t="shared" si="1645"/>
        <v/>
      </c>
      <c r="W9873" t="str">
        <f t="shared" si="1646"/>
        <v/>
      </c>
      <c r="X9873">
        <f t="shared" si="1636"/>
        <v>0</v>
      </c>
      <c r="Z9873" t="str">
        <f t="shared" si="1647"/>
        <v/>
      </c>
      <c r="AA9873">
        <f t="shared" si="1637"/>
        <v>0</v>
      </c>
    </row>
    <row r="9874" spans="1:27" ht="21" customHeight="1" x14ac:dyDescent="0.95">
      <c r="A9874" s="56"/>
      <c r="B9874" s="57"/>
      <c r="C9874" s="57"/>
      <c r="D9874" s="57"/>
      <c r="E9874" s="56"/>
      <c r="F9874" s="57"/>
      <c r="G9874" s="57"/>
      <c r="H9874" s="56"/>
      <c r="I9874" s="56"/>
      <c r="J9874" s="58"/>
      <c r="K9874" s="58"/>
      <c r="L9874" s="13" t="str">
        <f t="shared" si="1638"/>
        <v/>
      </c>
      <c r="M9874" s="13" t="str">
        <f t="shared" si="1639"/>
        <v/>
      </c>
      <c r="Q9874" t="str">
        <f t="shared" si="1640"/>
        <v/>
      </c>
      <c r="R9874" t="str">
        <f t="shared" si="1641"/>
        <v/>
      </c>
      <c r="S9874" t="str">
        <f t="shared" si="1642"/>
        <v/>
      </c>
      <c r="T9874" t="str">
        <f t="shared" si="1643"/>
        <v/>
      </c>
      <c r="U9874" t="str">
        <f t="shared" si="1644"/>
        <v/>
      </c>
      <c r="V9874" t="str">
        <f t="shared" si="1645"/>
        <v/>
      </c>
      <c r="W9874" t="str">
        <f t="shared" si="1646"/>
        <v/>
      </c>
      <c r="X9874">
        <f t="shared" si="1636"/>
        <v>0</v>
      </c>
      <c r="Z9874" t="str">
        <f t="shared" si="1647"/>
        <v/>
      </c>
      <c r="AA9874">
        <f t="shared" si="1637"/>
        <v>0</v>
      </c>
    </row>
    <row r="9875" spans="1:27" ht="21" customHeight="1" x14ac:dyDescent="0.95">
      <c r="A9875" s="56"/>
      <c r="B9875" s="57"/>
      <c r="C9875" s="57"/>
      <c r="D9875" s="57"/>
      <c r="E9875" s="56"/>
      <c r="F9875" s="57"/>
      <c r="G9875" s="57"/>
      <c r="H9875" s="56"/>
      <c r="I9875" s="56"/>
      <c r="J9875" s="58"/>
      <c r="K9875" s="58"/>
      <c r="L9875" s="13" t="str">
        <f t="shared" si="1638"/>
        <v/>
      </c>
      <c r="M9875" s="13" t="str">
        <f t="shared" si="1639"/>
        <v/>
      </c>
      <c r="Q9875" t="str">
        <f t="shared" si="1640"/>
        <v/>
      </c>
      <c r="R9875" t="str">
        <f t="shared" si="1641"/>
        <v/>
      </c>
      <c r="S9875" t="str">
        <f t="shared" si="1642"/>
        <v/>
      </c>
      <c r="T9875" t="str">
        <f t="shared" si="1643"/>
        <v/>
      </c>
      <c r="U9875" t="str">
        <f t="shared" si="1644"/>
        <v/>
      </c>
      <c r="V9875" t="str">
        <f t="shared" si="1645"/>
        <v/>
      </c>
      <c r="W9875" t="str">
        <f t="shared" si="1646"/>
        <v/>
      </c>
      <c r="X9875">
        <f t="shared" si="1636"/>
        <v>0</v>
      </c>
      <c r="Z9875" t="str">
        <f t="shared" si="1647"/>
        <v/>
      </c>
      <c r="AA9875">
        <f t="shared" si="1637"/>
        <v>0</v>
      </c>
    </row>
    <row r="9876" spans="1:27" ht="21" customHeight="1" x14ac:dyDescent="0.95">
      <c r="A9876" s="56"/>
      <c r="B9876" s="57"/>
      <c r="C9876" s="57"/>
      <c r="D9876" s="57"/>
      <c r="E9876" s="56"/>
      <c r="F9876" s="57"/>
      <c r="G9876" s="57"/>
      <c r="H9876" s="56"/>
      <c r="I9876" s="56"/>
      <c r="J9876" s="58"/>
      <c r="K9876" s="58"/>
      <c r="L9876" s="13" t="str">
        <f t="shared" si="1638"/>
        <v/>
      </c>
      <c r="M9876" s="13" t="str">
        <f t="shared" si="1639"/>
        <v/>
      </c>
      <c r="Q9876" t="str">
        <f t="shared" si="1640"/>
        <v/>
      </c>
      <c r="R9876" t="str">
        <f t="shared" si="1641"/>
        <v/>
      </c>
      <c r="S9876" t="str">
        <f t="shared" si="1642"/>
        <v/>
      </c>
      <c r="T9876" t="str">
        <f t="shared" si="1643"/>
        <v/>
      </c>
      <c r="U9876" t="str">
        <f t="shared" si="1644"/>
        <v/>
      </c>
      <c r="V9876" t="str">
        <f t="shared" si="1645"/>
        <v/>
      </c>
      <c r="W9876" t="str">
        <f t="shared" si="1646"/>
        <v/>
      </c>
      <c r="X9876">
        <f t="shared" si="1636"/>
        <v>0</v>
      </c>
      <c r="Z9876" t="str">
        <f t="shared" si="1647"/>
        <v/>
      </c>
      <c r="AA9876">
        <f t="shared" si="1637"/>
        <v>0</v>
      </c>
    </row>
    <row r="9877" spans="1:27" ht="21" customHeight="1" x14ac:dyDescent="0.95">
      <c r="A9877" s="56"/>
      <c r="B9877" s="57"/>
      <c r="C9877" s="57"/>
      <c r="D9877" s="57"/>
      <c r="E9877" s="56"/>
      <c r="F9877" s="57"/>
      <c r="G9877" s="57"/>
      <c r="H9877" s="56"/>
      <c r="I9877" s="56"/>
      <c r="J9877" s="58"/>
      <c r="K9877" s="58"/>
      <c r="L9877" s="13" t="str">
        <f t="shared" si="1638"/>
        <v/>
      </c>
      <c r="M9877" s="13" t="str">
        <f t="shared" si="1639"/>
        <v/>
      </c>
      <c r="Q9877" t="str">
        <f t="shared" si="1640"/>
        <v/>
      </c>
      <c r="R9877" t="str">
        <f t="shared" si="1641"/>
        <v/>
      </c>
      <c r="S9877" t="str">
        <f t="shared" si="1642"/>
        <v/>
      </c>
      <c r="T9877" t="str">
        <f t="shared" si="1643"/>
        <v/>
      </c>
      <c r="U9877" t="str">
        <f t="shared" si="1644"/>
        <v/>
      </c>
      <c r="V9877" t="str">
        <f t="shared" si="1645"/>
        <v/>
      </c>
      <c r="W9877" t="str">
        <f t="shared" si="1646"/>
        <v/>
      </c>
      <c r="X9877">
        <f t="shared" si="1636"/>
        <v>0</v>
      </c>
      <c r="Z9877" t="str">
        <f t="shared" si="1647"/>
        <v/>
      </c>
      <c r="AA9877">
        <f t="shared" si="1637"/>
        <v>0</v>
      </c>
    </row>
    <row r="9878" spans="1:27" ht="21" customHeight="1" x14ac:dyDescent="0.95">
      <c r="A9878" s="56"/>
      <c r="B9878" s="57"/>
      <c r="C9878" s="57"/>
      <c r="D9878" s="57"/>
      <c r="E9878" s="56"/>
      <c r="F9878" s="57"/>
      <c r="G9878" s="57"/>
      <c r="H9878" s="56"/>
      <c r="I9878" s="56"/>
      <c r="J9878" s="58"/>
      <c r="K9878" s="58"/>
      <c r="L9878" s="13" t="str">
        <f t="shared" si="1638"/>
        <v/>
      </c>
      <c r="M9878" s="13" t="str">
        <f t="shared" si="1639"/>
        <v/>
      </c>
      <c r="Q9878" t="str">
        <f t="shared" si="1640"/>
        <v/>
      </c>
      <c r="R9878" t="str">
        <f t="shared" si="1641"/>
        <v/>
      </c>
      <c r="S9878" t="str">
        <f t="shared" si="1642"/>
        <v/>
      </c>
      <c r="T9878" t="str">
        <f t="shared" si="1643"/>
        <v/>
      </c>
      <c r="U9878" t="str">
        <f t="shared" si="1644"/>
        <v/>
      </c>
      <c r="V9878" t="str">
        <f t="shared" si="1645"/>
        <v/>
      </c>
      <c r="W9878" t="str">
        <f t="shared" si="1646"/>
        <v/>
      </c>
      <c r="X9878">
        <f t="shared" si="1636"/>
        <v>0</v>
      </c>
      <c r="Z9878" t="str">
        <f t="shared" si="1647"/>
        <v/>
      </c>
      <c r="AA9878">
        <f t="shared" si="1637"/>
        <v>0</v>
      </c>
    </row>
    <row r="9879" spans="1:27" ht="21" customHeight="1" x14ac:dyDescent="0.95">
      <c r="A9879" s="56"/>
      <c r="B9879" s="57"/>
      <c r="C9879" s="57"/>
      <c r="D9879" s="57"/>
      <c r="E9879" s="56"/>
      <c r="F9879" s="57"/>
      <c r="G9879" s="57"/>
      <c r="H9879" s="56"/>
      <c r="I9879" s="56"/>
      <c r="J9879" s="58"/>
      <c r="K9879" s="58"/>
      <c r="L9879" s="13" t="str">
        <f t="shared" si="1638"/>
        <v/>
      </c>
      <c r="M9879" s="13" t="str">
        <f t="shared" si="1639"/>
        <v/>
      </c>
      <c r="Q9879" t="str">
        <f t="shared" si="1640"/>
        <v/>
      </c>
      <c r="R9879" t="str">
        <f t="shared" si="1641"/>
        <v/>
      </c>
      <c r="S9879" t="str">
        <f t="shared" si="1642"/>
        <v/>
      </c>
      <c r="T9879" t="str">
        <f t="shared" si="1643"/>
        <v/>
      </c>
      <c r="U9879" t="str">
        <f t="shared" si="1644"/>
        <v/>
      </c>
      <c r="V9879" t="str">
        <f t="shared" si="1645"/>
        <v/>
      </c>
      <c r="W9879" t="str">
        <f t="shared" si="1646"/>
        <v/>
      </c>
      <c r="X9879">
        <f t="shared" si="1636"/>
        <v>0</v>
      </c>
      <c r="Z9879" t="str">
        <f t="shared" si="1647"/>
        <v/>
      </c>
      <c r="AA9879">
        <f t="shared" si="1637"/>
        <v>0</v>
      </c>
    </row>
    <row r="9880" spans="1:27" ht="21" customHeight="1" x14ac:dyDescent="0.95">
      <c r="A9880" s="56"/>
      <c r="B9880" s="57"/>
      <c r="C9880" s="57"/>
      <c r="D9880" s="57"/>
      <c r="E9880" s="56"/>
      <c r="F9880" s="57"/>
      <c r="G9880" s="57"/>
      <c r="H9880" s="56"/>
      <c r="I9880" s="56"/>
      <c r="J9880" s="58"/>
      <c r="K9880" s="58"/>
      <c r="L9880" s="13" t="str">
        <f t="shared" si="1638"/>
        <v/>
      </c>
      <c r="M9880" s="13" t="str">
        <f t="shared" si="1639"/>
        <v/>
      </c>
      <c r="Q9880" t="str">
        <f t="shared" si="1640"/>
        <v/>
      </c>
      <c r="R9880" t="str">
        <f t="shared" si="1641"/>
        <v/>
      </c>
      <c r="S9880" t="str">
        <f t="shared" si="1642"/>
        <v/>
      </c>
      <c r="T9880" t="str">
        <f t="shared" si="1643"/>
        <v/>
      </c>
      <c r="U9880" t="str">
        <f t="shared" si="1644"/>
        <v/>
      </c>
      <c r="V9880" t="str">
        <f t="shared" si="1645"/>
        <v/>
      </c>
      <c r="W9880" t="str">
        <f t="shared" si="1646"/>
        <v/>
      </c>
      <c r="X9880">
        <f t="shared" si="1636"/>
        <v>0</v>
      </c>
      <c r="Z9880" t="str">
        <f t="shared" si="1647"/>
        <v/>
      </c>
      <c r="AA9880">
        <f t="shared" si="1637"/>
        <v>0</v>
      </c>
    </row>
    <row r="9881" spans="1:27" ht="21" customHeight="1" x14ac:dyDescent="0.95">
      <c r="A9881" s="56"/>
      <c r="B9881" s="57"/>
      <c r="C9881" s="57"/>
      <c r="D9881" s="57"/>
      <c r="E9881" s="56"/>
      <c r="F9881" s="57"/>
      <c r="G9881" s="57"/>
      <c r="H9881" s="56"/>
      <c r="I9881" s="56"/>
      <c r="J9881" s="58"/>
      <c r="K9881" s="58"/>
      <c r="L9881" s="13" t="str">
        <f t="shared" si="1638"/>
        <v/>
      </c>
      <c r="M9881" s="13" t="str">
        <f t="shared" si="1639"/>
        <v/>
      </c>
      <c r="Q9881" t="str">
        <f t="shared" si="1640"/>
        <v/>
      </c>
      <c r="R9881" t="str">
        <f t="shared" si="1641"/>
        <v/>
      </c>
      <c r="S9881" t="str">
        <f t="shared" si="1642"/>
        <v/>
      </c>
      <c r="T9881" t="str">
        <f t="shared" si="1643"/>
        <v/>
      </c>
      <c r="U9881" t="str">
        <f t="shared" si="1644"/>
        <v/>
      </c>
      <c r="V9881" t="str">
        <f t="shared" si="1645"/>
        <v/>
      </c>
      <c r="W9881" t="str">
        <f t="shared" si="1646"/>
        <v/>
      </c>
      <c r="X9881">
        <f t="shared" si="1636"/>
        <v>0</v>
      </c>
      <c r="Z9881" t="str">
        <f t="shared" si="1647"/>
        <v/>
      </c>
      <c r="AA9881">
        <f t="shared" si="1637"/>
        <v>0</v>
      </c>
    </row>
    <row r="9882" spans="1:27" ht="21" customHeight="1" x14ac:dyDescent="0.95">
      <c r="A9882" s="56"/>
      <c r="B9882" s="57"/>
      <c r="C9882" s="57"/>
      <c r="D9882" s="57"/>
      <c r="E9882" s="56"/>
      <c r="F9882" s="57"/>
      <c r="G9882" s="57"/>
      <c r="H9882" s="56"/>
      <c r="I9882" s="56"/>
      <c r="J9882" s="58"/>
      <c r="K9882" s="58"/>
      <c r="L9882" s="13" t="str">
        <f t="shared" si="1638"/>
        <v/>
      </c>
      <c r="M9882" s="13" t="str">
        <f t="shared" si="1639"/>
        <v/>
      </c>
      <c r="Q9882" t="str">
        <f t="shared" si="1640"/>
        <v/>
      </c>
      <c r="R9882" t="str">
        <f t="shared" si="1641"/>
        <v/>
      </c>
      <c r="S9882" t="str">
        <f t="shared" si="1642"/>
        <v/>
      </c>
      <c r="T9882" t="str">
        <f t="shared" si="1643"/>
        <v/>
      </c>
      <c r="U9882" t="str">
        <f t="shared" si="1644"/>
        <v/>
      </c>
      <c r="V9882" t="str">
        <f t="shared" si="1645"/>
        <v/>
      </c>
      <c r="W9882" t="str">
        <f t="shared" si="1646"/>
        <v/>
      </c>
      <c r="X9882">
        <f t="shared" si="1636"/>
        <v>0</v>
      </c>
      <c r="Z9882" t="str">
        <f t="shared" si="1647"/>
        <v/>
      </c>
      <c r="AA9882">
        <f t="shared" si="1637"/>
        <v>0</v>
      </c>
    </row>
    <row r="9883" spans="1:27" ht="21" customHeight="1" x14ac:dyDescent="0.95">
      <c r="A9883" s="56"/>
      <c r="B9883" s="57"/>
      <c r="C9883" s="57"/>
      <c r="D9883" s="57"/>
      <c r="E9883" s="56"/>
      <c r="F9883" s="57"/>
      <c r="G9883" s="57"/>
      <c r="H9883" s="56"/>
      <c r="I9883" s="56"/>
      <c r="J9883" s="58"/>
      <c r="K9883" s="58"/>
      <c r="L9883" s="13" t="str">
        <f t="shared" si="1638"/>
        <v/>
      </c>
      <c r="M9883" s="13" t="str">
        <f t="shared" si="1639"/>
        <v/>
      </c>
      <c r="Q9883" t="str">
        <f t="shared" si="1640"/>
        <v/>
      </c>
      <c r="R9883" t="str">
        <f t="shared" si="1641"/>
        <v/>
      </c>
      <c r="S9883" t="str">
        <f t="shared" si="1642"/>
        <v/>
      </c>
      <c r="T9883" t="str">
        <f t="shared" si="1643"/>
        <v/>
      </c>
      <c r="U9883" t="str">
        <f t="shared" si="1644"/>
        <v/>
      </c>
      <c r="V9883" t="str">
        <f t="shared" si="1645"/>
        <v/>
      </c>
      <c r="W9883" t="str">
        <f t="shared" si="1646"/>
        <v/>
      </c>
      <c r="X9883">
        <f t="shared" si="1636"/>
        <v>0</v>
      </c>
      <c r="Z9883" t="str">
        <f t="shared" si="1647"/>
        <v/>
      </c>
      <c r="AA9883">
        <f t="shared" si="1637"/>
        <v>0</v>
      </c>
    </row>
    <row r="9884" spans="1:27" ht="21" customHeight="1" x14ac:dyDescent="0.95">
      <c r="A9884" s="56"/>
      <c r="B9884" s="57"/>
      <c r="C9884" s="57"/>
      <c r="D9884" s="57"/>
      <c r="E9884" s="56"/>
      <c r="F9884" s="57"/>
      <c r="G9884" s="57"/>
      <c r="H9884" s="56"/>
      <c r="I9884" s="56"/>
      <c r="J9884" s="58"/>
      <c r="K9884" s="58"/>
      <c r="L9884" s="13" t="str">
        <f t="shared" si="1638"/>
        <v/>
      </c>
      <c r="M9884" s="13" t="str">
        <f t="shared" si="1639"/>
        <v/>
      </c>
      <c r="Q9884" t="str">
        <f t="shared" si="1640"/>
        <v/>
      </c>
      <c r="R9884" t="str">
        <f t="shared" si="1641"/>
        <v/>
      </c>
      <c r="S9884" t="str">
        <f t="shared" si="1642"/>
        <v/>
      </c>
      <c r="T9884" t="str">
        <f t="shared" si="1643"/>
        <v/>
      </c>
      <c r="U9884" t="str">
        <f t="shared" si="1644"/>
        <v/>
      </c>
      <c r="V9884" t="str">
        <f t="shared" si="1645"/>
        <v/>
      </c>
      <c r="W9884" t="str">
        <f t="shared" si="1646"/>
        <v/>
      </c>
      <c r="X9884">
        <f t="shared" si="1636"/>
        <v>0</v>
      </c>
      <c r="Z9884" t="str">
        <f t="shared" si="1647"/>
        <v/>
      </c>
      <c r="AA9884">
        <f t="shared" si="1637"/>
        <v>0</v>
      </c>
    </row>
    <row r="9885" spans="1:27" ht="21" customHeight="1" x14ac:dyDescent="0.95">
      <c r="A9885" s="56"/>
      <c r="B9885" s="57"/>
      <c r="C9885" s="57"/>
      <c r="D9885" s="57"/>
      <c r="E9885" s="56"/>
      <c r="F9885" s="57"/>
      <c r="G9885" s="57"/>
      <c r="H9885" s="56"/>
      <c r="I9885" s="56"/>
      <c r="J9885" s="58"/>
      <c r="K9885" s="58"/>
      <c r="L9885" s="13" t="str">
        <f t="shared" si="1638"/>
        <v/>
      </c>
      <c r="M9885" s="13" t="str">
        <f t="shared" si="1639"/>
        <v/>
      </c>
      <c r="Q9885" t="str">
        <f t="shared" si="1640"/>
        <v/>
      </c>
      <c r="R9885" t="str">
        <f t="shared" si="1641"/>
        <v/>
      </c>
      <c r="S9885" t="str">
        <f t="shared" si="1642"/>
        <v/>
      </c>
      <c r="T9885" t="str">
        <f t="shared" si="1643"/>
        <v/>
      </c>
      <c r="U9885" t="str">
        <f t="shared" si="1644"/>
        <v/>
      </c>
      <c r="V9885" t="str">
        <f t="shared" si="1645"/>
        <v/>
      </c>
      <c r="W9885" t="str">
        <f t="shared" si="1646"/>
        <v/>
      </c>
      <c r="X9885">
        <f t="shared" si="1636"/>
        <v>0</v>
      </c>
      <c r="Z9885" t="str">
        <f t="shared" si="1647"/>
        <v/>
      </c>
      <c r="AA9885">
        <f t="shared" si="1637"/>
        <v>0</v>
      </c>
    </row>
    <row r="9886" spans="1:27" ht="21" customHeight="1" x14ac:dyDescent="0.95">
      <c r="A9886" s="56"/>
      <c r="B9886" s="57"/>
      <c r="C9886" s="57"/>
      <c r="D9886" s="57"/>
      <c r="E9886" s="56"/>
      <c r="F9886" s="57"/>
      <c r="G9886" s="57"/>
      <c r="H9886" s="56"/>
      <c r="I9886" s="56"/>
      <c r="J9886" s="58"/>
      <c r="K9886" s="58"/>
      <c r="L9886" s="13" t="str">
        <f t="shared" si="1638"/>
        <v/>
      </c>
      <c r="M9886" s="13" t="str">
        <f t="shared" si="1639"/>
        <v/>
      </c>
      <c r="Q9886" t="str">
        <f t="shared" si="1640"/>
        <v/>
      </c>
      <c r="R9886" t="str">
        <f t="shared" si="1641"/>
        <v/>
      </c>
      <c r="S9886" t="str">
        <f t="shared" si="1642"/>
        <v/>
      </c>
      <c r="T9886" t="str">
        <f t="shared" si="1643"/>
        <v/>
      </c>
      <c r="U9886" t="str">
        <f t="shared" si="1644"/>
        <v/>
      </c>
      <c r="V9886" t="str">
        <f t="shared" si="1645"/>
        <v/>
      </c>
      <c r="W9886" t="str">
        <f t="shared" si="1646"/>
        <v/>
      </c>
      <c r="X9886">
        <f t="shared" si="1636"/>
        <v>0</v>
      </c>
      <c r="Z9886" t="str">
        <f t="shared" si="1647"/>
        <v/>
      </c>
      <c r="AA9886">
        <f t="shared" si="1637"/>
        <v>0</v>
      </c>
    </row>
    <row r="9887" spans="1:27" ht="21" customHeight="1" x14ac:dyDescent="0.95">
      <c r="A9887" s="56"/>
      <c r="B9887" s="57"/>
      <c r="C9887" s="57"/>
      <c r="D9887" s="57"/>
      <c r="E9887" s="56"/>
      <c r="F9887" s="57"/>
      <c r="G9887" s="57"/>
      <c r="H9887" s="56"/>
      <c r="I9887" s="56"/>
      <c r="J9887" s="58"/>
      <c r="K9887" s="58"/>
      <c r="L9887" s="13" t="str">
        <f t="shared" si="1638"/>
        <v/>
      </c>
      <c r="M9887" s="13" t="str">
        <f t="shared" si="1639"/>
        <v/>
      </c>
      <c r="Q9887" t="str">
        <f t="shared" si="1640"/>
        <v/>
      </c>
      <c r="R9887" t="str">
        <f t="shared" si="1641"/>
        <v/>
      </c>
      <c r="S9887" t="str">
        <f t="shared" si="1642"/>
        <v/>
      </c>
      <c r="T9887" t="str">
        <f t="shared" si="1643"/>
        <v/>
      </c>
      <c r="U9887" t="str">
        <f t="shared" si="1644"/>
        <v/>
      </c>
      <c r="V9887" t="str">
        <f t="shared" si="1645"/>
        <v/>
      </c>
      <c r="W9887" t="str">
        <f t="shared" si="1646"/>
        <v/>
      </c>
      <c r="X9887">
        <f t="shared" si="1636"/>
        <v>0</v>
      </c>
      <c r="Z9887" t="str">
        <f t="shared" si="1647"/>
        <v/>
      </c>
      <c r="AA9887">
        <f t="shared" si="1637"/>
        <v>0</v>
      </c>
    </row>
    <row r="9888" spans="1:27" ht="21" customHeight="1" x14ac:dyDescent="0.95">
      <c r="A9888" s="56"/>
      <c r="B9888" s="57"/>
      <c r="C9888" s="57"/>
      <c r="D9888" s="57"/>
      <c r="E9888" s="56"/>
      <c r="F9888" s="57"/>
      <c r="G9888" s="57"/>
      <c r="H9888" s="56"/>
      <c r="I9888" s="56"/>
      <c r="J9888" s="58"/>
      <c r="K9888" s="58"/>
      <c r="L9888" s="13" t="str">
        <f t="shared" si="1638"/>
        <v/>
      </c>
      <c r="M9888" s="13" t="str">
        <f t="shared" si="1639"/>
        <v/>
      </c>
      <c r="Q9888" t="str">
        <f t="shared" si="1640"/>
        <v/>
      </c>
      <c r="R9888" t="str">
        <f t="shared" si="1641"/>
        <v/>
      </c>
      <c r="S9888" t="str">
        <f t="shared" si="1642"/>
        <v/>
      </c>
      <c r="T9888" t="str">
        <f t="shared" si="1643"/>
        <v/>
      </c>
      <c r="U9888" t="str">
        <f t="shared" si="1644"/>
        <v/>
      </c>
      <c r="V9888" t="str">
        <f t="shared" si="1645"/>
        <v/>
      </c>
      <c r="W9888" t="str">
        <f t="shared" si="1646"/>
        <v/>
      </c>
      <c r="X9888">
        <f t="shared" si="1636"/>
        <v>0</v>
      </c>
      <c r="Z9888" t="str">
        <f t="shared" si="1647"/>
        <v/>
      </c>
      <c r="AA9888">
        <f t="shared" si="1637"/>
        <v>0</v>
      </c>
    </row>
    <row r="9889" spans="1:27" ht="21" customHeight="1" x14ac:dyDescent="0.95">
      <c r="A9889" s="56"/>
      <c r="B9889" s="57"/>
      <c r="C9889" s="57"/>
      <c r="D9889" s="57"/>
      <c r="E9889" s="56"/>
      <c r="F9889" s="57"/>
      <c r="G9889" s="57"/>
      <c r="H9889" s="56"/>
      <c r="I9889" s="56"/>
      <c r="J9889" s="58"/>
      <c r="K9889" s="58"/>
      <c r="L9889" s="13" t="str">
        <f t="shared" si="1638"/>
        <v/>
      </c>
      <c r="M9889" s="13" t="str">
        <f t="shared" si="1639"/>
        <v/>
      </c>
      <c r="Q9889" t="str">
        <f t="shared" si="1640"/>
        <v/>
      </c>
      <c r="R9889" t="str">
        <f t="shared" si="1641"/>
        <v/>
      </c>
      <c r="S9889" t="str">
        <f t="shared" si="1642"/>
        <v/>
      </c>
      <c r="T9889" t="str">
        <f t="shared" si="1643"/>
        <v/>
      </c>
      <c r="U9889" t="str">
        <f t="shared" si="1644"/>
        <v/>
      </c>
      <c r="V9889" t="str">
        <f t="shared" si="1645"/>
        <v/>
      </c>
      <c r="W9889" t="str">
        <f t="shared" si="1646"/>
        <v/>
      </c>
      <c r="X9889">
        <f t="shared" si="1636"/>
        <v>0</v>
      </c>
      <c r="Z9889" t="str">
        <f t="shared" si="1647"/>
        <v/>
      </c>
      <c r="AA9889">
        <f t="shared" si="1637"/>
        <v>0</v>
      </c>
    </row>
    <row r="9890" spans="1:27" ht="21" customHeight="1" x14ac:dyDescent="0.95">
      <c r="A9890" s="56"/>
      <c r="B9890" s="57"/>
      <c r="C9890" s="57"/>
      <c r="D9890" s="57"/>
      <c r="E9890" s="56"/>
      <c r="F9890" s="57"/>
      <c r="G9890" s="57"/>
      <c r="H9890" s="56"/>
      <c r="I9890" s="56"/>
      <c r="J9890" s="58"/>
      <c r="K9890" s="58"/>
      <c r="L9890" s="13" t="str">
        <f t="shared" si="1638"/>
        <v/>
      </c>
      <c r="M9890" s="13" t="str">
        <f t="shared" si="1639"/>
        <v/>
      </c>
      <c r="Q9890" t="str">
        <f t="shared" si="1640"/>
        <v/>
      </c>
      <c r="R9890" t="str">
        <f t="shared" si="1641"/>
        <v/>
      </c>
      <c r="S9890" t="str">
        <f t="shared" si="1642"/>
        <v/>
      </c>
      <c r="T9890" t="str">
        <f t="shared" si="1643"/>
        <v/>
      </c>
      <c r="U9890" t="str">
        <f t="shared" si="1644"/>
        <v/>
      </c>
      <c r="V9890" t="str">
        <f t="shared" si="1645"/>
        <v/>
      </c>
      <c r="W9890" t="str">
        <f t="shared" si="1646"/>
        <v/>
      </c>
      <c r="X9890">
        <f t="shared" si="1636"/>
        <v>0</v>
      </c>
      <c r="Z9890" t="str">
        <f t="shared" si="1647"/>
        <v/>
      </c>
      <c r="AA9890">
        <f t="shared" si="1637"/>
        <v>0</v>
      </c>
    </row>
    <row r="9891" spans="1:27" ht="21" customHeight="1" x14ac:dyDescent="0.95">
      <c r="A9891" s="56"/>
      <c r="B9891" s="57"/>
      <c r="C9891" s="57"/>
      <c r="D9891" s="57"/>
      <c r="E9891" s="56"/>
      <c r="F9891" s="57"/>
      <c r="G9891" s="57"/>
      <c r="H9891" s="56"/>
      <c r="I9891" s="56"/>
      <c r="J9891" s="58"/>
      <c r="K9891" s="58"/>
      <c r="L9891" s="13" t="str">
        <f t="shared" si="1638"/>
        <v/>
      </c>
      <c r="M9891" s="13" t="str">
        <f t="shared" si="1639"/>
        <v/>
      </c>
      <c r="Q9891" t="str">
        <f t="shared" si="1640"/>
        <v/>
      </c>
      <c r="R9891" t="str">
        <f t="shared" si="1641"/>
        <v/>
      </c>
      <c r="S9891" t="str">
        <f t="shared" si="1642"/>
        <v/>
      </c>
      <c r="T9891" t="str">
        <f t="shared" si="1643"/>
        <v/>
      </c>
      <c r="U9891" t="str">
        <f t="shared" si="1644"/>
        <v/>
      </c>
      <c r="V9891" t="str">
        <f t="shared" si="1645"/>
        <v/>
      </c>
      <c r="W9891" t="str">
        <f t="shared" si="1646"/>
        <v/>
      </c>
      <c r="X9891">
        <f t="shared" si="1636"/>
        <v>0</v>
      </c>
      <c r="Z9891" t="str">
        <f t="shared" si="1647"/>
        <v/>
      </c>
      <c r="AA9891">
        <f t="shared" si="1637"/>
        <v>0</v>
      </c>
    </row>
    <row r="9892" spans="1:27" ht="21" customHeight="1" x14ac:dyDescent="0.95">
      <c r="A9892" s="56"/>
      <c r="B9892" s="57"/>
      <c r="C9892" s="57"/>
      <c r="D9892" s="57"/>
      <c r="E9892" s="56"/>
      <c r="F9892" s="57"/>
      <c r="G9892" s="57"/>
      <c r="H9892" s="56"/>
      <c r="I9892" s="56"/>
      <c r="J9892" s="58"/>
      <c r="K9892" s="58"/>
      <c r="L9892" s="13" t="str">
        <f t="shared" si="1638"/>
        <v/>
      </c>
      <c r="M9892" s="13" t="str">
        <f t="shared" si="1639"/>
        <v/>
      </c>
      <c r="Q9892" t="str">
        <f t="shared" si="1640"/>
        <v/>
      </c>
      <c r="R9892" t="str">
        <f t="shared" si="1641"/>
        <v/>
      </c>
      <c r="S9892" t="str">
        <f t="shared" si="1642"/>
        <v/>
      </c>
      <c r="T9892" t="str">
        <f t="shared" si="1643"/>
        <v/>
      </c>
      <c r="U9892" t="str">
        <f t="shared" si="1644"/>
        <v/>
      </c>
      <c r="V9892" t="str">
        <f t="shared" si="1645"/>
        <v/>
      </c>
      <c r="W9892" t="str">
        <f t="shared" si="1646"/>
        <v/>
      </c>
      <c r="X9892">
        <f t="shared" si="1636"/>
        <v>0</v>
      </c>
      <c r="Z9892" t="str">
        <f t="shared" si="1647"/>
        <v/>
      </c>
      <c r="AA9892">
        <f t="shared" si="1637"/>
        <v>0</v>
      </c>
    </row>
    <row r="9893" spans="1:27" ht="21" customHeight="1" x14ac:dyDescent="0.95">
      <c r="A9893" s="56"/>
      <c r="B9893" s="57"/>
      <c r="C9893" s="57"/>
      <c r="D9893" s="57"/>
      <c r="E9893" s="56"/>
      <c r="F9893" s="57"/>
      <c r="G9893" s="57"/>
      <c r="H9893" s="56"/>
      <c r="I9893" s="56"/>
      <c r="J9893" s="58"/>
      <c r="K9893" s="58"/>
      <c r="L9893" s="13" t="str">
        <f t="shared" si="1638"/>
        <v/>
      </c>
      <c r="M9893" s="13" t="str">
        <f t="shared" si="1639"/>
        <v/>
      </c>
      <c r="Q9893" t="str">
        <f t="shared" si="1640"/>
        <v/>
      </c>
      <c r="R9893" t="str">
        <f t="shared" si="1641"/>
        <v/>
      </c>
      <c r="S9893" t="str">
        <f t="shared" si="1642"/>
        <v/>
      </c>
      <c r="T9893" t="str">
        <f t="shared" si="1643"/>
        <v/>
      </c>
      <c r="U9893" t="str">
        <f t="shared" si="1644"/>
        <v/>
      </c>
      <c r="V9893" t="str">
        <f t="shared" si="1645"/>
        <v/>
      </c>
      <c r="W9893" t="str">
        <f t="shared" si="1646"/>
        <v/>
      </c>
      <c r="X9893">
        <f t="shared" si="1636"/>
        <v>0</v>
      </c>
      <c r="Z9893" t="str">
        <f t="shared" si="1647"/>
        <v/>
      </c>
      <c r="AA9893">
        <f t="shared" si="1637"/>
        <v>0</v>
      </c>
    </row>
    <row r="9894" spans="1:27" ht="21" customHeight="1" x14ac:dyDescent="0.95">
      <c r="A9894" s="56"/>
      <c r="B9894" s="57"/>
      <c r="C9894" s="57"/>
      <c r="D9894" s="57"/>
      <c r="E9894" s="56"/>
      <c r="F9894" s="57"/>
      <c r="G9894" s="57"/>
      <c r="H9894" s="56"/>
      <c r="I9894" s="56"/>
      <c r="J9894" s="58"/>
      <c r="K9894" s="58"/>
      <c r="L9894" s="13" t="str">
        <f t="shared" si="1638"/>
        <v/>
      </c>
      <c r="M9894" s="13" t="str">
        <f t="shared" si="1639"/>
        <v/>
      </c>
      <c r="Q9894" t="str">
        <f t="shared" si="1640"/>
        <v/>
      </c>
      <c r="R9894" t="str">
        <f t="shared" si="1641"/>
        <v/>
      </c>
      <c r="S9894" t="str">
        <f t="shared" si="1642"/>
        <v/>
      </c>
      <c r="T9894" t="str">
        <f t="shared" si="1643"/>
        <v/>
      </c>
      <c r="U9894" t="str">
        <f t="shared" si="1644"/>
        <v/>
      </c>
      <c r="V9894" t="str">
        <f t="shared" si="1645"/>
        <v/>
      </c>
      <c r="W9894" t="str">
        <f t="shared" si="1646"/>
        <v/>
      </c>
      <c r="X9894">
        <f t="shared" si="1636"/>
        <v>0</v>
      </c>
      <c r="Z9894" t="str">
        <f t="shared" si="1647"/>
        <v/>
      </c>
      <c r="AA9894">
        <f t="shared" si="1637"/>
        <v>0</v>
      </c>
    </row>
    <row r="9895" spans="1:27" ht="21" customHeight="1" x14ac:dyDescent="0.95">
      <c r="A9895" s="56"/>
      <c r="B9895" s="57"/>
      <c r="C9895" s="57"/>
      <c r="D9895" s="57"/>
      <c r="E9895" s="56"/>
      <c r="F9895" s="57"/>
      <c r="G9895" s="57"/>
      <c r="H9895" s="56"/>
      <c r="I9895" s="56"/>
      <c r="J9895" s="58"/>
      <c r="K9895" s="58"/>
      <c r="L9895" s="13" t="str">
        <f t="shared" si="1638"/>
        <v/>
      </c>
      <c r="M9895" s="13" t="str">
        <f t="shared" si="1639"/>
        <v/>
      </c>
      <c r="Q9895" t="str">
        <f t="shared" si="1640"/>
        <v/>
      </c>
      <c r="R9895" t="str">
        <f t="shared" si="1641"/>
        <v/>
      </c>
      <c r="S9895" t="str">
        <f t="shared" si="1642"/>
        <v/>
      </c>
      <c r="T9895" t="str">
        <f t="shared" si="1643"/>
        <v/>
      </c>
      <c r="U9895" t="str">
        <f t="shared" si="1644"/>
        <v/>
      </c>
      <c r="V9895" t="str">
        <f t="shared" si="1645"/>
        <v/>
      </c>
      <c r="W9895" t="str">
        <f t="shared" si="1646"/>
        <v/>
      </c>
      <c r="X9895">
        <f t="shared" si="1636"/>
        <v>0</v>
      </c>
      <c r="Z9895" t="str">
        <f t="shared" si="1647"/>
        <v/>
      </c>
      <c r="AA9895">
        <f t="shared" si="1637"/>
        <v>0</v>
      </c>
    </row>
    <row r="9896" spans="1:27" ht="21" customHeight="1" x14ac:dyDescent="0.95">
      <c r="A9896" s="56"/>
      <c r="B9896" s="57"/>
      <c r="C9896" s="57"/>
      <c r="D9896" s="57"/>
      <c r="E9896" s="56"/>
      <c r="F9896" s="57"/>
      <c r="G9896" s="57"/>
      <c r="H9896" s="56"/>
      <c r="I9896" s="56"/>
      <c r="J9896" s="58"/>
      <c r="K9896" s="58"/>
      <c r="L9896" s="13" t="str">
        <f t="shared" si="1638"/>
        <v/>
      </c>
      <c r="M9896" s="13" t="str">
        <f t="shared" si="1639"/>
        <v/>
      </c>
      <c r="Q9896" t="str">
        <f t="shared" si="1640"/>
        <v/>
      </c>
      <c r="R9896" t="str">
        <f t="shared" si="1641"/>
        <v/>
      </c>
      <c r="S9896" t="str">
        <f t="shared" si="1642"/>
        <v/>
      </c>
      <c r="T9896" t="str">
        <f t="shared" si="1643"/>
        <v/>
      </c>
      <c r="U9896" t="str">
        <f t="shared" si="1644"/>
        <v/>
      </c>
      <c r="V9896" t="str">
        <f t="shared" si="1645"/>
        <v/>
      </c>
      <c r="W9896" t="str">
        <f t="shared" si="1646"/>
        <v/>
      </c>
      <c r="X9896">
        <f t="shared" si="1636"/>
        <v>0</v>
      </c>
      <c r="Z9896" t="str">
        <f t="shared" si="1647"/>
        <v/>
      </c>
      <c r="AA9896">
        <f t="shared" si="1637"/>
        <v>0</v>
      </c>
    </row>
    <row r="9897" spans="1:27" ht="21" customHeight="1" x14ac:dyDescent="0.95">
      <c r="A9897" s="56"/>
      <c r="B9897" s="57"/>
      <c r="C9897" s="57"/>
      <c r="D9897" s="57"/>
      <c r="E9897" s="56"/>
      <c r="F9897" s="57"/>
      <c r="G9897" s="57"/>
      <c r="H9897" s="56"/>
      <c r="I9897" s="56"/>
      <c r="J9897" s="58"/>
      <c r="K9897" s="58"/>
      <c r="L9897" s="13" t="str">
        <f t="shared" si="1638"/>
        <v/>
      </c>
      <c r="M9897" s="13" t="str">
        <f t="shared" si="1639"/>
        <v/>
      </c>
      <c r="Q9897" t="str">
        <f t="shared" si="1640"/>
        <v/>
      </c>
      <c r="R9897" t="str">
        <f t="shared" si="1641"/>
        <v/>
      </c>
      <c r="S9897" t="str">
        <f t="shared" si="1642"/>
        <v/>
      </c>
      <c r="T9897" t="str">
        <f t="shared" si="1643"/>
        <v/>
      </c>
      <c r="U9897" t="str">
        <f t="shared" si="1644"/>
        <v/>
      </c>
      <c r="V9897" t="str">
        <f t="shared" si="1645"/>
        <v/>
      </c>
      <c r="W9897" t="str">
        <f t="shared" si="1646"/>
        <v/>
      </c>
      <c r="X9897">
        <f t="shared" si="1636"/>
        <v>0</v>
      </c>
      <c r="Z9897" t="str">
        <f t="shared" si="1647"/>
        <v/>
      </c>
      <c r="AA9897">
        <f t="shared" si="1637"/>
        <v>0</v>
      </c>
    </row>
    <row r="9898" spans="1:27" ht="21" customHeight="1" x14ac:dyDescent="0.95">
      <c r="A9898" s="56"/>
      <c r="B9898" s="57"/>
      <c r="C9898" s="57"/>
      <c r="D9898" s="57"/>
      <c r="E9898" s="56"/>
      <c r="F9898" s="57"/>
      <c r="G9898" s="57"/>
      <c r="H9898" s="56"/>
      <c r="I9898" s="56"/>
      <c r="J9898" s="58"/>
      <c r="K9898" s="58"/>
      <c r="L9898" s="13" t="str">
        <f t="shared" si="1638"/>
        <v/>
      </c>
      <c r="M9898" s="13" t="str">
        <f t="shared" si="1639"/>
        <v/>
      </c>
      <c r="Q9898" t="str">
        <f t="shared" si="1640"/>
        <v/>
      </c>
      <c r="R9898" t="str">
        <f t="shared" si="1641"/>
        <v/>
      </c>
      <c r="S9898" t="str">
        <f t="shared" si="1642"/>
        <v/>
      </c>
      <c r="T9898" t="str">
        <f t="shared" si="1643"/>
        <v/>
      </c>
      <c r="U9898" t="str">
        <f t="shared" si="1644"/>
        <v/>
      </c>
      <c r="V9898" t="str">
        <f t="shared" si="1645"/>
        <v/>
      </c>
      <c r="W9898" t="str">
        <f t="shared" si="1646"/>
        <v/>
      </c>
      <c r="X9898">
        <f t="shared" si="1636"/>
        <v>0</v>
      </c>
      <c r="Z9898" t="str">
        <f t="shared" si="1647"/>
        <v/>
      </c>
      <c r="AA9898">
        <f t="shared" si="1637"/>
        <v>0</v>
      </c>
    </row>
    <row r="9899" spans="1:27" ht="21" customHeight="1" x14ac:dyDescent="0.95">
      <c r="A9899" s="56"/>
      <c r="B9899" s="57"/>
      <c r="C9899" s="57"/>
      <c r="D9899" s="57"/>
      <c r="E9899" s="56"/>
      <c r="F9899" s="57"/>
      <c r="G9899" s="57"/>
      <c r="H9899" s="56"/>
      <c r="I9899" s="56"/>
      <c r="J9899" s="58"/>
      <c r="K9899" s="58"/>
      <c r="L9899" s="13" t="str">
        <f t="shared" si="1638"/>
        <v/>
      </c>
      <c r="M9899" s="13" t="str">
        <f t="shared" si="1639"/>
        <v/>
      </c>
      <c r="Q9899" t="str">
        <f t="shared" si="1640"/>
        <v/>
      </c>
      <c r="R9899" t="str">
        <f t="shared" si="1641"/>
        <v/>
      </c>
      <c r="S9899" t="str">
        <f t="shared" si="1642"/>
        <v/>
      </c>
      <c r="T9899" t="str">
        <f t="shared" si="1643"/>
        <v/>
      </c>
      <c r="U9899" t="str">
        <f t="shared" si="1644"/>
        <v/>
      </c>
      <c r="V9899" t="str">
        <f t="shared" si="1645"/>
        <v/>
      </c>
      <c r="W9899" t="str">
        <f t="shared" si="1646"/>
        <v/>
      </c>
      <c r="X9899">
        <f t="shared" si="1636"/>
        <v>0</v>
      </c>
      <c r="Z9899" t="str">
        <f t="shared" si="1647"/>
        <v/>
      </c>
      <c r="AA9899">
        <f t="shared" si="1637"/>
        <v>0</v>
      </c>
    </row>
    <row r="9900" spans="1:27" ht="21" customHeight="1" x14ac:dyDescent="0.95">
      <c r="A9900" s="56"/>
      <c r="B9900" s="57"/>
      <c r="C9900" s="57"/>
      <c r="D9900" s="57"/>
      <c r="E9900" s="56"/>
      <c r="F9900" s="57"/>
      <c r="G9900" s="57"/>
      <c r="H9900" s="56"/>
      <c r="I9900" s="56"/>
      <c r="J9900" s="58"/>
      <c r="K9900" s="58"/>
      <c r="L9900" s="13" t="str">
        <f t="shared" si="1638"/>
        <v/>
      </c>
      <c r="M9900" s="13" t="str">
        <f t="shared" si="1639"/>
        <v/>
      </c>
      <c r="Q9900" t="str">
        <f t="shared" si="1640"/>
        <v/>
      </c>
      <c r="R9900" t="str">
        <f t="shared" si="1641"/>
        <v/>
      </c>
      <c r="S9900" t="str">
        <f t="shared" si="1642"/>
        <v/>
      </c>
      <c r="T9900" t="str">
        <f t="shared" si="1643"/>
        <v/>
      </c>
      <c r="U9900" t="str">
        <f t="shared" si="1644"/>
        <v/>
      </c>
      <c r="V9900" t="str">
        <f t="shared" si="1645"/>
        <v/>
      </c>
      <c r="W9900" t="str">
        <f t="shared" si="1646"/>
        <v/>
      </c>
      <c r="X9900">
        <f t="shared" si="1636"/>
        <v>0</v>
      </c>
      <c r="Z9900" t="str">
        <f t="shared" si="1647"/>
        <v/>
      </c>
      <c r="AA9900">
        <f t="shared" si="1637"/>
        <v>0</v>
      </c>
    </row>
    <row r="9901" spans="1:27" ht="21" customHeight="1" x14ac:dyDescent="0.95">
      <c r="A9901" s="56"/>
      <c r="B9901" s="57"/>
      <c r="C9901" s="57"/>
      <c r="D9901" s="57"/>
      <c r="E9901" s="56"/>
      <c r="F9901" s="57"/>
      <c r="G9901" s="57"/>
      <c r="H9901" s="56"/>
      <c r="I9901" s="56"/>
      <c r="J9901" s="58"/>
      <c r="K9901" s="58"/>
      <c r="L9901" s="13" t="str">
        <f t="shared" si="1638"/>
        <v/>
      </c>
      <c r="M9901" s="13" t="str">
        <f t="shared" si="1639"/>
        <v/>
      </c>
      <c r="Q9901" t="str">
        <f t="shared" si="1640"/>
        <v/>
      </c>
      <c r="R9901" t="str">
        <f t="shared" si="1641"/>
        <v/>
      </c>
      <c r="S9901" t="str">
        <f t="shared" si="1642"/>
        <v/>
      </c>
      <c r="T9901" t="str">
        <f t="shared" si="1643"/>
        <v/>
      </c>
      <c r="U9901" t="str">
        <f t="shared" si="1644"/>
        <v/>
      </c>
      <c r="V9901" t="str">
        <f t="shared" si="1645"/>
        <v/>
      </c>
      <c r="W9901" t="str">
        <f t="shared" si="1646"/>
        <v/>
      </c>
      <c r="X9901">
        <f t="shared" si="1636"/>
        <v>0</v>
      </c>
      <c r="Z9901" t="str">
        <f t="shared" si="1647"/>
        <v/>
      </c>
      <c r="AA9901">
        <f t="shared" si="1637"/>
        <v>0</v>
      </c>
    </row>
    <row r="9902" spans="1:27" ht="21" customHeight="1" x14ac:dyDescent="0.95">
      <c r="A9902" s="56"/>
      <c r="B9902" s="57"/>
      <c r="C9902" s="57"/>
      <c r="D9902" s="57"/>
      <c r="E9902" s="56"/>
      <c r="F9902" s="57"/>
      <c r="G9902" s="57"/>
      <c r="H9902" s="56"/>
      <c r="I9902" s="56"/>
      <c r="J9902" s="58"/>
      <c r="K9902" s="58"/>
      <c r="L9902" s="13" t="str">
        <f t="shared" si="1638"/>
        <v/>
      </c>
      <c r="M9902" s="13" t="str">
        <f t="shared" si="1639"/>
        <v/>
      </c>
      <c r="Q9902" t="str">
        <f t="shared" si="1640"/>
        <v/>
      </c>
      <c r="R9902" t="str">
        <f t="shared" si="1641"/>
        <v/>
      </c>
      <c r="S9902" t="str">
        <f t="shared" si="1642"/>
        <v/>
      </c>
      <c r="T9902" t="str">
        <f t="shared" si="1643"/>
        <v/>
      </c>
      <c r="U9902" t="str">
        <f t="shared" si="1644"/>
        <v/>
      </c>
      <c r="V9902" t="str">
        <f t="shared" si="1645"/>
        <v/>
      </c>
      <c r="W9902" t="str">
        <f t="shared" si="1646"/>
        <v/>
      </c>
      <c r="X9902">
        <f t="shared" si="1636"/>
        <v>0</v>
      </c>
      <c r="Z9902" t="str">
        <f t="shared" si="1647"/>
        <v/>
      </c>
      <c r="AA9902">
        <f t="shared" si="1637"/>
        <v>0</v>
      </c>
    </row>
    <row r="9903" spans="1:27" ht="21" customHeight="1" x14ac:dyDescent="0.95">
      <c r="A9903" s="56"/>
      <c r="B9903" s="57"/>
      <c r="C9903" s="57"/>
      <c r="D9903" s="57"/>
      <c r="E9903" s="56"/>
      <c r="F9903" s="57"/>
      <c r="G9903" s="57"/>
      <c r="H9903" s="56"/>
      <c r="I9903" s="56"/>
      <c r="J9903" s="58"/>
      <c r="K9903" s="58"/>
      <c r="L9903" s="13" t="str">
        <f t="shared" si="1638"/>
        <v/>
      </c>
      <c r="M9903" s="13" t="str">
        <f t="shared" si="1639"/>
        <v/>
      </c>
      <c r="Q9903" t="str">
        <f t="shared" si="1640"/>
        <v/>
      </c>
      <c r="R9903" t="str">
        <f t="shared" si="1641"/>
        <v/>
      </c>
      <c r="S9903" t="str">
        <f t="shared" si="1642"/>
        <v/>
      </c>
      <c r="T9903" t="str">
        <f t="shared" si="1643"/>
        <v/>
      </c>
      <c r="U9903" t="str">
        <f t="shared" si="1644"/>
        <v/>
      </c>
      <c r="V9903" t="str">
        <f t="shared" si="1645"/>
        <v/>
      </c>
      <c r="W9903" t="str">
        <f t="shared" si="1646"/>
        <v/>
      </c>
      <c r="X9903">
        <f t="shared" si="1636"/>
        <v>0</v>
      </c>
      <c r="Z9903" t="str">
        <f t="shared" si="1647"/>
        <v/>
      </c>
      <c r="AA9903">
        <f t="shared" si="1637"/>
        <v>0</v>
      </c>
    </row>
    <row r="9904" spans="1:27" ht="21" customHeight="1" x14ac:dyDescent="0.95">
      <c r="A9904" s="56"/>
      <c r="B9904" s="57"/>
      <c r="C9904" s="57"/>
      <c r="D9904" s="57"/>
      <c r="E9904" s="56"/>
      <c r="F9904" s="57"/>
      <c r="G9904" s="57"/>
      <c r="H9904" s="56"/>
      <c r="I9904" s="56"/>
      <c r="J9904" s="58"/>
      <c r="K9904" s="58"/>
      <c r="L9904" s="13" t="str">
        <f t="shared" si="1638"/>
        <v/>
      </c>
      <c r="M9904" s="13" t="str">
        <f t="shared" si="1639"/>
        <v/>
      </c>
      <c r="Q9904" t="str">
        <f t="shared" si="1640"/>
        <v/>
      </c>
      <c r="R9904" t="str">
        <f t="shared" si="1641"/>
        <v/>
      </c>
      <c r="S9904" t="str">
        <f t="shared" si="1642"/>
        <v/>
      </c>
      <c r="T9904" t="str">
        <f t="shared" si="1643"/>
        <v/>
      </c>
      <c r="U9904" t="str">
        <f t="shared" si="1644"/>
        <v/>
      </c>
      <c r="V9904" t="str">
        <f t="shared" si="1645"/>
        <v/>
      </c>
      <c r="W9904" t="str">
        <f t="shared" si="1646"/>
        <v/>
      </c>
      <c r="X9904">
        <f t="shared" si="1636"/>
        <v>0</v>
      </c>
      <c r="Z9904" t="str">
        <f t="shared" si="1647"/>
        <v/>
      </c>
      <c r="AA9904">
        <f t="shared" si="1637"/>
        <v>0</v>
      </c>
    </row>
    <row r="9905" spans="1:27" ht="21" customHeight="1" x14ac:dyDescent="0.95">
      <c r="A9905" s="56"/>
      <c r="B9905" s="57"/>
      <c r="C9905" s="57"/>
      <c r="D9905" s="57"/>
      <c r="E9905" s="56"/>
      <c r="F9905" s="57"/>
      <c r="G9905" s="57"/>
      <c r="H9905" s="56"/>
      <c r="I9905" s="56"/>
      <c r="J9905" s="58"/>
      <c r="K9905" s="58"/>
      <c r="L9905" s="13" t="str">
        <f t="shared" si="1638"/>
        <v/>
      </c>
      <c r="M9905" s="13" t="str">
        <f t="shared" si="1639"/>
        <v/>
      </c>
      <c r="Q9905" t="str">
        <f t="shared" si="1640"/>
        <v/>
      </c>
      <c r="R9905" t="str">
        <f t="shared" si="1641"/>
        <v/>
      </c>
      <c r="S9905" t="str">
        <f t="shared" si="1642"/>
        <v/>
      </c>
      <c r="T9905" t="str">
        <f t="shared" si="1643"/>
        <v/>
      </c>
      <c r="U9905" t="str">
        <f t="shared" si="1644"/>
        <v/>
      </c>
      <c r="V9905" t="str">
        <f t="shared" si="1645"/>
        <v/>
      </c>
      <c r="W9905" t="str">
        <f t="shared" si="1646"/>
        <v/>
      </c>
      <c r="X9905">
        <f t="shared" si="1636"/>
        <v>0</v>
      </c>
      <c r="Z9905" t="str">
        <f t="shared" si="1647"/>
        <v/>
      </c>
      <c r="AA9905">
        <f t="shared" si="1637"/>
        <v>0</v>
      </c>
    </row>
    <row r="9906" spans="1:27" ht="21" customHeight="1" x14ac:dyDescent="0.95">
      <c r="A9906" s="56"/>
      <c r="B9906" s="57"/>
      <c r="C9906" s="57"/>
      <c r="D9906" s="57"/>
      <c r="E9906" s="56"/>
      <c r="F9906" s="57"/>
      <c r="G9906" s="57"/>
      <c r="H9906" s="56"/>
      <c r="I9906" s="56"/>
      <c r="J9906" s="58"/>
      <c r="K9906" s="58"/>
      <c r="L9906" s="13" t="str">
        <f t="shared" si="1638"/>
        <v/>
      </c>
      <c r="M9906" s="13" t="str">
        <f t="shared" si="1639"/>
        <v/>
      </c>
      <c r="Q9906" t="str">
        <f t="shared" si="1640"/>
        <v/>
      </c>
      <c r="R9906" t="str">
        <f t="shared" si="1641"/>
        <v/>
      </c>
      <c r="S9906" t="str">
        <f t="shared" si="1642"/>
        <v/>
      </c>
      <c r="T9906" t="str">
        <f t="shared" si="1643"/>
        <v/>
      </c>
      <c r="U9906" t="str">
        <f t="shared" si="1644"/>
        <v/>
      </c>
      <c r="V9906" t="str">
        <f t="shared" si="1645"/>
        <v/>
      </c>
      <c r="W9906" t="str">
        <f t="shared" si="1646"/>
        <v/>
      </c>
      <c r="X9906">
        <f t="shared" si="1636"/>
        <v>0</v>
      </c>
      <c r="Z9906" t="str">
        <f t="shared" si="1647"/>
        <v/>
      </c>
      <c r="AA9906">
        <f t="shared" si="1637"/>
        <v>0</v>
      </c>
    </row>
    <row r="9907" spans="1:27" ht="21" customHeight="1" x14ac:dyDescent="0.95">
      <c r="A9907" s="56"/>
      <c r="B9907" s="57"/>
      <c r="C9907" s="57"/>
      <c r="D9907" s="57"/>
      <c r="E9907" s="56"/>
      <c r="F9907" s="57"/>
      <c r="G9907" s="57"/>
      <c r="H9907" s="56"/>
      <c r="I9907" s="56"/>
      <c r="J9907" s="58"/>
      <c r="K9907" s="58"/>
      <c r="L9907" s="13" t="str">
        <f t="shared" si="1638"/>
        <v/>
      </c>
      <c r="M9907" s="13" t="str">
        <f t="shared" si="1639"/>
        <v/>
      </c>
      <c r="Q9907" t="str">
        <f t="shared" si="1640"/>
        <v/>
      </c>
      <c r="R9907" t="str">
        <f t="shared" si="1641"/>
        <v/>
      </c>
      <c r="S9907" t="str">
        <f t="shared" si="1642"/>
        <v/>
      </c>
      <c r="T9907" t="str">
        <f t="shared" si="1643"/>
        <v/>
      </c>
      <c r="U9907" t="str">
        <f t="shared" si="1644"/>
        <v/>
      </c>
      <c r="V9907" t="str">
        <f t="shared" si="1645"/>
        <v/>
      </c>
      <c r="W9907" t="str">
        <f t="shared" si="1646"/>
        <v/>
      </c>
      <c r="X9907">
        <f t="shared" si="1636"/>
        <v>0</v>
      </c>
      <c r="Z9907" t="str">
        <f t="shared" si="1647"/>
        <v/>
      </c>
      <c r="AA9907">
        <f t="shared" si="1637"/>
        <v>0</v>
      </c>
    </row>
    <row r="9908" spans="1:27" ht="21" customHeight="1" x14ac:dyDescent="0.95">
      <c r="A9908" s="56"/>
      <c r="B9908" s="57"/>
      <c r="C9908" s="57"/>
      <c r="D9908" s="57"/>
      <c r="E9908" s="56"/>
      <c r="F9908" s="57"/>
      <c r="G9908" s="57"/>
      <c r="H9908" s="56"/>
      <c r="I9908" s="56"/>
      <c r="J9908" s="58"/>
      <c r="K9908" s="58"/>
      <c r="L9908" s="13" t="str">
        <f t="shared" si="1638"/>
        <v/>
      </c>
      <c r="M9908" s="13" t="str">
        <f t="shared" si="1639"/>
        <v/>
      </c>
      <c r="Q9908" t="str">
        <f t="shared" si="1640"/>
        <v/>
      </c>
      <c r="R9908" t="str">
        <f t="shared" si="1641"/>
        <v/>
      </c>
      <c r="S9908" t="str">
        <f t="shared" si="1642"/>
        <v/>
      </c>
      <c r="T9908" t="str">
        <f t="shared" si="1643"/>
        <v/>
      </c>
      <c r="U9908" t="str">
        <f t="shared" si="1644"/>
        <v/>
      </c>
      <c r="V9908" t="str">
        <f t="shared" si="1645"/>
        <v/>
      </c>
      <c r="W9908" t="str">
        <f t="shared" si="1646"/>
        <v/>
      </c>
      <c r="X9908">
        <f t="shared" si="1636"/>
        <v>0</v>
      </c>
      <c r="Z9908" t="str">
        <f t="shared" si="1647"/>
        <v/>
      </c>
      <c r="AA9908">
        <f t="shared" si="1637"/>
        <v>0</v>
      </c>
    </row>
    <row r="9909" spans="1:27" ht="21" customHeight="1" x14ac:dyDescent="0.95">
      <c r="A9909" s="56"/>
      <c r="B9909" s="57"/>
      <c r="C9909" s="57"/>
      <c r="D9909" s="57"/>
      <c r="E9909" s="56"/>
      <c r="F9909" s="57"/>
      <c r="G9909" s="57"/>
      <c r="H9909" s="56"/>
      <c r="I9909" s="56"/>
      <c r="J9909" s="58"/>
      <c r="K9909" s="58"/>
      <c r="L9909" s="13" t="str">
        <f t="shared" si="1638"/>
        <v/>
      </c>
      <c r="M9909" s="13" t="str">
        <f t="shared" si="1639"/>
        <v/>
      </c>
      <c r="Q9909" t="str">
        <f t="shared" si="1640"/>
        <v/>
      </c>
      <c r="R9909" t="str">
        <f t="shared" si="1641"/>
        <v/>
      </c>
      <c r="S9909" t="str">
        <f t="shared" si="1642"/>
        <v/>
      </c>
      <c r="T9909" t="str">
        <f t="shared" si="1643"/>
        <v/>
      </c>
      <c r="U9909" t="str">
        <f t="shared" si="1644"/>
        <v/>
      </c>
      <c r="V9909" t="str">
        <f t="shared" si="1645"/>
        <v/>
      </c>
      <c r="W9909" t="str">
        <f t="shared" si="1646"/>
        <v/>
      </c>
      <c r="X9909">
        <f t="shared" ref="X9909:X9972" si="1648">IF($T9909="",N($X9908),IF(MATCH($T9909,$T$6:$T$10005,0)=ROW()-5,N($X9908)+1,N($X9908)))</f>
        <v>0</v>
      </c>
      <c r="Z9909" t="str">
        <f t="shared" si="1647"/>
        <v/>
      </c>
      <c r="AA9909">
        <f t="shared" ref="AA9909:AA9972" si="1649">IF($V9909="",N($AA9908),IF(MATCH($V9909,$V$6:$V$10005,0)=ROW()-5,N($AA9908)+1,N($AA9908)))</f>
        <v>0</v>
      </c>
    </row>
    <row r="9910" spans="1:27" ht="21" customHeight="1" x14ac:dyDescent="0.95">
      <c r="A9910" s="56"/>
      <c r="B9910" s="57"/>
      <c r="C9910" s="57"/>
      <c r="D9910" s="57"/>
      <c r="E9910" s="56"/>
      <c r="F9910" s="57"/>
      <c r="G9910" s="57"/>
      <c r="H9910" s="56"/>
      <c r="I9910" s="56"/>
      <c r="J9910" s="58"/>
      <c r="K9910" s="58"/>
      <c r="L9910" s="13" t="str">
        <f t="shared" si="1638"/>
        <v/>
      </c>
      <c r="M9910" s="13" t="str">
        <f t="shared" si="1639"/>
        <v/>
      </c>
      <c r="Q9910" t="str">
        <f t="shared" si="1640"/>
        <v/>
      </c>
      <c r="R9910" t="str">
        <f t="shared" si="1641"/>
        <v/>
      </c>
      <c r="S9910" t="str">
        <f t="shared" si="1642"/>
        <v/>
      </c>
      <c r="T9910" t="str">
        <f t="shared" si="1643"/>
        <v/>
      </c>
      <c r="U9910" t="str">
        <f t="shared" si="1644"/>
        <v/>
      </c>
      <c r="V9910" t="str">
        <f t="shared" si="1645"/>
        <v/>
      </c>
      <c r="W9910" t="str">
        <f t="shared" si="1646"/>
        <v/>
      </c>
      <c r="X9910">
        <f t="shared" si="1648"/>
        <v>0</v>
      </c>
      <c r="Z9910" t="str">
        <f t="shared" si="1647"/>
        <v/>
      </c>
      <c r="AA9910">
        <f t="shared" si="1649"/>
        <v>0</v>
      </c>
    </row>
    <row r="9911" spans="1:27" ht="21" customHeight="1" x14ac:dyDescent="0.95">
      <c r="A9911" s="56"/>
      <c r="B9911" s="57"/>
      <c r="C9911" s="57"/>
      <c r="D9911" s="57"/>
      <c r="E9911" s="56"/>
      <c r="F9911" s="57"/>
      <c r="G9911" s="57"/>
      <c r="H9911" s="56"/>
      <c r="I9911" s="56"/>
      <c r="J9911" s="58"/>
      <c r="K9911" s="58"/>
      <c r="L9911" s="13" t="str">
        <f t="shared" si="1638"/>
        <v/>
      </c>
      <c r="M9911" s="13" t="str">
        <f t="shared" si="1639"/>
        <v/>
      </c>
      <c r="Q9911" t="str">
        <f t="shared" si="1640"/>
        <v/>
      </c>
      <c r="R9911" t="str">
        <f t="shared" si="1641"/>
        <v/>
      </c>
      <c r="S9911" t="str">
        <f t="shared" si="1642"/>
        <v/>
      </c>
      <c r="T9911" t="str">
        <f t="shared" si="1643"/>
        <v/>
      </c>
      <c r="U9911" t="str">
        <f t="shared" si="1644"/>
        <v/>
      </c>
      <c r="V9911" t="str">
        <f t="shared" si="1645"/>
        <v/>
      </c>
      <c r="W9911" t="str">
        <f t="shared" si="1646"/>
        <v/>
      </c>
      <c r="X9911">
        <f t="shared" si="1648"/>
        <v>0</v>
      </c>
      <c r="Z9911" t="str">
        <f t="shared" si="1647"/>
        <v/>
      </c>
      <c r="AA9911">
        <f t="shared" si="1649"/>
        <v>0</v>
      </c>
    </row>
    <row r="9912" spans="1:27" ht="21" customHeight="1" x14ac:dyDescent="0.95">
      <c r="A9912" s="56"/>
      <c r="B9912" s="57"/>
      <c r="C9912" s="57"/>
      <c r="D9912" s="57"/>
      <c r="E9912" s="56"/>
      <c r="F9912" s="57"/>
      <c r="G9912" s="57"/>
      <c r="H9912" s="56"/>
      <c r="I9912" s="56"/>
      <c r="J9912" s="58"/>
      <c r="K9912" s="58"/>
      <c r="L9912" s="13" t="str">
        <f t="shared" si="1638"/>
        <v/>
      </c>
      <c r="M9912" s="13" t="str">
        <f t="shared" si="1639"/>
        <v/>
      </c>
      <c r="Q9912" t="str">
        <f t="shared" si="1640"/>
        <v/>
      </c>
      <c r="R9912" t="str">
        <f t="shared" si="1641"/>
        <v/>
      </c>
      <c r="S9912" t="str">
        <f t="shared" si="1642"/>
        <v/>
      </c>
      <c r="T9912" t="str">
        <f t="shared" si="1643"/>
        <v/>
      </c>
      <c r="U9912" t="str">
        <f t="shared" si="1644"/>
        <v/>
      </c>
      <c r="V9912" t="str">
        <f t="shared" si="1645"/>
        <v/>
      </c>
      <c r="W9912" t="str">
        <f t="shared" si="1646"/>
        <v/>
      </c>
      <c r="X9912">
        <f t="shared" si="1648"/>
        <v>0</v>
      </c>
      <c r="Z9912" t="str">
        <f t="shared" si="1647"/>
        <v/>
      </c>
      <c r="AA9912">
        <f t="shared" si="1649"/>
        <v>0</v>
      </c>
    </row>
    <row r="9913" spans="1:27" ht="21" customHeight="1" x14ac:dyDescent="0.95">
      <c r="A9913" s="56"/>
      <c r="B9913" s="57"/>
      <c r="C9913" s="57"/>
      <c r="D9913" s="57"/>
      <c r="E9913" s="56"/>
      <c r="F9913" s="57"/>
      <c r="G9913" s="57"/>
      <c r="H9913" s="56"/>
      <c r="I9913" s="56"/>
      <c r="J9913" s="58"/>
      <c r="K9913" s="58"/>
      <c r="L9913" s="13" t="str">
        <f t="shared" si="1638"/>
        <v/>
      </c>
      <c r="M9913" s="13" t="str">
        <f t="shared" si="1639"/>
        <v/>
      </c>
      <c r="Q9913" t="str">
        <f t="shared" si="1640"/>
        <v/>
      </c>
      <c r="R9913" t="str">
        <f t="shared" si="1641"/>
        <v/>
      </c>
      <c r="S9913" t="str">
        <f t="shared" si="1642"/>
        <v/>
      </c>
      <c r="T9913" t="str">
        <f t="shared" si="1643"/>
        <v/>
      </c>
      <c r="U9913" t="str">
        <f t="shared" si="1644"/>
        <v/>
      </c>
      <c r="V9913" t="str">
        <f t="shared" si="1645"/>
        <v/>
      </c>
      <c r="W9913" t="str">
        <f t="shared" si="1646"/>
        <v/>
      </c>
      <c r="X9913">
        <f t="shared" si="1648"/>
        <v>0</v>
      </c>
      <c r="Z9913" t="str">
        <f t="shared" si="1647"/>
        <v/>
      </c>
      <c r="AA9913">
        <f t="shared" si="1649"/>
        <v>0</v>
      </c>
    </row>
    <row r="9914" spans="1:27" ht="21" customHeight="1" x14ac:dyDescent="0.95">
      <c r="A9914" s="56"/>
      <c r="B9914" s="57"/>
      <c r="C9914" s="57"/>
      <c r="D9914" s="57"/>
      <c r="E9914" s="56"/>
      <c r="F9914" s="57"/>
      <c r="G9914" s="57"/>
      <c r="H9914" s="56"/>
      <c r="I9914" s="56"/>
      <c r="J9914" s="58"/>
      <c r="K9914" s="58"/>
      <c r="L9914" s="13" t="str">
        <f t="shared" si="1638"/>
        <v/>
      </c>
      <c r="M9914" s="13" t="str">
        <f t="shared" si="1639"/>
        <v/>
      </c>
      <c r="Q9914" t="str">
        <f t="shared" si="1640"/>
        <v/>
      </c>
      <c r="R9914" t="str">
        <f t="shared" si="1641"/>
        <v/>
      </c>
      <c r="S9914" t="str">
        <f t="shared" si="1642"/>
        <v/>
      </c>
      <c r="T9914" t="str">
        <f t="shared" si="1643"/>
        <v/>
      </c>
      <c r="U9914" t="str">
        <f t="shared" si="1644"/>
        <v/>
      </c>
      <c r="V9914" t="str">
        <f t="shared" si="1645"/>
        <v/>
      </c>
      <c r="W9914" t="str">
        <f t="shared" si="1646"/>
        <v/>
      </c>
      <c r="X9914">
        <f t="shared" si="1648"/>
        <v>0</v>
      </c>
      <c r="Z9914" t="str">
        <f t="shared" si="1647"/>
        <v/>
      </c>
      <c r="AA9914">
        <f t="shared" si="1649"/>
        <v>0</v>
      </c>
    </row>
    <row r="9915" spans="1:27" ht="21" customHeight="1" x14ac:dyDescent="0.95">
      <c r="A9915" s="56"/>
      <c r="B9915" s="57"/>
      <c r="C9915" s="57"/>
      <c r="D9915" s="57"/>
      <c r="E9915" s="56"/>
      <c r="F9915" s="57"/>
      <c r="G9915" s="57"/>
      <c r="H9915" s="56"/>
      <c r="I9915" s="56"/>
      <c r="J9915" s="58"/>
      <c r="K9915" s="58"/>
      <c r="L9915" s="13" t="str">
        <f t="shared" si="1638"/>
        <v/>
      </c>
      <c r="M9915" s="13" t="str">
        <f t="shared" si="1639"/>
        <v/>
      </c>
      <c r="Q9915" t="str">
        <f t="shared" si="1640"/>
        <v/>
      </c>
      <c r="R9915" t="str">
        <f t="shared" si="1641"/>
        <v/>
      </c>
      <c r="S9915" t="str">
        <f t="shared" si="1642"/>
        <v/>
      </c>
      <c r="T9915" t="str">
        <f t="shared" si="1643"/>
        <v/>
      </c>
      <c r="U9915" t="str">
        <f t="shared" si="1644"/>
        <v/>
      </c>
      <c r="V9915" t="str">
        <f t="shared" si="1645"/>
        <v/>
      </c>
      <c r="W9915" t="str">
        <f t="shared" si="1646"/>
        <v/>
      </c>
      <c r="X9915">
        <f t="shared" si="1648"/>
        <v>0</v>
      </c>
      <c r="Z9915" t="str">
        <f t="shared" si="1647"/>
        <v/>
      </c>
      <c r="AA9915">
        <f t="shared" si="1649"/>
        <v>0</v>
      </c>
    </row>
    <row r="9916" spans="1:27" ht="21" customHeight="1" x14ac:dyDescent="0.95">
      <c r="A9916" s="56"/>
      <c r="B9916" s="57"/>
      <c r="C9916" s="57"/>
      <c r="D9916" s="57"/>
      <c r="E9916" s="56"/>
      <c r="F9916" s="57"/>
      <c r="G9916" s="57"/>
      <c r="H9916" s="56"/>
      <c r="I9916" s="56"/>
      <c r="J9916" s="58"/>
      <c r="K9916" s="58"/>
      <c r="L9916" s="13" t="str">
        <f t="shared" si="1638"/>
        <v/>
      </c>
      <c r="M9916" s="13" t="str">
        <f t="shared" si="1639"/>
        <v/>
      </c>
      <c r="Q9916" t="str">
        <f t="shared" si="1640"/>
        <v/>
      </c>
      <c r="R9916" t="str">
        <f t="shared" si="1641"/>
        <v/>
      </c>
      <c r="S9916" t="str">
        <f t="shared" si="1642"/>
        <v/>
      </c>
      <c r="T9916" t="str">
        <f t="shared" si="1643"/>
        <v/>
      </c>
      <c r="U9916" t="str">
        <f t="shared" si="1644"/>
        <v/>
      </c>
      <c r="V9916" t="str">
        <f t="shared" si="1645"/>
        <v/>
      </c>
      <c r="W9916" t="str">
        <f t="shared" si="1646"/>
        <v/>
      </c>
      <c r="X9916">
        <f t="shared" si="1648"/>
        <v>0</v>
      </c>
      <c r="Z9916" t="str">
        <f t="shared" si="1647"/>
        <v/>
      </c>
      <c r="AA9916">
        <f t="shared" si="1649"/>
        <v>0</v>
      </c>
    </row>
    <row r="9917" spans="1:27" ht="21" customHeight="1" x14ac:dyDescent="0.95">
      <c r="A9917" s="56"/>
      <c r="B9917" s="57"/>
      <c r="C9917" s="57"/>
      <c r="D9917" s="57"/>
      <c r="E9917" s="56"/>
      <c r="F9917" s="57"/>
      <c r="G9917" s="57"/>
      <c r="H9917" s="56"/>
      <c r="I9917" s="56"/>
      <c r="J9917" s="58"/>
      <c r="K9917" s="58"/>
      <c r="L9917" s="13" t="str">
        <f t="shared" si="1638"/>
        <v/>
      </c>
      <c r="M9917" s="13" t="str">
        <f t="shared" si="1639"/>
        <v/>
      </c>
      <c r="Q9917" t="str">
        <f t="shared" si="1640"/>
        <v/>
      </c>
      <c r="R9917" t="str">
        <f t="shared" si="1641"/>
        <v/>
      </c>
      <c r="S9917" t="str">
        <f t="shared" si="1642"/>
        <v/>
      </c>
      <c r="T9917" t="str">
        <f t="shared" si="1643"/>
        <v/>
      </c>
      <c r="U9917" t="str">
        <f t="shared" si="1644"/>
        <v/>
      </c>
      <c r="V9917" t="str">
        <f t="shared" si="1645"/>
        <v/>
      </c>
      <c r="W9917" t="str">
        <f t="shared" si="1646"/>
        <v/>
      </c>
      <c r="X9917">
        <f t="shared" si="1648"/>
        <v>0</v>
      </c>
      <c r="Z9917" t="str">
        <f t="shared" si="1647"/>
        <v/>
      </c>
      <c r="AA9917">
        <f t="shared" si="1649"/>
        <v>0</v>
      </c>
    </row>
    <row r="9918" spans="1:27" ht="21" customHeight="1" x14ac:dyDescent="0.95">
      <c r="A9918" s="56"/>
      <c r="B9918" s="57"/>
      <c r="C9918" s="57"/>
      <c r="D9918" s="57"/>
      <c r="E9918" s="56"/>
      <c r="F9918" s="57"/>
      <c r="G9918" s="57"/>
      <c r="H9918" s="56"/>
      <c r="I9918" s="56"/>
      <c r="J9918" s="58"/>
      <c r="K9918" s="58"/>
      <c r="L9918" s="13" t="str">
        <f t="shared" si="1638"/>
        <v/>
      </c>
      <c r="M9918" s="13" t="str">
        <f t="shared" si="1639"/>
        <v/>
      </c>
      <c r="Q9918" t="str">
        <f t="shared" si="1640"/>
        <v/>
      </c>
      <c r="R9918" t="str">
        <f t="shared" si="1641"/>
        <v/>
      </c>
      <c r="S9918" t="str">
        <f t="shared" si="1642"/>
        <v/>
      </c>
      <c r="T9918" t="str">
        <f t="shared" si="1643"/>
        <v/>
      </c>
      <c r="U9918" t="str">
        <f t="shared" si="1644"/>
        <v/>
      </c>
      <c r="V9918" t="str">
        <f t="shared" si="1645"/>
        <v/>
      </c>
      <c r="W9918" t="str">
        <f t="shared" si="1646"/>
        <v/>
      </c>
      <c r="X9918">
        <f t="shared" si="1648"/>
        <v>0</v>
      </c>
      <c r="Z9918" t="str">
        <f t="shared" si="1647"/>
        <v/>
      </c>
      <c r="AA9918">
        <f t="shared" si="1649"/>
        <v>0</v>
      </c>
    </row>
    <row r="9919" spans="1:27" ht="21" customHeight="1" x14ac:dyDescent="0.95">
      <c r="A9919" s="56"/>
      <c r="B9919" s="57"/>
      <c r="C9919" s="57"/>
      <c r="D9919" s="57"/>
      <c r="E9919" s="56"/>
      <c r="F9919" s="57"/>
      <c r="G9919" s="57"/>
      <c r="H9919" s="56"/>
      <c r="I9919" s="56"/>
      <c r="J9919" s="58"/>
      <c r="K9919" s="58"/>
      <c r="L9919" s="13" t="str">
        <f t="shared" si="1638"/>
        <v/>
      </c>
      <c r="M9919" s="13" t="str">
        <f t="shared" si="1639"/>
        <v/>
      </c>
      <c r="Q9919" t="str">
        <f t="shared" si="1640"/>
        <v/>
      </c>
      <c r="R9919" t="str">
        <f t="shared" si="1641"/>
        <v/>
      </c>
      <c r="S9919" t="str">
        <f t="shared" si="1642"/>
        <v/>
      </c>
      <c r="T9919" t="str">
        <f t="shared" si="1643"/>
        <v/>
      </c>
      <c r="U9919" t="str">
        <f t="shared" si="1644"/>
        <v/>
      </c>
      <c r="V9919" t="str">
        <f t="shared" si="1645"/>
        <v/>
      </c>
      <c r="W9919" t="str">
        <f t="shared" si="1646"/>
        <v/>
      </c>
      <c r="X9919">
        <f t="shared" si="1648"/>
        <v>0</v>
      </c>
      <c r="Z9919" t="str">
        <f t="shared" si="1647"/>
        <v/>
      </c>
      <c r="AA9919">
        <f t="shared" si="1649"/>
        <v>0</v>
      </c>
    </row>
    <row r="9920" spans="1:27" ht="21" customHeight="1" x14ac:dyDescent="0.95">
      <c r="A9920" s="56"/>
      <c r="B9920" s="57"/>
      <c r="C9920" s="57"/>
      <c r="D9920" s="57"/>
      <c r="E9920" s="56"/>
      <c r="F9920" s="57"/>
      <c r="G9920" s="57"/>
      <c r="H9920" s="56"/>
      <c r="I9920" s="56"/>
      <c r="J9920" s="58"/>
      <c r="K9920" s="58"/>
      <c r="L9920" s="13" t="str">
        <f t="shared" si="1638"/>
        <v/>
      </c>
      <c r="M9920" s="13" t="str">
        <f t="shared" si="1639"/>
        <v/>
      </c>
      <c r="Q9920" t="str">
        <f t="shared" si="1640"/>
        <v/>
      </c>
      <c r="R9920" t="str">
        <f t="shared" si="1641"/>
        <v/>
      </c>
      <c r="S9920" t="str">
        <f t="shared" si="1642"/>
        <v/>
      </c>
      <c r="T9920" t="str">
        <f t="shared" si="1643"/>
        <v/>
      </c>
      <c r="U9920" t="str">
        <f t="shared" si="1644"/>
        <v/>
      </c>
      <c r="V9920" t="str">
        <f t="shared" si="1645"/>
        <v/>
      </c>
      <c r="W9920" t="str">
        <f t="shared" si="1646"/>
        <v/>
      </c>
      <c r="X9920">
        <f t="shared" si="1648"/>
        <v>0</v>
      </c>
      <c r="Z9920" t="str">
        <f t="shared" si="1647"/>
        <v/>
      </c>
      <c r="AA9920">
        <f t="shared" si="1649"/>
        <v>0</v>
      </c>
    </row>
    <row r="9921" spans="1:27" ht="21" customHeight="1" x14ac:dyDescent="0.95">
      <c r="A9921" s="56"/>
      <c r="B9921" s="57"/>
      <c r="C9921" s="57"/>
      <c r="D9921" s="57"/>
      <c r="E9921" s="56"/>
      <c r="F9921" s="57"/>
      <c r="G9921" s="57"/>
      <c r="H9921" s="56"/>
      <c r="I9921" s="56"/>
      <c r="J9921" s="58"/>
      <c r="K9921" s="58"/>
      <c r="L9921" s="13" t="str">
        <f t="shared" si="1638"/>
        <v/>
      </c>
      <c r="M9921" s="13" t="str">
        <f t="shared" si="1639"/>
        <v/>
      </c>
      <c r="Q9921" t="str">
        <f t="shared" si="1640"/>
        <v/>
      </c>
      <c r="R9921" t="str">
        <f t="shared" si="1641"/>
        <v/>
      </c>
      <c r="S9921" t="str">
        <f t="shared" si="1642"/>
        <v/>
      </c>
      <c r="T9921" t="str">
        <f t="shared" si="1643"/>
        <v/>
      </c>
      <c r="U9921" t="str">
        <f t="shared" si="1644"/>
        <v/>
      </c>
      <c r="V9921" t="str">
        <f t="shared" si="1645"/>
        <v/>
      </c>
      <c r="W9921" t="str">
        <f t="shared" si="1646"/>
        <v/>
      </c>
      <c r="X9921">
        <f t="shared" si="1648"/>
        <v>0</v>
      </c>
      <c r="Z9921" t="str">
        <f t="shared" si="1647"/>
        <v/>
      </c>
      <c r="AA9921">
        <f t="shared" si="1649"/>
        <v>0</v>
      </c>
    </row>
    <row r="9922" spans="1:27" ht="21" customHeight="1" x14ac:dyDescent="0.95">
      <c r="A9922" s="56"/>
      <c r="B9922" s="57"/>
      <c r="C9922" s="57"/>
      <c r="D9922" s="57"/>
      <c r="E9922" s="56"/>
      <c r="F9922" s="57"/>
      <c r="G9922" s="57"/>
      <c r="H9922" s="56"/>
      <c r="I9922" s="56"/>
      <c r="J9922" s="58"/>
      <c r="K9922" s="58"/>
      <c r="L9922" s="13" t="str">
        <f t="shared" si="1638"/>
        <v/>
      </c>
      <c r="M9922" s="13" t="str">
        <f t="shared" si="1639"/>
        <v/>
      </c>
      <c r="Q9922" t="str">
        <f t="shared" si="1640"/>
        <v/>
      </c>
      <c r="R9922" t="str">
        <f t="shared" si="1641"/>
        <v/>
      </c>
      <c r="S9922" t="str">
        <f t="shared" si="1642"/>
        <v/>
      </c>
      <c r="T9922" t="str">
        <f t="shared" si="1643"/>
        <v/>
      </c>
      <c r="U9922" t="str">
        <f t="shared" si="1644"/>
        <v/>
      </c>
      <c r="V9922" t="str">
        <f t="shared" si="1645"/>
        <v/>
      </c>
      <c r="W9922" t="str">
        <f t="shared" si="1646"/>
        <v/>
      </c>
      <c r="X9922">
        <f t="shared" si="1648"/>
        <v>0</v>
      </c>
      <c r="Z9922" t="str">
        <f t="shared" si="1647"/>
        <v/>
      </c>
      <c r="AA9922">
        <f t="shared" si="1649"/>
        <v>0</v>
      </c>
    </row>
    <row r="9923" spans="1:27" ht="21" customHeight="1" x14ac:dyDescent="0.95">
      <c r="A9923" s="56"/>
      <c r="B9923" s="57"/>
      <c r="C9923" s="57"/>
      <c r="D9923" s="57"/>
      <c r="E9923" s="56"/>
      <c r="F9923" s="57"/>
      <c r="G9923" s="57"/>
      <c r="H9923" s="56"/>
      <c r="I9923" s="56"/>
      <c r="J9923" s="58"/>
      <c r="K9923" s="58"/>
      <c r="L9923" s="13" t="str">
        <f t="shared" si="1638"/>
        <v/>
      </c>
      <c r="M9923" s="13" t="str">
        <f t="shared" si="1639"/>
        <v/>
      </c>
      <c r="Q9923" t="str">
        <f t="shared" si="1640"/>
        <v/>
      </c>
      <c r="R9923" t="str">
        <f t="shared" si="1641"/>
        <v/>
      </c>
      <c r="S9923" t="str">
        <f t="shared" si="1642"/>
        <v/>
      </c>
      <c r="T9923" t="str">
        <f t="shared" si="1643"/>
        <v/>
      </c>
      <c r="U9923" t="str">
        <f t="shared" si="1644"/>
        <v/>
      </c>
      <c r="V9923" t="str">
        <f t="shared" si="1645"/>
        <v/>
      </c>
      <c r="W9923" t="str">
        <f t="shared" si="1646"/>
        <v/>
      </c>
      <c r="X9923">
        <f t="shared" si="1648"/>
        <v>0</v>
      </c>
      <c r="Z9923" t="str">
        <f t="shared" si="1647"/>
        <v/>
      </c>
      <c r="AA9923">
        <f t="shared" si="1649"/>
        <v>0</v>
      </c>
    </row>
    <row r="9924" spans="1:27" ht="21" customHeight="1" x14ac:dyDescent="0.95">
      <c r="A9924" s="56"/>
      <c r="B9924" s="57"/>
      <c r="C9924" s="57"/>
      <c r="D9924" s="57"/>
      <c r="E9924" s="56"/>
      <c r="F9924" s="57"/>
      <c r="G9924" s="57"/>
      <c r="H9924" s="56"/>
      <c r="I9924" s="56"/>
      <c r="J9924" s="58"/>
      <c r="K9924" s="58"/>
      <c r="L9924" s="13" t="str">
        <f t="shared" ref="L9924:L9987" si="1650">IF(OR($A9924="",AND($J9924="",$K9924="")),"",ROUND(N($J9924)-N($K9924),2))</f>
        <v/>
      </c>
      <c r="M9924" s="13" t="str">
        <f t="shared" ref="M9924:M9987" si="1651">IF(OR($A9924="",AND($J9924="",$K9924="")),"",MIN($J9924,$K9924))</f>
        <v/>
      </c>
      <c r="Q9924" t="str">
        <f t="shared" ref="Q9924:Q9987" si="1652">IF($A9924="","",$D9924&amp;"("&amp;SUBSTITUTE($E9924," ","")&amp;")")</f>
        <v/>
      </c>
      <c r="R9924" t="str">
        <f t="shared" ref="R9924:R9987" si="1653">IF($A9924="","",$B9924&amp;" - "&amp;$C9924)</f>
        <v/>
      </c>
      <c r="S9924" t="str">
        <f t="shared" ref="S9924:S9987" si="1654">IF($A9924="","",$R9924&amp;"|"&amp;$Q9924)</f>
        <v/>
      </c>
      <c r="T9924" t="str">
        <f t="shared" ref="T9924:T9987" si="1655">IF($A9924="","",$S9924&amp;"|"&amp;$F9924)</f>
        <v/>
      </c>
      <c r="U9924" t="str">
        <f t="shared" ref="U9924:U9987" si="1656">IF($A9924="","",$R9924&amp;"("&amp;$E9924&amp;")")</f>
        <v/>
      </c>
      <c r="V9924" t="str">
        <f t="shared" ref="V9924:V9987" si="1657">IF($A9924="","",$F9924&amp;"|"&amp;$U9924&amp;"|"&amp;$D9924)</f>
        <v/>
      </c>
      <c r="W9924" t="str">
        <f t="shared" si="1646"/>
        <v/>
      </c>
      <c r="X9924">
        <f t="shared" si="1648"/>
        <v>0</v>
      </c>
      <c r="Z9924" t="str">
        <f t="shared" si="1647"/>
        <v/>
      </c>
      <c r="AA9924">
        <f t="shared" si="1649"/>
        <v>0</v>
      </c>
    </row>
    <row r="9925" spans="1:27" ht="21" customHeight="1" x14ac:dyDescent="0.95">
      <c r="A9925" s="56"/>
      <c r="B9925" s="57"/>
      <c r="C9925" s="57"/>
      <c r="D9925" s="57"/>
      <c r="E9925" s="56"/>
      <c r="F9925" s="57"/>
      <c r="G9925" s="57"/>
      <c r="H9925" s="56"/>
      <c r="I9925" s="56"/>
      <c r="J9925" s="58"/>
      <c r="K9925" s="58"/>
      <c r="L9925" s="13" t="str">
        <f t="shared" si="1650"/>
        <v/>
      </c>
      <c r="M9925" s="13" t="str">
        <f t="shared" si="1651"/>
        <v/>
      </c>
      <c r="Q9925" t="str">
        <f t="shared" si="1652"/>
        <v/>
      </c>
      <c r="R9925" t="str">
        <f t="shared" si="1653"/>
        <v/>
      </c>
      <c r="S9925" t="str">
        <f t="shared" si="1654"/>
        <v/>
      </c>
      <c r="T9925" t="str">
        <f t="shared" si="1655"/>
        <v/>
      </c>
      <c r="U9925" t="str">
        <f t="shared" si="1656"/>
        <v/>
      </c>
      <c r="V9925" t="str">
        <f t="shared" si="1657"/>
        <v/>
      </c>
      <c r="W9925" t="str">
        <f t="shared" si="1646"/>
        <v/>
      </c>
      <c r="X9925">
        <f t="shared" si="1648"/>
        <v>0</v>
      </c>
      <c r="Z9925" t="str">
        <f t="shared" si="1647"/>
        <v/>
      </c>
      <c r="AA9925">
        <f t="shared" si="1649"/>
        <v>0</v>
      </c>
    </row>
    <row r="9926" spans="1:27" ht="21" customHeight="1" x14ac:dyDescent="0.95">
      <c r="A9926" s="56"/>
      <c r="B9926" s="57"/>
      <c r="C9926" s="57"/>
      <c r="D9926" s="57"/>
      <c r="E9926" s="56"/>
      <c r="F9926" s="57"/>
      <c r="G9926" s="57"/>
      <c r="H9926" s="56"/>
      <c r="I9926" s="56"/>
      <c r="J9926" s="58"/>
      <c r="K9926" s="58"/>
      <c r="L9926" s="13" t="str">
        <f t="shared" si="1650"/>
        <v/>
      </c>
      <c r="M9926" s="13" t="str">
        <f t="shared" si="1651"/>
        <v/>
      </c>
      <c r="Q9926" t="str">
        <f t="shared" si="1652"/>
        <v/>
      </c>
      <c r="R9926" t="str">
        <f t="shared" si="1653"/>
        <v/>
      </c>
      <c r="S9926" t="str">
        <f t="shared" si="1654"/>
        <v/>
      </c>
      <c r="T9926" t="str">
        <f t="shared" si="1655"/>
        <v/>
      </c>
      <c r="U9926" t="str">
        <f t="shared" si="1656"/>
        <v/>
      </c>
      <c r="V9926" t="str">
        <f t="shared" si="1657"/>
        <v/>
      </c>
      <c r="W9926" t="str">
        <f t="shared" ref="W9926:W9989" si="1658">IF($T9926="","",IF($X9926&gt;N($X9925),$X9926,""))</f>
        <v/>
      </c>
      <c r="X9926">
        <f t="shared" si="1648"/>
        <v>0</v>
      </c>
      <c r="Z9926" t="str">
        <f t="shared" ref="Z9926:Z9989" si="1659">IF($V9926="","",IF($AA9926&gt;N($AA9925),$AA9926,""))</f>
        <v/>
      </c>
      <c r="AA9926">
        <f t="shared" si="1649"/>
        <v>0</v>
      </c>
    </row>
    <row r="9927" spans="1:27" ht="21" customHeight="1" x14ac:dyDescent="0.95">
      <c r="A9927" s="56"/>
      <c r="B9927" s="57"/>
      <c r="C9927" s="57"/>
      <c r="D9927" s="57"/>
      <c r="E9927" s="56"/>
      <c r="F9927" s="57"/>
      <c r="G9927" s="57"/>
      <c r="H9927" s="56"/>
      <c r="I9927" s="56"/>
      <c r="J9927" s="58"/>
      <c r="K9927" s="58"/>
      <c r="L9927" s="13" t="str">
        <f t="shared" si="1650"/>
        <v/>
      </c>
      <c r="M9927" s="13" t="str">
        <f t="shared" si="1651"/>
        <v/>
      </c>
      <c r="Q9927" t="str">
        <f t="shared" si="1652"/>
        <v/>
      </c>
      <c r="R9927" t="str">
        <f t="shared" si="1653"/>
        <v/>
      </c>
      <c r="S9927" t="str">
        <f t="shared" si="1654"/>
        <v/>
      </c>
      <c r="T9927" t="str">
        <f t="shared" si="1655"/>
        <v/>
      </c>
      <c r="U9927" t="str">
        <f t="shared" si="1656"/>
        <v/>
      </c>
      <c r="V9927" t="str">
        <f t="shared" si="1657"/>
        <v/>
      </c>
      <c r="W9927" t="str">
        <f t="shared" si="1658"/>
        <v/>
      </c>
      <c r="X9927">
        <f t="shared" si="1648"/>
        <v>0</v>
      </c>
      <c r="Z9927" t="str">
        <f t="shared" si="1659"/>
        <v/>
      </c>
      <c r="AA9927">
        <f t="shared" si="1649"/>
        <v>0</v>
      </c>
    </row>
    <row r="9928" spans="1:27" ht="21" customHeight="1" x14ac:dyDescent="0.95">
      <c r="A9928" s="56"/>
      <c r="B9928" s="57"/>
      <c r="C9928" s="57"/>
      <c r="D9928" s="57"/>
      <c r="E9928" s="56"/>
      <c r="F9928" s="57"/>
      <c r="G9928" s="57"/>
      <c r="H9928" s="56"/>
      <c r="I9928" s="56"/>
      <c r="J9928" s="58"/>
      <c r="K9928" s="58"/>
      <c r="L9928" s="13" t="str">
        <f t="shared" si="1650"/>
        <v/>
      </c>
      <c r="M9928" s="13" t="str">
        <f t="shared" si="1651"/>
        <v/>
      </c>
      <c r="Q9928" t="str">
        <f t="shared" si="1652"/>
        <v/>
      </c>
      <c r="R9928" t="str">
        <f t="shared" si="1653"/>
        <v/>
      </c>
      <c r="S9928" t="str">
        <f t="shared" si="1654"/>
        <v/>
      </c>
      <c r="T9928" t="str">
        <f t="shared" si="1655"/>
        <v/>
      </c>
      <c r="U9928" t="str">
        <f t="shared" si="1656"/>
        <v/>
      </c>
      <c r="V9928" t="str">
        <f t="shared" si="1657"/>
        <v/>
      </c>
      <c r="W9928" t="str">
        <f t="shared" si="1658"/>
        <v/>
      </c>
      <c r="X9928">
        <f t="shared" si="1648"/>
        <v>0</v>
      </c>
      <c r="Z9928" t="str">
        <f t="shared" si="1659"/>
        <v/>
      </c>
      <c r="AA9928">
        <f t="shared" si="1649"/>
        <v>0</v>
      </c>
    </row>
    <row r="9929" spans="1:27" ht="21" customHeight="1" x14ac:dyDescent="0.95">
      <c r="A9929" s="56"/>
      <c r="B9929" s="57"/>
      <c r="C9929" s="57"/>
      <c r="D9929" s="57"/>
      <c r="E9929" s="56"/>
      <c r="F9929" s="57"/>
      <c r="G9929" s="57"/>
      <c r="H9929" s="56"/>
      <c r="I9929" s="56"/>
      <c r="J9929" s="58"/>
      <c r="K9929" s="58"/>
      <c r="L9929" s="13" t="str">
        <f t="shared" si="1650"/>
        <v/>
      </c>
      <c r="M9929" s="13" t="str">
        <f t="shared" si="1651"/>
        <v/>
      </c>
      <c r="Q9929" t="str">
        <f t="shared" si="1652"/>
        <v/>
      </c>
      <c r="R9929" t="str">
        <f t="shared" si="1653"/>
        <v/>
      </c>
      <c r="S9929" t="str">
        <f t="shared" si="1654"/>
        <v/>
      </c>
      <c r="T9929" t="str">
        <f t="shared" si="1655"/>
        <v/>
      </c>
      <c r="U9929" t="str">
        <f t="shared" si="1656"/>
        <v/>
      </c>
      <c r="V9929" t="str">
        <f t="shared" si="1657"/>
        <v/>
      </c>
      <c r="W9929" t="str">
        <f t="shared" si="1658"/>
        <v/>
      </c>
      <c r="X9929">
        <f t="shared" si="1648"/>
        <v>0</v>
      </c>
      <c r="Z9929" t="str">
        <f t="shared" si="1659"/>
        <v/>
      </c>
      <c r="AA9929">
        <f t="shared" si="1649"/>
        <v>0</v>
      </c>
    </row>
    <row r="9930" spans="1:27" ht="21" customHeight="1" x14ac:dyDescent="0.95">
      <c r="A9930" s="56"/>
      <c r="B9930" s="57"/>
      <c r="C9930" s="57"/>
      <c r="D9930" s="57"/>
      <c r="E9930" s="56"/>
      <c r="F9930" s="57"/>
      <c r="G9930" s="57"/>
      <c r="H9930" s="56"/>
      <c r="I9930" s="56"/>
      <c r="J9930" s="58"/>
      <c r="K9930" s="58"/>
      <c r="L9930" s="13" t="str">
        <f t="shared" si="1650"/>
        <v/>
      </c>
      <c r="M9930" s="13" t="str">
        <f t="shared" si="1651"/>
        <v/>
      </c>
      <c r="Q9930" t="str">
        <f t="shared" si="1652"/>
        <v/>
      </c>
      <c r="R9930" t="str">
        <f t="shared" si="1653"/>
        <v/>
      </c>
      <c r="S9930" t="str">
        <f t="shared" si="1654"/>
        <v/>
      </c>
      <c r="T9930" t="str">
        <f t="shared" si="1655"/>
        <v/>
      </c>
      <c r="U9930" t="str">
        <f t="shared" si="1656"/>
        <v/>
      </c>
      <c r="V9930" t="str">
        <f t="shared" si="1657"/>
        <v/>
      </c>
      <c r="W9930" t="str">
        <f t="shared" si="1658"/>
        <v/>
      </c>
      <c r="X9930">
        <f t="shared" si="1648"/>
        <v>0</v>
      </c>
      <c r="Z9930" t="str">
        <f t="shared" si="1659"/>
        <v/>
      </c>
      <c r="AA9930">
        <f t="shared" si="1649"/>
        <v>0</v>
      </c>
    </row>
    <row r="9931" spans="1:27" ht="21" customHeight="1" x14ac:dyDescent="0.95">
      <c r="A9931" s="56"/>
      <c r="B9931" s="57"/>
      <c r="C9931" s="57"/>
      <c r="D9931" s="57"/>
      <c r="E9931" s="56"/>
      <c r="F9931" s="57"/>
      <c r="G9931" s="57"/>
      <c r="H9931" s="56"/>
      <c r="I9931" s="56"/>
      <c r="J9931" s="58"/>
      <c r="K9931" s="58"/>
      <c r="L9931" s="13" t="str">
        <f t="shared" si="1650"/>
        <v/>
      </c>
      <c r="M9931" s="13" t="str">
        <f t="shared" si="1651"/>
        <v/>
      </c>
      <c r="Q9931" t="str">
        <f t="shared" si="1652"/>
        <v/>
      </c>
      <c r="R9931" t="str">
        <f t="shared" si="1653"/>
        <v/>
      </c>
      <c r="S9931" t="str">
        <f t="shared" si="1654"/>
        <v/>
      </c>
      <c r="T9931" t="str">
        <f t="shared" si="1655"/>
        <v/>
      </c>
      <c r="U9931" t="str">
        <f t="shared" si="1656"/>
        <v/>
      </c>
      <c r="V9931" t="str">
        <f t="shared" si="1657"/>
        <v/>
      </c>
      <c r="W9931" t="str">
        <f t="shared" si="1658"/>
        <v/>
      </c>
      <c r="X9931">
        <f t="shared" si="1648"/>
        <v>0</v>
      </c>
      <c r="Z9931" t="str">
        <f t="shared" si="1659"/>
        <v/>
      </c>
      <c r="AA9931">
        <f t="shared" si="1649"/>
        <v>0</v>
      </c>
    </row>
    <row r="9932" spans="1:27" ht="21" customHeight="1" x14ac:dyDescent="0.95">
      <c r="A9932" s="56"/>
      <c r="B9932" s="57"/>
      <c r="C9932" s="57"/>
      <c r="D9932" s="57"/>
      <c r="E9932" s="56"/>
      <c r="F9932" s="57"/>
      <c r="G9932" s="57"/>
      <c r="H9932" s="56"/>
      <c r="I9932" s="56"/>
      <c r="J9932" s="58"/>
      <c r="K9932" s="58"/>
      <c r="L9932" s="13" t="str">
        <f t="shared" si="1650"/>
        <v/>
      </c>
      <c r="M9932" s="13" t="str">
        <f t="shared" si="1651"/>
        <v/>
      </c>
      <c r="Q9932" t="str">
        <f t="shared" si="1652"/>
        <v/>
      </c>
      <c r="R9932" t="str">
        <f t="shared" si="1653"/>
        <v/>
      </c>
      <c r="S9932" t="str">
        <f t="shared" si="1654"/>
        <v/>
      </c>
      <c r="T9932" t="str">
        <f t="shared" si="1655"/>
        <v/>
      </c>
      <c r="U9932" t="str">
        <f t="shared" si="1656"/>
        <v/>
      </c>
      <c r="V9932" t="str">
        <f t="shared" si="1657"/>
        <v/>
      </c>
      <c r="W9932" t="str">
        <f t="shared" si="1658"/>
        <v/>
      </c>
      <c r="X9932">
        <f t="shared" si="1648"/>
        <v>0</v>
      </c>
      <c r="Z9932" t="str">
        <f t="shared" si="1659"/>
        <v/>
      </c>
      <c r="AA9932">
        <f t="shared" si="1649"/>
        <v>0</v>
      </c>
    </row>
    <row r="9933" spans="1:27" ht="21" customHeight="1" x14ac:dyDescent="0.95">
      <c r="A9933" s="56"/>
      <c r="B9933" s="57"/>
      <c r="C9933" s="57"/>
      <c r="D9933" s="57"/>
      <c r="E9933" s="56"/>
      <c r="F9933" s="57"/>
      <c r="G9933" s="57"/>
      <c r="H9933" s="56"/>
      <c r="I9933" s="56"/>
      <c r="J9933" s="58"/>
      <c r="K9933" s="58"/>
      <c r="L9933" s="13" t="str">
        <f t="shared" si="1650"/>
        <v/>
      </c>
      <c r="M9933" s="13" t="str">
        <f t="shared" si="1651"/>
        <v/>
      </c>
      <c r="Q9933" t="str">
        <f t="shared" si="1652"/>
        <v/>
      </c>
      <c r="R9933" t="str">
        <f t="shared" si="1653"/>
        <v/>
      </c>
      <c r="S9933" t="str">
        <f t="shared" si="1654"/>
        <v/>
      </c>
      <c r="T9933" t="str">
        <f t="shared" si="1655"/>
        <v/>
      </c>
      <c r="U9933" t="str">
        <f t="shared" si="1656"/>
        <v/>
      </c>
      <c r="V9933" t="str">
        <f t="shared" si="1657"/>
        <v/>
      </c>
      <c r="W9933" t="str">
        <f t="shared" si="1658"/>
        <v/>
      </c>
      <c r="X9933">
        <f t="shared" si="1648"/>
        <v>0</v>
      </c>
      <c r="Z9933" t="str">
        <f t="shared" si="1659"/>
        <v/>
      </c>
      <c r="AA9933">
        <f t="shared" si="1649"/>
        <v>0</v>
      </c>
    </row>
    <row r="9934" spans="1:27" ht="21" customHeight="1" x14ac:dyDescent="0.95">
      <c r="A9934" s="56"/>
      <c r="B9934" s="57"/>
      <c r="C9934" s="57"/>
      <c r="D9934" s="57"/>
      <c r="E9934" s="56"/>
      <c r="F9934" s="57"/>
      <c r="G9934" s="57"/>
      <c r="H9934" s="56"/>
      <c r="I9934" s="56"/>
      <c r="J9934" s="58"/>
      <c r="K9934" s="58"/>
      <c r="L9934" s="13" t="str">
        <f t="shared" si="1650"/>
        <v/>
      </c>
      <c r="M9934" s="13" t="str">
        <f t="shared" si="1651"/>
        <v/>
      </c>
      <c r="Q9934" t="str">
        <f t="shared" si="1652"/>
        <v/>
      </c>
      <c r="R9934" t="str">
        <f t="shared" si="1653"/>
        <v/>
      </c>
      <c r="S9934" t="str">
        <f t="shared" si="1654"/>
        <v/>
      </c>
      <c r="T9934" t="str">
        <f t="shared" si="1655"/>
        <v/>
      </c>
      <c r="U9934" t="str">
        <f t="shared" si="1656"/>
        <v/>
      </c>
      <c r="V9934" t="str">
        <f t="shared" si="1657"/>
        <v/>
      </c>
      <c r="W9934" t="str">
        <f t="shared" si="1658"/>
        <v/>
      </c>
      <c r="X9934">
        <f t="shared" si="1648"/>
        <v>0</v>
      </c>
      <c r="Z9934" t="str">
        <f t="shared" si="1659"/>
        <v/>
      </c>
      <c r="AA9934">
        <f t="shared" si="1649"/>
        <v>0</v>
      </c>
    </row>
    <row r="9935" spans="1:27" ht="21" customHeight="1" x14ac:dyDescent="0.95">
      <c r="A9935" s="56"/>
      <c r="B9935" s="57"/>
      <c r="C9935" s="57"/>
      <c r="D9935" s="57"/>
      <c r="E9935" s="56"/>
      <c r="F9935" s="57"/>
      <c r="G9935" s="57"/>
      <c r="H9935" s="56"/>
      <c r="I9935" s="56"/>
      <c r="J9935" s="58"/>
      <c r="K9935" s="58"/>
      <c r="L9935" s="13" t="str">
        <f t="shared" si="1650"/>
        <v/>
      </c>
      <c r="M9935" s="13" t="str">
        <f t="shared" si="1651"/>
        <v/>
      </c>
      <c r="Q9935" t="str">
        <f t="shared" si="1652"/>
        <v/>
      </c>
      <c r="R9935" t="str">
        <f t="shared" si="1653"/>
        <v/>
      </c>
      <c r="S9935" t="str">
        <f t="shared" si="1654"/>
        <v/>
      </c>
      <c r="T9935" t="str">
        <f t="shared" si="1655"/>
        <v/>
      </c>
      <c r="U9935" t="str">
        <f t="shared" si="1656"/>
        <v/>
      </c>
      <c r="V9935" t="str">
        <f t="shared" si="1657"/>
        <v/>
      </c>
      <c r="W9935" t="str">
        <f t="shared" si="1658"/>
        <v/>
      </c>
      <c r="X9935">
        <f t="shared" si="1648"/>
        <v>0</v>
      </c>
      <c r="Z9935" t="str">
        <f t="shared" si="1659"/>
        <v/>
      </c>
      <c r="AA9935">
        <f t="shared" si="1649"/>
        <v>0</v>
      </c>
    </row>
    <row r="9936" spans="1:27" ht="21" customHeight="1" x14ac:dyDescent="0.95">
      <c r="A9936" s="56"/>
      <c r="B9936" s="57"/>
      <c r="C9936" s="57"/>
      <c r="D9936" s="57"/>
      <c r="E9936" s="56"/>
      <c r="F9936" s="57"/>
      <c r="G9936" s="57"/>
      <c r="H9936" s="56"/>
      <c r="I9936" s="56"/>
      <c r="J9936" s="58"/>
      <c r="K9936" s="58"/>
      <c r="L9936" s="13" t="str">
        <f t="shared" si="1650"/>
        <v/>
      </c>
      <c r="M9936" s="13" t="str">
        <f t="shared" si="1651"/>
        <v/>
      </c>
      <c r="Q9936" t="str">
        <f t="shared" si="1652"/>
        <v/>
      </c>
      <c r="R9936" t="str">
        <f t="shared" si="1653"/>
        <v/>
      </c>
      <c r="S9936" t="str">
        <f t="shared" si="1654"/>
        <v/>
      </c>
      <c r="T9936" t="str">
        <f t="shared" si="1655"/>
        <v/>
      </c>
      <c r="U9936" t="str">
        <f t="shared" si="1656"/>
        <v/>
      </c>
      <c r="V9936" t="str">
        <f t="shared" si="1657"/>
        <v/>
      </c>
      <c r="W9936" t="str">
        <f t="shared" si="1658"/>
        <v/>
      </c>
      <c r="X9936">
        <f t="shared" si="1648"/>
        <v>0</v>
      </c>
      <c r="Z9936" t="str">
        <f t="shared" si="1659"/>
        <v/>
      </c>
      <c r="AA9936">
        <f t="shared" si="1649"/>
        <v>0</v>
      </c>
    </row>
    <row r="9937" spans="1:27" ht="21" customHeight="1" x14ac:dyDescent="0.95">
      <c r="A9937" s="56"/>
      <c r="B9937" s="57"/>
      <c r="C9937" s="57"/>
      <c r="D9937" s="57"/>
      <c r="E9937" s="56"/>
      <c r="F9937" s="57"/>
      <c r="G9937" s="57"/>
      <c r="H9937" s="56"/>
      <c r="I9937" s="56"/>
      <c r="J9937" s="58"/>
      <c r="K9937" s="58"/>
      <c r="L9937" s="13" t="str">
        <f t="shared" si="1650"/>
        <v/>
      </c>
      <c r="M9937" s="13" t="str">
        <f t="shared" si="1651"/>
        <v/>
      </c>
      <c r="Q9937" t="str">
        <f t="shared" si="1652"/>
        <v/>
      </c>
      <c r="R9937" t="str">
        <f t="shared" si="1653"/>
        <v/>
      </c>
      <c r="S9937" t="str">
        <f t="shared" si="1654"/>
        <v/>
      </c>
      <c r="T9937" t="str">
        <f t="shared" si="1655"/>
        <v/>
      </c>
      <c r="U9937" t="str">
        <f t="shared" si="1656"/>
        <v/>
      </c>
      <c r="V9937" t="str">
        <f t="shared" si="1657"/>
        <v/>
      </c>
      <c r="W9937" t="str">
        <f t="shared" si="1658"/>
        <v/>
      </c>
      <c r="X9937">
        <f t="shared" si="1648"/>
        <v>0</v>
      </c>
      <c r="Z9937" t="str">
        <f t="shared" si="1659"/>
        <v/>
      </c>
      <c r="AA9937">
        <f t="shared" si="1649"/>
        <v>0</v>
      </c>
    </row>
    <row r="9938" spans="1:27" ht="21" customHeight="1" x14ac:dyDescent="0.95">
      <c r="A9938" s="56"/>
      <c r="B9938" s="57"/>
      <c r="C9938" s="57"/>
      <c r="D9938" s="57"/>
      <c r="E9938" s="56"/>
      <c r="F9938" s="57"/>
      <c r="G9938" s="57"/>
      <c r="H9938" s="56"/>
      <c r="I9938" s="56"/>
      <c r="J9938" s="58"/>
      <c r="K9938" s="58"/>
      <c r="L9938" s="13" t="str">
        <f t="shared" si="1650"/>
        <v/>
      </c>
      <c r="M9938" s="13" t="str">
        <f t="shared" si="1651"/>
        <v/>
      </c>
      <c r="Q9938" t="str">
        <f t="shared" si="1652"/>
        <v/>
      </c>
      <c r="R9938" t="str">
        <f t="shared" si="1653"/>
        <v/>
      </c>
      <c r="S9938" t="str">
        <f t="shared" si="1654"/>
        <v/>
      </c>
      <c r="T9938" t="str">
        <f t="shared" si="1655"/>
        <v/>
      </c>
      <c r="U9938" t="str">
        <f t="shared" si="1656"/>
        <v/>
      </c>
      <c r="V9938" t="str">
        <f t="shared" si="1657"/>
        <v/>
      </c>
      <c r="W9938" t="str">
        <f t="shared" si="1658"/>
        <v/>
      </c>
      <c r="X9938">
        <f t="shared" si="1648"/>
        <v>0</v>
      </c>
      <c r="Z9938" t="str">
        <f t="shared" si="1659"/>
        <v/>
      </c>
      <c r="AA9938">
        <f t="shared" si="1649"/>
        <v>0</v>
      </c>
    </row>
    <row r="9939" spans="1:27" ht="21" customHeight="1" x14ac:dyDescent="0.95">
      <c r="A9939" s="56"/>
      <c r="B9939" s="57"/>
      <c r="C9939" s="57"/>
      <c r="D9939" s="57"/>
      <c r="E9939" s="56"/>
      <c r="F9939" s="57"/>
      <c r="G9939" s="57"/>
      <c r="H9939" s="56"/>
      <c r="I9939" s="56"/>
      <c r="J9939" s="58"/>
      <c r="K9939" s="58"/>
      <c r="L9939" s="13" t="str">
        <f t="shared" si="1650"/>
        <v/>
      </c>
      <c r="M9939" s="13" t="str">
        <f t="shared" si="1651"/>
        <v/>
      </c>
      <c r="Q9939" t="str">
        <f t="shared" si="1652"/>
        <v/>
      </c>
      <c r="R9939" t="str">
        <f t="shared" si="1653"/>
        <v/>
      </c>
      <c r="S9939" t="str">
        <f t="shared" si="1654"/>
        <v/>
      </c>
      <c r="T9939" t="str">
        <f t="shared" si="1655"/>
        <v/>
      </c>
      <c r="U9939" t="str">
        <f t="shared" si="1656"/>
        <v/>
      </c>
      <c r="V9939" t="str">
        <f t="shared" si="1657"/>
        <v/>
      </c>
      <c r="W9939" t="str">
        <f t="shared" si="1658"/>
        <v/>
      </c>
      <c r="X9939">
        <f t="shared" si="1648"/>
        <v>0</v>
      </c>
      <c r="Z9939" t="str">
        <f t="shared" si="1659"/>
        <v/>
      </c>
      <c r="AA9939">
        <f t="shared" si="1649"/>
        <v>0</v>
      </c>
    </row>
    <row r="9940" spans="1:27" ht="21" customHeight="1" x14ac:dyDescent="0.95">
      <c r="A9940" s="56"/>
      <c r="B9940" s="57"/>
      <c r="C9940" s="57"/>
      <c r="D9940" s="57"/>
      <c r="E9940" s="56"/>
      <c r="F9940" s="57"/>
      <c r="G9940" s="57"/>
      <c r="H9940" s="56"/>
      <c r="I9940" s="56"/>
      <c r="J9940" s="58"/>
      <c r="K9940" s="58"/>
      <c r="L9940" s="13" t="str">
        <f t="shared" si="1650"/>
        <v/>
      </c>
      <c r="M9940" s="13" t="str">
        <f t="shared" si="1651"/>
        <v/>
      </c>
      <c r="Q9940" t="str">
        <f t="shared" si="1652"/>
        <v/>
      </c>
      <c r="R9940" t="str">
        <f t="shared" si="1653"/>
        <v/>
      </c>
      <c r="S9940" t="str">
        <f t="shared" si="1654"/>
        <v/>
      </c>
      <c r="T9940" t="str">
        <f t="shared" si="1655"/>
        <v/>
      </c>
      <c r="U9940" t="str">
        <f t="shared" si="1656"/>
        <v/>
      </c>
      <c r="V9940" t="str">
        <f t="shared" si="1657"/>
        <v/>
      </c>
      <c r="W9940" t="str">
        <f t="shared" si="1658"/>
        <v/>
      </c>
      <c r="X9940">
        <f t="shared" si="1648"/>
        <v>0</v>
      </c>
      <c r="Z9940" t="str">
        <f t="shared" si="1659"/>
        <v/>
      </c>
      <c r="AA9940">
        <f t="shared" si="1649"/>
        <v>0</v>
      </c>
    </row>
    <row r="9941" spans="1:27" ht="21" customHeight="1" x14ac:dyDescent="0.95">
      <c r="A9941" s="56"/>
      <c r="B9941" s="57"/>
      <c r="C9941" s="57"/>
      <c r="D9941" s="57"/>
      <c r="E9941" s="56"/>
      <c r="F9941" s="57"/>
      <c r="G9941" s="57"/>
      <c r="H9941" s="56"/>
      <c r="I9941" s="56"/>
      <c r="J9941" s="58"/>
      <c r="K9941" s="58"/>
      <c r="L9941" s="13" t="str">
        <f t="shared" si="1650"/>
        <v/>
      </c>
      <c r="M9941" s="13" t="str">
        <f t="shared" si="1651"/>
        <v/>
      </c>
      <c r="Q9941" t="str">
        <f t="shared" si="1652"/>
        <v/>
      </c>
      <c r="R9941" t="str">
        <f t="shared" si="1653"/>
        <v/>
      </c>
      <c r="S9941" t="str">
        <f t="shared" si="1654"/>
        <v/>
      </c>
      <c r="T9941" t="str">
        <f t="shared" si="1655"/>
        <v/>
      </c>
      <c r="U9941" t="str">
        <f t="shared" si="1656"/>
        <v/>
      </c>
      <c r="V9941" t="str">
        <f t="shared" si="1657"/>
        <v/>
      </c>
      <c r="W9941" t="str">
        <f t="shared" si="1658"/>
        <v/>
      </c>
      <c r="X9941">
        <f t="shared" si="1648"/>
        <v>0</v>
      </c>
      <c r="Z9941" t="str">
        <f t="shared" si="1659"/>
        <v/>
      </c>
      <c r="AA9941">
        <f t="shared" si="1649"/>
        <v>0</v>
      </c>
    </row>
    <row r="9942" spans="1:27" ht="21" customHeight="1" x14ac:dyDescent="0.95">
      <c r="A9942" s="56"/>
      <c r="B9942" s="57"/>
      <c r="C9942" s="57"/>
      <c r="D9942" s="57"/>
      <c r="E9942" s="56"/>
      <c r="F9942" s="57"/>
      <c r="G9942" s="57"/>
      <c r="H9942" s="56"/>
      <c r="I9942" s="56"/>
      <c r="J9942" s="58"/>
      <c r="K9942" s="58"/>
      <c r="L9942" s="13" t="str">
        <f t="shared" si="1650"/>
        <v/>
      </c>
      <c r="M9942" s="13" t="str">
        <f t="shared" si="1651"/>
        <v/>
      </c>
      <c r="Q9942" t="str">
        <f t="shared" si="1652"/>
        <v/>
      </c>
      <c r="R9942" t="str">
        <f t="shared" si="1653"/>
        <v/>
      </c>
      <c r="S9942" t="str">
        <f t="shared" si="1654"/>
        <v/>
      </c>
      <c r="T9942" t="str">
        <f t="shared" si="1655"/>
        <v/>
      </c>
      <c r="U9942" t="str">
        <f t="shared" si="1656"/>
        <v/>
      </c>
      <c r="V9942" t="str">
        <f t="shared" si="1657"/>
        <v/>
      </c>
      <c r="W9942" t="str">
        <f t="shared" si="1658"/>
        <v/>
      </c>
      <c r="X9942">
        <f t="shared" si="1648"/>
        <v>0</v>
      </c>
      <c r="Z9942" t="str">
        <f t="shared" si="1659"/>
        <v/>
      </c>
      <c r="AA9942">
        <f t="shared" si="1649"/>
        <v>0</v>
      </c>
    </row>
    <row r="9943" spans="1:27" ht="21" customHeight="1" x14ac:dyDescent="0.95">
      <c r="A9943" s="56"/>
      <c r="B9943" s="57"/>
      <c r="C9943" s="57"/>
      <c r="D9943" s="57"/>
      <c r="E9943" s="56"/>
      <c r="F9943" s="57"/>
      <c r="G9943" s="57"/>
      <c r="H9943" s="56"/>
      <c r="I9943" s="56"/>
      <c r="J9943" s="58"/>
      <c r="K9943" s="58"/>
      <c r="L9943" s="13" t="str">
        <f t="shared" si="1650"/>
        <v/>
      </c>
      <c r="M9943" s="13" t="str">
        <f t="shared" si="1651"/>
        <v/>
      </c>
      <c r="Q9943" t="str">
        <f t="shared" si="1652"/>
        <v/>
      </c>
      <c r="R9943" t="str">
        <f t="shared" si="1653"/>
        <v/>
      </c>
      <c r="S9943" t="str">
        <f t="shared" si="1654"/>
        <v/>
      </c>
      <c r="T9943" t="str">
        <f t="shared" si="1655"/>
        <v/>
      </c>
      <c r="U9943" t="str">
        <f t="shared" si="1656"/>
        <v/>
      </c>
      <c r="V9943" t="str">
        <f t="shared" si="1657"/>
        <v/>
      </c>
      <c r="W9943" t="str">
        <f t="shared" si="1658"/>
        <v/>
      </c>
      <c r="X9943">
        <f t="shared" si="1648"/>
        <v>0</v>
      </c>
      <c r="Z9943" t="str">
        <f t="shared" si="1659"/>
        <v/>
      </c>
      <c r="AA9943">
        <f t="shared" si="1649"/>
        <v>0</v>
      </c>
    </row>
    <row r="9944" spans="1:27" ht="21" customHeight="1" x14ac:dyDescent="0.95">
      <c r="A9944" s="56"/>
      <c r="B9944" s="57"/>
      <c r="C9944" s="57"/>
      <c r="D9944" s="57"/>
      <c r="E9944" s="56"/>
      <c r="F9944" s="57"/>
      <c r="G9944" s="57"/>
      <c r="H9944" s="56"/>
      <c r="I9944" s="56"/>
      <c r="J9944" s="58"/>
      <c r="K9944" s="58"/>
      <c r="L9944" s="13" t="str">
        <f t="shared" si="1650"/>
        <v/>
      </c>
      <c r="M9944" s="13" t="str">
        <f t="shared" si="1651"/>
        <v/>
      </c>
      <c r="Q9944" t="str">
        <f t="shared" si="1652"/>
        <v/>
      </c>
      <c r="R9944" t="str">
        <f t="shared" si="1653"/>
        <v/>
      </c>
      <c r="S9944" t="str">
        <f t="shared" si="1654"/>
        <v/>
      </c>
      <c r="T9944" t="str">
        <f t="shared" si="1655"/>
        <v/>
      </c>
      <c r="U9944" t="str">
        <f t="shared" si="1656"/>
        <v/>
      </c>
      <c r="V9944" t="str">
        <f t="shared" si="1657"/>
        <v/>
      </c>
      <c r="W9944" t="str">
        <f t="shared" si="1658"/>
        <v/>
      </c>
      <c r="X9944">
        <f t="shared" si="1648"/>
        <v>0</v>
      </c>
      <c r="Z9944" t="str">
        <f t="shared" si="1659"/>
        <v/>
      </c>
      <c r="AA9944">
        <f t="shared" si="1649"/>
        <v>0</v>
      </c>
    </row>
    <row r="9945" spans="1:27" ht="21" customHeight="1" x14ac:dyDescent="0.95">
      <c r="A9945" s="56"/>
      <c r="B9945" s="57"/>
      <c r="C9945" s="57"/>
      <c r="D9945" s="57"/>
      <c r="E9945" s="56"/>
      <c r="F9945" s="57"/>
      <c r="G9945" s="57"/>
      <c r="H9945" s="56"/>
      <c r="I9945" s="56"/>
      <c r="J9945" s="58"/>
      <c r="K9945" s="58"/>
      <c r="L9945" s="13" t="str">
        <f t="shared" si="1650"/>
        <v/>
      </c>
      <c r="M9945" s="13" t="str">
        <f t="shared" si="1651"/>
        <v/>
      </c>
      <c r="Q9945" t="str">
        <f t="shared" si="1652"/>
        <v/>
      </c>
      <c r="R9945" t="str">
        <f t="shared" si="1653"/>
        <v/>
      </c>
      <c r="S9945" t="str">
        <f t="shared" si="1654"/>
        <v/>
      </c>
      <c r="T9945" t="str">
        <f t="shared" si="1655"/>
        <v/>
      </c>
      <c r="U9945" t="str">
        <f t="shared" si="1656"/>
        <v/>
      </c>
      <c r="V9945" t="str">
        <f t="shared" si="1657"/>
        <v/>
      </c>
      <c r="W9945" t="str">
        <f t="shared" si="1658"/>
        <v/>
      </c>
      <c r="X9945">
        <f t="shared" si="1648"/>
        <v>0</v>
      </c>
      <c r="Z9945" t="str">
        <f t="shared" si="1659"/>
        <v/>
      </c>
      <c r="AA9945">
        <f t="shared" si="1649"/>
        <v>0</v>
      </c>
    </row>
    <row r="9946" spans="1:27" ht="21" customHeight="1" x14ac:dyDescent="0.95">
      <c r="A9946" s="56"/>
      <c r="B9946" s="57"/>
      <c r="C9946" s="57"/>
      <c r="D9946" s="57"/>
      <c r="E9946" s="56"/>
      <c r="F9946" s="57"/>
      <c r="G9946" s="57"/>
      <c r="H9946" s="56"/>
      <c r="I9946" s="56"/>
      <c r="J9946" s="58"/>
      <c r="K9946" s="58"/>
      <c r="L9946" s="13" t="str">
        <f t="shared" si="1650"/>
        <v/>
      </c>
      <c r="M9946" s="13" t="str">
        <f t="shared" si="1651"/>
        <v/>
      </c>
      <c r="Q9946" t="str">
        <f t="shared" si="1652"/>
        <v/>
      </c>
      <c r="R9946" t="str">
        <f t="shared" si="1653"/>
        <v/>
      </c>
      <c r="S9946" t="str">
        <f t="shared" si="1654"/>
        <v/>
      </c>
      <c r="T9946" t="str">
        <f t="shared" si="1655"/>
        <v/>
      </c>
      <c r="U9946" t="str">
        <f t="shared" si="1656"/>
        <v/>
      </c>
      <c r="V9946" t="str">
        <f t="shared" si="1657"/>
        <v/>
      </c>
      <c r="W9946" t="str">
        <f t="shared" si="1658"/>
        <v/>
      </c>
      <c r="X9946">
        <f t="shared" si="1648"/>
        <v>0</v>
      </c>
      <c r="Z9946" t="str">
        <f t="shared" si="1659"/>
        <v/>
      </c>
      <c r="AA9946">
        <f t="shared" si="1649"/>
        <v>0</v>
      </c>
    </row>
    <row r="9947" spans="1:27" ht="21" customHeight="1" x14ac:dyDescent="0.95">
      <c r="A9947" s="56"/>
      <c r="B9947" s="57"/>
      <c r="C9947" s="57"/>
      <c r="D9947" s="57"/>
      <c r="E9947" s="56"/>
      <c r="F9947" s="57"/>
      <c r="G9947" s="57"/>
      <c r="H9947" s="56"/>
      <c r="I9947" s="56"/>
      <c r="J9947" s="58"/>
      <c r="K9947" s="58"/>
      <c r="L9947" s="13" t="str">
        <f t="shared" si="1650"/>
        <v/>
      </c>
      <c r="M9947" s="13" t="str">
        <f t="shared" si="1651"/>
        <v/>
      </c>
      <c r="Q9947" t="str">
        <f t="shared" si="1652"/>
        <v/>
      </c>
      <c r="R9947" t="str">
        <f t="shared" si="1653"/>
        <v/>
      </c>
      <c r="S9947" t="str">
        <f t="shared" si="1654"/>
        <v/>
      </c>
      <c r="T9947" t="str">
        <f t="shared" si="1655"/>
        <v/>
      </c>
      <c r="U9947" t="str">
        <f t="shared" si="1656"/>
        <v/>
      </c>
      <c r="V9947" t="str">
        <f t="shared" si="1657"/>
        <v/>
      </c>
      <c r="W9947" t="str">
        <f t="shared" si="1658"/>
        <v/>
      </c>
      <c r="X9947">
        <f t="shared" si="1648"/>
        <v>0</v>
      </c>
      <c r="Z9947" t="str">
        <f t="shared" si="1659"/>
        <v/>
      </c>
      <c r="AA9947">
        <f t="shared" si="1649"/>
        <v>0</v>
      </c>
    </row>
    <row r="9948" spans="1:27" ht="21" customHeight="1" x14ac:dyDescent="0.95">
      <c r="A9948" s="56"/>
      <c r="B9948" s="57"/>
      <c r="C9948" s="57"/>
      <c r="D9948" s="57"/>
      <c r="E9948" s="56"/>
      <c r="F9948" s="57"/>
      <c r="G9948" s="57"/>
      <c r="H9948" s="56"/>
      <c r="I9948" s="56"/>
      <c r="J9948" s="58"/>
      <c r="K9948" s="58"/>
      <c r="L9948" s="13" t="str">
        <f t="shared" si="1650"/>
        <v/>
      </c>
      <c r="M9948" s="13" t="str">
        <f t="shared" si="1651"/>
        <v/>
      </c>
      <c r="Q9948" t="str">
        <f t="shared" si="1652"/>
        <v/>
      </c>
      <c r="R9948" t="str">
        <f t="shared" si="1653"/>
        <v/>
      </c>
      <c r="S9948" t="str">
        <f t="shared" si="1654"/>
        <v/>
      </c>
      <c r="T9948" t="str">
        <f t="shared" si="1655"/>
        <v/>
      </c>
      <c r="U9948" t="str">
        <f t="shared" si="1656"/>
        <v/>
      </c>
      <c r="V9948" t="str">
        <f t="shared" si="1657"/>
        <v/>
      </c>
      <c r="W9948" t="str">
        <f t="shared" si="1658"/>
        <v/>
      </c>
      <c r="X9948">
        <f t="shared" si="1648"/>
        <v>0</v>
      </c>
      <c r="Z9948" t="str">
        <f t="shared" si="1659"/>
        <v/>
      </c>
      <c r="AA9948">
        <f t="shared" si="1649"/>
        <v>0</v>
      </c>
    </row>
    <row r="9949" spans="1:27" ht="21" customHeight="1" x14ac:dyDescent="0.95">
      <c r="A9949" s="56"/>
      <c r="B9949" s="57"/>
      <c r="C9949" s="57"/>
      <c r="D9949" s="57"/>
      <c r="E9949" s="56"/>
      <c r="F9949" s="57"/>
      <c r="G9949" s="57"/>
      <c r="H9949" s="56"/>
      <c r="I9949" s="56"/>
      <c r="J9949" s="58"/>
      <c r="K9949" s="58"/>
      <c r="L9949" s="13" t="str">
        <f t="shared" si="1650"/>
        <v/>
      </c>
      <c r="M9949" s="13" t="str">
        <f t="shared" si="1651"/>
        <v/>
      </c>
      <c r="Q9949" t="str">
        <f t="shared" si="1652"/>
        <v/>
      </c>
      <c r="R9949" t="str">
        <f t="shared" si="1653"/>
        <v/>
      </c>
      <c r="S9949" t="str">
        <f t="shared" si="1654"/>
        <v/>
      </c>
      <c r="T9949" t="str">
        <f t="shared" si="1655"/>
        <v/>
      </c>
      <c r="U9949" t="str">
        <f t="shared" si="1656"/>
        <v/>
      </c>
      <c r="V9949" t="str">
        <f t="shared" si="1657"/>
        <v/>
      </c>
      <c r="W9949" t="str">
        <f t="shared" si="1658"/>
        <v/>
      </c>
      <c r="X9949">
        <f t="shared" si="1648"/>
        <v>0</v>
      </c>
      <c r="Z9949" t="str">
        <f t="shared" si="1659"/>
        <v/>
      </c>
      <c r="AA9949">
        <f t="shared" si="1649"/>
        <v>0</v>
      </c>
    </row>
    <row r="9950" spans="1:27" ht="21" customHeight="1" x14ac:dyDescent="0.95">
      <c r="A9950" s="56"/>
      <c r="B9950" s="57"/>
      <c r="C9950" s="57"/>
      <c r="D9950" s="57"/>
      <c r="E9950" s="56"/>
      <c r="F9950" s="57"/>
      <c r="G9950" s="57"/>
      <c r="H9950" s="56"/>
      <c r="I9950" s="56"/>
      <c r="J9950" s="58"/>
      <c r="K9950" s="58"/>
      <c r="L9950" s="13" t="str">
        <f t="shared" si="1650"/>
        <v/>
      </c>
      <c r="M9950" s="13" t="str">
        <f t="shared" si="1651"/>
        <v/>
      </c>
      <c r="Q9950" t="str">
        <f t="shared" si="1652"/>
        <v/>
      </c>
      <c r="R9950" t="str">
        <f t="shared" si="1653"/>
        <v/>
      </c>
      <c r="S9950" t="str">
        <f t="shared" si="1654"/>
        <v/>
      </c>
      <c r="T9950" t="str">
        <f t="shared" si="1655"/>
        <v/>
      </c>
      <c r="U9950" t="str">
        <f t="shared" si="1656"/>
        <v/>
      </c>
      <c r="V9950" t="str">
        <f t="shared" si="1657"/>
        <v/>
      </c>
      <c r="W9950" t="str">
        <f t="shared" si="1658"/>
        <v/>
      </c>
      <c r="X9950">
        <f t="shared" si="1648"/>
        <v>0</v>
      </c>
      <c r="Z9950" t="str">
        <f t="shared" si="1659"/>
        <v/>
      </c>
      <c r="AA9950">
        <f t="shared" si="1649"/>
        <v>0</v>
      </c>
    </row>
    <row r="9951" spans="1:27" ht="21" customHeight="1" x14ac:dyDescent="0.95">
      <c r="A9951" s="56"/>
      <c r="B9951" s="57"/>
      <c r="C9951" s="57"/>
      <c r="D9951" s="57"/>
      <c r="E9951" s="56"/>
      <c r="F9951" s="57"/>
      <c r="G9951" s="57"/>
      <c r="H9951" s="56"/>
      <c r="I9951" s="56"/>
      <c r="J9951" s="58"/>
      <c r="K9951" s="58"/>
      <c r="L9951" s="13" t="str">
        <f t="shared" si="1650"/>
        <v/>
      </c>
      <c r="M9951" s="13" t="str">
        <f t="shared" si="1651"/>
        <v/>
      </c>
      <c r="Q9951" t="str">
        <f t="shared" si="1652"/>
        <v/>
      </c>
      <c r="R9951" t="str">
        <f t="shared" si="1653"/>
        <v/>
      </c>
      <c r="S9951" t="str">
        <f t="shared" si="1654"/>
        <v/>
      </c>
      <c r="T9951" t="str">
        <f t="shared" si="1655"/>
        <v/>
      </c>
      <c r="U9951" t="str">
        <f t="shared" si="1656"/>
        <v/>
      </c>
      <c r="V9951" t="str">
        <f t="shared" si="1657"/>
        <v/>
      </c>
      <c r="W9951" t="str">
        <f t="shared" si="1658"/>
        <v/>
      </c>
      <c r="X9951">
        <f t="shared" si="1648"/>
        <v>0</v>
      </c>
      <c r="Z9951" t="str">
        <f t="shared" si="1659"/>
        <v/>
      </c>
      <c r="AA9951">
        <f t="shared" si="1649"/>
        <v>0</v>
      </c>
    </row>
    <row r="9952" spans="1:27" ht="21" customHeight="1" x14ac:dyDescent="0.95">
      <c r="A9952" s="56"/>
      <c r="B9952" s="57"/>
      <c r="C9952" s="57"/>
      <c r="D9952" s="57"/>
      <c r="E9952" s="56"/>
      <c r="F9952" s="57"/>
      <c r="G9952" s="57"/>
      <c r="H9952" s="56"/>
      <c r="I9952" s="56"/>
      <c r="J9952" s="58"/>
      <c r="K9952" s="58"/>
      <c r="L9952" s="13" t="str">
        <f t="shared" si="1650"/>
        <v/>
      </c>
      <c r="M9952" s="13" t="str">
        <f t="shared" si="1651"/>
        <v/>
      </c>
      <c r="Q9952" t="str">
        <f t="shared" si="1652"/>
        <v/>
      </c>
      <c r="R9952" t="str">
        <f t="shared" si="1653"/>
        <v/>
      </c>
      <c r="S9952" t="str">
        <f t="shared" si="1654"/>
        <v/>
      </c>
      <c r="T9952" t="str">
        <f t="shared" si="1655"/>
        <v/>
      </c>
      <c r="U9952" t="str">
        <f t="shared" si="1656"/>
        <v/>
      </c>
      <c r="V9952" t="str">
        <f t="shared" si="1657"/>
        <v/>
      </c>
      <c r="W9952" t="str">
        <f t="shared" si="1658"/>
        <v/>
      </c>
      <c r="X9952">
        <f t="shared" si="1648"/>
        <v>0</v>
      </c>
      <c r="Z9952" t="str">
        <f t="shared" si="1659"/>
        <v/>
      </c>
      <c r="AA9952">
        <f t="shared" si="1649"/>
        <v>0</v>
      </c>
    </row>
    <row r="9953" spans="1:27" ht="21" customHeight="1" x14ac:dyDescent="0.95">
      <c r="A9953" s="56"/>
      <c r="B9953" s="57"/>
      <c r="C9953" s="57"/>
      <c r="D9953" s="57"/>
      <c r="E9953" s="56"/>
      <c r="F9953" s="57"/>
      <c r="G9953" s="57"/>
      <c r="H9953" s="56"/>
      <c r="I9953" s="56"/>
      <c r="J9953" s="58"/>
      <c r="K9953" s="58"/>
      <c r="L9953" s="13" t="str">
        <f t="shared" si="1650"/>
        <v/>
      </c>
      <c r="M9953" s="13" t="str">
        <f t="shared" si="1651"/>
        <v/>
      </c>
      <c r="Q9953" t="str">
        <f t="shared" si="1652"/>
        <v/>
      </c>
      <c r="R9953" t="str">
        <f t="shared" si="1653"/>
        <v/>
      </c>
      <c r="S9953" t="str">
        <f t="shared" si="1654"/>
        <v/>
      </c>
      <c r="T9953" t="str">
        <f t="shared" si="1655"/>
        <v/>
      </c>
      <c r="U9953" t="str">
        <f t="shared" si="1656"/>
        <v/>
      </c>
      <c r="V9953" t="str">
        <f t="shared" si="1657"/>
        <v/>
      </c>
      <c r="W9953" t="str">
        <f t="shared" si="1658"/>
        <v/>
      </c>
      <c r="X9953">
        <f t="shared" si="1648"/>
        <v>0</v>
      </c>
      <c r="Z9953" t="str">
        <f t="shared" si="1659"/>
        <v/>
      </c>
      <c r="AA9953">
        <f t="shared" si="1649"/>
        <v>0</v>
      </c>
    </row>
    <row r="9954" spans="1:27" ht="21" customHeight="1" x14ac:dyDescent="0.95">
      <c r="A9954" s="56"/>
      <c r="B9954" s="57"/>
      <c r="C9954" s="57"/>
      <c r="D9954" s="57"/>
      <c r="E9954" s="56"/>
      <c r="F9954" s="57"/>
      <c r="G9954" s="57"/>
      <c r="H9954" s="56"/>
      <c r="I9954" s="56"/>
      <c r="J9954" s="58"/>
      <c r="K9954" s="58"/>
      <c r="L9954" s="13" t="str">
        <f t="shared" si="1650"/>
        <v/>
      </c>
      <c r="M9954" s="13" t="str">
        <f t="shared" si="1651"/>
        <v/>
      </c>
      <c r="Q9954" t="str">
        <f t="shared" si="1652"/>
        <v/>
      </c>
      <c r="R9954" t="str">
        <f t="shared" si="1653"/>
        <v/>
      </c>
      <c r="S9954" t="str">
        <f t="shared" si="1654"/>
        <v/>
      </c>
      <c r="T9954" t="str">
        <f t="shared" si="1655"/>
        <v/>
      </c>
      <c r="U9954" t="str">
        <f t="shared" si="1656"/>
        <v/>
      </c>
      <c r="V9954" t="str">
        <f t="shared" si="1657"/>
        <v/>
      </c>
      <c r="W9954" t="str">
        <f t="shared" si="1658"/>
        <v/>
      </c>
      <c r="X9954">
        <f t="shared" si="1648"/>
        <v>0</v>
      </c>
      <c r="Z9954" t="str">
        <f t="shared" si="1659"/>
        <v/>
      </c>
      <c r="AA9954">
        <f t="shared" si="1649"/>
        <v>0</v>
      </c>
    </row>
    <row r="9955" spans="1:27" ht="21" customHeight="1" x14ac:dyDescent="0.95">
      <c r="A9955" s="56"/>
      <c r="B9955" s="57"/>
      <c r="C9955" s="57"/>
      <c r="D9955" s="57"/>
      <c r="E9955" s="56"/>
      <c r="F9955" s="57"/>
      <c r="G9955" s="57"/>
      <c r="H9955" s="56"/>
      <c r="I9955" s="56"/>
      <c r="J9955" s="58"/>
      <c r="K9955" s="58"/>
      <c r="L9955" s="13" t="str">
        <f t="shared" si="1650"/>
        <v/>
      </c>
      <c r="M9955" s="13" t="str">
        <f t="shared" si="1651"/>
        <v/>
      </c>
      <c r="Q9955" t="str">
        <f t="shared" si="1652"/>
        <v/>
      </c>
      <c r="R9955" t="str">
        <f t="shared" si="1653"/>
        <v/>
      </c>
      <c r="S9955" t="str">
        <f t="shared" si="1654"/>
        <v/>
      </c>
      <c r="T9955" t="str">
        <f t="shared" si="1655"/>
        <v/>
      </c>
      <c r="U9955" t="str">
        <f t="shared" si="1656"/>
        <v/>
      </c>
      <c r="V9955" t="str">
        <f t="shared" si="1657"/>
        <v/>
      </c>
      <c r="W9955" t="str">
        <f t="shared" si="1658"/>
        <v/>
      </c>
      <c r="X9955">
        <f t="shared" si="1648"/>
        <v>0</v>
      </c>
      <c r="Z9955" t="str">
        <f t="shared" si="1659"/>
        <v/>
      </c>
      <c r="AA9955">
        <f t="shared" si="1649"/>
        <v>0</v>
      </c>
    </row>
    <row r="9956" spans="1:27" ht="21" customHeight="1" x14ac:dyDescent="0.95">
      <c r="A9956" s="56"/>
      <c r="B9956" s="57"/>
      <c r="C9956" s="57"/>
      <c r="D9956" s="57"/>
      <c r="E9956" s="56"/>
      <c r="F9956" s="57"/>
      <c r="G9956" s="57"/>
      <c r="H9956" s="56"/>
      <c r="I9956" s="56"/>
      <c r="J9956" s="58"/>
      <c r="K9956" s="58"/>
      <c r="L9956" s="13" t="str">
        <f t="shared" si="1650"/>
        <v/>
      </c>
      <c r="M9956" s="13" t="str">
        <f t="shared" si="1651"/>
        <v/>
      </c>
      <c r="Q9956" t="str">
        <f t="shared" si="1652"/>
        <v/>
      </c>
      <c r="R9956" t="str">
        <f t="shared" si="1653"/>
        <v/>
      </c>
      <c r="S9956" t="str">
        <f t="shared" si="1654"/>
        <v/>
      </c>
      <c r="T9956" t="str">
        <f t="shared" si="1655"/>
        <v/>
      </c>
      <c r="U9956" t="str">
        <f t="shared" si="1656"/>
        <v/>
      </c>
      <c r="V9956" t="str">
        <f t="shared" si="1657"/>
        <v/>
      </c>
      <c r="W9956" t="str">
        <f t="shared" si="1658"/>
        <v/>
      </c>
      <c r="X9956">
        <f t="shared" si="1648"/>
        <v>0</v>
      </c>
      <c r="Z9956" t="str">
        <f t="shared" si="1659"/>
        <v/>
      </c>
      <c r="AA9956">
        <f t="shared" si="1649"/>
        <v>0</v>
      </c>
    </row>
    <row r="9957" spans="1:27" ht="21" customHeight="1" x14ac:dyDescent="0.95">
      <c r="A9957" s="56"/>
      <c r="B9957" s="57"/>
      <c r="C9957" s="57"/>
      <c r="D9957" s="57"/>
      <c r="E9957" s="56"/>
      <c r="F9957" s="57"/>
      <c r="G9957" s="57"/>
      <c r="H9957" s="56"/>
      <c r="I9957" s="56"/>
      <c r="J9957" s="58"/>
      <c r="K9957" s="58"/>
      <c r="L9957" s="13" t="str">
        <f t="shared" si="1650"/>
        <v/>
      </c>
      <c r="M9957" s="13" t="str">
        <f t="shared" si="1651"/>
        <v/>
      </c>
      <c r="Q9957" t="str">
        <f t="shared" si="1652"/>
        <v/>
      </c>
      <c r="R9957" t="str">
        <f t="shared" si="1653"/>
        <v/>
      </c>
      <c r="S9957" t="str">
        <f t="shared" si="1654"/>
        <v/>
      </c>
      <c r="T9957" t="str">
        <f t="shared" si="1655"/>
        <v/>
      </c>
      <c r="U9957" t="str">
        <f t="shared" si="1656"/>
        <v/>
      </c>
      <c r="V9957" t="str">
        <f t="shared" si="1657"/>
        <v/>
      </c>
      <c r="W9957" t="str">
        <f t="shared" si="1658"/>
        <v/>
      </c>
      <c r="X9957">
        <f t="shared" si="1648"/>
        <v>0</v>
      </c>
      <c r="Z9957" t="str">
        <f t="shared" si="1659"/>
        <v/>
      </c>
      <c r="AA9957">
        <f t="shared" si="1649"/>
        <v>0</v>
      </c>
    </row>
    <row r="9958" spans="1:27" ht="21" customHeight="1" x14ac:dyDescent="0.95">
      <c r="A9958" s="56"/>
      <c r="B9958" s="57"/>
      <c r="C9958" s="57"/>
      <c r="D9958" s="57"/>
      <c r="E9958" s="56"/>
      <c r="F9958" s="57"/>
      <c r="G9958" s="57"/>
      <c r="H9958" s="56"/>
      <c r="I9958" s="56"/>
      <c r="J9958" s="58"/>
      <c r="K9958" s="58"/>
      <c r="L9958" s="13" t="str">
        <f t="shared" si="1650"/>
        <v/>
      </c>
      <c r="M9958" s="13" t="str">
        <f t="shared" si="1651"/>
        <v/>
      </c>
      <c r="Q9958" t="str">
        <f t="shared" si="1652"/>
        <v/>
      </c>
      <c r="R9958" t="str">
        <f t="shared" si="1653"/>
        <v/>
      </c>
      <c r="S9958" t="str">
        <f t="shared" si="1654"/>
        <v/>
      </c>
      <c r="T9958" t="str">
        <f t="shared" si="1655"/>
        <v/>
      </c>
      <c r="U9958" t="str">
        <f t="shared" si="1656"/>
        <v/>
      </c>
      <c r="V9958" t="str">
        <f t="shared" si="1657"/>
        <v/>
      </c>
      <c r="W9958" t="str">
        <f t="shared" si="1658"/>
        <v/>
      </c>
      <c r="X9958">
        <f t="shared" si="1648"/>
        <v>0</v>
      </c>
      <c r="Z9958" t="str">
        <f t="shared" si="1659"/>
        <v/>
      </c>
      <c r="AA9958">
        <f t="shared" si="1649"/>
        <v>0</v>
      </c>
    </row>
    <row r="9959" spans="1:27" ht="21" customHeight="1" x14ac:dyDescent="0.95">
      <c r="A9959" s="56"/>
      <c r="B9959" s="57"/>
      <c r="C9959" s="57"/>
      <c r="D9959" s="57"/>
      <c r="E9959" s="56"/>
      <c r="F9959" s="57"/>
      <c r="G9959" s="57"/>
      <c r="H9959" s="56"/>
      <c r="I9959" s="56"/>
      <c r="J9959" s="58"/>
      <c r="K9959" s="58"/>
      <c r="L9959" s="13" t="str">
        <f t="shared" si="1650"/>
        <v/>
      </c>
      <c r="M9959" s="13" t="str">
        <f t="shared" si="1651"/>
        <v/>
      </c>
      <c r="Q9959" t="str">
        <f t="shared" si="1652"/>
        <v/>
      </c>
      <c r="R9959" t="str">
        <f t="shared" si="1653"/>
        <v/>
      </c>
      <c r="S9959" t="str">
        <f t="shared" si="1654"/>
        <v/>
      </c>
      <c r="T9959" t="str">
        <f t="shared" si="1655"/>
        <v/>
      </c>
      <c r="U9959" t="str">
        <f t="shared" si="1656"/>
        <v/>
      </c>
      <c r="V9959" t="str">
        <f t="shared" si="1657"/>
        <v/>
      </c>
      <c r="W9959" t="str">
        <f t="shared" si="1658"/>
        <v/>
      </c>
      <c r="X9959">
        <f t="shared" si="1648"/>
        <v>0</v>
      </c>
      <c r="Z9959" t="str">
        <f t="shared" si="1659"/>
        <v/>
      </c>
      <c r="AA9959">
        <f t="shared" si="1649"/>
        <v>0</v>
      </c>
    </row>
    <row r="9960" spans="1:27" ht="21" customHeight="1" x14ac:dyDescent="0.95">
      <c r="A9960" s="56"/>
      <c r="B9960" s="57"/>
      <c r="C9960" s="57"/>
      <c r="D9960" s="57"/>
      <c r="E9960" s="56"/>
      <c r="F9960" s="57"/>
      <c r="G9960" s="57"/>
      <c r="H9960" s="56"/>
      <c r="I9960" s="56"/>
      <c r="J9960" s="58"/>
      <c r="K9960" s="58"/>
      <c r="L9960" s="13" t="str">
        <f t="shared" si="1650"/>
        <v/>
      </c>
      <c r="M9960" s="13" t="str">
        <f t="shared" si="1651"/>
        <v/>
      </c>
      <c r="Q9960" t="str">
        <f t="shared" si="1652"/>
        <v/>
      </c>
      <c r="R9960" t="str">
        <f t="shared" si="1653"/>
        <v/>
      </c>
      <c r="S9960" t="str">
        <f t="shared" si="1654"/>
        <v/>
      </c>
      <c r="T9960" t="str">
        <f t="shared" si="1655"/>
        <v/>
      </c>
      <c r="U9960" t="str">
        <f t="shared" si="1656"/>
        <v/>
      </c>
      <c r="V9960" t="str">
        <f t="shared" si="1657"/>
        <v/>
      </c>
      <c r="W9960" t="str">
        <f t="shared" si="1658"/>
        <v/>
      </c>
      <c r="X9960">
        <f t="shared" si="1648"/>
        <v>0</v>
      </c>
      <c r="Z9960" t="str">
        <f t="shared" si="1659"/>
        <v/>
      </c>
      <c r="AA9960">
        <f t="shared" si="1649"/>
        <v>0</v>
      </c>
    </row>
    <row r="9961" spans="1:27" ht="21" customHeight="1" x14ac:dyDescent="0.95">
      <c r="A9961" s="56"/>
      <c r="B9961" s="57"/>
      <c r="C9961" s="57"/>
      <c r="D9961" s="57"/>
      <c r="E9961" s="56"/>
      <c r="F9961" s="57"/>
      <c r="G9961" s="57"/>
      <c r="H9961" s="56"/>
      <c r="I9961" s="56"/>
      <c r="J9961" s="58"/>
      <c r="K9961" s="58"/>
      <c r="L9961" s="13" t="str">
        <f t="shared" si="1650"/>
        <v/>
      </c>
      <c r="M9961" s="13" t="str">
        <f t="shared" si="1651"/>
        <v/>
      </c>
      <c r="Q9961" t="str">
        <f t="shared" si="1652"/>
        <v/>
      </c>
      <c r="R9961" t="str">
        <f t="shared" si="1653"/>
        <v/>
      </c>
      <c r="S9961" t="str">
        <f t="shared" si="1654"/>
        <v/>
      </c>
      <c r="T9961" t="str">
        <f t="shared" si="1655"/>
        <v/>
      </c>
      <c r="U9961" t="str">
        <f t="shared" si="1656"/>
        <v/>
      </c>
      <c r="V9961" t="str">
        <f t="shared" si="1657"/>
        <v/>
      </c>
      <c r="W9961" t="str">
        <f t="shared" si="1658"/>
        <v/>
      </c>
      <c r="X9961">
        <f t="shared" si="1648"/>
        <v>0</v>
      </c>
      <c r="Z9961" t="str">
        <f t="shared" si="1659"/>
        <v/>
      </c>
      <c r="AA9961">
        <f t="shared" si="1649"/>
        <v>0</v>
      </c>
    </row>
    <row r="9962" spans="1:27" ht="21" customHeight="1" x14ac:dyDescent="0.95">
      <c r="A9962" s="56"/>
      <c r="B9962" s="57"/>
      <c r="C9962" s="57"/>
      <c r="D9962" s="57"/>
      <c r="E9962" s="56"/>
      <c r="F9962" s="57"/>
      <c r="G9962" s="57"/>
      <c r="H9962" s="56"/>
      <c r="I9962" s="56"/>
      <c r="J9962" s="58"/>
      <c r="K9962" s="58"/>
      <c r="L9962" s="13" t="str">
        <f t="shared" si="1650"/>
        <v/>
      </c>
      <c r="M9962" s="13" t="str">
        <f t="shared" si="1651"/>
        <v/>
      </c>
      <c r="Q9962" t="str">
        <f t="shared" si="1652"/>
        <v/>
      </c>
      <c r="R9962" t="str">
        <f t="shared" si="1653"/>
        <v/>
      </c>
      <c r="S9962" t="str">
        <f t="shared" si="1654"/>
        <v/>
      </c>
      <c r="T9962" t="str">
        <f t="shared" si="1655"/>
        <v/>
      </c>
      <c r="U9962" t="str">
        <f t="shared" si="1656"/>
        <v/>
      </c>
      <c r="V9962" t="str">
        <f t="shared" si="1657"/>
        <v/>
      </c>
      <c r="W9962" t="str">
        <f t="shared" si="1658"/>
        <v/>
      </c>
      <c r="X9962">
        <f t="shared" si="1648"/>
        <v>0</v>
      </c>
      <c r="Z9962" t="str">
        <f t="shared" si="1659"/>
        <v/>
      </c>
      <c r="AA9962">
        <f t="shared" si="1649"/>
        <v>0</v>
      </c>
    </row>
    <row r="9963" spans="1:27" ht="21" customHeight="1" x14ac:dyDescent="0.95">
      <c r="A9963" s="56"/>
      <c r="B9963" s="57"/>
      <c r="C9963" s="57"/>
      <c r="D9963" s="57"/>
      <c r="E9963" s="56"/>
      <c r="F9963" s="57"/>
      <c r="G9963" s="57"/>
      <c r="H9963" s="56"/>
      <c r="I9963" s="56"/>
      <c r="J9963" s="58"/>
      <c r="K9963" s="58"/>
      <c r="L9963" s="13" t="str">
        <f t="shared" si="1650"/>
        <v/>
      </c>
      <c r="M9963" s="13" t="str">
        <f t="shared" si="1651"/>
        <v/>
      </c>
      <c r="Q9963" t="str">
        <f t="shared" si="1652"/>
        <v/>
      </c>
      <c r="R9963" t="str">
        <f t="shared" si="1653"/>
        <v/>
      </c>
      <c r="S9963" t="str">
        <f t="shared" si="1654"/>
        <v/>
      </c>
      <c r="T9963" t="str">
        <f t="shared" si="1655"/>
        <v/>
      </c>
      <c r="U9963" t="str">
        <f t="shared" si="1656"/>
        <v/>
      </c>
      <c r="V9963" t="str">
        <f t="shared" si="1657"/>
        <v/>
      </c>
      <c r="W9963" t="str">
        <f t="shared" si="1658"/>
        <v/>
      </c>
      <c r="X9963">
        <f t="shared" si="1648"/>
        <v>0</v>
      </c>
      <c r="Z9963" t="str">
        <f t="shared" si="1659"/>
        <v/>
      </c>
      <c r="AA9963">
        <f t="shared" si="1649"/>
        <v>0</v>
      </c>
    </row>
    <row r="9964" spans="1:27" ht="21" customHeight="1" x14ac:dyDescent="0.95">
      <c r="A9964" s="56"/>
      <c r="B9964" s="57"/>
      <c r="C9964" s="57"/>
      <c r="D9964" s="57"/>
      <c r="E9964" s="56"/>
      <c r="F9964" s="57"/>
      <c r="G9964" s="57"/>
      <c r="H9964" s="56"/>
      <c r="I9964" s="56"/>
      <c r="J9964" s="58"/>
      <c r="K9964" s="58"/>
      <c r="L9964" s="13" t="str">
        <f t="shared" si="1650"/>
        <v/>
      </c>
      <c r="M9964" s="13" t="str">
        <f t="shared" si="1651"/>
        <v/>
      </c>
      <c r="Q9964" t="str">
        <f t="shared" si="1652"/>
        <v/>
      </c>
      <c r="R9964" t="str">
        <f t="shared" si="1653"/>
        <v/>
      </c>
      <c r="S9964" t="str">
        <f t="shared" si="1654"/>
        <v/>
      </c>
      <c r="T9964" t="str">
        <f t="shared" si="1655"/>
        <v/>
      </c>
      <c r="U9964" t="str">
        <f t="shared" si="1656"/>
        <v/>
      </c>
      <c r="V9964" t="str">
        <f t="shared" si="1657"/>
        <v/>
      </c>
      <c r="W9964" t="str">
        <f t="shared" si="1658"/>
        <v/>
      </c>
      <c r="X9964">
        <f t="shared" si="1648"/>
        <v>0</v>
      </c>
      <c r="Z9964" t="str">
        <f t="shared" si="1659"/>
        <v/>
      </c>
      <c r="AA9964">
        <f t="shared" si="1649"/>
        <v>0</v>
      </c>
    </row>
    <row r="9965" spans="1:27" ht="21" customHeight="1" x14ac:dyDescent="0.95">
      <c r="A9965" s="56"/>
      <c r="B9965" s="57"/>
      <c r="C9965" s="57"/>
      <c r="D9965" s="57"/>
      <c r="E9965" s="56"/>
      <c r="F9965" s="57"/>
      <c r="G9965" s="57"/>
      <c r="H9965" s="56"/>
      <c r="I9965" s="56"/>
      <c r="J9965" s="58"/>
      <c r="K9965" s="58"/>
      <c r="L9965" s="13" t="str">
        <f t="shared" si="1650"/>
        <v/>
      </c>
      <c r="M9965" s="13" t="str">
        <f t="shared" si="1651"/>
        <v/>
      </c>
      <c r="Q9965" t="str">
        <f t="shared" si="1652"/>
        <v/>
      </c>
      <c r="R9965" t="str">
        <f t="shared" si="1653"/>
        <v/>
      </c>
      <c r="S9965" t="str">
        <f t="shared" si="1654"/>
        <v/>
      </c>
      <c r="T9965" t="str">
        <f t="shared" si="1655"/>
        <v/>
      </c>
      <c r="U9965" t="str">
        <f t="shared" si="1656"/>
        <v/>
      </c>
      <c r="V9965" t="str">
        <f t="shared" si="1657"/>
        <v/>
      </c>
      <c r="W9965" t="str">
        <f t="shared" si="1658"/>
        <v/>
      </c>
      <c r="X9965">
        <f t="shared" si="1648"/>
        <v>0</v>
      </c>
      <c r="Z9965" t="str">
        <f t="shared" si="1659"/>
        <v/>
      </c>
      <c r="AA9965">
        <f t="shared" si="1649"/>
        <v>0</v>
      </c>
    </row>
    <row r="9966" spans="1:27" ht="21" customHeight="1" x14ac:dyDescent="0.95">
      <c r="A9966" s="56"/>
      <c r="B9966" s="57"/>
      <c r="C9966" s="57"/>
      <c r="D9966" s="57"/>
      <c r="E9966" s="56"/>
      <c r="F9966" s="57"/>
      <c r="G9966" s="57"/>
      <c r="H9966" s="56"/>
      <c r="I9966" s="56"/>
      <c r="J9966" s="58"/>
      <c r="K9966" s="58"/>
      <c r="L9966" s="13" t="str">
        <f t="shared" si="1650"/>
        <v/>
      </c>
      <c r="M9966" s="13" t="str">
        <f t="shared" si="1651"/>
        <v/>
      </c>
      <c r="Q9966" t="str">
        <f t="shared" si="1652"/>
        <v/>
      </c>
      <c r="R9966" t="str">
        <f t="shared" si="1653"/>
        <v/>
      </c>
      <c r="S9966" t="str">
        <f t="shared" si="1654"/>
        <v/>
      </c>
      <c r="T9966" t="str">
        <f t="shared" si="1655"/>
        <v/>
      </c>
      <c r="U9966" t="str">
        <f t="shared" si="1656"/>
        <v/>
      </c>
      <c r="V9966" t="str">
        <f t="shared" si="1657"/>
        <v/>
      </c>
      <c r="W9966" t="str">
        <f t="shared" si="1658"/>
        <v/>
      </c>
      <c r="X9966">
        <f t="shared" si="1648"/>
        <v>0</v>
      </c>
      <c r="Z9966" t="str">
        <f t="shared" si="1659"/>
        <v/>
      </c>
      <c r="AA9966">
        <f t="shared" si="1649"/>
        <v>0</v>
      </c>
    </row>
    <row r="9967" spans="1:27" ht="21" customHeight="1" x14ac:dyDescent="0.95">
      <c r="A9967" s="56"/>
      <c r="B9967" s="57"/>
      <c r="C9967" s="57"/>
      <c r="D9967" s="57"/>
      <c r="E9967" s="56"/>
      <c r="F9967" s="57"/>
      <c r="G9967" s="57"/>
      <c r="H9967" s="56"/>
      <c r="I9967" s="56"/>
      <c r="J9967" s="58"/>
      <c r="K9967" s="58"/>
      <c r="L9967" s="13" t="str">
        <f t="shared" si="1650"/>
        <v/>
      </c>
      <c r="M9967" s="13" t="str">
        <f t="shared" si="1651"/>
        <v/>
      </c>
      <c r="Q9967" t="str">
        <f t="shared" si="1652"/>
        <v/>
      </c>
      <c r="R9967" t="str">
        <f t="shared" si="1653"/>
        <v/>
      </c>
      <c r="S9967" t="str">
        <f t="shared" si="1654"/>
        <v/>
      </c>
      <c r="T9967" t="str">
        <f t="shared" si="1655"/>
        <v/>
      </c>
      <c r="U9967" t="str">
        <f t="shared" si="1656"/>
        <v/>
      </c>
      <c r="V9967" t="str">
        <f t="shared" si="1657"/>
        <v/>
      </c>
      <c r="W9967" t="str">
        <f t="shared" si="1658"/>
        <v/>
      </c>
      <c r="X9967">
        <f t="shared" si="1648"/>
        <v>0</v>
      </c>
      <c r="Z9967" t="str">
        <f t="shared" si="1659"/>
        <v/>
      </c>
      <c r="AA9967">
        <f t="shared" si="1649"/>
        <v>0</v>
      </c>
    </row>
    <row r="9968" spans="1:27" ht="21" customHeight="1" x14ac:dyDescent="0.95">
      <c r="A9968" s="56"/>
      <c r="B9968" s="57"/>
      <c r="C9968" s="57"/>
      <c r="D9968" s="57"/>
      <c r="E9968" s="56"/>
      <c r="F9968" s="57"/>
      <c r="G9968" s="57"/>
      <c r="H9968" s="56"/>
      <c r="I9968" s="56"/>
      <c r="J9968" s="58"/>
      <c r="K9968" s="58"/>
      <c r="L9968" s="13" t="str">
        <f t="shared" si="1650"/>
        <v/>
      </c>
      <c r="M9968" s="13" t="str">
        <f t="shared" si="1651"/>
        <v/>
      </c>
      <c r="Q9968" t="str">
        <f t="shared" si="1652"/>
        <v/>
      </c>
      <c r="R9968" t="str">
        <f t="shared" si="1653"/>
        <v/>
      </c>
      <c r="S9968" t="str">
        <f t="shared" si="1654"/>
        <v/>
      </c>
      <c r="T9968" t="str">
        <f t="shared" si="1655"/>
        <v/>
      </c>
      <c r="U9968" t="str">
        <f t="shared" si="1656"/>
        <v/>
      </c>
      <c r="V9968" t="str">
        <f t="shared" si="1657"/>
        <v/>
      </c>
      <c r="W9968" t="str">
        <f t="shared" si="1658"/>
        <v/>
      </c>
      <c r="X9968">
        <f t="shared" si="1648"/>
        <v>0</v>
      </c>
      <c r="Z9968" t="str">
        <f t="shared" si="1659"/>
        <v/>
      </c>
      <c r="AA9968">
        <f t="shared" si="1649"/>
        <v>0</v>
      </c>
    </row>
    <row r="9969" spans="1:27" ht="21" customHeight="1" x14ac:dyDescent="0.95">
      <c r="A9969" s="56"/>
      <c r="B9969" s="57"/>
      <c r="C9969" s="57"/>
      <c r="D9969" s="57"/>
      <c r="E9969" s="56"/>
      <c r="F9969" s="57"/>
      <c r="G9969" s="57"/>
      <c r="H9969" s="56"/>
      <c r="I9969" s="56"/>
      <c r="J9969" s="58"/>
      <c r="K9969" s="58"/>
      <c r="L9969" s="13" t="str">
        <f t="shared" si="1650"/>
        <v/>
      </c>
      <c r="M9969" s="13" t="str">
        <f t="shared" si="1651"/>
        <v/>
      </c>
      <c r="Q9969" t="str">
        <f t="shared" si="1652"/>
        <v/>
      </c>
      <c r="R9969" t="str">
        <f t="shared" si="1653"/>
        <v/>
      </c>
      <c r="S9969" t="str">
        <f t="shared" si="1654"/>
        <v/>
      </c>
      <c r="T9969" t="str">
        <f t="shared" si="1655"/>
        <v/>
      </c>
      <c r="U9969" t="str">
        <f t="shared" si="1656"/>
        <v/>
      </c>
      <c r="V9969" t="str">
        <f t="shared" si="1657"/>
        <v/>
      </c>
      <c r="W9969" t="str">
        <f t="shared" si="1658"/>
        <v/>
      </c>
      <c r="X9969">
        <f t="shared" si="1648"/>
        <v>0</v>
      </c>
      <c r="Z9969" t="str">
        <f t="shared" si="1659"/>
        <v/>
      </c>
      <c r="AA9969">
        <f t="shared" si="1649"/>
        <v>0</v>
      </c>
    </row>
    <row r="9970" spans="1:27" ht="21" customHeight="1" x14ac:dyDescent="0.95">
      <c r="A9970" s="56"/>
      <c r="B9970" s="57"/>
      <c r="C9970" s="57"/>
      <c r="D9970" s="57"/>
      <c r="E9970" s="56"/>
      <c r="F9970" s="57"/>
      <c r="G9970" s="57"/>
      <c r="H9970" s="56"/>
      <c r="I9970" s="56"/>
      <c r="J9970" s="58"/>
      <c r="K9970" s="58"/>
      <c r="L9970" s="13" t="str">
        <f t="shared" si="1650"/>
        <v/>
      </c>
      <c r="M9970" s="13" t="str">
        <f t="shared" si="1651"/>
        <v/>
      </c>
      <c r="Q9970" t="str">
        <f t="shared" si="1652"/>
        <v/>
      </c>
      <c r="R9970" t="str">
        <f t="shared" si="1653"/>
        <v/>
      </c>
      <c r="S9970" t="str">
        <f t="shared" si="1654"/>
        <v/>
      </c>
      <c r="T9970" t="str">
        <f t="shared" si="1655"/>
        <v/>
      </c>
      <c r="U9970" t="str">
        <f t="shared" si="1656"/>
        <v/>
      </c>
      <c r="V9970" t="str">
        <f t="shared" si="1657"/>
        <v/>
      </c>
      <c r="W9970" t="str">
        <f t="shared" si="1658"/>
        <v/>
      </c>
      <c r="X9970">
        <f t="shared" si="1648"/>
        <v>0</v>
      </c>
      <c r="Z9970" t="str">
        <f t="shared" si="1659"/>
        <v/>
      </c>
      <c r="AA9970">
        <f t="shared" si="1649"/>
        <v>0</v>
      </c>
    </row>
    <row r="9971" spans="1:27" ht="21" customHeight="1" x14ac:dyDescent="0.95">
      <c r="A9971" s="56"/>
      <c r="B9971" s="57"/>
      <c r="C9971" s="57"/>
      <c r="D9971" s="57"/>
      <c r="E9971" s="56"/>
      <c r="F9971" s="57"/>
      <c r="G9971" s="57"/>
      <c r="H9971" s="56"/>
      <c r="I9971" s="56"/>
      <c r="J9971" s="58"/>
      <c r="K9971" s="58"/>
      <c r="L9971" s="13" t="str">
        <f t="shared" si="1650"/>
        <v/>
      </c>
      <c r="M9971" s="13" t="str">
        <f t="shared" si="1651"/>
        <v/>
      </c>
      <c r="Q9971" t="str">
        <f t="shared" si="1652"/>
        <v/>
      </c>
      <c r="R9971" t="str">
        <f t="shared" si="1653"/>
        <v/>
      </c>
      <c r="S9971" t="str">
        <f t="shared" si="1654"/>
        <v/>
      </c>
      <c r="T9971" t="str">
        <f t="shared" si="1655"/>
        <v/>
      </c>
      <c r="U9971" t="str">
        <f t="shared" si="1656"/>
        <v/>
      </c>
      <c r="V9971" t="str">
        <f t="shared" si="1657"/>
        <v/>
      </c>
      <c r="W9971" t="str">
        <f t="shared" si="1658"/>
        <v/>
      </c>
      <c r="X9971">
        <f t="shared" si="1648"/>
        <v>0</v>
      </c>
      <c r="Z9971" t="str">
        <f t="shared" si="1659"/>
        <v/>
      </c>
      <c r="AA9971">
        <f t="shared" si="1649"/>
        <v>0</v>
      </c>
    </row>
    <row r="9972" spans="1:27" ht="21" customHeight="1" x14ac:dyDescent="0.95">
      <c r="A9972" s="56"/>
      <c r="B9972" s="57"/>
      <c r="C9972" s="57"/>
      <c r="D9972" s="57"/>
      <c r="E9972" s="56"/>
      <c r="F9972" s="57"/>
      <c r="G9972" s="57"/>
      <c r="H9972" s="56"/>
      <c r="I9972" s="56"/>
      <c r="J9972" s="58"/>
      <c r="K9972" s="58"/>
      <c r="L9972" s="13" t="str">
        <f t="shared" si="1650"/>
        <v/>
      </c>
      <c r="M9972" s="13" t="str">
        <f t="shared" si="1651"/>
        <v/>
      </c>
      <c r="Q9972" t="str">
        <f t="shared" si="1652"/>
        <v/>
      </c>
      <c r="R9972" t="str">
        <f t="shared" si="1653"/>
        <v/>
      </c>
      <c r="S9972" t="str">
        <f t="shared" si="1654"/>
        <v/>
      </c>
      <c r="T9972" t="str">
        <f t="shared" si="1655"/>
        <v/>
      </c>
      <c r="U9972" t="str">
        <f t="shared" si="1656"/>
        <v/>
      </c>
      <c r="V9972" t="str">
        <f t="shared" si="1657"/>
        <v/>
      </c>
      <c r="W9972" t="str">
        <f t="shared" si="1658"/>
        <v/>
      </c>
      <c r="X9972">
        <f t="shared" si="1648"/>
        <v>0</v>
      </c>
      <c r="Z9972" t="str">
        <f t="shared" si="1659"/>
        <v/>
      </c>
      <c r="AA9972">
        <f t="shared" si="1649"/>
        <v>0</v>
      </c>
    </row>
    <row r="9973" spans="1:27" ht="21" customHeight="1" x14ac:dyDescent="0.95">
      <c r="A9973" s="56"/>
      <c r="B9973" s="57"/>
      <c r="C9973" s="57"/>
      <c r="D9973" s="57"/>
      <c r="E9973" s="56"/>
      <c r="F9973" s="57"/>
      <c r="G9973" s="57"/>
      <c r="H9973" s="56"/>
      <c r="I9973" s="56"/>
      <c r="J9973" s="58"/>
      <c r="K9973" s="58"/>
      <c r="L9973" s="13" t="str">
        <f t="shared" si="1650"/>
        <v/>
      </c>
      <c r="M9973" s="13" t="str">
        <f t="shared" si="1651"/>
        <v/>
      </c>
      <c r="Q9973" t="str">
        <f t="shared" si="1652"/>
        <v/>
      </c>
      <c r="R9973" t="str">
        <f t="shared" si="1653"/>
        <v/>
      </c>
      <c r="S9973" t="str">
        <f t="shared" si="1654"/>
        <v/>
      </c>
      <c r="T9973" t="str">
        <f t="shared" si="1655"/>
        <v/>
      </c>
      <c r="U9973" t="str">
        <f t="shared" si="1656"/>
        <v/>
      </c>
      <c r="V9973" t="str">
        <f t="shared" si="1657"/>
        <v/>
      </c>
      <c r="W9973" t="str">
        <f t="shared" si="1658"/>
        <v/>
      </c>
      <c r="X9973">
        <f t="shared" ref="X9973:X10004" si="1660">IF($T9973="",N($X9972),IF(MATCH($T9973,$T$6:$T$10005,0)=ROW()-5,N($X9972)+1,N($X9972)))</f>
        <v>0</v>
      </c>
      <c r="Z9973" t="str">
        <f t="shared" si="1659"/>
        <v/>
      </c>
      <c r="AA9973">
        <f t="shared" ref="AA9973:AA10004" si="1661">IF($V9973="",N($AA9972),IF(MATCH($V9973,$V$6:$V$10005,0)=ROW()-5,N($AA9972)+1,N($AA9972)))</f>
        <v>0</v>
      </c>
    </row>
    <row r="9974" spans="1:27" ht="21" customHeight="1" x14ac:dyDescent="0.95">
      <c r="A9974" s="56"/>
      <c r="B9974" s="57"/>
      <c r="C9974" s="57"/>
      <c r="D9974" s="57"/>
      <c r="E9974" s="56"/>
      <c r="F9974" s="57"/>
      <c r="G9974" s="57"/>
      <c r="H9974" s="56"/>
      <c r="I9974" s="56"/>
      <c r="J9974" s="58"/>
      <c r="K9974" s="58"/>
      <c r="L9974" s="13" t="str">
        <f t="shared" si="1650"/>
        <v/>
      </c>
      <c r="M9974" s="13" t="str">
        <f t="shared" si="1651"/>
        <v/>
      </c>
      <c r="Q9974" t="str">
        <f t="shared" si="1652"/>
        <v/>
      </c>
      <c r="R9974" t="str">
        <f t="shared" si="1653"/>
        <v/>
      </c>
      <c r="S9974" t="str">
        <f t="shared" si="1654"/>
        <v/>
      </c>
      <c r="T9974" t="str">
        <f t="shared" si="1655"/>
        <v/>
      </c>
      <c r="U9974" t="str">
        <f t="shared" si="1656"/>
        <v/>
      </c>
      <c r="V9974" t="str">
        <f t="shared" si="1657"/>
        <v/>
      </c>
      <c r="W9974" t="str">
        <f t="shared" si="1658"/>
        <v/>
      </c>
      <c r="X9974">
        <f t="shared" si="1660"/>
        <v>0</v>
      </c>
      <c r="Z9974" t="str">
        <f t="shared" si="1659"/>
        <v/>
      </c>
      <c r="AA9974">
        <f t="shared" si="1661"/>
        <v>0</v>
      </c>
    </row>
    <row r="9975" spans="1:27" ht="21" customHeight="1" x14ac:dyDescent="0.95">
      <c r="A9975" s="56"/>
      <c r="B9975" s="57"/>
      <c r="C9975" s="57"/>
      <c r="D9975" s="57"/>
      <c r="E9975" s="56"/>
      <c r="F9975" s="57"/>
      <c r="G9975" s="57"/>
      <c r="H9975" s="56"/>
      <c r="I9975" s="56"/>
      <c r="J9975" s="58"/>
      <c r="K9975" s="58"/>
      <c r="L9975" s="13" t="str">
        <f t="shared" si="1650"/>
        <v/>
      </c>
      <c r="M9975" s="13" t="str">
        <f t="shared" si="1651"/>
        <v/>
      </c>
      <c r="Q9975" t="str">
        <f t="shared" si="1652"/>
        <v/>
      </c>
      <c r="R9975" t="str">
        <f t="shared" si="1653"/>
        <v/>
      </c>
      <c r="S9975" t="str">
        <f t="shared" si="1654"/>
        <v/>
      </c>
      <c r="T9975" t="str">
        <f t="shared" si="1655"/>
        <v/>
      </c>
      <c r="U9975" t="str">
        <f t="shared" si="1656"/>
        <v/>
      </c>
      <c r="V9975" t="str">
        <f t="shared" si="1657"/>
        <v/>
      </c>
      <c r="W9975" t="str">
        <f t="shared" si="1658"/>
        <v/>
      </c>
      <c r="X9975">
        <f t="shared" si="1660"/>
        <v>0</v>
      </c>
      <c r="Z9975" t="str">
        <f t="shared" si="1659"/>
        <v/>
      </c>
      <c r="AA9975">
        <f t="shared" si="1661"/>
        <v>0</v>
      </c>
    </row>
    <row r="9976" spans="1:27" ht="21" customHeight="1" x14ac:dyDescent="0.95">
      <c r="A9976" s="56"/>
      <c r="B9976" s="57"/>
      <c r="C9976" s="57"/>
      <c r="D9976" s="57"/>
      <c r="E9976" s="56"/>
      <c r="F9976" s="57"/>
      <c r="G9976" s="57"/>
      <c r="H9976" s="56"/>
      <c r="I9976" s="56"/>
      <c r="J9976" s="58"/>
      <c r="K9976" s="58"/>
      <c r="L9976" s="13" t="str">
        <f t="shared" si="1650"/>
        <v/>
      </c>
      <c r="M9976" s="13" t="str">
        <f t="shared" si="1651"/>
        <v/>
      </c>
      <c r="Q9976" t="str">
        <f t="shared" si="1652"/>
        <v/>
      </c>
      <c r="R9976" t="str">
        <f t="shared" si="1653"/>
        <v/>
      </c>
      <c r="S9976" t="str">
        <f t="shared" si="1654"/>
        <v/>
      </c>
      <c r="T9976" t="str">
        <f t="shared" si="1655"/>
        <v/>
      </c>
      <c r="U9976" t="str">
        <f t="shared" si="1656"/>
        <v/>
      </c>
      <c r="V9976" t="str">
        <f t="shared" si="1657"/>
        <v/>
      </c>
      <c r="W9976" t="str">
        <f t="shared" si="1658"/>
        <v/>
      </c>
      <c r="X9976">
        <f t="shared" si="1660"/>
        <v>0</v>
      </c>
      <c r="Z9976" t="str">
        <f t="shared" si="1659"/>
        <v/>
      </c>
      <c r="AA9976">
        <f t="shared" si="1661"/>
        <v>0</v>
      </c>
    </row>
    <row r="9977" spans="1:27" ht="21" customHeight="1" x14ac:dyDescent="0.95">
      <c r="A9977" s="56"/>
      <c r="B9977" s="57"/>
      <c r="C9977" s="57"/>
      <c r="D9977" s="57"/>
      <c r="E9977" s="56"/>
      <c r="F9977" s="57"/>
      <c r="G9977" s="57"/>
      <c r="H9977" s="56"/>
      <c r="I9977" s="56"/>
      <c r="J9977" s="58"/>
      <c r="K9977" s="58"/>
      <c r="L9977" s="13" t="str">
        <f t="shared" si="1650"/>
        <v/>
      </c>
      <c r="M9977" s="13" t="str">
        <f t="shared" si="1651"/>
        <v/>
      </c>
      <c r="Q9977" t="str">
        <f t="shared" si="1652"/>
        <v/>
      </c>
      <c r="R9977" t="str">
        <f t="shared" si="1653"/>
        <v/>
      </c>
      <c r="S9977" t="str">
        <f t="shared" si="1654"/>
        <v/>
      </c>
      <c r="T9977" t="str">
        <f t="shared" si="1655"/>
        <v/>
      </c>
      <c r="U9977" t="str">
        <f t="shared" si="1656"/>
        <v/>
      </c>
      <c r="V9977" t="str">
        <f t="shared" si="1657"/>
        <v/>
      </c>
      <c r="W9977" t="str">
        <f t="shared" si="1658"/>
        <v/>
      </c>
      <c r="X9977">
        <f t="shared" si="1660"/>
        <v>0</v>
      </c>
      <c r="Z9977" t="str">
        <f t="shared" si="1659"/>
        <v/>
      </c>
      <c r="AA9977">
        <f t="shared" si="1661"/>
        <v>0</v>
      </c>
    </row>
    <row r="9978" spans="1:27" ht="21" customHeight="1" x14ac:dyDescent="0.95">
      <c r="A9978" s="56"/>
      <c r="B9978" s="57"/>
      <c r="C9978" s="57"/>
      <c r="D9978" s="57"/>
      <c r="E9978" s="56"/>
      <c r="F9978" s="57"/>
      <c r="G9978" s="57"/>
      <c r="H9978" s="56"/>
      <c r="I9978" s="56"/>
      <c r="J9978" s="58"/>
      <c r="K9978" s="58"/>
      <c r="L9978" s="13" t="str">
        <f t="shared" si="1650"/>
        <v/>
      </c>
      <c r="M9978" s="13" t="str">
        <f t="shared" si="1651"/>
        <v/>
      </c>
      <c r="Q9978" t="str">
        <f t="shared" si="1652"/>
        <v/>
      </c>
      <c r="R9978" t="str">
        <f t="shared" si="1653"/>
        <v/>
      </c>
      <c r="S9978" t="str">
        <f t="shared" si="1654"/>
        <v/>
      </c>
      <c r="T9978" t="str">
        <f t="shared" si="1655"/>
        <v/>
      </c>
      <c r="U9978" t="str">
        <f t="shared" si="1656"/>
        <v/>
      </c>
      <c r="V9978" t="str">
        <f t="shared" si="1657"/>
        <v/>
      </c>
      <c r="W9978" t="str">
        <f t="shared" si="1658"/>
        <v/>
      </c>
      <c r="X9978">
        <f t="shared" si="1660"/>
        <v>0</v>
      </c>
      <c r="Z9978" t="str">
        <f t="shared" si="1659"/>
        <v/>
      </c>
      <c r="AA9978">
        <f t="shared" si="1661"/>
        <v>0</v>
      </c>
    </row>
    <row r="9979" spans="1:27" ht="21" customHeight="1" x14ac:dyDescent="0.95">
      <c r="A9979" s="56"/>
      <c r="B9979" s="57"/>
      <c r="C9979" s="57"/>
      <c r="D9979" s="57"/>
      <c r="E9979" s="56"/>
      <c r="F9979" s="57"/>
      <c r="G9979" s="57"/>
      <c r="H9979" s="56"/>
      <c r="I9979" s="56"/>
      <c r="J9979" s="58"/>
      <c r="K9979" s="58"/>
      <c r="L9979" s="13" t="str">
        <f t="shared" si="1650"/>
        <v/>
      </c>
      <c r="M9979" s="13" t="str">
        <f t="shared" si="1651"/>
        <v/>
      </c>
      <c r="Q9979" t="str">
        <f t="shared" si="1652"/>
        <v/>
      </c>
      <c r="R9979" t="str">
        <f t="shared" si="1653"/>
        <v/>
      </c>
      <c r="S9979" t="str">
        <f t="shared" si="1654"/>
        <v/>
      </c>
      <c r="T9979" t="str">
        <f t="shared" si="1655"/>
        <v/>
      </c>
      <c r="U9979" t="str">
        <f t="shared" si="1656"/>
        <v/>
      </c>
      <c r="V9979" t="str">
        <f t="shared" si="1657"/>
        <v/>
      </c>
      <c r="W9979" t="str">
        <f t="shared" si="1658"/>
        <v/>
      </c>
      <c r="X9979">
        <f t="shared" si="1660"/>
        <v>0</v>
      </c>
      <c r="Z9979" t="str">
        <f t="shared" si="1659"/>
        <v/>
      </c>
      <c r="AA9979">
        <f t="shared" si="1661"/>
        <v>0</v>
      </c>
    </row>
    <row r="9980" spans="1:27" ht="21" customHeight="1" x14ac:dyDescent="0.95">
      <c r="A9980" s="56"/>
      <c r="B9980" s="57"/>
      <c r="C9980" s="57"/>
      <c r="D9980" s="57"/>
      <c r="E9980" s="56"/>
      <c r="F9980" s="57"/>
      <c r="G9980" s="57"/>
      <c r="H9980" s="56"/>
      <c r="I9980" s="56"/>
      <c r="J9980" s="58"/>
      <c r="K9980" s="58"/>
      <c r="L9980" s="13" t="str">
        <f t="shared" si="1650"/>
        <v/>
      </c>
      <c r="M9980" s="13" t="str">
        <f t="shared" si="1651"/>
        <v/>
      </c>
      <c r="Q9980" t="str">
        <f t="shared" si="1652"/>
        <v/>
      </c>
      <c r="R9980" t="str">
        <f t="shared" si="1653"/>
        <v/>
      </c>
      <c r="S9980" t="str">
        <f t="shared" si="1654"/>
        <v/>
      </c>
      <c r="T9980" t="str">
        <f t="shared" si="1655"/>
        <v/>
      </c>
      <c r="U9980" t="str">
        <f t="shared" si="1656"/>
        <v/>
      </c>
      <c r="V9980" t="str">
        <f t="shared" si="1657"/>
        <v/>
      </c>
      <c r="W9980" t="str">
        <f t="shared" si="1658"/>
        <v/>
      </c>
      <c r="X9980">
        <f t="shared" si="1660"/>
        <v>0</v>
      </c>
      <c r="Z9980" t="str">
        <f t="shared" si="1659"/>
        <v/>
      </c>
      <c r="AA9980">
        <f t="shared" si="1661"/>
        <v>0</v>
      </c>
    </row>
    <row r="9981" spans="1:27" ht="21" customHeight="1" x14ac:dyDescent="0.95">
      <c r="A9981" s="56"/>
      <c r="B9981" s="57"/>
      <c r="C9981" s="57"/>
      <c r="D9981" s="57"/>
      <c r="E9981" s="56"/>
      <c r="F9981" s="57"/>
      <c r="G9981" s="57"/>
      <c r="H9981" s="56"/>
      <c r="I9981" s="56"/>
      <c r="J9981" s="58"/>
      <c r="K9981" s="58"/>
      <c r="L9981" s="13" t="str">
        <f t="shared" si="1650"/>
        <v/>
      </c>
      <c r="M9981" s="13" t="str">
        <f t="shared" si="1651"/>
        <v/>
      </c>
      <c r="Q9981" t="str">
        <f t="shared" si="1652"/>
        <v/>
      </c>
      <c r="R9981" t="str">
        <f t="shared" si="1653"/>
        <v/>
      </c>
      <c r="S9981" t="str">
        <f t="shared" si="1654"/>
        <v/>
      </c>
      <c r="T9981" t="str">
        <f t="shared" si="1655"/>
        <v/>
      </c>
      <c r="U9981" t="str">
        <f t="shared" si="1656"/>
        <v/>
      </c>
      <c r="V9981" t="str">
        <f t="shared" si="1657"/>
        <v/>
      </c>
      <c r="W9981" t="str">
        <f t="shared" si="1658"/>
        <v/>
      </c>
      <c r="X9981">
        <f t="shared" si="1660"/>
        <v>0</v>
      </c>
      <c r="Z9981" t="str">
        <f t="shared" si="1659"/>
        <v/>
      </c>
      <c r="AA9981">
        <f t="shared" si="1661"/>
        <v>0</v>
      </c>
    </row>
    <row r="9982" spans="1:27" ht="21" customHeight="1" x14ac:dyDescent="0.95">
      <c r="A9982" s="56"/>
      <c r="B9982" s="57"/>
      <c r="C9982" s="57"/>
      <c r="D9982" s="57"/>
      <c r="E9982" s="56"/>
      <c r="F9982" s="57"/>
      <c r="G9982" s="57"/>
      <c r="H9982" s="56"/>
      <c r="I9982" s="56"/>
      <c r="J9982" s="58"/>
      <c r="K9982" s="58"/>
      <c r="L9982" s="13" t="str">
        <f t="shared" si="1650"/>
        <v/>
      </c>
      <c r="M9982" s="13" t="str">
        <f t="shared" si="1651"/>
        <v/>
      </c>
      <c r="Q9982" t="str">
        <f t="shared" si="1652"/>
        <v/>
      </c>
      <c r="R9982" t="str">
        <f t="shared" si="1653"/>
        <v/>
      </c>
      <c r="S9982" t="str">
        <f t="shared" si="1654"/>
        <v/>
      </c>
      <c r="T9982" t="str">
        <f t="shared" si="1655"/>
        <v/>
      </c>
      <c r="U9982" t="str">
        <f t="shared" si="1656"/>
        <v/>
      </c>
      <c r="V9982" t="str">
        <f t="shared" si="1657"/>
        <v/>
      </c>
      <c r="W9982" t="str">
        <f t="shared" si="1658"/>
        <v/>
      </c>
      <c r="X9982">
        <f t="shared" si="1660"/>
        <v>0</v>
      </c>
      <c r="Z9982" t="str">
        <f t="shared" si="1659"/>
        <v/>
      </c>
      <c r="AA9982">
        <f t="shared" si="1661"/>
        <v>0</v>
      </c>
    </row>
    <row r="9983" spans="1:27" ht="21" customHeight="1" x14ac:dyDescent="0.95">
      <c r="A9983" s="56"/>
      <c r="B9983" s="57"/>
      <c r="C9983" s="57"/>
      <c r="D9983" s="57"/>
      <c r="E9983" s="56"/>
      <c r="F9983" s="57"/>
      <c r="G9983" s="57"/>
      <c r="H9983" s="56"/>
      <c r="I9983" s="56"/>
      <c r="J9983" s="58"/>
      <c r="K9983" s="58"/>
      <c r="L9983" s="13" t="str">
        <f t="shared" si="1650"/>
        <v/>
      </c>
      <c r="M9983" s="13" t="str">
        <f t="shared" si="1651"/>
        <v/>
      </c>
      <c r="Q9983" t="str">
        <f t="shared" si="1652"/>
        <v/>
      </c>
      <c r="R9983" t="str">
        <f t="shared" si="1653"/>
        <v/>
      </c>
      <c r="S9983" t="str">
        <f t="shared" si="1654"/>
        <v/>
      </c>
      <c r="T9983" t="str">
        <f t="shared" si="1655"/>
        <v/>
      </c>
      <c r="U9983" t="str">
        <f t="shared" si="1656"/>
        <v/>
      </c>
      <c r="V9983" t="str">
        <f t="shared" si="1657"/>
        <v/>
      </c>
      <c r="W9983" t="str">
        <f t="shared" si="1658"/>
        <v/>
      </c>
      <c r="X9983">
        <f t="shared" si="1660"/>
        <v>0</v>
      </c>
      <c r="Z9983" t="str">
        <f t="shared" si="1659"/>
        <v/>
      </c>
      <c r="AA9983">
        <f t="shared" si="1661"/>
        <v>0</v>
      </c>
    </row>
    <row r="9984" spans="1:27" ht="21" customHeight="1" x14ac:dyDescent="0.95">
      <c r="A9984" s="56"/>
      <c r="B9984" s="57"/>
      <c r="C9984" s="57"/>
      <c r="D9984" s="57"/>
      <c r="E9984" s="56"/>
      <c r="F9984" s="57"/>
      <c r="G9984" s="57"/>
      <c r="H9984" s="56"/>
      <c r="I9984" s="56"/>
      <c r="J9984" s="58"/>
      <c r="K9984" s="58"/>
      <c r="L9984" s="13" t="str">
        <f t="shared" si="1650"/>
        <v/>
      </c>
      <c r="M9984" s="13" t="str">
        <f t="shared" si="1651"/>
        <v/>
      </c>
      <c r="Q9984" t="str">
        <f t="shared" si="1652"/>
        <v/>
      </c>
      <c r="R9984" t="str">
        <f t="shared" si="1653"/>
        <v/>
      </c>
      <c r="S9984" t="str">
        <f t="shared" si="1654"/>
        <v/>
      </c>
      <c r="T9984" t="str">
        <f t="shared" si="1655"/>
        <v/>
      </c>
      <c r="U9984" t="str">
        <f t="shared" si="1656"/>
        <v/>
      </c>
      <c r="V9984" t="str">
        <f t="shared" si="1657"/>
        <v/>
      </c>
      <c r="W9984" t="str">
        <f t="shared" si="1658"/>
        <v/>
      </c>
      <c r="X9984">
        <f t="shared" si="1660"/>
        <v>0</v>
      </c>
      <c r="Z9984" t="str">
        <f t="shared" si="1659"/>
        <v/>
      </c>
      <c r="AA9984">
        <f t="shared" si="1661"/>
        <v>0</v>
      </c>
    </row>
    <row r="9985" spans="1:27" ht="21" customHeight="1" x14ac:dyDescent="0.95">
      <c r="A9985" s="56"/>
      <c r="B9985" s="57"/>
      <c r="C9985" s="57"/>
      <c r="D9985" s="57"/>
      <c r="E9985" s="56"/>
      <c r="F9985" s="57"/>
      <c r="G9985" s="57"/>
      <c r="H9985" s="56"/>
      <c r="I9985" s="56"/>
      <c r="J9985" s="58"/>
      <c r="K9985" s="58"/>
      <c r="L9985" s="13" t="str">
        <f t="shared" si="1650"/>
        <v/>
      </c>
      <c r="M9985" s="13" t="str">
        <f t="shared" si="1651"/>
        <v/>
      </c>
      <c r="Q9985" t="str">
        <f t="shared" si="1652"/>
        <v/>
      </c>
      <c r="R9985" t="str">
        <f t="shared" si="1653"/>
        <v/>
      </c>
      <c r="S9985" t="str">
        <f t="shared" si="1654"/>
        <v/>
      </c>
      <c r="T9985" t="str">
        <f t="shared" si="1655"/>
        <v/>
      </c>
      <c r="U9985" t="str">
        <f t="shared" si="1656"/>
        <v/>
      </c>
      <c r="V9985" t="str">
        <f t="shared" si="1657"/>
        <v/>
      </c>
      <c r="W9985" t="str">
        <f t="shared" si="1658"/>
        <v/>
      </c>
      <c r="X9985">
        <f t="shared" si="1660"/>
        <v>0</v>
      </c>
      <c r="Z9985" t="str">
        <f t="shared" si="1659"/>
        <v/>
      </c>
      <c r="AA9985">
        <f t="shared" si="1661"/>
        <v>0</v>
      </c>
    </row>
    <row r="9986" spans="1:27" ht="21" customHeight="1" x14ac:dyDescent="0.95">
      <c r="A9986" s="56"/>
      <c r="B9986" s="57"/>
      <c r="C9986" s="57"/>
      <c r="D9986" s="57"/>
      <c r="E9986" s="56"/>
      <c r="F9986" s="57"/>
      <c r="G9986" s="57"/>
      <c r="H9986" s="56"/>
      <c r="I9986" s="56"/>
      <c r="J9986" s="58"/>
      <c r="K9986" s="58"/>
      <c r="L9986" s="13" t="str">
        <f t="shared" si="1650"/>
        <v/>
      </c>
      <c r="M9986" s="13" t="str">
        <f t="shared" si="1651"/>
        <v/>
      </c>
      <c r="Q9986" t="str">
        <f t="shared" si="1652"/>
        <v/>
      </c>
      <c r="R9986" t="str">
        <f t="shared" si="1653"/>
        <v/>
      </c>
      <c r="S9986" t="str">
        <f t="shared" si="1654"/>
        <v/>
      </c>
      <c r="T9986" t="str">
        <f t="shared" si="1655"/>
        <v/>
      </c>
      <c r="U9986" t="str">
        <f t="shared" si="1656"/>
        <v/>
      </c>
      <c r="V9986" t="str">
        <f t="shared" si="1657"/>
        <v/>
      </c>
      <c r="W9986" t="str">
        <f t="shared" si="1658"/>
        <v/>
      </c>
      <c r="X9986">
        <f t="shared" si="1660"/>
        <v>0</v>
      </c>
      <c r="Z9986" t="str">
        <f t="shared" si="1659"/>
        <v/>
      </c>
      <c r="AA9986">
        <f t="shared" si="1661"/>
        <v>0</v>
      </c>
    </row>
    <row r="9987" spans="1:27" ht="21" customHeight="1" x14ac:dyDescent="0.95">
      <c r="A9987" s="56"/>
      <c r="B9987" s="57"/>
      <c r="C9987" s="57"/>
      <c r="D9987" s="57"/>
      <c r="E9987" s="56"/>
      <c r="F9987" s="57"/>
      <c r="G9987" s="57"/>
      <c r="H9987" s="56"/>
      <c r="I9987" s="56"/>
      <c r="J9987" s="58"/>
      <c r="K9987" s="58"/>
      <c r="L9987" s="13" t="str">
        <f t="shared" si="1650"/>
        <v/>
      </c>
      <c r="M9987" s="13" t="str">
        <f t="shared" si="1651"/>
        <v/>
      </c>
      <c r="Q9987" t="str">
        <f t="shared" si="1652"/>
        <v/>
      </c>
      <c r="R9987" t="str">
        <f t="shared" si="1653"/>
        <v/>
      </c>
      <c r="S9987" t="str">
        <f t="shared" si="1654"/>
        <v/>
      </c>
      <c r="T9987" t="str">
        <f t="shared" si="1655"/>
        <v/>
      </c>
      <c r="U9987" t="str">
        <f t="shared" si="1656"/>
        <v/>
      </c>
      <c r="V9987" t="str">
        <f t="shared" si="1657"/>
        <v/>
      </c>
      <c r="W9987" t="str">
        <f t="shared" si="1658"/>
        <v/>
      </c>
      <c r="X9987">
        <f t="shared" si="1660"/>
        <v>0</v>
      </c>
      <c r="Z9987" t="str">
        <f t="shared" si="1659"/>
        <v/>
      </c>
      <c r="AA9987">
        <f t="shared" si="1661"/>
        <v>0</v>
      </c>
    </row>
    <row r="9988" spans="1:27" ht="21" customHeight="1" x14ac:dyDescent="0.95">
      <c r="A9988" s="56"/>
      <c r="B9988" s="57"/>
      <c r="C9988" s="57"/>
      <c r="D9988" s="57"/>
      <c r="E9988" s="56"/>
      <c r="F9988" s="57"/>
      <c r="G9988" s="57"/>
      <c r="H9988" s="56"/>
      <c r="I9988" s="56"/>
      <c r="J9988" s="58"/>
      <c r="K9988" s="58"/>
      <c r="L9988" s="13" t="str">
        <f t="shared" ref="L9988:L10004" si="1662">IF(OR($A9988="",AND($J9988="",$K9988="")),"",ROUND(N($J9988)-N($K9988),2))</f>
        <v/>
      </c>
      <c r="M9988" s="13" t="str">
        <f t="shared" ref="M9988:M10004" si="1663">IF(OR($A9988="",AND($J9988="",$K9988="")),"",MIN($J9988,$K9988))</f>
        <v/>
      </c>
      <c r="Q9988" t="str">
        <f t="shared" ref="Q9988:Q10004" si="1664">IF($A9988="","",$D9988&amp;"("&amp;SUBSTITUTE($E9988," ","")&amp;")")</f>
        <v/>
      </c>
      <c r="R9988" t="str">
        <f t="shared" ref="R9988:R10004" si="1665">IF($A9988="","",$B9988&amp;" - "&amp;$C9988)</f>
        <v/>
      </c>
      <c r="S9988" t="str">
        <f t="shared" ref="S9988:S10004" si="1666">IF($A9988="","",$R9988&amp;"|"&amp;$Q9988)</f>
        <v/>
      </c>
      <c r="T9988" t="str">
        <f t="shared" ref="T9988:T10004" si="1667">IF($A9988="","",$S9988&amp;"|"&amp;$F9988)</f>
        <v/>
      </c>
      <c r="U9988" t="str">
        <f t="shared" ref="U9988:U10004" si="1668">IF($A9988="","",$R9988&amp;"("&amp;$E9988&amp;")")</f>
        <v/>
      </c>
      <c r="V9988" t="str">
        <f t="shared" ref="V9988:V10004" si="1669">IF($A9988="","",$F9988&amp;"|"&amp;$U9988&amp;"|"&amp;$D9988)</f>
        <v/>
      </c>
      <c r="W9988" t="str">
        <f t="shared" si="1658"/>
        <v/>
      </c>
      <c r="X9988">
        <f t="shared" si="1660"/>
        <v>0</v>
      </c>
      <c r="Z9988" t="str">
        <f t="shared" si="1659"/>
        <v/>
      </c>
      <c r="AA9988">
        <f t="shared" si="1661"/>
        <v>0</v>
      </c>
    </row>
    <row r="9989" spans="1:27" ht="21" customHeight="1" x14ac:dyDescent="0.95">
      <c r="A9989" s="56"/>
      <c r="B9989" s="57"/>
      <c r="C9989" s="57"/>
      <c r="D9989" s="57"/>
      <c r="E9989" s="56"/>
      <c r="F9989" s="57"/>
      <c r="G9989" s="57"/>
      <c r="H9989" s="56"/>
      <c r="I9989" s="56"/>
      <c r="J9989" s="58"/>
      <c r="K9989" s="58"/>
      <c r="L9989" s="13" t="str">
        <f t="shared" si="1662"/>
        <v/>
      </c>
      <c r="M9989" s="13" t="str">
        <f t="shared" si="1663"/>
        <v/>
      </c>
      <c r="Q9989" t="str">
        <f t="shared" si="1664"/>
        <v/>
      </c>
      <c r="R9989" t="str">
        <f t="shared" si="1665"/>
        <v/>
      </c>
      <c r="S9989" t="str">
        <f t="shared" si="1666"/>
        <v/>
      </c>
      <c r="T9989" t="str">
        <f t="shared" si="1667"/>
        <v/>
      </c>
      <c r="U9989" t="str">
        <f t="shared" si="1668"/>
        <v/>
      </c>
      <c r="V9989" t="str">
        <f t="shared" si="1669"/>
        <v/>
      </c>
      <c r="W9989" t="str">
        <f t="shared" si="1658"/>
        <v/>
      </c>
      <c r="X9989">
        <f t="shared" si="1660"/>
        <v>0</v>
      </c>
      <c r="Z9989" t="str">
        <f t="shared" si="1659"/>
        <v/>
      </c>
      <c r="AA9989">
        <f t="shared" si="1661"/>
        <v>0</v>
      </c>
    </row>
    <row r="9990" spans="1:27" ht="21" customHeight="1" x14ac:dyDescent="0.95">
      <c r="A9990" s="56"/>
      <c r="B9990" s="57"/>
      <c r="C9990" s="57"/>
      <c r="D9990" s="57"/>
      <c r="E9990" s="56"/>
      <c r="F9990" s="57"/>
      <c r="G9990" s="57"/>
      <c r="H9990" s="56"/>
      <c r="I9990" s="56"/>
      <c r="J9990" s="58"/>
      <c r="K9990" s="58"/>
      <c r="L9990" s="13" t="str">
        <f t="shared" si="1662"/>
        <v/>
      </c>
      <c r="M9990" s="13" t="str">
        <f t="shared" si="1663"/>
        <v/>
      </c>
      <c r="Q9990" t="str">
        <f t="shared" si="1664"/>
        <v/>
      </c>
      <c r="R9990" t="str">
        <f t="shared" si="1665"/>
        <v/>
      </c>
      <c r="S9990" t="str">
        <f t="shared" si="1666"/>
        <v/>
      </c>
      <c r="T9990" t="str">
        <f t="shared" si="1667"/>
        <v/>
      </c>
      <c r="U9990" t="str">
        <f t="shared" si="1668"/>
        <v/>
      </c>
      <c r="V9990" t="str">
        <f t="shared" si="1669"/>
        <v/>
      </c>
      <c r="W9990" t="str">
        <f t="shared" ref="W9990:W10004" si="1670">IF($T9990="","",IF($X9990&gt;N($X9989),$X9990,""))</f>
        <v/>
      </c>
      <c r="X9990">
        <f t="shared" si="1660"/>
        <v>0</v>
      </c>
      <c r="Z9990" t="str">
        <f t="shared" ref="Z9990:Z10004" si="1671">IF($V9990="","",IF($AA9990&gt;N($AA9989),$AA9990,""))</f>
        <v/>
      </c>
      <c r="AA9990">
        <f t="shared" si="1661"/>
        <v>0</v>
      </c>
    </row>
    <row r="9991" spans="1:27" ht="21" customHeight="1" x14ac:dyDescent="0.95">
      <c r="A9991" s="56"/>
      <c r="B9991" s="57"/>
      <c r="C9991" s="57"/>
      <c r="D9991" s="57"/>
      <c r="E9991" s="56"/>
      <c r="F9991" s="57"/>
      <c r="G9991" s="57"/>
      <c r="H9991" s="56"/>
      <c r="I9991" s="56"/>
      <c r="J9991" s="58"/>
      <c r="K9991" s="58"/>
      <c r="L9991" s="13" t="str">
        <f t="shared" si="1662"/>
        <v/>
      </c>
      <c r="M9991" s="13" t="str">
        <f t="shared" si="1663"/>
        <v/>
      </c>
      <c r="Q9991" t="str">
        <f t="shared" si="1664"/>
        <v/>
      </c>
      <c r="R9991" t="str">
        <f t="shared" si="1665"/>
        <v/>
      </c>
      <c r="S9991" t="str">
        <f t="shared" si="1666"/>
        <v/>
      </c>
      <c r="T9991" t="str">
        <f t="shared" si="1667"/>
        <v/>
      </c>
      <c r="U9991" t="str">
        <f t="shared" si="1668"/>
        <v/>
      </c>
      <c r="V9991" t="str">
        <f t="shared" si="1669"/>
        <v/>
      </c>
      <c r="W9991" t="str">
        <f t="shared" si="1670"/>
        <v/>
      </c>
      <c r="X9991">
        <f t="shared" si="1660"/>
        <v>0</v>
      </c>
      <c r="Z9991" t="str">
        <f t="shared" si="1671"/>
        <v/>
      </c>
      <c r="AA9991">
        <f t="shared" si="1661"/>
        <v>0</v>
      </c>
    </row>
    <row r="9992" spans="1:27" ht="21" customHeight="1" x14ac:dyDescent="0.95">
      <c r="A9992" s="56"/>
      <c r="B9992" s="57"/>
      <c r="C9992" s="57"/>
      <c r="D9992" s="57"/>
      <c r="E9992" s="56"/>
      <c r="F9992" s="57"/>
      <c r="G9992" s="57"/>
      <c r="H9992" s="56"/>
      <c r="I9992" s="56"/>
      <c r="J9992" s="58"/>
      <c r="K9992" s="58"/>
      <c r="L9992" s="13" t="str">
        <f t="shared" si="1662"/>
        <v/>
      </c>
      <c r="M9992" s="13" t="str">
        <f t="shared" si="1663"/>
        <v/>
      </c>
      <c r="Q9992" t="str">
        <f t="shared" si="1664"/>
        <v/>
      </c>
      <c r="R9992" t="str">
        <f t="shared" si="1665"/>
        <v/>
      </c>
      <c r="S9992" t="str">
        <f t="shared" si="1666"/>
        <v/>
      </c>
      <c r="T9992" t="str">
        <f t="shared" si="1667"/>
        <v/>
      </c>
      <c r="U9992" t="str">
        <f t="shared" si="1668"/>
        <v/>
      </c>
      <c r="V9992" t="str">
        <f t="shared" si="1669"/>
        <v/>
      </c>
      <c r="W9992" t="str">
        <f t="shared" si="1670"/>
        <v/>
      </c>
      <c r="X9992">
        <f t="shared" si="1660"/>
        <v>0</v>
      </c>
      <c r="Z9992" t="str">
        <f t="shared" si="1671"/>
        <v/>
      </c>
      <c r="AA9992">
        <f t="shared" si="1661"/>
        <v>0</v>
      </c>
    </row>
    <row r="9993" spans="1:27" ht="21" customHeight="1" x14ac:dyDescent="0.95">
      <c r="A9993" s="56"/>
      <c r="B9993" s="57"/>
      <c r="C9993" s="57"/>
      <c r="D9993" s="57"/>
      <c r="E9993" s="56"/>
      <c r="F9993" s="57"/>
      <c r="G9993" s="57"/>
      <c r="H9993" s="56"/>
      <c r="I9993" s="56"/>
      <c r="J9993" s="58"/>
      <c r="K9993" s="58"/>
      <c r="L9993" s="13" t="str">
        <f t="shared" si="1662"/>
        <v/>
      </c>
      <c r="M9993" s="13" t="str">
        <f t="shared" si="1663"/>
        <v/>
      </c>
      <c r="Q9993" t="str">
        <f t="shared" si="1664"/>
        <v/>
      </c>
      <c r="R9993" t="str">
        <f t="shared" si="1665"/>
        <v/>
      </c>
      <c r="S9993" t="str">
        <f t="shared" si="1666"/>
        <v/>
      </c>
      <c r="T9993" t="str">
        <f t="shared" si="1667"/>
        <v/>
      </c>
      <c r="U9993" t="str">
        <f t="shared" si="1668"/>
        <v/>
      </c>
      <c r="V9993" t="str">
        <f t="shared" si="1669"/>
        <v/>
      </c>
      <c r="W9993" t="str">
        <f t="shared" si="1670"/>
        <v/>
      </c>
      <c r="X9993">
        <f t="shared" si="1660"/>
        <v>0</v>
      </c>
      <c r="Z9993" t="str">
        <f t="shared" si="1671"/>
        <v/>
      </c>
      <c r="AA9993">
        <f t="shared" si="1661"/>
        <v>0</v>
      </c>
    </row>
    <row r="9994" spans="1:27" ht="21" customHeight="1" x14ac:dyDescent="0.95">
      <c r="A9994" s="56"/>
      <c r="B9994" s="57"/>
      <c r="C9994" s="57"/>
      <c r="D9994" s="57"/>
      <c r="E9994" s="56"/>
      <c r="F9994" s="57"/>
      <c r="G9994" s="57"/>
      <c r="H9994" s="56"/>
      <c r="I9994" s="56"/>
      <c r="J9994" s="58"/>
      <c r="K9994" s="58"/>
      <c r="L9994" s="13" t="str">
        <f t="shared" si="1662"/>
        <v/>
      </c>
      <c r="M9994" s="13" t="str">
        <f t="shared" si="1663"/>
        <v/>
      </c>
      <c r="Q9994" t="str">
        <f t="shared" si="1664"/>
        <v/>
      </c>
      <c r="R9994" t="str">
        <f t="shared" si="1665"/>
        <v/>
      </c>
      <c r="S9994" t="str">
        <f t="shared" si="1666"/>
        <v/>
      </c>
      <c r="T9994" t="str">
        <f t="shared" si="1667"/>
        <v/>
      </c>
      <c r="U9994" t="str">
        <f t="shared" si="1668"/>
        <v/>
      </c>
      <c r="V9994" t="str">
        <f t="shared" si="1669"/>
        <v/>
      </c>
      <c r="W9994" t="str">
        <f t="shared" si="1670"/>
        <v/>
      </c>
      <c r="X9994">
        <f t="shared" si="1660"/>
        <v>0</v>
      </c>
      <c r="Z9994" t="str">
        <f t="shared" si="1671"/>
        <v/>
      </c>
      <c r="AA9994">
        <f t="shared" si="1661"/>
        <v>0</v>
      </c>
    </row>
    <row r="9995" spans="1:27" ht="21" customHeight="1" x14ac:dyDescent="0.95">
      <c r="A9995" s="56"/>
      <c r="B9995" s="57"/>
      <c r="C9995" s="57"/>
      <c r="D9995" s="57"/>
      <c r="E9995" s="56"/>
      <c r="F9995" s="57"/>
      <c r="G9995" s="57"/>
      <c r="H9995" s="56"/>
      <c r="I9995" s="56"/>
      <c r="J9995" s="58"/>
      <c r="K9995" s="58"/>
      <c r="L9995" s="13" t="str">
        <f t="shared" si="1662"/>
        <v/>
      </c>
      <c r="M9995" s="13" t="str">
        <f t="shared" si="1663"/>
        <v/>
      </c>
      <c r="Q9995" t="str">
        <f t="shared" si="1664"/>
        <v/>
      </c>
      <c r="R9995" t="str">
        <f t="shared" si="1665"/>
        <v/>
      </c>
      <c r="S9995" t="str">
        <f t="shared" si="1666"/>
        <v/>
      </c>
      <c r="T9995" t="str">
        <f t="shared" si="1667"/>
        <v/>
      </c>
      <c r="U9995" t="str">
        <f t="shared" si="1668"/>
        <v/>
      </c>
      <c r="V9995" t="str">
        <f t="shared" si="1669"/>
        <v/>
      </c>
      <c r="W9995" t="str">
        <f t="shared" si="1670"/>
        <v/>
      </c>
      <c r="X9995">
        <f t="shared" si="1660"/>
        <v>0</v>
      </c>
      <c r="Z9995" t="str">
        <f t="shared" si="1671"/>
        <v/>
      </c>
      <c r="AA9995">
        <f t="shared" si="1661"/>
        <v>0</v>
      </c>
    </row>
    <row r="9996" spans="1:27" ht="21" customHeight="1" x14ac:dyDescent="0.95">
      <c r="A9996" s="56"/>
      <c r="B9996" s="57"/>
      <c r="C9996" s="57"/>
      <c r="D9996" s="57"/>
      <c r="E9996" s="56"/>
      <c r="F9996" s="57"/>
      <c r="G9996" s="57"/>
      <c r="H9996" s="56"/>
      <c r="I9996" s="56"/>
      <c r="J9996" s="58"/>
      <c r="K9996" s="58"/>
      <c r="L9996" s="13" t="str">
        <f t="shared" si="1662"/>
        <v/>
      </c>
      <c r="M9996" s="13" t="str">
        <f t="shared" si="1663"/>
        <v/>
      </c>
      <c r="Q9996" t="str">
        <f t="shared" si="1664"/>
        <v/>
      </c>
      <c r="R9996" t="str">
        <f t="shared" si="1665"/>
        <v/>
      </c>
      <c r="S9996" t="str">
        <f t="shared" si="1666"/>
        <v/>
      </c>
      <c r="T9996" t="str">
        <f t="shared" si="1667"/>
        <v/>
      </c>
      <c r="U9996" t="str">
        <f t="shared" si="1668"/>
        <v/>
      </c>
      <c r="V9996" t="str">
        <f t="shared" si="1669"/>
        <v/>
      </c>
      <c r="W9996" t="str">
        <f t="shared" si="1670"/>
        <v/>
      </c>
      <c r="X9996">
        <f t="shared" si="1660"/>
        <v>0</v>
      </c>
      <c r="Z9996" t="str">
        <f t="shared" si="1671"/>
        <v/>
      </c>
      <c r="AA9996">
        <f t="shared" si="1661"/>
        <v>0</v>
      </c>
    </row>
    <row r="9997" spans="1:27" ht="21" customHeight="1" x14ac:dyDescent="0.95">
      <c r="A9997" s="56"/>
      <c r="B9997" s="57"/>
      <c r="C9997" s="57"/>
      <c r="D9997" s="57"/>
      <c r="E9997" s="56"/>
      <c r="F9997" s="57"/>
      <c r="G9997" s="57"/>
      <c r="H9997" s="56"/>
      <c r="I9997" s="56"/>
      <c r="J9997" s="58"/>
      <c r="K9997" s="58"/>
      <c r="L9997" s="13" t="str">
        <f t="shared" si="1662"/>
        <v/>
      </c>
      <c r="M9997" s="13" t="str">
        <f t="shared" si="1663"/>
        <v/>
      </c>
      <c r="Q9997" t="str">
        <f t="shared" si="1664"/>
        <v/>
      </c>
      <c r="R9997" t="str">
        <f t="shared" si="1665"/>
        <v/>
      </c>
      <c r="S9997" t="str">
        <f t="shared" si="1666"/>
        <v/>
      </c>
      <c r="T9997" t="str">
        <f t="shared" si="1667"/>
        <v/>
      </c>
      <c r="U9997" t="str">
        <f t="shared" si="1668"/>
        <v/>
      </c>
      <c r="V9997" t="str">
        <f t="shared" si="1669"/>
        <v/>
      </c>
      <c r="W9997" t="str">
        <f t="shared" si="1670"/>
        <v/>
      </c>
      <c r="X9997">
        <f t="shared" si="1660"/>
        <v>0</v>
      </c>
      <c r="Z9997" t="str">
        <f t="shared" si="1671"/>
        <v/>
      </c>
      <c r="AA9997">
        <f t="shared" si="1661"/>
        <v>0</v>
      </c>
    </row>
    <row r="9998" spans="1:27" ht="21" customHeight="1" x14ac:dyDescent="0.95">
      <c r="A9998" s="56"/>
      <c r="B9998" s="57"/>
      <c r="C9998" s="57"/>
      <c r="D9998" s="57"/>
      <c r="E9998" s="56"/>
      <c r="F9998" s="57"/>
      <c r="G9998" s="57"/>
      <c r="H9998" s="56"/>
      <c r="I9998" s="56"/>
      <c r="J9998" s="58"/>
      <c r="K9998" s="58"/>
      <c r="L9998" s="13" t="str">
        <f t="shared" si="1662"/>
        <v/>
      </c>
      <c r="M9998" s="13" t="str">
        <f t="shared" si="1663"/>
        <v/>
      </c>
      <c r="Q9998" t="str">
        <f t="shared" si="1664"/>
        <v/>
      </c>
      <c r="R9998" t="str">
        <f t="shared" si="1665"/>
        <v/>
      </c>
      <c r="S9998" t="str">
        <f t="shared" si="1666"/>
        <v/>
      </c>
      <c r="T9998" t="str">
        <f t="shared" si="1667"/>
        <v/>
      </c>
      <c r="U9998" t="str">
        <f t="shared" si="1668"/>
        <v/>
      </c>
      <c r="V9998" t="str">
        <f t="shared" si="1669"/>
        <v/>
      </c>
      <c r="W9998" t="str">
        <f t="shared" si="1670"/>
        <v/>
      </c>
      <c r="X9998">
        <f t="shared" si="1660"/>
        <v>0</v>
      </c>
      <c r="Z9998" t="str">
        <f t="shared" si="1671"/>
        <v/>
      </c>
      <c r="AA9998">
        <f t="shared" si="1661"/>
        <v>0</v>
      </c>
    </row>
    <row r="9999" spans="1:27" ht="21" customHeight="1" x14ac:dyDescent="0.95">
      <c r="A9999" s="56"/>
      <c r="B9999" s="57"/>
      <c r="C9999" s="57"/>
      <c r="D9999" s="57"/>
      <c r="E9999" s="56"/>
      <c r="F9999" s="57"/>
      <c r="G9999" s="57"/>
      <c r="H9999" s="56"/>
      <c r="I9999" s="56"/>
      <c r="J9999" s="58"/>
      <c r="K9999" s="58"/>
      <c r="L9999" s="13" t="str">
        <f t="shared" si="1662"/>
        <v/>
      </c>
      <c r="M9999" s="13" t="str">
        <f t="shared" si="1663"/>
        <v/>
      </c>
      <c r="Q9999" t="str">
        <f t="shared" si="1664"/>
        <v/>
      </c>
      <c r="R9999" t="str">
        <f t="shared" si="1665"/>
        <v/>
      </c>
      <c r="S9999" t="str">
        <f t="shared" si="1666"/>
        <v/>
      </c>
      <c r="T9999" t="str">
        <f t="shared" si="1667"/>
        <v/>
      </c>
      <c r="U9999" t="str">
        <f t="shared" si="1668"/>
        <v/>
      </c>
      <c r="V9999" t="str">
        <f t="shared" si="1669"/>
        <v/>
      </c>
      <c r="W9999" t="str">
        <f t="shared" si="1670"/>
        <v/>
      </c>
      <c r="X9999">
        <f t="shared" si="1660"/>
        <v>0</v>
      </c>
      <c r="Z9999" t="str">
        <f t="shared" si="1671"/>
        <v/>
      </c>
      <c r="AA9999">
        <f t="shared" si="1661"/>
        <v>0</v>
      </c>
    </row>
    <row r="10000" spans="1:27" ht="21" customHeight="1" x14ac:dyDescent="0.95">
      <c r="A10000" s="56"/>
      <c r="B10000" s="57"/>
      <c r="C10000" s="57"/>
      <c r="D10000" s="57"/>
      <c r="E10000" s="56"/>
      <c r="F10000" s="57"/>
      <c r="G10000" s="57"/>
      <c r="H10000" s="56"/>
      <c r="I10000" s="56"/>
      <c r="J10000" s="58"/>
      <c r="K10000" s="58"/>
      <c r="L10000" s="13" t="str">
        <f t="shared" si="1662"/>
        <v/>
      </c>
      <c r="M10000" s="13" t="str">
        <f t="shared" si="1663"/>
        <v/>
      </c>
      <c r="Q10000" t="str">
        <f t="shared" si="1664"/>
        <v/>
      </c>
      <c r="R10000" t="str">
        <f t="shared" si="1665"/>
        <v/>
      </c>
      <c r="S10000" t="str">
        <f t="shared" si="1666"/>
        <v/>
      </c>
      <c r="T10000" t="str">
        <f t="shared" si="1667"/>
        <v/>
      </c>
      <c r="U10000" t="str">
        <f t="shared" si="1668"/>
        <v/>
      </c>
      <c r="V10000" t="str">
        <f t="shared" si="1669"/>
        <v/>
      </c>
      <c r="W10000" t="str">
        <f t="shared" si="1670"/>
        <v/>
      </c>
      <c r="X10000">
        <f t="shared" si="1660"/>
        <v>0</v>
      </c>
      <c r="Z10000" t="str">
        <f t="shared" si="1671"/>
        <v/>
      </c>
      <c r="AA10000">
        <f t="shared" si="1661"/>
        <v>0</v>
      </c>
    </row>
    <row r="10001" spans="1:27" ht="21" customHeight="1" x14ac:dyDescent="0.95">
      <c r="A10001" s="56"/>
      <c r="B10001" s="57"/>
      <c r="C10001" s="57"/>
      <c r="D10001" s="57"/>
      <c r="E10001" s="56"/>
      <c r="F10001" s="57"/>
      <c r="G10001" s="57"/>
      <c r="H10001" s="56"/>
      <c r="I10001" s="56"/>
      <c r="J10001" s="58"/>
      <c r="K10001" s="58"/>
      <c r="L10001" s="13" t="str">
        <f t="shared" si="1662"/>
        <v/>
      </c>
      <c r="M10001" s="13" t="str">
        <f t="shared" si="1663"/>
        <v/>
      </c>
      <c r="Q10001" t="str">
        <f t="shared" si="1664"/>
        <v/>
      </c>
      <c r="R10001" t="str">
        <f t="shared" si="1665"/>
        <v/>
      </c>
      <c r="S10001" t="str">
        <f t="shared" si="1666"/>
        <v/>
      </c>
      <c r="T10001" t="str">
        <f t="shared" si="1667"/>
        <v/>
      </c>
      <c r="U10001" t="str">
        <f t="shared" si="1668"/>
        <v/>
      </c>
      <c r="V10001" t="str">
        <f t="shared" si="1669"/>
        <v/>
      </c>
      <c r="W10001" t="str">
        <f t="shared" si="1670"/>
        <v/>
      </c>
      <c r="X10001">
        <f t="shared" si="1660"/>
        <v>0</v>
      </c>
      <c r="Z10001" t="str">
        <f t="shared" si="1671"/>
        <v/>
      </c>
      <c r="AA10001">
        <f t="shared" si="1661"/>
        <v>0</v>
      </c>
    </row>
    <row r="10002" spans="1:27" ht="21" customHeight="1" x14ac:dyDescent="0.95">
      <c r="A10002" s="56"/>
      <c r="B10002" s="57"/>
      <c r="C10002" s="57"/>
      <c r="D10002" s="57"/>
      <c r="E10002" s="56"/>
      <c r="F10002" s="57"/>
      <c r="G10002" s="57"/>
      <c r="H10002" s="56"/>
      <c r="I10002" s="56"/>
      <c r="J10002" s="58"/>
      <c r="K10002" s="58"/>
      <c r="L10002" s="13" t="str">
        <f t="shared" si="1662"/>
        <v/>
      </c>
      <c r="M10002" s="13" t="str">
        <f t="shared" si="1663"/>
        <v/>
      </c>
      <c r="Q10002" t="str">
        <f t="shared" si="1664"/>
        <v/>
      </c>
      <c r="R10002" t="str">
        <f t="shared" si="1665"/>
        <v/>
      </c>
      <c r="S10002" t="str">
        <f t="shared" si="1666"/>
        <v/>
      </c>
      <c r="T10002" t="str">
        <f t="shared" si="1667"/>
        <v/>
      </c>
      <c r="U10002" t="str">
        <f t="shared" si="1668"/>
        <v/>
      </c>
      <c r="V10002" t="str">
        <f t="shared" si="1669"/>
        <v/>
      </c>
      <c r="W10002" t="str">
        <f t="shared" si="1670"/>
        <v/>
      </c>
      <c r="X10002">
        <f t="shared" si="1660"/>
        <v>0</v>
      </c>
      <c r="Z10002" t="str">
        <f t="shared" si="1671"/>
        <v/>
      </c>
      <c r="AA10002">
        <f t="shared" si="1661"/>
        <v>0</v>
      </c>
    </row>
    <row r="10003" spans="1:27" ht="21" customHeight="1" x14ac:dyDescent="0.95">
      <c r="A10003" s="56"/>
      <c r="B10003" s="57"/>
      <c r="C10003" s="57"/>
      <c r="D10003" s="57"/>
      <c r="E10003" s="56"/>
      <c r="F10003" s="57"/>
      <c r="G10003" s="57"/>
      <c r="H10003" s="56"/>
      <c r="I10003" s="56"/>
      <c r="J10003" s="58"/>
      <c r="K10003" s="58"/>
      <c r="L10003" s="13" t="str">
        <f t="shared" si="1662"/>
        <v/>
      </c>
      <c r="M10003" s="13" t="str">
        <f t="shared" si="1663"/>
        <v/>
      </c>
      <c r="Q10003" t="str">
        <f t="shared" si="1664"/>
        <v/>
      </c>
      <c r="R10003" t="str">
        <f t="shared" si="1665"/>
        <v/>
      </c>
      <c r="S10003" t="str">
        <f t="shared" si="1666"/>
        <v/>
      </c>
      <c r="T10003" t="str">
        <f t="shared" si="1667"/>
        <v/>
      </c>
      <c r="U10003" t="str">
        <f t="shared" si="1668"/>
        <v/>
      </c>
      <c r="V10003" t="str">
        <f t="shared" si="1669"/>
        <v/>
      </c>
      <c r="W10003" t="str">
        <f t="shared" si="1670"/>
        <v/>
      </c>
      <c r="X10003">
        <f t="shared" si="1660"/>
        <v>0</v>
      </c>
      <c r="Z10003" t="str">
        <f t="shared" si="1671"/>
        <v/>
      </c>
      <c r="AA10003">
        <f t="shared" si="1661"/>
        <v>0</v>
      </c>
    </row>
    <row r="10004" spans="1:27" ht="21" customHeight="1" x14ac:dyDescent="0.95">
      <c r="A10004" s="56"/>
      <c r="B10004" s="57"/>
      <c r="C10004" s="57"/>
      <c r="D10004" s="57"/>
      <c r="E10004" s="56"/>
      <c r="F10004" s="57"/>
      <c r="G10004" s="57"/>
      <c r="H10004" s="56"/>
      <c r="I10004" s="56"/>
      <c r="J10004" s="58"/>
      <c r="K10004" s="58"/>
      <c r="L10004" s="13" t="str">
        <f t="shared" si="1662"/>
        <v/>
      </c>
      <c r="M10004" s="13" t="str">
        <f t="shared" si="1663"/>
        <v/>
      </c>
      <c r="Q10004" t="str">
        <f t="shared" si="1664"/>
        <v/>
      </c>
      <c r="R10004" t="str">
        <f t="shared" si="1665"/>
        <v/>
      </c>
      <c r="S10004" t="str">
        <f t="shared" si="1666"/>
        <v/>
      </c>
      <c r="T10004" t="str">
        <f t="shared" si="1667"/>
        <v/>
      </c>
      <c r="U10004" t="str">
        <f t="shared" si="1668"/>
        <v/>
      </c>
      <c r="V10004" t="str">
        <f t="shared" si="1669"/>
        <v/>
      </c>
      <c r="W10004" t="str">
        <f t="shared" si="1670"/>
        <v/>
      </c>
      <c r="X10004">
        <f t="shared" si="1660"/>
        <v>0</v>
      </c>
      <c r="Z10004" t="str">
        <f t="shared" si="1671"/>
        <v/>
      </c>
      <c r="AA10004">
        <f t="shared" si="1661"/>
        <v>0</v>
      </c>
    </row>
    <row r="10005" spans="1:27" ht="21" customHeight="1" x14ac:dyDescent="0.95">
      <c r="A10005" s="56"/>
      <c r="B10005" s="57"/>
      <c r="C10005" s="57"/>
      <c r="D10005" s="57"/>
      <c r="E10005" s="56"/>
      <c r="F10005" s="57"/>
      <c r="G10005" s="57"/>
      <c r="H10005" s="56"/>
      <c r="I10005" s="56"/>
      <c r="J10005" s="58"/>
      <c r="K10005" s="58"/>
      <c r="L10005" s="13" t="str">
        <f t="shared" si="930"/>
        <v/>
      </c>
      <c r="M10005" s="13" t="str">
        <f t="shared" si="931"/>
        <v/>
      </c>
      <c r="Q10005" t="str">
        <f t="shared" si="932"/>
        <v/>
      </c>
      <c r="R10005" t="str">
        <f t="shared" si="933"/>
        <v/>
      </c>
      <c r="S10005" t="str">
        <f t="shared" si="934"/>
        <v/>
      </c>
      <c r="T10005" t="str">
        <f t="shared" si="935"/>
        <v/>
      </c>
      <c r="U10005" t="str">
        <f t="shared" si="936"/>
        <v/>
      </c>
      <c r="V10005" t="str">
        <f t="shared" si="937"/>
        <v/>
      </c>
      <c r="W10005" t="str">
        <f>IF($T10005="","",IF($X10005&gt;N($X6004),$X10005,""))</f>
        <v/>
      </c>
      <c r="X10005">
        <f>IF($T10005="",N($X6004),IF(MATCH($T10005,$T$6:$T$10005,0)=ROW()-5,N($X6004)+1,N($X6004)))</f>
        <v>0</v>
      </c>
      <c r="Z10005" t="str">
        <f>IF($V10005="","",IF($AA10005&gt;N($AA6004),$AA10005,""))</f>
        <v/>
      </c>
      <c r="AA10005">
        <f>IF($V10005="",N($AA6004),IF(MATCH($V10005,$V$6:$V$10005,0)=ROW()-5,N($AA6004)+1,N($AA6004)))</f>
        <v>0</v>
      </c>
    </row>
  </sheetData>
  <autoFilter ref="A5:M10005" xr:uid="{00000000-0009-0000-0000-000000000000}"/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0000000}">
          <x14:formula1>
            <xm:f>รายการมาตรฐาน!$B$2:$B$302</xm:f>
          </x14:formula1>
          <xm:sqref>B6:B10005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1000000}">
          <x14:formula1>
            <xm:f>รายการมาตรฐาน!$C$2:$C$302</xm:f>
          </x14:formula1>
          <xm:sqref>C6:C10005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2000000}">
          <x14:formula1>
            <xm:f>รายการมาตรฐาน!$D$2:$D$302</xm:f>
          </x14:formula1>
          <xm:sqref>D6:D10005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3000000}">
          <x14:formula1>
            <xm:f>รายการมาตรฐาน!$E$2:$E$302</xm:f>
          </x14:formula1>
          <xm:sqref>E6:E10005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4000000}">
          <x14:formula1>
            <xm:f>รายการมาตรฐาน!$F$2:$F$302</xm:f>
          </x14:formula1>
          <xm:sqref>F6:F10005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5000000}">
          <x14:formula1>
            <xm:f>รายการมาตรฐาน!$A$2:$A$302</xm:f>
          </x14:formula1>
          <xm:sqref>F3 G6:G10005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I64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34" customWidth="1"/>
    <col min="3" max="3" width="12" customWidth="1"/>
    <col min="4" max="4" width="11" customWidth="1"/>
    <col min="5" max="5" width="15" customWidth="1"/>
    <col min="6" max="6" width="12" customWidth="1"/>
    <col min="7" max="7" width="11" customWidth="1"/>
    <col min="8" max="8" width="15" customWidth="1"/>
    <col min="9" max="9" width="12" customWidth="1"/>
    <col min="10" max="10" width="11" customWidth="1"/>
    <col min="11" max="11" width="15" customWidth="1"/>
    <col min="12" max="12" width="12" customWidth="1"/>
    <col min="13" max="13" width="11" customWidth="1"/>
    <col min="14" max="14" width="15" customWidth="1"/>
    <col min="15" max="15" width="12" customWidth="1"/>
    <col min="16" max="16" width="11" customWidth="1"/>
    <col min="17" max="17" width="15" customWidth="1"/>
    <col min="18" max="18" width="12" customWidth="1"/>
    <col min="19" max="19" width="11" customWidth="1"/>
    <col min="20" max="20" width="15" customWidth="1"/>
    <col min="21" max="21" width="12" customWidth="1"/>
    <col min="22" max="22" width="11" customWidth="1"/>
    <col min="23" max="23" width="15" customWidth="1"/>
    <col min="24" max="24" width="12" customWidth="1"/>
    <col min="25" max="25" width="11" customWidth="1"/>
    <col min="26" max="30" width="15" customWidth="1"/>
    <col min="31" max="31" width="17" customWidth="1"/>
    <col min="32" max="32" width="13" hidden="1" customWidth="1"/>
    <col min="34" max="34" width="40" customWidth="1"/>
    <col min="35" max="35" width="22" customWidth="1"/>
  </cols>
  <sheetData>
    <row r="1" spans="1:35" ht="25.9" customHeight="1" x14ac:dyDescent="1.05">
      <c r="A1" s="1" t="str">
        <f>"ค่าใช้จ่ายของทีมรถร่วม ประจำเดือน  "&amp;บันทึกรายเที่ยว!$B$3</f>
        <v>ค่าใช้จ่ายของทีมรถร่วม ประจำเดือน  กรกฎาคม 2569</v>
      </c>
      <c r="AH1" s="18" t="s">
        <v>65</v>
      </c>
    </row>
    <row r="2" spans="1:35" ht="34.049999999999997" customHeight="1" x14ac:dyDescent="0.95">
      <c r="A2" s="63" t="s">
        <v>66</v>
      </c>
      <c r="B2" s="7" t="s">
        <v>67</v>
      </c>
      <c r="C2" s="65" t="s">
        <v>68</v>
      </c>
      <c r="D2" s="66"/>
      <c r="E2" s="67"/>
      <c r="F2" s="65" t="s">
        <v>69</v>
      </c>
      <c r="G2" s="66"/>
      <c r="H2" s="67"/>
      <c r="I2" s="65" t="s">
        <v>70</v>
      </c>
      <c r="J2" s="66"/>
      <c r="K2" s="67"/>
      <c r="L2" s="65" t="s">
        <v>71</v>
      </c>
      <c r="M2" s="66"/>
      <c r="N2" s="67"/>
      <c r="O2" s="65" t="s">
        <v>72</v>
      </c>
      <c r="P2" s="66"/>
      <c r="Q2" s="67"/>
      <c r="R2" s="65" t="s">
        <v>73</v>
      </c>
      <c r="S2" s="66"/>
      <c r="T2" s="67"/>
      <c r="U2" s="65" t="s">
        <v>74</v>
      </c>
      <c r="V2" s="66"/>
      <c r="W2" s="67"/>
      <c r="X2" s="65" t="s">
        <v>75</v>
      </c>
      <c r="Y2" s="66"/>
      <c r="Z2" s="67"/>
      <c r="AA2" s="7" t="s">
        <v>76</v>
      </c>
      <c r="AB2" s="7" t="s">
        <v>76</v>
      </c>
      <c r="AC2" s="7" t="s">
        <v>76</v>
      </c>
      <c r="AD2" s="7" t="s">
        <v>76</v>
      </c>
      <c r="AE2" s="63" t="s">
        <v>77</v>
      </c>
      <c r="AH2" s="8" t="s">
        <v>78</v>
      </c>
      <c r="AI2" s="9">
        <f>COUNTA($B$4:$B$63)</f>
        <v>0</v>
      </c>
    </row>
    <row r="3" spans="1:35" ht="30" customHeight="1" x14ac:dyDescent="0.95">
      <c r="A3" s="64"/>
      <c r="B3" s="7" t="s">
        <v>79</v>
      </c>
      <c r="C3" s="7" t="s">
        <v>80</v>
      </c>
      <c r="D3" s="7" t="s">
        <v>81</v>
      </c>
      <c r="E3" s="7" t="s">
        <v>82</v>
      </c>
      <c r="F3" s="7" t="s">
        <v>80</v>
      </c>
      <c r="G3" s="7" t="s">
        <v>81</v>
      </c>
      <c r="H3" s="7" t="s">
        <v>82</v>
      </c>
      <c r="I3" s="7" t="s">
        <v>80</v>
      </c>
      <c r="J3" s="7" t="s">
        <v>81</v>
      </c>
      <c r="K3" s="7" t="s">
        <v>82</v>
      </c>
      <c r="L3" s="7" t="s">
        <v>80</v>
      </c>
      <c r="M3" s="7" t="s">
        <v>81</v>
      </c>
      <c r="N3" s="7" t="s">
        <v>82</v>
      </c>
      <c r="O3" s="7" t="s">
        <v>80</v>
      </c>
      <c r="P3" s="7" t="s">
        <v>81</v>
      </c>
      <c r="Q3" s="7" t="s">
        <v>82</v>
      </c>
      <c r="R3" s="7" t="s">
        <v>80</v>
      </c>
      <c r="S3" s="7" t="s">
        <v>81</v>
      </c>
      <c r="T3" s="7" t="s">
        <v>82</v>
      </c>
      <c r="U3" s="7" t="s">
        <v>80</v>
      </c>
      <c r="V3" s="7" t="s">
        <v>81</v>
      </c>
      <c r="W3" s="7" t="s">
        <v>82</v>
      </c>
      <c r="X3" s="7" t="s">
        <v>80</v>
      </c>
      <c r="Y3" s="7" t="s">
        <v>81</v>
      </c>
      <c r="Z3" s="7" t="s">
        <v>82</v>
      </c>
      <c r="AA3" s="19" t="s">
        <v>83</v>
      </c>
      <c r="AB3" s="19" t="s">
        <v>84</v>
      </c>
      <c r="AC3" s="19" t="s">
        <v>85</v>
      </c>
      <c r="AD3" s="19" t="s">
        <v>86</v>
      </c>
      <c r="AE3" s="64"/>
      <c r="AH3" s="8" t="s">
        <v>87</v>
      </c>
      <c r="AI3" s="14">
        <f>ROUND(SUM($AE$4:$AE$63),2)</f>
        <v>0</v>
      </c>
    </row>
    <row r="4" spans="1:35" ht="21" customHeight="1" x14ac:dyDescent="0.95">
      <c r="A4" s="15" t="str">
        <f>IF($B4="","",COUNTA($B$4:$B4))</f>
        <v/>
      </c>
      <c r="B4" s="20"/>
      <c r="C4" s="12"/>
      <c r="D4" s="21"/>
      <c r="E4" s="12"/>
      <c r="F4" s="12"/>
      <c r="G4" s="21"/>
      <c r="H4" s="12"/>
      <c r="I4" s="12"/>
      <c r="J4" s="21"/>
      <c r="K4" s="12"/>
      <c r="L4" s="12"/>
      <c r="M4" s="21"/>
      <c r="N4" s="12"/>
      <c r="O4" s="12"/>
      <c r="P4" s="21"/>
      <c r="Q4" s="12"/>
      <c r="R4" s="12"/>
      <c r="S4" s="21"/>
      <c r="T4" s="12"/>
      <c r="U4" s="12"/>
      <c r="V4" s="21"/>
      <c r="W4" s="12"/>
      <c r="X4" s="12"/>
      <c r="Y4" s="21"/>
      <c r="Z4" s="12"/>
      <c r="AA4" s="12"/>
      <c r="AB4" s="12"/>
      <c r="AC4" s="12"/>
      <c r="AD4" s="12"/>
      <c r="AE4" s="22" t="str">
        <f t="shared" ref="AE4:AE35" si="0">IF($B4="","",ROUND(N($E4)+N($H4)+N($K4)+N($N4)+N($Q4)+N($T4)+N($W4)+N($Z4)+N($AA4)+N($AB4)+N($AC4)+N($AD4),2))</f>
        <v/>
      </c>
      <c r="AF4">
        <f t="shared" ref="AF4:AF35" si="1">IF($B4="",0,IF(AND($C4&lt;&gt;"",$D4&lt;&gt;"",$E4&lt;&gt;"",ABS($C4*$D4-$E4)&gt;1),1,0)+IF(AND($F4&lt;&gt;"",$G4&lt;&gt;"",$H4&lt;&gt;"",ABS($F4*$G4-$H4)&gt;1),1,0)+IF(AND($I4&lt;&gt;"",$J4&lt;&gt;"",$K4&lt;&gt;"",ABS($I4*$J4-$K4)&gt;1),1,0)+IF(AND($L4&lt;&gt;"",$M4&lt;&gt;"",$N4&lt;&gt;"",ABS($L4*$M4-$N4)&gt;1),1,0)+IF(AND($O4&lt;&gt;"",$P4&lt;&gt;"",$Q4&lt;&gt;"",ABS($O4*$P4-$Q4)&gt;1),1,0)+IF(AND($R4&lt;&gt;"",$S4&lt;&gt;"",$T4&lt;&gt;"",ABS($R4*$S4-$T4)&gt;1),1,0)+IF(AND($U4&lt;&gt;"",$V4&lt;&gt;"",$W4&lt;&gt;"",ABS($U4*$V4-$W4)&gt;1),1,0)+IF(AND($X4&lt;&gt;"",$Y4&lt;&gt;"",$Z4&lt;&gt;"",ABS($X4*$Y4-$Z4)&gt;1),1,0))</f>
        <v>0</v>
      </c>
      <c r="AH4" s="8" t="s">
        <v>88</v>
      </c>
      <c r="AI4" s="9">
        <f>SUMPRODUCT(--($B$4:$B$63&lt;&gt;""),--(COUNTIF(สรุปจ่ายรถร่วม!$AF$5:$AF$704,$B$4:$B$63)=0))</f>
        <v>0</v>
      </c>
    </row>
    <row r="5" spans="1:35" ht="21" customHeight="1" x14ac:dyDescent="0.95">
      <c r="A5" s="15" t="str">
        <f>IF($B5="","",COUNTA($B$4:$B5))</f>
        <v/>
      </c>
      <c r="B5" s="20"/>
      <c r="C5" s="12"/>
      <c r="D5" s="21"/>
      <c r="E5" s="12"/>
      <c r="F5" s="12"/>
      <c r="G5" s="21"/>
      <c r="H5" s="12"/>
      <c r="I5" s="12"/>
      <c r="J5" s="21"/>
      <c r="K5" s="12"/>
      <c r="L5" s="12"/>
      <c r="M5" s="21"/>
      <c r="N5" s="12"/>
      <c r="O5" s="12"/>
      <c r="P5" s="21"/>
      <c r="Q5" s="12"/>
      <c r="R5" s="12"/>
      <c r="S5" s="21"/>
      <c r="T5" s="12"/>
      <c r="U5" s="12"/>
      <c r="V5" s="21"/>
      <c r="W5" s="12"/>
      <c r="X5" s="12"/>
      <c r="Y5" s="21"/>
      <c r="Z5" s="12"/>
      <c r="AA5" s="12"/>
      <c r="AB5" s="12"/>
      <c r="AC5" s="12"/>
      <c r="AD5" s="12"/>
      <c r="AE5" s="22" t="str">
        <f t="shared" si="0"/>
        <v/>
      </c>
      <c r="AF5">
        <f t="shared" si="1"/>
        <v>0</v>
      </c>
      <c r="AH5" s="8" t="s">
        <v>89</v>
      </c>
      <c r="AI5" s="9">
        <f>SUM($AF$4:$AF$63)</f>
        <v>0</v>
      </c>
    </row>
    <row r="6" spans="1:35" ht="21" customHeight="1" x14ac:dyDescent="0.95">
      <c r="A6" s="15" t="str">
        <f>IF($B6="","",COUNTA($B$4:$B6))</f>
        <v/>
      </c>
      <c r="B6" s="20"/>
      <c r="C6" s="12"/>
      <c r="D6" s="21"/>
      <c r="E6" s="12"/>
      <c r="F6" s="12"/>
      <c r="G6" s="21"/>
      <c r="H6" s="12"/>
      <c r="I6" s="12"/>
      <c r="J6" s="21"/>
      <c r="K6" s="12"/>
      <c r="L6" s="12"/>
      <c r="M6" s="21"/>
      <c r="N6" s="12"/>
      <c r="O6" s="12"/>
      <c r="P6" s="21"/>
      <c r="Q6" s="12"/>
      <c r="R6" s="12"/>
      <c r="S6" s="21"/>
      <c r="T6" s="12"/>
      <c r="U6" s="12"/>
      <c r="V6" s="21"/>
      <c r="W6" s="12"/>
      <c r="X6" s="12"/>
      <c r="Y6" s="21"/>
      <c r="Z6" s="12"/>
      <c r="AA6" s="12"/>
      <c r="AB6" s="12"/>
      <c r="AC6" s="12"/>
      <c r="AD6" s="12"/>
      <c r="AE6" s="22" t="str">
        <f t="shared" si="0"/>
        <v/>
      </c>
      <c r="AF6">
        <f t="shared" si="1"/>
        <v>0</v>
      </c>
      <c r="AH6" s="8" t="s">
        <v>90</v>
      </c>
      <c r="AI6" s="14">
        <f>ROUND(SUMIF(สรุปจ่ายรถร่วม!$AD$5:$AD$704,"T",สรุปจ่ายรถร่วม!$M$5:$M$704),2)</f>
        <v>0</v>
      </c>
    </row>
    <row r="7" spans="1:35" ht="21" customHeight="1" x14ac:dyDescent="0.95">
      <c r="A7" s="15" t="str">
        <f>IF($B7="","",COUNTA($B$4:$B7))</f>
        <v/>
      </c>
      <c r="B7" s="20"/>
      <c r="C7" s="12"/>
      <c r="D7" s="21"/>
      <c r="E7" s="12"/>
      <c r="F7" s="12"/>
      <c r="G7" s="21"/>
      <c r="H7" s="12"/>
      <c r="I7" s="12"/>
      <c r="J7" s="21"/>
      <c r="K7" s="12"/>
      <c r="L7" s="12"/>
      <c r="M7" s="21"/>
      <c r="N7" s="12"/>
      <c r="O7" s="12"/>
      <c r="P7" s="21"/>
      <c r="Q7" s="12"/>
      <c r="R7" s="12"/>
      <c r="S7" s="21"/>
      <c r="T7" s="12"/>
      <c r="U7" s="12"/>
      <c r="V7" s="21"/>
      <c r="W7" s="12"/>
      <c r="X7" s="12"/>
      <c r="Y7" s="21"/>
      <c r="Z7" s="12"/>
      <c r="AA7" s="12"/>
      <c r="AB7" s="12"/>
      <c r="AC7" s="12"/>
      <c r="AD7" s="12"/>
      <c r="AE7" s="22" t="str">
        <f t="shared" si="0"/>
        <v/>
      </c>
      <c r="AF7">
        <f t="shared" si="1"/>
        <v>0</v>
      </c>
      <c r="AH7" s="8" t="s">
        <v>91</v>
      </c>
      <c r="AI7" s="17" t="str">
        <f>IF($AI$4&gt;0,"*** มีทีมที่ยอดหักจะหายไป — แก้ชื่อทีมก่อน ***",IF(ROUND($AI$3,2)&lt;&gt;ROUND($AI$6,2),"*** ยอดหักไม่ตรงกับสรุปจ่ายรถร่วม ***",IF($AI$5&gt;0,"มีแถวที่ ลิตร x ราคา ไม่ตรงกับยอดเงิน (ตรวจดู)","ปกติ")))</f>
        <v>ปกติ</v>
      </c>
    </row>
    <row r="8" spans="1:35" ht="21" customHeight="1" x14ac:dyDescent="0.95">
      <c r="A8" s="15" t="str">
        <f>IF($B8="","",COUNTA($B$4:$B8))</f>
        <v/>
      </c>
      <c r="B8" s="20"/>
      <c r="C8" s="12"/>
      <c r="D8" s="21"/>
      <c r="E8" s="12"/>
      <c r="F8" s="12"/>
      <c r="G8" s="21"/>
      <c r="H8" s="12"/>
      <c r="I8" s="12"/>
      <c r="J8" s="21"/>
      <c r="K8" s="12"/>
      <c r="L8" s="12"/>
      <c r="M8" s="21"/>
      <c r="N8" s="12"/>
      <c r="O8" s="12"/>
      <c r="P8" s="21"/>
      <c r="Q8" s="12"/>
      <c r="R8" s="12"/>
      <c r="S8" s="21"/>
      <c r="T8" s="12"/>
      <c r="U8" s="12"/>
      <c r="V8" s="21"/>
      <c r="W8" s="12"/>
      <c r="X8" s="12"/>
      <c r="Y8" s="21"/>
      <c r="Z8" s="12"/>
      <c r="AA8" s="12"/>
      <c r="AB8" s="12"/>
      <c r="AC8" s="12"/>
      <c r="AD8" s="12"/>
      <c r="AE8" s="22" t="str">
        <f t="shared" si="0"/>
        <v/>
      </c>
      <c r="AF8">
        <f t="shared" si="1"/>
        <v>0</v>
      </c>
    </row>
    <row r="9" spans="1:35" ht="21" customHeight="1" x14ac:dyDescent="0.95">
      <c r="A9" s="15" t="str">
        <f>IF($B9="","",COUNTA($B$4:$B9))</f>
        <v/>
      </c>
      <c r="B9" s="20"/>
      <c r="C9" s="12"/>
      <c r="D9" s="21"/>
      <c r="E9" s="12"/>
      <c r="F9" s="12"/>
      <c r="G9" s="21"/>
      <c r="H9" s="12"/>
      <c r="I9" s="12"/>
      <c r="J9" s="21"/>
      <c r="K9" s="12"/>
      <c r="L9" s="12"/>
      <c r="M9" s="21"/>
      <c r="N9" s="12"/>
      <c r="O9" s="12"/>
      <c r="P9" s="21"/>
      <c r="Q9" s="12"/>
      <c r="R9" s="12"/>
      <c r="S9" s="21"/>
      <c r="T9" s="12"/>
      <c r="U9" s="12"/>
      <c r="V9" s="21"/>
      <c r="W9" s="12"/>
      <c r="X9" s="12"/>
      <c r="Y9" s="21"/>
      <c r="Z9" s="12"/>
      <c r="AA9" s="12"/>
      <c r="AB9" s="12"/>
      <c r="AC9" s="12"/>
      <c r="AD9" s="12"/>
      <c r="AE9" s="22" t="str">
        <f t="shared" si="0"/>
        <v/>
      </c>
      <c r="AF9">
        <f t="shared" si="1"/>
        <v>0</v>
      </c>
      <c r="AH9" s="2" t="s">
        <v>92</v>
      </c>
    </row>
    <row r="10" spans="1:35" ht="21" customHeight="1" x14ac:dyDescent="0.95">
      <c r="A10" s="15" t="str">
        <f>IF($B10="","",COUNTA($B$4:$B10))</f>
        <v/>
      </c>
      <c r="B10" s="20"/>
      <c r="C10" s="12"/>
      <c r="D10" s="21"/>
      <c r="E10" s="12"/>
      <c r="F10" s="12"/>
      <c r="G10" s="21"/>
      <c r="H10" s="12"/>
      <c r="I10" s="12"/>
      <c r="J10" s="21"/>
      <c r="K10" s="12"/>
      <c r="L10" s="12"/>
      <c r="M10" s="21"/>
      <c r="N10" s="12"/>
      <c r="O10" s="12"/>
      <c r="P10" s="21"/>
      <c r="Q10" s="12"/>
      <c r="R10" s="12"/>
      <c r="S10" s="21"/>
      <c r="T10" s="12"/>
      <c r="U10" s="12"/>
      <c r="V10" s="21"/>
      <c r="W10" s="12"/>
      <c r="X10" s="12"/>
      <c r="Y10" s="21"/>
      <c r="Z10" s="12"/>
      <c r="AA10" s="12"/>
      <c r="AB10" s="12"/>
      <c r="AC10" s="12"/>
      <c r="AD10" s="12"/>
      <c r="AE10" s="22" t="str">
        <f t="shared" si="0"/>
        <v/>
      </c>
      <c r="AF10">
        <f t="shared" si="1"/>
        <v>0</v>
      </c>
    </row>
    <row r="11" spans="1:35" ht="21" customHeight="1" x14ac:dyDescent="0.95">
      <c r="A11" s="15" t="str">
        <f>IF($B11="","",COUNTA($B$4:$B11))</f>
        <v/>
      </c>
      <c r="B11" s="20"/>
      <c r="C11" s="12"/>
      <c r="D11" s="21"/>
      <c r="E11" s="12"/>
      <c r="F11" s="12"/>
      <c r="G11" s="21"/>
      <c r="H11" s="12"/>
      <c r="I11" s="12"/>
      <c r="J11" s="21"/>
      <c r="K11" s="12"/>
      <c r="L11" s="12"/>
      <c r="M11" s="21"/>
      <c r="N11" s="12"/>
      <c r="O11" s="12"/>
      <c r="P11" s="21"/>
      <c r="Q11" s="12"/>
      <c r="R11" s="12"/>
      <c r="S11" s="21"/>
      <c r="T11" s="12"/>
      <c r="U11" s="12"/>
      <c r="V11" s="21"/>
      <c r="W11" s="12"/>
      <c r="X11" s="12"/>
      <c r="Y11" s="21"/>
      <c r="Z11" s="12"/>
      <c r="AA11" s="12"/>
      <c r="AB11" s="12"/>
      <c r="AC11" s="12"/>
      <c r="AD11" s="12"/>
      <c r="AE11" s="22" t="str">
        <f t="shared" si="0"/>
        <v/>
      </c>
      <c r="AF11">
        <f t="shared" si="1"/>
        <v>0</v>
      </c>
      <c r="AH11" s="23" t="s">
        <v>93</v>
      </c>
    </row>
    <row r="12" spans="1:35" ht="21" customHeight="1" x14ac:dyDescent="0.95">
      <c r="A12" s="15" t="str">
        <f>IF($B12="","",COUNTA($B$4:$B12))</f>
        <v/>
      </c>
      <c r="B12" s="20"/>
      <c r="C12" s="12"/>
      <c r="D12" s="21"/>
      <c r="E12" s="12"/>
      <c r="F12" s="12"/>
      <c r="G12" s="21"/>
      <c r="H12" s="12"/>
      <c r="I12" s="12"/>
      <c r="J12" s="21"/>
      <c r="K12" s="12"/>
      <c r="L12" s="12"/>
      <c r="M12" s="21"/>
      <c r="N12" s="12"/>
      <c r="O12" s="12"/>
      <c r="P12" s="21"/>
      <c r="Q12" s="12"/>
      <c r="R12" s="12"/>
      <c r="S12" s="21"/>
      <c r="T12" s="12"/>
      <c r="U12" s="12"/>
      <c r="V12" s="21"/>
      <c r="W12" s="12"/>
      <c r="X12" s="12"/>
      <c r="Y12" s="21"/>
      <c r="Z12" s="12"/>
      <c r="AA12" s="12"/>
      <c r="AB12" s="12"/>
      <c r="AC12" s="12"/>
      <c r="AD12" s="12"/>
      <c r="AE12" s="22" t="str">
        <f t="shared" si="0"/>
        <v/>
      </c>
      <c r="AF12">
        <f t="shared" si="1"/>
        <v>0</v>
      </c>
      <c r="AH12" s="8" t="s">
        <v>94</v>
      </c>
    </row>
    <row r="13" spans="1:35" ht="21" customHeight="1" x14ac:dyDescent="0.95">
      <c r="A13" s="15" t="str">
        <f>IF($B13="","",COUNTA($B$4:$B13))</f>
        <v/>
      </c>
      <c r="B13" s="20"/>
      <c r="C13" s="12"/>
      <c r="D13" s="21"/>
      <c r="E13" s="12"/>
      <c r="F13" s="12"/>
      <c r="G13" s="21"/>
      <c r="H13" s="12"/>
      <c r="I13" s="12"/>
      <c r="J13" s="21"/>
      <c r="K13" s="12"/>
      <c r="L13" s="12"/>
      <c r="M13" s="21"/>
      <c r="N13" s="12"/>
      <c r="O13" s="12"/>
      <c r="P13" s="21"/>
      <c r="Q13" s="12"/>
      <c r="R13" s="12"/>
      <c r="S13" s="21"/>
      <c r="T13" s="12"/>
      <c r="U13" s="12"/>
      <c r="V13" s="21"/>
      <c r="W13" s="12"/>
      <c r="X13" s="12"/>
      <c r="Y13" s="21"/>
      <c r="Z13" s="12"/>
      <c r="AA13" s="12"/>
      <c r="AB13" s="12"/>
      <c r="AC13" s="12"/>
      <c r="AD13" s="12"/>
      <c r="AE13" s="22" t="str">
        <f t="shared" si="0"/>
        <v/>
      </c>
      <c r="AF13">
        <f t="shared" si="1"/>
        <v>0</v>
      </c>
    </row>
    <row r="14" spans="1:35" ht="21" customHeight="1" x14ac:dyDescent="0.95">
      <c r="A14" s="15" t="str">
        <f>IF($B14="","",COUNTA($B$4:$B14))</f>
        <v/>
      </c>
      <c r="B14" s="20"/>
      <c r="C14" s="12"/>
      <c r="D14" s="21"/>
      <c r="E14" s="12"/>
      <c r="F14" s="12"/>
      <c r="G14" s="21"/>
      <c r="H14" s="12"/>
      <c r="I14" s="12"/>
      <c r="J14" s="21"/>
      <c r="K14" s="12"/>
      <c r="L14" s="12"/>
      <c r="M14" s="21"/>
      <c r="N14" s="12"/>
      <c r="O14" s="12"/>
      <c r="P14" s="21"/>
      <c r="Q14" s="12"/>
      <c r="R14" s="12"/>
      <c r="S14" s="21"/>
      <c r="T14" s="12"/>
      <c r="U14" s="12"/>
      <c r="V14" s="21"/>
      <c r="W14" s="12"/>
      <c r="X14" s="12"/>
      <c r="Y14" s="21"/>
      <c r="Z14" s="12"/>
      <c r="AA14" s="12"/>
      <c r="AB14" s="12"/>
      <c r="AC14" s="12"/>
      <c r="AD14" s="12"/>
      <c r="AE14" s="22" t="str">
        <f t="shared" si="0"/>
        <v/>
      </c>
      <c r="AF14">
        <f t="shared" si="1"/>
        <v>0</v>
      </c>
    </row>
    <row r="15" spans="1:35" ht="21" customHeight="1" x14ac:dyDescent="0.95">
      <c r="A15" s="15" t="str">
        <f>IF($B15="","",COUNTA($B$4:$B15))</f>
        <v/>
      </c>
      <c r="B15" s="20"/>
      <c r="C15" s="12"/>
      <c r="D15" s="21"/>
      <c r="E15" s="12"/>
      <c r="F15" s="12"/>
      <c r="G15" s="21"/>
      <c r="H15" s="12"/>
      <c r="I15" s="12"/>
      <c r="J15" s="21"/>
      <c r="K15" s="12"/>
      <c r="L15" s="12"/>
      <c r="M15" s="21"/>
      <c r="N15" s="12"/>
      <c r="O15" s="12"/>
      <c r="P15" s="21"/>
      <c r="Q15" s="12"/>
      <c r="R15" s="12"/>
      <c r="S15" s="21"/>
      <c r="T15" s="12"/>
      <c r="U15" s="12"/>
      <c r="V15" s="21"/>
      <c r="W15" s="12"/>
      <c r="X15" s="12"/>
      <c r="Y15" s="21"/>
      <c r="Z15" s="12"/>
      <c r="AA15" s="12"/>
      <c r="AB15" s="12"/>
      <c r="AC15" s="12"/>
      <c r="AD15" s="12"/>
      <c r="AE15" s="22" t="str">
        <f t="shared" si="0"/>
        <v/>
      </c>
      <c r="AF15">
        <f t="shared" si="1"/>
        <v>0</v>
      </c>
    </row>
    <row r="16" spans="1:35" ht="21" customHeight="1" x14ac:dyDescent="0.95">
      <c r="A16" s="15" t="str">
        <f>IF($B16="","",COUNTA($B$4:$B16))</f>
        <v/>
      </c>
      <c r="B16" s="20"/>
      <c r="C16" s="12"/>
      <c r="D16" s="21"/>
      <c r="E16" s="12"/>
      <c r="F16" s="12"/>
      <c r="G16" s="21"/>
      <c r="H16" s="12"/>
      <c r="I16" s="12"/>
      <c r="J16" s="21"/>
      <c r="K16" s="12"/>
      <c r="L16" s="12"/>
      <c r="M16" s="21"/>
      <c r="N16" s="12"/>
      <c r="O16" s="12"/>
      <c r="P16" s="21"/>
      <c r="Q16" s="12"/>
      <c r="R16" s="12"/>
      <c r="S16" s="21"/>
      <c r="T16" s="12"/>
      <c r="U16" s="12"/>
      <c r="V16" s="21"/>
      <c r="W16" s="12"/>
      <c r="X16" s="12"/>
      <c r="Y16" s="21"/>
      <c r="Z16" s="12"/>
      <c r="AA16" s="12"/>
      <c r="AB16" s="12"/>
      <c r="AC16" s="12"/>
      <c r="AD16" s="12"/>
      <c r="AE16" s="22" t="str">
        <f t="shared" si="0"/>
        <v/>
      </c>
      <c r="AF16">
        <f t="shared" si="1"/>
        <v>0</v>
      </c>
    </row>
    <row r="17" spans="1:32" ht="21" customHeight="1" x14ac:dyDescent="0.95">
      <c r="A17" s="15" t="str">
        <f>IF($B17="","",COUNTA($B$4:$B17))</f>
        <v/>
      </c>
      <c r="B17" s="20"/>
      <c r="C17" s="12"/>
      <c r="D17" s="21"/>
      <c r="E17" s="12"/>
      <c r="F17" s="12"/>
      <c r="G17" s="21"/>
      <c r="H17" s="12"/>
      <c r="I17" s="12"/>
      <c r="J17" s="21"/>
      <c r="K17" s="12"/>
      <c r="L17" s="12"/>
      <c r="M17" s="21"/>
      <c r="N17" s="12"/>
      <c r="O17" s="12"/>
      <c r="P17" s="21"/>
      <c r="Q17" s="12"/>
      <c r="R17" s="12"/>
      <c r="S17" s="21"/>
      <c r="T17" s="12"/>
      <c r="U17" s="12"/>
      <c r="V17" s="21"/>
      <c r="W17" s="12"/>
      <c r="X17" s="12"/>
      <c r="Y17" s="21"/>
      <c r="Z17" s="12"/>
      <c r="AA17" s="12"/>
      <c r="AB17" s="12"/>
      <c r="AC17" s="12"/>
      <c r="AD17" s="12"/>
      <c r="AE17" s="22" t="str">
        <f t="shared" si="0"/>
        <v/>
      </c>
      <c r="AF17">
        <f t="shared" si="1"/>
        <v>0</v>
      </c>
    </row>
    <row r="18" spans="1:32" ht="21" customHeight="1" x14ac:dyDescent="0.95">
      <c r="A18" s="15" t="str">
        <f>IF($B18="","",COUNTA($B$4:$B18))</f>
        <v/>
      </c>
      <c r="B18" s="20"/>
      <c r="C18" s="12"/>
      <c r="D18" s="21"/>
      <c r="E18" s="12"/>
      <c r="F18" s="12"/>
      <c r="G18" s="21"/>
      <c r="H18" s="12"/>
      <c r="I18" s="12"/>
      <c r="J18" s="21"/>
      <c r="K18" s="12"/>
      <c r="L18" s="12"/>
      <c r="M18" s="21"/>
      <c r="N18" s="12"/>
      <c r="O18" s="12"/>
      <c r="P18" s="21"/>
      <c r="Q18" s="12"/>
      <c r="R18" s="12"/>
      <c r="S18" s="21"/>
      <c r="T18" s="12"/>
      <c r="U18" s="12"/>
      <c r="V18" s="21"/>
      <c r="W18" s="12"/>
      <c r="X18" s="12"/>
      <c r="Y18" s="21"/>
      <c r="Z18" s="12"/>
      <c r="AA18" s="12"/>
      <c r="AB18" s="12"/>
      <c r="AC18" s="12"/>
      <c r="AD18" s="12"/>
      <c r="AE18" s="22" t="str">
        <f t="shared" si="0"/>
        <v/>
      </c>
      <c r="AF18">
        <f t="shared" si="1"/>
        <v>0</v>
      </c>
    </row>
    <row r="19" spans="1:32" ht="21" customHeight="1" x14ac:dyDescent="0.95">
      <c r="A19" s="15" t="str">
        <f>IF($B19="","",COUNTA($B$4:$B19))</f>
        <v/>
      </c>
      <c r="B19" s="20"/>
      <c r="C19" s="12"/>
      <c r="D19" s="21"/>
      <c r="E19" s="12"/>
      <c r="F19" s="12"/>
      <c r="G19" s="21"/>
      <c r="H19" s="12"/>
      <c r="I19" s="12"/>
      <c r="J19" s="21"/>
      <c r="K19" s="12"/>
      <c r="L19" s="12"/>
      <c r="M19" s="21"/>
      <c r="N19" s="12"/>
      <c r="O19" s="12"/>
      <c r="P19" s="21"/>
      <c r="Q19" s="12"/>
      <c r="R19" s="12"/>
      <c r="S19" s="21"/>
      <c r="T19" s="12"/>
      <c r="U19" s="12"/>
      <c r="V19" s="21"/>
      <c r="W19" s="12"/>
      <c r="X19" s="12"/>
      <c r="Y19" s="21"/>
      <c r="Z19" s="12"/>
      <c r="AA19" s="12"/>
      <c r="AB19" s="12"/>
      <c r="AC19" s="12"/>
      <c r="AD19" s="12"/>
      <c r="AE19" s="22" t="str">
        <f t="shared" si="0"/>
        <v/>
      </c>
      <c r="AF19">
        <f t="shared" si="1"/>
        <v>0</v>
      </c>
    </row>
    <row r="20" spans="1:32" ht="21" customHeight="1" x14ac:dyDescent="0.95">
      <c r="A20" s="15" t="str">
        <f>IF($B20="","",COUNTA($B$4:$B20))</f>
        <v/>
      </c>
      <c r="B20" s="20"/>
      <c r="C20" s="12"/>
      <c r="D20" s="21"/>
      <c r="E20" s="12"/>
      <c r="F20" s="12"/>
      <c r="G20" s="21"/>
      <c r="H20" s="12"/>
      <c r="I20" s="12"/>
      <c r="J20" s="21"/>
      <c r="K20" s="12"/>
      <c r="L20" s="12"/>
      <c r="M20" s="21"/>
      <c r="N20" s="12"/>
      <c r="O20" s="12"/>
      <c r="P20" s="21"/>
      <c r="Q20" s="12"/>
      <c r="R20" s="12"/>
      <c r="S20" s="21"/>
      <c r="T20" s="12"/>
      <c r="U20" s="12"/>
      <c r="V20" s="21"/>
      <c r="W20" s="12"/>
      <c r="X20" s="12"/>
      <c r="Y20" s="21"/>
      <c r="Z20" s="12"/>
      <c r="AA20" s="12"/>
      <c r="AB20" s="12"/>
      <c r="AC20" s="12"/>
      <c r="AD20" s="12"/>
      <c r="AE20" s="22" t="str">
        <f t="shared" si="0"/>
        <v/>
      </c>
      <c r="AF20">
        <f t="shared" si="1"/>
        <v>0</v>
      </c>
    </row>
    <row r="21" spans="1:32" ht="21" customHeight="1" x14ac:dyDescent="0.95">
      <c r="A21" s="15" t="str">
        <f>IF($B21="","",COUNTA($B$4:$B21))</f>
        <v/>
      </c>
      <c r="B21" s="20"/>
      <c r="C21" s="12"/>
      <c r="D21" s="21"/>
      <c r="E21" s="12"/>
      <c r="F21" s="12"/>
      <c r="G21" s="21"/>
      <c r="H21" s="12"/>
      <c r="I21" s="12"/>
      <c r="J21" s="21"/>
      <c r="K21" s="12"/>
      <c r="L21" s="12"/>
      <c r="M21" s="21"/>
      <c r="N21" s="12"/>
      <c r="O21" s="12"/>
      <c r="P21" s="21"/>
      <c r="Q21" s="12"/>
      <c r="R21" s="12"/>
      <c r="S21" s="21"/>
      <c r="T21" s="12"/>
      <c r="U21" s="12"/>
      <c r="V21" s="21"/>
      <c r="W21" s="12"/>
      <c r="X21" s="12"/>
      <c r="Y21" s="21"/>
      <c r="Z21" s="12"/>
      <c r="AA21" s="12"/>
      <c r="AB21" s="12"/>
      <c r="AC21" s="12"/>
      <c r="AD21" s="12"/>
      <c r="AE21" s="22" t="str">
        <f t="shared" si="0"/>
        <v/>
      </c>
      <c r="AF21">
        <f t="shared" si="1"/>
        <v>0</v>
      </c>
    </row>
    <row r="22" spans="1:32" ht="21" customHeight="1" x14ac:dyDescent="0.95">
      <c r="A22" s="15" t="str">
        <f>IF($B22="","",COUNTA($B$4:$B22))</f>
        <v/>
      </c>
      <c r="B22" s="20"/>
      <c r="C22" s="12"/>
      <c r="D22" s="21"/>
      <c r="E22" s="12"/>
      <c r="F22" s="12"/>
      <c r="G22" s="21"/>
      <c r="H22" s="12"/>
      <c r="I22" s="12"/>
      <c r="J22" s="21"/>
      <c r="K22" s="12"/>
      <c r="L22" s="12"/>
      <c r="M22" s="21"/>
      <c r="N22" s="12"/>
      <c r="O22" s="12"/>
      <c r="P22" s="21"/>
      <c r="Q22" s="12"/>
      <c r="R22" s="12"/>
      <c r="S22" s="21"/>
      <c r="T22" s="12"/>
      <c r="U22" s="12"/>
      <c r="V22" s="21"/>
      <c r="W22" s="12"/>
      <c r="X22" s="12"/>
      <c r="Y22" s="21"/>
      <c r="Z22" s="12"/>
      <c r="AA22" s="12"/>
      <c r="AB22" s="12"/>
      <c r="AC22" s="12"/>
      <c r="AD22" s="12"/>
      <c r="AE22" s="22" t="str">
        <f t="shared" si="0"/>
        <v/>
      </c>
      <c r="AF22">
        <f t="shared" si="1"/>
        <v>0</v>
      </c>
    </row>
    <row r="23" spans="1:32" ht="21" customHeight="1" x14ac:dyDescent="0.95">
      <c r="A23" s="15" t="str">
        <f>IF($B23="","",COUNTA($B$4:$B23))</f>
        <v/>
      </c>
      <c r="B23" s="20"/>
      <c r="C23" s="12"/>
      <c r="D23" s="21"/>
      <c r="E23" s="12"/>
      <c r="F23" s="12"/>
      <c r="G23" s="21"/>
      <c r="H23" s="12"/>
      <c r="I23" s="12"/>
      <c r="J23" s="21"/>
      <c r="K23" s="12"/>
      <c r="L23" s="12"/>
      <c r="M23" s="21"/>
      <c r="N23" s="12"/>
      <c r="O23" s="12"/>
      <c r="P23" s="21"/>
      <c r="Q23" s="12"/>
      <c r="R23" s="12"/>
      <c r="S23" s="21"/>
      <c r="T23" s="12"/>
      <c r="U23" s="12"/>
      <c r="V23" s="21"/>
      <c r="W23" s="12"/>
      <c r="X23" s="12"/>
      <c r="Y23" s="21"/>
      <c r="Z23" s="12"/>
      <c r="AA23" s="12"/>
      <c r="AB23" s="12"/>
      <c r="AC23" s="12"/>
      <c r="AD23" s="12"/>
      <c r="AE23" s="22" t="str">
        <f t="shared" si="0"/>
        <v/>
      </c>
      <c r="AF23">
        <f t="shared" si="1"/>
        <v>0</v>
      </c>
    </row>
    <row r="24" spans="1:32" ht="21" customHeight="1" x14ac:dyDescent="0.95">
      <c r="A24" s="15" t="str">
        <f>IF($B24="","",COUNTA($B$4:$B24))</f>
        <v/>
      </c>
      <c r="B24" s="20"/>
      <c r="C24" s="12"/>
      <c r="D24" s="21"/>
      <c r="E24" s="12"/>
      <c r="F24" s="12"/>
      <c r="G24" s="21"/>
      <c r="H24" s="12"/>
      <c r="I24" s="12"/>
      <c r="J24" s="21"/>
      <c r="K24" s="12"/>
      <c r="L24" s="12"/>
      <c r="M24" s="21"/>
      <c r="N24" s="12"/>
      <c r="O24" s="12"/>
      <c r="P24" s="21"/>
      <c r="Q24" s="12"/>
      <c r="R24" s="12"/>
      <c r="S24" s="21"/>
      <c r="T24" s="12"/>
      <c r="U24" s="12"/>
      <c r="V24" s="21"/>
      <c r="W24" s="12"/>
      <c r="X24" s="12"/>
      <c r="Y24" s="21"/>
      <c r="Z24" s="12"/>
      <c r="AA24" s="12"/>
      <c r="AB24" s="12"/>
      <c r="AC24" s="12"/>
      <c r="AD24" s="12"/>
      <c r="AE24" s="22" t="str">
        <f t="shared" si="0"/>
        <v/>
      </c>
      <c r="AF24">
        <f t="shared" si="1"/>
        <v>0</v>
      </c>
    </row>
    <row r="25" spans="1:32" ht="21" customHeight="1" x14ac:dyDescent="0.95">
      <c r="A25" s="15" t="str">
        <f>IF($B25="","",COUNTA($B$4:$B25))</f>
        <v/>
      </c>
      <c r="B25" s="20"/>
      <c r="C25" s="12"/>
      <c r="D25" s="21"/>
      <c r="E25" s="12"/>
      <c r="F25" s="12"/>
      <c r="G25" s="21"/>
      <c r="H25" s="12"/>
      <c r="I25" s="12"/>
      <c r="J25" s="21"/>
      <c r="K25" s="12"/>
      <c r="L25" s="12"/>
      <c r="M25" s="21"/>
      <c r="N25" s="12"/>
      <c r="O25" s="12"/>
      <c r="P25" s="21"/>
      <c r="Q25" s="12"/>
      <c r="R25" s="12"/>
      <c r="S25" s="21"/>
      <c r="T25" s="12"/>
      <c r="U25" s="12"/>
      <c r="V25" s="21"/>
      <c r="W25" s="12"/>
      <c r="X25" s="12"/>
      <c r="Y25" s="21"/>
      <c r="Z25" s="12"/>
      <c r="AA25" s="12"/>
      <c r="AB25" s="12"/>
      <c r="AC25" s="12"/>
      <c r="AD25" s="12"/>
      <c r="AE25" s="22" t="str">
        <f t="shared" si="0"/>
        <v/>
      </c>
      <c r="AF25">
        <f t="shared" si="1"/>
        <v>0</v>
      </c>
    </row>
    <row r="26" spans="1:32" ht="21" customHeight="1" x14ac:dyDescent="0.95">
      <c r="A26" s="15" t="str">
        <f>IF($B26="","",COUNTA($B$4:$B26))</f>
        <v/>
      </c>
      <c r="B26" s="20"/>
      <c r="C26" s="12"/>
      <c r="D26" s="21"/>
      <c r="E26" s="12"/>
      <c r="F26" s="12"/>
      <c r="G26" s="21"/>
      <c r="H26" s="12"/>
      <c r="I26" s="12"/>
      <c r="J26" s="21"/>
      <c r="K26" s="12"/>
      <c r="L26" s="12"/>
      <c r="M26" s="21"/>
      <c r="N26" s="12"/>
      <c r="O26" s="12"/>
      <c r="P26" s="21"/>
      <c r="Q26" s="12"/>
      <c r="R26" s="12"/>
      <c r="S26" s="21"/>
      <c r="T26" s="12"/>
      <c r="U26" s="12"/>
      <c r="V26" s="21"/>
      <c r="W26" s="12"/>
      <c r="X26" s="12"/>
      <c r="Y26" s="21"/>
      <c r="Z26" s="12"/>
      <c r="AA26" s="12"/>
      <c r="AB26" s="12"/>
      <c r="AC26" s="12"/>
      <c r="AD26" s="12"/>
      <c r="AE26" s="22" t="str">
        <f t="shared" si="0"/>
        <v/>
      </c>
      <c r="AF26">
        <f t="shared" si="1"/>
        <v>0</v>
      </c>
    </row>
    <row r="27" spans="1:32" ht="21" customHeight="1" x14ac:dyDescent="0.95">
      <c r="A27" s="15" t="str">
        <f>IF($B27="","",COUNTA($B$4:$B27))</f>
        <v/>
      </c>
      <c r="B27" s="20"/>
      <c r="C27" s="12"/>
      <c r="D27" s="21"/>
      <c r="E27" s="12"/>
      <c r="F27" s="12"/>
      <c r="G27" s="21"/>
      <c r="H27" s="12"/>
      <c r="I27" s="12"/>
      <c r="J27" s="21"/>
      <c r="K27" s="12"/>
      <c r="L27" s="12"/>
      <c r="M27" s="21"/>
      <c r="N27" s="12"/>
      <c r="O27" s="12"/>
      <c r="P27" s="21"/>
      <c r="Q27" s="12"/>
      <c r="R27" s="12"/>
      <c r="S27" s="21"/>
      <c r="T27" s="12"/>
      <c r="U27" s="12"/>
      <c r="V27" s="21"/>
      <c r="W27" s="12"/>
      <c r="X27" s="12"/>
      <c r="Y27" s="21"/>
      <c r="Z27" s="12"/>
      <c r="AA27" s="12"/>
      <c r="AB27" s="12"/>
      <c r="AC27" s="12"/>
      <c r="AD27" s="12"/>
      <c r="AE27" s="22" t="str">
        <f t="shared" si="0"/>
        <v/>
      </c>
      <c r="AF27">
        <f t="shared" si="1"/>
        <v>0</v>
      </c>
    </row>
    <row r="28" spans="1:32" ht="21" customHeight="1" x14ac:dyDescent="0.95">
      <c r="A28" s="15" t="str">
        <f>IF($B28="","",COUNTA($B$4:$B28))</f>
        <v/>
      </c>
      <c r="B28" s="20"/>
      <c r="C28" s="12"/>
      <c r="D28" s="21"/>
      <c r="E28" s="12"/>
      <c r="F28" s="12"/>
      <c r="G28" s="21"/>
      <c r="H28" s="12"/>
      <c r="I28" s="12"/>
      <c r="J28" s="21"/>
      <c r="K28" s="12"/>
      <c r="L28" s="12"/>
      <c r="M28" s="21"/>
      <c r="N28" s="12"/>
      <c r="O28" s="12"/>
      <c r="P28" s="21"/>
      <c r="Q28" s="12"/>
      <c r="R28" s="12"/>
      <c r="S28" s="21"/>
      <c r="T28" s="12"/>
      <c r="U28" s="12"/>
      <c r="V28" s="21"/>
      <c r="W28" s="12"/>
      <c r="X28" s="12"/>
      <c r="Y28" s="21"/>
      <c r="Z28" s="12"/>
      <c r="AA28" s="12"/>
      <c r="AB28" s="12"/>
      <c r="AC28" s="12"/>
      <c r="AD28" s="12"/>
      <c r="AE28" s="22" t="str">
        <f t="shared" si="0"/>
        <v/>
      </c>
      <c r="AF28">
        <f t="shared" si="1"/>
        <v>0</v>
      </c>
    </row>
    <row r="29" spans="1:32" ht="21" customHeight="1" x14ac:dyDescent="0.95">
      <c r="A29" s="15" t="str">
        <f>IF($B29="","",COUNTA($B$4:$B29))</f>
        <v/>
      </c>
      <c r="B29" s="20"/>
      <c r="C29" s="12"/>
      <c r="D29" s="21"/>
      <c r="E29" s="12"/>
      <c r="F29" s="12"/>
      <c r="G29" s="21"/>
      <c r="H29" s="12"/>
      <c r="I29" s="12"/>
      <c r="J29" s="21"/>
      <c r="K29" s="12"/>
      <c r="L29" s="12"/>
      <c r="M29" s="21"/>
      <c r="N29" s="12"/>
      <c r="O29" s="12"/>
      <c r="P29" s="21"/>
      <c r="Q29" s="12"/>
      <c r="R29" s="12"/>
      <c r="S29" s="21"/>
      <c r="T29" s="12"/>
      <c r="U29" s="12"/>
      <c r="V29" s="21"/>
      <c r="W29" s="12"/>
      <c r="X29" s="12"/>
      <c r="Y29" s="21"/>
      <c r="Z29" s="12"/>
      <c r="AA29" s="12"/>
      <c r="AB29" s="12"/>
      <c r="AC29" s="12"/>
      <c r="AD29" s="12"/>
      <c r="AE29" s="22" t="str">
        <f t="shared" si="0"/>
        <v/>
      </c>
      <c r="AF29">
        <f t="shared" si="1"/>
        <v>0</v>
      </c>
    </row>
    <row r="30" spans="1:32" ht="21" customHeight="1" x14ac:dyDescent="0.95">
      <c r="A30" s="15" t="str">
        <f>IF($B30="","",COUNTA($B$4:$B30))</f>
        <v/>
      </c>
      <c r="B30" s="20"/>
      <c r="C30" s="12"/>
      <c r="D30" s="21"/>
      <c r="E30" s="12"/>
      <c r="F30" s="12"/>
      <c r="G30" s="21"/>
      <c r="H30" s="12"/>
      <c r="I30" s="12"/>
      <c r="J30" s="21"/>
      <c r="K30" s="12"/>
      <c r="L30" s="12"/>
      <c r="M30" s="21"/>
      <c r="N30" s="12"/>
      <c r="O30" s="12"/>
      <c r="P30" s="21"/>
      <c r="Q30" s="12"/>
      <c r="R30" s="12"/>
      <c r="S30" s="21"/>
      <c r="T30" s="12"/>
      <c r="U30" s="12"/>
      <c r="V30" s="21"/>
      <c r="W30" s="12"/>
      <c r="X30" s="12"/>
      <c r="Y30" s="21"/>
      <c r="Z30" s="12"/>
      <c r="AA30" s="12"/>
      <c r="AB30" s="12"/>
      <c r="AC30" s="12"/>
      <c r="AD30" s="12"/>
      <c r="AE30" s="22" t="str">
        <f t="shared" si="0"/>
        <v/>
      </c>
      <c r="AF30">
        <f t="shared" si="1"/>
        <v>0</v>
      </c>
    </row>
    <row r="31" spans="1:32" ht="21" customHeight="1" x14ac:dyDescent="0.95">
      <c r="A31" s="15" t="str">
        <f>IF($B31="","",COUNTA($B$4:$B31))</f>
        <v/>
      </c>
      <c r="B31" s="20"/>
      <c r="C31" s="12"/>
      <c r="D31" s="21"/>
      <c r="E31" s="12"/>
      <c r="F31" s="12"/>
      <c r="G31" s="21"/>
      <c r="H31" s="12"/>
      <c r="I31" s="12"/>
      <c r="J31" s="21"/>
      <c r="K31" s="12"/>
      <c r="L31" s="12"/>
      <c r="M31" s="21"/>
      <c r="N31" s="12"/>
      <c r="O31" s="12"/>
      <c r="P31" s="21"/>
      <c r="Q31" s="12"/>
      <c r="R31" s="12"/>
      <c r="S31" s="21"/>
      <c r="T31" s="12"/>
      <c r="U31" s="12"/>
      <c r="V31" s="21"/>
      <c r="W31" s="12"/>
      <c r="X31" s="12"/>
      <c r="Y31" s="21"/>
      <c r="Z31" s="12"/>
      <c r="AA31" s="12"/>
      <c r="AB31" s="12"/>
      <c r="AC31" s="12"/>
      <c r="AD31" s="12"/>
      <c r="AE31" s="22" t="str">
        <f t="shared" si="0"/>
        <v/>
      </c>
      <c r="AF31">
        <f t="shared" si="1"/>
        <v>0</v>
      </c>
    </row>
    <row r="32" spans="1:32" ht="21" customHeight="1" x14ac:dyDescent="0.95">
      <c r="A32" s="15" t="str">
        <f>IF($B32="","",COUNTA($B$4:$B32))</f>
        <v/>
      </c>
      <c r="B32" s="20"/>
      <c r="C32" s="12"/>
      <c r="D32" s="21"/>
      <c r="E32" s="12"/>
      <c r="F32" s="12"/>
      <c r="G32" s="21"/>
      <c r="H32" s="12"/>
      <c r="I32" s="12"/>
      <c r="J32" s="21"/>
      <c r="K32" s="12"/>
      <c r="L32" s="12"/>
      <c r="M32" s="21"/>
      <c r="N32" s="12"/>
      <c r="O32" s="12"/>
      <c r="P32" s="21"/>
      <c r="Q32" s="12"/>
      <c r="R32" s="12"/>
      <c r="S32" s="21"/>
      <c r="T32" s="12"/>
      <c r="U32" s="12"/>
      <c r="V32" s="21"/>
      <c r="W32" s="12"/>
      <c r="X32" s="12"/>
      <c r="Y32" s="21"/>
      <c r="Z32" s="12"/>
      <c r="AA32" s="12"/>
      <c r="AB32" s="12"/>
      <c r="AC32" s="12"/>
      <c r="AD32" s="12"/>
      <c r="AE32" s="22" t="str">
        <f t="shared" si="0"/>
        <v/>
      </c>
      <c r="AF32">
        <f t="shared" si="1"/>
        <v>0</v>
      </c>
    </row>
    <row r="33" spans="1:32" ht="21" customHeight="1" x14ac:dyDescent="0.95">
      <c r="A33" s="15" t="str">
        <f>IF($B33="","",COUNTA($B$4:$B33))</f>
        <v/>
      </c>
      <c r="B33" s="20"/>
      <c r="C33" s="12"/>
      <c r="D33" s="21"/>
      <c r="E33" s="12"/>
      <c r="F33" s="12"/>
      <c r="G33" s="21"/>
      <c r="H33" s="12"/>
      <c r="I33" s="12"/>
      <c r="J33" s="21"/>
      <c r="K33" s="12"/>
      <c r="L33" s="12"/>
      <c r="M33" s="21"/>
      <c r="N33" s="12"/>
      <c r="O33" s="12"/>
      <c r="P33" s="21"/>
      <c r="Q33" s="12"/>
      <c r="R33" s="12"/>
      <c r="S33" s="21"/>
      <c r="T33" s="12"/>
      <c r="U33" s="12"/>
      <c r="V33" s="21"/>
      <c r="W33" s="12"/>
      <c r="X33" s="12"/>
      <c r="Y33" s="21"/>
      <c r="Z33" s="12"/>
      <c r="AA33" s="12"/>
      <c r="AB33" s="12"/>
      <c r="AC33" s="12"/>
      <c r="AD33" s="12"/>
      <c r="AE33" s="22" t="str">
        <f t="shared" si="0"/>
        <v/>
      </c>
      <c r="AF33">
        <f t="shared" si="1"/>
        <v>0</v>
      </c>
    </row>
    <row r="34" spans="1:32" ht="21" customHeight="1" x14ac:dyDescent="0.95">
      <c r="A34" s="15" t="str">
        <f>IF($B34="","",COUNTA($B$4:$B34))</f>
        <v/>
      </c>
      <c r="B34" s="20"/>
      <c r="C34" s="12"/>
      <c r="D34" s="21"/>
      <c r="E34" s="12"/>
      <c r="F34" s="12"/>
      <c r="G34" s="21"/>
      <c r="H34" s="12"/>
      <c r="I34" s="12"/>
      <c r="J34" s="21"/>
      <c r="K34" s="12"/>
      <c r="L34" s="12"/>
      <c r="M34" s="21"/>
      <c r="N34" s="12"/>
      <c r="O34" s="12"/>
      <c r="P34" s="21"/>
      <c r="Q34" s="12"/>
      <c r="R34" s="12"/>
      <c r="S34" s="21"/>
      <c r="T34" s="12"/>
      <c r="U34" s="12"/>
      <c r="V34" s="21"/>
      <c r="W34" s="12"/>
      <c r="X34" s="12"/>
      <c r="Y34" s="21"/>
      <c r="Z34" s="12"/>
      <c r="AA34" s="12"/>
      <c r="AB34" s="12"/>
      <c r="AC34" s="12"/>
      <c r="AD34" s="12"/>
      <c r="AE34" s="22" t="str">
        <f t="shared" si="0"/>
        <v/>
      </c>
      <c r="AF34">
        <f t="shared" si="1"/>
        <v>0</v>
      </c>
    </row>
    <row r="35" spans="1:32" ht="21" customHeight="1" x14ac:dyDescent="0.95">
      <c r="A35" s="15" t="str">
        <f>IF($B35="","",COUNTA($B$4:$B35))</f>
        <v/>
      </c>
      <c r="B35" s="20"/>
      <c r="C35" s="12"/>
      <c r="D35" s="21"/>
      <c r="E35" s="12"/>
      <c r="F35" s="12"/>
      <c r="G35" s="21"/>
      <c r="H35" s="12"/>
      <c r="I35" s="12"/>
      <c r="J35" s="21"/>
      <c r="K35" s="12"/>
      <c r="L35" s="12"/>
      <c r="M35" s="21"/>
      <c r="N35" s="12"/>
      <c r="O35" s="12"/>
      <c r="P35" s="21"/>
      <c r="Q35" s="12"/>
      <c r="R35" s="12"/>
      <c r="S35" s="21"/>
      <c r="T35" s="12"/>
      <c r="U35" s="12"/>
      <c r="V35" s="21"/>
      <c r="W35" s="12"/>
      <c r="X35" s="12"/>
      <c r="Y35" s="21"/>
      <c r="Z35" s="12"/>
      <c r="AA35" s="12"/>
      <c r="AB35" s="12"/>
      <c r="AC35" s="12"/>
      <c r="AD35" s="12"/>
      <c r="AE35" s="22" t="str">
        <f t="shared" si="0"/>
        <v/>
      </c>
      <c r="AF35">
        <f t="shared" si="1"/>
        <v>0</v>
      </c>
    </row>
    <row r="36" spans="1:32" ht="21" customHeight="1" x14ac:dyDescent="0.95">
      <c r="A36" s="15" t="str">
        <f>IF($B36="","",COUNTA($B$4:$B36))</f>
        <v/>
      </c>
      <c r="B36" s="20"/>
      <c r="C36" s="12"/>
      <c r="D36" s="21"/>
      <c r="E36" s="12"/>
      <c r="F36" s="12"/>
      <c r="G36" s="21"/>
      <c r="H36" s="12"/>
      <c r="I36" s="12"/>
      <c r="J36" s="21"/>
      <c r="K36" s="12"/>
      <c r="L36" s="12"/>
      <c r="M36" s="21"/>
      <c r="N36" s="12"/>
      <c r="O36" s="12"/>
      <c r="P36" s="21"/>
      <c r="Q36" s="12"/>
      <c r="R36" s="12"/>
      <c r="S36" s="21"/>
      <c r="T36" s="12"/>
      <c r="U36" s="12"/>
      <c r="V36" s="21"/>
      <c r="W36" s="12"/>
      <c r="X36" s="12"/>
      <c r="Y36" s="21"/>
      <c r="Z36" s="12"/>
      <c r="AA36" s="12"/>
      <c r="AB36" s="12"/>
      <c r="AC36" s="12"/>
      <c r="AD36" s="12"/>
      <c r="AE36" s="22" t="str">
        <f t="shared" ref="AE36:AE63" si="2">IF($B36="","",ROUND(N($E36)+N($H36)+N($K36)+N($N36)+N($Q36)+N($T36)+N($W36)+N($Z36)+N($AA36)+N($AB36)+N($AC36)+N($AD36),2))</f>
        <v/>
      </c>
      <c r="AF36">
        <f t="shared" ref="AF36:AF63" si="3">IF($B36="",0,IF(AND($C36&lt;&gt;"",$D36&lt;&gt;"",$E36&lt;&gt;"",ABS($C36*$D36-$E36)&gt;1),1,0)+IF(AND($F36&lt;&gt;"",$G36&lt;&gt;"",$H36&lt;&gt;"",ABS($F36*$G36-$H36)&gt;1),1,0)+IF(AND($I36&lt;&gt;"",$J36&lt;&gt;"",$K36&lt;&gt;"",ABS($I36*$J36-$K36)&gt;1),1,0)+IF(AND($L36&lt;&gt;"",$M36&lt;&gt;"",$N36&lt;&gt;"",ABS($L36*$M36-$N36)&gt;1),1,0)+IF(AND($O36&lt;&gt;"",$P36&lt;&gt;"",$Q36&lt;&gt;"",ABS($O36*$P36-$Q36)&gt;1),1,0)+IF(AND($R36&lt;&gt;"",$S36&lt;&gt;"",$T36&lt;&gt;"",ABS($R36*$S36-$T36)&gt;1),1,0)+IF(AND($U36&lt;&gt;"",$V36&lt;&gt;"",$W36&lt;&gt;"",ABS($U36*$V36-$W36)&gt;1),1,0)+IF(AND($X36&lt;&gt;"",$Y36&lt;&gt;"",$Z36&lt;&gt;"",ABS($X36*$Y36-$Z36)&gt;1),1,0))</f>
        <v>0</v>
      </c>
    </row>
    <row r="37" spans="1:32" ht="21" customHeight="1" x14ac:dyDescent="0.95">
      <c r="A37" s="15" t="str">
        <f>IF($B37="","",COUNTA($B$4:$B37))</f>
        <v/>
      </c>
      <c r="B37" s="20"/>
      <c r="C37" s="12"/>
      <c r="D37" s="21"/>
      <c r="E37" s="12"/>
      <c r="F37" s="12"/>
      <c r="G37" s="21"/>
      <c r="H37" s="12"/>
      <c r="I37" s="12"/>
      <c r="J37" s="21"/>
      <c r="K37" s="12"/>
      <c r="L37" s="12"/>
      <c r="M37" s="21"/>
      <c r="N37" s="12"/>
      <c r="O37" s="12"/>
      <c r="P37" s="21"/>
      <c r="Q37" s="12"/>
      <c r="R37" s="12"/>
      <c r="S37" s="21"/>
      <c r="T37" s="12"/>
      <c r="U37" s="12"/>
      <c r="V37" s="21"/>
      <c r="W37" s="12"/>
      <c r="X37" s="12"/>
      <c r="Y37" s="21"/>
      <c r="Z37" s="12"/>
      <c r="AA37" s="12"/>
      <c r="AB37" s="12"/>
      <c r="AC37" s="12"/>
      <c r="AD37" s="12"/>
      <c r="AE37" s="22" t="str">
        <f t="shared" si="2"/>
        <v/>
      </c>
      <c r="AF37">
        <f t="shared" si="3"/>
        <v>0</v>
      </c>
    </row>
    <row r="38" spans="1:32" ht="21" customHeight="1" x14ac:dyDescent="0.95">
      <c r="A38" s="15" t="str">
        <f>IF($B38="","",COUNTA($B$4:$B38))</f>
        <v/>
      </c>
      <c r="B38" s="20"/>
      <c r="C38" s="12"/>
      <c r="D38" s="21"/>
      <c r="E38" s="12"/>
      <c r="F38" s="12"/>
      <c r="G38" s="21"/>
      <c r="H38" s="12"/>
      <c r="I38" s="12"/>
      <c r="J38" s="21"/>
      <c r="K38" s="12"/>
      <c r="L38" s="12"/>
      <c r="M38" s="21"/>
      <c r="N38" s="12"/>
      <c r="O38" s="12"/>
      <c r="P38" s="21"/>
      <c r="Q38" s="12"/>
      <c r="R38" s="12"/>
      <c r="S38" s="21"/>
      <c r="T38" s="12"/>
      <c r="U38" s="12"/>
      <c r="V38" s="21"/>
      <c r="W38" s="12"/>
      <c r="X38" s="12"/>
      <c r="Y38" s="21"/>
      <c r="Z38" s="12"/>
      <c r="AA38" s="12"/>
      <c r="AB38" s="12"/>
      <c r="AC38" s="12"/>
      <c r="AD38" s="12"/>
      <c r="AE38" s="22" t="str">
        <f t="shared" si="2"/>
        <v/>
      </c>
      <c r="AF38">
        <f t="shared" si="3"/>
        <v>0</v>
      </c>
    </row>
    <row r="39" spans="1:32" ht="21" customHeight="1" x14ac:dyDescent="0.95">
      <c r="A39" s="15" t="str">
        <f>IF($B39="","",COUNTA($B$4:$B39))</f>
        <v/>
      </c>
      <c r="B39" s="20"/>
      <c r="C39" s="12"/>
      <c r="D39" s="21"/>
      <c r="E39" s="12"/>
      <c r="F39" s="12"/>
      <c r="G39" s="21"/>
      <c r="H39" s="12"/>
      <c r="I39" s="12"/>
      <c r="J39" s="21"/>
      <c r="K39" s="12"/>
      <c r="L39" s="12"/>
      <c r="M39" s="21"/>
      <c r="N39" s="12"/>
      <c r="O39" s="12"/>
      <c r="P39" s="21"/>
      <c r="Q39" s="12"/>
      <c r="R39" s="12"/>
      <c r="S39" s="21"/>
      <c r="T39" s="12"/>
      <c r="U39" s="12"/>
      <c r="V39" s="21"/>
      <c r="W39" s="12"/>
      <c r="X39" s="12"/>
      <c r="Y39" s="21"/>
      <c r="Z39" s="12"/>
      <c r="AA39" s="12"/>
      <c r="AB39" s="12"/>
      <c r="AC39" s="12"/>
      <c r="AD39" s="12"/>
      <c r="AE39" s="22" t="str">
        <f t="shared" si="2"/>
        <v/>
      </c>
      <c r="AF39">
        <f t="shared" si="3"/>
        <v>0</v>
      </c>
    </row>
    <row r="40" spans="1:32" ht="21" customHeight="1" x14ac:dyDescent="0.95">
      <c r="A40" s="15" t="str">
        <f>IF($B40="","",COUNTA($B$4:$B40))</f>
        <v/>
      </c>
      <c r="B40" s="20"/>
      <c r="C40" s="12"/>
      <c r="D40" s="21"/>
      <c r="E40" s="12"/>
      <c r="F40" s="12"/>
      <c r="G40" s="21"/>
      <c r="H40" s="12"/>
      <c r="I40" s="12"/>
      <c r="J40" s="21"/>
      <c r="K40" s="12"/>
      <c r="L40" s="12"/>
      <c r="M40" s="21"/>
      <c r="N40" s="12"/>
      <c r="O40" s="12"/>
      <c r="P40" s="21"/>
      <c r="Q40" s="12"/>
      <c r="R40" s="12"/>
      <c r="S40" s="21"/>
      <c r="T40" s="12"/>
      <c r="U40" s="12"/>
      <c r="V40" s="21"/>
      <c r="W40" s="12"/>
      <c r="X40" s="12"/>
      <c r="Y40" s="21"/>
      <c r="Z40" s="12"/>
      <c r="AA40" s="12"/>
      <c r="AB40" s="12"/>
      <c r="AC40" s="12"/>
      <c r="AD40" s="12"/>
      <c r="AE40" s="22" t="str">
        <f t="shared" si="2"/>
        <v/>
      </c>
      <c r="AF40">
        <f t="shared" si="3"/>
        <v>0</v>
      </c>
    </row>
    <row r="41" spans="1:32" ht="21" customHeight="1" x14ac:dyDescent="0.95">
      <c r="A41" s="15" t="str">
        <f>IF($B41="","",COUNTA($B$4:$B41))</f>
        <v/>
      </c>
      <c r="B41" s="20"/>
      <c r="C41" s="12"/>
      <c r="D41" s="21"/>
      <c r="E41" s="12"/>
      <c r="F41" s="12"/>
      <c r="G41" s="21"/>
      <c r="H41" s="12"/>
      <c r="I41" s="12"/>
      <c r="J41" s="21"/>
      <c r="K41" s="12"/>
      <c r="L41" s="12"/>
      <c r="M41" s="21"/>
      <c r="N41" s="12"/>
      <c r="O41" s="12"/>
      <c r="P41" s="21"/>
      <c r="Q41" s="12"/>
      <c r="R41" s="12"/>
      <c r="S41" s="21"/>
      <c r="T41" s="12"/>
      <c r="U41" s="12"/>
      <c r="V41" s="21"/>
      <c r="W41" s="12"/>
      <c r="X41" s="12"/>
      <c r="Y41" s="21"/>
      <c r="Z41" s="12"/>
      <c r="AA41" s="12"/>
      <c r="AB41" s="12"/>
      <c r="AC41" s="12"/>
      <c r="AD41" s="12"/>
      <c r="AE41" s="22" t="str">
        <f t="shared" si="2"/>
        <v/>
      </c>
      <c r="AF41">
        <f t="shared" si="3"/>
        <v>0</v>
      </c>
    </row>
    <row r="42" spans="1:32" ht="21" customHeight="1" x14ac:dyDescent="0.95">
      <c r="A42" s="15" t="str">
        <f>IF($B42="","",COUNTA($B$4:$B42))</f>
        <v/>
      </c>
      <c r="B42" s="20"/>
      <c r="C42" s="12"/>
      <c r="D42" s="21"/>
      <c r="E42" s="12"/>
      <c r="F42" s="12"/>
      <c r="G42" s="21"/>
      <c r="H42" s="12"/>
      <c r="I42" s="12"/>
      <c r="J42" s="21"/>
      <c r="K42" s="12"/>
      <c r="L42" s="12"/>
      <c r="M42" s="21"/>
      <c r="N42" s="12"/>
      <c r="O42" s="12"/>
      <c r="P42" s="21"/>
      <c r="Q42" s="12"/>
      <c r="R42" s="12"/>
      <c r="S42" s="21"/>
      <c r="T42" s="12"/>
      <c r="U42" s="12"/>
      <c r="V42" s="21"/>
      <c r="W42" s="12"/>
      <c r="X42" s="12"/>
      <c r="Y42" s="21"/>
      <c r="Z42" s="12"/>
      <c r="AA42" s="12"/>
      <c r="AB42" s="12"/>
      <c r="AC42" s="12"/>
      <c r="AD42" s="12"/>
      <c r="AE42" s="22" t="str">
        <f t="shared" si="2"/>
        <v/>
      </c>
      <c r="AF42">
        <f t="shared" si="3"/>
        <v>0</v>
      </c>
    </row>
    <row r="43" spans="1:32" ht="21" customHeight="1" x14ac:dyDescent="0.95">
      <c r="A43" s="15" t="str">
        <f>IF($B43="","",COUNTA($B$4:$B43))</f>
        <v/>
      </c>
      <c r="B43" s="20"/>
      <c r="C43" s="12"/>
      <c r="D43" s="21"/>
      <c r="E43" s="12"/>
      <c r="F43" s="12"/>
      <c r="G43" s="21"/>
      <c r="H43" s="12"/>
      <c r="I43" s="12"/>
      <c r="J43" s="21"/>
      <c r="K43" s="12"/>
      <c r="L43" s="12"/>
      <c r="M43" s="21"/>
      <c r="N43" s="12"/>
      <c r="O43" s="12"/>
      <c r="P43" s="21"/>
      <c r="Q43" s="12"/>
      <c r="R43" s="12"/>
      <c r="S43" s="21"/>
      <c r="T43" s="12"/>
      <c r="U43" s="12"/>
      <c r="V43" s="21"/>
      <c r="W43" s="12"/>
      <c r="X43" s="12"/>
      <c r="Y43" s="21"/>
      <c r="Z43" s="12"/>
      <c r="AA43" s="12"/>
      <c r="AB43" s="12"/>
      <c r="AC43" s="12"/>
      <c r="AD43" s="12"/>
      <c r="AE43" s="22" t="str">
        <f t="shared" si="2"/>
        <v/>
      </c>
      <c r="AF43">
        <f t="shared" si="3"/>
        <v>0</v>
      </c>
    </row>
    <row r="44" spans="1:32" ht="21" customHeight="1" x14ac:dyDescent="0.95">
      <c r="A44" s="15" t="str">
        <f>IF($B44="","",COUNTA($B$4:$B44))</f>
        <v/>
      </c>
      <c r="B44" s="20"/>
      <c r="C44" s="12"/>
      <c r="D44" s="21"/>
      <c r="E44" s="12"/>
      <c r="F44" s="12"/>
      <c r="G44" s="21"/>
      <c r="H44" s="12"/>
      <c r="I44" s="12"/>
      <c r="J44" s="21"/>
      <c r="K44" s="12"/>
      <c r="L44" s="12"/>
      <c r="M44" s="21"/>
      <c r="N44" s="12"/>
      <c r="O44" s="12"/>
      <c r="P44" s="21"/>
      <c r="Q44" s="12"/>
      <c r="R44" s="12"/>
      <c r="S44" s="21"/>
      <c r="T44" s="12"/>
      <c r="U44" s="12"/>
      <c r="V44" s="21"/>
      <c r="W44" s="12"/>
      <c r="X44" s="12"/>
      <c r="Y44" s="21"/>
      <c r="Z44" s="12"/>
      <c r="AA44" s="12"/>
      <c r="AB44" s="12"/>
      <c r="AC44" s="12"/>
      <c r="AD44" s="12"/>
      <c r="AE44" s="22" t="str">
        <f t="shared" si="2"/>
        <v/>
      </c>
      <c r="AF44">
        <f t="shared" si="3"/>
        <v>0</v>
      </c>
    </row>
    <row r="45" spans="1:32" ht="21" customHeight="1" x14ac:dyDescent="0.95">
      <c r="A45" s="15" t="str">
        <f>IF($B45="","",COUNTA($B$4:$B45))</f>
        <v/>
      </c>
      <c r="B45" s="20"/>
      <c r="C45" s="12"/>
      <c r="D45" s="21"/>
      <c r="E45" s="12"/>
      <c r="F45" s="12"/>
      <c r="G45" s="21"/>
      <c r="H45" s="12"/>
      <c r="I45" s="12"/>
      <c r="J45" s="21"/>
      <c r="K45" s="12"/>
      <c r="L45" s="12"/>
      <c r="M45" s="21"/>
      <c r="N45" s="12"/>
      <c r="O45" s="12"/>
      <c r="P45" s="21"/>
      <c r="Q45" s="12"/>
      <c r="R45" s="12"/>
      <c r="S45" s="21"/>
      <c r="T45" s="12"/>
      <c r="U45" s="12"/>
      <c r="V45" s="21"/>
      <c r="W45" s="12"/>
      <c r="X45" s="12"/>
      <c r="Y45" s="21"/>
      <c r="Z45" s="12"/>
      <c r="AA45" s="12"/>
      <c r="AB45" s="12"/>
      <c r="AC45" s="12"/>
      <c r="AD45" s="12"/>
      <c r="AE45" s="22" t="str">
        <f t="shared" si="2"/>
        <v/>
      </c>
      <c r="AF45">
        <f t="shared" si="3"/>
        <v>0</v>
      </c>
    </row>
    <row r="46" spans="1:32" ht="21" customHeight="1" x14ac:dyDescent="0.95">
      <c r="A46" s="15" t="str">
        <f>IF($B46="","",COUNTA($B$4:$B46))</f>
        <v/>
      </c>
      <c r="B46" s="20"/>
      <c r="C46" s="12"/>
      <c r="D46" s="21"/>
      <c r="E46" s="12"/>
      <c r="F46" s="12"/>
      <c r="G46" s="21"/>
      <c r="H46" s="12"/>
      <c r="I46" s="12"/>
      <c r="J46" s="21"/>
      <c r="K46" s="12"/>
      <c r="L46" s="12"/>
      <c r="M46" s="21"/>
      <c r="N46" s="12"/>
      <c r="O46" s="12"/>
      <c r="P46" s="21"/>
      <c r="Q46" s="12"/>
      <c r="R46" s="12"/>
      <c r="S46" s="21"/>
      <c r="T46" s="12"/>
      <c r="U46" s="12"/>
      <c r="V46" s="21"/>
      <c r="W46" s="12"/>
      <c r="X46" s="12"/>
      <c r="Y46" s="21"/>
      <c r="Z46" s="12"/>
      <c r="AA46" s="12"/>
      <c r="AB46" s="12"/>
      <c r="AC46" s="12"/>
      <c r="AD46" s="12"/>
      <c r="AE46" s="22" t="str">
        <f t="shared" si="2"/>
        <v/>
      </c>
      <c r="AF46">
        <f t="shared" si="3"/>
        <v>0</v>
      </c>
    </row>
    <row r="47" spans="1:32" ht="21" customHeight="1" x14ac:dyDescent="0.95">
      <c r="A47" s="15" t="str">
        <f>IF($B47="","",COUNTA($B$4:$B47))</f>
        <v/>
      </c>
      <c r="B47" s="20"/>
      <c r="C47" s="12"/>
      <c r="D47" s="21"/>
      <c r="E47" s="12"/>
      <c r="F47" s="12"/>
      <c r="G47" s="21"/>
      <c r="H47" s="12"/>
      <c r="I47" s="12"/>
      <c r="J47" s="21"/>
      <c r="K47" s="12"/>
      <c r="L47" s="12"/>
      <c r="M47" s="21"/>
      <c r="N47" s="12"/>
      <c r="O47" s="12"/>
      <c r="P47" s="21"/>
      <c r="Q47" s="12"/>
      <c r="R47" s="12"/>
      <c r="S47" s="21"/>
      <c r="T47" s="12"/>
      <c r="U47" s="12"/>
      <c r="V47" s="21"/>
      <c r="W47" s="12"/>
      <c r="X47" s="12"/>
      <c r="Y47" s="21"/>
      <c r="Z47" s="12"/>
      <c r="AA47" s="12"/>
      <c r="AB47" s="12"/>
      <c r="AC47" s="12"/>
      <c r="AD47" s="12"/>
      <c r="AE47" s="22" t="str">
        <f t="shared" si="2"/>
        <v/>
      </c>
      <c r="AF47">
        <f t="shared" si="3"/>
        <v>0</v>
      </c>
    </row>
    <row r="48" spans="1:32" ht="21" customHeight="1" x14ac:dyDescent="0.95">
      <c r="A48" s="15" t="str">
        <f>IF($B48="","",COUNTA($B$4:$B48))</f>
        <v/>
      </c>
      <c r="B48" s="20"/>
      <c r="C48" s="12"/>
      <c r="D48" s="21"/>
      <c r="E48" s="12"/>
      <c r="F48" s="12"/>
      <c r="G48" s="21"/>
      <c r="H48" s="12"/>
      <c r="I48" s="12"/>
      <c r="J48" s="21"/>
      <c r="K48" s="12"/>
      <c r="L48" s="12"/>
      <c r="M48" s="21"/>
      <c r="N48" s="12"/>
      <c r="O48" s="12"/>
      <c r="P48" s="21"/>
      <c r="Q48" s="12"/>
      <c r="R48" s="12"/>
      <c r="S48" s="21"/>
      <c r="T48" s="12"/>
      <c r="U48" s="12"/>
      <c r="V48" s="21"/>
      <c r="W48" s="12"/>
      <c r="X48" s="12"/>
      <c r="Y48" s="21"/>
      <c r="Z48" s="12"/>
      <c r="AA48" s="12"/>
      <c r="AB48" s="12"/>
      <c r="AC48" s="12"/>
      <c r="AD48" s="12"/>
      <c r="AE48" s="22" t="str">
        <f t="shared" si="2"/>
        <v/>
      </c>
      <c r="AF48">
        <f t="shared" si="3"/>
        <v>0</v>
      </c>
    </row>
    <row r="49" spans="1:32" ht="21" customHeight="1" x14ac:dyDescent="0.95">
      <c r="A49" s="15" t="str">
        <f>IF($B49="","",COUNTA($B$4:$B49))</f>
        <v/>
      </c>
      <c r="B49" s="20"/>
      <c r="C49" s="12"/>
      <c r="D49" s="21"/>
      <c r="E49" s="12"/>
      <c r="F49" s="12"/>
      <c r="G49" s="21"/>
      <c r="H49" s="12"/>
      <c r="I49" s="12"/>
      <c r="J49" s="21"/>
      <c r="K49" s="12"/>
      <c r="L49" s="12"/>
      <c r="M49" s="21"/>
      <c r="N49" s="12"/>
      <c r="O49" s="12"/>
      <c r="P49" s="21"/>
      <c r="Q49" s="12"/>
      <c r="R49" s="12"/>
      <c r="S49" s="21"/>
      <c r="T49" s="12"/>
      <c r="U49" s="12"/>
      <c r="V49" s="21"/>
      <c r="W49" s="12"/>
      <c r="X49" s="12"/>
      <c r="Y49" s="21"/>
      <c r="Z49" s="12"/>
      <c r="AA49" s="12"/>
      <c r="AB49" s="12"/>
      <c r="AC49" s="12"/>
      <c r="AD49" s="12"/>
      <c r="AE49" s="22" t="str">
        <f t="shared" si="2"/>
        <v/>
      </c>
      <c r="AF49">
        <f t="shared" si="3"/>
        <v>0</v>
      </c>
    </row>
    <row r="50" spans="1:32" ht="21" customHeight="1" x14ac:dyDescent="0.95">
      <c r="A50" s="15" t="str">
        <f>IF($B50="","",COUNTA($B$4:$B50))</f>
        <v/>
      </c>
      <c r="B50" s="20"/>
      <c r="C50" s="12"/>
      <c r="D50" s="21"/>
      <c r="E50" s="12"/>
      <c r="F50" s="12"/>
      <c r="G50" s="21"/>
      <c r="H50" s="12"/>
      <c r="I50" s="12"/>
      <c r="J50" s="21"/>
      <c r="K50" s="12"/>
      <c r="L50" s="12"/>
      <c r="M50" s="21"/>
      <c r="N50" s="12"/>
      <c r="O50" s="12"/>
      <c r="P50" s="21"/>
      <c r="Q50" s="12"/>
      <c r="R50" s="12"/>
      <c r="S50" s="21"/>
      <c r="T50" s="12"/>
      <c r="U50" s="12"/>
      <c r="V50" s="21"/>
      <c r="W50" s="12"/>
      <c r="X50" s="12"/>
      <c r="Y50" s="21"/>
      <c r="Z50" s="12"/>
      <c r="AA50" s="12"/>
      <c r="AB50" s="12"/>
      <c r="AC50" s="12"/>
      <c r="AD50" s="12"/>
      <c r="AE50" s="22" t="str">
        <f t="shared" si="2"/>
        <v/>
      </c>
      <c r="AF50">
        <f t="shared" si="3"/>
        <v>0</v>
      </c>
    </row>
    <row r="51" spans="1:32" ht="21" customHeight="1" x14ac:dyDescent="0.95">
      <c r="A51" s="15" t="str">
        <f>IF($B51="","",COUNTA($B$4:$B51))</f>
        <v/>
      </c>
      <c r="B51" s="20"/>
      <c r="C51" s="12"/>
      <c r="D51" s="21"/>
      <c r="E51" s="12"/>
      <c r="F51" s="12"/>
      <c r="G51" s="21"/>
      <c r="H51" s="12"/>
      <c r="I51" s="12"/>
      <c r="J51" s="21"/>
      <c r="K51" s="12"/>
      <c r="L51" s="12"/>
      <c r="M51" s="21"/>
      <c r="N51" s="12"/>
      <c r="O51" s="12"/>
      <c r="P51" s="21"/>
      <c r="Q51" s="12"/>
      <c r="R51" s="12"/>
      <c r="S51" s="21"/>
      <c r="T51" s="12"/>
      <c r="U51" s="12"/>
      <c r="V51" s="21"/>
      <c r="W51" s="12"/>
      <c r="X51" s="12"/>
      <c r="Y51" s="21"/>
      <c r="Z51" s="12"/>
      <c r="AA51" s="12"/>
      <c r="AB51" s="12"/>
      <c r="AC51" s="12"/>
      <c r="AD51" s="12"/>
      <c r="AE51" s="22" t="str">
        <f t="shared" si="2"/>
        <v/>
      </c>
      <c r="AF51">
        <f t="shared" si="3"/>
        <v>0</v>
      </c>
    </row>
    <row r="52" spans="1:32" ht="21" customHeight="1" x14ac:dyDescent="0.95">
      <c r="A52" s="15" t="str">
        <f>IF($B52="","",COUNTA($B$4:$B52))</f>
        <v/>
      </c>
      <c r="B52" s="20"/>
      <c r="C52" s="12"/>
      <c r="D52" s="21"/>
      <c r="E52" s="12"/>
      <c r="F52" s="12"/>
      <c r="G52" s="21"/>
      <c r="H52" s="12"/>
      <c r="I52" s="12"/>
      <c r="J52" s="21"/>
      <c r="K52" s="12"/>
      <c r="L52" s="12"/>
      <c r="M52" s="21"/>
      <c r="N52" s="12"/>
      <c r="O52" s="12"/>
      <c r="P52" s="21"/>
      <c r="Q52" s="12"/>
      <c r="R52" s="12"/>
      <c r="S52" s="21"/>
      <c r="T52" s="12"/>
      <c r="U52" s="12"/>
      <c r="V52" s="21"/>
      <c r="W52" s="12"/>
      <c r="X52" s="12"/>
      <c r="Y52" s="21"/>
      <c r="Z52" s="12"/>
      <c r="AA52" s="12"/>
      <c r="AB52" s="12"/>
      <c r="AC52" s="12"/>
      <c r="AD52" s="12"/>
      <c r="AE52" s="22" t="str">
        <f t="shared" si="2"/>
        <v/>
      </c>
      <c r="AF52">
        <f t="shared" si="3"/>
        <v>0</v>
      </c>
    </row>
    <row r="53" spans="1:32" ht="21" customHeight="1" x14ac:dyDescent="0.95">
      <c r="A53" s="15" t="str">
        <f>IF($B53="","",COUNTA($B$4:$B53))</f>
        <v/>
      </c>
      <c r="B53" s="20"/>
      <c r="C53" s="12"/>
      <c r="D53" s="21"/>
      <c r="E53" s="12"/>
      <c r="F53" s="12"/>
      <c r="G53" s="21"/>
      <c r="H53" s="12"/>
      <c r="I53" s="12"/>
      <c r="J53" s="21"/>
      <c r="K53" s="12"/>
      <c r="L53" s="12"/>
      <c r="M53" s="21"/>
      <c r="N53" s="12"/>
      <c r="O53" s="12"/>
      <c r="P53" s="21"/>
      <c r="Q53" s="12"/>
      <c r="R53" s="12"/>
      <c r="S53" s="21"/>
      <c r="T53" s="12"/>
      <c r="U53" s="12"/>
      <c r="V53" s="21"/>
      <c r="W53" s="12"/>
      <c r="X53" s="12"/>
      <c r="Y53" s="21"/>
      <c r="Z53" s="12"/>
      <c r="AA53" s="12"/>
      <c r="AB53" s="12"/>
      <c r="AC53" s="12"/>
      <c r="AD53" s="12"/>
      <c r="AE53" s="22" t="str">
        <f t="shared" si="2"/>
        <v/>
      </c>
      <c r="AF53">
        <f t="shared" si="3"/>
        <v>0</v>
      </c>
    </row>
    <row r="54" spans="1:32" ht="21" customHeight="1" x14ac:dyDescent="0.95">
      <c r="A54" s="15" t="str">
        <f>IF($B54="","",COUNTA($B$4:$B54))</f>
        <v/>
      </c>
      <c r="B54" s="20"/>
      <c r="C54" s="12"/>
      <c r="D54" s="21"/>
      <c r="E54" s="12"/>
      <c r="F54" s="12"/>
      <c r="G54" s="21"/>
      <c r="H54" s="12"/>
      <c r="I54" s="12"/>
      <c r="J54" s="21"/>
      <c r="K54" s="12"/>
      <c r="L54" s="12"/>
      <c r="M54" s="21"/>
      <c r="N54" s="12"/>
      <c r="O54" s="12"/>
      <c r="P54" s="21"/>
      <c r="Q54" s="12"/>
      <c r="R54" s="12"/>
      <c r="S54" s="21"/>
      <c r="T54" s="12"/>
      <c r="U54" s="12"/>
      <c r="V54" s="21"/>
      <c r="W54" s="12"/>
      <c r="X54" s="12"/>
      <c r="Y54" s="21"/>
      <c r="Z54" s="12"/>
      <c r="AA54" s="12"/>
      <c r="AB54" s="12"/>
      <c r="AC54" s="12"/>
      <c r="AD54" s="12"/>
      <c r="AE54" s="22" t="str">
        <f t="shared" si="2"/>
        <v/>
      </c>
      <c r="AF54">
        <f t="shared" si="3"/>
        <v>0</v>
      </c>
    </row>
    <row r="55" spans="1:32" ht="21" customHeight="1" x14ac:dyDescent="0.95">
      <c r="A55" s="15" t="str">
        <f>IF($B55="","",COUNTA($B$4:$B55))</f>
        <v/>
      </c>
      <c r="B55" s="20"/>
      <c r="C55" s="12"/>
      <c r="D55" s="21"/>
      <c r="E55" s="12"/>
      <c r="F55" s="12"/>
      <c r="G55" s="21"/>
      <c r="H55" s="12"/>
      <c r="I55" s="12"/>
      <c r="J55" s="21"/>
      <c r="K55" s="12"/>
      <c r="L55" s="12"/>
      <c r="M55" s="21"/>
      <c r="N55" s="12"/>
      <c r="O55" s="12"/>
      <c r="P55" s="21"/>
      <c r="Q55" s="12"/>
      <c r="R55" s="12"/>
      <c r="S55" s="21"/>
      <c r="T55" s="12"/>
      <c r="U55" s="12"/>
      <c r="V55" s="21"/>
      <c r="W55" s="12"/>
      <c r="X55" s="12"/>
      <c r="Y55" s="21"/>
      <c r="Z55" s="12"/>
      <c r="AA55" s="12"/>
      <c r="AB55" s="12"/>
      <c r="AC55" s="12"/>
      <c r="AD55" s="12"/>
      <c r="AE55" s="22" t="str">
        <f t="shared" si="2"/>
        <v/>
      </c>
      <c r="AF55">
        <f t="shared" si="3"/>
        <v>0</v>
      </c>
    </row>
    <row r="56" spans="1:32" ht="21" customHeight="1" x14ac:dyDescent="0.95">
      <c r="A56" s="15" t="str">
        <f>IF($B56="","",COUNTA($B$4:$B56))</f>
        <v/>
      </c>
      <c r="B56" s="20"/>
      <c r="C56" s="12"/>
      <c r="D56" s="21"/>
      <c r="E56" s="12"/>
      <c r="F56" s="12"/>
      <c r="G56" s="21"/>
      <c r="H56" s="12"/>
      <c r="I56" s="12"/>
      <c r="J56" s="21"/>
      <c r="K56" s="12"/>
      <c r="L56" s="12"/>
      <c r="M56" s="21"/>
      <c r="N56" s="12"/>
      <c r="O56" s="12"/>
      <c r="P56" s="21"/>
      <c r="Q56" s="12"/>
      <c r="R56" s="12"/>
      <c r="S56" s="21"/>
      <c r="T56" s="12"/>
      <c r="U56" s="12"/>
      <c r="V56" s="21"/>
      <c r="W56" s="12"/>
      <c r="X56" s="12"/>
      <c r="Y56" s="21"/>
      <c r="Z56" s="12"/>
      <c r="AA56" s="12"/>
      <c r="AB56" s="12"/>
      <c r="AC56" s="12"/>
      <c r="AD56" s="12"/>
      <c r="AE56" s="22" t="str">
        <f t="shared" si="2"/>
        <v/>
      </c>
      <c r="AF56">
        <f t="shared" si="3"/>
        <v>0</v>
      </c>
    </row>
    <row r="57" spans="1:32" ht="21" customHeight="1" x14ac:dyDescent="0.95">
      <c r="A57" s="15" t="str">
        <f>IF($B57="","",COUNTA($B$4:$B57))</f>
        <v/>
      </c>
      <c r="B57" s="20"/>
      <c r="C57" s="12"/>
      <c r="D57" s="21"/>
      <c r="E57" s="12"/>
      <c r="F57" s="12"/>
      <c r="G57" s="21"/>
      <c r="H57" s="12"/>
      <c r="I57" s="12"/>
      <c r="J57" s="21"/>
      <c r="K57" s="12"/>
      <c r="L57" s="12"/>
      <c r="M57" s="21"/>
      <c r="N57" s="12"/>
      <c r="O57" s="12"/>
      <c r="P57" s="21"/>
      <c r="Q57" s="12"/>
      <c r="R57" s="12"/>
      <c r="S57" s="21"/>
      <c r="T57" s="12"/>
      <c r="U57" s="12"/>
      <c r="V57" s="21"/>
      <c r="W57" s="12"/>
      <c r="X57" s="12"/>
      <c r="Y57" s="21"/>
      <c r="Z57" s="12"/>
      <c r="AA57" s="12"/>
      <c r="AB57" s="12"/>
      <c r="AC57" s="12"/>
      <c r="AD57" s="12"/>
      <c r="AE57" s="22" t="str">
        <f t="shared" si="2"/>
        <v/>
      </c>
      <c r="AF57">
        <f t="shared" si="3"/>
        <v>0</v>
      </c>
    </row>
    <row r="58" spans="1:32" ht="21" customHeight="1" x14ac:dyDescent="0.95">
      <c r="A58" s="15" t="str">
        <f>IF($B58="","",COUNTA($B$4:$B58))</f>
        <v/>
      </c>
      <c r="B58" s="20"/>
      <c r="C58" s="12"/>
      <c r="D58" s="21"/>
      <c r="E58" s="12"/>
      <c r="F58" s="12"/>
      <c r="G58" s="21"/>
      <c r="H58" s="12"/>
      <c r="I58" s="12"/>
      <c r="J58" s="21"/>
      <c r="K58" s="12"/>
      <c r="L58" s="12"/>
      <c r="M58" s="21"/>
      <c r="N58" s="12"/>
      <c r="O58" s="12"/>
      <c r="P58" s="21"/>
      <c r="Q58" s="12"/>
      <c r="R58" s="12"/>
      <c r="S58" s="21"/>
      <c r="T58" s="12"/>
      <c r="U58" s="12"/>
      <c r="V58" s="21"/>
      <c r="W58" s="12"/>
      <c r="X58" s="12"/>
      <c r="Y58" s="21"/>
      <c r="Z58" s="12"/>
      <c r="AA58" s="12"/>
      <c r="AB58" s="12"/>
      <c r="AC58" s="12"/>
      <c r="AD58" s="12"/>
      <c r="AE58" s="22" t="str">
        <f t="shared" si="2"/>
        <v/>
      </c>
      <c r="AF58">
        <f t="shared" si="3"/>
        <v>0</v>
      </c>
    </row>
    <row r="59" spans="1:32" ht="21" customHeight="1" x14ac:dyDescent="0.95">
      <c r="A59" s="15" t="str">
        <f>IF($B59="","",COUNTA($B$4:$B59))</f>
        <v/>
      </c>
      <c r="B59" s="20"/>
      <c r="C59" s="12"/>
      <c r="D59" s="21"/>
      <c r="E59" s="12"/>
      <c r="F59" s="12"/>
      <c r="G59" s="21"/>
      <c r="H59" s="12"/>
      <c r="I59" s="12"/>
      <c r="J59" s="21"/>
      <c r="K59" s="12"/>
      <c r="L59" s="12"/>
      <c r="M59" s="21"/>
      <c r="N59" s="12"/>
      <c r="O59" s="12"/>
      <c r="P59" s="21"/>
      <c r="Q59" s="12"/>
      <c r="R59" s="12"/>
      <c r="S59" s="21"/>
      <c r="T59" s="12"/>
      <c r="U59" s="12"/>
      <c r="V59" s="21"/>
      <c r="W59" s="12"/>
      <c r="X59" s="12"/>
      <c r="Y59" s="21"/>
      <c r="Z59" s="12"/>
      <c r="AA59" s="12"/>
      <c r="AB59" s="12"/>
      <c r="AC59" s="12"/>
      <c r="AD59" s="12"/>
      <c r="AE59" s="22" t="str">
        <f t="shared" si="2"/>
        <v/>
      </c>
      <c r="AF59">
        <f t="shared" si="3"/>
        <v>0</v>
      </c>
    </row>
    <row r="60" spans="1:32" ht="21" customHeight="1" x14ac:dyDescent="0.95">
      <c r="A60" s="15" t="str">
        <f>IF($B60="","",COUNTA($B$4:$B60))</f>
        <v/>
      </c>
      <c r="B60" s="20"/>
      <c r="C60" s="12"/>
      <c r="D60" s="21"/>
      <c r="E60" s="12"/>
      <c r="F60" s="12"/>
      <c r="G60" s="21"/>
      <c r="H60" s="12"/>
      <c r="I60" s="12"/>
      <c r="J60" s="21"/>
      <c r="K60" s="12"/>
      <c r="L60" s="12"/>
      <c r="M60" s="21"/>
      <c r="N60" s="12"/>
      <c r="O60" s="12"/>
      <c r="P60" s="21"/>
      <c r="Q60" s="12"/>
      <c r="R60" s="12"/>
      <c r="S60" s="21"/>
      <c r="T60" s="12"/>
      <c r="U60" s="12"/>
      <c r="V60" s="21"/>
      <c r="W60" s="12"/>
      <c r="X60" s="12"/>
      <c r="Y60" s="21"/>
      <c r="Z60" s="12"/>
      <c r="AA60" s="12"/>
      <c r="AB60" s="12"/>
      <c r="AC60" s="12"/>
      <c r="AD60" s="12"/>
      <c r="AE60" s="22" t="str">
        <f t="shared" si="2"/>
        <v/>
      </c>
      <c r="AF60">
        <f t="shared" si="3"/>
        <v>0</v>
      </c>
    </row>
    <row r="61" spans="1:32" ht="21" customHeight="1" x14ac:dyDescent="0.95">
      <c r="A61" s="15" t="str">
        <f>IF($B61="","",COUNTA($B$4:$B61))</f>
        <v/>
      </c>
      <c r="B61" s="20"/>
      <c r="C61" s="12"/>
      <c r="D61" s="21"/>
      <c r="E61" s="12"/>
      <c r="F61" s="12"/>
      <c r="G61" s="21"/>
      <c r="H61" s="12"/>
      <c r="I61" s="12"/>
      <c r="J61" s="21"/>
      <c r="K61" s="12"/>
      <c r="L61" s="12"/>
      <c r="M61" s="21"/>
      <c r="N61" s="12"/>
      <c r="O61" s="12"/>
      <c r="P61" s="21"/>
      <c r="Q61" s="12"/>
      <c r="R61" s="12"/>
      <c r="S61" s="21"/>
      <c r="T61" s="12"/>
      <c r="U61" s="12"/>
      <c r="V61" s="21"/>
      <c r="W61" s="12"/>
      <c r="X61" s="12"/>
      <c r="Y61" s="21"/>
      <c r="Z61" s="12"/>
      <c r="AA61" s="12"/>
      <c r="AB61" s="12"/>
      <c r="AC61" s="12"/>
      <c r="AD61" s="12"/>
      <c r="AE61" s="22" t="str">
        <f t="shared" si="2"/>
        <v/>
      </c>
      <c r="AF61">
        <f t="shared" si="3"/>
        <v>0</v>
      </c>
    </row>
    <row r="62" spans="1:32" ht="21" customHeight="1" x14ac:dyDescent="0.95">
      <c r="A62" s="15" t="str">
        <f>IF($B62="","",COUNTA($B$4:$B62))</f>
        <v/>
      </c>
      <c r="B62" s="20"/>
      <c r="C62" s="12"/>
      <c r="D62" s="21"/>
      <c r="E62" s="12"/>
      <c r="F62" s="12"/>
      <c r="G62" s="21"/>
      <c r="H62" s="12"/>
      <c r="I62" s="12"/>
      <c r="J62" s="21"/>
      <c r="K62" s="12"/>
      <c r="L62" s="12"/>
      <c r="M62" s="21"/>
      <c r="N62" s="12"/>
      <c r="O62" s="12"/>
      <c r="P62" s="21"/>
      <c r="Q62" s="12"/>
      <c r="R62" s="12"/>
      <c r="S62" s="21"/>
      <c r="T62" s="12"/>
      <c r="U62" s="12"/>
      <c r="V62" s="21"/>
      <c r="W62" s="12"/>
      <c r="X62" s="12"/>
      <c r="Y62" s="21"/>
      <c r="Z62" s="12"/>
      <c r="AA62" s="12"/>
      <c r="AB62" s="12"/>
      <c r="AC62" s="12"/>
      <c r="AD62" s="12"/>
      <c r="AE62" s="22" t="str">
        <f t="shared" si="2"/>
        <v/>
      </c>
      <c r="AF62">
        <f t="shared" si="3"/>
        <v>0</v>
      </c>
    </row>
    <row r="63" spans="1:32" ht="21" customHeight="1" x14ac:dyDescent="0.95">
      <c r="A63" s="15" t="str">
        <f>IF($B63="","",COUNTA($B$4:$B63))</f>
        <v/>
      </c>
      <c r="B63" s="20"/>
      <c r="C63" s="12"/>
      <c r="D63" s="21"/>
      <c r="E63" s="12"/>
      <c r="F63" s="12"/>
      <c r="G63" s="21"/>
      <c r="H63" s="12"/>
      <c r="I63" s="12"/>
      <c r="J63" s="21"/>
      <c r="K63" s="12"/>
      <c r="L63" s="12"/>
      <c r="M63" s="21"/>
      <c r="N63" s="12"/>
      <c r="O63" s="12"/>
      <c r="P63" s="21"/>
      <c r="Q63" s="12"/>
      <c r="R63" s="12"/>
      <c r="S63" s="21"/>
      <c r="T63" s="12"/>
      <c r="U63" s="12"/>
      <c r="V63" s="21"/>
      <c r="W63" s="12"/>
      <c r="X63" s="12"/>
      <c r="Y63" s="21"/>
      <c r="Z63" s="12"/>
      <c r="AA63" s="12"/>
      <c r="AB63" s="12"/>
      <c r="AC63" s="12"/>
      <c r="AD63" s="12"/>
      <c r="AE63" s="22" t="str">
        <f t="shared" si="2"/>
        <v/>
      </c>
      <c r="AF63">
        <f t="shared" si="3"/>
        <v>0</v>
      </c>
    </row>
    <row r="64" spans="1:32" ht="19.899999999999999" customHeight="1" x14ac:dyDescent="0.8">
      <c r="A64" s="24"/>
      <c r="B64" s="24" t="s">
        <v>95</v>
      </c>
      <c r="C64" s="25">
        <f>ROUND(SUM($C$4:$C$63),2)</f>
        <v>0</v>
      </c>
      <c r="D64" s="26" t="str">
        <f>IF(OR(N($C$64)=0,SUMPRODUCT(--($E$4:$E$63&lt;&gt;""),--($C$4:$C$63=""))&gt;0),"",ROUND($E$64/$C$64,4))</f>
        <v/>
      </c>
      <c r="E64" s="25">
        <f>ROUND(SUM($E$4:$E$63),2)</f>
        <v>0</v>
      </c>
      <c r="F64" s="25">
        <f>ROUND(SUM($F$4:$F$63),2)</f>
        <v>0</v>
      </c>
      <c r="G64" s="26" t="str">
        <f>IF(OR(N($F$64)=0,SUMPRODUCT(--($H$4:$H$63&lt;&gt;""),--($F$4:$F$63=""))&gt;0),"",ROUND($H$64/$F$64,4))</f>
        <v/>
      </c>
      <c r="H64" s="25">
        <f>ROUND(SUM($H$4:$H$63),2)</f>
        <v>0</v>
      </c>
      <c r="I64" s="25">
        <f>ROUND(SUM($I$4:$I$63),2)</f>
        <v>0</v>
      </c>
      <c r="J64" s="26" t="str">
        <f>IF(OR(N($I$64)=0,SUMPRODUCT(--($K$4:$K$63&lt;&gt;""),--($I$4:$I$63=""))&gt;0),"",ROUND($K$64/$I$64,4))</f>
        <v/>
      </c>
      <c r="K64" s="25">
        <f>ROUND(SUM($K$4:$K$63),2)</f>
        <v>0</v>
      </c>
      <c r="L64" s="25">
        <f>ROUND(SUM($L$4:$L$63),2)</f>
        <v>0</v>
      </c>
      <c r="M64" s="26" t="str">
        <f>IF(OR(N($L$64)=0,SUMPRODUCT(--($N$4:$N$63&lt;&gt;""),--($L$4:$L$63=""))&gt;0),"",ROUND($N$64/$L$64,4))</f>
        <v/>
      </c>
      <c r="N64" s="25">
        <f>ROUND(SUM($N$4:$N$63),2)</f>
        <v>0</v>
      </c>
      <c r="O64" s="25">
        <f>ROUND(SUM($O$4:$O$63),2)</f>
        <v>0</v>
      </c>
      <c r="P64" s="26" t="str">
        <f>IF(OR(N($O$64)=0,SUMPRODUCT(--($Q$4:$Q$63&lt;&gt;""),--($O$4:$O$63=""))&gt;0),"",ROUND($Q$64/$O$64,4))</f>
        <v/>
      </c>
      <c r="Q64" s="25">
        <f>ROUND(SUM($Q$4:$Q$63),2)</f>
        <v>0</v>
      </c>
      <c r="R64" s="25">
        <f>ROUND(SUM($R$4:$R$63),2)</f>
        <v>0</v>
      </c>
      <c r="S64" s="26" t="str">
        <f>IF(OR(N($R$64)=0,SUMPRODUCT(--($T$4:$T$63&lt;&gt;""),--($R$4:$R$63=""))&gt;0),"",ROUND($T$64/$R$64,4))</f>
        <v/>
      </c>
      <c r="T64" s="25">
        <f>ROUND(SUM($T$4:$T$63),2)</f>
        <v>0</v>
      </c>
      <c r="U64" s="25">
        <f>ROUND(SUM($U$4:$U$63),2)</f>
        <v>0</v>
      </c>
      <c r="V64" s="26" t="str">
        <f>IF(OR(N($U$64)=0,SUMPRODUCT(--($W$4:$W$63&lt;&gt;""),--($U$4:$U$63=""))&gt;0),"",ROUND($W$64/$U$64,4))</f>
        <v/>
      </c>
      <c r="W64" s="25">
        <f>ROUND(SUM($W$4:$W$63),2)</f>
        <v>0</v>
      </c>
      <c r="X64" s="25">
        <f>ROUND(SUM($X$4:$X$63),2)</f>
        <v>0</v>
      </c>
      <c r="Y64" s="26" t="str">
        <f>IF(OR(N($X$64)=0,SUMPRODUCT(--($Z$4:$Z$63&lt;&gt;""),--($X$4:$X$63=""))&gt;0),"",ROUND($Z$64/$X$64,4))</f>
        <v/>
      </c>
      <c r="Z64" s="25">
        <f>ROUND(SUM($Z$4:$Z$63),2)</f>
        <v>0</v>
      </c>
      <c r="AA64" s="25">
        <f>ROUND(SUM($AA$4:$AA$63),2)</f>
        <v>0</v>
      </c>
      <c r="AB64" s="25">
        <f>ROUND(SUM($AB$4:$AB$63),2)</f>
        <v>0</v>
      </c>
      <c r="AC64" s="25">
        <f>ROUND(SUM($AC$4:$AC$63),2)</f>
        <v>0</v>
      </c>
      <c r="AD64" s="25">
        <f>ROUND(SUM($AD$4:$AD$63),2)</f>
        <v>0</v>
      </c>
      <c r="AE64" s="25">
        <f>ROUND(SUM($AE$4:$AE$63),2)</f>
        <v>0</v>
      </c>
    </row>
  </sheetData>
  <mergeCells count="10">
    <mergeCell ref="A2:A3"/>
    <mergeCell ref="AE2:AE3"/>
    <mergeCell ref="L2:N2"/>
    <mergeCell ref="O2:Q2"/>
    <mergeCell ref="C2:E2"/>
    <mergeCell ref="U2:W2"/>
    <mergeCell ref="X2:Z2"/>
    <mergeCell ref="I2:K2"/>
    <mergeCell ref="R2:T2"/>
    <mergeCell ref="F2:H2"/>
  </mergeCells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100-000000000000}">
          <x14:formula1>
            <xm:f>รายการมาตรฐาน!$F$2:$F$302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AH707"/>
  <sheetViews>
    <sheetView workbookViewId="0">
      <pane ySplit="7" topLeftCell="A8" activePane="bottomLeft" state="frozen"/>
      <selection pane="bottomLeft"/>
    </sheetView>
  </sheetViews>
  <sheetFormatPr defaultRowHeight="14.25" x14ac:dyDescent="0.45"/>
  <cols>
    <col min="1" max="1" width="34" customWidth="1"/>
    <col min="2" max="2" width="48" customWidth="1"/>
    <col min="3" max="3" width="42" customWidth="1"/>
    <col min="4" max="4" width="9" customWidth="1"/>
    <col min="5" max="5" width="22" customWidth="1"/>
    <col min="6" max="6" width="17" customWidth="1"/>
    <col min="7" max="7" width="13" customWidth="1"/>
    <col min="8" max="8" width="17" customWidth="1"/>
    <col min="9" max="9" width="42" customWidth="1"/>
    <col min="10" max="34" width="13" hidden="1" customWidth="1"/>
  </cols>
  <sheetData>
    <row r="1" spans="1:34" ht="25.9" customHeight="1" x14ac:dyDescent="1.05">
      <c r="A1" s="1" t="s">
        <v>96</v>
      </c>
      <c r="I1" s="18" t="s">
        <v>97</v>
      </c>
      <c r="AD1">
        <f>COUNT($Q$8:$Q$407)+SUM($V$8:$V$407)+SUM($W$8:$W$407)</f>
        <v>0</v>
      </c>
    </row>
    <row r="2" spans="1:34" ht="21" customHeight="1" x14ac:dyDescent="0.95">
      <c r="A2" s="3" t="s">
        <v>98</v>
      </c>
      <c r="B2" s="8" t="str">
        <f>IF(บันทึกรายเที่ยว!$D$3="","",บันทึกรายเที่ยว!$D$3)</f>
        <v/>
      </c>
      <c r="D2" s="3" t="s">
        <v>99</v>
      </c>
      <c r="E2" s="8" t="str">
        <f>IF(บันทึกรายเที่ยว!$B$3="","",บันทึกรายเที่ยว!$B$3)</f>
        <v>กรกฎาคม 2569</v>
      </c>
      <c r="I2" s="27" t="s">
        <v>8</v>
      </c>
    </row>
    <row r="3" spans="1:34" ht="21" customHeight="1" x14ac:dyDescent="0.95">
      <c r="A3" s="3" t="s">
        <v>100</v>
      </c>
      <c r="B3" s="28" t="s">
        <v>101</v>
      </c>
      <c r="I3" s="29" t="s">
        <v>102</v>
      </c>
    </row>
    <row r="4" spans="1:34" ht="19.899999999999999" customHeight="1" x14ac:dyDescent="0.8">
      <c r="A4" s="3" t="s">
        <v>103</v>
      </c>
      <c r="B4" s="30"/>
      <c r="I4" s="27" t="s">
        <v>10</v>
      </c>
    </row>
    <row r="5" spans="1:34" ht="19.899999999999999" customHeight="1" x14ac:dyDescent="0.45">
      <c r="A5" s="70" t="str">
        <f>IF($AD$1+7&gt;200,"*** รายงานยาวเกินพื้นที่พิมพ์ที่ตั้งไว้ — ตั้ง Print Area ใหม่เป็น "&amp;"A1:H"&amp;(8-1+$AD$1+7)&amp;" ก่อนพิมพ์ ***","")</f>
        <v/>
      </c>
      <c r="B5" s="69"/>
      <c r="C5" s="69"/>
      <c r="D5" s="69"/>
      <c r="E5" s="69"/>
      <c r="F5" s="69"/>
      <c r="G5" s="69"/>
      <c r="H5" s="69"/>
      <c r="I5" s="29" t="s">
        <v>102</v>
      </c>
    </row>
    <row r="6" spans="1:34" ht="18" customHeight="1" x14ac:dyDescent="0.8">
      <c r="A6" s="68" t="str">
        <f>" รายงานสรุปผลการขนส่ง ประจำเดือน "&amp;บันทึกรายเที่ยว!$B$3&amp;IF(AND($I$3="(ทั้งหมด)",$I$5="(ทั้งหมด)",$I$7="(ทั้งหมด)"),"","   [กรองเฉพาะ:"&amp;IF($I$3="(ทั้งหมด)",""," ปลายทาง="&amp;$I$3)&amp;IF($I$5="(ทั้งหมด)",""," ชนิด="&amp;$I$5)&amp;IF($I$7="(ทั้งหมด)",""," ทีม="&amp;$I$7)&amp;" ]")</f>
        <v xml:space="preserve"> รายงานสรุปผลการขนส่ง ประจำเดือน กรกฎาคม 2569</v>
      </c>
      <c r="B6" s="69"/>
      <c r="C6" s="69"/>
      <c r="D6" s="69"/>
      <c r="E6" s="69"/>
      <c r="F6" s="69"/>
      <c r="G6" s="69"/>
      <c r="H6" s="69"/>
      <c r="I6" s="27" t="s">
        <v>6</v>
      </c>
    </row>
    <row r="7" spans="1:34" ht="36" customHeight="1" x14ac:dyDescent="0.45">
      <c r="A7" s="7" t="s">
        <v>104</v>
      </c>
      <c r="B7" s="7" t="s">
        <v>105</v>
      </c>
      <c r="C7" s="7" t="s">
        <v>106</v>
      </c>
      <c r="D7" s="7" t="s">
        <v>107</v>
      </c>
      <c r="E7" s="7" t="s">
        <v>45</v>
      </c>
      <c r="F7" s="7" t="s">
        <v>46</v>
      </c>
      <c r="G7" s="7" t="s">
        <v>47</v>
      </c>
      <c r="H7" s="7" t="s">
        <v>48</v>
      </c>
      <c r="I7" s="29" t="s">
        <v>102</v>
      </c>
    </row>
    <row r="8" spans="1:34" ht="21" customHeight="1" x14ac:dyDescent="0.95">
      <c r="A8" s="3" t="str">
        <f t="shared" ref="A8:A71" si="0">IF($AB8="G","ผลรวมทั้งหมด",IF($AB8="R",INDEX($S$8:$S$407,$AA8),""))</f>
        <v>ผลรวมทั้งหมด</v>
      </c>
      <c r="B8" s="3" t="str">
        <f t="shared" ref="B8:B71" si="1">IF($AB8="S",INDEX($Y$8:$Y$407,$AA8),"")</f>
        <v/>
      </c>
      <c r="C8" s="8" t="str">
        <f t="shared" ref="C8:C71" si="2">IF($AB8="D",INDEX($Z$8:$Z$407,$AA8),"")</f>
        <v/>
      </c>
      <c r="D8" s="31">
        <f t="shared" ref="D8:D71" si="3">IF($AB8="G",SUM($AE$8:$AE$407),IF(OR($AB8="",$AB8="R"),"",IF($AB8="D",INDEX($AE$8:$AE$407,$AA8),SUMIF($T$8:$T$407,INDEX($T$8:$T$407,$AA8),$AE$8:$AE$407))))</f>
        <v>0</v>
      </c>
      <c r="E8" s="32">
        <f>IF(1=$AD$1+3,"ขอแสดงความนับถือ",IF(1=$AD$1+6,"(                 )",IF(1=$AD$1+7,"เจ้าหน้าที่ขนส่ง",IF($AB8="G",SUM($AF$8:$AF$407),IF(OR($AB8="",$AB8="R"),"",IF($AB8="D",INDEX($AF$8:$AF$407,$AA8),SUMIF($T$8:$T$407,INDEX($T$8:$T$407,$AA8),$AF$8:$AF$407)))))))</f>
        <v>0</v>
      </c>
      <c r="F8" s="32">
        <f t="shared" ref="F8:F71" si="4">IF($AB8="G",SUM($AG$8:$AG$407),IF(OR($AB8="",$AB8="R"),"",IF($AB8="D",INDEX($AG$8:$AG$407,$AA8),SUMIF($T$8:$T$407,INDEX($T$8:$T$407,$AA8),$AG$8:$AG$407))))</f>
        <v>0</v>
      </c>
      <c r="G8" s="32">
        <f t="shared" ref="G8:G71" si="5">IF(OR($AB8="",$AB8="R"),"",ROUND($E8-$F8,2))</f>
        <v>0</v>
      </c>
      <c r="H8" s="32">
        <f t="shared" ref="H8:H71" si="6">IF($AB8="G",SUM($AH$8:$AH$407),IF(OR($AB8="",$AB8="R"),"",IF($AB8="D",INDEX($AH$8:$AH$407,$AA8),SUMIF($T$8:$T$407,INDEX($T$8:$T$407,$AA8),$AH$8:$AH$407))))</f>
        <v>0</v>
      </c>
      <c r="I8" s="33" t="s">
        <v>65</v>
      </c>
      <c r="J8" t="str">
        <f>IFERROR(MATCH(1,บันทึกรายเที่ยว!$W$6:$W$10005,0),"")</f>
        <v/>
      </c>
      <c r="K8" t="str">
        <f>IF($J8="","",INDEX(บันทึกรายเที่ยว!$T$6:$T$10005,$J8))</f>
        <v/>
      </c>
      <c r="L8" t="str">
        <f>IF($J8="","",INDEX(บันทึกรายเที่ยว!$S$6:$S$10005,$J8))</f>
        <v/>
      </c>
      <c r="M8" t="str">
        <f>IF($J8="","",INDEX(บันทึกรายเที่ยว!$R$6:$R$10005,$J8))</f>
        <v/>
      </c>
      <c r="N8" t="str">
        <f>IF($J8="","",MATCH($M8,บันทึกรายเที่ยว!$R$6:$R$10005,0))</f>
        <v/>
      </c>
      <c r="O8" t="str">
        <f>IF($J8="","",MATCH($L8,บันทึกรายเที่ยว!$S$6:$S$10005,0))</f>
        <v/>
      </c>
      <c r="P8" t="str">
        <f>IF($J8="","",IF(AND(OR($I$3="(ทั้งหมด)",INDEX(บันทึกรายเที่ยว!$C$6:$C$10005,$J8)=$I$3),OR($I$5="(ทั้งหมด)",INDEX(บันทึกรายเที่ยว!$D$6:$D$10005,$J8)=$I$5),OR($I$7="(ทั้งหมด)",INDEX(บันทึกรายเที่ยว!$F$6:$F$10005,$J8)=$I$7)),$N8*10000000+$O8*1000+1,""))</f>
        <v/>
      </c>
      <c r="Q8" t="str">
        <f>IFERROR(MATCH(SMALL($P$8:$P$407,1),$P$8:$P$407,0),"")</f>
        <v/>
      </c>
      <c r="R8" t="str">
        <f t="shared" ref="R8:R71" si="7">IF($Q8="","",INDEX($J$8:$J$407,$Q8))</f>
        <v/>
      </c>
      <c r="S8" t="str">
        <f t="shared" ref="S8:S71" si="8">IF($Q8="","",INDEX($M$8:$M$407,$Q8))</f>
        <v/>
      </c>
      <c r="T8" t="str">
        <f t="shared" ref="T8:T71" si="9">IF($Q8="","",INDEX($L$8:$L$407,$Q8))</f>
        <v/>
      </c>
      <c r="U8" t="str">
        <f t="shared" ref="U8:U71" si="10">IF($Q8="","",INDEX($K$8:$K$407,$Q8))</f>
        <v/>
      </c>
      <c r="V8">
        <f>IF($Q8="",0,1)</f>
        <v>0</v>
      </c>
      <c r="W8">
        <f>IF($Q8="",0,1)</f>
        <v>0</v>
      </c>
      <c r="X8">
        <f>IF($Q8="",99999,1)</f>
        <v>99999</v>
      </c>
      <c r="Y8" t="str">
        <f>IF($Q8="","",INDEX(บันทึกรายเที่ยว!$Q$6:$Q$10005,$R8))</f>
        <v/>
      </c>
      <c r="Z8" t="str">
        <f>IF($Q8="","",INDEX(บันทึกรายเที่ยว!$F$6:$F$10005,$R8))</f>
        <v/>
      </c>
      <c r="AA8" t="str">
        <f>IFERROR(MATCH(1,$X$8:$X$407,1),"")</f>
        <v/>
      </c>
      <c r="AB8" t="str">
        <f>IF(1=$AD$1+1,"G",IF($AA8="","",IF(INDEX($Q$8:$Q$407,$AA8)="","",IF(1&gt;INDEX($X$8:$X$407,$AA8)+INDEX($V$8:$V$407,$AA8)+INDEX($W$8:$W$407,$AA8),"",IF(1=INDEX($X$8:$X$407,$AA8)+INDEX($V$8:$V$407,$AA8)+INDEX($W$8:$W$407,$AA8),"D",IF(AND(INDEX($W$8:$W$407,$AA8)=1,1=INDEX($X$8:$X$407,$AA8)+INDEX($V$8:$V$407,$AA8)),"S","R"))))))</f>
        <v>G</v>
      </c>
      <c r="AC8" t="str">
        <f t="shared" ref="AC8:AC71" si="11">IF(OR($AB8="",$AB8="G"),"",IF($AB8="D",INDEX($U$8:$U$407,$AA8),IF($AB8="S",INDEX($T$8:$T$407,$AA8)&amp;"|*",INDEX($S$8:$S$407,$AA8)&amp;"|*")))</f>
        <v/>
      </c>
      <c r="AE8">
        <f>IF($U8="",0,COUNTIF(บันทึกรายเที่ยว!$T$6:$T$10005,$U8))</f>
        <v>0</v>
      </c>
      <c r="AF8">
        <f>IF($U8="",0,ROUND(SUMIF(บันทึกรายเที่ยว!$T$6:$T$10005,$U8,บันทึกรายเที่ยว!$J$6:$J$10005),2))</f>
        <v>0</v>
      </c>
      <c r="AG8">
        <f>IF($U8="",0,ROUND(SUMIF(บันทึกรายเที่ยว!$T$6:$T$10005,$U8,บันทึกรายเที่ยว!$K$6:$K$10005),2))</f>
        <v>0</v>
      </c>
      <c r="AH8">
        <f>IF($U8="",0,ROUND(SUMIF(บันทึกรายเที่ยว!$T$6:$T$10005,$U8,บันทึกรายเที่ยว!$M$6:$M$10005),2))</f>
        <v>0</v>
      </c>
    </row>
    <row r="9" spans="1:34" ht="21" customHeight="1" x14ac:dyDescent="0.95">
      <c r="A9" s="3" t="str">
        <f t="shared" si="0"/>
        <v/>
      </c>
      <c r="B9" s="3" t="str">
        <f t="shared" si="1"/>
        <v/>
      </c>
      <c r="C9" s="8" t="str">
        <f t="shared" si="2"/>
        <v/>
      </c>
      <c r="D9" s="31" t="str">
        <f t="shared" si="3"/>
        <v/>
      </c>
      <c r="E9" s="32" t="str">
        <f>IF(2=$AD$1+3,"ขอแสดงความนับถือ",IF(2=$AD$1+6,"(                 )",IF(2=$AD$1+7,"เจ้าหน้าที่ขนส่ง",IF($AB9="G",SUM($AF$8:$AF$407),IF(OR($AB9="",$AB9="R"),"",IF($AB9="D",INDEX($AF$8:$AF$407,$AA9),SUMIF($T$8:$T$407,INDEX($T$8:$T$407,$AA9),$AF$8:$AF$407)))))))</f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27" t="s">
        <v>108</v>
      </c>
      <c r="J9" t="str">
        <f>IFERROR(MATCH(2,บันทึกรายเที่ยว!$W$6:$W$10005,0),"")</f>
        <v/>
      </c>
      <c r="K9" t="str">
        <f>IF($J9="","",INDEX(บันทึกรายเที่ยว!$T$6:$T$10005,$J9))</f>
        <v/>
      </c>
      <c r="L9" t="str">
        <f>IF($J9="","",INDEX(บันทึกรายเที่ยว!$S$6:$S$10005,$J9))</f>
        <v/>
      </c>
      <c r="M9" t="str">
        <f>IF($J9="","",INDEX(บันทึกรายเที่ยว!$R$6:$R$10005,$J9))</f>
        <v/>
      </c>
      <c r="N9" t="str">
        <f>IF($J9="","",MATCH($M9,บันทึกรายเที่ยว!$R$6:$R$10005,0))</f>
        <v/>
      </c>
      <c r="O9" t="str">
        <f>IF($J9="","",MATCH($L9,บันทึกรายเที่ยว!$S$6:$S$10005,0))</f>
        <v/>
      </c>
      <c r="P9" t="str">
        <f>IF($J9="","",IF(AND(OR($I$3="(ทั้งหมด)",INDEX(บันทึกรายเที่ยว!$C$6:$C$10005,$J9)=$I$3),OR($I$5="(ทั้งหมด)",INDEX(บันทึกรายเที่ยว!$D$6:$D$10005,$J9)=$I$5),OR($I$7="(ทั้งหมด)",INDEX(บันทึกรายเที่ยว!$F$6:$F$10005,$J9)=$I$7)),$N9*10000000+$O9*1000+2,""))</f>
        <v/>
      </c>
      <c r="Q9" t="str">
        <f>IFERROR(MATCH(SMALL($P$8:$P$407,2),$P$8:$P$407,0),"")</f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>
        <f t="shared" ref="V9:V72" si="12">IF($Q9="",0,IF($S9&lt;&gt;$S8,1,0))</f>
        <v>0</v>
      </c>
      <c r="W9">
        <f t="shared" ref="W9:W72" si="13">IF($Q9="",0,IF($T9&lt;&gt;$T8,1,0))</f>
        <v>0</v>
      </c>
      <c r="X9">
        <f>IF($Q9="",99999+2,$X8+1+$V8+$W8)</f>
        <v>100001</v>
      </c>
      <c r="Y9" t="str">
        <f>IF($Q9="","",INDEX(บันทึกรายเที่ยว!$Q$6:$Q$10005,$R9))</f>
        <v/>
      </c>
      <c r="Z9" t="str">
        <f>IF($Q9="","",INDEX(บันทึกรายเที่ยว!$F$6:$F$10005,$R9))</f>
        <v/>
      </c>
      <c r="AA9" t="str">
        <f>IFERROR(MATCH(2,$X$8:$X$407,1),"")</f>
        <v/>
      </c>
      <c r="AB9" t="str">
        <f>IF(2=$AD$1+1,"G",IF($AA9="","",IF(INDEX($Q$8:$Q$407,$AA9)="","",IF(2&gt;INDEX($X$8:$X$407,$AA9)+INDEX($V$8:$V$407,$AA9)+INDEX($W$8:$W$407,$AA9),"",IF(2=INDEX($X$8:$X$407,$AA9)+INDEX($V$8:$V$407,$AA9)+INDEX($W$8:$W$407,$AA9),"D",IF(AND(INDEX($W$8:$W$407,$AA9)=1,2=INDEX($X$8:$X$407,$AA9)+INDEX($V$8:$V$407,$AA9)),"S","R"))))))</f>
        <v/>
      </c>
      <c r="AC9" t="str">
        <f t="shared" si="11"/>
        <v/>
      </c>
      <c r="AE9">
        <f>IF($U9="",0,COUNTIF(บันทึกรายเที่ยว!$T$6:$T$10005,$U9))</f>
        <v>0</v>
      </c>
      <c r="AF9">
        <f>IF($U9="",0,ROUND(SUMIF(บันทึกรายเที่ยว!$T$6:$T$10005,$U9,บันทึกรายเที่ยว!$J$6:$J$10005),2))</f>
        <v>0</v>
      </c>
      <c r="AG9">
        <f>IF($U9="",0,ROUND(SUMIF(บันทึกรายเที่ยว!$T$6:$T$10005,$U9,บันทึกรายเที่ยว!$K$6:$K$10005),2))</f>
        <v>0</v>
      </c>
      <c r="AH9">
        <f>IF($U9="",0,ROUND(SUMIF(บันทึกรายเที่ยว!$T$6:$T$10005,$U9,บันทึกรายเที่ยว!$M$6:$M$10005),2))</f>
        <v>0</v>
      </c>
    </row>
    <row r="10" spans="1:34" ht="21" customHeight="1" x14ac:dyDescent="0.95">
      <c r="A10" s="3" t="str">
        <f t="shared" si="0"/>
        <v/>
      </c>
      <c r="B10" s="3" t="str">
        <f t="shared" si="1"/>
        <v/>
      </c>
      <c r="C10" s="8" t="str">
        <f t="shared" si="2"/>
        <v/>
      </c>
      <c r="D10" s="31" t="str">
        <f t="shared" si="3"/>
        <v/>
      </c>
      <c r="E10" s="32" t="str">
        <f>IF(3=$AD$1+3,"ขอแสดงความนับถือ",IF(3=$AD$1+6,"(                 )",IF(3=$AD$1+7,"เจ้าหน้าที่ขนส่ง",IF($AB10="G",SUM($AF$8:$AF$407),IF(OR($AB10="",$AB10="R"),"",IF($AB10="D",INDEX($AF$8:$AF$407,$AA10),SUMIF($T$8:$T$407,INDEX($T$8:$T$407,$AA10),$AF$8:$AF$407)))))))</f>
        <v>ขอแสดงความนับถือ</v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4" t="str">
        <f>IF(AND($I$3="(ทั้งหมด)",$I$5="(ทั้งหมด)",$I$7="(ทั้งหมด)"),IF(ROUND(SUM($AH$8:$AH$407),2)=ROUND(SUM(บันทึกรายเที่ยว!$M$6:$M$10005),2),"ยอดตรงกับรายเที่ยว","*** ยอดไม่ตรง ***"),"กำลังกรองอยู่ — ยอดเป็นเฉพาะที่กรอง")</f>
        <v>ยอดตรงกับรายเที่ยว</v>
      </c>
      <c r="J10" t="str">
        <f>IFERROR(MATCH(3,บันทึกรายเที่ยว!$W$6:$W$10005,0),"")</f>
        <v/>
      </c>
      <c r="K10" t="str">
        <f>IF($J10="","",INDEX(บันทึกรายเที่ยว!$T$6:$T$10005,$J10))</f>
        <v/>
      </c>
      <c r="L10" t="str">
        <f>IF($J10="","",INDEX(บันทึกรายเที่ยว!$S$6:$S$10005,$J10))</f>
        <v/>
      </c>
      <c r="M10" t="str">
        <f>IF($J10="","",INDEX(บันทึกรายเที่ยว!$R$6:$R$10005,$J10))</f>
        <v/>
      </c>
      <c r="N10" t="str">
        <f>IF($J10="","",MATCH($M10,บันทึกรายเที่ยว!$R$6:$R$10005,0))</f>
        <v/>
      </c>
      <c r="O10" t="str">
        <f>IF($J10="","",MATCH($L10,บันทึกรายเที่ยว!$S$6:$S$10005,0))</f>
        <v/>
      </c>
      <c r="P10" t="str">
        <f>IF($J10="","",IF(AND(OR($I$3="(ทั้งหมด)",INDEX(บันทึกรายเที่ยว!$C$6:$C$10005,$J10)=$I$3),OR($I$5="(ทั้งหมด)",INDEX(บันทึกรายเที่ยว!$D$6:$D$10005,$J10)=$I$5),OR($I$7="(ทั้งหมด)",INDEX(บันทึกรายเที่ยว!$F$6:$F$10005,$J10)=$I$7)),$N10*10000000+$O10*1000+3,""))</f>
        <v/>
      </c>
      <c r="Q10" t="str">
        <f>IFERROR(MATCH(SMALL($P$8:$P$407,3),$P$8:$P$407,0),"")</f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>
        <f t="shared" si="12"/>
        <v>0</v>
      </c>
      <c r="W10">
        <f t="shared" si="13"/>
        <v>0</v>
      </c>
      <c r="X10">
        <f>IF($Q10="",99999+3,$X9+1+$V9+$W9)</f>
        <v>100002</v>
      </c>
      <c r="Y10" t="str">
        <f>IF($Q10="","",INDEX(บันทึกรายเที่ยว!$Q$6:$Q$10005,$R10))</f>
        <v/>
      </c>
      <c r="Z10" t="str">
        <f>IF($Q10="","",INDEX(บันทึกรายเที่ยว!$F$6:$F$10005,$R10))</f>
        <v/>
      </c>
      <c r="AA10" t="str">
        <f>IFERROR(MATCH(3,$X$8:$X$407,1),"")</f>
        <v/>
      </c>
      <c r="AB10" t="str">
        <f>IF(3=$AD$1+1,"G",IF($AA10="","",IF(INDEX($Q$8:$Q$407,$AA10)="","",IF(3&gt;INDEX($X$8:$X$407,$AA10)+INDEX($V$8:$V$407,$AA10)+INDEX($W$8:$W$407,$AA10),"",IF(3=INDEX($X$8:$X$407,$AA10)+INDEX($V$8:$V$407,$AA10)+INDEX($W$8:$W$407,$AA10),"D",IF(AND(INDEX($W$8:$W$407,$AA10)=1,3=INDEX($X$8:$X$407,$AA10)+INDEX($V$8:$V$407,$AA10)),"S","R"))))))</f>
        <v/>
      </c>
      <c r="AC10" t="str">
        <f t="shared" si="11"/>
        <v/>
      </c>
      <c r="AE10">
        <f>IF($U10="",0,COUNTIF(บันทึกรายเที่ยว!$T$6:$T$10005,$U10))</f>
        <v>0</v>
      </c>
      <c r="AF10">
        <f>IF($U10="",0,ROUND(SUMIF(บันทึกรายเที่ยว!$T$6:$T$10005,$U10,บันทึกรายเที่ยว!$J$6:$J$10005),2))</f>
        <v>0</v>
      </c>
      <c r="AG10">
        <f>IF($U10="",0,ROUND(SUMIF(บันทึกรายเที่ยว!$T$6:$T$10005,$U10,บันทึกรายเที่ยว!$K$6:$K$10005),2))</f>
        <v>0</v>
      </c>
      <c r="AH10">
        <f>IF($U10="",0,ROUND(SUMIF(บันทึกรายเที่ยว!$T$6:$T$10005,$U10,บันทึกรายเที่ยว!$M$6:$M$10005),2))</f>
        <v>0</v>
      </c>
    </row>
    <row r="11" spans="1:34" ht="21" customHeight="1" x14ac:dyDescent="0.95">
      <c r="A11" s="3" t="str">
        <f t="shared" si="0"/>
        <v/>
      </c>
      <c r="B11" s="3" t="str">
        <f t="shared" si="1"/>
        <v/>
      </c>
      <c r="C11" s="8" t="str">
        <f t="shared" si="2"/>
        <v/>
      </c>
      <c r="D11" s="31" t="str">
        <f t="shared" si="3"/>
        <v/>
      </c>
      <c r="E11" s="32" t="str">
        <f>IF(4=$AD$1+3,"ขอแสดงความนับถือ",IF(4=$AD$1+6,"(                 )",IF(4=$AD$1+7,"เจ้าหน้าที่ขนส่ง",IF($AB11="G",SUM($AF$8:$AF$407),IF(OR($AB11="",$AB11="R"),"",IF($AB11="D",INDEX($AF$8:$AF$407,$AA11),SUMIF($T$8:$T$407,INDEX($T$8:$T$407,$AA11),$AF$8:$AF$407)))))))</f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27" t="s">
        <v>109</v>
      </c>
      <c r="J11" t="str">
        <f>IFERROR(MATCH(4,บันทึกรายเที่ยว!$W$6:$W$10005,0),"")</f>
        <v/>
      </c>
      <c r="K11" t="str">
        <f>IF($J11="","",INDEX(บันทึกรายเที่ยว!$T$6:$T$10005,$J11))</f>
        <v/>
      </c>
      <c r="L11" t="str">
        <f>IF($J11="","",INDEX(บันทึกรายเที่ยว!$S$6:$S$10005,$J11))</f>
        <v/>
      </c>
      <c r="M11" t="str">
        <f>IF($J11="","",INDEX(บันทึกรายเที่ยว!$R$6:$R$10005,$J11))</f>
        <v/>
      </c>
      <c r="N11" t="str">
        <f>IF($J11="","",MATCH($M11,บันทึกรายเที่ยว!$R$6:$R$10005,0))</f>
        <v/>
      </c>
      <c r="O11" t="str">
        <f>IF($J11="","",MATCH($L11,บันทึกรายเที่ยว!$S$6:$S$10005,0))</f>
        <v/>
      </c>
      <c r="P11" t="str">
        <f>IF($J11="","",IF(AND(OR($I$3="(ทั้งหมด)",INDEX(บันทึกรายเที่ยว!$C$6:$C$10005,$J11)=$I$3),OR($I$5="(ทั้งหมด)",INDEX(บันทึกรายเที่ยว!$D$6:$D$10005,$J11)=$I$5),OR($I$7="(ทั้งหมด)",INDEX(บันทึกรายเที่ยว!$F$6:$F$10005,$J11)=$I$7)),$N11*10000000+$O11*1000+4,""))</f>
        <v/>
      </c>
      <c r="Q11" t="str">
        <f>IFERROR(MATCH(SMALL($P$8:$P$407,4),$P$8:$P$407,0),"")</f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>
        <f t="shared" si="12"/>
        <v>0</v>
      </c>
      <c r="W11">
        <f t="shared" si="13"/>
        <v>0</v>
      </c>
      <c r="X11">
        <f>IF($Q11="",99999+4,$X10+1+$V10+$W10)</f>
        <v>100003</v>
      </c>
      <c r="Y11" t="str">
        <f>IF($Q11="","",INDEX(บันทึกรายเที่ยว!$Q$6:$Q$10005,$R11))</f>
        <v/>
      </c>
      <c r="Z11" t="str">
        <f>IF($Q11="","",INDEX(บันทึกรายเที่ยว!$F$6:$F$10005,$R11))</f>
        <v/>
      </c>
      <c r="AA11" t="str">
        <f>IFERROR(MATCH(4,$X$8:$X$407,1),"")</f>
        <v/>
      </c>
      <c r="AB11" t="str">
        <f>IF(4=$AD$1+1,"G",IF($AA11="","",IF(INDEX($Q$8:$Q$407,$AA11)="","",IF(4&gt;INDEX($X$8:$X$407,$AA11)+INDEX($V$8:$V$407,$AA11)+INDEX($W$8:$W$407,$AA11),"",IF(4=INDEX($X$8:$X$407,$AA11)+INDEX($V$8:$V$407,$AA11)+INDEX($W$8:$W$407,$AA11),"D",IF(AND(INDEX($W$8:$W$407,$AA11)=1,4=INDEX($X$8:$X$407,$AA11)+INDEX($V$8:$V$407,$AA11)),"S","R"))))))</f>
        <v/>
      </c>
      <c r="AC11" t="str">
        <f t="shared" si="11"/>
        <v/>
      </c>
      <c r="AE11">
        <f>IF($U11="",0,COUNTIF(บันทึกรายเที่ยว!$T$6:$T$10005,$U11))</f>
        <v>0</v>
      </c>
      <c r="AF11">
        <f>IF($U11="",0,ROUND(SUMIF(บันทึกรายเที่ยว!$T$6:$T$10005,$U11,บันทึกรายเที่ยว!$J$6:$J$10005),2))</f>
        <v>0</v>
      </c>
      <c r="AG11">
        <f>IF($U11="",0,ROUND(SUMIF(บันทึกรายเที่ยว!$T$6:$T$10005,$U11,บันทึกรายเที่ยว!$K$6:$K$10005),2))</f>
        <v>0</v>
      </c>
      <c r="AH11">
        <f>IF($U11="",0,ROUND(SUMIF(บันทึกรายเที่ยว!$T$6:$T$10005,$U11,บันทึกรายเที่ยว!$M$6:$M$10005),2))</f>
        <v>0</v>
      </c>
    </row>
    <row r="12" spans="1:34" ht="21" customHeight="1" x14ac:dyDescent="0.95">
      <c r="A12" s="3" t="str">
        <f t="shared" si="0"/>
        <v/>
      </c>
      <c r="B12" s="3" t="str">
        <f t="shared" si="1"/>
        <v/>
      </c>
      <c r="C12" s="8" t="str">
        <f t="shared" si="2"/>
        <v/>
      </c>
      <c r="D12" s="31" t="str">
        <f t="shared" si="3"/>
        <v/>
      </c>
      <c r="E12" s="32" t="str">
        <f>IF(5=$AD$1+3,"ขอแสดงความนับถือ",IF(5=$AD$1+6,"(                 )",IF(5=$AD$1+7,"เจ้าหน้าที่ขนส่ง",IF($AB12="G",SUM($AF$8:$AF$407),IF(OR($AB12="",$AB12="R"),"",IF($AB12="D",INDEX($AF$8:$AF$407,$AA12),SUMIF($T$8:$T$407,INDEX($T$8:$T$407,$AA12),$AF$8:$AF$407)))))))</f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4" t="str">
        <f>IF($AB$707&lt;&gt;"","*** บรรทัดไม่พอ แยกไฟล์ ***",IF($AD$1+7&gt;200,"*** ยาวกว่าพื้นที่พิมพ์ ตั้ง Print Area ใหม่ ***","เพียงพอ"))</f>
        <v>เพียงพอ</v>
      </c>
      <c r="J12" t="str">
        <f>IFERROR(MATCH(5,บันทึกรายเที่ยว!$W$6:$W$10005,0),"")</f>
        <v/>
      </c>
      <c r="K12" t="str">
        <f>IF($J12="","",INDEX(บันทึกรายเที่ยว!$T$6:$T$10005,$J12))</f>
        <v/>
      </c>
      <c r="L12" t="str">
        <f>IF($J12="","",INDEX(บันทึกรายเที่ยว!$S$6:$S$10005,$J12))</f>
        <v/>
      </c>
      <c r="M12" t="str">
        <f>IF($J12="","",INDEX(บันทึกรายเที่ยว!$R$6:$R$10005,$J12))</f>
        <v/>
      </c>
      <c r="N12" t="str">
        <f>IF($J12="","",MATCH($M12,บันทึกรายเที่ยว!$R$6:$R$10005,0))</f>
        <v/>
      </c>
      <c r="O12" t="str">
        <f>IF($J12="","",MATCH($L12,บันทึกรายเที่ยว!$S$6:$S$10005,0))</f>
        <v/>
      </c>
      <c r="P12" t="str">
        <f>IF($J12="","",IF(AND(OR($I$3="(ทั้งหมด)",INDEX(บันทึกรายเที่ยว!$C$6:$C$10005,$J12)=$I$3),OR($I$5="(ทั้งหมด)",INDEX(บันทึกรายเที่ยว!$D$6:$D$10005,$J12)=$I$5),OR($I$7="(ทั้งหมด)",INDEX(บันทึกรายเที่ยว!$F$6:$F$10005,$J12)=$I$7)),$N12*10000000+$O12*1000+5,""))</f>
        <v/>
      </c>
      <c r="Q12" t="str">
        <f>IFERROR(MATCH(SMALL($P$8:$P$407,5),$P$8:$P$407,0),"")</f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>
        <f t="shared" si="12"/>
        <v>0</v>
      </c>
      <c r="W12">
        <f t="shared" si="13"/>
        <v>0</v>
      </c>
      <c r="X12">
        <f>IF($Q12="",99999+5,$X11+1+$V11+$W11)</f>
        <v>100004</v>
      </c>
      <c r="Y12" t="str">
        <f>IF($Q12="","",INDEX(บันทึกรายเที่ยว!$Q$6:$Q$10005,$R12))</f>
        <v/>
      </c>
      <c r="Z12" t="str">
        <f>IF($Q12="","",INDEX(บันทึกรายเที่ยว!$F$6:$F$10005,$R12))</f>
        <v/>
      </c>
      <c r="AA12" t="str">
        <f>IFERROR(MATCH(5,$X$8:$X$407,1),"")</f>
        <v/>
      </c>
      <c r="AB12" t="str">
        <f>IF(5=$AD$1+1,"G",IF($AA12="","",IF(INDEX($Q$8:$Q$407,$AA12)="","",IF(5&gt;INDEX($X$8:$X$407,$AA12)+INDEX($V$8:$V$407,$AA12)+INDEX($W$8:$W$407,$AA12),"",IF(5=INDEX($X$8:$X$407,$AA12)+INDEX($V$8:$V$407,$AA12)+INDEX($W$8:$W$407,$AA12),"D",IF(AND(INDEX($W$8:$W$407,$AA12)=1,5=INDEX($X$8:$X$407,$AA12)+INDEX($V$8:$V$407,$AA12)),"S","R"))))))</f>
        <v/>
      </c>
      <c r="AC12" t="str">
        <f t="shared" si="11"/>
        <v/>
      </c>
      <c r="AE12">
        <f>IF($U12="",0,COUNTIF(บันทึกรายเที่ยว!$T$6:$T$10005,$U12))</f>
        <v>0</v>
      </c>
      <c r="AF12">
        <f>IF($U12="",0,ROUND(SUMIF(บันทึกรายเที่ยว!$T$6:$T$10005,$U12,บันทึกรายเที่ยว!$J$6:$J$10005),2))</f>
        <v>0</v>
      </c>
      <c r="AG12">
        <f>IF($U12="",0,ROUND(SUMIF(บันทึกรายเที่ยว!$T$6:$T$10005,$U12,บันทึกรายเที่ยว!$K$6:$K$10005),2))</f>
        <v>0</v>
      </c>
      <c r="AH12">
        <f>IF($U12="",0,ROUND(SUMIF(บันทึกรายเที่ยว!$T$6:$T$10005,$U12,บันทึกรายเที่ยว!$M$6:$M$10005),2))</f>
        <v>0</v>
      </c>
    </row>
    <row r="13" spans="1:34" ht="21" customHeight="1" x14ac:dyDescent="0.95">
      <c r="A13" s="3" t="str">
        <f t="shared" si="0"/>
        <v/>
      </c>
      <c r="B13" s="3" t="str">
        <f t="shared" si="1"/>
        <v/>
      </c>
      <c r="C13" s="8" t="str">
        <f t="shared" si="2"/>
        <v/>
      </c>
      <c r="D13" s="31" t="str">
        <f t="shared" si="3"/>
        <v/>
      </c>
      <c r="E13" s="32" t="str">
        <f>IF(6=$AD$1+3,"ขอแสดงความนับถือ",IF(6=$AD$1+6,"(                 )",IF(6=$AD$1+7,"เจ้าหน้าที่ขนส่ง",IF($AB13="G",SUM($AF$8:$AF$407),IF(OR($AB13="",$AB13="R"),"",IF($AB13="D",INDEX($AF$8:$AF$407,$AA13),SUMIF($T$8:$T$407,INDEX($T$8:$T$407,$AA13),$AF$8:$AF$407)))))))</f>
        <v>(                 )</v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27" t="s">
        <v>110</v>
      </c>
      <c r="J13" t="str">
        <f>IFERROR(MATCH(6,บันทึกรายเที่ยว!$W$6:$W$10005,0),"")</f>
        <v/>
      </c>
      <c r="K13" t="str">
        <f>IF($J13="","",INDEX(บันทึกรายเที่ยว!$T$6:$T$10005,$J13))</f>
        <v/>
      </c>
      <c r="L13" t="str">
        <f>IF($J13="","",INDEX(บันทึกรายเที่ยว!$S$6:$S$10005,$J13))</f>
        <v/>
      </c>
      <c r="M13" t="str">
        <f>IF($J13="","",INDEX(บันทึกรายเที่ยว!$R$6:$R$10005,$J13))</f>
        <v/>
      </c>
      <c r="N13" t="str">
        <f>IF($J13="","",MATCH($M13,บันทึกรายเที่ยว!$R$6:$R$10005,0))</f>
        <v/>
      </c>
      <c r="O13" t="str">
        <f>IF($J13="","",MATCH($L13,บันทึกรายเที่ยว!$S$6:$S$10005,0))</f>
        <v/>
      </c>
      <c r="P13" t="str">
        <f>IF($J13="","",IF(AND(OR($I$3="(ทั้งหมด)",INDEX(บันทึกรายเที่ยว!$C$6:$C$10005,$J13)=$I$3),OR($I$5="(ทั้งหมด)",INDEX(บันทึกรายเที่ยว!$D$6:$D$10005,$J13)=$I$5),OR($I$7="(ทั้งหมด)",INDEX(บันทึกรายเที่ยว!$F$6:$F$10005,$J13)=$I$7)),$N13*10000000+$O13*1000+6,""))</f>
        <v/>
      </c>
      <c r="Q13" t="str">
        <f>IFERROR(MATCH(SMALL($P$8:$P$407,6),$P$8:$P$407,0),"")</f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>
        <f t="shared" si="12"/>
        <v>0</v>
      </c>
      <c r="W13">
        <f t="shared" si="13"/>
        <v>0</v>
      </c>
      <c r="X13">
        <f>IF($Q13="",99999+6,$X12+1+$V12+$W12)</f>
        <v>100005</v>
      </c>
      <c r="Y13" t="str">
        <f>IF($Q13="","",INDEX(บันทึกรายเที่ยว!$Q$6:$Q$10005,$R13))</f>
        <v/>
      </c>
      <c r="Z13" t="str">
        <f>IF($Q13="","",INDEX(บันทึกรายเที่ยว!$F$6:$F$10005,$R13))</f>
        <v/>
      </c>
      <c r="AA13" t="str">
        <f>IFERROR(MATCH(6,$X$8:$X$407,1),"")</f>
        <v/>
      </c>
      <c r="AB13" t="str">
        <f>IF(6=$AD$1+1,"G",IF($AA13="","",IF(INDEX($Q$8:$Q$407,$AA13)="","",IF(6&gt;INDEX($X$8:$X$407,$AA13)+INDEX($V$8:$V$407,$AA13)+INDEX($W$8:$W$407,$AA13),"",IF(6=INDEX($X$8:$X$407,$AA13)+INDEX($V$8:$V$407,$AA13)+INDEX($W$8:$W$407,$AA13),"D",IF(AND(INDEX($W$8:$W$407,$AA13)=1,6=INDEX($X$8:$X$407,$AA13)+INDEX($V$8:$V$407,$AA13)),"S","R"))))))</f>
        <v/>
      </c>
      <c r="AC13" t="str">
        <f t="shared" si="11"/>
        <v/>
      </c>
      <c r="AE13">
        <f>IF($U13="",0,COUNTIF(บันทึกรายเที่ยว!$T$6:$T$10005,$U13))</f>
        <v>0</v>
      </c>
      <c r="AF13">
        <f>IF($U13="",0,ROUND(SUMIF(บันทึกรายเที่ยว!$T$6:$T$10005,$U13,บันทึกรายเที่ยว!$J$6:$J$10005),2))</f>
        <v>0</v>
      </c>
      <c r="AG13">
        <f>IF($U13="",0,ROUND(SUMIF(บันทึกรายเที่ยว!$T$6:$T$10005,$U13,บันทึกรายเที่ยว!$K$6:$K$10005),2))</f>
        <v>0</v>
      </c>
      <c r="AH13">
        <f>IF($U13="",0,ROUND(SUMIF(บันทึกรายเที่ยว!$T$6:$T$10005,$U13,บันทึกรายเที่ยว!$M$6:$M$10005),2))</f>
        <v>0</v>
      </c>
    </row>
    <row r="14" spans="1:34" ht="21" customHeight="1" x14ac:dyDescent="0.95">
      <c r="A14" s="3" t="str">
        <f t="shared" si="0"/>
        <v/>
      </c>
      <c r="B14" s="3" t="str">
        <f t="shared" si="1"/>
        <v/>
      </c>
      <c r="C14" s="8" t="str">
        <f t="shared" si="2"/>
        <v/>
      </c>
      <c r="D14" s="31" t="str">
        <f t="shared" si="3"/>
        <v/>
      </c>
      <c r="E14" s="32" t="str">
        <f>IF(7=$AD$1+3,"ขอแสดงความนับถือ",IF(7=$AD$1+6,"(                 )",IF(7=$AD$1+7,"เจ้าหน้าที่ขนส่ง",IF($AB14="G",SUM($AF$8:$AF$407),IF(OR($AB14="",$AB14="R"),"",IF($AB14="D",INDEX($AF$8:$AF$407,$AA14),SUMIF($T$8:$T$407,INDEX($T$8:$T$407,$AA14),$AF$8:$AF$407)))))))</f>
        <v>เจ้าหน้าที่ขนส่ง</v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5" t="str">
        <f>"A1:H"&amp;(8-1+$AD$1+7)</f>
        <v>A1:H14</v>
      </c>
      <c r="J14" t="str">
        <f>IFERROR(MATCH(7,บันทึกรายเที่ยว!$W$6:$W$10005,0),"")</f>
        <v/>
      </c>
      <c r="K14" t="str">
        <f>IF($J14="","",INDEX(บันทึกรายเที่ยว!$T$6:$T$10005,$J14))</f>
        <v/>
      </c>
      <c r="L14" t="str">
        <f>IF($J14="","",INDEX(บันทึกรายเที่ยว!$S$6:$S$10005,$J14))</f>
        <v/>
      </c>
      <c r="M14" t="str">
        <f>IF($J14="","",INDEX(บันทึกรายเที่ยว!$R$6:$R$10005,$J14))</f>
        <v/>
      </c>
      <c r="N14" t="str">
        <f>IF($J14="","",MATCH($M14,บันทึกรายเที่ยว!$R$6:$R$10005,0))</f>
        <v/>
      </c>
      <c r="O14" t="str">
        <f>IF($J14="","",MATCH($L14,บันทึกรายเที่ยว!$S$6:$S$10005,0))</f>
        <v/>
      </c>
      <c r="P14" t="str">
        <f>IF($J14="","",IF(AND(OR($I$3="(ทั้งหมด)",INDEX(บันทึกรายเที่ยว!$C$6:$C$10005,$J14)=$I$3),OR($I$5="(ทั้งหมด)",INDEX(บันทึกรายเที่ยว!$D$6:$D$10005,$J14)=$I$5),OR($I$7="(ทั้งหมด)",INDEX(บันทึกรายเที่ยว!$F$6:$F$10005,$J14)=$I$7)),$N14*10000000+$O14*1000+7,""))</f>
        <v/>
      </c>
      <c r="Q14" t="str">
        <f>IFERROR(MATCH(SMALL($P$8:$P$407,7),$P$8:$P$407,0),"")</f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>
        <f t="shared" si="12"/>
        <v>0</v>
      </c>
      <c r="W14">
        <f t="shared" si="13"/>
        <v>0</v>
      </c>
      <c r="X14">
        <f>IF($Q14="",99999+7,$X13+1+$V13+$W13)</f>
        <v>100006</v>
      </c>
      <c r="Y14" t="str">
        <f>IF($Q14="","",INDEX(บันทึกรายเที่ยว!$Q$6:$Q$10005,$R14))</f>
        <v/>
      </c>
      <c r="Z14" t="str">
        <f>IF($Q14="","",INDEX(บันทึกรายเที่ยว!$F$6:$F$10005,$R14))</f>
        <v/>
      </c>
      <c r="AA14" t="str">
        <f>IFERROR(MATCH(7,$X$8:$X$407,1),"")</f>
        <v/>
      </c>
      <c r="AB14" t="str">
        <f>IF(7=$AD$1+1,"G",IF($AA14="","",IF(INDEX($Q$8:$Q$407,$AA14)="","",IF(7&gt;INDEX($X$8:$X$407,$AA14)+INDEX($V$8:$V$407,$AA14)+INDEX($W$8:$W$407,$AA14),"",IF(7=INDEX($X$8:$X$407,$AA14)+INDEX($V$8:$V$407,$AA14)+INDEX($W$8:$W$407,$AA14),"D",IF(AND(INDEX($W$8:$W$407,$AA14)=1,7=INDEX($X$8:$X$407,$AA14)+INDEX($V$8:$V$407,$AA14)),"S","R"))))))</f>
        <v/>
      </c>
      <c r="AC14" t="str">
        <f t="shared" si="11"/>
        <v/>
      </c>
      <c r="AE14">
        <f>IF($U14="",0,COUNTIF(บันทึกรายเที่ยว!$T$6:$T$10005,$U14))</f>
        <v>0</v>
      </c>
      <c r="AF14">
        <f>IF($U14="",0,ROUND(SUMIF(บันทึกรายเที่ยว!$T$6:$T$10005,$U14,บันทึกรายเที่ยว!$J$6:$J$10005),2))</f>
        <v>0</v>
      </c>
      <c r="AG14">
        <f>IF($U14="",0,ROUND(SUMIF(บันทึกรายเที่ยว!$T$6:$T$10005,$U14,บันทึกรายเที่ยว!$K$6:$K$10005),2))</f>
        <v>0</v>
      </c>
      <c r="AH14">
        <f>IF($U14="",0,ROUND(SUMIF(บันทึกรายเที่ยว!$T$6:$T$10005,$U14,บันทึกรายเที่ยว!$M$6:$M$10005),2))</f>
        <v>0</v>
      </c>
    </row>
    <row r="15" spans="1:34" ht="21" customHeight="1" x14ac:dyDescent="0.95">
      <c r="A15" s="3" t="str">
        <f t="shared" si="0"/>
        <v/>
      </c>
      <c r="B15" s="3" t="str">
        <f t="shared" si="1"/>
        <v/>
      </c>
      <c r="C15" s="8" t="str">
        <f t="shared" si="2"/>
        <v/>
      </c>
      <c r="D15" s="31" t="str">
        <f t="shared" si="3"/>
        <v/>
      </c>
      <c r="E15" s="32" t="str">
        <f>IF(8=$AD$1+3,"ขอแสดงความนับถือ",IF(8=$AD$1+6,"(                 )",IF(8=$AD$1+7,"เจ้าหน้าที่ขนส่ง",IF($AB15="G",SUM($AF$8:$AF$407),IF(OR($AB15="",$AB15="R"),"",IF($AB15="D",INDEX($AF$8:$AF$407,$AA15),SUMIF($T$8:$T$407,INDEX($T$8:$T$407,$AA15),$AF$8:$AF$407)))))))</f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J15" t="str">
        <f>IFERROR(MATCH(8,บันทึกรายเที่ยว!$W$6:$W$10005,0),"")</f>
        <v/>
      </c>
      <c r="K15" t="str">
        <f>IF($J15="","",INDEX(บันทึกรายเที่ยว!$T$6:$T$10005,$J15))</f>
        <v/>
      </c>
      <c r="L15" t="str">
        <f>IF($J15="","",INDEX(บันทึกรายเที่ยว!$S$6:$S$10005,$J15))</f>
        <v/>
      </c>
      <c r="M15" t="str">
        <f>IF($J15="","",INDEX(บันทึกรายเที่ยว!$R$6:$R$10005,$J15))</f>
        <v/>
      </c>
      <c r="N15" t="str">
        <f>IF($J15="","",MATCH($M15,บันทึกรายเที่ยว!$R$6:$R$10005,0))</f>
        <v/>
      </c>
      <c r="O15" t="str">
        <f>IF($J15="","",MATCH($L15,บันทึกรายเที่ยว!$S$6:$S$10005,0))</f>
        <v/>
      </c>
      <c r="P15" t="str">
        <f>IF($J15="","",IF(AND(OR($I$3="(ทั้งหมด)",INDEX(บันทึกรายเที่ยว!$C$6:$C$10005,$J15)=$I$3),OR($I$5="(ทั้งหมด)",INDEX(บันทึกรายเที่ยว!$D$6:$D$10005,$J15)=$I$5),OR($I$7="(ทั้งหมด)",INDEX(บันทึกรายเที่ยว!$F$6:$F$10005,$J15)=$I$7)),$N15*10000000+$O15*1000+8,""))</f>
        <v/>
      </c>
      <c r="Q15" t="str">
        <f>IFERROR(MATCH(SMALL($P$8:$P$407,8),$P$8:$P$407,0),"")</f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>
        <f t="shared" si="12"/>
        <v>0</v>
      </c>
      <c r="W15">
        <f t="shared" si="13"/>
        <v>0</v>
      </c>
      <c r="X15">
        <f>IF($Q15="",99999+8,$X14+1+$V14+$W14)</f>
        <v>100007</v>
      </c>
      <c r="Y15" t="str">
        <f>IF($Q15="","",INDEX(บันทึกรายเที่ยว!$Q$6:$Q$10005,$R15))</f>
        <v/>
      </c>
      <c r="Z15" t="str">
        <f>IF($Q15="","",INDEX(บันทึกรายเที่ยว!$F$6:$F$10005,$R15))</f>
        <v/>
      </c>
      <c r="AA15" t="str">
        <f>IFERROR(MATCH(8,$X$8:$X$407,1),"")</f>
        <v/>
      </c>
      <c r="AB15" t="str">
        <f>IF(8=$AD$1+1,"G",IF($AA15="","",IF(INDEX($Q$8:$Q$407,$AA15)="","",IF(8&gt;INDEX($X$8:$X$407,$AA15)+INDEX($V$8:$V$407,$AA15)+INDEX($W$8:$W$407,$AA15),"",IF(8=INDEX($X$8:$X$407,$AA15)+INDEX($V$8:$V$407,$AA15)+INDEX($W$8:$W$407,$AA15),"D",IF(AND(INDEX($W$8:$W$407,$AA15)=1,8=INDEX($X$8:$X$407,$AA15)+INDEX($V$8:$V$407,$AA15)),"S","R"))))))</f>
        <v/>
      </c>
      <c r="AC15" t="str">
        <f t="shared" si="11"/>
        <v/>
      </c>
      <c r="AE15">
        <f>IF($U15="",0,COUNTIF(บันทึกรายเที่ยว!$T$6:$T$10005,$U15))</f>
        <v>0</v>
      </c>
      <c r="AF15">
        <f>IF($U15="",0,ROUND(SUMIF(บันทึกรายเที่ยว!$T$6:$T$10005,$U15,บันทึกรายเที่ยว!$J$6:$J$10005),2))</f>
        <v>0</v>
      </c>
      <c r="AG15">
        <f>IF($U15="",0,ROUND(SUMIF(บันทึกรายเที่ยว!$T$6:$T$10005,$U15,บันทึกรายเที่ยว!$K$6:$K$10005),2))</f>
        <v>0</v>
      </c>
      <c r="AH15">
        <f>IF($U15="",0,ROUND(SUMIF(บันทึกรายเที่ยว!$T$6:$T$10005,$U15,บันทึกรายเที่ยว!$M$6:$M$10005),2))</f>
        <v>0</v>
      </c>
    </row>
    <row r="16" spans="1:34" ht="21" customHeight="1" x14ac:dyDescent="0.95">
      <c r="A16" s="3" t="str">
        <f t="shared" si="0"/>
        <v/>
      </c>
      <c r="B16" s="3" t="str">
        <f t="shared" si="1"/>
        <v/>
      </c>
      <c r="C16" s="8" t="str">
        <f t="shared" si="2"/>
        <v/>
      </c>
      <c r="D16" s="31" t="str">
        <f t="shared" si="3"/>
        <v/>
      </c>
      <c r="E16" s="32" t="str">
        <f>IF(9=$AD$1+3,"ขอแสดงความนับถือ",IF(9=$AD$1+6,"(                 )",IF(9=$AD$1+7,"เจ้าหน้าที่ขนส่ง",IF($AB16="G",SUM($AF$8:$AF$407),IF(OR($AB16="",$AB16="R"),"",IF($AB16="D",INDEX($AF$8:$AF$407,$AA16),SUMIF($T$8:$T$407,INDEX($T$8:$T$407,$AA16),$AF$8:$AF$407)))))))</f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J16" t="str">
        <f>IFERROR(MATCH(9,บันทึกรายเที่ยว!$W$6:$W$10005,0),"")</f>
        <v/>
      </c>
      <c r="K16" t="str">
        <f>IF($J16="","",INDEX(บันทึกรายเที่ยว!$T$6:$T$10005,$J16))</f>
        <v/>
      </c>
      <c r="L16" t="str">
        <f>IF($J16="","",INDEX(บันทึกรายเที่ยว!$S$6:$S$10005,$J16))</f>
        <v/>
      </c>
      <c r="M16" t="str">
        <f>IF($J16="","",INDEX(บันทึกรายเที่ยว!$R$6:$R$10005,$J16))</f>
        <v/>
      </c>
      <c r="N16" t="str">
        <f>IF($J16="","",MATCH($M16,บันทึกรายเที่ยว!$R$6:$R$10005,0))</f>
        <v/>
      </c>
      <c r="O16" t="str">
        <f>IF($J16="","",MATCH($L16,บันทึกรายเที่ยว!$S$6:$S$10005,0))</f>
        <v/>
      </c>
      <c r="P16" t="str">
        <f>IF($J16="","",IF(AND(OR($I$3="(ทั้งหมด)",INDEX(บันทึกรายเที่ยว!$C$6:$C$10005,$J16)=$I$3),OR($I$5="(ทั้งหมด)",INDEX(บันทึกรายเที่ยว!$D$6:$D$10005,$J16)=$I$5),OR($I$7="(ทั้งหมด)",INDEX(บันทึกรายเที่ยว!$F$6:$F$10005,$J16)=$I$7)),$N16*10000000+$O16*1000+9,""))</f>
        <v/>
      </c>
      <c r="Q16" t="str">
        <f>IFERROR(MATCH(SMALL($P$8:$P$407,9),$P$8:$P$407,0),"")</f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>
        <f t="shared" si="12"/>
        <v>0</v>
      </c>
      <c r="W16">
        <f t="shared" si="13"/>
        <v>0</v>
      </c>
      <c r="X16">
        <f>IF($Q16="",99999+9,$X15+1+$V15+$W15)</f>
        <v>100008</v>
      </c>
      <c r="Y16" t="str">
        <f>IF($Q16="","",INDEX(บันทึกรายเที่ยว!$Q$6:$Q$10005,$R16))</f>
        <v/>
      </c>
      <c r="Z16" t="str">
        <f>IF($Q16="","",INDEX(บันทึกรายเที่ยว!$F$6:$F$10005,$R16))</f>
        <v/>
      </c>
      <c r="AA16" t="str">
        <f>IFERROR(MATCH(9,$X$8:$X$407,1),"")</f>
        <v/>
      </c>
      <c r="AB16" t="str">
        <f>IF(9=$AD$1+1,"G",IF($AA16="","",IF(INDEX($Q$8:$Q$407,$AA16)="","",IF(9&gt;INDEX($X$8:$X$407,$AA16)+INDEX($V$8:$V$407,$AA16)+INDEX($W$8:$W$407,$AA16),"",IF(9=INDEX($X$8:$X$407,$AA16)+INDEX($V$8:$V$407,$AA16)+INDEX($W$8:$W$407,$AA16),"D",IF(AND(INDEX($W$8:$W$407,$AA16)=1,9=INDEX($X$8:$X$407,$AA16)+INDEX($V$8:$V$407,$AA16)),"S","R"))))))</f>
        <v/>
      </c>
      <c r="AC16" t="str">
        <f t="shared" si="11"/>
        <v/>
      </c>
      <c r="AE16">
        <f>IF($U16="",0,COUNTIF(บันทึกรายเที่ยว!$T$6:$T$10005,$U16))</f>
        <v>0</v>
      </c>
      <c r="AF16">
        <f>IF($U16="",0,ROUND(SUMIF(บันทึกรายเที่ยว!$T$6:$T$10005,$U16,บันทึกรายเที่ยว!$J$6:$J$10005),2))</f>
        <v>0</v>
      </c>
      <c r="AG16">
        <f>IF($U16="",0,ROUND(SUMIF(บันทึกรายเที่ยว!$T$6:$T$10005,$U16,บันทึกรายเที่ยว!$K$6:$K$10005),2))</f>
        <v>0</v>
      </c>
      <c r="AH16">
        <f>IF($U16="",0,ROUND(SUMIF(บันทึกรายเที่ยว!$T$6:$T$10005,$U16,บันทึกรายเที่ยว!$M$6:$M$10005),2))</f>
        <v>0</v>
      </c>
    </row>
    <row r="17" spans="1:34" ht="21" customHeight="1" x14ac:dyDescent="0.95">
      <c r="A17" s="3" t="str">
        <f t="shared" si="0"/>
        <v/>
      </c>
      <c r="B17" s="3" t="str">
        <f t="shared" si="1"/>
        <v/>
      </c>
      <c r="C17" s="8" t="str">
        <f t="shared" si="2"/>
        <v/>
      </c>
      <c r="D17" s="31" t="str">
        <f t="shared" si="3"/>
        <v/>
      </c>
      <c r="E17" s="32" t="str">
        <f>IF(10=$AD$1+3,"ขอแสดงความนับถือ",IF(10=$AD$1+6,"(                 )",IF(10=$AD$1+7,"เจ้าหน้าที่ขนส่ง",IF($AB17="G",SUM($AF$8:$AF$407),IF(OR($AB17="",$AB17="R"),"",IF($AB17="D",INDEX($AF$8:$AF$407,$AA17),SUMIF($T$8:$T$407,INDEX($T$8:$T$407,$AA17),$AF$8:$AF$407)))))))</f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J17" t="str">
        <f>IFERROR(MATCH(10,บันทึกรายเที่ยว!$W$6:$W$10005,0),"")</f>
        <v/>
      </c>
      <c r="K17" t="str">
        <f>IF($J17="","",INDEX(บันทึกรายเที่ยว!$T$6:$T$10005,$J17))</f>
        <v/>
      </c>
      <c r="L17" t="str">
        <f>IF($J17="","",INDEX(บันทึกรายเที่ยว!$S$6:$S$10005,$J17))</f>
        <v/>
      </c>
      <c r="M17" t="str">
        <f>IF($J17="","",INDEX(บันทึกรายเที่ยว!$R$6:$R$10005,$J17))</f>
        <v/>
      </c>
      <c r="N17" t="str">
        <f>IF($J17="","",MATCH($M17,บันทึกรายเที่ยว!$R$6:$R$10005,0))</f>
        <v/>
      </c>
      <c r="O17" t="str">
        <f>IF($J17="","",MATCH($L17,บันทึกรายเที่ยว!$S$6:$S$10005,0))</f>
        <v/>
      </c>
      <c r="P17" t="str">
        <f>IF($J17="","",IF(AND(OR($I$3="(ทั้งหมด)",INDEX(บันทึกรายเที่ยว!$C$6:$C$10005,$J17)=$I$3),OR($I$5="(ทั้งหมด)",INDEX(บันทึกรายเที่ยว!$D$6:$D$10005,$J17)=$I$5),OR($I$7="(ทั้งหมด)",INDEX(บันทึกรายเที่ยว!$F$6:$F$10005,$J17)=$I$7)),$N17*10000000+$O17*1000+10,""))</f>
        <v/>
      </c>
      <c r="Q17" t="str">
        <f>IFERROR(MATCH(SMALL($P$8:$P$407,10),$P$8:$P$407,0),"")</f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>
        <f t="shared" si="12"/>
        <v>0</v>
      </c>
      <c r="W17">
        <f t="shared" si="13"/>
        <v>0</v>
      </c>
      <c r="X17">
        <f>IF($Q17="",99999+10,$X16+1+$V16+$W16)</f>
        <v>100009</v>
      </c>
      <c r="Y17" t="str">
        <f>IF($Q17="","",INDEX(บันทึกรายเที่ยว!$Q$6:$Q$10005,$R17))</f>
        <v/>
      </c>
      <c r="Z17" t="str">
        <f>IF($Q17="","",INDEX(บันทึกรายเที่ยว!$F$6:$F$10005,$R17))</f>
        <v/>
      </c>
      <c r="AA17" t="str">
        <f>IFERROR(MATCH(10,$X$8:$X$407,1),"")</f>
        <v/>
      </c>
      <c r="AB17" t="str">
        <f>IF(10=$AD$1+1,"G",IF($AA17="","",IF(INDEX($Q$8:$Q$407,$AA17)="","",IF(10&gt;INDEX($X$8:$X$407,$AA17)+INDEX($V$8:$V$407,$AA17)+INDEX($W$8:$W$407,$AA17),"",IF(10=INDEX($X$8:$X$407,$AA17)+INDEX($V$8:$V$407,$AA17)+INDEX($W$8:$W$407,$AA17),"D",IF(AND(INDEX($W$8:$W$407,$AA17)=1,10=INDEX($X$8:$X$407,$AA17)+INDEX($V$8:$V$407,$AA17)),"S","R"))))))</f>
        <v/>
      </c>
      <c r="AC17" t="str">
        <f t="shared" si="11"/>
        <v/>
      </c>
      <c r="AE17">
        <f>IF($U17="",0,COUNTIF(บันทึกรายเที่ยว!$T$6:$T$10005,$U17))</f>
        <v>0</v>
      </c>
      <c r="AF17">
        <f>IF($U17="",0,ROUND(SUMIF(บันทึกรายเที่ยว!$T$6:$T$10005,$U17,บันทึกรายเที่ยว!$J$6:$J$10005),2))</f>
        <v>0</v>
      </c>
      <c r="AG17">
        <f>IF($U17="",0,ROUND(SUMIF(บันทึกรายเที่ยว!$T$6:$T$10005,$U17,บันทึกรายเที่ยว!$K$6:$K$10005),2))</f>
        <v>0</v>
      </c>
      <c r="AH17">
        <f>IF($U17="",0,ROUND(SUMIF(บันทึกรายเที่ยว!$T$6:$T$10005,$U17,บันทึกรายเที่ยว!$M$6:$M$10005),2))</f>
        <v>0</v>
      </c>
    </row>
    <row r="18" spans="1:34" ht="21" customHeight="1" x14ac:dyDescent="0.95">
      <c r="A18" s="3" t="str">
        <f t="shared" si="0"/>
        <v/>
      </c>
      <c r="B18" s="3" t="str">
        <f t="shared" si="1"/>
        <v/>
      </c>
      <c r="C18" s="8" t="str">
        <f t="shared" si="2"/>
        <v/>
      </c>
      <c r="D18" s="31" t="str">
        <f t="shared" si="3"/>
        <v/>
      </c>
      <c r="E18" s="32" t="str">
        <f>IF(11=$AD$1+3,"ขอแสดงความนับถือ",IF(11=$AD$1+6,"(                 )",IF(11=$AD$1+7,"เจ้าหน้าที่ขนส่ง",IF($AB18="G",SUM($AF$8:$AF$407),IF(OR($AB18="",$AB18="R"),"",IF($AB18="D",INDEX($AF$8:$AF$407,$AA18),SUMIF($T$8:$T$407,INDEX($T$8:$T$407,$AA18),$AF$8:$AF$407)))))))</f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J18" t="str">
        <f>IFERROR(MATCH(11,บันทึกรายเที่ยว!$W$6:$W$10005,0),"")</f>
        <v/>
      </c>
      <c r="K18" t="str">
        <f>IF($J18="","",INDEX(บันทึกรายเที่ยว!$T$6:$T$10005,$J18))</f>
        <v/>
      </c>
      <c r="L18" t="str">
        <f>IF($J18="","",INDEX(บันทึกรายเที่ยว!$S$6:$S$10005,$J18))</f>
        <v/>
      </c>
      <c r="M18" t="str">
        <f>IF($J18="","",INDEX(บันทึกรายเที่ยว!$R$6:$R$10005,$J18))</f>
        <v/>
      </c>
      <c r="N18" t="str">
        <f>IF($J18="","",MATCH($M18,บันทึกรายเที่ยว!$R$6:$R$10005,0))</f>
        <v/>
      </c>
      <c r="O18" t="str">
        <f>IF($J18="","",MATCH($L18,บันทึกรายเที่ยว!$S$6:$S$10005,0))</f>
        <v/>
      </c>
      <c r="P18" t="str">
        <f>IF($J18="","",IF(AND(OR($I$3="(ทั้งหมด)",INDEX(บันทึกรายเที่ยว!$C$6:$C$10005,$J18)=$I$3),OR($I$5="(ทั้งหมด)",INDEX(บันทึกรายเที่ยว!$D$6:$D$10005,$J18)=$I$5),OR($I$7="(ทั้งหมด)",INDEX(บันทึกรายเที่ยว!$F$6:$F$10005,$J18)=$I$7)),$N18*10000000+$O18*1000+11,""))</f>
        <v/>
      </c>
      <c r="Q18" t="str">
        <f>IFERROR(MATCH(SMALL($P$8:$P$407,11),$P$8:$P$407,0),"")</f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>
        <f t="shared" si="12"/>
        <v>0</v>
      </c>
      <c r="W18">
        <f t="shared" si="13"/>
        <v>0</v>
      </c>
      <c r="X18">
        <f>IF($Q18="",99999+11,$X17+1+$V17+$W17)</f>
        <v>100010</v>
      </c>
      <c r="Y18" t="str">
        <f>IF($Q18="","",INDEX(บันทึกรายเที่ยว!$Q$6:$Q$10005,$R18))</f>
        <v/>
      </c>
      <c r="Z18" t="str">
        <f>IF($Q18="","",INDEX(บันทึกรายเที่ยว!$F$6:$F$10005,$R18))</f>
        <v/>
      </c>
      <c r="AA18" t="str">
        <f>IFERROR(MATCH(11,$X$8:$X$407,1),"")</f>
        <v/>
      </c>
      <c r="AB18" t="str">
        <f>IF(11=$AD$1+1,"G",IF($AA18="","",IF(INDEX($Q$8:$Q$407,$AA18)="","",IF(11&gt;INDEX($X$8:$X$407,$AA18)+INDEX($V$8:$V$407,$AA18)+INDEX($W$8:$W$407,$AA18),"",IF(11=INDEX($X$8:$X$407,$AA18)+INDEX($V$8:$V$407,$AA18)+INDEX($W$8:$W$407,$AA18),"D",IF(AND(INDEX($W$8:$W$407,$AA18)=1,11=INDEX($X$8:$X$407,$AA18)+INDEX($V$8:$V$407,$AA18)),"S","R"))))))</f>
        <v/>
      </c>
      <c r="AC18" t="str">
        <f t="shared" si="11"/>
        <v/>
      </c>
      <c r="AE18">
        <f>IF($U18="",0,COUNTIF(บันทึกรายเที่ยว!$T$6:$T$10005,$U18))</f>
        <v>0</v>
      </c>
      <c r="AF18">
        <f>IF($U18="",0,ROUND(SUMIF(บันทึกรายเที่ยว!$T$6:$T$10005,$U18,บันทึกรายเที่ยว!$J$6:$J$10005),2))</f>
        <v>0</v>
      </c>
      <c r="AG18">
        <f>IF($U18="",0,ROUND(SUMIF(บันทึกรายเที่ยว!$T$6:$T$10005,$U18,บันทึกรายเที่ยว!$K$6:$K$10005),2))</f>
        <v>0</v>
      </c>
      <c r="AH18">
        <f>IF($U18="",0,ROUND(SUMIF(บันทึกรายเที่ยว!$T$6:$T$10005,$U18,บันทึกรายเที่ยว!$M$6:$M$10005),2))</f>
        <v>0</v>
      </c>
    </row>
    <row r="19" spans="1:34" ht="21" customHeight="1" x14ac:dyDescent="0.95">
      <c r="A19" s="3" t="str">
        <f t="shared" si="0"/>
        <v/>
      </c>
      <c r="B19" s="3" t="str">
        <f t="shared" si="1"/>
        <v/>
      </c>
      <c r="C19" s="8" t="str">
        <f t="shared" si="2"/>
        <v/>
      </c>
      <c r="D19" s="31" t="str">
        <f t="shared" si="3"/>
        <v/>
      </c>
      <c r="E19" s="32" t="str">
        <f>IF(12=$AD$1+3,"ขอแสดงความนับถือ",IF(12=$AD$1+6,"(                 )",IF(12=$AD$1+7,"เจ้าหน้าที่ขนส่ง",IF($AB19="G",SUM($AF$8:$AF$407),IF(OR($AB19="",$AB19="R"),"",IF($AB19="D",INDEX($AF$8:$AF$407,$AA19),SUMIF($T$8:$T$407,INDEX($T$8:$T$407,$AA19),$AF$8:$AF$407)))))))</f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J19" t="str">
        <f>IFERROR(MATCH(12,บันทึกรายเที่ยว!$W$6:$W$10005,0),"")</f>
        <v/>
      </c>
      <c r="K19" t="str">
        <f>IF($J19="","",INDEX(บันทึกรายเที่ยว!$T$6:$T$10005,$J19))</f>
        <v/>
      </c>
      <c r="L19" t="str">
        <f>IF($J19="","",INDEX(บันทึกรายเที่ยว!$S$6:$S$10005,$J19))</f>
        <v/>
      </c>
      <c r="M19" t="str">
        <f>IF($J19="","",INDEX(บันทึกรายเที่ยว!$R$6:$R$10005,$J19))</f>
        <v/>
      </c>
      <c r="N19" t="str">
        <f>IF($J19="","",MATCH($M19,บันทึกรายเที่ยว!$R$6:$R$10005,0))</f>
        <v/>
      </c>
      <c r="O19" t="str">
        <f>IF($J19="","",MATCH($L19,บันทึกรายเที่ยว!$S$6:$S$10005,0))</f>
        <v/>
      </c>
      <c r="P19" t="str">
        <f>IF($J19="","",IF(AND(OR($I$3="(ทั้งหมด)",INDEX(บันทึกรายเที่ยว!$C$6:$C$10005,$J19)=$I$3),OR($I$5="(ทั้งหมด)",INDEX(บันทึกรายเที่ยว!$D$6:$D$10005,$J19)=$I$5),OR($I$7="(ทั้งหมด)",INDEX(บันทึกรายเที่ยว!$F$6:$F$10005,$J19)=$I$7)),$N19*10000000+$O19*1000+12,""))</f>
        <v/>
      </c>
      <c r="Q19" t="str">
        <f>IFERROR(MATCH(SMALL($P$8:$P$407,12),$P$8:$P$407,0),"")</f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>
        <f t="shared" si="12"/>
        <v>0</v>
      </c>
      <c r="W19">
        <f t="shared" si="13"/>
        <v>0</v>
      </c>
      <c r="X19">
        <f>IF($Q19="",99999+12,$X18+1+$V18+$W18)</f>
        <v>100011</v>
      </c>
      <c r="Y19" t="str">
        <f>IF($Q19="","",INDEX(บันทึกรายเที่ยว!$Q$6:$Q$10005,$R19))</f>
        <v/>
      </c>
      <c r="Z19" t="str">
        <f>IF($Q19="","",INDEX(บันทึกรายเที่ยว!$F$6:$F$10005,$R19))</f>
        <v/>
      </c>
      <c r="AA19" t="str">
        <f>IFERROR(MATCH(12,$X$8:$X$407,1),"")</f>
        <v/>
      </c>
      <c r="AB19" t="str">
        <f>IF(12=$AD$1+1,"G",IF($AA19="","",IF(INDEX($Q$8:$Q$407,$AA19)="","",IF(12&gt;INDEX($X$8:$X$407,$AA19)+INDEX($V$8:$V$407,$AA19)+INDEX($W$8:$W$407,$AA19),"",IF(12=INDEX($X$8:$X$407,$AA19)+INDEX($V$8:$V$407,$AA19)+INDEX($W$8:$W$407,$AA19),"D",IF(AND(INDEX($W$8:$W$407,$AA19)=1,12=INDEX($X$8:$X$407,$AA19)+INDEX($V$8:$V$407,$AA19)),"S","R"))))))</f>
        <v/>
      </c>
      <c r="AC19" t="str">
        <f t="shared" si="11"/>
        <v/>
      </c>
      <c r="AE19">
        <f>IF($U19="",0,COUNTIF(บันทึกรายเที่ยว!$T$6:$T$10005,$U19))</f>
        <v>0</v>
      </c>
      <c r="AF19">
        <f>IF($U19="",0,ROUND(SUMIF(บันทึกรายเที่ยว!$T$6:$T$10005,$U19,บันทึกรายเที่ยว!$J$6:$J$10005),2))</f>
        <v>0</v>
      </c>
      <c r="AG19">
        <f>IF($U19="",0,ROUND(SUMIF(บันทึกรายเที่ยว!$T$6:$T$10005,$U19,บันทึกรายเที่ยว!$K$6:$K$10005),2))</f>
        <v>0</v>
      </c>
      <c r="AH19">
        <f>IF($U19="",0,ROUND(SUMIF(บันทึกรายเที่ยว!$T$6:$T$10005,$U19,บันทึกรายเที่ยว!$M$6:$M$10005),2))</f>
        <v>0</v>
      </c>
    </row>
    <row r="20" spans="1:34" ht="21" customHeight="1" x14ac:dyDescent="0.95">
      <c r="A20" s="3" t="str">
        <f t="shared" si="0"/>
        <v/>
      </c>
      <c r="B20" s="3" t="str">
        <f t="shared" si="1"/>
        <v/>
      </c>
      <c r="C20" s="8" t="str">
        <f t="shared" si="2"/>
        <v/>
      </c>
      <c r="D20" s="31" t="str">
        <f t="shared" si="3"/>
        <v/>
      </c>
      <c r="E20" s="32" t="str">
        <f>IF(13=$AD$1+3,"ขอแสดงความนับถือ",IF(13=$AD$1+6,"(                 )",IF(13=$AD$1+7,"เจ้าหน้าที่ขนส่ง",IF($AB20="G",SUM($AF$8:$AF$407),IF(OR($AB20="",$AB20="R"),"",IF($AB20="D",INDEX($AF$8:$AF$407,$AA20),SUMIF($T$8:$T$407,INDEX($T$8:$T$407,$AA20),$AF$8:$AF$407)))))))</f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J20" t="str">
        <f>IFERROR(MATCH(13,บันทึกรายเที่ยว!$W$6:$W$10005,0),"")</f>
        <v/>
      </c>
      <c r="K20" t="str">
        <f>IF($J20="","",INDEX(บันทึกรายเที่ยว!$T$6:$T$10005,$J20))</f>
        <v/>
      </c>
      <c r="L20" t="str">
        <f>IF($J20="","",INDEX(บันทึกรายเที่ยว!$S$6:$S$10005,$J20))</f>
        <v/>
      </c>
      <c r="M20" t="str">
        <f>IF($J20="","",INDEX(บันทึกรายเที่ยว!$R$6:$R$10005,$J20))</f>
        <v/>
      </c>
      <c r="N20" t="str">
        <f>IF($J20="","",MATCH($M20,บันทึกรายเที่ยว!$R$6:$R$10005,0))</f>
        <v/>
      </c>
      <c r="O20" t="str">
        <f>IF($J20="","",MATCH($L20,บันทึกรายเที่ยว!$S$6:$S$10005,0))</f>
        <v/>
      </c>
      <c r="P20" t="str">
        <f>IF($J20="","",IF(AND(OR($I$3="(ทั้งหมด)",INDEX(บันทึกรายเที่ยว!$C$6:$C$10005,$J20)=$I$3),OR($I$5="(ทั้งหมด)",INDEX(บันทึกรายเที่ยว!$D$6:$D$10005,$J20)=$I$5),OR($I$7="(ทั้งหมด)",INDEX(บันทึกรายเที่ยว!$F$6:$F$10005,$J20)=$I$7)),$N20*10000000+$O20*1000+13,""))</f>
        <v/>
      </c>
      <c r="Q20" t="str">
        <f>IFERROR(MATCH(SMALL($P$8:$P$407,13),$P$8:$P$407,0),"")</f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>
        <f t="shared" si="12"/>
        <v>0</v>
      </c>
      <c r="W20">
        <f t="shared" si="13"/>
        <v>0</v>
      </c>
      <c r="X20">
        <f>IF($Q20="",99999+13,$X19+1+$V19+$W19)</f>
        <v>100012</v>
      </c>
      <c r="Y20" t="str">
        <f>IF($Q20="","",INDEX(บันทึกรายเที่ยว!$Q$6:$Q$10005,$R20))</f>
        <v/>
      </c>
      <c r="Z20" t="str">
        <f>IF($Q20="","",INDEX(บันทึกรายเที่ยว!$F$6:$F$10005,$R20))</f>
        <v/>
      </c>
      <c r="AA20" t="str">
        <f>IFERROR(MATCH(13,$X$8:$X$407,1),"")</f>
        <v/>
      </c>
      <c r="AB20" t="str">
        <f>IF(13=$AD$1+1,"G",IF($AA20="","",IF(INDEX($Q$8:$Q$407,$AA20)="","",IF(13&gt;INDEX($X$8:$X$407,$AA20)+INDEX($V$8:$V$407,$AA20)+INDEX($W$8:$W$407,$AA20),"",IF(13=INDEX($X$8:$X$407,$AA20)+INDEX($V$8:$V$407,$AA20)+INDEX($W$8:$W$407,$AA20),"D",IF(AND(INDEX($W$8:$W$407,$AA20)=1,13=INDEX($X$8:$X$407,$AA20)+INDEX($V$8:$V$407,$AA20)),"S","R"))))))</f>
        <v/>
      </c>
      <c r="AC20" t="str">
        <f t="shared" si="11"/>
        <v/>
      </c>
      <c r="AE20">
        <f>IF($U20="",0,COUNTIF(บันทึกรายเที่ยว!$T$6:$T$10005,$U20))</f>
        <v>0</v>
      </c>
      <c r="AF20">
        <f>IF($U20="",0,ROUND(SUMIF(บันทึกรายเที่ยว!$T$6:$T$10005,$U20,บันทึกรายเที่ยว!$J$6:$J$10005),2))</f>
        <v>0</v>
      </c>
      <c r="AG20">
        <f>IF($U20="",0,ROUND(SUMIF(บันทึกรายเที่ยว!$T$6:$T$10005,$U20,บันทึกรายเที่ยว!$K$6:$K$10005),2))</f>
        <v>0</v>
      </c>
      <c r="AH20">
        <f>IF($U20="",0,ROUND(SUMIF(บันทึกรายเที่ยว!$T$6:$T$10005,$U20,บันทึกรายเที่ยว!$M$6:$M$10005),2))</f>
        <v>0</v>
      </c>
    </row>
    <row r="21" spans="1:34" ht="21" customHeight="1" x14ac:dyDescent="0.95">
      <c r="A21" s="3" t="str">
        <f t="shared" si="0"/>
        <v/>
      </c>
      <c r="B21" s="3" t="str">
        <f t="shared" si="1"/>
        <v/>
      </c>
      <c r="C21" s="8" t="str">
        <f t="shared" si="2"/>
        <v/>
      </c>
      <c r="D21" s="31" t="str">
        <f t="shared" si="3"/>
        <v/>
      </c>
      <c r="E21" s="32" t="str">
        <f>IF(14=$AD$1+3,"ขอแสดงความนับถือ",IF(14=$AD$1+6,"(                 )",IF(14=$AD$1+7,"เจ้าหน้าที่ขนส่ง",IF($AB21="G",SUM($AF$8:$AF$407),IF(OR($AB21="",$AB21="R"),"",IF($AB21="D",INDEX($AF$8:$AF$407,$AA21),SUMIF($T$8:$T$407,INDEX($T$8:$T$407,$AA21),$AF$8:$AF$407)))))))</f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J21" t="str">
        <f>IFERROR(MATCH(14,บันทึกรายเที่ยว!$W$6:$W$10005,0),"")</f>
        <v/>
      </c>
      <c r="K21" t="str">
        <f>IF($J21="","",INDEX(บันทึกรายเที่ยว!$T$6:$T$10005,$J21))</f>
        <v/>
      </c>
      <c r="L21" t="str">
        <f>IF($J21="","",INDEX(บันทึกรายเที่ยว!$S$6:$S$10005,$J21))</f>
        <v/>
      </c>
      <c r="M21" t="str">
        <f>IF($J21="","",INDEX(บันทึกรายเที่ยว!$R$6:$R$10005,$J21))</f>
        <v/>
      </c>
      <c r="N21" t="str">
        <f>IF($J21="","",MATCH($M21,บันทึกรายเที่ยว!$R$6:$R$10005,0))</f>
        <v/>
      </c>
      <c r="O21" t="str">
        <f>IF($J21="","",MATCH($L21,บันทึกรายเที่ยว!$S$6:$S$10005,0))</f>
        <v/>
      </c>
      <c r="P21" t="str">
        <f>IF($J21="","",IF(AND(OR($I$3="(ทั้งหมด)",INDEX(บันทึกรายเที่ยว!$C$6:$C$10005,$J21)=$I$3),OR($I$5="(ทั้งหมด)",INDEX(บันทึกรายเที่ยว!$D$6:$D$10005,$J21)=$I$5),OR($I$7="(ทั้งหมด)",INDEX(บันทึกรายเที่ยว!$F$6:$F$10005,$J21)=$I$7)),$N21*10000000+$O21*1000+14,""))</f>
        <v/>
      </c>
      <c r="Q21" t="str">
        <f>IFERROR(MATCH(SMALL($P$8:$P$407,14),$P$8:$P$407,0),"")</f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>
        <f t="shared" si="12"/>
        <v>0</v>
      </c>
      <c r="W21">
        <f t="shared" si="13"/>
        <v>0</v>
      </c>
      <c r="X21">
        <f>IF($Q21="",99999+14,$X20+1+$V20+$W20)</f>
        <v>100013</v>
      </c>
      <c r="Y21" t="str">
        <f>IF($Q21="","",INDEX(บันทึกรายเที่ยว!$Q$6:$Q$10005,$R21))</f>
        <v/>
      </c>
      <c r="Z21" t="str">
        <f>IF($Q21="","",INDEX(บันทึกรายเที่ยว!$F$6:$F$10005,$R21))</f>
        <v/>
      </c>
      <c r="AA21" t="str">
        <f>IFERROR(MATCH(14,$X$8:$X$407,1),"")</f>
        <v/>
      </c>
      <c r="AB21" t="str">
        <f>IF(14=$AD$1+1,"G",IF($AA21="","",IF(INDEX($Q$8:$Q$407,$AA21)="","",IF(14&gt;INDEX($X$8:$X$407,$AA21)+INDEX($V$8:$V$407,$AA21)+INDEX($W$8:$W$407,$AA21),"",IF(14=INDEX($X$8:$X$407,$AA21)+INDEX($V$8:$V$407,$AA21)+INDEX($W$8:$W$407,$AA21),"D",IF(AND(INDEX($W$8:$W$407,$AA21)=1,14=INDEX($X$8:$X$407,$AA21)+INDEX($V$8:$V$407,$AA21)),"S","R"))))))</f>
        <v/>
      </c>
      <c r="AC21" t="str">
        <f t="shared" si="11"/>
        <v/>
      </c>
      <c r="AE21">
        <f>IF($U21="",0,COUNTIF(บันทึกรายเที่ยว!$T$6:$T$10005,$U21))</f>
        <v>0</v>
      </c>
      <c r="AF21">
        <f>IF($U21="",0,ROUND(SUMIF(บันทึกรายเที่ยว!$T$6:$T$10005,$U21,บันทึกรายเที่ยว!$J$6:$J$10005),2))</f>
        <v>0</v>
      </c>
      <c r="AG21">
        <f>IF($U21="",0,ROUND(SUMIF(บันทึกรายเที่ยว!$T$6:$T$10005,$U21,บันทึกรายเที่ยว!$K$6:$K$10005),2))</f>
        <v>0</v>
      </c>
      <c r="AH21">
        <f>IF($U21="",0,ROUND(SUMIF(บันทึกรายเที่ยว!$T$6:$T$10005,$U21,บันทึกรายเที่ยว!$M$6:$M$10005),2))</f>
        <v>0</v>
      </c>
    </row>
    <row r="22" spans="1:34" ht="21" customHeight="1" x14ac:dyDescent="0.95">
      <c r="A22" s="3" t="str">
        <f t="shared" si="0"/>
        <v/>
      </c>
      <c r="B22" s="3" t="str">
        <f t="shared" si="1"/>
        <v/>
      </c>
      <c r="C22" s="8" t="str">
        <f t="shared" si="2"/>
        <v/>
      </c>
      <c r="D22" s="31" t="str">
        <f t="shared" si="3"/>
        <v/>
      </c>
      <c r="E22" s="32" t="str">
        <f>IF(15=$AD$1+3,"ขอแสดงความนับถือ",IF(15=$AD$1+6,"(                 )",IF(15=$AD$1+7,"เจ้าหน้าที่ขนส่ง",IF($AB22="G",SUM($AF$8:$AF$407),IF(OR($AB22="",$AB22="R"),"",IF($AB22="D",INDEX($AF$8:$AF$407,$AA22),SUMIF($T$8:$T$407,INDEX($T$8:$T$407,$AA22),$AF$8:$AF$407)))))))</f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J22" t="str">
        <f>IFERROR(MATCH(15,บันทึกรายเที่ยว!$W$6:$W$10005,0),"")</f>
        <v/>
      </c>
      <c r="K22" t="str">
        <f>IF($J22="","",INDEX(บันทึกรายเที่ยว!$T$6:$T$10005,$J22))</f>
        <v/>
      </c>
      <c r="L22" t="str">
        <f>IF($J22="","",INDEX(บันทึกรายเที่ยว!$S$6:$S$10005,$J22))</f>
        <v/>
      </c>
      <c r="M22" t="str">
        <f>IF($J22="","",INDEX(บันทึกรายเที่ยว!$R$6:$R$10005,$J22))</f>
        <v/>
      </c>
      <c r="N22" t="str">
        <f>IF($J22="","",MATCH($M22,บันทึกรายเที่ยว!$R$6:$R$10005,0))</f>
        <v/>
      </c>
      <c r="O22" t="str">
        <f>IF($J22="","",MATCH($L22,บันทึกรายเที่ยว!$S$6:$S$10005,0))</f>
        <v/>
      </c>
      <c r="P22" t="str">
        <f>IF($J22="","",IF(AND(OR($I$3="(ทั้งหมด)",INDEX(บันทึกรายเที่ยว!$C$6:$C$10005,$J22)=$I$3),OR($I$5="(ทั้งหมด)",INDEX(บันทึกรายเที่ยว!$D$6:$D$10005,$J22)=$I$5),OR($I$7="(ทั้งหมด)",INDEX(บันทึกรายเที่ยว!$F$6:$F$10005,$J22)=$I$7)),$N22*10000000+$O22*1000+15,""))</f>
        <v/>
      </c>
      <c r="Q22" t="str">
        <f>IFERROR(MATCH(SMALL($P$8:$P$407,15),$P$8:$P$407,0),"")</f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>
        <f t="shared" si="12"/>
        <v>0</v>
      </c>
      <c r="W22">
        <f t="shared" si="13"/>
        <v>0</v>
      </c>
      <c r="X22">
        <f>IF($Q22="",99999+15,$X21+1+$V21+$W21)</f>
        <v>100014</v>
      </c>
      <c r="Y22" t="str">
        <f>IF($Q22="","",INDEX(บันทึกรายเที่ยว!$Q$6:$Q$10005,$R22))</f>
        <v/>
      </c>
      <c r="Z22" t="str">
        <f>IF($Q22="","",INDEX(บันทึกรายเที่ยว!$F$6:$F$10005,$R22))</f>
        <v/>
      </c>
      <c r="AA22" t="str">
        <f>IFERROR(MATCH(15,$X$8:$X$407,1),"")</f>
        <v/>
      </c>
      <c r="AB22" t="str">
        <f>IF(15=$AD$1+1,"G",IF($AA22="","",IF(INDEX($Q$8:$Q$407,$AA22)="","",IF(15&gt;INDEX($X$8:$X$407,$AA22)+INDEX($V$8:$V$407,$AA22)+INDEX($W$8:$W$407,$AA22),"",IF(15=INDEX($X$8:$X$407,$AA22)+INDEX($V$8:$V$407,$AA22)+INDEX($W$8:$W$407,$AA22),"D",IF(AND(INDEX($W$8:$W$407,$AA22)=1,15=INDEX($X$8:$X$407,$AA22)+INDEX($V$8:$V$407,$AA22)),"S","R"))))))</f>
        <v/>
      </c>
      <c r="AC22" t="str">
        <f t="shared" si="11"/>
        <v/>
      </c>
      <c r="AE22">
        <f>IF($U22="",0,COUNTIF(บันทึกรายเที่ยว!$T$6:$T$10005,$U22))</f>
        <v>0</v>
      </c>
      <c r="AF22">
        <f>IF($U22="",0,ROUND(SUMIF(บันทึกรายเที่ยว!$T$6:$T$10005,$U22,บันทึกรายเที่ยว!$J$6:$J$10005),2))</f>
        <v>0</v>
      </c>
      <c r="AG22">
        <f>IF($U22="",0,ROUND(SUMIF(บันทึกรายเที่ยว!$T$6:$T$10005,$U22,บันทึกรายเที่ยว!$K$6:$K$10005),2))</f>
        <v>0</v>
      </c>
      <c r="AH22">
        <f>IF($U22="",0,ROUND(SUMIF(บันทึกรายเที่ยว!$T$6:$T$10005,$U22,บันทึกรายเที่ยว!$M$6:$M$10005),2))</f>
        <v>0</v>
      </c>
    </row>
    <row r="23" spans="1:34" ht="21" customHeight="1" x14ac:dyDescent="0.95">
      <c r="A23" s="3" t="str">
        <f t="shared" si="0"/>
        <v/>
      </c>
      <c r="B23" s="3" t="str">
        <f t="shared" si="1"/>
        <v/>
      </c>
      <c r="C23" s="8" t="str">
        <f t="shared" si="2"/>
        <v/>
      </c>
      <c r="D23" s="31" t="str">
        <f t="shared" si="3"/>
        <v/>
      </c>
      <c r="E23" s="32" t="str">
        <f>IF(16=$AD$1+3,"ขอแสดงความนับถือ",IF(16=$AD$1+6,"(                 )",IF(16=$AD$1+7,"เจ้าหน้าที่ขนส่ง",IF($AB23="G",SUM($AF$8:$AF$407),IF(OR($AB23="",$AB23="R"),"",IF($AB23="D",INDEX($AF$8:$AF$407,$AA23),SUMIF($T$8:$T$407,INDEX($T$8:$T$407,$AA23),$AF$8:$AF$407)))))))</f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J23" t="str">
        <f>IFERROR(MATCH(16,บันทึกรายเที่ยว!$W$6:$W$10005,0),"")</f>
        <v/>
      </c>
      <c r="K23" t="str">
        <f>IF($J23="","",INDEX(บันทึกรายเที่ยว!$T$6:$T$10005,$J23))</f>
        <v/>
      </c>
      <c r="L23" t="str">
        <f>IF($J23="","",INDEX(บันทึกรายเที่ยว!$S$6:$S$10005,$J23))</f>
        <v/>
      </c>
      <c r="M23" t="str">
        <f>IF($J23="","",INDEX(บันทึกรายเที่ยว!$R$6:$R$10005,$J23))</f>
        <v/>
      </c>
      <c r="N23" t="str">
        <f>IF($J23="","",MATCH($M23,บันทึกรายเที่ยว!$R$6:$R$10005,0))</f>
        <v/>
      </c>
      <c r="O23" t="str">
        <f>IF($J23="","",MATCH($L23,บันทึกรายเที่ยว!$S$6:$S$10005,0))</f>
        <v/>
      </c>
      <c r="P23" t="str">
        <f>IF($J23="","",IF(AND(OR($I$3="(ทั้งหมด)",INDEX(บันทึกรายเที่ยว!$C$6:$C$10005,$J23)=$I$3),OR($I$5="(ทั้งหมด)",INDEX(บันทึกรายเที่ยว!$D$6:$D$10005,$J23)=$I$5),OR($I$7="(ทั้งหมด)",INDEX(บันทึกรายเที่ยว!$F$6:$F$10005,$J23)=$I$7)),$N23*10000000+$O23*1000+16,""))</f>
        <v/>
      </c>
      <c r="Q23" t="str">
        <f>IFERROR(MATCH(SMALL($P$8:$P$407,16),$P$8:$P$407,0),"")</f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>
        <f t="shared" si="12"/>
        <v>0</v>
      </c>
      <c r="W23">
        <f t="shared" si="13"/>
        <v>0</v>
      </c>
      <c r="X23">
        <f>IF($Q23="",99999+16,$X22+1+$V22+$W22)</f>
        <v>100015</v>
      </c>
      <c r="Y23" t="str">
        <f>IF($Q23="","",INDEX(บันทึกรายเที่ยว!$Q$6:$Q$10005,$R23))</f>
        <v/>
      </c>
      <c r="Z23" t="str">
        <f>IF($Q23="","",INDEX(บันทึกรายเที่ยว!$F$6:$F$10005,$R23))</f>
        <v/>
      </c>
      <c r="AA23" t="str">
        <f>IFERROR(MATCH(16,$X$8:$X$407,1),"")</f>
        <v/>
      </c>
      <c r="AB23" t="str">
        <f>IF(16=$AD$1+1,"G",IF($AA23="","",IF(INDEX($Q$8:$Q$407,$AA23)="","",IF(16&gt;INDEX($X$8:$X$407,$AA23)+INDEX($V$8:$V$407,$AA23)+INDEX($W$8:$W$407,$AA23),"",IF(16=INDEX($X$8:$X$407,$AA23)+INDEX($V$8:$V$407,$AA23)+INDEX($W$8:$W$407,$AA23),"D",IF(AND(INDEX($W$8:$W$407,$AA23)=1,16=INDEX($X$8:$X$407,$AA23)+INDEX($V$8:$V$407,$AA23)),"S","R"))))))</f>
        <v/>
      </c>
      <c r="AC23" t="str">
        <f t="shared" si="11"/>
        <v/>
      </c>
      <c r="AE23">
        <f>IF($U23="",0,COUNTIF(บันทึกรายเที่ยว!$T$6:$T$10005,$U23))</f>
        <v>0</v>
      </c>
      <c r="AF23">
        <f>IF($U23="",0,ROUND(SUMIF(บันทึกรายเที่ยว!$T$6:$T$10005,$U23,บันทึกรายเที่ยว!$J$6:$J$10005),2))</f>
        <v>0</v>
      </c>
      <c r="AG23">
        <f>IF($U23="",0,ROUND(SUMIF(บันทึกรายเที่ยว!$T$6:$T$10005,$U23,บันทึกรายเที่ยว!$K$6:$K$10005),2))</f>
        <v>0</v>
      </c>
      <c r="AH23">
        <f>IF($U23="",0,ROUND(SUMIF(บันทึกรายเที่ยว!$T$6:$T$10005,$U23,บันทึกรายเที่ยว!$M$6:$M$10005),2))</f>
        <v>0</v>
      </c>
    </row>
    <row r="24" spans="1:34" ht="21" customHeight="1" x14ac:dyDescent="0.95">
      <c r="A24" s="3" t="str">
        <f t="shared" si="0"/>
        <v/>
      </c>
      <c r="B24" s="3" t="str">
        <f t="shared" si="1"/>
        <v/>
      </c>
      <c r="C24" s="8" t="str">
        <f t="shared" si="2"/>
        <v/>
      </c>
      <c r="D24" s="31" t="str">
        <f t="shared" si="3"/>
        <v/>
      </c>
      <c r="E24" s="32" t="str">
        <f>IF(17=$AD$1+3,"ขอแสดงความนับถือ",IF(17=$AD$1+6,"(                 )",IF(17=$AD$1+7,"เจ้าหน้าที่ขนส่ง",IF($AB24="G",SUM($AF$8:$AF$407),IF(OR($AB24="",$AB24="R"),"",IF($AB24="D",INDEX($AF$8:$AF$407,$AA24),SUMIF($T$8:$T$407,INDEX($T$8:$T$407,$AA24),$AF$8:$AF$407)))))))</f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J24" t="str">
        <f>IFERROR(MATCH(17,บันทึกรายเที่ยว!$W$6:$W$10005,0),"")</f>
        <v/>
      </c>
      <c r="K24" t="str">
        <f>IF($J24="","",INDEX(บันทึกรายเที่ยว!$T$6:$T$10005,$J24))</f>
        <v/>
      </c>
      <c r="L24" t="str">
        <f>IF($J24="","",INDEX(บันทึกรายเที่ยว!$S$6:$S$10005,$J24))</f>
        <v/>
      </c>
      <c r="M24" t="str">
        <f>IF($J24="","",INDEX(บันทึกรายเที่ยว!$R$6:$R$10005,$J24))</f>
        <v/>
      </c>
      <c r="N24" t="str">
        <f>IF($J24="","",MATCH($M24,บันทึกรายเที่ยว!$R$6:$R$10005,0))</f>
        <v/>
      </c>
      <c r="O24" t="str">
        <f>IF($J24="","",MATCH($L24,บันทึกรายเที่ยว!$S$6:$S$10005,0))</f>
        <v/>
      </c>
      <c r="P24" t="str">
        <f>IF($J24="","",IF(AND(OR($I$3="(ทั้งหมด)",INDEX(บันทึกรายเที่ยว!$C$6:$C$10005,$J24)=$I$3),OR($I$5="(ทั้งหมด)",INDEX(บันทึกรายเที่ยว!$D$6:$D$10005,$J24)=$I$5),OR($I$7="(ทั้งหมด)",INDEX(บันทึกรายเที่ยว!$F$6:$F$10005,$J24)=$I$7)),$N24*10000000+$O24*1000+17,""))</f>
        <v/>
      </c>
      <c r="Q24" t="str">
        <f>IFERROR(MATCH(SMALL($P$8:$P$407,17),$P$8:$P$407,0),"")</f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>
        <f t="shared" si="12"/>
        <v>0</v>
      </c>
      <c r="W24">
        <f t="shared" si="13"/>
        <v>0</v>
      </c>
      <c r="X24">
        <f>IF($Q24="",99999+17,$X23+1+$V23+$W23)</f>
        <v>100016</v>
      </c>
      <c r="Y24" t="str">
        <f>IF($Q24="","",INDEX(บันทึกรายเที่ยว!$Q$6:$Q$10005,$R24))</f>
        <v/>
      </c>
      <c r="Z24" t="str">
        <f>IF($Q24="","",INDEX(บันทึกรายเที่ยว!$F$6:$F$10005,$R24))</f>
        <v/>
      </c>
      <c r="AA24" t="str">
        <f>IFERROR(MATCH(17,$X$8:$X$407,1),"")</f>
        <v/>
      </c>
      <c r="AB24" t="str">
        <f>IF(17=$AD$1+1,"G",IF($AA24="","",IF(INDEX($Q$8:$Q$407,$AA24)="","",IF(17&gt;INDEX($X$8:$X$407,$AA24)+INDEX($V$8:$V$407,$AA24)+INDEX($W$8:$W$407,$AA24),"",IF(17=INDEX($X$8:$X$407,$AA24)+INDEX($V$8:$V$407,$AA24)+INDEX($W$8:$W$407,$AA24),"D",IF(AND(INDEX($W$8:$W$407,$AA24)=1,17=INDEX($X$8:$X$407,$AA24)+INDEX($V$8:$V$407,$AA24)),"S","R"))))))</f>
        <v/>
      </c>
      <c r="AC24" t="str">
        <f t="shared" si="11"/>
        <v/>
      </c>
      <c r="AE24">
        <f>IF($U24="",0,COUNTIF(บันทึกรายเที่ยว!$T$6:$T$10005,$U24))</f>
        <v>0</v>
      </c>
      <c r="AF24">
        <f>IF($U24="",0,ROUND(SUMIF(บันทึกรายเที่ยว!$T$6:$T$10005,$U24,บันทึกรายเที่ยว!$J$6:$J$10005),2))</f>
        <v>0</v>
      </c>
      <c r="AG24">
        <f>IF($U24="",0,ROUND(SUMIF(บันทึกรายเที่ยว!$T$6:$T$10005,$U24,บันทึกรายเที่ยว!$K$6:$K$10005),2))</f>
        <v>0</v>
      </c>
      <c r="AH24">
        <f>IF($U24="",0,ROUND(SUMIF(บันทึกรายเที่ยว!$T$6:$T$10005,$U24,บันทึกรายเที่ยว!$M$6:$M$10005),2))</f>
        <v>0</v>
      </c>
    </row>
    <row r="25" spans="1:34" ht="21" customHeight="1" x14ac:dyDescent="0.95">
      <c r="A25" s="3" t="str">
        <f t="shared" si="0"/>
        <v/>
      </c>
      <c r="B25" s="3" t="str">
        <f t="shared" si="1"/>
        <v/>
      </c>
      <c r="C25" s="8" t="str">
        <f t="shared" si="2"/>
        <v/>
      </c>
      <c r="D25" s="31" t="str">
        <f t="shared" si="3"/>
        <v/>
      </c>
      <c r="E25" s="32" t="str">
        <f>IF(18=$AD$1+3,"ขอแสดงความนับถือ",IF(18=$AD$1+6,"(                 )",IF(18=$AD$1+7,"เจ้าหน้าที่ขนส่ง",IF($AB25="G",SUM($AF$8:$AF$407),IF(OR($AB25="",$AB25="R"),"",IF($AB25="D",INDEX($AF$8:$AF$407,$AA25),SUMIF($T$8:$T$407,INDEX($T$8:$T$407,$AA25),$AF$8:$AF$407)))))))</f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J25" t="str">
        <f>IFERROR(MATCH(18,บันทึกรายเที่ยว!$W$6:$W$10005,0),"")</f>
        <v/>
      </c>
      <c r="K25" t="str">
        <f>IF($J25="","",INDEX(บันทึกรายเที่ยว!$T$6:$T$10005,$J25))</f>
        <v/>
      </c>
      <c r="L25" t="str">
        <f>IF($J25="","",INDEX(บันทึกรายเที่ยว!$S$6:$S$10005,$J25))</f>
        <v/>
      </c>
      <c r="M25" t="str">
        <f>IF($J25="","",INDEX(บันทึกรายเที่ยว!$R$6:$R$10005,$J25))</f>
        <v/>
      </c>
      <c r="N25" t="str">
        <f>IF($J25="","",MATCH($M25,บันทึกรายเที่ยว!$R$6:$R$10005,0))</f>
        <v/>
      </c>
      <c r="O25" t="str">
        <f>IF($J25="","",MATCH($L25,บันทึกรายเที่ยว!$S$6:$S$10005,0))</f>
        <v/>
      </c>
      <c r="P25" t="str">
        <f>IF($J25="","",IF(AND(OR($I$3="(ทั้งหมด)",INDEX(บันทึกรายเที่ยว!$C$6:$C$10005,$J25)=$I$3),OR($I$5="(ทั้งหมด)",INDEX(บันทึกรายเที่ยว!$D$6:$D$10005,$J25)=$I$5),OR($I$7="(ทั้งหมด)",INDEX(บันทึกรายเที่ยว!$F$6:$F$10005,$J25)=$I$7)),$N25*10000000+$O25*1000+18,""))</f>
        <v/>
      </c>
      <c r="Q25" t="str">
        <f>IFERROR(MATCH(SMALL($P$8:$P$407,18),$P$8:$P$407,0),"")</f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>
        <f t="shared" si="12"/>
        <v>0</v>
      </c>
      <c r="W25">
        <f t="shared" si="13"/>
        <v>0</v>
      </c>
      <c r="X25">
        <f>IF($Q25="",99999+18,$X24+1+$V24+$W24)</f>
        <v>100017</v>
      </c>
      <c r="Y25" t="str">
        <f>IF($Q25="","",INDEX(บันทึกรายเที่ยว!$Q$6:$Q$10005,$R25))</f>
        <v/>
      </c>
      <c r="Z25" t="str">
        <f>IF($Q25="","",INDEX(บันทึกรายเที่ยว!$F$6:$F$10005,$R25))</f>
        <v/>
      </c>
      <c r="AA25" t="str">
        <f>IFERROR(MATCH(18,$X$8:$X$407,1),"")</f>
        <v/>
      </c>
      <c r="AB25" t="str">
        <f>IF(18=$AD$1+1,"G",IF($AA25="","",IF(INDEX($Q$8:$Q$407,$AA25)="","",IF(18&gt;INDEX($X$8:$X$407,$AA25)+INDEX($V$8:$V$407,$AA25)+INDEX($W$8:$W$407,$AA25),"",IF(18=INDEX($X$8:$X$407,$AA25)+INDEX($V$8:$V$407,$AA25)+INDEX($W$8:$W$407,$AA25),"D",IF(AND(INDEX($W$8:$W$407,$AA25)=1,18=INDEX($X$8:$X$407,$AA25)+INDEX($V$8:$V$407,$AA25)),"S","R"))))))</f>
        <v/>
      </c>
      <c r="AC25" t="str">
        <f t="shared" si="11"/>
        <v/>
      </c>
      <c r="AE25">
        <f>IF($U25="",0,COUNTIF(บันทึกรายเที่ยว!$T$6:$T$10005,$U25))</f>
        <v>0</v>
      </c>
      <c r="AF25">
        <f>IF($U25="",0,ROUND(SUMIF(บันทึกรายเที่ยว!$T$6:$T$10005,$U25,บันทึกรายเที่ยว!$J$6:$J$10005),2))</f>
        <v>0</v>
      </c>
      <c r="AG25">
        <f>IF($U25="",0,ROUND(SUMIF(บันทึกรายเที่ยว!$T$6:$T$10005,$U25,บันทึกรายเที่ยว!$K$6:$K$10005),2))</f>
        <v>0</v>
      </c>
      <c r="AH25">
        <f>IF($U25="",0,ROUND(SUMIF(บันทึกรายเที่ยว!$T$6:$T$10005,$U25,บันทึกรายเที่ยว!$M$6:$M$10005),2))</f>
        <v>0</v>
      </c>
    </row>
    <row r="26" spans="1:34" ht="21" customHeight="1" x14ac:dyDescent="0.95">
      <c r="A26" s="3" t="str">
        <f t="shared" si="0"/>
        <v/>
      </c>
      <c r="B26" s="3" t="str">
        <f t="shared" si="1"/>
        <v/>
      </c>
      <c r="C26" s="8" t="str">
        <f t="shared" si="2"/>
        <v/>
      </c>
      <c r="D26" s="31" t="str">
        <f t="shared" si="3"/>
        <v/>
      </c>
      <c r="E26" s="32" t="str">
        <f>IF(19=$AD$1+3,"ขอแสดงความนับถือ",IF(19=$AD$1+6,"(                 )",IF(19=$AD$1+7,"เจ้าหน้าที่ขนส่ง",IF($AB26="G",SUM($AF$8:$AF$407),IF(OR($AB26="",$AB26="R"),"",IF($AB26="D",INDEX($AF$8:$AF$407,$AA26),SUMIF($T$8:$T$407,INDEX($T$8:$T$407,$AA26),$AF$8:$AF$407)))))))</f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J26" t="str">
        <f>IFERROR(MATCH(19,บันทึกรายเที่ยว!$W$6:$W$10005,0),"")</f>
        <v/>
      </c>
      <c r="K26" t="str">
        <f>IF($J26="","",INDEX(บันทึกรายเที่ยว!$T$6:$T$10005,$J26))</f>
        <v/>
      </c>
      <c r="L26" t="str">
        <f>IF($J26="","",INDEX(บันทึกรายเที่ยว!$S$6:$S$10005,$J26))</f>
        <v/>
      </c>
      <c r="M26" t="str">
        <f>IF($J26="","",INDEX(บันทึกรายเที่ยว!$R$6:$R$10005,$J26))</f>
        <v/>
      </c>
      <c r="N26" t="str">
        <f>IF($J26="","",MATCH($M26,บันทึกรายเที่ยว!$R$6:$R$10005,0))</f>
        <v/>
      </c>
      <c r="O26" t="str">
        <f>IF($J26="","",MATCH($L26,บันทึกรายเที่ยว!$S$6:$S$10005,0))</f>
        <v/>
      </c>
      <c r="P26" t="str">
        <f>IF($J26="","",IF(AND(OR($I$3="(ทั้งหมด)",INDEX(บันทึกรายเที่ยว!$C$6:$C$10005,$J26)=$I$3),OR($I$5="(ทั้งหมด)",INDEX(บันทึกรายเที่ยว!$D$6:$D$10005,$J26)=$I$5),OR($I$7="(ทั้งหมด)",INDEX(บันทึกรายเที่ยว!$F$6:$F$10005,$J26)=$I$7)),$N26*10000000+$O26*1000+19,""))</f>
        <v/>
      </c>
      <c r="Q26" t="str">
        <f>IFERROR(MATCH(SMALL($P$8:$P$407,19),$P$8:$P$407,0),"")</f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>
        <f t="shared" si="12"/>
        <v>0</v>
      </c>
      <c r="W26">
        <f t="shared" si="13"/>
        <v>0</v>
      </c>
      <c r="X26">
        <f>IF($Q26="",99999+19,$X25+1+$V25+$W25)</f>
        <v>100018</v>
      </c>
      <c r="Y26" t="str">
        <f>IF($Q26="","",INDEX(บันทึกรายเที่ยว!$Q$6:$Q$10005,$R26))</f>
        <v/>
      </c>
      <c r="Z26" t="str">
        <f>IF($Q26="","",INDEX(บันทึกรายเที่ยว!$F$6:$F$10005,$R26))</f>
        <v/>
      </c>
      <c r="AA26" t="str">
        <f>IFERROR(MATCH(19,$X$8:$X$407,1),"")</f>
        <v/>
      </c>
      <c r="AB26" t="str">
        <f>IF(19=$AD$1+1,"G",IF($AA26="","",IF(INDEX($Q$8:$Q$407,$AA26)="","",IF(19&gt;INDEX($X$8:$X$407,$AA26)+INDEX($V$8:$V$407,$AA26)+INDEX($W$8:$W$407,$AA26),"",IF(19=INDEX($X$8:$X$407,$AA26)+INDEX($V$8:$V$407,$AA26)+INDEX($W$8:$W$407,$AA26),"D",IF(AND(INDEX($W$8:$W$407,$AA26)=1,19=INDEX($X$8:$X$407,$AA26)+INDEX($V$8:$V$407,$AA26)),"S","R"))))))</f>
        <v/>
      </c>
      <c r="AC26" t="str">
        <f t="shared" si="11"/>
        <v/>
      </c>
      <c r="AE26">
        <f>IF($U26="",0,COUNTIF(บันทึกรายเที่ยว!$T$6:$T$10005,$U26))</f>
        <v>0</v>
      </c>
      <c r="AF26">
        <f>IF($U26="",0,ROUND(SUMIF(บันทึกรายเที่ยว!$T$6:$T$10005,$U26,บันทึกรายเที่ยว!$J$6:$J$10005),2))</f>
        <v>0</v>
      </c>
      <c r="AG26">
        <f>IF($U26="",0,ROUND(SUMIF(บันทึกรายเที่ยว!$T$6:$T$10005,$U26,บันทึกรายเที่ยว!$K$6:$K$10005),2))</f>
        <v>0</v>
      </c>
      <c r="AH26">
        <f>IF($U26="",0,ROUND(SUMIF(บันทึกรายเที่ยว!$T$6:$T$10005,$U26,บันทึกรายเที่ยว!$M$6:$M$10005),2))</f>
        <v>0</v>
      </c>
    </row>
    <row r="27" spans="1:34" ht="21" customHeight="1" x14ac:dyDescent="0.95">
      <c r="A27" s="3" t="str">
        <f t="shared" si="0"/>
        <v/>
      </c>
      <c r="B27" s="3" t="str">
        <f t="shared" si="1"/>
        <v/>
      </c>
      <c r="C27" s="8" t="str">
        <f t="shared" si="2"/>
        <v/>
      </c>
      <c r="D27" s="31" t="str">
        <f t="shared" si="3"/>
        <v/>
      </c>
      <c r="E27" s="32" t="str">
        <f>IF(20=$AD$1+3,"ขอแสดงความนับถือ",IF(20=$AD$1+6,"(                 )",IF(20=$AD$1+7,"เจ้าหน้าที่ขนส่ง",IF($AB27="G",SUM($AF$8:$AF$407),IF(OR($AB27="",$AB27="R"),"",IF($AB27="D",INDEX($AF$8:$AF$407,$AA27),SUMIF($T$8:$T$407,INDEX($T$8:$T$407,$AA27),$AF$8:$AF$407)))))))</f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J27" t="str">
        <f>IFERROR(MATCH(20,บันทึกรายเที่ยว!$W$6:$W$10005,0),"")</f>
        <v/>
      </c>
      <c r="K27" t="str">
        <f>IF($J27="","",INDEX(บันทึกรายเที่ยว!$T$6:$T$10005,$J27))</f>
        <v/>
      </c>
      <c r="L27" t="str">
        <f>IF($J27="","",INDEX(บันทึกรายเที่ยว!$S$6:$S$10005,$J27))</f>
        <v/>
      </c>
      <c r="M27" t="str">
        <f>IF($J27="","",INDEX(บันทึกรายเที่ยว!$R$6:$R$10005,$J27))</f>
        <v/>
      </c>
      <c r="N27" t="str">
        <f>IF($J27="","",MATCH($M27,บันทึกรายเที่ยว!$R$6:$R$10005,0))</f>
        <v/>
      </c>
      <c r="O27" t="str">
        <f>IF($J27="","",MATCH($L27,บันทึกรายเที่ยว!$S$6:$S$10005,0))</f>
        <v/>
      </c>
      <c r="P27" t="str">
        <f>IF($J27="","",IF(AND(OR($I$3="(ทั้งหมด)",INDEX(บันทึกรายเที่ยว!$C$6:$C$10005,$J27)=$I$3),OR($I$5="(ทั้งหมด)",INDEX(บันทึกรายเที่ยว!$D$6:$D$10005,$J27)=$I$5),OR($I$7="(ทั้งหมด)",INDEX(บันทึกรายเที่ยว!$F$6:$F$10005,$J27)=$I$7)),$N27*10000000+$O27*1000+20,""))</f>
        <v/>
      </c>
      <c r="Q27" t="str">
        <f>IFERROR(MATCH(SMALL($P$8:$P$407,20),$P$8:$P$407,0),"")</f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>
        <f t="shared" si="12"/>
        <v>0</v>
      </c>
      <c r="W27">
        <f t="shared" si="13"/>
        <v>0</v>
      </c>
      <c r="X27">
        <f>IF($Q27="",99999+20,$X26+1+$V26+$W26)</f>
        <v>100019</v>
      </c>
      <c r="Y27" t="str">
        <f>IF($Q27="","",INDEX(บันทึกรายเที่ยว!$Q$6:$Q$10005,$R27))</f>
        <v/>
      </c>
      <c r="Z27" t="str">
        <f>IF($Q27="","",INDEX(บันทึกรายเที่ยว!$F$6:$F$10005,$R27))</f>
        <v/>
      </c>
      <c r="AA27" t="str">
        <f>IFERROR(MATCH(20,$X$8:$X$407,1),"")</f>
        <v/>
      </c>
      <c r="AB27" t="str">
        <f>IF(20=$AD$1+1,"G",IF($AA27="","",IF(INDEX($Q$8:$Q$407,$AA27)="","",IF(20&gt;INDEX($X$8:$X$407,$AA27)+INDEX($V$8:$V$407,$AA27)+INDEX($W$8:$W$407,$AA27),"",IF(20=INDEX($X$8:$X$407,$AA27)+INDEX($V$8:$V$407,$AA27)+INDEX($W$8:$W$407,$AA27),"D",IF(AND(INDEX($W$8:$W$407,$AA27)=1,20=INDEX($X$8:$X$407,$AA27)+INDEX($V$8:$V$407,$AA27)),"S","R"))))))</f>
        <v/>
      </c>
      <c r="AC27" t="str">
        <f t="shared" si="11"/>
        <v/>
      </c>
      <c r="AE27">
        <f>IF($U27="",0,COUNTIF(บันทึกรายเที่ยว!$T$6:$T$10005,$U27))</f>
        <v>0</v>
      </c>
      <c r="AF27">
        <f>IF($U27="",0,ROUND(SUMIF(บันทึกรายเที่ยว!$T$6:$T$10005,$U27,บันทึกรายเที่ยว!$J$6:$J$10005),2))</f>
        <v>0</v>
      </c>
      <c r="AG27">
        <f>IF($U27="",0,ROUND(SUMIF(บันทึกรายเที่ยว!$T$6:$T$10005,$U27,บันทึกรายเที่ยว!$K$6:$K$10005),2))</f>
        <v>0</v>
      </c>
      <c r="AH27">
        <f>IF($U27="",0,ROUND(SUMIF(บันทึกรายเที่ยว!$T$6:$T$10005,$U27,บันทึกรายเที่ยว!$M$6:$M$10005),2))</f>
        <v>0</v>
      </c>
    </row>
    <row r="28" spans="1:34" ht="21" customHeight="1" x14ac:dyDescent="0.95">
      <c r="A28" s="3" t="str">
        <f t="shared" si="0"/>
        <v/>
      </c>
      <c r="B28" s="3" t="str">
        <f t="shared" si="1"/>
        <v/>
      </c>
      <c r="C28" s="8" t="str">
        <f t="shared" si="2"/>
        <v/>
      </c>
      <c r="D28" s="31" t="str">
        <f t="shared" si="3"/>
        <v/>
      </c>
      <c r="E28" s="32" t="str">
        <f>IF(21=$AD$1+3,"ขอแสดงความนับถือ",IF(21=$AD$1+6,"(                 )",IF(21=$AD$1+7,"เจ้าหน้าที่ขนส่ง",IF($AB28="G",SUM($AF$8:$AF$407),IF(OR($AB28="",$AB28="R"),"",IF($AB28="D",INDEX($AF$8:$AF$407,$AA28),SUMIF($T$8:$T$407,INDEX($T$8:$T$407,$AA28),$AF$8:$AF$407)))))))</f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J28" t="str">
        <f>IFERROR(MATCH(21,บันทึกรายเที่ยว!$W$6:$W$10005,0),"")</f>
        <v/>
      </c>
      <c r="K28" t="str">
        <f>IF($J28="","",INDEX(บันทึกรายเที่ยว!$T$6:$T$10005,$J28))</f>
        <v/>
      </c>
      <c r="L28" t="str">
        <f>IF($J28="","",INDEX(บันทึกรายเที่ยว!$S$6:$S$10005,$J28))</f>
        <v/>
      </c>
      <c r="M28" t="str">
        <f>IF($J28="","",INDEX(บันทึกรายเที่ยว!$R$6:$R$10005,$J28))</f>
        <v/>
      </c>
      <c r="N28" t="str">
        <f>IF($J28="","",MATCH($M28,บันทึกรายเที่ยว!$R$6:$R$10005,0))</f>
        <v/>
      </c>
      <c r="O28" t="str">
        <f>IF($J28="","",MATCH($L28,บันทึกรายเที่ยว!$S$6:$S$10005,0))</f>
        <v/>
      </c>
      <c r="P28" t="str">
        <f>IF($J28="","",IF(AND(OR($I$3="(ทั้งหมด)",INDEX(บันทึกรายเที่ยว!$C$6:$C$10005,$J28)=$I$3),OR($I$5="(ทั้งหมด)",INDEX(บันทึกรายเที่ยว!$D$6:$D$10005,$J28)=$I$5),OR($I$7="(ทั้งหมด)",INDEX(บันทึกรายเที่ยว!$F$6:$F$10005,$J28)=$I$7)),$N28*10000000+$O28*1000+21,""))</f>
        <v/>
      </c>
      <c r="Q28" t="str">
        <f>IFERROR(MATCH(SMALL($P$8:$P$407,21),$P$8:$P$407,0),"")</f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>
        <f t="shared" si="12"/>
        <v>0</v>
      </c>
      <c r="W28">
        <f t="shared" si="13"/>
        <v>0</v>
      </c>
      <c r="X28">
        <f>IF($Q28="",99999+21,$X27+1+$V27+$W27)</f>
        <v>100020</v>
      </c>
      <c r="Y28" t="str">
        <f>IF($Q28="","",INDEX(บันทึกรายเที่ยว!$Q$6:$Q$10005,$R28))</f>
        <v/>
      </c>
      <c r="Z28" t="str">
        <f>IF($Q28="","",INDEX(บันทึกรายเที่ยว!$F$6:$F$10005,$R28))</f>
        <v/>
      </c>
      <c r="AA28" t="str">
        <f>IFERROR(MATCH(21,$X$8:$X$407,1),"")</f>
        <v/>
      </c>
      <c r="AB28" t="str">
        <f>IF(21=$AD$1+1,"G",IF($AA28="","",IF(INDEX($Q$8:$Q$407,$AA28)="","",IF(21&gt;INDEX($X$8:$X$407,$AA28)+INDEX($V$8:$V$407,$AA28)+INDEX($W$8:$W$407,$AA28),"",IF(21=INDEX($X$8:$X$407,$AA28)+INDEX($V$8:$V$407,$AA28)+INDEX($W$8:$W$407,$AA28),"D",IF(AND(INDEX($W$8:$W$407,$AA28)=1,21=INDEX($X$8:$X$407,$AA28)+INDEX($V$8:$V$407,$AA28)),"S","R"))))))</f>
        <v/>
      </c>
      <c r="AC28" t="str">
        <f t="shared" si="11"/>
        <v/>
      </c>
      <c r="AE28">
        <f>IF($U28="",0,COUNTIF(บันทึกรายเที่ยว!$T$6:$T$10005,$U28))</f>
        <v>0</v>
      </c>
      <c r="AF28">
        <f>IF($U28="",0,ROUND(SUMIF(บันทึกรายเที่ยว!$T$6:$T$10005,$U28,บันทึกรายเที่ยว!$J$6:$J$10005),2))</f>
        <v>0</v>
      </c>
      <c r="AG28">
        <f>IF($U28="",0,ROUND(SUMIF(บันทึกรายเที่ยว!$T$6:$T$10005,$U28,บันทึกรายเที่ยว!$K$6:$K$10005),2))</f>
        <v>0</v>
      </c>
      <c r="AH28">
        <f>IF($U28="",0,ROUND(SUMIF(บันทึกรายเที่ยว!$T$6:$T$10005,$U28,บันทึกรายเที่ยว!$M$6:$M$10005),2))</f>
        <v>0</v>
      </c>
    </row>
    <row r="29" spans="1:34" ht="21" customHeight="1" x14ac:dyDescent="0.95">
      <c r="A29" s="3" t="str">
        <f t="shared" si="0"/>
        <v/>
      </c>
      <c r="B29" s="3" t="str">
        <f t="shared" si="1"/>
        <v/>
      </c>
      <c r="C29" s="8" t="str">
        <f t="shared" si="2"/>
        <v/>
      </c>
      <c r="D29" s="31" t="str">
        <f t="shared" si="3"/>
        <v/>
      </c>
      <c r="E29" s="32" t="str">
        <f>IF(22=$AD$1+3,"ขอแสดงความนับถือ",IF(22=$AD$1+6,"(                 )",IF(22=$AD$1+7,"เจ้าหน้าที่ขนส่ง",IF($AB29="G",SUM($AF$8:$AF$407),IF(OR($AB29="",$AB29="R"),"",IF($AB29="D",INDEX($AF$8:$AF$407,$AA29),SUMIF($T$8:$T$407,INDEX($T$8:$T$407,$AA29),$AF$8:$AF$407)))))))</f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J29" t="str">
        <f>IFERROR(MATCH(22,บันทึกรายเที่ยว!$W$6:$W$10005,0),"")</f>
        <v/>
      </c>
      <c r="K29" t="str">
        <f>IF($J29="","",INDEX(บันทึกรายเที่ยว!$T$6:$T$10005,$J29))</f>
        <v/>
      </c>
      <c r="L29" t="str">
        <f>IF($J29="","",INDEX(บันทึกรายเที่ยว!$S$6:$S$10005,$J29))</f>
        <v/>
      </c>
      <c r="M29" t="str">
        <f>IF($J29="","",INDEX(บันทึกรายเที่ยว!$R$6:$R$10005,$J29))</f>
        <v/>
      </c>
      <c r="N29" t="str">
        <f>IF($J29="","",MATCH($M29,บันทึกรายเที่ยว!$R$6:$R$10005,0))</f>
        <v/>
      </c>
      <c r="O29" t="str">
        <f>IF($J29="","",MATCH($L29,บันทึกรายเที่ยว!$S$6:$S$10005,0))</f>
        <v/>
      </c>
      <c r="P29" t="str">
        <f>IF($J29="","",IF(AND(OR($I$3="(ทั้งหมด)",INDEX(บันทึกรายเที่ยว!$C$6:$C$10005,$J29)=$I$3),OR($I$5="(ทั้งหมด)",INDEX(บันทึกรายเที่ยว!$D$6:$D$10005,$J29)=$I$5),OR($I$7="(ทั้งหมด)",INDEX(บันทึกรายเที่ยว!$F$6:$F$10005,$J29)=$I$7)),$N29*10000000+$O29*1000+22,""))</f>
        <v/>
      </c>
      <c r="Q29" t="str">
        <f>IFERROR(MATCH(SMALL($P$8:$P$407,22),$P$8:$P$407,0),"")</f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>
        <f t="shared" si="12"/>
        <v>0</v>
      </c>
      <c r="W29">
        <f t="shared" si="13"/>
        <v>0</v>
      </c>
      <c r="X29">
        <f>IF($Q29="",99999+22,$X28+1+$V28+$W28)</f>
        <v>100021</v>
      </c>
      <c r="Y29" t="str">
        <f>IF($Q29="","",INDEX(บันทึกรายเที่ยว!$Q$6:$Q$10005,$R29))</f>
        <v/>
      </c>
      <c r="Z29" t="str">
        <f>IF($Q29="","",INDEX(บันทึกรายเที่ยว!$F$6:$F$10005,$R29))</f>
        <v/>
      </c>
      <c r="AA29" t="str">
        <f>IFERROR(MATCH(22,$X$8:$X$407,1),"")</f>
        <v/>
      </c>
      <c r="AB29" t="str">
        <f>IF(22=$AD$1+1,"G",IF($AA29="","",IF(INDEX($Q$8:$Q$407,$AA29)="","",IF(22&gt;INDEX($X$8:$X$407,$AA29)+INDEX($V$8:$V$407,$AA29)+INDEX($W$8:$W$407,$AA29),"",IF(22=INDEX($X$8:$X$407,$AA29)+INDEX($V$8:$V$407,$AA29)+INDEX($W$8:$W$407,$AA29),"D",IF(AND(INDEX($W$8:$W$407,$AA29)=1,22=INDEX($X$8:$X$407,$AA29)+INDEX($V$8:$V$407,$AA29)),"S","R"))))))</f>
        <v/>
      </c>
      <c r="AC29" t="str">
        <f t="shared" si="11"/>
        <v/>
      </c>
      <c r="AE29">
        <f>IF($U29="",0,COUNTIF(บันทึกรายเที่ยว!$T$6:$T$10005,$U29))</f>
        <v>0</v>
      </c>
      <c r="AF29">
        <f>IF($U29="",0,ROUND(SUMIF(บันทึกรายเที่ยว!$T$6:$T$10005,$U29,บันทึกรายเที่ยว!$J$6:$J$10005),2))</f>
        <v>0</v>
      </c>
      <c r="AG29">
        <f>IF($U29="",0,ROUND(SUMIF(บันทึกรายเที่ยว!$T$6:$T$10005,$U29,บันทึกรายเที่ยว!$K$6:$K$10005),2))</f>
        <v>0</v>
      </c>
      <c r="AH29">
        <f>IF($U29="",0,ROUND(SUMIF(บันทึกรายเที่ยว!$T$6:$T$10005,$U29,บันทึกรายเที่ยว!$M$6:$M$10005),2))</f>
        <v>0</v>
      </c>
    </row>
    <row r="30" spans="1:34" ht="21" customHeight="1" x14ac:dyDescent="0.95">
      <c r="A30" s="3" t="str">
        <f t="shared" si="0"/>
        <v/>
      </c>
      <c r="B30" s="3" t="str">
        <f t="shared" si="1"/>
        <v/>
      </c>
      <c r="C30" s="8" t="str">
        <f t="shared" si="2"/>
        <v/>
      </c>
      <c r="D30" s="31" t="str">
        <f t="shared" si="3"/>
        <v/>
      </c>
      <c r="E30" s="32" t="str">
        <f>IF(23=$AD$1+3,"ขอแสดงความนับถือ",IF(23=$AD$1+6,"(                 )",IF(23=$AD$1+7,"เจ้าหน้าที่ขนส่ง",IF($AB30="G",SUM($AF$8:$AF$407),IF(OR($AB30="",$AB30="R"),"",IF($AB30="D",INDEX($AF$8:$AF$407,$AA30),SUMIF($T$8:$T$407,INDEX($T$8:$T$407,$AA30),$AF$8:$AF$407)))))))</f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J30" t="str">
        <f>IFERROR(MATCH(23,บันทึกรายเที่ยว!$W$6:$W$10005,0),"")</f>
        <v/>
      </c>
      <c r="K30" t="str">
        <f>IF($J30="","",INDEX(บันทึกรายเที่ยว!$T$6:$T$10005,$J30))</f>
        <v/>
      </c>
      <c r="L30" t="str">
        <f>IF($J30="","",INDEX(บันทึกรายเที่ยว!$S$6:$S$10005,$J30))</f>
        <v/>
      </c>
      <c r="M30" t="str">
        <f>IF($J30="","",INDEX(บันทึกรายเที่ยว!$R$6:$R$10005,$J30))</f>
        <v/>
      </c>
      <c r="N30" t="str">
        <f>IF($J30="","",MATCH($M30,บันทึกรายเที่ยว!$R$6:$R$10005,0))</f>
        <v/>
      </c>
      <c r="O30" t="str">
        <f>IF($J30="","",MATCH($L30,บันทึกรายเที่ยว!$S$6:$S$10005,0))</f>
        <v/>
      </c>
      <c r="P30" t="str">
        <f>IF($J30="","",IF(AND(OR($I$3="(ทั้งหมด)",INDEX(บันทึกรายเที่ยว!$C$6:$C$10005,$J30)=$I$3),OR($I$5="(ทั้งหมด)",INDEX(บันทึกรายเที่ยว!$D$6:$D$10005,$J30)=$I$5),OR($I$7="(ทั้งหมด)",INDEX(บันทึกรายเที่ยว!$F$6:$F$10005,$J30)=$I$7)),$N30*10000000+$O30*1000+23,""))</f>
        <v/>
      </c>
      <c r="Q30" t="str">
        <f>IFERROR(MATCH(SMALL($P$8:$P$407,23),$P$8:$P$407,0),"")</f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>
        <f t="shared" si="12"/>
        <v>0</v>
      </c>
      <c r="W30">
        <f t="shared" si="13"/>
        <v>0</v>
      </c>
      <c r="X30">
        <f>IF($Q30="",99999+23,$X29+1+$V29+$W29)</f>
        <v>100022</v>
      </c>
      <c r="Y30" t="str">
        <f>IF($Q30="","",INDEX(บันทึกรายเที่ยว!$Q$6:$Q$10005,$R30))</f>
        <v/>
      </c>
      <c r="Z30" t="str">
        <f>IF($Q30="","",INDEX(บันทึกรายเที่ยว!$F$6:$F$10005,$R30))</f>
        <v/>
      </c>
      <c r="AA30" t="str">
        <f>IFERROR(MATCH(23,$X$8:$X$407,1),"")</f>
        <v/>
      </c>
      <c r="AB30" t="str">
        <f>IF(23=$AD$1+1,"G",IF($AA30="","",IF(INDEX($Q$8:$Q$407,$AA30)="","",IF(23&gt;INDEX($X$8:$X$407,$AA30)+INDEX($V$8:$V$407,$AA30)+INDEX($W$8:$W$407,$AA30),"",IF(23=INDEX($X$8:$X$407,$AA30)+INDEX($V$8:$V$407,$AA30)+INDEX($W$8:$W$407,$AA30),"D",IF(AND(INDEX($W$8:$W$407,$AA30)=1,23=INDEX($X$8:$X$407,$AA30)+INDEX($V$8:$V$407,$AA30)),"S","R"))))))</f>
        <v/>
      </c>
      <c r="AC30" t="str">
        <f t="shared" si="11"/>
        <v/>
      </c>
      <c r="AE30">
        <f>IF($U30="",0,COUNTIF(บันทึกรายเที่ยว!$T$6:$T$10005,$U30))</f>
        <v>0</v>
      </c>
      <c r="AF30">
        <f>IF($U30="",0,ROUND(SUMIF(บันทึกรายเที่ยว!$T$6:$T$10005,$U30,บันทึกรายเที่ยว!$J$6:$J$10005),2))</f>
        <v>0</v>
      </c>
      <c r="AG30">
        <f>IF($U30="",0,ROUND(SUMIF(บันทึกรายเที่ยว!$T$6:$T$10005,$U30,บันทึกรายเที่ยว!$K$6:$K$10005),2))</f>
        <v>0</v>
      </c>
      <c r="AH30">
        <f>IF($U30="",0,ROUND(SUMIF(บันทึกรายเที่ยว!$T$6:$T$10005,$U30,บันทึกรายเที่ยว!$M$6:$M$10005),2))</f>
        <v>0</v>
      </c>
    </row>
    <row r="31" spans="1:34" ht="21" customHeight="1" x14ac:dyDescent="0.95">
      <c r="A31" s="3" t="str">
        <f t="shared" si="0"/>
        <v/>
      </c>
      <c r="B31" s="3" t="str">
        <f t="shared" si="1"/>
        <v/>
      </c>
      <c r="C31" s="8" t="str">
        <f t="shared" si="2"/>
        <v/>
      </c>
      <c r="D31" s="31" t="str">
        <f t="shared" si="3"/>
        <v/>
      </c>
      <c r="E31" s="32" t="str">
        <f>IF(24=$AD$1+3,"ขอแสดงความนับถือ",IF(24=$AD$1+6,"(                 )",IF(24=$AD$1+7,"เจ้าหน้าที่ขนส่ง",IF($AB31="G",SUM($AF$8:$AF$407),IF(OR($AB31="",$AB31="R"),"",IF($AB31="D",INDEX($AF$8:$AF$407,$AA31),SUMIF($T$8:$T$407,INDEX($T$8:$T$407,$AA31),$AF$8:$AF$407)))))))</f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J31" t="str">
        <f>IFERROR(MATCH(24,บันทึกรายเที่ยว!$W$6:$W$10005,0),"")</f>
        <v/>
      </c>
      <c r="K31" t="str">
        <f>IF($J31="","",INDEX(บันทึกรายเที่ยว!$T$6:$T$10005,$J31))</f>
        <v/>
      </c>
      <c r="L31" t="str">
        <f>IF($J31="","",INDEX(บันทึกรายเที่ยว!$S$6:$S$10005,$J31))</f>
        <v/>
      </c>
      <c r="M31" t="str">
        <f>IF($J31="","",INDEX(บันทึกรายเที่ยว!$R$6:$R$10005,$J31))</f>
        <v/>
      </c>
      <c r="N31" t="str">
        <f>IF($J31="","",MATCH($M31,บันทึกรายเที่ยว!$R$6:$R$10005,0))</f>
        <v/>
      </c>
      <c r="O31" t="str">
        <f>IF($J31="","",MATCH($L31,บันทึกรายเที่ยว!$S$6:$S$10005,0))</f>
        <v/>
      </c>
      <c r="P31" t="str">
        <f>IF($J31="","",IF(AND(OR($I$3="(ทั้งหมด)",INDEX(บันทึกรายเที่ยว!$C$6:$C$10005,$J31)=$I$3),OR($I$5="(ทั้งหมด)",INDEX(บันทึกรายเที่ยว!$D$6:$D$10005,$J31)=$I$5),OR($I$7="(ทั้งหมด)",INDEX(บันทึกรายเที่ยว!$F$6:$F$10005,$J31)=$I$7)),$N31*10000000+$O31*1000+24,""))</f>
        <v/>
      </c>
      <c r="Q31" t="str">
        <f>IFERROR(MATCH(SMALL($P$8:$P$407,24),$P$8:$P$407,0),"")</f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>
        <f t="shared" si="12"/>
        <v>0</v>
      </c>
      <c r="W31">
        <f t="shared" si="13"/>
        <v>0</v>
      </c>
      <c r="X31">
        <f>IF($Q31="",99999+24,$X30+1+$V30+$W30)</f>
        <v>100023</v>
      </c>
      <c r="Y31" t="str">
        <f>IF($Q31="","",INDEX(บันทึกรายเที่ยว!$Q$6:$Q$10005,$R31))</f>
        <v/>
      </c>
      <c r="Z31" t="str">
        <f>IF($Q31="","",INDEX(บันทึกรายเที่ยว!$F$6:$F$10005,$R31))</f>
        <v/>
      </c>
      <c r="AA31" t="str">
        <f>IFERROR(MATCH(24,$X$8:$X$407,1),"")</f>
        <v/>
      </c>
      <c r="AB31" t="str">
        <f>IF(24=$AD$1+1,"G",IF($AA31="","",IF(INDEX($Q$8:$Q$407,$AA31)="","",IF(24&gt;INDEX($X$8:$X$407,$AA31)+INDEX($V$8:$V$407,$AA31)+INDEX($W$8:$W$407,$AA31),"",IF(24=INDEX($X$8:$X$407,$AA31)+INDEX($V$8:$V$407,$AA31)+INDEX($W$8:$W$407,$AA31),"D",IF(AND(INDEX($W$8:$W$407,$AA31)=1,24=INDEX($X$8:$X$407,$AA31)+INDEX($V$8:$V$407,$AA31)),"S","R"))))))</f>
        <v/>
      </c>
      <c r="AC31" t="str">
        <f t="shared" si="11"/>
        <v/>
      </c>
      <c r="AE31">
        <f>IF($U31="",0,COUNTIF(บันทึกรายเที่ยว!$T$6:$T$10005,$U31))</f>
        <v>0</v>
      </c>
      <c r="AF31">
        <f>IF($U31="",0,ROUND(SUMIF(บันทึกรายเที่ยว!$T$6:$T$10005,$U31,บันทึกรายเที่ยว!$J$6:$J$10005),2))</f>
        <v>0</v>
      </c>
      <c r="AG31">
        <f>IF($U31="",0,ROUND(SUMIF(บันทึกรายเที่ยว!$T$6:$T$10005,$U31,บันทึกรายเที่ยว!$K$6:$K$10005),2))</f>
        <v>0</v>
      </c>
      <c r="AH31">
        <f>IF($U31="",0,ROUND(SUMIF(บันทึกรายเที่ยว!$T$6:$T$10005,$U31,บันทึกรายเที่ยว!$M$6:$M$10005),2))</f>
        <v>0</v>
      </c>
    </row>
    <row r="32" spans="1:34" ht="21" customHeight="1" x14ac:dyDescent="0.95">
      <c r="A32" s="3" t="str">
        <f t="shared" si="0"/>
        <v/>
      </c>
      <c r="B32" s="3" t="str">
        <f t="shared" si="1"/>
        <v/>
      </c>
      <c r="C32" s="8" t="str">
        <f t="shared" si="2"/>
        <v/>
      </c>
      <c r="D32" s="31" t="str">
        <f t="shared" si="3"/>
        <v/>
      </c>
      <c r="E32" s="32" t="str">
        <f>IF(25=$AD$1+3,"ขอแสดงความนับถือ",IF(25=$AD$1+6,"(                 )",IF(25=$AD$1+7,"เจ้าหน้าที่ขนส่ง",IF($AB32="G",SUM($AF$8:$AF$407),IF(OR($AB32="",$AB32="R"),"",IF($AB32="D",INDEX($AF$8:$AF$407,$AA32),SUMIF($T$8:$T$407,INDEX($T$8:$T$407,$AA32),$AF$8:$AF$407)))))))</f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J32" t="str">
        <f>IFERROR(MATCH(25,บันทึกรายเที่ยว!$W$6:$W$10005,0),"")</f>
        <v/>
      </c>
      <c r="K32" t="str">
        <f>IF($J32="","",INDEX(บันทึกรายเที่ยว!$T$6:$T$10005,$J32))</f>
        <v/>
      </c>
      <c r="L32" t="str">
        <f>IF($J32="","",INDEX(บันทึกรายเที่ยว!$S$6:$S$10005,$J32))</f>
        <v/>
      </c>
      <c r="M32" t="str">
        <f>IF($J32="","",INDEX(บันทึกรายเที่ยว!$R$6:$R$10005,$J32))</f>
        <v/>
      </c>
      <c r="N32" t="str">
        <f>IF($J32="","",MATCH($M32,บันทึกรายเที่ยว!$R$6:$R$10005,0))</f>
        <v/>
      </c>
      <c r="O32" t="str">
        <f>IF($J32="","",MATCH($L32,บันทึกรายเที่ยว!$S$6:$S$10005,0))</f>
        <v/>
      </c>
      <c r="P32" t="str">
        <f>IF($J32="","",IF(AND(OR($I$3="(ทั้งหมด)",INDEX(บันทึกรายเที่ยว!$C$6:$C$10005,$J32)=$I$3),OR($I$5="(ทั้งหมด)",INDEX(บันทึกรายเที่ยว!$D$6:$D$10005,$J32)=$I$5),OR($I$7="(ทั้งหมด)",INDEX(บันทึกรายเที่ยว!$F$6:$F$10005,$J32)=$I$7)),$N32*10000000+$O32*1000+25,""))</f>
        <v/>
      </c>
      <c r="Q32" t="str">
        <f>IFERROR(MATCH(SMALL($P$8:$P$407,25),$P$8:$P$407,0),"")</f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>
        <f t="shared" si="12"/>
        <v>0</v>
      </c>
      <c r="W32">
        <f t="shared" si="13"/>
        <v>0</v>
      </c>
      <c r="X32">
        <f>IF($Q32="",99999+25,$X31+1+$V31+$W31)</f>
        <v>100024</v>
      </c>
      <c r="Y32" t="str">
        <f>IF($Q32="","",INDEX(บันทึกรายเที่ยว!$Q$6:$Q$10005,$R32))</f>
        <v/>
      </c>
      <c r="Z32" t="str">
        <f>IF($Q32="","",INDEX(บันทึกรายเที่ยว!$F$6:$F$10005,$R32))</f>
        <v/>
      </c>
      <c r="AA32" t="str">
        <f>IFERROR(MATCH(25,$X$8:$X$407,1),"")</f>
        <v/>
      </c>
      <c r="AB32" t="str">
        <f>IF(25=$AD$1+1,"G",IF($AA32="","",IF(INDEX($Q$8:$Q$407,$AA32)="","",IF(25&gt;INDEX($X$8:$X$407,$AA32)+INDEX($V$8:$V$407,$AA32)+INDEX($W$8:$W$407,$AA32),"",IF(25=INDEX($X$8:$X$407,$AA32)+INDEX($V$8:$V$407,$AA32)+INDEX($W$8:$W$407,$AA32),"D",IF(AND(INDEX($W$8:$W$407,$AA32)=1,25=INDEX($X$8:$X$407,$AA32)+INDEX($V$8:$V$407,$AA32)),"S","R"))))))</f>
        <v/>
      </c>
      <c r="AC32" t="str">
        <f t="shared" si="11"/>
        <v/>
      </c>
      <c r="AE32">
        <f>IF($U32="",0,COUNTIF(บันทึกรายเที่ยว!$T$6:$T$10005,$U32))</f>
        <v>0</v>
      </c>
      <c r="AF32">
        <f>IF($U32="",0,ROUND(SUMIF(บันทึกรายเที่ยว!$T$6:$T$10005,$U32,บันทึกรายเที่ยว!$J$6:$J$10005),2))</f>
        <v>0</v>
      </c>
      <c r="AG32">
        <f>IF($U32="",0,ROUND(SUMIF(บันทึกรายเที่ยว!$T$6:$T$10005,$U32,บันทึกรายเที่ยว!$K$6:$K$10005),2))</f>
        <v>0</v>
      </c>
      <c r="AH32">
        <f>IF($U32="",0,ROUND(SUMIF(บันทึกรายเที่ยว!$T$6:$T$10005,$U32,บันทึกรายเที่ยว!$M$6:$M$10005),2))</f>
        <v>0</v>
      </c>
    </row>
    <row r="33" spans="1:34" ht="21" customHeight="1" x14ac:dyDescent="0.95">
      <c r="A33" s="3" t="str">
        <f t="shared" si="0"/>
        <v/>
      </c>
      <c r="B33" s="3" t="str">
        <f t="shared" si="1"/>
        <v/>
      </c>
      <c r="C33" s="8" t="str">
        <f t="shared" si="2"/>
        <v/>
      </c>
      <c r="D33" s="31" t="str">
        <f t="shared" si="3"/>
        <v/>
      </c>
      <c r="E33" s="32" t="str">
        <f>IF(26=$AD$1+3,"ขอแสดงความนับถือ",IF(26=$AD$1+6,"(                 )",IF(26=$AD$1+7,"เจ้าหน้าที่ขนส่ง",IF($AB33="G",SUM($AF$8:$AF$407),IF(OR($AB33="",$AB33="R"),"",IF($AB33="D",INDEX($AF$8:$AF$407,$AA33),SUMIF($T$8:$T$407,INDEX($T$8:$T$407,$AA33),$AF$8:$AF$407)))))))</f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J33" t="str">
        <f>IFERROR(MATCH(26,บันทึกรายเที่ยว!$W$6:$W$10005,0),"")</f>
        <v/>
      </c>
      <c r="K33" t="str">
        <f>IF($J33="","",INDEX(บันทึกรายเที่ยว!$T$6:$T$10005,$J33))</f>
        <v/>
      </c>
      <c r="L33" t="str">
        <f>IF($J33="","",INDEX(บันทึกรายเที่ยว!$S$6:$S$10005,$J33))</f>
        <v/>
      </c>
      <c r="M33" t="str">
        <f>IF($J33="","",INDEX(บันทึกรายเที่ยว!$R$6:$R$10005,$J33))</f>
        <v/>
      </c>
      <c r="N33" t="str">
        <f>IF($J33="","",MATCH($M33,บันทึกรายเที่ยว!$R$6:$R$10005,0))</f>
        <v/>
      </c>
      <c r="O33" t="str">
        <f>IF($J33="","",MATCH($L33,บันทึกรายเที่ยว!$S$6:$S$10005,0))</f>
        <v/>
      </c>
      <c r="P33" t="str">
        <f>IF($J33="","",IF(AND(OR($I$3="(ทั้งหมด)",INDEX(บันทึกรายเที่ยว!$C$6:$C$10005,$J33)=$I$3),OR($I$5="(ทั้งหมด)",INDEX(บันทึกรายเที่ยว!$D$6:$D$10005,$J33)=$I$5),OR($I$7="(ทั้งหมด)",INDEX(บันทึกรายเที่ยว!$F$6:$F$10005,$J33)=$I$7)),$N33*10000000+$O33*1000+26,""))</f>
        <v/>
      </c>
      <c r="Q33" t="str">
        <f>IFERROR(MATCH(SMALL($P$8:$P$407,26),$P$8:$P$407,0),"")</f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>
        <f t="shared" si="12"/>
        <v>0</v>
      </c>
      <c r="W33">
        <f t="shared" si="13"/>
        <v>0</v>
      </c>
      <c r="X33">
        <f>IF($Q33="",99999+26,$X32+1+$V32+$W32)</f>
        <v>100025</v>
      </c>
      <c r="Y33" t="str">
        <f>IF($Q33="","",INDEX(บันทึกรายเที่ยว!$Q$6:$Q$10005,$R33))</f>
        <v/>
      </c>
      <c r="Z33" t="str">
        <f>IF($Q33="","",INDEX(บันทึกรายเที่ยว!$F$6:$F$10005,$R33))</f>
        <v/>
      </c>
      <c r="AA33" t="str">
        <f>IFERROR(MATCH(26,$X$8:$X$407,1),"")</f>
        <v/>
      </c>
      <c r="AB33" t="str">
        <f>IF(26=$AD$1+1,"G",IF($AA33="","",IF(INDEX($Q$8:$Q$407,$AA33)="","",IF(26&gt;INDEX($X$8:$X$407,$AA33)+INDEX($V$8:$V$407,$AA33)+INDEX($W$8:$W$407,$AA33),"",IF(26=INDEX($X$8:$X$407,$AA33)+INDEX($V$8:$V$407,$AA33)+INDEX($W$8:$W$407,$AA33),"D",IF(AND(INDEX($W$8:$W$407,$AA33)=1,26=INDEX($X$8:$X$407,$AA33)+INDEX($V$8:$V$407,$AA33)),"S","R"))))))</f>
        <v/>
      </c>
      <c r="AC33" t="str">
        <f t="shared" si="11"/>
        <v/>
      </c>
      <c r="AE33">
        <f>IF($U33="",0,COUNTIF(บันทึกรายเที่ยว!$T$6:$T$10005,$U33))</f>
        <v>0</v>
      </c>
      <c r="AF33">
        <f>IF($U33="",0,ROUND(SUMIF(บันทึกรายเที่ยว!$T$6:$T$10005,$U33,บันทึกรายเที่ยว!$J$6:$J$10005),2))</f>
        <v>0</v>
      </c>
      <c r="AG33">
        <f>IF($U33="",0,ROUND(SUMIF(บันทึกรายเที่ยว!$T$6:$T$10005,$U33,บันทึกรายเที่ยว!$K$6:$K$10005),2))</f>
        <v>0</v>
      </c>
      <c r="AH33">
        <f>IF($U33="",0,ROUND(SUMIF(บันทึกรายเที่ยว!$T$6:$T$10005,$U33,บันทึกรายเที่ยว!$M$6:$M$10005),2))</f>
        <v>0</v>
      </c>
    </row>
    <row r="34" spans="1:34" ht="21" customHeight="1" x14ac:dyDescent="0.95">
      <c r="A34" s="3" t="str">
        <f t="shared" si="0"/>
        <v/>
      </c>
      <c r="B34" s="3" t="str">
        <f t="shared" si="1"/>
        <v/>
      </c>
      <c r="C34" s="8" t="str">
        <f t="shared" si="2"/>
        <v/>
      </c>
      <c r="D34" s="31" t="str">
        <f t="shared" si="3"/>
        <v/>
      </c>
      <c r="E34" s="32" t="str">
        <f>IF(27=$AD$1+3,"ขอแสดงความนับถือ",IF(27=$AD$1+6,"(                 )",IF(27=$AD$1+7,"เจ้าหน้าที่ขนส่ง",IF($AB34="G",SUM($AF$8:$AF$407),IF(OR($AB34="",$AB34="R"),"",IF($AB34="D",INDEX($AF$8:$AF$407,$AA34),SUMIF($T$8:$T$407,INDEX($T$8:$T$407,$AA34),$AF$8:$AF$407)))))))</f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J34" t="str">
        <f>IFERROR(MATCH(27,บันทึกรายเที่ยว!$W$6:$W$10005,0),"")</f>
        <v/>
      </c>
      <c r="K34" t="str">
        <f>IF($J34="","",INDEX(บันทึกรายเที่ยว!$T$6:$T$10005,$J34))</f>
        <v/>
      </c>
      <c r="L34" t="str">
        <f>IF($J34="","",INDEX(บันทึกรายเที่ยว!$S$6:$S$10005,$J34))</f>
        <v/>
      </c>
      <c r="M34" t="str">
        <f>IF($J34="","",INDEX(บันทึกรายเที่ยว!$R$6:$R$10005,$J34))</f>
        <v/>
      </c>
      <c r="N34" t="str">
        <f>IF($J34="","",MATCH($M34,บันทึกรายเที่ยว!$R$6:$R$10005,0))</f>
        <v/>
      </c>
      <c r="O34" t="str">
        <f>IF($J34="","",MATCH($L34,บันทึกรายเที่ยว!$S$6:$S$10005,0))</f>
        <v/>
      </c>
      <c r="P34" t="str">
        <f>IF($J34="","",IF(AND(OR($I$3="(ทั้งหมด)",INDEX(บันทึกรายเที่ยว!$C$6:$C$10005,$J34)=$I$3),OR($I$5="(ทั้งหมด)",INDEX(บันทึกรายเที่ยว!$D$6:$D$10005,$J34)=$I$5),OR($I$7="(ทั้งหมด)",INDEX(บันทึกรายเที่ยว!$F$6:$F$10005,$J34)=$I$7)),$N34*10000000+$O34*1000+27,""))</f>
        <v/>
      </c>
      <c r="Q34" t="str">
        <f>IFERROR(MATCH(SMALL($P$8:$P$407,27),$P$8:$P$407,0),"")</f>
        <v/>
      </c>
      <c r="R34" t="str">
        <f t="shared" si="7"/>
        <v/>
      </c>
      <c r="S34" t="str">
        <f t="shared" si="8"/>
        <v/>
      </c>
      <c r="T34" t="str">
        <f t="shared" si="9"/>
        <v/>
      </c>
      <c r="U34" t="str">
        <f t="shared" si="10"/>
        <v/>
      </c>
      <c r="V34">
        <f t="shared" si="12"/>
        <v>0</v>
      </c>
      <c r="W34">
        <f t="shared" si="13"/>
        <v>0</v>
      </c>
      <c r="X34">
        <f>IF($Q34="",99999+27,$X33+1+$V33+$W33)</f>
        <v>100026</v>
      </c>
      <c r="Y34" t="str">
        <f>IF($Q34="","",INDEX(บันทึกรายเที่ยว!$Q$6:$Q$10005,$R34))</f>
        <v/>
      </c>
      <c r="Z34" t="str">
        <f>IF($Q34="","",INDEX(บันทึกรายเที่ยว!$F$6:$F$10005,$R34))</f>
        <v/>
      </c>
      <c r="AA34" t="str">
        <f>IFERROR(MATCH(27,$X$8:$X$407,1),"")</f>
        <v/>
      </c>
      <c r="AB34" t="str">
        <f>IF(27=$AD$1+1,"G",IF($AA34="","",IF(INDEX($Q$8:$Q$407,$AA34)="","",IF(27&gt;INDEX($X$8:$X$407,$AA34)+INDEX($V$8:$V$407,$AA34)+INDEX($W$8:$W$407,$AA34),"",IF(27=INDEX($X$8:$X$407,$AA34)+INDEX($V$8:$V$407,$AA34)+INDEX($W$8:$W$407,$AA34),"D",IF(AND(INDEX($W$8:$W$407,$AA34)=1,27=INDEX($X$8:$X$407,$AA34)+INDEX($V$8:$V$407,$AA34)),"S","R"))))))</f>
        <v/>
      </c>
      <c r="AC34" t="str">
        <f t="shared" si="11"/>
        <v/>
      </c>
      <c r="AE34">
        <f>IF($U34="",0,COUNTIF(บันทึกรายเที่ยว!$T$6:$T$10005,$U34))</f>
        <v>0</v>
      </c>
      <c r="AF34">
        <f>IF($U34="",0,ROUND(SUMIF(บันทึกรายเที่ยว!$T$6:$T$10005,$U34,บันทึกรายเที่ยว!$J$6:$J$10005),2))</f>
        <v>0</v>
      </c>
      <c r="AG34">
        <f>IF($U34="",0,ROUND(SUMIF(บันทึกรายเที่ยว!$T$6:$T$10005,$U34,บันทึกรายเที่ยว!$K$6:$K$10005),2))</f>
        <v>0</v>
      </c>
      <c r="AH34">
        <f>IF($U34="",0,ROUND(SUMIF(บันทึกรายเที่ยว!$T$6:$T$10005,$U34,บันทึกรายเที่ยว!$M$6:$M$10005),2))</f>
        <v>0</v>
      </c>
    </row>
    <row r="35" spans="1:34" ht="21" customHeight="1" x14ac:dyDescent="0.95">
      <c r="A35" s="3" t="str">
        <f t="shared" si="0"/>
        <v/>
      </c>
      <c r="B35" s="3" t="str">
        <f t="shared" si="1"/>
        <v/>
      </c>
      <c r="C35" s="8" t="str">
        <f t="shared" si="2"/>
        <v/>
      </c>
      <c r="D35" s="31" t="str">
        <f t="shared" si="3"/>
        <v/>
      </c>
      <c r="E35" s="32" t="str">
        <f>IF(28=$AD$1+3,"ขอแสดงความนับถือ",IF(28=$AD$1+6,"(                 )",IF(28=$AD$1+7,"เจ้าหน้าที่ขนส่ง",IF($AB35="G",SUM($AF$8:$AF$407),IF(OR($AB35="",$AB35="R"),"",IF($AB35="D",INDEX($AF$8:$AF$407,$AA35),SUMIF($T$8:$T$407,INDEX($T$8:$T$407,$AA35),$AF$8:$AF$407)))))))</f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J35" t="str">
        <f>IFERROR(MATCH(28,บันทึกรายเที่ยว!$W$6:$W$10005,0),"")</f>
        <v/>
      </c>
      <c r="K35" t="str">
        <f>IF($J35="","",INDEX(บันทึกรายเที่ยว!$T$6:$T$10005,$J35))</f>
        <v/>
      </c>
      <c r="L35" t="str">
        <f>IF($J35="","",INDEX(บันทึกรายเที่ยว!$S$6:$S$10005,$J35))</f>
        <v/>
      </c>
      <c r="M35" t="str">
        <f>IF($J35="","",INDEX(บันทึกรายเที่ยว!$R$6:$R$10005,$J35))</f>
        <v/>
      </c>
      <c r="N35" t="str">
        <f>IF($J35="","",MATCH($M35,บันทึกรายเที่ยว!$R$6:$R$10005,0))</f>
        <v/>
      </c>
      <c r="O35" t="str">
        <f>IF($J35="","",MATCH($L35,บันทึกรายเที่ยว!$S$6:$S$10005,0))</f>
        <v/>
      </c>
      <c r="P35" t="str">
        <f>IF($J35="","",IF(AND(OR($I$3="(ทั้งหมด)",INDEX(บันทึกรายเที่ยว!$C$6:$C$10005,$J35)=$I$3),OR($I$5="(ทั้งหมด)",INDEX(บันทึกรายเที่ยว!$D$6:$D$10005,$J35)=$I$5),OR($I$7="(ทั้งหมด)",INDEX(บันทึกรายเที่ยว!$F$6:$F$10005,$J35)=$I$7)),$N35*10000000+$O35*1000+28,""))</f>
        <v/>
      </c>
      <c r="Q35" t="str">
        <f>IFERROR(MATCH(SMALL($P$8:$P$407,28),$P$8:$P$407,0),"")</f>
        <v/>
      </c>
      <c r="R35" t="str">
        <f t="shared" si="7"/>
        <v/>
      </c>
      <c r="S35" t="str">
        <f t="shared" si="8"/>
        <v/>
      </c>
      <c r="T35" t="str">
        <f t="shared" si="9"/>
        <v/>
      </c>
      <c r="U35" t="str">
        <f t="shared" si="10"/>
        <v/>
      </c>
      <c r="V35">
        <f t="shared" si="12"/>
        <v>0</v>
      </c>
      <c r="W35">
        <f t="shared" si="13"/>
        <v>0</v>
      </c>
      <c r="X35">
        <f>IF($Q35="",99999+28,$X34+1+$V34+$W34)</f>
        <v>100027</v>
      </c>
      <c r="Y35" t="str">
        <f>IF($Q35="","",INDEX(บันทึกรายเที่ยว!$Q$6:$Q$10005,$R35))</f>
        <v/>
      </c>
      <c r="Z35" t="str">
        <f>IF($Q35="","",INDEX(บันทึกรายเที่ยว!$F$6:$F$10005,$R35))</f>
        <v/>
      </c>
      <c r="AA35" t="str">
        <f>IFERROR(MATCH(28,$X$8:$X$407,1),"")</f>
        <v/>
      </c>
      <c r="AB35" t="str">
        <f>IF(28=$AD$1+1,"G",IF($AA35="","",IF(INDEX($Q$8:$Q$407,$AA35)="","",IF(28&gt;INDEX($X$8:$X$407,$AA35)+INDEX($V$8:$V$407,$AA35)+INDEX($W$8:$W$407,$AA35),"",IF(28=INDEX($X$8:$X$407,$AA35)+INDEX($V$8:$V$407,$AA35)+INDEX($W$8:$W$407,$AA35),"D",IF(AND(INDEX($W$8:$W$407,$AA35)=1,28=INDEX($X$8:$X$407,$AA35)+INDEX($V$8:$V$407,$AA35)),"S","R"))))))</f>
        <v/>
      </c>
      <c r="AC35" t="str">
        <f t="shared" si="11"/>
        <v/>
      </c>
      <c r="AE35">
        <f>IF($U35="",0,COUNTIF(บันทึกรายเที่ยว!$T$6:$T$10005,$U35))</f>
        <v>0</v>
      </c>
      <c r="AF35">
        <f>IF($U35="",0,ROUND(SUMIF(บันทึกรายเที่ยว!$T$6:$T$10005,$U35,บันทึกรายเที่ยว!$J$6:$J$10005),2))</f>
        <v>0</v>
      </c>
      <c r="AG35">
        <f>IF($U35="",0,ROUND(SUMIF(บันทึกรายเที่ยว!$T$6:$T$10005,$U35,บันทึกรายเที่ยว!$K$6:$K$10005),2))</f>
        <v>0</v>
      </c>
      <c r="AH35">
        <f>IF($U35="",0,ROUND(SUMIF(บันทึกรายเที่ยว!$T$6:$T$10005,$U35,บันทึกรายเที่ยว!$M$6:$M$10005),2))</f>
        <v>0</v>
      </c>
    </row>
    <row r="36" spans="1:34" ht="21" customHeight="1" x14ac:dyDescent="0.95">
      <c r="A36" s="3" t="str">
        <f t="shared" si="0"/>
        <v/>
      </c>
      <c r="B36" s="3" t="str">
        <f t="shared" si="1"/>
        <v/>
      </c>
      <c r="C36" s="8" t="str">
        <f t="shared" si="2"/>
        <v/>
      </c>
      <c r="D36" s="31" t="str">
        <f t="shared" si="3"/>
        <v/>
      </c>
      <c r="E36" s="32" t="str">
        <f>IF(29=$AD$1+3,"ขอแสดงความนับถือ",IF(29=$AD$1+6,"(                 )",IF(29=$AD$1+7,"เจ้าหน้าที่ขนส่ง",IF($AB36="G",SUM($AF$8:$AF$407),IF(OR($AB36="",$AB36="R"),"",IF($AB36="D",INDEX($AF$8:$AF$407,$AA36),SUMIF($T$8:$T$407,INDEX($T$8:$T$407,$AA36),$AF$8:$AF$407)))))))</f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J36" t="str">
        <f>IFERROR(MATCH(29,บันทึกรายเที่ยว!$W$6:$W$10005,0),"")</f>
        <v/>
      </c>
      <c r="K36" t="str">
        <f>IF($J36="","",INDEX(บันทึกรายเที่ยว!$T$6:$T$10005,$J36))</f>
        <v/>
      </c>
      <c r="L36" t="str">
        <f>IF($J36="","",INDEX(บันทึกรายเที่ยว!$S$6:$S$10005,$J36))</f>
        <v/>
      </c>
      <c r="M36" t="str">
        <f>IF($J36="","",INDEX(บันทึกรายเที่ยว!$R$6:$R$10005,$J36))</f>
        <v/>
      </c>
      <c r="N36" t="str">
        <f>IF($J36="","",MATCH($M36,บันทึกรายเที่ยว!$R$6:$R$10005,0))</f>
        <v/>
      </c>
      <c r="O36" t="str">
        <f>IF($J36="","",MATCH($L36,บันทึกรายเที่ยว!$S$6:$S$10005,0))</f>
        <v/>
      </c>
      <c r="P36" t="str">
        <f>IF($J36="","",IF(AND(OR($I$3="(ทั้งหมด)",INDEX(บันทึกรายเที่ยว!$C$6:$C$10005,$J36)=$I$3),OR($I$5="(ทั้งหมด)",INDEX(บันทึกรายเที่ยว!$D$6:$D$10005,$J36)=$I$5),OR($I$7="(ทั้งหมด)",INDEX(บันทึกรายเที่ยว!$F$6:$F$10005,$J36)=$I$7)),$N36*10000000+$O36*1000+29,""))</f>
        <v/>
      </c>
      <c r="Q36" t="str">
        <f>IFERROR(MATCH(SMALL($P$8:$P$407,29),$P$8:$P$407,0),"")</f>
        <v/>
      </c>
      <c r="R36" t="str">
        <f t="shared" si="7"/>
        <v/>
      </c>
      <c r="S36" t="str">
        <f t="shared" si="8"/>
        <v/>
      </c>
      <c r="T36" t="str">
        <f t="shared" si="9"/>
        <v/>
      </c>
      <c r="U36" t="str">
        <f t="shared" si="10"/>
        <v/>
      </c>
      <c r="V36">
        <f t="shared" si="12"/>
        <v>0</v>
      </c>
      <c r="W36">
        <f t="shared" si="13"/>
        <v>0</v>
      </c>
      <c r="X36">
        <f>IF($Q36="",99999+29,$X35+1+$V35+$W35)</f>
        <v>100028</v>
      </c>
      <c r="Y36" t="str">
        <f>IF($Q36="","",INDEX(บันทึกรายเที่ยว!$Q$6:$Q$10005,$R36))</f>
        <v/>
      </c>
      <c r="Z36" t="str">
        <f>IF($Q36="","",INDEX(บันทึกรายเที่ยว!$F$6:$F$10005,$R36))</f>
        <v/>
      </c>
      <c r="AA36" t="str">
        <f>IFERROR(MATCH(29,$X$8:$X$407,1),"")</f>
        <v/>
      </c>
      <c r="AB36" t="str">
        <f>IF(29=$AD$1+1,"G",IF($AA36="","",IF(INDEX($Q$8:$Q$407,$AA36)="","",IF(29&gt;INDEX($X$8:$X$407,$AA36)+INDEX($V$8:$V$407,$AA36)+INDEX($W$8:$W$407,$AA36),"",IF(29=INDEX($X$8:$X$407,$AA36)+INDEX($V$8:$V$407,$AA36)+INDEX($W$8:$W$407,$AA36),"D",IF(AND(INDEX($W$8:$W$407,$AA36)=1,29=INDEX($X$8:$X$407,$AA36)+INDEX($V$8:$V$407,$AA36)),"S","R"))))))</f>
        <v/>
      </c>
      <c r="AC36" t="str">
        <f t="shared" si="11"/>
        <v/>
      </c>
      <c r="AE36">
        <f>IF($U36="",0,COUNTIF(บันทึกรายเที่ยว!$T$6:$T$10005,$U36))</f>
        <v>0</v>
      </c>
      <c r="AF36">
        <f>IF($U36="",0,ROUND(SUMIF(บันทึกรายเที่ยว!$T$6:$T$10005,$U36,บันทึกรายเที่ยว!$J$6:$J$10005),2))</f>
        <v>0</v>
      </c>
      <c r="AG36">
        <f>IF($U36="",0,ROUND(SUMIF(บันทึกรายเที่ยว!$T$6:$T$10005,$U36,บันทึกรายเที่ยว!$K$6:$K$10005),2))</f>
        <v>0</v>
      </c>
      <c r="AH36">
        <f>IF($U36="",0,ROUND(SUMIF(บันทึกรายเที่ยว!$T$6:$T$10005,$U36,บันทึกรายเที่ยว!$M$6:$M$10005),2))</f>
        <v>0</v>
      </c>
    </row>
    <row r="37" spans="1:34" ht="21" customHeight="1" x14ac:dyDescent="0.95">
      <c r="A37" s="3" t="str">
        <f t="shared" si="0"/>
        <v/>
      </c>
      <c r="B37" s="3" t="str">
        <f t="shared" si="1"/>
        <v/>
      </c>
      <c r="C37" s="8" t="str">
        <f t="shared" si="2"/>
        <v/>
      </c>
      <c r="D37" s="31" t="str">
        <f t="shared" si="3"/>
        <v/>
      </c>
      <c r="E37" s="32" t="str">
        <f>IF(30=$AD$1+3,"ขอแสดงความนับถือ",IF(30=$AD$1+6,"(                 )",IF(30=$AD$1+7,"เจ้าหน้าที่ขนส่ง",IF($AB37="G",SUM($AF$8:$AF$407),IF(OR($AB37="",$AB37="R"),"",IF($AB37="D",INDEX($AF$8:$AF$407,$AA37),SUMIF($T$8:$T$407,INDEX($T$8:$T$407,$AA37),$AF$8:$AF$407)))))))</f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J37" t="str">
        <f>IFERROR(MATCH(30,บันทึกรายเที่ยว!$W$6:$W$10005,0),"")</f>
        <v/>
      </c>
      <c r="K37" t="str">
        <f>IF($J37="","",INDEX(บันทึกรายเที่ยว!$T$6:$T$10005,$J37))</f>
        <v/>
      </c>
      <c r="L37" t="str">
        <f>IF($J37="","",INDEX(บันทึกรายเที่ยว!$S$6:$S$10005,$J37))</f>
        <v/>
      </c>
      <c r="M37" t="str">
        <f>IF($J37="","",INDEX(บันทึกรายเที่ยว!$R$6:$R$10005,$J37))</f>
        <v/>
      </c>
      <c r="N37" t="str">
        <f>IF($J37="","",MATCH($M37,บันทึกรายเที่ยว!$R$6:$R$10005,0))</f>
        <v/>
      </c>
      <c r="O37" t="str">
        <f>IF($J37="","",MATCH($L37,บันทึกรายเที่ยว!$S$6:$S$10005,0))</f>
        <v/>
      </c>
      <c r="P37" t="str">
        <f>IF($J37="","",IF(AND(OR($I$3="(ทั้งหมด)",INDEX(บันทึกรายเที่ยว!$C$6:$C$10005,$J37)=$I$3),OR($I$5="(ทั้งหมด)",INDEX(บันทึกรายเที่ยว!$D$6:$D$10005,$J37)=$I$5),OR($I$7="(ทั้งหมด)",INDEX(บันทึกรายเที่ยว!$F$6:$F$10005,$J37)=$I$7)),$N37*10000000+$O37*1000+30,""))</f>
        <v/>
      </c>
      <c r="Q37" t="str">
        <f>IFERROR(MATCH(SMALL($P$8:$P$407,30),$P$8:$P$407,0),"")</f>
        <v/>
      </c>
      <c r="R37" t="str">
        <f t="shared" si="7"/>
        <v/>
      </c>
      <c r="S37" t="str">
        <f t="shared" si="8"/>
        <v/>
      </c>
      <c r="T37" t="str">
        <f t="shared" si="9"/>
        <v/>
      </c>
      <c r="U37" t="str">
        <f t="shared" si="10"/>
        <v/>
      </c>
      <c r="V37">
        <f t="shared" si="12"/>
        <v>0</v>
      </c>
      <c r="W37">
        <f t="shared" si="13"/>
        <v>0</v>
      </c>
      <c r="X37">
        <f>IF($Q37="",99999+30,$X36+1+$V36+$W36)</f>
        <v>100029</v>
      </c>
      <c r="Y37" t="str">
        <f>IF($Q37="","",INDEX(บันทึกรายเที่ยว!$Q$6:$Q$10005,$R37))</f>
        <v/>
      </c>
      <c r="Z37" t="str">
        <f>IF($Q37="","",INDEX(บันทึกรายเที่ยว!$F$6:$F$10005,$R37))</f>
        <v/>
      </c>
      <c r="AA37" t="str">
        <f>IFERROR(MATCH(30,$X$8:$X$407,1),"")</f>
        <v/>
      </c>
      <c r="AB37" t="str">
        <f>IF(30=$AD$1+1,"G",IF($AA37="","",IF(INDEX($Q$8:$Q$407,$AA37)="","",IF(30&gt;INDEX($X$8:$X$407,$AA37)+INDEX($V$8:$V$407,$AA37)+INDEX($W$8:$W$407,$AA37),"",IF(30=INDEX($X$8:$X$407,$AA37)+INDEX($V$8:$V$407,$AA37)+INDEX($W$8:$W$407,$AA37),"D",IF(AND(INDEX($W$8:$W$407,$AA37)=1,30=INDEX($X$8:$X$407,$AA37)+INDEX($V$8:$V$407,$AA37)),"S","R"))))))</f>
        <v/>
      </c>
      <c r="AC37" t="str">
        <f t="shared" si="11"/>
        <v/>
      </c>
      <c r="AE37">
        <f>IF($U37="",0,COUNTIF(บันทึกรายเที่ยว!$T$6:$T$10005,$U37))</f>
        <v>0</v>
      </c>
      <c r="AF37">
        <f>IF($U37="",0,ROUND(SUMIF(บันทึกรายเที่ยว!$T$6:$T$10005,$U37,บันทึกรายเที่ยว!$J$6:$J$10005),2))</f>
        <v>0</v>
      </c>
      <c r="AG37">
        <f>IF($U37="",0,ROUND(SUMIF(บันทึกรายเที่ยว!$T$6:$T$10005,$U37,บันทึกรายเที่ยว!$K$6:$K$10005),2))</f>
        <v>0</v>
      </c>
      <c r="AH37">
        <f>IF($U37="",0,ROUND(SUMIF(บันทึกรายเที่ยว!$T$6:$T$10005,$U37,บันทึกรายเที่ยว!$M$6:$M$10005),2))</f>
        <v>0</v>
      </c>
    </row>
    <row r="38" spans="1:34" ht="21" customHeight="1" x14ac:dyDescent="0.95">
      <c r="A38" s="3" t="str">
        <f t="shared" si="0"/>
        <v/>
      </c>
      <c r="B38" s="3" t="str">
        <f t="shared" si="1"/>
        <v/>
      </c>
      <c r="C38" s="8" t="str">
        <f t="shared" si="2"/>
        <v/>
      </c>
      <c r="D38" s="31" t="str">
        <f t="shared" si="3"/>
        <v/>
      </c>
      <c r="E38" s="32" t="str">
        <f>IF(31=$AD$1+3,"ขอแสดงความนับถือ",IF(31=$AD$1+6,"(                 )",IF(31=$AD$1+7,"เจ้าหน้าที่ขนส่ง",IF($AB38="G",SUM($AF$8:$AF$407),IF(OR($AB38="",$AB38="R"),"",IF($AB38="D",INDEX($AF$8:$AF$407,$AA38),SUMIF($T$8:$T$407,INDEX($T$8:$T$407,$AA38),$AF$8:$AF$407)))))))</f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J38" t="str">
        <f>IFERROR(MATCH(31,บันทึกรายเที่ยว!$W$6:$W$10005,0),"")</f>
        <v/>
      </c>
      <c r="K38" t="str">
        <f>IF($J38="","",INDEX(บันทึกรายเที่ยว!$T$6:$T$10005,$J38))</f>
        <v/>
      </c>
      <c r="L38" t="str">
        <f>IF($J38="","",INDEX(บันทึกรายเที่ยว!$S$6:$S$10005,$J38))</f>
        <v/>
      </c>
      <c r="M38" t="str">
        <f>IF($J38="","",INDEX(บันทึกรายเที่ยว!$R$6:$R$10005,$J38))</f>
        <v/>
      </c>
      <c r="N38" t="str">
        <f>IF($J38="","",MATCH($M38,บันทึกรายเที่ยว!$R$6:$R$10005,0))</f>
        <v/>
      </c>
      <c r="O38" t="str">
        <f>IF($J38="","",MATCH($L38,บันทึกรายเที่ยว!$S$6:$S$10005,0))</f>
        <v/>
      </c>
      <c r="P38" t="str">
        <f>IF($J38="","",IF(AND(OR($I$3="(ทั้งหมด)",INDEX(บันทึกรายเที่ยว!$C$6:$C$10005,$J38)=$I$3),OR($I$5="(ทั้งหมด)",INDEX(บันทึกรายเที่ยว!$D$6:$D$10005,$J38)=$I$5),OR($I$7="(ทั้งหมด)",INDEX(บันทึกรายเที่ยว!$F$6:$F$10005,$J38)=$I$7)),$N38*10000000+$O38*1000+31,""))</f>
        <v/>
      </c>
      <c r="Q38" t="str">
        <f>IFERROR(MATCH(SMALL($P$8:$P$407,31),$P$8:$P$407,0),"")</f>
        <v/>
      </c>
      <c r="R38" t="str">
        <f t="shared" si="7"/>
        <v/>
      </c>
      <c r="S38" t="str">
        <f t="shared" si="8"/>
        <v/>
      </c>
      <c r="T38" t="str">
        <f t="shared" si="9"/>
        <v/>
      </c>
      <c r="U38" t="str">
        <f t="shared" si="10"/>
        <v/>
      </c>
      <c r="V38">
        <f t="shared" si="12"/>
        <v>0</v>
      </c>
      <c r="W38">
        <f t="shared" si="13"/>
        <v>0</v>
      </c>
      <c r="X38">
        <f>IF($Q38="",99999+31,$X37+1+$V37+$W37)</f>
        <v>100030</v>
      </c>
      <c r="Y38" t="str">
        <f>IF($Q38="","",INDEX(บันทึกรายเที่ยว!$Q$6:$Q$10005,$R38))</f>
        <v/>
      </c>
      <c r="Z38" t="str">
        <f>IF($Q38="","",INDEX(บันทึกรายเที่ยว!$F$6:$F$10005,$R38))</f>
        <v/>
      </c>
      <c r="AA38" t="str">
        <f>IFERROR(MATCH(31,$X$8:$X$407,1),"")</f>
        <v/>
      </c>
      <c r="AB38" t="str">
        <f>IF(31=$AD$1+1,"G",IF($AA38="","",IF(INDEX($Q$8:$Q$407,$AA38)="","",IF(31&gt;INDEX($X$8:$X$407,$AA38)+INDEX($V$8:$V$407,$AA38)+INDEX($W$8:$W$407,$AA38),"",IF(31=INDEX($X$8:$X$407,$AA38)+INDEX($V$8:$V$407,$AA38)+INDEX($W$8:$W$407,$AA38),"D",IF(AND(INDEX($W$8:$W$407,$AA38)=1,31=INDEX($X$8:$X$407,$AA38)+INDEX($V$8:$V$407,$AA38)),"S","R"))))))</f>
        <v/>
      </c>
      <c r="AC38" t="str">
        <f t="shared" si="11"/>
        <v/>
      </c>
      <c r="AE38">
        <f>IF($U38="",0,COUNTIF(บันทึกรายเที่ยว!$T$6:$T$10005,$U38))</f>
        <v>0</v>
      </c>
      <c r="AF38">
        <f>IF($U38="",0,ROUND(SUMIF(บันทึกรายเที่ยว!$T$6:$T$10005,$U38,บันทึกรายเที่ยว!$J$6:$J$10005),2))</f>
        <v>0</v>
      </c>
      <c r="AG38">
        <f>IF($U38="",0,ROUND(SUMIF(บันทึกรายเที่ยว!$T$6:$T$10005,$U38,บันทึกรายเที่ยว!$K$6:$K$10005),2))</f>
        <v>0</v>
      </c>
      <c r="AH38">
        <f>IF($U38="",0,ROUND(SUMIF(บันทึกรายเที่ยว!$T$6:$T$10005,$U38,บันทึกรายเที่ยว!$M$6:$M$10005),2))</f>
        <v>0</v>
      </c>
    </row>
    <row r="39" spans="1:34" ht="21" customHeight="1" x14ac:dyDescent="0.95">
      <c r="A39" s="3" t="str">
        <f t="shared" si="0"/>
        <v/>
      </c>
      <c r="B39" s="3" t="str">
        <f t="shared" si="1"/>
        <v/>
      </c>
      <c r="C39" s="8" t="str">
        <f t="shared" si="2"/>
        <v/>
      </c>
      <c r="D39" s="31" t="str">
        <f t="shared" si="3"/>
        <v/>
      </c>
      <c r="E39" s="32" t="str">
        <f>IF(32=$AD$1+3,"ขอแสดงความนับถือ",IF(32=$AD$1+6,"(                 )",IF(32=$AD$1+7,"เจ้าหน้าที่ขนส่ง",IF($AB39="G",SUM($AF$8:$AF$407),IF(OR($AB39="",$AB39="R"),"",IF($AB39="D",INDEX($AF$8:$AF$407,$AA39),SUMIF($T$8:$T$407,INDEX($T$8:$T$407,$AA39),$AF$8:$AF$407)))))))</f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J39" t="str">
        <f>IFERROR(MATCH(32,บันทึกรายเที่ยว!$W$6:$W$10005,0),"")</f>
        <v/>
      </c>
      <c r="K39" t="str">
        <f>IF($J39="","",INDEX(บันทึกรายเที่ยว!$T$6:$T$10005,$J39))</f>
        <v/>
      </c>
      <c r="L39" t="str">
        <f>IF($J39="","",INDEX(บันทึกรายเที่ยว!$S$6:$S$10005,$J39))</f>
        <v/>
      </c>
      <c r="M39" t="str">
        <f>IF($J39="","",INDEX(บันทึกรายเที่ยว!$R$6:$R$10005,$J39))</f>
        <v/>
      </c>
      <c r="N39" t="str">
        <f>IF($J39="","",MATCH($M39,บันทึกรายเที่ยว!$R$6:$R$10005,0))</f>
        <v/>
      </c>
      <c r="O39" t="str">
        <f>IF($J39="","",MATCH($L39,บันทึกรายเที่ยว!$S$6:$S$10005,0))</f>
        <v/>
      </c>
      <c r="P39" t="str">
        <f>IF($J39="","",IF(AND(OR($I$3="(ทั้งหมด)",INDEX(บันทึกรายเที่ยว!$C$6:$C$10005,$J39)=$I$3),OR($I$5="(ทั้งหมด)",INDEX(บันทึกรายเที่ยว!$D$6:$D$10005,$J39)=$I$5),OR($I$7="(ทั้งหมด)",INDEX(บันทึกรายเที่ยว!$F$6:$F$10005,$J39)=$I$7)),$N39*10000000+$O39*1000+32,""))</f>
        <v/>
      </c>
      <c r="Q39" t="str">
        <f>IFERROR(MATCH(SMALL($P$8:$P$407,32),$P$8:$P$407,0),"")</f>
        <v/>
      </c>
      <c r="R39" t="str">
        <f t="shared" si="7"/>
        <v/>
      </c>
      <c r="S39" t="str">
        <f t="shared" si="8"/>
        <v/>
      </c>
      <c r="T39" t="str">
        <f t="shared" si="9"/>
        <v/>
      </c>
      <c r="U39" t="str">
        <f t="shared" si="10"/>
        <v/>
      </c>
      <c r="V39">
        <f t="shared" si="12"/>
        <v>0</v>
      </c>
      <c r="W39">
        <f t="shared" si="13"/>
        <v>0</v>
      </c>
      <c r="X39">
        <f>IF($Q39="",99999+32,$X38+1+$V38+$W38)</f>
        <v>100031</v>
      </c>
      <c r="Y39" t="str">
        <f>IF($Q39="","",INDEX(บันทึกรายเที่ยว!$Q$6:$Q$10005,$R39))</f>
        <v/>
      </c>
      <c r="Z39" t="str">
        <f>IF($Q39="","",INDEX(บันทึกรายเที่ยว!$F$6:$F$10005,$R39))</f>
        <v/>
      </c>
      <c r="AA39" t="str">
        <f>IFERROR(MATCH(32,$X$8:$X$407,1),"")</f>
        <v/>
      </c>
      <c r="AB39" t="str">
        <f>IF(32=$AD$1+1,"G",IF($AA39="","",IF(INDEX($Q$8:$Q$407,$AA39)="","",IF(32&gt;INDEX($X$8:$X$407,$AA39)+INDEX($V$8:$V$407,$AA39)+INDEX($W$8:$W$407,$AA39),"",IF(32=INDEX($X$8:$X$407,$AA39)+INDEX($V$8:$V$407,$AA39)+INDEX($W$8:$W$407,$AA39),"D",IF(AND(INDEX($W$8:$W$407,$AA39)=1,32=INDEX($X$8:$X$407,$AA39)+INDEX($V$8:$V$407,$AA39)),"S","R"))))))</f>
        <v/>
      </c>
      <c r="AC39" t="str">
        <f t="shared" si="11"/>
        <v/>
      </c>
      <c r="AE39">
        <f>IF($U39="",0,COUNTIF(บันทึกรายเที่ยว!$T$6:$T$10005,$U39))</f>
        <v>0</v>
      </c>
      <c r="AF39">
        <f>IF($U39="",0,ROUND(SUMIF(บันทึกรายเที่ยว!$T$6:$T$10005,$U39,บันทึกรายเที่ยว!$J$6:$J$10005),2))</f>
        <v>0</v>
      </c>
      <c r="AG39">
        <f>IF($U39="",0,ROUND(SUMIF(บันทึกรายเที่ยว!$T$6:$T$10005,$U39,บันทึกรายเที่ยว!$K$6:$K$10005),2))</f>
        <v>0</v>
      </c>
      <c r="AH39">
        <f>IF($U39="",0,ROUND(SUMIF(บันทึกรายเที่ยว!$T$6:$T$10005,$U39,บันทึกรายเที่ยว!$M$6:$M$10005),2))</f>
        <v>0</v>
      </c>
    </row>
    <row r="40" spans="1:34" ht="21" customHeight="1" x14ac:dyDescent="0.95">
      <c r="A40" s="3" t="str">
        <f t="shared" si="0"/>
        <v/>
      </c>
      <c r="B40" s="3" t="str">
        <f t="shared" si="1"/>
        <v/>
      </c>
      <c r="C40" s="8" t="str">
        <f t="shared" si="2"/>
        <v/>
      </c>
      <c r="D40" s="31" t="str">
        <f t="shared" si="3"/>
        <v/>
      </c>
      <c r="E40" s="32" t="str">
        <f>IF(33=$AD$1+3,"ขอแสดงความนับถือ",IF(33=$AD$1+6,"(                 )",IF(33=$AD$1+7,"เจ้าหน้าที่ขนส่ง",IF($AB40="G",SUM($AF$8:$AF$407),IF(OR($AB40="",$AB40="R"),"",IF($AB40="D",INDEX($AF$8:$AF$407,$AA40),SUMIF($T$8:$T$407,INDEX($T$8:$T$407,$AA40),$AF$8:$AF$407)))))))</f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J40" t="str">
        <f>IFERROR(MATCH(33,บันทึกรายเที่ยว!$W$6:$W$10005,0),"")</f>
        <v/>
      </c>
      <c r="K40" t="str">
        <f>IF($J40="","",INDEX(บันทึกรายเที่ยว!$T$6:$T$10005,$J40))</f>
        <v/>
      </c>
      <c r="L40" t="str">
        <f>IF($J40="","",INDEX(บันทึกรายเที่ยว!$S$6:$S$10005,$J40))</f>
        <v/>
      </c>
      <c r="M40" t="str">
        <f>IF($J40="","",INDEX(บันทึกรายเที่ยว!$R$6:$R$10005,$J40))</f>
        <v/>
      </c>
      <c r="N40" t="str">
        <f>IF($J40="","",MATCH($M40,บันทึกรายเที่ยว!$R$6:$R$10005,0))</f>
        <v/>
      </c>
      <c r="O40" t="str">
        <f>IF($J40="","",MATCH($L40,บันทึกรายเที่ยว!$S$6:$S$10005,0))</f>
        <v/>
      </c>
      <c r="P40" t="str">
        <f>IF($J40="","",IF(AND(OR($I$3="(ทั้งหมด)",INDEX(บันทึกรายเที่ยว!$C$6:$C$10005,$J40)=$I$3),OR($I$5="(ทั้งหมด)",INDEX(บันทึกรายเที่ยว!$D$6:$D$10005,$J40)=$I$5),OR($I$7="(ทั้งหมด)",INDEX(บันทึกรายเที่ยว!$F$6:$F$10005,$J40)=$I$7)),$N40*10000000+$O40*1000+33,""))</f>
        <v/>
      </c>
      <c r="Q40" t="str">
        <f>IFERROR(MATCH(SMALL($P$8:$P$407,33),$P$8:$P$407,0),"")</f>
        <v/>
      </c>
      <c r="R40" t="str">
        <f t="shared" si="7"/>
        <v/>
      </c>
      <c r="S40" t="str">
        <f t="shared" si="8"/>
        <v/>
      </c>
      <c r="T40" t="str">
        <f t="shared" si="9"/>
        <v/>
      </c>
      <c r="U40" t="str">
        <f t="shared" si="10"/>
        <v/>
      </c>
      <c r="V40">
        <f t="shared" si="12"/>
        <v>0</v>
      </c>
      <c r="W40">
        <f t="shared" si="13"/>
        <v>0</v>
      </c>
      <c r="X40">
        <f>IF($Q40="",99999+33,$X39+1+$V39+$W39)</f>
        <v>100032</v>
      </c>
      <c r="Y40" t="str">
        <f>IF($Q40="","",INDEX(บันทึกรายเที่ยว!$Q$6:$Q$10005,$R40))</f>
        <v/>
      </c>
      <c r="Z40" t="str">
        <f>IF($Q40="","",INDEX(บันทึกรายเที่ยว!$F$6:$F$10005,$R40))</f>
        <v/>
      </c>
      <c r="AA40" t="str">
        <f>IFERROR(MATCH(33,$X$8:$X$407,1),"")</f>
        <v/>
      </c>
      <c r="AB40" t="str">
        <f>IF(33=$AD$1+1,"G",IF($AA40="","",IF(INDEX($Q$8:$Q$407,$AA40)="","",IF(33&gt;INDEX($X$8:$X$407,$AA40)+INDEX($V$8:$V$407,$AA40)+INDEX($W$8:$W$407,$AA40),"",IF(33=INDEX($X$8:$X$407,$AA40)+INDEX($V$8:$V$407,$AA40)+INDEX($W$8:$W$407,$AA40),"D",IF(AND(INDEX($W$8:$W$407,$AA40)=1,33=INDEX($X$8:$X$407,$AA40)+INDEX($V$8:$V$407,$AA40)),"S","R"))))))</f>
        <v/>
      </c>
      <c r="AC40" t="str">
        <f t="shared" si="11"/>
        <v/>
      </c>
      <c r="AE40">
        <f>IF($U40="",0,COUNTIF(บันทึกรายเที่ยว!$T$6:$T$10005,$U40))</f>
        <v>0</v>
      </c>
      <c r="AF40">
        <f>IF($U40="",0,ROUND(SUMIF(บันทึกรายเที่ยว!$T$6:$T$10005,$U40,บันทึกรายเที่ยว!$J$6:$J$10005),2))</f>
        <v>0</v>
      </c>
      <c r="AG40">
        <f>IF($U40="",0,ROUND(SUMIF(บันทึกรายเที่ยว!$T$6:$T$10005,$U40,บันทึกรายเที่ยว!$K$6:$K$10005),2))</f>
        <v>0</v>
      </c>
      <c r="AH40">
        <f>IF($U40="",0,ROUND(SUMIF(บันทึกรายเที่ยว!$T$6:$T$10005,$U40,บันทึกรายเที่ยว!$M$6:$M$10005),2))</f>
        <v>0</v>
      </c>
    </row>
    <row r="41" spans="1:34" ht="21" customHeight="1" x14ac:dyDescent="0.95">
      <c r="A41" s="3" t="str">
        <f t="shared" si="0"/>
        <v/>
      </c>
      <c r="B41" s="3" t="str">
        <f t="shared" si="1"/>
        <v/>
      </c>
      <c r="C41" s="8" t="str">
        <f t="shared" si="2"/>
        <v/>
      </c>
      <c r="D41" s="31" t="str">
        <f t="shared" si="3"/>
        <v/>
      </c>
      <c r="E41" s="32" t="str">
        <f>IF(34=$AD$1+3,"ขอแสดงความนับถือ",IF(34=$AD$1+6,"(                 )",IF(34=$AD$1+7,"เจ้าหน้าที่ขนส่ง",IF($AB41="G",SUM($AF$8:$AF$407),IF(OR($AB41="",$AB41="R"),"",IF($AB41="D",INDEX($AF$8:$AF$407,$AA41),SUMIF($T$8:$T$407,INDEX($T$8:$T$407,$AA41),$AF$8:$AF$407)))))))</f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J41" t="str">
        <f>IFERROR(MATCH(34,บันทึกรายเที่ยว!$W$6:$W$10005,0),"")</f>
        <v/>
      </c>
      <c r="K41" t="str">
        <f>IF($J41="","",INDEX(บันทึกรายเที่ยว!$T$6:$T$10005,$J41))</f>
        <v/>
      </c>
      <c r="L41" t="str">
        <f>IF($J41="","",INDEX(บันทึกรายเที่ยว!$S$6:$S$10005,$J41))</f>
        <v/>
      </c>
      <c r="M41" t="str">
        <f>IF($J41="","",INDEX(บันทึกรายเที่ยว!$R$6:$R$10005,$J41))</f>
        <v/>
      </c>
      <c r="N41" t="str">
        <f>IF($J41="","",MATCH($M41,บันทึกรายเที่ยว!$R$6:$R$10005,0))</f>
        <v/>
      </c>
      <c r="O41" t="str">
        <f>IF($J41="","",MATCH($L41,บันทึกรายเที่ยว!$S$6:$S$10005,0))</f>
        <v/>
      </c>
      <c r="P41" t="str">
        <f>IF($J41="","",IF(AND(OR($I$3="(ทั้งหมด)",INDEX(บันทึกรายเที่ยว!$C$6:$C$10005,$J41)=$I$3),OR($I$5="(ทั้งหมด)",INDEX(บันทึกรายเที่ยว!$D$6:$D$10005,$J41)=$I$5),OR($I$7="(ทั้งหมด)",INDEX(บันทึกรายเที่ยว!$F$6:$F$10005,$J41)=$I$7)),$N41*10000000+$O41*1000+34,""))</f>
        <v/>
      </c>
      <c r="Q41" t="str">
        <f>IFERROR(MATCH(SMALL($P$8:$P$407,34),$P$8:$P$407,0),"")</f>
        <v/>
      </c>
      <c r="R41" t="str">
        <f t="shared" si="7"/>
        <v/>
      </c>
      <c r="S41" t="str">
        <f t="shared" si="8"/>
        <v/>
      </c>
      <c r="T41" t="str">
        <f t="shared" si="9"/>
        <v/>
      </c>
      <c r="U41" t="str">
        <f t="shared" si="10"/>
        <v/>
      </c>
      <c r="V41">
        <f t="shared" si="12"/>
        <v>0</v>
      </c>
      <c r="W41">
        <f t="shared" si="13"/>
        <v>0</v>
      </c>
      <c r="X41">
        <f>IF($Q41="",99999+34,$X40+1+$V40+$W40)</f>
        <v>100033</v>
      </c>
      <c r="Y41" t="str">
        <f>IF($Q41="","",INDEX(บันทึกรายเที่ยว!$Q$6:$Q$10005,$R41))</f>
        <v/>
      </c>
      <c r="Z41" t="str">
        <f>IF($Q41="","",INDEX(บันทึกรายเที่ยว!$F$6:$F$10005,$R41))</f>
        <v/>
      </c>
      <c r="AA41" t="str">
        <f>IFERROR(MATCH(34,$X$8:$X$407,1),"")</f>
        <v/>
      </c>
      <c r="AB41" t="str">
        <f>IF(34=$AD$1+1,"G",IF($AA41="","",IF(INDEX($Q$8:$Q$407,$AA41)="","",IF(34&gt;INDEX($X$8:$X$407,$AA41)+INDEX($V$8:$V$407,$AA41)+INDEX($W$8:$W$407,$AA41),"",IF(34=INDEX($X$8:$X$407,$AA41)+INDEX($V$8:$V$407,$AA41)+INDEX($W$8:$W$407,$AA41),"D",IF(AND(INDEX($W$8:$W$407,$AA41)=1,34=INDEX($X$8:$X$407,$AA41)+INDEX($V$8:$V$407,$AA41)),"S","R"))))))</f>
        <v/>
      </c>
      <c r="AC41" t="str">
        <f t="shared" si="11"/>
        <v/>
      </c>
      <c r="AE41">
        <f>IF($U41="",0,COUNTIF(บันทึกรายเที่ยว!$T$6:$T$10005,$U41))</f>
        <v>0</v>
      </c>
      <c r="AF41">
        <f>IF($U41="",0,ROUND(SUMIF(บันทึกรายเที่ยว!$T$6:$T$10005,$U41,บันทึกรายเที่ยว!$J$6:$J$10005),2))</f>
        <v>0</v>
      </c>
      <c r="AG41">
        <f>IF($U41="",0,ROUND(SUMIF(บันทึกรายเที่ยว!$T$6:$T$10005,$U41,บันทึกรายเที่ยว!$K$6:$K$10005),2))</f>
        <v>0</v>
      </c>
      <c r="AH41">
        <f>IF($U41="",0,ROUND(SUMIF(บันทึกรายเที่ยว!$T$6:$T$10005,$U41,บันทึกรายเที่ยว!$M$6:$M$10005),2))</f>
        <v>0</v>
      </c>
    </row>
    <row r="42" spans="1:34" ht="21" customHeight="1" x14ac:dyDescent="0.95">
      <c r="A42" s="3" t="str">
        <f t="shared" si="0"/>
        <v/>
      </c>
      <c r="B42" s="3" t="str">
        <f t="shared" si="1"/>
        <v/>
      </c>
      <c r="C42" s="8" t="str">
        <f t="shared" si="2"/>
        <v/>
      </c>
      <c r="D42" s="31" t="str">
        <f t="shared" si="3"/>
        <v/>
      </c>
      <c r="E42" s="32" t="str">
        <f>IF(35=$AD$1+3,"ขอแสดงความนับถือ",IF(35=$AD$1+6,"(                 )",IF(35=$AD$1+7,"เจ้าหน้าที่ขนส่ง",IF($AB42="G",SUM($AF$8:$AF$407),IF(OR($AB42="",$AB42="R"),"",IF($AB42="D",INDEX($AF$8:$AF$407,$AA42),SUMIF($T$8:$T$407,INDEX($T$8:$T$407,$AA42),$AF$8:$AF$407)))))))</f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J42" t="str">
        <f>IFERROR(MATCH(35,บันทึกรายเที่ยว!$W$6:$W$10005,0),"")</f>
        <v/>
      </c>
      <c r="K42" t="str">
        <f>IF($J42="","",INDEX(บันทึกรายเที่ยว!$T$6:$T$10005,$J42))</f>
        <v/>
      </c>
      <c r="L42" t="str">
        <f>IF($J42="","",INDEX(บันทึกรายเที่ยว!$S$6:$S$10005,$J42))</f>
        <v/>
      </c>
      <c r="M42" t="str">
        <f>IF($J42="","",INDEX(บันทึกรายเที่ยว!$R$6:$R$10005,$J42))</f>
        <v/>
      </c>
      <c r="N42" t="str">
        <f>IF($J42="","",MATCH($M42,บันทึกรายเที่ยว!$R$6:$R$10005,0))</f>
        <v/>
      </c>
      <c r="O42" t="str">
        <f>IF($J42="","",MATCH($L42,บันทึกรายเที่ยว!$S$6:$S$10005,0))</f>
        <v/>
      </c>
      <c r="P42" t="str">
        <f>IF($J42="","",IF(AND(OR($I$3="(ทั้งหมด)",INDEX(บันทึกรายเที่ยว!$C$6:$C$10005,$J42)=$I$3),OR($I$5="(ทั้งหมด)",INDEX(บันทึกรายเที่ยว!$D$6:$D$10005,$J42)=$I$5),OR($I$7="(ทั้งหมด)",INDEX(บันทึกรายเที่ยว!$F$6:$F$10005,$J42)=$I$7)),$N42*10000000+$O42*1000+35,""))</f>
        <v/>
      </c>
      <c r="Q42" t="str">
        <f>IFERROR(MATCH(SMALL($P$8:$P$407,35),$P$8:$P$407,0),"")</f>
        <v/>
      </c>
      <c r="R42" t="str">
        <f t="shared" si="7"/>
        <v/>
      </c>
      <c r="S42" t="str">
        <f t="shared" si="8"/>
        <v/>
      </c>
      <c r="T42" t="str">
        <f t="shared" si="9"/>
        <v/>
      </c>
      <c r="U42" t="str">
        <f t="shared" si="10"/>
        <v/>
      </c>
      <c r="V42">
        <f t="shared" si="12"/>
        <v>0</v>
      </c>
      <c r="W42">
        <f t="shared" si="13"/>
        <v>0</v>
      </c>
      <c r="X42">
        <f>IF($Q42="",99999+35,$X41+1+$V41+$W41)</f>
        <v>100034</v>
      </c>
      <c r="Y42" t="str">
        <f>IF($Q42="","",INDEX(บันทึกรายเที่ยว!$Q$6:$Q$10005,$R42))</f>
        <v/>
      </c>
      <c r="Z42" t="str">
        <f>IF($Q42="","",INDEX(บันทึกรายเที่ยว!$F$6:$F$10005,$R42))</f>
        <v/>
      </c>
      <c r="AA42" t="str">
        <f>IFERROR(MATCH(35,$X$8:$X$407,1),"")</f>
        <v/>
      </c>
      <c r="AB42" t="str">
        <f>IF(35=$AD$1+1,"G",IF($AA42="","",IF(INDEX($Q$8:$Q$407,$AA42)="","",IF(35&gt;INDEX($X$8:$X$407,$AA42)+INDEX($V$8:$V$407,$AA42)+INDEX($W$8:$W$407,$AA42),"",IF(35=INDEX($X$8:$X$407,$AA42)+INDEX($V$8:$V$407,$AA42)+INDEX($W$8:$W$407,$AA42),"D",IF(AND(INDEX($W$8:$W$407,$AA42)=1,35=INDEX($X$8:$X$407,$AA42)+INDEX($V$8:$V$407,$AA42)),"S","R"))))))</f>
        <v/>
      </c>
      <c r="AC42" t="str">
        <f t="shared" si="11"/>
        <v/>
      </c>
      <c r="AE42">
        <f>IF($U42="",0,COUNTIF(บันทึกรายเที่ยว!$T$6:$T$10005,$U42))</f>
        <v>0</v>
      </c>
      <c r="AF42">
        <f>IF($U42="",0,ROUND(SUMIF(บันทึกรายเที่ยว!$T$6:$T$10005,$U42,บันทึกรายเที่ยว!$J$6:$J$10005),2))</f>
        <v>0</v>
      </c>
      <c r="AG42">
        <f>IF($U42="",0,ROUND(SUMIF(บันทึกรายเที่ยว!$T$6:$T$10005,$U42,บันทึกรายเที่ยว!$K$6:$K$10005),2))</f>
        <v>0</v>
      </c>
      <c r="AH42">
        <f>IF($U42="",0,ROUND(SUMIF(บันทึกรายเที่ยว!$T$6:$T$10005,$U42,บันทึกรายเที่ยว!$M$6:$M$10005),2))</f>
        <v>0</v>
      </c>
    </row>
    <row r="43" spans="1:34" ht="21" customHeight="1" x14ac:dyDescent="0.95">
      <c r="A43" s="3" t="str">
        <f t="shared" si="0"/>
        <v/>
      </c>
      <c r="B43" s="3" t="str">
        <f t="shared" si="1"/>
        <v/>
      </c>
      <c r="C43" s="8" t="str">
        <f t="shared" si="2"/>
        <v/>
      </c>
      <c r="D43" s="31" t="str">
        <f t="shared" si="3"/>
        <v/>
      </c>
      <c r="E43" s="32" t="str">
        <f>IF(36=$AD$1+3,"ขอแสดงความนับถือ",IF(36=$AD$1+6,"(                 )",IF(36=$AD$1+7,"เจ้าหน้าที่ขนส่ง",IF($AB43="G",SUM($AF$8:$AF$407),IF(OR($AB43="",$AB43="R"),"",IF($AB43="D",INDEX($AF$8:$AF$407,$AA43),SUMIF($T$8:$T$407,INDEX($T$8:$T$407,$AA43),$AF$8:$AF$407)))))))</f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J43" t="str">
        <f>IFERROR(MATCH(36,บันทึกรายเที่ยว!$W$6:$W$10005,0),"")</f>
        <v/>
      </c>
      <c r="K43" t="str">
        <f>IF($J43="","",INDEX(บันทึกรายเที่ยว!$T$6:$T$10005,$J43))</f>
        <v/>
      </c>
      <c r="L43" t="str">
        <f>IF($J43="","",INDEX(บันทึกรายเที่ยว!$S$6:$S$10005,$J43))</f>
        <v/>
      </c>
      <c r="M43" t="str">
        <f>IF($J43="","",INDEX(บันทึกรายเที่ยว!$R$6:$R$10005,$J43))</f>
        <v/>
      </c>
      <c r="N43" t="str">
        <f>IF($J43="","",MATCH($M43,บันทึกรายเที่ยว!$R$6:$R$10005,0))</f>
        <v/>
      </c>
      <c r="O43" t="str">
        <f>IF($J43="","",MATCH($L43,บันทึกรายเที่ยว!$S$6:$S$10005,0))</f>
        <v/>
      </c>
      <c r="P43" t="str">
        <f>IF($J43="","",IF(AND(OR($I$3="(ทั้งหมด)",INDEX(บันทึกรายเที่ยว!$C$6:$C$10005,$J43)=$I$3),OR($I$5="(ทั้งหมด)",INDEX(บันทึกรายเที่ยว!$D$6:$D$10005,$J43)=$I$5),OR($I$7="(ทั้งหมด)",INDEX(บันทึกรายเที่ยว!$F$6:$F$10005,$J43)=$I$7)),$N43*10000000+$O43*1000+36,""))</f>
        <v/>
      </c>
      <c r="Q43" t="str">
        <f>IFERROR(MATCH(SMALL($P$8:$P$407,36),$P$8:$P$407,0),"")</f>
        <v/>
      </c>
      <c r="R43" t="str">
        <f t="shared" si="7"/>
        <v/>
      </c>
      <c r="S43" t="str">
        <f t="shared" si="8"/>
        <v/>
      </c>
      <c r="T43" t="str">
        <f t="shared" si="9"/>
        <v/>
      </c>
      <c r="U43" t="str">
        <f t="shared" si="10"/>
        <v/>
      </c>
      <c r="V43">
        <f t="shared" si="12"/>
        <v>0</v>
      </c>
      <c r="W43">
        <f t="shared" si="13"/>
        <v>0</v>
      </c>
      <c r="X43">
        <f>IF($Q43="",99999+36,$X42+1+$V42+$W42)</f>
        <v>100035</v>
      </c>
      <c r="Y43" t="str">
        <f>IF($Q43="","",INDEX(บันทึกรายเที่ยว!$Q$6:$Q$10005,$R43))</f>
        <v/>
      </c>
      <c r="Z43" t="str">
        <f>IF($Q43="","",INDEX(บันทึกรายเที่ยว!$F$6:$F$10005,$R43))</f>
        <v/>
      </c>
      <c r="AA43" t="str">
        <f>IFERROR(MATCH(36,$X$8:$X$407,1),"")</f>
        <v/>
      </c>
      <c r="AB43" t="str">
        <f>IF(36=$AD$1+1,"G",IF($AA43="","",IF(INDEX($Q$8:$Q$407,$AA43)="","",IF(36&gt;INDEX($X$8:$X$407,$AA43)+INDEX($V$8:$V$407,$AA43)+INDEX($W$8:$W$407,$AA43),"",IF(36=INDEX($X$8:$X$407,$AA43)+INDEX($V$8:$V$407,$AA43)+INDEX($W$8:$W$407,$AA43),"D",IF(AND(INDEX($W$8:$W$407,$AA43)=1,36=INDEX($X$8:$X$407,$AA43)+INDEX($V$8:$V$407,$AA43)),"S","R"))))))</f>
        <v/>
      </c>
      <c r="AC43" t="str">
        <f t="shared" si="11"/>
        <v/>
      </c>
      <c r="AE43">
        <f>IF($U43="",0,COUNTIF(บันทึกรายเที่ยว!$T$6:$T$10005,$U43))</f>
        <v>0</v>
      </c>
      <c r="AF43">
        <f>IF($U43="",0,ROUND(SUMIF(บันทึกรายเที่ยว!$T$6:$T$10005,$U43,บันทึกรายเที่ยว!$J$6:$J$10005),2))</f>
        <v>0</v>
      </c>
      <c r="AG43">
        <f>IF($U43="",0,ROUND(SUMIF(บันทึกรายเที่ยว!$T$6:$T$10005,$U43,บันทึกรายเที่ยว!$K$6:$K$10005),2))</f>
        <v>0</v>
      </c>
      <c r="AH43">
        <f>IF($U43="",0,ROUND(SUMIF(บันทึกรายเที่ยว!$T$6:$T$10005,$U43,บันทึกรายเที่ยว!$M$6:$M$10005),2))</f>
        <v>0</v>
      </c>
    </row>
    <row r="44" spans="1:34" ht="21" customHeight="1" x14ac:dyDescent="0.95">
      <c r="A44" s="3" t="str">
        <f t="shared" si="0"/>
        <v/>
      </c>
      <c r="B44" s="3" t="str">
        <f t="shared" si="1"/>
        <v/>
      </c>
      <c r="C44" s="8" t="str">
        <f t="shared" si="2"/>
        <v/>
      </c>
      <c r="D44" s="31" t="str">
        <f t="shared" si="3"/>
        <v/>
      </c>
      <c r="E44" s="32" t="str">
        <f>IF(37=$AD$1+3,"ขอแสดงความนับถือ",IF(37=$AD$1+6,"(                 )",IF(37=$AD$1+7,"เจ้าหน้าที่ขนส่ง",IF($AB44="G",SUM($AF$8:$AF$407),IF(OR($AB44="",$AB44="R"),"",IF($AB44="D",INDEX($AF$8:$AF$407,$AA44),SUMIF($T$8:$T$407,INDEX($T$8:$T$407,$AA44),$AF$8:$AF$407)))))))</f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J44" t="str">
        <f>IFERROR(MATCH(37,บันทึกรายเที่ยว!$W$6:$W$10005,0),"")</f>
        <v/>
      </c>
      <c r="K44" t="str">
        <f>IF($J44="","",INDEX(บันทึกรายเที่ยว!$T$6:$T$10005,$J44))</f>
        <v/>
      </c>
      <c r="L44" t="str">
        <f>IF($J44="","",INDEX(บันทึกรายเที่ยว!$S$6:$S$10005,$J44))</f>
        <v/>
      </c>
      <c r="M44" t="str">
        <f>IF($J44="","",INDEX(บันทึกรายเที่ยว!$R$6:$R$10005,$J44))</f>
        <v/>
      </c>
      <c r="N44" t="str">
        <f>IF($J44="","",MATCH($M44,บันทึกรายเที่ยว!$R$6:$R$10005,0))</f>
        <v/>
      </c>
      <c r="O44" t="str">
        <f>IF($J44="","",MATCH($L44,บันทึกรายเที่ยว!$S$6:$S$10005,0))</f>
        <v/>
      </c>
      <c r="P44" t="str">
        <f>IF($J44="","",IF(AND(OR($I$3="(ทั้งหมด)",INDEX(บันทึกรายเที่ยว!$C$6:$C$10005,$J44)=$I$3),OR($I$5="(ทั้งหมด)",INDEX(บันทึกรายเที่ยว!$D$6:$D$10005,$J44)=$I$5),OR($I$7="(ทั้งหมด)",INDEX(บันทึกรายเที่ยว!$F$6:$F$10005,$J44)=$I$7)),$N44*10000000+$O44*1000+37,""))</f>
        <v/>
      </c>
      <c r="Q44" t="str">
        <f>IFERROR(MATCH(SMALL($P$8:$P$407,37),$P$8:$P$407,0),"")</f>
        <v/>
      </c>
      <c r="R44" t="str">
        <f t="shared" si="7"/>
        <v/>
      </c>
      <c r="S44" t="str">
        <f t="shared" si="8"/>
        <v/>
      </c>
      <c r="T44" t="str">
        <f t="shared" si="9"/>
        <v/>
      </c>
      <c r="U44" t="str">
        <f t="shared" si="10"/>
        <v/>
      </c>
      <c r="V44">
        <f t="shared" si="12"/>
        <v>0</v>
      </c>
      <c r="W44">
        <f t="shared" si="13"/>
        <v>0</v>
      </c>
      <c r="X44">
        <f>IF($Q44="",99999+37,$X43+1+$V43+$W43)</f>
        <v>100036</v>
      </c>
      <c r="Y44" t="str">
        <f>IF($Q44="","",INDEX(บันทึกรายเที่ยว!$Q$6:$Q$10005,$R44))</f>
        <v/>
      </c>
      <c r="Z44" t="str">
        <f>IF($Q44="","",INDEX(บันทึกรายเที่ยว!$F$6:$F$10005,$R44))</f>
        <v/>
      </c>
      <c r="AA44" t="str">
        <f>IFERROR(MATCH(37,$X$8:$X$407,1),"")</f>
        <v/>
      </c>
      <c r="AB44" t="str">
        <f>IF(37=$AD$1+1,"G",IF($AA44="","",IF(INDEX($Q$8:$Q$407,$AA44)="","",IF(37&gt;INDEX($X$8:$X$407,$AA44)+INDEX($V$8:$V$407,$AA44)+INDEX($W$8:$W$407,$AA44),"",IF(37=INDEX($X$8:$X$407,$AA44)+INDEX($V$8:$V$407,$AA44)+INDEX($W$8:$W$407,$AA44),"D",IF(AND(INDEX($W$8:$W$407,$AA44)=1,37=INDEX($X$8:$X$407,$AA44)+INDEX($V$8:$V$407,$AA44)),"S","R"))))))</f>
        <v/>
      </c>
      <c r="AC44" t="str">
        <f t="shared" si="11"/>
        <v/>
      </c>
      <c r="AE44">
        <f>IF($U44="",0,COUNTIF(บันทึกรายเที่ยว!$T$6:$T$10005,$U44))</f>
        <v>0</v>
      </c>
      <c r="AF44">
        <f>IF($U44="",0,ROUND(SUMIF(บันทึกรายเที่ยว!$T$6:$T$10005,$U44,บันทึกรายเที่ยว!$J$6:$J$10005),2))</f>
        <v>0</v>
      </c>
      <c r="AG44">
        <f>IF($U44="",0,ROUND(SUMIF(บันทึกรายเที่ยว!$T$6:$T$10005,$U44,บันทึกรายเที่ยว!$K$6:$K$10005),2))</f>
        <v>0</v>
      </c>
      <c r="AH44">
        <f>IF($U44="",0,ROUND(SUMIF(บันทึกรายเที่ยว!$T$6:$T$10005,$U44,บันทึกรายเที่ยว!$M$6:$M$10005),2))</f>
        <v>0</v>
      </c>
    </row>
    <row r="45" spans="1:34" ht="21" customHeight="1" x14ac:dyDescent="0.95">
      <c r="A45" s="3" t="str">
        <f t="shared" si="0"/>
        <v/>
      </c>
      <c r="B45" s="3" t="str">
        <f t="shared" si="1"/>
        <v/>
      </c>
      <c r="C45" s="8" t="str">
        <f t="shared" si="2"/>
        <v/>
      </c>
      <c r="D45" s="31" t="str">
        <f t="shared" si="3"/>
        <v/>
      </c>
      <c r="E45" s="32" t="str">
        <f>IF(38=$AD$1+3,"ขอแสดงความนับถือ",IF(38=$AD$1+6,"(                 )",IF(38=$AD$1+7,"เจ้าหน้าที่ขนส่ง",IF($AB45="G",SUM($AF$8:$AF$407),IF(OR($AB45="",$AB45="R"),"",IF($AB45="D",INDEX($AF$8:$AF$407,$AA45),SUMIF($T$8:$T$407,INDEX($T$8:$T$407,$AA45),$AF$8:$AF$407)))))))</f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J45" t="str">
        <f>IFERROR(MATCH(38,บันทึกรายเที่ยว!$W$6:$W$10005,0),"")</f>
        <v/>
      </c>
      <c r="K45" t="str">
        <f>IF($J45="","",INDEX(บันทึกรายเที่ยว!$T$6:$T$10005,$J45))</f>
        <v/>
      </c>
      <c r="L45" t="str">
        <f>IF($J45="","",INDEX(บันทึกรายเที่ยว!$S$6:$S$10005,$J45))</f>
        <v/>
      </c>
      <c r="M45" t="str">
        <f>IF($J45="","",INDEX(บันทึกรายเที่ยว!$R$6:$R$10005,$J45))</f>
        <v/>
      </c>
      <c r="N45" t="str">
        <f>IF($J45="","",MATCH($M45,บันทึกรายเที่ยว!$R$6:$R$10005,0))</f>
        <v/>
      </c>
      <c r="O45" t="str">
        <f>IF($J45="","",MATCH($L45,บันทึกรายเที่ยว!$S$6:$S$10005,0))</f>
        <v/>
      </c>
      <c r="P45" t="str">
        <f>IF($J45="","",IF(AND(OR($I$3="(ทั้งหมด)",INDEX(บันทึกรายเที่ยว!$C$6:$C$10005,$J45)=$I$3),OR($I$5="(ทั้งหมด)",INDEX(บันทึกรายเที่ยว!$D$6:$D$10005,$J45)=$I$5),OR($I$7="(ทั้งหมด)",INDEX(บันทึกรายเที่ยว!$F$6:$F$10005,$J45)=$I$7)),$N45*10000000+$O45*1000+38,""))</f>
        <v/>
      </c>
      <c r="Q45" t="str">
        <f>IFERROR(MATCH(SMALL($P$8:$P$407,38),$P$8:$P$407,0),"")</f>
        <v/>
      </c>
      <c r="R45" t="str">
        <f t="shared" si="7"/>
        <v/>
      </c>
      <c r="S45" t="str">
        <f t="shared" si="8"/>
        <v/>
      </c>
      <c r="T45" t="str">
        <f t="shared" si="9"/>
        <v/>
      </c>
      <c r="U45" t="str">
        <f t="shared" si="10"/>
        <v/>
      </c>
      <c r="V45">
        <f t="shared" si="12"/>
        <v>0</v>
      </c>
      <c r="W45">
        <f t="shared" si="13"/>
        <v>0</v>
      </c>
      <c r="X45">
        <f>IF($Q45="",99999+38,$X44+1+$V44+$W44)</f>
        <v>100037</v>
      </c>
      <c r="Y45" t="str">
        <f>IF($Q45="","",INDEX(บันทึกรายเที่ยว!$Q$6:$Q$10005,$R45))</f>
        <v/>
      </c>
      <c r="Z45" t="str">
        <f>IF($Q45="","",INDEX(บันทึกรายเที่ยว!$F$6:$F$10005,$R45))</f>
        <v/>
      </c>
      <c r="AA45" t="str">
        <f>IFERROR(MATCH(38,$X$8:$X$407,1),"")</f>
        <v/>
      </c>
      <c r="AB45" t="str">
        <f>IF(38=$AD$1+1,"G",IF($AA45="","",IF(INDEX($Q$8:$Q$407,$AA45)="","",IF(38&gt;INDEX($X$8:$X$407,$AA45)+INDEX($V$8:$V$407,$AA45)+INDEX($W$8:$W$407,$AA45),"",IF(38=INDEX($X$8:$X$407,$AA45)+INDEX($V$8:$V$407,$AA45)+INDEX($W$8:$W$407,$AA45),"D",IF(AND(INDEX($W$8:$W$407,$AA45)=1,38=INDEX($X$8:$X$407,$AA45)+INDEX($V$8:$V$407,$AA45)),"S","R"))))))</f>
        <v/>
      </c>
      <c r="AC45" t="str">
        <f t="shared" si="11"/>
        <v/>
      </c>
      <c r="AE45">
        <f>IF($U45="",0,COUNTIF(บันทึกรายเที่ยว!$T$6:$T$10005,$U45))</f>
        <v>0</v>
      </c>
      <c r="AF45">
        <f>IF($U45="",0,ROUND(SUMIF(บันทึกรายเที่ยว!$T$6:$T$10005,$U45,บันทึกรายเที่ยว!$J$6:$J$10005),2))</f>
        <v>0</v>
      </c>
      <c r="AG45">
        <f>IF($U45="",0,ROUND(SUMIF(บันทึกรายเที่ยว!$T$6:$T$10005,$U45,บันทึกรายเที่ยว!$K$6:$K$10005),2))</f>
        <v>0</v>
      </c>
      <c r="AH45">
        <f>IF($U45="",0,ROUND(SUMIF(บันทึกรายเที่ยว!$T$6:$T$10005,$U45,บันทึกรายเที่ยว!$M$6:$M$10005),2))</f>
        <v>0</v>
      </c>
    </row>
    <row r="46" spans="1:34" ht="21" customHeight="1" x14ac:dyDescent="0.95">
      <c r="A46" s="3" t="str">
        <f t="shared" si="0"/>
        <v/>
      </c>
      <c r="B46" s="3" t="str">
        <f t="shared" si="1"/>
        <v/>
      </c>
      <c r="C46" s="8" t="str">
        <f t="shared" si="2"/>
        <v/>
      </c>
      <c r="D46" s="31" t="str">
        <f t="shared" si="3"/>
        <v/>
      </c>
      <c r="E46" s="32" t="str">
        <f>IF(39=$AD$1+3,"ขอแสดงความนับถือ",IF(39=$AD$1+6,"(                 )",IF(39=$AD$1+7,"เจ้าหน้าที่ขนส่ง",IF($AB46="G",SUM($AF$8:$AF$407),IF(OR($AB46="",$AB46="R"),"",IF($AB46="D",INDEX($AF$8:$AF$407,$AA46),SUMIF($T$8:$T$407,INDEX($T$8:$T$407,$AA46),$AF$8:$AF$407)))))))</f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J46" t="str">
        <f>IFERROR(MATCH(39,บันทึกรายเที่ยว!$W$6:$W$10005,0),"")</f>
        <v/>
      </c>
      <c r="K46" t="str">
        <f>IF($J46="","",INDEX(บันทึกรายเที่ยว!$T$6:$T$10005,$J46))</f>
        <v/>
      </c>
      <c r="L46" t="str">
        <f>IF($J46="","",INDEX(บันทึกรายเที่ยว!$S$6:$S$10005,$J46))</f>
        <v/>
      </c>
      <c r="M46" t="str">
        <f>IF($J46="","",INDEX(บันทึกรายเที่ยว!$R$6:$R$10005,$J46))</f>
        <v/>
      </c>
      <c r="N46" t="str">
        <f>IF($J46="","",MATCH($M46,บันทึกรายเที่ยว!$R$6:$R$10005,0))</f>
        <v/>
      </c>
      <c r="O46" t="str">
        <f>IF($J46="","",MATCH($L46,บันทึกรายเที่ยว!$S$6:$S$10005,0))</f>
        <v/>
      </c>
      <c r="P46" t="str">
        <f>IF($J46="","",IF(AND(OR($I$3="(ทั้งหมด)",INDEX(บันทึกรายเที่ยว!$C$6:$C$10005,$J46)=$I$3),OR($I$5="(ทั้งหมด)",INDEX(บันทึกรายเที่ยว!$D$6:$D$10005,$J46)=$I$5),OR($I$7="(ทั้งหมด)",INDEX(บันทึกรายเที่ยว!$F$6:$F$10005,$J46)=$I$7)),$N46*10000000+$O46*1000+39,""))</f>
        <v/>
      </c>
      <c r="Q46" t="str">
        <f>IFERROR(MATCH(SMALL($P$8:$P$407,39),$P$8:$P$407,0),"")</f>
        <v/>
      </c>
      <c r="R46" t="str">
        <f t="shared" si="7"/>
        <v/>
      </c>
      <c r="S46" t="str">
        <f t="shared" si="8"/>
        <v/>
      </c>
      <c r="T46" t="str">
        <f t="shared" si="9"/>
        <v/>
      </c>
      <c r="U46" t="str">
        <f t="shared" si="10"/>
        <v/>
      </c>
      <c r="V46">
        <f t="shared" si="12"/>
        <v>0</v>
      </c>
      <c r="W46">
        <f t="shared" si="13"/>
        <v>0</v>
      </c>
      <c r="X46">
        <f>IF($Q46="",99999+39,$X45+1+$V45+$W45)</f>
        <v>100038</v>
      </c>
      <c r="Y46" t="str">
        <f>IF($Q46="","",INDEX(บันทึกรายเที่ยว!$Q$6:$Q$10005,$R46))</f>
        <v/>
      </c>
      <c r="Z46" t="str">
        <f>IF($Q46="","",INDEX(บันทึกรายเที่ยว!$F$6:$F$10005,$R46))</f>
        <v/>
      </c>
      <c r="AA46" t="str">
        <f>IFERROR(MATCH(39,$X$8:$X$407,1),"")</f>
        <v/>
      </c>
      <c r="AB46" t="str">
        <f>IF(39=$AD$1+1,"G",IF($AA46="","",IF(INDEX($Q$8:$Q$407,$AA46)="","",IF(39&gt;INDEX($X$8:$X$407,$AA46)+INDEX($V$8:$V$407,$AA46)+INDEX($W$8:$W$407,$AA46),"",IF(39=INDEX($X$8:$X$407,$AA46)+INDEX($V$8:$V$407,$AA46)+INDEX($W$8:$W$407,$AA46),"D",IF(AND(INDEX($W$8:$W$407,$AA46)=1,39=INDEX($X$8:$X$407,$AA46)+INDEX($V$8:$V$407,$AA46)),"S","R"))))))</f>
        <v/>
      </c>
      <c r="AC46" t="str">
        <f t="shared" si="11"/>
        <v/>
      </c>
      <c r="AE46">
        <f>IF($U46="",0,COUNTIF(บันทึกรายเที่ยว!$T$6:$T$10005,$U46))</f>
        <v>0</v>
      </c>
      <c r="AF46">
        <f>IF($U46="",0,ROUND(SUMIF(บันทึกรายเที่ยว!$T$6:$T$10005,$U46,บันทึกรายเที่ยว!$J$6:$J$10005),2))</f>
        <v>0</v>
      </c>
      <c r="AG46">
        <f>IF($U46="",0,ROUND(SUMIF(บันทึกรายเที่ยว!$T$6:$T$10005,$U46,บันทึกรายเที่ยว!$K$6:$K$10005),2))</f>
        <v>0</v>
      </c>
      <c r="AH46">
        <f>IF($U46="",0,ROUND(SUMIF(บันทึกรายเที่ยว!$T$6:$T$10005,$U46,บันทึกรายเที่ยว!$M$6:$M$10005),2))</f>
        <v>0</v>
      </c>
    </row>
    <row r="47" spans="1:34" ht="21" customHeight="1" x14ac:dyDescent="0.95">
      <c r="A47" s="3" t="str">
        <f t="shared" si="0"/>
        <v/>
      </c>
      <c r="B47" s="3" t="str">
        <f t="shared" si="1"/>
        <v/>
      </c>
      <c r="C47" s="8" t="str">
        <f t="shared" si="2"/>
        <v/>
      </c>
      <c r="D47" s="31" t="str">
        <f t="shared" si="3"/>
        <v/>
      </c>
      <c r="E47" s="32" t="str">
        <f>IF(40=$AD$1+3,"ขอแสดงความนับถือ",IF(40=$AD$1+6,"(                 )",IF(40=$AD$1+7,"เจ้าหน้าที่ขนส่ง",IF($AB47="G",SUM($AF$8:$AF$407),IF(OR($AB47="",$AB47="R"),"",IF($AB47="D",INDEX($AF$8:$AF$407,$AA47),SUMIF($T$8:$T$407,INDEX($T$8:$T$407,$AA47),$AF$8:$AF$407)))))))</f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J47" t="str">
        <f>IFERROR(MATCH(40,บันทึกรายเที่ยว!$W$6:$W$10005,0),"")</f>
        <v/>
      </c>
      <c r="K47" t="str">
        <f>IF($J47="","",INDEX(บันทึกรายเที่ยว!$T$6:$T$10005,$J47))</f>
        <v/>
      </c>
      <c r="L47" t="str">
        <f>IF($J47="","",INDEX(บันทึกรายเที่ยว!$S$6:$S$10005,$J47))</f>
        <v/>
      </c>
      <c r="M47" t="str">
        <f>IF($J47="","",INDEX(บันทึกรายเที่ยว!$R$6:$R$10005,$J47))</f>
        <v/>
      </c>
      <c r="N47" t="str">
        <f>IF($J47="","",MATCH($M47,บันทึกรายเที่ยว!$R$6:$R$10005,0))</f>
        <v/>
      </c>
      <c r="O47" t="str">
        <f>IF($J47="","",MATCH($L47,บันทึกรายเที่ยว!$S$6:$S$10005,0))</f>
        <v/>
      </c>
      <c r="P47" t="str">
        <f>IF($J47="","",IF(AND(OR($I$3="(ทั้งหมด)",INDEX(บันทึกรายเที่ยว!$C$6:$C$10005,$J47)=$I$3),OR($I$5="(ทั้งหมด)",INDEX(บันทึกรายเที่ยว!$D$6:$D$10005,$J47)=$I$5),OR($I$7="(ทั้งหมด)",INDEX(บันทึกรายเที่ยว!$F$6:$F$10005,$J47)=$I$7)),$N47*10000000+$O47*1000+40,""))</f>
        <v/>
      </c>
      <c r="Q47" t="str">
        <f>IFERROR(MATCH(SMALL($P$8:$P$407,40),$P$8:$P$407,0),"")</f>
        <v/>
      </c>
      <c r="R47" t="str">
        <f t="shared" si="7"/>
        <v/>
      </c>
      <c r="S47" t="str">
        <f t="shared" si="8"/>
        <v/>
      </c>
      <c r="T47" t="str">
        <f t="shared" si="9"/>
        <v/>
      </c>
      <c r="U47" t="str">
        <f t="shared" si="10"/>
        <v/>
      </c>
      <c r="V47">
        <f t="shared" si="12"/>
        <v>0</v>
      </c>
      <c r="W47">
        <f t="shared" si="13"/>
        <v>0</v>
      </c>
      <c r="X47">
        <f>IF($Q47="",99999+40,$X46+1+$V46+$W46)</f>
        <v>100039</v>
      </c>
      <c r="Y47" t="str">
        <f>IF($Q47="","",INDEX(บันทึกรายเที่ยว!$Q$6:$Q$10005,$R47))</f>
        <v/>
      </c>
      <c r="Z47" t="str">
        <f>IF($Q47="","",INDEX(บันทึกรายเที่ยว!$F$6:$F$10005,$R47))</f>
        <v/>
      </c>
      <c r="AA47" t="str">
        <f>IFERROR(MATCH(40,$X$8:$X$407,1),"")</f>
        <v/>
      </c>
      <c r="AB47" t="str">
        <f>IF(40=$AD$1+1,"G",IF($AA47="","",IF(INDEX($Q$8:$Q$407,$AA47)="","",IF(40&gt;INDEX($X$8:$X$407,$AA47)+INDEX($V$8:$V$407,$AA47)+INDEX($W$8:$W$407,$AA47),"",IF(40=INDEX($X$8:$X$407,$AA47)+INDEX($V$8:$V$407,$AA47)+INDEX($W$8:$W$407,$AA47),"D",IF(AND(INDEX($W$8:$W$407,$AA47)=1,40=INDEX($X$8:$X$407,$AA47)+INDEX($V$8:$V$407,$AA47)),"S","R"))))))</f>
        <v/>
      </c>
      <c r="AC47" t="str">
        <f t="shared" si="11"/>
        <v/>
      </c>
      <c r="AE47">
        <f>IF($U47="",0,COUNTIF(บันทึกรายเที่ยว!$T$6:$T$10005,$U47))</f>
        <v>0</v>
      </c>
      <c r="AF47">
        <f>IF($U47="",0,ROUND(SUMIF(บันทึกรายเที่ยว!$T$6:$T$10005,$U47,บันทึกรายเที่ยว!$J$6:$J$10005),2))</f>
        <v>0</v>
      </c>
      <c r="AG47">
        <f>IF($U47="",0,ROUND(SUMIF(บันทึกรายเที่ยว!$T$6:$T$10005,$U47,บันทึกรายเที่ยว!$K$6:$K$10005),2))</f>
        <v>0</v>
      </c>
      <c r="AH47">
        <f>IF($U47="",0,ROUND(SUMIF(บันทึกรายเที่ยว!$T$6:$T$10005,$U47,บันทึกรายเที่ยว!$M$6:$M$10005),2))</f>
        <v>0</v>
      </c>
    </row>
    <row r="48" spans="1:34" ht="21" customHeight="1" x14ac:dyDescent="0.95">
      <c r="A48" s="3" t="str">
        <f t="shared" si="0"/>
        <v/>
      </c>
      <c r="B48" s="3" t="str">
        <f t="shared" si="1"/>
        <v/>
      </c>
      <c r="C48" s="8" t="str">
        <f t="shared" si="2"/>
        <v/>
      </c>
      <c r="D48" s="31" t="str">
        <f t="shared" si="3"/>
        <v/>
      </c>
      <c r="E48" s="32" t="str">
        <f>IF(41=$AD$1+3,"ขอแสดงความนับถือ",IF(41=$AD$1+6,"(                 )",IF(41=$AD$1+7,"เจ้าหน้าที่ขนส่ง",IF($AB48="G",SUM($AF$8:$AF$407),IF(OR($AB48="",$AB48="R"),"",IF($AB48="D",INDEX($AF$8:$AF$407,$AA48),SUMIF($T$8:$T$407,INDEX($T$8:$T$407,$AA48),$AF$8:$AF$407)))))))</f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J48" t="str">
        <f>IFERROR(MATCH(41,บันทึกรายเที่ยว!$W$6:$W$10005,0),"")</f>
        <v/>
      </c>
      <c r="K48" t="str">
        <f>IF($J48="","",INDEX(บันทึกรายเที่ยว!$T$6:$T$10005,$J48))</f>
        <v/>
      </c>
      <c r="L48" t="str">
        <f>IF($J48="","",INDEX(บันทึกรายเที่ยว!$S$6:$S$10005,$J48))</f>
        <v/>
      </c>
      <c r="M48" t="str">
        <f>IF($J48="","",INDEX(บันทึกรายเที่ยว!$R$6:$R$10005,$J48))</f>
        <v/>
      </c>
      <c r="N48" t="str">
        <f>IF($J48="","",MATCH($M48,บันทึกรายเที่ยว!$R$6:$R$10005,0))</f>
        <v/>
      </c>
      <c r="O48" t="str">
        <f>IF($J48="","",MATCH($L48,บันทึกรายเที่ยว!$S$6:$S$10005,0))</f>
        <v/>
      </c>
      <c r="P48" t="str">
        <f>IF($J48="","",IF(AND(OR($I$3="(ทั้งหมด)",INDEX(บันทึกรายเที่ยว!$C$6:$C$10005,$J48)=$I$3),OR($I$5="(ทั้งหมด)",INDEX(บันทึกรายเที่ยว!$D$6:$D$10005,$J48)=$I$5),OR($I$7="(ทั้งหมด)",INDEX(บันทึกรายเที่ยว!$F$6:$F$10005,$J48)=$I$7)),$N48*10000000+$O48*1000+41,""))</f>
        <v/>
      </c>
      <c r="Q48" t="str">
        <f>IFERROR(MATCH(SMALL($P$8:$P$407,41),$P$8:$P$407,0),"")</f>
        <v/>
      </c>
      <c r="R48" t="str">
        <f t="shared" si="7"/>
        <v/>
      </c>
      <c r="S48" t="str">
        <f t="shared" si="8"/>
        <v/>
      </c>
      <c r="T48" t="str">
        <f t="shared" si="9"/>
        <v/>
      </c>
      <c r="U48" t="str">
        <f t="shared" si="10"/>
        <v/>
      </c>
      <c r="V48">
        <f t="shared" si="12"/>
        <v>0</v>
      </c>
      <c r="W48">
        <f t="shared" si="13"/>
        <v>0</v>
      </c>
      <c r="X48">
        <f>IF($Q48="",99999+41,$X47+1+$V47+$W47)</f>
        <v>100040</v>
      </c>
      <c r="Y48" t="str">
        <f>IF($Q48="","",INDEX(บันทึกรายเที่ยว!$Q$6:$Q$10005,$R48))</f>
        <v/>
      </c>
      <c r="Z48" t="str">
        <f>IF($Q48="","",INDEX(บันทึกรายเที่ยว!$F$6:$F$10005,$R48))</f>
        <v/>
      </c>
      <c r="AA48" t="str">
        <f>IFERROR(MATCH(41,$X$8:$X$407,1),"")</f>
        <v/>
      </c>
      <c r="AB48" t="str">
        <f>IF(41=$AD$1+1,"G",IF($AA48="","",IF(INDEX($Q$8:$Q$407,$AA48)="","",IF(41&gt;INDEX($X$8:$X$407,$AA48)+INDEX($V$8:$V$407,$AA48)+INDEX($W$8:$W$407,$AA48),"",IF(41=INDEX($X$8:$X$407,$AA48)+INDEX($V$8:$V$407,$AA48)+INDEX($W$8:$W$407,$AA48),"D",IF(AND(INDEX($W$8:$W$407,$AA48)=1,41=INDEX($X$8:$X$407,$AA48)+INDEX($V$8:$V$407,$AA48)),"S","R"))))))</f>
        <v/>
      </c>
      <c r="AC48" t="str">
        <f t="shared" si="11"/>
        <v/>
      </c>
      <c r="AE48">
        <f>IF($U48="",0,COUNTIF(บันทึกรายเที่ยว!$T$6:$T$10005,$U48))</f>
        <v>0</v>
      </c>
      <c r="AF48">
        <f>IF($U48="",0,ROUND(SUMIF(บันทึกรายเที่ยว!$T$6:$T$10005,$U48,บันทึกรายเที่ยว!$J$6:$J$10005),2))</f>
        <v>0</v>
      </c>
      <c r="AG48">
        <f>IF($U48="",0,ROUND(SUMIF(บันทึกรายเที่ยว!$T$6:$T$10005,$U48,บันทึกรายเที่ยว!$K$6:$K$10005),2))</f>
        <v>0</v>
      </c>
      <c r="AH48">
        <f>IF($U48="",0,ROUND(SUMIF(บันทึกรายเที่ยว!$T$6:$T$10005,$U48,บันทึกรายเที่ยว!$M$6:$M$10005),2))</f>
        <v>0</v>
      </c>
    </row>
    <row r="49" spans="1:34" ht="21" customHeight="1" x14ac:dyDescent="0.95">
      <c r="A49" s="3" t="str">
        <f t="shared" si="0"/>
        <v/>
      </c>
      <c r="B49" s="3" t="str">
        <f t="shared" si="1"/>
        <v/>
      </c>
      <c r="C49" s="8" t="str">
        <f t="shared" si="2"/>
        <v/>
      </c>
      <c r="D49" s="31" t="str">
        <f t="shared" si="3"/>
        <v/>
      </c>
      <c r="E49" s="32" t="str">
        <f>IF(42=$AD$1+3,"ขอแสดงความนับถือ",IF(42=$AD$1+6,"(                 )",IF(42=$AD$1+7,"เจ้าหน้าที่ขนส่ง",IF($AB49="G",SUM($AF$8:$AF$407),IF(OR($AB49="",$AB49="R"),"",IF($AB49="D",INDEX($AF$8:$AF$407,$AA49),SUMIF($T$8:$T$407,INDEX($T$8:$T$407,$AA49),$AF$8:$AF$407)))))))</f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J49" t="str">
        <f>IFERROR(MATCH(42,บันทึกรายเที่ยว!$W$6:$W$10005,0),"")</f>
        <v/>
      </c>
      <c r="K49" t="str">
        <f>IF($J49="","",INDEX(บันทึกรายเที่ยว!$T$6:$T$10005,$J49))</f>
        <v/>
      </c>
      <c r="L49" t="str">
        <f>IF($J49="","",INDEX(บันทึกรายเที่ยว!$S$6:$S$10005,$J49))</f>
        <v/>
      </c>
      <c r="M49" t="str">
        <f>IF($J49="","",INDEX(บันทึกรายเที่ยว!$R$6:$R$10005,$J49))</f>
        <v/>
      </c>
      <c r="N49" t="str">
        <f>IF($J49="","",MATCH($M49,บันทึกรายเที่ยว!$R$6:$R$10005,0))</f>
        <v/>
      </c>
      <c r="O49" t="str">
        <f>IF($J49="","",MATCH($L49,บันทึกรายเที่ยว!$S$6:$S$10005,0))</f>
        <v/>
      </c>
      <c r="P49" t="str">
        <f>IF($J49="","",IF(AND(OR($I$3="(ทั้งหมด)",INDEX(บันทึกรายเที่ยว!$C$6:$C$10005,$J49)=$I$3),OR($I$5="(ทั้งหมด)",INDEX(บันทึกรายเที่ยว!$D$6:$D$10005,$J49)=$I$5),OR($I$7="(ทั้งหมด)",INDEX(บันทึกรายเที่ยว!$F$6:$F$10005,$J49)=$I$7)),$N49*10000000+$O49*1000+42,""))</f>
        <v/>
      </c>
      <c r="Q49" t="str">
        <f>IFERROR(MATCH(SMALL($P$8:$P$407,42),$P$8:$P$407,0),"")</f>
        <v/>
      </c>
      <c r="R49" t="str">
        <f t="shared" si="7"/>
        <v/>
      </c>
      <c r="S49" t="str">
        <f t="shared" si="8"/>
        <v/>
      </c>
      <c r="T49" t="str">
        <f t="shared" si="9"/>
        <v/>
      </c>
      <c r="U49" t="str">
        <f t="shared" si="10"/>
        <v/>
      </c>
      <c r="V49">
        <f t="shared" si="12"/>
        <v>0</v>
      </c>
      <c r="W49">
        <f t="shared" si="13"/>
        <v>0</v>
      </c>
      <c r="X49">
        <f>IF($Q49="",99999+42,$X48+1+$V48+$W48)</f>
        <v>100041</v>
      </c>
      <c r="Y49" t="str">
        <f>IF($Q49="","",INDEX(บันทึกรายเที่ยว!$Q$6:$Q$10005,$R49))</f>
        <v/>
      </c>
      <c r="Z49" t="str">
        <f>IF($Q49="","",INDEX(บันทึกรายเที่ยว!$F$6:$F$10005,$R49))</f>
        <v/>
      </c>
      <c r="AA49" t="str">
        <f>IFERROR(MATCH(42,$X$8:$X$407,1),"")</f>
        <v/>
      </c>
      <c r="AB49" t="str">
        <f>IF(42=$AD$1+1,"G",IF($AA49="","",IF(INDEX($Q$8:$Q$407,$AA49)="","",IF(42&gt;INDEX($X$8:$X$407,$AA49)+INDEX($V$8:$V$407,$AA49)+INDEX($W$8:$W$407,$AA49),"",IF(42=INDEX($X$8:$X$407,$AA49)+INDEX($V$8:$V$407,$AA49)+INDEX($W$8:$W$407,$AA49),"D",IF(AND(INDEX($W$8:$W$407,$AA49)=1,42=INDEX($X$8:$X$407,$AA49)+INDEX($V$8:$V$407,$AA49)),"S","R"))))))</f>
        <v/>
      </c>
      <c r="AC49" t="str">
        <f t="shared" si="11"/>
        <v/>
      </c>
      <c r="AE49">
        <f>IF($U49="",0,COUNTIF(บันทึกรายเที่ยว!$T$6:$T$10005,$U49))</f>
        <v>0</v>
      </c>
      <c r="AF49">
        <f>IF($U49="",0,ROUND(SUMIF(บันทึกรายเที่ยว!$T$6:$T$10005,$U49,บันทึกรายเที่ยว!$J$6:$J$10005),2))</f>
        <v>0</v>
      </c>
      <c r="AG49">
        <f>IF($U49="",0,ROUND(SUMIF(บันทึกรายเที่ยว!$T$6:$T$10005,$U49,บันทึกรายเที่ยว!$K$6:$K$10005),2))</f>
        <v>0</v>
      </c>
      <c r="AH49">
        <f>IF($U49="",0,ROUND(SUMIF(บันทึกรายเที่ยว!$T$6:$T$10005,$U49,บันทึกรายเที่ยว!$M$6:$M$10005),2))</f>
        <v>0</v>
      </c>
    </row>
    <row r="50" spans="1:34" ht="21" customHeight="1" x14ac:dyDescent="0.95">
      <c r="A50" s="3" t="str">
        <f t="shared" si="0"/>
        <v/>
      </c>
      <c r="B50" s="3" t="str">
        <f t="shared" si="1"/>
        <v/>
      </c>
      <c r="C50" s="8" t="str">
        <f t="shared" si="2"/>
        <v/>
      </c>
      <c r="D50" s="31" t="str">
        <f t="shared" si="3"/>
        <v/>
      </c>
      <c r="E50" s="32" t="str">
        <f>IF(43=$AD$1+3,"ขอแสดงความนับถือ",IF(43=$AD$1+6,"(                 )",IF(43=$AD$1+7,"เจ้าหน้าที่ขนส่ง",IF($AB50="G",SUM($AF$8:$AF$407),IF(OR($AB50="",$AB50="R"),"",IF($AB50="D",INDEX($AF$8:$AF$407,$AA50),SUMIF($T$8:$T$407,INDEX($T$8:$T$407,$AA50),$AF$8:$AF$407)))))))</f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J50" t="str">
        <f>IFERROR(MATCH(43,บันทึกรายเที่ยว!$W$6:$W$10005,0),"")</f>
        <v/>
      </c>
      <c r="K50" t="str">
        <f>IF($J50="","",INDEX(บันทึกรายเที่ยว!$T$6:$T$10005,$J50))</f>
        <v/>
      </c>
      <c r="L50" t="str">
        <f>IF($J50="","",INDEX(บันทึกรายเที่ยว!$S$6:$S$10005,$J50))</f>
        <v/>
      </c>
      <c r="M50" t="str">
        <f>IF($J50="","",INDEX(บันทึกรายเที่ยว!$R$6:$R$10005,$J50))</f>
        <v/>
      </c>
      <c r="N50" t="str">
        <f>IF($J50="","",MATCH($M50,บันทึกรายเที่ยว!$R$6:$R$10005,0))</f>
        <v/>
      </c>
      <c r="O50" t="str">
        <f>IF($J50="","",MATCH($L50,บันทึกรายเที่ยว!$S$6:$S$10005,0))</f>
        <v/>
      </c>
      <c r="P50" t="str">
        <f>IF($J50="","",IF(AND(OR($I$3="(ทั้งหมด)",INDEX(บันทึกรายเที่ยว!$C$6:$C$10005,$J50)=$I$3),OR($I$5="(ทั้งหมด)",INDEX(บันทึกรายเที่ยว!$D$6:$D$10005,$J50)=$I$5),OR($I$7="(ทั้งหมด)",INDEX(บันทึกรายเที่ยว!$F$6:$F$10005,$J50)=$I$7)),$N50*10000000+$O50*1000+43,""))</f>
        <v/>
      </c>
      <c r="Q50" t="str">
        <f>IFERROR(MATCH(SMALL($P$8:$P$407,43),$P$8:$P$407,0),"")</f>
        <v/>
      </c>
      <c r="R50" t="str">
        <f t="shared" si="7"/>
        <v/>
      </c>
      <c r="S50" t="str">
        <f t="shared" si="8"/>
        <v/>
      </c>
      <c r="T50" t="str">
        <f t="shared" si="9"/>
        <v/>
      </c>
      <c r="U50" t="str">
        <f t="shared" si="10"/>
        <v/>
      </c>
      <c r="V50">
        <f t="shared" si="12"/>
        <v>0</v>
      </c>
      <c r="W50">
        <f t="shared" si="13"/>
        <v>0</v>
      </c>
      <c r="X50">
        <f>IF($Q50="",99999+43,$X49+1+$V49+$W49)</f>
        <v>100042</v>
      </c>
      <c r="Y50" t="str">
        <f>IF($Q50="","",INDEX(บันทึกรายเที่ยว!$Q$6:$Q$10005,$R50))</f>
        <v/>
      </c>
      <c r="Z50" t="str">
        <f>IF($Q50="","",INDEX(บันทึกรายเที่ยว!$F$6:$F$10005,$R50))</f>
        <v/>
      </c>
      <c r="AA50" t="str">
        <f>IFERROR(MATCH(43,$X$8:$X$407,1),"")</f>
        <v/>
      </c>
      <c r="AB50" t="str">
        <f>IF(43=$AD$1+1,"G",IF($AA50="","",IF(INDEX($Q$8:$Q$407,$AA50)="","",IF(43&gt;INDEX($X$8:$X$407,$AA50)+INDEX($V$8:$V$407,$AA50)+INDEX($W$8:$W$407,$AA50),"",IF(43=INDEX($X$8:$X$407,$AA50)+INDEX($V$8:$V$407,$AA50)+INDEX($W$8:$W$407,$AA50),"D",IF(AND(INDEX($W$8:$W$407,$AA50)=1,43=INDEX($X$8:$X$407,$AA50)+INDEX($V$8:$V$407,$AA50)),"S","R"))))))</f>
        <v/>
      </c>
      <c r="AC50" t="str">
        <f t="shared" si="11"/>
        <v/>
      </c>
      <c r="AE50">
        <f>IF($U50="",0,COUNTIF(บันทึกรายเที่ยว!$T$6:$T$10005,$U50))</f>
        <v>0</v>
      </c>
      <c r="AF50">
        <f>IF($U50="",0,ROUND(SUMIF(บันทึกรายเที่ยว!$T$6:$T$10005,$U50,บันทึกรายเที่ยว!$J$6:$J$10005),2))</f>
        <v>0</v>
      </c>
      <c r="AG50">
        <f>IF($U50="",0,ROUND(SUMIF(บันทึกรายเที่ยว!$T$6:$T$10005,$U50,บันทึกรายเที่ยว!$K$6:$K$10005),2))</f>
        <v>0</v>
      </c>
      <c r="AH50">
        <f>IF($U50="",0,ROUND(SUMIF(บันทึกรายเที่ยว!$T$6:$T$10005,$U50,บันทึกรายเที่ยว!$M$6:$M$10005),2))</f>
        <v>0</v>
      </c>
    </row>
    <row r="51" spans="1:34" ht="21" customHeight="1" x14ac:dyDescent="0.95">
      <c r="A51" s="3" t="str">
        <f t="shared" si="0"/>
        <v/>
      </c>
      <c r="B51" s="3" t="str">
        <f t="shared" si="1"/>
        <v/>
      </c>
      <c r="C51" s="8" t="str">
        <f t="shared" si="2"/>
        <v/>
      </c>
      <c r="D51" s="31" t="str">
        <f t="shared" si="3"/>
        <v/>
      </c>
      <c r="E51" s="32" t="str">
        <f>IF(44=$AD$1+3,"ขอแสดงความนับถือ",IF(44=$AD$1+6,"(                 )",IF(44=$AD$1+7,"เจ้าหน้าที่ขนส่ง",IF($AB51="G",SUM($AF$8:$AF$407),IF(OR($AB51="",$AB51="R"),"",IF($AB51="D",INDEX($AF$8:$AF$407,$AA51),SUMIF($T$8:$T$407,INDEX($T$8:$T$407,$AA51),$AF$8:$AF$407)))))))</f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J51" t="str">
        <f>IFERROR(MATCH(44,บันทึกรายเที่ยว!$W$6:$W$10005,0),"")</f>
        <v/>
      </c>
      <c r="K51" t="str">
        <f>IF($J51="","",INDEX(บันทึกรายเที่ยว!$T$6:$T$10005,$J51))</f>
        <v/>
      </c>
      <c r="L51" t="str">
        <f>IF($J51="","",INDEX(บันทึกรายเที่ยว!$S$6:$S$10005,$J51))</f>
        <v/>
      </c>
      <c r="M51" t="str">
        <f>IF($J51="","",INDEX(บันทึกรายเที่ยว!$R$6:$R$10005,$J51))</f>
        <v/>
      </c>
      <c r="N51" t="str">
        <f>IF($J51="","",MATCH($M51,บันทึกรายเที่ยว!$R$6:$R$10005,0))</f>
        <v/>
      </c>
      <c r="O51" t="str">
        <f>IF($J51="","",MATCH($L51,บันทึกรายเที่ยว!$S$6:$S$10005,0))</f>
        <v/>
      </c>
      <c r="P51" t="str">
        <f>IF($J51="","",IF(AND(OR($I$3="(ทั้งหมด)",INDEX(บันทึกรายเที่ยว!$C$6:$C$10005,$J51)=$I$3),OR($I$5="(ทั้งหมด)",INDEX(บันทึกรายเที่ยว!$D$6:$D$10005,$J51)=$I$5),OR($I$7="(ทั้งหมด)",INDEX(บันทึกรายเที่ยว!$F$6:$F$10005,$J51)=$I$7)),$N51*10000000+$O51*1000+44,""))</f>
        <v/>
      </c>
      <c r="Q51" t="str">
        <f>IFERROR(MATCH(SMALL($P$8:$P$407,44),$P$8:$P$407,0),"")</f>
        <v/>
      </c>
      <c r="R51" t="str">
        <f t="shared" si="7"/>
        <v/>
      </c>
      <c r="S51" t="str">
        <f t="shared" si="8"/>
        <v/>
      </c>
      <c r="T51" t="str">
        <f t="shared" si="9"/>
        <v/>
      </c>
      <c r="U51" t="str">
        <f t="shared" si="10"/>
        <v/>
      </c>
      <c r="V51">
        <f t="shared" si="12"/>
        <v>0</v>
      </c>
      <c r="W51">
        <f t="shared" si="13"/>
        <v>0</v>
      </c>
      <c r="X51">
        <f>IF($Q51="",99999+44,$X50+1+$V50+$W50)</f>
        <v>100043</v>
      </c>
      <c r="Y51" t="str">
        <f>IF($Q51="","",INDEX(บันทึกรายเที่ยว!$Q$6:$Q$10005,$R51))</f>
        <v/>
      </c>
      <c r="Z51" t="str">
        <f>IF($Q51="","",INDEX(บันทึกรายเที่ยว!$F$6:$F$10005,$R51))</f>
        <v/>
      </c>
      <c r="AA51" t="str">
        <f>IFERROR(MATCH(44,$X$8:$X$407,1),"")</f>
        <v/>
      </c>
      <c r="AB51" t="str">
        <f>IF(44=$AD$1+1,"G",IF($AA51="","",IF(INDEX($Q$8:$Q$407,$AA51)="","",IF(44&gt;INDEX($X$8:$X$407,$AA51)+INDEX($V$8:$V$407,$AA51)+INDEX($W$8:$W$407,$AA51),"",IF(44=INDEX($X$8:$X$407,$AA51)+INDEX($V$8:$V$407,$AA51)+INDEX($W$8:$W$407,$AA51),"D",IF(AND(INDEX($W$8:$W$407,$AA51)=1,44=INDEX($X$8:$X$407,$AA51)+INDEX($V$8:$V$407,$AA51)),"S","R"))))))</f>
        <v/>
      </c>
      <c r="AC51" t="str">
        <f t="shared" si="11"/>
        <v/>
      </c>
      <c r="AE51">
        <f>IF($U51="",0,COUNTIF(บันทึกรายเที่ยว!$T$6:$T$10005,$U51))</f>
        <v>0</v>
      </c>
      <c r="AF51">
        <f>IF($U51="",0,ROUND(SUMIF(บันทึกรายเที่ยว!$T$6:$T$10005,$U51,บันทึกรายเที่ยว!$J$6:$J$10005),2))</f>
        <v>0</v>
      </c>
      <c r="AG51">
        <f>IF($U51="",0,ROUND(SUMIF(บันทึกรายเที่ยว!$T$6:$T$10005,$U51,บันทึกรายเที่ยว!$K$6:$K$10005),2))</f>
        <v>0</v>
      </c>
      <c r="AH51">
        <f>IF($U51="",0,ROUND(SUMIF(บันทึกรายเที่ยว!$T$6:$T$10005,$U51,บันทึกรายเที่ยว!$M$6:$M$10005),2))</f>
        <v>0</v>
      </c>
    </row>
    <row r="52" spans="1:34" ht="21" customHeight="1" x14ac:dyDescent="0.95">
      <c r="A52" s="3" t="str">
        <f t="shared" si="0"/>
        <v/>
      </c>
      <c r="B52" s="3" t="str">
        <f t="shared" si="1"/>
        <v/>
      </c>
      <c r="C52" s="8" t="str">
        <f t="shared" si="2"/>
        <v/>
      </c>
      <c r="D52" s="31" t="str">
        <f t="shared" si="3"/>
        <v/>
      </c>
      <c r="E52" s="32" t="str">
        <f>IF(45=$AD$1+3,"ขอแสดงความนับถือ",IF(45=$AD$1+6,"(                 )",IF(45=$AD$1+7,"เจ้าหน้าที่ขนส่ง",IF($AB52="G",SUM($AF$8:$AF$407),IF(OR($AB52="",$AB52="R"),"",IF($AB52="D",INDEX($AF$8:$AF$407,$AA52),SUMIF($T$8:$T$407,INDEX($T$8:$T$407,$AA52),$AF$8:$AF$407)))))))</f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J52" t="str">
        <f>IFERROR(MATCH(45,บันทึกรายเที่ยว!$W$6:$W$10005,0),"")</f>
        <v/>
      </c>
      <c r="K52" t="str">
        <f>IF($J52="","",INDEX(บันทึกรายเที่ยว!$T$6:$T$10005,$J52))</f>
        <v/>
      </c>
      <c r="L52" t="str">
        <f>IF($J52="","",INDEX(บันทึกรายเที่ยว!$S$6:$S$10005,$J52))</f>
        <v/>
      </c>
      <c r="M52" t="str">
        <f>IF($J52="","",INDEX(บันทึกรายเที่ยว!$R$6:$R$10005,$J52))</f>
        <v/>
      </c>
      <c r="N52" t="str">
        <f>IF($J52="","",MATCH($M52,บันทึกรายเที่ยว!$R$6:$R$10005,0))</f>
        <v/>
      </c>
      <c r="O52" t="str">
        <f>IF($J52="","",MATCH($L52,บันทึกรายเที่ยว!$S$6:$S$10005,0))</f>
        <v/>
      </c>
      <c r="P52" t="str">
        <f>IF($J52="","",IF(AND(OR($I$3="(ทั้งหมด)",INDEX(บันทึกรายเที่ยว!$C$6:$C$10005,$J52)=$I$3),OR($I$5="(ทั้งหมด)",INDEX(บันทึกรายเที่ยว!$D$6:$D$10005,$J52)=$I$5),OR($I$7="(ทั้งหมด)",INDEX(บันทึกรายเที่ยว!$F$6:$F$10005,$J52)=$I$7)),$N52*10000000+$O52*1000+45,""))</f>
        <v/>
      </c>
      <c r="Q52" t="str">
        <f>IFERROR(MATCH(SMALL($P$8:$P$407,45),$P$8:$P$407,0),"")</f>
        <v/>
      </c>
      <c r="R52" t="str">
        <f t="shared" si="7"/>
        <v/>
      </c>
      <c r="S52" t="str">
        <f t="shared" si="8"/>
        <v/>
      </c>
      <c r="T52" t="str">
        <f t="shared" si="9"/>
        <v/>
      </c>
      <c r="U52" t="str">
        <f t="shared" si="10"/>
        <v/>
      </c>
      <c r="V52">
        <f t="shared" si="12"/>
        <v>0</v>
      </c>
      <c r="W52">
        <f t="shared" si="13"/>
        <v>0</v>
      </c>
      <c r="X52">
        <f>IF($Q52="",99999+45,$X51+1+$V51+$W51)</f>
        <v>100044</v>
      </c>
      <c r="Y52" t="str">
        <f>IF($Q52="","",INDEX(บันทึกรายเที่ยว!$Q$6:$Q$10005,$R52))</f>
        <v/>
      </c>
      <c r="Z52" t="str">
        <f>IF($Q52="","",INDEX(บันทึกรายเที่ยว!$F$6:$F$10005,$R52))</f>
        <v/>
      </c>
      <c r="AA52" t="str">
        <f>IFERROR(MATCH(45,$X$8:$X$407,1),"")</f>
        <v/>
      </c>
      <c r="AB52" t="str">
        <f>IF(45=$AD$1+1,"G",IF($AA52="","",IF(INDEX($Q$8:$Q$407,$AA52)="","",IF(45&gt;INDEX($X$8:$X$407,$AA52)+INDEX($V$8:$V$407,$AA52)+INDEX($W$8:$W$407,$AA52),"",IF(45=INDEX($X$8:$X$407,$AA52)+INDEX($V$8:$V$407,$AA52)+INDEX($W$8:$W$407,$AA52),"D",IF(AND(INDEX($W$8:$W$407,$AA52)=1,45=INDEX($X$8:$X$407,$AA52)+INDEX($V$8:$V$407,$AA52)),"S","R"))))))</f>
        <v/>
      </c>
      <c r="AC52" t="str">
        <f t="shared" si="11"/>
        <v/>
      </c>
      <c r="AE52">
        <f>IF($U52="",0,COUNTIF(บันทึกรายเที่ยว!$T$6:$T$10005,$U52))</f>
        <v>0</v>
      </c>
      <c r="AF52">
        <f>IF($U52="",0,ROUND(SUMIF(บันทึกรายเที่ยว!$T$6:$T$10005,$U52,บันทึกรายเที่ยว!$J$6:$J$10005),2))</f>
        <v>0</v>
      </c>
      <c r="AG52">
        <f>IF($U52="",0,ROUND(SUMIF(บันทึกรายเที่ยว!$T$6:$T$10005,$U52,บันทึกรายเที่ยว!$K$6:$K$10005),2))</f>
        <v>0</v>
      </c>
      <c r="AH52">
        <f>IF($U52="",0,ROUND(SUMIF(บันทึกรายเที่ยว!$T$6:$T$10005,$U52,บันทึกรายเที่ยว!$M$6:$M$10005),2))</f>
        <v>0</v>
      </c>
    </row>
    <row r="53" spans="1:34" ht="21" customHeight="1" x14ac:dyDescent="0.95">
      <c r="A53" s="3" t="str">
        <f t="shared" si="0"/>
        <v/>
      </c>
      <c r="B53" s="3" t="str">
        <f t="shared" si="1"/>
        <v/>
      </c>
      <c r="C53" s="8" t="str">
        <f t="shared" si="2"/>
        <v/>
      </c>
      <c r="D53" s="31" t="str">
        <f t="shared" si="3"/>
        <v/>
      </c>
      <c r="E53" s="32" t="str">
        <f>IF(46=$AD$1+3,"ขอแสดงความนับถือ",IF(46=$AD$1+6,"(                 )",IF(46=$AD$1+7,"เจ้าหน้าที่ขนส่ง",IF($AB53="G",SUM($AF$8:$AF$407),IF(OR($AB53="",$AB53="R"),"",IF($AB53="D",INDEX($AF$8:$AF$407,$AA53),SUMIF($T$8:$T$407,INDEX($T$8:$T$407,$AA53),$AF$8:$AF$407)))))))</f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J53" t="str">
        <f>IFERROR(MATCH(46,บันทึกรายเที่ยว!$W$6:$W$10005,0),"")</f>
        <v/>
      </c>
      <c r="K53" t="str">
        <f>IF($J53="","",INDEX(บันทึกรายเที่ยว!$T$6:$T$10005,$J53))</f>
        <v/>
      </c>
      <c r="L53" t="str">
        <f>IF($J53="","",INDEX(บันทึกรายเที่ยว!$S$6:$S$10005,$J53))</f>
        <v/>
      </c>
      <c r="M53" t="str">
        <f>IF($J53="","",INDEX(บันทึกรายเที่ยว!$R$6:$R$10005,$J53))</f>
        <v/>
      </c>
      <c r="N53" t="str">
        <f>IF($J53="","",MATCH($M53,บันทึกรายเที่ยว!$R$6:$R$10005,0))</f>
        <v/>
      </c>
      <c r="O53" t="str">
        <f>IF($J53="","",MATCH($L53,บันทึกรายเที่ยว!$S$6:$S$10005,0))</f>
        <v/>
      </c>
      <c r="P53" t="str">
        <f>IF($J53="","",IF(AND(OR($I$3="(ทั้งหมด)",INDEX(บันทึกรายเที่ยว!$C$6:$C$10005,$J53)=$I$3),OR($I$5="(ทั้งหมด)",INDEX(บันทึกรายเที่ยว!$D$6:$D$10005,$J53)=$I$5),OR($I$7="(ทั้งหมด)",INDEX(บันทึกรายเที่ยว!$F$6:$F$10005,$J53)=$I$7)),$N53*10000000+$O53*1000+46,""))</f>
        <v/>
      </c>
      <c r="Q53" t="str">
        <f>IFERROR(MATCH(SMALL($P$8:$P$407,46),$P$8:$P$407,0),"")</f>
        <v/>
      </c>
      <c r="R53" t="str">
        <f t="shared" si="7"/>
        <v/>
      </c>
      <c r="S53" t="str">
        <f t="shared" si="8"/>
        <v/>
      </c>
      <c r="T53" t="str">
        <f t="shared" si="9"/>
        <v/>
      </c>
      <c r="U53" t="str">
        <f t="shared" si="10"/>
        <v/>
      </c>
      <c r="V53">
        <f t="shared" si="12"/>
        <v>0</v>
      </c>
      <c r="W53">
        <f t="shared" si="13"/>
        <v>0</v>
      </c>
      <c r="X53">
        <f>IF($Q53="",99999+46,$X52+1+$V52+$W52)</f>
        <v>100045</v>
      </c>
      <c r="Y53" t="str">
        <f>IF($Q53="","",INDEX(บันทึกรายเที่ยว!$Q$6:$Q$10005,$R53))</f>
        <v/>
      </c>
      <c r="Z53" t="str">
        <f>IF($Q53="","",INDEX(บันทึกรายเที่ยว!$F$6:$F$10005,$R53))</f>
        <v/>
      </c>
      <c r="AA53" t="str">
        <f>IFERROR(MATCH(46,$X$8:$X$407,1),"")</f>
        <v/>
      </c>
      <c r="AB53" t="str">
        <f>IF(46=$AD$1+1,"G",IF($AA53="","",IF(INDEX($Q$8:$Q$407,$AA53)="","",IF(46&gt;INDEX($X$8:$X$407,$AA53)+INDEX($V$8:$V$407,$AA53)+INDEX($W$8:$W$407,$AA53),"",IF(46=INDEX($X$8:$X$407,$AA53)+INDEX($V$8:$V$407,$AA53)+INDEX($W$8:$W$407,$AA53),"D",IF(AND(INDEX($W$8:$W$407,$AA53)=1,46=INDEX($X$8:$X$407,$AA53)+INDEX($V$8:$V$407,$AA53)),"S","R"))))))</f>
        <v/>
      </c>
      <c r="AC53" t="str">
        <f t="shared" si="11"/>
        <v/>
      </c>
      <c r="AE53">
        <f>IF($U53="",0,COUNTIF(บันทึกรายเที่ยว!$T$6:$T$10005,$U53))</f>
        <v>0</v>
      </c>
      <c r="AF53">
        <f>IF($U53="",0,ROUND(SUMIF(บันทึกรายเที่ยว!$T$6:$T$10005,$U53,บันทึกรายเที่ยว!$J$6:$J$10005),2))</f>
        <v>0</v>
      </c>
      <c r="AG53">
        <f>IF($U53="",0,ROUND(SUMIF(บันทึกรายเที่ยว!$T$6:$T$10005,$U53,บันทึกรายเที่ยว!$K$6:$K$10005),2))</f>
        <v>0</v>
      </c>
      <c r="AH53">
        <f>IF($U53="",0,ROUND(SUMIF(บันทึกรายเที่ยว!$T$6:$T$10005,$U53,บันทึกรายเที่ยว!$M$6:$M$10005),2))</f>
        <v>0</v>
      </c>
    </row>
    <row r="54" spans="1:34" ht="21" customHeight="1" x14ac:dyDescent="0.95">
      <c r="A54" s="3" t="str">
        <f t="shared" si="0"/>
        <v/>
      </c>
      <c r="B54" s="3" t="str">
        <f t="shared" si="1"/>
        <v/>
      </c>
      <c r="C54" s="8" t="str">
        <f t="shared" si="2"/>
        <v/>
      </c>
      <c r="D54" s="31" t="str">
        <f t="shared" si="3"/>
        <v/>
      </c>
      <c r="E54" s="32" t="str">
        <f>IF(47=$AD$1+3,"ขอแสดงความนับถือ",IF(47=$AD$1+6,"(                 )",IF(47=$AD$1+7,"เจ้าหน้าที่ขนส่ง",IF($AB54="G",SUM($AF$8:$AF$407),IF(OR($AB54="",$AB54="R"),"",IF($AB54="D",INDEX($AF$8:$AF$407,$AA54),SUMIF($T$8:$T$407,INDEX($T$8:$T$407,$AA54),$AF$8:$AF$407)))))))</f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J54" t="str">
        <f>IFERROR(MATCH(47,บันทึกรายเที่ยว!$W$6:$W$10005,0),"")</f>
        <v/>
      </c>
      <c r="K54" t="str">
        <f>IF($J54="","",INDEX(บันทึกรายเที่ยว!$T$6:$T$10005,$J54))</f>
        <v/>
      </c>
      <c r="L54" t="str">
        <f>IF($J54="","",INDEX(บันทึกรายเที่ยว!$S$6:$S$10005,$J54))</f>
        <v/>
      </c>
      <c r="M54" t="str">
        <f>IF($J54="","",INDEX(บันทึกรายเที่ยว!$R$6:$R$10005,$J54))</f>
        <v/>
      </c>
      <c r="N54" t="str">
        <f>IF($J54="","",MATCH($M54,บันทึกรายเที่ยว!$R$6:$R$10005,0))</f>
        <v/>
      </c>
      <c r="O54" t="str">
        <f>IF($J54="","",MATCH($L54,บันทึกรายเที่ยว!$S$6:$S$10005,0))</f>
        <v/>
      </c>
      <c r="P54" t="str">
        <f>IF($J54="","",IF(AND(OR($I$3="(ทั้งหมด)",INDEX(บันทึกรายเที่ยว!$C$6:$C$10005,$J54)=$I$3),OR($I$5="(ทั้งหมด)",INDEX(บันทึกรายเที่ยว!$D$6:$D$10005,$J54)=$I$5),OR($I$7="(ทั้งหมด)",INDEX(บันทึกรายเที่ยว!$F$6:$F$10005,$J54)=$I$7)),$N54*10000000+$O54*1000+47,""))</f>
        <v/>
      </c>
      <c r="Q54" t="str">
        <f>IFERROR(MATCH(SMALL($P$8:$P$407,47),$P$8:$P$407,0),"")</f>
        <v/>
      </c>
      <c r="R54" t="str">
        <f t="shared" si="7"/>
        <v/>
      </c>
      <c r="S54" t="str">
        <f t="shared" si="8"/>
        <v/>
      </c>
      <c r="T54" t="str">
        <f t="shared" si="9"/>
        <v/>
      </c>
      <c r="U54" t="str">
        <f t="shared" si="10"/>
        <v/>
      </c>
      <c r="V54">
        <f t="shared" si="12"/>
        <v>0</v>
      </c>
      <c r="W54">
        <f t="shared" si="13"/>
        <v>0</v>
      </c>
      <c r="X54">
        <f>IF($Q54="",99999+47,$X53+1+$V53+$W53)</f>
        <v>100046</v>
      </c>
      <c r="Y54" t="str">
        <f>IF($Q54="","",INDEX(บันทึกรายเที่ยว!$Q$6:$Q$10005,$R54))</f>
        <v/>
      </c>
      <c r="Z54" t="str">
        <f>IF($Q54="","",INDEX(บันทึกรายเที่ยว!$F$6:$F$10005,$R54))</f>
        <v/>
      </c>
      <c r="AA54" t="str">
        <f>IFERROR(MATCH(47,$X$8:$X$407,1),"")</f>
        <v/>
      </c>
      <c r="AB54" t="str">
        <f>IF(47=$AD$1+1,"G",IF($AA54="","",IF(INDEX($Q$8:$Q$407,$AA54)="","",IF(47&gt;INDEX($X$8:$X$407,$AA54)+INDEX($V$8:$V$407,$AA54)+INDEX($W$8:$W$407,$AA54),"",IF(47=INDEX($X$8:$X$407,$AA54)+INDEX($V$8:$V$407,$AA54)+INDEX($W$8:$W$407,$AA54),"D",IF(AND(INDEX($W$8:$W$407,$AA54)=1,47=INDEX($X$8:$X$407,$AA54)+INDEX($V$8:$V$407,$AA54)),"S","R"))))))</f>
        <v/>
      </c>
      <c r="AC54" t="str">
        <f t="shared" si="11"/>
        <v/>
      </c>
      <c r="AE54">
        <f>IF($U54="",0,COUNTIF(บันทึกรายเที่ยว!$T$6:$T$10005,$U54))</f>
        <v>0</v>
      </c>
      <c r="AF54">
        <f>IF($U54="",0,ROUND(SUMIF(บันทึกรายเที่ยว!$T$6:$T$10005,$U54,บันทึกรายเที่ยว!$J$6:$J$10005),2))</f>
        <v>0</v>
      </c>
      <c r="AG54">
        <f>IF($U54="",0,ROUND(SUMIF(บันทึกรายเที่ยว!$T$6:$T$10005,$U54,บันทึกรายเที่ยว!$K$6:$K$10005),2))</f>
        <v>0</v>
      </c>
      <c r="AH54">
        <f>IF($U54="",0,ROUND(SUMIF(บันทึกรายเที่ยว!$T$6:$T$10005,$U54,บันทึกรายเที่ยว!$M$6:$M$10005),2))</f>
        <v>0</v>
      </c>
    </row>
    <row r="55" spans="1:34" ht="21" customHeight="1" x14ac:dyDescent="0.95">
      <c r="A55" s="3" t="str">
        <f t="shared" si="0"/>
        <v/>
      </c>
      <c r="B55" s="3" t="str">
        <f t="shared" si="1"/>
        <v/>
      </c>
      <c r="C55" s="8" t="str">
        <f t="shared" si="2"/>
        <v/>
      </c>
      <c r="D55" s="31" t="str">
        <f t="shared" si="3"/>
        <v/>
      </c>
      <c r="E55" s="32" t="str">
        <f>IF(48=$AD$1+3,"ขอแสดงความนับถือ",IF(48=$AD$1+6,"(                 )",IF(48=$AD$1+7,"เจ้าหน้าที่ขนส่ง",IF($AB55="G",SUM($AF$8:$AF$407),IF(OR($AB55="",$AB55="R"),"",IF($AB55="D",INDEX($AF$8:$AF$407,$AA55),SUMIF($T$8:$T$407,INDEX($T$8:$T$407,$AA55),$AF$8:$AF$407)))))))</f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J55" t="str">
        <f>IFERROR(MATCH(48,บันทึกรายเที่ยว!$W$6:$W$10005,0),"")</f>
        <v/>
      </c>
      <c r="K55" t="str">
        <f>IF($J55="","",INDEX(บันทึกรายเที่ยว!$T$6:$T$10005,$J55))</f>
        <v/>
      </c>
      <c r="L55" t="str">
        <f>IF($J55="","",INDEX(บันทึกรายเที่ยว!$S$6:$S$10005,$J55))</f>
        <v/>
      </c>
      <c r="M55" t="str">
        <f>IF($J55="","",INDEX(บันทึกรายเที่ยว!$R$6:$R$10005,$J55))</f>
        <v/>
      </c>
      <c r="N55" t="str">
        <f>IF($J55="","",MATCH($M55,บันทึกรายเที่ยว!$R$6:$R$10005,0))</f>
        <v/>
      </c>
      <c r="O55" t="str">
        <f>IF($J55="","",MATCH($L55,บันทึกรายเที่ยว!$S$6:$S$10005,0))</f>
        <v/>
      </c>
      <c r="P55" t="str">
        <f>IF($J55="","",IF(AND(OR($I$3="(ทั้งหมด)",INDEX(บันทึกรายเที่ยว!$C$6:$C$10005,$J55)=$I$3),OR($I$5="(ทั้งหมด)",INDEX(บันทึกรายเที่ยว!$D$6:$D$10005,$J55)=$I$5),OR($I$7="(ทั้งหมด)",INDEX(บันทึกรายเที่ยว!$F$6:$F$10005,$J55)=$I$7)),$N55*10000000+$O55*1000+48,""))</f>
        <v/>
      </c>
      <c r="Q55" t="str">
        <f>IFERROR(MATCH(SMALL($P$8:$P$407,48),$P$8:$P$407,0),"")</f>
        <v/>
      </c>
      <c r="R55" t="str">
        <f t="shared" si="7"/>
        <v/>
      </c>
      <c r="S55" t="str">
        <f t="shared" si="8"/>
        <v/>
      </c>
      <c r="T55" t="str">
        <f t="shared" si="9"/>
        <v/>
      </c>
      <c r="U55" t="str">
        <f t="shared" si="10"/>
        <v/>
      </c>
      <c r="V55">
        <f t="shared" si="12"/>
        <v>0</v>
      </c>
      <c r="W55">
        <f t="shared" si="13"/>
        <v>0</v>
      </c>
      <c r="X55">
        <f>IF($Q55="",99999+48,$X54+1+$V54+$W54)</f>
        <v>100047</v>
      </c>
      <c r="Y55" t="str">
        <f>IF($Q55="","",INDEX(บันทึกรายเที่ยว!$Q$6:$Q$10005,$R55))</f>
        <v/>
      </c>
      <c r="Z55" t="str">
        <f>IF($Q55="","",INDEX(บันทึกรายเที่ยว!$F$6:$F$10005,$R55))</f>
        <v/>
      </c>
      <c r="AA55" t="str">
        <f>IFERROR(MATCH(48,$X$8:$X$407,1),"")</f>
        <v/>
      </c>
      <c r="AB55" t="str">
        <f>IF(48=$AD$1+1,"G",IF($AA55="","",IF(INDEX($Q$8:$Q$407,$AA55)="","",IF(48&gt;INDEX($X$8:$X$407,$AA55)+INDEX($V$8:$V$407,$AA55)+INDEX($W$8:$W$407,$AA55),"",IF(48=INDEX($X$8:$X$407,$AA55)+INDEX($V$8:$V$407,$AA55)+INDEX($W$8:$W$407,$AA55),"D",IF(AND(INDEX($W$8:$W$407,$AA55)=1,48=INDEX($X$8:$X$407,$AA55)+INDEX($V$8:$V$407,$AA55)),"S","R"))))))</f>
        <v/>
      </c>
      <c r="AC55" t="str">
        <f t="shared" si="11"/>
        <v/>
      </c>
      <c r="AE55">
        <f>IF($U55="",0,COUNTIF(บันทึกรายเที่ยว!$T$6:$T$10005,$U55))</f>
        <v>0</v>
      </c>
      <c r="AF55">
        <f>IF($U55="",0,ROUND(SUMIF(บันทึกรายเที่ยว!$T$6:$T$10005,$U55,บันทึกรายเที่ยว!$J$6:$J$10005),2))</f>
        <v>0</v>
      </c>
      <c r="AG55">
        <f>IF($U55="",0,ROUND(SUMIF(บันทึกรายเที่ยว!$T$6:$T$10005,$U55,บันทึกรายเที่ยว!$K$6:$K$10005),2))</f>
        <v>0</v>
      </c>
      <c r="AH55">
        <f>IF($U55="",0,ROUND(SUMIF(บันทึกรายเที่ยว!$T$6:$T$10005,$U55,บันทึกรายเที่ยว!$M$6:$M$10005),2))</f>
        <v>0</v>
      </c>
    </row>
    <row r="56" spans="1:34" ht="21" customHeight="1" x14ac:dyDescent="0.95">
      <c r="A56" s="3" t="str">
        <f t="shared" si="0"/>
        <v/>
      </c>
      <c r="B56" s="3" t="str">
        <f t="shared" si="1"/>
        <v/>
      </c>
      <c r="C56" s="8" t="str">
        <f t="shared" si="2"/>
        <v/>
      </c>
      <c r="D56" s="31" t="str">
        <f t="shared" si="3"/>
        <v/>
      </c>
      <c r="E56" s="32" t="str">
        <f>IF(49=$AD$1+3,"ขอแสดงความนับถือ",IF(49=$AD$1+6,"(                 )",IF(49=$AD$1+7,"เจ้าหน้าที่ขนส่ง",IF($AB56="G",SUM($AF$8:$AF$407),IF(OR($AB56="",$AB56="R"),"",IF($AB56="D",INDEX($AF$8:$AF$407,$AA56),SUMIF($T$8:$T$407,INDEX($T$8:$T$407,$AA56),$AF$8:$AF$407)))))))</f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J56" t="str">
        <f>IFERROR(MATCH(49,บันทึกรายเที่ยว!$W$6:$W$10005,0),"")</f>
        <v/>
      </c>
      <c r="K56" t="str">
        <f>IF($J56="","",INDEX(บันทึกรายเที่ยว!$T$6:$T$10005,$J56))</f>
        <v/>
      </c>
      <c r="L56" t="str">
        <f>IF($J56="","",INDEX(บันทึกรายเที่ยว!$S$6:$S$10005,$J56))</f>
        <v/>
      </c>
      <c r="M56" t="str">
        <f>IF($J56="","",INDEX(บันทึกรายเที่ยว!$R$6:$R$10005,$J56))</f>
        <v/>
      </c>
      <c r="N56" t="str">
        <f>IF($J56="","",MATCH($M56,บันทึกรายเที่ยว!$R$6:$R$10005,0))</f>
        <v/>
      </c>
      <c r="O56" t="str">
        <f>IF($J56="","",MATCH($L56,บันทึกรายเที่ยว!$S$6:$S$10005,0))</f>
        <v/>
      </c>
      <c r="P56" t="str">
        <f>IF($J56="","",IF(AND(OR($I$3="(ทั้งหมด)",INDEX(บันทึกรายเที่ยว!$C$6:$C$10005,$J56)=$I$3),OR($I$5="(ทั้งหมด)",INDEX(บันทึกรายเที่ยว!$D$6:$D$10005,$J56)=$I$5),OR($I$7="(ทั้งหมด)",INDEX(บันทึกรายเที่ยว!$F$6:$F$10005,$J56)=$I$7)),$N56*10000000+$O56*1000+49,""))</f>
        <v/>
      </c>
      <c r="Q56" t="str">
        <f>IFERROR(MATCH(SMALL($P$8:$P$407,49),$P$8:$P$407,0),"")</f>
        <v/>
      </c>
      <c r="R56" t="str">
        <f t="shared" si="7"/>
        <v/>
      </c>
      <c r="S56" t="str">
        <f t="shared" si="8"/>
        <v/>
      </c>
      <c r="T56" t="str">
        <f t="shared" si="9"/>
        <v/>
      </c>
      <c r="U56" t="str">
        <f t="shared" si="10"/>
        <v/>
      </c>
      <c r="V56">
        <f t="shared" si="12"/>
        <v>0</v>
      </c>
      <c r="W56">
        <f t="shared" si="13"/>
        <v>0</v>
      </c>
      <c r="X56">
        <f>IF($Q56="",99999+49,$X55+1+$V55+$W55)</f>
        <v>100048</v>
      </c>
      <c r="Y56" t="str">
        <f>IF($Q56="","",INDEX(บันทึกรายเที่ยว!$Q$6:$Q$10005,$R56))</f>
        <v/>
      </c>
      <c r="Z56" t="str">
        <f>IF($Q56="","",INDEX(บันทึกรายเที่ยว!$F$6:$F$10005,$R56))</f>
        <v/>
      </c>
      <c r="AA56" t="str">
        <f>IFERROR(MATCH(49,$X$8:$X$407,1),"")</f>
        <v/>
      </c>
      <c r="AB56" t="str">
        <f>IF(49=$AD$1+1,"G",IF($AA56="","",IF(INDEX($Q$8:$Q$407,$AA56)="","",IF(49&gt;INDEX($X$8:$X$407,$AA56)+INDEX($V$8:$V$407,$AA56)+INDEX($W$8:$W$407,$AA56),"",IF(49=INDEX($X$8:$X$407,$AA56)+INDEX($V$8:$V$407,$AA56)+INDEX($W$8:$W$407,$AA56),"D",IF(AND(INDEX($W$8:$W$407,$AA56)=1,49=INDEX($X$8:$X$407,$AA56)+INDEX($V$8:$V$407,$AA56)),"S","R"))))))</f>
        <v/>
      </c>
      <c r="AC56" t="str">
        <f t="shared" si="11"/>
        <v/>
      </c>
      <c r="AE56">
        <f>IF($U56="",0,COUNTIF(บันทึกรายเที่ยว!$T$6:$T$10005,$U56))</f>
        <v>0</v>
      </c>
      <c r="AF56">
        <f>IF($U56="",0,ROUND(SUMIF(บันทึกรายเที่ยว!$T$6:$T$10005,$U56,บันทึกรายเที่ยว!$J$6:$J$10005),2))</f>
        <v>0</v>
      </c>
      <c r="AG56">
        <f>IF($U56="",0,ROUND(SUMIF(บันทึกรายเที่ยว!$T$6:$T$10005,$U56,บันทึกรายเที่ยว!$K$6:$K$10005),2))</f>
        <v>0</v>
      </c>
      <c r="AH56">
        <f>IF($U56="",0,ROUND(SUMIF(บันทึกรายเที่ยว!$T$6:$T$10005,$U56,บันทึกรายเที่ยว!$M$6:$M$10005),2))</f>
        <v>0</v>
      </c>
    </row>
    <row r="57" spans="1:34" ht="21" customHeight="1" x14ac:dyDescent="0.95">
      <c r="A57" s="3" t="str">
        <f t="shared" si="0"/>
        <v/>
      </c>
      <c r="B57" s="3" t="str">
        <f t="shared" si="1"/>
        <v/>
      </c>
      <c r="C57" s="8" t="str">
        <f t="shared" si="2"/>
        <v/>
      </c>
      <c r="D57" s="31" t="str">
        <f t="shared" si="3"/>
        <v/>
      </c>
      <c r="E57" s="32" t="str">
        <f>IF(50=$AD$1+3,"ขอแสดงความนับถือ",IF(50=$AD$1+6,"(                 )",IF(50=$AD$1+7,"เจ้าหน้าที่ขนส่ง",IF($AB57="G",SUM($AF$8:$AF$407),IF(OR($AB57="",$AB57="R"),"",IF($AB57="D",INDEX($AF$8:$AF$407,$AA57),SUMIF($T$8:$T$407,INDEX($T$8:$T$407,$AA57),$AF$8:$AF$407)))))))</f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J57" t="str">
        <f>IFERROR(MATCH(50,บันทึกรายเที่ยว!$W$6:$W$10005,0),"")</f>
        <v/>
      </c>
      <c r="K57" t="str">
        <f>IF($J57="","",INDEX(บันทึกรายเที่ยว!$T$6:$T$10005,$J57))</f>
        <v/>
      </c>
      <c r="L57" t="str">
        <f>IF($J57="","",INDEX(บันทึกรายเที่ยว!$S$6:$S$10005,$J57))</f>
        <v/>
      </c>
      <c r="M57" t="str">
        <f>IF($J57="","",INDEX(บันทึกรายเที่ยว!$R$6:$R$10005,$J57))</f>
        <v/>
      </c>
      <c r="N57" t="str">
        <f>IF($J57="","",MATCH($M57,บันทึกรายเที่ยว!$R$6:$R$10005,0))</f>
        <v/>
      </c>
      <c r="O57" t="str">
        <f>IF($J57="","",MATCH($L57,บันทึกรายเที่ยว!$S$6:$S$10005,0))</f>
        <v/>
      </c>
      <c r="P57" t="str">
        <f>IF($J57="","",IF(AND(OR($I$3="(ทั้งหมด)",INDEX(บันทึกรายเที่ยว!$C$6:$C$10005,$J57)=$I$3),OR($I$5="(ทั้งหมด)",INDEX(บันทึกรายเที่ยว!$D$6:$D$10005,$J57)=$I$5),OR($I$7="(ทั้งหมด)",INDEX(บันทึกรายเที่ยว!$F$6:$F$10005,$J57)=$I$7)),$N57*10000000+$O57*1000+50,""))</f>
        <v/>
      </c>
      <c r="Q57" t="str">
        <f>IFERROR(MATCH(SMALL($P$8:$P$407,50),$P$8:$P$407,0),"")</f>
        <v/>
      </c>
      <c r="R57" t="str">
        <f t="shared" si="7"/>
        <v/>
      </c>
      <c r="S57" t="str">
        <f t="shared" si="8"/>
        <v/>
      </c>
      <c r="T57" t="str">
        <f t="shared" si="9"/>
        <v/>
      </c>
      <c r="U57" t="str">
        <f t="shared" si="10"/>
        <v/>
      </c>
      <c r="V57">
        <f t="shared" si="12"/>
        <v>0</v>
      </c>
      <c r="W57">
        <f t="shared" si="13"/>
        <v>0</v>
      </c>
      <c r="X57">
        <f>IF($Q57="",99999+50,$X56+1+$V56+$W56)</f>
        <v>100049</v>
      </c>
      <c r="Y57" t="str">
        <f>IF($Q57="","",INDEX(บันทึกรายเที่ยว!$Q$6:$Q$10005,$R57))</f>
        <v/>
      </c>
      <c r="Z57" t="str">
        <f>IF($Q57="","",INDEX(บันทึกรายเที่ยว!$F$6:$F$10005,$R57))</f>
        <v/>
      </c>
      <c r="AA57" t="str">
        <f>IFERROR(MATCH(50,$X$8:$X$407,1),"")</f>
        <v/>
      </c>
      <c r="AB57" t="str">
        <f>IF(50=$AD$1+1,"G",IF($AA57="","",IF(INDEX($Q$8:$Q$407,$AA57)="","",IF(50&gt;INDEX($X$8:$X$407,$AA57)+INDEX($V$8:$V$407,$AA57)+INDEX($W$8:$W$407,$AA57),"",IF(50=INDEX($X$8:$X$407,$AA57)+INDEX($V$8:$V$407,$AA57)+INDEX($W$8:$W$407,$AA57),"D",IF(AND(INDEX($W$8:$W$407,$AA57)=1,50=INDEX($X$8:$X$407,$AA57)+INDEX($V$8:$V$407,$AA57)),"S","R"))))))</f>
        <v/>
      </c>
      <c r="AC57" t="str">
        <f t="shared" si="11"/>
        <v/>
      </c>
      <c r="AE57">
        <f>IF($U57="",0,COUNTIF(บันทึกรายเที่ยว!$T$6:$T$10005,$U57))</f>
        <v>0</v>
      </c>
      <c r="AF57">
        <f>IF($U57="",0,ROUND(SUMIF(บันทึกรายเที่ยว!$T$6:$T$10005,$U57,บันทึกรายเที่ยว!$J$6:$J$10005),2))</f>
        <v>0</v>
      </c>
      <c r="AG57">
        <f>IF($U57="",0,ROUND(SUMIF(บันทึกรายเที่ยว!$T$6:$T$10005,$U57,บันทึกรายเที่ยว!$K$6:$K$10005),2))</f>
        <v>0</v>
      </c>
      <c r="AH57">
        <f>IF($U57="",0,ROUND(SUMIF(บันทึกรายเที่ยว!$T$6:$T$10005,$U57,บันทึกรายเที่ยว!$M$6:$M$10005),2))</f>
        <v>0</v>
      </c>
    </row>
    <row r="58" spans="1:34" ht="21" customHeight="1" x14ac:dyDescent="0.95">
      <c r="A58" s="3" t="str">
        <f t="shared" si="0"/>
        <v/>
      </c>
      <c r="B58" s="3" t="str">
        <f t="shared" si="1"/>
        <v/>
      </c>
      <c r="C58" s="8" t="str">
        <f t="shared" si="2"/>
        <v/>
      </c>
      <c r="D58" s="31" t="str">
        <f t="shared" si="3"/>
        <v/>
      </c>
      <c r="E58" s="32" t="str">
        <f>IF(51=$AD$1+3,"ขอแสดงความนับถือ",IF(51=$AD$1+6,"(                 )",IF(51=$AD$1+7,"เจ้าหน้าที่ขนส่ง",IF($AB58="G",SUM($AF$8:$AF$407),IF(OR($AB58="",$AB58="R"),"",IF($AB58="D",INDEX($AF$8:$AF$407,$AA58),SUMIF($T$8:$T$407,INDEX($T$8:$T$407,$AA58),$AF$8:$AF$407)))))))</f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J58" t="str">
        <f>IFERROR(MATCH(51,บันทึกรายเที่ยว!$W$6:$W$10005,0),"")</f>
        <v/>
      </c>
      <c r="K58" t="str">
        <f>IF($J58="","",INDEX(บันทึกรายเที่ยว!$T$6:$T$10005,$J58))</f>
        <v/>
      </c>
      <c r="L58" t="str">
        <f>IF($J58="","",INDEX(บันทึกรายเที่ยว!$S$6:$S$10005,$J58))</f>
        <v/>
      </c>
      <c r="M58" t="str">
        <f>IF($J58="","",INDEX(บันทึกรายเที่ยว!$R$6:$R$10005,$J58))</f>
        <v/>
      </c>
      <c r="N58" t="str">
        <f>IF($J58="","",MATCH($M58,บันทึกรายเที่ยว!$R$6:$R$10005,0))</f>
        <v/>
      </c>
      <c r="O58" t="str">
        <f>IF($J58="","",MATCH($L58,บันทึกรายเที่ยว!$S$6:$S$10005,0))</f>
        <v/>
      </c>
      <c r="P58" t="str">
        <f>IF($J58="","",IF(AND(OR($I$3="(ทั้งหมด)",INDEX(บันทึกรายเที่ยว!$C$6:$C$10005,$J58)=$I$3),OR($I$5="(ทั้งหมด)",INDEX(บันทึกรายเที่ยว!$D$6:$D$10005,$J58)=$I$5),OR($I$7="(ทั้งหมด)",INDEX(บันทึกรายเที่ยว!$F$6:$F$10005,$J58)=$I$7)),$N58*10000000+$O58*1000+51,""))</f>
        <v/>
      </c>
      <c r="Q58" t="str">
        <f>IFERROR(MATCH(SMALL($P$8:$P$407,51),$P$8:$P$407,0),"")</f>
        <v/>
      </c>
      <c r="R58" t="str">
        <f t="shared" si="7"/>
        <v/>
      </c>
      <c r="S58" t="str">
        <f t="shared" si="8"/>
        <v/>
      </c>
      <c r="T58" t="str">
        <f t="shared" si="9"/>
        <v/>
      </c>
      <c r="U58" t="str">
        <f t="shared" si="10"/>
        <v/>
      </c>
      <c r="V58">
        <f t="shared" si="12"/>
        <v>0</v>
      </c>
      <c r="W58">
        <f t="shared" si="13"/>
        <v>0</v>
      </c>
      <c r="X58">
        <f>IF($Q58="",99999+51,$X57+1+$V57+$W57)</f>
        <v>100050</v>
      </c>
      <c r="Y58" t="str">
        <f>IF($Q58="","",INDEX(บันทึกรายเที่ยว!$Q$6:$Q$10005,$R58))</f>
        <v/>
      </c>
      <c r="Z58" t="str">
        <f>IF($Q58="","",INDEX(บันทึกรายเที่ยว!$F$6:$F$10005,$R58))</f>
        <v/>
      </c>
      <c r="AA58" t="str">
        <f>IFERROR(MATCH(51,$X$8:$X$407,1),"")</f>
        <v/>
      </c>
      <c r="AB58" t="str">
        <f>IF(51=$AD$1+1,"G",IF($AA58="","",IF(INDEX($Q$8:$Q$407,$AA58)="","",IF(51&gt;INDEX($X$8:$X$407,$AA58)+INDEX($V$8:$V$407,$AA58)+INDEX($W$8:$W$407,$AA58),"",IF(51=INDEX($X$8:$X$407,$AA58)+INDEX($V$8:$V$407,$AA58)+INDEX($W$8:$W$407,$AA58),"D",IF(AND(INDEX($W$8:$W$407,$AA58)=1,51=INDEX($X$8:$X$407,$AA58)+INDEX($V$8:$V$407,$AA58)),"S","R"))))))</f>
        <v/>
      </c>
      <c r="AC58" t="str">
        <f t="shared" si="11"/>
        <v/>
      </c>
      <c r="AE58">
        <f>IF($U58="",0,COUNTIF(บันทึกรายเที่ยว!$T$6:$T$10005,$U58))</f>
        <v>0</v>
      </c>
      <c r="AF58">
        <f>IF($U58="",0,ROUND(SUMIF(บันทึกรายเที่ยว!$T$6:$T$10005,$U58,บันทึกรายเที่ยว!$J$6:$J$10005),2))</f>
        <v>0</v>
      </c>
      <c r="AG58">
        <f>IF($U58="",0,ROUND(SUMIF(บันทึกรายเที่ยว!$T$6:$T$10005,$U58,บันทึกรายเที่ยว!$K$6:$K$10005),2))</f>
        <v>0</v>
      </c>
      <c r="AH58">
        <f>IF($U58="",0,ROUND(SUMIF(บันทึกรายเที่ยว!$T$6:$T$10005,$U58,บันทึกรายเที่ยว!$M$6:$M$10005),2))</f>
        <v>0</v>
      </c>
    </row>
    <row r="59" spans="1:34" ht="21" customHeight="1" x14ac:dyDescent="0.95">
      <c r="A59" s="3" t="str">
        <f t="shared" si="0"/>
        <v/>
      </c>
      <c r="B59" s="3" t="str">
        <f t="shared" si="1"/>
        <v/>
      </c>
      <c r="C59" s="8" t="str">
        <f t="shared" si="2"/>
        <v/>
      </c>
      <c r="D59" s="31" t="str">
        <f t="shared" si="3"/>
        <v/>
      </c>
      <c r="E59" s="32" t="str">
        <f>IF(52=$AD$1+3,"ขอแสดงความนับถือ",IF(52=$AD$1+6,"(                 )",IF(52=$AD$1+7,"เจ้าหน้าที่ขนส่ง",IF($AB59="G",SUM($AF$8:$AF$407),IF(OR($AB59="",$AB59="R"),"",IF($AB59="D",INDEX($AF$8:$AF$407,$AA59),SUMIF($T$8:$T$407,INDEX($T$8:$T$407,$AA59),$AF$8:$AF$407)))))))</f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J59" t="str">
        <f>IFERROR(MATCH(52,บันทึกรายเที่ยว!$W$6:$W$10005,0),"")</f>
        <v/>
      </c>
      <c r="K59" t="str">
        <f>IF($J59="","",INDEX(บันทึกรายเที่ยว!$T$6:$T$10005,$J59))</f>
        <v/>
      </c>
      <c r="L59" t="str">
        <f>IF($J59="","",INDEX(บันทึกรายเที่ยว!$S$6:$S$10005,$J59))</f>
        <v/>
      </c>
      <c r="M59" t="str">
        <f>IF($J59="","",INDEX(บันทึกรายเที่ยว!$R$6:$R$10005,$J59))</f>
        <v/>
      </c>
      <c r="N59" t="str">
        <f>IF($J59="","",MATCH($M59,บันทึกรายเที่ยว!$R$6:$R$10005,0))</f>
        <v/>
      </c>
      <c r="O59" t="str">
        <f>IF($J59="","",MATCH($L59,บันทึกรายเที่ยว!$S$6:$S$10005,0))</f>
        <v/>
      </c>
      <c r="P59" t="str">
        <f>IF($J59="","",IF(AND(OR($I$3="(ทั้งหมด)",INDEX(บันทึกรายเที่ยว!$C$6:$C$10005,$J59)=$I$3),OR($I$5="(ทั้งหมด)",INDEX(บันทึกรายเที่ยว!$D$6:$D$10005,$J59)=$I$5),OR($I$7="(ทั้งหมด)",INDEX(บันทึกรายเที่ยว!$F$6:$F$10005,$J59)=$I$7)),$N59*10000000+$O59*1000+52,""))</f>
        <v/>
      </c>
      <c r="Q59" t="str">
        <f>IFERROR(MATCH(SMALL($P$8:$P$407,52),$P$8:$P$407,0),"")</f>
        <v/>
      </c>
      <c r="R59" t="str">
        <f t="shared" si="7"/>
        <v/>
      </c>
      <c r="S59" t="str">
        <f t="shared" si="8"/>
        <v/>
      </c>
      <c r="T59" t="str">
        <f t="shared" si="9"/>
        <v/>
      </c>
      <c r="U59" t="str">
        <f t="shared" si="10"/>
        <v/>
      </c>
      <c r="V59">
        <f t="shared" si="12"/>
        <v>0</v>
      </c>
      <c r="W59">
        <f t="shared" si="13"/>
        <v>0</v>
      </c>
      <c r="X59">
        <f>IF($Q59="",99999+52,$X58+1+$V58+$W58)</f>
        <v>100051</v>
      </c>
      <c r="Y59" t="str">
        <f>IF($Q59="","",INDEX(บันทึกรายเที่ยว!$Q$6:$Q$10005,$R59))</f>
        <v/>
      </c>
      <c r="Z59" t="str">
        <f>IF($Q59="","",INDEX(บันทึกรายเที่ยว!$F$6:$F$10005,$R59))</f>
        <v/>
      </c>
      <c r="AA59" t="str">
        <f>IFERROR(MATCH(52,$X$8:$X$407,1),"")</f>
        <v/>
      </c>
      <c r="AB59" t="str">
        <f>IF(52=$AD$1+1,"G",IF($AA59="","",IF(INDEX($Q$8:$Q$407,$AA59)="","",IF(52&gt;INDEX($X$8:$X$407,$AA59)+INDEX($V$8:$V$407,$AA59)+INDEX($W$8:$W$407,$AA59),"",IF(52=INDEX($X$8:$X$407,$AA59)+INDEX($V$8:$V$407,$AA59)+INDEX($W$8:$W$407,$AA59),"D",IF(AND(INDEX($W$8:$W$407,$AA59)=1,52=INDEX($X$8:$X$407,$AA59)+INDEX($V$8:$V$407,$AA59)),"S","R"))))))</f>
        <v/>
      </c>
      <c r="AC59" t="str">
        <f t="shared" si="11"/>
        <v/>
      </c>
      <c r="AE59">
        <f>IF($U59="",0,COUNTIF(บันทึกรายเที่ยว!$T$6:$T$10005,$U59))</f>
        <v>0</v>
      </c>
      <c r="AF59">
        <f>IF($U59="",0,ROUND(SUMIF(บันทึกรายเที่ยว!$T$6:$T$10005,$U59,บันทึกรายเที่ยว!$J$6:$J$10005),2))</f>
        <v>0</v>
      </c>
      <c r="AG59">
        <f>IF($U59="",0,ROUND(SUMIF(บันทึกรายเที่ยว!$T$6:$T$10005,$U59,บันทึกรายเที่ยว!$K$6:$K$10005),2))</f>
        <v>0</v>
      </c>
      <c r="AH59">
        <f>IF($U59="",0,ROUND(SUMIF(บันทึกรายเที่ยว!$T$6:$T$10005,$U59,บันทึกรายเที่ยว!$M$6:$M$10005),2))</f>
        <v>0</v>
      </c>
    </row>
    <row r="60" spans="1:34" ht="21" customHeight="1" x14ac:dyDescent="0.95">
      <c r="A60" s="3" t="str">
        <f t="shared" si="0"/>
        <v/>
      </c>
      <c r="B60" s="3" t="str">
        <f t="shared" si="1"/>
        <v/>
      </c>
      <c r="C60" s="8" t="str">
        <f t="shared" si="2"/>
        <v/>
      </c>
      <c r="D60" s="31" t="str">
        <f t="shared" si="3"/>
        <v/>
      </c>
      <c r="E60" s="32" t="str">
        <f>IF(53=$AD$1+3,"ขอแสดงความนับถือ",IF(53=$AD$1+6,"(                 )",IF(53=$AD$1+7,"เจ้าหน้าที่ขนส่ง",IF($AB60="G",SUM($AF$8:$AF$407),IF(OR($AB60="",$AB60="R"),"",IF($AB60="D",INDEX($AF$8:$AF$407,$AA60),SUMIF($T$8:$T$407,INDEX($T$8:$T$407,$AA60),$AF$8:$AF$407)))))))</f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J60" t="str">
        <f>IFERROR(MATCH(53,บันทึกรายเที่ยว!$W$6:$W$10005,0),"")</f>
        <v/>
      </c>
      <c r="K60" t="str">
        <f>IF($J60="","",INDEX(บันทึกรายเที่ยว!$T$6:$T$10005,$J60))</f>
        <v/>
      </c>
      <c r="L60" t="str">
        <f>IF($J60="","",INDEX(บันทึกรายเที่ยว!$S$6:$S$10005,$J60))</f>
        <v/>
      </c>
      <c r="M60" t="str">
        <f>IF($J60="","",INDEX(บันทึกรายเที่ยว!$R$6:$R$10005,$J60))</f>
        <v/>
      </c>
      <c r="N60" t="str">
        <f>IF($J60="","",MATCH($M60,บันทึกรายเที่ยว!$R$6:$R$10005,0))</f>
        <v/>
      </c>
      <c r="O60" t="str">
        <f>IF($J60="","",MATCH($L60,บันทึกรายเที่ยว!$S$6:$S$10005,0))</f>
        <v/>
      </c>
      <c r="P60" t="str">
        <f>IF($J60="","",IF(AND(OR($I$3="(ทั้งหมด)",INDEX(บันทึกรายเที่ยว!$C$6:$C$10005,$J60)=$I$3),OR($I$5="(ทั้งหมด)",INDEX(บันทึกรายเที่ยว!$D$6:$D$10005,$J60)=$I$5),OR($I$7="(ทั้งหมด)",INDEX(บันทึกรายเที่ยว!$F$6:$F$10005,$J60)=$I$7)),$N60*10000000+$O60*1000+53,""))</f>
        <v/>
      </c>
      <c r="Q60" t="str">
        <f>IFERROR(MATCH(SMALL($P$8:$P$407,53),$P$8:$P$407,0),"")</f>
        <v/>
      </c>
      <c r="R60" t="str">
        <f t="shared" si="7"/>
        <v/>
      </c>
      <c r="S60" t="str">
        <f t="shared" si="8"/>
        <v/>
      </c>
      <c r="T60" t="str">
        <f t="shared" si="9"/>
        <v/>
      </c>
      <c r="U60" t="str">
        <f t="shared" si="10"/>
        <v/>
      </c>
      <c r="V60">
        <f t="shared" si="12"/>
        <v>0</v>
      </c>
      <c r="W60">
        <f t="shared" si="13"/>
        <v>0</v>
      </c>
      <c r="X60">
        <f>IF($Q60="",99999+53,$X59+1+$V59+$W59)</f>
        <v>100052</v>
      </c>
      <c r="Y60" t="str">
        <f>IF($Q60="","",INDEX(บันทึกรายเที่ยว!$Q$6:$Q$10005,$R60))</f>
        <v/>
      </c>
      <c r="Z60" t="str">
        <f>IF($Q60="","",INDEX(บันทึกรายเที่ยว!$F$6:$F$10005,$R60))</f>
        <v/>
      </c>
      <c r="AA60" t="str">
        <f>IFERROR(MATCH(53,$X$8:$X$407,1),"")</f>
        <v/>
      </c>
      <c r="AB60" t="str">
        <f>IF(53=$AD$1+1,"G",IF($AA60="","",IF(INDEX($Q$8:$Q$407,$AA60)="","",IF(53&gt;INDEX($X$8:$X$407,$AA60)+INDEX($V$8:$V$407,$AA60)+INDEX($W$8:$W$407,$AA60),"",IF(53=INDEX($X$8:$X$407,$AA60)+INDEX($V$8:$V$407,$AA60)+INDEX($W$8:$W$407,$AA60),"D",IF(AND(INDEX($W$8:$W$407,$AA60)=1,53=INDEX($X$8:$X$407,$AA60)+INDEX($V$8:$V$407,$AA60)),"S","R"))))))</f>
        <v/>
      </c>
      <c r="AC60" t="str">
        <f t="shared" si="11"/>
        <v/>
      </c>
      <c r="AE60">
        <f>IF($U60="",0,COUNTIF(บันทึกรายเที่ยว!$T$6:$T$10005,$U60))</f>
        <v>0</v>
      </c>
      <c r="AF60">
        <f>IF($U60="",0,ROUND(SUMIF(บันทึกรายเที่ยว!$T$6:$T$10005,$U60,บันทึกรายเที่ยว!$J$6:$J$10005),2))</f>
        <v>0</v>
      </c>
      <c r="AG60">
        <f>IF($U60="",0,ROUND(SUMIF(บันทึกรายเที่ยว!$T$6:$T$10005,$U60,บันทึกรายเที่ยว!$K$6:$K$10005),2))</f>
        <v>0</v>
      </c>
      <c r="AH60">
        <f>IF($U60="",0,ROUND(SUMIF(บันทึกรายเที่ยว!$T$6:$T$10005,$U60,บันทึกรายเที่ยว!$M$6:$M$10005),2))</f>
        <v>0</v>
      </c>
    </row>
    <row r="61" spans="1:34" ht="21" customHeight="1" x14ac:dyDescent="0.95">
      <c r="A61" s="3" t="str">
        <f t="shared" si="0"/>
        <v/>
      </c>
      <c r="B61" s="3" t="str">
        <f t="shared" si="1"/>
        <v/>
      </c>
      <c r="C61" s="8" t="str">
        <f t="shared" si="2"/>
        <v/>
      </c>
      <c r="D61" s="31" t="str">
        <f t="shared" si="3"/>
        <v/>
      </c>
      <c r="E61" s="32" t="str">
        <f>IF(54=$AD$1+3,"ขอแสดงความนับถือ",IF(54=$AD$1+6,"(                 )",IF(54=$AD$1+7,"เจ้าหน้าที่ขนส่ง",IF($AB61="G",SUM($AF$8:$AF$407),IF(OR($AB61="",$AB61="R"),"",IF($AB61="D",INDEX($AF$8:$AF$407,$AA61),SUMIF($T$8:$T$407,INDEX($T$8:$T$407,$AA61),$AF$8:$AF$407)))))))</f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J61" t="str">
        <f>IFERROR(MATCH(54,บันทึกรายเที่ยว!$W$6:$W$10005,0),"")</f>
        <v/>
      </c>
      <c r="K61" t="str">
        <f>IF($J61="","",INDEX(บันทึกรายเที่ยว!$T$6:$T$10005,$J61))</f>
        <v/>
      </c>
      <c r="L61" t="str">
        <f>IF($J61="","",INDEX(บันทึกรายเที่ยว!$S$6:$S$10005,$J61))</f>
        <v/>
      </c>
      <c r="M61" t="str">
        <f>IF($J61="","",INDEX(บันทึกรายเที่ยว!$R$6:$R$10005,$J61))</f>
        <v/>
      </c>
      <c r="N61" t="str">
        <f>IF($J61="","",MATCH($M61,บันทึกรายเที่ยว!$R$6:$R$10005,0))</f>
        <v/>
      </c>
      <c r="O61" t="str">
        <f>IF($J61="","",MATCH($L61,บันทึกรายเที่ยว!$S$6:$S$10005,0))</f>
        <v/>
      </c>
      <c r="P61" t="str">
        <f>IF($J61="","",IF(AND(OR($I$3="(ทั้งหมด)",INDEX(บันทึกรายเที่ยว!$C$6:$C$10005,$J61)=$I$3),OR($I$5="(ทั้งหมด)",INDEX(บันทึกรายเที่ยว!$D$6:$D$10005,$J61)=$I$5),OR($I$7="(ทั้งหมด)",INDEX(บันทึกรายเที่ยว!$F$6:$F$10005,$J61)=$I$7)),$N61*10000000+$O61*1000+54,""))</f>
        <v/>
      </c>
      <c r="Q61" t="str">
        <f>IFERROR(MATCH(SMALL($P$8:$P$407,54),$P$8:$P$407,0),"")</f>
        <v/>
      </c>
      <c r="R61" t="str">
        <f t="shared" si="7"/>
        <v/>
      </c>
      <c r="S61" t="str">
        <f t="shared" si="8"/>
        <v/>
      </c>
      <c r="T61" t="str">
        <f t="shared" si="9"/>
        <v/>
      </c>
      <c r="U61" t="str">
        <f t="shared" si="10"/>
        <v/>
      </c>
      <c r="V61">
        <f t="shared" si="12"/>
        <v>0</v>
      </c>
      <c r="W61">
        <f t="shared" si="13"/>
        <v>0</v>
      </c>
      <c r="X61">
        <f>IF($Q61="",99999+54,$X60+1+$V60+$W60)</f>
        <v>100053</v>
      </c>
      <c r="Y61" t="str">
        <f>IF($Q61="","",INDEX(บันทึกรายเที่ยว!$Q$6:$Q$10005,$R61))</f>
        <v/>
      </c>
      <c r="Z61" t="str">
        <f>IF($Q61="","",INDEX(บันทึกรายเที่ยว!$F$6:$F$10005,$R61))</f>
        <v/>
      </c>
      <c r="AA61" t="str">
        <f>IFERROR(MATCH(54,$X$8:$X$407,1),"")</f>
        <v/>
      </c>
      <c r="AB61" t="str">
        <f>IF(54=$AD$1+1,"G",IF($AA61="","",IF(INDEX($Q$8:$Q$407,$AA61)="","",IF(54&gt;INDEX($X$8:$X$407,$AA61)+INDEX($V$8:$V$407,$AA61)+INDEX($W$8:$W$407,$AA61),"",IF(54=INDEX($X$8:$X$407,$AA61)+INDEX($V$8:$V$407,$AA61)+INDEX($W$8:$W$407,$AA61),"D",IF(AND(INDEX($W$8:$W$407,$AA61)=1,54=INDEX($X$8:$X$407,$AA61)+INDEX($V$8:$V$407,$AA61)),"S","R"))))))</f>
        <v/>
      </c>
      <c r="AC61" t="str">
        <f t="shared" si="11"/>
        <v/>
      </c>
      <c r="AE61">
        <f>IF($U61="",0,COUNTIF(บันทึกรายเที่ยว!$T$6:$T$10005,$U61))</f>
        <v>0</v>
      </c>
      <c r="AF61">
        <f>IF($U61="",0,ROUND(SUMIF(บันทึกรายเที่ยว!$T$6:$T$10005,$U61,บันทึกรายเที่ยว!$J$6:$J$10005),2))</f>
        <v>0</v>
      </c>
      <c r="AG61">
        <f>IF($U61="",0,ROUND(SUMIF(บันทึกรายเที่ยว!$T$6:$T$10005,$U61,บันทึกรายเที่ยว!$K$6:$K$10005),2))</f>
        <v>0</v>
      </c>
      <c r="AH61">
        <f>IF($U61="",0,ROUND(SUMIF(บันทึกรายเที่ยว!$T$6:$T$10005,$U61,บันทึกรายเที่ยว!$M$6:$M$10005),2))</f>
        <v>0</v>
      </c>
    </row>
    <row r="62" spans="1:34" ht="21" customHeight="1" x14ac:dyDescent="0.95">
      <c r="A62" s="3" t="str">
        <f t="shared" si="0"/>
        <v/>
      </c>
      <c r="B62" s="3" t="str">
        <f t="shared" si="1"/>
        <v/>
      </c>
      <c r="C62" s="8" t="str">
        <f t="shared" si="2"/>
        <v/>
      </c>
      <c r="D62" s="31" t="str">
        <f t="shared" si="3"/>
        <v/>
      </c>
      <c r="E62" s="32" t="str">
        <f>IF(55=$AD$1+3,"ขอแสดงความนับถือ",IF(55=$AD$1+6,"(                 )",IF(55=$AD$1+7,"เจ้าหน้าที่ขนส่ง",IF($AB62="G",SUM($AF$8:$AF$407),IF(OR($AB62="",$AB62="R"),"",IF($AB62="D",INDEX($AF$8:$AF$407,$AA62),SUMIF($T$8:$T$407,INDEX($T$8:$T$407,$AA62),$AF$8:$AF$407)))))))</f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J62" t="str">
        <f>IFERROR(MATCH(55,บันทึกรายเที่ยว!$W$6:$W$10005,0),"")</f>
        <v/>
      </c>
      <c r="K62" t="str">
        <f>IF($J62="","",INDEX(บันทึกรายเที่ยว!$T$6:$T$10005,$J62))</f>
        <v/>
      </c>
      <c r="L62" t="str">
        <f>IF($J62="","",INDEX(บันทึกรายเที่ยว!$S$6:$S$10005,$J62))</f>
        <v/>
      </c>
      <c r="M62" t="str">
        <f>IF($J62="","",INDEX(บันทึกรายเที่ยว!$R$6:$R$10005,$J62))</f>
        <v/>
      </c>
      <c r="N62" t="str">
        <f>IF($J62="","",MATCH($M62,บันทึกรายเที่ยว!$R$6:$R$10005,0))</f>
        <v/>
      </c>
      <c r="O62" t="str">
        <f>IF($J62="","",MATCH($L62,บันทึกรายเที่ยว!$S$6:$S$10005,0))</f>
        <v/>
      </c>
      <c r="P62" t="str">
        <f>IF($J62="","",IF(AND(OR($I$3="(ทั้งหมด)",INDEX(บันทึกรายเที่ยว!$C$6:$C$10005,$J62)=$I$3),OR($I$5="(ทั้งหมด)",INDEX(บันทึกรายเที่ยว!$D$6:$D$10005,$J62)=$I$5),OR($I$7="(ทั้งหมด)",INDEX(บันทึกรายเที่ยว!$F$6:$F$10005,$J62)=$I$7)),$N62*10000000+$O62*1000+55,""))</f>
        <v/>
      </c>
      <c r="Q62" t="str">
        <f>IFERROR(MATCH(SMALL($P$8:$P$407,55),$P$8:$P$407,0),"")</f>
        <v/>
      </c>
      <c r="R62" t="str">
        <f t="shared" si="7"/>
        <v/>
      </c>
      <c r="S62" t="str">
        <f t="shared" si="8"/>
        <v/>
      </c>
      <c r="T62" t="str">
        <f t="shared" si="9"/>
        <v/>
      </c>
      <c r="U62" t="str">
        <f t="shared" si="10"/>
        <v/>
      </c>
      <c r="V62">
        <f t="shared" si="12"/>
        <v>0</v>
      </c>
      <c r="W62">
        <f t="shared" si="13"/>
        <v>0</v>
      </c>
      <c r="X62">
        <f>IF($Q62="",99999+55,$X61+1+$V61+$W61)</f>
        <v>100054</v>
      </c>
      <c r="Y62" t="str">
        <f>IF($Q62="","",INDEX(บันทึกรายเที่ยว!$Q$6:$Q$10005,$R62))</f>
        <v/>
      </c>
      <c r="Z62" t="str">
        <f>IF($Q62="","",INDEX(บันทึกรายเที่ยว!$F$6:$F$10005,$R62))</f>
        <v/>
      </c>
      <c r="AA62" t="str">
        <f>IFERROR(MATCH(55,$X$8:$X$407,1),"")</f>
        <v/>
      </c>
      <c r="AB62" t="str">
        <f>IF(55=$AD$1+1,"G",IF($AA62="","",IF(INDEX($Q$8:$Q$407,$AA62)="","",IF(55&gt;INDEX($X$8:$X$407,$AA62)+INDEX($V$8:$V$407,$AA62)+INDEX($W$8:$W$407,$AA62),"",IF(55=INDEX($X$8:$X$407,$AA62)+INDEX($V$8:$V$407,$AA62)+INDEX($W$8:$W$407,$AA62),"D",IF(AND(INDEX($W$8:$W$407,$AA62)=1,55=INDEX($X$8:$X$407,$AA62)+INDEX($V$8:$V$407,$AA62)),"S","R"))))))</f>
        <v/>
      </c>
      <c r="AC62" t="str">
        <f t="shared" si="11"/>
        <v/>
      </c>
      <c r="AE62">
        <f>IF($U62="",0,COUNTIF(บันทึกรายเที่ยว!$T$6:$T$10005,$U62))</f>
        <v>0</v>
      </c>
      <c r="AF62">
        <f>IF($U62="",0,ROUND(SUMIF(บันทึกรายเที่ยว!$T$6:$T$10005,$U62,บันทึกรายเที่ยว!$J$6:$J$10005),2))</f>
        <v>0</v>
      </c>
      <c r="AG62">
        <f>IF($U62="",0,ROUND(SUMIF(บันทึกรายเที่ยว!$T$6:$T$10005,$U62,บันทึกรายเที่ยว!$K$6:$K$10005),2))</f>
        <v>0</v>
      </c>
      <c r="AH62">
        <f>IF($U62="",0,ROUND(SUMIF(บันทึกรายเที่ยว!$T$6:$T$10005,$U62,บันทึกรายเที่ยว!$M$6:$M$10005),2))</f>
        <v>0</v>
      </c>
    </row>
    <row r="63" spans="1:34" ht="21" customHeight="1" x14ac:dyDescent="0.95">
      <c r="A63" s="3" t="str">
        <f t="shared" si="0"/>
        <v/>
      </c>
      <c r="B63" s="3" t="str">
        <f t="shared" si="1"/>
        <v/>
      </c>
      <c r="C63" s="8" t="str">
        <f t="shared" si="2"/>
        <v/>
      </c>
      <c r="D63" s="31" t="str">
        <f t="shared" si="3"/>
        <v/>
      </c>
      <c r="E63" s="32" t="str">
        <f>IF(56=$AD$1+3,"ขอแสดงความนับถือ",IF(56=$AD$1+6,"(                 )",IF(56=$AD$1+7,"เจ้าหน้าที่ขนส่ง",IF($AB63="G",SUM($AF$8:$AF$407),IF(OR($AB63="",$AB63="R"),"",IF($AB63="D",INDEX($AF$8:$AF$407,$AA63),SUMIF($T$8:$T$407,INDEX($T$8:$T$407,$AA63),$AF$8:$AF$407)))))))</f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J63" t="str">
        <f>IFERROR(MATCH(56,บันทึกรายเที่ยว!$W$6:$W$10005,0),"")</f>
        <v/>
      </c>
      <c r="K63" t="str">
        <f>IF($J63="","",INDEX(บันทึกรายเที่ยว!$T$6:$T$10005,$J63))</f>
        <v/>
      </c>
      <c r="L63" t="str">
        <f>IF($J63="","",INDEX(บันทึกรายเที่ยว!$S$6:$S$10005,$J63))</f>
        <v/>
      </c>
      <c r="M63" t="str">
        <f>IF($J63="","",INDEX(บันทึกรายเที่ยว!$R$6:$R$10005,$J63))</f>
        <v/>
      </c>
      <c r="N63" t="str">
        <f>IF($J63="","",MATCH($M63,บันทึกรายเที่ยว!$R$6:$R$10005,0))</f>
        <v/>
      </c>
      <c r="O63" t="str">
        <f>IF($J63="","",MATCH($L63,บันทึกรายเที่ยว!$S$6:$S$10005,0))</f>
        <v/>
      </c>
      <c r="P63" t="str">
        <f>IF($J63="","",IF(AND(OR($I$3="(ทั้งหมด)",INDEX(บันทึกรายเที่ยว!$C$6:$C$10005,$J63)=$I$3),OR($I$5="(ทั้งหมด)",INDEX(บันทึกรายเที่ยว!$D$6:$D$10005,$J63)=$I$5),OR($I$7="(ทั้งหมด)",INDEX(บันทึกรายเที่ยว!$F$6:$F$10005,$J63)=$I$7)),$N63*10000000+$O63*1000+56,""))</f>
        <v/>
      </c>
      <c r="Q63" t="str">
        <f>IFERROR(MATCH(SMALL($P$8:$P$407,56),$P$8:$P$407,0),"")</f>
        <v/>
      </c>
      <c r="R63" t="str">
        <f t="shared" si="7"/>
        <v/>
      </c>
      <c r="S63" t="str">
        <f t="shared" si="8"/>
        <v/>
      </c>
      <c r="T63" t="str">
        <f t="shared" si="9"/>
        <v/>
      </c>
      <c r="U63" t="str">
        <f t="shared" si="10"/>
        <v/>
      </c>
      <c r="V63">
        <f t="shared" si="12"/>
        <v>0</v>
      </c>
      <c r="W63">
        <f t="shared" si="13"/>
        <v>0</v>
      </c>
      <c r="X63">
        <f>IF($Q63="",99999+56,$X62+1+$V62+$W62)</f>
        <v>100055</v>
      </c>
      <c r="Y63" t="str">
        <f>IF($Q63="","",INDEX(บันทึกรายเที่ยว!$Q$6:$Q$10005,$R63))</f>
        <v/>
      </c>
      <c r="Z63" t="str">
        <f>IF($Q63="","",INDEX(บันทึกรายเที่ยว!$F$6:$F$10005,$R63))</f>
        <v/>
      </c>
      <c r="AA63" t="str">
        <f>IFERROR(MATCH(56,$X$8:$X$407,1),"")</f>
        <v/>
      </c>
      <c r="AB63" t="str">
        <f>IF(56=$AD$1+1,"G",IF($AA63="","",IF(INDEX($Q$8:$Q$407,$AA63)="","",IF(56&gt;INDEX($X$8:$X$407,$AA63)+INDEX($V$8:$V$407,$AA63)+INDEX($W$8:$W$407,$AA63),"",IF(56=INDEX($X$8:$X$407,$AA63)+INDEX($V$8:$V$407,$AA63)+INDEX($W$8:$W$407,$AA63),"D",IF(AND(INDEX($W$8:$W$407,$AA63)=1,56=INDEX($X$8:$X$407,$AA63)+INDEX($V$8:$V$407,$AA63)),"S","R"))))))</f>
        <v/>
      </c>
      <c r="AC63" t="str">
        <f t="shared" si="11"/>
        <v/>
      </c>
      <c r="AE63">
        <f>IF($U63="",0,COUNTIF(บันทึกรายเที่ยว!$T$6:$T$10005,$U63))</f>
        <v>0</v>
      </c>
      <c r="AF63">
        <f>IF($U63="",0,ROUND(SUMIF(บันทึกรายเที่ยว!$T$6:$T$10005,$U63,บันทึกรายเที่ยว!$J$6:$J$10005),2))</f>
        <v>0</v>
      </c>
      <c r="AG63">
        <f>IF($U63="",0,ROUND(SUMIF(บันทึกรายเที่ยว!$T$6:$T$10005,$U63,บันทึกรายเที่ยว!$K$6:$K$10005),2))</f>
        <v>0</v>
      </c>
      <c r="AH63">
        <f>IF($U63="",0,ROUND(SUMIF(บันทึกรายเที่ยว!$T$6:$T$10005,$U63,บันทึกรายเที่ยว!$M$6:$M$10005),2))</f>
        <v>0</v>
      </c>
    </row>
    <row r="64" spans="1:34" ht="21" customHeight="1" x14ac:dyDescent="0.95">
      <c r="A64" s="3" t="str">
        <f t="shared" si="0"/>
        <v/>
      </c>
      <c r="B64" s="3" t="str">
        <f t="shared" si="1"/>
        <v/>
      </c>
      <c r="C64" s="8" t="str">
        <f t="shared" si="2"/>
        <v/>
      </c>
      <c r="D64" s="31" t="str">
        <f t="shared" si="3"/>
        <v/>
      </c>
      <c r="E64" s="32" t="str">
        <f>IF(57=$AD$1+3,"ขอแสดงความนับถือ",IF(57=$AD$1+6,"(                 )",IF(57=$AD$1+7,"เจ้าหน้าที่ขนส่ง",IF($AB64="G",SUM($AF$8:$AF$407),IF(OR($AB64="",$AB64="R"),"",IF($AB64="D",INDEX($AF$8:$AF$407,$AA64),SUMIF($T$8:$T$407,INDEX($T$8:$T$407,$AA64),$AF$8:$AF$407)))))))</f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J64" t="str">
        <f>IFERROR(MATCH(57,บันทึกรายเที่ยว!$W$6:$W$10005,0),"")</f>
        <v/>
      </c>
      <c r="K64" t="str">
        <f>IF($J64="","",INDEX(บันทึกรายเที่ยว!$T$6:$T$10005,$J64))</f>
        <v/>
      </c>
      <c r="L64" t="str">
        <f>IF($J64="","",INDEX(บันทึกรายเที่ยว!$S$6:$S$10005,$J64))</f>
        <v/>
      </c>
      <c r="M64" t="str">
        <f>IF($J64="","",INDEX(บันทึกรายเที่ยว!$R$6:$R$10005,$J64))</f>
        <v/>
      </c>
      <c r="N64" t="str">
        <f>IF($J64="","",MATCH($M64,บันทึกรายเที่ยว!$R$6:$R$10005,0))</f>
        <v/>
      </c>
      <c r="O64" t="str">
        <f>IF($J64="","",MATCH($L64,บันทึกรายเที่ยว!$S$6:$S$10005,0))</f>
        <v/>
      </c>
      <c r="P64" t="str">
        <f>IF($J64="","",IF(AND(OR($I$3="(ทั้งหมด)",INDEX(บันทึกรายเที่ยว!$C$6:$C$10005,$J64)=$I$3),OR($I$5="(ทั้งหมด)",INDEX(บันทึกรายเที่ยว!$D$6:$D$10005,$J64)=$I$5),OR($I$7="(ทั้งหมด)",INDEX(บันทึกรายเที่ยว!$F$6:$F$10005,$J64)=$I$7)),$N64*10000000+$O64*1000+57,""))</f>
        <v/>
      </c>
      <c r="Q64" t="str">
        <f>IFERROR(MATCH(SMALL($P$8:$P$407,57),$P$8:$P$407,0),"")</f>
        <v/>
      </c>
      <c r="R64" t="str">
        <f t="shared" si="7"/>
        <v/>
      </c>
      <c r="S64" t="str">
        <f t="shared" si="8"/>
        <v/>
      </c>
      <c r="T64" t="str">
        <f t="shared" si="9"/>
        <v/>
      </c>
      <c r="U64" t="str">
        <f t="shared" si="10"/>
        <v/>
      </c>
      <c r="V64">
        <f t="shared" si="12"/>
        <v>0</v>
      </c>
      <c r="W64">
        <f t="shared" si="13"/>
        <v>0</v>
      </c>
      <c r="X64">
        <f>IF($Q64="",99999+57,$X63+1+$V63+$W63)</f>
        <v>100056</v>
      </c>
      <c r="Y64" t="str">
        <f>IF($Q64="","",INDEX(บันทึกรายเที่ยว!$Q$6:$Q$10005,$R64))</f>
        <v/>
      </c>
      <c r="Z64" t="str">
        <f>IF($Q64="","",INDEX(บันทึกรายเที่ยว!$F$6:$F$10005,$R64))</f>
        <v/>
      </c>
      <c r="AA64" t="str">
        <f>IFERROR(MATCH(57,$X$8:$X$407,1),"")</f>
        <v/>
      </c>
      <c r="AB64" t="str">
        <f>IF(57=$AD$1+1,"G",IF($AA64="","",IF(INDEX($Q$8:$Q$407,$AA64)="","",IF(57&gt;INDEX($X$8:$X$407,$AA64)+INDEX($V$8:$V$407,$AA64)+INDEX($W$8:$W$407,$AA64),"",IF(57=INDEX($X$8:$X$407,$AA64)+INDEX($V$8:$V$407,$AA64)+INDEX($W$8:$W$407,$AA64),"D",IF(AND(INDEX($W$8:$W$407,$AA64)=1,57=INDEX($X$8:$X$407,$AA64)+INDEX($V$8:$V$407,$AA64)),"S","R"))))))</f>
        <v/>
      </c>
      <c r="AC64" t="str">
        <f t="shared" si="11"/>
        <v/>
      </c>
      <c r="AE64">
        <f>IF($U64="",0,COUNTIF(บันทึกรายเที่ยว!$T$6:$T$10005,$U64))</f>
        <v>0</v>
      </c>
      <c r="AF64">
        <f>IF($U64="",0,ROUND(SUMIF(บันทึกรายเที่ยว!$T$6:$T$10005,$U64,บันทึกรายเที่ยว!$J$6:$J$10005),2))</f>
        <v>0</v>
      </c>
      <c r="AG64">
        <f>IF($U64="",0,ROUND(SUMIF(บันทึกรายเที่ยว!$T$6:$T$10005,$U64,บันทึกรายเที่ยว!$K$6:$K$10005),2))</f>
        <v>0</v>
      </c>
      <c r="AH64">
        <f>IF($U64="",0,ROUND(SUMIF(บันทึกรายเที่ยว!$T$6:$T$10005,$U64,บันทึกรายเที่ยว!$M$6:$M$10005),2))</f>
        <v>0</v>
      </c>
    </row>
    <row r="65" spans="1:34" ht="21" customHeight="1" x14ac:dyDescent="0.95">
      <c r="A65" s="3" t="str">
        <f t="shared" si="0"/>
        <v/>
      </c>
      <c r="B65" s="3" t="str">
        <f t="shared" si="1"/>
        <v/>
      </c>
      <c r="C65" s="8" t="str">
        <f t="shared" si="2"/>
        <v/>
      </c>
      <c r="D65" s="31" t="str">
        <f t="shared" si="3"/>
        <v/>
      </c>
      <c r="E65" s="32" t="str">
        <f>IF(58=$AD$1+3,"ขอแสดงความนับถือ",IF(58=$AD$1+6,"(                 )",IF(58=$AD$1+7,"เจ้าหน้าที่ขนส่ง",IF($AB65="G",SUM($AF$8:$AF$407),IF(OR($AB65="",$AB65="R"),"",IF($AB65="D",INDEX($AF$8:$AF$407,$AA65),SUMIF($T$8:$T$407,INDEX($T$8:$T$407,$AA65),$AF$8:$AF$407)))))))</f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J65" t="str">
        <f>IFERROR(MATCH(58,บันทึกรายเที่ยว!$W$6:$W$10005,0),"")</f>
        <v/>
      </c>
      <c r="K65" t="str">
        <f>IF($J65="","",INDEX(บันทึกรายเที่ยว!$T$6:$T$10005,$J65))</f>
        <v/>
      </c>
      <c r="L65" t="str">
        <f>IF($J65="","",INDEX(บันทึกรายเที่ยว!$S$6:$S$10005,$J65))</f>
        <v/>
      </c>
      <c r="M65" t="str">
        <f>IF($J65="","",INDEX(บันทึกรายเที่ยว!$R$6:$R$10005,$J65))</f>
        <v/>
      </c>
      <c r="N65" t="str">
        <f>IF($J65="","",MATCH($M65,บันทึกรายเที่ยว!$R$6:$R$10005,0))</f>
        <v/>
      </c>
      <c r="O65" t="str">
        <f>IF($J65="","",MATCH($L65,บันทึกรายเที่ยว!$S$6:$S$10005,0))</f>
        <v/>
      </c>
      <c r="P65" t="str">
        <f>IF($J65="","",IF(AND(OR($I$3="(ทั้งหมด)",INDEX(บันทึกรายเที่ยว!$C$6:$C$10005,$J65)=$I$3),OR($I$5="(ทั้งหมด)",INDEX(บันทึกรายเที่ยว!$D$6:$D$10005,$J65)=$I$5),OR($I$7="(ทั้งหมด)",INDEX(บันทึกรายเที่ยว!$F$6:$F$10005,$J65)=$I$7)),$N65*10000000+$O65*1000+58,""))</f>
        <v/>
      </c>
      <c r="Q65" t="str">
        <f>IFERROR(MATCH(SMALL($P$8:$P$407,58),$P$8:$P$407,0),"")</f>
        <v/>
      </c>
      <c r="R65" t="str">
        <f t="shared" si="7"/>
        <v/>
      </c>
      <c r="S65" t="str">
        <f t="shared" si="8"/>
        <v/>
      </c>
      <c r="T65" t="str">
        <f t="shared" si="9"/>
        <v/>
      </c>
      <c r="U65" t="str">
        <f t="shared" si="10"/>
        <v/>
      </c>
      <c r="V65">
        <f t="shared" si="12"/>
        <v>0</v>
      </c>
      <c r="W65">
        <f t="shared" si="13"/>
        <v>0</v>
      </c>
      <c r="X65">
        <f>IF($Q65="",99999+58,$X64+1+$V64+$W64)</f>
        <v>100057</v>
      </c>
      <c r="Y65" t="str">
        <f>IF($Q65="","",INDEX(บันทึกรายเที่ยว!$Q$6:$Q$10005,$R65))</f>
        <v/>
      </c>
      <c r="Z65" t="str">
        <f>IF($Q65="","",INDEX(บันทึกรายเที่ยว!$F$6:$F$10005,$R65))</f>
        <v/>
      </c>
      <c r="AA65" t="str">
        <f>IFERROR(MATCH(58,$X$8:$X$407,1),"")</f>
        <v/>
      </c>
      <c r="AB65" t="str">
        <f>IF(58=$AD$1+1,"G",IF($AA65="","",IF(INDEX($Q$8:$Q$407,$AA65)="","",IF(58&gt;INDEX($X$8:$X$407,$AA65)+INDEX($V$8:$V$407,$AA65)+INDEX($W$8:$W$407,$AA65),"",IF(58=INDEX($X$8:$X$407,$AA65)+INDEX($V$8:$V$407,$AA65)+INDEX($W$8:$W$407,$AA65),"D",IF(AND(INDEX($W$8:$W$407,$AA65)=1,58=INDEX($X$8:$X$407,$AA65)+INDEX($V$8:$V$407,$AA65)),"S","R"))))))</f>
        <v/>
      </c>
      <c r="AC65" t="str">
        <f t="shared" si="11"/>
        <v/>
      </c>
      <c r="AE65">
        <f>IF($U65="",0,COUNTIF(บันทึกรายเที่ยว!$T$6:$T$10005,$U65))</f>
        <v>0</v>
      </c>
      <c r="AF65">
        <f>IF($U65="",0,ROUND(SUMIF(บันทึกรายเที่ยว!$T$6:$T$10005,$U65,บันทึกรายเที่ยว!$J$6:$J$10005),2))</f>
        <v>0</v>
      </c>
      <c r="AG65">
        <f>IF($U65="",0,ROUND(SUMIF(บันทึกรายเที่ยว!$T$6:$T$10005,$U65,บันทึกรายเที่ยว!$K$6:$K$10005),2))</f>
        <v>0</v>
      </c>
      <c r="AH65">
        <f>IF($U65="",0,ROUND(SUMIF(บันทึกรายเที่ยว!$T$6:$T$10005,$U65,บันทึกรายเที่ยว!$M$6:$M$10005),2))</f>
        <v>0</v>
      </c>
    </row>
    <row r="66" spans="1:34" ht="21" customHeight="1" x14ac:dyDescent="0.95">
      <c r="A66" s="3" t="str">
        <f t="shared" si="0"/>
        <v/>
      </c>
      <c r="B66" s="3" t="str">
        <f t="shared" si="1"/>
        <v/>
      </c>
      <c r="C66" s="8" t="str">
        <f t="shared" si="2"/>
        <v/>
      </c>
      <c r="D66" s="31" t="str">
        <f t="shared" si="3"/>
        <v/>
      </c>
      <c r="E66" s="32" t="str">
        <f>IF(59=$AD$1+3,"ขอแสดงความนับถือ",IF(59=$AD$1+6,"(                 )",IF(59=$AD$1+7,"เจ้าหน้าที่ขนส่ง",IF($AB66="G",SUM($AF$8:$AF$407),IF(OR($AB66="",$AB66="R"),"",IF($AB66="D",INDEX($AF$8:$AF$407,$AA66),SUMIF($T$8:$T$407,INDEX($T$8:$T$407,$AA66),$AF$8:$AF$407)))))))</f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J66" t="str">
        <f>IFERROR(MATCH(59,บันทึกรายเที่ยว!$W$6:$W$10005,0),"")</f>
        <v/>
      </c>
      <c r="K66" t="str">
        <f>IF($J66="","",INDEX(บันทึกรายเที่ยว!$T$6:$T$10005,$J66))</f>
        <v/>
      </c>
      <c r="L66" t="str">
        <f>IF($J66="","",INDEX(บันทึกรายเที่ยว!$S$6:$S$10005,$J66))</f>
        <v/>
      </c>
      <c r="M66" t="str">
        <f>IF($J66="","",INDEX(บันทึกรายเที่ยว!$R$6:$R$10005,$J66))</f>
        <v/>
      </c>
      <c r="N66" t="str">
        <f>IF($J66="","",MATCH($M66,บันทึกรายเที่ยว!$R$6:$R$10005,0))</f>
        <v/>
      </c>
      <c r="O66" t="str">
        <f>IF($J66="","",MATCH($L66,บันทึกรายเที่ยว!$S$6:$S$10005,0))</f>
        <v/>
      </c>
      <c r="P66" t="str">
        <f>IF($J66="","",IF(AND(OR($I$3="(ทั้งหมด)",INDEX(บันทึกรายเที่ยว!$C$6:$C$10005,$J66)=$I$3),OR($I$5="(ทั้งหมด)",INDEX(บันทึกรายเที่ยว!$D$6:$D$10005,$J66)=$I$5),OR($I$7="(ทั้งหมด)",INDEX(บันทึกรายเที่ยว!$F$6:$F$10005,$J66)=$I$7)),$N66*10000000+$O66*1000+59,""))</f>
        <v/>
      </c>
      <c r="Q66" t="str">
        <f>IFERROR(MATCH(SMALL($P$8:$P$407,59),$P$8:$P$407,0),"")</f>
        <v/>
      </c>
      <c r="R66" t="str">
        <f t="shared" si="7"/>
        <v/>
      </c>
      <c r="S66" t="str">
        <f t="shared" si="8"/>
        <v/>
      </c>
      <c r="T66" t="str">
        <f t="shared" si="9"/>
        <v/>
      </c>
      <c r="U66" t="str">
        <f t="shared" si="10"/>
        <v/>
      </c>
      <c r="V66">
        <f t="shared" si="12"/>
        <v>0</v>
      </c>
      <c r="W66">
        <f t="shared" si="13"/>
        <v>0</v>
      </c>
      <c r="X66">
        <f>IF($Q66="",99999+59,$X65+1+$V65+$W65)</f>
        <v>100058</v>
      </c>
      <c r="Y66" t="str">
        <f>IF($Q66="","",INDEX(บันทึกรายเที่ยว!$Q$6:$Q$10005,$R66))</f>
        <v/>
      </c>
      <c r="Z66" t="str">
        <f>IF($Q66="","",INDEX(บันทึกรายเที่ยว!$F$6:$F$10005,$R66))</f>
        <v/>
      </c>
      <c r="AA66" t="str">
        <f>IFERROR(MATCH(59,$X$8:$X$407,1),"")</f>
        <v/>
      </c>
      <c r="AB66" t="str">
        <f>IF(59=$AD$1+1,"G",IF($AA66="","",IF(INDEX($Q$8:$Q$407,$AA66)="","",IF(59&gt;INDEX($X$8:$X$407,$AA66)+INDEX($V$8:$V$407,$AA66)+INDEX($W$8:$W$407,$AA66),"",IF(59=INDEX($X$8:$X$407,$AA66)+INDEX($V$8:$V$407,$AA66)+INDEX($W$8:$W$407,$AA66),"D",IF(AND(INDEX($W$8:$W$407,$AA66)=1,59=INDEX($X$8:$X$407,$AA66)+INDEX($V$8:$V$407,$AA66)),"S","R"))))))</f>
        <v/>
      </c>
      <c r="AC66" t="str">
        <f t="shared" si="11"/>
        <v/>
      </c>
      <c r="AE66">
        <f>IF($U66="",0,COUNTIF(บันทึกรายเที่ยว!$T$6:$T$10005,$U66))</f>
        <v>0</v>
      </c>
      <c r="AF66">
        <f>IF($U66="",0,ROUND(SUMIF(บันทึกรายเที่ยว!$T$6:$T$10005,$U66,บันทึกรายเที่ยว!$J$6:$J$10005),2))</f>
        <v>0</v>
      </c>
      <c r="AG66">
        <f>IF($U66="",0,ROUND(SUMIF(บันทึกรายเที่ยว!$T$6:$T$10005,$U66,บันทึกรายเที่ยว!$K$6:$K$10005),2))</f>
        <v>0</v>
      </c>
      <c r="AH66">
        <f>IF($U66="",0,ROUND(SUMIF(บันทึกรายเที่ยว!$T$6:$T$10005,$U66,บันทึกรายเที่ยว!$M$6:$M$10005),2))</f>
        <v>0</v>
      </c>
    </row>
    <row r="67" spans="1:34" ht="21" customHeight="1" x14ac:dyDescent="0.95">
      <c r="A67" s="3" t="str">
        <f t="shared" si="0"/>
        <v/>
      </c>
      <c r="B67" s="3" t="str">
        <f t="shared" si="1"/>
        <v/>
      </c>
      <c r="C67" s="8" t="str">
        <f t="shared" si="2"/>
        <v/>
      </c>
      <c r="D67" s="31" t="str">
        <f t="shared" si="3"/>
        <v/>
      </c>
      <c r="E67" s="32" t="str">
        <f>IF(60=$AD$1+3,"ขอแสดงความนับถือ",IF(60=$AD$1+6,"(                 )",IF(60=$AD$1+7,"เจ้าหน้าที่ขนส่ง",IF($AB67="G",SUM($AF$8:$AF$407),IF(OR($AB67="",$AB67="R"),"",IF($AB67="D",INDEX($AF$8:$AF$407,$AA67),SUMIF($T$8:$T$407,INDEX($T$8:$T$407,$AA67),$AF$8:$AF$407)))))))</f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J67" t="str">
        <f>IFERROR(MATCH(60,บันทึกรายเที่ยว!$W$6:$W$10005,0),"")</f>
        <v/>
      </c>
      <c r="K67" t="str">
        <f>IF($J67="","",INDEX(บันทึกรายเที่ยว!$T$6:$T$10005,$J67))</f>
        <v/>
      </c>
      <c r="L67" t="str">
        <f>IF($J67="","",INDEX(บันทึกรายเที่ยว!$S$6:$S$10005,$J67))</f>
        <v/>
      </c>
      <c r="M67" t="str">
        <f>IF($J67="","",INDEX(บันทึกรายเที่ยว!$R$6:$R$10005,$J67))</f>
        <v/>
      </c>
      <c r="N67" t="str">
        <f>IF($J67="","",MATCH($M67,บันทึกรายเที่ยว!$R$6:$R$10005,0))</f>
        <v/>
      </c>
      <c r="O67" t="str">
        <f>IF($J67="","",MATCH($L67,บันทึกรายเที่ยว!$S$6:$S$10005,0))</f>
        <v/>
      </c>
      <c r="P67" t="str">
        <f>IF($J67="","",IF(AND(OR($I$3="(ทั้งหมด)",INDEX(บันทึกรายเที่ยว!$C$6:$C$10005,$J67)=$I$3),OR($I$5="(ทั้งหมด)",INDEX(บันทึกรายเที่ยว!$D$6:$D$10005,$J67)=$I$5),OR($I$7="(ทั้งหมด)",INDEX(บันทึกรายเที่ยว!$F$6:$F$10005,$J67)=$I$7)),$N67*10000000+$O67*1000+60,""))</f>
        <v/>
      </c>
      <c r="Q67" t="str">
        <f>IFERROR(MATCH(SMALL($P$8:$P$407,60),$P$8:$P$407,0),"")</f>
        <v/>
      </c>
      <c r="R67" t="str">
        <f t="shared" si="7"/>
        <v/>
      </c>
      <c r="S67" t="str">
        <f t="shared" si="8"/>
        <v/>
      </c>
      <c r="T67" t="str">
        <f t="shared" si="9"/>
        <v/>
      </c>
      <c r="U67" t="str">
        <f t="shared" si="10"/>
        <v/>
      </c>
      <c r="V67">
        <f t="shared" si="12"/>
        <v>0</v>
      </c>
      <c r="W67">
        <f t="shared" si="13"/>
        <v>0</v>
      </c>
      <c r="X67">
        <f>IF($Q67="",99999+60,$X66+1+$V66+$W66)</f>
        <v>100059</v>
      </c>
      <c r="Y67" t="str">
        <f>IF($Q67="","",INDEX(บันทึกรายเที่ยว!$Q$6:$Q$10005,$R67))</f>
        <v/>
      </c>
      <c r="Z67" t="str">
        <f>IF($Q67="","",INDEX(บันทึกรายเที่ยว!$F$6:$F$10005,$R67))</f>
        <v/>
      </c>
      <c r="AA67" t="str">
        <f>IFERROR(MATCH(60,$X$8:$X$407,1),"")</f>
        <v/>
      </c>
      <c r="AB67" t="str">
        <f>IF(60=$AD$1+1,"G",IF($AA67="","",IF(INDEX($Q$8:$Q$407,$AA67)="","",IF(60&gt;INDEX($X$8:$X$407,$AA67)+INDEX($V$8:$V$407,$AA67)+INDEX($W$8:$W$407,$AA67),"",IF(60=INDEX($X$8:$X$407,$AA67)+INDEX($V$8:$V$407,$AA67)+INDEX($W$8:$W$407,$AA67),"D",IF(AND(INDEX($W$8:$W$407,$AA67)=1,60=INDEX($X$8:$X$407,$AA67)+INDEX($V$8:$V$407,$AA67)),"S","R"))))))</f>
        <v/>
      </c>
      <c r="AC67" t="str">
        <f t="shared" si="11"/>
        <v/>
      </c>
      <c r="AE67">
        <f>IF($U67="",0,COUNTIF(บันทึกรายเที่ยว!$T$6:$T$10005,$U67))</f>
        <v>0</v>
      </c>
      <c r="AF67">
        <f>IF($U67="",0,ROUND(SUMIF(บันทึกรายเที่ยว!$T$6:$T$10005,$U67,บันทึกรายเที่ยว!$J$6:$J$10005),2))</f>
        <v>0</v>
      </c>
      <c r="AG67">
        <f>IF($U67="",0,ROUND(SUMIF(บันทึกรายเที่ยว!$T$6:$T$10005,$U67,บันทึกรายเที่ยว!$K$6:$K$10005),2))</f>
        <v>0</v>
      </c>
      <c r="AH67">
        <f>IF($U67="",0,ROUND(SUMIF(บันทึกรายเที่ยว!$T$6:$T$10005,$U67,บันทึกรายเที่ยว!$M$6:$M$10005),2))</f>
        <v>0</v>
      </c>
    </row>
    <row r="68" spans="1:34" ht="21" customHeight="1" x14ac:dyDescent="0.95">
      <c r="A68" s="3" t="str">
        <f t="shared" si="0"/>
        <v/>
      </c>
      <c r="B68" s="3" t="str">
        <f t="shared" si="1"/>
        <v/>
      </c>
      <c r="C68" s="8" t="str">
        <f t="shared" si="2"/>
        <v/>
      </c>
      <c r="D68" s="31" t="str">
        <f t="shared" si="3"/>
        <v/>
      </c>
      <c r="E68" s="32" t="str">
        <f>IF(61=$AD$1+3,"ขอแสดงความนับถือ",IF(61=$AD$1+6,"(                 )",IF(61=$AD$1+7,"เจ้าหน้าที่ขนส่ง",IF($AB68="G",SUM($AF$8:$AF$407),IF(OR($AB68="",$AB68="R"),"",IF($AB68="D",INDEX($AF$8:$AF$407,$AA68),SUMIF($T$8:$T$407,INDEX($T$8:$T$407,$AA68),$AF$8:$AF$407)))))))</f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J68" t="str">
        <f>IFERROR(MATCH(61,บันทึกรายเที่ยว!$W$6:$W$10005,0),"")</f>
        <v/>
      </c>
      <c r="K68" t="str">
        <f>IF($J68="","",INDEX(บันทึกรายเที่ยว!$T$6:$T$10005,$J68))</f>
        <v/>
      </c>
      <c r="L68" t="str">
        <f>IF($J68="","",INDEX(บันทึกรายเที่ยว!$S$6:$S$10005,$J68))</f>
        <v/>
      </c>
      <c r="M68" t="str">
        <f>IF($J68="","",INDEX(บันทึกรายเที่ยว!$R$6:$R$10005,$J68))</f>
        <v/>
      </c>
      <c r="N68" t="str">
        <f>IF($J68="","",MATCH($M68,บันทึกรายเที่ยว!$R$6:$R$10005,0))</f>
        <v/>
      </c>
      <c r="O68" t="str">
        <f>IF($J68="","",MATCH($L68,บันทึกรายเที่ยว!$S$6:$S$10005,0))</f>
        <v/>
      </c>
      <c r="P68" t="str">
        <f>IF($J68="","",IF(AND(OR($I$3="(ทั้งหมด)",INDEX(บันทึกรายเที่ยว!$C$6:$C$10005,$J68)=$I$3),OR($I$5="(ทั้งหมด)",INDEX(บันทึกรายเที่ยว!$D$6:$D$10005,$J68)=$I$5),OR($I$7="(ทั้งหมด)",INDEX(บันทึกรายเที่ยว!$F$6:$F$10005,$J68)=$I$7)),$N68*10000000+$O68*1000+61,""))</f>
        <v/>
      </c>
      <c r="Q68" t="str">
        <f>IFERROR(MATCH(SMALL($P$8:$P$407,61),$P$8:$P$407,0),"")</f>
        <v/>
      </c>
      <c r="R68" t="str">
        <f t="shared" si="7"/>
        <v/>
      </c>
      <c r="S68" t="str">
        <f t="shared" si="8"/>
        <v/>
      </c>
      <c r="T68" t="str">
        <f t="shared" si="9"/>
        <v/>
      </c>
      <c r="U68" t="str">
        <f t="shared" si="10"/>
        <v/>
      </c>
      <c r="V68">
        <f t="shared" si="12"/>
        <v>0</v>
      </c>
      <c r="W68">
        <f t="shared" si="13"/>
        <v>0</v>
      </c>
      <c r="X68">
        <f>IF($Q68="",99999+61,$X67+1+$V67+$W67)</f>
        <v>100060</v>
      </c>
      <c r="Y68" t="str">
        <f>IF($Q68="","",INDEX(บันทึกรายเที่ยว!$Q$6:$Q$10005,$R68))</f>
        <v/>
      </c>
      <c r="Z68" t="str">
        <f>IF($Q68="","",INDEX(บันทึกรายเที่ยว!$F$6:$F$10005,$R68))</f>
        <v/>
      </c>
      <c r="AA68" t="str">
        <f>IFERROR(MATCH(61,$X$8:$X$407,1),"")</f>
        <v/>
      </c>
      <c r="AB68" t="str">
        <f>IF(61=$AD$1+1,"G",IF($AA68="","",IF(INDEX($Q$8:$Q$407,$AA68)="","",IF(61&gt;INDEX($X$8:$X$407,$AA68)+INDEX($V$8:$V$407,$AA68)+INDEX($W$8:$W$407,$AA68),"",IF(61=INDEX($X$8:$X$407,$AA68)+INDEX($V$8:$V$407,$AA68)+INDEX($W$8:$W$407,$AA68),"D",IF(AND(INDEX($W$8:$W$407,$AA68)=1,61=INDEX($X$8:$X$407,$AA68)+INDEX($V$8:$V$407,$AA68)),"S","R"))))))</f>
        <v/>
      </c>
      <c r="AC68" t="str">
        <f t="shared" si="11"/>
        <v/>
      </c>
      <c r="AE68">
        <f>IF($U68="",0,COUNTIF(บันทึกรายเที่ยว!$T$6:$T$10005,$U68))</f>
        <v>0</v>
      </c>
      <c r="AF68">
        <f>IF($U68="",0,ROUND(SUMIF(บันทึกรายเที่ยว!$T$6:$T$10005,$U68,บันทึกรายเที่ยว!$J$6:$J$10005),2))</f>
        <v>0</v>
      </c>
      <c r="AG68">
        <f>IF($U68="",0,ROUND(SUMIF(บันทึกรายเที่ยว!$T$6:$T$10005,$U68,บันทึกรายเที่ยว!$K$6:$K$10005),2))</f>
        <v>0</v>
      </c>
      <c r="AH68">
        <f>IF($U68="",0,ROUND(SUMIF(บันทึกรายเที่ยว!$T$6:$T$10005,$U68,บันทึกรายเที่ยว!$M$6:$M$10005),2))</f>
        <v>0</v>
      </c>
    </row>
    <row r="69" spans="1:34" ht="21" customHeight="1" x14ac:dyDescent="0.95">
      <c r="A69" s="3" t="str">
        <f t="shared" si="0"/>
        <v/>
      </c>
      <c r="B69" s="3" t="str">
        <f t="shared" si="1"/>
        <v/>
      </c>
      <c r="C69" s="8" t="str">
        <f t="shared" si="2"/>
        <v/>
      </c>
      <c r="D69" s="31" t="str">
        <f t="shared" si="3"/>
        <v/>
      </c>
      <c r="E69" s="32" t="str">
        <f>IF(62=$AD$1+3,"ขอแสดงความนับถือ",IF(62=$AD$1+6,"(                 )",IF(62=$AD$1+7,"เจ้าหน้าที่ขนส่ง",IF($AB69="G",SUM($AF$8:$AF$407),IF(OR($AB69="",$AB69="R"),"",IF($AB69="D",INDEX($AF$8:$AF$407,$AA69),SUMIF($T$8:$T$407,INDEX($T$8:$T$407,$AA69),$AF$8:$AF$407)))))))</f>
        <v/>
      </c>
      <c r="F69" s="32" t="str">
        <f t="shared" si="4"/>
        <v/>
      </c>
      <c r="G69" s="32" t="str">
        <f t="shared" si="5"/>
        <v/>
      </c>
      <c r="H69" s="32" t="str">
        <f t="shared" si="6"/>
        <v/>
      </c>
      <c r="J69" t="str">
        <f>IFERROR(MATCH(62,บันทึกรายเที่ยว!$W$6:$W$10005,0),"")</f>
        <v/>
      </c>
      <c r="K69" t="str">
        <f>IF($J69="","",INDEX(บันทึกรายเที่ยว!$T$6:$T$10005,$J69))</f>
        <v/>
      </c>
      <c r="L69" t="str">
        <f>IF($J69="","",INDEX(บันทึกรายเที่ยว!$S$6:$S$10005,$J69))</f>
        <v/>
      </c>
      <c r="M69" t="str">
        <f>IF($J69="","",INDEX(บันทึกรายเที่ยว!$R$6:$R$10005,$J69))</f>
        <v/>
      </c>
      <c r="N69" t="str">
        <f>IF($J69="","",MATCH($M69,บันทึกรายเที่ยว!$R$6:$R$10005,0))</f>
        <v/>
      </c>
      <c r="O69" t="str">
        <f>IF($J69="","",MATCH($L69,บันทึกรายเที่ยว!$S$6:$S$10005,0))</f>
        <v/>
      </c>
      <c r="P69" t="str">
        <f>IF($J69="","",IF(AND(OR($I$3="(ทั้งหมด)",INDEX(บันทึกรายเที่ยว!$C$6:$C$10005,$J69)=$I$3),OR($I$5="(ทั้งหมด)",INDEX(บันทึกรายเที่ยว!$D$6:$D$10005,$J69)=$I$5),OR($I$7="(ทั้งหมด)",INDEX(บันทึกรายเที่ยว!$F$6:$F$10005,$J69)=$I$7)),$N69*10000000+$O69*1000+62,""))</f>
        <v/>
      </c>
      <c r="Q69" t="str">
        <f>IFERROR(MATCH(SMALL($P$8:$P$407,62),$P$8:$P$407,0),"")</f>
        <v/>
      </c>
      <c r="R69" t="str">
        <f t="shared" si="7"/>
        <v/>
      </c>
      <c r="S69" t="str">
        <f t="shared" si="8"/>
        <v/>
      </c>
      <c r="T69" t="str">
        <f t="shared" si="9"/>
        <v/>
      </c>
      <c r="U69" t="str">
        <f t="shared" si="10"/>
        <v/>
      </c>
      <c r="V69">
        <f t="shared" si="12"/>
        <v>0</v>
      </c>
      <c r="W69">
        <f t="shared" si="13"/>
        <v>0</v>
      </c>
      <c r="X69">
        <f>IF($Q69="",99999+62,$X68+1+$V68+$W68)</f>
        <v>100061</v>
      </c>
      <c r="Y69" t="str">
        <f>IF($Q69="","",INDEX(บันทึกรายเที่ยว!$Q$6:$Q$10005,$R69))</f>
        <v/>
      </c>
      <c r="Z69" t="str">
        <f>IF($Q69="","",INDEX(บันทึกรายเที่ยว!$F$6:$F$10005,$R69))</f>
        <v/>
      </c>
      <c r="AA69" t="str">
        <f>IFERROR(MATCH(62,$X$8:$X$407,1),"")</f>
        <v/>
      </c>
      <c r="AB69" t="str">
        <f>IF(62=$AD$1+1,"G",IF($AA69="","",IF(INDEX($Q$8:$Q$407,$AA69)="","",IF(62&gt;INDEX($X$8:$X$407,$AA69)+INDEX($V$8:$V$407,$AA69)+INDEX($W$8:$W$407,$AA69),"",IF(62=INDEX($X$8:$X$407,$AA69)+INDEX($V$8:$V$407,$AA69)+INDEX($W$8:$W$407,$AA69),"D",IF(AND(INDEX($W$8:$W$407,$AA69)=1,62=INDEX($X$8:$X$407,$AA69)+INDEX($V$8:$V$407,$AA69)),"S","R"))))))</f>
        <v/>
      </c>
      <c r="AC69" t="str">
        <f t="shared" si="11"/>
        <v/>
      </c>
      <c r="AE69">
        <f>IF($U69="",0,COUNTIF(บันทึกรายเที่ยว!$T$6:$T$10005,$U69))</f>
        <v>0</v>
      </c>
      <c r="AF69">
        <f>IF($U69="",0,ROUND(SUMIF(บันทึกรายเที่ยว!$T$6:$T$10005,$U69,บันทึกรายเที่ยว!$J$6:$J$10005),2))</f>
        <v>0</v>
      </c>
      <c r="AG69">
        <f>IF($U69="",0,ROUND(SUMIF(บันทึกรายเที่ยว!$T$6:$T$10005,$U69,บันทึกรายเที่ยว!$K$6:$K$10005),2))</f>
        <v>0</v>
      </c>
      <c r="AH69">
        <f>IF($U69="",0,ROUND(SUMIF(บันทึกรายเที่ยว!$T$6:$T$10005,$U69,บันทึกรายเที่ยว!$M$6:$M$10005),2))</f>
        <v>0</v>
      </c>
    </row>
    <row r="70" spans="1:34" ht="21" customHeight="1" x14ac:dyDescent="0.95">
      <c r="A70" s="3" t="str">
        <f t="shared" si="0"/>
        <v/>
      </c>
      <c r="B70" s="3" t="str">
        <f t="shared" si="1"/>
        <v/>
      </c>
      <c r="C70" s="8" t="str">
        <f t="shared" si="2"/>
        <v/>
      </c>
      <c r="D70" s="31" t="str">
        <f t="shared" si="3"/>
        <v/>
      </c>
      <c r="E70" s="32" t="str">
        <f>IF(63=$AD$1+3,"ขอแสดงความนับถือ",IF(63=$AD$1+6,"(                 )",IF(63=$AD$1+7,"เจ้าหน้าที่ขนส่ง",IF($AB70="G",SUM($AF$8:$AF$407),IF(OR($AB70="",$AB70="R"),"",IF($AB70="D",INDEX($AF$8:$AF$407,$AA70),SUMIF($T$8:$T$407,INDEX($T$8:$T$407,$AA70),$AF$8:$AF$407)))))))</f>
        <v/>
      </c>
      <c r="F70" s="32" t="str">
        <f t="shared" si="4"/>
        <v/>
      </c>
      <c r="G70" s="32" t="str">
        <f t="shared" si="5"/>
        <v/>
      </c>
      <c r="H70" s="32" t="str">
        <f t="shared" si="6"/>
        <v/>
      </c>
      <c r="J70" t="str">
        <f>IFERROR(MATCH(63,บันทึกรายเที่ยว!$W$6:$W$10005,0),"")</f>
        <v/>
      </c>
      <c r="K70" t="str">
        <f>IF($J70="","",INDEX(บันทึกรายเที่ยว!$T$6:$T$10005,$J70))</f>
        <v/>
      </c>
      <c r="L70" t="str">
        <f>IF($J70="","",INDEX(บันทึกรายเที่ยว!$S$6:$S$10005,$J70))</f>
        <v/>
      </c>
      <c r="M70" t="str">
        <f>IF($J70="","",INDEX(บันทึกรายเที่ยว!$R$6:$R$10005,$J70))</f>
        <v/>
      </c>
      <c r="N70" t="str">
        <f>IF($J70="","",MATCH($M70,บันทึกรายเที่ยว!$R$6:$R$10005,0))</f>
        <v/>
      </c>
      <c r="O70" t="str">
        <f>IF($J70="","",MATCH($L70,บันทึกรายเที่ยว!$S$6:$S$10005,0))</f>
        <v/>
      </c>
      <c r="P70" t="str">
        <f>IF($J70="","",IF(AND(OR($I$3="(ทั้งหมด)",INDEX(บันทึกรายเที่ยว!$C$6:$C$10005,$J70)=$I$3),OR($I$5="(ทั้งหมด)",INDEX(บันทึกรายเที่ยว!$D$6:$D$10005,$J70)=$I$5),OR($I$7="(ทั้งหมด)",INDEX(บันทึกรายเที่ยว!$F$6:$F$10005,$J70)=$I$7)),$N70*10000000+$O70*1000+63,""))</f>
        <v/>
      </c>
      <c r="Q70" t="str">
        <f>IFERROR(MATCH(SMALL($P$8:$P$407,63),$P$8:$P$407,0),"")</f>
        <v/>
      </c>
      <c r="R70" t="str">
        <f t="shared" si="7"/>
        <v/>
      </c>
      <c r="S70" t="str">
        <f t="shared" si="8"/>
        <v/>
      </c>
      <c r="T70" t="str">
        <f t="shared" si="9"/>
        <v/>
      </c>
      <c r="U70" t="str">
        <f t="shared" si="10"/>
        <v/>
      </c>
      <c r="V70">
        <f t="shared" si="12"/>
        <v>0</v>
      </c>
      <c r="W70">
        <f t="shared" si="13"/>
        <v>0</v>
      </c>
      <c r="X70">
        <f>IF($Q70="",99999+63,$X69+1+$V69+$W69)</f>
        <v>100062</v>
      </c>
      <c r="Y70" t="str">
        <f>IF($Q70="","",INDEX(บันทึกรายเที่ยว!$Q$6:$Q$10005,$R70))</f>
        <v/>
      </c>
      <c r="Z70" t="str">
        <f>IF($Q70="","",INDEX(บันทึกรายเที่ยว!$F$6:$F$10005,$R70))</f>
        <v/>
      </c>
      <c r="AA70" t="str">
        <f>IFERROR(MATCH(63,$X$8:$X$407,1),"")</f>
        <v/>
      </c>
      <c r="AB70" t="str">
        <f>IF(63=$AD$1+1,"G",IF($AA70="","",IF(INDEX($Q$8:$Q$407,$AA70)="","",IF(63&gt;INDEX($X$8:$X$407,$AA70)+INDEX($V$8:$V$407,$AA70)+INDEX($W$8:$W$407,$AA70),"",IF(63=INDEX($X$8:$X$407,$AA70)+INDEX($V$8:$V$407,$AA70)+INDEX($W$8:$W$407,$AA70),"D",IF(AND(INDEX($W$8:$W$407,$AA70)=1,63=INDEX($X$8:$X$407,$AA70)+INDEX($V$8:$V$407,$AA70)),"S","R"))))))</f>
        <v/>
      </c>
      <c r="AC70" t="str">
        <f t="shared" si="11"/>
        <v/>
      </c>
      <c r="AE70">
        <f>IF($U70="",0,COUNTIF(บันทึกรายเที่ยว!$T$6:$T$10005,$U70))</f>
        <v>0</v>
      </c>
      <c r="AF70">
        <f>IF($U70="",0,ROUND(SUMIF(บันทึกรายเที่ยว!$T$6:$T$10005,$U70,บันทึกรายเที่ยว!$J$6:$J$10005),2))</f>
        <v>0</v>
      </c>
      <c r="AG70">
        <f>IF($U70="",0,ROUND(SUMIF(บันทึกรายเที่ยว!$T$6:$T$10005,$U70,บันทึกรายเที่ยว!$K$6:$K$10005),2))</f>
        <v>0</v>
      </c>
      <c r="AH70">
        <f>IF($U70="",0,ROUND(SUMIF(บันทึกรายเที่ยว!$T$6:$T$10005,$U70,บันทึกรายเที่ยว!$M$6:$M$10005),2))</f>
        <v>0</v>
      </c>
    </row>
    <row r="71" spans="1:34" ht="21" customHeight="1" x14ac:dyDescent="0.95">
      <c r="A71" s="3" t="str">
        <f t="shared" si="0"/>
        <v/>
      </c>
      <c r="B71" s="3" t="str">
        <f t="shared" si="1"/>
        <v/>
      </c>
      <c r="C71" s="8" t="str">
        <f t="shared" si="2"/>
        <v/>
      </c>
      <c r="D71" s="31" t="str">
        <f t="shared" si="3"/>
        <v/>
      </c>
      <c r="E71" s="32" t="str">
        <f>IF(64=$AD$1+3,"ขอแสดงความนับถือ",IF(64=$AD$1+6,"(                 )",IF(64=$AD$1+7,"เจ้าหน้าที่ขนส่ง",IF($AB71="G",SUM($AF$8:$AF$407),IF(OR($AB71="",$AB71="R"),"",IF($AB71="D",INDEX($AF$8:$AF$407,$AA71),SUMIF($T$8:$T$407,INDEX($T$8:$T$407,$AA71),$AF$8:$AF$407)))))))</f>
        <v/>
      </c>
      <c r="F71" s="32" t="str">
        <f t="shared" si="4"/>
        <v/>
      </c>
      <c r="G71" s="32" t="str">
        <f t="shared" si="5"/>
        <v/>
      </c>
      <c r="H71" s="32" t="str">
        <f t="shared" si="6"/>
        <v/>
      </c>
      <c r="J71" t="str">
        <f>IFERROR(MATCH(64,บันทึกรายเที่ยว!$W$6:$W$10005,0),"")</f>
        <v/>
      </c>
      <c r="K71" t="str">
        <f>IF($J71="","",INDEX(บันทึกรายเที่ยว!$T$6:$T$10005,$J71))</f>
        <v/>
      </c>
      <c r="L71" t="str">
        <f>IF($J71="","",INDEX(บันทึกรายเที่ยว!$S$6:$S$10005,$J71))</f>
        <v/>
      </c>
      <c r="M71" t="str">
        <f>IF($J71="","",INDEX(บันทึกรายเที่ยว!$R$6:$R$10005,$J71))</f>
        <v/>
      </c>
      <c r="N71" t="str">
        <f>IF($J71="","",MATCH($M71,บันทึกรายเที่ยว!$R$6:$R$10005,0))</f>
        <v/>
      </c>
      <c r="O71" t="str">
        <f>IF($J71="","",MATCH($L71,บันทึกรายเที่ยว!$S$6:$S$10005,0))</f>
        <v/>
      </c>
      <c r="P71" t="str">
        <f>IF($J71="","",IF(AND(OR($I$3="(ทั้งหมด)",INDEX(บันทึกรายเที่ยว!$C$6:$C$10005,$J71)=$I$3),OR($I$5="(ทั้งหมด)",INDEX(บันทึกรายเที่ยว!$D$6:$D$10005,$J71)=$I$5),OR($I$7="(ทั้งหมด)",INDEX(บันทึกรายเที่ยว!$F$6:$F$10005,$J71)=$I$7)),$N71*10000000+$O71*1000+64,""))</f>
        <v/>
      </c>
      <c r="Q71" t="str">
        <f>IFERROR(MATCH(SMALL($P$8:$P$407,64),$P$8:$P$407,0),"")</f>
        <v/>
      </c>
      <c r="R71" t="str">
        <f t="shared" si="7"/>
        <v/>
      </c>
      <c r="S71" t="str">
        <f t="shared" si="8"/>
        <v/>
      </c>
      <c r="T71" t="str">
        <f t="shared" si="9"/>
        <v/>
      </c>
      <c r="U71" t="str">
        <f t="shared" si="10"/>
        <v/>
      </c>
      <c r="V71">
        <f t="shared" si="12"/>
        <v>0</v>
      </c>
      <c r="W71">
        <f t="shared" si="13"/>
        <v>0</v>
      </c>
      <c r="X71">
        <f>IF($Q71="",99999+64,$X70+1+$V70+$W70)</f>
        <v>100063</v>
      </c>
      <c r="Y71" t="str">
        <f>IF($Q71="","",INDEX(บันทึกรายเที่ยว!$Q$6:$Q$10005,$R71))</f>
        <v/>
      </c>
      <c r="Z71" t="str">
        <f>IF($Q71="","",INDEX(บันทึกรายเที่ยว!$F$6:$F$10005,$R71))</f>
        <v/>
      </c>
      <c r="AA71" t="str">
        <f>IFERROR(MATCH(64,$X$8:$X$407,1),"")</f>
        <v/>
      </c>
      <c r="AB71" t="str">
        <f>IF(64=$AD$1+1,"G",IF($AA71="","",IF(INDEX($Q$8:$Q$407,$AA71)="","",IF(64&gt;INDEX($X$8:$X$407,$AA71)+INDEX($V$8:$V$407,$AA71)+INDEX($W$8:$W$407,$AA71),"",IF(64=INDEX($X$8:$X$407,$AA71)+INDEX($V$8:$V$407,$AA71)+INDEX($W$8:$W$407,$AA71),"D",IF(AND(INDEX($W$8:$W$407,$AA71)=1,64=INDEX($X$8:$X$407,$AA71)+INDEX($V$8:$V$407,$AA71)),"S","R"))))))</f>
        <v/>
      </c>
      <c r="AC71" t="str">
        <f t="shared" si="11"/>
        <v/>
      </c>
      <c r="AE71">
        <f>IF($U71="",0,COUNTIF(บันทึกรายเที่ยว!$T$6:$T$10005,$U71))</f>
        <v>0</v>
      </c>
      <c r="AF71">
        <f>IF($U71="",0,ROUND(SUMIF(บันทึกรายเที่ยว!$T$6:$T$10005,$U71,บันทึกรายเที่ยว!$J$6:$J$10005),2))</f>
        <v>0</v>
      </c>
      <c r="AG71">
        <f>IF($U71="",0,ROUND(SUMIF(บันทึกรายเที่ยว!$T$6:$T$10005,$U71,บันทึกรายเที่ยว!$K$6:$K$10005),2))</f>
        <v>0</v>
      </c>
      <c r="AH71">
        <f>IF($U71="",0,ROUND(SUMIF(บันทึกรายเที่ยว!$T$6:$T$10005,$U71,บันทึกรายเที่ยว!$M$6:$M$10005),2))</f>
        <v>0</v>
      </c>
    </row>
    <row r="72" spans="1:34" ht="21" customHeight="1" x14ac:dyDescent="0.95">
      <c r="A72" s="3" t="str">
        <f t="shared" ref="A72:A135" si="14">IF($AB72="G","ผลรวมทั้งหมด",IF($AB72="R",INDEX($S$8:$S$407,$AA72),""))</f>
        <v/>
      </c>
      <c r="B72" s="3" t="str">
        <f t="shared" ref="B72:B135" si="15">IF($AB72="S",INDEX($Y$8:$Y$407,$AA72),"")</f>
        <v/>
      </c>
      <c r="C72" s="8" t="str">
        <f t="shared" ref="C72:C135" si="16">IF($AB72="D",INDEX($Z$8:$Z$407,$AA72),"")</f>
        <v/>
      </c>
      <c r="D72" s="31" t="str">
        <f t="shared" ref="D72:D135" si="17">IF($AB72="G",SUM($AE$8:$AE$407),IF(OR($AB72="",$AB72="R"),"",IF($AB72="D",INDEX($AE$8:$AE$407,$AA72),SUMIF($T$8:$T$407,INDEX($T$8:$T$407,$AA72),$AE$8:$AE$407))))</f>
        <v/>
      </c>
      <c r="E72" s="32" t="str">
        <f>IF(65=$AD$1+3,"ขอแสดงความนับถือ",IF(65=$AD$1+6,"(                 )",IF(65=$AD$1+7,"เจ้าหน้าที่ขนส่ง",IF($AB72="G",SUM($AF$8:$AF$407),IF(OR($AB72="",$AB72="R"),"",IF($AB72="D",INDEX($AF$8:$AF$407,$AA72),SUMIF($T$8:$T$407,INDEX($T$8:$T$407,$AA72),$AF$8:$AF$407)))))))</f>
        <v/>
      </c>
      <c r="F72" s="32" t="str">
        <f t="shared" ref="F72:F135" si="18">IF($AB72="G",SUM($AG$8:$AG$407),IF(OR($AB72="",$AB72="R"),"",IF($AB72="D",INDEX($AG$8:$AG$407,$AA72),SUMIF($T$8:$T$407,INDEX($T$8:$T$407,$AA72),$AG$8:$AG$407))))</f>
        <v/>
      </c>
      <c r="G72" s="32" t="str">
        <f t="shared" ref="G72:G135" si="19">IF(OR($AB72="",$AB72="R"),"",ROUND($E72-$F72,2))</f>
        <v/>
      </c>
      <c r="H72" s="32" t="str">
        <f t="shared" ref="H72:H135" si="20">IF($AB72="G",SUM($AH$8:$AH$407),IF(OR($AB72="",$AB72="R"),"",IF($AB72="D",INDEX($AH$8:$AH$407,$AA72),SUMIF($T$8:$T$407,INDEX($T$8:$T$407,$AA72),$AH$8:$AH$407))))</f>
        <v/>
      </c>
      <c r="J72" t="str">
        <f>IFERROR(MATCH(65,บันทึกรายเที่ยว!$W$6:$W$10005,0),"")</f>
        <v/>
      </c>
      <c r="K72" t="str">
        <f>IF($J72="","",INDEX(บันทึกรายเที่ยว!$T$6:$T$10005,$J72))</f>
        <v/>
      </c>
      <c r="L72" t="str">
        <f>IF($J72="","",INDEX(บันทึกรายเที่ยว!$S$6:$S$10005,$J72))</f>
        <v/>
      </c>
      <c r="M72" t="str">
        <f>IF($J72="","",INDEX(บันทึกรายเที่ยว!$R$6:$R$10005,$J72))</f>
        <v/>
      </c>
      <c r="N72" t="str">
        <f>IF($J72="","",MATCH($M72,บันทึกรายเที่ยว!$R$6:$R$10005,0))</f>
        <v/>
      </c>
      <c r="O72" t="str">
        <f>IF($J72="","",MATCH($L72,บันทึกรายเที่ยว!$S$6:$S$10005,0))</f>
        <v/>
      </c>
      <c r="P72" t="str">
        <f>IF($J72="","",IF(AND(OR($I$3="(ทั้งหมด)",INDEX(บันทึกรายเที่ยว!$C$6:$C$10005,$J72)=$I$3),OR($I$5="(ทั้งหมด)",INDEX(บันทึกรายเที่ยว!$D$6:$D$10005,$J72)=$I$5),OR($I$7="(ทั้งหมด)",INDEX(บันทึกรายเที่ยว!$F$6:$F$10005,$J72)=$I$7)),$N72*10000000+$O72*1000+65,""))</f>
        <v/>
      </c>
      <c r="Q72" t="str">
        <f>IFERROR(MATCH(SMALL($P$8:$P$407,65),$P$8:$P$407,0),"")</f>
        <v/>
      </c>
      <c r="R72" t="str">
        <f t="shared" ref="R72:R135" si="21">IF($Q72="","",INDEX($J$8:$J$407,$Q72))</f>
        <v/>
      </c>
      <c r="S72" t="str">
        <f t="shared" ref="S72:S135" si="22">IF($Q72="","",INDEX($M$8:$M$407,$Q72))</f>
        <v/>
      </c>
      <c r="T72" t="str">
        <f t="shared" ref="T72:T135" si="23">IF($Q72="","",INDEX($L$8:$L$407,$Q72))</f>
        <v/>
      </c>
      <c r="U72" t="str">
        <f t="shared" ref="U72:U135" si="24">IF($Q72="","",INDEX($K$8:$K$407,$Q72))</f>
        <v/>
      </c>
      <c r="V72">
        <f t="shared" si="12"/>
        <v>0</v>
      </c>
      <c r="W72">
        <f t="shared" si="13"/>
        <v>0</v>
      </c>
      <c r="X72">
        <f>IF($Q72="",99999+65,$X71+1+$V71+$W71)</f>
        <v>100064</v>
      </c>
      <c r="Y72" t="str">
        <f>IF($Q72="","",INDEX(บันทึกรายเที่ยว!$Q$6:$Q$10005,$R72))</f>
        <v/>
      </c>
      <c r="Z72" t="str">
        <f>IF($Q72="","",INDEX(บันทึกรายเที่ยว!$F$6:$F$10005,$R72))</f>
        <v/>
      </c>
      <c r="AA72" t="str">
        <f>IFERROR(MATCH(65,$X$8:$X$407,1),"")</f>
        <v/>
      </c>
      <c r="AB72" t="str">
        <f>IF(65=$AD$1+1,"G",IF($AA72="","",IF(INDEX($Q$8:$Q$407,$AA72)="","",IF(65&gt;INDEX($X$8:$X$407,$AA72)+INDEX($V$8:$V$407,$AA72)+INDEX($W$8:$W$407,$AA72),"",IF(65=INDEX($X$8:$X$407,$AA72)+INDEX($V$8:$V$407,$AA72)+INDEX($W$8:$W$407,$AA72),"D",IF(AND(INDEX($W$8:$W$407,$AA72)=1,65=INDEX($X$8:$X$407,$AA72)+INDEX($V$8:$V$407,$AA72)),"S","R"))))))</f>
        <v/>
      </c>
      <c r="AC72" t="str">
        <f t="shared" ref="AC72:AC135" si="25">IF(OR($AB72="",$AB72="G"),"",IF($AB72="D",INDEX($U$8:$U$407,$AA72),IF($AB72="S",INDEX($T$8:$T$407,$AA72)&amp;"|*",INDEX($S$8:$S$407,$AA72)&amp;"|*")))</f>
        <v/>
      </c>
      <c r="AE72">
        <f>IF($U72="",0,COUNTIF(บันทึกรายเที่ยว!$T$6:$T$10005,$U72))</f>
        <v>0</v>
      </c>
      <c r="AF72">
        <f>IF($U72="",0,ROUND(SUMIF(บันทึกรายเที่ยว!$T$6:$T$10005,$U72,บันทึกรายเที่ยว!$J$6:$J$10005),2))</f>
        <v>0</v>
      </c>
      <c r="AG72">
        <f>IF($U72="",0,ROUND(SUMIF(บันทึกรายเที่ยว!$T$6:$T$10005,$U72,บันทึกรายเที่ยว!$K$6:$K$10005),2))</f>
        <v>0</v>
      </c>
      <c r="AH72">
        <f>IF($U72="",0,ROUND(SUMIF(บันทึกรายเที่ยว!$T$6:$T$10005,$U72,บันทึกรายเที่ยว!$M$6:$M$10005),2))</f>
        <v>0</v>
      </c>
    </row>
    <row r="73" spans="1:34" ht="21" customHeight="1" x14ac:dyDescent="0.95">
      <c r="A73" s="3" t="str">
        <f t="shared" si="14"/>
        <v/>
      </c>
      <c r="B73" s="3" t="str">
        <f t="shared" si="15"/>
        <v/>
      </c>
      <c r="C73" s="8" t="str">
        <f t="shared" si="16"/>
        <v/>
      </c>
      <c r="D73" s="31" t="str">
        <f t="shared" si="17"/>
        <v/>
      </c>
      <c r="E73" s="32" t="str">
        <f>IF(66=$AD$1+3,"ขอแสดงความนับถือ",IF(66=$AD$1+6,"(                 )",IF(66=$AD$1+7,"เจ้าหน้าที่ขนส่ง",IF($AB73="G",SUM($AF$8:$AF$407),IF(OR($AB73="",$AB73="R"),"",IF($AB73="D",INDEX($AF$8:$AF$407,$AA73),SUMIF($T$8:$T$407,INDEX($T$8:$T$407,$AA73),$AF$8:$AF$407)))))))</f>
        <v/>
      </c>
      <c r="F73" s="32" t="str">
        <f t="shared" si="18"/>
        <v/>
      </c>
      <c r="G73" s="32" t="str">
        <f t="shared" si="19"/>
        <v/>
      </c>
      <c r="H73" s="32" t="str">
        <f t="shared" si="20"/>
        <v/>
      </c>
      <c r="J73" t="str">
        <f>IFERROR(MATCH(66,บันทึกรายเที่ยว!$W$6:$W$10005,0),"")</f>
        <v/>
      </c>
      <c r="K73" t="str">
        <f>IF($J73="","",INDEX(บันทึกรายเที่ยว!$T$6:$T$10005,$J73))</f>
        <v/>
      </c>
      <c r="L73" t="str">
        <f>IF($J73="","",INDEX(บันทึกรายเที่ยว!$S$6:$S$10005,$J73))</f>
        <v/>
      </c>
      <c r="M73" t="str">
        <f>IF($J73="","",INDEX(บันทึกรายเที่ยว!$R$6:$R$10005,$J73))</f>
        <v/>
      </c>
      <c r="N73" t="str">
        <f>IF($J73="","",MATCH($M73,บันทึกรายเที่ยว!$R$6:$R$10005,0))</f>
        <v/>
      </c>
      <c r="O73" t="str">
        <f>IF($J73="","",MATCH($L73,บันทึกรายเที่ยว!$S$6:$S$10005,0))</f>
        <v/>
      </c>
      <c r="P73" t="str">
        <f>IF($J73="","",IF(AND(OR($I$3="(ทั้งหมด)",INDEX(บันทึกรายเที่ยว!$C$6:$C$10005,$J73)=$I$3),OR($I$5="(ทั้งหมด)",INDEX(บันทึกรายเที่ยว!$D$6:$D$10005,$J73)=$I$5),OR($I$7="(ทั้งหมด)",INDEX(บันทึกรายเที่ยว!$F$6:$F$10005,$J73)=$I$7)),$N73*10000000+$O73*1000+66,""))</f>
        <v/>
      </c>
      <c r="Q73" t="str">
        <f>IFERROR(MATCH(SMALL($P$8:$P$407,66),$P$8:$P$407,0),"")</f>
        <v/>
      </c>
      <c r="R73" t="str">
        <f t="shared" si="21"/>
        <v/>
      </c>
      <c r="S73" t="str">
        <f t="shared" si="22"/>
        <v/>
      </c>
      <c r="T73" t="str">
        <f t="shared" si="23"/>
        <v/>
      </c>
      <c r="U73" t="str">
        <f t="shared" si="24"/>
        <v/>
      </c>
      <c r="V73">
        <f t="shared" ref="V73:V136" si="26">IF($Q73="",0,IF($S73&lt;&gt;$S72,1,0))</f>
        <v>0</v>
      </c>
      <c r="W73">
        <f t="shared" ref="W73:W136" si="27">IF($Q73="",0,IF($T73&lt;&gt;$T72,1,0))</f>
        <v>0</v>
      </c>
      <c r="X73">
        <f>IF($Q73="",99999+66,$X72+1+$V72+$W72)</f>
        <v>100065</v>
      </c>
      <c r="Y73" t="str">
        <f>IF($Q73="","",INDEX(บันทึกรายเที่ยว!$Q$6:$Q$10005,$R73))</f>
        <v/>
      </c>
      <c r="Z73" t="str">
        <f>IF($Q73="","",INDEX(บันทึกรายเที่ยว!$F$6:$F$10005,$R73))</f>
        <v/>
      </c>
      <c r="AA73" t="str">
        <f>IFERROR(MATCH(66,$X$8:$X$407,1),"")</f>
        <v/>
      </c>
      <c r="AB73" t="str">
        <f>IF(66=$AD$1+1,"G",IF($AA73="","",IF(INDEX($Q$8:$Q$407,$AA73)="","",IF(66&gt;INDEX($X$8:$X$407,$AA73)+INDEX($V$8:$V$407,$AA73)+INDEX($W$8:$W$407,$AA73),"",IF(66=INDEX($X$8:$X$407,$AA73)+INDEX($V$8:$V$407,$AA73)+INDEX($W$8:$W$407,$AA73),"D",IF(AND(INDEX($W$8:$W$407,$AA73)=1,66=INDEX($X$8:$X$407,$AA73)+INDEX($V$8:$V$407,$AA73)),"S","R"))))))</f>
        <v/>
      </c>
      <c r="AC73" t="str">
        <f t="shared" si="25"/>
        <v/>
      </c>
      <c r="AE73">
        <f>IF($U73="",0,COUNTIF(บันทึกรายเที่ยว!$T$6:$T$10005,$U73))</f>
        <v>0</v>
      </c>
      <c r="AF73">
        <f>IF($U73="",0,ROUND(SUMIF(บันทึกรายเที่ยว!$T$6:$T$10005,$U73,บันทึกรายเที่ยว!$J$6:$J$10005),2))</f>
        <v>0</v>
      </c>
      <c r="AG73">
        <f>IF($U73="",0,ROUND(SUMIF(บันทึกรายเที่ยว!$T$6:$T$10005,$U73,บันทึกรายเที่ยว!$K$6:$K$10005),2))</f>
        <v>0</v>
      </c>
      <c r="AH73">
        <f>IF($U73="",0,ROUND(SUMIF(บันทึกรายเที่ยว!$T$6:$T$10005,$U73,บันทึกรายเที่ยว!$M$6:$M$10005),2))</f>
        <v>0</v>
      </c>
    </row>
    <row r="74" spans="1:34" ht="21" customHeight="1" x14ac:dyDescent="0.95">
      <c r="A74" s="3" t="str">
        <f t="shared" si="14"/>
        <v/>
      </c>
      <c r="B74" s="3" t="str">
        <f t="shared" si="15"/>
        <v/>
      </c>
      <c r="C74" s="8" t="str">
        <f t="shared" si="16"/>
        <v/>
      </c>
      <c r="D74" s="31" t="str">
        <f t="shared" si="17"/>
        <v/>
      </c>
      <c r="E74" s="32" t="str">
        <f>IF(67=$AD$1+3,"ขอแสดงความนับถือ",IF(67=$AD$1+6,"(                 )",IF(67=$AD$1+7,"เจ้าหน้าที่ขนส่ง",IF($AB74="G",SUM($AF$8:$AF$407),IF(OR($AB74="",$AB74="R"),"",IF($AB74="D",INDEX($AF$8:$AF$407,$AA74),SUMIF($T$8:$T$407,INDEX($T$8:$T$407,$AA74),$AF$8:$AF$407)))))))</f>
        <v/>
      </c>
      <c r="F74" s="32" t="str">
        <f t="shared" si="18"/>
        <v/>
      </c>
      <c r="G74" s="32" t="str">
        <f t="shared" si="19"/>
        <v/>
      </c>
      <c r="H74" s="32" t="str">
        <f t="shared" si="20"/>
        <v/>
      </c>
      <c r="J74" t="str">
        <f>IFERROR(MATCH(67,บันทึกรายเที่ยว!$W$6:$W$10005,0),"")</f>
        <v/>
      </c>
      <c r="K74" t="str">
        <f>IF($J74="","",INDEX(บันทึกรายเที่ยว!$T$6:$T$10005,$J74))</f>
        <v/>
      </c>
      <c r="L74" t="str">
        <f>IF($J74="","",INDEX(บันทึกรายเที่ยว!$S$6:$S$10005,$J74))</f>
        <v/>
      </c>
      <c r="M74" t="str">
        <f>IF($J74="","",INDEX(บันทึกรายเที่ยว!$R$6:$R$10005,$J74))</f>
        <v/>
      </c>
      <c r="N74" t="str">
        <f>IF($J74="","",MATCH($M74,บันทึกรายเที่ยว!$R$6:$R$10005,0))</f>
        <v/>
      </c>
      <c r="O74" t="str">
        <f>IF($J74="","",MATCH($L74,บันทึกรายเที่ยว!$S$6:$S$10005,0))</f>
        <v/>
      </c>
      <c r="P74" t="str">
        <f>IF($J74="","",IF(AND(OR($I$3="(ทั้งหมด)",INDEX(บันทึกรายเที่ยว!$C$6:$C$10005,$J74)=$I$3),OR($I$5="(ทั้งหมด)",INDEX(บันทึกรายเที่ยว!$D$6:$D$10005,$J74)=$I$5),OR($I$7="(ทั้งหมด)",INDEX(บันทึกรายเที่ยว!$F$6:$F$10005,$J74)=$I$7)),$N74*10000000+$O74*1000+67,""))</f>
        <v/>
      </c>
      <c r="Q74" t="str">
        <f>IFERROR(MATCH(SMALL($P$8:$P$407,67),$P$8:$P$407,0),"")</f>
        <v/>
      </c>
      <c r="R74" t="str">
        <f t="shared" si="21"/>
        <v/>
      </c>
      <c r="S74" t="str">
        <f t="shared" si="22"/>
        <v/>
      </c>
      <c r="T74" t="str">
        <f t="shared" si="23"/>
        <v/>
      </c>
      <c r="U74" t="str">
        <f t="shared" si="24"/>
        <v/>
      </c>
      <c r="V74">
        <f t="shared" si="26"/>
        <v>0</v>
      </c>
      <c r="W74">
        <f t="shared" si="27"/>
        <v>0</v>
      </c>
      <c r="X74">
        <f>IF($Q74="",99999+67,$X73+1+$V73+$W73)</f>
        <v>100066</v>
      </c>
      <c r="Y74" t="str">
        <f>IF($Q74="","",INDEX(บันทึกรายเที่ยว!$Q$6:$Q$10005,$R74))</f>
        <v/>
      </c>
      <c r="Z74" t="str">
        <f>IF($Q74="","",INDEX(บันทึกรายเที่ยว!$F$6:$F$10005,$R74))</f>
        <v/>
      </c>
      <c r="AA74" t="str">
        <f>IFERROR(MATCH(67,$X$8:$X$407,1),"")</f>
        <v/>
      </c>
      <c r="AB74" t="str">
        <f>IF(67=$AD$1+1,"G",IF($AA74="","",IF(INDEX($Q$8:$Q$407,$AA74)="","",IF(67&gt;INDEX($X$8:$X$407,$AA74)+INDEX($V$8:$V$407,$AA74)+INDEX($W$8:$W$407,$AA74),"",IF(67=INDEX($X$8:$X$407,$AA74)+INDEX($V$8:$V$407,$AA74)+INDEX($W$8:$W$407,$AA74),"D",IF(AND(INDEX($W$8:$W$407,$AA74)=1,67=INDEX($X$8:$X$407,$AA74)+INDEX($V$8:$V$407,$AA74)),"S","R"))))))</f>
        <v/>
      </c>
      <c r="AC74" t="str">
        <f t="shared" si="25"/>
        <v/>
      </c>
      <c r="AE74">
        <f>IF($U74="",0,COUNTIF(บันทึกรายเที่ยว!$T$6:$T$10005,$U74))</f>
        <v>0</v>
      </c>
      <c r="AF74">
        <f>IF($U74="",0,ROUND(SUMIF(บันทึกรายเที่ยว!$T$6:$T$10005,$U74,บันทึกรายเที่ยว!$J$6:$J$10005),2))</f>
        <v>0</v>
      </c>
      <c r="AG74">
        <f>IF($U74="",0,ROUND(SUMIF(บันทึกรายเที่ยว!$T$6:$T$10005,$U74,บันทึกรายเที่ยว!$K$6:$K$10005),2))</f>
        <v>0</v>
      </c>
      <c r="AH74">
        <f>IF($U74="",0,ROUND(SUMIF(บันทึกรายเที่ยว!$T$6:$T$10005,$U74,บันทึกรายเที่ยว!$M$6:$M$10005),2))</f>
        <v>0</v>
      </c>
    </row>
    <row r="75" spans="1:34" ht="21" customHeight="1" x14ac:dyDescent="0.95">
      <c r="A75" s="3" t="str">
        <f t="shared" si="14"/>
        <v/>
      </c>
      <c r="B75" s="3" t="str">
        <f t="shared" si="15"/>
        <v/>
      </c>
      <c r="C75" s="8" t="str">
        <f t="shared" si="16"/>
        <v/>
      </c>
      <c r="D75" s="31" t="str">
        <f t="shared" si="17"/>
        <v/>
      </c>
      <c r="E75" s="32" t="str">
        <f>IF(68=$AD$1+3,"ขอแสดงความนับถือ",IF(68=$AD$1+6,"(                 )",IF(68=$AD$1+7,"เจ้าหน้าที่ขนส่ง",IF($AB75="G",SUM($AF$8:$AF$407),IF(OR($AB75="",$AB75="R"),"",IF($AB75="D",INDEX($AF$8:$AF$407,$AA75),SUMIF($T$8:$T$407,INDEX($T$8:$T$407,$AA75),$AF$8:$AF$407)))))))</f>
        <v/>
      </c>
      <c r="F75" s="32" t="str">
        <f t="shared" si="18"/>
        <v/>
      </c>
      <c r="G75" s="32" t="str">
        <f t="shared" si="19"/>
        <v/>
      </c>
      <c r="H75" s="32" t="str">
        <f t="shared" si="20"/>
        <v/>
      </c>
      <c r="J75" t="str">
        <f>IFERROR(MATCH(68,บันทึกรายเที่ยว!$W$6:$W$10005,0),"")</f>
        <v/>
      </c>
      <c r="K75" t="str">
        <f>IF($J75="","",INDEX(บันทึกรายเที่ยว!$T$6:$T$10005,$J75))</f>
        <v/>
      </c>
      <c r="L75" t="str">
        <f>IF($J75="","",INDEX(บันทึกรายเที่ยว!$S$6:$S$10005,$J75))</f>
        <v/>
      </c>
      <c r="M75" t="str">
        <f>IF($J75="","",INDEX(บันทึกรายเที่ยว!$R$6:$R$10005,$J75))</f>
        <v/>
      </c>
      <c r="N75" t="str">
        <f>IF($J75="","",MATCH($M75,บันทึกรายเที่ยว!$R$6:$R$10005,0))</f>
        <v/>
      </c>
      <c r="O75" t="str">
        <f>IF($J75="","",MATCH($L75,บันทึกรายเที่ยว!$S$6:$S$10005,0))</f>
        <v/>
      </c>
      <c r="P75" t="str">
        <f>IF($J75="","",IF(AND(OR($I$3="(ทั้งหมด)",INDEX(บันทึกรายเที่ยว!$C$6:$C$10005,$J75)=$I$3),OR($I$5="(ทั้งหมด)",INDEX(บันทึกรายเที่ยว!$D$6:$D$10005,$J75)=$I$5),OR($I$7="(ทั้งหมด)",INDEX(บันทึกรายเที่ยว!$F$6:$F$10005,$J75)=$I$7)),$N75*10000000+$O75*1000+68,""))</f>
        <v/>
      </c>
      <c r="Q75" t="str">
        <f>IFERROR(MATCH(SMALL($P$8:$P$407,68),$P$8:$P$407,0),"")</f>
        <v/>
      </c>
      <c r="R75" t="str">
        <f t="shared" si="21"/>
        <v/>
      </c>
      <c r="S75" t="str">
        <f t="shared" si="22"/>
        <v/>
      </c>
      <c r="T75" t="str">
        <f t="shared" si="23"/>
        <v/>
      </c>
      <c r="U75" t="str">
        <f t="shared" si="24"/>
        <v/>
      </c>
      <c r="V75">
        <f t="shared" si="26"/>
        <v>0</v>
      </c>
      <c r="W75">
        <f t="shared" si="27"/>
        <v>0</v>
      </c>
      <c r="X75">
        <f>IF($Q75="",99999+68,$X74+1+$V74+$W74)</f>
        <v>100067</v>
      </c>
      <c r="Y75" t="str">
        <f>IF($Q75="","",INDEX(บันทึกรายเที่ยว!$Q$6:$Q$10005,$R75))</f>
        <v/>
      </c>
      <c r="Z75" t="str">
        <f>IF($Q75="","",INDEX(บันทึกรายเที่ยว!$F$6:$F$10005,$R75))</f>
        <v/>
      </c>
      <c r="AA75" t="str">
        <f>IFERROR(MATCH(68,$X$8:$X$407,1),"")</f>
        <v/>
      </c>
      <c r="AB75" t="str">
        <f>IF(68=$AD$1+1,"G",IF($AA75="","",IF(INDEX($Q$8:$Q$407,$AA75)="","",IF(68&gt;INDEX($X$8:$X$407,$AA75)+INDEX($V$8:$V$407,$AA75)+INDEX($W$8:$W$407,$AA75),"",IF(68=INDEX($X$8:$X$407,$AA75)+INDEX($V$8:$V$407,$AA75)+INDEX($W$8:$W$407,$AA75),"D",IF(AND(INDEX($W$8:$W$407,$AA75)=1,68=INDEX($X$8:$X$407,$AA75)+INDEX($V$8:$V$407,$AA75)),"S","R"))))))</f>
        <v/>
      </c>
      <c r="AC75" t="str">
        <f t="shared" si="25"/>
        <v/>
      </c>
      <c r="AE75">
        <f>IF($U75="",0,COUNTIF(บันทึกรายเที่ยว!$T$6:$T$10005,$U75))</f>
        <v>0</v>
      </c>
      <c r="AF75">
        <f>IF($U75="",0,ROUND(SUMIF(บันทึกรายเที่ยว!$T$6:$T$10005,$U75,บันทึกรายเที่ยว!$J$6:$J$10005),2))</f>
        <v>0</v>
      </c>
      <c r="AG75">
        <f>IF($U75="",0,ROUND(SUMIF(บันทึกรายเที่ยว!$T$6:$T$10005,$U75,บันทึกรายเที่ยว!$K$6:$K$10005),2))</f>
        <v>0</v>
      </c>
      <c r="AH75">
        <f>IF($U75="",0,ROUND(SUMIF(บันทึกรายเที่ยว!$T$6:$T$10005,$U75,บันทึกรายเที่ยว!$M$6:$M$10005),2))</f>
        <v>0</v>
      </c>
    </row>
    <row r="76" spans="1:34" ht="21" customHeight="1" x14ac:dyDescent="0.95">
      <c r="A76" s="3" t="str">
        <f t="shared" si="14"/>
        <v/>
      </c>
      <c r="B76" s="3" t="str">
        <f t="shared" si="15"/>
        <v/>
      </c>
      <c r="C76" s="8" t="str">
        <f t="shared" si="16"/>
        <v/>
      </c>
      <c r="D76" s="31" t="str">
        <f t="shared" si="17"/>
        <v/>
      </c>
      <c r="E76" s="32" t="str">
        <f>IF(69=$AD$1+3,"ขอแสดงความนับถือ",IF(69=$AD$1+6,"(                 )",IF(69=$AD$1+7,"เจ้าหน้าที่ขนส่ง",IF($AB76="G",SUM($AF$8:$AF$407),IF(OR($AB76="",$AB76="R"),"",IF($AB76="D",INDEX($AF$8:$AF$407,$AA76),SUMIF($T$8:$T$407,INDEX($T$8:$T$407,$AA76),$AF$8:$AF$407)))))))</f>
        <v/>
      </c>
      <c r="F76" s="32" t="str">
        <f t="shared" si="18"/>
        <v/>
      </c>
      <c r="G76" s="32" t="str">
        <f t="shared" si="19"/>
        <v/>
      </c>
      <c r="H76" s="32" t="str">
        <f t="shared" si="20"/>
        <v/>
      </c>
      <c r="J76" t="str">
        <f>IFERROR(MATCH(69,บันทึกรายเที่ยว!$W$6:$W$10005,0),"")</f>
        <v/>
      </c>
      <c r="K76" t="str">
        <f>IF($J76="","",INDEX(บันทึกรายเที่ยว!$T$6:$T$10005,$J76))</f>
        <v/>
      </c>
      <c r="L76" t="str">
        <f>IF($J76="","",INDEX(บันทึกรายเที่ยว!$S$6:$S$10005,$J76))</f>
        <v/>
      </c>
      <c r="M76" t="str">
        <f>IF($J76="","",INDEX(บันทึกรายเที่ยว!$R$6:$R$10005,$J76))</f>
        <v/>
      </c>
      <c r="N76" t="str">
        <f>IF($J76="","",MATCH($M76,บันทึกรายเที่ยว!$R$6:$R$10005,0))</f>
        <v/>
      </c>
      <c r="O76" t="str">
        <f>IF($J76="","",MATCH($L76,บันทึกรายเที่ยว!$S$6:$S$10005,0))</f>
        <v/>
      </c>
      <c r="P76" t="str">
        <f>IF($J76="","",IF(AND(OR($I$3="(ทั้งหมด)",INDEX(บันทึกรายเที่ยว!$C$6:$C$10005,$J76)=$I$3),OR($I$5="(ทั้งหมด)",INDEX(บันทึกรายเที่ยว!$D$6:$D$10005,$J76)=$I$5),OR($I$7="(ทั้งหมด)",INDEX(บันทึกรายเที่ยว!$F$6:$F$10005,$J76)=$I$7)),$N76*10000000+$O76*1000+69,""))</f>
        <v/>
      </c>
      <c r="Q76" t="str">
        <f>IFERROR(MATCH(SMALL($P$8:$P$407,69),$P$8:$P$407,0),"")</f>
        <v/>
      </c>
      <c r="R76" t="str">
        <f t="shared" si="21"/>
        <v/>
      </c>
      <c r="S76" t="str">
        <f t="shared" si="22"/>
        <v/>
      </c>
      <c r="T76" t="str">
        <f t="shared" si="23"/>
        <v/>
      </c>
      <c r="U76" t="str">
        <f t="shared" si="24"/>
        <v/>
      </c>
      <c r="V76">
        <f t="shared" si="26"/>
        <v>0</v>
      </c>
      <c r="W76">
        <f t="shared" si="27"/>
        <v>0</v>
      </c>
      <c r="X76">
        <f>IF($Q76="",99999+69,$X75+1+$V75+$W75)</f>
        <v>100068</v>
      </c>
      <c r="Y76" t="str">
        <f>IF($Q76="","",INDEX(บันทึกรายเที่ยว!$Q$6:$Q$10005,$R76))</f>
        <v/>
      </c>
      <c r="Z76" t="str">
        <f>IF($Q76="","",INDEX(บันทึกรายเที่ยว!$F$6:$F$10005,$R76))</f>
        <v/>
      </c>
      <c r="AA76" t="str">
        <f>IFERROR(MATCH(69,$X$8:$X$407,1),"")</f>
        <v/>
      </c>
      <c r="AB76" t="str">
        <f>IF(69=$AD$1+1,"G",IF($AA76="","",IF(INDEX($Q$8:$Q$407,$AA76)="","",IF(69&gt;INDEX($X$8:$X$407,$AA76)+INDEX($V$8:$V$407,$AA76)+INDEX($W$8:$W$407,$AA76),"",IF(69=INDEX($X$8:$X$407,$AA76)+INDEX($V$8:$V$407,$AA76)+INDEX($W$8:$W$407,$AA76),"D",IF(AND(INDEX($W$8:$W$407,$AA76)=1,69=INDEX($X$8:$X$407,$AA76)+INDEX($V$8:$V$407,$AA76)),"S","R"))))))</f>
        <v/>
      </c>
      <c r="AC76" t="str">
        <f t="shared" si="25"/>
        <v/>
      </c>
      <c r="AE76">
        <f>IF($U76="",0,COUNTIF(บันทึกรายเที่ยว!$T$6:$T$10005,$U76))</f>
        <v>0</v>
      </c>
      <c r="AF76">
        <f>IF($U76="",0,ROUND(SUMIF(บันทึกรายเที่ยว!$T$6:$T$10005,$U76,บันทึกรายเที่ยว!$J$6:$J$10005),2))</f>
        <v>0</v>
      </c>
      <c r="AG76">
        <f>IF($U76="",0,ROUND(SUMIF(บันทึกรายเที่ยว!$T$6:$T$10005,$U76,บันทึกรายเที่ยว!$K$6:$K$10005),2))</f>
        <v>0</v>
      </c>
      <c r="AH76">
        <f>IF($U76="",0,ROUND(SUMIF(บันทึกรายเที่ยว!$T$6:$T$10005,$U76,บันทึกรายเที่ยว!$M$6:$M$10005),2))</f>
        <v>0</v>
      </c>
    </row>
    <row r="77" spans="1:34" ht="21" customHeight="1" x14ac:dyDescent="0.95">
      <c r="A77" s="3" t="str">
        <f t="shared" si="14"/>
        <v/>
      </c>
      <c r="B77" s="3" t="str">
        <f t="shared" si="15"/>
        <v/>
      </c>
      <c r="C77" s="8" t="str">
        <f t="shared" si="16"/>
        <v/>
      </c>
      <c r="D77" s="31" t="str">
        <f t="shared" si="17"/>
        <v/>
      </c>
      <c r="E77" s="32" t="str">
        <f>IF(70=$AD$1+3,"ขอแสดงความนับถือ",IF(70=$AD$1+6,"(                 )",IF(70=$AD$1+7,"เจ้าหน้าที่ขนส่ง",IF($AB77="G",SUM($AF$8:$AF$407),IF(OR($AB77="",$AB77="R"),"",IF($AB77="D",INDEX($AF$8:$AF$407,$AA77),SUMIF($T$8:$T$407,INDEX($T$8:$T$407,$AA77),$AF$8:$AF$407)))))))</f>
        <v/>
      </c>
      <c r="F77" s="32" t="str">
        <f t="shared" si="18"/>
        <v/>
      </c>
      <c r="G77" s="32" t="str">
        <f t="shared" si="19"/>
        <v/>
      </c>
      <c r="H77" s="32" t="str">
        <f t="shared" si="20"/>
        <v/>
      </c>
      <c r="J77" t="str">
        <f>IFERROR(MATCH(70,บันทึกรายเที่ยว!$W$6:$W$10005,0),"")</f>
        <v/>
      </c>
      <c r="K77" t="str">
        <f>IF($J77="","",INDEX(บันทึกรายเที่ยว!$T$6:$T$10005,$J77))</f>
        <v/>
      </c>
      <c r="L77" t="str">
        <f>IF($J77="","",INDEX(บันทึกรายเที่ยว!$S$6:$S$10005,$J77))</f>
        <v/>
      </c>
      <c r="M77" t="str">
        <f>IF($J77="","",INDEX(บันทึกรายเที่ยว!$R$6:$R$10005,$J77))</f>
        <v/>
      </c>
      <c r="N77" t="str">
        <f>IF($J77="","",MATCH($M77,บันทึกรายเที่ยว!$R$6:$R$10005,0))</f>
        <v/>
      </c>
      <c r="O77" t="str">
        <f>IF($J77="","",MATCH($L77,บันทึกรายเที่ยว!$S$6:$S$10005,0))</f>
        <v/>
      </c>
      <c r="P77" t="str">
        <f>IF($J77="","",IF(AND(OR($I$3="(ทั้งหมด)",INDEX(บันทึกรายเที่ยว!$C$6:$C$10005,$J77)=$I$3),OR($I$5="(ทั้งหมด)",INDEX(บันทึกรายเที่ยว!$D$6:$D$10005,$J77)=$I$5),OR($I$7="(ทั้งหมด)",INDEX(บันทึกรายเที่ยว!$F$6:$F$10005,$J77)=$I$7)),$N77*10000000+$O77*1000+70,""))</f>
        <v/>
      </c>
      <c r="Q77" t="str">
        <f>IFERROR(MATCH(SMALL($P$8:$P$407,70),$P$8:$P$407,0),"")</f>
        <v/>
      </c>
      <c r="R77" t="str">
        <f t="shared" si="21"/>
        <v/>
      </c>
      <c r="S77" t="str">
        <f t="shared" si="22"/>
        <v/>
      </c>
      <c r="T77" t="str">
        <f t="shared" si="23"/>
        <v/>
      </c>
      <c r="U77" t="str">
        <f t="shared" si="24"/>
        <v/>
      </c>
      <c r="V77">
        <f t="shared" si="26"/>
        <v>0</v>
      </c>
      <c r="W77">
        <f t="shared" si="27"/>
        <v>0</v>
      </c>
      <c r="X77">
        <f>IF($Q77="",99999+70,$X76+1+$V76+$W76)</f>
        <v>100069</v>
      </c>
      <c r="Y77" t="str">
        <f>IF($Q77="","",INDEX(บันทึกรายเที่ยว!$Q$6:$Q$10005,$R77))</f>
        <v/>
      </c>
      <c r="Z77" t="str">
        <f>IF($Q77="","",INDEX(บันทึกรายเที่ยว!$F$6:$F$10005,$R77))</f>
        <v/>
      </c>
      <c r="AA77" t="str">
        <f>IFERROR(MATCH(70,$X$8:$X$407,1),"")</f>
        <v/>
      </c>
      <c r="AB77" t="str">
        <f>IF(70=$AD$1+1,"G",IF($AA77="","",IF(INDEX($Q$8:$Q$407,$AA77)="","",IF(70&gt;INDEX($X$8:$X$407,$AA77)+INDEX($V$8:$V$407,$AA77)+INDEX($W$8:$W$407,$AA77),"",IF(70=INDEX($X$8:$X$407,$AA77)+INDEX($V$8:$V$407,$AA77)+INDEX($W$8:$W$407,$AA77),"D",IF(AND(INDEX($W$8:$W$407,$AA77)=1,70=INDEX($X$8:$X$407,$AA77)+INDEX($V$8:$V$407,$AA77)),"S","R"))))))</f>
        <v/>
      </c>
      <c r="AC77" t="str">
        <f t="shared" si="25"/>
        <v/>
      </c>
      <c r="AE77">
        <f>IF($U77="",0,COUNTIF(บันทึกรายเที่ยว!$T$6:$T$10005,$U77))</f>
        <v>0</v>
      </c>
      <c r="AF77">
        <f>IF($U77="",0,ROUND(SUMIF(บันทึกรายเที่ยว!$T$6:$T$10005,$U77,บันทึกรายเที่ยว!$J$6:$J$10005),2))</f>
        <v>0</v>
      </c>
      <c r="AG77">
        <f>IF($U77="",0,ROUND(SUMIF(บันทึกรายเที่ยว!$T$6:$T$10005,$U77,บันทึกรายเที่ยว!$K$6:$K$10005),2))</f>
        <v>0</v>
      </c>
      <c r="AH77">
        <f>IF($U77="",0,ROUND(SUMIF(บันทึกรายเที่ยว!$T$6:$T$10005,$U77,บันทึกรายเที่ยว!$M$6:$M$10005),2))</f>
        <v>0</v>
      </c>
    </row>
    <row r="78" spans="1:34" ht="21" customHeight="1" x14ac:dyDescent="0.95">
      <c r="A78" s="3" t="str">
        <f t="shared" si="14"/>
        <v/>
      </c>
      <c r="B78" s="3" t="str">
        <f t="shared" si="15"/>
        <v/>
      </c>
      <c r="C78" s="8" t="str">
        <f t="shared" si="16"/>
        <v/>
      </c>
      <c r="D78" s="31" t="str">
        <f t="shared" si="17"/>
        <v/>
      </c>
      <c r="E78" s="32" t="str">
        <f>IF(71=$AD$1+3,"ขอแสดงความนับถือ",IF(71=$AD$1+6,"(                 )",IF(71=$AD$1+7,"เจ้าหน้าที่ขนส่ง",IF($AB78="G",SUM($AF$8:$AF$407),IF(OR($AB78="",$AB78="R"),"",IF($AB78="D",INDEX($AF$8:$AF$407,$AA78),SUMIF($T$8:$T$407,INDEX($T$8:$T$407,$AA78),$AF$8:$AF$407)))))))</f>
        <v/>
      </c>
      <c r="F78" s="32" t="str">
        <f t="shared" si="18"/>
        <v/>
      </c>
      <c r="G78" s="32" t="str">
        <f t="shared" si="19"/>
        <v/>
      </c>
      <c r="H78" s="32" t="str">
        <f t="shared" si="20"/>
        <v/>
      </c>
      <c r="J78" t="str">
        <f>IFERROR(MATCH(71,บันทึกรายเที่ยว!$W$6:$W$10005,0),"")</f>
        <v/>
      </c>
      <c r="K78" t="str">
        <f>IF($J78="","",INDEX(บันทึกรายเที่ยว!$T$6:$T$10005,$J78))</f>
        <v/>
      </c>
      <c r="L78" t="str">
        <f>IF($J78="","",INDEX(บันทึกรายเที่ยว!$S$6:$S$10005,$J78))</f>
        <v/>
      </c>
      <c r="M78" t="str">
        <f>IF($J78="","",INDEX(บันทึกรายเที่ยว!$R$6:$R$10005,$J78))</f>
        <v/>
      </c>
      <c r="N78" t="str">
        <f>IF($J78="","",MATCH($M78,บันทึกรายเที่ยว!$R$6:$R$10005,0))</f>
        <v/>
      </c>
      <c r="O78" t="str">
        <f>IF($J78="","",MATCH($L78,บันทึกรายเที่ยว!$S$6:$S$10005,0))</f>
        <v/>
      </c>
      <c r="P78" t="str">
        <f>IF($J78="","",IF(AND(OR($I$3="(ทั้งหมด)",INDEX(บันทึกรายเที่ยว!$C$6:$C$10005,$J78)=$I$3),OR($I$5="(ทั้งหมด)",INDEX(บันทึกรายเที่ยว!$D$6:$D$10005,$J78)=$I$5),OR($I$7="(ทั้งหมด)",INDEX(บันทึกรายเที่ยว!$F$6:$F$10005,$J78)=$I$7)),$N78*10000000+$O78*1000+71,""))</f>
        <v/>
      </c>
      <c r="Q78" t="str">
        <f>IFERROR(MATCH(SMALL($P$8:$P$407,71),$P$8:$P$407,0),"")</f>
        <v/>
      </c>
      <c r="R78" t="str">
        <f t="shared" si="21"/>
        <v/>
      </c>
      <c r="S78" t="str">
        <f t="shared" si="22"/>
        <v/>
      </c>
      <c r="T78" t="str">
        <f t="shared" si="23"/>
        <v/>
      </c>
      <c r="U78" t="str">
        <f t="shared" si="24"/>
        <v/>
      </c>
      <c r="V78">
        <f t="shared" si="26"/>
        <v>0</v>
      </c>
      <c r="W78">
        <f t="shared" si="27"/>
        <v>0</v>
      </c>
      <c r="X78">
        <f>IF($Q78="",99999+71,$X77+1+$V77+$W77)</f>
        <v>100070</v>
      </c>
      <c r="Y78" t="str">
        <f>IF($Q78="","",INDEX(บันทึกรายเที่ยว!$Q$6:$Q$10005,$R78))</f>
        <v/>
      </c>
      <c r="Z78" t="str">
        <f>IF($Q78="","",INDEX(บันทึกรายเที่ยว!$F$6:$F$10005,$R78))</f>
        <v/>
      </c>
      <c r="AA78" t="str">
        <f>IFERROR(MATCH(71,$X$8:$X$407,1),"")</f>
        <v/>
      </c>
      <c r="AB78" t="str">
        <f>IF(71=$AD$1+1,"G",IF($AA78="","",IF(INDEX($Q$8:$Q$407,$AA78)="","",IF(71&gt;INDEX($X$8:$X$407,$AA78)+INDEX($V$8:$V$407,$AA78)+INDEX($W$8:$W$407,$AA78),"",IF(71=INDEX($X$8:$X$407,$AA78)+INDEX($V$8:$V$407,$AA78)+INDEX($W$8:$W$407,$AA78),"D",IF(AND(INDEX($W$8:$W$407,$AA78)=1,71=INDEX($X$8:$X$407,$AA78)+INDEX($V$8:$V$407,$AA78)),"S","R"))))))</f>
        <v/>
      </c>
      <c r="AC78" t="str">
        <f t="shared" si="25"/>
        <v/>
      </c>
      <c r="AE78">
        <f>IF($U78="",0,COUNTIF(บันทึกรายเที่ยว!$T$6:$T$10005,$U78))</f>
        <v>0</v>
      </c>
      <c r="AF78">
        <f>IF($U78="",0,ROUND(SUMIF(บันทึกรายเที่ยว!$T$6:$T$10005,$U78,บันทึกรายเที่ยว!$J$6:$J$10005),2))</f>
        <v>0</v>
      </c>
      <c r="AG78">
        <f>IF($U78="",0,ROUND(SUMIF(บันทึกรายเที่ยว!$T$6:$T$10005,$U78,บันทึกรายเที่ยว!$K$6:$K$10005),2))</f>
        <v>0</v>
      </c>
      <c r="AH78">
        <f>IF($U78="",0,ROUND(SUMIF(บันทึกรายเที่ยว!$T$6:$T$10005,$U78,บันทึกรายเที่ยว!$M$6:$M$10005),2))</f>
        <v>0</v>
      </c>
    </row>
    <row r="79" spans="1:34" ht="21" customHeight="1" x14ac:dyDescent="0.95">
      <c r="A79" s="3" t="str">
        <f t="shared" si="14"/>
        <v/>
      </c>
      <c r="B79" s="3" t="str">
        <f t="shared" si="15"/>
        <v/>
      </c>
      <c r="C79" s="8" t="str">
        <f t="shared" si="16"/>
        <v/>
      </c>
      <c r="D79" s="31" t="str">
        <f t="shared" si="17"/>
        <v/>
      </c>
      <c r="E79" s="32" t="str">
        <f>IF(72=$AD$1+3,"ขอแสดงความนับถือ",IF(72=$AD$1+6,"(                 )",IF(72=$AD$1+7,"เจ้าหน้าที่ขนส่ง",IF($AB79="G",SUM($AF$8:$AF$407),IF(OR($AB79="",$AB79="R"),"",IF($AB79="D",INDEX($AF$8:$AF$407,$AA79),SUMIF($T$8:$T$407,INDEX($T$8:$T$407,$AA79),$AF$8:$AF$407)))))))</f>
        <v/>
      </c>
      <c r="F79" s="32" t="str">
        <f t="shared" si="18"/>
        <v/>
      </c>
      <c r="G79" s="32" t="str">
        <f t="shared" si="19"/>
        <v/>
      </c>
      <c r="H79" s="32" t="str">
        <f t="shared" si="20"/>
        <v/>
      </c>
      <c r="J79" t="str">
        <f>IFERROR(MATCH(72,บันทึกรายเที่ยว!$W$6:$W$10005,0),"")</f>
        <v/>
      </c>
      <c r="K79" t="str">
        <f>IF($J79="","",INDEX(บันทึกรายเที่ยว!$T$6:$T$10005,$J79))</f>
        <v/>
      </c>
      <c r="L79" t="str">
        <f>IF($J79="","",INDEX(บันทึกรายเที่ยว!$S$6:$S$10005,$J79))</f>
        <v/>
      </c>
      <c r="M79" t="str">
        <f>IF($J79="","",INDEX(บันทึกรายเที่ยว!$R$6:$R$10005,$J79))</f>
        <v/>
      </c>
      <c r="N79" t="str">
        <f>IF($J79="","",MATCH($M79,บันทึกรายเที่ยว!$R$6:$R$10005,0))</f>
        <v/>
      </c>
      <c r="O79" t="str">
        <f>IF($J79="","",MATCH($L79,บันทึกรายเที่ยว!$S$6:$S$10005,0))</f>
        <v/>
      </c>
      <c r="P79" t="str">
        <f>IF($J79="","",IF(AND(OR($I$3="(ทั้งหมด)",INDEX(บันทึกรายเที่ยว!$C$6:$C$10005,$J79)=$I$3),OR($I$5="(ทั้งหมด)",INDEX(บันทึกรายเที่ยว!$D$6:$D$10005,$J79)=$I$5),OR($I$7="(ทั้งหมด)",INDEX(บันทึกรายเที่ยว!$F$6:$F$10005,$J79)=$I$7)),$N79*10000000+$O79*1000+72,""))</f>
        <v/>
      </c>
      <c r="Q79" t="str">
        <f>IFERROR(MATCH(SMALL($P$8:$P$407,72),$P$8:$P$407,0),"")</f>
        <v/>
      </c>
      <c r="R79" t="str">
        <f t="shared" si="21"/>
        <v/>
      </c>
      <c r="S79" t="str">
        <f t="shared" si="22"/>
        <v/>
      </c>
      <c r="T79" t="str">
        <f t="shared" si="23"/>
        <v/>
      </c>
      <c r="U79" t="str">
        <f t="shared" si="24"/>
        <v/>
      </c>
      <c r="V79">
        <f t="shared" si="26"/>
        <v>0</v>
      </c>
      <c r="W79">
        <f t="shared" si="27"/>
        <v>0</v>
      </c>
      <c r="X79">
        <f>IF($Q79="",99999+72,$X78+1+$V78+$W78)</f>
        <v>100071</v>
      </c>
      <c r="Y79" t="str">
        <f>IF($Q79="","",INDEX(บันทึกรายเที่ยว!$Q$6:$Q$10005,$R79))</f>
        <v/>
      </c>
      <c r="Z79" t="str">
        <f>IF($Q79="","",INDEX(บันทึกรายเที่ยว!$F$6:$F$10005,$R79))</f>
        <v/>
      </c>
      <c r="AA79" t="str">
        <f>IFERROR(MATCH(72,$X$8:$X$407,1),"")</f>
        <v/>
      </c>
      <c r="AB79" t="str">
        <f>IF(72=$AD$1+1,"G",IF($AA79="","",IF(INDEX($Q$8:$Q$407,$AA79)="","",IF(72&gt;INDEX($X$8:$X$407,$AA79)+INDEX($V$8:$V$407,$AA79)+INDEX($W$8:$W$407,$AA79),"",IF(72=INDEX($X$8:$X$407,$AA79)+INDEX($V$8:$V$407,$AA79)+INDEX($W$8:$W$407,$AA79),"D",IF(AND(INDEX($W$8:$W$407,$AA79)=1,72=INDEX($X$8:$X$407,$AA79)+INDEX($V$8:$V$407,$AA79)),"S","R"))))))</f>
        <v/>
      </c>
      <c r="AC79" t="str">
        <f t="shared" si="25"/>
        <v/>
      </c>
      <c r="AE79">
        <f>IF($U79="",0,COUNTIF(บันทึกรายเที่ยว!$T$6:$T$10005,$U79))</f>
        <v>0</v>
      </c>
      <c r="AF79">
        <f>IF($U79="",0,ROUND(SUMIF(บันทึกรายเที่ยว!$T$6:$T$10005,$U79,บันทึกรายเที่ยว!$J$6:$J$10005),2))</f>
        <v>0</v>
      </c>
      <c r="AG79">
        <f>IF($U79="",0,ROUND(SUMIF(บันทึกรายเที่ยว!$T$6:$T$10005,$U79,บันทึกรายเที่ยว!$K$6:$K$10005),2))</f>
        <v>0</v>
      </c>
      <c r="AH79">
        <f>IF($U79="",0,ROUND(SUMIF(บันทึกรายเที่ยว!$T$6:$T$10005,$U79,บันทึกรายเที่ยว!$M$6:$M$10005),2))</f>
        <v>0</v>
      </c>
    </row>
    <row r="80" spans="1:34" ht="21" customHeight="1" x14ac:dyDescent="0.95">
      <c r="A80" s="3" t="str">
        <f t="shared" si="14"/>
        <v/>
      </c>
      <c r="B80" s="3" t="str">
        <f t="shared" si="15"/>
        <v/>
      </c>
      <c r="C80" s="8" t="str">
        <f t="shared" si="16"/>
        <v/>
      </c>
      <c r="D80" s="31" t="str">
        <f t="shared" si="17"/>
        <v/>
      </c>
      <c r="E80" s="32" t="str">
        <f>IF(73=$AD$1+3,"ขอแสดงความนับถือ",IF(73=$AD$1+6,"(                 )",IF(73=$AD$1+7,"เจ้าหน้าที่ขนส่ง",IF($AB80="G",SUM($AF$8:$AF$407),IF(OR($AB80="",$AB80="R"),"",IF($AB80="D",INDEX($AF$8:$AF$407,$AA80),SUMIF($T$8:$T$407,INDEX($T$8:$T$407,$AA80),$AF$8:$AF$407)))))))</f>
        <v/>
      </c>
      <c r="F80" s="32" t="str">
        <f t="shared" si="18"/>
        <v/>
      </c>
      <c r="G80" s="32" t="str">
        <f t="shared" si="19"/>
        <v/>
      </c>
      <c r="H80" s="32" t="str">
        <f t="shared" si="20"/>
        <v/>
      </c>
      <c r="J80" t="str">
        <f>IFERROR(MATCH(73,บันทึกรายเที่ยว!$W$6:$W$10005,0),"")</f>
        <v/>
      </c>
      <c r="K80" t="str">
        <f>IF($J80="","",INDEX(บันทึกรายเที่ยว!$T$6:$T$10005,$J80))</f>
        <v/>
      </c>
      <c r="L80" t="str">
        <f>IF($J80="","",INDEX(บันทึกรายเที่ยว!$S$6:$S$10005,$J80))</f>
        <v/>
      </c>
      <c r="M80" t="str">
        <f>IF($J80="","",INDEX(บันทึกรายเที่ยว!$R$6:$R$10005,$J80))</f>
        <v/>
      </c>
      <c r="N80" t="str">
        <f>IF($J80="","",MATCH($M80,บันทึกรายเที่ยว!$R$6:$R$10005,0))</f>
        <v/>
      </c>
      <c r="O80" t="str">
        <f>IF($J80="","",MATCH($L80,บันทึกรายเที่ยว!$S$6:$S$10005,0))</f>
        <v/>
      </c>
      <c r="P80" t="str">
        <f>IF($J80="","",IF(AND(OR($I$3="(ทั้งหมด)",INDEX(บันทึกรายเที่ยว!$C$6:$C$10005,$J80)=$I$3),OR($I$5="(ทั้งหมด)",INDEX(บันทึกรายเที่ยว!$D$6:$D$10005,$J80)=$I$5),OR($I$7="(ทั้งหมด)",INDEX(บันทึกรายเที่ยว!$F$6:$F$10005,$J80)=$I$7)),$N80*10000000+$O80*1000+73,""))</f>
        <v/>
      </c>
      <c r="Q80" t="str">
        <f>IFERROR(MATCH(SMALL($P$8:$P$407,73),$P$8:$P$407,0),"")</f>
        <v/>
      </c>
      <c r="R80" t="str">
        <f t="shared" si="21"/>
        <v/>
      </c>
      <c r="S80" t="str">
        <f t="shared" si="22"/>
        <v/>
      </c>
      <c r="T80" t="str">
        <f t="shared" si="23"/>
        <v/>
      </c>
      <c r="U80" t="str">
        <f t="shared" si="24"/>
        <v/>
      </c>
      <c r="V80">
        <f t="shared" si="26"/>
        <v>0</v>
      </c>
      <c r="W80">
        <f t="shared" si="27"/>
        <v>0</v>
      </c>
      <c r="X80">
        <f>IF($Q80="",99999+73,$X79+1+$V79+$W79)</f>
        <v>100072</v>
      </c>
      <c r="Y80" t="str">
        <f>IF($Q80="","",INDEX(บันทึกรายเที่ยว!$Q$6:$Q$10005,$R80))</f>
        <v/>
      </c>
      <c r="Z80" t="str">
        <f>IF($Q80="","",INDEX(บันทึกรายเที่ยว!$F$6:$F$10005,$R80))</f>
        <v/>
      </c>
      <c r="AA80" t="str">
        <f>IFERROR(MATCH(73,$X$8:$X$407,1),"")</f>
        <v/>
      </c>
      <c r="AB80" t="str">
        <f>IF(73=$AD$1+1,"G",IF($AA80="","",IF(INDEX($Q$8:$Q$407,$AA80)="","",IF(73&gt;INDEX($X$8:$X$407,$AA80)+INDEX($V$8:$V$407,$AA80)+INDEX($W$8:$W$407,$AA80),"",IF(73=INDEX($X$8:$X$407,$AA80)+INDEX($V$8:$V$407,$AA80)+INDEX($W$8:$W$407,$AA80),"D",IF(AND(INDEX($W$8:$W$407,$AA80)=1,73=INDEX($X$8:$X$407,$AA80)+INDEX($V$8:$V$407,$AA80)),"S","R"))))))</f>
        <v/>
      </c>
      <c r="AC80" t="str">
        <f t="shared" si="25"/>
        <v/>
      </c>
      <c r="AE80">
        <f>IF($U80="",0,COUNTIF(บันทึกรายเที่ยว!$T$6:$T$10005,$U80))</f>
        <v>0</v>
      </c>
      <c r="AF80">
        <f>IF($U80="",0,ROUND(SUMIF(บันทึกรายเที่ยว!$T$6:$T$10005,$U80,บันทึกรายเที่ยว!$J$6:$J$10005),2))</f>
        <v>0</v>
      </c>
      <c r="AG80">
        <f>IF($U80="",0,ROUND(SUMIF(บันทึกรายเที่ยว!$T$6:$T$10005,$U80,บันทึกรายเที่ยว!$K$6:$K$10005),2))</f>
        <v>0</v>
      </c>
      <c r="AH80">
        <f>IF($U80="",0,ROUND(SUMIF(บันทึกรายเที่ยว!$T$6:$T$10005,$U80,บันทึกรายเที่ยว!$M$6:$M$10005),2))</f>
        <v>0</v>
      </c>
    </row>
    <row r="81" spans="1:34" ht="21" customHeight="1" x14ac:dyDescent="0.95">
      <c r="A81" s="3" t="str">
        <f t="shared" si="14"/>
        <v/>
      </c>
      <c r="B81" s="3" t="str">
        <f t="shared" si="15"/>
        <v/>
      </c>
      <c r="C81" s="8" t="str">
        <f t="shared" si="16"/>
        <v/>
      </c>
      <c r="D81" s="31" t="str">
        <f t="shared" si="17"/>
        <v/>
      </c>
      <c r="E81" s="32" t="str">
        <f>IF(74=$AD$1+3,"ขอแสดงความนับถือ",IF(74=$AD$1+6,"(                 )",IF(74=$AD$1+7,"เจ้าหน้าที่ขนส่ง",IF($AB81="G",SUM($AF$8:$AF$407),IF(OR($AB81="",$AB81="R"),"",IF($AB81="D",INDEX($AF$8:$AF$407,$AA81),SUMIF($T$8:$T$407,INDEX($T$8:$T$407,$AA81),$AF$8:$AF$407)))))))</f>
        <v/>
      </c>
      <c r="F81" s="32" t="str">
        <f t="shared" si="18"/>
        <v/>
      </c>
      <c r="G81" s="32" t="str">
        <f t="shared" si="19"/>
        <v/>
      </c>
      <c r="H81" s="32" t="str">
        <f t="shared" si="20"/>
        <v/>
      </c>
      <c r="J81" t="str">
        <f>IFERROR(MATCH(74,บันทึกรายเที่ยว!$W$6:$W$10005,0),"")</f>
        <v/>
      </c>
      <c r="K81" t="str">
        <f>IF($J81="","",INDEX(บันทึกรายเที่ยว!$T$6:$T$10005,$J81))</f>
        <v/>
      </c>
      <c r="L81" t="str">
        <f>IF($J81="","",INDEX(บันทึกรายเที่ยว!$S$6:$S$10005,$J81))</f>
        <v/>
      </c>
      <c r="M81" t="str">
        <f>IF($J81="","",INDEX(บันทึกรายเที่ยว!$R$6:$R$10005,$J81))</f>
        <v/>
      </c>
      <c r="N81" t="str">
        <f>IF($J81="","",MATCH($M81,บันทึกรายเที่ยว!$R$6:$R$10005,0))</f>
        <v/>
      </c>
      <c r="O81" t="str">
        <f>IF($J81="","",MATCH($L81,บันทึกรายเที่ยว!$S$6:$S$10005,0))</f>
        <v/>
      </c>
      <c r="P81" t="str">
        <f>IF($J81="","",IF(AND(OR($I$3="(ทั้งหมด)",INDEX(บันทึกรายเที่ยว!$C$6:$C$10005,$J81)=$I$3),OR($I$5="(ทั้งหมด)",INDEX(บันทึกรายเที่ยว!$D$6:$D$10005,$J81)=$I$5),OR($I$7="(ทั้งหมด)",INDEX(บันทึกรายเที่ยว!$F$6:$F$10005,$J81)=$I$7)),$N81*10000000+$O81*1000+74,""))</f>
        <v/>
      </c>
      <c r="Q81" t="str">
        <f>IFERROR(MATCH(SMALL($P$8:$P$407,74),$P$8:$P$407,0),"")</f>
        <v/>
      </c>
      <c r="R81" t="str">
        <f t="shared" si="21"/>
        <v/>
      </c>
      <c r="S81" t="str">
        <f t="shared" si="22"/>
        <v/>
      </c>
      <c r="T81" t="str">
        <f t="shared" si="23"/>
        <v/>
      </c>
      <c r="U81" t="str">
        <f t="shared" si="24"/>
        <v/>
      </c>
      <c r="V81">
        <f t="shared" si="26"/>
        <v>0</v>
      </c>
      <c r="W81">
        <f t="shared" si="27"/>
        <v>0</v>
      </c>
      <c r="X81">
        <f>IF($Q81="",99999+74,$X80+1+$V80+$W80)</f>
        <v>100073</v>
      </c>
      <c r="Y81" t="str">
        <f>IF($Q81="","",INDEX(บันทึกรายเที่ยว!$Q$6:$Q$10005,$R81))</f>
        <v/>
      </c>
      <c r="Z81" t="str">
        <f>IF($Q81="","",INDEX(บันทึกรายเที่ยว!$F$6:$F$10005,$R81))</f>
        <v/>
      </c>
      <c r="AA81" t="str">
        <f>IFERROR(MATCH(74,$X$8:$X$407,1),"")</f>
        <v/>
      </c>
      <c r="AB81" t="str">
        <f>IF(74=$AD$1+1,"G",IF($AA81="","",IF(INDEX($Q$8:$Q$407,$AA81)="","",IF(74&gt;INDEX($X$8:$X$407,$AA81)+INDEX($V$8:$V$407,$AA81)+INDEX($W$8:$W$407,$AA81),"",IF(74=INDEX($X$8:$X$407,$AA81)+INDEX($V$8:$V$407,$AA81)+INDEX($W$8:$W$407,$AA81),"D",IF(AND(INDEX($W$8:$W$407,$AA81)=1,74=INDEX($X$8:$X$407,$AA81)+INDEX($V$8:$V$407,$AA81)),"S","R"))))))</f>
        <v/>
      </c>
      <c r="AC81" t="str">
        <f t="shared" si="25"/>
        <v/>
      </c>
      <c r="AE81">
        <f>IF($U81="",0,COUNTIF(บันทึกรายเที่ยว!$T$6:$T$10005,$U81))</f>
        <v>0</v>
      </c>
      <c r="AF81">
        <f>IF($U81="",0,ROUND(SUMIF(บันทึกรายเที่ยว!$T$6:$T$10005,$U81,บันทึกรายเที่ยว!$J$6:$J$10005),2))</f>
        <v>0</v>
      </c>
      <c r="AG81">
        <f>IF($U81="",0,ROUND(SUMIF(บันทึกรายเที่ยว!$T$6:$T$10005,$U81,บันทึกรายเที่ยว!$K$6:$K$10005),2))</f>
        <v>0</v>
      </c>
      <c r="AH81">
        <f>IF($U81="",0,ROUND(SUMIF(บันทึกรายเที่ยว!$T$6:$T$10005,$U81,บันทึกรายเที่ยว!$M$6:$M$10005),2))</f>
        <v>0</v>
      </c>
    </row>
    <row r="82" spans="1:34" ht="21" customHeight="1" x14ac:dyDescent="0.95">
      <c r="A82" s="3" t="str">
        <f t="shared" si="14"/>
        <v/>
      </c>
      <c r="B82" s="3" t="str">
        <f t="shared" si="15"/>
        <v/>
      </c>
      <c r="C82" s="8" t="str">
        <f t="shared" si="16"/>
        <v/>
      </c>
      <c r="D82" s="31" t="str">
        <f t="shared" si="17"/>
        <v/>
      </c>
      <c r="E82" s="32" t="str">
        <f>IF(75=$AD$1+3,"ขอแสดงความนับถือ",IF(75=$AD$1+6,"(                 )",IF(75=$AD$1+7,"เจ้าหน้าที่ขนส่ง",IF($AB82="G",SUM($AF$8:$AF$407),IF(OR($AB82="",$AB82="R"),"",IF($AB82="D",INDEX($AF$8:$AF$407,$AA82),SUMIF($T$8:$T$407,INDEX($T$8:$T$407,$AA82),$AF$8:$AF$407)))))))</f>
        <v/>
      </c>
      <c r="F82" s="32" t="str">
        <f t="shared" si="18"/>
        <v/>
      </c>
      <c r="G82" s="32" t="str">
        <f t="shared" si="19"/>
        <v/>
      </c>
      <c r="H82" s="32" t="str">
        <f t="shared" si="20"/>
        <v/>
      </c>
      <c r="J82" t="str">
        <f>IFERROR(MATCH(75,บันทึกรายเที่ยว!$W$6:$W$10005,0),"")</f>
        <v/>
      </c>
      <c r="K82" t="str">
        <f>IF($J82="","",INDEX(บันทึกรายเที่ยว!$T$6:$T$10005,$J82))</f>
        <v/>
      </c>
      <c r="L82" t="str">
        <f>IF($J82="","",INDEX(บันทึกรายเที่ยว!$S$6:$S$10005,$J82))</f>
        <v/>
      </c>
      <c r="M82" t="str">
        <f>IF($J82="","",INDEX(บันทึกรายเที่ยว!$R$6:$R$10005,$J82))</f>
        <v/>
      </c>
      <c r="N82" t="str">
        <f>IF($J82="","",MATCH($M82,บันทึกรายเที่ยว!$R$6:$R$10005,0))</f>
        <v/>
      </c>
      <c r="O82" t="str">
        <f>IF($J82="","",MATCH($L82,บันทึกรายเที่ยว!$S$6:$S$10005,0))</f>
        <v/>
      </c>
      <c r="P82" t="str">
        <f>IF($J82="","",IF(AND(OR($I$3="(ทั้งหมด)",INDEX(บันทึกรายเที่ยว!$C$6:$C$10005,$J82)=$I$3),OR($I$5="(ทั้งหมด)",INDEX(บันทึกรายเที่ยว!$D$6:$D$10005,$J82)=$I$5),OR($I$7="(ทั้งหมด)",INDEX(บันทึกรายเที่ยว!$F$6:$F$10005,$J82)=$I$7)),$N82*10000000+$O82*1000+75,""))</f>
        <v/>
      </c>
      <c r="Q82" t="str">
        <f>IFERROR(MATCH(SMALL($P$8:$P$407,75),$P$8:$P$407,0),"")</f>
        <v/>
      </c>
      <c r="R82" t="str">
        <f t="shared" si="21"/>
        <v/>
      </c>
      <c r="S82" t="str">
        <f t="shared" si="22"/>
        <v/>
      </c>
      <c r="T82" t="str">
        <f t="shared" si="23"/>
        <v/>
      </c>
      <c r="U82" t="str">
        <f t="shared" si="24"/>
        <v/>
      </c>
      <c r="V82">
        <f t="shared" si="26"/>
        <v>0</v>
      </c>
      <c r="W82">
        <f t="shared" si="27"/>
        <v>0</v>
      </c>
      <c r="X82">
        <f>IF($Q82="",99999+75,$X81+1+$V81+$W81)</f>
        <v>100074</v>
      </c>
      <c r="Y82" t="str">
        <f>IF($Q82="","",INDEX(บันทึกรายเที่ยว!$Q$6:$Q$10005,$R82))</f>
        <v/>
      </c>
      <c r="Z82" t="str">
        <f>IF($Q82="","",INDEX(บันทึกรายเที่ยว!$F$6:$F$10005,$R82))</f>
        <v/>
      </c>
      <c r="AA82" t="str">
        <f>IFERROR(MATCH(75,$X$8:$X$407,1),"")</f>
        <v/>
      </c>
      <c r="AB82" t="str">
        <f>IF(75=$AD$1+1,"G",IF($AA82="","",IF(INDEX($Q$8:$Q$407,$AA82)="","",IF(75&gt;INDEX($X$8:$X$407,$AA82)+INDEX($V$8:$V$407,$AA82)+INDEX($W$8:$W$407,$AA82),"",IF(75=INDEX($X$8:$X$407,$AA82)+INDEX($V$8:$V$407,$AA82)+INDEX($W$8:$W$407,$AA82),"D",IF(AND(INDEX($W$8:$W$407,$AA82)=1,75=INDEX($X$8:$X$407,$AA82)+INDEX($V$8:$V$407,$AA82)),"S","R"))))))</f>
        <v/>
      </c>
      <c r="AC82" t="str">
        <f t="shared" si="25"/>
        <v/>
      </c>
      <c r="AE82">
        <f>IF($U82="",0,COUNTIF(บันทึกรายเที่ยว!$T$6:$T$10005,$U82))</f>
        <v>0</v>
      </c>
      <c r="AF82">
        <f>IF($U82="",0,ROUND(SUMIF(บันทึกรายเที่ยว!$T$6:$T$10005,$U82,บันทึกรายเที่ยว!$J$6:$J$10005),2))</f>
        <v>0</v>
      </c>
      <c r="AG82">
        <f>IF($U82="",0,ROUND(SUMIF(บันทึกรายเที่ยว!$T$6:$T$10005,$U82,บันทึกรายเที่ยว!$K$6:$K$10005),2))</f>
        <v>0</v>
      </c>
      <c r="AH82">
        <f>IF($U82="",0,ROUND(SUMIF(บันทึกรายเที่ยว!$T$6:$T$10005,$U82,บันทึกรายเที่ยว!$M$6:$M$10005),2))</f>
        <v>0</v>
      </c>
    </row>
    <row r="83" spans="1:34" ht="21" customHeight="1" x14ac:dyDescent="0.95">
      <c r="A83" s="3" t="str">
        <f t="shared" si="14"/>
        <v/>
      </c>
      <c r="B83" s="3" t="str">
        <f t="shared" si="15"/>
        <v/>
      </c>
      <c r="C83" s="8" t="str">
        <f t="shared" si="16"/>
        <v/>
      </c>
      <c r="D83" s="31" t="str">
        <f t="shared" si="17"/>
        <v/>
      </c>
      <c r="E83" s="32" t="str">
        <f>IF(76=$AD$1+3,"ขอแสดงความนับถือ",IF(76=$AD$1+6,"(                 )",IF(76=$AD$1+7,"เจ้าหน้าที่ขนส่ง",IF($AB83="G",SUM($AF$8:$AF$407),IF(OR($AB83="",$AB83="R"),"",IF($AB83="D",INDEX($AF$8:$AF$407,$AA83),SUMIF($T$8:$T$407,INDEX($T$8:$T$407,$AA83),$AF$8:$AF$407)))))))</f>
        <v/>
      </c>
      <c r="F83" s="32" t="str">
        <f t="shared" si="18"/>
        <v/>
      </c>
      <c r="G83" s="32" t="str">
        <f t="shared" si="19"/>
        <v/>
      </c>
      <c r="H83" s="32" t="str">
        <f t="shared" si="20"/>
        <v/>
      </c>
      <c r="J83" t="str">
        <f>IFERROR(MATCH(76,บันทึกรายเที่ยว!$W$6:$W$10005,0),"")</f>
        <v/>
      </c>
      <c r="K83" t="str">
        <f>IF($J83="","",INDEX(บันทึกรายเที่ยว!$T$6:$T$10005,$J83))</f>
        <v/>
      </c>
      <c r="L83" t="str">
        <f>IF($J83="","",INDEX(บันทึกรายเที่ยว!$S$6:$S$10005,$J83))</f>
        <v/>
      </c>
      <c r="M83" t="str">
        <f>IF($J83="","",INDEX(บันทึกรายเที่ยว!$R$6:$R$10005,$J83))</f>
        <v/>
      </c>
      <c r="N83" t="str">
        <f>IF($J83="","",MATCH($M83,บันทึกรายเที่ยว!$R$6:$R$10005,0))</f>
        <v/>
      </c>
      <c r="O83" t="str">
        <f>IF($J83="","",MATCH($L83,บันทึกรายเที่ยว!$S$6:$S$10005,0))</f>
        <v/>
      </c>
      <c r="P83" t="str">
        <f>IF($J83="","",IF(AND(OR($I$3="(ทั้งหมด)",INDEX(บันทึกรายเที่ยว!$C$6:$C$10005,$J83)=$I$3),OR($I$5="(ทั้งหมด)",INDEX(บันทึกรายเที่ยว!$D$6:$D$10005,$J83)=$I$5),OR($I$7="(ทั้งหมด)",INDEX(บันทึกรายเที่ยว!$F$6:$F$10005,$J83)=$I$7)),$N83*10000000+$O83*1000+76,""))</f>
        <v/>
      </c>
      <c r="Q83" t="str">
        <f>IFERROR(MATCH(SMALL($P$8:$P$407,76),$P$8:$P$407,0),"")</f>
        <v/>
      </c>
      <c r="R83" t="str">
        <f t="shared" si="21"/>
        <v/>
      </c>
      <c r="S83" t="str">
        <f t="shared" si="22"/>
        <v/>
      </c>
      <c r="T83" t="str">
        <f t="shared" si="23"/>
        <v/>
      </c>
      <c r="U83" t="str">
        <f t="shared" si="24"/>
        <v/>
      </c>
      <c r="V83">
        <f t="shared" si="26"/>
        <v>0</v>
      </c>
      <c r="W83">
        <f t="shared" si="27"/>
        <v>0</v>
      </c>
      <c r="X83">
        <f>IF($Q83="",99999+76,$X82+1+$V82+$W82)</f>
        <v>100075</v>
      </c>
      <c r="Y83" t="str">
        <f>IF($Q83="","",INDEX(บันทึกรายเที่ยว!$Q$6:$Q$10005,$R83))</f>
        <v/>
      </c>
      <c r="Z83" t="str">
        <f>IF($Q83="","",INDEX(บันทึกรายเที่ยว!$F$6:$F$10005,$R83))</f>
        <v/>
      </c>
      <c r="AA83" t="str">
        <f>IFERROR(MATCH(76,$X$8:$X$407,1),"")</f>
        <v/>
      </c>
      <c r="AB83" t="str">
        <f>IF(76=$AD$1+1,"G",IF($AA83="","",IF(INDEX($Q$8:$Q$407,$AA83)="","",IF(76&gt;INDEX($X$8:$X$407,$AA83)+INDEX($V$8:$V$407,$AA83)+INDEX($W$8:$W$407,$AA83),"",IF(76=INDEX($X$8:$X$407,$AA83)+INDEX($V$8:$V$407,$AA83)+INDEX($W$8:$W$407,$AA83),"D",IF(AND(INDEX($W$8:$W$407,$AA83)=1,76=INDEX($X$8:$X$407,$AA83)+INDEX($V$8:$V$407,$AA83)),"S","R"))))))</f>
        <v/>
      </c>
      <c r="AC83" t="str">
        <f t="shared" si="25"/>
        <v/>
      </c>
      <c r="AE83">
        <f>IF($U83="",0,COUNTIF(บันทึกรายเที่ยว!$T$6:$T$10005,$U83))</f>
        <v>0</v>
      </c>
      <c r="AF83">
        <f>IF($U83="",0,ROUND(SUMIF(บันทึกรายเที่ยว!$T$6:$T$10005,$U83,บันทึกรายเที่ยว!$J$6:$J$10005),2))</f>
        <v>0</v>
      </c>
      <c r="AG83">
        <f>IF($U83="",0,ROUND(SUMIF(บันทึกรายเที่ยว!$T$6:$T$10005,$U83,บันทึกรายเที่ยว!$K$6:$K$10005),2))</f>
        <v>0</v>
      </c>
      <c r="AH83">
        <f>IF($U83="",0,ROUND(SUMIF(บันทึกรายเที่ยว!$T$6:$T$10005,$U83,บันทึกรายเที่ยว!$M$6:$M$10005),2))</f>
        <v>0</v>
      </c>
    </row>
    <row r="84" spans="1:34" ht="21" customHeight="1" x14ac:dyDescent="0.95">
      <c r="A84" s="3" t="str">
        <f t="shared" si="14"/>
        <v/>
      </c>
      <c r="B84" s="3" t="str">
        <f t="shared" si="15"/>
        <v/>
      </c>
      <c r="C84" s="8" t="str">
        <f t="shared" si="16"/>
        <v/>
      </c>
      <c r="D84" s="31" t="str">
        <f t="shared" si="17"/>
        <v/>
      </c>
      <c r="E84" s="32" t="str">
        <f>IF(77=$AD$1+3,"ขอแสดงความนับถือ",IF(77=$AD$1+6,"(                 )",IF(77=$AD$1+7,"เจ้าหน้าที่ขนส่ง",IF($AB84="G",SUM($AF$8:$AF$407),IF(OR($AB84="",$AB84="R"),"",IF($AB84="D",INDEX($AF$8:$AF$407,$AA84),SUMIF($T$8:$T$407,INDEX($T$8:$T$407,$AA84),$AF$8:$AF$407)))))))</f>
        <v/>
      </c>
      <c r="F84" s="32" t="str">
        <f t="shared" si="18"/>
        <v/>
      </c>
      <c r="G84" s="32" t="str">
        <f t="shared" si="19"/>
        <v/>
      </c>
      <c r="H84" s="32" t="str">
        <f t="shared" si="20"/>
        <v/>
      </c>
      <c r="J84" t="str">
        <f>IFERROR(MATCH(77,บันทึกรายเที่ยว!$W$6:$W$10005,0),"")</f>
        <v/>
      </c>
      <c r="K84" t="str">
        <f>IF($J84="","",INDEX(บันทึกรายเที่ยว!$T$6:$T$10005,$J84))</f>
        <v/>
      </c>
      <c r="L84" t="str">
        <f>IF($J84="","",INDEX(บันทึกรายเที่ยว!$S$6:$S$10005,$J84))</f>
        <v/>
      </c>
      <c r="M84" t="str">
        <f>IF($J84="","",INDEX(บันทึกรายเที่ยว!$R$6:$R$10005,$J84))</f>
        <v/>
      </c>
      <c r="N84" t="str">
        <f>IF($J84="","",MATCH($M84,บันทึกรายเที่ยว!$R$6:$R$10005,0))</f>
        <v/>
      </c>
      <c r="O84" t="str">
        <f>IF($J84="","",MATCH($L84,บันทึกรายเที่ยว!$S$6:$S$10005,0))</f>
        <v/>
      </c>
      <c r="P84" t="str">
        <f>IF($J84="","",IF(AND(OR($I$3="(ทั้งหมด)",INDEX(บันทึกรายเที่ยว!$C$6:$C$10005,$J84)=$I$3),OR($I$5="(ทั้งหมด)",INDEX(บันทึกรายเที่ยว!$D$6:$D$10005,$J84)=$I$5),OR($I$7="(ทั้งหมด)",INDEX(บันทึกรายเที่ยว!$F$6:$F$10005,$J84)=$I$7)),$N84*10000000+$O84*1000+77,""))</f>
        <v/>
      </c>
      <c r="Q84" t="str">
        <f>IFERROR(MATCH(SMALL($P$8:$P$407,77),$P$8:$P$407,0),"")</f>
        <v/>
      </c>
      <c r="R84" t="str">
        <f t="shared" si="21"/>
        <v/>
      </c>
      <c r="S84" t="str">
        <f t="shared" si="22"/>
        <v/>
      </c>
      <c r="T84" t="str">
        <f t="shared" si="23"/>
        <v/>
      </c>
      <c r="U84" t="str">
        <f t="shared" si="24"/>
        <v/>
      </c>
      <c r="V84">
        <f t="shared" si="26"/>
        <v>0</v>
      </c>
      <c r="W84">
        <f t="shared" si="27"/>
        <v>0</v>
      </c>
      <c r="X84">
        <f>IF($Q84="",99999+77,$X83+1+$V83+$W83)</f>
        <v>100076</v>
      </c>
      <c r="Y84" t="str">
        <f>IF($Q84="","",INDEX(บันทึกรายเที่ยว!$Q$6:$Q$10005,$R84))</f>
        <v/>
      </c>
      <c r="Z84" t="str">
        <f>IF($Q84="","",INDEX(บันทึกรายเที่ยว!$F$6:$F$10005,$R84))</f>
        <v/>
      </c>
      <c r="AA84" t="str">
        <f>IFERROR(MATCH(77,$X$8:$X$407,1),"")</f>
        <v/>
      </c>
      <c r="AB84" t="str">
        <f>IF(77=$AD$1+1,"G",IF($AA84="","",IF(INDEX($Q$8:$Q$407,$AA84)="","",IF(77&gt;INDEX($X$8:$X$407,$AA84)+INDEX($V$8:$V$407,$AA84)+INDEX($W$8:$W$407,$AA84),"",IF(77=INDEX($X$8:$X$407,$AA84)+INDEX($V$8:$V$407,$AA84)+INDEX($W$8:$W$407,$AA84),"D",IF(AND(INDEX($W$8:$W$407,$AA84)=1,77=INDEX($X$8:$X$407,$AA84)+INDEX($V$8:$V$407,$AA84)),"S","R"))))))</f>
        <v/>
      </c>
      <c r="AC84" t="str">
        <f t="shared" si="25"/>
        <v/>
      </c>
      <c r="AE84">
        <f>IF($U84="",0,COUNTIF(บันทึกรายเที่ยว!$T$6:$T$10005,$U84))</f>
        <v>0</v>
      </c>
      <c r="AF84">
        <f>IF($U84="",0,ROUND(SUMIF(บันทึกรายเที่ยว!$T$6:$T$10005,$U84,บันทึกรายเที่ยว!$J$6:$J$10005),2))</f>
        <v>0</v>
      </c>
      <c r="AG84">
        <f>IF($U84="",0,ROUND(SUMIF(บันทึกรายเที่ยว!$T$6:$T$10005,$U84,บันทึกรายเที่ยว!$K$6:$K$10005),2))</f>
        <v>0</v>
      </c>
      <c r="AH84">
        <f>IF($U84="",0,ROUND(SUMIF(บันทึกรายเที่ยว!$T$6:$T$10005,$U84,บันทึกรายเที่ยว!$M$6:$M$10005),2))</f>
        <v>0</v>
      </c>
    </row>
    <row r="85" spans="1:34" ht="21" customHeight="1" x14ac:dyDescent="0.95">
      <c r="A85" s="3" t="str">
        <f t="shared" si="14"/>
        <v/>
      </c>
      <c r="B85" s="3" t="str">
        <f t="shared" si="15"/>
        <v/>
      </c>
      <c r="C85" s="8" t="str">
        <f t="shared" si="16"/>
        <v/>
      </c>
      <c r="D85" s="31" t="str">
        <f t="shared" si="17"/>
        <v/>
      </c>
      <c r="E85" s="32" t="str">
        <f>IF(78=$AD$1+3,"ขอแสดงความนับถือ",IF(78=$AD$1+6,"(                 )",IF(78=$AD$1+7,"เจ้าหน้าที่ขนส่ง",IF($AB85="G",SUM($AF$8:$AF$407),IF(OR($AB85="",$AB85="R"),"",IF($AB85="D",INDEX($AF$8:$AF$407,$AA85),SUMIF($T$8:$T$407,INDEX($T$8:$T$407,$AA85),$AF$8:$AF$407)))))))</f>
        <v/>
      </c>
      <c r="F85" s="32" t="str">
        <f t="shared" si="18"/>
        <v/>
      </c>
      <c r="G85" s="32" t="str">
        <f t="shared" si="19"/>
        <v/>
      </c>
      <c r="H85" s="32" t="str">
        <f t="shared" si="20"/>
        <v/>
      </c>
      <c r="J85" t="str">
        <f>IFERROR(MATCH(78,บันทึกรายเที่ยว!$W$6:$W$10005,0),"")</f>
        <v/>
      </c>
      <c r="K85" t="str">
        <f>IF($J85="","",INDEX(บันทึกรายเที่ยว!$T$6:$T$10005,$J85))</f>
        <v/>
      </c>
      <c r="L85" t="str">
        <f>IF($J85="","",INDEX(บันทึกรายเที่ยว!$S$6:$S$10005,$J85))</f>
        <v/>
      </c>
      <c r="M85" t="str">
        <f>IF($J85="","",INDEX(บันทึกรายเที่ยว!$R$6:$R$10005,$J85))</f>
        <v/>
      </c>
      <c r="N85" t="str">
        <f>IF($J85="","",MATCH($M85,บันทึกรายเที่ยว!$R$6:$R$10005,0))</f>
        <v/>
      </c>
      <c r="O85" t="str">
        <f>IF($J85="","",MATCH($L85,บันทึกรายเที่ยว!$S$6:$S$10005,0))</f>
        <v/>
      </c>
      <c r="P85" t="str">
        <f>IF($J85="","",IF(AND(OR($I$3="(ทั้งหมด)",INDEX(บันทึกรายเที่ยว!$C$6:$C$10005,$J85)=$I$3),OR($I$5="(ทั้งหมด)",INDEX(บันทึกรายเที่ยว!$D$6:$D$10005,$J85)=$I$5),OR($I$7="(ทั้งหมด)",INDEX(บันทึกรายเที่ยว!$F$6:$F$10005,$J85)=$I$7)),$N85*10000000+$O85*1000+78,""))</f>
        <v/>
      </c>
      <c r="Q85" t="str">
        <f>IFERROR(MATCH(SMALL($P$8:$P$407,78),$P$8:$P$407,0),"")</f>
        <v/>
      </c>
      <c r="R85" t="str">
        <f t="shared" si="21"/>
        <v/>
      </c>
      <c r="S85" t="str">
        <f t="shared" si="22"/>
        <v/>
      </c>
      <c r="T85" t="str">
        <f t="shared" si="23"/>
        <v/>
      </c>
      <c r="U85" t="str">
        <f t="shared" si="24"/>
        <v/>
      </c>
      <c r="V85">
        <f t="shared" si="26"/>
        <v>0</v>
      </c>
      <c r="W85">
        <f t="shared" si="27"/>
        <v>0</v>
      </c>
      <c r="X85">
        <f>IF($Q85="",99999+78,$X84+1+$V84+$W84)</f>
        <v>100077</v>
      </c>
      <c r="Y85" t="str">
        <f>IF($Q85="","",INDEX(บันทึกรายเที่ยว!$Q$6:$Q$10005,$R85))</f>
        <v/>
      </c>
      <c r="Z85" t="str">
        <f>IF($Q85="","",INDEX(บันทึกรายเที่ยว!$F$6:$F$10005,$R85))</f>
        <v/>
      </c>
      <c r="AA85" t="str">
        <f>IFERROR(MATCH(78,$X$8:$X$407,1),"")</f>
        <v/>
      </c>
      <c r="AB85" t="str">
        <f>IF(78=$AD$1+1,"G",IF($AA85="","",IF(INDEX($Q$8:$Q$407,$AA85)="","",IF(78&gt;INDEX($X$8:$X$407,$AA85)+INDEX($V$8:$V$407,$AA85)+INDEX($W$8:$W$407,$AA85),"",IF(78=INDEX($X$8:$X$407,$AA85)+INDEX($V$8:$V$407,$AA85)+INDEX($W$8:$W$407,$AA85),"D",IF(AND(INDEX($W$8:$W$407,$AA85)=1,78=INDEX($X$8:$X$407,$AA85)+INDEX($V$8:$V$407,$AA85)),"S","R"))))))</f>
        <v/>
      </c>
      <c r="AC85" t="str">
        <f t="shared" si="25"/>
        <v/>
      </c>
      <c r="AE85">
        <f>IF($U85="",0,COUNTIF(บันทึกรายเที่ยว!$T$6:$T$10005,$U85))</f>
        <v>0</v>
      </c>
      <c r="AF85">
        <f>IF($U85="",0,ROUND(SUMIF(บันทึกรายเที่ยว!$T$6:$T$10005,$U85,บันทึกรายเที่ยว!$J$6:$J$10005),2))</f>
        <v>0</v>
      </c>
      <c r="AG85">
        <f>IF($U85="",0,ROUND(SUMIF(บันทึกรายเที่ยว!$T$6:$T$10005,$U85,บันทึกรายเที่ยว!$K$6:$K$10005),2))</f>
        <v>0</v>
      </c>
      <c r="AH85">
        <f>IF($U85="",0,ROUND(SUMIF(บันทึกรายเที่ยว!$T$6:$T$10005,$U85,บันทึกรายเที่ยว!$M$6:$M$10005),2))</f>
        <v>0</v>
      </c>
    </row>
    <row r="86" spans="1:34" ht="21" customHeight="1" x14ac:dyDescent="0.95">
      <c r="A86" s="3" t="str">
        <f t="shared" si="14"/>
        <v/>
      </c>
      <c r="B86" s="3" t="str">
        <f t="shared" si="15"/>
        <v/>
      </c>
      <c r="C86" s="8" t="str">
        <f t="shared" si="16"/>
        <v/>
      </c>
      <c r="D86" s="31" t="str">
        <f t="shared" si="17"/>
        <v/>
      </c>
      <c r="E86" s="32" t="str">
        <f>IF(79=$AD$1+3,"ขอแสดงความนับถือ",IF(79=$AD$1+6,"(                 )",IF(79=$AD$1+7,"เจ้าหน้าที่ขนส่ง",IF($AB86="G",SUM($AF$8:$AF$407),IF(OR($AB86="",$AB86="R"),"",IF($AB86="D",INDEX($AF$8:$AF$407,$AA86),SUMIF($T$8:$T$407,INDEX($T$8:$T$407,$AA86),$AF$8:$AF$407)))))))</f>
        <v/>
      </c>
      <c r="F86" s="32" t="str">
        <f t="shared" si="18"/>
        <v/>
      </c>
      <c r="G86" s="32" t="str">
        <f t="shared" si="19"/>
        <v/>
      </c>
      <c r="H86" s="32" t="str">
        <f t="shared" si="20"/>
        <v/>
      </c>
      <c r="J86" t="str">
        <f>IFERROR(MATCH(79,บันทึกรายเที่ยว!$W$6:$W$10005,0),"")</f>
        <v/>
      </c>
      <c r="K86" t="str">
        <f>IF($J86="","",INDEX(บันทึกรายเที่ยว!$T$6:$T$10005,$J86))</f>
        <v/>
      </c>
      <c r="L86" t="str">
        <f>IF($J86="","",INDEX(บันทึกรายเที่ยว!$S$6:$S$10005,$J86))</f>
        <v/>
      </c>
      <c r="M86" t="str">
        <f>IF($J86="","",INDEX(บันทึกรายเที่ยว!$R$6:$R$10005,$J86))</f>
        <v/>
      </c>
      <c r="N86" t="str">
        <f>IF($J86="","",MATCH($M86,บันทึกรายเที่ยว!$R$6:$R$10005,0))</f>
        <v/>
      </c>
      <c r="O86" t="str">
        <f>IF($J86="","",MATCH($L86,บันทึกรายเที่ยว!$S$6:$S$10005,0))</f>
        <v/>
      </c>
      <c r="P86" t="str">
        <f>IF($J86="","",IF(AND(OR($I$3="(ทั้งหมด)",INDEX(บันทึกรายเที่ยว!$C$6:$C$10005,$J86)=$I$3),OR($I$5="(ทั้งหมด)",INDEX(บันทึกรายเที่ยว!$D$6:$D$10005,$J86)=$I$5),OR($I$7="(ทั้งหมด)",INDEX(บันทึกรายเที่ยว!$F$6:$F$10005,$J86)=$I$7)),$N86*10000000+$O86*1000+79,""))</f>
        <v/>
      </c>
      <c r="Q86" t="str">
        <f>IFERROR(MATCH(SMALL($P$8:$P$407,79),$P$8:$P$407,0),"")</f>
        <v/>
      </c>
      <c r="R86" t="str">
        <f t="shared" si="21"/>
        <v/>
      </c>
      <c r="S86" t="str">
        <f t="shared" si="22"/>
        <v/>
      </c>
      <c r="T86" t="str">
        <f t="shared" si="23"/>
        <v/>
      </c>
      <c r="U86" t="str">
        <f t="shared" si="24"/>
        <v/>
      </c>
      <c r="V86">
        <f t="shared" si="26"/>
        <v>0</v>
      </c>
      <c r="W86">
        <f t="shared" si="27"/>
        <v>0</v>
      </c>
      <c r="X86">
        <f>IF($Q86="",99999+79,$X85+1+$V85+$W85)</f>
        <v>100078</v>
      </c>
      <c r="Y86" t="str">
        <f>IF($Q86="","",INDEX(บันทึกรายเที่ยว!$Q$6:$Q$10005,$R86))</f>
        <v/>
      </c>
      <c r="Z86" t="str">
        <f>IF($Q86="","",INDEX(บันทึกรายเที่ยว!$F$6:$F$10005,$R86))</f>
        <v/>
      </c>
      <c r="AA86" t="str">
        <f>IFERROR(MATCH(79,$X$8:$X$407,1),"")</f>
        <v/>
      </c>
      <c r="AB86" t="str">
        <f>IF(79=$AD$1+1,"G",IF($AA86="","",IF(INDEX($Q$8:$Q$407,$AA86)="","",IF(79&gt;INDEX($X$8:$X$407,$AA86)+INDEX($V$8:$V$407,$AA86)+INDEX($W$8:$W$407,$AA86),"",IF(79=INDEX($X$8:$X$407,$AA86)+INDEX($V$8:$V$407,$AA86)+INDEX($W$8:$W$407,$AA86),"D",IF(AND(INDEX($W$8:$W$407,$AA86)=1,79=INDEX($X$8:$X$407,$AA86)+INDEX($V$8:$V$407,$AA86)),"S","R"))))))</f>
        <v/>
      </c>
      <c r="AC86" t="str">
        <f t="shared" si="25"/>
        <v/>
      </c>
      <c r="AE86">
        <f>IF($U86="",0,COUNTIF(บันทึกรายเที่ยว!$T$6:$T$10005,$U86))</f>
        <v>0</v>
      </c>
      <c r="AF86">
        <f>IF($U86="",0,ROUND(SUMIF(บันทึกรายเที่ยว!$T$6:$T$10005,$U86,บันทึกรายเที่ยว!$J$6:$J$10005),2))</f>
        <v>0</v>
      </c>
      <c r="AG86">
        <f>IF($U86="",0,ROUND(SUMIF(บันทึกรายเที่ยว!$T$6:$T$10005,$U86,บันทึกรายเที่ยว!$K$6:$K$10005),2))</f>
        <v>0</v>
      </c>
      <c r="AH86">
        <f>IF($U86="",0,ROUND(SUMIF(บันทึกรายเที่ยว!$T$6:$T$10005,$U86,บันทึกรายเที่ยว!$M$6:$M$10005),2))</f>
        <v>0</v>
      </c>
    </row>
    <row r="87" spans="1:34" ht="21" customHeight="1" x14ac:dyDescent="0.95">
      <c r="A87" s="3" t="str">
        <f t="shared" si="14"/>
        <v/>
      </c>
      <c r="B87" s="3" t="str">
        <f t="shared" si="15"/>
        <v/>
      </c>
      <c r="C87" s="8" t="str">
        <f t="shared" si="16"/>
        <v/>
      </c>
      <c r="D87" s="31" t="str">
        <f t="shared" si="17"/>
        <v/>
      </c>
      <c r="E87" s="32" t="str">
        <f>IF(80=$AD$1+3,"ขอแสดงความนับถือ",IF(80=$AD$1+6,"(                 )",IF(80=$AD$1+7,"เจ้าหน้าที่ขนส่ง",IF($AB87="G",SUM($AF$8:$AF$407),IF(OR($AB87="",$AB87="R"),"",IF($AB87="D",INDEX($AF$8:$AF$407,$AA87),SUMIF($T$8:$T$407,INDEX($T$8:$T$407,$AA87),$AF$8:$AF$407)))))))</f>
        <v/>
      </c>
      <c r="F87" s="32" t="str">
        <f t="shared" si="18"/>
        <v/>
      </c>
      <c r="G87" s="32" t="str">
        <f t="shared" si="19"/>
        <v/>
      </c>
      <c r="H87" s="32" t="str">
        <f t="shared" si="20"/>
        <v/>
      </c>
      <c r="J87" t="str">
        <f>IFERROR(MATCH(80,บันทึกรายเที่ยว!$W$6:$W$10005,0),"")</f>
        <v/>
      </c>
      <c r="K87" t="str">
        <f>IF($J87="","",INDEX(บันทึกรายเที่ยว!$T$6:$T$10005,$J87))</f>
        <v/>
      </c>
      <c r="L87" t="str">
        <f>IF($J87="","",INDEX(บันทึกรายเที่ยว!$S$6:$S$10005,$J87))</f>
        <v/>
      </c>
      <c r="M87" t="str">
        <f>IF($J87="","",INDEX(บันทึกรายเที่ยว!$R$6:$R$10005,$J87))</f>
        <v/>
      </c>
      <c r="N87" t="str">
        <f>IF($J87="","",MATCH($M87,บันทึกรายเที่ยว!$R$6:$R$10005,0))</f>
        <v/>
      </c>
      <c r="O87" t="str">
        <f>IF($J87="","",MATCH($L87,บันทึกรายเที่ยว!$S$6:$S$10005,0))</f>
        <v/>
      </c>
      <c r="P87" t="str">
        <f>IF($J87="","",IF(AND(OR($I$3="(ทั้งหมด)",INDEX(บันทึกรายเที่ยว!$C$6:$C$10005,$J87)=$I$3),OR($I$5="(ทั้งหมด)",INDEX(บันทึกรายเที่ยว!$D$6:$D$10005,$J87)=$I$5),OR($I$7="(ทั้งหมด)",INDEX(บันทึกรายเที่ยว!$F$6:$F$10005,$J87)=$I$7)),$N87*10000000+$O87*1000+80,""))</f>
        <v/>
      </c>
      <c r="Q87" t="str">
        <f>IFERROR(MATCH(SMALL($P$8:$P$407,80),$P$8:$P$407,0),"")</f>
        <v/>
      </c>
      <c r="R87" t="str">
        <f t="shared" si="21"/>
        <v/>
      </c>
      <c r="S87" t="str">
        <f t="shared" si="22"/>
        <v/>
      </c>
      <c r="T87" t="str">
        <f t="shared" si="23"/>
        <v/>
      </c>
      <c r="U87" t="str">
        <f t="shared" si="24"/>
        <v/>
      </c>
      <c r="V87">
        <f t="shared" si="26"/>
        <v>0</v>
      </c>
      <c r="W87">
        <f t="shared" si="27"/>
        <v>0</v>
      </c>
      <c r="X87">
        <f>IF($Q87="",99999+80,$X86+1+$V86+$W86)</f>
        <v>100079</v>
      </c>
      <c r="Y87" t="str">
        <f>IF($Q87="","",INDEX(บันทึกรายเที่ยว!$Q$6:$Q$10005,$R87))</f>
        <v/>
      </c>
      <c r="Z87" t="str">
        <f>IF($Q87="","",INDEX(บันทึกรายเที่ยว!$F$6:$F$10005,$R87))</f>
        <v/>
      </c>
      <c r="AA87" t="str">
        <f>IFERROR(MATCH(80,$X$8:$X$407,1),"")</f>
        <v/>
      </c>
      <c r="AB87" t="str">
        <f>IF(80=$AD$1+1,"G",IF($AA87="","",IF(INDEX($Q$8:$Q$407,$AA87)="","",IF(80&gt;INDEX($X$8:$X$407,$AA87)+INDEX($V$8:$V$407,$AA87)+INDEX($W$8:$W$407,$AA87),"",IF(80=INDEX($X$8:$X$407,$AA87)+INDEX($V$8:$V$407,$AA87)+INDEX($W$8:$W$407,$AA87),"D",IF(AND(INDEX($W$8:$W$407,$AA87)=1,80=INDEX($X$8:$X$407,$AA87)+INDEX($V$8:$V$407,$AA87)),"S","R"))))))</f>
        <v/>
      </c>
      <c r="AC87" t="str">
        <f t="shared" si="25"/>
        <v/>
      </c>
      <c r="AE87">
        <f>IF($U87="",0,COUNTIF(บันทึกรายเที่ยว!$T$6:$T$10005,$U87))</f>
        <v>0</v>
      </c>
      <c r="AF87">
        <f>IF($U87="",0,ROUND(SUMIF(บันทึกรายเที่ยว!$T$6:$T$10005,$U87,บันทึกรายเที่ยว!$J$6:$J$10005),2))</f>
        <v>0</v>
      </c>
      <c r="AG87">
        <f>IF($U87="",0,ROUND(SUMIF(บันทึกรายเที่ยว!$T$6:$T$10005,$U87,บันทึกรายเที่ยว!$K$6:$K$10005),2))</f>
        <v>0</v>
      </c>
      <c r="AH87">
        <f>IF($U87="",0,ROUND(SUMIF(บันทึกรายเที่ยว!$T$6:$T$10005,$U87,บันทึกรายเที่ยว!$M$6:$M$10005),2))</f>
        <v>0</v>
      </c>
    </row>
    <row r="88" spans="1:34" ht="21" customHeight="1" x14ac:dyDescent="0.95">
      <c r="A88" s="3" t="str">
        <f t="shared" si="14"/>
        <v/>
      </c>
      <c r="B88" s="3" t="str">
        <f t="shared" si="15"/>
        <v/>
      </c>
      <c r="C88" s="8" t="str">
        <f t="shared" si="16"/>
        <v/>
      </c>
      <c r="D88" s="31" t="str">
        <f t="shared" si="17"/>
        <v/>
      </c>
      <c r="E88" s="32" t="str">
        <f>IF(81=$AD$1+3,"ขอแสดงความนับถือ",IF(81=$AD$1+6,"(                 )",IF(81=$AD$1+7,"เจ้าหน้าที่ขนส่ง",IF($AB88="G",SUM($AF$8:$AF$407),IF(OR($AB88="",$AB88="R"),"",IF($AB88="D",INDEX($AF$8:$AF$407,$AA88),SUMIF($T$8:$T$407,INDEX($T$8:$T$407,$AA88),$AF$8:$AF$407)))))))</f>
        <v/>
      </c>
      <c r="F88" s="32" t="str">
        <f t="shared" si="18"/>
        <v/>
      </c>
      <c r="G88" s="32" t="str">
        <f t="shared" si="19"/>
        <v/>
      </c>
      <c r="H88" s="32" t="str">
        <f t="shared" si="20"/>
        <v/>
      </c>
      <c r="J88" t="str">
        <f>IFERROR(MATCH(81,บันทึกรายเที่ยว!$W$6:$W$10005,0),"")</f>
        <v/>
      </c>
      <c r="K88" t="str">
        <f>IF($J88="","",INDEX(บันทึกรายเที่ยว!$T$6:$T$10005,$J88))</f>
        <v/>
      </c>
      <c r="L88" t="str">
        <f>IF($J88="","",INDEX(บันทึกรายเที่ยว!$S$6:$S$10005,$J88))</f>
        <v/>
      </c>
      <c r="M88" t="str">
        <f>IF($J88="","",INDEX(บันทึกรายเที่ยว!$R$6:$R$10005,$J88))</f>
        <v/>
      </c>
      <c r="N88" t="str">
        <f>IF($J88="","",MATCH($M88,บันทึกรายเที่ยว!$R$6:$R$10005,0))</f>
        <v/>
      </c>
      <c r="O88" t="str">
        <f>IF($J88="","",MATCH($L88,บันทึกรายเที่ยว!$S$6:$S$10005,0))</f>
        <v/>
      </c>
      <c r="P88" t="str">
        <f>IF($J88="","",IF(AND(OR($I$3="(ทั้งหมด)",INDEX(บันทึกรายเที่ยว!$C$6:$C$10005,$J88)=$I$3),OR($I$5="(ทั้งหมด)",INDEX(บันทึกรายเที่ยว!$D$6:$D$10005,$J88)=$I$5),OR($I$7="(ทั้งหมด)",INDEX(บันทึกรายเที่ยว!$F$6:$F$10005,$J88)=$I$7)),$N88*10000000+$O88*1000+81,""))</f>
        <v/>
      </c>
      <c r="Q88" t="str">
        <f>IFERROR(MATCH(SMALL($P$8:$P$407,81),$P$8:$P$407,0),"")</f>
        <v/>
      </c>
      <c r="R88" t="str">
        <f t="shared" si="21"/>
        <v/>
      </c>
      <c r="S88" t="str">
        <f t="shared" si="22"/>
        <v/>
      </c>
      <c r="T88" t="str">
        <f t="shared" si="23"/>
        <v/>
      </c>
      <c r="U88" t="str">
        <f t="shared" si="24"/>
        <v/>
      </c>
      <c r="V88">
        <f t="shared" si="26"/>
        <v>0</v>
      </c>
      <c r="W88">
        <f t="shared" si="27"/>
        <v>0</v>
      </c>
      <c r="X88">
        <f>IF($Q88="",99999+81,$X87+1+$V87+$W87)</f>
        <v>100080</v>
      </c>
      <c r="Y88" t="str">
        <f>IF($Q88="","",INDEX(บันทึกรายเที่ยว!$Q$6:$Q$10005,$R88))</f>
        <v/>
      </c>
      <c r="Z88" t="str">
        <f>IF($Q88="","",INDEX(บันทึกรายเที่ยว!$F$6:$F$10005,$R88))</f>
        <v/>
      </c>
      <c r="AA88" t="str">
        <f>IFERROR(MATCH(81,$X$8:$X$407,1),"")</f>
        <v/>
      </c>
      <c r="AB88" t="str">
        <f>IF(81=$AD$1+1,"G",IF($AA88="","",IF(INDEX($Q$8:$Q$407,$AA88)="","",IF(81&gt;INDEX($X$8:$X$407,$AA88)+INDEX($V$8:$V$407,$AA88)+INDEX($W$8:$W$407,$AA88),"",IF(81=INDEX($X$8:$X$407,$AA88)+INDEX($V$8:$V$407,$AA88)+INDEX($W$8:$W$407,$AA88),"D",IF(AND(INDEX($W$8:$W$407,$AA88)=1,81=INDEX($X$8:$X$407,$AA88)+INDEX($V$8:$V$407,$AA88)),"S","R"))))))</f>
        <v/>
      </c>
      <c r="AC88" t="str">
        <f t="shared" si="25"/>
        <v/>
      </c>
      <c r="AE88">
        <f>IF($U88="",0,COUNTIF(บันทึกรายเที่ยว!$T$6:$T$10005,$U88))</f>
        <v>0</v>
      </c>
      <c r="AF88">
        <f>IF($U88="",0,ROUND(SUMIF(บันทึกรายเที่ยว!$T$6:$T$10005,$U88,บันทึกรายเที่ยว!$J$6:$J$10005),2))</f>
        <v>0</v>
      </c>
      <c r="AG88">
        <f>IF($U88="",0,ROUND(SUMIF(บันทึกรายเที่ยว!$T$6:$T$10005,$U88,บันทึกรายเที่ยว!$K$6:$K$10005),2))</f>
        <v>0</v>
      </c>
      <c r="AH88">
        <f>IF($U88="",0,ROUND(SUMIF(บันทึกรายเที่ยว!$T$6:$T$10005,$U88,บันทึกรายเที่ยว!$M$6:$M$10005),2))</f>
        <v>0</v>
      </c>
    </row>
    <row r="89" spans="1:34" ht="21" customHeight="1" x14ac:dyDescent="0.95">
      <c r="A89" s="3" t="str">
        <f t="shared" si="14"/>
        <v/>
      </c>
      <c r="B89" s="3" t="str">
        <f t="shared" si="15"/>
        <v/>
      </c>
      <c r="C89" s="8" t="str">
        <f t="shared" si="16"/>
        <v/>
      </c>
      <c r="D89" s="31" t="str">
        <f t="shared" si="17"/>
        <v/>
      </c>
      <c r="E89" s="32" t="str">
        <f>IF(82=$AD$1+3,"ขอแสดงความนับถือ",IF(82=$AD$1+6,"(                 )",IF(82=$AD$1+7,"เจ้าหน้าที่ขนส่ง",IF($AB89="G",SUM($AF$8:$AF$407),IF(OR($AB89="",$AB89="R"),"",IF($AB89="D",INDEX($AF$8:$AF$407,$AA89),SUMIF($T$8:$T$407,INDEX($T$8:$T$407,$AA89),$AF$8:$AF$407)))))))</f>
        <v/>
      </c>
      <c r="F89" s="32" t="str">
        <f t="shared" si="18"/>
        <v/>
      </c>
      <c r="G89" s="32" t="str">
        <f t="shared" si="19"/>
        <v/>
      </c>
      <c r="H89" s="32" t="str">
        <f t="shared" si="20"/>
        <v/>
      </c>
      <c r="J89" t="str">
        <f>IFERROR(MATCH(82,บันทึกรายเที่ยว!$W$6:$W$10005,0),"")</f>
        <v/>
      </c>
      <c r="K89" t="str">
        <f>IF($J89="","",INDEX(บันทึกรายเที่ยว!$T$6:$T$10005,$J89))</f>
        <v/>
      </c>
      <c r="L89" t="str">
        <f>IF($J89="","",INDEX(บันทึกรายเที่ยว!$S$6:$S$10005,$J89))</f>
        <v/>
      </c>
      <c r="M89" t="str">
        <f>IF($J89="","",INDEX(บันทึกรายเที่ยว!$R$6:$R$10005,$J89))</f>
        <v/>
      </c>
      <c r="N89" t="str">
        <f>IF($J89="","",MATCH($M89,บันทึกรายเที่ยว!$R$6:$R$10005,0))</f>
        <v/>
      </c>
      <c r="O89" t="str">
        <f>IF($J89="","",MATCH($L89,บันทึกรายเที่ยว!$S$6:$S$10005,0))</f>
        <v/>
      </c>
      <c r="P89" t="str">
        <f>IF($J89="","",IF(AND(OR($I$3="(ทั้งหมด)",INDEX(บันทึกรายเที่ยว!$C$6:$C$10005,$J89)=$I$3),OR($I$5="(ทั้งหมด)",INDEX(บันทึกรายเที่ยว!$D$6:$D$10005,$J89)=$I$5),OR($I$7="(ทั้งหมด)",INDEX(บันทึกรายเที่ยว!$F$6:$F$10005,$J89)=$I$7)),$N89*10000000+$O89*1000+82,""))</f>
        <v/>
      </c>
      <c r="Q89" t="str">
        <f>IFERROR(MATCH(SMALL($P$8:$P$407,82),$P$8:$P$407,0),"")</f>
        <v/>
      </c>
      <c r="R89" t="str">
        <f t="shared" si="21"/>
        <v/>
      </c>
      <c r="S89" t="str">
        <f t="shared" si="22"/>
        <v/>
      </c>
      <c r="T89" t="str">
        <f t="shared" si="23"/>
        <v/>
      </c>
      <c r="U89" t="str">
        <f t="shared" si="24"/>
        <v/>
      </c>
      <c r="V89">
        <f t="shared" si="26"/>
        <v>0</v>
      </c>
      <c r="W89">
        <f t="shared" si="27"/>
        <v>0</v>
      </c>
      <c r="X89">
        <f>IF($Q89="",99999+82,$X88+1+$V88+$W88)</f>
        <v>100081</v>
      </c>
      <c r="Y89" t="str">
        <f>IF($Q89="","",INDEX(บันทึกรายเที่ยว!$Q$6:$Q$10005,$R89))</f>
        <v/>
      </c>
      <c r="Z89" t="str">
        <f>IF($Q89="","",INDEX(บันทึกรายเที่ยว!$F$6:$F$10005,$R89))</f>
        <v/>
      </c>
      <c r="AA89" t="str">
        <f>IFERROR(MATCH(82,$X$8:$X$407,1),"")</f>
        <v/>
      </c>
      <c r="AB89" t="str">
        <f>IF(82=$AD$1+1,"G",IF($AA89="","",IF(INDEX($Q$8:$Q$407,$AA89)="","",IF(82&gt;INDEX($X$8:$X$407,$AA89)+INDEX($V$8:$V$407,$AA89)+INDEX($W$8:$W$407,$AA89),"",IF(82=INDEX($X$8:$X$407,$AA89)+INDEX($V$8:$V$407,$AA89)+INDEX($W$8:$W$407,$AA89),"D",IF(AND(INDEX($W$8:$W$407,$AA89)=1,82=INDEX($X$8:$X$407,$AA89)+INDEX($V$8:$V$407,$AA89)),"S","R"))))))</f>
        <v/>
      </c>
      <c r="AC89" t="str">
        <f t="shared" si="25"/>
        <v/>
      </c>
      <c r="AE89">
        <f>IF($U89="",0,COUNTIF(บันทึกรายเที่ยว!$T$6:$T$10005,$U89))</f>
        <v>0</v>
      </c>
      <c r="AF89">
        <f>IF($U89="",0,ROUND(SUMIF(บันทึกรายเที่ยว!$T$6:$T$10005,$U89,บันทึกรายเที่ยว!$J$6:$J$10005),2))</f>
        <v>0</v>
      </c>
      <c r="AG89">
        <f>IF($U89="",0,ROUND(SUMIF(บันทึกรายเที่ยว!$T$6:$T$10005,$U89,บันทึกรายเที่ยว!$K$6:$K$10005),2))</f>
        <v>0</v>
      </c>
      <c r="AH89">
        <f>IF($U89="",0,ROUND(SUMIF(บันทึกรายเที่ยว!$T$6:$T$10005,$U89,บันทึกรายเที่ยว!$M$6:$M$10005),2))</f>
        <v>0</v>
      </c>
    </row>
    <row r="90" spans="1:34" ht="21" customHeight="1" x14ac:dyDescent="0.95">
      <c r="A90" s="3" t="str">
        <f t="shared" si="14"/>
        <v/>
      </c>
      <c r="B90" s="3" t="str">
        <f t="shared" si="15"/>
        <v/>
      </c>
      <c r="C90" s="8" t="str">
        <f t="shared" si="16"/>
        <v/>
      </c>
      <c r="D90" s="31" t="str">
        <f t="shared" si="17"/>
        <v/>
      </c>
      <c r="E90" s="32" t="str">
        <f>IF(83=$AD$1+3,"ขอแสดงความนับถือ",IF(83=$AD$1+6,"(                 )",IF(83=$AD$1+7,"เจ้าหน้าที่ขนส่ง",IF($AB90="G",SUM($AF$8:$AF$407),IF(OR($AB90="",$AB90="R"),"",IF($AB90="D",INDEX($AF$8:$AF$407,$AA90),SUMIF($T$8:$T$407,INDEX($T$8:$T$407,$AA90),$AF$8:$AF$407)))))))</f>
        <v/>
      </c>
      <c r="F90" s="32" t="str">
        <f t="shared" si="18"/>
        <v/>
      </c>
      <c r="G90" s="32" t="str">
        <f t="shared" si="19"/>
        <v/>
      </c>
      <c r="H90" s="32" t="str">
        <f t="shared" si="20"/>
        <v/>
      </c>
      <c r="J90" t="str">
        <f>IFERROR(MATCH(83,บันทึกรายเที่ยว!$W$6:$W$10005,0),"")</f>
        <v/>
      </c>
      <c r="K90" t="str">
        <f>IF($J90="","",INDEX(บันทึกรายเที่ยว!$T$6:$T$10005,$J90))</f>
        <v/>
      </c>
      <c r="L90" t="str">
        <f>IF($J90="","",INDEX(บันทึกรายเที่ยว!$S$6:$S$10005,$J90))</f>
        <v/>
      </c>
      <c r="M90" t="str">
        <f>IF($J90="","",INDEX(บันทึกรายเที่ยว!$R$6:$R$10005,$J90))</f>
        <v/>
      </c>
      <c r="N90" t="str">
        <f>IF($J90="","",MATCH($M90,บันทึกรายเที่ยว!$R$6:$R$10005,0))</f>
        <v/>
      </c>
      <c r="O90" t="str">
        <f>IF($J90="","",MATCH($L90,บันทึกรายเที่ยว!$S$6:$S$10005,0))</f>
        <v/>
      </c>
      <c r="P90" t="str">
        <f>IF($J90="","",IF(AND(OR($I$3="(ทั้งหมด)",INDEX(บันทึกรายเที่ยว!$C$6:$C$10005,$J90)=$I$3),OR($I$5="(ทั้งหมด)",INDEX(บันทึกรายเที่ยว!$D$6:$D$10005,$J90)=$I$5),OR($I$7="(ทั้งหมด)",INDEX(บันทึกรายเที่ยว!$F$6:$F$10005,$J90)=$I$7)),$N90*10000000+$O90*1000+83,""))</f>
        <v/>
      </c>
      <c r="Q90" t="str">
        <f>IFERROR(MATCH(SMALL($P$8:$P$407,83),$P$8:$P$407,0),"")</f>
        <v/>
      </c>
      <c r="R90" t="str">
        <f t="shared" si="21"/>
        <v/>
      </c>
      <c r="S90" t="str">
        <f t="shared" si="22"/>
        <v/>
      </c>
      <c r="T90" t="str">
        <f t="shared" si="23"/>
        <v/>
      </c>
      <c r="U90" t="str">
        <f t="shared" si="24"/>
        <v/>
      </c>
      <c r="V90">
        <f t="shared" si="26"/>
        <v>0</v>
      </c>
      <c r="W90">
        <f t="shared" si="27"/>
        <v>0</v>
      </c>
      <c r="X90">
        <f>IF($Q90="",99999+83,$X89+1+$V89+$W89)</f>
        <v>100082</v>
      </c>
      <c r="Y90" t="str">
        <f>IF($Q90="","",INDEX(บันทึกรายเที่ยว!$Q$6:$Q$10005,$R90))</f>
        <v/>
      </c>
      <c r="Z90" t="str">
        <f>IF($Q90="","",INDEX(บันทึกรายเที่ยว!$F$6:$F$10005,$R90))</f>
        <v/>
      </c>
      <c r="AA90" t="str">
        <f>IFERROR(MATCH(83,$X$8:$X$407,1),"")</f>
        <v/>
      </c>
      <c r="AB90" t="str">
        <f>IF(83=$AD$1+1,"G",IF($AA90="","",IF(INDEX($Q$8:$Q$407,$AA90)="","",IF(83&gt;INDEX($X$8:$X$407,$AA90)+INDEX($V$8:$V$407,$AA90)+INDEX($W$8:$W$407,$AA90),"",IF(83=INDEX($X$8:$X$407,$AA90)+INDEX($V$8:$V$407,$AA90)+INDEX($W$8:$W$407,$AA90),"D",IF(AND(INDEX($W$8:$W$407,$AA90)=1,83=INDEX($X$8:$X$407,$AA90)+INDEX($V$8:$V$407,$AA90)),"S","R"))))))</f>
        <v/>
      </c>
      <c r="AC90" t="str">
        <f t="shared" si="25"/>
        <v/>
      </c>
      <c r="AE90">
        <f>IF($U90="",0,COUNTIF(บันทึกรายเที่ยว!$T$6:$T$10005,$U90))</f>
        <v>0</v>
      </c>
      <c r="AF90">
        <f>IF($U90="",0,ROUND(SUMIF(บันทึกรายเที่ยว!$T$6:$T$10005,$U90,บันทึกรายเที่ยว!$J$6:$J$10005),2))</f>
        <v>0</v>
      </c>
      <c r="AG90">
        <f>IF($U90="",0,ROUND(SUMIF(บันทึกรายเที่ยว!$T$6:$T$10005,$U90,บันทึกรายเที่ยว!$K$6:$K$10005),2))</f>
        <v>0</v>
      </c>
      <c r="AH90">
        <f>IF($U90="",0,ROUND(SUMIF(บันทึกรายเที่ยว!$T$6:$T$10005,$U90,บันทึกรายเที่ยว!$M$6:$M$10005),2))</f>
        <v>0</v>
      </c>
    </row>
    <row r="91" spans="1:34" ht="21" customHeight="1" x14ac:dyDescent="0.95">
      <c r="A91" s="3" t="str">
        <f t="shared" si="14"/>
        <v/>
      </c>
      <c r="B91" s="3" t="str">
        <f t="shared" si="15"/>
        <v/>
      </c>
      <c r="C91" s="8" t="str">
        <f t="shared" si="16"/>
        <v/>
      </c>
      <c r="D91" s="31" t="str">
        <f t="shared" si="17"/>
        <v/>
      </c>
      <c r="E91" s="32" t="str">
        <f>IF(84=$AD$1+3,"ขอแสดงความนับถือ",IF(84=$AD$1+6,"(                 )",IF(84=$AD$1+7,"เจ้าหน้าที่ขนส่ง",IF($AB91="G",SUM($AF$8:$AF$407),IF(OR($AB91="",$AB91="R"),"",IF($AB91="D",INDEX($AF$8:$AF$407,$AA91),SUMIF($T$8:$T$407,INDEX($T$8:$T$407,$AA91),$AF$8:$AF$407)))))))</f>
        <v/>
      </c>
      <c r="F91" s="32" t="str">
        <f t="shared" si="18"/>
        <v/>
      </c>
      <c r="G91" s="32" t="str">
        <f t="shared" si="19"/>
        <v/>
      </c>
      <c r="H91" s="32" t="str">
        <f t="shared" si="20"/>
        <v/>
      </c>
      <c r="J91" t="str">
        <f>IFERROR(MATCH(84,บันทึกรายเที่ยว!$W$6:$W$10005,0),"")</f>
        <v/>
      </c>
      <c r="K91" t="str">
        <f>IF($J91="","",INDEX(บันทึกรายเที่ยว!$T$6:$T$10005,$J91))</f>
        <v/>
      </c>
      <c r="L91" t="str">
        <f>IF($J91="","",INDEX(บันทึกรายเที่ยว!$S$6:$S$10005,$J91))</f>
        <v/>
      </c>
      <c r="M91" t="str">
        <f>IF($J91="","",INDEX(บันทึกรายเที่ยว!$R$6:$R$10005,$J91))</f>
        <v/>
      </c>
      <c r="N91" t="str">
        <f>IF($J91="","",MATCH($M91,บันทึกรายเที่ยว!$R$6:$R$10005,0))</f>
        <v/>
      </c>
      <c r="O91" t="str">
        <f>IF($J91="","",MATCH($L91,บันทึกรายเที่ยว!$S$6:$S$10005,0))</f>
        <v/>
      </c>
      <c r="P91" t="str">
        <f>IF($J91="","",IF(AND(OR($I$3="(ทั้งหมด)",INDEX(บันทึกรายเที่ยว!$C$6:$C$10005,$J91)=$I$3),OR($I$5="(ทั้งหมด)",INDEX(บันทึกรายเที่ยว!$D$6:$D$10005,$J91)=$I$5),OR($I$7="(ทั้งหมด)",INDEX(บันทึกรายเที่ยว!$F$6:$F$10005,$J91)=$I$7)),$N91*10000000+$O91*1000+84,""))</f>
        <v/>
      </c>
      <c r="Q91" t="str">
        <f>IFERROR(MATCH(SMALL($P$8:$P$407,84),$P$8:$P$407,0),"")</f>
        <v/>
      </c>
      <c r="R91" t="str">
        <f t="shared" si="21"/>
        <v/>
      </c>
      <c r="S91" t="str">
        <f t="shared" si="22"/>
        <v/>
      </c>
      <c r="T91" t="str">
        <f t="shared" si="23"/>
        <v/>
      </c>
      <c r="U91" t="str">
        <f t="shared" si="24"/>
        <v/>
      </c>
      <c r="V91">
        <f t="shared" si="26"/>
        <v>0</v>
      </c>
      <c r="W91">
        <f t="shared" si="27"/>
        <v>0</v>
      </c>
      <c r="X91">
        <f>IF($Q91="",99999+84,$X90+1+$V90+$W90)</f>
        <v>100083</v>
      </c>
      <c r="Y91" t="str">
        <f>IF($Q91="","",INDEX(บันทึกรายเที่ยว!$Q$6:$Q$10005,$R91))</f>
        <v/>
      </c>
      <c r="Z91" t="str">
        <f>IF($Q91="","",INDEX(บันทึกรายเที่ยว!$F$6:$F$10005,$R91))</f>
        <v/>
      </c>
      <c r="AA91" t="str">
        <f>IFERROR(MATCH(84,$X$8:$X$407,1),"")</f>
        <v/>
      </c>
      <c r="AB91" t="str">
        <f>IF(84=$AD$1+1,"G",IF($AA91="","",IF(INDEX($Q$8:$Q$407,$AA91)="","",IF(84&gt;INDEX($X$8:$X$407,$AA91)+INDEX($V$8:$V$407,$AA91)+INDEX($W$8:$W$407,$AA91),"",IF(84=INDEX($X$8:$X$407,$AA91)+INDEX($V$8:$V$407,$AA91)+INDEX($W$8:$W$407,$AA91),"D",IF(AND(INDEX($W$8:$W$407,$AA91)=1,84=INDEX($X$8:$X$407,$AA91)+INDEX($V$8:$V$407,$AA91)),"S","R"))))))</f>
        <v/>
      </c>
      <c r="AC91" t="str">
        <f t="shared" si="25"/>
        <v/>
      </c>
      <c r="AE91">
        <f>IF($U91="",0,COUNTIF(บันทึกรายเที่ยว!$T$6:$T$10005,$U91))</f>
        <v>0</v>
      </c>
      <c r="AF91">
        <f>IF($U91="",0,ROUND(SUMIF(บันทึกรายเที่ยว!$T$6:$T$10005,$U91,บันทึกรายเที่ยว!$J$6:$J$10005),2))</f>
        <v>0</v>
      </c>
      <c r="AG91">
        <f>IF($U91="",0,ROUND(SUMIF(บันทึกรายเที่ยว!$T$6:$T$10005,$U91,บันทึกรายเที่ยว!$K$6:$K$10005),2))</f>
        <v>0</v>
      </c>
      <c r="AH91">
        <f>IF($U91="",0,ROUND(SUMIF(บันทึกรายเที่ยว!$T$6:$T$10005,$U91,บันทึกรายเที่ยว!$M$6:$M$10005),2))</f>
        <v>0</v>
      </c>
    </row>
    <row r="92" spans="1:34" ht="21" customHeight="1" x14ac:dyDescent="0.95">
      <c r="A92" s="3" t="str">
        <f t="shared" si="14"/>
        <v/>
      </c>
      <c r="B92" s="3" t="str">
        <f t="shared" si="15"/>
        <v/>
      </c>
      <c r="C92" s="8" t="str">
        <f t="shared" si="16"/>
        <v/>
      </c>
      <c r="D92" s="31" t="str">
        <f t="shared" si="17"/>
        <v/>
      </c>
      <c r="E92" s="32" t="str">
        <f>IF(85=$AD$1+3,"ขอแสดงความนับถือ",IF(85=$AD$1+6,"(                 )",IF(85=$AD$1+7,"เจ้าหน้าที่ขนส่ง",IF($AB92="G",SUM($AF$8:$AF$407),IF(OR($AB92="",$AB92="R"),"",IF($AB92="D",INDEX($AF$8:$AF$407,$AA92),SUMIF($T$8:$T$407,INDEX($T$8:$T$407,$AA92),$AF$8:$AF$407)))))))</f>
        <v/>
      </c>
      <c r="F92" s="32" t="str">
        <f t="shared" si="18"/>
        <v/>
      </c>
      <c r="G92" s="32" t="str">
        <f t="shared" si="19"/>
        <v/>
      </c>
      <c r="H92" s="32" t="str">
        <f t="shared" si="20"/>
        <v/>
      </c>
      <c r="J92" t="str">
        <f>IFERROR(MATCH(85,บันทึกรายเที่ยว!$W$6:$W$10005,0),"")</f>
        <v/>
      </c>
      <c r="K92" t="str">
        <f>IF($J92="","",INDEX(บันทึกรายเที่ยว!$T$6:$T$10005,$J92))</f>
        <v/>
      </c>
      <c r="L92" t="str">
        <f>IF($J92="","",INDEX(บันทึกรายเที่ยว!$S$6:$S$10005,$J92))</f>
        <v/>
      </c>
      <c r="M92" t="str">
        <f>IF($J92="","",INDEX(บันทึกรายเที่ยว!$R$6:$R$10005,$J92))</f>
        <v/>
      </c>
      <c r="N92" t="str">
        <f>IF($J92="","",MATCH($M92,บันทึกรายเที่ยว!$R$6:$R$10005,0))</f>
        <v/>
      </c>
      <c r="O92" t="str">
        <f>IF($J92="","",MATCH($L92,บันทึกรายเที่ยว!$S$6:$S$10005,0))</f>
        <v/>
      </c>
      <c r="P92" t="str">
        <f>IF($J92="","",IF(AND(OR($I$3="(ทั้งหมด)",INDEX(บันทึกรายเที่ยว!$C$6:$C$10005,$J92)=$I$3),OR($I$5="(ทั้งหมด)",INDEX(บันทึกรายเที่ยว!$D$6:$D$10005,$J92)=$I$5),OR($I$7="(ทั้งหมด)",INDEX(บันทึกรายเที่ยว!$F$6:$F$10005,$J92)=$I$7)),$N92*10000000+$O92*1000+85,""))</f>
        <v/>
      </c>
      <c r="Q92" t="str">
        <f>IFERROR(MATCH(SMALL($P$8:$P$407,85),$P$8:$P$407,0),"")</f>
        <v/>
      </c>
      <c r="R92" t="str">
        <f t="shared" si="21"/>
        <v/>
      </c>
      <c r="S92" t="str">
        <f t="shared" si="22"/>
        <v/>
      </c>
      <c r="T92" t="str">
        <f t="shared" si="23"/>
        <v/>
      </c>
      <c r="U92" t="str">
        <f t="shared" si="24"/>
        <v/>
      </c>
      <c r="V92">
        <f t="shared" si="26"/>
        <v>0</v>
      </c>
      <c r="W92">
        <f t="shared" si="27"/>
        <v>0</v>
      </c>
      <c r="X92">
        <f>IF($Q92="",99999+85,$X91+1+$V91+$W91)</f>
        <v>100084</v>
      </c>
      <c r="Y92" t="str">
        <f>IF($Q92="","",INDEX(บันทึกรายเที่ยว!$Q$6:$Q$10005,$R92))</f>
        <v/>
      </c>
      <c r="Z92" t="str">
        <f>IF($Q92="","",INDEX(บันทึกรายเที่ยว!$F$6:$F$10005,$R92))</f>
        <v/>
      </c>
      <c r="AA92" t="str">
        <f>IFERROR(MATCH(85,$X$8:$X$407,1),"")</f>
        <v/>
      </c>
      <c r="AB92" t="str">
        <f>IF(85=$AD$1+1,"G",IF($AA92="","",IF(INDEX($Q$8:$Q$407,$AA92)="","",IF(85&gt;INDEX($X$8:$X$407,$AA92)+INDEX($V$8:$V$407,$AA92)+INDEX($W$8:$W$407,$AA92),"",IF(85=INDEX($X$8:$X$407,$AA92)+INDEX($V$8:$V$407,$AA92)+INDEX($W$8:$W$407,$AA92),"D",IF(AND(INDEX($W$8:$W$407,$AA92)=1,85=INDEX($X$8:$X$407,$AA92)+INDEX($V$8:$V$407,$AA92)),"S","R"))))))</f>
        <v/>
      </c>
      <c r="AC92" t="str">
        <f t="shared" si="25"/>
        <v/>
      </c>
      <c r="AE92">
        <f>IF($U92="",0,COUNTIF(บันทึกรายเที่ยว!$T$6:$T$10005,$U92))</f>
        <v>0</v>
      </c>
      <c r="AF92">
        <f>IF($U92="",0,ROUND(SUMIF(บันทึกรายเที่ยว!$T$6:$T$10005,$U92,บันทึกรายเที่ยว!$J$6:$J$10005),2))</f>
        <v>0</v>
      </c>
      <c r="AG92">
        <f>IF($U92="",0,ROUND(SUMIF(บันทึกรายเที่ยว!$T$6:$T$10005,$U92,บันทึกรายเที่ยว!$K$6:$K$10005),2))</f>
        <v>0</v>
      </c>
      <c r="AH92">
        <f>IF($U92="",0,ROUND(SUMIF(บันทึกรายเที่ยว!$T$6:$T$10005,$U92,บันทึกรายเที่ยว!$M$6:$M$10005),2))</f>
        <v>0</v>
      </c>
    </row>
    <row r="93" spans="1:34" ht="21" customHeight="1" x14ac:dyDescent="0.95">
      <c r="A93" s="3" t="str">
        <f t="shared" si="14"/>
        <v/>
      </c>
      <c r="B93" s="3" t="str">
        <f t="shared" si="15"/>
        <v/>
      </c>
      <c r="C93" s="8" t="str">
        <f t="shared" si="16"/>
        <v/>
      </c>
      <c r="D93" s="31" t="str">
        <f t="shared" si="17"/>
        <v/>
      </c>
      <c r="E93" s="32" t="str">
        <f>IF(86=$AD$1+3,"ขอแสดงความนับถือ",IF(86=$AD$1+6,"(                 )",IF(86=$AD$1+7,"เจ้าหน้าที่ขนส่ง",IF($AB93="G",SUM($AF$8:$AF$407),IF(OR($AB93="",$AB93="R"),"",IF($AB93="D",INDEX($AF$8:$AF$407,$AA93),SUMIF($T$8:$T$407,INDEX($T$8:$T$407,$AA93),$AF$8:$AF$407)))))))</f>
        <v/>
      </c>
      <c r="F93" s="32" t="str">
        <f t="shared" si="18"/>
        <v/>
      </c>
      <c r="G93" s="32" t="str">
        <f t="shared" si="19"/>
        <v/>
      </c>
      <c r="H93" s="32" t="str">
        <f t="shared" si="20"/>
        <v/>
      </c>
      <c r="J93" t="str">
        <f>IFERROR(MATCH(86,บันทึกรายเที่ยว!$W$6:$W$10005,0),"")</f>
        <v/>
      </c>
      <c r="K93" t="str">
        <f>IF($J93="","",INDEX(บันทึกรายเที่ยว!$T$6:$T$10005,$J93))</f>
        <v/>
      </c>
      <c r="L93" t="str">
        <f>IF($J93="","",INDEX(บันทึกรายเที่ยว!$S$6:$S$10005,$J93))</f>
        <v/>
      </c>
      <c r="M93" t="str">
        <f>IF($J93="","",INDEX(บันทึกรายเที่ยว!$R$6:$R$10005,$J93))</f>
        <v/>
      </c>
      <c r="N93" t="str">
        <f>IF($J93="","",MATCH($M93,บันทึกรายเที่ยว!$R$6:$R$10005,0))</f>
        <v/>
      </c>
      <c r="O93" t="str">
        <f>IF($J93="","",MATCH($L93,บันทึกรายเที่ยว!$S$6:$S$10005,0))</f>
        <v/>
      </c>
      <c r="P93" t="str">
        <f>IF($J93="","",IF(AND(OR($I$3="(ทั้งหมด)",INDEX(บันทึกรายเที่ยว!$C$6:$C$10005,$J93)=$I$3),OR($I$5="(ทั้งหมด)",INDEX(บันทึกรายเที่ยว!$D$6:$D$10005,$J93)=$I$5),OR($I$7="(ทั้งหมด)",INDEX(บันทึกรายเที่ยว!$F$6:$F$10005,$J93)=$I$7)),$N93*10000000+$O93*1000+86,""))</f>
        <v/>
      </c>
      <c r="Q93" t="str">
        <f>IFERROR(MATCH(SMALL($P$8:$P$407,86),$P$8:$P$407,0),"")</f>
        <v/>
      </c>
      <c r="R93" t="str">
        <f t="shared" si="21"/>
        <v/>
      </c>
      <c r="S93" t="str">
        <f t="shared" si="22"/>
        <v/>
      </c>
      <c r="T93" t="str">
        <f t="shared" si="23"/>
        <v/>
      </c>
      <c r="U93" t="str">
        <f t="shared" si="24"/>
        <v/>
      </c>
      <c r="V93">
        <f t="shared" si="26"/>
        <v>0</v>
      </c>
      <c r="W93">
        <f t="shared" si="27"/>
        <v>0</v>
      </c>
      <c r="X93">
        <f>IF($Q93="",99999+86,$X92+1+$V92+$W92)</f>
        <v>100085</v>
      </c>
      <c r="Y93" t="str">
        <f>IF($Q93="","",INDEX(บันทึกรายเที่ยว!$Q$6:$Q$10005,$R93))</f>
        <v/>
      </c>
      <c r="Z93" t="str">
        <f>IF($Q93="","",INDEX(บันทึกรายเที่ยว!$F$6:$F$10005,$R93))</f>
        <v/>
      </c>
      <c r="AA93" t="str">
        <f>IFERROR(MATCH(86,$X$8:$X$407,1),"")</f>
        <v/>
      </c>
      <c r="AB93" t="str">
        <f>IF(86=$AD$1+1,"G",IF($AA93="","",IF(INDEX($Q$8:$Q$407,$AA93)="","",IF(86&gt;INDEX($X$8:$X$407,$AA93)+INDEX($V$8:$V$407,$AA93)+INDEX($W$8:$W$407,$AA93),"",IF(86=INDEX($X$8:$X$407,$AA93)+INDEX($V$8:$V$407,$AA93)+INDEX($W$8:$W$407,$AA93),"D",IF(AND(INDEX($W$8:$W$407,$AA93)=1,86=INDEX($X$8:$X$407,$AA93)+INDEX($V$8:$V$407,$AA93)),"S","R"))))))</f>
        <v/>
      </c>
      <c r="AC93" t="str">
        <f t="shared" si="25"/>
        <v/>
      </c>
      <c r="AE93">
        <f>IF($U93="",0,COUNTIF(บันทึกรายเที่ยว!$T$6:$T$10005,$U93))</f>
        <v>0</v>
      </c>
      <c r="AF93">
        <f>IF($U93="",0,ROUND(SUMIF(บันทึกรายเที่ยว!$T$6:$T$10005,$U93,บันทึกรายเที่ยว!$J$6:$J$10005),2))</f>
        <v>0</v>
      </c>
      <c r="AG93">
        <f>IF($U93="",0,ROUND(SUMIF(บันทึกรายเที่ยว!$T$6:$T$10005,$U93,บันทึกรายเที่ยว!$K$6:$K$10005),2))</f>
        <v>0</v>
      </c>
      <c r="AH93">
        <f>IF($U93="",0,ROUND(SUMIF(บันทึกรายเที่ยว!$T$6:$T$10005,$U93,บันทึกรายเที่ยว!$M$6:$M$10005),2))</f>
        <v>0</v>
      </c>
    </row>
    <row r="94" spans="1:34" ht="21" customHeight="1" x14ac:dyDescent="0.95">
      <c r="A94" s="3" t="str">
        <f t="shared" si="14"/>
        <v/>
      </c>
      <c r="B94" s="3" t="str">
        <f t="shared" si="15"/>
        <v/>
      </c>
      <c r="C94" s="8" t="str">
        <f t="shared" si="16"/>
        <v/>
      </c>
      <c r="D94" s="31" t="str">
        <f t="shared" si="17"/>
        <v/>
      </c>
      <c r="E94" s="32" t="str">
        <f>IF(87=$AD$1+3,"ขอแสดงความนับถือ",IF(87=$AD$1+6,"(                 )",IF(87=$AD$1+7,"เจ้าหน้าที่ขนส่ง",IF($AB94="G",SUM($AF$8:$AF$407),IF(OR($AB94="",$AB94="R"),"",IF($AB94="D",INDEX($AF$8:$AF$407,$AA94),SUMIF($T$8:$T$407,INDEX($T$8:$T$407,$AA94),$AF$8:$AF$407)))))))</f>
        <v/>
      </c>
      <c r="F94" s="32" t="str">
        <f t="shared" si="18"/>
        <v/>
      </c>
      <c r="G94" s="32" t="str">
        <f t="shared" si="19"/>
        <v/>
      </c>
      <c r="H94" s="32" t="str">
        <f t="shared" si="20"/>
        <v/>
      </c>
      <c r="J94" t="str">
        <f>IFERROR(MATCH(87,บันทึกรายเที่ยว!$W$6:$W$10005,0),"")</f>
        <v/>
      </c>
      <c r="K94" t="str">
        <f>IF($J94="","",INDEX(บันทึกรายเที่ยว!$T$6:$T$10005,$J94))</f>
        <v/>
      </c>
      <c r="L94" t="str">
        <f>IF($J94="","",INDEX(บันทึกรายเที่ยว!$S$6:$S$10005,$J94))</f>
        <v/>
      </c>
      <c r="M94" t="str">
        <f>IF($J94="","",INDEX(บันทึกรายเที่ยว!$R$6:$R$10005,$J94))</f>
        <v/>
      </c>
      <c r="N94" t="str">
        <f>IF($J94="","",MATCH($M94,บันทึกรายเที่ยว!$R$6:$R$10005,0))</f>
        <v/>
      </c>
      <c r="O94" t="str">
        <f>IF($J94="","",MATCH($L94,บันทึกรายเที่ยว!$S$6:$S$10005,0))</f>
        <v/>
      </c>
      <c r="P94" t="str">
        <f>IF($J94="","",IF(AND(OR($I$3="(ทั้งหมด)",INDEX(บันทึกรายเที่ยว!$C$6:$C$10005,$J94)=$I$3),OR($I$5="(ทั้งหมด)",INDEX(บันทึกรายเที่ยว!$D$6:$D$10005,$J94)=$I$5),OR($I$7="(ทั้งหมด)",INDEX(บันทึกรายเที่ยว!$F$6:$F$10005,$J94)=$I$7)),$N94*10000000+$O94*1000+87,""))</f>
        <v/>
      </c>
      <c r="Q94" t="str">
        <f>IFERROR(MATCH(SMALL($P$8:$P$407,87),$P$8:$P$407,0),"")</f>
        <v/>
      </c>
      <c r="R94" t="str">
        <f t="shared" si="21"/>
        <v/>
      </c>
      <c r="S94" t="str">
        <f t="shared" si="22"/>
        <v/>
      </c>
      <c r="T94" t="str">
        <f t="shared" si="23"/>
        <v/>
      </c>
      <c r="U94" t="str">
        <f t="shared" si="24"/>
        <v/>
      </c>
      <c r="V94">
        <f t="shared" si="26"/>
        <v>0</v>
      </c>
      <c r="W94">
        <f t="shared" si="27"/>
        <v>0</v>
      </c>
      <c r="X94">
        <f>IF($Q94="",99999+87,$X93+1+$V93+$W93)</f>
        <v>100086</v>
      </c>
      <c r="Y94" t="str">
        <f>IF($Q94="","",INDEX(บันทึกรายเที่ยว!$Q$6:$Q$10005,$R94))</f>
        <v/>
      </c>
      <c r="Z94" t="str">
        <f>IF($Q94="","",INDEX(บันทึกรายเที่ยว!$F$6:$F$10005,$R94))</f>
        <v/>
      </c>
      <c r="AA94" t="str">
        <f>IFERROR(MATCH(87,$X$8:$X$407,1),"")</f>
        <v/>
      </c>
      <c r="AB94" t="str">
        <f>IF(87=$AD$1+1,"G",IF($AA94="","",IF(INDEX($Q$8:$Q$407,$AA94)="","",IF(87&gt;INDEX($X$8:$X$407,$AA94)+INDEX($V$8:$V$407,$AA94)+INDEX($W$8:$W$407,$AA94),"",IF(87=INDEX($X$8:$X$407,$AA94)+INDEX($V$8:$V$407,$AA94)+INDEX($W$8:$W$407,$AA94),"D",IF(AND(INDEX($W$8:$W$407,$AA94)=1,87=INDEX($X$8:$X$407,$AA94)+INDEX($V$8:$V$407,$AA94)),"S","R"))))))</f>
        <v/>
      </c>
      <c r="AC94" t="str">
        <f t="shared" si="25"/>
        <v/>
      </c>
      <c r="AE94">
        <f>IF($U94="",0,COUNTIF(บันทึกรายเที่ยว!$T$6:$T$10005,$U94))</f>
        <v>0</v>
      </c>
      <c r="AF94">
        <f>IF($U94="",0,ROUND(SUMIF(บันทึกรายเที่ยว!$T$6:$T$10005,$U94,บันทึกรายเที่ยว!$J$6:$J$10005),2))</f>
        <v>0</v>
      </c>
      <c r="AG94">
        <f>IF($U94="",0,ROUND(SUMIF(บันทึกรายเที่ยว!$T$6:$T$10005,$U94,บันทึกรายเที่ยว!$K$6:$K$10005),2))</f>
        <v>0</v>
      </c>
      <c r="AH94">
        <f>IF($U94="",0,ROUND(SUMIF(บันทึกรายเที่ยว!$T$6:$T$10005,$U94,บันทึกรายเที่ยว!$M$6:$M$10005),2))</f>
        <v>0</v>
      </c>
    </row>
    <row r="95" spans="1:34" ht="21" customHeight="1" x14ac:dyDescent="0.95">
      <c r="A95" s="3" t="str">
        <f t="shared" si="14"/>
        <v/>
      </c>
      <c r="B95" s="3" t="str">
        <f t="shared" si="15"/>
        <v/>
      </c>
      <c r="C95" s="8" t="str">
        <f t="shared" si="16"/>
        <v/>
      </c>
      <c r="D95" s="31" t="str">
        <f t="shared" si="17"/>
        <v/>
      </c>
      <c r="E95" s="32" t="str">
        <f>IF(88=$AD$1+3,"ขอแสดงความนับถือ",IF(88=$AD$1+6,"(                 )",IF(88=$AD$1+7,"เจ้าหน้าที่ขนส่ง",IF($AB95="G",SUM($AF$8:$AF$407),IF(OR($AB95="",$AB95="R"),"",IF($AB95="D",INDEX($AF$8:$AF$407,$AA95),SUMIF($T$8:$T$407,INDEX($T$8:$T$407,$AA95),$AF$8:$AF$407)))))))</f>
        <v/>
      </c>
      <c r="F95" s="32" t="str">
        <f t="shared" si="18"/>
        <v/>
      </c>
      <c r="G95" s="32" t="str">
        <f t="shared" si="19"/>
        <v/>
      </c>
      <c r="H95" s="32" t="str">
        <f t="shared" si="20"/>
        <v/>
      </c>
      <c r="J95" t="str">
        <f>IFERROR(MATCH(88,บันทึกรายเที่ยว!$W$6:$W$10005,0),"")</f>
        <v/>
      </c>
      <c r="K95" t="str">
        <f>IF($J95="","",INDEX(บันทึกรายเที่ยว!$T$6:$T$10005,$J95))</f>
        <v/>
      </c>
      <c r="L95" t="str">
        <f>IF($J95="","",INDEX(บันทึกรายเที่ยว!$S$6:$S$10005,$J95))</f>
        <v/>
      </c>
      <c r="M95" t="str">
        <f>IF($J95="","",INDEX(บันทึกรายเที่ยว!$R$6:$R$10005,$J95))</f>
        <v/>
      </c>
      <c r="N95" t="str">
        <f>IF($J95="","",MATCH($M95,บันทึกรายเที่ยว!$R$6:$R$10005,0))</f>
        <v/>
      </c>
      <c r="O95" t="str">
        <f>IF($J95="","",MATCH($L95,บันทึกรายเที่ยว!$S$6:$S$10005,0))</f>
        <v/>
      </c>
      <c r="P95" t="str">
        <f>IF($J95="","",IF(AND(OR($I$3="(ทั้งหมด)",INDEX(บันทึกรายเที่ยว!$C$6:$C$10005,$J95)=$I$3),OR($I$5="(ทั้งหมด)",INDEX(บันทึกรายเที่ยว!$D$6:$D$10005,$J95)=$I$5),OR($I$7="(ทั้งหมด)",INDEX(บันทึกรายเที่ยว!$F$6:$F$10005,$J95)=$I$7)),$N95*10000000+$O95*1000+88,""))</f>
        <v/>
      </c>
      <c r="Q95" t="str">
        <f>IFERROR(MATCH(SMALL($P$8:$P$407,88),$P$8:$P$407,0),"")</f>
        <v/>
      </c>
      <c r="R95" t="str">
        <f t="shared" si="21"/>
        <v/>
      </c>
      <c r="S95" t="str">
        <f t="shared" si="22"/>
        <v/>
      </c>
      <c r="T95" t="str">
        <f t="shared" si="23"/>
        <v/>
      </c>
      <c r="U95" t="str">
        <f t="shared" si="24"/>
        <v/>
      </c>
      <c r="V95">
        <f t="shared" si="26"/>
        <v>0</v>
      </c>
      <c r="W95">
        <f t="shared" si="27"/>
        <v>0</v>
      </c>
      <c r="X95">
        <f>IF($Q95="",99999+88,$X94+1+$V94+$W94)</f>
        <v>100087</v>
      </c>
      <c r="Y95" t="str">
        <f>IF($Q95="","",INDEX(บันทึกรายเที่ยว!$Q$6:$Q$10005,$R95))</f>
        <v/>
      </c>
      <c r="Z95" t="str">
        <f>IF($Q95="","",INDEX(บันทึกรายเที่ยว!$F$6:$F$10005,$R95))</f>
        <v/>
      </c>
      <c r="AA95" t="str">
        <f>IFERROR(MATCH(88,$X$8:$X$407,1),"")</f>
        <v/>
      </c>
      <c r="AB95" t="str">
        <f>IF(88=$AD$1+1,"G",IF($AA95="","",IF(INDEX($Q$8:$Q$407,$AA95)="","",IF(88&gt;INDEX($X$8:$X$407,$AA95)+INDEX($V$8:$V$407,$AA95)+INDEX($W$8:$W$407,$AA95),"",IF(88=INDEX($X$8:$X$407,$AA95)+INDEX($V$8:$V$407,$AA95)+INDEX($W$8:$W$407,$AA95),"D",IF(AND(INDEX($W$8:$W$407,$AA95)=1,88=INDEX($X$8:$X$407,$AA95)+INDEX($V$8:$V$407,$AA95)),"S","R"))))))</f>
        <v/>
      </c>
      <c r="AC95" t="str">
        <f t="shared" si="25"/>
        <v/>
      </c>
      <c r="AE95">
        <f>IF($U95="",0,COUNTIF(บันทึกรายเที่ยว!$T$6:$T$10005,$U95))</f>
        <v>0</v>
      </c>
      <c r="AF95">
        <f>IF($U95="",0,ROUND(SUMIF(บันทึกรายเที่ยว!$T$6:$T$10005,$U95,บันทึกรายเที่ยว!$J$6:$J$10005),2))</f>
        <v>0</v>
      </c>
      <c r="AG95">
        <f>IF($U95="",0,ROUND(SUMIF(บันทึกรายเที่ยว!$T$6:$T$10005,$U95,บันทึกรายเที่ยว!$K$6:$K$10005),2))</f>
        <v>0</v>
      </c>
      <c r="AH95">
        <f>IF($U95="",0,ROUND(SUMIF(บันทึกรายเที่ยว!$T$6:$T$10005,$U95,บันทึกรายเที่ยว!$M$6:$M$10005),2))</f>
        <v>0</v>
      </c>
    </row>
    <row r="96" spans="1:34" ht="21" customHeight="1" x14ac:dyDescent="0.95">
      <c r="A96" s="3" t="str">
        <f t="shared" si="14"/>
        <v/>
      </c>
      <c r="B96" s="3" t="str">
        <f t="shared" si="15"/>
        <v/>
      </c>
      <c r="C96" s="8" t="str">
        <f t="shared" si="16"/>
        <v/>
      </c>
      <c r="D96" s="31" t="str">
        <f t="shared" si="17"/>
        <v/>
      </c>
      <c r="E96" s="32" t="str">
        <f>IF(89=$AD$1+3,"ขอแสดงความนับถือ",IF(89=$AD$1+6,"(                 )",IF(89=$AD$1+7,"เจ้าหน้าที่ขนส่ง",IF($AB96="G",SUM($AF$8:$AF$407),IF(OR($AB96="",$AB96="R"),"",IF($AB96="D",INDEX($AF$8:$AF$407,$AA96),SUMIF($T$8:$T$407,INDEX($T$8:$T$407,$AA96),$AF$8:$AF$407)))))))</f>
        <v/>
      </c>
      <c r="F96" s="32" t="str">
        <f t="shared" si="18"/>
        <v/>
      </c>
      <c r="G96" s="32" t="str">
        <f t="shared" si="19"/>
        <v/>
      </c>
      <c r="H96" s="32" t="str">
        <f t="shared" si="20"/>
        <v/>
      </c>
      <c r="J96" t="str">
        <f>IFERROR(MATCH(89,บันทึกรายเที่ยว!$W$6:$W$10005,0),"")</f>
        <v/>
      </c>
      <c r="K96" t="str">
        <f>IF($J96="","",INDEX(บันทึกรายเที่ยว!$T$6:$T$10005,$J96))</f>
        <v/>
      </c>
      <c r="L96" t="str">
        <f>IF($J96="","",INDEX(บันทึกรายเที่ยว!$S$6:$S$10005,$J96))</f>
        <v/>
      </c>
      <c r="M96" t="str">
        <f>IF($J96="","",INDEX(บันทึกรายเที่ยว!$R$6:$R$10005,$J96))</f>
        <v/>
      </c>
      <c r="N96" t="str">
        <f>IF($J96="","",MATCH($M96,บันทึกรายเที่ยว!$R$6:$R$10005,0))</f>
        <v/>
      </c>
      <c r="O96" t="str">
        <f>IF($J96="","",MATCH($L96,บันทึกรายเที่ยว!$S$6:$S$10005,0))</f>
        <v/>
      </c>
      <c r="P96" t="str">
        <f>IF($J96="","",IF(AND(OR($I$3="(ทั้งหมด)",INDEX(บันทึกรายเที่ยว!$C$6:$C$10005,$J96)=$I$3),OR($I$5="(ทั้งหมด)",INDEX(บันทึกรายเที่ยว!$D$6:$D$10005,$J96)=$I$5),OR($I$7="(ทั้งหมด)",INDEX(บันทึกรายเที่ยว!$F$6:$F$10005,$J96)=$I$7)),$N96*10000000+$O96*1000+89,""))</f>
        <v/>
      </c>
      <c r="Q96" t="str">
        <f>IFERROR(MATCH(SMALL($P$8:$P$407,89),$P$8:$P$407,0),"")</f>
        <v/>
      </c>
      <c r="R96" t="str">
        <f t="shared" si="21"/>
        <v/>
      </c>
      <c r="S96" t="str">
        <f t="shared" si="22"/>
        <v/>
      </c>
      <c r="T96" t="str">
        <f t="shared" si="23"/>
        <v/>
      </c>
      <c r="U96" t="str">
        <f t="shared" si="24"/>
        <v/>
      </c>
      <c r="V96">
        <f t="shared" si="26"/>
        <v>0</v>
      </c>
      <c r="W96">
        <f t="shared" si="27"/>
        <v>0</v>
      </c>
      <c r="X96">
        <f>IF($Q96="",99999+89,$X95+1+$V95+$W95)</f>
        <v>100088</v>
      </c>
      <c r="Y96" t="str">
        <f>IF($Q96="","",INDEX(บันทึกรายเที่ยว!$Q$6:$Q$10005,$R96))</f>
        <v/>
      </c>
      <c r="Z96" t="str">
        <f>IF($Q96="","",INDEX(บันทึกรายเที่ยว!$F$6:$F$10005,$R96))</f>
        <v/>
      </c>
      <c r="AA96" t="str">
        <f>IFERROR(MATCH(89,$X$8:$X$407,1),"")</f>
        <v/>
      </c>
      <c r="AB96" t="str">
        <f>IF(89=$AD$1+1,"G",IF($AA96="","",IF(INDEX($Q$8:$Q$407,$AA96)="","",IF(89&gt;INDEX($X$8:$X$407,$AA96)+INDEX($V$8:$V$407,$AA96)+INDEX($W$8:$W$407,$AA96),"",IF(89=INDEX($X$8:$X$407,$AA96)+INDEX($V$8:$V$407,$AA96)+INDEX($W$8:$W$407,$AA96),"D",IF(AND(INDEX($W$8:$W$407,$AA96)=1,89=INDEX($X$8:$X$407,$AA96)+INDEX($V$8:$V$407,$AA96)),"S","R"))))))</f>
        <v/>
      </c>
      <c r="AC96" t="str">
        <f t="shared" si="25"/>
        <v/>
      </c>
      <c r="AE96">
        <f>IF($U96="",0,COUNTIF(บันทึกรายเที่ยว!$T$6:$T$10005,$U96))</f>
        <v>0</v>
      </c>
      <c r="AF96">
        <f>IF($U96="",0,ROUND(SUMIF(บันทึกรายเที่ยว!$T$6:$T$10005,$U96,บันทึกรายเที่ยว!$J$6:$J$10005),2))</f>
        <v>0</v>
      </c>
      <c r="AG96">
        <f>IF($U96="",0,ROUND(SUMIF(บันทึกรายเที่ยว!$T$6:$T$10005,$U96,บันทึกรายเที่ยว!$K$6:$K$10005),2))</f>
        <v>0</v>
      </c>
      <c r="AH96">
        <f>IF($U96="",0,ROUND(SUMIF(บันทึกรายเที่ยว!$T$6:$T$10005,$U96,บันทึกรายเที่ยว!$M$6:$M$10005),2))</f>
        <v>0</v>
      </c>
    </row>
    <row r="97" spans="1:34" ht="21" customHeight="1" x14ac:dyDescent="0.95">
      <c r="A97" s="3" t="str">
        <f t="shared" si="14"/>
        <v/>
      </c>
      <c r="B97" s="3" t="str">
        <f t="shared" si="15"/>
        <v/>
      </c>
      <c r="C97" s="8" t="str">
        <f t="shared" si="16"/>
        <v/>
      </c>
      <c r="D97" s="31" t="str">
        <f t="shared" si="17"/>
        <v/>
      </c>
      <c r="E97" s="32" t="str">
        <f>IF(90=$AD$1+3,"ขอแสดงความนับถือ",IF(90=$AD$1+6,"(                 )",IF(90=$AD$1+7,"เจ้าหน้าที่ขนส่ง",IF($AB97="G",SUM($AF$8:$AF$407),IF(OR($AB97="",$AB97="R"),"",IF($AB97="D",INDEX($AF$8:$AF$407,$AA97),SUMIF($T$8:$T$407,INDEX($T$8:$T$407,$AA97),$AF$8:$AF$407)))))))</f>
        <v/>
      </c>
      <c r="F97" s="32" t="str">
        <f t="shared" si="18"/>
        <v/>
      </c>
      <c r="G97" s="32" t="str">
        <f t="shared" si="19"/>
        <v/>
      </c>
      <c r="H97" s="32" t="str">
        <f t="shared" si="20"/>
        <v/>
      </c>
      <c r="J97" t="str">
        <f>IFERROR(MATCH(90,บันทึกรายเที่ยว!$W$6:$W$10005,0),"")</f>
        <v/>
      </c>
      <c r="K97" t="str">
        <f>IF($J97="","",INDEX(บันทึกรายเที่ยว!$T$6:$T$10005,$J97))</f>
        <v/>
      </c>
      <c r="L97" t="str">
        <f>IF($J97="","",INDEX(บันทึกรายเที่ยว!$S$6:$S$10005,$J97))</f>
        <v/>
      </c>
      <c r="M97" t="str">
        <f>IF($J97="","",INDEX(บันทึกรายเที่ยว!$R$6:$R$10005,$J97))</f>
        <v/>
      </c>
      <c r="N97" t="str">
        <f>IF($J97="","",MATCH($M97,บันทึกรายเที่ยว!$R$6:$R$10005,0))</f>
        <v/>
      </c>
      <c r="O97" t="str">
        <f>IF($J97="","",MATCH($L97,บันทึกรายเที่ยว!$S$6:$S$10005,0))</f>
        <v/>
      </c>
      <c r="P97" t="str">
        <f>IF($J97="","",IF(AND(OR($I$3="(ทั้งหมด)",INDEX(บันทึกรายเที่ยว!$C$6:$C$10005,$J97)=$I$3),OR($I$5="(ทั้งหมด)",INDEX(บันทึกรายเที่ยว!$D$6:$D$10005,$J97)=$I$5),OR($I$7="(ทั้งหมด)",INDEX(บันทึกรายเที่ยว!$F$6:$F$10005,$J97)=$I$7)),$N97*10000000+$O97*1000+90,""))</f>
        <v/>
      </c>
      <c r="Q97" t="str">
        <f>IFERROR(MATCH(SMALL($P$8:$P$407,90),$P$8:$P$407,0),"")</f>
        <v/>
      </c>
      <c r="R97" t="str">
        <f t="shared" si="21"/>
        <v/>
      </c>
      <c r="S97" t="str">
        <f t="shared" si="22"/>
        <v/>
      </c>
      <c r="T97" t="str">
        <f t="shared" si="23"/>
        <v/>
      </c>
      <c r="U97" t="str">
        <f t="shared" si="24"/>
        <v/>
      </c>
      <c r="V97">
        <f t="shared" si="26"/>
        <v>0</v>
      </c>
      <c r="W97">
        <f t="shared" si="27"/>
        <v>0</v>
      </c>
      <c r="X97">
        <f>IF($Q97="",99999+90,$X96+1+$V96+$W96)</f>
        <v>100089</v>
      </c>
      <c r="Y97" t="str">
        <f>IF($Q97="","",INDEX(บันทึกรายเที่ยว!$Q$6:$Q$10005,$R97))</f>
        <v/>
      </c>
      <c r="Z97" t="str">
        <f>IF($Q97="","",INDEX(บันทึกรายเที่ยว!$F$6:$F$10005,$R97))</f>
        <v/>
      </c>
      <c r="AA97" t="str">
        <f>IFERROR(MATCH(90,$X$8:$X$407,1),"")</f>
        <v/>
      </c>
      <c r="AB97" t="str">
        <f>IF(90=$AD$1+1,"G",IF($AA97="","",IF(INDEX($Q$8:$Q$407,$AA97)="","",IF(90&gt;INDEX($X$8:$X$407,$AA97)+INDEX($V$8:$V$407,$AA97)+INDEX($W$8:$W$407,$AA97),"",IF(90=INDEX($X$8:$X$407,$AA97)+INDEX($V$8:$V$407,$AA97)+INDEX($W$8:$W$407,$AA97),"D",IF(AND(INDEX($W$8:$W$407,$AA97)=1,90=INDEX($X$8:$X$407,$AA97)+INDEX($V$8:$V$407,$AA97)),"S","R"))))))</f>
        <v/>
      </c>
      <c r="AC97" t="str">
        <f t="shared" si="25"/>
        <v/>
      </c>
      <c r="AE97">
        <f>IF($U97="",0,COUNTIF(บันทึกรายเที่ยว!$T$6:$T$10005,$U97))</f>
        <v>0</v>
      </c>
      <c r="AF97">
        <f>IF($U97="",0,ROUND(SUMIF(บันทึกรายเที่ยว!$T$6:$T$10005,$U97,บันทึกรายเที่ยว!$J$6:$J$10005),2))</f>
        <v>0</v>
      </c>
      <c r="AG97">
        <f>IF($U97="",0,ROUND(SUMIF(บันทึกรายเที่ยว!$T$6:$T$10005,$U97,บันทึกรายเที่ยว!$K$6:$K$10005),2))</f>
        <v>0</v>
      </c>
      <c r="AH97">
        <f>IF($U97="",0,ROUND(SUMIF(บันทึกรายเที่ยว!$T$6:$T$10005,$U97,บันทึกรายเที่ยว!$M$6:$M$10005),2))</f>
        <v>0</v>
      </c>
    </row>
    <row r="98" spans="1:34" ht="21" customHeight="1" x14ac:dyDescent="0.95">
      <c r="A98" s="3" t="str">
        <f t="shared" si="14"/>
        <v/>
      </c>
      <c r="B98" s="3" t="str">
        <f t="shared" si="15"/>
        <v/>
      </c>
      <c r="C98" s="8" t="str">
        <f t="shared" si="16"/>
        <v/>
      </c>
      <c r="D98" s="31" t="str">
        <f t="shared" si="17"/>
        <v/>
      </c>
      <c r="E98" s="32" t="str">
        <f>IF(91=$AD$1+3,"ขอแสดงความนับถือ",IF(91=$AD$1+6,"(                 )",IF(91=$AD$1+7,"เจ้าหน้าที่ขนส่ง",IF($AB98="G",SUM($AF$8:$AF$407),IF(OR($AB98="",$AB98="R"),"",IF($AB98="D",INDEX($AF$8:$AF$407,$AA98),SUMIF($T$8:$T$407,INDEX($T$8:$T$407,$AA98),$AF$8:$AF$407)))))))</f>
        <v/>
      </c>
      <c r="F98" s="32" t="str">
        <f t="shared" si="18"/>
        <v/>
      </c>
      <c r="G98" s="32" t="str">
        <f t="shared" si="19"/>
        <v/>
      </c>
      <c r="H98" s="32" t="str">
        <f t="shared" si="20"/>
        <v/>
      </c>
      <c r="J98" t="str">
        <f>IFERROR(MATCH(91,บันทึกรายเที่ยว!$W$6:$W$10005,0),"")</f>
        <v/>
      </c>
      <c r="K98" t="str">
        <f>IF($J98="","",INDEX(บันทึกรายเที่ยว!$T$6:$T$10005,$J98))</f>
        <v/>
      </c>
      <c r="L98" t="str">
        <f>IF($J98="","",INDEX(บันทึกรายเที่ยว!$S$6:$S$10005,$J98))</f>
        <v/>
      </c>
      <c r="M98" t="str">
        <f>IF($J98="","",INDEX(บันทึกรายเที่ยว!$R$6:$R$10005,$J98))</f>
        <v/>
      </c>
      <c r="N98" t="str">
        <f>IF($J98="","",MATCH($M98,บันทึกรายเที่ยว!$R$6:$R$10005,0))</f>
        <v/>
      </c>
      <c r="O98" t="str">
        <f>IF($J98="","",MATCH($L98,บันทึกรายเที่ยว!$S$6:$S$10005,0))</f>
        <v/>
      </c>
      <c r="P98" t="str">
        <f>IF($J98="","",IF(AND(OR($I$3="(ทั้งหมด)",INDEX(บันทึกรายเที่ยว!$C$6:$C$10005,$J98)=$I$3),OR($I$5="(ทั้งหมด)",INDEX(บันทึกรายเที่ยว!$D$6:$D$10005,$J98)=$I$5),OR($I$7="(ทั้งหมด)",INDEX(บันทึกรายเที่ยว!$F$6:$F$10005,$J98)=$I$7)),$N98*10000000+$O98*1000+91,""))</f>
        <v/>
      </c>
      <c r="Q98" t="str">
        <f>IFERROR(MATCH(SMALL($P$8:$P$407,91),$P$8:$P$407,0),"")</f>
        <v/>
      </c>
      <c r="R98" t="str">
        <f t="shared" si="21"/>
        <v/>
      </c>
      <c r="S98" t="str">
        <f t="shared" si="22"/>
        <v/>
      </c>
      <c r="T98" t="str">
        <f t="shared" si="23"/>
        <v/>
      </c>
      <c r="U98" t="str">
        <f t="shared" si="24"/>
        <v/>
      </c>
      <c r="V98">
        <f t="shared" si="26"/>
        <v>0</v>
      </c>
      <c r="W98">
        <f t="shared" si="27"/>
        <v>0</v>
      </c>
      <c r="X98">
        <f>IF($Q98="",99999+91,$X97+1+$V97+$W97)</f>
        <v>100090</v>
      </c>
      <c r="Y98" t="str">
        <f>IF($Q98="","",INDEX(บันทึกรายเที่ยว!$Q$6:$Q$10005,$R98))</f>
        <v/>
      </c>
      <c r="Z98" t="str">
        <f>IF($Q98="","",INDEX(บันทึกรายเที่ยว!$F$6:$F$10005,$R98))</f>
        <v/>
      </c>
      <c r="AA98" t="str">
        <f>IFERROR(MATCH(91,$X$8:$X$407,1),"")</f>
        <v/>
      </c>
      <c r="AB98" t="str">
        <f>IF(91=$AD$1+1,"G",IF($AA98="","",IF(INDEX($Q$8:$Q$407,$AA98)="","",IF(91&gt;INDEX($X$8:$X$407,$AA98)+INDEX($V$8:$V$407,$AA98)+INDEX($W$8:$W$407,$AA98),"",IF(91=INDEX($X$8:$X$407,$AA98)+INDEX($V$8:$V$407,$AA98)+INDEX($W$8:$W$407,$AA98),"D",IF(AND(INDEX($W$8:$W$407,$AA98)=1,91=INDEX($X$8:$X$407,$AA98)+INDEX($V$8:$V$407,$AA98)),"S","R"))))))</f>
        <v/>
      </c>
      <c r="AC98" t="str">
        <f t="shared" si="25"/>
        <v/>
      </c>
      <c r="AE98">
        <f>IF($U98="",0,COUNTIF(บันทึกรายเที่ยว!$T$6:$T$10005,$U98))</f>
        <v>0</v>
      </c>
      <c r="AF98">
        <f>IF($U98="",0,ROUND(SUMIF(บันทึกรายเที่ยว!$T$6:$T$10005,$U98,บันทึกรายเที่ยว!$J$6:$J$10005),2))</f>
        <v>0</v>
      </c>
      <c r="AG98">
        <f>IF($U98="",0,ROUND(SUMIF(บันทึกรายเที่ยว!$T$6:$T$10005,$U98,บันทึกรายเที่ยว!$K$6:$K$10005),2))</f>
        <v>0</v>
      </c>
      <c r="AH98">
        <f>IF($U98="",0,ROUND(SUMIF(บันทึกรายเที่ยว!$T$6:$T$10005,$U98,บันทึกรายเที่ยว!$M$6:$M$10005),2))</f>
        <v>0</v>
      </c>
    </row>
    <row r="99" spans="1:34" ht="21" customHeight="1" x14ac:dyDescent="0.95">
      <c r="A99" s="3" t="str">
        <f t="shared" si="14"/>
        <v/>
      </c>
      <c r="B99" s="3" t="str">
        <f t="shared" si="15"/>
        <v/>
      </c>
      <c r="C99" s="8" t="str">
        <f t="shared" si="16"/>
        <v/>
      </c>
      <c r="D99" s="31" t="str">
        <f t="shared" si="17"/>
        <v/>
      </c>
      <c r="E99" s="32" t="str">
        <f>IF(92=$AD$1+3,"ขอแสดงความนับถือ",IF(92=$AD$1+6,"(                 )",IF(92=$AD$1+7,"เจ้าหน้าที่ขนส่ง",IF($AB99="G",SUM($AF$8:$AF$407),IF(OR($AB99="",$AB99="R"),"",IF($AB99="D",INDEX($AF$8:$AF$407,$AA99),SUMIF($T$8:$T$407,INDEX($T$8:$T$407,$AA99),$AF$8:$AF$407)))))))</f>
        <v/>
      </c>
      <c r="F99" s="32" t="str">
        <f t="shared" si="18"/>
        <v/>
      </c>
      <c r="G99" s="32" t="str">
        <f t="shared" si="19"/>
        <v/>
      </c>
      <c r="H99" s="32" t="str">
        <f t="shared" si="20"/>
        <v/>
      </c>
      <c r="J99" t="str">
        <f>IFERROR(MATCH(92,บันทึกรายเที่ยว!$W$6:$W$10005,0),"")</f>
        <v/>
      </c>
      <c r="K99" t="str">
        <f>IF($J99="","",INDEX(บันทึกรายเที่ยว!$T$6:$T$10005,$J99))</f>
        <v/>
      </c>
      <c r="L99" t="str">
        <f>IF($J99="","",INDEX(บันทึกรายเที่ยว!$S$6:$S$10005,$J99))</f>
        <v/>
      </c>
      <c r="M99" t="str">
        <f>IF($J99="","",INDEX(บันทึกรายเที่ยว!$R$6:$R$10005,$J99))</f>
        <v/>
      </c>
      <c r="N99" t="str">
        <f>IF($J99="","",MATCH($M99,บันทึกรายเที่ยว!$R$6:$R$10005,0))</f>
        <v/>
      </c>
      <c r="O99" t="str">
        <f>IF($J99="","",MATCH($L99,บันทึกรายเที่ยว!$S$6:$S$10005,0))</f>
        <v/>
      </c>
      <c r="P99" t="str">
        <f>IF($J99="","",IF(AND(OR($I$3="(ทั้งหมด)",INDEX(บันทึกรายเที่ยว!$C$6:$C$10005,$J99)=$I$3),OR($I$5="(ทั้งหมด)",INDEX(บันทึกรายเที่ยว!$D$6:$D$10005,$J99)=$I$5),OR($I$7="(ทั้งหมด)",INDEX(บันทึกรายเที่ยว!$F$6:$F$10005,$J99)=$I$7)),$N99*10000000+$O99*1000+92,""))</f>
        <v/>
      </c>
      <c r="Q99" t="str">
        <f>IFERROR(MATCH(SMALL($P$8:$P$407,92),$P$8:$P$407,0),"")</f>
        <v/>
      </c>
      <c r="R99" t="str">
        <f t="shared" si="21"/>
        <v/>
      </c>
      <c r="S99" t="str">
        <f t="shared" si="22"/>
        <v/>
      </c>
      <c r="T99" t="str">
        <f t="shared" si="23"/>
        <v/>
      </c>
      <c r="U99" t="str">
        <f t="shared" si="24"/>
        <v/>
      </c>
      <c r="V99">
        <f t="shared" si="26"/>
        <v>0</v>
      </c>
      <c r="W99">
        <f t="shared" si="27"/>
        <v>0</v>
      </c>
      <c r="X99">
        <f>IF($Q99="",99999+92,$X98+1+$V98+$W98)</f>
        <v>100091</v>
      </c>
      <c r="Y99" t="str">
        <f>IF($Q99="","",INDEX(บันทึกรายเที่ยว!$Q$6:$Q$10005,$R99))</f>
        <v/>
      </c>
      <c r="Z99" t="str">
        <f>IF($Q99="","",INDEX(บันทึกรายเที่ยว!$F$6:$F$10005,$R99))</f>
        <v/>
      </c>
      <c r="AA99" t="str">
        <f>IFERROR(MATCH(92,$X$8:$X$407,1),"")</f>
        <v/>
      </c>
      <c r="AB99" t="str">
        <f>IF(92=$AD$1+1,"G",IF($AA99="","",IF(INDEX($Q$8:$Q$407,$AA99)="","",IF(92&gt;INDEX($X$8:$X$407,$AA99)+INDEX($V$8:$V$407,$AA99)+INDEX($W$8:$W$407,$AA99),"",IF(92=INDEX($X$8:$X$407,$AA99)+INDEX($V$8:$V$407,$AA99)+INDEX($W$8:$W$407,$AA99),"D",IF(AND(INDEX($W$8:$W$407,$AA99)=1,92=INDEX($X$8:$X$407,$AA99)+INDEX($V$8:$V$407,$AA99)),"S","R"))))))</f>
        <v/>
      </c>
      <c r="AC99" t="str">
        <f t="shared" si="25"/>
        <v/>
      </c>
      <c r="AE99">
        <f>IF($U99="",0,COUNTIF(บันทึกรายเที่ยว!$T$6:$T$10005,$U99))</f>
        <v>0</v>
      </c>
      <c r="AF99">
        <f>IF($U99="",0,ROUND(SUMIF(บันทึกรายเที่ยว!$T$6:$T$10005,$U99,บันทึกรายเที่ยว!$J$6:$J$10005),2))</f>
        <v>0</v>
      </c>
      <c r="AG99">
        <f>IF($U99="",0,ROUND(SUMIF(บันทึกรายเที่ยว!$T$6:$T$10005,$U99,บันทึกรายเที่ยว!$K$6:$K$10005),2))</f>
        <v>0</v>
      </c>
      <c r="AH99">
        <f>IF($U99="",0,ROUND(SUMIF(บันทึกรายเที่ยว!$T$6:$T$10005,$U99,บันทึกรายเที่ยว!$M$6:$M$10005),2))</f>
        <v>0</v>
      </c>
    </row>
    <row r="100" spans="1:34" ht="21" customHeight="1" x14ac:dyDescent="0.95">
      <c r="A100" s="3" t="str">
        <f t="shared" si="14"/>
        <v/>
      </c>
      <c r="B100" s="3" t="str">
        <f t="shared" si="15"/>
        <v/>
      </c>
      <c r="C100" s="8" t="str">
        <f t="shared" si="16"/>
        <v/>
      </c>
      <c r="D100" s="31" t="str">
        <f t="shared" si="17"/>
        <v/>
      </c>
      <c r="E100" s="32" t="str">
        <f>IF(93=$AD$1+3,"ขอแสดงความนับถือ",IF(93=$AD$1+6,"(                 )",IF(93=$AD$1+7,"เจ้าหน้าที่ขนส่ง",IF($AB100="G",SUM($AF$8:$AF$407),IF(OR($AB100="",$AB100="R"),"",IF($AB100="D",INDEX($AF$8:$AF$407,$AA100),SUMIF($T$8:$T$407,INDEX($T$8:$T$407,$AA100),$AF$8:$AF$407)))))))</f>
        <v/>
      </c>
      <c r="F100" s="32" t="str">
        <f t="shared" si="18"/>
        <v/>
      </c>
      <c r="G100" s="32" t="str">
        <f t="shared" si="19"/>
        <v/>
      </c>
      <c r="H100" s="32" t="str">
        <f t="shared" si="20"/>
        <v/>
      </c>
      <c r="J100" t="str">
        <f>IFERROR(MATCH(93,บันทึกรายเที่ยว!$W$6:$W$10005,0),"")</f>
        <v/>
      </c>
      <c r="K100" t="str">
        <f>IF($J100="","",INDEX(บันทึกรายเที่ยว!$T$6:$T$10005,$J100))</f>
        <v/>
      </c>
      <c r="L100" t="str">
        <f>IF($J100="","",INDEX(บันทึกรายเที่ยว!$S$6:$S$10005,$J100))</f>
        <v/>
      </c>
      <c r="M100" t="str">
        <f>IF($J100="","",INDEX(บันทึกรายเที่ยว!$R$6:$R$10005,$J100))</f>
        <v/>
      </c>
      <c r="N100" t="str">
        <f>IF($J100="","",MATCH($M100,บันทึกรายเที่ยว!$R$6:$R$10005,0))</f>
        <v/>
      </c>
      <c r="O100" t="str">
        <f>IF($J100="","",MATCH($L100,บันทึกรายเที่ยว!$S$6:$S$10005,0))</f>
        <v/>
      </c>
      <c r="P100" t="str">
        <f>IF($J100="","",IF(AND(OR($I$3="(ทั้งหมด)",INDEX(บันทึกรายเที่ยว!$C$6:$C$10005,$J100)=$I$3),OR($I$5="(ทั้งหมด)",INDEX(บันทึกรายเที่ยว!$D$6:$D$10005,$J100)=$I$5),OR($I$7="(ทั้งหมด)",INDEX(บันทึกรายเที่ยว!$F$6:$F$10005,$J100)=$I$7)),$N100*10000000+$O100*1000+93,""))</f>
        <v/>
      </c>
      <c r="Q100" t="str">
        <f>IFERROR(MATCH(SMALL($P$8:$P$407,93),$P$8:$P$407,0),"")</f>
        <v/>
      </c>
      <c r="R100" t="str">
        <f t="shared" si="21"/>
        <v/>
      </c>
      <c r="S100" t="str">
        <f t="shared" si="22"/>
        <v/>
      </c>
      <c r="T100" t="str">
        <f t="shared" si="23"/>
        <v/>
      </c>
      <c r="U100" t="str">
        <f t="shared" si="24"/>
        <v/>
      </c>
      <c r="V100">
        <f t="shared" si="26"/>
        <v>0</v>
      </c>
      <c r="W100">
        <f t="shared" si="27"/>
        <v>0</v>
      </c>
      <c r="X100">
        <f>IF($Q100="",99999+93,$X99+1+$V99+$W99)</f>
        <v>100092</v>
      </c>
      <c r="Y100" t="str">
        <f>IF($Q100="","",INDEX(บันทึกรายเที่ยว!$Q$6:$Q$10005,$R100))</f>
        <v/>
      </c>
      <c r="Z100" t="str">
        <f>IF($Q100="","",INDEX(บันทึกรายเที่ยว!$F$6:$F$10005,$R100))</f>
        <v/>
      </c>
      <c r="AA100" t="str">
        <f>IFERROR(MATCH(93,$X$8:$X$407,1),"")</f>
        <v/>
      </c>
      <c r="AB100" t="str">
        <f>IF(93=$AD$1+1,"G",IF($AA100="","",IF(INDEX($Q$8:$Q$407,$AA100)="","",IF(93&gt;INDEX($X$8:$X$407,$AA100)+INDEX($V$8:$V$407,$AA100)+INDEX($W$8:$W$407,$AA100),"",IF(93=INDEX($X$8:$X$407,$AA100)+INDEX($V$8:$V$407,$AA100)+INDEX($W$8:$W$407,$AA100),"D",IF(AND(INDEX($W$8:$W$407,$AA100)=1,93=INDEX($X$8:$X$407,$AA100)+INDEX($V$8:$V$407,$AA100)),"S","R"))))))</f>
        <v/>
      </c>
      <c r="AC100" t="str">
        <f t="shared" si="25"/>
        <v/>
      </c>
      <c r="AE100">
        <f>IF($U100="",0,COUNTIF(บันทึกรายเที่ยว!$T$6:$T$10005,$U100))</f>
        <v>0</v>
      </c>
      <c r="AF100">
        <f>IF($U100="",0,ROUND(SUMIF(บันทึกรายเที่ยว!$T$6:$T$10005,$U100,บันทึกรายเที่ยว!$J$6:$J$10005),2))</f>
        <v>0</v>
      </c>
      <c r="AG100">
        <f>IF($U100="",0,ROUND(SUMIF(บันทึกรายเที่ยว!$T$6:$T$10005,$U100,บันทึกรายเที่ยว!$K$6:$K$10005),2))</f>
        <v>0</v>
      </c>
      <c r="AH100">
        <f>IF($U100="",0,ROUND(SUMIF(บันทึกรายเที่ยว!$T$6:$T$10005,$U100,บันทึกรายเที่ยว!$M$6:$M$10005),2))</f>
        <v>0</v>
      </c>
    </row>
    <row r="101" spans="1:34" ht="21" customHeight="1" x14ac:dyDescent="0.95">
      <c r="A101" s="3" t="str">
        <f t="shared" si="14"/>
        <v/>
      </c>
      <c r="B101" s="3" t="str">
        <f t="shared" si="15"/>
        <v/>
      </c>
      <c r="C101" s="8" t="str">
        <f t="shared" si="16"/>
        <v/>
      </c>
      <c r="D101" s="31" t="str">
        <f t="shared" si="17"/>
        <v/>
      </c>
      <c r="E101" s="32" t="str">
        <f>IF(94=$AD$1+3,"ขอแสดงความนับถือ",IF(94=$AD$1+6,"(                 )",IF(94=$AD$1+7,"เจ้าหน้าที่ขนส่ง",IF($AB101="G",SUM($AF$8:$AF$407),IF(OR($AB101="",$AB101="R"),"",IF($AB101="D",INDEX($AF$8:$AF$407,$AA101),SUMIF($T$8:$T$407,INDEX($T$8:$T$407,$AA101),$AF$8:$AF$407)))))))</f>
        <v/>
      </c>
      <c r="F101" s="32" t="str">
        <f t="shared" si="18"/>
        <v/>
      </c>
      <c r="G101" s="32" t="str">
        <f t="shared" si="19"/>
        <v/>
      </c>
      <c r="H101" s="32" t="str">
        <f t="shared" si="20"/>
        <v/>
      </c>
      <c r="J101" t="str">
        <f>IFERROR(MATCH(94,บันทึกรายเที่ยว!$W$6:$W$10005,0),"")</f>
        <v/>
      </c>
      <c r="K101" t="str">
        <f>IF($J101="","",INDEX(บันทึกรายเที่ยว!$T$6:$T$10005,$J101))</f>
        <v/>
      </c>
      <c r="L101" t="str">
        <f>IF($J101="","",INDEX(บันทึกรายเที่ยว!$S$6:$S$10005,$J101))</f>
        <v/>
      </c>
      <c r="M101" t="str">
        <f>IF($J101="","",INDEX(บันทึกรายเที่ยว!$R$6:$R$10005,$J101))</f>
        <v/>
      </c>
      <c r="N101" t="str">
        <f>IF($J101="","",MATCH($M101,บันทึกรายเที่ยว!$R$6:$R$10005,0))</f>
        <v/>
      </c>
      <c r="O101" t="str">
        <f>IF($J101="","",MATCH($L101,บันทึกรายเที่ยว!$S$6:$S$10005,0))</f>
        <v/>
      </c>
      <c r="P101" t="str">
        <f>IF($J101="","",IF(AND(OR($I$3="(ทั้งหมด)",INDEX(บันทึกรายเที่ยว!$C$6:$C$10005,$J101)=$I$3),OR($I$5="(ทั้งหมด)",INDEX(บันทึกรายเที่ยว!$D$6:$D$10005,$J101)=$I$5),OR($I$7="(ทั้งหมด)",INDEX(บันทึกรายเที่ยว!$F$6:$F$10005,$J101)=$I$7)),$N101*10000000+$O101*1000+94,""))</f>
        <v/>
      </c>
      <c r="Q101" t="str">
        <f>IFERROR(MATCH(SMALL($P$8:$P$407,94),$P$8:$P$407,0),"")</f>
        <v/>
      </c>
      <c r="R101" t="str">
        <f t="shared" si="21"/>
        <v/>
      </c>
      <c r="S101" t="str">
        <f t="shared" si="22"/>
        <v/>
      </c>
      <c r="T101" t="str">
        <f t="shared" si="23"/>
        <v/>
      </c>
      <c r="U101" t="str">
        <f t="shared" si="24"/>
        <v/>
      </c>
      <c r="V101">
        <f t="shared" si="26"/>
        <v>0</v>
      </c>
      <c r="W101">
        <f t="shared" si="27"/>
        <v>0</v>
      </c>
      <c r="X101">
        <f>IF($Q101="",99999+94,$X100+1+$V100+$W100)</f>
        <v>100093</v>
      </c>
      <c r="Y101" t="str">
        <f>IF($Q101="","",INDEX(บันทึกรายเที่ยว!$Q$6:$Q$10005,$R101))</f>
        <v/>
      </c>
      <c r="Z101" t="str">
        <f>IF($Q101="","",INDEX(บันทึกรายเที่ยว!$F$6:$F$10005,$R101))</f>
        <v/>
      </c>
      <c r="AA101" t="str">
        <f>IFERROR(MATCH(94,$X$8:$X$407,1),"")</f>
        <v/>
      </c>
      <c r="AB101" t="str">
        <f>IF(94=$AD$1+1,"G",IF($AA101="","",IF(INDEX($Q$8:$Q$407,$AA101)="","",IF(94&gt;INDEX($X$8:$X$407,$AA101)+INDEX($V$8:$V$407,$AA101)+INDEX($W$8:$W$407,$AA101),"",IF(94=INDEX($X$8:$X$407,$AA101)+INDEX($V$8:$V$407,$AA101)+INDEX($W$8:$W$407,$AA101),"D",IF(AND(INDEX($W$8:$W$407,$AA101)=1,94=INDEX($X$8:$X$407,$AA101)+INDEX($V$8:$V$407,$AA101)),"S","R"))))))</f>
        <v/>
      </c>
      <c r="AC101" t="str">
        <f t="shared" si="25"/>
        <v/>
      </c>
      <c r="AE101">
        <f>IF($U101="",0,COUNTIF(บันทึกรายเที่ยว!$T$6:$T$10005,$U101))</f>
        <v>0</v>
      </c>
      <c r="AF101">
        <f>IF($U101="",0,ROUND(SUMIF(บันทึกรายเที่ยว!$T$6:$T$10005,$U101,บันทึกรายเที่ยว!$J$6:$J$10005),2))</f>
        <v>0</v>
      </c>
      <c r="AG101">
        <f>IF($U101="",0,ROUND(SUMIF(บันทึกรายเที่ยว!$T$6:$T$10005,$U101,บันทึกรายเที่ยว!$K$6:$K$10005),2))</f>
        <v>0</v>
      </c>
      <c r="AH101">
        <f>IF($U101="",0,ROUND(SUMIF(บันทึกรายเที่ยว!$T$6:$T$10005,$U101,บันทึกรายเที่ยว!$M$6:$M$10005),2))</f>
        <v>0</v>
      </c>
    </row>
    <row r="102" spans="1:34" ht="21" customHeight="1" x14ac:dyDescent="0.95">
      <c r="A102" s="3" t="str">
        <f t="shared" si="14"/>
        <v/>
      </c>
      <c r="B102" s="3" t="str">
        <f t="shared" si="15"/>
        <v/>
      </c>
      <c r="C102" s="8" t="str">
        <f t="shared" si="16"/>
        <v/>
      </c>
      <c r="D102" s="31" t="str">
        <f t="shared" si="17"/>
        <v/>
      </c>
      <c r="E102" s="32" t="str">
        <f>IF(95=$AD$1+3,"ขอแสดงความนับถือ",IF(95=$AD$1+6,"(                 )",IF(95=$AD$1+7,"เจ้าหน้าที่ขนส่ง",IF($AB102="G",SUM($AF$8:$AF$407),IF(OR($AB102="",$AB102="R"),"",IF($AB102="D",INDEX($AF$8:$AF$407,$AA102),SUMIF($T$8:$T$407,INDEX($T$8:$T$407,$AA102),$AF$8:$AF$407)))))))</f>
        <v/>
      </c>
      <c r="F102" s="32" t="str">
        <f t="shared" si="18"/>
        <v/>
      </c>
      <c r="G102" s="32" t="str">
        <f t="shared" si="19"/>
        <v/>
      </c>
      <c r="H102" s="32" t="str">
        <f t="shared" si="20"/>
        <v/>
      </c>
      <c r="J102" t="str">
        <f>IFERROR(MATCH(95,บันทึกรายเที่ยว!$W$6:$W$10005,0),"")</f>
        <v/>
      </c>
      <c r="K102" t="str">
        <f>IF($J102="","",INDEX(บันทึกรายเที่ยว!$T$6:$T$10005,$J102))</f>
        <v/>
      </c>
      <c r="L102" t="str">
        <f>IF($J102="","",INDEX(บันทึกรายเที่ยว!$S$6:$S$10005,$J102))</f>
        <v/>
      </c>
      <c r="M102" t="str">
        <f>IF($J102="","",INDEX(บันทึกรายเที่ยว!$R$6:$R$10005,$J102))</f>
        <v/>
      </c>
      <c r="N102" t="str">
        <f>IF($J102="","",MATCH($M102,บันทึกรายเที่ยว!$R$6:$R$10005,0))</f>
        <v/>
      </c>
      <c r="O102" t="str">
        <f>IF($J102="","",MATCH($L102,บันทึกรายเที่ยว!$S$6:$S$10005,0))</f>
        <v/>
      </c>
      <c r="P102" t="str">
        <f>IF($J102="","",IF(AND(OR($I$3="(ทั้งหมด)",INDEX(บันทึกรายเที่ยว!$C$6:$C$10005,$J102)=$I$3),OR($I$5="(ทั้งหมด)",INDEX(บันทึกรายเที่ยว!$D$6:$D$10005,$J102)=$I$5),OR($I$7="(ทั้งหมด)",INDEX(บันทึกรายเที่ยว!$F$6:$F$10005,$J102)=$I$7)),$N102*10000000+$O102*1000+95,""))</f>
        <v/>
      </c>
      <c r="Q102" t="str">
        <f>IFERROR(MATCH(SMALL($P$8:$P$407,95),$P$8:$P$407,0),"")</f>
        <v/>
      </c>
      <c r="R102" t="str">
        <f t="shared" si="21"/>
        <v/>
      </c>
      <c r="S102" t="str">
        <f t="shared" si="22"/>
        <v/>
      </c>
      <c r="T102" t="str">
        <f t="shared" si="23"/>
        <v/>
      </c>
      <c r="U102" t="str">
        <f t="shared" si="24"/>
        <v/>
      </c>
      <c r="V102">
        <f t="shared" si="26"/>
        <v>0</v>
      </c>
      <c r="W102">
        <f t="shared" si="27"/>
        <v>0</v>
      </c>
      <c r="X102">
        <f>IF($Q102="",99999+95,$X101+1+$V101+$W101)</f>
        <v>100094</v>
      </c>
      <c r="Y102" t="str">
        <f>IF($Q102="","",INDEX(บันทึกรายเที่ยว!$Q$6:$Q$10005,$R102))</f>
        <v/>
      </c>
      <c r="Z102" t="str">
        <f>IF($Q102="","",INDEX(บันทึกรายเที่ยว!$F$6:$F$10005,$R102))</f>
        <v/>
      </c>
      <c r="AA102" t="str">
        <f>IFERROR(MATCH(95,$X$8:$X$407,1),"")</f>
        <v/>
      </c>
      <c r="AB102" t="str">
        <f>IF(95=$AD$1+1,"G",IF($AA102="","",IF(INDEX($Q$8:$Q$407,$AA102)="","",IF(95&gt;INDEX($X$8:$X$407,$AA102)+INDEX($V$8:$V$407,$AA102)+INDEX($W$8:$W$407,$AA102),"",IF(95=INDEX($X$8:$X$407,$AA102)+INDEX($V$8:$V$407,$AA102)+INDEX($W$8:$W$407,$AA102),"D",IF(AND(INDEX($W$8:$W$407,$AA102)=1,95=INDEX($X$8:$X$407,$AA102)+INDEX($V$8:$V$407,$AA102)),"S","R"))))))</f>
        <v/>
      </c>
      <c r="AC102" t="str">
        <f t="shared" si="25"/>
        <v/>
      </c>
      <c r="AE102">
        <f>IF($U102="",0,COUNTIF(บันทึกรายเที่ยว!$T$6:$T$10005,$U102))</f>
        <v>0</v>
      </c>
      <c r="AF102">
        <f>IF($U102="",0,ROUND(SUMIF(บันทึกรายเที่ยว!$T$6:$T$10005,$U102,บันทึกรายเที่ยว!$J$6:$J$10005),2))</f>
        <v>0</v>
      </c>
      <c r="AG102">
        <f>IF($U102="",0,ROUND(SUMIF(บันทึกรายเที่ยว!$T$6:$T$10005,$U102,บันทึกรายเที่ยว!$K$6:$K$10005),2))</f>
        <v>0</v>
      </c>
      <c r="AH102">
        <f>IF($U102="",0,ROUND(SUMIF(บันทึกรายเที่ยว!$T$6:$T$10005,$U102,บันทึกรายเที่ยว!$M$6:$M$10005),2))</f>
        <v>0</v>
      </c>
    </row>
    <row r="103" spans="1:34" ht="21" customHeight="1" x14ac:dyDescent="0.95">
      <c r="A103" s="3" t="str">
        <f t="shared" si="14"/>
        <v/>
      </c>
      <c r="B103" s="3" t="str">
        <f t="shared" si="15"/>
        <v/>
      </c>
      <c r="C103" s="8" t="str">
        <f t="shared" si="16"/>
        <v/>
      </c>
      <c r="D103" s="31" t="str">
        <f t="shared" si="17"/>
        <v/>
      </c>
      <c r="E103" s="32" t="str">
        <f>IF(96=$AD$1+3,"ขอแสดงความนับถือ",IF(96=$AD$1+6,"(                 )",IF(96=$AD$1+7,"เจ้าหน้าที่ขนส่ง",IF($AB103="G",SUM($AF$8:$AF$407),IF(OR($AB103="",$AB103="R"),"",IF($AB103="D",INDEX($AF$8:$AF$407,$AA103),SUMIF($T$8:$T$407,INDEX($T$8:$T$407,$AA103),$AF$8:$AF$407)))))))</f>
        <v/>
      </c>
      <c r="F103" s="32" t="str">
        <f t="shared" si="18"/>
        <v/>
      </c>
      <c r="G103" s="32" t="str">
        <f t="shared" si="19"/>
        <v/>
      </c>
      <c r="H103" s="32" t="str">
        <f t="shared" si="20"/>
        <v/>
      </c>
      <c r="J103" t="str">
        <f>IFERROR(MATCH(96,บันทึกรายเที่ยว!$W$6:$W$10005,0),"")</f>
        <v/>
      </c>
      <c r="K103" t="str">
        <f>IF($J103="","",INDEX(บันทึกรายเที่ยว!$T$6:$T$10005,$J103))</f>
        <v/>
      </c>
      <c r="L103" t="str">
        <f>IF($J103="","",INDEX(บันทึกรายเที่ยว!$S$6:$S$10005,$J103))</f>
        <v/>
      </c>
      <c r="M103" t="str">
        <f>IF($J103="","",INDEX(บันทึกรายเที่ยว!$R$6:$R$10005,$J103))</f>
        <v/>
      </c>
      <c r="N103" t="str">
        <f>IF($J103="","",MATCH($M103,บันทึกรายเที่ยว!$R$6:$R$10005,0))</f>
        <v/>
      </c>
      <c r="O103" t="str">
        <f>IF($J103="","",MATCH($L103,บันทึกรายเที่ยว!$S$6:$S$10005,0))</f>
        <v/>
      </c>
      <c r="P103" t="str">
        <f>IF($J103="","",IF(AND(OR($I$3="(ทั้งหมด)",INDEX(บันทึกรายเที่ยว!$C$6:$C$10005,$J103)=$I$3),OR($I$5="(ทั้งหมด)",INDEX(บันทึกรายเที่ยว!$D$6:$D$10005,$J103)=$I$5),OR($I$7="(ทั้งหมด)",INDEX(บันทึกรายเที่ยว!$F$6:$F$10005,$J103)=$I$7)),$N103*10000000+$O103*1000+96,""))</f>
        <v/>
      </c>
      <c r="Q103" t="str">
        <f>IFERROR(MATCH(SMALL($P$8:$P$407,96),$P$8:$P$407,0),"")</f>
        <v/>
      </c>
      <c r="R103" t="str">
        <f t="shared" si="21"/>
        <v/>
      </c>
      <c r="S103" t="str">
        <f t="shared" si="22"/>
        <v/>
      </c>
      <c r="T103" t="str">
        <f t="shared" si="23"/>
        <v/>
      </c>
      <c r="U103" t="str">
        <f t="shared" si="24"/>
        <v/>
      </c>
      <c r="V103">
        <f t="shared" si="26"/>
        <v>0</v>
      </c>
      <c r="W103">
        <f t="shared" si="27"/>
        <v>0</v>
      </c>
      <c r="X103">
        <f>IF($Q103="",99999+96,$X102+1+$V102+$W102)</f>
        <v>100095</v>
      </c>
      <c r="Y103" t="str">
        <f>IF($Q103="","",INDEX(บันทึกรายเที่ยว!$Q$6:$Q$10005,$R103))</f>
        <v/>
      </c>
      <c r="Z103" t="str">
        <f>IF($Q103="","",INDEX(บันทึกรายเที่ยว!$F$6:$F$10005,$R103))</f>
        <v/>
      </c>
      <c r="AA103" t="str">
        <f>IFERROR(MATCH(96,$X$8:$X$407,1),"")</f>
        <v/>
      </c>
      <c r="AB103" t="str">
        <f>IF(96=$AD$1+1,"G",IF($AA103="","",IF(INDEX($Q$8:$Q$407,$AA103)="","",IF(96&gt;INDEX($X$8:$X$407,$AA103)+INDEX($V$8:$V$407,$AA103)+INDEX($W$8:$W$407,$AA103),"",IF(96=INDEX($X$8:$X$407,$AA103)+INDEX($V$8:$V$407,$AA103)+INDEX($W$8:$W$407,$AA103),"D",IF(AND(INDEX($W$8:$W$407,$AA103)=1,96=INDEX($X$8:$X$407,$AA103)+INDEX($V$8:$V$407,$AA103)),"S","R"))))))</f>
        <v/>
      </c>
      <c r="AC103" t="str">
        <f t="shared" si="25"/>
        <v/>
      </c>
      <c r="AE103">
        <f>IF($U103="",0,COUNTIF(บันทึกรายเที่ยว!$T$6:$T$10005,$U103))</f>
        <v>0</v>
      </c>
      <c r="AF103">
        <f>IF($U103="",0,ROUND(SUMIF(บันทึกรายเที่ยว!$T$6:$T$10005,$U103,บันทึกรายเที่ยว!$J$6:$J$10005),2))</f>
        <v>0</v>
      </c>
      <c r="AG103">
        <f>IF($U103="",0,ROUND(SUMIF(บันทึกรายเที่ยว!$T$6:$T$10005,$U103,บันทึกรายเที่ยว!$K$6:$K$10005),2))</f>
        <v>0</v>
      </c>
      <c r="AH103">
        <f>IF($U103="",0,ROUND(SUMIF(บันทึกรายเที่ยว!$T$6:$T$10005,$U103,บันทึกรายเที่ยว!$M$6:$M$10005),2))</f>
        <v>0</v>
      </c>
    </row>
    <row r="104" spans="1:34" ht="21" customHeight="1" x14ac:dyDescent="0.95">
      <c r="A104" s="3" t="str">
        <f t="shared" si="14"/>
        <v/>
      </c>
      <c r="B104" s="3" t="str">
        <f t="shared" si="15"/>
        <v/>
      </c>
      <c r="C104" s="8" t="str">
        <f t="shared" si="16"/>
        <v/>
      </c>
      <c r="D104" s="31" t="str">
        <f t="shared" si="17"/>
        <v/>
      </c>
      <c r="E104" s="32" t="str">
        <f>IF(97=$AD$1+3,"ขอแสดงความนับถือ",IF(97=$AD$1+6,"(                 )",IF(97=$AD$1+7,"เจ้าหน้าที่ขนส่ง",IF($AB104="G",SUM($AF$8:$AF$407),IF(OR($AB104="",$AB104="R"),"",IF($AB104="D",INDEX($AF$8:$AF$407,$AA104),SUMIF($T$8:$T$407,INDEX($T$8:$T$407,$AA104),$AF$8:$AF$407)))))))</f>
        <v/>
      </c>
      <c r="F104" s="32" t="str">
        <f t="shared" si="18"/>
        <v/>
      </c>
      <c r="G104" s="32" t="str">
        <f t="shared" si="19"/>
        <v/>
      </c>
      <c r="H104" s="32" t="str">
        <f t="shared" si="20"/>
        <v/>
      </c>
      <c r="J104" t="str">
        <f>IFERROR(MATCH(97,บันทึกรายเที่ยว!$W$6:$W$10005,0),"")</f>
        <v/>
      </c>
      <c r="K104" t="str">
        <f>IF($J104="","",INDEX(บันทึกรายเที่ยว!$T$6:$T$10005,$J104))</f>
        <v/>
      </c>
      <c r="L104" t="str">
        <f>IF($J104="","",INDEX(บันทึกรายเที่ยว!$S$6:$S$10005,$J104))</f>
        <v/>
      </c>
      <c r="M104" t="str">
        <f>IF($J104="","",INDEX(บันทึกรายเที่ยว!$R$6:$R$10005,$J104))</f>
        <v/>
      </c>
      <c r="N104" t="str">
        <f>IF($J104="","",MATCH($M104,บันทึกรายเที่ยว!$R$6:$R$10005,0))</f>
        <v/>
      </c>
      <c r="O104" t="str">
        <f>IF($J104="","",MATCH($L104,บันทึกรายเที่ยว!$S$6:$S$10005,0))</f>
        <v/>
      </c>
      <c r="P104" t="str">
        <f>IF($J104="","",IF(AND(OR($I$3="(ทั้งหมด)",INDEX(บันทึกรายเที่ยว!$C$6:$C$10005,$J104)=$I$3),OR($I$5="(ทั้งหมด)",INDEX(บันทึกรายเที่ยว!$D$6:$D$10005,$J104)=$I$5),OR($I$7="(ทั้งหมด)",INDEX(บันทึกรายเที่ยว!$F$6:$F$10005,$J104)=$I$7)),$N104*10000000+$O104*1000+97,""))</f>
        <v/>
      </c>
      <c r="Q104" t="str">
        <f>IFERROR(MATCH(SMALL($P$8:$P$407,97),$P$8:$P$407,0),"")</f>
        <v/>
      </c>
      <c r="R104" t="str">
        <f t="shared" si="21"/>
        <v/>
      </c>
      <c r="S104" t="str">
        <f t="shared" si="22"/>
        <v/>
      </c>
      <c r="T104" t="str">
        <f t="shared" si="23"/>
        <v/>
      </c>
      <c r="U104" t="str">
        <f t="shared" si="24"/>
        <v/>
      </c>
      <c r="V104">
        <f t="shared" si="26"/>
        <v>0</v>
      </c>
      <c r="W104">
        <f t="shared" si="27"/>
        <v>0</v>
      </c>
      <c r="X104">
        <f>IF($Q104="",99999+97,$X103+1+$V103+$W103)</f>
        <v>100096</v>
      </c>
      <c r="Y104" t="str">
        <f>IF($Q104="","",INDEX(บันทึกรายเที่ยว!$Q$6:$Q$10005,$R104))</f>
        <v/>
      </c>
      <c r="Z104" t="str">
        <f>IF($Q104="","",INDEX(บันทึกรายเที่ยว!$F$6:$F$10005,$R104))</f>
        <v/>
      </c>
      <c r="AA104" t="str">
        <f>IFERROR(MATCH(97,$X$8:$X$407,1),"")</f>
        <v/>
      </c>
      <c r="AB104" t="str">
        <f>IF(97=$AD$1+1,"G",IF($AA104="","",IF(INDEX($Q$8:$Q$407,$AA104)="","",IF(97&gt;INDEX($X$8:$X$407,$AA104)+INDEX($V$8:$V$407,$AA104)+INDEX($W$8:$W$407,$AA104),"",IF(97=INDEX($X$8:$X$407,$AA104)+INDEX($V$8:$V$407,$AA104)+INDEX($W$8:$W$407,$AA104),"D",IF(AND(INDEX($W$8:$W$407,$AA104)=1,97=INDEX($X$8:$X$407,$AA104)+INDEX($V$8:$V$407,$AA104)),"S","R"))))))</f>
        <v/>
      </c>
      <c r="AC104" t="str">
        <f t="shared" si="25"/>
        <v/>
      </c>
      <c r="AE104">
        <f>IF($U104="",0,COUNTIF(บันทึกรายเที่ยว!$T$6:$T$10005,$U104))</f>
        <v>0</v>
      </c>
      <c r="AF104">
        <f>IF($U104="",0,ROUND(SUMIF(บันทึกรายเที่ยว!$T$6:$T$10005,$U104,บันทึกรายเที่ยว!$J$6:$J$10005),2))</f>
        <v>0</v>
      </c>
      <c r="AG104">
        <f>IF($U104="",0,ROUND(SUMIF(บันทึกรายเที่ยว!$T$6:$T$10005,$U104,บันทึกรายเที่ยว!$K$6:$K$10005),2))</f>
        <v>0</v>
      </c>
      <c r="AH104">
        <f>IF($U104="",0,ROUND(SUMIF(บันทึกรายเที่ยว!$T$6:$T$10005,$U104,บันทึกรายเที่ยว!$M$6:$M$10005),2))</f>
        <v>0</v>
      </c>
    </row>
    <row r="105" spans="1:34" ht="21" customHeight="1" x14ac:dyDescent="0.95">
      <c r="A105" s="3" t="str">
        <f t="shared" si="14"/>
        <v/>
      </c>
      <c r="B105" s="3" t="str">
        <f t="shared" si="15"/>
        <v/>
      </c>
      <c r="C105" s="8" t="str">
        <f t="shared" si="16"/>
        <v/>
      </c>
      <c r="D105" s="31" t="str">
        <f t="shared" si="17"/>
        <v/>
      </c>
      <c r="E105" s="32" t="str">
        <f>IF(98=$AD$1+3,"ขอแสดงความนับถือ",IF(98=$AD$1+6,"(                 )",IF(98=$AD$1+7,"เจ้าหน้าที่ขนส่ง",IF($AB105="G",SUM($AF$8:$AF$407),IF(OR($AB105="",$AB105="R"),"",IF($AB105="D",INDEX($AF$8:$AF$407,$AA105),SUMIF($T$8:$T$407,INDEX($T$8:$T$407,$AA105),$AF$8:$AF$407)))))))</f>
        <v/>
      </c>
      <c r="F105" s="32" t="str">
        <f t="shared" si="18"/>
        <v/>
      </c>
      <c r="G105" s="32" t="str">
        <f t="shared" si="19"/>
        <v/>
      </c>
      <c r="H105" s="32" t="str">
        <f t="shared" si="20"/>
        <v/>
      </c>
      <c r="J105" t="str">
        <f>IFERROR(MATCH(98,บันทึกรายเที่ยว!$W$6:$W$10005,0),"")</f>
        <v/>
      </c>
      <c r="K105" t="str">
        <f>IF($J105="","",INDEX(บันทึกรายเที่ยว!$T$6:$T$10005,$J105))</f>
        <v/>
      </c>
      <c r="L105" t="str">
        <f>IF($J105="","",INDEX(บันทึกรายเที่ยว!$S$6:$S$10005,$J105))</f>
        <v/>
      </c>
      <c r="M105" t="str">
        <f>IF($J105="","",INDEX(บันทึกรายเที่ยว!$R$6:$R$10005,$J105))</f>
        <v/>
      </c>
      <c r="N105" t="str">
        <f>IF($J105="","",MATCH($M105,บันทึกรายเที่ยว!$R$6:$R$10005,0))</f>
        <v/>
      </c>
      <c r="O105" t="str">
        <f>IF($J105="","",MATCH($L105,บันทึกรายเที่ยว!$S$6:$S$10005,0))</f>
        <v/>
      </c>
      <c r="P105" t="str">
        <f>IF($J105="","",IF(AND(OR($I$3="(ทั้งหมด)",INDEX(บันทึกรายเที่ยว!$C$6:$C$10005,$J105)=$I$3),OR($I$5="(ทั้งหมด)",INDEX(บันทึกรายเที่ยว!$D$6:$D$10005,$J105)=$I$5),OR($I$7="(ทั้งหมด)",INDEX(บันทึกรายเที่ยว!$F$6:$F$10005,$J105)=$I$7)),$N105*10000000+$O105*1000+98,""))</f>
        <v/>
      </c>
      <c r="Q105" t="str">
        <f>IFERROR(MATCH(SMALL($P$8:$P$407,98),$P$8:$P$407,0),"")</f>
        <v/>
      </c>
      <c r="R105" t="str">
        <f t="shared" si="21"/>
        <v/>
      </c>
      <c r="S105" t="str">
        <f t="shared" si="22"/>
        <v/>
      </c>
      <c r="T105" t="str">
        <f t="shared" si="23"/>
        <v/>
      </c>
      <c r="U105" t="str">
        <f t="shared" si="24"/>
        <v/>
      </c>
      <c r="V105">
        <f t="shared" si="26"/>
        <v>0</v>
      </c>
      <c r="W105">
        <f t="shared" si="27"/>
        <v>0</v>
      </c>
      <c r="X105">
        <f>IF($Q105="",99999+98,$X104+1+$V104+$W104)</f>
        <v>100097</v>
      </c>
      <c r="Y105" t="str">
        <f>IF($Q105="","",INDEX(บันทึกรายเที่ยว!$Q$6:$Q$10005,$R105))</f>
        <v/>
      </c>
      <c r="Z105" t="str">
        <f>IF($Q105="","",INDEX(บันทึกรายเที่ยว!$F$6:$F$10005,$R105))</f>
        <v/>
      </c>
      <c r="AA105" t="str">
        <f>IFERROR(MATCH(98,$X$8:$X$407,1),"")</f>
        <v/>
      </c>
      <c r="AB105" t="str">
        <f>IF(98=$AD$1+1,"G",IF($AA105="","",IF(INDEX($Q$8:$Q$407,$AA105)="","",IF(98&gt;INDEX($X$8:$X$407,$AA105)+INDEX($V$8:$V$407,$AA105)+INDEX($W$8:$W$407,$AA105),"",IF(98=INDEX($X$8:$X$407,$AA105)+INDEX($V$8:$V$407,$AA105)+INDEX($W$8:$W$407,$AA105),"D",IF(AND(INDEX($W$8:$W$407,$AA105)=1,98=INDEX($X$8:$X$407,$AA105)+INDEX($V$8:$V$407,$AA105)),"S","R"))))))</f>
        <v/>
      </c>
      <c r="AC105" t="str">
        <f t="shared" si="25"/>
        <v/>
      </c>
      <c r="AE105">
        <f>IF($U105="",0,COUNTIF(บันทึกรายเที่ยว!$T$6:$T$10005,$U105))</f>
        <v>0</v>
      </c>
      <c r="AF105">
        <f>IF($U105="",0,ROUND(SUMIF(บันทึกรายเที่ยว!$T$6:$T$10005,$U105,บันทึกรายเที่ยว!$J$6:$J$10005),2))</f>
        <v>0</v>
      </c>
      <c r="AG105">
        <f>IF($U105="",0,ROUND(SUMIF(บันทึกรายเที่ยว!$T$6:$T$10005,$U105,บันทึกรายเที่ยว!$K$6:$K$10005),2))</f>
        <v>0</v>
      </c>
      <c r="AH105">
        <f>IF($U105="",0,ROUND(SUMIF(บันทึกรายเที่ยว!$T$6:$T$10005,$U105,บันทึกรายเที่ยว!$M$6:$M$10005),2))</f>
        <v>0</v>
      </c>
    </row>
    <row r="106" spans="1:34" ht="21" customHeight="1" x14ac:dyDescent="0.95">
      <c r="A106" s="3" t="str">
        <f t="shared" si="14"/>
        <v/>
      </c>
      <c r="B106" s="3" t="str">
        <f t="shared" si="15"/>
        <v/>
      </c>
      <c r="C106" s="8" t="str">
        <f t="shared" si="16"/>
        <v/>
      </c>
      <c r="D106" s="31" t="str">
        <f t="shared" si="17"/>
        <v/>
      </c>
      <c r="E106" s="32" t="str">
        <f>IF(99=$AD$1+3,"ขอแสดงความนับถือ",IF(99=$AD$1+6,"(                 )",IF(99=$AD$1+7,"เจ้าหน้าที่ขนส่ง",IF($AB106="G",SUM($AF$8:$AF$407),IF(OR($AB106="",$AB106="R"),"",IF($AB106="D",INDEX($AF$8:$AF$407,$AA106),SUMIF($T$8:$T$407,INDEX($T$8:$T$407,$AA106),$AF$8:$AF$407)))))))</f>
        <v/>
      </c>
      <c r="F106" s="32" t="str">
        <f t="shared" si="18"/>
        <v/>
      </c>
      <c r="G106" s="32" t="str">
        <f t="shared" si="19"/>
        <v/>
      </c>
      <c r="H106" s="32" t="str">
        <f t="shared" si="20"/>
        <v/>
      </c>
      <c r="J106" t="str">
        <f>IFERROR(MATCH(99,บันทึกรายเที่ยว!$W$6:$W$10005,0),"")</f>
        <v/>
      </c>
      <c r="K106" t="str">
        <f>IF($J106="","",INDEX(บันทึกรายเที่ยว!$T$6:$T$10005,$J106))</f>
        <v/>
      </c>
      <c r="L106" t="str">
        <f>IF($J106="","",INDEX(บันทึกรายเที่ยว!$S$6:$S$10005,$J106))</f>
        <v/>
      </c>
      <c r="M106" t="str">
        <f>IF($J106="","",INDEX(บันทึกรายเที่ยว!$R$6:$R$10005,$J106))</f>
        <v/>
      </c>
      <c r="N106" t="str">
        <f>IF($J106="","",MATCH($M106,บันทึกรายเที่ยว!$R$6:$R$10005,0))</f>
        <v/>
      </c>
      <c r="O106" t="str">
        <f>IF($J106="","",MATCH($L106,บันทึกรายเที่ยว!$S$6:$S$10005,0))</f>
        <v/>
      </c>
      <c r="P106" t="str">
        <f>IF($J106="","",IF(AND(OR($I$3="(ทั้งหมด)",INDEX(บันทึกรายเที่ยว!$C$6:$C$10005,$J106)=$I$3),OR($I$5="(ทั้งหมด)",INDEX(บันทึกรายเที่ยว!$D$6:$D$10005,$J106)=$I$5),OR($I$7="(ทั้งหมด)",INDEX(บันทึกรายเที่ยว!$F$6:$F$10005,$J106)=$I$7)),$N106*10000000+$O106*1000+99,""))</f>
        <v/>
      </c>
      <c r="Q106" t="str">
        <f>IFERROR(MATCH(SMALL($P$8:$P$407,99),$P$8:$P$407,0),"")</f>
        <v/>
      </c>
      <c r="R106" t="str">
        <f t="shared" si="21"/>
        <v/>
      </c>
      <c r="S106" t="str">
        <f t="shared" si="22"/>
        <v/>
      </c>
      <c r="T106" t="str">
        <f t="shared" si="23"/>
        <v/>
      </c>
      <c r="U106" t="str">
        <f t="shared" si="24"/>
        <v/>
      </c>
      <c r="V106">
        <f t="shared" si="26"/>
        <v>0</v>
      </c>
      <c r="W106">
        <f t="shared" si="27"/>
        <v>0</v>
      </c>
      <c r="X106">
        <f>IF($Q106="",99999+99,$X105+1+$V105+$W105)</f>
        <v>100098</v>
      </c>
      <c r="Y106" t="str">
        <f>IF($Q106="","",INDEX(บันทึกรายเที่ยว!$Q$6:$Q$10005,$R106))</f>
        <v/>
      </c>
      <c r="Z106" t="str">
        <f>IF($Q106="","",INDEX(บันทึกรายเที่ยว!$F$6:$F$10005,$R106))</f>
        <v/>
      </c>
      <c r="AA106" t="str">
        <f>IFERROR(MATCH(99,$X$8:$X$407,1),"")</f>
        <v/>
      </c>
      <c r="AB106" t="str">
        <f>IF(99=$AD$1+1,"G",IF($AA106="","",IF(INDEX($Q$8:$Q$407,$AA106)="","",IF(99&gt;INDEX($X$8:$X$407,$AA106)+INDEX($V$8:$V$407,$AA106)+INDEX($W$8:$W$407,$AA106),"",IF(99=INDEX($X$8:$X$407,$AA106)+INDEX($V$8:$V$407,$AA106)+INDEX($W$8:$W$407,$AA106),"D",IF(AND(INDEX($W$8:$W$407,$AA106)=1,99=INDEX($X$8:$X$407,$AA106)+INDEX($V$8:$V$407,$AA106)),"S","R"))))))</f>
        <v/>
      </c>
      <c r="AC106" t="str">
        <f t="shared" si="25"/>
        <v/>
      </c>
      <c r="AE106">
        <f>IF($U106="",0,COUNTIF(บันทึกรายเที่ยว!$T$6:$T$10005,$U106))</f>
        <v>0</v>
      </c>
      <c r="AF106">
        <f>IF($U106="",0,ROUND(SUMIF(บันทึกรายเที่ยว!$T$6:$T$10005,$U106,บันทึกรายเที่ยว!$J$6:$J$10005),2))</f>
        <v>0</v>
      </c>
      <c r="AG106">
        <f>IF($U106="",0,ROUND(SUMIF(บันทึกรายเที่ยว!$T$6:$T$10005,$U106,บันทึกรายเที่ยว!$K$6:$K$10005),2))</f>
        <v>0</v>
      </c>
      <c r="AH106">
        <f>IF($U106="",0,ROUND(SUMIF(บันทึกรายเที่ยว!$T$6:$T$10005,$U106,บันทึกรายเที่ยว!$M$6:$M$10005),2))</f>
        <v>0</v>
      </c>
    </row>
    <row r="107" spans="1:34" ht="21" customHeight="1" x14ac:dyDescent="0.95">
      <c r="A107" s="3" t="str">
        <f t="shared" si="14"/>
        <v/>
      </c>
      <c r="B107" s="3" t="str">
        <f t="shared" si="15"/>
        <v/>
      </c>
      <c r="C107" s="8" t="str">
        <f t="shared" si="16"/>
        <v/>
      </c>
      <c r="D107" s="31" t="str">
        <f t="shared" si="17"/>
        <v/>
      </c>
      <c r="E107" s="32" t="str">
        <f>IF(100=$AD$1+3,"ขอแสดงความนับถือ",IF(100=$AD$1+6,"(                 )",IF(100=$AD$1+7,"เจ้าหน้าที่ขนส่ง",IF($AB107="G",SUM($AF$8:$AF$407),IF(OR($AB107="",$AB107="R"),"",IF($AB107="D",INDEX($AF$8:$AF$407,$AA107),SUMIF($T$8:$T$407,INDEX($T$8:$T$407,$AA107),$AF$8:$AF$407)))))))</f>
        <v/>
      </c>
      <c r="F107" s="32" t="str">
        <f t="shared" si="18"/>
        <v/>
      </c>
      <c r="G107" s="32" t="str">
        <f t="shared" si="19"/>
        <v/>
      </c>
      <c r="H107" s="32" t="str">
        <f t="shared" si="20"/>
        <v/>
      </c>
      <c r="J107" t="str">
        <f>IFERROR(MATCH(100,บันทึกรายเที่ยว!$W$6:$W$10005,0),"")</f>
        <v/>
      </c>
      <c r="K107" t="str">
        <f>IF($J107="","",INDEX(บันทึกรายเที่ยว!$T$6:$T$10005,$J107))</f>
        <v/>
      </c>
      <c r="L107" t="str">
        <f>IF($J107="","",INDEX(บันทึกรายเที่ยว!$S$6:$S$10005,$J107))</f>
        <v/>
      </c>
      <c r="M107" t="str">
        <f>IF($J107="","",INDEX(บันทึกรายเที่ยว!$R$6:$R$10005,$J107))</f>
        <v/>
      </c>
      <c r="N107" t="str">
        <f>IF($J107="","",MATCH($M107,บันทึกรายเที่ยว!$R$6:$R$10005,0))</f>
        <v/>
      </c>
      <c r="O107" t="str">
        <f>IF($J107="","",MATCH($L107,บันทึกรายเที่ยว!$S$6:$S$10005,0))</f>
        <v/>
      </c>
      <c r="P107" t="str">
        <f>IF($J107="","",IF(AND(OR($I$3="(ทั้งหมด)",INDEX(บันทึกรายเที่ยว!$C$6:$C$10005,$J107)=$I$3),OR($I$5="(ทั้งหมด)",INDEX(บันทึกรายเที่ยว!$D$6:$D$10005,$J107)=$I$5),OR($I$7="(ทั้งหมด)",INDEX(บันทึกรายเที่ยว!$F$6:$F$10005,$J107)=$I$7)),$N107*10000000+$O107*1000+100,""))</f>
        <v/>
      </c>
      <c r="Q107" t="str">
        <f>IFERROR(MATCH(SMALL($P$8:$P$407,100),$P$8:$P$407,0),"")</f>
        <v/>
      </c>
      <c r="R107" t="str">
        <f t="shared" si="21"/>
        <v/>
      </c>
      <c r="S107" t="str">
        <f t="shared" si="22"/>
        <v/>
      </c>
      <c r="T107" t="str">
        <f t="shared" si="23"/>
        <v/>
      </c>
      <c r="U107" t="str">
        <f t="shared" si="24"/>
        <v/>
      </c>
      <c r="V107">
        <f t="shared" si="26"/>
        <v>0</v>
      </c>
      <c r="W107">
        <f t="shared" si="27"/>
        <v>0</v>
      </c>
      <c r="X107">
        <f>IF($Q107="",99999+100,$X106+1+$V106+$W106)</f>
        <v>100099</v>
      </c>
      <c r="Y107" t="str">
        <f>IF($Q107="","",INDEX(บันทึกรายเที่ยว!$Q$6:$Q$10005,$R107))</f>
        <v/>
      </c>
      <c r="Z107" t="str">
        <f>IF($Q107="","",INDEX(บันทึกรายเที่ยว!$F$6:$F$10005,$R107))</f>
        <v/>
      </c>
      <c r="AA107" t="str">
        <f>IFERROR(MATCH(100,$X$8:$X$407,1),"")</f>
        <v/>
      </c>
      <c r="AB107" t="str">
        <f>IF(100=$AD$1+1,"G",IF($AA107="","",IF(INDEX($Q$8:$Q$407,$AA107)="","",IF(100&gt;INDEX($X$8:$X$407,$AA107)+INDEX($V$8:$V$407,$AA107)+INDEX($W$8:$W$407,$AA107),"",IF(100=INDEX($X$8:$X$407,$AA107)+INDEX($V$8:$V$407,$AA107)+INDEX($W$8:$W$407,$AA107),"D",IF(AND(INDEX($W$8:$W$407,$AA107)=1,100=INDEX($X$8:$X$407,$AA107)+INDEX($V$8:$V$407,$AA107)),"S","R"))))))</f>
        <v/>
      </c>
      <c r="AC107" t="str">
        <f t="shared" si="25"/>
        <v/>
      </c>
      <c r="AE107">
        <f>IF($U107="",0,COUNTIF(บันทึกรายเที่ยว!$T$6:$T$10005,$U107))</f>
        <v>0</v>
      </c>
      <c r="AF107">
        <f>IF($U107="",0,ROUND(SUMIF(บันทึกรายเที่ยว!$T$6:$T$10005,$U107,บันทึกรายเที่ยว!$J$6:$J$10005),2))</f>
        <v>0</v>
      </c>
      <c r="AG107">
        <f>IF($U107="",0,ROUND(SUMIF(บันทึกรายเที่ยว!$T$6:$T$10005,$U107,บันทึกรายเที่ยว!$K$6:$K$10005),2))</f>
        <v>0</v>
      </c>
      <c r="AH107">
        <f>IF($U107="",0,ROUND(SUMIF(บันทึกรายเที่ยว!$T$6:$T$10005,$U107,บันทึกรายเที่ยว!$M$6:$M$10005),2))</f>
        <v>0</v>
      </c>
    </row>
    <row r="108" spans="1:34" ht="21" customHeight="1" x14ac:dyDescent="0.95">
      <c r="A108" s="3" t="str">
        <f t="shared" si="14"/>
        <v/>
      </c>
      <c r="B108" s="3" t="str">
        <f t="shared" si="15"/>
        <v/>
      </c>
      <c r="C108" s="8" t="str">
        <f t="shared" si="16"/>
        <v/>
      </c>
      <c r="D108" s="31" t="str">
        <f t="shared" si="17"/>
        <v/>
      </c>
      <c r="E108" s="32" t="str">
        <f>IF(101=$AD$1+3,"ขอแสดงความนับถือ",IF(101=$AD$1+6,"(                 )",IF(101=$AD$1+7,"เจ้าหน้าที่ขนส่ง",IF($AB108="G",SUM($AF$8:$AF$407),IF(OR($AB108="",$AB108="R"),"",IF($AB108="D",INDEX($AF$8:$AF$407,$AA108),SUMIF($T$8:$T$407,INDEX($T$8:$T$407,$AA108),$AF$8:$AF$407)))))))</f>
        <v/>
      </c>
      <c r="F108" s="32" t="str">
        <f t="shared" si="18"/>
        <v/>
      </c>
      <c r="G108" s="32" t="str">
        <f t="shared" si="19"/>
        <v/>
      </c>
      <c r="H108" s="32" t="str">
        <f t="shared" si="20"/>
        <v/>
      </c>
      <c r="J108" t="str">
        <f>IFERROR(MATCH(101,บันทึกรายเที่ยว!$W$6:$W$10005,0),"")</f>
        <v/>
      </c>
      <c r="K108" t="str">
        <f>IF($J108="","",INDEX(บันทึกรายเที่ยว!$T$6:$T$10005,$J108))</f>
        <v/>
      </c>
      <c r="L108" t="str">
        <f>IF($J108="","",INDEX(บันทึกรายเที่ยว!$S$6:$S$10005,$J108))</f>
        <v/>
      </c>
      <c r="M108" t="str">
        <f>IF($J108="","",INDEX(บันทึกรายเที่ยว!$R$6:$R$10005,$J108))</f>
        <v/>
      </c>
      <c r="N108" t="str">
        <f>IF($J108="","",MATCH($M108,บันทึกรายเที่ยว!$R$6:$R$10005,0))</f>
        <v/>
      </c>
      <c r="O108" t="str">
        <f>IF($J108="","",MATCH($L108,บันทึกรายเที่ยว!$S$6:$S$10005,0))</f>
        <v/>
      </c>
      <c r="P108" t="str">
        <f>IF($J108="","",IF(AND(OR($I$3="(ทั้งหมด)",INDEX(บันทึกรายเที่ยว!$C$6:$C$10005,$J108)=$I$3),OR($I$5="(ทั้งหมด)",INDEX(บันทึกรายเที่ยว!$D$6:$D$10005,$J108)=$I$5),OR($I$7="(ทั้งหมด)",INDEX(บันทึกรายเที่ยว!$F$6:$F$10005,$J108)=$I$7)),$N108*10000000+$O108*1000+101,""))</f>
        <v/>
      </c>
      <c r="Q108" t="str">
        <f>IFERROR(MATCH(SMALL($P$8:$P$407,101),$P$8:$P$407,0),"")</f>
        <v/>
      </c>
      <c r="R108" t="str">
        <f t="shared" si="21"/>
        <v/>
      </c>
      <c r="S108" t="str">
        <f t="shared" si="22"/>
        <v/>
      </c>
      <c r="T108" t="str">
        <f t="shared" si="23"/>
        <v/>
      </c>
      <c r="U108" t="str">
        <f t="shared" si="24"/>
        <v/>
      </c>
      <c r="V108">
        <f t="shared" si="26"/>
        <v>0</v>
      </c>
      <c r="W108">
        <f t="shared" si="27"/>
        <v>0</v>
      </c>
      <c r="X108">
        <f>IF($Q108="",99999+101,$X107+1+$V107+$W107)</f>
        <v>100100</v>
      </c>
      <c r="Y108" t="str">
        <f>IF($Q108="","",INDEX(บันทึกรายเที่ยว!$Q$6:$Q$10005,$R108))</f>
        <v/>
      </c>
      <c r="Z108" t="str">
        <f>IF($Q108="","",INDEX(บันทึกรายเที่ยว!$F$6:$F$10005,$R108))</f>
        <v/>
      </c>
      <c r="AA108" t="str">
        <f>IFERROR(MATCH(101,$X$8:$X$407,1),"")</f>
        <v/>
      </c>
      <c r="AB108" t="str">
        <f>IF(101=$AD$1+1,"G",IF($AA108="","",IF(INDEX($Q$8:$Q$407,$AA108)="","",IF(101&gt;INDEX($X$8:$X$407,$AA108)+INDEX($V$8:$V$407,$AA108)+INDEX($W$8:$W$407,$AA108),"",IF(101=INDEX($X$8:$X$407,$AA108)+INDEX($V$8:$V$407,$AA108)+INDEX($W$8:$W$407,$AA108),"D",IF(AND(INDEX($W$8:$W$407,$AA108)=1,101=INDEX($X$8:$X$407,$AA108)+INDEX($V$8:$V$407,$AA108)),"S","R"))))))</f>
        <v/>
      </c>
      <c r="AC108" t="str">
        <f t="shared" si="25"/>
        <v/>
      </c>
      <c r="AE108">
        <f>IF($U108="",0,COUNTIF(บันทึกรายเที่ยว!$T$6:$T$10005,$U108))</f>
        <v>0</v>
      </c>
      <c r="AF108">
        <f>IF($U108="",0,ROUND(SUMIF(บันทึกรายเที่ยว!$T$6:$T$10005,$U108,บันทึกรายเที่ยว!$J$6:$J$10005),2))</f>
        <v>0</v>
      </c>
      <c r="AG108">
        <f>IF($U108="",0,ROUND(SUMIF(บันทึกรายเที่ยว!$T$6:$T$10005,$U108,บันทึกรายเที่ยว!$K$6:$K$10005),2))</f>
        <v>0</v>
      </c>
      <c r="AH108">
        <f>IF($U108="",0,ROUND(SUMIF(บันทึกรายเที่ยว!$T$6:$T$10005,$U108,บันทึกรายเที่ยว!$M$6:$M$10005),2))</f>
        <v>0</v>
      </c>
    </row>
    <row r="109" spans="1:34" ht="21" customHeight="1" x14ac:dyDescent="0.95">
      <c r="A109" s="3" t="str">
        <f t="shared" si="14"/>
        <v/>
      </c>
      <c r="B109" s="3" t="str">
        <f t="shared" si="15"/>
        <v/>
      </c>
      <c r="C109" s="8" t="str">
        <f t="shared" si="16"/>
        <v/>
      </c>
      <c r="D109" s="31" t="str">
        <f t="shared" si="17"/>
        <v/>
      </c>
      <c r="E109" s="32" t="str">
        <f>IF(102=$AD$1+3,"ขอแสดงความนับถือ",IF(102=$AD$1+6,"(                 )",IF(102=$AD$1+7,"เจ้าหน้าที่ขนส่ง",IF($AB109="G",SUM($AF$8:$AF$407),IF(OR($AB109="",$AB109="R"),"",IF($AB109="D",INDEX($AF$8:$AF$407,$AA109),SUMIF($T$8:$T$407,INDEX($T$8:$T$407,$AA109),$AF$8:$AF$407)))))))</f>
        <v/>
      </c>
      <c r="F109" s="32" t="str">
        <f t="shared" si="18"/>
        <v/>
      </c>
      <c r="G109" s="32" t="str">
        <f t="shared" si="19"/>
        <v/>
      </c>
      <c r="H109" s="32" t="str">
        <f t="shared" si="20"/>
        <v/>
      </c>
      <c r="J109" t="str">
        <f>IFERROR(MATCH(102,บันทึกรายเที่ยว!$W$6:$W$10005,0),"")</f>
        <v/>
      </c>
      <c r="K109" t="str">
        <f>IF($J109="","",INDEX(บันทึกรายเที่ยว!$T$6:$T$10005,$J109))</f>
        <v/>
      </c>
      <c r="L109" t="str">
        <f>IF($J109="","",INDEX(บันทึกรายเที่ยว!$S$6:$S$10005,$J109))</f>
        <v/>
      </c>
      <c r="M109" t="str">
        <f>IF($J109="","",INDEX(บันทึกรายเที่ยว!$R$6:$R$10005,$J109))</f>
        <v/>
      </c>
      <c r="N109" t="str">
        <f>IF($J109="","",MATCH($M109,บันทึกรายเที่ยว!$R$6:$R$10005,0))</f>
        <v/>
      </c>
      <c r="O109" t="str">
        <f>IF($J109="","",MATCH($L109,บันทึกรายเที่ยว!$S$6:$S$10005,0))</f>
        <v/>
      </c>
      <c r="P109" t="str">
        <f>IF($J109="","",IF(AND(OR($I$3="(ทั้งหมด)",INDEX(บันทึกรายเที่ยว!$C$6:$C$10005,$J109)=$I$3),OR($I$5="(ทั้งหมด)",INDEX(บันทึกรายเที่ยว!$D$6:$D$10005,$J109)=$I$5),OR($I$7="(ทั้งหมด)",INDEX(บันทึกรายเที่ยว!$F$6:$F$10005,$J109)=$I$7)),$N109*10000000+$O109*1000+102,""))</f>
        <v/>
      </c>
      <c r="Q109" t="str">
        <f>IFERROR(MATCH(SMALL($P$8:$P$407,102),$P$8:$P$407,0),"")</f>
        <v/>
      </c>
      <c r="R109" t="str">
        <f t="shared" si="21"/>
        <v/>
      </c>
      <c r="S109" t="str">
        <f t="shared" si="22"/>
        <v/>
      </c>
      <c r="T109" t="str">
        <f t="shared" si="23"/>
        <v/>
      </c>
      <c r="U109" t="str">
        <f t="shared" si="24"/>
        <v/>
      </c>
      <c r="V109">
        <f t="shared" si="26"/>
        <v>0</v>
      </c>
      <c r="W109">
        <f t="shared" si="27"/>
        <v>0</v>
      </c>
      <c r="X109">
        <f>IF($Q109="",99999+102,$X108+1+$V108+$W108)</f>
        <v>100101</v>
      </c>
      <c r="Y109" t="str">
        <f>IF($Q109="","",INDEX(บันทึกรายเที่ยว!$Q$6:$Q$10005,$R109))</f>
        <v/>
      </c>
      <c r="Z109" t="str">
        <f>IF($Q109="","",INDEX(บันทึกรายเที่ยว!$F$6:$F$10005,$R109))</f>
        <v/>
      </c>
      <c r="AA109" t="str">
        <f>IFERROR(MATCH(102,$X$8:$X$407,1),"")</f>
        <v/>
      </c>
      <c r="AB109" t="str">
        <f>IF(102=$AD$1+1,"G",IF($AA109="","",IF(INDEX($Q$8:$Q$407,$AA109)="","",IF(102&gt;INDEX($X$8:$X$407,$AA109)+INDEX($V$8:$V$407,$AA109)+INDEX($W$8:$W$407,$AA109),"",IF(102=INDEX($X$8:$X$407,$AA109)+INDEX($V$8:$V$407,$AA109)+INDEX($W$8:$W$407,$AA109),"D",IF(AND(INDEX($W$8:$W$407,$AA109)=1,102=INDEX($X$8:$X$407,$AA109)+INDEX($V$8:$V$407,$AA109)),"S","R"))))))</f>
        <v/>
      </c>
      <c r="AC109" t="str">
        <f t="shared" si="25"/>
        <v/>
      </c>
      <c r="AE109">
        <f>IF($U109="",0,COUNTIF(บันทึกรายเที่ยว!$T$6:$T$10005,$U109))</f>
        <v>0</v>
      </c>
      <c r="AF109">
        <f>IF($U109="",0,ROUND(SUMIF(บันทึกรายเที่ยว!$T$6:$T$10005,$U109,บันทึกรายเที่ยว!$J$6:$J$10005),2))</f>
        <v>0</v>
      </c>
      <c r="AG109">
        <f>IF($U109="",0,ROUND(SUMIF(บันทึกรายเที่ยว!$T$6:$T$10005,$U109,บันทึกรายเที่ยว!$K$6:$K$10005),2))</f>
        <v>0</v>
      </c>
      <c r="AH109">
        <f>IF($U109="",0,ROUND(SUMIF(บันทึกรายเที่ยว!$T$6:$T$10005,$U109,บันทึกรายเที่ยว!$M$6:$M$10005),2))</f>
        <v>0</v>
      </c>
    </row>
    <row r="110" spans="1:34" ht="21" customHeight="1" x14ac:dyDescent="0.95">
      <c r="A110" s="3" t="str">
        <f t="shared" si="14"/>
        <v/>
      </c>
      <c r="B110" s="3" t="str">
        <f t="shared" si="15"/>
        <v/>
      </c>
      <c r="C110" s="8" t="str">
        <f t="shared" si="16"/>
        <v/>
      </c>
      <c r="D110" s="31" t="str">
        <f t="shared" si="17"/>
        <v/>
      </c>
      <c r="E110" s="32" t="str">
        <f>IF(103=$AD$1+3,"ขอแสดงความนับถือ",IF(103=$AD$1+6,"(                 )",IF(103=$AD$1+7,"เจ้าหน้าที่ขนส่ง",IF($AB110="G",SUM($AF$8:$AF$407),IF(OR($AB110="",$AB110="R"),"",IF($AB110="D",INDEX($AF$8:$AF$407,$AA110),SUMIF($T$8:$T$407,INDEX($T$8:$T$407,$AA110),$AF$8:$AF$407)))))))</f>
        <v/>
      </c>
      <c r="F110" s="32" t="str">
        <f t="shared" si="18"/>
        <v/>
      </c>
      <c r="G110" s="32" t="str">
        <f t="shared" si="19"/>
        <v/>
      </c>
      <c r="H110" s="32" t="str">
        <f t="shared" si="20"/>
        <v/>
      </c>
      <c r="J110" t="str">
        <f>IFERROR(MATCH(103,บันทึกรายเที่ยว!$W$6:$W$10005,0),"")</f>
        <v/>
      </c>
      <c r="K110" t="str">
        <f>IF($J110="","",INDEX(บันทึกรายเที่ยว!$T$6:$T$10005,$J110))</f>
        <v/>
      </c>
      <c r="L110" t="str">
        <f>IF($J110="","",INDEX(บันทึกรายเที่ยว!$S$6:$S$10005,$J110))</f>
        <v/>
      </c>
      <c r="M110" t="str">
        <f>IF($J110="","",INDEX(บันทึกรายเที่ยว!$R$6:$R$10005,$J110))</f>
        <v/>
      </c>
      <c r="N110" t="str">
        <f>IF($J110="","",MATCH($M110,บันทึกรายเที่ยว!$R$6:$R$10005,0))</f>
        <v/>
      </c>
      <c r="O110" t="str">
        <f>IF($J110="","",MATCH($L110,บันทึกรายเที่ยว!$S$6:$S$10005,0))</f>
        <v/>
      </c>
      <c r="P110" t="str">
        <f>IF($J110="","",IF(AND(OR($I$3="(ทั้งหมด)",INDEX(บันทึกรายเที่ยว!$C$6:$C$10005,$J110)=$I$3),OR($I$5="(ทั้งหมด)",INDEX(บันทึกรายเที่ยว!$D$6:$D$10005,$J110)=$I$5),OR($I$7="(ทั้งหมด)",INDEX(บันทึกรายเที่ยว!$F$6:$F$10005,$J110)=$I$7)),$N110*10000000+$O110*1000+103,""))</f>
        <v/>
      </c>
      <c r="Q110" t="str">
        <f>IFERROR(MATCH(SMALL($P$8:$P$407,103),$P$8:$P$407,0),"")</f>
        <v/>
      </c>
      <c r="R110" t="str">
        <f t="shared" si="21"/>
        <v/>
      </c>
      <c r="S110" t="str">
        <f t="shared" si="22"/>
        <v/>
      </c>
      <c r="T110" t="str">
        <f t="shared" si="23"/>
        <v/>
      </c>
      <c r="U110" t="str">
        <f t="shared" si="24"/>
        <v/>
      </c>
      <c r="V110">
        <f t="shared" si="26"/>
        <v>0</v>
      </c>
      <c r="W110">
        <f t="shared" si="27"/>
        <v>0</v>
      </c>
      <c r="X110">
        <f>IF($Q110="",99999+103,$X109+1+$V109+$W109)</f>
        <v>100102</v>
      </c>
      <c r="Y110" t="str">
        <f>IF($Q110="","",INDEX(บันทึกรายเที่ยว!$Q$6:$Q$10005,$R110))</f>
        <v/>
      </c>
      <c r="Z110" t="str">
        <f>IF($Q110="","",INDEX(บันทึกรายเที่ยว!$F$6:$F$10005,$R110))</f>
        <v/>
      </c>
      <c r="AA110" t="str">
        <f>IFERROR(MATCH(103,$X$8:$X$407,1),"")</f>
        <v/>
      </c>
      <c r="AB110" t="str">
        <f>IF(103=$AD$1+1,"G",IF($AA110="","",IF(INDEX($Q$8:$Q$407,$AA110)="","",IF(103&gt;INDEX($X$8:$X$407,$AA110)+INDEX($V$8:$V$407,$AA110)+INDEX($W$8:$W$407,$AA110),"",IF(103=INDEX($X$8:$X$407,$AA110)+INDEX($V$8:$V$407,$AA110)+INDEX($W$8:$W$407,$AA110),"D",IF(AND(INDEX($W$8:$W$407,$AA110)=1,103=INDEX($X$8:$X$407,$AA110)+INDEX($V$8:$V$407,$AA110)),"S","R"))))))</f>
        <v/>
      </c>
      <c r="AC110" t="str">
        <f t="shared" si="25"/>
        <v/>
      </c>
      <c r="AE110">
        <f>IF($U110="",0,COUNTIF(บันทึกรายเที่ยว!$T$6:$T$10005,$U110))</f>
        <v>0</v>
      </c>
      <c r="AF110">
        <f>IF($U110="",0,ROUND(SUMIF(บันทึกรายเที่ยว!$T$6:$T$10005,$U110,บันทึกรายเที่ยว!$J$6:$J$10005),2))</f>
        <v>0</v>
      </c>
      <c r="AG110">
        <f>IF($U110="",0,ROUND(SUMIF(บันทึกรายเที่ยว!$T$6:$T$10005,$U110,บันทึกรายเที่ยว!$K$6:$K$10005),2))</f>
        <v>0</v>
      </c>
      <c r="AH110">
        <f>IF($U110="",0,ROUND(SUMIF(บันทึกรายเที่ยว!$T$6:$T$10005,$U110,บันทึกรายเที่ยว!$M$6:$M$10005),2))</f>
        <v>0</v>
      </c>
    </row>
    <row r="111" spans="1:34" ht="21" customHeight="1" x14ac:dyDescent="0.95">
      <c r="A111" s="3" t="str">
        <f t="shared" si="14"/>
        <v/>
      </c>
      <c r="B111" s="3" t="str">
        <f t="shared" si="15"/>
        <v/>
      </c>
      <c r="C111" s="8" t="str">
        <f t="shared" si="16"/>
        <v/>
      </c>
      <c r="D111" s="31" t="str">
        <f t="shared" si="17"/>
        <v/>
      </c>
      <c r="E111" s="32" t="str">
        <f>IF(104=$AD$1+3,"ขอแสดงความนับถือ",IF(104=$AD$1+6,"(                 )",IF(104=$AD$1+7,"เจ้าหน้าที่ขนส่ง",IF($AB111="G",SUM($AF$8:$AF$407),IF(OR($AB111="",$AB111="R"),"",IF($AB111="D",INDEX($AF$8:$AF$407,$AA111),SUMIF($T$8:$T$407,INDEX($T$8:$T$407,$AA111),$AF$8:$AF$407)))))))</f>
        <v/>
      </c>
      <c r="F111" s="32" t="str">
        <f t="shared" si="18"/>
        <v/>
      </c>
      <c r="G111" s="32" t="str">
        <f t="shared" si="19"/>
        <v/>
      </c>
      <c r="H111" s="32" t="str">
        <f t="shared" si="20"/>
        <v/>
      </c>
      <c r="J111" t="str">
        <f>IFERROR(MATCH(104,บันทึกรายเที่ยว!$W$6:$W$10005,0),"")</f>
        <v/>
      </c>
      <c r="K111" t="str">
        <f>IF($J111="","",INDEX(บันทึกรายเที่ยว!$T$6:$T$10005,$J111))</f>
        <v/>
      </c>
      <c r="L111" t="str">
        <f>IF($J111="","",INDEX(บันทึกรายเที่ยว!$S$6:$S$10005,$J111))</f>
        <v/>
      </c>
      <c r="M111" t="str">
        <f>IF($J111="","",INDEX(บันทึกรายเที่ยว!$R$6:$R$10005,$J111))</f>
        <v/>
      </c>
      <c r="N111" t="str">
        <f>IF($J111="","",MATCH($M111,บันทึกรายเที่ยว!$R$6:$R$10005,0))</f>
        <v/>
      </c>
      <c r="O111" t="str">
        <f>IF($J111="","",MATCH($L111,บันทึกรายเที่ยว!$S$6:$S$10005,0))</f>
        <v/>
      </c>
      <c r="P111" t="str">
        <f>IF($J111="","",IF(AND(OR($I$3="(ทั้งหมด)",INDEX(บันทึกรายเที่ยว!$C$6:$C$10005,$J111)=$I$3),OR($I$5="(ทั้งหมด)",INDEX(บันทึกรายเที่ยว!$D$6:$D$10005,$J111)=$I$5),OR($I$7="(ทั้งหมด)",INDEX(บันทึกรายเที่ยว!$F$6:$F$10005,$J111)=$I$7)),$N111*10000000+$O111*1000+104,""))</f>
        <v/>
      </c>
      <c r="Q111" t="str">
        <f>IFERROR(MATCH(SMALL($P$8:$P$407,104),$P$8:$P$407,0),"")</f>
        <v/>
      </c>
      <c r="R111" t="str">
        <f t="shared" si="21"/>
        <v/>
      </c>
      <c r="S111" t="str">
        <f t="shared" si="22"/>
        <v/>
      </c>
      <c r="T111" t="str">
        <f t="shared" si="23"/>
        <v/>
      </c>
      <c r="U111" t="str">
        <f t="shared" si="24"/>
        <v/>
      </c>
      <c r="V111">
        <f t="shared" si="26"/>
        <v>0</v>
      </c>
      <c r="W111">
        <f t="shared" si="27"/>
        <v>0</v>
      </c>
      <c r="X111">
        <f>IF($Q111="",99999+104,$X110+1+$V110+$W110)</f>
        <v>100103</v>
      </c>
      <c r="Y111" t="str">
        <f>IF($Q111="","",INDEX(บันทึกรายเที่ยว!$Q$6:$Q$10005,$R111))</f>
        <v/>
      </c>
      <c r="Z111" t="str">
        <f>IF($Q111="","",INDEX(บันทึกรายเที่ยว!$F$6:$F$10005,$R111))</f>
        <v/>
      </c>
      <c r="AA111" t="str">
        <f>IFERROR(MATCH(104,$X$8:$X$407,1),"")</f>
        <v/>
      </c>
      <c r="AB111" t="str">
        <f>IF(104=$AD$1+1,"G",IF($AA111="","",IF(INDEX($Q$8:$Q$407,$AA111)="","",IF(104&gt;INDEX($X$8:$X$407,$AA111)+INDEX($V$8:$V$407,$AA111)+INDEX($W$8:$W$407,$AA111),"",IF(104=INDEX($X$8:$X$407,$AA111)+INDEX($V$8:$V$407,$AA111)+INDEX($W$8:$W$407,$AA111),"D",IF(AND(INDEX($W$8:$W$407,$AA111)=1,104=INDEX($X$8:$X$407,$AA111)+INDEX($V$8:$V$407,$AA111)),"S","R"))))))</f>
        <v/>
      </c>
      <c r="AC111" t="str">
        <f t="shared" si="25"/>
        <v/>
      </c>
      <c r="AE111">
        <f>IF($U111="",0,COUNTIF(บันทึกรายเที่ยว!$T$6:$T$10005,$U111))</f>
        <v>0</v>
      </c>
      <c r="AF111">
        <f>IF($U111="",0,ROUND(SUMIF(บันทึกรายเที่ยว!$T$6:$T$10005,$U111,บันทึกรายเที่ยว!$J$6:$J$10005),2))</f>
        <v>0</v>
      </c>
      <c r="AG111">
        <f>IF($U111="",0,ROUND(SUMIF(บันทึกรายเที่ยว!$T$6:$T$10005,$U111,บันทึกรายเที่ยว!$K$6:$K$10005),2))</f>
        <v>0</v>
      </c>
      <c r="AH111">
        <f>IF($U111="",0,ROUND(SUMIF(บันทึกรายเที่ยว!$T$6:$T$10005,$U111,บันทึกรายเที่ยว!$M$6:$M$10005),2))</f>
        <v>0</v>
      </c>
    </row>
    <row r="112" spans="1:34" ht="21" customHeight="1" x14ac:dyDescent="0.95">
      <c r="A112" s="3" t="str">
        <f t="shared" si="14"/>
        <v/>
      </c>
      <c r="B112" s="3" t="str">
        <f t="shared" si="15"/>
        <v/>
      </c>
      <c r="C112" s="8" t="str">
        <f t="shared" si="16"/>
        <v/>
      </c>
      <c r="D112" s="31" t="str">
        <f t="shared" si="17"/>
        <v/>
      </c>
      <c r="E112" s="32" t="str">
        <f>IF(105=$AD$1+3,"ขอแสดงความนับถือ",IF(105=$AD$1+6,"(                 )",IF(105=$AD$1+7,"เจ้าหน้าที่ขนส่ง",IF($AB112="G",SUM($AF$8:$AF$407),IF(OR($AB112="",$AB112="R"),"",IF($AB112="D",INDEX($AF$8:$AF$407,$AA112),SUMIF($T$8:$T$407,INDEX($T$8:$T$407,$AA112),$AF$8:$AF$407)))))))</f>
        <v/>
      </c>
      <c r="F112" s="32" t="str">
        <f t="shared" si="18"/>
        <v/>
      </c>
      <c r="G112" s="32" t="str">
        <f t="shared" si="19"/>
        <v/>
      </c>
      <c r="H112" s="32" t="str">
        <f t="shared" si="20"/>
        <v/>
      </c>
      <c r="J112" t="str">
        <f>IFERROR(MATCH(105,บันทึกรายเที่ยว!$W$6:$W$10005,0),"")</f>
        <v/>
      </c>
      <c r="K112" t="str">
        <f>IF($J112="","",INDEX(บันทึกรายเที่ยว!$T$6:$T$10005,$J112))</f>
        <v/>
      </c>
      <c r="L112" t="str">
        <f>IF($J112="","",INDEX(บันทึกรายเที่ยว!$S$6:$S$10005,$J112))</f>
        <v/>
      </c>
      <c r="M112" t="str">
        <f>IF($J112="","",INDEX(บันทึกรายเที่ยว!$R$6:$R$10005,$J112))</f>
        <v/>
      </c>
      <c r="N112" t="str">
        <f>IF($J112="","",MATCH($M112,บันทึกรายเที่ยว!$R$6:$R$10005,0))</f>
        <v/>
      </c>
      <c r="O112" t="str">
        <f>IF($J112="","",MATCH($L112,บันทึกรายเที่ยว!$S$6:$S$10005,0))</f>
        <v/>
      </c>
      <c r="P112" t="str">
        <f>IF($J112="","",IF(AND(OR($I$3="(ทั้งหมด)",INDEX(บันทึกรายเที่ยว!$C$6:$C$10005,$J112)=$I$3),OR($I$5="(ทั้งหมด)",INDEX(บันทึกรายเที่ยว!$D$6:$D$10005,$J112)=$I$5),OR($I$7="(ทั้งหมด)",INDEX(บันทึกรายเที่ยว!$F$6:$F$10005,$J112)=$I$7)),$N112*10000000+$O112*1000+105,""))</f>
        <v/>
      </c>
      <c r="Q112" t="str">
        <f>IFERROR(MATCH(SMALL($P$8:$P$407,105),$P$8:$P$407,0),"")</f>
        <v/>
      </c>
      <c r="R112" t="str">
        <f t="shared" si="21"/>
        <v/>
      </c>
      <c r="S112" t="str">
        <f t="shared" si="22"/>
        <v/>
      </c>
      <c r="T112" t="str">
        <f t="shared" si="23"/>
        <v/>
      </c>
      <c r="U112" t="str">
        <f t="shared" si="24"/>
        <v/>
      </c>
      <c r="V112">
        <f t="shared" si="26"/>
        <v>0</v>
      </c>
      <c r="W112">
        <f t="shared" si="27"/>
        <v>0</v>
      </c>
      <c r="X112">
        <f>IF($Q112="",99999+105,$X111+1+$V111+$W111)</f>
        <v>100104</v>
      </c>
      <c r="Y112" t="str">
        <f>IF($Q112="","",INDEX(บันทึกรายเที่ยว!$Q$6:$Q$10005,$R112))</f>
        <v/>
      </c>
      <c r="Z112" t="str">
        <f>IF($Q112="","",INDEX(บันทึกรายเที่ยว!$F$6:$F$10005,$R112))</f>
        <v/>
      </c>
      <c r="AA112" t="str">
        <f>IFERROR(MATCH(105,$X$8:$X$407,1),"")</f>
        <v/>
      </c>
      <c r="AB112" t="str">
        <f>IF(105=$AD$1+1,"G",IF($AA112="","",IF(INDEX($Q$8:$Q$407,$AA112)="","",IF(105&gt;INDEX($X$8:$X$407,$AA112)+INDEX($V$8:$V$407,$AA112)+INDEX($W$8:$W$407,$AA112),"",IF(105=INDEX($X$8:$X$407,$AA112)+INDEX($V$8:$V$407,$AA112)+INDEX($W$8:$W$407,$AA112),"D",IF(AND(INDEX($W$8:$W$407,$AA112)=1,105=INDEX($X$8:$X$407,$AA112)+INDEX($V$8:$V$407,$AA112)),"S","R"))))))</f>
        <v/>
      </c>
      <c r="AC112" t="str">
        <f t="shared" si="25"/>
        <v/>
      </c>
      <c r="AE112">
        <f>IF($U112="",0,COUNTIF(บันทึกรายเที่ยว!$T$6:$T$10005,$U112))</f>
        <v>0</v>
      </c>
      <c r="AF112">
        <f>IF($U112="",0,ROUND(SUMIF(บันทึกรายเที่ยว!$T$6:$T$10005,$U112,บันทึกรายเที่ยว!$J$6:$J$10005),2))</f>
        <v>0</v>
      </c>
      <c r="AG112">
        <f>IF($U112="",0,ROUND(SUMIF(บันทึกรายเที่ยว!$T$6:$T$10005,$U112,บันทึกรายเที่ยว!$K$6:$K$10005),2))</f>
        <v>0</v>
      </c>
      <c r="AH112">
        <f>IF($U112="",0,ROUND(SUMIF(บันทึกรายเที่ยว!$T$6:$T$10005,$U112,บันทึกรายเที่ยว!$M$6:$M$10005),2))</f>
        <v>0</v>
      </c>
    </row>
    <row r="113" spans="1:34" ht="21" customHeight="1" x14ac:dyDescent="0.95">
      <c r="A113" s="3" t="str">
        <f t="shared" si="14"/>
        <v/>
      </c>
      <c r="B113" s="3" t="str">
        <f t="shared" si="15"/>
        <v/>
      </c>
      <c r="C113" s="8" t="str">
        <f t="shared" si="16"/>
        <v/>
      </c>
      <c r="D113" s="31" t="str">
        <f t="shared" si="17"/>
        <v/>
      </c>
      <c r="E113" s="32" t="str">
        <f>IF(106=$AD$1+3,"ขอแสดงความนับถือ",IF(106=$AD$1+6,"(                 )",IF(106=$AD$1+7,"เจ้าหน้าที่ขนส่ง",IF($AB113="G",SUM($AF$8:$AF$407),IF(OR($AB113="",$AB113="R"),"",IF($AB113="D",INDEX($AF$8:$AF$407,$AA113),SUMIF($T$8:$T$407,INDEX($T$8:$T$407,$AA113),$AF$8:$AF$407)))))))</f>
        <v/>
      </c>
      <c r="F113" s="32" t="str">
        <f t="shared" si="18"/>
        <v/>
      </c>
      <c r="G113" s="32" t="str">
        <f t="shared" si="19"/>
        <v/>
      </c>
      <c r="H113" s="32" t="str">
        <f t="shared" si="20"/>
        <v/>
      </c>
      <c r="J113" t="str">
        <f>IFERROR(MATCH(106,บันทึกรายเที่ยว!$W$6:$W$10005,0),"")</f>
        <v/>
      </c>
      <c r="K113" t="str">
        <f>IF($J113="","",INDEX(บันทึกรายเที่ยว!$T$6:$T$10005,$J113))</f>
        <v/>
      </c>
      <c r="L113" t="str">
        <f>IF($J113="","",INDEX(บันทึกรายเที่ยว!$S$6:$S$10005,$J113))</f>
        <v/>
      </c>
      <c r="M113" t="str">
        <f>IF($J113="","",INDEX(บันทึกรายเที่ยว!$R$6:$R$10005,$J113))</f>
        <v/>
      </c>
      <c r="N113" t="str">
        <f>IF($J113="","",MATCH($M113,บันทึกรายเที่ยว!$R$6:$R$10005,0))</f>
        <v/>
      </c>
      <c r="O113" t="str">
        <f>IF($J113="","",MATCH($L113,บันทึกรายเที่ยว!$S$6:$S$10005,0))</f>
        <v/>
      </c>
      <c r="P113" t="str">
        <f>IF($J113="","",IF(AND(OR($I$3="(ทั้งหมด)",INDEX(บันทึกรายเที่ยว!$C$6:$C$10005,$J113)=$I$3),OR($I$5="(ทั้งหมด)",INDEX(บันทึกรายเที่ยว!$D$6:$D$10005,$J113)=$I$5),OR($I$7="(ทั้งหมด)",INDEX(บันทึกรายเที่ยว!$F$6:$F$10005,$J113)=$I$7)),$N113*10000000+$O113*1000+106,""))</f>
        <v/>
      </c>
      <c r="Q113" t="str">
        <f>IFERROR(MATCH(SMALL($P$8:$P$407,106),$P$8:$P$407,0),"")</f>
        <v/>
      </c>
      <c r="R113" t="str">
        <f t="shared" si="21"/>
        <v/>
      </c>
      <c r="S113" t="str">
        <f t="shared" si="22"/>
        <v/>
      </c>
      <c r="T113" t="str">
        <f t="shared" si="23"/>
        <v/>
      </c>
      <c r="U113" t="str">
        <f t="shared" si="24"/>
        <v/>
      </c>
      <c r="V113">
        <f t="shared" si="26"/>
        <v>0</v>
      </c>
      <c r="W113">
        <f t="shared" si="27"/>
        <v>0</v>
      </c>
      <c r="X113">
        <f>IF($Q113="",99999+106,$X112+1+$V112+$W112)</f>
        <v>100105</v>
      </c>
      <c r="Y113" t="str">
        <f>IF($Q113="","",INDEX(บันทึกรายเที่ยว!$Q$6:$Q$10005,$R113))</f>
        <v/>
      </c>
      <c r="Z113" t="str">
        <f>IF($Q113="","",INDEX(บันทึกรายเที่ยว!$F$6:$F$10005,$R113))</f>
        <v/>
      </c>
      <c r="AA113" t="str">
        <f>IFERROR(MATCH(106,$X$8:$X$407,1),"")</f>
        <v/>
      </c>
      <c r="AB113" t="str">
        <f>IF(106=$AD$1+1,"G",IF($AA113="","",IF(INDEX($Q$8:$Q$407,$AA113)="","",IF(106&gt;INDEX($X$8:$X$407,$AA113)+INDEX($V$8:$V$407,$AA113)+INDEX($W$8:$W$407,$AA113),"",IF(106=INDEX($X$8:$X$407,$AA113)+INDEX($V$8:$V$407,$AA113)+INDEX($W$8:$W$407,$AA113),"D",IF(AND(INDEX($W$8:$W$407,$AA113)=1,106=INDEX($X$8:$X$407,$AA113)+INDEX($V$8:$V$407,$AA113)),"S","R"))))))</f>
        <v/>
      </c>
      <c r="AC113" t="str">
        <f t="shared" si="25"/>
        <v/>
      </c>
      <c r="AE113">
        <f>IF($U113="",0,COUNTIF(บันทึกรายเที่ยว!$T$6:$T$10005,$U113))</f>
        <v>0</v>
      </c>
      <c r="AF113">
        <f>IF($U113="",0,ROUND(SUMIF(บันทึกรายเที่ยว!$T$6:$T$10005,$U113,บันทึกรายเที่ยว!$J$6:$J$10005),2))</f>
        <v>0</v>
      </c>
      <c r="AG113">
        <f>IF($U113="",0,ROUND(SUMIF(บันทึกรายเที่ยว!$T$6:$T$10005,$U113,บันทึกรายเที่ยว!$K$6:$K$10005),2))</f>
        <v>0</v>
      </c>
      <c r="AH113">
        <f>IF($U113="",0,ROUND(SUMIF(บันทึกรายเที่ยว!$T$6:$T$10005,$U113,บันทึกรายเที่ยว!$M$6:$M$10005),2))</f>
        <v>0</v>
      </c>
    </row>
    <row r="114" spans="1:34" ht="21" customHeight="1" x14ac:dyDescent="0.95">
      <c r="A114" s="3" t="str">
        <f t="shared" si="14"/>
        <v/>
      </c>
      <c r="B114" s="3" t="str">
        <f t="shared" si="15"/>
        <v/>
      </c>
      <c r="C114" s="8" t="str">
        <f t="shared" si="16"/>
        <v/>
      </c>
      <c r="D114" s="31" t="str">
        <f t="shared" si="17"/>
        <v/>
      </c>
      <c r="E114" s="32" t="str">
        <f>IF(107=$AD$1+3,"ขอแสดงความนับถือ",IF(107=$AD$1+6,"(                 )",IF(107=$AD$1+7,"เจ้าหน้าที่ขนส่ง",IF($AB114="G",SUM($AF$8:$AF$407),IF(OR($AB114="",$AB114="R"),"",IF($AB114="D",INDEX($AF$8:$AF$407,$AA114),SUMIF($T$8:$T$407,INDEX($T$8:$T$407,$AA114),$AF$8:$AF$407)))))))</f>
        <v/>
      </c>
      <c r="F114" s="32" t="str">
        <f t="shared" si="18"/>
        <v/>
      </c>
      <c r="G114" s="32" t="str">
        <f t="shared" si="19"/>
        <v/>
      </c>
      <c r="H114" s="32" t="str">
        <f t="shared" si="20"/>
        <v/>
      </c>
      <c r="J114" t="str">
        <f>IFERROR(MATCH(107,บันทึกรายเที่ยว!$W$6:$W$10005,0),"")</f>
        <v/>
      </c>
      <c r="K114" t="str">
        <f>IF($J114="","",INDEX(บันทึกรายเที่ยว!$T$6:$T$10005,$J114))</f>
        <v/>
      </c>
      <c r="L114" t="str">
        <f>IF($J114="","",INDEX(บันทึกรายเที่ยว!$S$6:$S$10005,$J114))</f>
        <v/>
      </c>
      <c r="M114" t="str">
        <f>IF($J114="","",INDEX(บันทึกรายเที่ยว!$R$6:$R$10005,$J114))</f>
        <v/>
      </c>
      <c r="N114" t="str">
        <f>IF($J114="","",MATCH($M114,บันทึกรายเที่ยว!$R$6:$R$10005,0))</f>
        <v/>
      </c>
      <c r="O114" t="str">
        <f>IF($J114="","",MATCH($L114,บันทึกรายเที่ยว!$S$6:$S$10005,0))</f>
        <v/>
      </c>
      <c r="P114" t="str">
        <f>IF($J114="","",IF(AND(OR($I$3="(ทั้งหมด)",INDEX(บันทึกรายเที่ยว!$C$6:$C$10005,$J114)=$I$3),OR($I$5="(ทั้งหมด)",INDEX(บันทึกรายเที่ยว!$D$6:$D$10005,$J114)=$I$5),OR($I$7="(ทั้งหมด)",INDEX(บันทึกรายเที่ยว!$F$6:$F$10005,$J114)=$I$7)),$N114*10000000+$O114*1000+107,""))</f>
        <v/>
      </c>
      <c r="Q114" t="str">
        <f>IFERROR(MATCH(SMALL($P$8:$P$407,107),$P$8:$P$407,0),"")</f>
        <v/>
      </c>
      <c r="R114" t="str">
        <f t="shared" si="21"/>
        <v/>
      </c>
      <c r="S114" t="str">
        <f t="shared" si="22"/>
        <v/>
      </c>
      <c r="T114" t="str">
        <f t="shared" si="23"/>
        <v/>
      </c>
      <c r="U114" t="str">
        <f t="shared" si="24"/>
        <v/>
      </c>
      <c r="V114">
        <f t="shared" si="26"/>
        <v>0</v>
      </c>
      <c r="W114">
        <f t="shared" si="27"/>
        <v>0</v>
      </c>
      <c r="X114">
        <f>IF($Q114="",99999+107,$X113+1+$V113+$W113)</f>
        <v>100106</v>
      </c>
      <c r="Y114" t="str">
        <f>IF($Q114="","",INDEX(บันทึกรายเที่ยว!$Q$6:$Q$10005,$R114))</f>
        <v/>
      </c>
      <c r="Z114" t="str">
        <f>IF($Q114="","",INDEX(บันทึกรายเที่ยว!$F$6:$F$10005,$R114))</f>
        <v/>
      </c>
      <c r="AA114" t="str">
        <f>IFERROR(MATCH(107,$X$8:$X$407,1),"")</f>
        <v/>
      </c>
      <c r="AB114" t="str">
        <f>IF(107=$AD$1+1,"G",IF($AA114="","",IF(INDEX($Q$8:$Q$407,$AA114)="","",IF(107&gt;INDEX($X$8:$X$407,$AA114)+INDEX($V$8:$V$407,$AA114)+INDEX($W$8:$W$407,$AA114),"",IF(107=INDEX($X$8:$X$407,$AA114)+INDEX($V$8:$V$407,$AA114)+INDEX($W$8:$W$407,$AA114),"D",IF(AND(INDEX($W$8:$W$407,$AA114)=1,107=INDEX($X$8:$X$407,$AA114)+INDEX($V$8:$V$407,$AA114)),"S","R"))))))</f>
        <v/>
      </c>
      <c r="AC114" t="str">
        <f t="shared" si="25"/>
        <v/>
      </c>
      <c r="AE114">
        <f>IF($U114="",0,COUNTIF(บันทึกรายเที่ยว!$T$6:$T$10005,$U114))</f>
        <v>0</v>
      </c>
      <c r="AF114">
        <f>IF($U114="",0,ROUND(SUMIF(บันทึกรายเที่ยว!$T$6:$T$10005,$U114,บันทึกรายเที่ยว!$J$6:$J$10005),2))</f>
        <v>0</v>
      </c>
      <c r="AG114">
        <f>IF($U114="",0,ROUND(SUMIF(บันทึกรายเที่ยว!$T$6:$T$10005,$U114,บันทึกรายเที่ยว!$K$6:$K$10005),2))</f>
        <v>0</v>
      </c>
      <c r="AH114">
        <f>IF($U114="",0,ROUND(SUMIF(บันทึกรายเที่ยว!$T$6:$T$10005,$U114,บันทึกรายเที่ยว!$M$6:$M$10005),2))</f>
        <v>0</v>
      </c>
    </row>
    <row r="115" spans="1:34" ht="21" customHeight="1" x14ac:dyDescent="0.95">
      <c r="A115" s="3" t="str">
        <f t="shared" si="14"/>
        <v/>
      </c>
      <c r="B115" s="3" t="str">
        <f t="shared" si="15"/>
        <v/>
      </c>
      <c r="C115" s="8" t="str">
        <f t="shared" si="16"/>
        <v/>
      </c>
      <c r="D115" s="31" t="str">
        <f t="shared" si="17"/>
        <v/>
      </c>
      <c r="E115" s="32" t="str">
        <f>IF(108=$AD$1+3,"ขอแสดงความนับถือ",IF(108=$AD$1+6,"(                 )",IF(108=$AD$1+7,"เจ้าหน้าที่ขนส่ง",IF($AB115="G",SUM($AF$8:$AF$407),IF(OR($AB115="",$AB115="R"),"",IF($AB115="D",INDEX($AF$8:$AF$407,$AA115),SUMIF($T$8:$T$407,INDEX($T$8:$T$407,$AA115),$AF$8:$AF$407)))))))</f>
        <v/>
      </c>
      <c r="F115" s="32" t="str">
        <f t="shared" si="18"/>
        <v/>
      </c>
      <c r="G115" s="32" t="str">
        <f t="shared" si="19"/>
        <v/>
      </c>
      <c r="H115" s="32" t="str">
        <f t="shared" si="20"/>
        <v/>
      </c>
      <c r="J115" t="str">
        <f>IFERROR(MATCH(108,บันทึกรายเที่ยว!$W$6:$W$10005,0),"")</f>
        <v/>
      </c>
      <c r="K115" t="str">
        <f>IF($J115="","",INDEX(บันทึกรายเที่ยว!$T$6:$T$10005,$J115))</f>
        <v/>
      </c>
      <c r="L115" t="str">
        <f>IF($J115="","",INDEX(บันทึกรายเที่ยว!$S$6:$S$10005,$J115))</f>
        <v/>
      </c>
      <c r="M115" t="str">
        <f>IF($J115="","",INDEX(บันทึกรายเที่ยว!$R$6:$R$10005,$J115))</f>
        <v/>
      </c>
      <c r="N115" t="str">
        <f>IF($J115="","",MATCH($M115,บันทึกรายเที่ยว!$R$6:$R$10005,0))</f>
        <v/>
      </c>
      <c r="O115" t="str">
        <f>IF($J115="","",MATCH($L115,บันทึกรายเที่ยว!$S$6:$S$10005,0))</f>
        <v/>
      </c>
      <c r="P115" t="str">
        <f>IF($J115="","",IF(AND(OR($I$3="(ทั้งหมด)",INDEX(บันทึกรายเที่ยว!$C$6:$C$10005,$J115)=$I$3),OR($I$5="(ทั้งหมด)",INDEX(บันทึกรายเที่ยว!$D$6:$D$10005,$J115)=$I$5),OR($I$7="(ทั้งหมด)",INDEX(บันทึกรายเที่ยว!$F$6:$F$10005,$J115)=$I$7)),$N115*10000000+$O115*1000+108,""))</f>
        <v/>
      </c>
      <c r="Q115" t="str">
        <f>IFERROR(MATCH(SMALL($P$8:$P$407,108),$P$8:$P$407,0),"")</f>
        <v/>
      </c>
      <c r="R115" t="str">
        <f t="shared" si="21"/>
        <v/>
      </c>
      <c r="S115" t="str">
        <f t="shared" si="22"/>
        <v/>
      </c>
      <c r="T115" t="str">
        <f t="shared" si="23"/>
        <v/>
      </c>
      <c r="U115" t="str">
        <f t="shared" si="24"/>
        <v/>
      </c>
      <c r="V115">
        <f t="shared" si="26"/>
        <v>0</v>
      </c>
      <c r="W115">
        <f t="shared" si="27"/>
        <v>0</v>
      </c>
      <c r="X115">
        <f>IF($Q115="",99999+108,$X114+1+$V114+$W114)</f>
        <v>100107</v>
      </c>
      <c r="Y115" t="str">
        <f>IF($Q115="","",INDEX(บันทึกรายเที่ยว!$Q$6:$Q$10005,$R115))</f>
        <v/>
      </c>
      <c r="Z115" t="str">
        <f>IF($Q115="","",INDEX(บันทึกรายเที่ยว!$F$6:$F$10005,$R115))</f>
        <v/>
      </c>
      <c r="AA115" t="str">
        <f>IFERROR(MATCH(108,$X$8:$X$407,1),"")</f>
        <v/>
      </c>
      <c r="AB115" t="str">
        <f>IF(108=$AD$1+1,"G",IF($AA115="","",IF(INDEX($Q$8:$Q$407,$AA115)="","",IF(108&gt;INDEX($X$8:$X$407,$AA115)+INDEX($V$8:$V$407,$AA115)+INDEX($W$8:$W$407,$AA115),"",IF(108=INDEX($X$8:$X$407,$AA115)+INDEX($V$8:$V$407,$AA115)+INDEX($W$8:$W$407,$AA115),"D",IF(AND(INDEX($W$8:$W$407,$AA115)=1,108=INDEX($X$8:$X$407,$AA115)+INDEX($V$8:$V$407,$AA115)),"S","R"))))))</f>
        <v/>
      </c>
      <c r="AC115" t="str">
        <f t="shared" si="25"/>
        <v/>
      </c>
      <c r="AE115">
        <f>IF($U115="",0,COUNTIF(บันทึกรายเที่ยว!$T$6:$T$10005,$U115))</f>
        <v>0</v>
      </c>
      <c r="AF115">
        <f>IF($U115="",0,ROUND(SUMIF(บันทึกรายเที่ยว!$T$6:$T$10005,$U115,บันทึกรายเที่ยว!$J$6:$J$10005),2))</f>
        <v>0</v>
      </c>
      <c r="AG115">
        <f>IF($U115="",0,ROUND(SUMIF(บันทึกรายเที่ยว!$T$6:$T$10005,$U115,บันทึกรายเที่ยว!$K$6:$K$10005),2))</f>
        <v>0</v>
      </c>
      <c r="AH115">
        <f>IF($U115="",0,ROUND(SUMIF(บันทึกรายเที่ยว!$T$6:$T$10005,$U115,บันทึกรายเที่ยว!$M$6:$M$10005),2))</f>
        <v>0</v>
      </c>
    </row>
    <row r="116" spans="1:34" ht="21" customHeight="1" x14ac:dyDescent="0.95">
      <c r="A116" s="3" t="str">
        <f t="shared" si="14"/>
        <v/>
      </c>
      <c r="B116" s="3" t="str">
        <f t="shared" si="15"/>
        <v/>
      </c>
      <c r="C116" s="8" t="str">
        <f t="shared" si="16"/>
        <v/>
      </c>
      <c r="D116" s="31" t="str">
        <f t="shared" si="17"/>
        <v/>
      </c>
      <c r="E116" s="32" t="str">
        <f>IF(109=$AD$1+3,"ขอแสดงความนับถือ",IF(109=$AD$1+6,"(                 )",IF(109=$AD$1+7,"เจ้าหน้าที่ขนส่ง",IF($AB116="G",SUM($AF$8:$AF$407),IF(OR($AB116="",$AB116="R"),"",IF($AB116="D",INDEX($AF$8:$AF$407,$AA116),SUMIF($T$8:$T$407,INDEX($T$8:$T$407,$AA116),$AF$8:$AF$407)))))))</f>
        <v/>
      </c>
      <c r="F116" s="32" t="str">
        <f t="shared" si="18"/>
        <v/>
      </c>
      <c r="G116" s="32" t="str">
        <f t="shared" si="19"/>
        <v/>
      </c>
      <c r="H116" s="32" t="str">
        <f t="shared" si="20"/>
        <v/>
      </c>
      <c r="J116" t="str">
        <f>IFERROR(MATCH(109,บันทึกรายเที่ยว!$W$6:$W$10005,0),"")</f>
        <v/>
      </c>
      <c r="K116" t="str">
        <f>IF($J116="","",INDEX(บันทึกรายเที่ยว!$T$6:$T$10005,$J116))</f>
        <v/>
      </c>
      <c r="L116" t="str">
        <f>IF($J116="","",INDEX(บันทึกรายเที่ยว!$S$6:$S$10005,$J116))</f>
        <v/>
      </c>
      <c r="M116" t="str">
        <f>IF($J116="","",INDEX(บันทึกรายเที่ยว!$R$6:$R$10005,$J116))</f>
        <v/>
      </c>
      <c r="N116" t="str">
        <f>IF($J116="","",MATCH($M116,บันทึกรายเที่ยว!$R$6:$R$10005,0))</f>
        <v/>
      </c>
      <c r="O116" t="str">
        <f>IF($J116="","",MATCH($L116,บันทึกรายเที่ยว!$S$6:$S$10005,0))</f>
        <v/>
      </c>
      <c r="P116" t="str">
        <f>IF($J116="","",IF(AND(OR($I$3="(ทั้งหมด)",INDEX(บันทึกรายเที่ยว!$C$6:$C$10005,$J116)=$I$3),OR($I$5="(ทั้งหมด)",INDEX(บันทึกรายเที่ยว!$D$6:$D$10005,$J116)=$I$5),OR($I$7="(ทั้งหมด)",INDEX(บันทึกรายเที่ยว!$F$6:$F$10005,$J116)=$I$7)),$N116*10000000+$O116*1000+109,""))</f>
        <v/>
      </c>
      <c r="Q116" t="str">
        <f>IFERROR(MATCH(SMALL($P$8:$P$407,109),$P$8:$P$407,0),"")</f>
        <v/>
      </c>
      <c r="R116" t="str">
        <f t="shared" si="21"/>
        <v/>
      </c>
      <c r="S116" t="str">
        <f t="shared" si="22"/>
        <v/>
      </c>
      <c r="T116" t="str">
        <f t="shared" si="23"/>
        <v/>
      </c>
      <c r="U116" t="str">
        <f t="shared" si="24"/>
        <v/>
      </c>
      <c r="V116">
        <f t="shared" si="26"/>
        <v>0</v>
      </c>
      <c r="W116">
        <f t="shared" si="27"/>
        <v>0</v>
      </c>
      <c r="X116">
        <f>IF($Q116="",99999+109,$X115+1+$V115+$W115)</f>
        <v>100108</v>
      </c>
      <c r="Y116" t="str">
        <f>IF($Q116="","",INDEX(บันทึกรายเที่ยว!$Q$6:$Q$10005,$R116))</f>
        <v/>
      </c>
      <c r="Z116" t="str">
        <f>IF($Q116="","",INDEX(บันทึกรายเที่ยว!$F$6:$F$10005,$R116))</f>
        <v/>
      </c>
      <c r="AA116" t="str">
        <f>IFERROR(MATCH(109,$X$8:$X$407,1),"")</f>
        <v/>
      </c>
      <c r="AB116" t="str">
        <f>IF(109=$AD$1+1,"G",IF($AA116="","",IF(INDEX($Q$8:$Q$407,$AA116)="","",IF(109&gt;INDEX($X$8:$X$407,$AA116)+INDEX($V$8:$V$407,$AA116)+INDEX($W$8:$W$407,$AA116),"",IF(109=INDEX($X$8:$X$407,$AA116)+INDEX($V$8:$V$407,$AA116)+INDEX($W$8:$W$407,$AA116),"D",IF(AND(INDEX($W$8:$W$407,$AA116)=1,109=INDEX($X$8:$X$407,$AA116)+INDEX($V$8:$V$407,$AA116)),"S","R"))))))</f>
        <v/>
      </c>
      <c r="AC116" t="str">
        <f t="shared" si="25"/>
        <v/>
      </c>
      <c r="AE116">
        <f>IF($U116="",0,COUNTIF(บันทึกรายเที่ยว!$T$6:$T$10005,$U116))</f>
        <v>0</v>
      </c>
      <c r="AF116">
        <f>IF($U116="",0,ROUND(SUMIF(บันทึกรายเที่ยว!$T$6:$T$10005,$U116,บันทึกรายเที่ยว!$J$6:$J$10005),2))</f>
        <v>0</v>
      </c>
      <c r="AG116">
        <f>IF($U116="",0,ROUND(SUMIF(บันทึกรายเที่ยว!$T$6:$T$10005,$U116,บันทึกรายเที่ยว!$K$6:$K$10005),2))</f>
        <v>0</v>
      </c>
      <c r="AH116">
        <f>IF($U116="",0,ROUND(SUMIF(บันทึกรายเที่ยว!$T$6:$T$10005,$U116,บันทึกรายเที่ยว!$M$6:$M$10005),2))</f>
        <v>0</v>
      </c>
    </row>
    <row r="117" spans="1:34" ht="21" customHeight="1" x14ac:dyDescent="0.95">
      <c r="A117" s="3" t="str">
        <f t="shared" si="14"/>
        <v/>
      </c>
      <c r="B117" s="3" t="str">
        <f t="shared" si="15"/>
        <v/>
      </c>
      <c r="C117" s="8" t="str">
        <f t="shared" si="16"/>
        <v/>
      </c>
      <c r="D117" s="31" t="str">
        <f t="shared" si="17"/>
        <v/>
      </c>
      <c r="E117" s="32" t="str">
        <f>IF(110=$AD$1+3,"ขอแสดงความนับถือ",IF(110=$AD$1+6,"(                 )",IF(110=$AD$1+7,"เจ้าหน้าที่ขนส่ง",IF($AB117="G",SUM($AF$8:$AF$407),IF(OR($AB117="",$AB117="R"),"",IF($AB117="D",INDEX($AF$8:$AF$407,$AA117),SUMIF($T$8:$T$407,INDEX($T$8:$T$407,$AA117),$AF$8:$AF$407)))))))</f>
        <v/>
      </c>
      <c r="F117" s="32" t="str">
        <f t="shared" si="18"/>
        <v/>
      </c>
      <c r="G117" s="32" t="str">
        <f t="shared" si="19"/>
        <v/>
      </c>
      <c r="H117" s="32" t="str">
        <f t="shared" si="20"/>
        <v/>
      </c>
      <c r="J117" t="str">
        <f>IFERROR(MATCH(110,บันทึกรายเที่ยว!$W$6:$W$10005,0),"")</f>
        <v/>
      </c>
      <c r="K117" t="str">
        <f>IF($J117="","",INDEX(บันทึกรายเที่ยว!$T$6:$T$10005,$J117))</f>
        <v/>
      </c>
      <c r="L117" t="str">
        <f>IF($J117="","",INDEX(บันทึกรายเที่ยว!$S$6:$S$10005,$J117))</f>
        <v/>
      </c>
      <c r="M117" t="str">
        <f>IF($J117="","",INDEX(บันทึกรายเที่ยว!$R$6:$R$10005,$J117))</f>
        <v/>
      </c>
      <c r="N117" t="str">
        <f>IF($J117="","",MATCH($M117,บันทึกรายเที่ยว!$R$6:$R$10005,0))</f>
        <v/>
      </c>
      <c r="O117" t="str">
        <f>IF($J117="","",MATCH($L117,บันทึกรายเที่ยว!$S$6:$S$10005,0))</f>
        <v/>
      </c>
      <c r="P117" t="str">
        <f>IF($J117="","",IF(AND(OR($I$3="(ทั้งหมด)",INDEX(บันทึกรายเที่ยว!$C$6:$C$10005,$J117)=$I$3),OR($I$5="(ทั้งหมด)",INDEX(บันทึกรายเที่ยว!$D$6:$D$10005,$J117)=$I$5),OR($I$7="(ทั้งหมด)",INDEX(บันทึกรายเที่ยว!$F$6:$F$10005,$J117)=$I$7)),$N117*10000000+$O117*1000+110,""))</f>
        <v/>
      </c>
      <c r="Q117" t="str">
        <f>IFERROR(MATCH(SMALL($P$8:$P$407,110),$P$8:$P$407,0),"")</f>
        <v/>
      </c>
      <c r="R117" t="str">
        <f t="shared" si="21"/>
        <v/>
      </c>
      <c r="S117" t="str">
        <f t="shared" si="22"/>
        <v/>
      </c>
      <c r="T117" t="str">
        <f t="shared" si="23"/>
        <v/>
      </c>
      <c r="U117" t="str">
        <f t="shared" si="24"/>
        <v/>
      </c>
      <c r="V117">
        <f t="shared" si="26"/>
        <v>0</v>
      </c>
      <c r="W117">
        <f t="shared" si="27"/>
        <v>0</v>
      </c>
      <c r="X117">
        <f>IF($Q117="",99999+110,$X116+1+$V116+$W116)</f>
        <v>100109</v>
      </c>
      <c r="Y117" t="str">
        <f>IF($Q117="","",INDEX(บันทึกรายเที่ยว!$Q$6:$Q$10005,$R117))</f>
        <v/>
      </c>
      <c r="Z117" t="str">
        <f>IF($Q117="","",INDEX(บันทึกรายเที่ยว!$F$6:$F$10005,$R117))</f>
        <v/>
      </c>
      <c r="AA117" t="str">
        <f>IFERROR(MATCH(110,$X$8:$X$407,1),"")</f>
        <v/>
      </c>
      <c r="AB117" t="str">
        <f>IF(110=$AD$1+1,"G",IF($AA117="","",IF(INDEX($Q$8:$Q$407,$AA117)="","",IF(110&gt;INDEX($X$8:$X$407,$AA117)+INDEX($V$8:$V$407,$AA117)+INDEX($W$8:$W$407,$AA117),"",IF(110=INDEX($X$8:$X$407,$AA117)+INDEX($V$8:$V$407,$AA117)+INDEX($W$8:$W$407,$AA117),"D",IF(AND(INDEX($W$8:$W$407,$AA117)=1,110=INDEX($X$8:$X$407,$AA117)+INDEX($V$8:$V$407,$AA117)),"S","R"))))))</f>
        <v/>
      </c>
      <c r="AC117" t="str">
        <f t="shared" si="25"/>
        <v/>
      </c>
      <c r="AE117">
        <f>IF($U117="",0,COUNTIF(บันทึกรายเที่ยว!$T$6:$T$10005,$U117))</f>
        <v>0</v>
      </c>
      <c r="AF117">
        <f>IF($U117="",0,ROUND(SUMIF(บันทึกรายเที่ยว!$T$6:$T$10005,$U117,บันทึกรายเที่ยว!$J$6:$J$10005),2))</f>
        <v>0</v>
      </c>
      <c r="AG117">
        <f>IF($U117="",0,ROUND(SUMIF(บันทึกรายเที่ยว!$T$6:$T$10005,$U117,บันทึกรายเที่ยว!$K$6:$K$10005),2))</f>
        <v>0</v>
      </c>
      <c r="AH117">
        <f>IF($U117="",0,ROUND(SUMIF(บันทึกรายเที่ยว!$T$6:$T$10005,$U117,บันทึกรายเที่ยว!$M$6:$M$10005),2))</f>
        <v>0</v>
      </c>
    </row>
    <row r="118" spans="1:34" ht="21" customHeight="1" x14ac:dyDescent="0.95">
      <c r="A118" s="3" t="str">
        <f t="shared" si="14"/>
        <v/>
      </c>
      <c r="B118" s="3" t="str">
        <f t="shared" si="15"/>
        <v/>
      </c>
      <c r="C118" s="8" t="str">
        <f t="shared" si="16"/>
        <v/>
      </c>
      <c r="D118" s="31" t="str">
        <f t="shared" si="17"/>
        <v/>
      </c>
      <c r="E118" s="32" t="str">
        <f>IF(111=$AD$1+3,"ขอแสดงความนับถือ",IF(111=$AD$1+6,"(                 )",IF(111=$AD$1+7,"เจ้าหน้าที่ขนส่ง",IF($AB118="G",SUM($AF$8:$AF$407),IF(OR($AB118="",$AB118="R"),"",IF($AB118="D",INDEX($AF$8:$AF$407,$AA118),SUMIF($T$8:$T$407,INDEX($T$8:$T$407,$AA118),$AF$8:$AF$407)))))))</f>
        <v/>
      </c>
      <c r="F118" s="32" t="str">
        <f t="shared" si="18"/>
        <v/>
      </c>
      <c r="G118" s="32" t="str">
        <f t="shared" si="19"/>
        <v/>
      </c>
      <c r="H118" s="32" t="str">
        <f t="shared" si="20"/>
        <v/>
      </c>
      <c r="J118" t="str">
        <f>IFERROR(MATCH(111,บันทึกรายเที่ยว!$W$6:$W$10005,0),"")</f>
        <v/>
      </c>
      <c r="K118" t="str">
        <f>IF($J118="","",INDEX(บันทึกรายเที่ยว!$T$6:$T$10005,$J118))</f>
        <v/>
      </c>
      <c r="L118" t="str">
        <f>IF($J118="","",INDEX(บันทึกรายเที่ยว!$S$6:$S$10005,$J118))</f>
        <v/>
      </c>
      <c r="M118" t="str">
        <f>IF($J118="","",INDEX(บันทึกรายเที่ยว!$R$6:$R$10005,$J118))</f>
        <v/>
      </c>
      <c r="N118" t="str">
        <f>IF($J118="","",MATCH($M118,บันทึกรายเที่ยว!$R$6:$R$10005,0))</f>
        <v/>
      </c>
      <c r="O118" t="str">
        <f>IF($J118="","",MATCH($L118,บันทึกรายเที่ยว!$S$6:$S$10005,0))</f>
        <v/>
      </c>
      <c r="P118" t="str">
        <f>IF($J118="","",IF(AND(OR($I$3="(ทั้งหมด)",INDEX(บันทึกรายเที่ยว!$C$6:$C$10005,$J118)=$I$3),OR($I$5="(ทั้งหมด)",INDEX(บันทึกรายเที่ยว!$D$6:$D$10005,$J118)=$I$5),OR($I$7="(ทั้งหมด)",INDEX(บันทึกรายเที่ยว!$F$6:$F$10005,$J118)=$I$7)),$N118*10000000+$O118*1000+111,""))</f>
        <v/>
      </c>
      <c r="Q118" t="str">
        <f>IFERROR(MATCH(SMALL($P$8:$P$407,111),$P$8:$P$407,0),"")</f>
        <v/>
      </c>
      <c r="R118" t="str">
        <f t="shared" si="21"/>
        <v/>
      </c>
      <c r="S118" t="str">
        <f t="shared" si="22"/>
        <v/>
      </c>
      <c r="T118" t="str">
        <f t="shared" si="23"/>
        <v/>
      </c>
      <c r="U118" t="str">
        <f t="shared" si="24"/>
        <v/>
      </c>
      <c r="V118">
        <f t="shared" si="26"/>
        <v>0</v>
      </c>
      <c r="W118">
        <f t="shared" si="27"/>
        <v>0</v>
      </c>
      <c r="X118">
        <f>IF($Q118="",99999+111,$X117+1+$V117+$W117)</f>
        <v>100110</v>
      </c>
      <c r="Y118" t="str">
        <f>IF($Q118="","",INDEX(บันทึกรายเที่ยว!$Q$6:$Q$10005,$R118))</f>
        <v/>
      </c>
      <c r="Z118" t="str">
        <f>IF($Q118="","",INDEX(บันทึกรายเที่ยว!$F$6:$F$10005,$R118))</f>
        <v/>
      </c>
      <c r="AA118" t="str">
        <f>IFERROR(MATCH(111,$X$8:$X$407,1),"")</f>
        <v/>
      </c>
      <c r="AB118" t="str">
        <f>IF(111=$AD$1+1,"G",IF($AA118="","",IF(INDEX($Q$8:$Q$407,$AA118)="","",IF(111&gt;INDEX($X$8:$X$407,$AA118)+INDEX($V$8:$V$407,$AA118)+INDEX($W$8:$W$407,$AA118),"",IF(111=INDEX($X$8:$X$407,$AA118)+INDEX($V$8:$V$407,$AA118)+INDEX($W$8:$W$407,$AA118),"D",IF(AND(INDEX($W$8:$W$407,$AA118)=1,111=INDEX($X$8:$X$407,$AA118)+INDEX($V$8:$V$407,$AA118)),"S","R"))))))</f>
        <v/>
      </c>
      <c r="AC118" t="str">
        <f t="shared" si="25"/>
        <v/>
      </c>
      <c r="AE118">
        <f>IF($U118="",0,COUNTIF(บันทึกรายเที่ยว!$T$6:$T$10005,$U118))</f>
        <v>0</v>
      </c>
      <c r="AF118">
        <f>IF($U118="",0,ROUND(SUMIF(บันทึกรายเที่ยว!$T$6:$T$10005,$U118,บันทึกรายเที่ยว!$J$6:$J$10005),2))</f>
        <v>0</v>
      </c>
      <c r="AG118">
        <f>IF($U118="",0,ROUND(SUMIF(บันทึกรายเที่ยว!$T$6:$T$10005,$U118,บันทึกรายเที่ยว!$K$6:$K$10005),2))</f>
        <v>0</v>
      </c>
      <c r="AH118">
        <f>IF($U118="",0,ROUND(SUMIF(บันทึกรายเที่ยว!$T$6:$T$10005,$U118,บันทึกรายเที่ยว!$M$6:$M$10005),2))</f>
        <v>0</v>
      </c>
    </row>
    <row r="119" spans="1:34" ht="21" customHeight="1" x14ac:dyDescent="0.95">
      <c r="A119" s="3" t="str">
        <f t="shared" si="14"/>
        <v/>
      </c>
      <c r="B119" s="3" t="str">
        <f t="shared" si="15"/>
        <v/>
      </c>
      <c r="C119" s="8" t="str">
        <f t="shared" si="16"/>
        <v/>
      </c>
      <c r="D119" s="31" t="str">
        <f t="shared" si="17"/>
        <v/>
      </c>
      <c r="E119" s="32" t="str">
        <f>IF(112=$AD$1+3,"ขอแสดงความนับถือ",IF(112=$AD$1+6,"(                 )",IF(112=$AD$1+7,"เจ้าหน้าที่ขนส่ง",IF($AB119="G",SUM($AF$8:$AF$407),IF(OR($AB119="",$AB119="R"),"",IF($AB119="D",INDEX($AF$8:$AF$407,$AA119),SUMIF($T$8:$T$407,INDEX($T$8:$T$407,$AA119),$AF$8:$AF$407)))))))</f>
        <v/>
      </c>
      <c r="F119" s="32" t="str">
        <f t="shared" si="18"/>
        <v/>
      </c>
      <c r="G119" s="32" t="str">
        <f t="shared" si="19"/>
        <v/>
      </c>
      <c r="H119" s="32" t="str">
        <f t="shared" si="20"/>
        <v/>
      </c>
      <c r="J119" t="str">
        <f>IFERROR(MATCH(112,บันทึกรายเที่ยว!$W$6:$W$10005,0),"")</f>
        <v/>
      </c>
      <c r="K119" t="str">
        <f>IF($J119="","",INDEX(บันทึกรายเที่ยว!$T$6:$T$10005,$J119))</f>
        <v/>
      </c>
      <c r="L119" t="str">
        <f>IF($J119="","",INDEX(บันทึกรายเที่ยว!$S$6:$S$10005,$J119))</f>
        <v/>
      </c>
      <c r="M119" t="str">
        <f>IF($J119="","",INDEX(บันทึกรายเที่ยว!$R$6:$R$10005,$J119))</f>
        <v/>
      </c>
      <c r="N119" t="str">
        <f>IF($J119="","",MATCH($M119,บันทึกรายเที่ยว!$R$6:$R$10005,0))</f>
        <v/>
      </c>
      <c r="O119" t="str">
        <f>IF($J119="","",MATCH($L119,บันทึกรายเที่ยว!$S$6:$S$10005,0))</f>
        <v/>
      </c>
      <c r="P119" t="str">
        <f>IF($J119="","",IF(AND(OR($I$3="(ทั้งหมด)",INDEX(บันทึกรายเที่ยว!$C$6:$C$10005,$J119)=$I$3),OR($I$5="(ทั้งหมด)",INDEX(บันทึกรายเที่ยว!$D$6:$D$10005,$J119)=$I$5),OR($I$7="(ทั้งหมด)",INDEX(บันทึกรายเที่ยว!$F$6:$F$10005,$J119)=$I$7)),$N119*10000000+$O119*1000+112,""))</f>
        <v/>
      </c>
      <c r="Q119" t="str">
        <f>IFERROR(MATCH(SMALL($P$8:$P$407,112),$P$8:$P$407,0),"")</f>
        <v/>
      </c>
      <c r="R119" t="str">
        <f t="shared" si="21"/>
        <v/>
      </c>
      <c r="S119" t="str">
        <f t="shared" si="22"/>
        <v/>
      </c>
      <c r="T119" t="str">
        <f t="shared" si="23"/>
        <v/>
      </c>
      <c r="U119" t="str">
        <f t="shared" si="24"/>
        <v/>
      </c>
      <c r="V119">
        <f t="shared" si="26"/>
        <v>0</v>
      </c>
      <c r="W119">
        <f t="shared" si="27"/>
        <v>0</v>
      </c>
      <c r="X119">
        <f>IF($Q119="",99999+112,$X118+1+$V118+$W118)</f>
        <v>100111</v>
      </c>
      <c r="Y119" t="str">
        <f>IF($Q119="","",INDEX(บันทึกรายเที่ยว!$Q$6:$Q$10005,$R119))</f>
        <v/>
      </c>
      <c r="Z119" t="str">
        <f>IF($Q119="","",INDEX(บันทึกรายเที่ยว!$F$6:$F$10005,$R119))</f>
        <v/>
      </c>
      <c r="AA119" t="str">
        <f>IFERROR(MATCH(112,$X$8:$X$407,1),"")</f>
        <v/>
      </c>
      <c r="AB119" t="str">
        <f>IF(112=$AD$1+1,"G",IF($AA119="","",IF(INDEX($Q$8:$Q$407,$AA119)="","",IF(112&gt;INDEX($X$8:$X$407,$AA119)+INDEX($V$8:$V$407,$AA119)+INDEX($W$8:$W$407,$AA119),"",IF(112=INDEX($X$8:$X$407,$AA119)+INDEX($V$8:$V$407,$AA119)+INDEX($W$8:$W$407,$AA119),"D",IF(AND(INDEX($W$8:$W$407,$AA119)=1,112=INDEX($X$8:$X$407,$AA119)+INDEX($V$8:$V$407,$AA119)),"S","R"))))))</f>
        <v/>
      </c>
      <c r="AC119" t="str">
        <f t="shared" si="25"/>
        <v/>
      </c>
      <c r="AE119">
        <f>IF($U119="",0,COUNTIF(บันทึกรายเที่ยว!$T$6:$T$10005,$U119))</f>
        <v>0</v>
      </c>
      <c r="AF119">
        <f>IF($U119="",0,ROUND(SUMIF(บันทึกรายเที่ยว!$T$6:$T$10005,$U119,บันทึกรายเที่ยว!$J$6:$J$10005),2))</f>
        <v>0</v>
      </c>
      <c r="AG119">
        <f>IF($U119="",0,ROUND(SUMIF(บันทึกรายเที่ยว!$T$6:$T$10005,$U119,บันทึกรายเที่ยว!$K$6:$K$10005),2))</f>
        <v>0</v>
      </c>
      <c r="AH119">
        <f>IF($U119="",0,ROUND(SUMIF(บันทึกรายเที่ยว!$T$6:$T$10005,$U119,บันทึกรายเที่ยว!$M$6:$M$10005),2))</f>
        <v>0</v>
      </c>
    </row>
    <row r="120" spans="1:34" ht="21" customHeight="1" x14ac:dyDescent="0.95">
      <c r="A120" s="3" t="str">
        <f t="shared" si="14"/>
        <v/>
      </c>
      <c r="B120" s="3" t="str">
        <f t="shared" si="15"/>
        <v/>
      </c>
      <c r="C120" s="8" t="str">
        <f t="shared" si="16"/>
        <v/>
      </c>
      <c r="D120" s="31" t="str">
        <f t="shared" si="17"/>
        <v/>
      </c>
      <c r="E120" s="32" t="str">
        <f>IF(113=$AD$1+3,"ขอแสดงความนับถือ",IF(113=$AD$1+6,"(                 )",IF(113=$AD$1+7,"เจ้าหน้าที่ขนส่ง",IF($AB120="G",SUM($AF$8:$AF$407),IF(OR($AB120="",$AB120="R"),"",IF($AB120="D",INDEX($AF$8:$AF$407,$AA120),SUMIF($T$8:$T$407,INDEX($T$8:$T$407,$AA120),$AF$8:$AF$407)))))))</f>
        <v/>
      </c>
      <c r="F120" s="32" t="str">
        <f t="shared" si="18"/>
        <v/>
      </c>
      <c r="G120" s="32" t="str">
        <f t="shared" si="19"/>
        <v/>
      </c>
      <c r="H120" s="32" t="str">
        <f t="shared" si="20"/>
        <v/>
      </c>
      <c r="J120" t="str">
        <f>IFERROR(MATCH(113,บันทึกรายเที่ยว!$W$6:$W$10005,0),"")</f>
        <v/>
      </c>
      <c r="K120" t="str">
        <f>IF($J120="","",INDEX(บันทึกรายเที่ยว!$T$6:$T$10005,$J120))</f>
        <v/>
      </c>
      <c r="L120" t="str">
        <f>IF($J120="","",INDEX(บันทึกรายเที่ยว!$S$6:$S$10005,$J120))</f>
        <v/>
      </c>
      <c r="M120" t="str">
        <f>IF($J120="","",INDEX(บันทึกรายเที่ยว!$R$6:$R$10005,$J120))</f>
        <v/>
      </c>
      <c r="N120" t="str">
        <f>IF($J120="","",MATCH($M120,บันทึกรายเที่ยว!$R$6:$R$10005,0))</f>
        <v/>
      </c>
      <c r="O120" t="str">
        <f>IF($J120="","",MATCH($L120,บันทึกรายเที่ยว!$S$6:$S$10005,0))</f>
        <v/>
      </c>
      <c r="P120" t="str">
        <f>IF($J120="","",IF(AND(OR($I$3="(ทั้งหมด)",INDEX(บันทึกรายเที่ยว!$C$6:$C$10005,$J120)=$I$3),OR($I$5="(ทั้งหมด)",INDEX(บันทึกรายเที่ยว!$D$6:$D$10005,$J120)=$I$5),OR($I$7="(ทั้งหมด)",INDEX(บันทึกรายเที่ยว!$F$6:$F$10005,$J120)=$I$7)),$N120*10000000+$O120*1000+113,""))</f>
        <v/>
      </c>
      <c r="Q120" t="str">
        <f>IFERROR(MATCH(SMALL($P$8:$P$407,113),$P$8:$P$407,0),"")</f>
        <v/>
      </c>
      <c r="R120" t="str">
        <f t="shared" si="21"/>
        <v/>
      </c>
      <c r="S120" t="str">
        <f t="shared" si="22"/>
        <v/>
      </c>
      <c r="T120" t="str">
        <f t="shared" si="23"/>
        <v/>
      </c>
      <c r="U120" t="str">
        <f t="shared" si="24"/>
        <v/>
      </c>
      <c r="V120">
        <f t="shared" si="26"/>
        <v>0</v>
      </c>
      <c r="W120">
        <f t="shared" si="27"/>
        <v>0</v>
      </c>
      <c r="X120">
        <f>IF($Q120="",99999+113,$X119+1+$V119+$W119)</f>
        <v>100112</v>
      </c>
      <c r="Y120" t="str">
        <f>IF($Q120="","",INDEX(บันทึกรายเที่ยว!$Q$6:$Q$10005,$R120))</f>
        <v/>
      </c>
      <c r="Z120" t="str">
        <f>IF($Q120="","",INDEX(บันทึกรายเที่ยว!$F$6:$F$10005,$R120))</f>
        <v/>
      </c>
      <c r="AA120" t="str">
        <f>IFERROR(MATCH(113,$X$8:$X$407,1),"")</f>
        <v/>
      </c>
      <c r="AB120" t="str">
        <f>IF(113=$AD$1+1,"G",IF($AA120="","",IF(INDEX($Q$8:$Q$407,$AA120)="","",IF(113&gt;INDEX($X$8:$X$407,$AA120)+INDEX($V$8:$V$407,$AA120)+INDEX($W$8:$W$407,$AA120),"",IF(113=INDEX($X$8:$X$407,$AA120)+INDEX($V$8:$V$407,$AA120)+INDEX($W$8:$W$407,$AA120),"D",IF(AND(INDEX($W$8:$W$407,$AA120)=1,113=INDEX($X$8:$X$407,$AA120)+INDEX($V$8:$V$407,$AA120)),"S","R"))))))</f>
        <v/>
      </c>
      <c r="AC120" t="str">
        <f t="shared" si="25"/>
        <v/>
      </c>
      <c r="AE120">
        <f>IF($U120="",0,COUNTIF(บันทึกรายเที่ยว!$T$6:$T$10005,$U120))</f>
        <v>0</v>
      </c>
      <c r="AF120">
        <f>IF($U120="",0,ROUND(SUMIF(บันทึกรายเที่ยว!$T$6:$T$10005,$U120,บันทึกรายเที่ยว!$J$6:$J$10005),2))</f>
        <v>0</v>
      </c>
      <c r="AG120">
        <f>IF($U120="",0,ROUND(SUMIF(บันทึกรายเที่ยว!$T$6:$T$10005,$U120,บันทึกรายเที่ยว!$K$6:$K$10005),2))</f>
        <v>0</v>
      </c>
      <c r="AH120">
        <f>IF($U120="",0,ROUND(SUMIF(บันทึกรายเที่ยว!$T$6:$T$10005,$U120,บันทึกรายเที่ยว!$M$6:$M$10005),2))</f>
        <v>0</v>
      </c>
    </row>
    <row r="121" spans="1:34" ht="21" customHeight="1" x14ac:dyDescent="0.95">
      <c r="A121" s="3" t="str">
        <f t="shared" si="14"/>
        <v/>
      </c>
      <c r="B121" s="3" t="str">
        <f t="shared" si="15"/>
        <v/>
      </c>
      <c r="C121" s="8" t="str">
        <f t="shared" si="16"/>
        <v/>
      </c>
      <c r="D121" s="31" t="str">
        <f t="shared" si="17"/>
        <v/>
      </c>
      <c r="E121" s="32" t="str">
        <f>IF(114=$AD$1+3,"ขอแสดงความนับถือ",IF(114=$AD$1+6,"(                 )",IF(114=$AD$1+7,"เจ้าหน้าที่ขนส่ง",IF($AB121="G",SUM($AF$8:$AF$407),IF(OR($AB121="",$AB121="R"),"",IF($AB121="D",INDEX($AF$8:$AF$407,$AA121),SUMIF($T$8:$T$407,INDEX($T$8:$T$407,$AA121),$AF$8:$AF$407)))))))</f>
        <v/>
      </c>
      <c r="F121" s="32" t="str">
        <f t="shared" si="18"/>
        <v/>
      </c>
      <c r="G121" s="32" t="str">
        <f t="shared" si="19"/>
        <v/>
      </c>
      <c r="H121" s="32" t="str">
        <f t="shared" si="20"/>
        <v/>
      </c>
      <c r="J121" t="str">
        <f>IFERROR(MATCH(114,บันทึกรายเที่ยว!$W$6:$W$10005,0),"")</f>
        <v/>
      </c>
      <c r="K121" t="str">
        <f>IF($J121="","",INDEX(บันทึกรายเที่ยว!$T$6:$T$10005,$J121))</f>
        <v/>
      </c>
      <c r="L121" t="str">
        <f>IF($J121="","",INDEX(บันทึกรายเที่ยว!$S$6:$S$10005,$J121))</f>
        <v/>
      </c>
      <c r="M121" t="str">
        <f>IF($J121="","",INDEX(บันทึกรายเที่ยว!$R$6:$R$10005,$J121))</f>
        <v/>
      </c>
      <c r="N121" t="str">
        <f>IF($J121="","",MATCH($M121,บันทึกรายเที่ยว!$R$6:$R$10005,0))</f>
        <v/>
      </c>
      <c r="O121" t="str">
        <f>IF($J121="","",MATCH($L121,บันทึกรายเที่ยว!$S$6:$S$10005,0))</f>
        <v/>
      </c>
      <c r="P121" t="str">
        <f>IF($J121="","",IF(AND(OR($I$3="(ทั้งหมด)",INDEX(บันทึกรายเที่ยว!$C$6:$C$10005,$J121)=$I$3),OR($I$5="(ทั้งหมด)",INDEX(บันทึกรายเที่ยว!$D$6:$D$10005,$J121)=$I$5),OR($I$7="(ทั้งหมด)",INDEX(บันทึกรายเที่ยว!$F$6:$F$10005,$J121)=$I$7)),$N121*10000000+$O121*1000+114,""))</f>
        <v/>
      </c>
      <c r="Q121" t="str">
        <f>IFERROR(MATCH(SMALL($P$8:$P$407,114),$P$8:$P$407,0),"")</f>
        <v/>
      </c>
      <c r="R121" t="str">
        <f t="shared" si="21"/>
        <v/>
      </c>
      <c r="S121" t="str">
        <f t="shared" si="22"/>
        <v/>
      </c>
      <c r="T121" t="str">
        <f t="shared" si="23"/>
        <v/>
      </c>
      <c r="U121" t="str">
        <f t="shared" si="24"/>
        <v/>
      </c>
      <c r="V121">
        <f t="shared" si="26"/>
        <v>0</v>
      </c>
      <c r="W121">
        <f t="shared" si="27"/>
        <v>0</v>
      </c>
      <c r="X121">
        <f>IF($Q121="",99999+114,$X120+1+$V120+$W120)</f>
        <v>100113</v>
      </c>
      <c r="Y121" t="str">
        <f>IF($Q121="","",INDEX(บันทึกรายเที่ยว!$Q$6:$Q$10005,$R121))</f>
        <v/>
      </c>
      <c r="Z121" t="str">
        <f>IF($Q121="","",INDEX(บันทึกรายเที่ยว!$F$6:$F$10005,$R121))</f>
        <v/>
      </c>
      <c r="AA121" t="str">
        <f>IFERROR(MATCH(114,$X$8:$X$407,1),"")</f>
        <v/>
      </c>
      <c r="AB121" t="str">
        <f>IF(114=$AD$1+1,"G",IF($AA121="","",IF(INDEX($Q$8:$Q$407,$AA121)="","",IF(114&gt;INDEX($X$8:$X$407,$AA121)+INDEX($V$8:$V$407,$AA121)+INDEX($W$8:$W$407,$AA121),"",IF(114=INDEX($X$8:$X$407,$AA121)+INDEX($V$8:$V$407,$AA121)+INDEX($W$8:$W$407,$AA121),"D",IF(AND(INDEX($W$8:$W$407,$AA121)=1,114=INDEX($X$8:$X$407,$AA121)+INDEX($V$8:$V$407,$AA121)),"S","R"))))))</f>
        <v/>
      </c>
      <c r="AC121" t="str">
        <f t="shared" si="25"/>
        <v/>
      </c>
      <c r="AE121">
        <f>IF($U121="",0,COUNTIF(บันทึกรายเที่ยว!$T$6:$T$10005,$U121))</f>
        <v>0</v>
      </c>
      <c r="AF121">
        <f>IF($U121="",0,ROUND(SUMIF(บันทึกรายเที่ยว!$T$6:$T$10005,$U121,บันทึกรายเที่ยว!$J$6:$J$10005),2))</f>
        <v>0</v>
      </c>
      <c r="AG121">
        <f>IF($U121="",0,ROUND(SUMIF(บันทึกรายเที่ยว!$T$6:$T$10005,$U121,บันทึกรายเที่ยว!$K$6:$K$10005),2))</f>
        <v>0</v>
      </c>
      <c r="AH121">
        <f>IF($U121="",0,ROUND(SUMIF(บันทึกรายเที่ยว!$T$6:$T$10005,$U121,บันทึกรายเที่ยว!$M$6:$M$10005),2))</f>
        <v>0</v>
      </c>
    </row>
    <row r="122" spans="1:34" ht="21" customHeight="1" x14ac:dyDescent="0.95">
      <c r="A122" s="3" t="str">
        <f t="shared" si="14"/>
        <v/>
      </c>
      <c r="B122" s="3" t="str">
        <f t="shared" si="15"/>
        <v/>
      </c>
      <c r="C122" s="8" t="str">
        <f t="shared" si="16"/>
        <v/>
      </c>
      <c r="D122" s="31" t="str">
        <f t="shared" si="17"/>
        <v/>
      </c>
      <c r="E122" s="32" t="str">
        <f>IF(115=$AD$1+3,"ขอแสดงความนับถือ",IF(115=$AD$1+6,"(                 )",IF(115=$AD$1+7,"เจ้าหน้าที่ขนส่ง",IF($AB122="G",SUM($AF$8:$AF$407),IF(OR($AB122="",$AB122="R"),"",IF($AB122="D",INDEX($AF$8:$AF$407,$AA122),SUMIF($T$8:$T$407,INDEX($T$8:$T$407,$AA122),$AF$8:$AF$407)))))))</f>
        <v/>
      </c>
      <c r="F122" s="32" t="str">
        <f t="shared" si="18"/>
        <v/>
      </c>
      <c r="G122" s="32" t="str">
        <f t="shared" si="19"/>
        <v/>
      </c>
      <c r="H122" s="32" t="str">
        <f t="shared" si="20"/>
        <v/>
      </c>
      <c r="J122" t="str">
        <f>IFERROR(MATCH(115,บันทึกรายเที่ยว!$W$6:$W$10005,0),"")</f>
        <v/>
      </c>
      <c r="K122" t="str">
        <f>IF($J122="","",INDEX(บันทึกรายเที่ยว!$T$6:$T$10005,$J122))</f>
        <v/>
      </c>
      <c r="L122" t="str">
        <f>IF($J122="","",INDEX(บันทึกรายเที่ยว!$S$6:$S$10005,$J122))</f>
        <v/>
      </c>
      <c r="M122" t="str">
        <f>IF($J122="","",INDEX(บันทึกรายเที่ยว!$R$6:$R$10005,$J122))</f>
        <v/>
      </c>
      <c r="N122" t="str">
        <f>IF($J122="","",MATCH($M122,บันทึกรายเที่ยว!$R$6:$R$10005,0))</f>
        <v/>
      </c>
      <c r="O122" t="str">
        <f>IF($J122="","",MATCH($L122,บันทึกรายเที่ยว!$S$6:$S$10005,0))</f>
        <v/>
      </c>
      <c r="P122" t="str">
        <f>IF($J122="","",IF(AND(OR($I$3="(ทั้งหมด)",INDEX(บันทึกรายเที่ยว!$C$6:$C$10005,$J122)=$I$3),OR($I$5="(ทั้งหมด)",INDEX(บันทึกรายเที่ยว!$D$6:$D$10005,$J122)=$I$5),OR($I$7="(ทั้งหมด)",INDEX(บันทึกรายเที่ยว!$F$6:$F$10005,$J122)=$I$7)),$N122*10000000+$O122*1000+115,""))</f>
        <v/>
      </c>
      <c r="Q122" t="str">
        <f>IFERROR(MATCH(SMALL($P$8:$P$407,115),$P$8:$P$407,0),"")</f>
        <v/>
      </c>
      <c r="R122" t="str">
        <f t="shared" si="21"/>
        <v/>
      </c>
      <c r="S122" t="str">
        <f t="shared" si="22"/>
        <v/>
      </c>
      <c r="T122" t="str">
        <f t="shared" si="23"/>
        <v/>
      </c>
      <c r="U122" t="str">
        <f t="shared" si="24"/>
        <v/>
      </c>
      <c r="V122">
        <f t="shared" si="26"/>
        <v>0</v>
      </c>
      <c r="W122">
        <f t="shared" si="27"/>
        <v>0</v>
      </c>
      <c r="X122">
        <f>IF($Q122="",99999+115,$X121+1+$V121+$W121)</f>
        <v>100114</v>
      </c>
      <c r="Y122" t="str">
        <f>IF($Q122="","",INDEX(บันทึกรายเที่ยว!$Q$6:$Q$10005,$R122))</f>
        <v/>
      </c>
      <c r="Z122" t="str">
        <f>IF($Q122="","",INDEX(บันทึกรายเที่ยว!$F$6:$F$10005,$R122))</f>
        <v/>
      </c>
      <c r="AA122" t="str">
        <f>IFERROR(MATCH(115,$X$8:$X$407,1),"")</f>
        <v/>
      </c>
      <c r="AB122" t="str">
        <f>IF(115=$AD$1+1,"G",IF($AA122="","",IF(INDEX($Q$8:$Q$407,$AA122)="","",IF(115&gt;INDEX($X$8:$X$407,$AA122)+INDEX($V$8:$V$407,$AA122)+INDEX($W$8:$W$407,$AA122),"",IF(115=INDEX($X$8:$X$407,$AA122)+INDEX($V$8:$V$407,$AA122)+INDEX($W$8:$W$407,$AA122),"D",IF(AND(INDEX($W$8:$W$407,$AA122)=1,115=INDEX($X$8:$X$407,$AA122)+INDEX($V$8:$V$407,$AA122)),"S","R"))))))</f>
        <v/>
      </c>
      <c r="AC122" t="str">
        <f t="shared" si="25"/>
        <v/>
      </c>
      <c r="AE122">
        <f>IF($U122="",0,COUNTIF(บันทึกรายเที่ยว!$T$6:$T$10005,$U122))</f>
        <v>0</v>
      </c>
      <c r="AF122">
        <f>IF($U122="",0,ROUND(SUMIF(บันทึกรายเที่ยว!$T$6:$T$10005,$U122,บันทึกรายเที่ยว!$J$6:$J$10005),2))</f>
        <v>0</v>
      </c>
      <c r="AG122">
        <f>IF($U122="",0,ROUND(SUMIF(บันทึกรายเที่ยว!$T$6:$T$10005,$U122,บันทึกรายเที่ยว!$K$6:$K$10005),2))</f>
        <v>0</v>
      </c>
      <c r="AH122">
        <f>IF($U122="",0,ROUND(SUMIF(บันทึกรายเที่ยว!$T$6:$T$10005,$U122,บันทึกรายเที่ยว!$M$6:$M$10005),2))</f>
        <v>0</v>
      </c>
    </row>
    <row r="123" spans="1:34" ht="21" customHeight="1" x14ac:dyDescent="0.95">
      <c r="A123" s="3" t="str">
        <f t="shared" si="14"/>
        <v/>
      </c>
      <c r="B123" s="3" t="str">
        <f t="shared" si="15"/>
        <v/>
      </c>
      <c r="C123" s="8" t="str">
        <f t="shared" si="16"/>
        <v/>
      </c>
      <c r="D123" s="31" t="str">
        <f t="shared" si="17"/>
        <v/>
      </c>
      <c r="E123" s="32" t="str">
        <f>IF(116=$AD$1+3,"ขอแสดงความนับถือ",IF(116=$AD$1+6,"(                 )",IF(116=$AD$1+7,"เจ้าหน้าที่ขนส่ง",IF($AB123="G",SUM($AF$8:$AF$407),IF(OR($AB123="",$AB123="R"),"",IF($AB123="D",INDEX($AF$8:$AF$407,$AA123),SUMIF($T$8:$T$407,INDEX($T$8:$T$407,$AA123),$AF$8:$AF$407)))))))</f>
        <v/>
      </c>
      <c r="F123" s="32" t="str">
        <f t="shared" si="18"/>
        <v/>
      </c>
      <c r="G123" s="32" t="str">
        <f t="shared" si="19"/>
        <v/>
      </c>
      <c r="H123" s="32" t="str">
        <f t="shared" si="20"/>
        <v/>
      </c>
      <c r="J123" t="str">
        <f>IFERROR(MATCH(116,บันทึกรายเที่ยว!$W$6:$W$10005,0),"")</f>
        <v/>
      </c>
      <c r="K123" t="str">
        <f>IF($J123="","",INDEX(บันทึกรายเที่ยว!$T$6:$T$10005,$J123))</f>
        <v/>
      </c>
      <c r="L123" t="str">
        <f>IF($J123="","",INDEX(บันทึกรายเที่ยว!$S$6:$S$10005,$J123))</f>
        <v/>
      </c>
      <c r="M123" t="str">
        <f>IF($J123="","",INDEX(บันทึกรายเที่ยว!$R$6:$R$10005,$J123))</f>
        <v/>
      </c>
      <c r="N123" t="str">
        <f>IF($J123="","",MATCH($M123,บันทึกรายเที่ยว!$R$6:$R$10005,0))</f>
        <v/>
      </c>
      <c r="O123" t="str">
        <f>IF($J123="","",MATCH($L123,บันทึกรายเที่ยว!$S$6:$S$10005,0))</f>
        <v/>
      </c>
      <c r="P123" t="str">
        <f>IF($J123="","",IF(AND(OR($I$3="(ทั้งหมด)",INDEX(บันทึกรายเที่ยว!$C$6:$C$10005,$J123)=$I$3),OR($I$5="(ทั้งหมด)",INDEX(บันทึกรายเที่ยว!$D$6:$D$10005,$J123)=$I$5),OR($I$7="(ทั้งหมด)",INDEX(บันทึกรายเที่ยว!$F$6:$F$10005,$J123)=$I$7)),$N123*10000000+$O123*1000+116,""))</f>
        <v/>
      </c>
      <c r="Q123" t="str">
        <f>IFERROR(MATCH(SMALL($P$8:$P$407,116),$P$8:$P$407,0),"")</f>
        <v/>
      </c>
      <c r="R123" t="str">
        <f t="shared" si="21"/>
        <v/>
      </c>
      <c r="S123" t="str">
        <f t="shared" si="22"/>
        <v/>
      </c>
      <c r="T123" t="str">
        <f t="shared" si="23"/>
        <v/>
      </c>
      <c r="U123" t="str">
        <f t="shared" si="24"/>
        <v/>
      </c>
      <c r="V123">
        <f t="shared" si="26"/>
        <v>0</v>
      </c>
      <c r="W123">
        <f t="shared" si="27"/>
        <v>0</v>
      </c>
      <c r="X123">
        <f>IF($Q123="",99999+116,$X122+1+$V122+$W122)</f>
        <v>100115</v>
      </c>
      <c r="Y123" t="str">
        <f>IF($Q123="","",INDEX(บันทึกรายเที่ยว!$Q$6:$Q$10005,$R123))</f>
        <v/>
      </c>
      <c r="Z123" t="str">
        <f>IF($Q123="","",INDEX(บันทึกรายเที่ยว!$F$6:$F$10005,$R123))</f>
        <v/>
      </c>
      <c r="AA123" t="str">
        <f>IFERROR(MATCH(116,$X$8:$X$407,1),"")</f>
        <v/>
      </c>
      <c r="AB123" t="str">
        <f>IF(116=$AD$1+1,"G",IF($AA123="","",IF(INDEX($Q$8:$Q$407,$AA123)="","",IF(116&gt;INDEX($X$8:$X$407,$AA123)+INDEX($V$8:$V$407,$AA123)+INDEX($W$8:$W$407,$AA123),"",IF(116=INDEX($X$8:$X$407,$AA123)+INDEX($V$8:$V$407,$AA123)+INDEX($W$8:$W$407,$AA123),"D",IF(AND(INDEX($W$8:$W$407,$AA123)=1,116=INDEX($X$8:$X$407,$AA123)+INDEX($V$8:$V$407,$AA123)),"S","R"))))))</f>
        <v/>
      </c>
      <c r="AC123" t="str">
        <f t="shared" si="25"/>
        <v/>
      </c>
      <c r="AE123">
        <f>IF($U123="",0,COUNTIF(บันทึกรายเที่ยว!$T$6:$T$10005,$U123))</f>
        <v>0</v>
      </c>
      <c r="AF123">
        <f>IF($U123="",0,ROUND(SUMIF(บันทึกรายเที่ยว!$T$6:$T$10005,$U123,บันทึกรายเที่ยว!$J$6:$J$10005),2))</f>
        <v>0</v>
      </c>
      <c r="AG123">
        <f>IF($U123="",0,ROUND(SUMIF(บันทึกรายเที่ยว!$T$6:$T$10005,$U123,บันทึกรายเที่ยว!$K$6:$K$10005),2))</f>
        <v>0</v>
      </c>
      <c r="AH123">
        <f>IF($U123="",0,ROUND(SUMIF(บันทึกรายเที่ยว!$T$6:$T$10005,$U123,บันทึกรายเที่ยว!$M$6:$M$10005),2))</f>
        <v>0</v>
      </c>
    </row>
    <row r="124" spans="1:34" ht="21" customHeight="1" x14ac:dyDescent="0.95">
      <c r="A124" s="3" t="str">
        <f t="shared" si="14"/>
        <v/>
      </c>
      <c r="B124" s="3" t="str">
        <f t="shared" si="15"/>
        <v/>
      </c>
      <c r="C124" s="8" t="str">
        <f t="shared" si="16"/>
        <v/>
      </c>
      <c r="D124" s="31" t="str">
        <f t="shared" si="17"/>
        <v/>
      </c>
      <c r="E124" s="32" t="str">
        <f>IF(117=$AD$1+3,"ขอแสดงความนับถือ",IF(117=$AD$1+6,"(                 )",IF(117=$AD$1+7,"เจ้าหน้าที่ขนส่ง",IF($AB124="G",SUM($AF$8:$AF$407),IF(OR($AB124="",$AB124="R"),"",IF($AB124="D",INDEX($AF$8:$AF$407,$AA124),SUMIF($T$8:$T$407,INDEX($T$8:$T$407,$AA124),$AF$8:$AF$407)))))))</f>
        <v/>
      </c>
      <c r="F124" s="32" t="str">
        <f t="shared" si="18"/>
        <v/>
      </c>
      <c r="G124" s="32" t="str">
        <f t="shared" si="19"/>
        <v/>
      </c>
      <c r="H124" s="32" t="str">
        <f t="shared" si="20"/>
        <v/>
      </c>
      <c r="J124" t="str">
        <f>IFERROR(MATCH(117,บันทึกรายเที่ยว!$W$6:$W$10005,0),"")</f>
        <v/>
      </c>
      <c r="K124" t="str">
        <f>IF($J124="","",INDEX(บันทึกรายเที่ยว!$T$6:$T$10005,$J124))</f>
        <v/>
      </c>
      <c r="L124" t="str">
        <f>IF($J124="","",INDEX(บันทึกรายเที่ยว!$S$6:$S$10005,$J124))</f>
        <v/>
      </c>
      <c r="M124" t="str">
        <f>IF($J124="","",INDEX(บันทึกรายเที่ยว!$R$6:$R$10005,$J124))</f>
        <v/>
      </c>
      <c r="N124" t="str">
        <f>IF($J124="","",MATCH($M124,บันทึกรายเที่ยว!$R$6:$R$10005,0))</f>
        <v/>
      </c>
      <c r="O124" t="str">
        <f>IF($J124="","",MATCH($L124,บันทึกรายเที่ยว!$S$6:$S$10005,0))</f>
        <v/>
      </c>
      <c r="P124" t="str">
        <f>IF($J124="","",IF(AND(OR($I$3="(ทั้งหมด)",INDEX(บันทึกรายเที่ยว!$C$6:$C$10005,$J124)=$I$3),OR($I$5="(ทั้งหมด)",INDEX(บันทึกรายเที่ยว!$D$6:$D$10005,$J124)=$I$5),OR($I$7="(ทั้งหมด)",INDEX(บันทึกรายเที่ยว!$F$6:$F$10005,$J124)=$I$7)),$N124*10000000+$O124*1000+117,""))</f>
        <v/>
      </c>
      <c r="Q124" t="str">
        <f>IFERROR(MATCH(SMALL($P$8:$P$407,117),$P$8:$P$407,0),"")</f>
        <v/>
      </c>
      <c r="R124" t="str">
        <f t="shared" si="21"/>
        <v/>
      </c>
      <c r="S124" t="str">
        <f t="shared" si="22"/>
        <v/>
      </c>
      <c r="T124" t="str">
        <f t="shared" si="23"/>
        <v/>
      </c>
      <c r="U124" t="str">
        <f t="shared" si="24"/>
        <v/>
      </c>
      <c r="V124">
        <f t="shared" si="26"/>
        <v>0</v>
      </c>
      <c r="W124">
        <f t="shared" si="27"/>
        <v>0</v>
      </c>
      <c r="X124">
        <f>IF($Q124="",99999+117,$X123+1+$V123+$W123)</f>
        <v>100116</v>
      </c>
      <c r="Y124" t="str">
        <f>IF($Q124="","",INDEX(บันทึกรายเที่ยว!$Q$6:$Q$10005,$R124))</f>
        <v/>
      </c>
      <c r="Z124" t="str">
        <f>IF($Q124="","",INDEX(บันทึกรายเที่ยว!$F$6:$F$10005,$R124))</f>
        <v/>
      </c>
      <c r="AA124" t="str">
        <f>IFERROR(MATCH(117,$X$8:$X$407,1),"")</f>
        <v/>
      </c>
      <c r="AB124" t="str">
        <f>IF(117=$AD$1+1,"G",IF($AA124="","",IF(INDEX($Q$8:$Q$407,$AA124)="","",IF(117&gt;INDEX($X$8:$X$407,$AA124)+INDEX($V$8:$V$407,$AA124)+INDEX($W$8:$W$407,$AA124),"",IF(117=INDEX($X$8:$X$407,$AA124)+INDEX($V$8:$V$407,$AA124)+INDEX($W$8:$W$407,$AA124),"D",IF(AND(INDEX($W$8:$W$407,$AA124)=1,117=INDEX($X$8:$X$407,$AA124)+INDEX($V$8:$V$407,$AA124)),"S","R"))))))</f>
        <v/>
      </c>
      <c r="AC124" t="str">
        <f t="shared" si="25"/>
        <v/>
      </c>
      <c r="AE124">
        <f>IF($U124="",0,COUNTIF(บันทึกรายเที่ยว!$T$6:$T$10005,$U124))</f>
        <v>0</v>
      </c>
      <c r="AF124">
        <f>IF($U124="",0,ROUND(SUMIF(บันทึกรายเที่ยว!$T$6:$T$10005,$U124,บันทึกรายเที่ยว!$J$6:$J$10005),2))</f>
        <v>0</v>
      </c>
      <c r="AG124">
        <f>IF($U124="",0,ROUND(SUMIF(บันทึกรายเที่ยว!$T$6:$T$10005,$U124,บันทึกรายเที่ยว!$K$6:$K$10005),2))</f>
        <v>0</v>
      </c>
      <c r="AH124">
        <f>IF($U124="",0,ROUND(SUMIF(บันทึกรายเที่ยว!$T$6:$T$10005,$U124,บันทึกรายเที่ยว!$M$6:$M$10005),2))</f>
        <v>0</v>
      </c>
    </row>
    <row r="125" spans="1:34" ht="21" customHeight="1" x14ac:dyDescent="0.95">
      <c r="A125" s="3" t="str">
        <f t="shared" si="14"/>
        <v/>
      </c>
      <c r="B125" s="3" t="str">
        <f t="shared" si="15"/>
        <v/>
      </c>
      <c r="C125" s="8" t="str">
        <f t="shared" si="16"/>
        <v/>
      </c>
      <c r="D125" s="31" t="str">
        <f t="shared" si="17"/>
        <v/>
      </c>
      <c r="E125" s="32" t="str">
        <f>IF(118=$AD$1+3,"ขอแสดงความนับถือ",IF(118=$AD$1+6,"(                 )",IF(118=$AD$1+7,"เจ้าหน้าที่ขนส่ง",IF($AB125="G",SUM($AF$8:$AF$407),IF(OR($AB125="",$AB125="R"),"",IF($AB125="D",INDEX($AF$8:$AF$407,$AA125),SUMIF($T$8:$T$407,INDEX($T$8:$T$407,$AA125),$AF$8:$AF$407)))))))</f>
        <v/>
      </c>
      <c r="F125" s="32" t="str">
        <f t="shared" si="18"/>
        <v/>
      </c>
      <c r="G125" s="32" t="str">
        <f t="shared" si="19"/>
        <v/>
      </c>
      <c r="H125" s="32" t="str">
        <f t="shared" si="20"/>
        <v/>
      </c>
      <c r="J125" t="str">
        <f>IFERROR(MATCH(118,บันทึกรายเที่ยว!$W$6:$W$10005,0),"")</f>
        <v/>
      </c>
      <c r="K125" t="str">
        <f>IF($J125="","",INDEX(บันทึกรายเที่ยว!$T$6:$T$10005,$J125))</f>
        <v/>
      </c>
      <c r="L125" t="str">
        <f>IF($J125="","",INDEX(บันทึกรายเที่ยว!$S$6:$S$10005,$J125))</f>
        <v/>
      </c>
      <c r="M125" t="str">
        <f>IF($J125="","",INDEX(บันทึกรายเที่ยว!$R$6:$R$10005,$J125))</f>
        <v/>
      </c>
      <c r="N125" t="str">
        <f>IF($J125="","",MATCH($M125,บันทึกรายเที่ยว!$R$6:$R$10005,0))</f>
        <v/>
      </c>
      <c r="O125" t="str">
        <f>IF($J125="","",MATCH($L125,บันทึกรายเที่ยว!$S$6:$S$10005,0))</f>
        <v/>
      </c>
      <c r="P125" t="str">
        <f>IF($J125="","",IF(AND(OR($I$3="(ทั้งหมด)",INDEX(บันทึกรายเที่ยว!$C$6:$C$10005,$J125)=$I$3),OR($I$5="(ทั้งหมด)",INDEX(บันทึกรายเที่ยว!$D$6:$D$10005,$J125)=$I$5),OR($I$7="(ทั้งหมด)",INDEX(บันทึกรายเที่ยว!$F$6:$F$10005,$J125)=$I$7)),$N125*10000000+$O125*1000+118,""))</f>
        <v/>
      </c>
      <c r="Q125" t="str">
        <f>IFERROR(MATCH(SMALL($P$8:$P$407,118),$P$8:$P$407,0),"")</f>
        <v/>
      </c>
      <c r="R125" t="str">
        <f t="shared" si="21"/>
        <v/>
      </c>
      <c r="S125" t="str">
        <f t="shared" si="22"/>
        <v/>
      </c>
      <c r="T125" t="str">
        <f t="shared" si="23"/>
        <v/>
      </c>
      <c r="U125" t="str">
        <f t="shared" si="24"/>
        <v/>
      </c>
      <c r="V125">
        <f t="shared" si="26"/>
        <v>0</v>
      </c>
      <c r="W125">
        <f t="shared" si="27"/>
        <v>0</v>
      </c>
      <c r="X125">
        <f>IF($Q125="",99999+118,$X124+1+$V124+$W124)</f>
        <v>100117</v>
      </c>
      <c r="Y125" t="str">
        <f>IF($Q125="","",INDEX(บันทึกรายเที่ยว!$Q$6:$Q$10005,$R125))</f>
        <v/>
      </c>
      <c r="Z125" t="str">
        <f>IF($Q125="","",INDEX(บันทึกรายเที่ยว!$F$6:$F$10005,$R125))</f>
        <v/>
      </c>
      <c r="AA125" t="str">
        <f>IFERROR(MATCH(118,$X$8:$X$407,1),"")</f>
        <v/>
      </c>
      <c r="AB125" t="str">
        <f>IF(118=$AD$1+1,"G",IF($AA125="","",IF(INDEX($Q$8:$Q$407,$AA125)="","",IF(118&gt;INDEX($X$8:$X$407,$AA125)+INDEX($V$8:$V$407,$AA125)+INDEX($W$8:$W$407,$AA125),"",IF(118=INDEX($X$8:$X$407,$AA125)+INDEX($V$8:$V$407,$AA125)+INDEX($W$8:$W$407,$AA125),"D",IF(AND(INDEX($W$8:$W$407,$AA125)=1,118=INDEX($X$8:$X$407,$AA125)+INDEX($V$8:$V$407,$AA125)),"S","R"))))))</f>
        <v/>
      </c>
      <c r="AC125" t="str">
        <f t="shared" si="25"/>
        <v/>
      </c>
      <c r="AE125">
        <f>IF($U125="",0,COUNTIF(บันทึกรายเที่ยว!$T$6:$T$10005,$U125))</f>
        <v>0</v>
      </c>
      <c r="AF125">
        <f>IF($U125="",0,ROUND(SUMIF(บันทึกรายเที่ยว!$T$6:$T$10005,$U125,บันทึกรายเที่ยว!$J$6:$J$10005),2))</f>
        <v>0</v>
      </c>
      <c r="AG125">
        <f>IF($U125="",0,ROUND(SUMIF(บันทึกรายเที่ยว!$T$6:$T$10005,$U125,บันทึกรายเที่ยว!$K$6:$K$10005),2))</f>
        <v>0</v>
      </c>
      <c r="AH125">
        <f>IF($U125="",0,ROUND(SUMIF(บันทึกรายเที่ยว!$T$6:$T$10005,$U125,บันทึกรายเที่ยว!$M$6:$M$10005),2))</f>
        <v>0</v>
      </c>
    </row>
    <row r="126" spans="1:34" ht="21" customHeight="1" x14ac:dyDescent="0.95">
      <c r="A126" s="3" t="str">
        <f t="shared" si="14"/>
        <v/>
      </c>
      <c r="B126" s="3" t="str">
        <f t="shared" si="15"/>
        <v/>
      </c>
      <c r="C126" s="8" t="str">
        <f t="shared" si="16"/>
        <v/>
      </c>
      <c r="D126" s="31" t="str">
        <f t="shared" si="17"/>
        <v/>
      </c>
      <c r="E126" s="32" t="str">
        <f>IF(119=$AD$1+3,"ขอแสดงความนับถือ",IF(119=$AD$1+6,"(                 )",IF(119=$AD$1+7,"เจ้าหน้าที่ขนส่ง",IF($AB126="G",SUM($AF$8:$AF$407),IF(OR($AB126="",$AB126="R"),"",IF($AB126="D",INDEX($AF$8:$AF$407,$AA126),SUMIF($T$8:$T$407,INDEX($T$8:$T$407,$AA126),$AF$8:$AF$407)))))))</f>
        <v/>
      </c>
      <c r="F126" s="32" t="str">
        <f t="shared" si="18"/>
        <v/>
      </c>
      <c r="G126" s="32" t="str">
        <f t="shared" si="19"/>
        <v/>
      </c>
      <c r="H126" s="32" t="str">
        <f t="shared" si="20"/>
        <v/>
      </c>
      <c r="J126" t="str">
        <f>IFERROR(MATCH(119,บันทึกรายเที่ยว!$W$6:$W$10005,0),"")</f>
        <v/>
      </c>
      <c r="K126" t="str">
        <f>IF($J126="","",INDEX(บันทึกรายเที่ยว!$T$6:$T$10005,$J126))</f>
        <v/>
      </c>
      <c r="L126" t="str">
        <f>IF($J126="","",INDEX(บันทึกรายเที่ยว!$S$6:$S$10005,$J126))</f>
        <v/>
      </c>
      <c r="M126" t="str">
        <f>IF($J126="","",INDEX(บันทึกรายเที่ยว!$R$6:$R$10005,$J126))</f>
        <v/>
      </c>
      <c r="N126" t="str">
        <f>IF($J126="","",MATCH($M126,บันทึกรายเที่ยว!$R$6:$R$10005,0))</f>
        <v/>
      </c>
      <c r="O126" t="str">
        <f>IF($J126="","",MATCH($L126,บันทึกรายเที่ยว!$S$6:$S$10005,0))</f>
        <v/>
      </c>
      <c r="P126" t="str">
        <f>IF($J126="","",IF(AND(OR($I$3="(ทั้งหมด)",INDEX(บันทึกรายเที่ยว!$C$6:$C$10005,$J126)=$I$3),OR($I$5="(ทั้งหมด)",INDEX(บันทึกรายเที่ยว!$D$6:$D$10005,$J126)=$I$5),OR($I$7="(ทั้งหมด)",INDEX(บันทึกรายเที่ยว!$F$6:$F$10005,$J126)=$I$7)),$N126*10000000+$O126*1000+119,""))</f>
        <v/>
      </c>
      <c r="Q126" t="str">
        <f>IFERROR(MATCH(SMALL($P$8:$P$407,119),$P$8:$P$407,0),"")</f>
        <v/>
      </c>
      <c r="R126" t="str">
        <f t="shared" si="21"/>
        <v/>
      </c>
      <c r="S126" t="str">
        <f t="shared" si="22"/>
        <v/>
      </c>
      <c r="T126" t="str">
        <f t="shared" si="23"/>
        <v/>
      </c>
      <c r="U126" t="str">
        <f t="shared" si="24"/>
        <v/>
      </c>
      <c r="V126">
        <f t="shared" si="26"/>
        <v>0</v>
      </c>
      <c r="W126">
        <f t="shared" si="27"/>
        <v>0</v>
      </c>
      <c r="X126">
        <f>IF($Q126="",99999+119,$X125+1+$V125+$W125)</f>
        <v>100118</v>
      </c>
      <c r="Y126" t="str">
        <f>IF($Q126="","",INDEX(บันทึกรายเที่ยว!$Q$6:$Q$10005,$R126))</f>
        <v/>
      </c>
      <c r="Z126" t="str">
        <f>IF($Q126="","",INDEX(บันทึกรายเที่ยว!$F$6:$F$10005,$R126))</f>
        <v/>
      </c>
      <c r="AA126" t="str">
        <f>IFERROR(MATCH(119,$X$8:$X$407,1),"")</f>
        <v/>
      </c>
      <c r="AB126" t="str">
        <f>IF(119=$AD$1+1,"G",IF($AA126="","",IF(INDEX($Q$8:$Q$407,$AA126)="","",IF(119&gt;INDEX($X$8:$X$407,$AA126)+INDEX($V$8:$V$407,$AA126)+INDEX($W$8:$W$407,$AA126),"",IF(119=INDEX($X$8:$X$407,$AA126)+INDEX($V$8:$V$407,$AA126)+INDEX($W$8:$W$407,$AA126),"D",IF(AND(INDEX($W$8:$W$407,$AA126)=1,119=INDEX($X$8:$X$407,$AA126)+INDEX($V$8:$V$407,$AA126)),"S","R"))))))</f>
        <v/>
      </c>
      <c r="AC126" t="str">
        <f t="shared" si="25"/>
        <v/>
      </c>
      <c r="AE126">
        <f>IF($U126="",0,COUNTIF(บันทึกรายเที่ยว!$T$6:$T$10005,$U126))</f>
        <v>0</v>
      </c>
      <c r="AF126">
        <f>IF($U126="",0,ROUND(SUMIF(บันทึกรายเที่ยว!$T$6:$T$10005,$U126,บันทึกรายเที่ยว!$J$6:$J$10005),2))</f>
        <v>0</v>
      </c>
      <c r="AG126">
        <f>IF($U126="",0,ROUND(SUMIF(บันทึกรายเที่ยว!$T$6:$T$10005,$U126,บันทึกรายเที่ยว!$K$6:$K$10005),2))</f>
        <v>0</v>
      </c>
      <c r="AH126">
        <f>IF($U126="",0,ROUND(SUMIF(บันทึกรายเที่ยว!$T$6:$T$10005,$U126,บันทึกรายเที่ยว!$M$6:$M$10005),2))</f>
        <v>0</v>
      </c>
    </row>
    <row r="127" spans="1:34" ht="21" customHeight="1" x14ac:dyDescent="0.95">
      <c r="A127" s="3" t="str">
        <f t="shared" si="14"/>
        <v/>
      </c>
      <c r="B127" s="3" t="str">
        <f t="shared" si="15"/>
        <v/>
      </c>
      <c r="C127" s="8" t="str">
        <f t="shared" si="16"/>
        <v/>
      </c>
      <c r="D127" s="31" t="str">
        <f t="shared" si="17"/>
        <v/>
      </c>
      <c r="E127" s="32" t="str">
        <f>IF(120=$AD$1+3,"ขอแสดงความนับถือ",IF(120=$AD$1+6,"(                 )",IF(120=$AD$1+7,"เจ้าหน้าที่ขนส่ง",IF($AB127="G",SUM($AF$8:$AF$407),IF(OR($AB127="",$AB127="R"),"",IF($AB127="D",INDEX($AF$8:$AF$407,$AA127),SUMIF($T$8:$T$407,INDEX($T$8:$T$407,$AA127),$AF$8:$AF$407)))))))</f>
        <v/>
      </c>
      <c r="F127" s="32" t="str">
        <f t="shared" si="18"/>
        <v/>
      </c>
      <c r="G127" s="32" t="str">
        <f t="shared" si="19"/>
        <v/>
      </c>
      <c r="H127" s="32" t="str">
        <f t="shared" si="20"/>
        <v/>
      </c>
      <c r="J127" t="str">
        <f>IFERROR(MATCH(120,บันทึกรายเที่ยว!$W$6:$W$10005,0),"")</f>
        <v/>
      </c>
      <c r="K127" t="str">
        <f>IF($J127="","",INDEX(บันทึกรายเที่ยว!$T$6:$T$10005,$J127))</f>
        <v/>
      </c>
      <c r="L127" t="str">
        <f>IF($J127="","",INDEX(บันทึกรายเที่ยว!$S$6:$S$10005,$J127))</f>
        <v/>
      </c>
      <c r="M127" t="str">
        <f>IF($J127="","",INDEX(บันทึกรายเที่ยว!$R$6:$R$10005,$J127))</f>
        <v/>
      </c>
      <c r="N127" t="str">
        <f>IF($J127="","",MATCH($M127,บันทึกรายเที่ยว!$R$6:$R$10005,0))</f>
        <v/>
      </c>
      <c r="O127" t="str">
        <f>IF($J127="","",MATCH($L127,บันทึกรายเที่ยว!$S$6:$S$10005,0))</f>
        <v/>
      </c>
      <c r="P127" t="str">
        <f>IF($J127="","",IF(AND(OR($I$3="(ทั้งหมด)",INDEX(บันทึกรายเที่ยว!$C$6:$C$10005,$J127)=$I$3),OR($I$5="(ทั้งหมด)",INDEX(บันทึกรายเที่ยว!$D$6:$D$10005,$J127)=$I$5),OR($I$7="(ทั้งหมด)",INDEX(บันทึกรายเที่ยว!$F$6:$F$10005,$J127)=$I$7)),$N127*10000000+$O127*1000+120,""))</f>
        <v/>
      </c>
      <c r="Q127" t="str">
        <f>IFERROR(MATCH(SMALL($P$8:$P$407,120),$P$8:$P$407,0),"")</f>
        <v/>
      </c>
      <c r="R127" t="str">
        <f t="shared" si="21"/>
        <v/>
      </c>
      <c r="S127" t="str">
        <f t="shared" si="22"/>
        <v/>
      </c>
      <c r="T127" t="str">
        <f t="shared" si="23"/>
        <v/>
      </c>
      <c r="U127" t="str">
        <f t="shared" si="24"/>
        <v/>
      </c>
      <c r="V127">
        <f t="shared" si="26"/>
        <v>0</v>
      </c>
      <c r="W127">
        <f t="shared" si="27"/>
        <v>0</v>
      </c>
      <c r="X127">
        <f>IF($Q127="",99999+120,$X126+1+$V126+$W126)</f>
        <v>100119</v>
      </c>
      <c r="Y127" t="str">
        <f>IF($Q127="","",INDEX(บันทึกรายเที่ยว!$Q$6:$Q$10005,$R127))</f>
        <v/>
      </c>
      <c r="Z127" t="str">
        <f>IF($Q127="","",INDEX(บันทึกรายเที่ยว!$F$6:$F$10005,$R127))</f>
        <v/>
      </c>
      <c r="AA127" t="str">
        <f>IFERROR(MATCH(120,$X$8:$X$407,1),"")</f>
        <v/>
      </c>
      <c r="AB127" t="str">
        <f>IF(120=$AD$1+1,"G",IF($AA127="","",IF(INDEX($Q$8:$Q$407,$AA127)="","",IF(120&gt;INDEX($X$8:$X$407,$AA127)+INDEX($V$8:$V$407,$AA127)+INDEX($W$8:$W$407,$AA127),"",IF(120=INDEX($X$8:$X$407,$AA127)+INDEX($V$8:$V$407,$AA127)+INDEX($W$8:$W$407,$AA127),"D",IF(AND(INDEX($W$8:$W$407,$AA127)=1,120=INDEX($X$8:$X$407,$AA127)+INDEX($V$8:$V$407,$AA127)),"S","R"))))))</f>
        <v/>
      </c>
      <c r="AC127" t="str">
        <f t="shared" si="25"/>
        <v/>
      </c>
      <c r="AE127">
        <f>IF($U127="",0,COUNTIF(บันทึกรายเที่ยว!$T$6:$T$10005,$U127))</f>
        <v>0</v>
      </c>
      <c r="AF127">
        <f>IF($U127="",0,ROUND(SUMIF(บันทึกรายเที่ยว!$T$6:$T$10005,$U127,บันทึกรายเที่ยว!$J$6:$J$10005),2))</f>
        <v>0</v>
      </c>
      <c r="AG127">
        <f>IF($U127="",0,ROUND(SUMIF(บันทึกรายเที่ยว!$T$6:$T$10005,$U127,บันทึกรายเที่ยว!$K$6:$K$10005),2))</f>
        <v>0</v>
      </c>
      <c r="AH127">
        <f>IF($U127="",0,ROUND(SUMIF(บันทึกรายเที่ยว!$T$6:$T$10005,$U127,บันทึกรายเที่ยว!$M$6:$M$10005),2))</f>
        <v>0</v>
      </c>
    </row>
    <row r="128" spans="1:34" ht="21" customHeight="1" x14ac:dyDescent="0.95">
      <c r="A128" s="3" t="str">
        <f t="shared" si="14"/>
        <v/>
      </c>
      <c r="B128" s="3" t="str">
        <f t="shared" si="15"/>
        <v/>
      </c>
      <c r="C128" s="8" t="str">
        <f t="shared" si="16"/>
        <v/>
      </c>
      <c r="D128" s="31" t="str">
        <f t="shared" si="17"/>
        <v/>
      </c>
      <c r="E128" s="32" t="str">
        <f>IF(121=$AD$1+3,"ขอแสดงความนับถือ",IF(121=$AD$1+6,"(                 )",IF(121=$AD$1+7,"เจ้าหน้าที่ขนส่ง",IF($AB128="G",SUM($AF$8:$AF$407),IF(OR($AB128="",$AB128="R"),"",IF($AB128="D",INDEX($AF$8:$AF$407,$AA128),SUMIF($T$8:$T$407,INDEX($T$8:$T$407,$AA128),$AF$8:$AF$407)))))))</f>
        <v/>
      </c>
      <c r="F128" s="32" t="str">
        <f t="shared" si="18"/>
        <v/>
      </c>
      <c r="G128" s="32" t="str">
        <f t="shared" si="19"/>
        <v/>
      </c>
      <c r="H128" s="32" t="str">
        <f t="shared" si="20"/>
        <v/>
      </c>
      <c r="J128" t="str">
        <f>IFERROR(MATCH(121,บันทึกรายเที่ยว!$W$6:$W$10005,0),"")</f>
        <v/>
      </c>
      <c r="K128" t="str">
        <f>IF($J128="","",INDEX(บันทึกรายเที่ยว!$T$6:$T$10005,$J128))</f>
        <v/>
      </c>
      <c r="L128" t="str">
        <f>IF($J128="","",INDEX(บันทึกรายเที่ยว!$S$6:$S$10005,$J128))</f>
        <v/>
      </c>
      <c r="M128" t="str">
        <f>IF($J128="","",INDEX(บันทึกรายเที่ยว!$R$6:$R$10005,$J128))</f>
        <v/>
      </c>
      <c r="N128" t="str">
        <f>IF($J128="","",MATCH($M128,บันทึกรายเที่ยว!$R$6:$R$10005,0))</f>
        <v/>
      </c>
      <c r="O128" t="str">
        <f>IF($J128="","",MATCH($L128,บันทึกรายเที่ยว!$S$6:$S$10005,0))</f>
        <v/>
      </c>
      <c r="P128" t="str">
        <f>IF($J128="","",IF(AND(OR($I$3="(ทั้งหมด)",INDEX(บันทึกรายเที่ยว!$C$6:$C$10005,$J128)=$I$3),OR($I$5="(ทั้งหมด)",INDEX(บันทึกรายเที่ยว!$D$6:$D$10005,$J128)=$I$5),OR($I$7="(ทั้งหมด)",INDEX(บันทึกรายเที่ยว!$F$6:$F$10005,$J128)=$I$7)),$N128*10000000+$O128*1000+121,""))</f>
        <v/>
      </c>
      <c r="Q128" t="str">
        <f>IFERROR(MATCH(SMALL($P$8:$P$407,121),$P$8:$P$407,0),"")</f>
        <v/>
      </c>
      <c r="R128" t="str">
        <f t="shared" si="21"/>
        <v/>
      </c>
      <c r="S128" t="str">
        <f t="shared" si="22"/>
        <v/>
      </c>
      <c r="T128" t="str">
        <f t="shared" si="23"/>
        <v/>
      </c>
      <c r="U128" t="str">
        <f t="shared" si="24"/>
        <v/>
      </c>
      <c r="V128">
        <f t="shared" si="26"/>
        <v>0</v>
      </c>
      <c r="W128">
        <f t="shared" si="27"/>
        <v>0</v>
      </c>
      <c r="X128">
        <f>IF($Q128="",99999+121,$X127+1+$V127+$W127)</f>
        <v>100120</v>
      </c>
      <c r="Y128" t="str">
        <f>IF($Q128="","",INDEX(บันทึกรายเที่ยว!$Q$6:$Q$10005,$R128))</f>
        <v/>
      </c>
      <c r="Z128" t="str">
        <f>IF($Q128="","",INDEX(บันทึกรายเที่ยว!$F$6:$F$10005,$R128))</f>
        <v/>
      </c>
      <c r="AA128" t="str">
        <f>IFERROR(MATCH(121,$X$8:$X$407,1),"")</f>
        <v/>
      </c>
      <c r="AB128" t="str">
        <f>IF(121=$AD$1+1,"G",IF($AA128="","",IF(INDEX($Q$8:$Q$407,$AA128)="","",IF(121&gt;INDEX($X$8:$X$407,$AA128)+INDEX($V$8:$V$407,$AA128)+INDEX($W$8:$W$407,$AA128),"",IF(121=INDEX($X$8:$X$407,$AA128)+INDEX($V$8:$V$407,$AA128)+INDEX($W$8:$W$407,$AA128),"D",IF(AND(INDEX($W$8:$W$407,$AA128)=1,121=INDEX($X$8:$X$407,$AA128)+INDEX($V$8:$V$407,$AA128)),"S","R"))))))</f>
        <v/>
      </c>
      <c r="AC128" t="str">
        <f t="shared" si="25"/>
        <v/>
      </c>
      <c r="AE128">
        <f>IF($U128="",0,COUNTIF(บันทึกรายเที่ยว!$T$6:$T$10005,$U128))</f>
        <v>0</v>
      </c>
      <c r="AF128">
        <f>IF($U128="",0,ROUND(SUMIF(บันทึกรายเที่ยว!$T$6:$T$10005,$U128,บันทึกรายเที่ยว!$J$6:$J$10005),2))</f>
        <v>0</v>
      </c>
      <c r="AG128">
        <f>IF($U128="",0,ROUND(SUMIF(บันทึกรายเที่ยว!$T$6:$T$10005,$U128,บันทึกรายเที่ยว!$K$6:$K$10005),2))</f>
        <v>0</v>
      </c>
      <c r="AH128">
        <f>IF($U128="",0,ROUND(SUMIF(บันทึกรายเที่ยว!$T$6:$T$10005,$U128,บันทึกรายเที่ยว!$M$6:$M$10005),2))</f>
        <v>0</v>
      </c>
    </row>
    <row r="129" spans="1:34" ht="21" customHeight="1" x14ac:dyDescent="0.95">
      <c r="A129" s="3" t="str">
        <f t="shared" si="14"/>
        <v/>
      </c>
      <c r="B129" s="3" t="str">
        <f t="shared" si="15"/>
        <v/>
      </c>
      <c r="C129" s="8" t="str">
        <f t="shared" si="16"/>
        <v/>
      </c>
      <c r="D129" s="31" t="str">
        <f t="shared" si="17"/>
        <v/>
      </c>
      <c r="E129" s="32" t="str">
        <f>IF(122=$AD$1+3,"ขอแสดงความนับถือ",IF(122=$AD$1+6,"(                 )",IF(122=$AD$1+7,"เจ้าหน้าที่ขนส่ง",IF($AB129="G",SUM($AF$8:$AF$407),IF(OR($AB129="",$AB129="R"),"",IF($AB129="D",INDEX($AF$8:$AF$407,$AA129),SUMIF($T$8:$T$407,INDEX($T$8:$T$407,$AA129),$AF$8:$AF$407)))))))</f>
        <v/>
      </c>
      <c r="F129" s="32" t="str">
        <f t="shared" si="18"/>
        <v/>
      </c>
      <c r="G129" s="32" t="str">
        <f t="shared" si="19"/>
        <v/>
      </c>
      <c r="H129" s="32" t="str">
        <f t="shared" si="20"/>
        <v/>
      </c>
      <c r="J129" t="str">
        <f>IFERROR(MATCH(122,บันทึกรายเที่ยว!$W$6:$W$10005,0),"")</f>
        <v/>
      </c>
      <c r="K129" t="str">
        <f>IF($J129="","",INDEX(บันทึกรายเที่ยว!$T$6:$T$10005,$J129))</f>
        <v/>
      </c>
      <c r="L129" t="str">
        <f>IF($J129="","",INDEX(บันทึกรายเที่ยว!$S$6:$S$10005,$J129))</f>
        <v/>
      </c>
      <c r="M129" t="str">
        <f>IF($J129="","",INDEX(บันทึกรายเที่ยว!$R$6:$R$10005,$J129))</f>
        <v/>
      </c>
      <c r="N129" t="str">
        <f>IF($J129="","",MATCH($M129,บันทึกรายเที่ยว!$R$6:$R$10005,0))</f>
        <v/>
      </c>
      <c r="O129" t="str">
        <f>IF($J129="","",MATCH($L129,บันทึกรายเที่ยว!$S$6:$S$10005,0))</f>
        <v/>
      </c>
      <c r="P129" t="str">
        <f>IF($J129="","",IF(AND(OR($I$3="(ทั้งหมด)",INDEX(บันทึกรายเที่ยว!$C$6:$C$10005,$J129)=$I$3),OR($I$5="(ทั้งหมด)",INDEX(บันทึกรายเที่ยว!$D$6:$D$10005,$J129)=$I$5),OR($I$7="(ทั้งหมด)",INDEX(บันทึกรายเที่ยว!$F$6:$F$10005,$J129)=$I$7)),$N129*10000000+$O129*1000+122,""))</f>
        <v/>
      </c>
      <c r="Q129" t="str">
        <f>IFERROR(MATCH(SMALL($P$8:$P$407,122),$P$8:$P$407,0),"")</f>
        <v/>
      </c>
      <c r="R129" t="str">
        <f t="shared" si="21"/>
        <v/>
      </c>
      <c r="S129" t="str">
        <f t="shared" si="22"/>
        <v/>
      </c>
      <c r="T129" t="str">
        <f t="shared" si="23"/>
        <v/>
      </c>
      <c r="U129" t="str">
        <f t="shared" si="24"/>
        <v/>
      </c>
      <c r="V129">
        <f t="shared" si="26"/>
        <v>0</v>
      </c>
      <c r="W129">
        <f t="shared" si="27"/>
        <v>0</v>
      </c>
      <c r="X129">
        <f>IF($Q129="",99999+122,$X128+1+$V128+$W128)</f>
        <v>100121</v>
      </c>
      <c r="Y129" t="str">
        <f>IF($Q129="","",INDEX(บันทึกรายเที่ยว!$Q$6:$Q$10005,$R129))</f>
        <v/>
      </c>
      <c r="Z129" t="str">
        <f>IF($Q129="","",INDEX(บันทึกรายเที่ยว!$F$6:$F$10005,$R129))</f>
        <v/>
      </c>
      <c r="AA129" t="str">
        <f>IFERROR(MATCH(122,$X$8:$X$407,1),"")</f>
        <v/>
      </c>
      <c r="AB129" t="str">
        <f>IF(122=$AD$1+1,"G",IF($AA129="","",IF(INDEX($Q$8:$Q$407,$AA129)="","",IF(122&gt;INDEX($X$8:$X$407,$AA129)+INDEX($V$8:$V$407,$AA129)+INDEX($W$8:$W$407,$AA129),"",IF(122=INDEX($X$8:$X$407,$AA129)+INDEX($V$8:$V$407,$AA129)+INDEX($W$8:$W$407,$AA129),"D",IF(AND(INDEX($W$8:$W$407,$AA129)=1,122=INDEX($X$8:$X$407,$AA129)+INDEX($V$8:$V$407,$AA129)),"S","R"))))))</f>
        <v/>
      </c>
      <c r="AC129" t="str">
        <f t="shared" si="25"/>
        <v/>
      </c>
      <c r="AE129">
        <f>IF($U129="",0,COUNTIF(บันทึกรายเที่ยว!$T$6:$T$10005,$U129))</f>
        <v>0</v>
      </c>
      <c r="AF129">
        <f>IF($U129="",0,ROUND(SUMIF(บันทึกรายเที่ยว!$T$6:$T$10005,$U129,บันทึกรายเที่ยว!$J$6:$J$10005),2))</f>
        <v>0</v>
      </c>
      <c r="AG129">
        <f>IF($U129="",0,ROUND(SUMIF(บันทึกรายเที่ยว!$T$6:$T$10005,$U129,บันทึกรายเที่ยว!$K$6:$K$10005),2))</f>
        <v>0</v>
      </c>
      <c r="AH129">
        <f>IF($U129="",0,ROUND(SUMIF(บันทึกรายเที่ยว!$T$6:$T$10005,$U129,บันทึกรายเที่ยว!$M$6:$M$10005),2))</f>
        <v>0</v>
      </c>
    </row>
    <row r="130" spans="1:34" ht="21" customHeight="1" x14ac:dyDescent="0.95">
      <c r="A130" s="3" t="str">
        <f t="shared" si="14"/>
        <v/>
      </c>
      <c r="B130" s="3" t="str">
        <f t="shared" si="15"/>
        <v/>
      </c>
      <c r="C130" s="8" t="str">
        <f t="shared" si="16"/>
        <v/>
      </c>
      <c r="D130" s="31" t="str">
        <f t="shared" si="17"/>
        <v/>
      </c>
      <c r="E130" s="32" t="str">
        <f>IF(123=$AD$1+3,"ขอแสดงความนับถือ",IF(123=$AD$1+6,"(                 )",IF(123=$AD$1+7,"เจ้าหน้าที่ขนส่ง",IF($AB130="G",SUM($AF$8:$AF$407),IF(OR($AB130="",$AB130="R"),"",IF($AB130="D",INDEX($AF$8:$AF$407,$AA130),SUMIF($T$8:$T$407,INDEX($T$8:$T$407,$AA130),$AF$8:$AF$407)))))))</f>
        <v/>
      </c>
      <c r="F130" s="32" t="str">
        <f t="shared" si="18"/>
        <v/>
      </c>
      <c r="G130" s="32" t="str">
        <f t="shared" si="19"/>
        <v/>
      </c>
      <c r="H130" s="32" t="str">
        <f t="shared" si="20"/>
        <v/>
      </c>
      <c r="J130" t="str">
        <f>IFERROR(MATCH(123,บันทึกรายเที่ยว!$W$6:$W$10005,0),"")</f>
        <v/>
      </c>
      <c r="K130" t="str">
        <f>IF($J130="","",INDEX(บันทึกรายเที่ยว!$T$6:$T$10005,$J130))</f>
        <v/>
      </c>
      <c r="L130" t="str">
        <f>IF($J130="","",INDEX(บันทึกรายเที่ยว!$S$6:$S$10005,$J130))</f>
        <v/>
      </c>
      <c r="M130" t="str">
        <f>IF($J130="","",INDEX(บันทึกรายเที่ยว!$R$6:$R$10005,$J130))</f>
        <v/>
      </c>
      <c r="N130" t="str">
        <f>IF($J130="","",MATCH($M130,บันทึกรายเที่ยว!$R$6:$R$10005,0))</f>
        <v/>
      </c>
      <c r="O130" t="str">
        <f>IF($J130="","",MATCH($L130,บันทึกรายเที่ยว!$S$6:$S$10005,0))</f>
        <v/>
      </c>
      <c r="P130" t="str">
        <f>IF($J130="","",IF(AND(OR($I$3="(ทั้งหมด)",INDEX(บันทึกรายเที่ยว!$C$6:$C$10005,$J130)=$I$3),OR($I$5="(ทั้งหมด)",INDEX(บันทึกรายเที่ยว!$D$6:$D$10005,$J130)=$I$5),OR($I$7="(ทั้งหมด)",INDEX(บันทึกรายเที่ยว!$F$6:$F$10005,$J130)=$I$7)),$N130*10000000+$O130*1000+123,""))</f>
        <v/>
      </c>
      <c r="Q130" t="str">
        <f>IFERROR(MATCH(SMALL($P$8:$P$407,123),$P$8:$P$407,0),"")</f>
        <v/>
      </c>
      <c r="R130" t="str">
        <f t="shared" si="21"/>
        <v/>
      </c>
      <c r="S130" t="str">
        <f t="shared" si="22"/>
        <v/>
      </c>
      <c r="T130" t="str">
        <f t="shared" si="23"/>
        <v/>
      </c>
      <c r="U130" t="str">
        <f t="shared" si="24"/>
        <v/>
      </c>
      <c r="V130">
        <f t="shared" si="26"/>
        <v>0</v>
      </c>
      <c r="W130">
        <f t="shared" si="27"/>
        <v>0</v>
      </c>
      <c r="X130">
        <f>IF($Q130="",99999+123,$X129+1+$V129+$W129)</f>
        <v>100122</v>
      </c>
      <c r="Y130" t="str">
        <f>IF($Q130="","",INDEX(บันทึกรายเที่ยว!$Q$6:$Q$10005,$R130))</f>
        <v/>
      </c>
      <c r="Z130" t="str">
        <f>IF($Q130="","",INDEX(บันทึกรายเที่ยว!$F$6:$F$10005,$R130))</f>
        <v/>
      </c>
      <c r="AA130" t="str">
        <f>IFERROR(MATCH(123,$X$8:$X$407,1),"")</f>
        <v/>
      </c>
      <c r="AB130" t="str">
        <f>IF(123=$AD$1+1,"G",IF($AA130="","",IF(INDEX($Q$8:$Q$407,$AA130)="","",IF(123&gt;INDEX($X$8:$X$407,$AA130)+INDEX($V$8:$V$407,$AA130)+INDEX($W$8:$W$407,$AA130),"",IF(123=INDEX($X$8:$X$407,$AA130)+INDEX($V$8:$V$407,$AA130)+INDEX($W$8:$W$407,$AA130),"D",IF(AND(INDEX($W$8:$W$407,$AA130)=1,123=INDEX($X$8:$X$407,$AA130)+INDEX($V$8:$V$407,$AA130)),"S","R"))))))</f>
        <v/>
      </c>
      <c r="AC130" t="str">
        <f t="shared" si="25"/>
        <v/>
      </c>
      <c r="AE130">
        <f>IF($U130="",0,COUNTIF(บันทึกรายเที่ยว!$T$6:$T$10005,$U130))</f>
        <v>0</v>
      </c>
      <c r="AF130">
        <f>IF($U130="",0,ROUND(SUMIF(บันทึกรายเที่ยว!$T$6:$T$10005,$U130,บันทึกรายเที่ยว!$J$6:$J$10005),2))</f>
        <v>0</v>
      </c>
      <c r="AG130">
        <f>IF($U130="",0,ROUND(SUMIF(บันทึกรายเที่ยว!$T$6:$T$10005,$U130,บันทึกรายเที่ยว!$K$6:$K$10005),2))</f>
        <v>0</v>
      </c>
      <c r="AH130">
        <f>IF($U130="",0,ROUND(SUMIF(บันทึกรายเที่ยว!$T$6:$T$10005,$U130,บันทึกรายเที่ยว!$M$6:$M$10005),2))</f>
        <v>0</v>
      </c>
    </row>
    <row r="131" spans="1:34" ht="21" customHeight="1" x14ac:dyDescent="0.95">
      <c r="A131" s="3" t="str">
        <f t="shared" si="14"/>
        <v/>
      </c>
      <c r="B131" s="3" t="str">
        <f t="shared" si="15"/>
        <v/>
      </c>
      <c r="C131" s="8" t="str">
        <f t="shared" si="16"/>
        <v/>
      </c>
      <c r="D131" s="31" t="str">
        <f t="shared" si="17"/>
        <v/>
      </c>
      <c r="E131" s="32" t="str">
        <f>IF(124=$AD$1+3,"ขอแสดงความนับถือ",IF(124=$AD$1+6,"(                 )",IF(124=$AD$1+7,"เจ้าหน้าที่ขนส่ง",IF($AB131="G",SUM($AF$8:$AF$407),IF(OR($AB131="",$AB131="R"),"",IF($AB131="D",INDEX($AF$8:$AF$407,$AA131),SUMIF($T$8:$T$407,INDEX($T$8:$T$407,$AA131),$AF$8:$AF$407)))))))</f>
        <v/>
      </c>
      <c r="F131" s="32" t="str">
        <f t="shared" si="18"/>
        <v/>
      </c>
      <c r="G131" s="32" t="str">
        <f t="shared" si="19"/>
        <v/>
      </c>
      <c r="H131" s="32" t="str">
        <f t="shared" si="20"/>
        <v/>
      </c>
      <c r="J131" t="str">
        <f>IFERROR(MATCH(124,บันทึกรายเที่ยว!$W$6:$W$10005,0),"")</f>
        <v/>
      </c>
      <c r="K131" t="str">
        <f>IF($J131="","",INDEX(บันทึกรายเที่ยว!$T$6:$T$10005,$J131))</f>
        <v/>
      </c>
      <c r="L131" t="str">
        <f>IF($J131="","",INDEX(บันทึกรายเที่ยว!$S$6:$S$10005,$J131))</f>
        <v/>
      </c>
      <c r="M131" t="str">
        <f>IF($J131="","",INDEX(บันทึกรายเที่ยว!$R$6:$R$10005,$J131))</f>
        <v/>
      </c>
      <c r="N131" t="str">
        <f>IF($J131="","",MATCH($M131,บันทึกรายเที่ยว!$R$6:$R$10005,0))</f>
        <v/>
      </c>
      <c r="O131" t="str">
        <f>IF($J131="","",MATCH($L131,บันทึกรายเที่ยว!$S$6:$S$10005,0))</f>
        <v/>
      </c>
      <c r="P131" t="str">
        <f>IF($J131="","",IF(AND(OR($I$3="(ทั้งหมด)",INDEX(บันทึกรายเที่ยว!$C$6:$C$10005,$J131)=$I$3),OR($I$5="(ทั้งหมด)",INDEX(บันทึกรายเที่ยว!$D$6:$D$10005,$J131)=$I$5),OR($I$7="(ทั้งหมด)",INDEX(บันทึกรายเที่ยว!$F$6:$F$10005,$J131)=$I$7)),$N131*10000000+$O131*1000+124,""))</f>
        <v/>
      </c>
      <c r="Q131" t="str">
        <f>IFERROR(MATCH(SMALL($P$8:$P$407,124),$P$8:$P$407,0),"")</f>
        <v/>
      </c>
      <c r="R131" t="str">
        <f t="shared" si="21"/>
        <v/>
      </c>
      <c r="S131" t="str">
        <f t="shared" si="22"/>
        <v/>
      </c>
      <c r="T131" t="str">
        <f t="shared" si="23"/>
        <v/>
      </c>
      <c r="U131" t="str">
        <f t="shared" si="24"/>
        <v/>
      </c>
      <c r="V131">
        <f t="shared" si="26"/>
        <v>0</v>
      </c>
      <c r="W131">
        <f t="shared" si="27"/>
        <v>0</v>
      </c>
      <c r="X131">
        <f>IF($Q131="",99999+124,$X130+1+$V130+$W130)</f>
        <v>100123</v>
      </c>
      <c r="Y131" t="str">
        <f>IF($Q131="","",INDEX(บันทึกรายเที่ยว!$Q$6:$Q$10005,$R131))</f>
        <v/>
      </c>
      <c r="Z131" t="str">
        <f>IF($Q131="","",INDEX(บันทึกรายเที่ยว!$F$6:$F$10005,$R131))</f>
        <v/>
      </c>
      <c r="AA131" t="str">
        <f>IFERROR(MATCH(124,$X$8:$X$407,1),"")</f>
        <v/>
      </c>
      <c r="AB131" t="str">
        <f>IF(124=$AD$1+1,"G",IF($AA131="","",IF(INDEX($Q$8:$Q$407,$AA131)="","",IF(124&gt;INDEX($X$8:$X$407,$AA131)+INDEX($V$8:$V$407,$AA131)+INDEX($W$8:$W$407,$AA131),"",IF(124=INDEX($X$8:$X$407,$AA131)+INDEX($V$8:$V$407,$AA131)+INDEX($W$8:$W$407,$AA131),"D",IF(AND(INDEX($W$8:$W$407,$AA131)=1,124=INDEX($X$8:$X$407,$AA131)+INDEX($V$8:$V$407,$AA131)),"S","R"))))))</f>
        <v/>
      </c>
      <c r="AC131" t="str">
        <f t="shared" si="25"/>
        <v/>
      </c>
      <c r="AE131">
        <f>IF($U131="",0,COUNTIF(บันทึกรายเที่ยว!$T$6:$T$10005,$U131))</f>
        <v>0</v>
      </c>
      <c r="AF131">
        <f>IF($U131="",0,ROUND(SUMIF(บันทึกรายเที่ยว!$T$6:$T$10005,$U131,บันทึกรายเที่ยว!$J$6:$J$10005),2))</f>
        <v>0</v>
      </c>
      <c r="AG131">
        <f>IF($U131="",0,ROUND(SUMIF(บันทึกรายเที่ยว!$T$6:$T$10005,$U131,บันทึกรายเที่ยว!$K$6:$K$10005),2))</f>
        <v>0</v>
      </c>
      <c r="AH131">
        <f>IF($U131="",0,ROUND(SUMIF(บันทึกรายเที่ยว!$T$6:$T$10005,$U131,บันทึกรายเที่ยว!$M$6:$M$10005),2))</f>
        <v>0</v>
      </c>
    </row>
    <row r="132" spans="1:34" ht="21" customHeight="1" x14ac:dyDescent="0.95">
      <c r="A132" s="3" t="str">
        <f t="shared" si="14"/>
        <v/>
      </c>
      <c r="B132" s="3" t="str">
        <f t="shared" si="15"/>
        <v/>
      </c>
      <c r="C132" s="8" t="str">
        <f t="shared" si="16"/>
        <v/>
      </c>
      <c r="D132" s="31" t="str">
        <f t="shared" si="17"/>
        <v/>
      </c>
      <c r="E132" s="32" t="str">
        <f>IF(125=$AD$1+3,"ขอแสดงความนับถือ",IF(125=$AD$1+6,"(                 )",IF(125=$AD$1+7,"เจ้าหน้าที่ขนส่ง",IF($AB132="G",SUM($AF$8:$AF$407),IF(OR($AB132="",$AB132="R"),"",IF($AB132="D",INDEX($AF$8:$AF$407,$AA132),SUMIF($T$8:$T$407,INDEX($T$8:$T$407,$AA132),$AF$8:$AF$407)))))))</f>
        <v/>
      </c>
      <c r="F132" s="32" t="str">
        <f t="shared" si="18"/>
        <v/>
      </c>
      <c r="G132" s="32" t="str">
        <f t="shared" si="19"/>
        <v/>
      </c>
      <c r="H132" s="32" t="str">
        <f t="shared" si="20"/>
        <v/>
      </c>
      <c r="J132" t="str">
        <f>IFERROR(MATCH(125,บันทึกรายเที่ยว!$W$6:$W$10005,0),"")</f>
        <v/>
      </c>
      <c r="K132" t="str">
        <f>IF($J132="","",INDEX(บันทึกรายเที่ยว!$T$6:$T$10005,$J132))</f>
        <v/>
      </c>
      <c r="L132" t="str">
        <f>IF($J132="","",INDEX(บันทึกรายเที่ยว!$S$6:$S$10005,$J132))</f>
        <v/>
      </c>
      <c r="M132" t="str">
        <f>IF($J132="","",INDEX(บันทึกรายเที่ยว!$R$6:$R$10005,$J132))</f>
        <v/>
      </c>
      <c r="N132" t="str">
        <f>IF($J132="","",MATCH($M132,บันทึกรายเที่ยว!$R$6:$R$10005,0))</f>
        <v/>
      </c>
      <c r="O132" t="str">
        <f>IF($J132="","",MATCH($L132,บันทึกรายเที่ยว!$S$6:$S$10005,0))</f>
        <v/>
      </c>
      <c r="P132" t="str">
        <f>IF($J132="","",IF(AND(OR($I$3="(ทั้งหมด)",INDEX(บันทึกรายเที่ยว!$C$6:$C$10005,$J132)=$I$3),OR($I$5="(ทั้งหมด)",INDEX(บันทึกรายเที่ยว!$D$6:$D$10005,$J132)=$I$5),OR($I$7="(ทั้งหมด)",INDEX(บันทึกรายเที่ยว!$F$6:$F$10005,$J132)=$I$7)),$N132*10000000+$O132*1000+125,""))</f>
        <v/>
      </c>
      <c r="Q132" t="str">
        <f>IFERROR(MATCH(SMALL($P$8:$P$407,125),$P$8:$P$407,0),"")</f>
        <v/>
      </c>
      <c r="R132" t="str">
        <f t="shared" si="21"/>
        <v/>
      </c>
      <c r="S132" t="str">
        <f t="shared" si="22"/>
        <v/>
      </c>
      <c r="T132" t="str">
        <f t="shared" si="23"/>
        <v/>
      </c>
      <c r="U132" t="str">
        <f t="shared" si="24"/>
        <v/>
      </c>
      <c r="V132">
        <f t="shared" si="26"/>
        <v>0</v>
      </c>
      <c r="W132">
        <f t="shared" si="27"/>
        <v>0</v>
      </c>
      <c r="X132">
        <f>IF($Q132="",99999+125,$X131+1+$V131+$W131)</f>
        <v>100124</v>
      </c>
      <c r="Y132" t="str">
        <f>IF($Q132="","",INDEX(บันทึกรายเที่ยว!$Q$6:$Q$10005,$R132))</f>
        <v/>
      </c>
      <c r="Z132" t="str">
        <f>IF($Q132="","",INDEX(บันทึกรายเที่ยว!$F$6:$F$10005,$R132))</f>
        <v/>
      </c>
      <c r="AA132" t="str">
        <f>IFERROR(MATCH(125,$X$8:$X$407,1),"")</f>
        <v/>
      </c>
      <c r="AB132" t="str">
        <f>IF(125=$AD$1+1,"G",IF($AA132="","",IF(INDEX($Q$8:$Q$407,$AA132)="","",IF(125&gt;INDEX($X$8:$X$407,$AA132)+INDEX($V$8:$V$407,$AA132)+INDEX($W$8:$W$407,$AA132),"",IF(125=INDEX($X$8:$X$407,$AA132)+INDEX($V$8:$V$407,$AA132)+INDEX($W$8:$W$407,$AA132),"D",IF(AND(INDEX($W$8:$W$407,$AA132)=1,125=INDEX($X$8:$X$407,$AA132)+INDEX($V$8:$V$407,$AA132)),"S","R"))))))</f>
        <v/>
      </c>
      <c r="AC132" t="str">
        <f t="shared" si="25"/>
        <v/>
      </c>
      <c r="AE132">
        <f>IF($U132="",0,COUNTIF(บันทึกรายเที่ยว!$T$6:$T$10005,$U132))</f>
        <v>0</v>
      </c>
      <c r="AF132">
        <f>IF($U132="",0,ROUND(SUMIF(บันทึกรายเที่ยว!$T$6:$T$10005,$U132,บันทึกรายเที่ยว!$J$6:$J$10005),2))</f>
        <v>0</v>
      </c>
      <c r="AG132">
        <f>IF($U132="",0,ROUND(SUMIF(บันทึกรายเที่ยว!$T$6:$T$10005,$U132,บันทึกรายเที่ยว!$K$6:$K$10005),2))</f>
        <v>0</v>
      </c>
      <c r="AH132">
        <f>IF($U132="",0,ROUND(SUMIF(บันทึกรายเที่ยว!$T$6:$T$10005,$U132,บันทึกรายเที่ยว!$M$6:$M$10005),2))</f>
        <v>0</v>
      </c>
    </row>
    <row r="133" spans="1:34" ht="21" customHeight="1" x14ac:dyDescent="0.95">
      <c r="A133" s="3" t="str">
        <f t="shared" si="14"/>
        <v/>
      </c>
      <c r="B133" s="3" t="str">
        <f t="shared" si="15"/>
        <v/>
      </c>
      <c r="C133" s="8" t="str">
        <f t="shared" si="16"/>
        <v/>
      </c>
      <c r="D133" s="31" t="str">
        <f t="shared" si="17"/>
        <v/>
      </c>
      <c r="E133" s="32" t="str">
        <f>IF(126=$AD$1+3,"ขอแสดงความนับถือ",IF(126=$AD$1+6,"(                 )",IF(126=$AD$1+7,"เจ้าหน้าที่ขนส่ง",IF($AB133="G",SUM($AF$8:$AF$407),IF(OR($AB133="",$AB133="R"),"",IF($AB133="D",INDEX($AF$8:$AF$407,$AA133),SUMIF($T$8:$T$407,INDEX($T$8:$T$407,$AA133),$AF$8:$AF$407)))))))</f>
        <v/>
      </c>
      <c r="F133" s="32" t="str">
        <f t="shared" si="18"/>
        <v/>
      </c>
      <c r="G133" s="32" t="str">
        <f t="shared" si="19"/>
        <v/>
      </c>
      <c r="H133" s="32" t="str">
        <f t="shared" si="20"/>
        <v/>
      </c>
      <c r="J133" t="str">
        <f>IFERROR(MATCH(126,บันทึกรายเที่ยว!$W$6:$W$10005,0),"")</f>
        <v/>
      </c>
      <c r="K133" t="str">
        <f>IF($J133="","",INDEX(บันทึกรายเที่ยว!$T$6:$T$10005,$J133))</f>
        <v/>
      </c>
      <c r="L133" t="str">
        <f>IF($J133="","",INDEX(บันทึกรายเที่ยว!$S$6:$S$10005,$J133))</f>
        <v/>
      </c>
      <c r="M133" t="str">
        <f>IF($J133="","",INDEX(บันทึกรายเที่ยว!$R$6:$R$10005,$J133))</f>
        <v/>
      </c>
      <c r="N133" t="str">
        <f>IF($J133="","",MATCH($M133,บันทึกรายเที่ยว!$R$6:$R$10005,0))</f>
        <v/>
      </c>
      <c r="O133" t="str">
        <f>IF($J133="","",MATCH($L133,บันทึกรายเที่ยว!$S$6:$S$10005,0))</f>
        <v/>
      </c>
      <c r="P133" t="str">
        <f>IF($J133="","",IF(AND(OR($I$3="(ทั้งหมด)",INDEX(บันทึกรายเที่ยว!$C$6:$C$10005,$J133)=$I$3),OR($I$5="(ทั้งหมด)",INDEX(บันทึกรายเที่ยว!$D$6:$D$10005,$J133)=$I$5),OR($I$7="(ทั้งหมด)",INDEX(บันทึกรายเที่ยว!$F$6:$F$10005,$J133)=$I$7)),$N133*10000000+$O133*1000+126,""))</f>
        <v/>
      </c>
      <c r="Q133" t="str">
        <f>IFERROR(MATCH(SMALL($P$8:$P$407,126),$P$8:$P$407,0),"")</f>
        <v/>
      </c>
      <c r="R133" t="str">
        <f t="shared" si="21"/>
        <v/>
      </c>
      <c r="S133" t="str">
        <f t="shared" si="22"/>
        <v/>
      </c>
      <c r="T133" t="str">
        <f t="shared" si="23"/>
        <v/>
      </c>
      <c r="U133" t="str">
        <f t="shared" si="24"/>
        <v/>
      </c>
      <c r="V133">
        <f t="shared" si="26"/>
        <v>0</v>
      </c>
      <c r="W133">
        <f t="shared" si="27"/>
        <v>0</v>
      </c>
      <c r="X133">
        <f>IF($Q133="",99999+126,$X132+1+$V132+$W132)</f>
        <v>100125</v>
      </c>
      <c r="Y133" t="str">
        <f>IF($Q133="","",INDEX(บันทึกรายเที่ยว!$Q$6:$Q$10005,$R133))</f>
        <v/>
      </c>
      <c r="Z133" t="str">
        <f>IF($Q133="","",INDEX(บันทึกรายเที่ยว!$F$6:$F$10005,$R133))</f>
        <v/>
      </c>
      <c r="AA133" t="str">
        <f>IFERROR(MATCH(126,$X$8:$X$407,1),"")</f>
        <v/>
      </c>
      <c r="AB133" t="str">
        <f>IF(126=$AD$1+1,"G",IF($AA133="","",IF(INDEX($Q$8:$Q$407,$AA133)="","",IF(126&gt;INDEX($X$8:$X$407,$AA133)+INDEX($V$8:$V$407,$AA133)+INDEX($W$8:$W$407,$AA133),"",IF(126=INDEX($X$8:$X$407,$AA133)+INDEX($V$8:$V$407,$AA133)+INDEX($W$8:$W$407,$AA133),"D",IF(AND(INDEX($W$8:$W$407,$AA133)=1,126=INDEX($X$8:$X$407,$AA133)+INDEX($V$8:$V$407,$AA133)),"S","R"))))))</f>
        <v/>
      </c>
      <c r="AC133" t="str">
        <f t="shared" si="25"/>
        <v/>
      </c>
      <c r="AE133">
        <f>IF($U133="",0,COUNTIF(บันทึกรายเที่ยว!$T$6:$T$10005,$U133))</f>
        <v>0</v>
      </c>
      <c r="AF133">
        <f>IF($U133="",0,ROUND(SUMIF(บันทึกรายเที่ยว!$T$6:$T$10005,$U133,บันทึกรายเที่ยว!$J$6:$J$10005),2))</f>
        <v>0</v>
      </c>
      <c r="AG133">
        <f>IF($U133="",0,ROUND(SUMIF(บันทึกรายเที่ยว!$T$6:$T$10005,$U133,บันทึกรายเที่ยว!$K$6:$K$10005),2))</f>
        <v>0</v>
      </c>
      <c r="AH133">
        <f>IF($U133="",0,ROUND(SUMIF(บันทึกรายเที่ยว!$T$6:$T$10005,$U133,บันทึกรายเที่ยว!$M$6:$M$10005),2))</f>
        <v>0</v>
      </c>
    </row>
    <row r="134" spans="1:34" ht="21" customHeight="1" x14ac:dyDescent="0.95">
      <c r="A134" s="3" t="str">
        <f t="shared" si="14"/>
        <v/>
      </c>
      <c r="B134" s="3" t="str">
        <f t="shared" si="15"/>
        <v/>
      </c>
      <c r="C134" s="8" t="str">
        <f t="shared" si="16"/>
        <v/>
      </c>
      <c r="D134" s="31" t="str">
        <f t="shared" si="17"/>
        <v/>
      </c>
      <c r="E134" s="32" t="str">
        <f>IF(127=$AD$1+3,"ขอแสดงความนับถือ",IF(127=$AD$1+6,"(                 )",IF(127=$AD$1+7,"เจ้าหน้าที่ขนส่ง",IF($AB134="G",SUM($AF$8:$AF$407),IF(OR($AB134="",$AB134="R"),"",IF($AB134="D",INDEX($AF$8:$AF$407,$AA134),SUMIF($T$8:$T$407,INDEX($T$8:$T$407,$AA134),$AF$8:$AF$407)))))))</f>
        <v/>
      </c>
      <c r="F134" s="32" t="str">
        <f t="shared" si="18"/>
        <v/>
      </c>
      <c r="G134" s="32" t="str">
        <f t="shared" si="19"/>
        <v/>
      </c>
      <c r="H134" s="32" t="str">
        <f t="shared" si="20"/>
        <v/>
      </c>
      <c r="J134" t="str">
        <f>IFERROR(MATCH(127,บันทึกรายเที่ยว!$W$6:$W$10005,0),"")</f>
        <v/>
      </c>
      <c r="K134" t="str">
        <f>IF($J134="","",INDEX(บันทึกรายเที่ยว!$T$6:$T$10005,$J134))</f>
        <v/>
      </c>
      <c r="L134" t="str">
        <f>IF($J134="","",INDEX(บันทึกรายเที่ยว!$S$6:$S$10005,$J134))</f>
        <v/>
      </c>
      <c r="M134" t="str">
        <f>IF($J134="","",INDEX(บันทึกรายเที่ยว!$R$6:$R$10005,$J134))</f>
        <v/>
      </c>
      <c r="N134" t="str">
        <f>IF($J134="","",MATCH($M134,บันทึกรายเที่ยว!$R$6:$R$10005,0))</f>
        <v/>
      </c>
      <c r="O134" t="str">
        <f>IF($J134="","",MATCH($L134,บันทึกรายเที่ยว!$S$6:$S$10005,0))</f>
        <v/>
      </c>
      <c r="P134" t="str">
        <f>IF($J134="","",IF(AND(OR($I$3="(ทั้งหมด)",INDEX(บันทึกรายเที่ยว!$C$6:$C$10005,$J134)=$I$3),OR($I$5="(ทั้งหมด)",INDEX(บันทึกรายเที่ยว!$D$6:$D$10005,$J134)=$I$5),OR($I$7="(ทั้งหมด)",INDEX(บันทึกรายเที่ยว!$F$6:$F$10005,$J134)=$I$7)),$N134*10000000+$O134*1000+127,""))</f>
        <v/>
      </c>
      <c r="Q134" t="str">
        <f>IFERROR(MATCH(SMALL($P$8:$P$407,127),$P$8:$P$407,0),"")</f>
        <v/>
      </c>
      <c r="R134" t="str">
        <f t="shared" si="21"/>
        <v/>
      </c>
      <c r="S134" t="str">
        <f t="shared" si="22"/>
        <v/>
      </c>
      <c r="T134" t="str">
        <f t="shared" si="23"/>
        <v/>
      </c>
      <c r="U134" t="str">
        <f t="shared" si="24"/>
        <v/>
      </c>
      <c r="V134">
        <f t="shared" si="26"/>
        <v>0</v>
      </c>
      <c r="W134">
        <f t="shared" si="27"/>
        <v>0</v>
      </c>
      <c r="X134">
        <f>IF($Q134="",99999+127,$X133+1+$V133+$W133)</f>
        <v>100126</v>
      </c>
      <c r="Y134" t="str">
        <f>IF($Q134="","",INDEX(บันทึกรายเที่ยว!$Q$6:$Q$10005,$R134))</f>
        <v/>
      </c>
      <c r="Z134" t="str">
        <f>IF($Q134="","",INDEX(บันทึกรายเที่ยว!$F$6:$F$10005,$R134))</f>
        <v/>
      </c>
      <c r="AA134" t="str">
        <f>IFERROR(MATCH(127,$X$8:$X$407,1),"")</f>
        <v/>
      </c>
      <c r="AB134" t="str">
        <f>IF(127=$AD$1+1,"G",IF($AA134="","",IF(INDEX($Q$8:$Q$407,$AA134)="","",IF(127&gt;INDEX($X$8:$X$407,$AA134)+INDEX($V$8:$V$407,$AA134)+INDEX($W$8:$W$407,$AA134),"",IF(127=INDEX($X$8:$X$407,$AA134)+INDEX($V$8:$V$407,$AA134)+INDEX($W$8:$W$407,$AA134),"D",IF(AND(INDEX($W$8:$W$407,$AA134)=1,127=INDEX($X$8:$X$407,$AA134)+INDEX($V$8:$V$407,$AA134)),"S","R"))))))</f>
        <v/>
      </c>
      <c r="AC134" t="str">
        <f t="shared" si="25"/>
        <v/>
      </c>
      <c r="AE134">
        <f>IF($U134="",0,COUNTIF(บันทึกรายเที่ยว!$T$6:$T$10005,$U134))</f>
        <v>0</v>
      </c>
      <c r="AF134">
        <f>IF($U134="",0,ROUND(SUMIF(บันทึกรายเที่ยว!$T$6:$T$10005,$U134,บันทึกรายเที่ยว!$J$6:$J$10005),2))</f>
        <v>0</v>
      </c>
      <c r="AG134">
        <f>IF($U134="",0,ROUND(SUMIF(บันทึกรายเที่ยว!$T$6:$T$10005,$U134,บันทึกรายเที่ยว!$K$6:$K$10005),2))</f>
        <v>0</v>
      </c>
      <c r="AH134">
        <f>IF($U134="",0,ROUND(SUMIF(บันทึกรายเที่ยว!$T$6:$T$10005,$U134,บันทึกรายเที่ยว!$M$6:$M$10005),2))</f>
        <v>0</v>
      </c>
    </row>
    <row r="135" spans="1:34" ht="21" customHeight="1" x14ac:dyDescent="0.95">
      <c r="A135" s="3" t="str">
        <f t="shared" si="14"/>
        <v/>
      </c>
      <c r="B135" s="3" t="str">
        <f t="shared" si="15"/>
        <v/>
      </c>
      <c r="C135" s="8" t="str">
        <f t="shared" si="16"/>
        <v/>
      </c>
      <c r="D135" s="31" t="str">
        <f t="shared" si="17"/>
        <v/>
      </c>
      <c r="E135" s="32" t="str">
        <f>IF(128=$AD$1+3,"ขอแสดงความนับถือ",IF(128=$AD$1+6,"(                 )",IF(128=$AD$1+7,"เจ้าหน้าที่ขนส่ง",IF($AB135="G",SUM($AF$8:$AF$407),IF(OR($AB135="",$AB135="R"),"",IF($AB135="D",INDEX($AF$8:$AF$407,$AA135),SUMIF($T$8:$T$407,INDEX($T$8:$T$407,$AA135),$AF$8:$AF$407)))))))</f>
        <v/>
      </c>
      <c r="F135" s="32" t="str">
        <f t="shared" si="18"/>
        <v/>
      </c>
      <c r="G135" s="32" t="str">
        <f t="shared" si="19"/>
        <v/>
      </c>
      <c r="H135" s="32" t="str">
        <f t="shared" si="20"/>
        <v/>
      </c>
      <c r="J135" t="str">
        <f>IFERROR(MATCH(128,บันทึกรายเที่ยว!$W$6:$W$10005,0),"")</f>
        <v/>
      </c>
      <c r="K135" t="str">
        <f>IF($J135="","",INDEX(บันทึกรายเที่ยว!$T$6:$T$10005,$J135))</f>
        <v/>
      </c>
      <c r="L135" t="str">
        <f>IF($J135="","",INDEX(บันทึกรายเที่ยว!$S$6:$S$10005,$J135))</f>
        <v/>
      </c>
      <c r="M135" t="str">
        <f>IF($J135="","",INDEX(บันทึกรายเที่ยว!$R$6:$R$10005,$J135))</f>
        <v/>
      </c>
      <c r="N135" t="str">
        <f>IF($J135="","",MATCH($M135,บันทึกรายเที่ยว!$R$6:$R$10005,0))</f>
        <v/>
      </c>
      <c r="O135" t="str">
        <f>IF($J135="","",MATCH($L135,บันทึกรายเที่ยว!$S$6:$S$10005,0))</f>
        <v/>
      </c>
      <c r="P135" t="str">
        <f>IF($J135="","",IF(AND(OR($I$3="(ทั้งหมด)",INDEX(บันทึกรายเที่ยว!$C$6:$C$10005,$J135)=$I$3),OR($I$5="(ทั้งหมด)",INDEX(บันทึกรายเที่ยว!$D$6:$D$10005,$J135)=$I$5),OR($I$7="(ทั้งหมด)",INDEX(บันทึกรายเที่ยว!$F$6:$F$10005,$J135)=$I$7)),$N135*10000000+$O135*1000+128,""))</f>
        <v/>
      </c>
      <c r="Q135" t="str">
        <f>IFERROR(MATCH(SMALL($P$8:$P$407,128),$P$8:$P$407,0),"")</f>
        <v/>
      </c>
      <c r="R135" t="str">
        <f t="shared" si="21"/>
        <v/>
      </c>
      <c r="S135" t="str">
        <f t="shared" si="22"/>
        <v/>
      </c>
      <c r="T135" t="str">
        <f t="shared" si="23"/>
        <v/>
      </c>
      <c r="U135" t="str">
        <f t="shared" si="24"/>
        <v/>
      </c>
      <c r="V135">
        <f t="shared" si="26"/>
        <v>0</v>
      </c>
      <c r="W135">
        <f t="shared" si="27"/>
        <v>0</v>
      </c>
      <c r="X135">
        <f>IF($Q135="",99999+128,$X134+1+$V134+$W134)</f>
        <v>100127</v>
      </c>
      <c r="Y135" t="str">
        <f>IF($Q135="","",INDEX(บันทึกรายเที่ยว!$Q$6:$Q$10005,$R135))</f>
        <v/>
      </c>
      <c r="Z135" t="str">
        <f>IF($Q135="","",INDEX(บันทึกรายเที่ยว!$F$6:$F$10005,$R135))</f>
        <v/>
      </c>
      <c r="AA135" t="str">
        <f>IFERROR(MATCH(128,$X$8:$X$407,1),"")</f>
        <v/>
      </c>
      <c r="AB135" t="str">
        <f>IF(128=$AD$1+1,"G",IF($AA135="","",IF(INDEX($Q$8:$Q$407,$AA135)="","",IF(128&gt;INDEX($X$8:$X$407,$AA135)+INDEX($V$8:$V$407,$AA135)+INDEX($W$8:$W$407,$AA135),"",IF(128=INDEX($X$8:$X$407,$AA135)+INDEX($V$8:$V$407,$AA135)+INDEX($W$8:$W$407,$AA135),"D",IF(AND(INDEX($W$8:$W$407,$AA135)=1,128=INDEX($X$8:$X$407,$AA135)+INDEX($V$8:$V$407,$AA135)),"S","R"))))))</f>
        <v/>
      </c>
      <c r="AC135" t="str">
        <f t="shared" si="25"/>
        <v/>
      </c>
      <c r="AE135">
        <f>IF($U135="",0,COUNTIF(บันทึกรายเที่ยว!$T$6:$T$10005,$U135))</f>
        <v>0</v>
      </c>
      <c r="AF135">
        <f>IF($U135="",0,ROUND(SUMIF(บันทึกรายเที่ยว!$T$6:$T$10005,$U135,บันทึกรายเที่ยว!$J$6:$J$10005),2))</f>
        <v>0</v>
      </c>
      <c r="AG135">
        <f>IF($U135="",0,ROUND(SUMIF(บันทึกรายเที่ยว!$T$6:$T$10005,$U135,บันทึกรายเที่ยว!$K$6:$K$10005),2))</f>
        <v>0</v>
      </c>
      <c r="AH135">
        <f>IF($U135="",0,ROUND(SUMIF(บันทึกรายเที่ยว!$T$6:$T$10005,$U135,บันทึกรายเที่ยว!$M$6:$M$10005),2))</f>
        <v>0</v>
      </c>
    </row>
    <row r="136" spans="1:34" ht="21" customHeight="1" x14ac:dyDescent="0.95">
      <c r="A136" s="3" t="str">
        <f t="shared" ref="A136:A199" si="28">IF($AB136="G","ผลรวมทั้งหมด",IF($AB136="R",INDEX($S$8:$S$407,$AA136),""))</f>
        <v/>
      </c>
      <c r="B136" s="3" t="str">
        <f t="shared" ref="B136:B199" si="29">IF($AB136="S",INDEX($Y$8:$Y$407,$AA136),"")</f>
        <v/>
      </c>
      <c r="C136" s="8" t="str">
        <f t="shared" ref="C136:C199" si="30">IF($AB136="D",INDEX($Z$8:$Z$407,$AA136),"")</f>
        <v/>
      </c>
      <c r="D136" s="31" t="str">
        <f t="shared" ref="D136:D199" si="31">IF($AB136="G",SUM($AE$8:$AE$407),IF(OR($AB136="",$AB136="R"),"",IF($AB136="D",INDEX($AE$8:$AE$407,$AA136),SUMIF($T$8:$T$407,INDEX($T$8:$T$407,$AA136),$AE$8:$AE$407))))</f>
        <v/>
      </c>
      <c r="E136" s="32" t="str">
        <f>IF(129=$AD$1+3,"ขอแสดงความนับถือ",IF(129=$AD$1+6,"(                 )",IF(129=$AD$1+7,"เจ้าหน้าที่ขนส่ง",IF($AB136="G",SUM($AF$8:$AF$407),IF(OR($AB136="",$AB136="R"),"",IF($AB136="D",INDEX($AF$8:$AF$407,$AA136),SUMIF($T$8:$T$407,INDEX($T$8:$T$407,$AA136),$AF$8:$AF$407)))))))</f>
        <v/>
      </c>
      <c r="F136" s="32" t="str">
        <f t="shared" ref="F136:F199" si="32">IF($AB136="G",SUM($AG$8:$AG$407),IF(OR($AB136="",$AB136="R"),"",IF($AB136="D",INDEX($AG$8:$AG$407,$AA136),SUMIF($T$8:$T$407,INDEX($T$8:$T$407,$AA136),$AG$8:$AG$407))))</f>
        <v/>
      </c>
      <c r="G136" s="32" t="str">
        <f t="shared" ref="G136:G199" si="33">IF(OR($AB136="",$AB136="R"),"",ROUND($E136-$F136,2))</f>
        <v/>
      </c>
      <c r="H136" s="32" t="str">
        <f t="shared" ref="H136:H199" si="34">IF($AB136="G",SUM($AH$8:$AH$407),IF(OR($AB136="",$AB136="R"),"",IF($AB136="D",INDEX($AH$8:$AH$407,$AA136),SUMIF($T$8:$T$407,INDEX($T$8:$T$407,$AA136),$AH$8:$AH$407))))</f>
        <v/>
      </c>
      <c r="J136" t="str">
        <f>IFERROR(MATCH(129,บันทึกรายเที่ยว!$W$6:$W$10005,0),"")</f>
        <v/>
      </c>
      <c r="K136" t="str">
        <f>IF($J136="","",INDEX(บันทึกรายเที่ยว!$T$6:$T$10005,$J136))</f>
        <v/>
      </c>
      <c r="L136" t="str">
        <f>IF($J136="","",INDEX(บันทึกรายเที่ยว!$S$6:$S$10005,$J136))</f>
        <v/>
      </c>
      <c r="M136" t="str">
        <f>IF($J136="","",INDEX(บันทึกรายเที่ยว!$R$6:$R$10005,$J136))</f>
        <v/>
      </c>
      <c r="N136" t="str">
        <f>IF($J136="","",MATCH($M136,บันทึกรายเที่ยว!$R$6:$R$10005,0))</f>
        <v/>
      </c>
      <c r="O136" t="str">
        <f>IF($J136="","",MATCH($L136,บันทึกรายเที่ยว!$S$6:$S$10005,0))</f>
        <v/>
      </c>
      <c r="P136" t="str">
        <f>IF($J136="","",IF(AND(OR($I$3="(ทั้งหมด)",INDEX(บันทึกรายเที่ยว!$C$6:$C$10005,$J136)=$I$3),OR($I$5="(ทั้งหมด)",INDEX(บันทึกรายเที่ยว!$D$6:$D$10005,$J136)=$I$5),OR($I$7="(ทั้งหมด)",INDEX(บันทึกรายเที่ยว!$F$6:$F$10005,$J136)=$I$7)),$N136*10000000+$O136*1000+129,""))</f>
        <v/>
      </c>
      <c r="Q136" t="str">
        <f>IFERROR(MATCH(SMALL($P$8:$P$407,129),$P$8:$P$407,0),"")</f>
        <v/>
      </c>
      <c r="R136" t="str">
        <f t="shared" ref="R136:R199" si="35">IF($Q136="","",INDEX($J$8:$J$407,$Q136))</f>
        <v/>
      </c>
      <c r="S136" t="str">
        <f t="shared" ref="S136:S199" si="36">IF($Q136="","",INDEX($M$8:$M$407,$Q136))</f>
        <v/>
      </c>
      <c r="T136" t="str">
        <f t="shared" ref="T136:T199" si="37">IF($Q136="","",INDEX($L$8:$L$407,$Q136))</f>
        <v/>
      </c>
      <c r="U136" t="str">
        <f t="shared" ref="U136:U199" si="38">IF($Q136="","",INDEX($K$8:$K$407,$Q136))</f>
        <v/>
      </c>
      <c r="V136">
        <f t="shared" si="26"/>
        <v>0</v>
      </c>
      <c r="W136">
        <f t="shared" si="27"/>
        <v>0</v>
      </c>
      <c r="X136">
        <f>IF($Q136="",99999+129,$X135+1+$V135+$W135)</f>
        <v>100128</v>
      </c>
      <c r="Y136" t="str">
        <f>IF($Q136="","",INDEX(บันทึกรายเที่ยว!$Q$6:$Q$10005,$R136))</f>
        <v/>
      </c>
      <c r="Z136" t="str">
        <f>IF($Q136="","",INDEX(บันทึกรายเที่ยว!$F$6:$F$10005,$R136))</f>
        <v/>
      </c>
      <c r="AA136" t="str">
        <f>IFERROR(MATCH(129,$X$8:$X$407,1),"")</f>
        <v/>
      </c>
      <c r="AB136" t="str">
        <f>IF(129=$AD$1+1,"G",IF($AA136="","",IF(INDEX($Q$8:$Q$407,$AA136)="","",IF(129&gt;INDEX($X$8:$X$407,$AA136)+INDEX($V$8:$V$407,$AA136)+INDEX($W$8:$W$407,$AA136),"",IF(129=INDEX($X$8:$X$407,$AA136)+INDEX($V$8:$V$407,$AA136)+INDEX($W$8:$W$407,$AA136),"D",IF(AND(INDEX($W$8:$W$407,$AA136)=1,129=INDEX($X$8:$X$407,$AA136)+INDEX($V$8:$V$407,$AA136)),"S","R"))))))</f>
        <v/>
      </c>
      <c r="AC136" t="str">
        <f t="shared" ref="AC136:AC199" si="39">IF(OR($AB136="",$AB136="G"),"",IF($AB136="D",INDEX($U$8:$U$407,$AA136),IF($AB136="S",INDEX($T$8:$T$407,$AA136)&amp;"|*",INDEX($S$8:$S$407,$AA136)&amp;"|*")))</f>
        <v/>
      </c>
      <c r="AE136">
        <f>IF($U136="",0,COUNTIF(บันทึกรายเที่ยว!$T$6:$T$10005,$U136))</f>
        <v>0</v>
      </c>
      <c r="AF136">
        <f>IF($U136="",0,ROUND(SUMIF(บันทึกรายเที่ยว!$T$6:$T$10005,$U136,บันทึกรายเที่ยว!$J$6:$J$10005),2))</f>
        <v>0</v>
      </c>
      <c r="AG136">
        <f>IF($U136="",0,ROUND(SUMIF(บันทึกรายเที่ยว!$T$6:$T$10005,$U136,บันทึกรายเที่ยว!$K$6:$K$10005),2))</f>
        <v>0</v>
      </c>
      <c r="AH136">
        <f>IF($U136="",0,ROUND(SUMIF(บันทึกรายเที่ยว!$T$6:$T$10005,$U136,บันทึกรายเที่ยว!$M$6:$M$10005),2))</f>
        <v>0</v>
      </c>
    </row>
    <row r="137" spans="1:34" ht="21" customHeight="1" x14ac:dyDescent="0.95">
      <c r="A137" s="3" t="str">
        <f t="shared" si="28"/>
        <v/>
      </c>
      <c r="B137" s="3" t="str">
        <f t="shared" si="29"/>
        <v/>
      </c>
      <c r="C137" s="8" t="str">
        <f t="shared" si="30"/>
        <v/>
      </c>
      <c r="D137" s="31" t="str">
        <f t="shared" si="31"/>
        <v/>
      </c>
      <c r="E137" s="32" t="str">
        <f>IF(130=$AD$1+3,"ขอแสดงความนับถือ",IF(130=$AD$1+6,"(                 )",IF(130=$AD$1+7,"เจ้าหน้าที่ขนส่ง",IF($AB137="G",SUM($AF$8:$AF$407),IF(OR($AB137="",$AB137="R"),"",IF($AB137="D",INDEX($AF$8:$AF$407,$AA137),SUMIF($T$8:$T$407,INDEX($T$8:$T$407,$AA137),$AF$8:$AF$407)))))))</f>
        <v/>
      </c>
      <c r="F137" s="32" t="str">
        <f t="shared" si="32"/>
        <v/>
      </c>
      <c r="G137" s="32" t="str">
        <f t="shared" si="33"/>
        <v/>
      </c>
      <c r="H137" s="32" t="str">
        <f t="shared" si="34"/>
        <v/>
      </c>
      <c r="J137" t="str">
        <f>IFERROR(MATCH(130,บันทึกรายเที่ยว!$W$6:$W$10005,0),"")</f>
        <v/>
      </c>
      <c r="K137" t="str">
        <f>IF($J137="","",INDEX(บันทึกรายเที่ยว!$T$6:$T$10005,$J137))</f>
        <v/>
      </c>
      <c r="L137" t="str">
        <f>IF($J137="","",INDEX(บันทึกรายเที่ยว!$S$6:$S$10005,$J137))</f>
        <v/>
      </c>
      <c r="M137" t="str">
        <f>IF($J137="","",INDEX(บันทึกรายเที่ยว!$R$6:$R$10005,$J137))</f>
        <v/>
      </c>
      <c r="N137" t="str">
        <f>IF($J137="","",MATCH($M137,บันทึกรายเที่ยว!$R$6:$R$10005,0))</f>
        <v/>
      </c>
      <c r="O137" t="str">
        <f>IF($J137="","",MATCH($L137,บันทึกรายเที่ยว!$S$6:$S$10005,0))</f>
        <v/>
      </c>
      <c r="P137" t="str">
        <f>IF($J137="","",IF(AND(OR($I$3="(ทั้งหมด)",INDEX(บันทึกรายเที่ยว!$C$6:$C$10005,$J137)=$I$3),OR($I$5="(ทั้งหมด)",INDEX(บันทึกรายเที่ยว!$D$6:$D$10005,$J137)=$I$5),OR($I$7="(ทั้งหมด)",INDEX(บันทึกรายเที่ยว!$F$6:$F$10005,$J137)=$I$7)),$N137*10000000+$O137*1000+130,""))</f>
        <v/>
      </c>
      <c r="Q137" t="str">
        <f>IFERROR(MATCH(SMALL($P$8:$P$407,130),$P$8:$P$407,0),"")</f>
        <v/>
      </c>
      <c r="R137" t="str">
        <f t="shared" si="35"/>
        <v/>
      </c>
      <c r="S137" t="str">
        <f t="shared" si="36"/>
        <v/>
      </c>
      <c r="T137" t="str">
        <f t="shared" si="37"/>
        <v/>
      </c>
      <c r="U137" t="str">
        <f t="shared" si="38"/>
        <v/>
      </c>
      <c r="V137">
        <f t="shared" ref="V137:V200" si="40">IF($Q137="",0,IF($S137&lt;&gt;$S136,1,0))</f>
        <v>0</v>
      </c>
      <c r="W137">
        <f t="shared" ref="W137:W200" si="41">IF($Q137="",0,IF($T137&lt;&gt;$T136,1,0))</f>
        <v>0</v>
      </c>
      <c r="X137">
        <f>IF($Q137="",99999+130,$X136+1+$V136+$W136)</f>
        <v>100129</v>
      </c>
      <c r="Y137" t="str">
        <f>IF($Q137="","",INDEX(บันทึกรายเที่ยว!$Q$6:$Q$10005,$R137))</f>
        <v/>
      </c>
      <c r="Z137" t="str">
        <f>IF($Q137="","",INDEX(บันทึกรายเที่ยว!$F$6:$F$10005,$R137))</f>
        <v/>
      </c>
      <c r="AA137" t="str">
        <f>IFERROR(MATCH(130,$X$8:$X$407,1),"")</f>
        <v/>
      </c>
      <c r="AB137" t="str">
        <f>IF(130=$AD$1+1,"G",IF($AA137="","",IF(INDEX($Q$8:$Q$407,$AA137)="","",IF(130&gt;INDEX($X$8:$X$407,$AA137)+INDEX($V$8:$V$407,$AA137)+INDEX($W$8:$W$407,$AA137),"",IF(130=INDEX($X$8:$X$407,$AA137)+INDEX($V$8:$V$407,$AA137)+INDEX($W$8:$W$407,$AA137),"D",IF(AND(INDEX($W$8:$W$407,$AA137)=1,130=INDEX($X$8:$X$407,$AA137)+INDEX($V$8:$V$407,$AA137)),"S","R"))))))</f>
        <v/>
      </c>
      <c r="AC137" t="str">
        <f t="shared" si="39"/>
        <v/>
      </c>
      <c r="AE137">
        <f>IF($U137="",0,COUNTIF(บันทึกรายเที่ยว!$T$6:$T$10005,$U137))</f>
        <v>0</v>
      </c>
      <c r="AF137">
        <f>IF($U137="",0,ROUND(SUMIF(บันทึกรายเที่ยว!$T$6:$T$10005,$U137,บันทึกรายเที่ยว!$J$6:$J$10005),2))</f>
        <v>0</v>
      </c>
      <c r="AG137">
        <f>IF($U137="",0,ROUND(SUMIF(บันทึกรายเที่ยว!$T$6:$T$10005,$U137,บันทึกรายเที่ยว!$K$6:$K$10005),2))</f>
        <v>0</v>
      </c>
      <c r="AH137">
        <f>IF($U137="",0,ROUND(SUMIF(บันทึกรายเที่ยว!$T$6:$T$10005,$U137,บันทึกรายเที่ยว!$M$6:$M$10005),2))</f>
        <v>0</v>
      </c>
    </row>
    <row r="138" spans="1:34" ht="21" customHeight="1" x14ac:dyDescent="0.95">
      <c r="A138" s="3" t="str">
        <f t="shared" si="28"/>
        <v/>
      </c>
      <c r="B138" s="3" t="str">
        <f t="shared" si="29"/>
        <v/>
      </c>
      <c r="C138" s="8" t="str">
        <f t="shared" si="30"/>
        <v/>
      </c>
      <c r="D138" s="31" t="str">
        <f t="shared" si="31"/>
        <v/>
      </c>
      <c r="E138" s="32" t="str">
        <f>IF(131=$AD$1+3,"ขอแสดงความนับถือ",IF(131=$AD$1+6,"(                 )",IF(131=$AD$1+7,"เจ้าหน้าที่ขนส่ง",IF($AB138="G",SUM($AF$8:$AF$407),IF(OR($AB138="",$AB138="R"),"",IF($AB138="D",INDEX($AF$8:$AF$407,$AA138),SUMIF($T$8:$T$407,INDEX($T$8:$T$407,$AA138),$AF$8:$AF$407)))))))</f>
        <v/>
      </c>
      <c r="F138" s="32" t="str">
        <f t="shared" si="32"/>
        <v/>
      </c>
      <c r="G138" s="32" t="str">
        <f t="shared" si="33"/>
        <v/>
      </c>
      <c r="H138" s="32" t="str">
        <f t="shared" si="34"/>
        <v/>
      </c>
      <c r="J138" t="str">
        <f>IFERROR(MATCH(131,บันทึกรายเที่ยว!$W$6:$W$10005,0),"")</f>
        <v/>
      </c>
      <c r="K138" t="str">
        <f>IF($J138="","",INDEX(บันทึกรายเที่ยว!$T$6:$T$10005,$J138))</f>
        <v/>
      </c>
      <c r="L138" t="str">
        <f>IF($J138="","",INDEX(บันทึกรายเที่ยว!$S$6:$S$10005,$J138))</f>
        <v/>
      </c>
      <c r="M138" t="str">
        <f>IF($J138="","",INDEX(บันทึกรายเที่ยว!$R$6:$R$10005,$J138))</f>
        <v/>
      </c>
      <c r="N138" t="str">
        <f>IF($J138="","",MATCH($M138,บันทึกรายเที่ยว!$R$6:$R$10005,0))</f>
        <v/>
      </c>
      <c r="O138" t="str">
        <f>IF($J138="","",MATCH($L138,บันทึกรายเที่ยว!$S$6:$S$10005,0))</f>
        <v/>
      </c>
      <c r="P138" t="str">
        <f>IF($J138="","",IF(AND(OR($I$3="(ทั้งหมด)",INDEX(บันทึกรายเที่ยว!$C$6:$C$10005,$J138)=$I$3),OR($I$5="(ทั้งหมด)",INDEX(บันทึกรายเที่ยว!$D$6:$D$10005,$J138)=$I$5),OR($I$7="(ทั้งหมด)",INDEX(บันทึกรายเที่ยว!$F$6:$F$10005,$J138)=$I$7)),$N138*10000000+$O138*1000+131,""))</f>
        <v/>
      </c>
      <c r="Q138" t="str">
        <f>IFERROR(MATCH(SMALL($P$8:$P$407,131),$P$8:$P$407,0),"")</f>
        <v/>
      </c>
      <c r="R138" t="str">
        <f t="shared" si="35"/>
        <v/>
      </c>
      <c r="S138" t="str">
        <f t="shared" si="36"/>
        <v/>
      </c>
      <c r="T138" t="str">
        <f t="shared" si="37"/>
        <v/>
      </c>
      <c r="U138" t="str">
        <f t="shared" si="38"/>
        <v/>
      </c>
      <c r="V138">
        <f t="shared" si="40"/>
        <v>0</v>
      </c>
      <c r="W138">
        <f t="shared" si="41"/>
        <v>0</v>
      </c>
      <c r="X138">
        <f>IF($Q138="",99999+131,$X137+1+$V137+$W137)</f>
        <v>100130</v>
      </c>
      <c r="Y138" t="str">
        <f>IF($Q138="","",INDEX(บันทึกรายเที่ยว!$Q$6:$Q$10005,$R138))</f>
        <v/>
      </c>
      <c r="Z138" t="str">
        <f>IF($Q138="","",INDEX(บันทึกรายเที่ยว!$F$6:$F$10005,$R138))</f>
        <v/>
      </c>
      <c r="AA138" t="str">
        <f>IFERROR(MATCH(131,$X$8:$X$407,1),"")</f>
        <v/>
      </c>
      <c r="AB138" t="str">
        <f>IF(131=$AD$1+1,"G",IF($AA138="","",IF(INDEX($Q$8:$Q$407,$AA138)="","",IF(131&gt;INDEX($X$8:$X$407,$AA138)+INDEX($V$8:$V$407,$AA138)+INDEX($W$8:$W$407,$AA138),"",IF(131=INDEX($X$8:$X$407,$AA138)+INDEX($V$8:$V$407,$AA138)+INDEX($W$8:$W$407,$AA138),"D",IF(AND(INDEX($W$8:$W$407,$AA138)=1,131=INDEX($X$8:$X$407,$AA138)+INDEX($V$8:$V$407,$AA138)),"S","R"))))))</f>
        <v/>
      </c>
      <c r="AC138" t="str">
        <f t="shared" si="39"/>
        <v/>
      </c>
      <c r="AE138">
        <f>IF($U138="",0,COUNTIF(บันทึกรายเที่ยว!$T$6:$T$10005,$U138))</f>
        <v>0</v>
      </c>
      <c r="AF138">
        <f>IF($U138="",0,ROUND(SUMIF(บันทึกรายเที่ยว!$T$6:$T$10005,$U138,บันทึกรายเที่ยว!$J$6:$J$10005),2))</f>
        <v>0</v>
      </c>
      <c r="AG138">
        <f>IF($U138="",0,ROUND(SUMIF(บันทึกรายเที่ยว!$T$6:$T$10005,$U138,บันทึกรายเที่ยว!$K$6:$K$10005),2))</f>
        <v>0</v>
      </c>
      <c r="AH138">
        <f>IF($U138="",0,ROUND(SUMIF(บันทึกรายเที่ยว!$T$6:$T$10005,$U138,บันทึกรายเที่ยว!$M$6:$M$10005),2))</f>
        <v>0</v>
      </c>
    </row>
    <row r="139" spans="1:34" ht="21" customHeight="1" x14ac:dyDescent="0.95">
      <c r="A139" s="3" t="str">
        <f t="shared" si="28"/>
        <v/>
      </c>
      <c r="B139" s="3" t="str">
        <f t="shared" si="29"/>
        <v/>
      </c>
      <c r="C139" s="8" t="str">
        <f t="shared" si="30"/>
        <v/>
      </c>
      <c r="D139" s="31" t="str">
        <f t="shared" si="31"/>
        <v/>
      </c>
      <c r="E139" s="32" t="str">
        <f>IF(132=$AD$1+3,"ขอแสดงความนับถือ",IF(132=$AD$1+6,"(                 )",IF(132=$AD$1+7,"เจ้าหน้าที่ขนส่ง",IF($AB139="G",SUM($AF$8:$AF$407),IF(OR($AB139="",$AB139="R"),"",IF($AB139="D",INDEX($AF$8:$AF$407,$AA139),SUMIF($T$8:$T$407,INDEX($T$8:$T$407,$AA139),$AF$8:$AF$407)))))))</f>
        <v/>
      </c>
      <c r="F139" s="32" t="str">
        <f t="shared" si="32"/>
        <v/>
      </c>
      <c r="G139" s="32" t="str">
        <f t="shared" si="33"/>
        <v/>
      </c>
      <c r="H139" s="32" t="str">
        <f t="shared" si="34"/>
        <v/>
      </c>
      <c r="J139" t="str">
        <f>IFERROR(MATCH(132,บันทึกรายเที่ยว!$W$6:$W$10005,0),"")</f>
        <v/>
      </c>
      <c r="K139" t="str">
        <f>IF($J139="","",INDEX(บันทึกรายเที่ยว!$T$6:$T$10005,$J139))</f>
        <v/>
      </c>
      <c r="L139" t="str">
        <f>IF($J139="","",INDEX(บันทึกรายเที่ยว!$S$6:$S$10005,$J139))</f>
        <v/>
      </c>
      <c r="M139" t="str">
        <f>IF($J139="","",INDEX(บันทึกรายเที่ยว!$R$6:$R$10005,$J139))</f>
        <v/>
      </c>
      <c r="N139" t="str">
        <f>IF($J139="","",MATCH($M139,บันทึกรายเที่ยว!$R$6:$R$10005,0))</f>
        <v/>
      </c>
      <c r="O139" t="str">
        <f>IF($J139="","",MATCH($L139,บันทึกรายเที่ยว!$S$6:$S$10005,0))</f>
        <v/>
      </c>
      <c r="P139" t="str">
        <f>IF($J139="","",IF(AND(OR($I$3="(ทั้งหมด)",INDEX(บันทึกรายเที่ยว!$C$6:$C$10005,$J139)=$I$3),OR($I$5="(ทั้งหมด)",INDEX(บันทึกรายเที่ยว!$D$6:$D$10005,$J139)=$I$5),OR($I$7="(ทั้งหมด)",INDEX(บันทึกรายเที่ยว!$F$6:$F$10005,$J139)=$I$7)),$N139*10000000+$O139*1000+132,""))</f>
        <v/>
      </c>
      <c r="Q139" t="str">
        <f>IFERROR(MATCH(SMALL($P$8:$P$407,132),$P$8:$P$407,0),"")</f>
        <v/>
      </c>
      <c r="R139" t="str">
        <f t="shared" si="35"/>
        <v/>
      </c>
      <c r="S139" t="str">
        <f t="shared" si="36"/>
        <v/>
      </c>
      <c r="T139" t="str">
        <f t="shared" si="37"/>
        <v/>
      </c>
      <c r="U139" t="str">
        <f t="shared" si="38"/>
        <v/>
      </c>
      <c r="V139">
        <f t="shared" si="40"/>
        <v>0</v>
      </c>
      <c r="W139">
        <f t="shared" si="41"/>
        <v>0</v>
      </c>
      <c r="X139">
        <f>IF($Q139="",99999+132,$X138+1+$V138+$W138)</f>
        <v>100131</v>
      </c>
      <c r="Y139" t="str">
        <f>IF($Q139="","",INDEX(บันทึกรายเที่ยว!$Q$6:$Q$10005,$R139))</f>
        <v/>
      </c>
      <c r="Z139" t="str">
        <f>IF($Q139="","",INDEX(บันทึกรายเที่ยว!$F$6:$F$10005,$R139))</f>
        <v/>
      </c>
      <c r="AA139" t="str">
        <f>IFERROR(MATCH(132,$X$8:$X$407,1),"")</f>
        <v/>
      </c>
      <c r="AB139" t="str">
        <f>IF(132=$AD$1+1,"G",IF($AA139="","",IF(INDEX($Q$8:$Q$407,$AA139)="","",IF(132&gt;INDEX($X$8:$X$407,$AA139)+INDEX($V$8:$V$407,$AA139)+INDEX($W$8:$W$407,$AA139),"",IF(132=INDEX($X$8:$X$407,$AA139)+INDEX($V$8:$V$407,$AA139)+INDEX($W$8:$W$407,$AA139),"D",IF(AND(INDEX($W$8:$W$407,$AA139)=1,132=INDEX($X$8:$X$407,$AA139)+INDEX($V$8:$V$407,$AA139)),"S","R"))))))</f>
        <v/>
      </c>
      <c r="AC139" t="str">
        <f t="shared" si="39"/>
        <v/>
      </c>
      <c r="AE139">
        <f>IF($U139="",0,COUNTIF(บันทึกรายเที่ยว!$T$6:$T$10005,$U139))</f>
        <v>0</v>
      </c>
      <c r="AF139">
        <f>IF($U139="",0,ROUND(SUMIF(บันทึกรายเที่ยว!$T$6:$T$10005,$U139,บันทึกรายเที่ยว!$J$6:$J$10005),2))</f>
        <v>0</v>
      </c>
      <c r="AG139">
        <f>IF($U139="",0,ROUND(SUMIF(บันทึกรายเที่ยว!$T$6:$T$10005,$U139,บันทึกรายเที่ยว!$K$6:$K$10005),2))</f>
        <v>0</v>
      </c>
      <c r="AH139">
        <f>IF($U139="",0,ROUND(SUMIF(บันทึกรายเที่ยว!$T$6:$T$10005,$U139,บันทึกรายเที่ยว!$M$6:$M$10005),2))</f>
        <v>0</v>
      </c>
    </row>
    <row r="140" spans="1:34" ht="21" customHeight="1" x14ac:dyDescent="0.95">
      <c r="A140" s="3" t="str">
        <f t="shared" si="28"/>
        <v/>
      </c>
      <c r="B140" s="3" t="str">
        <f t="shared" si="29"/>
        <v/>
      </c>
      <c r="C140" s="8" t="str">
        <f t="shared" si="30"/>
        <v/>
      </c>
      <c r="D140" s="31" t="str">
        <f t="shared" si="31"/>
        <v/>
      </c>
      <c r="E140" s="32" t="str">
        <f>IF(133=$AD$1+3,"ขอแสดงความนับถือ",IF(133=$AD$1+6,"(                 )",IF(133=$AD$1+7,"เจ้าหน้าที่ขนส่ง",IF($AB140="G",SUM($AF$8:$AF$407),IF(OR($AB140="",$AB140="R"),"",IF($AB140="D",INDEX($AF$8:$AF$407,$AA140),SUMIF($T$8:$T$407,INDEX($T$8:$T$407,$AA140),$AF$8:$AF$407)))))))</f>
        <v/>
      </c>
      <c r="F140" s="32" t="str">
        <f t="shared" si="32"/>
        <v/>
      </c>
      <c r="G140" s="32" t="str">
        <f t="shared" si="33"/>
        <v/>
      </c>
      <c r="H140" s="32" t="str">
        <f t="shared" si="34"/>
        <v/>
      </c>
      <c r="J140" t="str">
        <f>IFERROR(MATCH(133,บันทึกรายเที่ยว!$W$6:$W$10005,0),"")</f>
        <v/>
      </c>
      <c r="K140" t="str">
        <f>IF($J140="","",INDEX(บันทึกรายเที่ยว!$T$6:$T$10005,$J140))</f>
        <v/>
      </c>
      <c r="L140" t="str">
        <f>IF($J140="","",INDEX(บันทึกรายเที่ยว!$S$6:$S$10005,$J140))</f>
        <v/>
      </c>
      <c r="M140" t="str">
        <f>IF($J140="","",INDEX(บันทึกรายเที่ยว!$R$6:$R$10005,$J140))</f>
        <v/>
      </c>
      <c r="N140" t="str">
        <f>IF($J140="","",MATCH($M140,บันทึกรายเที่ยว!$R$6:$R$10005,0))</f>
        <v/>
      </c>
      <c r="O140" t="str">
        <f>IF($J140="","",MATCH($L140,บันทึกรายเที่ยว!$S$6:$S$10005,0))</f>
        <v/>
      </c>
      <c r="P140" t="str">
        <f>IF($J140="","",IF(AND(OR($I$3="(ทั้งหมด)",INDEX(บันทึกรายเที่ยว!$C$6:$C$10005,$J140)=$I$3),OR($I$5="(ทั้งหมด)",INDEX(บันทึกรายเที่ยว!$D$6:$D$10005,$J140)=$I$5),OR($I$7="(ทั้งหมด)",INDEX(บันทึกรายเที่ยว!$F$6:$F$10005,$J140)=$I$7)),$N140*10000000+$O140*1000+133,""))</f>
        <v/>
      </c>
      <c r="Q140" t="str">
        <f>IFERROR(MATCH(SMALL($P$8:$P$407,133),$P$8:$P$407,0),"")</f>
        <v/>
      </c>
      <c r="R140" t="str">
        <f t="shared" si="35"/>
        <v/>
      </c>
      <c r="S140" t="str">
        <f t="shared" si="36"/>
        <v/>
      </c>
      <c r="T140" t="str">
        <f t="shared" si="37"/>
        <v/>
      </c>
      <c r="U140" t="str">
        <f t="shared" si="38"/>
        <v/>
      </c>
      <c r="V140">
        <f t="shared" si="40"/>
        <v>0</v>
      </c>
      <c r="W140">
        <f t="shared" si="41"/>
        <v>0</v>
      </c>
      <c r="X140">
        <f>IF($Q140="",99999+133,$X139+1+$V139+$W139)</f>
        <v>100132</v>
      </c>
      <c r="Y140" t="str">
        <f>IF($Q140="","",INDEX(บันทึกรายเที่ยว!$Q$6:$Q$10005,$R140))</f>
        <v/>
      </c>
      <c r="Z140" t="str">
        <f>IF($Q140="","",INDEX(บันทึกรายเที่ยว!$F$6:$F$10005,$R140))</f>
        <v/>
      </c>
      <c r="AA140" t="str">
        <f>IFERROR(MATCH(133,$X$8:$X$407,1),"")</f>
        <v/>
      </c>
      <c r="AB140" t="str">
        <f>IF(133=$AD$1+1,"G",IF($AA140="","",IF(INDEX($Q$8:$Q$407,$AA140)="","",IF(133&gt;INDEX($X$8:$X$407,$AA140)+INDEX($V$8:$V$407,$AA140)+INDEX($W$8:$W$407,$AA140),"",IF(133=INDEX($X$8:$X$407,$AA140)+INDEX($V$8:$V$407,$AA140)+INDEX($W$8:$W$407,$AA140),"D",IF(AND(INDEX($W$8:$W$407,$AA140)=1,133=INDEX($X$8:$X$407,$AA140)+INDEX($V$8:$V$407,$AA140)),"S","R"))))))</f>
        <v/>
      </c>
      <c r="AC140" t="str">
        <f t="shared" si="39"/>
        <v/>
      </c>
      <c r="AE140">
        <f>IF($U140="",0,COUNTIF(บันทึกรายเที่ยว!$T$6:$T$10005,$U140))</f>
        <v>0</v>
      </c>
      <c r="AF140">
        <f>IF($U140="",0,ROUND(SUMIF(บันทึกรายเที่ยว!$T$6:$T$10005,$U140,บันทึกรายเที่ยว!$J$6:$J$10005),2))</f>
        <v>0</v>
      </c>
      <c r="AG140">
        <f>IF($U140="",0,ROUND(SUMIF(บันทึกรายเที่ยว!$T$6:$T$10005,$U140,บันทึกรายเที่ยว!$K$6:$K$10005),2))</f>
        <v>0</v>
      </c>
      <c r="AH140">
        <f>IF($U140="",0,ROUND(SUMIF(บันทึกรายเที่ยว!$T$6:$T$10005,$U140,บันทึกรายเที่ยว!$M$6:$M$10005),2))</f>
        <v>0</v>
      </c>
    </row>
    <row r="141" spans="1:34" ht="21" customHeight="1" x14ac:dyDescent="0.95">
      <c r="A141" s="3" t="str">
        <f t="shared" si="28"/>
        <v/>
      </c>
      <c r="B141" s="3" t="str">
        <f t="shared" si="29"/>
        <v/>
      </c>
      <c r="C141" s="8" t="str">
        <f t="shared" si="30"/>
        <v/>
      </c>
      <c r="D141" s="31" t="str">
        <f t="shared" si="31"/>
        <v/>
      </c>
      <c r="E141" s="32" t="str">
        <f>IF(134=$AD$1+3,"ขอแสดงความนับถือ",IF(134=$AD$1+6,"(                 )",IF(134=$AD$1+7,"เจ้าหน้าที่ขนส่ง",IF($AB141="G",SUM($AF$8:$AF$407),IF(OR($AB141="",$AB141="R"),"",IF($AB141="D",INDEX($AF$8:$AF$407,$AA141),SUMIF($T$8:$T$407,INDEX($T$8:$T$407,$AA141),$AF$8:$AF$407)))))))</f>
        <v/>
      </c>
      <c r="F141" s="32" t="str">
        <f t="shared" si="32"/>
        <v/>
      </c>
      <c r="G141" s="32" t="str">
        <f t="shared" si="33"/>
        <v/>
      </c>
      <c r="H141" s="32" t="str">
        <f t="shared" si="34"/>
        <v/>
      </c>
      <c r="J141" t="str">
        <f>IFERROR(MATCH(134,บันทึกรายเที่ยว!$W$6:$W$10005,0),"")</f>
        <v/>
      </c>
      <c r="K141" t="str">
        <f>IF($J141="","",INDEX(บันทึกรายเที่ยว!$T$6:$T$10005,$J141))</f>
        <v/>
      </c>
      <c r="L141" t="str">
        <f>IF($J141="","",INDEX(บันทึกรายเที่ยว!$S$6:$S$10005,$J141))</f>
        <v/>
      </c>
      <c r="M141" t="str">
        <f>IF($J141="","",INDEX(บันทึกรายเที่ยว!$R$6:$R$10005,$J141))</f>
        <v/>
      </c>
      <c r="N141" t="str">
        <f>IF($J141="","",MATCH($M141,บันทึกรายเที่ยว!$R$6:$R$10005,0))</f>
        <v/>
      </c>
      <c r="O141" t="str">
        <f>IF($J141="","",MATCH($L141,บันทึกรายเที่ยว!$S$6:$S$10005,0))</f>
        <v/>
      </c>
      <c r="P141" t="str">
        <f>IF($J141="","",IF(AND(OR($I$3="(ทั้งหมด)",INDEX(บันทึกรายเที่ยว!$C$6:$C$10005,$J141)=$I$3),OR($I$5="(ทั้งหมด)",INDEX(บันทึกรายเที่ยว!$D$6:$D$10005,$J141)=$I$5),OR($I$7="(ทั้งหมด)",INDEX(บันทึกรายเที่ยว!$F$6:$F$10005,$J141)=$I$7)),$N141*10000000+$O141*1000+134,""))</f>
        <v/>
      </c>
      <c r="Q141" t="str">
        <f>IFERROR(MATCH(SMALL($P$8:$P$407,134),$P$8:$P$407,0),"")</f>
        <v/>
      </c>
      <c r="R141" t="str">
        <f t="shared" si="35"/>
        <v/>
      </c>
      <c r="S141" t="str">
        <f t="shared" si="36"/>
        <v/>
      </c>
      <c r="T141" t="str">
        <f t="shared" si="37"/>
        <v/>
      </c>
      <c r="U141" t="str">
        <f t="shared" si="38"/>
        <v/>
      </c>
      <c r="V141">
        <f t="shared" si="40"/>
        <v>0</v>
      </c>
      <c r="W141">
        <f t="shared" si="41"/>
        <v>0</v>
      </c>
      <c r="X141">
        <f>IF($Q141="",99999+134,$X140+1+$V140+$W140)</f>
        <v>100133</v>
      </c>
      <c r="Y141" t="str">
        <f>IF($Q141="","",INDEX(บันทึกรายเที่ยว!$Q$6:$Q$10005,$R141))</f>
        <v/>
      </c>
      <c r="Z141" t="str">
        <f>IF($Q141="","",INDEX(บันทึกรายเที่ยว!$F$6:$F$10005,$R141))</f>
        <v/>
      </c>
      <c r="AA141" t="str">
        <f>IFERROR(MATCH(134,$X$8:$X$407,1),"")</f>
        <v/>
      </c>
      <c r="AB141" t="str">
        <f>IF(134=$AD$1+1,"G",IF($AA141="","",IF(INDEX($Q$8:$Q$407,$AA141)="","",IF(134&gt;INDEX($X$8:$X$407,$AA141)+INDEX($V$8:$V$407,$AA141)+INDEX($W$8:$W$407,$AA141),"",IF(134=INDEX($X$8:$X$407,$AA141)+INDEX($V$8:$V$407,$AA141)+INDEX($W$8:$W$407,$AA141),"D",IF(AND(INDEX($W$8:$W$407,$AA141)=1,134=INDEX($X$8:$X$407,$AA141)+INDEX($V$8:$V$407,$AA141)),"S","R"))))))</f>
        <v/>
      </c>
      <c r="AC141" t="str">
        <f t="shared" si="39"/>
        <v/>
      </c>
      <c r="AE141">
        <f>IF($U141="",0,COUNTIF(บันทึกรายเที่ยว!$T$6:$T$10005,$U141))</f>
        <v>0</v>
      </c>
      <c r="AF141">
        <f>IF($U141="",0,ROUND(SUMIF(บันทึกรายเที่ยว!$T$6:$T$10005,$U141,บันทึกรายเที่ยว!$J$6:$J$10005),2))</f>
        <v>0</v>
      </c>
      <c r="AG141">
        <f>IF($U141="",0,ROUND(SUMIF(บันทึกรายเที่ยว!$T$6:$T$10005,$U141,บันทึกรายเที่ยว!$K$6:$K$10005),2))</f>
        <v>0</v>
      </c>
      <c r="AH141">
        <f>IF($U141="",0,ROUND(SUMIF(บันทึกรายเที่ยว!$T$6:$T$10005,$U141,บันทึกรายเที่ยว!$M$6:$M$10005),2))</f>
        <v>0</v>
      </c>
    </row>
    <row r="142" spans="1:34" ht="21" customHeight="1" x14ac:dyDescent="0.95">
      <c r="A142" s="3" t="str">
        <f t="shared" si="28"/>
        <v/>
      </c>
      <c r="B142" s="3" t="str">
        <f t="shared" si="29"/>
        <v/>
      </c>
      <c r="C142" s="8" t="str">
        <f t="shared" si="30"/>
        <v/>
      </c>
      <c r="D142" s="31" t="str">
        <f t="shared" si="31"/>
        <v/>
      </c>
      <c r="E142" s="32" t="str">
        <f>IF(135=$AD$1+3,"ขอแสดงความนับถือ",IF(135=$AD$1+6,"(                 )",IF(135=$AD$1+7,"เจ้าหน้าที่ขนส่ง",IF($AB142="G",SUM($AF$8:$AF$407),IF(OR($AB142="",$AB142="R"),"",IF($AB142="D",INDEX($AF$8:$AF$407,$AA142),SUMIF($T$8:$T$407,INDEX($T$8:$T$407,$AA142),$AF$8:$AF$407)))))))</f>
        <v/>
      </c>
      <c r="F142" s="32" t="str">
        <f t="shared" si="32"/>
        <v/>
      </c>
      <c r="G142" s="32" t="str">
        <f t="shared" si="33"/>
        <v/>
      </c>
      <c r="H142" s="32" t="str">
        <f t="shared" si="34"/>
        <v/>
      </c>
      <c r="J142" t="str">
        <f>IFERROR(MATCH(135,บันทึกรายเที่ยว!$W$6:$W$10005,0),"")</f>
        <v/>
      </c>
      <c r="K142" t="str">
        <f>IF($J142="","",INDEX(บันทึกรายเที่ยว!$T$6:$T$10005,$J142))</f>
        <v/>
      </c>
      <c r="L142" t="str">
        <f>IF($J142="","",INDEX(บันทึกรายเที่ยว!$S$6:$S$10005,$J142))</f>
        <v/>
      </c>
      <c r="M142" t="str">
        <f>IF($J142="","",INDEX(บันทึกรายเที่ยว!$R$6:$R$10005,$J142))</f>
        <v/>
      </c>
      <c r="N142" t="str">
        <f>IF($J142="","",MATCH($M142,บันทึกรายเที่ยว!$R$6:$R$10005,0))</f>
        <v/>
      </c>
      <c r="O142" t="str">
        <f>IF($J142="","",MATCH($L142,บันทึกรายเที่ยว!$S$6:$S$10005,0))</f>
        <v/>
      </c>
      <c r="P142" t="str">
        <f>IF($J142="","",IF(AND(OR($I$3="(ทั้งหมด)",INDEX(บันทึกรายเที่ยว!$C$6:$C$10005,$J142)=$I$3),OR($I$5="(ทั้งหมด)",INDEX(บันทึกรายเที่ยว!$D$6:$D$10005,$J142)=$I$5),OR($I$7="(ทั้งหมด)",INDEX(บันทึกรายเที่ยว!$F$6:$F$10005,$J142)=$I$7)),$N142*10000000+$O142*1000+135,""))</f>
        <v/>
      </c>
      <c r="Q142" t="str">
        <f>IFERROR(MATCH(SMALL($P$8:$P$407,135),$P$8:$P$407,0),"")</f>
        <v/>
      </c>
      <c r="R142" t="str">
        <f t="shared" si="35"/>
        <v/>
      </c>
      <c r="S142" t="str">
        <f t="shared" si="36"/>
        <v/>
      </c>
      <c r="T142" t="str">
        <f t="shared" si="37"/>
        <v/>
      </c>
      <c r="U142" t="str">
        <f t="shared" si="38"/>
        <v/>
      </c>
      <c r="V142">
        <f t="shared" si="40"/>
        <v>0</v>
      </c>
      <c r="W142">
        <f t="shared" si="41"/>
        <v>0</v>
      </c>
      <c r="X142">
        <f>IF($Q142="",99999+135,$X141+1+$V141+$W141)</f>
        <v>100134</v>
      </c>
      <c r="Y142" t="str">
        <f>IF($Q142="","",INDEX(บันทึกรายเที่ยว!$Q$6:$Q$10005,$R142))</f>
        <v/>
      </c>
      <c r="Z142" t="str">
        <f>IF($Q142="","",INDEX(บันทึกรายเที่ยว!$F$6:$F$10005,$R142))</f>
        <v/>
      </c>
      <c r="AA142" t="str">
        <f>IFERROR(MATCH(135,$X$8:$X$407,1),"")</f>
        <v/>
      </c>
      <c r="AB142" t="str">
        <f>IF(135=$AD$1+1,"G",IF($AA142="","",IF(INDEX($Q$8:$Q$407,$AA142)="","",IF(135&gt;INDEX($X$8:$X$407,$AA142)+INDEX($V$8:$V$407,$AA142)+INDEX($W$8:$W$407,$AA142),"",IF(135=INDEX($X$8:$X$407,$AA142)+INDEX($V$8:$V$407,$AA142)+INDEX($W$8:$W$407,$AA142),"D",IF(AND(INDEX($W$8:$W$407,$AA142)=1,135=INDEX($X$8:$X$407,$AA142)+INDEX($V$8:$V$407,$AA142)),"S","R"))))))</f>
        <v/>
      </c>
      <c r="AC142" t="str">
        <f t="shared" si="39"/>
        <v/>
      </c>
      <c r="AE142">
        <f>IF($U142="",0,COUNTIF(บันทึกรายเที่ยว!$T$6:$T$10005,$U142))</f>
        <v>0</v>
      </c>
      <c r="AF142">
        <f>IF($U142="",0,ROUND(SUMIF(บันทึกรายเที่ยว!$T$6:$T$10005,$U142,บันทึกรายเที่ยว!$J$6:$J$10005),2))</f>
        <v>0</v>
      </c>
      <c r="AG142">
        <f>IF($U142="",0,ROUND(SUMIF(บันทึกรายเที่ยว!$T$6:$T$10005,$U142,บันทึกรายเที่ยว!$K$6:$K$10005),2))</f>
        <v>0</v>
      </c>
      <c r="AH142">
        <f>IF($U142="",0,ROUND(SUMIF(บันทึกรายเที่ยว!$T$6:$T$10005,$U142,บันทึกรายเที่ยว!$M$6:$M$10005),2))</f>
        <v>0</v>
      </c>
    </row>
    <row r="143" spans="1:34" ht="21" customHeight="1" x14ac:dyDescent="0.95">
      <c r="A143" s="3" t="str">
        <f t="shared" si="28"/>
        <v/>
      </c>
      <c r="B143" s="3" t="str">
        <f t="shared" si="29"/>
        <v/>
      </c>
      <c r="C143" s="8" t="str">
        <f t="shared" si="30"/>
        <v/>
      </c>
      <c r="D143" s="31" t="str">
        <f t="shared" si="31"/>
        <v/>
      </c>
      <c r="E143" s="32" t="str">
        <f>IF(136=$AD$1+3,"ขอแสดงความนับถือ",IF(136=$AD$1+6,"(                 )",IF(136=$AD$1+7,"เจ้าหน้าที่ขนส่ง",IF($AB143="G",SUM($AF$8:$AF$407),IF(OR($AB143="",$AB143="R"),"",IF($AB143="D",INDEX($AF$8:$AF$407,$AA143),SUMIF($T$8:$T$407,INDEX($T$8:$T$407,$AA143),$AF$8:$AF$407)))))))</f>
        <v/>
      </c>
      <c r="F143" s="32" t="str">
        <f t="shared" si="32"/>
        <v/>
      </c>
      <c r="G143" s="32" t="str">
        <f t="shared" si="33"/>
        <v/>
      </c>
      <c r="H143" s="32" t="str">
        <f t="shared" si="34"/>
        <v/>
      </c>
      <c r="J143" t="str">
        <f>IFERROR(MATCH(136,บันทึกรายเที่ยว!$W$6:$W$10005,0),"")</f>
        <v/>
      </c>
      <c r="K143" t="str">
        <f>IF($J143="","",INDEX(บันทึกรายเที่ยว!$T$6:$T$10005,$J143))</f>
        <v/>
      </c>
      <c r="L143" t="str">
        <f>IF($J143="","",INDEX(บันทึกรายเที่ยว!$S$6:$S$10005,$J143))</f>
        <v/>
      </c>
      <c r="M143" t="str">
        <f>IF($J143="","",INDEX(บันทึกรายเที่ยว!$R$6:$R$10005,$J143))</f>
        <v/>
      </c>
      <c r="N143" t="str">
        <f>IF($J143="","",MATCH($M143,บันทึกรายเที่ยว!$R$6:$R$10005,0))</f>
        <v/>
      </c>
      <c r="O143" t="str">
        <f>IF($J143="","",MATCH($L143,บันทึกรายเที่ยว!$S$6:$S$10005,0))</f>
        <v/>
      </c>
      <c r="P143" t="str">
        <f>IF($J143="","",IF(AND(OR($I$3="(ทั้งหมด)",INDEX(บันทึกรายเที่ยว!$C$6:$C$10005,$J143)=$I$3),OR($I$5="(ทั้งหมด)",INDEX(บันทึกรายเที่ยว!$D$6:$D$10005,$J143)=$I$5),OR($I$7="(ทั้งหมด)",INDEX(บันทึกรายเที่ยว!$F$6:$F$10005,$J143)=$I$7)),$N143*10000000+$O143*1000+136,""))</f>
        <v/>
      </c>
      <c r="Q143" t="str">
        <f>IFERROR(MATCH(SMALL($P$8:$P$407,136),$P$8:$P$407,0),"")</f>
        <v/>
      </c>
      <c r="R143" t="str">
        <f t="shared" si="35"/>
        <v/>
      </c>
      <c r="S143" t="str">
        <f t="shared" si="36"/>
        <v/>
      </c>
      <c r="T143" t="str">
        <f t="shared" si="37"/>
        <v/>
      </c>
      <c r="U143" t="str">
        <f t="shared" si="38"/>
        <v/>
      </c>
      <c r="V143">
        <f t="shared" si="40"/>
        <v>0</v>
      </c>
      <c r="W143">
        <f t="shared" si="41"/>
        <v>0</v>
      </c>
      <c r="X143">
        <f>IF($Q143="",99999+136,$X142+1+$V142+$W142)</f>
        <v>100135</v>
      </c>
      <c r="Y143" t="str">
        <f>IF($Q143="","",INDEX(บันทึกรายเที่ยว!$Q$6:$Q$10005,$R143))</f>
        <v/>
      </c>
      <c r="Z143" t="str">
        <f>IF($Q143="","",INDEX(บันทึกรายเที่ยว!$F$6:$F$10005,$R143))</f>
        <v/>
      </c>
      <c r="AA143" t="str">
        <f>IFERROR(MATCH(136,$X$8:$X$407,1),"")</f>
        <v/>
      </c>
      <c r="AB143" t="str">
        <f>IF(136=$AD$1+1,"G",IF($AA143="","",IF(INDEX($Q$8:$Q$407,$AA143)="","",IF(136&gt;INDEX($X$8:$X$407,$AA143)+INDEX($V$8:$V$407,$AA143)+INDEX($W$8:$W$407,$AA143),"",IF(136=INDEX($X$8:$X$407,$AA143)+INDEX($V$8:$V$407,$AA143)+INDEX($W$8:$W$407,$AA143),"D",IF(AND(INDEX($W$8:$W$407,$AA143)=1,136=INDEX($X$8:$X$407,$AA143)+INDEX($V$8:$V$407,$AA143)),"S","R"))))))</f>
        <v/>
      </c>
      <c r="AC143" t="str">
        <f t="shared" si="39"/>
        <v/>
      </c>
      <c r="AE143">
        <f>IF($U143="",0,COUNTIF(บันทึกรายเที่ยว!$T$6:$T$10005,$U143))</f>
        <v>0</v>
      </c>
      <c r="AF143">
        <f>IF($U143="",0,ROUND(SUMIF(บันทึกรายเที่ยว!$T$6:$T$10005,$U143,บันทึกรายเที่ยว!$J$6:$J$10005),2))</f>
        <v>0</v>
      </c>
      <c r="AG143">
        <f>IF($U143="",0,ROUND(SUMIF(บันทึกรายเที่ยว!$T$6:$T$10005,$U143,บันทึกรายเที่ยว!$K$6:$K$10005),2))</f>
        <v>0</v>
      </c>
      <c r="AH143">
        <f>IF($U143="",0,ROUND(SUMIF(บันทึกรายเที่ยว!$T$6:$T$10005,$U143,บันทึกรายเที่ยว!$M$6:$M$10005),2))</f>
        <v>0</v>
      </c>
    </row>
    <row r="144" spans="1:34" ht="21" customHeight="1" x14ac:dyDescent="0.95">
      <c r="A144" s="3" t="str">
        <f t="shared" si="28"/>
        <v/>
      </c>
      <c r="B144" s="3" t="str">
        <f t="shared" si="29"/>
        <v/>
      </c>
      <c r="C144" s="8" t="str">
        <f t="shared" si="30"/>
        <v/>
      </c>
      <c r="D144" s="31" t="str">
        <f t="shared" si="31"/>
        <v/>
      </c>
      <c r="E144" s="32" t="str">
        <f>IF(137=$AD$1+3,"ขอแสดงความนับถือ",IF(137=$AD$1+6,"(                 )",IF(137=$AD$1+7,"เจ้าหน้าที่ขนส่ง",IF($AB144="G",SUM($AF$8:$AF$407),IF(OR($AB144="",$AB144="R"),"",IF($AB144="D",INDEX($AF$8:$AF$407,$AA144),SUMIF($T$8:$T$407,INDEX($T$8:$T$407,$AA144),$AF$8:$AF$407)))))))</f>
        <v/>
      </c>
      <c r="F144" s="32" t="str">
        <f t="shared" si="32"/>
        <v/>
      </c>
      <c r="G144" s="32" t="str">
        <f t="shared" si="33"/>
        <v/>
      </c>
      <c r="H144" s="32" t="str">
        <f t="shared" si="34"/>
        <v/>
      </c>
      <c r="J144" t="str">
        <f>IFERROR(MATCH(137,บันทึกรายเที่ยว!$W$6:$W$10005,0),"")</f>
        <v/>
      </c>
      <c r="K144" t="str">
        <f>IF($J144="","",INDEX(บันทึกรายเที่ยว!$T$6:$T$10005,$J144))</f>
        <v/>
      </c>
      <c r="L144" t="str">
        <f>IF($J144="","",INDEX(บันทึกรายเที่ยว!$S$6:$S$10005,$J144))</f>
        <v/>
      </c>
      <c r="M144" t="str">
        <f>IF($J144="","",INDEX(บันทึกรายเที่ยว!$R$6:$R$10005,$J144))</f>
        <v/>
      </c>
      <c r="N144" t="str">
        <f>IF($J144="","",MATCH($M144,บันทึกรายเที่ยว!$R$6:$R$10005,0))</f>
        <v/>
      </c>
      <c r="O144" t="str">
        <f>IF($J144="","",MATCH($L144,บันทึกรายเที่ยว!$S$6:$S$10005,0))</f>
        <v/>
      </c>
      <c r="P144" t="str">
        <f>IF($J144="","",IF(AND(OR($I$3="(ทั้งหมด)",INDEX(บันทึกรายเที่ยว!$C$6:$C$10005,$J144)=$I$3),OR($I$5="(ทั้งหมด)",INDEX(บันทึกรายเที่ยว!$D$6:$D$10005,$J144)=$I$5),OR($I$7="(ทั้งหมด)",INDEX(บันทึกรายเที่ยว!$F$6:$F$10005,$J144)=$I$7)),$N144*10000000+$O144*1000+137,""))</f>
        <v/>
      </c>
      <c r="Q144" t="str">
        <f>IFERROR(MATCH(SMALL($P$8:$P$407,137),$P$8:$P$407,0),"")</f>
        <v/>
      </c>
      <c r="R144" t="str">
        <f t="shared" si="35"/>
        <v/>
      </c>
      <c r="S144" t="str">
        <f t="shared" si="36"/>
        <v/>
      </c>
      <c r="T144" t="str">
        <f t="shared" si="37"/>
        <v/>
      </c>
      <c r="U144" t="str">
        <f t="shared" si="38"/>
        <v/>
      </c>
      <c r="V144">
        <f t="shared" si="40"/>
        <v>0</v>
      </c>
      <c r="W144">
        <f t="shared" si="41"/>
        <v>0</v>
      </c>
      <c r="X144">
        <f>IF($Q144="",99999+137,$X143+1+$V143+$W143)</f>
        <v>100136</v>
      </c>
      <c r="Y144" t="str">
        <f>IF($Q144="","",INDEX(บันทึกรายเที่ยว!$Q$6:$Q$10005,$R144))</f>
        <v/>
      </c>
      <c r="Z144" t="str">
        <f>IF($Q144="","",INDEX(บันทึกรายเที่ยว!$F$6:$F$10005,$R144))</f>
        <v/>
      </c>
      <c r="AA144" t="str">
        <f>IFERROR(MATCH(137,$X$8:$X$407,1),"")</f>
        <v/>
      </c>
      <c r="AB144" t="str">
        <f>IF(137=$AD$1+1,"G",IF($AA144="","",IF(INDEX($Q$8:$Q$407,$AA144)="","",IF(137&gt;INDEX($X$8:$X$407,$AA144)+INDEX($V$8:$V$407,$AA144)+INDEX($W$8:$W$407,$AA144),"",IF(137=INDEX($X$8:$X$407,$AA144)+INDEX($V$8:$V$407,$AA144)+INDEX($W$8:$W$407,$AA144),"D",IF(AND(INDEX($W$8:$W$407,$AA144)=1,137=INDEX($X$8:$X$407,$AA144)+INDEX($V$8:$V$407,$AA144)),"S","R"))))))</f>
        <v/>
      </c>
      <c r="AC144" t="str">
        <f t="shared" si="39"/>
        <v/>
      </c>
      <c r="AE144">
        <f>IF($U144="",0,COUNTIF(บันทึกรายเที่ยว!$T$6:$T$10005,$U144))</f>
        <v>0</v>
      </c>
      <c r="AF144">
        <f>IF($U144="",0,ROUND(SUMIF(บันทึกรายเที่ยว!$T$6:$T$10005,$U144,บันทึกรายเที่ยว!$J$6:$J$10005),2))</f>
        <v>0</v>
      </c>
      <c r="AG144">
        <f>IF($U144="",0,ROUND(SUMIF(บันทึกรายเที่ยว!$T$6:$T$10005,$U144,บันทึกรายเที่ยว!$K$6:$K$10005),2))</f>
        <v>0</v>
      </c>
      <c r="AH144">
        <f>IF($U144="",0,ROUND(SUMIF(บันทึกรายเที่ยว!$T$6:$T$10005,$U144,บันทึกรายเที่ยว!$M$6:$M$10005),2))</f>
        <v>0</v>
      </c>
    </row>
    <row r="145" spans="1:34" ht="21" customHeight="1" x14ac:dyDescent="0.95">
      <c r="A145" s="3" t="str">
        <f t="shared" si="28"/>
        <v/>
      </c>
      <c r="B145" s="3" t="str">
        <f t="shared" si="29"/>
        <v/>
      </c>
      <c r="C145" s="8" t="str">
        <f t="shared" si="30"/>
        <v/>
      </c>
      <c r="D145" s="31" t="str">
        <f t="shared" si="31"/>
        <v/>
      </c>
      <c r="E145" s="32" t="str">
        <f>IF(138=$AD$1+3,"ขอแสดงความนับถือ",IF(138=$AD$1+6,"(                 )",IF(138=$AD$1+7,"เจ้าหน้าที่ขนส่ง",IF($AB145="G",SUM($AF$8:$AF$407),IF(OR($AB145="",$AB145="R"),"",IF($AB145="D",INDEX($AF$8:$AF$407,$AA145),SUMIF($T$8:$T$407,INDEX($T$8:$T$407,$AA145),$AF$8:$AF$407)))))))</f>
        <v/>
      </c>
      <c r="F145" s="32" t="str">
        <f t="shared" si="32"/>
        <v/>
      </c>
      <c r="G145" s="32" t="str">
        <f t="shared" si="33"/>
        <v/>
      </c>
      <c r="H145" s="32" t="str">
        <f t="shared" si="34"/>
        <v/>
      </c>
      <c r="J145" t="str">
        <f>IFERROR(MATCH(138,บันทึกรายเที่ยว!$W$6:$W$10005,0),"")</f>
        <v/>
      </c>
      <c r="K145" t="str">
        <f>IF($J145="","",INDEX(บันทึกรายเที่ยว!$T$6:$T$10005,$J145))</f>
        <v/>
      </c>
      <c r="L145" t="str">
        <f>IF($J145="","",INDEX(บันทึกรายเที่ยว!$S$6:$S$10005,$J145))</f>
        <v/>
      </c>
      <c r="M145" t="str">
        <f>IF($J145="","",INDEX(บันทึกรายเที่ยว!$R$6:$R$10005,$J145))</f>
        <v/>
      </c>
      <c r="N145" t="str">
        <f>IF($J145="","",MATCH($M145,บันทึกรายเที่ยว!$R$6:$R$10005,0))</f>
        <v/>
      </c>
      <c r="O145" t="str">
        <f>IF($J145="","",MATCH($L145,บันทึกรายเที่ยว!$S$6:$S$10005,0))</f>
        <v/>
      </c>
      <c r="P145" t="str">
        <f>IF($J145="","",IF(AND(OR($I$3="(ทั้งหมด)",INDEX(บันทึกรายเที่ยว!$C$6:$C$10005,$J145)=$I$3),OR($I$5="(ทั้งหมด)",INDEX(บันทึกรายเที่ยว!$D$6:$D$10005,$J145)=$I$5),OR($I$7="(ทั้งหมด)",INDEX(บันทึกรายเที่ยว!$F$6:$F$10005,$J145)=$I$7)),$N145*10000000+$O145*1000+138,""))</f>
        <v/>
      </c>
      <c r="Q145" t="str">
        <f>IFERROR(MATCH(SMALL($P$8:$P$407,138),$P$8:$P$407,0),"")</f>
        <v/>
      </c>
      <c r="R145" t="str">
        <f t="shared" si="35"/>
        <v/>
      </c>
      <c r="S145" t="str">
        <f t="shared" si="36"/>
        <v/>
      </c>
      <c r="T145" t="str">
        <f t="shared" si="37"/>
        <v/>
      </c>
      <c r="U145" t="str">
        <f t="shared" si="38"/>
        <v/>
      </c>
      <c r="V145">
        <f t="shared" si="40"/>
        <v>0</v>
      </c>
      <c r="W145">
        <f t="shared" si="41"/>
        <v>0</v>
      </c>
      <c r="X145">
        <f>IF($Q145="",99999+138,$X144+1+$V144+$W144)</f>
        <v>100137</v>
      </c>
      <c r="Y145" t="str">
        <f>IF($Q145="","",INDEX(บันทึกรายเที่ยว!$Q$6:$Q$10005,$R145))</f>
        <v/>
      </c>
      <c r="Z145" t="str">
        <f>IF($Q145="","",INDEX(บันทึกรายเที่ยว!$F$6:$F$10005,$R145))</f>
        <v/>
      </c>
      <c r="AA145" t="str">
        <f>IFERROR(MATCH(138,$X$8:$X$407,1),"")</f>
        <v/>
      </c>
      <c r="AB145" t="str">
        <f>IF(138=$AD$1+1,"G",IF($AA145="","",IF(INDEX($Q$8:$Q$407,$AA145)="","",IF(138&gt;INDEX($X$8:$X$407,$AA145)+INDEX($V$8:$V$407,$AA145)+INDEX($W$8:$W$407,$AA145),"",IF(138=INDEX($X$8:$X$407,$AA145)+INDEX($V$8:$V$407,$AA145)+INDEX($W$8:$W$407,$AA145),"D",IF(AND(INDEX($W$8:$W$407,$AA145)=1,138=INDEX($X$8:$X$407,$AA145)+INDEX($V$8:$V$407,$AA145)),"S","R"))))))</f>
        <v/>
      </c>
      <c r="AC145" t="str">
        <f t="shared" si="39"/>
        <v/>
      </c>
      <c r="AE145">
        <f>IF($U145="",0,COUNTIF(บันทึกรายเที่ยว!$T$6:$T$10005,$U145))</f>
        <v>0</v>
      </c>
      <c r="AF145">
        <f>IF($U145="",0,ROUND(SUMIF(บันทึกรายเที่ยว!$T$6:$T$10005,$U145,บันทึกรายเที่ยว!$J$6:$J$10005),2))</f>
        <v>0</v>
      </c>
      <c r="AG145">
        <f>IF($U145="",0,ROUND(SUMIF(บันทึกรายเที่ยว!$T$6:$T$10005,$U145,บันทึกรายเที่ยว!$K$6:$K$10005),2))</f>
        <v>0</v>
      </c>
      <c r="AH145">
        <f>IF($U145="",0,ROUND(SUMIF(บันทึกรายเที่ยว!$T$6:$T$10005,$U145,บันทึกรายเที่ยว!$M$6:$M$10005),2))</f>
        <v>0</v>
      </c>
    </row>
    <row r="146" spans="1:34" ht="21" customHeight="1" x14ac:dyDescent="0.95">
      <c r="A146" s="3" t="str">
        <f t="shared" si="28"/>
        <v/>
      </c>
      <c r="B146" s="3" t="str">
        <f t="shared" si="29"/>
        <v/>
      </c>
      <c r="C146" s="8" t="str">
        <f t="shared" si="30"/>
        <v/>
      </c>
      <c r="D146" s="31" t="str">
        <f t="shared" si="31"/>
        <v/>
      </c>
      <c r="E146" s="32" t="str">
        <f>IF(139=$AD$1+3,"ขอแสดงความนับถือ",IF(139=$AD$1+6,"(                 )",IF(139=$AD$1+7,"เจ้าหน้าที่ขนส่ง",IF($AB146="G",SUM($AF$8:$AF$407),IF(OR($AB146="",$AB146="R"),"",IF($AB146="D",INDEX($AF$8:$AF$407,$AA146),SUMIF($T$8:$T$407,INDEX($T$8:$T$407,$AA146),$AF$8:$AF$407)))))))</f>
        <v/>
      </c>
      <c r="F146" s="32" t="str">
        <f t="shared" si="32"/>
        <v/>
      </c>
      <c r="G146" s="32" t="str">
        <f t="shared" si="33"/>
        <v/>
      </c>
      <c r="H146" s="32" t="str">
        <f t="shared" si="34"/>
        <v/>
      </c>
      <c r="J146" t="str">
        <f>IFERROR(MATCH(139,บันทึกรายเที่ยว!$W$6:$W$10005,0),"")</f>
        <v/>
      </c>
      <c r="K146" t="str">
        <f>IF($J146="","",INDEX(บันทึกรายเที่ยว!$T$6:$T$10005,$J146))</f>
        <v/>
      </c>
      <c r="L146" t="str">
        <f>IF($J146="","",INDEX(บันทึกรายเที่ยว!$S$6:$S$10005,$J146))</f>
        <v/>
      </c>
      <c r="M146" t="str">
        <f>IF($J146="","",INDEX(บันทึกรายเที่ยว!$R$6:$R$10005,$J146))</f>
        <v/>
      </c>
      <c r="N146" t="str">
        <f>IF($J146="","",MATCH($M146,บันทึกรายเที่ยว!$R$6:$R$10005,0))</f>
        <v/>
      </c>
      <c r="O146" t="str">
        <f>IF($J146="","",MATCH($L146,บันทึกรายเที่ยว!$S$6:$S$10005,0))</f>
        <v/>
      </c>
      <c r="P146" t="str">
        <f>IF($J146="","",IF(AND(OR($I$3="(ทั้งหมด)",INDEX(บันทึกรายเที่ยว!$C$6:$C$10005,$J146)=$I$3),OR($I$5="(ทั้งหมด)",INDEX(บันทึกรายเที่ยว!$D$6:$D$10005,$J146)=$I$5),OR($I$7="(ทั้งหมด)",INDEX(บันทึกรายเที่ยว!$F$6:$F$10005,$J146)=$I$7)),$N146*10000000+$O146*1000+139,""))</f>
        <v/>
      </c>
      <c r="Q146" t="str">
        <f>IFERROR(MATCH(SMALL($P$8:$P$407,139),$P$8:$P$407,0),"")</f>
        <v/>
      </c>
      <c r="R146" t="str">
        <f t="shared" si="35"/>
        <v/>
      </c>
      <c r="S146" t="str">
        <f t="shared" si="36"/>
        <v/>
      </c>
      <c r="T146" t="str">
        <f t="shared" si="37"/>
        <v/>
      </c>
      <c r="U146" t="str">
        <f t="shared" si="38"/>
        <v/>
      </c>
      <c r="V146">
        <f t="shared" si="40"/>
        <v>0</v>
      </c>
      <c r="W146">
        <f t="shared" si="41"/>
        <v>0</v>
      </c>
      <c r="X146">
        <f>IF($Q146="",99999+139,$X145+1+$V145+$W145)</f>
        <v>100138</v>
      </c>
      <c r="Y146" t="str">
        <f>IF($Q146="","",INDEX(บันทึกรายเที่ยว!$Q$6:$Q$10005,$R146))</f>
        <v/>
      </c>
      <c r="Z146" t="str">
        <f>IF($Q146="","",INDEX(บันทึกรายเที่ยว!$F$6:$F$10005,$R146))</f>
        <v/>
      </c>
      <c r="AA146" t="str">
        <f>IFERROR(MATCH(139,$X$8:$X$407,1),"")</f>
        <v/>
      </c>
      <c r="AB146" t="str">
        <f>IF(139=$AD$1+1,"G",IF($AA146="","",IF(INDEX($Q$8:$Q$407,$AA146)="","",IF(139&gt;INDEX($X$8:$X$407,$AA146)+INDEX($V$8:$V$407,$AA146)+INDEX($W$8:$W$407,$AA146),"",IF(139=INDEX($X$8:$X$407,$AA146)+INDEX($V$8:$V$407,$AA146)+INDEX($W$8:$W$407,$AA146),"D",IF(AND(INDEX($W$8:$W$407,$AA146)=1,139=INDEX($X$8:$X$407,$AA146)+INDEX($V$8:$V$407,$AA146)),"S","R"))))))</f>
        <v/>
      </c>
      <c r="AC146" t="str">
        <f t="shared" si="39"/>
        <v/>
      </c>
      <c r="AE146">
        <f>IF($U146="",0,COUNTIF(บันทึกรายเที่ยว!$T$6:$T$10005,$U146))</f>
        <v>0</v>
      </c>
      <c r="AF146">
        <f>IF($U146="",0,ROUND(SUMIF(บันทึกรายเที่ยว!$T$6:$T$10005,$U146,บันทึกรายเที่ยว!$J$6:$J$10005),2))</f>
        <v>0</v>
      </c>
      <c r="AG146">
        <f>IF($U146="",0,ROUND(SUMIF(บันทึกรายเที่ยว!$T$6:$T$10005,$U146,บันทึกรายเที่ยว!$K$6:$K$10005),2))</f>
        <v>0</v>
      </c>
      <c r="AH146">
        <f>IF($U146="",0,ROUND(SUMIF(บันทึกรายเที่ยว!$T$6:$T$10005,$U146,บันทึกรายเที่ยว!$M$6:$M$10005),2))</f>
        <v>0</v>
      </c>
    </row>
    <row r="147" spans="1:34" ht="21" customHeight="1" x14ac:dyDescent="0.95">
      <c r="A147" s="3" t="str">
        <f t="shared" si="28"/>
        <v/>
      </c>
      <c r="B147" s="3" t="str">
        <f t="shared" si="29"/>
        <v/>
      </c>
      <c r="C147" s="8" t="str">
        <f t="shared" si="30"/>
        <v/>
      </c>
      <c r="D147" s="31" t="str">
        <f t="shared" si="31"/>
        <v/>
      </c>
      <c r="E147" s="32" t="str">
        <f>IF(140=$AD$1+3,"ขอแสดงความนับถือ",IF(140=$AD$1+6,"(                 )",IF(140=$AD$1+7,"เจ้าหน้าที่ขนส่ง",IF($AB147="G",SUM($AF$8:$AF$407),IF(OR($AB147="",$AB147="R"),"",IF($AB147="D",INDEX($AF$8:$AF$407,$AA147),SUMIF($T$8:$T$407,INDEX($T$8:$T$407,$AA147),$AF$8:$AF$407)))))))</f>
        <v/>
      </c>
      <c r="F147" s="32" t="str">
        <f t="shared" si="32"/>
        <v/>
      </c>
      <c r="G147" s="32" t="str">
        <f t="shared" si="33"/>
        <v/>
      </c>
      <c r="H147" s="32" t="str">
        <f t="shared" si="34"/>
        <v/>
      </c>
      <c r="J147" t="str">
        <f>IFERROR(MATCH(140,บันทึกรายเที่ยว!$W$6:$W$10005,0),"")</f>
        <v/>
      </c>
      <c r="K147" t="str">
        <f>IF($J147="","",INDEX(บันทึกรายเที่ยว!$T$6:$T$10005,$J147))</f>
        <v/>
      </c>
      <c r="L147" t="str">
        <f>IF($J147="","",INDEX(บันทึกรายเที่ยว!$S$6:$S$10005,$J147))</f>
        <v/>
      </c>
      <c r="M147" t="str">
        <f>IF($J147="","",INDEX(บันทึกรายเที่ยว!$R$6:$R$10005,$J147))</f>
        <v/>
      </c>
      <c r="N147" t="str">
        <f>IF($J147="","",MATCH($M147,บันทึกรายเที่ยว!$R$6:$R$10005,0))</f>
        <v/>
      </c>
      <c r="O147" t="str">
        <f>IF($J147="","",MATCH($L147,บันทึกรายเที่ยว!$S$6:$S$10005,0))</f>
        <v/>
      </c>
      <c r="P147" t="str">
        <f>IF($J147="","",IF(AND(OR($I$3="(ทั้งหมด)",INDEX(บันทึกรายเที่ยว!$C$6:$C$10005,$J147)=$I$3),OR($I$5="(ทั้งหมด)",INDEX(บันทึกรายเที่ยว!$D$6:$D$10005,$J147)=$I$5),OR($I$7="(ทั้งหมด)",INDEX(บันทึกรายเที่ยว!$F$6:$F$10005,$J147)=$I$7)),$N147*10000000+$O147*1000+140,""))</f>
        <v/>
      </c>
      <c r="Q147" t="str">
        <f>IFERROR(MATCH(SMALL($P$8:$P$407,140),$P$8:$P$407,0),"")</f>
        <v/>
      </c>
      <c r="R147" t="str">
        <f t="shared" si="35"/>
        <v/>
      </c>
      <c r="S147" t="str">
        <f t="shared" si="36"/>
        <v/>
      </c>
      <c r="T147" t="str">
        <f t="shared" si="37"/>
        <v/>
      </c>
      <c r="U147" t="str">
        <f t="shared" si="38"/>
        <v/>
      </c>
      <c r="V147">
        <f t="shared" si="40"/>
        <v>0</v>
      </c>
      <c r="W147">
        <f t="shared" si="41"/>
        <v>0</v>
      </c>
      <c r="X147">
        <f>IF($Q147="",99999+140,$X146+1+$V146+$W146)</f>
        <v>100139</v>
      </c>
      <c r="Y147" t="str">
        <f>IF($Q147="","",INDEX(บันทึกรายเที่ยว!$Q$6:$Q$10005,$R147))</f>
        <v/>
      </c>
      <c r="Z147" t="str">
        <f>IF($Q147="","",INDEX(บันทึกรายเที่ยว!$F$6:$F$10005,$R147))</f>
        <v/>
      </c>
      <c r="AA147" t="str">
        <f>IFERROR(MATCH(140,$X$8:$X$407,1),"")</f>
        <v/>
      </c>
      <c r="AB147" t="str">
        <f>IF(140=$AD$1+1,"G",IF($AA147="","",IF(INDEX($Q$8:$Q$407,$AA147)="","",IF(140&gt;INDEX($X$8:$X$407,$AA147)+INDEX($V$8:$V$407,$AA147)+INDEX($W$8:$W$407,$AA147),"",IF(140=INDEX($X$8:$X$407,$AA147)+INDEX($V$8:$V$407,$AA147)+INDEX($W$8:$W$407,$AA147),"D",IF(AND(INDEX($W$8:$W$407,$AA147)=1,140=INDEX($X$8:$X$407,$AA147)+INDEX($V$8:$V$407,$AA147)),"S","R"))))))</f>
        <v/>
      </c>
      <c r="AC147" t="str">
        <f t="shared" si="39"/>
        <v/>
      </c>
      <c r="AE147">
        <f>IF($U147="",0,COUNTIF(บันทึกรายเที่ยว!$T$6:$T$10005,$U147))</f>
        <v>0</v>
      </c>
      <c r="AF147">
        <f>IF($U147="",0,ROUND(SUMIF(บันทึกรายเที่ยว!$T$6:$T$10005,$U147,บันทึกรายเที่ยว!$J$6:$J$10005),2))</f>
        <v>0</v>
      </c>
      <c r="AG147">
        <f>IF($U147="",0,ROUND(SUMIF(บันทึกรายเที่ยว!$T$6:$T$10005,$U147,บันทึกรายเที่ยว!$K$6:$K$10005),2))</f>
        <v>0</v>
      </c>
      <c r="AH147">
        <f>IF($U147="",0,ROUND(SUMIF(บันทึกรายเที่ยว!$T$6:$T$10005,$U147,บันทึกรายเที่ยว!$M$6:$M$10005),2))</f>
        <v>0</v>
      </c>
    </row>
    <row r="148" spans="1:34" ht="21" customHeight="1" x14ac:dyDescent="0.95">
      <c r="A148" s="3" t="str">
        <f t="shared" si="28"/>
        <v/>
      </c>
      <c r="B148" s="3" t="str">
        <f t="shared" si="29"/>
        <v/>
      </c>
      <c r="C148" s="8" t="str">
        <f t="shared" si="30"/>
        <v/>
      </c>
      <c r="D148" s="31" t="str">
        <f t="shared" si="31"/>
        <v/>
      </c>
      <c r="E148" s="32" t="str">
        <f>IF(141=$AD$1+3,"ขอแสดงความนับถือ",IF(141=$AD$1+6,"(                 )",IF(141=$AD$1+7,"เจ้าหน้าที่ขนส่ง",IF($AB148="G",SUM($AF$8:$AF$407),IF(OR($AB148="",$AB148="R"),"",IF($AB148="D",INDEX($AF$8:$AF$407,$AA148),SUMIF($T$8:$T$407,INDEX($T$8:$T$407,$AA148),$AF$8:$AF$407)))))))</f>
        <v/>
      </c>
      <c r="F148" s="32" t="str">
        <f t="shared" si="32"/>
        <v/>
      </c>
      <c r="G148" s="32" t="str">
        <f t="shared" si="33"/>
        <v/>
      </c>
      <c r="H148" s="32" t="str">
        <f t="shared" si="34"/>
        <v/>
      </c>
      <c r="J148" t="str">
        <f>IFERROR(MATCH(141,บันทึกรายเที่ยว!$W$6:$W$10005,0),"")</f>
        <v/>
      </c>
      <c r="K148" t="str">
        <f>IF($J148="","",INDEX(บันทึกรายเที่ยว!$T$6:$T$10005,$J148))</f>
        <v/>
      </c>
      <c r="L148" t="str">
        <f>IF($J148="","",INDEX(บันทึกรายเที่ยว!$S$6:$S$10005,$J148))</f>
        <v/>
      </c>
      <c r="M148" t="str">
        <f>IF($J148="","",INDEX(บันทึกรายเที่ยว!$R$6:$R$10005,$J148))</f>
        <v/>
      </c>
      <c r="N148" t="str">
        <f>IF($J148="","",MATCH($M148,บันทึกรายเที่ยว!$R$6:$R$10005,0))</f>
        <v/>
      </c>
      <c r="O148" t="str">
        <f>IF($J148="","",MATCH($L148,บันทึกรายเที่ยว!$S$6:$S$10005,0))</f>
        <v/>
      </c>
      <c r="P148" t="str">
        <f>IF($J148="","",IF(AND(OR($I$3="(ทั้งหมด)",INDEX(บันทึกรายเที่ยว!$C$6:$C$10005,$J148)=$I$3),OR($I$5="(ทั้งหมด)",INDEX(บันทึกรายเที่ยว!$D$6:$D$10005,$J148)=$I$5),OR($I$7="(ทั้งหมด)",INDEX(บันทึกรายเที่ยว!$F$6:$F$10005,$J148)=$I$7)),$N148*10000000+$O148*1000+141,""))</f>
        <v/>
      </c>
      <c r="Q148" t="str">
        <f>IFERROR(MATCH(SMALL($P$8:$P$407,141),$P$8:$P$407,0),"")</f>
        <v/>
      </c>
      <c r="R148" t="str">
        <f t="shared" si="35"/>
        <v/>
      </c>
      <c r="S148" t="str">
        <f t="shared" si="36"/>
        <v/>
      </c>
      <c r="T148" t="str">
        <f t="shared" si="37"/>
        <v/>
      </c>
      <c r="U148" t="str">
        <f t="shared" si="38"/>
        <v/>
      </c>
      <c r="V148">
        <f t="shared" si="40"/>
        <v>0</v>
      </c>
      <c r="W148">
        <f t="shared" si="41"/>
        <v>0</v>
      </c>
      <c r="X148">
        <f>IF($Q148="",99999+141,$X147+1+$V147+$W147)</f>
        <v>100140</v>
      </c>
      <c r="Y148" t="str">
        <f>IF($Q148="","",INDEX(บันทึกรายเที่ยว!$Q$6:$Q$10005,$R148))</f>
        <v/>
      </c>
      <c r="Z148" t="str">
        <f>IF($Q148="","",INDEX(บันทึกรายเที่ยว!$F$6:$F$10005,$R148))</f>
        <v/>
      </c>
      <c r="AA148" t="str">
        <f>IFERROR(MATCH(141,$X$8:$X$407,1),"")</f>
        <v/>
      </c>
      <c r="AB148" t="str">
        <f>IF(141=$AD$1+1,"G",IF($AA148="","",IF(INDEX($Q$8:$Q$407,$AA148)="","",IF(141&gt;INDEX($X$8:$X$407,$AA148)+INDEX($V$8:$V$407,$AA148)+INDEX($W$8:$W$407,$AA148),"",IF(141=INDEX($X$8:$X$407,$AA148)+INDEX($V$8:$V$407,$AA148)+INDEX($W$8:$W$407,$AA148),"D",IF(AND(INDEX($W$8:$W$407,$AA148)=1,141=INDEX($X$8:$X$407,$AA148)+INDEX($V$8:$V$407,$AA148)),"S","R"))))))</f>
        <v/>
      </c>
      <c r="AC148" t="str">
        <f t="shared" si="39"/>
        <v/>
      </c>
      <c r="AE148">
        <f>IF($U148="",0,COUNTIF(บันทึกรายเที่ยว!$T$6:$T$10005,$U148))</f>
        <v>0</v>
      </c>
      <c r="AF148">
        <f>IF($U148="",0,ROUND(SUMIF(บันทึกรายเที่ยว!$T$6:$T$10005,$U148,บันทึกรายเที่ยว!$J$6:$J$10005),2))</f>
        <v>0</v>
      </c>
      <c r="AG148">
        <f>IF($U148="",0,ROUND(SUMIF(บันทึกรายเที่ยว!$T$6:$T$10005,$U148,บันทึกรายเที่ยว!$K$6:$K$10005),2))</f>
        <v>0</v>
      </c>
      <c r="AH148">
        <f>IF($U148="",0,ROUND(SUMIF(บันทึกรายเที่ยว!$T$6:$T$10005,$U148,บันทึกรายเที่ยว!$M$6:$M$10005),2))</f>
        <v>0</v>
      </c>
    </row>
    <row r="149" spans="1:34" ht="21" customHeight="1" x14ac:dyDescent="0.95">
      <c r="A149" s="3" t="str">
        <f t="shared" si="28"/>
        <v/>
      </c>
      <c r="B149" s="3" t="str">
        <f t="shared" si="29"/>
        <v/>
      </c>
      <c r="C149" s="8" t="str">
        <f t="shared" si="30"/>
        <v/>
      </c>
      <c r="D149" s="31" t="str">
        <f t="shared" si="31"/>
        <v/>
      </c>
      <c r="E149" s="32" t="str">
        <f>IF(142=$AD$1+3,"ขอแสดงความนับถือ",IF(142=$AD$1+6,"(                 )",IF(142=$AD$1+7,"เจ้าหน้าที่ขนส่ง",IF($AB149="G",SUM($AF$8:$AF$407),IF(OR($AB149="",$AB149="R"),"",IF($AB149="D",INDEX($AF$8:$AF$407,$AA149),SUMIF($T$8:$T$407,INDEX($T$8:$T$407,$AA149),$AF$8:$AF$407)))))))</f>
        <v/>
      </c>
      <c r="F149" s="32" t="str">
        <f t="shared" si="32"/>
        <v/>
      </c>
      <c r="G149" s="32" t="str">
        <f t="shared" si="33"/>
        <v/>
      </c>
      <c r="H149" s="32" t="str">
        <f t="shared" si="34"/>
        <v/>
      </c>
      <c r="J149" t="str">
        <f>IFERROR(MATCH(142,บันทึกรายเที่ยว!$W$6:$W$10005,0),"")</f>
        <v/>
      </c>
      <c r="K149" t="str">
        <f>IF($J149="","",INDEX(บันทึกรายเที่ยว!$T$6:$T$10005,$J149))</f>
        <v/>
      </c>
      <c r="L149" t="str">
        <f>IF($J149="","",INDEX(บันทึกรายเที่ยว!$S$6:$S$10005,$J149))</f>
        <v/>
      </c>
      <c r="M149" t="str">
        <f>IF($J149="","",INDEX(บันทึกรายเที่ยว!$R$6:$R$10005,$J149))</f>
        <v/>
      </c>
      <c r="N149" t="str">
        <f>IF($J149="","",MATCH($M149,บันทึกรายเที่ยว!$R$6:$R$10005,0))</f>
        <v/>
      </c>
      <c r="O149" t="str">
        <f>IF($J149="","",MATCH($L149,บันทึกรายเที่ยว!$S$6:$S$10005,0))</f>
        <v/>
      </c>
      <c r="P149" t="str">
        <f>IF($J149="","",IF(AND(OR($I$3="(ทั้งหมด)",INDEX(บันทึกรายเที่ยว!$C$6:$C$10005,$J149)=$I$3),OR($I$5="(ทั้งหมด)",INDEX(บันทึกรายเที่ยว!$D$6:$D$10005,$J149)=$I$5),OR($I$7="(ทั้งหมด)",INDEX(บันทึกรายเที่ยว!$F$6:$F$10005,$J149)=$I$7)),$N149*10000000+$O149*1000+142,""))</f>
        <v/>
      </c>
      <c r="Q149" t="str">
        <f>IFERROR(MATCH(SMALL($P$8:$P$407,142),$P$8:$P$407,0),"")</f>
        <v/>
      </c>
      <c r="R149" t="str">
        <f t="shared" si="35"/>
        <v/>
      </c>
      <c r="S149" t="str">
        <f t="shared" si="36"/>
        <v/>
      </c>
      <c r="T149" t="str">
        <f t="shared" si="37"/>
        <v/>
      </c>
      <c r="U149" t="str">
        <f t="shared" si="38"/>
        <v/>
      </c>
      <c r="V149">
        <f t="shared" si="40"/>
        <v>0</v>
      </c>
      <c r="W149">
        <f t="shared" si="41"/>
        <v>0</v>
      </c>
      <c r="X149">
        <f>IF($Q149="",99999+142,$X148+1+$V148+$W148)</f>
        <v>100141</v>
      </c>
      <c r="Y149" t="str">
        <f>IF($Q149="","",INDEX(บันทึกรายเที่ยว!$Q$6:$Q$10005,$R149))</f>
        <v/>
      </c>
      <c r="Z149" t="str">
        <f>IF($Q149="","",INDEX(บันทึกรายเที่ยว!$F$6:$F$10005,$R149))</f>
        <v/>
      </c>
      <c r="AA149" t="str">
        <f>IFERROR(MATCH(142,$X$8:$X$407,1),"")</f>
        <v/>
      </c>
      <c r="AB149" t="str">
        <f>IF(142=$AD$1+1,"G",IF($AA149="","",IF(INDEX($Q$8:$Q$407,$AA149)="","",IF(142&gt;INDEX($X$8:$X$407,$AA149)+INDEX($V$8:$V$407,$AA149)+INDEX($W$8:$W$407,$AA149),"",IF(142=INDEX($X$8:$X$407,$AA149)+INDEX($V$8:$V$407,$AA149)+INDEX($W$8:$W$407,$AA149),"D",IF(AND(INDEX($W$8:$W$407,$AA149)=1,142=INDEX($X$8:$X$407,$AA149)+INDEX($V$8:$V$407,$AA149)),"S","R"))))))</f>
        <v/>
      </c>
      <c r="AC149" t="str">
        <f t="shared" si="39"/>
        <v/>
      </c>
      <c r="AE149">
        <f>IF($U149="",0,COUNTIF(บันทึกรายเที่ยว!$T$6:$T$10005,$U149))</f>
        <v>0</v>
      </c>
      <c r="AF149">
        <f>IF($U149="",0,ROUND(SUMIF(บันทึกรายเที่ยว!$T$6:$T$10005,$U149,บันทึกรายเที่ยว!$J$6:$J$10005),2))</f>
        <v>0</v>
      </c>
      <c r="AG149">
        <f>IF($U149="",0,ROUND(SUMIF(บันทึกรายเที่ยว!$T$6:$T$10005,$U149,บันทึกรายเที่ยว!$K$6:$K$10005),2))</f>
        <v>0</v>
      </c>
      <c r="AH149">
        <f>IF($U149="",0,ROUND(SUMIF(บันทึกรายเที่ยว!$T$6:$T$10005,$U149,บันทึกรายเที่ยว!$M$6:$M$10005),2))</f>
        <v>0</v>
      </c>
    </row>
    <row r="150" spans="1:34" ht="21" customHeight="1" x14ac:dyDescent="0.95">
      <c r="A150" s="3" t="str">
        <f t="shared" si="28"/>
        <v/>
      </c>
      <c r="B150" s="3" t="str">
        <f t="shared" si="29"/>
        <v/>
      </c>
      <c r="C150" s="8" t="str">
        <f t="shared" si="30"/>
        <v/>
      </c>
      <c r="D150" s="31" t="str">
        <f t="shared" si="31"/>
        <v/>
      </c>
      <c r="E150" s="32" t="str">
        <f>IF(143=$AD$1+3,"ขอแสดงความนับถือ",IF(143=$AD$1+6,"(                 )",IF(143=$AD$1+7,"เจ้าหน้าที่ขนส่ง",IF($AB150="G",SUM($AF$8:$AF$407),IF(OR($AB150="",$AB150="R"),"",IF($AB150="D",INDEX($AF$8:$AF$407,$AA150),SUMIF($T$8:$T$407,INDEX($T$8:$T$407,$AA150),$AF$8:$AF$407)))))))</f>
        <v/>
      </c>
      <c r="F150" s="32" t="str">
        <f t="shared" si="32"/>
        <v/>
      </c>
      <c r="G150" s="32" t="str">
        <f t="shared" si="33"/>
        <v/>
      </c>
      <c r="H150" s="32" t="str">
        <f t="shared" si="34"/>
        <v/>
      </c>
      <c r="J150" t="str">
        <f>IFERROR(MATCH(143,บันทึกรายเที่ยว!$W$6:$W$10005,0),"")</f>
        <v/>
      </c>
      <c r="K150" t="str">
        <f>IF($J150="","",INDEX(บันทึกรายเที่ยว!$T$6:$T$10005,$J150))</f>
        <v/>
      </c>
      <c r="L150" t="str">
        <f>IF($J150="","",INDEX(บันทึกรายเที่ยว!$S$6:$S$10005,$J150))</f>
        <v/>
      </c>
      <c r="M150" t="str">
        <f>IF($J150="","",INDEX(บันทึกรายเที่ยว!$R$6:$R$10005,$J150))</f>
        <v/>
      </c>
      <c r="N150" t="str">
        <f>IF($J150="","",MATCH($M150,บันทึกรายเที่ยว!$R$6:$R$10005,0))</f>
        <v/>
      </c>
      <c r="O150" t="str">
        <f>IF($J150="","",MATCH($L150,บันทึกรายเที่ยว!$S$6:$S$10005,0))</f>
        <v/>
      </c>
      <c r="P150" t="str">
        <f>IF($J150="","",IF(AND(OR($I$3="(ทั้งหมด)",INDEX(บันทึกรายเที่ยว!$C$6:$C$10005,$J150)=$I$3),OR($I$5="(ทั้งหมด)",INDEX(บันทึกรายเที่ยว!$D$6:$D$10005,$J150)=$I$5),OR($I$7="(ทั้งหมด)",INDEX(บันทึกรายเที่ยว!$F$6:$F$10005,$J150)=$I$7)),$N150*10000000+$O150*1000+143,""))</f>
        <v/>
      </c>
      <c r="Q150" t="str">
        <f>IFERROR(MATCH(SMALL($P$8:$P$407,143),$P$8:$P$407,0),"")</f>
        <v/>
      </c>
      <c r="R150" t="str">
        <f t="shared" si="35"/>
        <v/>
      </c>
      <c r="S150" t="str">
        <f t="shared" si="36"/>
        <v/>
      </c>
      <c r="T150" t="str">
        <f t="shared" si="37"/>
        <v/>
      </c>
      <c r="U150" t="str">
        <f t="shared" si="38"/>
        <v/>
      </c>
      <c r="V150">
        <f t="shared" si="40"/>
        <v>0</v>
      </c>
      <c r="W150">
        <f t="shared" si="41"/>
        <v>0</v>
      </c>
      <c r="X150">
        <f>IF($Q150="",99999+143,$X149+1+$V149+$W149)</f>
        <v>100142</v>
      </c>
      <c r="Y150" t="str">
        <f>IF($Q150="","",INDEX(บันทึกรายเที่ยว!$Q$6:$Q$10005,$R150))</f>
        <v/>
      </c>
      <c r="Z150" t="str">
        <f>IF($Q150="","",INDEX(บันทึกรายเที่ยว!$F$6:$F$10005,$R150))</f>
        <v/>
      </c>
      <c r="AA150" t="str">
        <f>IFERROR(MATCH(143,$X$8:$X$407,1),"")</f>
        <v/>
      </c>
      <c r="AB150" t="str">
        <f>IF(143=$AD$1+1,"G",IF($AA150="","",IF(INDEX($Q$8:$Q$407,$AA150)="","",IF(143&gt;INDEX($X$8:$X$407,$AA150)+INDEX($V$8:$V$407,$AA150)+INDEX($W$8:$W$407,$AA150),"",IF(143=INDEX($X$8:$X$407,$AA150)+INDEX($V$8:$V$407,$AA150)+INDEX($W$8:$W$407,$AA150),"D",IF(AND(INDEX($W$8:$W$407,$AA150)=1,143=INDEX($X$8:$X$407,$AA150)+INDEX($V$8:$V$407,$AA150)),"S","R"))))))</f>
        <v/>
      </c>
      <c r="AC150" t="str">
        <f t="shared" si="39"/>
        <v/>
      </c>
      <c r="AE150">
        <f>IF($U150="",0,COUNTIF(บันทึกรายเที่ยว!$T$6:$T$10005,$U150))</f>
        <v>0</v>
      </c>
      <c r="AF150">
        <f>IF($U150="",0,ROUND(SUMIF(บันทึกรายเที่ยว!$T$6:$T$10005,$U150,บันทึกรายเที่ยว!$J$6:$J$10005),2))</f>
        <v>0</v>
      </c>
      <c r="AG150">
        <f>IF($U150="",0,ROUND(SUMIF(บันทึกรายเที่ยว!$T$6:$T$10005,$U150,บันทึกรายเที่ยว!$K$6:$K$10005),2))</f>
        <v>0</v>
      </c>
      <c r="AH150">
        <f>IF($U150="",0,ROUND(SUMIF(บันทึกรายเที่ยว!$T$6:$T$10005,$U150,บันทึกรายเที่ยว!$M$6:$M$10005),2))</f>
        <v>0</v>
      </c>
    </row>
    <row r="151" spans="1:34" ht="21" customHeight="1" x14ac:dyDescent="0.95">
      <c r="A151" s="3" t="str">
        <f t="shared" si="28"/>
        <v/>
      </c>
      <c r="B151" s="3" t="str">
        <f t="shared" si="29"/>
        <v/>
      </c>
      <c r="C151" s="8" t="str">
        <f t="shared" si="30"/>
        <v/>
      </c>
      <c r="D151" s="31" t="str">
        <f t="shared" si="31"/>
        <v/>
      </c>
      <c r="E151" s="32" t="str">
        <f>IF(144=$AD$1+3,"ขอแสดงความนับถือ",IF(144=$AD$1+6,"(                 )",IF(144=$AD$1+7,"เจ้าหน้าที่ขนส่ง",IF($AB151="G",SUM($AF$8:$AF$407),IF(OR($AB151="",$AB151="R"),"",IF($AB151="D",INDEX($AF$8:$AF$407,$AA151),SUMIF($T$8:$T$407,INDEX($T$8:$T$407,$AA151),$AF$8:$AF$407)))))))</f>
        <v/>
      </c>
      <c r="F151" s="32" t="str">
        <f t="shared" si="32"/>
        <v/>
      </c>
      <c r="G151" s="32" t="str">
        <f t="shared" si="33"/>
        <v/>
      </c>
      <c r="H151" s="32" t="str">
        <f t="shared" si="34"/>
        <v/>
      </c>
      <c r="J151" t="str">
        <f>IFERROR(MATCH(144,บันทึกรายเที่ยว!$W$6:$W$10005,0),"")</f>
        <v/>
      </c>
      <c r="K151" t="str">
        <f>IF($J151="","",INDEX(บันทึกรายเที่ยว!$T$6:$T$10005,$J151))</f>
        <v/>
      </c>
      <c r="L151" t="str">
        <f>IF($J151="","",INDEX(บันทึกรายเที่ยว!$S$6:$S$10005,$J151))</f>
        <v/>
      </c>
      <c r="M151" t="str">
        <f>IF($J151="","",INDEX(บันทึกรายเที่ยว!$R$6:$R$10005,$J151))</f>
        <v/>
      </c>
      <c r="N151" t="str">
        <f>IF($J151="","",MATCH($M151,บันทึกรายเที่ยว!$R$6:$R$10005,0))</f>
        <v/>
      </c>
      <c r="O151" t="str">
        <f>IF($J151="","",MATCH($L151,บันทึกรายเที่ยว!$S$6:$S$10005,0))</f>
        <v/>
      </c>
      <c r="P151" t="str">
        <f>IF($J151="","",IF(AND(OR($I$3="(ทั้งหมด)",INDEX(บันทึกรายเที่ยว!$C$6:$C$10005,$J151)=$I$3),OR($I$5="(ทั้งหมด)",INDEX(บันทึกรายเที่ยว!$D$6:$D$10005,$J151)=$I$5),OR($I$7="(ทั้งหมด)",INDEX(บันทึกรายเที่ยว!$F$6:$F$10005,$J151)=$I$7)),$N151*10000000+$O151*1000+144,""))</f>
        <v/>
      </c>
      <c r="Q151" t="str">
        <f>IFERROR(MATCH(SMALL($P$8:$P$407,144),$P$8:$P$407,0),"")</f>
        <v/>
      </c>
      <c r="R151" t="str">
        <f t="shared" si="35"/>
        <v/>
      </c>
      <c r="S151" t="str">
        <f t="shared" si="36"/>
        <v/>
      </c>
      <c r="T151" t="str">
        <f t="shared" si="37"/>
        <v/>
      </c>
      <c r="U151" t="str">
        <f t="shared" si="38"/>
        <v/>
      </c>
      <c r="V151">
        <f t="shared" si="40"/>
        <v>0</v>
      </c>
      <c r="W151">
        <f t="shared" si="41"/>
        <v>0</v>
      </c>
      <c r="X151">
        <f>IF($Q151="",99999+144,$X150+1+$V150+$W150)</f>
        <v>100143</v>
      </c>
      <c r="Y151" t="str">
        <f>IF($Q151="","",INDEX(บันทึกรายเที่ยว!$Q$6:$Q$10005,$R151))</f>
        <v/>
      </c>
      <c r="Z151" t="str">
        <f>IF($Q151="","",INDEX(บันทึกรายเที่ยว!$F$6:$F$10005,$R151))</f>
        <v/>
      </c>
      <c r="AA151" t="str">
        <f>IFERROR(MATCH(144,$X$8:$X$407,1),"")</f>
        <v/>
      </c>
      <c r="AB151" t="str">
        <f>IF(144=$AD$1+1,"G",IF($AA151="","",IF(INDEX($Q$8:$Q$407,$AA151)="","",IF(144&gt;INDEX($X$8:$X$407,$AA151)+INDEX($V$8:$V$407,$AA151)+INDEX($W$8:$W$407,$AA151),"",IF(144=INDEX($X$8:$X$407,$AA151)+INDEX($V$8:$V$407,$AA151)+INDEX($W$8:$W$407,$AA151),"D",IF(AND(INDEX($W$8:$W$407,$AA151)=1,144=INDEX($X$8:$X$407,$AA151)+INDEX($V$8:$V$407,$AA151)),"S","R"))))))</f>
        <v/>
      </c>
      <c r="AC151" t="str">
        <f t="shared" si="39"/>
        <v/>
      </c>
      <c r="AE151">
        <f>IF($U151="",0,COUNTIF(บันทึกรายเที่ยว!$T$6:$T$10005,$U151))</f>
        <v>0</v>
      </c>
      <c r="AF151">
        <f>IF($U151="",0,ROUND(SUMIF(บันทึกรายเที่ยว!$T$6:$T$10005,$U151,บันทึกรายเที่ยว!$J$6:$J$10005),2))</f>
        <v>0</v>
      </c>
      <c r="AG151">
        <f>IF($U151="",0,ROUND(SUMIF(บันทึกรายเที่ยว!$T$6:$T$10005,$U151,บันทึกรายเที่ยว!$K$6:$K$10005),2))</f>
        <v>0</v>
      </c>
      <c r="AH151">
        <f>IF($U151="",0,ROUND(SUMIF(บันทึกรายเที่ยว!$T$6:$T$10005,$U151,บันทึกรายเที่ยว!$M$6:$M$10005),2))</f>
        <v>0</v>
      </c>
    </row>
    <row r="152" spans="1:34" ht="21" customHeight="1" x14ac:dyDescent="0.95">
      <c r="A152" s="3" t="str">
        <f t="shared" si="28"/>
        <v/>
      </c>
      <c r="B152" s="3" t="str">
        <f t="shared" si="29"/>
        <v/>
      </c>
      <c r="C152" s="8" t="str">
        <f t="shared" si="30"/>
        <v/>
      </c>
      <c r="D152" s="31" t="str">
        <f t="shared" si="31"/>
        <v/>
      </c>
      <c r="E152" s="32" t="str">
        <f>IF(145=$AD$1+3,"ขอแสดงความนับถือ",IF(145=$AD$1+6,"(                 )",IF(145=$AD$1+7,"เจ้าหน้าที่ขนส่ง",IF($AB152="G",SUM($AF$8:$AF$407),IF(OR($AB152="",$AB152="R"),"",IF($AB152="D",INDEX($AF$8:$AF$407,$AA152),SUMIF($T$8:$T$407,INDEX($T$8:$T$407,$AA152),$AF$8:$AF$407)))))))</f>
        <v/>
      </c>
      <c r="F152" s="32" t="str">
        <f t="shared" si="32"/>
        <v/>
      </c>
      <c r="G152" s="32" t="str">
        <f t="shared" si="33"/>
        <v/>
      </c>
      <c r="H152" s="32" t="str">
        <f t="shared" si="34"/>
        <v/>
      </c>
      <c r="J152" t="str">
        <f>IFERROR(MATCH(145,บันทึกรายเที่ยว!$W$6:$W$10005,0),"")</f>
        <v/>
      </c>
      <c r="K152" t="str">
        <f>IF($J152="","",INDEX(บันทึกรายเที่ยว!$T$6:$T$10005,$J152))</f>
        <v/>
      </c>
      <c r="L152" t="str">
        <f>IF($J152="","",INDEX(บันทึกรายเที่ยว!$S$6:$S$10005,$J152))</f>
        <v/>
      </c>
      <c r="M152" t="str">
        <f>IF($J152="","",INDEX(บันทึกรายเที่ยว!$R$6:$R$10005,$J152))</f>
        <v/>
      </c>
      <c r="N152" t="str">
        <f>IF($J152="","",MATCH($M152,บันทึกรายเที่ยว!$R$6:$R$10005,0))</f>
        <v/>
      </c>
      <c r="O152" t="str">
        <f>IF($J152="","",MATCH($L152,บันทึกรายเที่ยว!$S$6:$S$10005,0))</f>
        <v/>
      </c>
      <c r="P152" t="str">
        <f>IF($J152="","",IF(AND(OR($I$3="(ทั้งหมด)",INDEX(บันทึกรายเที่ยว!$C$6:$C$10005,$J152)=$I$3),OR($I$5="(ทั้งหมด)",INDEX(บันทึกรายเที่ยว!$D$6:$D$10005,$J152)=$I$5),OR($I$7="(ทั้งหมด)",INDEX(บันทึกรายเที่ยว!$F$6:$F$10005,$J152)=$I$7)),$N152*10000000+$O152*1000+145,""))</f>
        <v/>
      </c>
      <c r="Q152" t="str">
        <f>IFERROR(MATCH(SMALL($P$8:$P$407,145),$P$8:$P$407,0),"")</f>
        <v/>
      </c>
      <c r="R152" t="str">
        <f t="shared" si="35"/>
        <v/>
      </c>
      <c r="S152" t="str">
        <f t="shared" si="36"/>
        <v/>
      </c>
      <c r="T152" t="str">
        <f t="shared" si="37"/>
        <v/>
      </c>
      <c r="U152" t="str">
        <f t="shared" si="38"/>
        <v/>
      </c>
      <c r="V152">
        <f t="shared" si="40"/>
        <v>0</v>
      </c>
      <c r="W152">
        <f t="shared" si="41"/>
        <v>0</v>
      </c>
      <c r="X152">
        <f>IF($Q152="",99999+145,$X151+1+$V151+$W151)</f>
        <v>100144</v>
      </c>
      <c r="Y152" t="str">
        <f>IF($Q152="","",INDEX(บันทึกรายเที่ยว!$Q$6:$Q$10005,$R152))</f>
        <v/>
      </c>
      <c r="Z152" t="str">
        <f>IF($Q152="","",INDEX(บันทึกรายเที่ยว!$F$6:$F$10005,$R152))</f>
        <v/>
      </c>
      <c r="AA152" t="str">
        <f>IFERROR(MATCH(145,$X$8:$X$407,1),"")</f>
        <v/>
      </c>
      <c r="AB152" t="str">
        <f>IF(145=$AD$1+1,"G",IF($AA152="","",IF(INDEX($Q$8:$Q$407,$AA152)="","",IF(145&gt;INDEX($X$8:$X$407,$AA152)+INDEX($V$8:$V$407,$AA152)+INDEX($W$8:$W$407,$AA152),"",IF(145=INDEX($X$8:$X$407,$AA152)+INDEX($V$8:$V$407,$AA152)+INDEX($W$8:$W$407,$AA152),"D",IF(AND(INDEX($W$8:$W$407,$AA152)=1,145=INDEX($X$8:$X$407,$AA152)+INDEX($V$8:$V$407,$AA152)),"S","R"))))))</f>
        <v/>
      </c>
      <c r="AC152" t="str">
        <f t="shared" si="39"/>
        <v/>
      </c>
      <c r="AE152">
        <f>IF($U152="",0,COUNTIF(บันทึกรายเที่ยว!$T$6:$T$10005,$U152))</f>
        <v>0</v>
      </c>
      <c r="AF152">
        <f>IF($U152="",0,ROUND(SUMIF(บันทึกรายเที่ยว!$T$6:$T$10005,$U152,บันทึกรายเที่ยว!$J$6:$J$10005),2))</f>
        <v>0</v>
      </c>
      <c r="AG152">
        <f>IF($U152="",0,ROUND(SUMIF(บันทึกรายเที่ยว!$T$6:$T$10005,$U152,บันทึกรายเที่ยว!$K$6:$K$10005),2))</f>
        <v>0</v>
      </c>
      <c r="AH152">
        <f>IF($U152="",0,ROUND(SUMIF(บันทึกรายเที่ยว!$T$6:$T$10005,$U152,บันทึกรายเที่ยว!$M$6:$M$10005),2))</f>
        <v>0</v>
      </c>
    </row>
    <row r="153" spans="1:34" ht="21" customHeight="1" x14ac:dyDescent="0.95">
      <c r="A153" s="3" t="str">
        <f t="shared" si="28"/>
        <v/>
      </c>
      <c r="B153" s="3" t="str">
        <f t="shared" si="29"/>
        <v/>
      </c>
      <c r="C153" s="8" t="str">
        <f t="shared" si="30"/>
        <v/>
      </c>
      <c r="D153" s="31" t="str">
        <f t="shared" si="31"/>
        <v/>
      </c>
      <c r="E153" s="32" t="str">
        <f>IF(146=$AD$1+3,"ขอแสดงความนับถือ",IF(146=$AD$1+6,"(                 )",IF(146=$AD$1+7,"เจ้าหน้าที่ขนส่ง",IF($AB153="G",SUM($AF$8:$AF$407),IF(OR($AB153="",$AB153="R"),"",IF($AB153="D",INDEX($AF$8:$AF$407,$AA153),SUMIF($T$8:$T$407,INDEX($T$8:$T$407,$AA153),$AF$8:$AF$407)))))))</f>
        <v/>
      </c>
      <c r="F153" s="32" t="str">
        <f t="shared" si="32"/>
        <v/>
      </c>
      <c r="G153" s="32" t="str">
        <f t="shared" si="33"/>
        <v/>
      </c>
      <c r="H153" s="32" t="str">
        <f t="shared" si="34"/>
        <v/>
      </c>
      <c r="J153" t="str">
        <f>IFERROR(MATCH(146,บันทึกรายเที่ยว!$W$6:$W$10005,0),"")</f>
        <v/>
      </c>
      <c r="K153" t="str">
        <f>IF($J153="","",INDEX(บันทึกรายเที่ยว!$T$6:$T$10005,$J153))</f>
        <v/>
      </c>
      <c r="L153" t="str">
        <f>IF($J153="","",INDEX(บันทึกรายเที่ยว!$S$6:$S$10005,$J153))</f>
        <v/>
      </c>
      <c r="M153" t="str">
        <f>IF($J153="","",INDEX(บันทึกรายเที่ยว!$R$6:$R$10005,$J153))</f>
        <v/>
      </c>
      <c r="N153" t="str">
        <f>IF($J153="","",MATCH($M153,บันทึกรายเที่ยว!$R$6:$R$10005,0))</f>
        <v/>
      </c>
      <c r="O153" t="str">
        <f>IF($J153="","",MATCH($L153,บันทึกรายเที่ยว!$S$6:$S$10005,0))</f>
        <v/>
      </c>
      <c r="P153" t="str">
        <f>IF($J153="","",IF(AND(OR($I$3="(ทั้งหมด)",INDEX(บันทึกรายเที่ยว!$C$6:$C$10005,$J153)=$I$3),OR($I$5="(ทั้งหมด)",INDEX(บันทึกรายเที่ยว!$D$6:$D$10005,$J153)=$I$5),OR($I$7="(ทั้งหมด)",INDEX(บันทึกรายเที่ยว!$F$6:$F$10005,$J153)=$I$7)),$N153*10000000+$O153*1000+146,""))</f>
        <v/>
      </c>
      <c r="Q153" t="str">
        <f>IFERROR(MATCH(SMALL($P$8:$P$407,146),$P$8:$P$407,0),"")</f>
        <v/>
      </c>
      <c r="R153" t="str">
        <f t="shared" si="35"/>
        <v/>
      </c>
      <c r="S153" t="str">
        <f t="shared" si="36"/>
        <v/>
      </c>
      <c r="T153" t="str">
        <f t="shared" si="37"/>
        <v/>
      </c>
      <c r="U153" t="str">
        <f t="shared" si="38"/>
        <v/>
      </c>
      <c r="V153">
        <f t="shared" si="40"/>
        <v>0</v>
      </c>
      <c r="W153">
        <f t="shared" si="41"/>
        <v>0</v>
      </c>
      <c r="X153">
        <f>IF($Q153="",99999+146,$X152+1+$V152+$W152)</f>
        <v>100145</v>
      </c>
      <c r="Y153" t="str">
        <f>IF($Q153="","",INDEX(บันทึกรายเที่ยว!$Q$6:$Q$10005,$R153))</f>
        <v/>
      </c>
      <c r="Z153" t="str">
        <f>IF($Q153="","",INDEX(บันทึกรายเที่ยว!$F$6:$F$10005,$R153))</f>
        <v/>
      </c>
      <c r="AA153" t="str">
        <f>IFERROR(MATCH(146,$X$8:$X$407,1),"")</f>
        <v/>
      </c>
      <c r="AB153" t="str">
        <f>IF(146=$AD$1+1,"G",IF($AA153="","",IF(INDEX($Q$8:$Q$407,$AA153)="","",IF(146&gt;INDEX($X$8:$X$407,$AA153)+INDEX($V$8:$V$407,$AA153)+INDEX($W$8:$W$407,$AA153),"",IF(146=INDEX($X$8:$X$407,$AA153)+INDEX($V$8:$V$407,$AA153)+INDEX($W$8:$W$407,$AA153),"D",IF(AND(INDEX($W$8:$W$407,$AA153)=1,146=INDEX($X$8:$X$407,$AA153)+INDEX($V$8:$V$407,$AA153)),"S","R"))))))</f>
        <v/>
      </c>
      <c r="AC153" t="str">
        <f t="shared" si="39"/>
        <v/>
      </c>
      <c r="AE153">
        <f>IF($U153="",0,COUNTIF(บันทึกรายเที่ยว!$T$6:$T$10005,$U153))</f>
        <v>0</v>
      </c>
      <c r="AF153">
        <f>IF($U153="",0,ROUND(SUMIF(บันทึกรายเที่ยว!$T$6:$T$10005,$U153,บันทึกรายเที่ยว!$J$6:$J$10005),2))</f>
        <v>0</v>
      </c>
      <c r="AG153">
        <f>IF($U153="",0,ROUND(SUMIF(บันทึกรายเที่ยว!$T$6:$T$10005,$U153,บันทึกรายเที่ยว!$K$6:$K$10005),2))</f>
        <v>0</v>
      </c>
      <c r="AH153">
        <f>IF($U153="",0,ROUND(SUMIF(บันทึกรายเที่ยว!$T$6:$T$10005,$U153,บันทึกรายเที่ยว!$M$6:$M$10005),2))</f>
        <v>0</v>
      </c>
    </row>
    <row r="154" spans="1:34" ht="21" customHeight="1" x14ac:dyDescent="0.95">
      <c r="A154" s="3" t="str">
        <f t="shared" si="28"/>
        <v/>
      </c>
      <c r="B154" s="3" t="str">
        <f t="shared" si="29"/>
        <v/>
      </c>
      <c r="C154" s="8" t="str">
        <f t="shared" si="30"/>
        <v/>
      </c>
      <c r="D154" s="31" t="str">
        <f t="shared" si="31"/>
        <v/>
      </c>
      <c r="E154" s="32" t="str">
        <f>IF(147=$AD$1+3,"ขอแสดงความนับถือ",IF(147=$AD$1+6,"(                 )",IF(147=$AD$1+7,"เจ้าหน้าที่ขนส่ง",IF($AB154="G",SUM($AF$8:$AF$407),IF(OR($AB154="",$AB154="R"),"",IF($AB154="D",INDEX($AF$8:$AF$407,$AA154),SUMIF($T$8:$T$407,INDEX($T$8:$T$407,$AA154),$AF$8:$AF$407)))))))</f>
        <v/>
      </c>
      <c r="F154" s="32" t="str">
        <f t="shared" si="32"/>
        <v/>
      </c>
      <c r="G154" s="32" t="str">
        <f t="shared" si="33"/>
        <v/>
      </c>
      <c r="H154" s="32" t="str">
        <f t="shared" si="34"/>
        <v/>
      </c>
      <c r="J154" t="str">
        <f>IFERROR(MATCH(147,บันทึกรายเที่ยว!$W$6:$W$10005,0),"")</f>
        <v/>
      </c>
      <c r="K154" t="str">
        <f>IF($J154="","",INDEX(บันทึกรายเที่ยว!$T$6:$T$10005,$J154))</f>
        <v/>
      </c>
      <c r="L154" t="str">
        <f>IF($J154="","",INDEX(บันทึกรายเที่ยว!$S$6:$S$10005,$J154))</f>
        <v/>
      </c>
      <c r="M154" t="str">
        <f>IF($J154="","",INDEX(บันทึกรายเที่ยว!$R$6:$R$10005,$J154))</f>
        <v/>
      </c>
      <c r="N154" t="str">
        <f>IF($J154="","",MATCH($M154,บันทึกรายเที่ยว!$R$6:$R$10005,0))</f>
        <v/>
      </c>
      <c r="O154" t="str">
        <f>IF($J154="","",MATCH($L154,บันทึกรายเที่ยว!$S$6:$S$10005,0))</f>
        <v/>
      </c>
      <c r="P154" t="str">
        <f>IF($J154="","",IF(AND(OR($I$3="(ทั้งหมด)",INDEX(บันทึกรายเที่ยว!$C$6:$C$10005,$J154)=$I$3),OR($I$5="(ทั้งหมด)",INDEX(บันทึกรายเที่ยว!$D$6:$D$10005,$J154)=$I$5),OR($I$7="(ทั้งหมด)",INDEX(บันทึกรายเที่ยว!$F$6:$F$10005,$J154)=$I$7)),$N154*10000000+$O154*1000+147,""))</f>
        <v/>
      </c>
      <c r="Q154" t="str">
        <f>IFERROR(MATCH(SMALL($P$8:$P$407,147),$P$8:$P$407,0),"")</f>
        <v/>
      </c>
      <c r="R154" t="str">
        <f t="shared" si="35"/>
        <v/>
      </c>
      <c r="S154" t="str">
        <f t="shared" si="36"/>
        <v/>
      </c>
      <c r="T154" t="str">
        <f t="shared" si="37"/>
        <v/>
      </c>
      <c r="U154" t="str">
        <f t="shared" si="38"/>
        <v/>
      </c>
      <c r="V154">
        <f t="shared" si="40"/>
        <v>0</v>
      </c>
      <c r="W154">
        <f t="shared" si="41"/>
        <v>0</v>
      </c>
      <c r="X154">
        <f>IF($Q154="",99999+147,$X153+1+$V153+$W153)</f>
        <v>100146</v>
      </c>
      <c r="Y154" t="str">
        <f>IF($Q154="","",INDEX(บันทึกรายเที่ยว!$Q$6:$Q$10005,$R154))</f>
        <v/>
      </c>
      <c r="Z154" t="str">
        <f>IF($Q154="","",INDEX(บันทึกรายเที่ยว!$F$6:$F$10005,$R154))</f>
        <v/>
      </c>
      <c r="AA154" t="str">
        <f>IFERROR(MATCH(147,$X$8:$X$407,1),"")</f>
        <v/>
      </c>
      <c r="AB154" t="str">
        <f>IF(147=$AD$1+1,"G",IF($AA154="","",IF(INDEX($Q$8:$Q$407,$AA154)="","",IF(147&gt;INDEX($X$8:$X$407,$AA154)+INDEX($V$8:$V$407,$AA154)+INDEX($W$8:$W$407,$AA154),"",IF(147=INDEX($X$8:$X$407,$AA154)+INDEX($V$8:$V$407,$AA154)+INDEX($W$8:$W$407,$AA154),"D",IF(AND(INDEX($W$8:$W$407,$AA154)=1,147=INDEX($X$8:$X$407,$AA154)+INDEX($V$8:$V$407,$AA154)),"S","R"))))))</f>
        <v/>
      </c>
      <c r="AC154" t="str">
        <f t="shared" si="39"/>
        <v/>
      </c>
      <c r="AE154">
        <f>IF($U154="",0,COUNTIF(บันทึกรายเที่ยว!$T$6:$T$10005,$U154))</f>
        <v>0</v>
      </c>
      <c r="AF154">
        <f>IF($U154="",0,ROUND(SUMIF(บันทึกรายเที่ยว!$T$6:$T$10005,$U154,บันทึกรายเที่ยว!$J$6:$J$10005),2))</f>
        <v>0</v>
      </c>
      <c r="AG154">
        <f>IF($U154="",0,ROUND(SUMIF(บันทึกรายเที่ยว!$T$6:$T$10005,$U154,บันทึกรายเที่ยว!$K$6:$K$10005),2))</f>
        <v>0</v>
      </c>
      <c r="AH154">
        <f>IF($U154="",0,ROUND(SUMIF(บันทึกรายเที่ยว!$T$6:$T$10005,$U154,บันทึกรายเที่ยว!$M$6:$M$10005),2))</f>
        <v>0</v>
      </c>
    </row>
    <row r="155" spans="1:34" ht="21" customHeight="1" x14ac:dyDescent="0.95">
      <c r="A155" s="3" t="str">
        <f t="shared" si="28"/>
        <v/>
      </c>
      <c r="B155" s="3" t="str">
        <f t="shared" si="29"/>
        <v/>
      </c>
      <c r="C155" s="8" t="str">
        <f t="shared" si="30"/>
        <v/>
      </c>
      <c r="D155" s="31" t="str">
        <f t="shared" si="31"/>
        <v/>
      </c>
      <c r="E155" s="32" t="str">
        <f>IF(148=$AD$1+3,"ขอแสดงความนับถือ",IF(148=$AD$1+6,"(                 )",IF(148=$AD$1+7,"เจ้าหน้าที่ขนส่ง",IF($AB155="G",SUM($AF$8:$AF$407),IF(OR($AB155="",$AB155="R"),"",IF($AB155="D",INDEX($AF$8:$AF$407,$AA155),SUMIF($T$8:$T$407,INDEX($T$8:$T$407,$AA155),$AF$8:$AF$407)))))))</f>
        <v/>
      </c>
      <c r="F155" s="32" t="str">
        <f t="shared" si="32"/>
        <v/>
      </c>
      <c r="G155" s="32" t="str">
        <f t="shared" si="33"/>
        <v/>
      </c>
      <c r="H155" s="32" t="str">
        <f t="shared" si="34"/>
        <v/>
      </c>
      <c r="J155" t="str">
        <f>IFERROR(MATCH(148,บันทึกรายเที่ยว!$W$6:$W$10005,0),"")</f>
        <v/>
      </c>
      <c r="K155" t="str">
        <f>IF($J155="","",INDEX(บันทึกรายเที่ยว!$T$6:$T$10005,$J155))</f>
        <v/>
      </c>
      <c r="L155" t="str">
        <f>IF($J155="","",INDEX(บันทึกรายเที่ยว!$S$6:$S$10005,$J155))</f>
        <v/>
      </c>
      <c r="M155" t="str">
        <f>IF($J155="","",INDEX(บันทึกรายเที่ยว!$R$6:$R$10005,$J155))</f>
        <v/>
      </c>
      <c r="N155" t="str">
        <f>IF($J155="","",MATCH($M155,บันทึกรายเที่ยว!$R$6:$R$10005,0))</f>
        <v/>
      </c>
      <c r="O155" t="str">
        <f>IF($J155="","",MATCH($L155,บันทึกรายเที่ยว!$S$6:$S$10005,0))</f>
        <v/>
      </c>
      <c r="P155" t="str">
        <f>IF($J155="","",IF(AND(OR($I$3="(ทั้งหมด)",INDEX(บันทึกรายเที่ยว!$C$6:$C$10005,$J155)=$I$3),OR($I$5="(ทั้งหมด)",INDEX(บันทึกรายเที่ยว!$D$6:$D$10005,$J155)=$I$5),OR($I$7="(ทั้งหมด)",INDEX(บันทึกรายเที่ยว!$F$6:$F$10005,$J155)=$I$7)),$N155*10000000+$O155*1000+148,""))</f>
        <v/>
      </c>
      <c r="Q155" t="str">
        <f>IFERROR(MATCH(SMALL($P$8:$P$407,148),$P$8:$P$407,0),"")</f>
        <v/>
      </c>
      <c r="R155" t="str">
        <f t="shared" si="35"/>
        <v/>
      </c>
      <c r="S155" t="str">
        <f t="shared" si="36"/>
        <v/>
      </c>
      <c r="T155" t="str">
        <f t="shared" si="37"/>
        <v/>
      </c>
      <c r="U155" t="str">
        <f t="shared" si="38"/>
        <v/>
      </c>
      <c r="V155">
        <f t="shared" si="40"/>
        <v>0</v>
      </c>
      <c r="W155">
        <f t="shared" si="41"/>
        <v>0</v>
      </c>
      <c r="X155">
        <f>IF($Q155="",99999+148,$X154+1+$V154+$W154)</f>
        <v>100147</v>
      </c>
      <c r="Y155" t="str">
        <f>IF($Q155="","",INDEX(บันทึกรายเที่ยว!$Q$6:$Q$10005,$R155))</f>
        <v/>
      </c>
      <c r="Z155" t="str">
        <f>IF($Q155="","",INDEX(บันทึกรายเที่ยว!$F$6:$F$10005,$R155))</f>
        <v/>
      </c>
      <c r="AA155" t="str">
        <f>IFERROR(MATCH(148,$X$8:$X$407,1),"")</f>
        <v/>
      </c>
      <c r="AB155" t="str">
        <f>IF(148=$AD$1+1,"G",IF($AA155="","",IF(INDEX($Q$8:$Q$407,$AA155)="","",IF(148&gt;INDEX($X$8:$X$407,$AA155)+INDEX($V$8:$V$407,$AA155)+INDEX($W$8:$W$407,$AA155),"",IF(148=INDEX($X$8:$X$407,$AA155)+INDEX($V$8:$V$407,$AA155)+INDEX($W$8:$W$407,$AA155),"D",IF(AND(INDEX($W$8:$W$407,$AA155)=1,148=INDEX($X$8:$X$407,$AA155)+INDEX($V$8:$V$407,$AA155)),"S","R"))))))</f>
        <v/>
      </c>
      <c r="AC155" t="str">
        <f t="shared" si="39"/>
        <v/>
      </c>
      <c r="AE155">
        <f>IF($U155="",0,COUNTIF(บันทึกรายเที่ยว!$T$6:$T$10005,$U155))</f>
        <v>0</v>
      </c>
      <c r="AF155">
        <f>IF($U155="",0,ROUND(SUMIF(บันทึกรายเที่ยว!$T$6:$T$10005,$U155,บันทึกรายเที่ยว!$J$6:$J$10005),2))</f>
        <v>0</v>
      </c>
      <c r="AG155">
        <f>IF($U155="",0,ROUND(SUMIF(บันทึกรายเที่ยว!$T$6:$T$10005,$U155,บันทึกรายเที่ยว!$K$6:$K$10005),2))</f>
        <v>0</v>
      </c>
      <c r="AH155">
        <f>IF($U155="",0,ROUND(SUMIF(บันทึกรายเที่ยว!$T$6:$T$10005,$U155,บันทึกรายเที่ยว!$M$6:$M$10005),2))</f>
        <v>0</v>
      </c>
    </row>
    <row r="156" spans="1:34" ht="21" customHeight="1" x14ac:dyDescent="0.95">
      <c r="A156" s="3" t="str">
        <f t="shared" si="28"/>
        <v/>
      </c>
      <c r="B156" s="3" t="str">
        <f t="shared" si="29"/>
        <v/>
      </c>
      <c r="C156" s="8" t="str">
        <f t="shared" si="30"/>
        <v/>
      </c>
      <c r="D156" s="31" t="str">
        <f t="shared" si="31"/>
        <v/>
      </c>
      <c r="E156" s="32" t="str">
        <f>IF(149=$AD$1+3,"ขอแสดงความนับถือ",IF(149=$AD$1+6,"(                 )",IF(149=$AD$1+7,"เจ้าหน้าที่ขนส่ง",IF($AB156="G",SUM($AF$8:$AF$407),IF(OR($AB156="",$AB156="R"),"",IF($AB156="D",INDEX($AF$8:$AF$407,$AA156),SUMIF($T$8:$T$407,INDEX($T$8:$T$407,$AA156),$AF$8:$AF$407)))))))</f>
        <v/>
      </c>
      <c r="F156" s="32" t="str">
        <f t="shared" si="32"/>
        <v/>
      </c>
      <c r="G156" s="32" t="str">
        <f t="shared" si="33"/>
        <v/>
      </c>
      <c r="H156" s="32" t="str">
        <f t="shared" si="34"/>
        <v/>
      </c>
      <c r="J156" t="str">
        <f>IFERROR(MATCH(149,บันทึกรายเที่ยว!$W$6:$W$10005,0),"")</f>
        <v/>
      </c>
      <c r="K156" t="str">
        <f>IF($J156="","",INDEX(บันทึกรายเที่ยว!$T$6:$T$10005,$J156))</f>
        <v/>
      </c>
      <c r="L156" t="str">
        <f>IF($J156="","",INDEX(บันทึกรายเที่ยว!$S$6:$S$10005,$J156))</f>
        <v/>
      </c>
      <c r="M156" t="str">
        <f>IF($J156="","",INDEX(บันทึกรายเที่ยว!$R$6:$R$10005,$J156))</f>
        <v/>
      </c>
      <c r="N156" t="str">
        <f>IF($J156="","",MATCH($M156,บันทึกรายเที่ยว!$R$6:$R$10005,0))</f>
        <v/>
      </c>
      <c r="O156" t="str">
        <f>IF($J156="","",MATCH($L156,บันทึกรายเที่ยว!$S$6:$S$10005,0))</f>
        <v/>
      </c>
      <c r="P156" t="str">
        <f>IF($J156="","",IF(AND(OR($I$3="(ทั้งหมด)",INDEX(บันทึกรายเที่ยว!$C$6:$C$10005,$J156)=$I$3),OR($I$5="(ทั้งหมด)",INDEX(บันทึกรายเที่ยว!$D$6:$D$10005,$J156)=$I$5),OR($I$7="(ทั้งหมด)",INDEX(บันทึกรายเที่ยว!$F$6:$F$10005,$J156)=$I$7)),$N156*10000000+$O156*1000+149,""))</f>
        <v/>
      </c>
      <c r="Q156" t="str">
        <f>IFERROR(MATCH(SMALL($P$8:$P$407,149),$P$8:$P$407,0),"")</f>
        <v/>
      </c>
      <c r="R156" t="str">
        <f t="shared" si="35"/>
        <v/>
      </c>
      <c r="S156" t="str">
        <f t="shared" si="36"/>
        <v/>
      </c>
      <c r="T156" t="str">
        <f t="shared" si="37"/>
        <v/>
      </c>
      <c r="U156" t="str">
        <f t="shared" si="38"/>
        <v/>
      </c>
      <c r="V156">
        <f t="shared" si="40"/>
        <v>0</v>
      </c>
      <c r="W156">
        <f t="shared" si="41"/>
        <v>0</v>
      </c>
      <c r="X156">
        <f>IF($Q156="",99999+149,$X155+1+$V155+$W155)</f>
        <v>100148</v>
      </c>
      <c r="Y156" t="str">
        <f>IF($Q156="","",INDEX(บันทึกรายเที่ยว!$Q$6:$Q$10005,$R156))</f>
        <v/>
      </c>
      <c r="Z156" t="str">
        <f>IF($Q156="","",INDEX(บันทึกรายเที่ยว!$F$6:$F$10005,$R156))</f>
        <v/>
      </c>
      <c r="AA156" t="str">
        <f>IFERROR(MATCH(149,$X$8:$X$407,1),"")</f>
        <v/>
      </c>
      <c r="AB156" t="str">
        <f>IF(149=$AD$1+1,"G",IF($AA156="","",IF(INDEX($Q$8:$Q$407,$AA156)="","",IF(149&gt;INDEX($X$8:$X$407,$AA156)+INDEX($V$8:$V$407,$AA156)+INDEX($W$8:$W$407,$AA156),"",IF(149=INDEX($X$8:$X$407,$AA156)+INDEX($V$8:$V$407,$AA156)+INDEX($W$8:$W$407,$AA156),"D",IF(AND(INDEX($W$8:$W$407,$AA156)=1,149=INDEX($X$8:$X$407,$AA156)+INDEX($V$8:$V$407,$AA156)),"S","R"))))))</f>
        <v/>
      </c>
      <c r="AC156" t="str">
        <f t="shared" si="39"/>
        <v/>
      </c>
      <c r="AE156">
        <f>IF($U156="",0,COUNTIF(บันทึกรายเที่ยว!$T$6:$T$10005,$U156))</f>
        <v>0</v>
      </c>
      <c r="AF156">
        <f>IF($U156="",0,ROUND(SUMIF(บันทึกรายเที่ยว!$T$6:$T$10005,$U156,บันทึกรายเที่ยว!$J$6:$J$10005),2))</f>
        <v>0</v>
      </c>
      <c r="AG156">
        <f>IF($U156="",0,ROUND(SUMIF(บันทึกรายเที่ยว!$T$6:$T$10005,$U156,บันทึกรายเที่ยว!$K$6:$K$10005),2))</f>
        <v>0</v>
      </c>
      <c r="AH156">
        <f>IF($U156="",0,ROUND(SUMIF(บันทึกรายเที่ยว!$T$6:$T$10005,$U156,บันทึกรายเที่ยว!$M$6:$M$10005),2))</f>
        <v>0</v>
      </c>
    </row>
    <row r="157" spans="1:34" ht="21" customHeight="1" x14ac:dyDescent="0.95">
      <c r="A157" s="3" t="str">
        <f t="shared" si="28"/>
        <v/>
      </c>
      <c r="B157" s="3" t="str">
        <f t="shared" si="29"/>
        <v/>
      </c>
      <c r="C157" s="8" t="str">
        <f t="shared" si="30"/>
        <v/>
      </c>
      <c r="D157" s="31" t="str">
        <f t="shared" si="31"/>
        <v/>
      </c>
      <c r="E157" s="32" t="str">
        <f>IF(150=$AD$1+3,"ขอแสดงความนับถือ",IF(150=$AD$1+6,"(                 )",IF(150=$AD$1+7,"เจ้าหน้าที่ขนส่ง",IF($AB157="G",SUM($AF$8:$AF$407),IF(OR($AB157="",$AB157="R"),"",IF($AB157="D",INDEX($AF$8:$AF$407,$AA157),SUMIF($T$8:$T$407,INDEX($T$8:$T$407,$AA157),$AF$8:$AF$407)))))))</f>
        <v/>
      </c>
      <c r="F157" s="32" t="str">
        <f t="shared" si="32"/>
        <v/>
      </c>
      <c r="G157" s="32" t="str">
        <f t="shared" si="33"/>
        <v/>
      </c>
      <c r="H157" s="32" t="str">
        <f t="shared" si="34"/>
        <v/>
      </c>
      <c r="J157" t="str">
        <f>IFERROR(MATCH(150,บันทึกรายเที่ยว!$W$6:$W$10005,0),"")</f>
        <v/>
      </c>
      <c r="K157" t="str">
        <f>IF($J157="","",INDEX(บันทึกรายเที่ยว!$T$6:$T$10005,$J157))</f>
        <v/>
      </c>
      <c r="L157" t="str">
        <f>IF($J157="","",INDEX(บันทึกรายเที่ยว!$S$6:$S$10005,$J157))</f>
        <v/>
      </c>
      <c r="M157" t="str">
        <f>IF($J157="","",INDEX(บันทึกรายเที่ยว!$R$6:$R$10005,$J157))</f>
        <v/>
      </c>
      <c r="N157" t="str">
        <f>IF($J157="","",MATCH($M157,บันทึกรายเที่ยว!$R$6:$R$10005,0))</f>
        <v/>
      </c>
      <c r="O157" t="str">
        <f>IF($J157="","",MATCH($L157,บันทึกรายเที่ยว!$S$6:$S$10005,0))</f>
        <v/>
      </c>
      <c r="P157" t="str">
        <f>IF($J157="","",IF(AND(OR($I$3="(ทั้งหมด)",INDEX(บันทึกรายเที่ยว!$C$6:$C$10005,$J157)=$I$3),OR($I$5="(ทั้งหมด)",INDEX(บันทึกรายเที่ยว!$D$6:$D$10005,$J157)=$I$5),OR($I$7="(ทั้งหมด)",INDEX(บันทึกรายเที่ยว!$F$6:$F$10005,$J157)=$I$7)),$N157*10000000+$O157*1000+150,""))</f>
        <v/>
      </c>
      <c r="Q157" t="str">
        <f>IFERROR(MATCH(SMALL($P$8:$P$407,150),$P$8:$P$407,0),"")</f>
        <v/>
      </c>
      <c r="R157" t="str">
        <f t="shared" si="35"/>
        <v/>
      </c>
      <c r="S157" t="str">
        <f t="shared" si="36"/>
        <v/>
      </c>
      <c r="T157" t="str">
        <f t="shared" si="37"/>
        <v/>
      </c>
      <c r="U157" t="str">
        <f t="shared" si="38"/>
        <v/>
      </c>
      <c r="V157">
        <f t="shared" si="40"/>
        <v>0</v>
      </c>
      <c r="W157">
        <f t="shared" si="41"/>
        <v>0</v>
      </c>
      <c r="X157">
        <f>IF($Q157="",99999+150,$X156+1+$V156+$W156)</f>
        <v>100149</v>
      </c>
      <c r="Y157" t="str">
        <f>IF($Q157="","",INDEX(บันทึกรายเที่ยว!$Q$6:$Q$10005,$R157))</f>
        <v/>
      </c>
      <c r="Z157" t="str">
        <f>IF($Q157="","",INDEX(บันทึกรายเที่ยว!$F$6:$F$10005,$R157))</f>
        <v/>
      </c>
      <c r="AA157" t="str">
        <f>IFERROR(MATCH(150,$X$8:$X$407,1),"")</f>
        <v/>
      </c>
      <c r="AB157" t="str">
        <f>IF(150=$AD$1+1,"G",IF($AA157="","",IF(INDEX($Q$8:$Q$407,$AA157)="","",IF(150&gt;INDEX($X$8:$X$407,$AA157)+INDEX($V$8:$V$407,$AA157)+INDEX($W$8:$W$407,$AA157),"",IF(150=INDEX($X$8:$X$407,$AA157)+INDEX($V$8:$V$407,$AA157)+INDEX($W$8:$W$407,$AA157),"D",IF(AND(INDEX($W$8:$W$407,$AA157)=1,150=INDEX($X$8:$X$407,$AA157)+INDEX($V$8:$V$407,$AA157)),"S","R"))))))</f>
        <v/>
      </c>
      <c r="AC157" t="str">
        <f t="shared" si="39"/>
        <v/>
      </c>
      <c r="AE157">
        <f>IF($U157="",0,COUNTIF(บันทึกรายเที่ยว!$T$6:$T$10005,$U157))</f>
        <v>0</v>
      </c>
      <c r="AF157">
        <f>IF($U157="",0,ROUND(SUMIF(บันทึกรายเที่ยว!$T$6:$T$10005,$U157,บันทึกรายเที่ยว!$J$6:$J$10005),2))</f>
        <v>0</v>
      </c>
      <c r="AG157">
        <f>IF($U157="",0,ROUND(SUMIF(บันทึกรายเที่ยว!$T$6:$T$10005,$U157,บันทึกรายเที่ยว!$K$6:$K$10005),2))</f>
        <v>0</v>
      </c>
      <c r="AH157">
        <f>IF($U157="",0,ROUND(SUMIF(บันทึกรายเที่ยว!$T$6:$T$10005,$U157,บันทึกรายเที่ยว!$M$6:$M$10005),2))</f>
        <v>0</v>
      </c>
    </row>
    <row r="158" spans="1:34" ht="21" customHeight="1" x14ac:dyDescent="0.95">
      <c r="A158" s="3" t="str">
        <f t="shared" si="28"/>
        <v/>
      </c>
      <c r="B158" s="3" t="str">
        <f t="shared" si="29"/>
        <v/>
      </c>
      <c r="C158" s="8" t="str">
        <f t="shared" si="30"/>
        <v/>
      </c>
      <c r="D158" s="31" t="str">
        <f t="shared" si="31"/>
        <v/>
      </c>
      <c r="E158" s="32" t="str">
        <f>IF(151=$AD$1+3,"ขอแสดงความนับถือ",IF(151=$AD$1+6,"(                 )",IF(151=$AD$1+7,"เจ้าหน้าที่ขนส่ง",IF($AB158="G",SUM($AF$8:$AF$407),IF(OR($AB158="",$AB158="R"),"",IF($AB158="D",INDEX($AF$8:$AF$407,$AA158),SUMIF($T$8:$T$407,INDEX($T$8:$T$407,$AA158),$AF$8:$AF$407)))))))</f>
        <v/>
      </c>
      <c r="F158" s="32" t="str">
        <f t="shared" si="32"/>
        <v/>
      </c>
      <c r="G158" s="32" t="str">
        <f t="shared" si="33"/>
        <v/>
      </c>
      <c r="H158" s="32" t="str">
        <f t="shared" si="34"/>
        <v/>
      </c>
      <c r="J158" t="str">
        <f>IFERROR(MATCH(151,บันทึกรายเที่ยว!$W$6:$W$10005,0),"")</f>
        <v/>
      </c>
      <c r="K158" t="str">
        <f>IF($J158="","",INDEX(บันทึกรายเที่ยว!$T$6:$T$10005,$J158))</f>
        <v/>
      </c>
      <c r="L158" t="str">
        <f>IF($J158="","",INDEX(บันทึกรายเที่ยว!$S$6:$S$10005,$J158))</f>
        <v/>
      </c>
      <c r="M158" t="str">
        <f>IF($J158="","",INDEX(บันทึกรายเที่ยว!$R$6:$R$10005,$J158))</f>
        <v/>
      </c>
      <c r="N158" t="str">
        <f>IF($J158="","",MATCH($M158,บันทึกรายเที่ยว!$R$6:$R$10005,0))</f>
        <v/>
      </c>
      <c r="O158" t="str">
        <f>IF($J158="","",MATCH($L158,บันทึกรายเที่ยว!$S$6:$S$10005,0))</f>
        <v/>
      </c>
      <c r="P158" t="str">
        <f>IF($J158="","",IF(AND(OR($I$3="(ทั้งหมด)",INDEX(บันทึกรายเที่ยว!$C$6:$C$10005,$J158)=$I$3),OR($I$5="(ทั้งหมด)",INDEX(บันทึกรายเที่ยว!$D$6:$D$10005,$J158)=$I$5),OR($I$7="(ทั้งหมด)",INDEX(บันทึกรายเที่ยว!$F$6:$F$10005,$J158)=$I$7)),$N158*10000000+$O158*1000+151,""))</f>
        <v/>
      </c>
      <c r="Q158" t="str">
        <f>IFERROR(MATCH(SMALL($P$8:$P$407,151),$P$8:$P$407,0),"")</f>
        <v/>
      </c>
      <c r="R158" t="str">
        <f t="shared" si="35"/>
        <v/>
      </c>
      <c r="S158" t="str">
        <f t="shared" si="36"/>
        <v/>
      </c>
      <c r="T158" t="str">
        <f t="shared" si="37"/>
        <v/>
      </c>
      <c r="U158" t="str">
        <f t="shared" si="38"/>
        <v/>
      </c>
      <c r="V158">
        <f t="shared" si="40"/>
        <v>0</v>
      </c>
      <c r="W158">
        <f t="shared" si="41"/>
        <v>0</v>
      </c>
      <c r="X158">
        <f>IF($Q158="",99999+151,$X157+1+$V157+$W157)</f>
        <v>100150</v>
      </c>
      <c r="Y158" t="str">
        <f>IF($Q158="","",INDEX(บันทึกรายเที่ยว!$Q$6:$Q$10005,$R158))</f>
        <v/>
      </c>
      <c r="Z158" t="str">
        <f>IF($Q158="","",INDEX(บันทึกรายเที่ยว!$F$6:$F$10005,$R158))</f>
        <v/>
      </c>
      <c r="AA158" t="str">
        <f>IFERROR(MATCH(151,$X$8:$X$407,1),"")</f>
        <v/>
      </c>
      <c r="AB158" t="str">
        <f>IF(151=$AD$1+1,"G",IF($AA158="","",IF(INDEX($Q$8:$Q$407,$AA158)="","",IF(151&gt;INDEX($X$8:$X$407,$AA158)+INDEX($V$8:$V$407,$AA158)+INDEX($W$8:$W$407,$AA158),"",IF(151=INDEX($X$8:$X$407,$AA158)+INDEX($V$8:$V$407,$AA158)+INDEX($W$8:$W$407,$AA158),"D",IF(AND(INDEX($W$8:$W$407,$AA158)=1,151=INDEX($X$8:$X$407,$AA158)+INDEX($V$8:$V$407,$AA158)),"S","R"))))))</f>
        <v/>
      </c>
      <c r="AC158" t="str">
        <f t="shared" si="39"/>
        <v/>
      </c>
      <c r="AE158">
        <f>IF($U158="",0,COUNTIF(บันทึกรายเที่ยว!$T$6:$T$10005,$U158))</f>
        <v>0</v>
      </c>
      <c r="AF158">
        <f>IF($U158="",0,ROUND(SUMIF(บันทึกรายเที่ยว!$T$6:$T$10005,$U158,บันทึกรายเที่ยว!$J$6:$J$10005),2))</f>
        <v>0</v>
      </c>
      <c r="AG158">
        <f>IF($U158="",0,ROUND(SUMIF(บันทึกรายเที่ยว!$T$6:$T$10005,$U158,บันทึกรายเที่ยว!$K$6:$K$10005),2))</f>
        <v>0</v>
      </c>
      <c r="AH158">
        <f>IF($U158="",0,ROUND(SUMIF(บันทึกรายเที่ยว!$T$6:$T$10005,$U158,บันทึกรายเที่ยว!$M$6:$M$10005),2))</f>
        <v>0</v>
      </c>
    </row>
    <row r="159" spans="1:34" ht="21" customHeight="1" x14ac:dyDescent="0.95">
      <c r="A159" s="3" t="str">
        <f t="shared" si="28"/>
        <v/>
      </c>
      <c r="B159" s="3" t="str">
        <f t="shared" si="29"/>
        <v/>
      </c>
      <c r="C159" s="8" t="str">
        <f t="shared" si="30"/>
        <v/>
      </c>
      <c r="D159" s="31" t="str">
        <f t="shared" si="31"/>
        <v/>
      </c>
      <c r="E159" s="32" t="str">
        <f>IF(152=$AD$1+3,"ขอแสดงความนับถือ",IF(152=$AD$1+6,"(                 )",IF(152=$AD$1+7,"เจ้าหน้าที่ขนส่ง",IF($AB159="G",SUM($AF$8:$AF$407),IF(OR($AB159="",$AB159="R"),"",IF($AB159="D",INDEX($AF$8:$AF$407,$AA159),SUMIF($T$8:$T$407,INDEX($T$8:$T$407,$AA159),$AF$8:$AF$407)))))))</f>
        <v/>
      </c>
      <c r="F159" s="32" t="str">
        <f t="shared" si="32"/>
        <v/>
      </c>
      <c r="G159" s="32" t="str">
        <f t="shared" si="33"/>
        <v/>
      </c>
      <c r="H159" s="32" t="str">
        <f t="shared" si="34"/>
        <v/>
      </c>
      <c r="J159" t="str">
        <f>IFERROR(MATCH(152,บันทึกรายเที่ยว!$W$6:$W$10005,0),"")</f>
        <v/>
      </c>
      <c r="K159" t="str">
        <f>IF($J159="","",INDEX(บันทึกรายเที่ยว!$T$6:$T$10005,$J159))</f>
        <v/>
      </c>
      <c r="L159" t="str">
        <f>IF($J159="","",INDEX(บันทึกรายเที่ยว!$S$6:$S$10005,$J159))</f>
        <v/>
      </c>
      <c r="M159" t="str">
        <f>IF($J159="","",INDEX(บันทึกรายเที่ยว!$R$6:$R$10005,$J159))</f>
        <v/>
      </c>
      <c r="N159" t="str">
        <f>IF($J159="","",MATCH($M159,บันทึกรายเที่ยว!$R$6:$R$10005,0))</f>
        <v/>
      </c>
      <c r="O159" t="str">
        <f>IF($J159="","",MATCH($L159,บันทึกรายเที่ยว!$S$6:$S$10005,0))</f>
        <v/>
      </c>
      <c r="P159" t="str">
        <f>IF($J159="","",IF(AND(OR($I$3="(ทั้งหมด)",INDEX(บันทึกรายเที่ยว!$C$6:$C$10005,$J159)=$I$3),OR($I$5="(ทั้งหมด)",INDEX(บันทึกรายเที่ยว!$D$6:$D$10005,$J159)=$I$5),OR($I$7="(ทั้งหมด)",INDEX(บันทึกรายเที่ยว!$F$6:$F$10005,$J159)=$I$7)),$N159*10000000+$O159*1000+152,""))</f>
        <v/>
      </c>
      <c r="Q159" t="str">
        <f>IFERROR(MATCH(SMALL($P$8:$P$407,152),$P$8:$P$407,0),"")</f>
        <v/>
      </c>
      <c r="R159" t="str">
        <f t="shared" si="35"/>
        <v/>
      </c>
      <c r="S159" t="str">
        <f t="shared" si="36"/>
        <v/>
      </c>
      <c r="T159" t="str">
        <f t="shared" si="37"/>
        <v/>
      </c>
      <c r="U159" t="str">
        <f t="shared" si="38"/>
        <v/>
      </c>
      <c r="V159">
        <f t="shared" si="40"/>
        <v>0</v>
      </c>
      <c r="W159">
        <f t="shared" si="41"/>
        <v>0</v>
      </c>
      <c r="X159">
        <f>IF($Q159="",99999+152,$X158+1+$V158+$W158)</f>
        <v>100151</v>
      </c>
      <c r="Y159" t="str">
        <f>IF($Q159="","",INDEX(บันทึกรายเที่ยว!$Q$6:$Q$10005,$R159))</f>
        <v/>
      </c>
      <c r="Z159" t="str">
        <f>IF($Q159="","",INDEX(บันทึกรายเที่ยว!$F$6:$F$10005,$R159))</f>
        <v/>
      </c>
      <c r="AA159" t="str">
        <f>IFERROR(MATCH(152,$X$8:$X$407,1),"")</f>
        <v/>
      </c>
      <c r="AB159" t="str">
        <f>IF(152=$AD$1+1,"G",IF($AA159="","",IF(INDEX($Q$8:$Q$407,$AA159)="","",IF(152&gt;INDEX($X$8:$X$407,$AA159)+INDEX($V$8:$V$407,$AA159)+INDEX($W$8:$W$407,$AA159),"",IF(152=INDEX($X$8:$X$407,$AA159)+INDEX($V$8:$V$407,$AA159)+INDEX($W$8:$W$407,$AA159),"D",IF(AND(INDEX($W$8:$W$407,$AA159)=1,152=INDEX($X$8:$X$407,$AA159)+INDEX($V$8:$V$407,$AA159)),"S","R"))))))</f>
        <v/>
      </c>
      <c r="AC159" t="str">
        <f t="shared" si="39"/>
        <v/>
      </c>
      <c r="AE159">
        <f>IF($U159="",0,COUNTIF(บันทึกรายเที่ยว!$T$6:$T$10005,$U159))</f>
        <v>0</v>
      </c>
      <c r="AF159">
        <f>IF($U159="",0,ROUND(SUMIF(บันทึกรายเที่ยว!$T$6:$T$10005,$U159,บันทึกรายเที่ยว!$J$6:$J$10005),2))</f>
        <v>0</v>
      </c>
      <c r="AG159">
        <f>IF($U159="",0,ROUND(SUMIF(บันทึกรายเที่ยว!$T$6:$T$10005,$U159,บันทึกรายเที่ยว!$K$6:$K$10005),2))</f>
        <v>0</v>
      </c>
      <c r="AH159">
        <f>IF($U159="",0,ROUND(SUMIF(บันทึกรายเที่ยว!$T$6:$T$10005,$U159,บันทึกรายเที่ยว!$M$6:$M$10005),2))</f>
        <v>0</v>
      </c>
    </row>
    <row r="160" spans="1:34" ht="21" customHeight="1" x14ac:dyDescent="0.95">
      <c r="A160" s="3" t="str">
        <f t="shared" si="28"/>
        <v/>
      </c>
      <c r="B160" s="3" t="str">
        <f t="shared" si="29"/>
        <v/>
      </c>
      <c r="C160" s="8" t="str">
        <f t="shared" si="30"/>
        <v/>
      </c>
      <c r="D160" s="31" t="str">
        <f t="shared" si="31"/>
        <v/>
      </c>
      <c r="E160" s="32" t="str">
        <f>IF(153=$AD$1+3,"ขอแสดงความนับถือ",IF(153=$AD$1+6,"(                 )",IF(153=$AD$1+7,"เจ้าหน้าที่ขนส่ง",IF($AB160="G",SUM($AF$8:$AF$407),IF(OR($AB160="",$AB160="R"),"",IF($AB160="D",INDEX($AF$8:$AF$407,$AA160),SUMIF($T$8:$T$407,INDEX($T$8:$T$407,$AA160),$AF$8:$AF$407)))))))</f>
        <v/>
      </c>
      <c r="F160" s="32" t="str">
        <f t="shared" si="32"/>
        <v/>
      </c>
      <c r="G160" s="32" t="str">
        <f t="shared" si="33"/>
        <v/>
      </c>
      <c r="H160" s="32" t="str">
        <f t="shared" si="34"/>
        <v/>
      </c>
      <c r="J160" t="str">
        <f>IFERROR(MATCH(153,บันทึกรายเที่ยว!$W$6:$W$10005,0),"")</f>
        <v/>
      </c>
      <c r="K160" t="str">
        <f>IF($J160="","",INDEX(บันทึกรายเที่ยว!$T$6:$T$10005,$J160))</f>
        <v/>
      </c>
      <c r="L160" t="str">
        <f>IF($J160="","",INDEX(บันทึกรายเที่ยว!$S$6:$S$10005,$J160))</f>
        <v/>
      </c>
      <c r="M160" t="str">
        <f>IF($J160="","",INDEX(บันทึกรายเที่ยว!$R$6:$R$10005,$J160))</f>
        <v/>
      </c>
      <c r="N160" t="str">
        <f>IF($J160="","",MATCH($M160,บันทึกรายเที่ยว!$R$6:$R$10005,0))</f>
        <v/>
      </c>
      <c r="O160" t="str">
        <f>IF($J160="","",MATCH($L160,บันทึกรายเที่ยว!$S$6:$S$10005,0))</f>
        <v/>
      </c>
      <c r="P160" t="str">
        <f>IF($J160="","",IF(AND(OR($I$3="(ทั้งหมด)",INDEX(บันทึกรายเที่ยว!$C$6:$C$10005,$J160)=$I$3),OR($I$5="(ทั้งหมด)",INDEX(บันทึกรายเที่ยว!$D$6:$D$10005,$J160)=$I$5),OR($I$7="(ทั้งหมด)",INDEX(บันทึกรายเที่ยว!$F$6:$F$10005,$J160)=$I$7)),$N160*10000000+$O160*1000+153,""))</f>
        <v/>
      </c>
      <c r="Q160" t="str">
        <f>IFERROR(MATCH(SMALL($P$8:$P$407,153),$P$8:$P$407,0),"")</f>
        <v/>
      </c>
      <c r="R160" t="str">
        <f t="shared" si="35"/>
        <v/>
      </c>
      <c r="S160" t="str">
        <f t="shared" si="36"/>
        <v/>
      </c>
      <c r="T160" t="str">
        <f t="shared" si="37"/>
        <v/>
      </c>
      <c r="U160" t="str">
        <f t="shared" si="38"/>
        <v/>
      </c>
      <c r="V160">
        <f t="shared" si="40"/>
        <v>0</v>
      </c>
      <c r="W160">
        <f t="shared" si="41"/>
        <v>0</v>
      </c>
      <c r="X160">
        <f>IF($Q160="",99999+153,$X159+1+$V159+$W159)</f>
        <v>100152</v>
      </c>
      <c r="Y160" t="str">
        <f>IF($Q160="","",INDEX(บันทึกรายเที่ยว!$Q$6:$Q$10005,$R160))</f>
        <v/>
      </c>
      <c r="Z160" t="str">
        <f>IF($Q160="","",INDEX(บันทึกรายเที่ยว!$F$6:$F$10005,$R160))</f>
        <v/>
      </c>
      <c r="AA160" t="str">
        <f>IFERROR(MATCH(153,$X$8:$X$407,1),"")</f>
        <v/>
      </c>
      <c r="AB160" t="str">
        <f>IF(153=$AD$1+1,"G",IF($AA160="","",IF(INDEX($Q$8:$Q$407,$AA160)="","",IF(153&gt;INDEX($X$8:$X$407,$AA160)+INDEX($V$8:$V$407,$AA160)+INDEX($W$8:$W$407,$AA160),"",IF(153=INDEX($X$8:$X$407,$AA160)+INDEX($V$8:$V$407,$AA160)+INDEX($W$8:$W$407,$AA160),"D",IF(AND(INDEX($W$8:$W$407,$AA160)=1,153=INDEX($X$8:$X$407,$AA160)+INDEX($V$8:$V$407,$AA160)),"S","R"))))))</f>
        <v/>
      </c>
      <c r="AC160" t="str">
        <f t="shared" si="39"/>
        <v/>
      </c>
      <c r="AE160">
        <f>IF($U160="",0,COUNTIF(บันทึกรายเที่ยว!$T$6:$T$10005,$U160))</f>
        <v>0</v>
      </c>
      <c r="AF160">
        <f>IF($U160="",0,ROUND(SUMIF(บันทึกรายเที่ยว!$T$6:$T$10005,$U160,บันทึกรายเที่ยว!$J$6:$J$10005),2))</f>
        <v>0</v>
      </c>
      <c r="AG160">
        <f>IF($U160="",0,ROUND(SUMIF(บันทึกรายเที่ยว!$T$6:$T$10005,$U160,บันทึกรายเที่ยว!$K$6:$K$10005),2))</f>
        <v>0</v>
      </c>
      <c r="AH160">
        <f>IF($U160="",0,ROUND(SUMIF(บันทึกรายเที่ยว!$T$6:$T$10005,$U160,บันทึกรายเที่ยว!$M$6:$M$10005),2))</f>
        <v>0</v>
      </c>
    </row>
    <row r="161" spans="1:34" ht="21" customHeight="1" x14ac:dyDescent="0.95">
      <c r="A161" s="3" t="str">
        <f t="shared" si="28"/>
        <v/>
      </c>
      <c r="B161" s="3" t="str">
        <f t="shared" si="29"/>
        <v/>
      </c>
      <c r="C161" s="8" t="str">
        <f t="shared" si="30"/>
        <v/>
      </c>
      <c r="D161" s="31" t="str">
        <f t="shared" si="31"/>
        <v/>
      </c>
      <c r="E161" s="32" t="str">
        <f>IF(154=$AD$1+3,"ขอแสดงความนับถือ",IF(154=$AD$1+6,"(                 )",IF(154=$AD$1+7,"เจ้าหน้าที่ขนส่ง",IF($AB161="G",SUM($AF$8:$AF$407),IF(OR($AB161="",$AB161="R"),"",IF($AB161="D",INDEX($AF$8:$AF$407,$AA161),SUMIF($T$8:$T$407,INDEX($T$8:$T$407,$AA161),$AF$8:$AF$407)))))))</f>
        <v/>
      </c>
      <c r="F161" s="32" t="str">
        <f t="shared" si="32"/>
        <v/>
      </c>
      <c r="G161" s="32" t="str">
        <f t="shared" si="33"/>
        <v/>
      </c>
      <c r="H161" s="32" t="str">
        <f t="shared" si="34"/>
        <v/>
      </c>
      <c r="J161" t="str">
        <f>IFERROR(MATCH(154,บันทึกรายเที่ยว!$W$6:$W$10005,0),"")</f>
        <v/>
      </c>
      <c r="K161" t="str">
        <f>IF($J161="","",INDEX(บันทึกรายเที่ยว!$T$6:$T$10005,$J161))</f>
        <v/>
      </c>
      <c r="L161" t="str">
        <f>IF($J161="","",INDEX(บันทึกรายเที่ยว!$S$6:$S$10005,$J161))</f>
        <v/>
      </c>
      <c r="M161" t="str">
        <f>IF($J161="","",INDEX(บันทึกรายเที่ยว!$R$6:$R$10005,$J161))</f>
        <v/>
      </c>
      <c r="N161" t="str">
        <f>IF($J161="","",MATCH($M161,บันทึกรายเที่ยว!$R$6:$R$10005,0))</f>
        <v/>
      </c>
      <c r="O161" t="str">
        <f>IF($J161="","",MATCH($L161,บันทึกรายเที่ยว!$S$6:$S$10005,0))</f>
        <v/>
      </c>
      <c r="P161" t="str">
        <f>IF($J161="","",IF(AND(OR($I$3="(ทั้งหมด)",INDEX(บันทึกรายเที่ยว!$C$6:$C$10005,$J161)=$I$3),OR($I$5="(ทั้งหมด)",INDEX(บันทึกรายเที่ยว!$D$6:$D$10005,$J161)=$I$5),OR($I$7="(ทั้งหมด)",INDEX(บันทึกรายเที่ยว!$F$6:$F$10005,$J161)=$I$7)),$N161*10000000+$O161*1000+154,""))</f>
        <v/>
      </c>
      <c r="Q161" t="str">
        <f>IFERROR(MATCH(SMALL($P$8:$P$407,154),$P$8:$P$407,0),"")</f>
        <v/>
      </c>
      <c r="R161" t="str">
        <f t="shared" si="35"/>
        <v/>
      </c>
      <c r="S161" t="str">
        <f t="shared" si="36"/>
        <v/>
      </c>
      <c r="T161" t="str">
        <f t="shared" si="37"/>
        <v/>
      </c>
      <c r="U161" t="str">
        <f t="shared" si="38"/>
        <v/>
      </c>
      <c r="V161">
        <f t="shared" si="40"/>
        <v>0</v>
      </c>
      <c r="W161">
        <f t="shared" si="41"/>
        <v>0</v>
      </c>
      <c r="X161">
        <f>IF($Q161="",99999+154,$X160+1+$V160+$W160)</f>
        <v>100153</v>
      </c>
      <c r="Y161" t="str">
        <f>IF($Q161="","",INDEX(บันทึกรายเที่ยว!$Q$6:$Q$10005,$R161))</f>
        <v/>
      </c>
      <c r="Z161" t="str">
        <f>IF($Q161="","",INDEX(บันทึกรายเที่ยว!$F$6:$F$10005,$R161))</f>
        <v/>
      </c>
      <c r="AA161" t="str">
        <f>IFERROR(MATCH(154,$X$8:$X$407,1),"")</f>
        <v/>
      </c>
      <c r="AB161" t="str">
        <f>IF(154=$AD$1+1,"G",IF($AA161="","",IF(INDEX($Q$8:$Q$407,$AA161)="","",IF(154&gt;INDEX($X$8:$X$407,$AA161)+INDEX($V$8:$V$407,$AA161)+INDEX($W$8:$W$407,$AA161),"",IF(154=INDEX($X$8:$X$407,$AA161)+INDEX($V$8:$V$407,$AA161)+INDEX($W$8:$W$407,$AA161),"D",IF(AND(INDEX($W$8:$W$407,$AA161)=1,154=INDEX($X$8:$X$407,$AA161)+INDEX($V$8:$V$407,$AA161)),"S","R"))))))</f>
        <v/>
      </c>
      <c r="AC161" t="str">
        <f t="shared" si="39"/>
        <v/>
      </c>
      <c r="AE161">
        <f>IF($U161="",0,COUNTIF(บันทึกรายเที่ยว!$T$6:$T$10005,$U161))</f>
        <v>0</v>
      </c>
      <c r="AF161">
        <f>IF($U161="",0,ROUND(SUMIF(บันทึกรายเที่ยว!$T$6:$T$10005,$U161,บันทึกรายเที่ยว!$J$6:$J$10005),2))</f>
        <v>0</v>
      </c>
      <c r="AG161">
        <f>IF($U161="",0,ROUND(SUMIF(บันทึกรายเที่ยว!$T$6:$T$10005,$U161,บันทึกรายเที่ยว!$K$6:$K$10005),2))</f>
        <v>0</v>
      </c>
      <c r="AH161">
        <f>IF($U161="",0,ROUND(SUMIF(บันทึกรายเที่ยว!$T$6:$T$10005,$U161,บันทึกรายเที่ยว!$M$6:$M$10005),2))</f>
        <v>0</v>
      </c>
    </row>
    <row r="162" spans="1:34" ht="21" customHeight="1" x14ac:dyDescent="0.95">
      <c r="A162" s="3" t="str">
        <f t="shared" si="28"/>
        <v/>
      </c>
      <c r="B162" s="3" t="str">
        <f t="shared" si="29"/>
        <v/>
      </c>
      <c r="C162" s="8" t="str">
        <f t="shared" si="30"/>
        <v/>
      </c>
      <c r="D162" s="31" t="str">
        <f t="shared" si="31"/>
        <v/>
      </c>
      <c r="E162" s="32" t="str">
        <f>IF(155=$AD$1+3,"ขอแสดงความนับถือ",IF(155=$AD$1+6,"(                 )",IF(155=$AD$1+7,"เจ้าหน้าที่ขนส่ง",IF($AB162="G",SUM($AF$8:$AF$407),IF(OR($AB162="",$AB162="R"),"",IF($AB162="D",INDEX($AF$8:$AF$407,$AA162),SUMIF($T$8:$T$407,INDEX($T$8:$T$407,$AA162),$AF$8:$AF$407)))))))</f>
        <v/>
      </c>
      <c r="F162" s="32" t="str">
        <f t="shared" si="32"/>
        <v/>
      </c>
      <c r="G162" s="32" t="str">
        <f t="shared" si="33"/>
        <v/>
      </c>
      <c r="H162" s="32" t="str">
        <f t="shared" si="34"/>
        <v/>
      </c>
      <c r="J162" t="str">
        <f>IFERROR(MATCH(155,บันทึกรายเที่ยว!$W$6:$W$10005,0),"")</f>
        <v/>
      </c>
      <c r="K162" t="str">
        <f>IF($J162="","",INDEX(บันทึกรายเที่ยว!$T$6:$T$10005,$J162))</f>
        <v/>
      </c>
      <c r="L162" t="str">
        <f>IF($J162="","",INDEX(บันทึกรายเที่ยว!$S$6:$S$10005,$J162))</f>
        <v/>
      </c>
      <c r="M162" t="str">
        <f>IF($J162="","",INDEX(บันทึกรายเที่ยว!$R$6:$R$10005,$J162))</f>
        <v/>
      </c>
      <c r="N162" t="str">
        <f>IF($J162="","",MATCH($M162,บันทึกรายเที่ยว!$R$6:$R$10005,0))</f>
        <v/>
      </c>
      <c r="O162" t="str">
        <f>IF($J162="","",MATCH($L162,บันทึกรายเที่ยว!$S$6:$S$10005,0))</f>
        <v/>
      </c>
      <c r="P162" t="str">
        <f>IF($J162="","",IF(AND(OR($I$3="(ทั้งหมด)",INDEX(บันทึกรายเที่ยว!$C$6:$C$10005,$J162)=$I$3),OR($I$5="(ทั้งหมด)",INDEX(บันทึกรายเที่ยว!$D$6:$D$10005,$J162)=$I$5),OR($I$7="(ทั้งหมด)",INDEX(บันทึกรายเที่ยว!$F$6:$F$10005,$J162)=$I$7)),$N162*10000000+$O162*1000+155,""))</f>
        <v/>
      </c>
      <c r="Q162" t="str">
        <f>IFERROR(MATCH(SMALL($P$8:$P$407,155),$P$8:$P$407,0),"")</f>
        <v/>
      </c>
      <c r="R162" t="str">
        <f t="shared" si="35"/>
        <v/>
      </c>
      <c r="S162" t="str">
        <f t="shared" si="36"/>
        <v/>
      </c>
      <c r="T162" t="str">
        <f t="shared" si="37"/>
        <v/>
      </c>
      <c r="U162" t="str">
        <f t="shared" si="38"/>
        <v/>
      </c>
      <c r="V162">
        <f t="shared" si="40"/>
        <v>0</v>
      </c>
      <c r="W162">
        <f t="shared" si="41"/>
        <v>0</v>
      </c>
      <c r="X162">
        <f>IF($Q162="",99999+155,$X161+1+$V161+$W161)</f>
        <v>100154</v>
      </c>
      <c r="Y162" t="str">
        <f>IF($Q162="","",INDEX(บันทึกรายเที่ยว!$Q$6:$Q$10005,$R162))</f>
        <v/>
      </c>
      <c r="Z162" t="str">
        <f>IF($Q162="","",INDEX(บันทึกรายเที่ยว!$F$6:$F$10005,$R162))</f>
        <v/>
      </c>
      <c r="AA162" t="str">
        <f>IFERROR(MATCH(155,$X$8:$X$407,1),"")</f>
        <v/>
      </c>
      <c r="AB162" t="str">
        <f>IF(155=$AD$1+1,"G",IF($AA162="","",IF(INDEX($Q$8:$Q$407,$AA162)="","",IF(155&gt;INDEX($X$8:$X$407,$AA162)+INDEX($V$8:$V$407,$AA162)+INDEX($W$8:$W$407,$AA162),"",IF(155=INDEX($X$8:$X$407,$AA162)+INDEX($V$8:$V$407,$AA162)+INDEX($W$8:$W$407,$AA162),"D",IF(AND(INDEX($W$8:$W$407,$AA162)=1,155=INDEX($X$8:$X$407,$AA162)+INDEX($V$8:$V$407,$AA162)),"S","R"))))))</f>
        <v/>
      </c>
      <c r="AC162" t="str">
        <f t="shared" si="39"/>
        <v/>
      </c>
      <c r="AE162">
        <f>IF($U162="",0,COUNTIF(บันทึกรายเที่ยว!$T$6:$T$10005,$U162))</f>
        <v>0</v>
      </c>
      <c r="AF162">
        <f>IF($U162="",0,ROUND(SUMIF(บันทึกรายเที่ยว!$T$6:$T$10005,$U162,บันทึกรายเที่ยว!$J$6:$J$10005),2))</f>
        <v>0</v>
      </c>
      <c r="AG162">
        <f>IF($U162="",0,ROUND(SUMIF(บันทึกรายเที่ยว!$T$6:$T$10005,$U162,บันทึกรายเที่ยว!$K$6:$K$10005),2))</f>
        <v>0</v>
      </c>
      <c r="AH162">
        <f>IF($U162="",0,ROUND(SUMIF(บันทึกรายเที่ยว!$T$6:$T$10005,$U162,บันทึกรายเที่ยว!$M$6:$M$10005),2))</f>
        <v>0</v>
      </c>
    </row>
    <row r="163" spans="1:34" ht="21" customHeight="1" x14ac:dyDescent="0.95">
      <c r="A163" s="3" t="str">
        <f t="shared" si="28"/>
        <v/>
      </c>
      <c r="B163" s="3" t="str">
        <f t="shared" si="29"/>
        <v/>
      </c>
      <c r="C163" s="8" t="str">
        <f t="shared" si="30"/>
        <v/>
      </c>
      <c r="D163" s="31" t="str">
        <f t="shared" si="31"/>
        <v/>
      </c>
      <c r="E163" s="32" t="str">
        <f>IF(156=$AD$1+3,"ขอแสดงความนับถือ",IF(156=$AD$1+6,"(                 )",IF(156=$AD$1+7,"เจ้าหน้าที่ขนส่ง",IF($AB163="G",SUM($AF$8:$AF$407),IF(OR($AB163="",$AB163="R"),"",IF($AB163="D",INDEX($AF$8:$AF$407,$AA163),SUMIF($T$8:$T$407,INDEX($T$8:$T$407,$AA163),$AF$8:$AF$407)))))))</f>
        <v/>
      </c>
      <c r="F163" s="32" t="str">
        <f t="shared" si="32"/>
        <v/>
      </c>
      <c r="G163" s="32" t="str">
        <f t="shared" si="33"/>
        <v/>
      </c>
      <c r="H163" s="32" t="str">
        <f t="shared" si="34"/>
        <v/>
      </c>
      <c r="J163" t="str">
        <f>IFERROR(MATCH(156,บันทึกรายเที่ยว!$W$6:$W$10005,0),"")</f>
        <v/>
      </c>
      <c r="K163" t="str">
        <f>IF($J163="","",INDEX(บันทึกรายเที่ยว!$T$6:$T$10005,$J163))</f>
        <v/>
      </c>
      <c r="L163" t="str">
        <f>IF($J163="","",INDEX(บันทึกรายเที่ยว!$S$6:$S$10005,$J163))</f>
        <v/>
      </c>
      <c r="M163" t="str">
        <f>IF($J163="","",INDEX(บันทึกรายเที่ยว!$R$6:$R$10005,$J163))</f>
        <v/>
      </c>
      <c r="N163" t="str">
        <f>IF($J163="","",MATCH($M163,บันทึกรายเที่ยว!$R$6:$R$10005,0))</f>
        <v/>
      </c>
      <c r="O163" t="str">
        <f>IF($J163="","",MATCH($L163,บันทึกรายเที่ยว!$S$6:$S$10005,0))</f>
        <v/>
      </c>
      <c r="P163" t="str">
        <f>IF($J163="","",IF(AND(OR($I$3="(ทั้งหมด)",INDEX(บันทึกรายเที่ยว!$C$6:$C$10005,$J163)=$I$3),OR($I$5="(ทั้งหมด)",INDEX(บันทึกรายเที่ยว!$D$6:$D$10005,$J163)=$I$5),OR($I$7="(ทั้งหมด)",INDEX(บันทึกรายเที่ยว!$F$6:$F$10005,$J163)=$I$7)),$N163*10000000+$O163*1000+156,""))</f>
        <v/>
      </c>
      <c r="Q163" t="str">
        <f>IFERROR(MATCH(SMALL($P$8:$P$407,156),$P$8:$P$407,0),"")</f>
        <v/>
      </c>
      <c r="R163" t="str">
        <f t="shared" si="35"/>
        <v/>
      </c>
      <c r="S163" t="str">
        <f t="shared" si="36"/>
        <v/>
      </c>
      <c r="T163" t="str">
        <f t="shared" si="37"/>
        <v/>
      </c>
      <c r="U163" t="str">
        <f t="shared" si="38"/>
        <v/>
      </c>
      <c r="V163">
        <f t="shared" si="40"/>
        <v>0</v>
      </c>
      <c r="W163">
        <f t="shared" si="41"/>
        <v>0</v>
      </c>
      <c r="X163">
        <f>IF($Q163="",99999+156,$X162+1+$V162+$W162)</f>
        <v>100155</v>
      </c>
      <c r="Y163" t="str">
        <f>IF($Q163="","",INDEX(บันทึกรายเที่ยว!$Q$6:$Q$10005,$R163))</f>
        <v/>
      </c>
      <c r="Z163" t="str">
        <f>IF($Q163="","",INDEX(บันทึกรายเที่ยว!$F$6:$F$10005,$R163))</f>
        <v/>
      </c>
      <c r="AA163" t="str">
        <f>IFERROR(MATCH(156,$X$8:$X$407,1),"")</f>
        <v/>
      </c>
      <c r="AB163" t="str">
        <f>IF(156=$AD$1+1,"G",IF($AA163="","",IF(INDEX($Q$8:$Q$407,$AA163)="","",IF(156&gt;INDEX($X$8:$X$407,$AA163)+INDEX($V$8:$V$407,$AA163)+INDEX($W$8:$W$407,$AA163),"",IF(156=INDEX($X$8:$X$407,$AA163)+INDEX($V$8:$V$407,$AA163)+INDEX($W$8:$W$407,$AA163),"D",IF(AND(INDEX($W$8:$W$407,$AA163)=1,156=INDEX($X$8:$X$407,$AA163)+INDEX($V$8:$V$407,$AA163)),"S","R"))))))</f>
        <v/>
      </c>
      <c r="AC163" t="str">
        <f t="shared" si="39"/>
        <v/>
      </c>
      <c r="AE163">
        <f>IF($U163="",0,COUNTIF(บันทึกรายเที่ยว!$T$6:$T$10005,$U163))</f>
        <v>0</v>
      </c>
      <c r="AF163">
        <f>IF($U163="",0,ROUND(SUMIF(บันทึกรายเที่ยว!$T$6:$T$10005,$U163,บันทึกรายเที่ยว!$J$6:$J$10005),2))</f>
        <v>0</v>
      </c>
      <c r="AG163">
        <f>IF($U163="",0,ROUND(SUMIF(บันทึกรายเที่ยว!$T$6:$T$10005,$U163,บันทึกรายเที่ยว!$K$6:$K$10005),2))</f>
        <v>0</v>
      </c>
      <c r="AH163">
        <f>IF($U163="",0,ROUND(SUMIF(บันทึกรายเที่ยว!$T$6:$T$10005,$U163,บันทึกรายเที่ยว!$M$6:$M$10005),2))</f>
        <v>0</v>
      </c>
    </row>
    <row r="164" spans="1:34" ht="21" customHeight="1" x14ac:dyDescent="0.95">
      <c r="A164" s="3" t="str">
        <f t="shared" si="28"/>
        <v/>
      </c>
      <c r="B164" s="3" t="str">
        <f t="shared" si="29"/>
        <v/>
      </c>
      <c r="C164" s="8" t="str">
        <f t="shared" si="30"/>
        <v/>
      </c>
      <c r="D164" s="31" t="str">
        <f t="shared" si="31"/>
        <v/>
      </c>
      <c r="E164" s="32" t="str">
        <f>IF(157=$AD$1+3,"ขอแสดงความนับถือ",IF(157=$AD$1+6,"(                 )",IF(157=$AD$1+7,"เจ้าหน้าที่ขนส่ง",IF($AB164="G",SUM($AF$8:$AF$407),IF(OR($AB164="",$AB164="R"),"",IF($AB164="D",INDEX($AF$8:$AF$407,$AA164),SUMIF($T$8:$T$407,INDEX($T$8:$T$407,$AA164),$AF$8:$AF$407)))))))</f>
        <v/>
      </c>
      <c r="F164" s="32" t="str">
        <f t="shared" si="32"/>
        <v/>
      </c>
      <c r="G164" s="32" t="str">
        <f t="shared" si="33"/>
        <v/>
      </c>
      <c r="H164" s="32" t="str">
        <f t="shared" si="34"/>
        <v/>
      </c>
      <c r="J164" t="str">
        <f>IFERROR(MATCH(157,บันทึกรายเที่ยว!$W$6:$W$10005,0),"")</f>
        <v/>
      </c>
      <c r="K164" t="str">
        <f>IF($J164="","",INDEX(บันทึกรายเที่ยว!$T$6:$T$10005,$J164))</f>
        <v/>
      </c>
      <c r="L164" t="str">
        <f>IF($J164="","",INDEX(บันทึกรายเที่ยว!$S$6:$S$10005,$J164))</f>
        <v/>
      </c>
      <c r="M164" t="str">
        <f>IF($J164="","",INDEX(บันทึกรายเที่ยว!$R$6:$R$10005,$J164))</f>
        <v/>
      </c>
      <c r="N164" t="str">
        <f>IF($J164="","",MATCH($M164,บันทึกรายเที่ยว!$R$6:$R$10005,0))</f>
        <v/>
      </c>
      <c r="O164" t="str">
        <f>IF($J164="","",MATCH($L164,บันทึกรายเที่ยว!$S$6:$S$10005,0))</f>
        <v/>
      </c>
      <c r="P164" t="str">
        <f>IF($J164="","",IF(AND(OR($I$3="(ทั้งหมด)",INDEX(บันทึกรายเที่ยว!$C$6:$C$10005,$J164)=$I$3),OR($I$5="(ทั้งหมด)",INDEX(บันทึกรายเที่ยว!$D$6:$D$10005,$J164)=$I$5),OR($I$7="(ทั้งหมด)",INDEX(บันทึกรายเที่ยว!$F$6:$F$10005,$J164)=$I$7)),$N164*10000000+$O164*1000+157,""))</f>
        <v/>
      </c>
      <c r="Q164" t="str">
        <f>IFERROR(MATCH(SMALL($P$8:$P$407,157),$P$8:$P$407,0),"")</f>
        <v/>
      </c>
      <c r="R164" t="str">
        <f t="shared" si="35"/>
        <v/>
      </c>
      <c r="S164" t="str">
        <f t="shared" si="36"/>
        <v/>
      </c>
      <c r="T164" t="str">
        <f t="shared" si="37"/>
        <v/>
      </c>
      <c r="U164" t="str">
        <f t="shared" si="38"/>
        <v/>
      </c>
      <c r="V164">
        <f t="shared" si="40"/>
        <v>0</v>
      </c>
      <c r="W164">
        <f t="shared" si="41"/>
        <v>0</v>
      </c>
      <c r="X164">
        <f>IF($Q164="",99999+157,$X163+1+$V163+$W163)</f>
        <v>100156</v>
      </c>
      <c r="Y164" t="str">
        <f>IF($Q164="","",INDEX(บันทึกรายเที่ยว!$Q$6:$Q$10005,$R164))</f>
        <v/>
      </c>
      <c r="Z164" t="str">
        <f>IF($Q164="","",INDEX(บันทึกรายเที่ยว!$F$6:$F$10005,$R164))</f>
        <v/>
      </c>
      <c r="AA164" t="str">
        <f>IFERROR(MATCH(157,$X$8:$X$407,1),"")</f>
        <v/>
      </c>
      <c r="AB164" t="str">
        <f>IF(157=$AD$1+1,"G",IF($AA164="","",IF(INDEX($Q$8:$Q$407,$AA164)="","",IF(157&gt;INDEX($X$8:$X$407,$AA164)+INDEX($V$8:$V$407,$AA164)+INDEX($W$8:$W$407,$AA164),"",IF(157=INDEX($X$8:$X$407,$AA164)+INDEX($V$8:$V$407,$AA164)+INDEX($W$8:$W$407,$AA164),"D",IF(AND(INDEX($W$8:$W$407,$AA164)=1,157=INDEX($X$8:$X$407,$AA164)+INDEX($V$8:$V$407,$AA164)),"S","R"))))))</f>
        <v/>
      </c>
      <c r="AC164" t="str">
        <f t="shared" si="39"/>
        <v/>
      </c>
      <c r="AE164">
        <f>IF($U164="",0,COUNTIF(บันทึกรายเที่ยว!$T$6:$T$10005,$U164))</f>
        <v>0</v>
      </c>
      <c r="AF164">
        <f>IF($U164="",0,ROUND(SUMIF(บันทึกรายเที่ยว!$T$6:$T$10005,$U164,บันทึกรายเที่ยว!$J$6:$J$10005),2))</f>
        <v>0</v>
      </c>
      <c r="AG164">
        <f>IF($U164="",0,ROUND(SUMIF(บันทึกรายเที่ยว!$T$6:$T$10005,$U164,บันทึกรายเที่ยว!$K$6:$K$10005),2))</f>
        <v>0</v>
      </c>
      <c r="AH164">
        <f>IF($U164="",0,ROUND(SUMIF(บันทึกรายเที่ยว!$T$6:$T$10005,$U164,บันทึกรายเที่ยว!$M$6:$M$10005),2))</f>
        <v>0</v>
      </c>
    </row>
    <row r="165" spans="1:34" ht="21" customHeight="1" x14ac:dyDescent="0.95">
      <c r="A165" s="3" t="str">
        <f t="shared" si="28"/>
        <v/>
      </c>
      <c r="B165" s="3" t="str">
        <f t="shared" si="29"/>
        <v/>
      </c>
      <c r="C165" s="8" t="str">
        <f t="shared" si="30"/>
        <v/>
      </c>
      <c r="D165" s="31" t="str">
        <f t="shared" si="31"/>
        <v/>
      </c>
      <c r="E165" s="32" t="str">
        <f>IF(158=$AD$1+3,"ขอแสดงความนับถือ",IF(158=$AD$1+6,"(                 )",IF(158=$AD$1+7,"เจ้าหน้าที่ขนส่ง",IF($AB165="G",SUM($AF$8:$AF$407),IF(OR($AB165="",$AB165="R"),"",IF($AB165="D",INDEX($AF$8:$AF$407,$AA165),SUMIF($T$8:$T$407,INDEX($T$8:$T$407,$AA165),$AF$8:$AF$407)))))))</f>
        <v/>
      </c>
      <c r="F165" s="32" t="str">
        <f t="shared" si="32"/>
        <v/>
      </c>
      <c r="G165" s="32" t="str">
        <f t="shared" si="33"/>
        <v/>
      </c>
      <c r="H165" s="32" t="str">
        <f t="shared" si="34"/>
        <v/>
      </c>
      <c r="J165" t="str">
        <f>IFERROR(MATCH(158,บันทึกรายเที่ยว!$W$6:$W$10005,0),"")</f>
        <v/>
      </c>
      <c r="K165" t="str">
        <f>IF($J165="","",INDEX(บันทึกรายเที่ยว!$T$6:$T$10005,$J165))</f>
        <v/>
      </c>
      <c r="L165" t="str">
        <f>IF($J165="","",INDEX(บันทึกรายเที่ยว!$S$6:$S$10005,$J165))</f>
        <v/>
      </c>
      <c r="M165" t="str">
        <f>IF($J165="","",INDEX(บันทึกรายเที่ยว!$R$6:$R$10005,$J165))</f>
        <v/>
      </c>
      <c r="N165" t="str">
        <f>IF($J165="","",MATCH($M165,บันทึกรายเที่ยว!$R$6:$R$10005,0))</f>
        <v/>
      </c>
      <c r="O165" t="str">
        <f>IF($J165="","",MATCH($L165,บันทึกรายเที่ยว!$S$6:$S$10005,0))</f>
        <v/>
      </c>
      <c r="P165" t="str">
        <f>IF($J165="","",IF(AND(OR($I$3="(ทั้งหมด)",INDEX(บันทึกรายเที่ยว!$C$6:$C$10005,$J165)=$I$3),OR($I$5="(ทั้งหมด)",INDEX(บันทึกรายเที่ยว!$D$6:$D$10005,$J165)=$I$5),OR($I$7="(ทั้งหมด)",INDEX(บันทึกรายเที่ยว!$F$6:$F$10005,$J165)=$I$7)),$N165*10000000+$O165*1000+158,""))</f>
        <v/>
      </c>
      <c r="Q165" t="str">
        <f>IFERROR(MATCH(SMALL($P$8:$P$407,158),$P$8:$P$407,0),"")</f>
        <v/>
      </c>
      <c r="R165" t="str">
        <f t="shared" si="35"/>
        <v/>
      </c>
      <c r="S165" t="str">
        <f t="shared" si="36"/>
        <v/>
      </c>
      <c r="T165" t="str">
        <f t="shared" si="37"/>
        <v/>
      </c>
      <c r="U165" t="str">
        <f t="shared" si="38"/>
        <v/>
      </c>
      <c r="V165">
        <f t="shared" si="40"/>
        <v>0</v>
      </c>
      <c r="W165">
        <f t="shared" si="41"/>
        <v>0</v>
      </c>
      <c r="X165">
        <f>IF($Q165="",99999+158,$X164+1+$V164+$W164)</f>
        <v>100157</v>
      </c>
      <c r="Y165" t="str">
        <f>IF($Q165="","",INDEX(บันทึกรายเที่ยว!$Q$6:$Q$10005,$R165))</f>
        <v/>
      </c>
      <c r="Z165" t="str">
        <f>IF($Q165="","",INDEX(บันทึกรายเที่ยว!$F$6:$F$10005,$R165))</f>
        <v/>
      </c>
      <c r="AA165" t="str">
        <f>IFERROR(MATCH(158,$X$8:$X$407,1),"")</f>
        <v/>
      </c>
      <c r="AB165" t="str">
        <f>IF(158=$AD$1+1,"G",IF($AA165="","",IF(INDEX($Q$8:$Q$407,$AA165)="","",IF(158&gt;INDEX($X$8:$X$407,$AA165)+INDEX($V$8:$V$407,$AA165)+INDEX($W$8:$W$407,$AA165),"",IF(158=INDEX($X$8:$X$407,$AA165)+INDEX($V$8:$V$407,$AA165)+INDEX($W$8:$W$407,$AA165),"D",IF(AND(INDEX($W$8:$W$407,$AA165)=1,158=INDEX($X$8:$X$407,$AA165)+INDEX($V$8:$V$407,$AA165)),"S","R"))))))</f>
        <v/>
      </c>
      <c r="AC165" t="str">
        <f t="shared" si="39"/>
        <v/>
      </c>
      <c r="AE165">
        <f>IF($U165="",0,COUNTIF(บันทึกรายเที่ยว!$T$6:$T$10005,$U165))</f>
        <v>0</v>
      </c>
      <c r="AF165">
        <f>IF($U165="",0,ROUND(SUMIF(บันทึกรายเที่ยว!$T$6:$T$10005,$U165,บันทึกรายเที่ยว!$J$6:$J$10005),2))</f>
        <v>0</v>
      </c>
      <c r="AG165">
        <f>IF($U165="",0,ROUND(SUMIF(บันทึกรายเที่ยว!$T$6:$T$10005,$U165,บันทึกรายเที่ยว!$K$6:$K$10005),2))</f>
        <v>0</v>
      </c>
      <c r="AH165">
        <f>IF($U165="",0,ROUND(SUMIF(บันทึกรายเที่ยว!$T$6:$T$10005,$U165,บันทึกรายเที่ยว!$M$6:$M$10005),2))</f>
        <v>0</v>
      </c>
    </row>
    <row r="166" spans="1:34" ht="21" customHeight="1" x14ac:dyDescent="0.95">
      <c r="A166" s="3" t="str">
        <f t="shared" si="28"/>
        <v/>
      </c>
      <c r="B166" s="3" t="str">
        <f t="shared" si="29"/>
        <v/>
      </c>
      <c r="C166" s="8" t="str">
        <f t="shared" si="30"/>
        <v/>
      </c>
      <c r="D166" s="31" t="str">
        <f t="shared" si="31"/>
        <v/>
      </c>
      <c r="E166" s="32" t="str">
        <f>IF(159=$AD$1+3,"ขอแสดงความนับถือ",IF(159=$AD$1+6,"(                 )",IF(159=$AD$1+7,"เจ้าหน้าที่ขนส่ง",IF($AB166="G",SUM($AF$8:$AF$407),IF(OR($AB166="",$AB166="R"),"",IF($AB166="D",INDEX($AF$8:$AF$407,$AA166),SUMIF($T$8:$T$407,INDEX($T$8:$T$407,$AA166),$AF$8:$AF$407)))))))</f>
        <v/>
      </c>
      <c r="F166" s="32" t="str">
        <f t="shared" si="32"/>
        <v/>
      </c>
      <c r="G166" s="32" t="str">
        <f t="shared" si="33"/>
        <v/>
      </c>
      <c r="H166" s="32" t="str">
        <f t="shared" si="34"/>
        <v/>
      </c>
      <c r="J166" t="str">
        <f>IFERROR(MATCH(159,บันทึกรายเที่ยว!$W$6:$W$10005,0),"")</f>
        <v/>
      </c>
      <c r="K166" t="str">
        <f>IF($J166="","",INDEX(บันทึกรายเที่ยว!$T$6:$T$10005,$J166))</f>
        <v/>
      </c>
      <c r="L166" t="str">
        <f>IF($J166="","",INDEX(บันทึกรายเที่ยว!$S$6:$S$10005,$J166))</f>
        <v/>
      </c>
      <c r="M166" t="str">
        <f>IF($J166="","",INDEX(บันทึกรายเที่ยว!$R$6:$R$10005,$J166))</f>
        <v/>
      </c>
      <c r="N166" t="str">
        <f>IF($J166="","",MATCH($M166,บันทึกรายเที่ยว!$R$6:$R$10005,0))</f>
        <v/>
      </c>
      <c r="O166" t="str">
        <f>IF($J166="","",MATCH($L166,บันทึกรายเที่ยว!$S$6:$S$10005,0))</f>
        <v/>
      </c>
      <c r="P166" t="str">
        <f>IF($J166="","",IF(AND(OR($I$3="(ทั้งหมด)",INDEX(บันทึกรายเที่ยว!$C$6:$C$10005,$J166)=$I$3),OR($I$5="(ทั้งหมด)",INDEX(บันทึกรายเที่ยว!$D$6:$D$10005,$J166)=$I$5),OR($I$7="(ทั้งหมด)",INDEX(บันทึกรายเที่ยว!$F$6:$F$10005,$J166)=$I$7)),$N166*10000000+$O166*1000+159,""))</f>
        <v/>
      </c>
      <c r="Q166" t="str">
        <f>IFERROR(MATCH(SMALL($P$8:$P$407,159),$P$8:$P$407,0),"")</f>
        <v/>
      </c>
      <c r="R166" t="str">
        <f t="shared" si="35"/>
        <v/>
      </c>
      <c r="S166" t="str">
        <f t="shared" si="36"/>
        <v/>
      </c>
      <c r="T166" t="str">
        <f t="shared" si="37"/>
        <v/>
      </c>
      <c r="U166" t="str">
        <f t="shared" si="38"/>
        <v/>
      </c>
      <c r="V166">
        <f t="shared" si="40"/>
        <v>0</v>
      </c>
      <c r="W166">
        <f t="shared" si="41"/>
        <v>0</v>
      </c>
      <c r="X166">
        <f>IF($Q166="",99999+159,$X165+1+$V165+$W165)</f>
        <v>100158</v>
      </c>
      <c r="Y166" t="str">
        <f>IF($Q166="","",INDEX(บันทึกรายเที่ยว!$Q$6:$Q$10005,$R166))</f>
        <v/>
      </c>
      <c r="Z166" t="str">
        <f>IF($Q166="","",INDEX(บันทึกรายเที่ยว!$F$6:$F$10005,$R166))</f>
        <v/>
      </c>
      <c r="AA166" t="str">
        <f>IFERROR(MATCH(159,$X$8:$X$407,1),"")</f>
        <v/>
      </c>
      <c r="AB166" t="str">
        <f>IF(159=$AD$1+1,"G",IF($AA166="","",IF(INDEX($Q$8:$Q$407,$AA166)="","",IF(159&gt;INDEX($X$8:$X$407,$AA166)+INDEX($V$8:$V$407,$AA166)+INDEX($W$8:$W$407,$AA166),"",IF(159=INDEX($X$8:$X$407,$AA166)+INDEX($V$8:$V$407,$AA166)+INDEX($W$8:$W$407,$AA166),"D",IF(AND(INDEX($W$8:$W$407,$AA166)=1,159=INDEX($X$8:$X$407,$AA166)+INDEX($V$8:$V$407,$AA166)),"S","R"))))))</f>
        <v/>
      </c>
      <c r="AC166" t="str">
        <f t="shared" si="39"/>
        <v/>
      </c>
      <c r="AE166">
        <f>IF($U166="",0,COUNTIF(บันทึกรายเที่ยว!$T$6:$T$10005,$U166))</f>
        <v>0</v>
      </c>
      <c r="AF166">
        <f>IF($U166="",0,ROUND(SUMIF(บันทึกรายเที่ยว!$T$6:$T$10005,$U166,บันทึกรายเที่ยว!$J$6:$J$10005),2))</f>
        <v>0</v>
      </c>
      <c r="AG166">
        <f>IF($U166="",0,ROUND(SUMIF(บันทึกรายเที่ยว!$T$6:$T$10005,$U166,บันทึกรายเที่ยว!$K$6:$K$10005),2))</f>
        <v>0</v>
      </c>
      <c r="AH166">
        <f>IF($U166="",0,ROUND(SUMIF(บันทึกรายเที่ยว!$T$6:$T$10005,$U166,บันทึกรายเที่ยว!$M$6:$M$10005),2))</f>
        <v>0</v>
      </c>
    </row>
    <row r="167" spans="1:34" ht="21" customHeight="1" x14ac:dyDescent="0.95">
      <c r="A167" s="3" t="str">
        <f t="shared" si="28"/>
        <v/>
      </c>
      <c r="B167" s="3" t="str">
        <f t="shared" si="29"/>
        <v/>
      </c>
      <c r="C167" s="8" t="str">
        <f t="shared" si="30"/>
        <v/>
      </c>
      <c r="D167" s="31" t="str">
        <f t="shared" si="31"/>
        <v/>
      </c>
      <c r="E167" s="32" t="str">
        <f>IF(160=$AD$1+3,"ขอแสดงความนับถือ",IF(160=$AD$1+6,"(                 )",IF(160=$AD$1+7,"เจ้าหน้าที่ขนส่ง",IF($AB167="G",SUM($AF$8:$AF$407),IF(OR($AB167="",$AB167="R"),"",IF($AB167="D",INDEX($AF$8:$AF$407,$AA167),SUMIF($T$8:$T$407,INDEX($T$8:$T$407,$AA167),$AF$8:$AF$407)))))))</f>
        <v/>
      </c>
      <c r="F167" s="32" t="str">
        <f t="shared" si="32"/>
        <v/>
      </c>
      <c r="G167" s="32" t="str">
        <f t="shared" si="33"/>
        <v/>
      </c>
      <c r="H167" s="32" t="str">
        <f t="shared" si="34"/>
        <v/>
      </c>
      <c r="J167" t="str">
        <f>IFERROR(MATCH(160,บันทึกรายเที่ยว!$W$6:$W$10005,0),"")</f>
        <v/>
      </c>
      <c r="K167" t="str">
        <f>IF($J167="","",INDEX(บันทึกรายเที่ยว!$T$6:$T$10005,$J167))</f>
        <v/>
      </c>
      <c r="L167" t="str">
        <f>IF($J167="","",INDEX(บันทึกรายเที่ยว!$S$6:$S$10005,$J167))</f>
        <v/>
      </c>
      <c r="M167" t="str">
        <f>IF($J167="","",INDEX(บันทึกรายเที่ยว!$R$6:$R$10005,$J167))</f>
        <v/>
      </c>
      <c r="N167" t="str">
        <f>IF($J167="","",MATCH($M167,บันทึกรายเที่ยว!$R$6:$R$10005,0))</f>
        <v/>
      </c>
      <c r="O167" t="str">
        <f>IF($J167="","",MATCH($L167,บันทึกรายเที่ยว!$S$6:$S$10005,0))</f>
        <v/>
      </c>
      <c r="P167" t="str">
        <f>IF($J167="","",IF(AND(OR($I$3="(ทั้งหมด)",INDEX(บันทึกรายเที่ยว!$C$6:$C$10005,$J167)=$I$3),OR($I$5="(ทั้งหมด)",INDEX(บันทึกรายเที่ยว!$D$6:$D$10005,$J167)=$I$5),OR($I$7="(ทั้งหมด)",INDEX(บันทึกรายเที่ยว!$F$6:$F$10005,$J167)=$I$7)),$N167*10000000+$O167*1000+160,""))</f>
        <v/>
      </c>
      <c r="Q167" t="str">
        <f>IFERROR(MATCH(SMALL($P$8:$P$407,160),$P$8:$P$407,0),"")</f>
        <v/>
      </c>
      <c r="R167" t="str">
        <f t="shared" si="35"/>
        <v/>
      </c>
      <c r="S167" t="str">
        <f t="shared" si="36"/>
        <v/>
      </c>
      <c r="T167" t="str">
        <f t="shared" si="37"/>
        <v/>
      </c>
      <c r="U167" t="str">
        <f t="shared" si="38"/>
        <v/>
      </c>
      <c r="V167">
        <f t="shared" si="40"/>
        <v>0</v>
      </c>
      <c r="W167">
        <f t="shared" si="41"/>
        <v>0</v>
      </c>
      <c r="X167">
        <f>IF($Q167="",99999+160,$X166+1+$V166+$W166)</f>
        <v>100159</v>
      </c>
      <c r="Y167" t="str">
        <f>IF($Q167="","",INDEX(บันทึกรายเที่ยว!$Q$6:$Q$10005,$R167))</f>
        <v/>
      </c>
      <c r="Z167" t="str">
        <f>IF($Q167="","",INDEX(บันทึกรายเที่ยว!$F$6:$F$10005,$R167))</f>
        <v/>
      </c>
      <c r="AA167" t="str">
        <f>IFERROR(MATCH(160,$X$8:$X$407,1),"")</f>
        <v/>
      </c>
      <c r="AB167" t="str">
        <f>IF(160=$AD$1+1,"G",IF($AA167="","",IF(INDEX($Q$8:$Q$407,$AA167)="","",IF(160&gt;INDEX($X$8:$X$407,$AA167)+INDEX($V$8:$V$407,$AA167)+INDEX($W$8:$W$407,$AA167),"",IF(160=INDEX($X$8:$X$407,$AA167)+INDEX($V$8:$V$407,$AA167)+INDEX($W$8:$W$407,$AA167),"D",IF(AND(INDEX($W$8:$W$407,$AA167)=1,160=INDEX($X$8:$X$407,$AA167)+INDEX($V$8:$V$407,$AA167)),"S","R"))))))</f>
        <v/>
      </c>
      <c r="AC167" t="str">
        <f t="shared" si="39"/>
        <v/>
      </c>
      <c r="AE167">
        <f>IF($U167="",0,COUNTIF(บันทึกรายเที่ยว!$T$6:$T$10005,$U167))</f>
        <v>0</v>
      </c>
      <c r="AF167">
        <f>IF($U167="",0,ROUND(SUMIF(บันทึกรายเที่ยว!$T$6:$T$10005,$U167,บันทึกรายเที่ยว!$J$6:$J$10005),2))</f>
        <v>0</v>
      </c>
      <c r="AG167">
        <f>IF($U167="",0,ROUND(SUMIF(บันทึกรายเที่ยว!$T$6:$T$10005,$U167,บันทึกรายเที่ยว!$K$6:$K$10005),2))</f>
        <v>0</v>
      </c>
      <c r="AH167">
        <f>IF($U167="",0,ROUND(SUMIF(บันทึกรายเที่ยว!$T$6:$T$10005,$U167,บันทึกรายเที่ยว!$M$6:$M$10005),2))</f>
        <v>0</v>
      </c>
    </row>
    <row r="168" spans="1:34" ht="21" customHeight="1" x14ac:dyDescent="0.95">
      <c r="A168" s="3" t="str">
        <f t="shared" si="28"/>
        <v/>
      </c>
      <c r="B168" s="3" t="str">
        <f t="shared" si="29"/>
        <v/>
      </c>
      <c r="C168" s="8" t="str">
        <f t="shared" si="30"/>
        <v/>
      </c>
      <c r="D168" s="31" t="str">
        <f t="shared" si="31"/>
        <v/>
      </c>
      <c r="E168" s="32" t="str">
        <f>IF(161=$AD$1+3,"ขอแสดงความนับถือ",IF(161=$AD$1+6,"(                 )",IF(161=$AD$1+7,"เจ้าหน้าที่ขนส่ง",IF($AB168="G",SUM($AF$8:$AF$407),IF(OR($AB168="",$AB168="R"),"",IF($AB168="D",INDEX($AF$8:$AF$407,$AA168),SUMIF($T$8:$T$407,INDEX($T$8:$T$407,$AA168),$AF$8:$AF$407)))))))</f>
        <v/>
      </c>
      <c r="F168" s="32" t="str">
        <f t="shared" si="32"/>
        <v/>
      </c>
      <c r="G168" s="32" t="str">
        <f t="shared" si="33"/>
        <v/>
      </c>
      <c r="H168" s="32" t="str">
        <f t="shared" si="34"/>
        <v/>
      </c>
      <c r="J168" t="str">
        <f>IFERROR(MATCH(161,บันทึกรายเที่ยว!$W$6:$W$10005,0),"")</f>
        <v/>
      </c>
      <c r="K168" t="str">
        <f>IF($J168="","",INDEX(บันทึกรายเที่ยว!$T$6:$T$10005,$J168))</f>
        <v/>
      </c>
      <c r="L168" t="str">
        <f>IF($J168="","",INDEX(บันทึกรายเที่ยว!$S$6:$S$10005,$J168))</f>
        <v/>
      </c>
      <c r="M168" t="str">
        <f>IF($J168="","",INDEX(บันทึกรายเที่ยว!$R$6:$R$10005,$J168))</f>
        <v/>
      </c>
      <c r="N168" t="str">
        <f>IF($J168="","",MATCH($M168,บันทึกรายเที่ยว!$R$6:$R$10005,0))</f>
        <v/>
      </c>
      <c r="O168" t="str">
        <f>IF($J168="","",MATCH($L168,บันทึกรายเที่ยว!$S$6:$S$10005,0))</f>
        <v/>
      </c>
      <c r="P168" t="str">
        <f>IF($J168="","",IF(AND(OR($I$3="(ทั้งหมด)",INDEX(บันทึกรายเที่ยว!$C$6:$C$10005,$J168)=$I$3),OR($I$5="(ทั้งหมด)",INDEX(บันทึกรายเที่ยว!$D$6:$D$10005,$J168)=$I$5),OR($I$7="(ทั้งหมด)",INDEX(บันทึกรายเที่ยว!$F$6:$F$10005,$J168)=$I$7)),$N168*10000000+$O168*1000+161,""))</f>
        <v/>
      </c>
      <c r="Q168" t="str">
        <f>IFERROR(MATCH(SMALL($P$8:$P$407,161),$P$8:$P$407,0),"")</f>
        <v/>
      </c>
      <c r="R168" t="str">
        <f t="shared" si="35"/>
        <v/>
      </c>
      <c r="S168" t="str">
        <f t="shared" si="36"/>
        <v/>
      </c>
      <c r="T168" t="str">
        <f t="shared" si="37"/>
        <v/>
      </c>
      <c r="U168" t="str">
        <f t="shared" si="38"/>
        <v/>
      </c>
      <c r="V168">
        <f t="shared" si="40"/>
        <v>0</v>
      </c>
      <c r="W168">
        <f t="shared" si="41"/>
        <v>0</v>
      </c>
      <c r="X168">
        <f>IF($Q168="",99999+161,$X167+1+$V167+$W167)</f>
        <v>100160</v>
      </c>
      <c r="Y168" t="str">
        <f>IF($Q168="","",INDEX(บันทึกรายเที่ยว!$Q$6:$Q$10005,$R168))</f>
        <v/>
      </c>
      <c r="Z168" t="str">
        <f>IF($Q168="","",INDEX(บันทึกรายเที่ยว!$F$6:$F$10005,$R168))</f>
        <v/>
      </c>
      <c r="AA168" t="str">
        <f>IFERROR(MATCH(161,$X$8:$X$407,1),"")</f>
        <v/>
      </c>
      <c r="AB168" t="str">
        <f>IF(161=$AD$1+1,"G",IF($AA168="","",IF(INDEX($Q$8:$Q$407,$AA168)="","",IF(161&gt;INDEX($X$8:$X$407,$AA168)+INDEX($V$8:$V$407,$AA168)+INDEX($W$8:$W$407,$AA168),"",IF(161=INDEX($X$8:$X$407,$AA168)+INDEX($V$8:$V$407,$AA168)+INDEX($W$8:$W$407,$AA168),"D",IF(AND(INDEX($W$8:$W$407,$AA168)=1,161=INDEX($X$8:$X$407,$AA168)+INDEX($V$8:$V$407,$AA168)),"S","R"))))))</f>
        <v/>
      </c>
      <c r="AC168" t="str">
        <f t="shared" si="39"/>
        <v/>
      </c>
      <c r="AE168">
        <f>IF($U168="",0,COUNTIF(บันทึกรายเที่ยว!$T$6:$T$10005,$U168))</f>
        <v>0</v>
      </c>
      <c r="AF168">
        <f>IF($U168="",0,ROUND(SUMIF(บันทึกรายเที่ยว!$T$6:$T$10005,$U168,บันทึกรายเที่ยว!$J$6:$J$10005),2))</f>
        <v>0</v>
      </c>
      <c r="AG168">
        <f>IF($U168="",0,ROUND(SUMIF(บันทึกรายเที่ยว!$T$6:$T$10005,$U168,บันทึกรายเที่ยว!$K$6:$K$10005),2))</f>
        <v>0</v>
      </c>
      <c r="AH168">
        <f>IF($U168="",0,ROUND(SUMIF(บันทึกรายเที่ยว!$T$6:$T$10005,$U168,บันทึกรายเที่ยว!$M$6:$M$10005),2))</f>
        <v>0</v>
      </c>
    </row>
    <row r="169" spans="1:34" ht="21" customHeight="1" x14ac:dyDescent="0.95">
      <c r="A169" s="3" t="str">
        <f t="shared" si="28"/>
        <v/>
      </c>
      <c r="B169" s="3" t="str">
        <f t="shared" si="29"/>
        <v/>
      </c>
      <c r="C169" s="8" t="str">
        <f t="shared" si="30"/>
        <v/>
      </c>
      <c r="D169" s="31" t="str">
        <f t="shared" si="31"/>
        <v/>
      </c>
      <c r="E169" s="32" t="str">
        <f>IF(162=$AD$1+3,"ขอแสดงความนับถือ",IF(162=$AD$1+6,"(                 )",IF(162=$AD$1+7,"เจ้าหน้าที่ขนส่ง",IF($AB169="G",SUM($AF$8:$AF$407),IF(OR($AB169="",$AB169="R"),"",IF($AB169="D",INDEX($AF$8:$AF$407,$AA169),SUMIF($T$8:$T$407,INDEX($T$8:$T$407,$AA169),$AF$8:$AF$407)))))))</f>
        <v/>
      </c>
      <c r="F169" s="32" t="str">
        <f t="shared" si="32"/>
        <v/>
      </c>
      <c r="G169" s="32" t="str">
        <f t="shared" si="33"/>
        <v/>
      </c>
      <c r="H169" s="32" t="str">
        <f t="shared" si="34"/>
        <v/>
      </c>
      <c r="J169" t="str">
        <f>IFERROR(MATCH(162,บันทึกรายเที่ยว!$W$6:$W$10005,0),"")</f>
        <v/>
      </c>
      <c r="K169" t="str">
        <f>IF($J169="","",INDEX(บันทึกรายเที่ยว!$T$6:$T$10005,$J169))</f>
        <v/>
      </c>
      <c r="L169" t="str">
        <f>IF($J169="","",INDEX(บันทึกรายเที่ยว!$S$6:$S$10005,$J169))</f>
        <v/>
      </c>
      <c r="M169" t="str">
        <f>IF($J169="","",INDEX(บันทึกรายเที่ยว!$R$6:$R$10005,$J169))</f>
        <v/>
      </c>
      <c r="N169" t="str">
        <f>IF($J169="","",MATCH($M169,บันทึกรายเที่ยว!$R$6:$R$10005,0))</f>
        <v/>
      </c>
      <c r="O169" t="str">
        <f>IF($J169="","",MATCH($L169,บันทึกรายเที่ยว!$S$6:$S$10005,0))</f>
        <v/>
      </c>
      <c r="P169" t="str">
        <f>IF($J169="","",IF(AND(OR($I$3="(ทั้งหมด)",INDEX(บันทึกรายเที่ยว!$C$6:$C$10005,$J169)=$I$3),OR($I$5="(ทั้งหมด)",INDEX(บันทึกรายเที่ยว!$D$6:$D$10005,$J169)=$I$5),OR($I$7="(ทั้งหมด)",INDEX(บันทึกรายเที่ยว!$F$6:$F$10005,$J169)=$I$7)),$N169*10000000+$O169*1000+162,""))</f>
        <v/>
      </c>
      <c r="Q169" t="str">
        <f>IFERROR(MATCH(SMALL($P$8:$P$407,162),$P$8:$P$407,0),"")</f>
        <v/>
      </c>
      <c r="R169" t="str">
        <f t="shared" si="35"/>
        <v/>
      </c>
      <c r="S169" t="str">
        <f t="shared" si="36"/>
        <v/>
      </c>
      <c r="T169" t="str">
        <f t="shared" si="37"/>
        <v/>
      </c>
      <c r="U169" t="str">
        <f t="shared" si="38"/>
        <v/>
      </c>
      <c r="V169">
        <f t="shared" si="40"/>
        <v>0</v>
      </c>
      <c r="W169">
        <f t="shared" si="41"/>
        <v>0</v>
      </c>
      <c r="X169">
        <f>IF($Q169="",99999+162,$X168+1+$V168+$W168)</f>
        <v>100161</v>
      </c>
      <c r="Y169" t="str">
        <f>IF($Q169="","",INDEX(บันทึกรายเที่ยว!$Q$6:$Q$10005,$R169))</f>
        <v/>
      </c>
      <c r="Z169" t="str">
        <f>IF($Q169="","",INDEX(บันทึกรายเที่ยว!$F$6:$F$10005,$R169))</f>
        <v/>
      </c>
      <c r="AA169" t="str">
        <f>IFERROR(MATCH(162,$X$8:$X$407,1),"")</f>
        <v/>
      </c>
      <c r="AB169" t="str">
        <f>IF(162=$AD$1+1,"G",IF($AA169="","",IF(INDEX($Q$8:$Q$407,$AA169)="","",IF(162&gt;INDEX($X$8:$X$407,$AA169)+INDEX($V$8:$V$407,$AA169)+INDEX($W$8:$W$407,$AA169),"",IF(162=INDEX($X$8:$X$407,$AA169)+INDEX($V$8:$V$407,$AA169)+INDEX($W$8:$W$407,$AA169),"D",IF(AND(INDEX($W$8:$W$407,$AA169)=1,162=INDEX($X$8:$X$407,$AA169)+INDEX($V$8:$V$407,$AA169)),"S","R"))))))</f>
        <v/>
      </c>
      <c r="AC169" t="str">
        <f t="shared" si="39"/>
        <v/>
      </c>
      <c r="AE169">
        <f>IF($U169="",0,COUNTIF(บันทึกรายเที่ยว!$T$6:$T$10005,$U169))</f>
        <v>0</v>
      </c>
      <c r="AF169">
        <f>IF($U169="",0,ROUND(SUMIF(บันทึกรายเที่ยว!$T$6:$T$10005,$U169,บันทึกรายเที่ยว!$J$6:$J$10005),2))</f>
        <v>0</v>
      </c>
      <c r="AG169">
        <f>IF($U169="",0,ROUND(SUMIF(บันทึกรายเที่ยว!$T$6:$T$10005,$U169,บันทึกรายเที่ยว!$K$6:$K$10005),2))</f>
        <v>0</v>
      </c>
      <c r="AH169">
        <f>IF($U169="",0,ROUND(SUMIF(บันทึกรายเที่ยว!$T$6:$T$10005,$U169,บันทึกรายเที่ยว!$M$6:$M$10005),2))</f>
        <v>0</v>
      </c>
    </row>
    <row r="170" spans="1:34" ht="21" customHeight="1" x14ac:dyDescent="0.95">
      <c r="A170" s="3" t="str">
        <f t="shared" si="28"/>
        <v/>
      </c>
      <c r="B170" s="3" t="str">
        <f t="shared" si="29"/>
        <v/>
      </c>
      <c r="C170" s="8" t="str">
        <f t="shared" si="30"/>
        <v/>
      </c>
      <c r="D170" s="31" t="str">
        <f t="shared" si="31"/>
        <v/>
      </c>
      <c r="E170" s="32" t="str">
        <f>IF(163=$AD$1+3,"ขอแสดงความนับถือ",IF(163=$AD$1+6,"(                 )",IF(163=$AD$1+7,"เจ้าหน้าที่ขนส่ง",IF($AB170="G",SUM($AF$8:$AF$407),IF(OR($AB170="",$AB170="R"),"",IF($AB170="D",INDEX($AF$8:$AF$407,$AA170),SUMIF($T$8:$T$407,INDEX($T$8:$T$407,$AA170),$AF$8:$AF$407)))))))</f>
        <v/>
      </c>
      <c r="F170" s="32" t="str">
        <f t="shared" si="32"/>
        <v/>
      </c>
      <c r="G170" s="32" t="str">
        <f t="shared" si="33"/>
        <v/>
      </c>
      <c r="H170" s="32" t="str">
        <f t="shared" si="34"/>
        <v/>
      </c>
      <c r="J170" t="str">
        <f>IFERROR(MATCH(163,บันทึกรายเที่ยว!$W$6:$W$10005,0),"")</f>
        <v/>
      </c>
      <c r="K170" t="str">
        <f>IF($J170="","",INDEX(บันทึกรายเที่ยว!$T$6:$T$10005,$J170))</f>
        <v/>
      </c>
      <c r="L170" t="str">
        <f>IF($J170="","",INDEX(บันทึกรายเที่ยว!$S$6:$S$10005,$J170))</f>
        <v/>
      </c>
      <c r="M170" t="str">
        <f>IF($J170="","",INDEX(บันทึกรายเที่ยว!$R$6:$R$10005,$J170))</f>
        <v/>
      </c>
      <c r="N170" t="str">
        <f>IF($J170="","",MATCH($M170,บันทึกรายเที่ยว!$R$6:$R$10005,0))</f>
        <v/>
      </c>
      <c r="O170" t="str">
        <f>IF($J170="","",MATCH($L170,บันทึกรายเที่ยว!$S$6:$S$10005,0))</f>
        <v/>
      </c>
      <c r="P170" t="str">
        <f>IF($J170="","",IF(AND(OR($I$3="(ทั้งหมด)",INDEX(บันทึกรายเที่ยว!$C$6:$C$10005,$J170)=$I$3),OR($I$5="(ทั้งหมด)",INDEX(บันทึกรายเที่ยว!$D$6:$D$10005,$J170)=$I$5),OR($I$7="(ทั้งหมด)",INDEX(บันทึกรายเที่ยว!$F$6:$F$10005,$J170)=$I$7)),$N170*10000000+$O170*1000+163,""))</f>
        <v/>
      </c>
      <c r="Q170" t="str">
        <f>IFERROR(MATCH(SMALL($P$8:$P$407,163),$P$8:$P$407,0),"")</f>
        <v/>
      </c>
      <c r="R170" t="str">
        <f t="shared" si="35"/>
        <v/>
      </c>
      <c r="S170" t="str">
        <f t="shared" si="36"/>
        <v/>
      </c>
      <c r="T170" t="str">
        <f t="shared" si="37"/>
        <v/>
      </c>
      <c r="U170" t="str">
        <f t="shared" si="38"/>
        <v/>
      </c>
      <c r="V170">
        <f t="shared" si="40"/>
        <v>0</v>
      </c>
      <c r="W170">
        <f t="shared" si="41"/>
        <v>0</v>
      </c>
      <c r="X170">
        <f>IF($Q170="",99999+163,$X169+1+$V169+$W169)</f>
        <v>100162</v>
      </c>
      <c r="Y170" t="str">
        <f>IF($Q170="","",INDEX(บันทึกรายเที่ยว!$Q$6:$Q$10005,$R170))</f>
        <v/>
      </c>
      <c r="Z170" t="str">
        <f>IF($Q170="","",INDEX(บันทึกรายเที่ยว!$F$6:$F$10005,$R170))</f>
        <v/>
      </c>
      <c r="AA170" t="str">
        <f>IFERROR(MATCH(163,$X$8:$X$407,1),"")</f>
        <v/>
      </c>
      <c r="AB170" t="str">
        <f>IF(163=$AD$1+1,"G",IF($AA170="","",IF(INDEX($Q$8:$Q$407,$AA170)="","",IF(163&gt;INDEX($X$8:$X$407,$AA170)+INDEX($V$8:$V$407,$AA170)+INDEX($W$8:$W$407,$AA170),"",IF(163=INDEX($X$8:$X$407,$AA170)+INDEX($V$8:$V$407,$AA170)+INDEX($W$8:$W$407,$AA170),"D",IF(AND(INDEX($W$8:$W$407,$AA170)=1,163=INDEX($X$8:$X$407,$AA170)+INDEX($V$8:$V$407,$AA170)),"S","R"))))))</f>
        <v/>
      </c>
      <c r="AC170" t="str">
        <f t="shared" si="39"/>
        <v/>
      </c>
      <c r="AE170">
        <f>IF($U170="",0,COUNTIF(บันทึกรายเที่ยว!$T$6:$T$10005,$U170))</f>
        <v>0</v>
      </c>
      <c r="AF170">
        <f>IF($U170="",0,ROUND(SUMIF(บันทึกรายเที่ยว!$T$6:$T$10005,$U170,บันทึกรายเที่ยว!$J$6:$J$10005),2))</f>
        <v>0</v>
      </c>
      <c r="AG170">
        <f>IF($U170="",0,ROUND(SUMIF(บันทึกรายเที่ยว!$T$6:$T$10005,$U170,บันทึกรายเที่ยว!$K$6:$K$10005),2))</f>
        <v>0</v>
      </c>
      <c r="AH170">
        <f>IF($U170="",0,ROUND(SUMIF(บันทึกรายเที่ยว!$T$6:$T$10005,$U170,บันทึกรายเที่ยว!$M$6:$M$10005),2))</f>
        <v>0</v>
      </c>
    </row>
    <row r="171" spans="1:34" ht="21" customHeight="1" x14ac:dyDescent="0.95">
      <c r="A171" s="3" t="str">
        <f t="shared" si="28"/>
        <v/>
      </c>
      <c r="B171" s="3" t="str">
        <f t="shared" si="29"/>
        <v/>
      </c>
      <c r="C171" s="8" t="str">
        <f t="shared" si="30"/>
        <v/>
      </c>
      <c r="D171" s="31" t="str">
        <f t="shared" si="31"/>
        <v/>
      </c>
      <c r="E171" s="32" t="str">
        <f>IF(164=$AD$1+3,"ขอแสดงความนับถือ",IF(164=$AD$1+6,"(                 )",IF(164=$AD$1+7,"เจ้าหน้าที่ขนส่ง",IF($AB171="G",SUM($AF$8:$AF$407),IF(OR($AB171="",$AB171="R"),"",IF($AB171="D",INDEX($AF$8:$AF$407,$AA171),SUMIF($T$8:$T$407,INDEX($T$8:$T$407,$AA171),$AF$8:$AF$407)))))))</f>
        <v/>
      </c>
      <c r="F171" s="32" t="str">
        <f t="shared" si="32"/>
        <v/>
      </c>
      <c r="G171" s="32" t="str">
        <f t="shared" si="33"/>
        <v/>
      </c>
      <c r="H171" s="32" t="str">
        <f t="shared" si="34"/>
        <v/>
      </c>
      <c r="J171" t="str">
        <f>IFERROR(MATCH(164,บันทึกรายเที่ยว!$W$6:$W$10005,0),"")</f>
        <v/>
      </c>
      <c r="K171" t="str">
        <f>IF($J171="","",INDEX(บันทึกรายเที่ยว!$T$6:$T$10005,$J171))</f>
        <v/>
      </c>
      <c r="L171" t="str">
        <f>IF($J171="","",INDEX(บันทึกรายเที่ยว!$S$6:$S$10005,$J171))</f>
        <v/>
      </c>
      <c r="M171" t="str">
        <f>IF($J171="","",INDEX(บันทึกรายเที่ยว!$R$6:$R$10005,$J171))</f>
        <v/>
      </c>
      <c r="N171" t="str">
        <f>IF($J171="","",MATCH($M171,บันทึกรายเที่ยว!$R$6:$R$10005,0))</f>
        <v/>
      </c>
      <c r="O171" t="str">
        <f>IF($J171="","",MATCH($L171,บันทึกรายเที่ยว!$S$6:$S$10005,0))</f>
        <v/>
      </c>
      <c r="P171" t="str">
        <f>IF($J171="","",IF(AND(OR($I$3="(ทั้งหมด)",INDEX(บันทึกรายเที่ยว!$C$6:$C$10005,$J171)=$I$3),OR($I$5="(ทั้งหมด)",INDEX(บันทึกรายเที่ยว!$D$6:$D$10005,$J171)=$I$5),OR($I$7="(ทั้งหมด)",INDEX(บันทึกรายเที่ยว!$F$6:$F$10005,$J171)=$I$7)),$N171*10000000+$O171*1000+164,""))</f>
        <v/>
      </c>
      <c r="Q171" t="str">
        <f>IFERROR(MATCH(SMALL($P$8:$P$407,164),$P$8:$P$407,0),"")</f>
        <v/>
      </c>
      <c r="R171" t="str">
        <f t="shared" si="35"/>
        <v/>
      </c>
      <c r="S171" t="str">
        <f t="shared" si="36"/>
        <v/>
      </c>
      <c r="T171" t="str">
        <f t="shared" si="37"/>
        <v/>
      </c>
      <c r="U171" t="str">
        <f t="shared" si="38"/>
        <v/>
      </c>
      <c r="V171">
        <f t="shared" si="40"/>
        <v>0</v>
      </c>
      <c r="W171">
        <f t="shared" si="41"/>
        <v>0</v>
      </c>
      <c r="X171">
        <f>IF($Q171="",99999+164,$X170+1+$V170+$W170)</f>
        <v>100163</v>
      </c>
      <c r="Y171" t="str">
        <f>IF($Q171="","",INDEX(บันทึกรายเที่ยว!$Q$6:$Q$10005,$R171))</f>
        <v/>
      </c>
      <c r="Z171" t="str">
        <f>IF($Q171="","",INDEX(บันทึกรายเที่ยว!$F$6:$F$10005,$R171))</f>
        <v/>
      </c>
      <c r="AA171" t="str">
        <f>IFERROR(MATCH(164,$X$8:$X$407,1),"")</f>
        <v/>
      </c>
      <c r="AB171" t="str">
        <f>IF(164=$AD$1+1,"G",IF($AA171="","",IF(INDEX($Q$8:$Q$407,$AA171)="","",IF(164&gt;INDEX($X$8:$X$407,$AA171)+INDEX($V$8:$V$407,$AA171)+INDEX($W$8:$W$407,$AA171),"",IF(164=INDEX($X$8:$X$407,$AA171)+INDEX($V$8:$V$407,$AA171)+INDEX($W$8:$W$407,$AA171),"D",IF(AND(INDEX($W$8:$W$407,$AA171)=1,164=INDEX($X$8:$X$407,$AA171)+INDEX($V$8:$V$407,$AA171)),"S","R"))))))</f>
        <v/>
      </c>
      <c r="AC171" t="str">
        <f t="shared" si="39"/>
        <v/>
      </c>
      <c r="AE171">
        <f>IF($U171="",0,COUNTIF(บันทึกรายเที่ยว!$T$6:$T$10005,$U171))</f>
        <v>0</v>
      </c>
      <c r="AF171">
        <f>IF($U171="",0,ROUND(SUMIF(บันทึกรายเที่ยว!$T$6:$T$10005,$U171,บันทึกรายเที่ยว!$J$6:$J$10005),2))</f>
        <v>0</v>
      </c>
      <c r="AG171">
        <f>IF($U171="",0,ROUND(SUMIF(บันทึกรายเที่ยว!$T$6:$T$10005,$U171,บันทึกรายเที่ยว!$K$6:$K$10005),2))</f>
        <v>0</v>
      </c>
      <c r="AH171">
        <f>IF($U171="",0,ROUND(SUMIF(บันทึกรายเที่ยว!$T$6:$T$10005,$U171,บันทึกรายเที่ยว!$M$6:$M$10005),2))</f>
        <v>0</v>
      </c>
    </row>
    <row r="172" spans="1:34" ht="21" customHeight="1" x14ac:dyDescent="0.95">
      <c r="A172" s="3" t="str">
        <f t="shared" si="28"/>
        <v/>
      </c>
      <c r="B172" s="3" t="str">
        <f t="shared" si="29"/>
        <v/>
      </c>
      <c r="C172" s="8" t="str">
        <f t="shared" si="30"/>
        <v/>
      </c>
      <c r="D172" s="31" t="str">
        <f t="shared" si="31"/>
        <v/>
      </c>
      <c r="E172" s="32" t="str">
        <f>IF(165=$AD$1+3,"ขอแสดงความนับถือ",IF(165=$AD$1+6,"(                 )",IF(165=$AD$1+7,"เจ้าหน้าที่ขนส่ง",IF($AB172="G",SUM($AF$8:$AF$407),IF(OR($AB172="",$AB172="R"),"",IF($AB172="D",INDEX($AF$8:$AF$407,$AA172),SUMIF($T$8:$T$407,INDEX($T$8:$T$407,$AA172),$AF$8:$AF$407)))))))</f>
        <v/>
      </c>
      <c r="F172" s="32" t="str">
        <f t="shared" si="32"/>
        <v/>
      </c>
      <c r="G172" s="32" t="str">
        <f t="shared" si="33"/>
        <v/>
      </c>
      <c r="H172" s="32" t="str">
        <f t="shared" si="34"/>
        <v/>
      </c>
      <c r="J172" t="str">
        <f>IFERROR(MATCH(165,บันทึกรายเที่ยว!$W$6:$W$10005,0),"")</f>
        <v/>
      </c>
      <c r="K172" t="str">
        <f>IF($J172="","",INDEX(บันทึกรายเที่ยว!$T$6:$T$10005,$J172))</f>
        <v/>
      </c>
      <c r="L172" t="str">
        <f>IF($J172="","",INDEX(บันทึกรายเที่ยว!$S$6:$S$10005,$J172))</f>
        <v/>
      </c>
      <c r="M172" t="str">
        <f>IF($J172="","",INDEX(บันทึกรายเที่ยว!$R$6:$R$10005,$J172))</f>
        <v/>
      </c>
      <c r="N172" t="str">
        <f>IF($J172="","",MATCH($M172,บันทึกรายเที่ยว!$R$6:$R$10005,0))</f>
        <v/>
      </c>
      <c r="O172" t="str">
        <f>IF($J172="","",MATCH($L172,บันทึกรายเที่ยว!$S$6:$S$10005,0))</f>
        <v/>
      </c>
      <c r="P172" t="str">
        <f>IF($J172="","",IF(AND(OR($I$3="(ทั้งหมด)",INDEX(บันทึกรายเที่ยว!$C$6:$C$10005,$J172)=$I$3),OR($I$5="(ทั้งหมด)",INDEX(บันทึกรายเที่ยว!$D$6:$D$10005,$J172)=$I$5),OR($I$7="(ทั้งหมด)",INDEX(บันทึกรายเที่ยว!$F$6:$F$10005,$J172)=$I$7)),$N172*10000000+$O172*1000+165,""))</f>
        <v/>
      </c>
      <c r="Q172" t="str">
        <f>IFERROR(MATCH(SMALL($P$8:$P$407,165),$P$8:$P$407,0),"")</f>
        <v/>
      </c>
      <c r="R172" t="str">
        <f t="shared" si="35"/>
        <v/>
      </c>
      <c r="S172" t="str">
        <f t="shared" si="36"/>
        <v/>
      </c>
      <c r="T172" t="str">
        <f t="shared" si="37"/>
        <v/>
      </c>
      <c r="U172" t="str">
        <f t="shared" si="38"/>
        <v/>
      </c>
      <c r="V172">
        <f t="shared" si="40"/>
        <v>0</v>
      </c>
      <c r="W172">
        <f t="shared" si="41"/>
        <v>0</v>
      </c>
      <c r="X172">
        <f>IF($Q172="",99999+165,$X171+1+$V171+$W171)</f>
        <v>100164</v>
      </c>
      <c r="Y172" t="str">
        <f>IF($Q172="","",INDEX(บันทึกรายเที่ยว!$Q$6:$Q$10005,$R172))</f>
        <v/>
      </c>
      <c r="Z172" t="str">
        <f>IF($Q172="","",INDEX(บันทึกรายเที่ยว!$F$6:$F$10005,$R172))</f>
        <v/>
      </c>
      <c r="AA172" t="str">
        <f>IFERROR(MATCH(165,$X$8:$X$407,1),"")</f>
        <v/>
      </c>
      <c r="AB172" t="str">
        <f>IF(165=$AD$1+1,"G",IF($AA172="","",IF(INDEX($Q$8:$Q$407,$AA172)="","",IF(165&gt;INDEX($X$8:$X$407,$AA172)+INDEX($V$8:$V$407,$AA172)+INDEX($W$8:$W$407,$AA172),"",IF(165=INDEX($X$8:$X$407,$AA172)+INDEX($V$8:$V$407,$AA172)+INDEX($W$8:$W$407,$AA172),"D",IF(AND(INDEX($W$8:$W$407,$AA172)=1,165=INDEX($X$8:$X$407,$AA172)+INDEX($V$8:$V$407,$AA172)),"S","R"))))))</f>
        <v/>
      </c>
      <c r="AC172" t="str">
        <f t="shared" si="39"/>
        <v/>
      </c>
      <c r="AE172">
        <f>IF($U172="",0,COUNTIF(บันทึกรายเที่ยว!$T$6:$T$10005,$U172))</f>
        <v>0</v>
      </c>
      <c r="AF172">
        <f>IF($U172="",0,ROUND(SUMIF(บันทึกรายเที่ยว!$T$6:$T$10005,$U172,บันทึกรายเที่ยว!$J$6:$J$10005),2))</f>
        <v>0</v>
      </c>
      <c r="AG172">
        <f>IF($U172="",0,ROUND(SUMIF(บันทึกรายเที่ยว!$T$6:$T$10005,$U172,บันทึกรายเที่ยว!$K$6:$K$10005),2))</f>
        <v>0</v>
      </c>
      <c r="AH172">
        <f>IF($U172="",0,ROUND(SUMIF(บันทึกรายเที่ยว!$T$6:$T$10005,$U172,บันทึกรายเที่ยว!$M$6:$M$10005),2))</f>
        <v>0</v>
      </c>
    </row>
    <row r="173" spans="1:34" ht="21" customHeight="1" x14ac:dyDescent="0.95">
      <c r="A173" s="3" t="str">
        <f t="shared" si="28"/>
        <v/>
      </c>
      <c r="B173" s="3" t="str">
        <f t="shared" si="29"/>
        <v/>
      </c>
      <c r="C173" s="8" t="str">
        <f t="shared" si="30"/>
        <v/>
      </c>
      <c r="D173" s="31" t="str">
        <f t="shared" si="31"/>
        <v/>
      </c>
      <c r="E173" s="32" t="str">
        <f>IF(166=$AD$1+3,"ขอแสดงความนับถือ",IF(166=$AD$1+6,"(                 )",IF(166=$AD$1+7,"เจ้าหน้าที่ขนส่ง",IF($AB173="G",SUM($AF$8:$AF$407),IF(OR($AB173="",$AB173="R"),"",IF($AB173="D",INDEX($AF$8:$AF$407,$AA173),SUMIF($T$8:$T$407,INDEX($T$8:$T$407,$AA173),$AF$8:$AF$407)))))))</f>
        <v/>
      </c>
      <c r="F173" s="32" t="str">
        <f t="shared" si="32"/>
        <v/>
      </c>
      <c r="G173" s="32" t="str">
        <f t="shared" si="33"/>
        <v/>
      </c>
      <c r="H173" s="32" t="str">
        <f t="shared" si="34"/>
        <v/>
      </c>
      <c r="J173" t="str">
        <f>IFERROR(MATCH(166,บันทึกรายเที่ยว!$W$6:$W$10005,0),"")</f>
        <v/>
      </c>
      <c r="K173" t="str">
        <f>IF($J173="","",INDEX(บันทึกรายเที่ยว!$T$6:$T$10005,$J173))</f>
        <v/>
      </c>
      <c r="L173" t="str">
        <f>IF($J173="","",INDEX(บันทึกรายเที่ยว!$S$6:$S$10005,$J173))</f>
        <v/>
      </c>
      <c r="M173" t="str">
        <f>IF($J173="","",INDEX(บันทึกรายเที่ยว!$R$6:$R$10005,$J173))</f>
        <v/>
      </c>
      <c r="N173" t="str">
        <f>IF($J173="","",MATCH($M173,บันทึกรายเที่ยว!$R$6:$R$10005,0))</f>
        <v/>
      </c>
      <c r="O173" t="str">
        <f>IF($J173="","",MATCH($L173,บันทึกรายเที่ยว!$S$6:$S$10005,0))</f>
        <v/>
      </c>
      <c r="P173" t="str">
        <f>IF($J173="","",IF(AND(OR($I$3="(ทั้งหมด)",INDEX(บันทึกรายเที่ยว!$C$6:$C$10005,$J173)=$I$3),OR($I$5="(ทั้งหมด)",INDEX(บันทึกรายเที่ยว!$D$6:$D$10005,$J173)=$I$5),OR($I$7="(ทั้งหมด)",INDEX(บันทึกรายเที่ยว!$F$6:$F$10005,$J173)=$I$7)),$N173*10000000+$O173*1000+166,""))</f>
        <v/>
      </c>
      <c r="Q173" t="str">
        <f>IFERROR(MATCH(SMALL($P$8:$P$407,166),$P$8:$P$407,0),"")</f>
        <v/>
      </c>
      <c r="R173" t="str">
        <f t="shared" si="35"/>
        <v/>
      </c>
      <c r="S173" t="str">
        <f t="shared" si="36"/>
        <v/>
      </c>
      <c r="T173" t="str">
        <f t="shared" si="37"/>
        <v/>
      </c>
      <c r="U173" t="str">
        <f t="shared" si="38"/>
        <v/>
      </c>
      <c r="V173">
        <f t="shared" si="40"/>
        <v>0</v>
      </c>
      <c r="W173">
        <f t="shared" si="41"/>
        <v>0</v>
      </c>
      <c r="X173">
        <f>IF($Q173="",99999+166,$X172+1+$V172+$W172)</f>
        <v>100165</v>
      </c>
      <c r="Y173" t="str">
        <f>IF($Q173="","",INDEX(บันทึกรายเที่ยว!$Q$6:$Q$10005,$R173))</f>
        <v/>
      </c>
      <c r="Z173" t="str">
        <f>IF($Q173="","",INDEX(บันทึกรายเที่ยว!$F$6:$F$10005,$R173))</f>
        <v/>
      </c>
      <c r="AA173" t="str">
        <f>IFERROR(MATCH(166,$X$8:$X$407,1),"")</f>
        <v/>
      </c>
      <c r="AB173" t="str">
        <f>IF(166=$AD$1+1,"G",IF($AA173="","",IF(INDEX($Q$8:$Q$407,$AA173)="","",IF(166&gt;INDEX($X$8:$X$407,$AA173)+INDEX($V$8:$V$407,$AA173)+INDEX($W$8:$W$407,$AA173),"",IF(166=INDEX($X$8:$X$407,$AA173)+INDEX($V$8:$V$407,$AA173)+INDEX($W$8:$W$407,$AA173),"D",IF(AND(INDEX($W$8:$W$407,$AA173)=1,166=INDEX($X$8:$X$407,$AA173)+INDEX($V$8:$V$407,$AA173)),"S","R"))))))</f>
        <v/>
      </c>
      <c r="AC173" t="str">
        <f t="shared" si="39"/>
        <v/>
      </c>
      <c r="AE173">
        <f>IF($U173="",0,COUNTIF(บันทึกรายเที่ยว!$T$6:$T$10005,$U173))</f>
        <v>0</v>
      </c>
      <c r="AF173">
        <f>IF($U173="",0,ROUND(SUMIF(บันทึกรายเที่ยว!$T$6:$T$10005,$U173,บันทึกรายเที่ยว!$J$6:$J$10005),2))</f>
        <v>0</v>
      </c>
      <c r="AG173">
        <f>IF($U173="",0,ROUND(SUMIF(บันทึกรายเที่ยว!$T$6:$T$10005,$U173,บันทึกรายเที่ยว!$K$6:$K$10005),2))</f>
        <v>0</v>
      </c>
      <c r="AH173">
        <f>IF($U173="",0,ROUND(SUMIF(บันทึกรายเที่ยว!$T$6:$T$10005,$U173,บันทึกรายเที่ยว!$M$6:$M$10005),2))</f>
        <v>0</v>
      </c>
    </row>
    <row r="174" spans="1:34" ht="21" customHeight="1" x14ac:dyDescent="0.95">
      <c r="A174" s="3" t="str">
        <f t="shared" si="28"/>
        <v/>
      </c>
      <c r="B174" s="3" t="str">
        <f t="shared" si="29"/>
        <v/>
      </c>
      <c r="C174" s="8" t="str">
        <f t="shared" si="30"/>
        <v/>
      </c>
      <c r="D174" s="31" t="str">
        <f t="shared" si="31"/>
        <v/>
      </c>
      <c r="E174" s="32" t="str">
        <f>IF(167=$AD$1+3,"ขอแสดงความนับถือ",IF(167=$AD$1+6,"(                 )",IF(167=$AD$1+7,"เจ้าหน้าที่ขนส่ง",IF($AB174="G",SUM($AF$8:$AF$407),IF(OR($AB174="",$AB174="R"),"",IF($AB174="D",INDEX($AF$8:$AF$407,$AA174),SUMIF($T$8:$T$407,INDEX($T$8:$T$407,$AA174),$AF$8:$AF$407)))))))</f>
        <v/>
      </c>
      <c r="F174" s="32" t="str">
        <f t="shared" si="32"/>
        <v/>
      </c>
      <c r="G174" s="32" t="str">
        <f t="shared" si="33"/>
        <v/>
      </c>
      <c r="H174" s="32" t="str">
        <f t="shared" si="34"/>
        <v/>
      </c>
      <c r="J174" t="str">
        <f>IFERROR(MATCH(167,บันทึกรายเที่ยว!$W$6:$W$10005,0),"")</f>
        <v/>
      </c>
      <c r="K174" t="str">
        <f>IF($J174="","",INDEX(บันทึกรายเที่ยว!$T$6:$T$10005,$J174))</f>
        <v/>
      </c>
      <c r="L174" t="str">
        <f>IF($J174="","",INDEX(บันทึกรายเที่ยว!$S$6:$S$10005,$J174))</f>
        <v/>
      </c>
      <c r="M174" t="str">
        <f>IF($J174="","",INDEX(บันทึกรายเที่ยว!$R$6:$R$10005,$J174))</f>
        <v/>
      </c>
      <c r="N174" t="str">
        <f>IF($J174="","",MATCH($M174,บันทึกรายเที่ยว!$R$6:$R$10005,0))</f>
        <v/>
      </c>
      <c r="O174" t="str">
        <f>IF($J174="","",MATCH($L174,บันทึกรายเที่ยว!$S$6:$S$10005,0))</f>
        <v/>
      </c>
      <c r="P174" t="str">
        <f>IF($J174="","",IF(AND(OR($I$3="(ทั้งหมด)",INDEX(บันทึกรายเที่ยว!$C$6:$C$10005,$J174)=$I$3),OR($I$5="(ทั้งหมด)",INDEX(บันทึกรายเที่ยว!$D$6:$D$10005,$J174)=$I$5),OR($I$7="(ทั้งหมด)",INDEX(บันทึกรายเที่ยว!$F$6:$F$10005,$J174)=$I$7)),$N174*10000000+$O174*1000+167,""))</f>
        <v/>
      </c>
      <c r="Q174" t="str">
        <f>IFERROR(MATCH(SMALL($P$8:$P$407,167),$P$8:$P$407,0),"")</f>
        <v/>
      </c>
      <c r="R174" t="str">
        <f t="shared" si="35"/>
        <v/>
      </c>
      <c r="S174" t="str">
        <f t="shared" si="36"/>
        <v/>
      </c>
      <c r="T174" t="str">
        <f t="shared" si="37"/>
        <v/>
      </c>
      <c r="U174" t="str">
        <f t="shared" si="38"/>
        <v/>
      </c>
      <c r="V174">
        <f t="shared" si="40"/>
        <v>0</v>
      </c>
      <c r="W174">
        <f t="shared" si="41"/>
        <v>0</v>
      </c>
      <c r="X174">
        <f>IF($Q174="",99999+167,$X173+1+$V173+$W173)</f>
        <v>100166</v>
      </c>
      <c r="Y174" t="str">
        <f>IF($Q174="","",INDEX(บันทึกรายเที่ยว!$Q$6:$Q$10005,$R174))</f>
        <v/>
      </c>
      <c r="Z174" t="str">
        <f>IF($Q174="","",INDEX(บันทึกรายเที่ยว!$F$6:$F$10005,$R174))</f>
        <v/>
      </c>
      <c r="AA174" t="str">
        <f>IFERROR(MATCH(167,$X$8:$X$407,1),"")</f>
        <v/>
      </c>
      <c r="AB174" t="str">
        <f>IF(167=$AD$1+1,"G",IF($AA174="","",IF(INDEX($Q$8:$Q$407,$AA174)="","",IF(167&gt;INDEX($X$8:$X$407,$AA174)+INDEX($V$8:$V$407,$AA174)+INDEX($W$8:$W$407,$AA174),"",IF(167=INDEX($X$8:$X$407,$AA174)+INDEX($V$8:$V$407,$AA174)+INDEX($W$8:$W$407,$AA174),"D",IF(AND(INDEX($W$8:$W$407,$AA174)=1,167=INDEX($X$8:$X$407,$AA174)+INDEX($V$8:$V$407,$AA174)),"S","R"))))))</f>
        <v/>
      </c>
      <c r="AC174" t="str">
        <f t="shared" si="39"/>
        <v/>
      </c>
      <c r="AE174">
        <f>IF($U174="",0,COUNTIF(บันทึกรายเที่ยว!$T$6:$T$10005,$U174))</f>
        <v>0</v>
      </c>
      <c r="AF174">
        <f>IF($U174="",0,ROUND(SUMIF(บันทึกรายเที่ยว!$T$6:$T$10005,$U174,บันทึกรายเที่ยว!$J$6:$J$10005),2))</f>
        <v>0</v>
      </c>
      <c r="AG174">
        <f>IF($U174="",0,ROUND(SUMIF(บันทึกรายเที่ยว!$T$6:$T$10005,$U174,บันทึกรายเที่ยว!$K$6:$K$10005),2))</f>
        <v>0</v>
      </c>
      <c r="AH174">
        <f>IF($U174="",0,ROUND(SUMIF(บันทึกรายเที่ยว!$T$6:$T$10005,$U174,บันทึกรายเที่ยว!$M$6:$M$10005),2))</f>
        <v>0</v>
      </c>
    </row>
    <row r="175" spans="1:34" ht="21" customHeight="1" x14ac:dyDescent="0.95">
      <c r="A175" s="3" t="str">
        <f t="shared" si="28"/>
        <v/>
      </c>
      <c r="B175" s="3" t="str">
        <f t="shared" si="29"/>
        <v/>
      </c>
      <c r="C175" s="8" t="str">
        <f t="shared" si="30"/>
        <v/>
      </c>
      <c r="D175" s="31" t="str">
        <f t="shared" si="31"/>
        <v/>
      </c>
      <c r="E175" s="32" t="str">
        <f>IF(168=$AD$1+3,"ขอแสดงความนับถือ",IF(168=$AD$1+6,"(                 )",IF(168=$AD$1+7,"เจ้าหน้าที่ขนส่ง",IF($AB175="G",SUM($AF$8:$AF$407),IF(OR($AB175="",$AB175="R"),"",IF($AB175="D",INDEX($AF$8:$AF$407,$AA175),SUMIF($T$8:$T$407,INDEX($T$8:$T$407,$AA175),$AF$8:$AF$407)))))))</f>
        <v/>
      </c>
      <c r="F175" s="32" t="str">
        <f t="shared" si="32"/>
        <v/>
      </c>
      <c r="G175" s="32" t="str">
        <f t="shared" si="33"/>
        <v/>
      </c>
      <c r="H175" s="32" t="str">
        <f t="shared" si="34"/>
        <v/>
      </c>
      <c r="J175" t="str">
        <f>IFERROR(MATCH(168,บันทึกรายเที่ยว!$W$6:$W$10005,0),"")</f>
        <v/>
      </c>
      <c r="K175" t="str">
        <f>IF($J175="","",INDEX(บันทึกรายเที่ยว!$T$6:$T$10005,$J175))</f>
        <v/>
      </c>
      <c r="L175" t="str">
        <f>IF($J175="","",INDEX(บันทึกรายเที่ยว!$S$6:$S$10005,$J175))</f>
        <v/>
      </c>
      <c r="M175" t="str">
        <f>IF($J175="","",INDEX(บันทึกรายเที่ยว!$R$6:$R$10005,$J175))</f>
        <v/>
      </c>
      <c r="N175" t="str">
        <f>IF($J175="","",MATCH($M175,บันทึกรายเที่ยว!$R$6:$R$10005,0))</f>
        <v/>
      </c>
      <c r="O175" t="str">
        <f>IF($J175="","",MATCH($L175,บันทึกรายเที่ยว!$S$6:$S$10005,0))</f>
        <v/>
      </c>
      <c r="P175" t="str">
        <f>IF($J175="","",IF(AND(OR($I$3="(ทั้งหมด)",INDEX(บันทึกรายเที่ยว!$C$6:$C$10005,$J175)=$I$3),OR($I$5="(ทั้งหมด)",INDEX(บันทึกรายเที่ยว!$D$6:$D$10005,$J175)=$I$5),OR($I$7="(ทั้งหมด)",INDEX(บันทึกรายเที่ยว!$F$6:$F$10005,$J175)=$I$7)),$N175*10000000+$O175*1000+168,""))</f>
        <v/>
      </c>
      <c r="Q175" t="str">
        <f>IFERROR(MATCH(SMALL($P$8:$P$407,168),$P$8:$P$407,0),"")</f>
        <v/>
      </c>
      <c r="R175" t="str">
        <f t="shared" si="35"/>
        <v/>
      </c>
      <c r="S175" t="str">
        <f t="shared" si="36"/>
        <v/>
      </c>
      <c r="T175" t="str">
        <f t="shared" si="37"/>
        <v/>
      </c>
      <c r="U175" t="str">
        <f t="shared" si="38"/>
        <v/>
      </c>
      <c r="V175">
        <f t="shared" si="40"/>
        <v>0</v>
      </c>
      <c r="W175">
        <f t="shared" si="41"/>
        <v>0</v>
      </c>
      <c r="X175">
        <f>IF($Q175="",99999+168,$X174+1+$V174+$W174)</f>
        <v>100167</v>
      </c>
      <c r="Y175" t="str">
        <f>IF($Q175="","",INDEX(บันทึกรายเที่ยว!$Q$6:$Q$10005,$R175))</f>
        <v/>
      </c>
      <c r="Z175" t="str">
        <f>IF($Q175="","",INDEX(บันทึกรายเที่ยว!$F$6:$F$10005,$R175))</f>
        <v/>
      </c>
      <c r="AA175" t="str">
        <f>IFERROR(MATCH(168,$X$8:$X$407,1),"")</f>
        <v/>
      </c>
      <c r="AB175" t="str">
        <f>IF(168=$AD$1+1,"G",IF($AA175="","",IF(INDEX($Q$8:$Q$407,$AA175)="","",IF(168&gt;INDEX($X$8:$X$407,$AA175)+INDEX($V$8:$V$407,$AA175)+INDEX($W$8:$W$407,$AA175),"",IF(168=INDEX($X$8:$X$407,$AA175)+INDEX($V$8:$V$407,$AA175)+INDEX($W$8:$W$407,$AA175),"D",IF(AND(INDEX($W$8:$W$407,$AA175)=1,168=INDEX($X$8:$X$407,$AA175)+INDEX($V$8:$V$407,$AA175)),"S","R"))))))</f>
        <v/>
      </c>
      <c r="AC175" t="str">
        <f t="shared" si="39"/>
        <v/>
      </c>
      <c r="AE175">
        <f>IF($U175="",0,COUNTIF(บันทึกรายเที่ยว!$T$6:$T$10005,$U175))</f>
        <v>0</v>
      </c>
      <c r="AF175">
        <f>IF($U175="",0,ROUND(SUMIF(บันทึกรายเที่ยว!$T$6:$T$10005,$U175,บันทึกรายเที่ยว!$J$6:$J$10005),2))</f>
        <v>0</v>
      </c>
      <c r="AG175">
        <f>IF($U175="",0,ROUND(SUMIF(บันทึกรายเที่ยว!$T$6:$T$10005,$U175,บันทึกรายเที่ยว!$K$6:$K$10005),2))</f>
        <v>0</v>
      </c>
      <c r="AH175">
        <f>IF($U175="",0,ROUND(SUMIF(บันทึกรายเที่ยว!$T$6:$T$10005,$U175,บันทึกรายเที่ยว!$M$6:$M$10005),2))</f>
        <v>0</v>
      </c>
    </row>
    <row r="176" spans="1:34" ht="21" customHeight="1" x14ac:dyDescent="0.95">
      <c r="A176" s="3" t="str">
        <f t="shared" si="28"/>
        <v/>
      </c>
      <c r="B176" s="3" t="str">
        <f t="shared" si="29"/>
        <v/>
      </c>
      <c r="C176" s="8" t="str">
        <f t="shared" si="30"/>
        <v/>
      </c>
      <c r="D176" s="31" t="str">
        <f t="shared" si="31"/>
        <v/>
      </c>
      <c r="E176" s="32" t="str">
        <f>IF(169=$AD$1+3,"ขอแสดงความนับถือ",IF(169=$AD$1+6,"(                 )",IF(169=$AD$1+7,"เจ้าหน้าที่ขนส่ง",IF($AB176="G",SUM($AF$8:$AF$407),IF(OR($AB176="",$AB176="R"),"",IF($AB176="D",INDEX($AF$8:$AF$407,$AA176),SUMIF($T$8:$T$407,INDEX($T$8:$T$407,$AA176),$AF$8:$AF$407)))))))</f>
        <v/>
      </c>
      <c r="F176" s="32" t="str">
        <f t="shared" si="32"/>
        <v/>
      </c>
      <c r="G176" s="32" t="str">
        <f t="shared" si="33"/>
        <v/>
      </c>
      <c r="H176" s="32" t="str">
        <f t="shared" si="34"/>
        <v/>
      </c>
      <c r="J176" t="str">
        <f>IFERROR(MATCH(169,บันทึกรายเที่ยว!$W$6:$W$10005,0),"")</f>
        <v/>
      </c>
      <c r="K176" t="str">
        <f>IF($J176="","",INDEX(บันทึกรายเที่ยว!$T$6:$T$10005,$J176))</f>
        <v/>
      </c>
      <c r="L176" t="str">
        <f>IF($J176="","",INDEX(บันทึกรายเที่ยว!$S$6:$S$10005,$J176))</f>
        <v/>
      </c>
      <c r="M176" t="str">
        <f>IF($J176="","",INDEX(บันทึกรายเที่ยว!$R$6:$R$10005,$J176))</f>
        <v/>
      </c>
      <c r="N176" t="str">
        <f>IF($J176="","",MATCH($M176,บันทึกรายเที่ยว!$R$6:$R$10005,0))</f>
        <v/>
      </c>
      <c r="O176" t="str">
        <f>IF($J176="","",MATCH($L176,บันทึกรายเที่ยว!$S$6:$S$10005,0))</f>
        <v/>
      </c>
      <c r="P176" t="str">
        <f>IF($J176="","",IF(AND(OR($I$3="(ทั้งหมด)",INDEX(บันทึกรายเที่ยว!$C$6:$C$10005,$J176)=$I$3),OR($I$5="(ทั้งหมด)",INDEX(บันทึกรายเที่ยว!$D$6:$D$10005,$J176)=$I$5),OR($I$7="(ทั้งหมด)",INDEX(บันทึกรายเที่ยว!$F$6:$F$10005,$J176)=$I$7)),$N176*10000000+$O176*1000+169,""))</f>
        <v/>
      </c>
      <c r="Q176" t="str">
        <f>IFERROR(MATCH(SMALL($P$8:$P$407,169),$P$8:$P$407,0),"")</f>
        <v/>
      </c>
      <c r="R176" t="str">
        <f t="shared" si="35"/>
        <v/>
      </c>
      <c r="S176" t="str">
        <f t="shared" si="36"/>
        <v/>
      </c>
      <c r="T176" t="str">
        <f t="shared" si="37"/>
        <v/>
      </c>
      <c r="U176" t="str">
        <f t="shared" si="38"/>
        <v/>
      </c>
      <c r="V176">
        <f t="shared" si="40"/>
        <v>0</v>
      </c>
      <c r="W176">
        <f t="shared" si="41"/>
        <v>0</v>
      </c>
      <c r="X176">
        <f>IF($Q176="",99999+169,$X175+1+$V175+$W175)</f>
        <v>100168</v>
      </c>
      <c r="Y176" t="str">
        <f>IF($Q176="","",INDEX(บันทึกรายเที่ยว!$Q$6:$Q$10005,$R176))</f>
        <v/>
      </c>
      <c r="Z176" t="str">
        <f>IF($Q176="","",INDEX(บันทึกรายเที่ยว!$F$6:$F$10005,$R176))</f>
        <v/>
      </c>
      <c r="AA176" t="str">
        <f>IFERROR(MATCH(169,$X$8:$X$407,1),"")</f>
        <v/>
      </c>
      <c r="AB176" t="str">
        <f>IF(169=$AD$1+1,"G",IF($AA176="","",IF(INDEX($Q$8:$Q$407,$AA176)="","",IF(169&gt;INDEX($X$8:$X$407,$AA176)+INDEX($V$8:$V$407,$AA176)+INDEX($W$8:$W$407,$AA176),"",IF(169=INDEX($X$8:$X$407,$AA176)+INDEX($V$8:$V$407,$AA176)+INDEX($W$8:$W$407,$AA176),"D",IF(AND(INDEX($W$8:$W$407,$AA176)=1,169=INDEX($X$8:$X$407,$AA176)+INDEX($V$8:$V$407,$AA176)),"S","R"))))))</f>
        <v/>
      </c>
      <c r="AC176" t="str">
        <f t="shared" si="39"/>
        <v/>
      </c>
      <c r="AE176">
        <f>IF($U176="",0,COUNTIF(บันทึกรายเที่ยว!$T$6:$T$10005,$U176))</f>
        <v>0</v>
      </c>
      <c r="AF176">
        <f>IF($U176="",0,ROUND(SUMIF(บันทึกรายเที่ยว!$T$6:$T$10005,$U176,บันทึกรายเที่ยว!$J$6:$J$10005),2))</f>
        <v>0</v>
      </c>
      <c r="AG176">
        <f>IF($U176="",0,ROUND(SUMIF(บันทึกรายเที่ยว!$T$6:$T$10005,$U176,บันทึกรายเที่ยว!$K$6:$K$10005),2))</f>
        <v>0</v>
      </c>
      <c r="AH176">
        <f>IF($U176="",0,ROUND(SUMIF(บันทึกรายเที่ยว!$T$6:$T$10005,$U176,บันทึกรายเที่ยว!$M$6:$M$10005),2))</f>
        <v>0</v>
      </c>
    </row>
    <row r="177" spans="1:34" ht="21" customHeight="1" x14ac:dyDescent="0.95">
      <c r="A177" s="3" t="str">
        <f t="shared" si="28"/>
        <v/>
      </c>
      <c r="B177" s="3" t="str">
        <f t="shared" si="29"/>
        <v/>
      </c>
      <c r="C177" s="8" t="str">
        <f t="shared" si="30"/>
        <v/>
      </c>
      <c r="D177" s="31" t="str">
        <f t="shared" si="31"/>
        <v/>
      </c>
      <c r="E177" s="32" t="str">
        <f>IF(170=$AD$1+3,"ขอแสดงความนับถือ",IF(170=$AD$1+6,"(                 )",IF(170=$AD$1+7,"เจ้าหน้าที่ขนส่ง",IF($AB177="G",SUM($AF$8:$AF$407),IF(OR($AB177="",$AB177="R"),"",IF($AB177="D",INDEX($AF$8:$AF$407,$AA177),SUMIF($T$8:$T$407,INDEX($T$8:$T$407,$AA177),$AF$8:$AF$407)))))))</f>
        <v/>
      </c>
      <c r="F177" s="32" t="str">
        <f t="shared" si="32"/>
        <v/>
      </c>
      <c r="G177" s="32" t="str">
        <f t="shared" si="33"/>
        <v/>
      </c>
      <c r="H177" s="32" t="str">
        <f t="shared" si="34"/>
        <v/>
      </c>
      <c r="J177" t="str">
        <f>IFERROR(MATCH(170,บันทึกรายเที่ยว!$W$6:$W$10005,0),"")</f>
        <v/>
      </c>
      <c r="K177" t="str">
        <f>IF($J177="","",INDEX(บันทึกรายเที่ยว!$T$6:$T$10005,$J177))</f>
        <v/>
      </c>
      <c r="L177" t="str">
        <f>IF($J177="","",INDEX(บันทึกรายเที่ยว!$S$6:$S$10005,$J177))</f>
        <v/>
      </c>
      <c r="M177" t="str">
        <f>IF($J177="","",INDEX(บันทึกรายเที่ยว!$R$6:$R$10005,$J177))</f>
        <v/>
      </c>
      <c r="N177" t="str">
        <f>IF($J177="","",MATCH($M177,บันทึกรายเที่ยว!$R$6:$R$10005,0))</f>
        <v/>
      </c>
      <c r="O177" t="str">
        <f>IF($J177="","",MATCH($L177,บันทึกรายเที่ยว!$S$6:$S$10005,0))</f>
        <v/>
      </c>
      <c r="P177" t="str">
        <f>IF($J177="","",IF(AND(OR($I$3="(ทั้งหมด)",INDEX(บันทึกรายเที่ยว!$C$6:$C$10005,$J177)=$I$3),OR($I$5="(ทั้งหมด)",INDEX(บันทึกรายเที่ยว!$D$6:$D$10005,$J177)=$I$5),OR($I$7="(ทั้งหมด)",INDEX(บันทึกรายเที่ยว!$F$6:$F$10005,$J177)=$I$7)),$N177*10000000+$O177*1000+170,""))</f>
        <v/>
      </c>
      <c r="Q177" t="str">
        <f>IFERROR(MATCH(SMALL($P$8:$P$407,170),$P$8:$P$407,0),"")</f>
        <v/>
      </c>
      <c r="R177" t="str">
        <f t="shared" si="35"/>
        <v/>
      </c>
      <c r="S177" t="str">
        <f t="shared" si="36"/>
        <v/>
      </c>
      <c r="T177" t="str">
        <f t="shared" si="37"/>
        <v/>
      </c>
      <c r="U177" t="str">
        <f t="shared" si="38"/>
        <v/>
      </c>
      <c r="V177">
        <f t="shared" si="40"/>
        <v>0</v>
      </c>
      <c r="W177">
        <f t="shared" si="41"/>
        <v>0</v>
      </c>
      <c r="X177">
        <f>IF($Q177="",99999+170,$X176+1+$V176+$W176)</f>
        <v>100169</v>
      </c>
      <c r="Y177" t="str">
        <f>IF($Q177="","",INDEX(บันทึกรายเที่ยว!$Q$6:$Q$10005,$R177))</f>
        <v/>
      </c>
      <c r="Z177" t="str">
        <f>IF($Q177="","",INDEX(บันทึกรายเที่ยว!$F$6:$F$10005,$R177))</f>
        <v/>
      </c>
      <c r="AA177" t="str">
        <f>IFERROR(MATCH(170,$X$8:$X$407,1),"")</f>
        <v/>
      </c>
      <c r="AB177" t="str">
        <f>IF(170=$AD$1+1,"G",IF($AA177="","",IF(INDEX($Q$8:$Q$407,$AA177)="","",IF(170&gt;INDEX($X$8:$X$407,$AA177)+INDEX($V$8:$V$407,$AA177)+INDEX($W$8:$W$407,$AA177),"",IF(170=INDEX($X$8:$X$407,$AA177)+INDEX($V$8:$V$407,$AA177)+INDEX($W$8:$W$407,$AA177),"D",IF(AND(INDEX($W$8:$W$407,$AA177)=1,170=INDEX($X$8:$X$407,$AA177)+INDEX($V$8:$V$407,$AA177)),"S","R"))))))</f>
        <v/>
      </c>
      <c r="AC177" t="str">
        <f t="shared" si="39"/>
        <v/>
      </c>
      <c r="AE177">
        <f>IF($U177="",0,COUNTIF(บันทึกรายเที่ยว!$T$6:$T$10005,$U177))</f>
        <v>0</v>
      </c>
      <c r="AF177">
        <f>IF($U177="",0,ROUND(SUMIF(บันทึกรายเที่ยว!$T$6:$T$10005,$U177,บันทึกรายเที่ยว!$J$6:$J$10005),2))</f>
        <v>0</v>
      </c>
      <c r="AG177">
        <f>IF($U177="",0,ROUND(SUMIF(บันทึกรายเที่ยว!$T$6:$T$10005,$U177,บันทึกรายเที่ยว!$K$6:$K$10005),2))</f>
        <v>0</v>
      </c>
      <c r="AH177">
        <f>IF($U177="",0,ROUND(SUMIF(บันทึกรายเที่ยว!$T$6:$T$10005,$U177,บันทึกรายเที่ยว!$M$6:$M$10005),2))</f>
        <v>0</v>
      </c>
    </row>
    <row r="178" spans="1:34" ht="21" customHeight="1" x14ac:dyDescent="0.95">
      <c r="A178" s="3" t="str">
        <f t="shared" si="28"/>
        <v/>
      </c>
      <c r="B178" s="3" t="str">
        <f t="shared" si="29"/>
        <v/>
      </c>
      <c r="C178" s="8" t="str">
        <f t="shared" si="30"/>
        <v/>
      </c>
      <c r="D178" s="31" t="str">
        <f t="shared" si="31"/>
        <v/>
      </c>
      <c r="E178" s="32" t="str">
        <f>IF(171=$AD$1+3,"ขอแสดงความนับถือ",IF(171=$AD$1+6,"(                 )",IF(171=$AD$1+7,"เจ้าหน้าที่ขนส่ง",IF($AB178="G",SUM($AF$8:$AF$407),IF(OR($AB178="",$AB178="R"),"",IF($AB178="D",INDEX($AF$8:$AF$407,$AA178),SUMIF($T$8:$T$407,INDEX($T$8:$T$407,$AA178),$AF$8:$AF$407)))))))</f>
        <v/>
      </c>
      <c r="F178" s="32" t="str">
        <f t="shared" si="32"/>
        <v/>
      </c>
      <c r="G178" s="32" t="str">
        <f t="shared" si="33"/>
        <v/>
      </c>
      <c r="H178" s="32" t="str">
        <f t="shared" si="34"/>
        <v/>
      </c>
      <c r="J178" t="str">
        <f>IFERROR(MATCH(171,บันทึกรายเที่ยว!$W$6:$W$10005,0),"")</f>
        <v/>
      </c>
      <c r="K178" t="str">
        <f>IF($J178="","",INDEX(บันทึกรายเที่ยว!$T$6:$T$10005,$J178))</f>
        <v/>
      </c>
      <c r="L178" t="str">
        <f>IF($J178="","",INDEX(บันทึกรายเที่ยว!$S$6:$S$10005,$J178))</f>
        <v/>
      </c>
      <c r="M178" t="str">
        <f>IF($J178="","",INDEX(บันทึกรายเที่ยว!$R$6:$R$10005,$J178))</f>
        <v/>
      </c>
      <c r="N178" t="str">
        <f>IF($J178="","",MATCH($M178,บันทึกรายเที่ยว!$R$6:$R$10005,0))</f>
        <v/>
      </c>
      <c r="O178" t="str">
        <f>IF($J178="","",MATCH($L178,บันทึกรายเที่ยว!$S$6:$S$10005,0))</f>
        <v/>
      </c>
      <c r="P178" t="str">
        <f>IF($J178="","",IF(AND(OR($I$3="(ทั้งหมด)",INDEX(บันทึกรายเที่ยว!$C$6:$C$10005,$J178)=$I$3),OR($I$5="(ทั้งหมด)",INDEX(บันทึกรายเที่ยว!$D$6:$D$10005,$J178)=$I$5),OR($I$7="(ทั้งหมด)",INDEX(บันทึกรายเที่ยว!$F$6:$F$10005,$J178)=$I$7)),$N178*10000000+$O178*1000+171,""))</f>
        <v/>
      </c>
      <c r="Q178" t="str">
        <f>IFERROR(MATCH(SMALL($P$8:$P$407,171),$P$8:$P$407,0),"")</f>
        <v/>
      </c>
      <c r="R178" t="str">
        <f t="shared" si="35"/>
        <v/>
      </c>
      <c r="S178" t="str">
        <f t="shared" si="36"/>
        <v/>
      </c>
      <c r="T178" t="str">
        <f t="shared" si="37"/>
        <v/>
      </c>
      <c r="U178" t="str">
        <f t="shared" si="38"/>
        <v/>
      </c>
      <c r="V178">
        <f t="shared" si="40"/>
        <v>0</v>
      </c>
      <c r="W178">
        <f t="shared" si="41"/>
        <v>0</v>
      </c>
      <c r="X178">
        <f>IF($Q178="",99999+171,$X177+1+$V177+$W177)</f>
        <v>100170</v>
      </c>
      <c r="Y178" t="str">
        <f>IF($Q178="","",INDEX(บันทึกรายเที่ยว!$Q$6:$Q$10005,$R178))</f>
        <v/>
      </c>
      <c r="Z178" t="str">
        <f>IF($Q178="","",INDEX(บันทึกรายเที่ยว!$F$6:$F$10005,$R178))</f>
        <v/>
      </c>
      <c r="AA178" t="str">
        <f>IFERROR(MATCH(171,$X$8:$X$407,1),"")</f>
        <v/>
      </c>
      <c r="AB178" t="str">
        <f>IF(171=$AD$1+1,"G",IF($AA178="","",IF(INDEX($Q$8:$Q$407,$AA178)="","",IF(171&gt;INDEX($X$8:$X$407,$AA178)+INDEX($V$8:$V$407,$AA178)+INDEX($W$8:$W$407,$AA178),"",IF(171=INDEX($X$8:$X$407,$AA178)+INDEX($V$8:$V$407,$AA178)+INDEX($W$8:$W$407,$AA178),"D",IF(AND(INDEX($W$8:$W$407,$AA178)=1,171=INDEX($X$8:$X$407,$AA178)+INDEX($V$8:$V$407,$AA178)),"S","R"))))))</f>
        <v/>
      </c>
      <c r="AC178" t="str">
        <f t="shared" si="39"/>
        <v/>
      </c>
      <c r="AE178">
        <f>IF($U178="",0,COUNTIF(บันทึกรายเที่ยว!$T$6:$T$10005,$U178))</f>
        <v>0</v>
      </c>
      <c r="AF178">
        <f>IF($U178="",0,ROUND(SUMIF(บันทึกรายเที่ยว!$T$6:$T$10005,$U178,บันทึกรายเที่ยว!$J$6:$J$10005),2))</f>
        <v>0</v>
      </c>
      <c r="AG178">
        <f>IF($U178="",0,ROUND(SUMIF(บันทึกรายเที่ยว!$T$6:$T$10005,$U178,บันทึกรายเที่ยว!$K$6:$K$10005),2))</f>
        <v>0</v>
      </c>
      <c r="AH178">
        <f>IF($U178="",0,ROUND(SUMIF(บันทึกรายเที่ยว!$T$6:$T$10005,$U178,บันทึกรายเที่ยว!$M$6:$M$10005),2))</f>
        <v>0</v>
      </c>
    </row>
    <row r="179" spans="1:34" ht="21" customHeight="1" x14ac:dyDescent="0.95">
      <c r="A179" s="3" t="str">
        <f t="shared" si="28"/>
        <v/>
      </c>
      <c r="B179" s="3" t="str">
        <f t="shared" si="29"/>
        <v/>
      </c>
      <c r="C179" s="8" t="str">
        <f t="shared" si="30"/>
        <v/>
      </c>
      <c r="D179" s="31" t="str">
        <f t="shared" si="31"/>
        <v/>
      </c>
      <c r="E179" s="32" t="str">
        <f>IF(172=$AD$1+3,"ขอแสดงความนับถือ",IF(172=$AD$1+6,"(                 )",IF(172=$AD$1+7,"เจ้าหน้าที่ขนส่ง",IF($AB179="G",SUM($AF$8:$AF$407),IF(OR($AB179="",$AB179="R"),"",IF($AB179="D",INDEX($AF$8:$AF$407,$AA179),SUMIF($T$8:$T$407,INDEX($T$8:$T$407,$AA179),$AF$8:$AF$407)))))))</f>
        <v/>
      </c>
      <c r="F179" s="32" t="str">
        <f t="shared" si="32"/>
        <v/>
      </c>
      <c r="G179" s="32" t="str">
        <f t="shared" si="33"/>
        <v/>
      </c>
      <c r="H179" s="32" t="str">
        <f t="shared" si="34"/>
        <v/>
      </c>
      <c r="J179" t="str">
        <f>IFERROR(MATCH(172,บันทึกรายเที่ยว!$W$6:$W$10005,0),"")</f>
        <v/>
      </c>
      <c r="K179" t="str">
        <f>IF($J179="","",INDEX(บันทึกรายเที่ยว!$T$6:$T$10005,$J179))</f>
        <v/>
      </c>
      <c r="L179" t="str">
        <f>IF($J179="","",INDEX(บันทึกรายเที่ยว!$S$6:$S$10005,$J179))</f>
        <v/>
      </c>
      <c r="M179" t="str">
        <f>IF($J179="","",INDEX(บันทึกรายเที่ยว!$R$6:$R$10005,$J179))</f>
        <v/>
      </c>
      <c r="N179" t="str">
        <f>IF($J179="","",MATCH($M179,บันทึกรายเที่ยว!$R$6:$R$10005,0))</f>
        <v/>
      </c>
      <c r="O179" t="str">
        <f>IF($J179="","",MATCH($L179,บันทึกรายเที่ยว!$S$6:$S$10005,0))</f>
        <v/>
      </c>
      <c r="P179" t="str">
        <f>IF($J179="","",IF(AND(OR($I$3="(ทั้งหมด)",INDEX(บันทึกรายเที่ยว!$C$6:$C$10005,$J179)=$I$3),OR($I$5="(ทั้งหมด)",INDEX(บันทึกรายเที่ยว!$D$6:$D$10005,$J179)=$I$5),OR($I$7="(ทั้งหมด)",INDEX(บันทึกรายเที่ยว!$F$6:$F$10005,$J179)=$I$7)),$N179*10000000+$O179*1000+172,""))</f>
        <v/>
      </c>
      <c r="Q179" t="str">
        <f>IFERROR(MATCH(SMALL($P$8:$P$407,172),$P$8:$P$407,0),"")</f>
        <v/>
      </c>
      <c r="R179" t="str">
        <f t="shared" si="35"/>
        <v/>
      </c>
      <c r="S179" t="str">
        <f t="shared" si="36"/>
        <v/>
      </c>
      <c r="T179" t="str">
        <f t="shared" si="37"/>
        <v/>
      </c>
      <c r="U179" t="str">
        <f t="shared" si="38"/>
        <v/>
      </c>
      <c r="V179">
        <f t="shared" si="40"/>
        <v>0</v>
      </c>
      <c r="W179">
        <f t="shared" si="41"/>
        <v>0</v>
      </c>
      <c r="X179">
        <f>IF($Q179="",99999+172,$X178+1+$V178+$W178)</f>
        <v>100171</v>
      </c>
      <c r="Y179" t="str">
        <f>IF($Q179="","",INDEX(บันทึกรายเที่ยว!$Q$6:$Q$10005,$R179))</f>
        <v/>
      </c>
      <c r="Z179" t="str">
        <f>IF($Q179="","",INDEX(บันทึกรายเที่ยว!$F$6:$F$10005,$R179))</f>
        <v/>
      </c>
      <c r="AA179" t="str">
        <f>IFERROR(MATCH(172,$X$8:$X$407,1),"")</f>
        <v/>
      </c>
      <c r="AB179" t="str">
        <f>IF(172=$AD$1+1,"G",IF($AA179="","",IF(INDEX($Q$8:$Q$407,$AA179)="","",IF(172&gt;INDEX($X$8:$X$407,$AA179)+INDEX($V$8:$V$407,$AA179)+INDEX($W$8:$W$407,$AA179),"",IF(172=INDEX($X$8:$X$407,$AA179)+INDEX($V$8:$V$407,$AA179)+INDEX($W$8:$W$407,$AA179),"D",IF(AND(INDEX($W$8:$W$407,$AA179)=1,172=INDEX($X$8:$X$407,$AA179)+INDEX($V$8:$V$407,$AA179)),"S","R"))))))</f>
        <v/>
      </c>
      <c r="AC179" t="str">
        <f t="shared" si="39"/>
        <v/>
      </c>
      <c r="AE179">
        <f>IF($U179="",0,COUNTIF(บันทึกรายเที่ยว!$T$6:$T$10005,$U179))</f>
        <v>0</v>
      </c>
      <c r="AF179">
        <f>IF($U179="",0,ROUND(SUMIF(บันทึกรายเที่ยว!$T$6:$T$10005,$U179,บันทึกรายเที่ยว!$J$6:$J$10005),2))</f>
        <v>0</v>
      </c>
      <c r="AG179">
        <f>IF($U179="",0,ROUND(SUMIF(บันทึกรายเที่ยว!$T$6:$T$10005,$U179,บันทึกรายเที่ยว!$K$6:$K$10005),2))</f>
        <v>0</v>
      </c>
      <c r="AH179">
        <f>IF($U179="",0,ROUND(SUMIF(บันทึกรายเที่ยว!$T$6:$T$10005,$U179,บันทึกรายเที่ยว!$M$6:$M$10005),2))</f>
        <v>0</v>
      </c>
    </row>
    <row r="180" spans="1:34" ht="21" customHeight="1" x14ac:dyDescent="0.95">
      <c r="A180" s="3" t="str">
        <f t="shared" si="28"/>
        <v/>
      </c>
      <c r="B180" s="3" t="str">
        <f t="shared" si="29"/>
        <v/>
      </c>
      <c r="C180" s="8" t="str">
        <f t="shared" si="30"/>
        <v/>
      </c>
      <c r="D180" s="31" t="str">
        <f t="shared" si="31"/>
        <v/>
      </c>
      <c r="E180" s="32" t="str">
        <f>IF(173=$AD$1+3,"ขอแสดงความนับถือ",IF(173=$AD$1+6,"(                 )",IF(173=$AD$1+7,"เจ้าหน้าที่ขนส่ง",IF($AB180="G",SUM($AF$8:$AF$407),IF(OR($AB180="",$AB180="R"),"",IF($AB180="D",INDEX($AF$8:$AF$407,$AA180),SUMIF($T$8:$T$407,INDEX($T$8:$T$407,$AA180),$AF$8:$AF$407)))))))</f>
        <v/>
      </c>
      <c r="F180" s="32" t="str">
        <f t="shared" si="32"/>
        <v/>
      </c>
      <c r="G180" s="32" t="str">
        <f t="shared" si="33"/>
        <v/>
      </c>
      <c r="H180" s="32" t="str">
        <f t="shared" si="34"/>
        <v/>
      </c>
      <c r="J180" t="str">
        <f>IFERROR(MATCH(173,บันทึกรายเที่ยว!$W$6:$W$10005,0),"")</f>
        <v/>
      </c>
      <c r="K180" t="str">
        <f>IF($J180="","",INDEX(บันทึกรายเที่ยว!$T$6:$T$10005,$J180))</f>
        <v/>
      </c>
      <c r="L180" t="str">
        <f>IF($J180="","",INDEX(บันทึกรายเที่ยว!$S$6:$S$10005,$J180))</f>
        <v/>
      </c>
      <c r="M180" t="str">
        <f>IF($J180="","",INDEX(บันทึกรายเที่ยว!$R$6:$R$10005,$J180))</f>
        <v/>
      </c>
      <c r="N180" t="str">
        <f>IF($J180="","",MATCH($M180,บันทึกรายเที่ยว!$R$6:$R$10005,0))</f>
        <v/>
      </c>
      <c r="O180" t="str">
        <f>IF($J180="","",MATCH($L180,บันทึกรายเที่ยว!$S$6:$S$10005,0))</f>
        <v/>
      </c>
      <c r="P180" t="str">
        <f>IF($J180="","",IF(AND(OR($I$3="(ทั้งหมด)",INDEX(บันทึกรายเที่ยว!$C$6:$C$10005,$J180)=$I$3),OR($I$5="(ทั้งหมด)",INDEX(บันทึกรายเที่ยว!$D$6:$D$10005,$J180)=$I$5),OR($I$7="(ทั้งหมด)",INDEX(บันทึกรายเที่ยว!$F$6:$F$10005,$J180)=$I$7)),$N180*10000000+$O180*1000+173,""))</f>
        <v/>
      </c>
      <c r="Q180" t="str">
        <f>IFERROR(MATCH(SMALL($P$8:$P$407,173),$P$8:$P$407,0),"")</f>
        <v/>
      </c>
      <c r="R180" t="str">
        <f t="shared" si="35"/>
        <v/>
      </c>
      <c r="S180" t="str">
        <f t="shared" si="36"/>
        <v/>
      </c>
      <c r="T180" t="str">
        <f t="shared" si="37"/>
        <v/>
      </c>
      <c r="U180" t="str">
        <f t="shared" si="38"/>
        <v/>
      </c>
      <c r="V180">
        <f t="shared" si="40"/>
        <v>0</v>
      </c>
      <c r="W180">
        <f t="shared" si="41"/>
        <v>0</v>
      </c>
      <c r="X180">
        <f>IF($Q180="",99999+173,$X179+1+$V179+$W179)</f>
        <v>100172</v>
      </c>
      <c r="Y180" t="str">
        <f>IF($Q180="","",INDEX(บันทึกรายเที่ยว!$Q$6:$Q$10005,$R180))</f>
        <v/>
      </c>
      <c r="Z180" t="str">
        <f>IF($Q180="","",INDEX(บันทึกรายเที่ยว!$F$6:$F$10005,$R180))</f>
        <v/>
      </c>
      <c r="AA180" t="str">
        <f>IFERROR(MATCH(173,$X$8:$X$407,1),"")</f>
        <v/>
      </c>
      <c r="AB180" t="str">
        <f>IF(173=$AD$1+1,"G",IF($AA180="","",IF(INDEX($Q$8:$Q$407,$AA180)="","",IF(173&gt;INDEX($X$8:$X$407,$AA180)+INDEX($V$8:$V$407,$AA180)+INDEX($W$8:$W$407,$AA180),"",IF(173=INDEX($X$8:$X$407,$AA180)+INDEX($V$8:$V$407,$AA180)+INDEX($W$8:$W$407,$AA180),"D",IF(AND(INDEX($W$8:$W$407,$AA180)=1,173=INDEX($X$8:$X$407,$AA180)+INDEX($V$8:$V$407,$AA180)),"S","R"))))))</f>
        <v/>
      </c>
      <c r="AC180" t="str">
        <f t="shared" si="39"/>
        <v/>
      </c>
      <c r="AE180">
        <f>IF($U180="",0,COUNTIF(บันทึกรายเที่ยว!$T$6:$T$10005,$U180))</f>
        <v>0</v>
      </c>
      <c r="AF180">
        <f>IF($U180="",0,ROUND(SUMIF(บันทึกรายเที่ยว!$T$6:$T$10005,$U180,บันทึกรายเที่ยว!$J$6:$J$10005),2))</f>
        <v>0</v>
      </c>
      <c r="AG180">
        <f>IF($U180="",0,ROUND(SUMIF(บันทึกรายเที่ยว!$T$6:$T$10005,$U180,บันทึกรายเที่ยว!$K$6:$K$10005),2))</f>
        <v>0</v>
      </c>
      <c r="AH180">
        <f>IF($U180="",0,ROUND(SUMIF(บันทึกรายเที่ยว!$T$6:$T$10005,$U180,บันทึกรายเที่ยว!$M$6:$M$10005),2))</f>
        <v>0</v>
      </c>
    </row>
    <row r="181" spans="1:34" ht="21" customHeight="1" x14ac:dyDescent="0.95">
      <c r="A181" s="3" t="str">
        <f t="shared" si="28"/>
        <v/>
      </c>
      <c r="B181" s="3" t="str">
        <f t="shared" si="29"/>
        <v/>
      </c>
      <c r="C181" s="8" t="str">
        <f t="shared" si="30"/>
        <v/>
      </c>
      <c r="D181" s="31" t="str">
        <f t="shared" si="31"/>
        <v/>
      </c>
      <c r="E181" s="32" t="str">
        <f>IF(174=$AD$1+3,"ขอแสดงความนับถือ",IF(174=$AD$1+6,"(                 )",IF(174=$AD$1+7,"เจ้าหน้าที่ขนส่ง",IF($AB181="G",SUM($AF$8:$AF$407),IF(OR($AB181="",$AB181="R"),"",IF($AB181="D",INDEX($AF$8:$AF$407,$AA181),SUMIF($T$8:$T$407,INDEX($T$8:$T$407,$AA181),$AF$8:$AF$407)))))))</f>
        <v/>
      </c>
      <c r="F181" s="32" t="str">
        <f t="shared" si="32"/>
        <v/>
      </c>
      <c r="G181" s="32" t="str">
        <f t="shared" si="33"/>
        <v/>
      </c>
      <c r="H181" s="32" t="str">
        <f t="shared" si="34"/>
        <v/>
      </c>
      <c r="J181" t="str">
        <f>IFERROR(MATCH(174,บันทึกรายเที่ยว!$W$6:$W$10005,0),"")</f>
        <v/>
      </c>
      <c r="K181" t="str">
        <f>IF($J181="","",INDEX(บันทึกรายเที่ยว!$T$6:$T$10005,$J181))</f>
        <v/>
      </c>
      <c r="L181" t="str">
        <f>IF($J181="","",INDEX(บันทึกรายเที่ยว!$S$6:$S$10005,$J181))</f>
        <v/>
      </c>
      <c r="M181" t="str">
        <f>IF($J181="","",INDEX(บันทึกรายเที่ยว!$R$6:$R$10005,$J181))</f>
        <v/>
      </c>
      <c r="N181" t="str">
        <f>IF($J181="","",MATCH($M181,บันทึกรายเที่ยว!$R$6:$R$10005,0))</f>
        <v/>
      </c>
      <c r="O181" t="str">
        <f>IF($J181="","",MATCH($L181,บันทึกรายเที่ยว!$S$6:$S$10005,0))</f>
        <v/>
      </c>
      <c r="P181" t="str">
        <f>IF($J181="","",IF(AND(OR($I$3="(ทั้งหมด)",INDEX(บันทึกรายเที่ยว!$C$6:$C$10005,$J181)=$I$3),OR($I$5="(ทั้งหมด)",INDEX(บันทึกรายเที่ยว!$D$6:$D$10005,$J181)=$I$5),OR($I$7="(ทั้งหมด)",INDEX(บันทึกรายเที่ยว!$F$6:$F$10005,$J181)=$I$7)),$N181*10000000+$O181*1000+174,""))</f>
        <v/>
      </c>
      <c r="Q181" t="str">
        <f>IFERROR(MATCH(SMALL($P$8:$P$407,174),$P$8:$P$407,0),"")</f>
        <v/>
      </c>
      <c r="R181" t="str">
        <f t="shared" si="35"/>
        <v/>
      </c>
      <c r="S181" t="str">
        <f t="shared" si="36"/>
        <v/>
      </c>
      <c r="T181" t="str">
        <f t="shared" si="37"/>
        <v/>
      </c>
      <c r="U181" t="str">
        <f t="shared" si="38"/>
        <v/>
      </c>
      <c r="V181">
        <f t="shared" si="40"/>
        <v>0</v>
      </c>
      <c r="W181">
        <f t="shared" si="41"/>
        <v>0</v>
      </c>
      <c r="X181">
        <f>IF($Q181="",99999+174,$X180+1+$V180+$W180)</f>
        <v>100173</v>
      </c>
      <c r="Y181" t="str">
        <f>IF($Q181="","",INDEX(บันทึกรายเที่ยว!$Q$6:$Q$10005,$R181))</f>
        <v/>
      </c>
      <c r="Z181" t="str">
        <f>IF($Q181="","",INDEX(บันทึกรายเที่ยว!$F$6:$F$10005,$R181))</f>
        <v/>
      </c>
      <c r="AA181" t="str">
        <f>IFERROR(MATCH(174,$X$8:$X$407,1),"")</f>
        <v/>
      </c>
      <c r="AB181" t="str">
        <f>IF(174=$AD$1+1,"G",IF($AA181="","",IF(INDEX($Q$8:$Q$407,$AA181)="","",IF(174&gt;INDEX($X$8:$X$407,$AA181)+INDEX($V$8:$V$407,$AA181)+INDEX($W$8:$W$407,$AA181),"",IF(174=INDEX($X$8:$X$407,$AA181)+INDEX($V$8:$V$407,$AA181)+INDEX($W$8:$W$407,$AA181),"D",IF(AND(INDEX($W$8:$W$407,$AA181)=1,174=INDEX($X$8:$X$407,$AA181)+INDEX($V$8:$V$407,$AA181)),"S","R"))))))</f>
        <v/>
      </c>
      <c r="AC181" t="str">
        <f t="shared" si="39"/>
        <v/>
      </c>
      <c r="AE181">
        <f>IF($U181="",0,COUNTIF(บันทึกรายเที่ยว!$T$6:$T$10005,$U181))</f>
        <v>0</v>
      </c>
      <c r="AF181">
        <f>IF($U181="",0,ROUND(SUMIF(บันทึกรายเที่ยว!$T$6:$T$10005,$U181,บันทึกรายเที่ยว!$J$6:$J$10005),2))</f>
        <v>0</v>
      </c>
      <c r="AG181">
        <f>IF($U181="",0,ROUND(SUMIF(บันทึกรายเที่ยว!$T$6:$T$10005,$U181,บันทึกรายเที่ยว!$K$6:$K$10005),2))</f>
        <v>0</v>
      </c>
      <c r="AH181">
        <f>IF($U181="",0,ROUND(SUMIF(บันทึกรายเที่ยว!$T$6:$T$10005,$U181,บันทึกรายเที่ยว!$M$6:$M$10005),2))</f>
        <v>0</v>
      </c>
    </row>
    <row r="182" spans="1:34" ht="21" customHeight="1" x14ac:dyDescent="0.95">
      <c r="A182" s="3" t="str">
        <f t="shared" si="28"/>
        <v/>
      </c>
      <c r="B182" s="3" t="str">
        <f t="shared" si="29"/>
        <v/>
      </c>
      <c r="C182" s="8" t="str">
        <f t="shared" si="30"/>
        <v/>
      </c>
      <c r="D182" s="31" t="str">
        <f t="shared" si="31"/>
        <v/>
      </c>
      <c r="E182" s="32" t="str">
        <f>IF(175=$AD$1+3,"ขอแสดงความนับถือ",IF(175=$AD$1+6,"(                 )",IF(175=$AD$1+7,"เจ้าหน้าที่ขนส่ง",IF($AB182="G",SUM($AF$8:$AF$407),IF(OR($AB182="",$AB182="R"),"",IF($AB182="D",INDEX($AF$8:$AF$407,$AA182),SUMIF($T$8:$T$407,INDEX($T$8:$T$407,$AA182),$AF$8:$AF$407)))))))</f>
        <v/>
      </c>
      <c r="F182" s="32" t="str">
        <f t="shared" si="32"/>
        <v/>
      </c>
      <c r="G182" s="32" t="str">
        <f t="shared" si="33"/>
        <v/>
      </c>
      <c r="H182" s="32" t="str">
        <f t="shared" si="34"/>
        <v/>
      </c>
      <c r="J182" t="str">
        <f>IFERROR(MATCH(175,บันทึกรายเที่ยว!$W$6:$W$10005,0),"")</f>
        <v/>
      </c>
      <c r="K182" t="str">
        <f>IF($J182="","",INDEX(บันทึกรายเที่ยว!$T$6:$T$10005,$J182))</f>
        <v/>
      </c>
      <c r="L182" t="str">
        <f>IF($J182="","",INDEX(บันทึกรายเที่ยว!$S$6:$S$10005,$J182))</f>
        <v/>
      </c>
      <c r="M182" t="str">
        <f>IF($J182="","",INDEX(บันทึกรายเที่ยว!$R$6:$R$10005,$J182))</f>
        <v/>
      </c>
      <c r="N182" t="str">
        <f>IF($J182="","",MATCH($M182,บันทึกรายเที่ยว!$R$6:$R$10005,0))</f>
        <v/>
      </c>
      <c r="O182" t="str">
        <f>IF($J182="","",MATCH($L182,บันทึกรายเที่ยว!$S$6:$S$10005,0))</f>
        <v/>
      </c>
      <c r="P182" t="str">
        <f>IF($J182="","",IF(AND(OR($I$3="(ทั้งหมด)",INDEX(บันทึกรายเที่ยว!$C$6:$C$10005,$J182)=$I$3),OR($I$5="(ทั้งหมด)",INDEX(บันทึกรายเที่ยว!$D$6:$D$10005,$J182)=$I$5),OR($I$7="(ทั้งหมด)",INDEX(บันทึกรายเที่ยว!$F$6:$F$10005,$J182)=$I$7)),$N182*10000000+$O182*1000+175,""))</f>
        <v/>
      </c>
      <c r="Q182" t="str">
        <f>IFERROR(MATCH(SMALL($P$8:$P$407,175),$P$8:$P$407,0),"")</f>
        <v/>
      </c>
      <c r="R182" t="str">
        <f t="shared" si="35"/>
        <v/>
      </c>
      <c r="S182" t="str">
        <f t="shared" si="36"/>
        <v/>
      </c>
      <c r="T182" t="str">
        <f t="shared" si="37"/>
        <v/>
      </c>
      <c r="U182" t="str">
        <f t="shared" si="38"/>
        <v/>
      </c>
      <c r="V182">
        <f t="shared" si="40"/>
        <v>0</v>
      </c>
      <c r="W182">
        <f t="shared" si="41"/>
        <v>0</v>
      </c>
      <c r="X182">
        <f>IF($Q182="",99999+175,$X181+1+$V181+$W181)</f>
        <v>100174</v>
      </c>
      <c r="Y182" t="str">
        <f>IF($Q182="","",INDEX(บันทึกรายเที่ยว!$Q$6:$Q$10005,$R182))</f>
        <v/>
      </c>
      <c r="Z182" t="str">
        <f>IF($Q182="","",INDEX(บันทึกรายเที่ยว!$F$6:$F$10005,$R182))</f>
        <v/>
      </c>
      <c r="AA182" t="str">
        <f>IFERROR(MATCH(175,$X$8:$X$407,1),"")</f>
        <v/>
      </c>
      <c r="AB182" t="str">
        <f>IF(175=$AD$1+1,"G",IF($AA182="","",IF(INDEX($Q$8:$Q$407,$AA182)="","",IF(175&gt;INDEX($X$8:$X$407,$AA182)+INDEX($V$8:$V$407,$AA182)+INDEX($W$8:$W$407,$AA182),"",IF(175=INDEX($X$8:$X$407,$AA182)+INDEX($V$8:$V$407,$AA182)+INDEX($W$8:$W$407,$AA182),"D",IF(AND(INDEX($W$8:$W$407,$AA182)=1,175=INDEX($X$8:$X$407,$AA182)+INDEX($V$8:$V$407,$AA182)),"S","R"))))))</f>
        <v/>
      </c>
      <c r="AC182" t="str">
        <f t="shared" si="39"/>
        <v/>
      </c>
      <c r="AE182">
        <f>IF($U182="",0,COUNTIF(บันทึกรายเที่ยว!$T$6:$T$10005,$U182))</f>
        <v>0</v>
      </c>
      <c r="AF182">
        <f>IF($U182="",0,ROUND(SUMIF(บันทึกรายเที่ยว!$T$6:$T$10005,$U182,บันทึกรายเที่ยว!$J$6:$J$10005),2))</f>
        <v>0</v>
      </c>
      <c r="AG182">
        <f>IF($U182="",0,ROUND(SUMIF(บันทึกรายเที่ยว!$T$6:$T$10005,$U182,บันทึกรายเที่ยว!$K$6:$K$10005),2))</f>
        <v>0</v>
      </c>
      <c r="AH182">
        <f>IF($U182="",0,ROUND(SUMIF(บันทึกรายเที่ยว!$T$6:$T$10005,$U182,บันทึกรายเที่ยว!$M$6:$M$10005),2))</f>
        <v>0</v>
      </c>
    </row>
    <row r="183" spans="1:34" ht="21" customHeight="1" x14ac:dyDescent="0.95">
      <c r="A183" s="3" t="str">
        <f t="shared" si="28"/>
        <v/>
      </c>
      <c r="B183" s="3" t="str">
        <f t="shared" si="29"/>
        <v/>
      </c>
      <c r="C183" s="8" t="str">
        <f t="shared" si="30"/>
        <v/>
      </c>
      <c r="D183" s="31" t="str">
        <f t="shared" si="31"/>
        <v/>
      </c>
      <c r="E183" s="32" t="str">
        <f>IF(176=$AD$1+3,"ขอแสดงความนับถือ",IF(176=$AD$1+6,"(                 )",IF(176=$AD$1+7,"เจ้าหน้าที่ขนส่ง",IF($AB183="G",SUM($AF$8:$AF$407),IF(OR($AB183="",$AB183="R"),"",IF($AB183="D",INDEX($AF$8:$AF$407,$AA183),SUMIF($T$8:$T$407,INDEX($T$8:$T$407,$AA183),$AF$8:$AF$407)))))))</f>
        <v/>
      </c>
      <c r="F183" s="32" t="str">
        <f t="shared" si="32"/>
        <v/>
      </c>
      <c r="G183" s="32" t="str">
        <f t="shared" si="33"/>
        <v/>
      </c>
      <c r="H183" s="32" t="str">
        <f t="shared" si="34"/>
        <v/>
      </c>
      <c r="J183" t="str">
        <f>IFERROR(MATCH(176,บันทึกรายเที่ยว!$W$6:$W$10005,0),"")</f>
        <v/>
      </c>
      <c r="K183" t="str">
        <f>IF($J183="","",INDEX(บันทึกรายเที่ยว!$T$6:$T$10005,$J183))</f>
        <v/>
      </c>
      <c r="L183" t="str">
        <f>IF($J183="","",INDEX(บันทึกรายเที่ยว!$S$6:$S$10005,$J183))</f>
        <v/>
      </c>
      <c r="M183" t="str">
        <f>IF($J183="","",INDEX(บันทึกรายเที่ยว!$R$6:$R$10005,$J183))</f>
        <v/>
      </c>
      <c r="N183" t="str">
        <f>IF($J183="","",MATCH($M183,บันทึกรายเที่ยว!$R$6:$R$10005,0))</f>
        <v/>
      </c>
      <c r="O183" t="str">
        <f>IF($J183="","",MATCH($L183,บันทึกรายเที่ยว!$S$6:$S$10005,0))</f>
        <v/>
      </c>
      <c r="P183" t="str">
        <f>IF($J183="","",IF(AND(OR($I$3="(ทั้งหมด)",INDEX(บันทึกรายเที่ยว!$C$6:$C$10005,$J183)=$I$3),OR($I$5="(ทั้งหมด)",INDEX(บันทึกรายเที่ยว!$D$6:$D$10005,$J183)=$I$5),OR($I$7="(ทั้งหมด)",INDEX(บันทึกรายเที่ยว!$F$6:$F$10005,$J183)=$I$7)),$N183*10000000+$O183*1000+176,""))</f>
        <v/>
      </c>
      <c r="Q183" t="str">
        <f>IFERROR(MATCH(SMALL($P$8:$P$407,176),$P$8:$P$407,0),"")</f>
        <v/>
      </c>
      <c r="R183" t="str">
        <f t="shared" si="35"/>
        <v/>
      </c>
      <c r="S183" t="str">
        <f t="shared" si="36"/>
        <v/>
      </c>
      <c r="T183" t="str">
        <f t="shared" si="37"/>
        <v/>
      </c>
      <c r="U183" t="str">
        <f t="shared" si="38"/>
        <v/>
      </c>
      <c r="V183">
        <f t="shared" si="40"/>
        <v>0</v>
      </c>
      <c r="W183">
        <f t="shared" si="41"/>
        <v>0</v>
      </c>
      <c r="X183">
        <f>IF($Q183="",99999+176,$X182+1+$V182+$W182)</f>
        <v>100175</v>
      </c>
      <c r="Y183" t="str">
        <f>IF($Q183="","",INDEX(บันทึกรายเที่ยว!$Q$6:$Q$10005,$R183))</f>
        <v/>
      </c>
      <c r="Z183" t="str">
        <f>IF($Q183="","",INDEX(บันทึกรายเที่ยว!$F$6:$F$10005,$R183))</f>
        <v/>
      </c>
      <c r="AA183" t="str">
        <f>IFERROR(MATCH(176,$X$8:$X$407,1),"")</f>
        <v/>
      </c>
      <c r="AB183" t="str">
        <f>IF(176=$AD$1+1,"G",IF($AA183="","",IF(INDEX($Q$8:$Q$407,$AA183)="","",IF(176&gt;INDEX($X$8:$X$407,$AA183)+INDEX($V$8:$V$407,$AA183)+INDEX($W$8:$W$407,$AA183),"",IF(176=INDEX($X$8:$X$407,$AA183)+INDEX($V$8:$V$407,$AA183)+INDEX($W$8:$W$407,$AA183),"D",IF(AND(INDEX($W$8:$W$407,$AA183)=1,176=INDEX($X$8:$X$407,$AA183)+INDEX($V$8:$V$407,$AA183)),"S","R"))))))</f>
        <v/>
      </c>
      <c r="AC183" t="str">
        <f t="shared" si="39"/>
        <v/>
      </c>
      <c r="AE183">
        <f>IF($U183="",0,COUNTIF(บันทึกรายเที่ยว!$T$6:$T$10005,$U183))</f>
        <v>0</v>
      </c>
      <c r="AF183">
        <f>IF($U183="",0,ROUND(SUMIF(บันทึกรายเที่ยว!$T$6:$T$10005,$U183,บันทึกรายเที่ยว!$J$6:$J$10005),2))</f>
        <v>0</v>
      </c>
      <c r="AG183">
        <f>IF($U183="",0,ROUND(SUMIF(บันทึกรายเที่ยว!$T$6:$T$10005,$U183,บันทึกรายเที่ยว!$K$6:$K$10005),2))</f>
        <v>0</v>
      </c>
      <c r="AH183">
        <f>IF($U183="",0,ROUND(SUMIF(บันทึกรายเที่ยว!$T$6:$T$10005,$U183,บันทึกรายเที่ยว!$M$6:$M$10005),2))</f>
        <v>0</v>
      </c>
    </row>
    <row r="184" spans="1:34" ht="21" customHeight="1" x14ac:dyDescent="0.95">
      <c r="A184" s="3" t="str">
        <f t="shared" si="28"/>
        <v/>
      </c>
      <c r="B184" s="3" t="str">
        <f t="shared" si="29"/>
        <v/>
      </c>
      <c r="C184" s="8" t="str">
        <f t="shared" si="30"/>
        <v/>
      </c>
      <c r="D184" s="31" t="str">
        <f t="shared" si="31"/>
        <v/>
      </c>
      <c r="E184" s="32" t="str">
        <f>IF(177=$AD$1+3,"ขอแสดงความนับถือ",IF(177=$AD$1+6,"(                 )",IF(177=$AD$1+7,"เจ้าหน้าที่ขนส่ง",IF($AB184="G",SUM($AF$8:$AF$407),IF(OR($AB184="",$AB184="R"),"",IF($AB184="D",INDEX($AF$8:$AF$407,$AA184),SUMIF($T$8:$T$407,INDEX($T$8:$T$407,$AA184),$AF$8:$AF$407)))))))</f>
        <v/>
      </c>
      <c r="F184" s="32" t="str">
        <f t="shared" si="32"/>
        <v/>
      </c>
      <c r="G184" s="32" t="str">
        <f t="shared" si="33"/>
        <v/>
      </c>
      <c r="H184" s="32" t="str">
        <f t="shared" si="34"/>
        <v/>
      </c>
      <c r="J184" t="str">
        <f>IFERROR(MATCH(177,บันทึกรายเที่ยว!$W$6:$W$10005,0),"")</f>
        <v/>
      </c>
      <c r="K184" t="str">
        <f>IF($J184="","",INDEX(บันทึกรายเที่ยว!$T$6:$T$10005,$J184))</f>
        <v/>
      </c>
      <c r="L184" t="str">
        <f>IF($J184="","",INDEX(บันทึกรายเที่ยว!$S$6:$S$10005,$J184))</f>
        <v/>
      </c>
      <c r="M184" t="str">
        <f>IF($J184="","",INDEX(บันทึกรายเที่ยว!$R$6:$R$10005,$J184))</f>
        <v/>
      </c>
      <c r="N184" t="str">
        <f>IF($J184="","",MATCH($M184,บันทึกรายเที่ยว!$R$6:$R$10005,0))</f>
        <v/>
      </c>
      <c r="O184" t="str">
        <f>IF($J184="","",MATCH($L184,บันทึกรายเที่ยว!$S$6:$S$10005,0))</f>
        <v/>
      </c>
      <c r="P184" t="str">
        <f>IF($J184="","",IF(AND(OR($I$3="(ทั้งหมด)",INDEX(บันทึกรายเที่ยว!$C$6:$C$10005,$J184)=$I$3),OR($I$5="(ทั้งหมด)",INDEX(บันทึกรายเที่ยว!$D$6:$D$10005,$J184)=$I$5),OR($I$7="(ทั้งหมด)",INDEX(บันทึกรายเที่ยว!$F$6:$F$10005,$J184)=$I$7)),$N184*10000000+$O184*1000+177,""))</f>
        <v/>
      </c>
      <c r="Q184" t="str">
        <f>IFERROR(MATCH(SMALL($P$8:$P$407,177),$P$8:$P$407,0),"")</f>
        <v/>
      </c>
      <c r="R184" t="str">
        <f t="shared" si="35"/>
        <v/>
      </c>
      <c r="S184" t="str">
        <f t="shared" si="36"/>
        <v/>
      </c>
      <c r="T184" t="str">
        <f t="shared" si="37"/>
        <v/>
      </c>
      <c r="U184" t="str">
        <f t="shared" si="38"/>
        <v/>
      </c>
      <c r="V184">
        <f t="shared" si="40"/>
        <v>0</v>
      </c>
      <c r="W184">
        <f t="shared" si="41"/>
        <v>0</v>
      </c>
      <c r="X184">
        <f>IF($Q184="",99999+177,$X183+1+$V183+$W183)</f>
        <v>100176</v>
      </c>
      <c r="Y184" t="str">
        <f>IF($Q184="","",INDEX(บันทึกรายเที่ยว!$Q$6:$Q$10005,$R184))</f>
        <v/>
      </c>
      <c r="Z184" t="str">
        <f>IF($Q184="","",INDEX(บันทึกรายเที่ยว!$F$6:$F$10005,$R184))</f>
        <v/>
      </c>
      <c r="AA184" t="str">
        <f>IFERROR(MATCH(177,$X$8:$X$407,1),"")</f>
        <v/>
      </c>
      <c r="AB184" t="str">
        <f>IF(177=$AD$1+1,"G",IF($AA184="","",IF(INDEX($Q$8:$Q$407,$AA184)="","",IF(177&gt;INDEX($X$8:$X$407,$AA184)+INDEX($V$8:$V$407,$AA184)+INDEX($W$8:$W$407,$AA184),"",IF(177=INDEX($X$8:$X$407,$AA184)+INDEX($V$8:$V$407,$AA184)+INDEX($W$8:$W$407,$AA184),"D",IF(AND(INDEX($W$8:$W$407,$AA184)=1,177=INDEX($X$8:$X$407,$AA184)+INDEX($V$8:$V$407,$AA184)),"S","R"))))))</f>
        <v/>
      </c>
      <c r="AC184" t="str">
        <f t="shared" si="39"/>
        <v/>
      </c>
      <c r="AE184">
        <f>IF($U184="",0,COUNTIF(บันทึกรายเที่ยว!$T$6:$T$10005,$U184))</f>
        <v>0</v>
      </c>
      <c r="AF184">
        <f>IF($U184="",0,ROUND(SUMIF(บันทึกรายเที่ยว!$T$6:$T$10005,$U184,บันทึกรายเที่ยว!$J$6:$J$10005),2))</f>
        <v>0</v>
      </c>
      <c r="AG184">
        <f>IF($U184="",0,ROUND(SUMIF(บันทึกรายเที่ยว!$T$6:$T$10005,$U184,บันทึกรายเที่ยว!$K$6:$K$10005),2))</f>
        <v>0</v>
      </c>
      <c r="AH184">
        <f>IF($U184="",0,ROUND(SUMIF(บันทึกรายเที่ยว!$T$6:$T$10005,$U184,บันทึกรายเที่ยว!$M$6:$M$10005),2))</f>
        <v>0</v>
      </c>
    </row>
    <row r="185" spans="1:34" ht="21" customHeight="1" x14ac:dyDescent="0.95">
      <c r="A185" s="3" t="str">
        <f t="shared" si="28"/>
        <v/>
      </c>
      <c r="B185" s="3" t="str">
        <f t="shared" si="29"/>
        <v/>
      </c>
      <c r="C185" s="8" t="str">
        <f t="shared" si="30"/>
        <v/>
      </c>
      <c r="D185" s="31" t="str">
        <f t="shared" si="31"/>
        <v/>
      </c>
      <c r="E185" s="32" t="str">
        <f>IF(178=$AD$1+3,"ขอแสดงความนับถือ",IF(178=$AD$1+6,"(                 )",IF(178=$AD$1+7,"เจ้าหน้าที่ขนส่ง",IF($AB185="G",SUM($AF$8:$AF$407),IF(OR($AB185="",$AB185="R"),"",IF($AB185="D",INDEX($AF$8:$AF$407,$AA185),SUMIF($T$8:$T$407,INDEX($T$8:$T$407,$AA185),$AF$8:$AF$407)))))))</f>
        <v/>
      </c>
      <c r="F185" s="32" t="str">
        <f t="shared" si="32"/>
        <v/>
      </c>
      <c r="G185" s="32" t="str">
        <f t="shared" si="33"/>
        <v/>
      </c>
      <c r="H185" s="32" t="str">
        <f t="shared" si="34"/>
        <v/>
      </c>
      <c r="J185" t="str">
        <f>IFERROR(MATCH(178,บันทึกรายเที่ยว!$W$6:$W$10005,0),"")</f>
        <v/>
      </c>
      <c r="K185" t="str">
        <f>IF($J185="","",INDEX(บันทึกรายเที่ยว!$T$6:$T$10005,$J185))</f>
        <v/>
      </c>
      <c r="L185" t="str">
        <f>IF($J185="","",INDEX(บันทึกรายเที่ยว!$S$6:$S$10005,$J185))</f>
        <v/>
      </c>
      <c r="M185" t="str">
        <f>IF($J185="","",INDEX(บันทึกรายเที่ยว!$R$6:$R$10005,$J185))</f>
        <v/>
      </c>
      <c r="N185" t="str">
        <f>IF($J185="","",MATCH($M185,บันทึกรายเที่ยว!$R$6:$R$10005,0))</f>
        <v/>
      </c>
      <c r="O185" t="str">
        <f>IF($J185="","",MATCH($L185,บันทึกรายเที่ยว!$S$6:$S$10005,0))</f>
        <v/>
      </c>
      <c r="P185" t="str">
        <f>IF($J185="","",IF(AND(OR($I$3="(ทั้งหมด)",INDEX(บันทึกรายเที่ยว!$C$6:$C$10005,$J185)=$I$3),OR($I$5="(ทั้งหมด)",INDEX(บันทึกรายเที่ยว!$D$6:$D$10005,$J185)=$I$5),OR($I$7="(ทั้งหมด)",INDEX(บันทึกรายเที่ยว!$F$6:$F$10005,$J185)=$I$7)),$N185*10000000+$O185*1000+178,""))</f>
        <v/>
      </c>
      <c r="Q185" t="str">
        <f>IFERROR(MATCH(SMALL($P$8:$P$407,178),$P$8:$P$407,0),"")</f>
        <v/>
      </c>
      <c r="R185" t="str">
        <f t="shared" si="35"/>
        <v/>
      </c>
      <c r="S185" t="str">
        <f t="shared" si="36"/>
        <v/>
      </c>
      <c r="T185" t="str">
        <f t="shared" si="37"/>
        <v/>
      </c>
      <c r="U185" t="str">
        <f t="shared" si="38"/>
        <v/>
      </c>
      <c r="V185">
        <f t="shared" si="40"/>
        <v>0</v>
      </c>
      <c r="W185">
        <f t="shared" si="41"/>
        <v>0</v>
      </c>
      <c r="X185">
        <f>IF($Q185="",99999+178,$X184+1+$V184+$W184)</f>
        <v>100177</v>
      </c>
      <c r="Y185" t="str">
        <f>IF($Q185="","",INDEX(บันทึกรายเที่ยว!$Q$6:$Q$10005,$R185))</f>
        <v/>
      </c>
      <c r="Z185" t="str">
        <f>IF($Q185="","",INDEX(บันทึกรายเที่ยว!$F$6:$F$10005,$R185))</f>
        <v/>
      </c>
      <c r="AA185" t="str">
        <f>IFERROR(MATCH(178,$X$8:$X$407,1),"")</f>
        <v/>
      </c>
      <c r="AB185" t="str">
        <f>IF(178=$AD$1+1,"G",IF($AA185="","",IF(INDEX($Q$8:$Q$407,$AA185)="","",IF(178&gt;INDEX($X$8:$X$407,$AA185)+INDEX($V$8:$V$407,$AA185)+INDEX($W$8:$W$407,$AA185),"",IF(178=INDEX($X$8:$X$407,$AA185)+INDEX($V$8:$V$407,$AA185)+INDEX($W$8:$W$407,$AA185),"D",IF(AND(INDEX($W$8:$W$407,$AA185)=1,178=INDEX($X$8:$X$407,$AA185)+INDEX($V$8:$V$407,$AA185)),"S","R"))))))</f>
        <v/>
      </c>
      <c r="AC185" t="str">
        <f t="shared" si="39"/>
        <v/>
      </c>
      <c r="AE185">
        <f>IF($U185="",0,COUNTIF(บันทึกรายเที่ยว!$T$6:$T$10005,$U185))</f>
        <v>0</v>
      </c>
      <c r="AF185">
        <f>IF($U185="",0,ROUND(SUMIF(บันทึกรายเที่ยว!$T$6:$T$10005,$U185,บันทึกรายเที่ยว!$J$6:$J$10005),2))</f>
        <v>0</v>
      </c>
      <c r="AG185">
        <f>IF($U185="",0,ROUND(SUMIF(บันทึกรายเที่ยว!$T$6:$T$10005,$U185,บันทึกรายเที่ยว!$K$6:$K$10005),2))</f>
        <v>0</v>
      </c>
      <c r="AH185">
        <f>IF($U185="",0,ROUND(SUMIF(บันทึกรายเที่ยว!$T$6:$T$10005,$U185,บันทึกรายเที่ยว!$M$6:$M$10005),2))</f>
        <v>0</v>
      </c>
    </row>
    <row r="186" spans="1:34" ht="21" customHeight="1" x14ac:dyDescent="0.95">
      <c r="A186" s="3" t="str">
        <f t="shared" si="28"/>
        <v/>
      </c>
      <c r="B186" s="3" t="str">
        <f t="shared" si="29"/>
        <v/>
      </c>
      <c r="C186" s="8" t="str">
        <f t="shared" si="30"/>
        <v/>
      </c>
      <c r="D186" s="31" t="str">
        <f t="shared" si="31"/>
        <v/>
      </c>
      <c r="E186" s="32" t="str">
        <f>IF(179=$AD$1+3,"ขอแสดงความนับถือ",IF(179=$AD$1+6,"(                 )",IF(179=$AD$1+7,"เจ้าหน้าที่ขนส่ง",IF($AB186="G",SUM($AF$8:$AF$407),IF(OR($AB186="",$AB186="R"),"",IF($AB186="D",INDEX($AF$8:$AF$407,$AA186),SUMIF($T$8:$T$407,INDEX($T$8:$T$407,$AA186),$AF$8:$AF$407)))))))</f>
        <v/>
      </c>
      <c r="F186" s="32" t="str">
        <f t="shared" si="32"/>
        <v/>
      </c>
      <c r="G186" s="32" t="str">
        <f t="shared" si="33"/>
        <v/>
      </c>
      <c r="H186" s="32" t="str">
        <f t="shared" si="34"/>
        <v/>
      </c>
      <c r="J186" t="str">
        <f>IFERROR(MATCH(179,บันทึกรายเที่ยว!$W$6:$W$10005,0),"")</f>
        <v/>
      </c>
      <c r="K186" t="str">
        <f>IF($J186="","",INDEX(บันทึกรายเที่ยว!$T$6:$T$10005,$J186))</f>
        <v/>
      </c>
      <c r="L186" t="str">
        <f>IF($J186="","",INDEX(บันทึกรายเที่ยว!$S$6:$S$10005,$J186))</f>
        <v/>
      </c>
      <c r="M186" t="str">
        <f>IF($J186="","",INDEX(บันทึกรายเที่ยว!$R$6:$R$10005,$J186))</f>
        <v/>
      </c>
      <c r="N186" t="str">
        <f>IF($J186="","",MATCH($M186,บันทึกรายเที่ยว!$R$6:$R$10005,0))</f>
        <v/>
      </c>
      <c r="O186" t="str">
        <f>IF($J186="","",MATCH($L186,บันทึกรายเที่ยว!$S$6:$S$10005,0))</f>
        <v/>
      </c>
      <c r="P186" t="str">
        <f>IF($J186="","",IF(AND(OR($I$3="(ทั้งหมด)",INDEX(บันทึกรายเที่ยว!$C$6:$C$10005,$J186)=$I$3),OR($I$5="(ทั้งหมด)",INDEX(บันทึกรายเที่ยว!$D$6:$D$10005,$J186)=$I$5),OR($I$7="(ทั้งหมด)",INDEX(บันทึกรายเที่ยว!$F$6:$F$10005,$J186)=$I$7)),$N186*10000000+$O186*1000+179,""))</f>
        <v/>
      </c>
      <c r="Q186" t="str">
        <f>IFERROR(MATCH(SMALL($P$8:$P$407,179),$P$8:$P$407,0),"")</f>
        <v/>
      </c>
      <c r="R186" t="str">
        <f t="shared" si="35"/>
        <v/>
      </c>
      <c r="S186" t="str">
        <f t="shared" si="36"/>
        <v/>
      </c>
      <c r="T186" t="str">
        <f t="shared" si="37"/>
        <v/>
      </c>
      <c r="U186" t="str">
        <f t="shared" si="38"/>
        <v/>
      </c>
      <c r="V186">
        <f t="shared" si="40"/>
        <v>0</v>
      </c>
      <c r="W186">
        <f t="shared" si="41"/>
        <v>0</v>
      </c>
      <c r="X186">
        <f>IF($Q186="",99999+179,$X185+1+$V185+$W185)</f>
        <v>100178</v>
      </c>
      <c r="Y186" t="str">
        <f>IF($Q186="","",INDEX(บันทึกรายเที่ยว!$Q$6:$Q$10005,$R186))</f>
        <v/>
      </c>
      <c r="Z186" t="str">
        <f>IF($Q186="","",INDEX(บันทึกรายเที่ยว!$F$6:$F$10005,$R186))</f>
        <v/>
      </c>
      <c r="AA186" t="str">
        <f>IFERROR(MATCH(179,$X$8:$X$407,1),"")</f>
        <v/>
      </c>
      <c r="AB186" t="str">
        <f>IF(179=$AD$1+1,"G",IF($AA186="","",IF(INDEX($Q$8:$Q$407,$AA186)="","",IF(179&gt;INDEX($X$8:$X$407,$AA186)+INDEX($V$8:$V$407,$AA186)+INDEX($W$8:$W$407,$AA186),"",IF(179=INDEX($X$8:$X$407,$AA186)+INDEX($V$8:$V$407,$AA186)+INDEX($W$8:$W$407,$AA186),"D",IF(AND(INDEX($W$8:$W$407,$AA186)=1,179=INDEX($X$8:$X$407,$AA186)+INDEX($V$8:$V$407,$AA186)),"S","R"))))))</f>
        <v/>
      </c>
      <c r="AC186" t="str">
        <f t="shared" si="39"/>
        <v/>
      </c>
      <c r="AE186">
        <f>IF($U186="",0,COUNTIF(บันทึกรายเที่ยว!$T$6:$T$10005,$U186))</f>
        <v>0</v>
      </c>
      <c r="AF186">
        <f>IF($U186="",0,ROUND(SUMIF(บันทึกรายเที่ยว!$T$6:$T$10005,$U186,บันทึกรายเที่ยว!$J$6:$J$10005),2))</f>
        <v>0</v>
      </c>
      <c r="AG186">
        <f>IF($U186="",0,ROUND(SUMIF(บันทึกรายเที่ยว!$T$6:$T$10005,$U186,บันทึกรายเที่ยว!$K$6:$K$10005),2))</f>
        <v>0</v>
      </c>
      <c r="AH186">
        <f>IF($U186="",0,ROUND(SUMIF(บันทึกรายเที่ยว!$T$6:$T$10005,$U186,บันทึกรายเที่ยว!$M$6:$M$10005),2))</f>
        <v>0</v>
      </c>
    </row>
    <row r="187" spans="1:34" ht="21" customHeight="1" x14ac:dyDescent="0.95">
      <c r="A187" s="3" t="str">
        <f t="shared" si="28"/>
        <v/>
      </c>
      <c r="B187" s="3" t="str">
        <f t="shared" si="29"/>
        <v/>
      </c>
      <c r="C187" s="8" t="str">
        <f t="shared" si="30"/>
        <v/>
      </c>
      <c r="D187" s="31" t="str">
        <f t="shared" si="31"/>
        <v/>
      </c>
      <c r="E187" s="32" t="str">
        <f>IF(180=$AD$1+3,"ขอแสดงความนับถือ",IF(180=$AD$1+6,"(                 )",IF(180=$AD$1+7,"เจ้าหน้าที่ขนส่ง",IF($AB187="G",SUM($AF$8:$AF$407),IF(OR($AB187="",$AB187="R"),"",IF($AB187="D",INDEX($AF$8:$AF$407,$AA187),SUMIF($T$8:$T$407,INDEX($T$8:$T$407,$AA187),$AF$8:$AF$407)))))))</f>
        <v/>
      </c>
      <c r="F187" s="32" t="str">
        <f t="shared" si="32"/>
        <v/>
      </c>
      <c r="G187" s="32" t="str">
        <f t="shared" si="33"/>
        <v/>
      </c>
      <c r="H187" s="32" t="str">
        <f t="shared" si="34"/>
        <v/>
      </c>
      <c r="J187" t="str">
        <f>IFERROR(MATCH(180,บันทึกรายเที่ยว!$W$6:$W$10005,0),"")</f>
        <v/>
      </c>
      <c r="K187" t="str">
        <f>IF($J187="","",INDEX(บันทึกรายเที่ยว!$T$6:$T$10005,$J187))</f>
        <v/>
      </c>
      <c r="L187" t="str">
        <f>IF($J187="","",INDEX(บันทึกรายเที่ยว!$S$6:$S$10005,$J187))</f>
        <v/>
      </c>
      <c r="M187" t="str">
        <f>IF($J187="","",INDEX(บันทึกรายเที่ยว!$R$6:$R$10005,$J187))</f>
        <v/>
      </c>
      <c r="N187" t="str">
        <f>IF($J187="","",MATCH($M187,บันทึกรายเที่ยว!$R$6:$R$10005,0))</f>
        <v/>
      </c>
      <c r="O187" t="str">
        <f>IF($J187="","",MATCH($L187,บันทึกรายเที่ยว!$S$6:$S$10005,0))</f>
        <v/>
      </c>
      <c r="P187" t="str">
        <f>IF($J187="","",IF(AND(OR($I$3="(ทั้งหมด)",INDEX(บันทึกรายเที่ยว!$C$6:$C$10005,$J187)=$I$3),OR($I$5="(ทั้งหมด)",INDEX(บันทึกรายเที่ยว!$D$6:$D$10005,$J187)=$I$5),OR($I$7="(ทั้งหมด)",INDEX(บันทึกรายเที่ยว!$F$6:$F$10005,$J187)=$I$7)),$N187*10000000+$O187*1000+180,""))</f>
        <v/>
      </c>
      <c r="Q187" t="str">
        <f>IFERROR(MATCH(SMALL($P$8:$P$407,180),$P$8:$P$407,0),"")</f>
        <v/>
      </c>
      <c r="R187" t="str">
        <f t="shared" si="35"/>
        <v/>
      </c>
      <c r="S187" t="str">
        <f t="shared" si="36"/>
        <v/>
      </c>
      <c r="T187" t="str">
        <f t="shared" si="37"/>
        <v/>
      </c>
      <c r="U187" t="str">
        <f t="shared" si="38"/>
        <v/>
      </c>
      <c r="V187">
        <f t="shared" si="40"/>
        <v>0</v>
      </c>
      <c r="W187">
        <f t="shared" si="41"/>
        <v>0</v>
      </c>
      <c r="X187">
        <f>IF($Q187="",99999+180,$X186+1+$V186+$W186)</f>
        <v>100179</v>
      </c>
      <c r="Y187" t="str">
        <f>IF($Q187="","",INDEX(บันทึกรายเที่ยว!$Q$6:$Q$10005,$R187))</f>
        <v/>
      </c>
      <c r="Z187" t="str">
        <f>IF($Q187="","",INDEX(บันทึกรายเที่ยว!$F$6:$F$10005,$R187))</f>
        <v/>
      </c>
      <c r="AA187" t="str">
        <f>IFERROR(MATCH(180,$X$8:$X$407,1),"")</f>
        <v/>
      </c>
      <c r="AB187" t="str">
        <f>IF(180=$AD$1+1,"G",IF($AA187="","",IF(INDEX($Q$8:$Q$407,$AA187)="","",IF(180&gt;INDEX($X$8:$X$407,$AA187)+INDEX($V$8:$V$407,$AA187)+INDEX($W$8:$W$407,$AA187),"",IF(180=INDEX($X$8:$X$407,$AA187)+INDEX($V$8:$V$407,$AA187)+INDEX($W$8:$W$407,$AA187),"D",IF(AND(INDEX($W$8:$W$407,$AA187)=1,180=INDEX($X$8:$X$407,$AA187)+INDEX($V$8:$V$407,$AA187)),"S","R"))))))</f>
        <v/>
      </c>
      <c r="AC187" t="str">
        <f t="shared" si="39"/>
        <v/>
      </c>
      <c r="AE187">
        <f>IF($U187="",0,COUNTIF(บันทึกรายเที่ยว!$T$6:$T$10005,$U187))</f>
        <v>0</v>
      </c>
      <c r="AF187">
        <f>IF($U187="",0,ROUND(SUMIF(บันทึกรายเที่ยว!$T$6:$T$10005,$U187,บันทึกรายเที่ยว!$J$6:$J$10005),2))</f>
        <v>0</v>
      </c>
      <c r="AG187">
        <f>IF($U187="",0,ROUND(SUMIF(บันทึกรายเที่ยว!$T$6:$T$10005,$U187,บันทึกรายเที่ยว!$K$6:$K$10005),2))</f>
        <v>0</v>
      </c>
      <c r="AH187">
        <f>IF($U187="",0,ROUND(SUMIF(บันทึกรายเที่ยว!$T$6:$T$10005,$U187,บันทึกรายเที่ยว!$M$6:$M$10005),2))</f>
        <v>0</v>
      </c>
    </row>
    <row r="188" spans="1:34" ht="21" customHeight="1" x14ac:dyDescent="0.95">
      <c r="A188" s="3" t="str">
        <f t="shared" si="28"/>
        <v/>
      </c>
      <c r="B188" s="3" t="str">
        <f t="shared" si="29"/>
        <v/>
      </c>
      <c r="C188" s="8" t="str">
        <f t="shared" si="30"/>
        <v/>
      </c>
      <c r="D188" s="31" t="str">
        <f t="shared" si="31"/>
        <v/>
      </c>
      <c r="E188" s="32" t="str">
        <f>IF(181=$AD$1+3,"ขอแสดงความนับถือ",IF(181=$AD$1+6,"(                 )",IF(181=$AD$1+7,"เจ้าหน้าที่ขนส่ง",IF($AB188="G",SUM($AF$8:$AF$407),IF(OR($AB188="",$AB188="R"),"",IF($AB188="D",INDEX($AF$8:$AF$407,$AA188),SUMIF($T$8:$T$407,INDEX($T$8:$T$407,$AA188),$AF$8:$AF$407)))))))</f>
        <v/>
      </c>
      <c r="F188" s="32" t="str">
        <f t="shared" si="32"/>
        <v/>
      </c>
      <c r="G188" s="32" t="str">
        <f t="shared" si="33"/>
        <v/>
      </c>
      <c r="H188" s="32" t="str">
        <f t="shared" si="34"/>
        <v/>
      </c>
      <c r="J188" t="str">
        <f>IFERROR(MATCH(181,บันทึกรายเที่ยว!$W$6:$W$10005,0),"")</f>
        <v/>
      </c>
      <c r="K188" t="str">
        <f>IF($J188="","",INDEX(บันทึกรายเที่ยว!$T$6:$T$10005,$J188))</f>
        <v/>
      </c>
      <c r="L188" t="str">
        <f>IF($J188="","",INDEX(บันทึกรายเที่ยว!$S$6:$S$10005,$J188))</f>
        <v/>
      </c>
      <c r="M188" t="str">
        <f>IF($J188="","",INDEX(บันทึกรายเที่ยว!$R$6:$R$10005,$J188))</f>
        <v/>
      </c>
      <c r="N188" t="str">
        <f>IF($J188="","",MATCH($M188,บันทึกรายเที่ยว!$R$6:$R$10005,0))</f>
        <v/>
      </c>
      <c r="O188" t="str">
        <f>IF($J188="","",MATCH($L188,บันทึกรายเที่ยว!$S$6:$S$10005,0))</f>
        <v/>
      </c>
      <c r="P188" t="str">
        <f>IF($J188="","",IF(AND(OR($I$3="(ทั้งหมด)",INDEX(บันทึกรายเที่ยว!$C$6:$C$10005,$J188)=$I$3),OR($I$5="(ทั้งหมด)",INDEX(บันทึกรายเที่ยว!$D$6:$D$10005,$J188)=$I$5),OR($I$7="(ทั้งหมด)",INDEX(บันทึกรายเที่ยว!$F$6:$F$10005,$J188)=$I$7)),$N188*10000000+$O188*1000+181,""))</f>
        <v/>
      </c>
      <c r="Q188" t="str">
        <f>IFERROR(MATCH(SMALL($P$8:$P$407,181),$P$8:$P$407,0),"")</f>
        <v/>
      </c>
      <c r="R188" t="str">
        <f t="shared" si="35"/>
        <v/>
      </c>
      <c r="S188" t="str">
        <f t="shared" si="36"/>
        <v/>
      </c>
      <c r="T188" t="str">
        <f t="shared" si="37"/>
        <v/>
      </c>
      <c r="U188" t="str">
        <f t="shared" si="38"/>
        <v/>
      </c>
      <c r="V188">
        <f t="shared" si="40"/>
        <v>0</v>
      </c>
      <c r="W188">
        <f t="shared" si="41"/>
        <v>0</v>
      </c>
      <c r="X188">
        <f>IF($Q188="",99999+181,$X187+1+$V187+$W187)</f>
        <v>100180</v>
      </c>
      <c r="Y188" t="str">
        <f>IF($Q188="","",INDEX(บันทึกรายเที่ยว!$Q$6:$Q$10005,$R188))</f>
        <v/>
      </c>
      <c r="Z188" t="str">
        <f>IF($Q188="","",INDEX(บันทึกรายเที่ยว!$F$6:$F$10005,$R188))</f>
        <v/>
      </c>
      <c r="AA188" t="str">
        <f>IFERROR(MATCH(181,$X$8:$X$407,1),"")</f>
        <v/>
      </c>
      <c r="AB188" t="str">
        <f>IF(181=$AD$1+1,"G",IF($AA188="","",IF(INDEX($Q$8:$Q$407,$AA188)="","",IF(181&gt;INDEX($X$8:$X$407,$AA188)+INDEX($V$8:$V$407,$AA188)+INDEX($W$8:$W$407,$AA188),"",IF(181=INDEX($X$8:$X$407,$AA188)+INDEX($V$8:$V$407,$AA188)+INDEX($W$8:$W$407,$AA188),"D",IF(AND(INDEX($W$8:$W$407,$AA188)=1,181=INDEX($X$8:$X$407,$AA188)+INDEX($V$8:$V$407,$AA188)),"S","R"))))))</f>
        <v/>
      </c>
      <c r="AC188" t="str">
        <f t="shared" si="39"/>
        <v/>
      </c>
      <c r="AE188">
        <f>IF($U188="",0,COUNTIF(บันทึกรายเที่ยว!$T$6:$T$10005,$U188))</f>
        <v>0</v>
      </c>
      <c r="AF188">
        <f>IF($U188="",0,ROUND(SUMIF(บันทึกรายเที่ยว!$T$6:$T$10005,$U188,บันทึกรายเที่ยว!$J$6:$J$10005),2))</f>
        <v>0</v>
      </c>
      <c r="AG188">
        <f>IF($U188="",0,ROUND(SUMIF(บันทึกรายเที่ยว!$T$6:$T$10005,$U188,บันทึกรายเที่ยว!$K$6:$K$10005),2))</f>
        <v>0</v>
      </c>
      <c r="AH188">
        <f>IF($U188="",0,ROUND(SUMIF(บันทึกรายเที่ยว!$T$6:$T$10005,$U188,บันทึกรายเที่ยว!$M$6:$M$10005),2))</f>
        <v>0</v>
      </c>
    </row>
    <row r="189" spans="1:34" ht="21" customHeight="1" x14ac:dyDescent="0.95">
      <c r="A189" s="3" t="str">
        <f t="shared" si="28"/>
        <v/>
      </c>
      <c r="B189" s="3" t="str">
        <f t="shared" si="29"/>
        <v/>
      </c>
      <c r="C189" s="8" t="str">
        <f t="shared" si="30"/>
        <v/>
      </c>
      <c r="D189" s="31" t="str">
        <f t="shared" si="31"/>
        <v/>
      </c>
      <c r="E189" s="32" t="str">
        <f>IF(182=$AD$1+3,"ขอแสดงความนับถือ",IF(182=$AD$1+6,"(                 )",IF(182=$AD$1+7,"เจ้าหน้าที่ขนส่ง",IF($AB189="G",SUM($AF$8:$AF$407),IF(OR($AB189="",$AB189="R"),"",IF($AB189="D",INDEX($AF$8:$AF$407,$AA189),SUMIF($T$8:$T$407,INDEX($T$8:$T$407,$AA189),$AF$8:$AF$407)))))))</f>
        <v/>
      </c>
      <c r="F189" s="32" t="str">
        <f t="shared" si="32"/>
        <v/>
      </c>
      <c r="G189" s="32" t="str">
        <f t="shared" si="33"/>
        <v/>
      </c>
      <c r="H189" s="32" t="str">
        <f t="shared" si="34"/>
        <v/>
      </c>
      <c r="J189" t="str">
        <f>IFERROR(MATCH(182,บันทึกรายเที่ยว!$W$6:$W$10005,0),"")</f>
        <v/>
      </c>
      <c r="K189" t="str">
        <f>IF($J189="","",INDEX(บันทึกรายเที่ยว!$T$6:$T$10005,$J189))</f>
        <v/>
      </c>
      <c r="L189" t="str">
        <f>IF($J189="","",INDEX(บันทึกรายเที่ยว!$S$6:$S$10005,$J189))</f>
        <v/>
      </c>
      <c r="M189" t="str">
        <f>IF($J189="","",INDEX(บันทึกรายเที่ยว!$R$6:$R$10005,$J189))</f>
        <v/>
      </c>
      <c r="N189" t="str">
        <f>IF($J189="","",MATCH($M189,บันทึกรายเที่ยว!$R$6:$R$10005,0))</f>
        <v/>
      </c>
      <c r="O189" t="str">
        <f>IF($J189="","",MATCH($L189,บันทึกรายเที่ยว!$S$6:$S$10005,0))</f>
        <v/>
      </c>
      <c r="P189" t="str">
        <f>IF($J189="","",IF(AND(OR($I$3="(ทั้งหมด)",INDEX(บันทึกรายเที่ยว!$C$6:$C$10005,$J189)=$I$3),OR($I$5="(ทั้งหมด)",INDEX(บันทึกรายเที่ยว!$D$6:$D$10005,$J189)=$I$5),OR($I$7="(ทั้งหมด)",INDEX(บันทึกรายเที่ยว!$F$6:$F$10005,$J189)=$I$7)),$N189*10000000+$O189*1000+182,""))</f>
        <v/>
      </c>
      <c r="Q189" t="str">
        <f>IFERROR(MATCH(SMALL($P$8:$P$407,182),$P$8:$P$407,0),"")</f>
        <v/>
      </c>
      <c r="R189" t="str">
        <f t="shared" si="35"/>
        <v/>
      </c>
      <c r="S189" t="str">
        <f t="shared" si="36"/>
        <v/>
      </c>
      <c r="T189" t="str">
        <f t="shared" si="37"/>
        <v/>
      </c>
      <c r="U189" t="str">
        <f t="shared" si="38"/>
        <v/>
      </c>
      <c r="V189">
        <f t="shared" si="40"/>
        <v>0</v>
      </c>
      <c r="W189">
        <f t="shared" si="41"/>
        <v>0</v>
      </c>
      <c r="X189">
        <f>IF($Q189="",99999+182,$X188+1+$V188+$W188)</f>
        <v>100181</v>
      </c>
      <c r="Y189" t="str">
        <f>IF($Q189="","",INDEX(บันทึกรายเที่ยว!$Q$6:$Q$10005,$R189))</f>
        <v/>
      </c>
      <c r="Z189" t="str">
        <f>IF($Q189="","",INDEX(บันทึกรายเที่ยว!$F$6:$F$10005,$R189))</f>
        <v/>
      </c>
      <c r="AA189" t="str">
        <f>IFERROR(MATCH(182,$X$8:$X$407,1),"")</f>
        <v/>
      </c>
      <c r="AB189" t="str">
        <f>IF(182=$AD$1+1,"G",IF($AA189="","",IF(INDEX($Q$8:$Q$407,$AA189)="","",IF(182&gt;INDEX($X$8:$X$407,$AA189)+INDEX($V$8:$V$407,$AA189)+INDEX($W$8:$W$407,$AA189),"",IF(182=INDEX($X$8:$X$407,$AA189)+INDEX($V$8:$V$407,$AA189)+INDEX($W$8:$W$407,$AA189),"D",IF(AND(INDEX($W$8:$W$407,$AA189)=1,182=INDEX($X$8:$X$407,$AA189)+INDEX($V$8:$V$407,$AA189)),"S","R"))))))</f>
        <v/>
      </c>
      <c r="AC189" t="str">
        <f t="shared" si="39"/>
        <v/>
      </c>
      <c r="AE189">
        <f>IF($U189="",0,COUNTIF(บันทึกรายเที่ยว!$T$6:$T$10005,$U189))</f>
        <v>0</v>
      </c>
      <c r="AF189">
        <f>IF($U189="",0,ROUND(SUMIF(บันทึกรายเที่ยว!$T$6:$T$10005,$U189,บันทึกรายเที่ยว!$J$6:$J$10005),2))</f>
        <v>0</v>
      </c>
      <c r="AG189">
        <f>IF($U189="",0,ROUND(SUMIF(บันทึกรายเที่ยว!$T$6:$T$10005,$U189,บันทึกรายเที่ยว!$K$6:$K$10005),2))</f>
        <v>0</v>
      </c>
      <c r="AH189">
        <f>IF($U189="",0,ROUND(SUMIF(บันทึกรายเที่ยว!$T$6:$T$10005,$U189,บันทึกรายเที่ยว!$M$6:$M$10005),2))</f>
        <v>0</v>
      </c>
    </row>
    <row r="190" spans="1:34" ht="21" customHeight="1" x14ac:dyDescent="0.95">
      <c r="A190" s="3" t="str">
        <f t="shared" si="28"/>
        <v/>
      </c>
      <c r="B190" s="3" t="str">
        <f t="shared" si="29"/>
        <v/>
      </c>
      <c r="C190" s="8" t="str">
        <f t="shared" si="30"/>
        <v/>
      </c>
      <c r="D190" s="31" t="str">
        <f t="shared" si="31"/>
        <v/>
      </c>
      <c r="E190" s="32" t="str">
        <f>IF(183=$AD$1+3,"ขอแสดงความนับถือ",IF(183=$AD$1+6,"(                 )",IF(183=$AD$1+7,"เจ้าหน้าที่ขนส่ง",IF($AB190="G",SUM($AF$8:$AF$407),IF(OR($AB190="",$AB190="R"),"",IF($AB190="D",INDEX($AF$8:$AF$407,$AA190),SUMIF($T$8:$T$407,INDEX($T$8:$T$407,$AA190),$AF$8:$AF$407)))))))</f>
        <v/>
      </c>
      <c r="F190" s="32" t="str">
        <f t="shared" si="32"/>
        <v/>
      </c>
      <c r="G190" s="32" t="str">
        <f t="shared" si="33"/>
        <v/>
      </c>
      <c r="H190" s="32" t="str">
        <f t="shared" si="34"/>
        <v/>
      </c>
      <c r="J190" t="str">
        <f>IFERROR(MATCH(183,บันทึกรายเที่ยว!$W$6:$W$10005,0),"")</f>
        <v/>
      </c>
      <c r="K190" t="str">
        <f>IF($J190="","",INDEX(บันทึกรายเที่ยว!$T$6:$T$10005,$J190))</f>
        <v/>
      </c>
      <c r="L190" t="str">
        <f>IF($J190="","",INDEX(บันทึกรายเที่ยว!$S$6:$S$10005,$J190))</f>
        <v/>
      </c>
      <c r="M190" t="str">
        <f>IF($J190="","",INDEX(บันทึกรายเที่ยว!$R$6:$R$10005,$J190))</f>
        <v/>
      </c>
      <c r="N190" t="str">
        <f>IF($J190="","",MATCH($M190,บันทึกรายเที่ยว!$R$6:$R$10005,0))</f>
        <v/>
      </c>
      <c r="O190" t="str">
        <f>IF($J190="","",MATCH($L190,บันทึกรายเที่ยว!$S$6:$S$10005,0))</f>
        <v/>
      </c>
      <c r="P190" t="str">
        <f>IF($J190="","",IF(AND(OR($I$3="(ทั้งหมด)",INDEX(บันทึกรายเที่ยว!$C$6:$C$10005,$J190)=$I$3),OR($I$5="(ทั้งหมด)",INDEX(บันทึกรายเที่ยว!$D$6:$D$10005,$J190)=$I$5),OR($I$7="(ทั้งหมด)",INDEX(บันทึกรายเที่ยว!$F$6:$F$10005,$J190)=$I$7)),$N190*10000000+$O190*1000+183,""))</f>
        <v/>
      </c>
      <c r="Q190" t="str">
        <f>IFERROR(MATCH(SMALL($P$8:$P$407,183),$P$8:$P$407,0),"")</f>
        <v/>
      </c>
      <c r="R190" t="str">
        <f t="shared" si="35"/>
        <v/>
      </c>
      <c r="S190" t="str">
        <f t="shared" si="36"/>
        <v/>
      </c>
      <c r="T190" t="str">
        <f t="shared" si="37"/>
        <v/>
      </c>
      <c r="U190" t="str">
        <f t="shared" si="38"/>
        <v/>
      </c>
      <c r="V190">
        <f t="shared" si="40"/>
        <v>0</v>
      </c>
      <c r="W190">
        <f t="shared" si="41"/>
        <v>0</v>
      </c>
      <c r="X190">
        <f>IF($Q190="",99999+183,$X189+1+$V189+$W189)</f>
        <v>100182</v>
      </c>
      <c r="Y190" t="str">
        <f>IF($Q190="","",INDEX(บันทึกรายเที่ยว!$Q$6:$Q$10005,$R190))</f>
        <v/>
      </c>
      <c r="Z190" t="str">
        <f>IF($Q190="","",INDEX(บันทึกรายเที่ยว!$F$6:$F$10005,$R190))</f>
        <v/>
      </c>
      <c r="AA190" t="str">
        <f>IFERROR(MATCH(183,$X$8:$X$407,1),"")</f>
        <v/>
      </c>
      <c r="AB190" t="str">
        <f>IF(183=$AD$1+1,"G",IF($AA190="","",IF(INDEX($Q$8:$Q$407,$AA190)="","",IF(183&gt;INDEX($X$8:$X$407,$AA190)+INDEX($V$8:$V$407,$AA190)+INDEX($W$8:$W$407,$AA190),"",IF(183=INDEX($X$8:$X$407,$AA190)+INDEX($V$8:$V$407,$AA190)+INDEX($W$8:$W$407,$AA190),"D",IF(AND(INDEX($W$8:$W$407,$AA190)=1,183=INDEX($X$8:$X$407,$AA190)+INDEX($V$8:$V$407,$AA190)),"S","R"))))))</f>
        <v/>
      </c>
      <c r="AC190" t="str">
        <f t="shared" si="39"/>
        <v/>
      </c>
      <c r="AE190">
        <f>IF($U190="",0,COUNTIF(บันทึกรายเที่ยว!$T$6:$T$10005,$U190))</f>
        <v>0</v>
      </c>
      <c r="AF190">
        <f>IF($U190="",0,ROUND(SUMIF(บันทึกรายเที่ยว!$T$6:$T$10005,$U190,บันทึกรายเที่ยว!$J$6:$J$10005),2))</f>
        <v>0</v>
      </c>
      <c r="AG190">
        <f>IF($U190="",0,ROUND(SUMIF(บันทึกรายเที่ยว!$T$6:$T$10005,$U190,บันทึกรายเที่ยว!$K$6:$K$10005),2))</f>
        <v>0</v>
      </c>
      <c r="AH190">
        <f>IF($U190="",0,ROUND(SUMIF(บันทึกรายเที่ยว!$T$6:$T$10005,$U190,บันทึกรายเที่ยว!$M$6:$M$10005),2))</f>
        <v>0</v>
      </c>
    </row>
    <row r="191" spans="1:34" ht="21" customHeight="1" x14ac:dyDescent="0.95">
      <c r="A191" s="3" t="str">
        <f t="shared" si="28"/>
        <v/>
      </c>
      <c r="B191" s="3" t="str">
        <f t="shared" si="29"/>
        <v/>
      </c>
      <c r="C191" s="8" t="str">
        <f t="shared" si="30"/>
        <v/>
      </c>
      <c r="D191" s="31" t="str">
        <f t="shared" si="31"/>
        <v/>
      </c>
      <c r="E191" s="32" t="str">
        <f>IF(184=$AD$1+3,"ขอแสดงความนับถือ",IF(184=$AD$1+6,"(                 )",IF(184=$AD$1+7,"เจ้าหน้าที่ขนส่ง",IF($AB191="G",SUM($AF$8:$AF$407),IF(OR($AB191="",$AB191="R"),"",IF($AB191="D",INDEX($AF$8:$AF$407,$AA191),SUMIF($T$8:$T$407,INDEX($T$8:$T$407,$AA191),$AF$8:$AF$407)))))))</f>
        <v/>
      </c>
      <c r="F191" s="32" t="str">
        <f t="shared" si="32"/>
        <v/>
      </c>
      <c r="G191" s="32" t="str">
        <f t="shared" si="33"/>
        <v/>
      </c>
      <c r="H191" s="32" t="str">
        <f t="shared" si="34"/>
        <v/>
      </c>
      <c r="J191" t="str">
        <f>IFERROR(MATCH(184,บันทึกรายเที่ยว!$W$6:$W$10005,0),"")</f>
        <v/>
      </c>
      <c r="K191" t="str">
        <f>IF($J191="","",INDEX(บันทึกรายเที่ยว!$T$6:$T$10005,$J191))</f>
        <v/>
      </c>
      <c r="L191" t="str">
        <f>IF($J191="","",INDEX(บันทึกรายเที่ยว!$S$6:$S$10005,$J191))</f>
        <v/>
      </c>
      <c r="M191" t="str">
        <f>IF($J191="","",INDEX(บันทึกรายเที่ยว!$R$6:$R$10005,$J191))</f>
        <v/>
      </c>
      <c r="N191" t="str">
        <f>IF($J191="","",MATCH($M191,บันทึกรายเที่ยว!$R$6:$R$10005,0))</f>
        <v/>
      </c>
      <c r="O191" t="str">
        <f>IF($J191="","",MATCH($L191,บันทึกรายเที่ยว!$S$6:$S$10005,0))</f>
        <v/>
      </c>
      <c r="P191" t="str">
        <f>IF($J191="","",IF(AND(OR($I$3="(ทั้งหมด)",INDEX(บันทึกรายเที่ยว!$C$6:$C$10005,$J191)=$I$3),OR($I$5="(ทั้งหมด)",INDEX(บันทึกรายเที่ยว!$D$6:$D$10005,$J191)=$I$5),OR($I$7="(ทั้งหมด)",INDEX(บันทึกรายเที่ยว!$F$6:$F$10005,$J191)=$I$7)),$N191*10000000+$O191*1000+184,""))</f>
        <v/>
      </c>
      <c r="Q191" t="str">
        <f>IFERROR(MATCH(SMALL($P$8:$P$407,184),$P$8:$P$407,0),"")</f>
        <v/>
      </c>
      <c r="R191" t="str">
        <f t="shared" si="35"/>
        <v/>
      </c>
      <c r="S191" t="str">
        <f t="shared" si="36"/>
        <v/>
      </c>
      <c r="T191" t="str">
        <f t="shared" si="37"/>
        <v/>
      </c>
      <c r="U191" t="str">
        <f t="shared" si="38"/>
        <v/>
      </c>
      <c r="V191">
        <f t="shared" si="40"/>
        <v>0</v>
      </c>
      <c r="W191">
        <f t="shared" si="41"/>
        <v>0</v>
      </c>
      <c r="X191">
        <f>IF($Q191="",99999+184,$X190+1+$V190+$W190)</f>
        <v>100183</v>
      </c>
      <c r="Y191" t="str">
        <f>IF($Q191="","",INDEX(บันทึกรายเที่ยว!$Q$6:$Q$10005,$R191))</f>
        <v/>
      </c>
      <c r="Z191" t="str">
        <f>IF($Q191="","",INDEX(บันทึกรายเที่ยว!$F$6:$F$10005,$R191))</f>
        <v/>
      </c>
      <c r="AA191" t="str">
        <f>IFERROR(MATCH(184,$X$8:$X$407,1),"")</f>
        <v/>
      </c>
      <c r="AB191" t="str">
        <f>IF(184=$AD$1+1,"G",IF($AA191="","",IF(INDEX($Q$8:$Q$407,$AA191)="","",IF(184&gt;INDEX($X$8:$X$407,$AA191)+INDEX($V$8:$V$407,$AA191)+INDEX($W$8:$W$407,$AA191),"",IF(184=INDEX($X$8:$X$407,$AA191)+INDEX($V$8:$V$407,$AA191)+INDEX($W$8:$W$407,$AA191),"D",IF(AND(INDEX($W$8:$W$407,$AA191)=1,184=INDEX($X$8:$X$407,$AA191)+INDEX($V$8:$V$407,$AA191)),"S","R"))))))</f>
        <v/>
      </c>
      <c r="AC191" t="str">
        <f t="shared" si="39"/>
        <v/>
      </c>
      <c r="AE191">
        <f>IF($U191="",0,COUNTIF(บันทึกรายเที่ยว!$T$6:$T$10005,$U191))</f>
        <v>0</v>
      </c>
      <c r="AF191">
        <f>IF($U191="",0,ROUND(SUMIF(บันทึกรายเที่ยว!$T$6:$T$10005,$U191,บันทึกรายเที่ยว!$J$6:$J$10005),2))</f>
        <v>0</v>
      </c>
      <c r="AG191">
        <f>IF($U191="",0,ROUND(SUMIF(บันทึกรายเที่ยว!$T$6:$T$10005,$U191,บันทึกรายเที่ยว!$K$6:$K$10005),2))</f>
        <v>0</v>
      </c>
      <c r="AH191">
        <f>IF($U191="",0,ROUND(SUMIF(บันทึกรายเที่ยว!$T$6:$T$10005,$U191,บันทึกรายเที่ยว!$M$6:$M$10005),2))</f>
        <v>0</v>
      </c>
    </row>
    <row r="192" spans="1:34" ht="21" customHeight="1" x14ac:dyDescent="0.95">
      <c r="A192" s="3" t="str">
        <f t="shared" si="28"/>
        <v/>
      </c>
      <c r="B192" s="3" t="str">
        <f t="shared" si="29"/>
        <v/>
      </c>
      <c r="C192" s="8" t="str">
        <f t="shared" si="30"/>
        <v/>
      </c>
      <c r="D192" s="31" t="str">
        <f t="shared" si="31"/>
        <v/>
      </c>
      <c r="E192" s="32" t="str">
        <f>IF(185=$AD$1+3,"ขอแสดงความนับถือ",IF(185=$AD$1+6,"(                 )",IF(185=$AD$1+7,"เจ้าหน้าที่ขนส่ง",IF($AB192="G",SUM($AF$8:$AF$407),IF(OR($AB192="",$AB192="R"),"",IF($AB192="D",INDEX($AF$8:$AF$407,$AA192),SUMIF($T$8:$T$407,INDEX($T$8:$T$407,$AA192),$AF$8:$AF$407)))))))</f>
        <v/>
      </c>
      <c r="F192" s="32" t="str">
        <f t="shared" si="32"/>
        <v/>
      </c>
      <c r="G192" s="32" t="str">
        <f t="shared" si="33"/>
        <v/>
      </c>
      <c r="H192" s="32" t="str">
        <f t="shared" si="34"/>
        <v/>
      </c>
      <c r="J192" t="str">
        <f>IFERROR(MATCH(185,บันทึกรายเที่ยว!$W$6:$W$10005,0),"")</f>
        <v/>
      </c>
      <c r="K192" t="str">
        <f>IF($J192="","",INDEX(บันทึกรายเที่ยว!$T$6:$T$10005,$J192))</f>
        <v/>
      </c>
      <c r="L192" t="str">
        <f>IF($J192="","",INDEX(บันทึกรายเที่ยว!$S$6:$S$10005,$J192))</f>
        <v/>
      </c>
      <c r="M192" t="str">
        <f>IF($J192="","",INDEX(บันทึกรายเที่ยว!$R$6:$R$10005,$J192))</f>
        <v/>
      </c>
      <c r="N192" t="str">
        <f>IF($J192="","",MATCH($M192,บันทึกรายเที่ยว!$R$6:$R$10005,0))</f>
        <v/>
      </c>
      <c r="O192" t="str">
        <f>IF($J192="","",MATCH($L192,บันทึกรายเที่ยว!$S$6:$S$10005,0))</f>
        <v/>
      </c>
      <c r="P192" t="str">
        <f>IF($J192="","",IF(AND(OR($I$3="(ทั้งหมด)",INDEX(บันทึกรายเที่ยว!$C$6:$C$10005,$J192)=$I$3),OR($I$5="(ทั้งหมด)",INDEX(บันทึกรายเที่ยว!$D$6:$D$10005,$J192)=$I$5),OR($I$7="(ทั้งหมด)",INDEX(บันทึกรายเที่ยว!$F$6:$F$10005,$J192)=$I$7)),$N192*10000000+$O192*1000+185,""))</f>
        <v/>
      </c>
      <c r="Q192" t="str">
        <f>IFERROR(MATCH(SMALL($P$8:$P$407,185),$P$8:$P$407,0),"")</f>
        <v/>
      </c>
      <c r="R192" t="str">
        <f t="shared" si="35"/>
        <v/>
      </c>
      <c r="S192" t="str">
        <f t="shared" si="36"/>
        <v/>
      </c>
      <c r="T192" t="str">
        <f t="shared" si="37"/>
        <v/>
      </c>
      <c r="U192" t="str">
        <f t="shared" si="38"/>
        <v/>
      </c>
      <c r="V192">
        <f t="shared" si="40"/>
        <v>0</v>
      </c>
      <c r="W192">
        <f t="shared" si="41"/>
        <v>0</v>
      </c>
      <c r="X192">
        <f>IF($Q192="",99999+185,$X191+1+$V191+$W191)</f>
        <v>100184</v>
      </c>
      <c r="Y192" t="str">
        <f>IF($Q192="","",INDEX(บันทึกรายเที่ยว!$Q$6:$Q$10005,$R192))</f>
        <v/>
      </c>
      <c r="Z192" t="str">
        <f>IF($Q192="","",INDEX(บันทึกรายเที่ยว!$F$6:$F$10005,$R192))</f>
        <v/>
      </c>
      <c r="AA192" t="str">
        <f>IFERROR(MATCH(185,$X$8:$X$407,1),"")</f>
        <v/>
      </c>
      <c r="AB192" t="str">
        <f>IF(185=$AD$1+1,"G",IF($AA192="","",IF(INDEX($Q$8:$Q$407,$AA192)="","",IF(185&gt;INDEX($X$8:$X$407,$AA192)+INDEX($V$8:$V$407,$AA192)+INDEX($W$8:$W$407,$AA192),"",IF(185=INDEX($X$8:$X$407,$AA192)+INDEX($V$8:$V$407,$AA192)+INDEX($W$8:$W$407,$AA192),"D",IF(AND(INDEX($W$8:$W$407,$AA192)=1,185=INDEX($X$8:$X$407,$AA192)+INDEX($V$8:$V$407,$AA192)),"S","R"))))))</f>
        <v/>
      </c>
      <c r="AC192" t="str">
        <f t="shared" si="39"/>
        <v/>
      </c>
      <c r="AE192">
        <f>IF($U192="",0,COUNTIF(บันทึกรายเที่ยว!$T$6:$T$10005,$U192))</f>
        <v>0</v>
      </c>
      <c r="AF192">
        <f>IF($U192="",0,ROUND(SUMIF(บันทึกรายเที่ยว!$T$6:$T$10005,$U192,บันทึกรายเที่ยว!$J$6:$J$10005),2))</f>
        <v>0</v>
      </c>
      <c r="AG192">
        <f>IF($U192="",0,ROUND(SUMIF(บันทึกรายเที่ยว!$T$6:$T$10005,$U192,บันทึกรายเที่ยว!$K$6:$K$10005),2))</f>
        <v>0</v>
      </c>
      <c r="AH192">
        <f>IF($U192="",0,ROUND(SUMIF(บันทึกรายเที่ยว!$T$6:$T$10005,$U192,บันทึกรายเที่ยว!$M$6:$M$10005),2))</f>
        <v>0</v>
      </c>
    </row>
    <row r="193" spans="1:34" ht="21" customHeight="1" x14ac:dyDescent="0.95">
      <c r="A193" s="3" t="str">
        <f t="shared" si="28"/>
        <v/>
      </c>
      <c r="B193" s="3" t="str">
        <f t="shared" si="29"/>
        <v/>
      </c>
      <c r="C193" s="8" t="str">
        <f t="shared" si="30"/>
        <v/>
      </c>
      <c r="D193" s="31" t="str">
        <f t="shared" si="31"/>
        <v/>
      </c>
      <c r="E193" s="32" t="str">
        <f>IF(186=$AD$1+3,"ขอแสดงความนับถือ",IF(186=$AD$1+6,"(                 )",IF(186=$AD$1+7,"เจ้าหน้าที่ขนส่ง",IF($AB193="G",SUM($AF$8:$AF$407),IF(OR($AB193="",$AB193="R"),"",IF($AB193="D",INDEX($AF$8:$AF$407,$AA193),SUMIF($T$8:$T$407,INDEX($T$8:$T$407,$AA193),$AF$8:$AF$407)))))))</f>
        <v/>
      </c>
      <c r="F193" s="32" t="str">
        <f t="shared" si="32"/>
        <v/>
      </c>
      <c r="G193" s="32" t="str">
        <f t="shared" si="33"/>
        <v/>
      </c>
      <c r="H193" s="32" t="str">
        <f t="shared" si="34"/>
        <v/>
      </c>
      <c r="J193" t="str">
        <f>IFERROR(MATCH(186,บันทึกรายเที่ยว!$W$6:$W$10005,0),"")</f>
        <v/>
      </c>
      <c r="K193" t="str">
        <f>IF($J193="","",INDEX(บันทึกรายเที่ยว!$T$6:$T$10005,$J193))</f>
        <v/>
      </c>
      <c r="L193" t="str">
        <f>IF($J193="","",INDEX(บันทึกรายเที่ยว!$S$6:$S$10005,$J193))</f>
        <v/>
      </c>
      <c r="M193" t="str">
        <f>IF($J193="","",INDEX(บันทึกรายเที่ยว!$R$6:$R$10005,$J193))</f>
        <v/>
      </c>
      <c r="N193" t="str">
        <f>IF($J193="","",MATCH($M193,บันทึกรายเที่ยว!$R$6:$R$10005,0))</f>
        <v/>
      </c>
      <c r="O193" t="str">
        <f>IF($J193="","",MATCH($L193,บันทึกรายเที่ยว!$S$6:$S$10005,0))</f>
        <v/>
      </c>
      <c r="P193" t="str">
        <f>IF($J193="","",IF(AND(OR($I$3="(ทั้งหมด)",INDEX(บันทึกรายเที่ยว!$C$6:$C$10005,$J193)=$I$3),OR($I$5="(ทั้งหมด)",INDEX(บันทึกรายเที่ยว!$D$6:$D$10005,$J193)=$I$5),OR($I$7="(ทั้งหมด)",INDEX(บันทึกรายเที่ยว!$F$6:$F$10005,$J193)=$I$7)),$N193*10000000+$O193*1000+186,""))</f>
        <v/>
      </c>
      <c r="Q193" t="str">
        <f>IFERROR(MATCH(SMALL($P$8:$P$407,186),$P$8:$P$407,0),"")</f>
        <v/>
      </c>
      <c r="R193" t="str">
        <f t="shared" si="35"/>
        <v/>
      </c>
      <c r="S193" t="str">
        <f t="shared" si="36"/>
        <v/>
      </c>
      <c r="T193" t="str">
        <f t="shared" si="37"/>
        <v/>
      </c>
      <c r="U193" t="str">
        <f t="shared" si="38"/>
        <v/>
      </c>
      <c r="V193">
        <f t="shared" si="40"/>
        <v>0</v>
      </c>
      <c r="W193">
        <f t="shared" si="41"/>
        <v>0</v>
      </c>
      <c r="X193">
        <f>IF($Q193="",99999+186,$X192+1+$V192+$W192)</f>
        <v>100185</v>
      </c>
      <c r="Y193" t="str">
        <f>IF($Q193="","",INDEX(บันทึกรายเที่ยว!$Q$6:$Q$10005,$R193))</f>
        <v/>
      </c>
      <c r="Z193" t="str">
        <f>IF($Q193="","",INDEX(บันทึกรายเที่ยว!$F$6:$F$10005,$R193))</f>
        <v/>
      </c>
      <c r="AA193" t="str">
        <f>IFERROR(MATCH(186,$X$8:$X$407,1),"")</f>
        <v/>
      </c>
      <c r="AB193" t="str">
        <f>IF(186=$AD$1+1,"G",IF($AA193="","",IF(INDEX($Q$8:$Q$407,$AA193)="","",IF(186&gt;INDEX($X$8:$X$407,$AA193)+INDEX($V$8:$V$407,$AA193)+INDEX($W$8:$W$407,$AA193),"",IF(186=INDEX($X$8:$X$407,$AA193)+INDEX($V$8:$V$407,$AA193)+INDEX($W$8:$W$407,$AA193),"D",IF(AND(INDEX($W$8:$W$407,$AA193)=1,186=INDEX($X$8:$X$407,$AA193)+INDEX($V$8:$V$407,$AA193)),"S","R"))))))</f>
        <v/>
      </c>
      <c r="AC193" t="str">
        <f t="shared" si="39"/>
        <v/>
      </c>
      <c r="AE193">
        <f>IF($U193="",0,COUNTIF(บันทึกรายเที่ยว!$T$6:$T$10005,$U193))</f>
        <v>0</v>
      </c>
      <c r="AF193">
        <f>IF($U193="",0,ROUND(SUMIF(บันทึกรายเที่ยว!$T$6:$T$10005,$U193,บันทึกรายเที่ยว!$J$6:$J$10005),2))</f>
        <v>0</v>
      </c>
      <c r="AG193">
        <f>IF($U193="",0,ROUND(SUMIF(บันทึกรายเที่ยว!$T$6:$T$10005,$U193,บันทึกรายเที่ยว!$K$6:$K$10005),2))</f>
        <v>0</v>
      </c>
      <c r="AH193">
        <f>IF($U193="",0,ROUND(SUMIF(บันทึกรายเที่ยว!$T$6:$T$10005,$U193,บันทึกรายเที่ยว!$M$6:$M$10005),2))</f>
        <v>0</v>
      </c>
    </row>
    <row r="194" spans="1:34" ht="21" customHeight="1" x14ac:dyDescent="0.95">
      <c r="A194" s="3" t="str">
        <f t="shared" si="28"/>
        <v/>
      </c>
      <c r="B194" s="3" t="str">
        <f t="shared" si="29"/>
        <v/>
      </c>
      <c r="C194" s="8" t="str">
        <f t="shared" si="30"/>
        <v/>
      </c>
      <c r="D194" s="31" t="str">
        <f t="shared" si="31"/>
        <v/>
      </c>
      <c r="E194" s="32" t="str">
        <f>IF(187=$AD$1+3,"ขอแสดงความนับถือ",IF(187=$AD$1+6,"(                 )",IF(187=$AD$1+7,"เจ้าหน้าที่ขนส่ง",IF($AB194="G",SUM($AF$8:$AF$407),IF(OR($AB194="",$AB194="R"),"",IF($AB194="D",INDEX($AF$8:$AF$407,$AA194),SUMIF($T$8:$T$407,INDEX($T$8:$T$407,$AA194),$AF$8:$AF$407)))))))</f>
        <v/>
      </c>
      <c r="F194" s="32" t="str">
        <f t="shared" si="32"/>
        <v/>
      </c>
      <c r="G194" s="32" t="str">
        <f t="shared" si="33"/>
        <v/>
      </c>
      <c r="H194" s="32" t="str">
        <f t="shared" si="34"/>
        <v/>
      </c>
      <c r="J194" t="str">
        <f>IFERROR(MATCH(187,บันทึกรายเที่ยว!$W$6:$W$10005,0),"")</f>
        <v/>
      </c>
      <c r="K194" t="str">
        <f>IF($J194="","",INDEX(บันทึกรายเที่ยว!$T$6:$T$10005,$J194))</f>
        <v/>
      </c>
      <c r="L194" t="str">
        <f>IF($J194="","",INDEX(บันทึกรายเที่ยว!$S$6:$S$10005,$J194))</f>
        <v/>
      </c>
      <c r="M194" t="str">
        <f>IF($J194="","",INDEX(บันทึกรายเที่ยว!$R$6:$R$10005,$J194))</f>
        <v/>
      </c>
      <c r="N194" t="str">
        <f>IF($J194="","",MATCH($M194,บันทึกรายเที่ยว!$R$6:$R$10005,0))</f>
        <v/>
      </c>
      <c r="O194" t="str">
        <f>IF($J194="","",MATCH($L194,บันทึกรายเที่ยว!$S$6:$S$10005,0))</f>
        <v/>
      </c>
      <c r="P194" t="str">
        <f>IF($J194="","",IF(AND(OR($I$3="(ทั้งหมด)",INDEX(บันทึกรายเที่ยว!$C$6:$C$10005,$J194)=$I$3),OR($I$5="(ทั้งหมด)",INDEX(บันทึกรายเที่ยว!$D$6:$D$10005,$J194)=$I$5),OR($I$7="(ทั้งหมด)",INDEX(บันทึกรายเที่ยว!$F$6:$F$10005,$J194)=$I$7)),$N194*10000000+$O194*1000+187,""))</f>
        <v/>
      </c>
      <c r="Q194" t="str">
        <f>IFERROR(MATCH(SMALL($P$8:$P$407,187),$P$8:$P$407,0),"")</f>
        <v/>
      </c>
      <c r="R194" t="str">
        <f t="shared" si="35"/>
        <v/>
      </c>
      <c r="S194" t="str">
        <f t="shared" si="36"/>
        <v/>
      </c>
      <c r="T194" t="str">
        <f t="shared" si="37"/>
        <v/>
      </c>
      <c r="U194" t="str">
        <f t="shared" si="38"/>
        <v/>
      </c>
      <c r="V194">
        <f t="shared" si="40"/>
        <v>0</v>
      </c>
      <c r="W194">
        <f t="shared" si="41"/>
        <v>0</v>
      </c>
      <c r="X194">
        <f>IF($Q194="",99999+187,$X193+1+$V193+$W193)</f>
        <v>100186</v>
      </c>
      <c r="Y194" t="str">
        <f>IF($Q194="","",INDEX(บันทึกรายเที่ยว!$Q$6:$Q$10005,$R194))</f>
        <v/>
      </c>
      <c r="Z194" t="str">
        <f>IF($Q194="","",INDEX(บันทึกรายเที่ยว!$F$6:$F$10005,$R194))</f>
        <v/>
      </c>
      <c r="AA194" t="str">
        <f>IFERROR(MATCH(187,$X$8:$X$407,1),"")</f>
        <v/>
      </c>
      <c r="AB194" t="str">
        <f>IF(187=$AD$1+1,"G",IF($AA194="","",IF(INDEX($Q$8:$Q$407,$AA194)="","",IF(187&gt;INDEX($X$8:$X$407,$AA194)+INDEX($V$8:$V$407,$AA194)+INDEX($W$8:$W$407,$AA194),"",IF(187=INDEX($X$8:$X$407,$AA194)+INDEX($V$8:$V$407,$AA194)+INDEX($W$8:$W$407,$AA194),"D",IF(AND(INDEX($W$8:$W$407,$AA194)=1,187=INDEX($X$8:$X$407,$AA194)+INDEX($V$8:$V$407,$AA194)),"S","R"))))))</f>
        <v/>
      </c>
      <c r="AC194" t="str">
        <f t="shared" si="39"/>
        <v/>
      </c>
      <c r="AE194">
        <f>IF($U194="",0,COUNTIF(บันทึกรายเที่ยว!$T$6:$T$10005,$U194))</f>
        <v>0</v>
      </c>
      <c r="AF194">
        <f>IF($U194="",0,ROUND(SUMIF(บันทึกรายเที่ยว!$T$6:$T$10005,$U194,บันทึกรายเที่ยว!$J$6:$J$10005),2))</f>
        <v>0</v>
      </c>
      <c r="AG194">
        <f>IF($U194="",0,ROUND(SUMIF(บันทึกรายเที่ยว!$T$6:$T$10005,$U194,บันทึกรายเที่ยว!$K$6:$K$10005),2))</f>
        <v>0</v>
      </c>
      <c r="AH194">
        <f>IF($U194="",0,ROUND(SUMIF(บันทึกรายเที่ยว!$T$6:$T$10005,$U194,บันทึกรายเที่ยว!$M$6:$M$10005),2))</f>
        <v>0</v>
      </c>
    </row>
    <row r="195" spans="1:34" ht="21" customHeight="1" x14ac:dyDescent="0.95">
      <c r="A195" s="3" t="str">
        <f t="shared" si="28"/>
        <v/>
      </c>
      <c r="B195" s="3" t="str">
        <f t="shared" si="29"/>
        <v/>
      </c>
      <c r="C195" s="8" t="str">
        <f t="shared" si="30"/>
        <v/>
      </c>
      <c r="D195" s="31" t="str">
        <f t="shared" si="31"/>
        <v/>
      </c>
      <c r="E195" s="32" t="str">
        <f>IF(188=$AD$1+3,"ขอแสดงความนับถือ",IF(188=$AD$1+6,"(                 )",IF(188=$AD$1+7,"เจ้าหน้าที่ขนส่ง",IF($AB195="G",SUM($AF$8:$AF$407),IF(OR($AB195="",$AB195="R"),"",IF($AB195="D",INDEX($AF$8:$AF$407,$AA195),SUMIF($T$8:$T$407,INDEX($T$8:$T$407,$AA195),$AF$8:$AF$407)))))))</f>
        <v/>
      </c>
      <c r="F195" s="32" t="str">
        <f t="shared" si="32"/>
        <v/>
      </c>
      <c r="G195" s="32" t="str">
        <f t="shared" si="33"/>
        <v/>
      </c>
      <c r="H195" s="32" t="str">
        <f t="shared" si="34"/>
        <v/>
      </c>
      <c r="J195" t="str">
        <f>IFERROR(MATCH(188,บันทึกรายเที่ยว!$W$6:$W$10005,0),"")</f>
        <v/>
      </c>
      <c r="K195" t="str">
        <f>IF($J195="","",INDEX(บันทึกรายเที่ยว!$T$6:$T$10005,$J195))</f>
        <v/>
      </c>
      <c r="L195" t="str">
        <f>IF($J195="","",INDEX(บันทึกรายเที่ยว!$S$6:$S$10005,$J195))</f>
        <v/>
      </c>
      <c r="M195" t="str">
        <f>IF($J195="","",INDEX(บันทึกรายเที่ยว!$R$6:$R$10005,$J195))</f>
        <v/>
      </c>
      <c r="N195" t="str">
        <f>IF($J195="","",MATCH($M195,บันทึกรายเที่ยว!$R$6:$R$10005,0))</f>
        <v/>
      </c>
      <c r="O195" t="str">
        <f>IF($J195="","",MATCH($L195,บันทึกรายเที่ยว!$S$6:$S$10005,0))</f>
        <v/>
      </c>
      <c r="P195" t="str">
        <f>IF($J195="","",IF(AND(OR($I$3="(ทั้งหมด)",INDEX(บันทึกรายเที่ยว!$C$6:$C$10005,$J195)=$I$3),OR($I$5="(ทั้งหมด)",INDEX(บันทึกรายเที่ยว!$D$6:$D$10005,$J195)=$I$5),OR($I$7="(ทั้งหมด)",INDEX(บันทึกรายเที่ยว!$F$6:$F$10005,$J195)=$I$7)),$N195*10000000+$O195*1000+188,""))</f>
        <v/>
      </c>
      <c r="Q195" t="str">
        <f>IFERROR(MATCH(SMALL($P$8:$P$407,188),$P$8:$P$407,0),"")</f>
        <v/>
      </c>
      <c r="R195" t="str">
        <f t="shared" si="35"/>
        <v/>
      </c>
      <c r="S195" t="str">
        <f t="shared" si="36"/>
        <v/>
      </c>
      <c r="T195" t="str">
        <f t="shared" si="37"/>
        <v/>
      </c>
      <c r="U195" t="str">
        <f t="shared" si="38"/>
        <v/>
      </c>
      <c r="V195">
        <f t="shared" si="40"/>
        <v>0</v>
      </c>
      <c r="W195">
        <f t="shared" si="41"/>
        <v>0</v>
      </c>
      <c r="X195">
        <f>IF($Q195="",99999+188,$X194+1+$V194+$W194)</f>
        <v>100187</v>
      </c>
      <c r="Y195" t="str">
        <f>IF($Q195="","",INDEX(บันทึกรายเที่ยว!$Q$6:$Q$10005,$R195))</f>
        <v/>
      </c>
      <c r="Z195" t="str">
        <f>IF($Q195="","",INDEX(บันทึกรายเที่ยว!$F$6:$F$10005,$R195))</f>
        <v/>
      </c>
      <c r="AA195" t="str">
        <f>IFERROR(MATCH(188,$X$8:$X$407,1),"")</f>
        <v/>
      </c>
      <c r="AB195" t="str">
        <f>IF(188=$AD$1+1,"G",IF($AA195="","",IF(INDEX($Q$8:$Q$407,$AA195)="","",IF(188&gt;INDEX($X$8:$X$407,$AA195)+INDEX($V$8:$V$407,$AA195)+INDEX($W$8:$W$407,$AA195),"",IF(188=INDEX($X$8:$X$407,$AA195)+INDEX($V$8:$V$407,$AA195)+INDEX($W$8:$W$407,$AA195),"D",IF(AND(INDEX($W$8:$W$407,$AA195)=1,188=INDEX($X$8:$X$407,$AA195)+INDEX($V$8:$V$407,$AA195)),"S","R"))))))</f>
        <v/>
      </c>
      <c r="AC195" t="str">
        <f t="shared" si="39"/>
        <v/>
      </c>
      <c r="AE195">
        <f>IF($U195="",0,COUNTIF(บันทึกรายเที่ยว!$T$6:$T$10005,$U195))</f>
        <v>0</v>
      </c>
      <c r="AF195">
        <f>IF($U195="",0,ROUND(SUMIF(บันทึกรายเที่ยว!$T$6:$T$10005,$U195,บันทึกรายเที่ยว!$J$6:$J$10005),2))</f>
        <v>0</v>
      </c>
      <c r="AG195">
        <f>IF($U195="",0,ROUND(SUMIF(บันทึกรายเที่ยว!$T$6:$T$10005,$U195,บันทึกรายเที่ยว!$K$6:$K$10005),2))</f>
        <v>0</v>
      </c>
      <c r="AH195">
        <f>IF($U195="",0,ROUND(SUMIF(บันทึกรายเที่ยว!$T$6:$T$10005,$U195,บันทึกรายเที่ยว!$M$6:$M$10005),2))</f>
        <v>0</v>
      </c>
    </row>
    <row r="196" spans="1:34" ht="21" customHeight="1" x14ac:dyDescent="0.95">
      <c r="A196" s="3" t="str">
        <f t="shared" si="28"/>
        <v/>
      </c>
      <c r="B196" s="3" t="str">
        <f t="shared" si="29"/>
        <v/>
      </c>
      <c r="C196" s="8" t="str">
        <f t="shared" si="30"/>
        <v/>
      </c>
      <c r="D196" s="31" t="str">
        <f t="shared" si="31"/>
        <v/>
      </c>
      <c r="E196" s="32" t="str">
        <f>IF(189=$AD$1+3,"ขอแสดงความนับถือ",IF(189=$AD$1+6,"(                 )",IF(189=$AD$1+7,"เจ้าหน้าที่ขนส่ง",IF($AB196="G",SUM($AF$8:$AF$407),IF(OR($AB196="",$AB196="R"),"",IF($AB196="D",INDEX($AF$8:$AF$407,$AA196),SUMIF($T$8:$T$407,INDEX($T$8:$T$407,$AA196),$AF$8:$AF$407)))))))</f>
        <v/>
      </c>
      <c r="F196" s="32" t="str">
        <f t="shared" si="32"/>
        <v/>
      </c>
      <c r="G196" s="32" t="str">
        <f t="shared" si="33"/>
        <v/>
      </c>
      <c r="H196" s="32" t="str">
        <f t="shared" si="34"/>
        <v/>
      </c>
      <c r="J196" t="str">
        <f>IFERROR(MATCH(189,บันทึกรายเที่ยว!$W$6:$W$10005,0),"")</f>
        <v/>
      </c>
      <c r="K196" t="str">
        <f>IF($J196="","",INDEX(บันทึกรายเที่ยว!$T$6:$T$10005,$J196))</f>
        <v/>
      </c>
      <c r="L196" t="str">
        <f>IF($J196="","",INDEX(บันทึกรายเที่ยว!$S$6:$S$10005,$J196))</f>
        <v/>
      </c>
      <c r="M196" t="str">
        <f>IF($J196="","",INDEX(บันทึกรายเที่ยว!$R$6:$R$10005,$J196))</f>
        <v/>
      </c>
      <c r="N196" t="str">
        <f>IF($J196="","",MATCH($M196,บันทึกรายเที่ยว!$R$6:$R$10005,0))</f>
        <v/>
      </c>
      <c r="O196" t="str">
        <f>IF($J196="","",MATCH($L196,บันทึกรายเที่ยว!$S$6:$S$10005,0))</f>
        <v/>
      </c>
      <c r="P196" t="str">
        <f>IF($J196="","",IF(AND(OR($I$3="(ทั้งหมด)",INDEX(บันทึกรายเที่ยว!$C$6:$C$10005,$J196)=$I$3),OR($I$5="(ทั้งหมด)",INDEX(บันทึกรายเที่ยว!$D$6:$D$10005,$J196)=$I$5),OR($I$7="(ทั้งหมด)",INDEX(บันทึกรายเที่ยว!$F$6:$F$10005,$J196)=$I$7)),$N196*10000000+$O196*1000+189,""))</f>
        <v/>
      </c>
      <c r="Q196" t="str">
        <f>IFERROR(MATCH(SMALL($P$8:$P$407,189),$P$8:$P$407,0),"")</f>
        <v/>
      </c>
      <c r="R196" t="str">
        <f t="shared" si="35"/>
        <v/>
      </c>
      <c r="S196" t="str">
        <f t="shared" si="36"/>
        <v/>
      </c>
      <c r="T196" t="str">
        <f t="shared" si="37"/>
        <v/>
      </c>
      <c r="U196" t="str">
        <f t="shared" si="38"/>
        <v/>
      </c>
      <c r="V196">
        <f t="shared" si="40"/>
        <v>0</v>
      </c>
      <c r="W196">
        <f t="shared" si="41"/>
        <v>0</v>
      </c>
      <c r="X196">
        <f>IF($Q196="",99999+189,$X195+1+$V195+$W195)</f>
        <v>100188</v>
      </c>
      <c r="Y196" t="str">
        <f>IF($Q196="","",INDEX(บันทึกรายเที่ยว!$Q$6:$Q$10005,$R196))</f>
        <v/>
      </c>
      <c r="Z196" t="str">
        <f>IF($Q196="","",INDEX(บันทึกรายเที่ยว!$F$6:$F$10005,$R196))</f>
        <v/>
      </c>
      <c r="AA196" t="str">
        <f>IFERROR(MATCH(189,$X$8:$X$407,1),"")</f>
        <v/>
      </c>
      <c r="AB196" t="str">
        <f>IF(189=$AD$1+1,"G",IF($AA196="","",IF(INDEX($Q$8:$Q$407,$AA196)="","",IF(189&gt;INDEX($X$8:$X$407,$AA196)+INDEX($V$8:$V$407,$AA196)+INDEX($W$8:$W$407,$AA196),"",IF(189=INDEX($X$8:$X$407,$AA196)+INDEX($V$8:$V$407,$AA196)+INDEX($W$8:$W$407,$AA196),"D",IF(AND(INDEX($W$8:$W$407,$AA196)=1,189=INDEX($X$8:$X$407,$AA196)+INDEX($V$8:$V$407,$AA196)),"S","R"))))))</f>
        <v/>
      </c>
      <c r="AC196" t="str">
        <f t="shared" si="39"/>
        <v/>
      </c>
      <c r="AE196">
        <f>IF($U196="",0,COUNTIF(บันทึกรายเที่ยว!$T$6:$T$10005,$U196))</f>
        <v>0</v>
      </c>
      <c r="AF196">
        <f>IF($U196="",0,ROUND(SUMIF(บันทึกรายเที่ยว!$T$6:$T$10005,$U196,บันทึกรายเที่ยว!$J$6:$J$10005),2))</f>
        <v>0</v>
      </c>
      <c r="AG196">
        <f>IF($U196="",0,ROUND(SUMIF(บันทึกรายเที่ยว!$T$6:$T$10005,$U196,บันทึกรายเที่ยว!$K$6:$K$10005),2))</f>
        <v>0</v>
      </c>
      <c r="AH196">
        <f>IF($U196="",0,ROUND(SUMIF(บันทึกรายเที่ยว!$T$6:$T$10005,$U196,บันทึกรายเที่ยว!$M$6:$M$10005),2))</f>
        <v>0</v>
      </c>
    </row>
    <row r="197" spans="1:34" ht="21" customHeight="1" x14ac:dyDescent="0.95">
      <c r="A197" s="3" t="str">
        <f t="shared" si="28"/>
        <v/>
      </c>
      <c r="B197" s="3" t="str">
        <f t="shared" si="29"/>
        <v/>
      </c>
      <c r="C197" s="8" t="str">
        <f t="shared" si="30"/>
        <v/>
      </c>
      <c r="D197" s="31" t="str">
        <f t="shared" si="31"/>
        <v/>
      </c>
      <c r="E197" s="32" t="str">
        <f>IF(190=$AD$1+3,"ขอแสดงความนับถือ",IF(190=$AD$1+6,"(                 )",IF(190=$AD$1+7,"เจ้าหน้าที่ขนส่ง",IF($AB197="G",SUM($AF$8:$AF$407),IF(OR($AB197="",$AB197="R"),"",IF($AB197="D",INDEX($AF$8:$AF$407,$AA197),SUMIF($T$8:$T$407,INDEX($T$8:$T$407,$AA197),$AF$8:$AF$407)))))))</f>
        <v/>
      </c>
      <c r="F197" s="32" t="str">
        <f t="shared" si="32"/>
        <v/>
      </c>
      <c r="G197" s="32" t="str">
        <f t="shared" si="33"/>
        <v/>
      </c>
      <c r="H197" s="32" t="str">
        <f t="shared" si="34"/>
        <v/>
      </c>
      <c r="J197" t="str">
        <f>IFERROR(MATCH(190,บันทึกรายเที่ยว!$W$6:$W$10005,0),"")</f>
        <v/>
      </c>
      <c r="K197" t="str">
        <f>IF($J197="","",INDEX(บันทึกรายเที่ยว!$T$6:$T$10005,$J197))</f>
        <v/>
      </c>
      <c r="L197" t="str">
        <f>IF($J197="","",INDEX(บันทึกรายเที่ยว!$S$6:$S$10005,$J197))</f>
        <v/>
      </c>
      <c r="M197" t="str">
        <f>IF($J197="","",INDEX(บันทึกรายเที่ยว!$R$6:$R$10005,$J197))</f>
        <v/>
      </c>
      <c r="N197" t="str">
        <f>IF($J197="","",MATCH($M197,บันทึกรายเที่ยว!$R$6:$R$10005,0))</f>
        <v/>
      </c>
      <c r="O197" t="str">
        <f>IF($J197="","",MATCH($L197,บันทึกรายเที่ยว!$S$6:$S$10005,0))</f>
        <v/>
      </c>
      <c r="P197" t="str">
        <f>IF($J197="","",IF(AND(OR($I$3="(ทั้งหมด)",INDEX(บันทึกรายเที่ยว!$C$6:$C$10005,$J197)=$I$3),OR($I$5="(ทั้งหมด)",INDEX(บันทึกรายเที่ยว!$D$6:$D$10005,$J197)=$I$5),OR($I$7="(ทั้งหมด)",INDEX(บันทึกรายเที่ยว!$F$6:$F$10005,$J197)=$I$7)),$N197*10000000+$O197*1000+190,""))</f>
        <v/>
      </c>
      <c r="Q197" t="str">
        <f>IFERROR(MATCH(SMALL($P$8:$P$407,190),$P$8:$P$407,0),"")</f>
        <v/>
      </c>
      <c r="R197" t="str">
        <f t="shared" si="35"/>
        <v/>
      </c>
      <c r="S197" t="str">
        <f t="shared" si="36"/>
        <v/>
      </c>
      <c r="T197" t="str">
        <f t="shared" si="37"/>
        <v/>
      </c>
      <c r="U197" t="str">
        <f t="shared" si="38"/>
        <v/>
      </c>
      <c r="V197">
        <f t="shared" si="40"/>
        <v>0</v>
      </c>
      <c r="W197">
        <f t="shared" si="41"/>
        <v>0</v>
      </c>
      <c r="X197">
        <f>IF($Q197="",99999+190,$X196+1+$V196+$W196)</f>
        <v>100189</v>
      </c>
      <c r="Y197" t="str">
        <f>IF($Q197="","",INDEX(บันทึกรายเที่ยว!$Q$6:$Q$10005,$R197))</f>
        <v/>
      </c>
      <c r="Z197" t="str">
        <f>IF($Q197="","",INDEX(บันทึกรายเที่ยว!$F$6:$F$10005,$R197))</f>
        <v/>
      </c>
      <c r="AA197" t="str">
        <f>IFERROR(MATCH(190,$X$8:$X$407,1),"")</f>
        <v/>
      </c>
      <c r="AB197" t="str">
        <f>IF(190=$AD$1+1,"G",IF($AA197="","",IF(INDEX($Q$8:$Q$407,$AA197)="","",IF(190&gt;INDEX($X$8:$X$407,$AA197)+INDEX($V$8:$V$407,$AA197)+INDEX($W$8:$W$407,$AA197),"",IF(190=INDEX($X$8:$X$407,$AA197)+INDEX($V$8:$V$407,$AA197)+INDEX($W$8:$W$407,$AA197),"D",IF(AND(INDEX($W$8:$W$407,$AA197)=1,190=INDEX($X$8:$X$407,$AA197)+INDEX($V$8:$V$407,$AA197)),"S","R"))))))</f>
        <v/>
      </c>
      <c r="AC197" t="str">
        <f t="shared" si="39"/>
        <v/>
      </c>
      <c r="AE197">
        <f>IF($U197="",0,COUNTIF(บันทึกรายเที่ยว!$T$6:$T$10005,$U197))</f>
        <v>0</v>
      </c>
      <c r="AF197">
        <f>IF($U197="",0,ROUND(SUMIF(บันทึกรายเที่ยว!$T$6:$T$10005,$U197,บันทึกรายเที่ยว!$J$6:$J$10005),2))</f>
        <v>0</v>
      </c>
      <c r="AG197">
        <f>IF($U197="",0,ROUND(SUMIF(บันทึกรายเที่ยว!$T$6:$T$10005,$U197,บันทึกรายเที่ยว!$K$6:$K$10005),2))</f>
        <v>0</v>
      </c>
      <c r="AH197">
        <f>IF($U197="",0,ROUND(SUMIF(บันทึกรายเที่ยว!$T$6:$T$10005,$U197,บันทึกรายเที่ยว!$M$6:$M$10005),2))</f>
        <v>0</v>
      </c>
    </row>
    <row r="198" spans="1:34" ht="21" customHeight="1" x14ac:dyDescent="0.95">
      <c r="A198" s="3" t="str">
        <f t="shared" si="28"/>
        <v/>
      </c>
      <c r="B198" s="3" t="str">
        <f t="shared" si="29"/>
        <v/>
      </c>
      <c r="C198" s="8" t="str">
        <f t="shared" si="30"/>
        <v/>
      </c>
      <c r="D198" s="31" t="str">
        <f t="shared" si="31"/>
        <v/>
      </c>
      <c r="E198" s="32" t="str">
        <f>IF(191=$AD$1+3,"ขอแสดงความนับถือ",IF(191=$AD$1+6,"(                 )",IF(191=$AD$1+7,"เจ้าหน้าที่ขนส่ง",IF($AB198="G",SUM($AF$8:$AF$407),IF(OR($AB198="",$AB198="R"),"",IF($AB198="D",INDEX($AF$8:$AF$407,$AA198),SUMIF($T$8:$T$407,INDEX($T$8:$T$407,$AA198),$AF$8:$AF$407)))))))</f>
        <v/>
      </c>
      <c r="F198" s="32" t="str">
        <f t="shared" si="32"/>
        <v/>
      </c>
      <c r="G198" s="32" t="str">
        <f t="shared" si="33"/>
        <v/>
      </c>
      <c r="H198" s="32" t="str">
        <f t="shared" si="34"/>
        <v/>
      </c>
      <c r="J198" t="str">
        <f>IFERROR(MATCH(191,บันทึกรายเที่ยว!$W$6:$W$10005,0),"")</f>
        <v/>
      </c>
      <c r="K198" t="str">
        <f>IF($J198="","",INDEX(บันทึกรายเที่ยว!$T$6:$T$10005,$J198))</f>
        <v/>
      </c>
      <c r="L198" t="str">
        <f>IF($J198="","",INDEX(บันทึกรายเที่ยว!$S$6:$S$10005,$J198))</f>
        <v/>
      </c>
      <c r="M198" t="str">
        <f>IF($J198="","",INDEX(บันทึกรายเที่ยว!$R$6:$R$10005,$J198))</f>
        <v/>
      </c>
      <c r="N198" t="str">
        <f>IF($J198="","",MATCH($M198,บันทึกรายเที่ยว!$R$6:$R$10005,0))</f>
        <v/>
      </c>
      <c r="O198" t="str">
        <f>IF($J198="","",MATCH($L198,บันทึกรายเที่ยว!$S$6:$S$10005,0))</f>
        <v/>
      </c>
      <c r="P198" t="str">
        <f>IF($J198="","",IF(AND(OR($I$3="(ทั้งหมด)",INDEX(บันทึกรายเที่ยว!$C$6:$C$10005,$J198)=$I$3),OR($I$5="(ทั้งหมด)",INDEX(บันทึกรายเที่ยว!$D$6:$D$10005,$J198)=$I$5),OR($I$7="(ทั้งหมด)",INDEX(บันทึกรายเที่ยว!$F$6:$F$10005,$J198)=$I$7)),$N198*10000000+$O198*1000+191,""))</f>
        <v/>
      </c>
      <c r="Q198" t="str">
        <f>IFERROR(MATCH(SMALL($P$8:$P$407,191),$P$8:$P$407,0),"")</f>
        <v/>
      </c>
      <c r="R198" t="str">
        <f t="shared" si="35"/>
        <v/>
      </c>
      <c r="S198" t="str">
        <f t="shared" si="36"/>
        <v/>
      </c>
      <c r="T198" t="str">
        <f t="shared" si="37"/>
        <v/>
      </c>
      <c r="U198" t="str">
        <f t="shared" si="38"/>
        <v/>
      </c>
      <c r="V198">
        <f t="shared" si="40"/>
        <v>0</v>
      </c>
      <c r="W198">
        <f t="shared" si="41"/>
        <v>0</v>
      </c>
      <c r="X198">
        <f>IF($Q198="",99999+191,$X197+1+$V197+$W197)</f>
        <v>100190</v>
      </c>
      <c r="Y198" t="str">
        <f>IF($Q198="","",INDEX(บันทึกรายเที่ยว!$Q$6:$Q$10005,$R198))</f>
        <v/>
      </c>
      <c r="Z198" t="str">
        <f>IF($Q198="","",INDEX(บันทึกรายเที่ยว!$F$6:$F$10005,$R198))</f>
        <v/>
      </c>
      <c r="AA198" t="str">
        <f>IFERROR(MATCH(191,$X$8:$X$407,1),"")</f>
        <v/>
      </c>
      <c r="AB198" t="str">
        <f>IF(191=$AD$1+1,"G",IF($AA198="","",IF(INDEX($Q$8:$Q$407,$AA198)="","",IF(191&gt;INDEX($X$8:$X$407,$AA198)+INDEX($V$8:$V$407,$AA198)+INDEX($W$8:$W$407,$AA198),"",IF(191=INDEX($X$8:$X$407,$AA198)+INDEX($V$8:$V$407,$AA198)+INDEX($W$8:$W$407,$AA198),"D",IF(AND(INDEX($W$8:$W$407,$AA198)=1,191=INDEX($X$8:$X$407,$AA198)+INDEX($V$8:$V$407,$AA198)),"S","R"))))))</f>
        <v/>
      </c>
      <c r="AC198" t="str">
        <f t="shared" si="39"/>
        <v/>
      </c>
      <c r="AE198">
        <f>IF($U198="",0,COUNTIF(บันทึกรายเที่ยว!$T$6:$T$10005,$U198))</f>
        <v>0</v>
      </c>
      <c r="AF198">
        <f>IF($U198="",0,ROUND(SUMIF(บันทึกรายเที่ยว!$T$6:$T$10005,$U198,บันทึกรายเที่ยว!$J$6:$J$10005),2))</f>
        <v>0</v>
      </c>
      <c r="AG198">
        <f>IF($U198="",0,ROUND(SUMIF(บันทึกรายเที่ยว!$T$6:$T$10005,$U198,บันทึกรายเที่ยว!$K$6:$K$10005),2))</f>
        <v>0</v>
      </c>
      <c r="AH198">
        <f>IF($U198="",0,ROUND(SUMIF(บันทึกรายเที่ยว!$T$6:$T$10005,$U198,บันทึกรายเที่ยว!$M$6:$M$10005),2))</f>
        <v>0</v>
      </c>
    </row>
    <row r="199" spans="1:34" ht="21" customHeight="1" x14ac:dyDescent="0.95">
      <c r="A199" s="3" t="str">
        <f t="shared" si="28"/>
        <v/>
      </c>
      <c r="B199" s="3" t="str">
        <f t="shared" si="29"/>
        <v/>
      </c>
      <c r="C199" s="8" t="str">
        <f t="shared" si="30"/>
        <v/>
      </c>
      <c r="D199" s="31" t="str">
        <f t="shared" si="31"/>
        <v/>
      </c>
      <c r="E199" s="32" t="str">
        <f>IF(192=$AD$1+3,"ขอแสดงความนับถือ",IF(192=$AD$1+6,"(                 )",IF(192=$AD$1+7,"เจ้าหน้าที่ขนส่ง",IF($AB199="G",SUM($AF$8:$AF$407),IF(OR($AB199="",$AB199="R"),"",IF($AB199="D",INDEX($AF$8:$AF$407,$AA199),SUMIF($T$8:$T$407,INDEX($T$8:$T$407,$AA199),$AF$8:$AF$407)))))))</f>
        <v/>
      </c>
      <c r="F199" s="32" t="str">
        <f t="shared" si="32"/>
        <v/>
      </c>
      <c r="G199" s="32" t="str">
        <f t="shared" si="33"/>
        <v/>
      </c>
      <c r="H199" s="32" t="str">
        <f t="shared" si="34"/>
        <v/>
      </c>
      <c r="J199" t="str">
        <f>IFERROR(MATCH(192,บันทึกรายเที่ยว!$W$6:$W$10005,0),"")</f>
        <v/>
      </c>
      <c r="K199" t="str">
        <f>IF($J199="","",INDEX(บันทึกรายเที่ยว!$T$6:$T$10005,$J199))</f>
        <v/>
      </c>
      <c r="L199" t="str">
        <f>IF($J199="","",INDEX(บันทึกรายเที่ยว!$S$6:$S$10005,$J199))</f>
        <v/>
      </c>
      <c r="M199" t="str">
        <f>IF($J199="","",INDEX(บันทึกรายเที่ยว!$R$6:$R$10005,$J199))</f>
        <v/>
      </c>
      <c r="N199" t="str">
        <f>IF($J199="","",MATCH($M199,บันทึกรายเที่ยว!$R$6:$R$10005,0))</f>
        <v/>
      </c>
      <c r="O199" t="str">
        <f>IF($J199="","",MATCH($L199,บันทึกรายเที่ยว!$S$6:$S$10005,0))</f>
        <v/>
      </c>
      <c r="P199" t="str">
        <f>IF($J199="","",IF(AND(OR($I$3="(ทั้งหมด)",INDEX(บันทึกรายเที่ยว!$C$6:$C$10005,$J199)=$I$3),OR($I$5="(ทั้งหมด)",INDEX(บันทึกรายเที่ยว!$D$6:$D$10005,$J199)=$I$5),OR($I$7="(ทั้งหมด)",INDEX(บันทึกรายเที่ยว!$F$6:$F$10005,$J199)=$I$7)),$N199*10000000+$O199*1000+192,""))</f>
        <v/>
      </c>
      <c r="Q199" t="str">
        <f>IFERROR(MATCH(SMALL($P$8:$P$407,192),$P$8:$P$407,0),"")</f>
        <v/>
      </c>
      <c r="R199" t="str">
        <f t="shared" si="35"/>
        <v/>
      </c>
      <c r="S199" t="str">
        <f t="shared" si="36"/>
        <v/>
      </c>
      <c r="T199" t="str">
        <f t="shared" si="37"/>
        <v/>
      </c>
      <c r="U199" t="str">
        <f t="shared" si="38"/>
        <v/>
      </c>
      <c r="V199">
        <f t="shared" si="40"/>
        <v>0</v>
      </c>
      <c r="W199">
        <f t="shared" si="41"/>
        <v>0</v>
      </c>
      <c r="X199">
        <f>IF($Q199="",99999+192,$X198+1+$V198+$W198)</f>
        <v>100191</v>
      </c>
      <c r="Y199" t="str">
        <f>IF($Q199="","",INDEX(บันทึกรายเที่ยว!$Q$6:$Q$10005,$R199))</f>
        <v/>
      </c>
      <c r="Z199" t="str">
        <f>IF($Q199="","",INDEX(บันทึกรายเที่ยว!$F$6:$F$10005,$R199))</f>
        <v/>
      </c>
      <c r="AA199" t="str">
        <f>IFERROR(MATCH(192,$X$8:$X$407,1),"")</f>
        <v/>
      </c>
      <c r="AB199" t="str">
        <f>IF(192=$AD$1+1,"G",IF($AA199="","",IF(INDEX($Q$8:$Q$407,$AA199)="","",IF(192&gt;INDEX($X$8:$X$407,$AA199)+INDEX($V$8:$V$407,$AA199)+INDEX($W$8:$W$407,$AA199),"",IF(192=INDEX($X$8:$X$407,$AA199)+INDEX($V$8:$V$407,$AA199)+INDEX($W$8:$W$407,$AA199),"D",IF(AND(INDEX($W$8:$W$407,$AA199)=1,192=INDEX($X$8:$X$407,$AA199)+INDEX($V$8:$V$407,$AA199)),"S","R"))))))</f>
        <v/>
      </c>
      <c r="AC199" t="str">
        <f t="shared" si="39"/>
        <v/>
      </c>
      <c r="AE199">
        <f>IF($U199="",0,COUNTIF(บันทึกรายเที่ยว!$T$6:$T$10005,$U199))</f>
        <v>0</v>
      </c>
      <c r="AF199">
        <f>IF($U199="",0,ROUND(SUMIF(บันทึกรายเที่ยว!$T$6:$T$10005,$U199,บันทึกรายเที่ยว!$J$6:$J$10005),2))</f>
        <v>0</v>
      </c>
      <c r="AG199">
        <f>IF($U199="",0,ROUND(SUMIF(บันทึกรายเที่ยว!$T$6:$T$10005,$U199,บันทึกรายเที่ยว!$K$6:$K$10005),2))</f>
        <v>0</v>
      </c>
      <c r="AH199">
        <f>IF($U199="",0,ROUND(SUMIF(บันทึกรายเที่ยว!$T$6:$T$10005,$U199,บันทึกรายเที่ยว!$M$6:$M$10005),2))</f>
        <v>0</v>
      </c>
    </row>
    <row r="200" spans="1:34" ht="21" customHeight="1" x14ac:dyDescent="0.95">
      <c r="A200" s="3" t="str">
        <f t="shared" ref="A200:A263" si="42">IF($AB200="G","ผลรวมทั้งหมด",IF($AB200="R",INDEX($S$8:$S$407,$AA200),""))</f>
        <v/>
      </c>
      <c r="B200" s="3" t="str">
        <f t="shared" ref="B200:B263" si="43">IF($AB200="S",INDEX($Y$8:$Y$407,$AA200),"")</f>
        <v/>
      </c>
      <c r="C200" s="8" t="str">
        <f t="shared" ref="C200:C263" si="44">IF($AB200="D",INDEX($Z$8:$Z$407,$AA200),"")</f>
        <v/>
      </c>
      <c r="D200" s="31" t="str">
        <f t="shared" ref="D200:D263" si="45">IF($AB200="G",SUM($AE$8:$AE$407),IF(OR($AB200="",$AB200="R"),"",IF($AB200="D",INDEX($AE$8:$AE$407,$AA200),SUMIF($T$8:$T$407,INDEX($T$8:$T$407,$AA200),$AE$8:$AE$407))))</f>
        <v/>
      </c>
      <c r="E200" s="32" t="str">
        <f>IF(193=$AD$1+3,"ขอแสดงความนับถือ",IF(193=$AD$1+6,"(                 )",IF(193=$AD$1+7,"เจ้าหน้าที่ขนส่ง",IF($AB200="G",SUM($AF$8:$AF$407),IF(OR($AB200="",$AB200="R"),"",IF($AB200="D",INDEX($AF$8:$AF$407,$AA200),SUMIF($T$8:$T$407,INDEX($T$8:$T$407,$AA200),$AF$8:$AF$407)))))))</f>
        <v/>
      </c>
      <c r="F200" s="32" t="str">
        <f t="shared" ref="F200:F263" si="46">IF($AB200="G",SUM($AG$8:$AG$407),IF(OR($AB200="",$AB200="R"),"",IF($AB200="D",INDEX($AG$8:$AG$407,$AA200),SUMIF($T$8:$T$407,INDEX($T$8:$T$407,$AA200),$AG$8:$AG$407))))</f>
        <v/>
      </c>
      <c r="G200" s="32" t="str">
        <f t="shared" ref="G200:G263" si="47">IF(OR($AB200="",$AB200="R"),"",ROUND($E200-$F200,2))</f>
        <v/>
      </c>
      <c r="H200" s="32" t="str">
        <f t="shared" ref="H200:H263" si="48">IF($AB200="G",SUM($AH$8:$AH$407),IF(OR($AB200="",$AB200="R"),"",IF($AB200="D",INDEX($AH$8:$AH$407,$AA200),SUMIF($T$8:$T$407,INDEX($T$8:$T$407,$AA200),$AH$8:$AH$407))))</f>
        <v/>
      </c>
      <c r="J200" t="str">
        <f>IFERROR(MATCH(193,บันทึกรายเที่ยว!$W$6:$W$10005,0),"")</f>
        <v/>
      </c>
      <c r="K200" t="str">
        <f>IF($J200="","",INDEX(บันทึกรายเที่ยว!$T$6:$T$10005,$J200))</f>
        <v/>
      </c>
      <c r="L200" t="str">
        <f>IF($J200="","",INDEX(บันทึกรายเที่ยว!$S$6:$S$10005,$J200))</f>
        <v/>
      </c>
      <c r="M200" t="str">
        <f>IF($J200="","",INDEX(บันทึกรายเที่ยว!$R$6:$R$10005,$J200))</f>
        <v/>
      </c>
      <c r="N200" t="str">
        <f>IF($J200="","",MATCH($M200,บันทึกรายเที่ยว!$R$6:$R$10005,0))</f>
        <v/>
      </c>
      <c r="O200" t="str">
        <f>IF($J200="","",MATCH($L200,บันทึกรายเที่ยว!$S$6:$S$10005,0))</f>
        <v/>
      </c>
      <c r="P200" t="str">
        <f>IF($J200="","",IF(AND(OR($I$3="(ทั้งหมด)",INDEX(บันทึกรายเที่ยว!$C$6:$C$10005,$J200)=$I$3),OR($I$5="(ทั้งหมด)",INDEX(บันทึกรายเที่ยว!$D$6:$D$10005,$J200)=$I$5),OR($I$7="(ทั้งหมด)",INDEX(บันทึกรายเที่ยว!$F$6:$F$10005,$J200)=$I$7)),$N200*10000000+$O200*1000+193,""))</f>
        <v/>
      </c>
      <c r="Q200" t="str">
        <f>IFERROR(MATCH(SMALL($P$8:$P$407,193),$P$8:$P$407,0),"")</f>
        <v/>
      </c>
      <c r="R200" t="str">
        <f t="shared" ref="R200:R263" si="49">IF($Q200="","",INDEX($J$8:$J$407,$Q200))</f>
        <v/>
      </c>
      <c r="S200" t="str">
        <f t="shared" ref="S200:S263" si="50">IF($Q200="","",INDEX($M$8:$M$407,$Q200))</f>
        <v/>
      </c>
      <c r="T200" t="str">
        <f t="shared" ref="T200:T263" si="51">IF($Q200="","",INDEX($L$8:$L$407,$Q200))</f>
        <v/>
      </c>
      <c r="U200" t="str">
        <f t="shared" ref="U200:U263" si="52">IF($Q200="","",INDEX($K$8:$K$407,$Q200))</f>
        <v/>
      </c>
      <c r="V200">
        <f t="shared" si="40"/>
        <v>0</v>
      </c>
      <c r="W200">
        <f t="shared" si="41"/>
        <v>0</v>
      </c>
      <c r="X200">
        <f>IF($Q200="",99999+193,$X199+1+$V199+$W199)</f>
        <v>100192</v>
      </c>
      <c r="Y200" t="str">
        <f>IF($Q200="","",INDEX(บันทึกรายเที่ยว!$Q$6:$Q$10005,$R200))</f>
        <v/>
      </c>
      <c r="Z200" t="str">
        <f>IF($Q200="","",INDEX(บันทึกรายเที่ยว!$F$6:$F$10005,$R200))</f>
        <v/>
      </c>
      <c r="AA200" t="str">
        <f>IFERROR(MATCH(193,$X$8:$X$407,1),"")</f>
        <v/>
      </c>
      <c r="AB200" t="str">
        <f>IF(193=$AD$1+1,"G",IF($AA200="","",IF(INDEX($Q$8:$Q$407,$AA200)="","",IF(193&gt;INDEX($X$8:$X$407,$AA200)+INDEX($V$8:$V$407,$AA200)+INDEX($W$8:$W$407,$AA200),"",IF(193=INDEX($X$8:$X$407,$AA200)+INDEX($V$8:$V$407,$AA200)+INDEX($W$8:$W$407,$AA200),"D",IF(AND(INDEX($W$8:$W$407,$AA200)=1,193=INDEX($X$8:$X$407,$AA200)+INDEX($V$8:$V$407,$AA200)),"S","R"))))))</f>
        <v/>
      </c>
      <c r="AC200" t="str">
        <f t="shared" ref="AC200:AC263" si="53">IF(OR($AB200="",$AB200="G"),"",IF($AB200="D",INDEX($U$8:$U$407,$AA200),IF($AB200="S",INDEX($T$8:$T$407,$AA200)&amp;"|*",INDEX($S$8:$S$407,$AA200)&amp;"|*")))</f>
        <v/>
      </c>
      <c r="AE200">
        <f>IF($U200="",0,COUNTIF(บันทึกรายเที่ยว!$T$6:$T$10005,$U200))</f>
        <v>0</v>
      </c>
      <c r="AF200">
        <f>IF($U200="",0,ROUND(SUMIF(บันทึกรายเที่ยว!$T$6:$T$10005,$U200,บันทึกรายเที่ยว!$J$6:$J$10005),2))</f>
        <v>0</v>
      </c>
      <c r="AG200">
        <f>IF($U200="",0,ROUND(SUMIF(บันทึกรายเที่ยว!$T$6:$T$10005,$U200,บันทึกรายเที่ยว!$K$6:$K$10005),2))</f>
        <v>0</v>
      </c>
      <c r="AH200">
        <f>IF($U200="",0,ROUND(SUMIF(บันทึกรายเที่ยว!$T$6:$T$10005,$U200,บันทึกรายเที่ยว!$M$6:$M$10005),2))</f>
        <v>0</v>
      </c>
    </row>
    <row r="201" spans="1:34" ht="21" customHeight="1" x14ac:dyDescent="0.95">
      <c r="A201" s="3" t="str">
        <f t="shared" si="42"/>
        <v/>
      </c>
      <c r="B201" s="3" t="str">
        <f t="shared" si="43"/>
        <v/>
      </c>
      <c r="C201" s="8" t="str">
        <f t="shared" si="44"/>
        <v/>
      </c>
      <c r="D201" s="31" t="str">
        <f t="shared" si="45"/>
        <v/>
      </c>
      <c r="E201" s="32" t="str">
        <f>IF(194=$AD$1+3,"ขอแสดงความนับถือ",IF(194=$AD$1+6,"(                 )",IF(194=$AD$1+7,"เจ้าหน้าที่ขนส่ง",IF($AB201="G",SUM($AF$8:$AF$407),IF(OR($AB201="",$AB201="R"),"",IF($AB201="D",INDEX($AF$8:$AF$407,$AA201),SUMIF($T$8:$T$407,INDEX($T$8:$T$407,$AA201),$AF$8:$AF$407)))))))</f>
        <v/>
      </c>
      <c r="F201" s="32" t="str">
        <f t="shared" si="46"/>
        <v/>
      </c>
      <c r="G201" s="32" t="str">
        <f t="shared" si="47"/>
        <v/>
      </c>
      <c r="H201" s="32" t="str">
        <f t="shared" si="48"/>
        <v/>
      </c>
      <c r="J201" t="str">
        <f>IFERROR(MATCH(194,บันทึกรายเที่ยว!$W$6:$W$10005,0),"")</f>
        <v/>
      </c>
      <c r="K201" t="str">
        <f>IF($J201="","",INDEX(บันทึกรายเที่ยว!$T$6:$T$10005,$J201))</f>
        <v/>
      </c>
      <c r="L201" t="str">
        <f>IF($J201="","",INDEX(บันทึกรายเที่ยว!$S$6:$S$10005,$J201))</f>
        <v/>
      </c>
      <c r="M201" t="str">
        <f>IF($J201="","",INDEX(บันทึกรายเที่ยว!$R$6:$R$10005,$J201))</f>
        <v/>
      </c>
      <c r="N201" t="str">
        <f>IF($J201="","",MATCH($M201,บันทึกรายเที่ยว!$R$6:$R$10005,0))</f>
        <v/>
      </c>
      <c r="O201" t="str">
        <f>IF($J201="","",MATCH($L201,บันทึกรายเที่ยว!$S$6:$S$10005,0))</f>
        <v/>
      </c>
      <c r="P201" t="str">
        <f>IF($J201="","",IF(AND(OR($I$3="(ทั้งหมด)",INDEX(บันทึกรายเที่ยว!$C$6:$C$10005,$J201)=$I$3),OR($I$5="(ทั้งหมด)",INDEX(บันทึกรายเที่ยว!$D$6:$D$10005,$J201)=$I$5),OR($I$7="(ทั้งหมด)",INDEX(บันทึกรายเที่ยว!$F$6:$F$10005,$J201)=$I$7)),$N201*10000000+$O201*1000+194,""))</f>
        <v/>
      </c>
      <c r="Q201" t="str">
        <f>IFERROR(MATCH(SMALL($P$8:$P$407,194),$P$8:$P$407,0),"")</f>
        <v/>
      </c>
      <c r="R201" t="str">
        <f t="shared" si="49"/>
        <v/>
      </c>
      <c r="S201" t="str">
        <f t="shared" si="50"/>
        <v/>
      </c>
      <c r="T201" t="str">
        <f t="shared" si="51"/>
        <v/>
      </c>
      <c r="U201" t="str">
        <f t="shared" si="52"/>
        <v/>
      </c>
      <c r="V201">
        <f t="shared" ref="V201:V264" si="54">IF($Q201="",0,IF($S201&lt;&gt;$S200,1,0))</f>
        <v>0</v>
      </c>
      <c r="W201">
        <f t="shared" ref="W201:W264" si="55">IF($Q201="",0,IF($T201&lt;&gt;$T200,1,0))</f>
        <v>0</v>
      </c>
      <c r="X201">
        <f>IF($Q201="",99999+194,$X200+1+$V200+$W200)</f>
        <v>100193</v>
      </c>
      <c r="Y201" t="str">
        <f>IF($Q201="","",INDEX(บันทึกรายเที่ยว!$Q$6:$Q$10005,$R201))</f>
        <v/>
      </c>
      <c r="Z201" t="str">
        <f>IF($Q201="","",INDEX(บันทึกรายเที่ยว!$F$6:$F$10005,$R201))</f>
        <v/>
      </c>
      <c r="AA201" t="str">
        <f>IFERROR(MATCH(194,$X$8:$X$407,1),"")</f>
        <v/>
      </c>
      <c r="AB201" t="str">
        <f>IF(194=$AD$1+1,"G",IF($AA201="","",IF(INDEX($Q$8:$Q$407,$AA201)="","",IF(194&gt;INDEX($X$8:$X$407,$AA201)+INDEX($V$8:$V$407,$AA201)+INDEX($W$8:$W$407,$AA201),"",IF(194=INDEX($X$8:$X$407,$AA201)+INDEX($V$8:$V$407,$AA201)+INDEX($W$8:$W$407,$AA201),"D",IF(AND(INDEX($W$8:$W$407,$AA201)=1,194=INDEX($X$8:$X$407,$AA201)+INDEX($V$8:$V$407,$AA201)),"S","R"))))))</f>
        <v/>
      </c>
      <c r="AC201" t="str">
        <f t="shared" si="53"/>
        <v/>
      </c>
      <c r="AE201">
        <f>IF($U201="",0,COUNTIF(บันทึกรายเที่ยว!$T$6:$T$10005,$U201))</f>
        <v>0</v>
      </c>
      <c r="AF201">
        <f>IF($U201="",0,ROUND(SUMIF(บันทึกรายเที่ยว!$T$6:$T$10005,$U201,บันทึกรายเที่ยว!$J$6:$J$10005),2))</f>
        <v>0</v>
      </c>
      <c r="AG201">
        <f>IF($U201="",0,ROUND(SUMIF(บันทึกรายเที่ยว!$T$6:$T$10005,$U201,บันทึกรายเที่ยว!$K$6:$K$10005),2))</f>
        <v>0</v>
      </c>
      <c r="AH201">
        <f>IF($U201="",0,ROUND(SUMIF(บันทึกรายเที่ยว!$T$6:$T$10005,$U201,บันทึกรายเที่ยว!$M$6:$M$10005),2))</f>
        <v>0</v>
      </c>
    </row>
    <row r="202" spans="1:34" ht="21" customHeight="1" x14ac:dyDescent="0.95">
      <c r="A202" s="3" t="str">
        <f t="shared" si="42"/>
        <v/>
      </c>
      <c r="B202" s="3" t="str">
        <f t="shared" si="43"/>
        <v/>
      </c>
      <c r="C202" s="8" t="str">
        <f t="shared" si="44"/>
        <v/>
      </c>
      <c r="D202" s="31" t="str">
        <f t="shared" si="45"/>
        <v/>
      </c>
      <c r="E202" s="32" t="str">
        <f>IF(195=$AD$1+3,"ขอแสดงความนับถือ",IF(195=$AD$1+6,"(                 )",IF(195=$AD$1+7,"เจ้าหน้าที่ขนส่ง",IF($AB202="G",SUM($AF$8:$AF$407),IF(OR($AB202="",$AB202="R"),"",IF($AB202="D",INDEX($AF$8:$AF$407,$AA202),SUMIF($T$8:$T$407,INDEX($T$8:$T$407,$AA202),$AF$8:$AF$407)))))))</f>
        <v/>
      </c>
      <c r="F202" s="32" t="str">
        <f t="shared" si="46"/>
        <v/>
      </c>
      <c r="G202" s="32" t="str">
        <f t="shared" si="47"/>
        <v/>
      </c>
      <c r="H202" s="32" t="str">
        <f t="shared" si="48"/>
        <v/>
      </c>
      <c r="J202" t="str">
        <f>IFERROR(MATCH(195,บันทึกรายเที่ยว!$W$6:$W$10005,0),"")</f>
        <v/>
      </c>
      <c r="K202" t="str">
        <f>IF($J202="","",INDEX(บันทึกรายเที่ยว!$T$6:$T$10005,$J202))</f>
        <v/>
      </c>
      <c r="L202" t="str">
        <f>IF($J202="","",INDEX(บันทึกรายเที่ยว!$S$6:$S$10005,$J202))</f>
        <v/>
      </c>
      <c r="M202" t="str">
        <f>IF($J202="","",INDEX(บันทึกรายเที่ยว!$R$6:$R$10005,$J202))</f>
        <v/>
      </c>
      <c r="N202" t="str">
        <f>IF($J202="","",MATCH($M202,บันทึกรายเที่ยว!$R$6:$R$10005,0))</f>
        <v/>
      </c>
      <c r="O202" t="str">
        <f>IF($J202="","",MATCH($L202,บันทึกรายเที่ยว!$S$6:$S$10005,0))</f>
        <v/>
      </c>
      <c r="P202" t="str">
        <f>IF($J202="","",IF(AND(OR($I$3="(ทั้งหมด)",INDEX(บันทึกรายเที่ยว!$C$6:$C$10005,$J202)=$I$3),OR($I$5="(ทั้งหมด)",INDEX(บันทึกรายเที่ยว!$D$6:$D$10005,$J202)=$I$5),OR($I$7="(ทั้งหมด)",INDEX(บันทึกรายเที่ยว!$F$6:$F$10005,$J202)=$I$7)),$N202*10000000+$O202*1000+195,""))</f>
        <v/>
      </c>
      <c r="Q202" t="str">
        <f>IFERROR(MATCH(SMALL($P$8:$P$407,195),$P$8:$P$407,0),"")</f>
        <v/>
      </c>
      <c r="R202" t="str">
        <f t="shared" si="49"/>
        <v/>
      </c>
      <c r="S202" t="str">
        <f t="shared" si="50"/>
        <v/>
      </c>
      <c r="T202" t="str">
        <f t="shared" si="51"/>
        <v/>
      </c>
      <c r="U202" t="str">
        <f t="shared" si="52"/>
        <v/>
      </c>
      <c r="V202">
        <f t="shared" si="54"/>
        <v>0</v>
      </c>
      <c r="W202">
        <f t="shared" si="55"/>
        <v>0</v>
      </c>
      <c r="X202">
        <f>IF($Q202="",99999+195,$X201+1+$V201+$W201)</f>
        <v>100194</v>
      </c>
      <c r="Y202" t="str">
        <f>IF($Q202="","",INDEX(บันทึกรายเที่ยว!$Q$6:$Q$10005,$R202))</f>
        <v/>
      </c>
      <c r="Z202" t="str">
        <f>IF($Q202="","",INDEX(บันทึกรายเที่ยว!$F$6:$F$10005,$R202))</f>
        <v/>
      </c>
      <c r="AA202" t="str">
        <f>IFERROR(MATCH(195,$X$8:$X$407,1),"")</f>
        <v/>
      </c>
      <c r="AB202" t="str">
        <f>IF(195=$AD$1+1,"G",IF($AA202="","",IF(INDEX($Q$8:$Q$407,$AA202)="","",IF(195&gt;INDEX($X$8:$X$407,$AA202)+INDEX($V$8:$V$407,$AA202)+INDEX($W$8:$W$407,$AA202),"",IF(195=INDEX($X$8:$X$407,$AA202)+INDEX($V$8:$V$407,$AA202)+INDEX($W$8:$W$407,$AA202),"D",IF(AND(INDEX($W$8:$W$407,$AA202)=1,195=INDEX($X$8:$X$407,$AA202)+INDEX($V$8:$V$407,$AA202)),"S","R"))))))</f>
        <v/>
      </c>
      <c r="AC202" t="str">
        <f t="shared" si="53"/>
        <v/>
      </c>
      <c r="AE202">
        <f>IF($U202="",0,COUNTIF(บันทึกรายเที่ยว!$T$6:$T$10005,$U202))</f>
        <v>0</v>
      </c>
      <c r="AF202">
        <f>IF($U202="",0,ROUND(SUMIF(บันทึกรายเที่ยว!$T$6:$T$10005,$U202,บันทึกรายเที่ยว!$J$6:$J$10005),2))</f>
        <v>0</v>
      </c>
      <c r="AG202">
        <f>IF($U202="",0,ROUND(SUMIF(บันทึกรายเที่ยว!$T$6:$T$10005,$U202,บันทึกรายเที่ยว!$K$6:$K$10005),2))</f>
        <v>0</v>
      </c>
      <c r="AH202">
        <f>IF($U202="",0,ROUND(SUMIF(บันทึกรายเที่ยว!$T$6:$T$10005,$U202,บันทึกรายเที่ยว!$M$6:$M$10005),2))</f>
        <v>0</v>
      </c>
    </row>
    <row r="203" spans="1:34" ht="21" customHeight="1" x14ac:dyDescent="0.95">
      <c r="A203" s="3" t="str">
        <f t="shared" si="42"/>
        <v/>
      </c>
      <c r="B203" s="3" t="str">
        <f t="shared" si="43"/>
        <v/>
      </c>
      <c r="C203" s="8" t="str">
        <f t="shared" si="44"/>
        <v/>
      </c>
      <c r="D203" s="31" t="str">
        <f t="shared" si="45"/>
        <v/>
      </c>
      <c r="E203" s="32" t="str">
        <f>IF(196=$AD$1+3,"ขอแสดงความนับถือ",IF(196=$AD$1+6,"(                 )",IF(196=$AD$1+7,"เจ้าหน้าที่ขนส่ง",IF($AB203="G",SUM($AF$8:$AF$407),IF(OR($AB203="",$AB203="R"),"",IF($AB203="D",INDEX($AF$8:$AF$407,$AA203),SUMIF($T$8:$T$407,INDEX($T$8:$T$407,$AA203),$AF$8:$AF$407)))))))</f>
        <v/>
      </c>
      <c r="F203" s="32" t="str">
        <f t="shared" si="46"/>
        <v/>
      </c>
      <c r="G203" s="32" t="str">
        <f t="shared" si="47"/>
        <v/>
      </c>
      <c r="H203" s="32" t="str">
        <f t="shared" si="48"/>
        <v/>
      </c>
      <c r="J203" t="str">
        <f>IFERROR(MATCH(196,บันทึกรายเที่ยว!$W$6:$W$10005,0),"")</f>
        <v/>
      </c>
      <c r="K203" t="str">
        <f>IF($J203="","",INDEX(บันทึกรายเที่ยว!$T$6:$T$10005,$J203))</f>
        <v/>
      </c>
      <c r="L203" t="str">
        <f>IF($J203="","",INDEX(บันทึกรายเที่ยว!$S$6:$S$10005,$J203))</f>
        <v/>
      </c>
      <c r="M203" t="str">
        <f>IF($J203="","",INDEX(บันทึกรายเที่ยว!$R$6:$R$10005,$J203))</f>
        <v/>
      </c>
      <c r="N203" t="str">
        <f>IF($J203="","",MATCH($M203,บันทึกรายเที่ยว!$R$6:$R$10005,0))</f>
        <v/>
      </c>
      <c r="O203" t="str">
        <f>IF($J203="","",MATCH($L203,บันทึกรายเที่ยว!$S$6:$S$10005,0))</f>
        <v/>
      </c>
      <c r="P203" t="str">
        <f>IF($J203="","",IF(AND(OR($I$3="(ทั้งหมด)",INDEX(บันทึกรายเที่ยว!$C$6:$C$10005,$J203)=$I$3),OR($I$5="(ทั้งหมด)",INDEX(บันทึกรายเที่ยว!$D$6:$D$10005,$J203)=$I$5),OR($I$7="(ทั้งหมด)",INDEX(บันทึกรายเที่ยว!$F$6:$F$10005,$J203)=$I$7)),$N203*10000000+$O203*1000+196,""))</f>
        <v/>
      </c>
      <c r="Q203" t="str">
        <f>IFERROR(MATCH(SMALL($P$8:$P$407,196),$P$8:$P$407,0),"")</f>
        <v/>
      </c>
      <c r="R203" t="str">
        <f t="shared" si="49"/>
        <v/>
      </c>
      <c r="S203" t="str">
        <f t="shared" si="50"/>
        <v/>
      </c>
      <c r="T203" t="str">
        <f t="shared" si="51"/>
        <v/>
      </c>
      <c r="U203" t="str">
        <f t="shared" si="52"/>
        <v/>
      </c>
      <c r="V203">
        <f t="shared" si="54"/>
        <v>0</v>
      </c>
      <c r="W203">
        <f t="shared" si="55"/>
        <v>0</v>
      </c>
      <c r="X203">
        <f>IF($Q203="",99999+196,$X202+1+$V202+$W202)</f>
        <v>100195</v>
      </c>
      <c r="Y203" t="str">
        <f>IF($Q203="","",INDEX(บันทึกรายเที่ยว!$Q$6:$Q$10005,$R203))</f>
        <v/>
      </c>
      <c r="Z203" t="str">
        <f>IF($Q203="","",INDEX(บันทึกรายเที่ยว!$F$6:$F$10005,$R203))</f>
        <v/>
      </c>
      <c r="AA203" t="str">
        <f>IFERROR(MATCH(196,$X$8:$X$407,1),"")</f>
        <v/>
      </c>
      <c r="AB203" t="str">
        <f>IF(196=$AD$1+1,"G",IF($AA203="","",IF(INDEX($Q$8:$Q$407,$AA203)="","",IF(196&gt;INDEX($X$8:$X$407,$AA203)+INDEX($V$8:$V$407,$AA203)+INDEX($W$8:$W$407,$AA203),"",IF(196=INDEX($X$8:$X$407,$AA203)+INDEX($V$8:$V$407,$AA203)+INDEX($W$8:$W$407,$AA203),"D",IF(AND(INDEX($W$8:$W$407,$AA203)=1,196=INDEX($X$8:$X$407,$AA203)+INDEX($V$8:$V$407,$AA203)),"S","R"))))))</f>
        <v/>
      </c>
      <c r="AC203" t="str">
        <f t="shared" si="53"/>
        <v/>
      </c>
      <c r="AE203">
        <f>IF($U203="",0,COUNTIF(บันทึกรายเที่ยว!$T$6:$T$10005,$U203))</f>
        <v>0</v>
      </c>
      <c r="AF203">
        <f>IF($U203="",0,ROUND(SUMIF(บันทึกรายเที่ยว!$T$6:$T$10005,$U203,บันทึกรายเที่ยว!$J$6:$J$10005),2))</f>
        <v>0</v>
      </c>
      <c r="AG203">
        <f>IF($U203="",0,ROUND(SUMIF(บันทึกรายเที่ยว!$T$6:$T$10005,$U203,บันทึกรายเที่ยว!$K$6:$K$10005),2))</f>
        <v>0</v>
      </c>
      <c r="AH203">
        <f>IF($U203="",0,ROUND(SUMIF(บันทึกรายเที่ยว!$T$6:$T$10005,$U203,บันทึกรายเที่ยว!$M$6:$M$10005),2))</f>
        <v>0</v>
      </c>
    </row>
    <row r="204" spans="1:34" ht="21" customHeight="1" x14ac:dyDescent="0.95">
      <c r="A204" s="3" t="str">
        <f t="shared" si="42"/>
        <v/>
      </c>
      <c r="B204" s="3" t="str">
        <f t="shared" si="43"/>
        <v/>
      </c>
      <c r="C204" s="8" t="str">
        <f t="shared" si="44"/>
        <v/>
      </c>
      <c r="D204" s="31" t="str">
        <f t="shared" si="45"/>
        <v/>
      </c>
      <c r="E204" s="32" t="str">
        <f>IF(197=$AD$1+3,"ขอแสดงความนับถือ",IF(197=$AD$1+6,"(                 )",IF(197=$AD$1+7,"เจ้าหน้าที่ขนส่ง",IF($AB204="G",SUM($AF$8:$AF$407),IF(OR($AB204="",$AB204="R"),"",IF($AB204="D",INDEX($AF$8:$AF$407,$AA204),SUMIF($T$8:$T$407,INDEX($T$8:$T$407,$AA204),$AF$8:$AF$407)))))))</f>
        <v/>
      </c>
      <c r="F204" s="32" t="str">
        <f t="shared" si="46"/>
        <v/>
      </c>
      <c r="G204" s="32" t="str">
        <f t="shared" si="47"/>
        <v/>
      </c>
      <c r="H204" s="32" t="str">
        <f t="shared" si="48"/>
        <v/>
      </c>
      <c r="J204" t="str">
        <f>IFERROR(MATCH(197,บันทึกรายเที่ยว!$W$6:$W$10005,0),"")</f>
        <v/>
      </c>
      <c r="K204" t="str">
        <f>IF($J204="","",INDEX(บันทึกรายเที่ยว!$T$6:$T$10005,$J204))</f>
        <v/>
      </c>
      <c r="L204" t="str">
        <f>IF($J204="","",INDEX(บันทึกรายเที่ยว!$S$6:$S$10005,$J204))</f>
        <v/>
      </c>
      <c r="M204" t="str">
        <f>IF($J204="","",INDEX(บันทึกรายเที่ยว!$R$6:$R$10005,$J204))</f>
        <v/>
      </c>
      <c r="N204" t="str">
        <f>IF($J204="","",MATCH($M204,บันทึกรายเที่ยว!$R$6:$R$10005,0))</f>
        <v/>
      </c>
      <c r="O204" t="str">
        <f>IF($J204="","",MATCH($L204,บันทึกรายเที่ยว!$S$6:$S$10005,0))</f>
        <v/>
      </c>
      <c r="P204" t="str">
        <f>IF($J204="","",IF(AND(OR($I$3="(ทั้งหมด)",INDEX(บันทึกรายเที่ยว!$C$6:$C$10005,$J204)=$I$3),OR($I$5="(ทั้งหมด)",INDEX(บันทึกรายเที่ยว!$D$6:$D$10005,$J204)=$I$5),OR($I$7="(ทั้งหมด)",INDEX(บันทึกรายเที่ยว!$F$6:$F$10005,$J204)=$I$7)),$N204*10000000+$O204*1000+197,""))</f>
        <v/>
      </c>
      <c r="Q204" t="str">
        <f>IFERROR(MATCH(SMALL($P$8:$P$407,197),$P$8:$P$407,0),"")</f>
        <v/>
      </c>
      <c r="R204" t="str">
        <f t="shared" si="49"/>
        <v/>
      </c>
      <c r="S204" t="str">
        <f t="shared" si="50"/>
        <v/>
      </c>
      <c r="T204" t="str">
        <f t="shared" si="51"/>
        <v/>
      </c>
      <c r="U204" t="str">
        <f t="shared" si="52"/>
        <v/>
      </c>
      <c r="V204">
        <f t="shared" si="54"/>
        <v>0</v>
      </c>
      <c r="W204">
        <f t="shared" si="55"/>
        <v>0</v>
      </c>
      <c r="X204">
        <f>IF($Q204="",99999+197,$X203+1+$V203+$W203)</f>
        <v>100196</v>
      </c>
      <c r="Y204" t="str">
        <f>IF($Q204="","",INDEX(บันทึกรายเที่ยว!$Q$6:$Q$10005,$R204))</f>
        <v/>
      </c>
      <c r="Z204" t="str">
        <f>IF($Q204="","",INDEX(บันทึกรายเที่ยว!$F$6:$F$10005,$R204))</f>
        <v/>
      </c>
      <c r="AA204" t="str">
        <f>IFERROR(MATCH(197,$X$8:$X$407,1),"")</f>
        <v/>
      </c>
      <c r="AB204" t="str">
        <f>IF(197=$AD$1+1,"G",IF($AA204="","",IF(INDEX($Q$8:$Q$407,$AA204)="","",IF(197&gt;INDEX($X$8:$X$407,$AA204)+INDEX($V$8:$V$407,$AA204)+INDEX($W$8:$W$407,$AA204),"",IF(197=INDEX($X$8:$X$407,$AA204)+INDEX($V$8:$V$407,$AA204)+INDEX($W$8:$W$407,$AA204),"D",IF(AND(INDEX($W$8:$W$407,$AA204)=1,197=INDEX($X$8:$X$407,$AA204)+INDEX($V$8:$V$407,$AA204)),"S","R"))))))</f>
        <v/>
      </c>
      <c r="AC204" t="str">
        <f t="shared" si="53"/>
        <v/>
      </c>
      <c r="AE204">
        <f>IF($U204="",0,COUNTIF(บันทึกรายเที่ยว!$T$6:$T$10005,$U204))</f>
        <v>0</v>
      </c>
      <c r="AF204">
        <f>IF($U204="",0,ROUND(SUMIF(บันทึกรายเที่ยว!$T$6:$T$10005,$U204,บันทึกรายเที่ยว!$J$6:$J$10005),2))</f>
        <v>0</v>
      </c>
      <c r="AG204">
        <f>IF($U204="",0,ROUND(SUMIF(บันทึกรายเที่ยว!$T$6:$T$10005,$U204,บันทึกรายเที่ยว!$K$6:$K$10005),2))</f>
        <v>0</v>
      </c>
      <c r="AH204">
        <f>IF($U204="",0,ROUND(SUMIF(บันทึกรายเที่ยว!$T$6:$T$10005,$U204,บันทึกรายเที่ยว!$M$6:$M$10005),2))</f>
        <v>0</v>
      </c>
    </row>
    <row r="205" spans="1:34" ht="21" customHeight="1" x14ac:dyDescent="0.95">
      <c r="A205" s="3" t="str">
        <f t="shared" si="42"/>
        <v/>
      </c>
      <c r="B205" s="3" t="str">
        <f t="shared" si="43"/>
        <v/>
      </c>
      <c r="C205" s="8" t="str">
        <f t="shared" si="44"/>
        <v/>
      </c>
      <c r="D205" s="31" t="str">
        <f t="shared" si="45"/>
        <v/>
      </c>
      <c r="E205" s="32" t="str">
        <f>IF(198=$AD$1+3,"ขอแสดงความนับถือ",IF(198=$AD$1+6,"(                 )",IF(198=$AD$1+7,"เจ้าหน้าที่ขนส่ง",IF($AB205="G",SUM($AF$8:$AF$407),IF(OR($AB205="",$AB205="R"),"",IF($AB205="D",INDEX($AF$8:$AF$407,$AA205),SUMIF($T$8:$T$407,INDEX($T$8:$T$407,$AA205),$AF$8:$AF$407)))))))</f>
        <v/>
      </c>
      <c r="F205" s="32" t="str">
        <f t="shared" si="46"/>
        <v/>
      </c>
      <c r="G205" s="32" t="str">
        <f t="shared" si="47"/>
        <v/>
      </c>
      <c r="H205" s="32" t="str">
        <f t="shared" si="48"/>
        <v/>
      </c>
      <c r="J205" t="str">
        <f>IFERROR(MATCH(198,บันทึกรายเที่ยว!$W$6:$W$10005,0),"")</f>
        <v/>
      </c>
      <c r="K205" t="str">
        <f>IF($J205="","",INDEX(บันทึกรายเที่ยว!$T$6:$T$10005,$J205))</f>
        <v/>
      </c>
      <c r="L205" t="str">
        <f>IF($J205="","",INDEX(บันทึกรายเที่ยว!$S$6:$S$10005,$J205))</f>
        <v/>
      </c>
      <c r="M205" t="str">
        <f>IF($J205="","",INDEX(บันทึกรายเที่ยว!$R$6:$R$10005,$J205))</f>
        <v/>
      </c>
      <c r="N205" t="str">
        <f>IF($J205="","",MATCH($M205,บันทึกรายเที่ยว!$R$6:$R$10005,0))</f>
        <v/>
      </c>
      <c r="O205" t="str">
        <f>IF($J205="","",MATCH($L205,บันทึกรายเที่ยว!$S$6:$S$10005,0))</f>
        <v/>
      </c>
      <c r="P205" t="str">
        <f>IF($J205="","",IF(AND(OR($I$3="(ทั้งหมด)",INDEX(บันทึกรายเที่ยว!$C$6:$C$10005,$J205)=$I$3),OR($I$5="(ทั้งหมด)",INDEX(บันทึกรายเที่ยว!$D$6:$D$10005,$J205)=$I$5),OR($I$7="(ทั้งหมด)",INDEX(บันทึกรายเที่ยว!$F$6:$F$10005,$J205)=$I$7)),$N205*10000000+$O205*1000+198,""))</f>
        <v/>
      </c>
      <c r="Q205" t="str">
        <f>IFERROR(MATCH(SMALL($P$8:$P$407,198),$P$8:$P$407,0),"")</f>
        <v/>
      </c>
      <c r="R205" t="str">
        <f t="shared" si="49"/>
        <v/>
      </c>
      <c r="S205" t="str">
        <f t="shared" si="50"/>
        <v/>
      </c>
      <c r="T205" t="str">
        <f t="shared" si="51"/>
        <v/>
      </c>
      <c r="U205" t="str">
        <f t="shared" si="52"/>
        <v/>
      </c>
      <c r="V205">
        <f t="shared" si="54"/>
        <v>0</v>
      </c>
      <c r="W205">
        <f t="shared" si="55"/>
        <v>0</v>
      </c>
      <c r="X205">
        <f>IF($Q205="",99999+198,$X204+1+$V204+$W204)</f>
        <v>100197</v>
      </c>
      <c r="Y205" t="str">
        <f>IF($Q205="","",INDEX(บันทึกรายเที่ยว!$Q$6:$Q$10005,$R205))</f>
        <v/>
      </c>
      <c r="Z205" t="str">
        <f>IF($Q205="","",INDEX(บันทึกรายเที่ยว!$F$6:$F$10005,$R205))</f>
        <v/>
      </c>
      <c r="AA205" t="str">
        <f>IFERROR(MATCH(198,$X$8:$X$407,1),"")</f>
        <v/>
      </c>
      <c r="AB205" t="str">
        <f>IF(198=$AD$1+1,"G",IF($AA205="","",IF(INDEX($Q$8:$Q$407,$AA205)="","",IF(198&gt;INDEX($X$8:$X$407,$AA205)+INDEX($V$8:$V$407,$AA205)+INDEX($W$8:$W$407,$AA205),"",IF(198=INDEX($X$8:$X$407,$AA205)+INDEX($V$8:$V$407,$AA205)+INDEX($W$8:$W$407,$AA205),"D",IF(AND(INDEX($W$8:$W$407,$AA205)=1,198=INDEX($X$8:$X$407,$AA205)+INDEX($V$8:$V$407,$AA205)),"S","R"))))))</f>
        <v/>
      </c>
      <c r="AC205" t="str">
        <f t="shared" si="53"/>
        <v/>
      </c>
      <c r="AE205">
        <f>IF($U205="",0,COUNTIF(บันทึกรายเที่ยว!$T$6:$T$10005,$U205))</f>
        <v>0</v>
      </c>
      <c r="AF205">
        <f>IF($U205="",0,ROUND(SUMIF(บันทึกรายเที่ยว!$T$6:$T$10005,$U205,บันทึกรายเที่ยว!$J$6:$J$10005),2))</f>
        <v>0</v>
      </c>
      <c r="AG205">
        <f>IF($U205="",0,ROUND(SUMIF(บันทึกรายเที่ยว!$T$6:$T$10005,$U205,บันทึกรายเที่ยว!$K$6:$K$10005),2))</f>
        <v>0</v>
      </c>
      <c r="AH205">
        <f>IF($U205="",0,ROUND(SUMIF(บันทึกรายเที่ยว!$T$6:$T$10005,$U205,บันทึกรายเที่ยว!$M$6:$M$10005),2))</f>
        <v>0</v>
      </c>
    </row>
    <row r="206" spans="1:34" ht="21" customHeight="1" x14ac:dyDescent="0.95">
      <c r="A206" s="3" t="str">
        <f t="shared" si="42"/>
        <v/>
      </c>
      <c r="B206" s="3" t="str">
        <f t="shared" si="43"/>
        <v/>
      </c>
      <c r="C206" s="8" t="str">
        <f t="shared" si="44"/>
        <v/>
      </c>
      <c r="D206" s="31" t="str">
        <f t="shared" si="45"/>
        <v/>
      </c>
      <c r="E206" s="32" t="str">
        <f>IF(199=$AD$1+3,"ขอแสดงความนับถือ",IF(199=$AD$1+6,"(                 )",IF(199=$AD$1+7,"เจ้าหน้าที่ขนส่ง",IF($AB206="G",SUM($AF$8:$AF$407),IF(OR($AB206="",$AB206="R"),"",IF($AB206="D",INDEX($AF$8:$AF$407,$AA206),SUMIF($T$8:$T$407,INDEX($T$8:$T$407,$AA206),$AF$8:$AF$407)))))))</f>
        <v/>
      </c>
      <c r="F206" s="32" t="str">
        <f t="shared" si="46"/>
        <v/>
      </c>
      <c r="G206" s="32" t="str">
        <f t="shared" si="47"/>
        <v/>
      </c>
      <c r="H206" s="32" t="str">
        <f t="shared" si="48"/>
        <v/>
      </c>
      <c r="J206" t="str">
        <f>IFERROR(MATCH(199,บันทึกรายเที่ยว!$W$6:$W$10005,0),"")</f>
        <v/>
      </c>
      <c r="K206" t="str">
        <f>IF($J206="","",INDEX(บันทึกรายเที่ยว!$T$6:$T$10005,$J206))</f>
        <v/>
      </c>
      <c r="L206" t="str">
        <f>IF($J206="","",INDEX(บันทึกรายเที่ยว!$S$6:$S$10005,$J206))</f>
        <v/>
      </c>
      <c r="M206" t="str">
        <f>IF($J206="","",INDEX(บันทึกรายเที่ยว!$R$6:$R$10005,$J206))</f>
        <v/>
      </c>
      <c r="N206" t="str">
        <f>IF($J206="","",MATCH($M206,บันทึกรายเที่ยว!$R$6:$R$10005,0))</f>
        <v/>
      </c>
      <c r="O206" t="str">
        <f>IF($J206="","",MATCH($L206,บันทึกรายเที่ยว!$S$6:$S$10005,0))</f>
        <v/>
      </c>
      <c r="P206" t="str">
        <f>IF($J206="","",IF(AND(OR($I$3="(ทั้งหมด)",INDEX(บันทึกรายเที่ยว!$C$6:$C$10005,$J206)=$I$3),OR($I$5="(ทั้งหมด)",INDEX(บันทึกรายเที่ยว!$D$6:$D$10005,$J206)=$I$5),OR($I$7="(ทั้งหมด)",INDEX(บันทึกรายเที่ยว!$F$6:$F$10005,$J206)=$I$7)),$N206*10000000+$O206*1000+199,""))</f>
        <v/>
      </c>
      <c r="Q206" t="str">
        <f>IFERROR(MATCH(SMALL($P$8:$P$407,199),$P$8:$P$407,0),"")</f>
        <v/>
      </c>
      <c r="R206" t="str">
        <f t="shared" si="49"/>
        <v/>
      </c>
      <c r="S206" t="str">
        <f t="shared" si="50"/>
        <v/>
      </c>
      <c r="T206" t="str">
        <f t="shared" si="51"/>
        <v/>
      </c>
      <c r="U206" t="str">
        <f t="shared" si="52"/>
        <v/>
      </c>
      <c r="V206">
        <f t="shared" si="54"/>
        <v>0</v>
      </c>
      <c r="W206">
        <f t="shared" si="55"/>
        <v>0</v>
      </c>
      <c r="X206">
        <f>IF($Q206="",99999+199,$X205+1+$V205+$W205)</f>
        <v>100198</v>
      </c>
      <c r="Y206" t="str">
        <f>IF($Q206="","",INDEX(บันทึกรายเที่ยว!$Q$6:$Q$10005,$R206))</f>
        <v/>
      </c>
      <c r="Z206" t="str">
        <f>IF($Q206="","",INDEX(บันทึกรายเที่ยว!$F$6:$F$10005,$R206))</f>
        <v/>
      </c>
      <c r="AA206" t="str">
        <f>IFERROR(MATCH(199,$X$8:$X$407,1),"")</f>
        <v/>
      </c>
      <c r="AB206" t="str">
        <f>IF(199=$AD$1+1,"G",IF($AA206="","",IF(INDEX($Q$8:$Q$407,$AA206)="","",IF(199&gt;INDEX($X$8:$X$407,$AA206)+INDEX($V$8:$V$407,$AA206)+INDEX($W$8:$W$407,$AA206),"",IF(199=INDEX($X$8:$X$407,$AA206)+INDEX($V$8:$V$407,$AA206)+INDEX($W$8:$W$407,$AA206),"D",IF(AND(INDEX($W$8:$W$407,$AA206)=1,199=INDEX($X$8:$X$407,$AA206)+INDEX($V$8:$V$407,$AA206)),"S","R"))))))</f>
        <v/>
      </c>
      <c r="AC206" t="str">
        <f t="shared" si="53"/>
        <v/>
      </c>
      <c r="AE206">
        <f>IF($U206="",0,COUNTIF(บันทึกรายเที่ยว!$T$6:$T$10005,$U206))</f>
        <v>0</v>
      </c>
      <c r="AF206">
        <f>IF($U206="",0,ROUND(SUMIF(บันทึกรายเที่ยว!$T$6:$T$10005,$U206,บันทึกรายเที่ยว!$J$6:$J$10005),2))</f>
        <v>0</v>
      </c>
      <c r="AG206">
        <f>IF($U206="",0,ROUND(SUMIF(บันทึกรายเที่ยว!$T$6:$T$10005,$U206,บันทึกรายเที่ยว!$K$6:$K$10005),2))</f>
        <v>0</v>
      </c>
      <c r="AH206">
        <f>IF($U206="",0,ROUND(SUMIF(บันทึกรายเที่ยว!$T$6:$T$10005,$U206,บันทึกรายเที่ยว!$M$6:$M$10005),2))</f>
        <v>0</v>
      </c>
    </row>
    <row r="207" spans="1:34" ht="21" customHeight="1" x14ac:dyDescent="0.95">
      <c r="A207" s="3" t="str">
        <f t="shared" si="42"/>
        <v/>
      </c>
      <c r="B207" s="3" t="str">
        <f t="shared" si="43"/>
        <v/>
      </c>
      <c r="C207" s="8" t="str">
        <f t="shared" si="44"/>
        <v/>
      </c>
      <c r="D207" s="31" t="str">
        <f t="shared" si="45"/>
        <v/>
      </c>
      <c r="E207" s="32" t="str">
        <f>IF(200=$AD$1+3,"ขอแสดงความนับถือ",IF(200=$AD$1+6,"(                 )",IF(200=$AD$1+7,"เจ้าหน้าที่ขนส่ง",IF($AB207="G",SUM($AF$8:$AF$407),IF(OR($AB207="",$AB207="R"),"",IF($AB207="D",INDEX($AF$8:$AF$407,$AA207),SUMIF($T$8:$T$407,INDEX($T$8:$T$407,$AA207),$AF$8:$AF$407)))))))</f>
        <v/>
      </c>
      <c r="F207" s="32" t="str">
        <f t="shared" si="46"/>
        <v/>
      </c>
      <c r="G207" s="32" t="str">
        <f t="shared" si="47"/>
        <v/>
      </c>
      <c r="H207" s="32" t="str">
        <f t="shared" si="48"/>
        <v/>
      </c>
      <c r="J207" t="str">
        <f>IFERROR(MATCH(200,บันทึกรายเที่ยว!$W$6:$W$10005,0),"")</f>
        <v/>
      </c>
      <c r="K207" t="str">
        <f>IF($J207="","",INDEX(บันทึกรายเที่ยว!$T$6:$T$10005,$J207))</f>
        <v/>
      </c>
      <c r="L207" t="str">
        <f>IF($J207="","",INDEX(บันทึกรายเที่ยว!$S$6:$S$10005,$J207))</f>
        <v/>
      </c>
      <c r="M207" t="str">
        <f>IF($J207="","",INDEX(บันทึกรายเที่ยว!$R$6:$R$10005,$J207))</f>
        <v/>
      </c>
      <c r="N207" t="str">
        <f>IF($J207="","",MATCH($M207,บันทึกรายเที่ยว!$R$6:$R$10005,0))</f>
        <v/>
      </c>
      <c r="O207" t="str">
        <f>IF($J207="","",MATCH($L207,บันทึกรายเที่ยว!$S$6:$S$10005,0))</f>
        <v/>
      </c>
      <c r="P207" t="str">
        <f>IF($J207="","",IF(AND(OR($I$3="(ทั้งหมด)",INDEX(บันทึกรายเที่ยว!$C$6:$C$10005,$J207)=$I$3),OR($I$5="(ทั้งหมด)",INDEX(บันทึกรายเที่ยว!$D$6:$D$10005,$J207)=$I$5),OR($I$7="(ทั้งหมด)",INDEX(บันทึกรายเที่ยว!$F$6:$F$10005,$J207)=$I$7)),$N207*10000000+$O207*1000+200,""))</f>
        <v/>
      </c>
      <c r="Q207" t="str">
        <f>IFERROR(MATCH(SMALL($P$8:$P$407,200),$P$8:$P$407,0),"")</f>
        <v/>
      </c>
      <c r="R207" t="str">
        <f t="shared" si="49"/>
        <v/>
      </c>
      <c r="S207" t="str">
        <f t="shared" si="50"/>
        <v/>
      </c>
      <c r="T207" t="str">
        <f t="shared" si="51"/>
        <v/>
      </c>
      <c r="U207" t="str">
        <f t="shared" si="52"/>
        <v/>
      </c>
      <c r="V207">
        <f t="shared" si="54"/>
        <v>0</v>
      </c>
      <c r="W207">
        <f t="shared" si="55"/>
        <v>0</v>
      </c>
      <c r="X207">
        <f>IF($Q207="",99999+200,$X206+1+$V206+$W206)</f>
        <v>100199</v>
      </c>
      <c r="Y207" t="str">
        <f>IF($Q207="","",INDEX(บันทึกรายเที่ยว!$Q$6:$Q$10005,$R207))</f>
        <v/>
      </c>
      <c r="Z207" t="str">
        <f>IF($Q207="","",INDEX(บันทึกรายเที่ยว!$F$6:$F$10005,$R207))</f>
        <v/>
      </c>
      <c r="AA207" t="str">
        <f>IFERROR(MATCH(200,$X$8:$X$407,1),"")</f>
        <v/>
      </c>
      <c r="AB207" t="str">
        <f>IF(200=$AD$1+1,"G",IF($AA207="","",IF(INDEX($Q$8:$Q$407,$AA207)="","",IF(200&gt;INDEX($X$8:$X$407,$AA207)+INDEX($V$8:$V$407,$AA207)+INDEX($W$8:$W$407,$AA207),"",IF(200=INDEX($X$8:$X$407,$AA207)+INDEX($V$8:$V$407,$AA207)+INDEX($W$8:$W$407,$AA207),"D",IF(AND(INDEX($W$8:$W$407,$AA207)=1,200=INDEX($X$8:$X$407,$AA207)+INDEX($V$8:$V$407,$AA207)),"S","R"))))))</f>
        <v/>
      </c>
      <c r="AC207" t="str">
        <f t="shared" si="53"/>
        <v/>
      </c>
      <c r="AE207">
        <f>IF($U207="",0,COUNTIF(บันทึกรายเที่ยว!$T$6:$T$10005,$U207))</f>
        <v>0</v>
      </c>
      <c r="AF207">
        <f>IF($U207="",0,ROUND(SUMIF(บันทึกรายเที่ยว!$T$6:$T$10005,$U207,บันทึกรายเที่ยว!$J$6:$J$10005),2))</f>
        <v>0</v>
      </c>
      <c r="AG207">
        <f>IF($U207="",0,ROUND(SUMIF(บันทึกรายเที่ยว!$T$6:$T$10005,$U207,บันทึกรายเที่ยว!$K$6:$K$10005),2))</f>
        <v>0</v>
      </c>
      <c r="AH207">
        <f>IF($U207="",0,ROUND(SUMIF(บันทึกรายเที่ยว!$T$6:$T$10005,$U207,บันทึกรายเที่ยว!$M$6:$M$10005),2))</f>
        <v>0</v>
      </c>
    </row>
    <row r="208" spans="1:34" ht="21" customHeight="1" x14ac:dyDescent="0.95">
      <c r="A208" s="3" t="str">
        <f t="shared" si="42"/>
        <v/>
      </c>
      <c r="B208" s="3" t="str">
        <f t="shared" si="43"/>
        <v/>
      </c>
      <c r="C208" s="8" t="str">
        <f t="shared" si="44"/>
        <v/>
      </c>
      <c r="D208" s="31" t="str">
        <f t="shared" si="45"/>
        <v/>
      </c>
      <c r="E208" s="32" t="str">
        <f>IF(201=$AD$1+3,"ขอแสดงความนับถือ",IF(201=$AD$1+6,"(                 )",IF(201=$AD$1+7,"เจ้าหน้าที่ขนส่ง",IF($AB208="G",SUM($AF$8:$AF$407),IF(OR($AB208="",$AB208="R"),"",IF($AB208="D",INDEX($AF$8:$AF$407,$AA208),SUMIF($T$8:$T$407,INDEX($T$8:$T$407,$AA208),$AF$8:$AF$407)))))))</f>
        <v/>
      </c>
      <c r="F208" s="32" t="str">
        <f t="shared" si="46"/>
        <v/>
      </c>
      <c r="G208" s="32" t="str">
        <f t="shared" si="47"/>
        <v/>
      </c>
      <c r="H208" s="32" t="str">
        <f t="shared" si="48"/>
        <v/>
      </c>
      <c r="J208" t="str">
        <f>IFERROR(MATCH(201,บันทึกรายเที่ยว!$W$6:$W$10005,0),"")</f>
        <v/>
      </c>
      <c r="K208" t="str">
        <f>IF($J208="","",INDEX(บันทึกรายเที่ยว!$T$6:$T$10005,$J208))</f>
        <v/>
      </c>
      <c r="L208" t="str">
        <f>IF($J208="","",INDEX(บันทึกรายเที่ยว!$S$6:$S$10005,$J208))</f>
        <v/>
      </c>
      <c r="M208" t="str">
        <f>IF($J208="","",INDEX(บันทึกรายเที่ยว!$R$6:$R$10005,$J208))</f>
        <v/>
      </c>
      <c r="N208" t="str">
        <f>IF($J208="","",MATCH($M208,บันทึกรายเที่ยว!$R$6:$R$10005,0))</f>
        <v/>
      </c>
      <c r="O208" t="str">
        <f>IF($J208="","",MATCH($L208,บันทึกรายเที่ยว!$S$6:$S$10005,0))</f>
        <v/>
      </c>
      <c r="P208" t="str">
        <f>IF($J208="","",IF(AND(OR($I$3="(ทั้งหมด)",INDEX(บันทึกรายเที่ยว!$C$6:$C$10005,$J208)=$I$3),OR($I$5="(ทั้งหมด)",INDEX(บันทึกรายเที่ยว!$D$6:$D$10005,$J208)=$I$5),OR($I$7="(ทั้งหมด)",INDEX(บันทึกรายเที่ยว!$F$6:$F$10005,$J208)=$I$7)),$N208*10000000+$O208*1000+201,""))</f>
        <v/>
      </c>
      <c r="Q208" t="str">
        <f>IFERROR(MATCH(SMALL($P$8:$P$407,201),$P$8:$P$407,0),"")</f>
        <v/>
      </c>
      <c r="R208" t="str">
        <f t="shared" si="49"/>
        <v/>
      </c>
      <c r="S208" t="str">
        <f t="shared" si="50"/>
        <v/>
      </c>
      <c r="T208" t="str">
        <f t="shared" si="51"/>
        <v/>
      </c>
      <c r="U208" t="str">
        <f t="shared" si="52"/>
        <v/>
      </c>
      <c r="V208">
        <f t="shared" si="54"/>
        <v>0</v>
      </c>
      <c r="W208">
        <f t="shared" si="55"/>
        <v>0</v>
      </c>
      <c r="X208">
        <f>IF($Q208="",99999+201,$X207+1+$V207+$W207)</f>
        <v>100200</v>
      </c>
      <c r="Y208" t="str">
        <f>IF($Q208="","",INDEX(บันทึกรายเที่ยว!$Q$6:$Q$10005,$R208))</f>
        <v/>
      </c>
      <c r="Z208" t="str">
        <f>IF($Q208="","",INDEX(บันทึกรายเที่ยว!$F$6:$F$10005,$R208))</f>
        <v/>
      </c>
      <c r="AA208" t="str">
        <f>IFERROR(MATCH(201,$X$8:$X$407,1),"")</f>
        <v/>
      </c>
      <c r="AB208" t="str">
        <f>IF(201=$AD$1+1,"G",IF($AA208="","",IF(INDEX($Q$8:$Q$407,$AA208)="","",IF(201&gt;INDEX($X$8:$X$407,$AA208)+INDEX($V$8:$V$407,$AA208)+INDEX($W$8:$W$407,$AA208),"",IF(201=INDEX($X$8:$X$407,$AA208)+INDEX($V$8:$V$407,$AA208)+INDEX($W$8:$W$407,$AA208),"D",IF(AND(INDEX($W$8:$W$407,$AA208)=1,201=INDEX($X$8:$X$407,$AA208)+INDEX($V$8:$V$407,$AA208)),"S","R"))))))</f>
        <v/>
      </c>
      <c r="AC208" t="str">
        <f t="shared" si="53"/>
        <v/>
      </c>
      <c r="AE208">
        <f>IF($U208="",0,COUNTIF(บันทึกรายเที่ยว!$T$6:$T$10005,$U208))</f>
        <v>0</v>
      </c>
      <c r="AF208">
        <f>IF($U208="",0,ROUND(SUMIF(บันทึกรายเที่ยว!$T$6:$T$10005,$U208,บันทึกรายเที่ยว!$J$6:$J$10005),2))</f>
        <v>0</v>
      </c>
      <c r="AG208">
        <f>IF($U208="",0,ROUND(SUMIF(บันทึกรายเที่ยว!$T$6:$T$10005,$U208,บันทึกรายเที่ยว!$K$6:$K$10005),2))</f>
        <v>0</v>
      </c>
      <c r="AH208">
        <f>IF($U208="",0,ROUND(SUMIF(บันทึกรายเที่ยว!$T$6:$T$10005,$U208,บันทึกรายเที่ยว!$M$6:$M$10005),2))</f>
        <v>0</v>
      </c>
    </row>
    <row r="209" spans="1:34" ht="21" customHeight="1" x14ac:dyDescent="0.95">
      <c r="A209" s="3" t="str">
        <f t="shared" si="42"/>
        <v/>
      </c>
      <c r="B209" s="3" t="str">
        <f t="shared" si="43"/>
        <v/>
      </c>
      <c r="C209" s="8" t="str">
        <f t="shared" si="44"/>
        <v/>
      </c>
      <c r="D209" s="31" t="str">
        <f t="shared" si="45"/>
        <v/>
      </c>
      <c r="E209" s="32" t="str">
        <f>IF(202=$AD$1+3,"ขอแสดงความนับถือ",IF(202=$AD$1+6,"(                 )",IF(202=$AD$1+7,"เจ้าหน้าที่ขนส่ง",IF($AB209="G",SUM($AF$8:$AF$407),IF(OR($AB209="",$AB209="R"),"",IF($AB209="D",INDEX($AF$8:$AF$407,$AA209),SUMIF($T$8:$T$407,INDEX($T$8:$T$407,$AA209),$AF$8:$AF$407)))))))</f>
        <v/>
      </c>
      <c r="F209" s="32" t="str">
        <f t="shared" si="46"/>
        <v/>
      </c>
      <c r="G209" s="32" t="str">
        <f t="shared" si="47"/>
        <v/>
      </c>
      <c r="H209" s="32" t="str">
        <f t="shared" si="48"/>
        <v/>
      </c>
      <c r="J209" t="str">
        <f>IFERROR(MATCH(202,บันทึกรายเที่ยว!$W$6:$W$10005,0),"")</f>
        <v/>
      </c>
      <c r="K209" t="str">
        <f>IF($J209="","",INDEX(บันทึกรายเที่ยว!$T$6:$T$10005,$J209))</f>
        <v/>
      </c>
      <c r="L209" t="str">
        <f>IF($J209="","",INDEX(บันทึกรายเที่ยว!$S$6:$S$10005,$J209))</f>
        <v/>
      </c>
      <c r="M209" t="str">
        <f>IF($J209="","",INDEX(บันทึกรายเที่ยว!$R$6:$R$10005,$J209))</f>
        <v/>
      </c>
      <c r="N209" t="str">
        <f>IF($J209="","",MATCH($M209,บันทึกรายเที่ยว!$R$6:$R$10005,0))</f>
        <v/>
      </c>
      <c r="O209" t="str">
        <f>IF($J209="","",MATCH($L209,บันทึกรายเที่ยว!$S$6:$S$10005,0))</f>
        <v/>
      </c>
      <c r="P209" t="str">
        <f>IF($J209="","",IF(AND(OR($I$3="(ทั้งหมด)",INDEX(บันทึกรายเที่ยว!$C$6:$C$10005,$J209)=$I$3),OR($I$5="(ทั้งหมด)",INDEX(บันทึกรายเที่ยว!$D$6:$D$10005,$J209)=$I$5),OR($I$7="(ทั้งหมด)",INDEX(บันทึกรายเที่ยว!$F$6:$F$10005,$J209)=$I$7)),$N209*10000000+$O209*1000+202,""))</f>
        <v/>
      </c>
      <c r="Q209" t="str">
        <f>IFERROR(MATCH(SMALL($P$8:$P$407,202),$P$8:$P$407,0),"")</f>
        <v/>
      </c>
      <c r="R209" t="str">
        <f t="shared" si="49"/>
        <v/>
      </c>
      <c r="S209" t="str">
        <f t="shared" si="50"/>
        <v/>
      </c>
      <c r="T209" t="str">
        <f t="shared" si="51"/>
        <v/>
      </c>
      <c r="U209" t="str">
        <f t="shared" si="52"/>
        <v/>
      </c>
      <c r="V209">
        <f t="shared" si="54"/>
        <v>0</v>
      </c>
      <c r="W209">
        <f t="shared" si="55"/>
        <v>0</v>
      </c>
      <c r="X209">
        <f>IF($Q209="",99999+202,$X208+1+$V208+$W208)</f>
        <v>100201</v>
      </c>
      <c r="Y209" t="str">
        <f>IF($Q209="","",INDEX(บันทึกรายเที่ยว!$Q$6:$Q$10005,$R209))</f>
        <v/>
      </c>
      <c r="Z209" t="str">
        <f>IF($Q209="","",INDEX(บันทึกรายเที่ยว!$F$6:$F$10005,$R209))</f>
        <v/>
      </c>
      <c r="AA209" t="str">
        <f>IFERROR(MATCH(202,$X$8:$X$407,1),"")</f>
        <v/>
      </c>
      <c r="AB209" t="str">
        <f>IF(202=$AD$1+1,"G",IF($AA209="","",IF(INDEX($Q$8:$Q$407,$AA209)="","",IF(202&gt;INDEX($X$8:$X$407,$AA209)+INDEX($V$8:$V$407,$AA209)+INDEX($W$8:$W$407,$AA209),"",IF(202=INDEX($X$8:$X$407,$AA209)+INDEX($V$8:$V$407,$AA209)+INDEX($W$8:$W$407,$AA209),"D",IF(AND(INDEX($W$8:$W$407,$AA209)=1,202=INDEX($X$8:$X$407,$AA209)+INDEX($V$8:$V$407,$AA209)),"S","R"))))))</f>
        <v/>
      </c>
      <c r="AC209" t="str">
        <f t="shared" si="53"/>
        <v/>
      </c>
      <c r="AE209">
        <f>IF($U209="",0,COUNTIF(บันทึกรายเที่ยว!$T$6:$T$10005,$U209))</f>
        <v>0</v>
      </c>
      <c r="AF209">
        <f>IF($U209="",0,ROUND(SUMIF(บันทึกรายเที่ยว!$T$6:$T$10005,$U209,บันทึกรายเที่ยว!$J$6:$J$10005),2))</f>
        <v>0</v>
      </c>
      <c r="AG209">
        <f>IF($U209="",0,ROUND(SUMIF(บันทึกรายเที่ยว!$T$6:$T$10005,$U209,บันทึกรายเที่ยว!$K$6:$K$10005),2))</f>
        <v>0</v>
      </c>
      <c r="AH209">
        <f>IF($U209="",0,ROUND(SUMIF(บันทึกรายเที่ยว!$T$6:$T$10005,$U209,บันทึกรายเที่ยว!$M$6:$M$10005),2))</f>
        <v>0</v>
      </c>
    </row>
    <row r="210" spans="1:34" ht="21" customHeight="1" x14ac:dyDescent="0.95">
      <c r="A210" s="3" t="str">
        <f t="shared" si="42"/>
        <v/>
      </c>
      <c r="B210" s="3" t="str">
        <f t="shared" si="43"/>
        <v/>
      </c>
      <c r="C210" s="8" t="str">
        <f t="shared" si="44"/>
        <v/>
      </c>
      <c r="D210" s="31" t="str">
        <f t="shared" si="45"/>
        <v/>
      </c>
      <c r="E210" s="32" t="str">
        <f>IF(203=$AD$1+3,"ขอแสดงความนับถือ",IF(203=$AD$1+6,"(                 )",IF(203=$AD$1+7,"เจ้าหน้าที่ขนส่ง",IF($AB210="G",SUM($AF$8:$AF$407),IF(OR($AB210="",$AB210="R"),"",IF($AB210="D",INDEX($AF$8:$AF$407,$AA210),SUMIF($T$8:$T$407,INDEX($T$8:$T$407,$AA210),$AF$8:$AF$407)))))))</f>
        <v/>
      </c>
      <c r="F210" s="32" t="str">
        <f t="shared" si="46"/>
        <v/>
      </c>
      <c r="G210" s="32" t="str">
        <f t="shared" si="47"/>
        <v/>
      </c>
      <c r="H210" s="32" t="str">
        <f t="shared" si="48"/>
        <v/>
      </c>
      <c r="J210" t="str">
        <f>IFERROR(MATCH(203,บันทึกรายเที่ยว!$W$6:$W$10005,0),"")</f>
        <v/>
      </c>
      <c r="K210" t="str">
        <f>IF($J210="","",INDEX(บันทึกรายเที่ยว!$T$6:$T$10005,$J210))</f>
        <v/>
      </c>
      <c r="L210" t="str">
        <f>IF($J210="","",INDEX(บันทึกรายเที่ยว!$S$6:$S$10005,$J210))</f>
        <v/>
      </c>
      <c r="M210" t="str">
        <f>IF($J210="","",INDEX(บันทึกรายเที่ยว!$R$6:$R$10005,$J210))</f>
        <v/>
      </c>
      <c r="N210" t="str">
        <f>IF($J210="","",MATCH($M210,บันทึกรายเที่ยว!$R$6:$R$10005,0))</f>
        <v/>
      </c>
      <c r="O210" t="str">
        <f>IF($J210="","",MATCH($L210,บันทึกรายเที่ยว!$S$6:$S$10005,0))</f>
        <v/>
      </c>
      <c r="P210" t="str">
        <f>IF($J210="","",IF(AND(OR($I$3="(ทั้งหมด)",INDEX(บันทึกรายเที่ยว!$C$6:$C$10005,$J210)=$I$3),OR($I$5="(ทั้งหมด)",INDEX(บันทึกรายเที่ยว!$D$6:$D$10005,$J210)=$I$5),OR($I$7="(ทั้งหมด)",INDEX(บันทึกรายเที่ยว!$F$6:$F$10005,$J210)=$I$7)),$N210*10000000+$O210*1000+203,""))</f>
        <v/>
      </c>
      <c r="Q210" t="str">
        <f>IFERROR(MATCH(SMALL($P$8:$P$407,203),$P$8:$P$407,0),"")</f>
        <v/>
      </c>
      <c r="R210" t="str">
        <f t="shared" si="49"/>
        <v/>
      </c>
      <c r="S210" t="str">
        <f t="shared" si="50"/>
        <v/>
      </c>
      <c r="T210" t="str">
        <f t="shared" si="51"/>
        <v/>
      </c>
      <c r="U210" t="str">
        <f t="shared" si="52"/>
        <v/>
      </c>
      <c r="V210">
        <f t="shared" si="54"/>
        <v>0</v>
      </c>
      <c r="W210">
        <f t="shared" si="55"/>
        <v>0</v>
      </c>
      <c r="X210">
        <f>IF($Q210="",99999+203,$X209+1+$V209+$W209)</f>
        <v>100202</v>
      </c>
      <c r="Y210" t="str">
        <f>IF($Q210="","",INDEX(บันทึกรายเที่ยว!$Q$6:$Q$10005,$R210))</f>
        <v/>
      </c>
      <c r="Z210" t="str">
        <f>IF($Q210="","",INDEX(บันทึกรายเที่ยว!$F$6:$F$10005,$R210))</f>
        <v/>
      </c>
      <c r="AA210" t="str">
        <f>IFERROR(MATCH(203,$X$8:$X$407,1),"")</f>
        <v/>
      </c>
      <c r="AB210" t="str">
        <f>IF(203=$AD$1+1,"G",IF($AA210="","",IF(INDEX($Q$8:$Q$407,$AA210)="","",IF(203&gt;INDEX($X$8:$X$407,$AA210)+INDEX($V$8:$V$407,$AA210)+INDEX($W$8:$W$407,$AA210),"",IF(203=INDEX($X$8:$X$407,$AA210)+INDEX($V$8:$V$407,$AA210)+INDEX($W$8:$W$407,$AA210),"D",IF(AND(INDEX($W$8:$W$407,$AA210)=1,203=INDEX($X$8:$X$407,$AA210)+INDEX($V$8:$V$407,$AA210)),"S","R"))))))</f>
        <v/>
      </c>
      <c r="AC210" t="str">
        <f t="shared" si="53"/>
        <v/>
      </c>
      <c r="AE210">
        <f>IF($U210="",0,COUNTIF(บันทึกรายเที่ยว!$T$6:$T$10005,$U210))</f>
        <v>0</v>
      </c>
      <c r="AF210">
        <f>IF($U210="",0,ROUND(SUMIF(บันทึกรายเที่ยว!$T$6:$T$10005,$U210,บันทึกรายเที่ยว!$J$6:$J$10005),2))</f>
        <v>0</v>
      </c>
      <c r="AG210">
        <f>IF($U210="",0,ROUND(SUMIF(บันทึกรายเที่ยว!$T$6:$T$10005,$U210,บันทึกรายเที่ยว!$K$6:$K$10005),2))</f>
        <v>0</v>
      </c>
      <c r="AH210">
        <f>IF($U210="",0,ROUND(SUMIF(บันทึกรายเที่ยว!$T$6:$T$10005,$U210,บันทึกรายเที่ยว!$M$6:$M$10005),2))</f>
        <v>0</v>
      </c>
    </row>
    <row r="211" spans="1:34" ht="21" customHeight="1" x14ac:dyDescent="0.95">
      <c r="A211" s="3" t="str">
        <f t="shared" si="42"/>
        <v/>
      </c>
      <c r="B211" s="3" t="str">
        <f t="shared" si="43"/>
        <v/>
      </c>
      <c r="C211" s="8" t="str">
        <f t="shared" si="44"/>
        <v/>
      </c>
      <c r="D211" s="31" t="str">
        <f t="shared" si="45"/>
        <v/>
      </c>
      <c r="E211" s="32" t="str">
        <f>IF(204=$AD$1+3,"ขอแสดงความนับถือ",IF(204=$AD$1+6,"(                 )",IF(204=$AD$1+7,"เจ้าหน้าที่ขนส่ง",IF($AB211="G",SUM($AF$8:$AF$407),IF(OR($AB211="",$AB211="R"),"",IF($AB211="D",INDEX($AF$8:$AF$407,$AA211),SUMIF($T$8:$T$407,INDEX($T$8:$T$407,$AA211),$AF$8:$AF$407)))))))</f>
        <v/>
      </c>
      <c r="F211" s="32" t="str">
        <f t="shared" si="46"/>
        <v/>
      </c>
      <c r="G211" s="32" t="str">
        <f t="shared" si="47"/>
        <v/>
      </c>
      <c r="H211" s="32" t="str">
        <f t="shared" si="48"/>
        <v/>
      </c>
      <c r="J211" t="str">
        <f>IFERROR(MATCH(204,บันทึกรายเที่ยว!$W$6:$W$10005,0),"")</f>
        <v/>
      </c>
      <c r="K211" t="str">
        <f>IF($J211="","",INDEX(บันทึกรายเที่ยว!$T$6:$T$10005,$J211))</f>
        <v/>
      </c>
      <c r="L211" t="str">
        <f>IF($J211="","",INDEX(บันทึกรายเที่ยว!$S$6:$S$10005,$J211))</f>
        <v/>
      </c>
      <c r="M211" t="str">
        <f>IF($J211="","",INDEX(บันทึกรายเที่ยว!$R$6:$R$10005,$J211))</f>
        <v/>
      </c>
      <c r="N211" t="str">
        <f>IF($J211="","",MATCH($M211,บันทึกรายเที่ยว!$R$6:$R$10005,0))</f>
        <v/>
      </c>
      <c r="O211" t="str">
        <f>IF($J211="","",MATCH($L211,บันทึกรายเที่ยว!$S$6:$S$10005,0))</f>
        <v/>
      </c>
      <c r="P211" t="str">
        <f>IF($J211="","",IF(AND(OR($I$3="(ทั้งหมด)",INDEX(บันทึกรายเที่ยว!$C$6:$C$10005,$J211)=$I$3),OR($I$5="(ทั้งหมด)",INDEX(บันทึกรายเที่ยว!$D$6:$D$10005,$J211)=$I$5),OR($I$7="(ทั้งหมด)",INDEX(บันทึกรายเที่ยว!$F$6:$F$10005,$J211)=$I$7)),$N211*10000000+$O211*1000+204,""))</f>
        <v/>
      </c>
      <c r="Q211" t="str">
        <f>IFERROR(MATCH(SMALL($P$8:$P$407,204),$P$8:$P$407,0),"")</f>
        <v/>
      </c>
      <c r="R211" t="str">
        <f t="shared" si="49"/>
        <v/>
      </c>
      <c r="S211" t="str">
        <f t="shared" si="50"/>
        <v/>
      </c>
      <c r="T211" t="str">
        <f t="shared" si="51"/>
        <v/>
      </c>
      <c r="U211" t="str">
        <f t="shared" si="52"/>
        <v/>
      </c>
      <c r="V211">
        <f t="shared" si="54"/>
        <v>0</v>
      </c>
      <c r="W211">
        <f t="shared" si="55"/>
        <v>0</v>
      </c>
      <c r="X211">
        <f>IF($Q211="",99999+204,$X210+1+$V210+$W210)</f>
        <v>100203</v>
      </c>
      <c r="Y211" t="str">
        <f>IF($Q211="","",INDEX(บันทึกรายเที่ยว!$Q$6:$Q$10005,$R211))</f>
        <v/>
      </c>
      <c r="Z211" t="str">
        <f>IF($Q211="","",INDEX(บันทึกรายเที่ยว!$F$6:$F$10005,$R211))</f>
        <v/>
      </c>
      <c r="AA211" t="str">
        <f>IFERROR(MATCH(204,$X$8:$X$407,1),"")</f>
        <v/>
      </c>
      <c r="AB211" t="str">
        <f>IF(204=$AD$1+1,"G",IF($AA211="","",IF(INDEX($Q$8:$Q$407,$AA211)="","",IF(204&gt;INDEX($X$8:$X$407,$AA211)+INDEX($V$8:$V$407,$AA211)+INDEX($W$8:$W$407,$AA211),"",IF(204=INDEX($X$8:$X$407,$AA211)+INDEX($V$8:$V$407,$AA211)+INDEX($W$8:$W$407,$AA211),"D",IF(AND(INDEX($W$8:$W$407,$AA211)=1,204=INDEX($X$8:$X$407,$AA211)+INDEX($V$8:$V$407,$AA211)),"S","R"))))))</f>
        <v/>
      </c>
      <c r="AC211" t="str">
        <f t="shared" si="53"/>
        <v/>
      </c>
      <c r="AE211">
        <f>IF($U211="",0,COUNTIF(บันทึกรายเที่ยว!$T$6:$T$10005,$U211))</f>
        <v>0</v>
      </c>
      <c r="AF211">
        <f>IF($U211="",0,ROUND(SUMIF(บันทึกรายเที่ยว!$T$6:$T$10005,$U211,บันทึกรายเที่ยว!$J$6:$J$10005),2))</f>
        <v>0</v>
      </c>
      <c r="AG211">
        <f>IF($U211="",0,ROUND(SUMIF(บันทึกรายเที่ยว!$T$6:$T$10005,$U211,บันทึกรายเที่ยว!$K$6:$K$10005),2))</f>
        <v>0</v>
      </c>
      <c r="AH211">
        <f>IF($U211="",0,ROUND(SUMIF(บันทึกรายเที่ยว!$T$6:$T$10005,$U211,บันทึกรายเที่ยว!$M$6:$M$10005),2))</f>
        <v>0</v>
      </c>
    </row>
    <row r="212" spans="1:34" ht="21" customHeight="1" x14ac:dyDescent="0.95">
      <c r="A212" s="3" t="str">
        <f t="shared" si="42"/>
        <v/>
      </c>
      <c r="B212" s="3" t="str">
        <f t="shared" si="43"/>
        <v/>
      </c>
      <c r="C212" s="8" t="str">
        <f t="shared" si="44"/>
        <v/>
      </c>
      <c r="D212" s="31" t="str">
        <f t="shared" si="45"/>
        <v/>
      </c>
      <c r="E212" s="32" t="str">
        <f>IF(205=$AD$1+3,"ขอแสดงความนับถือ",IF(205=$AD$1+6,"(                 )",IF(205=$AD$1+7,"เจ้าหน้าที่ขนส่ง",IF($AB212="G",SUM($AF$8:$AF$407),IF(OR($AB212="",$AB212="R"),"",IF($AB212="D",INDEX($AF$8:$AF$407,$AA212),SUMIF($T$8:$T$407,INDEX($T$8:$T$407,$AA212),$AF$8:$AF$407)))))))</f>
        <v/>
      </c>
      <c r="F212" s="32" t="str">
        <f t="shared" si="46"/>
        <v/>
      </c>
      <c r="G212" s="32" t="str">
        <f t="shared" si="47"/>
        <v/>
      </c>
      <c r="H212" s="32" t="str">
        <f t="shared" si="48"/>
        <v/>
      </c>
      <c r="J212" t="str">
        <f>IFERROR(MATCH(205,บันทึกรายเที่ยว!$W$6:$W$10005,0),"")</f>
        <v/>
      </c>
      <c r="K212" t="str">
        <f>IF($J212="","",INDEX(บันทึกรายเที่ยว!$T$6:$T$10005,$J212))</f>
        <v/>
      </c>
      <c r="L212" t="str">
        <f>IF($J212="","",INDEX(บันทึกรายเที่ยว!$S$6:$S$10005,$J212))</f>
        <v/>
      </c>
      <c r="M212" t="str">
        <f>IF($J212="","",INDEX(บันทึกรายเที่ยว!$R$6:$R$10005,$J212))</f>
        <v/>
      </c>
      <c r="N212" t="str">
        <f>IF($J212="","",MATCH($M212,บันทึกรายเที่ยว!$R$6:$R$10005,0))</f>
        <v/>
      </c>
      <c r="O212" t="str">
        <f>IF($J212="","",MATCH($L212,บันทึกรายเที่ยว!$S$6:$S$10005,0))</f>
        <v/>
      </c>
      <c r="P212" t="str">
        <f>IF($J212="","",IF(AND(OR($I$3="(ทั้งหมด)",INDEX(บันทึกรายเที่ยว!$C$6:$C$10005,$J212)=$I$3),OR($I$5="(ทั้งหมด)",INDEX(บันทึกรายเที่ยว!$D$6:$D$10005,$J212)=$I$5),OR($I$7="(ทั้งหมด)",INDEX(บันทึกรายเที่ยว!$F$6:$F$10005,$J212)=$I$7)),$N212*10000000+$O212*1000+205,""))</f>
        <v/>
      </c>
      <c r="Q212" t="str">
        <f>IFERROR(MATCH(SMALL($P$8:$P$407,205),$P$8:$P$407,0),"")</f>
        <v/>
      </c>
      <c r="R212" t="str">
        <f t="shared" si="49"/>
        <v/>
      </c>
      <c r="S212" t="str">
        <f t="shared" si="50"/>
        <v/>
      </c>
      <c r="T212" t="str">
        <f t="shared" si="51"/>
        <v/>
      </c>
      <c r="U212" t="str">
        <f t="shared" si="52"/>
        <v/>
      </c>
      <c r="V212">
        <f t="shared" si="54"/>
        <v>0</v>
      </c>
      <c r="W212">
        <f t="shared" si="55"/>
        <v>0</v>
      </c>
      <c r="X212">
        <f>IF($Q212="",99999+205,$X211+1+$V211+$W211)</f>
        <v>100204</v>
      </c>
      <c r="Y212" t="str">
        <f>IF($Q212="","",INDEX(บันทึกรายเที่ยว!$Q$6:$Q$10005,$R212))</f>
        <v/>
      </c>
      <c r="Z212" t="str">
        <f>IF($Q212="","",INDEX(บันทึกรายเที่ยว!$F$6:$F$10005,$R212))</f>
        <v/>
      </c>
      <c r="AA212" t="str">
        <f>IFERROR(MATCH(205,$X$8:$X$407,1),"")</f>
        <v/>
      </c>
      <c r="AB212" t="str">
        <f>IF(205=$AD$1+1,"G",IF($AA212="","",IF(INDEX($Q$8:$Q$407,$AA212)="","",IF(205&gt;INDEX($X$8:$X$407,$AA212)+INDEX($V$8:$V$407,$AA212)+INDEX($W$8:$W$407,$AA212),"",IF(205=INDEX($X$8:$X$407,$AA212)+INDEX($V$8:$V$407,$AA212)+INDEX($W$8:$W$407,$AA212),"D",IF(AND(INDEX($W$8:$W$407,$AA212)=1,205=INDEX($X$8:$X$407,$AA212)+INDEX($V$8:$V$407,$AA212)),"S","R"))))))</f>
        <v/>
      </c>
      <c r="AC212" t="str">
        <f t="shared" si="53"/>
        <v/>
      </c>
      <c r="AE212">
        <f>IF($U212="",0,COUNTIF(บันทึกรายเที่ยว!$T$6:$T$10005,$U212))</f>
        <v>0</v>
      </c>
      <c r="AF212">
        <f>IF($U212="",0,ROUND(SUMIF(บันทึกรายเที่ยว!$T$6:$T$10005,$U212,บันทึกรายเที่ยว!$J$6:$J$10005),2))</f>
        <v>0</v>
      </c>
      <c r="AG212">
        <f>IF($U212="",0,ROUND(SUMIF(บันทึกรายเที่ยว!$T$6:$T$10005,$U212,บันทึกรายเที่ยว!$K$6:$K$10005),2))</f>
        <v>0</v>
      </c>
      <c r="AH212">
        <f>IF($U212="",0,ROUND(SUMIF(บันทึกรายเที่ยว!$T$6:$T$10005,$U212,บันทึกรายเที่ยว!$M$6:$M$10005),2))</f>
        <v>0</v>
      </c>
    </row>
    <row r="213" spans="1:34" ht="21" customHeight="1" x14ac:dyDescent="0.95">
      <c r="A213" s="3" t="str">
        <f t="shared" si="42"/>
        <v/>
      </c>
      <c r="B213" s="3" t="str">
        <f t="shared" si="43"/>
        <v/>
      </c>
      <c r="C213" s="8" t="str">
        <f t="shared" si="44"/>
        <v/>
      </c>
      <c r="D213" s="31" t="str">
        <f t="shared" si="45"/>
        <v/>
      </c>
      <c r="E213" s="32" t="str">
        <f>IF(206=$AD$1+3,"ขอแสดงความนับถือ",IF(206=$AD$1+6,"(                 )",IF(206=$AD$1+7,"เจ้าหน้าที่ขนส่ง",IF($AB213="G",SUM($AF$8:$AF$407),IF(OR($AB213="",$AB213="R"),"",IF($AB213="D",INDEX($AF$8:$AF$407,$AA213),SUMIF($T$8:$T$407,INDEX($T$8:$T$407,$AA213),$AF$8:$AF$407)))))))</f>
        <v/>
      </c>
      <c r="F213" s="32" t="str">
        <f t="shared" si="46"/>
        <v/>
      </c>
      <c r="G213" s="32" t="str">
        <f t="shared" si="47"/>
        <v/>
      </c>
      <c r="H213" s="32" t="str">
        <f t="shared" si="48"/>
        <v/>
      </c>
      <c r="J213" t="str">
        <f>IFERROR(MATCH(206,บันทึกรายเที่ยว!$W$6:$W$10005,0),"")</f>
        <v/>
      </c>
      <c r="K213" t="str">
        <f>IF($J213="","",INDEX(บันทึกรายเที่ยว!$T$6:$T$10005,$J213))</f>
        <v/>
      </c>
      <c r="L213" t="str">
        <f>IF($J213="","",INDEX(บันทึกรายเที่ยว!$S$6:$S$10005,$J213))</f>
        <v/>
      </c>
      <c r="M213" t="str">
        <f>IF($J213="","",INDEX(บันทึกรายเที่ยว!$R$6:$R$10005,$J213))</f>
        <v/>
      </c>
      <c r="N213" t="str">
        <f>IF($J213="","",MATCH($M213,บันทึกรายเที่ยว!$R$6:$R$10005,0))</f>
        <v/>
      </c>
      <c r="O213" t="str">
        <f>IF($J213="","",MATCH($L213,บันทึกรายเที่ยว!$S$6:$S$10005,0))</f>
        <v/>
      </c>
      <c r="P213" t="str">
        <f>IF($J213="","",IF(AND(OR($I$3="(ทั้งหมด)",INDEX(บันทึกรายเที่ยว!$C$6:$C$10005,$J213)=$I$3),OR($I$5="(ทั้งหมด)",INDEX(บันทึกรายเที่ยว!$D$6:$D$10005,$J213)=$I$5),OR($I$7="(ทั้งหมด)",INDEX(บันทึกรายเที่ยว!$F$6:$F$10005,$J213)=$I$7)),$N213*10000000+$O213*1000+206,""))</f>
        <v/>
      </c>
      <c r="Q213" t="str">
        <f>IFERROR(MATCH(SMALL($P$8:$P$407,206),$P$8:$P$407,0),"")</f>
        <v/>
      </c>
      <c r="R213" t="str">
        <f t="shared" si="49"/>
        <v/>
      </c>
      <c r="S213" t="str">
        <f t="shared" si="50"/>
        <v/>
      </c>
      <c r="T213" t="str">
        <f t="shared" si="51"/>
        <v/>
      </c>
      <c r="U213" t="str">
        <f t="shared" si="52"/>
        <v/>
      </c>
      <c r="V213">
        <f t="shared" si="54"/>
        <v>0</v>
      </c>
      <c r="W213">
        <f t="shared" si="55"/>
        <v>0</v>
      </c>
      <c r="X213">
        <f>IF($Q213="",99999+206,$X212+1+$V212+$W212)</f>
        <v>100205</v>
      </c>
      <c r="Y213" t="str">
        <f>IF($Q213="","",INDEX(บันทึกรายเที่ยว!$Q$6:$Q$10005,$R213))</f>
        <v/>
      </c>
      <c r="Z213" t="str">
        <f>IF($Q213="","",INDEX(บันทึกรายเที่ยว!$F$6:$F$10005,$R213))</f>
        <v/>
      </c>
      <c r="AA213" t="str">
        <f>IFERROR(MATCH(206,$X$8:$X$407,1),"")</f>
        <v/>
      </c>
      <c r="AB213" t="str">
        <f>IF(206=$AD$1+1,"G",IF($AA213="","",IF(INDEX($Q$8:$Q$407,$AA213)="","",IF(206&gt;INDEX($X$8:$X$407,$AA213)+INDEX($V$8:$V$407,$AA213)+INDEX($W$8:$W$407,$AA213),"",IF(206=INDEX($X$8:$X$407,$AA213)+INDEX($V$8:$V$407,$AA213)+INDEX($W$8:$W$407,$AA213),"D",IF(AND(INDEX($W$8:$W$407,$AA213)=1,206=INDEX($X$8:$X$407,$AA213)+INDEX($V$8:$V$407,$AA213)),"S","R"))))))</f>
        <v/>
      </c>
      <c r="AC213" t="str">
        <f t="shared" si="53"/>
        <v/>
      </c>
      <c r="AE213">
        <f>IF($U213="",0,COUNTIF(บันทึกรายเที่ยว!$T$6:$T$10005,$U213))</f>
        <v>0</v>
      </c>
      <c r="AF213">
        <f>IF($U213="",0,ROUND(SUMIF(บันทึกรายเที่ยว!$T$6:$T$10005,$U213,บันทึกรายเที่ยว!$J$6:$J$10005),2))</f>
        <v>0</v>
      </c>
      <c r="AG213">
        <f>IF($U213="",0,ROUND(SUMIF(บันทึกรายเที่ยว!$T$6:$T$10005,$U213,บันทึกรายเที่ยว!$K$6:$K$10005),2))</f>
        <v>0</v>
      </c>
      <c r="AH213">
        <f>IF($U213="",0,ROUND(SUMIF(บันทึกรายเที่ยว!$T$6:$T$10005,$U213,บันทึกรายเที่ยว!$M$6:$M$10005),2))</f>
        <v>0</v>
      </c>
    </row>
    <row r="214" spans="1:34" ht="21" customHeight="1" x14ac:dyDescent="0.95">
      <c r="A214" s="3" t="str">
        <f t="shared" si="42"/>
        <v/>
      </c>
      <c r="B214" s="3" t="str">
        <f t="shared" si="43"/>
        <v/>
      </c>
      <c r="C214" s="8" t="str">
        <f t="shared" si="44"/>
        <v/>
      </c>
      <c r="D214" s="31" t="str">
        <f t="shared" si="45"/>
        <v/>
      </c>
      <c r="E214" s="32" t="str">
        <f>IF(207=$AD$1+3,"ขอแสดงความนับถือ",IF(207=$AD$1+6,"(                 )",IF(207=$AD$1+7,"เจ้าหน้าที่ขนส่ง",IF($AB214="G",SUM($AF$8:$AF$407),IF(OR($AB214="",$AB214="R"),"",IF($AB214="D",INDEX($AF$8:$AF$407,$AA214),SUMIF($T$8:$T$407,INDEX($T$8:$T$407,$AA214),$AF$8:$AF$407)))))))</f>
        <v/>
      </c>
      <c r="F214" s="32" t="str">
        <f t="shared" si="46"/>
        <v/>
      </c>
      <c r="G214" s="32" t="str">
        <f t="shared" si="47"/>
        <v/>
      </c>
      <c r="H214" s="32" t="str">
        <f t="shared" si="48"/>
        <v/>
      </c>
      <c r="J214" t="str">
        <f>IFERROR(MATCH(207,บันทึกรายเที่ยว!$W$6:$W$10005,0),"")</f>
        <v/>
      </c>
      <c r="K214" t="str">
        <f>IF($J214="","",INDEX(บันทึกรายเที่ยว!$T$6:$T$10005,$J214))</f>
        <v/>
      </c>
      <c r="L214" t="str">
        <f>IF($J214="","",INDEX(บันทึกรายเที่ยว!$S$6:$S$10005,$J214))</f>
        <v/>
      </c>
      <c r="M214" t="str">
        <f>IF($J214="","",INDEX(บันทึกรายเที่ยว!$R$6:$R$10005,$J214))</f>
        <v/>
      </c>
      <c r="N214" t="str">
        <f>IF($J214="","",MATCH($M214,บันทึกรายเที่ยว!$R$6:$R$10005,0))</f>
        <v/>
      </c>
      <c r="O214" t="str">
        <f>IF($J214="","",MATCH($L214,บันทึกรายเที่ยว!$S$6:$S$10005,0))</f>
        <v/>
      </c>
      <c r="P214" t="str">
        <f>IF($J214="","",IF(AND(OR($I$3="(ทั้งหมด)",INDEX(บันทึกรายเที่ยว!$C$6:$C$10005,$J214)=$I$3),OR($I$5="(ทั้งหมด)",INDEX(บันทึกรายเที่ยว!$D$6:$D$10005,$J214)=$I$5),OR($I$7="(ทั้งหมด)",INDEX(บันทึกรายเที่ยว!$F$6:$F$10005,$J214)=$I$7)),$N214*10000000+$O214*1000+207,""))</f>
        <v/>
      </c>
      <c r="Q214" t="str">
        <f>IFERROR(MATCH(SMALL($P$8:$P$407,207),$P$8:$P$407,0),"")</f>
        <v/>
      </c>
      <c r="R214" t="str">
        <f t="shared" si="49"/>
        <v/>
      </c>
      <c r="S214" t="str">
        <f t="shared" si="50"/>
        <v/>
      </c>
      <c r="T214" t="str">
        <f t="shared" si="51"/>
        <v/>
      </c>
      <c r="U214" t="str">
        <f t="shared" si="52"/>
        <v/>
      </c>
      <c r="V214">
        <f t="shared" si="54"/>
        <v>0</v>
      </c>
      <c r="W214">
        <f t="shared" si="55"/>
        <v>0</v>
      </c>
      <c r="X214">
        <f>IF($Q214="",99999+207,$X213+1+$V213+$W213)</f>
        <v>100206</v>
      </c>
      <c r="Y214" t="str">
        <f>IF($Q214="","",INDEX(บันทึกรายเที่ยว!$Q$6:$Q$10005,$R214))</f>
        <v/>
      </c>
      <c r="Z214" t="str">
        <f>IF($Q214="","",INDEX(บันทึกรายเที่ยว!$F$6:$F$10005,$R214))</f>
        <v/>
      </c>
      <c r="AA214" t="str">
        <f>IFERROR(MATCH(207,$X$8:$X$407,1),"")</f>
        <v/>
      </c>
      <c r="AB214" t="str">
        <f>IF(207=$AD$1+1,"G",IF($AA214="","",IF(INDEX($Q$8:$Q$407,$AA214)="","",IF(207&gt;INDEX($X$8:$X$407,$AA214)+INDEX($V$8:$V$407,$AA214)+INDEX($W$8:$W$407,$AA214),"",IF(207=INDEX($X$8:$X$407,$AA214)+INDEX($V$8:$V$407,$AA214)+INDEX($W$8:$W$407,$AA214),"D",IF(AND(INDEX($W$8:$W$407,$AA214)=1,207=INDEX($X$8:$X$407,$AA214)+INDEX($V$8:$V$407,$AA214)),"S","R"))))))</f>
        <v/>
      </c>
      <c r="AC214" t="str">
        <f t="shared" si="53"/>
        <v/>
      </c>
      <c r="AE214">
        <f>IF($U214="",0,COUNTIF(บันทึกรายเที่ยว!$T$6:$T$10005,$U214))</f>
        <v>0</v>
      </c>
      <c r="AF214">
        <f>IF($U214="",0,ROUND(SUMIF(บันทึกรายเที่ยว!$T$6:$T$10005,$U214,บันทึกรายเที่ยว!$J$6:$J$10005),2))</f>
        <v>0</v>
      </c>
      <c r="AG214">
        <f>IF($U214="",0,ROUND(SUMIF(บันทึกรายเที่ยว!$T$6:$T$10005,$U214,บันทึกรายเที่ยว!$K$6:$K$10005),2))</f>
        <v>0</v>
      </c>
      <c r="AH214">
        <f>IF($U214="",0,ROUND(SUMIF(บันทึกรายเที่ยว!$T$6:$T$10005,$U214,บันทึกรายเที่ยว!$M$6:$M$10005),2))</f>
        <v>0</v>
      </c>
    </row>
    <row r="215" spans="1:34" ht="21" customHeight="1" x14ac:dyDescent="0.95">
      <c r="A215" s="3" t="str">
        <f t="shared" si="42"/>
        <v/>
      </c>
      <c r="B215" s="3" t="str">
        <f t="shared" si="43"/>
        <v/>
      </c>
      <c r="C215" s="8" t="str">
        <f t="shared" si="44"/>
        <v/>
      </c>
      <c r="D215" s="31" t="str">
        <f t="shared" si="45"/>
        <v/>
      </c>
      <c r="E215" s="32" t="str">
        <f>IF(208=$AD$1+3,"ขอแสดงความนับถือ",IF(208=$AD$1+6,"(                 )",IF(208=$AD$1+7,"เจ้าหน้าที่ขนส่ง",IF($AB215="G",SUM($AF$8:$AF$407),IF(OR($AB215="",$AB215="R"),"",IF($AB215="D",INDEX($AF$8:$AF$407,$AA215),SUMIF($T$8:$T$407,INDEX($T$8:$T$407,$AA215),$AF$8:$AF$407)))))))</f>
        <v/>
      </c>
      <c r="F215" s="32" t="str">
        <f t="shared" si="46"/>
        <v/>
      </c>
      <c r="G215" s="32" t="str">
        <f t="shared" si="47"/>
        <v/>
      </c>
      <c r="H215" s="32" t="str">
        <f t="shared" si="48"/>
        <v/>
      </c>
      <c r="J215" t="str">
        <f>IFERROR(MATCH(208,บันทึกรายเที่ยว!$W$6:$W$10005,0),"")</f>
        <v/>
      </c>
      <c r="K215" t="str">
        <f>IF($J215="","",INDEX(บันทึกรายเที่ยว!$T$6:$T$10005,$J215))</f>
        <v/>
      </c>
      <c r="L215" t="str">
        <f>IF($J215="","",INDEX(บันทึกรายเที่ยว!$S$6:$S$10005,$J215))</f>
        <v/>
      </c>
      <c r="M215" t="str">
        <f>IF($J215="","",INDEX(บันทึกรายเที่ยว!$R$6:$R$10005,$J215))</f>
        <v/>
      </c>
      <c r="N215" t="str">
        <f>IF($J215="","",MATCH($M215,บันทึกรายเที่ยว!$R$6:$R$10005,0))</f>
        <v/>
      </c>
      <c r="O215" t="str">
        <f>IF($J215="","",MATCH($L215,บันทึกรายเที่ยว!$S$6:$S$10005,0))</f>
        <v/>
      </c>
      <c r="P215" t="str">
        <f>IF($J215="","",IF(AND(OR($I$3="(ทั้งหมด)",INDEX(บันทึกรายเที่ยว!$C$6:$C$10005,$J215)=$I$3),OR($I$5="(ทั้งหมด)",INDEX(บันทึกรายเที่ยว!$D$6:$D$10005,$J215)=$I$5),OR($I$7="(ทั้งหมด)",INDEX(บันทึกรายเที่ยว!$F$6:$F$10005,$J215)=$I$7)),$N215*10000000+$O215*1000+208,""))</f>
        <v/>
      </c>
      <c r="Q215" t="str">
        <f>IFERROR(MATCH(SMALL($P$8:$P$407,208),$P$8:$P$407,0),"")</f>
        <v/>
      </c>
      <c r="R215" t="str">
        <f t="shared" si="49"/>
        <v/>
      </c>
      <c r="S215" t="str">
        <f t="shared" si="50"/>
        <v/>
      </c>
      <c r="T215" t="str">
        <f t="shared" si="51"/>
        <v/>
      </c>
      <c r="U215" t="str">
        <f t="shared" si="52"/>
        <v/>
      </c>
      <c r="V215">
        <f t="shared" si="54"/>
        <v>0</v>
      </c>
      <c r="W215">
        <f t="shared" si="55"/>
        <v>0</v>
      </c>
      <c r="X215">
        <f>IF($Q215="",99999+208,$X214+1+$V214+$W214)</f>
        <v>100207</v>
      </c>
      <c r="Y215" t="str">
        <f>IF($Q215="","",INDEX(บันทึกรายเที่ยว!$Q$6:$Q$10005,$R215))</f>
        <v/>
      </c>
      <c r="Z215" t="str">
        <f>IF($Q215="","",INDEX(บันทึกรายเที่ยว!$F$6:$F$10005,$R215))</f>
        <v/>
      </c>
      <c r="AA215" t="str">
        <f>IFERROR(MATCH(208,$X$8:$X$407,1),"")</f>
        <v/>
      </c>
      <c r="AB215" t="str">
        <f>IF(208=$AD$1+1,"G",IF($AA215="","",IF(INDEX($Q$8:$Q$407,$AA215)="","",IF(208&gt;INDEX($X$8:$X$407,$AA215)+INDEX($V$8:$V$407,$AA215)+INDEX($W$8:$W$407,$AA215),"",IF(208=INDEX($X$8:$X$407,$AA215)+INDEX($V$8:$V$407,$AA215)+INDEX($W$8:$W$407,$AA215),"D",IF(AND(INDEX($W$8:$W$407,$AA215)=1,208=INDEX($X$8:$X$407,$AA215)+INDEX($V$8:$V$407,$AA215)),"S","R"))))))</f>
        <v/>
      </c>
      <c r="AC215" t="str">
        <f t="shared" si="53"/>
        <v/>
      </c>
      <c r="AE215">
        <f>IF($U215="",0,COUNTIF(บันทึกรายเที่ยว!$T$6:$T$10005,$U215))</f>
        <v>0</v>
      </c>
      <c r="AF215">
        <f>IF($U215="",0,ROUND(SUMIF(บันทึกรายเที่ยว!$T$6:$T$10005,$U215,บันทึกรายเที่ยว!$J$6:$J$10005),2))</f>
        <v>0</v>
      </c>
      <c r="AG215">
        <f>IF($U215="",0,ROUND(SUMIF(บันทึกรายเที่ยว!$T$6:$T$10005,$U215,บันทึกรายเที่ยว!$K$6:$K$10005),2))</f>
        <v>0</v>
      </c>
      <c r="AH215">
        <f>IF($U215="",0,ROUND(SUMIF(บันทึกรายเที่ยว!$T$6:$T$10005,$U215,บันทึกรายเที่ยว!$M$6:$M$10005),2))</f>
        <v>0</v>
      </c>
    </row>
    <row r="216" spans="1:34" ht="21" customHeight="1" x14ac:dyDescent="0.95">
      <c r="A216" s="3" t="str">
        <f t="shared" si="42"/>
        <v/>
      </c>
      <c r="B216" s="3" t="str">
        <f t="shared" si="43"/>
        <v/>
      </c>
      <c r="C216" s="8" t="str">
        <f t="shared" si="44"/>
        <v/>
      </c>
      <c r="D216" s="31" t="str">
        <f t="shared" si="45"/>
        <v/>
      </c>
      <c r="E216" s="32" t="str">
        <f>IF(209=$AD$1+3,"ขอแสดงความนับถือ",IF(209=$AD$1+6,"(                 )",IF(209=$AD$1+7,"เจ้าหน้าที่ขนส่ง",IF($AB216="G",SUM($AF$8:$AF$407),IF(OR($AB216="",$AB216="R"),"",IF($AB216="D",INDEX($AF$8:$AF$407,$AA216),SUMIF($T$8:$T$407,INDEX($T$8:$T$407,$AA216),$AF$8:$AF$407)))))))</f>
        <v/>
      </c>
      <c r="F216" s="32" t="str">
        <f t="shared" si="46"/>
        <v/>
      </c>
      <c r="G216" s="32" t="str">
        <f t="shared" si="47"/>
        <v/>
      </c>
      <c r="H216" s="32" t="str">
        <f t="shared" si="48"/>
        <v/>
      </c>
      <c r="J216" t="str">
        <f>IFERROR(MATCH(209,บันทึกรายเที่ยว!$W$6:$W$10005,0),"")</f>
        <v/>
      </c>
      <c r="K216" t="str">
        <f>IF($J216="","",INDEX(บันทึกรายเที่ยว!$T$6:$T$10005,$J216))</f>
        <v/>
      </c>
      <c r="L216" t="str">
        <f>IF($J216="","",INDEX(บันทึกรายเที่ยว!$S$6:$S$10005,$J216))</f>
        <v/>
      </c>
      <c r="M216" t="str">
        <f>IF($J216="","",INDEX(บันทึกรายเที่ยว!$R$6:$R$10005,$J216))</f>
        <v/>
      </c>
      <c r="N216" t="str">
        <f>IF($J216="","",MATCH($M216,บันทึกรายเที่ยว!$R$6:$R$10005,0))</f>
        <v/>
      </c>
      <c r="O216" t="str">
        <f>IF($J216="","",MATCH($L216,บันทึกรายเที่ยว!$S$6:$S$10005,0))</f>
        <v/>
      </c>
      <c r="P216" t="str">
        <f>IF($J216="","",IF(AND(OR($I$3="(ทั้งหมด)",INDEX(บันทึกรายเที่ยว!$C$6:$C$10005,$J216)=$I$3),OR($I$5="(ทั้งหมด)",INDEX(บันทึกรายเที่ยว!$D$6:$D$10005,$J216)=$I$5),OR($I$7="(ทั้งหมด)",INDEX(บันทึกรายเที่ยว!$F$6:$F$10005,$J216)=$I$7)),$N216*10000000+$O216*1000+209,""))</f>
        <v/>
      </c>
      <c r="Q216" t="str">
        <f>IFERROR(MATCH(SMALL($P$8:$P$407,209),$P$8:$P$407,0),"")</f>
        <v/>
      </c>
      <c r="R216" t="str">
        <f t="shared" si="49"/>
        <v/>
      </c>
      <c r="S216" t="str">
        <f t="shared" si="50"/>
        <v/>
      </c>
      <c r="T216" t="str">
        <f t="shared" si="51"/>
        <v/>
      </c>
      <c r="U216" t="str">
        <f t="shared" si="52"/>
        <v/>
      </c>
      <c r="V216">
        <f t="shared" si="54"/>
        <v>0</v>
      </c>
      <c r="W216">
        <f t="shared" si="55"/>
        <v>0</v>
      </c>
      <c r="X216">
        <f>IF($Q216="",99999+209,$X215+1+$V215+$W215)</f>
        <v>100208</v>
      </c>
      <c r="Y216" t="str">
        <f>IF($Q216="","",INDEX(บันทึกรายเที่ยว!$Q$6:$Q$10005,$R216))</f>
        <v/>
      </c>
      <c r="Z216" t="str">
        <f>IF($Q216="","",INDEX(บันทึกรายเที่ยว!$F$6:$F$10005,$R216))</f>
        <v/>
      </c>
      <c r="AA216" t="str">
        <f>IFERROR(MATCH(209,$X$8:$X$407,1),"")</f>
        <v/>
      </c>
      <c r="AB216" t="str">
        <f>IF(209=$AD$1+1,"G",IF($AA216="","",IF(INDEX($Q$8:$Q$407,$AA216)="","",IF(209&gt;INDEX($X$8:$X$407,$AA216)+INDEX($V$8:$V$407,$AA216)+INDEX($W$8:$W$407,$AA216),"",IF(209=INDEX($X$8:$X$407,$AA216)+INDEX($V$8:$V$407,$AA216)+INDEX($W$8:$W$407,$AA216),"D",IF(AND(INDEX($W$8:$W$407,$AA216)=1,209=INDEX($X$8:$X$407,$AA216)+INDEX($V$8:$V$407,$AA216)),"S","R"))))))</f>
        <v/>
      </c>
      <c r="AC216" t="str">
        <f t="shared" si="53"/>
        <v/>
      </c>
      <c r="AE216">
        <f>IF($U216="",0,COUNTIF(บันทึกรายเที่ยว!$T$6:$T$10005,$U216))</f>
        <v>0</v>
      </c>
      <c r="AF216">
        <f>IF($U216="",0,ROUND(SUMIF(บันทึกรายเที่ยว!$T$6:$T$10005,$U216,บันทึกรายเที่ยว!$J$6:$J$10005),2))</f>
        <v>0</v>
      </c>
      <c r="AG216">
        <f>IF($U216="",0,ROUND(SUMIF(บันทึกรายเที่ยว!$T$6:$T$10005,$U216,บันทึกรายเที่ยว!$K$6:$K$10005),2))</f>
        <v>0</v>
      </c>
      <c r="AH216">
        <f>IF($U216="",0,ROUND(SUMIF(บันทึกรายเที่ยว!$T$6:$T$10005,$U216,บันทึกรายเที่ยว!$M$6:$M$10005),2))</f>
        <v>0</v>
      </c>
    </row>
    <row r="217" spans="1:34" ht="21" customHeight="1" x14ac:dyDescent="0.95">
      <c r="A217" s="3" t="str">
        <f t="shared" si="42"/>
        <v/>
      </c>
      <c r="B217" s="3" t="str">
        <f t="shared" si="43"/>
        <v/>
      </c>
      <c r="C217" s="8" t="str">
        <f t="shared" si="44"/>
        <v/>
      </c>
      <c r="D217" s="31" t="str">
        <f t="shared" si="45"/>
        <v/>
      </c>
      <c r="E217" s="32" t="str">
        <f>IF(210=$AD$1+3,"ขอแสดงความนับถือ",IF(210=$AD$1+6,"(                 )",IF(210=$AD$1+7,"เจ้าหน้าที่ขนส่ง",IF($AB217="G",SUM($AF$8:$AF$407),IF(OR($AB217="",$AB217="R"),"",IF($AB217="D",INDEX($AF$8:$AF$407,$AA217),SUMIF($T$8:$T$407,INDEX($T$8:$T$407,$AA217),$AF$8:$AF$407)))))))</f>
        <v/>
      </c>
      <c r="F217" s="32" t="str">
        <f t="shared" si="46"/>
        <v/>
      </c>
      <c r="G217" s="32" t="str">
        <f t="shared" si="47"/>
        <v/>
      </c>
      <c r="H217" s="32" t="str">
        <f t="shared" si="48"/>
        <v/>
      </c>
      <c r="J217" t="str">
        <f>IFERROR(MATCH(210,บันทึกรายเที่ยว!$W$6:$W$10005,0),"")</f>
        <v/>
      </c>
      <c r="K217" t="str">
        <f>IF($J217="","",INDEX(บันทึกรายเที่ยว!$T$6:$T$10005,$J217))</f>
        <v/>
      </c>
      <c r="L217" t="str">
        <f>IF($J217="","",INDEX(บันทึกรายเที่ยว!$S$6:$S$10005,$J217))</f>
        <v/>
      </c>
      <c r="M217" t="str">
        <f>IF($J217="","",INDEX(บันทึกรายเที่ยว!$R$6:$R$10005,$J217))</f>
        <v/>
      </c>
      <c r="N217" t="str">
        <f>IF($J217="","",MATCH($M217,บันทึกรายเที่ยว!$R$6:$R$10005,0))</f>
        <v/>
      </c>
      <c r="O217" t="str">
        <f>IF($J217="","",MATCH($L217,บันทึกรายเที่ยว!$S$6:$S$10005,0))</f>
        <v/>
      </c>
      <c r="P217" t="str">
        <f>IF($J217="","",IF(AND(OR($I$3="(ทั้งหมด)",INDEX(บันทึกรายเที่ยว!$C$6:$C$10005,$J217)=$I$3),OR($I$5="(ทั้งหมด)",INDEX(บันทึกรายเที่ยว!$D$6:$D$10005,$J217)=$I$5),OR($I$7="(ทั้งหมด)",INDEX(บันทึกรายเที่ยว!$F$6:$F$10005,$J217)=$I$7)),$N217*10000000+$O217*1000+210,""))</f>
        <v/>
      </c>
      <c r="Q217" t="str">
        <f>IFERROR(MATCH(SMALL($P$8:$P$407,210),$P$8:$P$407,0),"")</f>
        <v/>
      </c>
      <c r="R217" t="str">
        <f t="shared" si="49"/>
        <v/>
      </c>
      <c r="S217" t="str">
        <f t="shared" si="50"/>
        <v/>
      </c>
      <c r="T217" t="str">
        <f t="shared" si="51"/>
        <v/>
      </c>
      <c r="U217" t="str">
        <f t="shared" si="52"/>
        <v/>
      </c>
      <c r="V217">
        <f t="shared" si="54"/>
        <v>0</v>
      </c>
      <c r="W217">
        <f t="shared" si="55"/>
        <v>0</v>
      </c>
      <c r="X217">
        <f>IF($Q217="",99999+210,$X216+1+$V216+$W216)</f>
        <v>100209</v>
      </c>
      <c r="Y217" t="str">
        <f>IF($Q217="","",INDEX(บันทึกรายเที่ยว!$Q$6:$Q$10005,$R217))</f>
        <v/>
      </c>
      <c r="Z217" t="str">
        <f>IF($Q217="","",INDEX(บันทึกรายเที่ยว!$F$6:$F$10005,$R217))</f>
        <v/>
      </c>
      <c r="AA217" t="str">
        <f>IFERROR(MATCH(210,$X$8:$X$407,1),"")</f>
        <v/>
      </c>
      <c r="AB217" t="str">
        <f>IF(210=$AD$1+1,"G",IF($AA217="","",IF(INDEX($Q$8:$Q$407,$AA217)="","",IF(210&gt;INDEX($X$8:$X$407,$AA217)+INDEX($V$8:$V$407,$AA217)+INDEX($W$8:$W$407,$AA217),"",IF(210=INDEX($X$8:$X$407,$AA217)+INDEX($V$8:$V$407,$AA217)+INDEX($W$8:$W$407,$AA217),"D",IF(AND(INDEX($W$8:$W$407,$AA217)=1,210=INDEX($X$8:$X$407,$AA217)+INDEX($V$8:$V$407,$AA217)),"S","R"))))))</f>
        <v/>
      </c>
      <c r="AC217" t="str">
        <f t="shared" si="53"/>
        <v/>
      </c>
      <c r="AE217">
        <f>IF($U217="",0,COUNTIF(บันทึกรายเที่ยว!$T$6:$T$10005,$U217))</f>
        <v>0</v>
      </c>
      <c r="AF217">
        <f>IF($U217="",0,ROUND(SUMIF(บันทึกรายเที่ยว!$T$6:$T$10005,$U217,บันทึกรายเที่ยว!$J$6:$J$10005),2))</f>
        <v>0</v>
      </c>
      <c r="AG217">
        <f>IF($U217="",0,ROUND(SUMIF(บันทึกรายเที่ยว!$T$6:$T$10005,$U217,บันทึกรายเที่ยว!$K$6:$K$10005),2))</f>
        <v>0</v>
      </c>
      <c r="AH217">
        <f>IF($U217="",0,ROUND(SUMIF(บันทึกรายเที่ยว!$T$6:$T$10005,$U217,บันทึกรายเที่ยว!$M$6:$M$10005),2))</f>
        <v>0</v>
      </c>
    </row>
    <row r="218" spans="1:34" ht="21" customHeight="1" x14ac:dyDescent="0.95">
      <c r="A218" s="3" t="str">
        <f t="shared" si="42"/>
        <v/>
      </c>
      <c r="B218" s="3" t="str">
        <f t="shared" si="43"/>
        <v/>
      </c>
      <c r="C218" s="8" t="str">
        <f t="shared" si="44"/>
        <v/>
      </c>
      <c r="D218" s="31" t="str">
        <f t="shared" si="45"/>
        <v/>
      </c>
      <c r="E218" s="32" t="str">
        <f>IF(211=$AD$1+3,"ขอแสดงความนับถือ",IF(211=$AD$1+6,"(                 )",IF(211=$AD$1+7,"เจ้าหน้าที่ขนส่ง",IF($AB218="G",SUM($AF$8:$AF$407),IF(OR($AB218="",$AB218="R"),"",IF($AB218="D",INDEX($AF$8:$AF$407,$AA218),SUMIF($T$8:$T$407,INDEX($T$8:$T$407,$AA218),$AF$8:$AF$407)))))))</f>
        <v/>
      </c>
      <c r="F218" s="32" t="str">
        <f t="shared" si="46"/>
        <v/>
      </c>
      <c r="G218" s="32" t="str">
        <f t="shared" si="47"/>
        <v/>
      </c>
      <c r="H218" s="32" t="str">
        <f t="shared" si="48"/>
        <v/>
      </c>
      <c r="J218" t="str">
        <f>IFERROR(MATCH(211,บันทึกรายเที่ยว!$W$6:$W$10005,0),"")</f>
        <v/>
      </c>
      <c r="K218" t="str">
        <f>IF($J218="","",INDEX(บันทึกรายเที่ยว!$T$6:$T$10005,$J218))</f>
        <v/>
      </c>
      <c r="L218" t="str">
        <f>IF($J218="","",INDEX(บันทึกรายเที่ยว!$S$6:$S$10005,$J218))</f>
        <v/>
      </c>
      <c r="M218" t="str">
        <f>IF($J218="","",INDEX(บันทึกรายเที่ยว!$R$6:$R$10005,$J218))</f>
        <v/>
      </c>
      <c r="N218" t="str">
        <f>IF($J218="","",MATCH($M218,บันทึกรายเที่ยว!$R$6:$R$10005,0))</f>
        <v/>
      </c>
      <c r="O218" t="str">
        <f>IF($J218="","",MATCH($L218,บันทึกรายเที่ยว!$S$6:$S$10005,0))</f>
        <v/>
      </c>
      <c r="P218" t="str">
        <f>IF($J218="","",IF(AND(OR($I$3="(ทั้งหมด)",INDEX(บันทึกรายเที่ยว!$C$6:$C$10005,$J218)=$I$3),OR($I$5="(ทั้งหมด)",INDEX(บันทึกรายเที่ยว!$D$6:$D$10005,$J218)=$I$5),OR($I$7="(ทั้งหมด)",INDEX(บันทึกรายเที่ยว!$F$6:$F$10005,$J218)=$I$7)),$N218*10000000+$O218*1000+211,""))</f>
        <v/>
      </c>
      <c r="Q218" t="str">
        <f>IFERROR(MATCH(SMALL($P$8:$P$407,211),$P$8:$P$407,0),"")</f>
        <v/>
      </c>
      <c r="R218" t="str">
        <f t="shared" si="49"/>
        <v/>
      </c>
      <c r="S218" t="str">
        <f t="shared" si="50"/>
        <v/>
      </c>
      <c r="T218" t="str">
        <f t="shared" si="51"/>
        <v/>
      </c>
      <c r="U218" t="str">
        <f t="shared" si="52"/>
        <v/>
      </c>
      <c r="V218">
        <f t="shared" si="54"/>
        <v>0</v>
      </c>
      <c r="W218">
        <f t="shared" si="55"/>
        <v>0</v>
      </c>
      <c r="X218">
        <f>IF($Q218="",99999+211,$X217+1+$V217+$W217)</f>
        <v>100210</v>
      </c>
      <c r="Y218" t="str">
        <f>IF($Q218="","",INDEX(บันทึกรายเที่ยว!$Q$6:$Q$10005,$R218))</f>
        <v/>
      </c>
      <c r="Z218" t="str">
        <f>IF($Q218="","",INDEX(บันทึกรายเที่ยว!$F$6:$F$10005,$R218))</f>
        <v/>
      </c>
      <c r="AA218" t="str">
        <f>IFERROR(MATCH(211,$X$8:$X$407,1),"")</f>
        <v/>
      </c>
      <c r="AB218" t="str">
        <f>IF(211=$AD$1+1,"G",IF($AA218="","",IF(INDEX($Q$8:$Q$407,$AA218)="","",IF(211&gt;INDEX($X$8:$X$407,$AA218)+INDEX($V$8:$V$407,$AA218)+INDEX($W$8:$W$407,$AA218),"",IF(211=INDEX($X$8:$X$407,$AA218)+INDEX($V$8:$V$407,$AA218)+INDEX($W$8:$W$407,$AA218),"D",IF(AND(INDEX($W$8:$W$407,$AA218)=1,211=INDEX($X$8:$X$407,$AA218)+INDEX($V$8:$V$407,$AA218)),"S","R"))))))</f>
        <v/>
      </c>
      <c r="AC218" t="str">
        <f t="shared" si="53"/>
        <v/>
      </c>
      <c r="AE218">
        <f>IF($U218="",0,COUNTIF(บันทึกรายเที่ยว!$T$6:$T$10005,$U218))</f>
        <v>0</v>
      </c>
      <c r="AF218">
        <f>IF($U218="",0,ROUND(SUMIF(บันทึกรายเที่ยว!$T$6:$T$10005,$U218,บันทึกรายเที่ยว!$J$6:$J$10005),2))</f>
        <v>0</v>
      </c>
      <c r="AG218">
        <f>IF($U218="",0,ROUND(SUMIF(บันทึกรายเที่ยว!$T$6:$T$10005,$U218,บันทึกรายเที่ยว!$K$6:$K$10005),2))</f>
        <v>0</v>
      </c>
      <c r="AH218">
        <f>IF($U218="",0,ROUND(SUMIF(บันทึกรายเที่ยว!$T$6:$T$10005,$U218,บันทึกรายเที่ยว!$M$6:$M$10005),2))</f>
        <v>0</v>
      </c>
    </row>
    <row r="219" spans="1:34" ht="21" customHeight="1" x14ac:dyDescent="0.95">
      <c r="A219" s="3" t="str">
        <f t="shared" si="42"/>
        <v/>
      </c>
      <c r="B219" s="3" t="str">
        <f t="shared" si="43"/>
        <v/>
      </c>
      <c r="C219" s="8" t="str">
        <f t="shared" si="44"/>
        <v/>
      </c>
      <c r="D219" s="31" t="str">
        <f t="shared" si="45"/>
        <v/>
      </c>
      <c r="E219" s="32" t="str">
        <f>IF(212=$AD$1+3,"ขอแสดงความนับถือ",IF(212=$AD$1+6,"(                 )",IF(212=$AD$1+7,"เจ้าหน้าที่ขนส่ง",IF($AB219="G",SUM($AF$8:$AF$407),IF(OR($AB219="",$AB219="R"),"",IF($AB219="D",INDEX($AF$8:$AF$407,$AA219),SUMIF($T$8:$T$407,INDEX($T$8:$T$407,$AA219),$AF$8:$AF$407)))))))</f>
        <v/>
      </c>
      <c r="F219" s="32" t="str">
        <f t="shared" si="46"/>
        <v/>
      </c>
      <c r="G219" s="32" t="str">
        <f t="shared" si="47"/>
        <v/>
      </c>
      <c r="H219" s="32" t="str">
        <f t="shared" si="48"/>
        <v/>
      </c>
      <c r="J219" t="str">
        <f>IFERROR(MATCH(212,บันทึกรายเที่ยว!$W$6:$W$10005,0),"")</f>
        <v/>
      </c>
      <c r="K219" t="str">
        <f>IF($J219="","",INDEX(บันทึกรายเที่ยว!$T$6:$T$10005,$J219))</f>
        <v/>
      </c>
      <c r="L219" t="str">
        <f>IF($J219="","",INDEX(บันทึกรายเที่ยว!$S$6:$S$10005,$J219))</f>
        <v/>
      </c>
      <c r="M219" t="str">
        <f>IF($J219="","",INDEX(บันทึกรายเที่ยว!$R$6:$R$10005,$J219))</f>
        <v/>
      </c>
      <c r="N219" t="str">
        <f>IF($J219="","",MATCH($M219,บันทึกรายเที่ยว!$R$6:$R$10005,0))</f>
        <v/>
      </c>
      <c r="O219" t="str">
        <f>IF($J219="","",MATCH($L219,บันทึกรายเที่ยว!$S$6:$S$10005,0))</f>
        <v/>
      </c>
      <c r="P219" t="str">
        <f>IF($J219="","",IF(AND(OR($I$3="(ทั้งหมด)",INDEX(บันทึกรายเที่ยว!$C$6:$C$10005,$J219)=$I$3),OR($I$5="(ทั้งหมด)",INDEX(บันทึกรายเที่ยว!$D$6:$D$10005,$J219)=$I$5),OR($I$7="(ทั้งหมด)",INDEX(บันทึกรายเที่ยว!$F$6:$F$10005,$J219)=$I$7)),$N219*10000000+$O219*1000+212,""))</f>
        <v/>
      </c>
      <c r="Q219" t="str">
        <f>IFERROR(MATCH(SMALL($P$8:$P$407,212),$P$8:$P$407,0),"")</f>
        <v/>
      </c>
      <c r="R219" t="str">
        <f t="shared" si="49"/>
        <v/>
      </c>
      <c r="S219" t="str">
        <f t="shared" si="50"/>
        <v/>
      </c>
      <c r="T219" t="str">
        <f t="shared" si="51"/>
        <v/>
      </c>
      <c r="U219" t="str">
        <f t="shared" si="52"/>
        <v/>
      </c>
      <c r="V219">
        <f t="shared" si="54"/>
        <v>0</v>
      </c>
      <c r="W219">
        <f t="shared" si="55"/>
        <v>0</v>
      </c>
      <c r="X219">
        <f>IF($Q219="",99999+212,$X218+1+$V218+$W218)</f>
        <v>100211</v>
      </c>
      <c r="Y219" t="str">
        <f>IF($Q219="","",INDEX(บันทึกรายเที่ยว!$Q$6:$Q$10005,$R219))</f>
        <v/>
      </c>
      <c r="Z219" t="str">
        <f>IF($Q219="","",INDEX(บันทึกรายเที่ยว!$F$6:$F$10005,$R219))</f>
        <v/>
      </c>
      <c r="AA219" t="str">
        <f>IFERROR(MATCH(212,$X$8:$X$407,1),"")</f>
        <v/>
      </c>
      <c r="AB219" t="str">
        <f>IF(212=$AD$1+1,"G",IF($AA219="","",IF(INDEX($Q$8:$Q$407,$AA219)="","",IF(212&gt;INDEX($X$8:$X$407,$AA219)+INDEX($V$8:$V$407,$AA219)+INDEX($W$8:$W$407,$AA219),"",IF(212=INDEX($X$8:$X$407,$AA219)+INDEX($V$8:$V$407,$AA219)+INDEX($W$8:$W$407,$AA219),"D",IF(AND(INDEX($W$8:$W$407,$AA219)=1,212=INDEX($X$8:$X$407,$AA219)+INDEX($V$8:$V$407,$AA219)),"S","R"))))))</f>
        <v/>
      </c>
      <c r="AC219" t="str">
        <f t="shared" si="53"/>
        <v/>
      </c>
      <c r="AE219">
        <f>IF($U219="",0,COUNTIF(บันทึกรายเที่ยว!$T$6:$T$10005,$U219))</f>
        <v>0</v>
      </c>
      <c r="AF219">
        <f>IF($U219="",0,ROUND(SUMIF(บันทึกรายเที่ยว!$T$6:$T$10005,$U219,บันทึกรายเที่ยว!$J$6:$J$10005),2))</f>
        <v>0</v>
      </c>
      <c r="AG219">
        <f>IF($U219="",0,ROUND(SUMIF(บันทึกรายเที่ยว!$T$6:$T$10005,$U219,บันทึกรายเที่ยว!$K$6:$K$10005),2))</f>
        <v>0</v>
      </c>
      <c r="AH219">
        <f>IF($U219="",0,ROUND(SUMIF(บันทึกรายเที่ยว!$T$6:$T$10005,$U219,บันทึกรายเที่ยว!$M$6:$M$10005),2))</f>
        <v>0</v>
      </c>
    </row>
    <row r="220" spans="1:34" ht="21" customHeight="1" x14ac:dyDescent="0.95">
      <c r="A220" s="3" t="str">
        <f t="shared" si="42"/>
        <v/>
      </c>
      <c r="B220" s="3" t="str">
        <f t="shared" si="43"/>
        <v/>
      </c>
      <c r="C220" s="8" t="str">
        <f t="shared" si="44"/>
        <v/>
      </c>
      <c r="D220" s="31" t="str">
        <f t="shared" si="45"/>
        <v/>
      </c>
      <c r="E220" s="32" t="str">
        <f>IF(213=$AD$1+3,"ขอแสดงความนับถือ",IF(213=$AD$1+6,"(                 )",IF(213=$AD$1+7,"เจ้าหน้าที่ขนส่ง",IF($AB220="G",SUM($AF$8:$AF$407),IF(OR($AB220="",$AB220="R"),"",IF($AB220="D",INDEX($AF$8:$AF$407,$AA220),SUMIF($T$8:$T$407,INDEX($T$8:$T$407,$AA220),$AF$8:$AF$407)))))))</f>
        <v/>
      </c>
      <c r="F220" s="32" t="str">
        <f t="shared" si="46"/>
        <v/>
      </c>
      <c r="G220" s="32" t="str">
        <f t="shared" si="47"/>
        <v/>
      </c>
      <c r="H220" s="32" t="str">
        <f t="shared" si="48"/>
        <v/>
      </c>
      <c r="J220" t="str">
        <f>IFERROR(MATCH(213,บันทึกรายเที่ยว!$W$6:$W$10005,0),"")</f>
        <v/>
      </c>
      <c r="K220" t="str">
        <f>IF($J220="","",INDEX(บันทึกรายเที่ยว!$T$6:$T$10005,$J220))</f>
        <v/>
      </c>
      <c r="L220" t="str">
        <f>IF($J220="","",INDEX(บันทึกรายเที่ยว!$S$6:$S$10005,$J220))</f>
        <v/>
      </c>
      <c r="M220" t="str">
        <f>IF($J220="","",INDEX(บันทึกรายเที่ยว!$R$6:$R$10005,$J220))</f>
        <v/>
      </c>
      <c r="N220" t="str">
        <f>IF($J220="","",MATCH($M220,บันทึกรายเที่ยว!$R$6:$R$10005,0))</f>
        <v/>
      </c>
      <c r="O220" t="str">
        <f>IF($J220="","",MATCH($L220,บันทึกรายเที่ยว!$S$6:$S$10005,0))</f>
        <v/>
      </c>
      <c r="P220" t="str">
        <f>IF($J220="","",IF(AND(OR($I$3="(ทั้งหมด)",INDEX(บันทึกรายเที่ยว!$C$6:$C$10005,$J220)=$I$3),OR($I$5="(ทั้งหมด)",INDEX(บันทึกรายเที่ยว!$D$6:$D$10005,$J220)=$I$5),OR($I$7="(ทั้งหมด)",INDEX(บันทึกรายเที่ยว!$F$6:$F$10005,$J220)=$I$7)),$N220*10000000+$O220*1000+213,""))</f>
        <v/>
      </c>
      <c r="Q220" t="str">
        <f>IFERROR(MATCH(SMALL($P$8:$P$407,213),$P$8:$P$407,0),"")</f>
        <v/>
      </c>
      <c r="R220" t="str">
        <f t="shared" si="49"/>
        <v/>
      </c>
      <c r="S220" t="str">
        <f t="shared" si="50"/>
        <v/>
      </c>
      <c r="T220" t="str">
        <f t="shared" si="51"/>
        <v/>
      </c>
      <c r="U220" t="str">
        <f t="shared" si="52"/>
        <v/>
      </c>
      <c r="V220">
        <f t="shared" si="54"/>
        <v>0</v>
      </c>
      <c r="W220">
        <f t="shared" si="55"/>
        <v>0</v>
      </c>
      <c r="X220">
        <f>IF($Q220="",99999+213,$X219+1+$V219+$W219)</f>
        <v>100212</v>
      </c>
      <c r="Y220" t="str">
        <f>IF($Q220="","",INDEX(บันทึกรายเที่ยว!$Q$6:$Q$10005,$R220))</f>
        <v/>
      </c>
      <c r="Z220" t="str">
        <f>IF($Q220="","",INDEX(บันทึกรายเที่ยว!$F$6:$F$10005,$R220))</f>
        <v/>
      </c>
      <c r="AA220" t="str">
        <f>IFERROR(MATCH(213,$X$8:$X$407,1),"")</f>
        <v/>
      </c>
      <c r="AB220" t="str">
        <f>IF(213=$AD$1+1,"G",IF($AA220="","",IF(INDEX($Q$8:$Q$407,$AA220)="","",IF(213&gt;INDEX($X$8:$X$407,$AA220)+INDEX($V$8:$V$407,$AA220)+INDEX($W$8:$W$407,$AA220),"",IF(213=INDEX($X$8:$X$407,$AA220)+INDEX($V$8:$V$407,$AA220)+INDEX($W$8:$W$407,$AA220),"D",IF(AND(INDEX($W$8:$W$407,$AA220)=1,213=INDEX($X$8:$X$407,$AA220)+INDEX($V$8:$V$407,$AA220)),"S","R"))))))</f>
        <v/>
      </c>
      <c r="AC220" t="str">
        <f t="shared" si="53"/>
        <v/>
      </c>
      <c r="AE220">
        <f>IF($U220="",0,COUNTIF(บันทึกรายเที่ยว!$T$6:$T$10005,$U220))</f>
        <v>0</v>
      </c>
      <c r="AF220">
        <f>IF($U220="",0,ROUND(SUMIF(บันทึกรายเที่ยว!$T$6:$T$10005,$U220,บันทึกรายเที่ยว!$J$6:$J$10005),2))</f>
        <v>0</v>
      </c>
      <c r="AG220">
        <f>IF($U220="",0,ROUND(SUMIF(บันทึกรายเที่ยว!$T$6:$T$10005,$U220,บันทึกรายเที่ยว!$K$6:$K$10005),2))</f>
        <v>0</v>
      </c>
      <c r="AH220">
        <f>IF($U220="",0,ROUND(SUMIF(บันทึกรายเที่ยว!$T$6:$T$10005,$U220,บันทึกรายเที่ยว!$M$6:$M$10005),2))</f>
        <v>0</v>
      </c>
    </row>
    <row r="221" spans="1:34" ht="21" customHeight="1" x14ac:dyDescent="0.95">
      <c r="A221" s="3" t="str">
        <f t="shared" si="42"/>
        <v/>
      </c>
      <c r="B221" s="3" t="str">
        <f t="shared" si="43"/>
        <v/>
      </c>
      <c r="C221" s="8" t="str">
        <f t="shared" si="44"/>
        <v/>
      </c>
      <c r="D221" s="31" t="str">
        <f t="shared" si="45"/>
        <v/>
      </c>
      <c r="E221" s="32" t="str">
        <f>IF(214=$AD$1+3,"ขอแสดงความนับถือ",IF(214=$AD$1+6,"(                 )",IF(214=$AD$1+7,"เจ้าหน้าที่ขนส่ง",IF($AB221="G",SUM($AF$8:$AF$407),IF(OR($AB221="",$AB221="R"),"",IF($AB221="D",INDEX($AF$8:$AF$407,$AA221),SUMIF($T$8:$T$407,INDEX($T$8:$T$407,$AA221),$AF$8:$AF$407)))))))</f>
        <v/>
      </c>
      <c r="F221" s="32" t="str">
        <f t="shared" si="46"/>
        <v/>
      </c>
      <c r="G221" s="32" t="str">
        <f t="shared" si="47"/>
        <v/>
      </c>
      <c r="H221" s="32" t="str">
        <f t="shared" si="48"/>
        <v/>
      </c>
      <c r="J221" t="str">
        <f>IFERROR(MATCH(214,บันทึกรายเที่ยว!$W$6:$W$10005,0),"")</f>
        <v/>
      </c>
      <c r="K221" t="str">
        <f>IF($J221="","",INDEX(บันทึกรายเที่ยว!$T$6:$T$10005,$J221))</f>
        <v/>
      </c>
      <c r="L221" t="str">
        <f>IF($J221="","",INDEX(บันทึกรายเที่ยว!$S$6:$S$10005,$J221))</f>
        <v/>
      </c>
      <c r="M221" t="str">
        <f>IF($J221="","",INDEX(บันทึกรายเที่ยว!$R$6:$R$10005,$J221))</f>
        <v/>
      </c>
      <c r="N221" t="str">
        <f>IF($J221="","",MATCH($M221,บันทึกรายเที่ยว!$R$6:$R$10005,0))</f>
        <v/>
      </c>
      <c r="O221" t="str">
        <f>IF($J221="","",MATCH($L221,บันทึกรายเที่ยว!$S$6:$S$10005,0))</f>
        <v/>
      </c>
      <c r="P221" t="str">
        <f>IF($J221="","",IF(AND(OR($I$3="(ทั้งหมด)",INDEX(บันทึกรายเที่ยว!$C$6:$C$10005,$J221)=$I$3),OR($I$5="(ทั้งหมด)",INDEX(บันทึกรายเที่ยว!$D$6:$D$10005,$J221)=$I$5),OR($I$7="(ทั้งหมด)",INDEX(บันทึกรายเที่ยว!$F$6:$F$10005,$J221)=$I$7)),$N221*10000000+$O221*1000+214,""))</f>
        <v/>
      </c>
      <c r="Q221" t="str">
        <f>IFERROR(MATCH(SMALL($P$8:$P$407,214),$P$8:$P$407,0),"")</f>
        <v/>
      </c>
      <c r="R221" t="str">
        <f t="shared" si="49"/>
        <v/>
      </c>
      <c r="S221" t="str">
        <f t="shared" si="50"/>
        <v/>
      </c>
      <c r="T221" t="str">
        <f t="shared" si="51"/>
        <v/>
      </c>
      <c r="U221" t="str">
        <f t="shared" si="52"/>
        <v/>
      </c>
      <c r="V221">
        <f t="shared" si="54"/>
        <v>0</v>
      </c>
      <c r="W221">
        <f t="shared" si="55"/>
        <v>0</v>
      </c>
      <c r="X221">
        <f>IF($Q221="",99999+214,$X220+1+$V220+$W220)</f>
        <v>100213</v>
      </c>
      <c r="Y221" t="str">
        <f>IF($Q221="","",INDEX(บันทึกรายเที่ยว!$Q$6:$Q$10005,$R221))</f>
        <v/>
      </c>
      <c r="Z221" t="str">
        <f>IF($Q221="","",INDEX(บันทึกรายเที่ยว!$F$6:$F$10005,$R221))</f>
        <v/>
      </c>
      <c r="AA221" t="str">
        <f>IFERROR(MATCH(214,$X$8:$X$407,1),"")</f>
        <v/>
      </c>
      <c r="AB221" t="str">
        <f>IF(214=$AD$1+1,"G",IF($AA221="","",IF(INDEX($Q$8:$Q$407,$AA221)="","",IF(214&gt;INDEX($X$8:$X$407,$AA221)+INDEX($V$8:$V$407,$AA221)+INDEX($W$8:$W$407,$AA221),"",IF(214=INDEX($X$8:$X$407,$AA221)+INDEX($V$8:$V$407,$AA221)+INDEX($W$8:$W$407,$AA221),"D",IF(AND(INDEX($W$8:$W$407,$AA221)=1,214=INDEX($X$8:$X$407,$AA221)+INDEX($V$8:$V$407,$AA221)),"S","R"))))))</f>
        <v/>
      </c>
      <c r="AC221" t="str">
        <f t="shared" si="53"/>
        <v/>
      </c>
      <c r="AE221">
        <f>IF($U221="",0,COUNTIF(บันทึกรายเที่ยว!$T$6:$T$10005,$U221))</f>
        <v>0</v>
      </c>
      <c r="AF221">
        <f>IF($U221="",0,ROUND(SUMIF(บันทึกรายเที่ยว!$T$6:$T$10005,$U221,บันทึกรายเที่ยว!$J$6:$J$10005),2))</f>
        <v>0</v>
      </c>
      <c r="AG221">
        <f>IF($U221="",0,ROUND(SUMIF(บันทึกรายเที่ยว!$T$6:$T$10005,$U221,บันทึกรายเที่ยว!$K$6:$K$10005),2))</f>
        <v>0</v>
      </c>
      <c r="AH221">
        <f>IF($U221="",0,ROUND(SUMIF(บันทึกรายเที่ยว!$T$6:$T$10005,$U221,บันทึกรายเที่ยว!$M$6:$M$10005),2))</f>
        <v>0</v>
      </c>
    </row>
    <row r="222" spans="1:34" ht="21" customHeight="1" x14ac:dyDescent="0.95">
      <c r="A222" s="3" t="str">
        <f t="shared" si="42"/>
        <v/>
      </c>
      <c r="B222" s="3" t="str">
        <f t="shared" si="43"/>
        <v/>
      </c>
      <c r="C222" s="8" t="str">
        <f t="shared" si="44"/>
        <v/>
      </c>
      <c r="D222" s="31" t="str">
        <f t="shared" si="45"/>
        <v/>
      </c>
      <c r="E222" s="32" t="str">
        <f>IF(215=$AD$1+3,"ขอแสดงความนับถือ",IF(215=$AD$1+6,"(                 )",IF(215=$AD$1+7,"เจ้าหน้าที่ขนส่ง",IF($AB222="G",SUM($AF$8:$AF$407),IF(OR($AB222="",$AB222="R"),"",IF($AB222="D",INDEX($AF$8:$AF$407,$AA222),SUMIF($T$8:$T$407,INDEX($T$8:$T$407,$AA222),$AF$8:$AF$407)))))))</f>
        <v/>
      </c>
      <c r="F222" s="32" t="str">
        <f t="shared" si="46"/>
        <v/>
      </c>
      <c r="G222" s="32" t="str">
        <f t="shared" si="47"/>
        <v/>
      </c>
      <c r="H222" s="32" t="str">
        <f t="shared" si="48"/>
        <v/>
      </c>
      <c r="J222" t="str">
        <f>IFERROR(MATCH(215,บันทึกรายเที่ยว!$W$6:$W$10005,0),"")</f>
        <v/>
      </c>
      <c r="K222" t="str">
        <f>IF($J222="","",INDEX(บันทึกรายเที่ยว!$T$6:$T$10005,$J222))</f>
        <v/>
      </c>
      <c r="L222" t="str">
        <f>IF($J222="","",INDEX(บันทึกรายเที่ยว!$S$6:$S$10005,$J222))</f>
        <v/>
      </c>
      <c r="M222" t="str">
        <f>IF($J222="","",INDEX(บันทึกรายเที่ยว!$R$6:$R$10005,$J222))</f>
        <v/>
      </c>
      <c r="N222" t="str">
        <f>IF($J222="","",MATCH($M222,บันทึกรายเที่ยว!$R$6:$R$10005,0))</f>
        <v/>
      </c>
      <c r="O222" t="str">
        <f>IF($J222="","",MATCH($L222,บันทึกรายเที่ยว!$S$6:$S$10005,0))</f>
        <v/>
      </c>
      <c r="P222" t="str">
        <f>IF($J222="","",IF(AND(OR($I$3="(ทั้งหมด)",INDEX(บันทึกรายเที่ยว!$C$6:$C$10005,$J222)=$I$3),OR($I$5="(ทั้งหมด)",INDEX(บันทึกรายเที่ยว!$D$6:$D$10005,$J222)=$I$5),OR($I$7="(ทั้งหมด)",INDEX(บันทึกรายเที่ยว!$F$6:$F$10005,$J222)=$I$7)),$N222*10000000+$O222*1000+215,""))</f>
        <v/>
      </c>
      <c r="Q222" t="str">
        <f>IFERROR(MATCH(SMALL($P$8:$P$407,215),$P$8:$P$407,0),"")</f>
        <v/>
      </c>
      <c r="R222" t="str">
        <f t="shared" si="49"/>
        <v/>
      </c>
      <c r="S222" t="str">
        <f t="shared" si="50"/>
        <v/>
      </c>
      <c r="T222" t="str">
        <f t="shared" si="51"/>
        <v/>
      </c>
      <c r="U222" t="str">
        <f t="shared" si="52"/>
        <v/>
      </c>
      <c r="V222">
        <f t="shared" si="54"/>
        <v>0</v>
      </c>
      <c r="W222">
        <f t="shared" si="55"/>
        <v>0</v>
      </c>
      <c r="X222">
        <f>IF($Q222="",99999+215,$X221+1+$V221+$W221)</f>
        <v>100214</v>
      </c>
      <c r="Y222" t="str">
        <f>IF($Q222="","",INDEX(บันทึกรายเที่ยว!$Q$6:$Q$10005,$R222))</f>
        <v/>
      </c>
      <c r="Z222" t="str">
        <f>IF($Q222="","",INDEX(บันทึกรายเที่ยว!$F$6:$F$10005,$R222))</f>
        <v/>
      </c>
      <c r="AA222" t="str">
        <f>IFERROR(MATCH(215,$X$8:$X$407,1),"")</f>
        <v/>
      </c>
      <c r="AB222" t="str">
        <f>IF(215=$AD$1+1,"G",IF($AA222="","",IF(INDEX($Q$8:$Q$407,$AA222)="","",IF(215&gt;INDEX($X$8:$X$407,$AA222)+INDEX($V$8:$V$407,$AA222)+INDEX($W$8:$W$407,$AA222),"",IF(215=INDEX($X$8:$X$407,$AA222)+INDEX($V$8:$V$407,$AA222)+INDEX($W$8:$W$407,$AA222),"D",IF(AND(INDEX($W$8:$W$407,$AA222)=1,215=INDEX($X$8:$X$407,$AA222)+INDEX($V$8:$V$407,$AA222)),"S","R"))))))</f>
        <v/>
      </c>
      <c r="AC222" t="str">
        <f t="shared" si="53"/>
        <v/>
      </c>
      <c r="AE222">
        <f>IF($U222="",0,COUNTIF(บันทึกรายเที่ยว!$T$6:$T$10005,$U222))</f>
        <v>0</v>
      </c>
      <c r="AF222">
        <f>IF($U222="",0,ROUND(SUMIF(บันทึกรายเที่ยว!$T$6:$T$10005,$U222,บันทึกรายเที่ยว!$J$6:$J$10005),2))</f>
        <v>0</v>
      </c>
      <c r="AG222">
        <f>IF($U222="",0,ROUND(SUMIF(บันทึกรายเที่ยว!$T$6:$T$10005,$U222,บันทึกรายเที่ยว!$K$6:$K$10005),2))</f>
        <v>0</v>
      </c>
      <c r="AH222">
        <f>IF($U222="",0,ROUND(SUMIF(บันทึกรายเที่ยว!$T$6:$T$10005,$U222,บันทึกรายเที่ยว!$M$6:$M$10005),2))</f>
        <v>0</v>
      </c>
    </row>
    <row r="223" spans="1:34" ht="21" customHeight="1" x14ac:dyDescent="0.95">
      <c r="A223" s="3" t="str">
        <f t="shared" si="42"/>
        <v/>
      </c>
      <c r="B223" s="3" t="str">
        <f t="shared" si="43"/>
        <v/>
      </c>
      <c r="C223" s="8" t="str">
        <f t="shared" si="44"/>
        <v/>
      </c>
      <c r="D223" s="31" t="str">
        <f t="shared" si="45"/>
        <v/>
      </c>
      <c r="E223" s="32" t="str">
        <f>IF(216=$AD$1+3,"ขอแสดงความนับถือ",IF(216=$AD$1+6,"(                 )",IF(216=$AD$1+7,"เจ้าหน้าที่ขนส่ง",IF($AB223="G",SUM($AF$8:$AF$407),IF(OR($AB223="",$AB223="R"),"",IF($AB223="D",INDEX($AF$8:$AF$407,$AA223),SUMIF($T$8:$T$407,INDEX($T$8:$T$407,$AA223),$AF$8:$AF$407)))))))</f>
        <v/>
      </c>
      <c r="F223" s="32" t="str">
        <f t="shared" si="46"/>
        <v/>
      </c>
      <c r="G223" s="32" t="str">
        <f t="shared" si="47"/>
        <v/>
      </c>
      <c r="H223" s="32" t="str">
        <f t="shared" si="48"/>
        <v/>
      </c>
      <c r="J223" t="str">
        <f>IFERROR(MATCH(216,บันทึกรายเที่ยว!$W$6:$W$10005,0),"")</f>
        <v/>
      </c>
      <c r="K223" t="str">
        <f>IF($J223="","",INDEX(บันทึกรายเที่ยว!$T$6:$T$10005,$J223))</f>
        <v/>
      </c>
      <c r="L223" t="str">
        <f>IF($J223="","",INDEX(บันทึกรายเที่ยว!$S$6:$S$10005,$J223))</f>
        <v/>
      </c>
      <c r="M223" t="str">
        <f>IF($J223="","",INDEX(บันทึกรายเที่ยว!$R$6:$R$10005,$J223))</f>
        <v/>
      </c>
      <c r="N223" t="str">
        <f>IF($J223="","",MATCH($M223,บันทึกรายเที่ยว!$R$6:$R$10005,0))</f>
        <v/>
      </c>
      <c r="O223" t="str">
        <f>IF($J223="","",MATCH($L223,บันทึกรายเที่ยว!$S$6:$S$10005,0))</f>
        <v/>
      </c>
      <c r="P223" t="str">
        <f>IF($J223="","",IF(AND(OR($I$3="(ทั้งหมด)",INDEX(บันทึกรายเที่ยว!$C$6:$C$10005,$J223)=$I$3),OR($I$5="(ทั้งหมด)",INDEX(บันทึกรายเที่ยว!$D$6:$D$10005,$J223)=$I$5),OR($I$7="(ทั้งหมด)",INDEX(บันทึกรายเที่ยว!$F$6:$F$10005,$J223)=$I$7)),$N223*10000000+$O223*1000+216,""))</f>
        <v/>
      </c>
      <c r="Q223" t="str">
        <f>IFERROR(MATCH(SMALL($P$8:$P$407,216),$P$8:$P$407,0),"")</f>
        <v/>
      </c>
      <c r="R223" t="str">
        <f t="shared" si="49"/>
        <v/>
      </c>
      <c r="S223" t="str">
        <f t="shared" si="50"/>
        <v/>
      </c>
      <c r="T223" t="str">
        <f t="shared" si="51"/>
        <v/>
      </c>
      <c r="U223" t="str">
        <f t="shared" si="52"/>
        <v/>
      </c>
      <c r="V223">
        <f t="shared" si="54"/>
        <v>0</v>
      </c>
      <c r="W223">
        <f t="shared" si="55"/>
        <v>0</v>
      </c>
      <c r="X223">
        <f>IF($Q223="",99999+216,$X222+1+$V222+$W222)</f>
        <v>100215</v>
      </c>
      <c r="Y223" t="str">
        <f>IF($Q223="","",INDEX(บันทึกรายเที่ยว!$Q$6:$Q$10005,$R223))</f>
        <v/>
      </c>
      <c r="Z223" t="str">
        <f>IF($Q223="","",INDEX(บันทึกรายเที่ยว!$F$6:$F$10005,$R223))</f>
        <v/>
      </c>
      <c r="AA223" t="str">
        <f>IFERROR(MATCH(216,$X$8:$X$407,1),"")</f>
        <v/>
      </c>
      <c r="AB223" t="str">
        <f>IF(216=$AD$1+1,"G",IF($AA223="","",IF(INDEX($Q$8:$Q$407,$AA223)="","",IF(216&gt;INDEX($X$8:$X$407,$AA223)+INDEX($V$8:$V$407,$AA223)+INDEX($W$8:$W$407,$AA223),"",IF(216=INDEX($X$8:$X$407,$AA223)+INDEX($V$8:$V$407,$AA223)+INDEX($W$8:$W$407,$AA223),"D",IF(AND(INDEX($W$8:$W$407,$AA223)=1,216=INDEX($X$8:$X$407,$AA223)+INDEX($V$8:$V$407,$AA223)),"S","R"))))))</f>
        <v/>
      </c>
      <c r="AC223" t="str">
        <f t="shared" si="53"/>
        <v/>
      </c>
      <c r="AE223">
        <f>IF($U223="",0,COUNTIF(บันทึกรายเที่ยว!$T$6:$T$10005,$U223))</f>
        <v>0</v>
      </c>
      <c r="AF223">
        <f>IF($U223="",0,ROUND(SUMIF(บันทึกรายเที่ยว!$T$6:$T$10005,$U223,บันทึกรายเที่ยว!$J$6:$J$10005),2))</f>
        <v>0</v>
      </c>
      <c r="AG223">
        <f>IF($U223="",0,ROUND(SUMIF(บันทึกรายเที่ยว!$T$6:$T$10005,$U223,บันทึกรายเที่ยว!$K$6:$K$10005),2))</f>
        <v>0</v>
      </c>
      <c r="AH223">
        <f>IF($U223="",0,ROUND(SUMIF(บันทึกรายเที่ยว!$T$6:$T$10005,$U223,บันทึกรายเที่ยว!$M$6:$M$10005),2))</f>
        <v>0</v>
      </c>
    </row>
    <row r="224" spans="1:34" ht="21" customHeight="1" x14ac:dyDescent="0.95">
      <c r="A224" s="3" t="str">
        <f t="shared" si="42"/>
        <v/>
      </c>
      <c r="B224" s="3" t="str">
        <f t="shared" si="43"/>
        <v/>
      </c>
      <c r="C224" s="8" t="str">
        <f t="shared" si="44"/>
        <v/>
      </c>
      <c r="D224" s="31" t="str">
        <f t="shared" si="45"/>
        <v/>
      </c>
      <c r="E224" s="32" t="str">
        <f>IF(217=$AD$1+3,"ขอแสดงความนับถือ",IF(217=$AD$1+6,"(                 )",IF(217=$AD$1+7,"เจ้าหน้าที่ขนส่ง",IF($AB224="G",SUM($AF$8:$AF$407),IF(OR($AB224="",$AB224="R"),"",IF($AB224="D",INDEX($AF$8:$AF$407,$AA224),SUMIF($T$8:$T$407,INDEX($T$8:$T$407,$AA224),$AF$8:$AF$407)))))))</f>
        <v/>
      </c>
      <c r="F224" s="32" t="str">
        <f t="shared" si="46"/>
        <v/>
      </c>
      <c r="G224" s="32" t="str">
        <f t="shared" si="47"/>
        <v/>
      </c>
      <c r="H224" s="32" t="str">
        <f t="shared" si="48"/>
        <v/>
      </c>
      <c r="J224" t="str">
        <f>IFERROR(MATCH(217,บันทึกรายเที่ยว!$W$6:$W$10005,0),"")</f>
        <v/>
      </c>
      <c r="K224" t="str">
        <f>IF($J224="","",INDEX(บันทึกรายเที่ยว!$T$6:$T$10005,$J224))</f>
        <v/>
      </c>
      <c r="L224" t="str">
        <f>IF($J224="","",INDEX(บันทึกรายเที่ยว!$S$6:$S$10005,$J224))</f>
        <v/>
      </c>
      <c r="M224" t="str">
        <f>IF($J224="","",INDEX(บันทึกรายเที่ยว!$R$6:$R$10005,$J224))</f>
        <v/>
      </c>
      <c r="N224" t="str">
        <f>IF($J224="","",MATCH($M224,บันทึกรายเที่ยว!$R$6:$R$10005,0))</f>
        <v/>
      </c>
      <c r="O224" t="str">
        <f>IF($J224="","",MATCH($L224,บันทึกรายเที่ยว!$S$6:$S$10005,0))</f>
        <v/>
      </c>
      <c r="P224" t="str">
        <f>IF($J224="","",IF(AND(OR($I$3="(ทั้งหมด)",INDEX(บันทึกรายเที่ยว!$C$6:$C$10005,$J224)=$I$3),OR($I$5="(ทั้งหมด)",INDEX(บันทึกรายเที่ยว!$D$6:$D$10005,$J224)=$I$5),OR($I$7="(ทั้งหมด)",INDEX(บันทึกรายเที่ยว!$F$6:$F$10005,$J224)=$I$7)),$N224*10000000+$O224*1000+217,""))</f>
        <v/>
      </c>
      <c r="Q224" t="str">
        <f>IFERROR(MATCH(SMALL($P$8:$P$407,217),$P$8:$P$407,0),"")</f>
        <v/>
      </c>
      <c r="R224" t="str">
        <f t="shared" si="49"/>
        <v/>
      </c>
      <c r="S224" t="str">
        <f t="shared" si="50"/>
        <v/>
      </c>
      <c r="T224" t="str">
        <f t="shared" si="51"/>
        <v/>
      </c>
      <c r="U224" t="str">
        <f t="shared" si="52"/>
        <v/>
      </c>
      <c r="V224">
        <f t="shared" si="54"/>
        <v>0</v>
      </c>
      <c r="W224">
        <f t="shared" si="55"/>
        <v>0</v>
      </c>
      <c r="X224">
        <f>IF($Q224="",99999+217,$X223+1+$V223+$W223)</f>
        <v>100216</v>
      </c>
      <c r="Y224" t="str">
        <f>IF($Q224="","",INDEX(บันทึกรายเที่ยว!$Q$6:$Q$10005,$R224))</f>
        <v/>
      </c>
      <c r="Z224" t="str">
        <f>IF($Q224="","",INDEX(บันทึกรายเที่ยว!$F$6:$F$10005,$R224))</f>
        <v/>
      </c>
      <c r="AA224" t="str">
        <f>IFERROR(MATCH(217,$X$8:$X$407,1),"")</f>
        <v/>
      </c>
      <c r="AB224" t="str">
        <f>IF(217=$AD$1+1,"G",IF($AA224="","",IF(INDEX($Q$8:$Q$407,$AA224)="","",IF(217&gt;INDEX($X$8:$X$407,$AA224)+INDEX($V$8:$V$407,$AA224)+INDEX($W$8:$W$407,$AA224),"",IF(217=INDEX($X$8:$X$407,$AA224)+INDEX($V$8:$V$407,$AA224)+INDEX($W$8:$W$407,$AA224),"D",IF(AND(INDEX($W$8:$W$407,$AA224)=1,217=INDEX($X$8:$X$407,$AA224)+INDEX($V$8:$V$407,$AA224)),"S","R"))))))</f>
        <v/>
      </c>
      <c r="AC224" t="str">
        <f t="shared" si="53"/>
        <v/>
      </c>
      <c r="AE224">
        <f>IF($U224="",0,COUNTIF(บันทึกรายเที่ยว!$T$6:$T$10005,$U224))</f>
        <v>0</v>
      </c>
      <c r="AF224">
        <f>IF($U224="",0,ROUND(SUMIF(บันทึกรายเที่ยว!$T$6:$T$10005,$U224,บันทึกรายเที่ยว!$J$6:$J$10005),2))</f>
        <v>0</v>
      </c>
      <c r="AG224">
        <f>IF($U224="",0,ROUND(SUMIF(บันทึกรายเที่ยว!$T$6:$T$10005,$U224,บันทึกรายเที่ยว!$K$6:$K$10005),2))</f>
        <v>0</v>
      </c>
      <c r="AH224">
        <f>IF($U224="",0,ROUND(SUMIF(บันทึกรายเที่ยว!$T$6:$T$10005,$U224,บันทึกรายเที่ยว!$M$6:$M$10005),2))</f>
        <v>0</v>
      </c>
    </row>
    <row r="225" spans="1:34" ht="21" customHeight="1" x14ac:dyDescent="0.95">
      <c r="A225" s="3" t="str">
        <f t="shared" si="42"/>
        <v/>
      </c>
      <c r="B225" s="3" t="str">
        <f t="shared" si="43"/>
        <v/>
      </c>
      <c r="C225" s="8" t="str">
        <f t="shared" si="44"/>
        <v/>
      </c>
      <c r="D225" s="31" t="str">
        <f t="shared" si="45"/>
        <v/>
      </c>
      <c r="E225" s="32" t="str">
        <f>IF(218=$AD$1+3,"ขอแสดงความนับถือ",IF(218=$AD$1+6,"(                 )",IF(218=$AD$1+7,"เจ้าหน้าที่ขนส่ง",IF($AB225="G",SUM($AF$8:$AF$407),IF(OR($AB225="",$AB225="R"),"",IF($AB225="D",INDEX($AF$8:$AF$407,$AA225),SUMIF($T$8:$T$407,INDEX($T$8:$T$407,$AA225),$AF$8:$AF$407)))))))</f>
        <v/>
      </c>
      <c r="F225" s="32" t="str">
        <f t="shared" si="46"/>
        <v/>
      </c>
      <c r="G225" s="32" t="str">
        <f t="shared" si="47"/>
        <v/>
      </c>
      <c r="H225" s="32" t="str">
        <f t="shared" si="48"/>
        <v/>
      </c>
      <c r="J225" t="str">
        <f>IFERROR(MATCH(218,บันทึกรายเที่ยว!$W$6:$W$10005,0),"")</f>
        <v/>
      </c>
      <c r="K225" t="str">
        <f>IF($J225="","",INDEX(บันทึกรายเที่ยว!$T$6:$T$10005,$J225))</f>
        <v/>
      </c>
      <c r="L225" t="str">
        <f>IF($J225="","",INDEX(บันทึกรายเที่ยว!$S$6:$S$10005,$J225))</f>
        <v/>
      </c>
      <c r="M225" t="str">
        <f>IF($J225="","",INDEX(บันทึกรายเที่ยว!$R$6:$R$10005,$J225))</f>
        <v/>
      </c>
      <c r="N225" t="str">
        <f>IF($J225="","",MATCH($M225,บันทึกรายเที่ยว!$R$6:$R$10005,0))</f>
        <v/>
      </c>
      <c r="O225" t="str">
        <f>IF($J225="","",MATCH($L225,บันทึกรายเที่ยว!$S$6:$S$10005,0))</f>
        <v/>
      </c>
      <c r="P225" t="str">
        <f>IF($J225="","",IF(AND(OR($I$3="(ทั้งหมด)",INDEX(บันทึกรายเที่ยว!$C$6:$C$10005,$J225)=$I$3),OR($I$5="(ทั้งหมด)",INDEX(บันทึกรายเที่ยว!$D$6:$D$10005,$J225)=$I$5),OR($I$7="(ทั้งหมด)",INDEX(บันทึกรายเที่ยว!$F$6:$F$10005,$J225)=$I$7)),$N225*10000000+$O225*1000+218,""))</f>
        <v/>
      </c>
      <c r="Q225" t="str">
        <f>IFERROR(MATCH(SMALL($P$8:$P$407,218),$P$8:$P$407,0),"")</f>
        <v/>
      </c>
      <c r="R225" t="str">
        <f t="shared" si="49"/>
        <v/>
      </c>
      <c r="S225" t="str">
        <f t="shared" si="50"/>
        <v/>
      </c>
      <c r="T225" t="str">
        <f t="shared" si="51"/>
        <v/>
      </c>
      <c r="U225" t="str">
        <f t="shared" si="52"/>
        <v/>
      </c>
      <c r="V225">
        <f t="shared" si="54"/>
        <v>0</v>
      </c>
      <c r="W225">
        <f t="shared" si="55"/>
        <v>0</v>
      </c>
      <c r="X225">
        <f>IF($Q225="",99999+218,$X224+1+$V224+$W224)</f>
        <v>100217</v>
      </c>
      <c r="Y225" t="str">
        <f>IF($Q225="","",INDEX(บันทึกรายเที่ยว!$Q$6:$Q$10005,$R225))</f>
        <v/>
      </c>
      <c r="Z225" t="str">
        <f>IF($Q225="","",INDEX(บันทึกรายเที่ยว!$F$6:$F$10005,$R225))</f>
        <v/>
      </c>
      <c r="AA225" t="str">
        <f>IFERROR(MATCH(218,$X$8:$X$407,1),"")</f>
        <v/>
      </c>
      <c r="AB225" t="str">
        <f>IF(218=$AD$1+1,"G",IF($AA225="","",IF(INDEX($Q$8:$Q$407,$AA225)="","",IF(218&gt;INDEX($X$8:$X$407,$AA225)+INDEX($V$8:$V$407,$AA225)+INDEX($W$8:$W$407,$AA225),"",IF(218=INDEX($X$8:$X$407,$AA225)+INDEX($V$8:$V$407,$AA225)+INDEX($W$8:$W$407,$AA225),"D",IF(AND(INDEX($W$8:$W$407,$AA225)=1,218=INDEX($X$8:$X$407,$AA225)+INDEX($V$8:$V$407,$AA225)),"S","R"))))))</f>
        <v/>
      </c>
      <c r="AC225" t="str">
        <f t="shared" si="53"/>
        <v/>
      </c>
      <c r="AE225">
        <f>IF($U225="",0,COUNTIF(บันทึกรายเที่ยว!$T$6:$T$10005,$U225))</f>
        <v>0</v>
      </c>
      <c r="AF225">
        <f>IF($U225="",0,ROUND(SUMIF(บันทึกรายเที่ยว!$T$6:$T$10005,$U225,บันทึกรายเที่ยว!$J$6:$J$10005),2))</f>
        <v>0</v>
      </c>
      <c r="AG225">
        <f>IF($U225="",0,ROUND(SUMIF(บันทึกรายเที่ยว!$T$6:$T$10005,$U225,บันทึกรายเที่ยว!$K$6:$K$10005),2))</f>
        <v>0</v>
      </c>
      <c r="AH225">
        <f>IF($U225="",0,ROUND(SUMIF(บันทึกรายเที่ยว!$T$6:$T$10005,$U225,บันทึกรายเที่ยว!$M$6:$M$10005),2))</f>
        <v>0</v>
      </c>
    </row>
    <row r="226" spans="1:34" ht="21" customHeight="1" x14ac:dyDescent="0.95">
      <c r="A226" s="3" t="str">
        <f t="shared" si="42"/>
        <v/>
      </c>
      <c r="B226" s="3" t="str">
        <f t="shared" si="43"/>
        <v/>
      </c>
      <c r="C226" s="8" t="str">
        <f t="shared" si="44"/>
        <v/>
      </c>
      <c r="D226" s="31" t="str">
        <f t="shared" si="45"/>
        <v/>
      </c>
      <c r="E226" s="32" t="str">
        <f>IF(219=$AD$1+3,"ขอแสดงความนับถือ",IF(219=$AD$1+6,"(                 )",IF(219=$AD$1+7,"เจ้าหน้าที่ขนส่ง",IF($AB226="G",SUM($AF$8:$AF$407),IF(OR($AB226="",$AB226="R"),"",IF($AB226="D",INDEX($AF$8:$AF$407,$AA226),SUMIF($T$8:$T$407,INDEX($T$8:$T$407,$AA226),$AF$8:$AF$407)))))))</f>
        <v/>
      </c>
      <c r="F226" s="32" t="str">
        <f t="shared" si="46"/>
        <v/>
      </c>
      <c r="G226" s="32" t="str">
        <f t="shared" si="47"/>
        <v/>
      </c>
      <c r="H226" s="32" t="str">
        <f t="shared" si="48"/>
        <v/>
      </c>
      <c r="J226" t="str">
        <f>IFERROR(MATCH(219,บันทึกรายเที่ยว!$W$6:$W$10005,0),"")</f>
        <v/>
      </c>
      <c r="K226" t="str">
        <f>IF($J226="","",INDEX(บันทึกรายเที่ยว!$T$6:$T$10005,$J226))</f>
        <v/>
      </c>
      <c r="L226" t="str">
        <f>IF($J226="","",INDEX(บันทึกรายเที่ยว!$S$6:$S$10005,$J226))</f>
        <v/>
      </c>
      <c r="M226" t="str">
        <f>IF($J226="","",INDEX(บันทึกรายเที่ยว!$R$6:$R$10005,$J226))</f>
        <v/>
      </c>
      <c r="N226" t="str">
        <f>IF($J226="","",MATCH($M226,บันทึกรายเที่ยว!$R$6:$R$10005,0))</f>
        <v/>
      </c>
      <c r="O226" t="str">
        <f>IF($J226="","",MATCH($L226,บันทึกรายเที่ยว!$S$6:$S$10005,0))</f>
        <v/>
      </c>
      <c r="P226" t="str">
        <f>IF($J226="","",IF(AND(OR($I$3="(ทั้งหมด)",INDEX(บันทึกรายเที่ยว!$C$6:$C$10005,$J226)=$I$3),OR($I$5="(ทั้งหมด)",INDEX(บันทึกรายเที่ยว!$D$6:$D$10005,$J226)=$I$5),OR($I$7="(ทั้งหมด)",INDEX(บันทึกรายเที่ยว!$F$6:$F$10005,$J226)=$I$7)),$N226*10000000+$O226*1000+219,""))</f>
        <v/>
      </c>
      <c r="Q226" t="str">
        <f>IFERROR(MATCH(SMALL($P$8:$P$407,219),$P$8:$P$407,0),"")</f>
        <v/>
      </c>
      <c r="R226" t="str">
        <f t="shared" si="49"/>
        <v/>
      </c>
      <c r="S226" t="str">
        <f t="shared" si="50"/>
        <v/>
      </c>
      <c r="T226" t="str">
        <f t="shared" si="51"/>
        <v/>
      </c>
      <c r="U226" t="str">
        <f t="shared" si="52"/>
        <v/>
      </c>
      <c r="V226">
        <f t="shared" si="54"/>
        <v>0</v>
      </c>
      <c r="W226">
        <f t="shared" si="55"/>
        <v>0</v>
      </c>
      <c r="X226">
        <f>IF($Q226="",99999+219,$X225+1+$V225+$W225)</f>
        <v>100218</v>
      </c>
      <c r="Y226" t="str">
        <f>IF($Q226="","",INDEX(บันทึกรายเที่ยว!$Q$6:$Q$10005,$R226))</f>
        <v/>
      </c>
      <c r="Z226" t="str">
        <f>IF($Q226="","",INDEX(บันทึกรายเที่ยว!$F$6:$F$10005,$R226))</f>
        <v/>
      </c>
      <c r="AA226" t="str">
        <f>IFERROR(MATCH(219,$X$8:$X$407,1),"")</f>
        <v/>
      </c>
      <c r="AB226" t="str">
        <f>IF(219=$AD$1+1,"G",IF($AA226="","",IF(INDEX($Q$8:$Q$407,$AA226)="","",IF(219&gt;INDEX($X$8:$X$407,$AA226)+INDEX($V$8:$V$407,$AA226)+INDEX($W$8:$W$407,$AA226),"",IF(219=INDEX($X$8:$X$407,$AA226)+INDEX($V$8:$V$407,$AA226)+INDEX($W$8:$W$407,$AA226),"D",IF(AND(INDEX($W$8:$W$407,$AA226)=1,219=INDEX($X$8:$X$407,$AA226)+INDEX($V$8:$V$407,$AA226)),"S","R"))))))</f>
        <v/>
      </c>
      <c r="AC226" t="str">
        <f t="shared" si="53"/>
        <v/>
      </c>
      <c r="AE226">
        <f>IF($U226="",0,COUNTIF(บันทึกรายเที่ยว!$T$6:$T$10005,$U226))</f>
        <v>0</v>
      </c>
      <c r="AF226">
        <f>IF($U226="",0,ROUND(SUMIF(บันทึกรายเที่ยว!$T$6:$T$10005,$U226,บันทึกรายเที่ยว!$J$6:$J$10005),2))</f>
        <v>0</v>
      </c>
      <c r="AG226">
        <f>IF($U226="",0,ROUND(SUMIF(บันทึกรายเที่ยว!$T$6:$T$10005,$U226,บันทึกรายเที่ยว!$K$6:$K$10005),2))</f>
        <v>0</v>
      </c>
      <c r="AH226">
        <f>IF($U226="",0,ROUND(SUMIF(บันทึกรายเที่ยว!$T$6:$T$10005,$U226,บันทึกรายเที่ยว!$M$6:$M$10005),2))</f>
        <v>0</v>
      </c>
    </row>
    <row r="227" spans="1:34" ht="21" customHeight="1" x14ac:dyDescent="0.95">
      <c r="A227" s="3" t="str">
        <f t="shared" si="42"/>
        <v/>
      </c>
      <c r="B227" s="3" t="str">
        <f t="shared" si="43"/>
        <v/>
      </c>
      <c r="C227" s="8" t="str">
        <f t="shared" si="44"/>
        <v/>
      </c>
      <c r="D227" s="31" t="str">
        <f t="shared" si="45"/>
        <v/>
      </c>
      <c r="E227" s="32" t="str">
        <f>IF(220=$AD$1+3,"ขอแสดงความนับถือ",IF(220=$AD$1+6,"(                 )",IF(220=$AD$1+7,"เจ้าหน้าที่ขนส่ง",IF($AB227="G",SUM($AF$8:$AF$407),IF(OR($AB227="",$AB227="R"),"",IF($AB227="D",INDEX($AF$8:$AF$407,$AA227),SUMIF($T$8:$T$407,INDEX($T$8:$T$407,$AA227),$AF$8:$AF$407)))))))</f>
        <v/>
      </c>
      <c r="F227" s="32" t="str">
        <f t="shared" si="46"/>
        <v/>
      </c>
      <c r="G227" s="32" t="str">
        <f t="shared" si="47"/>
        <v/>
      </c>
      <c r="H227" s="32" t="str">
        <f t="shared" si="48"/>
        <v/>
      </c>
      <c r="J227" t="str">
        <f>IFERROR(MATCH(220,บันทึกรายเที่ยว!$W$6:$W$10005,0),"")</f>
        <v/>
      </c>
      <c r="K227" t="str">
        <f>IF($J227="","",INDEX(บันทึกรายเที่ยว!$T$6:$T$10005,$J227))</f>
        <v/>
      </c>
      <c r="L227" t="str">
        <f>IF($J227="","",INDEX(บันทึกรายเที่ยว!$S$6:$S$10005,$J227))</f>
        <v/>
      </c>
      <c r="M227" t="str">
        <f>IF($J227="","",INDEX(บันทึกรายเที่ยว!$R$6:$R$10005,$J227))</f>
        <v/>
      </c>
      <c r="N227" t="str">
        <f>IF($J227="","",MATCH($M227,บันทึกรายเที่ยว!$R$6:$R$10005,0))</f>
        <v/>
      </c>
      <c r="O227" t="str">
        <f>IF($J227="","",MATCH($L227,บันทึกรายเที่ยว!$S$6:$S$10005,0))</f>
        <v/>
      </c>
      <c r="P227" t="str">
        <f>IF($J227="","",IF(AND(OR($I$3="(ทั้งหมด)",INDEX(บันทึกรายเที่ยว!$C$6:$C$10005,$J227)=$I$3),OR($I$5="(ทั้งหมด)",INDEX(บันทึกรายเที่ยว!$D$6:$D$10005,$J227)=$I$5),OR($I$7="(ทั้งหมด)",INDEX(บันทึกรายเที่ยว!$F$6:$F$10005,$J227)=$I$7)),$N227*10000000+$O227*1000+220,""))</f>
        <v/>
      </c>
      <c r="Q227" t="str">
        <f>IFERROR(MATCH(SMALL($P$8:$P$407,220),$P$8:$P$407,0),"")</f>
        <v/>
      </c>
      <c r="R227" t="str">
        <f t="shared" si="49"/>
        <v/>
      </c>
      <c r="S227" t="str">
        <f t="shared" si="50"/>
        <v/>
      </c>
      <c r="T227" t="str">
        <f t="shared" si="51"/>
        <v/>
      </c>
      <c r="U227" t="str">
        <f t="shared" si="52"/>
        <v/>
      </c>
      <c r="V227">
        <f t="shared" si="54"/>
        <v>0</v>
      </c>
      <c r="W227">
        <f t="shared" si="55"/>
        <v>0</v>
      </c>
      <c r="X227">
        <f>IF($Q227="",99999+220,$X226+1+$V226+$W226)</f>
        <v>100219</v>
      </c>
      <c r="Y227" t="str">
        <f>IF($Q227="","",INDEX(บันทึกรายเที่ยว!$Q$6:$Q$10005,$R227))</f>
        <v/>
      </c>
      <c r="Z227" t="str">
        <f>IF($Q227="","",INDEX(บันทึกรายเที่ยว!$F$6:$F$10005,$R227))</f>
        <v/>
      </c>
      <c r="AA227" t="str">
        <f>IFERROR(MATCH(220,$X$8:$X$407,1),"")</f>
        <v/>
      </c>
      <c r="AB227" t="str">
        <f>IF(220=$AD$1+1,"G",IF($AA227="","",IF(INDEX($Q$8:$Q$407,$AA227)="","",IF(220&gt;INDEX($X$8:$X$407,$AA227)+INDEX($V$8:$V$407,$AA227)+INDEX($W$8:$W$407,$AA227),"",IF(220=INDEX($X$8:$X$407,$AA227)+INDEX($V$8:$V$407,$AA227)+INDEX($W$8:$W$407,$AA227),"D",IF(AND(INDEX($W$8:$W$407,$AA227)=1,220=INDEX($X$8:$X$407,$AA227)+INDEX($V$8:$V$407,$AA227)),"S","R"))))))</f>
        <v/>
      </c>
      <c r="AC227" t="str">
        <f t="shared" si="53"/>
        <v/>
      </c>
      <c r="AE227">
        <f>IF($U227="",0,COUNTIF(บันทึกรายเที่ยว!$T$6:$T$10005,$U227))</f>
        <v>0</v>
      </c>
      <c r="AF227">
        <f>IF($U227="",0,ROUND(SUMIF(บันทึกรายเที่ยว!$T$6:$T$10005,$U227,บันทึกรายเที่ยว!$J$6:$J$10005),2))</f>
        <v>0</v>
      </c>
      <c r="AG227">
        <f>IF($U227="",0,ROUND(SUMIF(บันทึกรายเที่ยว!$T$6:$T$10005,$U227,บันทึกรายเที่ยว!$K$6:$K$10005),2))</f>
        <v>0</v>
      </c>
      <c r="AH227">
        <f>IF($U227="",0,ROUND(SUMIF(บันทึกรายเที่ยว!$T$6:$T$10005,$U227,บันทึกรายเที่ยว!$M$6:$M$10005),2))</f>
        <v>0</v>
      </c>
    </row>
    <row r="228" spans="1:34" ht="21" customHeight="1" x14ac:dyDescent="0.95">
      <c r="A228" s="3" t="str">
        <f t="shared" si="42"/>
        <v/>
      </c>
      <c r="B228" s="3" t="str">
        <f t="shared" si="43"/>
        <v/>
      </c>
      <c r="C228" s="8" t="str">
        <f t="shared" si="44"/>
        <v/>
      </c>
      <c r="D228" s="31" t="str">
        <f t="shared" si="45"/>
        <v/>
      </c>
      <c r="E228" s="32" t="str">
        <f>IF(221=$AD$1+3,"ขอแสดงความนับถือ",IF(221=$AD$1+6,"(                 )",IF(221=$AD$1+7,"เจ้าหน้าที่ขนส่ง",IF($AB228="G",SUM($AF$8:$AF$407),IF(OR($AB228="",$AB228="R"),"",IF($AB228="D",INDEX($AF$8:$AF$407,$AA228),SUMIF($T$8:$T$407,INDEX($T$8:$T$407,$AA228),$AF$8:$AF$407)))))))</f>
        <v/>
      </c>
      <c r="F228" s="32" t="str">
        <f t="shared" si="46"/>
        <v/>
      </c>
      <c r="G228" s="32" t="str">
        <f t="shared" si="47"/>
        <v/>
      </c>
      <c r="H228" s="32" t="str">
        <f t="shared" si="48"/>
        <v/>
      </c>
      <c r="J228" t="str">
        <f>IFERROR(MATCH(221,บันทึกรายเที่ยว!$W$6:$W$10005,0),"")</f>
        <v/>
      </c>
      <c r="K228" t="str">
        <f>IF($J228="","",INDEX(บันทึกรายเที่ยว!$T$6:$T$10005,$J228))</f>
        <v/>
      </c>
      <c r="L228" t="str">
        <f>IF($J228="","",INDEX(บันทึกรายเที่ยว!$S$6:$S$10005,$J228))</f>
        <v/>
      </c>
      <c r="M228" t="str">
        <f>IF($J228="","",INDEX(บันทึกรายเที่ยว!$R$6:$R$10005,$J228))</f>
        <v/>
      </c>
      <c r="N228" t="str">
        <f>IF($J228="","",MATCH($M228,บันทึกรายเที่ยว!$R$6:$R$10005,0))</f>
        <v/>
      </c>
      <c r="O228" t="str">
        <f>IF($J228="","",MATCH($L228,บันทึกรายเที่ยว!$S$6:$S$10005,0))</f>
        <v/>
      </c>
      <c r="P228" t="str">
        <f>IF($J228="","",IF(AND(OR($I$3="(ทั้งหมด)",INDEX(บันทึกรายเที่ยว!$C$6:$C$10005,$J228)=$I$3),OR($I$5="(ทั้งหมด)",INDEX(บันทึกรายเที่ยว!$D$6:$D$10005,$J228)=$I$5),OR($I$7="(ทั้งหมด)",INDEX(บันทึกรายเที่ยว!$F$6:$F$10005,$J228)=$I$7)),$N228*10000000+$O228*1000+221,""))</f>
        <v/>
      </c>
      <c r="Q228" t="str">
        <f>IFERROR(MATCH(SMALL($P$8:$P$407,221),$P$8:$P$407,0),"")</f>
        <v/>
      </c>
      <c r="R228" t="str">
        <f t="shared" si="49"/>
        <v/>
      </c>
      <c r="S228" t="str">
        <f t="shared" si="50"/>
        <v/>
      </c>
      <c r="T228" t="str">
        <f t="shared" si="51"/>
        <v/>
      </c>
      <c r="U228" t="str">
        <f t="shared" si="52"/>
        <v/>
      </c>
      <c r="V228">
        <f t="shared" si="54"/>
        <v>0</v>
      </c>
      <c r="W228">
        <f t="shared" si="55"/>
        <v>0</v>
      </c>
      <c r="X228">
        <f>IF($Q228="",99999+221,$X227+1+$V227+$W227)</f>
        <v>100220</v>
      </c>
      <c r="Y228" t="str">
        <f>IF($Q228="","",INDEX(บันทึกรายเที่ยว!$Q$6:$Q$10005,$R228))</f>
        <v/>
      </c>
      <c r="Z228" t="str">
        <f>IF($Q228="","",INDEX(บันทึกรายเที่ยว!$F$6:$F$10005,$R228))</f>
        <v/>
      </c>
      <c r="AA228" t="str">
        <f>IFERROR(MATCH(221,$X$8:$X$407,1),"")</f>
        <v/>
      </c>
      <c r="AB228" t="str">
        <f>IF(221=$AD$1+1,"G",IF($AA228="","",IF(INDEX($Q$8:$Q$407,$AA228)="","",IF(221&gt;INDEX($X$8:$X$407,$AA228)+INDEX($V$8:$V$407,$AA228)+INDEX($W$8:$W$407,$AA228),"",IF(221=INDEX($X$8:$X$407,$AA228)+INDEX($V$8:$V$407,$AA228)+INDEX($W$8:$W$407,$AA228),"D",IF(AND(INDEX($W$8:$W$407,$AA228)=1,221=INDEX($X$8:$X$407,$AA228)+INDEX($V$8:$V$407,$AA228)),"S","R"))))))</f>
        <v/>
      </c>
      <c r="AC228" t="str">
        <f t="shared" si="53"/>
        <v/>
      </c>
      <c r="AE228">
        <f>IF($U228="",0,COUNTIF(บันทึกรายเที่ยว!$T$6:$T$10005,$U228))</f>
        <v>0</v>
      </c>
      <c r="AF228">
        <f>IF($U228="",0,ROUND(SUMIF(บันทึกรายเที่ยว!$T$6:$T$10005,$U228,บันทึกรายเที่ยว!$J$6:$J$10005),2))</f>
        <v>0</v>
      </c>
      <c r="AG228">
        <f>IF($U228="",0,ROUND(SUMIF(บันทึกรายเที่ยว!$T$6:$T$10005,$U228,บันทึกรายเที่ยว!$K$6:$K$10005),2))</f>
        <v>0</v>
      </c>
      <c r="AH228">
        <f>IF($U228="",0,ROUND(SUMIF(บันทึกรายเที่ยว!$T$6:$T$10005,$U228,บันทึกรายเที่ยว!$M$6:$M$10005),2))</f>
        <v>0</v>
      </c>
    </row>
    <row r="229" spans="1:34" ht="21" customHeight="1" x14ac:dyDescent="0.95">
      <c r="A229" s="3" t="str">
        <f t="shared" si="42"/>
        <v/>
      </c>
      <c r="B229" s="3" t="str">
        <f t="shared" si="43"/>
        <v/>
      </c>
      <c r="C229" s="8" t="str">
        <f t="shared" si="44"/>
        <v/>
      </c>
      <c r="D229" s="31" t="str">
        <f t="shared" si="45"/>
        <v/>
      </c>
      <c r="E229" s="32" t="str">
        <f>IF(222=$AD$1+3,"ขอแสดงความนับถือ",IF(222=$AD$1+6,"(                 )",IF(222=$AD$1+7,"เจ้าหน้าที่ขนส่ง",IF($AB229="G",SUM($AF$8:$AF$407),IF(OR($AB229="",$AB229="R"),"",IF($AB229="D",INDEX($AF$8:$AF$407,$AA229),SUMIF($T$8:$T$407,INDEX($T$8:$T$407,$AA229),$AF$8:$AF$407)))))))</f>
        <v/>
      </c>
      <c r="F229" s="32" t="str">
        <f t="shared" si="46"/>
        <v/>
      </c>
      <c r="G229" s="32" t="str">
        <f t="shared" si="47"/>
        <v/>
      </c>
      <c r="H229" s="32" t="str">
        <f t="shared" si="48"/>
        <v/>
      </c>
      <c r="J229" t="str">
        <f>IFERROR(MATCH(222,บันทึกรายเที่ยว!$W$6:$W$10005,0),"")</f>
        <v/>
      </c>
      <c r="K229" t="str">
        <f>IF($J229="","",INDEX(บันทึกรายเที่ยว!$T$6:$T$10005,$J229))</f>
        <v/>
      </c>
      <c r="L229" t="str">
        <f>IF($J229="","",INDEX(บันทึกรายเที่ยว!$S$6:$S$10005,$J229))</f>
        <v/>
      </c>
      <c r="M229" t="str">
        <f>IF($J229="","",INDEX(บันทึกรายเที่ยว!$R$6:$R$10005,$J229))</f>
        <v/>
      </c>
      <c r="N229" t="str">
        <f>IF($J229="","",MATCH($M229,บันทึกรายเที่ยว!$R$6:$R$10005,0))</f>
        <v/>
      </c>
      <c r="O229" t="str">
        <f>IF($J229="","",MATCH($L229,บันทึกรายเที่ยว!$S$6:$S$10005,0))</f>
        <v/>
      </c>
      <c r="P229" t="str">
        <f>IF($J229="","",IF(AND(OR($I$3="(ทั้งหมด)",INDEX(บันทึกรายเที่ยว!$C$6:$C$10005,$J229)=$I$3),OR($I$5="(ทั้งหมด)",INDEX(บันทึกรายเที่ยว!$D$6:$D$10005,$J229)=$I$5),OR($I$7="(ทั้งหมด)",INDEX(บันทึกรายเที่ยว!$F$6:$F$10005,$J229)=$I$7)),$N229*10000000+$O229*1000+222,""))</f>
        <v/>
      </c>
      <c r="Q229" t="str">
        <f>IFERROR(MATCH(SMALL($P$8:$P$407,222),$P$8:$P$407,0),"")</f>
        <v/>
      </c>
      <c r="R229" t="str">
        <f t="shared" si="49"/>
        <v/>
      </c>
      <c r="S229" t="str">
        <f t="shared" si="50"/>
        <v/>
      </c>
      <c r="T229" t="str">
        <f t="shared" si="51"/>
        <v/>
      </c>
      <c r="U229" t="str">
        <f t="shared" si="52"/>
        <v/>
      </c>
      <c r="V229">
        <f t="shared" si="54"/>
        <v>0</v>
      </c>
      <c r="W229">
        <f t="shared" si="55"/>
        <v>0</v>
      </c>
      <c r="X229">
        <f>IF($Q229="",99999+222,$X228+1+$V228+$W228)</f>
        <v>100221</v>
      </c>
      <c r="Y229" t="str">
        <f>IF($Q229="","",INDEX(บันทึกรายเที่ยว!$Q$6:$Q$10005,$R229))</f>
        <v/>
      </c>
      <c r="Z229" t="str">
        <f>IF($Q229="","",INDEX(บันทึกรายเที่ยว!$F$6:$F$10005,$R229))</f>
        <v/>
      </c>
      <c r="AA229" t="str">
        <f>IFERROR(MATCH(222,$X$8:$X$407,1),"")</f>
        <v/>
      </c>
      <c r="AB229" t="str">
        <f>IF(222=$AD$1+1,"G",IF($AA229="","",IF(INDEX($Q$8:$Q$407,$AA229)="","",IF(222&gt;INDEX($X$8:$X$407,$AA229)+INDEX($V$8:$V$407,$AA229)+INDEX($W$8:$W$407,$AA229),"",IF(222=INDEX($X$8:$X$407,$AA229)+INDEX($V$8:$V$407,$AA229)+INDEX($W$8:$W$407,$AA229),"D",IF(AND(INDEX($W$8:$W$407,$AA229)=1,222=INDEX($X$8:$X$407,$AA229)+INDEX($V$8:$V$407,$AA229)),"S","R"))))))</f>
        <v/>
      </c>
      <c r="AC229" t="str">
        <f t="shared" si="53"/>
        <v/>
      </c>
      <c r="AE229">
        <f>IF($U229="",0,COUNTIF(บันทึกรายเที่ยว!$T$6:$T$10005,$U229))</f>
        <v>0</v>
      </c>
      <c r="AF229">
        <f>IF($U229="",0,ROUND(SUMIF(บันทึกรายเที่ยว!$T$6:$T$10005,$U229,บันทึกรายเที่ยว!$J$6:$J$10005),2))</f>
        <v>0</v>
      </c>
      <c r="AG229">
        <f>IF($U229="",0,ROUND(SUMIF(บันทึกรายเที่ยว!$T$6:$T$10005,$U229,บันทึกรายเที่ยว!$K$6:$K$10005),2))</f>
        <v>0</v>
      </c>
      <c r="AH229">
        <f>IF($U229="",0,ROUND(SUMIF(บันทึกรายเที่ยว!$T$6:$T$10005,$U229,บันทึกรายเที่ยว!$M$6:$M$10005),2))</f>
        <v>0</v>
      </c>
    </row>
    <row r="230" spans="1:34" ht="21" customHeight="1" x14ac:dyDescent="0.95">
      <c r="A230" s="3" t="str">
        <f t="shared" si="42"/>
        <v/>
      </c>
      <c r="B230" s="3" t="str">
        <f t="shared" si="43"/>
        <v/>
      </c>
      <c r="C230" s="8" t="str">
        <f t="shared" si="44"/>
        <v/>
      </c>
      <c r="D230" s="31" t="str">
        <f t="shared" si="45"/>
        <v/>
      </c>
      <c r="E230" s="32" t="str">
        <f>IF(223=$AD$1+3,"ขอแสดงความนับถือ",IF(223=$AD$1+6,"(                 )",IF(223=$AD$1+7,"เจ้าหน้าที่ขนส่ง",IF($AB230="G",SUM($AF$8:$AF$407),IF(OR($AB230="",$AB230="R"),"",IF($AB230="D",INDEX($AF$8:$AF$407,$AA230),SUMIF($T$8:$T$407,INDEX($T$8:$T$407,$AA230),$AF$8:$AF$407)))))))</f>
        <v/>
      </c>
      <c r="F230" s="32" t="str">
        <f t="shared" si="46"/>
        <v/>
      </c>
      <c r="G230" s="32" t="str">
        <f t="shared" si="47"/>
        <v/>
      </c>
      <c r="H230" s="32" t="str">
        <f t="shared" si="48"/>
        <v/>
      </c>
      <c r="J230" t="str">
        <f>IFERROR(MATCH(223,บันทึกรายเที่ยว!$W$6:$W$10005,0),"")</f>
        <v/>
      </c>
      <c r="K230" t="str">
        <f>IF($J230="","",INDEX(บันทึกรายเที่ยว!$T$6:$T$10005,$J230))</f>
        <v/>
      </c>
      <c r="L230" t="str">
        <f>IF($J230="","",INDEX(บันทึกรายเที่ยว!$S$6:$S$10005,$J230))</f>
        <v/>
      </c>
      <c r="M230" t="str">
        <f>IF($J230="","",INDEX(บันทึกรายเที่ยว!$R$6:$R$10005,$J230))</f>
        <v/>
      </c>
      <c r="N230" t="str">
        <f>IF($J230="","",MATCH($M230,บันทึกรายเที่ยว!$R$6:$R$10005,0))</f>
        <v/>
      </c>
      <c r="O230" t="str">
        <f>IF($J230="","",MATCH($L230,บันทึกรายเที่ยว!$S$6:$S$10005,0))</f>
        <v/>
      </c>
      <c r="P230" t="str">
        <f>IF($J230="","",IF(AND(OR($I$3="(ทั้งหมด)",INDEX(บันทึกรายเที่ยว!$C$6:$C$10005,$J230)=$I$3),OR($I$5="(ทั้งหมด)",INDEX(บันทึกรายเที่ยว!$D$6:$D$10005,$J230)=$I$5),OR($I$7="(ทั้งหมด)",INDEX(บันทึกรายเที่ยว!$F$6:$F$10005,$J230)=$I$7)),$N230*10000000+$O230*1000+223,""))</f>
        <v/>
      </c>
      <c r="Q230" t="str">
        <f>IFERROR(MATCH(SMALL($P$8:$P$407,223),$P$8:$P$407,0),"")</f>
        <v/>
      </c>
      <c r="R230" t="str">
        <f t="shared" si="49"/>
        <v/>
      </c>
      <c r="S230" t="str">
        <f t="shared" si="50"/>
        <v/>
      </c>
      <c r="T230" t="str">
        <f t="shared" si="51"/>
        <v/>
      </c>
      <c r="U230" t="str">
        <f t="shared" si="52"/>
        <v/>
      </c>
      <c r="V230">
        <f t="shared" si="54"/>
        <v>0</v>
      </c>
      <c r="W230">
        <f t="shared" si="55"/>
        <v>0</v>
      </c>
      <c r="X230">
        <f>IF($Q230="",99999+223,$X229+1+$V229+$W229)</f>
        <v>100222</v>
      </c>
      <c r="Y230" t="str">
        <f>IF($Q230="","",INDEX(บันทึกรายเที่ยว!$Q$6:$Q$10005,$R230))</f>
        <v/>
      </c>
      <c r="Z230" t="str">
        <f>IF($Q230="","",INDEX(บันทึกรายเที่ยว!$F$6:$F$10005,$R230))</f>
        <v/>
      </c>
      <c r="AA230" t="str">
        <f>IFERROR(MATCH(223,$X$8:$X$407,1),"")</f>
        <v/>
      </c>
      <c r="AB230" t="str">
        <f>IF(223=$AD$1+1,"G",IF($AA230="","",IF(INDEX($Q$8:$Q$407,$AA230)="","",IF(223&gt;INDEX($X$8:$X$407,$AA230)+INDEX($V$8:$V$407,$AA230)+INDEX($W$8:$W$407,$AA230),"",IF(223=INDEX($X$8:$X$407,$AA230)+INDEX($V$8:$V$407,$AA230)+INDEX($W$8:$W$407,$AA230),"D",IF(AND(INDEX($W$8:$W$407,$AA230)=1,223=INDEX($X$8:$X$407,$AA230)+INDEX($V$8:$V$407,$AA230)),"S","R"))))))</f>
        <v/>
      </c>
      <c r="AC230" t="str">
        <f t="shared" si="53"/>
        <v/>
      </c>
      <c r="AE230">
        <f>IF($U230="",0,COUNTIF(บันทึกรายเที่ยว!$T$6:$T$10005,$U230))</f>
        <v>0</v>
      </c>
      <c r="AF230">
        <f>IF($U230="",0,ROUND(SUMIF(บันทึกรายเที่ยว!$T$6:$T$10005,$U230,บันทึกรายเที่ยว!$J$6:$J$10005),2))</f>
        <v>0</v>
      </c>
      <c r="AG230">
        <f>IF($U230="",0,ROUND(SUMIF(บันทึกรายเที่ยว!$T$6:$T$10005,$U230,บันทึกรายเที่ยว!$K$6:$K$10005),2))</f>
        <v>0</v>
      </c>
      <c r="AH230">
        <f>IF($U230="",0,ROUND(SUMIF(บันทึกรายเที่ยว!$T$6:$T$10005,$U230,บันทึกรายเที่ยว!$M$6:$M$10005),2))</f>
        <v>0</v>
      </c>
    </row>
    <row r="231" spans="1:34" ht="21" customHeight="1" x14ac:dyDescent="0.95">
      <c r="A231" s="3" t="str">
        <f t="shared" si="42"/>
        <v/>
      </c>
      <c r="B231" s="3" t="str">
        <f t="shared" si="43"/>
        <v/>
      </c>
      <c r="C231" s="8" t="str">
        <f t="shared" si="44"/>
        <v/>
      </c>
      <c r="D231" s="31" t="str">
        <f t="shared" si="45"/>
        <v/>
      </c>
      <c r="E231" s="32" t="str">
        <f>IF(224=$AD$1+3,"ขอแสดงความนับถือ",IF(224=$AD$1+6,"(                 )",IF(224=$AD$1+7,"เจ้าหน้าที่ขนส่ง",IF($AB231="G",SUM($AF$8:$AF$407),IF(OR($AB231="",$AB231="R"),"",IF($AB231="D",INDEX($AF$8:$AF$407,$AA231),SUMIF($T$8:$T$407,INDEX($T$8:$T$407,$AA231),$AF$8:$AF$407)))))))</f>
        <v/>
      </c>
      <c r="F231" s="32" t="str">
        <f t="shared" si="46"/>
        <v/>
      </c>
      <c r="G231" s="32" t="str">
        <f t="shared" si="47"/>
        <v/>
      </c>
      <c r="H231" s="32" t="str">
        <f t="shared" si="48"/>
        <v/>
      </c>
      <c r="J231" t="str">
        <f>IFERROR(MATCH(224,บันทึกรายเที่ยว!$W$6:$W$10005,0),"")</f>
        <v/>
      </c>
      <c r="K231" t="str">
        <f>IF($J231="","",INDEX(บันทึกรายเที่ยว!$T$6:$T$10005,$J231))</f>
        <v/>
      </c>
      <c r="L231" t="str">
        <f>IF($J231="","",INDEX(บันทึกรายเที่ยว!$S$6:$S$10005,$J231))</f>
        <v/>
      </c>
      <c r="M231" t="str">
        <f>IF($J231="","",INDEX(บันทึกรายเที่ยว!$R$6:$R$10005,$J231))</f>
        <v/>
      </c>
      <c r="N231" t="str">
        <f>IF($J231="","",MATCH($M231,บันทึกรายเที่ยว!$R$6:$R$10005,0))</f>
        <v/>
      </c>
      <c r="O231" t="str">
        <f>IF($J231="","",MATCH($L231,บันทึกรายเที่ยว!$S$6:$S$10005,0))</f>
        <v/>
      </c>
      <c r="P231" t="str">
        <f>IF($J231="","",IF(AND(OR($I$3="(ทั้งหมด)",INDEX(บันทึกรายเที่ยว!$C$6:$C$10005,$J231)=$I$3),OR($I$5="(ทั้งหมด)",INDEX(บันทึกรายเที่ยว!$D$6:$D$10005,$J231)=$I$5),OR($I$7="(ทั้งหมด)",INDEX(บันทึกรายเที่ยว!$F$6:$F$10005,$J231)=$I$7)),$N231*10000000+$O231*1000+224,""))</f>
        <v/>
      </c>
      <c r="Q231" t="str">
        <f>IFERROR(MATCH(SMALL($P$8:$P$407,224),$P$8:$P$407,0),"")</f>
        <v/>
      </c>
      <c r="R231" t="str">
        <f t="shared" si="49"/>
        <v/>
      </c>
      <c r="S231" t="str">
        <f t="shared" si="50"/>
        <v/>
      </c>
      <c r="T231" t="str">
        <f t="shared" si="51"/>
        <v/>
      </c>
      <c r="U231" t="str">
        <f t="shared" si="52"/>
        <v/>
      </c>
      <c r="V231">
        <f t="shared" si="54"/>
        <v>0</v>
      </c>
      <c r="W231">
        <f t="shared" si="55"/>
        <v>0</v>
      </c>
      <c r="X231">
        <f>IF($Q231="",99999+224,$X230+1+$V230+$W230)</f>
        <v>100223</v>
      </c>
      <c r="Y231" t="str">
        <f>IF($Q231="","",INDEX(บันทึกรายเที่ยว!$Q$6:$Q$10005,$R231))</f>
        <v/>
      </c>
      <c r="Z231" t="str">
        <f>IF($Q231="","",INDEX(บันทึกรายเที่ยว!$F$6:$F$10005,$R231))</f>
        <v/>
      </c>
      <c r="AA231" t="str">
        <f>IFERROR(MATCH(224,$X$8:$X$407,1),"")</f>
        <v/>
      </c>
      <c r="AB231" t="str">
        <f>IF(224=$AD$1+1,"G",IF($AA231="","",IF(INDEX($Q$8:$Q$407,$AA231)="","",IF(224&gt;INDEX($X$8:$X$407,$AA231)+INDEX($V$8:$V$407,$AA231)+INDEX($W$8:$W$407,$AA231),"",IF(224=INDEX($X$8:$X$407,$AA231)+INDEX($V$8:$V$407,$AA231)+INDEX($W$8:$W$407,$AA231),"D",IF(AND(INDEX($W$8:$W$407,$AA231)=1,224=INDEX($X$8:$X$407,$AA231)+INDEX($V$8:$V$407,$AA231)),"S","R"))))))</f>
        <v/>
      </c>
      <c r="AC231" t="str">
        <f t="shared" si="53"/>
        <v/>
      </c>
      <c r="AE231">
        <f>IF($U231="",0,COUNTIF(บันทึกรายเที่ยว!$T$6:$T$10005,$U231))</f>
        <v>0</v>
      </c>
      <c r="AF231">
        <f>IF($U231="",0,ROUND(SUMIF(บันทึกรายเที่ยว!$T$6:$T$10005,$U231,บันทึกรายเที่ยว!$J$6:$J$10005),2))</f>
        <v>0</v>
      </c>
      <c r="AG231">
        <f>IF($U231="",0,ROUND(SUMIF(บันทึกรายเที่ยว!$T$6:$T$10005,$U231,บันทึกรายเที่ยว!$K$6:$K$10005),2))</f>
        <v>0</v>
      </c>
      <c r="AH231">
        <f>IF($U231="",0,ROUND(SUMIF(บันทึกรายเที่ยว!$T$6:$T$10005,$U231,บันทึกรายเที่ยว!$M$6:$M$10005),2))</f>
        <v>0</v>
      </c>
    </row>
    <row r="232" spans="1:34" ht="21" customHeight="1" x14ac:dyDescent="0.95">
      <c r="A232" s="3" t="str">
        <f t="shared" si="42"/>
        <v/>
      </c>
      <c r="B232" s="3" t="str">
        <f t="shared" si="43"/>
        <v/>
      </c>
      <c r="C232" s="8" t="str">
        <f t="shared" si="44"/>
        <v/>
      </c>
      <c r="D232" s="31" t="str">
        <f t="shared" si="45"/>
        <v/>
      </c>
      <c r="E232" s="32" t="str">
        <f>IF(225=$AD$1+3,"ขอแสดงความนับถือ",IF(225=$AD$1+6,"(                 )",IF(225=$AD$1+7,"เจ้าหน้าที่ขนส่ง",IF($AB232="G",SUM($AF$8:$AF$407),IF(OR($AB232="",$AB232="R"),"",IF($AB232="D",INDEX($AF$8:$AF$407,$AA232),SUMIF($T$8:$T$407,INDEX($T$8:$T$407,$AA232),$AF$8:$AF$407)))))))</f>
        <v/>
      </c>
      <c r="F232" s="32" t="str">
        <f t="shared" si="46"/>
        <v/>
      </c>
      <c r="G232" s="32" t="str">
        <f t="shared" si="47"/>
        <v/>
      </c>
      <c r="H232" s="32" t="str">
        <f t="shared" si="48"/>
        <v/>
      </c>
      <c r="J232" t="str">
        <f>IFERROR(MATCH(225,บันทึกรายเที่ยว!$W$6:$W$10005,0),"")</f>
        <v/>
      </c>
      <c r="K232" t="str">
        <f>IF($J232="","",INDEX(บันทึกรายเที่ยว!$T$6:$T$10005,$J232))</f>
        <v/>
      </c>
      <c r="L232" t="str">
        <f>IF($J232="","",INDEX(บันทึกรายเที่ยว!$S$6:$S$10005,$J232))</f>
        <v/>
      </c>
      <c r="M232" t="str">
        <f>IF($J232="","",INDEX(บันทึกรายเที่ยว!$R$6:$R$10005,$J232))</f>
        <v/>
      </c>
      <c r="N232" t="str">
        <f>IF($J232="","",MATCH($M232,บันทึกรายเที่ยว!$R$6:$R$10005,0))</f>
        <v/>
      </c>
      <c r="O232" t="str">
        <f>IF($J232="","",MATCH($L232,บันทึกรายเที่ยว!$S$6:$S$10005,0))</f>
        <v/>
      </c>
      <c r="P232" t="str">
        <f>IF($J232="","",IF(AND(OR($I$3="(ทั้งหมด)",INDEX(บันทึกรายเที่ยว!$C$6:$C$10005,$J232)=$I$3),OR($I$5="(ทั้งหมด)",INDEX(บันทึกรายเที่ยว!$D$6:$D$10005,$J232)=$I$5),OR($I$7="(ทั้งหมด)",INDEX(บันทึกรายเที่ยว!$F$6:$F$10005,$J232)=$I$7)),$N232*10000000+$O232*1000+225,""))</f>
        <v/>
      </c>
      <c r="Q232" t="str">
        <f>IFERROR(MATCH(SMALL($P$8:$P$407,225),$P$8:$P$407,0),"")</f>
        <v/>
      </c>
      <c r="R232" t="str">
        <f t="shared" si="49"/>
        <v/>
      </c>
      <c r="S232" t="str">
        <f t="shared" si="50"/>
        <v/>
      </c>
      <c r="T232" t="str">
        <f t="shared" si="51"/>
        <v/>
      </c>
      <c r="U232" t="str">
        <f t="shared" si="52"/>
        <v/>
      </c>
      <c r="V232">
        <f t="shared" si="54"/>
        <v>0</v>
      </c>
      <c r="W232">
        <f t="shared" si="55"/>
        <v>0</v>
      </c>
      <c r="X232">
        <f>IF($Q232="",99999+225,$X231+1+$V231+$W231)</f>
        <v>100224</v>
      </c>
      <c r="Y232" t="str">
        <f>IF($Q232="","",INDEX(บันทึกรายเที่ยว!$Q$6:$Q$10005,$R232))</f>
        <v/>
      </c>
      <c r="Z232" t="str">
        <f>IF($Q232="","",INDEX(บันทึกรายเที่ยว!$F$6:$F$10005,$R232))</f>
        <v/>
      </c>
      <c r="AA232" t="str">
        <f>IFERROR(MATCH(225,$X$8:$X$407,1),"")</f>
        <v/>
      </c>
      <c r="AB232" t="str">
        <f>IF(225=$AD$1+1,"G",IF($AA232="","",IF(INDEX($Q$8:$Q$407,$AA232)="","",IF(225&gt;INDEX($X$8:$X$407,$AA232)+INDEX($V$8:$V$407,$AA232)+INDEX($W$8:$W$407,$AA232),"",IF(225=INDEX($X$8:$X$407,$AA232)+INDEX($V$8:$V$407,$AA232)+INDEX($W$8:$W$407,$AA232),"D",IF(AND(INDEX($W$8:$W$407,$AA232)=1,225=INDEX($X$8:$X$407,$AA232)+INDEX($V$8:$V$407,$AA232)),"S","R"))))))</f>
        <v/>
      </c>
      <c r="AC232" t="str">
        <f t="shared" si="53"/>
        <v/>
      </c>
      <c r="AE232">
        <f>IF($U232="",0,COUNTIF(บันทึกรายเที่ยว!$T$6:$T$10005,$U232))</f>
        <v>0</v>
      </c>
      <c r="AF232">
        <f>IF($U232="",0,ROUND(SUMIF(บันทึกรายเที่ยว!$T$6:$T$10005,$U232,บันทึกรายเที่ยว!$J$6:$J$10005),2))</f>
        <v>0</v>
      </c>
      <c r="AG232">
        <f>IF($U232="",0,ROUND(SUMIF(บันทึกรายเที่ยว!$T$6:$T$10005,$U232,บันทึกรายเที่ยว!$K$6:$K$10005),2))</f>
        <v>0</v>
      </c>
      <c r="AH232">
        <f>IF($U232="",0,ROUND(SUMIF(บันทึกรายเที่ยว!$T$6:$T$10005,$U232,บันทึกรายเที่ยว!$M$6:$M$10005),2))</f>
        <v>0</v>
      </c>
    </row>
    <row r="233" spans="1:34" ht="21" customHeight="1" x14ac:dyDescent="0.95">
      <c r="A233" s="3" t="str">
        <f t="shared" si="42"/>
        <v/>
      </c>
      <c r="B233" s="3" t="str">
        <f t="shared" si="43"/>
        <v/>
      </c>
      <c r="C233" s="8" t="str">
        <f t="shared" si="44"/>
        <v/>
      </c>
      <c r="D233" s="31" t="str">
        <f t="shared" si="45"/>
        <v/>
      </c>
      <c r="E233" s="32" t="str">
        <f>IF(226=$AD$1+3,"ขอแสดงความนับถือ",IF(226=$AD$1+6,"(                 )",IF(226=$AD$1+7,"เจ้าหน้าที่ขนส่ง",IF($AB233="G",SUM($AF$8:$AF$407),IF(OR($AB233="",$AB233="R"),"",IF($AB233="D",INDEX($AF$8:$AF$407,$AA233),SUMIF($T$8:$T$407,INDEX($T$8:$T$407,$AA233),$AF$8:$AF$407)))))))</f>
        <v/>
      </c>
      <c r="F233" s="32" t="str">
        <f t="shared" si="46"/>
        <v/>
      </c>
      <c r="G233" s="32" t="str">
        <f t="shared" si="47"/>
        <v/>
      </c>
      <c r="H233" s="32" t="str">
        <f t="shared" si="48"/>
        <v/>
      </c>
      <c r="J233" t="str">
        <f>IFERROR(MATCH(226,บันทึกรายเที่ยว!$W$6:$W$10005,0),"")</f>
        <v/>
      </c>
      <c r="K233" t="str">
        <f>IF($J233="","",INDEX(บันทึกรายเที่ยว!$T$6:$T$10005,$J233))</f>
        <v/>
      </c>
      <c r="L233" t="str">
        <f>IF($J233="","",INDEX(บันทึกรายเที่ยว!$S$6:$S$10005,$J233))</f>
        <v/>
      </c>
      <c r="M233" t="str">
        <f>IF($J233="","",INDEX(บันทึกรายเที่ยว!$R$6:$R$10005,$J233))</f>
        <v/>
      </c>
      <c r="N233" t="str">
        <f>IF($J233="","",MATCH($M233,บันทึกรายเที่ยว!$R$6:$R$10005,0))</f>
        <v/>
      </c>
      <c r="O233" t="str">
        <f>IF($J233="","",MATCH($L233,บันทึกรายเที่ยว!$S$6:$S$10005,0))</f>
        <v/>
      </c>
      <c r="P233" t="str">
        <f>IF($J233="","",IF(AND(OR($I$3="(ทั้งหมด)",INDEX(บันทึกรายเที่ยว!$C$6:$C$10005,$J233)=$I$3),OR($I$5="(ทั้งหมด)",INDEX(บันทึกรายเที่ยว!$D$6:$D$10005,$J233)=$I$5),OR($I$7="(ทั้งหมด)",INDEX(บันทึกรายเที่ยว!$F$6:$F$10005,$J233)=$I$7)),$N233*10000000+$O233*1000+226,""))</f>
        <v/>
      </c>
      <c r="Q233" t="str">
        <f>IFERROR(MATCH(SMALL($P$8:$P$407,226),$P$8:$P$407,0),"")</f>
        <v/>
      </c>
      <c r="R233" t="str">
        <f t="shared" si="49"/>
        <v/>
      </c>
      <c r="S233" t="str">
        <f t="shared" si="50"/>
        <v/>
      </c>
      <c r="T233" t="str">
        <f t="shared" si="51"/>
        <v/>
      </c>
      <c r="U233" t="str">
        <f t="shared" si="52"/>
        <v/>
      </c>
      <c r="V233">
        <f t="shared" si="54"/>
        <v>0</v>
      </c>
      <c r="W233">
        <f t="shared" si="55"/>
        <v>0</v>
      </c>
      <c r="X233">
        <f>IF($Q233="",99999+226,$X232+1+$V232+$W232)</f>
        <v>100225</v>
      </c>
      <c r="Y233" t="str">
        <f>IF($Q233="","",INDEX(บันทึกรายเที่ยว!$Q$6:$Q$10005,$R233))</f>
        <v/>
      </c>
      <c r="Z233" t="str">
        <f>IF($Q233="","",INDEX(บันทึกรายเที่ยว!$F$6:$F$10005,$R233))</f>
        <v/>
      </c>
      <c r="AA233" t="str">
        <f>IFERROR(MATCH(226,$X$8:$X$407,1),"")</f>
        <v/>
      </c>
      <c r="AB233" t="str">
        <f>IF(226=$AD$1+1,"G",IF($AA233="","",IF(INDEX($Q$8:$Q$407,$AA233)="","",IF(226&gt;INDEX($X$8:$X$407,$AA233)+INDEX($V$8:$V$407,$AA233)+INDEX($W$8:$W$407,$AA233),"",IF(226=INDEX($X$8:$X$407,$AA233)+INDEX($V$8:$V$407,$AA233)+INDEX($W$8:$W$407,$AA233),"D",IF(AND(INDEX($W$8:$W$407,$AA233)=1,226=INDEX($X$8:$X$407,$AA233)+INDEX($V$8:$V$407,$AA233)),"S","R"))))))</f>
        <v/>
      </c>
      <c r="AC233" t="str">
        <f t="shared" si="53"/>
        <v/>
      </c>
      <c r="AE233">
        <f>IF($U233="",0,COUNTIF(บันทึกรายเที่ยว!$T$6:$T$10005,$U233))</f>
        <v>0</v>
      </c>
      <c r="AF233">
        <f>IF($U233="",0,ROUND(SUMIF(บันทึกรายเที่ยว!$T$6:$T$10005,$U233,บันทึกรายเที่ยว!$J$6:$J$10005),2))</f>
        <v>0</v>
      </c>
      <c r="AG233">
        <f>IF($U233="",0,ROUND(SUMIF(บันทึกรายเที่ยว!$T$6:$T$10005,$U233,บันทึกรายเที่ยว!$K$6:$K$10005),2))</f>
        <v>0</v>
      </c>
      <c r="AH233">
        <f>IF($U233="",0,ROUND(SUMIF(บันทึกรายเที่ยว!$T$6:$T$10005,$U233,บันทึกรายเที่ยว!$M$6:$M$10005),2))</f>
        <v>0</v>
      </c>
    </row>
    <row r="234" spans="1:34" ht="21" customHeight="1" x14ac:dyDescent="0.95">
      <c r="A234" s="3" t="str">
        <f t="shared" si="42"/>
        <v/>
      </c>
      <c r="B234" s="3" t="str">
        <f t="shared" si="43"/>
        <v/>
      </c>
      <c r="C234" s="8" t="str">
        <f t="shared" si="44"/>
        <v/>
      </c>
      <c r="D234" s="31" t="str">
        <f t="shared" si="45"/>
        <v/>
      </c>
      <c r="E234" s="32" t="str">
        <f>IF(227=$AD$1+3,"ขอแสดงความนับถือ",IF(227=$AD$1+6,"(                 )",IF(227=$AD$1+7,"เจ้าหน้าที่ขนส่ง",IF($AB234="G",SUM($AF$8:$AF$407),IF(OR($AB234="",$AB234="R"),"",IF($AB234="D",INDEX($AF$8:$AF$407,$AA234),SUMIF($T$8:$T$407,INDEX($T$8:$T$407,$AA234),$AF$8:$AF$407)))))))</f>
        <v/>
      </c>
      <c r="F234" s="32" t="str">
        <f t="shared" si="46"/>
        <v/>
      </c>
      <c r="G234" s="32" t="str">
        <f t="shared" si="47"/>
        <v/>
      </c>
      <c r="H234" s="32" t="str">
        <f t="shared" si="48"/>
        <v/>
      </c>
      <c r="J234" t="str">
        <f>IFERROR(MATCH(227,บันทึกรายเที่ยว!$W$6:$W$10005,0),"")</f>
        <v/>
      </c>
      <c r="K234" t="str">
        <f>IF($J234="","",INDEX(บันทึกรายเที่ยว!$T$6:$T$10005,$J234))</f>
        <v/>
      </c>
      <c r="L234" t="str">
        <f>IF($J234="","",INDEX(บันทึกรายเที่ยว!$S$6:$S$10005,$J234))</f>
        <v/>
      </c>
      <c r="M234" t="str">
        <f>IF($J234="","",INDEX(บันทึกรายเที่ยว!$R$6:$R$10005,$J234))</f>
        <v/>
      </c>
      <c r="N234" t="str">
        <f>IF($J234="","",MATCH($M234,บันทึกรายเที่ยว!$R$6:$R$10005,0))</f>
        <v/>
      </c>
      <c r="O234" t="str">
        <f>IF($J234="","",MATCH($L234,บันทึกรายเที่ยว!$S$6:$S$10005,0))</f>
        <v/>
      </c>
      <c r="P234" t="str">
        <f>IF($J234="","",IF(AND(OR($I$3="(ทั้งหมด)",INDEX(บันทึกรายเที่ยว!$C$6:$C$10005,$J234)=$I$3),OR($I$5="(ทั้งหมด)",INDEX(บันทึกรายเที่ยว!$D$6:$D$10005,$J234)=$I$5),OR($I$7="(ทั้งหมด)",INDEX(บันทึกรายเที่ยว!$F$6:$F$10005,$J234)=$I$7)),$N234*10000000+$O234*1000+227,""))</f>
        <v/>
      </c>
      <c r="Q234" t="str">
        <f>IFERROR(MATCH(SMALL($P$8:$P$407,227),$P$8:$P$407,0),"")</f>
        <v/>
      </c>
      <c r="R234" t="str">
        <f t="shared" si="49"/>
        <v/>
      </c>
      <c r="S234" t="str">
        <f t="shared" si="50"/>
        <v/>
      </c>
      <c r="T234" t="str">
        <f t="shared" si="51"/>
        <v/>
      </c>
      <c r="U234" t="str">
        <f t="shared" si="52"/>
        <v/>
      </c>
      <c r="V234">
        <f t="shared" si="54"/>
        <v>0</v>
      </c>
      <c r="W234">
        <f t="shared" si="55"/>
        <v>0</v>
      </c>
      <c r="X234">
        <f>IF($Q234="",99999+227,$X233+1+$V233+$W233)</f>
        <v>100226</v>
      </c>
      <c r="Y234" t="str">
        <f>IF($Q234="","",INDEX(บันทึกรายเที่ยว!$Q$6:$Q$10005,$R234))</f>
        <v/>
      </c>
      <c r="Z234" t="str">
        <f>IF($Q234="","",INDEX(บันทึกรายเที่ยว!$F$6:$F$10005,$R234))</f>
        <v/>
      </c>
      <c r="AA234" t="str">
        <f>IFERROR(MATCH(227,$X$8:$X$407,1),"")</f>
        <v/>
      </c>
      <c r="AB234" t="str">
        <f>IF(227=$AD$1+1,"G",IF($AA234="","",IF(INDEX($Q$8:$Q$407,$AA234)="","",IF(227&gt;INDEX($X$8:$X$407,$AA234)+INDEX($V$8:$V$407,$AA234)+INDEX($W$8:$W$407,$AA234),"",IF(227=INDEX($X$8:$X$407,$AA234)+INDEX($V$8:$V$407,$AA234)+INDEX($W$8:$W$407,$AA234),"D",IF(AND(INDEX($W$8:$W$407,$AA234)=1,227=INDEX($X$8:$X$407,$AA234)+INDEX($V$8:$V$407,$AA234)),"S","R"))))))</f>
        <v/>
      </c>
      <c r="AC234" t="str">
        <f t="shared" si="53"/>
        <v/>
      </c>
      <c r="AE234">
        <f>IF($U234="",0,COUNTIF(บันทึกรายเที่ยว!$T$6:$T$10005,$U234))</f>
        <v>0</v>
      </c>
      <c r="AF234">
        <f>IF($U234="",0,ROUND(SUMIF(บันทึกรายเที่ยว!$T$6:$T$10005,$U234,บันทึกรายเที่ยว!$J$6:$J$10005),2))</f>
        <v>0</v>
      </c>
      <c r="AG234">
        <f>IF($U234="",0,ROUND(SUMIF(บันทึกรายเที่ยว!$T$6:$T$10005,$U234,บันทึกรายเที่ยว!$K$6:$K$10005),2))</f>
        <v>0</v>
      </c>
      <c r="AH234">
        <f>IF($U234="",0,ROUND(SUMIF(บันทึกรายเที่ยว!$T$6:$T$10005,$U234,บันทึกรายเที่ยว!$M$6:$M$10005),2))</f>
        <v>0</v>
      </c>
    </row>
    <row r="235" spans="1:34" ht="21" customHeight="1" x14ac:dyDescent="0.95">
      <c r="A235" s="3" t="str">
        <f t="shared" si="42"/>
        <v/>
      </c>
      <c r="B235" s="3" t="str">
        <f t="shared" si="43"/>
        <v/>
      </c>
      <c r="C235" s="8" t="str">
        <f t="shared" si="44"/>
        <v/>
      </c>
      <c r="D235" s="31" t="str">
        <f t="shared" si="45"/>
        <v/>
      </c>
      <c r="E235" s="32" t="str">
        <f>IF(228=$AD$1+3,"ขอแสดงความนับถือ",IF(228=$AD$1+6,"(                 )",IF(228=$AD$1+7,"เจ้าหน้าที่ขนส่ง",IF($AB235="G",SUM($AF$8:$AF$407),IF(OR($AB235="",$AB235="R"),"",IF($AB235="D",INDEX($AF$8:$AF$407,$AA235),SUMIF($T$8:$T$407,INDEX($T$8:$T$407,$AA235),$AF$8:$AF$407)))))))</f>
        <v/>
      </c>
      <c r="F235" s="32" t="str">
        <f t="shared" si="46"/>
        <v/>
      </c>
      <c r="G235" s="32" t="str">
        <f t="shared" si="47"/>
        <v/>
      </c>
      <c r="H235" s="32" t="str">
        <f t="shared" si="48"/>
        <v/>
      </c>
      <c r="J235" t="str">
        <f>IFERROR(MATCH(228,บันทึกรายเที่ยว!$W$6:$W$10005,0),"")</f>
        <v/>
      </c>
      <c r="K235" t="str">
        <f>IF($J235="","",INDEX(บันทึกรายเที่ยว!$T$6:$T$10005,$J235))</f>
        <v/>
      </c>
      <c r="L235" t="str">
        <f>IF($J235="","",INDEX(บันทึกรายเที่ยว!$S$6:$S$10005,$J235))</f>
        <v/>
      </c>
      <c r="M235" t="str">
        <f>IF($J235="","",INDEX(บันทึกรายเที่ยว!$R$6:$R$10005,$J235))</f>
        <v/>
      </c>
      <c r="N235" t="str">
        <f>IF($J235="","",MATCH($M235,บันทึกรายเที่ยว!$R$6:$R$10005,0))</f>
        <v/>
      </c>
      <c r="O235" t="str">
        <f>IF($J235="","",MATCH($L235,บันทึกรายเที่ยว!$S$6:$S$10005,0))</f>
        <v/>
      </c>
      <c r="P235" t="str">
        <f>IF($J235="","",IF(AND(OR($I$3="(ทั้งหมด)",INDEX(บันทึกรายเที่ยว!$C$6:$C$10005,$J235)=$I$3),OR($I$5="(ทั้งหมด)",INDEX(บันทึกรายเที่ยว!$D$6:$D$10005,$J235)=$I$5),OR($I$7="(ทั้งหมด)",INDEX(บันทึกรายเที่ยว!$F$6:$F$10005,$J235)=$I$7)),$N235*10000000+$O235*1000+228,""))</f>
        <v/>
      </c>
      <c r="Q235" t="str">
        <f>IFERROR(MATCH(SMALL($P$8:$P$407,228),$P$8:$P$407,0),"")</f>
        <v/>
      </c>
      <c r="R235" t="str">
        <f t="shared" si="49"/>
        <v/>
      </c>
      <c r="S235" t="str">
        <f t="shared" si="50"/>
        <v/>
      </c>
      <c r="T235" t="str">
        <f t="shared" si="51"/>
        <v/>
      </c>
      <c r="U235" t="str">
        <f t="shared" si="52"/>
        <v/>
      </c>
      <c r="V235">
        <f t="shared" si="54"/>
        <v>0</v>
      </c>
      <c r="W235">
        <f t="shared" si="55"/>
        <v>0</v>
      </c>
      <c r="X235">
        <f>IF($Q235="",99999+228,$X234+1+$V234+$W234)</f>
        <v>100227</v>
      </c>
      <c r="Y235" t="str">
        <f>IF($Q235="","",INDEX(บันทึกรายเที่ยว!$Q$6:$Q$10005,$R235))</f>
        <v/>
      </c>
      <c r="Z235" t="str">
        <f>IF($Q235="","",INDEX(บันทึกรายเที่ยว!$F$6:$F$10005,$R235))</f>
        <v/>
      </c>
      <c r="AA235" t="str">
        <f>IFERROR(MATCH(228,$X$8:$X$407,1),"")</f>
        <v/>
      </c>
      <c r="AB235" t="str">
        <f>IF(228=$AD$1+1,"G",IF($AA235="","",IF(INDEX($Q$8:$Q$407,$AA235)="","",IF(228&gt;INDEX($X$8:$X$407,$AA235)+INDEX($V$8:$V$407,$AA235)+INDEX($W$8:$W$407,$AA235),"",IF(228=INDEX($X$8:$X$407,$AA235)+INDEX($V$8:$V$407,$AA235)+INDEX($W$8:$W$407,$AA235),"D",IF(AND(INDEX($W$8:$W$407,$AA235)=1,228=INDEX($X$8:$X$407,$AA235)+INDEX($V$8:$V$407,$AA235)),"S","R"))))))</f>
        <v/>
      </c>
      <c r="AC235" t="str">
        <f t="shared" si="53"/>
        <v/>
      </c>
      <c r="AE235">
        <f>IF($U235="",0,COUNTIF(บันทึกรายเที่ยว!$T$6:$T$10005,$U235))</f>
        <v>0</v>
      </c>
      <c r="AF235">
        <f>IF($U235="",0,ROUND(SUMIF(บันทึกรายเที่ยว!$T$6:$T$10005,$U235,บันทึกรายเที่ยว!$J$6:$J$10005),2))</f>
        <v>0</v>
      </c>
      <c r="AG235">
        <f>IF($U235="",0,ROUND(SUMIF(บันทึกรายเที่ยว!$T$6:$T$10005,$U235,บันทึกรายเที่ยว!$K$6:$K$10005),2))</f>
        <v>0</v>
      </c>
      <c r="AH235">
        <f>IF($U235="",0,ROUND(SUMIF(บันทึกรายเที่ยว!$T$6:$T$10005,$U235,บันทึกรายเที่ยว!$M$6:$M$10005),2))</f>
        <v>0</v>
      </c>
    </row>
    <row r="236" spans="1:34" ht="21" customHeight="1" x14ac:dyDescent="0.95">
      <c r="A236" s="3" t="str">
        <f t="shared" si="42"/>
        <v/>
      </c>
      <c r="B236" s="3" t="str">
        <f t="shared" si="43"/>
        <v/>
      </c>
      <c r="C236" s="8" t="str">
        <f t="shared" si="44"/>
        <v/>
      </c>
      <c r="D236" s="31" t="str">
        <f t="shared" si="45"/>
        <v/>
      </c>
      <c r="E236" s="32" t="str">
        <f>IF(229=$AD$1+3,"ขอแสดงความนับถือ",IF(229=$AD$1+6,"(                 )",IF(229=$AD$1+7,"เจ้าหน้าที่ขนส่ง",IF($AB236="G",SUM($AF$8:$AF$407),IF(OR($AB236="",$AB236="R"),"",IF($AB236="D",INDEX($AF$8:$AF$407,$AA236),SUMIF($T$8:$T$407,INDEX($T$8:$T$407,$AA236),$AF$8:$AF$407)))))))</f>
        <v/>
      </c>
      <c r="F236" s="32" t="str">
        <f t="shared" si="46"/>
        <v/>
      </c>
      <c r="G236" s="32" t="str">
        <f t="shared" si="47"/>
        <v/>
      </c>
      <c r="H236" s="32" t="str">
        <f t="shared" si="48"/>
        <v/>
      </c>
      <c r="J236" t="str">
        <f>IFERROR(MATCH(229,บันทึกรายเที่ยว!$W$6:$W$10005,0),"")</f>
        <v/>
      </c>
      <c r="K236" t="str">
        <f>IF($J236="","",INDEX(บันทึกรายเที่ยว!$T$6:$T$10005,$J236))</f>
        <v/>
      </c>
      <c r="L236" t="str">
        <f>IF($J236="","",INDEX(บันทึกรายเที่ยว!$S$6:$S$10005,$J236))</f>
        <v/>
      </c>
      <c r="M236" t="str">
        <f>IF($J236="","",INDEX(บันทึกรายเที่ยว!$R$6:$R$10005,$J236))</f>
        <v/>
      </c>
      <c r="N236" t="str">
        <f>IF($J236="","",MATCH($M236,บันทึกรายเที่ยว!$R$6:$R$10005,0))</f>
        <v/>
      </c>
      <c r="O236" t="str">
        <f>IF($J236="","",MATCH($L236,บันทึกรายเที่ยว!$S$6:$S$10005,0))</f>
        <v/>
      </c>
      <c r="P236" t="str">
        <f>IF($J236="","",IF(AND(OR($I$3="(ทั้งหมด)",INDEX(บันทึกรายเที่ยว!$C$6:$C$10005,$J236)=$I$3),OR($I$5="(ทั้งหมด)",INDEX(บันทึกรายเที่ยว!$D$6:$D$10005,$J236)=$I$5),OR($I$7="(ทั้งหมด)",INDEX(บันทึกรายเที่ยว!$F$6:$F$10005,$J236)=$I$7)),$N236*10000000+$O236*1000+229,""))</f>
        <v/>
      </c>
      <c r="Q236" t="str">
        <f>IFERROR(MATCH(SMALL($P$8:$P$407,229),$P$8:$P$407,0),"")</f>
        <v/>
      </c>
      <c r="R236" t="str">
        <f t="shared" si="49"/>
        <v/>
      </c>
      <c r="S236" t="str">
        <f t="shared" si="50"/>
        <v/>
      </c>
      <c r="T236" t="str">
        <f t="shared" si="51"/>
        <v/>
      </c>
      <c r="U236" t="str">
        <f t="shared" si="52"/>
        <v/>
      </c>
      <c r="V236">
        <f t="shared" si="54"/>
        <v>0</v>
      </c>
      <c r="W236">
        <f t="shared" si="55"/>
        <v>0</v>
      </c>
      <c r="X236">
        <f>IF($Q236="",99999+229,$X235+1+$V235+$W235)</f>
        <v>100228</v>
      </c>
      <c r="Y236" t="str">
        <f>IF($Q236="","",INDEX(บันทึกรายเที่ยว!$Q$6:$Q$10005,$R236))</f>
        <v/>
      </c>
      <c r="Z236" t="str">
        <f>IF($Q236="","",INDEX(บันทึกรายเที่ยว!$F$6:$F$10005,$R236))</f>
        <v/>
      </c>
      <c r="AA236" t="str">
        <f>IFERROR(MATCH(229,$X$8:$X$407,1),"")</f>
        <v/>
      </c>
      <c r="AB236" t="str">
        <f>IF(229=$AD$1+1,"G",IF($AA236="","",IF(INDEX($Q$8:$Q$407,$AA236)="","",IF(229&gt;INDEX($X$8:$X$407,$AA236)+INDEX($V$8:$V$407,$AA236)+INDEX($W$8:$W$407,$AA236),"",IF(229=INDEX($X$8:$X$407,$AA236)+INDEX($V$8:$V$407,$AA236)+INDEX($W$8:$W$407,$AA236),"D",IF(AND(INDEX($W$8:$W$407,$AA236)=1,229=INDEX($X$8:$X$407,$AA236)+INDEX($V$8:$V$407,$AA236)),"S","R"))))))</f>
        <v/>
      </c>
      <c r="AC236" t="str">
        <f t="shared" si="53"/>
        <v/>
      </c>
      <c r="AE236">
        <f>IF($U236="",0,COUNTIF(บันทึกรายเที่ยว!$T$6:$T$10005,$U236))</f>
        <v>0</v>
      </c>
      <c r="AF236">
        <f>IF($U236="",0,ROUND(SUMIF(บันทึกรายเที่ยว!$T$6:$T$10005,$U236,บันทึกรายเที่ยว!$J$6:$J$10005),2))</f>
        <v>0</v>
      </c>
      <c r="AG236">
        <f>IF($U236="",0,ROUND(SUMIF(บันทึกรายเที่ยว!$T$6:$T$10005,$U236,บันทึกรายเที่ยว!$K$6:$K$10005),2))</f>
        <v>0</v>
      </c>
      <c r="AH236">
        <f>IF($U236="",0,ROUND(SUMIF(บันทึกรายเที่ยว!$T$6:$T$10005,$U236,บันทึกรายเที่ยว!$M$6:$M$10005),2))</f>
        <v>0</v>
      </c>
    </row>
    <row r="237" spans="1:34" ht="21" customHeight="1" x14ac:dyDescent="0.95">
      <c r="A237" s="3" t="str">
        <f t="shared" si="42"/>
        <v/>
      </c>
      <c r="B237" s="3" t="str">
        <f t="shared" si="43"/>
        <v/>
      </c>
      <c r="C237" s="8" t="str">
        <f t="shared" si="44"/>
        <v/>
      </c>
      <c r="D237" s="31" t="str">
        <f t="shared" si="45"/>
        <v/>
      </c>
      <c r="E237" s="32" t="str">
        <f>IF(230=$AD$1+3,"ขอแสดงความนับถือ",IF(230=$AD$1+6,"(                 )",IF(230=$AD$1+7,"เจ้าหน้าที่ขนส่ง",IF($AB237="G",SUM($AF$8:$AF$407),IF(OR($AB237="",$AB237="R"),"",IF($AB237="D",INDEX($AF$8:$AF$407,$AA237),SUMIF($T$8:$T$407,INDEX($T$8:$T$407,$AA237),$AF$8:$AF$407)))))))</f>
        <v/>
      </c>
      <c r="F237" s="32" t="str">
        <f t="shared" si="46"/>
        <v/>
      </c>
      <c r="G237" s="32" t="str">
        <f t="shared" si="47"/>
        <v/>
      </c>
      <c r="H237" s="32" t="str">
        <f t="shared" si="48"/>
        <v/>
      </c>
      <c r="J237" t="str">
        <f>IFERROR(MATCH(230,บันทึกรายเที่ยว!$W$6:$W$10005,0),"")</f>
        <v/>
      </c>
      <c r="K237" t="str">
        <f>IF($J237="","",INDEX(บันทึกรายเที่ยว!$T$6:$T$10005,$J237))</f>
        <v/>
      </c>
      <c r="L237" t="str">
        <f>IF($J237="","",INDEX(บันทึกรายเที่ยว!$S$6:$S$10005,$J237))</f>
        <v/>
      </c>
      <c r="M237" t="str">
        <f>IF($J237="","",INDEX(บันทึกรายเที่ยว!$R$6:$R$10005,$J237))</f>
        <v/>
      </c>
      <c r="N237" t="str">
        <f>IF($J237="","",MATCH($M237,บันทึกรายเที่ยว!$R$6:$R$10005,0))</f>
        <v/>
      </c>
      <c r="O237" t="str">
        <f>IF($J237="","",MATCH($L237,บันทึกรายเที่ยว!$S$6:$S$10005,0))</f>
        <v/>
      </c>
      <c r="P237" t="str">
        <f>IF($J237="","",IF(AND(OR($I$3="(ทั้งหมด)",INDEX(บันทึกรายเที่ยว!$C$6:$C$10005,$J237)=$I$3),OR($I$5="(ทั้งหมด)",INDEX(บันทึกรายเที่ยว!$D$6:$D$10005,$J237)=$I$5),OR($I$7="(ทั้งหมด)",INDEX(บันทึกรายเที่ยว!$F$6:$F$10005,$J237)=$I$7)),$N237*10000000+$O237*1000+230,""))</f>
        <v/>
      </c>
      <c r="Q237" t="str">
        <f>IFERROR(MATCH(SMALL($P$8:$P$407,230),$P$8:$P$407,0),"")</f>
        <v/>
      </c>
      <c r="R237" t="str">
        <f t="shared" si="49"/>
        <v/>
      </c>
      <c r="S237" t="str">
        <f t="shared" si="50"/>
        <v/>
      </c>
      <c r="T237" t="str">
        <f t="shared" si="51"/>
        <v/>
      </c>
      <c r="U237" t="str">
        <f t="shared" si="52"/>
        <v/>
      </c>
      <c r="V237">
        <f t="shared" si="54"/>
        <v>0</v>
      </c>
      <c r="W237">
        <f t="shared" si="55"/>
        <v>0</v>
      </c>
      <c r="X237">
        <f>IF($Q237="",99999+230,$X236+1+$V236+$W236)</f>
        <v>100229</v>
      </c>
      <c r="Y237" t="str">
        <f>IF($Q237="","",INDEX(บันทึกรายเที่ยว!$Q$6:$Q$10005,$R237))</f>
        <v/>
      </c>
      <c r="Z237" t="str">
        <f>IF($Q237="","",INDEX(บันทึกรายเที่ยว!$F$6:$F$10005,$R237))</f>
        <v/>
      </c>
      <c r="AA237" t="str">
        <f>IFERROR(MATCH(230,$X$8:$X$407,1),"")</f>
        <v/>
      </c>
      <c r="AB237" t="str">
        <f>IF(230=$AD$1+1,"G",IF($AA237="","",IF(INDEX($Q$8:$Q$407,$AA237)="","",IF(230&gt;INDEX($X$8:$X$407,$AA237)+INDEX($V$8:$V$407,$AA237)+INDEX($W$8:$W$407,$AA237),"",IF(230=INDEX($X$8:$X$407,$AA237)+INDEX($V$8:$V$407,$AA237)+INDEX($W$8:$W$407,$AA237),"D",IF(AND(INDEX($W$8:$W$407,$AA237)=1,230=INDEX($X$8:$X$407,$AA237)+INDEX($V$8:$V$407,$AA237)),"S","R"))))))</f>
        <v/>
      </c>
      <c r="AC237" t="str">
        <f t="shared" si="53"/>
        <v/>
      </c>
      <c r="AE237">
        <f>IF($U237="",0,COUNTIF(บันทึกรายเที่ยว!$T$6:$T$10005,$U237))</f>
        <v>0</v>
      </c>
      <c r="AF237">
        <f>IF($U237="",0,ROUND(SUMIF(บันทึกรายเที่ยว!$T$6:$T$10005,$U237,บันทึกรายเที่ยว!$J$6:$J$10005),2))</f>
        <v>0</v>
      </c>
      <c r="AG237">
        <f>IF($U237="",0,ROUND(SUMIF(บันทึกรายเที่ยว!$T$6:$T$10005,$U237,บันทึกรายเที่ยว!$K$6:$K$10005),2))</f>
        <v>0</v>
      </c>
      <c r="AH237">
        <f>IF($U237="",0,ROUND(SUMIF(บันทึกรายเที่ยว!$T$6:$T$10005,$U237,บันทึกรายเที่ยว!$M$6:$M$10005),2))</f>
        <v>0</v>
      </c>
    </row>
    <row r="238" spans="1:34" ht="21" customHeight="1" x14ac:dyDescent="0.95">
      <c r="A238" s="3" t="str">
        <f t="shared" si="42"/>
        <v/>
      </c>
      <c r="B238" s="3" t="str">
        <f t="shared" si="43"/>
        <v/>
      </c>
      <c r="C238" s="8" t="str">
        <f t="shared" si="44"/>
        <v/>
      </c>
      <c r="D238" s="31" t="str">
        <f t="shared" si="45"/>
        <v/>
      </c>
      <c r="E238" s="32" t="str">
        <f>IF(231=$AD$1+3,"ขอแสดงความนับถือ",IF(231=$AD$1+6,"(                 )",IF(231=$AD$1+7,"เจ้าหน้าที่ขนส่ง",IF($AB238="G",SUM($AF$8:$AF$407),IF(OR($AB238="",$AB238="R"),"",IF($AB238="D",INDEX($AF$8:$AF$407,$AA238),SUMIF($T$8:$T$407,INDEX($T$8:$T$407,$AA238),$AF$8:$AF$407)))))))</f>
        <v/>
      </c>
      <c r="F238" s="32" t="str">
        <f t="shared" si="46"/>
        <v/>
      </c>
      <c r="G238" s="32" t="str">
        <f t="shared" si="47"/>
        <v/>
      </c>
      <c r="H238" s="32" t="str">
        <f t="shared" si="48"/>
        <v/>
      </c>
      <c r="J238" t="str">
        <f>IFERROR(MATCH(231,บันทึกรายเที่ยว!$W$6:$W$10005,0),"")</f>
        <v/>
      </c>
      <c r="K238" t="str">
        <f>IF($J238="","",INDEX(บันทึกรายเที่ยว!$T$6:$T$10005,$J238))</f>
        <v/>
      </c>
      <c r="L238" t="str">
        <f>IF($J238="","",INDEX(บันทึกรายเที่ยว!$S$6:$S$10005,$J238))</f>
        <v/>
      </c>
      <c r="M238" t="str">
        <f>IF($J238="","",INDEX(บันทึกรายเที่ยว!$R$6:$R$10005,$J238))</f>
        <v/>
      </c>
      <c r="N238" t="str">
        <f>IF($J238="","",MATCH($M238,บันทึกรายเที่ยว!$R$6:$R$10005,0))</f>
        <v/>
      </c>
      <c r="O238" t="str">
        <f>IF($J238="","",MATCH($L238,บันทึกรายเที่ยว!$S$6:$S$10005,0))</f>
        <v/>
      </c>
      <c r="P238" t="str">
        <f>IF($J238="","",IF(AND(OR($I$3="(ทั้งหมด)",INDEX(บันทึกรายเที่ยว!$C$6:$C$10005,$J238)=$I$3),OR($I$5="(ทั้งหมด)",INDEX(บันทึกรายเที่ยว!$D$6:$D$10005,$J238)=$I$5),OR($I$7="(ทั้งหมด)",INDEX(บันทึกรายเที่ยว!$F$6:$F$10005,$J238)=$I$7)),$N238*10000000+$O238*1000+231,""))</f>
        <v/>
      </c>
      <c r="Q238" t="str">
        <f>IFERROR(MATCH(SMALL($P$8:$P$407,231),$P$8:$P$407,0),"")</f>
        <v/>
      </c>
      <c r="R238" t="str">
        <f t="shared" si="49"/>
        <v/>
      </c>
      <c r="S238" t="str">
        <f t="shared" si="50"/>
        <v/>
      </c>
      <c r="T238" t="str">
        <f t="shared" si="51"/>
        <v/>
      </c>
      <c r="U238" t="str">
        <f t="shared" si="52"/>
        <v/>
      </c>
      <c r="V238">
        <f t="shared" si="54"/>
        <v>0</v>
      </c>
      <c r="W238">
        <f t="shared" si="55"/>
        <v>0</v>
      </c>
      <c r="X238">
        <f>IF($Q238="",99999+231,$X237+1+$V237+$W237)</f>
        <v>100230</v>
      </c>
      <c r="Y238" t="str">
        <f>IF($Q238="","",INDEX(บันทึกรายเที่ยว!$Q$6:$Q$10005,$R238))</f>
        <v/>
      </c>
      <c r="Z238" t="str">
        <f>IF($Q238="","",INDEX(บันทึกรายเที่ยว!$F$6:$F$10005,$R238))</f>
        <v/>
      </c>
      <c r="AA238" t="str">
        <f>IFERROR(MATCH(231,$X$8:$X$407,1),"")</f>
        <v/>
      </c>
      <c r="AB238" t="str">
        <f>IF(231=$AD$1+1,"G",IF($AA238="","",IF(INDEX($Q$8:$Q$407,$AA238)="","",IF(231&gt;INDEX($X$8:$X$407,$AA238)+INDEX($V$8:$V$407,$AA238)+INDEX($W$8:$W$407,$AA238),"",IF(231=INDEX($X$8:$X$407,$AA238)+INDEX($V$8:$V$407,$AA238)+INDEX($W$8:$W$407,$AA238),"D",IF(AND(INDEX($W$8:$W$407,$AA238)=1,231=INDEX($X$8:$X$407,$AA238)+INDEX($V$8:$V$407,$AA238)),"S","R"))))))</f>
        <v/>
      </c>
      <c r="AC238" t="str">
        <f t="shared" si="53"/>
        <v/>
      </c>
      <c r="AE238">
        <f>IF($U238="",0,COUNTIF(บันทึกรายเที่ยว!$T$6:$T$10005,$U238))</f>
        <v>0</v>
      </c>
      <c r="AF238">
        <f>IF($U238="",0,ROUND(SUMIF(บันทึกรายเที่ยว!$T$6:$T$10005,$U238,บันทึกรายเที่ยว!$J$6:$J$10005),2))</f>
        <v>0</v>
      </c>
      <c r="AG238">
        <f>IF($U238="",0,ROUND(SUMIF(บันทึกรายเที่ยว!$T$6:$T$10005,$U238,บันทึกรายเที่ยว!$K$6:$K$10005),2))</f>
        <v>0</v>
      </c>
      <c r="AH238">
        <f>IF($U238="",0,ROUND(SUMIF(บันทึกรายเที่ยว!$T$6:$T$10005,$U238,บันทึกรายเที่ยว!$M$6:$M$10005),2))</f>
        <v>0</v>
      </c>
    </row>
    <row r="239" spans="1:34" ht="21" customHeight="1" x14ac:dyDescent="0.95">
      <c r="A239" s="3" t="str">
        <f t="shared" si="42"/>
        <v/>
      </c>
      <c r="B239" s="3" t="str">
        <f t="shared" si="43"/>
        <v/>
      </c>
      <c r="C239" s="8" t="str">
        <f t="shared" si="44"/>
        <v/>
      </c>
      <c r="D239" s="31" t="str">
        <f t="shared" si="45"/>
        <v/>
      </c>
      <c r="E239" s="32" t="str">
        <f>IF(232=$AD$1+3,"ขอแสดงความนับถือ",IF(232=$AD$1+6,"(                 )",IF(232=$AD$1+7,"เจ้าหน้าที่ขนส่ง",IF($AB239="G",SUM($AF$8:$AF$407),IF(OR($AB239="",$AB239="R"),"",IF($AB239="D",INDEX($AF$8:$AF$407,$AA239),SUMIF($T$8:$T$407,INDEX($T$8:$T$407,$AA239),$AF$8:$AF$407)))))))</f>
        <v/>
      </c>
      <c r="F239" s="32" t="str">
        <f t="shared" si="46"/>
        <v/>
      </c>
      <c r="G239" s="32" t="str">
        <f t="shared" si="47"/>
        <v/>
      </c>
      <c r="H239" s="32" t="str">
        <f t="shared" si="48"/>
        <v/>
      </c>
      <c r="J239" t="str">
        <f>IFERROR(MATCH(232,บันทึกรายเที่ยว!$W$6:$W$10005,0),"")</f>
        <v/>
      </c>
      <c r="K239" t="str">
        <f>IF($J239="","",INDEX(บันทึกรายเที่ยว!$T$6:$T$10005,$J239))</f>
        <v/>
      </c>
      <c r="L239" t="str">
        <f>IF($J239="","",INDEX(บันทึกรายเที่ยว!$S$6:$S$10005,$J239))</f>
        <v/>
      </c>
      <c r="M239" t="str">
        <f>IF($J239="","",INDEX(บันทึกรายเที่ยว!$R$6:$R$10005,$J239))</f>
        <v/>
      </c>
      <c r="N239" t="str">
        <f>IF($J239="","",MATCH($M239,บันทึกรายเที่ยว!$R$6:$R$10005,0))</f>
        <v/>
      </c>
      <c r="O239" t="str">
        <f>IF($J239="","",MATCH($L239,บันทึกรายเที่ยว!$S$6:$S$10005,0))</f>
        <v/>
      </c>
      <c r="P239" t="str">
        <f>IF($J239="","",IF(AND(OR($I$3="(ทั้งหมด)",INDEX(บันทึกรายเที่ยว!$C$6:$C$10005,$J239)=$I$3),OR($I$5="(ทั้งหมด)",INDEX(บันทึกรายเที่ยว!$D$6:$D$10005,$J239)=$I$5),OR($I$7="(ทั้งหมด)",INDEX(บันทึกรายเที่ยว!$F$6:$F$10005,$J239)=$I$7)),$N239*10000000+$O239*1000+232,""))</f>
        <v/>
      </c>
      <c r="Q239" t="str">
        <f>IFERROR(MATCH(SMALL($P$8:$P$407,232),$P$8:$P$407,0),"")</f>
        <v/>
      </c>
      <c r="R239" t="str">
        <f t="shared" si="49"/>
        <v/>
      </c>
      <c r="S239" t="str">
        <f t="shared" si="50"/>
        <v/>
      </c>
      <c r="T239" t="str">
        <f t="shared" si="51"/>
        <v/>
      </c>
      <c r="U239" t="str">
        <f t="shared" si="52"/>
        <v/>
      </c>
      <c r="V239">
        <f t="shared" si="54"/>
        <v>0</v>
      </c>
      <c r="W239">
        <f t="shared" si="55"/>
        <v>0</v>
      </c>
      <c r="X239">
        <f>IF($Q239="",99999+232,$X238+1+$V238+$W238)</f>
        <v>100231</v>
      </c>
      <c r="Y239" t="str">
        <f>IF($Q239="","",INDEX(บันทึกรายเที่ยว!$Q$6:$Q$10005,$R239))</f>
        <v/>
      </c>
      <c r="Z239" t="str">
        <f>IF($Q239="","",INDEX(บันทึกรายเที่ยว!$F$6:$F$10005,$R239))</f>
        <v/>
      </c>
      <c r="AA239" t="str">
        <f>IFERROR(MATCH(232,$X$8:$X$407,1),"")</f>
        <v/>
      </c>
      <c r="AB239" t="str">
        <f>IF(232=$AD$1+1,"G",IF($AA239="","",IF(INDEX($Q$8:$Q$407,$AA239)="","",IF(232&gt;INDEX($X$8:$X$407,$AA239)+INDEX($V$8:$V$407,$AA239)+INDEX($W$8:$W$407,$AA239),"",IF(232=INDEX($X$8:$X$407,$AA239)+INDEX($V$8:$V$407,$AA239)+INDEX($W$8:$W$407,$AA239),"D",IF(AND(INDEX($W$8:$W$407,$AA239)=1,232=INDEX($X$8:$X$407,$AA239)+INDEX($V$8:$V$407,$AA239)),"S","R"))))))</f>
        <v/>
      </c>
      <c r="AC239" t="str">
        <f t="shared" si="53"/>
        <v/>
      </c>
      <c r="AE239">
        <f>IF($U239="",0,COUNTIF(บันทึกรายเที่ยว!$T$6:$T$10005,$U239))</f>
        <v>0</v>
      </c>
      <c r="AF239">
        <f>IF($U239="",0,ROUND(SUMIF(บันทึกรายเที่ยว!$T$6:$T$10005,$U239,บันทึกรายเที่ยว!$J$6:$J$10005),2))</f>
        <v>0</v>
      </c>
      <c r="AG239">
        <f>IF($U239="",0,ROUND(SUMIF(บันทึกรายเที่ยว!$T$6:$T$10005,$U239,บันทึกรายเที่ยว!$K$6:$K$10005),2))</f>
        <v>0</v>
      </c>
      <c r="AH239">
        <f>IF($U239="",0,ROUND(SUMIF(บันทึกรายเที่ยว!$T$6:$T$10005,$U239,บันทึกรายเที่ยว!$M$6:$M$10005),2))</f>
        <v>0</v>
      </c>
    </row>
    <row r="240" spans="1:34" ht="21" customHeight="1" x14ac:dyDescent="0.95">
      <c r="A240" s="3" t="str">
        <f t="shared" si="42"/>
        <v/>
      </c>
      <c r="B240" s="3" t="str">
        <f t="shared" si="43"/>
        <v/>
      </c>
      <c r="C240" s="8" t="str">
        <f t="shared" si="44"/>
        <v/>
      </c>
      <c r="D240" s="31" t="str">
        <f t="shared" si="45"/>
        <v/>
      </c>
      <c r="E240" s="32" t="str">
        <f>IF(233=$AD$1+3,"ขอแสดงความนับถือ",IF(233=$AD$1+6,"(                 )",IF(233=$AD$1+7,"เจ้าหน้าที่ขนส่ง",IF($AB240="G",SUM($AF$8:$AF$407),IF(OR($AB240="",$AB240="R"),"",IF($AB240="D",INDEX($AF$8:$AF$407,$AA240),SUMIF($T$8:$T$407,INDEX($T$8:$T$407,$AA240),$AF$8:$AF$407)))))))</f>
        <v/>
      </c>
      <c r="F240" s="32" t="str">
        <f t="shared" si="46"/>
        <v/>
      </c>
      <c r="G240" s="32" t="str">
        <f t="shared" si="47"/>
        <v/>
      </c>
      <c r="H240" s="32" t="str">
        <f t="shared" si="48"/>
        <v/>
      </c>
      <c r="J240" t="str">
        <f>IFERROR(MATCH(233,บันทึกรายเที่ยว!$W$6:$W$10005,0),"")</f>
        <v/>
      </c>
      <c r="K240" t="str">
        <f>IF($J240="","",INDEX(บันทึกรายเที่ยว!$T$6:$T$10005,$J240))</f>
        <v/>
      </c>
      <c r="L240" t="str">
        <f>IF($J240="","",INDEX(บันทึกรายเที่ยว!$S$6:$S$10005,$J240))</f>
        <v/>
      </c>
      <c r="M240" t="str">
        <f>IF($J240="","",INDEX(บันทึกรายเที่ยว!$R$6:$R$10005,$J240))</f>
        <v/>
      </c>
      <c r="N240" t="str">
        <f>IF($J240="","",MATCH($M240,บันทึกรายเที่ยว!$R$6:$R$10005,0))</f>
        <v/>
      </c>
      <c r="O240" t="str">
        <f>IF($J240="","",MATCH($L240,บันทึกรายเที่ยว!$S$6:$S$10005,0))</f>
        <v/>
      </c>
      <c r="P240" t="str">
        <f>IF($J240="","",IF(AND(OR($I$3="(ทั้งหมด)",INDEX(บันทึกรายเที่ยว!$C$6:$C$10005,$J240)=$I$3),OR($I$5="(ทั้งหมด)",INDEX(บันทึกรายเที่ยว!$D$6:$D$10005,$J240)=$I$5),OR($I$7="(ทั้งหมด)",INDEX(บันทึกรายเที่ยว!$F$6:$F$10005,$J240)=$I$7)),$N240*10000000+$O240*1000+233,""))</f>
        <v/>
      </c>
      <c r="Q240" t="str">
        <f>IFERROR(MATCH(SMALL($P$8:$P$407,233),$P$8:$P$407,0),"")</f>
        <v/>
      </c>
      <c r="R240" t="str">
        <f t="shared" si="49"/>
        <v/>
      </c>
      <c r="S240" t="str">
        <f t="shared" si="50"/>
        <v/>
      </c>
      <c r="T240" t="str">
        <f t="shared" si="51"/>
        <v/>
      </c>
      <c r="U240" t="str">
        <f t="shared" si="52"/>
        <v/>
      </c>
      <c r="V240">
        <f t="shared" si="54"/>
        <v>0</v>
      </c>
      <c r="W240">
        <f t="shared" si="55"/>
        <v>0</v>
      </c>
      <c r="X240">
        <f>IF($Q240="",99999+233,$X239+1+$V239+$W239)</f>
        <v>100232</v>
      </c>
      <c r="Y240" t="str">
        <f>IF($Q240="","",INDEX(บันทึกรายเที่ยว!$Q$6:$Q$10005,$R240))</f>
        <v/>
      </c>
      <c r="Z240" t="str">
        <f>IF($Q240="","",INDEX(บันทึกรายเที่ยว!$F$6:$F$10005,$R240))</f>
        <v/>
      </c>
      <c r="AA240" t="str">
        <f>IFERROR(MATCH(233,$X$8:$X$407,1),"")</f>
        <v/>
      </c>
      <c r="AB240" t="str">
        <f>IF(233=$AD$1+1,"G",IF($AA240="","",IF(INDEX($Q$8:$Q$407,$AA240)="","",IF(233&gt;INDEX($X$8:$X$407,$AA240)+INDEX($V$8:$V$407,$AA240)+INDEX($W$8:$W$407,$AA240),"",IF(233=INDEX($X$8:$X$407,$AA240)+INDEX($V$8:$V$407,$AA240)+INDEX($W$8:$W$407,$AA240),"D",IF(AND(INDEX($W$8:$W$407,$AA240)=1,233=INDEX($X$8:$X$407,$AA240)+INDEX($V$8:$V$407,$AA240)),"S","R"))))))</f>
        <v/>
      </c>
      <c r="AC240" t="str">
        <f t="shared" si="53"/>
        <v/>
      </c>
      <c r="AE240">
        <f>IF($U240="",0,COUNTIF(บันทึกรายเที่ยว!$T$6:$T$10005,$U240))</f>
        <v>0</v>
      </c>
      <c r="AF240">
        <f>IF($U240="",0,ROUND(SUMIF(บันทึกรายเที่ยว!$T$6:$T$10005,$U240,บันทึกรายเที่ยว!$J$6:$J$10005),2))</f>
        <v>0</v>
      </c>
      <c r="AG240">
        <f>IF($U240="",0,ROUND(SUMIF(บันทึกรายเที่ยว!$T$6:$T$10005,$U240,บันทึกรายเที่ยว!$K$6:$K$10005),2))</f>
        <v>0</v>
      </c>
      <c r="AH240">
        <f>IF($U240="",0,ROUND(SUMIF(บันทึกรายเที่ยว!$T$6:$T$10005,$U240,บันทึกรายเที่ยว!$M$6:$M$10005),2))</f>
        <v>0</v>
      </c>
    </row>
    <row r="241" spans="1:34" ht="21" customHeight="1" x14ac:dyDescent="0.95">
      <c r="A241" s="3" t="str">
        <f t="shared" si="42"/>
        <v/>
      </c>
      <c r="B241" s="3" t="str">
        <f t="shared" si="43"/>
        <v/>
      </c>
      <c r="C241" s="8" t="str">
        <f t="shared" si="44"/>
        <v/>
      </c>
      <c r="D241" s="31" t="str">
        <f t="shared" si="45"/>
        <v/>
      </c>
      <c r="E241" s="32" t="str">
        <f>IF(234=$AD$1+3,"ขอแสดงความนับถือ",IF(234=$AD$1+6,"(                 )",IF(234=$AD$1+7,"เจ้าหน้าที่ขนส่ง",IF($AB241="G",SUM($AF$8:$AF$407),IF(OR($AB241="",$AB241="R"),"",IF($AB241="D",INDEX($AF$8:$AF$407,$AA241),SUMIF($T$8:$T$407,INDEX($T$8:$T$407,$AA241),$AF$8:$AF$407)))))))</f>
        <v/>
      </c>
      <c r="F241" s="32" t="str">
        <f t="shared" si="46"/>
        <v/>
      </c>
      <c r="G241" s="32" t="str">
        <f t="shared" si="47"/>
        <v/>
      </c>
      <c r="H241" s="32" t="str">
        <f t="shared" si="48"/>
        <v/>
      </c>
      <c r="J241" t="str">
        <f>IFERROR(MATCH(234,บันทึกรายเที่ยว!$W$6:$W$10005,0),"")</f>
        <v/>
      </c>
      <c r="K241" t="str">
        <f>IF($J241="","",INDEX(บันทึกรายเที่ยว!$T$6:$T$10005,$J241))</f>
        <v/>
      </c>
      <c r="L241" t="str">
        <f>IF($J241="","",INDEX(บันทึกรายเที่ยว!$S$6:$S$10005,$J241))</f>
        <v/>
      </c>
      <c r="M241" t="str">
        <f>IF($J241="","",INDEX(บันทึกรายเที่ยว!$R$6:$R$10005,$J241))</f>
        <v/>
      </c>
      <c r="N241" t="str">
        <f>IF($J241="","",MATCH($M241,บันทึกรายเที่ยว!$R$6:$R$10005,0))</f>
        <v/>
      </c>
      <c r="O241" t="str">
        <f>IF($J241="","",MATCH($L241,บันทึกรายเที่ยว!$S$6:$S$10005,0))</f>
        <v/>
      </c>
      <c r="P241" t="str">
        <f>IF($J241="","",IF(AND(OR($I$3="(ทั้งหมด)",INDEX(บันทึกรายเที่ยว!$C$6:$C$10005,$J241)=$I$3),OR($I$5="(ทั้งหมด)",INDEX(บันทึกรายเที่ยว!$D$6:$D$10005,$J241)=$I$5),OR($I$7="(ทั้งหมด)",INDEX(บันทึกรายเที่ยว!$F$6:$F$10005,$J241)=$I$7)),$N241*10000000+$O241*1000+234,""))</f>
        <v/>
      </c>
      <c r="Q241" t="str">
        <f>IFERROR(MATCH(SMALL($P$8:$P$407,234),$P$8:$P$407,0),"")</f>
        <v/>
      </c>
      <c r="R241" t="str">
        <f t="shared" si="49"/>
        <v/>
      </c>
      <c r="S241" t="str">
        <f t="shared" si="50"/>
        <v/>
      </c>
      <c r="T241" t="str">
        <f t="shared" si="51"/>
        <v/>
      </c>
      <c r="U241" t="str">
        <f t="shared" si="52"/>
        <v/>
      </c>
      <c r="V241">
        <f t="shared" si="54"/>
        <v>0</v>
      </c>
      <c r="W241">
        <f t="shared" si="55"/>
        <v>0</v>
      </c>
      <c r="X241">
        <f>IF($Q241="",99999+234,$X240+1+$V240+$W240)</f>
        <v>100233</v>
      </c>
      <c r="Y241" t="str">
        <f>IF($Q241="","",INDEX(บันทึกรายเที่ยว!$Q$6:$Q$10005,$R241))</f>
        <v/>
      </c>
      <c r="Z241" t="str">
        <f>IF($Q241="","",INDEX(บันทึกรายเที่ยว!$F$6:$F$10005,$R241))</f>
        <v/>
      </c>
      <c r="AA241" t="str">
        <f>IFERROR(MATCH(234,$X$8:$X$407,1),"")</f>
        <v/>
      </c>
      <c r="AB241" t="str">
        <f>IF(234=$AD$1+1,"G",IF($AA241="","",IF(INDEX($Q$8:$Q$407,$AA241)="","",IF(234&gt;INDEX($X$8:$X$407,$AA241)+INDEX($V$8:$V$407,$AA241)+INDEX($W$8:$W$407,$AA241),"",IF(234=INDEX($X$8:$X$407,$AA241)+INDEX($V$8:$V$407,$AA241)+INDEX($W$8:$W$407,$AA241),"D",IF(AND(INDEX($W$8:$W$407,$AA241)=1,234=INDEX($X$8:$X$407,$AA241)+INDEX($V$8:$V$407,$AA241)),"S","R"))))))</f>
        <v/>
      </c>
      <c r="AC241" t="str">
        <f t="shared" si="53"/>
        <v/>
      </c>
      <c r="AE241">
        <f>IF($U241="",0,COUNTIF(บันทึกรายเที่ยว!$T$6:$T$10005,$U241))</f>
        <v>0</v>
      </c>
      <c r="AF241">
        <f>IF($U241="",0,ROUND(SUMIF(บันทึกรายเที่ยว!$T$6:$T$10005,$U241,บันทึกรายเที่ยว!$J$6:$J$10005),2))</f>
        <v>0</v>
      </c>
      <c r="AG241">
        <f>IF($U241="",0,ROUND(SUMIF(บันทึกรายเที่ยว!$T$6:$T$10005,$U241,บันทึกรายเที่ยว!$K$6:$K$10005),2))</f>
        <v>0</v>
      </c>
      <c r="AH241">
        <f>IF($U241="",0,ROUND(SUMIF(บันทึกรายเที่ยว!$T$6:$T$10005,$U241,บันทึกรายเที่ยว!$M$6:$M$10005),2))</f>
        <v>0</v>
      </c>
    </row>
    <row r="242" spans="1:34" ht="21" customHeight="1" x14ac:dyDescent="0.95">
      <c r="A242" s="3" t="str">
        <f t="shared" si="42"/>
        <v/>
      </c>
      <c r="B242" s="3" t="str">
        <f t="shared" si="43"/>
        <v/>
      </c>
      <c r="C242" s="8" t="str">
        <f t="shared" si="44"/>
        <v/>
      </c>
      <c r="D242" s="31" t="str">
        <f t="shared" si="45"/>
        <v/>
      </c>
      <c r="E242" s="32" t="str">
        <f>IF(235=$AD$1+3,"ขอแสดงความนับถือ",IF(235=$AD$1+6,"(                 )",IF(235=$AD$1+7,"เจ้าหน้าที่ขนส่ง",IF($AB242="G",SUM($AF$8:$AF$407),IF(OR($AB242="",$AB242="R"),"",IF($AB242="D",INDEX($AF$8:$AF$407,$AA242),SUMIF($T$8:$T$407,INDEX($T$8:$T$407,$AA242),$AF$8:$AF$407)))))))</f>
        <v/>
      </c>
      <c r="F242" s="32" t="str">
        <f t="shared" si="46"/>
        <v/>
      </c>
      <c r="G242" s="32" t="str">
        <f t="shared" si="47"/>
        <v/>
      </c>
      <c r="H242" s="32" t="str">
        <f t="shared" si="48"/>
        <v/>
      </c>
      <c r="J242" t="str">
        <f>IFERROR(MATCH(235,บันทึกรายเที่ยว!$W$6:$W$10005,0),"")</f>
        <v/>
      </c>
      <c r="K242" t="str">
        <f>IF($J242="","",INDEX(บันทึกรายเที่ยว!$T$6:$T$10005,$J242))</f>
        <v/>
      </c>
      <c r="L242" t="str">
        <f>IF($J242="","",INDEX(บันทึกรายเที่ยว!$S$6:$S$10005,$J242))</f>
        <v/>
      </c>
      <c r="M242" t="str">
        <f>IF($J242="","",INDEX(บันทึกรายเที่ยว!$R$6:$R$10005,$J242))</f>
        <v/>
      </c>
      <c r="N242" t="str">
        <f>IF($J242="","",MATCH($M242,บันทึกรายเที่ยว!$R$6:$R$10005,0))</f>
        <v/>
      </c>
      <c r="O242" t="str">
        <f>IF($J242="","",MATCH($L242,บันทึกรายเที่ยว!$S$6:$S$10005,0))</f>
        <v/>
      </c>
      <c r="P242" t="str">
        <f>IF($J242="","",IF(AND(OR($I$3="(ทั้งหมด)",INDEX(บันทึกรายเที่ยว!$C$6:$C$10005,$J242)=$I$3),OR($I$5="(ทั้งหมด)",INDEX(บันทึกรายเที่ยว!$D$6:$D$10005,$J242)=$I$5),OR($I$7="(ทั้งหมด)",INDEX(บันทึกรายเที่ยว!$F$6:$F$10005,$J242)=$I$7)),$N242*10000000+$O242*1000+235,""))</f>
        <v/>
      </c>
      <c r="Q242" t="str">
        <f>IFERROR(MATCH(SMALL($P$8:$P$407,235),$P$8:$P$407,0),"")</f>
        <v/>
      </c>
      <c r="R242" t="str">
        <f t="shared" si="49"/>
        <v/>
      </c>
      <c r="S242" t="str">
        <f t="shared" si="50"/>
        <v/>
      </c>
      <c r="T242" t="str">
        <f t="shared" si="51"/>
        <v/>
      </c>
      <c r="U242" t="str">
        <f t="shared" si="52"/>
        <v/>
      </c>
      <c r="V242">
        <f t="shared" si="54"/>
        <v>0</v>
      </c>
      <c r="W242">
        <f t="shared" si="55"/>
        <v>0</v>
      </c>
      <c r="X242">
        <f>IF($Q242="",99999+235,$X241+1+$V241+$W241)</f>
        <v>100234</v>
      </c>
      <c r="Y242" t="str">
        <f>IF($Q242="","",INDEX(บันทึกรายเที่ยว!$Q$6:$Q$10005,$R242))</f>
        <v/>
      </c>
      <c r="Z242" t="str">
        <f>IF($Q242="","",INDEX(บันทึกรายเที่ยว!$F$6:$F$10005,$R242))</f>
        <v/>
      </c>
      <c r="AA242" t="str">
        <f>IFERROR(MATCH(235,$X$8:$X$407,1),"")</f>
        <v/>
      </c>
      <c r="AB242" t="str">
        <f>IF(235=$AD$1+1,"G",IF($AA242="","",IF(INDEX($Q$8:$Q$407,$AA242)="","",IF(235&gt;INDEX($X$8:$X$407,$AA242)+INDEX($V$8:$V$407,$AA242)+INDEX($W$8:$W$407,$AA242),"",IF(235=INDEX($X$8:$X$407,$AA242)+INDEX($V$8:$V$407,$AA242)+INDEX($W$8:$W$407,$AA242),"D",IF(AND(INDEX($W$8:$W$407,$AA242)=1,235=INDEX($X$8:$X$407,$AA242)+INDEX($V$8:$V$407,$AA242)),"S","R"))))))</f>
        <v/>
      </c>
      <c r="AC242" t="str">
        <f t="shared" si="53"/>
        <v/>
      </c>
      <c r="AE242">
        <f>IF($U242="",0,COUNTIF(บันทึกรายเที่ยว!$T$6:$T$10005,$U242))</f>
        <v>0</v>
      </c>
      <c r="AF242">
        <f>IF($U242="",0,ROUND(SUMIF(บันทึกรายเที่ยว!$T$6:$T$10005,$U242,บันทึกรายเที่ยว!$J$6:$J$10005),2))</f>
        <v>0</v>
      </c>
      <c r="AG242">
        <f>IF($U242="",0,ROUND(SUMIF(บันทึกรายเที่ยว!$T$6:$T$10005,$U242,บันทึกรายเที่ยว!$K$6:$K$10005),2))</f>
        <v>0</v>
      </c>
      <c r="AH242">
        <f>IF($U242="",0,ROUND(SUMIF(บันทึกรายเที่ยว!$T$6:$T$10005,$U242,บันทึกรายเที่ยว!$M$6:$M$10005),2))</f>
        <v>0</v>
      </c>
    </row>
    <row r="243" spans="1:34" ht="21" customHeight="1" x14ac:dyDescent="0.95">
      <c r="A243" s="3" t="str">
        <f t="shared" si="42"/>
        <v/>
      </c>
      <c r="B243" s="3" t="str">
        <f t="shared" si="43"/>
        <v/>
      </c>
      <c r="C243" s="8" t="str">
        <f t="shared" si="44"/>
        <v/>
      </c>
      <c r="D243" s="31" t="str">
        <f t="shared" si="45"/>
        <v/>
      </c>
      <c r="E243" s="32" t="str">
        <f>IF(236=$AD$1+3,"ขอแสดงความนับถือ",IF(236=$AD$1+6,"(                 )",IF(236=$AD$1+7,"เจ้าหน้าที่ขนส่ง",IF($AB243="G",SUM($AF$8:$AF$407),IF(OR($AB243="",$AB243="R"),"",IF($AB243="D",INDEX($AF$8:$AF$407,$AA243),SUMIF($T$8:$T$407,INDEX($T$8:$T$407,$AA243),$AF$8:$AF$407)))))))</f>
        <v/>
      </c>
      <c r="F243" s="32" t="str">
        <f t="shared" si="46"/>
        <v/>
      </c>
      <c r="G243" s="32" t="str">
        <f t="shared" si="47"/>
        <v/>
      </c>
      <c r="H243" s="32" t="str">
        <f t="shared" si="48"/>
        <v/>
      </c>
      <c r="J243" t="str">
        <f>IFERROR(MATCH(236,บันทึกรายเที่ยว!$W$6:$W$10005,0),"")</f>
        <v/>
      </c>
      <c r="K243" t="str">
        <f>IF($J243="","",INDEX(บันทึกรายเที่ยว!$T$6:$T$10005,$J243))</f>
        <v/>
      </c>
      <c r="L243" t="str">
        <f>IF($J243="","",INDEX(บันทึกรายเที่ยว!$S$6:$S$10005,$J243))</f>
        <v/>
      </c>
      <c r="M243" t="str">
        <f>IF($J243="","",INDEX(บันทึกรายเที่ยว!$R$6:$R$10005,$J243))</f>
        <v/>
      </c>
      <c r="N243" t="str">
        <f>IF($J243="","",MATCH($M243,บันทึกรายเที่ยว!$R$6:$R$10005,0))</f>
        <v/>
      </c>
      <c r="O243" t="str">
        <f>IF($J243="","",MATCH($L243,บันทึกรายเที่ยว!$S$6:$S$10005,0))</f>
        <v/>
      </c>
      <c r="P243" t="str">
        <f>IF($J243="","",IF(AND(OR($I$3="(ทั้งหมด)",INDEX(บันทึกรายเที่ยว!$C$6:$C$10005,$J243)=$I$3),OR($I$5="(ทั้งหมด)",INDEX(บันทึกรายเที่ยว!$D$6:$D$10005,$J243)=$I$5),OR($I$7="(ทั้งหมด)",INDEX(บันทึกรายเที่ยว!$F$6:$F$10005,$J243)=$I$7)),$N243*10000000+$O243*1000+236,""))</f>
        <v/>
      </c>
      <c r="Q243" t="str">
        <f>IFERROR(MATCH(SMALL($P$8:$P$407,236),$P$8:$P$407,0),"")</f>
        <v/>
      </c>
      <c r="R243" t="str">
        <f t="shared" si="49"/>
        <v/>
      </c>
      <c r="S243" t="str">
        <f t="shared" si="50"/>
        <v/>
      </c>
      <c r="T243" t="str">
        <f t="shared" si="51"/>
        <v/>
      </c>
      <c r="U243" t="str">
        <f t="shared" si="52"/>
        <v/>
      </c>
      <c r="V243">
        <f t="shared" si="54"/>
        <v>0</v>
      </c>
      <c r="W243">
        <f t="shared" si="55"/>
        <v>0</v>
      </c>
      <c r="X243">
        <f>IF($Q243="",99999+236,$X242+1+$V242+$W242)</f>
        <v>100235</v>
      </c>
      <c r="Y243" t="str">
        <f>IF($Q243="","",INDEX(บันทึกรายเที่ยว!$Q$6:$Q$10005,$R243))</f>
        <v/>
      </c>
      <c r="Z243" t="str">
        <f>IF($Q243="","",INDEX(บันทึกรายเที่ยว!$F$6:$F$10005,$R243))</f>
        <v/>
      </c>
      <c r="AA243" t="str">
        <f>IFERROR(MATCH(236,$X$8:$X$407,1),"")</f>
        <v/>
      </c>
      <c r="AB243" t="str">
        <f>IF(236=$AD$1+1,"G",IF($AA243="","",IF(INDEX($Q$8:$Q$407,$AA243)="","",IF(236&gt;INDEX($X$8:$X$407,$AA243)+INDEX($V$8:$V$407,$AA243)+INDEX($W$8:$W$407,$AA243),"",IF(236=INDEX($X$8:$X$407,$AA243)+INDEX($V$8:$V$407,$AA243)+INDEX($W$8:$W$407,$AA243),"D",IF(AND(INDEX($W$8:$W$407,$AA243)=1,236=INDEX($X$8:$X$407,$AA243)+INDEX($V$8:$V$407,$AA243)),"S","R"))))))</f>
        <v/>
      </c>
      <c r="AC243" t="str">
        <f t="shared" si="53"/>
        <v/>
      </c>
      <c r="AE243">
        <f>IF($U243="",0,COUNTIF(บันทึกรายเที่ยว!$T$6:$T$10005,$U243))</f>
        <v>0</v>
      </c>
      <c r="AF243">
        <f>IF($U243="",0,ROUND(SUMIF(บันทึกรายเที่ยว!$T$6:$T$10005,$U243,บันทึกรายเที่ยว!$J$6:$J$10005),2))</f>
        <v>0</v>
      </c>
      <c r="AG243">
        <f>IF($U243="",0,ROUND(SUMIF(บันทึกรายเที่ยว!$T$6:$T$10005,$U243,บันทึกรายเที่ยว!$K$6:$K$10005),2))</f>
        <v>0</v>
      </c>
      <c r="AH243">
        <f>IF($U243="",0,ROUND(SUMIF(บันทึกรายเที่ยว!$T$6:$T$10005,$U243,บันทึกรายเที่ยว!$M$6:$M$10005),2))</f>
        <v>0</v>
      </c>
    </row>
    <row r="244" spans="1:34" ht="21" customHeight="1" x14ac:dyDescent="0.95">
      <c r="A244" s="3" t="str">
        <f t="shared" si="42"/>
        <v/>
      </c>
      <c r="B244" s="3" t="str">
        <f t="shared" si="43"/>
        <v/>
      </c>
      <c r="C244" s="8" t="str">
        <f t="shared" si="44"/>
        <v/>
      </c>
      <c r="D244" s="31" t="str">
        <f t="shared" si="45"/>
        <v/>
      </c>
      <c r="E244" s="32" t="str">
        <f>IF(237=$AD$1+3,"ขอแสดงความนับถือ",IF(237=$AD$1+6,"(                 )",IF(237=$AD$1+7,"เจ้าหน้าที่ขนส่ง",IF($AB244="G",SUM($AF$8:$AF$407),IF(OR($AB244="",$AB244="R"),"",IF($AB244="D",INDEX($AF$8:$AF$407,$AA244),SUMIF($T$8:$T$407,INDEX($T$8:$T$407,$AA244),$AF$8:$AF$407)))))))</f>
        <v/>
      </c>
      <c r="F244" s="32" t="str">
        <f t="shared" si="46"/>
        <v/>
      </c>
      <c r="G244" s="32" t="str">
        <f t="shared" si="47"/>
        <v/>
      </c>
      <c r="H244" s="32" t="str">
        <f t="shared" si="48"/>
        <v/>
      </c>
      <c r="J244" t="str">
        <f>IFERROR(MATCH(237,บันทึกรายเที่ยว!$W$6:$W$10005,0),"")</f>
        <v/>
      </c>
      <c r="K244" t="str">
        <f>IF($J244="","",INDEX(บันทึกรายเที่ยว!$T$6:$T$10005,$J244))</f>
        <v/>
      </c>
      <c r="L244" t="str">
        <f>IF($J244="","",INDEX(บันทึกรายเที่ยว!$S$6:$S$10005,$J244))</f>
        <v/>
      </c>
      <c r="M244" t="str">
        <f>IF($J244="","",INDEX(บันทึกรายเที่ยว!$R$6:$R$10005,$J244))</f>
        <v/>
      </c>
      <c r="N244" t="str">
        <f>IF($J244="","",MATCH($M244,บันทึกรายเที่ยว!$R$6:$R$10005,0))</f>
        <v/>
      </c>
      <c r="O244" t="str">
        <f>IF($J244="","",MATCH($L244,บันทึกรายเที่ยว!$S$6:$S$10005,0))</f>
        <v/>
      </c>
      <c r="P244" t="str">
        <f>IF($J244="","",IF(AND(OR($I$3="(ทั้งหมด)",INDEX(บันทึกรายเที่ยว!$C$6:$C$10005,$J244)=$I$3),OR($I$5="(ทั้งหมด)",INDEX(บันทึกรายเที่ยว!$D$6:$D$10005,$J244)=$I$5),OR($I$7="(ทั้งหมด)",INDEX(บันทึกรายเที่ยว!$F$6:$F$10005,$J244)=$I$7)),$N244*10000000+$O244*1000+237,""))</f>
        <v/>
      </c>
      <c r="Q244" t="str">
        <f>IFERROR(MATCH(SMALL($P$8:$P$407,237),$P$8:$P$407,0),"")</f>
        <v/>
      </c>
      <c r="R244" t="str">
        <f t="shared" si="49"/>
        <v/>
      </c>
      <c r="S244" t="str">
        <f t="shared" si="50"/>
        <v/>
      </c>
      <c r="T244" t="str">
        <f t="shared" si="51"/>
        <v/>
      </c>
      <c r="U244" t="str">
        <f t="shared" si="52"/>
        <v/>
      </c>
      <c r="V244">
        <f t="shared" si="54"/>
        <v>0</v>
      </c>
      <c r="W244">
        <f t="shared" si="55"/>
        <v>0</v>
      </c>
      <c r="X244">
        <f>IF($Q244="",99999+237,$X243+1+$V243+$W243)</f>
        <v>100236</v>
      </c>
      <c r="Y244" t="str">
        <f>IF($Q244="","",INDEX(บันทึกรายเที่ยว!$Q$6:$Q$10005,$R244))</f>
        <v/>
      </c>
      <c r="Z244" t="str">
        <f>IF($Q244="","",INDEX(บันทึกรายเที่ยว!$F$6:$F$10005,$R244))</f>
        <v/>
      </c>
      <c r="AA244" t="str">
        <f>IFERROR(MATCH(237,$X$8:$X$407,1),"")</f>
        <v/>
      </c>
      <c r="AB244" t="str">
        <f>IF(237=$AD$1+1,"G",IF($AA244="","",IF(INDEX($Q$8:$Q$407,$AA244)="","",IF(237&gt;INDEX($X$8:$X$407,$AA244)+INDEX($V$8:$V$407,$AA244)+INDEX($W$8:$W$407,$AA244),"",IF(237=INDEX($X$8:$X$407,$AA244)+INDEX($V$8:$V$407,$AA244)+INDEX($W$8:$W$407,$AA244),"D",IF(AND(INDEX($W$8:$W$407,$AA244)=1,237=INDEX($X$8:$X$407,$AA244)+INDEX($V$8:$V$407,$AA244)),"S","R"))))))</f>
        <v/>
      </c>
      <c r="AC244" t="str">
        <f t="shared" si="53"/>
        <v/>
      </c>
      <c r="AE244">
        <f>IF($U244="",0,COUNTIF(บันทึกรายเที่ยว!$T$6:$T$10005,$U244))</f>
        <v>0</v>
      </c>
      <c r="AF244">
        <f>IF($U244="",0,ROUND(SUMIF(บันทึกรายเที่ยว!$T$6:$T$10005,$U244,บันทึกรายเที่ยว!$J$6:$J$10005),2))</f>
        <v>0</v>
      </c>
      <c r="AG244">
        <f>IF($U244="",0,ROUND(SUMIF(บันทึกรายเที่ยว!$T$6:$T$10005,$U244,บันทึกรายเที่ยว!$K$6:$K$10005),2))</f>
        <v>0</v>
      </c>
      <c r="AH244">
        <f>IF($U244="",0,ROUND(SUMIF(บันทึกรายเที่ยว!$T$6:$T$10005,$U244,บันทึกรายเที่ยว!$M$6:$M$10005),2))</f>
        <v>0</v>
      </c>
    </row>
    <row r="245" spans="1:34" ht="21" customHeight="1" x14ac:dyDescent="0.95">
      <c r="A245" s="3" t="str">
        <f t="shared" si="42"/>
        <v/>
      </c>
      <c r="B245" s="3" t="str">
        <f t="shared" si="43"/>
        <v/>
      </c>
      <c r="C245" s="8" t="str">
        <f t="shared" si="44"/>
        <v/>
      </c>
      <c r="D245" s="31" t="str">
        <f t="shared" si="45"/>
        <v/>
      </c>
      <c r="E245" s="32" t="str">
        <f>IF(238=$AD$1+3,"ขอแสดงความนับถือ",IF(238=$AD$1+6,"(                 )",IF(238=$AD$1+7,"เจ้าหน้าที่ขนส่ง",IF($AB245="G",SUM($AF$8:$AF$407),IF(OR($AB245="",$AB245="R"),"",IF($AB245="D",INDEX($AF$8:$AF$407,$AA245),SUMIF($T$8:$T$407,INDEX($T$8:$T$407,$AA245),$AF$8:$AF$407)))))))</f>
        <v/>
      </c>
      <c r="F245" s="32" t="str">
        <f t="shared" si="46"/>
        <v/>
      </c>
      <c r="G245" s="32" t="str">
        <f t="shared" si="47"/>
        <v/>
      </c>
      <c r="H245" s="32" t="str">
        <f t="shared" si="48"/>
        <v/>
      </c>
      <c r="J245" t="str">
        <f>IFERROR(MATCH(238,บันทึกรายเที่ยว!$W$6:$W$10005,0),"")</f>
        <v/>
      </c>
      <c r="K245" t="str">
        <f>IF($J245="","",INDEX(บันทึกรายเที่ยว!$T$6:$T$10005,$J245))</f>
        <v/>
      </c>
      <c r="L245" t="str">
        <f>IF($J245="","",INDEX(บันทึกรายเที่ยว!$S$6:$S$10005,$J245))</f>
        <v/>
      </c>
      <c r="M245" t="str">
        <f>IF($J245="","",INDEX(บันทึกรายเที่ยว!$R$6:$R$10005,$J245))</f>
        <v/>
      </c>
      <c r="N245" t="str">
        <f>IF($J245="","",MATCH($M245,บันทึกรายเที่ยว!$R$6:$R$10005,0))</f>
        <v/>
      </c>
      <c r="O245" t="str">
        <f>IF($J245="","",MATCH($L245,บันทึกรายเที่ยว!$S$6:$S$10005,0))</f>
        <v/>
      </c>
      <c r="P245" t="str">
        <f>IF($J245="","",IF(AND(OR($I$3="(ทั้งหมด)",INDEX(บันทึกรายเที่ยว!$C$6:$C$10005,$J245)=$I$3),OR($I$5="(ทั้งหมด)",INDEX(บันทึกรายเที่ยว!$D$6:$D$10005,$J245)=$I$5),OR($I$7="(ทั้งหมด)",INDEX(บันทึกรายเที่ยว!$F$6:$F$10005,$J245)=$I$7)),$N245*10000000+$O245*1000+238,""))</f>
        <v/>
      </c>
      <c r="Q245" t="str">
        <f>IFERROR(MATCH(SMALL($P$8:$P$407,238),$P$8:$P$407,0),"")</f>
        <v/>
      </c>
      <c r="R245" t="str">
        <f t="shared" si="49"/>
        <v/>
      </c>
      <c r="S245" t="str">
        <f t="shared" si="50"/>
        <v/>
      </c>
      <c r="T245" t="str">
        <f t="shared" si="51"/>
        <v/>
      </c>
      <c r="U245" t="str">
        <f t="shared" si="52"/>
        <v/>
      </c>
      <c r="V245">
        <f t="shared" si="54"/>
        <v>0</v>
      </c>
      <c r="W245">
        <f t="shared" si="55"/>
        <v>0</v>
      </c>
      <c r="X245">
        <f>IF($Q245="",99999+238,$X244+1+$V244+$W244)</f>
        <v>100237</v>
      </c>
      <c r="Y245" t="str">
        <f>IF($Q245="","",INDEX(บันทึกรายเที่ยว!$Q$6:$Q$10005,$R245))</f>
        <v/>
      </c>
      <c r="Z245" t="str">
        <f>IF($Q245="","",INDEX(บันทึกรายเที่ยว!$F$6:$F$10005,$R245))</f>
        <v/>
      </c>
      <c r="AA245" t="str">
        <f>IFERROR(MATCH(238,$X$8:$X$407,1),"")</f>
        <v/>
      </c>
      <c r="AB245" t="str">
        <f>IF(238=$AD$1+1,"G",IF($AA245="","",IF(INDEX($Q$8:$Q$407,$AA245)="","",IF(238&gt;INDEX($X$8:$X$407,$AA245)+INDEX($V$8:$V$407,$AA245)+INDEX($W$8:$W$407,$AA245),"",IF(238=INDEX($X$8:$X$407,$AA245)+INDEX($V$8:$V$407,$AA245)+INDEX($W$8:$W$407,$AA245),"D",IF(AND(INDEX($W$8:$W$407,$AA245)=1,238=INDEX($X$8:$X$407,$AA245)+INDEX($V$8:$V$407,$AA245)),"S","R"))))))</f>
        <v/>
      </c>
      <c r="AC245" t="str">
        <f t="shared" si="53"/>
        <v/>
      </c>
      <c r="AE245">
        <f>IF($U245="",0,COUNTIF(บันทึกรายเที่ยว!$T$6:$T$10005,$U245))</f>
        <v>0</v>
      </c>
      <c r="AF245">
        <f>IF($U245="",0,ROUND(SUMIF(บันทึกรายเที่ยว!$T$6:$T$10005,$U245,บันทึกรายเที่ยว!$J$6:$J$10005),2))</f>
        <v>0</v>
      </c>
      <c r="AG245">
        <f>IF($U245="",0,ROUND(SUMIF(บันทึกรายเที่ยว!$T$6:$T$10005,$U245,บันทึกรายเที่ยว!$K$6:$K$10005),2))</f>
        <v>0</v>
      </c>
      <c r="AH245">
        <f>IF($U245="",0,ROUND(SUMIF(บันทึกรายเที่ยว!$T$6:$T$10005,$U245,บันทึกรายเที่ยว!$M$6:$M$10005),2))</f>
        <v>0</v>
      </c>
    </row>
    <row r="246" spans="1:34" ht="21" customHeight="1" x14ac:dyDescent="0.95">
      <c r="A246" s="3" t="str">
        <f t="shared" si="42"/>
        <v/>
      </c>
      <c r="B246" s="3" t="str">
        <f t="shared" si="43"/>
        <v/>
      </c>
      <c r="C246" s="8" t="str">
        <f t="shared" si="44"/>
        <v/>
      </c>
      <c r="D246" s="31" t="str">
        <f t="shared" si="45"/>
        <v/>
      </c>
      <c r="E246" s="32" t="str">
        <f>IF(239=$AD$1+3,"ขอแสดงความนับถือ",IF(239=$AD$1+6,"(                 )",IF(239=$AD$1+7,"เจ้าหน้าที่ขนส่ง",IF($AB246="G",SUM($AF$8:$AF$407),IF(OR($AB246="",$AB246="R"),"",IF($AB246="D",INDEX($AF$8:$AF$407,$AA246),SUMIF($T$8:$T$407,INDEX($T$8:$T$407,$AA246),$AF$8:$AF$407)))))))</f>
        <v/>
      </c>
      <c r="F246" s="32" t="str">
        <f t="shared" si="46"/>
        <v/>
      </c>
      <c r="G246" s="32" t="str">
        <f t="shared" si="47"/>
        <v/>
      </c>
      <c r="H246" s="32" t="str">
        <f t="shared" si="48"/>
        <v/>
      </c>
      <c r="J246" t="str">
        <f>IFERROR(MATCH(239,บันทึกรายเที่ยว!$W$6:$W$10005,0),"")</f>
        <v/>
      </c>
      <c r="K246" t="str">
        <f>IF($J246="","",INDEX(บันทึกรายเที่ยว!$T$6:$T$10005,$J246))</f>
        <v/>
      </c>
      <c r="L246" t="str">
        <f>IF($J246="","",INDEX(บันทึกรายเที่ยว!$S$6:$S$10005,$J246))</f>
        <v/>
      </c>
      <c r="M246" t="str">
        <f>IF($J246="","",INDEX(บันทึกรายเที่ยว!$R$6:$R$10005,$J246))</f>
        <v/>
      </c>
      <c r="N246" t="str">
        <f>IF($J246="","",MATCH($M246,บันทึกรายเที่ยว!$R$6:$R$10005,0))</f>
        <v/>
      </c>
      <c r="O246" t="str">
        <f>IF($J246="","",MATCH($L246,บันทึกรายเที่ยว!$S$6:$S$10005,0))</f>
        <v/>
      </c>
      <c r="P246" t="str">
        <f>IF($J246="","",IF(AND(OR($I$3="(ทั้งหมด)",INDEX(บันทึกรายเที่ยว!$C$6:$C$10005,$J246)=$I$3),OR($I$5="(ทั้งหมด)",INDEX(บันทึกรายเที่ยว!$D$6:$D$10005,$J246)=$I$5),OR($I$7="(ทั้งหมด)",INDEX(บันทึกรายเที่ยว!$F$6:$F$10005,$J246)=$I$7)),$N246*10000000+$O246*1000+239,""))</f>
        <v/>
      </c>
      <c r="Q246" t="str">
        <f>IFERROR(MATCH(SMALL($P$8:$P$407,239),$P$8:$P$407,0),"")</f>
        <v/>
      </c>
      <c r="R246" t="str">
        <f t="shared" si="49"/>
        <v/>
      </c>
      <c r="S246" t="str">
        <f t="shared" si="50"/>
        <v/>
      </c>
      <c r="T246" t="str">
        <f t="shared" si="51"/>
        <v/>
      </c>
      <c r="U246" t="str">
        <f t="shared" si="52"/>
        <v/>
      </c>
      <c r="V246">
        <f t="shared" si="54"/>
        <v>0</v>
      </c>
      <c r="W246">
        <f t="shared" si="55"/>
        <v>0</v>
      </c>
      <c r="X246">
        <f>IF($Q246="",99999+239,$X245+1+$V245+$W245)</f>
        <v>100238</v>
      </c>
      <c r="Y246" t="str">
        <f>IF($Q246="","",INDEX(บันทึกรายเที่ยว!$Q$6:$Q$10005,$R246))</f>
        <v/>
      </c>
      <c r="Z246" t="str">
        <f>IF($Q246="","",INDEX(บันทึกรายเที่ยว!$F$6:$F$10005,$R246))</f>
        <v/>
      </c>
      <c r="AA246" t="str">
        <f>IFERROR(MATCH(239,$X$8:$X$407,1),"")</f>
        <v/>
      </c>
      <c r="AB246" t="str">
        <f>IF(239=$AD$1+1,"G",IF($AA246="","",IF(INDEX($Q$8:$Q$407,$AA246)="","",IF(239&gt;INDEX($X$8:$X$407,$AA246)+INDEX($V$8:$V$407,$AA246)+INDEX($W$8:$W$407,$AA246),"",IF(239=INDEX($X$8:$X$407,$AA246)+INDEX($V$8:$V$407,$AA246)+INDEX($W$8:$W$407,$AA246),"D",IF(AND(INDEX($W$8:$W$407,$AA246)=1,239=INDEX($X$8:$X$407,$AA246)+INDEX($V$8:$V$407,$AA246)),"S","R"))))))</f>
        <v/>
      </c>
      <c r="AC246" t="str">
        <f t="shared" si="53"/>
        <v/>
      </c>
      <c r="AE246">
        <f>IF($U246="",0,COUNTIF(บันทึกรายเที่ยว!$T$6:$T$10005,$U246))</f>
        <v>0</v>
      </c>
      <c r="AF246">
        <f>IF($U246="",0,ROUND(SUMIF(บันทึกรายเที่ยว!$T$6:$T$10005,$U246,บันทึกรายเที่ยว!$J$6:$J$10005),2))</f>
        <v>0</v>
      </c>
      <c r="AG246">
        <f>IF($U246="",0,ROUND(SUMIF(บันทึกรายเที่ยว!$T$6:$T$10005,$U246,บันทึกรายเที่ยว!$K$6:$K$10005),2))</f>
        <v>0</v>
      </c>
      <c r="AH246">
        <f>IF($U246="",0,ROUND(SUMIF(บันทึกรายเที่ยว!$T$6:$T$10005,$U246,บันทึกรายเที่ยว!$M$6:$M$10005),2))</f>
        <v>0</v>
      </c>
    </row>
    <row r="247" spans="1:34" ht="21" customHeight="1" x14ac:dyDescent="0.95">
      <c r="A247" s="3" t="str">
        <f t="shared" si="42"/>
        <v/>
      </c>
      <c r="B247" s="3" t="str">
        <f t="shared" si="43"/>
        <v/>
      </c>
      <c r="C247" s="8" t="str">
        <f t="shared" si="44"/>
        <v/>
      </c>
      <c r="D247" s="31" t="str">
        <f t="shared" si="45"/>
        <v/>
      </c>
      <c r="E247" s="32" t="str">
        <f>IF(240=$AD$1+3,"ขอแสดงความนับถือ",IF(240=$AD$1+6,"(                 )",IF(240=$AD$1+7,"เจ้าหน้าที่ขนส่ง",IF($AB247="G",SUM($AF$8:$AF$407),IF(OR($AB247="",$AB247="R"),"",IF($AB247="D",INDEX($AF$8:$AF$407,$AA247),SUMIF($T$8:$T$407,INDEX($T$8:$T$407,$AA247),$AF$8:$AF$407)))))))</f>
        <v/>
      </c>
      <c r="F247" s="32" t="str">
        <f t="shared" si="46"/>
        <v/>
      </c>
      <c r="G247" s="32" t="str">
        <f t="shared" si="47"/>
        <v/>
      </c>
      <c r="H247" s="32" t="str">
        <f t="shared" si="48"/>
        <v/>
      </c>
      <c r="J247" t="str">
        <f>IFERROR(MATCH(240,บันทึกรายเที่ยว!$W$6:$W$10005,0),"")</f>
        <v/>
      </c>
      <c r="K247" t="str">
        <f>IF($J247="","",INDEX(บันทึกรายเที่ยว!$T$6:$T$10005,$J247))</f>
        <v/>
      </c>
      <c r="L247" t="str">
        <f>IF($J247="","",INDEX(บันทึกรายเที่ยว!$S$6:$S$10005,$J247))</f>
        <v/>
      </c>
      <c r="M247" t="str">
        <f>IF($J247="","",INDEX(บันทึกรายเที่ยว!$R$6:$R$10005,$J247))</f>
        <v/>
      </c>
      <c r="N247" t="str">
        <f>IF($J247="","",MATCH($M247,บันทึกรายเที่ยว!$R$6:$R$10005,0))</f>
        <v/>
      </c>
      <c r="O247" t="str">
        <f>IF($J247="","",MATCH($L247,บันทึกรายเที่ยว!$S$6:$S$10005,0))</f>
        <v/>
      </c>
      <c r="P247" t="str">
        <f>IF($J247="","",IF(AND(OR($I$3="(ทั้งหมด)",INDEX(บันทึกรายเที่ยว!$C$6:$C$10005,$J247)=$I$3),OR($I$5="(ทั้งหมด)",INDEX(บันทึกรายเที่ยว!$D$6:$D$10005,$J247)=$I$5),OR($I$7="(ทั้งหมด)",INDEX(บันทึกรายเที่ยว!$F$6:$F$10005,$J247)=$I$7)),$N247*10000000+$O247*1000+240,""))</f>
        <v/>
      </c>
      <c r="Q247" t="str">
        <f>IFERROR(MATCH(SMALL($P$8:$P$407,240),$P$8:$P$407,0),"")</f>
        <v/>
      </c>
      <c r="R247" t="str">
        <f t="shared" si="49"/>
        <v/>
      </c>
      <c r="S247" t="str">
        <f t="shared" si="50"/>
        <v/>
      </c>
      <c r="T247" t="str">
        <f t="shared" si="51"/>
        <v/>
      </c>
      <c r="U247" t="str">
        <f t="shared" si="52"/>
        <v/>
      </c>
      <c r="V247">
        <f t="shared" si="54"/>
        <v>0</v>
      </c>
      <c r="W247">
        <f t="shared" si="55"/>
        <v>0</v>
      </c>
      <c r="X247">
        <f>IF($Q247="",99999+240,$X246+1+$V246+$W246)</f>
        <v>100239</v>
      </c>
      <c r="Y247" t="str">
        <f>IF($Q247="","",INDEX(บันทึกรายเที่ยว!$Q$6:$Q$10005,$R247))</f>
        <v/>
      </c>
      <c r="Z247" t="str">
        <f>IF($Q247="","",INDEX(บันทึกรายเที่ยว!$F$6:$F$10005,$R247))</f>
        <v/>
      </c>
      <c r="AA247" t="str">
        <f>IFERROR(MATCH(240,$X$8:$X$407,1),"")</f>
        <v/>
      </c>
      <c r="AB247" t="str">
        <f>IF(240=$AD$1+1,"G",IF($AA247="","",IF(INDEX($Q$8:$Q$407,$AA247)="","",IF(240&gt;INDEX($X$8:$X$407,$AA247)+INDEX($V$8:$V$407,$AA247)+INDEX($W$8:$W$407,$AA247),"",IF(240=INDEX($X$8:$X$407,$AA247)+INDEX($V$8:$V$407,$AA247)+INDEX($W$8:$W$407,$AA247),"D",IF(AND(INDEX($W$8:$W$407,$AA247)=1,240=INDEX($X$8:$X$407,$AA247)+INDEX($V$8:$V$407,$AA247)),"S","R"))))))</f>
        <v/>
      </c>
      <c r="AC247" t="str">
        <f t="shared" si="53"/>
        <v/>
      </c>
      <c r="AE247">
        <f>IF($U247="",0,COUNTIF(บันทึกรายเที่ยว!$T$6:$T$10005,$U247))</f>
        <v>0</v>
      </c>
      <c r="AF247">
        <f>IF($U247="",0,ROUND(SUMIF(บันทึกรายเที่ยว!$T$6:$T$10005,$U247,บันทึกรายเที่ยว!$J$6:$J$10005),2))</f>
        <v>0</v>
      </c>
      <c r="AG247">
        <f>IF($U247="",0,ROUND(SUMIF(บันทึกรายเที่ยว!$T$6:$T$10005,$U247,บันทึกรายเที่ยว!$K$6:$K$10005),2))</f>
        <v>0</v>
      </c>
      <c r="AH247">
        <f>IF($U247="",0,ROUND(SUMIF(บันทึกรายเที่ยว!$T$6:$T$10005,$U247,บันทึกรายเที่ยว!$M$6:$M$10005),2))</f>
        <v>0</v>
      </c>
    </row>
    <row r="248" spans="1:34" ht="21" customHeight="1" x14ac:dyDescent="0.95">
      <c r="A248" s="3" t="str">
        <f t="shared" si="42"/>
        <v/>
      </c>
      <c r="B248" s="3" t="str">
        <f t="shared" si="43"/>
        <v/>
      </c>
      <c r="C248" s="8" t="str">
        <f t="shared" si="44"/>
        <v/>
      </c>
      <c r="D248" s="31" t="str">
        <f t="shared" si="45"/>
        <v/>
      </c>
      <c r="E248" s="32" t="str">
        <f>IF(241=$AD$1+3,"ขอแสดงความนับถือ",IF(241=$AD$1+6,"(                 )",IF(241=$AD$1+7,"เจ้าหน้าที่ขนส่ง",IF($AB248="G",SUM($AF$8:$AF$407),IF(OR($AB248="",$AB248="R"),"",IF($AB248="D",INDEX($AF$8:$AF$407,$AA248),SUMIF($T$8:$T$407,INDEX($T$8:$T$407,$AA248),$AF$8:$AF$407)))))))</f>
        <v/>
      </c>
      <c r="F248" s="32" t="str">
        <f t="shared" si="46"/>
        <v/>
      </c>
      <c r="G248" s="32" t="str">
        <f t="shared" si="47"/>
        <v/>
      </c>
      <c r="H248" s="32" t="str">
        <f t="shared" si="48"/>
        <v/>
      </c>
      <c r="J248" t="str">
        <f>IFERROR(MATCH(241,บันทึกรายเที่ยว!$W$6:$W$10005,0),"")</f>
        <v/>
      </c>
      <c r="K248" t="str">
        <f>IF($J248="","",INDEX(บันทึกรายเที่ยว!$T$6:$T$10005,$J248))</f>
        <v/>
      </c>
      <c r="L248" t="str">
        <f>IF($J248="","",INDEX(บันทึกรายเที่ยว!$S$6:$S$10005,$J248))</f>
        <v/>
      </c>
      <c r="M248" t="str">
        <f>IF($J248="","",INDEX(บันทึกรายเที่ยว!$R$6:$R$10005,$J248))</f>
        <v/>
      </c>
      <c r="N248" t="str">
        <f>IF($J248="","",MATCH($M248,บันทึกรายเที่ยว!$R$6:$R$10005,0))</f>
        <v/>
      </c>
      <c r="O248" t="str">
        <f>IF($J248="","",MATCH($L248,บันทึกรายเที่ยว!$S$6:$S$10005,0))</f>
        <v/>
      </c>
      <c r="P248" t="str">
        <f>IF($J248="","",IF(AND(OR($I$3="(ทั้งหมด)",INDEX(บันทึกรายเที่ยว!$C$6:$C$10005,$J248)=$I$3),OR($I$5="(ทั้งหมด)",INDEX(บันทึกรายเที่ยว!$D$6:$D$10005,$J248)=$I$5),OR($I$7="(ทั้งหมด)",INDEX(บันทึกรายเที่ยว!$F$6:$F$10005,$J248)=$I$7)),$N248*10000000+$O248*1000+241,""))</f>
        <v/>
      </c>
      <c r="Q248" t="str">
        <f>IFERROR(MATCH(SMALL($P$8:$P$407,241),$P$8:$P$407,0),"")</f>
        <v/>
      </c>
      <c r="R248" t="str">
        <f t="shared" si="49"/>
        <v/>
      </c>
      <c r="S248" t="str">
        <f t="shared" si="50"/>
        <v/>
      </c>
      <c r="T248" t="str">
        <f t="shared" si="51"/>
        <v/>
      </c>
      <c r="U248" t="str">
        <f t="shared" si="52"/>
        <v/>
      </c>
      <c r="V248">
        <f t="shared" si="54"/>
        <v>0</v>
      </c>
      <c r="W248">
        <f t="shared" si="55"/>
        <v>0</v>
      </c>
      <c r="X248">
        <f>IF($Q248="",99999+241,$X247+1+$V247+$W247)</f>
        <v>100240</v>
      </c>
      <c r="Y248" t="str">
        <f>IF($Q248="","",INDEX(บันทึกรายเที่ยว!$Q$6:$Q$10005,$R248))</f>
        <v/>
      </c>
      <c r="Z248" t="str">
        <f>IF($Q248="","",INDEX(บันทึกรายเที่ยว!$F$6:$F$10005,$R248))</f>
        <v/>
      </c>
      <c r="AA248" t="str">
        <f>IFERROR(MATCH(241,$X$8:$X$407,1),"")</f>
        <v/>
      </c>
      <c r="AB248" t="str">
        <f>IF(241=$AD$1+1,"G",IF($AA248="","",IF(INDEX($Q$8:$Q$407,$AA248)="","",IF(241&gt;INDEX($X$8:$X$407,$AA248)+INDEX($V$8:$V$407,$AA248)+INDEX($W$8:$W$407,$AA248),"",IF(241=INDEX($X$8:$X$407,$AA248)+INDEX($V$8:$V$407,$AA248)+INDEX($W$8:$W$407,$AA248),"D",IF(AND(INDEX($W$8:$W$407,$AA248)=1,241=INDEX($X$8:$X$407,$AA248)+INDEX($V$8:$V$407,$AA248)),"S","R"))))))</f>
        <v/>
      </c>
      <c r="AC248" t="str">
        <f t="shared" si="53"/>
        <v/>
      </c>
      <c r="AE248">
        <f>IF($U248="",0,COUNTIF(บันทึกรายเที่ยว!$T$6:$T$10005,$U248))</f>
        <v>0</v>
      </c>
      <c r="AF248">
        <f>IF($U248="",0,ROUND(SUMIF(บันทึกรายเที่ยว!$T$6:$T$10005,$U248,บันทึกรายเที่ยว!$J$6:$J$10005),2))</f>
        <v>0</v>
      </c>
      <c r="AG248">
        <f>IF($U248="",0,ROUND(SUMIF(บันทึกรายเที่ยว!$T$6:$T$10005,$U248,บันทึกรายเที่ยว!$K$6:$K$10005),2))</f>
        <v>0</v>
      </c>
      <c r="AH248">
        <f>IF($U248="",0,ROUND(SUMIF(บันทึกรายเที่ยว!$T$6:$T$10005,$U248,บันทึกรายเที่ยว!$M$6:$M$10005),2))</f>
        <v>0</v>
      </c>
    </row>
    <row r="249" spans="1:34" ht="21" customHeight="1" x14ac:dyDescent="0.95">
      <c r="A249" s="3" t="str">
        <f t="shared" si="42"/>
        <v/>
      </c>
      <c r="B249" s="3" t="str">
        <f t="shared" si="43"/>
        <v/>
      </c>
      <c r="C249" s="8" t="str">
        <f t="shared" si="44"/>
        <v/>
      </c>
      <c r="D249" s="31" t="str">
        <f t="shared" si="45"/>
        <v/>
      </c>
      <c r="E249" s="32" t="str">
        <f>IF(242=$AD$1+3,"ขอแสดงความนับถือ",IF(242=$AD$1+6,"(                 )",IF(242=$AD$1+7,"เจ้าหน้าที่ขนส่ง",IF($AB249="G",SUM($AF$8:$AF$407),IF(OR($AB249="",$AB249="R"),"",IF($AB249="D",INDEX($AF$8:$AF$407,$AA249),SUMIF($T$8:$T$407,INDEX($T$8:$T$407,$AA249),$AF$8:$AF$407)))))))</f>
        <v/>
      </c>
      <c r="F249" s="32" t="str">
        <f t="shared" si="46"/>
        <v/>
      </c>
      <c r="G249" s="32" t="str">
        <f t="shared" si="47"/>
        <v/>
      </c>
      <c r="H249" s="32" t="str">
        <f t="shared" si="48"/>
        <v/>
      </c>
      <c r="J249" t="str">
        <f>IFERROR(MATCH(242,บันทึกรายเที่ยว!$W$6:$W$10005,0),"")</f>
        <v/>
      </c>
      <c r="K249" t="str">
        <f>IF($J249="","",INDEX(บันทึกรายเที่ยว!$T$6:$T$10005,$J249))</f>
        <v/>
      </c>
      <c r="L249" t="str">
        <f>IF($J249="","",INDEX(บันทึกรายเที่ยว!$S$6:$S$10005,$J249))</f>
        <v/>
      </c>
      <c r="M249" t="str">
        <f>IF($J249="","",INDEX(บันทึกรายเที่ยว!$R$6:$R$10005,$J249))</f>
        <v/>
      </c>
      <c r="N249" t="str">
        <f>IF($J249="","",MATCH($M249,บันทึกรายเที่ยว!$R$6:$R$10005,0))</f>
        <v/>
      </c>
      <c r="O249" t="str">
        <f>IF($J249="","",MATCH($L249,บันทึกรายเที่ยว!$S$6:$S$10005,0))</f>
        <v/>
      </c>
      <c r="P249" t="str">
        <f>IF($J249="","",IF(AND(OR($I$3="(ทั้งหมด)",INDEX(บันทึกรายเที่ยว!$C$6:$C$10005,$J249)=$I$3),OR($I$5="(ทั้งหมด)",INDEX(บันทึกรายเที่ยว!$D$6:$D$10005,$J249)=$I$5),OR($I$7="(ทั้งหมด)",INDEX(บันทึกรายเที่ยว!$F$6:$F$10005,$J249)=$I$7)),$N249*10000000+$O249*1000+242,""))</f>
        <v/>
      </c>
      <c r="Q249" t="str">
        <f>IFERROR(MATCH(SMALL($P$8:$P$407,242),$P$8:$P$407,0),"")</f>
        <v/>
      </c>
      <c r="R249" t="str">
        <f t="shared" si="49"/>
        <v/>
      </c>
      <c r="S249" t="str">
        <f t="shared" si="50"/>
        <v/>
      </c>
      <c r="T249" t="str">
        <f t="shared" si="51"/>
        <v/>
      </c>
      <c r="U249" t="str">
        <f t="shared" si="52"/>
        <v/>
      </c>
      <c r="V249">
        <f t="shared" si="54"/>
        <v>0</v>
      </c>
      <c r="W249">
        <f t="shared" si="55"/>
        <v>0</v>
      </c>
      <c r="X249">
        <f>IF($Q249="",99999+242,$X248+1+$V248+$W248)</f>
        <v>100241</v>
      </c>
      <c r="Y249" t="str">
        <f>IF($Q249="","",INDEX(บันทึกรายเที่ยว!$Q$6:$Q$10005,$R249))</f>
        <v/>
      </c>
      <c r="Z249" t="str">
        <f>IF($Q249="","",INDEX(บันทึกรายเที่ยว!$F$6:$F$10005,$R249))</f>
        <v/>
      </c>
      <c r="AA249" t="str">
        <f>IFERROR(MATCH(242,$X$8:$X$407,1),"")</f>
        <v/>
      </c>
      <c r="AB249" t="str">
        <f>IF(242=$AD$1+1,"G",IF($AA249="","",IF(INDEX($Q$8:$Q$407,$AA249)="","",IF(242&gt;INDEX($X$8:$X$407,$AA249)+INDEX($V$8:$V$407,$AA249)+INDEX($W$8:$W$407,$AA249),"",IF(242=INDEX($X$8:$X$407,$AA249)+INDEX($V$8:$V$407,$AA249)+INDEX($W$8:$W$407,$AA249),"D",IF(AND(INDEX($W$8:$W$407,$AA249)=1,242=INDEX($X$8:$X$407,$AA249)+INDEX($V$8:$V$407,$AA249)),"S","R"))))))</f>
        <v/>
      </c>
      <c r="AC249" t="str">
        <f t="shared" si="53"/>
        <v/>
      </c>
      <c r="AE249">
        <f>IF($U249="",0,COUNTIF(บันทึกรายเที่ยว!$T$6:$T$10005,$U249))</f>
        <v>0</v>
      </c>
      <c r="AF249">
        <f>IF($U249="",0,ROUND(SUMIF(บันทึกรายเที่ยว!$T$6:$T$10005,$U249,บันทึกรายเที่ยว!$J$6:$J$10005),2))</f>
        <v>0</v>
      </c>
      <c r="AG249">
        <f>IF($U249="",0,ROUND(SUMIF(บันทึกรายเที่ยว!$T$6:$T$10005,$U249,บันทึกรายเที่ยว!$K$6:$K$10005),2))</f>
        <v>0</v>
      </c>
      <c r="AH249">
        <f>IF($U249="",0,ROUND(SUMIF(บันทึกรายเที่ยว!$T$6:$T$10005,$U249,บันทึกรายเที่ยว!$M$6:$M$10005),2))</f>
        <v>0</v>
      </c>
    </row>
    <row r="250" spans="1:34" ht="21" customHeight="1" x14ac:dyDescent="0.95">
      <c r="A250" s="3" t="str">
        <f t="shared" si="42"/>
        <v/>
      </c>
      <c r="B250" s="3" t="str">
        <f t="shared" si="43"/>
        <v/>
      </c>
      <c r="C250" s="8" t="str">
        <f t="shared" si="44"/>
        <v/>
      </c>
      <c r="D250" s="31" t="str">
        <f t="shared" si="45"/>
        <v/>
      </c>
      <c r="E250" s="32" t="str">
        <f>IF(243=$AD$1+3,"ขอแสดงความนับถือ",IF(243=$AD$1+6,"(                 )",IF(243=$AD$1+7,"เจ้าหน้าที่ขนส่ง",IF($AB250="G",SUM($AF$8:$AF$407),IF(OR($AB250="",$AB250="R"),"",IF($AB250="D",INDEX($AF$8:$AF$407,$AA250),SUMIF($T$8:$T$407,INDEX($T$8:$T$407,$AA250),$AF$8:$AF$407)))))))</f>
        <v/>
      </c>
      <c r="F250" s="32" t="str">
        <f t="shared" si="46"/>
        <v/>
      </c>
      <c r="G250" s="32" t="str">
        <f t="shared" si="47"/>
        <v/>
      </c>
      <c r="H250" s="32" t="str">
        <f t="shared" si="48"/>
        <v/>
      </c>
      <c r="J250" t="str">
        <f>IFERROR(MATCH(243,บันทึกรายเที่ยว!$W$6:$W$10005,0),"")</f>
        <v/>
      </c>
      <c r="K250" t="str">
        <f>IF($J250="","",INDEX(บันทึกรายเที่ยว!$T$6:$T$10005,$J250))</f>
        <v/>
      </c>
      <c r="L250" t="str">
        <f>IF($J250="","",INDEX(บันทึกรายเที่ยว!$S$6:$S$10005,$J250))</f>
        <v/>
      </c>
      <c r="M250" t="str">
        <f>IF($J250="","",INDEX(บันทึกรายเที่ยว!$R$6:$R$10005,$J250))</f>
        <v/>
      </c>
      <c r="N250" t="str">
        <f>IF($J250="","",MATCH($M250,บันทึกรายเที่ยว!$R$6:$R$10005,0))</f>
        <v/>
      </c>
      <c r="O250" t="str">
        <f>IF($J250="","",MATCH($L250,บันทึกรายเที่ยว!$S$6:$S$10005,0))</f>
        <v/>
      </c>
      <c r="P250" t="str">
        <f>IF($J250="","",IF(AND(OR($I$3="(ทั้งหมด)",INDEX(บันทึกรายเที่ยว!$C$6:$C$10005,$J250)=$I$3),OR($I$5="(ทั้งหมด)",INDEX(บันทึกรายเที่ยว!$D$6:$D$10005,$J250)=$I$5),OR($I$7="(ทั้งหมด)",INDEX(บันทึกรายเที่ยว!$F$6:$F$10005,$J250)=$I$7)),$N250*10000000+$O250*1000+243,""))</f>
        <v/>
      </c>
      <c r="Q250" t="str">
        <f>IFERROR(MATCH(SMALL($P$8:$P$407,243),$P$8:$P$407,0),"")</f>
        <v/>
      </c>
      <c r="R250" t="str">
        <f t="shared" si="49"/>
        <v/>
      </c>
      <c r="S250" t="str">
        <f t="shared" si="50"/>
        <v/>
      </c>
      <c r="T250" t="str">
        <f t="shared" si="51"/>
        <v/>
      </c>
      <c r="U250" t="str">
        <f t="shared" si="52"/>
        <v/>
      </c>
      <c r="V250">
        <f t="shared" si="54"/>
        <v>0</v>
      </c>
      <c r="W250">
        <f t="shared" si="55"/>
        <v>0</v>
      </c>
      <c r="X250">
        <f>IF($Q250="",99999+243,$X249+1+$V249+$W249)</f>
        <v>100242</v>
      </c>
      <c r="Y250" t="str">
        <f>IF($Q250="","",INDEX(บันทึกรายเที่ยว!$Q$6:$Q$10005,$R250))</f>
        <v/>
      </c>
      <c r="Z250" t="str">
        <f>IF($Q250="","",INDEX(บันทึกรายเที่ยว!$F$6:$F$10005,$R250))</f>
        <v/>
      </c>
      <c r="AA250" t="str">
        <f>IFERROR(MATCH(243,$X$8:$X$407,1),"")</f>
        <v/>
      </c>
      <c r="AB250" t="str">
        <f>IF(243=$AD$1+1,"G",IF($AA250="","",IF(INDEX($Q$8:$Q$407,$AA250)="","",IF(243&gt;INDEX($X$8:$X$407,$AA250)+INDEX($V$8:$V$407,$AA250)+INDEX($W$8:$W$407,$AA250),"",IF(243=INDEX($X$8:$X$407,$AA250)+INDEX($V$8:$V$407,$AA250)+INDEX($W$8:$W$407,$AA250),"D",IF(AND(INDEX($W$8:$W$407,$AA250)=1,243=INDEX($X$8:$X$407,$AA250)+INDEX($V$8:$V$407,$AA250)),"S","R"))))))</f>
        <v/>
      </c>
      <c r="AC250" t="str">
        <f t="shared" si="53"/>
        <v/>
      </c>
      <c r="AE250">
        <f>IF($U250="",0,COUNTIF(บันทึกรายเที่ยว!$T$6:$T$10005,$U250))</f>
        <v>0</v>
      </c>
      <c r="AF250">
        <f>IF($U250="",0,ROUND(SUMIF(บันทึกรายเที่ยว!$T$6:$T$10005,$U250,บันทึกรายเที่ยว!$J$6:$J$10005),2))</f>
        <v>0</v>
      </c>
      <c r="AG250">
        <f>IF($U250="",0,ROUND(SUMIF(บันทึกรายเที่ยว!$T$6:$T$10005,$U250,บันทึกรายเที่ยว!$K$6:$K$10005),2))</f>
        <v>0</v>
      </c>
      <c r="AH250">
        <f>IF($U250="",0,ROUND(SUMIF(บันทึกรายเที่ยว!$T$6:$T$10005,$U250,บันทึกรายเที่ยว!$M$6:$M$10005),2))</f>
        <v>0</v>
      </c>
    </row>
    <row r="251" spans="1:34" ht="21" customHeight="1" x14ac:dyDescent="0.95">
      <c r="A251" s="3" t="str">
        <f t="shared" si="42"/>
        <v/>
      </c>
      <c r="B251" s="3" t="str">
        <f t="shared" si="43"/>
        <v/>
      </c>
      <c r="C251" s="8" t="str">
        <f t="shared" si="44"/>
        <v/>
      </c>
      <c r="D251" s="31" t="str">
        <f t="shared" si="45"/>
        <v/>
      </c>
      <c r="E251" s="32" t="str">
        <f>IF(244=$AD$1+3,"ขอแสดงความนับถือ",IF(244=$AD$1+6,"(                 )",IF(244=$AD$1+7,"เจ้าหน้าที่ขนส่ง",IF($AB251="G",SUM($AF$8:$AF$407),IF(OR($AB251="",$AB251="R"),"",IF($AB251="D",INDEX($AF$8:$AF$407,$AA251),SUMIF($T$8:$T$407,INDEX($T$8:$T$407,$AA251),$AF$8:$AF$407)))))))</f>
        <v/>
      </c>
      <c r="F251" s="32" t="str">
        <f t="shared" si="46"/>
        <v/>
      </c>
      <c r="G251" s="32" t="str">
        <f t="shared" si="47"/>
        <v/>
      </c>
      <c r="H251" s="32" t="str">
        <f t="shared" si="48"/>
        <v/>
      </c>
      <c r="J251" t="str">
        <f>IFERROR(MATCH(244,บันทึกรายเที่ยว!$W$6:$W$10005,0),"")</f>
        <v/>
      </c>
      <c r="K251" t="str">
        <f>IF($J251="","",INDEX(บันทึกรายเที่ยว!$T$6:$T$10005,$J251))</f>
        <v/>
      </c>
      <c r="L251" t="str">
        <f>IF($J251="","",INDEX(บันทึกรายเที่ยว!$S$6:$S$10005,$J251))</f>
        <v/>
      </c>
      <c r="M251" t="str">
        <f>IF($J251="","",INDEX(บันทึกรายเที่ยว!$R$6:$R$10005,$J251))</f>
        <v/>
      </c>
      <c r="N251" t="str">
        <f>IF($J251="","",MATCH($M251,บันทึกรายเที่ยว!$R$6:$R$10005,0))</f>
        <v/>
      </c>
      <c r="O251" t="str">
        <f>IF($J251="","",MATCH($L251,บันทึกรายเที่ยว!$S$6:$S$10005,0))</f>
        <v/>
      </c>
      <c r="P251" t="str">
        <f>IF($J251="","",IF(AND(OR($I$3="(ทั้งหมด)",INDEX(บันทึกรายเที่ยว!$C$6:$C$10005,$J251)=$I$3),OR($I$5="(ทั้งหมด)",INDEX(บันทึกรายเที่ยว!$D$6:$D$10005,$J251)=$I$5),OR($I$7="(ทั้งหมด)",INDEX(บันทึกรายเที่ยว!$F$6:$F$10005,$J251)=$I$7)),$N251*10000000+$O251*1000+244,""))</f>
        <v/>
      </c>
      <c r="Q251" t="str">
        <f>IFERROR(MATCH(SMALL($P$8:$P$407,244),$P$8:$P$407,0),"")</f>
        <v/>
      </c>
      <c r="R251" t="str">
        <f t="shared" si="49"/>
        <v/>
      </c>
      <c r="S251" t="str">
        <f t="shared" si="50"/>
        <v/>
      </c>
      <c r="T251" t="str">
        <f t="shared" si="51"/>
        <v/>
      </c>
      <c r="U251" t="str">
        <f t="shared" si="52"/>
        <v/>
      </c>
      <c r="V251">
        <f t="shared" si="54"/>
        <v>0</v>
      </c>
      <c r="W251">
        <f t="shared" si="55"/>
        <v>0</v>
      </c>
      <c r="X251">
        <f>IF($Q251="",99999+244,$X250+1+$V250+$W250)</f>
        <v>100243</v>
      </c>
      <c r="Y251" t="str">
        <f>IF($Q251="","",INDEX(บันทึกรายเที่ยว!$Q$6:$Q$10005,$R251))</f>
        <v/>
      </c>
      <c r="Z251" t="str">
        <f>IF($Q251="","",INDEX(บันทึกรายเที่ยว!$F$6:$F$10005,$R251))</f>
        <v/>
      </c>
      <c r="AA251" t="str">
        <f>IFERROR(MATCH(244,$X$8:$X$407,1),"")</f>
        <v/>
      </c>
      <c r="AB251" t="str">
        <f>IF(244=$AD$1+1,"G",IF($AA251="","",IF(INDEX($Q$8:$Q$407,$AA251)="","",IF(244&gt;INDEX($X$8:$X$407,$AA251)+INDEX($V$8:$V$407,$AA251)+INDEX($W$8:$W$407,$AA251),"",IF(244=INDEX($X$8:$X$407,$AA251)+INDEX($V$8:$V$407,$AA251)+INDEX($W$8:$W$407,$AA251),"D",IF(AND(INDEX($W$8:$W$407,$AA251)=1,244=INDEX($X$8:$X$407,$AA251)+INDEX($V$8:$V$407,$AA251)),"S","R"))))))</f>
        <v/>
      </c>
      <c r="AC251" t="str">
        <f t="shared" si="53"/>
        <v/>
      </c>
      <c r="AE251">
        <f>IF($U251="",0,COUNTIF(บันทึกรายเที่ยว!$T$6:$T$10005,$U251))</f>
        <v>0</v>
      </c>
      <c r="AF251">
        <f>IF($U251="",0,ROUND(SUMIF(บันทึกรายเที่ยว!$T$6:$T$10005,$U251,บันทึกรายเที่ยว!$J$6:$J$10005),2))</f>
        <v>0</v>
      </c>
      <c r="AG251">
        <f>IF($U251="",0,ROUND(SUMIF(บันทึกรายเที่ยว!$T$6:$T$10005,$U251,บันทึกรายเที่ยว!$K$6:$K$10005),2))</f>
        <v>0</v>
      </c>
      <c r="AH251">
        <f>IF($U251="",0,ROUND(SUMIF(บันทึกรายเที่ยว!$T$6:$T$10005,$U251,บันทึกรายเที่ยว!$M$6:$M$10005),2))</f>
        <v>0</v>
      </c>
    </row>
    <row r="252" spans="1:34" ht="21" customHeight="1" x14ac:dyDescent="0.95">
      <c r="A252" s="3" t="str">
        <f t="shared" si="42"/>
        <v/>
      </c>
      <c r="B252" s="3" t="str">
        <f t="shared" si="43"/>
        <v/>
      </c>
      <c r="C252" s="8" t="str">
        <f t="shared" si="44"/>
        <v/>
      </c>
      <c r="D252" s="31" t="str">
        <f t="shared" si="45"/>
        <v/>
      </c>
      <c r="E252" s="32" t="str">
        <f>IF(245=$AD$1+3,"ขอแสดงความนับถือ",IF(245=$AD$1+6,"(                 )",IF(245=$AD$1+7,"เจ้าหน้าที่ขนส่ง",IF($AB252="G",SUM($AF$8:$AF$407),IF(OR($AB252="",$AB252="R"),"",IF($AB252="D",INDEX($AF$8:$AF$407,$AA252),SUMIF($T$8:$T$407,INDEX($T$8:$T$407,$AA252),$AF$8:$AF$407)))))))</f>
        <v/>
      </c>
      <c r="F252" s="32" t="str">
        <f t="shared" si="46"/>
        <v/>
      </c>
      <c r="G252" s="32" t="str">
        <f t="shared" si="47"/>
        <v/>
      </c>
      <c r="H252" s="32" t="str">
        <f t="shared" si="48"/>
        <v/>
      </c>
      <c r="J252" t="str">
        <f>IFERROR(MATCH(245,บันทึกรายเที่ยว!$W$6:$W$10005,0),"")</f>
        <v/>
      </c>
      <c r="K252" t="str">
        <f>IF($J252="","",INDEX(บันทึกรายเที่ยว!$T$6:$T$10005,$J252))</f>
        <v/>
      </c>
      <c r="L252" t="str">
        <f>IF($J252="","",INDEX(บันทึกรายเที่ยว!$S$6:$S$10005,$J252))</f>
        <v/>
      </c>
      <c r="M252" t="str">
        <f>IF($J252="","",INDEX(บันทึกรายเที่ยว!$R$6:$R$10005,$J252))</f>
        <v/>
      </c>
      <c r="N252" t="str">
        <f>IF($J252="","",MATCH($M252,บันทึกรายเที่ยว!$R$6:$R$10005,0))</f>
        <v/>
      </c>
      <c r="O252" t="str">
        <f>IF($J252="","",MATCH($L252,บันทึกรายเที่ยว!$S$6:$S$10005,0))</f>
        <v/>
      </c>
      <c r="P252" t="str">
        <f>IF($J252="","",IF(AND(OR($I$3="(ทั้งหมด)",INDEX(บันทึกรายเที่ยว!$C$6:$C$10005,$J252)=$I$3),OR($I$5="(ทั้งหมด)",INDEX(บันทึกรายเที่ยว!$D$6:$D$10005,$J252)=$I$5),OR($I$7="(ทั้งหมด)",INDEX(บันทึกรายเที่ยว!$F$6:$F$10005,$J252)=$I$7)),$N252*10000000+$O252*1000+245,""))</f>
        <v/>
      </c>
      <c r="Q252" t="str">
        <f>IFERROR(MATCH(SMALL($P$8:$P$407,245),$P$8:$P$407,0),"")</f>
        <v/>
      </c>
      <c r="R252" t="str">
        <f t="shared" si="49"/>
        <v/>
      </c>
      <c r="S252" t="str">
        <f t="shared" si="50"/>
        <v/>
      </c>
      <c r="T252" t="str">
        <f t="shared" si="51"/>
        <v/>
      </c>
      <c r="U252" t="str">
        <f t="shared" si="52"/>
        <v/>
      </c>
      <c r="V252">
        <f t="shared" si="54"/>
        <v>0</v>
      </c>
      <c r="W252">
        <f t="shared" si="55"/>
        <v>0</v>
      </c>
      <c r="X252">
        <f>IF($Q252="",99999+245,$X251+1+$V251+$W251)</f>
        <v>100244</v>
      </c>
      <c r="Y252" t="str">
        <f>IF($Q252="","",INDEX(บันทึกรายเที่ยว!$Q$6:$Q$10005,$R252))</f>
        <v/>
      </c>
      <c r="Z252" t="str">
        <f>IF($Q252="","",INDEX(บันทึกรายเที่ยว!$F$6:$F$10005,$R252))</f>
        <v/>
      </c>
      <c r="AA252" t="str">
        <f>IFERROR(MATCH(245,$X$8:$X$407,1),"")</f>
        <v/>
      </c>
      <c r="AB252" t="str">
        <f>IF(245=$AD$1+1,"G",IF($AA252="","",IF(INDEX($Q$8:$Q$407,$AA252)="","",IF(245&gt;INDEX($X$8:$X$407,$AA252)+INDEX($V$8:$V$407,$AA252)+INDEX($W$8:$W$407,$AA252),"",IF(245=INDEX($X$8:$X$407,$AA252)+INDEX($V$8:$V$407,$AA252)+INDEX($W$8:$W$407,$AA252),"D",IF(AND(INDEX($W$8:$W$407,$AA252)=1,245=INDEX($X$8:$X$407,$AA252)+INDEX($V$8:$V$407,$AA252)),"S","R"))))))</f>
        <v/>
      </c>
      <c r="AC252" t="str">
        <f t="shared" si="53"/>
        <v/>
      </c>
      <c r="AE252">
        <f>IF($U252="",0,COUNTIF(บันทึกรายเที่ยว!$T$6:$T$10005,$U252))</f>
        <v>0</v>
      </c>
      <c r="AF252">
        <f>IF($U252="",0,ROUND(SUMIF(บันทึกรายเที่ยว!$T$6:$T$10005,$U252,บันทึกรายเที่ยว!$J$6:$J$10005),2))</f>
        <v>0</v>
      </c>
      <c r="AG252">
        <f>IF($U252="",0,ROUND(SUMIF(บันทึกรายเที่ยว!$T$6:$T$10005,$U252,บันทึกรายเที่ยว!$K$6:$K$10005),2))</f>
        <v>0</v>
      </c>
      <c r="AH252">
        <f>IF($U252="",0,ROUND(SUMIF(บันทึกรายเที่ยว!$T$6:$T$10005,$U252,บันทึกรายเที่ยว!$M$6:$M$10005),2))</f>
        <v>0</v>
      </c>
    </row>
    <row r="253" spans="1:34" ht="21" customHeight="1" x14ac:dyDescent="0.95">
      <c r="A253" s="3" t="str">
        <f t="shared" si="42"/>
        <v/>
      </c>
      <c r="B253" s="3" t="str">
        <f t="shared" si="43"/>
        <v/>
      </c>
      <c r="C253" s="8" t="str">
        <f t="shared" si="44"/>
        <v/>
      </c>
      <c r="D253" s="31" t="str">
        <f t="shared" si="45"/>
        <v/>
      </c>
      <c r="E253" s="32" t="str">
        <f>IF(246=$AD$1+3,"ขอแสดงความนับถือ",IF(246=$AD$1+6,"(                 )",IF(246=$AD$1+7,"เจ้าหน้าที่ขนส่ง",IF($AB253="G",SUM($AF$8:$AF$407),IF(OR($AB253="",$AB253="R"),"",IF($AB253="D",INDEX($AF$8:$AF$407,$AA253),SUMIF($T$8:$T$407,INDEX($T$8:$T$407,$AA253),$AF$8:$AF$407)))))))</f>
        <v/>
      </c>
      <c r="F253" s="32" t="str">
        <f t="shared" si="46"/>
        <v/>
      </c>
      <c r="G253" s="32" t="str">
        <f t="shared" si="47"/>
        <v/>
      </c>
      <c r="H253" s="32" t="str">
        <f t="shared" si="48"/>
        <v/>
      </c>
      <c r="J253" t="str">
        <f>IFERROR(MATCH(246,บันทึกรายเที่ยว!$W$6:$W$10005,0),"")</f>
        <v/>
      </c>
      <c r="K253" t="str">
        <f>IF($J253="","",INDEX(บันทึกรายเที่ยว!$T$6:$T$10005,$J253))</f>
        <v/>
      </c>
      <c r="L253" t="str">
        <f>IF($J253="","",INDEX(บันทึกรายเที่ยว!$S$6:$S$10005,$J253))</f>
        <v/>
      </c>
      <c r="M253" t="str">
        <f>IF($J253="","",INDEX(บันทึกรายเที่ยว!$R$6:$R$10005,$J253))</f>
        <v/>
      </c>
      <c r="N253" t="str">
        <f>IF($J253="","",MATCH($M253,บันทึกรายเที่ยว!$R$6:$R$10005,0))</f>
        <v/>
      </c>
      <c r="O253" t="str">
        <f>IF($J253="","",MATCH($L253,บันทึกรายเที่ยว!$S$6:$S$10005,0))</f>
        <v/>
      </c>
      <c r="P253" t="str">
        <f>IF($J253="","",IF(AND(OR($I$3="(ทั้งหมด)",INDEX(บันทึกรายเที่ยว!$C$6:$C$10005,$J253)=$I$3),OR($I$5="(ทั้งหมด)",INDEX(บันทึกรายเที่ยว!$D$6:$D$10005,$J253)=$I$5),OR($I$7="(ทั้งหมด)",INDEX(บันทึกรายเที่ยว!$F$6:$F$10005,$J253)=$I$7)),$N253*10000000+$O253*1000+246,""))</f>
        <v/>
      </c>
      <c r="Q253" t="str">
        <f>IFERROR(MATCH(SMALL($P$8:$P$407,246),$P$8:$P$407,0),"")</f>
        <v/>
      </c>
      <c r="R253" t="str">
        <f t="shared" si="49"/>
        <v/>
      </c>
      <c r="S253" t="str">
        <f t="shared" si="50"/>
        <v/>
      </c>
      <c r="T253" t="str">
        <f t="shared" si="51"/>
        <v/>
      </c>
      <c r="U253" t="str">
        <f t="shared" si="52"/>
        <v/>
      </c>
      <c r="V253">
        <f t="shared" si="54"/>
        <v>0</v>
      </c>
      <c r="W253">
        <f t="shared" si="55"/>
        <v>0</v>
      </c>
      <c r="X253">
        <f>IF($Q253="",99999+246,$X252+1+$V252+$W252)</f>
        <v>100245</v>
      </c>
      <c r="Y253" t="str">
        <f>IF($Q253="","",INDEX(บันทึกรายเที่ยว!$Q$6:$Q$10005,$R253))</f>
        <v/>
      </c>
      <c r="Z253" t="str">
        <f>IF($Q253="","",INDEX(บันทึกรายเที่ยว!$F$6:$F$10005,$R253))</f>
        <v/>
      </c>
      <c r="AA253" t="str">
        <f>IFERROR(MATCH(246,$X$8:$X$407,1),"")</f>
        <v/>
      </c>
      <c r="AB253" t="str">
        <f>IF(246=$AD$1+1,"G",IF($AA253="","",IF(INDEX($Q$8:$Q$407,$AA253)="","",IF(246&gt;INDEX($X$8:$X$407,$AA253)+INDEX($V$8:$V$407,$AA253)+INDEX($W$8:$W$407,$AA253),"",IF(246=INDEX($X$8:$X$407,$AA253)+INDEX($V$8:$V$407,$AA253)+INDEX($W$8:$W$407,$AA253),"D",IF(AND(INDEX($W$8:$W$407,$AA253)=1,246=INDEX($X$8:$X$407,$AA253)+INDEX($V$8:$V$407,$AA253)),"S","R"))))))</f>
        <v/>
      </c>
      <c r="AC253" t="str">
        <f t="shared" si="53"/>
        <v/>
      </c>
      <c r="AE253">
        <f>IF($U253="",0,COUNTIF(บันทึกรายเที่ยว!$T$6:$T$10005,$U253))</f>
        <v>0</v>
      </c>
      <c r="AF253">
        <f>IF($U253="",0,ROUND(SUMIF(บันทึกรายเที่ยว!$T$6:$T$10005,$U253,บันทึกรายเที่ยว!$J$6:$J$10005),2))</f>
        <v>0</v>
      </c>
      <c r="AG253">
        <f>IF($U253="",0,ROUND(SUMIF(บันทึกรายเที่ยว!$T$6:$T$10005,$U253,บันทึกรายเที่ยว!$K$6:$K$10005),2))</f>
        <v>0</v>
      </c>
      <c r="AH253">
        <f>IF($U253="",0,ROUND(SUMIF(บันทึกรายเที่ยว!$T$6:$T$10005,$U253,บันทึกรายเที่ยว!$M$6:$M$10005),2))</f>
        <v>0</v>
      </c>
    </row>
    <row r="254" spans="1:34" ht="21" customHeight="1" x14ac:dyDescent="0.95">
      <c r="A254" s="3" t="str">
        <f t="shared" si="42"/>
        <v/>
      </c>
      <c r="B254" s="3" t="str">
        <f t="shared" si="43"/>
        <v/>
      </c>
      <c r="C254" s="8" t="str">
        <f t="shared" si="44"/>
        <v/>
      </c>
      <c r="D254" s="31" t="str">
        <f t="shared" si="45"/>
        <v/>
      </c>
      <c r="E254" s="32" t="str">
        <f>IF(247=$AD$1+3,"ขอแสดงความนับถือ",IF(247=$AD$1+6,"(                 )",IF(247=$AD$1+7,"เจ้าหน้าที่ขนส่ง",IF($AB254="G",SUM($AF$8:$AF$407),IF(OR($AB254="",$AB254="R"),"",IF($AB254="D",INDEX($AF$8:$AF$407,$AA254),SUMIF($T$8:$T$407,INDEX($T$8:$T$407,$AA254),$AF$8:$AF$407)))))))</f>
        <v/>
      </c>
      <c r="F254" s="32" t="str">
        <f t="shared" si="46"/>
        <v/>
      </c>
      <c r="G254" s="32" t="str">
        <f t="shared" si="47"/>
        <v/>
      </c>
      <c r="H254" s="32" t="str">
        <f t="shared" si="48"/>
        <v/>
      </c>
      <c r="J254" t="str">
        <f>IFERROR(MATCH(247,บันทึกรายเที่ยว!$W$6:$W$10005,0),"")</f>
        <v/>
      </c>
      <c r="K254" t="str">
        <f>IF($J254="","",INDEX(บันทึกรายเที่ยว!$T$6:$T$10005,$J254))</f>
        <v/>
      </c>
      <c r="L254" t="str">
        <f>IF($J254="","",INDEX(บันทึกรายเที่ยว!$S$6:$S$10005,$J254))</f>
        <v/>
      </c>
      <c r="M254" t="str">
        <f>IF($J254="","",INDEX(บันทึกรายเที่ยว!$R$6:$R$10005,$J254))</f>
        <v/>
      </c>
      <c r="N254" t="str">
        <f>IF($J254="","",MATCH($M254,บันทึกรายเที่ยว!$R$6:$R$10005,0))</f>
        <v/>
      </c>
      <c r="O254" t="str">
        <f>IF($J254="","",MATCH($L254,บันทึกรายเที่ยว!$S$6:$S$10005,0))</f>
        <v/>
      </c>
      <c r="P254" t="str">
        <f>IF($J254="","",IF(AND(OR($I$3="(ทั้งหมด)",INDEX(บันทึกรายเที่ยว!$C$6:$C$10005,$J254)=$I$3),OR($I$5="(ทั้งหมด)",INDEX(บันทึกรายเที่ยว!$D$6:$D$10005,$J254)=$I$5),OR($I$7="(ทั้งหมด)",INDEX(บันทึกรายเที่ยว!$F$6:$F$10005,$J254)=$I$7)),$N254*10000000+$O254*1000+247,""))</f>
        <v/>
      </c>
      <c r="Q254" t="str">
        <f>IFERROR(MATCH(SMALL($P$8:$P$407,247),$P$8:$P$407,0),"")</f>
        <v/>
      </c>
      <c r="R254" t="str">
        <f t="shared" si="49"/>
        <v/>
      </c>
      <c r="S254" t="str">
        <f t="shared" si="50"/>
        <v/>
      </c>
      <c r="T254" t="str">
        <f t="shared" si="51"/>
        <v/>
      </c>
      <c r="U254" t="str">
        <f t="shared" si="52"/>
        <v/>
      </c>
      <c r="V254">
        <f t="shared" si="54"/>
        <v>0</v>
      </c>
      <c r="W254">
        <f t="shared" si="55"/>
        <v>0</v>
      </c>
      <c r="X254">
        <f>IF($Q254="",99999+247,$X253+1+$V253+$W253)</f>
        <v>100246</v>
      </c>
      <c r="Y254" t="str">
        <f>IF($Q254="","",INDEX(บันทึกรายเที่ยว!$Q$6:$Q$10005,$R254))</f>
        <v/>
      </c>
      <c r="Z254" t="str">
        <f>IF($Q254="","",INDEX(บันทึกรายเที่ยว!$F$6:$F$10005,$R254))</f>
        <v/>
      </c>
      <c r="AA254" t="str">
        <f>IFERROR(MATCH(247,$X$8:$X$407,1),"")</f>
        <v/>
      </c>
      <c r="AB254" t="str">
        <f>IF(247=$AD$1+1,"G",IF($AA254="","",IF(INDEX($Q$8:$Q$407,$AA254)="","",IF(247&gt;INDEX($X$8:$X$407,$AA254)+INDEX($V$8:$V$407,$AA254)+INDEX($W$8:$W$407,$AA254),"",IF(247=INDEX($X$8:$X$407,$AA254)+INDEX($V$8:$V$407,$AA254)+INDEX($W$8:$W$407,$AA254),"D",IF(AND(INDEX($W$8:$W$407,$AA254)=1,247=INDEX($X$8:$X$407,$AA254)+INDEX($V$8:$V$407,$AA254)),"S","R"))))))</f>
        <v/>
      </c>
      <c r="AC254" t="str">
        <f t="shared" si="53"/>
        <v/>
      </c>
      <c r="AE254">
        <f>IF($U254="",0,COUNTIF(บันทึกรายเที่ยว!$T$6:$T$10005,$U254))</f>
        <v>0</v>
      </c>
      <c r="AF254">
        <f>IF($U254="",0,ROUND(SUMIF(บันทึกรายเที่ยว!$T$6:$T$10005,$U254,บันทึกรายเที่ยว!$J$6:$J$10005),2))</f>
        <v>0</v>
      </c>
      <c r="AG254">
        <f>IF($U254="",0,ROUND(SUMIF(บันทึกรายเที่ยว!$T$6:$T$10005,$U254,บันทึกรายเที่ยว!$K$6:$K$10005),2))</f>
        <v>0</v>
      </c>
      <c r="AH254">
        <f>IF($U254="",0,ROUND(SUMIF(บันทึกรายเที่ยว!$T$6:$T$10005,$U254,บันทึกรายเที่ยว!$M$6:$M$10005),2))</f>
        <v>0</v>
      </c>
    </row>
    <row r="255" spans="1:34" ht="21" customHeight="1" x14ac:dyDescent="0.95">
      <c r="A255" s="3" t="str">
        <f t="shared" si="42"/>
        <v/>
      </c>
      <c r="B255" s="3" t="str">
        <f t="shared" si="43"/>
        <v/>
      </c>
      <c r="C255" s="8" t="str">
        <f t="shared" si="44"/>
        <v/>
      </c>
      <c r="D255" s="31" t="str">
        <f t="shared" si="45"/>
        <v/>
      </c>
      <c r="E255" s="32" t="str">
        <f>IF(248=$AD$1+3,"ขอแสดงความนับถือ",IF(248=$AD$1+6,"(                 )",IF(248=$AD$1+7,"เจ้าหน้าที่ขนส่ง",IF($AB255="G",SUM($AF$8:$AF$407),IF(OR($AB255="",$AB255="R"),"",IF($AB255="D",INDEX($AF$8:$AF$407,$AA255),SUMIF($T$8:$T$407,INDEX($T$8:$T$407,$AA255),$AF$8:$AF$407)))))))</f>
        <v/>
      </c>
      <c r="F255" s="32" t="str">
        <f t="shared" si="46"/>
        <v/>
      </c>
      <c r="G255" s="32" t="str">
        <f t="shared" si="47"/>
        <v/>
      </c>
      <c r="H255" s="32" t="str">
        <f t="shared" si="48"/>
        <v/>
      </c>
      <c r="J255" t="str">
        <f>IFERROR(MATCH(248,บันทึกรายเที่ยว!$W$6:$W$10005,0),"")</f>
        <v/>
      </c>
      <c r="K255" t="str">
        <f>IF($J255="","",INDEX(บันทึกรายเที่ยว!$T$6:$T$10005,$J255))</f>
        <v/>
      </c>
      <c r="L255" t="str">
        <f>IF($J255="","",INDEX(บันทึกรายเที่ยว!$S$6:$S$10005,$J255))</f>
        <v/>
      </c>
      <c r="M255" t="str">
        <f>IF($J255="","",INDEX(บันทึกรายเที่ยว!$R$6:$R$10005,$J255))</f>
        <v/>
      </c>
      <c r="N255" t="str">
        <f>IF($J255="","",MATCH($M255,บันทึกรายเที่ยว!$R$6:$R$10005,0))</f>
        <v/>
      </c>
      <c r="O255" t="str">
        <f>IF($J255="","",MATCH($L255,บันทึกรายเที่ยว!$S$6:$S$10005,0))</f>
        <v/>
      </c>
      <c r="P255" t="str">
        <f>IF($J255="","",IF(AND(OR($I$3="(ทั้งหมด)",INDEX(บันทึกรายเที่ยว!$C$6:$C$10005,$J255)=$I$3),OR($I$5="(ทั้งหมด)",INDEX(บันทึกรายเที่ยว!$D$6:$D$10005,$J255)=$I$5),OR($I$7="(ทั้งหมด)",INDEX(บันทึกรายเที่ยว!$F$6:$F$10005,$J255)=$I$7)),$N255*10000000+$O255*1000+248,""))</f>
        <v/>
      </c>
      <c r="Q255" t="str">
        <f>IFERROR(MATCH(SMALL($P$8:$P$407,248),$P$8:$P$407,0),"")</f>
        <v/>
      </c>
      <c r="R255" t="str">
        <f t="shared" si="49"/>
        <v/>
      </c>
      <c r="S255" t="str">
        <f t="shared" si="50"/>
        <v/>
      </c>
      <c r="T255" t="str">
        <f t="shared" si="51"/>
        <v/>
      </c>
      <c r="U255" t="str">
        <f t="shared" si="52"/>
        <v/>
      </c>
      <c r="V255">
        <f t="shared" si="54"/>
        <v>0</v>
      </c>
      <c r="W255">
        <f t="shared" si="55"/>
        <v>0</v>
      </c>
      <c r="X255">
        <f>IF($Q255="",99999+248,$X254+1+$V254+$W254)</f>
        <v>100247</v>
      </c>
      <c r="Y255" t="str">
        <f>IF($Q255="","",INDEX(บันทึกรายเที่ยว!$Q$6:$Q$10005,$R255))</f>
        <v/>
      </c>
      <c r="Z255" t="str">
        <f>IF($Q255="","",INDEX(บันทึกรายเที่ยว!$F$6:$F$10005,$R255))</f>
        <v/>
      </c>
      <c r="AA255" t="str">
        <f>IFERROR(MATCH(248,$X$8:$X$407,1),"")</f>
        <v/>
      </c>
      <c r="AB255" t="str">
        <f>IF(248=$AD$1+1,"G",IF($AA255="","",IF(INDEX($Q$8:$Q$407,$AA255)="","",IF(248&gt;INDEX($X$8:$X$407,$AA255)+INDEX($V$8:$V$407,$AA255)+INDEX($W$8:$W$407,$AA255),"",IF(248=INDEX($X$8:$X$407,$AA255)+INDEX($V$8:$V$407,$AA255)+INDEX($W$8:$W$407,$AA255),"D",IF(AND(INDEX($W$8:$W$407,$AA255)=1,248=INDEX($X$8:$X$407,$AA255)+INDEX($V$8:$V$407,$AA255)),"S","R"))))))</f>
        <v/>
      </c>
      <c r="AC255" t="str">
        <f t="shared" si="53"/>
        <v/>
      </c>
      <c r="AE255">
        <f>IF($U255="",0,COUNTIF(บันทึกรายเที่ยว!$T$6:$T$10005,$U255))</f>
        <v>0</v>
      </c>
      <c r="AF255">
        <f>IF($U255="",0,ROUND(SUMIF(บันทึกรายเที่ยว!$T$6:$T$10005,$U255,บันทึกรายเที่ยว!$J$6:$J$10005),2))</f>
        <v>0</v>
      </c>
      <c r="AG255">
        <f>IF($U255="",0,ROUND(SUMIF(บันทึกรายเที่ยว!$T$6:$T$10005,$U255,บันทึกรายเที่ยว!$K$6:$K$10005),2))</f>
        <v>0</v>
      </c>
      <c r="AH255">
        <f>IF($U255="",0,ROUND(SUMIF(บันทึกรายเที่ยว!$T$6:$T$10005,$U255,บันทึกรายเที่ยว!$M$6:$M$10005),2))</f>
        <v>0</v>
      </c>
    </row>
    <row r="256" spans="1:34" ht="21" customHeight="1" x14ac:dyDescent="0.95">
      <c r="A256" s="3" t="str">
        <f t="shared" si="42"/>
        <v/>
      </c>
      <c r="B256" s="3" t="str">
        <f t="shared" si="43"/>
        <v/>
      </c>
      <c r="C256" s="8" t="str">
        <f t="shared" si="44"/>
        <v/>
      </c>
      <c r="D256" s="31" t="str">
        <f t="shared" si="45"/>
        <v/>
      </c>
      <c r="E256" s="32" t="str">
        <f>IF(249=$AD$1+3,"ขอแสดงความนับถือ",IF(249=$AD$1+6,"(                 )",IF(249=$AD$1+7,"เจ้าหน้าที่ขนส่ง",IF($AB256="G",SUM($AF$8:$AF$407),IF(OR($AB256="",$AB256="R"),"",IF($AB256="D",INDEX($AF$8:$AF$407,$AA256),SUMIF($T$8:$T$407,INDEX($T$8:$T$407,$AA256),$AF$8:$AF$407)))))))</f>
        <v/>
      </c>
      <c r="F256" s="32" t="str">
        <f t="shared" si="46"/>
        <v/>
      </c>
      <c r="G256" s="32" t="str">
        <f t="shared" si="47"/>
        <v/>
      </c>
      <c r="H256" s="32" t="str">
        <f t="shared" si="48"/>
        <v/>
      </c>
      <c r="J256" t="str">
        <f>IFERROR(MATCH(249,บันทึกรายเที่ยว!$W$6:$W$10005,0),"")</f>
        <v/>
      </c>
      <c r="K256" t="str">
        <f>IF($J256="","",INDEX(บันทึกรายเที่ยว!$T$6:$T$10005,$J256))</f>
        <v/>
      </c>
      <c r="L256" t="str">
        <f>IF($J256="","",INDEX(บันทึกรายเที่ยว!$S$6:$S$10005,$J256))</f>
        <v/>
      </c>
      <c r="M256" t="str">
        <f>IF($J256="","",INDEX(บันทึกรายเที่ยว!$R$6:$R$10005,$J256))</f>
        <v/>
      </c>
      <c r="N256" t="str">
        <f>IF($J256="","",MATCH($M256,บันทึกรายเที่ยว!$R$6:$R$10005,0))</f>
        <v/>
      </c>
      <c r="O256" t="str">
        <f>IF($J256="","",MATCH($L256,บันทึกรายเที่ยว!$S$6:$S$10005,0))</f>
        <v/>
      </c>
      <c r="P256" t="str">
        <f>IF($J256="","",IF(AND(OR($I$3="(ทั้งหมด)",INDEX(บันทึกรายเที่ยว!$C$6:$C$10005,$J256)=$I$3),OR($I$5="(ทั้งหมด)",INDEX(บันทึกรายเที่ยว!$D$6:$D$10005,$J256)=$I$5),OR($I$7="(ทั้งหมด)",INDEX(บันทึกรายเที่ยว!$F$6:$F$10005,$J256)=$I$7)),$N256*10000000+$O256*1000+249,""))</f>
        <v/>
      </c>
      <c r="Q256" t="str">
        <f>IFERROR(MATCH(SMALL($P$8:$P$407,249),$P$8:$P$407,0),"")</f>
        <v/>
      </c>
      <c r="R256" t="str">
        <f t="shared" si="49"/>
        <v/>
      </c>
      <c r="S256" t="str">
        <f t="shared" si="50"/>
        <v/>
      </c>
      <c r="T256" t="str">
        <f t="shared" si="51"/>
        <v/>
      </c>
      <c r="U256" t="str">
        <f t="shared" si="52"/>
        <v/>
      </c>
      <c r="V256">
        <f t="shared" si="54"/>
        <v>0</v>
      </c>
      <c r="W256">
        <f t="shared" si="55"/>
        <v>0</v>
      </c>
      <c r="X256">
        <f>IF($Q256="",99999+249,$X255+1+$V255+$W255)</f>
        <v>100248</v>
      </c>
      <c r="Y256" t="str">
        <f>IF($Q256="","",INDEX(บันทึกรายเที่ยว!$Q$6:$Q$10005,$R256))</f>
        <v/>
      </c>
      <c r="Z256" t="str">
        <f>IF($Q256="","",INDEX(บันทึกรายเที่ยว!$F$6:$F$10005,$R256))</f>
        <v/>
      </c>
      <c r="AA256" t="str">
        <f>IFERROR(MATCH(249,$X$8:$X$407,1),"")</f>
        <v/>
      </c>
      <c r="AB256" t="str">
        <f>IF(249=$AD$1+1,"G",IF($AA256="","",IF(INDEX($Q$8:$Q$407,$AA256)="","",IF(249&gt;INDEX($X$8:$X$407,$AA256)+INDEX($V$8:$V$407,$AA256)+INDEX($W$8:$W$407,$AA256),"",IF(249=INDEX($X$8:$X$407,$AA256)+INDEX($V$8:$V$407,$AA256)+INDEX($W$8:$W$407,$AA256),"D",IF(AND(INDEX($W$8:$W$407,$AA256)=1,249=INDEX($X$8:$X$407,$AA256)+INDEX($V$8:$V$407,$AA256)),"S","R"))))))</f>
        <v/>
      </c>
      <c r="AC256" t="str">
        <f t="shared" si="53"/>
        <v/>
      </c>
      <c r="AE256">
        <f>IF($U256="",0,COUNTIF(บันทึกรายเที่ยว!$T$6:$T$10005,$U256))</f>
        <v>0</v>
      </c>
      <c r="AF256">
        <f>IF($U256="",0,ROUND(SUMIF(บันทึกรายเที่ยว!$T$6:$T$10005,$U256,บันทึกรายเที่ยว!$J$6:$J$10005),2))</f>
        <v>0</v>
      </c>
      <c r="AG256">
        <f>IF($U256="",0,ROUND(SUMIF(บันทึกรายเที่ยว!$T$6:$T$10005,$U256,บันทึกรายเที่ยว!$K$6:$K$10005),2))</f>
        <v>0</v>
      </c>
      <c r="AH256">
        <f>IF($U256="",0,ROUND(SUMIF(บันทึกรายเที่ยว!$T$6:$T$10005,$U256,บันทึกรายเที่ยว!$M$6:$M$10005),2))</f>
        <v>0</v>
      </c>
    </row>
    <row r="257" spans="1:34" ht="21" customHeight="1" x14ac:dyDescent="0.95">
      <c r="A257" s="3" t="str">
        <f t="shared" si="42"/>
        <v/>
      </c>
      <c r="B257" s="3" t="str">
        <f t="shared" si="43"/>
        <v/>
      </c>
      <c r="C257" s="8" t="str">
        <f t="shared" si="44"/>
        <v/>
      </c>
      <c r="D257" s="31" t="str">
        <f t="shared" si="45"/>
        <v/>
      </c>
      <c r="E257" s="32" t="str">
        <f>IF(250=$AD$1+3,"ขอแสดงความนับถือ",IF(250=$AD$1+6,"(                 )",IF(250=$AD$1+7,"เจ้าหน้าที่ขนส่ง",IF($AB257="G",SUM($AF$8:$AF$407),IF(OR($AB257="",$AB257="R"),"",IF($AB257="D",INDEX($AF$8:$AF$407,$AA257),SUMIF($T$8:$T$407,INDEX($T$8:$T$407,$AA257),$AF$8:$AF$407)))))))</f>
        <v/>
      </c>
      <c r="F257" s="32" t="str">
        <f t="shared" si="46"/>
        <v/>
      </c>
      <c r="G257" s="32" t="str">
        <f t="shared" si="47"/>
        <v/>
      </c>
      <c r="H257" s="32" t="str">
        <f t="shared" si="48"/>
        <v/>
      </c>
      <c r="J257" t="str">
        <f>IFERROR(MATCH(250,บันทึกรายเที่ยว!$W$6:$W$10005,0),"")</f>
        <v/>
      </c>
      <c r="K257" t="str">
        <f>IF($J257="","",INDEX(บันทึกรายเที่ยว!$T$6:$T$10005,$J257))</f>
        <v/>
      </c>
      <c r="L257" t="str">
        <f>IF($J257="","",INDEX(บันทึกรายเที่ยว!$S$6:$S$10005,$J257))</f>
        <v/>
      </c>
      <c r="M257" t="str">
        <f>IF($J257="","",INDEX(บันทึกรายเที่ยว!$R$6:$R$10005,$J257))</f>
        <v/>
      </c>
      <c r="N257" t="str">
        <f>IF($J257="","",MATCH($M257,บันทึกรายเที่ยว!$R$6:$R$10005,0))</f>
        <v/>
      </c>
      <c r="O257" t="str">
        <f>IF($J257="","",MATCH($L257,บันทึกรายเที่ยว!$S$6:$S$10005,0))</f>
        <v/>
      </c>
      <c r="P257" t="str">
        <f>IF($J257="","",IF(AND(OR($I$3="(ทั้งหมด)",INDEX(บันทึกรายเที่ยว!$C$6:$C$10005,$J257)=$I$3),OR($I$5="(ทั้งหมด)",INDEX(บันทึกรายเที่ยว!$D$6:$D$10005,$J257)=$I$5),OR($I$7="(ทั้งหมด)",INDEX(บันทึกรายเที่ยว!$F$6:$F$10005,$J257)=$I$7)),$N257*10000000+$O257*1000+250,""))</f>
        <v/>
      </c>
      <c r="Q257" t="str">
        <f>IFERROR(MATCH(SMALL($P$8:$P$407,250),$P$8:$P$407,0),"")</f>
        <v/>
      </c>
      <c r="R257" t="str">
        <f t="shared" si="49"/>
        <v/>
      </c>
      <c r="S257" t="str">
        <f t="shared" si="50"/>
        <v/>
      </c>
      <c r="T257" t="str">
        <f t="shared" si="51"/>
        <v/>
      </c>
      <c r="U257" t="str">
        <f t="shared" si="52"/>
        <v/>
      </c>
      <c r="V257">
        <f t="shared" si="54"/>
        <v>0</v>
      </c>
      <c r="W257">
        <f t="shared" si="55"/>
        <v>0</v>
      </c>
      <c r="X257">
        <f>IF($Q257="",99999+250,$X256+1+$V256+$W256)</f>
        <v>100249</v>
      </c>
      <c r="Y257" t="str">
        <f>IF($Q257="","",INDEX(บันทึกรายเที่ยว!$Q$6:$Q$10005,$R257))</f>
        <v/>
      </c>
      <c r="Z257" t="str">
        <f>IF($Q257="","",INDEX(บันทึกรายเที่ยว!$F$6:$F$10005,$R257))</f>
        <v/>
      </c>
      <c r="AA257" t="str">
        <f>IFERROR(MATCH(250,$X$8:$X$407,1),"")</f>
        <v/>
      </c>
      <c r="AB257" t="str">
        <f>IF(250=$AD$1+1,"G",IF($AA257="","",IF(INDEX($Q$8:$Q$407,$AA257)="","",IF(250&gt;INDEX($X$8:$X$407,$AA257)+INDEX($V$8:$V$407,$AA257)+INDEX($W$8:$W$407,$AA257),"",IF(250=INDEX($X$8:$X$407,$AA257)+INDEX($V$8:$V$407,$AA257)+INDEX($W$8:$W$407,$AA257),"D",IF(AND(INDEX($W$8:$W$407,$AA257)=1,250=INDEX($X$8:$X$407,$AA257)+INDEX($V$8:$V$407,$AA257)),"S","R"))))))</f>
        <v/>
      </c>
      <c r="AC257" t="str">
        <f t="shared" si="53"/>
        <v/>
      </c>
      <c r="AE257">
        <f>IF($U257="",0,COUNTIF(บันทึกรายเที่ยว!$T$6:$T$10005,$U257))</f>
        <v>0</v>
      </c>
      <c r="AF257">
        <f>IF($U257="",0,ROUND(SUMIF(บันทึกรายเที่ยว!$T$6:$T$10005,$U257,บันทึกรายเที่ยว!$J$6:$J$10005),2))</f>
        <v>0</v>
      </c>
      <c r="AG257">
        <f>IF($U257="",0,ROUND(SUMIF(บันทึกรายเที่ยว!$T$6:$T$10005,$U257,บันทึกรายเที่ยว!$K$6:$K$10005),2))</f>
        <v>0</v>
      </c>
      <c r="AH257">
        <f>IF($U257="",0,ROUND(SUMIF(บันทึกรายเที่ยว!$T$6:$T$10005,$U257,บันทึกรายเที่ยว!$M$6:$M$10005),2))</f>
        <v>0</v>
      </c>
    </row>
    <row r="258" spans="1:34" ht="21" customHeight="1" x14ac:dyDescent="0.95">
      <c r="A258" s="3" t="str">
        <f t="shared" si="42"/>
        <v/>
      </c>
      <c r="B258" s="3" t="str">
        <f t="shared" si="43"/>
        <v/>
      </c>
      <c r="C258" s="8" t="str">
        <f t="shared" si="44"/>
        <v/>
      </c>
      <c r="D258" s="31" t="str">
        <f t="shared" si="45"/>
        <v/>
      </c>
      <c r="E258" s="32" t="str">
        <f>IF(251=$AD$1+3,"ขอแสดงความนับถือ",IF(251=$AD$1+6,"(                 )",IF(251=$AD$1+7,"เจ้าหน้าที่ขนส่ง",IF($AB258="G",SUM($AF$8:$AF$407),IF(OR($AB258="",$AB258="R"),"",IF($AB258="D",INDEX($AF$8:$AF$407,$AA258),SUMIF($T$8:$T$407,INDEX($T$8:$T$407,$AA258),$AF$8:$AF$407)))))))</f>
        <v/>
      </c>
      <c r="F258" s="32" t="str">
        <f t="shared" si="46"/>
        <v/>
      </c>
      <c r="G258" s="32" t="str">
        <f t="shared" si="47"/>
        <v/>
      </c>
      <c r="H258" s="32" t="str">
        <f t="shared" si="48"/>
        <v/>
      </c>
      <c r="J258" t="str">
        <f>IFERROR(MATCH(251,บันทึกรายเที่ยว!$W$6:$W$10005,0),"")</f>
        <v/>
      </c>
      <c r="K258" t="str">
        <f>IF($J258="","",INDEX(บันทึกรายเที่ยว!$T$6:$T$10005,$J258))</f>
        <v/>
      </c>
      <c r="L258" t="str">
        <f>IF($J258="","",INDEX(บันทึกรายเที่ยว!$S$6:$S$10005,$J258))</f>
        <v/>
      </c>
      <c r="M258" t="str">
        <f>IF($J258="","",INDEX(บันทึกรายเที่ยว!$R$6:$R$10005,$J258))</f>
        <v/>
      </c>
      <c r="N258" t="str">
        <f>IF($J258="","",MATCH($M258,บันทึกรายเที่ยว!$R$6:$R$10005,0))</f>
        <v/>
      </c>
      <c r="O258" t="str">
        <f>IF($J258="","",MATCH($L258,บันทึกรายเที่ยว!$S$6:$S$10005,0))</f>
        <v/>
      </c>
      <c r="P258" t="str">
        <f>IF($J258="","",IF(AND(OR($I$3="(ทั้งหมด)",INDEX(บันทึกรายเที่ยว!$C$6:$C$10005,$J258)=$I$3),OR($I$5="(ทั้งหมด)",INDEX(บันทึกรายเที่ยว!$D$6:$D$10005,$J258)=$I$5),OR($I$7="(ทั้งหมด)",INDEX(บันทึกรายเที่ยว!$F$6:$F$10005,$J258)=$I$7)),$N258*10000000+$O258*1000+251,""))</f>
        <v/>
      </c>
      <c r="Q258" t="str">
        <f>IFERROR(MATCH(SMALL($P$8:$P$407,251),$P$8:$P$407,0),"")</f>
        <v/>
      </c>
      <c r="R258" t="str">
        <f t="shared" si="49"/>
        <v/>
      </c>
      <c r="S258" t="str">
        <f t="shared" si="50"/>
        <v/>
      </c>
      <c r="T258" t="str">
        <f t="shared" si="51"/>
        <v/>
      </c>
      <c r="U258" t="str">
        <f t="shared" si="52"/>
        <v/>
      </c>
      <c r="V258">
        <f t="shared" si="54"/>
        <v>0</v>
      </c>
      <c r="W258">
        <f t="shared" si="55"/>
        <v>0</v>
      </c>
      <c r="X258">
        <f>IF($Q258="",99999+251,$X257+1+$V257+$W257)</f>
        <v>100250</v>
      </c>
      <c r="Y258" t="str">
        <f>IF($Q258="","",INDEX(บันทึกรายเที่ยว!$Q$6:$Q$10005,$R258))</f>
        <v/>
      </c>
      <c r="Z258" t="str">
        <f>IF($Q258="","",INDEX(บันทึกรายเที่ยว!$F$6:$F$10005,$R258))</f>
        <v/>
      </c>
      <c r="AA258" t="str">
        <f>IFERROR(MATCH(251,$X$8:$X$407,1),"")</f>
        <v/>
      </c>
      <c r="AB258" t="str">
        <f>IF(251=$AD$1+1,"G",IF($AA258="","",IF(INDEX($Q$8:$Q$407,$AA258)="","",IF(251&gt;INDEX($X$8:$X$407,$AA258)+INDEX($V$8:$V$407,$AA258)+INDEX($W$8:$W$407,$AA258),"",IF(251=INDEX($X$8:$X$407,$AA258)+INDEX($V$8:$V$407,$AA258)+INDEX($W$8:$W$407,$AA258),"D",IF(AND(INDEX($W$8:$W$407,$AA258)=1,251=INDEX($X$8:$X$407,$AA258)+INDEX($V$8:$V$407,$AA258)),"S","R"))))))</f>
        <v/>
      </c>
      <c r="AC258" t="str">
        <f t="shared" si="53"/>
        <v/>
      </c>
      <c r="AE258">
        <f>IF($U258="",0,COUNTIF(บันทึกรายเที่ยว!$T$6:$T$10005,$U258))</f>
        <v>0</v>
      </c>
      <c r="AF258">
        <f>IF($U258="",0,ROUND(SUMIF(บันทึกรายเที่ยว!$T$6:$T$10005,$U258,บันทึกรายเที่ยว!$J$6:$J$10005),2))</f>
        <v>0</v>
      </c>
      <c r="AG258">
        <f>IF($U258="",0,ROUND(SUMIF(บันทึกรายเที่ยว!$T$6:$T$10005,$U258,บันทึกรายเที่ยว!$K$6:$K$10005),2))</f>
        <v>0</v>
      </c>
      <c r="AH258">
        <f>IF($U258="",0,ROUND(SUMIF(บันทึกรายเที่ยว!$T$6:$T$10005,$U258,บันทึกรายเที่ยว!$M$6:$M$10005),2))</f>
        <v>0</v>
      </c>
    </row>
    <row r="259" spans="1:34" ht="21" customHeight="1" x14ac:dyDescent="0.95">
      <c r="A259" s="3" t="str">
        <f t="shared" si="42"/>
        <v/>
      </c>
      <c r="B259" s="3" t="str">
        <f t="shared" si="43"/>
        <v/>
      </c>
      <c r="C259" s="8" t="str">
        <f t="shared" si="44"/>
        <v/>
      </c>
      <c r="D259" s="31" t="str">
        <f t="shared" si="45"/>
        <v/>
      </c>
      <c r="E259" s="32" t="str">
        <f>IF(252=$AD$1+3,"ขอแสดงความนับถือ",IF(252=$AD$1+6,"(                 )",IF(252=$AD$1+7,"เจ้าหน้าที่ขนส่ง",IF($AB259="G",SUM($AF$8:$AF$407),IF(OR($AB259="",$AB259="R"),"",IF($AB259="D",INDEX($AF$8:$AF$407,$AA259),SUMIF($T$8:$T$407,INDEX($T$8:$T$407,$AA259),$AF$8:$AF$407)))))))</f>
        <v/>
      </c>
      <c r="F259" s="32" t="str">
        <f t="shared" si="46"/>
        <v/>
      </c>
      <c r="G259" s="32" t="str">
        <f t="shared" si="47"/>
        <v/>
      </c>
      <c r="H259" s="32" t="str">
        <f t="shared" si="48"/>
        <v/>
      </c>
      <c r="J259" t="str">
        <f>IFERROR(MATCH(252,บันทึกรายเที่ยว!$W$6:$W$10005,0),"")</f>
        <v/>
      </c>
      <c r="K259" t="str">
        <f>IF($J259="","",INDEX(บันทึกรายเที่ยว!$T$6:$T$10005,$J259))</f>
        <v/>
      </c>
      <c r="L259" t="str">
        <f>IF($J259="","",INDEX(บันทึกรายเที่ยว!$S$6:$S$10005,$J259))</f>
        <v/>
      </c>
      <c r="M259" t="str">
        <f>IF($J259="","",INDEX(บันทึกรายเที่ยว!$R$6:$R$10005,$J259))</f>
        <v/>
      </c>
      <c r="N259" t="str">
        <f>IF($J259="","",MATCH($M259,บันทึกรายเที่ยว!$R$6:$R$10005,0))</f>
        <v/>
      </c>
      <c r="O259" t="str">
        <f>IF($J259="","",MATCH($L259,บันทึกรายเที่ยว!$S$6:$S$10005,0))</f>
        <v/>
      </c>
      <c r="P259" t="str">
        <f>IF($J259="","",IF(AND(OR($I$3="(ทั้งหมด)",INDEX(บันทึกรายเที่ยว!$C$6:$C$10005,$J259)=$I$3),OR($I$5="(ทั้งหมด)",INDEX(บันทึกรายเที่ยว!$D$6:$D$10005,$J259)=$I$5),OR($I$7="(ทั้งหมด)",INDEX(บันทึกรายเที่ยว!$F$6:$F$10005,$J259)=$I$7)),$N259*10000000+$O259*1000+252,""))</f>
        <v/>
      </c>
      <c r="Q259" t="str">
        <f>IFERROR(MATCH(SMALL($P$8:$P$407,252),$P$8:$P$407,0),"")</f>
        <v/>
      </c>
      <c r="R259" t="str">
        <f t="shared" si="49"/>
        <v/>
      </c>
      <c r="S259" t="str">
        <f t="shared" si="50"/>
        <v/>
      </c>
      <c r="T259" t="str">
        <f t="shared" si="51"/>
        <v/>
      </c>
      <c r="U259" t="str">
        <f t="shared" si="52"/>
        <v/>
      </c>
      <c r="V259">
        <f t="shared" si="54"/>
        <v>0</v>
      </c>
      <c r="W259">
        <f t="shared" si="55"/>
        <v>0</v>
      </c>
      <c r="X259">
        <f>IF($Q259="",99999+252,$X258+1+$V258+$W258)</f>
        <v>100251</v>
      </c>
      <c r="Y259" t="str">
        <f>IF($Q259="","",INDEX(บันทึกรายเที่ยว!$Q$6:$Q$10005,$R259))</f>
        <v/>
      </c>
      <c r="Z259" t="str">
        <f>IF($Q259="","",INDEX(บันทึกรายเที่ยว!$F$6:$F$10005,$R259))</f>
        <v/>
      </c>
      <c r="AA259" t="str">
        <f>IFERROR(MATCH(252,$X$8:$X$407,1),"")</f>
        <v/>
      </c>
      <c r="AB259" t="str">
        <f>IF(252=$AD$1+1,"G",IF($AA259="","",IF(INDEX($Q$8:$Q$407,$AA259)="","",IF(252&gt;INDEX($X$8:$X$407,$AA259)+INDEX($V$8:$V$407,$AA259)+INDEX($W$8:$W$407,$AA259),"",IF(252=INDEX($X$8:$X$407,$AA259)+INDEX($V$8:$V$407,$AA259)+INDEX($W$8:$W$407,$AA259),"D",IF(AND(INDEX($W$8:$W$407,$AA259)=1,252=INDEX($X$8:$X$407,$AA259)+INDEX($V$8:$V$407,$AA259)),"S","R"))))))</f>
        <v/>
      </c>
      <c r="AC259" t="str">
        <f t="shared" si="53"/>
        <v/>
      </c>
      <c r="AE259">
        <f>IF($U259="",0,COUNTIF(บันทึกรายเที่ยว!$T$6:$T$10005,$U259))</f>
        <v>0</v>
      </c>
      <c r="AF259">
        <f>IF($U259="",0,ROUND(SUMIF(บันทึกรายเที่ยว!$T$6:$T$10005,$U259,บันทึกรายเที่ยว!$J$6:$J$10005),2))</f>
        <v>0</v>
      </c>
      <c r="AG259">
        <f>IF($U259="",0,ROUND(SUMIF(บันทึกรายเที่ยว!$T$6:$T$10005,$U259,บันทึกรายเที่ยว!$K$6:$K$10005),2))</f>
        <v>0</v>
      </c>
      <c r="AH259">
        <f>IF($U259="",0,ROUND(SUMIF(บันทึกรายเที่ยว!$T$6:$T$10005,$U259,บันทึกรายเที่ยว!$M$6:$M$10005),2))</f>
        <v>0</v>
      </c>
    </row>
    <row r="260" spans="1:34" ht="21" customHeight="1" x14ac:dyDescent="0.95">
      <c r="A260" s="3" t="str">
        <f t="shared" si="42"/>
        <v/>
      </c>
      <c r="B260" s="3" t="str">
        <f t="shared" si="43"/>
        <v/>
      </c>
      <c r="C260" s="8" t="str">
        <f t="shared" si="44"/>
        <v/>
      </c>
      <c r="D260" s="31" t="str">
        <f t="shared" si="45"/>
        <v/>
      </c>
      <c r="E260" s="32" t="str">
        <f>IF(253=$AD$1+3,"ขอแสดงความนับถือ",IF(253=$AD$1+6,"(                 )",IF(253=$AD$1+7,"เจ้าหน้าที่ขนส่ง",IF($AB260="G",SUM($AF$8:$AF$407),IF(OR($AB260="",$AB260="R"),"",IF($AB260="D",INDEX($AF$8:$AF$407,$AA260),SUMIF($T$8:$T$407,INDEX($T$8:$T$407,$AA260),$AF$8:$AF$407)))))))</f>
        <v/>
      </c>
      <c r="F260" s="32" t="str">
        <f t="shared" si="46"/>
        <v/>
      </c>
      <c r="G260" s="32" t="str">
        <f t="shared" si="47"/>
        <v/>
      </c>
      <c r="H260" s="32" t="str">
        <f t="shared" si="48"/>
        <v/>
      </c>
      <c r="J260" t="str">
        <f>IFERROR(MATCH(253,บันทึกรายเที่ยว!$W$6:$W$10005,0),"")</f>
        <v/>
      </c>
      <c r="K260" t="str">
        <f>IF($J260="","",INDEX(บันทึกรายเที่ยว!$T$6:$T$10005,$J260))</f>
        <v/>
      </c>
      <c r="L260" t="str">
        <f>IF($J260="","",INDEX(บันทึกรายเที่ยว!$S$6:$S$10005,$J260))</f>
        <v/>
      </c>
      <c r="M260" t="str">
        <f>IF($J260="","",INDEX(บันทึกรายเที่ยว!$R$6:$R$10005,$J260))</f>
        <v/>
      </c>
      <c r="N260" t="str">
        <f>IF($J260="","",MATCH($M260,บันทึกรายเที่ยว!$R$6:$R$10005,0))</f>
        <v/>
      </c>
      <c r="O260" t="str">
        <f>IF($J260="","",MATCH($L260,บันทึกรายเที่ยว!$S$6:$S$10005,0))</f>
        <v/>
      </c>
      <c r="P260" t="str">
        <f>IF($J260="","",IF(AND(OR($I$3="(ทั้งหมด)",INDEX(บันทึกรายเที่ยว!$C$6:$C$10005,$J260)=$I$3),OR($I$5="(ทั้งหมด)",INDEX(บันทึกรายเที่ยว!$D$6:$D$10005,$J260)=$I$5),OR($I$7="(ทั้งหมด)",INDEX(บันทึกรายเที่ยว!$F$6:$F$10005,$J260)=$I$7)),$N260*10000000+$O260*1000+253,""))</f>
        <v/>
      </c>
      <c r="Q260" t="str">
        <f>IFERROR(MATCH(SMALL($P$8:$P$407,253),$P$8:$P$407,0),"")</f>
        <v/>
      </c>
      <c r="R260" t="str">
        <f t="shared" si="49"/>
        <v/>
      </c>
      <c r="S260" t="str">
        <f t="shared" si="50"/>
        <v/>
      </c>
      <c r="T260" t="str">
        <f t="shared" si="51"/>
        <v/>
      </c>
      <c r="U260" t="str">
        <f t="shared" si="52"/>
        <v/>
      </c>
      <c r="V260">
        <f t="shared" si="54"/>
        <v>0</v>
      </c>
      <c r="W260">
        <f t="shared" si="55"/>
        <v>0</v>
      </c>
      <c r="X260">
        <f>IF($Q260="",99999+253,$X259+1+$V259+$W259)</f>
        <v>100252</v>
      </c>
      <c r="Y260" t="str">
        <f>IF($Q260="","",INDEX(บันทึกรายเที่ยว!$Q$6:$Q$10005,$R260))</f>
        <v/>
      </c>
      <c r="Z260" t="str">
        <f>IF($Q260="","",INDEX(บันทึกรายเที่ยว!$F$6:$F$10005,$R260))</f>
        <v/>
      </c>
      <c r="AA260" t="str">
        <f>IFERROR(MATCH(253,$X$8:$X$407,1),"")</f>
        <v/>
      </c>
      <c r="AB260" t="str">
        <f>IF(253=$AD$1+1,"G",IF($AA260="","",IF(INDEX($Q$8:$Q$407,$AA260)="","",IF(253&gt;INDEX($X$8:$X$407,$AA260)+INDEX($V$8:$V$407,$AA260)+INDEX($W$8:$W$407,$AA260),"",IF(253=INDEX($X$8:$X$407,$AA260)+INDEX($V$8:$V$407,$AA260)+INDEX($W$8:$W$407,$AA260),"D",IF(AND(INDEX($W$8:$W$407,$AA260)=1,253=INDEX($X$8:$X$407,$AA260)+INDEX($V$8:$V$407,$AA260)),"S","R"))))))</f>
        <v/>
      </c>
      <c r="AC260" t="str">
        <f t="shared" si="53"/>
        <v/>
      </c>
      <c r="AE260">
        <f>IF($U260="",0,COUNTIF(บันทึกรายเที่ยว!$T$6:$T$10005,$U260))</f>
        <v>0</v>
      </c>
      <c r="AF260">
        <f>IF($U260="",0,ROUND(SUMIF(บันทึกรายเที่ยว!$T$6:$T$10005,$U260,บันทึกรายเที่ยว!$J$6:$J$10005),2))</f>
        <v>0</v>
      </c>
      <c r="AG260">
        <f>IF($U260="",0,ROUND(SUMIF(บันทึกรายเที่ยว!$T$6:$T$10005,$U260,บันทึกรายเที่ยว!$K$6:$K$10005),2))</f>
        <v>0</v>
      </c>
      <c r="AH260">
        <f>IF($U260="",0,ROUND(SUMIF(บันทึกรายเที่ยว!$T$6:$T$10005,$U260,บันทึกรายเที่ยว!$M$6:$M$10005),2))</f>
        <v>0</v>
      </c>
    </row>
    <row r="261" spans="1:34" ht="21" customHeight="1" x14ac:dyDescent="0.95">
      <c r="A261" s="3" t="str">
        <f t="shared" si="42"/>
        <v/>
      </c>
      <c r="B261" s="3" t="str">
        <f t="shared" si="43"/>
        <v/>
      </c>
      <c r="C261" s="8" t="str">
        <f t="shared" si="44"/>
        <v/>
      </c>
      <c r="D261" s="31" t="str">
        <f t="shared" si="45"/>
        <v/>
      </c>
      <c r="E261" s="32" t="str">
        <f>IF(254=$AD$1+3,"ขอแสดงความนับถือ",IF(254=$AD$1+6,"(                 )",IF(254=$AD$1+7,"เจ้าหน้าที่ขนส่ง",IF($AB261="G",SUM($AF$8:$AF$407),IF(OR($AB261="",$AB261="R"),"",IF($AB261="D",INDEX($AF$8:$AF$407,$AA261),SUMIF($T$8:$T$407,INDEX($T$8:$T$407,$AA261),$AF$8:$AF$407)))))))</f>
        <v/>
      </c>
      <c r="F261" s="32" t="str">
        <f t="shared" si="46"/>
        <v/>
      </c>
      <c r="G261" s="32" t="str">
        <f t="shared" si="47"/>
        <v/>
      </c>
      <c r="H261" s="32" t="str">
        <f t="shared" si="48"/>
        <v/>
      </c>
      <c r="J261" t="str">
        <f>IFERROR(MATCH(254,บันทึกรายเที่ยว!$W$6:$W$10005,0),"")</f>
        <v/>
      </c>
      <c r="K261" t="str">
        <f>IF($J261="","",INDEX(บันทึกรายเที่ยว!$T$6:$T$10005,$J261))</f>
        <v/>
      </c>
      <c r="L261" t="str">
        <f>IF($J261="","",INDEX(บันทึกรายเที่ยว!$S$6:$S$10005,$J261))</f>
        <v/>
      </c>
      <c r="M261" t="str">
        <f>IF($J261="","",INDEX(บันทึกรายเที่ยว!$R$6:$R$10005,$J261))</f>
        <v/>
      </c>
      <c r="N261" t="str">
        <f>IF($J261="","",MATCH($M261,บันทึกรายเที่ยว!$R$6:$R$10005,0))</f>
        <v/>
      </c>
      <c r="O261" t="str">
        <f>IF($J261="","",MATCH($L261,บันทึกรายเที่ยว!$S$6:$S$10005,0))</f>
        <v/>
      </c>
      <c r="P261" t="str">
        <f>IF($J261="","",IF(AND(OR($I$3="(ทั้งหมด)",INDEX(บันทึกรายเที่ยว!$C$6:$C$10005,$J261)=$I$3),OR($I$5="(ทั้งหมด)",INDEX(บันทึกรายเที่ยว!$D$6:$D$10005,$J261)=$I$5),OR($I$7="(ทั้งหมด)",INDEX(บันทึกรายเที่ยว!$F$6:$F$10005,$J261)=$I$7)),$N261*10000000+$O261*1000+254,""))</f>
        <v/>
      </c>
      <c r="Q261" t="str">
        <f>IFERROR(MATCH(SMALL($P$8:$P$407,254),$P$8:$P$407,0),"")</f>
        <v/>
      </c>
      <c r="R261" t="str">
        <f t="shared" si="49"/>
        <v/>
      </c>
      <c r="S261" t="str">
        <f t="shared" si="50"/>
        <v/>
      </c>
      <c r="T261" t="str">
        <f t="shared" si="51"/>
        <v/>
      </c>
      <c r="U261" t="str">
        <f t="shared" si="52"/>
        <v/>
      </c>
      <c r="V261">
        <f t="shared" si="54"/>
        <v>0</v>
      </c>
      <c r="W261">
        <f t="shared" si="55"/>
        <v>0</v>
      </c>
      <c r="X261">
        <f>IF($Q261="",99999+254,$X260+1+$V260+$W260)</f>
        <v>100253</v>
      </c>
      <c r="Y261" t="str">
        <f>IF($Q261="","",INDEX(บันทึกรายเที่ยว!$Q$6:$Q$10005,$R261))</f>
        <v/>
      </c>
      <c r="Z261" t="str">
        <f>IF($Q261="","",INDEX(บันทึกรายเที่ยว!$F$6:$F$10005,$R261))</f>
        <v/>
      </c>
      <c r="AA261" t="str">
        <f>IFERROR(MATCH(254,$X$8:$X$407,1),"")</f>
        <v/>
      </c>
      <c r="AB261" t="str">
        <f>IF(254=$AD$1+1,"G",IF($AA261="","",IF(INDEX($Q$8:$Q$407,$AA261)="","",IF(254&gt;INDEX($X$8:$X$407,$AA261)+INDEX($V$8:$V$407,$AA261)+INDEX($W$8:$W$407,$AA261),"",IF(254=INDEX($X$8:$X$407,$AA261)+INDEX($V$8:$V$407,$AA261)+INDEX($W$8:$W$407,$AA261),"D",IF(AND(INDEX($W$8:$W$407,$AA261)=1,254=INDEX($X$8:$X$407,$AA261)+INDEX($V$8:$V$407,$AA261)),"S","R"))))))</f>
        <v/>
      </c>
      <c r="AC261" t="str">
        <f t="shared" si="53"/>
        <v/>
      </c>
      <c r="AE261">
        <f>IF($U261="",0,COUNTIF(บันทึกรายเที่ยว!$T$6:$T$10005,$U261))</f>
        <v>0</v>
      </c>
      <c r="AF261">
        <f>IF($U261="",0,ROUND(SUMIF(บันทึกรายเที่ยว!$T$6:$T$10005,$U261,บันทึกรายเที่ยว!$J$6:$J$10005),2))</f>
        <v>0</v>
      </c>
      <c r="AG261">
        <f>IF($U261="",0,ROUND(SUMIF(บันทึกรายเที่ยว!$T$6:$T$10005,$U261,บันทึกรายเที่ยว!$K$6:$K$10005),2))</f>
        <v>0</v>
      </c>
      <c r="AH261">
        <f>IF($U261="",0,ROUND(SUMIF(บันทึกรายเที่ยว!$T$6:$T$10005,$U261,บันทึกรายเที่ยว!$M$6:$M$10005),2))</f>
        <v>0</v>
      </c>
    </row>
    <row r="262" spans="1:34" ht="21" customHeight="1" x14ac:dyDescent="0.95">
      <c r="A262" s="3" t="str">
        <f t="shared" si="42"/>
        <v/>
      </c>
      <c r="B262" s="3" t="str">
        <f t="shared" si="43"/>
        <v/>
      </c>
      <c r="C262" s="8" t="str">
        <f t="shared" si="44"/>
        <v/>
      </c>
      <c r="D262" s="31" t="str">
        <f t="shared" si="45"/>
        <v/>
      </c>
      <c r="E262" s="32" t="str">
        <f>IF(255=$AD$1+3,"ขอแสดงความนับถือ",IF(255=$AD$1+6,"(                 )",IF(255=$AD$1+7,"เจ้าหน้าที่ขนส่ง",IF($AB262="G",SUM($AF$8:$AF$407),IF(OR($AB262="",$AB262="R"),"",IF($AB262="D",INDEX($AF$8:$AF$407,$AA262),SUMIF($T$8:$T$407,INDEX($T$8:$T$407,$AA262),$AF$8:$AF$407)))))))</f>
        <v/>
      </c>
      <c r="F262" s="32" t="str">
        <f t="shared" si="46"/>
        <v/>
      </c>
      <c r="G262" s="32" t="str">
        <f t="shared" si="47"/>
        <v/>
      </c>
      <c r="H262" s="32" t="str">
        <f t="shared" si="48"/>
        <v/>
      </c>
      <c r="J262" t="str">
        <f>IFERROR(MATCH(255,บันทึกรายเที่ยว!$W$6:$W$10005,0),"")</f>
        <v/>
      </c>
      <c r="K262" t="str">
        <f>IF($J262="","",INDEX(บันทึกรายเที่ยว!$T$6:$T$10005,$J262))</f>
        <v/>
      </c>
      <c r="L262" t="str">
        <f>IF($J262="","",INDEX(บันทึกรายเที่ยว!$S$6:$S$10005,$J262))</f>
        <v/>
      </c>
      <c r="M262" t="str">
        <f>IF($J262="","",INDEX(บันทึกรายเที่ยว!$R$6:$R$10005,$J262))</f>
        <v/>
      </c>
      <c r="N262" t="str">
        <f>IF($J262="","",MATCH($M262,บันทึกรายเที่ยว!$R$6:$R$10005,0))</f>
        <v/>
      </c>
      <c r="O262" t="str">
        <f>IF($J262="","",MATCH($L262,บันทึกรายเที่ยว!$S$6:$S$10005,0))</f>
        <v/>
      </c>
      <c r="P262" t="str">
        <f>IF($J262="","",IF(AND(OR($I$3="(ทั้งหมด)",INDEX(บันทึกรายเที่ยว!$C$6:$C$10005,$J262)=$I$3),OR($I$5="(ทั้งหมด)",INDEX(บันทึกรายเที่ยว!$D$6:$D$10005,$J262)=$I$5),OR($I$7="(ทั้งหมด)",INDEX(บันทึกรายเที่ยว!$F$6:$F$10005,$J262)=$I$7)),$N262*10000000+$O262*1000+255,""))</f>
        <v/>
      </c>
      <c r="Q262" t="str">
        <f>IFERROR(MATCH(SMALL($P$8:$P$407,255),$P$8:$P$407,0),"")</f>
        <v/>
      </c>
      <c r="R262" t="str">
        <f t="shared" si="49"/>
        <v/>
      </c>
      <c r="S262" t="str">
        <f t="shared" si="50"/>
        <v/>
      </c>
      <c r="T262" t="str">
        <f t="shared" si="51"/>
        <v/>
      </c>
      <c r="U262" t="str">
        <f t="shared" si="52"/>
        <v/>
      </c>
      <c r="V262">
        <f t="shared" si="54"/>
        <v>0</v>
      </c>
      <c r="W262">
        <f t="shared" si="55"/>
        <v>0</v>
      </c>
      <c r="X262">
        <f>IF($Q262="",99999+255,$X261+1+$V261+$W261)</f>
        <v>100254</v>
      </c>
      <c r="Y262" t="str">
        <f>IF($Q262="","",INDEX(บันทึกรายเที่ยว!$Q$6:$Q$10005,$R262))</f>
        <v/>
      </c>
      <c r="Z262" t="str">
        <f>IF($Q262="","",INDEX(บันทึกรายเที่ยว!$F$6:$F$10005,$R262))</f>
        <v/>
      </c>
      <c r="AA262" t="str">
        <f>IFERROR(MATCH(255,$X$8:$X$407,1),"")</f>
        <v/>
      </c>
      <c r="AB262" t="str">
        <f>IF(255=$AD$1+1,"G",IF($AA262="","",IF(INDEX($Q$8:$Q$407,$AA262)="","",IF(255&gt;INDEX($X$8:$X$407,$AA262)+INDEX($V$8:$V$407,$AA262)+INDEX($W$8:$W$407,$AA262),"",IF(255=INDEX($X$8:$X$407,$AA262)+INDEX($V$8:$V$407,$AA262)+INDEX($W$8:$W$407,$AA262),"D",IF(AND(INDEX($W$8:$W$407,$AA262)=1,255=INDEX($X$8:$X$407,$AA262)+INDEX($V$8:$V$407,$AA262)),"S","R"))))))</f>
        <v/>
      </c>
      <c r="AC262" t="str">
        <f t="shared" si="53"/>
        <v/>
      </c>
      <c r="AE262">
        <f>IF($U262="",0,COUNTIF(บันทึกรายเที่ยว!$T$6:$T$10005,$U262))</f>
        <v>0</v>
      </c>
      <c r="AF262">
        <f>IF($U262="",0,ROUND(SUMIF(บันทึกรายเที่ยว!$T$6:$T$10005,$U262,บันทึกรายเที่ยว!$J$6:$J$10005),2))</f>
        <v>0</v>
      </c>
      <c r="AG262">
        <f>IF($U262="",0,ROUND(SUMIF(บันทึกรายเที่ยว!$T$6:$T$10005,$U262,บันทึกรายเที่ยว!$K$6:$K$10005),2))</f>
        <v>0</v>
      </c>
      <c r="AH262">
        <f>IF($U262="",0,ROUND(SUMIF(บันทึกรายเที่ยว!$T$6:$T$10005,$U262,บันทึกรายเที่ยว!$M$6:$M$10005),2))</f>
        <v>0</v>
      </c>
    </row>
    <row r="263" spans="1:34" ht="21" customHeight="1" x14ac:dyDescent="0.95">
      <c r="A263" s="3" t="str">
        <f t="shared" si="42"/>
        <v/>
      </c>
      <c r="B263" s="3" t="str">
        <f t="shared" si="43"/>
        <v/>
      </c>
      <c r="C263" s="8" t="str">
        <f t="shared" si="44"/>
        <v/>
      </c>
      <c r="D263" s="31" t="str">
        <f t="shared" si="45"/>
        <v/>
      </c>
      <c r="E263" s="32" t="str">
        <f>IF(256=$AD$1+3,"ขอแสดงความนับถือ",IF(256=$AD$1+6,"(                 )",IF(256=$AD$1+7,"เจ้าหน้าที่ขนส่ง",IF($AB263="G",SUM($AF$8:$AF$407),IF(OR($AB263="",$AB263="R"),"",IF($AB263="D",INDEX($AF$8:$AF$407,$AA263),SUMIF($T$8:$T$407,INDEX($T$8:$T$407,$AA263),$AF$8:$AF$407)))))))</f>
        <v/>
      </c>
      <c r="F263" s="32" t="str">
        <f t="shared" si="46"/>
        <v/>
      </c>
      <c r="G263" s="32" t="str">
        <f t="shared" si="47"/>
        <v/>
      </c>
      <c r="H263" s="32" t="str">
        <f t="shared" si="48"/>
        <v/>
      </c>
      <c r="J263" t="str">
        <f>IFERROR(MATCH(256,บันทึกรายเที่ยว!$W$6:$W$10005,0),"")</f>
        <v/>
      </c>
      <c r="K263" t="str">
        <f>IF($J263="","",INDEX(บันทึกรายเที่ยว!$T$6:$T$10005,$J263))</f>
        <v/>
      </c>
      <c r="L263" t="str">
        <f>IF($J263="","",INDEX(บันทึกรายเที่ยว!$S$6:$S$10005,$J263))</f>
        <v/>
      </c>
      <c r="M263" t="str">
        <f>IF($J263="","",INDEX(บันทึกรายเที่ยว!$R$6:$R$10005,$J263))</f>
        <v/>
      </c>
      <c r="N263" t="str">
        <f>IF($J263="","",MATCH($M263,บันทึกรายเที่ยว!$R$6:$R$10005,0))</f>
        <v/>
      </c>
      <c r="O263" t="str">
        <f>IF($J263="","",MATCH($L263,บันทึกรายเที่ยว!$S$6:$S$10005,0))</f>
        <v/>
      </c>
      <c r="P263" t="str">
        <f>IF($J263="","",IF(AND(OR($I$3="(ทั้งหมด)",INDEX(บันทึกรายเที่ยว!$C$6:$C$10005,$J263)=$I$3),OR($I$5="(ทั้งหมด)",INDEX(บันทึกรายเที่ยว!$D$6:$D$10005,$J263)=$I$5),OR($I$7="(ทั้งหมด)",INDEX(บันทึกรายเที่ยว!$F$6:$F$10005,$J263)=$I$7)),$N263*10000000+$O263*1000+256,""))</f>
        <v/>
      </c>
      <c r="Q263" t="str">
        <f>IFERROR(MATCH(SMALL($P$8:$P$407,256),$P$8:$P$407,0),"")</f>
        <v/>
      </c>
      <c r="R263" t="str">
        <f t="shared" si="49"/>
        <v/>
      </c>
      <c r="S263" t="str">
        <f t="shared" si="50"/>
        <v/>
      </c>
      <c r="T263" t="str">
        <f t="shared" si="51"/>
        <v/>
      </c>
      <c r="U263" t="str">
        <f t="shared" si="52"/>
        <v/>
      </c>
      <c r="V263">
        <f t="shared" si="54"/>
        <v>0</v>
      </c>
      <c r="W263">
        <f t="shared" si="55"/>
        <v>0</v>
      </c>
      <c r="X263">
        <f>IF($Q263="",99999+256,$X262+1+$V262+$W262)</f>
        <v>100255</v>
      </c>
      <c r="Y263" t="str">
        <f>IF($Q263="","",INDEX(บันทึกรายเที่ยว!$Q$6:$Q$10005,$R263))</f>
        <v/>
      </c>
      <c r="Z263" t="str">
        <f>IF($Q263="","",INDEX(บันทึกรายเที่ยว!$F$6:$F$10005,$R263))</f>
        <v/>
      </c>
      <c r="AA263" t="str">
        <f>IFERROR(MATCH(256,$X$8:$X$407,1),"")</f>
        <v/>
      </c>
      <c r="AB263" t="str">
        <f>IF(256=$AD$1+1,"G",IF($AA263="","",IF(INDEX($Q$8:$Q$407,$AA263)="","",IF(256&gt;INDEX($X$8:$X$407,$AA263)+INDEX($V$8:$V$407,$AA263)+INDEX($W$8:$W$407,$AA263),"",IF(256=INDEX($X$8:$X$407,$AA263)+INDEX($V$8:$V$407,$AA263)+INDEX($W$8:$W$407,$AA263),"D",IF(AND(INDEX($W$8:$W$407,$AA263)=1,256=INDEX($X$8:$X$407,$AA263)+INDEX($V$8:$V$407,$AA263)),"S","R"))))))</f>
        <v/>
      </c>
      <c r="AC263" t="str">
        <f t="shared" si="53"/>
        <v/>
      </c>
      <c r="AE263">
        <f>IF($U263="",0,COUNTIF(บันทึกรายเที่ยว!$T$6:$T$10005,$U263))</f>
        <v>0</v>
      </c>
      <c r="AF263">
        <f>IF($U263="",0,ROUND(SUMIF(บันทึกรายเที่ยว!$T$6:$T$10005,$U263,บันทึกรายเที่ยว!$J$6:$J$10005),2))</f>
        <v>0</v>
      </c>
      <c r="AG263">
        <f>IF($U263="",0,ROUND(SUMIF(บันทึกรายเที่ยว!$T$6:$T$10005,$U263,บันทึกรายเที่ยว!$K$6:$K$10005),2))</f>
        <v>0</v>
      </c>
      <c r="AH263">
        <f>IF($U263="",0,ROUND(SUMIF(บันทึกรายเที่ยว!$T$6:$T$10005,$U263,บันทึกรายเที่ยว!$M$6:$M$10005),2))</f>
        <v>0</v>
      </c>
    </row>
    <row r="264" spans="1:34" ht="21" customHeight="1" x14ac:dyDescent="0.95">
      <c r="A264" s="3" t="str">
        <f t="shared" ref="A264:A327" si="56">IF($AB264="G","ผลรวมทั้งหมด",IF($AB264="R",INDEX($S$8:$S$407,$AA264),""))</f>
        <v/>
      </c>
      <c r="B264" s="3" t="str">
        <f t="shared" ref="B264:B327" si="57">IF($AB264="S",INDEX($Y$8:$Y$407,$AA264),"")</f>
        <v/>
      </c>
      <c r="C264" s="8" t="str">
        <f t="shared" ref="C264:C327" si="58">IF($AB264="D",INDEX($Z$8:$Z$407,$AA264),"")</f>
        <v/>
      </c>
      <c r="D264" s="31" t="str">
        <f t="shared" ref="D264:D327" si="59">IF($AB264="G",SUM($AE$8:$AE$407),IF(OR($AB264="",$AB264="R"),"",IF($AB264="D",INDEX($AE$8:$AE$407,$AA264),SUMIF($T$8:$T$407,INDEX($T$8:$T$407,$AA264),$AE$8:$AE$407))))</f>
        <v/>
      </c>
      <c r="E264" s="32" t="str">
        <f>IF(257=$AD$1+3,"ขอแสดงความนับถือ",IF(257=$AD$1+6,"(                 )",IF(257=$AD$1+7,"เจ้าหน้าที่ขนส่ง",IF($AB264="G",SUM($AF$8:$AF$407),IF(OR($AB264="",$AB264="R"),"",IF($AB264="D",INDEX($AF$8:$AF$407,$AA264),SUMIF($T$8:$T$407,INDEX($T$8:$T$407,$AA264),$AF$8:$AF$407)))))))</f>
        <v/>
      </c>
      <c r="F264" s="32" t="str">
        <f t="shared" ref="F264:F327" si="60">IF($AB264="G",SUM($AG$8:$AG$407),IF(OR($AB264="",$AB264="R"),"",IF($AB264="D",INDEX($AG$8:$AG$407,$AA264),SUMIF($T$8:$T$407,INDEX($T$8:$T$407,$AA264),$AG$8:$AG$407))))</f>
        <v/>
      </c>
      <c r="G264" s="32" t="str">
        <f t="shared" ref="G264:G327" si="61">IF(OR($AB264="",$AB264="R"),"",ROUND($E264-$F264,2))</f>
        <v/>
      </c>
      <c r="H264" s="32" t="str">
        <f t="shared" ref="H264:H327" si="62">IF($AB264="G",SUM($AH$8:$AH$407),IF(OR($AB264="",$AB264="R"),"",IF($AB264="D",INDEX($AH$8:$AH$407,$AA264),SUMIF($T$8:$T$407,INDEX($T$8:$T$407,$AA264),$AH$8:$AH$407))))</f>
        <v/>
      </c>
      <c r="J264" t="str">
        <f>IFERROR(MATCH(257,บันทึกรายเที่ยว!$W$6:$W$10005,0),"")</f>
        <v/>
      </c>
      <c r="K264" t="str">
        <f>IF($J264="","",INDEX(บันทึกรายเที่ยว!$T$6:$T$10005,$J264))</f>
        <v/>
      </c>
      <c r="L264" t="str">
        <f>IF($J264="","",INDEX(บันทึกรายเที่ยว!$S$6:$S$10005,$J264))</f>
        <v/>
      </c>
      <c r="M264" t="str">
        <f>IF($J264="","",INDEX(บันทึกรายเที่ยว!$R$6:$R$10005,$J264))</f>
        <v/>
      </c>
      <c r="N264" t="str">
        <f>IF($J264="","",MATCH($M264,บันทึกรายเที่ยว!$R$6:$R$10005,0))</f>
        <v/>
      </c>
      <c r="O264" t="str">
        <f>IF($J264="","",MATCH($L264,บันทึกรายเที่ยว!$S$6:$S$10005,0))</f>
        <v/>
      </c>
      <c r="P264" t="str">
        <f>IF($J264="","",IF(AND(OR($I$3="(ทั้งหมด)",INDEX(บันทึกรายเที่ยว!$C$6:$C$10005,$J264)=$I$3),OR($I$5="(ทั้งหมด)",INDEX(บันทึกรายเที่ยว!$D$6:$D$10005,$J264)=$I$5),OR($I$7="(ทั้งหมด)",INDEX(บันทึกรายเที่ยว!$F$6:$F$10005,$J264)=$I$7)),$N264*10000000+$O264*1000+257,""))</f>
        <v/>
      </c>
      <c r="Q264" t="str">
        <f>IFERROR(MATCH(SMALL($P$8:$P$407,257),$P$8:$P$407,0),"")</f>
        <v/>
      </c>
      <c r="R264" t="str">
        <f t="shared" ref="R264:R327" si="63">IF($Q264="","",INDEX($J$8:$J$407,$Q264))</f>
        <v/>
      </c>
      <c r="S264" t="str">
        <f t="shared" ref="S264:S327" si="64">IF($Q264="","",INDEX($M$8:$M$407,$Q264))</f>
        <v/>
      </c>
      <c r="T264" t="str">
        <f t="shared" ref="T264:T327" si="65">IF($Q264="","",INDEX($L$8:$L$407,$Q264))</f>
        <v/>
      </c>
      <c r="U264" t="str">
        <f t="shared" ref="U264:U327" si="66">IF($Q264="","",INDEX($K$8:$K$407,$Q264))</f>
        <v/>
      </c>
      <c r="V264">
        <f t="shared" si="54"/>
        <v>0</v>
      </c>
      <c r="W264">
        <f t="shared" si="55"/>
        <v>0</v>
      </c>
      <c r="X264">
        <f>IF($Q264="",99999+257,$X263+1+$V263+$W263)</f>
        <v>100256</v>
      </c>
      <c r="Y264" t="str">
        <f>IF($Q264="","",INDEX(บันทึกรายเที่ยว!$Q$6:$Q$10005,$R264))</f>
        <v/>
      </c>
      <c r="Z264" t="str">
        <f>IF($Q264="","",INDEX(บันทึกรายเที่ยว!$F$6:$F$10005,$R264))</f>
        <v/>
      </c>
      <c r="AA264" t="str">
        <f>IFERROR(MATCH(257,$X$8:$X$407,1),"")</f>
        <v/>
      </c>
      <c r="AB264" t="str">
        <f>IF(257=$AD$1+1,"G",IF($AA264="","",IF(INDEX($Q$8:$Q$407,$AA264)="","",IF(257&gt;INDEX($X$8:$X$407,$AA264)+INDEX($V$8:$V$407,$AA264)+INDEX($W$8:$W$407,$AA264),"",IF(257=INDEX($X$8:$X$407,$AA264)+INDEX($V$8:$V$407,$AA264)+INDEX($W$8:$W$407,$AA264),"D",IF(AND(INDEX($W$8:$W$407,$AA264)=1,257=INDEX($X$8:$X$407,$AA264)+INDEX($V$8:$V$407,$AA264)),"S","R"))))))</f>
        <v/>
      </c>
      <c r="AC264" t="str">
        <f t="shared" ref="AC264:AC327" si="67">IF(OR($AB264="",$AB264="G"),"",IF($AB264="D",INDEX($U$8:$U$407,$AA264),IF($AB264="S",INDEX($T$8:$T$407,$AA264)&amp;"|*",INDEX($S$8:$S$407,$AA264)&amp;"|*")))</f>
        <v/>
      </c>
      <c r="AE264">
        <f>IF($U264="",0,COUNTIF(บันทึกรายเที่ยว!$T$6:$T$10005,$U264))</f>
        <v>0</v>
      </c>
      <c r="AF264">
        <f>IF($U264="",0,ROUND(SUMIF(บันทึกรายเที่ยว!$T$6:$T$10005,$U264,บันทึกรายเที่ยว!$J$6:$J$10005),2))</f>
        <v>0</v>
      </c>
      <c r="AG264">
        <f>IF($U264="",0,ROUND(SUMIF(บันทึกรายเที่ยว!$T$6:$T$10005,$U264,บันทึกรายเที่ยว!$K$6:$K$10005),2))</f>
        <v>0</v>
      </c>
      <c r="AH264">
        <f>IF($U264="",0,ROUND(SUMIF(บันทึกรายเที่ยว!$T$6:$T$10005,$U264,บันทึกรายเที่ยว!$M$6:$M$10005),2))</f>
        <v>0</v>
      </c>
    </row>
    <row r="265" spans="1:34" ht="21" customHeight="1" x14ac:dyDescent="0.95">
      <c r="A265" s="3" t="str">
        <f t="shared" si="56"/>
        <v/>
      </c>
      <c r="B265" s="3" t="str">
        <f t="shared" si="57"/>
        <v/>
      </c>
      <c r="C265" s="8" t="str">
        <f t="shared" si="58"/>
        <v/>
      </c>
      <c r="D265" s="31" t="str">
        <f t="shared" si="59"/>
        <v/>
      </c>
      <c r="E265" s="32" t="str">
        <f>IF(258=$AD$1+3,"ขอแสดงความนับถือ",IF(258=$AD$1+6,"(                 )",IF(258=$AD$1+7,"เจ้าหน้าที่ขนส่ง",IF($AB265="G",SUM($AF$8:$AF$407),IF(OR($AB265="",$AB265="R"),"",IF($AB265="D",INDEX($AF$8:$AF$407,$AA265),SUMIF($T$8:$T$407,INDEX($T$8:$T$407,$AA265),$AF$8:$AF$407)))))))</f>
        <v/>
      </c>
      <c r="F265" s="32" t="str">
        <f t="shared" si="60"/>
        <v/>
      </c>
      <c r="G265" s="32" t="str">
        <f t="shared" si="61"/>
        <v/>
      </c>
      <c r="H265" s="32" t="str">
        <f t="shared" si="62"/>
        <v/>
      </c>
      <c r="J265" t="str">
        <f>IFERROR(MATCH(258,บันทึกรายเที่ยว!$W$6:$W$10005,0),"")</f>
        <v/>
      </c>
      <c r="K265" t="str">
        <f>IF($J265="","",INDEX(บันทึกรายเที่ยว!$T$6:$T$10005,$J265))</f>
        <v/>
      </c>
      <c r="L265" t="str">
        <f>IF($J265="","",INDEX(บันทึกรายเที่ยว!$S$6:$S$10005,$J265))</f>
        <v/>
      </c>
      <c r="M265" t="str">
        <f>IF($J265="","",INDEX(บันทึกรายเที่ยว!$R$6:$R$10005,$J265))</f>
        <v/>
      </c>
      <c r="N265" t="str">
        <f>IF($J265="","",MATCH($M265,บันทึกรายเที่ยว!$R$6:$R$10005,0))</f>
        <v/>
      </c>
      <c r="O265" t="str">
        <f>IF($J265="","",MATCH($L265,บันทึกรายเที่ยว!$S$6:$S$10005,0))</f>
        <v/>
      </c>
      <c r="P265" t="str">
        <f>IF($J265="","",IF(AND(OR($I$3="(ทั้งหมด)",INDEX(บันทึกรายเที่ยว!$C$6:$C$10005,$J265)=$I$3),OR($I$5="(ทั้งหมด)",INDEX(บันทึกรายเที่ยว!$D$6:$D$10005,$J265)=$I$5),OR($I$7="(ทั้งหมด)",INDEX(บันทึกรายเที่ยว!$F$6:$F$10005,$J265)=$I$7)),$N265*10000000+$O265*1000+258,""))</f>
        <v/>
      </c>
      <c r="Q265" t="str">
        <f>IFERROR(MATCH(SMALL($P$8:$P$407,258),$P$8:$P$407,0),"")</f>
        <v/>
      </c>
      <c r="R265" t="str">
        <f t="shared" si="63"/>
        <v/>
      </c>
      <c r="S265" t="str">
        <f t="shared" si="64"/>
        <v/>
      </c>
      <c r="T265" t="str">
        <f t="shared" si="65"/>
        <v/>
      </c>
      <c r="U265" t="str">
        <f t="shared" si="66"/>
        <v/>
      </c>
      <c r="V265">
        <f t="shared" ref="V265:V328" si="68">IF($Q265="",0,IF($S265&lt;&gt;$S264,1,0))</f>
        <v>0</v>
      </c>
      <c r="W265">
        <f t="shared" ref="W265:W328" si="69">IF($Q265="",0,IF($T265&lt;&gt;$T264,1,0))</f>
        <v>0</v>
      </c>
      <c r="X265">
        <f>IF($Q265="",99999+258,$X264+1+$V264+$W264)</f>
        <v>100257</v>
      </c>
      <c r="Y265" t="str">
        <f>IF($Q265="","",INDEX(บันทึกรายเที่ยว!$Q$6:$Q$10005,$R265))</f>
        <v/>
      </c>
      <c r="Z265" t="str">
        <f>IF($Q265="","",INDEX(บันทึกรายเที่ยว!$F$6:$F$10005,$R265))</f>
        <v/>
      </c>
      <c r="AA265" t="str">
        <f>IFERROR(MATCH(258,$X$8:$X$407,1),"")</f>
        <v/>
      </c>
      <c r="AB265" t="str">
        <f>IF(258=$AD$1+1,"G",IF($AA265="","",IF(INDEX($Q$8:$Q$407,$AA265)="","",IF(258&gt;INDEX($X$8:$X$407,$AA265)+INDEX($V$8:$V$407,$AA265)+INDEX($W$8:$W$407,$AA265),"",IF(258=INDEX($X$8:$X$407,$AA265)+INDEX($V$8:$V$407,$AA265)+INDEX($W$8:$W$407,$AA265),"D",IF(AND(INDEX($W$8:$W$407,$AA265)=1,258=INDEX($X$8:$X$407,$AA265)+INDEX($V$8:$V$407,$AA265)),"S","R"))))))</f>
        <v/>
      </c>
      <c r="AC265" t="str">
        <f t="shared" si="67"/>
        <v/>
      </c>
      <c r="AE265">
        <f>IF($U265="",0,COUNTIF(บันทึกรายเที่ยว!$T$6:$T$10005,$U265))</f>
        <v>0</v>
      </c>
      <c r="AF265">
        <f>IF($U265="",0,ROUND(SUMIF(บันทึกรายเที่ยว!$T$6:$T$10005,$U265,บันทึกรายเที่ยว!$J$6:$J$10005),2))</f>
        <v>0</v>
      </c>
      <c r="AG265">
        <f>IF($U265="",0,ROUND(SUMIF(บันทึกรายเที่ยว!$T$6:$T$10005,$U265,บันทึกรายเที่ยว!$K$6:$K$10005),2))</f>
        <v>0</v>
      </c>
      <c r="AH265">
        <f>IF($U265="",0,ROUND(SUMIF(บันทึกรายเที่ยว!$T$6:$T$10005,$U265,บันทึกรายเที่ยว!$M$6:$M$10005),2))</f>
        <v>0</v>
      </c>
    </row>
    <row r="266" spans="1:34" ht="21" customHeight="1" x14ac:dyDescent="0.95">
      <c r="A266" s="3" t="str">
        <f t="shared" si="56"/>
        <v/>
      </c>
      <c r="B266" s="3" t="str">
        <f t="shared" si="57"/>
        <v/>
      </c>
      <c r="C266" s="8" t="str">
        <f t="shared" si="58"/>
        <v/>
      </c>
      <c r="D266" s="31" t="str">
        <f t="shared" si="59"/>
        <v/>
      </c>
      <c r="E266" s="32" t="str">
        <f>IF(259=$AD$1+3,"ขอแสดงความนับถือ",IF(259=$AD$1+6,"(                 )",IF(259=$AD$1+7,"เจ้าหน้าที่ขนส่ง",IF($AB266="G",SUM($AF$8:$AF$407),IF(OR($AB266="",$AB266="R"),"",IF($AB266="D",INDEX($AF$8:$AF$407,$AA266),SUMIF($T$8:$T$407,INDEX($T$8:$T$407,$AA266),$AF$8:$AF$407)))))))</f>
        <v/>
      </c>
      <c r="F266" s="32" t="str">
        <f t="shared" si="60"/>
        <v/>
      </c>
      <c r="G266" s="32" t="str">
        <f t="shared" si="61"/>
        <v/>
      </c>
      <c r="H266" s="32" t="str">
        <f t="shared" si="62"/>
        <v/>
      </c>
      <c r="J266" t="str">
        <f>IFERROR(MATCH(259,บันทึกรายเที่ยว!$W$6:$W$10005,0),"")</f>
        <v/>
      </c>
      <c r="K266" t="str">
        <f>IF($J266="","",INDEX(บันทึกรายเที่ยว!$T$6:$T$10005,$J266))</f>
        <v/>
      </c>
      <c r="L266" t="str">
        <f>IF($J266="","",INDEX(บันทึกรายเที่ยว!$S$6:$S$10005,$J266))</f>
        <v/>
      </c>
      <c r="M266" t="str">
        <f>IF($J266="","",INDEX(บันทึกรายเที่ยว!$R$6:$R$10005,$J266))</f>
        <v/>
      </c>
      <c r="N266" t="str">
        <f>IF($J266="","",MATCH($M266,บันทึกรายเที่ยว!$R$6:$R$10005,0))</f>
        <v/>
      </c>
      <c r="O266" t="str">
        <f>IF($J266="","",MATCH($L266,บันทึกรายเที่ยว!$S$6:$S$10005,0))</f>
        <v/>
      </c>
      <c r="P266" t="str">
        <f>IF($J266="","",IF(AND(OR($I$3="(ทั้งหมด)",INDEX(บันทึกรายเที่ยว!$C$6:$C$10005,$J266)=$I$3),OR($I$5="(ทั้งหมด)",INDEX(บันทึกรายเที่ยว!$D$6:$D$10005,$J266)=$I$5),OR($I$7="(ทั้งหมด)",INDEX(บันทึกรายเที่ยว!$F$6:$F$10005,$J266)=$I$7)),$N266*10000000+$O266*1000+259,""))</f>
        <v/>
      </c>
      <c r="Q266" t="str">
        <f>IFERROR(MATCH(SMALL($P$8:$P$407,259),$P$8:$P$407,0),"")</f>
        <v/>
      </c>
      <c r="R266" t="str">
        <f t="shared" si="63"/>
        <v/>
      </c>
      <c r="S266" t="str">
        <f t="shared" si="64"/>
        <v/>
      </c>
      <c r="T266" t="str">
        <f t="shared" si="65"/>
        <v/>
      </c>
      <c r="U266" t="str">
        <f t="shared" si="66"/>
        <v/>
      </c>
      <c r="V266">
        <f t="shared" si="68"/>
        <v>0</v>
      </c>
      <c r="W266">
        <f t="shared" si="69"/>
        <v>0</v>
      </c>
      <c r="X266">
        <f>IF($Q266="",99999+259,$X265+1+$V265+$W265)</f>
        <v>100258</v>
      </c>
      <c r="Y266" t="str">
        <f>IF($Q266="","",INDEX(บันทึกรายเที่ยว!$Q$6:$Q$10005,$R266))</f>
        <v/>
      </c>
      <c r="Z266" t="str">
        <f>IF($Q266="","",INDEX(บันทึกรายเที่ยว!$F$6:$F$10005,$R266))</f>
        <v/>
      </c>
      <c r="AA266" t="str">
        <f>IFERROR(MATCH(259,$X$8:$X$407,1),"")</f>
        <v/>
      </c>
      <c r="AB266" t="str">
        <f>IF(259=$AD$1+1,"G",IF($AA266="","",IF(INDEX($Q$8:$Q$407,$AA266)="","",IF(259&gt;INDEX($X$8:$X$407,$AA266)+INDEX($V$8:$V$407,$AA266)+INDEX($W$8:$W$407,$AA266),"",IF(259=INDEX($X$8:$X$407,$AA266)+INDEX($V$8:$V$407,$AA266)+INDEX($W$8:$W$407,$AA266),"D",IF(AND(INDEX($W$8:$W$407,$AA266)=1,259=INDEX($X$8:$X$407,$AA266)+INDEX($V$8:$V$407,$AA266)),"S","R"))))))</f>
        <v/>
      </c>
      <c r="AC266" t="str">
        <f t="shared" si="67"/>
        <v/>
      </c>
      <c r="AE266">
        <f>IF($U266="",0,COUNTIF(บันทึกรายเที่ยว!$T$6:$T$10005,$U266))</f>
        <v>0</v>
      </c>
      <c r="AF266">
        <f>IF($U266="",0,ROUND(SUMIF(บันทึกรายเที่ยว!$T$6:$T$10005,$U266,บันทึกรายเที่ยว!$J$6:$J$10005),2))</f>
        <v>0</v>
      </c>
      <c r="AG266">
        <f>IF($U266="",0,ROUND(SUMIF(บันทึกรายเที่ยว!$T$6:$T$10005,$U266,บันทึกรายเที่ยว!$K$6:$K$10005),2))</f>
        <v>0</v>
      </c>
      <c r="AH266">
        <f>IF($U266="",0,ROUND(SUMIF(บันทึกรายเที่ยว!$T$6:$T$10005,$U266,บันทึกรายเที่ยว!$M$6:$M$10005),2))</f>
        <v>0</v>
      </c>
    </row>
    <row r="267" spans="1:34" ht="21" customHeight="1" x14ac:dyDescent="0.95">
      <c r="A267" s="3" t="str">
        <f t="shared" si="56"/>
        <v/>
      </c>
      <c r="B267" s="3" t="str">
        <f t="shared" si="57"/>
        <v/>
      </c>
      <c r="C267" s="8" t="str">
        <f t="shared" si="58"/>
        <v/>
      </c>
      <c r="D267" s="31" t="str">
        <f t="shared" si="59"/>
        <v/>
      </c>
      <c r="E267" s="32" t="str">
        <f>IF(260=$AD$1+3,"ขอแสดงความนับถือ",IF(260=$AD$1+6,"(                 )",IF(260=$AD$1+7,"เจ้าหน้าที่ขนส่ง",IF($AB267="G",SUM($AF$8:$AF$407),IF(OR($AB267="",$AB267="R"),"",IF($AB267="D",INDEX($AF$8:$AF$407,$AA267),SUMIF($T$8:$T$407,INDEX($T$8:$T$407,$AA267),$AF$8:$AF$407)))))))</f>
        <v/>
      </c>
      <c r="F267" s="32" t="str">
        <f t="shared" si="60"/>
        <v/>
      </c>
      <c r="G267" s="32" t="str">
        <f t="shared" si="61"/>
        <v/>
      </c>
      <c r="H267" s="32" t="str">
        <f t="shared" si="62"/>
        <v/>
      </c>
      <c r="J267" t="str">
        <f>IFERROR(MATCH(260,บันทึกรายเที่ยว!$W$6:$W$10005,0),"")</f>
        <v/>
      </c>
      <c r="K267" t="str">
        <f>IF($J267="","",INDEX(บันทึกรายเที่ยว!$T$6:$T$10005,$J267))</f>
        <v/>
      </c>
      <c r="L267" t="str">
        <f>IF($J267="","",INDEX(บันทึกรายเที่ยว!$S$6:$S$10005,$J267))</f>
        <v/>
      </c>
      <c r="M267" t="str">
        <f>IF($J267="","",INDEX(บันทึกรายเที่ยว!$R$6:$R$10005,$J267))</f>
        <v/>
      </c>
      <c r="N267" t="str">
        <f>IF($J267="","",MATCH($M267,บันทึกรายเที่ยว!$R$6:$R$10005,0))</f>
        <v/>
      </c>
      <c r="O267" t="str">
        <f>IF($J267="","",MATCH($L267,บันทึกรายเที่ยว!$S$6:$S$10005,0))</f>
        <v/>
      </c>
      <c r="P267" t="str">
        <f>IF($J267="","",IF(AND(OR($I$3="(ทั้งหมด)",INDEX(บันทึกรายเที่ยว!$C$6:$C$10005,$J267)=$I$3),OR($I$5="(ทั้งหมด)",INDEX(บันทึกรายเที่ยว!$D$6:$D$10005,$J267)=$I$5),OR($I$7="(ทั้งหมด)",INDEX(บันทึกรายเที่ยว!$F$6:$F$10005,$J267)=$I$7)),$N267*10000000+$O267*1000+260,""))</f>
        <v/>
      </c>
      <c r="Q267" t="str">
        <f>IFERROR(MATCH(SMALL($P$8:$P$407,260),$P$8:$P$407,0),"")</f>
        <v/>
      </c>
      <c r="R267" t="str">
        <f t="shared" si="63"/>
        <v/>
      </c>
      <c r="S267" t="str">
        <f t="shared" si="64"/>
        <v/>
      </c>
      <c r="T267" t="str">
        <f t="shared" si="65"/>
        <v/>
      </c>
      <c r="U267" t="str">
        <f t="shared" si="66"/>
        <v/>
      </c>
      <c r="V267">
        <f t="shared" si="68"/>
        <v>0</v>
      </c>
      <c r="W267">
        <f t="shared" si="69"/>
        <v>0</v>
      </c>
      <c r="X267">
        <f>IF($Q267="",99999+260,$X266+1+$V266+$W266)</f>
        <v>100259</v>
      </c>
      <c r="Y267" t="str">
        <f>IF($Q267="","",INDEX(บันทึกรายเที่ยว!$Q$6:$Q$10005,$R267))</f>
        <v/>
      </c>
      <c r="Z267" t="str">
        <f>IF($Q267="","",INDEX(บันทึกรายเที่ยว!$F$6:$F$10005,$R267))</f>
        <v/>
      </c>
      <c r="AA267" t="str">
        <f>IFERROR(MATCH(260,$X$8:$X$407,1),"")</f>
        <v/>
      </c>
      <c r="AB267" t="str">
        <f>IF(260=$AD$1+1,"G",IF($AA267="","",IF(INDEX($Q$8:$Q$407,$AA267)="","",IF(260&gt;INDEX($X$8:$X$407,$AA267)+INDEX($V$8:$V$407,$AA267)+INDEX($W$8:$W$407,$AA267),"",IF(260=INDEX($X$8:$X$407,$AA267)+INDEX($V$8:$V$407,$AA267)+INDEX($W$8:$W$407,$AA267),"D",IF(AND(INDEX($W$8:$W$407,$AA267)=1,260=INDEX($X$8:$X$407,$AA267)+INDEX($V$8:$V$407,$AA267)),"S","R"))))))</f>
        <v/>
      </c>
      <c r="AC267" t="str">
        <f t="shared" si="67"/>
        <v/>
      </c>
      <c r="AE267">
        <f>IF($U267="",0,COUNTIF(บันทึกรายเที่ยว!$T$6:$T$10005,$U267))</f>
        <v>0</v>
      </c>
      <c r="AF267">
        <f>IF($U267="",0,ROUND(SUMIF(บันทึกรายเที่ยว!$T$6:$T$10005,$U267,บันทึกรายเที่ยว!$J$6:$J$10005),2))</f>
        <v>0</v>
      </c>
      <c r="AG267">
        <f>IF($U267="",0,ROUND(SUMIF(บันทึกรายเที่ยว!$T$6:$T$10005,$U267,บันทึกรายเที่ยว!$K$6:$K$10005),2))</f>
        <v>0</v>
      </c>
      <c r="AH267">
        <f>IF($U267="",0,ROUND(SUMIF(บันทึกรายเที่ยว!$T$6:$T$10005,$U267,บันทึกรายเที่ยว!$M$6:$M$10005),2))</f>
        <v>0</v>
      </c>
    </row>
    <row r="268" spans="1:34" ht="21" customHeight="1" x14ac:dyDescent="0.95">
      <c r="A268" s="3" t="str">
        <f t="shared" si="56"/>
        <v/>
      </c>
      <c r="B268" s="3" t="str">
        <f t="shared" si="57"/>
        <v/>
      </c>
      <c r="C268" s="8" t="str">
        <f t="shared" si="58"/>
        <v/>
      </c>
      <c r="D268" s="31" t="str">
        <f t="shared" si="59"/>
        <v/>
      </c>
      <c r="E268" s="32" t="str">
        <f>IF(261=$AD$1+3,"ขอแสดงความนับถือ",IF(261=$AD$1+6,"(                 )",IF(261=$AD$1+7,"เจ้าหน้าที่ขนส่ง",IF($AB268="G",SUM($AF$8:$AF$407),IF(OR($AB268="",$AB268="R"),"",IF($AB268="D",INDEX($AF$8:$AF$407,$AA268),SUMIF($T$8:$T$407,INDEX($T$8:$T$407,$AA268),$AF$8:$AF$407)))))))</f>
        <v/>
      </c>
      <c r="F268" s="32" t="str">
        <f t="shared" si="60"/>
        <v/>
      </c>
      <c r="G268" s="32" t="str">
        <f t="shared" si="61"/>
        <v/>
      </c>
      <c r="H268" s="32" t="str">
        <f t="shared" si="62"/>
        <v/>
      </c>
      <c r="J268" t="str">
        <f>IFERROR(MATCH(261,บันทึกรายเที่ยว!$W$6:$W$10005,0),"")</f>
        <v/>
      </c>
      <c r="K268" t="str">
        <f>IF($J268="","",INDEX(บันทึกรายเที่ยว!$T$6:$T$10005,$J268))</f>
        <v/>
      </c>
      <c r="L268" t="str">
        <f>IF($J268="","",INDEX(บันทึกรายเที่ยว!$S$6:$S$10005,$J268))</f>
        <v/>
      </c>
      <c r="M268" t="str">
        <f>IF($J268="","",INDEX(บันทึกรายเที่ยว!$R$6:$R$10005,$J268))</f>
        <v/>
      </c>
      <c r="N268" t="str">
        <f>IF($J268="","",MATCH($M268,บันทึกรายเที่ยว!$R$6:$R$10005,0))</f>
        <v/>
      </c>
      <c r="O268" t="str">
        <f>IF($J268="","",MATCH($L268,บันทึกรายเที่ยว!$S$6:$S$10005,0))</f>
        <v/>
      </c>
      <c r="P268" t="str">
        <f>IF($J268="","",IF(AND(OR($I$3="(ทั้งหมด)",INDEX(บันทึกรายเที่ยว!$C$6:$C$10005,$J268)=$I$3),OR($I$5="(ทั้งหมด)",INDEX(บันทึกรายเที่ยว!$D$6:$D$10005,$J268)=$I$5),OR($I$7="(ทั้งหมด)",INDEX(บันทึกรายเที่ยว!$F$6:$F$10005,$J268)=$I$7)),$N268*10000000+$O268*1000+261,""))</f>
        <v/>
      </c>
      <c r="Q268" t="str">
        <f>IFERROR(MATCH(SMALL($P$8:$P$407,261),$P$8:$P$407,0),"")</f>
        <v/>
      </c>
      <c r="R268" t="str">
        <f t="shared" si="63"/>
        <v/>
      </c>
      <c r="S268" t="str">
        <f t="shared" si="64"/>
        <v/>
      </c>
      <c r="T268" t="str">
        <f t="shared" si="65"/>
        <v/>
      </c>
      <c r="U268" t="str">
        <f t="shared" si="66"/>
        <v/>
      </c>
      <c r="V268">
        <f t="shared" si="68"/>
        <v>0</v>
      </c>
      <c r="W268">
        <f t="shared" si="69"/>
        <v>0</v>
      </c>
      <c r="X268">
        <f>IF($Q268="",99999+261,$X267+1+$V267+$W267)</f>
        <v>100260</v>
      </c>
      <c r="Y268" t="str">
        <f>IF($Q268="","",INDEX(บันทึกรายเที่ยว!$Q$6:$Q$10005,$R268))</f>
        <v/>
      </c>
      <c r="Z268" t="str">
        <f>IF($Q268="","",INDEX(บันทึกรายเที่ยว!$F$6:$F$10005,$R268))</f>
        <v/>
      </c>
      <c r="AA268" t="str">
        <f>IFERROR(MATCH(261,$X$8:$X$407,1),"")</f>
        <v/>
      </c>
      <c r="AB268" t="str">
        <f>IF(261=$AD$1+1,"G",IF($AA268="","",IF(INDEX($Q$8:$Q$407,$AA268)="","",IF(261&gt;INDEX($X$8:$X$407,$AA268)+INDEX($V$8:$V$407,$AA268)+INDEX($W$8:$W$407,$AA268),"",IF(261=INDEX($X$8:$X$407,$AA268)+INDEX($V$8:$V$407,$AA268)+INDEX($W$8:$W$407,$AA268),"D",IF(AND(INDEX($W$8:$W$407,$AA268)=1,261=INDEX($X$8:$X$407,$AA268)+INDEX($V$8:$V$407,$AA268)),"S","R"))))))</f>
        <v/>
      </c>
      <c r="AC268" t="str">
        <f t="shared" si="67"/>
        <v/>
      </c>
      <c r="AE268">
        <f>IF($U268="",0,COUNTIF(บันทึกรายเที่ยว!$T$6:$T$10005,$U268))</f>
        <v>0</v>
      </c>
      <c r="AF268">
        <f>IF($U268="",0,ROUND(SUMIF(บันทึกรายเที่ยว!$T$6:$T$10005,$U268,บันทึกรายเที่ยว!$J$6:$J$10005),2))</f>
        <v>0</v>
      </c>
      <c r="AG268">
        <f>IF($U268="",0,ROUND(SUMIF(บันทึกรายเที่ยว!$T$6:$T$10005,$U268,บันทึกรายเที่ยว!$K$6:$K$10005),2))</f>
        <v>0</v>
      </c>
      <c r="AH268">
        <f>IF($U268="",0,ROUND(SUMIF(บันทึกรายเที่ยว!$T$6:$T$10005,$U268,บันทึกรายเที่ยว!$M$6:$M$10005),2))</f>
        <v>0</v>
      </c>
    </row>
    <row r="269" spans="1:34" ht="21" customHeight="1" x14ac:dyDescent="0.95">
      <c r="A269" s="3" t="str">
        <f t="shared" si="56"/>
        <v/>
      </c>
      <c r="B269" s="3" t="str">
        <f t="shared" si="57"/>
        <v/>
      </c>
      <c r="C269" s="8" t="str">
        <f t="shared" si="58"/>
        <v/>
      </c>
      <c r="D269" s="31" t="str">
        <f t="shared" si="59"/>
        <v/>
      </c>
      <c r="E269" s="32" t="str">
        <f>IF(262=$AD$1+3,"ขอแสดงความนับถือ",IF(262=$AD$1+6,"(                 )",IF(262=$AD$1+7,"เจ้าหน้าที่ขนส่ง",IF($AB269="G",SUM($AF$8:$AF$407),IF(OR($AB269="",$AB269="R"),"",IF($AB269="D",INDEX($AF$8:$AF$407,$AA269),SUMIF($T$8:$T$407,INDEX($T$8:$T$407,$AA269),$AF$8:$AF$407)))))))</f>
        <v/>
      </c>
      <c r="F269" s="32" t="str">
        <f t="shared" si="60"/>
        <v/>
      </c>
      <c r="G269" s="32" t="str">
        <f t="shared" si="61"/>
        <v/>
      </c>
      <c r="H269" s="32" t="str">
        <f t="shared" si="62"/>
        <v/>
      </c>
      <c r="J269" t="str">
        <f>IFERROR(MATCH(262,บันทึกรายเที่ยว!$W$6:$W$10005,0),"")</f>
        <v/>
      </c>
      <c r="K269" t="str">
        <f>IF($J269="","",INDEX(บันทึกรายเที่ยว!$T$6:$T$10005,$J269))</f>
        <v/>
      </c>
      <c r="L269" t="str">
        <f>IF($J269="","",INDEX(บันทึกรายเที่ยว!$S$6:$S$10005,$J269))</f>
        <v/>
      </c>
      <c r="M269" t="str">
        <f>IF($J269="","",INDEX(บันทึกรายเที่ยว!$R$6:$R$10005,$J269))</f>
        <v/>
      </c>
      <c r="N269" t="str">
        <f>IF($J269="","",MATCH($M269,บันทึกรายเที่ยว!$R$6:$R$10005,0))</f>
        <v/>
      </c>
      <c r="O269" t="str">
        <f>IF($J269="","",MATCH($L269,บันทึกรายเที่ยว!$S$6:$S$10005,0))</f>
        <v/>
      </c>
      <c r="P269" t="str">
        <f>IF($J269="","",IF(AND(OR($I$3="(ทั้งหมด)",INDEX(บันทึกรายเที่ยว!$C$6:$C$10005,$J269)=$I$3),OR($I$5="(ทั้งหมด)",INDEX(บันทึกรายเที่ยว!$D$6:$D$10005,$J269)=$I$5),OR($I$7="(ทั้งหมด)",INDEX(บันทึกรายเที่ยว!$F$6:$F$10005,$J269)=$I$7)),$N269*10000000+$O269*1000+262,""))</f>
        <v/>
      </c>
      <c r="Q269" t="str">
        <f>IFERROR(MATCH(SMALL($P$8:$P$407,262),$P$8:$P$407,0),"")</f>
        <v/>
      </c>
      <c r="R269" t="str">
        <f t="shared" si="63"/>
        <v/>
      </c>
      <c r="S269" t="str">
        <f t="shared" si="64"/>
        <v/>
      </c>
      <c r="T269" t="str">
        <f t="shared" si="65"/>
        <v/>
      </c>
      <c r="U269" t="str">
        <f t="shared" si="66"/>
        <v/>
      </c>
      <c r="V269">
        <f t="shared" si="68"/>
        <v>0</v>
      </c>
      <c r="W269">
        <f t="shared" si="69"/>
        <v>0</v>
      </c>
      <c r="X269">
        <f>IF($Q269="",99999+262,$X268+1+$V268+$W268)</f>
        <v>100261</v>
      </c>
      <c r="Y269" t="str">
        <f>IF($Q269="","",INDEX(บันทึกรายเที่ยว!$Q$6:$Q$10005,$R269))</f>
        <v/>
      </c>
      <c r="Z269" t="str">
        <f>IF($Q269="","",INDEX(บันทึกรายเที่ยว!$F$6:$F$10005,$R269))</f>
        <v/>
      </c>
      <c r="AA269" t="str">
        <f>IFERROR(MATCH(262,$X$8:$X$407,1),"")</f>
        <v/>
      </c>
      <c r="AB269" t="str">
        <f>IF(262=$AD$1+1,"G",IF($AA269="","",IF(INDEX($Q$8:$Q$407,$AA269)="","",IF(262&gt;INDEX($X$8:$X$407,$AA269)+INDEX($V$8:$V$407,$AA269)+INDEX($W$8:$W$407,$AA269),"",IF(262=INDEX($X$8:$X$407,$AA269)+INDEX($V$8:$V$407,$AA269)+INDEX($W$8:$W$407,$AA269),"D",IF(AND(INDEX($W$8:$W$407,$AA269)=1,262=INDEX($X$8:$X$407,$AA269)+INDEX($V$8:$V$407,$AA269)),"S","R"))))))</f>
        <v/>
      </c>
      <c r="AC269" t="str">
        <f t="shared" si="67"/>
        <v/>
      </c>
      <c r="AE269">
        <f>IF($U269="",0,COUNTIF(บันทึกรายเที่ยว!$T$6:$T$10005,$U269))</f>
        <v>0</v>
      </c>
      <c r="AF269">
        <f>IF($U269="",0,ROUND(SUMIF(บันทึกรายเที่ยว!$T$6:$T$10005,$U269,บันทึกรายเที่ยว!$J$6:$J$10005),2))</f>
        <v>0</v>
      </c>
      <c r="AG269">
        <f>IF($U269="",0,ROUND(SUMIF(บันทึกรายเที่ยว!$T$6:$T$10005,$U269,บันทึกรายเที่ยว!$K$6:$K$10005),2))</f>
        <v>0</v>
      </c>
      <c r="AH269">
        <f>IF($U269="",0,ROUND(SUMIF(บันทึกรายเที่ยว!$T$6:$T$10005,$U269,บันทึกรายเที่ยว!$M$6:$M$10005),2))</f>
        <v>0</v>
      </c>
    </row>
    <row r="270" spans="1:34" ht="21" customHeight="1" x14ac:dyDescent="0.95">
      <c r="A270" s="3" t="str">
        <f t="shared" si="56"/>
        <v/>
      </c>
      <c r="B270" s="3" t="str">
        <f t="shared" si="57"/>
        <v/>
      </c>
      <c r="C270" s="8" t="str">
        <f t="shared" si="58"/>
        <v/>
      </c>
      <c r="D270" s="31" t="str">
        <f t="shared" si="59"/>
        <v/>
      </c>
      <c r="E270" s="32" t="str">
        <f>IF(263=$AD$1+3,"ขอแสดงความนับถือ",IF(263=$AD$1+6,"(                 )",IF(263=$AD$1+7,"เจ้าหน้าที่ขนส่ง",IF($AB270="G",SUM($AF$8:$AF$407),IF(OR($AB270="",$AB270="R"),"",IF($AB270="D",INDEX($AF$8:$AF$407,$AA270),SUMIF($T$8:$T$407,INDEX($T$8:$T$407,$AA270),$AF$8:$AF$407)))))))</f>
        <v/>
      </c>
      <c r="F270" s="32" t="str">
        <f t="shared" si="60"/>
        <v/>
      </c>
      <c r="G270" s="32" t="str">
        <f t="shared" si="61"/>
        <v/>
      </c>
      <c r="H270" s="32" t="str">
        <f t="shared" si="62"/>
        <v/>
      </c>
      <c r="J270" t="str">
        <f>IFERROR(MATCH(263,บันทึกรายเที่ยว!$W$6:$W$10005,0),"")</f>
        <v/>
      </c>
      <c r="K270" t="str">
        <f>IF($J270="","",INDEX(บันทึกรายเที่ยว!$T$6:$T$10005,$J270))</f>
        <v/>
      </c>
      <c r="L270" t="str">
        <f>IF($J270="","",INDEX(บันทึกรายเที่ยว!$S$6:$S$10005,$J270))</f>
        <v/>
      </c>
      <c r="M270" t="str">
        <f>IF($J270="","",INDEX(บันทึกรายเที่ยว!$R$6:$R$10005,$J270))</f>
        <v/>
      </c>
      <c r="N270" t="str">
        <f>IF($J270="","",MATCH($M270,บันทึกรายเที่ยว!$R$6:$R$10005,0))</f>
        <v/>
      </c>
      <c r="O270" t="str">
        <f>IF($J270="","",MATCH($L270,บันทึกรายเที่ยว!$S$6:$S$10005,0))</f>
        <v/>
      </c>
      <c r="P270" t="str">
        <f>IF($J270="","",IF(AND(OR($I$3="(ทั้งหมด)",INDEX(บันทึกรายเที่ยว!$C$6:$C$10005,$J270)=$I$3),OR($I$5="(ทั้งหมด)",INDEX(บันทึกรายเที่ยว!$D$6:$D$10005,$J270)=$I$5),OR($I$7="(ทั้งหมด)",INDEX(บันทึกรายเที่ยว!$F$6:$F$10005,$J270)=$I$7)),$N270*10000000+$O270*1000+263,""))</f>
        <v/>
      </c>
      <c r="Q270" t="str">
        <f>IFERROR(MATCH(SMALL($P$8:$P$407,263),$P$8:$P$407,0),"")</f>
        <v/>
      </c>
      <c r="R270" t="str">
        <f t="shared" si="63"/>
        <v/>
      </c>
      <c r="S270" t="str">
        <f t="shared" si="64"/>
        <v/>
      </c>
      <c r="T270" t="str">
        <f t="shared" si="65"/>
        <v/>
      </c>
      <c r="U270" t="str">
        <f t="shared" si="66"/>
        <v/>
      </c>
      <c r="V270">
        <f t="shared" si="68"/>
        <v>0</v>
      </c>
      <c r="W270">
        <f t="shared" si="69"/>
        <v>0</v>
      </c>
      <c r="X270">
        <f>IF($Q270="",99999+263,$X269+1+$V269+$W269)</f>
        <v>100262</v>
      </c>
      <c r="Y270" t="str">
        <f>IF($Q270="","",INDEX(บันทึกรายเที่ยว!$Q$6:$Q$10005,$R270))</f>
        <v/>
      </c>
      <c r="Z270" t="str">
        <f>IF($Q270="","",INDEX(บันทึกรายเที่ยว!$F$6:$F$10005,$R270))</f>
        <v/>
      </c>
      <c r="AA270" t="str">
        <f>IFERROR(MATCH(263,$X$8:$X$407,1),"")</f>
        <v/>
      </c>
      <c r="AB270" t="str">
        <f>IF(263=$AD$1+1,"G",IF($AA270="","",IF(INDEX($Q$8:$Q$407,$AA270)="","",IF(263&gt;INDEX($X$8:$X$407,$AA270)+INDEX($V$8:$V$407,$AA270)+INDEX($W$8:$W$407,$AA270),"",IF(263=INDEX($X$8:$X$407,$AA270)+INDEX($V$8:$V$407,$AA270)+INDEX($W$8:$W$407,$AA270),"D",IF(AND(INDEX($W$8:$W$407,$AA270)=1,263=INDEX($X$8:$X$407,$AA270)+INDEX($V$8:$V$407,$AA270)),"S","R"))))))</f>
        <v/>
      </c>
      <c r="AC270" t="str">
        <f t="shared" si="67"/>
        <v/>
      </c>
      <c r="AE270">
        <f>IF($U270="",0,COUNTIF(บันทึกรายเที่ยว!$T$6:$T$10005,$U270))</f>
        <v>0</v>
      </c>
      <c r="AF270">
        <f>IF($U270="",0,ROUND(SUMIF(บันทึกรายเที่ยว!$T$6:$T$10005,$U270,บันทึกรายเที่ยว!$J$6:$J$10005),2))</f>
        <v>0</v>
      </c>
      <c r="AG270">
        <f>IF($U270="",0,ROUND(SUMIF(บันทึกรายเที่ยว!$T$6:$T$10005,$U270,บันทึกรายเที่ยว!$K$6:$K$10005),2))</f>
        <v>0</v>
      </c>
      <c r="AH270">
        <f>IF($U270="",0,ROUND(SUMIF(บันทึกรายเที่ยว!$T$6:$T$10005,$U270,บันทึกรายเที่ยว!$M$6:$M$10005),2))</f>
        <v>0</v>
      </c>
    </row>
    <row r="271" spans="1:34" ht="21" customHeight="1" x14ac:dyDescent="0.95">
      <c r="A271" s="3" t="str">
        <f t="shared" si="56"/>
        <v/>
      </c>
      <c r="B271" s="3" t="str">
        <f t="shared" si="57"/>
        <v/>
      </c>
      <c r="C271" s="8" t="str">
        <f t="shared" si="58"/>
        <v/>
      </c>
      <c r="D271" s="31" t="str">
        <f t="shared" si="59"/>
        <v/>
      </c>
      <c r="E271" s="32" t="str">
        <f>IF(264=$AD$1+3,"ขอแสดงความนับถือ",IF(264=$AD$1+6,"(                 )",IF(264=$AD$1+7,"เจ้าหน้าที่ขนส่ง",IF($AB271="G",SUM($AF$8:$AF$407),IF(OR($AB271="",$AB271="R"),"",IF($AB271="D",INDEX($AF$8:$AF$407,$AA271),SUMIF($T$8:$T$407,INDEX($T$8:$T$407,$AA271),$AF$8:$AF$407)))))))</f>
        <v/>
      </c>
      <c r="F271" s="32" t="str">
        <f t="shared" si="60"/>
        <v/>
      </c>
      <c r="G271" s="32" t="str">
        <f t="shared" si="61"/>
        <v/>
      </c>
      <c r="H271" s="32" t="str">
        <f t="shared" si="62"/>
        <v/>
      </c>
      <c r="J271" t="str">
        <f>IFERROR(MATCH(264,บันทึกรายเที่ยว!$W$6:$W$10005,0),"")</f>
        <v/>
      </c>
      <c r="K271" t="str">
        <f>IF($J271="","",INDEX(บันทึกรายเที่ยว!$T$6:$T$10005,$J271))</f>
        <v/>
      </c>
      <c r="L271" t="str">
        <f>IF($J271="","",INDEX(บันทึกรายเที่ยว!$S$6:$S$10005,$J271))</f>
        <v/>
      </c>
      <c r="M271" t="str">
        <f>IF($J271="","",INDEX(บันทึกรายเที่ยว!$R$6:$R$10005,$J271))</f>
        <v/>
      </c>
      <c r="N271" t="str">
        <f>IF($J271="","",MATCH($M271,บันทึกรายเที่ยว!$R$6:$R$10005,0))</f>
        <v/>
      </c>
      <c r="O271" t="str">
        <f>IF($J271="","",MATCH($L271,บันทึกรายเที่ยว!$S$6:$S$10005,0))</f>
        <v/>
      </c>
      <c r="P271" t="str">
        <f>IF($J271="","",IF(AND(OR($I$3="(ทั้งหมด)",INDEX(บันทึกรายเที่ยว!$C$6:$C$10005,$J271)=$I$3),OR($I$5="(ทั้งหมด)",INDEX(บันทึกรายเที่ยว!$D$6:$D$10005,$J271)=$I$5),OR($I$7="(ทั้งหมด)",INDEX(บันทึกรายเที่ยว!$F$6:$F$10005,$J271)=$I$7)),$N271*10000000+$O271*1000+264,""))</f>
        <v/>
      </c>
      <c r="Q271" t="str">
        <f>IFERROR(MATCH(SMALL($P$8:$P$407,264),$P$8:$P$407,0),"")</f>
        <v/>
      </c>
      <c r="R271" t="str">
        <f t="shared" si="63"/>
        <v/>
      </c>
      <c r="S271" t="str">
        <f t="shared" si="64"/>
        <v/>
      </c>
      <c r="T271" t="str">
        <f t="shared" si="65"/>
        <v/>
      </c>
      <c r="U271" t="str">
        <f t="shared" si="66"/>
        <v/>
      </c>
      <c r="V271">
        <f t="shared" si="68"/>
        <v>0</v>
      </c>
      <c r="W271">
        <f t="shared" si="69"/>
        <v>0</v>
      </c>
      <c r="X271">
        <f>IF($Q271="",99999+264,$X270+1+$V270+$W270)</f>
        <v>100263</v>
      </c>
      <c r="Y271" t="str">
        <f>IF($Q271="","",INDEX(บันทึกรายเที่ยว!$Q$6:$Q$10005,$R271))</f>
        <v/>
      </c>
      <c r="Z271" t="str">
        <f>IF($Q271="","",INDEX(บันทึกรายเที่ยว!$F$6:$F$10005,$R271))</f>
        <v/>
      </c>
      <c r="AA271" t="str">
        <f>IFERROR(MATCH(264,$X$8:$X$407,1),"")</f>
        <v/>
      </c>
      <c r="AB271" t="str">
        <f>IF(264=$AD$1+1,"G",IF($AA271="","",IF(INDEX($Q$8:$Q$407,$AA271)="","",IF(264&gt;INDEX($X$8:$X$407,$AA271)+INDEX($V$8:$V$407,$AA271)+INDEX($W$8:$W$407,$AA271),"",IF(264=INDEX($X$8:$X$407,$AA271)+INDEX($V$8:$V$407,$AA271)+INDEX($W$8:$W$407,$AA271),"D",IF(AND(INDEX($W$8:$W$407,$AA271)=1,264=INDEX($X$8:$X$407,$AA271)+INDEX($V$8:$V$407,$AA271)),"S","R"))))))</f>
        <v/>
      </c>
      <c r="AC271" t="str">
        <f t="shared" si="67"/>
        <v/>
      </c>
      <c r="AE271">
        <f>IF($U271="",0,COUNTIF(บันทึกรายเที่ยว!$T$6:$T$10005,$U271))</f>
        <v>0</v>
      </c>
      <c r="AF271">
        <f>IF($U271="",0,ROUND(SUMIF(บันทึกรายเที่ยว!$T$6:$T$10005,$U271,บันทึกรายเที่ยว!$J$6:$J$10005),2))</f>
        <v>0</v>
      </c>
      <c r="AG271">
        <f>IF($U271="",0,ROUND(SUMIF(บันทึกรายเที่ยว!$T$6:$T$10005,$U271,บันทึกรายเที่ยว!$K$6:$K$10005),2))</f>
        <v>0</v>
      </c>
      <c r="AH271">
        <f>IF($U271="",0,ROUND(SUMIF(บันทึกรายเที่ยว!$T$6:$T$10005,$U271,บันทึกรายเที่ยว!$M$6:$M$10005),2))</f>
        <v>0</v>
      </c>
    </row>
    <row r="272" spans="1:34" ht="21" customHeight="1" x14ac:dyDescent="0.95">
      <c r="A272" s="3" t="str">
        <f t="shared" si="56"/>
        <v/>
      </c>
      <c r="B272" s="3" t="str">
        <f t="shared" si="57"/>
        <v/>
      </c>
      <c r="C272" s="8" t="str">
        <f t="shared" si="58"/>
        <v/>
      </c>
      <c r="D272" s="31" t="str">
        <f t="shared" si="59"/>
        <v/>
      </c>
      <c r="E272" s="32" t="str">
        <f>IF(265=$AD$1+3,"ขอแสดงความนับถือ",IF(265=$AD$1+6,"(                 )",IF(265=$AD$1+7,"เจ้าหน้าที่ขนส่ง",IF($AB272="G",SUM($AF$8:$AF$407),IF(OR($AB272="",$AB272="R"),"",IF($AB272="D",INDEX($AF$8:$AF$407,$AA272),SUMIF($T$8:$T$407,INDEX($T$8:$T$407,$AA272),$AF$8:$AF$407)))))))</f>
        <v/>
      </c>
      <c r="F272" s="32" t="str">
        <f t="shared" si="60"/>
        <v/>
      </c>
      <c r="G272" s="32" t="str">
        <f t="shared" si="61"/>
        <v/>
      </c>
      <c r="H272" s="32" t="str">
        <f t="shared" si="62"/>
        <v/>
      </c>
      <c r="J272" t="str">
        <f>IFERROR(MATCH(265,บันทึกรายเที่ยว!$W$6:$W$10005,0),"")</f>
        <v/>
      </c>
      <c r="K272" t="str">
        <f>IF($J272="","",INDEX(บันทึกรายเที่ยว!$T$6:$T$10005,$J272))</f>
        <v/>
      </c>
      <c r="L272" t="str">
        <f>IF($J272="","",INDEX(บันทึกรายเที่ยว!$S$6:$S$10005,$J272))</f>
        <v/>
      </c>
      <c r="M272" t="str">
        <f>IF($J272="","",INDEX(บันทึกรายเที่ยว!$R$6:$R$10005,$J272))</f>
        <v/>
      </c>
      <c r="N272" t="str">
        <f>IF($J272="","",MATCH($M272,บันทึกรายเที่ยว!$R$6:$R$10005,0))</f>
        <v/>
      </c>
      <c r="O272" t="str">
        <f>IF($J272="","",MATCH($L272,บันทึกรายเที่ยว!$S$6:$S$10005,0))</f>
        <v/>
      </c>
      <c r="P272" t="str">
        <f>IF($J272="","",IF(AND(OR($I$3="(ทั้งหมด)",INDEX(บันทึกรายเที่ยว!$C$6:$C$10005,$J272)=$I$3),OR($I$5="(ทั้งหมด)",INDEX(บันทึกรายเที่ยว!$D$6:$D$10005,$J272)=$I$5),OR($I$7="(ทั้งหมด)",INDEX(บันทึกรายเที่ยว!$F$6:$F$10005,$J272)=$I$7)),$N272*10000000+$O272*1000+265,""))</f>
        <v/>
      </c>
      <c r="Q272" t="str">
        <f>IFERROR(MATCH(SMALL($P$8:$P$407,265),$P$8:$P$407,0),"")</f>
        <v/>
      </c>
      <c r="R272" t="str">
        <f t="shared" si="63"/>
        <v/>
      </c>
      <c r="S272" t="str">
        <f t="shared" si="64"/>
        <v/>
      </c>
      <c r="T272" t="str">
        <f t="shared" si="65"/>
        <v/>
      </c>
      <c r="U272" t="str">
        <f t="shared" si="66"/>
        <v/>
      </c>
      <c r="V272">
        <f t="shared" si="68"/>
        <v>0</v>
      </c>
      <c r="W272">
        <f t="shared" si="69"/>
        <v>0</v>
      </c>
      <c r="X272">
        <f>IF($Q272="",99999+265,$X271+1+$V271+$W271)</f>
        <v>100264</v>
      </c>
      <c r="Y272" t="str">
        <f>IF($Q272="","",INDEX(บันทึกรายเที่ยว!$Q$6:$Q$10005,$R272))</f>
        <v/>
      </c>
      <c r="Z272" t="str">
        <f>IF($Q272="","",INDEX(บันทึกรายเที่ยว!$F$6:$F$10005,$R272))</f>
        <v/>
      </c>
      <c r="AA272" t="str">
        <f>IFERROR(MATCH(265,$X$8:$X$407,1),"")</f>
        <v/>
      </c>
      <c r="AB272" t="str">
        <f>IF(265=$AD$1+1,"G",IF($AA272="","",IF(INDEX($Q$8:$Q$407,$AA272)="","",IF(265&gt;INDEX($X$8:$X$407,$AA272)+INDEX($V$8:$V$407,$AA272)+INDEX($W$8:$W$407,$AA272),"",IF(265=INDEX($X$8:$X$407,$AA272)+INDEX($V$8:$V$407,$AA272)+INDEX($W$8:$W$407,$AA272),"D",IF(AND(INDEX($W$8:$W$407,$AA272)=1,265=INDEX($X$8:$X$407,$AA272)+INDEX($V$8:$V$407,$AA272)),"S","R"))))))</f>
        <v/>
      </c>
      <c r="AC272" t="str">
        <f t="shared" si="67"/>
        <v/>
      </c>
      <c r="AE272">
        <f>IF($U272="",0,COUNTIF(บันทึกรายเที่ยว!$T$6:$T$10005,$U272))</f>
        <v>0</v>
      </c>
      <c r="AF272">
        <f>IF($U272="",0,ROUND(SUMIF(บันทึกรายเที่ยว!$T$6:$T$10005,$U272,บันทึกรายเที่ยว!$J$6:$J$10005),2))</f>
        <v>0</v>
      </c>
      <c r="AG272">
        <f>IF($U272="",0,ROUND(SUMIF(บันทึกรายเที่ยว!$T$6:$T$10005,$U272,บันทึกรายเที่ยว!$K$6:$K$10005),2))</f>
        <v>0</v>
      </c>
      <c r="AH272">
        <f>IF($U272="",0,ROUND(SUMIF(บันทึกรายเที่ยว!$T$6:$T$10005,$U272,บันทึกรายเที่ยว!$M$6:$M$10005),2))</f>
        <v>0</v>
      </c>
    </row>
    <row r="273" spans="1:34" ht="21" customHeight="1" x14ac:dyDescent="0.95">
      <c r="A273" s="3" t="str">
        <f t="shared" si="56"/>
        <v/>
      </c>
      <c r="B273" s="3" t="str">
        <f t="shared" si="57"/>
        <v/>
      </c>
      <c r="C273" s="8" t="str">
        <f t="shared" si="58"/>
        <v/>
      </c>
      <c r="D273" s="31" t="str">
        <f t="shared" si="59"/>
        <v/>
      </c>
      <c r="E273" s="32" t="str">
        <f>IF(266=$AD$1+3,"ขอแสดงความนับถือ",IF(266=$AD$1+6,"(                 )",IF(266=$AD$1+7,"เจ้าหน้าที่ขนส่ง",IF($AB273="G",SUM($AF$8:$AF$407),IF(OR($AB273="",$AB273="R"),"",IF($AB273="D",INDEX($AF$8:$AF$407,$AA273),SUMIF($T$8:$T$407,INDEX($T$8:$T$407,$AA273),$AF$8:$AF$407)))))))</f>
        <v/>
      </c>
      <c r="F273" s="32" t="str">
        <f t="shared" si="60"/>
        <v/>
      </c>
      <c r="G273" s="32" t="str">
        <f t="shared" si="61"/>
        <v/>
      </c>
      <c r="H273" s="32" t="str">
        <f t="shared" si="62"/>
        <v/>
      </c>
      <c r="J273" t="str">
        <f>IFERROR(MATCH(266,บันทึกรายเที่ยว!$W$6:$W$10005,0),"")</f>
        <v/>
      </c>
      <c r="K273" t="str">
        <f>IF($J273="","",INDEX(บันทึกรายเที่ยว!$T$6:$T$10005,$J273))</f>
        <v/>
      </c>
      <c r="L273" t="str">
        <f>IF($J273="","",INDEX(บันทึกรายเที่ยว!$S$6:$S$10005,$J273))</f>
        <v/>
      </c>
      <c r="M273" t="str">
        <f>IF($J273="","",INDEX(บันทึกรายเที่ยว!$R$6:$R$10005,$J273))</f>
        <v/>
      </c>
      <c r="N273" t="str">
        <f>IF($J273="","",MATCH($M273,บันทึกรายเที่ยว!$R$6:$R$10005,0))</f>
        <v/>
      </c>
      <c r="O273" t="str">
        <f>IF($J273="","",MATCH($L273,บันทึกรายเที่ยว!$S$6:$S$10005,0))</f>
        <v/>
      </c>
      <c r="P273" t="str">
        <f>IF($J273="","",IF(AND(OR($I$3="(ทั้งหมด)",INDEX(บันทึกรายเที่ยว!$C$6:$C$10005,$J273)=$I$3),OR($I$5="(ทั้งหมด)",INDEX(บันทึกรายเที่ยว!$D$6:$D$10005,$J273)=$I$5),OR($I$7="(ทั้งหมด)",INDEX(บันทึกรายเที่ยว!$F$6:$F$10005,$J273)=$I$7)),$N273*10000000+$O273*1000+266,""))</f>
        <v/>
      </c>
      <c r="Q273" t="str">
        <f>IFERROR(MATCH(SMALL($P$8:$P$407,266),$P$8:$P$407,0),"")</f>
        <v/>
      </c>
      <c r="R273" t="str">
        <f t="shared" si="63"/>
        <v/>
      </c>
      <c r="S273" t="str">
        <f t="shared" si="64"/>
        <v/>
      </c>
      <c r="T273" t="str">
        <f t="shared" si="65"/>
        <v/>
      </c>
      <c r="U273" t="str">
        <f t="shared" si="66"/>
        <v/>
      </c>
      <c r="V273">
        <f t="shared" si="68"/>
        <v>0</v>
      </c>
      <c r="W273">
        <f t="shared" si="69"/>
        <v>0</v>
      </c>
      <c r="X273">
        <f>IF($Q273="",99999+266,$X272+1+$V272+$W272)</f>
        <v>100265</v>
      </c>
      <c r="Y273" t="str">
        <f>IF($Q273="","",INDEX(บันทึกรายเที่ยว!$Q$6:$Q$10005,$R273))</f>
        <v/>
      </c>
      <c r="Z273" t="str">
        <f>IF($Q273="","",INDEX(บันทึกรายเที่ยว!$F$6:$F$10005,$R273))</f>
        <v/>
      </c>
      <c r="AA273" t="str">
        <f>IFERROR(MATCH(266,$X$8:$X$407,1),"")</f>
        <v/>
      </c>
      <c r="AB273" t="str">
        <f>IF(266=$AD$1+1,"G",IF($AA273="","",IF(INDEX($Q$8:$Q$407,$AA273)="","",IF(266&gt;INDEX($X$8:$X$407,$AA273)+INDEX($V$8:$V$407,$AA273)+INDEX($W$8:$W$407,$AA273),"",IF(266=INDEX($X$8:$X$407,$AA273)+INDEX($V$8:$V$407,$AA273)+INDEX($W$8:$W$407,$AA273),"D",IF(AND(INDEX($W$8:$W$407,$AA273)=1,266=INDEX($X$8:$X$407,$AA273)+INDEX($V$8:$V$407,$AA273)),"S","R"))))))</f>
        <v/>
      </c>
      <c r="AC273" t="str">
        <f t="shared" si="67"/>
        <v/>
      </c>
      <c r="AE273">
        <f>IF($U273="",0,COUNTIF(บันทึกรายเที่ยว!$T$6:$T$10005,$U273))</f>
        <v>0</v>
      </c>
      <c r="AF273">
        <f>IF($U273="",0,ROUND(SUMIF(บันทึกรายเที่ยว!$T$6:$T$10005,$U273,บันทึกรายเที่ยว!$J$6:$J$10005),2))</f>
        <v>0</v>
      </c>
      <c r="AG273">
        <f>IF($U273="",0,ROUND(SUMIF(บันทึกรายเที่ยว!$T$6:$T$10005,$U273,บันทึกรายเที่ยว!$K$6:$K$10005),2))</f>
        <v>0</v>
      </c>
      <c r="AH273">
        <f>IF($U273="",0,ROUND(SUMIF(บันทึกรายเที่ยว!$T$6:$T$10005,$U273,บันทึกรายเที่ยว!$M$6:$M$10005),2))</f>
        <v>0</v>
      </c>
    </row>
    <row r="274" spans="1:34" ht="21" customHeight="1" x14ac:dyDescent="0.95">
      <c r="A274" s="3" t="str">
        <f t="shared" si="56"/>
        <v/>
      </c>
      <c r="B274" s="3" t="str">
        <f t="shared" si="57"/>
        <v/>
      </c>
      <c r="C274" s="8" t="str">
        <f t="shared" si="58"/>
        <v/>
      </c>
      <c r="D274" s="31" t="str">
        <f t="shared" si="59"/>
        <v/>
      </c>
      <c r="E274" s="32" t="str">
        <f>IF(267=$AD$1+3,"ขอแสดงความนับถือ",IF(267=$AD$1+6,"(                 )",IF(267=$AD$1+7,"เจ้าหน้าที่ขนส่ง",IF($AB274="G",SUM($AF$8:$AF$407),IF(OR($AB274="",$AB274="R"),"",IF($AB274="D",INDEX($AF$8:$AF$407,$AA274),SUMIF($T$8:$T$407,INDEX($T$8:$T$407,$AA274),$AF$8:$AF$407)))))))</f>
        <v/>
      </c>
      <c r="F274" s="32" t="str">
        <f t="shared" si="60"/>
        <v/>
      </c>
      <c r="G274" s="32" t="str">
        <f t="shared" si="61"/>
        <v/>
      </c>
      <c r="H274" s="32" t="str">
        <f t="shared" si="62"/>
        <v/>
      </c>
      <c r="J274" t="str">
        <f>IFERROR(MATCH(267,บันทึกรายเที่ยว!$W$6:$W$10005,0),"")</f>
        <v/>
      </c>
      <c r="K274" t="str">
        <f>IF($J274="","",INDEX(บันทึกรายเที่ยว!$T$6:$T$10005,$J274))</f>
        <v/>
      </c>
      <c r="L274" t="str">
        <f>IF($J274="","",INDEX(บันทึกรายเที่ยว!$S$6:$S$10005,$J274))</f>
        <v/>
      </c>
      <c r="M274" t="str">
        <f>IF($J274="","",INDEX(บันทึกรายเที่ยว!$R$6:$R$10005,$J274))</f>
        <v/>
      </c>
      <c r="N274" t="str">
        <f>IF($J274="","",MATCH($M274,บันทึกรายเที่ยว!$R$6:$R$10005,0))</f>
        <v/>
      </c>
      <c r="O274" t="str">
        <f>IF($J274="","",MATCH($L274,บันทึกรายเที่ยว!$S$6:$S$10005,0))</f>
        <v/>
      </c>
      <c r="P274" t="str">
        <f>IF($J274="","",IF(AND(OR($I$3="(ทั้งหมด)",INDEX(บันทึกรายเที่ยว!$C$6:$C$10005,$J274)=$I$3),OR($I$5="(ทั้งหมด)",INDEX(บันทึกรายเที่ยว!$D$6:$D$10005,$J274)=$I$5),OR($I$7="(ทั้งหมด)",INDEX(บันทึกรายเที่ยว!$F$6:$F$10005,$J274)=$I$7)),$N274*10000000+$O274*1000+267,""))</f>
        <v/>
      </c>
      <c r="Q274" t="str">
        <f>IFERROR(MATCH(SMALL($P$8:$P$407,267),$P$8:$P$407,0),"")</f>
        <v/>
      </c>
      <c r="R274" t="str">
        <f t="shared" si="63"/>
        <v/>
      </c>
      <c r="S274" t="str">
        <f t="shared" si="64"/>
        <v/>
      </c>
      <c r="T274" t="str">
        <f t="shared" si="65"/>
        <v/>
      </c>
      <c r="U274" t="str">
        <f t="shared" si="66"/>
        <v/>
      </c>
      <c r="V274">
        <f t="shared" si="68"/>
        <v>0</v>
      </c>
      <c r="W274">
        <f t="shared" si="69"/>
        <v>0</v>
      </c>
      <c r="X274">
        <f>IF($Q274="",99999+267,$X273+1+$V273+$W273)</f>
        <v>100266</v>
      </c>
      <c r="Y274" t="str">
        <f>IF($Q274="","",INDEX(บันทึกรายเที่ยว!$Q$6:$Q$10005,$R274))</f>
        <v/>
      </c>
      <c r="Z274" t="str">
        <f>IF($Q274="","",INDEX(บันทึกรายเที่ยว!$F$6:$F$10005,$R274))</f>
        <v/>
      </c>
      <c r="AA274" t="str">
        <f>IFERROR(MATCH(267,$X$8:$X$407,1),"")</f>
        <v/>
      </c>
      <c r="AB274" t="str">
        <f>IF(267=$AD$1+1,"G",IF($AA274="","",IF(INDEX($Q$8:$Q$407,$AA274)="","",IF(267&gt;INDEX($X$8:$X$407,$AA274)+INDEX($V$8:$V$407,$AA274)+INDEX($W$8:$W$407,$AA274),"",IF(267=INDEX($X$8:$X$407,$AA274)+INDEX($V$8:$V$407,$AA274)+INDEX($W$8:$W$407,$AA274),"D",IF(AND(INDEX($W$8:$W$407,$AA274)=1,267=INDEX($X$8:$X$407,$AA274)+INDEX($V$8:$V$407,$AA274)),"S","R"))))))</f>
        <v/>
      </c>
      <c r="AC274" t="str">
        <f t="shared" si="67"/>
        <v/>
      </c>
      <c r="AE274">
        <f>IF($U274="",0,COUNTIF(บันทึกรายเที่ยว!$T$6:$T$10005,$U274))</f>
        <v>0</v>
      </c>
      <c r="AF274">
        <f>IF($U274="",0,ROUND(SUMIF(บันทึกรายเที่ยว!$T$6:$T$10005,$U274,บันทึกรายเที่ยว!$J$6:$J$10005),2))</f>
        <v>0</v>
      </c>
      <c r="AG274">
        <f>IF($U274="",0,ROUND(SUMIF(บันทึกรายเที่ยว!$T$6:$T$10005,$U274,บันทึกรายเที่ยว!$K$6:$K$10005),2))</f>
        <v>0</v>
      </c>
      <c r="AH274">
        <f>IF($U274="",0,ROUND(SUMIF(บันทึกรายเที่ยว!$T$6:$T$10005,$U274,บันทึกรายเที่ยว!$M$6:$M$10005),2))</f>
        <v>0</v>
      </c>
    </row>
    <row r="275" spans="1:34" ht="21" customHeight="1" x14ac:dyDescent="0.95">
      <c r="A275" s="3" t="str">
        <f t="shared" si="56"/>
        <v/>
      </c>
      <c r="B275" s="3" t="str">
        <f t="shared" si="57"/>
        <v/>
      </c>
      <c r="C275" s="8" t="str">
        <f t="shared" si="58"/>
        <v/>
      </c>
      <c r="D275" s="31" t="str">
        <f t="shared" si="59"/>
        <v/>
      </c>
      <c r="E275" s="32" t="str">
        <f>IF(268=$AD$1+3,"ขอแสดงความนับถือ",IF(268=$AD$1+6,"(                 )",IF(268=$AD$1+7,"เจ้าหน้าที่ขนส่ง",IF($AB275="G",SUM($AF$8:$AF$407),IF(OR($AB275="",$AB275="R"),"",IF($AB275="D",INDEX($AF$8:$AF$407,$AA275),SUMIF($T$8:$T$407,INDEX($T$8:$T$407,$AA275),$AF$8:$AF$407)))))))</f>
        <v/>
      </c>
      <c r="F275" s="32" t="str">
        <f t="shared" si="60"/>
        <v/>
      </c>
      <c r="G275" s="32" t="str">
        <f t="shared" si="61"/>
        <v/>
      </c>
      <c r="H275" s="32" t="str">
        <f t="shared" si="62"/>
        <v/>
      </c>
      <c r="J275" t="str">
        <f>IFERROR(MATCH(268,บันทึกรายเที่ยว!$W$6:$W$10005,0),"")</f>
        <v/>
      </c>
      <c r="K275" t="str">
        <f>IF($J275="","",INDEX(บันทึกรายเที่ยว!$T$6:$T$10005,$J275))</f>
        <v/>
      </c>
      <c r="L275" t="str">
        <f>IF($J275="","",INDEX(บันทึกรายเที่ยว!$S$6:$S$10005,$J275))</f>
        <v/>
      </c>
      <c r="M275" t="str">
        <f>IF($J275="","",INDEX(บันทึกรายเที่ยว!$R$6:$R$10005,$J275))</f>
        <v/>
      </c>
      <c r="N275" t="str">
        <f>IF($J275="","",MATCH($M275,บันทึกรายเที่ยว!$R$6:$R$10005,0))</f>
        <v/>
      </c>
      <c r="O275" t="str">
        <f>IF($J275="","",MATCH($L275,บันทึกรายเที่ยว!$S$6:$S$10005,0))</f>
        <v/>
      </c>
      <c r="P275" t="str">
        <f>IF($J275="","",IF(AND(OR($I$3="(ทั้งหมด)",INDEX(บันทึกรายเที่ยว!$C$6:$C$10005,$J275)=$I$3),OR($I$5="(ทั้งหมด)",INDEX(บันทึกรายเที่ยว!$D$6:$D$10005,$J275)=$I$5),OR($I$7="(ทั้งหมด)",INDEX(บันทึกรายเที่ยว!$F$6:$F$10005,$J275)=$I$7)),$N275*10000000+$O275*1000+268,""))</f>
        <v/>
      </c>
      <c r="Q275" t="str">
        <f>IFERROR(MATCH(SMALL($P$8:$P$407,268),$P$8:$P$407,0),"")</f>
        <v/>
      </c>
      <c r="R275" t="str">
        <f t="shared" si="63"/>
        <v/>
      </c>
      <c r="S275" t="str">
        <f t="shared" si="64"/>
        <v/>
      </c>
      <c r="T275" t="str">
        <f t="shared" si="65"/>
        <v/>
      </c>
      <c r="U275" t="str">
        <f t="shared" si="66"/>
        <v/>
      </c>
      <c r="V275">
        <f t="shared" si="68"/>
        <v>0</v>
      </c>
      <c r="W275">
        <f t="shared" si="69"/>
        <v>0</v>
      </c>
      <c r="X275">
        <f>IF($Q275="",99999+268,$X274+1+$V274+$W274)</f>
        <v>100267</v>
      </c>
      <c r="Y275" t="str">
        <f>IF($Q275="","",INDEX(บันทึกรายเที่ยว!$Q$6:$Q$10005,$R275))</f>
        <v/>
      </c>
      <c r="Z275" t="str">
        <f>IF($Q275="","",INDEX(บันทึกรายเที่ยว!$F$6:$F$10005,$R275))</f>
        <v/>
      </c>
      <c r="AA275" t="str">
        <f>IFERROR(MATCH(268,$X$8:$X$407,1),"")</f>
        <v/>
      </c>
      <c r="AB275" t="str">
        <f>IF(268=$AD$1+1,"G",IF($AA275="","",IF(INDEX($Q$8:$Q$407,$AA275)="","",IF(268&gt;INDEX($X$8:$X$407,$AA275)+INDEX($V$8:$V$407,$AA275)+INDEX($W$8:$W$407,$AA275),"",IF(268=INDEX($X$8:$X$407,$AA275)+INDEX($V$8:$V$407,$AA275)+INDEX($W$8:$W$407,$AA275),"D",IF(AND(INDEX($W$8:$W$407,$AA275)=1,268=INDEX($X$8:$X$407,$AA275)+INDEX($V$8:$V$407,$AA275)),"S","R"))))))</f>
        <v/>
      </c>
      <c r="AC275" t="str">
        <f t="shared" si="67"/>
        <v/>
      </c>
      <c r="AE275">
        <f>IF($U275="",0,COUNTIF(บันทึกรายเที่ยว!$T$6:$T$10005,$U275))</f>
        <v>0</v>
      </c>
      <c r="AF275">
        <f>IF($U275="",0,ROUND(SUMIF(บันทึกรายเที่ยว!$T$6:$T$10005,$U275,บันทึกรายเที่ยว!$J$6:$J$10005),2))</f>
        <v>0</v>
      </c>
      <c r="AG275">
        <f>IF($U275="",0,ROUND(SUMIF(บันทึกรายเที่ยว!$T$6:$T$10005,$U275,บันทึกรายเที่ยว!$K$6:$K$10005),2))</f>
        <v>0</v>
      </c>
      <c r="AH275">
        <f>IF($U275="",0,ROUND(SUMIF(บันทึกรายเที่ยว!$T$6:$T$10005,$U275,บันทึกรายเที่ยว!$M$6:$M$10005),2))</f>
        <v>0</v>
      </c>
    </row>
    <row r="276" spans="1:34" ht="21" customHeight="1" x14ac:dyDescent="0.95">
      <c r="A276" s="3" t="str">
        <f t="shared" si="56"/>
        <v/>
      </c>
      <c r="B276" s="3" t="str">
        <f t="shared" si="57"/>
        <v/>
      </c>
      <c r="C276" s="8" t="str">
        <f t="shared" si="58"/>
        <v/>
      </c>
      <c r="D276" s="31" t="str">
        <f t="shared" si="59"/>
        <v/>
      </c>
      <c r="E276" s="32" t="str">
        <f>IF(269=$AD$1+3,"ขอแสดงความนับถือ",IF(269=$AD$1+6,"(                 )",IF(269=$AD$1+7,"เจ้าหน้าที่ขนส่ง",IF($AB276="G",SUM($AF$8:$AF$407),IF(OR($AB276="",$AB276="R"),"",IF($AB276="D",INDEX($AF$8:$AF$407,$AA276),SUMIF($T$8:$T$407,INDEX($T$8:$T$407,$AA276),$AF$8:$AF$407)))))))</f>
        <v/>
      </c>
      <c r="F276" s="32" t="str">
        <f t="shared" si="60"/>
        <v/>
      </c>
      <c r="G276" s="32" t="str">
        <f t="shared" si="61"/>
        <v/>
      </c>
      <c r="H276" s="32" t="str">
        <f t="shared" si="62"/>
        <v/>
      </c>
      <c r="J276" t="str">
        <f>IFERROR(MATCH(269,บันทึกรายเที่ยว!$W$6:$W$10005,0),"")</f>
        <v/>
      </c>
      <c r="K276" t="str">
        <f>IF($J276="","",INDEX(บันทึกรายเที่ยว!$T$6:$T$10005,$J276))</f>
        <v/>
      </c>
      <c r="L276" t="str">
        <f>IF($J276="","",INDEX(บันทึกรายเที่ยว!$S$6:$S$10005,$J276))</f>
        <v/>
      </c>
      <c r="M276" t="str">
        <f>IF($J276="","",INDEX(บันทึกรายเที่ยว!$R$6:$R$10005,$J276))</f>
        <v/>
      </c>
      <c r="N276" t="str">
        <f>IF($J276="","",MATCH($M276,บันทึกรายเที่ยว!$R$6:$R$10005,0))</f>
        <v/>
      </c>
      <c r="O276" t="str">
        <f>IF($J276="","",MATCH($L276,บันทึกรายเที่ยว!$S$6:$S$10005,0))</f>
        <v/>
      </c>
      <c r="P276" t="str">
        <f>IF($J276="","",IF(AND(OR($I$3="(ทั้งหมด)",INDEX(บันทึกรายเที่ยว!$C$6:$C$10005,$J276)=$I$3),OR($I$5="(ทั้งหมด)",INDEX(บันทึกรายเที่ยว!$D$6:$D$10005,$J276)=$I$5),OR($I$7="(ทั้งหมด)",INDEX(บันทึกรายเที่ยว!$F$6:$F$10005,$J276)=$I$7)),$N276*10000000+$O276*1000+269,""))</f>
        <v/>
      </c>
      <c r="Q276" t="str">
        <f>IFERROR(MATCH(SMALL($P$8:$P$407,269),$P$8:$P$407,0),"")</f>
        <v/>
      </c>
      <c r="R276" t="str">
        <f t="shared" si="63"/>
        <v/>
      </c>
      <c r="S276" t="str">
        <f t="shared" si="64"/>
        <v/>
      </c>
      <c r="T276" t="str">
        <f t="shared" si="65"/>
        <v/>
      </c>
      <c r="U276" t="str">
        <f t="shared" si="66"/>
        <v/>
      </c>
      <c r="V276">
        <f t="shared" si="68"/>
        <v>0</v>
      </c>
      <c r="W276">
        <f t="shared" si="69"/>
        <v>0</v>
      </c>
      <c r="X276">
        <f>IF($Q276="",99999+269,$X275+1+$V275+$W275)</f>
        <v>100268</v>
      </c>
      <c r="Y276" t="str">
        <f>IF($Q276="","",INDEX(บันทึกรายเที่ยว!$Q$6:$Q$10005,$R276))</f>
        <v/>
      </c>
      <c r="Z276" t="str">
        <f>IF($Q276="","",INDEX(บันทึกรายเที่ยว!$F$6:$F$10005,$R276))</f>
        <v/>
      </c>
      <c r="AA276" t="str">
        <f>IFERROR(MATCH(269,$X$8:$X$407,1),"")</f>
        <v/>
      </c>
      <c r="AB276" t="str">
        <f>IF(269=$AD$1+1,"G",IF($AA276="","",IF(INDEX($Q$8:$Q$407,$AA276)="","",IF(269&gt;INDEX($X$8:$X$407,$AA276)+INDEX($V$8:$V$407,$AA276)+INDEX($W$8:$W$407,$AA276),"",IF(269=INDEX($X$8:$X$407,$AA276)+INDEX($V$8:$V$407,$AA276)+INDEX($W$8:$W$407,$AA276),"D",IF(AND(INDEX($W$8:$W$407,$AA276)=1,269=INDEX($X$8:$X$407,$AA276)+INDEX($V$8:$V$407,$AA276)),"S","R"))))))</f>
        <v/>
      </c>
      <c r="AC276" t="str">
        <f t="shared" si="67"/>
        <v/>
      </c>
      <c r="AE276">
        <f>IF($U276="",0,COUNTIF(บันทึกรายเที่ยว!$T$6:$T$10005,$U276))</f>
        <v>0</v>
      </c>
      <c r="AF276">
        <f>IF($U276="",0,ROUND(SUMIF(บันทึกรายเที่ยว!$T$6:$T$10005,$U276,บันทึกรายเที่ยว!$J$6:$J$10005),2))</f>
        <v>0</v>
      </c>
      <c r="AG276">
        <f>IF($U276="",0,ROUND(SUMIF(บันทึกรายเที่ยว!$T$6:$T$10005,$U276,บันทึกรายเที่ยว!$K$6:$K$10005),2))</f>
        <v>0</v>
      </c>
      <c r="AH276">
        <f>IF($U276="",0,ROUND(SUMIF(บันทึกรายเที่ยว!$T$6:$T$10005,$U276,บันทึกรายเที่ยว!$M$6:$M$10005),2))</f>
        <v>0</v>
      </c>
    </row>
    <row r="277" spans="1:34" ht="21" customHeight="1" x14ac:dyDescent="0.95">
      <c r="A277" s="3" t="str">
        <f t="shared" si="56"/>
        <v/>
      </c>
      <c r="B277" s="3" t="str">
        <f t="shared" si="57"/>
        <v/>
      </c>
      <c r="C277" s="8" t="str">
        <f t="shared" si="58"/>
        <v/>
      </c>
      <c r="D277" s="31" t="str">
        <f t="shared" si="59"/>
        <v/>
      </c>
      <c r="E277" s="32" t="str">
        <f>IF(270=$AD$1+3,"ขอแสดงความนับถือ",IF(270=$AD$1+6,"(                 )",IF(270=$AD$1+7,"เจ้าหน้าที่ขนส่ง",IF($AB277="G",SUM($AF$8:$AF$407),IF(OR($AB277="",$AB277="R"),"",IF($AB277="D",INDEX($AF$8:$AF$407,$AA277),SUMIF($T$8:$T$407,INDEX($T$8:$T$407,$AA277),$AF$8:$AF$407)))))))</f>
        <v/>
      </c>
      <c r="F277" s="32" t="str">
        <f t="shared" si="60"/>
        <v/>
      </c>
      <c r="G277" s="32" t="str">
        <f t="shared" si="61"/>
        <v/>
      </c>
      <c r="H277" s="32" t="str">
        <f t="shared" si="62"/>
        <v/>
      </c>
      <c r="J277" t="str">
        <f>IFERROR(MATCH(270,บันทึกรายเที่ยว!$W$6:$W$10005,0),"")</f>
        <v/>
      </c>
      <c r="K277" t="str">
        <f>IF($J277="","",INDEX(บันทึกรายเที่ยว!$T$6:$T$10005,$J277))</f>
        <v/>
      </c>
      <c r="L277" t="str">
        <f>IF($J277="","",INDEX(บันทึกรายเที่ยว!$S$6:$S$10005,$J277))</f>
        <v/>
      </c>
      <c r="M277" t="str">
        <f>IF($J277="","",INDEX(บันทึกรายเที่ยว!$R$6:$R$10005,$J277))</f>
        <v/>
      </c>
      <c r="N277" t="str">
        <f>IF($J277="","",MATCH($M277,บันทึกรายเที่ยว!$R$6:$R$10005,0))</f>
        <v/>
      </c>
      <c r="O277" t="str">
        <f>IF($J277="","",MATCH($L277,บันทึกรายเที่ยว!$S$6:$S$10005,0))</f>
        <v/>
      </c>
      <c r="P277" t="str">
        <f>IF($J277="","",IF(AND(OR($I$3="(ทั้งหมด)",INDEX(บันทึกรายเที่ยว!$C$6:$C$10005,$J277)=$I$3),OR($I$5="(ทั้งหมด)",INDEX(บันทึกรายเที่ยว!$D$6:$D$10005,$J277)=$I$5),OR($I$7="(ทั้งหมด)",INDEX(บันทึกรายเที่ยว!$F$6:$F$10005,$J277)=$I$7)),$N277*10000000+$O277*1000+270,""))</f>
        <v/>
      </c>
      <c r="Q277" t="str">
        <f>IFERROR(MATCH(SMALL($P$8:$P$407,270),$P$8:$P$407,0),"")</f>
        <v/>
      </c>
      <c r="R277" t="str">
        <f t="shared" si="63"/>
        <v/>
      </c>
      <c r="S277" t="str">
        <f t="shared" si="64"/>
        <v/>
      </c>
      <c r="T277" t="str">
        <f t="shared" si="65"/>
        <v/>
      </c>
      <c r="U277" t="str">
        <f t="shared" si="66"/>
        <v/>
      </c>
      <c r="V277">
        <f t="shared" si="68"/>
        <v>0</v>
      </c>
      <c r="W277">
        <f t="shared" si="69"/>
        <v>0</v>
      </c>
      <c r="X277">
        <f>IF($Q277="",99999+270,$X276+1+$V276+$W276)</f>
        <v>100269</v>
      </c>
      <c r="Y277" t="str">
        <f>IF($Q277="","",INDEX(บันทึกรายเที่ยว!$Q$6:$Q$10005,$R277))</f>
        <v/>
      </c>
      <c r="Z277" t="str">
        <f>IF($Q277="","",INDEX(บันทึกรายเที่ยว!$F$6:$F$10005,$R277))</f>
        <v/>
      </c>
      <c r="AA277" t="str">
        <f>IFERROR(MATCH(270,$X$8:$X$407,1),"")</f>
        <v/>
      </c>
      <c r="AB277" t="str">
        <f>IF(270=$AD$1+1,"G",IF($AA277="","",IF(INDEX($Q$8:$Q$407,$AA277)="","",IF(270&gt;INDEX($X$8:$X$407,$AA277)+INDEX($V$8:$V$407,$AA277)+INDEX($W$8:$W$407,$AA277),"",IF(270=INDEX($X$8:$X$407,$AA277)+INDEX($V$8:$V$407,$AA277)+INDEX($W$8:$W$407,$AA277),"D",IF(AND(INDEX($W$8:$W$407,$AA277)=1,270=INDEX($X$8:$X$407,$AA277)+INDEX($V$8:$V$407,$AA277)),"S","R"))))))</f>
        <v/>
      </c>
      <c r="AC277" t="str">
        <f t="shared" si="67"/>
        <v/>
      </c>
      <c r="AE277">
        <f>IF($U277="",0,COUNTIF(บันทึกรายเที่ยว!$T$6:$T$10005,$U277))</f>
        <v>0</v>
      </c>
      <c r="AF277">
        <f>IF($U277="",0,ROUND(SUMIF(บันทึกรายเที่ยว!$T$6:$T$10005,$U277,บันทึกรายเที่ยว!$J$6:$J$10005),2))</f>
        <v>0</v>
      </c>
      <c r="AG277">
        <f>IF($U277="",0,ROUND(SUMIF(บันทึกรายเที่ยว!$T$6:$T$10005,$U277,บันทึกรายเที่ยว!$K$6:$K$10005),2))</f>
        <v>0</v>
      </c>
      <c r="AH277">
        <f>IF($U277="",0,ROUND(SUMIF(บันทึกรายเที่ยว!$T$6:$T$10005,$U277,บันทึกรายเที่ยว!$M$6:$M$10005),2))</f>
        <v>0</v>
      </c>
    </row>
    <row r="278" spans="1:34" ht="21" customHeight="1" x14ac:dyDescent="0.95">
      <c r="A278" s="3" t="str">
        <f t="shared" si="56"/>
        <v/>
      </c>
      <c r="B278" s="3" t="str">
        <f t="shared" si="57"/>
        <v/>
      </c>
      <c r="C278" s="8" t="str">
        <f t="shared" si="58"/>
        <v/>
      </c>
      <c r="D278" s="31" t="str">
        <f t="shared" si="59"/>
        <v/>
      </c>
      <c r="E278" s="32" t="str">
        <f>IF(271=$AD$1+3,"ขอแสดงความนับถือ",IF(271=$AD$1+6,"(                 )",IF(271=$AD$1+7,"เจ้าหน้าที่ขนส่ง",IF($AB278="G",SUM($AF$8:$AF$407),IF(OR($AB278="",$AB278="R"),"",IF($AB278="D",INDEX($AF$8:$AF$407,$AA278),SUMIF($T$8:$T$407,INDEX($T$8:$T$407,$AA278),$AF$8:$AF$407)))))))</f>
        <v/>
      </c>
      <c r="F278" s="32" t="str">
        <f t="shared" si="60"/>
        <v/>
      </c>
      <c r="G278" s="32" t="str">
        <f t="shared" si="61"/>
        <v/>
      </c>
      <c r="H278" s="32" t="str">
        <f t="shared" si="62"/>
        <v/>
      </c>
      <c r="J278" t="str">
        <f>IFERROR(MATCH(271,บันทึกรายเที่ยว!$W$6:$W$10005,0),"")</f>
        <v/>
      </c>
      <c r="K278" t="str">
        <f>IF($J278="","",INDEX(บันทึกรายเที่ยว!$T$6:$T$10005,$J278))</f>
        <v/>
      </c>
      <c r="L278" t="str">
        <f>IF($J278="","",INDEX(บันทึกรายเที่ยว!$S$6:$S$10005,$J278))</f>
        <v/>
      </c>
      <c r="M278" t="str">
        <f>IF($J278="","",INDEX(บันทึกรายเที่ยว!$R$6:$R$10005,$J278))</f>
        <v/>
      </c>
      <c r="N278" t="str">
        <f>IF($J278="","",MATCH($M278,บันทึกรายเที่ยว!$R$6:$R$10005,0))</f>
        <v/>
      </c>
      <c r="O278" t="str">
        <f>IF($J278="","",MATCH($L278,บันทึกรายเที่ยว!$S$6:$S$10005,0))</f>
        <v/>
      </c>
      <c r="P278" t="str">
        <f>IF($J278="","",IF(AND(OR($I$3="(ทั้งหมด)",INDEX(บันทึกรายเที่ยว!$C$6:$C$10005,$J278)=$I$3),OR($I$5="(ทั้งหมด)",INDEX(บันทึกรายเที่ยว!$D$6:$D$10005,$J278)=$I$5),OR($I$7="(ทั้งหมด)",INDEX(บันทึกรายเที่ยว!$F$6:$F$10005,$J278)=$I$7)),$N278*10000000+$O278*1000+271,""))</f>
        <v/>
      </c>
      <c r="Q278" t="str">
        <f>IFERROR(MATCH(SMALL($P$8:$P$407,271),$P$8:$P$407,0),"")</f>
        <v/>
      </c>
      <c r="R278" t="str">
        <f t="shared" si="63"/>
        <v/>
      </c>
      <c r="S278" t="str">
        <f t="shared" si="64"/>
        <v/>
      </c>
      <c r="T278" t="str">
        <f t="shared" si="65"/>
        <v/>
      </c>
      <c r="U278" t="str">
        <f t="shared" si="66"/>
        <v/>
      </c>
      <c r="V278">
        <f t="shared" si="68"/>
        <v>0</v>
      </c>
      <c r="W278">
        <f t="shared" si="69"/>
        <v>0</v>
      </c>
      <c r="X278">
        <f>IF($Q278="",99999+271,$X277+1+$V277+$W277)</f>
        <v>100270</v>
      </c>
      <c r="Y278" t="str">
        <f>IF($Q278="","",INDEX(บันทึกรายเที่ยว!$Q$6:$Q$10005,$R278))</f>
        <v/>
      </c>
      <c r="Z278" t="str">
        <f>IF($Q278="","",INDEX(บันทึกรายเที่ยว!$F$6:$F$10005,$R278))</f>
        <v/>
      </c>
      <c r="AA278" t="str">
        <f>IFERROR(MATCH(271,$X$8:$X$407,1),"")</f>
        <v/>
      </c>
      <c r="AB278" t="str">
        <f>IF(271=$AD$1+1,"G",IF($AA278="","",IF(INDEX($Q$8:$Q$407,$AA278)="","",IF(271&gt;INDEX($X$8:$X$407,$AA278)+INDEX($V$8:$V$407,$AA278)+INDEX($W$8:$W$407,$AA278),"",IF(271=INDEX($X$8:$X$407,$AA278)+INDEX($V$8:$V$407,$AA278)+INDEX($W$8:$W$407,$AA278),"D",IF(AND(INDEX($W$8:$W$407,$AA278)=1,271=INDEX($X$8:$X$407,$AA278)+INDEX($V$8:$V$407,$AA278)),"S","R"))))))</f>
        <v/>
      </c>
      <c r="AC278" t="str">
        <f t="shared" si="67"/>
        <v/>
      </c>
      <c r="AE278">
        <f>IF($U278="",0,COUNTIF(บันทึกรายเที่ยว!$T$6:$T$10005,$U278))</f>
        <v>0</v>
      </c>
      <c r="AF278">
        <f>IF($U278="",0,ROUND(SUMIF(บันทึกรายเที่ยว!$T$6:$T$10005,$U278,บันทึกรายเที่ยว!$J$6:$J$10005),2))</f>
        <v>0</v>
      </c>
      <c r="AG278">
        <f>IF($U278="",0,ROUND(SUMIF(บันทึกรายเที่ยว!$T$6:$T$10005,$U278,บันทึกรายเที่ยว!$K$6:$K$10005),2))</f>
        <v>0</v>
      </c>
      <c r="AH278">
        <f>IF($U278="",0,ROUND(SUMIF(บันทึกรายเที่ยว!$T$6:$T$10005,$U278,บันทึกรายเที่ยว!$M$6:$M$10005),2))</f>
        <v>0</v>
      </c>
    </row>
    <row r="279" spans="1:34" ht="21" customHeight="1" x14ac:dyDescent="0.95">
      <c r="A279" s="3" t="str">
        <f t="shared" si="56"/>
        <v/>
      </c>
      <c r="B279" s="3" t="str">
        <f t="shared" si="57"/>
        <v/>
      </c>
      <c r="C279" s="8" t="str">
        <f t="shared" si="58"/>
        <v/>
      </c>
      <c r="D279" s="31" t="str">
        <f t="shared" si="59"/>
        <v/>
      </c>
      <c r="E279" s="32" t="str">
        <f>IF(272=$AD$1+3,"ขอแสดงความนับถือ",IF(272=$AD$1+6,"(                 )",IF(272=$AD$1+7,"เจ้าหน้าที่ขนส่ง",IF($AB279="G",SUM($AF$8:$AF$407),IF(OR($AB279="",$AB279="R"),"",IF($AB279="D",INDEX($AF$8:$AF$407,$AA279),SUMIF($T$8:$T$407,INDEX($T$8:$T$407,$AA279),$AF$8:$AF$407)))))))</f>
        <v/>
      </c>
      <c r="F279" s="32" t="str">
        <f t="shared" si="60"/>
        <v/>
      </c>
      <c r="G279" s="32" t="str">
        <f t="shared" si="61"/>
        <v/>
      </c>
      <c r="H279" s="32" t="str">
        <f t="shared" si="62"/>
        <v/>
      </c>
      <c r="J279" t="str">
        <f>IFERROR(MATCH(272,บันทึกรายเที่ยว!$W$6:$W$10005,0),"")</f>
        <v/>
      </c>
      <c r="K279" t="str">
        <f>IF($J279="","",INDEX(บันทึกรายเที่ยว!$T$6:$T$10005,$J279))</f>
        <v/>
      </c>
      <c r="L279" t="str">
        <f>IF($J279="","",INDEX(บันทึกรายเที่ยว!$S$6:$S$10005,$J279))</f>
        <v/>
      </c>
      <c r="M279" t="str">
        <f>IF($J279="","",INDEX(บันทึกรายเที่ยว!$R$6:$R$10005,$J279))</f>
        <v/>
      </c>
      <c r="N279" t="str">
        <f>IF($J279="","",MATCH($M279,บันทึกรายเที่ยว!$R$6:$R$10005,0))</f>
        <v/>
      </c>
      <c r="O279" t="str">
        <f>IF($J279="","",MATCH($L279,บันทึกรายเที่ยว!$S$6:$S$10005,0))</f>
        <v/>
      </c>
      <c r="P279" t="str">
        <f>IF($J279="","",IF(AND(OR($I$3="(ทั้งหมด)",INDEX(บันทึกรายเที่ยว!$C$6:$C$10005,$J279)=$I$3),OR($I$5="(ทั้งหมด)",INDEX(บันทึกรายเที่ยว!$D$6:$D$10005,$J279)=$I$5),OR($I$7="(ทั้งหมด)",INDEX(บันทึกรายเที่ยว!$F$6:$F$10005,$J279)=$I$7)),$N279*10000000+$O279*1000+272,""))</f>
        <v/>
      </c>
      <c r="Q279" t="str">
        <f>IFERROR(MATCH(SMALL($P$8:$P$407,272),$P$8:$P$407,0),"")</f>
        <v/>
      </c>
      <c r="R279" t="str">
        <f t="shared" si="63"/>
        <v/>
      </c>
      <c r="S279" t="str">
        <f t="shared" si="64"/>
        <v/>
      </c>
      <c r="T279" t="str">
        <f t="shared" si="65"/>
        <v/>
      </c>
      <c r="U279" t="str">
        <f t="shared" si="66"/>
        <v/>
      </c>
      <c r="V279">
        <f t="shared" si="68"/>
        <v>0</v>
      </c>
      <c r="W279">
        <f t="shared" si="69"/>
        <v>0</v>
      </c>
      <c r="X279">
        <f>IF($Q279="",99999+272,$X278+1+$V278+$W278)</f>
        <v>100271</v>
      </c>
      <c r="Y279" t="str">
        <f>IF($Q279="","",INDEX(บันทึกรายเที่ยว!$Q$6:$Q$10005,$R279))</f>
        <v/>
      </c>
      <c r="Z279" t="str">
        <f>IF($Q279="","",INDEX(บันทึกรายเที่ยว!$F$6:$F$10005,$R279))</f>
        <v/>
      </c>
      <c r="AA279" t="str">
        <f>IFERROR(MATCH(272,$X$8:$X$407,1),"")</f>
        <v/>
      </c>
      <c r="AB279" t="str">
        <f>IF(272=$AD$1+1,"G",IF($AA279="","",IF(INDEX($Q$8:$Q$407,$AA279)="","",IF(272&gt;INDEX($X$8:$X$407,$AA279)+INDEX($V$8:$V$407,$AA279)+INDEX($W$8:$W$407,$AA279),"",IF(272=INDEX($X$8:$X$407,$AA279)+INDEX($V$8:$V$407,$AA279)+INDEX($W$8:$W$407,$AA279),"D",IF(AND(INDEX($W$8:$W$407,$AA279)=1,272=INDEX($X$8:$X$407,$AA279)+INDEX($V$8:$V$407,$AA279)),"S","R"))))))</f>
        <v/>
      </c>
      <c r="AC279" t="str">
        <f t="shared" si="67"/>
        <v/>
      </c>
      <c r="AE279">
        <f>IF($U279="",0,COUNTIF(บันทึกรายเที่ยว!$T$6:$T$10005,$U279))</f>
        <v>0</v>
      </c>
      <c r="AF279">
        <f>IF($U279="",0,ROUND(SUMIF(บันทึกรายเที่ยว!$T$6:$T$10005,$U279,บันทึกรายเที่ยว!$J$6:$J$10005),2))</f>
        <v>0</v>
      </c>
      <c r="AG279">
        <f>IF($U279="",0,ROUND(SUMIF(บันทึกรายเที่ยว!$T$6:$T$10005,$U279,บันทึกรายเที่ยว!$K$6:$K$10005),2))</f>
        <v>0</v>
      </c>
      <c r="AH279">
        <f>IF($U279="",0,ROUND(SUMIF(บันทึกรายเที่ยว!$T$6:$T$10005,$U279,บันทึกรายเที่ยว!$M$6:$M$10005),2))</f>
        <v>0</v>
      </c>
    </row>
    <row r="280" spans="1:34" ht="21" customHeight="1" x14ac:dyDescent="0.95">
      <c r="A280" s="3" t="str">
        <f t="shared" si="56"/>
        <v/>
      </c>
      <c r="B280" s="3" t="str">
        <f t="shared" si="57"/>
        <v/>
      </c>
      <c r="C280" s="8" t="str">
        <f t="shared" si="58"/>
        <v/>
      </c>
      <c r="D280" s="31" t="str">
        <f t="shared" si="59"/>
        <v/>
      </c>
      <c r="E280" s="32" t="str">
        <f>IF(273=$AD$1+3,"ขอแสดงความนับถือ",IF(273=$AD$1+6,"(                 )",IF(273=$AD$1+7,"เจ้าหน้าที่ขนส่ง",IF($AB280="G",SUM($AF$8:$AF$407),IF(OR($AB280="",$AB280="R"),"",IF($AB280="D",INDEX($AF$8:$AF$407,$AA280),SUMIF($T$8:$T$407,INDEX($T$8:$T$407,$AA280),$AF$8:$AF$407)))))))</f>
        <v/>
      </c>
      <c r="F280" s="32" t="str">
        <f t="shared" si="60"/>
        <v/>
      </c>
      <c r="G280" s="32" t="str">
        <f t="shared" si="61"/>
        <v/>
      </c>
      <c r="H280" s="32" t="str">
        <f t="shared" si="62"/>
        <v/>
      </c>
      <c r="J280" t="str">
        <f>IFERROR(MATCH(273,บันทึกรายเที่ยว!$W$6:$W$10005,0),"")</f>
        <v/>
      </c>
      <c r="K280" t="str">
        <f>IF($J280="","",INDEX(บันทึกรายเที่ยว!$T$6:$T$10005,$J280))</f>
        <v/>
      </c>
      <c r="L280" t="str">
        <f>IF($J280="","",INDEX(บันทึกรายเที่ยว!$S$6:$S$10005,$J280))</f>
        <v/>
      </c>
      <c r="M280" t="str">
        <f>IF($J280="","",INDEX(บันทึกรายเที่ยว!$R$6:$R$10005,$J280))</f>
        <v/>
      </c>
      <c r="N280" t="str">
        <f>IF($J280="","",MATCH($M280,บันทึกรายเที่ยว!$R$6:$R$10005,0))</f>
        <v/>
      </c>
      <c r="O280" t="str">
        <f>IF($J280="","",MATCH($L280,บันทึกรายเที่ยว!$S$6:$S$10005,0))</f>
        <v/>
      </c>
      <c r="P280" t="str">
        <f>IF($J280="","",IF(AND(OR($I$3="(ทั้งหมด)",INDEX(บันทึกรายเที่ยว!$C$6:$C$10005,$J280)=$I$3),OR($I$5="(ทั้งหมด)",INDEX(บันทึกรายเที่ยว!$D$6:$D$10005,$J280)=$I$5),OR($I$7="(ทั้งหมด)",INDEX(บันทึกรายเที่ยว!$F$6:$F$10005,$J280)=$I$7)),$N280*10000000+$O280*1000+273,""))</f>
        <v/>
      </c>
      <c r="Q280" t="str">
        <f>IFERROR(MATCH(SMALL($P$8:$P$407,273),$P$8:$P$407,0),"")</f>
        <v/>
      </c>
      <c r="R280" t="str">
        <f t="shared" si="63"/>
        <v/>
      </c>
      <c r="S280" t="str">
        <f t="shared" si="64"/>
        <v/>
      </c>
      <c r="T280" t="str">
        <f t="shared" si="65"/>
        <v/>
      </c>
      <c r="U280" t="str">
        <f t="shared" si="66"/>
        <v/>
      </c>
      <c r="V280">
        <f t="shared" si="68"/>
        <v>0</v>
      </c>
      <c r="W280">
        <f t="shared" si="69"/>
        <v>0</v>
      </c>
      <c r="X280">
        <f>IF($Q280="",99999+273,$X279+1+$V279+$W279)</f>
        <v>100272</v>
      </c>
      <c r="Y280" t="str">
        <f>IF($Q280="","",INDEX(บันทึกรายเที่ยว!$Q$6:$Q$10005,$R280))</f>
        <v/>
      </c>
      <c r="Z280" t="str">
        <f>IF($Q280="","",INDEX(บันทึกรายเที่ยว!$F$6:$F$10005,$R280))</f>
        <v/>
      </c>
      <c r="AA280" t="str">
        <f>IFERROR(MATCH(273,$X$8:$X$407,1),"")</f>
        <v/>
      </c>
      <c r="AB280" t="str">
        <f>IF(273=$AD$1+1,"G",IF($AA280="","",IF(INDEX($Q$8:$Q$407,$AA280)="","",IF(273&gt;INDEX($X$8:$X$407,$AA280)+INDEX($V$8:$V$407,$AA280)+INDEX($W$8:$W$407,$AA280),"",IF(273=INDEX($X$8:$X$407,$AA280)+INDEX($V$8:$V$407,$AA280)+INDEX($W$8:$W$407,$AA280),"D",IF(AND(INDEX($W$8:$W$407,$AA280)=1,273=INDEX($X$8:$X$407,$AA280)+INDEX($V$8:$V$407,$AA280)),"S","R"))))))</f>
        <v/>
      </c>
      <c r="AC280" t="str">
        <f t="shared" si="67"/>
        <v/>
      </c>
      <c r="AE280">
        <f>IF($U280="",0,COUNTIF(บันทึกรายเที่ยว!$T$6:$T$10005,$U280))</f>
        <v>0</v>
      </c>
      <c r="AF280">
        <f>IF($U280="",0,ROUND(SUMIF(บันทึกรายเที่ยว!$T$6:$T$10005,$U280,บันทึกรายเที่ยว!$J$6:$J$10005),2))</f>
        <v>0</v>
      </c>
      <c r="AG280">
        <f>IF($U280="",0,ROUND(SUMIF(บันทึกรายเที่ยว!$T$6:$T$10005,$U280,บันทึกรายเที่ยว!$K$6:$K$10005),2))</f>
        <v>0</v>
      </c>
      <c r="AH280">
        <f>IF($U280="",0,ROUND(SUMIF(บันทึกรายเที่ยว!$T$6:$T$10005,$U280,บันทึกรายเที่ยว!$M$6:$M$10005),2))</f>
        <v>0</v>
      </c>
    </row>
    <row r="281" spans="1:34" ht="21" customHeight="1" x14ac:dyDescent="0.95">
      <c r="A281" s="3" t="str">
        <f t="shared" si="56"/>
        <v/>
      </c>
      <c r="B281" s="3" t="str">
        <f t="shared" si="57"/>
        <v/>
      </c>
      <c r="C281" s="8" t="str">
        <f t="shared" si="58"/>
        <v/>
      </c>
      <c r="D281" s="31" t="str">
        <f t="shared" si="59"/>
        <v/>
      </c>
      <c r="E281" s="32" t="str">
        <f>IF(274=$AD$1+3,"ขอแสดงความนับถือ",IF(274=$AD$1+6,"(                 )",IF(274=$AD$1+7,"เจ้าหน้าที่ขนส่ง",IF($AB281="G",SUM($AF$8:$AF$407),IF(OR($AB281="",$AB281="R"),"",IF($AB281="D",INDEX($AF$8:$AF$407,$AA281),SUMIF($T$8:$T$407,INDEX($T$8:$T$407,$AA281),$AF$8:$AF$407)))))))</f>
        <v/>
      </c>
      <c r="F281" s="32" t="str">
        <f t="shared" si="60"/>
        <v/>
      </c>
      <c r="G281" s="32" t="str">
        <f t="shared" si="61"/>
        <v/>
      </c>
      <c r="H281" s="32" t="str">
        <f t="shared" si="62"/>
        <v/>
      </c>
      <c r="J281" t="str">
        <f>IFERROR(MATCH(274,บันทึกรายเที่ยว!$W$6:$W$10005,0),"")</f>
        <v/>
      </c>
      <c r="K281" t="str">
        <f>IF($J281="","",INDEX(บันทึกรายเที่ยว!$T$6:$T$10005,$J281))</f>
        <v/>
      </c>
      <c r="L281" t="str">
        <f>IF($J281="","",INDEX(บันทึกรายเที่ยว!$S$6:$S$10005,$J281))</f>
        <v/>
      </c>
      <c r="M281" t="str">
        <f>IF($J281="","",INDEX(บันทึกรายเที่ยว!$R$6:$R$10005,$J281))</f>
        <v/>
      </c>
      <c r="N281" t="str">
        <f>IF($J281="","",MATCH($M281,บันทึกรายเที่ยว!$R$6:$R$10005,0))</f>
        <v/>
      </c>
      <c r="O281" t="str">
        <f>IF($J281="","",MATCH($L281,บันทึกรายเที่ยว!$S$6:$S$10005,0))</f>
        <v/>
      </c>
      <c r="P281" t="str">
        <f>IF($J281="","",IF(AND(OR($I$3="(ทั้งหมด)",INDEX(บันทึกรายเที่ยว!$C$6:$C$10005,$J281)=$I$3),OR($I$5="(ทั้งหมด)",INDEX(บันทึกรายเที่ยว!$D$6:$D$10005,$J281)=$I$5),OR($I$7="(ทั้งหมด)",INDEX(บันทึกรายเที่ยว!$F$6:$F$10005,$J281)=$I$7)),$N281*10000000+$O281*1000+274,""))</f>
        <v/>
      </c>
      <c r="Q281" t="str">
        <f>IFERROR(MATCH(SMALL($P$8:$P$407,274),$P$8:$P$407,0),"")</f>
        <v/>
      </c>
      <c r="R281" t="str">
        <f t="shared" si="63"/>
        <v/>
      </c>
      <c r="S281" t="str">
        <f t="shared" si="64"/>
        <v/>
      </c>
      <c r="T281" t="str">
        <f t="shared" si="65"/>
        <v/>
      </c>
      <c r="U281" t="str">
        <f t="shared" si="66"/>
        <v/>
      </c>
      <c r="V281">
        <f t="shared" si="68"/>
        <v>0</v>
      </c>
      <c r="W281">
        <f t="shared" si="69"/>
        <v>0</v>
      </c>
      <c r="X281">
        <f>IF($Q281="",99999+274,$X280+1+$V280+$W280)</f>
        <v>100273</v>
      </c>
      <c r="Y281" t="str">
        <f>IF($Q281="","",INDEX(บันทึกรายเที่ยว!$Q$6:$Q$10005,$R281))</f>
        <v/>
      </c>
      <c r="Z281" t="str">
        <f>IF($Q281="","",INDEX(บันทึกรายเที่ยว!$F$6:$F$10005,$R281))</f>
        <v/>
      </c>
      <c r="AA281" t="str">
        <f>IFERROR(MATCH(274,$X$8:$X$407,1),"")</f>
        <v/>
      </c>
      <c r="AB281" t="str">
        <f>IF(274=$AD$1+1,"G",IF($AA281="","",IF(INDEX($Q$8:$Q$407,$AA281)="","",IF(274&gt;INDEX($X$8:$X$407,$AA281)+INDEX($V$8:$V$407,$AA281)+INDEX($W$8:$W$407,$AA281),"",IF(274=INDEX($X$8:$X$407,$AA281)+INDEX($V$8:$V$407,$AA281)+INDEX($W$8:$W$407,$AA281),"D",IF(AND(INDEX($W$8:$W$407,$AA281)=1,274=INDEX($X$8:$X$407,$AA281)+INDEX($V$8:$V$407,$AA281)),"S","R"))))))</f>
        <v/>
      </c>
      <c r="AC281" t="str">
        <f t="shared" si="67"/>
        <v/>
      </c>
      <c r="AE281">
        <f>IF($U281="",0,COUNTIF(บันทึกรายเที่ยว!$T$6:$T$10005,$U281))</f>
        <v>0</v>
      </c>
      <c r="AF281">
        <f>IF($U281="",0,ROUND(SUMIF(บันทึกรายเที่ยว!$T$6:$T$10005,$U281,บันทึกรายเที่ยว!$J$6:$J$10005),2))</f>
        <v>0</v>
      </c>
      <c r="AG281">
        <f>IF($U281="",0,ROUND(SUMIF(บันทึกรายเที่ยว!$T$6:$T$10005,$U281,บันทึกรายเที่ยว!$K$6:$K$10005),2))</f>
        <v>0</v>
      </c>
      <c r="AH281">
        <f>IF($U281="",0,ROUND(SUMIF(บันทึกรายเที่ยว!$T$6:$T$10005,$U281,บันทึกรายเที่ยว!$M$6:$M$10005),2))</f>
        <v>0</v>
      </c>
    </row>
    <row r="282" spans="1:34" ht="21" customHeight="1" x14ac:dyDescent="0.95">
      <c r="A282" s="3" t="str">
        <f t="shared" si="56"/>
        <v/>
      </c>
      <c r="B282" s="3" t="str">
        <f t="shared" si="57"/>
        <v/>
      </c>
      <c r="C282" s="8" t="str">
        <f t="shared" si="58"/>
        <v/>
      </c>
      <c r="D282" s="31" t="str">
        <f t="shared" si="59"/>
        <v/>
      </c>
      <c r="E282" s="32" t="str">
        <f>IF(275=$AD$1+3,"ขอแสดงความนับถือ",IF(275=$AD$1+6,"(                 )",IF(275=$AD$1+7,"เจ้าหน้าที่ขนส่ง",IF($AB282="G",SUM($AF$8:$AF$407),IF(OR($AB282="",$AB282="R"),"",IF($AB282="D",INDEX($AF$8:$AF$407,$AA282),SUMIF($T$8:$T$407,INDEX($T$8:$T$407,$AA282),$AF$8:$AF$407)))))))</f>
        <v/>
      </c>
      <c r="F282" s="32" t="str">
        <f t="shared" si="60"/>
        <v/>
      </c>
      <c r="G282" s="32" t="str">
        <f t="shared" si="61"/>
        <v/>
      </c>
      <c r="H282" s="32" t="str">
        <f t="shared" si="62"/>
        <v/>
      </c>
      <c r="J282" t="str">
        <f>IFERROR(MATCH(275,บันทึกรายเที่ยว!$W$6:$W$10005,0),"")</f>
        <v/>
      </c>
      <c r="K282" t="str">
        <f>IF($J282="","",INDEX(บันทึกรายเที่ยว!$T$6:$T$10005,$J282))</f>
        <v/>
      </c>
      <c r="L282" t="str">
        <f>IF($J282="","",INDEX(บันทึกรายเที่ยว!$S$6:$S$10005,$J282))</f>
        <v/>
      </c>
      <c r="M282" t="str">
        <f>IF($J282="","",INDEX(บันทึกรายเที่ยว!$R$6:$R$10005,$J282))</f>
        <v/>
      </c>
      <c r="N282" t="str">
        <f>IF($J282="","",MATCH($M282,บันทึกรายเที่ยว!$R$6:$R$10005,0))</f>
        <v/>
      </c>
      <c r="O282" t="str">
        <f>IF($J282="","",MATCH($L282,บันทึกรายเที่ยว!$S$6:$S$10005,0))</f>
        <v/>
      </c>
      <c r="P282" t="str">
        <f>IF($J282="","",IF(AND(OR($I$3="(ทั้งหมด)",INDEX(บันทึกรายเที่ยว!$C$6:$C$10005,$J282)=$I$3),OR($I$5="(ทั้งหมด)",INDEX(บันทึกรายเที่ยว!$D$6:$D$10005,$J282)=$I$5),OR($I$7="(ทั้งหมด)",INDEX(บันทึกรายเที่ยว!$F$6:$F$10005,$J282)=$I$7)),$N282*10000000+$O282*1000+275,""))</f>
        <v/>
      </c>
      <c r="Q282" t="str">
        <f>IFERROR(MATCH(SMALL($P$8:$P$407,275),$P$8:$P$407,0),"")</f>
        <v/>
      </c>
      <c r="R282" t="str">
        <f t="shared" si="63"/>
        <v/>
      </c>
      <c r="S282" t="str">
        <f t="shared" si="64"/>
        <v/>
      </c>
      <c r="T282" t="str">
        <f t="shared" si="65"/>
        <v/>
      </c>
      <c r="U282" t="str">
        <f t="shared" si="66"/>
        <v/>
      </c>
      <c r="V282">
        <f t="shared" si="68"/>
        <v>0</v>
      </c>
      <c r="W282">
        <f t="shared" si="69"/>
        <v>0</v>
      </c>
      <c r="X282">
        <f>IF($Q282="",99999+275,$X281+1+$V281+$W281)</f>
        <v>100274</v>
      </c>
      <c r="Y282" t="str">
        <f>IF($Q282="","",INDEX(บันทึกรายเที่ยว!$Q$6:$Q$10005,$R282))</f>
        <v/>
      </c>
      <c r="Z282" t="str">
        <f>IF($Q282="","",INDEX(บันทึกรายเที่ยว!$F$6:$F$10005,$R282))</f>
        <v/>
      </c>
      <c r="AA282" t="str">
        <f>IFERROR(MATCH(275,$X$8:$X$407,1),"")</f>
        <v/>
      </c>
      <c r="AB282" t="str">
        <f>IF(275=$AD$1+1,"G",IF($AA282="","",IF(INDEX($Q$8:$Q$407,$AA282)="","",IF(275&gt;INDEX($X$8:$X$407,$AA282)+INDEX($V$8:$V$407,$AA282)+INDEX($W$8:$W$407,$AA282),"",IF(275=INDEX($X$8:$X$407,$AA282)+INDEX($V$8:$V$407,$AA282)+INDEX($W$8:$W$407,$AA282),"D",IF(AND(INDEX($W$8:$W$407,$AA282)=1,275=INDEX($X$8:$X$407,$AA282)+INDEX($V$8:$V$407,$AA282)),"S","R"))))))</f>
        <v/>
      </c>
      <c r="AC282" t="str">
        <f t="shared" si="67"/>
        <v/>
      </c>
      <c r="AE282">
        <f>IF($U282="",0,COUNTIF(บันทึกรายเที่ยว!$T$6:$T$10005,$U282))</f>
        <v>0</v>
      </c>
      <c r="AF282">
        <f>IF($U282="",0,ROUND(SUMIF(บันทึกรายเที่ยว!$T$6:$T$10005,$U282,บันทึกรายเที่ยว!$J$6:$J$10005),2))</f>
        <v>0</v>
      </c>
      <c r="AG282">
        <f>IF($U282="",0,ROUND(SUMIF(บันทึกรายเที่ยว!$T$6:$T$10005,$U282,บันทึกรายเที่ยว!$K$6:$K$10005),2))</f>
        <v>0</v>
      </c>
      <c r="AH282">
        <f>IF($U282="",0,ROUND(SUMIF(บันทึกรายเที่ยว!$T$6:$T$10005,$U282,บันทึกรายเที่ยว!$M$6:$M$10005),2))</f>
        <v>0</v>
      </c>
    </row>
    <row r="283" spans="1:34" ht="21" customHeight="1" x14ac:dyDescent="0.95">
      <c r="A283" s="3" t="str">
        <f t="shared" si="56"/>
        <v/>
      </c>
      <c r="B283" s="3" t="str">
        <f t="shared" si="57"/>
        <v/>
      </c>
      <c r="C283" s="8" t="str">
        <f t="shared" si="58"/>
        <v/>
      </c>
      <c r="D283" s="31" t="str">
        <f t="shared" si="59"/>
        <v/>
      </c>
      <c r="E283" s="32" t="str">
        <f>IF(276=$AD$1+3,"ขอแสดงความนับถือ",IF(276=$AD$1+6,"(                 )",IF(276=$AD$1+7,"เจ้าหน้าที่ขนส่ง",IF($AB283="G",SUM($AF$8:$AF$407),IF(OR($AB283="",$AB283="R"),"",IF($AB283="D",INDEX($AF$8:$AF$407,$AA283),SUMIF($T$8:$T$407,INDEX($T$8:$T$407,$AA283),$AF$8:$AF$407)))))))</f>
        <v/>
      </c>
      <c r="F283" s="32" t="str">
        <f t="shared" si="60"/>
        <v/>
      </c>
      <c r="G283" s="32" t="str">
        <f t="shared" si="61"/>
        <v/>
      </c>
      <c r="H283" s="32" t="str">
        <f t="shared" si="62"/>
        <v/>
      </c>
      <c r="J283" t="str">
        <f>IFERROR(MATCH(276,บันทึกรายเที่ยว!$W$6:$W$10005,0),"")</f>
        <v/>
      </c>
      <c r="K283" t="str">
        <f>IF($J283="","",INDEX(บันทึกรายเที่ยว!$T$6:$T$10005,$J283))</f>
        <v/>
      </c>
      <c r="L283" t="str">
        <f>IF($J283="","",INDEX(บันทึกรายเที่ยว!$S$6:$S$10005,$J283))</f>
        <v/>
      </c>
      <c r="M283" t="str">
        <f>IF($J283="","",INDEX(บันทึกรายเที่ยว!$R$6:$R$10005,$J283))</f>
        <v/>
      </c>
      <c r="N283" t="str">
        <f>IF($J283="","",MATCH($M283,บันทึกรายเที่ยว!$R$6:$R$10005,0))</f>
        <v/>
      </c>
      <c r="O283" t="str">
        <f>IF($J283="","",MATCH($L283,บันทึกรายเที่ยว!$S$6:$S$10005,0))</f>
        <v/>
      </c>
      <c r="P283" t="str">
        <f>IF($J283="","",IF(AND(OR($I$3="(ทั้งหมด)",INDEX(บันทึกรายเที่ยว!$C$6:$C$10005,$J283)=$I$3),OR($I$5="(ทั้งหมด)",INDEX(บันทึกรายเที่ยว!$D$6:$D$10005,$J283)=$I$5),OR($I$7="(ทั้งหมด)",INDEX(บันทึกรายเที่ยว!$F$6:$F$10005,$J283)=$I$7)),$N283*10000000+$O283*1000+276,""))</f>
        <v/>
      </c>
      <c r="Q283" t="str">
        <f>IFERROR(MATCH(SMALL($P$8:$P$407,276),$P$8:$P$407,0),"")</f>
        <v/>
      </c>
      <c r="R283" t="str">
        <f t="shared" si="63"/>
        <v/>
      </c>
      <c r="S283" t="str">
        <f t="shared" si="64"/>
        <v/>
      </c>
      <c r="T283" t="str">
        <f t="shared" si="65"/>
        <v/>
      </c>
      <c r="U283" t="str">
        <f t="shared" si="66"/>
        <v/>
      </c>
      <c r="V283">
        <f t="shared" si="68"/>
        <v>0</v>
      </c>
      <c r="W283">
        <f t="shared" si="69"/>
        <v>0</v>
      </c>
      <c r="X283">
        <f>IF($Q283="",99999+276,$X282+1+$V282+$W282)</f>
        <v>100275</v>
      </c>
      <c r="Y283" t="str">
        <f>IF($Q283="","",INDEX(บันทึกรายเที่ยว!$Q$6:$Q$10005,$R283))</f>
        <v/>
      </c>
      <c r="Z283" t="str">
        <f>IF($Q283="","",INDEX(บันทึกรายเที่ยว!$F$6:$F$10005,$R283))</f>
        <v/>
      </c>
      <c r="AA283" t="str">
        <f>IFERROR(MATCH(276,$X$8:$X$407,1),"")</f>
        <v/>
      </c>
      <c r="AB283" t="str">
        <f>IF(276=$AD$1+1,"G",IF($AA283="","",IF(INDEX($Q$8:$Q$407,$AA283)="","",IF(276&gt;INDEX($X$8:$X$407,$AA283)+INDEX($V$8:$V$407,$AA283)+INDEX($W$8:$W$407,$AA283),"",IF(276=INDEX($X$8:$X$407,$AA283)+INDEX($V$8:$V$407,$AA283)+INDEX($W$8:$W$407,$AA283),"D",IF(AND(INDEX($W$8:$W$407,$AA283)=1,276=INDEX($X$8:$X$407,$AA283)+INDEX($V$8:$V$407,$AA283)),"S","R"))))))</f>
        <v/>
      </c>
      <c r="AC283" t="str">
        <f t="shared" si="67"/>
        <v/>
      </c>
      <c r="AE283">
        <f>IF($U283="",0,COUNTIF(บันทึกรายเที่ยว!$T$6:$T$10005,$U283))</f>
        <v>0</v>
      </c>
      <c r="AF283">
        <f>IF($U283="",0,ROUND(SUMIF(บันทึกรายเที่ยว!$T$6:$T$10005,$U283,บันทึกรายเที่ยว!$J$6:$J$10005),2))</f>
        <v>0</v>
      </c>
      <c r="AG283">
        <f>IF($U283="",0,ROUND(SUMIF(บันทึกรายเที่ยว!$T$6:$T$10005,$U283,บันทึกรายเที่ยว!$K$6:$K$10005),2))</f>
        <v>0</v>
      </c>
      <c r="AH283">
        <f>IF($U283="",0,ROUND(SUMIF(บันทึกรายเที่ยว!$T$6:$T$10005,$U283,บันทึกรายเที่ยว!$M$6:$M$10005),2))</f>
        <v>0</v>
      </c>
    </row>
    <row r="284" spans="1:34" ht="21" customHeight="1" x14ac:dyDescent="0.95">
      <c r="A284" s="3" t="str">
        <f t="shared" si="56"/>
        <v/>
      </c>
      <c r="B284" s="3" t="str">
        <f t="shared" si="57"/>
        <v/>
      </c>
      <c r="C284" s="8" t="str">
        <f t="shared" si="58"/>
        <v/>
      </c>
      <c r="D284" s="31" t="str">
        <f t="shared" si="59"/>
        <v/>
      </c>
      <c r="E284" s="32" t="str">
        <f>IF(277=$AD$1+3,"ขอแสดงความนับถือ",IF(277=$AD$1+6,"(                 )",IF(277=$AD$1+7,"เจ้าหน้าที่ขนส่ง",IF($AB284="G",SUM($AF$8:$AF$407),IF(OR($AB284="",$AB284="R"),"",IF($AB284="D",INDEX($AF$8:$AF$407,$AA284),SUMIF($T$8:$T$407,INDEX($T$8:$T$407,$AA284),$AF$8:$AF$407)))))))</f>
        <v/>
      </c>
      <c r="F284" s="32" t="str">
        <f t="shared" si="60"/>
        <v/>
      </c>
      <c r="G284" s="32" t="str">
        <f t="shared" si="61"/>
        <v/>
      </c>
      <c r="H284" s="32" t="str">
        <f t="shared" si="62"/>
        <v/>
      </c>
      <c r="J284" t="str">
        <f>IFERROR(MATCH(277,บันทึกรายเที่ยว!$W$6:$W$10005,0),"")</f>
        <v/>
      </c>
      <c r="K284" t="str">
        <f>IF($J284="","",INDEX(บันทึกรายเที่ยว!$T$6:$T$10005,$J284))</f>
        <v/>
      </c>
      <c r="L284" t="str">
        <f>IF($J284="","",INDEX(บันทึกรายเที่ยว!$S$6:$S$10005,$J284))</f>
        <v/>
      </c>
      <c r="M284" t="str">
        <f>IF($J284="","",INDEX(บันทึกรายเที่ยว!$R$6:$R$10005,$J284))</f>
        <v/>
      </c>
      <c r="N284" t="str">
        <f>IF($J284="","",MATCH($M284,บันทึกรายเที่ยว!$R$6:$R$10005,0))</f>
        <v/>
      </c>
      <c r="O284" t="str">
        <f>IF($J284="","",MATCH($L284,บันทึกรายเที่ยว!$S$6:$S$10005,0))</f>
        <v/>
      </c>
      <c r="P284" t="str">
        <f>IF($J284="","",IF(AND(OR($I$3="(ทั้งหมด)",INDEX(บันทึกรายเที่ยว!$C$6:$C$10005,$J284)=$I$3),OR($I$5="(ทั้งหมด)",INDEX(บันทึกรายเที่ยว!$D$6:$D$10005,$J284)=$I$5),OR($I$7="(ทั้งหมด)",INDEX(บันทึกรายเที่ยว!$F$6:$F$10005,$J284)=$I$7)),$N284*10000000+$O284*1000+277,""))</f>
        <v/>
      </c>
      <c r="Q284" t="str">
        <f>IFERROR(MATCH(SMALL($P$8:$P$407,277),$P$8:$P$407,0),"")</f>
        <v/>
      </c>
      <c r="R284" t="str">
        <f t="shared" si="63"/>
        <v/>
      </c>
      <c r="S284" t="str">
        <f t="shared" si="64"/>
        <v/>
      </c>
      <c r="T284" t="str">
        <f t="shared" si="65"/>
        <v/>
      </c>
      <c r="U284" t="str">
        <f t="shared" si="66"/>
        <v/>
      </c>
      <c r="V284">
        <f t="shared" si="68"/>
        <v>0</v>
      </c>
      <c r="W284">
        <f t="shared" si="69"/>
        <v>0</v>
      </c>
      <c r="X284">
        <f>IF($Q284="",99999+277,$X283+1+$V283+$W283)</f>
        <v>100276</v>
      </c>
      <c r="Y284" t="str">
        <f>IF($Q284="","",INDEX(บันทึกรายเที่ยว!$Q$6:$Q$10005,$R284))</f>
        <v/>
      </c>
      <c r="Z284" t="str">
        <f>IF($Q284="","",INDEX(บันทึกรายเที่ยว!$F$6:$F$10005,$R284))</f>
        <v/>
      </c>
      <c r="AA284" t="str">
        <f>IFERROR(MATCH(277,$X$8:$X$407,1),"")</f>
        <v/>
      </c>
      <c r="AB284" t="str">
        <f>IF(277=$AD$1+1,"G",IF($AA284="","",IF(INDEX($Q$8:$Q$407,$AA284)="","",IF(277&gt;INDEX($X$8:$X$407,$AA284)+INDEX($V$8:$V$407,$AA284)+INDEX($W$8:$W$407,$AA284),"",IF(277=INDEX($X$8:$X$407,$AA284)+INDEX($V$8:$V$407,$AA284)+INDEX($W$8:$W$407,$AA284),"D",IF(AND(INDEX($W$8:$W$407,$AA284)=1,277=INDEX($X$8:$X$407,$AA284)+INDEX($V$8:$V$407,$AA284)),"S","R"))))))</f>
        <v/>
      </c>
      <c r="AC284" t="str">
        <f t="shared" si="67"/>
        <v/>
      </c>
      <c r="AE284">
        <f>IF($U284="",0,COUNTIF(บันทึกรายเที่ยว!$T$6:$T$10005,$U284))</f>
        <v>0</v>
      </c>
      <c r="AF284">
        <f>IF($U284="",0,ROUND(SUMIF(บันทึกรายเที่ยว!$T$6:$T$10005,$U284,บันทึกรายเที่ยว!$J$6:$J$10005),2))</f>
        <v>0</v>
      </c>
      <c r="AG284">
        <f>IF($U284="",0,ROUND(SUMIF(บันทึกรายเที่ยว!$T$6:$T$10005,$U284,บันทึกรายเที่ยว!$K$6:$K$10005),2))</f>
        <v>0</v>
      </c>
      <c r="AH284">
        <f>IF($U284="",0,ROUND(SUMIF(บันทึกรายเที่ยว!$T$6:$T$10005,$U284,บันทึกรายเที่ยว!$M$6:$M$10005),2))</f>
        <v>0</v>
      </c>
    </row>
    <row r="285" spans="1:34" ht="21" customHeight="1" x14ac:dyDescent="0.95">
      <c r="A285" s="3" t="str">
        <f t="shared" si="56"/>
        <v/>
      </c>
      <c r="B285" s="3" t="str">
        <f t="shared" si="57"/>
        <v/>
      </c>
      <c r="C285" s="8" t="str">
        <f t="shared" si="58"/>
        <v/>
      </c>
      <c r="D285" s="31" t="str">
        <f t="shared" si="59"/>
        <v/>
      </c>
      <c r="E285" s="32" t="str">
        <f>IF(278=$AD$1+3,"ขอแสดงความนับถือ",IF(278=$AD$1+6,"(                 )",IF(278=$AD$1+7,"เจ้าหน้าที่ขนส่ง",IF($AB285="G",SUM($AF$8:$AF$407),IF(OR($AB285="",$AB285="R"),"",IF($AB285="D",INDEX($AF$8:$AF$407,$AA285),SUMIF($T$8:$T$407,INDEX($T$8:$T$407,$AA285),$AF$8:$AF$407)))))))</f>
        <v/>
      </c>
      <c r="F285" s="32" t="str">
        <f t="shared" si="60"/>
        <v/>
      </c>
      <c r="G285" s="32" t="str">
        <f t="shared" si="61"/>
        <v/>
      </c>
      <c r="H285" s="32" t="str">
        <f t="shared" si="62"/>
        <v/>
      </c>
      <c r="J285" t="str">
        <f>IFERROR(MATCH(278,บันทึกรายเที่ยว!$W$6:$W$10005,0),"")</f>
        <v/>
      </c>
      <c r="K285" t="str">
        <f>IF($J285="","",INDEX(บันทึกรายเที่ยว!$T$6:$T$10005,$J285))</f>
        <v/>
      </c>
      <c r="L285" t="str">
        <f>IF($J285="","",INDEX(บันทึกรายเที่ยว!$S$6:$S$10005,$J285))</f>
        <v/>
      </c>
      <c r="M285" t="str">
        <f>IF($J285="","",INDEX(บันทึกรายเที่ยว!$R$6:$R$10005,$J285))</f>
        <v/>
      </c>
      <c r="N285" t="str">
        <f>IF($J285="","",MATCH($M285,บันทึกรายเที่ยว!$R$6:$R$10005,0))</f>
        <v/>
      </c>
      <c r="O285" t="str">
        <f>IF($J285="","",MATCH($L285,บันทึกรายเที่ยว!$S$6:$S$10005,0))</f>
        <v/>
      </c>
      <c r="P285" t="str">
        <f>IF($J285="","",IF(AND(OR($I$3="(ทั้งหมด)",INDEX(บันทึกรายเที่ยว!$C$6:$C$10005,$J285)=$I$3),OR($I$5="(ทั้งหมด)",INDEX(บันทึกรายเที่ยว!$D$6:$D$10005,$J285)=$I$5),OR($I$7="(ทั้งหมด)",INDEX(บันทึกรายเที่ยว!$F$6:$F$10005,$J285)=$I$7)),$N285*10000000+$O285*1000+278,""))</f>
        <v/>
      </c>
      <c r="Q285" t="str">
        <f>IFERROR(MATCH(SMALL($P$8:$P$407,278),$P$8:$P$407,0),"")</f>
        <v/>
      </c>
      <c r="R285" t="str">
        <f t="shared" si="63"/>
        <v/>
      </c>
      <c r="S285" t="str">
        <f t="shared" si="64"/>
        <v/>
      </c>
      <c r="T285" t="str">
        <f t="shared" si="65"/>
        <v/>
      </c>
      <c r="U285" t="str">
        <f t="shared" si="66"/>
        <v/>
      </c>
      <c r="V285">
        <f t="shared" si="68"/>
        <v>0</v>
      </c>
      <c r="W285">
        <f t="shared" si="69"/>
        <v>0</v>
      </c>
      <c r="X285">
        <f>IF($Q285="",99999+278,$X284+1+$V284+$W284)</f>
        <v>100277</v>
      </c>
      <c r="Y285" t="str">
        <f>IF($Q285="","",INDEX(บันทึกรายเที่ยว!$Q$6:$Q$10005,$R285))</f>
        <v/>
      </c>
      <c r="Z285" t="str">
        <f>IF($Q285="","",INDEX(บันทึกรายเที่ยว!$F$6:$F$10005,$R285))</f>
        <v/>
      </c>
      <c r="AA285" t="str">
        <f>IFERROR(MATCH(278,$X$8:$X$407,1),"")</f>
        <v/>
      </c>
      <c r="AB285" t="str">
        <f>IF(278=$AD$1+1,"G",IF($AA285="","",IF(INDEX($Q$8:$Q$407,$AA285)="","",IF(278&gt;INDEX($X$8:$X$407,$AA285)+INDEX($V$8:$V$407,$AA285)+INDEX($W$8:$W$407,$AA285),"",IF(278=INDEX($X$8:$X$407,$AA285)+INDEX($V$8:$V$407,$AA285)+INDEX($W$8:$W$407,$AA285),"D",IF(AND(INDEX($W$8:$W$407,$AA285)=1,278=INDEX($X$8:$X$407,$AA285)+INDEX($V$8:$V$407,$AA285)),"S","R"))))))</f>
        <v/>
      </c>
      <c r="AC285" t="str">
        <f t="shared" si="67"/>
        <v/>
      </c>
      <c r="AE285">
        <f>IF($U285="",0,COUNTIF(บันทึกรายเที่ยว!$T$6:$T$10005,$U285))</f>
        <v>0</v>
      </c>
      <c r="AF285">
        <f>IF($U285="",0,ROUND(SUMIF(บันทึกรายเที่ยว!$T$6:$T$10005,$U285,บันทึกรายเที่ยว!$J$6:$J$10005),2))</f>
        <v>0</v>
      </c>
      <c r="AG285">
        <f>IF($U285="",0,ROUND(SUMIF(บันทึกรายเที่ยว!$T$6:$T$10005,$U285,บันทึกรายเที่ยว!$K$6:$K$10005),2))</f>
        <v>0</v>
      </c>
      <c r="AH285">
        <f>IF($U285="",0,ROUND(SUMIF(บันทึกรายเที่ยว!$T$6:$T$10005,$U285,บันทึกรายเที่ยว!$M$6:$M$10005),2))</f>
        <v>0</v>
      </c>
    </row>
    <row r="286" spans="1:34" ht="21" customHeight="1" x14ac:dyDescent="0.95">
      <c r="A286" s="3" t="str">
        <f t="shared" si="56"/>
        <v/>
      </c>
      <c r="B286" s="3" t="str">
        <f t="shared" si="57"/>
        <v/>
      </c>
      <c r="C286" s="8" t="str">
        <f t="shared" si="58"/>
        <v/>
      </c>
      <c r="D286" s="31" t="str">
        <f t="shared" si="59"/>
        <v/>
      </c>
      <c r="E286" s="32" t="str">
        <f>IF(279=$AD$1+3,"ขอแสดงความนับถือ",IF(279=$AD$1+6,"(                 )",IF(279=$AD$1+7,"เจ้าหน้าที่ขนส่ง",IF($AB286="G",SUM($AF$8:$AF$407),IF(OR($AB286="",$AB286="R"),"",IF($AB286="D",INDEX($AF$8:$AF$407,$AA286),SUMIF($T$8:$T$407,INDEX($T$8:$T$407,$AA286),$AF$8:$AF$407)))))))</f>
        <v/>
      </c>
      <c r="F286" s="32" t="str">
        <f t="shared" si="60"/>
        <v/>
      </c>
      <c r="G286" s="32" t="str">
        <f t="shared" si="61"/>
        <v/>
      </c>
      <c r="H286" s="32" t="str">
        <f t="shared" si="62"/>
        <v/>
      </c>
      <c r="J286" t="str">
        <f>IFERROR(MATCH(279,บันทึกรายเที่ยว!$W$6:$W$10005,0),"")</f>
        <v/>
      </c>
      <c r="K286" t="str">
        <f>IF($J286="","",INDEX(บันทึกรายเที่ยว!$T$6:$T$10005,$J286))</f>
        <v/>
      </c>
      <c r="L286" t="str">
        <f>IF($J286="","",INDEX(บันทึกรายเที่ยว!$S$6:$S$10005,$J286))</f>
        <v/>
      </c>
      <c r="M286" t="str">
        <f>IF($J286="","",INDEX(บันทึกรายเที่ยว!$R$6:$R$10005,$J286))</f>
        <v/>
      </c>
      <c r="N286" t="str">
        <f>IF($J286="","",MATCH($M286,บันทึกรายเที่ยว!$R$6:$R$10005,0))</f>
        <v/>
      </c>
      <c r="O286" t="str">
        <f>IF($J286="","",MATCH($L286,บันทึกรายเที่ยว!$S$6:$S$10005,0))</f>
        <v/>
      </c>
      <c r="P286" t="str">
        <f>IF($J286="","",IF(AND(OR($I$3="(ทั้งหมด)",INDEX(บันทึกรายเที่ยว!$C$6:$C$10005,$J286)=$I$3),OR($I$5="(ทั้งหมด)",INDEX(บันทึกรายเที่ยว!$D$6:$D$10005,$J286)=$I$5),OR($I$7="(ทั้งหมด)",INDEX(บันทึกรายเที่ยว!$F$6:$F$10005,$J286)=$I$7)),$N286*10000000+$O286*1000+279,""))</f>
        <v/>
      </c>
      <c r="Q286" t="str">
        <f>IFERROR(MATCH(SMALL($P$8:$P$407,279),$P$8:$P$407,0),"")</f>
        <v/>
      </c>
      <c r="R286" t="str">
        <f t="shared" si="63"/>
        <v/>
      </c>
      <c r="S286" t="str">
        <f t="shared" si="64"/>
        <v/>
      </c>
      <c r="T286" t="str">
        <f t="shared" si="65"/>
        <v/>
      </c>
      <c r="U286" t="str">
        <f t="shared" si="66"/>
        <v/>
      </c>
      <c r="V286">
        <f t="shared" si="68"/>
        <v>0</v>
      </c>
      <c r="W286">
        <f t="shared" si="69"/>
        <v>0</v>
      </c>
      <c r="X286">
        <f>IF($Q286="",99999+279,$X285+1+$V285+$W285)</f>
        <v>100278</v>
      </c>
      <c r="Y286" t="str">
        <f>IF($Q286="","",INDEX(บันทึกรายเที่ยว!$Q$6:$Q$10005,$R286))</f>
        <v/>
      </c>
      <c r="Z286" t="str">
        <f>IF($Q286="","",INDEX(บันทึกรายเที่ยว!$F$6:$F$10005,$R286))</f>
        <v/>
      </c>
      <c r="AA286" t="str">
        <f>IFERROR(MATCH(279,$X$8:$X$407,1),"")</f>
        <v/>
      </c>
      <c r="AB286" t="str">
        <f>IF(279=$AD$1+1,"G",IF($AA286="","",IF(INDEX($Q$8:$Q$407,$AA286)="","",IF(279&gt;INDEX($X$8:$X$407,$AA286)+INDEX($V$8:$V$407,$AA286)+INDEX($W$8:$W$407,$AA286),"",IF(279=INDEX($X$8:$X$407,$AA286)+INDEX($V$8:$V$407,$AA286)+INDEX($W$8:$W$407,$AA286),"D",IF(AND(INDEX($W$8:$W$407,$AA286)=1,279=INDEX($X$8:$X$407,$AA286)+INDEX($V$8:$V$407,$AA286)),"S","R"))))))</f>
        <v/>
      </c>
      <c r="AC286" t="str">
        <f t="shared" si="67"/>
        <v/>
      </c>
      <c r="AE286">
        <f>IF($U286="",0,COUNTIF(บันทึกรายเที่ยว!$T$6:$T$10005,$U286))</f>
        <v>0</v>
      </c>
      <c r="AF286">
        <f>IF($U286="",0,ROUND(SUMIF(บันทึกรายเที่ยว!$T$6:$T$10005,$U286,บันทึกรายเที่ยว!$J$6:$J$10005),2))</f>
        <v>0</v>
      </c>
      <c r="AG286">
        <f>IF($U286="",0,ROUND(SUMIF(บันทึกรายเที่ยว!$T$6:$T$10005,$U286,บันทึกรายเที่ยว!$K$6:$K$10005),2))</f>
        <v>0</v>
      </c>
      <c r="AH286">
        <f>IF($U286="",0,ROUND(SUMIF(บันทึกรายเที่ยว!$T$6:$T$10005,$U286,บันทึกรายเที่ยว!$M$6:$M$10005),2))</f>
        <v>0</v>
      </c>
    </row>
    <row r="287" spans="1:34" ht="21" customHeight="1" x14ac:dyDescent="0.95">
      <c r="A287" s="3" t="str">
        <f t="shared" si="56"/>
        <v/>
      </c>
      <c r="B287" s="3" t="str">
        <f t="shared" si="57"/>
        <v/>
      </c>
      <c r="C287" s="8" t="str">
        <f t="shared" si="58"/>
        <v/>
      </c>
      <c r="D287" s="31" t="str">
        <f t="shared" si="59"/>
        <v/>
      </c>
      <c r="E287" s="32" t="str">
        <f>IF(280=$AD$1+3,"ขอแสดงความนับถือ",IF(280=$AD$1+6,"(                 )",IF(280=$AD$1+7,"เจ้าหน้าที่ขนส่ง",IF($AB287="G",SUM($AF$8:$AF$407),IF(OR($AB287="",$AB287="R"),"",IF($AB287="D",INDEX($AF$8:$AF$407,$AA287),SUMIF($T$8:$T$407,INDEX($T$8:$T$407,$AA287),$AF$8:$AF$407)))))))</f>
        <v/>
      </c>
      <c r="F287" s="32" t="str">
        <f t="shared" si="60"/>
        <v/>
      </c>
      <c r="G287" s="32" t="str">
        <f t="shared" si="61"/>
        <v/>
      </c>
      <c r="H287" s="32" t="str">
        <f t="shared" si="62"/>
        <v/>
      </c>
      <c r="J287" t="str">
        <f>IFERROR(MATCH(280,บันทึกรายเที่ยว!$W$6:$W$10005,0),"")</f>
        <v/>
      </c>
      <c r="K287" t="str">
        <f>IF($J287="","",INDEX(บันทึกรายเที่ยว!$T$6:$T$10005,$J287))</f>
        <v/>
      </c>
      <c r="L287" t="str">
        <f>IF($J287="","",INDEX(บันทึกรายเที่ยว!$S$6:$S$10005,$J287))</f>
        <v/>
      </c>
      <c r="M287" t="str">
        <f>IF($J287="","",INDEX(บันทึกรายเที่ยว!$R$6:$R$10005,$J287))</f>
        <v/>
      </c>
      <c r="N287" t="str">
        <f>IF($J287="","",MATCH($M287,บันทึกรายเที่ยว!$R$6:$R$10005,0))</f>
        <v/>
      </c>
      <c r="O287" t="str">
        <f>IF($J287="","",MATCH($L287,บันทึกรายเที่ยว!$S$6:$S$10005,0))</f>
        <v/>
      </c>
      <c r="P287" t="str">
        <f>IF($J287="","",IF(AND(OR($I$3="(ทั้งหมด)",INDEX(บันทึกรายเที่ยว!$C$6:$C$10005,$J287)=$I$3),OR($I$5="(ทั้งหมด)",INDEX(บันทึกรายเที่ยว!$D$6:$D$10005,$J287)=$I$5),OR($I$7="(ทั้งหมด)",INDEX(บันทึกรายเที่ยว!$F$6:$F$10005,$J287)=$I$7)),$N287*10000000+$O287*1000+280,""))</f>
        <v/>
      </c>
      <c r="Q287" t="str">
        <f>IFERROR(MATCH(SMALL($P$8:$P$407,280),$P$8:$P$407,0),"")</f>
        <v/>
      </c>
      <c r="R287" t="str">
        <f t="shared" si="63"/>
        <v/>
      </c>
      <c r="S287" t="str">
        <f t="shared" si="64"/>
        <v/>
      </c>
      <c r="T287" t="str">
        <f t="shared" si="65"/>
        <v/>
      </c>
      <c r="U287" t="str">
        <f t="shared" si="66"/>
        <v/>
      </c>
      <c r="V287">
        <f t="shared" si="68"/>
        <v>0</v>
      </c>
      <c r="W287">
        <f t="shared" si="69"/>
        <v>0</v>
      </c>
      <c r="X287">
        <f>IF($Q287="",99999+280,$X286+1+$V286+$W286)</f>
        <v>100279</v>
      </c>
      <c r="Y287" t="str">
        <f>IF($Q287="","",INDEX(บันทึกรายเที่ยว!$Q$6:$Q$10005,$R287))</f>
        <v/>
      </c>
      <c r="Z287" t="str">
        <f>IF($Q287="","",INDEX(บันทึกรายเที่ยว!$F$6:$F$10005,$R287))</f>
        <v/>
      </c>
      <c r="AA287" t="str">
        <f>IFERROR(MATCH(280,$X$8:$X$407,1),"")</f>
        <v/>
      </c>
      <c r="AB287" t="str">
        <f>IF(280=$AD$1+1,"G",IF($AA287="","",IF(INDEX($Q$8:$Q$407,$AA287)="","",IF(280&gt;INDEX($X$8:$X$407,$AA287)+INDEX($V$8:$V$407,$AA287)+INDEX($W$8:$W$407,$AA287),"",IF(280=INDEX($X$8:$X$407,$AA287)+INDEX($V$8:$V$407,$AA287)+INDEX($W$8:$W$407,$AA287),"D",IF(AND(INDEX($W$8:$W$407,$AA287)=1,280=INDEX($X$8:$X$407,$AA287)+INDEX($V$8:$V$407,$AA287)),"S","R"))))))</f>
        <v/>
      </c>
      <c r="AC287" t="str">
        <f t="shared" si="67"/>
        <v/>
      </c>
      <c r="AE287">
        <f>IF($U287="",0,COUNTIF(บันทึกรายเที่ยว!$T$6:$T$10005,$U287))</f>
        <v>0</v>
      </c>
      <c r="AF287">
        <f>IF($U287="",0,ROUND(SUMIF(บันทึกรายเที่ยว!$T$6:$T$10005,$U287,บันทึกรายเที่ยว!$J$6:$J$10005),2))</f>
        <v>0</v>
      </c>
      <c r="AG287">
        <f>IF($U287="",0,ROUND(SUMIF(บันทึกรายเที่ยว!$T$6:$T$10005,$U287,บันทึกรายเที่ยว!$K$6:$K$10005),2))</f>
        <v>0</v>
      </c>
      <c r="AH287">
        <f>IF($U287="",0,ROUND(SUMIF(บันทึกรายเที่ยว!$T$6:$T$10005,$U287,บันทึกรายเที่ยว!$M$6:$M$10005),2))</f>
        <v>0</v>
      </c>
    </row>
    <row r="288" spans="1:34" ht="21" customHeight="1" x14ac:dyDescent="0.95">
      <c r="A288" s="3" t="str">
        <f t="shared" si="56"/>
        <v/>
      </c>
      <c r="B288" s="3" t="str">
        <f t="shared" si="57"/>
        <v/>
      </c>
      <c r="C288" s="8" t="str">
        <f t="shared" si="58"/>
        <v/>
      </c>
      <c r="D288" s="31" t="str">
        <f t="shared" si="59"/>
        <v/>
      </c>
      <c r="E288" s="32" t="str">
        <f>IF(281=$AD$1+3,"ขอแสดงความนับถือ",IF(281=$AD$1+6,"(                 )",IF(281=$AD$1+7,"เจ้าหน้าที่ขนส่ง",IF($AB288="G",SUM($AF$8:$AF$407),IF(OR($AB288="",$AB288="R"),"",IF($AB288="D",INDEX($AF$8:$AF$407,$AA288),SUMIF($T$8:$T$407,INDEX($T$8:$T$407,$AA288),$AF$8:$AF$407)))))))</f>
        <v/>
      </c>
      <c r="F288" s="32" t="str">
        <f t="shared" si="60"/>
        <v/>
      </c>
      <c r="G288" s="32" t="str">
        <f t="shared" si="61"/>
        <v/>
      </c>
      <c r="H288" s="32" t="str">
        <f t="shared" si="62"/>
        <v/>
      </c>
      <c r="J288" t="str">
        <f>IFERROR(MATCH(281,บันทึกรายเที่ยว!$W$6:$W$10005,0),"")</f>
        <v/>
      </c>
      <c r="K288" t="str">
        <f>IF($J288="","",INDEX(บันทึกรายเที่ยว!$T$6:$T$10005,$J288))</f>
        <v/>
      </c>
      <c r="L288" t="str">
        <f>IF($J288="","",INDEX(บันทึกรายเที่ยว!$S$6:$S$10005,$J288))</f>
        <v/>
      </c>
      <c r="M288" t="str">
        <f>IF($J288="","",INDEX(บันทึกรายเที่ยว!$R$6:$R$10005,$J288))</f>
        <v/>
      </c>
      <c r="N288" t="str">
        <f>IF($J288="","",MATCH($M288,บันทึกรายเที่ยว!$R$6:$R$10005,0))</f>
        <v/>
      </c>
      <c r="O288" t="str">
        <f>IF($J288="","",MATCH($L288,บันทึกรายเที่ยว!$S$6:$S$10005,0))</f>
        <v/>
      </c>
      <c r="P288" t="str">
        <f>IF($J288="","",IF(AND(OR($I$3="(ทั้งหมด)",INDEX(บันทึกรายเที่ยว!$C$6:$C$10005,$J288)=$I$3),OR($I$5="(ทั้งหมด)",INDEX(บันทึกรายเที่ยว!$D$6:$D$10005,$J288)=$I$5),OR($I$7="(ทั้งหมด)",INDEX(บันทึกรายเที่ยว!$F$6:$F$10005,$J288)=$I$7)),$N288*10000000+$O288*1000+281,""))</f>
        <v/>
      </c>
      <c r="Q288" t="str">
        <f>IFERROR(MATCH(SMALL($P$8:$P$407,281),$P$8:$P$407,0),"")</f>
        <v/>
      </c>
      <c r="R288" t="str">
        <f t="shared" si="63"/>
        <v/>
      </c>
      <c r="S288" t="str">
        <f t="shared" si="64"/>
        <v/>
      </c>
      <c r="T288" t="str">
        <f t="shared" si="65"/>
        <v/>
      </c>
      <c r="U288" t="str">
        <f t="shared" si="66"/>
        <v/>
      </c>
      <c r="V288">
        <f t="shared" si="68"/>
        <v>0</v>
      </c>
      <c r="W288">
        <f t="shared" si="69"/>
        <v>0</v>
      </c>
      <c r="X288">
        <f>IF($Q288="",99999+281,$X287+1+$V287+$W287)</f>
        <v>100280</v>
      </c>
      <c r="Y288" t="str">
        <f>IF($Q288="","",INDEX(บันทึกรายเที่ยว!$Q$6:$Q$10005,$R288))</f>
        <v/>
      </c>
      <c r="Z288" t="str">
        <f>IF($Q288="","",INDEX(บันทึกรายเที่ยว!$F$6:$F$10005,$R288))</f>
        <v/>
      </c>
      <c r="AA288" t="str">
        <f>IFERROR(MATCH(281,$X$8:$X$407,1),"")</f>
        <v/>
      </c>
      <c r="AB288" t="str">
        <f>IF(281=$AD$1+1,"G",IF($AA288="","",IF(INDEX($Q$8:$Q$407,$AA288)="","",IF(281&gt;INDEX($X$8:$X$407,$AA288)+INDEX($V$8:$V$407,$AA288)+INDEX($W$8:$W$407,$AA288),"",IF(281=INDEX($X$8:$X$407,$AA288)+INDEX($V$8:$V$407,$AA288)+INDEX($W$8:$W$407,$AA288),"D",IF(AND(INDEX($W$8:$W$407,$AA288)=1,281=INDEX($X$8:$X$407,$AA288)+INDEX($V$8:$V$407,$AA288)),"S","R"))))))</f>
        <v/>
      </c>
      <c r="AC288" t="str">
        <f t="shared" si="67"/>
        <v/>
      </c>
      <c r="AE288">
        <f>IF($U288="",0,COUNTIF(บันทึกรายเที่ยว!$T$6:$T$10005,$U288))</f>
        <v>0</v>
      </c>
      <c r="AF288">
        <f>IF($U288="",0,ROUND(SUMIF(บันทึกรายเที่ยว!$T$6:$T$10005,$U288,บันทึกรายเที่ยว!$J$6:$J$10005),2))</f>
        <v>0</v>
      </c>
      <c r="AG288">
        <f>IF($U288="",0,ROUND(SUMIF(บันทึกรายเที่ยว!$T$6:$T$10005,$U288,บันทึกรายเที่ยว!$K$6:$K$10005),2))</f>
        <v>0</v>
      </c>
      <c r="AH288">
        <f>IF($U288="",0,ROUND(SUMIF(บันทึกรายเที่ยว!$T$6:$T$10005,$U288,บันทึกรายเที่ยว!$M$6:$M$10005),2))</f>
        <v>0</v>
      </c>
    </row>
    <row r="289" spans="1:34" ht="21" customHeight="1" x14ac:dyDescent="0.95">
      <c r="A289" s="3" t="str">
        <f t="shared" si="56"/>
        <v/>
      </c>
      <c r="B289" s="3" t="str">
        <f t="shared" si="57"/>
        <v/>
      </c>
      <c r="C289" s="8" t="str">
        <f t="shared" si="58"/>
        <v/>
      </c>
      <c r="D289" s="31" t="str">
        <f t="shared" si="59"/>
        <v/>
      </c>
      <c r="E289" s="32" t="str">
        <f>IF(282=$AD$1+3,"ขอแสดงความนับถือ",IF(282=$AD$1+6,"(                 )",IF(282=$AD$1+7,"เจ้าหน้าที่ขนส่ง",IF($AB289="G",SUM($AF$8:$AF$407),IF(OR($AB289="",$AB289="R"),"",IF($AB289="D",INDEX($AF$8:$AF$407,$AA289),SUMIF($T$8:$T$407,INDEX($T$8:$T$407,$AA289),$AF$8:$AF$407)))))))</f>
        <v/>
      </c>
      <c r="F289" s="32" t="str">
        <f t="shared" si="60"/>
        <v/>
      </c>
      <c r="G289" s="32" t="str">
        <f t="shared" si="61"/>
        <v/>
      </c>
      <c r="H289" s="32" t="str">
        <f t="shared" si="62"/>
        <v/>
      </c>
      <c r="J289" t="str">
        <f>IFERROR(MATCH(282,บันทึกรายเที่ยว!$W$6:$W$10005,0),"")</f>
        <v/>
      </c>
      <c r="K289" t="str">
        <f>IF($J289="","",INDEX(บันทึกรายเที่ยว!$T$6:$T$10005,$J289))</f>
        <v/>
      </c>
      <c r="L289" t="str">
        <f>IF($J289="","",INDEX(บันทึกรายเที่ยว!$S$6:$S$10005,$J289))</f>
        <v/>
      </c>
      <c r="M289" t="str">
        <f>IF($J289="","",INDEX(บันทึกรายเที่ยว!$R$6:$R$10005,$J289))</f>
        <v/>
      </c>
      <c r="N289" t="str">
        <f>IF($J289="","",MATCH($M289,บันทึกรายเที่ยว!$R$6:$R$10005,0))</f>
        <v/>
      </c>
      <c r="O289" t="str">
        <f>IF($J289="","",MATCH($L289,บันทึกรายเที่ยว!$S$6:$S$10005,0))</f>
        <v/>
      </c>
      <c r="P289" t="str">
        <f>IF($J289="","",IF(AND(OR($I$3="(ทั้งหมด)",INDEX(บันทึกรายเที่ยว!$C$6:$C$10005,$J289)=$I$3),OR($I$5="(ทั้งหมด)",INDEX(บันทึกรายเที่ยว!$D$6:$D$10005,$J289)=$I$5),OR($I$7="(ทั้งหมด)",INDEX(บันทึกรายเที่ยว!$F$6:$F$10005,$J289)=$I$7)),$N289*10000000+$O289*1000+282,""))</f>
        <v/>
      </c>
      <c r="Q289" t="str">
        <f>IFERROR(MATCH(SMALL($P$8:$P$407,282),$P$8:$P$407,0),"")</f>
        <v/>
      </c>
      <c r="R289" t="str">
        <f t="shared" si="63"/>
        <v/>
      </c>
      <c r="S289" t="str">
        <f t="shared" si="64"/>
        <v/>
      </c>
      <c r="T289" t="str">
        <f t="shared" si="65"/>
        <v/>
      </c>
      <c r="U289" t="str">
        <f t="shared" si="66"/>
        <v/>
      </c>
      <c r="V289">
        <f t="shared" si="68"/>
        <v>0</v>
      </c>
      <c r="W289">
        <f t="shared" si="69"/>
        <v>0</v>
      </c>
      <c r="X289">
        <f>IF($Q289="",99999+282,$X288+1+$V288+$W288)</f>
        <v>100281</v>
      </c>
      <c r="Y289" t="str">
        <f>IF($Q289="","",INDEX(บันทึกรายเที่ยว!$Q$6:$Q$10005,$R289))</f>
        <v/>
      </c>
      <c r="Z289" t="str">
        <f>IF($Q289="","",INDEX(บันทึกรายเที่ยว!$F$6:$F$10005,$R289))</f>
        <v/>
      </c>
      <c r="AA289" t="str">
        <f>IFERROR(MATCH(282,$X$8:$X$407,1),"")</f>
        <v/>
      </c>
      <c r="AB289" t="str">
        <f>IF(282=$AD$1+1,"G",IF($AA289="","",IF(INDEX($Q$8:$Q$407,$AA289)="","",IF(282&gt;INDEX($X$8:$X$407,$AA289)+INDEX($V$8:$V$407,$AA289)+INDEX($W$8:$W$407,$AA289),"",IF(282=INDEX($X$8:$X$407,$AA289)+INDEX($V$8:$V$407,$AA289)+INDEX($W$8:$W$407,$AA289),"D",IF(AND(INDEX($W$8:$W$407,$AA289)=1,282=INDEX($X$8:$X$407,$AA289)+INDEX($V$8:$V$407,$AA289)),"S","R"))))))</f>
        <v/>
      </c>
      <c r="AC289" t="str">
        <f t="shared" si="67"/>
        <v/>
      </c>
      <c r="AE289">
        <f>IF($U289="",0,COUNTIF(บันทึกรายเที่ยว!$T$6:$T$10005,$U289))</f>
        <v>0</v>
      </c>
      <c r="AF289">
        <f>IF($U289="",0,ROUND(SUMIF(บันทึกรายเที่ยว!$T$6:$T$10005,$U289,บันทึกรายเที่ยว!$J$6:$J$10005),2))</f>
        <v>0</v>
      </c>
      <c r="AG289">
        <f>IF($U289="",0,ROUND(SUMIF(บันทึกรายเที่ยว!$T$6:$T$10005,$U289,บันทึกรายเที่ยว!$K$6:$K$10005),2))</f>
        <v>0</v>
      </c>
      <c r="AH289">
        <f>IF($U289="",0,ROUND(SUMIF(บันทึกรายเที่ยว!$T$6:$T$10005,$U289,บันทึกรายเที่ยว!$M$6:$M$10005),2))</f>
        <v>0</v>
      </c>
    </row>
    <row r="290" spans="1:34" ht="21" customHeight="1" x14ac:dyDescent="0.95">
      <c r="A290" s="3" t="str">
        <f t="shared" si="56"/>
        <v/>
      </c>
      <c r="B290" s="3" t="str">
        <f t="shared" si="57"/>
        <v/>
      </c>
      <c r="C290" s="8" t="str">
        <f t="shared" si="58"/>
        <v/>
      </c>
      <c r="D290" s="31" t="str">
        <f t="shared" si="59"/>
        <v/>
      </c>
      <c r="E290" s="32" t="str">
        <f>IF(283=$AD$1+3,"ขอแสดงความนับถือ",IF(283=$AD$1+6,"(                 )",IF(283=$AD$1+7,"เจ้าหน้าที่ขนส่ง",IF($AB290="G",SUM($AF$8:$AF$407),IF(OR($AB290="",$AB290="R"),"",IF($AB290="D",INDEX($AF$8:$AF$407,$AA290),SUMIF($T$8:$T$407,INDEX($T$8:$T$407,$AA290),$AF$8:$AF$407)))))))</f>
        <v/>
      </c>
      <c r="F290" s="32" t="str">
        <f t="shared" si="60"/>
        <v/>
      </c>
      <c r="G290" s="32" t="str">
        <f t="shared" si="61"/>
        <v/>
      </c>
      <c r="H290" s="32" t="str">
        <f t="shared" si="62"/>
        <v/>
      </c>
      <c r="J290" t="str">
        <f>IFERROR(MATCH(283,บันทึกรายเที่ยว!$W$6:$W$10005,0),"")</f>
        <v/>
      </c>
      <c r="K290" t="str">
        <f>IF($J290="","",INDEX(บันทึกรายเที่ยว!$T$6:$T$10005,$J290))</f>
        <v/>
      </c>
      <c r="L290" t="str">
        <f>IF($J290="","",INDEX(บันทึกรายเที่ยว!$S$6:$S$10005,$J290))</f>
        <v/>
      </c>
      <c r="M290" t="str">
        <f>IF($J290="","",INDEX(บันทึกรายเที่ยว!$R$6:$R$10005,$J290))</f>
        <v/>
      </c>
      <c r="N290" t="str">
        <f>IF($J290="","",MATCH($M290,บันทึกรายเที่ยว!$R$6:$R$10005,0))</f>
        <v/>
      </c>
      <c r="O290" t="str">
        <f>IF($J290="","",MATCH($L290,บันทึกรายเที่ยว!$S$6:$S$10005,0))</f>
        <v/>
      </c>
      <c r="P290" t="str">
        <f>IF($J290="","",IF(AND(OR($I$3="(ทั้งหมด)",INDEX(บันทึกรายเที่ยว!$C$6:$C$10005,$J290)=$I$3),OR($I$5="(ทั้งหมด)",INDEX(บันทึกรายเที่ยว!$D$6:$D$10005,$J290)=$I$5),OR($I$7="(ทั้งหมด)",INDEX(บันทึกรายเที่ยว!$F$6:$F$10005,$J290)=$I$7)),$N290*10000000+$O290*1000+283,""))</f>
        <v/>
      </c>
      <c r="Q290" t="str">
        <f>IFERROR(MATCH(SMALL($P$8:$P$407,283),$P$8:$P$407,0),"")</f>
        <v/>
      </c>
      <c r="R290" t="str">
        <f t="shared" si="63"/>
        <v/>
      </c>
      <c r="S290" t="str">
        <f t="shared" si="64"/>
        <v/>
      </c>
      <c r="T290" t="str">
        <f t="shared" si="65"/>
        <v/>
      </c>
      <c r="U290" t="str">
        <f t="shared" si="66"/>
        <v/>
      </c>
      <c r="V290">
        <f t="shared" si="68"/>
        <v>0</v>
      </c>
      <c r="W290">
        <f t="shared" si="69"/>
        <v>0</v>
      </c>
      <c r="X290">
        <f>IF($Q290="",99999+283,$X289+1+$V289+$W289)</f>
        <v>100282</v>
      </c>
      <c r="Y290" t="str">
        <f>IF($Q290="","",INDEX(บันทึกรายเที่ยว!$Q$6:$Q$10005,$R290))</f>
        <v/>
      </c>
      <c r="Z290" t="str">
        <f>IF($Q290="","",INDEX(บันทึกรายเที่ยว!$F$6:$F$10005,$R290))</f>
        <v/>
      </c>
      <c r="AA290" t="str">
        <f>IFERROR(MATCH(283,$X$8:$X$407,1),"")</f>
        <v/>
      </c>
      <c r="AB290" t="str">
        <f>IF(283=$AD$1+1,"G",IF($AA290="","",IF(INDEX($Q$8:$Q$407,$AA290)="","",IF(283&gt;INDEX($X$8:$X$407,$AA290)+INDEX($V$8:$V$407,$AA290)+INDEX($W$8:$W$407,$AA290),"",IF(283=INDEX($X$8:$X$407,$AA290)+INDEX($V$8:$V$407,$AA290)+INDEX($W$8:$W$407,$AA290),"D",IF(AND(INDEX($W$8:$W$407,$AA290)=1,283=INDEX($X$8:$X$407,$AA290)+INDEX($V$8:$V$407,$AA290)),"S","R"))))))</f>
        <v/>
      </c>
      <c r="AC290" t="str">
        <f t="shared" si="67"/>
        <v/>
      </c>
      <c r="AE290">
        <f>IF($U290="",0,COUNTIF(บันทึกรายเที่ยว!$T$6:$T$10005,$U290))</f>
        <v>0</v>
      </c>
      <c r="AF290">
        <f>IF($U290="",0,ROUND(SUMIF(บันทึกรายเที่ยว!$T$6:$T$10005,$U290,บันทึกรายเที่ยว!$J$6:$J$10005),2))</f>
        <v>0</v>
      </c>
      <c r="AG290">
        <f>IF($U290="",0,ROUND(SUMIF(บันทึกรายเที่ยว!$T$6:$T$10005,$U290,บันทึกรายเที่ยว!$K$6:$K$10005),2))</f>
        <v>0</v>
      </c>
      <c r="AH290">
        <f>IF($U290="",0,ROUND(SUMIF(บันทึกรายเที่ยว!$T$6:$T$10005,$U290,บันทึกรายเที่ยว!$M$6:$M$10005),2))</f>
        <v>0</v>
      </c>
    </row>
    <row r="291" spans="1:34" ht="21" customHeight="1" x14ac:dyDescent="0.95">
      <c r="A291" s="3" t="str">
        <f t="shared" si="56"/>
        <v/>
      </c>
      <c r="B291" s="3" t="str">
        <f t="shared" si="57"/>
        <v/>
      </c>
      <c r="C291" s="8" t="str">
        <f t="shared" si="58"/>
        <v/>
      </c>
      <c r="D291" s="31" t="str">
        <f t="shared" si="59"/>
        <v/>
      </c>
      <c r="E291" s="32" t="str">
        <f>IF(284=$AD$1+3,"ขอแสดงความนับถือ",IF(284=$AD$1+6,"(                 )",IF(284=$AD$1+7,"เจ้าหน้าที่ขนส่ง",IF($AB291="G",SUM($AF$8:$AF$407),IF(OR($AB291="",$AB291="R"),"",IF($AB291="D",INDEX($AF$8:$AF$407,$AA291),SUMIF($T$8:$T$407,INDEX($T$8:$T$407,$AA291),$AF$8:$AF$407)))))))</f>
        <v/>
      </c>
      <c r="F291" s="32" t="str">
        <f t="shared" si="60"/>
        <v/>
      </c>
      <c r="G291" s="32" t="str">
        <f t="shared" si="61"/>
        <v/>
      </c>
      <c r="H291" s="32" t="str">
        <f t="shared" si="62"/>
        <v/>
      </c>
      <c r="J291" t="str">
        <f>IFERROR(MATCH(284,บันทึกรายเที่ยว!$W$6:$W$10005,0),"")</f>
        <v/>
      </c>
      <c r="K291" t="str">
        <f>IF($J291="","",INDEX(บันทึกรายเที่ยว!$T$6:$T$10005,$J291))</f>
        <v/>
      </c>
      <c r="L291" t="str">
        <f>IF($J291="","",INDEX(บันทึกรายเที่ยว!$S$6:$S$10005,$J291))</f>
        <v/>
      </c>
      <c r="M291" t="str">
        <f>IF($J291="","",INDEX(บันทึกรายเที่ยว!$R$6:$R$10005,$J291))</f>
        <v/>
      </c>
      <c r="N291" t="str">
        <f>IF($J291="","",MATCH($M291,บันทึกรายเที่ยว!$R$6:$R$10005,0))</f>
        <v/>
      </c>
      <c r="O291" t="str">
        <f>IF($J291="","",MATCH($L291,บันทึกรายเที่ยว!$S$6:$S$10005,0))</f>
        <v/>
      </c>
      <c r="P291" t="str">
        <f>IF($J291="","",IF(AND(OR($I$3="(ทั้งหมด)",INDEX(บันทึกรายเที่ยว!$C$6:$C$10005,$J291)=$I$3),OR($I$5="(ทั้งหมด)",INDEX(บันทึกรายเที่ยว!$D$6:$D$10005,$J291)=$I$5),OR($I$7="(ทั้งหมด)",INDEX(บันทึกรายเที่ยว!$F$6:$F$10005,$J291)=$I$7)),$N291*10000000+$O291*1000+284,""))</f>
        <v/>
      </c>
      <c r="Q291" t="str">
        <f>IFERROR(MATCH(SMALL($P$8:$P$407,284),$P$8:$P$407,0),"")</f>
        <v/>
      </c>
      <c r="R291" t="str">
        <f t="shared" si="63"/>
        <v/>
      </c>
      <c r="S291" t="str">
        <f t="shared" si="64"/>
        <v/>
      </c>
      <c r="T291" t="str">
        <f t="shared" si="65"/>
        <v/>
      </c>
      <c r="U291" t="str">
        <f t="shared" si="66"/>
        <v/>
      </c>
      <c r="V291">
        <f t="shared" si="68"/>
        <v>0</v>
      </c>
      <c r="W291">
        <f t="shared" si="69"/>
        <v>0</v>
      </c>
      <c r="X291">
        <f>IF($Q291="",99999+284,$X290+1+$V290+$W290)</f>
        <v>100283</v>
      </c>
      <c r="Y291" t="str">
        <f>IF($Q291="","",INDEX(บันทึกรายเที่ยว!$Q$6:$Q$10005,$R291))</f>
        <v/>
      </c>
      <c r="Z291" t="str">
        <f>IF($Q291="","",INDEX(บันทึกรายเที่ยว!$F$6:$F$10005,$R291))</f>
        <v/>
      </c>
      <c r="AA291" t="str">
        <f>IFERROR(MATCH(284,$X$8:$X$407,1),"")</f>
        <v/>
      </c>
      <c r="AB291" t="str">
        <f>IF(284=$AD$1+1,"G",IF($AA291="","",IF(INDEX($Q$8:$Q$407,$AA291)="","",IF(284&gt;INDEX($X$8:$X$407,$AA291)+INDEX($V$8:$V$407,$AA291)+INDEX($W$8:$W$407,$AA291),"",IF(284=INDEX($X$8:$X$407,$AA291)+INDEX($V$8:$V$407,$AA291)+INDEX($W$8:$W$407,$AA291),"D",IF(AND(INDEX($W$8:$W$407,$AA291)=1,284=INDEX($X$8:$X$407,$AA291)+INDEX($V$8:$V$407,$AA291)),"S","R"))))))</f>
        <v/>
      </c>
      <c r="AC291" t="str">
        <f t="shared" si="67"/>
        <v/>
      </c>
      <c r="AE291">
        <f>IF($U291="",0,COUNTIF(บันทึกรายเที่ยว!$T$6:$T$10005,$U291))</f>
        <v>0</v>
      </c>
      <c r="AF291">
        <f>IF($U291="",0,ROUND(SUMIF(บันทึกรายเที่ยว!$T$6:$T$10005,$U291,บันทึกรายเที่ยว!$J$6:$J$10005),2))</f>
        <v>0</v>
      </c>
      <c r="AG291">
        <f>IF($U291="",0,ROUND(SUMIF(บันทึกรายเที่ยว!$T$6:$T$10005,$U291,บันทึกรายเที่ยว!$K$6:$K$10005),2))</f>
        <v>0</v>
      </c>
      <c r="AH291">
        <f>IF($U291="",0,ROUND(SUMIF(บันทึกรายเที่ยว!$T$6:$T$10005,$U291,บันทึกรายเที่ยว!$M$6:$M$10005),2))</f>
        <v>0</v>
      </c>
    </row>
    <row r="292" spans="1:34" ht="21" customHeight="1" x14ac:dyDescent="0.95">
      <c r="A292" s="3" t="str">
        <f t="shared" si="56"/>
        <v/>
      </c>
      <c r="B292" s="3" t="str">
        <f t="shared" si="57"/>
        <v/>
      </c>
      <c r="C292" s="8" t="str">
        <f t="shared" si="58"/>
        <v/>
      </c>
      <c r="D292" s="31" t="str">
        <f t="shared" si="59"/>
        <v/>
      </c>
      <c r="E292" s="32" t="str">
        <f>IF(285=$AD$1+3,"ขอแสดงความนับถือ",IF(285=$AD$1+6,"(                 )",IF(285=$AD$1+7,"เจ้าหน้าที่ขนส่ง",IF($AB292="G",SUM($AF$8:$AF$407),IF(OR($AB292="",$AB292="R"),"",IF($AB292="D",INDEX($AF$8:$AF$407,$AA292),SUMIF($T$8:$T$407,INDEX($T$8:$T$407,$AA292),$AF$8:$AF$407)))))))</f>
        <v/>
      </c>
      <c r="F292" s="32" t="str">
        <f t="shared" si="60"/>
        <v/>
      </c>
      <c r="G292" s="32" t="str">
        <f t="shared" si="61"/>
        <v/>
      </c>
      <c r="H292" s="32" t="str">
        <f t="shared" si="62"/>
        <v/>
      </c>
      <c r="J292" t="str">
        <f>IFERROR(MATCH(285,บันทึกรายเที่ยว!$W$6:$W$10005,0),"")</f>
        <v/>
      </c>
      <c r="K292" t="str">
        <f>IF($J292="","",INDEX(บันทึกรายเที่ยว!$T$6:$T$10005,$J292))</f>
        <v/>
      </c>
      <c r="L292" t="str">
        <f>IF($J292="","",INDEX(บันทึกรายเที่ยว!$S$6:$S$10005,$J292))</f>
        <v/>
      </c>
      <c r="M292" t="str">
        <f>IF($J292="","",INDEX(บันทึกรายเที่ยว!$R$6:$R$10005,$J292))</f>
        <v/>
      </c>
      <c r="N292" t="str">
        <f>IF($J292="","",MATCH($M292,บันทึกรายเที่ยว!$R$6:$R$10005,0))</f>
        <v/>
      </c>
      <c r="O292" t="str">
        <f>IF($J292="","",MATCH($L292,บันทึกรายเที่ยว!$S$6:$S$10005,0))</f>
        <v/>
      </c>
      <c r="P292" t="str">
        <f>IF($J292="","",IF(AND(OR($I$3="(ทั้งหมด)",INDEX(บันทึกรายเที่ยว!$C$6:$C$10005,$J292)=$I$3),OR($I$5="(ทั้งหมด)",INDEX(บันทึกรายเที่ยว!$D$6:$D$10005,$J292)=$I$5),OR($I$7="(ทั้งหมด)",INDEX(บันทึกรายเที่ยว!$F$6:$F$10005,$J292)=$I$7)),$N292*10000000+$O292*1000+285,""))</f>
        <v/>
      </c>
      <c r="Q292" t="str">
        <f>IFERROR(MATCH(SMALL($P$8:$P$407,285),$P$8:$P$407,0),"")</f>
        <v/>
      </c>
      <c r="R292" t="str">
        <f t="shared" si="63"/>
        <v/>
      </c>
      <c r="S292" t="str">
        <f t="shared" si="64"/>
        <v/>
      </c>
      <c r="T292" t="str">
        <f t="shared" si="65"/>
        <v/>
      </c>
      <c r="U292" t="str">
        <f t="shared" si="66"/>
        <v/>
      </c>
      <c r="V292">
        <f t="shared" si="68"/>
        <v>0</v>
      </c>
      <c r="W292">
        <f t="shared" si="69"/>
        <v>0</v>
      </c>
      <c r="X292">
        <f>IF($Q292="",99999+285,$X291+1+$V291+$W291)</f>
        <v>100284</v>
      </c>
      <c r="Y292" t="str">
        <f>IF($Q292="","",INDEX(บันทึกรายเที่ยว!$Q$6:$Q$10005,$R292))</f>
        <v/>
      </c>
      <c r="Z292" t="str">
        <f>IF($Q292="","",INDEX(บันทึกรายเที่ยว!$F$6:$F$10005,$R292))</f>
        <v/>
      </c>
      <c r="AA292" t="str">
        <f>IFERROR(MATCH(285,$X$8:$X$407,1),"")</f>
        <v/>
      </c>
      <c r="AB292" t="str">
        <f>IF(285=$AD$1+1,"G",IF($AA292="","",IF(INDEX($Q$8:$Q$407,$AA292)="","",IF(285&gt;INDEX($X$8:$X$407,$AA292)+INDEX($V$8:$V$407,$AA292)+INDEX($W$8:$W$407,$AA292),"",IF(285=INDEX($X$8:$X$407,$AA292)+INDEX($V$8:$V$407,$AA292)+INDEX($W$8:$W$407,$AA292),"D",IF(AND(INDEX($W$8:$W$407,$AA292)=1,285=INDEX($X$8:$X$407,$AA292)+INDEX($V$8:$V$407,$AA292)),"S","R"))))))</f>
        <v/>
      </c>
      <c r="AC292" t="str">
        <f t="shared" si="67"/>
        <v/>
      </c>
      <c r="AE292">
        <f>IF($U292="",0,COUNTIF(บันทึกรายเที่ยว!$T$6:$T$10005,$U292))</f>
        <v>0</v>
      </c>
      <c r="AF292">
        <f>IF($U292="",0,ROUND(SUMIF(บันทึกรายเที่ยว!$T$6:$T$10005,$U292,บันทึกรายเที่ยว!$J$6:$J$10005),2))</f>
        <v>0</v>
      </c>
      <c r="AG292">
        <f>IF($U292="",0,ROUND(SUMIF(บันทึกรายเที่ยว!$T$6:$T$10005,$U292,บันทึกรายเที่ยว!$K$6:$K$10005),2))</f>
        <v>0</v>
      </c>
      <c r="AH292">
        <f>IF($U292="",0,ROUND(SUMIF(บันทึกรายเที่ยว!$T$6:$T$10005,$U292,บันทึกรายเที่ยว!$M$6:$M$10005),2))</f>
        <v>0</v>
      </c>
    </row>
    <row r="293" spans="1:34" ht="21" customHeight="1" x14ac:dyDescent="0.95">
      <c r="A293" s="3" t="str">
        <f t="shared" si="56"/>
        <v/>
      </c>
      <c r="B293" s="3" t="str">
        <f t="shared" si="57"/>
        <v/>
      </c>
      <c r="C293" s="8" t="str">
        <f t="shared" si="58"/>
        <v/>
      </c>
      <c r="D293" s="31" t="str">
        <f t="shared" si="59"/>
        <v/>
      </c>
      <c r="E293" s="32" t="str">
        <f>IF(286=$AD$1+3,"ขอแสดงความนับถือ",IF(286=$AD$1+6,"(                 )",IF(286=$AD$1+7,"เจ้าหน้าที่ขนส่ง",IF($AB293="G",SUM($AF$8:$AF$407),IF(OR($AB293="",$AB293="R"),"",IF($AB293="D",INDEX($AF$8:$AF$407,$AA293),SUMIF($T$8:$T$407,INDEX($T$8:$T$407,$AA293),$AF$8:$AF$407)))))))</f>
        <v/>
      </c>
      <c r="F293" s="32" t="str">
        <f t="shared" si="60"/>
        <v/>
      </c>
      <c r="G293" s="32" t="str">
        <f t="shared" si="61"/>
        <v/>
      </c>
      <c r="H293" s="32" t="str">
        <f t="shared" si="62"/>
        <v/>
      </c>
      <c r="J293" t="str">
        <f>IFERROR(MATCH(286,บันทึกรายเที่ยว!$W$6:$W$10005,0),"")</f>
        <v/>
      </c>
      <c r="K293" t="str">
        <f>IF($J293="","",INDEX(บันทึกรายเที่ยว!$T$6:$T$10005,$J293))</f>
        <v/>
      </c>
      <c r="L293" t="str">
        <f>IF($J293="","",INDEX(บันทึกรายเที่ยว!$S$6:$S$10005,$J293))</f>
        <v/>
      </c>
      <c r="M293" t="str">
        <f>IF($J293="","",INDEX(บันทึกรายเที่ยว!$R$6:$R$10005,$J293))</f>
        <v/>
      </c>
      <c r="N293" t="str">
        <f>IF($J293="","",MATCH($M293,บันทึกรายเที่ยว!$R$6:$R$10005,0))</f>
        <v/>
      </c>
      <c r="O293" t="str">
        <f>IF($J293="","",MATCH($L293,บันทึกรายเที่ยว!$S$6:$S$10005,0))</f>
        <v/>
      </c>
      <c r="P293" t="str">
        <f>IF($J293="","",IF(AND(OR($I$3="(ทั้งหมด)",INDEX(บันทึกรายเที่ยว!$C$6:$C$10005,$J293)=$I$3),OR($I$5="(ทั้งหมด)",INDEX(บันทึกรายเที่ยว!$D$6:$D$10005,$J293)=$I$5),OR($I$7="(ทั้งหมด)",INDEX(บันทึกรายเที่ยว!$F$6:$F$10005,$J293)=$I$7)),$N293*10000000+$O293*1000+286,""))</f>
        <v/>
      </c>
      <c r="Q293" t="str">
        <f>IFERROR(MATCH(SMALL($P$8:$P$407,286),$P$8:$P$407,0),"")</f>
        <v/>
      </c>
      <c r="R293" t="str">
        <f t="shared" si="63"/>
        <v/>
      </c>
      <c r="S293" t="str">
        <f t="shared" si="64"/>
        <v/>
      </c>
      <c r="T293" t="str">
        <f t="shared" si="65"/>
        <v/>
      </c>
      <c r="U293" t="str">
        <f t="shared" si="66"/>
        <v/>
      </c>
      <c r="V293">
        <f t="shared" si="68"/>
        <v>0</v>
      </c>
      <c r="W293">
        <f t="shared" si="69"/>
        <v>0</v>
      </c>
      <c r="X293">
        <f>IF($Q293="",99999+286,$X292+1+$V292+$W292)</f>
        <v>100285</v>
      </c>
      <c r="Y293" t="str">
        <f>IF($Q293="","",INDEX(บันทึกรายเที่ยว!$Q$6:$Q$10005,$R293))</f>
        <v/>
      </c>
      <c r="Z293" t="str">
        <f>IF($Q293="","",INDEX(บันทึกรายเที่ยว!$F$6:$F$10005,$R293))</f>
        <v/>
      </c>
      <c r="AA293" t="str">
        <f>IFERROR(MATCH(286,$X$8:$X$407,1),"")</f>
        <v/>
      </c>
      <c r="AB293" t="str">
        <f>IF(286=$AD$1+1,"G",IF($AA293="","",IF(INDEX($Q$8:$Q$407,$AA293)="","",IF(286&gt;INDEX($X$8:$X$407,$AA293)+INDEX($V$8:$V$407,$AA293)+INDEX($W$8:$W$407,$AA293),"",IF(286=INDEX($X$8:$X$407,$AA293)+INDEX($V$8:$V$407,$AA293)+INDEX($W$8:$W$407,$AA293),"D",IF(AND(INDEX($W$8:$W$407,$AA293)=1,286=INDEX($X$8:$X$407,$AA293)+INDEX($V$8:$V$407,$AA293)),"S","R"))))))</f>
        <v/>
      </c>
      <c r="AC293" t="str">
        <f t="shared" si="67"/>
        <v/>
      </c>
      <c r="AE293">
        <f>IF($U293="",0,COUNTIF(บันทึกรายเที่ยว!$T$6:$T$10005,$U293))</f>
        <v>0</v>
      </c>
      <c r="AF293">
        <f>IF($U293="",0,ROUND(SUMIF(บันทึกรายเที่ยว!$T$6:$T$10005,$U293,บันทึกรายเที่ยว!$J$6:$J$10005),2))</f>
        <v>0</v>
      </c>
      <c r="AG293">
        <f>IF($U293="",0,ROUND(SUMIF(บันทึกรายเที่ยว!$T$6:$T$10005,$U293,บันทึกรายเที่ยว!$K$6:$K$10005),2))</f>
        <v>0</v>
      </c>
      <c r="AH293">
        <f>IF($U293="",0,ROUND(SUMIF(บันทึกรายเที่ยว!$T$6:$T$10005,$U293,บันทึกรายเที่ยว!$M$6:$M$10005),2))</f>
        <v>0</v>
      </c>
    </row>
    <row r="294" spans="1:34" ht="21" customHeight="1" x14ac:dyDescent="0.95">
      <c r="A294" s="3" t="str">
        <f t="shared" si="56"/>
        <v/>
      </c>
      <c r="B294" s="3" t="str">
        <f t="shared" si="57"/>
        <v/>
      </c>
      <c r="C294" s="8" t="str">
        <f t="shared" si="58"/>
        <v/>
      </c>
      <c r="D294" s="31" t="str">
        <f t="shared" si="59"/>
        <v/>
      </c>
      <c r="E294" s="32" t="str">
        <f>IF(287=$AD$1+3,"ขอแสดงความนับถือ",IF(287=$AD$1+6,"(                 )",IF(287=$AD$1+7,"เจ้าหน้าที่ขนส่ง",IF($AB294="G",SUM($AF$8:$AF$407),IF(OR($AB294="",$AB294="R"),"",IF($AB294="D",INDEX($AF$8:$AF$407,$AA294),SUMIF($T$8:$T$407,INDEX($T$8:$T$407,$AA294),$AF$8:$AF$407)))))))</f>
        <v/>
      </c>
      <c r="F294" s="32" t="str">
        <f t="shared" si="60"/>
        <v/>
      </c>
      <c r="G294" s="32" t="str">
        <f t="shared" si="61"/>
        <v/>
      </c>
      <c r="H294" s="32" t="str">
        <f t="shared" si="62"/>
        <v/>
      </c>
      <c r="J294" t="str">
        <f>IFERROR(MATCH(287,บันทึกรายเที่ยว!$W$6:$W$10005,0),"")</f>
        <v/>
      </c>
      <c r="K294" t="str">
        <f>IF($J294="","",INDEX(บันทึกรายเที่ยว!$T$6:$T$10005,$J294))</f>
        <v/>
      </c>
      <c r="L294" t="str">
        <f>IF($J294="","",INDEX(บันทึกรายเที่ยว!$S$6:$S$10005,$J294))</f>
        <v/>
      </c>
      <c r="M294" t="str">
        <f>IF($J294="","",INDEX(บันทึกรายเที่ยว!$R$6:$R$10005,$J294))</f>
        <v/>
      </c>
      <c r="N294" t="str">
        <f>IF($J294="","",MATCH($M294,บันทึกรายเที่ยว!$R$6:$R$10005,0))</f>
        <v/>
      </c>
      <c r="O294" t="str">
        <f>IF($J294="","",MATCH($L294,บันทึกรายเที่ยว!$S$6:$S$10005,0))</f>
        <v/>
      </c>
      <c r="P294" t="str">
        <f>IF($J294="","",IF(AND(OR($I$3="(ทั้งหมด)",INDEX(บันทึกรายเที่ยว!$C$6:$C$10005,$J294)=$I$3),OR($I$5="(ทั้งหมด)",INDEX(บันทึกรายเที่ยว!$D$6:$D$10005,$J294)=$I$5),OR($I$7="(ทั้งหมด)",INDEX(บันทึกรายเที่ยว!$F$6:$F$10005,$J294)=$I$7)),$N294*10000000+$O294*1000+287,""))</f>
        <v/>
      </c>
      <c r="Q294" t="str">
        <f>IFERROR(MATCH(SMALL($P$8:$P$407,287),$P$8:$P$407,0),"")</f>
        <v/>
      </c>
      <c r="R294" t="str">
        <f t="shared" si="63"/>
        <v/>
      </c>
      <c r="S294" t="str">
        <f t="shared" si="64"/>
        <v/>
      </c>
      <c r="T294" t="str">
        <f t="shared" si="65"/>
        <v/>
      </c>
      <c r="U294" t="str">
        <f t="shared" si="66"/>
        <v/>
      </c>
      <c r="V294">
        <f t="shared" si="68"/>
        <v>0</v>
      </c>
      <c r="W294">
        <f t="shared" si="69"/>
        <v>0</v>
      </c>
      <c r="X294">
        <f>IF($Q294="",99999+287,$X293+1+$V293+$W293)</f>
        <v>100286</v>
      </c>
      <c r="Y294" t="str">
        <f>IF($Q294="","",INDEX(บันทึกรายเที่ยว!$Q$6:$Q$10005,$R294))</f>
        <v/>
      </c>
      <c r="Z294" t="str">
        <f>IF($Q294="","",INDEX(บันทึกรายเที่ยว!$F$6:$F$10005,$R294))</f>
        <v/>
      </c>
      <c r="AA294" t="str">
        <f>IFERROR(MATCH(287,$X$8:$X$407,1),"")</f>
        <v/>
      </c>
      <c r="AB294" t="str">
        <f>IF(287=$AD$1+1,"G",IF($AA294="","",IF(INDEX($Q$8:$Q$407,$AA294)="","",IF(287&gt;INDEX($X$8:$X$407,$AA294)+INDEX($V$8:$V$407,$AA294)+INDEX($W$8:$W$407,$AA294),"",IF(287=INDEX($X$8:$X$407,$AA294)+INDEX($V$8:$V$407,$AA294)+INDEX($W$8:$W$407,$AA294),"D",IF(AND(INDEX($W$8:$W$407,$AA294)=1,287=INDEX($X$8:$X$407,$AA294)+INDEX($V$8:$V$407,$AA294)),"S","R"))))))</f>
        <v/>
      </c>
      <c r="AC294" t="str">
        <f t="shared" si="67"/>
        <v/>
      </c>
      <c r="AE294">
        <f>IF($U294="",0,COUNTIF(บันทึกรายเที่ยว!$T$6:$T$10005,$U294))</f>
        <v>0</v>
      </c>
      <c r="AF294">
        <f>IF($U294="",0,ROUND(SUMIF(บันทึกรายเที่ยว!$T$6:$T$10005,$U294,บันทึกรายเที่ยว!$J$6:$J$10005),2))</f>
        <v>0</v>
      </c>
      <c r="AG294">
        <f>IF($U294="",0,ROUND(SUMIF(บันทึกรายเที่ยว!$T$6:$T$10005,$U294,บันทึกรายเที่ยว!$K$6:$K$10005),2))</f>
        <v>0</v>
      </c>
      <c r="AH294">
        <f>IF($U294="",0,ROUND(SUMIF(บันทึกรายเที่ยว!$T$6:$T$10005,$U294,บันทึกรายเที่ยว!$M$6:$M$10005),2))</f>
        <v>0</v>
      </c>
    </row>
    <row r="295" spans="1:34" ht="21" customHeight="1" x14ac:dyDescent="0.95">
      <c r="A295" s="3" t="str">
        <f t="shared" si="56"/>
        <v/>
      </c>
      <c r="B295" s="3" t="str">
        <f t="shared" si="57"/>
        <v/>
      </c>
      <c r="C295" s="8" t="str">
        <f t="shared" si="58"/>
        <v/>
      </c>
      <c r="D295" s="31" t="str">
        <f t="shared" si="59"/>
        <v/>
      </c>
      <c r="E295" s="32" t="str">
        <f>IF(288=$AD$1+3,"ขอแสดงความนับถือ",IF(288=$AD$1+6,"(                 )",IF(288=$AD$1+7,"เจ้าหน้าที่ขนส่ง",IF($AB295="G",SUM($AF$8:$AF$407),IF(OR($AB295="",$AB295="R"),"",IF($AB295="D",INDEX($AF$8:$AF$407,$AA295),SUMIF($T$8:$T$407,INDEX($T$8:$T$407,$AA295),$AF$8:$AF$407)))))))</f>
        <v/>
      </c>
      <c r="F295" s="32" t="str">
        <f t="shared" si="60"/>
        <v/>
      </c>
      <c r="G295" s="32" t="str">
        <f t="shared" si="61"/>
        <v/>
      </c>
      <c r="H295" s="32" t="str">
        <f t="shared" si="62"/>
        <v/>
      </c>
      <c r="J295" t="str">
        <f>IFERROR(MATCH(288,บันทึกรายเที่ยว!$W$6:$W$10005,0),"")</f>
        <v/>
      </c>
      <c r="K295" t="str">
        <f>IF($J295="","",INDEX(บันทึกรายเที่ยว!$T$6:$T$10005,$J295))</f>
        <v/>
      </c>
      <c r="L295" t="str">
        <f>IF($J295="","",INDEX(บันทึกรายเที่ยว!$S$6:$S$10005,$J295))</f>
        <v/>
      </c>
      <c r="M295" t="str">
        <f>IF($J295="","",INDEX(บันทึกรายเที่ยว!$R$6:$R$10005,$J295))</f>
        <v/>
      </c>
      <c r="N295" t="str">
        <f>IF($J295="","",MATCH($M295,บันทึกรายเที่ยว!$R$6:$R$10005,0))</f>
        <v/>
      </c>
      <c r="O295" t="str">
        <f>IF($J295="","",MATCH($L295,บันทึกรายเที่ยว!$S$6:$S$10005,0))</f>
        <v/>
      </c>
      <c r="P295" t="str">
        <f>IF($J295="","",IF(AND(OR($I$3="(ทั้งหมด)",INDEX(บันทึกรายเที่ยว!$C$6:$C$10005,$J295)=$I$3),OR($I$5="(ทั้งหมด)",INDEX(บันทึกรายเที่ยว!$D$6:$D$10005,$J295)=$I$5),OR($I$7="(ทั้งหมด)",INDEX(บันทึกรายเที่ยว!$F$6:$F$10005,$J295)=$I$7)),$N295*10000000+$O295*1000+288,""))</f>
        <v/>
      </c>
      <c r="Q295" t="str">
        <f>IFERROR(MATCH(SMALL($P$8:$P$407,288),$P$8:$P$407,0),"")</f>
        <v/>
      </c>
      <c r="R295" t="str">
        <f t="shared" si="63"/>
        <v/>
      </c>
      <c r="S295" t="str">
        <f t="shared" si="64"/>
        <v/>
      </c>
      <c r="T295" t="str">
        <f t="shared" si="65"/>
        <v/>
      </c>
      <c r="U295" t="str">
        <f t="shared" si="66"/>
        <v/>
      </c>
      <c r="V295">
        <f t="shared" si="68"/>
        <v>0</v>
      </c>
      <c r="W295">
        <f t="shared" si="69"/>
        <v>0</v>
      </c>
      <c r="X295">
        <f>IF($Q295="",99999+288,$X294+1+$V294+$W294)</f>
        <v>100287</v>
      </c>
      <c r="Y295" t="str">
        <f>IF($Q295="","",INDEX(บันทึกรายเที่ยว!$Q$6:$Q$10005,$R295))</f>
        <v/>
      </c>
      <c r="Z295" t="str">
        <f>IF($Q295="","",INDEX(บันทึกรายเที่ยว!$F$6:$F$10005,$R295))</f>
        <v/>
      </c>
      <c r="AA295" t="str">
        <f>IFERROR(MATCH(288,$X$8:$X$407,1),"")</f>
        <v/>
      </c>
      <c r="AB295" t="str">
        <f>IF(288=$AD$1+1,"G",IF($AA295="","",IF(INDEX($Q$8:$Q$407,$AA295)="","",IF(288&gt;INDEX($X$8:$X$407,$AA295)+INDEX($V$8:$V$407,$AA295)+INDEX($W$8:$W$407,$AA295),"",IF(288=INDEX($X$8:$X$407,$AA295)+INDEX($V$8:$V$407,$AA295)+INDEX($W$8:$W$407,$AA295),"D",IF(AND(INDEX($W$8:$W$407,$AA295)=1,288=INDEX($X$8:$X$407,$AA295)+INDEX($V$8:$V$407,$AA295)),"S","R"))))))</f>
        <v/>
      </c>
      <c r="AC295" t="str">
        <f t="shared" si="67"/>
        <v/>
      </c>
      <c r="AE295">
        <f>IF($U295="",0,COUNTIF(บันทึกรายเที่ยว!$T$6:$T$10005,$U295))</f>
        <v>0</v>
      </c>
      <c r="AF295">
        <f>IF($U295="",0,ROUND(SUMIF(บันทึกรายเที่ยว!$T$6:$T$10005,$U295,บันทึกรายเที่ยว!$J$6:$J$10005),2))</f>
        <v>0</v>
      </c>
      <c r="AG295">
        <f>IF($U295="",0,ROUND(SUMIF(บันทึกรายเที่ยว!$T$6:$T$10005,$U295,บันทึกรายเที่ยว!$K$6:$K$10005),2))</f>
        <v>0</v>
      </c>
      <c r="AH295">
        <f>IF($U295="",0,ROUND(SUMIF(บันทึกรายเที่ยว!$T$6:$T$10005,$U295,บันทึกรายเที่ยว!$M$6:$M$10005),2))</f>
        <v>0</v>
      </c>
    </row>
    <row r="296" spans="1:34" ht="21" customHeight="1" x14ac:dyDescent="0.95">
      <c r="A296" s="3" t="str">
        <f t="shared" si="56"/>
        <v/>
      </c>
      <c r="B296" s="3" t="str">
        <f t="shared" si="57"/>
        <v/>
      </c>
      <c r="C296" s="8" t="str">
        <f t="shared" si="58"/>
        <v/>
      </c>
      <c r="D296" s="31" t="str">
        <f t="shared" si="59"/>
        <v/>
      </c>
      <c r="E296" s="32" t="str">
        <f>IF(289=$AD$1+3,"ขอแสดงความนับถือ",IF(289=$AD$1+6,"(                 )",IF(289=$AD$1+7,"เจ้าหน้าที่ขนส่ง",IF($AB296="G",SUM($AF$8:$AF$407),IF(OR($AB296="",$AB296="R"),"",IF($AB296="D",INDEX($AF$8:$AF$407,$AA296),SUMIF($T$8:$T$407,INDEX($T$8:$T$407,$AA296),$AF$8:$AF$407)))))))</f>
        <v/>
      </c>
      <c r="F296" s="32" t="str">
        <f t="shared" si="60"/>
        <v/>
      </c>
      <c r="G296" s="32" t="str">
        <f t="shared" si="61"/>
        <v/>
      </c>
      <c r="H296" s="32" t="str">
        <f t="shared" si="62"/>
        <v/>
      </c>
      <c r="J296" t="str">
        <f>IFERROR(MATCH(289,บันทึกรายเที่ยว!$W$6:$W$10005,0),"")</f>
        <v/>
      </c>
      <c r="K296" t="str">
        <f>IF($J296="","",INDEX(บันทึกรายเที่ยว!$T$6:$T$10005,$J296))</f>
        <v/>
      </c>
      <c r="L296" t="str">
        <f>IF($J296="","",INDEX(บันทึกรายเที่ยว!$S$6:$S$10005,$J296))</f>
        <v/>
      </c>
      <c r="M296" t="str">
        <f>IF($J296="","",INDEX(บันทึกรายเที่ยว!$R$6:$R$10005,$J296))</f>
        <v/>
      </c>
      <c r="N296" t="str">
        <f>IF($J296="","",MATCH($M296,บันทึกรายเที่ยว!$R$6:$R$10005,0))</f>
        <v/>
      </c>
      <c r="O296" t="str">
        <f>IF($J296="","",MATCH($L296,บันทึกรายเที่ยว!$S$6:$S$10005,0))</f>
        <v/>
      </c>
      <c r="P296" t="str">
        <f>IF($J296="","",IF(AND(OR($I$3="(ทั้งหมด)",INDEX(บันทึกรายเที่ยว!$C$6:$C$10005,$J296)=$I$3),OR($I$5="(ทั้งหมด)",INDEX(บันทึกรายเที่ยว!$D$6:$D$10005,$J296)=$I$5),OR($I$7="(ทั้งหมด)",INDEX(บันทึกรายเที่ยว!$F$6:$F$10005,$J296)=$I$7)),$N296*10000000+$O296*1000+289,""))</f>
        <v/>
      </c>
      <c r="Q296" t="str">
        <f>IFERROR(MATCH(SMALL($P$8:$P$407,289),$P$8:$P$407,0),"")</f>
        <v/>
      </c>
      <c r="R296" t="str">
        <f t="shared" si="63"/>
        <v/>
      </c>
      <c r="S296" t="str">
        <f t="shared" si="64"/>
        <v/>
      </c>
      <c r="T296" t="str">
        <f t="shared" si="65"/>
        <v/>
      </c>
      <c r="U296" t="str">
        <f t="shared" si="66"/>
        <v/>
      </c>
      <c r="V296">
        <f t="shared" si="68"/>
        <v>0</v>
      </c>
      <c r="W296">
        <f t="shared" si="69"/>
        <v>0</v>
      </c>
      <c r="X296">
        <f>IF($Q296="",99999+289,$X295+1+$V295+$W295)</f>
        <v>100288</v>
      </c>
      <c r="Y296" t="str">
        <f>IF($Q296="","",INDEX(บันทึกรายเที่ยว!$Q$6:$Q$10005,$R296))</f>
        <v/>
      </c>
      <c r="Z296" t="str">
        <f>IF($Q296="","",INDEX(บันทึกรายเที่ยว!$F$6:$F$10005,$R296))</f>
        <v/>
      </c>
      <c r="AA296" t="str">
        <f>IFERROR(MATCH(289,$X$8:$X$407,1),"")</f>
        <v/>
      </c>
      <c r="AB296" t="str">
        <f>IF(289=$AD$1+1,"G",IF($AA296="","",IF(INDEX($Q$8:$Q$407,$AA296)="","",IF(289&gt;INDEX($X$8:$X$407,$AA296)+INDEX($V$8:$V$407,$AA296)+INDEX($W$8:$W$407,$AA296),"",IF(289=INDEX($X$8:$X$407,$AA296)+INDEX($V$8:$V$407,$AA296)+INDEX($W$8:$W$407,$AA296),"D",IF(AND(INDEX($W$8:$W$407,$AA296)=1,289=INDEX($X$8:$X$407,$AA296)+INDEX($V$8:$V$407,$AA296)),"S","R"))))))</f>
        <v/>
      </c>
      <c r="AC296" t="str">
        <f t="shared" si="67"/>
        <v/>
      </c>
      <c r="AE296">
        <f>IF($U296="",0,COUNTIF(บันทึกรายเที่ยว!$T$6:$T$10005,$U296))</f>
        <v>0</v>
      </c>
      <c r="AF296">
        <f>IF($U296="",0,ROUND(SUMIF(บันทึกรายเที่ยว!$T$6:$T$10005,$U296,บันทึกรายเที่ยว!$J$6:$J$10005),2))</f>
        <v>0</v>
      </c>
      <c r="AG296">
        <f>IF($U296="",0,ROUND(SUMIF(บันทึกรายเที่ยว!$T$6:$T$10005,$U296,บันทึกรายเที่ยว!$K$6:$K$10005),2))</f>
        <v>0</v>
      </c>
      <c r="AH296">
        <f>IF($U296="",0,ROUND(SUMIF(บันทึกรายเที่ยว!$T$6:$T$10005,$U296,บันทึกรายเที่ยว!$M$6:$M$10005),2))</f>
        <v>0</v>
      </c>
    </row>
    <row r="297" spans="1:34" ht="21" customHeight="1" x14ac:dyDescent="0.95">
      <c r="A297" s="3" t="str">
        <f t="shared" si="56"/>
        <v/>
      </c>
      <c r="B297" s="3" t="str">
        <f t="shared" si="57"/>
        <v/>
      </c>
      <c r="C297" s="8" t="str">
        <f t="shared" si="58"/>
        <v/>
      </c>
      <c r="D297" s="31" t="str">
        <f t="shared" si="59"/>
        <v/>
      </c>
      <c r="E297" s="32" t="str">
        <f>IF(290=$AD$1+3,"ขอแสดงความนับถือ",IF(290=$AD$1+6,"(                 )",IF(290=$AD$1+7,"เจ้าหน้าที่ขนส่ง",IF($AB297="G",SUM($AF$8:$AF$407),IF(OR($AB297="",$AB297="R"),"",IF($AB297="D",INDEX($AF$8:$AF$407,$AA297),SUMIF($T$8:$T$407,INDEX($T$8:$T$407,$AA297),$AF$8:$AF$407)))))))</f>
        <v/>
      </c>
      <c r="F297" s="32" t="str">
        <f t="shared" si="60"/>
        <v/>
      </c>
      <c r="G297" s="32" t="str">
        <f t="shared" si="61"/>
        <v/>
      </c>
      <c r="H297" s="32" t="str">
        <f t="shared" si="62"/>
        <v/>
      </c>
      <c r="J297" t="str">
        <f>IFERROR(MATCH(290,บันทึกรายเที่ยว!$W$6:$W$10005,0),"")</f>
        <v/>
      </c>
      <c r="K297" t="str">
        <f>IF($J297="","",INDEX(บันทึกรายเที่ยว!$T$6:$T$10005,$J297))</f>
        <v/>
      </c>
      <c r="L297" t="str">
        <f>IF($J297="","",INDEX(บันทึกรายเที่ยว!$S$6:$S$10005,$J297))</f>
        <v/>
      </c>
      <c r="M297" t="str">
        <f>IF($J297="","",INDEX(บันทึกรายเที่ยว!$R$6:$R$10005,$J297))</f>
        <v/>
      </c>
      <c r="N297" t="str">
        <f>IF($J297="","",MATCH($M297,บันทึกรายเที่ยว!$R$6:$R$10005,0))</f>
        <v/>
      </c>
      <c r="O297" t="str">
        <f>IF($J297="","",MATCH($L297,บันทึกรายเที่ยว!$S$6:$S$10005,0))</f>
        <v/>
      </c>
      <c r="P297" t="str">
        <f>IF($J297="","",IF(AND(OR($I$3="(ทั้งหมด)",INDEX(บันทึกรายเที่ยว!$C$6:$C$10005,$J297)=$I$3),OR($I$5="(ทั้งหมด)",INDEX(บันทึกรายเที่ยว!$D$6:$D$10005,$J297)=$I$5),OR($I$7="(ทั้งหมด)",INDEX(บันทึกรายเที่ยว!$F$6:$F$10005,$J297)=$I$7)),$N297*10000000+$O297*1000+290,""))</f>
        <v/>
      </c>
      <c r="Q297" t="str">
        <f>IFERROR(MATCH(SMALL($P$8:$P$407,290),$P$8:$P$407,0),"")</f>
        <v/>
      </c>
      <c r="R297" t="str">
        <f t="shared" si="63"/>
        <v/>
      </c>
      <c r="S297" t="str">
        <f t="shared" si="64"/>
        <v/>
      </c>
      <c r="T297" t="str">
        <f t="shared" si="65"/>
        <v/>
      </c>
      <c r="U297" t="str">
        <f t="shared" si="66"/>
        <v/>
      </c>
      <c r="V297">
        <f t="shared" si="68"/>
        <v>0</v>
      </c>
      <c r="W297">
        <f t="shared" si="69"/>
        <v>0</v>
      </c>
      <c r="X297">
        <f>IF($Q297="",99999+290,$X296+1+$V296+$W296)</f>
        <v>100289</v>
      </c>
      <c r="Y297" t="str">
        <f>IF($Q297="","",INDEX(บันทึกรายเที่ยว!$Q$6:$Q$10005,$R297))</f>
        <v/>
      </c>
      <c r="Z297" t="str">
        <f>IF($Q297="","",INDEX(บันทึกรายเที่ยว!$F$6:$F$10005,$R297))</f>
        <v/>
      </c>
      <c r="AA297" t="str">
        <f>IFERROR(MATCH(290,$X$8:$X$407,1),"")</f>
        <v/>
      </c>
      <c r="AB297" t="str">
        <f>IF(290=$AD$1+1,"G",IF($AA297="","",IF(INDEX($Q$8:$Q$407,$AA297)="","",IF(290&gt;INDEX($X$8:$X$407,$AA297)+INDEX($V$8:$V$407,$AA297)+INDEX($W$8:$W$407,$AA297),"",IF(290=INDEX($X$8:$X$407,$AA297)+INDEX($V$8:$V$407,$AA297)+INDEX($W$8:$W$407,$AA297),"D",IF(AND(INDEX($W$8:$W$407,$AA297)=1,290=INDEX($X$8:$X$407,$AA297)+INDEX($V$8:$V$407,$AA297)),"S","R"))))))</f>
        <v/>
      </c>
      <c r="AC297" t="str">
        <f t="shared" si="67"/>
        <v/>
      </c>
      <c r="AE297">
        <f>IF($U297="",0,COUNTIF(บันทึกรายเที่ยว!$T$6:$T$10005,$U297))</f>
        <v>0</v>
      </c>
      <c r="AF297">
        <f>IF($U297="",0,ROUND(SUMIF(บันทึกรายเที่ยว!$T$6:$T$10005,$U297,บันทึกรายเที่ยว!$J$6:$J$10005),2))</f>
        <v>0</v>
      </c>
      <c r="AG297">
        <f>IF($U297="",0,ROUND(SUMIF(บันทึกรายเที่ยว!$T$6:$T$10005,$U297,บันทึกรายเที่ยว!$K$6:$K$10005),2))</f>
        <v>0</v>
      </c>
      <c r="AH297">
        <f>IF($U297="",0,ROUND(SUMIF(บันทึกรายเที่ยว!$T$6:$T$10005,$U297,บันทึกรายเที่ยว!$M$6:$M$10005),2))</f>
        <v>0</v>
      </c>
    </row>
    <row r="298" spans="1:34" ht="21" customHeight="1" x14ac:dyDescent="0.95">
      <c r="A298" s="3" t="str">
        <f t="shared" si="56"/>
        <v/>
      </c>
      <c r="B298" s="3" t="str">
        <f t="shared" si="57"/>
        <v/>
      </c>
      <c r="C298" s="8" t="str">
        <f t="shared" si="58"/>
        <v/>
      </c>
      <c r="D298" s="31" t="str">
        <f t="shared" si="59"/>
        <v/>
      </c>
      <c r="E298" s="32" t="str">
        <f>IF(291=$AD$1+3,"ขอแสดงความนับถือ",IF(291=$AD$1+6,"(                 )",IF(291=$AD$1+7,"เจ้าหน้าที่ขนส่ง",IF($AB298="G",SUM($AF$8:$AF$407),IF(OR($AB298="",$AB298="R"),"",IF($AB298="D",INDEX($AF$8:$AF$407,$AA298),SUMIF($T$8:$T$407,INDEX($T$8:$T$407,$AA298),$AF$8:$AF$407)))))))</f>
        <v/>
      </c>
      <c r="F298" s="32" t="str">
        <f t="shared" si="60"/>
        <v/>
      </c>
      <c r="G298" s="32" t="str">
        <f t="shared" si="61"/>
        <v/>
      </c>
      <c r="H298" s="32" t="str">
        <f t="shared" si="62"/>
        <v/>
      </c>
      <c r="J298" t="str">
        <f>IFERROR(MATCH(291,บันทึกรายเที่ยว!$W$6:$W$10005,0),"")</f>
        <v/>
      </c>
      <c r="K298" t="str">
        <f>IF($J298="","",INDEX(บันทึกรายเที่ยว!$T$6:$T$10005,$J298))</f>
        <v/>
      </c>
      <c r="L298" t="str">
        <f>IF($J298="","",INDEX(บันทึกรายเที่ยว!$S$6:$S$10005,$J298))</f>
        <v/>
      </c>
      <c r="M298" t="str">
        <f>IF($J298="","",INDEX(บันทึกรายเที่ยว!$R$6:$R$10005,$J298))</f>
        <v/>
      </c>
      <c r="N298" t="str">
        <f>IF($J298="","",MATCH($M298,บันทึกรายเที่ยว!$R$6:$R$10005,0))</f>
        <v/>
      </c>
      <c r="O298" t="str">
        <f>IF($J298="","",MATCH($L298,บันทึกรายเที่ยว!$S$6:$S$10005,0))</f>
        <v/>
      </c>
      <c r="P298" t="str">
        <f>IF($J298="","",IF(AND(OR($I$3="(ทั้งหมด)",INDEX(บันทึกรายเที่ยว!$C$6:$C$10005,$J298)=$I$3),OR($I$5="(ทั้งหมด)",INDEX(บันทึกรายเที่ยว!$D$6:$D$10005,$J298)=$I$5),OR($I$7="(ทั้งหมด)",INDEX(บันทึกรายเที่ยว!$F$6:$F$10005,$J298)=$I$7)),$N298*10000000+$O298*1000+291,""))</f>
        <v/>
      </c>
      <c r="Q298" t="str">
        <f>IFERROR(MATCH(SMALL($P$8:$P$407,291),$P$8:$P$407,0),"")</f>
        <v/>
      </c>
      <c r="R298" t="str">
        <f t="shared" si="63"/>
        <v/>
      </c>
      <c r="S298" t="str">
        <f t="shared" si="64"/>
        <v/>
      </c>
      <c r="T298" t="str">
        <f t="shared" si="65"/>
        <v/>
      </c>
      <c r="U298" t="str">
        <f t="shared" si="66"/>
        <v/>
      </c>
      <c r="V298">
        <f t="shared" si="68"/>
        <v>0</v>
      </c>
      <c r="W298">
        <f t="shared" si="69"/>
        <v>0</v>
      </c>
      <c r="X298">
        <f>IF($Q298="",99999+291,$X297+1+$V297+$W297)</f>
        <v>100290</v>
      </c>
      <c r="Y298" t="str">
        <f>IF($Q298="","",INDEX(บันทึกรายเที่ยว!$Q$6:$Q$10005,$R298))</f>
        <v/>
      </c>
      <c r="Z298" t="str">
        <f>IF($Q298="","",INDEX(บันทึกรายเที่ยว!$F$6:$F$10005,$R298))</f>
        <v/>
      </c>
      <c r="AA298" t="str">
        <f>IFERROR(MATCH(291,$X$8:$X$407,1),"")</f>
        <v/>
      </c>
      <c r="AB298" t="str">
        <f>IF(291=$AD$1+1,"G",IF($AA298="","",IF(INDEX($Q$8:$Q$407,$AA298)="","",IF(291&gt;INDEX($X$8:$X$407,$AA298)+INDEX($V$8:$V$407,$AA298)+INDEX($W$8:$W$407,$AA298),"",IF(291=INDEX($X$8:$X$407,$AA298)+INDEX($V$8:$V$407,$AA298)+INDEX($W$8:$W$407,$AA298),"D",IF(AND(INDEX($W$8:$W$407,$AA298)=1,291=INDEX($X$8:$X$407,$AA298)+INDEX($V$8:$V$407,$AA298)),"S","R"))))))</f>
        <v/>
      </c>
      <c r="AC298" t="str">
        <f t="shared" si="67"/>
        <v/>
      </c>
      <c r="AE298">
        <f>IF($U298="",0,COUNTIF(บันทึกรายเที่ยว!$T$6:$T$10005,$U298))</f>
        <v>0</v>
      </c>
      <c r="AF298">
        <f>IF($U298="",0,ROUND(SUMIF(บันทึกรายเที่ยว!$T$6:$T$10005,$U298,บันทึกรายเที่ยว!$J$6:$J$10005),2))</f>
        <v>0</v>
      </c>
      <c r="AG298">
        <f>IF($U298="",0,ROUND(SUMIF(บันทึกรายเที่ยว!$T$6:$T$10005,$U298,บันทึกรายเที่ยว!$K$6:$K$10005),2))</f>
        <v>0</v>
      </c>
      <c r="AH298">
        <f>IF($U298="",0,ROUND(SUMIF(บันทึกรายเที่ยว!$T$6:$T$10005,$U298,บันทึกรายเที่ยว!$M$6:$M$10005),2))</f>
        <v>0</v>
      </c>
    </row>
    <row r="299" spans="1:34" ht="21" customHeight="1" x14ac:dyDescent="0.95">
      <c r="A299" s="3" t="str">
        <f t="shared" si="56"/>
        <v/>
      </c>
      <c r="B299" s="3" t="str">
        <f t="shared" si="57"/>
        <v/>
      </c>
      <c r="C299" s="8" t="str">
        <f t="shared" si="58"/>
        <v/>
      </c>
      <c r="D299" s="31" t="str">
        <f t="shared" si="59"/>
        <v/>
      </c>
      <c r="E299" s="32" t="str">
        <f>IF(292=$AD$1+3,"ขอแสดงความนับถือ",IF(292=$AD$1+6,"(                 )",IF(292=$AD$1+7,"เจ้าหน้าที่ขนส่ง",IF($AB299="G",SUM($AF$8:$AF$407),IF(OR($AB299="",$AB299="R"),"",IF($AB299="D",INDEX($AF$8:$AF$407,$AA299),SUMIF($T$8:$T$407,INDEX($T$8:$T$407,$AA299),$AF$8:$AF$407)))))))</f>
        <v/>
      </c>
      <c r="F299" s="32" t="str">
        <f t="shared" si="60"/>
        <v/>
      </c>
      <c r="G299" s="32" t="str">
        <f t="shared" si="61"/>
        <v/>
      </c>
      <c r="H299" s="32" t="str">
        <f t="shared" si="62"/>
        <v/>
      </c>
      <c r="J299" t="str">
        <f>IFERROR(MATCH(292,บันทึกรายเที่ยว!$W$6:$W$10005,0),"")</f>
        <v/>
      </c>
      <c r="K299" t="str">
        <f>IF($J299="","",INDEX(บันทึกรายเที่ยว!$T$6:$T$10005,$J299))</f>
        <v/>
      </c>
      <c r="L299" t="str">
        <f>IF($J299="","",INDEX(บันทึกรายเที่ยว!$S$6:$S$10005,$J299))</f>
        <v/>
      </c>
      <c r="M299" t="str">
        <f>IF($J299="","",INDEX(บันทึกรายเที่ยว!$R$6:$R$10005,$J299))</f>
        <v/>
      </c>
      <c r="N299" t="str">
        <f>IF($J299="","",MATCH($M299,บันทึกรายเที่ยว!$R$6:$R$10005,0))</f>
        <v/>
      </c>
      <c r="O299" t="str">
        <f>IF($J299="","",MATCH($L299,บันทึกรายเที่ยว!$S$6:$S$10005,0))</f>
        <v/>
      </c>
      <c r="P299" t="str">
        <f>IF($J299="","",IF(AND(OR($I$3="(ทั้งหมด)",INDEX(บันทึกรายเที่ยว!$C$6:$C$10005,$J299)=$I$3),OR($I$5="(ทั้งหมด)",INDEX(บันทึกรายเที่ยว!$D$6:$D$10005,$J299)=$I$5),OR($I$7="(ทั้งหมด)",INDEX(บันทึกรายเที่ยว!$F$6:$F$10005,$J299)=$I$7)),$N299*10000000+$O299*1000+292,""))</f>
        <v/>
      </c>
      <c r="Q299" t="str">
        <f>IFERROR(MATCH(SMALL($P$8:$P$407,292),$P$8:$P$407,0),"")</f>
        <v/>
      </c>
      <c r="R299" t="str">
        <f t="shared" si="63"/>
        <v/>
      </c>
      <c r="S299" t="str">
        <f t="shared" si="64"/>
        <v/>
      </c>
      <c r="T299" t="str">
        <f t="shared" si="65"/>
        <v/>
      </c>
      <c r="U299" t="str">
        <f t="shared" si="66"/>
        <v/>
      </c>
      <c r="V299">
        <f t="shared" si="68"/>
        <v>0</v>
      </c>
      <c r="W299">
        <f t="shared" si="69"/>
        <v>0</v>
      </c>
      <c r="X299">
        <f>IF($Q299="",99999+292,$X298+1+$V298+$W298)</f>
        <v>100291</v>
      </c>
      <c r="Y299" t="str">
        <f>IF($Q299="","",INDEX(บันทึกรายเที่ยว!$Q$6:$Q$10005,$R299))</f>
        <v/>
      </c>
      <c r="Z299" t="str">
        <f>IF($Q299="","",INDEX(บันทึกรายเที่ยว!$F$6:$F$10005,$R299))</f>
        <v/>
      </c>
      <c r="AA299" t="str">
        <f>IFERROR(MATCH(292,$X$8:$X$407,1),"")</f>
        <v/>
      </c>
      <c r="AB299" t="str">
        <f>IF(292=$AD$1+1,"G",IF($AA299="","",IF(INDEX($Q$8:$Q$407,$AA299)="","",IF(292&gt;INDEX($X$8:$X$407,$AA299)+INDEX($V$8:$V$407,$AA299)+INDEX($W$8:$W$407,$AA299),"",IF(292=INDEX($X$8:$X$407,$AA299)+INDEX($V$8:$V$407,$AA299)+INDEX($W$8:$W$407,$AA299),"D",IF(AND(INDEX($W$8:$W$407,$AA299)=1,292=INDEX($X$8:$X$407,$AA299)+INDEX($V$8:$V$407,$AA299)),"S","R"))))))</f>
        <v/>
      </c>
      <c r="AC299" t="str">
        <f t="shared" si="67"/>
        <v/>
      </c>
      <c r="AE299">
        <f>IF($U299="",0,COUNTIF(บันทึกรายเที่ยว!$T$6:$T$10005,$U299))</f>
        <v>0</v>
      </c>
      <c r="AF299">
        <f>IF($U299="",0,ROUND(SUMIF(บันทึกรายเที่ยว!$T$6:$T$10005,$U299,บันทึกรายเที่ยว!$J$6:$J$10005),2))</f>
        <v>0</v>
      </c>
      <c r="AG299">
        <f>IF($U299="",0,ROUND(SUMIF(บันทึกรายเที่ยว!$T$6:$T$10005,$U299,บันทึกรายเที่ยว!$K$6:$K$10005),2))</f>
        <v>0</v>
      </c>
      <c r="AH299">
        <f>IF($U299="",0,ROUND(SUMIF(บันทึกรายเที่ยว!$T$6:$T$10005,$U299,บันทึกรายเที่ยว!$M$6:$M$10005),2))</f>
        <v>0</v>
      </c>
    </row>
    <row r="300" spans="1:34" ht="21" customHeight="1" x14ac:dyDescent="0.95">
      <c r="A300" s="3" t="str">
        <f t="shared" si="56"/>
        <v/>
      </c>
      <c r="B300" s="3" t="str">
        <f t="shared" si="57"/>
        <v/>
      </c>
      <c r="C300" s="8" t="str">
        <f t="shared" si="58"/>
        <v/>
      </c>
      <c r="D300" s="31" t="str">
        <f t="shared" si="59"/>
        <v/>
      </c>
      <c r="E300" s="32" t="str">
        <f>IF(293=$AD$1+3,"ขอแสดงความนับถือ",IF(293=$AD$1+6,"(                 )",IF(293=$AD$1+7,"เจ้าหน้าที่ขนส่ง",IF($AB300="G",SUM($AF$8:$AF$407),IF(OR($AB300="",$AB300="R"),"",IF($AB300="D",INDEX($AF$8:$AF$407,$AA300),SUMIF($T$8:$T$407,INDEX($T$8:$T$407,$AA300),$AF$8:$AF$407)))))))</f>
        <v/>
      </c>
      <c r="F300" s="32" t="str">
        <f t="shared" si="60"/>
        <v/>
      </c>
      <c r="G300" s="32" t="str">
        <f t="shared" si="61"/>
        <v/>
      </c>
      <c r="H300" s="32" t="str">
        <f t="shared" si="62"/>
        <v/>
      </c>
      <c r="J300" t="str">
        <f>IFERROR(MATCH(293,บันทึกรายเที่ยว!$W$6:$W$10005,0),"")</f>
        <v/>
      </c>
      <c r="K300" t="str">
        <f>IF($J300="","",INDEX(บันทึกรายเที่ยว!$T$6:$T$10005,$J300))</f>
        <v/>
      </c>
      <c r="L300" t="str">
        <f>IF($J300="","",INDEX(บันทึกรายเที่ยว!$S$6:$S$10005,$J300))</f>
        <v/>
      </c>
      <c r="M300" t="str">
        <f>IF($J300="","",INDEX(บันทึกรายเที่ยว!$R$6:$R$10005,$J300))</f>
        <v/>
      </c>
      <c r="N300" t="str">
        <f>IF($J300="","",MATCH($M300,บันทึกรายเที่ยว!$R$6:$R$10005,0))</f>
        <v/>
      </c>
      <c r="O300" t="str">
        <f>IF($J300="","",MATCH($L300,บันทึกรายเที่ยว!$S$6:$S$10005,0))</f>
        <v/>
      </c>
      <c r="P300" t="str">
        <f>IF($J300="","",IF(AND(OR($I$3="(ทั้งหมด)",INDEX(บันทึกรายเที่ยว!$C$6:$C$10005,$J300)=$I$3),OR($I$5="(ทั้งหมด)",INDEX(บันทึกรายเที่ยว!$D$6:$D$10005,$J300)=$I$5),OR($I$7="(ทั้งหมด)",INDEX(บันทึกรายเที่ยว!$F$6:$F$10005,$J300)=$I$7)),$N300*10000000+$O300*1000+293,""))</f>
        <v/>
      </c>
      <c r="Q300" t="str">
        <f>IFERROR(MATCH(SMALL($P$8:$P$407,293),$P$8:$P$407,0),"")</f>
        <v/>
      </c>
      <c r="R300" t="str">
        <f t="shared" si="63"/>
        <v/>
      </c>
      <c r="S300" t="str">
        <f t="shared" si="64"/>
        <v/>
      </c>
      <c r="T300" t="str">
        <f t="shared" si="65"/>
        <v/>
      </c>
      <c r="U300" t="str">
        <f t="shared" si="66"/>
        <v/>
      </c>
      <c r="V300">
        <f t="shared" si="68"/>
        <v>0</v>
      </c>
      <c r="W300">
        <f t="shared" si="69"/>
        <v>0</v>
      </c>
      <c r="X300">
        <f>IF($Q300="",99999+293,$X299+1+$V299+$W299)</f>
        <v>100292</v>
      </c>
      <c r="Y300" t="str">
        <f>IF($Q300="","",INDEX(บันทึกรายเที่ยว!$Q$6:$Q$10005,$R300))</f>
        <v/>
      </c>
      <c r="Z300" t="str">
        <f>IF($Q300="","",INDEX(บันทึกรายเที่ยว!$F$6:$F$10005,$R300))</f>
        <v/>
      </c>
      <c r="AA300" t="str">
        <f>IFERROR(MATCH(293,$X$8:$X$407,1),"")</f>
        <v/>
      </c>
      <c r="AB300" t="str">
        <f>IF(293=$AD$1+1,"G",IF($AA300="","",IF(INDEX($Q$8:$Q$407,$AA300)="","",IF(293&gt;INDEX($X$8:$X$407,$AA300)+INDEX($V$8:$V$407,$AA300)+INDEX($W$8:$W$407,$AA300),"",IF(293=INDEX($X$8:$X$407,$AA300)+INDEX($V$8:$V$407,$AA300)+INDEX($W$8:$W$407,$AA300),"D",IF(AND(INDEX($W$8:$W$407,$AA300)=1,293=INDEX($X$8:$X$407,$AA300)+INDEX($V$8:$V$407,$AA300)),"S","R"))))))</f>
        <v/>
      </c>
      <c r="AC300" t="str">
        <f t="shared" si="67"/>
        <v/>
      </c>
      <c r="AE300">
        <f>IF($U300="",0,COUNTIF(บันทึกรายเที่ยว!$T$6:$T$10005,$U300))</f>
        <v>0</v>
      </c>
      <c r="AF300">
        <f>IF($U300="",0,ROUND(SUMIF(บันทึกรายเที่ยว!$T$6:$T$10005,$U300,บันทึกรายเที่ยว!$J$6:$J$10005),2))</f>
        <v>0</v>
      </c>
      <c r="AG300">
        <f>IF($U300="",0,ROUND(SUMIF(บันทึกรายเที่ยว!$T$6:$T$10005,$U300,บันทึกรายเที่ยว!$K$6:$K$10005),2))</f>
        <v>0</v>
      </c>
      <c r="AH300">
        <f>IF($U300="",0,ROUND(SUMIF(บันทึกรายเที่ยว!$T$6:$T$10005,$U300,บันทึกรายเที่ยว!$M$6:$M$10005),2))</f>
        <v>0</v>
      </c>
    </row>
    <row r="301" spans="1:34" ht="21" customHeight="1" x14ac:dyDescent="0.95">
      <c r="A301" s="3" t="str">
        <f t="shared" si="56"/>
        <v/>
      </c>
      <c r="B301" s="3" t="str">
        <f t="shared" si="57"/>
        <v/>
      </c>
      <c r="C301" s="8" t="str">
        <f t="shared" si="58"/>
        <v/>
      </c>
      <c r="D301" s="31" t="str">
        <f t="shared" si="59"/>
        <v/>
      </c>
      <c r="E301" s="32" t="str">
        <f>IF(294=$AD$1+3,"ขอแสดงความนับถือ",IF(294=$AD$1+6,"(                 )",IF(294=$AD$1+7,"เจ้าหน้าที่ขนส่ง",IF($AB301="G",SUM($AF$8:$AF$407),IF(OR($AB301="",$AB301="R"),"",IF($AB301="D",INDEX($AF$8:$AF$407,$AA301),SUMIF($T$8:$T$407,INDEX($T$8:$T$407,$AA301),$AF$8:$AF$407)))))))</f>
        <v/>
      </c>
      <c r="F301" s="32" t="str">
        <f t="shared" si="60"/>
        <v/>
      </c>
      <c r="G301" s="32" t="str">
        <f t="shared" si="61"/>
        <v/>
      </c>
      <c r="H301" s="32" t="str">
        <f t="shared" si="62"/>
        <v/>
      </c>
      <c r="J301" t="str">
        <f>IFERROR(MATCH(294,บันทึกรายเที่ยว!$W$6:$W$10005,0),"")</f>
        <v/>
      </c>
      <c r="K301" t="str">
        <f>IF($J301="","",INDEX(บันทึกรายเที่ยว!$T$6:$T$10005,$J301))</f>
        <v/>
      </c>
      <c r="L301" t="str">
        <f>IF($J301="","",INDEX(บันทึกรายเที่ยว!$S$6:$S$10005,$J301))</f>
        <v/>
      </c>
      <c r="M301" t="str">
        <f>IF($J301="","",INDEX(บันทึกรายเที่ยว!$R$6:$R$10005,$J301))</f>
        <v/>
      </c>
      <c r="N301" t="str">
        <f>IF($J301="","",MATCH($M301,บันทึกรายเที่ยว!$R$6:$R$10005,0))</f>
        <v/>
      </c>
      <c r="O301" t="str">
        <f>IF($J301="","",MATCH($L301,บันทึกรายเที่ยว!$S$6:$S$10005,0))</f>
        <v/>
      </c>
      <c r="P301" t="str">
        <f>IF($J301="","",IF(AND(OR($I$3="(ทั้งหมด)",INDEX(บันทึกรายเที่ยว!$C$6:$C$10005,$J301)=$I$3),OR($I$5="(ทั้งหมด)",INDEX(บันทึกรายเที่ยว!$D$6:$D$10005,$J301)=$I$5),OR($I$7="(ทั้งหมด)",INDEX(บันทึกรายเที่ยว!$F$6:$F$10005,$J301)=$I$7)),$N301*10000000+$O301*1000+294,""))</f>
        <v/>
      </c>
      <c r="Q301" t="str">
        <f>IFERROR(MATCH(SMALL($P$8:$P$407,294),$P$8:$P$407,0),"")</f>
        <v/>
      </c>
      <c r="R301" t="str">
        <f t="shared" si="63"/>
        <v/>
      </c>
      <c r="S301" t="str">
        <f t="shared" si="64"/>
        <v/>
      </c>
      <c r="T301" t="str">
        <f t="shared" si="65"/>
        <v/>
      </c>
      <c r="U301" t="str">
        <f t="shared" si="66"/>
        <v/>
      </c>
      <c r="V301">
        <f t="shared" si="68"/>
        <v>0</v>
      </c>
      <c r="W301">
        <f t="shared" si="69"/>
        <v>0</v>
      </c>
      <c r="X301">
        <f>IF($Q301="",99999+294,$X300+1+$V300+$W300)</f>
        <v>100293</v>
      </c>
      <c r="Y301" t="str">
        <f>IF($Q301="","",INDEX(บันทึกรายเที่ยว!$Q$6:$Q$10005,$R301))</f>
        <v/>
      </c>
      <c r="Z301" t="str">
        <f>IF($Q301="","",INDEX(บันทึกรายเที่ยว!$F$6:$F$10005,$R301))</f>
        <v/>
      </c>
      <c r="AA301" t="str">
        <f>IFERROR(MATCH(294,$X$8:$X$407,1),"")</f>
        <v/>
      </c>
      <c r="AB301" t="str">
        <f>IF(294=$AD$1+1,"G",IF($AA301="","",IF(INDEX($Q$8:$Q$407,$AA301)="","",IF(294&gt;INDEX($X$8:$X$407,$AA301)+INDEX($V$8:$V$407,$AA301)+INDEX($W$8:$W$407,$AA301),"",IF(294=INDEX($X$8:$X$407,$AA301)+INDEX($V$8:$V$407,$AA301)+INDEX($W$8:$W$407,$AA301),"D",IF(AND(INDEX($W$8:$W$407,$AA301)=1,294=INDEX($X$8:$X$407,$AA301)+INDEX($V$8:$V$407,$AA301)),"S","R"))))))</f>
        <v/>
      </c>
      <c r="AC301" t="str">
        <f t="shared" si="67"/>
        <v/>
      </c>
      <c r="AE301">
        <f>IF($U301="",0,COUNTIF(บันทึกรายเที่ยว!$T$6:$T$10005,$U301))</f>
        <v>0</v>
      </c>
      <c r="AF301">
        <f>IF($U301="",0,ROUND(SUMIF(บันทึกรายเที่ยว!$T$6:$T$10005,$U301,บันทึกรายเที่ยว!$J$6:$J$10005),2))</f>
        <v>0</v>
      </c>
      <c r="AG301">
        <f>IF($U301="",0,ROUND(SUMIF(บันทึกรายเที่ยว!$T$6:$T$10005,$U301,บันทึกรายเที่ยว!$K$6:$K$10005),2))</f>
        <v>0</v>
      </c>
      <c r="AH301">
        <f>IF($U301="",0,ROUND(SUMIF(บันทึกรายเที่ยว!$T$6:$T$10005,$U301,บันทึกรายเที่ยว!$M$6:$M$10005),2))</f>
        <v>0</v>
      </c>
    </row>
    <row r="302" spans="1:34" ht="21" customHeight="1" x14ac:dyDescent="0.95">
      <c r="A302" s="3" t="str">
        <f t="shared" si="56"/>
        <v/>
      </c>
      <c r="B302" s="3" t="str">
        <f t="shared" si="57"/>
        <v/>
      </c>
      <c r="C302" s="8" t="str">
        <f t="shared" si="58"/>
        <v/>
      </c>
      <c r="D302" s="31" t="str">
        <f t="shared" si="59"/>
        <v/>
      </c>
      <c r="E302" s="32" t="str">
        <f>IF(295=$AD$1+3,"ขอแสดงความนับถือ",IF(295=$AD$1+6,"(                 )",IF(295=$AD$1+7,"เจ้าหน้าที่ขนส่ง",IF($AB302="G",SUM($AF$8:$AF$407),IF(OR($AB302="",$AB302="R"),"",IF($AB302="D",INDEX($AF$8:$AF$407,$AA302),SUMIF($T$8:$T$407,INDEX($T$8:$T$407,$AA302),$AF$8:$AF$407)))))))</f>
        <v/>
      </c>
      <c r="F302" s="32" t="str">
        <f t="shared" si="60"/>
        <v/>
      </c>
      <c r="G302" s="32" t="str">
        <f t="shared" si="61"/>
        <v/>
      </c>
      <c r="H302" s="32" t="str">
        <f t="shared" si="62"/>
        <v/>
      </c>
      <c r="J302" t="str">
        <f>IFERROR(MATCH(295,บันทึกรายเที่ยว!$W$6:$W$10005,0),"")</f>
        <v/>
      </c>
      <c r="K302" t="str">
        <f>IF($J302="","",INDEX(บันทึกรายเที่ยว!$T$6:$T$10005,$J302))</f>
        <v/>
      </c>
      <c r="L302" t="str">
        <f>IF($J302="","",INDEX(บันทึกรายเที่ยว!$S$6:$S$10005,$J302))</f>
        <v/>
      </c>
      <c r="M302" t="str">
        <f>IF($J302="","",INDEX(บันทึกรายเที่ยว!$R$6:$R$10005,$J302))</f>
        <v/>
      </c>
      <c r="N302" t="str">
        <f>IF($J302="","",MATCH($M302,บันทึกรายเที่ยว!$R$6:$R$10005,0))</f>
        <v/>
      </c>
      <c r="O302" t="str">
        <f>IF($J302="","",MATCH($L302,บันทึกรายเที่ยว!$S$6:$S$10005,0))</f>
        <v/>
      </c>
      <c r="P302" t="str">
        <f>IF($J302="","",IF(AND(OR($I$3="(ทั้งหมด)",INDEX(บันทึกรายเที่ยว!$C$6:$C$10005,$J302)=$I$3),OR($I$5="(ทั้งหมด)",INDEX(บันทึกรายเที่ยว!$D$6:$D$10005,$J302)=$I$5),OR($I$7="(ทั้งหมด)",INDEX(บันทึกรายเที่ยว!$F$6:$F$10005,$J302)=$I$7)),$N302*10000000+$O302*1000+295,""))</f>
        <v/>
      </c>
      <c r="Q302" t="str">
        <f>IFERROR(MATCH(SMALL($P$8:$P$407,295),$P$8:$P$407,0),"")</f>
        <v/>
      </c>
      <c r="R302" t="str">
        <f t="shared" si="63"/>
        <v/>
      </c>
      <c r="S302" t="str">
        <f t="shared" si="64"/>
        <v/>
      </c>
      <c r="T302" t="str">
        <f t="shared" si="65"/>
        <v/>
      </c>
      <c r="U302" t="str">
        <f t="shared" si="66"/>
        <v/>
      </c>
      <c r="V302">
        <f t="shared" si="68"/>
        <v>0</v>
      </c>
      <c r="W302">
        <f t="shared" si="69"/>
        <v>0</v>
      </c>
      <c r="X302">
        <f>IF($Q302="",99999+295,$X301+1+$V301+$W301)</f>
        <v>100294</v>
      </c>
      <c r="Y302" t="str">
        <f>IF($Q302="","",INDEX(บันทึกรายเที่ยว!$Q$6:$Q$10005,$R302))</f>
        <v/>
      </c>
      <c r="Z302" t="str">
        <f>IF($Q302="","",INDEX(บันทึกรายเที่ยว!$F$6:$F$10005,$R302))</f>
        <v/>
      </c>
      <c r="AA302" t="str">
        <f>IFERROR(MATCH(295,$X$8:$X$407,1),"")</f>
        <v/>
      </c>
      <c r="AB302" t="str">
        <f>IF(295=$AD$1+1,"G",IF($AA302="","",IF(INDEX($Q$8:$Q$407,$AA302)="","",IF(295&gt;INDEX($X$8:$X$407,$AA302)+INDEX($V$8:$V$407,$AA302)+INDEX($W$8:$W$407,$AA302),"",IF(295=INDEX($X$8:$X$407,$AA302)+INDEX($V$8:$V$407,$AA302)+INDEX($W$8:$W$407,$AA302),"D",IF(AND(INDEX($W$8:$W$407,$AA302)=1,295=INDEX($X$8:$X$407,$AA302)+INDEX($V$8:$V$407,$AA302)),"S","R"))))))</f>
        <v/>
      </c>
      <c r="AC302" t="str">
        <f t="shared" si="67"/>
        <v/>
      </c>
      <c r="AE302">
        <f>IF($U302="",0,COUNTIF(บันทึกรายเที่ยว!$T$6:$T$10005,$U302))</f>
        <v>0</v>
      </c>
      <c r="AF302">
        <f>IF($U302="",0,ROUND(SUMIF(บันทึกรายเที่ยว!$T$6:$T$10005,$U302,บันทึกรายเที่ยว!$J$6:$J$10005),2))</f>
        <v>0</v>
      </c>
      <c r="AG302">
        <f>IF($U302="",0,ROUND(SUMIF(บันทึกรายเที่ยว!$T$6:$T$10005,$U302,บันทึกรายเที่ยว!$K$6:$K$10005),2))</f>
        <v>0</v>
      </c>
      <c r="AH302">
        <f>IF($U302="",0,ROUND(SUMIF(บันทึกรายเที่ยว!$T$6:$T$10005,$U302,บันทึกรายเที่ยว!$M$6:$M$10005),2))</f>
        <v>0</v>
      </c>
    </row>
    <row r="303" spans="1:34" ht="21" customHeight="1" x14ac:dyDescent="0.95">
      <c r="A303" s="3" t="str">
        <f t="shared" si="56"/>
        <v/>
      </c>
      <c r="B303" s="3" t="str">
        <f t="shared" si="57"/>
        <v/>
      </c>
      <c r="C303" s="8" t="str">
        <f t="shared" si="58"/>
        <v/>
      </c>
      <c r="D303" s="31" t="str">
        <f t="shared" si="59"/>
        <v/>
      </c>
      <c r="E303" s="32" t="str">
        <f>IF(296=$AD$1+3,"ขอแสดงความนับถือ",IF(296=$AD$1+6,"(                 )",IF(296=$AD$1+7,"เจ้าหน้าที่ขนส่ง",IF($AB303="G",SUM($AF$8:$AF$407),IF(OR($AB303="",$AB303="R"),"",IF($AB303="D",INDEX($AF$8:$AF$407,$AA303),SUMIF($T$8:$T$407,INDEX($T$8:$T$407,$AA303),$AF$8:$AF$407)))))))</f>
        <v/>
      </c>
      <c r="F303" s="32" t="str">
        <f t="shared" si="60"/>
        <v/>
      </c>
      <c r="G303" s="32" t="str">
        <f t="shared" si="61"/>
        <v/>
      </c>
      <c r="H303" s="32" t="str">
        <f t="shared" si="62"/>
        <v/>
      </c>
      <c r="J303" t="str">
        <f>IFERROR(MATCH(296,บันทึกรายเที่ยว!$W$6:$W$10005,0),"")</f>
        <v/>
      </c>
      <c r="K303" t="str">
        <f>IF($J303="","",INDEX(บันทึกรายเที่ยว!$T$6:$T$10005,$J303))</f>
        <v/>
      </c>
      <c r="L303" t="str">
        <f>IF($J303="","",INDEX(บันทึกรายเที่ยว!$S$6:$S$10005,$J303))</f>
        <v/>
      </c>
      <c r="M303" t="str">
        <f>IF($J303="","",INDEX(บันทึกรายเที่ยว!$R$6:$R$10005,$J303))</f>
        <v/>
      </c>
      <c r="N303" t="str">
        <f>IF($J303="","",MATCH($M303,บันทึกรายเที่ยว!$R$6:$R$10005,0))</f>
        <v/>
      </c>
      <c r="O303" t="str">
        <f>IF($J303="","",MATCH($L303,บันทึกรายเที่ยว!$S$6:$S$10005,0))</f>
        <v/>
      </c>
      <c r="P303" t="str">
        <f>IF($J303="","",IF(AND(OR($I$3="(ทั้งหมด)",INDEX(บันทึกรายเที่ยว!$C$6:$C$10005,$J303)=$I$3),OR($I$5="(ทั้งหมด)",INDEX(บันทึกรายเที่ยว!$D$6:$D$10005,$J303)=$I$5),OR($I$7="(ทั้งหมด)",INDEX(บันทึกรายเที่ยว!$F$6:$F$10005,$J303)=$I$7)),$N303*10000000+$O303*1000+296,""))</f>
        <v/>
      </c>
      <c r="Q303" t="str">
        <f>IFERROR(MATCH(SMALL($P$8:$P$407,296),$P$8:$P$407,0),"")</f>
        <v/>
      </c>
      <c r="R303" t="str">
        <f t="shared" si="63"/>
        <v/>
      </c>
      <c r="S303" t="str">
        <f t="shared" si="64"/>
        <v/>
      </c>
      <c r="T303" t="str">
        <f t="shared" si="65"/>
        <v/>
      </c>
      <c r="U303" t="str">
        <f t="shared" si="66"/>
        <v/>
      </c>
      <c r="V303">
        <f t="shared" si="68"/>
        <v>0</v>
      </c>
      <c r="W303">
        <f t="shared" si="69"/>
        <v>0</v>
      </c>
      <c r="X303">
        <f>IF($Q303="",99999+296,$X302+1+$V302+$W302)</f>
        <v>100295</v>
      </c>
      <c r="Y303" t="str">
        <f>IF($Q303="","",INDEX(บันทึกรายเที่ยว!$Q$6:$Q$10005,$R303))</f>
        <v/>
      </c>
      <c r="Z303" t="str">
        <f>IF($Q303="","",INDEX(บันทึกรายเที่ยว!$F$6:$F$10005,$R303))</f>
        <v/>
      </c>
      <c r="AA303" t="str">
        <f>IFERROR(MATCH(296,$X$8:$X$407,1),"")</f>
        <v/>
      </c>
      <c r="AB303" t="str">
        <f>IF(296=$AD$1+1,"G",IF($AA303="","",IF(INDEX($Q$8:$Q$407,$AA303)="","",IF(296&gt;INDEX($X$8:$X$407,$AA303)+INDEX($V$8:$V$407,$AA303)+INDEX($W$8:$W$407,$AA303),"",IF(296=INDEX($X$8:$X$407,$AA303)+INDEX($V$8:$V$407,$AA303)+INDEX($W$8:$W$407,$AA303),"D",IF(AND(INDEX($W$8:$W$407,$AA303)=1,296=INDEX($X$8:$X$407,$AA303)+INDEX($V$8:$V$407,$AA303)),"S","R"))))))</f>
        <v/>
      </c>
      <c r="AC303" t="str">
        <f t="shared" si="67"/>
        <v/>
      </c>
      <c r="AE303">
        <f>IF($U303="",0,COUNTIF(บันทึกรายเที่ยว!$T$6:$T$10005,$U303))</f>
        <v>0</v>
      </c>
      <c r="AF303">
        <f>IF($U303="",0,ROUND(SUMIF(บันทึกรายเที่ยว!$T$6:$T$10005,$U303,บันทึกรายเที่ยว!$J$6:$J$10005),2))</f>
        <v>0</v>
      </c>
      <c r="AG303">
        <f>IF($U303="",0,ROUND(SUMIF(บันทึกรายเที่ยว!$T$6:$T$10005,$U303,บันทึกรายเที่ยว!$K$6:$K$10005),2))</f>
        <v>0</v>
      </c>
      <c r="AH303">
        <f>IF($U303="",0,ROUND(SUMIF(บันทึกรายเที่ยว!$T$6:$T$10005,$U303,บันทึกรายเที่ยว!$M$6:$M$10005),2))</f>
        <v>0</v>
      </c>
    </row>
    <row r="304" spans="1:34" ht="21" customHeight="1" x14ac:dyDescent="0.95">
      <c r="A304" s="3" t="str">
        <f t="shared" si="56"/>
        <v/>
      </c>
      <c r="B304" s="3" t="str">
        <f t="shared" si="57"/>
        <v/>
      </c>
      <c r="C304" s="8" t="str">
        <f t="shared" si="58"/>
        <v/>
      </c>
      <c r="D304" s="31" t="str">
        <f t="shared" si="59"/>
        <v/>
      </c>
      <c r="E304" s="32" t="str">
        <f>IF(297=$AD$1+3,"ขอแสดงความนับถือ",IF(297=$AD$1+6,"(                 )",IF(297=$AD$1+7,"เจ้าหน้าที่ขนส่ง",IF($AB304="G",SUM($AF$8:$AF$407),IF(OR($AB304="",$AB304="R"),"",IF($AB304="D",INDEX($AF$8:$AF$407,$AA304),SUMIF($T$8:$T$407,INDEX($T$8:$T$407,$AA304),$AF$8:$AF$407)))))))</f>
        <v/>
      </c>
      <c r="F304" s="32" t="str">
        <f t="shared" si="60"/>
        <v/>
      </c>
      <c r="G304" s="32" t="str">
        <f t="shared" si="61"/>
        <v/>
      </c>
      <c r="H304" s="32" t="str">
        <f t="shared" si="62"/>
        <v/>
      </c>
      <c r="J304" t="str">
        <f>IFERROR(MATCH(297,บันทึกรายเที่ยว!$W$6:$W$10005,0),"")</f>
        <v/>
      </c>
      <c r="K304" t="str">
        <f>IF($J304="","",INDEX(บันทึกรายเที่ยว!$T$6:$T$10005,$J304))</f>
        <v/>
      </c>
      <c r="L304" t="str">
        <f>IF($J304="","",INDEX(บันทึกรายเที่ยว!$S$6:$S$10005,$J304))</f>
        <v/>
      </c>
      <c r="M304" t="str">
        <f>IF($J304="","",INDEX(บันทึกรายเที่ยว!$R$6:$R$10005,$J304))</f>
        <v/>
      </c>
      <c r="N304" t="str">
        <f>IF($J304="","",MATCH($M304,บันทึกรายเที่ยว!$R$6:$R$10005,0))</f>
        <v/>
      </c>
      <c r="O304" t="str">
        <f>IF($J304="","",MATCH($L304,บันทึกรายเที่ยว!$S$6:$S$10005,0))</f>
        <v/>
      </c>
      <c r="P304" t="str">
        <f>IF($J304="","",IF(AND(OR($I$3="(ทั้งหมด)",INDEX(บันทึกรายเที่ยว!$C$6:$C$10005,$J304)=$I$3),OR($I$5="(ทั้งหมด)",INDEX(บันทึกรายเที่ยว!$D$6:$D$10005,$J304)=$I$5),OR($I$7="(ทั้งหมด)",INDEX(บันทึกรายเที่ยว!$F$6:$F$10005,$J304)=$I$7)),$N304*10000000+$O304*1000+297,""))</f>
        <v/>
      </c>
      <c r="Q304" t="str">
        <f>IFERROR(MATCH(SMALL($P$8:$P$407,297),$P$8:$P$407,0),"")</f>
        <v/>
      </c>
      <c r="R304" t="str">
        <f t="shared" si="63"/>
        <v/>
      </c>
      <c r="S304" t="str">
        <f t="shared" si="64"/>
        <v/>
      </c>
      <c r="T304" t="str">
        <f t="shared" si="65"/>
        <v/>
      </c>
      <c r="U304" t="str">
        <f t="shared" si="66"/>
        <v/>
      </c>
      <c r="V304">
        <f t="shared" si="68"/>
        <v>0</v>
      </c>
      <c r="W304">
        <f t="shared" si="69"/>
        <v>0</v>
      </c>
      <c r="X304">
        <f>IF($Q304="",99999+297,$X303+1+$V303+$W303)</f>
        <v>100296</v>
      </c>
      <c r="Y304" t="str">
        <f>IF($Q304="","",INDEX(บันทึกรายเที่ยว!$Q$6:$Q$10005,$R304))</f>
        <v/>
      </c>
      <c r="Z304" t="str">
        <f>IF($Q304="","",INDEX(บันทึกรายเที่ยว!$F$6:$F$10005,$R304))</f>
        <v/>
      </c>
      <c r="AA304" t="str">
        <f>IFERROR(MATCH(297,$X$8:$X$407,1),"")</f>
        <v/>
      </c>
      <c r="AB304" t="str">
        <f>IF(297=$AD$1+1,"G",IF($AA304="","",IF(INDEX($Q$8:$Q$407,$AA304)="","",IF(297&gt;INDEX($X$8:$X$407,$AA304)+INDEX($V$8:$V$407,$AA304)+INDEX($W$8:$W$407,$AA304),"",IF(297=INDEX($X$8:$X$407,$AA304)+INDEX($V$8:$V$407,$AA304)+INDEX($W$8:$W$407,$AA304),"D",IF(AND(INDEX($W$8:$W$407,$AA304)=1,297=INDEX($X$8:$X$407,$AA304)+INDEX($V$8:$V$407,$AA304)),"S","R"))))))</f>
        <v/>
      </c>
      <c r="AC304" t="str">
        <f t="shared" si="67"/>
        <v/>
      </c>
      <c r="AE304">
        <f>IF($U304="",0,COUNTIF(บันทึกรายเที่ยว!$T$6:$T$10005,$U304))</f>
        <v>0</v>
      </c>
      <c r="AF304">
        <f>IF($U304="",0,ROUND(SUMIF(บันทึกรายเที่ยว!$T$6:$T$10005,$U304,บันทึกรายเที่ยว!$J$6:$J$10005),2))</f>
        <v>0</v>
      </c>
      <c r="AG304">
        <f>IF($U304="",0,ROUND(SUMIF(บันทึกรายเที่ยว!$T$6:$T$10005,$U304,บันทึกรายเที่ยว!$K$6:$K$10005),2))</f>
        <v>0</v>
      </c>
      <c r="AH304">
        <f>IF($U304="",0,ROUND(SUMIF(บันทึกรายเที่ยว!$T$6:$T$10005,$U304,บันทึกรายเที่ยว!$M$6:$M$10005),2))</f>
        <v>0</v>
      </c>
    </row>
    <row r="305" spans="1:34" ht="21" customHeight="1" x14ac:dyDescent="0.95">
      <c r="A305" s="3" t="str">
        <f t="shared" si="56"/>
        <v/>
      </c>
      <c r="B305" s="3" t="str">
        <f t="shared" si="57"/>
        <v/>
      </c>
      <c r="C305" s="8" t="str">
        <f t="shared" si="58"/>
        <v/>
      </c>
      <c r="D305" s="31" t="str">
        <f t="shared" si="59"/>
        <v/>
      </c>
      <c r="E305" s="32" t="str">
        <f>IF(298=$AD$1+3,"ขอแสดงความนับถือ",IF(298=$AD$1+6,"(                 )",IF(298=$AD$1+7,"เจ้าหน้าที่ขนส่ง",IF($AB305="G",SUM($AF$8:$AF$407),IF(OR($AB305="",$AB305="R"),"",IF($AB305="D",INDEX($AF$8:$AF$407,$AA305),SUMIF($T$8:$T$407,INDEX($T$8:$T$407,$AA305),$AF$8:$AF$407)))))))</f>
        <v/>
      </c>
      <c r="F305" s="32" t="str">
        <f t="shared" si="60"/>
        <v/>
      </c>
      <c r="G305" s="32" t="str">
        <f t="shared" si="61"/>
        <v/>
      </c>
      <c r="H305" s="32" t="str">
        <f t="shared" si="62"/>
        <v/>
      </c>
      <c r="J305" t="str">
        <f>IFERROR(MATCH(298,บันทึกรายเที่ยว!$W$6:$W$10005,0),"")</f>
        <v/>
      </c>
      <c r="K305" t="str">
        <f>IF($J305="","",INDEX(บันทึกรายเที่ยว!$T$6:$T$10005,$J305))</f>
        <v/>
      </c>
      <c r="L305" t="str">
        <f>IF($J305="","",INDEX(บันทึกรายเที่ยว!$S$6:$S$10005,$J305))</f>
        <v/>
      </c>
      <c r="M305" t="str">
        <f>IF($J305="","",INDEX(บันทึกรายเที่ยว!$R$6:$R$10005,$J305))</f>
        <v/>
      </c>
      <c r="N305" t="str">
        <f>IF($J305="","",MATCH($M305,บันทึกรายเที่ยว!$R$6:$R$10005,0))</f>
        <v/>
      </c>
      <c r="O305" t="str">
        <f>IF($J305="","",MATCH($L305,บันทึกรายเที่ยว!$S$6:$S$10005,0))</f>
        <v/>
      </c>
      <c r="P305" t="str">
        <f>IF($J305="","",IF(AND(OR($I$3="(ทั้งหมด)",INDEX(บันทึกรายเที่ยว!$C$6:$C$10005,$J305)=$I$3),OR($I$5="(ทั้งหมด)",INDEX(บันทึกรายเที่ยว!$D$6:$D$10005,$J305)=$I$5),OR($I$7="(ทั้งหมด)",INDEX(บันทึกรายเที่ยว!$F$6:$F$10005,$J305)=$I$7)),$N305*10000000+$O305*1000+298,""))</f>
        <v/>
      </c>
      <c r="Q305" t="str">
        <f>IFERROR(MATCH(SMALL($P$8:$P$407,298),$P$8:$P$407,0),"")</f>
        <v/>
      </c>
      <c r="R305" t="str">
        <f t="shared" si="63"/>
        <v/>
      </c>
      <c r="S305" t="str">
        <f t="shared" si="64"/>
        <v/>
      </c>
      <c r="T305" t="str">
        <f t="shared" si="65"/>
        <v/>
      </c>
      <c r="U305" t="str">
        <f t="shared" si="66"/>
        <v/>
      </c>
      <c r="V305">
        <f t="shared" si="68"/>
        <v>0</v>
      </c>
      <c r="W305">
        <f t="shared" si="69"/>
        <v>0</v>
      </c>
      <c r="X305">
        <f>IF($Q305="",99999+298,$X304+1+$V304+$W304)</f>
        <v>100297</v>
      </c>
      <c r="Y305" t="str">
        <f>IF($Q305="","",INDEX(บันทึกรายเที่ยว!$Q$6:$Q$10005,$R305))</f>
        <v/>
      </c>
      <c r="Z305" t="str">
        <f>IF($Q305="","",INDEX(บันทึกรายเที่ยว!$F$6:$F$10005,$R305))</f>
        <v/>
      </c>
      <c r="AA305" t="str">
        <f>IFERROR(MATCH(298,$X$8:$X$407,1),"")</f>
        <v/>
      </c>
      <c r="AB305" t="str">
        <f>IF(298=$AD$1+1,"G",IF($AA305="","",IF(INDEX($Q$8:$Q$407,$AA305)="","",IF(298&gt;INDEX($X$8:$X$407,$AA305)+INDEX($V$8:$V$407,$AA305)+INDEX($W$8:$W$407,$AA305),"",IF(298=INDEX($X$8:$X$407,$AA305)+INDEX($V$8:$V$407,$AA305)+INDEX($W$8:$W$407,$AA305),"D",IF(AND(INDEX($W$8:$W$407,$AA305)=1,298=INDEX($X$8:$X$407,$AA305)+INDEX($V$8:$V$407,$AA305)),"S","R"))))))</f>
        <v/>
      </c>
      <c r="AC305" t="str">
        <f t="shared" si="67"/>
        <v/>
      </c>
      <c r="AE305">
        <f>IF($U305="",0,COUNTIF(บันทึกรายเที่ยว!$T$6:$T$10005,$U305))</f>
        <v>0</v>
      </c>
      <c r="AF305">
        <f>IF($U305="",0,ROUND(SUMIF(บันทึกรายเที่ยว!$T$6:$T$10005,$U305,บันทึกรายเที่ยว!$J$6:$J$10005),2))</f>
        <v>0</v>
      </c>
      <c r="AG305">
        <f>IF($U305="",0,ROUND(SUMIF(บันทึกรายเที่ยว!$T$6:$T$10005,$U305,บันทึกรายเที่ยว!$K$6:$K$10005),2))</f>
        <v>0</v>
      </c>
      <c r="AH305">
        <f>IF($U305="",0,ROUND(SUMIF(บันทึกรายเที่ยว!$T$6:$T$10005,$U305,บันทึกรายเที่ยว!$M$6:$M$10005),2))</f>
        <v>0</v>
      </c>
    </row>
    <row r="306" spans="1:34" ht="21" customHeight="1" x14ac:dyDescent="0.95">
      <c r="A306" s="3" t="str">
        <f t="shared" si="56"/>
        <v/>
      </c>
      <c r="B306" s="3" t="str">
        <f t="shared" si="57"/>
        <v/>
      </c>
      <c r="C306" s="8" t="str">
        <f t="shared" si="58"/>
        <v/>
      </c>
      <c r="D306" s="31" t="str">
        <f t="shared" si="59"/>
        <v/>
      </c>
      <c r="E306" s="32" t="str">
        <f>IF(299=$AD$1+3,"ขอแสดงความนับถือ",IF(299=$AD$1+6,"(                 )",IF(299=$AD$1+7,"เจ้าหน้าที่ขนส่ง",IF($AB306="G",SUM($AF$8:$AF$407),IF(OR($AB306="",$AB306="R"),"",IF($AB306="D",INDEX($AF$8:$AF$407,$AA306),SUMIF($T$8:$T$407,INDEX($T$8:$T$407,$AA306),$AF$8:$AF$407)))))))</f>
        <v/>
      </c>
      <c r="F306" s="32" t="str">
        <f t="shared" si="60"/>
        <v/>
      </c>
      <c r="G306" s="32" t="str">
        <f t="shared" si="61"/>
        <v/>
      </c>
      <c r="H306" s="32" t="str">
        <f t="shared" si="62"/>
        <v/>
      </c>
      <c r="J306" t="str">
        <f>IFERROR(MATCH(299,บันทึกรายเที่ยว!$W$6:$W$10005,0),"")</f>
        <v/>
      </c>
      <c r="K306" t="str">
        <f>IF($J306="","",INDEX(บันทึกรายเที่ยว!$T$6:$T$10005,$J306))</f>
        <v/>
      </c>
      <c r="L306" t="str">
        <f>IF($J306="","",INDEX(บันทึกรายเที่ยว!$S$6:$S$10005,$J306))</f>
        <v/>
      </c>
      <c r="M306" t="str">
        <f>IF($J306="","",INDEX(บันทึกรายเที่ยว!$R$6:$R$10005,$J306))</f>
        <v/>
      </c>
      <c r="N306" t="str">
        <f>IF($J306="","",MATCH($M306,บันทึกรายเที่ยว!$R$6:$R$10005,0))</f>
        <v/>
      </c>
      <c r="O306" t="str">
        <f>IF($J306="","",MATCH($L306,บันทึกรายเที่ยว!$S$6:$S$10005,0))</f>
        <v/>
      </c>
      <c r="P306" t="str">
        <f>IF($J306="","",IF(AND(OR($I$3="(ทั้งหมด)",INDEX(บันทึกรายเที่ยว!$C$6:$C$10005,$J306)=$I$3),OR($I$5="(ทั้งหมด)",INDEX(บันทึกรายเที่ยว!$D$6:$D$10005,$J306)=$I$5),OR($I$7="(ทั้งหมด)",INDEX(บันทึกรายเที่ยว!$F$6:$F$10005,$J306)=$I$7)),$N306*10000000+$O306*1000+299,""))</f>
        <v/>
      </c>
      <c r="Q306" t="str">
        <f>IFERROR(MATCH(SMALL($P$8:$P$407,299),$P$8:$P$407,0),"")</f>
        <v/>
      </c>
      <c r="R306" t="str">
        <f t="shared" si="63"/>
        <v/>
      </c>
      <c r="S306" t="str">
        <f t="shared" si="64"/>
        <v/>
      </c>
      <c r="T306" t="str">
        <f t="shared" si="65"/>
        <v/>
      </c>
      <c r="U306" t="str">
        <f t="shared" si="66"/>
        <v/>
      </c>
      <c r="V306">
        <f t="shared" si="68"/>
        <v>0</v>
      </c>
      <c r="W306">
        <f t="shared" si="69"/>
        <v>0</v>
      </c>
      <c r="X306">
        <f>IF($Q306="",99999+299,$X305+1+$V305+$W305)</f>
        <v>100298</v>
      </c>
      <c r="Y306" t="str">
        <f>IF($Q306="","",INDEX(บันทึกรายเที่ยว!$Q$6:$Q$10005,$R306))</f>
        <v/>
      </c>
      <c r="Z306" t="str">
        <f>IF($Q306="","",INDEX(บันทึกรายเที่ยว!$F$6:$F$10005,$R306))</f>
        <v/>
      </c>
      <c r="AA306" t="str">
        <f>IFERROR(MATCH(299,$X$8:$X$407,1),"")</f>
        <v/>
      </c>
      <c r="AB306" t="str">
        <f>IF(299=$AD$1+1,"G",IF($AA306="","",IF(INDEX($Q$8:$Q$407,$AA306)="","",IF(299&gt;INDEX($X$8:$X$407,$AA306)+INDEX($V$8:$V$407,$AA306)+INDEX($W$8:$W$407,$AA306),"",IF(299=INDEX($X$8:$X$407,$AA306)+INDEX($V$8:$V$407,$AA306)+INDEX($W$8:$W$407,$AA306),"D",IF(AND(INDEX($W$8:$W$407,$AA306)=1,299=INDEX($X$8:$X$407,$AA306)+INDEX($V$8:$V$407,$AA306)),"S","R"))))))</f>
        <v/>
      </c>
      <c r="AC306" t="str">
        <f t="shared" si="67"/>
        <v/>
      </c>
      <c r="AE306">
        <f>IF($U306="",0,COUNTIF(บันทึกรายเที่ยว!$T$6:$T$10005,$U306))</f>
        <v>0</v>
      </c>
      <c r="AF306">
        <f>IF($U306="",0,ROUND(SUMIF(บันทึกรายเที่ยว!$T$6:$T$10005,$U306,บันทึกรายเที่ยว!$J$6:$J$10005),2))</f>
        <v>0</v>
      </c>
      <c r="AG306">
        <f>IF($U306="",0,ROUND(SUMIF(บันทึกรายเที่ยว!$T$6:$T$10005,$U306,บันทึกรายเที่ยว!$K$6:$K$10005),2))</f>
        <v>0</v>
      </c>
      <c r="AH306">
        <f>IF($U306="",0,ROUND(SUMIF(บันทึกรายเที่ยว!$T$6:$T$10005,$U306,บันทึกรายเที่ยว!$M$6:$M$10005),2))</f>
        <v>0</v>
      </c>
    </row>
    <row r="307" spans="1:34" ht="21" customHeight="1" x14ac:dyDescent="0.95">
      <c r="A307" s="3" t="str">
        <f t="shared" si="56"/>
        <v/>
      </c>
      <c r="B307" s="3" t="str">
        <f t="shared" si="57"/>
        <v/>
      </c>
      <c r="C307" s="8" t="str">
        <f t="shared" si="58"/>
        <v/>
      </c>
      <c r="D307" s="31" t="str">
        <f t="shared" si="59"/>
        <v/>
      </c>
      <c r="E307" s="32" t="str">
        <f>IF(300=$AD$1+3,"ขอแสดงความนับถือ",IF(300=$AD$1+6,"(                 )",IF(300=$AD$1+7,"เจ้าหน้าที่ขนส่ง",IF($AB307="G",SUM($AF$8:$AF$407),IF(OR($AB307="",$AB307="R"),"",IF($AB307="D",INDEX($AF$8:$AF$407,$AA307),SUMIF($T$8:$T$407,INDEX($T$8:$T$407,$AA307),$AF$8:$AF$407)))))))</f>
        <v/>
      </c>
      <c r="F307" s="32" t="str">
        <f t="shared" si="60"/>
        <v/>
      </c>
      <c r="G307" s="32" t="str">
        <f t="shared" si="61"/>
        <v/>
      </c>
      <c r="H307" s="32" t="str">
        <f t="shared" si="62"/>
        <v/>
      </c>
      <c r="J307" t="str">
        <f>IFERROR(MATCH(300,บันทึกรายเที่ยว!$W$6:$W$10005,0),"")</f>
        <v/>
      </c>
      <c r="K307" t="str">
        <f>IF($J307="","",INDEX(บันทึกรายเที่ยว!$T$6:$T$10005,$J307))</f>
        <v/>
      </c>
      <c r="L307" t="str">
        <f>IF($J307="","",INDEX(บันทึกรายเที่ยว!$S$6:$S$10005,$J307))</f>
        <v/>
      </c>
      <c r="M307" t="str">
        <f>IF($J307="","",INDEX(บันทึกรายเที่ยว!$R$6:$R$10005,$J307))</f>
        <v/>
      </c>
      <c r="N307" t="str">
        <f>IF($J307="","",MATCH($M307,บันทึกรายเที่ยว!$R$6:$R$10005,0))</f>
        <v/>
      </c>
      <c r="O307" t="str">
        <f>IF($J307="","",MATCH($L307,บันทึกรายเที่ยว!$S$6:$S$10005,0))</f>
        <v/>
      </c>
      <c r="P307" t="str">
        <f>IF($J307="","",IF(AND(OR($I$3="(ทั้งหมด)",INDEX(บันทึกรายเที่ยว!$C$6:$C$10005,$J307)=$I$3),OR($I$5="(ทั้งหมด)",INDEX(บันทึกรายเที่ยว!$D$6:$D$10005,$J307)=$I$5),OR($I$7="(ทั้งหมด)",INDEX(บันทึกรายเที่ยว!$F$6:$F$10005,$J307)=$I$7)),$N307*10000000+$O307*1000+300,""))</f>
        <v/>
      </c>
      <c r="Q307" t="str">
        <f>IFERROR(MATCH(SMALL($P$8:$P$407,300),$P$8:$P$407,0),"")</f>
        <v/>
      </c>
      <c r="R307" t="str">
        <f t="shared" si="63"/>
        <v/>
      </c>
      <c r="S307" t="str">
        <f t="shared" si="64"/>
        <v/>
      </c>
      <c r="T307" t="str">
        <f t="shared" si="65"/>
        <v/>
      </c>
      <c r="U307" t="str">
        <f t="shared" si="66"/>
        <v/>
      </c>
      <c r="V307">
        <f t="shared" si="68"/>
        <v>0</v>
      </c>
      <c r="W307">
        <f t="shared" si="69"/>
        <v>0</v>
      </c>
      <c r="X307">
        <f>IF($Q307="",99999+300,$X306+1+$V306+$W306)</f>
        <v>100299</v>
      </c>
      <c r="Y307" t="str">
        <f>IF($Q307="","",INDEX(บันทึกรายเที่ยว!$Q$6:$Q$10005,$R307))</f>
        <v/>
      </c>
      <c r="Z307" t="str">
        <f>IF($Q307="","",INDEX(บันทึกรายเที่ยว!$F$6:$F$10005,$R307))</f>
        <v/>
      </c>
      <c r="AA307" t="str">
        <f>IFERROR(MATCH(300,$X$8:$X$407,1),"")</f>
        <v/>
      </c>
      <c r="AB307" t="str">
        <f>IF(300=$AD$1+1,"G",IF($AA307="","",IF(INDEX($Q$8:$Q$407,$AA307)="","",IF(300&gt;INDEX($X$8:$X$407,$AA307)+INDEX($V$8:$V$407,$AA307)+INDEX($W$8:$W$407,$AA307),"",IF(300=INDEX($X$8:$X$407,$AA307)+INDEX($V$8:$V$407,$AA307)+INDEX($W$8:$W$407,$AA307),"D",IF(AND(INDEX($W$8:$W$407,$AA307)=1,300=INDEX($X$8:$X$407,$AA307)+INDEX($V$8:$V$407,$AA307)),"S","R"))))))</f>
        <v/>
      </c>
      <c r="AC307" t="str">
        <f t="shared" si="67"/>
        <v/>
      </c>
      <c r="AE307">
        <f>IF($U307="",0,COUNTIF(บันทึกรายเที่ยว!$T$6:$T$10005,$U307))</f>
        <v>0</v>
      </c>
      <c r="AF307">
        <f>IF($U307="",0,ROUND(SUMIF(บันทึกรายเที่ยว!$T$6:$T$10005,$U307,บันทึกรายเที่ยว!$J$6:$J$10005),2))</f>
        <v>0</v>
      </c>
      <c r="AG307">
        <f>IF($U307="",0,ROUND(SUMIF(บันทึกรายเที่ยว!$T$6:$T$10005,$U307,บันทึกรายเที่ยว!$K$6:$K$10005),2))</f>
        <v>0</v>
      </c>
      <c r="AH307">
        <f>IF($U307="",0,ROUND(SUMIF(บันทึกรายเที่ยว!$T$6:$T$10005,$U307,บันทึกรายเที่ยว!$M$6:$M$10005),2))</f>
        <v>0</v>
      </c>
    </row>
    <row r="308" spans="1:34" ht="21" customHeight="1" x14ac:dyDescent="0.95">
      <c r="A308" s="3" t="str">
        <f t="shared" si="56"/>
        <v/>
      </c>
      <c r="B308" s="3" t="str">
        <f t="shared" si="57"/>
        <v/>
      </c>
      <c r="C308" s="8" t="str">
        <f t="shared" si="58"/>
        <v/>
      </c>
      <c r="D308" s="31" t="str">
        <f t="shared" si="59"/>
        <v/>
      </c>
      <c r="E308" s="32" t="str">
        <f>IF(301=$AD$1+3,"ขอแสดงความนับถือ",IF(301=$AD$1+6,"(                 )",IF(301=$AD$1+7,"เจ้าหน้าที่ขนส่ง",IF($AB308="G",SUM($AF$8:$AF$407),IF(OR($AB308="",$AB308="R"),"",IF($AB308="D",INDEX($AF$8:$AF$407,$AA308),SUMIF($T$8:$T$407,INDEX($T$8:$T$407,$AA308),$AF$8:$AF$407)))))))</f>
        <v/>
      </c>
      <c r="F308" s="32" t="str">
        <f t="shared" si="60"/>
        <v/>
      </c>
      <c r="G308" s="32" t="str">
        <f t="shared" si="61"/>
        <v/>
      </c>
      <c r="H308" s="32" t="str">
        <f t="shared" si="62"/>
        <v/>
      </c>
      <c r="J308" t="str">
        <f>IFERROR(MATCH(301,บันทึกรายเที่ยว!$W$6:$W$10005,0),"")</f>
        <v/>
      </c>
      <c r="K308" t="str">
        <f>IF($J308="","",INDEX(บันทึกรายเที่ยว!$T$6:$T$10005,$J308))</f>
        <v/>
      </c>
      <c r="L308" t="str">
        <f>IF($J308="","",INDEX(บันทึกรายเที่ยว!$S$6:$S$10005,$J308))</f>
        <v/>
      </c>
      <c r="M308" t="str">
        <f>IF($J308="","",INDEX(บันทึกรายเที่ยว!$R$6:$R$10005,$J308))</f>
        <v/>
      </c>
      <c r="N308" t="str">
        <f>IF($J308="","",MATCH($M308,บันทึกรายเที่ยว!$R$6:$R$10005,0))</f>
        <v/>
      </c>
      <c r="O308" t="str">
        <f>IF($J308="","",MATCH($L308,บันทึกรายเที่ยว!$S$6:$S$10005,0))</f>
        <v/>
      </c>
      <c r="P308" t="str">
        <f>IF($J308="","",IF(AND(OR($I$3="(ทั้งหมด)",INDEX(บันทึกรายเที่ยว!$C$6:$C$10005,$J308)=$I$3),OR($I$5="(ทั้งหมด)",INDEX(บันทึกรายเที่ยว!$D$6:$D$10005,$J308)=$I$5),OR($I$7="(ทั้งหมด)",INDEX(บันทึกรายเที่ยว!$F$6:$F$10005,$J308)=$I$7)),$N308*10000000+$O308*1000+301,""))</f>
        <v/>
      </c>
      <c r="Q308" t="str">
        <f>IFERROR(MATCH(SMALL($P$8:$P$407,301),$P$8:$P$407,0),"")</f>
        <v/>
      </c>
      <c r="R308" t="str">
        <f t="shared" si="63"/>
        <v/>
      </c>
      <c r="S308" t="str">
        <f t="shared" si="64"/>
        <v/>
      </c>
      <c r="T308" t="str">
        <f t="shared" si="65"/>
        <v/>
      </c>
      <c r="U308" t="str">
        <f t="shared" si="66"/>
        <v/>
      </c>
      <c r="V308">
        <f t="shared" si="68"/>
        <v>0</v>
      </c>
      <c r="W308">
        <f t="shared" si="69"/>
        <v>0</v>
      </c>
      <c r="X308">
        <f>IF($Q308="",99999+301,$X307+1+$V307+$W307)</f>
        <v>100300</v>
      </c>
      <c r="Y308" t="str">
        <f>IF($Q308="","",INDEX(บันทึกรายเที่ยว!$Q$6:$Q$10005,$R308))</f>
        <v/>
      </c>
      <c r="Z308" t="str">
        <f>IF($Q308="","",INDEX(บันทึกรายเที่ยว!$F$6:$F$10005,$R308))</f>
        <v/>
      </c>
      <c r="AA308" t="str">
        <f>IFERROR(MATCH(301,$X$8:$X$407,1),"")</f>
        <v/>
      </c>
      <c r="AB308" t="str">
        <f>IF(301=$AD$1+1,"G",IF($AA308="","",IF(INDEX($Q$8:$Q$407,$AA308)="","",IF(301&gt;INDEX($X$8:$X$407,$AA308)+INDEX($V$8:$V$407,$AA308)+INDEX($W$8:$W$407,$AA308),"",IF(301=INDEX($X$8:$X$407,$AA308)+INDEX($V$8:$V$407,$AA308)+INDEX($W$8:$W$407,$AA308),"D",IF(AND(INDEX($W$8:$W$407,$AA308)=1,301=INDEX($X$8:$X$407,$AA308)+INDEX($V$8:$V$407,$AA308)),"S","R"))))))</f>
        <v/>
      </c>
      <c r="AC308" t="str">
        <f t="shared" si="67"/>
        <v/>
      </c>
      <c r="AE308">
        <f>IF($U308="",0,COUNTIF(บันทึกรายเที่ยว!$T$6:$T$10005,$U308))</f>
        <v>0</v>
      </c>
      <c r="AF308">
        <f>IF($U308="",0,ROUND(SUMIF(บันทึกรายเที่ยว!$T$6:$T$10005,$U308,บันทึกรายเที่ยว!$J$6:$J$10005),2))</f>
        <v>0</v>
      </c>
      <c r="AG308">
        <f>IF($U308="",0,ROUND(SUMIF(บันทึกรายเที่ยว!$T$6:$T$10005,$U308,บันทึกรายเที่ยว!$K$6:$K$10005),2))</f>
        <v>0</v>
      </c>
      <c r="AH308">
        <f>IF($U308="",0,ROUND(SUMIF(บันทึกรายเที่ยว!$T$6:$T$10005,$U308,บันทึกรายเที่ยว!$M$6:$M$10005),2))</f>
        <v>0</v>
      </c>
    </row>
    <row r="309" spans="1:34" ht="21" customHeight="1" x14ac:dyDescent="0.95">
      <c r="A309" s="3" t="str">
        <f t="shared" si="56"/>
        <v/>
      </c>
      <c r="B309" s="3" t="str">
        <f t="shared" si="57"/>
        <v/>
      </c>
      <c r="C309" s="8" t="str">
        <f t="shared" si="58"/>
        <v/>
      </c>
      <c r="D309" s="31" t="str">
        <f t="shared" si="59"/>
        <v/>
      </c>
      <c r="E309" s="32" t="str">
        <f>IF(302=$AD$1+3,"ขอแสดงความนับถือ",IF(302=$AD$1+6,"(                 )",IF(302=$AD$1+7,"เจ้าหน้าที่ขนส่ง",IF($AB309="G",SUM($AF$8:$AF$407),IF(OR($AB309="",$AB309="R"),"",IF($AB309="D",INDEX($AF$8:$AF$407,$AA309),SUMIF($T$8:$T$407,INDEX($T$8:$T$407,$AA309),$AF$8:$AF$407)))))))</f>
        <v/>
      </c>
      <c r="F309" s="32" t="str">
        <f t="shared" si="60"/>
        <v/>
      </c>
      <c r="G309" s="32" t="str">
        <f t="shared" si="61"/>
        <v/>
      </c>
      <c r="H309" s="32" t="str">
        <f t="shared" si="62"/>
        <v/>
      </c>
      <c r="J309" t="str">
        <f>IFERROR(MATCH(302,บันทึกรายเที่ยว!$W$6:$W$10005,0),"")</f>
        <v/>
      </c>
      <c r="K309" t="str">
        <f>IF($J309="","",INDEX(บันทึกรายเที่ยว!$T$6:$T$10005,$J309))</f>
        <v/>
      </c>
      <c r="L309" t="str">
        <f>IF($J309="","",INDEX(บันทึกรายเที่ยว!$S$6:$S$10005,$J309))</f>
        <v/>
      </c>
      <c r="M309" t="str">
        <f>IF($J309="","",INDEX(บันทึกรายเที่ยว!$R$6:$R$10005,$J309))</f>
        <v/>
      </c>
      <c r="N309" t="str">
        <f>IF($J309="","",MATCH($M309,บันทึกรายเที่ยว!$R$6:$R$10005,0))</f>
        <v/>
      </c>
      <c r="O309" t="str">
        <f>IF($J309="","",MATCH($L309,บันทึกรายเที่ยว!$S$6:$S$10005,0))</f>
        <v/>
      </c>
      <c r="P309" t="str">
        <f>IF($J309="","",IF(AND(OR($I$3="(ทั้งหมด)",INDEX(บันทึกรายเที่ยว!$C$6:$C$10005,$J309)=$I$3),OR($I$5="(ทั้งหมด)",INDEX(บันทึกรายเที่ยว!$D$6:$D$10005,$J309)=$I$5),OR($I$7="(ทั้งหมด)",INDEX(บันทึกรายเที่ยว!$F$6:$F$10005,$J309)=$I$7)),$N309*10000000+$O309*1000+302,""))</f>
        <v/>
      </c>
      <c r="Q309" t="str">
        <f>IFERROR(MATCH(SMALL($P$8:$P$407,302),$P$8:$P$407,0),"")</f>
        <v/>
      </c>
      <c r="R309" t="str">
        <f t="shared" si="63"/>
        <v/>
      </c>
      <c r="S309" t="str">
        <f t="shared" si="64"/>
        <v/>
      </c>
      <c r="T309" t="str">
        <f t="shared" si="65"/>
        <v/>
      </c>
      <c r="U309" t="str">
        <f t="shared" si="66"/>
        <v/>
      </c>
      <c r="V309">
        <f t="shared" si="68"/>
        <v>0</v>
      </c>
      <c r="W309">
        <f t="shared" si="69"/>
        <v>0</v>
      </c>
      <c r="X309">
        <f>IF($Q309="",99999+302,$X308+1+$V308+$W308)</f>
        <v>100301</v>
      </c>
      <c r="Y309" t="str">
        <f>IF($Q309="","",INDEX(บันทึกรายเที่ยว!$Q$6:$Q$10005,$R309))</f>
        <v/>
      </c>
      <c r="Z309" t="str">
        <f>IF($Q309="","",INDEX(บันทึกรายเที่ยว!$F$6:$F$10005,$R309))</f>
        <v/>
      </c>
      <c r="AA309" t="str">
        <f>IFERROR(MATCH(302,$X$8:$X$407,1),"")</f>
        <v/>
      </c>
      <c r="AB309" t="str">
        <f>IF(302=$AD$1+1,"G",IF($AA309="","",IF(INDEX($Q$8:$Q$407,$AA309)="","",IF(302&gt;INDEX($X$8:$X$407,$AA309)+INDEX($V$8:$V$407,$AA309)+INDEX($W$8:$W$407,$AA309),"",IF(302=INDEX($X$8:$X$407,$AA309)+INDEX($V$8:$V$407,$AA309)+INDEX($W$8:$W$407,$AA309),"D",IF(AND(INDEX($W$8:$W$407,$AA309)=1,302=INDEX($X$8:$X$407,$AA309)+INDEX($V$8:$V$407,$AA309)),"S","R"))))))</f>
        <v/>
      </c>
      <c r="AC309" t="str">
        <f t="shared" si="67"/>
        <v/>
      </c>
      <c r="AE309">
        <f>IF($U309="",0,COUNTIF(บันทึกรายเที่ยว!$T$6:$T$10005,$U309))</f>
        <v>0</v>
      </c>
      <c r="AF309">
        <f>IF($U309="",0,ROUND(SUMIF(บันทึกรายเที่ยว!$T$6:$T$10005,$U309,บันทึกรายเที่ยว!$J$6:$J$10005),2))</f>
        <v>0</v>
      </c>
      <c r="AG309">
        <f>IF($U309="",0,ROUND(SUMIF(บันทึกรายเที่ยว!$T$6:$T$10005,$U309,บันทึกรายเที่ยว!$K$6:$K$10005),2))</f>
        <v>0</v>
      </c>
      <c r="AH309">
        <f>IF($U309="",0,ROUND(SUMIF(บันทึกรายเที่ยว!$T$6:$T$10005,$U309,บันทึกรายเที่ยว!$M$6:$M$10005),2))</f>
        <v>0</v>
      </c>
    </row>
    <row r="310" spans="1:34" ht="21" customHeight="1" x14ac:dyDescent="0.95">
      <c r="A310" s="3" t="str">
        <f t="shared" si="56"/>
        <v/>
      </c>
      <c r="B310" s="3" t="str">
        <f t="shared" si="57"/>
        <v/>
      </c>
      <c r="C310" s="8" t="str">
        <f t="shared" si="58"/>
        <v/>
      </c>
      <c r="D310" s="31" t="str">
        <f t="shared" si="59"/>
        <v/>
      </c>
      <c r="E310" s="32" t="str">
        <f>IF(303=$AD$1+3,"ขอแสดงความนับถือ",IF(303=$AD$1+6,"(                 )",IF(303=$AD$1+7,"เจ้าหน้าที่ขนส่ง",IF($AB310="G",SUM($AF$8:$AF$407),IF(OR($AB310="",$AB310="R"),"",IF($AB310="D",INDEX($AF$8:$AF$407,$AA310),SUMIF($T$8:$T$407,INDEX($T$8:$T$407,$AA310),$AF$8:$AF$407)))))))</f>
        <v/>
      </c>
      <c r="F310" s="32" t="str">
        <f t="shared" si="60"/>
        <v/>
      </c>
      <c r="G310" s="32" t="str">
        <f t="shared" si="61"/>
        <v/>
      </c>
      <c r="H310" s="32" t="str">
        <f t="shared" si="62"/>
        <v/>
      </c>
      <c r="J310" t="str">
        <f>IFERROR(MATCH(303,บันทึกรายเที่ยว!$W$6:$W$10005,0),"")</f>
        <v/>
      </c>
      <c r="K310" t="str">
        <f>IF($J310="","",INDEX(บันทึกรายเที่ยว!$T$6:$T$10005,$J310))</f>
        <v/>
      </c>
      <c r="L310" t="str">
        <f>IF($J310="","",INDEX(บันทึกรายเที่ยว!$S$6:$S$10005,$J310))</f>
        <v/>
      </c>
      <c r="M310" t="str">
        <f>IF($J310="","",INDEX(บันทึกรายเที่ยว!$R$6:$R$10005,$J310))</f>
        <v/>
      </c>
      <c r="N310" t="str">
        <f>IF($J310="","",MATCH($M310,บันทึกรายเที่ยว!$R$6:$R$10005,0))</f>
        <v/>
      </c>
      <c r="O310" t="str">
        <f>IF($J310="","",MATCH($L310,บันทึกรายเที่ยว!$S$6:$S$10005,0))</f>
        <v/>
      </c>
      <c r="P310" t="str">
        <f>IF($J310="","",IF(AND(OR($I$3="(ทั้งหมด)",INDEX(บันทึกรายเที่ยว!$C$6:$C$10005,$J310)=$I$3),OR($I$5="(ทั้งหมด)",INDEX(บันทึกรายเที่ยว!$D$6:$D$10005,$J310)=$I$5),OR($I$7="(ทั้งหมด)",INDEX(บันทึกรายเที่ยว!$F$6:$F$10005,$J310)=$I$7)),$N310*10000000+$O310*1000+303,""))</f>
        <v/>
      </c>
      <c r="Q310" t="str">
        <f>IFERROR(MATCH(SMALL($P$8:$P$407,303),$P$8:$P$407,0),"")</f>
        <v/>
      </c>
      <c r="R310" t="str">
        <f t="shared" si="63"/>
        <v/>
      </c>
      <c r="S310" t="str">
        <f t="shared" si="64"/>
        <v/>
      </c>
      <c r="T310" t="str">
        <f t="shared" si="65"/>
        <v/>
      </c>
      <c r="U310" t="str">
        <f t="shared" si="66"/>
        <v/>
      </c>
      <c r="V310">
        <f t="shared" si="68"/>
        <v>0</v>
      </c>
      <c r="W310">
        <f t="shared" si="69"/>
        <v>0</v>
      </c>
      <c r="X310">
        <f>IF($Q310="",99999+303,$X309+1+$V309+$W309)</f>
        <v>100302</v>
      </c>
      <c r="Y310" t="str">
        <f>IF($Q310="","",INDEX(บันทึกรายเที่ยว!$Q$6:$Q$10005,$R310))</f>
        <v/>
      </c>
      <c r="Z310" t="str">
        <f>IF($Q310="","",INDEX(บันทึกรายเที่ยว!$F$6:$F$10005,$R310))</f>
        <v/>
      </c>
      <c r="AA310" t="str">
        <f>IFERROR(MATCH(303,$X$8:$X$407,1),"")</f>
        <v/>
      </c>
      <c r="AB310" t="str">
        <f>IF(303=$AD$1+1,"G",IF($AA310="","",IF(INDEX($Q$8:$Q$407,$AA310)="","",IF(303&gt;INDEX($X$8:$X$407,$AA310)+INDEX($V$8:$V$407,$AA310)+INDEX($W$8:$W$407,$AA310),"",IF(303=INDEX($X$8:$X$407,$AA310)+INDEX($V$8:$V$407,$AA310)+INDEX($W$8:$W$407,$AA310),"D",IF(AND(INDEX($W$8:$W$407,$AA310)=1,303=INDEX($X$8:$X$407,$AA310)+INDEX($V$8:$V$407,$AA310)),"S","R"))))))</f>
        <v/>
      </c>
      <c r="AC310" t="str">
        <f t="shared" si="67"/>
        <v/>
      </c>
      <c r="AE310">
        <f>IF($U310="",0,COUNTIF(บันทึกรายเที่ยว!$T$6:$T$10005,$U310))</f>
        <v>0</v>
      </c>
      <c r="AF310">
        <f>IF($U310="",0,ROUND(SUMIF(บันทึกรายเที่ยว!$T$6:$T$10005,$U310,บันทึกรายเที่ยว!$J$6:$J$10005),2))</f>
        <v>0</v>
      </c>
      <c r="AG310">
        <f>IF($U310="",0,ROUND(SUMIF(บันทึกรายเที่ยว!$T$6:$T$10005,$U310,บันทึกรายเที่ยว!$K$6:$K$10005),2))</f>
        <v>0</v>
      </c>
      <c r="AH310">
        <f>IF($U310="",0,ROUND(SUMIF(บันทึกรายเที่ยว!$T$6:$T$10005,$U310,บันทึกรายเที่ยว!$M$6:$M$10005),2))</f>
        <v>0</v>
      </c>
    </row>
    <row r="311" spans="1:34" ht="21" customHeight="1" x14ac:dyDescent="0.95">
      <c r="A311" s="3" t="str">
        <f t="shared" si="56"/>
        <v/>
      </c>
      <c r="B311" s="3" t="str">
        <f t="shared" si="57"/>
        <v/>
      </c>
      <c r="C311" s="8" t="str">
        <f t="shared" si="58"/>
        <v/>
      </c>
      <c r="D311" s="31" t="str">
        <f t="shared" si="59"/>
        <v/>
      </c>
      <c r="E311" s="32" t="str">
        <f>IF(304=$AD$1+3,"ขอแสดงความนับถือ",IF(304=$AD$1+6,"(                 )",IF(304=$AD$1+7,"เจ้าหน้าที่ขนส่ง",IF($AB311="G",SUM($AF$8:$AF$407),IF(OR($AB311="",$AB311="R"),"",IF($AB311="D",INDEX($AF$8:$AF$407,$AA311),SUMIF($T$8:$T$407,INDEX($T$8:$T$407,$AA311),$AF$8:$AF$407)))))))</f>
        <v/>
      </c>
      <c r="F311" s="32" t="str">
        <f t="shared" si="60"/>
        <v/>
      </c>
      <c r="G311" s="32" t="str">
        <f t="shared" si="61"/>
        <v/>
      </c>
      <c r="H311" s="32" t="str">
        <f t="shared" si="62"/>
        <v/>
      </c>
      <c r="J311" t="str">
        <f>IFERROR(MATCH(304,บันทึกรายเที่ยว!$W$6:$W$10005,0),"")</f>
        <v/>
      </c>
      <c r="K311" t="str">
        <f>IF($J311="","",INDEX(บันทึกรายเที่ยว!$T$6:$T$10005,$J311))</f>
        <v/>
      </c>
      <c r="L311" t="str">
        <f>IF($J311="","",INDEX(บันทึกรายเที่ยว!$S$6:$S$10005,$J311))</f>
        <v/>
      </c>
      <c r="M311" t="str">
        <f>IF($J311="","",INDEX(บันทึกรายเที่ยว!$R$6:$R$10005,$J311))</f>
        <v/>
      </c>
      <c r="N311" t="str">
        <f>IF($J311="","",MATCH($M311,บันทึกรายเที่ยว!$R$6:$R$10005,0))</f>
        <v/>
      </c>
      <c r="O311" t="str">
        <f>IF($J311="","",MATCH($L311,บันทึกรายเที่ยว!$S$6:$S$10005,0))</f>
        <v/>
      </c>
      <c r="P311" t="str">
        <f>IF($J311="","",IF(AND(OR($I$3="(ทั้งหมด)",INDEX(บันทึกรายเที่ยว!$C$6:$C$10005,$J311)=$I$3),OR($I$5="(ทั้งหมด)",INDEX(บันทึกรายเที่ยว!$D$6:$D$10005,$J311)=$I$5),OR($I$7="(ทั้งหมด)",INDEX(บันทึกรายเที่ยว!$F$6:$F$10005,$J311)=$I$7)),$N311*10000000+$O311*1000+304,""))</f>
        <v/>
      </c>
      <c r="Q311" t="str">
        <f>IFERROR(MATCH(SMALL($P$8:$P$407,304),$P$8:$P$407,0),"")</f>
        <v/>
      </c>
      <c r="R311" t="str">
        <f t="shared" si="63"/>
        <v/>
      </c>
      <c r="S311" t="str">
        <f t="shared" si="64"/>
        <v/>
      </c>
      <c r="T311" t="str">
        <f t="shared" si="65"/>
        <v/>
      </c>
      <c r="U311" t="str">
        <f t="shared" si="66"/>
        <v/>
      </c>
      <c r="V311">
        <f t="shared" si="68"/>
        <v>0</v>
      </c>
      <c r="W311">
        <f t="shared" si="69"/>
        <v>0</v>
      </c>
      <c r="X311">
        <f>IF($Q311="",99999+304,$X310+1+$V310+$W310)</f>
        <v>100303</v>
      </c>
      <c r="Y311" t="str">
        <f>IF($Q311="","",INDEX(บันทึกรายเที่ยว!$Q$6:$Q$10005,$R311))</f>
        <v/>
      </c>
      <c r="Z311" t="str">
        <f>IF($Q311="","",INDEX(บันทึกรายเที่ยว!$F$6:$F$10005,$R311))</f>
        <v/>
      </c>
      <c r="AA311" t="str">
        <f>IFERROR(MATCH(304,$X$8:$X$407,1),"")</f>
        <v/>
      </c>
      <c r="AB311" t="str">
        <f>IF(304=$AD$1+1,"G",IF($AA311="","",IF(INDEX($Q$8:$Q$407,$AA311)="","",IF(304&gt;INDEX($X$8:$X$407,$AA311)+INDEX($V$8:$V$407,$AA311)+INDEX($W$8:$W$407,$AA311),"",IF(304=INDEX($X$8:$X$407,$AA311)+INDEX($V$8:$V$407,$AA311)+INDEX($W$8:$W$407,$AA311),"D",IF(AND(INDEX($W$8:$W$407,$AA311)=1,304=INDEX($X$8:$X$407,$AA311)+INDEX($V$8:$V$407,$AA311)),"S","R"))))))</f>
        <v/>
      </c>
      <c r="AC311" t="str">
        <f t="shared" si="67"/>
        <v/>
      </c>
      <c r="AE311">
        <f>IF($U311="",0,COUNTIF(บันทึกรายเที่ยว!$T$6:$T$10005,$U311))</f>
        <v>0</v>
      </c>
      <c r="AF311">
        <f>IF($U311="",0,ROUND(SUMIF(บันทึกรายเที่ยว!$T$6:$T$10005,$U311,บันทึกรายเที่ยว!$J$6:$J$10005),2))</f>
        <v>0</v>
      </c>
      <c r="AG311">
        <f>IF($U311="",0,ROUND(SUMIF(บันทึกรายเที่ยว!$T$6:$T$10005,$U311,บันทึกรายเที่ยว!$K$6:$K$10005),2))</f>
        <v>0</v>
      </c>
      <c r="AH311">
        <f>IF($U311="",0,ROUND(SUMIF(บันทึกรายเที่ยว!$T$6:$T$10005,$U311,บันทึกรายเที่ยว!$M$6:$M$10005),2))</f>
        <v>0</v>
      </c>
    </row>
    <row r="312" spans="1:34" ht="21" customHeight="1" x14ac:dyDescent="0.95">
      <c r="A312" s="3" t="str">
        <f t="shared" si="56"/>
        <v/>
      </c>
      <c r="B312" s="3" t="str">
        <f t="shared" si="57"/>
        <v/>
      </c>
      <c r="C312" s="8" t="str">
        <f t="shared" si="58"/>
        <v/>
      </c>
      <c r="D312" s="31" t="str">
        <f t="shared" si="59"/>
        <v/>
      </c>
      <c r="E312" s="32" t="str">
        <f>IF(305=$AD$1+3,"ขอแสดงความนับถือ",IF(305=$AD$1+6,"(                 )",IF(305=$AD$1+7,"เจ้าหน้าที่ขนส่ง",IF($AB312="G",SUM($AF$8:$AF$407),IF(OR($AB312="",$AB312="R"),"",IF($AB312="D",INDEX($AF$8:$AF$407,$AA312),SUMIF($T$8:$T$407,INDEX($T$8:$T$407,$AA312),$AF$8:$AF$407)))))))</f>
        <v/>
      </c>
      <c r="F312" s="32" t="str">
        <f t="shared" si="60"/>
        <v/>
      </c>
      <c r="G312" s="32" t="str">
        <f t="shared" si="61"/>
        <v/>
      </c>
      <c r="H312" s="32" t="str">
        <f t="shared" si="62"/>
        <v/>
      </c>
      <c r="J312" t="str">
        <f>IFERROR(MATCH(305,บันทึกรายเที่ยว!$W$6:$W$10005,0),"")</f>
        <v/>
      </c>
      <c r="K312" t="str">
        <f>IF($J312="","",INDEX(บันทึกรายเที่ยว!$T$6:$T$10005,$J312))</f>
        <v/>
      </c>
      <c r="L312" t="str">
        <f>IF($J312="","",INDEX(บันทึกรายเที่ยว!$S$6:$S$10005,$J312))</f>
        <v/>
      </c>
      <c r="M312" t="str">
        <f>IF($J312="","",INDEX(บันทึกรายเที่ยว!$R$6:$R$10005,$J312))</f>
        <v/>
      </c>
      <c r="N312" t="str">
        <f>IF($J312="","",MATCH($M312,บันทึกรายเที่ยว!$R$6:$R$10005,0))</f>
        <v/>
      </c>
      <c r="O312" t="str">
        <f>IF($J312="","",MATCH($L312,บันทึกรายเที่ยว!$S$6:$S$10005,0))</f>
        <v/>
      </c>
      <c r="P312" t="str">
        <f>IF($J312="","",IF(AND(OR($I$3="(ทั้งหมด)",INDEX(บันทึกรายเที่ยว!$C$6:$C$10005,$J312)=$I$3),OR($I$5="(ทั้งหมด)",INDEX(บันทึกรายเที่ยว!$D$6:$D$10005,$J312)=$I$5),OR($I$7="(ทั้งหมด)",INDEX(บันทึกรายเที่ยว!$F$6:$F$10005,$J312)=$I$7)),$N312*10000000+$O312*1000+305,""))</f>
        <v/>
      </c>
      <c r="Q312" t="str">
        <f>IFERROR(MATCH(SMALL($P$8:$P$407,305),$P$8:$P$407,0),"")</f>
        <v/>
      </c>
      <c r="R312" t="str">
        <f t="shared" si="63"/>
        <v/>
      </c>
      <c r="S312" t="str">
        <f t="shared" si="64"/>
        <v/>
      </c>
      <c r="T312" t="str">
        <f t="shared" si="65"/>
        <v/>
      </c>
      <c r="U312" t="str">
        <f t="shared" si="66"/>
        <v/>
      </c>
      <c r="V312">
        <f t="shared" si="68"/>
        <v>0</v>
      </c>
      <c r="W312">
        <f t="shared" si="69"/>
        <v>0</v>
      </c>
      <c r="X312">
        <f>IF($Q312="",99999+305,$X311+1+$V311+$W311)</f>
        <v>100304</v>
      </c>
      <c r="Y312" t="str">
        <f>IF($Q312="","",INDEX(บันทึกรายเที่ยว!$Q$6:$Q$10005,$R312))</f>
        <v/>
      </c>
      <c r="Z312" t="str">
        <f>IF($Q312="","",INDEX(บันทึกรายเที่ยว!$F$6:$F$10005,$R312))</f>
        <v/>
      </c>
      <c r="AA312" t="str">
        <f>IFERROR(MATCH(305,$X$8:$X$407,1),"")</f>
        <v/>
      </c>
      <c r="AB312" t="str">
        <f>IF(305=$AD$1+1,"G",IF($AA312="","",IF(INDEX($Q$8:$Q$407,$AA312)="","",IF(305&gt;INDEX($X$8:$X$407,$AA312)+INDEX($V$8:$V$407,$AA312)+INDEX($W$8:$W$407,$AA312),"",IF(305=INDEX($X$8:$X$407,$AA312)+INDEX($V$8:$V$407,$AA312)+INDEX($W$8:$W$407,$AA312),"D",IF(AND(INDEX($W$8:$W$407,$AA312)=1,305=INDEX($X$8:$X$407,$AA312)+INDEX($V$8:$V$407,$AA312)),"S","R"))))))</f>
        <v/>
      </c>
      <c r="AC312" t="str">
        <f t="shared" si="67"/>
        <v/>
      </c>
      <c r="AE312">
        <f>IF($U312="",0,COUNTIF(บันทึกรายเที่ยว!$T$6:$T$10005,$U312))</f>
        <v>0</v>
      </c>
      <c r="AF312">
        <f>IF($U312="",0,ROUND(SUMIF(บันทึกรายเที่ยว!$T$6:$T$10005,$U312,บันทึกรายเที่ยว!$J$6:$J$10005),2))</f>
        <v>0</v>
      </c>
      <c r="AG312">
        <f>IF($U312="",0,ROUND(SUMIF(บันทึกรายเที่ยว!$T$6:$T$10005,$U312,บันทึกรายเที่ยว!$K$6:$K$10005),2))</f>
        <v>0</v>
      </c>
      <c r="AH312">
        <f>IF($U312="",0,ROUND(SUMIF(บันทึกรายเที่ยว!$T$6:$T$10005,$U312,บันทึกรายเที่ยว!$M$6:$M$10005),2))</f>
        <v>0</v>
      </c>
    </row>
    <row r="313" spans="1:34" ht="21" customHeight="1" x14ac:dyDescent="0.95">
      <c r="A313" s="3" t="str">
        <f t="shared" si="56"/>
        <v/>
      </c>
      <c r="B313" s="3" t="str">
        <f t="shared" si="57"/>
        <v/>
      </c>
      <c r="C313" s="8" t="str">
        <f t="shared" si="58"/>
        <v/>
      </c>
      <c r="D313" s="31" t="str">
        <f t="shared" si="59"/>
        <v/>
      </c>
      <c r="E313" s="32" t="str">
        <f>IF(306=$AD$1+3,"ขอแสดงความนับถือ",IF(306=$AD$1+6,"(                 )",IF(306=$AD$1+7,"เจ้าหน้าที่ขนส่ง",IF($AB313="G",SUM($AF$8:$AF$407),IF(OR($AB313="",$AB313="R"),"",IF($AB313="D",INDEX($AF$8:$AF$407,$AA313),SUMIF($T$8:$T$407,INDEX($T$8:$T$407,$AA313),$AF$8:$AF$407)))))))</f>
        <v/>
      </c>
      <c r="F313" s="32" t="str">
        <f t="shared" si="60"/>
        <v/>
      </c>
      <c r="G313" s="32" t="str">
        <f t="shared" si="61"/>
        <v/>
      </c>
      <c r="H313" s="32" t="str">
        <f t="shared" si="62"/>
        <v/>
      </c>
      <c r="J313" t="str">
        <f>IFERROR(MATCH(306,บันทึกรายเที่ยว!$W$6:$W$10005,0),"")</f>
        <v/>
      </c>
      <c r="K313" t="str">
        <f>IF($J313="","",INDEX(บันทึกรายเที่ยว!$T$6:$T$10005,$J313))</f>
        <v/>
      </c>
      <c r="L313" t="str">
        <f>IF($J313="","",INDEX(บันทึกรายเที่ยว!$S$6:$S$10005,$J313))</f>
        <v/>
      </c>
      <c r="M313" t="str">
        <f>IF($J313="","",INDEX(บันทึกรายเที่ยว!$R$6:$R$10005,$J313))</f>
        <v/>
      </c>
      <c r="N313" t="str">
        <f>IF($J313="","",MATCH($M313,บันทึกรายเที่ยว!$R$6:$R$10005,0))</f>
        <v/>
      </c>
      <c r="O313" t="str">
        <f>IF($J313="","",MATCH($L313,บันทึกรายเที่ยว!$S$6:$S$10005,0))</f>
        <v/>
      </c>
      <c r="P313" t="str">
        <f>IF($J313="","",IF(AND(OR($I$3="(ทั้งหมด)",INDEX(บันทึกรายเที่ยว!$C$6:$C$10005,$J313)=$I$3),OR($I$5="(ทั้งหมด)",INDEX(บันทึกรายเที่ยว!$D$6:$D$10005,$J313)=$I$5),OR($I$7="(ทั้งหมด)",INDEX(บันทึกรายเที่ยว!$F$6:$F$10005,$J313)=$I$7)),$N313*10000000+$O313*1000+306,""))</f>
        <v/>
      </c>
      <c r="Q313" t="str">
        <f>IFERROR(MATCH(SMALL($P$8:$P$407,306),$P$8:$P$407,0),"")</f>
        <v/>
      </c>
      <c r="R313" t="str">
        <f t="shared" si="63"/>
        <v/>
      </c>
      <c r="S313" t="str">
        <f t="shared" si="64"/>
        <v/>
      </c>
      <c r="T313" t="str">
        <f t="shared" si="65"/>
        <v/>
      </c>
      <c r="U313" t="str">
        <f t="shared" si="66"/>
        <v/>
      </c>
      <c r="V313">
        <f t="shared" si="68"/>
        <v>0</v>
      </c>
      <c r="W313">
        <f t="shared" si="69"/>
        <v>0</v>
      </c>
      <c r="X313">
        <f>IF($Q313="",99999+306,$X312+1+$V312+$W312)</f>
        <v>100305</v>
      </c>
      <c r="Y313" t="str">
        <f>IF($Q313="","",INDEX(บันทึกรายเที่ยว!$Q$6:$Q$10005,$R313))</f>
        <v/>
      </c>
      <c r="Z313" t="str">
        <f>IF($Q313="","",INDEX(บันทึกรายเที่ยว!$F$6:$F$10005,$R313))</f>
        <v/>
      </c>
      <c r="AA313" t="str">
        <f>IFERROR(MATCH(306,$X$8:$X$407,1),"")</f>
        <v/>
      </c>
      <c r="AB313" t="str">
        <f>IF(306=$AD$1+1,"G",IF($AA313="","",IF(INDEX($Q$8:$Q$407,$AA313)="","",IF(306&gt;INDEX($X$8:$X$407,$AA313)+INDEX($V$8:$V$407,$AA313)+INDEX($W$8:$W$407,$AA313),"",IF(306=INDEX($X$8:$X$407,$AA313)+INDEX($V$8:$V$407,$AA313)+INDEX($W$8:$W$407,$AA313),"D",IF(AND(INDEX($W$8:$W$407,$AA313)=1,306=INDEX($X$8:$X$407,$AA313)+INDEX($V$8:$V$407,$AA313)),"S","R"))))))</f>
        <v/>
      </c>
      <c r="AC313" t="str">
        <f t="shared" si="67"/>
        <v/>
      </c>
      <c r="AE313">
        <f>IF($U313="",0,COUNTIF(บันทึกรายเที่ยว!$T$6:$T$10005,$U313))</f>
        <v>0</v>
      </c>
      <c r="AF313">
        <f>IF($U313="",0,ROUND(SUMIF(บันทึกรายเที่ยว!$T$6:$T$10005,$U313,บันทึกรายเที่ยว!$J$6:$J$10005),2))</f>
        <v>0</v>
      </c>
      <c r="AG313">
        <f>IF($U313="",0,ROUND(SUMIF(บันทึกรายเที่ยว!$T$6:$T$10005,$U313,บันทึกรายเที่ยว!$K$6:$K$10005),2))</f>
        <v>0</v>
      </c>
      <c r="AH313">
        <f>IF($U313="",0,ROUND(SUMIF(บันทึกรายเที่ยว!$T$6:$T$10005,$U313,บันทึกรายเที่ยว!$M$6:$M$10005),2))</f>
        <v>0</v>
      </c>
    </row>
    <row r="314" spans="1:34" ht="21" customHeight="1" x14ac:dyDescent="0.95">
      <c r="A314" s="3" t="str">
        <f t="shared" si="56"/>
        <v/>
      </c>
      <c r="B314" s="3" t="str">
        <f t="shared" si="57"/>
        <v/>
      </c>
      <c r="C314" s="8" t="str">
        <f t="shared" si="58"/>
        <v/>
      </c>
      <c r="D314" s="31" t="str">
        <f t="shared" si="59"/>
        <v/>
      </c>
      <c r="E314" s="32" t="str">
        <f>IF(307=$AD$1+3,"ขอแสดงความนับถือ",IF(307=$AD$1+6,"(                 )",IF(307=$AD$1+7,"เจ้าหน้าที่ขนส่ง",IF($AB314="G",SUM($AF$8:$AF$407),IF(OR($AB314="",$AB314="R"),"",IF($AB314="D",INDEX($AF$8:$AF$407,$AA314),SUMIF($T$8:$T$407,INDEX($T$8:$T$407,$AA314),$AF$8:$AF$407)))))))</f>
        <v/>
      </c>
      <c r="F314" s="32" t="str">
        <f t="shared" si="60"/>
        <v/>
      </c>
      <c r="G314" s="32" t="str">
        <f t="shared" si="61"/>
        <v/>
      </c>
      <c r="H314" s="32" t="str">
        <f t="shared" si="62"/>
        <v/>
      </c>
      <c r="J314" t="str">
        <f>IFERROR(MATCH(307,บันทึกรายเที่ยว!$W$6:$W$10005,0),"")</f>
        <v/>
      </c>
      <c r="K314" t="str">
        <f>IF($J314="","",INDEX(บันทึกรายเที่ยว!$T$6:$T$10005,$J314))</f>
        <v/>
      </c>
      <c r="L314" t="str">
        <f>IF($J314="","",INDEX(บันทึกรายเที่ยว!$S$6:$S$10005,$J314))</f>
        <v/>
      </c>
      <c r="M314" t="str">
        <f>IF($J314="","",INDEX(บันทึกรายเที่ยว!$R$6:$R$10005,$J314))</f>
        <v/>
      </c>
      <c r="N314" t="str">
        <f>IF($J314="","",MATCH($M314,บันทึกรายเที่ยว!$R$6:$R$10005,0))</f>
        <v/>
      </c>
      <c r="O314" t="str">
        <f>IF($J314="","",MATCH($L314,บันทึกรายเที่ยว!$S$6:$S$10005,0))</f>
        <v/>
      </c>
      <c r="P314" t="str">
        <f>IF($J314="","",IF(AND(OR($I$3="(ทั้งหมด)",INDEX(บันทึกรายเที่ยว!$C$6:$C$10005,$J314)=$I$3),OR($I$5="(ทั้งหมด)",INDEX(บันทึกรายเที่ยว!$D$6:$D$10005,$J314)=$I$5),OR($I$7="(ทั้งหมด)",INDEX(บันทึกรายเที่ยว!$F$6:$F$10005,$J314)=$I$7)),$N314*10000000+$O314*1000+307,""))</f>
        <v/>
      </c>
      <c r="Q314" t="str">
        <f>IFERROR(MATCH(SMALL($P$8:$P$407,307),$P$8:$P$407,0),"")</f>
        <v/>
      </c>
      <c r="R314" t="str">
        <f t="shared" si="63"/>
        <v/>
      </c>
      <c r="S314" t="str">
        <f t="shared" si="64"/>
        <v/>
      </c>
      <c r="T314" t="str">
        <f t="shared" si="65"/>
        <v/>
      </c>
      <c r="U314" t="str">
        <f t="shared" si="66"/>
        <v/>
      </c>
      <c r="V314">
        <f t="shared" si="68"/>
        <v>0</v>
      </c>
      <c r="W314">
        <f t="shared" si="69"/>
        <v>0</v>
      </c>
      <c r="X314">
        <f>IF($Q314="",99999+307,$X313+1+$V313+$W313)</f>
        <v>100306</v>
      </c>
      <c r="Y314" t="str">
        <f>IF($Q314="","",INDEX(บันทึกรายเที่ยว!$Q$6:$Q$10005,$R314))</f>
        <v/>
      </c>
      <c r="Z314" t="str">
        <f>IF($Q314="","",INDEX(บันทึกรายเที่ยว!$F$6:$F$10005,$R314))</f>
        <v/>
      </c>
      <c r="AA314" t="str">
        <f>IFERROR(MATCH(307,$X$8:$X$407,1),"")</f>
        <v/>
      </c>
      <c r="AB314" t="str">
        <f>IF(307=$AD$1+1,"G",IF($AA314="","",IF(INDEX($Q$8:$Q$407,$AA314)="","",IF(307&gt;INDEX($X$8:$X$407,$AA314)+INDEX($V$8:$V$407,$AA314)+INDEX($W$8:$W$407,$AA314),"",IF(307=INDEX($X$8:$X$407,$AA314)+INDEX($V$8:$V$407,$AA314)+INDEX($W$8:$W$407,$AA314),"D",IF(AND(INDEX($W$8:$W$407,$AA314)=1,307=INDEX($X$8:$X$407,$AA314)+INDEX($V$8:$V$407,$AA314)),"S","R"))))))</f>
        <v/>
      </c>
      <c r="AC314" t="str">
        <f t="shared" si="67"/>
        <v/>
      </c>
      <c r="AE314">
        <f>IF($U314="",0,COUNTIF(บันทึกรายเที่ยว!$T$6:$T$10005,$U314))</f>
        <v>0</v>
      </c>
      <c r="AF314">
        <f>IF($U314="",0,ROUND(SUMIF(บันทึกรายเที่ยว!$T$6:$T$10005,$U314,บันทึกรายเที่ยว!$J$6:$J$10005),2))</f>
        <v>0</v>
      </c>
      <c r="AG314">
        <f>IF($U314="",0,ROUND(SUMIF(บันทึกรายเที่ยว!$T$6:$T$10005,$U314,บันทึกรายเที่ยว!$K$6:$K$10005),2))</f>
        <v>0</v>
      </c>
      <c r="AH314">
        <f>IF($U314="",0,ROUND(SUMIF(บันทึกรายเที่ยว!$T$6:$T$10005,$U314,บันทึกรายเที่ยว!$M$6:$M$10005),2))</f>
        <v>0</v>
      </c>
    </row>
    <row r="315" spans="1:34" ht="21" customHeight="1" x14ac:dyDescent="0.95">
      <c r="A315" s="3" t="str">
        <f t="shared" si="56"/>
        <v/>
      </c>
      <c r="B315" s="3" t="str">
        <f t="shared" si="57"/>
        <v/>
      </c>
      <c r="C315" s="8" t="str">
        <f t="shared" si="58"/>
        <v/>
      </c>
      <c r="D315" s="31" t="str">
        <f t="shared" si="59"/>
        <v/>
      </c>
      <c r="E315" s="32" t="str">
        <f>IF(308=$AD$1+3,"ขอแสดงความนับถือ",IF(308=$AD$1+6,"(                 )",IF(308=$AD$1+7,"เจ้าหน้าที่ขนส่ง",IF($AB315="G",SUM($AF$8:$AF$407),IF(OR($AB315="",$AB315="R"),"",IF($AB315="D",INDEX($AF$8:$AF$407,$AA315),SUMIF($T$8:$T$407,INDEX($T$8:$T$407,$AA315),$AF$8:$AF$407)))))))</f>
        <v/>
      </c>
      <c r="F315" s="32" t="str">
        <f t="shared" si="60"/>
        <v/>
      </c>
      <c r="G315" s="32" t="str">
        <f t="shared" si="61"/>
        <v/>
      </c>
      <c r="H315" s="32" t="str">
        <f t="shared" si="62"/>
        <v/>
      </c>
      <c r="J315" t="str">
        <f>IFERROR(MATCH(308,บันทึกรายเที่ยว!$W$6:$W$10005,0),"")</f>
        <v/>
      </c>
      <c r="K315" t="str">
        <f>IF($J315="","",INDEX(บันทึกรายเที่ยว!$T$6:$T$10005,$J315))</f>
        <v/>
      </c>
      <c r="L315" t="str">
        <f>IF($J315="","",INDEX(บันทึกรายเที่ยว!$S$6:$S$10005,$J315))</f>
        <v/>
      </c>
      <c r="M315" t="str">
        <f>IF($J315="","",INDEX(บันทึกรายเที่ยว!$R$6:$R$10005,$J315))</f>
        <v/>
      </c>
      <c r="N315" t="str">
        <f>IF($J315="","",MATCH($M315,บันทึกรายเที่ยว!$R$6:$R$10005,0))</f>
        <v/>
      </c>
      <c r="O315" t="str">
        <f>IF($J315="","",MATCH($L315,บันทึกรายเที่ยว!$S$6:$S$10005,0))</f>
        <v/>
      </c>
      <c r="P315" t="str">
        <f>IF($J315="","",IF(AND(OR($I$3="(ทั้งหมด)",INDEX(บันทึกรายเที่ยว!$C$6:$C$10005,$J315)=$I$3),OR($I$5="(ทั้งหมด)",INDEX(บันทึกรายเที่ยว!$D$6:$D$10005,$J315)=$I$5),OR($I$7="(ทั้งหมด)",INDEX(บันทึกรายเที่ยว!$F$6:$F$10005,$J315)=$I$7)),$N315*10000000+$O315*1000+308,""))</f>
        <v/>
      </c>
      <c r="Q315" t="str">
        <f>IFERROR(MATCH(SMALL($P$8:$P$407,308),$P$8:$P$407,0),"")</f>
        <v/>
      </c>
      <c r="R315" t="str">
        <f t="shared" si="63"/>
        <v/>
      </c>
      <c r="S315" t="str">
        <f t="shared" si="64"/>
        <v/>
      </c>
      <c r="T315" t="str">
        <f t="shared" si="65"/>
        <v/>
      </c>
      <c r="U315" t="str">
        <f t="shared" si="66"/>
        <v/>
      </c>
      <c r="V315">
        <f t="shared" si="68"/>
        <v>0</v>
      </c>
      <c r="W315">
        <f t="shared" si="69"/>
        <v>0</v>
      </c>
      <c r="X315">
        <f>IF($Q315="",99999+308,$X314+1+$V314+$W314)</f>
        <v>100307</v>
      </c>
      <c r="Y315" t="str">
        <f>IF($Q315="","",INDEX(บันทึกรายเที่ยว!$Q$6:$Q$10005,$R315))</f>
        <v/>
      </c>
      <c r="Z315" t="str">
        <f>IF($Q315="","",INDEX(บันทึกรายเที่ยว!$F$6:$F$10005,$R315))</f>
        <v/>
      </c>
      <c r="AA315" t="str">
        <f>IFERROR(MATCH(308,$X$8:$X$407,1),"")</f>
        <v/>
      </c>
      <c r="AB315" t="str">
        <f>IF(308=$AD$1+1,"G",IF($AA315="","",IF(INDEX($Q$8:$Q$407,$AA315)="","",IF(308&gt;INDEX($X$8:$X$407,$AA315)+INDEX($V$8:$V$407,$AA315)+INDEX($W$8:$W$407,$AA315),"",IF(308=INDEX($X$8:$X$407,$AA315)+INDEX($V$8:$V$407,$AA315)+INDEX($W$8:$W$407,$AA315),"D",IF(AND(INDEX($W$8:$W$407,$AA315)=1,308=INDEX($X$8:$X$407,$AA315)+INDEX($V$8:$V$407,$AA315)),"S","R"))))))</f>
        <v/>
      </c>
      <c r="AC315" t="str">
        <f t="shared" si="67"/>
        <v/>
      </c>
      <c r="AE315">
        <f>IF($U315="",0,COUNTIF(บันทึกรายเที่ยว!$T$6:$T$10005,$U315))</f>
        <v>0</v>
      </c>
      <c r="AF315">
        <f>IF($U315="",0,ROUND(SUMIF(บันทึกรายเที่ยว!$T$6:$T$10005,$U315,บันทึกรายเที่ยว!$J$6:$J$10005),2))</f>
        <v>0</v>
      </c>
      <c r="AG315">
        <f>IF($U315="",0,ROUND(SUMIF(บันทึกรายเที่ยว!$T$6:$T$10005,$U315,บันทึกรายเที่ยว!$K$6:$K$10005),2))</f>
        <v>0</v>
      </c>
      <c r="AH315">
        <f>IF($U315="",0,ROUND(SUMIF(บันทึกรายเที่ยว!$T$6:$T$10005,$U315,บันทึกรายเที่ยว!$M$6:$M$10005),2))</f>
        <v>0</v>
      </c>
    </row>
    <row r="316" spans="1:34" ht="21" customHeight="1" x14ac:dyDescent="0.95">
      <c r="A316" s="3" t="str">
        <f t="shared" si="56"/>
        <v/>
      </c>
      <c r="B316" s="3" t="str">
        <f t="shared" si="57"/>
        <v/>
      </c>
      <c r="C316" s="8" t="str">
        <f t="shared" si="58"/>
        <v/>
      </c>
      <c r="D316" s="31" t="str">
        <f t="shared" si="59"/>
        <v/>
      </c>
      <c r="E316" s="32" t="str">
        <f>IF(309=$AD$1+3,"ขอแสดงความนับถือ",IF(309=$AD$1+6,"(                 )",IF(309=$AD$1+7,"เจ้าหน้าที่ขนส่ง",IF($AB316="G",SUM($AF$8:$AF$407),IF(OR($AB316="",$AB316="R"),"",IF($AB316="D",INDEX($AF$8:$AF$407,$AA316),SUMIF($T$8:$T$407,INDEX($T$8:$T$407,$AA316),$AF$8:$AF$407)))))))</f>
        <v/>
      </c>
      <c r="F316" s="32" t="str">
        <f t="shared" si="60"/>
        <v/>
      </c>
      <c r="G316" s="32" t="str">
        <f t="shared" si="61"/>
        <v/>
      </c>
      <c r="H316" s="32" t="str">
        <f t="shared" si="62"/>
        <v/>
      </c>
      <c r="J316" t="str">
        <f>IFERROR(MATCH(309,บันทึกรายเที่ยว!$W$6:$W$10005,0),"")</f>
        <v/>
      </c>
      <c r="K316" t="str">
        <f>IF($J316="","",INDEX(บันทึกรายเที่ยว!$T$6:$T$10005,$J316))</f>
        <v/>
      </c>
      <c r="L316" t="str">
        <f>IF($J316="","",INDEX(บันทึกรายเที่ยว!$S$6:$S$10005,$J316))</f>
        <v/>
      </c>
      <c r="M316" t="str">
        <f>IF($J316="","",INDEX(บันทึกรายเที่ยว!$R$6:$R$10005,$J316))</f>
        <v/>
      </c>
      <c r="N316" t="str">
        <f>IF($J316="","",MATCH($M316,บันทึกรายเที่ยว!$R$6:$R$10005,0))</f>
        <v/>
      </c>
      <c r="O316" t="str">
        <f>IF($J316="","",MATCH($L316,บันทึกรายเที่ยว!$S$6:$S$10005,0))</f>
        <v/>
      </c>
      <c r="P316" t="str">
        <f>IF($J316="","",IF(AND(OR($I$3="(ทั้งหมด)",INDEX(บันทึกรายเที่ยว!$C$6:$C$10005,$J316)=$I$3),OR($I$5="(ทั้งหมด)",INDEX(บันทึกรายเที่ยว!$D$6:$D$10005,$J316)=$I$5),OR($I$7="(ทั้งหมด)",INDEX(บันทึกรายเที่ยว!$F$6:$F$10005,$J316)=$I$7)),$N316*10000000+$O316*1000+309,""))</f>
        <v/>
      </c>
      <c r="Q316" t="str">
        <f>IFERROR(MATCH(SMALL($P$8:$P$407,309),$P$8:$P$407,0),"")</f>
        <v/>
      </c>
      <c r="R316" t="str">
        <f t="shared" si="63"/>
        <v/>
      </c>
      <c r="S316" t="str">
        <f t="shared" si="64"/>
        <v/>
      </c>
      <c r="T316" t="str">
        <f t="shared" si="65"/>
        <v/>
      </c>
      <c r="U316" t="str">
        <f t="shared" si="66"/>
        <v/>
      </c>
      <c r="V316">
        <f t="shared" si="68"/>
        <v>0</v>
      </c>
      <c r="W316">
        <f t="shared" si="69"/>
        <v>0</v>
      </c>
      <c r="X316">
        <f>IF($Q316="",99999+309,$X315+1+$V315+$W315)</f>
        <v>100308</v>
      </c>
      <c r="Y316" t="str">
        <f>IF($Q316="","",INDEX(บันทึกรายเที่ยว!$Q$6:$Q$10005,$R316))</f>
        <v/>
      </c>
      <c r="Z316" t="str">
        <f>IF($Q316="","",INDEX(บันทึกรายเที่ยว!$F$6:$F$10005,$R316))</f>
        <v/>
      </c>
      <c r="AA316" t="str">
        <f>IFERROR(MATCH(309,$X$8:$X$407,1),"")</f>
        <v/>
      </c>
      <c r="AB316" t="str">
        <f>IF(309=$AD$1+1,"G",IF($AA316="","",IF(INDEX($Q$8:$Q$407,$AA316)="","",IF(309&gt;INDEX($X$8:$X$407,$AA316)+INDEX($V$8:$V$407,$AA316)+INDEX($W$8:$W$407,$AA316),"",IF(309=INDEX($X$8:$X$407,$AA316)+INDEX($V$8:$V$407,$AA316)+INDEX($W$8:$W$407,$AA316),"D",IF(AND(INDEX($W$8:$W$407,$AA316)=1,309=INDEX($X$8:$X$407,$AA316)+INDEX($V$8:$V$407,$AA316)),"S","R"))))))</f>
        <v/>
      </c>
      <c r="AC316" t="str">
        <f t="shared" si="67"/>
        <v/>
      </c>
      <c r="AE316">
        <f>IF($U316="",0,COUNTIF(บันทึกรายเที่ยว!$T$6:$T$10005,$U316))</f>
        <v>0</v>
      </c>
      <c r="AF316">
        <f>IF($U316="",0,ROUND(SUMIF(บันทึกรายเที่ยว!$T$6:$T$10005,$U316,บันทึกรายเที่ยว!$J$6:$J$10005),2))</f>
        <v>0</v>
      </c>
      <c r="AG316">
        <f>IF($U316="",0,ROUND(SUMIF(บันทึกรายเที่ยว!$T$6:$T$10005,$U316,บันทึกรายเที่ยว!$K$6:$K$10005),2))</f>
        <v>0</v>
      </c>
      <c r="AH316">
        <f>IF($U316="",0,ROUND(SUMIF(บันทึกรายเที่ยว!$T$6:$T$10005,$U316,บันทึกรายเที่ยว!$M$6:$M$10005),2))</f>
        <v>0</v>
      </c>
    </row>
    <row r="317" spans="1:34" ht="21" customHeight="1" x14ac:dyDescent="0.95">
      <c r="A317" s="3" t="str">
        <f t="shared" si="56"/>
        <v/>
      </c>
      <c r="B317" s="3" t="str">
        <f t="shared" si="57"/>
        <v/>
      </c>
      <c r="C317" s="8" t="str">
        <f t="shared" si="58"/>
        <v/>
      </c>
      <c r="D317" s="31" t="str">
        <f t="shared" si="59"/>
        <v/>
      </c>
      <c r="E317" s="32" t="str">
        <f>IF(310=$AD$1+3,"ขอแสดงความนับถือ",IF(310=$AD$1+6,"(                 )",IF(310=$AD$1+7,"เจ้าหน้าที่ขนส่ง",IF($AB317="G",SUM($AF$8:$AF$407),IF(OR($AB317="",$AB317="R"),"",IF($AB317="D",INDEX($AF$8:$AF$407,$AA317),SUMIF($T$8:$T$407,INDEX($T$8:$T$407,$AA317),$AF$8:$AF$407)))))))</f>
        <v/>
      </c>
      <c r="F317" s="32" t="str">
        <f t="shared" si="60"/>
        <v/>
      </c>
      <c r="G317" s="32" t="str">
        <f t="shared" si="61"/>
        <v/>
      </c>
      <c r="H317" s="32" t="str">
        <f t="shared" si="62"/>
        <v/>
      </c>
      <c r="J317" t="str">
        <f>IFERROR(MATCH(310,บันทึกรายเที่ยว!$W$6:$W$10005,0),"")</f>
        <v/>
      </c>
      <c r="K317" t="str">
        <f>IF($J317="","",INDEX(บันทึกรายเที่ยว!$T$6:$T$10005,$J317))</f>
        <v/>
      </c>
      <c r="L317" t="str">
        <f>IF($J317="","",INDEX(บันทึกรายเที่ยว!$S$6:$S$10005,$J317))</f>
        <v/>
      </c>
      <c r="M317" t="str">
        <f>IF($J317="","",INDEX(บันทึกรายเที่ยว!$R$6:$R$10005,$J317))</f>
        <v/>
      </c>
      <c r="N317" t="str">
        <f>IF($J317="","",MATCH($M317,บันทึกรายเที่ยว!$R$6:$R$10005,0))</f>
        <v/>
      </c>
      <c r="O317" t="str">
        <f>IF($J317="","",MATCH($L317,บันทึกรายเที่ยว!$S$6:$S$10005,0))</f>
        <v/>
      </c>
      <c r="P317" t="str">
        <f>IF($J317="","",IF(AND(OR($I$3="(ทั้งหมด)",INDEX(บันทึกรายเที่ยว!$C$6:$C$10005,$J317)=$I$3),OR($I$5="(ทั้งหมด)",INDEX(บันทึกรายเที่ยว!$D$6:$D$10005,$J317)=$I$5),OR($I$7="(ทั้งหมด)",INDEX(บันทึกรายเที่ยว!$F$6:$F$10005,$J317)=$I$7)),$N317*10000000+$O317*1000+310,""))</f>
        <v/>
      </c>
      <c r="Q317" t="str">
        <f>IFERROR(MATCH(SMALL($P$8:$P$407,310),$P$8:$P$407,0),"")</f>
        <v/>
      </c>
      <c r="R317" t="str">
        <f t="shared" si="63"/>
        <v/>
      </c>
      <c r="S317" t="str">
        <f t="shared" si="64"/>
        <v/>
      </c>
      <c r="T317" t="str">
        <f t="shared" si="65"/>
        <v/>
      </c>
      <c r="U317" t="str">
        <f t="shared" si="66"/>
        <v/>
      </c>
      <c r="V317">
        <f t="shared" si="68"/>
        <v>0</v>
      </c>
      <c r="W317">
        <f t="shared" si="69"/>
        <v>0</v>
      </c>
      <c r="X317">
        <f>IF($Q317="",99999+310,$X316+1+$V316+$W316)</f>
        <v>100309</v>
      </c>
      <c r="Y317" t="str">
        <f>IF($Q317="","",INDEX(บันทึกรายเที่ยว!$Q$6:$Q$10005,$R317))</f>
        <v/>
      </c>
      <c r="Z317" t="str">
        <f>IF($Q317="","",INDEX(บันทึกรายเที่ยว!$F$6:$F$10005,$R317))</f>
        <v/>
      </c>
      <c r="AA317" t="str">
        <f>IFERROR(MATCH(310,$X$8:$X$407,1),"")</f>
        <v/>
      </c>
      <c r="AB317" t="str">
        <f>IF(310=$AD$1+1,"G",IF($AA317="","",IF(INDEX($Q$8:$Q$407,$AA317)="","",IF(310&gt;INDEX($X$8:$X$407,$AA317)+INDEX($V$8:$V$407,$AA317)+INDEX($W$8:$W$407,$AA317),"",IF(310=INDEX($X$8:$X$407,$AA317)+INDEX($V$8:$V$407,$AA317)+INDEX($W$8:$W$407,$AA317),"D",IF(AND(INDEX($W$8:$W$407,$AA317)=1,310=INDEX($X$8:$X$407,$AA317)+INDEX($V$8:$V$407,$AA317)),"S","R"))))))</f>
        <v/>
      </c>
      <c r="AC317" t="str">
        <f t="shared" si="67"/>
        <v/>
      </c>
      <c r="AE317">
        <f>IF($U317="",0,COUNTIF(บันทึกรายเที่ยว!$T$6:$T$10005,$U317))</f>
        <v>0</v>
      </c>
      <c r="AF317">
        <f>IF($U317="",0,ROUND(SUMIF(บันทึกรายเที่ยว!$T$6:$T$10005,$U317,บันทึกรายเที่ยว!$J$6:$J$10005),2))</f>
        <v>0</v>
      </c>
      <c r="AG317">
        <f>IF($U317="",0,ROUND(SUMIF(บันทึกรายเที่ยว!$T$6:$T$10005,$U317,บันทึกรายเที่ยว!$K$6:$K$10005),2))</f>
        <v>0</v>
      </c>
      <c r="AH317">
        <f>IF($U317="",0,ROUND(SUMIF(บันทึกรายเที่ยว!$T$6:$T$10005,$U317,บันทึกรายเที่ยว!$M$6:$M$10005),2))</f>
        <v>0</v>
      </c>
    </row>
    <row r="318" spans="1:34" ht="21" customHeight="1" x14ac:dyDescent="0.95">
      <c r="A318" s="3" t="str">
        <f t="shared" si="56"/>
        <v/>
      </c>
      <c r="B318" s="3" t="str">
        <f t="shared" si="57"/>
        <v/>
      </c>
      <c r="C318" s="8" t="str">
        <f t="shared" si="58"/>
        <v/>
      </c>
      <c r="D318" s="31" t="str">
        <f t="shared" si="59"/>
        <v/>
      </c>
      <c r="E318" s="32" t="str">
        <f>IF(311=$AD$1+3,"ขอแสดงความนับถือ",IF(311=$AD$1+6,"(                 )",IF(311=$AD$1+7,"เจ้าหน้าที่ขนส่ง",IF($AB318="G",SUM($AF$8:$AF$407),IF(OR($AB318="",$AB318="R"),"",IF($AB318="D",INDEX($AF$8:$AF$407,$AA318),SUMIF($T$8:$T$407,INDEX($T$8:$T$407,$AA318),$AF$8:$AF$407)))))))</f>
        <v/>
      </c>
      <c r="F318" s="32" t="str">
        <f t="shared" si="60"/>
        <v/>
      </c>
      <c r="G318" s="32" t="str">
        <f t="shared" si="61"/>
        <v/>
      </c>
      <c r="H318" s="32" t="str">
        <f t="shared" si="62"/>
        <v/>
      </c>
      <c r="J318" t="str">
        <f>IFERROR(MATCH(311,บันทึกรายเที่ยว!$W$6:$W$10005,0),"")</f>
        <v/>
      </c>
      <c r="K318" t="str">
        <f>IF($J318="","",INDEX(บันทึกรายเที่ยว!$T$6:$T$10005,$J318))</f>
        <v/>
      </c>
      <c r="L318" t="str">
        <f>IF($J318="","",INDEX(บันทึกรายเที่ยว!$S$6:$S$10005,$J318))</f>
        <v/>
      </c>
      <c r="M318" t="str">
        <f>IF($J318="","",INDEX(บันทึกรายเที่ยว!$R$6:$R$10005,$J318))</f>
        <v/>
      </c>
      <c r="N318" t="str">
        <f>IF($J318="","",MATCH($M318,บันทึกรายเที่ยว!$R$6:$R$10005,0))</f>
        <v/>
      </c>
      <c r="O318" t="str">
        <f>IF($J318="","",MATCH($L318,บันทึกรายเที่ยว!$S$6:$S$10005,0))</f>
        <v/>
      </c>
      <c r="P318" t="str">
        <f>IF($J318="","",IF(AND(OR($I$3="(ทั้งหมด)",INDEX(บันทึกรายเที่ยว!$C$6:$C$10005,$J318)=$I$3),OR($I$5="(ทั้งหมด)",INDEX(บันทึกรายเที่ยว!$D$6:$D$10005,$J318)=$I$5),OR($I$7="(ทั้งหมด)",INDEX(บันทึกรายเที่ยว!$F$6:$F$10005,$J318)=$I$7)),$N318*10000000+$O318*1000+311,""))</f>
        <v/>
      </c>
      <c r="Q318" t="str">
        <f>IFERROR(MATCH(SMALL($P$8:$P$407,311),$P$8:$P$407,0),"")</f>
        <v/>
      </c>
      <c r="R318" t="str">
        <f t="shared" si="63"/>
        <v/>
      </c>
      <c r="S318" t="str">
        <f t="shared" si="64"/>
        <v/>
      </c>
      <c r="T318" t="str">
        <f t="shared" si="65"/>
        <v/>
      </c>
      <c r="U318" t="str">
        <f t="shared" si="66"/>
        <v/>
      </c>
      <c r="V318">
        <f t="shared" si="68"/>
        <v>0</v>
      </c>
      <c r="W318">
        <f t="shared" si="69"/>
        <v>0</v>
      </c>
      <c r="X318">
        <f>IF($Q318="",99999+311,$X317+1+$V317+$W317)</f>
        <v>100310</v>
      </c>
      <c r="Y318" t="str">
        <f>IF($Q318="","",INDEX(บันทึกรายเที่ยว!$Q$6:$Q$10005,$R318))</f>
        <v/>
      </c>
      <c r="Z318" t="str">
        <f>IF($Q318="","",INDEX(บันทึกรายเที่ยว!$F$6:$F$10005,$R318))</f>
        <v/>
      </c>
      <c r="AA318" t="str">
        <f>IFERROR(MATCH(311,$X$8:$X$407,1),"")</f>
        <v/>
      </c>
      <c r="AB318" t="str">
        <f>IF(311=$AD$1+1,"G",IF($AA318="","",IF(INDEX($Q$8:$Q$407,$AA318)="","",IF(311&gt;INDEX($X$8:$X$407,$AA318)+INDEX($V$8:$V$407,$AA318)+INDEX($W$8:$W$407,$AA318),"",IF(311=INDEX($X$8:$X$407,$AA318)+INDEX($V$8:$V$407,$AA318)+INDEX($W$8:$W$407,$AA318),"D",IF(AND(INDEX($W$8:$W$407,$AA318)=1,311=INDEX($X$8:$X$407,$AA318)+INDEX($V$8:$V$407,$AA318)),"S","R"))))))</f>
        <v/>
      </c>
      <c r="AC318" t="str">
        <f t="shared" si="67"/>
        <v/>
      </c>
      <c r="AE318">
        <f>IF($U318="",0,COUNTIF(บันทึกรายเที่ยว!$T$6:$T$10005,$U318))</f>
        <v>0</v>
      </c>
      <c r="AF318">
        <f>IF($U318="",0,ROUND(SUMIF(บันทึกรายเที่ยว!$T$6:$T$10005,$U318,บันทึกรายเที่ยว!$J$6:$J$10005),2))</f>
        <v>0</v>
      </c>
      <c r="AG318">
        <f>IF($U318="",0,ROUND(SUMIF(บันทึกรายเที่ยว!$T$6:$T$10005,$U318,บันทึกรายเที่ยว!$K$6:$K$10005),2))</f>
        <v>0</v>
      </c>
      <c r="AH318">
        <f>IF($U318="",0,ROUND(SUMIF(บันทึกรายเที่ยว!$T$6:$T$10005,$U318,บันทึกรายเที่ยว!$M$6:$M$10005),2))</f>
        <v>0</v>
      </c>
    </row>
    <row r="319" spans="1:34" ht="21" customHeight="1" x14ac:dyDescent="0.95">
      <c r="A319" s="3" t="str">
        <f t="shared" si="56"/>
        <v/>
      </c>
      <c r="B319" s="3" t="str">
        <f t="shared" si="57"/>
        <v/>
      </c>
      <c r="C319" s="8" t="str">
        <f t="shared" si="58"/>
        <v/>
      </c>
      <c r="D319" s="31" t="str">
        <f t="shared" si="59"/>
        <v/>
      </c>
      <c r="E319" s="32" t="str">
        <f>IF(312=$AD$1+3,"ขอแสดงความนับถือ",IF(312=$AD$1+6,"(                 )",IF(312=$AD$1+7,"เจ้าหน้าที่ขนส่ง",IF($AB319="G",SUM($AF$8:$AF$407),IF(OR($AB319="",$AB319="R"),"",IF($AB319="D",INDEX($AF$8:$AF$407,$AA319),SUMIF($T$8:$T$407,INDEX($T$8:$T$407,$AA319),$AF$8:$AF$407)))))))</f>
        <v/>
      </c>
      <c r="F319" s="32" t="str">
        <f t="shared" si="60"/>
        <v/>
      </c>
      <c r="G319" s="32" t="str">
        <f t="shared" si="61"/>
        <v/>
      </c>
      <c r="H319" s="32" t="str">
        <f t="shared" si="62"/>
        <v/>
      </c>
      <c r="J319" t="str">
        <f>IFERROR(MATCH(312,บันทึกรายเที่ยว!$W$6:$W$10005,0),"")</f>
        <v/>
      </c>
      <c r="K319" t="str">
        <f>IF($J319="","",INDEX(บันทึกรายเที่ยว!$T$6:$T$10005,$J319))</f>
        <v/>
      </c>
      <c r="L319" t="str">
        <f>IF($J319="","",INDEX(บันทึกรายเที่ยว!$S$6:$S$10005,$J319))</f>
        <v/>
      </c>
      <c r="M319" t="str">
        <f>IF($J319="","",INDEX(บันทึกรายเที่ยว!$R$6:$R$10005,$J319))</f>
        <v/>
      </c>
      <c r="N319" t="str">
        <f>IF($J319="","",MATCH($M319,บันทึกรายเที่ยว!$R$6:$R$10005,0))</f>
        <v/>
      </c>
      <c r="O319" t="str">
        <f>IF($J319="","",MATCH($L319,บันทึกรายเที่ยว!$S$6:$S$10005,0))</f>
        <v/>
      </c>
      <c r="P319" t="str">
        <f>IF($J319="","",IF(AND(OR($I$3="(ทั้งหมด)",INDEX(บันทึกรายเที่ยว!$C$6:$C$10005,$J319)=$I$3),OR($I$5="(ทั้งหมด)",INDEX(บันทึกรายเที่ยว!$D$6:$D$10005,$J319)=$I$5),OR($I$7="(ทั้งหมด)",INDEX(บันทึกรายเที่ยว!$F$6:$F$10005,$J319)=$I$7)),$N319*10000000+$O319*1000+312,""))</f>
        <v/>
      </c>
      <c r="Q319" t="str">
        <f>IFERROR(MATCH(SMALL($P$8:$P$407,312),$P$8:$P$407,0),"")</f>
        <v/>
      </c>
      <c r="R319" t="str">
        <f t="shared" si="63"/>
        <v/>
      </c>
      <c r="S319" t="str">
        <f t="shared" si="64"/>
        <v/>
      </c>
      <c r="T319" t="str">
        <f t="shared" si="65"/>
        <v/>
      </c>
      <c r="U319" t="str">
        <f t="shared" si="66"/>
        <v/>
      </c>
      <c r="V319">
        <f t="shared" si="68"/>
        <v>0</v>
      </c>
      <c r="W319">
        <f t="shared" si="69"/>
        <v>0</v>
      </c>
      <c r="X319">
        <f>IF($Q319="",99999+312,$X318+1+$V318+$W318)</f>
        <v>100311</v>
      </c>
      <c r="Y319" t="str">
        <f>IF($Q319="","",INDEX(บันทึกรายเที่ยว!$Q$6:$Q$10005,$R319))</f>
        <v/>
      </c>
      <c r="Z319" t="str">
        <f>IF($Q319="","",INDEX(บันทึกรายเที่ยว!$F$6:$F$10005,$R319))</f>
        <v/>
      </c>
      <c r="AA319" t="str">
        <f>IFERROR(MATCH(312,$X$8:$X$407,1),"")</f>
        <v/>
      </c>
      <c r="AB319" t="str">
        <f>IF(312=$AD$1+1,"G",IF($AA319="","",IF(INDEX($Q$8:$Q$407,$AA319)="","",IF(312&gt;INDEX($X$8:$X$407,$AA319)+INDEX($V$8:$V$407,$AA319)+INDEX($W$8:$W$407,$AA319),"",IF(312=INDEX($X$8:$X$407,$AA319)+INDEX($V$8:$V$407,$AA319)+INDEX($W$8:$W$407,$AA319),"D",IF(AND(INDEX($W$8:$W$407,$AA319)=1,312=INDEX($X$8:$X$407,$AA319)+INDEX($V$8:$V$407,$AA319)),"S","R"))))))</f>
        <v/>
      </c>
      <c r="AC319" t="str">
        <f t="shared" si="67"/>
        <v/>
      </c>
      <c r="AE319">
        <f>IF($U319="",0,COUNTIF(บันทึกรายเที่ยว!$T$6:$T$10005,$U319))</f>
        <v>0</v>
      </c>
      <c r="AF319">
        <f>IF($U319="",0,ROUND(SUMIF(บันทึกรายเที่ยว!$T$6:$T$10005,$U319,บันทึกรายเที่ยว!$J$6:$J$10005),2))</f>
        <v>0</v>
      </c>
      <c r="AG319">
        <f>IF($U319="",0,ROUND(SUMIF(บันทึกรายเที่ยว!$T$6:$T$10005,$U319,บันทึกรายเที่ยว!$K$6:$K$10005),2))</f>
        <v>0</v>
      </c>
      <c r="AH319">
        <f>IF($U319="",0,ROUND(SUMIF(บันทึกรายเที่ยว!$T$6:$T$10005,$U319,บันทึกรายเที่ยว!$M$6:$M$10005),2))</f>
        <v>0</v>
      </c>
    </row>
    <row r="320" spans="1:34" ht="21" customHeight="1" x14ac:dyDescent="0.95">
      <c r="A320" s="3" t="str">
        <f t="shared" si="56"/>
        <v/>
      </c>
      <c r="B320" s="3" t="str">
        <f t="shared" si="57"/>
        <v/>
      </c>
      <c r="C320" s="8" t="str">
        <f t="shared" si="58"/>
        <v/>
      </c>
      <c r="D320" s="31" t="str">
        <f t="shared" si="59"/>
        <v/>
      </c>
      <c r="E320" s="32" t="str">
        <f>IF(313=$AD$1+3,"ขอแสดงความนับถือ",IF(313=$AD$1+6,"(                 )",IF(313=$AD$1+7,"เจ้าหน้าที่ขนส่ง",IF($AB320="G",SUM($AF$8:$AF$407),IF(OR($AB320="",$AB320="R"),"",IF($AB320="D",INDEX($AF$8:$AF$407,$AA320),SUMIF($T$8:$T$407,INDEX($T$8:$T$407,$AA320),$AF$8:$AF$407)))))))</f>
        <v/>
      </c>
      <c r="F320" s="32" t="str">
        <f t="shared" si="60"/>
        <v/>
      </c>
      <c r="G320" s="32" t="str">
        <f t="shared" si="61"/>
        <v/>
      </c>
      <c r="H320" s="32" t="str">
        <f t="shared" si="62"/>
        <v/>
      </c>
      <c r="J320" t="str">
        <f>IFERROR(MATCH(313,บันทึกรายเที่ยว!$W$6:$W$10005,0),"")</f>
        <v/>
      </c>
      <c r="K320" t="str">
        <f>IF($J320="","",INDEX(บันทึกรายเที่ยว!$T$6:$T$10005,$J320))</f>
        <v/>
      </c>
      <c r="L320" t="str">
        <f>IF($J320="","",INDEX(บันทึกรายเที่ยว!$S$6:$S$10005,$J320))</f>
        <v/>
      </c>
      <c r="M320" t="str">
        <f>IF($J320="","",INDEX(บันทึกรายเที่ยว!$R$6:$R$10005,$J320))</f>
        <v/>
      </c>
      <c r="N320" t="str">
        <f>IF($J320="","",MATCH($M320,บันทึกรายเที่ยว!$R$6:$R$10005,0))</f>
        <v/>
      </c>
      <c r="O320" t="str">
        <f>IF($J320="","",MATCH($L320,บันทึกรายเที่ยว!$S$6:$S$10005,0))</f>
        <v/>
      </c>
      <c r="P320" t="str">
        <f>IF($J320="","",IF(AND(OR($I$3="(ทั้งหมด)",INDEX(บันทึกรายเที่ยว!$C$6:$C$10005,$J320)=$I$3),OR($I$5="(ทั้งหมด)",INDEX(บันทึกรายเที่ยว!$D$6:$D$10005,$J320)=$I$5),OR($I$7="(ทั้งหมด)",INDEX(บันทึกรายเที่ยว!$F$6:$F$10005,$J320)=$I$7)),$N320*10000000+$O320*1000+313,""))</f>
        <v/>
      </c>
      <c r="Q320" t="str">
        <f>IFERROR(MATCH(SMALL($P$8:$P$407,313),$P$8:$P$407,0),"")</f>
        <v/>
      </c>
      <c r="R320" t="str">
        <f t="shared" si="63"/>
        <v/>
      </c>
      <c r="S320" t="str">
        <f t="shared" si="64"/>
        <v/>
      </c>
      <c r="T320" t="str">
        <f t="shared" si="65"/>
        <v/>
      </c>
      <c r="U320" t="str">
        <f t="shared" si="66"/>
        <v/>
      </c>
      <c r="V320">
        <f t="shared" si="68"/>
        <v>0</v>
      </c>
      <c r="W320">
        <f t="shared" si="69"/>
        <v>0</v>
      </c>
      <c r="X320">
        <f>IF($Q320="",99999+313,$X319+1+$V319+$W319)</f>
        <v>100312</v>
      </c>
      <c r="Y320" t="str">
        <f>IF($Q320="","",INDEX(บันทึกรายเที่ยว!$Q$6:$Q$10005,$R320))</f>
        <v/>
      </c>
      <c r="Z320" t="str">
        <f>IF($Q320="","",INDEX(บันทึกรายเที่ยว!$F$6:$F$10005,$R320))</f>
        <v/>
      </c>
      <c r="AA320" t="str">
        <f>IFERROR(MATCH(313,$X$8:$X$407,1),"")</f>
        <v/>
      </c>
      <c r="AB320" t="str">
        <f>IF(313=$AD$1+1,"G",IF($AA320="","",IF(INDEX($Q$8:$Q$407,$AA320)="","",IF(313&gt;INDEX($X$8:$X$407,$AA320)+INDEX($V$8:$V$407,$AA320)+INDEX($W$8:$W$407,$AA320),"",IF(313=INDEX($X$8:$X$407,$AA320)+INDEX($V$8:$V$407,$AA320)+INDEX($W$8:$W$407,$AA320),"D",IF(AND(INDEX($W$8:$W$407,$AA320)=1,313=INDEX($X$8:$X$407,$AA320)+INDEX($V$8:$V$407,$AA320)),"S","R"))))))</f>
        <v/>
      </c>
      <c r="AC320" t="str">
        <f t="shared" si="67"/>
        <v/>
      </c>
      <c r="AE320">
        <f>IF($U320="",0,COUNTIF(บันทึกรายเที่ยว!$T$6:$T$10005,$U320))</f>
        <v>0</v>
      </c>
      <c r="AF320">
        <f>IF($U320="",0,ROUND(SUMIF(บันทึกรายเที่ยว!$T$6:$T$10005,$U320,บันทึกรายเที่ยว!$J$6:$J$10005),2))</f>
        <v>0</v>
      </c>
      <c r="AG320">
        <f>IF($U320="",0,ROUND(SUMIF(บันทึกรายเที่ยว!$T$6:$T$10005,$U320,บันทึกรายเที่ยว!$K$6:$K$10005),2))</f>
        <v>0</v>
      </c>
      <c r="AH320">
        <f>IF($U320="",0,ROUND(SUMIF(บันทึกรายเที่ยว!$T$6:$T$10005,$U320,บันทึกรายเที่ยว!$M$6:$M$10005),2))</f>
        <v>0</v>
      </c>
    </row>
    <row r="321" spans="1:34" ht="21" customHeight="1" x14ac:dyDescent="0.95">
      <c r="A321" s="3" t="str">
        <f t="shared" si="56"/>
        <v/>
      </c>
      <c r="B321" s="3" t="str">
        <f t="shared" si="57"/>
        <v/>
      </c>
      <c r="C321" s="8" t="str">
        <f t="shared" si="58"/>
        <v/>
      </c>
      <c r="D321" s="31" t="str">
        <f t="shared" si="59"/>
        <v/>
      </c>
      <c r="E321" s="32" t="str">
        <f>IF(314=$AD$1+3,"ขอแสดงความนับถือ",IF(314=$AD$1+6,"(                 )",IF(314=$AD$1+7,"เจ้าหน้าที่ขนส่ง",IF($AB321="G",SUM($AF$8:$AF$407),IF(OR($AB321="",$AB321="R"),"",IF($AB321="D",INDEX($AF$8:$AF$407,$AA321),SUMIF($T$8:$T$407,INDEX($T$8:$T$407,$AA321),$AF$8:$AF$407)))))))</f>
        <v/>
      </c>
      <c r="F321" s="32" t="str">
        <f t="shared" si="60"/>
        <v/>
      </c>
      <c r="G321" s="32" t="str">
        <f t="shared" si="61"/>
        <v/>
      </c>
      <c r="H321" s="32" t="str">
        <f t="shared" si="62"/>
        <v/>
      </c>
      <c r="J321" t="str">
        <f>IFERROR(MATCH(314,บันทึกรายเที่ยว!$W$6:$W$10005,0),"")</f>
        <v/>
      </c>
      <c r="K321" t="str">
        <f>IF($J321="","",INDEX(บันทึกรายเที่ยว!$T$6:$T$10005,$J321))</f>
        <v/>
      </c>
      <c r="L321" t="str">
        <f>IF($J321="","",INDEX(บันทึกรายเที่ยว!$S$6:$S$10005,$J321))</f>
        <v/>
      </c>
      <c r="M321" t="str">
        <f>IF($J321="","",INDEX(บันทึกรายเที่ยว!$R$6:$R$10005,$J321))</f>
        <v/>
      </c>
      <c r="N321" t="str">
        <f>IF($J321="","",MATCH($M321,บันทึกรายเที่ยว!$R$6:$R$10005,0))</f>
        <v/>
      </c>
      <c r="O321" t="str">
        <f>IF($J321="","",MATCH($L321,บันทึกรายเที่ยว!$S$6:$S$10005,0))</f>
        <v/>
      </c>
      <c r="P321" t="str">
        <f>IF($J321="","",IF(AND(OR($I$3="(ทั้งหมด)",INDEX(บันทึกรายเที่ยว!$C$6:$C$10005,$J321)=$I$3),OR($I$5="(ทั้งหมด)",INDEX(บันทึกรายเที่ยว!$D$6:$D$10005,$J321)=$I$5),OR($I$7="(ทั้งหมด)",INDEX(บันทึกรายเที่ยว!$F$6:$F$10005,$J321)=$I$7)),$N321*10000000+$O321*1000+314,""))</f>
        <v/>
      </c>
      <c r="Q321" t="str">
        <f>IFERROR(MATCH(SMALL($P$8:$P$407,314),$P$8:$P$407,0),"")</f>
        <v/>
      </c>
      <c r="R321" t="str">
        <f t="shared" si="63"/>
        <v/>
      </c>
      <c r="S321" t="str">
        <f t="shared" si="64"/>
        <v/>
      </c>
      <c r="T321" t="str">
        <f t="shared" si="65"/>
        <v/>
      </c>
      <c r="U321" t="str">
        <f t="shared" si="66"/>
        <v/>
      </c>
      <c r="V321">
        <f t="shared" si="68"/>
        <v>0</v>
      </c>
      <c r="W321">
        <f t="shared" si="69"/>
        <v>0</v>
      </c>
      <c r="X321">
        <f>IF($Q321="",99999+314,$X320+1+$V320+$W320)</f>
        <v>100313</v>
      </c>
      <c r="Y321" t="str">
        <f>IF($Q321="","",INDEX(บันทึกรายเที่ยว!$Q$6:$Q$10005,$R321))</f>
        <v/>
      </c>
      <c r="Z321" t="str">
        <f>IF($Q321="","",INDEX(บันทึกรายเที่ยว!$F$6:$F$10005,$R321))</f>
        <v/>
      </c>
      <c r="AA321" t="str">
        <f>IFERROR(MATCH(314,$X$8:$X$407,1),"")</f>
        <v/>
      </c>
      <c r="AB321" t="str">
        <f>IF(314=$AD$1+1,"G",IF($AA321="","",IF(INDEX($Q$8:$Q$407,$AA321)="","",IF(314&gt;INDEX($X$8:$X$407,$AA321)+INDEX($V$8:$V$407,$AA321)+INDEX($W$8:$W$407,$AA321),"",IF(314=INDEX($X$8:$X$407,$AA321)+INDEX($V$8:$V$407,$AA321)+INDEX($W$8:$W$407,$AA321),"D",IF(AND(INDEX($W$8:$W$407,$AA321)=1,314=INDEX($X$8:$X$407,$AA321)+INDEX($V$8:$V$407,$AA321)),"S","R"))))))</f>
        <v/>
      </c>
      <c r="AC321" t="str">
        <f t="shared" si="67"/>
        <v/>
      </c>
      <c r="AE321">
        <f>IF($U321="",0,COUNTIF(บันทึกรายเที่ยว!$T$6:$T$10005,$U321))</f>
        <v>0</v>
      </c>
      <c r="AF321">
        <f>IF($U321="",0,ROUND(SUMIF(บันทึกรายเที่ยว!$T$6:$T$10005,$U321,บันทึกรายเที่ยว!$J$6:$J$10005),2))</f>
        <v>0</v>
      </c>
      <c r="AG321">
        <f>IF($U321="",0,ROUND(SUMIF(บันทึกรายเที่ยว!$T$6:$T$10005,$U321,บันทึกรายเที่ยว!$K$6:$K$10005),2))</f>
        <v>0</v>
      </c>
      <c r="AH321">
        <f>IF($U321="",0,ROUND(SUMIF(บันทึกรายเที่ยว!$T$6:$T$10005,$U321,บันทึกรายเที่ยว!$M$6:$M$10005),2))</f>
        <v>0</v>
      </c>
    </row>
    <row r="322" spans="1:34" ht="21" customHeight="1" x14ac:dyDescent="0.95">
      <c r="A322" s="3" t="str">
        <f t="shared" si="56"/>
        <v/>
      </c>
      <c r="B322" s="3" t="str">
        <f t="shared" si="57"/>
        <v/>
      </c>
      <c r="C322" s="8" t="str">
        <f t="shared" si="58"/>
        <v/>
      </c>
      <c r="D322" s="31" t="str">
        <f t="shared" si="59"/>
        <v/>
      </c>
      <c r="E322" s="32" t="str">
        <f>IF(315=$AD$1+3,"ขอแสดงความนับถือ",IF(315=$AD$1+6,"(                 )",IF(315=$AD$1+7,"เจ้าหน้าที่ขนส่ง",IF($AB322="G",SUM($AF$8:$AF$407),IF(OR($AB322="",$AB322="R"),"",IF($AB322="D",INDEX($AF$8:$AF$407,$AA322),SUMIF($T$8:$T$407,INDEX($T$8:$T$407,$AA322),$AF$8:$AF$407)))))))</f>
        <v/>
      </c>
      <c r="F322" s="32" t="str">
        <f t="shared" si="60"/>
        <v/>
      </c>
      <c r="G322" s="32" t="str">
        <f t="shared" si="61"/>
        <v/>
      </c>
      <c r="H322" s="32" t="str">
        <f t="shared" si="62"/>
        <v/>
      </c>
      <c r="J322" t="str">
        <f>IFERROR(MATCH(315,บันทึกรายเที่ยว!$W$6:$W$10005,0),"")</f>
        <v/>
      </c>
      <c r="K322" t="str">
        <f>IF($J322="","",INDEX(บันทึกรายเที่ยว!$T$6:$T$10005,$J322))</f>
        <v/>
      </c>
      <c r="L322" t="str">
        <f>IF($J322="","",INDEX(บันทึกรายเที่ยว!$S$6:$S$10005,$J322))</f>
        <v/>
      </c>
      <c r="M322" t="str">
        <f>IF($J322="","",INDEX(บันทึกรายเที่ยว!$R$6:$R$10005,$J322))</f>
        <v/>
      </c>
      <c r="N322" t="str">
        <f>IF($J322="","",MATCH($M322,บันทึกรายเที่ยว!$R$6:$R$10005,0))</f>
        <v/>
      </c>
      <c r="O322" t="str">
        <f>IF($J322="","",MATCH($L322,บันทึกรายเที่ยว!$S$6:$S$10005,0))</f>
        <v/>
      </c>
      <c r="P322" t="str">
        <f>IF($J322="","",IF(AND(OR($I$3="(ทั้งหมด)",INDEX(บันทึกรายเที่ยว!$C$6:$C$10005,$J322)=$I$3),OR($I$5="(ทั้งหมด)",INDEX(บันทึกรายเที่ยว!$D$6:$D$10005,$J322)=$I$5),OR($I$7="(ทั้งหมด)",INDEX(บันทึกรายเที่ยว!$F$6:$F$10005,$J322)=$I$7)),$N322*10000000+$O322*1000+315,""))</f>
        <v/>
      </c>
      <c r="Q322" t="str">
        <f>IFERROR(MATCH(SMALL($P$8:$P$407,315),$P$8:$P$407,0),"")</f>
        <v/>
      </c>
      <c r="R322" t="str">
        <f t="shared" si="63"/>
        <v/>
      </c>
      <c r="S322" t="str">
        <f t="shared" si="64"/>
        <v/>
      </c>
      <c r="T322" t="str">
        <f t="shared" si="65"/>
        <v/>
      </c>
      <c r="U322" t="str">
        <f t="shared" si="66"/>
        <v/>
      </c>
      <c r="V322">
        <f t="shared" si="68"/>
        <v>0</v>
      </c>
      <c r="W322">
        <f t="shared" si="69"/>
        <v>0</v>
      </c>
      <c r="X322">
        <f>IF($Q322="",99999+315,$X321+1+$V321+$W321)</f>
        <v>100314</v>
      </c>
      <c r="Y322" t="str">
        <f>IF($Q322="","",INDEX(บันทึกรายเที่ยว!$Q$6:$Q$10005,$R322))</f>
        <v/>
      </c>
      <c r="Z322" t="str">
        <f>IF($Q322="","",INDEX(บันทึกรายเที่ยว!$F$6:$F$10005,$R322))</f>
        <v/>
      </c>
      <c r="AA322" t="str">
        <f>IFERROR(MATCH(315,$X$8:$X$407,1),"")</f>
        <v/>
      </c>
      <c r="AB322" t="str">
        <f>IF(315=$AD$1+1,"G",IF($AA322="","",IF(INDEX($Q$8:$Q$407,$AA322)="","",IF(315&gt;INDEX($X$8:$X$407,$AA322)+INDEX($V$8:$V$407,$AA322)+INDEX($W$8:$W$407,$AA322),"",IF(315=INDEX($X$8:$X$407,$AA322)+INDEX($V$8:$V$407,$AA322)+INDEX($W$8:$W$407,$AA322),"D",IF(AND(INDEX($W$8:$W$407,$AA322)=1,315=INDEX($X$8:$X$407,$AA322)+INDEX($V$8:$V$407,$AA322)),"S","R"))))))</f>
        <v/>
      </c>
      <c r="AC322" t="str">
        <f t="shared" si="67"/>
        <v/>
      </c>
      <c r="AE322">
        <f>IF($U322="",0,COUNTIF(บันทึกรายเที่ยว!$T$6:$T$10005,$U322))</f>
        <v>0</v>
      </c>
      <c r="AF322">
        <f>IF($U322="",0,ROUND(SUMIF(บันทึกรายเที่ยว!$T$6:$T$10005,$U322,บันทึกรายเที่ยว!$J$6:$J$10005),2))</f>
        <v>0</v>
      </c>
      <c r="AG322">
        <f>IF($U322="",0,ROUND(SUMIF(บันทึกรายเที่ยว!$T$6:$T$10005,$U322,บันทึกรายเที่ยว!$K$6:$K$10005),2))</f>
        <v>0</v>
      </c>
      <c r="AH322">
        <f>IF($U322="",0,ROUND(SUMIF(บันทึกรายเที่ยว!$T$6:$T$10005,$U322,บันทึกรายเที่ยว!$M$6:$M$10005),2))</f>
        <v>0</v>
      </c>
    </row>
    <row r="323" spans="1:34" ht="21" customHeight="1" x14ac:dyDescent="0.95">
      <c r="A323" s="3" t="str">
        <f t="shared" si="56"/>
        <v/>
      </c>
      <c r="B323" s="3" t="str">
        <f t="shared" si="57"/>
        <v/>
      </c>
      <c r="C323" s="8" t="str">
        <f t="shared" si="58"/>
        <v/>
      </c>
      <c r="D323" s="31" t="str">
        <f t="shared" si="59"/>
        <v/>
      </c>
      <c r="E323" s="32" t="str">
        <f>IF(316=$AD$1+3,"ขอแสดงความนับถือ",IF(316=$AD$1+6,"(                 )",IF(316=$AD$1+7,"เจ้าหน้าที่ขนส่ง",IF($AB323="G",SUM($AF$8:$AF$407),IF(OR($AB323="",$AB323="R"),"",IF($AB323="D",INDEX($AF$8:$AF$407,$AA323),SUMIF($T$8:$T$407,INDEX($T$8:$T$407,$AA323),$AF$8:$AF$407)))))))</f>
        <v/>
      </c>
      <c r="F323" s="32" t="str">
        <f t="shared" si="60"/>
        <v/>
      </c>
      <c r="G323" s="32" t="str">
        <f t="shared" si="61"/>
        <v/>
      </c>
      <c r="H323" s="32" t="str">
        <f t="shared" si="62"/>
        <v/>
      </c>
      <c r="J323" t="str">
        <f>IFERROR(MATCH(316,บันทึกรายเที่ยว!$W$6:$W$10005,0),"")</f>
        <v/>
      </c>
      <c r="K323" t="str">
        <f>IF($J323="","",INDEX(บันทึกรายเที่ยว!$T$6:$T$10005,$J323))</f>
        <v/>
      </c>
      <c r="L323" t="str">
        <f>IF($J323="","",INDEX(บันทึกรายเที่ยว!$S$6:$S$10005,$J323))</f>
        <v/>
      </c>
      <c r="M323" t="str">
        <f>IF($J323="","",INDEX(บันทึกรายเที่ยว!$R$6:$R$10005,$J323))</f>
        <v/>
      </c>
      <c r="N323" t="str">
        <f>IF($J323="","",MATCH($M323,บันทึกรายเที่ยว!$R$6:$R$10005,0))</f>
        <v/>
      </c>
      <c r="O323" t="str">
        <f>IF($J323="","",MATCH($L323,บันทึกรายเที่ยว!$S$6:$S$10005,0))</f>
        <v/>
      </c>
      <c r="P323" t="str">
        <f>IF($J323="","",IF(AND(OR($I$3="(ทั้งหมด)",INDEX(บันทึกรายเที่ยว!$C$6:$C$10005,$J323)=$I$3),OR($I$5="(ทั้งหมด)",INDEX(บันทึกรายเที่ยว!$D$6:$D$10005,$J323)=$I$5),OR($I$7="(ทั้งหมด)",INDEX(บันทึกรายเที่ยว!$F$6:$F$10005,$J323)=$I$7)),$N323*10000000+$O323*1000+316,""))</f>
        <v/>
      </c>
      <c r="Q323" t="str">
        <f>IFERROR(MATCH(SMALL($P$8:$P$407,316),$P$8:$P$407,0),"")</f>
        <v/>
      </c>
      <c r="R323" t="str">
        <f t="shared" si="63"/>
        <v/>
      </c>
      <c r="S323" t="str">
        <f t="shared" si="64"/>
        <v/>
      </c>
      <c r="T323" t="str">
        <f t="shared" si="65"/>
        <v/>
      </c>
      <c r="U323" t="str">
        <f t="shared" si="66"/>
        <v/>
      </c>
      <c r="V323">
        <f t="shared" si="68"/>
        <v>0</v>
      </c>
      <c r="W323">
        <f t="shared" si="69"/>
        <v>0</v>
      </c>
      <c r="X323">
        <f>IF($Q323="",99999+316,$X322+1+$V322+$W322)</f>
        <v>100315</v>
      </c>
      <c r="Y323" t="str">
        <f>IF($Q323="","",INDEX(บันทึกรายเที่ยว!$Q$6:$Q$10005,$R323))</f>
        <v/>
      </c>
      <c r="Z323" t="str">
        <f>IF($Q323="","",INDEX(บันทึกรายเที่ยว!$F$6:$F$10005,$R323))</f>
        <v/>
      </c>
      <c r="AA323" t="str">
        <f>IFERROR(MATCH(316,$X$8:$X$407,1),"")</f>
        <v/>
      </c>
      <c r="AB323" t="str">
        <f>IF(316=$AD$1+1,"G",IF($AA323="","",IF(INDEX($Q$8:$Q$407,$AA323)="","",IF(316&gt;INDEX($X$8:$X$407,$AA323)+INDEX($V$8:$V$407,$AA323)+INDEX($W$8:$W$407,$AA323),"",IF(316=INDEX($X$8:$X$407,$AA323)+INDEX($V$8:$V$407,$AA323)+INDEX($W$8:$W$407,$AA323),"D",IF(AND(INDEX($W$8:$W$407,$AA323)=1,316=INDEX($X$8:$X$407,$AA323)+INDEX($V$8:$V$407,$AA323)),"S","R"))))))</f>
        <v/>
      </c>
      <c r="AC323" t="str">
        <f t="shared" si="67"/>
        <v/>
      </c>
      <c r="AE323">
        <f>IF($U323="",0,COUNTIF(บันทึกรายเที่ยว!$T$6:$T$10005,$U323))</f>
        <v>0</v>
      </c>
      <c r="AF323">
        <f>IF($U323="",0,ROUND(SUMIF(บันทึกรายเที่ยว!$T$6:$T$10005,$U323,บันทึกรายเที่ยว!$J$6:$J$10005),2))</f>
        <v>0</v>
      </c>
      <c r="AG323">
        <f>IF($U323="",0,ROUND(SUMIF(บันทึกรายเที่ยว!$T$6:$T$10005,$U323,บันทึกรายเที่ยว!$K$6:$K$10005),2))</f>
        <v>0</v>
      </c>
      <c r="AH323">
        <f>IF($U323="",0,ROUND(SUMIF(บันทึกรายเที่ยว!$T$6:$T$10005,$U323,บันทึกรายเที่ยว!$M$6:$M$10005),2))</f>
        <v>0</v>
      </c>
    </row>
    <row r="324" spans="1:34" ht="21" customHeight="1" x14ac:dyDescent="0.95">
      <c r="A324" s="3" t="str">
        <f t="shared" si="56"/>
        <v/>
      </c>
      <c r="B324" s="3" t="str">
        <f t="shared" si="57"/>
        <v/>
      </c>
      <c r="C324" s="8" t="str">
        <f t="shared" si="58"/>
        <v/>
      </c>
      <c r="D324" s="31" t="str">
        <f t="shared" si="59"/>
        <v/>
      </c>
      <c r="E324" s="32" t="str">
        <f>IF(317=$AD$1+3,"ขอแสดงความนับถือ",IF(317=$AD$1+6,"(                 )",IF(317=$AD$1+7,"เจ้าหน้าที่ขนส่ง",IF($AB324="G",SUM($AF$8:$AF$407),IF(OR($AB324="",$AB324="R"),"",IF($AB324="D",INDEX($AF$8:$AF$407,$AA324),SUMIF($T$8:$T$407,INDEX($T$8:$T$407,$AA324),$AF$8:$AF$407)))))))</f>
        <v/>
      </c>
      <c r="F324" s="32" t="str">
        <f t="shared" si="60"/>
        <v/>
      </c>
      <c r="G324" s="32" t="str">
        <f t="shared" si="61"/>
        <v/>
      </c>
      <c r="H324" s="32" t="str">
        <f t="shared" si="62"/>
        <v/>
      </c>
      <c r="J324" t="str">
        <f>IFERROR(MATCH(317,บันทึกรายเที่ยว!$W$6:$W$10005,0),"")</f>
        <v/>
      </c>
      <c r="K324" t="str">
        <f>IF($J324="","",INDEX(บันทึกรายเที่ยว!$T$6:$T$10005,$J324))</f>
        <v/>
      </c>
      <c r="L324" t="str">
        <f>IF($J324="","",INDEX(บันทึกรายเที่ยว!$S$6:$S$10005,$J324))</f>
        <v/>
      </c>
      <c r="M324" t="str">
        <f>IF($J324="","",INDEX(บันทึกรายเที่ยว!$R$6:$R$10005,$J324))</f>
        <v/>
      </c>
      <c r="N324" t="str">
        <f>IF($J324="","",MATCH($M324,บันทึกรายเที่ยว!$R$6:$R$10005,0))</f>
        <v/>
      </c>
      <c r="O324" t="str">
        <f>IF($J324="","",MATCH($L324,บันทึกรายเที่ยว!$S$6:$S$10005,0))</f>
        <v/>
      </c>
      <c r="P324" t="str">
        <f>IF($J324="","",IF(AND(OR($I$3="(ทั้งหมด)",INDEX(บันทึกรายเที่ยว!$C$6:$C$10005,$J324)=$I$3),OR($I$5="(ทั้งหมด)",INDEX(บันทึกรายเที่ยว!$D$6:$D$10005,$J324)=$I$5),OR($I$7="(ทั้งหมด)",INDEX(บันทึกรายเที่ยว!$F$6:$F$10005,$J324)=$I$7)),$N324*10000000+$O324*1000+317,""))</f>
        <v/>
      </c>
      <c r="Q324" t="str">
        <f>IFERROR(MATCH(SMALL($P$8:$P$407,317),$P$8:$P$407,0),"")</f>
        <v/>
      </c>
      <c r="R324" t="str">
        <f t="shared" si="63"/>
        <v/>
      </c>
      <c r="S324" t="str">
        <f t="shared" si="64"/>
        <v/>
      </c>
      <c r="T324" t="str">
        <f t="shared" si="65"/>
        <v/>
      </c>
      <c r="U324" t="str">
        <f t="shared" si="66"/>
        <v/>
      </c>
      <c r="V324">
        <f t="shared" si="68"/>
        <v>0</v>
      </c>
      <c r="W324">
        <f t="shared" si="69"/>
        <v>0</v>
      </c>
      <c r="X324">
        <f>IF($Q324="",99999+317,$X323+1+$V323+$W323)</f>
        <v>100316</v>
      </c>
      <c r="Y324" t="str">
        <f>IF($Q324="","",INDEX(บันทึกรายเที่ยว!$Q$6:$Q$10005,$R324))</f>
        <v/>
      </c>
      <c r="Z324" t="str">
        <f>IF($Q324="","",INDEX(บันทึกรายเที่ยว!$F$6:$F$10005,$R324))</f>
        <v/>
      </c>
      <c r="AA324" t="str">
        <f>IFERROR(MATCH(317,$X$8:$X$407,1),"")</f>
        <v/>
      </c>
      <c r="AB324" t="str">
        <f>IF(317=$AD$1+1,"G",IF($AA324="","",IF(INDEX($Q$8:$Q$407,$AA324)="","",IF(317&gt;INDEX($X$8:$X$407,$AA324)+INDEX($V$8:$V$407,$AA324)+INDEX($W$8:$W$407,$AA324),"",IF(317=INDEX($X$8:$X$407,$AA324)+INDEX($V$8:$V$407,$AA324)+INDEX($W$8:$W$407,$AA324),"D",IF(AND(INDEX($W$8:$W$407,$AA324)=1,317=INDEX($X$8:$X$407,$AA324)+INDEX($V$8:$V$407,$AA324)),"S","R"))))))</f>
        <v/>
      </c>
      <c r="AC324" t="str">
        <f t="shared" si="67"/>
        <v/>
      </c>
      <c r="AE324">
        <f>IF($U324="",0,COUNTIF(บันทึกรายเที่ยว!$T$6:$T$10005,$U324))</f>
        <v>0</v>
      </c>
      <c r="AF324">
        <f>IF($U324="",0,ROUND(SUMIF(บันทึกรายเที่ยว!$T$6:$T$10005,$U324,บันทึกรายเที่ยว!$J$6:$J$10005),2))</f>
        <v>0</v>
      </c>
      <c r="AG324">
        <f>IF($U324="",0,ROUND(SUMIF(บันทึกรายเที่ยว!$T$6:$T$10005,$U324,บันทึกรายเที่ยว!$K$6:$K$10005),2))</f>
        <v>0</v>
      </c>
      <c r="AH324">
        <f>IF($U324="",0,ROUND(SUMIF(บันทึกรายเที่ยว!$T$6:$T$10005,$U324,บันทึกรายเที่ยว!$M$6:$M$10005),2))</f>
        <v>0</v>
      </c>
    </row>
    <row r="325" spans="1:34" ht="21" customHeight="1" x14ac:dyDescent="0.95">
      <c r="A325" s="3" t="str">
        <f t="shared" si="56"/>
        <v/>
      </c>
      <c r="B325" s="3" t="str">
        <f t="shared" si="57"/>
        <v/>
      </c>
      <c r="C325" s="8" t="str">
        <f t="shared" si="58"/>
        <v/>
      </c>
      <c r="D325" s="31" t="str">
        <f t="shared" si="59"/>
        <v/>
      </c>
      <c r="E325" s="32" t="str">
        <f>IF(318=$AD$1+3,"ขอแสดงความนับถือ",IF(318=$AD$1+6,"(                 )",IF(318=$AD$1+7,"เจ้าหน้าที่ขนส่ง",IF($AB325="G",SUM($AF$8:$AF$407),IF(OR($AB325="",$AB325="R"),"",IF($AB325="D",INDEX($AF$8:$AF$407,$AA325),SUMIF($T$8:$T$407,INDEX($T$8:$T$407,$AA325),$AF$8:$AF$407)))))))</f>
        <v/>
      </c>
      <c r="F325" s="32" t="str">
        <f t="shared" si="60"/>
        <v/>
      </c>
      <c r="G325" s="32" t="str">
        <f t="shared" si="61"/>
        <v/>
      </c>
      <c r="H325" s="32" t="str">
        <f t="shared" si="62"/>
        <v/>
      </c>
      <c r="J325" t="str">
        <f>IFERROR(MATCH(318,บันทึกรายเที่ยว!$W$6:$W$10005,0),"")</f>
        <v/>
      </c>
      <c r="K325" t="str">
        <f>IF($J325="","",INDEX(บันทึกรายเที่ยว!$T$6:$T$10005,$J325))</f>
        <v/>
      </c>
      <c r="L325" t="str">
        <f>IF($J325="","",INDEX(บันทึกรายเที่ยว!$S$6:$S$10005,$J325))</f>
        <v/>
      </c>
      <c r="M325" t="str">
        <f>IF($J325="","",INDEX(บันทึกรายเที่ยว!$R$6:$R$10005,$J325))</f>
        <v/>
      </c>
      <c r="N325" t="str">
        <f>IF($J325="","",MATCH($M325,บันทึกรายเที่ยว!$R$6:$R$10005,0))</f>
        <v/>
      </c>
      <c r="O325" t="str">
        <f>IF($J325="","",MATCH($L325,บันทึกรายเที่ยว!$S$6:$S$10005,0))</f>
        <v/>
      </c>
      <c r="P325" t="str">
        <f>IF($J325="","",IF(AND(OR($I$3="(ทั้งหมด)",INDEX(บันทึกรายเที่ยว!$C$6:$C$10005,$J325)=$I$3),OR($I$5="(ทั้งหมด)",INDEX(บันทึกรายเที่ยว!$D$6:$D$10005,$J325)=$I$5),OR($I$7="(ทั้งหมด)",INDEX(บันทึกรายเที่ยว!$F$6:$F$10005,$J325)=$I$7)),$N325*10000000+$O325*1000+318,""))</f>
        <v/>
      </c>
      <c r="Q325" t="str">
        <f>IFERROR(MATCH(SMALL($P$8:$P$407,318),$P$8:$P$407,0),"")</f>
        <v/>
      </c>
      <c r="R325" t="str">
        <f t="shared" si="63"/>
        <v/>
      </c>
      <c r="S325" t="str">
        <f t="shared" si="64"/>
        <v/>
      </c>
      <c r="T325" t="str">
        <f t="shared" si="65"/>
        <v/>
      </c>
      <c r="U325" t="str">
        <f t="shared" si="66"/>
        <v/>
      </c>
      <c r="V325">
        <f t="shared" si="68"/>
        <v>0</v>
      </c>
      <c r="W325">
        <f t="shared" si="69"/>
        <v>0</v>
      </c>
      <c r="X325">
        <f>IF($Q325="",99999+318,$X324+1+$V324+$W324)</f>
        <v>100317</v>
      </c>
      <c r="Y325" t="str">
        <f>IF($Q325="","",INDEX(บันทึกรายเที่ยว!$Q$6:$Q$10005,$R325))</f>
        <v/>
      </c>
      <c r="Z325" t="str">
        <f>IF($Q325="","",INDEX(บันทึกรายเที่ยว!$F$6:$F$10005,$R325))</f>
        <v/>
      </c>
      <c r="AA325" t="str">
        <f>IFERROR(MATCH(318,$X$8:$X$407,1),"")</f>
        <v/>
      </c>
      <c r="AB325" t="str">
        <f>IF(318=$AD$1+1,"G",IF($AA325="","",IF(INDEX($Q$8:$Q$407,$AA325)="","",IF(318&gt;INDEX($X$8:$X$407,$AA325)+INDEX($V$8:$V$407,$AA325)+INDEX($W$8:$W$407,$AA325),"",IF(318=INDEX($X$8:$X$407,$AA325)+INDEX($V$8:$V$407,$AA325)+INDEX($W$8:$W$407,$AA325),"D",IF(AND(INDEX($W$8:$W$407,$AA325)=1,318=INDEX($X$8:$X$407,$AA325)+INDEX($V$8:$V$407,$AA325)),"S","R"))))))</f>
        <v/>
      </c>
      <c r="AC325" t="str">
        <f t="shared" si="67"/>
        <v/>
      </c>
      <c r="AE325">
        <f>IF($U325="",0,COUNTIF(บันทึกรายเที่ยว!$T$6:$T$10005,$U325))</f>
        <v>0</v>
      </c>
      <c r="AF325">
        <f>IF($U325="",0,ROUND(SUMIF(บันทึกรายเที่ยว!$T$6:$T$10005,$U325,บันทึกรายเที่ยว!$J$6:$J$10005),2))</f>
        <v>0</v>
      </c>
      <c r="AG325">
        <f>IF($U325="",0,ROUND(SUMIF(บันทึกรายเที่ยว!$T$6:$T$10005,$U325,บันทึกรายเที่ยว!$K$6:$K$10005),2))</f>
        <v>0</v>
      </c>
      <c r="AH325">
        <f>IF($U325="",0,ROUND(SUMIF(บันทึกรายเที่ยว!$T$6:$T$10005,$U325,บันทึกรายเที่ยว!$M$6:$M$10005),2))</f>
        <v>0</v>
      </c>
    </row>
    <row r="326" spans="1:34" ht="21" customHeight="1" x14ac:dyDescent="0.95">
      <c r="A326" s="3" t="str">
        <f t="shared" si="56"/>
        <v/>
      </c>
      <c r="B326" s="3" t="str">
        <f t="shared" si="57"/>
        <v/>
      </c>
      <c r="C326" s="8" t="str">
        <f t="shared" si="58"/>
        <v/>
      </c>
      <c r="D326" s="31" t="str">
        <f t="shared" si="59"/>
        <v/>
      </c>
      <c r="E326" s="32" t="str">
        <f>IF(319=$AD$1+3,"ขอแสดงความนับถือ",IF(319=$AD$1+6,"(                 )",IF(319=$AD$1+7,"เจ้าหน้าที่ขนส่ง",IF($AB326="G",SUM($AF$8:$AF$407),IF(OR($AB326="",$AB326="R"),"",IF($AB326="D",INDEX($AF$8:$AF$407,$AA326),SUMIF($T$8:$T$407,INDEX($T$8:$T$407,$AA326),$AF$8:$AF$407)))))))</f>
        <v/>
      </c>
      <c r="F326" s="32" t="str">
        <f t="shared" si="60"/>
        <v/>
      </c>
      <c r="G326" s="32" t="str">
        <f t="shared" si="61"/>
        <v/>
      </c>
      <c r="H326" s="32" t="str">
        <f t="shared" si="62"/>
        <v/>
      </c>
      <c r="J326" t="str">
        <f>IFERROR(MATCH(319,บันทึกรายเที่ยว!$W$6:$W$10005,0),"")</f>
        <v/>
      </c>
      <c r="K326" t="str">
        <f>IF($J326="","",INDEX(บันทึกรายเที่ยว!$T$6:$T$10005,$J326))</f>
        <v/>
      </c>
      <c r="L326" t="str">
        <f>IF($J326="","",INDEX(บันทึกรายเที่ยว!$S$6:$S$10005,$J326))</f>
        <v/>
      </c>
      <c r="M326" t="str">
        <f>IF($J326="","",INDEX(บันทึกรายเที่ยว!$R$6:$R$10005,$J326))</f>
        <v/>
      </c>
      <c r="N326" t="str">
        <f>IF($J326="","",MATCH($M326,บันทึกรายเที่ยว!$R$6:$R$10005,0))</f>
        <v/>
      </c>
      <c r="O326" t="str">
        <f>IF($J326="","",MATCH($L326,บันทึกรายเที่ยว!$S$6:$S$10005,0))</f>
        <v/>
      </c>
      <c r="P326" t="str">
        <f>IF($J326="","",IF(AND(OR($I$3="(ทั้งหมด)",INDEX(บันทึกรายเที่ยว!$C$6:$C$10005,$J326)=$I$3),OR($I$5="(ทั้งหมด)",INDEX(บันทึกรายเที่ยว!$D$6:$D$10005,$J326)=$I$5),OR($I$7="(ทั้งหมด)",INDEX(บันทึกรายเที่ยว!$F$6:$F$10005,$J326)=$I$7)),$N326*10000000+$O326*1000+319,""))</f>
        <v/>
      </c>
      <c r="Q326" t="str">
        <f>IFERROR(MATCH(SMALL($P$8:$P$407,319),$P$8:$P$407,0),"")</f>
        <v/>
      </c>
      <c r="R326" t="str">
        <f t="shared" si="63"/>
        <v/>
      </c>
      <c r="S326" t="str">
        <f t="shared" si="64"/>
        <v/>
      </c>
      <c r="T326" t="str">
        <f t="shared" si="65"/>
        <v/>
      </c>
      <c r="U326" t="str">
        <f t="shared" si="66"/>
        <v/>
      </c>
      <c r="V326">
        <f t="shared" si="68"/>
        <v>0</v>
      </c>
      <c r="W326">
        <f t="shared" si="69"/>
        <v>0</v>
      </c>
      <c r="X326">
        <f>IF($Q326="",99999+319,$X325+1+$V325+$W325)</f>
        <v>100318</v>
      </c>
      <c r="Y326" t="str">
        <f>IF($Q326="","",INDEX(บันทึกรายเที่ยว!$Q$6:$Q$10005,$R326))</f>
        <v/>
      </c>
      <c r="Z326" t="str">
        <f>IF($Q326="","",INDEX(บันทึกรายเที่ยว!$F$6:$F$10005,$R326))</f>
        <v/>
      </c>
      <c r="AA326" t="str">
        <f>IFERROR(MATCH(319,$X$8:$X$407,1),"")</f>
        <v/>
      </c>
      <c r="AB326" t="str">
        <f>IF(319=$AD$1+1,"G",IF($AA326="","",IF(INDEX($Q$8:$Q$407,$AA326)="","",IF(319&gt;INDEX($X$8:$X$407,$AA326)+INDEX($V$8:$V$407,$AA326)+INDEX($W$8:$W$407,$AA326),"",IF(319=INDEX($X$8:$X$407,$AA326)+INDEX($V$8:$V$407,$AA326)+INDEX($W$8:$W$407,$AA326),"D",IF(AND(INDEX($W$8:$W$407,$AA326)=1,319=INDEX($X$8:$X$407,$AA326)+INDEX($V$8:$V$407,$AA326)),"S","R"))))))</f>
        <v/>
      </c>
      <c r="AC326" t="str">
        <f t="shared" si="67"/>
        <v/>
      </c>
      <c r="AE326">
        <f>IF($U326="",0,COUNTIF(บันทึกรายเที่ยว!$T$6:$T$10005,$U326))</f>
        <v>0</v>
      </c>
      <c r="AF326">
        <f>IF($U326="",0,ROUND(SUMIF(บันทึกรายเที่ยว!$T$6:$T$10005,$U326,บันทึกรายเที่ยว!$J$6:$J$10005),2))</f>
        <v>0</v>
      </c>
      <c r="AG326">
        <f>IF($U326="",0,ROUND(SUMIF(บันทึกรายเที่ยว!$T$6:$T$10005,$U326,บันทึกรายเที่ยว!$K$6:$K$10005),2))</f>
        <v>0</v>
      </c>
      <c r="AH326">
        <f>IF($U326="",0,ROUND(SUMIF(บันทึกรายเที่ยว!$T$6:$T$10005,$U326,บันทึกรายเที่ยว!$M$6:$M$10005),2))</f>
        <v>0</v>
      </c>
    </row>
    <row r="327" spans="1:34" ht="21" customHeight="1" x14ac:dyDescent="0.95">
      <c r="A327" s="3" t="str">
        <f t="shared" si="56"/>
        <v/>
      </c>
      <c r="B327" s="3" t="str">
        <f t="shared" si="57"/>
        <v/>
      </c>
      <c r="C327" s="8" t="str">
        <f t="shared" si="58"/>
        <v/>
      </c>
      <c r="D327" s="31" t="str">
        <f t="shared" si="59"/>
        <v/>
      </c>
      <c r="E327" s="32" t="str">
        <f>IF(320=$AD$1+3,"ขอแสดงความนับถือ",IF(320=$AD$1+6,"(                 )",IF(320=$AD$1+7,"เจ้าหน้าที่ขนส่ง",IF($AB327="G",SUM($AF$8:$AF$407),IF(OR($AB327="",$AB327="R"),"",IF($AB327="D",INDEX($AF$8:$AF$407,$AA327),SUMIF($T$8:$T$407,INDEX($T$8:$T$407,$AA327),$AF$8:$AF$407)))))))</f>
        <v/>
      </c>
      <c r="F327" s="32" t="str">
        <f t="shared" si="60"/>
        <v/>
      </c>
      <c r="G327" s="32" t="str">
        <f t="shared" si="61"/>
        <v/>
      </c>
      <c r="H327" s="32" t="str">
        <f t="shared" si="62"/>
        <v/>
      </c>
      <c r="J327" t="str">
        <f>IFERROR(MATCH(320,บันทึกรายเที่ยว!$W$6:$W$10005,0),"")</f>
        <v/>
      </c>
      <c r="K327" t="str">
        <f>IF($J327="","",INDEX(บันทึกรายเที่ยว!$T$6:$T$10005,$J327))</f>
        <v/>
      </c>
      <c r="L327" t="str">
        <f>IF($J327="","",INDEX(บันทึกรายเที่ยว!$S$6:$S$10005,$J327))</f>
        <v/>
      </c>
      <c r="M327" t="str">
        <f>IF($J327="","",INDEX(บันทึกรายเที่ยว!$R$6:$R$10005,$J327))</f>
        <v/>
      </c>
      <c r="N327" t="str">
        <f>IF($J327="","",MATCH($M327,บันทึกรายเที่ยว!$R$6:$R$10005,0))</f>
        <v/>
      </c>
      <c r="O327" t="str">
        <f>IF($J327="","",MATCH($L327,บันทึกรายเที่ยว!$S$6:$S$10005,0))</f>
        <v/>
      </c>
      <c r="P327" t="str">
        <f>IF($J327="","",IF(AND(OR($I$3="(ทั้งหมด)",INDEX(บันทึกรายเที่ยว!$C$6:$C$10005,$J327)=$I$3),OR($I$5="(ทั้งหมด)",INDEX(บันทึกรายเที่ยว!$D$6:$D$10005,$J327)=$I$5),OR($I$7="(ทั้งหมด)",INDEX(บันทึกรายเที่ยว!$F$6:$F$10005,$J327)=$I$7)),$N327*10000000+$O327*1000+320,""))</f>
        <v/>
      </c>
      <c r="Q327" t="str">
        <f>IFERROR(MATCH(SMALL($P$8:$P$407,320),$P$8:$P$407,0),"")</f>
        <v/>
      </c>
      <c r="R327" t="str">
        <f t="shared" si="63"/>
        <v/>
      </c>
      <c r="S327" t="str">
        <f t="shared" si="64"/>
        <v/>
      </c>
      <c r="T327" t="str">
        <f t="shared" si="65"/>
        <v/>
      </c>
      <c r="U327" t="str">
        <f t="shared" si="66"/>
        <v/>
      </c>
      <c r="V327">
        <f t="shared" si="68"/>
        <v>0</v>
      </c>
      <c r="W327">
        <f t="shared" si="69"/>
        <v>0</v>
      </c>
      <c r="X327">
        <f>IF($Q327="",99999+320,$X326+1+$V326+$W326)</f>
        <v>100319</v>
      </c>
      <c r="Y327" t="str">
        <f>IF($Q327="","",INDEX(บันทึกรายเที่ยว!$Q$6:$Q$10005,$R327))</f>
        <v/>
      </c>
      <c r="Z327" t="str">
        <f>IF($Q327="","",INDEX(บันทึกรายเที่ยว!$F$6:$F$10005,$R327))</f>
        <v/>
      </c>
      <c r="AA327" t="str">
        <f>IFERROR(MATCH(320,$X$8:$X$407,1),"")</f>
        <v/>
      </c>
      <c r="AB327" t="str">
        <f>IF(320=$AD$1+1,"G",IF($AA327="","",IF(INDEX($Q$8:$Q$407,$AA327)="","",IF(320&gt;INDEX($X$8:$X$407,$AA327)+INDEX($V$8:$V$407,$AA327)+INDEX($W$8:$W$407,$AA327),"",IF(320=INDEX($X$8:$X$407,$AA327)+INDEX($V$8:$V$407,$AA327)+INDEX($W$8:$W$407,$AA327),"D",IF(AND(INDEX($W$8:$W$407,$AA327)=1,320=INDEX($X$8:$X$407,$AA327)+INDEX($V$8:$V$407,$AA327)),"S","R"))))))</f>
        <v/>
      </c>
      <c r="AC327" t="str">
        <f t="shared" si="67"/>
        <v/>
      </c>
      <c r="AE327">
        <f>IF($U327="",0,COUNTIF(บันทึกรายเที่ยว!$T$6:$T$10005,$U327))</f>
        <v>0</v>
      </c>
      <c r="AF327">
        <f>IF($U327="",0,ROUND(SUMIF(บันทึกรายเที่ยว!$T$6:$T$10005,$U327,บันทึกรายเที่ยว!$J$6:$J$10005),2))</f>
        <v>0</v>
      </c>
      <c r="AG327">
        <f>IF($U327="",0,ROUND(SUMIF(บันทึกรายเที่ยว!$T$6:$T$10005,$U327,บันทึกรายเที่ยว!$K$6:$K$10005),2))</f>
        <v>0</v>
      </c>
      <c r="AH327">
        <f>IF($U327="",0,ROUND(SUMIF(บันทึกรายเที่ยว!$T$6:$T$10005,$U327,บันทึกรายเที่ยว!$M$6:$M$10005),2))</f>
        <v>0</v>
      </c>
    </row>
    <row r="328" spans="1:34" ht="21" customHeight="1" x14ac:dyDescent="0.95">
      <c r="A328" s="3" t="str">
        <f t="shared" ref="A328:A391" si="70">IF($AB328="G","ผลรวมทั้งหมด",IF($AB328="R",INDEX($S$8:$S$407,$AA328),""))</f>
        <v/>
      </c>
      <c r="B328" s="3" t="str">
        <f t="shared" ref="B328:B391" si="71">IF($AB328="S",INDEX($Y$8:$Y$407,$AA328),"")</f>
        <v/>
      </c>
      <c r="C328" s="8" t="str">
        <f t="shared" ref="C328:C391" si="72">IF($AB328="D",INDEX($Z$8:$Z$407,$AA328),"")</f>
        <v/>
      </c>
      <c r="D328" s="31" t="str">
        <f t="shared" ref="D328:D391" si="73">IF($AB328="G",SUM($AE$8:$AE$407),IF(OR($AB328="",$AB328="R"),"",IF($AB328="D",INDEX($AE$8:$AE$407,$AA328),SUMIF($T$8:$T$407,INDEX($T$8:$T$407,$AA328),$AE$8:$AE$407))))</f>
        <v/>
      </c>
      <c r="E328" s="32" t="str">
        <f>IF(321=$AD$1+3,"ขอแสดงความนับถือ",IF(321=$AD$1+6,"(                 )",IF(321=$AD$1+7,"เจ้าหน้าที่ขนส่ง",IF($AB328="G",SUM($AF$8:$AF$407),IF(OR($AB328="",$AB328="R"),"",IF($AB328="D",INDEX($AF$8:$AF$407,$AA328),SUMIF($T$8:$T$407,INDEX($T$8:$T$407,$AA328),$AF$8:$AF$407)))))))</f>
        <v/>
      </c>
      <c r="F328" s="32" t="str">
        <f t="shared" ref="F328:F391" si="74">IF($AB328="G",SUM($AG$8:$AG$407),IF(OR($AB328="",$AB328="R"),"",IF($AB328="D",INDEX($AG$8:$AG$407,$AA328),SUMIF($T$8:$T$407,INDEX($T$8:$T$407,$AA328),$AG$8:$AG$407))))</f>
        <v/>
      </c>
      <c r="G328" s="32" t="str">
        <f t="shared" ref="G328:G391" si="75">IF(OR($AB328="",$AB328="R"),"",ROUND($E328-$F328,2))</f>
        <v/>
      </c>
      <c r="H328" s="32" t="str">
        <f t="shared" ref="H328:H391" si="76">IF($AB328="G",SUM($AH$8:$AH$407),IF(OR($AB328="",$AB328="R"),"",IF($AB328="D",INDEX($AH$8:$AH$407,$AA328),SUMIF($T$8:$T$407,INDEX($T$8:$T$407,$AA328),$AH$8:$AH$407))))</f>
        <v/>
      </c>
      <c r="J328" t="str">
        <f>IFERROR(MATCH(321,บันทึกรายเที่ยว!$W$6:$W$10005,0),"")</f>
        <v/>
      </c>
      <c r="K328" t="str">
        <f>IF($J328="","",INDEX(บันทึกรายเที่ยว!$T$6:$T$10005,$J328))</f>
        <v/>
      </c>
      <c r="L328" t="str">
        <f>IF($J328="","",INDEX(บันทึกรายเที่ยว!$S$6:$S$10005,$J328))</f>
        <v/>
      </c>
      <c r="M328" t="str">
        <f>IF($J328="","",INDEX(บันทึกรายเที่ยว!$R$6:$R$10005,$J328))</f>
        <v/>
      </c>
      <c r="N328" t="str">
        <f>IF($J328="","",MATCH($M328,บันทึกรายเที่ยว!$R$6:$R$10005,0))</f>
        <v/>
      </c>
      <c r="O328" t="str">
        <f>IF($J328="","",MATCH($L328,บันทึกรายเที่ยว!$S$6:$S$10005,0))</f>
        <v/>
      </c>
      <c r="P328" t="str">
        <f>IF($J328="","",IF(AND(OR($I$3="(ทั้งหมด)",INDEX(บันทึกรายเที่ยว!$C$6:$C$10005,$J328)=$I$3),OR($I$5="(ทั้งหมด)",INDEX(บันทึกรายเที่ยว!$D$6:$D$10005,$J328)=$I$5),OR($I$7="(ทั้งหมด)",INDEX(บันทึกรายเที่ยว!$F$6:$F$10005,$J328)=$I$7)),$N328*10000000+$O328*1000+321,""))</f>
        <v/>
      </c>
      <c r="Q328" t="str">
        <f>IFERROR(MATCH(SMALL($P$8:$P$407,321),$P$8:$P$407,0),"")</f>
        <v/>
      </c>
      <c r="R328" t="str">
        <f t="shared" ref="R328:R391" si="77">IF($Q328="","",INDEX($J$8:$J$407,$Q328))</f>
        <v/>
      </c>
      <c r="S328" t="str">
        <f t="shared" ref="S328:S391" si="78">IF($Q328="","",INDEX($M$8:$M$407,$Q328))</f>
        <v/>
      </c>
      <c r="T328" t="str">
        <f t="shared" ref="T328:T391" si="79">IF($Q328="","",INDEX($L$8:$L$407,$Q328))</f>
        <v/>
      </c>
      <c r="U328" t="str">
        <f t="shared" ref="U328:U391" si="80">IF($Q328="","",INDEX($K$8:$K$407,$Q328))</f>
        <v/>
      </c>
      <c r="V328">
        <f t="shared" si="68"/>
        <v>0</v>
      </c>
      <c r="W328">
        <f t="shared" si="69"/>
        <v>0</v>
      </c>
      <c r="X328">
        <f>IF($Q328="",99999+321,$X327+1+$V327+$W327)</f>
        <v>100320</v>
      </c>
      <c r="Y328" t="str">
        <f>IF($Q328="","",INDEX(บันทึกรายเที่ยว!$Q$6:$Q$10005,$R328))</f>
        <v/>
      </c>
      <c r="Z328" t="str">
        <f>IF($Q328="","",INDEX(บันทึกรายเที่ยว!$F$6:$F$10005,$R328))</f>
        <v/>
      </c>
      <c r="AA328" t="str">
        <f>IFERROR(MATCH(321,$X$8:$X$407,1),"")</f>
        <v/>
      </c>
      <c r="AB328" t="str">
        <f>IF(321=$AD$1+1,"G",IF($AA328="","",IF(INDEX($Q$8:$Q$407,$AA328)="","",IF(321&gt;INDEX($X$8:$X$407,$AA328)+INDEX($V$8:$V$407,$AA328)+INDEX($W$8:$W$407,$AA328),"",IF(321=INDEX($X$8:$X$407,$AA328)+INDEX($V$8:$V$407,$AA328)+INDEX($W$8:$W$407,$AA328),"D",IF(AND(INDEX($W$8:$W$407,$AA328)=1,321=INDEX($X$8:$X$407,$AA328)+INDEX($V$8:$V$407,$AA328)),"S","R"))))))</f>
        <v/>
      </c>
      <c r="AC328" t="str">
        <f t="shared" ref="AC328:AC391" si="81">IF(OR($AB328="",$AB328="G"),"",IF($AB328="D",INDEX($U$8:$U$407,$AA328),IF($AB328="S",INDEX($T$8:$T$407,$AA328)&amp;"|*",INDEX($S$8:$S$407,$AA328)&amp;"|*")))</f>
        <v/>
      </c>
      <c r="AE328">
        <f>IF($U328="",0,COUNTIF(บันทึกรายเที่ยว!$T$6:$T$10005,$U328))</f>
        <v>0</v>
      </c>
      <c r="AF328">
        <f>IF($U328="",0,ROUND(SUMIF(บันทึกรายเที่ยว!$T$6:$T$10005,$U328,บันทึกรายเที่ยว!$J$6:$J$10005),2))</f>
        <v>0</v>
      </c>
      <c r="AG328">
        <f>IF($U328="",0,ROUND(SUMIF(บันทึกรายเที่ยว!$T$6:$T$10005,$U328,บันทึกรายเที่ยว!$K$6:$K$10005),2))</f>
        <v>0</v>
      </c>
      <c r="AH328">
        <f>IF($U328="",0,ROUND(SUMIF(บันทึกรายเที่ยว!$T$6:$T$10005,$U328,บันทึกรายเที่ยว!$M$6:$M$10005),2))</f>
        <v>0</v>
      </c>
    </row>
    <row r="329" spans="1:34" ht="21" customHeight="1" x14ac:dyDescent="0.95">
      <c r="A329" s="3" t="str">
        <f t="shared" si="70"/>
        <v/>
      </c>
      <c r="B329" s="3" t="str">
        <f t="shared" si="71"/>
        <v/>
      </c>
      <c r="C329" s="8" t="str">
        <f t="shared" si="72"/>
        <v/>
      </c>
      <c r="D329" s="31" t="str">
        <f t="shared" si="73"/>
        <v/>
      </c>
      <c r="E329" s="32" t="str">
        <f>IF(322=$AD$1+3,"ขอแสดงความนับถือ",IF(322=$AD$1+6,"(                 )",IF(322=$AD$1+7,"เจ้าหน้าที่ขนส่ง",IF($AB329="G",SUM($AF$8:$AF$407),IF(OR($AB329="",$AB329="R"),"",IF($AB329="D",INDEX($AF$8:$AF$407,$AA329),SUMIF($T$8:$T$407,INDEX($T$8:$T$407,$AA329),$AF$8:$AF$407)))))))</f>
        <v/>
      </c>
      <c r="F329" s="32" t="str">
        <f t="shared" si="74"/>
        <v/>
      </c>
      <c r="G329" s="32" t="str">
        <f t="shared" si="75"/>
        <v/>
      </c>
      <c r="H329" s="32" t="str">
        <f t="shared" si="76"/>
        <v/>
      </c>
      <c r="J329" t="str">
        <f>IFERROR(MATCH(322,บันทึกรายเที่ยว!$W$6:$W$10005,0),"")</f>
        <v/>
      </c>
      <c r="K329" t="str">
        <f>IF($J329="","",INDEX(บันทึกรายเที่ยว!$T$6:$T$10005,$J329))</f>
        <v/>
      </c>
      <c r="L329" t="str">
        <f>IF($J329="","",INDEX(บันทึกรายเที่ยว!$S$6:$S$10005,$J329))</f>
        <v/>
      </c>
      <c r="M329" t="str">
        <f>IF($J329="","",INDEX(บันทึกรายเที่ยว!$R$6:$R$10005,$J329))</f>
        <v/>
      </c>
      <c r="N329" t="str">
        <f>IF($J329="","",MATCH($M329,บันทึกรายเที่ยว!$R$6:$R$10005,0))</f>
        <v/>
      </c>
      <c r="O329" t="str">
        <f>IF($J329="","",MATCH($L329,บันทึกรายเที่ยว!$S$6:$S$10005,0))</f>
        <v/>
      </c>
      <c r="P329" t="str">
        <f>IF($J329="","",IF(AND(OR($I$3="(ทั้งหมด)",INDEX(บันทึกรายเที่ยว!$C$6:$C$10005,$J329)=$I$3),OR($I$5="(ทั้งหมด)",INDEX(บันทึกรายเที่ยว!$D$6:$D$10005,$J329)=$I$5),OR($I$7="(ทั้งหมด)",INDEX(บันทึกรายเที่ยว!$F$6:$F$10005,$J329)=$I$7)),$N329*10000000+$O329*1000+322,""))</f>
        <v/>
      </c>
      <c r="Q329" t="str">
        <f>IFERROR(MATCH(SMALL($P$8:$P$407,322),$P$8:$P$407,0),"")</f>
        <v/>
      </c>
      <c r="R329" t="str">
        <f t="shared" si="77"/>
        <v/>
      </c>
      <c r="S329" t="str">
        <f t="shared" si="78"/>
        <v/>
      </c>
      <c r="T329" t="str">
        <f t="shared" si="79"/>
        <v/>
      </c>
      <c r="U329" t="str">
        <f t="shared" si="80"/>
        <v/>
      </c>
      <c r="V329">
        <f t="shared" ref="V329:V392" si="82">IF($Q329="",0,IF($S329&lt;&gt;$S328,1,0))</f>
        <v>0</v>
      </c>
      <c r="W329">
        <f t="shared" ref="W329:W392" si="83">IF($Q329="",0,IF($T329&lt;&gt;$T328,1,0))</f>
        <v>0</v>
      </c>
      <c r="X329">
        <f>IF($Q329="",99999+322,$X328+1+$V328+$W328)</f>
        <v>100321</v>
      </c>
      <c r="Y329" t="str">
        <f>IF($Q329="","",INDEX(บันทึกรายเที่ยว!$Q$6:$Q$10005,$R329))</f>
        <v/>
      </c>
      <c r="Z329" t="str">
        <f>IF($Q329="","",INDEX(บันทึกรายเที่ยว!$F$6:$F$10005,$R329))</f>
        <v/>
      </c>
      <c r="AA329" t="str">
        <f>IFERROR(MATCH(322,$X$8:$X$407,1),"")</f>
        <v/>
      </c>
      <c r="AB329" t="str">
        <f>IF(322=$AD$1+1,"G",IF($AA329="","",IF(INDEX($Q$8:$Q$407,$AA329)="","",IF(322&gt;INDEX($X$8:$X$407,$AA329)+INDEX($V$8:$V$407,$AA329)+INDEX($W$8:$W$407,$AA329),"",IF(322=INDEX($X$8:$X$407,$AA329)+INDEX($V$8:$V$407,$AA329)+INDEX($W$8:$W$407,$AA329),"D",IF(AND(INDEX($W$8:$W$407,$AA329)=1,322=INDEX($X$8:$X$407,$AA329)+INDEX($V$8:$V$407,$AA329)),"S","R"))))))</f>
        <v/>
      </c>
      <c r="AC329" t="str">
        <f t="shared" si="81"/>
        <v/>
      </c>
      <c r="AE329">
        <f>IF($U329="",0,COUNTIF(บันทึกรายเที่ยว!$T$6:$T$10005,$U329))</f>
        <v>0</v>
      </c>
      <c r="AF329">
        <f>IF($U329="",0,ROUND(SUMIF(บันทึกรายเที่ยว!$T$6:$T$10005,$U329,บันทึกรายเที่ยว!$J$6:$J$10005),2))</f>
        <v>0</v>
      </c>
      <c r="AG329">
        <f>IF($U329="",0,ROUND(SUMIF(บันทึกรายเที่ยว!$T$6:$T$10005,$U329,บันทึกรายเที่ยว!$K$6:$K$10005),2))</f>
        <v>0</v>
      </c>
      <c r="AH329">
        <f>IF($U329="",0,ROUND(SUMIF(บันทึกรายเที่ยว!$T$6:$T$10005,$U329,บันทึกรายเที่ยว!$M$6:$M$10005),2))</f>
        <v>0</v>
      </c>
    </row>
    <row r="330" spans="1:34" ht="21" customHeight="1" x14ac:dyDescent="0.95">
      <c r="A330" s="3" t="str">
        <f t="shared" si="70"/>
        <v/>
      </c>
      <c r="B330" s="3" t="str">
        <f t="shared" si="71"/>
        <v/>
      </c>
      <c r="C330" s="8" t="str">
        <f t="shared" si="72"/>
        <v/>
      </c>
      <c r="D330" s="31" t="str">
        <f t="shared" si="73"/>
        <v/>
      </c>
      <c r="E330" s="32" t="str">
        <f>IF(323=$AD$1+3,"ขอแสดงความนับถือ",IF(323=$AD$1+6,"(                 )",IF(323=$AD$1+7,"เจ้าหน้าที่ขนส่ง",IF($AB330="G",SUM($AF$8:$AF$407),IF(OR($AB330="",$AB330="R"),"",IF($AB330="D",INDEX($AF$8:$AF$407,$AA330),SUMIF($T$8:$T$407,INDEX($T$8:$T$407,$AA330),$AF$8:$AF$407)))))))</f>
        <v/>
      </c>
      <c r="F330" s="32" t="str">
        <f t="shared" si="74"/>
        <v/>
      </c>
      <c r="G330" s="32" t="str">
        <f t="shared" si="75"/>
        <v/>
      </c>
      <c r="H330" s="32" t="str">
        <f t="shared" si="76"/>
        <v/>
      </c>
      <c r="J330" t="str">
        <f>IFERROR(MATCH(323,บันทึกรายเที่ยว!$W$6:$W$10005,0),"")</f>
        <v/>
      </c>
      <c r="K330" t="str">
        <f>IF($J330="","",INDEX(บันทึกรายเที่ยว!$T$6:$T$10005,$J330))</f>
        <v/>
      </c>
      <c r="L330" t="str">
        <f>IF($J330="","",INDEX(บันทึกรายเที่ยว!$S$6:$S$10005,$J330))</f>
        <v/>
      </c>
      <c r="M330" t="str">
        <f>IF($J330="","",INDEX(บันทึกรายเที่ยว!$R$6:$R$10005,$J330))</f>
        <v/>
      </c>
      <c r="N330" t="str">
        <f>IF($J330="","",MATCH($M330,บันทึกรายเที่ยว!$R$6:$R$10005,0))</f>
        <v/>
      </c>
      <c r="O330" t="str">
        <f>IF($J330="","",MATCH($L330,บันทึกรายเที่ยว!$S$6:$S$10005,0))</f>
        <v/>
      </c>
      <c r="P330" t="str">
        <f>IF($J330="","",IF(AND(OR($I$3="(ทั้งหมด)",INDEX(บันทึกรายเที่ยว!$C$6:$C$10005,$J330)=$I$3),OR($I$5="(ทั้งหมด)",INDEX(บันทึกรายเที่ยว!$D$6:$D$10005,$J330)=$I$5),OR($I$7="(ทั้งหมด)",INDEX(บันทึกรายเที่ยว!$F$6:$F$10005,$J330)=$I$7)),$N330*10000000+$O330*1000+323,""))</f>
        <v/>
      </c>
      <c r="Q330" t="str">
        <f>IFERROR(MATCH(SMALL($P$8:$P$407,323),$P$8:$P$407,0),"")</f>
        <v/>
      </c>
      <c r="R330" t="str">
        <f t="shared" si="77"/>
        <v/>
      </c>
      <c r="S330" t="str">
        <f t="shared" si="78"/>
        <v/>
      </c>
      <c r="T330" t="str">
        <f t="shared" si="79"/>
        <v/>
      </c>
      <c r="U330" t="str">
        <f t="shared" si="80"/>
        <v/>
      </c>
      <c r="V330">
        <f t="shared" si="82"/>
        <v>0</v>
      </c>
      <c r="W330">
        <f t="shared" si="83"/>
        <v>0</v>
      </c>
      <c r="X330">
        <f>IF($Q330="",99999+323,$X329+1+$V329+$W329)</f>
        <v>100322</v>
      </c>
      <c r="Y330" t="str">
        <f>IF($Q330="","",INDEX(บันทึกรายเที่ยว!$Q$6:$Q$10005,$R330))</f>
        <v/>
      </c>
      <c r="Z330" t="str">
        <f>IF($Q330="","",INDEX(บันทึกรายเที่ยว!$F$6:$F$10005,$R330))</f>
        <v/>
      </c>
      <c r="AA330" t="str">
        <f>IFERROR(MATCH(323,$X$8:$X$407,1),"")</f>
        <v/>
      </c>
      <c r="AB330" t="str">
        <f>IF(323=$AD$1+1,"G",IF($AA330="","",IF(INDEX($Q$8:$Q$407,$AA330)="","",IF(323&gt;INDEX($X$8:$X$407,$AA330)+INDEX($V$8:$V$407,$AA330)+INDEX($W$8:$W$407,$AA330),"",IF(323=INDEX($X$8:$X$407,$AA330)+INDEX($V$8:$V$407,$AA330)+INDEX($W$8:$W$407,$AA330),"D",IF(AND(INDEX($W$8:$W$407,$AA330)=1,323=INDEX($X$8:$X$407,$AA330)+INDEX($V$8:$V$407,$AA330)),"S","R"))))))</f>
        <v/>
      </c>
      <c r="AC330" t="str">
        <f t="shared" si="81"/>
        <v/>
      </c>
      <c r="AE330">
        <f>IF($U330="",0,COUNTIF(บันทึกรายเที่ยว!$T$6:$T$10005,$U330))</f>
        <v>0</v>
      </c>
      <c r="AF330">
        <f>IF($U330="",0,ROUND(SUMIF(บันทึกรายเที่ยว!$T$6:$T$10005,$U330,บันทึกรายเที่ยว!$J$6:$J$10005),2))</f>
        <v>0</v>
      </c>
      <c r="AG330">
        <f>IF($U330="",0,ROUND(SUMIF(บันทึกรายเที่ยว!$T$6:$T$10005,$U330,บันทึกรายเที่ยว!$K$6:$K$10005),2))</f>
        <v>0</v>
      </c>
      <c r="AH330">
        <f>IF($U330="",0,ROUND(SUMIF(บันทึกรายเที่ยว!$T$6:$T$10005,$U330,บันทึกรายเที่ยว!$M$6:$M$10005),2))</f>
        <v>0</v>
      </c>
    </row>
    <row r="331" spans="1:34" ht="21" customHeight="1" x14ac:dyDescent="0.95">
      <c r="A331" s="3" t="str">
        <f t="shared" si="70"/>
        <v/>
      </c>
      <c r="B331" s="3" t="str">
        <f t="shared" si="71"/>
        <v/>
      </c>
      <c r="C331" s="8" t="str">
        <f t="shared" si="72"/>
        <v/>
      </c>
      <c r="D331" s="31" t="str">
        <f t="shared" si="73"/>
        <v/>
      </c>
      <c r="E331" s="32" t="str">
        <f>IF(324=$AD$1+3,"ขอแสดงความนับถือ",IF(324=$AD$1+6,"(                 )",IF(324=$AD$1+7,"เจ้าหน้าที่ขนส่ง",IF($AB331="G",SUM($AF$8:$AF$407),IF(OR($AB331="",$AB331="R"),"",IF($AB331="D",INDEX($AF$8:$AF$407,$AA331),SUMIF($T$8:$T$407,INDEX($T$8:$T$407,$AA331),$AF$8:$AF$407)))))))</f>
        <v/>
      </c>
      <c r="F331" s="32" t="str">
        <f t="shared" si="74"/>
        <v/>
      </c>
      <c r="G331" s="32" t="str">
        <f t="shared" si="75"/>
        <v/>
      </c>
      <c r="H331" s="32" t="str">
        <f t="shared" si="76"/>
        <v/>
      </c>
      <c r="J331" t="str">
        <f>IFERROR(MATCH(324,บันทึกรายเที่ยว!$W$6:$W$10005,0),"")</f>
        <v/>
      </c>
      <c r="K331" t="str">
        <f>IF($J331="","",INDEX(บันทึกรายเที่ยว!$T$6:$T$10005,$J331))</f>
        <v/>
      </c>
      <c r="L331" t="str">
        <f>IF($J331="","",INDEX(บันทึกรายเที่ยว!$S$6:$S$10005,$J331))</f>
        <v/>
      </c>
      <c r="M331" t="str">
        <f>IF($J331="","",INDEX(บันทึกรายเที่ยว!$R$6:$R$10005,$J331))</f>
        <v/>
      </c>
      <c r="N331" t="str">
        <f>IF($J331="","",MATCH($M331,บันทึกรายเที่ยว!$R$6:$R$10005,0))</f>
        <v/>
      </c>
      <c r="O331" t="str">
        <f>IF($J331="","",MATCH($L331,บันทึกรายเที่ยว!$S$6:$S$10005,0))</f>
        <v/>
      </c>
      <c r="P331" t="str">
        <f>IF($J331="","",IF(AND(OR($I$3="(ทั้งหมด)",INDEX(บันทึกรายเที่ยว!$C$6:$C$10005,$J331)=$I$3),OR($I$5="(ทั้งหมด)",INDEX(บันทึกรายเที่ยว!$D$6:$D$10005,$J331)=$I$5),OR($I$7="(ทั้งหมด)",INDEX(บันทึกรายเที่ยว!$F$6:$F$10005,$J331)=$I$7)),$N331*10000000+$O331*1000+324,""))</f>
        <v/>
      </c>
      <c r="Q331" t="str">
        <f>IFERROR(MATCH(SMALL($P$8:$P$407,324),$P$8:$P$407,0),"")</f>
        <v/>
      </c>
      <c r="R331" t="str">
        <f t="shared" si="77"/>
        <v/>
      </c>
      <c r="S331" t="str">
        <f t="shared" si="78"/>
        <v/>
      </c>
      <c r="T331" t="str">
        <f t="shared" si="79"/>
        <v/>
      </c>
      <c r="U331" t="str">
        <f t="shared" si="80"/>
        <v/>
      </c>
      <c r="V331">
        <f t="shared" si="82"/>
        <v>0</v>
      </c>
      <c r="W331">
        <f t="shared" si="83"/>
        <v>0</v>
      </c>
      <c r="X331">
        <f>IF($Q331="",99999+324,$X330+1+$V330+$W330)</f>
        <v>100323</v>
      </c>
      <c r="Y331" t="str">
        <f>IF($Q331="","",INDEX(บันทึกรายเที่ยว!$Q$6:$Q$10005,$R331))</f>
        <v/>
      </c>
      <c r="Z331" t="str">
        <f>IF($Q331="","",INDEX(บันทึกรายเที่ยว!$F$6:$F$10005,$R331))</f>
        <v/>
      </c>
      <c r="AA331" t="str">
        <f>IFERROR(MATCH(324,$X$8:$X$407,1),"")</f>
        <v/>
      </c>
      <c r="AB331" t="str">
        <f>IF(324=$AD$1+1,"G",IF($AA331="","",IF(INDEX($Q$8:$Q$407,$AA331)="","",IF(324&gt;INDEX($X$8:$X$407,$AA331)+INDEX($V$8:$V$407,$AA331)+INDEX($W$8:$W$407,$AA331),"",IF(324=INDEX($X$8:$X$407,$AA331)+INDEX($V$8:$V$407,$AA331)+INDEX($W$8:$W$407,$AA331),"D",IF(AND(INDEX($W$8:$W$407,$AA331)=1,324=INDEX($X$8:$X$407,$AA331)+INDEX($V$8:$V$407,$AA331)),"S","R"))))))</f>
        <v/>
      </c>
      <c r="AC331" t="str">
        <f t="shared" si="81"/>
        <v/>
      </c>
      <c r="AE331">
        <f>IF($U331="",0,COUNTIF(บันทึกรายเที่ยว!$T$6:$T$10005,$U331))</f>
        <v>0</v>
      </c>
      <c r="AF331">
        <f>IF($U331="",0,ROUND(SUMIF(บันทึกรายเที่ยว!$T$6:$T$10005,$U331,บันทึกรายเที่ยว!$J$6:$J$10005),2))</f>
        <v>0</v>
      </c>
      <c r="AG331">
        <f>IF($U331="",0,ROUND(SUMIF(บันทึกรายเที่ยว!$T$6:$T$10005,$U331,บันทึกรายเที่ยว!$K$6:$K$10005),2))</f>
        <v>0</v>
      </c>
      <c r="AH331">
        <f>IF($U331="",0,ROUND(SUMIF(บันทึกรายเที่ยว!$T$6:$T$10005,$U331,บันทึกรายเที่ยว!$M$6:$M$10005),2))</f>
        <v>0</v>
      </c>
    </row>
    <row r="332" spans="1:34" ht="21" customHeight="1" x14ac:dyDescent="0.95">
      <c r="A332" s="3" t="str">
        <f t="shared" si="70"/>
        <v/>
      </c>
      <c r="B332" s="3" t="str">
        <f t="shared" si="71"/>
        <v/>
      </c>
      <c r="C332" s="8" t="str">
        <f t="shared" si="72"/>
        <v/>
      </c>
      <c r="D332" s="31" t="str">
        <f t="shared" si="73"/>
        <v/>
      </c>
      <c r="E332" s="32" t="str">
        <f>IF(325=$AD$1+3,"ขอแสดงความนับถือ",IF(325=$AD$1+6,"(                 )",IF(325=$AD$1+7,"เจ้าหน้าที่ขนส่ง",IF($AB332="G",SUM($AF$8:$AF$407),IF(OR($AB332="",$AB332="R"),"",IF($AB332="D",INDEX($AF$8:$AF$407,$AA332),SUMIF($T$8:$T$407,INDEX($T$8:$T$407,$AA332),$AF$8:$AF$407)))))))</f>
        <v/>
      </c>
      <c r="F332" s="32" t="str">
        <f t="shared" si="74"/>
        <v/>
      </c>
      <c r="G332" s="32" t="str">
        <f t="shared" si="75"/>
        <v/>
      </c>
      <c r="H332" s="32" t="str">
        <f t="shared" si="76"/>
        <v/>
      </c>
      <c r="J332" t="str">
        <f>IFERROR(MATCH(325,บันทึกรายเที่ยว!$W$6:$W$10005,0),"")</f>
        <v/>
      </c>
      <c r="K332" t="str">
        <f>IF($J332="","",INDEX(บันทึกรายเที่ยว!$T$6:$T$10005,$J332))</f>
        <v/>
      </c>
      <c r="L332" t="str">
        <f>IF($J332="","",INDEX(บันทึกรายเที่ยว!$S$6:$S$10005,$J332))</f>
        <v/>
      </c>
      <c r="M332" t="str">
        <f>IF($J332="","",INDEX(บันทึกรายเที่ยว!$R$6:$R$10005,$J332))</f>
        <v/>
      </c>
      <c r="N332" t="str">
        <f>IF($J332="","",MATCH($M332,บันทึกรายเที่ยว!$R$6:$R$10005,0))</f>
        <v/>
      </c>
      <c r="O332" t="str">
        <f>IF($J332="","",MATCH($L332,บันทึกรายเที่ยว!$S$6:$S$10005,0))</f>
        <v/>
      </c>
      <c r="P332" t="str">
        <f>IF($J332="","",IF(AND(OR($I$3="(ทั้งหมด)",INDEX(บันทึกรายเที่ยว!$C$6:$C$10005,$J332)=$I$3),OR($I$5="(ทั้งหมด)",INDEX(บันทึกรายเที่ยว!$D$6:$D$10005,$J332)=$I$5),OR($I$7="(ทั้งหมด)",INDEX(บันทึกรายเที่ยว!$F$6:$F$10005,$J332)=$I$7)),$N332*10000000+$O332*1000+325,""))</f>
        <v/>
      </c>
      <c r="Q332" t="str">
        <f>IFERROR(MATCH(SMALL($P$8:$P$407,325),$P$8:$P$407,0),"")</f>
        <v/>
      </c>
      <c r="R332" t="str">
        <f t="shared" si="77"/>
        <v/>
      </c>
      <c r="S332" t="str">
        <f t="shared" si="78"/>
        <v/>
      </c>
      <c r="T332" t="str">
        <f t="shared" si="79"/>
        <v/>
      </c>
      <c r="U332" t="str">
        <f t="shared" si="80"/>
        <v/>
      </c>
      <c r="V332">
        <f t="shared" si="82"/>
        <v>0</v>
      </c>
      <c r="W332">
        <f t="shared" si="83"/>
        <v>0</v>
      </c>
      <c r="X332">
        <f>IF($Q332="",99999+325,$X331+1+$V331+$W331)</f>
        <v>100324</v>
      </c>
      <c r="Y332" t="str">
        <f>IF($Q332="","",INDEX(บันทึกรายเที่ยว!$Q$6:$Q$10005,$R332))</f>
        <v/>
      </c>
      <c r="Z332" t="str">
        <f>IF($Q332="","",INDEX(บันทึกรายเที่ยว!$F$6:$F$10005,$R332))</f>
        <v/>
      </c>
      <c r="AA332" t="str">
        <f>IFERROR(MATCH(325,$X$8:$X$407,1),"")</f>
        <v/>
      </c>
      <c r="AB332" t="str">
        <f>IF(325=$AD$1+1,"G",IF($AA332="","",IF(INDEX($Q$8:$Q$407,$AA332)="","",IF(325&gt;INDEX($X$8:$X$407,$AA332)+INDEX($V$8:$V$407,$AA332)+INDEX($W$8:$W$407,$AA332),"",IF(325=INDEX($X$8:$X$407,$AA332)+INDEX($V$8:$V$407,$AA332)+INDEX($W$8:$W$407,$AA332),"D",IF(AND(INDEX($W$8:$W$407,$AA332)=1,325=INDEX($X$8:$X$407,$AA332)+INDEX($V$8:$V$407,$AA332)),"S","R"))))))</f>
        <v/>
      </c>
      <c r="AC332" t="str">
        <f t="shared" si="81"/>
        <v/>
      </c>
      <c r="AE332">
        <f>IF($U332="",0,COUNTIF(บันทึกรายเที่ยว!$T$6:$T$10005,$U332))</f>
        <v>0</v>
      </c>
      <c r="AF332">
        <f>IF($U332="",0,ROUND(SUMIF(บันทึกรายเที่ยว!$T$6:$T$10005,$U332,บันทึกรายเที่ยว!$J$6:$J$10005),2))</f>
        <v>0</v>
      </c>
      <c r="AG332">
        <f>IF($U332="",0,ROUND(SUMIF(บันทึกรายเที่ยว!$T$6:$T$10005,$U332,บันทึกรายเที่ยว!$K$6:$K$10005),2))</f>
        <v>0</v>
      </c>
      <c r="AH332">
        <f>IF($U332="",0,ROUND(SUMIF(บันทึกรายเที่ยว!$T$6:$T$10005,$U332,บันทึกรายเที่ยว!$M$6:$M$10005),2))</f>
        <v>0</v>
      </c>
    </row>
    <row r="333" spans="1:34" ht="21" customHeight="1" x14ac:dyDescent="0.95">
      <c r="A333" s="3" t="str">
        <f t="shared" si="70"/>
        <v/>
      </c>
      <c r="B333" s="3" t="str">
        <f t="shared" si="71"/>
        <v/>
      </c>
      <c r="C333" s="8" t="str">
        <f t="shared" si="72"/>
        <v/>
      </c>
      <c r="D333" s="31" t="str">
        <f t="shared" si="73"/>
        <v/>
      </c>
      <c r="E333" s="32" t="str">
        <f>IF(326=$AD$1+3,"ขอแสดงความนับถือ",IF(326=$AD$1+6,"(                 )",IF(326=$AD$1+7,"เจ้าหน้าที่ขนส่ง",IF($AB333="G",SUM($AF$8:$AF$407),IF(OR($AB333="",$AB333="R"),"",IF($AB333="D",INDEX($AF$8:$AF$407,$AA333),SUMIF($T$8:$T$407,INDEX($T$8:$T$407,$AA333),$AF$8:$AF$407)))))))</f>
        <v/>
      </c>
      <c r="F333" s="32" t="str">
        <f t="shared" si="74"/>
        <v/>
      </c>
      <c r="G333" s="32" t="str">
        <f t="shared" si="75"/>
        <v/>
      </c>
      <c r="H333" s="32" t="str">
        <f t="shared" si="76"/>
        <v/>
      </c>
      <c r="J333" t="str">
        <f>IFERROR(MATCH(326,บันทึกรายเที่ยว!$W$6:$W$10005,0),"")</f>
        <v/>
      </c>
      <c r="K333" t="str">
        <f>IF($J333="","",INDEX(บันทึกรายเที่ยว!$T$6:$T$10005,$J333))</f>
        <v/>
      </c>
      <c r="L333" t="str">
        <f>IF($J333="","",INDEX(บันทึกรายเที่ยว!$S$6:$S$10005,$J333))</f>
        <v/>
      </c>
      <c r="M333" t="str">
        <f>IF($J333="","",INDEX(บันทึกรายเที่ยว!$R$6:$R$10005,$J333))</f>
        <v/>
      </c>
      <c r="N333" t="str">
        <f>IF($J333="","",MATCH($M333,บันทึกรายเที่ยว!$R$6:$R$10005,0))</f>
        <v/>
      </c>
      <c r="O333" t="str">
        <f>IF($J333="","",MATCH($L333,บันทึกรายเที่ยว!$S$6:$S$10005,0))</f>
        <v/>
      </c>
      <c r="P333" t="str">
        <f>IF($J333="","",IF(AND(OR($I$3="(ทั้งหมด)",INDEX(บันทึกรายเที่ยว!$C$6:$C$10005,$J333)=$I$3),OR($I$5="(ทั้งหมด)",INDEX(บันทึกรายเที่ยว!$D$6:$D$10005,$J333)=$I$5),OR($I$7="(ทั้งหมด)",INDEX(บันทึกรายเที่ยว!$F$6:$F$10005,$J333)=$I$7)),$N333*10000000+$O333*1000+326,""))</f>
        <v/>
      </c>
      <c r="Q333" t="str">
        <f>IFERROR(MATCH(SMALL($P$8:$P$407,326),$P$8:$P$407,0),"")</f>
        <v/>
      </c>
      <c r="R333" t="str">
        <f t="shared" si="77"/>
        <v/>
      </c>
      <c r="S333" t="str">
        <f t="shared" si="78"/>
        <v/>
      </c>
      <c r="T333" t="str">
        <f t="shared" si="79"/>
        <v/>
      </c>
      <c r="U333" t="str">
        <f t="shared" si="80"/>
        <v/>
      </c>
      <c r="V333">
        <f t="shared" si="82"/>
        <v>0</v>
      </c>
      <c r="W333">
        <f t="shared" si="83"/>
        <v>0</v>
      </c>
      <c r="X333">
        <f>IF($Q333="",99999+326,$X332+1+$V332+$W332)</f>
        <v>100325</v>
      </c>
      <c r="Y333" t="str">
        <f>IF($Q333="","",INDEX(บันทึกรายเที่ยว!$Q$6:$Q$10005,$R333))</f>
        <v/>
      </c>
      <c r="Z333" t="str">
        <f>IF($Q333="","",INDEX(บันทึกรายเที่ยว!$F$6:$F$10005,$R333))</f>
        <v/>
      </c>
      <c r="AA333" t="str">
        <f>IFERROR(MATCH(326,$X$8:$X$407,1),"")</f>
        <v/>
      </c>
      <c r="AB333" t="str">
        <f>IF(326=$AD$1+1,"G",IF($AA333="","",IF(INDEX($Q$8:$Q$407,$AA333)="","",IF(326&gt;INDEX($X$8:$X$407,$AA333)+INDEX($V$8:$V$407,$AA333)+INDEX($W$8:$W$407,$AA333),"",IF(326=INDEX($X$8:$X$407,$AA333)+INDEX($V$8:$V$407,$AA333)+INDEX($W$8:$W$407,$AA333),"D",IF(AND(INDEX($W$8:$W$407,$AA333)=1,326=INDEX($X$8:$X$407,$AA333)+INDEX($V$8:$V$407,$AA333)),"S","R"))))))</f>
        <v/>
      </c>
      <c r="AC333" t="str">
        <f t="shared" si="81"/>
        <v/>
      </c>
      <c r="AE333">
        <f>IF($U333="",0,COUNTIF(บันทึกรายเที่ยว!$T$6:$T$10005,$U333))</f>
        <v>0</v>
      </c>
      <c r="AF333">
        <f>IF($U333="",0,ROUND(SUMIF(บันทึกรายเที่ยว!$T$6:$T$10005,$U333,บันทึกรายเที่ยว!$J$6:$J$10005),2))</f>
        <v>0</v>
      </c>
      <c r="AG333">
        <f>IF($U333="",0,ROUND(SUMIF(บันทึกรายเที่ยว!$T$6:$T$10005,$U333,บันทึกรายเที่ยว!$K$6:$K$10005),2))</f>
        <v>0</v>
      </c>
      <c r="AH333">
        <f>IF($U333="",0,ROUND(SUMIF(บันทึกรายเที่ยว!$T$6:$T$10005,$U333,บันทึกรายเที่ยว!$M$6:$M$10005),2))</f>
        <v>0</v>
      </c>
    </row>
    <row r="334" spans="1:34" ht="21" customHeight="1" x14ac:dyDescent="0.95">
      <c r="A334" s="3" t="str">
        <f t="shared" si="70"/>
        <v/>
      </c>
      <c r="B334" s="3" t="str">
        <f t="shared" si="71"/>
        <v/>
      </c>
      <c r="C334" s="8" t="str">
        <f t="shared" si="72"/>
        <v/>
      </c>
      <c r="D334" s="31" t="str">
        <f t="shared" si="73"/>
        <v/>
      </c>
      <c r="E334" s="32" t="str">
        <f>IF(327=$AD$1+3,"ขอแสดงความนับถือ",IF(327=$AD$1+6,"(                 )",IF(327=$AD$1+7,"เจ้าหน้าที่ขนส่ง",IF($AB334="G",SUM($AF$8:$AF$407),IF(OR($AB334="",$AB334="R"),"",IF($AB334="D",INDEX($AF$8:$AF$407,$AA334),SUMIF($T$8:$T$407,INDEX($T$8:$T$407,$AA334),$AF$8:$AF$407)))))))</f>
        <v/>
      </c>
      <c r="F334" s="32" t="str">
        <f t="shared" si="74"/>
        <v/>
      </c>
      <c r="G334" s="32" t="str">
        <f t="shared" si="75"/>
        <v/>
      </c>
      <c r="H334" s="32" t="str">
        <f t="shared" si="76"/>
        <v/>
      </c>
      <c r="J334" t="str">
        <f>IFERROR(MATCH(327,บันทึกรายเที่ยว!$W$6:$W$10005,0),"")</f>
        <v/>
      </c>
      <c r="K334" t="str">
        <f>IF($J334="","",INDEX(บันทึกรายเที่ยว!$T$6:$T$10005,$J334))</f>
        <v/>
      </c>
      <c r="L334" t="str">
        <f>IF($J334="","",INDEX(บันทึกรายเที่ยว!$S$6:$S$10005,$J334))</f>
        <v/>
      </c>
      <c r="M334" t="str">
        <f>IF($J334="","",INDEX(บันทึกรายเที่ยว!$R$6:$R$10005,$J334))</f>
        <v/>
      </c>
      <c r="N334" t="str">
        <f>IF($J334="","",MATCH($M334,บันทึกรายเที่ยว!$R$6:$R$10005,0))</f>
        <v/>
      </c>
      <c r="O334" t="str">
        <f>IF($J334="","",MATCH($L334,บันทึกรายเที่ยว!$S$6:$S$10005,0))</f>
        <v/>
      </c>
      <c r="P334" t="str">
        <f>IF($J334="","",IF(AND(OR($I$3="(ทั้งหมด)",INDEX(บันทึกรายเที่ยว!$C$6:$C$10005,$J334)=$I$3),OR($I$5="(ทั้งหมด)",INDEX(บันทึกรายเที่ยว!$D$6:$D$10005,$J334)=$I$5),OR($I$7="(ทั้งหมด)",INDEX(บันทึกรายเที่ยว!$F$6:$F$10005,$J334)=$I$7)),$N334*10000000+$O334*1000+327,""))</f>
        <v/>
      </c>
      <c r="Q334" t="str">
        <f>IFERROR(MATCH(SMALL($P$8:$P$407,327),$P$8:$P$407,0),"")</f>
        <v/>
      </c>
      <c r="R334" t="str">
        <f t="shared" si="77"/>
        <v/>
      </c>
      <c r="S334" t="str">
        <f t="shared" si="78"/>
        <v/>
      </c>
      <c r="T334" t="str">
        <f t="shared" si="79"/>
        <v/>
      </c>
      <c r="U334" t="str">
        <f t="shared" si="80"/>
        <v/>
      </c>
      <c r="V334">
        <f t="shared" si="82"/>
        <v>0</v>
      </c>
      <c r="W334">
        <f t="shared" si="83"/>
        <v>0</v>
      </c>
      <c r="X334">
        <f>IF($Q334="",99999+327,$X333+1+$V333+$W333)</f>
        <v>100326</v>
      </c>
      <c r="Y334" t="str">
        <f>IF($Q334="","",INDEX(บันทึกรายเที่ยว!$Q$6:$Q$10005,$R334))</f>
        <v/>
      </c>
      <c r="Z334" t="str">
        <f>IF($Q334="","",INDEX(บันทึกรายเที่ยว!$F$6:$F$10005,$R334))</f>
        <v/>
      </c>
      <c r="AA334" t="str">
        <f>IFERROR(MATCH(327,$X$8:$X$407,1),"")</f>
        <v/>
      </c>
      <c r="AB334" t="str">
        <f>IF(327=$AD$1+1,"G",IF($AA334="","",IF(INDEX($Q$8:$Q$407,$AA334)="","",IF(327&gt;INDEX($X$8:$X$407,$AA334)+INDEX($V$8:$V$407,$AA334)+INDEX($W$8:$W$407,$AA334),"",IF(327=INDEX($X$8:$X$407,$AA334)+INDEX($V$8:$V$407,$AA334)+INDEX($W$8:$W$407,$AA334),"D",IF(AND(INDEX($W$8:$W$407,$AA334)=1,327=INDEX($X$8:$X$407,$AA334)+INDEX($V$8:$V$407,$AA334)),"S","R"))))))</f>
        <v/>
      </c>
      <c r="AC334" t="str">
        <f t="shared" si="81"/>
        <v/>
      </c>
      <c r="AE334">
        <f>IF($U334="",0,COUNTIF(บันทึกรายเที่ยว!$T$6:$T$10005,$U334))</f>
        <v>0</v>
      </c>
      <c r="AF334">
        <f>IF($U334="",0,ROUND(SUMIF(บันทึกรายเที่ยว!$T$6:$T$10005,$U334,บันทึกรายเที่ยว!$J$6:$J$10005),2))</f>
        <v>0</v>
      </c>
      <c r="AG334">
        <f>IF($U334="",0,ROUND(SUMIF(บันทึกรายเที่ยว!$T$6:$T$10005,$U334,บันทึกรายเที่ยว!$K$6:$K$10005),2))</f>
        <v>0</v>
      </c>
      <c r="AH334">
        <f>IF($U334="",0,ROUND(SUMIF(บันทึกรายเที่ยว!$T$6:$T$10005,$U334,บันทึกรายเที่ยว!$M$6:$M$10005),2))</f>
        <v>0</v>
      </c>
    </row>
    <row r="335" spans="1:34" ht="21" customHeight="1" x14ac:dyDescent="0.95">
      <c r="A335" s="3" t="str">
        <f t="shared" si="70"/>
        <v/>
      </c>
      <c r="B335" s="3" t="str">
        <f t="shared" si="71"/>
        <v/>
      </c>
      <c r="C335" s="8" t="str">
        <f t="shared" si="72"/>
        <v/>
      </c>
      <c r="D335" s="31" t="str">
        <f t="shared" si="73"/>
        <v/>
      </c>
      <c r="E335" s="32" t="str">
        <f>IF(328=$AD$1+3,"ขอแสดงความนับถือ",IF(328=$AD$1+6,"(                 )",IF(328=$AD$1+7,"เจ้าหน้าที่ขนส่ง",IF($AB335="G",SUM($AF$8:$AF$407),IF(OR($AB335="",$AB335="R"),"",IF($AB335="D",INDEX($AF$8:$AF$407,$AA335),SUMIF($T$8:$T$407,INDEX($T$8:$T$407,$AA335),$AF$8:$AF$407)))))))</f>
        <v/>
      </c>
      <c r="F335" s="32" t="str">
        <f t="shared" si="74"/>
        <v/>
      </c>
      <c r="G335" s="32" t="str">
        <f t="shared" si="75"/>
        <v/>
      </c>
      <c r="H335" s="32" t="str">
        <f t="shared" si="76"/>
        <v/>
      </c>
      <c r="J335" t="str">
        <f>IFERROR(MATCH(328,บันทึกรายเที่ยว!$W$6:$W$10005,0),"")</f>
        <v/>
      </c>
      <c r="K335" t="str">
        <f>IF($J335="","",INDEX(บันทึกรายเที่ยว!$T$6:$T$10005,$J335))</f>
        <v/>
      </c>
      <c r="L335" t="str">
        <f>IF($J335="","",INDEX(บันทึกรายเที่ยว!$S$6:$S$10005,$J335))</f>
        <v/>
      </c>
      <c r="M335" t="str">
        <f>IF($J335="","",INDEX(บันทึกรายเที่ยว!$R$6:$R$10005,$J335))</f>
        <v/>
      </c>
      <c r="N335" t="str">
        <f>IF($J335="","",MATCH($M335,บันทึกรายเที่ยว!$R$6:$R$10005,0))</f>
        <v/>
      </c>
      <c r="O335" t="str">
        <f>IF($J335="","",MATCH($L335,บันทึกรายเที่ยว!$S$6:$S$10005,0))</f>
        <v/>
      </c>
      <c r="P335" t="str">
        <f>IF($J335="","",IF(AND(OR($I$3="(ทั้งหมด)",INDEX(บันทึกรายเที่ยว!$C$6:$C$10005,$J335)=$I$3),OR($I$5="(ทั้งหมด)",INDEX(บันทึกรายเที่ยว!$D$6:$D$10005,$J335)=$I$5),OR($I$7="(ทั้งหมด)",INDEX(บันทึกรายเที่ยว!$F$6:$F$10005,$J335)=$I$7)),$N335*10000000+$O335*1000+328,""))</f>
        <v/>
      </c>
      <c r="Q335" t="str">
        <f>IFERROR(MATCH(SMALL($P$8:$P$407,328),$P$8:$P$407,0),"")</f>
        <v/>
      </c>
      <c r="R335" t="str">
        <f t="shared" si="77"/>
        <v/>
      </c>
      <c r="S335" t="str">
        <f t="shared" si="78"/>
        <v/>
      </c>
      <c r="T335" t="str">
        <f t="shared" si="79"/>
        <v/>
      </c>
      <c r="U335" t="str">
        <f t="shared" si="80"/>
        <v/>
      </c>
      <c r="V335">
        <f t="shared" si="82"/>
        <v>0</v>
      </c>
      <c r="W335">
        <f t="shared" si="83"/>
        <v>0</v>
      </c>
      <c r="X335">
        <f>IF($Q335="",99999+328,$X334+1+$V334+$W334)</f>
        <v>100327</v>
      </c>
      <c r="Y335" t="str">
        <f>IF($Q335="","",INDEX(บันทึกรายเที่ยว!$Q$6:$Q$10005,$R335))</f>
        <v/>
      </c>
      <c r="Z335" t="str">
        <f>IF($Q335="","",INDEX(บันทึกรายเที่ยว!$F$6:$F$10005,$R335))</f>
        <v/>
      </c>
      <c r="AA335" t="str">
        <f>IFERROR(MATCH(328,$X$8:$X$407,1),"")</f>
        <v/>
      </c>
      <c r="AB335" t="str">
        <f>IF(328=$AD$1+1,"G",IF($AA335="","",IF(INDEX($Q$8:$Q$407,$AA335)="","",IF(328&gt;INDEX($X$8:$X$407,$AA335)+INDEX($V$8:$V$407,$AA335)+INDEX($W$8:$W$407,$AA335),"",IF(328=INDEX($X$8:$X$407,$AA335)+INDEX($V$8:$V$407,$AA335)+INDEX($W$8:$W$407,$AA335),"D",IF(AND(INDEX($W$8:$W$407,$AA335)=1,328=INDEX($X$8:$X$407,$AA335)+INDEX($V$8:$V$407,$AA335)),"S","R"))))))</f>
        <v/>
      </c>
      <c r="AC335" t="str">
        <f t="shared" si="81"/>
        <v/>
      </c>
      <c r="AE335">
        <f>IF($U335="",0,COUNTIF(บันทึกรายเที่ยว!$T$6:$T$10005,$U335))</f>
        <v>0</v>
      </c>
      <c r="AF335">
        <f>IF($U335="",0,ROUND(SUMIF(บันทึกรายเที่ยว!$T$6:$T$10005,$U335,บันทึกรายเที่ยว!$J$6:$J$10005),2))</f>
        <v>0</v>
      </c>
      <c r="AG335">
        <f>IF($U335="",0,ROUND(SUMIF(บันทึกรายเที่ยว!$T$6:$T$10005,$U335,บันทึกรายเที่ยว!$K$6:$K$10005),2))</f>
        <v>0</v>
      </c>
      <c r="AH335">
        <f>IF($U335="",0,ROUND(SUMIF(บันทึกรายเที่ยว!$T$6:$T$10005,$U335,บันทึกรายเที่ยว!$M$6:$M$10005),2))</f>
        <v>0</v>
      </c>
    </row>
    <row r="336" spans="1:34" ht="21" customHeight="1" x14ac:dyDescent="0.95">
      <c r="A336" s="3" t="str">
        <f t="shared" si="70"/>
        <v/>
      </c>
      <c r="B336" s="3" t="str">
        <f t="shared" si="71"/>
        <v/>
      </c>
      <c r="C336" s="8" t="str">
        <f t="shared" si="72"/>
        <v/>
      </c>
      <c r="D336" s="31" t="str">
        <f t="shared" si="73"/>
        <v/>
      </c>
      <c r="E336" s="32" t="str">
        <f>IF(329=$AD$1+3,"ขอแสดงความนับถือ",IF(329=$AD$1+6,"(                 )",IF(329=$AD$1+7,"เจ้าหน้าที่ขนส่ง",IF($AB336="G",SUM($AF$8:$AF$407),IF(OR($AB336="",$AB336="R"),"",IF($AB336="D",INDEX($AF$8:$AF$407,$AA336),SUMIF($T$8:$T$407,INDEX($T$8:$T$407,$AA336),$AF$8:$AF$407)))))))</f>
        <v/>
      </c>
      <c r="F336" s="32" t="str">
        <f t="shared" si="74"/>
        <v/>
      </c>
      <c r="G336" s="32" t="str">
        <f t="shared" si="75"/>
        <v/>
      </c>
      <c r="H336" s="32" t="str">
        <f t="shared" si="76"/>
        <v/>
      </c>
      <c r="J336" t="str">
        <f>IFERROR(MATCH(329,บันทึกรายเที่ยว!$W$6:$W$10005,0),"")</f>
        <v/>
      </c>
      <c r="K336" t="str">
        <f>IF($J336="","",INDEX(บันทึกรายเที่ยว!$T$6:$T$10005,$J336))</f>
        <v/>
      </c>
      <c r="L336" t="str">
        <f>IF($J336="","",INDEX(บันทึกรายเที่ยว!$S$6:$S$10005,$J336))</f>
        <v/>
      </c>
      <c r="M336" t="str">
        <f>IF($J336="","",INDEX(บันทึกรายเที่ยว!$R$6:$R$10005,$J336))</f>
        <v/>
      </c>
      <c r="N336" t="str">
        <f>IF($J336="","",MATCH($M336,บันทึกรายเที่ยว!$R$6:$R$10005,0))</f>
        <v/>
      </c>
      <c r="O336" t="str">
        <f>IF($J336="","",MATCH($L336,บันทึกรายเที่ยว!$S$6:$S$10005,0))</f>
        <v/>
      </c>
      <c r="P336" t="str">
        <f>IF($J336="","",IF(AND(OR($I$3="(ทั้งหมด)",INDEX(บันทึกรายเที่ยว!$C$6:$C$10005,$J336)=$I$3),OR($I$5="(ทั้งหมด)",INDEX(บันทึกรายเที่ยว!$D$6:$D$10005,$J336)=$I$5),OR($I$7="(ทั้งหมด)",INDEX(บันทึกรายเที่ยว!$F$6:$F$10005,$J336)=$I$7)),$N336*10000000+$O336*1000+329,""))</f>
        <v/>
      </c>
      <c r="Q336" t="str">
        <f>IFERROR(MATCH(SMALL($P$8:$P$407,329),$P$8:$P$407,0),"")</f>
        <v/>
      </c>
      <c r="R336" t="str">
        <f t="shared" si="77"/>
        <v/>
      </c>
      <c r="S336" t="str">
        <f t="shared" si="78"/>
        <v/>
      </c>
      <c r="T336" t="str">
        <f t="shared" si="79"/>
        <v/>
      </c>
      <c r="U336" t="str">
        <f t="shared" si="80"/>
        <v/>
      </c>
      <c r="V336">
        <f t="shared" si="82"/>
        <v>0</v>
      </c>
      <c r="W336">
        <f t="shared" si="83"/>
        <v>0</v>
      </c>
      <c r="X336">
        <f>IF($Q336="",99999+329,$X335+1+$V335+$W335)</f>
        <v>100328</v>
      </c>
      <c r="Y336" t="str">
        <f>IF($Q336="","",INDEX(บันทึกรายเที่ยว!$Q$6:$Q$10005,$R336))</f>
        <v/>
      </c>
      <c r="Z336" t="str">
        <f>IF($Q336="","",INDEX(บันทึกรายเที่ยว!$F$6:$F$10005,$R336))</f>
        <v/>
      </c>
      <c r="AA336" t="str">
        <f>IFERROR(MATCH(329,$X$8:$X$407,1),"")</f>
        <v/>
      </c>
      <c r="AB336" t="str">
        <f>IF(329=$AD$1+1,"G",IF($AA336="","",IF(INDEX($Q$8:$Q$407,$AA336)="","",IF(329&gt;INDEX($X$8:$X$407,$AA336)+INDEX($V$8:$V$407,$AA336)+INDEX($W$8:$W$407,$AA336),"",IF(329=INDEX($X$8:$X$407,$AA336)+INDEX($V$8:$V$407,$AA336)+INDEX($W$8:$W$407,$AA336),"D",IF(AND(INDEX($W$8:$W$407,$AA336)=1,329=INDEX($X$8:$X$407,$AA336)+INDEX($V$8:$V$407,$AA336)),"S","R"))))))</f>
        <v/>
      </c>
      <c r="AC336" t="str">
        <f t="shared" si="81"/>
        <v/>
      </c>
      <c r="AE336">
        <f>IF($U336="",0,COUNTIF(บันทึกรายเที่ยว!$T$6:$T$10005,$U336))</f>
        <v>0</v>
      </c>
      <c r="AF336">
        <f>IF($U336="",0,ROUND(SUMIF(บันทึกรายเที่ยว!$T$6:$T$10005,$U336,บันทึกรายเที่ยว!$J$6:$J$10005),2))</f>
        <v>0</v>
      </c>
      <c r="AG336">
        <f>IF($U336="",0,ROUND(SUMIF(บันทึกรายเที่ยว!$T$6:$T$10005,$U336,บันทึกรายเที่ยว!$K$6:$K$10005),2))</f>
        <v>0</v>
      </c>
      <c r="AH336">
        <f>IF($U336="",0,ROUND(SUMIF(บันทึกรายเที่ยว!$T$6:$T$10005,$U336,บันทึกรายเที่ยว!$M$6:$M$10005),2))</f>
        <v>0</v>
      </c>
    </row>
    <row r="337" spans="1:34" ht="21" customHeight="1" x14ac:dyDescent="0.95">
      <c r="A337" s="3" t="str">
        <f t="shared" si="70"/>
        <v/>
      </c>
      <c r="B337" s="3" t="str">
        <f t="shared" si="71"/>
        <v/>
      </c>
      <c r="C337" s="8" t="str">
        <f t="shared" si="72"/>
        <v/>
      </c>
      <c r="D337" s="31" t="str">
        <f t="shared" si="73"/>
        <v/>
      </c>
      <c r="E337" s="32" t="str">
        <f>IF(330=$AD$1+3,"ขอแสดงความนับถือ",IF(330=$AD$1+6,"(                 )",IF(330=$AD$1+7,"เจ้าหน้าที่ขนส่ง",IF($AB337="G",SUM($AF$8:$AF$407),IF(OR($AB337="",$AB337="R"),"",IF($AB337="D",INDEX($AF$8:$AF$407,$AA337),SUMIF($T$8:$T$407,INDEX($T$8:$T$407,$AA337),$AF$8:$AF$407)))))))</f>
        <v/>
      </c>
      <c r="F337" s="32" t="str">
        <f t="shared" si="74"/>
        <v/>
      </c>
      <c r="G337" s="32" t="str">
        <f t="shared" si="75"/>
        <v/>
      </c>
      <c r="H337" s="32" t="str">
        <f t="shared" si="76"/>
        <v/>
      </c>
      <c r="J337" t="str">
        <f>IFERROR(MATCH(330,บันทึกรายเที่ยว!$W$6:$W$10005,0),"")</f>
        <v/>
      </c>
      <c r="K337" t="str">
        <f>IF($J337="","",INDEX(บันทึกรายเที่ยว!$T$6:$T$10005,$J337))</f>
        <v/>
      </c>
      <c r="L337" t="str">
        <f>IF($J337="","",INDEX(บันทึกรายเที่ยว!$S$6:$S$10005,$J337))</f>
        <v/>
      </c>
      <c r="M337" t="str">
        <f>IF($J337="","",INDEX(บันทึกรายเที่ยว!$R$6:$R$10005,$J337))</f>
        <v/>
      </c>
      <c r="N337" t="str">
        <f>IF($J337="","",MATCH($M337,บันทึกรายเที่ยว!$R$6:$R$10005,0))</f>
        <v/>
      </c>
      <c r="O337" t="str">
        <f>IF($J337="","",MATCH($L337,บันทึกรายเที่ยว!$S$6:$S$10005,0))</f>
        <v/>
      </c>
      <c r="P337" t="str">
        <f>IF($J337="","",IF(AND(OR($I$3="(ทั้งหมด)",INDEX(บันทึกรายเที่ยว!$C$6:$C$10005,$J337)=$I$3),OR($I$5="(ทั้งหมด)",INDEX(บันทึกรายเที่ยว!$D$6:$D$10005,$J337)=$I$5),OR($I$7="(ทั้งหมด)",INDEX(บันทึกรายเที่ยว!$F$6:$F$10005,$J337)=$I$7)),$N337*10000000+$O337*1000+330,""))</f>
        <v/>
      </c>
      <c r="Q337" t="str">
        <f>IFERROR(MATCH(SMALL($P$8:$P$407,330),$P$8:$P$407,0),"")</f>
        <v/>
      </c>
      <c r="R337" t="str">
        <f t="shared" si="77"/>
        <v/>
      </c>
      <c r="S337" t="str">
        <f t="shared" si="78"/>
        <v/>
      </c>
      <c r="T337" t="str">
        <f t="shared" si="79"/>
        <v/>
      </c>
      <c r="U337" t="str">
        <f t="shared" si="80"/>
        <v/>
      </c>
      <c r="V337">
        <f t="shared" si="82"/>
        <v>0</v>
      </c>
      <c r="W337">
        <f t="shared" si="83"/>
        <v>0</v>
      </c>
      <c r="X337">
        <f>IF($Q337="",99999+330,$X336+1+$V336+$W336)</f>
        <v>100329</v>
      </c>
      <c r="Y337" t="str">
        <f>IF($Q337="","",INDEX(บันทึกรายเที่ยว!$Q$6:$Q$10005,$R337))</f>
        <v/>
      </c>
      <c r="Z337" t="str">
        <f>IF($Q337="","",INDEX(บันทึกรายเที่ยว!$F$6:$F$10005,$R337))</f>
        <v/>
      </c>
      <c r="AA337" t="str">
        <f>IFERROR(MATCH(330,$X$8:$X$407,1),"")</f>
        <v/>
      </c>
      <c r="AB337" t="str">
        <f>IF(330=$AD$1+1,"G",IF($AA337="","",IF(INDEX($Q$8:$Q$407,$AA337)="","",IF(330&gt;INDEX($X$8:$X$407,$AA337)+INDEX($V$8:$V$407,$AA337)+INDEX($W$8:$W$407,$AA337),"",IF(330=INDEX($X$8:$X$407,$AA337)+INDEX($V$8:$V$407,$AA337)+INDEX($W$8:$W$407,$AA337),"D",IF(AND(INDEX($W$8:$W$407,$AA337)=1,330=INDEX($X$8:$X$407,$AA337)+INDEX($V$8:$V$407,$AA337)),"S","R"))))))</f>
        <v/>
      </c>
      <c r="AC337" t="str">
        <f t="shared" si="81"/>
        <v/>
      </c>
      <c r="AE337">
        <f>IF($U337="",0,COUNTIF(บันทึกรายเที่ยว!$T$6:$T$10005,$U337))</f>
        <v>0</v>
      </c>
      <c r="AF337">
        <f>IF($U337="",0,ROUND(SUMIF(บันทึกรายเที่ยว!$T$6:$T$10005,$U337,บันทึกรายเที่ยว!$J$6:$J$10005),2))</f>
        <v>0</v>
      </c>
      <c r="AG337">
        <f>IF($U337="",0,ROUND(SUMIF(บันทึกรายเที่ยว!$T$6:$T$10005,$U337,บันทึกรายเที่ยว!$K$6:$K$10005),2))</f>
        <v>0</v>
      </c>
      <c r="AH337">
        <f>IF($U337="",0,ROUND(SUMIF(บันทึกรายเที่ยว!$T$6:$T$10005,$U337,บันทึกรายเที่ยว!$M$6:$M$10005),2))</f>
        <v>0</v>
      </c>
    </row>
    <row r="338" spans="1:34" ht="21" customHeight="1" x14ac:dyDescent="0.95">
      <c r="A338" s="3" t="str">
        <f t="shared" si="70"/>
        <v/>
      </c>
      <c r="B338" s="3" t="str">
        <f t="shared" si="71"/>
        <v/>
      </c>
      <c r="C338" s="8" t="str">
        <f t="shared" si="72"/>
        <v/>
      </c>
      <c r="D338" s="31" t="str">
        <f t="shared" si="73"/>
        <v/>
      </c>
      <c r="E338" s="32" t="str">
        <f>IF(331=$AD$1+3,"ขอแสดงความนับถือ",IF(331=$AD$1+6,"(                 )",IF(331=$AD$1+7,"เจ้าหน้าที่ขนส่ง",IF($AB338="G",SUM($AF$8:$AF$407),IF(OR($AB338="",$AB338="R"),"",IF($AB338="D",INDEX($AF$8:$AF$407,$AA338),SUMIF($T$8:$T$407,INDEX($T$8:$T$407,$AA338),$AF$8:$AF$407)))))))</f>
        <v/>
      </c>
      <c r="F338" s="32" t="str">
        <f t="shared" si="74"/>
        <v/>
      </c>
      <c r="G338" s="32" t="str">
        <f t="shared" si="75"/>
        <v/>
      </c>
      <c r="H338" s="32" t="str">
        <f t="shared" si="76"/>
        <v/>
      </c>
      <c r="J338" t="str">
        <f>IFERROR(MATCH(331,บันทึกรายเที่ยว!$W$6:$W$10005,0),"")</f>
        <v/>
      </c>
      <c r="K338" t="str">
        <f>IF($J338="","",INDEX(บันทึกรายเที่ยว!$T$6:$T$10005,$J338))</f>
        <v/>
      </c>
      <c r="L338" t="str">
        <f>IF($J338="","",INDEX(บันทึกรายเที่ยว!$S$6:$S$10005,$J338))</f>
        <v/>
      </c>
      <c r="M338" t="str">
        <f>IF($J338="","",INDEX(บันทึกรายเที่ยว!$R$6:$R$10005,$J338))</f>
        <v/>
      </c>
      <c r="N338" t="str">
        <f>IF($J338="","",MATCH($M338,บันทึกรายเที่ยว!$R$6:$R$10005,0))</f>
        <v/>
      </c>
      <c r="O338" t="str">
        <f>IF($J338="","",MATCH($L338,บันทึกรายเที่ยว!$S$6:$S$10005,0))</f>
        <v/>
      </c>
      <c r="P338" t="str">
        <f>IF($J338="","",IF(AND(OR($I$3="(ทั้งหมด)",INDEX(บันทึกรายเที่ยว!$C$6:$C$10005,$J338)=$I$3),OR($I$5="(ทั้งหมด)",INDEX(บันทึกรายเที่ยว!$D$6:$D$10005,$J338)=$I$5),OR($I$7="(ทั้งหมด)",INDEX(บันทึกรายเที่ยว!$F$6:$F$10005,$J338)=$I$7)),$N338*10000000+$O338*1000+331,""))</f>
        <v/>
      </c>
      <c r="Q338" t="str">
        <f>IFERROR(MATCH(SMALL($P$8:$P$407,331),$P$8:$P$407,0),"")</f>
        <v/>
      </c>
      <c r="R338" t="str">
        <f t="shared" si="77"/>
        <v/>
      </c>
      <c r="S338" t="str">
        <f t="shared" si="78"/>
        <v/>
      </c>
      <c r="T338" t="str">
        <f t="shared" si="79"/>
        <v/>
      </c>
      <c r="U338" t="str">
        <f t="shared" si="80"/>
        <v/>
      </c>
      <c r="V338">
        <f t="shared" si="82"/>
        <v>0</v>
      </c>
      <c r="W338">
        <f t="shared" si="83"/>
        <v>0</v>
      </c>
      <c r="X338">
        <f>IF($Q338="",99999+331,$X337+1+$V337+$W337)</f>
        <v>100330</v>
      </c>
      <c r="Y338" t="str">
        <f>IF($Q338="","",INDEX(บันทึกรายเที่ยว!$Q$6:$Q$10005,$R338))</f>
        <v/>
      </c>
      <c r="Z338" t="str">
        <f>IF($Q338="","",INDEX(บันทึกรายเที่ยว!$F$6:$F$10005,$R338))</f>
        <v/>
      </c>
      <c r="AA338" t="str">
        <f>IFERROR(MATCH(331,$X$8:$X$407,1),"")</f>
        <v/>
      </c>
      <c r="AB338" t="str">
        <f>IF(331=$AD$1+1,"G",IF($AA338="","",IF(INDEX($Q$8:$Q$407,$AA338)="","",IF(331&gt;INDEX($X$8:$X$407,$AA338)+INDEX($V$8:$V$407,$AA338)+INDEX($W$8:$W$407,$AA338),"",IF(331=INDEX($X$8:$X$407,$AA338)+INDEX($V$8:$V$407,$AA338)+INDEX($W$8:$W$407,$AA338),"D",IF(AND(INDEX($W$8:$W$407,$AA338)=1,331=INDEX($X$8:$X$407,$AA338)+INDEX($V$8:$V$407,$AA338)),"S","R"))))))</f>
        <v/>
      </c>
      <c r="AC338" t="str">
        <f t="shared" si="81"/>
        <v/>
      </c>
      <c r="AE338">
        <f>IF($U338="",0,COUNTIF(บันทึกรายเที่ยว!$T$6:$T$10005,$U338))</f>
        <v>0</v>
      </c>
      <c r="AF338">
        <f>IF($U338="",0,ROUND(SUMIF(บันทึกรายเที่ยว!$T$6:$T$10005,$U338,บันทึกรายเที่ยว!$J$6:$J$10005),2))</f>
        <v>0</v>
      </c>
      <c r="AG338">
        <f>IF($U338="",0,ROUND(SUMIF(บันทึกรายเที่ยว!$T$6:$T$10005,$U338,บันทึกรายเที่ยว!$K$6:$K$10005),2))</f>
        <v>0</v>
      </c>
      <c r="AH338">
        <f>IF($U338="",0,ROUND(SUMIF(บันทึกรายเที่ยว!$T$6:$T$10005,$U338,บันทึกรายเที่ยว!$M$6:$M$10005),2))</f>
        <v>0</v>
      </c>
    </row>
    <row r="339" spans="1:34" ht="21" customHeight="1" x14ac:dyDescent="0.95">
      <c r="A339" s="3" t="str">
        <f t="shared" si="70"/>
        <v/>
      </c>
      <c r="B339" s="3" t="str">
        <f t="shared" si="71"/>
        <v/>
      </c>
      <c r="C339" s="8" t="str">
        <f t="shared" si="72"/>
        <v/>
      </c>
      <c r="D339" s="31" t="str">
        <f t="shared" si="73"/>
        <v/>
      </c>
      <c r="E339" s="32" t="str">
        <f>IF(332=$AD$1+3,"ขอแสดงความนับถือ",IF(332=$AD$1+6,"(                 )",IF(332=$AD$1+7,"เจ้าหน้าที่ขนส่ง",IF($AB339="G",SUM($AF$8:$AF$407),IF(OR($AB339="",$AB339="R"),"",IF($AB339="D",INDEX($AF$8:$AF$407,$AA339),SUMIF($T$8:$T$407,INDEX($T$8:$T$407,$AA339),$AF$8:$AF$407)))))))</f>
        <v/>
      </c>
      <c r="F339" s="32" t="str">
        <f t="shared" si="74"/>
        <v/>
      </c>
      <c r="G339" s="32" t="str">
        <f t="shared" si="75"/>
        <v/>
      </c>
      <c r="H339" s="32" t="str">
        <f t="shared" si="76"/>
        <v/>
      </c>
      <c r="J339" t="str">
        <f>IFERROR(MATCH(332,บันทึกรายเที่ยว!$W$6:$W$10005,0),"")</f>
        <v/>
      </c>
      <c r="K339" t="str">
        <f>IF($J339="","",INDEX(บันทึกรายเที่ยว!$T$6:$T$10005,$J339))</f>
        <v/>
      </c>
      <c r="L339" t="str">
        <f>IF($J339="","",INDEX(บันทึกรายเที่ยว!$S$6:$S$10005,$J339))</f>
        <v/>
      </c>
      <c r="M339" t="str">
        <f>IF($J339="","",INDEX(บันทึกรายเที่ยว!$R$6:$R$10005,$J339))</f>
        <v/>
      </c>
      <c r="N339" t="str">
        <f>IF($J339="","",MATCH($M339,บันทึกรายเที่ยว!$R$6:$R$10005,0))</f>
        <v/>
      </c>
      <c r="O339" t="str">
        <f>IF($J339="","",MATCH($L339,บันทึกรายเที่ยว!$S$6:$S$10005,0))</f>
        <v/>
      </c>
      <c r="P339" t="str">
        <f>IF($J339="","",IF(AND(OR($I$3="(ทั้งหมด)",INDEX(บันทึกรายเที่ยว!$C$6:$C$10005,$J339)=$I$3),OR($I$5="(ทั้งหมด)",INDEX(บันทึกรายเที่ยว!$D$6:$D$10005,$J339)=$I$5),OR($I$7="(ทั้งหมด)",INDEX(บันทึกรายเที่ยว!$F$6:$F$10005,$J339)=$I$7)),$N339*10000000+$O339*1000+332,""))</f>
        <v/>
      </c>
      <c r="Q339" t="str">
        <f>IFERROR(MATCH(SMALL($P$8:$P$407,332),$P$8:$P$407,0),"")</f>
        <v/>
      </c>
      <c r="R339" t="str">
        <f t="shared" si="77"/>
        <v/>
      </c>
      <c r="S339" t="str">
        <f t="shared" si="78"/>
        <v/>
      </c>
      <c r="T339" t="str">
        <f t="shared" si="79"/>
        <v/>
      </c>
      <c r="U339" t="str">
        <f t="shared" si="80"/>
        <v/>
      </c>
      <c r="V339">
        <f t="shared" si="82"/>
        <v>0</v>
      </c>
      <c r="W339">
        <f t="shared" si="83"/>
        <v>0</v>
      </c>
      <c r="X339">
        <f>IF($Q339="",99999+332,$X338+1+$V338+$W338)</f>
        <v>100331</v>
      </c>
      <c r="Y339" t="str">
        <f>IF($Q339="","",INDEX(บันทึกรายเที่ยว!$Q$6:$Q$10005,$R339))</f>
        <v/>
      </c>
      <c r="Z339" t="str">
        <f>IF($Q339="","",INDEX(บันทึกรายเที่ยว!$F$6:$F$10005,$R339))</f>
        <v/>
      </c>
      <c r="AA339" t="str">
        <f>IFERROR(MATCH(332,$X$8:$X$407,1),"")</f>
        <v/>
      </c>
      <c r="AB339" t="str">
        <f>IF(332=$AD$1+1,"G",IF($AA339="","",IF(INDEX($Q$8:$Q$407,$AA339)="","",IF(332&gt;INDEX($X$8:$X$407,$AA339)+INDEX($V$8:$V$407,$AA339)+INDEX($W$8:$W$407,$AA339),"",IF(332=INDEX($X$8:$X$407,$AA339)+INDEX($V$8:$V$407,$AA339)+INDEX($W$8:$W$407,$AA339),"D",IF(AND(INDEX($W$8:$W$407,$AA339)=1,332=INDEX($X$8:$X$407,$AA339)+INDEX($V$8:$V$407,$AA339)),"S","R"))))))</f>
        <v/>
      </c>
      <c r="AC339" t="str">
        <f t="shared" si="81"/>
        <v/>
      </c>
      <c r="AE339">
        <f>IF($U339="",0,COUNTIF(บันทึกรายเที่ยว!$T$6:$T$10005,$U339))</f>
        <v>0</v>
      </c>
      <c r="AF339">
        <f>IF($U339="",0,ROUND(SUMIF(บันทึกรายเที่ยว!$T$6:$T$10005,$U339,บันทึกรายเที่ยว!$J$6:$J$10005),2))</f>
        <v>0</v>
      </c>
      <c r="AG339">
        <f>IF($U339="",0,ROUND(SUMIF(บันทึกรายเที่ยว!$T$6:$T$10005,$U339,บันทึกรายเที่ยว!$K$6:$K$10005),2))</f>
        <v>0</v>
      </c>
      <c r="AH339">
        <f>IF($U339="",0,ROUND(SUMIF(บันทึกรายเที่ยว!$T$6:$T$10005,$U339,บันทึกรายเที่ยว!$M$6:$M$10005),2))</f>
        <v>0</v>
      </c>
    </row>
    <row r="340" spans="1:34" ht="21" customHeight="1" x14ac:dyDescent="0.95">
      <c r="A340" s="3" t="str">
        <f t="shared" si="70"/>
        <v/>
      </c>
      <c r="B340" s="3" t="str">
        <f t="shared" si="71"/>
        <v/>
      </c>
      <c r="C340" s="8" t="str">
        <f t="shared" si="72"/>
        <v/>
      </c>
      <c r="D340" s="31" t="str">
        <f t="shared" si="73"/>
        <v/>
      </c>
      <c r="E340" s="32" t="str">
        <f>IF(333=$AD$1+3,"ขอแสดงความนับถือ",IF(333=$AD$1+6,"(                 )",IF(333=$AD$1+7,"เจ้าหน้าที่ขนส่ง",IF($AB340="G",SUM($AF$8:$AF$407),IF(OR($AB340="",$AB340="R"),"",IF($AB340="D",INDEX($AF$8:$AF$407,$AA340),SUMIF($T$8:$T$407,INDEX($T$8:$T$407,$AA340),$AF$8:$AF$407)))))))</f>
        <v/>
      </c>
      <c r="F340" s="32" t="str">
        <f t="shared" si="74"/>
        <v/>
      </c>
      <c r="G340" s="32" t="str">
        <f t="shared" si="75"/>
        <v/>
      </c>
      <c r="H340" s="32" t="str">
        <f t="shared" si="76"/>
        <v/>
      </c>
      <c r="J340" t="str">
        <f>IFERROR(MATCH(333,บันทึกรายเที่ยว!$W$6:$W$10005,0),"")</f>
        <v/>
      </c>
      <c r="K340" t="str">
        <f>IF($J340="","",INDEX(บันทึกรายเที่ยว!$T$6:$T$10005,$J340))</f>
        <v/>
      </c>
      <c r="L340" t="str">
        <f>IF($J340="","",INDEX(บันทึกรายเที่ยว!$S$6:$S$10005,$J340))</f>
        <v/>
      </c>
      <c r="M340" t="str">
        <f>IF($J340="","",INDEX(บันทึกรายเที่ยว!$R$6:$R$10005,$J340))</f>
        <v/>
      </c>
      <c r="N340" t="str">
        <f>IF($J340="","",MATCH($M340,บันทึกรายเที่ยว!$R$6:$R$10005,0))</f>
        <v/>
      </c>
      <c r="O340" t="str">
        <f>IF($J340="","",MATCH($L340,บันทึกรายเที่ยว!$S$6:$S$10005,0))</f>
        <v/>
      </c>
      <c r="P340" t="str">
        <f>IF($J340="","",IF(AND(OR($I$3="(ทั้งหมด)",INDEX(บันทึกรายเที่ยว!$C$6:$C$10005,$J340)=$I$3),OR($I$5="(ทั้งหมด)",INDEX(บันทึกรายเที่ยว!$D$6:$D$10005,$J340)=$I$5),OR($I$7="(ทั้งหมด)",INDEX(บันทึกรายเที่ยว!$F$6:$F$10005,$J340)=$I$7)),$N340*10000000+$O340*1000+333,""))</f>
        <v/>
      </c>
      <c r="Q340" t="str">
        <f>IFERROR(MATCH(SMALL($P$8:$P$407,333),$P$8:$P$407,0),"")</f>
        <v/>
      </c>
      <c r="R340" t="str">
        <f t="shared" si="77"/>
        <v/>
      </c>
      <c r="S340" t="str">
        <f t="shared" si="78"/>
        <v/>
      </c>
      <c r="T340" t="str">
        <f t="shared" si="79"/>
        <v/>
      </c>
      <c r="U340" t="str">
        <f t="shared" si="80"/>
        <v/>
      </c>
      <c r="V340">
        <f t="shared" si="82"/>
        <v>0</v>
      </c>
      <c r="W340">
        <f t="shared" si="83"/>
        <v>0</v>
      </c>
      <c r="X340">
        <f>IF($Q340="",99999+333,$X339+1+$V339+$W339)</f>
        <v>100332</v>
      </c>
      <c r="Y340" t="str">
        <f>IF($Q340="","",INDEX(บันทึกรายเที่ยว!$Q$6:$Q$10005,$R340))</f>
        <v/>
      </c>
      <c r="Z340" t="str">
        <f>IF($Q340="","",INDEX(บันทึกรายเที่ยว!$F$6:$F$10005,$R340))</f>
        <v/>
      </c>
      <c r="AA340" t="str">
        <f>IFERROR(MATCH(333,$X$8:$X$407,1),"")</f>
        <v/>
      </c>
      <c r="AB340" t="str">
        <f>IF(333=$AD$1+1,"G",IF($AA340="","",IF(INDEX($Q$8:$Q$407,$AA340)="","",IF(333&gt;INDEX($X$8:$X$407,$AA340)+INDEX($V$8:$V$407,$AA340)+INDEX($W$8:$W$407,$AA340),"",IF(333=INDEX($X$8:$X$407,$AA340)+INDEX($V$8:$V$407,$AA340)+INDEX($W$8:$W$407,$AA340),"D",IF(AND(INDEX($W$8:$W$407,$AA340)=1,333=INDEX($X$8:$X$407,$AA340)+INDEX($V$8:$V$407,$AA340)),"S","R"))))))</f>
        <v/>
      </c>
      <c r="AC340" t="str">
        <f t="shared" si="81"/>
        <v/>
      </c>
      <c r="AE340">
        <f>IF($U340="",0,COUNTIF(บันทึกรายเที่ยว!$T$6:$T$10005,$U340))</f>
        <v>0</v>
      </c>
      <c r="AF340">
        <f>IF($U340="",0,ROUND(SUMIF(บันทึกรายเที่ยว!$T$6:$T$10005,$U340,บันทึกรายเที่ยว!$J$6:$J$10005),2))</f>
        <v>0</v>
      </c>
      <c r="AG340">
        <f>IF($U340="",0,ROUND(SUMIF(บันทึกรายเที่ยว!$T$6:$T$10005,$U340,บันทึกรายเที่ยว!$K$6:$K$10005),2))</f>
        <v>0</v>
      </c>
      <c r="AH340">
        <f>IF($U340="",0,ROUND(SUMIF(บันทึกรายเที่ยว!$T$6:$T$10005,$U340,บันทึกรายเที่ยว!$M$6:$M$10005),2))</f>
        <v>0</v>
      </c>
    </row>
    <row r="341" spans="1:34" ht="21" customHeight="1" x14ac:dyDescent="0.95">
      <c r="A341" s="3" t="str">
        <f t="shared" si="70"/>
        <v/>
      </c>
      <c r="B341" s="3" t="str">
        <f t="shared" si="71"/>
        <v/>
      </c>
      <c r="C341" s="8" t="str">
        <f t="shared" si="72"/>
        <v/>
      </c>
      <c r="D341" s="31" t="str">
        <f t="shared" si="73"/>
        <v/>
      </c>
      <c r="E341" s="32" t="str">
        <f>IF(334=$AD$1+3,"ขอแสดงความนับถือ",IF(334=$AD$1+6,"(                 )",IF(334=$AD$1+7,"เจ้าหน้าที่ขนส่ง",IF($AB341="G",SUM($AF$8:$AF$407),IF(OR($AB341="",$AB341="R"),"",IF($AB341="D",INDEX($AF$8:$AF$407,$AA341),SUMIF($T$8:$T$407,INDEX($T$8:$T$407,$AA341),$AF$8:$AF$407)))))))</f>
        <v/>
      </c>
      <c r="F341" s="32" t="str">
        <f t="shared" si="74"/>
        <v/>
      </c>
      <c r="G341" s="32" t="str">
        <f t="shared" si="75"/>
        <v/>
      </c>
      <c r="H341" s="32" t="str">
        <f t="shared" si="76"/>
        <v/>
      </c>
      <c r="J341" t="str">
        <f>IFERROR(MATCH(334,บันทึกรายเที่ยว!$W$6:$W$10005,0),"")</f>
        <v/>
      </c>
      <c r="K341" t="str">
        <f>IF($J341="","",INDEX(บันทึกรายเที่ยว!$T$6:$T$10005,$J341))</f>
        <v/>
      </c>
      <c r="L341" t="str">
        <f>IF($J341="","",INDEX(บันทึกรายเที่ยว!$S$6:$S$10005,$J341))</f>
        <v/>
      </c>
      <c r="M341" t="str">
        <f>IF($J341="","",INDEX(บันทึกรายเที่ยว!$R$6:$R$10005,$J341))</f>
        <v/>
      </c>
      <c r="N341" t="str">
        <f>IF($J341="","",MATCH($M341,บันทึกรายเที่ยว!$R$6:$R$10005,0))</f>
        <v/>
      </c>
      <c r="O341" t="str">
        <f>IF($J341="","",MATCH($L341,บันทึกรายเที่ยว!$S$6:$S$10005,0))</f>
        <v/>
      </c>
      <c r="P341" t="str">
        <f>IF($J341="","",IF(AND(OR($I$3="(ทั้งหมด)",INDEX(บันทึกรายเที่ยว!$C$6:$C$10005,$J341)=$I$3),OR($I$5="(ทั้งหมด)",INDEX(บันทึกรายเที่ยว!$D$6:$D$10005,$J341)=$I$5),OR($I$7="(ทั้งหมด)",INDEX(บันทึกรายเที่ยว!$F$6:$F$10005,$J341)=$I$7)),$N341*10000000+$O341*1000+334,""))</f>
        <v/>
      </c>
      <c r="Q341" t="str">
        <f>IFERROR(MATCH(SMALL($P$8:$P$407,334),$P$8:$P$407,0),"")</f>
        <v/>
      </c>
      <c r="R341" t="str">
        <f t="shared" si="77"/>
        <v/>
      </c>
      <c r="S341" t="str">
        <f t="shared" si="78"/>
        <v/>
      </c>
      <c r="T341" t="str">
        <f t="shared" si="79"/>
        <v/>
      </c>
      <c r="U341" t="str">
        <f t="shared" si="80"/>
        <v/>
      </c>
      <c r="V341">
        <f t="shared" si="82"/>
        <v>0</v>
      </c>
      <c r="W341">
        <f t="shared" si="83"/>
        <v>0</v>
      </c>
      <c r="X341">
        <f>IF($Q341="",99999+334,$X340+1+$V340+$W340)</f>
        <v>100333</v>
      </c>
      <c r="Y341" t="str">
        <f>IF($Q341="","",INDEX(บันทึกรายเที่ยว!$Q$6:$Q$10005,$R341))</f>
        <v/>
      </c>
      <c r="Z341" t="str">
        <f>IF($Q341="","",INDEX(บันทึกรายเที่ยว!$F$6:$F$10005,$R341))</f>
        <v/>
      </c>
      <c r="AA341" t="str">
        <f>IFERROR(MATCH(334,$X$8:$X$407,1),"")</f>
        <v/>
      </c>
      <c r="AB341" t="str">
        <f>IF(334=$AD$1+1,"G",IF($AA341="","",IF(INDEX($Q$8:$Q$407,$AA341)="","",IF(334&gt;INDEX($X$8:$X$407,$AA341)+INDEX($V$8:$V$407,$AA341)+INDEX($W$8:$W$407,$AA341),"",IF(334=INDEX($X$8:$X$407,$AA341)+INDEX($V$8:$V$407,$AA341)+INDEX($W$8:$W$407,$AA341),"D",IF(AND(INDEX($W$8:$W$407,$AA341)=1,334=INDEX($X$8:$X$407,$AA341)+INDEX($V$8:$V$407,$AA341)),"S","R"))))))</f>
        <v/>
      </c>
      <c r="AC341" t="str">
        <f t="shared" si="81"/>
        <v/>
      </c>
      <c r="AE341">
        <f>IF($U341="",0,COUNTIF(บันทึกรายเที่ยว!$T$6:$T$10005,$U341))</f>
        <v>0</v>
      </c>
      <c r="AF341">
        <f>IF($U341="",0,ROUND(SUMIF(บันทึกรายเที่ยว!$T$6:$T$10005,$U341,บันทึกรายเที่ยว!$J$6:$J$10005),2))</f>
        <v>0</v>
      </c>
      <c r="AG341">
        <f>IF($U341="",0,ROUND(SUMIF(บันทึกรายเที่ยว!$T$6:$T$10005,$U341,บันทึกรายเที่ยว!$K$6:$K$10005),2))</f>
        <v>0</v>
      </c>
      <c r="AH341">
        <f>IF($U341="",0,ROUND(SUMIF(บันทึกรายเที่ยว!$T$6:$T$10005,$U341,บันทึกรายเที่ยว!$M$6:$M$10005),2))</f>
        <v>0</v>
      </c>
    </row>
    <row r="342" spans="1:34" ht="21" customHeight="1" x14ac:dyDescent="0.95">
      <c r="A342" s="3" t="str">
        <f t="shared" si="70"/>
        <v/>
      </c>
      <c r="B342" s="3" t="str">
        <f t="shared" si="71"/>
        <v/>
      </c>
      <c r="C342" s="8" t="str">
        <f t="shared" si="72"/>
        <v/>
      </c>
      <c r="D342" s="31" t="str">
        <f t="shared" si="73"/>
        <v/>
      </c>
      <c r="E342" s="32" t="str">
        <f>IF(335=$AD$1+3,"ขอแสดงความนับถือ",IF(335=$AD$1+6,"(                 )",IF(335=$AD$1+7,"เจ้าหน้าที่ขนส่ง",IF($AB342="G",SUM($AF$8:$AF$407),IF(OR($AB342="",$AB342="R"),"",IF($AB342="D",INDEX($AF$8:$AF$407,$AA342),SUMIF($T$8:$T$407,INDEX($T$8:$T$407,$AA342),$AF$8:$AF$407)))))))</f>
        <v/>
      </c>
      <c r="F342" s="32" t="str">
        <f t="shared" si="74"/>
        <v/>
      </c>
      <c r="G342" s="32" t="str">
        <f t="shared" si="75"/>
        <v/>
      </c>
      <c r="H342" s="32" t="str">
        <f t="shared" si="76"/>
        <v/>
      </c>
      <c r="J342" t="str">
        <f>IFERROR(MATCH(335,บันทึกรายเที่ยว!$W$6:$W$10005,0),"")</f>
        <v/>
      </c>
      <c r="K342" t="str">
        <f>IF($J342="","",INDEX(บันทึกรายเที่ยว!$T$6:$T$10005,$J342))</f>
        <v/>
      </c>
      <c r="L342" t="str">
        <f>IF($J342="","",INDEX(บันทึกรายเที่ยว!$S$6:$S$10005,$J342))</f>
        <v/>
      </c>
      <c r="M342" t="str">
        <f>IF($J342="","",INDEX(บันทึกรายเที่ยว!$R$6:$R$10005,$J342))</f>
        <v/>
      </c>
      <c r="N342" t="str">
        <f>IF($J342="","",MATCH($M342,บันทึกรายเที่ยว!$R$6:$R$10005,0))</f>
        <v/>
      </c>
      <c r="O342" t="str">
        <f>IF($J342="","",MATCH($L342,บันทึกรายเที่ยว!$S$6:$S$10005,0))</f>
        <v/>
      </c>
      <c r="P342" t="str">
        <f>IF($J342="","",IF(AND(OR($I$3="(ทั้งหมด)",INDEX(บันทึกรายเที่ยว!$C$6:$C$10005,$J342)=$I$3),OR($I$5="(ทั้งหมด)",INDEX(บันทึกรายเที่ยว!$D$6:$D$10005,$J342)=$I$5),OR($I$7="(ทั้งหมด)",INDEX(บันทึกรายเที่ยว!$F$6:$F$10005,$J342)=$I$7)),$N342*10000000+$O342*1000+335,""))</f>
        <v/>
      </c>
      <c r="Q342" t="str">
        <f>IFERROR(MATCH(SMALL($P$8:$P$407,335),$P$8:$P$407,0),"")</f>
        <v/>
      </c>
      <c r="R342" t="str">
        <f t="shared" si="77"/>
        <v/>
      </c>
      <c r="S342" t="str">
        <f t="shared" si="78"/>
        <v/>
      </c>
      <c r="T342" t="str">
        <f t="shared" si="79"/>
        <v/>
      </c>
      <c r="U342" t="str">
        <f t="shared" si="80"/>
        <v/>
      </c>
      <c r="V342">
        <f t="shared" si="82"/>
        <v>0</v>
      </c>
      <c r="W342">
        <f t="shared" si="83"/>
        <v>0</v>
      </c>
      <c r="X342">
        <f>IF($Q342="",99999+335,$X341+1+$V341+$W341)</f>
        <v>100334</v>
      </c>
      <c r="Y342" t="str">
        <f>IF($Q342="","",INDEX(บันทึกรายเที่ยว!$Q$6:$Q$10005,$R342))</f>
        <v/>
      </c>
      <c r="Z342" t="str">
        <f>IF($Q342="","",INDEX(บันทึกรายเที่ยว!$F$6:$F$10005,$R342))</f>
        <v/>
      </c>
      <c r="AA342" t="str">
        <f>IFERROR(MATCH(335,$X$8:$X$407,1),"")</f>
        <v/>
      </c>
      <c r="AB342" t="str">
        <f>IF(335=$AD$1+1,"G",IF($AA342="","",IF(INDEX($Q$8:$Q$407,$AA342)="","",IF(335&gt;INDEX($X$8:$X$407,$AA342)+INDEX($V$8:$V$407,$AA342)+INDEX($W$8:$W$407,$AA342),"",IF(335=INDEX($X$8:$X$407,$AA342)+INDEX($V$8:$V$407,$AA342)+INDEX($W$8:$W$407,$AA342),"D",IF(AND(INDEX($W$8:$W$407,$AA342)=1,335=INDEX($X$8:$X$407,$AA342)+INDEX($V$8:$V$407,$AA342)),"S","R"))))))</f>
        <v/>
      </c>
      <c r="AC342" t="str">
        <f t="shared" si="81"/>
        <v/>
      </c>
      <c r="AE342">
        <f>IF($U342="",0,COUNTIF(บันทึกรายเที่ยว!$T$6:$T$10005,$U342))</f>
        <v>0</v>
      </c>
      <c r="AF342">
        <f>IF($U342="",0,ROUND(SUMIF(บันทึกรายเที่ยว!$T$6:$T$10005,$U342,บันทึกรายเที่ยว!$J$6:$J$10005),2))</f>
        <v>0</v>
      </c>
      <c r="AG342">
        <f>IF($U342="",0,ROUND(SUMIF(บันทึกรายเที่ยว!$T$6:$T$10005,$U342,บันทึกรายเที่ยว!$K$6:$K$10005),2))</f>
        <v>0</v>
      </c>
      <c r="AH342">
        <f>IF($U342="",0,ROUND(SUMIF(บันทึกรายเที่ยว!$T$6:$T$10005,$U342,บันทึกรายเที่ยว!$M$6:$M$10005),2))</f>
        <v>0</v>
      </c>
    </row>
    <row r="343" spans="1:34" ht="21" customHeight="1" x14ac:dyDescent="0.95">
      <c r="A343" s="3" t="str">
        <f t="shared" si="70"/>
        <v/>
      </c>
      <c r="B343" s="3" t="str">
        <f t="shared" si="71"/>
        <v/>
      </c>
      <c r="C343" s="8" t="str">
        <f t="shared" si="72"/>
        <v/>
      </c>
      <c r="D343" s="31" t="str">
        <f t="shared" si="73"/>
        <v/>
      </c>
      <c r="E343" s="32" t="str">
        <f>IF(336=$AD$1+3,"ขอแสดงความนับถือ",IF(336=$AD$1+6,"(                 )",IF(336=$AD$1+7,"เจ้าหน้าที่ขนส่ง",IF($AB343="G",SUM($AF$8:$AF$407),IF(OR($AB343="",$AB343="R"),"",IF($AB343="D",INDEX($AF$8:$AF$407,$AA343),SUMIF($T$8:$T$407,INDEX($T$8:$T$407,$AA343),$AF$8:$AF$407)))))))</f>
        <v/>
      </c>
      <c r="F343" s="32" t="str">
        <f t="shared" si="74"/>
        <v/>
      </c>
      <c r="G343" s="32" t="str">
        <f t="shared" si="75"/>
        <v/>
      </c>
      <c r="H343" s="32" t="str">
        <f t="shared" si="76"/>
        <v/>
      </c>
      <c r="J343" t="str">
        <f>IFERROR(MATCH(336,บันทึกรายเที่ยว!$W$6:$W$10005,0),"")</f>
        <v/>
      </c>
      <c r="K343" t="str">
        <f>IF($J343="","",INDEX(บันทึกรายเที่ยว!$T$6:$T$10005,$J343))</f>
        <v/>
      </c>
      <c r="L343" t="str">
        <f>IF($J343="","",INDEX(บันทึกรายเที่ยว!$S$6:$S$10005,$J343))</f>
        <v/>
      </c>
      <c r="M343" t="str">
        <f>IF($J343="","",INDEX(บันทึกรายเที่ยว!$R$6:$R$10005,$J343))</f>
        <v/>
      </c>
      <c r="N343" t="str">
        <f>IF($J343="","",MATCH($M343,บันทึกรายเที่ยว!$R$6:$R$10005,0))</f>
        <v/>
      </c>
      <c r="O343" t="str">
        <f>IF($J343="","",MATCH($L343,บันทึกรายเที่ยว!$S$6:$S$10005,0))</f>
        <v/>
      </c>
      <c r="P343" t="str">
        <f>IF($J343="","",IF(AND(OR($I$3="(ทั้งหมด)",INDEX(บันทึกรายเที่ยว!$C$6:$C$10005,$J343)=$I$3),OR($I$5="(ทั้งหมด)",INDEX(บันทึกรายเที่ยว!$D$6:$D$10005,$J343)=$I$5),OR($I$7="(ทั้งหมด)",INDEX(บันทึกรายเที่ยว!$F$6:$F$10005,$J343)=$I$7)),$N343*10000000+$O343*1000+336,""))</f>
        <v/>
      </c>
      <c r="Q343" t="str">
        <f>IFERROR(MATCH(SMALL($P$8:$P$407,336),$P$8:$P$407,0),"")</f>
        <v/>
      </c>
      <c r="R343" t="str">
        <f t="shared" si="77"/>
        <v/>
      </c>
      <c r="S343" t="str">
        <f t="shared" si="78"/>
        <v/>
      </c>
      <c r="T343" t="str">
        <f t="shared" si="79"/>
        <v/>
      </c>
      <c r="U343" t="str">
        <f t="shared" si="80"/>
        <v/>
      </c>
      <c r="V343">
        <f t="shared" si="82"/>
        <v>0</v>
      </c>
      <c r="W343">
        <f t="shared" si="83"/>
        <v>0</v>
      </c>
      <c r="X343">
        <f>IF($Q343="",99999+336,$X342+1+$V342+$W342)</f>
        <v>100335</v>
      </c>
      <c r="Y343" t="str">
        <f>IF($Q343="","",INDEX(บันทึกรายเที่ยว!$Q$6:$Q$10005,$R343))</f>
        <v/>
      </c>
      <c r="Z343" t="str">
        <f>IF($Q343="","",INDEX(บันทึกรายเที่ยว!$F$6:$F$10005,$R343))</f>
        <v/>
      </c>
      <c r="AA343" t="str">
        <f>IFERROR(MATCH(336,$X$8:$X$407,1),"")</f>
        <v/>
      </c>
      <c r="AB343" t="str">
        <f>IF(336=$AD$1+1,"G",IF($AA343="","",IF(INDEX($Q$8:$Q$407,$AA343)="","",IF(336&gt;INDEX($X$8:$X$407,$AA343)+INDEX($V$8:$V$407,$AA343)+INDEX($W$8:$W$407,$AA343),"",IF(336=INDEX($X$8:$X$407,$AA343)+INDEX($V$8:$V$407,$AA343)+INDEX($W$8:$W$407,$AA343),"D",IF(AND(INDEX($W$8:$W$407,$AA343)=1,336=INDEX($X$8:$X$407,$AA343)+INDEX($V$8:$V$407,$AA343)),"S","R"))))))</f>
        <v/>
      </c>
      <c r="AC343" t="str">
        <f t="shared" si="81"/>
        <v/>
      </c>
      <c r="AE343">
        <f>IF($U343="",0,COUNTIF(บันทึกรายเที่ยว!$T$6:$T$10005,$U343))</f>
        <v>0</v>
      </c>
      <c r="AF343">
        <f>IF($U343="",0,ROUND(SUMIF(บันทึกรายเที่ยว!$T$6:$T$10005,$U343,บันทึกรายเที่ยว!$J$6:$J$10005),2))</f>
        <v>0</v>
      </c>
      <c r="AG343">
        <f>IF($U343="",0,ROUND(SUMIF(บันทึกรายเที่ยว!$T$6:$T$10005,$U343,บันทึกรายเที่ยว!$K$6:$K$10005),2))</f>
        <v>0</v>
      </c>
      <c r="AH343">
        <f>IF($U343="",0,ROUND(SUMIF(บันทึกรายเที่ยว!$T$6:$T$10005,$U343,บันทึกรายเที่ยว!$M$6:$M$10005),2))</f>
        <v>0</v>
      </c>
    </row>
    <row r="344" spans="1:34" ht="21" customHeight="1" x14ac:dyDescent="0.95">
      <c r="A344" s="3" t="str">
        <f t="shared" si="70"/>
        <v/>
      </c>
      <c r="B344" s="3" t="str">
        <f t="shared" si="71"/>
        <v/>
      </c>
      <c r="C344" s="8" t="str">
        <f t="shared" si="72"/>
        <v/>
      </c>
      <c r="D344" s="31" t="str">
        <f t="shared" si="73"/>
        <v/>
      </c>
      <c r="E344" s="32" t="str">
        <f>IF(337=$AD$1+3,"ขอแสดงความนับถือ",IF(337=$AD$1+6,"(                 )",IF(337=$AD$1+7,"เจ้าหน้าที่ขนส่ง",IF($AB344="G",SUM($AF$8:$AF$407),IF(OR($AB344="",$AB344="R"),"",IF($AB344="D",INDEX($AF$8:$AF$407,$AA344),SUMIF($T$8:$T$407,INDEX($T$8:$T$407,$AA344),$AF$8:$AF$407)))))))</f>
        <v/>
      </c>
      <c r="F344" s="32" t="str">
        <f t="shared" si="74"/>
        <v/>
      </c>
      <c r="G344" s="32" t="str">
        <f t="shared" si="75"/>
        <v/>
      </c>
      <c r="H344" s="32" t="str">
        <f t="shared" si="76"/>
        <v/>
      </c>
      <c r="J344" t="str">
        <f>IFERROR(MATCH(337,บันทึกรายเที่ยว!$W$6:$W$10005,0),"")</f>
        <v/>
      </c>
      <c r="K344" t="str">
        <f>IF($J344="","",INDEX(บันทึกรายเที่ยว!$T$6:$T$10005,$J344))</f>
        <v/>
      </c>
      <c r="L344" t="str">
        <f>IF($J344="","",INDEX(บันทึกรายเที่ยว!$S$6:$S$10005,$J344))</f>
        <v/>
      </c>
      <c r="M344" t="str">
        <f>IF($J344="","",INDEX(บันทึกรายเที่ยว!$R$6:$R$10005,$J344))</f>
        <v/>
      </c>
      <c r="N344" t="str">
        <f>IF($J344="","",MATCH($M344,บันทึกรายเที่ยว!$R$6:$R$10005,0))</f>
        <v/>
      </c>
      <c r="O344" t="str">
        <f>IF($J344="","",MATCH($L344,บันทึกรายเที่ยว!$S$6:$S$10005,0))</f>
        <v/>
      </c>
      <c r="P344" t="str">
        <f>IF($J344="","",IF(AND(OR($I$3="(ทั้งหมด)",INDEX(บันทึกรายเที่ยว!$C$6:$C$10005,$J344)=$I$3),OR($I$5="(ทั้งหมด)",INDEX(บันทึกรายเที่ยว!$D$6:$D$10005,$J344)=$I$5),OR($I$7="(ทั้งหมด)",INDEX(บันทึกรายเที่ยว!$F$6:$F$10005,$J344)=$I$7)),$N344*10000000+$O344*1000+337,""))</f>
        <v/>
      </c>
      <c r="Q344" t="str">
        <f>IFERROR(MATCH(SMALL($P$8:$P$407,337),$P$8:$P$407,0),"")</f>
        <v/>
      </c>
      <c r="R344" t="str">
        <f t="shared" si="77"/>
        <v/>
      </c>
      <c r="S344" t="str">
        <f t="shared" si="78"/>
        <v/>
      </c>
      <c r="T344" t="str">
        <f t="shared" si="79"/>
        <v/>
      </c>
      <c r="U344" t="str">
        <f t="shared" si="80"/>
        <v/>
      </c>
      <c r="V344">
        <f t="shared" si="82"/>
        <v>0</v>
      </c>
      <c r="W344">
        <f t="shared" si="83"/>
        <v>0</v>
      </c>
      <c r="X344">
        <f>IF($Q344="",99999+337,$X343+1+$V343+$W343)</f>
        <v>100336</v>
      </c>
      <c r="Y344" t="str">
        <f>IF($Q344="","",INDEX(บันทึกรายเที่ยว!$Q$6:$Q$10005,$R344))</f>
        <v/>
      </c>
      <c r="Z344" t="str">
        <f>IF($Q344="","",INDEX(บันทึกรายเที่ยว!$F$6:$F$10005,$R344))</f>
        <v/>
      </c>
      <c r="AA344" t="str">
        <f>IFERROR(MATCH(337,$X$8:$X$407,1),"")</f>
        <v/>
      </c>
      <c r="AB344" t="str">
        <f>IF(337=$AD$1+1,"G",IF($AA344="","",IF(INDEX($Q$8:$Q$407,$AA344)="","",IF(337&gt;INDEX($X$8:$X$407,$AA344)+INDEX($V$8:$V$407,$AA344)+INDEX($W$8:$W$407,$AA344),"",IF(337=INDEX($X$8:$X$407,$AA344)+INDEX($V$8:$V$407,$AA344)+INDEX($W$8:$W$407,$AA344),"D",IF(AND(INDEX($W$8:$W$407,$AA344)=1,337=INDEX($X$8:$X$407,$AA344)+INDEX($V$8:$V$407,$AA344)),"S","R"))))))</f>
        <v/>
      </c>
      <c r="AC344" t="str">
        <f t="shared" si="81"/>
        <v/>
      </c>
      <c r="AE344">
        <f>IF($U344="",0,COUNTIF(บันทึกรายเที่ยว!$T$6:$T$10005,$U344))</f>
        <v>0</v>
      </c>
      <c r="AF344">
        <f>IF($U344="",0,ROUND(SUMIF(บันทึกรายเที่ยว!$T$6:$T$10005,$U344,บันทึกรายเที่ยว!$J$6:$J$10005),2))</f>
        <v>0</v>
      </c>
      <c r="AG344">
        <f>IF($U344="",0,ROUND(SUMIF(บันทึกรายเที่ยว!$T$6:$T$10005,$U344,บันทึกรายเที่ยว!$K$6:$K$10005),2))</f>
        <v>0</v>
      </c>
      <c r="AH344">
        <f>IF($U344="",0,ROUND(SUMIF(บันทึกรายเที่ยว!$T$6:$T$10005,$U344,บันทึกรายเที่ยว!$M$6:$M$10005),2))</f>
        <v>0</v>
      </c>
    </row>
    <row r="345" spans="1:34" ht="21" customHeight="1" x14ac:dyDescent="0.95">
      <c r="A345" s="3" t="str">
        <f t="shared" si="70"/>
        <v/>
      </c>
      <c r="B345" s="3" t="str">
        <f t="shared" si="71"/>
        <v/>
      </c>
      <c r="C345" s="8" t="str">
        <f t="shared" si="72"/>
        <v/>
      </c>
      <c r="D345" s="31" t="str">
        <f t="shared" si="73"/>
        <v/>
      </c>
      <c r="E345" s="32" t="str">
        <f>IF(338=$AD$1+3,"ขอแสดงความนับถือ",IF(338=$AD$1+6,"(                 )",IF(338=$AD$1+7,"เจ้าหน้าที่ขนส่ง",IF($AB345="G",SUM($AF$8:$AF$407),IF(OR($AB345="",$AB345="R"),"",IF($AB345="D",INDEX($AF$8:$AF$407,$AA345),SUMIF($T$8:$T$407,INDEX($T$8:$T$407,$AA345),$AF$8:$AF$407)))))))</f>
        <v/>
      </c>
      <c r="F345" s="32" t="str">
        <f t="shared" si="74"/>
        <v/>
      </c>
      <c r="G345" s="32" t="str">
        <f t="shared" si="75"/>
        <v/>
      </c>
      <c r="H345" s="32" t="str">
        <f t="shared" si="76"/>
        <v/>
      </c>
      <c r="J345" t="str">
        <f>IFERROR(MATCH(338,บันทึกรายเที่ยว!$W$6:$W$10005,0),"")</f>
        <v/>
      </c>
      <c r="K345" t="str">
        <f>IF($J345="","",INDEX(บันทึกรายเที่ยว!$T$6:$T$10005,$J345))</f>
        <v/>
      </c>
      <c r="L345" t="str">
        <f>IF($J345="","",INDEX(บันทึกรายเที่ยว!$S$6:$S$10005,$J345))</f>
        <v/>
      </c>
      <c r="M345" t="str">
        <f>IF($J345="","",INDEX(บันทึกรายเที่ยว!$R$6:$R$10005,$J345))</f>
        <v/>
      </c>
      <c r="N345" t="str">
        <f>IF($J345="","",MATCH($M345,บันทึกรายเที่ยว!$R$6:$R$10005,0))</f>
        <v/>
      </c>
      <c r="O345" t="str">
        <f>IF($J345="","",MATCH($L345,บันทึกรายเที่ยว!$S$6:$S$10005,0))</f>
        <v/>
      </c>
      <c r="P345" t="str">
        <f>IF($J345="","",IF(AND(OR($I$3="(ทั้งหมด)",INDEX(บันทึกรายเที่ยว!$C$6:$C$10005,$J345)=$I$3),OR($I$5="(ทั้งหมด)",INDEX(บันทึกรายเที่ยว!$D$6:$D$10005,$J345)=$I$5),OR($I$7="(ทั้งหมด)",INDEX(บันทึกรายเที่ยว!$F$6:$F$10005,$J345)=$I$7)),$N345*10000000+$O345*1000+338,""))</f>
        <v/>
      </c>
      <c r="Q345" t="str">
        <f>IFERROR(MATCH(SMALL($P$8:$P$407,338),$P$8:$P$407,0),"")</f>
        <v/>
      </c>
      <c r="R345" t="str">
        <f t="shared" si="77"/>
        <v/>
      </c>
      <c r="S345" t="str">
        <f t="shared" si="78"/>
        <v/>
      </c>
      <c r="T345" t="str">
        <f t="shared" si="79"/>
        <v/>
      </c>
      <c r="U345" t="str">
        <f t="shared" si="80"/>
        <v/>
      </c>
      <c r="V345">
        <f t="shared" si="82"/>
        <v>0</v>
      </c>
      <c r="W345">
        <f t="shared" si="83"/>
        <v>0</v>
      </c>
      <c r="X345">
        <f>IF($Q345="",99999+338,$X344+1+$V344+$W344)</f>
        <v>100337</v>
      </c>
      <c r="Y345" t="str">
        <f>IF($Q345="","",INDEX(บันทึกรายเที่ยว!$Q$6:$Q$10005,$R345))</f>
        <v/>
      </c>
      <c r="Z345" t="str">
        <f>IF($Q345="","",INDEX(บันทึกรายเที่ยว!$F$6:$F$10005,$R345))</f>
        <v/>
      </c>
      <c r="AA345" t="str">
        <f>IFERROR(MATCH(338,$X$8:$X$407,1),"")</f>
        <v/>
      </c>
      <c r="AB345" t="str">
        <f>IF(338=$AD$1+1,"G",IF($AA345="","",IF(INDEX($Q$8:$Q$407,$AA345)="","",IF(338&gt;INDEX($X$8:$X$407,$AA345)+INDEX($V$8:$V$407,$AA345)+INDEX($W$8:$W$407,$AA345),"",IF(338=INDEX($X$8:$X$407,$AA345)+INDEX($V$8:$V$407,$AA345)+INDEX($W$8:$W$407,$AA345),"D",IF(AND(INDEX($W$8:$W$407,$AA345)=1,338=INDEX($X$8:$X$407,$AA345)+INDEX($V$8:$V$407,$AA345)),"S","R"))))))</f>
        <v/>
      </c>
      <c r="AC345" t="str">
        <f t="shared" si="81"/>
        <v/>
      </c>
      <c r="AE345">
        <f>IF($U345="",0,COUNTIF(บันทึกรายเที่ยว!$T$6:$T$10005,$U345))</f>
        <v>0</v>
      </c>
      <c r="AF345">
        <f>IF($U345="",0,ROUND(SUMIF(บันทึกรายเที่ยว!$T$6:$T$10005,$U345,บันทึกรายเที่ยว!$J$6:$J$10005),2))</f>
        <v>0</v>
      </c>
      <c r="AG345">
        <f>IF($U345="",0,ROUND(SUMIF(บันทึกรายเที่ยว!$T$6:$T$10005,$U345,บันทึกรายเที่ยว!$K$6:$K$10005),2))</f>
        <v>0</v>
      </c>
      <c r="AH345">
        <f>IF($U345="",0,ROUND(SUMIF(บันทึกรายเที่ยว!$T$6:$T$10005,$U345,บันทึกรายเที่ยว!$M$6:$M$10005),2))</f>
        <v>0</v>
      </c>
    </row>
    <row r="346" spans="1:34" ht="21" customHeight="1" x14ac:dyDescent="0.95">
      <c r="A346" s="3" t="str">
        <f t="shared" si="70"/>
        <v/>
      </c>
      <c r="B346" s="3" t="str">
        <f t="shared" si="71"/>
        <v/>
      </c>
      <c r="C346" s="8" t="str">
        <f t="shared" si="72"/>
        <v/>
      </c>
      <c r="D346" s="31" t="str">
        <f t="shared" si="73"/>
        <v/>
      </c>
      <c r="E346" s="32" t="str">
        <f>IF(339=$AD$1+3,"ขอแสดงความนับถือ",IF(339=$AD$1+6,"(                 )",IF(339=$AD$1+7,"เจ้าหน้าที่ขนส่ง",IF($AB346="G",SUM($AF$8:$AF$407),IF(OR($AB346="",$AB346="R"),"",IF($AB346="D",INDEX($AF$8:$AF$407,$AA346),SUMIF($T$8:$T$407,INDEX($T$8:$T$407,$AA346),$AF$8:$AF$407)))))))</f>
        <v/>
      </c>
      <c r="F346" s="32" t="str">
        <f t="shared" si="74"/>
        <v/>
      </c>
      <c r="G346" s="32" t="str">
        <f t="shared" si="75"/>
        <v/>
      </c>
      <c r="H346" s="32" t="str">
        <f t="shared" si="76"/>
        <v/>
      </c>
      <c r="J346" t="str">
        <f>IFERROR(MATCH(339,บันทึกรายเที่ยว!$W$6:$W$10005,0),"")</f>
        <v/>
      </c>
      <c r="K346" t="str">
        <f>IF($J346="","",INDEX(บันทึกรายเที่ยว!$T$6:$T$10005,$J346))</f>
        <v/>
      </c>
      <c r="L346" t="str">
        <f>IF($J346="","",INDEX(บันทึกรายเที่ยว!$S$6:$S$10005,$J346))</f>
        <v/>
      </c>
      <c r="M346" t="str">
        <f>IF($J346="","",INDEX(บันทึกรายเที่ยว!$R$6:$R$10005,$J346))</f>
        <v/>
      </c>
      <c r="N346" t="str">
        <f>IF($J346="","",MATCH($M346,บันทึกรายเที่ยว!$R$6:$R$10005,0))</f>
        <v/>
      </c>
      <c r="O346" t="str">
        <f>IF($J346="","",MATCH($L346,บันทึกรายเที่ยว!$S$6:$S$10005,0))</f>
        <v/>
      </c>
      <c r="P346" t="str">
        <f>IF($J346="","",IF(AND(OR($I$3="(ทั้งหมด)",INDEX(บันทึกรายเที่ยว!$C$6:$C$10005,$J346)=$I$3),OR($I$5="(ทั้งหมด)",INDEX(บันทึกรายเที่ยว!$D$6:$D$10005,$J346)=$I$5),OR($I$7="(ทั้งหมด)",INDEX(บันทึกรายเที่ยว!$F$6:$F$10005,$J346)=$I$7)),$N346*10000000+$O346*1000+339,""))</f>
        <v/>
      </c>
      <c r="Q346" t="str">
        <f>IFERROR(MATCH(SMALL($P$8:$P$407,339),$P$8:$P$407,0),"")</f>
        <v/>
      </c>
      <c r="R346" t="str">
        <f t="shared" si="77"/>
        <v/>
      </c>
      <c r="S346" t="str">
        <f t="shared" si="78"/>
        <v/>
      </c>
      <c r="T346" t="str">
        <f t="shared" si="79"/>
        <v/>
      </c>
      <c r="U346" t="str">
        <f t="shared" si="80"/>
        <v/>
      </c>
      <c r="V346">
        <f t="shared" si="82"/>
        <v>0</v>
      </c>
      <c r="W346">
        <f t="shared" si="83"/>
        <v>0</v>
      </c>
      <c r="X346">
        <f>IF($Q346="",99999+339,$X345+1+$V345+$W345)</f>
        <v>100338</v>
      </c>
      <c r="Y346" t="str">
        <f>IF($Q346="","",INDEX(บันทึกรายเที่ยว!$Q$6:$Q$10005,$R346))</f>
        <v/>
      </c>
      <c r="Z346" t="str">
        <f>IF($Q346="","",INDEX(บันทึกรายเที่ยว!$F$6:$F$10005,$R346))</f>
        <v/>
      </c>
      <c r="AA346" t="str">
        <f>IFERROR(MATCH(339,$X$8:$X$407,1),"")</f>
        <v/>
      </c>
      <c r="AB346" t="str">
        <f>IF(339=$AD$1+1,"G",IF($AA346="","",IF(INDEX($Q$8:$Q$407,$AA346)="","",IF(339&gt;INDEX($X$8:$X$407,$AA346)+INDEX($V$8:$V$407,$AA346)+INDEX($W$8:$W$407,$AA346),"",IF(339=INDEX($X$8:$X$407,$AA346)+INDEX($V$8:$V$407,$AA346)+INDEX($W$8:$W$407,$AA346),"D",IF(AND(INDEX($W$8:$W$407,$AA346)=1,339=INDEX($X$8:$X$407,$AA346)+INDEX($V$8:$V$407,$AA346)),"S","R"))))))</f>
        <v/>
      </c>
      <c r="AC346" t="str">
        <f t="shared" si="81"/>
        <v/>
      </c>
      <c r="AE346">
        <f>IF($U346="",0,COUNTIF(บันทึกรายเที่ยว!$T$6:$T$10005,$U346))</f>
        <v>0</v>
      </c>
      <c r="AF346">
        <f>IF($U346="",0,ROUND(SUMIF(บันทึกรายเที่ยว!$T$6:$T$10005,$U346,บันทึกรายเที่ยว!$J$6:$J$10005),2))</f>
        <v>0</v>
      </c>
      <c r="AG346">
        <f>IF($U346="",0,ROUND(SUMIF(บันทึกรายเที่ยว!$T$6:$T$10005,$U346,บันทึกรายเที่ยว!$K$6:$K$10005),2))</f>
        <v>0</v>
      </c>
      <c r="AH346">
        <f>IF($U346="",0,ROUND(SUMIF(บันทึกรายเที่ยว!$T$6:$T$10005,$U346,บันทึกรายเที่ยว!$M$6:$M$10005),2))</f>
        <v>0</v>
      </c>
    </row>
    <row r="347" spans="1:34" ht="21" customHeight="1" x14ac:dyDescent="0.95">
      <c r="A347" s="3" t="str">
        <f t="shared" si="70"/>
        <v/>
      </c>
      <c r="B347" s="3" t="str">
        <f t="shared" si="71"/>
        <v/>
      </c>
      <c r="C347" s="8" t="str">
        <f t="shared" si="72"/>
        <v/>
      </c>
      <c r="D347" s="31" t="str">
        <f t="shared" si="73"/>
        <v/>
      </c>
      <c r="E347" s="32" t="str">
        <f>IF(340=$AD$1+3,"ขอแสดงความนับถือ",IF(340=$AD$1+6,"(                 )",IF(340=$AD$1+7,"เจ้าหน้าที่ขนส่ง",IF($AB347="G",SUM($AF$8:$AF$407),IF(OR($AB347="",$AB347="R"),"",IF($AB347="D",INDEX($AF$8:$AF$407,$AA347),SUMIF($T$8:$T$407,INDEX($T$8:$T$407,$AA347),$AF$8:$AF$407)))))))</f>
        <v/>
      </c>
      <c r="F347" s="32" t="str">
        <f t="shared" si="74"/>
        <v/>
      </c>
      <c r="G347" s="32" t="str">
        <f t="shared" si="75"/>
        <v/>
      </c>
      <c r="H347" s="32" t="str">
        <f t="shared" si="76"/>
        <v/>
      </c>
      <c r="J347" t="str">
        <f>IFERROR(MATCH(340,บันทึกรายเที่ยว!$W$6:$W$10005,0),"")</f>
        <v/>
      </c>
      <c r="K347" t="str">
        <f>IF($J347="","",INDEX(บันทึกรายเที่ยว!$T$6:$T$10005,$J347))</f>
        <v/>
      </c>
      <c r="L347" t="str">
        <f>IF($J347="","",INDEX(บันทึกรายเที่ยว!$S$6:$S$10005,$J347))</f>
        <v/>
      </c>
      <c r="M347" t="str">
        <f>IF($J347="","",INDEX(บันทึกรายเที่ยว!$R$6:$R$10005,$J347))</f>
        <v/>
      </c>
      <c r="N347" t="str">
        <f>IF($J347="","",MATCH($M347,บันทึกรายเที่ยว!$R$6:$R$10005,0))</f>
        <v/>
      </c>
      <c r="O347" t="str">
        <f>IF($J347="","",MATCH($L347,บันทึกรายเที่ยว!$S$6:$S$10005,0))</f>
        <v/>
      </c>
      <c r="P347" t="str">
        <f>IF($J347="","",IF(AND(OR($I$3="(ทั้งหมด)",INDEX(บันทึกรายเที่ยว!$C$6:$C$10005,$J347)=$I$3),OR($I$5="(ทั้งหมด)",INDEX(บันทึกรายเที่ยว!$D$6:$D$10005,$J347)=$I$5),OR($I$7="(ทั้งหมด)",INDEX(บันทึกรายเที่ยว!$F$6:$F$10005,$J347)=$I$7)),$N347*10000000+$O347*1000+340,""))</f>
        <v/>
      </c>
      <c r="Q347" t="str">
        <f>IFERROR(MATCH(SMALL($P$8:$P$407,340),$P$8:$P$407,0),"")</f>
        <v/>
      </c>
      <c r="R347" t="str">
        <f t="shared" si="77"/>
        <v/>
      </c>
      <c r="S347" t="str">
        <f t="shared" si="78"/>
        <v/>
      </c>
      <c r="T347" t="str">
        <f t="shared" si="79"/>
        <v/>
      </c>
      <c r="U347" t="str">
        <f t="shared" si="80"/>
        <v/>
      </c>
      <c r="V347">
        <f t="shared" si="82"/>
        <v>0</v>
      </c>
      <c r="W347">
        <f t="shared" si="83"/>
        <v>0</v>
      </c>
      <c r="X347">
        <f>IF($Q347="",99999+340,$X346+1+$V346+$W346)</f>
        <v>100339</v>
      </c>
      <c r="Y347" t="str">
        <f>IF($Q347="","",INDEX(บันทึกรายเที่ยว!$Q$6:$Q$10005,$R347))</f>
        <v/>
      </c>
      <c r="Z347" t="str">
        <f>IF($Q347="","",INDEX(บันทึกรายเที่ยว!$F$6:$F$10005,$R347))</f>
        <v/>
      </c>
      <c r="AA347" t="str">
        <f>IFERROR(MATCH(340,$X$8:$X$407,1),"")</f>
        <v/>
      </c>
      <c r="AB347" t="str">
        <f>IF(340=$AD$1+1,"G",IF($AA347="","",IF(INDEX($Q$8:$Q$407,$AA347)="","",IF(340&gt;INDEX($X$8:$X$407,$AA347)+INDEX($V$8:$V$407,$AA347)+INDEX($W$8:$W$407,$AA347),"",IF(340=INDEX($X$8:$X$407,$AA347)+INDEX($V$8:$V$407,$AA347)+INDEX($W$8:$W$407,$AA347),"D",IF(AND(INDEX($W$8:$W$407,$AA347)=1,340=INDEX($X$8:$X$407,$AA347)+INDEX($V$8:$V$407,$AA347)),"S","R"))))))</f>
        <v/>
      </c>
      <c r="AC347" t="str">
        <f t="shared" si="81"/>
        <v/>
      </c>
      <c r="AE347">
        <f>IF($U347="",0,COUNTIF(บันทึกรายเที่ยว!$T$6:$T$10005,$U347))</f>
        <v>0</v>
      </c>
      <c r="AF347">
        <f>IF($U347="",0,ROUND(SUMIF(บันทึกรายเที่ยว!$T$6:$T$10005,$U347,บันทึกรายเที่ยว!$J$6:$J$10005),2))</f>
        <v>0</v>
      </c>
      <c r="AG347">
        <f>IF($U347="",0,ROUND(SUMIF(บันทึกรายเที่ยว!$T$6:$T$10005,$U347,บันทึกรายเที่ยว!$K$6:$K$10005),2))</f>
        <v>0</v>
      </c>
      <c r="AH347">
        <f>IF($U347="",0,ROUND(SUMIF(บันทึกรายเที่ยว!$T$6:$T$10005,$U347,บันทึกรายเที่ยว!$M$6:$M$10005),2))</f>
        <v>0</v>
      </c>
    </row>
    <row r="348" spans="1:34" ht="21" customHeight="1" x14ac:dyDescent="0.95">
      <c r="A348" s="3" t="str">
        <f t="shared" si="70"/>
        <v/>
      </c>
      <c r="B348" s="3" t="str">
        <f t="shared" si="71"/>
        <v/>
      </c>
      <c r="C348" s="8" t="str">
        <f t="shared" si="72"/>
        <v/>
      </c>
      <c r="D348" s="31" t="str">
        <f t="shared" si="73"/>
        <v/>
      </c>
      <c r="E348" s="32" t="str">
        <f>IF(341=$AD$1+3,"ขอแสดงความนับถือ",IF(341=$AD$1+6,"(                 )",IF(341=$AD$1+7,"เจ้าหน้าที่ขนส่ง",IF($AB348="G",SUM($AF$8:$AF$407),IF(OR($AB348="",$AB348="R"),"",IF($AB348="D",INDEX($AF$8:$AF$407,$AA348),SUMIF($T$8:$T$407,INDEX($T$8:$T$407,$AA348),$AF$8:$AF$407)))))))</f>
        <v/>
      </c>
      <c r="F348" s="32" t="str">
        <f t="shared" si="74"/>
        <v/>
      </c>
      <c r="G348" s="32" t="str">
        <f t="shared" si="75"/>
        <v/>
      </c>
      <c r="H348" s="32" t="str">
        <f t="shared" si="76"/>
        <v/>
      </c>
      <c r="J348" t="str">
        <f>IFERROR(MATCH(341,บันทึกรายเที่ยว!$W$6:$W$10005,0),"")</f>
        <v/>
      </c>
      <c r="K348" t="str">
        <f>IF($J348="","",INDEX(บันทึกรายเที่ยว!$T$6:$T$10005,$J348))</f>
        <v/>
      </c>
      <c r="L348" t="str">
        <f>IF($J348="","",INDEX(บันทึกรายเที่ยว!$S$6:$S$10005,$J348))</f>
        <v/>
      </c>
      <c r="M348" t="str">
        <f>IF($J348="","",INDEX(บันทึกรายเที่ยว!$R$6:$R$10005,$J348))</f>
        <v/>
      </c>
      <c r="N348" t="str">
        <f>IF($J348="","",MATCH($M348,บันทึกรายเที่ยว!$R$6:$R$10005,0))</f>
        <v/>
      </c>
      <c r="O348" t="str">
        <f>IF($J348="","",MATCH($L348,บันทึกรายเที่ยว!$S$6:$S$10005,0))</f>
        <v/>
      </c>
      <c r="P348" t="str">
        <f>IF($J348="","",IF(AND(OR($I$3="(ทั้งหมด)",INDEX(บันทึกรายเที่ยว!$C$6:$C$10005,$J348)=$I$3),OR($I$5="(ทั้งหมด)",INDEX(บันทึกรายเที่ยว!$D$6:$D$10005,$J348)=$I$5),OR($I$7="(ทั้งหมด)",INDEX(บันทึกรายเที่ยว!$F$6:$F$10005,$J348)=$I$7)),$N348*10000000+$O348*1000+341,""))</f>
        <v/>
      </c>
      <c r="Q348" t="str">
        <f>IFERROR(MATCH(SMALL($P$8:$P$407,341),$P$8:$P$407,0),"")</f>
        <v/>
      </c>
      <c r="R348" t="str">
        <f t="shared" si="77"/>
        <v/>
      </c>
      <c r="S348" t="str">
        <f t="shared" si="78"/>
        <v/>
      </c>
      <c r="T348" t="str">
        <f t="shared" si="79"/>
        <v/>
      </c>
      <c r="U348" t="str">
        <f t="shared" si="80"/>
        <v/>
      </c>
      <c r="V348">
        <f t="shared" si="82"/>
        <v>0</v>
      </c>
      <c r="W348">
        <f t="shared" si="83"/>
        <v>0</v>
      </c>
      <c r="X348">
        <f>IF($Q348="",99999+341,$X347+1+$V347+$W347)</f>
        <v>100340</v>
      </c>
      <c r="Y348" t="str">
        <f>IF($Q348="","",INDEX(บันทึกรายเที่ยว!$Q$6:$Q$10005,$R348))</f>
        <v/>
      </c>
      <c r="Z348" t="str">
        <f>IF($Q348="","",INDEX(บันทึกรายเที่ยว!$F$6:$F$10005,$R348))</f>
        <v/>
      </c>
      <c r="AA348" t="str">
        <f>IFERROR(MATCH(341,$X$8:$X$407,1),"")</f>
        <v/>
      </c>
      <c r="AB348" t="str">
        <f>IF(341=$AD$1+1,"G",IF($AA348="","",IF(INDEX($Q$8:$Q$407,$AA348)="","",IF(341&gt;INDEX($X$8:$X$407,$AA348)+INDEX($V$8:$V$407,$AA348)+INDEX($W$8:$W$407,$AA348),"",IF(341=INDEX($X$8:$X$407,$AA348)+INDEX($V$8:$V$407,$AA348)+INDEX($W$8:$W$407,$AA348),"D",IF(AND(INDEX($W$8:$W$407,$AA348)=1,341=INDEX($X$8:$X$407,$AA348)+INDEX($V$8:$V$407,$AA348)),"S","R"))))))</f>
        <v/>
      </c>
      <c r="AC348" t="str">
        <f t="shared" si="81"/>
        <v/>
      </c>
      <c r="AE348">
        <f>IF($U348="",0,COUNTIF(บันทึกรายเที่ยว!$T$6:$T$10005,$U348))</f>
        <v>0</v>
      </c>
      <c r="AF348">
        <f>IF($U348="",0,ROUND(SUMIF(บันทึกรายเที่ยว!$T$6:$T$10005,$U348,บันทึกรายเที่ยว!$J$6:$J$10005),2))</f>
        <v>0</v>
      </c>
      <c r="AG348">
        <f>IF($U348="",0,ROUND(SUMIF(บันทึกรายเที่ยว!$T$6:$T$10005,$U348,บันทึกรายเที่ยว!$K$6:$K$10005),2))</f>
        <v>0</v>
      </c>
      <c r="AH348">
        <f>IF($U348="",0,ROUND(SUMIF(บันทึกรายเที่ยว!$T$6:$T$10005,$U348,บันทึกรายเที่ยว!$M$6:$M$10005),2))</f>
        <v>0</v>
      </c>
    </row>
    <row r="349" spans="1:34" ht="21" customHeight="1" x14ac:dyDescent="0.95">
      <c r="A349" s="3" t="str">
        <f t="shared" si="70"/>
        <v/>
      </c>
      <c r="B349" s="3" t="str">
        <f t="shared" si="71"/>
        <v/>
      </c>
      <c r="C349" s="8" t="str">
        <f t="shared" si="72"/>
        <v/>
      </c>
      <c r="D349" s="31" t="str">
        <f t="shared" si="73"/>
        <v/>
      </c>
      <c r="E349" s="32" t="str">
        <f>IF(342=$AD$1+3,"ขอแสดงความนับถือ",IF(342=$AD$1+6,"(                 )",IF(342=$AD$1+7,"เจ้าหน้าที่ขนส่ง",IF($AB349="G",SUM($AF$8:$AF$407),IF(OR($AB349="",$AB349="R"),"",IF($AB349="D",INDEX($AF$8:$AF$407,$AA349),SUMIF($T$8:$T$407,INDEX($T$8:$T$407,$AA349),$AF$8:$AF$407)))))))</f>
        <v/>
      </c>
      <c r="F349" s="32" t="str">
        <f t="shared" si="74"/>
        <v/>
      </c>
      <c r="G349" s="32" t="str">
        <f t="shared" si="75"/>
        <v/>
      </c>
      <c r="H349" s="32" t="str">
        <f t="shared" si="76"/>
        <v/>
      </c>
      <c r="J349" t="str">
        <f>IFERROR(MATCH(342,บันทึกรายเที่ยว!$W$6:$W$10005,0),"")</f>
        <v/>
      </c>
      <c r="K349" t="str">
        <f>IF($J349="","",INDEX(บันทึกรายเที่ยว!$T$6:$T$10005,$J349))</f>
        <v/>
      </c>
      <c r="L349" t="str">
        <f>IF($J349="","",INDEX(บันทึกรายเที่ยว!$S$6:$S$10005,$J349))</f>
        <v/>
      </c>
      <c r="M349" t="str">
        <f>IF($J349="","",INDEX(บันทึกรายเที่ยว!$R$6:$R$10005,$J349))</f>
        <v/>
      </c>
      <c r="N349" t="str">
        <f>IF($J349="","",MATCH($M349,บันทึกรายเที่ยว!$R$6:$R$10005,0))</f>
        <v/>
      </c>
      <c r="O349" t="str">
        <f>IF($J349="","",MATCH($L349,บันทึกรายเที่ยว!$S$6:$S$10005,0))</f>
        <v/>
      </c>
      <c r="P349" t="str">
        <f>IF($J349="","",IF(AND(OR($I$3="(ทั้งหมด)",INDEX(บันทึกรายเที่ยว!$C$6:$C$10005,$J349)=$I$3),OR($I$5="(ทั้งหมด)",INDEX(บันทึกรายเที่ยว!$D$6:$D$10005,$J349)=$I$5),OR($I$7="(ทั้งหมด)",INDEX(บันทึกรายเที่ยว!$F$6:$F$10005,$J349)=$I$7)),$N349*10000000+$O349*1000+342,""))</f>
        <v/>
      </c>
      <c r="Q349" t="str">
        <f>IFERROR(MATCH(SMALL($P$8:$P$407,342),$P$8:$P$407,0),"")</f>
        <v/>
      </c>
      <c r="R349" t="str">
        <f t="shared" si="77"/>
        <v/>
      </c>
      <c r="S349" t="str">
        <f t="shared" si="78"/>
        <v/>
      </c>
      <c r="T349" t="str">
        <f t="shared" si="79"/>
        <v/>
      </c>
      <c r="U349" t="str">
        <f t="shared" si="80"/>
        <v/>
      </c>
      <c r="V349">
        <f t="shared" si="82"/>
        <v>0</v>
      </c>
      <c r="W349">
        <f t="shared" si="83"/>
        <v>0</v>
      </c>
      <c r="X349">
        <f>IF($Q349="",99999+342,$X348+1+$V348+$W348)</f>
        <v>100341</v>
      </c>
      <c r="Y349" t="str">
        <f>IF($Q349="","",INDEX(บันทึกรายเที่ยว!$Q$6:$Q$10005,$R349))</f>
        <v/>
      </c>
      <c r="Z349" t="str">
        <f>IF($Q349="","",INDEX(บันทึกรายเที่ยว!$F$6:$F$10005,$R349))</f>
        <v/>
      </c>
      <c r="AA349" t="str">
        <f>IFERROR(MATCH(342,$X$8:$X$407,1),"")</f>
        <v/>
      </c>
      <c r="AB349" t="str">
        <f>IF(342=$AD$1+1,"G",IF($AA349="","",IF(INDEX($Q$8:$Q$407,$AA349)="","",IF(342&gt;INDEX($X$8:$X$407,$AA349)+INDEX($V$8:$V$407,$AA349)+INDEX($W$8:$W$407,$AA349),"",IF(342=INDEX($X$8:$X$407,$AA349)+INDEX($V$8:$V$407,$AA349)+INDEX($W$8:$W$407,$AA349),"D",IF(AND(INDEX($W$8:$W$407,$AA349)=1,342=INDEX($X$8:$X$407,$AA349)+INDEX($V$8:$V$407,$AA349)),"S","R"))))))</f>
        <v/>
      </c>
      <c r="AC349" t="str">
        <f t="shared" si="81"/>
        <v/>
      </c>
      <c r="AE349">
        <f>IF($U349="",0,COUNTIF(บันทึกรายเที่ยว!$T$6:$T$10005,$U349))</f>
        <v>0</v>
      </c>
      <c r="AF349">
        <f>IF($U349="",0,ROUND(SUMIF(บันทึกรายเที่ยว!$T$6:$T$10005,$U349,บันทึกรายเที่ยว!$J$6:$J$10005),2))</f>
        <v>0</v>
      </c>
      <c r="AG349">
        <f>IF($U349="",0,ROUND(SUMIF(บันทึกรายเที่ยว!$T$6:$T$10005,$U349,บันทึกรายเที่ยว!$K$6:$K$10005),2))</f>
        <v>0</v>
      </c>
      <c r="AH349">
        <f>IF($U349="",0,ROUND(SUMIF(บันทึกรายเที่ยว!$T$6:$T$10005,$U349,บันทึกรายเที่ยว!$M$6:$M$10005),2))</f>
        <v>0</v>
      </c>
    </row>
    <row r="350" spans="1:34" ht="21" customHeight="1" x14ac:dyDescent="0.95">
      <c r="A350" s="3" t="str">
        <f t="shared" si="70"/>
        <v/>
      </c>
      <c r="B350" s="3" t="str">
        <f t="shared" si="71"/>
        <v/>
      </c>
      <c r="C350" s="8" t="str">
        <f t="shared" si="72"/>
        <v/>
      </c>
      <c r="D350" s="31" t="str">
        <f t="shared" si="73"/>
        <v/>
      </c>
      <c r="E350" s="32" t="str">
        <f>IF(343=$AD$1+3,"ขอแสดงความนับถือ",IF(343=$AD$1+6,"(                 )",IF(343=$AD$1+7,"เจ้าหน้าที่ขนส่ง",IF($AB350="G",SUM($AF$8:$AF$407),IF(OR($AB350="",$AB350="R"),"",IF($AB350="D",INDEX($AF$8:$AF$407,$AA350),SUMIF($T$8:$T$407,INDEX($T$8:$T$407,$AA350),$AF$8:$AF$407)))))))</f>
        <v/>
      </c>
      <c r="F350" s="32" t="str">
        <f t="shared" si="74"/>
        <v/>
      </c>
      <c r="G350" s="32" t="str">
        <f t="shared" si="75"/>
        <v/>
      </c>
      <c r="H350" s="32" t="str">
        <f t="shared" si="76"/>
        <v/>
      </c>
      <c r="J350" t="str">
        <f>IFERROR(MATCH(343,บันทึกรายเที่ยว!$W$6:$W$10005,0),"")</f>
        <v/>
      </c>
      <c r="K350" t="str">
        <f>IF($J350="","",INDEX(บันทึกรายเที่ยว!$T$6:$T$10005,$J350))</f>
        <v/>
      </c>
      <c r="L350" t="str">
        <f>IF($J350="","",INDEX(บันทึกรายเที่ยว!$S$6:$S$10005,$J350))</f>
        <v/>
      </c>
      <c r="M350" t="str">
        <f>IF($J350="","",INDEX(บันทึกรายเที่ยว!$R$6:$R$10005,$J350))</f>
        <v/>
      </c>
      <c r="N350" t="str">
        <f>IF($J350="","",MATCH($M350,บันทึกรายเที่ยว!$R$6:$R$10005,0))</f>
        <v/>
      </c>
      <c r="O350" t="str">
        <f>IF($J350="","",MATCH($L350,บันทึกรายเที่ยว!$S$6:$S$10005,0))</f>
        <v/>
      </c>
      <c r="P350" t="str">
        <f>IF($J350="","",IF(AND(OR($I$3="(ทั้งหมด)",INDEX(บันทึกรายเที่ยว!$C$6:$C$10005,$J350)=$I$3),OR($I$5="(ทั้งหมด)",INDEX(บันทึกรายเที่ยว!$D$6:$D$10005,$J350)=$I$5),OR($I$7="(ทั้งหมด)",INDEX(บันทึกรายเที่ยว!$F$6:$F$10005,$J350)=$I$7)),$N350*10000000+$O350*1000+343,""))</f>
        <v/>
      </c>
      <c r="Q350" t="str">
        <f>IFERROR(MATCH(SMALL($P$8:$P$407,343),$P$8:$P$407,0),"")</f>
        <v/>
      </c>
      <c r="R350" t="str">
        <f t="shared" si="77"/>
        <v/>
      </c>
      <c r="S350" t="str">
        <f t="shared" si="78"/>
        <v/>
      </c>
      <c r="T350" t="str">
        <f t="shared" si="79"/>
        <v/>
      </c>
      <c r="U350" t="str">
        <f t="shared" si="80"/>
        <v/>
      </c>
      <c r="V350">
        <f t="shared" si="82"/>
        <v>0</v>
      </c>
      <c r="W350">
        <f t="shared" si="83"/>
        <v>0</v>
      </c>
      <c r="X350">
        <f>IF($Q350="",99999+343,$X349+1+$V349+$W349)</f>
        <v>100342</v>
      </c>
      <c r="Y350" t="str">
        <f>IF($Q350="","",INDEX(บันทึกรายเที่ยว!$Q$6:$Q$10005,$R350))</f>
        <v/>
      </c>
      <c r="Z350" t="str">
        <f>IF($Q350="","",INDEX(บันทึกรายเที่ยว!$F$6:$F$10005,$R350))</f>
        <v/>
      </c>
      <c r="AA350" t="str">
        <f>IFERROR(MATCH(343,$X$8:$X$407,1),"")</f>
        <v/>
      </c>
      <c r="AB350" t="str">
        <f>IF(343=$AD$1+1,"G",IF($AA350="","",IF(INDEX($Q$8:$Q$407,$AA350)="","",IF(343&gt;INDEX($X$8:$X$407,$AA350)+INDEX($V$8:$V$407,$AA350)+INDEX($W$8:$W$407,$AA350),"",IF(343=INDEX($X$8:$X$407,$AA350)+INDEX($V$8:$V$407,$AA350)+INDEX($W$8:$W$407,$AA350),"D",IF(AND(INDEX($W$8:$W$407,$AA350)=1,343=INDEX($X$8:$X$407,$AA350)+INDEX($V$8:$V$407,$AA350)),"S","R"))))))</f>
        <v/>
      </c>
      <c r="AC350" t="str">
        <f t="shared" si="81"/>
        <v/>
      </c>
      <c r="AE350">
        <f>IF($U350="",0,COUNTIF(บันทึกรายเที่ยว!$T$6:$T$10005,$U350))</f>
        <v>0</v>
      </c>
      <c r="AF350">
        <f>IF($U350="",0,ROUND(SUMIF(บันทึกรายเที่ยว!$T$6:$T$10005,$U350,บันทึกรายเที่ยว!$J$6:$J$10005),2))</f>
        <v>0</v>
      </c>
      <c r="AG350">
        <f>IF($U350="",0,ROUND(SUMIF(บันทึกรายเที่ยว!$T$6:$T$10005,$U350,บันทึกรายเที่ยว!$K$6:$K$10005),2))</f>
        <v>0</v>
      </c>
      <c r="AH350">
        <f>IF($U350="",0,ROUND(SUMIF(บันทึกรายเที่ยว!$T$6:$T$10005,$U350,บันทึกรายเที่ยว!$M$6:$M$10005),2))</f>
        <v>0</v>
      </c>
    </row>
    <row r="351" spans="1:34" ht="21" customHeight="1" x14ac:dyDescent="0.95">
      <c r="A351" s="3" t="str">
        <f t="shared" si="70"/>
        <v/>
      </c>
      <c r="B351" s="3" t="str">
        <f t="shared" si="71"/>
        <v/>
      </c>
      <c r="C351" s="8" t="str">
        <f t="shared" si="72"/>
        <v/>
      </c>
      <c r="D351" s="31" t="str">
        <f t="shared" si="73"/>
        <v/>
      </c>
      <c r="E351" s="32" t="str">
        <f>IF(344=$AD$1+3,"ขอแสดงความนับถือ",IF(344=$AD$1+6,"(                 )",IF(344=$AD$1+7,"เจ้าหน้าที่ขนส่ง",IF($AB351="G",SUM($AF$8:$AF$407),IF(OR($AB351="",$AB351="R"),"",IF($AB351="D",INDEX($AF$8:$AF$407,$AA351),SUMIF($T$8:$T$407,INDEX($T$8:$T$407,$AA351),$AF$8:$AF$407)))))))</f>
        <v/>
      </c>
      <c r="F351" s="32" t="str">
        <f t="shared" si="74"/>
        <v/>
      </c>
      <c r="G351" s="32" t="str">
        <f t="shared" si="75"/>
        <v/>
      </c>
      <c r="H351" s="32" t="str">
        <f t="shared" si="76"/>
        <v/>
      </c>
      <c r="J351" t="str">
        <f>IFERROR(MATCH(344,บันทึกรายเที่ยว!$W$6:$W$10005,0),"")</f>
        <v/>
      </c>
      <c r="K351" t="str">
        <f>IF($J351="","",INDEX(บันทึกรายเที่ยว!$T$6:$T$10005,$J351))</f>
        <v/>
      </c>
      <c r="L351" t="str">
        <f>IF($J351="","",INDEX(บันทึกรายเที่ยว!$S$6:$S$10005,$J351))</f>
        <v/>
      </c>
      <c r="M351" t="str">
        <f>IF($J351="","",INDEX(บันทึกรายเที่ยว!$R$6:$R$10005,$J351))</f>
        <v/>
      </c>
      <c r="N351" t="str">
        <f>IF($J351="","",MATCH($M351,บันทึกรายเที่ยว!$R$6:$R$10005,0))</f>
        <v/>
      </c>
      <c r="O351" t="str">
        <f>IF($J351="","",MATCH($L351,บันทึกรายเที่ยว!$S$6:$S$10005,0))</f>
        <v/>
      </c>
      <c r="P351" t="str">
        <f>IF($J351="","",IF(AND(OR($I$3="(ทั้งหมด)",INDEX(บันทึกรายเที่ยว!$C$6:$C$10005,$J351)=$I$3),OR($I$5="(ทั้งหมด)",INDEX(บันทึกรายเที่ยว!$D$6:$D$10005,$J351)=$I$5),OR($I$7="(ทั้งหมด)",INDEX(บันทึกรายเที่ยว!$F$6:$F$10005,$J351)=$I$7)),$N351*10000000+$O351*1000+344,""))</f>
        <v/>
      </c>
      <c r="Q351" t="str">
        <f>IFERROR(MATCH(SMALL($P$8:$P$407,344),$P$8:$P$407,0),"")</f>
        <v/>
      </c>
      <c r="R351" t="str">
        <f t="shared" si="77"/>
        <v/>
      </c>
      <c r="S351" t="str">
        <f t="shared" si="78"/>
        <v/>
      </c>
      <c r="T351" t="str">
        <f t="shared" si="79"/>
        <v/>
      </c>
      <c r="U351" t="str">
        <f t="shared" si="80"/>
        <v/>
      </c>
      <c r="V351">
        <f t="shared" si="82"/>
        <v>0</v>
      </c>
      <c r="W351">
        <f t="shared" si="83"/>
        <v>0</v>
      </c>
      <c r="X351">
        <f>IF($Q351="",99999+344,$X350+1+$V350+$W350)</f>
        <v>100343</v>
      </c>
      <c r="Y351" t="str">
        <f>IF($Q351="","",INDEX(บันทึกรายเที่ยว!$Q$6:$Q$10005,$R351))</f>
        <v/>
      </c>
      <c r="Z351" t="str">
        <f>IF($Q351="","",INDEX(บันทึกรายเที่ยว!$F$6:$F$10005,$R351))</f>
        <v/>
      </c>
      <c r="AA351" t="str">
        <f>IFERROR(MATCH(344,$X$8:$X$407,1),"")</f>
        <v/>
      </c>
      <c r="AB351" t="str">
        <f>IF(344=$AD$1+1,"G",IF($AA351="","",IF(INDEX($Q$8:$Q$407,$AA351)="","",IF(344&gt;INDEX($X$8:$X$407,$AA351)+INDEX($V$8:$V$407,$AA351)+INDEX($W$8:$W$407,$AA351),"",IF(344=INDEX($X$8:$X$407,$AA351)+INDEX($V$8:$V$407,$AA351)+INDEX($W$8:$W$407,$AA351),"D",IF(AND(INDEX($W$8:$W$407,$AA351)=1,344=INDEX($X$8:$X$407,$AA351)+INDEX($V$8:$V$407,$AA351)),"S","R"))))))</f>
        <v/>
      </c>
      <c r="AC351" t="str">
        <f t="shared" si="81"/>
        <v/>
      </c>
      <c r="AE351">
        <f>IF($U351="",0,COUNTIF(บันทึกรายเที่ยว!$T$6:$T$10005,$U351))</f>
        <v>0</v>
      </c>
      <c r="AF351">
        <f>IF($U351="",0,ROUND(SUMIF(บันทึกรายเที่ยว!$T$6:$T$10005,$U351,บันทึกรายเที่ยว!$J$6:$J$10005),2))</f>
        <v>0</v>
      </c>
      <c r="AG351">
        <f>IF($U351="",0,ROUND(SUMIF(บันทึกรายเที่ยว!$T$6:$T$10005,$U351,บันทึกรายเที่ยว!$K$6:$K$10005),2))</f>
        <v>0</v>
      </c>
      <c r="AH351">
        <f>IF($U351="",0,ROUND(SUMIF(บันทึกรายเที่ยว!$T$6:$T$10005,$U351,บันทึกรายเที่ยว!$M$6:$M$10005),2))</f>
        <v>0</v>
      </c>
    </row>
    <row r="352" spans="1:34" ht="21" customHeight="1" x14ac:dyDescent="0.95">
      <c r="A352" s="3" t="str">
        <f t="shared" si="70"/>
        <v/>
      </c>
      <c r="B352" s="3" t="str">
        <f t="shared" si="71"/>
        <v/>
      </c>
      <c r="C352" s="8" t="str">
        <f t="shared" si="72"/>
        <v/>
      </c>
      <c r="D352" s="31" t="str">
        <f t="shared" si="73"/>
        <v/>
      </c>
      <c r="E352" s="32" t="str">
        <f>IF(345=$AD$1+3,"ขอแสดงความนับถือ",IF(345=$AD$1+6,"(                 )",IF(345=$AD$1+7,"เจ้าหน้าที่ขนส่ง",IF($AB352="G",SUM($AF$8:$AF$407),IF(OR($AB352="",$AB352="R"),"",IF($AB352="D",INDEX($AF$8:$AF$407,$AA352),SUMIF($T$8:$T$407,INDEX($T$8:$T$407,$AA352),$AF$8:$AF$407)))))))</f>
        <v/>
      </c>
      <c r="F352" s="32" t="str">
        <f t="shared" si="74"/>
        <v/>
      </c>
      <c r="G352" s="32" t="str">
        <f t="shared" si="75"/>
        <v/>
      </c>
      <c r="H352" s="32" t="str">
        <f t="shared" si="76"/>
        <v/>
      </c>
      <c r="J352" t="str">
        <f>IFERROR(MATCH(345,บันทึกรายเที่ยว!$W$6:$W$10005,0),"")</f>
        <v/>
      </c>
      <c r="K352" t="str">
        <f>IF($J352="","",INDEX(บันทึกรายเที่ยว!$T$6:$T$10005,$J352))</f>
        <v/>
      </c>
      <c r="L352" t="str">
        <f>IF($J352="","",INDEX(บันทึกรายเที่ยว!$S$6:$S$10005,$J352))</f>
        <v/>
      </c>
      <c r="M352" t="str">
        <f>IF($J352="","",INDEX(บันทึกรายเที่ยว!$R$6:$R$10005,$J352))</f>
        <v/>
      </c>
      <c r="N352" t="str">
        <f>IF($J352="","",MATCH($M352,บันทึกรายเที่ยว!$R$6:$R$10005,0))</f>
        <v/>
      </c>
      <c r="O352" t="str">
        <f>IF($J352="","",MATCH($L352,บันทึกรายเที่ยว!$S$6:$S$10005,0))</f>
        <v/>
      </c>
      <c r="P352" t="str">
        <f>IF($J352="","",IF(AND(OR($I$3="(ทั้งหมด)",INDEX(บันทึกรายเที่ยว!$C$6:$C$10005,$J352)=$I$3),OR($I$5="(ทั้งหมด)",INDEX(บันทึกรายเที่ยว!$D$6:$D$10005,$J352)=$I$5),OR($I$7="(ทั้งหมด)",INDEX(บันทึกรายเที่ยว!$F$6:$F$10005,$J352)=$I$7)),$N352*10000000+$O352*1000+345,""))</f>
        <v/>
      </c>
      <c r="Q352" t="str">
        <f>IFERROR(MATCH(SMALL($P$8:$P$407,345),$P$8:$P$407,0),"")</f>
        <v/>
      </c>
      <c r="R352" t="str">
        <f t="shared" si="77"/>
        <v/>
      </c>
      <c r="S352" t="str">
        <f t="shared" si="78"/>
        <v/>
      </c>
      <c r="T352" t="str">
        <f t="shared" si="79"/>
        <v/>
      </c>
      <c r="U352" t="str">
        <f t="shared" si="80"/>
        <v/>
      </c>
      <c r="V352">
        <f t="shared" si="82"/>
        <v>0</v>
      </c>
      <c r="W352">
        <f t="shared" si="83"/>
        <v>0</v>
      </c>
      <c r="X352">
        <f>IF($Q352="",99999+345,$X351+1+$V351+$W351)</f>
        <v>100344</v>
      </c>
      <c r="Y352" t="str">
        <f>IF($Q352="","",INDEX(บันทึกรายเที่ยว!$Q$6:$Q$10005,$R352))</f>
        <v/>
      </c>
      <c r="Z352" t="str">
        <f>IF($Q352="","",INDEX(บันทึกรายเที่ยว!$F$6:$F$10005,$R352))</f>
        <v/>
      </c>
      <c r="AA352" t="str">
        <f>IFERROR(MATCH(345,$X$8:$X$407,1),"")</f>
        <v/>
      </c>
      <c r="AB352" t="str">
        <f>IF(345=$AD$1+1,"G",IF($AA352="","",IF(INDEX($Q$8:$Q$407,$AA352)="","",IF(345&gt;INDEX($X$8:$X$407,$AA352)+INDEX($V$8:$V$407,$AA352)+INDEX($W$8:$W$407,$AA352),"",IF(345=INDEX($X$8:$X$407,$AA352)+INDEX($V$8:$V$407,$AA352)+INDEX($W$8:$W$407,$AA352),"D",IF(AND(INDEX($W$8:$W$407,$AA352)=1,345=INDEX($X$8:$X$407,$AA352)+INDEX($V$8:$V$407,$AA352)),"S","R"))))))</f>
        <v/>
      </c>
      <c r="AC352" t="str">
        <f t="shared" si="81"/>
        <v/>
      </c>
      <c r="AE352">
        <f>IF($U352="",0,COUNTIF(บันทึกรายเที่ยว!$T$6:$T$10005,$U352))</f>
        <v>0</v>
      </c>
      <c r="AF352">
        <f>IF($U352="",0,ROUND(SUMIF(บันทึกรายเที่ยว!$T$6:$T$10005,$U352,บันทึกรายเที่ยว!$J$6:$J$10005),2))</f>
        <v>0</v>
      </c>
      <c r="AG352">
        <f>IF($U352="",0,ROUND(SUMIF(บันทึกรายเที่ยว!$T$6:$T$10005,$U352,บันทึกรายเที่ยว!$K$6:$K$10005),2))</f>
        <v>0</v>
      </c>
      <c r="AH352">
        <f>IF($U352="",0,ROUND(SUMIF(บันทึกรายเที่ยว!$T$6:$T$10005,$U352,บันทึกรายเที่ยว!$M$6:$M$10005),2))</f>
        <v>0</v>
      </c>
    </row>
    <row r="353" spans="1:34" ht="21" customHeight="1" x14ac:dyDescent="0.95">
      <c r="A353" s="3" t="str">
        <f t="shared" si="70"/>
        <v/>
      </c>
      <c r="B353" s="3" t="str">
        <f t="shared" si="71"/>
        <v/>
      </c>
      <c r="C353" s="8" t="str">
        <f t="shared" si="72"/>
        <v/>
      </c>
      <c r="D353" s="31" t="str">
        <f t="shared" si="73"/>
        <v/>
      </c>
      <c r="E353" s="32" t="str">
        <f>IF(346=$AD$1+3,"ขอแสดงความนับถือ",IF(346=$AD$1+6,"(                 )",IF(346=$AD$1+7,"เจ้าหน้าที่ขนส่ง",IF($AB353="G",SUM($AF$8:$AF$407),IF(OR($AB353="",$AB353="R"),"",IF($AB353="D",INDEX($AF$8:$AF$407,$AA353),SUMIF($T$8:$T$407,INDEX($T$8:$T$407,$AA353),$AF$8:$AF$407)))))))</f>
        <v/>
      </c>
      <c r="F353" s="32" t="str">
        <f t="shared" si="74"/>
        <v/>
      </c>
      <c r="G353" s="32" t="str">
        <f t="shared" si="75"/>
        <v/>
      </c>
      <c r="H353" s="32" t="str">
        <f t="shared" si="76"/>
        <v/>
      </c>
      <c r="J353" t="str">
        <f>IFERROR(MATCH(346,บันทึกรายเที่ยว!$W$6:$W$10005,0),"")</f>
        <v/>
      </c>
      <c r="K353" t="str">
        <f>IF($J353="","",INDEX(บันทึกรายเที่ยว!$T$6:$T$10005,$J353))</f>
        <v/>
      </c>
      <c r="L353" t="str">
        <f>IF($J353="","",INDEX(บันทึกรายเที่ยว!$S$6:$S$10005,$J353))</f>
        <v/>
      </c>
      <c r="M353" t="str">
        <f>IF($J353="","",INDEX(บันทึกรายเที่ยว!$R$6:$R$10005,$J353))</f>
        <v/>
      </c>
      <c r="N353" t="str">
        <f>IF($J353="","",MATCH($M353,บันทึกรายเที่ยว!$R$6:$R$10005,0))</f>
        <v/>
      </c>
      <c r="O353" t="str">
        <f>IF($J353="","",MATCH($L353,บันทึกรายเที่ยว!$S$6:$S$10005,0))</f>
        <v/>
      </c>
      <c r="P353" t="str">
        <f>IF($J353="","",IF(AND(OR($I$3="(ทั้งหมด)",INDEX(บันทึกรายเที่ยว!$C$6:$C$10005,$J353)=$I$3),OR($I$5="(ทั้งหมด)",INDEX(บันทึกรายเที่ยว!$D$6:$D$10005,$J353)=$I$5),OR($I$7="(ทั้งหมด)",INDEX(บันทึกรายเที่ยว!$F$6:$F$10005,$J353)=$I$7)),$N353*10000000+$O353*1000+346,""))</f>
        <v/>
      </c>
      <c r="Q353" t="str">
        <f>IFERROR(MATCH(SMALL($P$8:$P$407,346),$P$8:$P$407,0),"")</f>
        <v/>
      </c>
      <c r="R353" t="str">
        <f t="shared" si="77"/>
        <v/>
      </c>
      <c r="S353" t="str">
        <f t="shared" si="78"/>
        <v/>
      </c>
      <c r="T353" t="str">
        <f t="shared" si="79"/>
        <v/>
      </c>
      <c r="U353" t="str">
        <f t="shared" si="80"/>
        <v/>
      </c>
      <c r="V353">
        <f t="shared" si="82"/>
        <v>0</v>
      </c>
      <c r="W353">
        <f t="shared" si="83"/>
        <v>0</v>
      </c>
      <c r="X353">
        <f>IF($Q353="",99999+346,$X352+1+$V352+$W352)</f>
        <v>100345</v>
      </c>
      <c r="Y353" t="str">
        <f>IF($Q353="","",INDEX(บันทึกรายเที่ยว!$Q$6:$Q$10005,$R353))</f>
        <v/>
      </c>
      <c r="Z353" t="str">
        <f>IF($Q353="","",INDEX(บันทึกรายเที่ยว!$F$6:$F$10005,$R353))</f>
        <v/>
      </c>
      <c r="AA353" t="str">
        <f>IFERROR(MATCH(346,$X$8:$X$407,1),"")</f>
        <v/>
      </c>
      <c r="AB353" t="str">
        <f>IF(346=$AD$1+1,"G",IF($AA353="","",IF(INDEX($Q$8:$Q$407,$AA353)="","",IF(346&gt;INDEX($X$8:$X$407,$AA353)+INDEX($V$8:$V$407,$AA353)+INDEX($W$8:$W$407,$AA353),"",IF(346=INDEX($X$8:$X$407,$AA353)+INDEX($V$8:$V$407,$AA353)+INDEX($W$8:$W$407,$AA353),"D",IF(AND(INDEX($W$8:$W$407,$AA353)=1,346=INDEX($X$8:$X$407,$AA353)+INDEX($V$8:$V$407,$AA353)),"S","R"))))))</f>
        <v/>
      </c>
      <c r="AC353" t="str">
        <f t="shared" si="81"/>
        <v/>
      </c>
      <c r="AE353">
        <f>IF($U353="",0,COUNTIF(บันทึกรายเที่ยว!$T$6:$T$10005,$U353))</f>
        <v>0</v>
      </c>
      <c r="AF353">
        <f>IF($U353="",0,ROUND(SUMIF(บันทึกรายเที่ยว!$T$6:$T$10005,$U353,บันทึกรายเที่ยว!$J$6:$J$10005),2))</f>
        <v>0</v>
      </c>
      <c r="AG353">
        <f>IF($U353="",0,ROUND(SUMIF(บันทึกรายเที่ยว!$T$6:$T$10005,$U353,บันทึกรายเที่ยว!$K$6:$K$10005),2))</f>
        <v>0</v>
      </c>
      <c r="AH353">
        <f>IF($U353="",0,ROUND(SUMIF(บันทึกรายเที่ยว!$T$6:$T$10005,$U353,บันทึกรายเที่ยว!$M$6:$M$10005),2))</f>
        <v>0</v>
      </c>
    </row>
    <row r="354" spans="1:34" ht="21" customHeight="1" x14ac:dyDescent="0.95">
      <c r="A354" s="3" t="str">
        <f t="shared" si="70"/>
        <v/>
      </c>
      <c r="B354" s="3" t="str">
        <f t="shared" si="71"/>
        <v/>
      </c>
      <c r="C354" s="8" t="str">
        <f t="shared" si="72"/>
        <v/>
      </c>
      <c r="D354" s="31" t="str">
        <f t="shared" si="73"/>
        <v/>
      </c>
      <c r="E354" s="32" t="str">
        <f>IF(347=$AD$1+3,"ขอแสดงความนับถือ",IF(347=$AD$1+6,"(                 )",IF(347=$AD$1+7,"เจ้าหน้าที่ขนส่ง",IF($AB354="G",SUM($AF$8:$AF$407),IF(OR($AB354="",$AB354="R"),"",IF($AB354="D",INDEX($AF$8:$AF$407,$AA354),SUMIF($T$8:$T$407,INDEX($T$8:$T$407,$AA354),$AF$8:$AF$407)))))))</f>
        <v/>
      </c>
      <c r="F354" s="32" t="str">
        <f t="shared" si="74"/>
        <v/>
      </c>
      <c r="G354" s="32" t="str">
        <f t="shared" si="75"/>
        <v/>
      </c>
      <c r="H354" s="32" t="str">
        <f t="shared" si="76"/>
        <v/>
      </c>
      <c r="J354" t="str">
        <f>IFERROR(MATCH(347,บันทึกรายเที่ยว!$W$6:$W$10005,0),"")</f>
        <v/>
      </c>
      <c r="K354" t="str">
        <f>IF($J354="","",INDEX(บันทึกรายเที่ยว!$T$6:$T$10005,$J354))</f>
        <v/>
      </c>
      <c r="L354" t="str">
        <f>IF($J354="","",INDEX(บันทึกรายเที่ยว!$S$6:$S$10005,$J354))</f>
        <v/>
      </c>
      <c r="M354" t="str">
        <f>IF($J354="","",INDEX(บันทึกรายเที่ยว!$R$6:$R$10005,$J354))</f>
        <v/>
      </c>
      <c r="N354" t="str">
        <f>IF($J354="","",MATCH($M354,บันทึกรายเที่ยว!$R$6:$R$10005,0))</f>
        <v/>
      </c>
      <c r="O354" t="str">
        <f>IF($J354="","",MATCH($L354,บันทึกรายเที่ยว!$S$6:$S$10005,0))</f>
        <v/>
      </c>
      <c r="P354" t="str">
        <f>IF($J354="","",IF(AND(OR($I$3="(ทั้งหมด)",INDEX(บันทึกรายเที่ยว!$C$6:$C$10005,$J354)=$I$3),OR($I$5="(ทั้งหมด)",INDEX(บันทึกรายเที่ยว!$D$6:$D$10005,$J354)=$I$5),OR($I$7="(ทั้งหมด)",INDEX(บันทึกรายเที่ยว!$F$6:$F$10005,$J354)=$I$7)),$N354*10000000+$O354*1000+347,""))</f>
        <v/>
      </c>
      <c r="Q354" t="str">
        <f>IFERROR(MATCH(SMALL($P$8:$P$407,347),$P$8:$P$407,0),"")</f>
        <v/>
      </c>
      <c r="R354" t="str">
        <f t="shared" si="77"/>
        <v/>
      </c>
      <c r="S354" t="str">
        <f t="shared" si="78"/>
        <v/>
      </c>
      <c r="T354" t="str">
        <f t="shared" si="79"/>
        <v/>
      </c>
      <c r="U354" t="str">
        <f t="shared" si="80"/>
        <v/>
      </c>
      <c r="V354">
        <f t="shared" si="82"/>
        <v>0</v>
      </c>
      <c r="W354">
        <f t="shared" si="83"/>
        <v>0</v>
      </c>
      <c r="X354">
        <f>IF($Q354="",99999+347,$X353+1+$V353+$W353)</f>
        <v>100346</v>
      </c>
      <c r="Y354" t="str">
        <f>IF($Q354="","",INDEX(บันทึกรายเที่ยว!$Q$6:$Q$10005,$R354))</f>
        <v/>
      </c>
      <c r="Z354" t="str">
        <f>IF($Q354="","",INDEX(บันทึกรายเที่ยว!$F$6:$F$10005,$R354))</f>
        <v/>
      </c>
      <c r="AA354" t="str">
        <f>IFERROR(MATCH(347,$X$8:$X$407,1),"")</f>
        <v/>
      </c>
      <c r="AB354" t="str">
        <f>IF(347=$AD$1+1,"G",IF($AA354="","",IF(INDEX($Q$8:$Q$407,$AA354)="","",IF(347&gt;INDEX($X$8:$X$407,$AA354)+INDEX($V$8:$V$407,$AA354)+INDEX($W$8:$W$407,$AA354),"",IF(347=INDEX($X$8:$X$407,$AA354)+INDEX($V$8:$V$407,$AA354)+INDEX($W$8:$W$407,$AA354),"D",IF(AND(INDEX($W$8:$W$407,$AA354)=1,347=INDEX($X$8:$X$407,$AA354)+INDEX($V$8:$V$407,$AA354)),"S","R"))))))</f>
        <v/>
      </c>
      <c r="AC354" t="str">
        <f t="shared" si="81"/>
        <v/>
      </c>
      <c r="AE354">
        <f>IF($U354="",0,COUNTIF(บันทึกรายเที่ยว!$T$6:$T$10005,$U354))</f>
        <v>0</v>
      </c>
      <c r="AF354">
        <f>IF($U354="",0,ROUND(SUMIF(บันทึกรายเที่ยว!$T$6:$T$10005,$U354,บันทึกรายเที่ยว!$J$6:$J$10005),2))</f>
        <v>0</v>
      </c>
      <c r="AG354">
        <f>IF($U354="",0,ROUND(SUMIF(บันทึกรายเที่ยว!$T$6:$T$10005,$U354,บันทึกรายเที่ยว!$K$6:$K$10005),2))</f>
        <v>0</v>
      </c>
      <c r="AH354">
        <f>IF($U354="",0,ROUND(SUMIF(บันทึกรายเที่ยว!$T$6:$T$10005,$U354,บันทึกรายเที่ยว!$M$6:$M$10005),2))</f>
        <v>0</v>
      </c>
    </row>
    <row r="355" spans="1:34" ht="21" customHeight="1" x14ac:dyDescent="0.95">
      <c r="A355" s="3" t="str">
        <f t="shared" si="70"/>
        <v/>
      </c>
      <c r="B355" s="3" t="str">
        <f t="shared" si="71"/>
        <v/>
      </c>
      <c r="C355" s="8" t="str">
        <f t="shared" si="72"/>
        <v/>
      </c>
      <c r="D355" s="31" t="str">
        <f t="shared" si="73"/>
        <v/>
      </c>
      <c r="E355" s="32" t="str">
        <f>IF(348=$AD$1+3,"ขอแสดงความนับถือ",IF(348=$AD$1+6,"(                 )",IF(348=$AD$1+7,"เจ้าหน้าที่ขนส่ง",IF($AB355="G",SUM($AF$8:$AF$407),IF(OR($AB355="",$AB355="R"),"",IF($AB355="D",INDEX($AF$8:$AF$407,$AA355),SUMIF($T$8:$T$407,INDEX($T$8:$T$407,$AA355),$AF$8:$AF$407)))))))</f>
        <v/>
      </c>
      <c r="F355" s="32" t="str">
        <f t="shared" si="74"/>
        <v/>
      </c>
      <c r="G355" s="32" t="str">
        <f t="shared" si="75"/>
        <v/>
      </c>
      <c r="H355" s="32" t="str">
        <f t="shared" si="76"/>
        <v/>
      </c>
      <c r="J355" t="str">
        <f>IFERROR(MATCH(348,บันทึกรายเที่ยว!$W$6:$W$10005,0),"")</f>
        <v/>
      </c>
      <c r="K355" t="str">
        <f>IF($J355="","",INDEX(บันทึกรายเที่ยว!$T$6:$T$10005,$J355))</f>
        <v/>
      </c>
      <c r="L355" t="str">
        <f>IF($J355="","",INDEX(บันทึกรายเที่ยว!$S$6:$S$10005,$J355))</f>
        <v/>
      </c>
      <c r="M355" t="str">
        <f>IF($J355="","",INDEX(บันทึกรายเที่ยว!$R$6:$R$10005,$J355))</f>
        <v/>
      </c>
      <c r="N355" t="str">
        <f>IF($J355="","",MATCH($M355,บันทึกรายเที่ยว!$R$6:$R$10005,0))</f>
        <v/>
      </c>
      <c r="O355" t="str">
        <f>IF($J355="","",MATCH($L355,บันทึกรายเที่ยว!$S$6:$S$10005,0))</f>
        <v/>
      </c>
      <c r="P355" t="str">
        <f>IF($J355="","",IF(AND(OR($I$3="(ทั้งหมด)",INDEX(บันทึกรายเที่ยว!$C$6:$C$10005,$J355)=$I$3),OR($I$5="(ทั้งหมด)",INDEX(บันทึกรายเที่ยว!$D$6:$D$10005,$J355)=$I$5),OR($I$7="(ทั้งหมด)",INDEX(บันทึกรายเที่ยว!$F$6:$F$10005,$J355)=$I$7)),$N355*10000000+$O355*1000+348,""))</f>
        <v/>
      </c>
      <c r="Q355" t="str">
        <f>IFERROR(MATCH(SMALL($P$8:$P$407,348),$P$8:$P$407,0),"")</f>
        <v/>
      </c>
      <c r="R355" t="str">
        <f t="shared" si="77"/>
        <v/>
      </c>
      <c r="S355" t="str">
        <f t="shared" si="78"/>
        <v/>
      </c>
      <c r="T355" t="str">
        <f t="shared" si="79"/>
        <v/>
      </c>
      <c r="U355" t="str">
        <f t="shared" si="80"/>
        <v/>
      </c>
      <c r="V355">
        <f t="shared" si="82"/>
        <v>0</v>
      </c>
      <c r="W355">
        <f t="shared" si="83"/>
        <v>0</v>
      </c>
      <c r="X355">
        <f>IF($Q355="",99999+348,$X354+1+$V354+$W354)</f>
        <v>100347</v>
      </c>
      <c r="Y355" t="str">
        <f>IF($Q355="","",INDEX(บันทึกรายเที่ยว!$Q$6:$Q$10005,$R355))</f>
        <v/>
      </c>
      <c r="Z355" t="str">
        <f>IF($Q355="","",INDEX(บันทึกรายเที่ยว!$F$6:$F$10005,$R355))</f>
        <v/>
      </c>
      <c r="AA355" t="str">
        <f>IFERROR(MATCH(348,$X$8:$X$407,1),"")</f>
        <v/>
      </c>
      <c r="AB355" t="str">
        <f>IF(348=$AD$1+1,"G",IF($AA355="","",IF(INDEX($Q$8:$Q$407,$AA355)="","",IF(348&gt;INDEX($X$8:$X$407,$AA355)+INDEX($V$8:$V$407,$AA355)+INDEX($W$8:$W$407,$AA355),"",IF(348=INDEX($X$8:$X$407,$AA355)+INDEX($V$8:$V$407,$AA355)+INDEX($W$8:$W$407,$AA355),"D",IF(AND(INDEX($W$8:$W$407,$AA355)=1,348=INDEX($X$8:$X$407,$AA355)+INDEX($V$8:$V$407,$AA355)),"S","R"))))))</f>
        <v/>
      </c>
      <c r="AC355" t="str">
        <f t="shared" si="81"/>
        <v/>
      </c>
      <c r="AE355">
        <f>IF($U355="",0,COUNTIF(บันทึกรายเที่ยว!$T$6:$T$10005,$U355))</f>
        <v>0</v>
      </c>
      <c r="AF355">
        <f>IF($U355="",0,ROUND(SUMIF(บันทึกรายเที่ยว!$T$6:$T$10005,$U355,บันทึกรายเที่ยว!$J$6:$J$10005),2))</f>
        <v>0</v>
      </c>
      <c r="AG355">
        <f>IF($U355="",0,ROUND(SUMIF(บันทึกรายเที่ยว!$T$6:$T$10005,$U355,บันทึกรายเที่ยว!$K$6:$K$10005),2))</f>
        <v>0</v>
      </c>
      <c r="AH355">
        <f>IF($U355="",0,ROUND(SUMIF(บันทึกรายเที่ยว!$T$6:$T$10005,$U355,บันทึกรายเที่ยว!$M$6:$M$10005),2))</f>
        <v>0</v>
      </c>
    </row>
    <row r="356" spans="1:34" ht="21" customHeight="1" x14ac:dyDescent="0.95">
      <c r="A356" s="3" t="str">
        <f t="shared" si="70"/>
        <v/>
      </c>
      <c r="B356" s="3" t="str">
        <f t="shared" si="71"/>
        <v/>
      </c>
      <c r="C356" s="8" t="str">
        <f t="shared" si="72"/>
        <v/>
      </c>
      <c r="D356" s="31" t="str">
        <f t="shared" si="73"/>
        <v/>
      </c>
      <c r="E356" s="32" t="str">
        <f>IF(349=$AD$1+3,"ขอแสดงความนับถือ",IF(349=$AD$1+6,"(                 )",IF(349=$AD$1+7,"เจ้าหน้าที่ขนส่ง",IF($AB356="G",SUM($AF$8:$AF$407),IF(OR($AB356="",$AB356="R"),"",IF($AB356="D",INDEX($AF$8:$AF$407,$AA356),SUMIF($T$8:$T$407,INDEX($T$8:$T$407,$AA356),$AF$8:$AF$407)))))))</f>
        <v/>
      </c>
      <c r="F356" s="32" t="str">
        <f t="shared" si="74"/>
        <v/>
      </c>
      <c r="G356" s="32" t="str">
        <f t="shared" si="75"/>
        <v/>
      </c>
      <c r="H356" s="32" t="str">
        <f t="shared" si="76"/>
        <v/>
      </c>
      <c r="J356" t="str">
        <f>IFERROR(MATCH(349,บันทึกรายเที่ยว!$W$6:$W$10005,0),"")</f>
        <v/>
      </c>
      <c r="K356" t="str">
        <f>IF($J356="","",INDEX(บันทึกรายเที่ยว!$T$6:$T$10005,$J356))</f>
        <v/>
      </c>
      <c r="L356" t="str">
        <f>IF($J356="","",INDEX(บันทึกรายเที่ยว!$S$6:$S$10005,$J356))</f>
        <v/>
      </c>
      <c r="M356" t="str">
        <f>IF($J356="","",INDEX(บันทึกรายเที่ยว!$R$6:$R$10005,$J356))</f>
        <v/>
      </c>
      <c r="N356" t="str">
        <f>IF($J356="","",MATCH($M356,บันทึกรายเที่ยว!$R$6:$R$10005,0))</f>
        <v/>
      </c>
      <c r="O356" t="str">
        <f>IF($J356="","",MATCH($L356,บันทึกรายเที่ยว!$S$6:$S$10005,0))</f>
        <v/>
      </c>
      <c r="P356" t="str">
        <f>IF($J356="","",IF(AND(OR($I$3="(ทั้งหมด)",INDEX(บันทึกรายเที่ยว!$C$6:$C$10005,$J356)=$I$3),OR($I$5="(ทั้งหมด)",INDEX(บันทึกรายเที่ยว!$D$6:$D$10005,$J356)=$I$5),OR($I$7="(ทั้งหมด)",INDEX(บันทึกรายเที่ยว!$F$6:$F$10005,$J356)=$I$7)),$N356*10000000+$O356*1000+349,""))</f>
        <v/>
      </c>
      <c r="Q356" t="str">
        <f>IFERROR(MATCH(SMALL($P$8:$P$407,349),$P$8:$P$407,0),"")</f>
        <v/>
      </c>
      <c r="R356" t="str">
        <f t="shared" si="77"/>
        <v/>
      </c>
      <c r="S356" t="str">
        <f t="shared" si="78"/>
        <v/>
      </c>
      <c r="T356" t="str">
        <f t="shared" si="79"/>
        <v/>
      </c>
      <c r="U356" t="str">
        <f t="shared" si="80"/>
        <v/>
      </c>
      <c r="V356">
        <f t="shared" si="82"/>
        <v>0</v>
      </c>
      <c r="W356">
        <f t="shared" si="83"/>
        <v>0</v>
      </c>
      <c r="X356">
        <f>IF($Q356="",99999+349,$X355+1+$V355+$W355)</f>
        <v>100348</v>
      </c>
      <c r="Y356" t="str">
        <f>IF($Q356="","",INDEX(บันทึกรายเที่ยว!$Q$6:$Q$10005,$R356))</f>
        <v/>
      </c>
      <c r="Z356" t="str">
        <f>IF($Q356="","",INDEX(บันทึกรายเที่ยว!$F$6:$F$10005,$R356))</f>
        <v/>
      </c>
      <c r="AA356" t="str">
        <f>IFERROR(MATCH(349,$X$8:$X$407,1),"")</f>
        <v/>
      </c>
      <c r="AB356" t="str">
        <f>IF(349=$AD$1+1,"G",IF($AA356="","",IF(INDEX($Q$8:$Q$407,$AA356)="","",IF(349&gt;INDEX($X$8:$X$407,$AA356)+INDEX($V$8:$V$407,$AA356)+INDEX($W$8:$W$407,$AA356),"",IF(349=INDEX($X$8:$X$407,$AA356)+INDEX($V$8:$V$407,$AA356)+INDEX($W$8:$W$407,$AA356),"D",IF(AND(INDEX($W$8:$W$407,$AA356)=1,349=INDEX($X$8:$X$407,$AA356)+INDEX($V$8:$V$407,$AA356)),"S","R"))))))</f>
        <v/>
      </c>
      <c r="AC356" t="str">
        <f t="shared" si="81"/>
        <v/>
      </c>
      <c r="AE356">
        <f>IF($U356="",0,COUNTIF(บันทึกรายเที่ยว!$T$6:$T$10005,$U356))</f>
        <v>0</v>
      </c>
      <c r="AF356">
        <f>IF($U356="",0,ROUND(SUMIF(บันทึกรายเที่ยว!$T$6:$T$10005,$U356,บันทึกรายเที่ยว!$J$6:$J$10005),2))</f>
        <v>0</v>
      </c>
      <c r="AG356">
        <f>IF($U356="",0,ROUND(SUMIF(บันทึกรายเที่ยว!$T$6:$T$10005,$U356,บันทึกรายเที่ยว!$K$6:$K$10005),2))</f>
        <v>0</v>
      </c>
      <c r="AH356">
        <f>IF($U356="",0,ROUND(SUMIF(บันทึกรายเที่ยว!$T$6:$T$10005,$U356,บันทึกรายเที่ยว!$M$6:$M$10005),2))</f>
        <v>0</v>
      </c>
    </row>
    <row r="357" spans="1:34" ht="21" customHeight="1" x14ac:dyDescent="0.95">
      <c r="A357" s="3" t="str">
        <f t="shared" si="70"/>
        <v/>
      </c>
      <c r="B357" s="3" t="str">
        <f t="shared" si="71"/>
        <v/>
      </c>
      <c r="C357" s="8" t="str">
        <f t="shared" si="72"/>
        <v/>
      </c>
      <c r="D357" s="31" t="str">
        <f t="shared" si="73"/>
        <v/>
      </c>
      <c r="E357" s="32" t="str">
        <f>IF(350=$AD$1+3,"ขอแสดงความนับถือ",IF(350=$AD$1+6,"(                 )",IF(350=$AD$1+7,"เจ้าหน้าที่ขนส่ง",IF($AB357="G",SUM($AF$8:$AF$407),IF(OR($AB357="",$AB357="R"),"",IF($AB357="D",INDEX($AF$8:$AF$407,$AA357),SUMIF($T$8:$T$407,INDEX($T$8:$T$407,$AA357),$AF$8:$AF$407)))))))</f>
        <v/>
      </c>
      <c r="F357" s="32" t="str">
        <f t="shared" si="74"/>
        <v/>
      </c>
      <c r="G357" s="32" t="str">
        <f t="shared" si="75"/>
        <v/>
      </c>
      <c r="H357" s="32" t="str">
        <f t="shared" si="76"/>
        <v/>
      </c>
      <c r="J357" t="str">
        <f>IFERROR(MATCH(350,บันทึกรายเที่ยว!$W$6:$W$10005,0),"")</f>
        <v/>
      </c>
      <c r="K357" t="str">
        <f>IF($J357="","",INDEX(บันทึกรายเที่ยว!$T$6:$T$10005,$J357))</f>
        <v/>
      </c>
      <c r="L357" t="str">
        <f>IF($J357="","",INDEX(บันทึกรายเที่ยว!$S$6:$S$10005,$J357))</f>
        <v/>
      </c>
      <c r="M357" t="str">
        <f>IF($J357="","",INDEX(บันทึกรายเที่ยว!$R$6:$R$10005,$J357))</f>
        <v/>
      </c>
      <c r="N357" t="str">
        <f>IF($J357="","",MATCH($M357,บันทึกรายเที่ยว!$R$6:$R$10005,0))</f>
        <v/>
      </c>
      <c r="O357" t="str">
        <f>IF($J357="","",MATCH($L357,บันทึกรายเที่ยว!$S$6:$S$10005,0))</f>
        <v/>
      </c>
      <c r="P357" t="str">
        <f>IF($J357="","",IF(AND(OR($I$3="(ทั้งหมด)",INDEX(บันทึกรายเที่ยว!$C$6:$C$10005,$J357)=$I$3),OR($I$5="(ทั้งหมด)",INDEX(บันทึกรายเที่ยว!$D$6:$D$10005,$J357)=$I$5),OR($I$7="(ทั้งหมด)",INDEX(บันทึกรายเที่ยว!$F$6:$F$10005,$J357)=$I$7)),$N357*10000000+$O357*1000+350,""))</f>
        <v/>
      </c>
      <c r="Q357" t="str">
        <f>IFERROR(MATCH(SMALL($P$8:$P$407,350),$P$8:$P$407,0),"")</f>
        <v/>
      </c>
      <c r="R357" t="str">
        <f t="shared" si="77"/>
        <v/>
      </c>
      <c r="S357" t="str">
        <f t="shared" si="78"/>
        <v/>
      </c>
      <c r="T357" t="str">
        <f t="shared" si="79"/>
        <v/>
      </c>
      <c r="U357" t="str">
        <f t="shared" si="80"/>
        <v/>
      </c>
      <c r="V357">
        <f t="shared" si="82"/>
        <v>0</v>
      </c>
      <c r="W357">
        <f t="shared" si="83"/>
        <v>0</v>
      </c>
      <c r="X357">
        <f>IF($Q357="",99999+350,$X356+1+$V356+$W356)</f>
        <v>100349</v>
      </c>
      <c r="Y357" t="str">
        <f>IF($Q357="","",INDEX(บันทึกรายเที่ยว!$Q$6:$Q$10005,$R357))</f>
        <v/>
      </c>
      <c r="Z357" t="str">
        <f>IF($Q357="","",INDEX(บันทึกรายเที่ยว!$F$6:$F$10005,$R357))</f>
        <v/>
      </c>
      <c r="AA357" t="str">
        <f>IFERROR(MATCH(350,$X$8:$X$407,1),"")</f>
        <v/>
      </c>
      <c r="AB357" t="str">
        <f>IF(350=$AD$1+1,"G",IF($AA357="","",IF(INDEX($Q$8:$Q$407,$AA357)="","",IF(350&gt;INDEX($X$8:$X$407,$AA357)+INDEX($V$8:$V$407,$AA357)+INDEX($W$8:$W$407,$AA357),"",IF(350=INDEX($X$8:$X$407,$AA357)+INDEX($V$8:$V$407,$AA357)+INDEX($W$8:$W$407,$AA357),"D",IF(AND(INDEX($W$8:$W$407,$AA357)=1,350=INDEX($X$8:$X$407,$AA357)+INDEX($V$8:$V$407,$AA357)),"S","R"))))))</f>
        <v/>
      </c>
      <c r="AC357" t="str">
        <f t="shared" si="81"/>
        <v/>
      </c>
      <c r="AE357">
        <f>IF($U357="",0,COUNTIF(บันทึกรายเที่ยว!$T$6:$T$10005,$U357))</f>
        <v>0</v>
      </c>
      <c r="AF357">
        <f>IF($U357="",0,ROUND(SUMIF(บันทึกรายเที่ยว!$T$6:$T$10005,$U357,บันทึกรายเที่ยว!$J$6:$J$10005),2))</f>
        <v>0</v>
      </c>
      <c r="AG357">
        <f>IF($U357="",0,ROUND(SUMIF(บันทึกรายเที่ยว!$T$6:$T$10005,$U357,บันทึกรายเที่ยว!$K$6:$K$10005),2))</f>
        <v>0</v>
      </c>
      <c r="AH357">
        <f>IF($U357="",0,ROUND(SUMIF(บันทึกรายเที่ยว!$T$6:$T$10005,$U357,บันทึกรายเที่ยว!$M$6:$M$10005),2))</f>
        <v>0</v>
      </c>
    </row>
    <row r="358" spans="1:34" ht="21" customHeight="1" x14ac:dyDescent="0.95">
      <c r="A358" s="3" t="str">
        <f t="shared" si="70"/>
        <v/>
      </c>
      <c r="B358" s="3" t="str">
        <f t="shared" si="71"/>
        <v/>
      </c>
      <c r="C358" s="8" t="str">
        <f t="shared" si="72"/>
        <v/>
      </c>
      <c r="D358" s="31" t="str">
        <f t="shared" si="73"/>
        <v/>
      </c>
      <c r="E358" s="32" t="str">
        <f>IF(351=$AD$1+3,"ขอแสดงความนับถือ",IF(351=$AD$1+6,"(                 )",IF(351=$AD$1+7,"เจ้าหน้าที่ขนส่ง",IF($AB358="G",SUM($AF$8:$AF$407),IF(OR($AB358="",$AB358="R"),"",IF($AB358="D",INDEX($AF$8:$AF$407,$AA358),SUMIF($T$8:$T$407,INDEX($T$8:$T$407,$AA358),$AF$8:$AF$407)))))))</f>
        <v/>
      </c>
      <c r="F358" s="32" t="str">
        <f t="shared" si="74"/>
        <v/>
      </c>
      <c r="G358" s="32" t="str">
        <f t="shared" si="75"/>
        <v/>
      </c>
      <c r="H358" s="32" t="str">
        <f t="shared" si="76"/>
        <v/>
      </c>
      <c r="J358" t="str">
        <f>IFERROR(MATCH(351,บันทึกรายเที่ยว!$W$6:$W$10005,0),"")</f>
        <v/>
      </c>
      <c r="K358" t="str">
        <f>IF($J358="","",INDEX(บันทึกรายเที่ยว!$T$6:$T$10005,$J358))</f>
        <v/>
      </c>
      <c r="L358" t="str">
        <f>IF($J358="","",INDEX(บันทึกรายเที่ยว!$S$6:$S$10005,$J358))</f>
        <v/>
      </c>
      <c r="M358" t="str">
        <f>IF($J358="","",INDEX(บันทึกรายเที่ยว!$R$6:$R$10005,$J358))</f>
        <v/>
      </c>
      <c r="N358" t="str">
        <f>IF($J358="","",MATCH($M358,บันทึกรายเที่ยว!$R$6:$R$10005,0))</f>
        <v/>
      </c>
      <c r="O358" t="str">
        <f>IF($J358="","",MATCH($L358,บันทึกรายเที่ยว!$S$6:$S$10005,0))</f>
        <v/>
      </c>
      <c r="P358" t="str">
        <f>IF($J358="","",IF(AND(OR($I$3="(ทั้งหมด)",INDEX(บันทึกรายเที่ยว!$C$6:$C$10005,$J358)=$I$3),OR($I$5="(ทั้งหมด)",INDEX(บันทึกรายเที่ยว!$D$6:$D$10005,$J358)=$I$5),OR($I$7="(ทั้งหมด)",INDEX(บันทึกรายเที่ยว!$F$6:$F$10005,$J358)=$I$7)),$N358*10000000+$O358*1000+351,""))</f>
        <v/>
      </c>
      <c r="Q358" t="str">
        <f>IFERROR(MATCH(SMALL($P$8:$P$407,351),$P$8:$P$407,0),"")</f>
        <v/>
      </c>
      <c r="R358" t="str">
        <f t="shared" si="77"/>
        <v/>
      </c>
      <c r="S358" t="str">
        <f t="shared" si="78"/>
        <v/>
      </c>
      <c r="T358" t="str">
        <f t="shared" si="79"/>
        <v/>
      </c>
      <c r="U358" t="str">
        <f t="shared" si="80"/>
        <v/>
      </c>
      <c r="V358">
        <f t="shared" si="82"/>
        <v>0</v>
      </c>
      <c r="W358">
        <f t="shared" si="83"/>
        <v>0</v>
      </c>
      <c r="X358">
        <f>IF($Q358="",99999+351,$X357+1+$V357+$W357)</f>
        <v>100350</v>
      </c>
      <c r="Y358" t="str">
        <f>IF($Q358="","",INDEX(บันทึกรายเที่ยว!$Q$6:$Q$10005,$R358))</f>
        <v/>
      </c>
      <c r="Z358" t="str">
        <f>IF($Q358="","",INDEX(บันทึกรายเที่ยว!$F$6:$F$10005,$R358))</f>
        <v/>
      </c>
      <c r="AA358" t="str">
        <f>IFERROR(MATCH(351,$X$8:$X$407,1),"")</f>
        <v/>
      </c>
      <c r="AB358" t="str">
        <f>IF(351=$AD$1+1,"G",IF($AA358="","",IF(INDEX($Q$8:$Q$407,$AA358)="","",IF(351&gt;INDEX($X$8:$X$407,$AA358)+INDEX($V$8:$V$407,$AA358)+INDEX($W$8:$W$407,$AA358),"",IF(351=INDEX($X$8:$X$407,$AA358)+INDEX($V$8:$V$407,$AA358)+INDEX($W$8:$W$407,$AA358),"D",IF(AND(INDEX($W$8:$W$407,$AA358)=1,351=INDEX($X$8:$X$407,$AA358)+INDEX($V$8:$V$407,$AA358)),"S","R"))))))</f>
        <v/>
      </c>
      <c r="AC358" t="str">
        <f t="shared" si="81"/>
        <v/>
      </c>
      <c r="AE358">
        <f>IF($U358="",0,COUNTIF(บันทึกรายเที่ยว!$T$6:$T$10005,$U358))</f>
        <v>0</v>
      </c>
      <c r="AF358">
        <f>IF($U358="",0,ROUND(SUMIF(บันทึกรายเที่ยว!$T$6:$T$10005,$U358,บันทึกรายเที่ยว!$J$6:$J$10005),2))</f>
        <v>0</v>
      </c>
      <c r="AG358">
        <f>IF($U358="",0,ROUND(SUMIF(บันทึกรายเที่ยว!$T$6:$T$10005,$U358,บันทึกรายเที่ยว!$K$6:$K$10005),2))</f>
        <v>0</v>
      </c>
      <c r="AH358">
        <f>IF($U358="",0,ROUND(SUMIF(บันทึกรายเที่ยว!$T$6:$T$10005,$U358,บันทึกรายเที่ยว!$M$6:$M$10005),2))</f>
        <v>0</v>
      </c>
    </row>
    <row r="359" spans="1:34" ht="21" customHeight="1" x14ac:dyDescent="0.95">
      <c r="A359" s="3" t="str">
        <f t="shared" si="70"/>
        <v/>
      </c>
      <c r="B359" s="3" t="str">
        <f t="shared" si="71"/>
        <v/>
      </c>
      <c r="C359" s="8" t="str">
        <f t="shared" si="72"/>
        <v/>
      </c>
      <c r="D359" s="31" t="str">
        <f t="shared" si="73"/>
        <v/>
      </c>
      <c r="E359" s="32" t="str">
        <f>IF(352=$AD$1+3,"ขอแสดงความนับถือ",IF(352=$AD$1+6,"(                 )",IF(352=$AD$1+7,"เจ้าหน้าที่ขนส่ง",IF($AB359="G",SUM($AF$8:$AF$407),IF(OR($AB359="",$AB359="R"),"",IF($AB359="D",INDEX($AF$8:$AF$407,$AA359),SUMIF($T$8:$T$407,INDEX($T$8:$T$407,$AA359),$AF$8:$AF$407)))))))</f>
        <v/>
      </c>
      <c r="F359" s="32" t="str">
        <f t="shared" si="74"/>
        <v/>
      </c>
      <c r="G359" s="32" t="str">
        <f t="shared" si="75"/>
        <v/>
      </c>
      <c r="H359" s="32" t="str">
        <f t="shared" si="76"/>
        <v/>
      </c>
      <c r="J359" t="str">
        <f>IFERROR(MATCH(352,บันทึกรายเที่ยว!$W$6:$W$10005,0),"")</f>
        <v/>
      </c>
      <c r="K359" t="str">
        <f>IF($J359="","",INDEX(บันทึกรายเที่ยว!$T$6:$T$10005,$J359))</f>
        <v/>
      </c>
      <c r="L359" t="str">
        <f>IF($J359="","",INDEX(บันทึกรายเที่ยว!$S$6:$S$10005,$J359))</f>
        <v/>
      </c>
      <c r="M359" t="str">
        <f>IF($J359="","",INDEX(บันทึกรายเที่ยว!$R$6:$R$10005,$J359))</f>
        <v/>
      </c>
      <c r="N359" t="str">
        <f>IF($J359="","",MATCH($M359,บันทึกรายเที่ยว!$R$6:$R$10005,0))</f>
        <v/>
      </c>
      <c r="O359" t="str">
        <f>IF($J359="","",MATCH($L359,บันทึกรายเที่ยว!$S$6:$S$10005,0))</f>
        <v/>
      </c>
      <c r="P359" t="str">
        <f>IF($J359="","",IF(AND(OR($I$3="(ทั้งหมด)",INDEX(บันทึกรายเที่ยว!$C$6:$C$10005,$J359)=$I$3),OR($I$5="(ทั้งหมด)",INDEX(บันทึกรายเที่ยว!$D$6:$D$10005,$J359)=$I$5),OR($I$7="(ทั้งหมด)",INDEX(บันทึกรายเที่ยว!$F$6:$F$10005,$J359)=$I$7)),$N359*10000000+$O359*1000+352,""))</f>
        <v/>
      </c>
      <c r="Q359" t="str">
        <f>IFERROR(MATCH(SMALL($P$8:$P$407,352),$P$8:$P$407,0),"")</f>
        <v/>
      </c>
      <c r="R359" t="str">
        <f t="shared" si="77"/>
        <v/>
      </c>
      <c r="S359" t="str">
        <f t="shared" si="78"/>
        <v/>
      </c>
      <c r="T359" t="str">
        <f t="shared" si="79"/>
        <v/>
      </c>
      <c r="U359" t="str">
        <f t="shared" si="80"/>
        <v/>
      </c>
      <c r="V359">
        <f t="shared" si="82"/>
        <v>0</v>
      </c>
      <c r="W359">
        <f t="shared" si="83"/>
        <v>0</v>
      </c>
      <c r="X359">
        <f>IF($Q359="",99999+352,$X358+1+$V358+$W358)</f>
        <v>100351</v>
      </c>
      <c r="Y359" t="str">
        <f>IF($Q359="","",INDEX(บันทึกรายเที่ยว!$Q$6:$Q$10005,$R359))</f>
        <v/>
      </c>
      <c r="Z359" t="str">
        <f>IF($Q359="","",INDEX(บันทึกรายเที่ยว!$F$6:$F$10005,$R359))</f>
        <v/>
      </c>
      <c r="AA359" t="str">
        <f>IFERROR(MATCH(352,$X$8:$X$407,1),"")</f>
        <v/>
      </c>
      <c r="AB359" t="str">
        <f>IF(352=$AD$1+1,"G",IF($AA359="","",IF(INDEX($Q$8:$Q$407,$AA359)="","",IF(352&gt;INDEX($X$8:$X$407,$AA359)+INDEX($V$8:$V$407,$AA359)+INDEX($W$8:$W$407,$AA359),"",IF(352=INDEX($X$8:$X$407,$AA359)+INDEX($V$8:$V$407,$AA359)+INDEX($W$8:$W$407,$AA359),"D",IF(AND(INDEX($W$8:$W$407,$AA359)=1,352=INDEX($X$8:$X$407,$AA359)+INDEX($V$8:$V$407,$AA359)),"S","R"))))))</f>
        <v/>
      </c>
      <c r="AC359" t="str">
        <f t="shared" si="81"/>
        <v/>
      </c>
      <c r="AE359">
        <f>IF($U359="",0,COUNTIF(บันทึกรายเที่ยว!$T$6:$T$10005,$U359))</f>
        <v>0</v>
      </c>
      <c r="AF359">
        <f>IF($U359="",0,ROUND(SUMIF(บันทึกรายเที่ยว!$T$6:$T$10005,$U359,บันทึกรายเที่ยว!$J$6:$J$10005),2))</f>
        <v>0</v>
      </c>
      <c r="AG359">
        <f>IF($U359="",0,ROUND(SUMIF(บันทึกรายเที่ยว!$T$6:$T$10005,$U359,บันทึกรายเที่ยว!$K$6:$K$10005),2))</f>
        <v>0</v>
      </c>
      <c r="AH359">
        <f>IF($U359="",0,ROUND(SUMIF(บันทึกรายเที่ยว!$T$6:$T$10005,$U359,บันทึกรายเที่ยว!$M$6:$M$10005),2))</f>
        <v>0</v>
      </c>
    </row>
    <row r="360" spans="1:34" ht="21" customHeight="1" x14ac:dyDescent="0.95">
      <c r="A360" s="3" t="str">
        <f t="shared" si="70"/>
        <v/>
      </c>
      <c r="B360" s="3" t="str">
        <f t="shared" si="71"/>
        <v/>
      </c>
      <c r="C360" s="8" t="str">
        <f t="shared" si="72"/>
        <v/>
      </c>
      <c r="D360" s="31" t="str">
        <f t="shared" si="73"/>
        <v/>
      </c>
      <c r="E360" s="32" t="str">
        <f>IF(353=$AD$1+3,"ขอแสดงความนับถือ",IF(353=$AD$1+6,"(                 )",IF(353=$AD$1+7,"เจ้าหน้าที่ขนส่ง",IF($AB360="G",SUM($AF$8:$AF$407),IF(OR($AB360="",$AB360="R"),"",IF($AB360="D",INDEX($AF$8:$AF$407,$AA360),SUMIF($T$8:$T$407,INDEX($T$8:$T$407,$AA360),$AF$8:$AF$407)))))))</f>
        <v/>
      </c>
      <c r="F360" s="32" t="str">
        <f t="shared" si="74"/>
        <v/>
      </c>
      <c r="G360" s="32" t="str">
        <f t="shared" si="75"/>
        <v/>
      </c>
      <c r="H360" s="32" t="str">
        <f t="shared" si="76"/>
        <v/>
      </c>
      <c r="J360" t="str">
        <f>IFERROR(MATCH(353,บันทึกรายเที่ยว!$W$6:$W$10005,0),"")</f>
        <v/>
      </c>
      <c r="K360" t="str">
        <f>IF($J360="","",INDEX(บันทึกรายเที่ยว!$T$6:$T$10005,$J360))</f>
        <v/>
      </c>
      <c r="L360" t="str">
        <f>IF($J360="","",INDEX(บันทึกรายเที่ยว!$S$6:$S$10005,$J360))</f>
        <v/>
      </c>
      <c r="M360" t="str">
        <f>IF($J360="","",INDEX(บันทึกรายเที่ยว!$R$6:$R$10005,$J360))</f>
        <v/>
      </c>
      <c r="N360" t="str">
        <f>IF($J360="","",MATCH($M360,บันทึกรายเที่ยว!$R$6:$R$10005,0))</f>
        <v/>
      </c>
      <c r="O360" t="str">
        <f>IF($J360="","",MATCH($L360,บันทึกรายเที่ยว!$S$6:$S$10005,0))</f>
        <v/>
      </c>
      <c r="P360" t="str">
        <f>IF($J360="","",IF(AND(OR($I$3="(ทั้งหมด)",INDEX(บันทึกรายเที่ยว!$C$6:$C$10005,$J360)=$I$3),OR($I$5="(ทั้งหมด)",INDEX(บันทึกรายเที่ยว!$D$6:$D$10005,$J360)=$I$5),OR($I$7="(ทั้งหมด)",INDEX(บันทึกรายเที่ยว!$F$6:$F$10005,$J360)=$I$7)),$N360*10000000+$O360*1000+353,""))</f>
        <v/>
      </c>
      <c r="Q360" t="str">
        <f>IFERROR(MATCH(SMALL($P$8:$P$407,353),$P$8:$P$407,0),"")</f>
        <v/>
      </c>
      <c r="R360" t="str">
        <f t="shared" si="77"/>
        <v/>
      </c>
      <c r="S360" t="str">
        <f t="shared" si="78"/>
        <v/>
      </c>
      <c r="T360" t="str">
        <f t="shared" si="79"/>
        <v/>
      </c>
      <c r="U360" t="str">
        <f t="shared" si="80"/>
        <v/>
      </c>
      <c r="V360">
        <f t="shared" si="82"/>
        <v>0</v>
      </c>
      <c r="W360">
        <f t="shared" si="83"/>
        <v>0</v>
      </c>
      <c r="X360">
        <f>IF($Q360="",99999+353,$X359+1+$V359+$W359)</f>
        <v>100352</v>
      </c>
      <c r="Y360" t="str">
        <f>IF($Q360="","",INDEX(บันทึกรายเที่ยว!$Q$6:$Q$10005,$R360))</f>
        <v/>
      </c>
      <c r="Z360" t="str">
        <f>IF($Q360="","",INDEX(บันทึกรายเที่ยว!$F$6:$F$10005,$R360))</f>
        <v/>
      </c>
      <c r="AA360" t="str">
        <f>IFERROR(MATCH(353,$X$8:$X$407,1),"")</f>
        <v/>
      </c>
      <c r="AB360" t="str">
        <f>IF(353=$AD$1+1,"G",IF($AA360="","",IF(INDEX($Q$8:$Q$407,$AA360)="","",IF(353&gt;INDEX($X$8:$X$407,$AA360)+INDEX($V$8:$V$407,$AA360)+INDEX($W$8:$W$407,$AA360),"",IF(353=INDEX($X$8:$X$407,$AA360)+INDEX($V$8:$V$407,$AA360)+INDEX($W$8:$W$407,$AA360),"D",IF(AND(INDEX($W$8:$W$407,$AA360)=1,353=INDEX($X$8:$X$407,$AA360)+INDEX($V$8:$V$407,$AA360)),"S","R"))))))</f>
        <v/>
      </c>
      <c r="AC360" t="str">
        <f t="shared" si="81"/>
        <v/>
      </c>
      <c r="AE360">
        <f>IF($U360="",0,COUNTIF(บันทึกรายเที่ยว!$T$6:$T$10005,$U360))</f>
        <v>0</v>
      </c>
      <c r="AF360">
        <f>IF($U360="",0,ROUND(SUMIF(บันทึกรายเที่ยว!$T$6:$T$10005,$U360,บันทึกรายเที่ยว!$J$6:$J$10005),2))</f>
        <v>0</v>
      </c>
      <c r="AG360">
        <f>IF($U360="",0,ROUND(SUMIF(บันทึกรายเที่ยว!$T$6:$T$10005,$U360,บันทึกรายเที่ยว!$K$6:$K$10005),2))</f>
        <v>0</v>
      </c>
      <c r="AH360">
        <f>IF($U360="",0,ROUND(SUMIF(บันทึกรายเที่ยว!$T$6:$T$10005,$U360,บันทึกรายเที่ยว!$M$6:$M$10005),2))</f>
        <v>0</v>
      </c>
    </row>
    <row r="361" spans="1:34" ht="21" customHeight="1" x14ac:dyDescent="0.95">
      <c r="A361" s="3" t="str">
        <f t="shared" si="70"/>
        <v/>
      </c>
      <c r="B361" s="3" t="str">
        <f t="shared" si="71"/>
        <v/>
      </c>
      <c r="C361" s="8" t="str">
        <f t="shared" si="72"/>
        <v/>
      </c>
      <c r="D361" s="31" t="str">
        <f t="shared" si="73"/>
        <v/>
      </c>
      <c r="E361" s="32" t="str">
        <f>IF(354=$AD$1+3,"ขอแสดงความนับถือ",IF(354=$AD$1+6,"(                 )",IF(354=$AD$1+7,"เจ้าหน้าที่ขนส่ง",IF($AB361="G",SUM($AF$8:$AF$407),IF(OR($AB361="",$AB361="R"),"",IF($AB361="D",INDEX($AF$8:$AF$407,$AA361),SUMIF($T$8:$T$407,INDEX($T$8:$T$407,$AA361),$AF$8:$AF$407)))))))</f>
        <v/>
      </c>
      <c r="F361" s="32" t="str">
        <f t="shared" si="74"/>
        <v/>
      </c>
      <c r="G361" s="32" t="str">
        <f t="shared" si="75"/>
        <v/>
      </c>
      <c r="H361" s="32" t="str">
        <f t="shared" si="76"/>
        <v/>
      </c>
      <c r="J361" t="str">
        <f>IFERROR(MATCH(354,บันทึกรายเที่ยว!$W$6:$W$10005,0),"")</f>
        <v/>
      </c>
      <c r="K361" t="str">
        <f>IF($J361="","",INDEX(บันทึกรายเที่ยว!$T$6:$T$10005,$J361))</f>
        <v/>
      </c>
      <c r="L361" t="str">
        <f>IF($J361="","",INDEX(บันทึกรายเที่ยว!$S$6:$S$10005,$J361))</f>
        <v/>
      </c>
      <c r="M361" t="str">
        <f>IF($J361="","",INDEX(บันทึกรายเที่ยว!$R$6:$R$10005,$J361))</f>
        <v/>
      </c>
      <c r="N361" t="str">
        <f>IF($J361="","",MATCH($M361,บันทึกรายเที่ยว!$R$6:$R$10005,0))</f>
        <v/>
      </c>
      <c r="O361" t="str">
        <f>IF($J361="","",MATCH($L361,บันทึกรายเที่ยว!$S$6:$S$10005,0))</f>
        <v/>
      </c>
      <c r="P361" t="str">
        <f>IF($J361="","",IF(AND(OR($I$3="(ทั้งหมด)",INDEX(บันทึกรายเที่ยว!$C$6:$C$10005,$J361)=$I$3),OR($I$5="(ทั้งหมด)",INDEX(บันทึกรายเที่ยว!$D$6:$D$10005,$J361)=$I$5),OR($I$7="(ทั้งหมด)",INDEX(บันทึกรายเที่ยว!$F$6:$F$10005,$J361)=$I$7)),$N361*10000000+$O361*1000+354,""))</f>
        <v/>
      </c>
      <c r="Q361" t="str">
        <f>IFERROR(MATCH(SMALL($P$8:$P$407,354),$P$8:$P$407,0),"")</f>
        <v/>
      </c>
      <c r="R361" t="str">
        <f t="shared" si="77"/>
        <v/>
      </c>
      <c r="S361" t="str">
        <f t="shared" si="78"/>
        <v/>
      </c>
      <c r="T361" t="str">
        <f t="shared" si="79"/>
        <v/>
      </c>
      <c r="U361" t="str">
        <f t="shared" si="80"/>
        <v/>
      </c>
      <c r="V361">
        <f t="shared" si="82"/>
        <v>0</v>
      </c>
      <c r="W361">
        <f t="shared" si="83"/>
        <v>0</v>
      </c>
      <c r="X361">
        <f>IF($Q361="",99999+354,$X360+1+$V360+$W360)</f>
        <v>100353</v>
      </c>
      <c r="Y361" t="str">
        <f>IF($Q361="","",INDEX(บันทึกรายเที่ยว!$Q$6:$Q$10005,$R361))</f>
        <v/>
      </c>
      <c r="Z361" t="str">
        <f>IF($Q361="","",INDEX(บันทึกรายเที่ยว!$F$6:$F$10005,$R361))</f>
        <v/>
      </c>
      <c r="AA361" t="str">
        <f>IFERROR(MATCH(354,$X$8:$X$407,1),"")</f>
        <v/>
      </c>
      <c r="AB361" t="str">
        <f>IF(354=$AD$1+1,"G",IF($AA361="","",IF(INDEX($Q$8:$Q$407,$AA361)="","",IF(354&gt;INDEX($X$8:$X$407,$AA361)+INDEX($V$8:$V$407,$AA361)+INDEX($W$8:$W$407,$AA361),"",IF(354=INDEX($X$8:$X$407,$AA361)+INDEX($V$8:$V$407,$AA361)+INDEX($W$8:$W$407,$AA361),"D",IF(AND(INDEX($W$8:$W$407,$AA361)=1,354=INDEX($X$8:$X$407,$AA361)+INDEX($V$8:$V$407,$AA361)),"S","R"))))))</f>
        <v/>
      </c>
      <c r="AC361" t="str">
        <f t="shared" si="81"/>
        <v/>
      </c>
      <c r="AE361">
        <f>IF($U361="",0,COUNTIF(บันทึกรายเที่ยว!$T$6:$T$10005,$U361))</f>
        <v>0</v>
      </c>
      <c r="AF361">
        <f>IF($U361="",0,ROUND(SUMIF(บันทึกรายเที่ยว!$T$6:$T$10005,$U361,บันทึกรายเที่ยว!$J$6:$J$10005),2))</f>
        <v>0</v>
      </c>
      <c r="AG361">
        <f>IF($U361="",0,ROUND(SUMIF(บันทึกรายเที่ยว!$T$6:$T$10005,$U361,บันทึกรายเที่ยว!$K$6:$K$10005),2))</f>
        <v>0</v>
      </c>
      <c r="AH361">
        <f>IF($U361="",0,ROUND(SUMIF(บันทึกรายเที่ยว!$T$6:$T$10005,$U361,บันทึกรายเที่ยว!$M$6:$M$10005),2))</f>
        <v>0</v>
      </c>
    </row>
    <row r="362" spans="1:34" ht="21" customHeight="1" x14ac:dyDescent="0.95">
      <c r="A362" s="3" t="str">
        <f t="shared" si="70"/>
        <v/>
      </c>
      <c r="B362" s="3" t="str">
        <f t="shared" si="71"/>
        <v/>
      </c>
      <c r="C362" s="8" t="str">
        <f t="shared" si="72"/>
        <v/>
      </c>
      <c r="D362" s="31" t="str">
        <f t="shared" si="73"/>
        <v/>
      </c>
      <c r="E362" s="32" t="str">
        <f>IF(355=$AD$1+3,"ขอแสดงความนับถือ",IF(355=$AD$1+6,"(                 )",IF(355=$AD$1+7,"เจ้าหน้าที่ขนส่ง",IF($AB362="G",SUM($AF$8:$AF$407),IF(OR($AB362="",$AB362="R"),"",IF($AB362="D",INDEX($AF$8:$AF$407,$AA362),SUMIF($T$8:$T$407,INDEX($T$8:$T$407,$AA362),$AF$8:$AF$407)))))))</f>
        <v/>
      </c>
      <c r="F362" s="32" t="str">
        <f t="shared" si="74"/>
        <v/>
      </c>
      <c r="G362" s="32" t="str">
        <f t="shared" si="75"/>
        <v/>
      </c>
      <c r="H362" s="32" t="str">
        <f t="shared" si="76"/>
        <v/>
      </c>
      <c r="J362" t="str">
        <f>IFERROR(MATCH(355,บันทึกรายเที่ยว!$W$6:$W$10005,0),"")</f>
        <v/>
      </c>
      <c r="K362" t="str">
        <f>IF($J362="","",INDEX(บันทึกรายเที่ยว!$T$6:$T$10005,$J362))</f>
        <v/>
      </c>
      <c r="L362" t="str">
        <f>IF($J362="","",INDEX(บันทึกรายเที่ยว!$S$6:$S$10005,$J362))</f>
        <v/>
      </c>
      <c r="M362" t="str">
        <f>IF($J362="","",INDEX(บันทึกรายเที่ยว!$R$6:$R$10005,$J362))</f>
        <v/>
      </c>
      <c r="N362" t="str">
        <f>IF($J362="","",MATCH($M362,บันทึกรายเที่ยว!$R$6:$R$10005,0))</f>
        <v/>
      </c>
      <c r="O362" t="str">
        <f>IF($J362="","",MATCH($L362,บันทึกรายเที่ยว!$S$6:$S$10005,0))</f>
        <v/>
      </c>
      <c r="P362" t="str">
        <f>IF($J362="","",IF(AND(OR($I$3="(ทั้งหมด)",INDEX(บันทึกรายเที่ยว!$C$6:$C$10005,$J362)=$I$3),OR($I$5="(ทั้งหมด)",INDEX(บันทึกรายเที่ยว!$D$6:$D$10005,$J362)=$I$5),OR($I$7="(ทั้งหมด)",INDEX(บันทึกรายเที่ยว!$F$6:$F$10005,$J362)=$I$7)),$N362*10000000+$O362*1000+355,""))</f>
        <v/>
      </c>
      <c r="Q362" t="str">
        <f>IFERROR(MATCH(SMALL($P$8:$P$407,355),$P$8:$P$407,0),"")</f>
        <v/>
      </c>
      <c r="R362" t="str">
        <f t="shared" si="77"/>
        <v/>
      </c>
      <c r="S362" t="str">
        <f t="shared" si="78"/>
        <v/>
      </c>
      <c r="T362" t="str">
        <f t="shared" si="79"/>
        <v/>
      </c>
      <c r="U362" t="str">
        <f t="shared" si="80"/>
        <v/>
      </c>
      <c r="V362">
        <f t="shared" si="82"/>
        <v>0</v>
      </c>
      <c r="W362">
        <f t="shared" si="83"/>
        <v>0</v>
      </c>
      <c r="X362">
        <f>IF($Q362="",99999+355,$X361+1+$V361+$W361)</f>
        <v>100354</v>
      </c>
      <c r="Y362" t="str">
        <f>IF($Q362="","",INDEX(บันทึกรายเที่ยว!$Q$6:$Q$10005,$R362))</f>
        <v/>
      </c>
      <c r="Z362" t="str">
        <f>IF($Q362="","",INDEX(บันทึกรายเที่ยว!$F$6:$F$10005,$R362))</f>
        <v/>
      </c>
      <c r="AA362" t="str">
        <f>IFERROR(MATCH(355,$X$8:$X$407,1),"")</f>
        <v/>
      </c>
      <c r="AB362" t="str">
        <f>IF(355=$AD$1+1,"G",IF($AA362="","",IF(INDEX($Q$8:$Q$407,$AA362)="","",IF(355&gt;INDEX($X$8:$X$407,$AA362)+INDEX($V$8:$V$407,$AA362)+INDEX($W$8:$W$407,$AA362),"",IF(355=INDEX($X$8:$X$407,$AA362)+INDEX($V$8:$V$407,$AA362)+INDEX($W$8:$W$407,$AA362),"D",IF(AND(INDEX($W$8:$W$407,$AA362)=1,355=INDEX($X$8:$X$407,$AA362)+INDEX($V$8:$V$407,$AA362)),"S","R"))))))</f>
        <v/>
      </c>
      <c r="AC362" t="str">
        <f t="shared" si="81"/>
        <v/>
      </c>
      <c r="AE362">
        <f>IF($U362="",0,COUNTIF(บันทึกรายเที่ยว!$T$6:$T$10005,$U362))</f>
        <v>0</v>
      </c>
      <c r="AF362">
        <f>IF($U362="",0,ROUND(SUMIF(บันทึกรายเที่ยว!$T$6:$T$10005,$U362,บันทึกรายเที่ยว!$J$6:$J$10005),2))</f>
        <v>0</v>
      </c>
      <c r="AG362">
        <f>IF($U362="",0,ROUND(SUMIF(บันทึกรายเที่ยว!$T$6:$T$10005,$U362,บันทึกรายเที่ยว!$K$6:$K$10005),2))</f>
        <v>0</v>
      </c>
      <c r="AH362">
        <f>IF($U362="",0,ROUND(SUMIF(บันทึกรายเที่ยว!$T$6:$T$10005,$U362,บันทึกรายเที่ยว!$M$6:$M$10005),2))</f>
        <v>0</v>
      </c>
    </row>
    <row r="363" spans="1:34" ht="21" customHeight="1" x14ac:dyDescent="0.95">
      <c r="A363" s="3" t="str">
        <f t="shared" si="70"/>
        <v/>
      </c>
      <c r="B363" s="3" t="str">
        <f t="shared" si="71"/>
        <v/>
      </c>
      <c r="C363" s="8" t="str">
        <f t="shared" si="72"/>
        <v/>
      </c>
      <c r="D363" s="31" t="str">
        <f t="shared" si="73"/>
        <v/>
      </c>
      <c r="E363" s="32" t="str">
        <f>IF(356=$AD$1+3,"ขอแสดงความนับถือ",IF(356=$AD$1+6,"(                 )",IF(356=$AD$1+7,"เจ้าหน้าที่ขนส่ง",IF($AB363="G",SUM($AF$8:$AF$407),IF(OR($AB363="",$AB363="R"),"",IF($AB363="D",INDEX($AF$8:$AF$407,$AA363),SUMIF($T$8:$T$407,INDEX($T$8:$T$407,$AA363),$AF$8:$AF$407)))))))</f>
        <v/>
      </c>
      <c r="F363" s="32" t="str">
        <f t="shared" si="74"/>
        <v/>
      </c>
      <c r="G363" s="32" t="str">
        <f t="shared" si="75"/>
        <v/>
      </c>
      <c r="H363" s="32" t="str">
        <f t="shared" si="76"/>
        <v/>
      </c>
      <c r="J363" t="str">
        <f>IFERROR(MATCH(356,บันทึกรายเที่ยว!$W$6:$W$10005,0),"")</f>
        <v/>
      </c>
      <c r="K363" t="str">
        <f>IF($J363="","",INDEX(บันทึกรายเที่ยว!$T$6:$T$10005,$J363))</f>
        <v/>
      </c>
      <c r="L363" t="str">
        <f>IF($J363="","",INDEX(บันทึกรายเที่ยว!$S$6:$S$10005,$J363))</f>
        <v/>
      </c>
      <c r="M363" t="str">
        <f>IF($J363="","",INDEX(บันทึกรายเที่ยว!$R$6:$R$10005,$J363))</f>
        <v/>
      </c>
      <c r="N363" t="str">
        <f>IF($J363="","",MATCH($M363,บันทึกรายเที่ยว!$R$6:$R$10005,0))</f>
        <v/>
      </c>
      <c r="O363" t="str">
        <f>IF($J363="","",MATCH($L363,บันทึกรายเที่ยว!$S$6:$S$10005,0))</f>
        <v/>
      </c>
      <c r="P363" t="str">
        <f>IF($J363="","",IF(AND(OR($I$3="(ทั้งหมด)",INDEX(บันทึกรายเที่ยว!$C$6:$C$10005,$J363)=$I$3),OR($I$5="(ทั้งหมด)",INDEX(บันทึกรายเที่ยว!$D$6:$D$10005,$J363)=$I$5),OR($I$7="(ทั้งหมด)",INDEX(บันทึกรายเที่ยว!$F$6:$F$10005,$J363)=$I$7)),$N363*10000000+$O363*1000+356,""))</f>
        <v/>
      </c>
      <c r="Q363" t="str">
        <f>IFERROR(MATCH(SMALL($P$8:$P$407,356),$P$8:$P$407,0),"")</f>
        <v/>
      </c>
      <c r="R363" t="str">
        <f t="shared" si="77"/>
        <v/>
      </c>
      <c r="S363" t="str">
        <f t="shared" si="78"/>
        <v/>
      </c>
      <c r="T363" t="str">
        <f t="shared" si="79"/>
        <v/>
      </c>
      <c r="U363" t="str">
        <f t="shared" si="80"/>
        <v/>
      </c>
      <c r="V363">
        <f t="shared" si="82"/>
        <v>0</v>
      </c>
      <c r="W363">
        <f t="shared" si="83"/>
        <v>0</v>
      </c>
      <c r="X363">
        <f>IF($Q363="",99999+356,$X362+1+$V362+$W362)</f>
        <v>100355</v>
      </c>
      <c r="Y363" t="str">
        <f>IF($Q363="","",INDEX(บันทึกรายเที่ยว!$Q$6:$Q$10005,$R363))</f>
        <v/>
      </c>
      <c r="Z363" t="str">
        <f>IF($Q363="","",INDEX(บันทึกรายเที่ยว!$F$6:$F$10005,$R363))</f>
        <v/>
      </c>
      <c r="AA363" t="str">
        <f>IFERROR(MATCH(356,$X$8:$X$407,1),"")</f>
        <v/>
      </c>
      <c r="AB363" t="str">
        <f>IF(356=$AD$1+1,"G",IF($AA363="","",IF(INDEX($Q$8:$Q$407,$AA363)="","",IF(356&gt;INDEX($X$8:$X$407,$AA363)+INDEX($V$8:$V$407,$AA363)+INDEX($W$8:$W$407,$AA363),"",IF(356=INDEX($X$8:$X$407,$AA363)+INDEX($V$8:$V$407,$AA363)+INDEX($W$8:$W$407,$AA363),"D",IF(AND(INDEX($W$8:$W$407,$AA363)=1,356=INDEX($X$8:$X$407,$AA363)+INDEX($V$8:$V$407,$AA363)),"S","R"))))))</f>
        <v/>
      </c>
      <c r="AC363" t="str">
        <f t="shared" si="81"/>
        <v/>
      </c>
      <c r="AE363">
        <f>IF($U363="",0,COUNTIF(บันทึกรายเที่ยว!$T$6:$T$10005,$U363))</f>
        <v>0</v>
      </c>
      <c r="AF363">
        <f>IF($U363="",0,ROUND(SUMIF(บันทึกรายเที่ยว!$T$6:$T$10005,$U363,บันทึกรายเที่ยว!$J$6:$J$10005),2))</f>
        <v>0</v>
      </c>
      <c r="AG363">
        <f>IF($U363="",0,ROUND(SUMIF(บันทึกรายเที่ยว!$T$6:$T$10005,$U363,บันทึกรายเที่ยว!$K$6:$K$10005),2))</f>
        <v>0</v>
      </c>
      <c r="AH363">
        <f>IF($U363="",0,ROUND(SUMIF(บันทึกรายเที่ยว!$T$6:$T$10005,$U363,บันทึกรายเที่ยว!$M$6:$M$10005),2))</f>
        <v>0</v>
      </c>
    </row>
    <row r="364" spans="1:34" ht="21" customHeight="1" x14ac:dyDescent="0.95">
      <c r="A364" s="3" t="str">
        <f t="shared" si="70"/>
        <v/>
      </c>
      <c r="B364" s="3" t="str">
        <f t="shared" si="71"/>
        <v/>
      </c>
      <c r="C364" s="8" t="str">
        <f t="shared" si="72"/>
        <v/>
      </c>
      <c r="D364" s="31" t="str">
        <f t="shared" si="73"/>
        <v/>
      </c>
      <c r="E364" s="32" t="str">
        <f>IF(357=$AD$1+3,"ขอแสดงความนับถือ",IF(357=$AD$1+6,"(                 )",IF(357=$AD$1+7,"เจ้าหน้าที่ขนส่ง",IF($AB364="G",SUM($AF$8:$AF$407),IF(OR($AB364="",$AB364="R"),"",IF($AB364="D",INDEX($AF$8:$AF$407,$AA364),SUMIF($T$8:$T$407,INDEX($T$8:$T$407,$AA364),$AF$8:$AF$407)))))))</f>
        <v/>
      </c>
      <c r="F364" s="32" t="str">
        <f t="shared" si="74"/>
        <v/>
      </c>
      <c r="G364" s="32" t="str">
        <f t="shared" si="75"/>
        <v/>
      </c>
      <c r="H364" s="32" t="str">
        <f t="shared" si="76"/>
        <v/>
      </c>
      <c r="J364" t="str">
        <f>IFERROR(MATCH(357,บันทึกรายเที่ยว!$W$6:$W$10005,0),"")</f>
        <v/>
      </c>
      <c r="K364" t="str">
        <f>IF($J364="","",INDEX(บันทึกรายเที่ยว!$T$6:$T$10005,$J364))</f>
        <v/>
      </c>
      <c r="L364" t="str">
        <f>IF($J364="","",INDEX(บันทึกรายเที่ยว!$S$6:$S$10005,$J364))</f>
        <v/>
      </c>
      <c r="M364" t="str">
        <f>IF($J364="","",INDEX(บันทึกรายเที่ยว!$R$6:$R$10005,$J364))</f>
        <v/>
      </c>
      <c r="N364" t="str">
        <f>IF($J364="","",MATCH($M364,บันทึกรายเที่ยว!$R$6:$R$10005,0))</f>
        <v/>
      </c>
      <c r="O364" t="str">
        <f>IF($J364="","",MATCH($L364,บันทึกรายเที่ยว!$S$6:$S$10005,0))</f>
        <v/>
      </c>
      <c r="P364" t="str">
        <f>IF($J364="","",IF(AND(OR($I$3="(ทั้งหมด)",INDEX(บันทึกรายเที่ยว!$C$6:$C$10005,$J364)=$I$3),OR($I$5="(ทั้งหมด)",INDEX(บันทึกรายเที่ยว!$D$6:$D$10005,$J364)=$I$5),OR($I$7="(ทั้งหมด)",INDEX(บันทึกรายเที่ยว!$F$6:$F$10005,$J364)=$I$7)),$N364*10000000+$O364*1000+357,""))</f>
        <v/>
      </c>
      <c r="Q364" t="str">
        <f>IFERROR(MATCH(SMALL($P$8:$P$407,357),$P$8:$P$407,0),"")</f>
        <v/>
      </c>
      <c r="R364" t="str">
        <f t="shared" si="77"/>
        <v/>
      </c>
      <c r="S364" t="str">
        <f t="shared" si="78"/>
        <v/>
      </c>
      <c r="T364" t="str">
        <f t="shared" si="79"/>
        <v/>
      </c>
      <c r="U364" t="str">
        <f t="shared" si="80"/>
        <v/>
      </c>
      <c r="V364">
        <f t="shared" si="82"/>
        <v>0</v>
      </c>
      <c r="W364">
        <f t="shared" si="83"/>
        <v>0</v>
      </c>
      <c r="X364">
        <f>IF($Q364="",99999+357,$X363+1+$V363+$W363)</f>
        <v>100356</v>
      </c>
      <c r="Y364" t="str">
        <f>IF($Q364="","",INDEX(บันทึกรายเที่ยว!$Q$6:$Q$10005,$R364))</f>
        <v/>
      </c>
      <c r="Z364" t="str">
        <f>IF($Q364="","",INDEX(บันทึกรายเที่ยว!$F$6:$F$10005,$R364))</f>
        <v/>
      </c>
      <c r="AA364" t="str">
        <f>IFERROR(MATCH(357,$X$8:$X$407,1),"")</f>
        <v/>
      </c>
      <c r="AB364" t="str">
        <f>IF(357=$AD$1+1,"G",IF($AA364="","",IF(INDEX($Q$8:$Q$407,$AA364)="","",IF(357&gt;INDEX($X$8:$X$407,$AA364)+INDEX($V$8:$V$407,$AA364)+INDEX($W$8:$W$407,$AA364),"",IF(357=INDEX($X$8:$X$407,$AA364)+INDEX($V$8:$V$407,$AA364)+INDEX($W$8:$W$407,$AA364),"D",IF(AND(INDEX($W$8:$W$407,$AA364)=1,357=INDEX($X$8:$X$407,$AA364)+INDEX($V$8:$V$407,$AA364)),"S","R"))))))</f>
        <v/>
      </c>
      <c r="AC364" t="str">
        <f t="shared" si="81"/>
        <v/>
      </c>
      <c r="AE364">
        <f>IF($U364="",0,COUNTIF(บันทึกรายเที่ยว!$T$6:$T$10005,$U364))</f>
        <v>0</v>
      </c>
      <c r="AF364">
        <f>IF($U364="",0,ROUND(SUMIF(บันทึกรายเที่ยว!$T$6:$T$10005,$U364,บันทึกรายเที่ยว!$J$6:$J$10005),2))</f>
        <v>0</v>
      </c>
      <c r="AG364">
        <f>IF($U364="",0,ROUND(SUMIF(บันทึกรายเที่ยว!$T$6:$T$10005,$U364,บันทึกรายเที่ยว!$K$6:$K$10005),2))</f>
        <v>0</v>
      </c>
      <c r="AH364">
        <f>IF($U364="",0,ROUND(SUMIF(บันทึกรายเที่ยว!$T$6:$T$10005,$U364,บันทึกรายเที่ยว!$M$6:$M$10005),2))</f>
        <v>0</v>
      </c>
    </row>
    <row r="365" spans="1:34" ht="21" customHeight="1" x14ac:dyDescent="0.95">
      <c r="A365" s="3" t="str">
        <f t="shared" si="70"/>
        <v/>
      </c>
      <c r="B365" s="3" t="str">
        <f t="shared" si="71"/>
        <v/>
      </c>
      <c r="C365" s="8" t="str">
        <f t="shared" si="72"/>
        <v/>
      </c>
      <c r="D365" s="31" t="str">
        <f t="shared" si="73"/>
        <v/>
      </c>
      <c r="E365" s="32" t="str">
        <f>IF(358=$AD$1+3,"ขอแสดงความนับถือ",IF(358=$AD$1+6,"(                 )",IF(358=$AD$1+7,"เจ้าหน้าที่ขนส่ง",IF($AB365="G",SUM($AF$8:$AF$407),IF(OR($AB365="",$AB365="R"),"",IF($AB365="D",INDEX($AF$8:$AF$407,$AA365),SUMIF($T$8:$T$407,INDEX($T$8:$T$407,$AA365),$AF$8:$AF$407)))))))</f>
        <v/>
      </c>
      <c r="F365" s="32" t="str">
        <f t="shared" si="74"/>
        <v/>
      </c>
      <c r="G365" s="32" t="str">
        <f t="shared" si="75"/>
        <v/>
      </c>
      <c r="H365" s="32" t="str">
        <f t="shared" si="76"/>
        <v/>
      </c>
      <c r="J365" t="str">
        <f>IFERROR(MATCH(358,บันทึกรายเที่ยว!$W$6:$W$10005,0),"")</f>
        <v/>
      </c>
      <c r="K365" t="str">
        <f>IF($J365="","",INDEX(บันทึกรายเที่ยว!$T$6:$T$10005,$J365))</f>
        <v/>
      </c>
      <c r="L365" t="str">
        <f>IF($J365="","",INDEX(บันทึกรายเที่ยว!$S$6:$S$10005,$J365))</f>
        <v/>
      </c>
      <c r="M365" t="str">
        <f>IF($J365="","",INDEX(บันทึกรายเที่ยว!$R$6:$R$10005,$J365))</f>
        <v/>
      </c>
      <c r="N365" t="str">
        <f>IF($J365="","",MATCH($M365,บันทึกรายเที่ยว!$R$6:$R$10005,0))</f>
        <v/>
      </c>
      <c r="O365" t="str">
        <f>IF($J365="","",MATCH($L365,บันทึกรายเที่ยว!$S$6:$S$10005,0))</f>
        <v/>
      </c>
      <c r="P365" t="str">
        <f>IF($J365="","",IF(AND(OR($I$3="(ทั้งหมด)",INDEX(บันทึกรายเที่ยว!$C$6:$C$10005,$J365)=$I$3),OR($I$5="(ทั้งหมด)",INDEX(บันทึกรายเที่ยว!$D$6:$D$10005,$J365)=$I$5),OR($I$7="(ทั้งหมด)",INDEX(บันทึกรายเที่ยว!$F$6:$F$10005,$J365)=$I$7)),$N365*10000000+$O365*1000+358,""))</f>
        <v/>
      </c>
      <c r="Q365" t="str">
        <f>IFERROR(MATCH(SMALL($P$8:$P$407,358),$P$8:$P$407,0),"")</f>
        <v/>
      </c>
      <c r="R365" t="str">
        <f t="shared" si="77"/>
        <v/>
      </c>
      <c r="S365" t="str">
        <f t="shared" si="78"/>
        <v/>
      </c>
      <c r="T365" t="str">
        <f t="shared" si="79"/>
        <v/>
      </c>
      <c r="U365" t="str">
        <f t="shared" si="80"/>
        <v/>
      </c>
      <c r="V365">
        <f t="shared" si="82"/>
        <v>0</v>
      </c>
      <c r="W365">
        <f t="shared" si="83"/>
        <v>0</v>
      </c>
      <c r="X365">
        <f>IF($Q365="",99999+358,$X364+1+$V364+$W364)</f>
        <v>100357</v>
      </c>
      <c r="Y365" t="str">
        <f>IF($Q365="","",INDEX(บันทึกรายเที่ยว!$Q$6:$Q$10005,$R365))</f>
        <v/>
      </c>
      <c r="Z365" t="str">
        <f>IF($Q365="","",INDEX(บันทึกรายเที่ยว!$F$6:$F$10005,$R365))</f>
        <v/>
      </c>
      <c r="AA365" t="str">
        <f>IFERROR(MATCH(358,$X$8:$X$407,1),"")</f>
        <v/>
      </c>
      <c r="AB365" t="str">
        <f>IF(358=$AD$1+1,"G",IF($AA365="","",IF(INDEX($Q$8:$Q$407,$AA365)="","",IF(358&gt;INDEX($X$8:$X$407,$AA365)+INDEX($V$8:$V$407,$AA365)+INDEX($W$8:$W$407,$AA365),"",IF(358=INDEX($X$8:$X$407,$AA365)+INDEX($V$8:$V$407,$AA365)+INDEX($W$8:$W$407,$AA365),"D",IF(AND(INDEX($W$8:$W$407,$AA365)=1,358=INDEX($X$8:$X$407,$AA365)+INDEX($V$8:$V$407,$AA365)),"S","R"))))))</f>
        <v/>
      </c>
      <c r="AC365" t="str">
        <f t="shared" si="81"/>
        <v/>
      </c>
      <c r="AE365">
        <f>IF($U365="",0,COUNTIF(บันทึกรายเที่ยว!$T$6:$T$10005,$U365))</f>
        <v>0</v>
      </c>
      <c r="AF365">
        <f>IF($U365="",0,ROUND(SUMIF(บันทึกรายเที่ยว!$T$6:$T$10005,$U365,บันทึกรายเที่ยว!$J$6:$J$10005),2))</f>
        <v>0</v>
      </c>
      <c r="AG365">
        <f>IF($U365="",0,ROUND(SUMIF(บันทึกรายเที่ยว!$T$6:$T$10005,$U365,บันทึกรายเที่ยว!$K$6:$K$10005),2))</f>
        <v>0</v>
      </c>
      <c r="AH365">
        <f>IF($U365="",0,ROUND(SUMIF(บันทึกรายเที่ยว!$T$6:$T$10005,$U365,บันทึกรายเที่ยว!$M$6:$M$10005),2))</f>
        <v>0</v>
      </c>
    </row>
    <row r="366" spans="1:34" ht="21" customHeight="1" x14ac:dyDescent="0.95">
      <c r="A366" s="3" t="str">
        <f t="shared" si="70"/>
        <v/>
      </c>
      <c r="B366" s="3" t="str">
        <f t="shared" si="71"/>
        <v/>
      </c>
      <c r="C366" s="8" t="str">
        <f t="shared" si="72"/>
        <v/>
      </c>
      <c r="D366" s="31" t="str">
        <f t="shared" si="73"/>
        <v/>
      </c>
      <c r="E366" s="32" t="str">
        <f>IF(359=$AD$1+3,"ขอแสดงความนับถือ",IF(359=$AD$1+6,"(                 )",IF(359=$AD$1+7,"เจ้าหน้าที่ขนส่ง",IF($AB366="G",SUM($AF$8:$AF$407),IF(OR($AB366="",$AB366="R"),"",IF($AB366="D",INDEX($AF$8:$AF$407,$AA366),SUMIF($T$8:$T$407,INDEX($T$8:$T$407,$AA366),$AF$8:$AF$407)))))))</f>
        <v/>
      </c>
      <c r="F366" s="32" t="str">
        <f t="shared" si="74"/>
        <v/>
      </c>
      <c r="G366" s="32" t="str">
        <f t="shared" si="75"/>
        <v/>
      </c>
      <c r="H366" s="32" t="str">
        <f t="shared" si="76"/>
        <v/>
      </c>
      <c r="J366" t="str">
        <f>IFERROR(MATCH(359,บันทึกรายเที่ยว!$W$6:$W$10005,0),"")</f>
        <v/>
      </c>
      <c r="K366" t="str">
        <f>IF($J366="","",INDEX(บันทึกรายเที่ยว!$T$6:$T$10005,$J366))</f>
        <v/>
      </c>
      <c r="L366" t="str">
        <f>IF($J366="","",INDEX(บันทึกรายเที่ยว!$S$6:$S$10005,$J366))</f>
        <v/>
      </c>
      <c r="M366" t="str">
        <f>IF($J366="","",INDEX(บันทึกรายเที่ยว!$R$6:$R$10005,$J366))</f>
        <v/>
      </c>
      <c r="N366" t="str">
        <f>IF($J366="","",MATCH($M366,บันทึกรายเที่ยว!$R$6:$R$10005,0))</f>
        <v/>
      </c>
      <c r="O366" t="str">
        <f>IF($J366="","",MATCH($L366,บันทึกรายเที่ยว!$S$6:$S$10005,0))</f>
        <v/>
      </c>
      <c r="P366" t="str">
        <f>IF($J366="","",IF(AND(OR($I$3="(ทั้งหมด)",INDEX(บันทึกรายเที่ยว!$C$6:$C$10005,$J366)=$I$3),OR($I$5="(ทั้งหมด)",INDEX(บันทึกรายเที่ยว!$D$6:$D$10005,$J366)=$I$5),OR($I$7="(ทั้งหมด)",INDEX(บันทึกรายเที่ยว!$F$6:$F$10005,$J366)=$I$7)),$N366*10000000+$O366*1000+359,""))</f>
        <v/>
      </c>
      <c r="Q366" t="str">
        <f>IFERROR(MATCH(SMALL($P$8:$P$407,359),$P$8:$P$407,0),"")</f>
        <v/>
      </c>
      <c r="R366" t="str">
        <f t="shared" si="77"/>
        <v/>
      </c>
      <c r="S366" t="str">
        <f t="shared" si="78"/>
        <v/>
      </c>
      <c r="T366" t="str">
        <f t="shared" si="79"/>
        <v/>
      </c>
      <c r="U366" t="str">
        <f t="shared" si="80"/>
        <v/>
      </c>
      <c r="V366">
        <f t="shared" si="82"/>
        <v>0</v>
      </c>
      <c r="W366">
        <f t="shared" si="83"/>
        <v>0</v>
      </c>
      <c r="X366">
        <f>IF($Q366="",99999+359,$X365+1+$V365+$W365)</f>
        <v>100358</v>
      </c>
      <c r="Y366" t="str">
        <f>IF($Q366="","",INDEX(บันทึกรายเที่ยว!$Q$6:$Q$10005,$R366))</f>
        <v/>
      </c>
      <c r="Z366" t="str">
        <f>IF($Q366="","",INDEX(บันทึกรายเที่ยว!$F$6:$F$10005,$R366))</f>
        <v/>
      </c>
      <c r="AA366" t="str">
        <f>IFERROR(MATCH(359,$X$8:$X$407,1),"")</f>
        <v/>
      </c>
      <c r="AB366" t="str">
        <f>IF(359=$AD$1+1,"G",IF($AA366="","",IF(INDEX($Q$8:$Q$407,$AA366)="","",IF(359&gt;INDEX($X$8:$X$407,$AA366)+INDEX($V$8:$V$407,$AA366)+INDEX($W$8:$W$407,$AA366),"",IF(359=INDEX($X$8:$X$407,$AA366)+INDEX($V$8:$V$407,$AA366)+INDEX($W$8:$W$407,$AA366),"D",IF(AND(INDEX($W$8:$W$407,$AA366)=1,359=INDEX($X$8:$X$407,$AA366)+INDEX($V$8:$V$407,$AA366)),"S","R"))))))</f>
        <v/>
      </c>
      <c r="AC366" t="str">
        <f t="shared" si="81"/>
        <v/>
      </c>
      <c r="AE366">
        <f>IF($U366="",0,COUNTIF(บันทึกรายเที่ยว!$T$6:$T$10005,$U366))</f>
        <v>0</v>
      </c>
      <c r="AF366">
        <f>IF($U366="",0,ROUND(SUMIF(บันทึกรายเที่ยว!$T$6:$T$10005,$U366,บันทึกรายเที่ยว!$J$6:$J$10005),2))</f>
        <v>0</v>
      </c>
      <c r="AG366">
        <f>IF($U366="",0,ROUND(SUMIF(บันทึกรายเที่ยว!$T$6:$T$10005,$U366,บันทึกรายเที่ยว!$K$6:$K$10005),2))</f>
        <v>0</v>
      </c>
      <c r="AH366">
        <f>IF($U366="",0,ROUND(SUMIF(บันทึกรายเที่ยว!$T$6:$T$10005,$U366,บันทึกรายเที่ยว!$M$6:$M$10005),2))</f>
        <v>0</v>
      </c>
    </row>
    <row r="367" spans="1:34" ht="21" customHeight="1" x14ac:dyDescent="0.95">
      <c r="A367" s="3" t="str">
        <f t="shared" si="70"/>
        <v/>
      </c>
      <c r="B367" s="3" t="str">
        <f t="shared" si="71"/>
        <v/>
      </c>
      <c r="C367" s="8" t="str">
        <f t="shared" si="72"/>
        <v/>
      </c>
      <c r="D367" s="31" t="str">
        <f t="shared" si="73"/>
        <v/>
      </c>
      <c r="E367" s="32" t="str">
        <f>IF(360=$AD$1+3,"ขอแสดงความนับถือ",IF(360=$AD$1+6,"(                 )",IF(360=$AD$1+7,"เจ้าหน้าที่ขนส่ง",IF($AB367="G",SUM($AF$8:$AF$407),IF(OR($AB367="",$AB367="R"),"",IF($AB367="D",INDEX($AF$8:$AF$407,$AA367),SUMIF($T$8:$T$407,INDEX($T$8:$T$407,$AA367),$AF$8:$AF$407)))))))</f>
        <v/>
      </c>
      <c r="F367" s="32" t="str">
        <f t="shared" si="74"/>
        <v/>
      </c>
      <c r="G367" s="32" t="str">
        <f t="shared" si="75"/>
        <v/>
      </c>
      <c r="H367" s="32" t="str">
        <f t="shared" si="76"/>
        <v/>
      </c>
      <c r="J367" t="str">
        <f>IFERROR(MATCH(360,บันทึกรายเที่ยว!$W$6:$W$10005,0),"")</f>
        <v/>
      </c>
      <c r="K367" t="str">
        <f>IF($J367="","",INDEX(บันทึกรายเที่ยว!$T$6:$T$10005,$J367))</f>
        <v/>
      </c>
      <c r="L367" t="str">
        <f>IF($J367="","",INDEX(บันทึกรายเที่ยว!$S$6:$S$10005,$J367))</f>
        <v/>
      </c>
      <c r="M367" t="str">
        <f>IF($J367="","",INDEX(บันทึกรายเที่ยว!$R$6:$R$10005,$J367))</f>
        <v/>
      </c>
      <c r="N367" t="str">
        <f>IF($J367="","",MATCH($M367,บันทึกรายเที่ยว!$R$6:$R$10005,0))</f>
        <v/>
      </c>
      <c r="O367" t="str">
        <f>IF($J367="","",MATCH($L367,บันทึกรายเที่ยว!$S$6:$S$10005,0))</f>
        <v/>
      </c>
      <c r="P367" t="str">
        <f>IF($J367="","",IF(AND(OR($I$3="(ทั้งหมด)",INDEX(บันทึกรายเที่ยว!$C$6:$C$10005,$J367)=$I$3),OR($I$5="(ทั้งหมด)",INDEX(บันทึกรายเที่ยว!$D$6:$D$10005,$J367)=$I$5),OR($I$7="(ทั้งหมด)",INDEX(บันทึกรายเที่ยว!$F$6:$F$10005,$J367)=$I$7)),$N367*10000000+$O367*1000+360,""))</f>
        <v/>
      </c>
      <c r="Q367" t="str">
        <f>IFERROR(MATCH(SMALL($P$8:$P$407,360),$P$8:$P$407,0),"")</f>
        <v/>
      </c>
      <c r="R367" t="str">
        <f t="shared" si="77"/>
        <v/>
      </c>
      <c r="S367" t="str">
        <f t="shared" si="78"/>
        <v/>
      </c>
      <c r="T367" t="str">
        <f t="shared" si="79"/>
        <v/>
      </c>
      <c r="U367" t="str">
        <f t="shared" si="80"/>
        <v/>
      </c>
      <c r="V367">
        <f t="shared" si="82"/>
        <v>0</v>
      </c>
      <c r="W367">
        <f t="shared" si="83"/>
        <v>0</v>
      </c>
      <c r="X367">
        <f>IF($Q367="",99999+360,$X366+1+$V366+$W366)</f>
        <v>100359</v>
      </c>
      <c r="Y367" t="str">
        <f>IF($Q367="","",INDEX(บันทึกรายเที่ยว!$Q$6:$Q$10005,$R367))</f>
        <v/>
      </c>
      <c r="Z367" t="str">
        <f>IF($Q367="","",INDEX(บันทึกรายเที่ยว!$F$6:$F$10005,$R367))</f>
        <v/>
      </c>
      <c r="AA367" t="str">
        <f>IFERROR(MATCH(360,$X$8:$X$407,1),"")</f>
        <v/>
      </c>
      <c r="AB367" t="str">
        <f>IF(360=$AD$1+1,"G",IF($AA367="","",IF(INDEX($Q$8:$Q$407,$AA367)="","",IF(360&gt;INDEX($X$8:$X$407,$AA367)+INDEX($V$8:$V$407,$AA367)+INDEX($W$8:$W$407,$AA367),"",IF(360=INDEX($X$8:$X$407,$AA367)+INDEX($V$8:$V$407,$AA367)+INDEX($W$8:$W$407,$AA367),"D",IF(AND(INDEX($W$8:$W$407,$AA367)=1,360=INDEX($X$8:$X$407,$AA367)+INDEX($V$8:$V$407,$AA367)),"S","R"))))))</f>
        <v/>
      </c>
      <c r="AC367" t="str">
        <f t="shared" si="81"/>
        <v/>
      </c>
      <c r="AE367">
        <f>IF($U367="",0,COUNTIF(บันทึกรายเที่ยว!$T$6:$T$10005,$U367))</f>
        <v>0</v>
      </c>
      <c r="AF367">
        <f>IF($U367="",0,ROUND(SUMIF(บันทึกรายเที่ยว!$T$6:$T$10005,$U367,บันทึกรายเที่ยว!$J$6:$J$10005),2))</f>
        <v>0</v>
      </c>
      <c r="AG367">
        <f>IF($U367="",0,ROUND(SUMIF(บันทึกรายเที่ยว!$T$6:$T$10005,$U367,บันทึกรายเที่ยว!$K$6:$K$10005),2))</f>
        <v>0</v>
      </c>
      <c r="AH367">
        <f>IF($U367="",0,ROUND(SUMIF(บันทึกรายเที่ยว!$T$6:$T$10005,$U367,บันทึกรายเที่ยว!$M$6:$M$10005),2))</f>
        <v>0</v>
      </c>
    </row>
    <row r="368" spans="1:34" ht="21" customHeight="1" x14ac:dyDescent="0.95">
      <c r="A368" s="3" t="str">
        <f t="shared" si="70"/>
        <v/>
      </c>
      <c r="B368" s="3" t="str">
        <f t="shared" si="71"/>
        <v/>
      </c>
      <c r="C368" s="8" t="str">
        <f t="shared" si="72"/>
        <v/>
      </c>
      <c r="D368" s="31" t="str">
        <f t="shared" si="73"/>
        <v/>
      </c>
      <c r="E368" s="32" t="str">
        <f>IF(361=$AD$1+3,"ขอแสดงความนับถือ",IF(361=$AD$1+6,"(                 )",IF(361=$AD$1+7,"เจ้าหน้าที่ขนส่ง",IF($AB368="G",SUM($AF$8:$AF$407),IF(OR($AB368="",$AB368="R"),"",IF($AB368="D",INDEX($AF$8:$AF$407,$AA368),SUMIF($T$8:$T$407,INDEX($T$8:$T$407,$AA368),$AF$8:$AF$407)))))))</f>
        <v/>
      </c>
      <c r="F368" s="32" t="str">
        <f t="shared" si="74"/>
        <v/>
      </c>
      <c r="G368" s="32" t="str">
        <f t="shared" si="75"/>
        <v/>
      </c>
      <c r="H368" s="32" t="str">
        <f t="shared" si="76"/>
        <v/>
      </c>
      <c r="J368" t="str">
        <f>IFERROR(MATCH(361,บันทึกรายเที่ยว!$W$6:$W$10005,0),"")</f>
        <v/>
      </c>
      <c r="K368" t="str">
        <f>IF($J368="","",INDEX(บันทึกรายเที่ยว!$T$6:$T$10005,$J368))</f>
        <v/>
      </c>
      <c r="L368" t="str">
        <f>IF($J368="","",INDEX(บันทึกรายเที่ยว!$S$6:$S$10005,$J368))</f>
        <v/>
      </c>
      <c r="M368" t="str">
        <f>IF($J368="","",INDEX(บันทึกรายเที่ยว!$R$6:$R$10005,$J368))</f>
        <v/>
      </c>
      <c r="N368" t="str">
        <f>IF($J368="","",MATCH($M368,บันทึกรายเที่ยว!$R$6:$R$10005,0))</f>
        <v/>
      </c>
      <c r="O368" t="str">
        <f>IF($J368="","",MATCH($L368,บันทึกรายเที่ยว!$S$6:$S$10005,0))</f>
        <v/>
      </c>
      <c r="P368" t="str">
        <f>IF($J368="","",IF(AND(OR($I$3="(ทั้งหมด)",INDEX(บันทึกรายเที่ยว!$C$6:$C$10005,$J368)=$I$3),OR($I$5="(ทั้งหมด)",INDEX(บันทึกรายเที่ยว!$D$6:$D$10005,$J368)=$I$5),OR($I$7="(ทั้งหมด)",INDEX(บันทึกรายเที่ยว!$F$6:$F$10005,$J368)=$I$7)),$N368*10000000+$O368*1000+361,""))</f>
        <v/>
      </c>
      <c r="Q368" t="str">
        <f>IFERROR(MATCH(SMALL($P$8:$P$407,361),$P$8:$P$407,0),"")</f>
        <v/>
      </c>
      <c r="R368" t="str">
        <f t="shared" si="77"/>
        <v/>
      </c>
      <c r="S368" t="str">
        <f t="shared" si="78"/>
        <v/>
      </c>
      <c r="T368" t="str">
        <f t="shared" si="79"/>
        <v/>
      </c>
      <c r="U368" t="str">
        <f t="shared" si="80"/>
        <v/>
      </c>
      <c r="V368">
        <f t="shared" si="82"/>
        <v>0</v>
      </c>
      <c r="W368">
        <f t="shared" si="83"/>
        <v>0</v>
      </c>
      <c r="X368">
        <f>IF($Q368="",99999+361,$X367+1+$V367+$W367)</f>
        <v>100360</v>
      </c>
      <c r="Y368" t="str">
        <f>IF($Q368="","",INDEX(บันทึกรายเที่ยว!$Q$6:$Q$10005,$R368))</f>
        <v/>
      </c>
      <c r="Z368" t="str">
        <f>IF($Q368="","",INDEX(บันทึกรายเที่ยว!$F$6:$F$10005,$R368))</f>
        <v/>
      </c>
      <c r="AA368" t="str">
        <f>IFERROR(MATCH(361,$X$8:$X$407,1),"")</f>
        <v/>
      </c>
      <c r="AB368" t="str">
        <f>IF(361=$AD$1+1,"G",IF($AA368="","",IF(INDEX($Q$8:$Q$407,$AA368)="","",IF(361&gt;INDEX($X$8:$X$407,$AA368)+INDEX($V$8:$V$407,$AA368)+INDEX($W$8:$W$407,$AA368),"",IF(361=INDEX($X$8:$X$407,$AA368)+INDEX($V$8:$V$407,$AA368)+INDEX($W$8:$W$407,$AA368),"D",IF(AND(INDEX($W$8:$W$407,$AA368)=1,361=INDEX($X$8:$X$407,$AA368)+INDEX($V$8:$V$407,$AA368)),"S","R"))))))</f>
        <v/>
      </c>
      <c r="AC368" t="str">
        <f t="shared" si="81"/>
        <v/>
      </c>
      <c r="AE368">
        <f>IF($U368="",0,COUNTIF(บันทึกรายเที่ยว!$T$6:$T$10005,$U368))</f>
        <v>0</v>
      </c>
      <c r="AF368">
        <f>IF($U368="",0,ROUND(SUMIF(บันทึกรายเที่ยว!$T$6:$T$10005,$U368,บันทึกรายเที่ยว!$J$6:$J$10005),2))</f>
        <v>0</v>
      </c>
      <c r="AG368">
        <f>IF($U368="",0,ROUND(SUMIF(บันทึกรายเที่ยว!$T$6:$T$10005,$U368,บันทึกรายเที่ยว!$K$6:$K$10005),2))</f>
        <v>0</v>
      </c>
      <c r="AH368">
        <f>IF($U368="",0,ROUND(SUMIF(บันทึกรายเที่ยว!$T$6:$T$10005,$U368,บันทึกรายเที่ยว!$M$6:$M$10005),2))</f>
        <v>0</v>
      </c>
    </row>
    <row r="369" spans="1:34" ht="21" customHeight="1" x14ac:dyDescent="0.95">
      <c r="A369" s="3" t="str">
        <f t="shared" si="70"/>
        <v/>
      </c>
      <c r="B369" s="3" t="str">
        <f t="shared" si="71"/>
        <v/>
      </c>
      <c r="C369" s="8" t="str">
        <f t="shared" si="72"/>
        <v/>
      </c>
      <c r="D369" s="31" t="str">
        <f t="shared" si="73"/>
        <v/>
      </c>
      <c r="E369" s="32" t="str">
        <f>IF(362=$AD$1+3,"ขอแสดงความนับถือ",IF(362=$AD$1+6,"(                 )",IF(362=$AD$1+7,"เจ้าหน้าที่ขนส่ง",IF($AB369="G",SUM($AF$8:$AF$407),IF(OR($AB369="",$AB369="R"),"",IF($AB369="D",INDEX($AF$8:$AF$407,$AA369),SUMIF($T$8:$T$407,INDEX($T$8:$T$407,$AA369),$AF$8:$AF$407)))))))</f>
        <v/>
      </c>
      <c r="F369" s="32" t="str">
        <f t="shared" si="74"/>
        <v/>
      </c>
      <c r="G369" s="32" t="str">
        <f t="shared" si="75"/>
        <v/>
      </c>
      <c r="H369" s="32" t="str">
        <f t="shared" si="76"/>
        <v/>
      </c>
      <c r="J369" t="str">
        <f>IFERROR(MATCH(362,บันทึกรายเที่ยว!$W$6:$W$10005,0),"")</f>
        <v/>
      </c>
      <c r="K369" t="str">
        <f>IF($J369="","",INDEX(บันทึกรายเที่ยว!$T$6:$T$10005,$J369))</f>
        <v/>
      </c>
      <c r="L369" t="str">
        <f>IF($J369="","",INDEX(บันทึกรายเที่ยว!$S$6:$S$10005,$J369))</f>
        <v/>
      </c>
      <c r="M369" t="str">
        <f>IF($J369="","",INDEX(บันทึกรายเที่ยว!$R$6:$R$10005,$J369))</f>
        <v/>
      </c>
      <c r="N369" t="str">
        <f>IF($J369="","",MATCH($M369,บันทึกรายเที่ยว!$R$6:$R$10005,0))</f>
        <v/>
      </c>
      <c r="O369" t="str">
        <f>IF($J369="","",MATCH($L369,บันทึกรายเที่ยว!$S$6:$S$10005,0))</f>
        <v/>
      </c>
      <c r="P369" t="str">
        <f>IF($J369="","",IF(AND(OR($I$3="(ทั้งหมด)",INDEX(บันทึกรายเที่ยว!$C$6:$C$10005,$J369)=$I$3),OR($I$5="(ทั้งหมด)",INDEX(บันทึกรายเที่ยว!$D$6:$D$10005,$J369)=$I$5),OR($I$7="(ทั้งหมด)",INDEX(บันทึกรายเที่ยว!$F$6:$F$10005,$J369)=$I$7)),$N369*10000000+$O369*1000+362,""))</f>
        <v/>
      </c>
      <c r="Q369" t="str">
        <f>IFERROR(MATCH(SMALL($P$8:$P$407,362),$P$8:$P$407,0),"")</f>
        <v/>
      </c>
      <c r="R369" t="str">
        <f t="shared" si="77"/>
        <v/>
      </c>
      <c r="S369" t="str">
        <f t="shared" si="78"/>
        <v/>
      </c>
      <c r="T369" t="str">
        <f t="shared" si="79"/>
        <v/>
      </c>
      <c r="U369" t="str">
        <f t="shared" si="80"/>
        <v/>
      </c>
      <c r="V369">
        <f t="shared" si="82"/>
        <v>0</v>
      </c>
      <c r="W369">
        <f t="shared" si="83"/>
        <v>0</v>
      </c>
      <c r="X369">
        <f>IF($Q369="",99999+362,$X368+1+$V368+$W368)</f>
        <v>100361</v>
      </c>
      <c r="Y369" t="str">
        <f>IF($Q369="","",INDEX(บันทึกรายเที่ยว!$Q$6:$Q$10005,$R369))</f>
        <v/>
      </c>
      <c r="Z369" t="str">
        <f>IF($Q369="","",INDEX(บันทึกรายเที่ยว!$F$6:$F$10005,$R369))</f>
        <v/>
      </c>
      <c r="AA369" t="str">
        <f>IFERROR(MATCH(362,$X$8:$X$407,1),"")</f>
        <v/>
      </c>
      <c r="AB369" t="str">
        <f>IF(362=$AD$1+1,"G",IF($AA369="","",IF(INDEX($Q$8:$Q$407,$AA369)="","",IF(362&gt;INDEX($X$8:$X$407,$AA369)+INDEX($V$8:$V$407,$AA369)+INDEX($W$8:$W$407,$AA369),"",IF(362=INDEX($X$8:$X$407,$AA369)+INDEX($V$8:$V$407,$AA369)+INDEX($W$8:$W$407,$AA369),"D",IF(AND(INDEX($W$8:$W$407,$AA369)=1,362=INDEX($X$8:$X$407,$AA369)+INDEX($V$8:$V$407,$AA369)),"S","R"))))))</f>
        <v/>
      </c>
      <c r="AC369" t="str">
        <f t="shared" si="81"/>
        <v/>
      </c>
      <c r="AE369">
        <f>IF($U369="",0,COUNTIF(บันทึกรายเที่ยว!$T$6:$T$10005,$U369))</f>
        <v>0</v>
      </c>
      <c r="AF369">
        <f>IF($U369="",0,ROUND(SUMIF(บันทึกรายเที่ยว!$T$6:$T$10005,$U369,บันทึกรายเที่ยว!$J$6:$J$10005),2))</f>
        <v>0</v>
      </c>
      <c r="AG369">
        <f>IF($U369="",0,ROUND(SUMIF(บันทึกรายเที่ยว!$T$6:$T$10005,$U369,บันทึกรายเที่ยว!$K$6:$K$10005),2))</f>
        <v>0</v>
      </c>
      <c r="AH369">
        <f>IF($U369="",0,ROUND(SUMIF(บันทึกรายเที่ยว!$T$6:$T$10005,$U369,บันทึกรายเที่ยว!$M$6:$M$10005),2))</f>
        <v>0</v>
      </c>
    </row>
    <row r="370" spans="1:34" ht="21" customHeight="1" x14ac:dyDescent="0.95">
      <c r="A370" s="3" t="str">
        <f t="shared" si="70"/>
        <v/>
      </c>
      <c r="B370" s="3" t="str">
        <f t="shared" si="71"/>
        <v/>
      </c>
      <c r="C370" s="8" t="str">
        <f t="shared" si="72"/>
        <v/>
      </c>
      <c r="D370" s="31" t="str">
        <f t="shared" si="73"/>
        <v/>
      </c>
      <c r="E370" s="32" t="str">
        <f>IF(363=$AD$1+3,"ขอแสดงความนับถือ",IF(363=$AD$1+6,"(                 )",IF(363=$AD$1+7,"เจ้าหน้าที่ขนส่ง",IF($AB370="G",SUM($AF$8:$AF$407),IF(OR($AB370="",$AB370="R"),"",IF($AB370="D",INDEX($AF$8:$AF$407,$AA370),SUMIF($T$8:$T$407,INDEX($T$8:$T$407,$AA370),$AF$8:$AF$407)))))))</f>
        <v/>
      </c>
      <c r="F370" s="32" t="str">
        <f t="shared" si="74"/>
        <v/>
      </c>
      <c r="G370" s="32" t="str">
        <f t="shared" si="75"/>
        <v/>
      </c>
      <c r="H370" s="32" t="str">
        <f t="shared" si="76"/>
        <v/>
      </c>
      <c r="J370" t="str">
        <f>IFERROR(MATCH(363,บันทึกรายเที่ยว!$W$6:$W$10005,0),"")</f>
        <v/>
      </c>
      <c r="K370" t="str">
        <f>IF($J370="","",INDEX(บันทึกรายเที่ยว!$T$6:$T$10005,$J370))</f>
        <v/>
      </c>
      <c r="L370" t="str">
        <f>IF($J370="","",INDEX(บันทึกรายเที่ยว!$S$6:$S$10005,$J370))</f>
        <v/>
      </c>
      <c r="M370" t="str">
        <f>IF($J370="","",INDEX(บันทึกรายเที่ยว!$R$6:$R$10005,$J370))</f>
        <v/>
      </c>
      <c r="N370" t="str">
        <f>IF($J370="","",MATCH($M370,บันทึกรายเที่ยว!$R$6:$R$10005,0))</f>
        <v/>
      </c>
      <c r="O370" t="str">
        <f>IF($J370="","",MATCH($L370,บันทึกรายเที่ยว!$S$6:$S$10005,0))</f>
        <v/>
      </c>
      <c r="P370" t="str">
        <f>IF($J370="","",IF(AND(OR($I$3="(ทั้งหมด)",INDEX(บันทึกรายเที่ยว!$C$6:$C$10005,$J370)=$I$3),OR($I$5="(ทั้งหมด)",INDEX(บันทึกรายเที่ยว!$D$6:$D$10005,$J370)=$I$5),OR($I$7="(ทั้งหมด)",INDEX(บันทึกรายเที่ยว!$F$6:$F$10005,$J370)=$I$7)),$N370*10000000+$O370*1000+363,""))</f>
        <v/>
      </c>
      <c r="Q370" t="str">
        <f>IFERROR(MATCH(SMALL($P$8:$P$407,363),$P$8:$P$407,0),"")</f>
        <v/>
      </c>
      <c r="R370" t="str">
        <f t="shared" si="77"/>
        <v/>
      </c>
      <c r="S370" t="str">
        <f t="shared" si="78"/>
        <v/>
      </c>
      <c r="T370" t="str">
        <f t="shared" si="79"/>
        <v/>
      </c>
      <c r="U370" t="str">
        <f t="shared" si="80"/>
        <v/>
      </c>
      <c r="V370">
        <f t="shared" si="82"/>
        <v>0</v>
      </c>
      <c r="W370">
        <f t="shared" si="83"/>
        <v>0</v>
      </c>
      <c r="X370">
        <f>IF($Q370="",99999+363,$X369+1+$V369+$W369)</f>
        <v>100362</v>
      </c>
      <c r="Y370" t="str">
        <f>IF($Q370="","",INDEX(บันทึกรายเที่ยว!$Q$6:$Q$10005,$R370))</f>
        <v/>
      </c>
      <c r="Z370" t="str">
        <f>IF($Q370="","",INDEX(บันทึกรายเที่ยว!$F$6:$F$10005,$R370))</f>
        <v/>
      </c>
      <c r="AA370" t="str">
        <f>IFERROR(MATCH(363,$X$8:$X$407,1),"")</f>
        <v/>
      </c>
      <c r="AB370" t="str">
        <f>IF(363=$AD$1+1,"G",IF($AA370="","",IF(INDEX($Q$8:$Q$407,$AA370)="","",IF(363&gt;INDEX($X$8:$X$407,$AA370)+INDEX($V$8:$V$407,$AA370)+INDEX($W$8:$W$407,$AA370),"",IF(363=INDEX($X$8:$X$407,$AA370)+INDEX($V$8:$V$407,$AA370)+INDEX($W$8:$W$407,$AA370),"D",IF(AND(INDEX($W$8:$W$407,$AA370)=1,363=INDEX($X$8:$X$407,$AA370)+INDEX($V$8:$V$407,$AA370)),"S","R"))))))</f>
        <v/>
      </c>
      <c r="AC370" t="str">
        <f t="shared" si="81"/>
        <v/>
      </c>
      <c r="AE370">
        <f>IF($U370="",0,COUNTIF(บันทึกรายเที่ยว!$T$6:$T$10005,$U370))</f>
        <v>0</v>
      </c>
      <c r="AF370">
        <f>IF($U370="",0,ROUND(SUMIF(บันทึกรายเที่ยว!$T$6:$T$10005,$U370,บันทึกรายเที่ยว!$J$6:$J$10005),2))</f>
        <v>0</v>
      </c>
      <c r="AG370">
        <f>IF($U370="",0,ROUND(SUMIF(บันทึกรายเที่ยว!$T$6:$T$10005,$U370,บันทึกรายเที่ยว!$K$6:$K$10005),2))</f>
        <v>0</v>
      </c>
      <c r="AH370">
        <f>IF($U370="",0,ROUND(SUMIF(บันทึกรายเที่ยว!$T$6:$T$10005,$U370,บันทึกรายเที่ยว!$M$6:$M$10005),2))</f>
        <v>0</v>
      </c>
    </row>
    <row r="371" spans="1:34" ht="21" customHeight="1" x14ac:dyDescent="0.95">
      <c r="A371" s="3" t="str">
        <f t="shared" si="70"/>
        <v/>
      </c>
      <c r="B371" s="3" t="str">
        <f t="shared" si="71"/>
        <v/>
      </c>
      <c r="C371" s="8" t="str">
        <f t="shared" si="72"/>
        <v/>
      </c>
      <c r="D371" s="31" t="str">
        <f t="shared" si="73"/>
        <v/>
      </c>
      <c r="E371" s="32" t="str">
        <f>IF(364=$AD$1+3,"ขอแสดงความนับถือ",IF(364=$AD$1+6,"(                 )",IF(364=$AD$1+7,"เจ้าหน้าที่ขนส่ง",IF($AB371="G",SUM($AF$8:$AF$407),IF(OR($AB371="",$AB371="R"),"",IF($AB371="D",INDEX($AF$8:$AF$407,$AA371),SUMIF($T$8:$T$407,INDEX($T$8:$T$407,$AA371),$AF$8:$AF$407)))))))</f>
        <v/>
      </c>
      <c r="F371" s="32" t="str">
        <f t="shared" si="74"/>
        <v/>
      </c>
      <c r="G371" s="32" t="str">
        <f t="shared" si="75"/>
        <v/>
      </c>
      <c r="H371" s="32" t="str">
        <f t="shared" si="76"/>
        <v/>
      </c>
      <c r="J371" t="str">
        <f>IFERROR(MATCH(364,บันทึกรายเที่ยว!$W$6:$W$10005,0),"")</f>
        <v/>
      </c>
      <c r="K371" t="str">
        <f>IF($J371="","",INDEX(บันทึกรายเที่ยว!$T$6:$T$10005,$J371))</f>
        <v/>
      </c>
      <c r="L371" t="str">
        <f>IF($J371="","",INDEX(บันทึกรายเที่ยว!$S$6:$S$10005,$J371))</f>
        <v/>
      </c>
      <c r="M371" t="str">
        <f>IF($J371="","",INDEX(บันทึกรายเที่ยว!$R$6:$R$10005,$J371))</f>
        <v/>
      </c>
      <c r="N371" t="str">
        <f>IF($J371="","",MATCH($M371,บันทึกรายเที่ยว!$R$6:$R$10005,0))</f>
        <v/>
      </c>
      <c r="O371" t="str">
        <f>IF($J371="","",MATCH($L371,บันทึกรายเที่ยว!$S$6:$S$10005,0))</f>
        <v/>
      </c>
      <c r="P371" t="str">
        <f>IF($J371="","",IF(AND(OR($I$3="(ทั้งหมด)",INDEX(บันทึกรายเที่ยว!$C$6:$C$10005,$J371)=$I$3),OR($I$5="(ทั้งหมด)",INDEX(บันทึกรายเที่ยว!$D$6:$D$10005,$J371)=$I$5),OR($I$7="(ทั้งหมด)",INDEX(บันทึกรายเที่ยว!$F$6:$F$10005,$J371)=$I$7)),$N371*10000000+$O371*1000+364,""))</f>
        <v/>
      </c>
      <c r="Q371" t="str">
        <f>IFERROR(MATCH(SMALL($P$8:$P$407,364),$P$8:$P$407,0),"")</f>
        <v/>
      </c>
      <c r="R371" t="str">
        <f t="shared" si="77"/>
        <v/>
      </c>
      <c r="S371" t="str">
        <f t="shared" si="78"/>
        <v/>
      </c>
      <c r="T371" t="str">
        <f t="shared" si="79"/>
        <v/>
      </c>
      <c r="U371" t="str">
        <f t="shared" si="80"/>
        <v/>
      </c>
      <c r="V371">
        <f t="shared" si="82"/>
        <v>0</v>
      </c>
      <c r="W371">
        <f t="shared" si="83"/>
        <v>0</v>
      </c>
      <c r="X371">
        <f>IF($Q371="",99999+364,$X370+1+$V370+$W370)</f>
        <v>100363</v>
      </c>
      <c r="Y371" t="str">
        <f>IF($Q371="","",INDEX(บันทึกรายเที่ยว!$Q$6:$Q$10005,$R371))</f>
        <v/>
      </c>
      <c r="Z371" t="str">
        <f>IF($Q371="","",INDEX(บันทึกรายเที่ยว!$F$6:$F$10005,$R371))</f>
        <v/>
      </c>
      <c r="AA371" t="str">
        <f>IFERROR(MATCH(364,$X$8:$X$407,1),"")</f>
        <v/>
      </c>
      <c r="AB371" t="str">
        <f>IF(364=$AD$1+1,"G",IF($AA371="","",IF(INDEX($Q$8:$Q$407,$AA371)="","",IF(364&gt;INDEX($X$8:$X$407,$AA371)+INDEX($V$8:$V$407,$AA371)+INDEX($W$8:$W$407,$AA371),"",IF(364=INDEX($X$8:$X$407,$AA371)+INDEX($V$8:$V$407,$AA371)+INDEX($W$8:$W$407,$AA371),"D",IF(AND(INDEX($W$8:$W$407,$AA371)=1,364=INDEX($X$8:$X$407,$AA371)+INDEX($V$8:$V$407,$AA371)),"S","R"))))))</f>
        <v/>
      </c>
      <c r="AC371" t="str">
        <f t="shared" si="81"/>
        <v/>
      </c>
      <c r="AE371">
        <f>IF($U371="",0,COUNTIF(บันทึกรายเที่ยว!$T$6:$T$10005,$U371))</f>
        <v>0</v>
      </c>
      <c r="AF371">
        <f>IF($U371="",0,ROUND(SUMIF(บันทึกรายเที่ยว!$T$6:$T$10005,$U371,บันทึกรายเที่ยว!$J$6:$J$10005),2))</f>
        <v>0</v>
      </c>
      <c r="AG371">
        <f>IF($U371="",0,ROUND(SUMIF(บันทึกรายเที่ยว!$T$6:$T$10005,$U371,บันทึกรายเที่ยว!$K$6:$K$10005),2))</f>
        <v>0</v>
      </c>
      <c r="AH371">
        <f>IF($U371="",0,ROUND(SUMIF(บันทึกรายเที่ยว!$T$6:$T$10005,$U371,บันทึกรายเที่ยว!$M$6:$M$10005),2))</f>
        <v>0</v>
      </c>
    </row>
    <row r="372" spans="1:34" ht="21" customHeight="1" x14ac:dyDescent="0.95">
      <c r="A372" s="3" t="str">
        <f t="shared" si="70"/>
        <v/>
      </c>
      <c r="B372" s="3" t="str">
        <f t="shared" si="71"/>
        <v/>
      </c>
      <c r="C372" s="8" t="str">
        <f t="shared" si="72"/>
        <v/>
      </c>
      <c r="D372" s="31" t="str">
        <f t="shared" si="73"/>
        <v/>
      </c>
      <c r="E372" s="32" t="str">
        <f>IF(365=$AD$1+3,"ขอแสดงความนับถือ",IF(365=$AD$1+6,"(                 )",IF(365=$AD$1+7,"เจ้าหน้าที่ขนส่ง",IF($AB372="G",SUM($AF$8:$AF$407),IF(OR($AB372="",$AB372="R"),"",IF($AB372="D",INDEX($AF$8:$AF$407,$AA372),SUMIF($T$8:$T$407,INDEX($T$8:$T$407,$AA372),$AF$8:$AF$407)))))))</f>
        <v/>
      </c>
      <c r="F372" s="32" t="str">
        <f t="shared" si="74"/>
        <v/>
      </c>
      <c r="G372" s="32" t="str">
        <f t="shared" si="75"/>
        <v/>
      </c>
      <c r="H372" s="32" t="str">
        <f t="shared" si="76"/>
        <v/>
      </c>
      <c r="J372" t="str">
        <f>IFERROR(MATCH(365,บันทึกรายเที่ยว!$W$6:$W$10005,0),"")</f>
        <v/>
      </c>
      <c r="K372" t="str">
        <f>IF($J372="","",INDEX(บันทึกรายเที่ยว!$T$6:$T$10005,$J372))</f>
        <v/>
      </c>
      <c r="L372" t="str">
        <f>IF($J372="","",INDEX(บันทึกรายเที่ยว!$S$6:$S$10005,$J372))</f>
        <v/>
      </c>
      <c r="M372" t="str">
        <f>IF($J372="","",INDEX(บันทึกรายเที่ยว!$R$6:$R$10005,$J372))</f>
        <v/>
      </c>
      <c r="N372" t="str">
        <f>IF($J372="","",MATCH($M372,บันทึกรายเที่ยว!$R$6:$R$10005,0))</f>
        <v/>
      </c>
      <c r="O372" t="str">
        <f>IF($J372="","",MATCH($L372,บันทึกรายเที่ยว!$S$6:$S$10005,0))</f>
        <v/>
      </c>
      <c r="P372" t="str">
        <f>IF($J372="","",IF(AND(OR($I$3="(ทั้งหมด)",INDEX(บันทึกรายเที่ยว!$C$6:$C$10005,$J372)=$I$3),OR($I$5="(ทั้งหมด)",INDEX(บันทึกรายเที่ยว!$D$6:$D$10005,$J372)=$I$5),OR($I$7="(ทั้งหมด)",INDEX(บันทึกรายเที่ยว!$F$6:$F$10005,$J372)=$I$7)),$N372*10000000+$O372*1000+365,""))</f>
        <v/>
      </c>
      <c r="Q372" t="str">
        <f>IFERROR(MATCH(SMALL($P$8:$P$407,365),$P$8:$P$407,0),"")</f>
        <v/>
      </c>
      <c r="R372" t="str">
        <f t="shared" si="77"/>
        <v/>
      </c>
      <c r="S372" t="str">
        <f t="shared" si="78"/>
        <v/>
      </c>
      <c r="T372" t="str">
        <f t="shared" si="79"/>
        <v/>
      </c>
      <c r="U372" t="str">
        <f t="shared" si="80"/>
        <v/>
      </c>
      <c r="V372">
        <f t="shared" si="82"/>
        <v>0</v>
      </c>
      <c r="W372">
        <f t="shared" si="83"/>
        <v>0</v>
      </c>
      <c r="X372">
        <f>IF($Q372="",99999+365,$X371+1+$V371+$W371)</f>
        <v>100364</v>
      </c>
      <c r="Y372" t="str">
        <f>IF($Q372="","",INDEX(บันทึกรายเที่ยว!$Q$6:$Q$10005,$R372))</f>
        <v/>
      </c>
      <c r="Z372" t="str">
        <f>IF($Q372="","",INDEX(บันทึกรายเที่ยว!$F$6:$F$10005,$R372))</f>
        <v/>
      </c>
      <c r="AA372" t="str">
        <f>IFERROR(MATCH(365,$X$8:$X$407,1),"")</f>
        <v/>
      </c>
      <c r="AB372" t="str">
        <f>IF(365=$AD$1+1,"G",IF($AA372="","",IF(INDEX($Q$8:$Q$407,$AA372)="","",IF(365&gt;INDEX($X$8:$X$407,$AA372)+INDEX($V$8:$V$407,$AA372)+INDEX($W$8:$W$407,$AA372),"",IF(365=INDEX($X$8:$X$407,$AA372)+INDEX($V$8:$V$407,$AA372)+INDEX($W$8:$W$407,$AA372),"D",IF(AND(INDEX($W$8:$W$407,$AA372)=1,365=INDEX($X$8:$X$407,$AA372)+INDEX($V$8:$V$407,$AA372)),"S","R"))))))</f>
        <v/>
      </c>
      <c r="AC372" t="str">
        <f t="shared" si="81"/>
        <v/>
      </c>
      <c r="AE372">
        <f>IF($U372="",0,COUNTIF(บันทึกรายเที่ยว!$T$6:$T$10005,$U372))</f>
        <v>0</v>
      </c>
      <c r="AF372">
        <f>IF($U372="",0,ROUND(SUMIF(บันทึกรายเที่ยว!$T$6:$T$10005,$U372,บันทึกรายเที่ยว!$J$6:$J$10005),2))</f>
        <v>0</v>
      </c>
      <c r="AG372">
        <f>IF($U372="",0,ROUND(SUMIF(บันทึกรายเที่ยว!$T$6:$T$10005,$U372,บันทึกรายเที่ยว!$K$6:$K$10005),2))</f>
        <v>0</v>
      </c>
      <c r="AH372">
        <f>IF($U372="",0,ROUND(SUMIF(บันทึกรายเที่ยว!$T$6:$T$10005,$U372,บันทึกรายเที่ยว!$M$6:$M$10005),2))</f>
        <v>0</v>
      </c>
    </row>
    <row r="373" spans="1:34" ht="21" customHeight="1" x14ac:dyDescent="0.95">
      <c r="A373" s="3" t="str">
        <f t="shared" si="70"/>
        <v/>
      </c>
      <c r="B373" s="3" t="str">
        <f t="shared" si="71"/>
        <v/>
      </c>
      <c r="C373" s="8" t="str">
        <f t="shared" si="72"/>
        <v/>
      </c>
      <c r="D373" s="31" t="str">
        <f t="shared" si="73"/>
        <v/>
      </c>
      <c r="E373" s="32" t="str">
        <f>IF(366=$AD$1+3,"ขอแสดงความนับถือ",IF(366=$AD$1+6,"(                 )",IF(366=$AD$1+7,"เจ้าหน้าที่ขนส่ง",IF($AB373="G",SUM($AF$8:$AF$407),IF(OR($AB373="",$AB373="R"),"",IF($AB373="D",INDEX($AF$8:$AF$407,$AA373),SUMIF($T$8:$T$407,INDEX($T$8:$T$407,$AA373),$AF$8:$AF$407)))))))</f>
        <v/>
      </c>
      <c r="F373" s="32" t="str">
        <f t="shared" si="74"/>
        <v/>
      </c>
      <c r="G373" s="32" t="str">
        <f t="shared" si="75"/>
        <v/>
      </c>
      <c r="H373" s="32" t="str">
        <f t="shared" si="76"/>
        <v/>
      </c>
      <c r="J373" t="str">
        <f>IFERROR(MATCH(366,บันทึกรายเที่ยว!$W$6:$W$10005,0),"")</f>
        <v/>
      </c>
      <c r="K373" t="str">
        <f>IF($J373="","",INDEX(บันทึกรายเที่ยว!$T$6:$T$10005,$J373))</f>
        <v/>
      </c>
      <c r="L373" t="str">
        <f>IF($J373="","",INDEX(บันทึกรายเที่ยว!$S$6:$S$10005,$J373))</f>
        <v/>
      </c>
      <c r="M373" t="str">
        <f>IF($J373="","",INDEX(บันทึกรายเที่ยว!$R$6:$R$10005,$J373))</f>
        <v/>
      </c>
      <c r="N373" t="str">
        <f>IF($J373="","",MATCH($M373,บันทึกรายเที่ยว!$R$6:$R$10005,0))</f>
        <v/>
      </c>
      <c r="O373" t="str">
        <f>IF($J373="","",MATCH($L373,บันทึกรายเที่ยว!$S$6:$S$10005,0))</f>
        <v/>
      </c>
      <c r="P373" t="str">
        <f>IF($J373="","",IF(AND(OR($I$3="(ทั้งหมด)",INDEX(บันทึกรายเที่ยว!$C$6:$C$10005,$J373)=$I$3),OR($I$5="(ทั้งหมด)",INDEX(บันทึกรายเที่ยว!$D$6:$D$10005,$J373)=$I$5),OR($I$7="(ทั้งหมด)",INDEX(บันทึกรายเที่ยว!$F$6:$F$10005,$J373)=$I$7)),$N373*10000000+$O373*1000+366,""))</f>
        <v/>
      </c>
      <c r="Q373" t="str">
        <f>IFERROR(MATCH(SMALL($P$8:$P$407,366),$P$8:$P$407,0),"")</f>
        <v/>
      </c>
      <c r="R373" t="str">
        <f t="shared" si="77"/>
        <v/>
      </c>
      <c r="S373" t="str">
        <f t="shared" si="78"/>
        <v/>
      </c>
      <c r="T373" t="str">
        <f t="shared" si="79"/>
        <v/>
      </c>
      <c r="U373" t="str">
        <f t="shared" si="80"/>
        <v/>
      </c>
      <c r="V373">
        <f t="shared" si="82"/>
        <v>0</v>
      </c>
      <c r="W373">
        <f t="shared" si="83"/>
        <v>0</v>
      </c>
      <c r="X373">
        <f>IF($Q373="",99999+366,$X372+1+$V372+$W372)</f>
        <v>100365</v>
      </c>
      <c r="Y373" t="str">
        <f>IF($Q373="","",INDEX(บันทึกรายเที่ยว!$Q$6:$Q$10005,$R373))</f>
        <v/>
      </c>
      <c r="Z373" t="str">
        <f>IF($Q373="","",INDEX(บันทึกรายเที่ยว!$F$6:$F$10005,$R373))</f>
        <v/>
      </c>
      <c r="AA373" t="str">
        <f>IFERROR(MATCH(366,$X$8:$X$407,1),"")</f>
        <v/>
      </c>
      <c r="AB373" t="str">
        <f>IF(366=$AD$1+1,"G",IF($AA373="","",IF(INDEX($Q$8:$Q$407,$AA373)="","",IF(366&gt;INDEX($X$8:$X$407,$AA373)+INDEX($V$8:$V$407,$AA373)+INDEX($W$8:$W$407,$AA373),"",IF(366=INDEX($X$8:$X$407,$AA373)+INDEX($V$8:$V$407,$AA373)+INDEX($W$8:$W$407,$AA373),"D",IF(AND(INDEX($W$8:$W$407,$AA373)=1,366=INDEX($X$8:$X$407,$AA373)+INDEX($V$8:$V$407,$AA373)),"S","R"))))))</f>
        <v/>
      </c>
      <c r="AC373" t="str">
        <f t="shared" si="81"/>
        <v/>
      </c>
      <c r="AE373">
        <f>IF($U373="",0,COUNTIF(บันทึกรายเที่ยว!$T$6:$T$10005,$U373))</f>
        <v>0</v>
      </c>
      <c r="AF373">
        <f>IF($U373="",0,ROUND(SUMIF(บันทึกรายเที่ยว!$T$6:$T$10005,$U373,บันทึกรายเที่ยว!$J$6:$J$10005),2))</f>
        <v>0</v>
      </c>
      <c r="AG373">
        <f>IF($U373="",0,ROUND(SUMIF(บันทึกรายเที่ยว!$T$6:$T$10005,$U373,บันทึกรายเที่ยว!$K$6:$K$10005),2))</f>
        <v>0</v>
      </c>
      <c r="AH373">
        <f>IF($U373="",0,ROUND(SUMIF(บันทึกรายเที่ยว!$T$6:$T$10005,$U373,บันทึกรายเที่ยว!$M$6:$M$10005),2))</f>
        <v>0</v>
      </c>
    </row>
    <row r="374" spans="1:34" ht="21" customHeight="1" x14ac:dyDescent="0.95">
      <c r="A374" s="3" t="str">
        <f t="shared" si="70"/>
        <v/>
      </c>
      <c r="B374" s="3" t="str">
        <f t="shared" si="71"/>
        <v/>
      </c>
      <c r="C374" s="8" t="str">
        <f t="shared" si="72"/>
        <v/>
      </c>
      <c r="D374" s="31" t="str">
        <f t="shared" si="73"/>
        <v/>
      </c>
      <c r="E374" s="32" t="str">
        <f>IF(367=$AD$1+3,"ขอแสดงความนับถือ",IF(367=$AD$1+6,"(                 )",IF(367=$AD$1+7,"เจ้าหน้าที่ขนส่ง",IF($AB374="G",SUM($AF$8:$AF$407),IF(OR($AB374="",$AB374="R"),"",IF($AB374="D",INDEX($AF$8:$AF$407,$AA374),SUMIF($T$8:$T$407,INDEX($T$8:$T$407,$AA374),$AF$8:$AF$407)))))))</f>
        <v/>
      </c>
      <c r="F374" s="32" t="str">
        <f t="shared" si="74"/>
        <v/>
      </c>
      <c r="G374" s="32" t="str">
        <f t="shared" si="75"/>
        <v/>
      </c>
      <c r="H374" s="32" t="str">
        <f t="shared" si="76"/>
        <v/>
      </c>
      <c r="J374" t="str">
        <f>IFERROR(MATCH(367,บันทึกรายเที่ยว!$W$6:$W$10005,0),"")</f>
        <v/>
      </c>
      <c r="K374" t="str">
        <f>IF($J374="","",INDEX(บันทึกรายเที่ยว!$T$6:$T$10005,$J374))</f>
        <v/>
      </c>
      <c r="L374" t="str">
        <f>IF($J374="","",INDEX(บันทึกรายเที่ยว!$S$6:$S$10005,$J374))</f>
        <v/>
      </c>
      <c r="M374" t="str">
        <f>IF($J374="","",INDEX(บันทึกรายเที่ยว!$R$6:$R$10005,$J374))</f>
        <v/>
      </c>
      <c r="N374" t="str">
        <f>IF($J374="","",MATCH($M374,บันทึกรายเที่ยว!$R$6:$R$10005,0))</f>
        <v/>
      </c>
      <c r="O374" t="str">
        <f>IF($J374="","",MATCH($L374,บันทึกรายเที่ยว!$S$6:$S$10005,0))</f>
        <v/>
      </c>
      <c r="P374" t="str">
        <f>IF($J374="","",IF(AND(OR($I$3="(ทั้งหมด)",INDEX(บันทึกรายเที่ยว!$C$6:$C$10005,$J374)=$I$3),OR($I$5="(ทั้งหมด)",INDEX(บันทึกรายเที่ยว!$D$6:$D$10005,$J374)=$I$5),OR($I$7="(ทั้งหมด)",INDEX(บันทึกรายเที่ยว!$F$6:$F$10005,$J374)=$I$7)),$N374*10000000+$O374*1000+367,""))</f>
        <v/>
      </c>
      <c r="Q374" t="str">
        <f>IFERROR(MATCH(SMALL($P$8:$P$407,367),$P$8:$P$407,0),"")</f>
        <v/>
      </c>
      <c r="R374" t="str">
        <f t="shared" si="77"/>
        <v/>
      </c>
      <c r="S374" t="str">
        <f t="shared" si="78"/>
        <v/>
      </c>
      <c r="T374" t="str">
        <f t="shared" si="79"/>
        <v/>
      </c>
      <c r="U374" t="str">
        <f t="shared" si="80"/>
        <v/>
      </c>
      <c r="V374">
        <f t="shared" si="82"/>
        <v>0</v>
      </c>
      <c r="W374">
        <f t="shared" si="83"/>
        <v>0</v>
      </c>
      <c r="X374">
        <f>IF($Q374="",99999+367,$X373+1+$V373+$W373)</f>
        <v>100366</v>
      </c>
      <c r="Y374" t="str">
        <f>IF($Q374="","",INDEX(บันทึกรายเที่ยว!$Q$6:$Q$10005,$R374))</f>
        <v/>
      </c>
      <c r="Z374" t="str">
        <f>IF($Q374="","",INDEX(บันทึกรายเที่ยว!$F$6:$F$10005,$R374))</f>
        <v/>
      </c>
      <c r="AA374" t="str">
        <f>IFERROR(MATCH(367,$X$8:$X$407,1),"")</f>
        <v/>
      </c>
      <c r="AB374" t="str">
        <f>IF(367=$AD$1+1,"G",IF($AA374="","",IF(INDEX($Q$8:$Q$407,$AA374)="","",IF(367&gt;INDEX($X$8:$X$407,$AA374)+INDEX($V$8:$V$407,$AA374)+INDEX($W$8:$W$407,$AA374),"",IF(367=INDEX($X$8:$X$407,$AA374)+INDEX($V$8:$V$407,$AA374)+INDEX($W$8:$W$407,$AA374),"D",IF(AND(INDEX($W$8:$W$407,$AA374)=1,367=INDEX($X$8:$X$407,$AA374)+INDEX($V$8:$V$407,$AA374)),"S","R"))))))</f>
        <v/>
      </c>
      <c r="AC374" t="str">
        <f t="shared" si="81"/>
        <v/>
      </c>
      <c r="AE374">
        <f>IF($U374="",0,COUNTIF(บันทึกรายเที่ยว!$T$6:$T$10005,$U374))</f>
        <v>0</v>
      </c>
      <c r="AF374">
        <f>IF($U374="",0,ROUND(SUMIF(บันทึกรายเที่ยว!$T$6:$T$10005,$U374,บันทึกรายเที่ยว!$J$6:$J$10005),2))</f>
        <v>0</v>
      </c>
      <c r="AG374">
        <f>IF($U374="",0,ROUND(SUMIF(บันทึกรายเที่ยว!$T$6:$T$10005,$U374,บันทึกรายเที่ยว!$K$6:$K$10005),2))</f>
        <v>0</v>
      </c>
      <c r="AH374">
        <f>IF($U374="",0,ROUND(SUMIF(บันทึกรายเที่ยว!$T$6:$T$10005,$U374,บันทึกรายเที่ยว!$M$6:$M$10005),2))</f>
        <v>0</v>
      </c>
    </row>
    <row r="375" spans="1:34" ht="21" customHeight="1" x14ac:dyDescent="0.95">
      <c r="A375" s="3" t="str">
        <f t="shared" si="70"/>
        <v/>
      </c>
      <c r="B375" s="3" t="str">
        <f t="shared" si="71"/>
        <v/>
      </c>
      <c r="C375" s="8" t="str">
        <f t="shared" si="72"/>
        <v/>
      </c>
      <c r="D375" s="31" t="str">
        <f t="shared" si="73"/>
        <v/>
      </c>
      <c r="E375" s="32" t="str">
        <f>IF(368=$AD$1+3,"ขอแสดงความนับถือ",IF(368=$AD$1+6,"(                 )",IF(368=$AD$1+7,"เจ้าหน้าที่ขนส่ง",IF($AB375="G",SUM($AF$8:$AF$407),IF(OR($AB375="",$AB375="R"),"",IF($AB375="D",INDEX($AF$8:$AF$407,$AA375),SUMIF($T$8:$T$407,INDEX($T$8:$T$407,$AA375),$AF$8:$AF$407)))))))</f>
        <v/>
      </c>
      <c r="F375" s="32" t="str">
        <f t="shared" si="74"/>
        <v/>
      </c>
      <c r="G375" s="32" t="str">
        <f t="shared" si="75"/>
        <v/>
      </c>
      <c r="H375" s="32" t="str">
        <f t="shared" si="76"/>
        <v/>
      </c>
      <c r="J375" t="str">
        <f>IFERROR(MATCH(368,บันทึกรายเที่ยว!$W$6:$W$10005,0),"")</f>
        <v/>
      </c>
      <c r="K375" t="str">
        <f>IF($J375="","",INDEX(บันทึกรายเที่ยว!$T$6:$T$10005,$J375))</f>
        <v/>
      </c>
      <c r="L375" t="str">
        <f>IF($J375="","",INDEX(บันทึกรายเที่ยว!$S$6:$S$10005,$J375))</f>
        <v/>
      </c>
      <c r="M375" t="str">
        <f>IF($J375="","",INDEX(บันทึกรายเที่ยว!$R$6:$R$10005,$J375))</f>
        <v/>
      </c>
      <c r="N375" t="str">
        <f>IF($J375="","",MATCH($M375,บันทึกรายเที่ยว!$R$6:$R$10005,0))</f>
        <v/>
      </c>
      <c r="O375" t="str">
        <f>IF($J375="","",MATCH($L375,บันทึกรายเที่ยว!$S$6:$S$10005,0))</f>
        <v/>
      </c>
      <c r="P375" t="str">
        <f>IF($J375="","",IF(AND(OR($I$3="(ทั้งหมด)",INDEX(บันทึกรายเที่ยว!$C$6:$C$10005,$J375)=$I$3),OR($I$5="(ทั้งหมด)",INDEX(บันทึกรายเที่ยว!$D$6:$D$10005,$J375)=$I$5),OR($I$7="(ทั้งหมด)",INDEX(บันทึกรายเที่ยว!$F$6:$F$10005,$J375)=$I$7)),$N375*10000000+$O375*1000+368,""))</f>
        <v/>
      </c>
      <c r="Q375" t="str">
        <f>IFERROR(MATCH(SMALL($P$8:$P$407,368),$P$8:$P$407,0),"")</f>
        <v/>
      </c>
      <c r="R375" t="str">
        <f t="shared" si="77"/>
        <v/>
      </c>
      <c r="S375" t="str">
        <f t="shared" si="78"/>
        <v/>
      </c>
      <c r="T375" t="str">
        <f t="shared" si="79"/>
        <v/>
      </c>
      <c r="U375" t="str">
        <f t="shared" si="80"/>
        <v/>
      </c>
      <c r="V375">
        <f t="shared" si="82"/>
        <v>0</v>
      </c>
      <c r="W375">
        <f t="shared" si="83"/>
        <v>0</v>
      </c>
      <c r="X375">
        <f>IF($Q375="",99999+368,$X374+1+$V374+$W374)</f>
        <v>100367</v>
      </c>
      <c r="Y375" t="str">
        <f>IF($Q375="","",INDEX(บันทึกรายเที่ยว!$Q$6:$Q$10005,$R375))</f>
        <v/>
      </c>
      <c r="Z375" t="str">
        <f>IF($Q375="","",INDEX(บันทึกรายเที่ยว!$F$6:$F$10005,$R375))</f>
        <v/>
      </c>
      <c r="AA375" t="str">
        <f>IFERROR(MATCH(368,$X$8:$X$407,1),"")</f>
        <v/>
      </c>
      <c r="AB375" t="str">
        <f>IF(368=$AD$1+1,"G",IF($AA375="","",IF(INDEX($Q$8:$Q$407,$AA375)="","",IF(368&gt;INDEX($X$8:$X$407,$AA375)+INDEX($V$8:$V$407,$AA375)+INDEX($W$8:$W$407,$AA375),"",IF(368=INDEX($X$8:$X$407,$AA375)+INDEX($V$8:$V$407,$AA375)+INDEX($W$8:$W$407,$AA375),"D",IF(AND(INDEX($W$8:$W$407,$AA375)=1,368=INDEX($X$8:$X$407,$AA375)+INDEX($V$8:$V$407,$AA375)),"S","R"))))))</f>
        <v/>
      </c>
      <c r="AC375" t="str">
        <f t="shared" si="81"/>
        <v/>
      </c>
      <c r="AE375">
        <f>IF($U375="",0,COUNTIF(บันทึกรายเที่ยว!$T$6:$T$10005,$U375))</f>
        <v>0</v>
      </c>
      <c r="AF375">
        <f>IF($U375="",0,ROUND(SUMIF(บันทึกรายเที่ยว!$T$6:$T$10005,$U375,บันทึกรายเที่ยว!$J$6:$J$10005),2))</f>
        <v>0</v>
      </c>
      <c r="AG375">
        <f>IF($U375="",0,ROUND(SUMIF(บันทึกรายเที่ยว!$T$6:$T$10005,$U375,บันทึกรายเที่ยว!$K$6:$K$10005),2))</f>
        <v>0</v>
      </c>
      <c r="AH375">
        <f>IF($U375="",0,ROUND(SUMIF(บันทึกรายเที่ยว!$T$6:$T$10005,$U375,บันทึกรายเที่ยว!$M$6:$M$10005),2))</f>
        <v>0</v>
      </c>
    </row>
    <row r="376" spans="1:34" ht="21" customHeight="1" x14ac:dyDescent="0.95">
      <c r="A376" s="3" t="str">
        <f t="shared" si="70"/>
        <v/>
      </c>
      <c r="B376" s="3" t="str">
        <f t="shared" si="71"/>
        <v/>
      </c>
      <c r="C376" s="8" t="str">
        <f t="shared" si="72"/>
        <v/>
      </c>
      <c r="D376" s="31" t="str">
        <f t="shared" si="73"/>
        <v/>
      </c>
      <c r="E376" s="32" t="str">
        <f>IF(369=$AD$1+3,"ขอแสดงความนับถือ",IF(369=$AD$1+6,"(                 )",IF(369=$AD$1+7,"เจ้าหน้าที่ขนส่ง",IF($AB376="G",SUM($AF$8:$AF$407),IF(OR($AB376="",$AB376="R"),"",IF($AB376="D",INDEX($AF$8:$AF$407,$AA376),SUMIF($T$8:$T$407,INDEX($T$8:$T$407,$AA376),$AF$8:$AF$407)))))))</f>
        <v/>
      </c>
      <c r="F376" s="32" t="str">
        <f t="shared" si="74"/>
        <v/>
      </c>
      <c r="G376" s="32" t="str">
        <f t="shared" si="75"/>
        <v/>
      </c>
      <c r="H376" s="32" t="str">
        <f t="shared" si="76"/>
        <v/>
      </c>
      <c r="J376" t="str">
        <f>IFERROR(MATCH(369,บันทึกรายเที่ยว!$W$6:$W$10005,0),"")</f>
        <v/>
      </c>
      <c r="K376" t="str">
        <f>IF($J376="","",INDEX(บันทึกรายเที่ยว!$T$6:$T$10005,$J376))</f>
        <v/>
      </c>
      <c r="L376" t="str">
        <f>IF($J376="","",INDEX(บันทึกรายเที่ยว!$S$6:$S$10005,$J376))</f>
        <v/>
      </c>
      <c r="M376" t="str">
        <f>IF($J376="","",INDEX(บันทึกรายเที่ยว!$R$6:$R$10005,$J376))</f>
        <v/>
      </c>
      <c r="N376" t="str">
        <f>IF($J376="","",MATCH($M376,บันทึกรายเที่ยว!$R$6:$R$10005,0))</f>
        <v/>
      </c>
      <c r="O376" t="str">
        <f>IF($J376="","",MATCH($L376,บันทึกรายเที่ยว!$S$6:$S$10005,0))</f>
        <v/>
      </c>
      <c r="P376" t="str">
        <f>IF($J376="","",IF(AND(OR($I$3="(ทั้งหมด)",INDEX(บันทึกรายเที่ยว!$C$6:$C$10005,$J376)=$I$3),OR($I$5="(ทั้งหมด)",INDEX(บันทึกรายเที่ยว!$D$6:$D$10005,$J376)=$I$5),OR($I$7="(ทั้งหมด)",INDEX(บันทึกรายเที่ยว!$F$6:$F$10005,$J376)=$I$7)),$N376*10000000+$O376*1000+369,""))</f>
        <v/>
      </c>
      <c r="Q376" t="str">
        <f>IFERROR(MATCH(SMALL($P$8:$P$407,369),$P$8:$P$407,0),"")</f>
        <v/>
      </c>
      <c r="R376" t="str">
        <f t="shared" si="77"/>
        <v/>
      </c>
      <c r="S376" t="str">
        <f t="shared" si="78"/>
        <v/>
      </c>
      <c r="T376" t="str">
        <f t="shared" si="79"/>
        <v/>
      </c>
      <c r="U376" t="str">
        <f t="shared" si="80"/>
        <v/>
      </c>
      <c r="V376">
        <f t="shared" si="82"/>
        <v>0</v>
      </c>
      <c r="W376">
        <f t="shared" si="83"/>
        <v>0</v>
      </c>
      <c r="X376">
        <f>IF($Q376="",99999+369,$X375+1+$V375+$W375)</f>
        <v>100368</v>
      </c>
      <c r="Y376" t="str">
        <f>IF($Q376="","",INDEX(บันทึกรายเที่ยว!$Q$6:$Q$10005,$R376))</f>
        <v/>
      </c>
      <c r="Z376" t="str">
        <f>IF($Q376="","",INDEX(บันทึกรายเที่ยว!$F$6:$F$10005,$R376))</f>
        <v/>
      </c>
      <c r="AA376" t="str">
        <f>IFERROR(MATCH(369,$X$8:$X$407,1),"")</f>
        <v/>
      </c>
      <c r="AB376" t="str">
        <f>IF(369=$AD$1+1,"G",IF($AA376="","",IF(INDEX($Q$8:$Q$407,$AA376)="","",IF(369&gt;INDEX($X$8:$X$407,$AA376)+INDEX($V$8:$V$407,$AA376)+INDEX($W$8:$W$407,$AA376),"",IF(369=INDEX($X$8:$X$407,$AA376)+INDEX($V$8:$V$407,$AA376)+INDEX($W$8:$W$407,$AA376),"D",IF(AND(INDEX($W$8:$W$407,$AA376)=1,369=INDEX($X$8:$X$407,$AA376)+INDEX($V$8:$V$407,$AA376)),"S","R"))))))</f>
        <v/>
      </c>
      <c r="AC376" t="str">
        <f t="shared" si="81"/>
        <v/>
      </c>
      <c r="AE376">
        <f>IF($U376="",0,COUNTIF(บันทึกรายเที่ยว!$T$6:$T$10005,$U376))</f>
        <v>0</v>
      </c>
      <c r="AF376">
        <f>IF($U376="",0,ROUND(SUMIF(บันทึกรายเที่ยว!$T$6:$T$10005,$U376,บันทึกรายเที่ยว!$J$6:$J$10005),2))</f>
        <v>0</v>
      </c>
      <c r="AG376">
        <f>IF($U376="",0,ROUND(SUMIF(บันทึกรายเที่ยว!$T$6:$T$10005,$U376,บันทึกรายเที่ยว!$K$6:$K$10005),2))</f>
        <v>0</v>
      </c>
      <c r="AH376">
        <f>IF($U376="",0,ROUND(SUMIF(บันทึกรายเที่ยว!$T$6:$T$10005,$U376,บันทึกรายเที่ยว!$M$6:$M$10005),2))</f>
        <v>0</v>
      </c>
    </row>
    <row r="377" spans="1:34" ht="21" customHeight="1" x14ac:dyDescent="0.95">
      <c r="A377" s="3" t="str">
        <f t="shared" si="70"/>
        <v/>
      </c>
      <c r="B377" s="3" t="str">
        <f t="shared" si="71"/>
        <v/>
      </c>
      <c r="C377" s="8" t="str">
        <f t="shared" si="72"/>
        <v/>
      </c>
      <c r="D377" s="31" t="str">
        <f t="shared" si="73"/>
        <v/>
      </c>
      <c r="E377" s="32" t="str">
        <f>IF(370=$AD$1+3,"ขอแสดงความนับถือ",IF(370=$AD$1+6,"(                 )",IF(370=$AD$1+7,"เจ้าหน้าที่ขนส่ง",IF($AB377="G",SUM($AF$8:$AF$407),IF(OR($AB377="",$AB377="R"),"",IF($AB377="D",INDEX($AF$8:$AF$407,$AA377),SUMIF($T$8:$T$407,INDEX($T$8:$T$407,$AA377),$AF$8:$AF$407)))))))</f>
        <v/>
      </c>
      <c r="F377" s="32" t="str">
        <f t="shared" si="74"/>
        <v/>
      </c>
      <c r="G377" s="32" t="str">
        <f t="shared" si="75"/>
        <v/>
      </c>
      <c r="H377" s="32" t="str">
        <f t="shared" si="76"/>
        <v/>
      </c>
      <c r="J377" t="str">
        <f>IFERROR(MATCH(370,บันทึกรายเที่ยว!$W$6:$W$10005,0),"")</f>
        <v/>
      </c>
      <c r="K377" t="str">
        <f>IF($J377="","",INDEX(บันทึกรายเที่ยว!$T$6:$T$10005,$J377))</f>
        <v/>
      </c>
      <c r="L377" t="str">
        <f>IF($J377="","",INDEX(บันทึกรายเที่ยว!$S$6:$S$10005,$J377))</f>
        <v/>
      </c>
      <c r="M377" t="str">
        <f>IF($J377="","",INDEX(บันทึกรายเที่ยว!$R$6:$R$10005,$J377))</f>
        <v/>
      </c>
      <c r="N377" t="str">
        <f>IF($J377="","",MATCH($M377,บันทึกรายเที่ยว!$R$6:$R$10005,0))</f>
        <v/>
      </c>
      <c r="O377" t="str">
        <f>IF($J377="","",MATCH($L377,บันทึกรายเที่ยว!$S$6:$S$10005,0))</f>
        <v/>
      </c>
      <c r="P377" t="str">
        <f>IF($J377="","",IF(AND(OR($I$3="(ทั้งหมด)",INDEX(บันทึกรายเที่ยว!$C$6:$C$10005,$J377)=$I$3),OR($I$5="(ทั้งหมด)",INDEX(บันทึกรายเที่ยว!$D$6:$D$10005,$J377)=$I$5),OR($I$7="(ทั้งหมด)",INDEX(บันทึกรายเที่ยว!$F$6:$F$10005,$J377)=$I$7)),$N377*10000000+$O377*1000+370,""))</f>
        <v/>
      </c>
      <c r="Q377" t="str">
        <f>IFERROR(MATCH(SMALL($P$8:$P$407,370),$P$8:$P$407,0),"")</f>
        <v/>
      </c>
      <c r="R377" t="str">
        <f t="shared" si="77"/>
        <v/>
      </c>
      <c r="S377" t="str">
        <f t="shared" si="78"/>
        <v/>
      </c>
      <c r="T377" t="str">
        <f t="shared" si="79"/>
        <v/>
      </c>
      <c r="U377" t="str">
        <f t="shared" si="80"/>
        <v/>
      </c>
      <c r="V377">
        <f t="shared" si="82"/>
        <v>0</v>
      </c>
      <c r="W377">
        <f t="shared" si="83"/>
        <v>0</v>
      </c>
      <c r="X377">
        <f>IF($Q377="",99999+370,$X376+1+$V376+$W376)</f>
        <v>100369</v>
      </c>
      <c r="Y377" t="str">
        <f>IF($Q377="","",INDEX(บันทึกรายเที่ยว!$Q$6:$Q$10005,$R377))</f>
        <v/>
      </c>
      <c r="Z377" t="str">
        <f>IF($Q377="","",INDEX(บันทึกรายเที่ยว!$F$6:$F$10005,$R377))</f>
        <v/>
      </c>
      <c r="AA377" t="str">
        <f>IFERROR(MATCH(370,$X$8:$X$407,1),"")</f>
        <v/>
      </c>
      <c r="AB377" t="str">
        <f>IF(370=$AD$1+1,"G",IF($AA377="","",IF(INDEX($Q$8:$Q$407,$AA377)="","",IF(370&gt;INDEX($X$8:$X$407,$AA377)+INDEX($V$8:$V$407,$AA377)+INDEX($W$8:$W$407,$AA377),"",IF(370=INDEX($X$8:$X$407,$AA377)+INDEX($V$8:$V$407,$AA377)+INDEX($W$8:$W$407,$AA377),"D",IF(AND(INDEX($W$8:$W$407,$AA377)=1,370=INDEX($X$8:$X$407,$AA377)+INDEX($V$8:$V$407,$AA377)),"S","R"))))))</f>
        <v/>
      </c>
      <c r="AC377" t="str">
        <f t="shared" si="81"/>
        <v/>
      </c>
      <c r="AE377">
        <f>IF($U377="",0,COUNTIF(บันทึกรายเที่ยว!$T$6:$T$10005,$U377))</f>
        <v>0</v>
      </c>
      <c r="AF377">
        <f>IF($U377="",0,ROUND(SUMIF(บันทึกรายเที่ยว!$T$6:$T$10005,$U377,บันทึกรายเที่ยว!$J$6:$J$10005),2))</f>
        <v>0</v>
      </c>
      <c r="AG377">
        <f>IF($U377="",0,ROUND(SUMIF(บันทึกรายเที่ยว!$T$6:$T$10005,$U377,บันทึกรายเที่ยว!$K$6:$K$10005),2))</f>
        <v>0</v>
      </c>
      <c r="AH377">
        <f>IF($U377="",0,ROUND(SUMIF(บันทึกรายเที่ยว!$T$6:$T$10005,$U377,บันทึกรายเที่ยว!$M$6:$M$10005),2))</f>
        <v>0</v>
      </c>
    </row>
    <row r="378" spans="1:34" ht="21" customHeight="1" x14ac:dyDescent="0.95">
      <c r="A378" s="3" t="str">
        <f t="shared" si="70"/>
        <v/>
      </c>
      <c r="B378" s="3" t="str">
        <f t="shared" si="71"/>
        <v/>
      </c>
      <c r="C378" s="8" t="str">
        <f t="shared" si="72"/>
        <v/>
      </c>
      <c r="D378" s="31" t="str">
        <f t="shared" si="73"/>
        <v/>
      </c>
      <c r="E378" s="32" t="str">
        <f>IF(371=$AD$1+3,"ขอแสดงความนับถือ",IF(371=$AD$1+6,"(                 )",IF(371=$AD$1+7,"เจ้าหน้าที่ขนส่ง",IF($AB378="G",SUM($AF$8:$AF$407),IF(OR($AB378="",$AB378="R"),"",IF($AB378="D",INDEX($AF$8:$AF$407,$AA378),SUMIF($T$8:$T$407,INDEX($T$8:$T$407,$AA378),$AF$8:$AF$407)))))))</f>
        <v/>
      </c>
      <c r="F378" s="32" t="str">
        <f t="shared" si="74"/>
        <v/>
      </c>
      <c r="G378" s="32" t="str">
        <f t="shared" si="75"/>
        <v/>
      </c>
      <c r="H378" s="32" t="str">
        <f t="shared" si="76"/>
        <v/>
      </c>
      <c r="J378" t="str">
        <f>IFERROR(MATCH(371,บันทึกรายเที่ยว!$W$6:$W$10005,0),"")</f>
        <v/>
      </c>
      <c r="K378" t="str">
        <f>IF($J378="","",INDEX(บันทึกรายเที่ยว!$T$6:$T$10005,$J378))</f>
        <v/>
      </c>
      <c r="L378" t="str">
        <f>IF($J378="","",INDEX(บันทึกรายเที่ยว!$S$6:$S$10005,$J378))</f>
        <v/>
      </c>
      <c r="M378" t="str">
        <f>IF($J378="","",INDEX(บันทึกรายเที่ยว!$R$6:$R$10005,$J378))</f>
        <v/>
      </c>
      <c r="N378" t="str">
        <f>IF($J378="","",MATCH($M378,บันทึกรายเที่ยว!$R$6:$R$10005,0))</f>
        <v/>
      </c>
      <c r="O378" t="str">
        <f>IF($J378="","",MATCH($L378,บันทึกรายเที่ยว!$S$6:$S$10005,0))</f>
        <v/>
      </c>
      <c r="P378" t="str">
        <f>IF($J378="","",IF(AND(OR($I$3="(ทั้งหมด)",INDEX(บันทึกรายเที่ยว!$C$6:$C$10005,$J378)=$I$3),OR($I$5="(ทั้งหมด)",INDEX(บันทึกรายเที่ยว!$D$6:$D$10005,$J378)=$I$5),OR($I$7="(ทั้งหมด)",INDEX(บันทึกรายเที่ยว!$F$6:$F$10005,$J378)=$I$7)),$N378*10000000+$O378*1000+371,""))</f>
        <v/>
      </c>
      <c r="Q378" t="str">
        <f>IFERROR(MATCH(SMALL($P$8:$P$407,371),$P$8:$P$407,0),"")</f>
        <v/>
      </c>
      <c r="R378" t="str">
        <f t="shared" si="77"/>
        <v/>
      </c>
      <c r="S378" t="str">
        <f t="shared" si="78"/>
        <v/>
      </c>
      <c r="T378" t="str">
        <f t="shared" si="79"/>
        <v/>
      </c>
      <c r="U378" t="str">
        <f t="shared" si="80"/>
        <v/>
      </c>
      <c r="V378">
        <f t="shared" si="82"/>
        <v>0</v>
      </c>
      <c r="W378">
        <f t="shared" si="83"/>
        <v>0</v>
      </c>
      <c r="X378">
        <f>IF($Q378="",99999+371,$X377+1+$V377+$W377)</f>
        <v>100370</v>
      </c>
      <c r="Y378" t="str">
        <f>IF($Q378="","",INDEX(บันทึกรายเที่ยว!$Q$6:$Q$10005,$R378))</f>
        <v/>
      </c>
      <c r="Z378" t="str">
        <f>IF($Q378="","",INDEX(บันทึกรายเที่ยว!$F$6:$F$10005,$R378))</f>
        <v/>
      </c>
      <c r="AA378" t="str">
        <f>IFERROR(MATCH(371,$X$8:$X$407,1),"")</f>
        <v/>
      </c>
      <c r="AB378" t="str">
        <f>IF(371=$AD$1+1,"G",IF($AA378="","",IF(INDEX($Q$8:$Q$407,$AA378)="","",IF(371&gt;INDEX($X$8:$X$407,$AA378)+INDEX($V$8:$V$407,$AA378)+INDEX($W$8:$W$407,$AA378),"",IF(371=INDEX($X$8:$X$407,$AA378)+INDEX($V$8:$V$407,$AA378)+INDEX($W$8:$W$407,$AA378),"D",IF(AND(INDEX($W$8:$W$407,$AA378)=1,371=INDEX($X$8:$X$407,$AA378)+INDEX($V$8:$V$407,$AA378)),"S","R"))))))</f>
        <v/>
      </c>
      <c r="AC378" t="str">
        <f t="shared" si="81"/>
        <v/>
      </c>
      <c r="AE378">
        <f>IF($U378="",0,COUNTIF(บันทึกรายเที่ยว!$T$6:$T$10005,$U378))</f>
        <v>0</v>
      </c>
      <c r="AF378">
        <f>IF($U378="",0,ROUND(SUMIF(บันทึกรายเที่ยว!$T$6:$T$10005,$U378,บันทึกรายเที่ยว!$J$6:$J$10005),2))</f>
        <v>0</v>
      </c>
      <c r="AG378">
        <f>IF($U378="",0,ROUND(SUMIF(บันทึกรายเที่ยว!$T$6:$T$10005,$U378,บันทึกรายเที่ยว!$K$6:$K$10005),2))</f>
        <v>0</v>
      </c>
      <c r="AH378">
        <f>IF($U378="",0,ROUND(SUMIF(บันทึกรายเที่ยว!$T$6:$T$10005,$U378,บันทึกรายเที่ยว!$M$6:$M$10005),2))</f>
        <v>0</v>
      </c>
    </row>
    <row r="379" spans="1:34" ht="21" customHeight="1" x14ac:dyDescent="0.95">
      <c r="A379" s="3" t="str">
        <f t="shared" si="70"/>
        <v/>
      </c>
      <c r="B379" s="3" t="str">
        <f t="shared" si="71"/>
        <v/>
      </c>
      <c r="C379" s="8" t="str">
        <f t="shared" si="72"/>
        <v/>
      </c>
      <c r="D379" s="31" t="str">
        <f t="shared" si="73"/>
        <v/>
      </c>
      <c r="E379" s="32" t="str">
        <f>IF(372=$AD$1+3,"ขอแสดงความนับถือ",IF(372=$AD$1+6,"(                 )",IF(372=$AD$1+7,"เจ้าหน้าที่ขนส่ง",IF($AB379="G",SUM($AF$8:$AF$407),IF(OR($AB379="",$AB379="R"),"",IF($AB379="D",INDEX($AF$8:$AF$407,$AA379),SUMIF($T$8:$T$407,INDEX($T$8:$T$407,$AA379),$AF$8:$AF$407)))))))</f>
        <v/>
      </c>
      <c r="F379" s="32" t="str">
        <f t="shared" si="74"/>
        <v/>
      </c>
      <c r="G379" s="32" t="str">
        <f t="shared" si="75"/>
        <v/>
      </c>
      <c r="H379" s="32" t="str">
        <f t="shared" si="76"/>
        <v/>
      </c>
      <c r="J379" t="str">
        <f>IFERROR(MATCH(372,บันทึกรายเที่ยว!$W$6:$W$10005,0),"")</f>
        <v/>
      </c>
      <c r="K379" t="str">
        <f>IF($J379="","",INDEX(บันทึกรายเที่ยว!$T$6:$T$10005,$J379))</f>
        <v/>
      </c>
      <c r="L379" t="str">
        <f>IF($J379="","",INDEX(บันทึกรายเที่ยว!$S$6:$S$10005,$J379))</f>
        <v/>
      </c>
      <c r="M379" t="str">
        <f>IF($J379="","",INDEX(บันทึกรายเที่ยว!$R$6:$R$10005,$J379))</f>
        <v/>
      </c>
      <c r="N379" t="str">
        <f>IF($J379="","",MATCH($M379,บันทึกรายเที่ยว!$R$6:$R$10005,0))</f>
        <v/>
      </c>
      <c r="O379" t="str">
        <f>IF($J379="","",MATCH($L379,บันทึกรายเที่ยว!$S$6:$S$10005,0))</f>
        <v/>
      </c>
      <c r="P379" t="str">
        <f>IF($J379="","",IF(AND(OR($I$3="(ทั้งหมด)",INDEX(บันทึกรายเที่ยว!$C$6:$C$10005,$J379)=$I$3),OR($I$5="(ทั้งหมด)",INDEX(บันทึกรายเที่ยว!$D$6:$D$10005,$J379)=$I$5),OR($I$7="(ทั้งหมด)",INDEX(บันทึกรายเที่ยว!$F$6:$F$10005,$J379)=$I$7)),$N379*10000000+$O379*1000+372,""))</f>
        <v/>
      </c>
      <c r="Q379" t="str">
        <f>IFERROR(MATCH(SMALL($P$8:$P$407,372),$P$8:$P$407,0),"")</f>
        <v/>
      </c>
      <c r="R379" t="str">
        <f t="shared" si="77"/>
        <v/>
      </c>
      <c r="S379" t="str">
        <f t="shared" si="78"/>
        <v/>
      </c>
      <c r="T379" t="str">
        <f t="shared" si="79"/>
        <v/>
      </c>
      <c r="U379" t="str">
        <f t="shared" si="80"/>
        <v/>
      </c>
      <c r="V379">
        <f t="shared" si="82"/>
        <v>0</v>
      </c>
      <c r="W379">
        <f t="shared" si="83"/>
        <v>0</v>
      </c>
      <c r="X379">
        <f>IF($Q379="",99999+372,$X378+1+$V378+$W378)</f>
        <v>100371</v>
      </c>
      <c r="Y379" t="str">
        <f>IF($Q379="","",INDEX(บันทึกรายเที่ยว!$Q$6:$Q$10005,$R379))</f>
        <v/>
      </c>
      <c r="Z379" t="str">
        <f>IF($Q379="","",INDEX(บันทึกรายเที่ยว!$F$6:$F$10005,$R379))</f>
        <v/>
      </c>
      <c r="AA379" t="str">
        <f>IFERROR(MATCH(372,$X$8:$X$407,1),"")</f>
        <v/>
      </c>
      <c r="AB379" t="str">
        <f>IF(372=$AD$1+1,"G",IF($AA379="","",IF(INDEX($Q$8:$Q$407,$AA379)="","",IF(372&gt;INDEX($X$8:$X$407,$AA379)+INDEX($V$8:$V$407,$AA379)+INDEX($W$8:$W$407,$AA379),"",IF(372=INDEX($X$8:$X$407,$AA379)+INDEX($V$8:$V$407,$AA379)+INDEX($W$8:$W$407,$AA379),"D",IF(AND(INDEX($W$8:$W$407,$AA379)=1,372=INDEX($X$8:$X$407,$AA379)+INDEX($V$8:$V$407,$AA379)),"S","R"))))))</f>
        <v/>
      </c>
      <c r="AC379" t="str">
        <f t="shared" si="81"/>
        <v/>
      </c>
      <c r="AE379">
        <f>IF($U379="",0,COUNTIF(บันทึกรายเที่ยว!$T$6:$T$10005,$U379))</f>
        <v>0</v>
      </c>
      <c r="AF379">
        <f>IF($U379="",0,ROUND(SUMIF(บันทึกรายเที่ยว!$T$6:$T$10005,$U379,บันทึกรายเที่ยว!$J$6:$J$10005),2))</f>
        <v>0</v>
      </c>
      <c r="AG379">
        <f>IF($U379="",0,ROUND(SUMIF(บันทึกรายเที่ยว!$T$6:$T$10005,$U379,บันทึกรายเที่ยว!$K$6:$K$10005),2))</f>
        <v>0</v>
      </c>
      <c r="AH379">
        <f>IF($U379="",0,ROUND(SUMIF(บันทึกรายเที่ยว!$T$6:$T$10005,$U379,บันทึกรายเที่ยว!$M$6:$M$10005),2))</f>
        <v>0</v>
      </c>
    </row>
    <row r="380" spans="1:34" ht="21" customHeight="1" x14ac:dyDescent="0.95">
      <c r="A380" s="3" t="str">
        <f t="shared" si="70"/>
        <v/>
      </c>
      <c r="B380" s="3" t="str">
        <f t="shared" si="71"/>
        <v/>
      </c>
      <c r="C380" s="8" t="str">
        <f t="shared" si="72"/>
        <v/>
      </c>
      <c r="D380" s="31" t="str">
        <f t="shared" si="73"/>
        <v/>
      </c>
      <c r="E380" s="32" t="str">
        <f>IF(373=$AD$1+3,"ขอแสดงความนับถือ",IF(373=$AD$1+6,"(                 )",IF(373=$AD$1+7,"เจ้าหน้าที่ขนส่ง",IF($AB380="G",SUM($AF$8:$AF$407),IF(OR($AB380="",$AB380="R"),"",IF($AB380="D",INDEX($AF$8:$AF$407,$AA380),SUMIF($T$8:$T$407,INDEX($T$8:$T$407,$AA380),$AF$8:$AF$407)))))))</f>
        <v/>
      </c>
      <c r="F380" s="32" t="str">
        <f t="shared" si="74"/>
        <v/>
      </c>
      <c r="G380" s="32" t="str">
        <f t="shared" si="75"/>
        <v/>
      </c>
      <c r="H380" s="32" t="str">
        <f t="shared" si="76"/>
        <v/>
      </c>
      <c r="J380" t="str">
        <f>IFERROR(MATCH(373,บันทึกรายเที่ยว!$W$6:$W$10005,0),"")</f>
        <v/>
      </c>
      <c r="K380" t="str">
        <f>IF($J380="","",INDEX(บันทึกรายเที่ยว!$T$6:$T$10005,$J380))</f>
        <v/>
      </c>
      <c r="L380" t="str">
        <f>IF($J380="","",INDEX(บันทึกรายเที่ยว!$S$6:$S$10005,$J380))</f>
        <v/>
      </c>
      <c r="M380" t="str">
        <f>IF($J380="","",INDEX(บันทึกรายเที่ยว!$R$6:$R$10005,$J380))</f>
        <v/>
      </c>
      <c r="N380" t="str">
        <f>IF($J380="","",MATCH($M380,บันทึกรายเที่ยว!$R$6:$R$10005,0))</f>
        <v/>
      </c>
      <c r="O380" t="str">
        <f>IF($J380="","",MATCH($L380,บันทึกรายเที่ยว!$S$6:$S$10005,0))</f>
        <v/>
      </c>
      <c r="P380" t="str">
        <f>IF($J380="","",IF(AND(OR($I$3="(ทั้งหมด)",INDEX(บันทึกรายเที่ยว!$C$6:$C$10005,$J380)=$I$3),OR($I$5="(ทั้งหมด)",INDEX(บันทึกรายเที่ยว!$D$6:$D$10005,$J380)=$I$5),OR($I$7="(ทั้งหมด)",INDEX(บันทึกรายเที่ยว!$F$6:$F$10005,$J380)=$I$7)),$N380*10000000+$O380*1000+373,""))</f>
        <v/>
      </c>
      <c r="Q380" t="str">
        <f>IFERROR(MATCH(SMALL($P$8:$P$407,373),$P$8:$P$407,0),"")</f>
        <v/>
      </c>
      <c r="R380" t="str">
        <f t="shared" si="77"/>
        <v/>
      </c>
      <c r="S380" t="str">
        <f t="shared" si="78"/>
        <v/>
      </c>
      <c r="T380" t="str">
        <f t="shared" si="79"/>
        <v/>
      </c>
      <c r="U380" t="str">
        <f t="shared" si="80"/>
        <v/>
      </c>
      <c r="V380">
        <f t="shared" si="82"/>
        <v>0</v>
      </c>
      <c r="W380">
        <f t="shared" si="83"/>
        <v>0</v>
      </c>
      <c r="X380">
        <f>IF($Q380="",99999+373,$X379+1+$V379+$W379)</f>
        <v>100372</v>
      </c>
      <c r="Y380" t="str">
        <f>IF($Q380="","",INDEX(บันทึกรายเที่ยว!$Q$6:$Q$10005,$R380))</f>
        <v/>
      </c>
      <c r="Z380" t="str">
        <f>IF($Q380="","",INDEX(บันทึกรายเที่ยว!$F$6:$F$10005,$R380))</f>
        <v/>
      </c>
      <c r="AA380" t="str">
        <f>IFERROR(MATCH(373,$X$8:$X$407,1),"")</f>
        <v/>
      </c>
      <c r="AB380" t="str">
        <f>IF(373=$AD$1+1,"G",IF($AA380="","",IF(INDEX($Q$8:$Q$407,$AA380)="","",IF(373&gt;INDEX($X$8:$X$407,$AA380)+INDEX($V$8:$V$407,$AA380)+INDEX($W$8:$W$407,$AA380),"",IF(373=INDEX($X$8:$X$407,$AA380)+INDEX($V$8:$V$407,$AA380)+INDEX($W$8:$W$407,$AA380),"D",IF(AND(INDEX($W$8:$W$407,$AA380)=1,373=INDEX($X$8:$X$407,$AA380)+INDEX($V$8:$V$407,$AA380)),"S","R"))))))</f>
        <v/>
      </c>
      <c r="AC380" t="str">
        <f t="shared" si="81"/>
        <v/>
      </c>
      <c r="AE380">
        <f>IF($U380="",0,COUNTIF(บันทึกรายเที่ยว!$T$6:$T$10005,$U380))</f>
        <v>0</v>
      </c>
      <c r="AF380">
        <f>IF($U380="",0,ROUND(SUMIF(บันทึกรายเที่ยว!$T$6:$T$10005,$U380,บันทึกรายเที่ยว!$J$6:$J$10005),2))</f>
        <v>0</v>
      </c>
      <c r="AG380">
        <f>IF($U380="",0,ROUND(SUMIF(บันทึกรายเที่ยว!$T$6:$T$10005,$U380,บันทึกรายเที่ยว!$K$6:$K$10005),2))</f>
        <v>0</v>
      </c>
      <c r="AH380">
        <f>IF($U380="",0,ROUND(SUMIF(บันทึกรายเที่ยว!$T$6:$T$10005,$U380,บันทึกรายเที่ยว!$M$6:$M$10005),2))</f>
        <v>0</v>
      </c>
    </row>
    <row r="381" spans="1:34" ht="21" customHeight="1" x14ac:dyDescent="0.95">
      <c r="A381" s="3" t="str">
        <f t="shared" si="70"/>
        <v/>
      </c>
      <c r="B381" s="3" t="str">
        <f t="shared" si="71"/>
        <v/>
      </c>
      <c r="C381" s="8" t="str">
        <f t="shared" si="72"/>
        <v/>
      </c>
      <c r="D381" s="31" t="str">
        <f t="shared" si="73"/>
        <v/>
      </c>
      <c r="E381" s="32" t="str">
        <f>IF(374=$AD$1+3,"ขอแสดงความนับถือ",IF(374=$AD$1+6,"(                 )",IF(374=$AD$1+7,"เจ้าหน้าที่ขนส่ง",IF($AB381="G",SUM($AF$8:$AF$407),IF(OR($AB381="",$AB381="R"),"",IF($AB381="D",INDEX($AF$8:$AF$407,$AA381),SUMIF($T$8:$T$407,INDEX($T$8:$T$407,$AA381),$AF$8:$AF$407)))))))</f>
        <v/>
      </c>
      <c r="F381" s="32" t="str">
        <f t="shared" si="74"/>
        <v/>
      </c>
      <c r="G381" s="32" t="str">
        <f t="shared" si="75"/>
        <v/>
      </c>
      <c r="H381" s="32" t="str">
        <f t="shared" si="76"/>
        <v/>
      </c>
      <c r="J381" t="str">
        <f>IFERROR(MATCH(374,บันทึกรายเที่ยว!$W$6:$W$10005,0),"")</f>
        <v/>
      </c>
      <c r="K381" t="str">
        <f>IF($J381="","",INDEX(บันทึกรายเที่ยว!$T$6:$T$10005,$J381))</f>
        <v/>
      </c>
      <c r="L381" t="str">
        <f>IF($J381="","",INDEX(บันทึกรายเที่ยว!$S$6:$S$10005,$J381))</f>
        <v/>
      </c>
      <c r="M381" t="str">
        <f>IF($J381="","",INDEX(บันทึกรายเที่ยว!$R$6:$R$10005,$J381))</f>
        <v/>
      </c>
      <c r="N381" t="str">
        <f>IF($J381="","",MATCH($M381,บันทึกรายเที่ยว!$R$6:$R$10005,0))</f>
        <v/>
      </c>
      <c r="O381" t="str">
        <f>IF($J381="","",MATCH($L381,บันทึกรายเที่ยว!$S$6:$S$10005,0))</f>
        <v/>
      </c>
      <c r="P381" t="str">
        <f>IF($J381="","",IF(AND(OR($I$3="(ทั้งหมด)",INDEX(บันทึกรายเที่ยว!$C$6:$C$10005,$J381)=$I$3),OR($I$5="(ทั้งหมด)",INDEX(บันทึกรายเที่ยว!$D$6:$D$10005,$J381)=$I$5),OR($I$7="(ทั้งหมด)",INDEX(บันทึกรายเที่ยว!$F$6:$F$10005,$J381)=$I$7)),$N381*10000000+$O381*1000+374,""))</f>
        <v/>
      </c>
      <c r="Q381" t="str">
        <f>IFERROR(MATCH(SMALL($P$8:$P$407,374),$P$8:$P$407,0),"")</f>
        <v/>
      </c>
      <c r="R381" t="str">
        <f t="shared" si="77"/>
        <v/>
      </c>
      <c r="S381" t="str">
        <f t="shared" si="78"/>
        <v/>
      </c>
      <c r="T381" t="str">
        <f t="shared" si="79"/>
        <v/>
      </c>
      <c r="U381" t="str">
        <f t="shared" si="80"/>
        <v/>
      </c>
      <c r="V381">
        <f t="shared" si="82"/>
        <v>0</v>
      </c>
      <c r="W381">
        <f t="shared" si="83"/>
        <v>0</v>
      </c>
      <c r="X381">
        <f>IF($Q381="",99999+374,$X380+1+$V380+$W380)</f>
        <v>100373</v>
      </c>
      <c r="Y381" t="str">
        <f>IF($Q381="","",INDEX(บันทึกรายเที่ยว!$Q$6:$Q$10005,$R381))</f>
        <v/>
      </c>
      <c r="Z381" t="str">
        <f>IF($Q381="","",INDEX(บันทึกรายเที่ยว!$F$6:$F$10005,$R381))</f>
        <v/>
      </c>
      <c r="AA381" t="str">
        <f>IFERROR(MATCH(374,$X$8:$X$407,1),"")</f>
        <v/>
      </c>
      <c r="AB381" t="str">
        <f>IF(374=$AD$1+1,"G",IF($AA381="","",IF(INDEX($Q$8:$Q$407,$AA381)="","",IF(374&gt;INDEX($X$8:$X$407,$AA381)+INDEX($V$8:$V$407,$AA381)+INDEX($W$8:$W$407,$AA381),"",IF(374=INDEX($X$8:$X$407,$AA381)+INDEX($V$8:$V$407,$AA381)+INDEX($W$8:$W$407,$AA381),"D",IF(AND(INDEX($W$8:$W$407,$AA381)=1,374=INDEX($X$8:$X$407,$AA381)+INDEX($V$8:$V$407,$AA381)),"S","R"))))))</f>
        <v/>
      </c>
      <c r="AC381" t="str">
        <f t="shared" si="81"/>
        <v/>
      </c>
      <c r="AE381">
        <f>IF($U381="",0,COUNTIF(บันทึกรายเที่ยว!$T$6:$T$10005,$U381))</f>
        <v>0</v>
      </c>
      <c r="AF381">
        <f>IF($U381="",0,ROUND(SUMIF(บันทึกรายเที่ยว!$T$6:$T$10005,$U381,บันทึกรายเที่ยว!$J$6:$J$10005),2))</f>
        <v>0</v>
      </c>
      <c r="AG381">
        <f>IF($U381="",0,ROUND(SUMIF(บันทึกรายเที่ยว!$T$6:$T$10005,$U381,บันทึกรายเที่ยว!$K$6:$K$10005),2))</f>
        <v>0</v>
      </c>
      <c r="AH381">
        <f>IF($U381="",0,ROUND(SUMIF(บันทึกรายเที่ยว!$T$6:$T$10005,$U381,บันทึกรายเที่ยว!$M$6:$M$10005),2))</f>
        <v>0</v>
      </c>
    </row>
    <row r="382" spans="1:34" ht="21" customHeight="1" x14ac:dyDescent="0.95">
      <c r="A382" s="3" t="str">
        <f t="shared" si="70"/>
        <v/>
      </c>
      <c r="B382" s="3" t="str">
        <f t="shared" si="71"/>
        <v/>
      </c>
      <c r="C382" s="8" t="str">
        <f t="shared" si="72"/>
        <v/>
      </c>
      <c r="D382" s="31" t="str">
        <f t="shared" si="73"/>
        <v/>
      </c>
      <c r="E382" s="32" t="str">
        <f>IF(375=$AD$1+3,"ขอแสดงความนับถือ",IF(375=$AD$1+6,"(                 )",IF(375=$AD$1+7,"เจ้าหน้าที่ขนส่ง",IF($AB382="G",SUM($AF$8:$AF$407),IF(OR($AB382="",$AB382="R"),"",IF($AB382="D",INDEX($AF$8:$AF$407,$AA382),SUMIF($T$8:$T$407,INDEX($T$8:$T$407,$AA382),$AF$8:$AF$407)))))))</f>
        <v/>
      </c>
      <c r="F382" s="32" t="str">
        <f t="shared" si="74"/>
        <v/>
      </c>
      <c r="G382" s="32" t="str">
        <f t="shared" si="75"/>
        <v/>
      </c>
      <c r="H382" s="32" t="str">
        <f t="shared" si="76"/>
        <v/>
      </c>
      <c r="J382" t="str">
        <f>IFERROR(MATCH(375,บันทึกรายเที่ยว!$W$6:$W$10005,0),"")</f>
        <v/>
      </c>
      <c r="K382" t="str">
        <f>IF($J382="","",INDEX(บันทึกรายเที่ยว!$T$6:$T$10005,$J382))</f>
        <v/>
      </c>
      <c r="L382" t="str">
        <f>IF($J382="","",INDEX(บันทึกรายเที่ยว!$S$6:$S$10005,$J382))</f>
        <v/>
      </c>
      <c r="M382" t="str">
        <f>IF($J382="","",INDEX(บันทึกรายเที่ยว!$R$6:$R$10005,$J382))</f>
        <v/>
      </c>
      <c r="N382" t="str">
        <f>IF($J382="","",MATCH($M382,บันทึกรายเที่ยว!$R$6:$R$10005,0))</f>
        <v/>
      </c>
      <c r="O382" t="str">
        <f>IF($J382="","",MATCH($L382,บันทึกรายเที่ยว!$S$6:$S$10005,0))</f>
        <v/>
      </c>
      <c r="P382" t="str">
        <f>IF($J382="","",IF(AND(OR($I$3="(ทั้งหมด)",INDEX(บันทึกรายเที่ยว!$C$6:$C$10005,$J382)=$I$3),OR($I$5="(ทั้งหมด)",INDEX(บันทึกรายเที่ยว!$D$6:$D$10005,$J382)=$I$5),OR($I$7="(ทั้งหมด)",INDEX(บันทึกรายเที่ยว!$F$6:$F$10005,$J382)=$I$7)),$N382*10000000+$O382*1000+375,""))</f>
        <v/>
      </c>
      <c r="Q382" t="str">
        <f>IFERROR(MATCH(SMALL($P$8:$P$407,375),$P$8:$P$407,0),"")</f>
        <v/>
      </c>
      <c r="R382" t="str">
        <f t="shared" si="77"/>
        <v/>
      </c>
      <c r="S382" t="str">
        <f t="shared" si="78"/>
        <v/>
      </c>
      <c r="T382" t="str">
        <f t="shared" si="79"/>
        <v/>
      </c>
      <c r="U382" t="str">
        <f t="shared" si="80"/>
        <v/>
      </c>
      <c r="V382">
        <f t="shared" si="82"/>
        <v>0</v>
      </c>
      <c r="W382">
        <f t="shared" si="83"/>
        <v>0</v>
      </c>
      <c r="X382">
        <f>IF($Q382="",99999+375,$X381+1+$V381+$W381)</f>
        <v>100374</v>
      </c>
      <c r="Y382" t="str">
        <f>IF($Q382="","",INDEX(บันทึกรายเที่ยว!$Q$6:$Q$10005,$R382))</f>
        <v/>
      </c>
      <c r="Z382" t="str">
        <f>IF($Q382="","",INDEX(บันทึกรายเที่ยว!$F$6:$F$10005,$R382))</f>
        <v/>
      </c>
      <c r="AA382" t="str">
        <f>IFERROR(MATCH(375,$X$8:$X$407,1),"")</f>
        <v/>
      </c>
      <c r="AB382" t="str">
        <f>IF(375=$AD$1+1,"G",IF($AA382="","",IF(INDEX($Q$8:$Q$407,$AA382)="","",IF(375&gt;INDEX($X$8:$X$407,$AA382)+INDEX($V$8:$V$407,$AA382)+INDEX($W$8:$W$407,$AA382),"",IF(375=INDEX($X$8:$X$407,$AA382)+INDEX($V$8:$V$407,$AA382)+INDEX($W$8:$W$407,$AA382),"D",IF(AND(INDEX($W$8:$W$407,$AA382)=1,375=INDEX($X$8:$X$407,$AA382)+INDEX($V$8:$V$407,$AA382)),"S","R"))))))</f>
        <v/>
      </c>
      <c r="AC382" t="str">
        <f t="shared" si="81"/>
        <v/>
      </c>
      <c r="AE382">
        <f>IF($U382="",0,COUNTIF(บันทึกรายเที่ยว!$T$6:$T$10005,$U382))</f>
        <v>0</v>
      </c>
      <c r="AF382">
        <f>IF($U382="",0,ROUND(SUMIF(บันทึกรายเที่ยว!$T$6:$T$10005,$U382,บันทึกรายเที่ยว!$J$6:$J$10005),2))</f>
        <v>0</v>
      </c>
      <c r="AG382">
        <f>IF($U382="",0,ROUND(SUMIF(บันทึกรายเที่ยว!$T$6:$T$10005,$U382,บันทึกรายเที่ยว!$K$6:$K$10005),2))</f>
        <v>0</v>
      </c>
      <c r="AH382">
        <f>IF($U382="",0,ROUND(SUMIF(บันทึกรายเที่ยว!$T$6:$T$10005,$U382,บันทึกรายเที่ยว!$M$6:$M$10005),2))</f>
        <v>0</v>
      </c>
    </row>
    <row r="383" spans="1:34" ht="21" customHeight="1" x14ac:dyDescent="0.95">
      <c r="A383" s="3" t="str">
        <f t="shared" si="70"/>
        <v/>
      </c>
      <c r="B383" s="3" t="str">
        <f t="shared" si="71"/>
        <v/>
      </c>
      <c r="C383" s="8" t="str">
        <f t="shared" si="72"/>
        <v/>
      </c>
      <c r="D383" s="31" t="str">
        <f t="shared" si="73"/>
        <v/>
      </c>
      <c r="E383" s="32" t="str">
        <f>IF(376=$AD$1+3,"ขอแสดงความนับถือ",IF(376=$AD$1+6,"(                 )",IF(376=$AD$1+7,"เจ้าหน้าที่ขนส่ง",IF($AB383="G",SUM($AF$8:$AF$407),IF(OR($AB383="",$AB383="R"),"",IF($AB383="D",INDEX($AF$8:$AF$407,$AA383),SUMIF($T$8:$T$407,INDEX($T$8:$T$407,$AA383),$AF$8:$AF$407)))))))</f>
        <v/>
      </c>
      <c r="F383" s="32" t="str">
        <f t="shared" si="74"/>
        <v/>
      </c>
      <c r="G383" s="32" t="str">
        <f t="shared" si="75"/>
        <v/>
      </c>
      <c r="H383" s="32" t="str">
        <f t="shared" si="76"/>
        <v/>
      </c>
      <c r="J383" t="str">
        <f>IFERROR(MATCH(376,บันทึกรายเที่ยว!$W$6:$W$10005,0),"")</f>
        <v/>
      </c>
      <c r="K383" t="str">
        <f>IF($J383="","",INDEX(บันทึกรายเที่ยว!$T$6:$T$10005,$J383))</f>
        <v/>
      </c>
      <c r="L383" t="str">
        <f>IF($J383="","",INDEX(บันทึกรายเที่ยว!$S$6:$S$10005,$J383))</f>
        <v/>
      </c>
      <c r="M383" t="str">
        <f>IF($J383="","",INDEX(บันทึกรายเที่ยว!$R$6:$R$10005,$J383))</f>
        <v/>
      </c>
      <c r="N383" t="str">
        <f>IF($J383="","",MATCH($M383,บันทึกรายเที่ยว!$R$6:$R$10005,0))</f>
        <v/>
      </c>
      <c r="O383" t="str">
        <f>IF($J383="","",MATCH($L383,บันทึกรายเที่ยว!$S$6:$S$10005,0))</f>
        <v/>
      </c>
      <c r="P383" t="str">
        <f>IF($J383="","",IF(AND(OR($I$3="(ทั้งหมด)",INDEX(บันทึกรายเที่ยว!$C$6:$C$10005,$J383)=$I$3),OR($I$5="(ทั้งหมด)",INDEX(บันทึกรายเที่ยว!$D$6:$D$10005,$J383)=$I$5),OR($I$7="(ทั้งหมด)",INDEX(บันทึกรายเที่ยว!$F$6:$F$10005,$J383)=$I$7)),$N383*10000000+$O383*1000+376,""))</f>
        <v/>
      </c>
      <c r="Q383" t="str">
        <f>IFERROR(MATCH(SMALL($P$8:$P$407,376),$P$8:$P$407,0),"")</f>
        <v/>
      </c>
      <c r="R383" t="str">
        <f t="shared" si="77"/>
        <v/>
      </c>
      <c r="S383" t="str">
        <f t="shared" si="78"/>
        <v/>
      </c>
      <c r="T383" t="str">
        <f t="shared" si="79"/>
        <v/>
      </c>
      <c r="U383" t="str">
        <f t="shared" si="80"/>
        <v/>
      </c>
      <c r="V383">
        <f t="shared" si="82"/>
        <v>0</v>
      </c>
      <c r="W383">
        <f t="shared" si="83"/>
        <v>0</v>
      </c>
      <c r="X383">
        <f>IF($Q383="",99999+376,$X382+1+$V382+$W382)</f>
        <v>100375</v>
      </c>
      <c r="Y383" t="str">
        <f>IF($Q383="","",INDEX(บันทึกรายเที่ยว!$Q$6:$Q$10005,$R383))</f>
        <v/>
      </c>
      <c r="Z383" t="str">
        <f>IF($Q383="","",INDEX(บันทึกรายเที่ยว!$F$6:$F$10005,$R383))</f>
        <v/>
      </c>
      <c r="AA383" t="str">
        <f>IFERROR(MATCH(376,$X$8:$X$407,1),"")</f>
        <v/>
      </c>
      <c r="AB383" t="str">
        <f>IF(376=$AD$1+1,"G",IF($AA383="","",IF(INDEX($Q$8:$Q$407,$AA383)="","",IF(376&gt;INDEX($X$8:$X$407,$AA383)+INDEX($V$8:$V$407,$AA383)+INDEX($W$8:$W$407,$AA383),"",IF(376=INDEX($X$8:$X$407,$AA383)+INDEX($V$8:$V$407,$AA383)+INDEX($W$8:$W$407,$AA383),"D",IF(AND(INDEX($W$8:$W$407,$AA383)=1,376=INDEX($X$8:$X$407,$AA383)+INDEX($V$8:$V$407,$AA383)),"S","R"))))))</f>
        <v/>
      </c>
      <c r="AC383" t="str">
        <f t="shared" si="81"/>
        <v/>
      </c>
      <c r="AE383">
        <f>IF($U383="",0,COUNTIF(บันทึกรายเที่ยว!$T$6:$T$10005,$U383))</f>
        <v>0</v>
      </c>
      <c r="AF383">
        <f>IF($U383="",0,ROUND(SUMIF(บันทึกรายเที่ยว!$T$6:$T$10005,$U383,บันทึกรายเที่ยว!$J$6:$J$10005),2))</f>
        <v>0</v>
      </c>
      <c r="AG383">
        <f>IF($U383="",0,ROUND(SUMIF(บันทึกรายเที่ยว!$T$6:$T$10005,$U383,บันทึกรายเที่ยว!$K$6:$K$10005),2))</f>
        <v>0</v>
      </c>
      <c r="AH383">
        <f>IF($U383="",0,ROUND(SUMIF(บันทึกรายเที่ยว!$T$6:$T$10005,$U383,บันทึกรายเที่ยว!$M$6:$M$10005),2))</f>
        <v>0</v>
      </c>
    </row>
    <row r="384" spans="1:34" ht="21" customHeight="1" x14ac:dyDescent="0.95">
      <c r="A384" s="3" t="str">
        <f t="shared" si="70"/>
        <v/>
      </c>
      <c r="B384" s="3" t="str">
        <f t="shared" si="71"/>
        <v/>
      </c>
      <c r="C384" s="8" t="str">
        <f t="shared" si="72"/>
        <v/>
      </c>
      <c r="D384" s="31" t="str">
        <f t="shared" si="73"/>
        <v/>
      </c>
      <c r="E384" s="32" t="str">
        <f>IF(377=$AD$1+3,"ขอแสดงความนับถือ",IF(377=$AD$1+6,"(                 )",IF(377=$AD$1+7,"เจ้าหน้าที่ขนส่ง",IF($AB384="G",SUM($AF$8:$AF$407),IF(OR($AB384="",$AB384="R"),"",IF($AB384="D",INDEX($AF$8:$AF$407,$AA384),SUMIF($T$8:$T$407,INDEX($T$8:$T$407,$AA384),$AF$8:$AF$407)))))))</f>
        <v/>
      </c>
      <c r="F384" s="32" t="str">
        <f t="shared" si="74"/>
        <v/>
      </c>
      <c r="G384" s="32" t="str">
        <f t="shared" si="75"/>
        <v/>
      </c>
      <c r="H384" s="32" t="str">
        <f t="shared" si="76"/>
        <v/>
      </c>
      <c r="J384" t="str">
        <f>IFERROR(MATCH(377,บันทึกรายเที่ยว!$W$6:$W$10005,0),"")</f>
        <v/>
      </c>
      <c r="K384" t="str">
        <f>IF($J384="","",INDEX(บันทึกรายเที่ยว!$T$6:$T$10005,$J384))</f>
        <v/>
      </c>
      <c r="L384" t="str">
        <f>IF($J384="","",INDEX(บันทึกรายเที่ยว!$S$6:$S$10005,$J384))</f>
        <v/>
      </c>
      <c r="M384" t="str">
        <f>IF($J384="","",INDEX(บันทึกรายเที่ยว!$R$6:$R$10005,$J384))</f>
        <v/>
      </c>
      <c r="N384" t="str">
        <f>IF($J384="","",MATCH($M384,บันทึกรายเที่ยว!$R$6:$R$10005,0))</f>
        <v/>
      </c>
      <c r="O384" t="str">
        <f>IF($J384="","",MATCH($L384,บันทึกรายเที่ยว!$S$6:$S$10005,0))</f>
        <v/>
      </c>
      <c r="P384" t="str">
        <f>IF($J384="","",IF(AND(OR($I$3="(ทั้งหมด)",INDEX(บันทึกรายเที่ยว!$C$6:$C$10005,$J384)=$I$3),OR($I$5="(ทั้งหมด)",INDEX(บันทึกรายเที่ยว!$D$6:$D$10005,$J384)=$I$5),OR($I$7="(ทั้งหมด)",INDEX(บันทึกรายเที่ยว!$F$6:$F$10005,$J384)=$I$7)),$N384*10000000+$O384*1000+377,""))</f>
        <v/>
      </c>
      <c r="Q384" t="str">
        <f>IFERROR(MATCH(SMALL($P$8:$P$407,377),$P$8:$P$407,0),"")</f>
        <v/>
      </c>
      <c r="R384" t="str">
        <f t="shared" si="77"/>
        <v/>
      </c>
      <c r="S384" t="str">
        <f t="shared" si="78"/>
        <v/>
      </c>
      <c r="T384" t="str">
        <f t="shared" si="79"/>
        <v/>
      </c>
      <c r="U384" t="str">
        <f t="shared" si="80"/>
        <v/>
      </c>
      <c r="V384">
        <f t="shared" si="82"/>
        <v>0</v>
      </c>
      <c r="W384">
        <f t="shared" si="83"/>
        <v>0</v>
      </c>
      <c r="X384">
        <f>IF($Q384="",99999+377,$X383+1+$V383+$W383)</f>
        <v>100376</v>
      </c>
      <c r="Y384" t="str">
        <f>IF($Q384="","",INDEX(บันทึกรายเที่ยว!$Q$6:$Q$10005,$R384))</f>
        <v/>
      </c>
      <c r="Z384" t="str">
        <f>IF($Q384="","",INDEX(บันทึกรายเที่ยว!$F$6:$F$10005,$R384))</f>
        <v/>
      </c>
      <c r="AA384" t="str">
        <f>IFERROR(MATCH(377,$X$8:$X$407,1),"")</f>
        <v/>
      </c>
      <c r="AB384" t="str">
        <f>IF(377=$AD$1+1,"G",IF($AA384="","",IF(INDEX($Q$8:$Q$407,$AA384)="","",IF(377&gt;INDEX($X$8:$X$407,$AA384)+INDEX($V$8:$V$407,$AA384)+INDEX($W$8:$W$407,$AA384),"",IF(377=INDEX($X$8:$X$407,$AA384)+INDEX($V$8:$V$407,$AA384)+INDEX($W$8:$W$407,$AA384),"D",IF(AND(INDEX($W$8:$W$407,$AA384)=1,377=INDEX($X$8:$X$407,$AA384)+INDEX($V$8:$V$407,$AA384)),"S","R"))))))</f>
        <v/>
      </c>
      <c r="AC384" t="str">
        <f t="shared" si="81"/>
        <v/>
      </c>
      <c r="AE384">
        <f>IF($U384="",0,COUNTIF(บันทึกรายเที่ยว!$T$6:$T$10005,$U384))</f>
        <v>0</v>
      </c>
      <c r="AF384">
        <f>IF($U384="",0,ROUND(SUMIF(บันทึกรายเที่ยว!$T$6:$T$10005,$U384,บันทึกรายเที่ยว!$J$6:$J$10005),2))</f>
        <v>0</v>
      </c>
      <c r="AG384">
        <f>IF($U384="",0,ROUND(SUMIF(บันทึกรายเที่ยว!$T$6:$T$10005,$U384,บันทึกรายเที่ยว!$K$6:$K$10005),2))</f>
        <v>0</v>
      </c>
      <c r="AH384">
        <f>IF($U384="",0,ROUND(SUMIF(บันทึกรายเที่ยว!$T$6:$T$10005,$U384,บันทึกรายเที่ยว!$M$6:$M$10005),2))</f>
        <v>0</v>
      </c>
    </row>
    <row r="385" spans="1:34" ht="21" customHeight="1" x14ac:dyDescent="0.95">
      <c r="A385" s="3" t="str">
        <f t="shared" si="70"/>
        <v/>
      </c>
      <c r="B385" s="3" t="str">
        <f t="shared" si="71"/>
        <v/>
      </c>
      <c r="C385" s="8" t="str">
        <f t="shared" si="72"/>
        <v/>
      </c>
      <c r="D385" s="31" t="str">
        <f t="shared" si="73"/>
        <v/>
      </c>
      <c r="E385" s="32" t="str">
        <f>IF(378=$AD$1+3,"ขอแสดงความนับถือ",IF(378=$AD$1+6,"(                 )",IF(378=$AD$1+7,"เจ้าหน้าที่ขนส่ง",IF($AB385="G",SUM($AF$8:$AF$407),IF(OR($AB385="",$AB385="R"),"",IF($AB385="D",INDEX($AF$8:$AF$407,$AA385),SUMIF($T$8:$T$407,INDEX($T$8:$T$407,$AA385),$AF$8:$AF$407)))))))</f>
        <v/>
      </c>
      <c r="F385" s="32" t="str">
        <f t="shared" si="74"/>
        <v/>
      </c>
      <c r="G385" s="32" t="str">
        <f t="shared" si="75"/>
        <v/>
      </c>
      <c r="H385" s="32" t="str">
        <f t="shared" si="76"/>
        <v/>
      </c>
      <c r="J385" t="str">
        <f>IFERROR(MATCH(378,บันทึกรายเที่ยว!$W$6:$W$10005,0),"")</f>
        <v/>
      </c>
      <c r="K385" t="str">
        <f>IF($J385="","",INDEX(บันทึกรายเที่ยว!$T$6:$T$10005,$J385))</f>
        <v/>
      </c>
      <c r="L385" t="str">
        <f>IF($J385="","",INDEX(บันทึกรายเที่ยว!$S$6:$S$10005,$J385))</f>
        <v/>
      </c>
      <c r="M385" t="str">
        <f>IF($J385="","",INDEX(บันทึกรายเที่ยว!$R$6:$R$10005,$J385))</f>
        <v/>
      </c>
      <c r="N385" t="str">
        <f>IF($J385="","",MATCH($M385,บันทึกรายเที่ยว!$R$6:$R$10005,0))</f>
        <v/>
      </c>
      <c r="O385" t="str">
        <f>IF($J385="","",MATCH($L385,บันทึกรายเที่ยว!$S$6:$S$10005,0))</f>
        <v/>
      </c>
      <c r="P385" t="str">
        <f>IF($J385="","",IF(AND(OR($I$3="(ทั้งหมด)",INDEX(บันทึกรายเที่ยว!$C$6:$C$10005,$J385)=$I$3),OR($I$5="(ทั้งหมด)",INDEX(บันทึกรายเที่ยว!$D$6:$D$10005,$J385)=$I$5),OR($I$7="(ทั้งหมด)",INDEX(บันทึกรายเที่ยว!$F$6:$F$10005,$J385)=$I$7)),$N385*10000000+$O385*1000+378,""))</f>
        <v/>
      </c>
      <c r="Q385" t="str">
        <f>IFERROR(MATCH(SMALL($P$8:$P$407,378),$P$8:$P$407,0),"")</f>
        <v/>
      </c>
      <c r="R385" t="str">
        <f t="shared" si="77"/>
        <v/>
      </c>
      <c r="S385" t="str">
        <f t="shared" si="78"/>
        <v/>
      </c>
      <c r="T385" t="str">
        <f t="shared" si="79"/>
        <v/>
      </c>
      <c r="U385" t="str">
        <f t="shared" si="80"/>
        <v/>
      </c>
      <c r="V385">
        <f t="shared" si="82"/>
        <v>0</v>
      </c>
      <c r="W385">
        <f t="shared" si="83"/>
        <v>0</v>
      </c>
      <c r="X385">
        <f>IF($Q385="",99999+378,$X384+1+$V384+$W384)</f>
        <v>100377</v>
      </c>
      <c r="Y385" t="str">
        <f>IF($Q385="","",INDEX(บันทึกรายเที่ยว!$Q$6:$Q$10005,$R385))</f>
        <v/>
      </c>
      <c r="Z385" t="str">
        <f>IF($Q385="","",INDEX(บันทึกรายเที่ยว!$F$6:$F$10005,$R385))</f>
        <v/>
      </c>
      <c r="AA385" t="str">
        <f>IFERROR(MATCH(378,$X$8:$X$407,1),"")</f>
        <v/>
      </c>
      <c r="AB385" t="str">
        <f>IF(378=$AD$1+1,"G",IF($AA385="","",IF(INDEX($Q$8:$Q$407,$AA385)="","",IF(378&gt;INDEX($X$8:$X$407,$AA385)+INDEX($V$8:$V$407,$AA385)+INDEX($W$8:$W$407,$AA385),"",IF(378=INDEX($X$8:$X$407,$AA385)+INDEX($V$8:$V$407,$AA385)+INDEX($W$8:$W$407,$AA385),"D",IF(AND(INDEX($W$8:$W$407,$AA385)=1,378=INDEX($X$8:$X$407,$AA385)+INDEX($V$8:$V$407,$AA385)),"S","R"))))))</f>
        <v/>
      </c>
      <c r="AC385" t="str">
        <f t="shared" si="81"/>
        <v/>
      </c>
      <c r="AE385">
        <f>IF($U385="",0,COUNTIF(บันทึกรายเที่ยว!$T$6:$T$10005,$U385))</f>
        <v>0</v>
      </c>
      <c r="AF385">
        <f>IF($U385="",0,ROUND(SUMIF(บันทึกรายเที่ยว!$T$6:$T$10005,$U385,บันทึกรายเที่ยว!$J$6:$J$10005),2))</f>
        <v>0</v>
      </c>
      <c r="AG385">
        <f>IF($U385="",0,ROUND(SUMIF(บันทึกรายเที่ยว!$T$6:$T$10005,$U385,บันทึกรายเที่ยว!$K$6:$K$10005),2))</f>
        <v>0</v>
      </c>
      <c r="AH385">
        <f>IF($U385="",0,ROUND(SUMIF(บันทึกรายเที่ยว!$T$6:$T$10005,$U385,บันทึกรายเที่ยว!$M$6:$M$10005),2))</f>
        <v>0</v>
      </c>
    </row>
    <row r="386" spans="1:34" ht="21" customHeight="1" x14ac:dyDescent="0.95">
      <c r="A386" s="3" t="str">
        <f t="shared" si="70"/>
        <v/>
      </c>
      <c r="B386" s="3" t="str">
        <f t="shared" si="71"/>
        <v/>
      </c>
      <c r="C386" s="8" t="str">
        <f t="shared" si="72"/>
        <v/>
      </c>
      <c r="D386" s="31" t="str">
        <f t="shared" si="73"/>
        <v/>
      </c>
      <c r="E386" s="32" t="str">
        <f>IF(379=$AD$1+3,"ขอแสดงความนับถือ",IF(379=$AD$1+6,"(                 )",IF(379=$AD$1+7,"เจ้าหน้าที่ขนส่ง",IF($AB386="G",SUM($AF$8:$AF$407),IF(OR($AB386="",$AB386="R"),"",IF($AB386="D",INDEX($AF$8:$AF$407,$AA386),SUMIF($T$8:$T$407,INDEX($T$8:$T$407,$AA386),$AF$8:$AF$407)))))))</f>
        <v/>
      </c>
      <c r="F386" s="32" t="str">
        <f t="shared" si="74"/>
        <v/>
      </c>
      <c r="G386" s="32" t="str">
        <f t="shared" si="75"/>
        <v/>
      </c>
      <c r="H386" s="32" t="str">
        <f t="shared" si="76"/>
        <v/>
      </c>
      <c r="J386" t="str">
        <f>IFERROR(MATCH(379,บันทึกรายเที่ยว!$W$6:$W$10005,0),"")</f>
        <v/>
      </c>
      <c r="K386" t="str">
        <f>IF($J386="","",INDEX(บันทึกรายเที่ยว!$T$6:$T$10005,$J386))</f>
        <v/>
      </c>
      <c r="L386" t="str">
        <f>IF($J386="","",INDEX(บันทึกรายเที่ยว!$S$6:$S$10005,$J386))</f>
        <v/>
      </c>
      <c r="M386" t="str">
        <f>IF($J386="","",INDEX(บันทึกรายเที่ยว!$R$6:$R$10005,$J386))</f>
        <v/>
      </c>
      <c r="N386" t="str">
        <f>IF($J386="","",MATCH($M386,บันทึกรายเที่ยว!$R$6:$R$10005,0))</f>
        <v/>
      </c>
      <c r="O386" t="str">
        <f>IF($J386="","",MATCH($L386,บันทึกรายเที่ยว!$S$6:$S$10005,0))</f>
        <v/>
      </c>
      <c r="P386" t="str">
        <f>IF($J386="","",IF(AND(OR($I$3="(ทั้งหมด)",INDEX(บันทึกรายเที่ยว!$C$6:$C$10005,$J386)=$I$3),OR($I$5="(ทั้งหมด)",INDEX(บันทึกรายเที่ยว!$D$6:$D$10005,$J386)=$I$5),OR($I$7="(ทั้งหมด)",INDEX(บันทึกรายเที่ยว!$F$6:$F$10005,$J386)=$I$7)),$N386*10000000+$O386*1000+379,""))</f>
        <v/>
      </c>
      <c r="Q386" t="str">
        <f>IFERROR(MATCH(SMALL($P$8:$P$407,379),$P$8:$P$407,0),"")</f>
        <v/>
      </c>
      <c r="R386" t="str">
        <f t="shared" si="77"/>
        <v/>
      </c>
      <c r="S386" t="str">
        <f t="shared" si="78"/>
        <v/>
      </c>
      <c r="T386" t="str">
        <f t="shared" si="79"/>
        <v/>
      </c>
      <c r="U386" t="str">
        <f t="shared" si="80"/>
        <v/>
      </c>
      <c r="V386">
        <f t="shared" si="82"/>
        <v>0</v>
      </c>
      <c r="W386">
        <f t="shared" si="83"/>
        <v>0</v>
      </c>
      <c r="X386">
        <f>IF($Q386="",99999+379,$X385+1+$V385+$W385)</f>
        <v>100378</v>
      </c>
      <c r="Y386" t="str">
        <f>IF($Q386="","",INDEX(บันทึกรายเที่ยว!$Q$6:$Q$10005,$R386))</f>
        <v/>
      </c>
      <c r="Z386" t="str">
        <f>IF($Q386="","",INDEX(บันทึกรายเที่ยว!$F$6:$F$10005,$R386))</f>
        <v/>
      </c>
      <c r="AA386" t="str">
        <f>IFERROR(MATCH(379,$X$8:$X$407,1),"")</f>
        <v/>
      </c>
      <c r="AB386" t="str">
        <f>IF(379=$AD$1+1,"G",IF($AA386="","",IF(INDEX($Q$8:$Q$407,$AA386)="","",IF(379&gt;INDEX($X$8:$X$407,$AA386)+INDEX($V$8:$V$407,$AA386)+INDEX($W$8:$W$407,$AA386),"",IF(379=INDEX($X$8:$X$407,$AA386)+INDEX($V$8:$V$407,$AA386)+INDEX($W$8:$W$407,$AA386),"D",IF(AND(INDEX($W$8:$W$407,$AA386)=1,379=INDEX($X$8:$X$407,$AA386)+INDEX($V$8:$V$407,$AA386)),"S","R"))))))</f>
        <v/>
      </c>
      <c r="AC386" t="str">
        <f t="shared" si="81"/>
        <v/>
      </c>
      <c r="AE386">
        <f>IF($U386="",0,COUNTIF(บันทึกรายเที่ยว!$T$6:$T$10005,$U386))</f>
        <v>0</v>
      </c>
      <c r="AF386">
        <f>IF($U386="",0,ROUND(SUMIF(บันทึกรายเที่ยว!$T$6:$T$10005,$U386,บันทึกรายเที่ยว!$J$6:$J$10005),2))</f>
        <v>0</v>
      </c>
      <c r="AG386">
        <f>IF($U386="",0,ROUND(SUMIF(บันทึกรายเที่ยว!$T$6:$T$10005,$U386,บันทึกรายเที่ยว!$K$6:$K$10005),2))</f>
        <v>0</v>
      </c>
      <c r="AH386">
        <f>IF($U386="",0,ROUND(SUMIF(บันทึกรายเที่ยว!$T$6:$T$10005,$U386,บันทึกรายเที่ยว!$M$6:$M$10005),2))</f>
        <v>0</v>
      </c>
    </row>
    <row r="387" spans="1:34" ht="21" customHeight="1" x14ac:dyDescent="0.95">
      <c r="A387" s="3" t="str">
        <f t="shared" si="70"/>
        <v/>
      </c>
      <c r="B387" s="3" t="str">
        <f t="shared" si="71"/>
        <v/>
      </c>
      <c r="C387" s="8" t="str">
        <f t="shared" si="72"/>
        <v/>
      </c>
      <c r="D387" s="31" t="str">
        <f t="shared" si="73"/>
        <v/>
      </c>
      <c r="E387" s="32" t="str">
        <f>IF(380=$AD$1+3,"ขอแสดงความนับถือ",IF(380=$AD$1+6,"(                 )",IF(380=$AD$1+7,"เจ้าหน้าที่ขนส่ง",IF($AB387="G",SUM($AF$8:$AF$407),IF(OR($AB387="",$AB387="R"),"",IF($AB387="D",INDEX($AF$8:$AF$407,$AA387),SUMIF($T$8:$T$407,INDEX($T$8:$T$407,$AA387),$AF$8:$AF$407)))))))</f>
        <v/>
      </c>
      <c r="F387" s="32" t="str">
        <f t="shared" si="74"/>
        <v/>
      </c>
      <c r="G387" s="32" t="str">
        <f t="shared" si="75"/>
        <v/>
      </c>
      <c r="H387" s="32" t="str">
        <f t="shared" si="76"/>
        <v/>
      </c>
      <c r="J387" t="str">
        <f>IFERROR(MATCH(380,บันทึกรายเที่ยว!$W$6:$W$10005,0),"")</f>
        <v/>
      </c>
      <c r="K387" t="str">
        <f>IF($J387="","",INDEX(บันทึกรายเที่ยว!$T$6:$T$10005,$J387))</f>
        <v/>
      </c>
      <c r="L387" t="str">
        <f>IF($J387="","",INDEX(บันทึกรายเที่ยว!$S$6:$S$10005,$J387))</f>
        <v/>
      </c>
      <c r="M387" t="str">
        <f>IF($J387="","",INDEX(บันทึกรายเที่ยว!$R$6:$R$10005,$J387))</f>
        <v/>
      </c>
      <c r="N387" t="str">
        <f>IF($J387="","",MATCH($M387,บันทึกรายเที่ยว!$R$6:$R$10005,0))</f>
        <v/>
      </c>
      <c r="O387" t="str">
        <f>IF($J387="","",MATCH($L387,บันทึกรายเที่ยว!$S$6:$S$10005,0))</f>
        <v/>
      </c>
      <c r="P387" t="str">
        <f>IF($J387="","",IF(AND(OR($I$3="(ทั้งหมด)",INDEX(บันทึกรายเที่ยว!$C$6:$C$10005,$J387)=$I$3),OR($I$5="(ทั้งหมด)",INDEX(บันทึกรายเที่ยว!$D$6:$D$10005,$J387)=$I$5),OR($I$7="(ทั้งหมด)",INDEX(บันทึกรายเที่ยว!$F$6:$F$10005,$J387)=$I$7)),$N387*10000000+$O387*1000+380,""))</f>
        <v/>
      </c>
      <c r="Q387" t="str">
        <f>IFERROR(MATCH(SMALL($P$8:$P$407,380),$P$8:$P$407,0),"")</f>
        <v/>
      </c>
      <c r="R387" t="str">
        <f t="shared" si="77"/>
        <v/>
      </c>
      <c r="S387" t="str">
        <f t="shared" si="78"/>
        <v/>
      </c>
      <c r="T387" t="str">
        <f t="shared" si="79"/>
        <v/>
      </c>
      <c r="U387" t="str">
        <f t="shared" si="80"/>
        <v/>
      </c>
      <c r="V387">
        <f t="shared" si="82"/>
        <v>0</v>
      </c>
      <c r="W387">
        <f t="shared" si="83"/>
        <v>0</v>
      </c>
      <c r="X387">
        <f>IF($Q387="",99999+380,$X386+1+$V386+$W386)</f>
        <v>100379</v>
      </c>
      <c r="Y387" t="str">
        <f>IF($Q387="","",INDEX(บันทึกรายเที่ยว!$Q$6:$Q$10005,$R387))</f>
        <v/>
      </c>
      <c r="Z387" t="str">
        <f>IF($Q387="","",INDEX(บันทึกรายเที่ยว!$F$6:$F$10005,$R387))</f>
        <v/>
      </c>
      <c r="AA387" t="str">
        <f>IFERROR(MATCH(380,$X$8:$X$407,1),"")</f>
        <v/>
      </c>
      <c r="AB387" t="str">
        <f>IF(380=$AD$1+1,"G",IF($AA387="","",IF(INDEX($Q$8:$Q$407,$AA387)="","",IF(380&gt;INDEX($X$8:$X$407,$AA387)+INDEX($V$8:$V$407,$AA387)+INDEX($W$8:$W$407,$AA387),"",IF(380=INDEX($X$8:$X$407,$AA387)+INDEX($V$8:$V$407,$AA387)+INDEX($W$8:$W$407,$AA387),"D",IF(AND(INDEX($W$8:$W$407,$AA387)=1,380=INDEX($X$8:$X$407,$AA387)+INDEX($V$8:$V$407,$AA387)),"S","R"))))))</f>
        <v/>
      </c>
      <c r="AC387" t="str">
        <f t="shared" si="81"/>
        <v/>
      </c>
      <c r="AE387">
        <f>IF($U387="",0,COUNTIF(บันทึกรายเที่ยว!$T$6:$T$10005,$U387))</f>
        <v>0</v>
      </c>
      <c r="AF387">
        <f>IF($U387="",0,ROUND(SUMIF(บันทึกรายเที่ยว!$T$6:$T$10005,$U387,บันทึกรายเที่ยว!$J$6:$J$10005),2))</f>
        <v>0</v>
      </c>
      <c r="AG387">
        <f>IF($U387="",0,ROUND(SUMIF(บันทึกรายเที่ยว!$T$6:$T$10005,$U387,บันทึกรายเที่ยว!$K$6:$K$10005),2))</f>
        <v>0</v>
      </c>
      <c r="AH387">
        <f>IF($U387="",0,ROUND(SUMIF(บันทึกรายเที่ยว!$T$6:$T$10005,$U387,บันทึกรายเที่ยว!$M$6:$M$10005),2))</f>
        <v>0</v>
      </c>
    </row>
    <row r="388" spans="1:34" ht="21" customHeight="1" x14ac:dyDescent="0.95">
      <c r="A388" s="3" t="str">
        <f t="shared" si="70"/>
        <v/>
      </c>
      <c r="B388" s="3" t="str">
        <f t="shared" si="71"/>
        <v/>
      </c>
      <c r="C388" s="8" t="str">
        <f t="shared" si="72"/>
        <v/>
      </c>
      <c r="D388" s="31" t="str">
        <f t="shared" si="73"/>
        <v/>
      </c>
      <c r="E388" s="32" t="str">
        <f>IF(381=$AD$1+3,"ขอแสดงความนับถือ",IF(381=$AD$1+6,"(                 )",IF(381=$AD$1+7,"เจ้าหน้าที่ขนส่ง",IF($AB388="G",SUM($AF$8:$AF$407),IF(OR($AB388="",$AB388="R"),"",IF($AB388="D",INDEX($AF$8:$AF$407,$AA388),SUMIF($T$8:$T$407,INDEX($T$8:$T$407,$AA388),$AF$8:$AF$407)))))))</f>
        <v/>
      </c>
      <c r="F388" s="32" t="str">
        <f t="shared" si="74"/>
        <v/>
      </c>
      <c r="G388" s="32" t="str">
        <f t="shared" si="75"/>
        <v/>
      </c>
      <c r="H388" s="32" t="str">
        <f t="shared" si="76"/>
        <v/>
      </c>
      <c r="J388" t="str">
        <f>IFERROR(MATCH(381,บันทึกรายเที่ยว!$W$6:$W$10005,0),"")</f>
        <v/>
      </c>
      <c r="K388" t="str">
        <f>IF($J388="","",INDEX(บันทึกรายเที่ยว!$T$6:$T$10005,$J388))</f>
        <v/>
      </c>
      <c r="L388" t="str">
        <f>IF($J388="","",INDEX(บันทึกรายเที่ยว!$S$6:$S$10005,$J388))</f>
        <v/>
      </c>
      <c r="M388" t="str">
        <f>IF($J388="","",INDEX(บันทึกรายเที่ยว!$R$6:$R$10005,$J388))</f>
        <v/>
      </c>
      <c r="N388" t="str">
        <f>IF($J388="","",MATCH($M388,บันทึกรายเที่ยว!$R$6:$R$10005,0))</f>
        <v/>
      </c>
      <c r="O388" t="str">
        <f>IF($J388="","",MATCH($L388,บันทึกรายเที่ยว!$S$6:$S$10005,0))</f>
        <v/>
      </c>
      <c r="P388" t="str">
        <f>IF($J388="","",IF(AND(OR($I$3="(ทั้งหมด)",INDEX(บันทึกรายเที่ยว!$C$6:$C$10005,$J388)=$I$3),OR($I$5="(ทั้งหมด)",INDEX(บันทึกรายเที่ยว!$D$6:$D$10005,$J388)=$I$5),OR($I$7="(ทั้งหมด)",INDEX(บันทึกรายเที่ยว!$F$6:$F$10005,$J388)=$I$7)),$N388*10000000+$O388*1000+381,""))</f>
        <v/>
      </c>
      <c r="Q388" t="str">
        <f>IFERROR(MATCH(SMALL($P$8:$P$407,381),$P$8:$P$407,0),"")</f>
        <v/>
      </c>
      <c r="R388" t="str">
        <f t="shared" si="77"/>
        <v/>
      </c>
      <c r="S388" t="str">
        <f t="shared" si="78"/>
        <v/>
      </c>
      <c r="T388" t="str">
        <f t="shared" si="79"/>
        <v/>
      </c>
      <c r="U388" t="str">
        <f t="shared" si="80"/>
        <v/>
      </c>
      <c r="V388">
        <f t="shared" si="82"/>
        <v>0</v>
      </c>
      <c r="W388">
        <f t="shared" si="83"/>
        <v>0</v>
      </c>
      <c r="X388">
        <f>IF($Q388="",99999+381,$X387+1+$V387+$W387)</f>
        <v>100380</v>
      </c>
      <c r="Y388" t="str">
        <f>IF($Q388="","",INDEX(บันทึกรายเที่ยว!$Q$6:$Q$10005,$R388))</f>
        <v/>
      </c>
      <c r="Z388" t="str">
        <f>IF($Q388="","",INDEX(บันทึกรายเที่ยว!$F$6:$F$10005,$R388))</f>
        <v/>
      </c>
      <c r="AA388" t="str">
        <f>IFERROR(MATCH(381,$X$8:$X$407,1),"")</f>
        <v/>
      </c>
      <c r="AB388" t="str">
        <f>IF(381=$AD$1+1,"G",IF($AA388="","",IF(INDEX($Q$8:$Q$407,$AA388)="","",IF(381&gt;INDEX($X$8:$X$407,$AA388)+INDEX($V$8:$V$407,$AA388)+INDEX($W$8:$W$407,$AA388),"",IF(381=INDEX($X$8:$X$407,$AA388)+INDEX($V$8:$V$407,$AA388)+INDEX($W$8:$W$407,$AA388),"D",IF(AND(INDEX($W$8:$W$407,$AA388)=1,381=INDEX($X$8:$X$407,$AA388)+INDEX($V$8:$V$407,$AA388)),"S","R"))))))</f>
        <v/>
      </c>
      <c r="AC388" t="str">
        <f t="shared" si="81"/>
        <v/>
      </c>
      <c r="AE388">
        <f>IF($U388="",0,COUNTIF(บันทึกรายเที่ยว!$T$6:$T$10005,$U388))</f>
        <v>0</v>
      </c>
      <c r="AF388">
        <f>IF($U388="",0,ROUND(SUMIF(บันทึกรายเที่ยว!$T$6:$T$10005,$U388,บันทึกรายเที่ยว!$J$6:$J$10005),2))</f>
        <v>0</v>
      </c>
      <c r="AG388">
        <f>IF($U388="",0,ROUND(SUMIF(บันทึกรายเที่ยว!$T$6:$T$10005,$U388,บันทึกรายเที่ยว!$K$6:$K$10005),2))</f>
        <v>0</v>
      </c>
      <c r="AH388">
        <f>IF($U388="",0,ROUND(SUMIF(บันทึกรายเที่ยว!$T$6:$T$10005,$U388,บันทึกรายเที่ยว!$M$6:$M$10005),2))</f>
        <v>0</v>
      </c>
    </row>
    <row r="389" spans="1:34" ht="21" customHeight="1" x14ac:dyDescent="0.95">
      <c r="A389" s="3" t="str">
        <f t="shared" si="70"/>
        <v/>
      </c>
      <c r="B389" s="3" t="str">
        <f t="shared" si="71"/>
        <v/>
      </c>
      <c r="C389" s="8" t="str">
        <f t="shared" si="72"/>
        <v/>
      </c>
      <c r="D389" s="31" t="str">
        <f t="shared" si="73"/>
        <v/>
      </c>
      <c r="E389" s="32" t="str">
        <f>IF(382=$AD$1+3,"ขอแสดงความนับถือ",IF(382=$AD$1+6,"(                 )",IF(382=$AD$1+7,"เจ้าหน้าที่ขนส่ง",IF($AB389="G",SUM($AF$8:$AF$407),IF(OR($AB389="",$AB389="R"),"",IF($AB389="D",INDEX($AF$8:$AF$407,$AA389),SUMIF($T$8:$T$407,INDEX($T$8:$T$407,$AA389),$AF$8:$AF$407)))))))</f>
        <v/>
      </c>
      <c r="F389" s="32" t="str">
        <f t="shared" si="74"/>
        <v/>
      </c>
      <c r="G389" s="32" t="str">
        <f t="shared" si="75"/>
        <v/>
      </c>
      <c r="H389" s="32" t="str">
        <f t="shared" si="76"/>
        <v/>
      </c>
      <c r="J389" t="str">
        <f>IFERROR(MATCH(382,บันทึกรายเที่ยว!$W$6:$W$10005,0),"")</f>
        <v/>
      </c>
      <c r="K389" t="str">
        <f>IF($J389="","",INDEX(บันทึกรายเที่ยว!$T$6:$T$10005,$J389))</f>
        <v/>
      </c>
      <c r="L389" t="str">
        <f>IF($J389="","",INDEX(บันทึกรายเที่ยว!$S$6:$S$10005,$J389))</f>
        <v/>
      </c>
      <c r="M389" t="str">
        <f>IF($J389="","",INDEX(บันทึกรายเที่ยว!$R$6:$R$10005,$J389))</f>
        <v/>
      </c>
      <c r="N389" t="str">
        <f>IF($J389="","",MATCH($M389,บันทึกรายเที่ยว!$R$6:$R$10005,0))</f>
        <v/>
      </c>
      <c r="O389" t="str">
        <f>IF($J389="","",MATCH($L389,บันทึกรายเที่ยว!$S$6:$S$10005,0))</f>
        <v/>
      </c>
      <c r="P389" t="str">
        <f>IF($J389="","",IF(AND(OR($I$3="(ทั้งหมด)",INDEX(บันทึกรายเที่ยว!$C$6:$C$10005,$J389)=$I$3),OR($I$5="(ทั้งหมด)",INDEX(บันทึกรายเที่ยว!$D$6:$D$10005,$J389)=$I$5),OR($I$7="(ทั้งหมด)",INDEX(บันทึกรายเที่ยว!$F$6:$F$10005,$J389)=$I$7)),$N389*10000000+$O389*1000+382,""))</f>
        <v/>
      </c>
      <c r="Q389" t="str">
        <f>IFERROR(MATCH(SMALL($P$8:$P$407,382),$P$8:$P$407,0),"")</f>
        <v/>
      </c>
      <c r="R389" t="str">
        <f t="shared" si="77"/>
        <v/>
      </c>
      <c r="S389" t="str">
        <f t="shared" si="78"/>
        <v/>
      </c>
      <c r="T389" t="str">
        <f t="shared" si="79"/>
        <v/>
      </c>
      <c r="U389" t="str">
        <f t="shared" si="80"/>
        <v/>
      </c>
      <c r="V389">
        <f t="shared" si="82"/>
        <v>0</v>
      </c>
      <c r="W389">
        <f t="shared" si="83"/>
        <v>0</v>
      </c>
      <c r="X389">
        <f>IF($Q389="",99999+382,$X388+1+$V388+$W388)</f>
        <v>100381</v>
      </c>
      <c r="Y389" t="str">
        <f>IF($Q389="","",INDEX(บันทึกรายเที่ยว!$Q$6:$Q$10005,$R389))</f>
        <v/>
      </c>
      <c r="Z389" t="str">
        <f>IF($Q389="","",INDEX(บันทึกรายเที่ยว!$F$6:$F$10005,$R389))</f>
        <v/>
      </c>
      <c r="AA389" t="str">
        <f>IFERROR(MATCH(382,$X$8:$X$407,1),"")</f>
        <v/>
      </c>
      <c r="AB389" t="str">
        <f>IF(382=$AD$1+1,"G",IF($AA389="","",IF(INDEX($Q$8:$Q$407,$AA389)="","",IF(382&gt;INDEX($X$8:$X$407,$AA389)+INDEX($V$8:$V$407,$AA389)+INDEX($W$8:$W$407,$AA389),"",IF(382=INDEX($X$8:$X$407,$AA389)+INDEX($V$8:$V$407,$AA389)+INDEX($W$8:$W$407,$AA389),"D",IF(AND(INDEX($W$8:$W$407,$AA389)=1,382=INDEX($X$8:$X$407,$AA389)+INDEX($V$8:$V$407,$AA389)),"S","R"))))))</f>
        <v/>
      </c>
      <c r="AC389" t="str">
        <f t="shared" si="81"/>
        <v/>
      </c>
      <c r="AE389">
        <f>IF($U389="",0,COUNTIF(บันทึกรายเที่ยว!$T$6:$T$10005,$U389))</f>
        <v>0</v>
      </c>
      <c r="AF389">
        <f>IF($U389="",0,ROUND(SUMIF(บันทึกรายเที่ยว!$T$6:$T$10005,$U389,บันทึกรายเที่ยว!$J$6:$J$10005),2))</f>
        <v>0</v>
      </c>
      <c r="AG389">
        <f>IF($U389="",0,ROUND(SUMIF(บันทึกรายเที่ยว!$T$6:$T$10005,$U389,บันทึกรายเที่ยว!$K$6:$K$10005),2))</f>
        <v>0</v>
      </c>
      <c r="AH389">
        <f>IF($U389="",0,ROUND(SUMIF(บันทึกรายเที่ยว!$T$6:$T$10005,$U389,บันทึกรายเที่ยว!$M$6:$M$10005),2))</f>
        <v>0</v>
      </c>
    </row>
    <row r="390" spans="1:34" ht="21" customHeight="1" x14ac:dyDescent="0.95">
      <c r="A390" s="3" t="str">
        <f t="shared" si="70"/>
        <v/>
      </c>
      <c r="B390" s="3" t="str">
        <f t="shared" si="71"/>
        <v/>
      </c>
      <c r="C390" s="8" t="str">
        <f t="shared" si="72"/>
        <v/>
      </c>
      <c r="D390" s="31" t="str">
        <f t="shared" si="73"/>
        <v/>
      </c>
      <c r="E390" s="32" t="str">
        <f>IF(383=$AD$1+3,"ขอแสดงความนับถือ",IF(383=$AD$1+6,"(                 )",IF(383=$AD$1+7,"เจ้าหน้าที่ขนส่ง",IF($AB390="G",SUM($AF$8:$AF$407),IF(OR($AB390="",$AB390="R"),"",IF($AB390="D",INDEX($AF$8:$AF$407,$AA390),SUMIF($T$8:$T$407,INDEX($T$8:$T$407,$AA390),$AF$8:$AF$407)))))))</f>
        <v/>
      </c>
      <c r="F390" s="32" t="str">
        <f t="shared" si="74"/>
        <v/>
      </c>
      <c r="G390" s="32" t="str">
        <f t="shared" si="75"/>
        <v/>
      </c>
      <c r="H390" s="32" t="str">
        <f t="shared" si="76"/>
        <v/>
      </c>
      <c r="J390" t="str">
        <f>IFERROR(MATCH(383,บันทึกรายเที่ยว!$W$6:$W$10005,0),"")</f>
        <v/>
      </c>
      <c r="K390" t="str">
        <f>IF($J390="","",INDEX(บันทึกรายเที่ยว!$T$6:$T$10005,$J390))</f>
        <v/>
      </c>
      <c r="L390" t="str">
        <f>IF($J390="","",INDEX(บันทึกรายเที่ยว!$S$6:$S$10005,$J390))</f>
        <v/>
      </c>
      <c r="M390" t="str">
        <f>IF($J390="","",INDEX(บันทึกรายเที่ยว!$R$6:$R$10005,$J390))</f>
        <v/>
      </c>
      <c r="N390" t="str">
        <f>IF($J390="","",MATCH($M390,บันทึกรายเที่ยว!$R$6:$R$10005,0))</f>
        <v/>
      </c>
      <c r="O390" t="str">
        <f>IF($J390="","",MATCH($L390,บันทึกรายเที่ยว!$S$6:$S$10005,0))</f>
        <v/>
      </c>
      <c r="P390" t="str">
        <f>IF($J390="","",IF(AND(OR($I$3="(ทั้งหมด)",INDEX(บันทึกรายเที่ยว!$C$6:$C$10005,$J390)=$I$3),OR($I$5="(ทั้งหมด)",INDEX(บันทึกรายเที่ยว!$D$6:$D$10005,$J390)=$I$5),OR($I$7="(ทั้งหมด)",INDEX(บันทึกรายเที่ยว!$F$6:$F$10005,$J390)=$I$7)),$N390*10000000+$O390*1000+383,""))</f>
        <v/>
      </c>
      <c r="Q390" t="str">
        <f>IFERROR(MATCH(SMALL($P$8:$P$407,383),$P$8:$P$407,0),"")</f>
        <v/>
      </c>
      <c r="R390" t="str">
        <f t="shared" si="77"/>
        <v/>
      </c>
      <c r="S390" t="str">
        <f t="shared" si="78"/>
        <v/>
      </c>
      <c r="T390" t="str">
        <f t="shared" si="79"/>
        <v/>
      </c>
      <c r="U390" t="str">
        <f t="shared" si="80"/>
        <v/>
      </c>
      <c r="V390">
        <f t="shared" si="82"/>
        <v>0</v>
      </c>
      <c r="W390">
        <f t="shared" si="83"/>
        <v>0</v>
      </c>
      <c r="X390">
        <f>IF($Q390="",99999+383,$X389+1+$V389+$W389)</f>
        <v>100382</v>
      </c>
      <c r="Y390" t="str">
        <f>IF($Q390="","",INDEX(บันทึกรายเที่ยว!$Q$6:$Q$10005,$R390))</f>
        <v/>
      </c>
      <c r="Z390" t="str">
        <f>IF($Q390="","",INDEX(บันทึกรายเที่ยว!$F$6:$F$10005,$R390))</f>
        <v/>
      </c>
      <c r="AA390" t="str">
        <f>IFERROR(MATCH(383,$X$8:$X$407,1),"")</f>
        <v/>
      </c>
      <c r="AB390" t="str">
        <f>IF(383=$AD$1+1,"G",IF($AA390="","",IF(INDEX($Q$8:$Q$407,$AA390)="","",IF(383&gt;INDEX($X$8:$X$407,$AA390)+INDEX($V$8:$V$407,$AA390)+INDEX($W$8:$W$407,$AA390),"",IF(383=INDEX($X$8:$X$407,$AA390)+INDEX($V$8:$V$407,$AA390)+INDEX($W$8:$W$407,$AA390),"D",IF(AND(INDEX($W$8:$W$407,$AA390)=1,383=INDEX($X$8:$X$407,$AA390)+INDEX($V$8:$V$407,$AA390)),"S","R"))))))</f>
        <v/>
      </c>
      <c r="AC390" t="str">
        <f t="shared" si="81"/>
        <v/>
      </c>
      <c r="AE390">
        <f>IF($U390="",0,COUNTIF(บันทึกรายเที่ยว!$T$6:$T$10005,$U390))</f>
        <v>0</v>
      </c>
      <c r="AF390">
        <f>IF($U390="",0,ROUND(SUMIF(บันทึกรายเที่ยว!$T$6:$T$10005,$U390,บันทึกรายเที่ยว!$J$6:$J$10005),2))</f>
        <v>0</v>
      </c>
      <c r="AG390">
        <f>IF($U390="",0,ROUND(SUMIF(บันทึกรายเที่ยว!$T$6:$T$10005,$U390,บันทึกรายเที่ยว!$K$6:$K$10005),2))</f>
        <v>0</v>
      </c>
      <c r="AH390">
        <f>IF($U390="",0,ROUND(SUMIF(บันทึกรายเที่ยว!$T$6:$T$10005,$U390,บันทึกรายเที่ยว!$M$6:$M$10005),2))</f>
        <v>0</v>
      </c>
    </row>
    <row r="391" spans="1:34" ht="21" customHeight="1" x14ac:dyDescent="0.95">
      <c r="A391" s="3" t="str">
        <f t="shared" si="70"/>
        <v/>
      </c>
      <c r="B391" s="3" t="str">
        <f t="shared" si="71"/>
        <v/>
      </c>
      <c r="C391" s="8" t="str">
        <f t="shared" si="72"/>
        <v/>
      </c>
      <c r="D391" s="31" t="str">
        <f t="shared" si="73"/>
        <v/>
      </c>
      <c r="E391" s="32" t="str">
        <f>IF(384=$AD$1+3,"ขอแสดงความนับถือ",IF(384=$AD$1+6,"(                 )",IF(384=$AD$1+7,"เจ้าหน้าที่ขนส่ง",IF($AB391="G",SUM($AF$8:$AF$407),IF(OR($AB391="",$AB391="R"),"",IF($AB391="D",INDEX($AF$8:$AF$407,$AA391),SUMIF($T$8:$T$407,INDEX($T$8:$T$407,$AA391),$AF$8:$AF$407)))))))</f>
        <v/>
      </c>
      <c r="F391" s="32" t="str">
        <f t="shared" si="74"/>
        <v/>
      </c>
      <c r="G391" s="32" t="str">
        <f t="shared" si="75"/>
        <v/>
      </c>
      <c r="H391" s="32" t="str">
        <f t="shared" si="76"/>
        <v/>
      </c>
      <c r="J391" t="str">
        <f>IFERROR(MATCH(384,บันทึกรายเที่ยว!$W$6:$W$10005,0),"")</f>
        <v/>
      </c>
      <c r="K391" t="str">
        <f>IF($J391="","",INDEX(บันทึกรายเที่ยว!$T$6:$T$10005,$J391))</f>
        <v/>
      </c>
      <c r="L391" t="str">
        <f>IF($J391="","",INDEX(บันทึกรายเที่ยว!$S$6:$S$10005,$J391))</f>
        <v/>
      </c>
      <c r="M391" t="str">
        <f>IF($J391="","",INDEX(บันทึกรายเที่ยว!$R$6:$R$10005,$J391))</f>
        <v/>
      </c>
      <c r="N391" t="str">
        <f>IF($J391="","",MATCH($M391,บันทึกรายเที่ยว!$R$6:$R$10005,0))</f>
        <v/>
      </c>
      <c r="O391" t="str">
        <f>IF($J391="","",MATCH($L391,บันทึกรายเที่ยว!$S$6:$S$10005,0))</f>
        <v/>
      </c>
      <c r="P391" t="str">
        <f>IF($J391="","",IF(AND(OR($I$3="(ทั้งหมด)",INDEX(บันทึกรายเที่ยว!$C$6:$C$10005,$J391)=$I$3),OR($I$5="(ทั้งหมด)",INDEX(บันทึกรายเที่ยว!$D$6:$D$10005,$J391)=$I$5),OR($I$7="(ทั้งหมด)",INDEX(บันทึกรายเที่ยว!$F$6:$F$10005,$J391)=$I$7)),$N391*10000000+$O391*1000+384,""))</f>
        <v/>
      </c>
      <c r="Q391" t="str">
        <f>IFERROR(MATCH(SMALL($P$8:$P$407,384),$P$8:$P$407,0),"")</f>
        <v/>
      </c>
      <c r="R391" t="str">
        <f t="shared" si="77"/>
        <v/>
      </c>
      <c r="S391" t="str">
        <f t="shared" si="78"/>
        <v/>
      </c>
      <c r="T391" t="str">
        <f t="shared" si="79"/>
        <v/>
      </c>
      <c r="U391" t="str">
        <f t="shared" si="80"/>
        <v/>
      </c>
      <c r="V391">
        <f t="shared" si="82"/>
        <v>0</v>
      </c>
      <c r="W391">
        <f t="shared" si="83"/>
        <v>0</v>
      </c>
      <c r="X391">
        <f>IF($Q391="",99999+384,$X390+1+$V390+$W390)</f>
        <v>100383</v>
      </c>
      <c r="Y391" t="str">
        <f>IF($Q391="","",INDEX(บันทึกรายเที่ยว!$Q$6:$Q$10005,$R391))</f>
        <v/>
      </c>
      <c r="Z391" t="str">
        <f>IF($Q391="","",INDEX(บันทึกรายเที่ยว!$F$6:$F$10005,$R391))</f>
        <v/>
      </c>
      <c r="AA391" t="str">
        <f>IFERROR(MATCH(384,$X$8:$X$407,1),"")</f>
        <v/>
      </c>
      <c r="AB391" t="str">
        <f>IF(384=$AD$1+1,"G",IF($AA391="","",IF(INDEX($Q$8:$Q$407,$AA391)="","",IF(384&gt;INDEX($X$8:$X$407,$AA391)+INDEX($V$8:$V$407,$AA391)+INDEX($W$8:$W$407,$AA391),"",IF(384=INDEX($X$8:$X$407,$AA391)+INDEX($V$8:$V$407,$AA391)+INDEX($W$8:$W$407,$AA391),"D",IF(AND(INDEX($W$8:$W$407,$AA391)=1,384=INDEX($X$8:$X$407,$AA391)+INDEX($V$8:$V$407,$AA391)),"S","R"))))))</f>
        <v/>
      </c>
      <c r="AC391" t="str">
        <f t="shared" si="81"/>
        <v/>
      </c>
      <c r="AE391">
        <f>IF($U391="",0,COUNTIF(บันทึกรายเที่ยว!$T$6:$T$10005,$U391))</f>
        <v>0</v>
      </c>
      <c r="AF391">
        <f>IF($U391="",0,ROUND(SUMIF(บันทึกรายเที่ยว!$T$6:$T$10005,$U391,บันทึกรายเที่ยว!$J$6:$J$10005),2))</f>
        <v>0</v>
      </c>
      <c r="AG391">
        <f>IF($U391="",0,ROUND(SUMIF(บันทึกรายเที่ยว!$T$6:$T$10005,$U391,บันทึกรายเที่ยว!$K$6:$K$10005),2))</f>
        <v>0</v>
      </c>
      <c r="AH391">
        <f>IF($U391="",0,ROUND(SUMIF(บันทึกรายเที่ยว!$T$6:$T$10005,$U391,บันทึกรายเที่ยว!$M$6:$M$10005),2))</f>
        <v>0</v>
      </c>
    </row>
    <row r="392" spans="1:34" ht="21" customHeight="1" x14ac:dyDescent="0.95">
      <c r="A392" s="3" t="str">
        <f t="shared" ref="A392:A455" si="84">IF($AB392="G","ผลรวมทั้งหมด",IF($AB392="R",INDEX($S$8:$S$407,$AA392),""))</f>
        <v/>
      </c>
      <c r="B392" s="3" t="str">
        <f t="shared" ref="B392:B455" si="85">IF($AB392="S",INDEX($Y$8:$Y$407,$AA392),"")</f>
        <v/>
      </c>
      <c r="C392" s="8" t="str">
        <f t="shared" ref="C392:C455" si="86">IF($AB392="D",INDEX($Z$8:$Z$407,$AA392),"")</f>
        <v/>
      </c>
      <c r="D392" s="31" t="str">
        <f t="shared" ref="D392:D455" si="87">IF($AB392="G",SUM($AE$8:$AE$407),IF(OR($AB392="",$AB392="R"),"",IF($AB392="D",INDEX($AE$8:$AE$407,$AA392),SUMIF($T$8:$T$407,INDEX($T$8:$T$407,$AA392),$AE$8:$AE$407))))</f>
        <v/>
      </c>
      <c r="E392" s="32" t="str">
        <f>IF(385=$AD$1+3,"ขอแสดงความนับถือ",IF(385=$AD$1+6,"(                 )",IF(385=$AD$1+7,"เจ้าหน้าที่ขนส่ง",IF($AB392="G",SUM($AF$8:$AF$407),IF(OR($AB392="",$AB392="R"),"",IF($AB392="D",INDEX($AF$8:$AF$407,$AA392),SUMIF($T$8:$T$407,INDEX($T$8:$T$407,$AA392),$AF$8:$AF$407)))))))</f>
        <v/>
      </c>
      <c r="F392" s="32" t="str">
        <f t="shared" ref="F392:F455" si="88">IF($AB392="G",SUM($AG$8:$AG$407),IF(OR($AB392="",$AB392="R"),"",IF($AB392="D",INDEX($AG$8:$AG$407,$AA392),SUMIF($T$8:$T$407,INDEX($T$8:$T$407,$AA392),$AG$8:$AG$407))))</f>
        <v/>
      </c>
      <c r="G392" s="32" t="str">
        <f t="shared" ref="G392:G455" si="89">IF(OR($AB392="",$AB392="R"),"",ROUND($E392-$F392,2))</f>
        <v/>
      </c>
      <c r="H392" s="32" t="str">
        <f t="shared" ref="H392:H455" si="90">IF($AB392="G",SUM($AH$8:$AH$407),IF(OR($AB392="",$AB392="R"),"",IF($AB392="D",INDEX($AH$8:$AH$407,$AA392),SUMIF($T$8:$T$407,INDEX($T$8:$T$407,$AA392),$AH$8:$AH$407))))</f>
        <v/>
      </c>
      <c r="J392" t="str">
        <f>IFERROR(MATCH(385,บันทึกรายเที่ยว!$W$6:$W$10005,0),"")</f>
        <v/>
      </c>
      <c r="K392" t="str">
        <f>IF($J392="","",INDEX(บันทึกรายเที่ยว!$T$6:$T$10005,$J392))</f>
        <v/>
      </c>
      <c r="L392" t="str">
        <f>IF($J392="","",INDEX(บันทึกรายเที่ยว!$S$6:$S$10005,$J392))</f>
        <v/>
      </c>
      <c r="M392" t="str">
        <f>IF($J392="","",INDEX(บันทึกรายเที่ยว!$R$6:$R$10005,$J392))</f>
        <v/>
      </c>
      <c r="N392" t="str">
        <f>IF($J392="","",MATCH($M392,บันทึกรายเที่ยว!$R$6:$R$10005,0))</f>
        <v/>
      </c>
      <c r="O392" t="str">
        <f>IF($J392="","",MATCH($L392,บันทึกรายเที่ยว!$S$6:$S$10005,0))</f>
        <v/>
      </c>
      <c r="P392" t="str">
        <f>IF($J392="","",IF(AND(OR($I$3="(ทั้งหมด)",INDEX(บันทึกรายเที่ยว!$C$6:$C$10005,$J392)=$I$3),OR($I$5="(ทั้งหมด)",INDEX(บันทึกรายเที่ยว!$D$6:$D$10005,$J392)=$I$5),OR($I$7="(ทั้งหมด)",INDEX(บันทึกรายเที่ยว!$F$6:$F$10005,$J392)=$I$7)),$N392*10000000+$O392*1000+385,""))</f>
        <v/>
      </c>
      <c r="Q392" t="str">
        <f>IFERROR(MATCH(SMALL($P$8:$P$407,385),$P$8:$P$407,0),"")</f>
        <v/>
      </c>
      <c r="R392" t="str">
        <f t="shared" ref="R392:R407" si="91">IF($Q392="","",INDEX($J$8:$J$407,$Q392))</f>
        <v/>
      </c>
      <c r="S392" t="str">
        <f t="shared" ref="S392:S407" si="92">IF($Q392="","",INDEX($M$8:$M$407,$Q392))</f>
        <v/>
      </c>
      <c r="T392" t="str">
        <f t="shared" ref="T392:T407" si="93">IF($Q392="","",INDEX($L$8:$L$407,$Q392))</f>
        <v/>
      </c>
      <c r="U392" t="str">
        <f t="shared" ref="U392:U407" si="94">IF($Q392="","",INDEX($K$8:$K$407,$Q392))</f>
        <v/>
      </c>
      <c r="V392">
        <f t="shared" si="82"/>
        <v>0</v>
      </c>
      <c r="W392">
        <f t="shared" si="83"/>
        <v>0</v>
      </c>
      <c r="X392">
        <f>IF($Q392="",99999+385,$X391+1+$V391+$W391)</f>
        <v>100384</v>
      </c>
      <c r="Y392" t="str">
        <f>IF($Q392="","",INDEX(บันทึกรายเที่ยว!$Q$6:$Q$10005,$R392))</f>
        <v/>
      </c>
      <c r="Z392" t="str">
        <f>IF($Q392="","",INDEX(บันทึกรายเที่ยว!$F$6:$F$10005,$R392))</f>
        <v/>
      </c>
      <c r="AA392" t="str">
        <f>IFERROR(MATCH(385,$X$8:$X$407,1),"")</f>
        <v/>
      </c>
      <c r="AB392" t="str">
        <f>IF(385=$AD$1+1,"G",IF($AA392="","",IF(INDEX($Q$8:$Q$407,$AA392)="","",IF(385&gt;INDEX($X$8:$X$407,$AA392)+INDEX($V$8:$V$407,$AA392)+INDEX($W$8:$W$407,$AA392),"",IF(385=INDEX($X$8:$X$407,$AA392)+INDEX($V$8:$V$407,$AA392)+INDEX($W$8:$W$407,$AA392),"D",IF(AND(INDEX($W$8:$W$407,$AA392)=1,385=INDEX($X$8:$X$407,$AA392)+INDEX($V$8:$V$407,$AA392)),"S","R"))))))</f>
        <v/>
      </c>
      <c r="AC392" t="str">
        <f t="shared" ref="AC392:AC455" si="95">IF(OR($AB392="",$AB392="G"),"",IF($AB392="D",INDEX($U$8:$U$407,$AA392),IF($AB392="S",INDEX($T$8:$T$407,$AA392)&amp;"|*",INDEX($S$8:$S$407,$AA392)&amp;"|*")))</f>
        <v/>
      </c>
      <c r="AE392">
        <f>IF($U392="",0,COUNTIF(บันทึกรายเที่ยว!$T$6:$T$10005,$U392))</f>
        <v>0</v>
      </c>
      <c r="AF392">
        <f>IF($U392="",0,ROUND(SUMIF(บันทึกรายเที่ยว!$T$6:$T$10005,$U392,บันทึกรายเที่ยว!$J$6:$J$10005),2))</f>
        <v>0</v>
      </c>
      <c r="AG392">
        <f>IF($U392="",0,ROUND(SUMIF(บันทึกรายเที่ยว!$T$6:$T$10005,$U392,บันทึกรายเที่ยว!$K$6:$K$10005),2))</f>
        <v>0</v>
      </c>
      <c r="AH392">
        <f>IF($U392="",0,ROUND(SUMIF(บันทึกรายเที่ยว!$T$6:$T$10005,$U392,บันทึกรายเที่ยว!$M$6:$M$10005),2))</f>
        <v>0</v>
      </c>
    </row>
    <row r="393" spans="1:34" ht="21" customHeight="1" x14ac:dyDescent="0.95">
      <c r="A393" s="3" t="str">
        <f t="shared" si="84"/>
        <v/>
      </c>
      <c r="B393" s="3" t="str">
        <f t="shared" si="85"/>
        <v/>
      </c>
      <c r="C393" s="8" t="str">
        <f t="shared" si="86"/>
        <v/>
      </c>
      <c r="D393" s="31" t="str">
        <f t="shared" si="87"/>
        <v/>
      </c>
      <c r="E393" s="32" t="str">
        <f>IF(386=$AD$1+3,"ขอแสดงความนับถือ",IF(386=$AD$1+6,"(                 )",IF(386=$AD$1+7,"เจ้าหน้าที่ขนส่ง",IF($AB393="G",SUM($AF$8:$AF$407),IF(OR($AB393="",$AB393="R"),"",IF($AB393="D",INDEX($AF$8:$AF$407,$AA393),SUMIF($T$8:$T$407,INDEX($T$8:$T$407,$AA393),$AF$8:$AF$407)))))))</f>
        <v/>
      </c>
      <c r="F393" s="32" t="str">
        <f t="shared" si="88"/>
        <v/>
      </c>
      <c r="G393" s="32" t="str">
        <f t="shared" si="89"/>
        <v/>
      </c>
      <c r="H393" s="32" t="str">
        <f t="shared" si="90"/>
        <v/>
      </c>
      <c r="J393" t="str">
        <f>IFERROR(MATCH(386,บันทึกรายเที่ยว!$W$6:$W$10005,0),"")</f>
        <v/>
      </c>
      <c r="K393" t="str">
        <f>IF($J393="","",INDEX(บันทึกรายเที่ยว!$T$6:$T$10005,$J393))</f>
        <v/>
      </c>
      <c r="L393" t="str">
        <f>IF($J393="","",INDEX(บันทึกรายเที่ยว!$S$6:$S$10005,$J393))</f>
        <v/>
      </c>
      <c r="M393" t="str">
        <f>IF($J393="","",INDEX(บันทึกรายเที่ยว!$R$6:$R$10005,$J393))</f>
        <v/>
      </c>
      <c r="N393" t="str">
        <f>IF($J393="","",MATCH($M393,บันทึกรายเที่ยว!$R$6:$R$10005,0))</f>
        <v/>
      </c>
      <c r="O393" t="str">
        <f>IF($J393="","",MATCH($L393,บันทึกรายเที่ยว!$S$6:$S$10005,0))</f>
        <v/>
      </c>
      <c r="P393" t="str">
        <f>IF($J393="","",IF(AND(OR($I$3="(ทั้งหมด)",INDEX(บันทึกรายเที่ยว!$C$6:$C$10005,$J393)=$I$3),OR($I$5="(ทั้งหมด)",INDEX(บันทึกรายเที่ยว!$D$6:$D$10005,$J393)=$I$5),OR($I$7="(ทั้งหมด)",INDEX(บันทึกรายเที่ยว!$F$6:$F$10005,$J393)=$I$7)),$N393*10000000+$O393*1000+386,""))</f>
        <v/>
      </c>
      <c r="Q393" t="str">
        <f>IFERROR(MATCH(SMALL($P$8:$P$407,386),$P$8:$P$407,0),"")</f>
        <v/>
      </c>
      <c r="R393" t="str">
        <f t="shared" si="91"/>
        <v/>
      </c>
      <c r="S393" t="str">
        <f t="shared" si="92"/>
        <v/>
      </c>
      <c r="T393" t="str">
        <f t="shared" si="93"/>
        <v/>
      </c>
      <c r="U393" t="str">
        <f t="shared" si="94"/>
        <v/>
      </c>
      <c r="V393">
        <f t="shared" ref="V393:V407" si="96">IF($Q393="",0,IF($S393&lt;&gt;$S392,1,0))</f>
        <v>0</v>
      </c>
      <c r="W393">
        <f t="shared" ref="W393:W407" si="97">IF($Q393="",0,IF($T393&lt;&gt;$T392,1,0))</f>
        <v>0</v>
      </c>
      <c r="X393">
        <f>IF($Q393="",99999+386,$X392+1+$V392+$W392)</f>
        <v>100385</v>
      </c>
      <c r="Y393" t="str">
        <f>IF($Q393="","",INDEX(บันทึกรายเที่ยว!$Q$6:$Q$10005,$R393))</f>
        <v/>
      </c>
      <c r="Z393" t="str">
        <f>IF($Q393="","",INDEX(บันทึกรายเที่ยว!$F$6:$F$10005,$R393))</f>
        <v/>
      </c>
      <c r="AA393" t="str">
        <f>IFERROR(MATCH(386,$X$8:$X$407,1),"")</f>
        <v/>
      </c>
      <c r="AB393" t="str">
        <f>IF(386=$AD$1+1,"G",IF($AA393="","",IF(INDEX($Q$8:$Q$407,$AA393)="","",IF(386&gt;INDEX($X$8:$X$407,$AA393)+INDEX($V$8:$V$407,$AA393)+INDEX($W$8:$W$407,$AA393),"",IF(386=INDEX($X$8:$X$407,$AA393)+INDEX($V$8:$V$407,$AA393)+INDEX($W$8:$W$407,$AA393),"D",IF(AND(INDEX($W$8:$W$407,$AA393)=1,386=INDEX($X$8:$X$407,$AA393)+INDEX($V$8:$V$407,$AA393)),"S","R"))))))</f>
        <v/>
      </c>
      <c r="AC393" t="str">
        <f t="shared" si="95"/>
        <v/>
      </c>
      <c r="AE393">
        <f>IF($U393="",0,COUNTIF(บันทึกรายเที่ยว!$T$6:$T$10005,$U393))</f>
        <v>0</v>
      </c>
      <c r="AF393">
        <f>IF($U393="",0,ROUND(SUMIF(บันทึกรายเที่ยว!$T$6:$T$10005,$U393,บันทึกรายเที่ยว!$J$6:$J$10005),2))</f>
        <v>0</v>
      </c>
      <c r="AG393">
        <f>IF($U393="",0,ROUND(SUMIF(บันทึกรายเที่ยว!$T$6:$T$10005,$U393,บันทึกรายเที่ยว!$K$6:$K$10005),2))</f>
        <v>0</v>
      </c>
      <c r="AH393">
        <f>IF($U393="",0,ROUND(SUMIF(บันทึกรายเที่ยว!$T$6:$T$10005,$U393,บันทึกรายเที่ยว!$M$6:$M$10005),2))</f>
        <v>0</v>
      </c>
    </row>
    <row r="394" spans="1:34" ht="21" customHeight="1" x14ac:dyDescent="0.95">
      <c r="A394" s="3" t="str">
        <f t="shared" si="84"/>
        <v/>
      </c>
      <c r="B394" s="3" t="str">
        <f t="shared" si="85"/>
        <v/>
      </c>
      <c r="C394" s="8" t="str">
        <f t="shared" si="86"/>
        <v/>
      </c>
      <c r="D394" s="31" t="str">
        <f t="shared" si="87"/>
        <v/>
      </c>
      <c r="E394" s="32" t="str">
        <f>IF(387=$AD$1+3,"ขอแสดงความนับถือ",IF(387=$AD$1+6,"(                 )",IF(387=$AD$1+7,"เจ้าหน้าที่ขนส่ง",IF($AB394="G",SUM($AF$8:$AF$407),IF(OR($AB394="",$AB394="R"),"",IF($AB394="D",INDEX($AF$8:$AF$407,$AA394),SUMIF($T$8:$T$407,INDEX($T$8:$T$407,$AA394),$AF$8:$AF$407)))))))</f>
        <v/>
      </c>
      <c r="F394" s="32" t="str">
        <f t="shared" si="88"/>
        <v/>
      </c>
      <c r="G394" s="32" t="str">
        <f t="shared" si="89"/>
        <v/>
      </c>
      <c r="H394" s="32" t="str">
        <f t="shared" si="90"/>
        <v/>
      </c>
      <c r="J394" t="str">
        <f>IFERROR(MATCH(387,บันทึกรายเที่ยว!$W$6:$W$10005,0),"")</f>
        <v/>
      </c>
      <c r="K394" t="str">
        <f>IF($J394="","",INDEX(บันทึกรายเที่ยว!$T$6:$T$10005,$J394))</f>
        <v/>
      </c>
      <c r="L394" t="str">
        <f>IF($J394="","",INDEX(บันทึกรายเที่ยว!$S$6:$S$10005,$J394))</f>
        <v/>
      </c>
      <c r="M394" t="str">
        <f>IF($J394="","",INDEX(บันทึกรายเที่ยว!$R$6:$R$10005,$J394))</f>
        <v/>
      </c>
      <c r="N394" t="str">
        <f>IF($J394="","",MATCH($M394,บันทึกรายเที่ยว!$R$6:$R$10005,0))</f>
        <v/>
      </c>
      <c r="O394" t="str">
        <f>IF($J394="","",MATCH($L394,บันทึกรายเที่ยว!$S$6:$S$10005,0))</f>
        <v/>
      </c>
      <c r="P394" t="str">
        <f>IF($J394="","",IF(AND(OR($I$3="(ทั้งหมด)",INDEX(บันทึกรายเที่ยว!$C$6:$C$10005,$J394)=$I$3),OR($I$5="(ทั้งหมด)",INDEX(บันทึกรายเที่ยว!$D$6:$D$10005,$J394)=$I$5),OR($I$7="(ทั้งหมด)",INDEX(บันทึกรายเที่ยว!$F$6:$F$10005,$J394)=$I$7)),$N394*10000000+$O394*1000+387,""))</f>
        <v/>
      </c>
      <c r="Q394" t="str">
        <f>IFERROR(MATCH(SMALL($P$8:$P$407,387),$P$8:$P$407,0),"")</f>
        <v/>
      </c>
      <c r="R394" t="str">
        <f t="shared" si="91"/>
        <v/>
      </c>
      <c r="S394" t="str">
        <f t="shared" si="92"/>
        <v/>
      </c>
      <c r="T394" t="str">
        <f t="shared" si="93"/>
        <v/>
      </c>
      <c r="U394" t="str">
        <f t="shared" si="94"/>
        <v/>
      </c>
      <c r="V394">
        <f t="shared" si="96"/>
        <v>0</v>
      </c>
      <c r="W394">
        <f t="shared" si="97"/>
        <v>0</v>
      </c>
      <c r="X394">
        <f>IF($Q394="",99999+387,$X393+1+$V393+$W393)</f>
        <v>100386</v>
      </c>
      <c r="Y394" t="str">
        <f>IF($Q394="","",INDEX(บันทึกรายเที่ยว!$Q$6:$Q$10005,$R394))</f>
        <v/>
      </c>
      <c r="Z394" t="str">
        <f>IF($Q394="","",INDEX(บันทึกรายเที่ยว!$F$6:$F$10005,$R394))</f>
        <v/>
      </c>
      <c r="AA394" t="str">
        <f>IFERROR(MATCH(387,$X$8:$X$407,1),"")</f>
        <v/>
      </c>
      <c r="AB394" t="str">
        <f>IF(387=$AD$1+1,"G",IF($AA394="","",IF(INDEX($Q$8:$Q$407,$AA394)="","",IF(387&gt;INDEX($X$8:$X$407,$AA394)+INDEX($V$8:$V$407,$AA394)+INDEX($W$8:$W$407,$AA394),"",IF(387=INDEX($X$8:$X$407,$AA394)+INDEX($V$8:$V$407,$AA394)+INDEX($W$8:$W$407,$AA394),"D",IF(AND(INDEX($W$8:$W$407,$AA394)=1,387=INDEX($X$8:$X$407,$AA394)+INDEX($V$8:$V$407,$AA394)),"S","R"))))))</f>
        <v/>
      </c>
      <c r="AC394" t="str">
        <f t="shared" si="95"/>
        <v/>
      </c>
      <c r="AE394">
        <f>IF($U394="",0,COUNTIF(บันทึกรายเที่ยว!$T$6:$T$10005,$U394))</f>
        <v>0</v>
      </c>
      <c r="AF394">
        <f>IF($U394="",0,ROUND(SUMIF(บันทึกรายเที่ยว!$T$6:$T$10005,$U394,บันทึกรายเที่ยว!$J$6:$J$10005),2))</f>
        <v>0</v>
      </c>
      <c r="AG394">
        <f>IF($U394="",0,ROUND(SUMIF(บันทึกรายเที่ยว!$T$6:$T$10005,$U394,บันทึกรายเที่ยว!$K$6:$K$10005),2))</f>
        <v>0</v>
      </c>
      <c r="AH394">
        <f>IF($U394="",0,ROUND(SUMIF(บันทึกรายเที่ยว!$T$6:$T$10005,$U394,บันทึกรายเที่ยว!$M$6:$M$10005),2))</f>
        <v>0</v>
      </c>
    </row>
    <row r="395" spans="1:34" ht="21" customHeight="1" x14ac:dyDescent="0.95">
      <c r="A395" s="3" t="str">
        <f t="shared" si="84"/>
        <v/>
      </c>
      <c r="B395" s="3" t="str">
        <f t="shared" si="85"/>
        <v/>
      </c>
      <c r="C395" s="8" t="str">
        <f t="shared" si="86"/>
        <v/>
      </c>
      <c r="D395" s="31" t="str">
        <f t="shared" si="87"/>
        <v/>
      </c>
      <c r="E395" s="32" t="str">
        <f>IF(388=$AD$1+3,"ขอแสดงความนับถือ",IF(388=$AD$1+6,"(                 )",IF(388=$AD$1+7,"เจ้าหน้าที่ขนส่ง",IF($AB395="G",SUM($AF$8:$AF$407),IF(OR($AB395="",$AB395="R"),"",IF($AB395="D",INDEX($AF$8:$AF$407,$AA395),SUMIF($T$8:$T$407,INDEX($T$8:$T$407,$AA395),$AF$8:$AF$407)))))))</f>
        <v/>
      </c>
      <c r="F395" s="32" t="str">
        <f t="shared" si="88"/>
        <v/>
      </c>
      <c r="G395" s="32" t="str">
        <f t="shared" si="89"/>
        <v/>
      </c>
      <c r="H395" s="32" t="str">
        <f t="shared" si="90"/>
        <v/>
      </c>
      <c r="J395" t="str">
        <f>IFERROR(MATCH(388,บันทึกรายเที่ยว!$W$6:$W$10005,0),"")</f>
        <v/>
      </c>
      <c r="K395" t="str">
        <f>IF($J395="","",INDEX(บันทึกรายเที่ยว!$T$6:$T$10005,$J395))</f>
        <v/>
      </c>
      <c r="L395" t="str">
        <f>IF($J395="","",INDEX(บันทึกรายเที่ยว!$S$6:$S$10005,$J395))</f>
        <v/>
      </c>
      <c r="M395" t="str">
        <f>IF($J395="","",INDEX(บันทึกรายเที่ยว!$R$6:$R$10005,$J395))</f>
        <v/>
      </c>
      <c r="N395" t="str">
        <f>IF($J395="","",MATCH($M395,บันทึกรายเที่ยว!$R$6:$R$10005,0))</f>
        <v/>
      </c>
      <c r="O395" t="str">
        <f>IF($J395="","",MATCH($L395,บันทึกรายเที่ยว!$S$6:$S$10005,0))</f>
        <v/>
      </c>
      <c r="P395" t="str">
        <f>IF($J395="","",IF(AND(OR($I$3="(ทั้งหมด)",INDEX(บันทึกรายเที่ยว!$C$6:$C$10005,$J395)=$I$3),OR($I$5="(ทั้งหมด)",INDEX(บันทึกรายเที่ยว!$D$6:$D$10005,$J395)=$I$5),OR($I$7="(ทั้งหมด)",INDEX(บันทึกรายเที่ยว!$F$6:$F$10005,$J395)=$I$7)),$N395*10000000+$O395*1000+388,""))</f>
        <v/>
      </c>
      <c r="Q395" t="str">
        <f>IFERROR(MATCH(SMALL($P$8:$P$407,388),$P$8:$P$407,0),"")</f>
        <v/>
      </c>
      <c r="R395" t="str">
        <f t="shared" si="91"/>
        <v/>
      </c>
      <c r="S395" t="str">
        <f t="shared" si="92"/>
        <v/>
      </c>
      <c r="T395" t="str">
        <f t="shared" si="93"/>
        <v/>
      </c>
      <c r="U395" t="str">
        <f t="shared" si="94"/>
        <v/>
      </c>
      <c r="V395">
        <f t="shared" si="96"/>
        <v>0</v>
      </c>
      <c r="W395">
        <f t="shared" si="97"/>
        <v>0</v>
      </c>
      <c r="X395">
        <f>IF($Q395="",99999+388,$X394+1+$V394+$W394)</f>
        <v>100387</v>
      </c>
      <c r="Y395" t="str">
        <f>IF($Q395="","",INDEX(บันทึกรายเที่ยว!$Q$6:$Q$10005,$R395))</f>
        <v/>
      </c>
      <c r="Z395" t="str">
        <f>IF($Q395="","",INDEX(บันทึกรายเที่ยว!$F$6:$F$10005,$R395))</f>
        <v/>
      </c>
      <c r="AA395" t="str">
        <f>IFERROR(MATCH(388,$X$8:$X$407,1),"")</f>
        <v/>
      </c>
      <c r="AB395" t="str">
        <f>IF(388=$AD$1+1,"G",IF($AA395="","",IF(INDEX($Q$8:$Q$407,$AA395)="","",IF(388&gt;INDEX($X$8:$X$407,$AA395)+INDEX($V$8:$V$407,$AA395)+INDEX($W$8:$W$407,$AA395),"",IF(388=INDEX($X$8:$X$407,$AA395)+INDEX($V$8:$V$407,$AA395)+INDEX($W$8:$W$407,$AA395),"D",IF(AND(INDEX($W$8:$W$407,$AA395)=1,388=INDEX($X$8:$X$407,$AA395)+INDEX($V$8:$V$407,$AA395)),"S","R"))))))</f>
        <v/>
      </c>
      <c r="AC395" t="str">
        <f t="shared" si="95"/>
        <v/>
      </c>
      <c r="AE395">
        <f>IF($U395="",0,COUNTIF(บันทึกรายเที่ยว!$T$6:$T$10005,$U395))</f>
        <v>0</v>
      </c>
      <c r="AF395">
        <f>IF($U395="",0,ROUND(SUMIF(บันทึกรายเที่ยว!$T$6:$T$10005,$U395,บันทึกรายเที่ยว!$J$6:$J$10005),2))</f>
        <v>0</v>
      </c>
      <c r="AG395">
        <f>IF($U395="",0,ROUND(SUMIF(บันทึกรายเที่ยว!$T$6:$T$10005,$U395,บันทึกรายเที่ยว!$K$6:$K$10005),2))</f>
        <v>0</v>
      </c>
      <c r="AH395">
        <f>IF($U395="",0,ROUND(SUMIF(บันทึกรายเที่ยว!$T$6:$T$10005,$U395,บันทึกรายเที่ยว!$M$6:$M$10005),2))</f>
        <v>0</v>
      </c>
    </row>
    <row r="396" spans="1:34" ht="21" customHeight="1" x14ac:dyDescent="0.95">
      <c r="A396" s="3" t="str">
        <f t="shared" si="84"/>
        <v/>
      </c>
      <c r="B396" s="3" t="str">
        <f t="shared" si="85"/>
        <v/>
      </c>
      <c r="C396" s="8" t="str">
        <f t="shared" si="86"/>
        <v/>
      </c>
      <c r="D396" s="31" t="str">
        <f t="shared" si="87"/>
        <v/>
      </c>
      <c r="E396" s="32" t="str">
        <f>IF(389=$AD$1+3,"ขอแสดงความนับถือ",IF(389=$AD$1+6,"(                 )",IF(389=$AD$1+7,"เจ้าหน้าที่ขนส่ง",IF($AB396="G",SUM($AF$8:$AF$407),IF(OR($AB396="",$AB396="R"),"",IF($AB396="D",INDEX($AF$8:$AF$407,$AA396),SUMIF($T$8:$T$407,INDEX($T$8:$T$407,$AA396),$AF$8:$AF$407)))))))</f>
        <v/>
      </c>
      <c r="F396" s="32" t="str">
        <f t="shared" si="88"/>
        <v/>
      </c>
      <c r="G396" s="32" t="str">
        <f t="shared" si="89"/>
        <v/>
      </c>
      <c r="H396" s="32" t="str">
        <f t="shared" si="90"/>
        <v/>
      </c>
      <c r="J396" t="str">
        <f>IFERROR(MATCH(389,บันทึกรายเที่ยว!$W$6:$W$10005,0),"")</f>
        <v/>
      </c>
      <c r="K396" t="str">
        <f>IF($J396="","",INDEX(บันทึกรายเที่ยว!$T$6:$T$10005,$J396))</f>
        <v/>
      </c>
      <c r="L396" t="str">
        <f>IF($J396="","",INDEX(บันทึกรายเที่ยว!$S$6:$S$10005,$J396))</f>
        <v/>
      </c>
      <c r="M396" t="str">
        <f>IF($J396="","",INDEX(บันทึกรายเที่ยว!$R$6:$R$10005,$J396))</f>
        <v/>
      </c>
      <c r="N396" t="str">
        <f>IF($J396="","",MATCH($M396,บันทึกรายเที่ยว!$R$6:$R$10005,0))</f>
        <v/>
      </c>
      <c r="O396" t="str">
        <f>IF($J396="","",MATCH($L396,บันทึกรายเที่ยว!$S$6:$S$10005,0))</f>
        <v/>
      </c>
      <c r="P396" t="str">
        <f>IF($J396="","",IF(AND(OR($I$3="(ทั้งหมด)",INDEX(บันทึกรายเที่ยว!$C$6:$C$10005,$J396)=$I$3),OR($I$5="(ทั้งหมด)",INDEX(บันทึกรายเที่ยว!$D$6:$D$10005,$J396)=$I$5),OR($I$7="(ทั้งหมด)",INDEX(บันทึกรายเที่ยว!$F$6:$F$10005,$J396)=$I$7)),$N396*10000000+$O396*1000+389,""))</f>
        <v/>
      </c>
      <c r="Q396" t="str">
        <f>IFERROR(MATCH(SMALL($P$8:$P$407,389),$P$8:$P$407,0),"")</f>
        <v/>
      </c>
      <c r="R396" t="str">
        <f t="shared" si="91"/>
        <v/>
      </c>
      <c r="S396" t="str">
        <f t="shared" si="92"/>
        <v/>
      </c>
      <c r="T396" t="str">
        <f t="shared" si="93"/>
        <v/>
      </c>
      <c r="U396" t="str">
        <f t="shared" si="94"/>
        <v/>
      </c>
      <c r="V396">
        <f t="shared" si="96"/>
        <v>0</v>
      </c>
      <c r="W396">
        <f t="shared" si="97"/>
        <v>0</v>
      </c>
      <c r="X396">
        <f>IF($Q396="",99999+389,$X395+1+$V395+$W395)</f>
        <v>100388</v>
      </c>
      <c r="Y396" t="str">
        <f>IF($Q396="","",INDEX(บันทึกรายเที่ยว!$Q$6:$Q$10005,$R396))</f>
        <v/>
      </c>
      <c r="Z396" t="str">
        <f>IF($Q396="","",INDEX(บันทึกรายเที่ยว!$F$6:$F$10005,$R396))</f>
        <v/>
      </c>
      <c r="AA396" t="str">
        <f>IFERROR(MATCH(389,$X$8:$X$407,1),"")</f>
        <v/>
      </c>
      <c r="AB396" t="str">
        <f>IF(389=$AD$1+1,"G",IF($AA396="","",IF(INDEX($Q$8:$Q$407,$AA396)="","",IF(389&gt;INDEX($X$8:$X$407,$AA396)+INDEX($V$8:$V$407,$AA396)+INDEX($W$8:$W$407,$AA396),"",IF(389=INDEX($X$8:$X$407,$AA396)+INDEX($V$8:$V$407,$AA396)+INDEX($W$8:$W$407,$AA396),"D",IF(AND(INDEX($W$8:$W$407,$AA396)=1,389=INDEX($X$8:$X$407,$AA396)+INDEX($V$8:$V$407,$AA396)),"S","R"))))))</f>
        <v/>
      </c>
      <c r="AC396" t="str">
        <f t="shared" si="95"/>
        <v/>
      </c>
      <c r="AE396">
        <f>IF($U396="",0,COUNTIF(บันทึกรายเที่ยว!$T$6:$T$10005,$U396))</f>
        <v>0</v>
      </c>
      <c r="AF396">
        <f>IF($U396="",0,ROUND(SUMIF(บันทึกรายเที่ยว!$T$6:$T$10005,$U396,บันทึกรายเที่ยว!$J$6:$J$10005),2))</f>
        <v>0</v>
      </c>
      <c r="AG396">
        <f>IF($U396="",0,ROUND(SUMIF(บันทึกรายเที่ยว!$T$6:$T$10005,$U396,บันทึกรายเที่ยว!$K$6:$K$10005),2))</f>
        <v>0</v>
      </c>
      <c r="AH396">
        <f>IF($U396="",0,ROUND(SUMIF(บันทึกรายเที่ยว!$T$6:$T$10005,$U396,บันทึกรายเที่ยว!$M$6:$M$10005),2))</f>
        <v>0</v>
      </c>
    </row>
    <row r="397" spans="1:34" ht="21" customHeight="1" x14ac:dyDescent="0.95">
      <c r="A397" s="3" t="str">
        <f t="shared" si="84"/>
        <v/>
      </c>
      <c r="B397" s="3" t="str">
        <f t="shared" si="85"/>
        <v/>
      </c>
      <c r="C397" s="8" t="str">
        <f t="shared" si="86"/>
        <v/>
      </c>
      <c r="D397" s="31" t="str">
        <f t="shared" si="87"/>
        <v/>
      </c>
      <c r="E397" s="32" t="str">
        <f>IF(390=$AD$1+3,"ขอแสดงความนับถือ",IF(390=$AD$1+6,"(                 )",IF(390=$AD$1+7,"เจ้าหน้าที่ขนส่ง",IF($AB397="G",SUM($AF$8:$AF$407),IF(OR($AB397="",$AB397="R"),"",IF($AB397="D",INDEX($AF$8:$AF$407,$AA397),SUMIF($T$8:$T$407,INDEX($T$8:$T$407,$AA397),$AF$8:$AF$407)))))))</f>
        <v/>
      </c>
      <c r="F397" s="32" t="str">
        <f t="shared" si="88"/>
        <v/>
      </c>
      <c r="G397" s="32" t="str">
        <f t="shared" si="89"/>
        <v/>
      </c>
      <c r="H397" s="32" t="str">
        <f t="shared" si="90"/>
        <v/>
      </c>
      <c r="J397" t="str">
        <f>IFERROR(MATCH(390,บันทึกรายเที่ยว!$W$6:$W$10005,0),"")</f>
        <v/>
      </c>
      <c r="K397" t="str">
        <f>IF($J397="","",INDEX(บันทึกรายเที่ยว!$T$6:$T$10005,$J397))</f>
        <v/>
      </c>
      <c r="L397" t="str">
        <f>IF($J397="","",INDEX(บันทึกรายเที่ยว!$S$6:$S$10005,$J397))</f>
        <v/>
      </c>
      <c r="M397" t="str">
        <f>IF($J397="","",INDEX(บันทึกรายเที่ยว!$R$6:$R$10005,$J397))</f>
        <v/>
      </c>
      <c r="N397" t="str">
        <f>IF($J397="","",MATCH($M397,บันทึกรายเที่ยว!$R$6:$R$10005,0))</f>
        <v/>
      </c>
      <c r="O397" t="str">
        <f>IF($J397="","",MATCH($L397,บันทึกรายเที่ยว!$S$6:$S$10005,0))</f>
        <v/>
      </c>
      <c r="P397" t="str">
        <f>IF($J397="","",IF(AND(OR($I$3="(ทั้งหมด)",INDEX(บันทึกรายเที่ยว!$C$6:$C$10005,$J397)=$I$3),OR($I$5="(ทั้งหมด)",INDEX(บันทึกรายเที่ยว!$D$6:$D$10005,$J397)=$I$5),OR($I$7="(ทั้งหมด)",INDEX(บันทึกรายเที่ยว!$F$6:$F$10005,$J397)=$I$7)),$N397*10000000+$O397*1000+390,""))</f>
        <v/>
      </c>
      <c r="Q397" t="str">
        <f>IFERROR(MATCH(SMALL($P$8:$P$407,390),$P$8:$P$407,0),"")</f>
        <v/>
      </c>
      <c r="R397" t="str">
        <f t="shared" si="91"/>
        <v/>
      </c>
      <c r="S397" t="str">
        <f t="shared" si="92"/>
        <v/>
      </c>
      <c r="T397" t="str">
        <f t="shared" si="93"/>
        <v/>
      </c>
      <c r="U397" t="str">
        <f t="shared" si="94"/>
        <v/>
      </c>
      <c r="V397">
        <f t="shared" si="96"/>
        <v>0</v>
      </c>
      <c r="W397">
        <f t="shared" si="97"/>
        <v>0</v>
      </c>
      <c r="X397">
        <f>IF($Q397="",99999+390,$X396+1+$V396+$W396)</f>
        <v>100389</v>
      </c>
      <c r="Y397" t="str">
        <f>IF($Q397="","",INDEX(บันทึกรายเที่ยว!$Q$6:$Q$10005,$R397))</f>
        <v/>
      </c>
      <c r="Z397" t="str">
        <f>IF($Q397="","",INDEX(บันทึกรายเที่ยว!$F$6:$F$10005,$R397))</f>
        <v/>
      </c>
      <c r="AA397" t="str">
        <f>IFERROR(MATCH(390,$X$8:$X$407,1),"")</f>
        <v/>
      </c>
      <c r="AB397" t="str">
        <f>IF(390=$AD$1+1,"G",IF($AA397="","",IF(INDEX($Q$8:$Q$407,$AA397)="","",IF(390&gt;INDEX($X$8:$X$407,$AA397)+INDEX($V$8:$V$407,$AA397)+INDEX($W$8:$W$407,$AA397),"",IF(390=INDEX($X$8:$X$407,$AA397)+INDEX($V$8:$V$407,$AA397)+INDEX($W$8:$W$407,$AA397),"D",IF(AND(INDEX($W$8:$W$407,$AA397)=1,390=INDEX($X$8:$X$407,$AA397)+INDEX($V$8:$V$407,$AA397)),"S","R"))))))</f>
        <v/>
      </c>
      <c r="AC397" t="str">
        <f t="shared" si="95"/>
        <v/>
      </c>
      <c r="AE397">
        <f>IF($U397="",0,COUNTIF(บันทึกรายเที่ยว!$T$6:$T$10005,$U397))</f>
        <v>0</v>
      </c>
      <c r="AF397">
        <f>IF($U397="",0,ROUND(SUMIF(บันทึกรายเที่ยว!$T$6:$T$10005,$U397,บันทึกรายเที่ยว!$J$6:$J$10005),2))</f>
        <v>0</v>
      </c>
      <c r="AG397">
        <f>IF($U397="",0,ROUND(SUMIF(บันทึกรายเที่ยว!$T$6:$T$10005,$U397,บันทึกรายเที่ยว!$K$6:$K$10005),2))</f>
        <v>0</v>
      </c>
      <c r="AH397">
        <f>IF($U397="",0,ROUND(SUMIF(บันทึกรายเที่ยว!$T$6:$T$10005,$U397,บันทึกรายเที่ยว!$M$6:$M$10005),2))</f>
        <v>0</v>
      </c>
    </row>
    <row r="398" spans="1:34" ht="21" customHeight="1" x14ac:dyDescent="0.95">
      <c r="A398" s="3" t="str">
        <f t="shared" si="84"/>
        <v/>
      </c>
      <c r="B398" s="3" t="str">
        <f t="shared" si="85"/>
        <v/>
      </c>
      <c r="C398" s="8" t="str">
        <f t="shared" si="86"/>
        <v/>
      </c>
      <c r="D398" s="31" t="str">
        <f t="shared" si="87"/>
        <v/>
      </c>
      <c r="E398" s="32" t="str">
        <f>IF(391=$AD$1+3,"ขอแสดงความนับถือ",IF(391=$AD$1+6,"(                 )",IF(391=$AD$1+7,"เจ้าหน้าที่ขนส่ง",IF($AB398="G",SUM($AF$8:$AF$407),IF(OR($AB398="",$AB398="R"),"",IF($AB398="D",INDEX($AF$8:$AF$407,$AA398),SUMIF($T$8:$T$407,INDEX($T$8:$T$407,$AA398),$AF$8:$AF$407)))))))</f>
        <v/>
      </c>
      <c r="F398" s="32" t="str">
        <f t="shared" si="88"/>
        <v/>
      </c>
      <c r="G398" s="32" t="str">
        <f t="shared" si="89"/>
        <v/>
      </c>
      <c r="H398" s="32" t="str">
        <f t="shared" si="90"/>
        <v/>
      </c>
      <c r="J398" t="str">
        <f>IFERROR(MATCH(391,บันทึกรายเที่ยว!$W$6:$W$10005,0),"")</f>
        <v/>
      </c>
      <c r="K398" t="str">
        <f>IF($J398="","",INDEX(บันทึกรายเที่ยว!$T$6:$T$10005,$J398))</f>
        <v/>
      </c>
      <c r="L398" t="str">
        <f>IF($J398="","",INDEX(บันทึกรายเที่ยว!$S$6:$S$10005,$J398))</f>
        <v/>
      </c>
      <c r="M398" t="str">
        <f>IF($J398="","",INDEX(บันทึกรายเที่ยว!$R$6:$R$10005,$J398))</f>
        <v/>
      </c>
      <c r="N398" t="str">
        <f>IF($J398="","",MATCH($M398,บันทึกรายเที่ยว!$R$6:$R$10005,0))</f>
        <v/>
      </c>
      <c r="O398" t="str">
        <f>IF($J398="","",MATCH($L398,บันทึกรายเที่ยว!$S$6:$S$10005,0))</f>
        <v/>
      </c>
      <c r="P398" t="str">
        <f>IF($J398="","",IF(AND(OR($I$3="(ทั้งหมด)",INDEX(บันทึกรายเที่ยว!$C$6:$C$10005,$J398)=$I$3),OR($I$5="(ทั้งหมด)",INDEX(บันทึกรายเที่ยว!$D$6:$D$10005,$J398)=$I$5),OR($I$7="(ทั้งหมด)",INDEX(บันทึกรายเที่ยว!$F$6:$F$10005,$J398)=$I$7)),$N398*10000000+$O398*1000+391,""))</f>
        <v/>
      </c>
      <c r="Q398" t="str">
        <f>IFERROR(MATCH(SMALL($P$8:$P$407,391),$P$8:$P$407,0),"")</f>
        <v/>
      </c>
      <c r="R398" t="str">
        <f t="shared" si="91"/>
        <v/>
      </c>
      <c r="S398" t="str">
        <f t="shared" si="92"/>
        <v/>
      </c>
      <c r="T398" t="str">
        <f t="shared" si="93"/>
        <v/>
      </c>
      <c r="U398" t="str">
        <f t="shared" si="94"/>
        <v/>
      </c>
      <c r="V398">
        <f t="shared" si="96"/>
        <v>0</v>
      </c>
      <c r="W398">
        <f t="shared" si="97"/>
        <v>0</v>
      </c>
      <c r="X398">
        <f>IF($Q398="",99999+391,$X397+1+$V397+$W397)</f>
        <v>100390</v>
      </c>
      <c r="Y398" t="str">
        <f>IF($Q398="","",INDEX(บันทึกรายเที่ยว!$Q$6:$Q$10005,$R398))</f>
        <v/>
      </c>
      <c r="Z398" t="str">
        <f>IF($Q398="","",INDEX(บันทึกรายเที่ยว!$F$6:$F$10005,$R398))</f>
        <v/>
      </c>
      <c r="AA398" t="str">
        <f>IFERROR(MATCH(391,$X$8:$X$407,1),"")</f>
        <v/>
      </c>
      <c r="AB398" t="str">
        <f>IF(391=$AD$1+1,"G",IF($AA398="","",IF(INDEX($Q$8:$Q$407,$AA398)="","",IF(391&gt;INDEX($X$8:$X$407,$AA398)+INDEX($V$8:$V$407,$AA398)+INDEX($W$8:$W$407,$AA398),"",IF(391=INDEX($X$8:$X$407,$AA398)+INDEX($V$8:$V$407,$AA398)+INDEX($W$8:$W$407,$AA398),"D",IF(AND(INDEX($W$8:$W$407,$AA398)=1,391=INDEX($X$8:$X$407,$AA398)+INDEX($V$8:$V$407,$AA398)),"S","R"))))))</f>
        <v/>
      </c>
      <c r="AC398" t="str">
        <f t="shared" si="95"/>
        <v/>
      </c>
      <c r="AE398">
        <f>IF($U398="",0,COUNTIF(บันทึกรายเที่ยว!$T$6:$T$10005,$U398))</f>
        <v>0</v>
      </c>
      <c r="AF398">
        <f>IF($U398="",0,ROUND(SUMIF(บันทึกรายเที่ยว!$T$6:$T$10005,$U398,บันทึกรายเที่ยว!$J$6:$J$10005),2))</f>
        <v>0</v>
      </c>
      <c r="AG398">
        <f>IF($U398="",0,ROUND(SUMIF(บันทึกรายเที่ยว!$T$6:$T$10005,$U398,บันทึกรายเที่ยว!$K$6:$K$10005),2))</f>
        <v>0</v>
      </c>
      <c r="AH398">
        <f>IF($U398="",0,ROUND(SUMIF(บันทึกรายเที่ยว!$T$6:$T$10005,$U398,บันทึกรายเที่ยว!$M$6:$M$10005),2))</f>
        <v>0</v>
      </c>
    </row>
    <row r="399" spans="1:34" ht="21" customHeight="1" x14ac:dyDescent="0.95">
      <c r="A399" s="3" t="str">
        <f t="shared" si="84"/>
        <v/>
      </c>
      <c r="B399" s="3" t="str">
        <f t="shared" si="85"/>
        <v/>
      </c>
      <c r="C399" s="8" t="str">
        <f t="shared" si="86"/>
        <v/>
      </c>
      <c r="D399" s="31" t="str">
        <f t="shared" si="87"/>
        <v/>
      </c>
      <c r="E399" s="32" t="str">
        <f>IF(392=$AD$1+3,"ขอแสดงความนับถือ",IF(392=$AD$1+6,"(                 )",IF(392=$AD$1+7,"เจ้าหน้าที่ขนส่ง",IF($AB399="G",SUM($AF$8:$AF$407),IF(OR($AB399="",$AB399="R"),"",IF($AB399="D",INDEX($AF$8:$AF$407,$AA399),SUMIF($T$8:$T$407,INDEX($T$8:$T$407,$AA399),$AF$8:$AF$407)))))))</f>
        <v/>
      </c>
      <c r="F399" s="32" t="str">
        <f t="shared" si="88"/>
        <v/>
      </c>
      <c r="G399" s="32" t="str">
        <f t="shared" si="89"/>
        <v/>
      </c>
      <c r="H399" s="32" t="str">
        <f t="shared" si="90"/>
        <v/>
      </c>
      <c r="J399" t="str">
        <f>IFERROR(MATCH(392,บันทึกรายเที่ยว!$W$6:$W$10005,0),"")</f>
        <v/>
      </c>
      <c r="K399" t="str">
        <f>IF($J399="","",INDEX(บันทึกรายเที่ยว!$T$6:$T$10005,$J399))</f>
        <v/>
      </c>
      <c r="L399" t="str">
        <f>IF($J399="","",INDEX(บันทึกรายเที่ยว!$S$6:$S$10005,$J399))</f>
        <v/>
      </c>
      <c r="M399" t="str">
        <f>IF($J399="","",INDEX(บันทึกรายเที่ยว!$R$6:$R$10005,$J399))</f>
        <v/>
      </c>
      <c r="N399" t="str">
        <f>IF($J399="","",MATCH($M399,บันทึกรายเที่ยว!$R$6:$R$10005,0))</f>
        <v/>
      </c>
      <c r="O399" t="str">
        <f>IF($J399="","",MATCH($L399,บันทึกรายเที่ยว!$S$6:$S$10005,0))</f>
        <v/>
      </c>
      <c r="P399" t="str">
        <f>IF($J399="","",IF(AND(OR($I$3="(ทั้งหมด)",INDEX(บันทึกรายเที่ยว!$C$6:$C$10005,$J399)=$I$3),OR($I$5="(ทั้งหมด)",INDEX(บันทึกรายเที่ยว!$D$6:$D$10005,$J399)=$I$5),OR($I$7="(ทั้งหมด)",INDEX(บันทึกรายเที่ยว!$F$6:$F$10005,$J399)=$I$7)),$N399*10000000+$O399*1000+392,""))</f>
        <v/>
      </c>
      <c r="Q399" t="str">
        <f>IFERROR(MATCH(SMALL($P$8:$P$407,392),$P$8:$P$407,0),"")</f>
        <v/>
      </c>
      <c r="R399" t="str">
        <f t="shared" si="91"/>
        <v/>
      </c>
      <c r="S399" t="str">
        <f t="shared" si="92"/>
        <v/>
      </c>
      <c r="T399" t="str">
        <f t="shared" si="93"/>
        <v/>
      </c>
      <c r="U399" t="str">
        <f t="shared" si="94"/>
        <v/>
      </c>
      <c r="V399">
        <f t="shared" si="96"/>
        <v>0</v>
      </c>
      <c r="W399">
        <f t="shared" si="97"/>
        <v>0</v>
      </c>
      <c r="X399">
        <f>IF($Q399="",99999+392,$X398+1+$V398+$W398)</f>
        <v>100391</v>
      </c>
      <c r="Y399" t="str">
        <f>IF($Q399="","",INDEX(บันทึกรายเที่ยว!$Q$6:$Q$10005,$R399))</f>
        <v/>
      </c>
      <c r="Z399" t="str">
        <f>IF($Q399="","",INDEX(บันทึกรายเที่ยว!$F$6:$F$10005,$R399))</f>
        <v/>
      </c>
      <c r="AA399" t="str">
        <f>IFERROR(MATCH(392,$X$8:$X$407,1),"")</f>
        <v/>
      </c>
      <c r="AB399" t="str">
        <f>IF(392=$AD$1+1,"G",IF($AA399="","",IF(INDEX($Q$8:$Q$407,$AA399)="","",IF(392&gt;INDEX($X$8:$X$407,$AA399)+INDEX($V$8:$V$407,$AA399)+INDEX($W$8:$W$407,$AA399),"",IF(392=INDEX($X$8:$X$407,$AA399)+INDEX($V$8:$V$407,$AA399)+INDEX($W$8:$W$407,$AA399),"D",IF(AND(INDEX($W$8:$W$407,$AA399)=1,392=INDEX($X$8:$X$407,$AA399)+INDEX($V$8:$V$407,$AA399)),"S","R"))))))</f>
        <v/>
      </c>
      <c r="AC399" t="str">
        <f t="shared" si="95"/>
        <v/>
      </c>
      <c r="AE399">
        <f>IF($U399="",0,COUNTIF(บันทึกรายเที่ยว!$T$6:$T$10005,$U399))</f>
        <v>0</v>
      </c>
      <c r="AF399">
        <f>IF($U399="",0,ROUND(SUMIF(บันทึกรายเที่ยว!$T$6:$T$10005,$U399,บันทึกรายเที่ยว!$J$6:$J$10005),2))</f>
        <v>0</v>
      </c>
      <c r="AG399">
        <f>IF($U399="",0,ROUND(SUMIF(บันทึกรายเที่ยว!$T$6:$T$10005,$U399,บันทึกรายเที่ยว!$K$6:$K$10005),2))</f>
        <v>0</v>
      </c>
      <c r="AH399">
        <f>IF($U399="",0,ROUND(SUMIF(บันทึกรายเที่ยว!$T$6:$T$10005,$U399,บันทึกรายเที่ยว!$M$6:$M$10005),2))</f>
        <v>0</v>
      </c>
    </row>
    <row r="400" spans="1:34" ht="21" customHeight="1" x14ac:dyDescent="0.95">
      <c r="A400" s="3" t="str">
        <f t="shared" si="84"/>
        <v/>
      </c>
      <c r="B400" s="3" t="str">
        <f t="shared" si="85"/>
        <v/>
      </c>
      <c r="C400" s="8" t="str">
        <f t="shared" si="86"/>
        <v/>
      </c>
      <c r="D400" s="31" t="str">
        <f t="shared" si="87"/>
        <v/>
      </c>
      <c r="E400" s="32" t="str">
        <f>IF(393=$AD$1+3,"ขอแสดงความนับถือ",IF(393=$AD$1+6,"(                 )",IF(393=$AD$1+7,"เจ้าหน้าที่ขนส่ง",IF($AB400="G",SUM($AF$8:$AF$407),IF(OR($AB400="",$AB400="R"),"",IF($AB400="D",INDEX($AF$8:$AF$407,$AA400),SUMIF($T$8:$T$407,INDEX($T$8:$T$407,$AA400),$AF$8:$AF$407)))))))</f>
        <v/>
      </c>
      <c r="F400" s="32" t="str">
        <f t="shared" si="88"/>
        <v/>
      </c>
      <c r="G400" s="32" t="str">
        <f t="shared" si="89"/>
        <v/>
      </c>
      <c r="H400" s="32" t="str">
        <f t="shared" si="90"/>
        <v/>
      </c>
      <c r="J400" t="str">
        <f>IFERROR(MATCH(393,บันทึกรายเที่ยว!$W$6:$W$10005,0),"")</f>
        <v/>
      </c>
      <c r="K400" t="str">
        <f>IF($J400="","",INDEX(บันทึกรายเที่ยว!$T$6:$T$10005,$J400))</f>
        <v/>
      </c>
      <c r="L400" t="str">
        <f>IF($J400="","",INDEX(บันทึกรายเที่ยว!$S$6:$S$10005,$J400))</f>
        <v/>
      </c>
      <c r="M400" t="str">
        <f>IF($J400="","",INDEX(บันทึกรายเที่ยว!$R$6:$R$10005,$J400))</f>
        <v/>
      </c>
      <c r="N400" t="str">
        <f>IF($J400="","",MATCH($M400,บันทึกรายเที่ยว!$R$6:$R$10005,0))</f>
        <v/>
      </c>
      <c r="O400" t="str">
        <f>IF($J400="","",MATCH($L400,บันทึกรายเที่ยว!$S$6:$S$10005,0))</f>
        <v/>
      </c>
      <c r="P400" t="str">
        <f>IF($J400="","",IF(AND(OR($I$3="(ทั้งหมด)",INDEX(บันทึกรายเที่ยว!$C$6:$C$10005,$J400)=$I$3),OR($I$5="(ทั้งหมด)",INDEX(บันทึกรายเที่ยว!$D$6:$D$10005,$J400)=$I$5),OR($I$7="(ทั้งหมด)",INDEX(บันทึกรายเที่ยว!$F$6:$F$10005,$J400)=$I$7)),$N400*10000000+$O400*1000+393,""))</f>
        <v/>
      </c>
      <c r="Q400" t="str">
        <f>IFERROR(MATCH(SMALL($P$8:$P$407,393),$P$8:$P$407,0),"")</f>
        <v/>
      </c>
      <c r="R400" t="str">
        <f t="shared" si="91"/>
        <v/>
      </c>
      <c r="S400" t="str">
        <f t="shared" si="92"/>
        <v/>
      </c>
      <c r="T400" t="str">
        <f t="shared" si="93"/>
        <v/>
      </c>
      <c r="U400" t="str">
        <f t="shared" si="94"/>
        <v/>
      </c>
      <c r="V400">
        <f t="shared" si="96"/>
        <v>0</v>
      </c>
      <c r="W400">
        <f t="shared" si="97"/>
        <v>0</v>
      </c>
      <c r="X400">
        <f>IF($Q400="",99999+393,$X399+1+$V399+$W399)</f>
        <v>100392</v>
      </c>
      <c r="Y400" t="str">
        <f>IF($Q400="","",INDEX(บันทึกรายเที่ยว!$Q$6:$Q$10005,$R400))</f>
        <v/>
      </c>
      <c r="Z400" t="str">
        <f>IF($Q400="","",INDEX(บันทึกรายเที่ยว!$F$6:$F$10005,$R400))</f>
        <v/>
      </c>
      <c r="AA400" t="str">
        <f>IFERROR(MATCH(393,$X$8:$X$407,1),"")</f>
        <v/>
      </c>
      <c r="AB400" t="str">
        <f>IF(393=$AD$1+1,"G",IF($AA400="","",IF(INDEX($Q$8:$Q$407,$AA400)="","",IF(393&gt;INDEX($X$8:$X$407,$AA400)+INDEX($V$8:$V$407,$AA400)+INDEX($W$8:$W$407,$AA400),"",IF(393=INDEX($X$8:$X$407,$AA400)+INDEX($V$8:$V$407,$AA400)+INDEX($W$8:$W$407,$AA400),"D",IF(AND(INDEX($W$8:$W$407,$AA400)=1,393=INDEX($X$8:$X$407,$AA400)+INDEX($V$8:$V$407,$AA400)),"S","R"))))))</f>
        <v/>
      </c>
      <c r="AC400" t="str">
        <f t="shared" si="95"/>
        <v/>
      </c>
      <c r="AE400">
        <f>IF($U400="",0,COUNTIF(บันทึกรายเที่ยว!$T$6:$T$10005,$U400))</f>
        <v>0</v>
      </c>
      <c r="AF400">
        <f>IF($U400="",0,ROUND(SUMIF(บันทึกรายเที่ยว!$T$6:$T$10005,$U400,บันทึกรายเที่ยว!$J$6:$J$10005),2))</f>
        <v>0</v>
      </c>
      <c r="AG400">
        <f>IF($U400="",0,ROUND(SUMIF(บันทึกรายเที่ยว!$T$6:$T$10005,$U400,บันทึกรายเที่ยว!$K$6:$K$10005),2))</f>
        <v>0</v>
      </c>
      <c r="AH400">
        <f>IF($U400="",0,ROUND(SUMIF(บันทึกรายเที่ยว!$T$6:$T$10005,$U400,บันทึกรายเที่ยว!$M$6:$M$10005),2))</f>
        <v>0</v>
      </c>
    </row>
    <row r="401" spans="1:34" ht="21" customHeight="1" x14ac:dyDescent="0.95">
      <c r="A401" s="3" t="str">
        <f t="shared" si="84"/>
        <v/>
      </c>
      <c r="B401" s="3" t="str">
        <f t="shared" si="85"/>
        <v/>
      </c>
      <c r="C401" s="8" t="str">
        <f t="shared" si="86"/>
        <v/>
      </c>
      <c r="D401" s="31" t="str">
        <f t="shared" si="87"/>
        <v/>
      </c>
      <c r="E401" s="32" t="str">
        <f>IF(394=$AD$1+3,"ขอแสดงความนับถือ",IF(394=$AD$1+6,"(                 )",IF(394=$AD$1+7,"เจ้าหน้าที่ขนส่ง",IF($AB401="G",SUM($AF$8:$AF$407),IF(OR($AB401="",$AB401="R"),"",IF($AB401="D",INDEX($AF$8:$AF$407,$AA401),SUMIF($T$8:$T$407,INDEX($T$8:$T$407,$AA401),$AF$8:$AF$407)))))))</f>
        <v/>
      </c>
      <c r="F401" s="32" t="str">
        <f t="shared" si="88"/>
        <v/>
      </c>
      <c r="G401" s="32" t="str">
        <f t="shared" si="89"/>
        <v/>
      </c>
      <c r="H401" s="32" t="str">
        <f t="shared" si="90"/>
        <v/>
      </c>
      <c r="J401" t="str">
        <f>IFERROR(MATCH(394,บันทึกรายเที่ยว!$W$6:$W$10005,0),"")</f>
        <v/>
      </c>
      <c r="K401" t="str">
        <f>IF($J401="","",INDEX(บันทึกรายเที่ยว!$T$6:$T$10005,$J401))</f>
        <v/>
      </c>
      <c r="L401" t="str">
        <f>IF($J401="","",INDEX(บันทึกรายเที่ยว!$S$6:$S$10005,$J401))</f>
        <v/>
      </c>
      <c r="M401" t="str">
        <f>IF($J401="","",INDEX(บันทึกรายเที่ยว!$R$6:$R$10005,$J401))</f>
        <v/>
      </c>
      <c r="N401" t="str">
        <f>IF($J401="","",MATCH($M401,บันทึกรายเที่ยว!$R$6:$R$10005,0))</f>
        <v/>
      </c>
      <c r="O401" t="str">
        <f>IF($J401="","",MATCH($L401,บันทึกรายเที่ยว!$S$6:$S$10005,0))</f>
        <v/>
      </c>
      <c r="P401" t="str">
        <f>IF($J401="","",IF(AND(OR($I$3="(ทั้งหมด)",INDEX(บันทึกรายเที่ยว!$C$6:$C$10005,$J401)=$I$3),OR($I$5="(ทั้งหมด)",INDEX(บันทึกรายเที่ยว!$D$6:$D$10005,$J401)=$I$5),OR($I$7="(ทั้งหมด)",INDEX(บันทึกรายเที่ยว!$F$6:$F$10005,$J401)=$I$7)),$N401*10000000+$O401*1000+394,""))</f>
        <v/>
      </c>
      <c r="Q401" t="str">
        <f>IFERROR(MATCH(SMALL($P$8:$P$407,394),$P$8:$P$407,0),"")</f>
        <v/>
      </c>
      <c r="R401" t="str">
        <f t="shared" si="91"/>
        <v/>
      </c>
      <c r="S401" t="str">
        <f t="shared" si="92"/>
        <v/>
      </c>
      <c r="T401" t="str">
        <f t="shared" si="93"/>
        <v/>
      </c>
      <c r="U401" t="str">
        <f t="shared" si="94"/>
        <v/>
      </c>
      <c r="V401">
        <f t="shared" si="96"/>
        <v>0</v>
      </c>
      <c r="W401">
        <f t="shared" si="97"/>
        <v>0</v>
      </c>
      <c r="X401">
        <f>IF($Q401="",99999+394,$X400+1+$V400+$W400)</f>
        <v>100393</v>
      </c>
      <c r="Y401" t="str">
        <f>IF($Q401="","",INDEX(บันทึกรายเที่ยว!$Q$6:$Q$10005,$R401))</f>
        <v/>
      </c>
      <c r="Z401" t="str">
        <f>IF($Q401="","",INDEX(บันทึกรายเที่ยว!$F$6:$F$10005,$R401))</f>
        <v/>
      </c>
      <c r="AA401" t="str">
        <f>IFERROR(MATCH(394,$X$8:$X$407,1),"")</f>
        <v/>
      </c>
      <c r="AB401" t="str">
        <f>IF(394=$AD$1+1,"G",IF($AA401="","",IF(INDEX($Q$8:$Q$407,$AA401)="","",IF(394&gt;INDEX($X$8:$X$407,$AA401)+INDEX($V$8:$V$407,$AA401)+INDEX($W$8:$W$407,$AA401),"",IF(394=INDEX($X$8:$X$407,$AA401)+INDEX($V$8:$V$407,$AA401)+INDEX($W$8:$W$407,$AA401),"D",IF(AND(INDEX($W$8:$W$407,$AA401)=1,394=INDEX($X$8:$X$407,$AA401)+INDEX($V$8:$V$407,$AA401)),"S","R"))))))</f>
        <v/>
      </c>
      <c r="AC401" t="str">
        <f t="shared" si="95"/>
        <v/>
      </c>
      <c r="AE401">
        <f>IF($U401="",0,COUNTIF(บันทึกรายเที่ยว!$T$6:$T$10005,$U401))</f>
        <v>0</v>
      </c>
      <c r="AF401">
        <f>IF($U401="",0,ROUND(SUMIF(บันทึกรายเที่ยว!$T$6:$T$10005,$U401,บันทึกรายเที่ยว!$J$6:$J$10005),2))</f>
        <v>0</v>
      </c>
      <c r="AG401">
        <f>IF($U401="",0,ROUND(SUMIF(บันทึกรายเที่ยว!$T$6:$T$10005,$U401,บันทึกรายเที่ยว!$K$6:$K$10005),2))</f>
        <v>0</v>
      </c>
      <c r="AH401">
        <f>IF($U401="",0,ROUND(SUMIF(บันทึกรายเที่ยว!$T$6:$T$10005,$U401,บันทึกรายเที่ยว!$M$6:$M$10005),2))</f>
        <v>0</v>
      </c>
    </row>
    <row r="402" spans="1:34" ht="21" customHeight="1" x14ac:dyDescent="0.95">
      <c r="A402" s="3" t="str">
        <f t="shared" si="84"/>
        <v/>
      </c>
      <c r="B402" s="3" t="str">
        <f t="shared" si="85"/>
        <v/>
      </c>
      <c r="C402" s="8" t="str">
        <f t="shared" si="86"/>
        <v/>
      </c>
      <c r="D402" s="31" t="str">
        <f t="shared" si="87"/>
        <v/>
      </c>
      <c r="E402" s="32" t="str">
        <f>IF(395=$AD$1+3,"ขอแสดงความนับถือ",IF(395=$AD$1+6,"(                 )",IF(395=$AD$1+7,"เจ้าหน้าที่ขนส่ง",IF($AB402="G",SUM($AF$8:$AF$407),IF(OR($AB402="",$AB402="R"),"",IF($AB402="D",INDEX($AF$8:$AF$407,$AA402),SUMIF($T$8:$T$407,INDEX($T$8:$T$407,$AA402),$AF$8:$AF$407)))))))</f>
        <v/>
      </c>
      <c r="F402" s="32" t="str">
        <f t="shared" si="88"/>
        <v/>
      </c>
      <c r="G402" s="32" t="str">
        <f t="shared" si="89"/>
        <v/>
      </c>
      <c r="H402" s="32" t="str">
        <f t="shared" si="90"/>
        <v/>
      </c>
      <c r="J402" t="str">
        <f>IFERROR(MATCH(395,บันทึกรายเที่ยว!$W$6:$W$10005,0),"")</f>
        <v/>
      </c>
      <c r="K402" t="str">
        <f>IF($J402="","",INDEX(บันทึกรายเที่ยว!$T$6:$T$10005,$J402))</f>
        <v/>
      </c>
      <c r="L402" t="str">
        <f>IF($J402="","",INDEX(บันทึกรายเที่ยว!$S$6:$S$10005,$J402))</f>
        <v/>
      </c>
      <c r="M402" t="str">
        <f>IF($J402="","",INDEX(บันทึกรายเที่ยว!$R$6:$R$10005,$J402))</f>
        <v/>
      </c>
      <c r="N402" t="str">
        <f>IF($J402="","",MATCH($M402,บันทึกรายเที่ยว!$R$6:$R$10005,0))</f>
        <v/>
      </c>
      <c r="O402" t="str">
        <f>IF($J402="","",MATCH($L402,บันทึกรายเที่ยว!$S$6:$S$10005,0))</f>
        <v/>
      </c>
      <c r="P402" t="str">
        <f>IF($J402="","",IF(AND(OR($I$3="(ทั้งหมด)",INDEX(บันทึกรายเที่ยว!$C$6:$C$10005,$J402)=$I$3),OR($I$5="(ทั้งหมด)",INDEX(บันทึกรายเที่ยว!$D$6:$D$10005,$J402)=$I$5),OR($I$7="(ทั้งหมด)",INDEX(บันทึกรายเที่ยว!$F$6:$F$10005,$J402)=$I$7)),$N402*10000000+$O402*1000+395,""))</f>
        <v/>
      </c>
      <c r="Q402" t="str">
        <f>IFERROR(MATCH(SMALL($P$8:$P$407,395),$P$8:$P$407,0),"")</f>
        <v/>
      </c>
      <c r="R402" t="str">
        <f t="shared" si="91"/>
        <v/>
      </c>
      <c r="S402" t="str">
        <f t="shared" si="92"/>
        <v/>
      </c>
      <c r="T402" t="str">
        <f t="shared" si="93"/>
        <v/>
      </c>
      <c r="U402" t="str">
        <f t="shared" si="94"/>
        <v/>
      </c>
      <c r="V402">
        <f t="shared" si="96"/>
        <v>0</v>
      </c>
      <c r="W402">
        <f t="shared" si="97"/>
        <v>0</v>
      </c>
      <c r="X402">
        <f>IF($Q402="",99999+395,$X401+1+$V401+$W401)</f>
        <v>100394</v>
      </c>
      <c r="Y402" t="str">
        <f>IF($Q402="","",INDEX(บันทึกรายเที่ยว!$Q$6:$Q$10005,$R402))</f>
        <v/>
      </c>
      <c r="Z402" t="str">
        <f>IF($Q402="","",INDEX(บันทึกรายเที่ยว!$F$6:$F$10005,$R402))</f>
        <v/>
      </c>
      <c r="AA402" t="str">
        <f>IFERROR(MATCH(395,$X$8:$X$407,1),"")</f>
        <v/>
      </c>
      <c r="AB402" t="str">
        <f>IF(395=$AD$1+1,"G",IF($AA402="","",IF(INDEX($Q$8:$Q$407,$AA402)="","",IF(395&gt;INDEX($X$8:$X$407,$AA402)+INDEX($V$8:$V$407,$AA402)+INDEX($W$8:$W$407,$AA402),"",IF(395=INDEX($X$8:$X$407,$AA402)+INDEX($V$8:$V$407,$AA402)+INDEX($W$8:$W$407,$AA402),"D",IF(AND(INDEX($W$8:$W$407,$AA402)=1,395=INDEX($X$8:$X$407,$AA402)+INDEX($V$8:$V$407,$AA402)),"S","R"))))))</f>
        <v/>
      </c>
      <c r="AC402" t="str">
        <f t="shared" si="95"/>
        <v/>
      </c>
      <c r="AE402">
        <f>IF($U402="",0,COUNTIF(บันทึกรายเที่ยว!$T$6:$T$10005,$U402))</f>
        <v>0</v>
      </c>
      <c r="AF402">
        <f>IF($U402="",0,ROUND(SUMIF(บันทึกรายเที่ยว!$T$6:$T$10005,$U402,บันทึกรายเที่ยว!$J$6:$J$10005),2))</f>
        <v>0</v>
      </c>
      <c r="AG402">
        <f>IF($U402="",0,ROUND(SUMIF(บันทึกรายเที่ยว!$T$6:$T$10005,$U402,บันทึกรายเที่ยว!$K$6:$K$10005),2))</f>
        <v>0</v>
      </c>
      <c r="AH402">
        <f>IF($U402="",0,ROUND(SUMIF(บันทึกรายเที่ยว!$T$6:$T$10005,$U402,บันทึกรายเที่ยว!$M$6:$M$10005),2))</f>
        <v>0</v>
      </c>
    </row>
    <row r="403" spans="1:34" ht="21" customHeight="1" x14ac:dyDescent="0.95">
      <c r="A403" s="3" t="str">
        <f t="shared" si="84"/>
        <v/>
      </c>
      <c r="B403" s="3" t="str">
        <f t="shared" si="85"/>
        <v/>
      </c>
      <c r="C403" s="8" t="str">
        <f t="shared" si="86"/>
        <v/>
      </c>
      <c r="D403" s="31" t="str">
        <f t="shared" si="87"/>
        <v/>
      </c>
      <c r="E403" s="32" t="str">
        <f>IF(396=$AD$1+3,"ขอแสดงความนับถือ",IF(396=$AD$1+6,"(                 )",IF(396=$AD$1+7,"เจ้าหน้าที่ขนส่ง",IF($AB403="G",SUM($AF$8:$AF$407),IF(OR($AB403="",$AB403="R"),"",IF($AB403="D",INDEX($AF$8:$AF$407,$AA403),SUMIF($T$8:$T$407,INDEX($T$8:$T$407,$AA403),$AF$8:$AF$407)))))))</f>
        <v/>
      </c>
      <c r="F403" s="32" t="str">
        <f t="shared" si="88"/>
        <v/>
      </c>
      <c r="G403" s="32" t="str">
        <f t="shared" si="89"/>
        <v/>
      </c>
      <c r="H403" s="32" t="str">
        <f t="shared" si="90"/>
        <v/>
      </c>
      <c r="J403" t="str">
        <f>IFERROR(MATCH(396,บันทึกรายเที่ยว!$W$6:$W$10005,0),"")</f>
        <v/>
      </c>
      <c r="K403" t="str">
        <f>IF($J403="","",INDEX(บันทึกรายเที่ยว!$T$6:$T$10005,$J403))</f>
        <v/>
      </c>
      <c r="L403" t="str">
        <f>IF($J403="","",INDEX(บันทึกรายเที่ยว!$S$6:$S$10005,$J403))</f>
        <v/>
      </c>
      <c r="M403" t="str">
        <f>IF($J403="","",INDEX(บันทึกรายเที่ยว!$R$6:$R$10005,$J403))</f>
        <v/>
      </c>
      <c r="N403" t="str">
        <f>IF($J403="","",MATCH($M403,บันทึกรายเที่ยว!$R$6:$R$10005,0))</f>
        <v/>
      </c>
      <c r="O403" t="str">
        <f>IF($J403="","",MATCH($L403,บันทึกรายเที่ยว!$S$6:$S$10005,0))</f>
        <v/>
      </c>
      <c r="P403" t="str">
        <f>IF($J403="","",IF(AND(OR($I$3="(ทั้งหมด)",INDEX(บันทึกรายเที่ยว!$C$6:$C$10005,$J403)=$I$3),OR($I$5="(ทั้งหมด)",INDEX(บันทึกรายเที่ยว!$D$6:$D$10005,$J403)=$I$5),OR($I$7="(ทั้งหมด)",INDEX(บันทึกรายเที่ยว!$F$6:$F$10005,$J403)=$I$7)),$N403*10000000+$O403*1000+396,""))</f>
        <v/>
      </c>
      <c r="Q403" t="str">
        <f>IFERROR(MATCH(SMALL($P$8:$P$407,396),$P$8:$P$407,0),"")</f>
        <v/>
      </c>
      <c r="R403" t="str">
        <f t="shared" si="91"/>
        <v/>
      </c>
      <c r="S403" t="str">
        <f t="shared" si="92"/>
        <v/>
      </c>
      <c r="T403" t="str">
        <f t="shared" si="93"/>
        <v/>
      </c>
      <c r="U403" t="str">
        <f t="shared" si="94"/>
        <v/>
      </c>
      <c r="V403">
        <f t="shared" si="96"/>
        <v>0</v>
      </c>
      <c r="W403">
        <f t="shared" si="97"/>
        <v>0</v>
      </c>
      <c r="X403">
        <f>IF($Q403="",99999+396,$X402+1+$V402+$W402)</f>
        <v>100395</v>
      </c>
      <c r="Y403" t="str">
        <f>IF($Q403="","",INDEX(บันทึกรายเที่ยว!$Q$6:$Q$10005,$R403))</f>
        <v/>
      </c>
      <c r="Z403" t="str">
        <f>IF($Q403="","",INDEX(บันทึกรายเที่ยว!$F$6:$F$10005,$R403))</f>
        <v/>
      </c>
      <c r="AA403" t="str">
        <f>IFERROR(MATCH(396,$X$8:$X$407,1),"")</f>
        <v/>
      </c>
      <c r="AB403" t="str">
        <f>IF(396=$AD$1+1,"G",IF($AA403="","",IF(INDEX($Q$8:$Q$407,$AA403)="","",IF(396&gt;INDEX($X$8:$X$407,$AA403)+INDEX($V$8:$V$407,$AA403)+INDEX($W$8:$W$407,$AA403),"",IF(396=INDEX($X$8:$X$407,$AA403)+INDEX($V$8:$V$407,$AA403)+INDEX($W$8:$W$407,$AA403),"D",IF(AND(INDEX($W$8:$W$407,$AA403)=1,396=INDEX($X$8:$X$407,$AA403)+INDEX($V$8:$V$407,$AA403)),"S","R"))))))</f>
        <v/>
      </c>
      <c r="AC403" t="str">
        <f t="shared" si="95"/>
        <v/>
      </c>
      <c r="AE403">
        <f>IF($U403="",0,COUNTIF(บันทึกรายเที่ยว!$T$6:$T$10005,$U403))</f>
        <v>0</v>
      </c>
      <c r="AF403">
        <f>IF($U403="",0,ROUND(SUMIF(บันทึกรายเที่ยว!$T$6:$T$10005,$U403,บันทึกรายเที่ยว!$J$6:$J$10005),2))</f>
        <v>0</v>
      </c>
      <c r="AG403">
        <f>IF($U403="",0,ROUND(SUMIF(บันทึกรายเที่ยว!$T$6:$T$10005,$U403,บันทึกรายเที่ยว!$K$6:$K$10005),2))</f>
        <v>0</v>
      </c>
      <c r="AH403">
        <f>IF($U403="",0,ROUND(SUMIF(บันทึกรายเที่ยว!$T$6:$T$10005,$U403,บันทึกรายเที่ยว!$M$6:$M$10005),2))</f>
        <v>0</v>
      </c>
    </row>
    <row r="404" spans="1:34" ht="21" customHeight="1" x14ac:dyDescent="0.95">
      <c r="A404" s="3" t="str">
        <f t="shared" si="84"/>
        <v/>
      </c>
      <c r="B404" s="3" t="str">
        <f t="shared" si="85"/>
        <v/>
      </c>
      <c r="C404" s="8" t="str">
        <f t="shared" si="86"/>
        <v/>
      </c>
      <c r="D404" s="31" t="str">
        <f t="shared" si="87"/>
        <v/>
      </c>
      <c r="E404" s="32" t="str">
        <f>IF(397=$AD$1+3,"ขอแสดงความนับถือ",IF(397=$AD$1+6,"(                 )",IF(397=$AD$1+7,"เจ้าหน้าที่ขนส่ง",IF($AB404="G",SUM($AF$8:$AF$407),IF(OR($AB404="",$AB404="R"),"",IF($AB404="D",INDEX($AF$8:$AF$407,$AA404),SUMIF($T$8:$T$407,INDEX($T$8:$T$407,$AA404),$AF$8:$AF$407)))))))</f>
        <v/>
      </c>
      <c r="F404" s="32" t="str">
        <f t="shared" si="88"/>
        <v/>
      </c>
      <c r="G404" s="32" t="str">
        <f t="shared" si="89"/>
        <v/>
      </c>
      <c r="H404" s="32" t="str">
        <f t="shared" si="90"/>
        <v/>
      </c>
      <c r="J404" t="str">
        <f>IFERROR(MATCH(397,บันทึกรายเที่ยว!$W$6:$W$10005,0),"")</f>
        <v/>
      </c>
      <c r="K404" t="str">
        <f>IF($J404="","",INDEX(บันทึกรายเที่ยว!$T$6:$T$10005,$J404))</f>
        <v/>
      </c>
      <c r="L404" t="str">
        <f>IF($J404="","",INDEX(บันทึกรายเที่ยว!$S$6:$S$10005,$J404))</f>
        <v/>
      </c>
      <c r="M404" t="str">
        <f>IF($J404="","",INDEX(บันทึกรายเที่ยว!$R$6:$R$10005,$J404))</f>
        <v/>
      </c>
      <c r="N404" t="str">
        <f>IF($J404="","",MATCH($M404,บันทึกรายเที่ยว!$R$6:$R$10005,0))</f>
        <v/>
      </c>
      <c r="O404" t="str">
        <f>IF($J404="","",MATCH($L404,บันทึกรายเที่ยว!$S$6:$S$10005,0))</f>
        <v/>
      </c>
      <c r="P404" t="str">
        <f>IF($J404="","",IF(AND(OR($I$3="(ทั้งหมด)",INDEX(บันทึกรายเที่ยว!$C$6:$C$10005,$J404)=$I$3),OR($I$5="(ทั้งหมด)",INDEX(บันทึกรายเที่ยว!$D$6:$D$10005,$J404)=$I$5),OR($I$7="(ทั้งหมด)",INDEX(บันทึกรายเที่ยว!$F$6:$F$10005,$J404)=$I$7)),$N404*10000000+$O404*1000+397,""))</f>
        <v/>
      </c>
      <c r="Q404" t="str">
        <f>IFERROR(MATCH(SMALL($P$8:$P$407,397),$P$8:$P$407,0),"")</f>
        <v/>
      </c>
      <c r="R404" t="str">
        <f t="shared" si="91"/>
        <v/>
      </c>
      <c r="S404" t="str">
        <f t="shared" si="92"/>
        <v/>
      </c>
      <c r="T404" t="str">
        <f t="shared" si="93"/>
        <v/>
      </c>
      <c r="U404" t="str">
        <f t="shared" si="94"/>
        <v/>
      </c>
      <c r="V404">
        <f t="shared" si="96"/>
        <v>0</v>
      </c>
      <c r="W404">
        <f t="shared" si="97"/>
        <v>0</v>
      </c>
      <c r="X404">
        <f>IF($Q404="",99999+397,$X403+1+$V403+$W403)</f>
        <v>100396</v>
      </c>
      <c r="Y404" t="str">
        <f>IF($Q404="","",INDEX(บันทึกรายเที่ยว!$Q$6:$Q$10005,$R404))</f>
        <v/>
      </c>
      <c r="Z404" t="str">
        <f>IF($Q404="","",INDEX(บันทึกรายเที่ยว!$F$6:$F$10005,$R404))</f>
        <v/>
      </c>
      <c r="AA404" t="str">
        <f>IFERROR(MATCH(397,$X$8:$X$407,1),"")</f>
        <v/>
      </c>
      <c r="AB404" t="str">
        <f>IF(397=$AD$1+1,"G",IF($AA404="","",IF(INDEX($Q$8:$Q$407,$AA404)="","",IF(397&gt;INDEX($X$8:$X$407,$AA404)+INDEX($V$8:$V$407,$AA404)+INDEX($W$8:$W$407,$AA404),"",IF(397=INDEX($X$8:$X$407,$AA404)+INDEX($V$8:$V$407,$AA404)+INDEX($W$8:$W$407,$AA404),"D",IF(AND(INDEX($W$8:$W$407,$AA404)=1,397=INDEX($X$8:$X$407,$AA404)+INDEX($V$8:$V$407,$AA404)),"S","R"))))))</f>
        <v/>
      </c>
      <c r="AC404" t="str">
        <f t="shared" si="95"/>
        <v/>
      </c>
      <c r="AE404">
        <f>IF($U404="",0,COUNTIF(บันทึกรายเที่ยว!$T$6:$T$10005,$U404))</f>
        <v>0</v>
      </c>
      <c r="AF404">
        <f>IF($U404="",0,ROUND(SUMIF(บันทึกรายเที่ยว!$T$6:$T$10005,$U404,บันทึกรายเที่ยว!$J$6:$J$10005),2))</f>
        <v>0</v>
      </c>
      <c r="AG404">
        <f>IF($U404="",0,ROUND(SUMIF(บันทึกรายเที่ยว!$T$6:$T$10005,$U404,บันทึกรายเที่ยว!$K$6:$K$10005),2))</f>
        <v>0</v>
      </c>
      <c r="AH404">
        <f>IF($U404="",0,ROUND(SUMIF(บันทึกรายเที่ยว!$T$6:$T$10005,$U404,บันทึกรายเที่ยว!$M$6:$M$10005),2))</f>
        <v>0</v>
      </c>
    </row>
    <row r="405" spans="1:34" ht="21" customHeight="1" x14ac:dyDescent="0.95">
      <c r="A405" s="3" t="str">
        <f t="shared" si="84"/>
        <v/>
      </c>
      <c r="B405" s="3" t="str">
        <f t="shared" si="85"/>
        <v/>
      </c>
      <c r="C405" s="8" t="str">
        <f t="shared" si="86"/>
        <v/>
      </c>
      <c r="D405" s="31" t="str">
        <f t="shared" si="87"/>
        <v/>
      </c>
      <c r="E405" s="32" t="str">
        <f>IF(398=$AD$1+3,"ขอแสดงความนับถือ",IF(398=$AD$1+6,"(                 )",IF(398=$AD$1+7,"เจ้าหน้าที่ขนส่ง",IF($AB405="G",SUM($AF$8:$AF$407),IF(OR($AB405="",$AB405="R"),"",IF($AB405="D",INDEX($AF$8:$AF$407,$AA405),SUMIF($T$8:$T$407,INDEX($T$8:$T$407,$AA405),$AF$8:$AF$407)))))))</f>
        <v/>
      </c>
      <c r="F405" s="32" t="str">
        <f t="shared" si="88"/>
        <v/>
      </c>
      <c r="G405" s="32" t="str">
        <f t="shared" si="89"/>
        <v/>
      </c>
      <c r="H405" s="32" t="str">
        <f t="shared" si="90"/>
        <v/>
      </c>
      <c r="J405" t="str">
        <f>IFERROR(MATCH(398,บันทึกรายเที่ยว!$W$6:$W$10005,0),"")</f>
        <v/>
      </c>
      <c r="K405" t="str">
        <f>IF($J405="","",INDEX(บันทึกรายเที่ยว!$T$6:$T$10005,$J405))</f>
        <v/>
      </c>
      <c r="L405" t="str">
        <f>IF($J405="","",INDEX(บันทึกรายเที่ยว!$S$6:$S$10005,$J405))</f>
        <v/>
      </c>
      <c r="M405" t="str">
        <f>IF($J405="","",INDEX(บันทึกรายเที่ยว!$R$6:$R$10005,$J405))</f>
        <v/>
      </c>
      <c r="N405" t="str">
        <f>IF($J405="","",MATCH($M405,บันทึกรายเที่ยว!$R$6:$R$10005,0))</f>
        <v/>
      </c>
      <c r="O405" t="str">
        <f>IF($J405="","",MATCH($L405,บันทึกรายเที่ยว!$S$6:$S$10005,0))</f>
        <v/>
      </c>
      <c r="P405" t="str">
        <f>IF($J405="","",IF(AND(OR($I$3="(ทั้งหมด)",INDEX(บันทึกรายเที่ยว!$C$6:$C$10005,$J405)=$I$3),OR($I$5="(ทั้งหมด)",INDEX(บันทึกรายเที่ยว!$D$6:$D$10005,$J405)=$I$5),OR($I$7="(ทั้งหมด)",INDEX(บันทึกรายเที่ยว!$F$6:$F$10005,$J405)=$I$7)),$N405*10000000+$O405*1000+398,""))</f>
        <v/>
      </c>
      <c r="Q405" t="str">
        <f>IFERROR(MATCH(SMALL($P$8:$P$407,398),$P$8:$P$407,0),"")</f>
        <v/>
      </c>
      <c r="R405" t="str">
        <f t="shared" si="91"/>
        <v/>
      </c>
      <c r="S405" t="str">
        <f t="shared" si="92"/>
        <v/>
      </c>
      <c r="T405" t="str">
        <f t="shared" si="93"/>
        <v/>
      </c>
      <c r="U405" t="str">
        <f t="shared" si="94"/>
        <v/>
      </c>
      <c r="V405">
        <f t="shared" si="96"/>
        <v>0</v>
      </c>
      <c r="W405">
        <f t="shared" si="97"/>
        <v>0</v>
      </c>
      <c r="X405">
        <f>IF($Q405="",99999+398,$X404+1+$V404+$W404)</f>
        <v>100397</v>
      </c>
      <c r="Y405" t="str">
        <f>IF($Q405="","",INDEX(บันทึกรายเที่ยว!$Q$6:$Q$10005,$R405))</f>
        <v/>
      </c>
      <c r="Z405" t="str">
        <f>IF($Q405="","",INDEX(บันทึกรายเที่ยว!$F$6:$F$10005,$R405))</f>
        <v/>
      </c>
      <c r="AA405" t="str">
        <f>IFERROR(MATCH(398,$X$8:$X$407,1),"")</f>
        <v/>
      </c>
      <c r="AB405" t="str">
        <f>IF(398=$AD$1+1,"G",IF($AA405="","",IF(INDEX($Q$8:$Q$407,$AA405)="","",IF(398&gt;INDEX($X$8:$X$407,$AA405)+INDEX($V$8:$V$407,$AA405)+INDEX($W$8:$W$407,$AA405),"",IF(398=INDEX($X$8:$X$407,$AA405)+INDEX($V$8:$V$407,$AA405)+INDEX($W$8:$W$407,$AA405),"D",IF(AND(INDEX($W$8:$W$407,$AA405)=1,398=INDEX($X$8:$X$407,$AA405)+INDEX($V$8:$V$407,$AA405)),"S","R"))))))</f>
        <v/>
      </c>
      <c r="AC405" t="str">
        <f t="shared" si="95"/>
        <v/>
      </c>
      <c r="AE405">
        <f>IF($U405="",0,COUNTIF(บันทึกรายเที่ยว!$T$6:$T$10005,$U405))</f>
        <v>0</v>
      </c>
      <c r="AF405">
        <f>IF($U405="",0,ROUND(SUMIF(บันทึกรายเที่ยว!$T$6:$T$10005,$U405,บันทึกรายเที่ยว!$J$6:$J$10005),2))</f>
        <v>0</v>
      </c>
      <c r="AG405">
        <f>IF($U405="",0,ROUND(SUMIF(บันทึกรายเที่ยว!$T$6:$T$10005,$U405,บันทึกรายเที่ยว!$K$6:$K$10005),2))</f>
        <v>0</v>
      </c>
      <c r="AH405">
        <f>IF($U405="",0,ROUND(SUMIF(บันทึกรายเที่ยว!$T$6:$T$10005,$U405,บันทึกรายเที่ยว!$M$6:$M$10005),2))</f>
        <v>0</v>
      </c>
    </row>
    <row r="406" spans="1:34" ht="21" customHeight="1" x14ac:dyDescent="0.95">
      <c r="A406" s="3" t="str">
        <f t="shared" si="84"/>
        <v/>
      </c>
      <c r="B406" s="3" t="str">
        <f t="shared" si="85"/>
        <v/>
      </c>
      <c r="C406" s="8" t="str">
        <f t="shared" si="86"/>
        <v/>
      </c>
      <c r="D406" s="31" t="str">
        <f t="shared" si="87"/>
        <v/>
      </c>
      <c r="E406" s="32" t="str">
        <f>IF(399=$AD$1+3,"ขอแสดงความนับถือ",IF(399=$AD$1+6,"(                 )",IF(399=$AD$1+7,"เจ้าหน้าที่ขนส่ง",IF($AB406="G",SUM($AF$8:$AF$407),IF(OR($AB406="",$AB406="R"),"",IF($AB406="D",INDEX($AF$8:$AF$407,$AA406),SUMIF($T$8:$T$407,INDEX($T$8:$T$407,$AA406),$AF$8:$AF$407)))))))</f>
        <v/>
      </c>
      <c r="F406" s="32" t="str">
        <f t="shared" si="88"/>
        <v/>
      </c>
      <c r="G406" s="32" t="str">
        <f t="shared" si="89"/>
        <v/>
      </c>
      <c r="H406" s="32" t="str">
        <f t="shared" si="90"/>
        <v/>
      </c>
      <c r="J406" t="str">
        <f>IFERROR(MATCH(399,บันทึกรายเที่ยว!$W$6:$W$10005,0),"")</f>
        <v/>
      </c>
      <c r="K406" t="str">
        <f>IF($J406="","",INDEX(บันทึกรายเที่ยว!$T$6:$T$10005,$J406))</f>
        <v/>
      </c>
      <c r="L406" t="str">
        <f>IF($J406="","",INDEX(บันทึกรายเที่ยว!$S$6:$S$10005,$J406))</f>
        <v/>
      </c>
      <c r="M406" t="str">
        <f>IF($J406="","",INDEX(บันทึกรายเที่ยว!$R$6:$R$10005,$J406))</f>
        <v/>
      </c>
      <c r="N406" t="str">
        <f>IF($J406="","",MATCH($M406,บันทึกรายเที่ยว!$R$6:$R$10005,0))</f>
        <v/>
      </c>
      <c r="O406" t="str">
        <f>IF($J406="","",MATCH($L406,บันทึกรายเที่ยว!$S$6:$S$10005,0))</f>
        <v/>
      </c>
      <c r="P406" t="str">
        <f>IF($J406="","",IF(AND(OR($I$3="(ทั้งหมด)",INDEX(บันทึกรายเที่ยว!$C$6:$C$10005,$J406)=$I$3),OR($I$5="(ทั้งหมด)",INDEX(บันทึกรายเที่ยว!$D$6:$D$10005,$J406)=$I$5),OR($I$7="(ทั้งหมด)",INDEX(บันทึกรายเที่ยว!$F$6:$F$10005,$J406)=$I$7)),$N406*10000000+$O406*1000+399,""))</f>
        <v/>
      </c>
      <c r="Q406" t="str">
        <f>IFERROR(MATCH(SMALL($P$8:$P$407,399),$P$8:$P$407,0),"")</f>
        <v/>
      </c>
      <c r="R406" t="str">
        <f t="shared" si="91"/>
        <v/>
      </c>
      <c r="S406" t="str">
        <f t="shared" si="92"/>
        <v/>
      </c>
      <c r="T406" t="str">
        <f t="shared" si="93"/>
        <v/>
      </c>
      <c r="U406" t="str">
        <f t="shared" si="94"/>
        <v/>
      </c>
      <c r="V406">
        <f t="shared" si="96"/>
        <v>0</v>
      </c>
      <c r="W406">
        <f t="shared" si="97"/>
        <v>0</v>
      </c>
      <c r="X406">
        <f>IF($Q406="",99999+399,$X405+1+$V405+$W405)</f>
        <v>100398</v>
      </c>
      <c r="Y406" t="str">
        <f>IF($Q406="","",INDEX(บันทึกรายเที่ยว!$Q$6:$Q$10005,$R406))</f>
        <v/>
      </c>
      <c r="Z406" t="str">
        <f>IF($Q406="","",INDEX(บันทึกรายเที่ยว!$F$6:$F$10005,$R406))</f>
        <v/>
      </c>
      <c r="AA406" t="str">
        <f>IFERROR(MATCH(399,$X$8:$X$407,1),"")</f>
        <v/>
      </c>
      <c r="AB406" t="str">
        <f>IF(399=$AD$1+1,"G",IF($AA406="","",IF(INDEX($Q$8:$Q$407,$AA406)="","",IF(399&gt;INDEX($X$8:$X$407,$AA406)+INDEX($V$8:$V$407,$AA406)+INDEX($W$8:$W$407,$AA406),"",IF(399=INDEX($X$8:$X$407,$AA406)+INDEX($V$8:$V$407,$AA406)+INDEX($W$8:$W$407,$AA406),"D",IF(AND(INDEX($W$8:$W$407,$AA406)=1,399=INDEX($X$8:$X$407,$AA406)+INDEX($V$8:$V$407,$AA406)),"S","R"))))))</f>
        <v/>
      </c>
      <c r="AC406" t="str">
        <f t="shared" si="95"/>
        <v/>
      </c>
      <c r="AE406">
        <f>IF($U406="",0,COUNTIF(บันทึกรายเที่ยว!$T$6:$T$10005,$U406))</f>
        <v>0</v>
      </c>
      <c r="AF406">
        <f>IF($U406="",0,ROUND(SUMIF(บันทึกรายเที่ยว!$T$6:$T$10005,$U406,บันทึกรายเที่ยว!$J$6:$J$10005),2))</f>
        <v>0</v>
      </c>
      <c r="AG406">
        <f>IF($U406="",0,ROUND(SUMIF(บันทึกรายเที่ยว!$T$6:$T$10005,$U406,บันทึกรายเที่ยว!$K$6:$K$10005),2))</f>
        <v>0</v>
      </c>
      <c r="AH406">
        <f>IF($U406="",0,ROUND(SUMIF(บันทึกรายเที่ยว!$T$6:$T$10005,$U406,บันทึกรายเที่ยว!$M$6:$M$10005),2))</f>
        <v>0</v>
      </c>
    </row>
    <row r="407" spans="1:34" ht="21" customHeight="1" x14ac:dyDescent="0.95">
      <c r="A407" s="3" t="str">
        <f t="shared" si="84"/>
        <v/>
      </c>
      <c r="B407" s="3" t="str">
        <f t="shared" si="85"/>
        <v/>
      </c>
      <c r="C407" s="8" t="str">
        <f t="shared" si="86"/>
        <v/>
      </c>
      <c r="D407" s="31" t="str">
        <f t="shared" si="87"/>
        <v/>
      </c>
      <c r="E407" s="32" t="str">
        <f>IF(400=$AD$1+3,"ขอแสดงความนับถือ",IF(400=$AD$1+6,"(                 )",IF(400=$AD$1+7,"เจ้าหน้าที่ขนส่ง",IF($AB407="G",SUM($AF$8:$AF$407),IF(OR($AB407="",$AB407="R"),"",IF($AB407="D",INDEX($AF$8:$AF$407,$AA407),SUMIF($T$8:$T$407,INDEX($T$8:$T$407,$AA407),$AF$8:$AF$407)))))))</f>
        <v/>
      </c>
      <c r="F407" s="32" t="str">
        <f t="shared" si="88"/>
        <v/>
      </c>
      <c r="G407" s="32" t="str">
        <f t="shared" si="89"/>
        <v/>
      </c>
      <c r="H407" s="32" t="str">
        <f t="shared" si="90"/>
        <v/>
      </c>
      <c r="J407" t="str">
        <f>IFERROR(MATCH(400,บันทึกรายเที่ยว!$W$6:$W$10005,0),"")</f>
        <v/>
      </c>
      <c r="K407" t="str">
        <f>IF($J407="","",INDEX(บันทึกรายเที่ยว!$T$6:$T$10005,$J407))</f>
        <v/>
      </c>
      <c r="L407" t="str">
        <f>IF($J407="","",INDEX(บันทึกรายเที่ยว!$S$6:$S$10005,$J407))</f>
        <v/>
      </c>
      <c r="M407" t="str">
        <f>IF($J407="","",INDEX(บันทึกรายเที่ยว!$R$6:$R$10005,$J407))</f>
        <v/>
      </c>
      <c r="N407" t="str">
        <f>IF($J407="","",MATCH($M407,บันทึกรายเที่ยว!$R$6:$R$10005,0))</f>
        <v/>
      </c>
      <c r="O407" t="str">
        <f>IF($J407="","",MATCH($L407,บันทึกรายเที่ยว!$S$6:$S$10005,0))</f>
        <v/>
      </c>
      <c r="P407" t="str">
        <f>IF($J407="","",IF(AND(OR($I$3="(ทั้งหมด)",INDEX(บันทึกรายเที่ยว!$C$6:$C$10005,$J407)=$I$3),OR($I$5="(ทั้งหมด)",INDEX(บันทึกรายเที่ยว!$D$6:$D$10005,$J407)=$I$5),OR($I$7="(ทั้งหมด)",INDEX(บันทึกรายเที่ยว!$F$6:$F$10005,$J407)=$I$7)),$N407*10000000+$O407*1000+400,""))</f>
        <v/>
      </c>
      <c r="Q407" t="str">
        <f>IFERROR(MATCH(SMALL($P$8:$P$407,400),$P$8:$P$407,0),"")</f>
        <v/>
      </c>
      <c r="R407" t="str">
        <f t="shared" si="91"/>
        <v/>
      </c>
      <c r="S407" t="str">
        <f t="shared" si="92"/>
        <v/>
      </c>
      <c r="T407" t="str">
        <f t="shared" si="93"/>
        <v/>
      </c>
      <c r="U407" t="str">
        <f t="shared" si="94"/>
        <v/>
      </c>
      <c r="V407">
        <f t="shared" si="96"/>
        <v>0</v>
      </c>
      <c r="W407">
        <f t="shared" si="97"/>
        <v>0</v>
      </c>
      <c r="X407">
        <f>IF($Q407="",99999+400,$X406+1+$V406+$W406)</f>
        <v>100399</v>
      </c>
      <c r="Y407" t="str">
        <f>IF($Q407="","",INDEX(บันทึกรายเที่ยว!$Q$6:$Q$10005,$R407))</f>
        <v/>
      </c>
      <c r="Z407" t="str">
        <f>IF($Q407="","",INDEX(บันทึกรายเที่ยว!$F$6:$F$10005,$R407))</f>
        <v/>
      </c>
      <c r="AA407" t="str">
        <f>IFERROR(MATCH(400,$X$8:$X$407,1),"")</f>
        <v/>
      </c>
      <c r="AB407" t="str">
        <f>IF(400=$AD$1+1,"G",IF($AA407="","",IF(INDEX($Q$8:$Q$407,$AA407)="","",IF(400&gt;INDEX($X$8:$X$407,$AA407)+INDEX($V$8:$V$407,$AA407)+INDEX($W$8:$W$407,$AA407),"",IF(400=INDEX($X$8:$X$407,$AA407)+INDEX($V$8:$V$407,$AA407)+INDEX($W$8:$W$407,$AA407),"D",IF(AND(INDEX($W$8:$W$407,$AA407)=1,400=INDEX($X$8:$X$407,$AA407)+INDEX($V$8:$V$407,$AA407)),"S","R"))))))</f>
        <v/>
      </c>
      <c r="AC407" t="str">
        <f t="shared" si="95"/>
        <v/>
      </c>
      <c r="AE407">
        <f>IF($U407="",0,COUNTIF(บันทึกรายเที่ยว!$T$6:$T$10005,$U407))</f>
        <v>0</v>
      </c>
      <c r="AF407">
        <f>IF($U407="",0,ROUND(SUMIF(บันทึกรายเที่ยว!$T$6:$T$10005,$U407,บันทึกรายเที่ยว!$J$6:$J$10005),2))</f>
        <v>0</v>
      </c>
      <c r="AG407">
        <f>IF($U407="",0,ROUND(SUMIF(บันทึกรายเที่ยว!$T$6:$T$10005,$U407,บันทึกรายเที่ยว!$K$6:$K$10005),2))</f>
        <v>0</v>
      </c>
      <c r="AH407">
        <f>IF($U407="",0,ROUND(SUMIF(บันทึกรายเที่ยว!$T$6:$T$10005,$U407,บันทึกรายเที่ยว!$M$6:$M$10005),2))</f>
        <v>0</v>
      </c>
    </row>
    <row r="408" spans="1:34" ht="21" customHeight="1" x14ac:dyDescent="0.95">
      <c r="A408" s="3" t="str">
        <f t="shared" si="84"/>
        <v/>
      </c>
      <c r="B408" s="3" t="str">
        <f t="shared" si="85"/>
        <v/>
      </c>
      <c r="C408" s="8" t="str">
        <f t="shared" si="86"/>
        <v/>
      </c>
      <c r="D408" s="31" t="str">
        <f t="shared" si="87"/>
        <v/>
      </c>
      <c r="E408" s="32" t="str">
        <f>IF(401=$AD$1+3,"ขอแสดงความนับถือ",IF(401=$AD$1+6,"(                 )",IF(401=$AD$1+7,"เจ้าหน้าที่ขนส่ง",IF($AB408="G",SUM($AF$8:$AF$407),IF(OR($AB408="",$AB408="R"),"",IF($AB408="D",INDEX($AF$8:$AF$407,$AA408),SUMIF($T$8:$T$407,INDEX($T$8:$T$407,$AA408),$AF$8:$AF$407)))))))</f>
        <v/>
      </c>
      <c r="F408" s="32" t="str">
        <f t="shared" si="88"/>
        <v/>
      </c>
      <c r="G408" s="32" t="str">
        <f t="shared" si="89"/>
        <v/>
      </c>
      <c r="H408" s="32" t="str">
        <f t="shared" si="90"/>
        <v/>
      </c>
      <c r="AA408" t="str">
        <f>IFERROR(MATCH(401,$X$8:$X$407,1),"")</f>
        <v/>
      </c>
      <c r="AB408" t="str">
        <f>IF(401=$AD$1+1,"G",IF($AA408="","",IF(INDEX($Q$8:$Q$407,$AA408)="","",IF(401&gt;INDEX($X$8:$X$407,$AA408)+INDEX($V$8:$V$407,$AA408)+INDEX($W$8:$W$407,$AA408),"",IF(401=INDEX($X$8:$X$407,$AA408)+INDEX($V$8:$V$407,$AA408)+INDEX($W$8:$W$407,$AA408),"D",IF(AND(INDEX($W$8:$W$407,$AA408)=1,401=INDEX($X$8:$X$407,$AA408)+INDEX($V$8:$V$407,$AA408)),"S","R"))))))</f>
        <v/>
      </c>
      <c r="AC408" t="str">
        <f t="shared" si="95"/>
        <v/>
      </c>
    </row>
    <row r="409" spans="1:34" ht="21" customHeight="1" x14ac:dyDescent="0.95">
      <c r="A409" s="3" t="str">
        <f t="shared" si="84"/>
        <v/>
      </c>
      <c r="B409" s="3" t="str">
        <f t="shared" si="85"/>
        <v/>
      </c>
      <c r="C409" s="8" t="str">
        <f t="shared" si="86"/>
        <v/>
      </c>
      <c r="D409" s="31" t="str">
        <f t="shared" si="87"/>
        <v/>
      </c>
      <c r="E409" s="32" t="str">
        <f>IF(402=$AD$1+3,"ขอแสดงความนับถือ",IF(402=$AD$1+6,"(                 )",IF(402=$AD$1+7,"เจ้าหน้าที่ขนส่ง",IF($AB409="G",SUM($AF$8:$AF$407),IF(OR($AB409="",$AB409="R"),"",IF($AB409="D",INDEX($AF$8:$AF$407,$AA409),SUMIF($T$8:$T$407,INDEX($T$8:$T$407,$AA409),$AF$8:$AF$407)))))))</f>
        <v/>
      </c>
      <c r="F409" s="32" t="str">
        <f t="shared" si="88"/>
        <v/>
      </c>
      <c r="G409" s="32" t="str">
        <f t="shared" si="89"/>
        <v/>
      </c>
      <c r="H409" s="32" t="str">
        <f t="shared" si="90"/>
        <v/>
      </c>
      <c r="AA409" t="str">
        <f>IFERROR(MATCH(402,$X$8:$X$407,1),"")</f>
        <v/>
      </c>
      <c r="AB409" t="str">
        <f>IF(402=$AD$1+1,"G",IF($AA409="","",IF(INDEX($Q$8:$Q$407,$AA409)="","",IF(402&gt;INDEX($X$8:$X$407,$AA409)+INDEX($V$8:$V$407,$AA409)+INDEX($W$8:$W$407,$AA409),"",IF(402=INDEX($X$8:$X$407,$AA409)+INDEX($V$8:$V$407,$AA409)+INDEX($W$8:$W$407,$AA409),"D",IF(AND(INDEX($W$8:$W$407,$AA409)=1,402=INDEX($X$8:$X$407,$AA409)+INDEX($V$8:$V$407,$AA409)),"S","R"))))))</f>
        <v/>
      </c>
      <c r="AC409" t="str">
        <f t="shared" si="95"/>
        <v/>
      </c>
    </row>
    <row r="410" spans="1:34" ht="21" customHeight="1" x14ac:dyDescent="0.95">
      <c r="A410" s="3" t="str">
        <f t="shared" si="84"/>
        <v/>
      </c>
      <c r="B410" s="3" t="str">
        <f t="shared" si="85"/>
        <v/>
      </c>
      <c r="C410" s="8" t="str">
        <f t="shared" si="86"/>
        <v/>
      </c>
      <c r="D410" s="31" t="str">
        <f t="shared" si="87"/>
        <v/>
      </c>
      <c r="E410" s="32" t="str">
        <f>IF(403=$AD$1+3,"ขอแสดงความนับถือ",IF(403=$AD$1+6,"(                 )",IF(403=$AD$1+7,"เจ้าหน้าที่ขนส่ง",IF($AB410="G",SUM($AF$8:$AF$407),IF(OR($AB410="",$AB410="R"),"",IF($AB410="D",INDEX($AF$8:$AF$407,$AA410),SUMIF($T$8:$T$407,INDEX($T$8:$T$407,$AA410),$AF$8:$AF$407)))))))</f>
        <v/>
      </c>
      <c r="F410" s="32" t="str">
        <f t="shared" si="88"/>
        <v/>
      </c>
      <c r="G410" s="32" t="str">
        <f t="shared" si="89"/>
        <v/>
      </c>
      <c r="H410" s="32" t="str">
        <f t="shared" si="90"/>
        <v/>
      </c>
      <c r="AA410" t="str">
        <f>IFERROR(MATCH(403,$X$8:$X$407,1),"")</f>
        <v/>
      </c>
      <c r="AB410" t="str">
        <f>IF(403=$AD$1+1,"G",IF($AA410="","",IF(INDEX($Q$8:$Q$407,$AA410)="","",IF(403&gt;INDEX($X$8:$X$407,$AA410)+INDEX($V$8:$V$407,$AA410)+INDEX($W$8:$W$407,$AA410),"",IF(403=INDEX($X$8:$X$407,$AA410)+INDEX($V$8:$V$407,$AA410)+INDEX($W$8:$W$407,$AA410),"D",IF(AND(INDEX($W$8:$W$407,$AA410)=1,403=INDEX($X$8:$X$407,$AA410)+INDEX($V$8:$V$407,$AA410)),"S","R"))))))</f>
        <v/>
      </c>
      <c r="AC410" t="str">
        <f t="shared" si="95"/>
        <v/>
      </c>
    </row>
    <row r="411" spans="1:34" ht="21" customHeight="1" x14ac:dyDescent="0.95">
      <c r="A411" s="3" t="str">
        <f t="shared" si="84"/>
        <v/>
      </c>
      <c r="B411" s="3" t="str">
        <f t="shared" si="85"/>
        <v/>
      </c>
      <c r="C411" s="8" t="str">
        <f t="shared" si="86"/>
        <v/>
      </c>
      <c r="D411" s="31" t="str">
        <f t="shared" si="87"/>
        <v/>
      </c>
      <c r="E411" s="32" t="str">
        <f>IF(404=$AD$1+3,"ขอแสดงความนับถือ",IF(404=$AD$1+6,"(                 )",IF(404=$AD$1+7,"เจ้าหน้าที่ขนส่ง",IF($AB411="G",SUM($AF$8:$AF$407),IF(OR($AB411="",$AB411="R"),"",IF($AB411="D",INDEX($AF$8:$AF$407,$AA411),SUMIF($T$8:$T$407,INDEX($T$8:$T$407,$AA411),$AF$8:$AF$407)))))))</f>
        <v/>
      </c>
      <c r="F411" s="32" t="str">
        <f t="shared" si="88"/>
        <v/>
      </c>
      <c r="G411" s="32" t="str">
        <f t="shared" si="89"/>
        <v/>
      </c>
      <c r="H411" s="32" t="str">
        <f t="shared" si="90"/>
        <v/>
      </c>
      <c r="AA411" t="str">
        <f>IFERROR(MATCH(404,$X$8:$X$407,1),"")</f>
        <v/>
      </c>
      <c r="AB411" t="str">
        <f>IF(404=$AD$1+1,"G",IF($AA411="","",IF(INDEX($Q$8:$Q$407,$AA411)="","",IF(404&gt;INDEX($X$8:$X$407,$AA411)+INDEX($V$8:$V$407,$AA411)+INDEX($W$8:$W$407,$AA411),"",IF(404=INDEX($X$8:$X$407,$AA411)+INDEX($V$8:$V$407,$AA411)+INDEX($W$8:$W$407,$AA411),"D",IF(AND(INDEX($W$8:$W$407,$AA411)=1,404=INDEX($X$8:$X$407,$AA411)+INDEX($V$8:$V$407,$AA411)),"S","R"))))))</f>
        <v/>
      </c>
      <c r="AC411" t="str">
        <f t="shared" si="95"/>
        <v/>
      </c>
    </row>
    <row r="412" spans="1:34" ht="21" customHeight="1" x14ac:dyDescent="0.95">
      <c r="A412" s="3" t="str">
        <f t="shared" si="84"/>
        <v/>
      </c>
      <c r="B412" s="3" t="str">
        <f t="shared" si="85"/>
        <v/>
      </c>
      <c r="C412" s="8" t="str">
        <f t="shared" si="86"/>
        <v/>
      </c>
      <c r="D412" s="31" t="str">
        <f t="shared" si="87"/>
        <v/>
      </c>
      <c r="E412" s="32" t="str">
        <f>IF(405=$AD$1+3,"ขอแสดงความนับถือ",IF(405=$AD$1+6,"(                 )",IF(405=$AD$1+7,"เจ้าหน้าที่ขนส่ง",IF($AB412="G",SUM($AF$8:$AF$407),IF(OR($AB412="",$AB412="R"),"",IF($AB412="D",INDEX($AF$8:$AF$407,$AA412),SUMIF($T$8:$T$407,INDEX($T$8:$T$407,$AA412),$AF$8:$AF$407)))))))</f>
        <v/>
      </c>
      <c r="F412" s="32" t="str">
        <f t="shared" si="88"/>
        <v/>
      </c>
      <c r="G412" s="32" t="str">
        <f t="shared" si="89"/>
        <v/>
      </c>
      <c r="H412" s="32" t="str">
        <f t="shared" si="90"/>
        <v/>
      </c>
      <c r="AA412" t="str">
        <f>IFERROR(MATCH(405,$X$8:$X$407,1),"")</f>
        <v/>
      </c>
      <c r="AB412" t="str">
        <f>IF(405=$AD$1+1,"G",IF($AA412="","",IF(INDEX($Q$8:$Q$407,$AA412)="","",IF(405&gt;INDEX($X$8:$X$407,$AA412)+INDEX($V$8:$V$407,$AA412)+INDEX($W$8:$W$407,$AA412),"",IF(405=INDEX($X$8:$X$407,$AA412)+INDEX($V$8:$V$407,$AA412)+INDEX($W$8:$W$407,$AA412),"D",IF(AND(INDEX($W$8:$W$407,$AA412)=1,405=INDEX($X$8:$X$407,$AA412)+INDEX($V$8:$V$407,$AA412)),"S","R"))))))</f>
        <v/>
      </c>
      <c r="AC412" t="str">
        <f t="shared" si="95"/>
        <v/>
      </c>
    </row>
    <row r="413" spans="1:34" ht="21" customHeight="1" x14ac:dyDescent="0.95">
      <c r="A413" s="3" t="str">
        <f t="shared" si="84"/>
        <v/>
      </c>
      <c r="B413" s="3" t="str">
        <f t="shared" si="85"/>
        <v/>
      </c>
      <c r="C413" s="8" t="str">
        <f t="shared" si="86"/>
        <v/>
      </c>
      <c r="D413" s="31" t="str">
        <f t="shared" si="87"/>
        <v/>
      </c>
      <c r="E413" s="32" t="str">
        <f>IF(406=$AD$1+3,"ขอแสดงความนับถือ",IF(406=$AD$1+6,"(                 )",IF(406=$AD$1+7,"เจ้าหน้าที่ขนส่ง",IF($AB413="G",SUM($AF$8:$AF$407),IF(OR($AB413="",$AB413="R"),"",IF($AB413="D",INDEX($AF$8:$AF$407,$AA413),SUMIF($T$8:$T$407,INDEX($T$8:$T$407,$AA413),$AF$8:$AF$407)))))))</f>
        <v/>
      </c>
      <c r="F413" s="32" t="str">
        <f t="shared" si="88"/>
        <v/>
      </c>
      <c r="G413" s="32" t="str">
        <f t="shared" si="89"/>
        <v/>
      </c>
      <c r="H413" s="32" t="str">
        <f t="shared" si="90"/>
        <v/>
      </c>
      <c r="AA413" t="str">
        <f>IFERROR(MATCH(406,$X$8:$X$407,1),"")</f>
        <v/>
      </c>
      <c r="AB413" t="str">
        <f>IF(406=$AD$1+1,"G",IF($AA413="","",IF(INDEX($Q$8:$Q$407,$AA413)="","",IF(406&gt;INDEX($X$8:$X$407,$AA413)+INDEX($V$8:$V$407,$AA413)+INDEX($W$8:$W$407,$AA413),"",IF(406=INDEX($X$8:$X$407,$AA413)+INDEX($V$8:$V$407,$AA413)+INDEX($W$8:$W$407,$AA413),"D",IF(AND(INDEX($W$8:$W$407,$AA413)=1,406=INDEX($X$8:$X$407,$AA413)+INDEX($V$8:$V$407,$AA413)),"S","R"))))))</f>
        <v/>
      </c>
      <c r="AC413" t="str">
        <f t="shared" si="95"/>
        <v/>
      </c>
    </row>
    <row r="414" spans="1:34" ht="21" customHeight="1" x14ac:dyDescent="0.95">
      <c r="A414" s="3" t="str">
        <f t="shared" si="84"/>
        <v/>
      </c>
      <c r="B414" s="3" t="str">
        <f t="shared" si="85"/>
        <v/>
      </c>
      <c r="C414" s="8" t="str">
        <f t="shared" si="86"/>
        <v/>
      </c>
      <c r="D414" s="31" t="str">
        <f t="shared" si="87"/>
        <v/>
      </c>
      <c r="E414" s="32" t="str">
        <f>IF(407=$AD$1+3,"ขอแสดงความนับถือ",IF(407=$AD$1+6,"(                 )",IF(407=$AD$1+7,"เจ้าหน้าที่ขนส่ง",IF($AB414="G",SUM($AF$8:$AF$407),IF(OR($AB414="",$AB414="R"),"",IF($AB414="D",INDEX($AF$8:$AF$407,$AA414),SUMIF($T$8:$T$407,INDEX($T$8:$T$407,$AA414),$AF$8:$AF$407)))))))</f>
        <v/>
      </c>
      <c r="F414" s="32" t="str">
        <f t="shared" si="88"/>
        <v/>
      </c>
      <c r="G414" s="32" t="str">
        <f t="shared" si="89"/>
        <v/>
      </c>
      <c r="H414" s="32" t="str">
        <f t="shared" si="90"/>
        <v/>
      </c>
      <c r="AA414" t="str">
        <f>IFERROR(MATCH(407,$X$8:$X$407,1),"")</f>
        <v/>
      </c>
      <c r="AB414" t="str">
        <f>IF(407=$AD$1+1,"G",IF($AA414="","",IF(INDEX($Q$8:$Q$407,$AA414)="","",IF(407&gt;INDEX($X$8:$X$407,$AA414)+INDEX($V$8:$V$407,$AA414)+INDEX($W$8:$W$407,$AA414),"",IF(407=INDEX($X$8:$X$407,$AA414)+INDEX($V$8:$V$407,$AA414)+INDEX($W$8:$W$407,$AA414),"D",IF(AND(INDEX($W$8:$W$407,$AA414)=1,407=INDEX($X$8:$X$407,$AA414)+INDEX($V$8:$V$407,$AA414)),"S","R"))))))</f>
        <v/>
      </c>
      <c r="AC414" t="str">
        <f t="shared" si="95"/>
        <v/>
      </c>
    </row>
    <row r="415" spans="1:34" ht="21" customHeight="1" x14ac:dyDescent="0.95">
      <c r="A415" s="3" t="str">
        <f t="shared" si="84"/>
        <v/>
      </c>
      <c r="B415" s="3" t="str">
        <f t="shared" si="85"/>
        <v/>
      </c>
      <c r="C415" s="8" t="str">
        <f t="shared" si="86"/>
        <v/>
      </c>
      <c r="D415" s="31" t="str">
        <f t="shared" si="87"/>
        <v/>
      </c>
      <c r="E415" s="32" t="str">
        <f>IF(408=$AD$1+3,"ขอแสดงความนับถือ",IF(408=$AD$1+6,"(                 )",IF(408=$AD$1+7,"เจ้าหน้าที่ขนส่ง",IF($AB415="G",SUM($AF$8:$AF$407),IF(OR($AB415="",$AB415="R"),"",IF($AB415="D",INDEX($AF$8:$AF$407,$AA415),SUMIF($T$8:$T$407,INDEX($T$8:$T$407,$AA415),$AF$8:$AF$407)))))))</f>
        <v/>
      </c>
      <c r="F415" s="32" t="str">
        <f t="shared" si="88"/>
        <v/>
      </c>
      <c r="G415" s="32" t="str">
        <f t="shared" si="89"/>
        <v/>
      </c>
      <c r="H415" s="32" t="str">
        <f t="shared" si="90"/>
        <v/>
      </c>
      <c r="AA415" t="str">
        <f>IFERROR(MATCH(408,$X$8:$X$407,1),"")</f>
        <v/>
      </c>
      <c r="AB415" t="str">
        <f>IF(408=$AD$1+1,"G",IF($AA415="","",IF(INDEX($Q$8:$Q$407,$AA415)="","",IF(408&gt;INDEX($X$8:$X$407,$AA415)+INDEX($V$8:$V$407,$AA415)+INDEX($W$8:$W$407,$AA415),"",IF(408=INDEX($X$8:$X$407,$AA415)+INDEX($V$8:$V$407,$AA415)+INDEX($W$8:$W$407,$AA415),"D",IF(AND(INDEX($W$8:$W$407,$AA415)=1,408=INDEX($X$8:$X$407,$AA415)+INDEX($V$8:$V$407,$AA415)),"S","R"))))))</f>
        <v/>
      </c>
      <c r="AC415" t="str">
        <f t="shared" si="95"/>
        <v/>
      </c>
    </row>
    <row r="416" spans="1:34" ht="21" customHeight="1" x14ac:dyDescent="0.95">
      <c r="A416" s="3" t="str">
        <f t="shared" si="84"/>
        <v/>
      </c>
      <c r="B416" s="3" t="str">
        <f t="shared" si="85"/>
        <v/>
      </c>
      <c r="C416" s="8" t="str">
        <f t="shared" si="86"/>
        <v/>
      </c>
      <c r="D416" s="31" t="str">
        <f t="shared" si="87"/>
        <v/>
      </c>
      <c r="E416" s="32" t="str">
        <f>IF(409=$AD$1+3,"ขอแสดงความนับถือ",IF(409=$AD$1+6,"(                 )",IF(409=$AD$1+7,"เจ้าหน้าที่ขนส่ง",IF($AB416="G",SUM($AF$8:$AF$407),IF(OR($AB416="",$AB416="R"),"",IF($AB416="D",INDEX($AF$8:$AF$407,$AA416),SUMIF($T$8:$T$407,INDEX($T$8:$T$407,$AA416),$AF$8:$AF$407)))))))</f>
        <v/>
      </c>
      <c r="F416" s="32" t="str">
        <f t="shared" si="88"/>
        <v/>
      </c>
      <c r="G416" s="32" t="str">
        <f t="shared" si="89"/>
        <v/>
      </c>
      <c r="H416" s="32" t="str">
        <f t="shared" si="90"/>
        <v/>
      </c>
      <c r="AA416" t="str">
        <f>IFERROR(MATCH(409,$X$8:$X$407,1),"")</f>
        <v/>
      </c>
      <c r="AB416" t="str">
        <f>IF(409=$AD$1+1,"G",IF($AA416="","",IF(INDEX($Q$8:$Q$407,$AA416)="","",IF(409&gt;INDEX($X$8:$X$407,$AA416)+INDEX($V$8:$V$407,$AA416)+INDEX($W$8:$W$407,$AA416),"",IF(409=INDEX($X$8:$X$407,$AA416)+INDEX($V$8:$V$407,$AA416)+INDEX($W$8:$W$407,$AA416),"D",IF(AND(INDEX($W$8:$W$407,$AA416)=1,409=INDEX($X$8:$X$407,$AA416)+INDEX($V$8:$V$407,$AA416)),"S","R"))))))</f>
        <v/>
      </c>
      <c r="AC416" t="str">
        <f t="shared" si="95"/>
        <v/>
      </c>
    </row>
    <row r="417" spans="1:29" ht="21" customHeight="1" x14ac:dyDescent="0.95">
      <c r="A417" s="3" t="str">
        <f t="shared" si="84"/>
        <v/>
      </c>
      <c r="B417" s="3" t="str">
        <f t="shared" si="85"/>
        <v/>
      </c>
      <c r="C417" s="8" t="str">
        <f t="shared" si="86"/>
        <v/>
      </c>
      <c r="D417" s="31" t="str">
        <f t="shared" si="87"/>
        <v/>
      </c>
      <c r="E417" s="32" t="str">
        <f>IF(410=$AD$1+3,"ขอแสดงความนับถือ",IF(410=$AD$1+6,"(                 )",IF(410=$AD$1+7,"เจ้าหน้าที่ขนส่ง",IF($AB417="G",SUM($AF$8:$AF$407),IF(OR($AB417="",$AB417="R"),"",IF($AB417="D",INDEX($AF$8:$AF$407,$AA417),SUMIF($T$8:$T$407,INDEX($T$8:$T$407,$AA417),$AF$8:$AF$407)))))))</f>
        <v/>
      </c>
      <c r="F417" s="32" t="str">
        <f t="shared" si="88"/>
        <v/>
      </c>
      <c r="G417" s="32" t="str">
        <f t="shared" si="89"/>
        <v/>
      </c>
      <c r="H417" s="32" t="str">
        <f t="shared" si="90"/>
        <v/>
      </c>
      <c r="AA417" t="str">
        <f>IFERROR(MATCH(410,$X$8:$X$407,1),"")</f>
        <v/>
      </c>
      <c r="AB417" t="str">
        <f>IF(410=$AD$1+1,"G",IF($AA417="","",IF(INDEX($Q$8:$Q$407,$AA417)="","",IF(410&gt;INDEX($X$8:$X$407,$AA417)+INDEX($V$8:$V$407,$AA417)+INDEX($W$8:$W$407,$AA417),"",IF(410=INDEX($X$8:$X$407,$AA417)+INDEX($V$8:$V$407,$AA417)+INDEX($W$8:$W$407,$AA417),"D",IF(AND(INDEX($W$8:$W$407,$AA417)=1,410=INDEX($X$8:$X$407,$AA417)+INDEX($V$8:$V$407,$AA417)),"S","R"))))))</f>
        <v/>
      </c>
      <c r="AC417" t="str">
        <f t="shared" si="95"/>
        <v/>
      </c>
    </row>
    <row r="418" spans="1:29" ht="21" customHeight="1" x14ac:dyDescent="0.95">
      <c r="A418" s="3" t="str">
        <f t="shared" si="84"/>
        <v/>
      </c>
      <c r="B418" s="3" t="str">
        <f t="shared" si="85"/>
        <v/>
      </c>
      <c r="C418" s="8" t="str">
        <f t="shared" si="86"/>
        <v/>
      </c>
      <c r="D418" s="31" t="str">
        <f t="shared" si="87"/>
        <v/>
      </c>
      <c r="E418" s="32" t="str">
        <f>IF(411=$AD$1+3,"ขอแสดงความนับถือ",IF(411=$AD$1+6,"(                 )",IF(411=$AD$1+7,"เจ้าหน้าที่ขนส่ง",IF($AB418="G",SUM($AF$8:$AF$407),IF(OR($AB418="",$AB418="R"),"",IF($AB418="D",INDEX($AF$8:$AF$407,$AA418),SUMIF($T$8:$T$407,INDEX($T$8:$T$407,$AA418),$AF$8:$AF$407)))))))</f>
        <v/>
      </c>
      <c r="F418" s="32" t="str">
        <f t="shared" si="88"/>
        <v/>
      </c>
      <c r="G418" s="32" t="str">
        <f t="shared" si="89"/>
        <v/>
      </c>
      <c r="H418" s="32" t="str">
        <f t="shared" si="90"/>
        <v/>
      </c>
      <c r="AA418" t="str">
        <f>IFERROR(MATCH(411,$X$8:$X$407,1),"")</f>
        <v/>
      </c>
      <c r="AB418" t="str">
        <f>IF(411=$AD$1+1,"G",IF($AA418="","",IF(INDEX($Q$8:$Q$407,$AA418)="","",IF(411&gt;INDEX($X$8:$X$407,$AA418)+INDEX($V$8:$V$407,$AA418)+INDEX($W$8:$W$407,$AA418),"",IF(411=INDEX($X$8:$X$407,$AA418)+INDEX($V$8:$V$407,$AA418)+INDEX($W$8:$W$407,$AA418),"D",IF(AND(INDEX($W$8:$W$407,$AA418)=1,411=INDEX($X$8:$X$407,$AA418)+INDEX($V$8:$V$407,$AA418)),"S","R"))))))</f>
        <v/>
      </c>
      <c r="AC418" t="str">
        <f t="shared" si="95"/>
        <v/>
      </c>
    </row>
    <row r="419" spans="1:29" ht="21" customHeight="1" x14ac:dyDescent="0.95">
      <c r="A419" s="3" t="str">
        <f t="shared" si="84"/>
        <v/>
      </c>
      <c r="B419" s="3" t="str">
        <f t="shared" si="85"/>
        <v/>
      </c>
      <c r="C419" s="8" t="str">
        <f t="shared" si="86"/>
        <v/>
      </c>
      <c r="D419" s="31" t="str">
        <f t="shared" si="87"/>
        <v/>
      </c>
      <c r="E419" s="32" t="str">
        <f>IF(412=$AD$1+3,"ขอแสดงความนับถือ",IF(412=$AD$1+6,"(                 )",IF(412=$AD$1+7,"เจ้าหน้าที่ขนส่ง",IF($AB419="G",SUM($AF$8:$AF$407),IF(OR($AB419="",$AB419="R"),"",IF($AB419="D",INDEX($AF$8:$AF$407,$AA419),SUMIF($T$8:$T$407,INDEX($T$8:$T$407,$AA419),$AF$8:$AF$407)))))))</f>
        <v/>
      </c>
      <c r="F419" s="32" t="str">
        <f t="shared" si="88"/>
        <v/>
      </c>
      <c r="G419" s="32" t="str">
        <f t="shared" si="89"/>
        <v/>
      </c>
      <c r="H419" s="32" t="str">
        <f t="shared" si="90"/>
        <v/>
      </c>
      <c r="AA419" t="str">
        <f>IFERROR(MATCH(412,$X$8:$X$407,1),"")</f>
        <v/>
      </c>
      <c r="AB419" t="str">
        <f>IF(412=$AD$1+1,"G",IF($AA419="","",IF(INDEX($Q$8:$Q$407,$AA419)="","",IF(412&gt;INDEX($X$8:$X$407,$AA419)+INDEX($V$8:$V$407,$AA419)+INDEX($W$8:$W$407,$AA419),"",IF(412=INDEX($X$8:$X$407,$AA419)+INDEX($V$8:$V$407,$AA419)+INDEX($W$8:$W$407,$AA419),"D",IF(AND(INDEX($W$8:$W$407,$AA419)=1,412=INDEX($X$8:$X$407,$AA419)+INDEX($V$8:$V$407,$AA419)),"S","R"))))))</f>
        <v/>
      </c>
      <c r="AC419" t="str">
        <f t="shared" si="95"/>
        <v/>
      </c>
    </row>
    <row r="420" spans="1:29" ht="21" customHeight="1" x14ac:dyDescent="0.95">
      <c r="A420" s="3" t="str">
        <f t="shared" si="84"/>
        <v/>
      </c>
      <c r="B420" s="3" t="str">
        <f t="shared" si="85"/>
        <v/>
      </c>
      <c r="C420" s="8" t="str">
        <f t="shared" si="86"/>
        <v/>
      </c>
      <c r="D420" s="31" t="str">
        <f t="shared" si="87"/>
        <v/>
      </c>
      <c r="E420" s="32" t="str">
        <f>IF(413=$AD$1+3,"ขอแสดงความนับถือ",IF(413=$AD$1+6,"(                 )",IF(413=$AD$1+7,"เจ้าหน้าที่ขนส่ง",IF($AB420="G",SUM($AF$8:$AF$407),IF(OR($AB420="",$AB420="R"),"",IF($AB420="D",INDEX($AF$8:$AF$407,$AA420),SUMIF($T$8:$T$407,INDEX($T$8:$T$407,$AA420),$AF$8:$AF$407)))))))</f>
        <v/>
      </c>
      <c r="F420" s="32" t="str">
        <f t="shared" si="88"/>
        <v/>
      </c>
      <c r="G420" s="32" t="str">
        <f t="shared" si="89"/>
        <v/>
      </c>
      <c r="H420" s="32" t="str">
        <f t="shared" si="90"/>
        <v/>
      </c>
      <c r="AA420" t="str">
        <f>IFERROR(MATCH(413,$X$8:$X$407,1),"")</f>
        <v/>
      </c>
      <c r="AB420" t="str">
        <f>IF(413=$AD$1+1,"G",IF($AA420="","",IF(INDEX($Q$8:$Q$407,$AA420)="","",IF(413&gt;INDEX($X$8:$X$407,$AA420)+INDEX($V$8:$V$407,$AA420)+INDEX($W$8:$W$407,$AA420),"",IF(413=INDEX($X$8:$X$407,$AA420)+INDEX($V$8:$V$407,$AA420)+INDEX($W$8:$W$407,$AA420),"D",IF(AND(INDEX($W$8:$W$407,$AA420)=1,413=INDEX($X$8:$X$407,$AA420)+INDEX($V$8:$V$407,$AA420)),"S","R"))))))</f>
        <v/>
      </c>
      <c r="AC420" t="str">
        <f t="shared" si="95"/>
        <v/>
      </c>
    </row>
    <row r="421" spans="1:29" ht="21" customHeight="1" x14ac:dyDescent="0.95">
      <c r="A421" s="3" t="str">
        <f t="shared" si="84"/>
        <v/>
      </c>
      <c r="B421" s="3" t="str">
        <f t="shared" si="85"/>
        <v/>
      </c>
      <c r="C421" s="8" t="str">
        <f t="shared" si="86"/>
        <v/>
      </c>
      <c r="D421" s="31" t="str">
        <f t="shared" si="87"/>
        <v/>
      </c>
      <c r="E421" s="32" t="str">
        <f>IF(414=$AD$1+3,"ขอแสดงความนับถือ",IF(414=$AD$1+6,"(                 )",IF(414=$AD$1+7,"เจ้าหน้าที่ขนส่ง",IF($AB421="G",SUM($AF$8:$AF$407),IF(OR($AB421="",$AB421="R"),"",IF($AB421="D",INDEX($AF$8:$AF$407,$AA421),SUMIF($T$8:$T$407,INDEX($T$8:$T$407,$AA421),$AF$8:$AF$407)))))))</f>
        <v/>
      </c>
      <c r="F421" s="32" t="str">
        <f t="shared" si="88"/>
        <v/>
      </c>
      <c r="G421" s="32" t="str">
        <f t="shared" si="89"/>
        <v/>
      </c>
      <c r="H421" s="32" t="str">
        <f t="shared" si="90"/>
        <v/>
      </c>
      <c r="AA421" t="str">
        <f>IFERROR(MATCH(414,$X$8:$X$407,1),"")</f>
        <v/>
      </c>
      <c r="AB421" t="str">
        <f>IF(414=$AD$1+1,"G",IF($AA421="","",IF(INDEX($Q$8:$Q$407,$AA421)="","",IF(414&gt;INDEX($X$8:$X$407,$AA421)+INDEX($V$8:$V$407,$AA421)+INDEX($W$8:$W$407,$AA421),"",IF(414=INDEX($X$8:$X$407,$AA421)+INDEX($V$8:$V$407,$AA421)+INDEX($W$8:$W$407,$AA421),"D",IF(AND(INDEX($W$8:$W$407,$AA421)=1,414=INDEX($X$8:$X$407,$AA421)+INDEX($V$8:$V$407,$AA421)),"S","R"))))))</f>
        <v/>
      </c>
      <c r="AC421" t="str">
        <f t="shared" si="95"/>
        <v/>
      </c>
    </row>
    <row r="422" spans="1:29" ht="21" customHeight="1" x14ac:dyDescent="0.95">
      <c r="A422" s="3" t="str">
        <f t="shared" si="84"/>
        <v/>
      </c>
      <c r="B422" s="3" t="str">
        <f t="shared" si="85"/>
        <v/>
      </c>
      <c r="C422" s="8" t="str">
        <f t="shared" si="86"/>
        <v/>
      </c>
      <c r="D422" s="31" t="str">
        <f t="shared" si="87"/>
        <v/>
      </c>
      <c r="E422" s="32" t="str">
        <f>IF(415=$AD$1+3,"ขอแสดงความนับถือ",IF(415=$AD$1+6,"(                 )",IF(415=$AD$1+7,"เจ้าหน้าที่ขนส่ง",IF($AB422="G",SUM($AF$8:$AF$407),IF(OR($AB422="",$AB422="R"),"",IF($AB422="D",INDEX($AF$8:$AF$407,$AA422),SUMIF($T$8:$T$407,INDEX($T$8:$T$407,$AA422),$AF$8:$AF$407)))))))</f>
        <v/>
      </c>
      <c r="F422" s="32" t="str">
        <f t="shared" si="88"/>
        <v/>
      </c>
      <c r="G422" s="32" t="str">
        <f t="shared" si="89"/>
        <v/>
      </c>
      <c r="H422" s="32" t="str">
        <f t="shared" si="90"/>
        <v/>
      </c>
      <c r="AA422" t="str">
        <f>IFERROR(MATCH(415,$X$8:$X$407,1),"")</f>
        <v/>
      </c>
      <c r="AB422" t="str">
        <f>IF(415=$AD$1+1,"G",IF($AA422="","",IF(INDEX($Q$8:$Q$407,$AA422)="","",IF(415&gt;INDEX($X$8:$X$407,$AA422)+INDEX($V$8:$V$407,$AA422)+INDEX($W$8:$W$407,$AA422),"",IF(415=INDEX($X$8:$X$407,$AA422)+INDEX($V$8:$V$407,$AA422)+INDEX($W$8:$W$407,$AA422),"D",IF(AND(INDEX($W$8:$W$407,$AA422)=1,415=INDEX($X$8:$X$407,$AA422)+INDEX($V$8:$V$407,$AA422)),"S","R"))))))</f>
        <v/>
      </c>
      <c r="AC422" t="str">
        <f t="shared" si="95"/>
        <v/>
      </c>
    </row>
    <row r="423" spans="1:29" ht="21" customHeight="1" x14ac:dyDescent="0.95">
      <c r="A423" s="3" t="str">
        <f t="shared" si="84"/>
        <v/>
      </c>
      <c r="B423" s="3" t="str">
        <f t="shared" si="85"/>
        <v/>
      </c>
      <c r="C423" s="8" t="str">
        <f t="shared" si="86"/>
        <v/>
      </c>
      <c r="D423" s="31" t="str">
        <f t="shared" si="87"/>
        <v/>
      </c>
      <c r="E423" s="32" t="str">
        <f>IF(416=$AD$1+3,"ขอแสดงความนับถือ",IF(416=$AD$1+6,"(                 )",IF(416=$AD$1+7,"เจ้าหน้าที่ขนส่ง",IF($AB423="G",SUM($AF$8:$AF$407),IF(OR($AB423="",$AB423="R"),"",IF($AB423="D",INDEX($AF$8:$AF$407,$AA423),SUMIF($T$8:$T$407,INDEX($T$8:$T$407,$AA423),$AF$8:$AF$407)))))))</f>
        <v/>
      </c>
      <c r="F423" s="32" t="str">
        <f t="shared" si="88"/>
        <v/>
      </c>
      <c r="G423" s="32" t="str">
        <f t="shared" si="89"/>
        <v/>
      </c>
      <c r="H423" s="32" t="str">
        <f t="shared" si="90"/>
        <v/>
      </c>
      <c r="AA423" t="str">
        <f>IFERROR(MATCH(416,$X$8:$X$407,1),"")</f>
        <v/>
      </c>
      <c r="AB423" t="str">
        <f>IF(416=$AD$1+1,"G",IF($AA423="","",IF(INDEX($Q$8:$Q$407,$AA423)="","",IF(416&gt;INDEX($X$8:$X$407,$AA423)+INDEX($V$8:$V$407,$AA423)+INDEX($W$8:$W$407,$AA423),"",IF(416=INDEX($X$8:$X$407,$AA423)+INDEX($V$8:$V$407,$AA423)+INDEX($W$8:$W$407,$AA423),"D",IF(AND(INDEX($W$8:$W$407,$AA423)=1,416=INDEX($X$8:$X$407,$AA423)+INDEX($V$8:$V$407,$AA423)),"S","R"))))))</f>
        <v/>
      </c>
      <c r="AC423" t="str">
        <f t="shared" si="95"/>
        <v/>
      </c>
    </row>
    <row r="424" spans="1:29" ht="21" customHeight="1" x14ac:dyDescent="0.95">
      <c r="A424" s="3" t="str">
        <f t="shared" si="84"/>
        <v/>
      </c>
      <c r="B424" s="3" t="str">
        <f t="shared" si="85"/>
        <v/>
      </c>
      <c r="C424" s="8" t="str">
        <f t="shared" si="86"/>
        <v/>
      </c>
      <c r="D424" s="31" t="str">
        <f t="shared" si="87"/>
        <v/>
      </c>
      <c r="E424" s="32" t="str">
        <f>IF(417=$AD$1+3,"ขอแสดงความนับถือ",IF(417=$AD$1+6,"(                 )",IF(417=$AD$1+7,"เจ้าหน้าที่ขนส่ง",IF($AB424="G",SUM($AF$8:$AF$407),IF(OR($AB424="",$AB424="R"),"",IF($AB424="D",INDEX($AF$8:$AF$407,$AA424),SUMIF($T$8:$T$407,INDEX($T$8:$T$407,$AA424),$AF$8:$AF$407)))))))</f>
        <v/>
      </c>
      <c r="F424" s="32" t="str">
        <f t="shared" si="88"/>
        <v/>
      </c>
      <c r="G424" s="32" t="str">
        <f t="shared" si="89"/>
        <v/>
      </c>
      <c r="H424" s="32" t="str">
        <f t="shared" si="90"/>
        <v/>
      </c>
      <c r="AA424" t="str">
        <f>IFERROR(MATCH(417,$X$8:$X$407,1),"")</f>
        <v/>
      </c>
      <c r="AB424" t="str">
        <f>IF(417=$AD$1+1,"G",IF($AA424="","",IF(INDEX($Q$8:$Q$407,$AA424)="","",IF(417&gt;INDEX($X$8:$X$407,$AA424)+INDEX($V$8:$V$407,$AA424)+INDEX($W$8:$W$407,$AA424),"",IF(417=INDEX($X$8:$X$407,$AA424)+INDEX($V$8:$V$407,$AA424)+INDEX($W$8:$W$407,$AA424),"D",IF(AND(INDEX($W$8:$W$407,$AA424)=1,417=INDEX($X$8:$X$407,$AA424)+INDEX($V$8:$V$407,$AA424)),"S","R"))))))</f>
        <v/>
      </c>
      <c r="AC424" t="str">
        <f t="shared" si="95"/>
        <v/>
      </c>
    </row>
    <row r="425" spans="1:29" ht="21" customHeight="1" x14ac:dyDescent="0.95">
      <c r="A425" s="3" t="str">
        <f t="shared" si="84"/>
        <v/>
      </c>
      <c r="B425" s="3" t="str">
        <f t="shared" si="85"/>
        <v/>
      </c>
      <c r="C425" s="8" t="str">
        <f t="shared" si="86"/>
        <v/>
      </c>
      <c r="D425" s="31" t="str">
        <f t="shared" si="87"/>
        <v/>
      </c>
      <c r="E425" s="32" t="str">
        <f>IF(418=$AD$1+3,"ขอแสดงความนับถือ",IF(418=$AD$1+6,"(                 )",IF(418=$AD$1+7,"เจ้าหน้าที่ขนส่ง",IF($AB425="G",SUM($AF$8:$AF$407),IF(OR($AB425="",$AB425="R"),"",IF($AB425="D",INDEX($AF$8:$AF$407,$AA425),SUMIF($T$8:$T$407,INDEX($T$8:$T$407,$AA425),$AF$8:$AF$407)))))))</f>
        <v/>
      </c>
      <c r="F425" s="32" t="str">
        <f t="shared" si="88"/>
        <v/>
      </c>
      <c r="G425" s="32" t="str">
        <f t="shared" si="89"/>
        <v/>
      </c>
      <c r="H425" s="32" t="str">
        <f t="shared" si="90"/>
        <v/>
      </c>
      <c r="AA425" t="str">
        <f>IFERROR(MATCH(418,$X$8:$X$407,1),"")</f>
        <v/>
      </c>
      <c r="AB425" t="str">
        <f>IF(418=$AD$1+1,"G",IF($AA425="","",IF(INDEX($Q$8:$Q$407,$AA425)="","",IF(418&gt;INDEX($X$8:$X$407,$AA425)+INDEX($V$8:$V$407,$AA425)+INDEX($W$8:$W$407,$AA425),"",IF(418=INDEX($X$8:$X$407,$AA425)+INDEX($V$8:$V$407,$AA425)+INDEX($W$8:$W$407,$AA425),"D",IF(AND(INDEX($W$8:$W$407,$AA425)=1,418=INDEX($X$8:$X$407,$AA425)+INDEX($V$8:$V$407,$AA425)),"S","R"))))))</f>
        <v/>
      </c>
      <c r="AC425" t="str">
        <f t="shared" si="95"/>
        <v/>
      </c>
    </row>
    <row r="426" spans="1:29" ht="21" customHeight="1" x14ac:dyDescent="0.95">
      <c r="A426" s="3" t="str">
        <f t="shared" si="84"/>
        <v/>
      </c>
      <c r="B426" s="3" t="str">
        <f t="shared" si="85"/>
        <v/>
      </c>
      <c r="C426" s="8" t="str">
        <f t="shared" si="86"/>
        <v/>
      </c>
      <c r="D426" s="31" t="str">
        <f t="shared" si="87"/>
        <v/>
      </c>
      <c r="E426" s="32" t="str">
        <f>IF(419=$AD$1+3,"ขอแสดงความนับถือ",IF(419=$AD$1+6,"(                 )",IF(419=$AD$1+7,"เจ้าหน้าที่ขนส่ง",IF($AB426="G",SUM($AF$8:$AF$407),IF(OR($AB426="",$AB426="R"),"",IF($AB426="D",INDEX($AF$8:$AF$407,$AA426),SUMIF($T$8:$T$407,INDEX($T$8:$T$407,$AA426),$AF$8:$AF$407)))))))</f>
        <v/>
      </c>
      <c r="F426" s="32" t="str">
        <f t="shared" si="88"/>
        <v/>
      </c>
      <c r="G426" s="32" t="str">
        <f t="shared" si="89"/>
        <v/>
      </c>
      <c r="H426" s="32" t="str">
        <f t="shared" si="90"/>
        <v/>
      </c>
      <c r="AA426" t="str">
        <f>IFERROR(MATCH(419,$X$8:$X$407,1),"")</f>
        <v/>
      </c>
      <c r="AB426" t="str">
        <f>IF(419=$AD$1+1,"G",IF($AA426="","",IF(INDEX($Q$8:$Q$407,$AA426)="","",IF(419&gt;INDEX($X$8:$X$407,$AA426)+INDEX($V$8:$V$407,$AA426)+INDEX($W$8:$W$407,$AA426),"",IF(419=INDEX($X$8:$X$407,$AA426)+INDEX($V$8:$V$407,$AA426)+INDEX($W$8:$W$407,$AA426),"D",IF(AND(INDEX($W$8:$W$407,$AA426)=1,419=INDEX($X$8:$X$407,$AA426)+INDEX($V$8:$V$407,$AA426)),"S","R"))))))</f>
        <v/>
      </c>
      <c r="AC426" t="str">
        <f t="shared" si="95"/>
        <v/>
      </c>
    </row>
    <row r="427" spans="1:29" ht="21" customHeight="1" x14ac:dyDescent="0.95">
      <c r="A427" s="3" t="str">
        <f t="shared" si="84"/>
        <v/>
      </c>
      <c r="B427" s="3" t="str">
        <f t="shared" si="85"/>
        <v/>
      </c>
      <c r="C427" s="8" t="str">
        <f t="shared" si="86"/>
        <v/>
      </c>
      <c r="D427" s="31" t="str">
        <f t="shared" si="87"/>
        <v/>
      </c>
      <c r="E427" s="32" t="str">
        <f>IF(420=$AD$1+3,"ขอแสดงความนับถือ",IF(420=$AD$1+6,"(                 )",IF(420=$AD$1+7,"เจ้าหน้าที่ขนส่ง",IF($AB427="G",SUM($AF$8:$AF$407),IF(OR($AB427="",$AB427="R"),"",IF($AB427="D",INDEX($AF$8:$AF$407,$AA427),SUMIF($T$8:$T$407,INDEX($T$8:$T$407,$AA427),$AF$8:$AF$407)))))))</f>
        <v/>
      </c>
      <c r="F427" s="32" t="str">
        <f t="shared" si="88"/>
        <v/>
      </c>
      <c r="G427" s="32" t="str">
        <f t="shared" si="89"/>
        <v/>
      </c>
      <c r="H427" s="32" t="str">
        <f t="shared" si="90"/>
        <v/>
      </c>
      <c r="AA427" t="str">
        <f>IFERROR(MATCH(420,$X$8:$X$407,1),"")</f>
        <v/>
      </c>
      <c r="AB427" t="str">
        <f>IF(420=$AD$1+1,"G",IF($AA427="","",IF(INDEX($Q$8:$Q$407,$AA427)="","",IF(420&gt;INDEX($X$8:$X$407,$AA427)+INDEX($V$8:$V$407,$AA427)+INDEX($W$8:$W$407,$AA427),"",IF(420=INDEX($X$8:$X$407,$AA427)+INDEX($V$8:$V$407,$AA427)+INDEX($W$8:$W$407,$AA427),"D",IF(AND(INDEX($W$8:$W$407,$AA427)=1,420=INDEX($X$8:$X$407,$AA427)+INDEX($V$8:$V$407,$AA427)),"S","R"))))))</f>
        <v/>
      </c>
      <c r="AC427" t="str">
        <f t="shared" si="95"/>
        <v/>
      </c>
    </row>
    <row r="428" spans="1:29" ht="21" customHeight="1" x14ac:dyDescent="0.95">
      <c r="A428" s="3" t="str">
        <f t="shared" si="84"/>
        <v/>
      </c>
      <c r="B428" s="3" t="str">
        <f t="shared" si="85"/>
        <v/>
      </c>
      <c r="C428" s="8" t="str">
        <f t="shared" si="86"/>
        <v/>
      </c>
      <c r="D428" s="31" t="str">
        <f t="shared" si="87"/>
        <v/>
      </c>
      <c r="E428" s="32" t="str">
        <f>IF(421=$AD$1+3,"ขอแสดงความนับถือ",IF(421=$AD$1+6,"(                 )",IF(421=$AD$1+7,"เจ้าหน้าที่ขนส่ง",IF($AB428="G",SUM($AF$8:$AF$407),IF(OR($AB428="",$AB428="R"),"",IF($AB428="D",INDEX($AF$8:$AF$407,$AA428),SUMIF($T$8:$T$407,INDEX($T$8:$T$407,$AA428),$AF$8:$AF$407)))))))</f>
        <v/>
      </c>
      <c r="F428" s="32" t="str">
        <f t="shared" si="88"/>
        <v/>
      </c>
      <c r="G428" s="32" t="str">
        <f t="shared" si="89"/>
        <v/>
      </c>
      <c r="H428" s="32" t="str">
        <f t="shared" si="90"/>
        <v/>
      </c>
      <c r="AA428" t="str">
        <f>IFERROR(MATCH(421,$X$8:$X$407,1),"")</f>
        <v/>
      </c>
      <c r="AB428" t="str">
        <f>IF(421=$AD$1+1,"G",IF($AA428="","",IF(INDEX($Q$8:$Q$407,$AA428)="","",IF(421&gt;INDEX($X$8:$X$407,$AA428)+INDEX($V$8:$V$407,$AA428)+INDEX($W$8:$W$407,$AA428),"",IF(421=INDEX($X$8:$X$407,$AA428)+INDEX($V$8:$V$407,$AA428)+INDEX($W$8:$W$407,$AA428),"D",IF(AND(INDEX($W$8:$W$407,$AA428)=1,421=INDEX($X$8:$X$407,$AA428)+INDEX($V$8:$V$407,$AA428)),"S","R"))))))</f>
        <v/>
      </c>
      <c r="AC428" t="str">
        <f t="shared" si="95"/>
        <v/>
      </c>
    </row>
    <row r="429" spans="1:29" ht="21" customHeight="1" x14ac:dyDescent="0.95">
      <c r="A429" s="3" t="str">
        <f t="shared" si="84"/>
        <v/>
      </c>
      <c r="B429" s="3" t="str">
        <f t="shared" si="85"/>
        <v/>
      </c>
      <c r="C429" s="8" t="str">
        <f t="shared" si="86"/>
        <v/>
      </c>
      <c r="D429" s="31" t="str">
        <f t="shared" si="87"/>
        <v/>
      </c>
      <c r="E429" s="32" t="str">
        <f>IF(422=$AD$1+3,"ขอแสดงความนับถือ",IF(422=$AD$1+6,"(                 )",IF(422=$AD$1+7,"เจ้าหน้าที่ขนส่ง",IF($AB429="G",SUM($AF$8:$AF$407),IF(OR($AB429="",$AB429="R"),"",IF($AB429="D",INDEX($AF$8:$AF$407,$AA429),SUMIF($T$8:$T$407,INDEX($T$8:$T$407,$AA429),$AF$8:$AF$407)))))))</f>
        <v/>
      </c>
      <c r="F429" s="32" t="str">
        <f t="shared" si="88"/>
        <v/>
      </c>
      <c r="G429" s="32" t="str">
        <f t="shared" si="89"/>
        <v/>
      </c>
      <c r="H429" s="32" t="str">
        <f t="shared" si="90"/>
        <v/>
      </c>
      <c r="AA429" t="str">
        <f>IFERROR(MATCH(422,$X$8:$X$407,1),"")</f>
        <v/>
      </c>
      <c r="AB429" t="str">
        <f>IF(422=$AD$1+1,"G",IF($AA429="","",IF(INDEX($Q$8:$Q$407,$AA429)="","",IF(422&gt;INDEX($X$8:$X$407,$AA429)+INDEX($V$8:$V$407,$AA429)+INDEX($W$8:$W$407,$AA429),"",IF(422=INDEX($X$8:$X$407,$AA429)+INDEX($V$8:$V$407,$AA429)+INDEX($W$8:$W$407,$AA429),"D",IF(AND(INDEX($W$8:$W$407,$AA429)=1,422=INDEX($X$8:$X$407,$AA429)+INDEX($V$8:$V$407,$AA429)),"S","R"))))))</f>
        <v/>
      </c>
      <c r="AC429" t="str">
        <f t="shared" si="95"/>
        <v/>
      </c>
    </row>
    <row r="430" spans="1:29" ht="21" customHeight="1" x14ac:dyDescent="0.95">
      <c r="A430" s="3" t="str">
        <f t="shared" si="84"/>
        <v/>
      </c>
      <c r="B430" s="3" t="str">
        <f t="shared" si="85"/>
        <v/>
      </c>
      <c r="C430" s="8" t="str">
        <f t="shared" si="86"/>
        <v/>
      </c>
      <c r="D430" s="31" t="str">
        <f t="shared" si="87"/>
        <v/>
      </c>
      <c r="E430" s="32" t="str">
        <f>IF(423=$AD$1+3,"ขอแสดงความนับถือ",IF(423=$AD$1+6,"(                 )",IF(423=$AD$1+7,"เจ้าหน้าที่ขนส่ง",IF($AB430="G",SUM($AF$8:$AF$407),IF(OR($AB430="",$AB430="R"),"",IF($AB430="D",INDEX($AF$8:$AF$407,$AA430),SUMIF($T$8:$T$407,INDEX($T$8:$T$407,$AA430),$AF$8:$AF$407)))))))</f>
        <v/>
      </c>
      <c r="F430" s="32" t="str">
        <f t="shared" si="88"/>
        <v/>
      </c>
      <c r="G430" s="32" t="str">
        <f t="shared" si="89"/>
        <v/>
      </c>
      <c r="H430" s="32" t="str">
        <f t="shared" si="90"/>
        <v/>
      </c>
      <c r="AA430" t="str">
        <f>IFERROR(MATCH(423,$X$8:$X$407,1),"")</f>
        <v/>
      </c>
      <c r="AB430" t="str">
        <f>IF(423=$AD$1+1,"G",IF($AA430="","",IF(INDEX($Q$8:$Q$407,$AA430)="","",IF(423&gt;INDEX($X$8:$X$407,$AA430)+INDEX($V$8:$V$407,$AA430)+INDEX($W$8:$W$407,$AA430),"",IF(423=INDEX($X$8:$X$407,$AA430)+INDEX($V$8:$V$407,$AA430)+INDEX($W$8:$W$407,$AA430),"D",IF(AND(INDEX($W$8:$W$407,$AA430)=1,423=INDEX($X$8:$X$407,$AA430)+INDEX($V$8:$V$407,$AA430)),"S","R"))))))</f>
        <v/>
      </c>
      <c r="AC430" t="str">
        <f t="shared" si="95"/>
        <v/>
      </c>
    </row>
    <row r="431" spans="1:29" ht="21" customHeight="1" x14ac:dyDescent="0.95">
      <c r="A431" s="3" t="str">
        <f t="shared" si="84"/>
        <v/>
      </c>
      <c r="B431" s="3" t="str">
        <f t="shared" si="85"/>
        <v/>
      </c>
      <c r="C431" s="8" t="str">
        <f t="shared" si="86"/>
        <v/>
      </c>
      <c r="D431" s="31" t="str">
        <f t="shared" si="87"/>
        <v/>
      </c>
      <c r="E431" s="32" t="str">
        <f>IF(424=$AD$1+3,"ขอแสดงความนับถือ",IF(424=$AD$1+6,"(                 )",IF(424=$AD$1+7,"เจ้าหน้าที่ขนส่ง",IF($AB431="G",SUM($AF$8:$AF$407),IF(OR($AB431="",$AB431="R"),"",IF($AB431="D",INDEX($AF$8:$AF$407,$AA431),SUMIF($T$8:$T$407,INDEX($T$8:$T$407,$AA431),$AF$8:$AF$407)))))))</f>
        <v/>
      </c>
      <c r="F431" s="32" t="str">
        <f t="shared" si="88"/>
        <v/>
      </c>
      <c r="G431" s="32" t="str">
        <f t="shared" si="89"/>
        <v/>
      </c>
      <c r="H431" s="32" t="str">
        <f t="shared" si="90"/>
        <v/>
      </c>
      <c r="AA431" t="str">
        <f>IFERROR(MATCH(424,$X$8:$X$407,1),"")</f>
        <v/>
      </c>
      <c r="AB431" t="str">
        <f>IF(424=$AD$1+1,"G",IF($AA431="","",IF(INDEX($Q$8:$Q$407,$AA431)="","",IF(424&gt;INDEX($X$8:$X$407,$AA431)+INDEX($V$8:$V$407,$AA431)+INDEX($W$8:$W$407,$AA431),"",IF(424=INDEX($X$8:$X$407,$AA431)+INDEX($V$8:$V$407,$AA431)+INDEX($W$8:$W$407,$AA431),"D",IF(AND(INDEX($W$8:$W$407,$AA431)=1,424=INDEX($X$8:$X$407,$AA431)+INDEX($V$8:$V$407,$AA431)),"S","R"))))))</f>
        <v/>
      </c>
      <c r="AC431" t="str">
        <f t="shared" si="95"/>
        <v/>
      </c>
    </row>
    <row r="432" spans="1:29" ht="21" customHeight="1" x14ac:dyDescent="0.95">
      <c r="A432" s="3" t="str">
        <f t="shared" si="84"/>
        <v/>
      </c>
      <c r="B432" s="3" t="str">
        <f t="shared" si="85"/>
        <v/>
      </c>
      <c r="C432" s="8" t="str">
        <f t="shared" si="86"/>
        <v/>
      </c>
      <c r="D432" s="31" t="str">
        <f t="shared" si="87"/>
        <v/>
      </c>
      <c r="E432" s="32" t="str">
        <f>IF(425=$AD$1+3,"ขอแสดงความนับถือ",IF(425=$AD$1+6,"(                 )",IF(425=$AD$1+7,"เจ้าหน้าที่ขนส่ง",IF($AB432="G",SUM($AF$8:$AF$407),IF(OR($AB432="",$AB432="R"),"",IF($AB432="D",INDEX($AF$8:$AF$407,$AA432),SUMIF($T$8:$T$407,INDEX($T$8:$T$407,$AA432),$AF$8:$AF$407)))))))</f>
        <v/>
      </c>
      <c r="F432" s="32" t="str">
        <f t="shared" si="88"/>
        <v/>
      </c>
      <c r="G432" s="32" t="str">
        <f t="shared" si="89"/>
        <v/>
      </c>
      <c r="H432" s="32" t="str">
        <f t="shared" si="90"/>
        <v/>
      </c>
      <c r="AA432" t="str">
        <f>IFERROR(MATCH(425,$X$8:$X$407,1),"")</f>
        <v/>
      </c>
      <c r="AB432" t="str">
        <f>IF(425=$AD$1+1,"G",IF($AA432="","",IF(INDEX($Q$8:$Q$407,$AA432)="","",IF(425&gt;INDEX($X$8:$X$407,$AA432)+INDEX($V$8:$V$407,$AA432)+INDEX($W$8:$W$407,$AA432),"",IF(425=INDEX($X$8:$X$407,$AA432)+INDEX($V$8:$V$407,$AA432)+INDEX($W$8:$W$407,$AA432),"D",IF(AND(INDEX($W$8:$W$407,$AA432)=1,425=INDEX($X$8:$X$407,$AA432)+INDEX($V$8:$V$407,$AA432)),"S","R"))))))</f>
        <v/>
      </c>
      <c r="AC432" t="str">
        <f t="shared" si="95"/>
        <v/>
      </c>
    </row>
    <row r="433" spans="1:29" ht="21" customHeight="1" x14ac:dyDescent="0.95">
      <c r="A433" s="3" t="str">
        <f t="shared" si="84"/>
        <v/>
      </c>
      <c r="B433" s="3" t="str">
        <f t="shared" si="85"/>
        <v/>
      </c>
      <c r="C433" s="8" t="str">
        <f t="shared" si="86"/>
        <v/>
      </c>
      <c r="D433" s="31" t="str">
        <f t="shared" si="87"/>
        <v/>
      </c>
      <c r="E433" s="32" t="str">
        <f>IF(426=$AD$1+3,"ขอแสดงความนับถือ",IF(426=$AD$1+6,"(                 )",IF(426=$AD$1+7,"เจ้าหน้าที่ขนส่ง",IF($AB433="G",SUM($AF$8:$AF$407),IF(OR($AB433="",$AB433="R"),"",IF($AB433="D",INDEX($AF$8:$AF$407,$AA433),SUMIF($T$8:$T$407,INDEX($T$8:$T$407,$AA433),$AF$8:$AF$407)))))))</f>
        <v/>
      </c>
      <c r="F433" s="32" t="str">
        <f t="shared" si="88"/>
        <v/>
      </c>
      <c r="G433" s="32" t="str">
        <f t="shared" si="89"/>
        <v/>
      </c>
      <c r="H433" s="32" t="str">
        <f t="shared" si="90"/>
        <v/>
      </c>
      <c r="AA433" t="str">
        <f>IFERROR(MATCH(426,$X$8:$X$407,1),"")</f>
        <v/>
      </c>
      <c r="AB433" t="str">
        <f>IF(426=$AD$1+1,"G",IF($AA433="","",IF(INDEX($Q$8:$Q$407,$AA433)="","",IF(426&gt;INDEX($X$8:$X$407,$AA433)+INDEX($V$8:$V$407,$AA433)+INDEX($W$8:$W$407,$AA433),"",IF(426=INDEX($X$8:$X$407,$AA433)+INDEX($V$8:$V$407,$AA433)+INDEX($W$8:$W$407,$AA433),"D",IF(AND(INDEX($W$8:$W$407,$AA433)=1,426=INDEX($X$8:$X$407,$AA433)+INDEX($V$8:$V$407,$AA433)),"S","R"))))))</f>
        <v/>
      </c>
      <c r="AC433" t="str">
        <f t="shared" si="95"/>
        <v/>
      </c>
    </row>
    <row r="434" spans="1:29" ht="21" customHeight="1" x14ac:dyDescent="0.95">
      <c r="A434" s="3" t="str">
        <f t="shared" si="84"/>
        <v/>
      </c>
      <c r="B434" s="3" t="str">
        <f t="shared" si="85"/>
        <v/>
      </c>
      <c r="C434" s="8" t="str">
        <f t="shared" si="86"/>
        <v/>
      </c>
      <c r="D434" s="31" t="str">
        <f t="shared" si="87"/>
        <v/>
      </c>
      <c r="E434" s="32" t="str">
        <f>IF(427=$AD$1+3,"ขอแสดงความนับถือ",IF(427=$AD$1+6,"(                 )",IF(427=$AD$1+7,"เจ้าหน้าที่ขนส่ง",IF($AB434="G",SUM($AF$8:$AF$407),IF(OR($AB434="",$AB434="R"),"",IF($AB434="D",INDEX($AF$8:$AF$407,$AA434),SUMIF($T$8:$T$407,INDEX($T$8:$T$407,$AA434),$AF$8:$AF$407)))))))</f>
        <v/>
      </c>
      <c r="F434" s="32" t="str">
        <f t="shared" si="88"/>
        <v/>
      </c>
      <c r="G434" s="32" t="str">
        <f t="shared" si="89"/>
        <v/>
      </c>
      <c r="H434" s="32" t="str">
        <f t="shared" si="90"/>
        <v/>
      </c>
      <c r="AA434" t="str">
        <f>IFERROR(MATCH(427,$X$8:$X$407,1),"")</f>
        <v/>
      </c>
      <c r="AB434" t="str">
        <f>IF(427=$AD$1+1,"G",IF($AA434="","",IF(INDEX($Q$8:$Q$407,$AA434)="","",IF(427&gt;INDEX($X$8:$X$407,$AA434)+INDEX($V$8:$V$407,$AA434)+INDEX($W$8:$W$407,$AA434),"",IF(427=INDEX($X$8:$X$407,$AA434)+INDEX($V$8:$V$407,$AA434)+INDEX($W$8:$W$407,$AA434),"D",IF(AND(INDEX($W$8:$W$407,$AA434)=1,427=INDEX($X$8:$X$407,$AA434)+INDEX($V$8:$V$407,$AA434)),"S","R"))))))</f>
        <v/>
      </c>
      <c r="AC434" t="str">
        <f t="shared" si="95"/>
        <v/>
      </c>
    </row>
    <row r="435" spans="1:29" ht="21" customHeight="1" x14ac:dyDescent="0.95">
      <c r="A435" s="3" t="str">
        <f t="shared" si="84"/>
        <v/>
      </c>
      <c r="B435" s="3" t="str">
        <f t="shared" si="85"/>
        <v/>
      </c>
      <c r="C435" s="8" t="str">
        <f t="shared" si="86"/>
        <v/>
      </c>
      <c r="D435" s="31" t="str">
        <f t="shared" si="87"/>
        <v/>
      </c>
      <c r="E435" s="32" t="str">
        <f>IF(428=$AD$1+3,"ขอแสดงความนับถือ",IF(428=$AD$1+6,"(                 )",IF(428=$AD$1+7,"เจ้าหน้าที่ขนส่ง",IF($AB435="G",SUM($AF$8:$AF$407),IF(OR($AB435="",$AB435="R"),"",IF($AB435="D",INDEX($AF$8:$AF$407,$AA435),SUMIF($T$8:$T$407,INDEX($T$8:$T$407,$AA435),$AF$8:$AF$407)))))))</f>
        <v/>
      </c>
      <c r="F435" s="32" t="str">
        <f t="shared" si="88"/>
        <v/>
      </c>
      <c r="G435" s="32" t="str">
        <f t="shared" si="89"/>
        <v/>
      </c>
      <c r="H435" s="32" t="str">
        <f t="shared" si="90"/>
        <v/>
      </c>
      <c r="AA435" t="str">
        <f>IFERROR(MATCH(428,$X$8:$X$407,1),"")</f>
        <v/>
      </c>
      <c r="AB435" t="str">
        <f>IF(428=$AD$1+1,"G",IF($AA435="","",IF(INDEX($Q$8:$Q$407,$AA435)="","",IF(428&gt;INDEX($X$8:$X$407,$AA435)+INDEX($V$8:$V$407,$AA435)+INDEX($W$8:$W$407,$AA435),"",IF(428=INDEX($X$8:$X$407,$AA435)+INDEX($V$8:$V$407,$AA435)+INDEX($W$8:$W$407,$AA435),"D",IF(AND(INDEX($W$8:$W$407,$AA435)=1,428=INDEX($X$8:$X$407,$AA435)+INDEX($V$8:$V$407,$AA435)),"S","R"))))))</f>
        <v/>
      </c>
      <c r="AC435" t="str">
        <f t="shared" si="95"/>
        <v/>
      </c>
    </row>
    <row r="436" spans="1:29" ht="21" customHeight="1" x14ac:dyDescent="0.95">
      <c r="A436" s="3" t="str">
        <f t="shared" si="84"/>
        <v/>
      </c>
      <c r="B436" s="3" t="str">
        <f t="shared" si="85"/>
        <v/>
      </c>
      <c r="C436" s="8" t="str">
        <f t="shared" si="86"/>
        <v/>
      </c>
      <c r="D436" s="31" t="str">
        <f t="shared" si="87"/>
        <v/>
      </c>
      <c r="E436" s="32" t="str">
        <f>IF(429=$AD$1+3,"ขอแสดงความนับถือ",IF(429=$AD$1+6,"(                 )",IF(429=$AD$1+7,"เจ้าหน้าที่ขนส่ง",IF($AB436="G",SUM($AF$8:$AF$407),IF(OR($AB436="",$AB436="R"),"",IF($AB436="D",INDEX($AF$8:$AF$407,$AA436),SUMIF($T$8:$T$407,INDEX($T$8:$T$407,$AA436),$AF$8:$AF$407)))))))</f>
        <v/>
      </c>
      <c r="F436" s="32" t="str">
        <f t="shared" si="88"/>
        <v/>
      </c>
      <c r="G436" s="32" t="str">
        <f t="shared" si="89"/>
        <v/>
      </c>
      <c r="H436" s="32" t="str">
        <f t="shared" si="90"/>
        <v/>
      </c>
      <c r="AA436" t="str">
        <f>IFERROR(MATCH(429,$X$8:$X$407,1),"")</f>
        <v/>
      </c>
      <c r="AB436" t="str">
        <f>IF(429=$AD$1+1,"G",IF($AA436="","",IF(INDEX($Q$8:$Q$407,$AA436)="","",IF(429&gt;INDEX($X$8:$X$407,$AA436)+INDEX($V$8:$V$407,$AA436)+INDEX($W$8:$W$407,$AA436),"",IF(429=INDEX($X$8:$X$407,$AA436)+INDEX($V$8:$V$407,$AA436)+INDEX($W$8:$W$407,$AA436),"D",IF(AND(INDEX($W$8:$W$407,$AA436)=1,429=INDEX($X$8:$X$407,$AA436)+INDEX($V$8:$V$407,$AA436)),"S","R"))))))</f>
        <v/>
      </c>
      <c r="AC436" t="str">
        <f t="shared" si="95"/>
        <v/>
      </c>
    </row>
    <row r="437" spans="1:29" ht="21" customHeight="1" x14ac:dyDescent="0.95">
      <c r="A437" s="3" t="str">
        <f t="shared" si="84"/>
        <v/>
      </c>
      <c r="B437" s="3" t="str">
        <f t="shared" si="85"/>
        <v/>
      </c>
      <c r="C437" s="8" t="str">
        <f t="shared" si="86"/>
        <v/>
      </c>
      <c r="D437" s="31" t="str">
        <f t="shared" si="87"/>
        <v/>
      </c>
      <c r="E437" s="32" t="str">
        <f>IF(430=$AD$1+3,"ขอแสดงความนับถือ",IF(430=$AD$1+6,"(                 )",IF(430=$AD$1+7,"เจ้าหน้าที่ขนส่ง",IF($AB437="G",SUM($AF$8:$AF$407),IF(OR($AB437="",$AB437="R"),"",IF($AB437="D",INDEX($AF$8:$AF$407,$AA437),SUMIF($T$8:$T$407,INDEX($T$8:$T$407,$AA437),$AF$8:$AF$407)))))))</f>
        <v/>
      </c>
      <c r="F437" s="32" t="str">
        <f t="shared" si="88"/>
        <v/>
      </c>
      <c r="G437" s="32" t="str">
        <f t="shared" si="89"/>
        <v/>
      </c>
      <c r="H437" s="32" t="str">
        <f t="shared" si="90"/>
        <v/>
      </c>
      <c r="AA437" t="str">
        <f>IFERROR(MATCH(430,$X$8:$X$407,1),"")</f>
        <v/>
      </c>
      <c r="AB437" t="str">
        <f>IF(430=$AD$1+1,"G",IF($AA437="","",IF(INDEX($Q$8:$Q$407,$AA437)="","",IF(430&gt;INDEX($X$8:$X$407,$AA437)+INDEX($V$8:$V$407,$AA437)+INDEX($W$8:$W$407,$AA437),"",IF(430=INDEX($X$8:$X$407,$AA437)+INDEX($V$8:$V$407,$AA437)+INDEX($W$8:$W$407,$AA437),"D",IF(AND(INDEX($W$8:$W$407,$AA437)=1,430=INDEX($X$8:$X$407,$AA437)+INDEX($V$8:$V$407,$AA437)),"S","R"))))))</f>
        <v/>
      </c>
      <c r="AC437" t="str">
        <f t="shared" si="95"/>
        <v/>
      </c>
    </row>
    <row r="438" spans="1:29" ht="21" customHeight="1" x14ac:dyDescent="0.95">
      <c r="A438" s="3" t="str">
        <f t="shared" si="84"/>
        <v/>
      </c>
      <c r="B438" s="3" t="str">
        <f t="shared" si="85"/>
        <v/>
      </c>
      <c r="C438" s="8" t="str">
        <f t="shared" si="86"/>
        <v/>
      </c>
      <c r="D438" s="31" t="str">
        <f t="shared" si="87"/>
        <v/>
      </c>
      <c r="E438" s="32" t="str">
        <f>IF(431=$AD$1+3,"ขอแสดงความนับถือ",IF(431=$AD$1+6,"(                 )",IF(431=$AD$1+7,"เจ้าหน้าที่ขนส่ง",IF($AB438="G",SUM($AF$8:$AF$407),IF(OR($AB438="",$AB438="R"),"",IF($AB438="D",INDEX($AF$8:$AF$407,$AA438),SUMIF($T$8:$T$407,INDEX($T$8:$T$407,$AA438),$AF$8:$AF$407)))))))</f>
        <v/>
      </c>
      <c r="F438" s="32" t="str">
        <f t="shared" si="88"/>
        <v/>
      </c>
      <c r="G438" s="32" t="str">
        <f t="shared" si="89"/>
        <v/>
      </c>
      <c r="H438" s="32" t="str">
        <f t="shared" si="90"/>
        <v/>
      </c>
      <c r="AA438" t="str">
        <f>IFERROR(MATCH(431,$X$8:$X$407,1),"")</f>
        <v/>
      </c>
      <c r="AB438" t="str">
        <f>IF(431=$AD$1+1,"G",IF($AA438="","",IF(INDEX($Q$8:$Q$407,$AA438)="","",IF(431&gt;INDEX($X$8:$X$407,$AA438)+INDEX($V$8:$V$407,$AA438)+INDEX($W$8:$W$407,$AA438),"",IF(431=INDEX($X$8:$X$407,$AA438)+INDEX($V$8:$V$407,$AA438)+INDEX($W$8:$W$407,$AA438),"D",IF(AND(INDEX($W$8:$W$407,$AA438)=1,431=INDEX($X$8:$X$407,$AA438)+INDEX($V$8:$V$407,$AA438)),"S","R"))))))</f>
        <v/>
      </c>
      <c r="AC438" t="str">
        <f t="shared" si="95"/>
        <v/>
      </c>
    </row>
    <row r="439" spans="1:29" ht="21" customHeight="1" x14ac:dyDescent="0.95">
      <c r="A439" s="3" t="str">
        <f t="shared" si="84"/>
        <v/>
      </c>
      <c r="B439" s="3" t="str">
        <f t="shared" si="85"/>
        <v/>
      </c>
      <c r="C439" s="8" t="str">
        <f t="shared" si="86"/>
        <v/>
      </c>
      <c r="D439" s="31" t="str">
        <f t="shared" si="87"/>
        <v/>
      </c>
      <c r="E439" s="32" t="str">
        <f>IF(432=$AD$1+3,"ขอแสดงความนับถือ",IF(432=$AD$1+6,"(                 )",IF(432=$AD$1+7,"เจ้าหน้าที่ขนส่ง",IF($AB439="G",SUM($AF$8:$AF$407),IF(OR($AB439="",$AB439="R"),"",IF($AB439="D",INDEX($AF$8:$AF$407,$AA439),SUMIF($T$8:$T$407,INDEX($T$8:$T$407,$AA439),$AF$8:$AF$407)))))))</f>
        <v/>
      </c>
      <c r="F439" s="32" t="str">
        <f t="shared" si="88"/>
        <v/>
      </c>
      <c r="G439" s="32" t="str">
        <f t="shared" si="89"/>
        <v/>
      </c>
      <c r="H439" s="32" t="str">
        <f t="shared" si="90"/>
        <v/>
      </c>
      <c r="AA439" t="str">
        <f>IFERROR(MATCH(432,$X$8:$X$407,1),"")</f>
        <v/>
      </c>
      <c r="AB439" t="str">
        <f>IF(432=$AD$1+1,"G",IF($AA439="","",IF(INDEX($Q$8:$Q$407,$AA439)="","",IF(432&gt;INDEX($X$8:$X$407,$AA439)+INDEX($V$8:$V$407,$AA439)+INDEX($W$8:$W$407,$AA439),"",IF(432=INDEX($X$8:$X$407,$AA439)+INDEX($V$8:$V$407,$AA439)+INDEX($W$8:$W$407,$AA439),"D",IF(AND(INDEX($W$8:$W$407,$AA439)=1,432=INDEX($X$8:$X$407,$AA439)+INDEX($V$8:$V$407,$AA439)),"S","R"))))))</f>
        <v/>
      </c>
      <c r="AC439" t="str">
        <f t="shared" si="95"/>
        <v/>
      </c>
    </row>
    <row r="440" spans="1:29" ht="21" customHeight="1" x14ac:dyDescent="0.95">
      <c r="A440" s="3" t="str">
        <f t="shared" si="84"/>
        <v/>
      </c>
      <c r="B440" s="3" t="str">
        <f t="shared" si="85"/>
        <v/>
      </c>
      <c r="C440" s="8" t="str">
        <f t="shared" si="86"/>
        <v/>
      </c>
      <c r="D440" s="31" t="str">
        <f t="shared" si="87"/>
        <v/>
      </c>
      <c r="E440" s="32" t="str">
        <f>IF(433=$AD$1+3,"ขอแสดงความนับถือ",IF(433=$AD$1+6,"(                 )",IF(433=$AD$1+7,"เจ้าหน้าที่ขนส่ง",IF($AB440="G",SUM($AF$8:$AF$407),IF(OR($AB440="",$AB440="R"),"",IF($AB440="D",INDEX($AF$8:$AF$407,$AA440),SUMIF($T$8:$T$407,INDEX($T$8:$T$407,$AA440),$AF$8:$AF$407)))))))</f>
        <v/>
      </c>
      <c r="F440" s="32" t="str">
        <f t="shared" si="88"/>
        <v/>
      </c>
      <c r="G440" s="32" t="str">
        <f t="shared" si="89"/>
        <v/>
      </c>
      <c r="H440" s="32" t="str">
        <f t="shared" si="90"/>
        <v/>
      </c>
      <c r="AA440" t="str">
        <f>IFERROR(MATCH(433,$X$8:$X$407,1),"")</f>
        <v/>
      </c>
      <c r="AB440" t="str">
        <f>IF(433=$AD$1+1,"G",IF($AA440="","",IF(INDEX($Q$8:$Q$407,$AA440)="","",IF(433&gt;INDEX($X$8:$X$407,$AA440)+INDEX($V$8:$V$407,$AA440)+INDEX($W$8:$W$407,$AA440),"",IF(433=INDEX($X$8:$X$407,$AA440)+INDEX($V$8:$V$407,$AA440)+INDEX($W$8:$W$407,$AA440),"D",IF(AND(INDEX($W$8:$W$407,$AA440)=1,433=INDEX($X$8:$X$407,$AA440)+INDEX($V$8:$V$407,$AA440)),"S","R"))))))</f>
        <v/>
      </c>
      <c r="AC440" t="str">
        <f t="shared" si="95"/>
        <v/>
      </c>
    </row>
    <row r="441" spans="1:29" ht="21" customHeight="1" x14ac:dyDescent="0.95">
      <c r="A441" s="3" t="str">
        <f t="shared" si="84"/>
        <v/>
      </c>
      <c r="B441" s="3" t="str">
        <f t="shared" si="85"/>
        <v/>
      </c>
      <c r="C441" s="8" t="str">
        <f t="shared" si="86"/>
        <v/>
      </c>
      <c r="D441" s="31" t="str">
        <f t="shared" si="87"/>
        <v/>
      </c>
      <c r="E441" s="32" t="str">
        <f>IF(434=$AD$1+3,"ขอแสดงความนับถือ",IF(434=$AD$1+6,"(                 )",IF(434=$AD$1+7,"เจ้าหน้าที่ขนส่ง",IF($AB441="G",SUM($AF$8:$AF$407),IF(OR($AB441="",$AB441="R"),"",IF($AB441="D",INDEX($AF$8:$AF$407,$AA441),SUMIF($T$8:$T$407,INDEX($T$8:$T$407,$AA441),$AF$8:$AF$407)))))))</f>
        <v/>
      </c>
      <c r="F441" s="32" t="str">
        <f t="shared" si="88"/>
        <v/>
      </c>
      <c r="G441" s="32" t="str">
        <f t="shared" si="89"/>
        <v/>
      </c>
      <c r="H441" s="32" t="str">
        <f t="shared" si="90"/>
        <v/>
      </c>
      <c r="AA441" t="str">
        <f>IFERROR(MATCH(434,$X$8:$X$407,1),"")</f>
        <v/>
      </c>
      <c r="AB441" t="str">
        <f>IF(434=$AD$1+1,"G",IF($AA441="","",IF(INDEX($Q$8:$Q$407,$AA441)="","",IF(434&gt;INDEX($X$8:$X$407,$AA441)+INDEX($V$8:$V$407,$AA441)+INDEX($W$8:$W$407,$AA441),"",IF(434=INDEX($X$8:$X$407,$AA441)+INDEX($V$8:$V$407,$AA441)+INDEX($W$8:$W$407,$AA441),"D",IF(AND(INDEX($W$8:$W$407,$AA441)=1,434=INDEX($X$8:$X$407,$AA441)+INDEX($V$8:$V$407,$AA441)),"S","R"))))))</f>
        <v/>
      </c>
      <c r="AC441" t="str">
        <f t="shared" si="95"/>
        <v/>
      </c>
    </row>
    <row r="442" spans="1:29" ht="21" customHeight="1" x14ac:dyDescent="0.95">
      <c r="A442" s="3" t="str">
        <f t="shared" si="84"/>
        <v/>
      </c>
      <c r="B442" s="3" t="str">
        <f t="shared" si="85"/>
        <v/>
      </c>
      <c r="C442" s="8" t="str">
        <f t="shared" si="86"/>
        <v/>
      </c>
      <c r="D442" s="31" t="str">
        <f t="shared" si="87"/>
        <v/>
      </c>
      <c r="E442" s="32" t="str">
        <f>IF(435=$AD$1+3,"ขอแสดงความนับถือ",IF(435=$AD$1+6,"(                 )",IF(435=$AD$1+7,"เจ้าหน้าที่ขนส่ง",IF($AB442="G",SUM($AF$8:$AF$407),IF(OR($AB442="",$AB442="R"),"",IF($AB442="D",INDEX($AF$8:$AF$407,$AA442),SUMIF($T$8:$T$407,INDEX($T$8:$T$407,$AA442),$AF$8:$AF$407)))))))</f>
        <v/>
      </c>
      <c r="F442" s="32" t="str">
        <f t="shared" si="88"/>
        <v/>
      </c>
      <c r="G442" s="32" t="str">
        <f t="shared" si="89"/>
        <v/>
      </c>
      <c r="H442" s="32" t="str">
        <f t="shared" si="90"/>
        <v/>
      </c>
      <c r="AA442" t="str">
        <f>IFERROR(MATCH(435,$X$8:$X$407,1),"")</f>
        <v/>
      </c>
      <c r="AB442" t="str">
        <f>IF(435=$AD$1+1,"G",IF($AA442="","",IF(INDEX($Q$8:$Q$407,$AA442)="","",IF(435&gt;INDEX($X$8:$X$407,$AA442)+INDEX($V$8:$V$407,$AA442)+INDEX($W$8:$W$407,$AA442),"",IF(435=INDEX($X$8:$X$407,$AA442)+INDEX($V$8:$V$407,$AA442)+INDEX($W$8:$W$407,$AA442),"D",IF(AND(INDEX($W$8:$W$407,$AA442)=1,435=INDEX($X$8:$X$407,$AA442)+INDEX($V$8:$V$407,$AA442)),"S","R"))))))</f>
        <v/>
      </c>
      <c r="AC442" t="str">
        <f t="shared" si="95"/>
        <v/>
      </c>
    </row>
    <row r="443" spans="1:29" ht="21" customHeight="1" x14ac:dyDescent="0.95">
      <c r="A443" s="3" t="str">
        <f t="shared" si="84"/>
        <v/>
      </c>
      <c r="B443" s="3" t="str">
        <f t="shared" si="85"/>
        <v/>
      </c>
      <c r="C443" s="8" t="str">
        <f t="shared" si="86"/>
        <v/>
      </c>
      <c r="D443" s="31" t="str">
        <f t="shared" si="87"/>
        <v/>
      </c>
      <c r="E443" s="32" t="str">
        <f>IF(436=$AD$1+3,"ขอแสดงความนับถือ",IF(436=$AD$1+6,"(                 )",IF(436=$AD$1+7,"เจ้าหน้าที่ขนส่ง",IF($AB443="G",SUM($AF$8:$AF$407),IF(OR($AB443="",$AB443="R"),"",IF($AB443="D",INDEX($AF$8:$AF$407,$AA443),SUMIF($T$8:$T$407,INDEX($T$8:$T$407,$AA443),$AF$8:$AF$407)))))))</f>
        <v/>
      </c>
      <c r="F443" s="32" t="str">
        <f t="shared" si="88"/>
        <v/>
      </c>
      <c r="G443" s="32" t="str">
        <f t="shared" si="89"/>
        <v/>
      </c>
      <c r="H443" s="32" t="str">
        <f t="shared" si="90"/>
        <v/>
      </c>
      <c r="AA443" t="str">
        <f>IFERROR(MATCH(436,$X$8:$X$407,1),"")</f>
        <v/>
      </c>
      <c r="AB443" t="str">
        <f>IF(436=$AD$1+1,"G",IF($AA443="","",IF(INDEX($Q$8:$Q$407,$AA443)="","",IF(436&gt;INDEX($X$8:$X$407,$AA443)+INDEX($V$8:$V$407,$AA443)+INDEX($W$8:$W$407,$AA443),"",IF(436=INDEX($X$8:$X$407,$AA443)+INDEX($V$8:$V$407,$AA443)+INDEX($W$8:$W$407,$AA443),"D",IF(AND(INDEX($W$8:$W$407,$AA443)=1,436=INDEX($X$8:$X$407,$AA443)+INDEX($V$8:$V$407,$AA443)),"S","R"))))))</f>
        <v/>
      </c>
      <c r="AC443" t="str">
        <f t="shared" si="95"/>
        <v/>
      </c>
    </row>
    <row r="444" spans="1:29" ht="21" customHeight="1" x14ac:dyDescent="0.95">
      <c r="A444" s="3" t="str">
        <f t="shared" si="84"/>
        <v/>
      </c>
      <c r="B444" s="3" t="str">
        <f t="shared" si="85"/>
        <v/>
      </c>
      <c r="C444" s="8" t="str">
        <f t="shared" si="86"/>
        <v/>
      </c>
      <c r="D444" s="31" t="str">
        <f t="shared" si="87"/>
        <v/>
      </c>
      <c r="E444" s="32" t="str">
        <f>IF(437=$AD$1+3,"ขอแสดงความนับถือ",IF(437=$AD$1+6,"(                 )",IF(437=$AD$1+7,"เจ้าหน้าที่ขนส่ง",IF($AB444="G",SUM($AF$8:$AF$407),IF(OR($AB444="",$AB444="R"),"",IF($AB444="D",INDEX($AF$8:$AF$407,$AA444),SUMIF($T$8:$T$407,INDEX($T$8:$T$407,$AA444),$AF$8:$AF$407)))))))</f>
        <v/>
      </c>
      <c r="F444" s="32" t="str">
        <f t="shared" si="88"/>
        <v/>
      </c>
      <c r="G444" s="32" t="str">
        <f t="shared" si="89"/>
        <v/>
      </c>
      <c r="H444" s="32" t="str">
        <f t="shared" si="90"/>
        <v/>
      </c>
      <c r="AA444" t="str">
        <f>IFERROR(MATCH(437,$X$8:$X$407,1),"")</f>
        <v/>
      </c>
      <c r="AB444" t="str">
        <f>IF(437=$AD$1+1,"G",IF($AA444="","",IF(INDEX($Q$8:$Q$407,$AA444)="","",IF(437&gt;INDEX($X$8:$X$407,$AA444)+INDEX($V$8:$V$407,$AA444)+INDEX($W$8:$W$407,$AA444),"",IF(437=INDEX($X$8:$X$407,$AA444)+INDEX($V$8:$V$407,$AA444)+INDEX($W$8:$W$407,$AA444),"D",IF(AND(INDEX($W$8:$W$407,$AA444)=1,437=INDEX($X$8:$X$407,$AA444)+INDEX($V$8:$V$407,$AA444)),"S","R"))))))</f>
        <v/>
      </c>
      <c r="AC444" t="str">
        <f t="shared" si="95"/>
        <v/>
      </c>
    </row>
    <row r="445" spans="1:29" ht="21" customHeight="1" x14ac:dyDescent="0.95">
      <c r="A445" s="3" t="str">
        <f t="shared" si="84"/>
        <v/>
      </c>
      <c r="B445" s="3" t="str">
        <f t="shared" si="85"/>
        <v/>
      </c>
      <c r="C445" s="8" t="str">
        <f t="shared" si="86"/>
        <v/>
      </c>
      <c r="D445" s="31" t="str">
        <f t="shared" si="87"/>
        <v/>
      </c>
      <c r="E445" s="32" t="str">
        <f>IF(438=$AD$1+3,"ขอแสดงความนับถือ",IF(438=$AD$1+6,"(                 )",IF(438=$AD$1+7,"เจ้าหน้าที่ขนส่ง",IF($AB445="G",SUM($AF$8:$AF$407),IF(OR($AB445="",$AB445="R"),"",IF($AB445="D",INDEX($AF$8:$AF$407,$AA445),SUMIF($T$8:$T$407,INDEX($T$8:$T$407,$AA445),$AF$8:$AF$407)))))))</f>
        <v/>
      </c>
      <c r="F445" s="32" t="str">
        <f t="shared" si="88"/>
        <v/>
      </c>
      <c r="G445" s="32" t="str">
        <f t="shared" si="89"/>
        <v/>
      </c>
      <c r="H445" s="32" t="str">
        <f t="shared" si="90"/>
        <v/>
      </c>
      <c r="AA445" t="str">
        <f>IFERROR(MATCH(438,$X$8:$X$407,1),"")</f>
        <v/>
      </c>
      <c r="AB445" t="str">
        <f>IF(438=$AD$1+1,"G",IF($AA445="","",IF(INDEX($Q$8:$Q$407,$AA445)="","",IF(438&gt;INDEX($X$8:$X$407,$AA445)+INDEX($V$8:$V$407,$AA445)+INDEX($W$8:$W$407,$AA445),"",IF(438=INDEX($X$8:$X$407,$AA445)+INDEX($V$8:$V$407,$AA445)+INDEX($W$8:$W$407,$AA445),"D",IF(AND(INDEX($W$8:$W$407,$AA445)=1,438=INDEX($X$8:$X$407,$AA445)+INDEX($V$8:$V$407,$AA445)),"S","R"))))))</f>
        <v/>
      </c>
      <c r="AC445" t="str">
        <f t="shared" si="95"/>
        <v/>
      </c>
    </row>
    <row r="446" spans="1:29" ht="21" customHeight="1" x14ac:dyDescent="0.95">
      <c r="A446" s="3" t="str">
        <f t="shared" si="84"/>
        <v/>
      </c>
      <c r="B446" s="3" t="str">
        <f t="shared" si="85"/>
        <v/>
      </c>
      <c r="C446" s="8" t="str">
        <f t="shared" si="86"/>
        <v/>
      </c>
      <c r="D446" s="31" t="str">
        <f t="shared" si="87"/>
        <v/>
      </c>
      <c r="E446" s="32" t="str">
        <f>IF(439=$AD$1+3,"ขอแสดงความนับถือ",IF(439=$AD$1+6,"(                 )",IF(439=$AD$1+7,"เจ้าหน้าที่ขนส่ง",IF($AB446="G",SUM($AF$8:$AF$407),IF(OR($AB446="",$AB446="R"),"",IF($AB446="D",INDEX($AF$8:$AF$407,$AA446),SUMIF($T$8:$T$407,INDEX($T$8:$T$407,$AA446),$AF$8:$AF$407)))))))</f>
        <v/>
      </c>
      <c r="F446" s="32" t="str">
        <f t="shared" si="88"/>
        <v/>
      </c>
      <c r="G446" s="32" t="str">
        <f t="shared" si="89"/>
        <v/>
      </c>
      <c r="H446" s="32" t="str">
        <f t="shared" si="90"/>
        <v/>
      </c>
      <c r="AA446" t="str">
        <f>IFERROR(MATCH(439,$X$8:$X$407,1),"")</f>
        <v/>
      </c>
      <c r="AB446" t="str">
        <f>IF(439=$AD$1+1,"G",IF($AA446="","",IF(INDEX($Q$8:$Q$407,$AA446)="","",IF(439&gt;INDEX($X$8:$X$407,$AA446)+INDEX($V$8:$V$407,$AA446)+INDEX($W$8:$W$407,$AA446),"",IF(439=INDEX($X$8:$X$407,$AA446)+INDEX($V$8:$V$407,$AA446)+INDEX($W$8:$W$407,$AA446),"D",IF(AND(INDEX($W$8:$W$407,$AA446)=1,439=INDEX($X$8:$X$407,$AA446)+INDEX($V$8:$V$407,$AA446)),"S","R"))))))</f>
        <v/>
      </c>
      <c r="AC446" t="str">
        <f t="shared" si="95"/>
        <v/>
      </c>
    </row>
    <row r="447" spans="1:29" ht="21" customHeight="1" x14ac:dyDescent="0.95">
      <c r="A447" s="3" t="str">
        <f t="shared" si="84"/>
        <v/>
      </c>
      <c r="B447" s="3" t="str">
        <f t="shared" si="85"/>
        <v/>
      </c>
      <c r="C447" s="8" t="str">
        <f t="shared" si="86"/>
        <v/>
      </c>
      <c r="D447" s="31" t="str">
        <f t="shared" si="87"/>
        <v/>
      </c>
      <c r="E447" s="32" t="str">
        <f>IF(440=$AD$1+3,"ขอแสดงความนับถือ",IF(440=$AD$1+6,"(                 )",IF(440=$AD$1+7,"เจ้าหน้าที่ขนส่ง",IF($AB447="G",SUM($AF$8:$AF$407),IF(OR($AB447="",$AB447="R"),"",IF($AB447="D",INDEX($AF$8:$AF$407,$AA447),SUMIF($T$8:$T$407,INDEX($T$8:$T$407,$AA447),$AF$8:$AF$407)))))))</f>
        <v/>
      </c>
      <c r="F447" s="32" t="str">
        <f t="shared" si="88"/>
        <v/>
      </c>
      <c r="G447" s="32" t="str">
        <f t="shared" si="89"/>
        <v/>
      </c>
      <c r="H447" s="32" t="str">
        <f t="shared" si="90"/>
        <v/>
      </c>
      <c r="AA447" t="str">
        <f>IFERROR(MATCH(440,$X$8:$X$407,1),"")</f>
        <v/>
      </c>
      <c r="AB447" t="str">
        <f>IF(440=$AD$1+1,"G",IF($AA447="","",IF(INDEX($Q$8:$Q$407,$AA447)="","",IF(440&gt;INDEX($X$8:$X$407,$AA447)+INDEX($V$8:$V$407,$AA447)+INDEX($W$8:$W$407,$AA447),"",IF(440=INDEX($X$8:$X$407,$AA447)+INDEX($V$8:$V$407,$AA447)+INDEX($W$8:$W$407,$AA447),"D",IF(AND(INDEX($W$8:$W$407,$AA447)=1,440=INDEX($X$8:$X$407,$AA447)+INDEX($V$8:$V$407,$AA447)),"S","R"))))))</f>
        <v/>
      </c>
      <c r="AC447" t="str">
        <f t="shared" si="95"/>
        <v/>
      </c>
    </row>
    <row r="448" spans="1:29" ht="21" customHeight="1" x14ac:dyDescent="0.95">
      <c r="A448" s="3" t="str">
        <f t="shared" si="84"/>
        <v/>
      </c>
      <c r="B448" s="3" t="str">
        <f t="shared" si="85"/>
        <v/>
      </c>
      <c r="C448" s="8" t="str">
        <f t="shared" si="86"/>
        <v/>
      </c>
      <c r="D448" s="31" t="str">
        <f t="shared" si="87"/>
        <v/>
      </c>
      <c r="E448" s="32" t="str">
        <f>IF(441=$AD$1+3,"ขอแสดงความนับถือ",IF(441=$AD$1+6,"(                 )",IF(441=$AD$1+7,"เจ้าหน้าที่ขนส่ง",IF($AB448="G",SUM($AF$8:$AF$407),IF(OR($AB448="",$AB448="R"),"",IF($AB448="D",INDEX($AF$8:$AF$407,$AA448),SUMIF($T$8:$T$407,INDEX($T$8:$T$407,$AA448),$AF$8:$AF$407)))))))</f>
        <v/>
      </c>
      <c r="F448" s="32" t="str">
        <f t="shared" si="88"/>
        <v/>
      </c>
      <c r="G448" s="32" t="str">
        <f t="shared" si="89"/>
        <v/>
      </c>
      <c r="H448" s="32" t="str">
        <f t="shared" si="90"/>
        <v/>
      </c>
      <c r="AA448" t="str">
        <f>IFERROR(MATCH(441,$X$8:$X$407,1),"")</f>
        <v/>
      </c>
      <c r="AB448" t="str">
        <f>IF(441=$AD$1+1,"G",IF($AA448="","",IF(INDEX($Q$8:$Q$407,$AA448)="","",IF(441&gt;INDEX($X$8:$X$407,$AA448)+INDEX($V$8:$V$407,$AA448)+INDEX($W$8:$W$407,$AA448),"",IF(441=INDEX($X$8:$X$407,$AA448)+INDEX($V$8:$V$407,$AA448)+INDEX($W$8:$W$407,$AA448),"D",IF(AND(INDEX($W$8:$W$407,$AA448)=1,441=INDEX($X$8:$X$407,$AA448)+INDEX($V$8:$V$407,$AA448)),"S","R"))))))</f>
        <v/>
      </c>
      <c r="AC448" t="str">
        <f t="shared" si="95"/>
        <v/>
      </c>
    </row>
    <row r="449" spans="1:29" ht="21" customHeight="1" x14ac:dyDescent="0.95">
      <c r="A449" s="3" t="str">
        <f t="shared" si="84"/>
        <v/>
      </c>
      <c r="B449" s="3" t="str">
        <f t="shared" si="85"/>
        <v/>
      </c>
      <c r="C449" s="8" t="str">
        <f t="shared" si="86"/>
        <v/>
      </c>
      <c r="D449" s="31" t="str">
        <f t="shared" si="87"/>
        <v/>
      </c>
      <c r="E449" s="32" t="str">
        <f>IF(442=$AD$1+3,"ขอแสดงความนับถือ",IF(442=$AD$1+6,"(                 )",IF(442=$AD$1+7,"เจ้าหน้าที่ขนส่ง",IF($AB449="G",SUM($AF$8:$AF$407),IF(OR($AB449="",$AB449="R"),"",IF($AB449="D",INDEX($AF$8:$AF$407,$AA449),SUMIF($T$8:$T$407,INDEX($T$8:$T$407,$AA449),$AF$8:$AF$407)))))))</f>
        <v/>
      </c>
      <c r="F449" s="32" t="str">
        <f t="shared" si="88"/>
        <v/>
      </c>
      <c r="G449" s="32" t="str">
        <f t="shared" si="89"/>
        <v/>
      </c>
      <c r="H449" s="32" t="str">
        <f t="shared" si="90"/>
        <v/>
      </c>
      <c r="AA449" t="str">
        <f>IFERROR(MATCH(442,$X$8:$X$407,1),"")</f>
        <v/>
      </c>
      <c r="AB449" t="str">
        <f>IF(442=$AD$1+1,"G",IF($AA449="","",IF(INDEX($Q$8:$Q$407,$AA449)="","",IF(442&gt;INDEX($X$8:$X$407,$AA449)+INDEX($V$8:$V$407,$AA449)+INDEX($W$8:$W$407,$AA449),"",IF(442=INDEX($X$8:$X$407,$AA449)+INDEX($V$8:$V$407,$AA449)+INDEX($W$8:$W$407,$AA449),"D",IF(AND(INDEX($W$8:$W$407,$AA449)=1,442=INDEX($X$8:$X$407,$AA449)+INDEX($V$8:$V$407,$AA449)),"S","R"))))))</f>
        <v/>
      </c>
      <c r="AC449" t="str">
        <f t="shared" si="95"/>
        <v/>
      </c>
    </row>
    <row r="450" spans="1:29" ht="21" customHeight="1" x14ac:dyDescent="0.95">
      <c r="A450" s="3" t="str">
        <f t="shared" si="84"/>
        <v/>
      </c>
      <c r="B450" s="3" t="str">
        <f t="shared" si="85"/>
        <v/>
      </c>
      <c r="C450" s="8" t="str">
        <f t="shared" si="86"/>
        <v/>
      </c>
      <c r="D450" s="31" t="str">
        <f t="shared" si="87"/>
        <v/>
      </c>
      <c r="E450" s="32" t="str">
        <f>IF(443=$AD$1+3,"ขอแสดงความนับถือ",IF(443=$AD$1+6,"(                 )",IF(443=$AD$1+7,"เจ้าหน้าที่ขนส่ง",IF($AB450="G",SUM($AF$8:$AF$407),IF(OR($AB450="",$AB450="R"),"",IF($AB450="D",INDEX($AF$8:$AF$407,$AA450),SUMIF($T$8:$T$407,INDEX($T$8:$T$407,$AA450),$AF$8:$AF$407)))))))</f>
        <v/>
      </c>
      <c r="F450" s="32" t="str">
        <f t="shared" si="88"/>
        <v/>
      </c>
      <c r="G450" s="32" t="str">
        <f t="shared" si="89"/>
        <v/>
      </c>
      <c r="H450" s="32" t="str">
        <f t="shared" si="90"/>
        <v/>
      </c>
      <c r="AA450" t="str">
        <f>IFERROR(MATCH(443,$X$8:$X$407,1),"")</f>
        <v/>
      </c>
      <c r="AB450" t="str">
        <f>IF(443=$AD$1+1,"G",IF($AA450="","",IF(INDEX($Q$8:$Q$407,$AA450)="","",IF(443&gt;INDEX($X$8:$X$407,$AA450)+INDEX($V$8:$V$407,$AA450)+INDEX($W$8:$W$407,$AA450),"",IF(443=INDEX($X$8:$X$407,$AA450)+INDEX($V$8:$V$407,$AA450)+INDEX($W$8:$W$407,$AA450),"D",IF(AND(INDEX($W$8:$W$407,$AA450)=1,443=INDEX($X$8:$X$407,$AA450)+INDEX($V$8:$V$407,$AA450)),"S","R"))))))</f>
        <v/>
      </c>
      <c r="AC450" t="str">
        <f t="shared" si="95"/>
        <v/>
      </c>
    </row>
    <row r="451" spans="1:29" ht="21" customHeight="1" x14ac:dyDescent="0.95">
      <c r="A451" s="3" t="str">
        <f t="shared" si="84"/>
        <v/>
      </c>
      <c r="B451" s="3" t="str">
        <f t="shared" si="85"/>
        <v/>
      </c>
      <c r="C451" s="8" t="str">
        <f t="shared" si="86"/>
        <v/>
      </c>
      <c r="D451" s="31" t="str">
        <f t="shared" si="87"/>
        <v/>
      </c>
      <c r="E451" s="32" t="str">
        <f>IF(444=$AD$1+3,"ขอแสดงความนับถือ",IF(444=$AD$1+6,"(                 )",IF(444=$AD$1+7,"เจ้าหน้าที่ขนส่ง",IF($AB451="G",SUM($AF$8:$AF$407),IF(OR($AB451="",$AB451="R"),"",IF($AB451="D",INDEX($AF$8:$AF$407,$AA451),SUMIF($T$8:$T$407,INDEX($T$8:$T$407,$AA451),$AF$8:$AF$407)))))))</f>
        <v/>
      </c>
      <c r="F451" s="32" t="str">
        <f t="shared" si="88"/>
        <v/>
      </c>
      <c r="G451" s="32" t="str">
        <f t="shared" si="89"/>
        <v/>
      </c>
      <c r="H451" s="32" t="str">
        <f t="shared" si="90"/>
        <v/>
      </c>
      <c r="AA451" t="str">
        <f>IFERROR(MATCH(444,$X$8:$X$407,1),"")</f>
        <v/>
      </c>
      <c r="AB451" t="str">
        <f>IF(444=$AD$1+1,"G",IF($AA451="","",IF(INDEX($Q$8:$Q$407,$AA451)="","",IF(444&gt;INDEX($X$8:$X$407,$AA451)+INDEX($V$8:$V$407,$AA451)+INDEX($W$8:$W$407,$AA451),"",IF(444=INDEX($X$8:$X$407,$AA451)+INDEX($V$8:$V$407,$AA451)+INDEX($W$8:$W$407,$AA451),"D",IF(AND(INDEX($W$8:$W$407,$AA451)=1,444=INDEX($X$8:$X$407,$AA451)+INDEX($V$8:$V$407,$AA451)),"S","R"))))))</f>
        <v/>
      </c>
      <c r="AC451" t="str">
        <f t="shared" si="95"/>
        <v/>
      </c>
    </row>
    <row r="452" spans="1:29" ht="21" customHeight="1" x14ac:dyDescent="0.95">
      <c r="A452" s="3" t="str">
        <f t="shared" si="84"/>
        <v/>
      </c>
      <c r="B452" s="3" t="str">
        <f t="shared" si="85"/>
        <v/>
      </c>
      <c r="C452" s="8" t="str">
        <f t="shared" si="86"/>
        <v/>
      </c>
      <c r="D452" s="31" t="str">
        <f t="shared" si="87"/>
        <v/>
      </c>
      <c r="E452" s="32" t="str">
        <f>IF(445=$AD$1+3,"ขอแสดงความนับถือ",IF(445=$AD$1+6,"(                 )",IF(445=$AD$1+7,"เจ้าหน้าที่ขนส่ง",IF($AB452="G",SUM($AF$8:$AF$407),IF(OR($AB452="",$AB452="R"),"",IF($AB452="D",INDEX($AF$8:$AF$407,$AA452),SUMIF($T$8:$T$407,INDEX($T$8:$T$407,$AA452),$AF$8:$AF$407)))))))</f>
        <v/>
      </c>
      <c r="F452" s="32" t="str">
        <f t="shared" si="88"/>
        <v/>
      </c>
      <c r="G452" s="32" t="str">
        <f t="shared" si="89"/>
        <v/>
      </c>
      <c r="H452" s="32" t="str">
        <f t="shared" si="90"/>
        <v/>
      </c>
      <c r="AA452" t="str">
        <f>IFERROR(MATCH(445,$X$8:$X$407,1),"")</f>
        <v/>
      </c>
      <c r="AB452" t="str">
        <f>IF(445=$AD$1+1,"G",IF($AA452="","",IF(INDEX($Q$8:$Q$407,$AA452)="","",IF(445&gt;INDEX($X$8:$X$407,$AA452)+INDEX($V$8:$V$407,$AA452)+INDEX($W$8:$W$407,$AA452),"",IF(445=INDEX($X$8:$X$407,$AA452)+INDEX($V$8:$V$407,$AA452)+INDEX($W$8:$W$407,$AA452),"D",IF(AND(INDEX($W$8:$W$407,$AA452)=1,445=INDEX($X$8:$X$407,$AA452)+INDEX($V$8:$V$407,$AA452)),"S","R"))))))</f>
        <v/>
      </c>
      <c r="AC452" t="str">
        <f t="shared" si="95"/>
        <v/>
      </c>
    </row>
    <row r="453" spans="1:29" ht="21" customHeight="1" x14ac:dyDescent="0.95">
      <c r="A453" s="3" t="str">
        <f t="shared" si="84"/>
        <v/>
      </c>
      <c r="B453" s="3" t="str">
        <f t="shared" si="85"/>
        <v/>
      </c>
      <c r="C453" s="8" t="str">
        <f t="shared" si="86"/>
        <v/>
      </c>
      <c r="D453" s="31" t="str">
        <f t="shared" si="87"/>
        <v/>
      </c>
      <c r="E453" s="32" t="str">
        <f>IF(446=$AD$1+3,"ขอแสดงความนับถือ",IF(446=$AD$1+6,"(                 )",IF(446=$AD$1+7,"เจ้าหน้าที่ขนส่ง",IF($AB453="G",SUM($AF$8:$AF$407),IF(OR($AB453="",$AB453="R"),"",IF($AB453="D",INDEX($AF$8:$AF$407,$AA453),SUMIF($T$8:$T$407,INDEX($T$8:$T$407,$AA453),$AF$8:$AF$407)))))))</f>
        <v/>
      </c>
      <c r="F453" s="32" t="str">
        <f t="shared" si="88"/>
        <v/>
      </c>
      <c r="G453" s="32" t="str">
        <f t="shared" si="89"/>
        <v/>
      </c>
      <c r="H453" s="32" t="str">
        <f t="shared" si="90"/>
        <v/>
      </c>
      <c r="AA453" t="str">
        <f>IFERROR(MATCH(446,$X$8:$X$407,1),"")</f>
        <v/>
      </c>
      <c r="AB453" t="str">
        <f>IF(446=$AD$1+1,"G",IF($AA453="","",IF(INDEX($Q$8:$Q$407,$AA453)="","",IF(446&gt;INDEX($X$8:$X$407,$AA453)+INDEX($V$8:$V$407,$AA453)+INDEX($W$8:$W$407,$AA453),"",IF(446=INDEX($X$8:$X$407,$AA453)+INDEX($V$8:$V$407,$AA453)+INDEX($W$8:$W$407,$AA453),"D",IF(AND(INDEX($W$8:$W$407,$AA453)=1,446=INDEX($X$8:$X$407,$AA453)+INDEX($V$8:$V$407,$AA453)),"S","R"))))))</f>
        <v/>
      </c>
      <c r="AC453" t="str">
        <f t="shared" si="95"/>
        <v/>
      </c>
    </row>
    <row r="454" spans="1:29" ht="21" customHeight="1" x14ac:dyDescent="0.95">
      <c r="A454" s="3" t="str">
        <f t="shared" si="84"/>
        <v/>
      </c>
      <c r="B454" s="3" t="str">
        <f t="shared" si="85"/>
        <v/>
      </c>
      <c r="C454" s="8" t="str">
        <f t="shared" si="86"/>
        <v/>
      </c>
      <c r="D454" s="31" t="str">
        <f t="shared" si="87"/>
        <v/>
      </c>
      <c r="E454" s="32" t="str">
        <f>IF(447=$AD$1+3,"ขอแสดงความนับถือ",IF(447=$AD$1+6,"(                 )",IF(447=$AD$1+7,"เจ้าหน้าที่ขนส่ง",IF($AB454="G",SUM($AF$8:$AF$407),IF(OR($AB454="",$AB454="R"),"",IF($AB454="D",INDEX($AF$8:$AF$407,$AA454),SUMIF($T$8:$T$407,INDEX($T$8:$T$407,$AA454),$AF$8:$AF$407)))))))</f>
        <v/>
      </c>
      <c r="F454" s="32" t="str">
        <f t="shared" si="88"/>
        <v/>
      </c>
      <c r="G454" s="32" t="str">
        <f t="shared" si="89"/>
        <v/>
      </c>
      <c r="H454" s="32" t="str">
        <f t="shared" si="90"/>
        <v/>
      </c>
      <c r="AA454" t="str">
        <f>IFERROR(MATCH(447,$X$8:$X$407,1),"")</f>
        <v/>
      </c>
      <c r="AB454" t="str">
        <f>IF(447=$AD$1+1,"G",IF($AA454="","",IF(INDEX($Q$8:$Q$407,$AA454)="","",IF(447&gt;INDEX($X$8:$X$407,$AA454)+INDEX($V$8:$V$407,$AA454)+INDEX($W$8:$W$407,$AA454),"",IF(447=INDEX($X$8:$X$407,$AA454)+INDEX($V$8:$V$407,$AA454)+INDEX($W$8:$W$407,$AA454),"D",IF(AND(INDEX($W$8:$W$407,$AA454)=1,447=INDEX($X$8:$X$407,$AA454)+INDEX($V$8:$V$407,$AA454)),"S","R"))))))</f>
        <v/>
      </c>
      <c r="AC454" t="str">
        <f t="shared" si="95"/>
        <v/>
      </c>
    </row>
    <row r="455" spans="1:29" ht="21" customHeight="1" x14ac:dyDescent="0.95">
      <c r="A455" s="3" t="str">
        <f t="shared" si="84"/>
        <v/>
      </c>
      <c r="B455" s="3" t="str">
        <f t="shared" si="85"/>
        <v/>
      </c>
      <c r="C455" s="8" t="str">
        <f t="shared" si="86"/>
        <v/>
      </c>
      <c r="D455" s="31" t="str">
        <f t="shared" si="87"/>
        <v/>
      </c>
      <c r="E455" s="32" t="str">
        <f>IF(448=$AD$1+3,"ขอแสดงความนับถือ",IF(448=$AD$1+6,"(                 )",IF(448=$AD$1+7,"เจ้าหน้าที่ขนส่ง",IF($AB455="G",SUM($AF$8:$AF$407),IF(OR($AB455="",$AB455="R"),"",IF($AB455="D",INDEX($AF$8:$AF$407,$AA455),SUMIF($T$8:$T$407,INDEX($T$8:$T$407,$AA455),$AF$8:$AF$407)))))))</f>
        <v/>
      </c>
      <c r="F455" s="32" t="str">
        <f t="shared" si="88"/>
        <v/>
      </c>
      <c r="G455" s="32" t="str">
        <f t="shared" si="89"/>
        <v/>
      </c>
      <c r="H455" s="32" t="str">
        <f t="shared" si="90"/>
        <v/>
      </c>
      <c r="AA455" t="str">
        <f>IFERROR(MATCH(448,$X$8:$X$407,1),"")</f>
        <v/>
      </c>
      <c r="AB455" t="str">
        <f>IF(448=$AD$1+1,"G",IF($AA455="","",IF(INDEX($Q$8:$Q$407,$AA455)="","",IF(448&gt;INDEX($X$8:$X$407,$AA455)+INDEX($V$8:$V$407,$AA455)+INDEX($W$8:$W$407,$AA455),"",IF(448=INDEX($X$8:$X$407,$AA455)+INDEX($V$8:$V$407,$AA455)+INDEX($W$8:$W$407,$AA455),"D",IF(AND(INDEX($W$8:$W$407,$AA455)=1,448=INDEX($X$8:$X$407,$AA455)+INDEX($V$8:$V$407,$AA455)),"S","R"))))))</f>
        <v/>
      </c>
      <c r="AC455" t="str">
        <f t="shared" si="95"/>
        <v/>
      </c>
    </row>
    <row r="456" spans="1:29" ht="21" customHeight="1" x14ac:dyDescent="0.95">
      <c r="A456" s="3" t="str">
        <f t="shared" ref="A456:A519" si="98">IF($AB456="G","ผลรวมทั้งหมด",IF($AB456="R",INDEX($S$8:$S$407,$AA456),""))</f>
        <v/>
      </c>
      <c r="B456" s="3" t="str">
        <f t="shared" ref="B456:B519" si="99">IF($AB456="S",INDEX($Y$8:$Y$407,$AA456),"")</f>
        <v/>
      </c>
      <c r="C456" s="8" t="str">
        <f t="shared" ref="C456:C519" si="100">IF($AB456="D",INDEX($Z$8:$Z$407,$AA456),"")</f>
        <v/>
      </c>
      <c r="D456" s="31" t="str">
        <f t="shared" ref="D456:D519" si="101">IF($AB456="G",SUM($AE$8:$AE$407),IF(OR($AB456="",$AB456="R"),"",IF($AB456="D",INDEX($AE$8:$AE$407,$AA456),SUMIF($T$8:$T$407,INDEX($T$8:$T$407,$AA456),$AE$8:$AE$407))))</f>
        <v/>
      </c>
      <c r="E456" s="32" t="str">
        <f>IF(449=$AD$1+3,"ขอแสดงความนับถือ",IF(449=$AD$1+6,"(                 )",IF(449=$AD$1+7,"เจ้าหน้าที่ขนส่ง",IF($AB456="G",SUM($AF$8:$AF$407),IF(OR($AB456="",$AB456="R"),"",IF($AB456="D",INDEX($AF$8:$AF$407,$AA456),SUMIF($T$8:$T$407,INDEX($T$8:$T$407,$AA456),$AF$8:$AF$407)))))))</f>
        <v/>
      </c>
      <c r="F456" s="32" t="str">
        <f t="shared" ref="F456:F519" si="102">IF($AB456="G",SUM($AG$8:$AG$407),IF(OR($AB456="",$AB456="R"),"",IF($AB456="D",INDEX($AG$8:$AG$407,$AA456),SUMIF($T$8:$T$407,INDEX($T$8:$T$407,$AA456),$AG$8:$AG$407))))</f>
        <v/>
      </c>
      <c r="G456" s="32" t="str">
        <f t="shared" ref="G456:G519" si="103">IF(OR($AB456="",$AB456="R"),"",ROUND($E456-$F456,2))</f>
        <v/>
      </c>
      <c r="H456" s="32" t="str">
        <f t="shared" ref="H456:H519" si="104">IF($AB456="G",SUM($AH$8:$AH$407),IF(OR($AB456="",$AB456="R"),"",IF($AB456="D",INDEX($AH$8:$AH$407,$AA456),SUMIF($T$8:$T$407,INDEX($T$8:$T$407,$AA456),$AH$8:$AH$407))))</f>
        <v/>
      </c>
      <c r="AA456" t="str">
        <f>IFERROR(MATCH(449,$X$8:$X$407,1),"")</f>
        <v/>
      </c>
      <c r="AB456" t="str">
        <f>IF(449=$AD$1+1,"G",IF($AA456="","",IF(INDEX($Q$8:$Q$407,$AA456)="","",IF(449&gt;INDEX($X$8:$X$407,$AA456)+INDEX($V$8:$V$407,$AA456)+INDEX($W$8:$W$407,$AA456),"",IF(449=INDEX($X$8:$X$407,$AA456)+INDEX($V$8:$V$407,$AA456)+INDEX($W$8:$W$407,$AA456),"D",IF(AND(INDEX($W$8:$W$407,$AA456)=1,449=INDEX($X$8:$X$407,$AA456)+INDEX($V$8:$V$407,$AA456)),"S","R"))))))</f>
        <v/>
      </c>
      <c r="AC456" t="str">
        <f t="shared" ref="AC456:AC519" si="105">IF(OR($AB456="",$AB456="G"),"",IF($AB456="D",INDEX($U$8:$U$407,$AA456),IF($AB456="S",INDEX($T$8:$T$407,$AA456)&amp;"|*",INDEX($S$8:$S$407,$AA456)&amp;"|*")))</f>
        <v/>
      </c>
    </row>
    <row r="457" spans="1:29" ht="21" customHeight="1" x14ac:dyDescent="0.95">
      <c r="A457" s="3" t="str">
        <f t="shared" si="98"/>
        <v/>
      </c>
      <c r="B457" s="3" t="str">
        <f t="shared" si="99"/>
        <v/>
      </c>
      <c r="C457" s="8" t="str">
        <f t="shared" si="100"/>
        <v/>
      </c>
      <c r="D457" s="31" t="str">
        <f t="shared" si="101"/>
        <v/>
      </c>
      <c r="E457" s="32" t="str">
        <f>IF(450=$AD$1+3,"ขอแสดงความนับถือ",IF(450=$AD$1+6,"(                 )",IF(450=$AD$1+7,"เจ้าหน้าที่ขนส่ง",IF($AB457="G",SUM($AF$8:$AF$407),IF(OR($AB457="",$AB457="R"),"",IF($AB457="D",INDEX($AF$8:$AF$407,$AA457),SUMIF($T$8:$T$407,INDEX($T$8:$T$407,$AA457),$AF$8:$AF$407)))))))</f>
        <v/>
      </c>
      <c r="F457" s="32" t="str">
        <f t="shared" si="102"/>
        <v/>
      </c>
      <c r="G457" s="32" t="str">
        <f t="shared" si="103"/>
        <v/>
      </c>
      <c r="H457" s="32" t="str">
        <f t="shared" si="104"/>
        <v/>
      </c>
      <c r="AA457" t="str">
        <f>IFERROR(MATCH(450,$X$8:$X$407,1),"")</f>
        <v/>
      </c>
      <c r="AB457" t="str">
        <f>IF(450=$AD$1+1,"G",IF($AA457="","",IF(INDEX($Q$8:$Q$407,$AA457)="","",IF(450&gt;INDEX($X$8:$X$407,$AA457)+INDEX($V$8:$V$407,$AA457)+INDEX($W$8:$W$407,$AA457),"",IF(450=INDEX($X$8:$X$407,$AA457)+INDEX($V$8:$V$407,$AA457)+INDEX($W$8:$W$407,$AA457),"D",IF(AND(INDEX($W$8:$W$407,$AA457)=1,450=INDEX($X$8:$X$407,$AA457)+INDEX($V$8:$V$407,$AA457)),"S","R"))))))</f>
        <v/>
      </c>
      <c r="AC457" t="str">
        <f t="shared" si="105"/>
        <v/>
      </c>
    </row>
    <row r="458" spans="1:29" ht="21" customHeight="1" x14ac:dyDescent="0.95">
      <c r="A458" s="3" t="str">
        <f t="shared" si="98"/>
        <v/>
      </c>
      <c r="B458" s="3" t="str">
        <f t="shared" si="99"/>
        <v/>
      </c>
      <c r="C458" s="8" t="str">
        <f t="shared" si="100"/>
        <v/>
      </c>
      <c r="D458" s="31" t="str">
        <f t="shared" si="101"/>
        <v/>
      </c>
      <c r="E458" s="32" t="str">
        <f>IF(451=$AD$1+3,"ขอแสดงความนับถือ",IF(451=$AD$1+6,"(                 )",IF(451=$AD$1+7,"เจ้าหน้าที่ขนส่ง",IF($AB458="G",SUM($AF$8:$AF$407),IF(OR($AB458="",$AB458="R"),"",IF($AB458="D",INDEX($AF$8:$AF$407,$AA458),SUMIF($T$8:$T$407,INDEX($T$8:$T$407,$AA458),$AF$8:$AF$407)))))))</f>
        <v/>
      </c>
      <c r="F458" s="32" t="str">
        <f t="shared" si="102"/>
        <v/>
      </c>
      <c r="G458" s="32" t="str">
        <f t="shared" si="103"/>
        <v/>
      </c>
      <c r="H458" s="32" t="str">
        <f t="shared" si="104"/>
        <v/>
      </c>
      <c r="AA458" t="str">
        <f>IFERROR(MATCH(451,$X$8:$X$407,1),"")</f>
        <v/>
      </c>
      <c r="AB458" t="str">
        <f>IF(451=$AD$1+1,"G",IF($AA458="","",IF(INDEX($Q$8:$Q$407,$AA458)="","",IF(451&gt;INDEX($X$8:$X$407,$AA458)+INDEX($V$8:$V$407,$AA458)+INDEX($W$8:$W$407,$AA458),"",IF(451=INDEX($X$8:$X$407,$AA458)+INDEX($V$8:$V$407,$AA458)+INDEX($W$8:$W$407,$AA458),"D",IF(AND(INDEX($W$8:$W$407,$AA458)=1,451=INDEX($X$8:$X$407,$AA458)+INDEX($V$8:$V$407,$AA458)),"S","R"))))))</f>
        <v/>
      </c>
      <c r="AC458" t="str">
        <f t="shared" si="105"/>
        <v/>
      </c>
    </row>
    <row r="459" spans="1:29" ht="21" customHeight="1" x14ac:dyDescent="0.95">
      <c r="A459" s="3" t="str">
        <f t="shared" si="98"/>
        <v/>
      </c>
      <c r="B459" s="3" t="str">
        <f t="shared" si="99"/>
        <v/>
      </c>
      <c r="C459" s="8" t="str">
        <f t="shared" si="100"/>
        <v/>
      </c>
      <c r="D459" s="31" t="str">
        <f t="shared" si="101"/>
        <v/>
      </c>
      <c r="E459" s="32" t="str">
        <f>IF(452=$AD$1+3,"ขอแสดงความนับถือ",IF(452=$AD$1+6,"(                 )",IF(452=$AD$1+7,"เจ้าหน้าที่ขนส่ง",IF($AB459="G",SUM($AF$8:$AF$407),IF(OR($AB459="",$AB459="R"),"",IF($AB459="D",INDEX($AF$8:$AF$407,$AA459),SUMIF($T$8:$T$407,INDEX($T$8:$T$407,$AA459),$AF$8:$AF$407)))))))</f>
        <v/>
      </c>
      <c r="F459" s="32" t="str">
        <f t="shared" si="102"/>
        <v/>
      </c>
      <c r="G459" s="32" t="str">
        <f t="shared" si="103"/>
        <v/>
      </c>
      <c r="H459" s="32" t="str">
        <f t="shared" si="104"/>
        <v/>
      </c>
      <c r="AA459" t="str">
        <f>IFERROR(MATCH(452,$X$8:$X$407,1),"")</f>
        <v/>
      </c>
      <c r="AB459" t="str">
        <f>IF(452=$AD$1+1,"G",IF($AA459="","",IF(INDEX($Q$8:$Q$407,$AA459)="","",IF(452&gt;INDEX($X$8:$X$407,$AA459)+INDEX($V$8:$V$407,$AA459)+INDEX($W$8:$W$407,$AA459),"",IF(452=INDEX($X$8:$X$407,$AA459)+INDEX($V$8:$V$407,$AA459)+INDEX($W$8:$W$407,$AA459),"D",IF(AND(INDEX($W$8:$W$407,$AA459)=1,452=INDEX($X$8:$X$407,$AA459)+INDEX($V$8:$V$407,$AA459)),"S","R"))))))</f>
        <v/>
      </c>
      <c r="AC459" t="str">
        <f t="shared" si="105"/>
        <v/>
      </c>
    </row>
    <row r="460" spans="1:29" ht="21" customHeight="1" x14ac:dyDescent="0.95">
      <c r="A460" s="3" t="str">
        <f t="shared" si="98"/>
        <v/>
      </c>
      <c r="B460" s="3" t="str">
        <f t="shared" si="99"/>
        <v/>
      </c>
      <c r="C460" s="8" t="str">
        <f t="shared" si="100"/>
        <v/>
      </c>
      <c r="D460" s="31" t="str">
        <f t="shared" si="101"/>
        <v/>
      </c>
      <c r="E460" s="32" t="str">
        <f>IF(453=$AD$1+3,"ขอแสดงความนับถือ",IF(453=$AD$1+6,"(                 )",IF(453=$AD$1+7,"เจ้าหน้าที่ขนส่ง",IF($AB460="G",SUM($AF$8:$AF$407),IF(OR($AB460="",$AB460="R"),"",IF($AB460="D",INDEX($AF$8:$AF$407,$AA460),SUMIF($T$8:$T$407,INDEX($T$8:$T$407,$AA460),$AF$8:$AF$407)))))))</f>
        <v/>
      </c>
      <c r="F460" s="32" t="str">
        <f t="shared" si="102"/>
        <v/>
      </c>
      <c r="G460" s="32" t="str">
        <f t="shared" si="103"/>
        <v/>
      </c>
      <c r="H460" s="32" t="str">
        <f t="shared" si="104"/>
        <v/>
      </c>
      <c r="AA460" t="str">
        <f>IFERROR(MATCH(453,$X$8:$X$407,1),"")</f>
        <v/>
      </c>
      <c r="AB460" t="str">
        <f>IF(453=$AD$1+1,"G",IF($AA460="","",IF(INDEX($Q$8:$Q$407,$AA460)="","",IF(453&gt;INDEX($X$8:$X$407,$AA460)+INDEX($V$8:$V$407,$AA460)+INDEX($W$8:$W$407,$AA460),"",IF(453=INDEX($X$8:$X$407,$AA460)+INDEX($V$8:$V$407,$AA460)+INDEX($W$8:$W$407,$AA460),"D",IF(AND(INDEX($W$8:$W$407,$AA460)=1,453=INDEX($X$8:$X$407,$AA460)+INDEX($V$8:$V$407,$AA460)),"S","R"))))))</f>
        <v/>
      </c>
      <c r="AC460" t="str">
        <f t="shared" si="105"/>
        <v/>
      </c>
    </row>
    <row r="461" spans="1:29" ht="21" customHeight="1" x14ac:dyDescent="0.95">
      <c r="A461" s="3" t="str">
        <f t="shared" si="98"/>
        <v/>
      </c>
      <c r="B461" s="3" t="str">
        <f t="shared" si="99"/>
        <v/>
      </c>
      <c r="C461" s="8" t="str">
        <f t="shared" si="100"/>
        <v/>
      </c>
      <c r="D461" s="31" t="str">
        <f t="shared" si="101"/>
        <v/>
      </c>
      <c r="E461" s="32" t="str">
        <f>IF(454=$AD$1+3,"ขอแสดงความนับถือ",IF(454=$AD$1+6,"(                 )",IF(454=$AD$1+7,"เจ้าหน้าที่ขนส่ง",IF($AB461="G",SUM($AF$8:$AF$407),IF(OR($AB461="",$AB461="R"),"",IF($AB461="D",INDEX($AF$8:$AF$407,$AA461),SUMIF($T$8:$T$407,INDEX($T$8:$T$407,$AA461),$AF$8:$AF$407)))))))</f>
        <v/>
      </c>
      <c r="F461" s="32" t="str">
        <f t="shared" si="102"/>
        <v/>
      </c>
      <c r="G461" s="32" t="str">
        <f t="shared" si="103"/>
        <v/>
      </c>
      <c r="H461" s="32" t="str">
        <f t="shared" si="104"/>
        <v/>
      </c>
      <c r="AA461" t="str">
        <f>IFERROR(MATCH(454,$X$8:$X$407,1),"")</f>
        <v/>
      </c>
      <c r="AB461" t="str">
        <f>IF(454=$AD$1+1,"G",IF($AA461="","",IF(INDEX($Q$8:$Q$407,$AA461)="","",IF(454&gt;INDEX($X$8:$X$407,$AA461)+INDEX($V$8:$V$407,$AA461)+INDEX($W$8:$W$407,$AA461),"",IF(454=INDEX($X$8:$X$407,$AA461)+INDEX($V$8:$V$407,$AA461)+INDEX($W$8:$W$407,$AA461),"D",IF(AND(INDEX($W$8:$W$407,$AA461)=1,454=INDEX($X$8:$X$407,$AA461)+INDEX($V$8:$V$407,$AA461)),"S","R"))))))</f>
        <v/>
      </c>
      <c r="AC461" t="str">
        <f t="shared" si="105"/>
        <v/>
      </c>
    </row>
    <row r="462" spans="1:29" ht="21" customHeight="1" x14ac:dyDescent="0.95">
      <c r="A462" s="3" t="str">
        <f t="shared" si="98"/>
        <v/>
      </c>
      <c r="B462" s="3" t="str">
        <f t="shared" si="99"/>
        <v/>
      </c>
      <c r="C462" s="8" t="str">
        <f t="shared" si="100"/>
        <v/>
      </c>
      <c r="D462" s="31" t="str">
        <f t="shared" si="101"/>
        <v/>
      </c>
      <c r="E462" s="32" t="str">
        <f>IF(455=$AD$1+3,"ขอแสดงความนับถือ",IF(455=$AD$1+6,"(                 )",IF(455=$AD$1+7,"เจ้าหน้าที่ขนส่ง",IF($AB462="G",SUM($AF$8:$AF$407),IF(OR($AB462="",$AB462="R"),"",IF($AB462="D",INDEX($AF$8:$AF$407,$AA462),SUMIF($T$8:$T$407,INDEX($T$8:$T$407,$AA462),$AF$8:$AF$407)))))))</f>
        <v/>
      </c>
      <c r="F462" s="32" t="str">
        <f t="shared" si="102"/>
        <v/>
      </c>
      <c r="G462" s="32" t="str">
        <f t="shared" si="103"/>
        <v/>
      </c>
      <c r="H462" s="32" t="str">
        <f t="shared" si="104"/>
        <v/>
      </c>
      <c r="AA462" t="str">
        <f>IFERROR(MATCH(455,$X$8:$X$407,1),"")</f>
        <v/>
      </c>
      <c r="AB462" t="str">
        <f>IF(455=$AD$1+1,"G",IF($AA462="","",IF(INDEX($Q$8:$Q$407,$AA462)="","",IF(455&gt;INDEX($X$8:$X$407,$AA462)+INDEX($V$8:$V$407,$AA462)+INDEX($W$8:$W$407,$AA462),"",IF(455=INDEX($X$8:$X$407,$AA462)+INDEX($V$8:$V$407,$AA462)+INDEX($W$8:$W$407,$AA462),"D",IF(AND(INDEX($W$8:$W$407,$AA462)=1,455=INDEX($X$8:$X$407,$AA462)+INDEX($V$8:$V$407,$AA462)),"S","R"))))))</f>
        <v/>
      </c>
      <c r="AC462" t="str">
        <f t="shared" si="105"/>
        <v/>
      </c>
    </row>
    <row r="463" spans="1:29" ht="21" customHeight="1" x14ac:dyDescent="0.95">
      <c r="A463" s="3" t="str">
        <f t="shared" si="98"/>
        <v/>
      </c>
      <c r="B463" s="3" t="str">
        <f t="shared" si="99"/>
        <v/>
      </c>
      <c r="C463" s="8" t="str">
        <f t="shared" si="100"/>
        <v/>
      </c>
      <c r="D463" s="31" t="str">
        <f t="shared" si="101"/>
        <v/>
      </c>
      <c r="E463" s="32" t="str">
        <f>IF(456=$AD$1+3,"ขอแสดงความนับถือ",IF(456=$AD$1+6,"(                 )",IF(456=$AD$1+7,"เจ้าหน้าที่ขนส่ง",IF($AB463="G",SUM($AF$8:$AF$407),IF(OR($AB463="",$AB463="R"),"",IF($AB463="D",INDEX($AF$8:$AF$407,$AA463),SUMIF($T$8:$T$407,INDEX($T$8:$T$407,$AA463),$AF$8:$AF$407)))))))</f>
        <v/>
      </c>
      <c r="F463" s="32" t="str">
        <f t="shared" si="102"/>
        <v/>
      </c>
      <c r="G463" s="32" t="str">
        <f t="shared" si="103"/>
        <v/>
      </c>
      <c r="H463" s="32" t="str">
        <f t="shared" si="104"/>
        <v/>
      </c>
      <c r="AA463" t="str">
        <f>IFERROR(MATCH(456,$X$8:$X$407,1),"")</f>
        <v/>
      </c>
      <c r="AB463" t="str">
        <f>IF(456=$AD$1+1,"G",IF($AA463="","",IF(INDEX($Q$8:$Q$407,$AA463)="","",IF(456&gt;INDEX($X$8:$X$407,$AA463)+INDEX($V$8:$V$407,$AA463)+INDEX($W$8:$W$407,$AA463),"",IF(456=INDEX($X$8:$X$407,$AA463)+INDEX($V$8:$V$407,$AA463)+INDEX($W$8:$W$407,$AA463),"D",IF(AND(INDEX($W$8:$W$407,$AA463)=1,456=INDEX($X$8:$X$407,$AA463)+INDEX($V$8:$V$407,$AA463)),"S","R"))))))</f>
        <v/>
      </c>
      <c r="AC463" t="str">
        <f t="shared" si="105"/>
        <v/>
      </c>
    </row>
    <row r="464" spans="1:29" ht="21" customHeight="1" x14ac:dyDescent="0.95">
      <c r="A464" s="3" t="str">
        <f t="shared" si="98"/>
        <v/>
      </c>
      <c r="B464" s="3" t="str">
        <f t="shared" si="99"/>
        <v/>
      </c>
      <c r="C464" s="8" t="str">
        <f t="shared" si="100"/>
        <v/>
      </c>
      <c r="D464" s="31" t="str">
        <f t="shared" si="101"/>
        <v/>
      </c>
      <c r="E464" s="32" t="str">
        <f>IF(457=$AD$1+3,"ขอแสดงความนับถือ",IF(457=$AD$1+6,"(                 )",IF(457=$AD$1+7,"เจ้าหน้าที่ขนส่ง",IF($AB464="G",SUM($AF$8:$AF$407),IF(OR($AB464="",$AB464="R"),"",IF($AB464="D",INDEX($AF$8:$AF$407,$AA464),SUMIF($T$8:$T$407,INDEX($T$8:$T$407,$AA464),$AF$8:$AF$407)))))))</f>
        <v/>
      </c>
      <c r="F464" s="32" t="str">
        <f t="shared" si="102"/>
        <v/>
      </c>
      <c r="G464" s="32" t="str">
        <f t="shared" si="103"/>
        <v/>
      </c>
      <c r="H464" s="32" t="str">
        <f t="shared" si="104"/>
        <v/>
      </c>
      <c r="AA464" t="str">
        <f>IFERROR(MATCH(457,$X$8:$X$407,1),"")</f>
        <v/>
      </c>
      <c r="AB464" t="str">
        <f>IF(457=$AD$1+1,"G",IF($AA464="","",IF(INDEX($Q$8:$Q$407,$AA464)="","",IF(457&gt;INDEX($X$8:$X$407,$AA464)+INDEX($V$8:$V$407,$AA464)+INDEX($W$8:$W$407,$AA464),"",IF(457=INDEX($X$8:$X$407,$AA464)+INDEX($V$8:$V$407,$AA464)+INDEX($W$8:$W$407,$AA464),"D",IF(AND(INDEX($W$8:$W$407,$AA464)=1,457=INDEX($X$8:$X$407,$AA464)+INDEX($V$8:$V$407,$AA464)),"S","R"))))))</f>
        <v/>
      </c>
      <c r="AC464" t="str">
        <f t="shared" si="105"/>
        <v/>
      </c>
    </row>
    <row r="465" spans="1:29" ht="21" customHeight="1" x14ac:dyDescent="0.95">
      <c r="A465" s="3" t="str">
        <f t="shared" si="98"/>
        <v/>
      </c>
      <c r="B465" s="3" t="str">
        <f t="shared" si="99"/>
        <v/>
      </c>
      <c r="C465" s="8" t="str">
        <f t="shared" si="100"/>
        <v/>
      </c>
      <c r="D465" s="31" t="str">
        <f t="shared" si="101"/>
        <v/>
      </c>
      <c r="E465" s="32" t="str">
        <f>IF(458=$AD$1+3,"ขอแสดงความนับถือ",IF(458=$AD$1+6,"(                 )",IF(458=$AD$1+7,"เจ้าหน้าที่ขนส่ง",IF($AB465="G",SUM($AF$8:$AF$407),IF(OR($AB465="",$AB465="R"),"",IF($AB465="D",INDEX($AF$8:$AF$407,$AA465),SUMIF($T$8:$T$407,INDEX($T$8:$T$407,$AA465),$AF$8:$AF$407)))))))</f>
        <v/>
      </c>
      <c r="F465" s="32" t="str">
        <f t="shared" si="102"/>
        <v/>
      </c>
      <c r="G465" s="32" t="str">
        <f t="shared" si="103"/>
        <v/>
      </c>
      <c r="H465" s="32" t="str">
        <f t="shared" si="104"/>
        <v/>
      </c>
      <c r="AA465" t="str">
        <f>IFERROR(MATCH(458,$X$8:$X$407,1),"")</f>
        <v/>
      </c>
      <c r="AB465" t="str">
        <f>IF(458=$AD$1+1,"G",IF($AA465="","",IF(INDEX($Q$8:$Q$407,$AA465)="","",IF(458&gt;INDEX($X$8:$X$407,$AA465)+INDEX($V$8:$V$407,$AA465)+INDEX($W$8:$W$407,$AA465),"",IF(458=INDEX($X$8:$X$407,$AA465)+INDEX($V$8:$V$407,$AA465)+INDEX($W$8:$W$407,$AA465),"D",IF(AND(INDEX($W$8:$W$407,$AA465)=1,458=INDEX($X$8:$X$407,$AA465)+INDEX($V$8:$V$407,$AA465)),"S","R"))))))</f>
        <v/>
      </c>
      <c r="AC465" t="str">
        <f t="shared" si="105"/>
        <v/>
      </c>
    </row>
    <row r="466" spans="1:29" ht="21" customHeight="1" x14ac:dyDescent="0.95">
      <c r="A466" s="3" t="str">
        <f t="shared" si="98"/>
        <v/>
      </c>
      <c r="B466" s="3" t="str">
        <f t="shared" si="99"/>
        <v/>
      </c>
      <c r="C466" s="8" t="str">
        <f t="shared" si="100"/>
        <v/>
      </c>
      <c r="D466" s="31" t="str">
        <f t="shared" si="101"/>
        <v/>
      </c>
      <c r="E466" s="32" t="str">
        <f>IF(459=$AD$1+3,"ขอแสดงความนับถือ",IF(459=$AD$1+6,"(                 )",IF(459=$AD$1+7,"เจ้าหน้าที่ขนส่ง",IF($AB466="G",SUM($AF$8:$AF$407),IF(OR($AB466="",$AB466="R"),"",IF($AB466="D",INDEX($AF$8:$AF$407,$AA466),SUMIF($T$8:$T$407,INDEX($T$8:$T$407,$AA466),$AF$8:$AF$407)))))))</f>
        <v/>
      </c>
      <c r="F466" s="32" t="str">
        <f t="shared" si="102"/>
        <v/>
      </c>
      <c r="G466" s="32" t="str">
        <f t="shared" si="103"/>
        <v/>
      </c>
      <c r="H466" s="32" t="str">
        <f t="shared" si="104"/>
        <v/>
      </c>
      <c r="AA466" t="str">
        <f>IFERROR(MATCH(459,$X$8:$X$407,1),"")</f>
        <v/>
      </c>
      <c r="AB466" t="str">
        <f>IF(459=$AD$1+1,"G",IF($AA466="","",IF(INDEX($Q$8:$Q$407,$AA466)="","",IF(459&gt;INDEX($X$8:$X$407,$AA466)+INDEX($V$8:$V$407,$AA466)+INDEX($W$8:$W$407,$AA466),"",IF(459=INDEX($X$8:$X$407,$AA466)+INDEX($V$8:$V$407,$AA466)+INDEX($W$8:$W$407,$AA466),"D",IF(AND(INDEX($W$8:$W$407,$AA466)=1,459=INDEX($X$8:$X$407,$AA466)+INDEX($V$8:$V$407,$AA466)),"S","R"))))))</f>
        <v/>
      </c>
      <c r="AC466" t="str">
        <f t="shared" si="105"/>
        <v/>
      </c>
    </row>
    <row r="467" spans="1:29" ht="21" customHeight="1" x14ac:dyDescent="0.95">
      <c r="A467" s="3" t="str">
        <f t="shared" si="98"/>
        <v/>
      </c>
      <c r="B467" s="3" t="str">
        <f t="shared" si="99"/>
        <v/>
      </c>
      <c r="C467" s="8" t="str">
        <f t="shared" si="100"/>
        <v/>
      </c>
      <c r="D467" s="31" t="str">
        <f t="shared" si="101"/>
        <v/>
      </c>
      <c r="E467" s="32" t="str">
        <f>IF(460=$AD$1+3,"ขอแสดงความนับถือ",IF(460=$AD$1+6,"(                 )",IF(460=$AD$1+7,"เจ้าหน้าที่ขนส่ง",IF($AB467="G",SUM($AF$8:$AF$407),IF(OR($AB467="",$AB467="R"),"",IF($AB467="D",INDEX($AF$8:$AF$407,$AA467),SUMIF($T$8:$T$407,INDEX($T$8:$T$407,$AA467),$AF$8:$AF$407)))))))</f>
        <v/>
      </c>
      <c r="F467" s="32" t="str">
        <f t="shared" si="102"/>
        <v/>
      </c>
      <c r="G467" s="32" t="str">
        <f t="shared" si="103"/>
        <v/>
      </c>
      <c r="H467" s="32" t="str">
        <f t="shared" si="104"/>
        <v/>
      </c>
      <c r="AA467" t="str">
        <f>IFERROR(MATCH(460,$X$8:$X$407,1),"")</f>
        <v/>
      </c>
      <c r="AB467" t="str">
        <f>IF(460=$AD$1+1,"G",IF($AA467="","",IF(INDEX($Q$8:$Q$407,$AA467)="","",IF(460&gt;INDEX($X$8:$X$407,$AA467)+INDEX($V$8:$V$407,$AA467)+INDEX($W$8:$W$407,$AA467),"",IF(460=INDEX($X$8:$X$407,$AA467)+INDEX($V$8:$V$407,$AA467)+INDEX($W$8:$W$407,$AA467),"D",IF(AND(INDEX($W$8:$W$407,$AA467)=1,460=INDEX($X$8:$X$407,$AA467)+INDEX($V$8:$V$407,$AA467)),"S","R"))))))</f>
        <v/>
      </c>
      <c r="AC467" t="str">
        <f t="shared" si="105"/>
        <v/>
      </c>
    </row>
    <row r="468" spans="1:29" ht="21" customHeight="1" x14ac:dyDescent="0.95">
      <c r="A468" s="3" t="str">
        <f t="shared" si="98"/>
        <v/>
      </c>
      <c r="B468" s="3" t="str">
        <f t="shared" si="99"/>
        <v/>
      </c>
      <c r="C468" s="8" t="str">
        <f t="shared" si="100"/>
        <v/>
      </c>
      <c r="D468" s="31" t="str">
        <f t="shared" si="101"/>
        <v/>
      </c>
      <c r="E468" s="32" t="str">
        <f>IF(461=$AD$1+3,"ขอแสดงความนับถือ",IF(461=$AD$1+6,"(                 )",IF(461=$AD$1+7,"เจ้าหน้าที่ขนส่ง",IF($AB468="G",SUM($AF$8:$AF$407),IF(OR($AB468="",$AB468="R"),"",IF($AB468="D",INDEX($AF$8:$AF$407,$AA468),SUMIF($T$8:$T$407,INDEX($T$8:$T$407,$AA468),$AF$8:$AF$407)))))))</f>
        <v/>
      </c>
      <c r="F468" s="32" t="str">
        <f t="shared" si="102"/>
        <v/>
      </c>
      <c r="G468" s="32" t="str">
        <f t="shared" si="103"/>
        <v/>
      </c>
      <c r="H468" s="32" t="str">
        <f t="shared" si="104"/>
        <v/>
      </c>
      <c r="AA468" t="str">
        <f>IFERROR(MATCH(461,$X$8:$X$407,1),"")</f>
        <v/>
      </c>
      <c r="AB468" t="str">
        <f>IF(461=$AD$1+1,"G",IF($AA468="","",IF(INDEX($Q$8:$Q$407,$AA468)="","",IF(461&gt;INDEX($X$8:$X$407,$AA468)+INDEX($V$8:$V$407,$AA468)+INDEX($W$8:$W$407,$AA468),"",IF(461=INDEX($X$8:$X$407,$AA468)+INDEX($V$8:$V$407,$AA468)+INDEX($W$8:$W$407,$AA468),"D",IF(AND(INDEX($W$8:$W$407,$AA468)=1,461=INDEX($X$8:$X$407,$AA468)+INDEX($V$8:$V$407,$AA468)),"S","R"))))))</f>
        <v/>
      </c>
      <c r="AC468" t="str">
        <f t="shared" si="105"/>
        <v/>
      </c>
    </row>
    <row r="469" spans="1:29" ht="21" customHeight="1" x14ac:dyDescent="0.95">
      <c r="A469" s="3" t="str">
        <f t="shared" si="98"/>
        <v/>
      </c>
      <c r="B469" s="3" t="str">
        <f t="shared" si="99"/>
        <v/>
      </c>
      <c r="C469" s="8" t="str">
        <f t="shared" si="100"/>
        <v/>
      </c>
      <c r="D469" s="31" t="str">
        <f t="shared" si="101"/>
        <v/>
      </c>
      <c r="E469" s="32" t="str">
        <f>IF(462=$AD$1+3,"ขอแสดงความนับถือ",IF(462=$AD$1+6,"(                 )",IF(462=$AD$1+7,"เจ้าหน้าที่ขนส่ง",IF($AB469="G",SUM($AF$8:$AF$407),IF(OR($AB469="",$AB469="R"),"",IF($AB469="D",INDEX($AF$8:$AF$407,$AA469),SUMIF($T$8:$T$407,INDEX($T$8:$T$407,$AA469),$AF$8:$AF$407)))))))</f>
        <v/>
      </c>
      <c r="F469" s="32" t="str">
        <f t="shared" si="102"/>
        <v/>
      </c>
      <c r="G469" s="32" t="str">
        <f t="shared" si="103"/>
        <v/>
      </c>
      <c r="H469" s="32" t="str">
        <f t="shared" si="104"/>
        <v/>
      </c>
      <c r="AA469" t="str">
        <f>IFERROR(MATCH(462,$X$8:$X$407,1),"")</f>
        <v/>
      </c>
      <c r="AB469" t="str">
        <f>IF(462=$AD$1+1,"G",IF($AA469="","",IF(INDEX($Q$8:$Q$407,$AA469)="","",IF(462&gt;INDEX($X$8:$X$407,$AA469)+INDEX($V$8:$V$407,$AA469)+INDEX($W$8:$W$407,$AA469),"",IF(462=INDEX($X$8:$X$407,$AA469)+INDEX($V$8:$V$407,$AA469)+INDEX($W$8:$W$407,$AA469),"D",IF(AND(INDEX($W$8:$W$407,$AA469)=1,462=INDEX($X$8:$X$407,$AA469)+INDEX($V$8:$V$407,$AA469)),"S","R"))))))</f>
        <v/>
      </c>
      <c r="AC469" t="str">
        <f t="shared" si="105"/>
        <v/>
      </c>
    </row>
    <row r="470" spans="1:29" ht="21" customHeight="1" x14ac:dyDescent="0.95">
      <c r="A470" s="3" t="str">
        <f t="shared" si="98"/>
        <v/>
      </c>
      <c r="B470" s="3" t="str">
        <f t="shared" si="99"/>
        <v/>
      </c>
      <c r="C470" s="8" t="str">
        <f t="shared" si="100"/>
        <v/>
      </c>
      <c r="D470" s="31" t="str">
        <f t="shared" si="101"/>
        <v/>
      </c>
      <c r="E470" s="32" t="str">
        <f>IF(463=$AD$1+3,"ขอแสดงความนับถือ",IF(463=$AD$1+6,"(                 )",IF(463=$AD$1+7,"เจ้าหน้าที่ขนส่ง",IF($AB470="G",SUM($AF$8:$AF$407),IF(OR($AB470="",$AB470="R"),"",IF($AB470="D",INDEX($AF$8:$AF$407,$AA470),SUMIF($T$8:$T$407,INDEX($T$8:$T$407,$AA470),$AF$8:$AF$407)))))))</f>
        <v/>
      </c>
      <c r="F470" s="32" t="str">
        <f t="shared" si="102"/>
        <v/>
      </c>
      <c r="G470" s="32" t="str">
        <f t="shared" si="103"/>
        <v/>
      </c>
      <c r="H470" s="32" t="str">
        <f t="shared" si="104"/>
        <v/>
      </c>
      <c r="AA470" t="str">
        <f>IFERROR(MATCH(463,$X$8:$X$407,1),"")</f>
        <v/>
      </c>
      <c r="AB470" t="str">
        <f>IF(463=$AD$1+1,"G",IF($AA470="","",IF(INDEX($Q$8:$Q$407,$AA470)="","",IF(463&gt;INDEX($X$8:$X$407,$AA470)+INDEX($V$8:$V$407,$AA470)+INDEX($W$8:$W$407,$AA470),"",IF(463=INDEX($X$8:$X$407,$AA470)+INDEX($V$8:$V$407,$AA470)+INDEX($W$8:$W$407,$AA470),"D",IF(AND(INDEX($W$8:$W$407,$AA470)=1,463=INDEX($X$8:$X$407,$AA470)+INDEX($V$8:$V$407,$AA470)),"S","R"))))))</f>
        <v/>
      </c>
      <c r="AC470" t="str">
        <f t="shared" si="105"/>
        <v/>
      </c>
    </row>
    <row r="471" spans="1:29" ht="21" customHeight="1" x14ac:dyDescent="0.95">
      <c r="A471" s="3" t="str">
        <f t="shared" si="98"/>
        <v/>
      </c>
      <c r="B471" s="3" t="str">
        <f t="shared" si="99"/>
        <v/>
      </c>
      <c r="C471" s="8" t="str">
        <f t="shared" si="100"/>
        <v/>
      </c>
      <c r="D471" s="31" t="str">
        <f t="shared" si="101"/>
        <v/>
      </c>
      <c r="E471" s="32" t="str">
        <f>IF(464=$AD$1+3,"ขอแสดงความนับถือ",IF(464=$AD$1+6,"(                 )",IF(464=$AD$1+7,"เจ้าหน้าที่ขนส่ง",IF($AB471="G",SUM($AF$8:$AF$407),IF(OR($AB471="",$AB471="R"),"",IF($AB471="D",INDEX($AF$8:$AF$407,$AA471),SUMIF($T$8:$T$407,INDEX($T$8:$T$407,$AA471),$AF$8:$AF$407)))))))</f>
        <v/>
      </c>
      <c r="F471" s="32" t="str">
        <f t="shared" si="102"/>
        <v/>
      </c>
      <c r="G471" s="32" t="str">
        <f t="shared" si="103"/>
        <v/>
      </c>
      <c r="H471" s="32" t="str">
        <f t="shared" si="104"/>
        <v/>
      </c>
      <c r="AA471" t="str">
        <f>IFERROR(MATCH(464,$X$8:$X$407,1),"")</f>
        <v/>
      </c>
      <c r="AB471" t="str">
        <f>IF(464=$AD$1+1,"G",IF($AA471="","",IF(INDEX($Q$8:$Q$407,$AA471)="","",IF(464&gt;INDEX($X$8:$X$407,$AA471)+INDEX($V$8:$V$407,$AA471)+INDEX($W$8:$W$407,$AA471),"",IF(464=INDEX($X$8:$X$407,$AA471)+INDEX($V$8:$V$407,$AA471)+INDEX($W$8:$W$407,$AA471),"D",IF(AND(INDEX($W$8:$W$407,$AA471)=1,464=INDEX($X$8:$X$407,$AA471)+INDEX($V$8:$V$407,$AA471)),"S","R"))))))</f>
        <v/>
      </c>
      <c r="AC471" t="str">
        <f t="shared" si="105"/>
        <v/>
      </c>
    </row>
    <row r="472" spans="1:29" ht="21" customHeight="1" x14ac:dyDescent="0.95">
      <c r="A472" s="3" t="str">
        <f t="shared" si="98"/>
        <v/>
      </c>
      <c r="B472" s="3" t="str">
        <f t="shared" si="99"/>
        <v/>
      </c>
      <c r="C472" s="8" t="str">
        <f t="shared" si="100"/>
        <v/>
      </c>
      <c r="D472" s="31" t="str">
        <f t="shared" si="101"/>
        <v/>
      </c>
      <c r="E472" s="32" t="str">
        <f>IF(465=$AD$1+3,"ขอแสดงความนับถือ",IF(465=$AD$1+6,"(                 )",IF(465=$AD$1+7,"เจ้าหน้าที่ขนส่ง",IF($AB472="G",SUM($AF$8:$AF$407),IF(OR($AB472="",$AB472="R"),"",IF($AB472="D",INDEX($AF$8:$AF$407,$AA472),SUMIF($T$8:$T$407,INDEX($T$8:$T$407,$AA472),$AF$8:$AF$407)))))))</f>
        <v/>
      </c>
      <c r="F472" s="32" t="str">
        <f t="shared" si="102"/>
        <v/>
      </c>
      <c r="G472" s="32" t="str">
        <f t="shared" si="103"/>
        <v/>
      </c>
      <c r="H472" s="32" t="str">
        <f t="shared" si="104"/>
        <v/>
      </c>
      <c r="AA472" t="str">
        <f>IFERROR(MATCH(465,$X$8:$X$407,1),"")</f>
        <v/>
      </c>
      <c r="AB472" t="str">
        <f>IF(465=$AD$1+1,"G",IF($AA472="","",IF(INDEX($Q$8:$Q$407,$AA472)="","",IF(465&gt;INDEX($X$8:$X$407,$AA472)+INDEX($V$8:$V$407,$AA472)+INDEX($W$8:$W$407,$AA472),"",IF(465=INDEX($X$8:$X$407,$AA472)+INDEX($V$8:$V$407,$AA472)+INDEX($W$8:$W$407,$AA472),"D",IF(AND(INDEX($W$8:$W$407,$AA472)=1,465=INDEX($X$8:$X$407,$AA472)+INDEX($V$8:$V$407,$AA472)),"S","R"))))))</f>
        <v/>
      </c>
      <c r="AC472" t="str">
        <f t="shared" si="105"/>
        <v/>
      </c>
    </row>
    <row r="473" spans="1:29" ht="21" customHeight="1" x14ac:dyDescent="0.95">
      <c r="A473" s="3" t="str">
        <f t="shared" si="98"/>
        <v/>
      </c>
      <c r="B473" s="3" t="str">
        <f t="shared" si="99"/>
        <v/>
      </c>
      <c r="C473" s="8" t="str">
        <f t="shared" si="100"/>
        <v/>
      </c>
      <c r="D473" s="31" t="str">
        <f t="shared" si="101"/>
        <v/>
      </c>
      <c r="E473" s="32" t="str">
        <f>IF(466=$AD$1+3,"ขอแสดงความนับถือ",IF(466=$AD$1+6,"(                 )",IF(466=$AD$1+7,"เจ้าหน้าที่ขนส่ง",IF($AB473="G",SUM($AF$8:$AF$407),IF(OR($AB473="",$AB473="R"),"",IF($AB473="D",INDEX($AF$8:$AF$407,$AA473),SUMIF($T$8:$T$407,INDEX($T$8:$T$407,$AA473),$AF$8:$AF$407)))))))</f>
        <v/>
      </c>
      <c r="F473" s="32" t="str">
        <f t="shared" si="102"/>
        <v/>
      </c>
      <c r="G473" s="32" t="str">
        <f t="shared" si="103"/>
        <v/>
      </c>
      <c r="H473" s="32" t="str">
        <f t="shared" si="104"/>
        <v/>
      </c>
      <c r="AA473" t="str">
        <f>IFERROR(MATCH(466,$X$8:$X$407,1),"")</f>
        <v/>
      </c>
      <c r="AB473" t="str">
        <f>IF(466=$AD$1+1,"G",IF($AA473="","",IF(INDEX($Q$8:$Q$407,$AA473)="","",IF(466&gt;INDEX($X$8:$X$407,$AA473)+INDEX($V$8:$V$407,$AA473)+INDEX($W$8:$W$407,$AA473),"",IF(466=INDEX($X$8:$X$407,$AA473)+INDEX($V$8:$V$407,$AA473)+INDEX($W$8:$W$407,$AA473),"D",IF(AND(INDEX($W$8:$W$407,$AA473)=1,466=INDEX($X$8:$X$407,$AA473)+INDEX($V$8:$V$407,$AA473)),"S","R"))))))</f>
        <v/>
      </c>
      <c r="AC473" t="str">
        <f t="shared" si="105"/>
        <v/>
      </c>
    </row>
    <row r="474" spans="1:29" ht="21" customHeight="1" x14ac:dyDescent="0.95">
      <c r="A474" s="3" t="str">
        <f t="shared" si="98"/>
        <v/>
      </c>
      <c r="B474" s="3" t="str">
        <f t="shared" si="99"/>
        <v/>
      </c>
      <c r="C474" s="8" t="str">
        <f t="shared" si="100"/>
        <v/>
      </c>
      <c r="D474" s="31" t="str">
        <f t="shared" si="101"/>
        <v/>
      </c>
      <c r="E474" s="32" t="str">
        <f>IF(467=$AD$1+3,"ขอแสดงความนับถือ",IF(467=$AD$1+6,"(                 )",IF(467=$AD$1+7,"เจ้าหน้าที่ขนส่ง",IF($AB474="G",SUM($AF$8:$AF$407),IF(OR($AB474="",$AB474="R"),"",IF($AB474="D",INDEX($AF$8:$AF$407,$AA474),SUMIF($T$8:$T$407,INDEX($T$8:$T$407,$AA474),$AF$8:$AF$407)))))))</f>
        <v/>
      </c>
      <c r="F474" s="32" t="str">
        <f t="shared" si="102"/>
        <v/>
      </c>
      <c r="G474" s="32" t="str">
        <f t="shared" si="103"/>
        <v/>
      </c>
      <c r="H474" s="32" t="str">
        <f t="shared" si="104"/>
        <v/>
      </c>
      <c r="AA474" t="str">
        <f>IFERROR(MATCH(467,$X$8:$X$407,1),"")</f>
        <v/>
      </c>
      <c r="AB474" t="str">
        <f>IF(467=$AD$1+1,"G",IF($AA474="","",IF(INDEX($Q$8:$Q$407,$AA474)="","",IF(467&gt;INDEX($X$8:$X$407,$AA474)+INDEX($V$8:$V$407,$AA474)+INDEX($W$8:$W$407,$AA474),"",IF(467=INDEX($X$8:$X$407,$AA474)+INDEX($V$8:$V$407,$AA474)+INDEX($W$8:$W$407,$AA474),"D",IF(AND(INDEX($W$8:$W$407,$AA474)=1,467=INDEX($X$8:$X$407,$AA474)+INDEX($V$8:$V$407,$AA474)),"S","R"))))))</f>
        <v/>
      </c>
      <c r="AC474" t="str">
        <f t="shared" si="105"/>
        <v/>
      </c>
    </row>
    <row r="475" spans="1:29" ht="21" customHeight="1" x14ac:dyDescent="0.95">
      <c r="A475" s="3" t="str">
        <f t="shared" si="98"/>
        <v/>
      </c>
      <c r="B475" s="3" t="str">
        <f t="shared" si="99"/>
        <v/>
      </c>
      <c r="C475" s="8" t="str">
        <f t="shared" si="100"/>
        <v/>
      </c>
      <c r="D475" s="31" t="str">
        <f t="shared" si="101"/>
        <v/>
      </c>
      <c r="E475" s="32" t="str">
        <f>IF(468=$AD$1+3,"ขอแสดงความนับถือ",IF(468=$AD$1+6,"(                 )",IF(468=$AD$1+7,"เจ้าหน้าที่ขนส่ง",IF($AB475="G",SUM($AF$8:$AF$407),IF(OR($AB475="",$AB475="R"),"",IF($AB475="D",INDEX($AF$8:$AF$407,$AA475),SUMIF($T$8:$T$407,INDEX($T$8:$T$407,$AA475),$AF$8:$AF$407)))))))</f>
        <v/>
      </c>
      <c r="F475" s="32" t="str">
        <f t="shared" si="102"/>
        <v/>
      </c>
      <c r="G475" s="32" t="str">
        <f t="shared" si="103"/>
        <v/>
      </c>
      <c r="H475" s="32" t="str">
        <f t="shared" si="104"/>
        <v/>
      </c>
      <c r="AA475" t="str">
        <f>IFERROR(MATCH(468,$X$8:$X$407,1),"")</f>
        <v/>
      </c>
      <c r="AB475" t="str">
        <f>IF(468=$AD$1+1,"G",IF($AA475="","",IF(INDEX($Q$8:$Q$407,$AA475)="","",IF(468&gt;INDEX($X$8:$X$407,$AA475)+INDEX($V$8:$V$407,$AA475)+INDEX($W$8:$W$407,$AA475),"",IF(468=INDEX($X$8:$X$407,$AA475)+INDEX($V$8:$V$407,$AA475)+INDEX($W$8:$W$407,$AA475),"D",IF(AND(INDEX($W$8:$W$407,$AA475)=1,468=INDEX($X$8:$X$407,$AA475)+INDEX($V$8:$V$407,$AA475)),"S","R"))))))</f>
        <v/>
      </c>
      <c r="AC475" t="str">
        <f t="shared" si="105"/>
        <v/>
      </c>
    </row>
    <row r="476" spans="1:29" ht="21" customHeight="1" x14ac:dyDescent="0.95">
      <c r="A476" s="3" t="str">
        <f t="shared" si="98"/>
        <v/>
      </c>
      <c r="B476" s="3" t="str">
        <f t="shared" si="99"/>
        <v/>
      </c>
      <c r="C476" s="8" t="str">
        <f t="shared" si="100"/>
        <v/>
      </c>
      <c r="D476" s="31" t="str">
        <f t="shared" si="101"/>
        <v/>
      </c>
      <c r="E476" s="32" t="str">
        <f>IF(469=$AD$1+3,"ขอแสดงความนับถือ",IF(469=$AD$1+6,"(                 )",IF(469=$AD$1+7,"เจ้าหน้าที่ขนส่ง",IF($AB476="G",SUM($AF$8:$AF$407),IF(OR($AB476="",$AB476="R"),"",IF($AB476="D",INDEX($AF$8:$AF$407,$AA476),SUMIF($T$8:$T$407,INDEX($T$8:$T$407,$AA476),$AF$8:$AF$407)))))))</f>
        <v/>
      </c>
      <c r="F476" s="32" t="str">
        <f t="shared" si="102"/>
        <v/>
      </c>
      <c r="G476" s="32" t="str">
        <f t="shared" si="103"/>
        <v/>
      </c>
      <c r="H476" s="32" t="str">
        <f t="shared" si="104"/>
        <v/>
      </c>
      <c r="AA476" t="str">
        <f>IFERROR(MATCH(469,$X$8:$X$407,1),"")</f>
        <v/>
      </c>
      <c r="AB476" t="str">
        <f>IF(469=$AD$1+1,"G",IF($AA476="","",IF(INDEX($Q$8:$Q$407,$AA476)="","",IF(469&gt;INDEX($X$8:$X$407,$AA476)+INDEX($V$8:$V$407,$AA476)+INDEX($W$8:$W$407,$AA476),"",IF(469=INDEX($X$8:$X$407,$AA476)+INDEX($V$8:$V$407,$AA476)+INDEX($W$8:$W$407,$AA476),"D",IF(AND(INDEX($W$8:$W$407,$AA476)=1,469=INDEX($X$8:$X$407,$AA476)+INDEX($V$8:$V$407,$AA476)),"S","R"))))))</f>
        <v/>
      </c>
      <c r="AC476" t="str">
        <f t="shared" si="105"/>
        <v/>
      </c>
    </row>
    <row r="477" spans="1:29" ht="21" customHeight="1" x14ac:dyDescent="0.95">
      <c r="A477" s="3" t="str">
        <f t="shared" si="98"/>
        <v/>
      </c>
      <c r="B477" s="3" t="str">
        <f t="shared" si="99"/>
        <v/>
      </c>
      <c r="C477" s="8" t="str">
        <f t="shared" si="100"/>
        <v/>
      </c>
      <c r="D477" s="31" t="str">
        <f t="shared" si="101"/>
        <v/>
      </c>
      <c r="E477" s="32" t="str">
        <f>IF(470=$AD$1+3,"ขอแสดงความนับถือ",IF(470=$AD$1+6,"(                 )",IF(470=$AD$1+7,"เจ้าหน้าที่ขนส่ง",IF($AB477="G",SUM($AF$8:$AF$407),IF(OR($AB477="",$AB477="R"),"",IF($AB477="D",INDEX($AF$8:$AF$407,$AA477),SUMIF($T$8:$T$407,INDEX($T$8:$T$407,$AA477),$AF$8:$AF$407)))))))</f>
        <v/>
      </c>
      <c r="F477" s="32" t="str">
        <f t="shared" si="102"/>
        <v/>
      </c>
      <c r="G477" s="32" t="str">
        <f t="shared" si="103"/>
        <v/>
      </c>
      <c r="H477" s="32" t="str">
        <f t="shared" si="104"/>
        <v/>
      </c>
      <c r="AA477" t="str">
        <f>IFERROR(MATCH(470,$X$8:$X$407,1),"")</f>
        <v/>
      </c>
      <c r="AB477" t="str">
        <f>IF(470=$AD$1+1,"G",IF($AA477="","",IF(INDEX($Q$8:$Q$407,$AA477)="","",IF(470&gt;INDEX($X$8:$X$407,$AA477)+INDEX($V$8:$V$407,$AA477)+INDEX($W$8:$W$407,$AA477),"",IF(470=INDEX($X$8:$X$407,$AA477)+INDEX($V$8:$V$407,$AA477)+INDEX($W$8:$W$407,$AA477),"D",IF(AND(INDEX($W$8:$W$407,$AA477)=1,470=INDEX($X$8:$X$407,$AA477)+INDEX($V$8:$V$407,$AA477)),"S","R"))))))</f>
        <v/>
      </c>
      <c r="AC477" t="str">
        <f t="shared" si="105"/>
        <v/>
      </c>
    </row>
    <row r="478" spans="1:29" ht="21" customHeight="1" x14ac:dyDescent="0.95">
      <c r="A478" s="3" t="str">
        <f t="shared" si="98"/>
        <v/>
      </c>
      <c r="B478" s="3" t="str">
        <f t="shared" si="99"/>
        <v/>
      </c>
      <c r="C478" s="8" t="str">
        <f t="shared" si="100"/>
        <v/>
      </c>
      <c r="D478" s="31" t="str">
        <f t="shared" si="101"/>
        <v/>
      </c>
      <c r="E478" s="32" t="str">
        <f>IF(471=$AD$1+3,"ขอแสดงความนับถือ",IF(471=$AD$1+6,"(                 )",IF(471=$AD$1+7,"เจ้าหน้าที่ขนส่ง",IF($AB478="G",SUM($AF$8:$AF$407),IF(OR($AB478="",$AB478="R"),"",IF($AB478="D",INDEX($AF$8:$AF$407,$AA478),SUMIF($T$8:$T$407,INDEX($T$8:$T$407,$AA478),$AF$8:$AF$407)))))))</f>
        <v/>
      </c>
      <c r="F478" s="32" t="str">
        <f t="shared" si="102"/>
        <v/>
      </c>
      <c r="G478" s="32" t="str">
        <f t="shared" si="103"/>
        <v/>
      </c>
      <c r="H478" s="32" t="str">
        <f t="shared" si="104"/>
        <v/>
      </c>
      <c r="AA478" t="str">
        <f>IFERROR(MATCH(471,$X$8:$X$407,1),"")</f>
        <v/>
      </c>
      <c r="AB478" t="str">
        <f>IF(471=$AD$1+1,"G",IF($AA478="","",IF(INDEX($Q$8:$Q$407,$AA478)="","",IF(471&gt;INDEX($X$8:$X$407,$AA478)+INDEX($V$8:$V$407,$AA478)+INDEX($W$8:$W$407,$AA478),"",IF(471=INDEX($X$8:$X$407,$AA478)+INDEX($V$8:$V$407,$AA478)+INDEX($W$8:$W$407,$AA478),"D",IF(AND(INDEX($W$8:$W$407,$AA478)=1,471=INDEX($X$8:$X$407,$AA478)+INDEX($V$8:$V$407,$AA478)),"S","R"))))))</f>
        <v/>
      </c>
      <c r="AC478" t="str">
        <f t="shared" si="105"/>
        <v/>
      </c>
    </row>
    <row r="479" spans="1:29" ht="21" customHeight="1" x14ac:dyDescent="0.95">
      <c r="A479" s="3" t="str">
        <f t="shared" si="98"/>
        <v/>
      </c>
      <c r="B479" s="3" t="str">
        <f t="shared" si="99"/>
        <v/>
      </c>
      <c r="C479" s="8" t="str">
        <f t="shared" si="100"/>
        <v/>
      </c>
      <c r="D479" s="31" t="str">
        <f t="shared" si="101"/>
        <v/>
      </c>
      <c r="E479" s="32" t="str">
        <f>IF(472=$AD$1+3,"ขอแสดงความนับถือ",IF(472=$AD$1+6,"(                 )",IF(472=$AD$1+7,"เจ้าหน้าที่ขนส่ง",IF($AB479="G",SUM($AF$8:$AF$407),IF(OR($AB479="",$AB479="R"),"",IF($AB479="D",INDEX($AF$8:$AF$407,$AA479),SUMIF($T$8:$T$407,INDEX($T$8:$T$407,$AA479),$AF$8:$AF$407)))))))</f>
        <v/>
      </c>
      <c r="F479" s="32" t="str">
        <f t="shared" si="102"/>
        <v/>
      </c>
      <c r="G479" s="32" t="str">
        <f t="shared" si="103"/>
        <v/>
      </c>
      <c r="H479" s="32" t="str">
        <f t="shared" si="104"/>
        <v/>
      </c>
      <c r="AA479" t="str">
        <f>IFERROR(MATCH(472,$X$8:$X$407,1),"")</f>
        <v/>
      </c>
      <c r="AB479" t="str">
        <f>IF(472=$AD$1+1,"G",IF($AA479="","",IF(INDEX($Q$8:$Q$407,$AA479)="","",IF(472&gt;INDEX($X$8:$X$407,$AA479)+INDEX($V$8:$V$407,$AA479)+INDEX($W$8:$W$407,$AA479),"",IF(472=INDEX($X$8:$X$407,$AA479)+INDEX($V$8:$V$407,$AA479)+INDEX($W$8:$W$407,$AA479),"D",IF(AND(INDEX($W$8:$W$407,$AA479)=1,472=INDEX($X$8:$X$407,$AA479)+INDEX($V$8:$V$407,$AA479)),"S","R"))))))</f>
        <v/>
      </c>
      <c r="AC479" t="str">
        <f t="shared" si="105"/>
        <v/>
      </c>
    </row>
    <row r="480" spans="1:29" ht="21" customHeight="1" x14ac:dyDescent="0.95">
      <c r="A480" s="3" t="str">
        <f t="shared" si="98"/>
        <v/>
      </c>
      <c r="B480" s="3" t="str">
        <f t="shared" si="99"/>
        <v/>
      </c>
      <c r="C480" s="8" t="str">
        <f t="shared" si="100"/>
        <v/>
      </c>
      <c r="D480" s="31" t="str">
        <f t="shared" si="101"/>
        <v/>
      </c>
      <c r="E480" s="32" t="str">
        <f>IF(473=$AD$1+3,"ขอแสดงความนับถือ",IF(473=$AD$1+6,"(                 )",IF(473=$AD$1+7,"เจ้าหน้าที่ขนส่ง",IF($AB480="G",SUM($AF$8:$AF$407),IF(OR($AB480="",$AB480="R"),"",IF($AB480="D",INDEX($AF$8:$AF$407,$AA480),SUMIF($T$8:$T$407,INDEX($T$8:$T$407,$AA480),$AF$8:$AF$407)))))))</f>
        <v/>
      </c>
      <c r="F480" s="32" t="str">
        <f t="shared" si="102"/>
        <v/>
      </c>
      <c r="G480" s="32" t="str">
        <f t="shared" si="103"/>
        <v/>
      </c>
      <c r="H480" s="32" t="str">
        <f t="shared" si="104"/>
        <v/>
      </c>
      <c r="AA480" t="str">
        <f>IFERROR(MATCH(473,$X$8:$X$407,1),"")</f>
        <v/>
      </c>
      <c r="AB480" t="str">
        <f>IF(473=$AD$1+1,"G",IF($AA480="","",IF(INDEX($Q$8:$Q$407,$AA480)="","",IF(473&gt;INDEX($X$8:$X$407,$AA480)+INDEX($V$8:$V$407,$AA480)+INDEX($W$8:$W$407,$AA480),"",IF(473=INDEX($X$8:$X$407,$AA480)+INDEX($V$8:$V$407,$AA480)+INDEX($W$8:$W$407,$AA480),"D",IF(AND(INDEX($W$8:$W$407,$AA480)=1,473=INDEX($X$8:$X$407,$AA480)+INDEX($V$8:$V$407,$AA480)),"S","R"))))))</f>
        <v/>
      </c>
      <c r="AC480" t="str">
        <f t="shared" si="105"/>
        <v/>
      </c>
    </row>
    <row r="481" spans="1:29" ht="21" customHeight="1" x14ac:dyDescent="0.95">
      <c r="A481" s="3" t="str">
        <f t="shared" si="98"/>
        <v/>
      </c>
      <c r="B481" s="3" t="str">
        <f t="shared" si="99"/>
        <v/>
      </c>
      <c r="C481" s="8" t="str">
        <f t="shared" si="100"/>
        <v/>
      </c>
      <c r="D481" s="31" t="str">
        <f t="shared" si="101"/>
        <v/>
      </c>
      <c r="E481" s="32" t="str">
        <f>IF(474=$AD$1+3,"ขอแสดงความนับถือ",IF(474=$AD$1+6,"(                 )",IF(474=$AD$1+7,"เจ้าหน้าที่ขนส่ง",IF($AB481="G",SUM($AF$8:$AF$407),IF(OR($AB481="",$AB481="R"),"",IF($AB481="D",INDEX($AF$8:$AF$407,$AA481),SUMIF($T$8:$T$407,INDEX($T$8:$T$407,$AA481),$AF$8:$AF$407)))))))</f>
        <v/>
      </c>
      <c r="F481" s="32" t="str">
        <f t="shared" si="102"/>
        <v/>
      </c>
      <c r="G481" s="32" t="str">
        <f t="shared" si="103"/>
        <v/>
      </c>
      <c r="H481" s="32" t="str">
        <f t="shared" si="104"/>
        <v/>
      </c>
      <c r="AA481" t="str">
        <f>IFERROR(MATCH(474,$X$8:$X$407,1),"")</f>
        <v/>
      </c>
      <c r="AB481" t="str">
        <f>IF(474=$AD$1+1,"G",IF($AA481="","",IF(INDEX($Q$8:$Q$407,$AA481)="","",IF(474&gt;INDEX($X$8:$X$407,$AA481)+INDEX($V$8:$V$407,$AA481)+INDEX($W$8:$W$407,$AA481),"",IF(474=INDEX($X$8:$X$407,$AA481)+INDEX($V$8:$V$407,$AA481)+INDEX($W$8:$W$407,$AA481),"D",IF(AND(INDEX($W$8:$W$407,$AA481)=1,474=INDEX($X$8:$X$407,$AA481)+INDEX($V$8:$V$407,$AA481)),"S","R"))))))</f>
        <v/>
      </c>
      <c r="AC481" t="str">
        <f t="shared" si="105"/>
        <v/>
      </c>
    </row>
    <row r="482" spans="1:29" ht="21" customHeight="1" x14ac:dyDescent="0.95">
      <c r="A482" s="3" t="str">
        <f t="shared" si="98"/>
        <v/>
      </c>
      <c r="B482" s="3" t="str">
        <f t="shared" si="99"/>
        <v/>
      </c>
      <c r="C482" s="8" t="str">
        <f t="shared" si="100"/>
        <v/>
      </c>
      <c r="D482" s="31" t="str">
        <f t="shared" si="101"/>
        <v/>
      </c>
      <c r="E482" s="32" t="str">
        <f>IF(475=$AD$1+3,"ขอแสดงความนับถือ",IF(475=$AD$1+6,"(                 )",IF(475=$AD$1+7,"เจ้าหน้าที่ขนส่ง",IF($AB482="G",SUM($AF$8:$AF$407),IF(OR($AB482="",$AB482="R"),"",IF($AB482="D",INDEX($AF$8:$AF$407,$AA482),SUMIF($T$8:$T$407,INDEX($T$8:$T$407,$AA482),$AF$8:$AF$407)))))))</f>
        <v/>
      </c>
      <c r="F482" s="32" t="str">
        <f t="shared" si="102"/>
        <v/>
      </c>
      <c r="G482" s="32" t="str">
        <f t="shared" si="103"/>
        <v/>
      </c>
      <c r="H482" s="32" t="str">
        <f t="shared" si="104"/>
        <v/>
      </c>
      <c r="AA482" t="str">
        <f>IFERROR(MATCH(475,$X$8:$X$407,1),"")</f>
        <v/>
      </c>
      <c r="AB482" t="str">
        <f>IF(475=$AD$1+1,"G",IF($AA482="","",IF(INDEX($Q$8:$Q$407,$AA482)="","",IF(475&gt;INDEX($X$8:$X$407,$AA482)+INDEX($V$8:$V$407,$AA482)+INDEX($W$8:$W$407,$AA482),"",IF(475=INDEX($X$8:$X$407,$AA482)+INDEX($V$8:$V$407,$AA482)+INDEX($W$8:$W$407,$AA482),"D",IF(AND(INDEX($W$8:$W$407,$AA482)=1,475=INDEX($X$8:$X$407,$AA482)+INDEX($V$8:$V$407,$AA482)),"S","R"))))))</f>
        <v/>
      </c>
      <c r="AC482" t="str">
        <f t="shared" si="105"/>
        <v/>
      </c>
    </row>
    <row r="483" spans="1:29" ht="21" customHeight="1" x14ac:dyDescent="0.95">
      <c r="A483" s="3" t="str">
        <f t="shared" si="98"/>
        <v/>
      </c>
      <c r="B483" s="3" t="str">
        <f t="shared" si="99"/>
        <v/>
      </c>
      <c r="C483" s="8" t="str">
        <f t="shared" si="100"/>
        <v/>
      </c>
      <c r="D483" s="31" t="str">
        <f t="shared" si="101"/>
        <v/>
      </c>
      <c r="E483" s="32" t="str">
        <f>IF(476=$AD$1+3,"ขอแสดงความนับถือ",IF(476=$AD$1+6,"(                 )",IF(476=$AD$1+7,"เจ้าหน้าที่ขนส่ง",IF($AB483="G",SUM($AF$8:$AF$407),IF(OR($AB483="",$AB483="R"),"",IF($AB483="D",INDEX($AF$8:$AF$407,$AA483),SUMIF($T$8:$T$407,INDEX($T$8:$T$407,$AA483),$AF$8:$AF$407)))))))</f>
        <v/>
      </c>
      <c r="F483" s="32" t="str">
        <f t="shared" si="102"/>
        <v/>
      </c>
      <c r="G483" s="32" t="str">
        <f t="shared" si="103"/>
        <v/>
      </c>
      <c r="H483" s="32" t="str">
        <f t="shared" si="104"/>
        <v/>
      </c>
      <c r="AA483" t="str">
        <f>IFERROR(MATCH(476,$X$8:$X$407,1),"")</f>
        <v/>
      </c>
      <c r="AB483" t="str">
        <f>IF(476=$AD$1+1,"G",IF($AA483="","",IF(INDEX($Q$8:$Q$407,$AA483)="","",IF(476&gt;INDEX($X$8:$X$407,$AA483)+INDEX($V$8:$V$407,$AA483)+INDEX($W$8:$W$407,$AA483),"",IF(476=INDEX($X$8:$X$407,$AA483)+INDEX($V$8:$V$407,$AA483)+INDEX($W$8:$W$407,$AA483),"D",IF(AND(INDEX($W$8:$W$407,$AA483)=1,476=INDEX($X$8:$X$407,$AA483)+INDEX($V$8:$V$407,$AA483)),"S","R"))))))</f>
        <v/>
      </c>
      <c r="AC483" t="str">
        <f t="shared" si="105"/>
        <v/>
      </c>
    </row>
    <row r="484" spans="1:29" ht="21" customHeight="1" x14ac:dyDescent="0.95">
      <c r="A484" s="3" t="str">
        <f t="shared" si="98"/>
        <v/>
      </c>
      <c r="B484" s="3" t="str">
        <f t="shared" si="99"/>
        <v/>
      </c>
      <c r="C484" s="8" t="str">
        <f t="shared" si="100"/>
        <v/>
      </c>
      <c r="D484" s="31" t="str">
        <f t="shared" si="101"/>
        <v/>
      </c>
      <c r="E484" s="32" t="str">
        <f>IF(477=$AD$1+3,"ขอแสดงความนับถือ",IF(477=$AD$1+6,"(                 )",IF(477=$AD$1+7,"เจ้าหน้าที่ขนส่ง",IF($AB484="G",SUM($AF$8:$AF$407),IF(OR($AB484="",$AB484="R"),"",IF($AB484="D",INDEX($AF$8:$AF$407,$AA484),SUMIF($T$8:$T$407,INDEX($T$8:$T$407,$AA484),$AF$8:$AF$407)))))))</f>
        <v/>
      </c>
      <c r="F484" s="32" t="str">
        <f t="shared" si="102"/>
        <v/>
      </c>
      <c r="G484" s="32" t="str">
        <f t="shared" si="103"/>
        <v/>
      </c>
      <c r="H484" s="32" t="str">
        <f t="shared" si="104"/>
        <v/>
      </c>
      <c r="AA484" t="str">
        <f>IFERROR(MATCH(477,$X$8:$X$407,1),"")</f>
        <v/>
      </c>
      <c r="AB484" t="str">
        <f>IF(477=$AD$1+1,"G",IF($AA484="","",IF(INDEX($Q$8:$Q$407,$AA484)="","",IF(477&gt;INDEX($X$8:$X$407,$AA484)+INDEX($V$8:$V$407,$AA484)+INDEX($W$8:$W$407,$AA484),"",IF(477=INDEX($X$8:$X$407,$AA484)+INDEX($V$8:$V$407,$AA484)+INDEX($W$8:$W$407,$AA484),"D",IF(AND(INDEX($W$8:$W$407,$AA484)=1,477=INDEX($X$8:$X$407,$AA484)+INDEX($V$8:$V$407,$AA484)),"S","R"))))))</f>
        <v/>
      </c>
      <c r="AC484" t="str">
        <f t="shared" si="105"/>
        <v/>
      </c>
    </row>
    <row r="485" spans="1:29" ht="21" customHeight="1" x14ac:dyDescent="0.95">
      <c r="A485" s="3" t="str">
        <f t="shared" si="98"/>
        <v/>
      </c>
      <c r="B485" s="3" t="str">
        <f t="shared" si="99"/>
        <v/>
      </c>
      <c r="C485" s="8" t="str">
        <f t="shared" si="100"/>
        <v/>
      </c>
      <c r="D485" s="31" t="str">
        <f t="shared" si="101"/>
        <v/>
      </c>
      <c r="E485" s="32" t="str">
        <f>IF(478=$AD$1+3,"ขอแสดงความนับถือ",IF(478=$AD$1+6,"(                 )",IF(478=$AD$1+7,"เจ้าหน้าที่ขนส่ง",IF($AB485="G",SUM($AF$8:$AF$407),IF(OR($AB485="",$AB485="R"),"",IF($AB485="D",INDEX($AF$8:$AF$407,$AA485),SUMIF($T$8:$T$407,INDEX($T$8:$T$407,$AA485),$AF$8:$AF$407)))))))</f>
        <v/>
      </c>
      <c r="F485" s="32" t="str">
        <f t="shared" si="102"/>
        <v/>
      </c>
      <c r="G485" s="32" t="str">
        <f t="shared" si="103"/>
        <v/>
      </c>
      <c r="H485" s="32" t="str">
        <f t="shared" si="104"/>
        <v/>
      </c>
      <c r="AA485" t="str">
        <f>IFERROR(MATCH(478,$X$8:$X$407,1),"")</f>
        <v/>
      </c>
      <c r="AB485" t="str">
        <f>IF(478=$AD$1+1,"G",IF($AA485="","",IF(INDEX($Q$8:$Q$407,$AA485)="","",IF(478&gt;INDEX($X$8:$X$407,$AA485)+INDEX($V$8:$V$407,$AA485)+INDEX($W$8:$W$407,$AA485),"",IF(478=INDEX($X$8:$X$407,$AA485)+INDEX($V$8:$V$407,$AA485)+INDEX($W$8:$W$407,$AA485),"D",IF(AND(INDEX($W$8:$W$407,$AA485)=1,478=INDEX($X$8:$X$407,$AA485)+INDEX($V$8:$V$407,$AA485)),"S","R"))))))</f>
        <v/>
      </c>
      <c r="AC485" t="str">
        <f t="shared" si="105"/>
        <v/>
      </c>
    </row>
    <row r="486" spans="1:29" ht="21" customHeight="1" x14ac:dyDescent="0.95">
      <c r="A486" s="3" t="str">
        <f t="shared" si="98"/>
        <v/>
      </c>
      <c r="B486" s="3" t="str">
        <f t="shared" si="99"/>
        <v/>
      </c>
      <c r="C486" s="8" t="str">
        <f t="shared" si="100"/>
        <v/>
      </c>
      <c r="D486" s="31" t="str">
        <f t="shared" si="101"/>
        <v/>
      </c>
      <c r="E486" s="32" t="str">
        <f>IF(479=$AD$1+3,"ขอแสดงความนับถือ",IF(479=$AD$1+6,"(                 )",IF(479=$AD$1+7,"เจ้าหน้าที่ขนส่ง",IF($AB486="G",SUM($AF$8:$AF$407),IF(OR($AB486="",$AB486="R"),"",IF($AB486="D",INDEX($AF$8:$AF$407,$AA486),SUMIF($T$8:$T$407,INDEX($T$8:$T$407,$AA486),$AF$8:$AF$407)))))))</f>
        <v/>
      </c>
      <c r="F486" s="32" t="str">
        <f t="shared" si="102"/>
        <v/>
      </c>
      <c r="G486" s="32" t="str">
        <f t="shared" si="103"/>
        <v/>
      </c>
      <c r="H486" s="32" t="str">
        <f t="shared" si="104"/>
        <v/>
      </c>
      <c r="AA486" t="str">
        <f>IFERROR(MATCH(479,$X$8:$X$407,1),"")</f>
        <v/>
      </c>
      <c r="AB486" t="str">
        <f>IF(479=$AD$1+1,"G",IF($AA486="","",IF(INDEX($Q$8:$Q$407,$AA486)="","",IF(479&gt;INDEX($X$8:$X$407,$AA486)+INDEX($V$8:$V$407,$AA486)+INDEX($W$8:$W$407,$AA486),"",IF(479=INDEX($X$8:$X$407,$AA486)+INDEX($V$8:$V$407,$AA486)+INDEX($W$8:$W$407,$AA486),"D",IF(AND(INDEX($W$8:$W$407,$AA486)=1,479=INDEX($X$8:$X$407,$AA486)+INDEX($V$8:$V$407,$AA486)),"S","R"))))))</f>
        <v/>
      </c>
      <c r="AC486" t="str">
        <f t="shared" si="105"/>
        <v/>
      </c>
    </row>
    <row r="487" spans="1:29" ht="21" customHeight="1" x14ac:dyDescent="0.95">
      <c r="A487" s="3" t="str">
        <f t="shared" si="98"/>
        <v/>
      </c>
      <c r="B487" s="3" t="str">
        <f t="shared" si="99"/>
        <v/>
      </c>
      <c r="C487" s="8" t="str">
        <f t="shared" si="100"/>
        <v/>
      </c>
      <c r="D487" s="31" t="str">
        <f t="shared" si="101"/>
        <v/>
      </c>
      <c r="E487" s="32" t="str">
        <f>IF(480=$AD$1+3,"ขอแสดงความนับถือ",IF(480=$AD$1+6,"(                 )",IF(480=$AD$1+7,"เจ้าหน้าที่ขนส่ง",IF($AB487="G",SUM($AF$8:$AF$407),IF(OR($AB487="",$AB487="R"),"",IF($AB487="D",INDEX($AF$8:$AF$407,$AA487),SUMIF($T$8:$T$407,INDEX($T$8:$T$407,$AA487),$AF$8:$AF$407)))))))</f>
        <v/>
      </c>
      <c r="F487" s="32" t="str">
        <f t="shared" si="102"/>
        <v/>
      </c>
      <c r="G487" s="32" t="str">
        <f t="shared" si="103"/>
        <v/>
      </c>
      <c r="H487" s="32" t="str">
        <f t="shared" si="104"/>
        <v/>
      </c>
      <c r="AA487" t="str">
        <f>IFERROR(MATCH(480,$X$8:$X$407,1),"")</f>
        <v/>
      </c>
      <c r="AB487" t="str">
        <f>IF(480=$AD$1+1,"G",IF($AA487="","",IF(INDEX($Q$8:$Q$407,$AA487)="","",IF(480&gt;INDEX($X$8:$X$407,$AA487)+INDEX($V$8:$V$407,$AA487)+INDEX($W$8:$W$407,$AA487),"",IF(480=INDEX($X$8:$X$407,$AA487)+INDEX($V$8:$V$407,$AA487)+INDEX($W$8:$W$407,$AA487),"D",IF(AND(INDEX($W$8:$W$407,$AA487)=1,480=INDEX($X$8:$X$407,$AA487)+INDEX($V$8:$V$407,$AA487)),"S","R"))))))</f>
        <v/>
      </c>
      <c r="AC487" t="str">
        <f t="shared" si="105"/>
        <v/>
      </c>
    </row>
    <row r="488" spans="1:29" ht="21" customHeight="1" x14ac:dyDescent="0.95">
      <c r="A488" s="3" t="str">
        <f t="shared" si="98"/>
        <v/>
      </c>
      <c r="B488" s="3" t="str">
        <f t="shared" si="99"/>
        <v/>
      </c>
      <c r="C488" s="8" t="str">
        <f t="shared" si="100"/>
        <v/>
      </c>
      <c r="D488" s="31" t="str">
        <f t="shared" si="101"/>
        <v/>
      </c>
      <c r="E488" s="32" t="str">
        <f>IF(481=$AD$1+3,"ขอแสดงความนับถือ",IF(481=$AD$1+6,"(                 )",IF(481=$AD$1+7,"เจ้าหน้าที่ขนส่ง",IF($AB488="G",SUM($AF$8:$AF$407),IF(OR($AB488="",$AB488="R"),"",IF($AB488="D",INDEX($AF$8:$AF$407,$AA488),SUMIF($T$8:$T$407,INDEX($T$8:$T$407,$AA488),$AF$8:$AF$407)))))))</f>
        <v/>
      </c>
      <c r="F488" s="32" t="str">
        <f t="shared" si="102"/>
        <v/>
      </c>
      <c r="G488" s="32" t="str">
        <f t="shared" si="103"/>
        <v/>
      </c>
      <c r="H488" s="32" t="str">
        <f t="shared" si="104"/>
        <v/>
      </c>
      <c r="AA488" t="str">
        <f>IFERROR(MATCH(481,$X$8:$X$407,1),"")</f>
        <v/>
      </c>
      <c r="AB488" t="str">
        <f>IF(481=$AD$1+1,"G",IF($AA488="","",IF(INDEX($Q$8:$Q$407,$AA488)="","",IF(481&gt;INDEX($X$8:$X$407,$AA488)+INDEX($V$8:$V$407,$AA488)+INDEX($W$8:$W$407,$AA488),"",IF(481=INDEX($X$8:$X$407,$AA488)+INDEX($V$8:$V$407,$AA488)+INDEX($W$8:$W$407,$AA488),"D",IF(AND(INDEX($W$8:$W$407,$AA488)=1,481=INDEX($X$8:$X$407,$AA488)+INDEX($V$8:$V$407,$AA488)),"S","R"))))))</f>
        <v/>
      </c>
      <c r="AC488" t="str">
        <f t="shared" si="105"/>
        <v/>
      </c>
    </row>
    <row r="489" spans="1:29" ht="21" customHeight="1" x14ac:dyDescent="0.95">
      <c r="A489" s="3" t="str">
        <f t="shared" si="98"/>
        <v/>
      </c>
      <c r="B489" s="3" t="str">
        <f t="shared" si="99"/>
        <v/>
      </c>
      <c r="C489" s="8" t="str">
        <f t="shared" si="100"/>
        <v/>
      </c>
      <c r="D489" s="31" t="str">
        <f t="shared" si="101"/>
        <v/>
      </c>
      <c r="E489" s="32" t="str">
        <f>IF(482=$AD$1+3,"ขอแสดงความนับถือ",IF(482=$AD$1+6,"(                 )",IF(482=$AD$1+7,"เจ้าหน้าที่ขนส่ง",IF($AB489="G",SUM($AF$8:$AF$407),IF(OR($AB489="",$AB489="R"),"",IF($AB489="D",INDEX($AF$8:$AF$407,$AA489),SUMIF($T$8:$T$407,INDEX($T$8:$T$407,$AA489),$AF$8:$AF$407)))))))</f>
        <v/>
      </c>
      <c r="F489" s="32" t="str">
        <f t="shared" si="102"/>
        <v/>
      </c>
      <c r="G489" s="32" t="str">
        <f t="shared" si="103"/>
        <v/>
      </c>
      <c r="H489" s="32" t="str">
        <f t="shared" si="104"/>
        <v/>
      </c>
      <c r="AA489" t="str">
        <f>IFERROR(MATCH(482,$X$8:$X$407,1),"")</f>
        <v/>
      </c>
      <c r="AB489" t="str">
        <f>IF(482=$AD$1+1,"G",IF($AA489="","",IF(INDEX($Q$8:$Q$407,$AA489)="","",IF(482&gt;INDEX($X$8:$X$407,$AA489)+INDEX($V$8:$V$407,$AA489)+INDEX($W$8:$W$407,$AA489),"",IF(482=INDEX($X$8:$X$407,$AA489)+INDEX($V$8:$V$407,$AA489)+INDEX($W$8:$W$407,$AA489),"D",IF(AND(INDEX($W$8:$W$407,$AA489)=1,482=INDEX($X$8:$X$407,$AA489)+INDEX($V$8:$V$407,$AA489)),"S","R"))))))</f>
        <v/>
      </c>
      <c r="AC489" t="str">
        <f t="shared" si="105"/>
        <v/>
      </c>
    </row>
    <row r="490" spans="1:29" ht="21" customHeight="1" x14ac:dyDescent="0.95">
      <c r="A490" s="3" t="str">
        <f t="shared" si="98"/>
        <v/>
      </c>
      <c r="B490" s="3" t="str">
        <f t="shared" si="99"/>
        <v/>
      </c>
      <c r="C490" s="8" t="str">
        <f t="shared" si="100"/>
        <v/>
      </c>
      <c r="D490" s="31" t="str">
        <f t="shared" si="101"/>
        <v/>
      </c>
      <c r="E490" s="32" t="str">
        <f>IF(483=$AD$1+3,"ขอแสดงความนับถือ",IF(483=$AD$1+6,"(                 )",IF(483=$AD$1+7,"เจ้าหน้าที่ขนส่ง",IF($AB490="G",SUM($AF$8:$AF$407),IF(OR($AB490="",$AB490="R"),"",IF($AB490="D",INDEX($AF$8:$AF$407,$AA490),SUMIF($T$8:$T$407,INDEX($T$8:$T$407,$AA490),$AF$8:$AF$407)))))))</f>
        <v/>
      </c>
      <c r="F490" s="32" t="str">
        <f t="shared" si="102"/>
        <v/>
      </c>
      <c r="G490" s="32" t="str">
        <f t="shared" si="103"/>
        <v/>
      </c>
      <c r="H490" s="32" t="str">
        <f t="shared" si="104"/>
        <v/>
      </c>
      <c r="AA490" t="str">
        <f>IFERROR(MATCH(483,$X$8:$X$407,1),"")</f>
        <v/>
      </c>
      <c r="AB490" t="str">
        <f>IF(483=$AD$1+1,"G",IF($AA490="","",IF(INDEX($Q$8:$Q$407,$AA490)="","",IF(483&gt;INDEX($X$8:$X$407,$AA490)+INDEX($V$8:$V$407,$AA490)+INDEX($W$8:$W$407,$AA490),"",IF(483=INDEX($X$8:$X$407,$AA490)+INDEX($V$8:$V$407,$AA490)+INDEX($W$8:$W$407,$AA490),"D",IF(AND(INDEX($W$8:$W$407,$AA490)=1,483=INDEX($X$8:$X$407,$AA490)+INDEX($V$8:$V$407,$AA490)),"S","R"))))))</f>
        <v/>
      </c>
      <c r="AC490" t="str">
        <f t="shared" si="105"/>
        <v/>
      </c>
    </row>
    <row r="491" spans="1:29" ht="21" customHeight="1" x14ac:dyDescent="0.95">
      <c r="A491" s="3" t="str">
        <f t="shared" si="98"/>
        <v/>
      </c>
      <c r="B491" s="3" t="str">
        <f t="shared" si="99"/>
        <v/>
      </c>
      <c r="C491" s="8" t="str">
        <f t="shared" si="100"/>
        <v/>
      </c>
      <c r="D491" s="31" t="str">
        <f t="shared" si="101"/>
        <v/>
      </c>
      <c r="E491" s="32" t="str">
        <f>IF(484=$AD$1+3,"ขอแสดงความนับถือ",IF(484=$AD$1+6,"(                 )",IF(484=$AD$1+7,"เจ้าหน้าที่ขนส่ง",IF($AB491="G",SUM($AF$8:$AF$407),IF(OR($AB491="",$AB491="R"),"",IF($AB491="D",INDEX($AF$8:$AF$407,$AA491),SUMIF($T$8:$T$407,INDEX($T$8:$T$407,$AA491),$AF$8:$AF$407)))))))</f>
        <v/>
      </c>
      <c r="F491" s="32" t="str">
        <f t="shared" si="102"/>
        <v/>
      </c>
      <c r="G491" s="32" t="str">
        <f t="shared" si="103"/>
        <v/>
      </c>
      <c r="H491" s="32" t="str">
        <f t="shared" si="104"/>
        <v/>
      </c>
      <c r="AA491" t="str">
        <f>IFERROR(MATCH(484,$X$8:$X$407,1),"")</f>
        <v/>
      </c>
      <c r="AB491" t="str">
        <f>IF(484=$AD$1+1,"G",IF($AA491="","",IF(INDEX($Q$8:$Q$407,$AA491)="","",IF(484&gt;INDEX($X$8:$X$407,$AA491)+INDEX($V$8:$V$407,$AA491)+INDEX($W$8:$W$407,$AA491),"",IF(484=INDEX($X$8:$X$407,$AA491)+INDEX($V$8:$V$407,$AA491)+INDEX($W$8:$W$407,$AA491),"D",IF(AND(INDEX($W$8:$W$407,$AA491)=1,484=INDEX($X$8:$X$407,$AA491)+INDEX($V$8:$V$407,$AA491)),"S","R"))))))</f>
        <v/>
      </c>
      <c r="AC491" t="str">
        <f t="shared" si="105"/>
        <v/>
      </c>
    </row>
    <row r="492" spans="1:29" ht="21" customHeight="1" x14ac:dyDescent="0.95">
      <c r="A492" s="3" t="str">
        <f t="shared" si="98"/>
        <v/>
      </c>
      <c r="B492" s="3" t="str">
        <f t="shared" si="99"/>
        <v/>
      </c>
      <c r="C492" s="8" t="str">
        <f t="shared" si="100"/>
        <v/>
      </c>
      <c r="D492" s="31" t="str">
        <f t="shared" si="101"/>
        <v/>
      </c>
      <c r="E492" s="32" t="str">
        <f>IF(485=$AD$1+3,"ขอแสดงความนับถือ",IF(485=$AD$1+6,"(                 )",IF(485=$AD$1+7,"เจ้าหน้าที่ขนส่ง",IF($AB492="G",SUM($AF$8:$AF$407),IF(OR($AB492="",$AB492="R"),"",IF($AB492="D",INDEX($AF$8:$AF$407,$AA492),SUMIF($T$8:$T$407,INDEX($T$8:$T$407,$AA492),$AF$8:$AF$407)))))))</f>
        <v/>
      </c>
      <c r="F492" s="32" t="str">
        <f t="shared" si="102"/>
        <v/>
      </c>
      <c r="G492" s="32" t="str">
        <f t="shared" si="103"/>
        <v/>
      </c>
      <c r="H492" s="32" t="str">
        <f t="shared" si="104"/>
        <v/>
      </c>
      <c r="AA492" t="str">
        <f>IFERROR(MATCH(485,$X$8:$X$407,1),"")</f>
        <v/>
      </c>
      <c r="AB492" t="str">
        <f>IF(485=$AD$1+1,"G",IF($AA492="","",IF(INDEX($Q$8:$Q$407,$AA492)="","",IF(485&gt;INDEX($X$8:$X$407,$AA492)+INDEX($V$8:$V$407,$AA492)+INDEX($W$8:$W$407,$AA492),"",IF(485=INDEX($X$8:$X$407,$AA492)+INDEX($V$8:$V$407,$AA492)+INDEX($W$8:$W$407,$AA492),"D",IF(AND(INDEX($W$8:$W$407,$AA492)=1,485=INDEX($X$8:$X$407,$AA492)+INDEX($V$8:$V$407,$AA492)),"S","R"))))))</f>
        <v/>
      </c>
      <c r="AC492" t="str">
        <f t="shared" si="105"/>
        <v/>
      </c>
    </row>
    <row r="493" spans="1:29" ht="21" customHeight="1" x14ac:dyDescent="0.95">
      <c r="A493" s="3" t="str">
        <f t="shared" si="98"/>
        <v/>
      </c>
      <c r="B493" s="3" t="str">
        <f t="shared" si="99"/>
        <v/>
      </c>
      <c r="C493" s="8" t="str">
        <f t="shared" si="100"/>
        <v/>
      </c>
      <c r="D493" s="31" t="str">
        <f t="shared" si="101"/>
        <v/>
      </c>
      <c r="E493" s="32" t="str">
        <f>IF(486=$AD$1+3,"ขอแสดงความนับถือ",IF(486=$AD$1+6,"(                 )",IF(486=$AD$1+7,"เจ้าหน้าที่ขนส่ง",IF($AB493="G",SUM($AF$8:$AF$407),IF(OR($AB493="",$AB493="R"),"",IF($AB493="D",INDEX($AF$8:$AF$407,$AA493),SUMIF($T$8:$T$407,INDEX($T$8:$T$407,$AA493),$AF$8:$AF$407)))))))</f>
        <v/>
      </c>
      <c r="F493" s="32" t="str">
        <f t="shared" si="102"/>
        <v/>
      </c>
      <c r="G493" s="32" t="str">
        <f t="shared" si="103"/>
        <v/>
      </c>
      <c r="H493" s="32" t="str">
        <f t="shared" si="104"/>
        <v/>
      </c>
      <c r="AA493" t="str">
        <f>IFERROR(MATCH(486,$X$8:$X$407,1),"")</f>
        <v/>
      </c>
      <c r="AB493" t="str">
        <f>IF(486=$AD$1+1,"G",IF($AA493="","",IF(INDEX($Q$8:$Q$407,$AA493)="","",IF(486&gt;INDEX($X$8:$X$407,$AA493)+INDEX($V$8:$V$407,$AA493)+INDEX($W$8:$W$407,$AA493),"",IF(486=INDEX($X$8:$X$407,$AA493)+INDEX($V$8:$V$407,$AA493)+INDEX($W$8:$W$407,$AA493),"D",IF(AND(INDEX($W$8:$W$407,$AA493)=1,486=INDEX($X$8:$X$407,$AA493)+INDEX($V$8:$V$407,$AA493)),"S","R"))))))</f>
        <v/>
      </c>
      <c r="AC493" t="str">
        <f t="shared" si="105"/>
        <v/>
      </c>
    </row>
    <row r="494" spans="1:29" ht="21" customHeight="1" x14ac:dyDescent="0.95">
      <c r="A494" s="3" t="str">
        <f t="shared" si="98"/>
        <v/>
      </c>
      <c r="B494" s="3" t="str">
        <f t="shared" si="99"/>
        <v/>
      </c>
      <c r="C494" s="8" t="str">
        <f t="shared" si="100"/>
        <v/>
      </c>
      <c r="D494" s="31" t="str">
        <f t="shared" si="101"/>
        <v/>
      </c>
      <c r="E494" s="32" t="str">
        <f>IF(487=$AD$1+3,"ขอแสดงความนับถือ",IF(487=$AD$1+6,"(                 )",IF(487=$AD$1+7,"เจ้าหน้าที่ขนส่ง",IF($AB494="G",SUM($AF$8:$AF$407),IF(OR($AB494="",$AB494="R"),"",IF($AB494="D",INDEX($AF$8:$AF$407,$AA494),SUMIF($T$8:$T$407,INDEX($T$8:$T$407,$AA494),$AF$8:$AF$407)))))))</f>
        <v/>
      </c>
      <c r="F494" s="32" t="str">
        <f t="shared" si="102"/>
        <v/>
      </c>
      <c r="G494" s="32" t="str">
        <f t="shared" si="103"/>
        <v/>
      </c>
      <c r="H494" s="32" t="str">
        <f t="shared" si="104"/>
        <v/>
      </c>
      <c r="AA494" t="str">
        <f>IFERROR(MATCH(487,$X$8:$X$407,1),"")</f>
        <v/>
      </c>
      <c r="AB494" t="str">
        <f>IF(487=$AD$1+1,"G",IF($AA494="","",IF(INDEX($Q$8:$Q$407,$AA494)="","",IF(487&gt;INDEX($X$8:$X$407,$AA494)+INDEX($V$8:$V$407,$AA494)+INDEX($W$8:$W$407,$AA494),"",IF(487=INDEX($X$8:$X$407,$AA494)+INDEX($V$8:$V$407,$AA494)+INDEX($W$8:$W$407,$AA494),"D",IF(AND(INDEX($W$8:$W$407,$AA494)=1,487=INDEX($X$8:$X$407,$AA494)+INDEX($V$8:$V$407,$AA494)),"S","R"))))))</f>
        <v/>
      </c>
      <c r="AC494" t="str">
        <f t="shared" si="105"/>
        <v/>
      </c>
    </row>
    <row r="495" spans="1:29" ht="21" customHeight="1" x14ac:dyDescent="0.95">
      <c r="A495" s="3" t="str">
        <f t="shared" si="98"/>
        <v/>
      </c>
      <c r="B495" s="3" t="str">
        <f t="shared" si="99"/>
        <v/>
      </c>
      <c r="C495" s="8" t="str">
        <f t="shared" si="100"/>
        <v/>
      </c>
      <c r="D495" s="31" t="str">
        <f t="shared" si="101"/>
        <v/>
      </c>
      <c r="E495" s="32" t="str">
        <f>IF(488=$AD$1+3,"ขอแสดงความนับถือ",IF(488=$AD$1+6,"(                 )",IF(488=$AD$1+7,"เจ้าหน้าที่ขนส่ง",IF($AB495="G",SUM($AF$8:$AF$407),IF(OR($AB495="",$AB495="R"),"",IF($AB495="D",INDEX($AF$8:$AF$407,$AA495),SUMIF($T$8:$T$407,INDEX($T$8:$T$407,$AA495),$AF$8:$AF$407)))))))</f>
        <v/>
      </c>
      <c r="F495" s="32" t="str">
        <f t="shared" si="102"/>
        <v/>
      </c>
      <c r="G495" s="32" t="str">
        <f t="shared" si="103"/>
        <v/>
      </c>
      <c r="H495" s="32" t="str">
        <f t="shared" si="104"/>
        <v/>
      </c>
      <c r="AA495" t="str">
        <f>IFERROR(MATCH(488,$X$8:$X$407,1),"")</f>
        <v/>
      </c>
      <c r="AB495" t="str">
        <f>IF(488=$AD$1+1,"G",IF($AA495="","",IF(INDEX($Q$8:$Q$407,$AA495)="","",IF(488&gt;INDEX($X$8:$X$407,$AA495)+INDEX($V$8:$V$407,$AA495)+INDEX($W$8:$W$407,$AA495),"",IF(488=INDEX($X$8:$X$407,$AA495)+INDEX($V$8:$V$407,$AA495)+INDEX($W$8:$W$407,$AA495),"D",IF(AND(INDEX($W$8:$W$407,$AA495)=1,488=INDEX($X$8:$X$407,$AA495)+INDEX($V$8:$V$407,$AA495)),"S","R"))))))</f>
        <v/>
      </c>
      <c r="AC495" t="str">
        <f t="shared" si="105"/>
        <v/>
      </c>
    </row>
    <row r="496" spans="1:29" ht="21" customHeight="1" x14ac:dyDescent="0.95">
      <c r="A496" s="3" t="str">
        <f t="shared" si="98"/>
        <v/>
      </c>
      <c r="B496" s="3" t="str">
        <f t="shared" si="99"/>
        <v/>
      </c>
      <c r="C496" s="8" t="str">
        <f t="shared" si="100"/>
        <v/>
      </c>
      <c r="D496" s="31" t="str">
        <f t="shared" si="101"/>
        <v/>
      </c>
      <c r="E496" s="32" t="str">
        <f>IF(489=$AD$1+3,"ขอแสดงความนับถือ",IF(489=$AD$1+6,"(                 )",IF(489=$AD$1+7,"เจ้าหน้าที่ขนส่ง",IF($AB496="G",SUM($AF$8:$AF$407),IF(OR($AB496="",$AB496="R"),"",IF($AB496="D",INDEX($AF$8:$AF$407,$AA496),SUMIF($T$8:$T$407,INDEX($T$8:$T$407,$AA496),$AF$8:$AF$407)))))))</f>
        <v/>
      </c>
      <c r="F496" s="32" t="str">
        <f t="shared" si="102"/>
        <v/>
      </c>
      <c r="G496" s="32" t="str">
        <f t="shared" si="103"/>
        <v/>
      </c>
      <c r="H496" s="32" t="str">
        <f t="shared" si="104"/>
        <v/>
      </c>
      <c r="AA496" t="str">
        <f>IFERROR(MATCH(489,$X$8:$X$407,1),"")</f>
        <v/>
      </c>
      <c r="AB496" t="str">
        <f>IF(489=$AD$1+1,"G",IF($AA496="","",IF(INDEX($Q$8:$Q$407,$AA496)="","",IF(489&gt;INDEX($X$8:$X$407,$AA496)+INDEX($V$8:$V$407,$AA496)+INDEX($W$8:$W$407,$AA496),"",IF(489=INDEX($X$8:$X$407,$AA496)+INDEX($V$8:$V$407,$AA496)+INDEX($W$8:$W$407,$AA496),"D",IF(AND(INDEX($W$8:$W$407,$AA496)=1,489=INDEX($X$8:$X$407,$AA496)+INDEX($V$8:$V$407,$AA496)),"S","R"))))))</f>
        <v/>
      </c>
      <c r="AC496" t="str">
        <f t="shared" si="105"/>
        <v/>
      </c>
    </row>
    <row r="497" spans="1:29" ht="21" customHeight="1" x14ac:dyDescent="0.95">
      <c r="A497" s="3" t="str">
        <f t="shared" si="98"/>
        <v/>
      </c>
      <c r="B497" s="3" t="str">
        <f t="shared" si="99"/>
        <v/>
      </c>
      <c r="C497" s="8" t="str">
        <f t="shared" si="100"/>
        <v/>
      </c>
      <c r="D497" s="31" t="str">
        <f t="shared" si="101"/>
        <v/>
      </c>
      <c r="E497" s="32" t="str">
        <f>IF(490=$AD$1+3,"ขอแสดงความนับถือ",IF(490=$AD$1+6,"(                 )",IF(490=$AD$1+7,"เจ้าหน้าที่ขนส่ง",IF($AB497="G",SUM($AF$8:$AF$407),IF(OR($AB497="",$AB497="R"),"",IF($AB497="D",INDEX($AF$8:$AF$407,$AA497),SUMIF($T$8:$T$407,INDEX($T$8:$T$407,$AA497),$AF$8:$AF$407)))))))</f>
        <v/>
      </c>
      <c r="F497" s="32" t="str">
        <f t="shared" si="102"/>
        <v/>
      </c>
      <c r="G497" s="32" t="str">
        <f t="shared" si="103"/>
        <v/>
      </c>
      <c r="H497" s="32" t="str">
        <f t="shared" si="104"/>
        <v/>
      </c>
      <c r="AA497" t="str">
        <f>IFERROR(MATCH(490,$X$8:$X$407,1),"")</f>
        <v/>
      </c>
      <c r="AB497" t="str">
        <f>IF(490=$AD$1+1,"G",IF($AA497="","",IF(INDEX($Q$8:$Q$407,$AA497)="","",IF(490&gt;INDEX($X$8:$X$407,$AA497)+INDEX($V$8:$V$407,$AA497)+INDEX($W$8:$W$407,$AA497),"",IF(490=INDEX($X$8:$X$407,$AA497)+INDEX($V$8:$V$407,$AA497)+INDEX($W$8:$W$407,$AA497),"D",IF(AND(INDEX($W$8:$W$407,$AA497)=1,490=INDEX($X$8:$X$407,$AA497)+INDEX($V$8:$V$407,$AA497)),"S","R"))))))</f>
        <v/>
      </c>
      <c r="AC497" t="str">
        <f t="shared" si="105"/>
        <v/>
      </c>
    </row>
    <row r="498" spans="1:29" ht="21" customHeight="1" x14ac:dyDescent="0.95">
      <c r="A498" s="3" t="str">
        <f t="shared" si="98"/>
        <v/>
      </c>
      <c r="B498" s="3" t="str">
        <f t="shared" si="99"/>
        <v/>
      </c>
      <c r="C498" s="8" t="str">
        <f t="shared" si="100"/>
        <v/>
      </c>
      <c r="D498" s="31" t="str">
        <f t="shared" si="101"/>
        <v/>
      </c>
      <c r="E498" s="32" t="str">
        <f>IF(491=$AD$1+3,"ขอแสดงความนับถือ",IF(491=$AD$1+6,"(                 )",IF(491=$AD$1+7,"เจ้าหน้าที่ขนส่ง",IF($AB498="G",SUM($AF$8:$AF$407),IF(OR($AB498="",$AB498="R"),"",IF($AB498="D",INDEX($AF$8:$AF$407,$AA498),SUMIF($T$8:$T$407,INDEX($T$8:$T$407,$AA498),$AF$8:$AF$407)))))))</f>
        <v/>
      </c>
      <c r="F498" s="32" t="str">
        <f t="shared" si="102"/>
        <v/>
      </c>
      <c r="G498" s="32" t="str">
        <f t="shared" si="103"/>
        <v/>
      </c>
      <c r="H498" s="32" t="str">
        <f t="shared" si="104"/>
        <v/>
      </c>
      <c r="AA498" t="str">
        <f>IFERROR(MATCH(491,$X$8:$X$407,1),"")</f>
        <v/>
      </c>
      <c r="AB498" t="str">
        <f>IF(491=$AD$1+1,"G",IF($AA498="","",IF(INDEX($Q$8:$Q$407,$AA498)="","",IF(491&gt;INDEX($X$8:$X$407,$AA498)+INDEX($V$8:$V$407,$AA498)+INDEX($W$8:$W$407,$AA498),"",IF(491=INDEX($X$8:$X$407,$AA498)+INDEX($V$8:$V$407,$AA498)+INDEX($W$8:$W$407,$AA498),"D",IF(AND(INDEX($W$8:$W$407,$AA498)=1,491=INDEX($X$8:$X$407,$AA498)+INDEX($V$8:$V$407,$AA498)),"S","R"))))))</f>
        <v/>
      </c>
      <c r="AC498" t="str">
        <f t="shared" si="105"/>
        <v/>
      </c>
    </row>
    <row r="499" spans="1:29" ht="21" customHeight="1" x14ac:dyDescent="0.95">
      <c r="A499" s="3" t="str">
        <f t="shared" si="98"/>
        <v/>
      </c>
      <c r="B499" s="3" t="str">
        <f t="shared" si="99"/>
        <v/>
      </c>
      <c r="C499" s="8" t="str">
        <f t="shared" si="100"/>
        <v/>
      </c>
      <c r="D499" s="31" t="str">
        <f t="shared" si="101"/>
        <v/>
      </c>
      <c r="E499" s="32" t="str">
        <f>IF(492=$AD$1+3,"ขอแสดงความนับถือ",IF(492=$AD$1+6,"(                 )",IF(492=$AD$1+7,"เจ้าหน้าที่ขนส่ง",IF($AB499="G",SUM($AF$8:$AF$407),IF(OR($AB499="",$AB499="R"),"",IF($AB499="D",INDEX($AF$8:$AF$407,$AA499),SUMIF($T$8:$T$407,INDEX($T$8:$T$407,$AA499),$AF$8:$AF$407)))))))</f>
        <v/>
      </c>
      <c r="F499" s="32" t="str">
        <f t="shared" si="102"/>
        <v/>
      </c>
      <c r="G499" s="32" t="str">
        <f t="shared" si="103"/>
        <v/>
      </c>
      <c r="H499" s="32" t="str">
        <f t="shared" si="104"/>
        <v/>
      </c>
      <c r="AA499" t="str">
        <f>IFERROR(MATCH(492,$X$8:$X$407,1),"")</f>
        <v/>
      </c>
      <c r="AB499" t="str">
        <f>IF(492=$AD$1+1,"G",IF($AA499="","",IF(INDEX($Q$8:$Q$407,$AA499)="","",IF(492&gt;INDEX($X$8:$X$407,$AA499)+INDEX($V$8:$V$407,$AA499)+INDEX($W$8:$W$407,$AA499),"",IF(492=INDEX($X$8:$X$407,$AA499)+INDEX($V$8:$V$407,$AA499)+INDEX($W$8:$W$407,$AA499),"D",IF(AND(INDEX($W$8:$W$407,$AA499)=1,492=INDEX($X$8:$X$407,$AA499)+INDEX($V$8:$V$407,$AA499)),"S","R"))))))</f>
        <v/>
      </c>
      <c r="AC499" t="str">
        <f t="shared" si="105"/>
        <v/>
      </c>
    </row>
    <row r="500" spans="1:29" ht="21" customHeight="1" x14ac:dyDescent="0.95">
      <c r="A500" s="3" t="str">
        <f t="shared" si="98"/>
        <v/>
      </c>
      <c r="B500" s="3" t="str">
        <f t="shared" si="99"/>
        <v/>
      </c>
      <c r="C500" s="8" t="str">
        <f t="shared" si="100"/>
        <v/>
      </c>
      <c r="D500" s="31" t="str">
        <f t="shared" si="101"/>
        <v/>
      </c>
      <c r="E500" s="32" t="str">
        <f>IF(493=$AD$1+3,"ขอแสดงความนับถือ",IF(493=$AD$1+6,"(                 )",IF(493=$AD$1+7,"เจ้าหน้าที่ขนส่ง",IF($AB500="G",SUM($AF$8:$AF$407),IF(OR($AB500="",$AB500="R"),"",IF($AB500="D",INDEX($AF$8:$AF$407,$AA500),SUMIF($T$8:$T$407,INDEX($T$8:$T$407,$AA500),$AF$8:$AF$407)))))))</f>
        <v/>
      </c>
      <c r="F500" s="32" t="str">
        <f t="shared" si="102"/>
        <v/>
      </c>
      <c r="G500" s="32" t="str">
        <f t="shared" si="103"/>
        <v/>
      </c>
      <c r="H500" s="32" t="str">
        <f t="shared" si="104"/>
        <v/>
      </c>
      <c r="AA500" t="str">
        <f>IFERROR(MATCH(493,$X$8:$X$407,1),"")</f>
        <v/>
      </c>
      <c r="AB500" t="str">
        <f>IF(493=$AD$1+1,"G",IF($AA500="","",IF(INDEX($Q$8:$Q$407,$AA500)="","",IF(493&gt;INDEX($X$8:$X$407,$AA500)+INDEX($V$8:$V$407,$AA500)+INDEX($W$8:$W$407,$AA500),"",IF(493=INDEX($X$8:$X$407,$AA500)+INDEX($V$8:$V$407,$AA500)+INDEX($W$8:$W$407,$AA500),"D",IF(AND(INDEX($W$8:$W$407,$AA500)=1,493=INDEX($X$8:$X$407,$AA500)+INDEX($V$8:$V$407,$AA500)),"S","R"))))))</f>
        <v/>
      </c>
      <c r="AC500" t="str">
        <f t="shared" si="105"/>
        <v/>
      </c>
    </row>
    <row r="501" spans="1:29" ht="21" customHeight="1" x14ac:dyDescent="0.95">
      <c r="A501" s="3" t="str">
        <f t="shared" si="98"/>
        <v/>
      </c>
      <c r="B501" s="3" t="str">
        <f t="shared" si="99"/>
        <v/>
      </c>
      <c r="C501" s="8" t="str">
        <f t="shared" si="100"/>
        <v/>
      </c>
      <c r="D501" s="31" t="str">
        <f t="shared" si="101"/>
        <v/>
      </c>
      <c r="E501" s="32" t="str">
        <f>IF(494=$AD$1+3,"ขอแสดงความนับถือ",IF(494=$AD$1+6,"(                 )",IF(494=$AD$1+7,"เจ้าหน้าที่ขนส่ง",IF($AB501="G",SUM($AF$8:$AF$407),IF(OR($AB501="",$AB501="R"),"",IF($AB501="D",INDEX($AF$8:$AF$407,$AA501),SUMIF($T$8:$T$407,INDEX($T$8:$T$407,$AA501),$AF$8:$AF$407)))))))</f>
        <v/>
      </c>
      <c r="F501" s="32" t="str">
        <f t="shared" si="102"/>
        <v/>
      </c>
      <c r="G501" s="32" t="str">
        <f t="shared" si="103"/>
        <v/>
      </c>
      <c r="H501" s="32" t="str">
        <f t="shared" si="104"/>
        <v/>
      </c>
      <c r="AA501" t="str">
        <f>IFERROR(MATCH(494,$X$8:$X$407,1),"")</f>
        <v/>
      </c>
      <c r="AB501" t="str">
        <f>IF(494=$AD$1+1,"G",IF($AA501="","",IF(INDEX($Q$8:$Q$407,$AA501)="","",IF(494&gt;INDEX($X$8:$X$407,$AA501)+INDEX($V$8:$V$407,$AA501)+INDEX($W$8:$W$407,$AA501),"",IF(494=INDEX($X$8:$X$407,$AA501)+INDEX($V$8:$V$407,$AA501)+INDEX($W$8:$W$407,$AA501),"D",IF(AND(INDEX($W$8:$W$407,$AA501)=1,494=INDEX($X$8:$X$407,$AA501)+INDEX($V$8:$V$407,$AA501)),"S","R"))))))</f>
        <v/>
      </c>
      <c r="AC501" t="str">
        <f t="shared" si="105"/>
        <v/>
      </c>
    </row>
    <row r="502" spans="1:29" ht="21" customHeight="1" x14ac:dyDescent="0.95">
      <c r="A502" s="3" t="str">
        <f t="shared" si="98"/>
        <v/>
      </c>
      <c r="B502" s="3" t="str">
        <f t="shared" si="99"/>
        <v/>
      </c>
      <c r="C502" s="8" t="str">
        <f t="shared" si="100"/>
        <v/>
      </c>
      <c r="D502" s="31" t="str">
        <f t="shared" si="101"/>
        <v/>
      </c>
      <c r="E502" s="32" t="str">
        <f>IF(495=$AD$1+3,"ขอแสดงความนับถือ",IF(495=$AD$1+6,"(                 )",IF(495=$AD$1+7,"เจ้าหน้าที่ขนส่ง",IF($AB502="G",SUM($AF$8:$AF$407),IF(OR($AB502="",$AB502="R"),"",IF($AB502="D",INDEX($AF$8:$AF$407,$AA502),SUMIF($T$8:$T$407,INDEX($T$8:$T$407,$AA502),$AF$8:$AF$407)))))))</f>
        <v/>
      </c>
      <c r="F502" s="32" t="str">
        <f t="shared" si="102"/>
        <v/>
      </c>
      <c r="G502" s="32" t="str">
        <f t="shared" si="103"/>
        <v/>
      </c>
      <c r="H502" s="32" t="str">
        <f t="shared" si="104"/>
        <v/>
      </c>
      <c r="AA502" t="str">
        <f>IFERROR(MATCH(495,$X$8:$X$407,1),"")</f>
        <v/>
      </c>
      <c r="AB502" t="str">
        <f>IF(495=$AD$1+1,"G",IF($AA502="","",IF(INDEX($Q$8:$Q$407,$AA502)="","",IF(495&gt;INDEX($X$8:$X$407,$AA502)+INDEX($V$8:$V$407,$AA502)+INDEX($W$8:$W$407,$AA502),"",IF(495=INDEX($X$8:$X$407,$AA502)+INDEX($V$8:$V$407,$AA502)+INDEX($W$8:$W$407,$AA502),"D",IF(AND(INDEX($W$8:$W$407,$AA502)=1,495=INDEX($X$8:$X$407,$AA502)+INDEX($V$8:$V$407,$AA502)),"S","R"))))))</f>
        <v/>
      </c>
      <c r="AC502" t="str">
        <f t="shared" si="105"/>
        <v/>
      </c>
    </row>
    <row r="503" spans="1:29" ht="21" customHeight="1" x14ac:dyDescent="0.95">
      <c r="A503" s="3" t="str">
        <f t="shared" si="98"/>
        <v/>
      </c>
      <c r="B503" s="3" t="str">
        <f t="shared" si="99"/>
        <v/>
      </c>
      <c r="C503" s="8" t="str">
        <f t="shared" si="100"/>
        <v/>
      </c>
      <c r="D503" s="31" t="str">
        <f t="shared" si="101"/>
        <v/>
      </c>
      <c r="E503" s="32" t="str">
        <f>IF(496=$AD$1+3,"ขอแสดงความนับถือ",IF(496=$AD$1+6,"(                 )",IF(496=$AD$1+7,"เจ้าหน้าที่ขนส่ง",IF($AB503="G",SUM($AF$8:$AF$407),IF(OR($AB503="",$AB503="R"),"",IF($AB503="D",INDEX($AF$8:$AF$407,$AA503),SUMIF($T$8:$T$407,INDEX($T$8:$T$407,$AA503),$AF$8:$AF$407)))))))</f>
        <v/>
      </c>
      <c r="F503" s="32" t="str">
        <f t="shared" si="102"/>
        <v/>
      </c>
      <c r="G503" s="32" t="str">
        <f t="shared" si="103"/>
        <v/>
      </c>
      <c r="H503" s="32" t="str">
        <f t="shared" si="104"/>
        <v/>
      </c>
      <c r="AA503" t="str">
        <f>IFERROR(MATCH(496,$X$8:$X$407,1),"")</f>
        <v/>
      </c>
      <c r="AB503" t="str">
        <f>IF(496=$AD$1+1,"G",IF($AA503="","",IF(INDEX($Q$8:$Q$407,$AA503)="","",IF(496&gt;INDEX($X$8:$X$407,$AA503)+INDEX($V$8:$V$407,$AA503)+INDEX($W$8:$W$407,$AA503),"",IF(496=INDEX($X$8:$X$407,$AA503)+INDEX($V$8:$V$407,$AA503)+INDEX($W$8:$W$407,$AA503),"D",IF(AND(INDEX($W$8:$W$407,$AA503)=1,496=INDEX($X$8:$X$407,$AA503)+INDEX($V$8:$V$407,$AA503)),"S","R"))))))</f>
        <v/>
      </c>
      <c r="AC503" t="str">
        <f t="shared" si="105"/>
        <v/>
      </c>
    </row>
    <row r="504" spans="1:29" ht="21" customHeight="1" x14ac:dyDescent="0.95">
      <c r="A504" s="3" t="str">
        <f t="shared" si="98"/>
        <v/>
      </c>
      <c r="B504" s="3" t="str">
        <f t="shared" si="99"/>
        <v/>
      </c>
      <c r="C504" s="8" t="str">
        <f t="shared" si="100"/>
        <v/>
      </c>
      <c r="D504" s="31" t="str">
        <f t="shared" si="101"/>
        <v/>
      </c>
      <c r="E504" s="32" t="str">
        <f>IF(497=$AD$1+3,"ขอแสดงความนับถือ",IF(497=$AD$1+6,"(                 )",IF(497=$AD$1+7,"เจ้าหน้าที่ขนส่ง",IF($AB504="G",SUM($AF$8:$AF$407),IF(OR($AB504="",$AB504="R"),"",IF($AB504="D",INDEX($AF$8:$AF$407,$AA504),SUMIF($T$8:$T$407,INDEX($T$8:$T$407,$AA504),$AF$8:$AF$407)))))))</f>
        <v/>
      </c>
      <c r="F504" s="32" t="str">
        <f t="shared" si="102"/>
        <v/>
      </c>
      <c r="G504" s="32" t="str">
        <f t="shared" si="103"/>
        <v/>
      </c>
      <c r="H504" s="32" t="str">
        <f t="shared" si="104"/>
        <v/>
      </c>
      <c r="AA504" t="str">
        <f>IFERROR(MATCH(497,$X$8:$X$407,1),"")</f>
        <v/>
      </c>
      <c r="AB504" t="str">
        <f>IF(497=$AD$1+1,"G",IF($AA504="","",IF(INDEX($Q$8:$Q$407,$AA504)="","",IF(497&gt;INDEX($X$8:$X$407,$AA504)+INDEX($V$8:$V$407,$AA504)+INDEX($W$8:$W$407,$AA504),"",IF(497=INDEX($X$8:$X$407,$AA504)+INDEX($V$8:$V$407,$AA504)+INDEX($W$8:$W$407,$AA504),"D",IF(AND(INDEX($W$8:$W$407,$AA504)=1,497=INDEX($X$8:$X$407,$AA504)+INDEX($V$8:$V$407,$AA504)),"S","R"))))))</f>
        <v/>
      </c>
      <c r="AC504" t="str">
        <f t="shared" si="105"/>
        <v/>
      </c>
    </row>
    <row r="505" spans="1:29" ht="21" customHeight="1" x14ac:dyDescent="0.95">
      <c r="A505" s="3" t="str">
        <f t="shared" si="98"/>
        <v/>
      </c>
      <c r="B505" s="3" t="str">
        <f t="shared" si="99"/>
        <v/>
      </c>
      <c r="C505" s="8" t="str">
        <f t="shared" si="100"/>
        <v/>
      </c>
      <c r="D505" s="31" t="str">
        <f t="shared" si="101"/>
        <v/>
      </c>
      <c r="E505" s="32" t="str">
        <f>IF(498=$AD$1+3,"ขอแสดงความนับถือ",IF(498=$AD$1+6,"(                 )",IF(498=$AD$1+7,"เจ้าหน้าที่ขนส่ง",IF($AB505="G",SUM($AF$8:$AF$407),IF(OR($AB505="",$AB505="R"),"",IF($AB505="D",INDEX($AF$8:$AF$407,$AA505),SUMIF($T$8:$T$407,INDEX($T$8:$T$407,$AA505),$AF$8:$AF$407)))))))</f>
        <v/>
      </c>
      <c r="F505" s="32" t="str">
        <f t="shared" si="102"/>
        <v/>
      </c>
      <c r="G505" s="32" t="str">
        <f t="shared" si="103"/>
        <v/>
      </c>
      <c r="H505" s="32" t="str">
        <f t="shared" si="104"/>
        <v/>
      </c>
      <c r="AA505" t="str">
        <f>IFERROR(MATCH(498,$X$8:$X$407,1),"")</f>
        <v/>
      </c>
      <c r="AB505" t="str">
        <f>IF(498=$AD$1+1,"G",IF($AA505="","",IF(INDEX($Q$8:$Q$407,$AA505)="","",IF(498&gt;INDEX($X$8:$X$407,$AA505)+INDEX($V$8:$V$407,$AA505)+INDEX($W$8:$W$407,$AA505),"",IF(498=INDEX($X$8:$X$407,$AA505)+INDEX($V$8:$V$407,$AA505)+INDEX($W$8:$W$407,$AA505),"D",IF(AND(INDEX($W$8:$W$407,$AA505)=1,498=INDEX($X$8:$X$407,$AA505)+INDEX($V$8:$V$407,$AA505)),"S","R"))))))</f>
        <v/>
      </c>
      <c r="AC505" t="str">
        <f t="shared" si="105"/>
        <v/>
      </c>
    </row>
    <row r="506" spans="1:29" ht="21" customHeight="1" x14ac:dyDescent="0.95">
      <c r="A506" s="3" t="str">
        <f t="shared" si="98"/>
        <v/>
      </c>
      <c r="B506" s="3" t="str">
        <f t="shared" si="99"/>
        <v/>
      </c>
      <c r="C506" s="8" t="str">
        <f t="shared" si="100"/>
        <v/>
      </c>
      <c r="D506" s="31" t="str">
        <f t="shared" si="101"/>
        <v/>
      </c>
      <c r="E506" s="32" t="str">
        <f>IF(499=$AD$1+3,"ขอแสดงความนับถือ",IF(499=$AD$1+6,"(                 )",IF(499=$AD$1+7,"เจ้าหน้าที่ขนส่ง",IF($AB506="G",SUM($AF$8:$AF$407),IF(OR($AB506="",$AB506="R"),"",IF($AB506="D",INDEX($AF$8:$AF$407,$AA506),SUMIF($T$8:$T$407,INDEX($T$8:$T$407,$AA506),$AF$8:$AF$407)))))))</f>
        <v/>
      </c>
      <c r="F506" s="32" t="str">
        <f t="shared" si="102"/>
        <v/>
      </c>
      <c r="G506" s="32" t="str">
        <f t="shared" si="103"/>
        <v/>
      </c>
      <c r="H506" s="32" t="str">
        <f t="shared" si="104"/>
        <v/>
      </c>
      <c r="AA506" t="str">
        <f>IFERROR(MATCH(499,$X$8:$X$407,1),"")</f>
        <v/>
      </c>
      <c r="AB506" t="str">
        <f>IF(499=$AD$1+1,"G",IF($AA506="","",IF(INDEX($Q$8:$Q$407,$AA506)="","",IF(499&gt;INDEX($X$8:$X$407,$AA506)+INDEX($V$8:$V$407,$AA506)+INDEX($W$8:$W$407,$AA506),"",IF(499=INDEX($X$8:$X$407,$AA506)+INDEX($V$8:$V$407,$AA506)+INDEX($W$8:$W$407,$AA506),"D",IF(AND(INDEX($W$8:$W$407,$AA506)=1,499=INDEX($X$8:$X$407,$AA506)+INDEX($V$8:$V$407,$AA506)),"S","R"))))))</f>
        <v/>
      </c>
      <c r="AC506" t="str">
        <f t="shared" si="105"/>
        <v/>
      </c>
    </row>
    <row r="507" spans="1:29" ht="21" customHeight="1" x14ac:dyDescent="0.95">
      <c r="A507" s="3" t="str">
        <f t="shared" si="98"/>
        <v/>
      </c>
      <c r="B507" s="3" t="str">
        <f t="shared" si="99"/>
        <v/>
      </c>
      <c r="C507" s="8" t="str">
        <f t="shared" si="100"/>
        <v/>
      </c>
      <c r="D507" s="31" t="str">
        <f t="shared" si="101"/>
        <v/>
      </c>
      <c r="E507" s="32" t="str">
        <f>IF(500=$AD$1+3,"ขอแสดงความนับถือ",IF(500=$AD$1+6,"(                 )",IF(500=$AD$1+7,"เจ้าหน้าที่ขนส่ง",IF($AB507="G",SUM($AF$8:$AF$407),IF(OR($AB507="",$AB507="R"),"",IF($AB507="D",INDEX($AF$8:$AF$407,$AA507),SUMIF($T$8:$T$407,INDEX($T$8:$T$407,$AA507),$AF$8:$AF$407)))))))</f>
        <v/>
      </c>
      <c r="F507" s="32" t="str">
        <f t="shared" si="102"/>
        <v/>
      </c>
      <c r="G507" s="32" t="str">
        <f t="shared" si="103"/>
        <v/>
      </c>
      <c r="H507" s="32" t="str">
        <f t="shared" si="104"/>
        <v/>
      </c>
      <c r="AA507" t="str">
        <f>IFERROR(MATCH(500,$X$8:$X$407,1),"")</f>
        <v/>
      </c>
      <c r="AB507" t="str">
        <f>IF(500=$AD$1+1,"G",IF($AA507="","",IF(INDEX($Q$8:$Q$407,$AA507)="","",IF(500&gt;INDEX($X$8:$X$407,$AA507)+INDEX($V$8:$V$407,$AA507)+INDEX($W$8:$W$407,$AA507),"",IF(500=INDEX($X$8:$X$407,$AA507)+INDEX($V$8:$V$407,$AA507)+INDEX($W$8:$W$407,$AA507),"D",IF(AND(INDEX($W$8:$W$407,$AA507)=1,500=INDEX($X$8:$X$407,$AA507)+INDEX($V$8:$V$407,$AA507)),"S","R"))))))</f>
        <v/>
      </c>
      <c r="AC507" t="str">
        <f t="shared" si="105"/>
        <v/>
      </c>
    </row>
    <row r="508" spans="1:29" ht="21" customHeight="1" x14ac:dyDescent="0.95">
      <c r="A508" s="3" t="str">
        <f t="shared" si="98"/>
        <v/>
      </c>
      <c r="B508" s="3" t="str">
        <f t="shared" si="99"/>
        <v/>
      </c>
      <c r="C508" s="8" t="str">
        <f t="shared" si="100"/>
        <v/>
      </c>
      <c r="D508" s="31" t="str">
        <f t="shared" si="101"/>
        <v/>
      </c>
      <c r="E508" s="32" t="str">
        <f>IF(501=$AD$1+3,"ขอแสดงความนับถือ",IF(501=$AD$1+6,"(                 )",IF(501=$AD$1+7,"เจ้าหน้าที่ขนส่ง",IF($AB508="G",SUM($AF$8:$AF$407),IF(OR($AB508="",$AB508="R"),"",IF($AB508="D",INDEX($AF$8:$AF$407,$AA508),SUMIF($T$8:$T$407,INDEX($T$8:$T$407,$AA508),$AF$8:$AF$407)))))))</f>
        <v/>
      </c>
      <c r="F508" s="32" t="str">
        <f t="shared" si="102"/>
        <v/>
      </c>
      <c r="G508" s="32" t="str">
        <f t="shared" si="103"/>
        <v/>
      </c>
      <c r="H508" s="32" t="str">
        <f t="shared" si="104"/>
        <v/>
      </c>
      <c r="AA508" t="str">
        <f>IFERROR(MATCH(501,$X$8:$X$407,1),"")</f>
        <v/>
      </c>
      <c r="AB508" t="str">
        <f>IF(501=$AD$1+1,"G",IF($AA508="","",IF(INDEX($Q$8:$Q$407,$AA508)="","",IF(501&gt;INDEX($X$8:$X$407,$AA508)+INDEX($V$8:$V$407,$AA508)+INDEX($W$8:$W$407,$AA508),"",IF(501=INDEX($X$8:$X$407,$AA508)+INDEX($V$8:$V$407,$AA508)+INDEX($W$8:$W$407,$AA508),"D",IF(AND(INDEX($W$8:$W$407,$AA508)=1,501=INDEX($X$8:$X$407,$AA508)+INDEX($V$8:$V$407,$AA508)),"S","R"))))))</f>
        <v/>
      </c>
      <c r="AC508" t="str">
        <f t="shared" si="105"/>
        <v/>
      </c>
    </row>
    <row r="509" spans="1:29" ht="21" customHeight="1" x14ac:dyDescent="0.95">
      <c r="A509" s="3" t="str">
        <f t="shared" si="98"/>
        <v/>
      </c>
      <c r="B509" s="3" t="str">
        <f t="shared" si="99"/>
        <v/>
      </c>
      <c r="C509" s="8" t="str">
        <f t="shared" si="100"/>
        <v/>
      </c>
      <c r="D509" s="31" t="str">
        <f t="shared" si="101"/>
        <v/>
      </c>
      <c r="E509" s="32" t="str">
        <f>IF(502=$AD$1+3,"ขอแสดงความนับถือ",IF(502=$AD$1+6,"(                 )",IF(502=$AD$1+7,"เจ้าหน้าที่ขนส่ง",IF($AB509="G",SUM($AF$8:$AF$407),IF(OR($AB509="",$AB509="R"),"",IF($AB509="D",INDEX($AF$8:$AF$407,$AA509),SUMIF($T$8:$T$407,INDEX($T$8:$T$407,$AA509),$AF$8:$AF$407)))))))</f>
        <v/>
      </c>
      <c r="F509" s="32" t="str">
        <f t="shared" si="102"/>
        <v/>
      </c>
      <c r="G509" s="32" t="str">
        <f t="shared" si="103"/>
        <v/>
      </c>
      <c r="H509" s="32" t="str">
        <f t="shared" si="104"/>
        <v/>
      </c>
      <c r="AA509" t="str">
        <f>IFERROR(MATCH(502,$X$8:$X$407,1),"")</f>
        <v/>
      </c>
      <c r="AB509" t="str">
        <f>IF(502=$AD$1+1,"G",IF($AA509="","",IF(INDEX($Q$8:$Q$407,$AA509)="","",IF(502&gt;INDEX($X$8:$X$407,$AA509)+INDEX($V$8:$V$407,$AA509)+INDEX($W$8:$W$407,$AA509),"",IF(502=INDEX($X$8:$X$407,$AA509)+INDEX($V$8:$V$407,$AA509)+INDEX($W$8:$W$407,$AA509),"D",IF(AND(INDEX($W$8:$W$407,$AA509)=1,502=INDEX($X$8:$X$407,$AA509)+INDEX($V$8:$V$407,$AA509)),"S","R"))))))</f>
        <v/>
      </c>
      <c r="AC509" t="str">
        <f t="shared" si="105"/>
        <v/>
      </c>
    </row>
    <row r="510" spans="1:29" ht="21" customHeight="1" x14ac:dyDescent="0.95">
      <c r="A510" s="3" t="str">
        <f t="shared" si="98"/>
        <v/>
      </c>
      <c r="B510" s="3" t="str">
        <f t="shared" si="99"/>
        <v/>
      </c>
      <c r="C510" s="8" t="str">
        <f t="shared" si="100"/>
        <v/>
      </c>
      <c r="D510" s="31" t="str">
        <f t="shared" si="101"/>
        <v/>
      </c>
      <c r="E510" s="32" t="str">
        <f>IF(503=$AD$1+3,"ขอแสดงความนับถือ",IF(503=$AD$1+6,"(                 )",IF(503=$AD$1+7,"เจ้าหน้าที่ขนส่ง",IF($AB510="G",SUM($AF$8:$AF$407),IF(OR($AB510="",$AB510="R"),"",IF($AB510="D",INDEX($AF$8:$AF$407,$AA510),SUMIF($T$8:$T$407,INDEX($T$8:$T$407,$AA510),$AF$8:$AF$407)))))))</f>
        <v/>
      </c>
      <c r="F510" s="32" t="str">
        <f t="shared" si="102"/>
        <v/>
      </c>
      <c r="G510" s="32" t="str">
        <f t="shared" si="103"/>
        <v/>
      </c>
      <c r="H510" s="32" t="str">
        <f t="shared" si="104"/>
        <v/>
      </c>
      <c r="AA510" t="str">
        <f>IFERROR(MATCH(503,$X$8:$X$407,1),"")</f>
        <v/>
      </c>
      <c r="AB510" t="str">
        <f>IF(503=$AD$1+1,"G",IF($AA510="","",IF(INDEX($Q$8:$Q$407,$AA510)="","",IF(503&gt;INDEX($X$8:$X$407,$AA510)+INDEX($V$8:$V$407,$AA510)+INDEX($W$8:$W$407,$AA510),"",IF(503=INDEX($X$8:$X$407,$AA510)+INDEX($V$8:$V$407,$AA510)+INDEX($W$8:$W$407,$AA510),"D",IF(AND(INDEX($W$8:$W$407,$AA510)=1,503=INDEX($X$8:$X$407,$AA510)+INDEX($V$8:$V$407,$AA510)),"S","R"))))))</f>
        <v/>
      </c>
      <c r="AC510" t="str">
        <f t="shared" si="105"/>
        <v/>
      </c>
    </row>
    <row r="511" spans="1:29" ht="21" customHeight="1" x14ac:dyDescent="0.95">
      <c r="A511" s="3" t="str">
        <f t="shared" si="98"/>
        <v/>
      </c>
      <c r="B511" s="3" t="str">
        <f t="shared" si="99"/>
        <v/>
      </c>
      <c r="C511" s="8" t="str">
        <f t="shared" si="100"/>
        <v/>
      </c>
      <c r="D511" s="31" t="str">
        <f t="shared" si="101"/>
        <v/>
      </c>
      <c r="E511" s="32" t="str">
        <f>IF(504=$AD$1+3,"ขอแสดงความนับถือ",IF(504=$AD$1+6,"(                 )",IF(504=$AD$1+7,"เจ้าหน้าที่ขนส่ง",IF($AB511="G",SUM($AF$8:$AF$407),IF(OR($AB511="",$AB511="R"),"",IF($AB511="D",INDEX($AF$8:$AF$407,$AA511),SUMIF($T$8:$T$407,INDEX($T$8:$T$407,$AA511),$AF$8:$AF$407)))))))</f>
        <v/>
      </c>
      <c r="F511" s="32" t="str">
        <f t="shared" si="102"/>
        <v/>
      </c>
      <c r="G511" s="32" t="str">
        <f t="shared" si="103"/>
        <v/>
      </c>
      <c r="H511" s="32" t="str">
        <f t="shared" si="104"/>
        <v/>
      </c>
      <c r="AA511" t="str">
        <f>IFERROR(MATCH(504,$X$8:$X$407,1),"")</f>
        <v/>
      </c>
      <c r="AB511" t="str">
        <f>IF(504=$AD$1+1,"G",IF($AA511="","",IF(INDEX($Q$8:$Q$407,$AA511)="","",IF(504&gt;INDEX($X$8:$X$407,$AA511)+INDEX($V$8:$V$407,$AA511)+INDEX($W$8:$W$407,$AA511),"",IF(504=INDEX($X$8:$X$407,$AA511)+INDEX($V$8:$V$407,$AA511)+INDEX($W$8:$W$407,$AA511),"D",IF(AND(INDEX($W$8:$W$407,$AA511)=1,504=INDEX($X$8:$X$407,$AA511)+INDEX($V$8:$V$407,$AA511)),"S","R"))))))</f>
        <v/>
      </c>
      <c r="AC511" t="str">
        <f t="shared" si="105"/>
        <v/>
      </c>
    </row>
    <row r="512" spans="1:29" ht="21" customHeight="1" x14ac:dyDescent="0.95">
      <c r="A512" s="3" t="str">
        <f t="shared" si="98"/>
        <v/>
      </c>
      <c r="B512" s="3" t="str">
        <f t="shared" si="99"/>
        <v/>
      </c>
      <c r="C512" s="8" t="str">
        <f t="shared" si="100"/>
        <v/>
      </c>
      <c r="D512" s="31" t="str">
        <f t="shared" si="101"/>
        <v/>
      </c>
      <c r="E512" s="32" t="str">
        <f>IF(505=$AD$1+3,"ขอแสดงความนับถือ",IF(505=$AD$1+6,"(                 )",IF(505=$AD$1+7,"เจ้าหน้าที่ขนส่ง",IF($AB512="G",SUM($AF$8:$AF$407),IF(OR($AB512="",$AB512="R"),"",IF($AB512="D",INDEX($AF$8:$AF$407,$AA512),SUMIF($T$8:$T$407,INDEX($T$8:$T$407,$AA512),$AF$8:$AF$407)))))))</f>
        <v/>
      </c>
      <c r="F512" s="32" t="str">
        <f t="shared" si="102"/>
        <v/>
      </c>
      <c r="G512" s="32" t="str">
        <f t="shared" si="103"/>
        <v/>
      </c>
      <c r="H512" s="32" t="str">
        <f t="shared" si="104"/>
        <v/>
      </c>
      <c r="AA512" t="str">
        <f>IFERROR(MATCH(505,$X$8:$X$407,1),"")</f>
        <v/>
      </c>
      <c r="AB512" t="str">
        <f>IF(505=$AD$1+1,"G",IF($AA512="","",IF(INDEX($Q$8:$Q$407,$AA512)="","",IF(505&gt;INDEX($X$8:$X$407,$AA512)+INDEX($V$8:$V$407,$AA512)+INDEX($W$8:$W$407,$AA512),"",IF(505=INDEX($X$8:$X$407,$AA512)+INDEX($V$8:$V$407,$AA512)+INDEX($W$8:$W$407,$AA512),"D",IF(AND(INDEX($W$8:$W$407,$AA512)=1,505=INDEX($X$8:$X$407,$AA512)+INDEX($V$8:$V$407,$AA512)),"S","R"))))))</f>
        <v/>
      </c>
      <c r="AC512" t="str">
        <f t="shared" si="105"/>
        <v/>
      </c>
    </row>
    <row r="513" spans="1:29" ht="21" customHeight="1" x14ac:dyDescent="0.95">
      <c r="A513" s="3" t="str">
        <f t="shared" si="98"/>
        <v/>
      </c>
      <c r="B513" s="3" t="str">
        <f t="shared" si="99"/>
        <v/>
      </c>
      <c r="C513" s="8" t="str">
        <f t="shared" si="100"/>
        <v/>
      </c>
      <c r="D513" s="31" t="str">
        <f t="shared" si="101"/>
        <v/>
      </c>
      <c r="E513" s="32" t="str">
        <f>IF(506=$AD$1+3,"ขอแสดงความนับถือ",IF(506=$AD$1+6,"(                 )",IF(506=$AD$1+7,"เจ้าหน้าที่ขนส่ง",IF($AB513="G",SUM($AF$8:$AF$407),IF(OR($AB513="",$AB513="R"),"",IF($AB513="D",INDEX($AF$8:$AF$407,$AA513),SUMIF($T$8:$T$407,INDEX($T$8:$T$407,$AA513),$AF$8:$AF$407)))))))</f>
        <v/>
      </c>
      <c r="F513" s="32" t="str">
        <f t="shared" si="102"/>
        <v/>
      </c>
      <c r="G513" s="32" t="str">
        <f t="shared" si="103"/>
        <v/>
      </c>
      <c r="H513" s="32" t="str">
        <f t="shared" si="104"/>
        <v/>
      </c>
      <c r="AA513" t="str">
        <f>IFERROR(MATCH(506,$X$8:$X$407,1),"")</f>
        <v/>
      </c>
      <c r="AB513" t="str">
        <f>IF(506=$AD$1+1,"G",IF($AA513="","",IF(INDEX($Q$8:$Q$407,$AA513)="","",IF(506&gt;INDEX($X$8:$X$407,$AA513)+INDEX($V$8:$V$407,$AA513)+INDEX($W$8:$W$407,$AA513),"",IF(506=INDEX($X$8:$X$407,$AA513)+INDEX($V$8:$V$407,$AA513)+INDEX($W$8:$W$407,$AA513),"D",IF(AND(INDEX($W$8:$W$407,$AA513)=1,506=INDEX($X$8:$X$407,$AA513)+INDEX($V$8:$V$407,$AA513)),"S","R"))))))</f>
        <v/>
      </c>
      <c r="AC513" t="str">
        <f t="shared" si="105"/>
        <v/>
      </c>
    </row>
    <row r="514" spans="1:29" ht="21" customHeight="1" x14ac:dyDescent="0.95">
      <c r="A514" s="3" t="str">
        <f t="shared" si="98"/>
        <v/>
      </c>
      <c r="B514" s="3" t="str">
        <f t="shared" si="99"/>
        <v/>
      </c>
      <c r="C514" s="8" t="str">
        <f t="shared" si="100"/>
        <v/>
      </c>
      <c r="D514" s="31" t="str">
        <f t="shared" si="101"/>
        <v/>
      </c>
      <c r="E514" s="32" t="str">
        <f>IF(507=$AD$1+3,"ขอแสดงความนับถือ",IF(507=$AD$1+6,"(                 )",IF(507=$AD$1+7,"เจ้าหน้าที่ขนส่ง",IF($AB514="G",SUM($AF$8:$AF$407),IF(OR($AB514="",$AB514="R"),"",IF($AB514="D",INDEX($AF$8:$AF$407,$AA514),SUMIF($T$8:$T$407,INDEX($T$8:$T$407,$AA514),$AF$8:$AF$407)))))))</f>
        <v/>
      </c>
      <c r="F514" s="32" t="str">
        <f t="shared" si="102"/>
        <v/>
      </c>
      <c r="G514" s="32" t="str">
        <f t="shared" si="103"/>
        <v/>
      </c>
      <c r="H514" s="32" t="str">
        <f t="shared" si="104"/>
        <v/>
      </c>
      <c r="AA514" t="str">
        <f>IFERROR(MATCH(507,$X$8:$X$407,1),"")</f>
        <v/>
      </c>
      <c r="AB514" t="str">
        <f>IF(507=$AD$1+1,"G",IF($AA514="","",IF(INDEX($Q$8:$Q$407,$AA514)="","",IF(507&gt;INDEX($X$8:$X$407,$AA514)+INDEX($V$8:$V$407,$AA514)+INDEX($W$8:$W$407,$AA514),"",IF(507=INDEX($X$8:$X$407,$AA514)+INDEX($V$8:$V$407,$AA514)+INDEX($W$8:$W$407,$AA514),"D",IF(AND(INDEX($W$8:$W$407,$AA514)=1,507=INDEX($X$8:$X$407,$AA514)+INDEX($V$8:$V$407,$AA514)),"S","R"))))))</f>
        <v/>
      </c>
      <c r="AC514" t="str">
        <f t="shared" si="105"/>
        <v/>
      </c>
    </row>
    <row r="515" spans="1:29" ht="21" customHeight="1" x14ac:dyDescent="0.95">
      <c r="A515" s="3" t="str">
        <f t="shared" si="98"/>
        <v/>
      </c>
      <c r="B515" s="3" t="str">
        <f t="shared" si="99"/>
        <v/>
      </c>
      <c r="C515" s="8" t="str">
        <f t="shared" si="100"/>
        <v/>
      </c>
      <c r="D515" s="31" t="str">
        <f t="shared" si="101"/>
        <v/>
      </c>
      <c r="E515" s="32" t="str">
        <f>IF(508=$AD$1+3,"ขอแสดงความนับถือ",IF(508=$AD$1+6,"(                 )",IF(508=$AD$1+7,"เจ้าหน้าที่ขนส่ง",IF($AB515="G",SUM($AF$8:$AF$407),IF(OR($AB515="",$AB515="R"),"",IF($AB515="D",INDEX($AF$8:$AF$407,$AA515),SUMIF($T$8:$T$407,INDEX($T$8:$T$407,$AA515),$AF$8:$AF$407)))))))</f>
        <v/>
      </c>
      <c r="F515" s="32" t="str">
        <f t="shared" si="102"/>
        <v/>
      </c>
      <c r="G515" s="32" t="str">
        <f t="shared" si="103"/>
        <v/>
      </c>
      <c r="H515" s="32" t="str">
        <f t="shared" si="104"/>
        <v/>
      </c>
      <c r="AA515" t="str">
        <f>IFERROR(MATCH(508,$X$8:$X$407,1),"")</f>
        <v/>
      </c>
      <c r="AB515" t="str">
        <f>IF(508=$AD$1+1,"G",IF($AA515="","",IF(INDEX($Q$8:$Q$407,$AA515)="","",IF(508&gt;INDEX($X$8:$X$407,$AA515)+INDEX($V$8:$V$407,$AA515)+INDEX($W$8:$W$407,$AA515),"",IF(508=INDEX($X$8:$X$407,$AA515)+INDEX($V$8:$V$407,$AA515)+INDEX($W$8:$W$407,$AA515),"D",IF(AND(INDEX($W$8:$W$407,$AA515)=1,508=INDEX($X$8:$X$407,$AA515)+INDEX($V$8:$V$407,$AA515)),"S","R"))))))</f>
        <v/>
      </c>
      <c r="AC515" t="str">
        <f t="shared" si="105"/>
        <v/>
      </c>
    </row>
    <row r="516" spans="1:29" ht="21" customHeight="1" x14ac:dyDescent="0.95">
      <c r="A516" s="3" t="str">
        <f t="shared" si="98"/>
        <v/>
      </c>
      <c r="B516" s="3" t="str">
        <f t="shared" si="99"/>
        <v/>
      </c>
      <c r="C516" s="8" t="str">
        <f t="shared" si="100"/>
        <v/>
      </c>
      <c r="D516" s="31" t="str">
        <f t="shared" si="101"/>
        <v/>
      </c>
      <c r="E516" s="32" t="str">
        <f>IF(509=$AD$1+3,"ขอแสดงความนับถือ",IF(509=$AD$1+6,"(                 )",IF(509=$AD$1+7,"เจ้าหน้าที่ขนส่ง",IF($AB516="G",SUM($AF$8:$AF$407),IF(OR($AB516="",$AB516="R"),"",IF($AB516="D",INDEX($AF$8:$AF$407,$AA516),SUMIF($T$8:$T$407,INDEX($T$8:$T$407,$AA516),$AF$8:$AF$407)))))))</f>
        <v/>
      </c>
      <c r="F516" s="32" t="str">
        <f t="shared" si="102"/>
        <v/>
      </c>
      <c r="G516" s="32" t="str">
        <f t="shared" si="103"/>
        <v/>
      </c>
      <c r="H516" s="32" t="str">
        <f t="shared" si="104"/>
        <v/>
      </c>
      <c r="AA516" t="str">
        <f>IFERROR(MATCH(509,$X$8:$X$407,1),"")</f>
        <v/>
      </c>
      <c r="AB516" t="str">
        <f>IF(509=$AD$1+1,"G",IF($AA516="","",IF(INDEX($Q$8:$Q$407,$AA516)="","",IF(509&gt;INDEX($X$8:$X$407,$AA516)+INDEX($V$8:$V$407,$AA516)+INDEX($W$8:$W$407,$AA516),"",IF(509=INDEX($X$8:$X$407,$AA516)+INDEX($V$8:$V$407,$AA516)+INDEX($W$8:$W$407,$AA516),"D",IF(AND(INDEX($W$8:$W$407,$AA516)=1,509=INDEX($X$8:$X$407,$AA516)+INDEX($V$8:$V$407,$AA516)),"S","R"))))))</f>
        <v/>
      </c>
      <c r="AC516" t="str">
        <f t="shared" si="105"/>
        <v/>
      </c>
    </row>
    <row r="517" spans="1:29" ht="21" customHeight="1" x14ac:dyDescent="0.95">
      <c r="A517" s="3" t="str">
        <f t="shared" si="98"/>
        <v/>
      </c>
      <c r="B517" s="3" t="str">
        <f t="shared" si="99"/>
        <v/>
      </c>
      <c r="C517" s="8" t="str">
        <f t="shared" si="100"/>
        <v/>
      </c>
      <c r="D517" s="31" t="str">
        <f t="shared" si="101"/>
        <v/>
      </c>
      <c r="E517" s="32" t="str">
        <f>IF(510=$AD$1+3,"ขอแสดงความนับถือ",IF(510=$AD$1+6,"(                 )",IF(510=$AD$1+7,"เจ้าหน้าที่ขนส่ง",IF($AB517="G",SUM($AF$8:$AF$407),IF(OR($AB517="",$AB517="R"),"",IF($AB517="D",INDEX($AF$8:$AF$407,$AA517),SUMIF($T$8:$T$407,INDEX($T$8:$T$407,$AA517),$AF$8:$AF$407)))))))</f>
        <v/>
      </c>
      <c r="F517" s="32" t="str">
        <f t="shared" si="102"/>
        <v/>
      </c>
      <c r="G517" s="32" t="str">
        <f t="shared" si="103"/>
        <v/>
      </c>
      <c r="H517" s="32" t="str">
        <f t="shared" si="104"/>
        <v/>
      </c>
      <c r="AA517" t="str">
        <f>IFERROR(MATCH(510,$X$8:$X$407,1),"")</f>
        <v/>
      </c>
      <c r="AB517" t="str">
        <f>IF(510=$AD$1+1,"G",IF($AA517="","",IF(INDEX($Q$8:$Q$407,$AA517)="","",IF(510&gt;INDEX($X$8:$X$407,$AA517)+INDEX($V$8:$V$407,$AA517)+INDEX($W$8:$W$407,$AA517),"",IF(510=INDEX($X$8:$X$407,$AA517)+INDEX($V$8:$V$407,$AA517)+INDEX($W$8:$W$407,$AA517),"D",IF(AND(INDEX($W$8:$W$407,$AA517)=1,510=INDEX($X$8:$X$407,$AA517)+INDEX($V$8:$V$407,$AA517)),"S","R"))))))</f>
        <v/>
      </c>
      <c r="AC517" t="str">
        <f t="shared" si="105"/>
        <v/>
      </c>
    </row>
    <row r="518" spans="1:29" ht="21" customHeight="1" x14ac:dyDescent="0.95">
      <c r="A518" s="3" t="str">
        <f t="shared" si="98"/>
        <v/>
      </c>
      <c r="B518" s="3" t="str">
        <f t="shared" si="99"/>
        <v/>
      </c>
      <c r="C518" s="8" t="str">
        <f t="shared" si="100"/>
        <v/>
      </c>
      <c r="D518" s="31" t="str">
        <f t="shared" si="101"/>
        <v/>
      </c>
      <c r="E518" s="32" t="str">
        <f>IF(511=$AD$1+3,"ขอแสดงความนับถือ",IF(511=$AD$1+6,"(                 )",IF(511=$AD$1+7,"เจ้าหน้าที่ขนส่ง",IF($AB518="G",SUM($AF$8:$AF$407),IF(OR($AB518="",$AB518="R"),"",IF($AB518="D",INDEX($AF$8:$AF$407,$AA518),SUMIF($T$8:$T$407,INDEX($T$8:$T$407,$AA518),$AF$8:$AF$407)))))))</f>
        <v/>
      </c>
      <c r="F518" s="32" t="str">
        <f t="shared" si="102"/>
        <v/>
      </c>
      <c r="G518" s="32" t="str">
        <f t="shared" si="103"/>
        <v/>
      </c>
      <c r="H518" s="32" t="str">
        <f t="shared" si="104"/>
        <v/>
      </c>
      <c r="AA518" t="str">
        <f>IFERROR(MATCH(511,$X$8:$X$407,1),"")</f>
        <v/>
      </c>
      <c r="AB518" t="str">
        <f>IF(511=$AD$1+1,"G",IF($AA518="","",IF(INDEX($Q$8:$Q$407,$AA518)="","",IF(511&gt;INDEX($X$8:$X$407,$AA518)+INDEX($V$8:$V$407,$AA518)+INDEX($W$8:$W$407,$AA518),"",IF(511=INDEX($X$8:$X$407,$AA518)+INDEX($V$8:$V$407,$AA518)+INDEX($W$8:$W$407,$AA518),"D",IF(AND(INDEX($W$8:$W$407,$AA518)=1,511=INDEX($X$8:$X$407,$AA518)+INDEX($V$8:$V$407,$AA518)),"S","R"))))))</f>
        <v/>
      </c>
      <c r="AC518" t="str">
        <f t="shared" si="105"/>
        <v/>
      </c>
    </row>
    <row r="519" spans="1:29" ht="21" customHeight="1" x14ac:dyDescent="0.95">
      <c r="A519" s="3" t="str">
        <f t="shared" si="98"/>
        <v/>
      </c>
      <c r="B519" s="3" t="str">
        <f t="shared" si="99"/>
        <v/>
      </c>
      <c r="C519" s="8" t="str">
        <f t="shared" si="100"/>
        <v/>
      </c>
      <c r="D519" s="31" t="str">
        <f t="shared" si="101"/>
        <v/>
      </c>
      <c r="E519" s="32" t="str">
        <f>IF(512=$AD$1+3,"ขอแสดงความนับถือ",IF(512=$AD$1+6,"(                 )",IF(512=$AD$1+7,"เจ้าหน้าที่ขนส่ง",IF($AB519="G",SUM($AF$8:$AF$407),IF(OR($AB519="",$AB519="R"),"",IF($AB519="D",INDEX($AF$8:$AF$407,$AA519),SUMIF($T$8:$T$407,INDEX($T$8:$T$407,$AA519),$AF$8:$AF$407)))))))</f>
        <v/>
      </c>
      <c r="F519" s="32" t="str">
        <f t="shared" si="102"/>
        <v/>
      </c>
      <c r="G519" s="32" t="str">
        <f t="shared" si="103"/>
        <v/>
      </c>
      <c r="H519" s="32" t="str">
        <f t="shared" si="104"/>
        <v/>
      </c>
      <c r="AA519" t="str">
        <f>IFERROR(MATCH(512,$X$8:$X$407,1),"")</f>
        <v/>
      </c>
      <c r="AB519" t="str">
        <f>IF(512=$AD$1+1,"G",IF($AA519="","",IF(INDEX($Q$8:$Q$407,$AA519)="","",IF(512&gt;INDEX($X$8:$X$407,$AA519)+INDEX($V$8:$V$407,$AA519)+INDEX($W$8:$W$407,$AA519),"",IF(512=INDEX($X$8:$X$407,$AA519)+INDEX($V$8:$V$407,$AA519)+INDEX($W$8:$W$407,$AA519),"D",IF(AND(INDEX($W$8:$W$407,$AA519)=1,512=INDEX($X$8:$X$407,$AA519)+INDEX($V$8:$V$407,$AA519)),"S","R"))))))</f>
        <v/>
      </c>
      <c r="AC519" t="str">
        <f t="shared" si="105"/>
        <v/>
      </c>
    </row>
    <row r="520" spans="1:29" ht="21" customHeight="1" x14ac:dyDescent="0.95">
      <c r="A520" s="3" t="str">
        <f t="shared" ref="A520:A583" si="106">IF($AB520="G","ผลรวมทั้งหมด",IF($AB520="R",INDEX($S$8:$S$407,$AA520),""))</f>
        <v/>
      </c>
      <c r="B520" s="3" t="str">
        <f t="shared" ref="B520:B583" si="107">IF($AB520="S",INDEX($Y$8:$Y$407,$AA520),"")</f>
        <v/>
      </c>
      <c r="C520" s="8" t="str">
        <f t="shared" ref="C520:C583" si="108">IF($AB520="D",INDEX($Z$8:$Z$407,$AA520),"")</f>
        <v/>
      </c>
      <c r="D520" s="31" t="str">
        <f t="shared" ref="D520:D583" si="109">IF($AB520="G",SUM($AE$8:$AE$407),IF(OR($AB520="",$AB520="R"),"",IF($AB520="D",INDEX($AE$8:$AE$407,$AA520),SUMIF($T$8:$T$407,INDEX($T$8:$T$407,$AA520),$AE$8:$AE$407))))</f>
        <v/>
      </c>
      <c r="E520" s="32" t="str">
        <f>IF(513=$AD$1+3,"ขอแสดงความนับถือ",IF(513=$AD$1+6,"(                 )",IF(513=$AD$1+7,"เจ้าหน้าที่ขนส่ง",IF($AB520="G",SUM($AF$8:$AF$407),IF(OR($AB520="",$AB520="R"),"",IF($AB520="D",INDEX($AF$8:$AF$407,$AA520),SUMIF($T$8:$T$407,INDEX($T$8:$T$407,$AA520),$AF$8:$AF$407)))))))</f>
        <v/>
      </c>
      <c r="F520" s="32" t="str">
        <f t="shared" ref="F520:F583" si="110">IF($AB520="G",SUM($AG$8:$AG$407),IF(OR($AB520="",$AB520="R"),"",IF($AB520="D",INDEX($AG$8:$AG$407,$AA520),SUMIF($T$8:$T$407,INDEX($T$8:$T$407,$AA520),$AG$8:$AG$407))))</f>
        <v/>
      </c>
      <c r="G520" s="32" t="str">
        <f t="shared" ref="G520:G583" si="111">IF(OR($AB520="",$AB520="R"),"",ROUND($E520-$F520,2))</f>
        <v/>
      </c>
      <c r="H520" s="32" t="str">
        <f t="shared" ref="H520:H583" si="112">IF($AB520="G",SUM($AH$8:$AH$407),IF(OR($AB520="",$AB520="R"),"",IF($AB520="D",INDEX($AH$8:$AH$407,$AA520),SUMIF($T$8:$T$407,INDEX($T$8:$T$407,$AA520),$AH$8:$AH$407))))</f>
        <v/>
      </c>
      <c r="AA520" t="str">
        <f>IFERROR(MATCH(513,$X$8:$X$407,1),"")</f>
        <v/>
      </c>
      <c r="AB520" t="str">
        <f>IF(513=$AD$1+1,"G",IF($AA520="","",IF(INDEX($Q$8:$Q$407,$AA520)="","",IF(513&gt;INDEX($X$8:$X$407,$AA520)+INDEX($V$8:$V$407,$AA520)+INDEX($W$8:$W$407,$AA520),"",IF(513=INDEX($X$8:$X$407,$AA520)+INDEX($V$8:$V$407,$AA520)+INDEX($W$8:$W$407,$AA520),"D",IF(AND(INDEX($W$8:$W$407,$AA520)=1,513=INDEX($X$8:$X$407,$AA520)+INDEX($V$8:$V$407,$AA520)),"S","R"))))))</f>
        <v/>
      </c>
      <c r="AC520" t="str">
        <f t="shared" ref="AC520:AC583" si="113">IF(OR($AB520="",$AB520="G"),"",IF($AB520="D",INDEX($U$8:$U$407,$AA520),IF($AB520="S",INDEX($T$8:$T$407,$AA520)&amp;"|*",INDEX($S$8:$S$407,$AA520)&amp;"|*")))</f>
        <v/>
      </c>
    </row>
    <row r="521" spans="1:29" ht="21" customHeight="1" x14ac:dyDescent="0.95">
      <c r="A521" s="3" t="str">
        <f t="shared" si="106"/>
        <v/>
      </c>
      <c r="B521" s="3" t="str">
        <f t="shared" si="107"/>
        <v/>
      </c>
      <c r="C521" s="8" t="str">
        <f t="shared" si="108"/>
        <v/>
      </c>
      <c r="D521" s="31" t="str">
        <f t="shared" si="109"/>
        <v/>
      </c>
      <c r="E521" s="32" t="str">
        <f>IF(514=$AD$1+3,"ขอแสดงความนับถือ",IF(514=$AD$1+6,"(                 )",IF(514=$AD$1+7,"เจ้าหน้าที่ขนส่ง",IF($AB521="G",SUM($AF$8:$AF$407),IF(OR($AB521="",$AB521="R"),"",IF($AB521="D",INDEX($AF$8:$AF$407,$AA521),SUMIF($T$8:$T$407,INDEX($T$8:$T$407,$AA521),$AF$8:$AF$407)))))))</f>
        <v/>
      </c>
      <c r="F521" s="32" t="str">
        <f t="shared" si="110"/>
        <v/>
      </c>
      <c r="G521" s="32" t="str">
        <f t="shared" si="111"/>
        <v/>
      </c>
      <c r="H521" s="32" t="str">
        <f t="shared" si="112"/>
        <v/>
      </c>
      <c r="AA521" t="str">
        <f>IFERROR(MATCH(514,$X$8:$X$407,1),"")</f>
        <v/>
      </c>
      <c r="AB521" t="str">
        <f>IF(514=$AD$1+1,"G",IF($AA521="","",IF(INDEX($Q$8:$Q$407,$AA521)="","",IF(514&gt;INDEX($X$8:$X$407,$AA521)+INDEX($V$8:$V$407,$AA521)+INDEX($W$8:$W$407,$AA521),"",IF(514=INDEX($X$8:$X$407,$AA521)+INDEX($V$8:$V$407,$AA521)+INDEX($W$8:$W$407,$AA521),"D",IF(AND(INDEX($W$8:$W$407,$AA521)=1,514=INDEX($X$8:$X$407,$AA521)+INDEX($V$8:$V$407,$AA521)),"S","R"))))))</f>
        <v/>
      </c>
      <c r="AC521" t="str">
        <f t="shared" si="113"/>
        <v/>
      </c>
    </row>
    <row r="522" spans="1:29" ht="21" customHeight="1" x14ac:dyDescent="0.95">
      <c r="A522" s="3" t="str">
        <f t="shared" si="106"/>
        <v/>
      </c>
      <c r="B522" s="3" t="str">
        <f t="shared" si="107"/>
        <v/>
      </c>
      <c r="C522" s="8" t="str">
        <f t="shared" si="108"/>
        <v/>
      </c>
      <c r="D522" s="31" t="str">
        <f t="shared" si="109"/>
        <v/>
      </c>
      <c r="E522" s="32" t="str">
        <f>IF(515=$AD$1+3,"ขอแสดงความนับถือ",IF(515=$AD$1+6,"(                 )",IF(515=$AD$1+7,"เจ้าหน้าที่ขนส่ง",IF($AB522="G",SUM($AF$8:$AF$407),IF(OR($AB522="",$AB522="R"),"",IF($AB522="D",INDEX($AF$8:$AF$407,$AA522),SUMIF($T$8:$T$407,INDEX($T$8:$T$407,$AA522),$AF$8:$AF$407)))))))</f>
        <v/>
      </c>
      <c r="F522" s="32" t="str">
        <f t="shared" si="110"/>
        <v/>
      </c>
      <c r="G522" s="32" t="str">
        <f t="shared" si="111"/>
        <v/>
      </c>
      <c r="H522" s="32" t="str">
        <f t="shared" si="112"/>
        <v/>
      </c>
      <c r="AA522" t="str">
        <f>IFERROR(MATCH(515,$X$8:$X$407,1),"")</f>
        <v/>
      </c>
      <c r="AB522" t="str">
        <f>IF(515=$AD$1+1,"G",IF($AA522="","",IF(INDEX($Q$8:$Q$407,$AA522)="","",IF(515&gt;INDEX($X$8:$X$407,$AA522)+INDEX($V$8:$V$407,$AA522)+INDEX($W$8:$W$407,$AA522),"",IF(515=INDEX($X$8:$X$407,$AA522)+INDEX($V$8:$V$407,$AA522)+INDEX($W$8:$W$407,$AA522),"D",IF(AND(INDEX($W$8:$W$407,$AA522)=1,515=INDEX($X$8:$X$407,$AA522)+INDEX($V$8:$V$407,$AA522)),"S","R"))))))</f>
        <v/>
      </c>
      <c r="AC522" t="str">
        <f t="shared" si="113"/>
        <v/>
      </c>
    </row>
    <row r="523" spans="1:29" ht="21" customHeight="1" x14ac:dyDescent="0.95">
      <c r="A523" s="3" t="str">
        <f t="shared" si="106"/>
        <v/>
      </c>
      <c r="B523" s="3" t="str">
        <f t="shared" si="107"/>
        <v/>
      </c>
      <c r="C523" s="8" t="str">
        <f t="shared" si="108"/>
        <v/>
      </c>
      <c r="D523" s="31" t="str">
        <f t="shared" si="109"/>
        <v/>
      </c>
      <c r="E523" s="32" t="str">
        <f>IF(516=$AD$1+3,"ขอแสดงความนับถือ",IF(516=$AD$1+6,"(                 )",IF(516=$AD$1+7,"เจ้าหน้าที่ขนส่ง",IF($AB523="G",SUM($AF$8:$AF$407),IF(OR($AB523="",$AB523="R"),"",IF($AB523="D",INDEX($AF$8:$AF$407,$AA523),SUMIF($T$8:$T$407,INDEX($T$8:$T$407,$AA523),$AF$8:$AF$407)))))))</f>
        <v/>
      </c>
      <c r="F523" s="32" t="str">
        <f t="shared" si="110"/>
        <v/>
      </c>
      <c r="G523" s="32" t="str">
        <f t="shared" si="111"/>
        <v/>
      </c>
      <c r="H523" s="32" t="str">
        <f t="shared" si="112"/>
        <v/>
      </c>
      <c r="AA523" t="str">
        <f>IFERROR(MATCH(516,$X$8:$X$407,1),"")</f>
        <v/>
      </c>
      <c r="AB523" t="str">
        <f>IF(516=$AD$1+1,"G",IF($AA523="","",IF(INDEX($Q$8:$Q$407,$AA523)="","",IF(516&gt;INDEX($X$8:$X$407,$AA523)+INDEX($V$8:$V$407,$AA523)+INDEX($W$8:$W$407,$AA523),"",IF(516=INDEX($X$8:$X$407,$AA523)+INDEX($V$8:$V$407,$AA523)+INDEX($W$8:$W$407,$AA523),"D",IF(AND(INDEX($W$8:$W$407,$AA523)=1,516=INDEX($X$8:$X$407,$AA523)+INDEX($V$8:$V$407,$AA523)),"S","R"))))))</f>
        <v/>
      </c>
      <c r="AC523" t="str">
        <f t="shared" si="113"/>
        <v/>
      </c>
    </row>
    <row r="524" spans="1:29" ht="21" customHeight="1" x14ac:dyDescent="0.95">
      <c r="A524" s="3" t="str">
        <f t="shared" si="106"/>
        <v/>
      </c>
      <c r="B524" s="3" t="str">
        <f t="shared" si="107"/>
        <v/>
      </c>
      <c r="C524" s="8" t="str">
        <f t="shared" si="108"/>
        <v/>
      </c>
      <c r="D524" s="31" t="str">
        <f t="shared" si="109"/>
        <v/>
      </c>
      <c r="E524" s="32" t="str">
        <f>IF(517=$AD$1+3,"ขอแสดงความนับถือ",IF(517=$AD$1+6,"(                 )",IF(517=$AD$1+7,"เจ้าหน้าที่ขนส่ง",IF($AB524="G",SUM($AF$8:$AF$407),IF(OR($AB524="",$AB524="R"),"",IF($AB524="D",INDEX($AF$8:$AF$407,$AA524),SUMIF($T$8:$T$407,INDEX($T$8:$T$407,$AA524),$AF$8:$AF$407)))))))</f>
        <v/>
      </c>
      <c r="F524" s="32" t="str">
        <f t="shared" si="110"/>
        <v/>
      </c>
      <c r="G524" s="32" t="str">
        <f t="shared" si="111"/>
        <v/>
      </c>
      <c r="H524" s="32" t="str">
        <f t="shared" si="112"/>
        <v/>
      </c>
      <c r="AA524" t="str">
        <f>IFERROR(MATCH(517,$X$8:$X$407,1),"")</f>
        <v/>
      </c>
      <c r="AB524" t="str">
        <f>IF(517=$AD$1+1,"G",IF($AA524="","",IF(INDEX($Q$8:$Q$407,$AA524)="","",IF(517&gt;INDEX($X$8:$X$407,$AA524)+INDEX($V$8:$V$407,$AA524)+INDEX($W$8:$W$407,$AA524),"",IF(517=INDEX($X$8:$X$407,$AA524)+INDEX($V$8:$V$407,$AA524)+INDEX($W$8:$W$407,$AA524),"D",IF(AND(INDEX($W$8:$W$407,$AA524)=1,517=INDEX($X$8:$X$407,$AA524)+INDEX($V$8:$V$407,$AA524)),"S","R"))))))</f>
        <v/>
      </c>
      <c r="AC524" t="str">
        <f t="shared" si="113"/>
        <v/>
      </c>
    </row>
    <row r="525" spans="1:29" ht="21" customHeight="1" x14ac:dyDescent="0.95">
      <c r="A525" s="3" t="str">
        <f t="shared" si="106"/>
        <v/>
      </c>
      <c r="B525" s="3" t="str">
        <f t="shared" si="107"/>
        <v/>
      </c>
      <c r="C525" s="8" t="str">
        <f t="shared" si="108"/>
        <v/>
      </c>
      <c r="D525" s="31" t="str">
        <f t="shared" si="109"/>
        <v/>
      </c>
      <c r="E525" s="32" t="str">
        <f>IF(518=$AD$1+3,"ขอแสดงความนับถือ",IF(518=$AD$1+6,"(                 )",IF(518=$AD$1+7,"เจ้าหน้าที่ขนส่ง",IF($AB525="G",SUM($AF$8:$AF$407),IF(OR($AB525="",$AB525="R"),"",IF($AB525="D",INDEX($AF$8:$AF$407,$AA525),SUMIF($T$8:$T$407,INDEX($T$8:$T$407,$AA525),$AF$8:$AF$407)))))))</f>
        <v/>
      </c>
      <c r="F525" s="32" t="str">
        <f t="shared" si="110"/>
        <v/>
      </c>
      <c r="G525" s="32" t="str">
        <f t="shared" si="111"/>
        <v/>
      </c>
      <c r="H525" s="32" t="str">
        <f t="shared" si="112"/>
        <v/>
      </c>
      <c r="AA525" t="str">
        <f>IFERROR(MATCH(518,$X$8:$X$407,1),"")</f>
        <v/>
      </c>
      <c r="AB525" t="str">
        <f>IF(518=$AD$1+1,"G",IF($AA525="","",IF(INDEX($Q$8:$Q$407,$AA525)="","",IF(518&gt;INDEX($X$8:$X$407,$AA525)+INDEX($V$8:$V$407,$AA525)+INDEX($W$8:$W$407,$AA525),"",IF(518=INDEX($X$8:$X$407,$AA525)+INDEX($V$8:$V$407,$AA525)+INDEX($W$8:$W$407,$AA525),"D",IF(AND(INDEX($W$8:$W$407,$AA525)=1,518=INDEX($X$8:$X$407,$AA525)+INDEX($V$8:$V$407,$AA525)),"S","R"))))))</f>
        <v/>
      </c>
      <c r="AC525" t="str">
        <f t="shared" si="113"/>
        <v/>
      </c>
    </row>
    <row r="526" spans="1:29" ht="21" customHeight="1" x14ac:dyDescent="0.95">
      <c r="A526" s="3" t="str">
        <f t="shared" si="106"/>
        <v/>
      </c>
      <c r="B526" s="3" t="str">
        <f t="shared" si="107"/>
        <v/>
      </c>
      <c r="C526" s="8" t="str">
        <f t="shared" si="108"/>
        <v/>
      </c>
      <c r="D526" s="31" t="str">
        <f t="shared" si="109"/>
        <v/>
      </c>
      <c r="E526" s="32" t="str">
        <f>IF(519=$AD$1+3,"ขอแสดงความนับถือ",IF(519=$AD$1+6,"(                 )",IF(519=$AD$1+7,"เจ้าหน้าที่ขนส่ง",IF($AB526="G",SUM($AF$8:$AF$407),IF(OR($AB526="",$AB526="R"),"",IF($AB526="D",INDEX($AF$8:$AF$407,$AA526),SUMIF($T$8:$T$407,INDEX($T$8:$T$407,$AA526),$AF$8:$AF$407)))))))</f>
        <v/>
      </c>
      <c r="F526" s="32" t="str">
        <f t="shared" si="110"/>
        <v/>
      </c>
      <c r="G526" s="32" t="str">
        <f t="shared" si="111"/>
        <v/>
      </c>
      <c r="H526" s="32" t="str">
        <f t="shared" si="112"/>
        <v/>
      </c>
      <c r="AA526" t="str">
        <f>IFERROR(MATCH(519,$X$8:$X$407,1),"")</f>
        <v/>
      </c>
      <c r="AB526" t="str">
        <f>IF(519=$AD$1+1,"G",IF($AA526="","",IF(INDEX($Q$8:$Q$407,$AA526)="","",IF(519&gt;INDEX($X$8:$X$407,$AA526)+INDEX($V$8:$V$407,$AA526)+INDEX($W$8:$W$407,$AA526),"",IF(519=INDEX($X$8:$X$407,$AA526)+INDEX($V$8:$V$407,$AA526)+INDEX($W$8:$W$407,$AA526),"D",IF(AND(INDEX($W$8:$W$407,$AA526)=1,519=INDEX($X$8:$X$407,$AA526)+INDEX($V$8:$V$407,$AA526)),"S","R"))))))</f>
        <v/>
      </c>
      <c r="AC526" t="str">
        <f t="shared" si="113"/>
        <v/>
      </c>
    </row>
    <row r="527" spans="1:29" ht="21" customHeight="1" x14ac:dyDescent="0.95">
      <c r="A527" s="3" t="str">
        <f t="shared" si="106"/>
        <v/>
      </c>
      <c r="B527" s="3" t="str">
        <f t="shared" si="107"/>
        <v/>
      </c>
      <c r="C527" s="8" t="str">
        <f t="shared" si="108"/>
        <v/>
      </c>
      <c r="D527" s="31" t="str">
        <f t="shared" si="109"/>
        <v/>
      </c>
      <c r="E527" s="32" t="str">
        <f>IF(520=$AD$1+3,"ขอแสดงความนับถือ",IF(520=$AD$1+6,"(                 )",IF(520=$AD$1+7,"เจ้าหน้าที่ขนส่ง",IF($AB527="G",SUM($AF$8:$AF$407),IF(OR($AB527="",$AB527="R"),"",IF($AB527="D",INDEX($AF$8:$AF$407,$AA527),SUMIF($T$8:$T$407,INDEX($T$8:$T$407,$AA527),$AF$8:$AF$407)))))))</f>
        <v/>
      </c>
      <c r="F527" s="32" t="str">
        <f t="shared" si="110"/>
        <v/>
      </c>
      <c r="G527" s="32" t="str">
        <f t="shared" si="111"/>
        <v/>
      </c>
      <c r="H527" s="32" t="str">
        <f t="shared" si="112"/>
        <v/>
      </c>
      <c r="AA527" t="str">
        <f>IFERROR(MATCH(520,$X$8:$X$407,1),"")</f>
        <v/>
      </c>
      <c r="AB527" t="str">
        <f>IF(520=$AD$1+1,"G",IF($AA527="","",IF(INDEX($Q$8:$Q$407,$AA527)="","",IF(520&gt;INDEX($X$8:$X$407,$AA527)+INDEX($V$8:$V$407,$AA527)+INDEX($W$8:$W$407,$AA527),"",IF(520=INDEX($X$8:$X$407,$AA527)+INDEX($V$8:$V$407,$AA527)+INDEX($W$8:$W$407,$AA527),"D",IF(AND(INDEX($W$8:$W$407,$AA527)=1,520=INDEX($X$8:$X$407,$AA527)+INDEX($V$8:$V$407,$AA527)),"S","R"))))))</f>
        <v/>
      </c>
      <c r="AC527" t="str">
        <f t="shared" si="113"/>
        <v/>
      </c>
    </row>
    <row r="528" spans="1:29" ht="21" customHeight="1" x14ac:dyDescent="0.95">
      <c r="A528" s="3" t="str">
        <f t="shared" si="106"/>
        <v/>
      </c>
      <c r="B528" s="3" t="str">
        <f t="shared" si="107"/>
        <v/>
      </c>
      <c r="C528" s="8" t="str">
        <f t="shared" si="108"/>
        <v/>
      </c>
      <c r="D528" s="31" t="str">
        <f t="shared" si="109"/>
        <v/>
      </c>
      <c r="E528" s="32" t="str">
        <f>IF(521=$AD$1+3,"ขอแสดงความนับถือ",IF(521=$AD$1+6,"(                 )",IF(521=$AD$1+7,"เจ้าหน้าที่ขนส่ง",IF($AB528="G",SUM($AF$8:$AF$407),IF(OR($AB528="",$AB528="R"),"",IF($AB528="D",INDEX($AF$8:$AF$407,$AA528),SUMIF($T$8:$T$407,INDEX($T$8:$T$407,$AA528),$AF$8:$AF$407)))))))</f>
        <v/>
      </c>
      <c r="F528" s="32" t="str">
        <f t="shared" si="110"/>
        <v/>
      </c>
      <c r="G528" s="32" t="str">
        <f t="shared" si="111"/>
        <v/>
      </c>
      <c r="H528" s="32" t="str">
        <f t="shared" si="112"/>
        <v/>
      </c>
      <c r="AA528" t="str">
        <f>IFERROR(MATCH(521,$X$8:$X$407,1),"")</f>
        <v/>
      </c>
      <c r="AB528" t="str">
        <f>IF(521=$AD$1+1,"G",IF($AA528="","",IF(INDEX($Q$8:$Q$407,$AA528)="","",IF(521&gt;INDEX($X$8:$X$407,$AA528)+INDEX($V$8:$V$407,$AA528)+INDEX($W$8:$W$407,$AA528),"",IF(521=INDEX($X$8:$X$407,$AA528)+INDEX($V$8:$V$407,$AA528)+INDEX($W$8:$W$407,$AA528),"D",IF(AND(INDEX($W$8:$W$407,$AA528)=1,521=INDEX($X$8:$X$407,$AA528)+INDEX($V$8:$V$407,$AA528)),"S","R"))))))</f>
        <v/>
      </c>
      <c r="AC528" t="str">
        <f t="shared" si="113"/>
        <v/>
      </c>
    </row>
    <row r="529" spans="1:29" ht="21" customHeight="1" x14ac:dyDescent="0.95">
      <c r="A529" s="3" t="str">
        <f t="shared" si="106"/>
        <v/>
      </c>
      <c r="B529" s="3" t="str">
        <f t="shared" si="107"/>
        <v/>
      </c>
      <c r="C529" s="8" t="str">
        <f t="shared" si="108"/>
        <v/>
      </c>
      <c r="D529" s="31" t="str">
        <f t="shared" si="109"/>
        <v/>
      </c>
      <c r="E529" s="32" t="str">
        <f>IF(522=$AD$1+3,"ขอแสดงความนับถือ",IF(522=$AD$1+6,"(                 )",IF(522=$AD$1+7,"เจ้าหน้าที่ขนส่ง",IF($AB529="G",SUM($AF$8:$AF$407),IF(OR($AB529="",$AB529="R"),"",IF($AB529="D",INDEX($AF$8:$AF$407,$AA529),SUMIF($T$8:$T$407,INDEX($T$8:$T$407,$AA529),$AF$8:$AF$407)))))))</f>
        <v/>
      </c>
      <c r="F529" s="32" t="str">
        <f t="shared" si="110"/>
        <v/>
      </c>
      <c r="G529" s="32" t="str">
        <f t="shared" si="111"/>
        <v/>
      </c>
      <c r="H529" s="32" t="str">
        <f t="shared" si="112"/>
        <v/>
      </c>
      <c r="AA529" t="str">
        <f>IFERROR(MATCH(522,$X$8:$X$407,1),"")</f>
        <v/>
      </c>
      <c r="AB529" t="str">
        <f>IF(522=$AD$1+1,"G",IF($AA529="","",IF(INDEX($Q$8:$Q$407,$AA529)="","",IF(522&gt;INDEX($X$8:$X$407,$AA529)+INDEX($V$8:$V$407,$AA529)+INDEX($W$8:$W$407,$AA529),"",IF(522=INDEX($X$8:$X$407,$AA529)+INDEX($V$8:$V$407,$AA529)+INDEX($W$8:$W$407,$AA529),"D",IF(AND(INDEX($W$8:$W$407,$AA529)=1,522=INDEX($X$8:$X$407,$AA529)+INDEX($V$8:$V$407,$AA529)),"S","R"))))))</f>
        <v/>
      </c>
      <c r="AC529" t="str">
        <f t="shared" si="113"/>
        <v/>
      </c>
    </row>
    <row r="530" spans="1:29" ht="21" customHeight="1" x14ac:dyDescent="0.95">
      <c r="A530" s="3" t="str">
        <f t="shared" si="106"/>
        <v/>
      </c>
      <c r="B530" s="3" t="str">
        <f t="shared" si="107"/>
        <v/>
      </c>
      <c r="C530" s="8" t="str">
        <f t="shared" si="108"/>
        <v/>
      </c>
      <c r="D530" s="31" t="str">
        <f t="shared" si="109"/>
        <v/>
      </c>
      <c r="E530" s="32" t="str">
        <f>IF(523=$AD$1+3,"ขอแสดงความนับถือ",IF(523=$AD$1+6,"(                 )",IF(523=$AD$1+7,"เจ้าหน้าที่ขนส่ง",IF($AB530="G",SUM($AF$8:$AF$407),IF(OR($AB530="",$AB530="R"),"",IF($AB530="D",INDEX($AF$8:$AF$407,$AA530),SUMIF($T$8:$T$407,INDEX($T$8:$T$407,$AA530),$AF$8:$AF$407)))))))</f>
        <v/>
      </c>
      <c r="F530" s="32" t="str">
        <f t="shared" si="110"/>
        <v/>
      </c>
      <c r="G530" s="32" t="str">
        <f t="shared" si="111"/>
        <v/>
      </c>
      <c r="H530" s="32" t="str">
        <f t="shared" si="112"/>
        <v/>
      </c>
      <c r="AA530" t="str">
        <f>IFERROR(MATCH(523,$X$8:$X$407,1),"")</f>
        <v/>
      </c>
      <c r="AB530" t="str">
        <f>IF(523=$AD$1+1,"G",IF($AA530="","",IF(INDEX($Q$8:$Q$407,$AA530)="","",IF(523&gt;INDEX($X$8:$X$407,$AA530)+INDEX($V$8:$V$407,$AA530)+INDEX($W$8:$W$407,$AA530),"",IF(523=INDEX($X$8:$X$407,$AA530)+INDEX($V$8:$V$407,$AA530)+INDEX($W$8:$W$407,$AA530),"D",IF(AND(INDEX($W$8:$W$407,$AA530)=1,523=INDEX($X$8:$X$407,$AA530)+INDEX($V$8:$V$407,$AA530)),"S","R"))))))</f>
        <v/>
      </c>
      <c r="AC530" t="str">
        <f t="shared" si="113"/>
        <v/>
      </c>
    </row>
    <row r="531" spans="1:29" ht="21" customHeight="1" x14ac:dyDescent="0.95">
      <c r="A531" s="3" t="str">
        <f t="shared" si="106"/>
        <v/>
      </c>
      <c r="B531" s="3" t="str">
        <f t="shared" si="107"/>
        <v/>
      </c>
      <c r="C531" s="8" t="str">
        <f t="shared" si="108"/>
        <v/>
      </c>
      <c r="D531" s="31" t="str">
        <f t="shared" si="109"/>
        <v/>
      </c>
      <c r="E531" s="32" t="str">
        <f>IF(524=$AD$1+3,"ขอแสดงความนับถือ",IF(524=$AD$1+6,"(                 )",IF(524=$AD$1+7,"เจ้าหน้าที่ขนส่ง",IF($AB531="G",SUM($AF$8:$AF$407),IF(OR($AB531="",$AB531="R"),"",IF($AB531="D",INDEX($AF$8:$AF$407,$AA531),SUMIF($T$8:$T$407,INDEX($T$8:$T$407,$AA531),$AF$8:$AF$407)))))))</f>
        <v/>
      </c>
      <c r="F531" s="32" t="str">
        <f t="shared" si="110"/>
        <v/>
      </c>
      <c r="G531" s="32" t="str">
        <f t="shared" si="111"/>
        <v/>
      </c>
      <c r="H531" s="32" t="str">
        <f t="shared" si="112"/>
        <v/>
      </c>
      <c r="AA531" t="str">
        <f>IFERROR(MATCH(524,$X$8:$X$407,1),"")</f>
        <v/>
      </c>
      <c r="AB531" t="str">
        <f>IF(524=$AD$1+1,"G",IF($AA531="","",IF(INDEX($Q$8:$Q$407,$AA531)="","",IF(524&gt;INDEX($X$8:$X$407,$AA531)+INDEX($V$8:$V$407,$AA531)+INDEX($W$8:$W$407,$AA531),"",IF(524=INDEX($X$8:$X$407,$AA531)+INDEX($V$8:$V$407,$AA531)+INDEX($W$8:$W$407,$AA531),"D",IF(AND(INDEX($W$8:$W$407,$AA531)=1,524=INDEX($X$8:$X$407,$AA531)+INDEX($V$8:$V$407,$AA531)),"S","R"))))))</f>
        <v/>
      </c>
      <c r="AC531" t="str">
        <f t="shared" si="113"/>
        <v/>
      </c>
    </row>
    <row r="532" spans="1:29" ht="21" customHeight="1" x14ac:dyDescent="0.95">
      <c r="A532" s="3" t="str">
        <f t="shared" si="106"/>
        <v/>
      </c>
      <c r="B532" s="3" t="str">
        <f t="shared" si="107"/>
        <v/>
      </c>
      <c r="C532" s="8" t="str">
        <f t="shared" si="108"/>
        <v/>
      </c>
      <c r="D532" s="31" t="str">
        <f t="shared" si="109"/>
        <v/>
      </c>
      <c r="E532" s="32" t="str">
        <f>IF(525=$AD$1+3,"ขอแสดงความนับถือ",IF(525=$AD$1+6,"(                 )",IF(525=$AD$1+7,"เจ้าหน้าที่ขนส่ง",IF($AB532="G",SUM($AF$8:$AF$407),IF(OR($AB532="",$AB532="R"),"",IF($AB532="D",INDEX($AF$8:$AF$407,$AA532),SUMIF($T$8:$T$407,INDEX($T$8:$T$407,$AA532),$AF$8:$AF$407)))))))</f>
        <v/>
      </c>
      <c r="F532" s="32" t="str">
        <f t="shared" si="110"/>
        <v/>
      </c>
      <c r="G532" s="32" t="str">
        <f t="shared" si="111"/>
        <v/>
      </c>
      <c r="H532" s="32" t="str">
        <f t="shared" si="112"/>
        <v/>
      </c>
      <c r="AA532" t="str">
        <f>IFERROR(MATCH(525,$X$8:$X$407,1),"")</f>
        <v/>
      </c>
      <c r="AB532" t="str">
        <f>IF(525=$AD$1+1,"G",IF($AA532="","",IF(INDEX($Q$8:$Q$407,$AA532)="","",IF(525&gt;INDEX($X$8:$X$407,$AA532)+INDEX($V$8:$V$407,$AA532)+INDEX($W$8:$W$407,$AA532),"",IF(525=INDEX($X$8:$X$407,$AA532)+INDEX($V$8:$V$407,$AA532)+INDEX($W$8:$W$407,$AA532),"D",IF(AND(INDEX($W$8:$W$407,$AA532)=1,525=INDEX($X$8:$X$407,$AA532)+INDEX($V$8:$V$407,$AA532)),"S","R"))))))</f>
        <v/>
      </c>
      <c r="AC532" t="str">
        <f t="shared" si="113"/>
        <v/>
      </c>
    </row>
    <row r="533" spans="1:29" ht="21" customHeight="1" x14ac:dyDescent="0.95">
      <c r="A533" s="3" t="str">
        <f t="shared" si="106"/>
        <v/>
      </c>
      <c r="B533" s="3" t="str">
        <f t="shared" si="107"/>
        <v/>
      </c>
      <c r="C533" s="8" t="str">
        <f t="shared" si="108"/>
        <v/>
      </c>
      <c r="D533" s="31" t="str">
        <f t="shared" si="109"/>
        <v/>
      </c>
      <c r="E533" s="32" t="str">
        <f>IF(526=$AD$1+3,"ขอแสดงความนับถือ",IF(526=$AD$1+6,"(                 )",IF(526=$AD$1+7,"เจ้าหน้าที่ขนส่ง",IF($AB533="G",SUM($AF$8:$AF$407),IF(OR($AB533="",$AB533="R"),"",IF($AB533="D",INDEX($AF$8:$AF$407,$AA533),SUMIF($T$8:$T$407,INDEX($T$8:$T$407,$AA533),$AF$8:$AF$407)))))))</f>
        <v/>
      </c>
      <c r="F533" s="32" t="str">
        <f t="shared" si="110"/>
        <v/>
      </c>
      <c r="G533" s="32" t="str">
        <f t="shared" si="111"/>
        <v/>
      </c>
      <c r="H533" s="32" t="str">
        <f t="shared" si="112"/>
        <v/>
      </c>
      <c r="AA533" t="str">
        <f>IFERROR(MATCH(526,$X$8:$X$407,1),"")</f>
        <v/>
      </c>
      <c r="AB533" t="str">
        <f>IF(526=$AD$1+1,"G",IF($AA533="","",IF(INDEX($Q$8:$Q$407,$AA533)="","",IF(526&gt;INDEX($X$8:$X$407,$AA533)+INDEX($V$8:$V$407,$AA533)+INDEX($W$8:$W$407,$AA533),"",IF(526=INDEX($X$8:$X$407,$AA533)+INDEX($V$8:$V$407,$AA533)+INDEX($W$8:$W$407,$AA533),"D",IF(AND(INDEX($W$8:$W$407,$AA533)=1,526=INDEX($X$8:$X$407,$AA533)+INDEX($V$8:$V$407,$AA533)),"S","R"))))))</f>
        <v/>
      </c>
      <c r="AC533" t="str">
        <f t="shared" si="113"/>
        <v/>
      </c>
    </row>
    <row r="534" spans="1:29" ht="21" customHeight="1" x14ac:dyDescent="0.95">
      <c r="A534" s="3" t="str">
        <f t="shared" si="106"/>
        <v/>
      </c>
      <c r="B534" s="3" t="str">
        <f t="shared" si="107"/>
        <v/>
      </c>
      <c r="C534" s="8" t="str">
        <f t="shared" si="108"/>
        <v/>
      </c>
      <c r="D534" s="31" t="str">
        <f t="shared" si="109"/>
        <v/>
      </c>
      <c r="E534" s="32" t="str">
        <f>IF(527=$AD$1+3,"ขอแสดงความนับถือ",IF(527=$AD$1+6,"(                 )",IF(527=$AD$1+7,"เจ้าหน้าที่ขนส่ง",IF($AB534="G",SUM($AF$8:$AF$407),IF(OR($AB534="",$AB534="R"),"",IF($AB534="D",INDEX($AF$8:$AF$407,$AA534),SUMIF($T$8:$T$407,INDEX($T$8:$T$407,$AA534),$AF$8:$AF$407)))))))</f>
        <v/>
      </c>
      <c r="F534" s="32" t="str">
        <f t="shared" si="110"/>
        <v/>
      </c>
      <c r="G534" s="32" t="str">
        <f t="shared" si="111"/>
        <v/>
      </c>
      <c r="H534" s="32" t="str">
        <f t="shared" si="112"/>
        <v/>
      </c>
      <c r="AA534" t="str">
        <f>IFERROR(MATCH(527,$X$8:$X$407,1),"")</f>
        <v/>
      </c>
      <c r="AB534" t="str">
        <f>IF(527=$AD$1+1,"G",IF($AA534="","",IF(INDEX($Q$8:$Q$407,$AA534)="","",IF(527&gt;INDEX($X$8:$X$407,$AA534)+INDEX($V$8:$V$407,$AA534)+INDEX($W$8:$W$407,$AA534),"",IF(527=INDEX($X$8:$X$407,$AA534)+INDEX($V$8:$V$407,$AA534)+INDEX($W$8:$W$407,$AA534),"D",IF(AND(INDEX($W$8:$W$407,$AA534)=1,527=INDEX($X$8:$X$407,$AA534)+INDEX($V$8:$V$407,$AA534)),"S","R"))))))</f>
        <v/>
      </c>
      <c r="AC534" t="str">
        <f t="shared" si="113"/>
        <v/>
      </c>
    </row>
    <row r="535" spans="1:29" ht="21" customHeight="1" x14ac:dyDescent="0.95">
      <c r="A535" s="3" t="str">
        <f t="shared" si="106"/>
        <v/>
      </c>
      <c r="B535" s="3" t="str">
        <f t="shared" si="107"/>
        <v/>
      </c>
      <c r="C535" s="8" t="str">
        <f t="shared" si="108"/>
        <v/>
      </c>
      <c r="D535" s="31" t="str">
        <f t="shared" si="109"/>
        <v/>
      </c>
      <c r="E535" s="32" t="str">
        <f>IF(528=$AD$1+3,"ขอแสดงความนับถือ",IF(528=$AD$1+6,"(                 )",IF(528=$AD$1+7,"เจ้าหน้าที่ขนส่ง",IF($AB535="G",SUM($AF$8:$AF$407),IF(OR($AB535="",$AB535="R"),"",IF($AB535="D",INDEX($AF$8:$AF$407,$AA535),SUMIF($T$8:$T$407,INDEX($T$8:$T$407,$AA535),$AF$8:$AF$407)))))))</f>
        <v/>
      </c>
      <c r="F535" s="32" t="str">
        <f t="shared" si="110"/>
        <v/>
      </c>
      <c r="G535" s="32" t="str">
        <f t="shared" si="111"/>
        <v/>
      </c>
      <c r="H535" s="32" t="str">
        <f t="shared" si="112"/>
        <v/>
      </c>
      <c r="AA535" t="str">
        <f>IFERROR(MATCH(528,$X$8:$X$407,1),"")</f>
        <v/>
      </c>
      <c r="AB535" t="str">
        <f>IF(528=$AD$1+1,"G",IF($AA535="","",IF(INDEX($Q$8:$Q$407,$AA535)="","",IF(528&gt;INDEX($X$8:$X$407,$AA535)+INDEX($V$8:$V$407,$AA535)+INDEX($W$8:$W$407,$AA535),"",IF(528=INDEX($X$8:$X$407,$AA535)+INDEX($V$8:$V$407,$AA535)+INDEX($W$8:$W$407,$AA535),"D",IF(AND(INDEX($W$8:$W$407,$AA535)=1,528=INDEX($X$8:$X$407,$AA535)+INDEX($V$8:$V$407,$AA535)),"S","R"))))))</f>
        <v/>
      </c>
      <c r="AC535" t="str">
        <f t="shared" si="113"/>
        <v/>
      </c>
    </row>
    <row r="536" spans="1:29" ht="21" customHeight="1" x14ac:dyDescent="0.95">
      <c r="A536" s="3" t="str">
        <f t="shared" si="106"/>
        <v/>
      </c>
      <c r="B536" s="3" t="str">
        <f t="shared" si="107"/>
        <v/>
      </c>
      <c r="C536" s="8" t="str">
        <f t="shared" si="108"/>
        <v/>
      </c>
      <c r="D536" s="31" t="str">
        <f t="shared" si="109"/>
        <v/>
      </c>
      <c r="E536" s="32" t="str">
        <f>IF(529=$AD$1+3,"ขอแสดงความนับถือ",IF(529=$AD$1+6,"(                 )",IF(529=$AD$1+7,"เจ้าหน้าที่ขนส่ง",IF($AB536="G",SUM($AF$8:$AF$407),IF(OR($AB536="",$AB536="R"),"",IF($AB536="D",INDEX($AF$8:$AF$407,$AA536),SUMIF($T$8:$T$407,INDEX($T$8:$T$407,$AA536),$AF$8:$AF$407)))))))</f>
        <v/>
      </c>
      <c r="F536" s="32" t="str">
        <f t="shared" si="110"/>
        <v/>
      </c>
      <c r="G536" s="32" t="str">
        <f t="shared" si="111"/>
        <v/>
      </c>
      <c r="H536" s="32" t="str">
        <f t="shared" si="112"/>
        <v/>
      </c>
      <c r="AA536" t="str">
        <f>IFERROR(MATCH(529,$X$8:$X$407,1),"")</f>
        <v/>
      </c>
      <c r="AB536" t="str">
        <f>IF(529=$AD$1+1,"G",IF($AA536="","",IF(INDEX($Q$8:$Q$407,$AA536)="","",IF(529&gt;INDEX($X$8:$X$407,$AA536)+INDEX($V$8:$V$407,$AA536)+INDEX($W$8:$W$407,$AA536),"",IF(529=INDEX($X$8:$X$407,$AA536)+INDEX($V$8:$V$407,$AA536)+INDEX($W$8:$W$407,$AA536),"D",IF(AND(INDEX($W$8:$W$407,$AA536)=1,529=INDEX($X$8:$X$407,$AA536)+INDEX($V$8:$V$407,$AA536)),"S","R"))))))</f>
        <v/>
      </c>
      <c r="AC536" t="str">
        <f t="shared" si="113"/>
        <v/>
      </c>
    </row>
    <row r="537" spans="1:29" ht="21" customHeight="1" x14ac:dyDescent="0.95">
      <c r="A537" s="3" t="str">
        <f t="shared" si="106"/>
        <v/>
      </c>
      <c r="B537" s="3" t="str">
        <f t="shared" si="107"/>
        <v/>
      </c>
      <c r="C537" s="8" t="str">
        <f t="shared" si="108"/>
        <v/>
      </c>
      <c r="D537" s="31" t="str">
        <f t="shared" si="109"/>
        <v/>
      </c>
      <c r="E537" s="32" t="str">
        <f>IF(530=$AD$1+3,"ขอแสดงความนับถือ",IF(530=$AD$1+6,"(                 )",IF(530=$AD$1+7,"เจ้าหน้าที่ขนส่ง",IF($AB537="G",SUM($AF$8:$AF$407),IF(OR($AB537="",$AB537="R"),"",IF($AB537="D",INDEX($AF$8:$AF$407,$AA537),SUMIF($T$8:$T$407,INDEX($T$8:$T$407,$AA537),$AF$8:$AF$407)))))))</f>
        <v/>
      </c>
      <c r="F537" s="32" t="str">
        <f t="shared" si="110"/>
        <v/>
      </c>
      <c r="G537" s="32" t="str">
        <f t="shared" si="111"/>
        <v/>
      </c>
      <c r="H537" s="32" t="str">
        <f t="shared" si="112"/>
        <v/>
      </c>
      <c r="AA537" t="str">
        <f>IFERROR(MATCH(530,$X$8:$X$407,1),"")</f>
        <v/>
      </c>
      <c r="AB537" t="str">
        <f>IF(530=$AD$1+1,"G",IF($AA537="","",IF(INDEX($Q$8:$Q$407,$AA537)="","",IF(530&gt;INDEX($X$8:$X$407,$AA537)+INDEX($V$8:$V$407,$AA537)+INDEX($W$8:$W$407,$AA537),"",IF(530=INDEX($X$8:$X$407,$AA537)+INDEX($V$8:$V$407,$AA537)+INDEX($W$8:$W$407,$AA537),"D",IF(AND(INDEX($W$8:$W$407,$AA537)=1,530=INDEX($X$8:$X$407,$AA537)+INDEX($V$8:$V$407,$AA537)),"S","R"))))))</f>
        <v/>
      </c>
      <c r="AC537" t="str">
        <f t="shared" si="113"/>
        <v/>
      </c>
    </row>
    <row r="538" spans="1:29" ht="21" customHeight="1" x14ac:dyDescent="0.95">
      <c r="A538" s="3" t="str">
        <f t="shared" si="106"/>
        <v/>
      </c>
      <c r="B538" s="3" t="str">
        <f t="shared" si="107"/>
        <v/>
      </c>
      <c r="C538" s="8" t="str">
        <f t="shared" si="108"/>
        <v/>
      </c>
      <c r="D538" s="31" t="str">
        <f t="shared" si="109"/>
        <v/>
      </c>
      <c r="E538" s="32" t="str">
        <f>IF(531=$AD$1+3,"ขอแสดงความนับถือ",IF(531=$AD$1+6,"(                 )",IF(531=$AD$1+7,"เจ้าหน้าที่ขนส่ง",IF($AB538="G",SUM($AF$8:$AF$407),IF(OR($AB538="",$AB538="R"),"",IF($AB538="D",INDEX($AF$8:$AF$407,$AA538),SUMIF($T$8:$T$407,INDEX($T$8:$T$407,$AA538),$AF$8:$AF$407)))))))</f>
        <v/>
      </c>
      <c r="F538" s="32" t="str">
        <f t="shared" si="110"/>
        <v/>
      </c>
      <c r="G538" s="32" t="str">
        <f t="shared" si="111"/>
        <v/>
      </c>
      <c r="H538" s="32" t="str">
        <f t="shared" si="112"/>
        <v/>
      </c>
      <c r="AA538" t="str">
        <f>IFERROR(MATCH(531,$X$8:$X$407,1),"")</f>
        <v/>
      </c>
      <c r="AB538" t="str">
        <f>IF(531=$AD$1+1,"G",IF($AA538="","",IF(INDEX($Q$8:$Q$407,$AA538)="","",IF(531&gt;INDEX($X$8:$X$407,$AA538)+INDEX($V$8:$V$407,$AA538)+INDEX($W$8:$W$407,$AA538),"",IF(531=INDEX($X$8:$X$407,$AA538)+INDEX($V$8:$V$407,$AA538)+INDEX($W$8:$W$407,$AA538),"D",IF(AND(INDEX($W$8:$W$407,$AA538)=1,531=INDEX($X$8:$X$407,$AA538)+INDEX($V$8:$V$407,$AA538)),"S","R"))))))</f>
        <v/>
      </c>
      <c r="AC538" t="str">
        <f t="shared" si="113"/>
        <v/>
      </c>
    </row>
    <row r="539" spans="1:29" ht="21" customHeight="1" x14ac:dyDescent="0.95">
      <c r="A539" s="3" t="str">
        <f t="shared" si="106"/>
        <v/>
      </c>
      <c r="B539" s="3" t="str">
        <f t="shared" si="107"/>
        <v/>
      </c>
      <c r="C539" s="8" t="str">
        <f t="shared" si="108"/>
        <v/>
      </c>
      <c r="D539" s="31" t="str">
        <f t="shared" si="109"/>
        <v/>
      </c>
      <c r="E539" s="32" t="str">
        <f>IF(532=$AD$1+3,"ขอแสดงความนับถือ",IF(532=$AD$1+6,"(                 )",IF(532=$AD$1+7,"เจ้าหน้าที่ขนส่ง",IF($AB539="G",SUM($AF$8:$AF$407),IF(OR($AB539="",$AB539="R"),"",IF($AB539="D",INDEX($AF$8:$AF$407,$AA539),SUMIF($T$8:$T$407,INDEX($T$8:$T$407,$AA539),$AF$8:$AF$407)))))))</f>
        <v/>
      </c>
      <c r="F539" s="32" t="str">
        <f t="shared" si="110"/>
        <v/>
      </c>
      <c r="G539" s="32" t="str">
        <f t="shared" si="111"/>
        <v/>
      </c>
      <c r="H539" s="32" t="str">
        <f t="shared" si="112"/>
        <v/>
      </c>
      <c r="AA539" t="str">
        <f>IFERROR(MATCH(532,$X$8:$X$407,1),"")</f>
        <v/>
      </c>
      <c r="AB539" t="str">
        <f>IF(532=$AD$1+1,"G",IF($AA539="","",IF(INDEX($Q$8:$Q$407,$AA539)="","",IF(532&gt;INDEX($X$8:$X$407,$AA539)+INDEX($V$8:$V$407,$AA539)+INDEX($W$8:$W$407,$AA539),"",IF(532=INDEX($X$8:$X$407,$AA539)+INDEX($V$8:$V$407,$AA539)+INDEX($W$8:$W$407,$AA539),"D",IF(AND(INDEX($W$8:$W$407,$AA539)=1,532=INDEX($X$8:$X$407,$AA539)+INDEX($V$8:$V$407,$AA539)),"S","R"))))))</f>
        <v/>
      </c>
      <c r="AC539" t="str">
        <f t="shared" si="113"/>
        <v/>
      </c>
    </row>
    <row r="540" spans="1:29" ht="21" customHeight="1" x14ac:dyDescent="0.95">
      <c r="A540" s="3" t="str">
        <f t="shared" si="106"/>
        <v/>
      </c>
      <c r="B540" s="3" t="str">
        <f t="shared" si="107"/>
        <v/>
      </c>
      <c r="C540" s="8" t="str">
        <f t="shared" si="108"/>
        <v/>
      </c>
      <c r="D540" s="31" t="str">
        <f t="shared" si="109"/>
        <v/>
      </c>
      <c r="E540" s="32" t="str">
        <f>IF(533=$AD$1+3,"ขอแสดงความนับถือ",IF(533=$AD$1+6,"(                 )",IF(533=$AD$1+7,"เจ้าหน้าที่ขนส่ง",IF($AB540="G",SUM($AF$8:$AF$407),IF(OR($AB540="",$AB540="R"),"",IF($AB540="D",INDEX($AF$8:$AF$407,$AA540),SUMIF($T$8:$T$407,INDEX($T$8:$T$407,$AA540),$AF$8:$AF$407)))))))</f>
        <v/>
      </c>
      <c r="F540" s="32" t="str">
        <f t="shared" si="110"/>
        <v/>
      </c>
      <c r="G540" s="32" t="str">
        <f t="shared" si="111"/>
        <v/>
      </c>
      <c r="H540" s="32" t="str">
        <f t="shared" si="112"/>
        <v/>
      </c>
      <c r="AA540" t="str">
        <f>IFERROR(MATCH(533,$X$8:$X$407,1),"")</f>
        <v/>
      </c>
      <c r="AB540" t="str">
        <f>IF(533=$AD$1+1,"G",IF($AA540="","",IF(INDEX($Q$8:$Q$407,$AA540)="","",IF(533&gt;INDEX($X$8:$X$407,$AA540)+INDEX($V$8:$V$407,$AA540)+INDEX($W$8:$W$407,$AA540),"",IF(533=INDEX($X$8:$X$407,$AA540)+INDEX($V$8:$V$407,$AA540)+INDEX($W$8:$W$407,$AA540),"D",IF(AND(INDEX($W$8:$W$407,$AA540)=1,533=INDEX($X$8:$X$407,$AA540)+INDEX($V$8:$V$407,$AA540)),"S","R"))))))</f>
        <v/>
      </c>
      <c r="AC540" t="str">
        <f t="shared" si="113"/>
        <v/>
      </c>
    </row>
    <row r="541" spans="1:29" ht="21" customHeight="1" x14ac:dyDescent="0.95">
      <c r="A541" s="3" t="str">
        <f t="shared" si="106"/>
        <v/>
      </c>
      <c r="B541" s="3" t="str">
        <f t="shared" si="107"/>
        <v/>
      </c>
      <c r="C541" s="8" t="str">
        <f t="shared" si="108"/>
        <v/>
      </c>
      <c r="D541" s="31" t="str">
        <f t="shared" si="109"/>
        <v/>
      </c>
      <c r="E541" s="32" t="str">
        <f>IF(534=$AD$1+3,"ขอแสดงความนับถือ",IF(534=$AD$1+6,"(                 )",IF(534=$AD$1+7,"เจ้าหน้าที่ขนส่ง",IF($AB541="G",SUM($AF$8:$AF$407),IF(OR($AB541="",$AB541="R"),"",IF($AB541="D",INDEX($AF$8:$AF$407,$AA541),SUMIF($T$8:$T$407,INDEX($T$8:$T$407,$AA541),$AF$8:$AF$407)))))))</f>
        <v/>
      </c>
      <c r="F541" s="32" t="str">
        <f t="shared" si="110"/>
        <v/>
      </c>
      <c r="G541" s="32" t="str">
        <f t="shared" si="111"/>
        <v/>
      </c>
      <c r="H541" s="32" t="str">
        <f t="shared" si="112"/>
        <v/>
      </c>
      <c r="AA541" t="str">
        <f>IFERROR(MATCH(534,$X$8:$X$407,1),"")</f>
        <v/>
      </c>
      <c r="AB541" t="str">
        <f>IF(534=$AD$1+1,"G",IF($AA541="","",IF(INDEX($Q$8:$Q$407,$AA541)="","",IF(534&gt;INDEX($X$8:$X$407,$AA541)+INDEX($V$8:$V$407,$AA541)+INDEX($W$8:$W$407,$AA541),"",IF(534=INDEX($X$8:$X$407,$AA541)+INDEX($V$8:$V$407,$AA541)+INDEX($W$8:$W$407,$AA541),"D",IF(AND(INDEX($W$8:$W$407,$AA541)=1,534=INDEX($X$8:$X$407,$AA541)+INDEX($V$8:$V$407,$AA541)),"S","R"))))))</f>
        <v/>
      </c>
      <c r="AC541" t="str">
        <f t="shared" si="113"/>
        <v/>
      </c>
    </row>
    <row r="542" spans="1:29" ht="21" customHeight="1" x14ac:dyDescent="0.95">
      <c r="A542" s="3" t="str">
        <f t="shared" si="106"/>
        <v/>
      </c>
      <c r="B542" s="3" t="str">
        <f t="shared" si="107"/>
        <v/>
      </c>
      <c r="C542" s="8" t="str">
        <f t="shared" si="108"/>
        <v/>
      </c>
      <c r="D542" s="31" t="str">
        <f t="shared" si="109"/>
        <v/>
      </c>
      <c r="E542" s="32" t="str">
        <f>IF(535=$AD$1+3,"ขอแสดงความนับถือ",IF(535=$AD$1+6,"(                 )",IF(535=$AD$1+7,"เจ้าหน้าที่ขนส่ง",IF($AB542="G",SUM($AF$8:$AF$407),IF(OR($AB542="",$AB542="R"),"",IF($AB542="D",INDEX($AF$8:$AF$407,$AA542),SUMIF($T$8:$T$407,INDEX($T$8:$T$407,$AA542),$AF$8:$AF$407)))))))</f>
        <v/>
      </c>
      <c r="F542" s="32" t="str">
        <f t="shared" si="110"/>
        <v/>
      </c>
      <c r="G542" s="32" t="str">
        <f t="shared" si="111"/>
        <v/>
      </c>
      <c r="H542" s="32" t="str">
        <f t="shared" si="112"/>
        <v/>
      </c>
      <c r="AA542" t="str">
        <f>IFERROR(MATCH(535,$X$8:$X$407,1),"")</f>
        <v/>
      </c>
      <c r="AB542" t="str">
        <f>IF(535=$AD$1+1,"G",IF($AA542="","",IF(INDEX($Q$8:$Q$407,$AA542)="","",IF(535&gt;INDEX($X$8:$X$407,$AA542)+INDEX($V$8:$V$407,$AA542)+INDEX($W$8:$W$407,$AA542),"",IF(535=INDEX($X$8:$X$407,$AA542)+INDEX($V$8:$V$407,$AA542)+INDEX($W$8:$W$407,$AA542),"D",IF(AND(INDEX($W$8:$W$407,$AA542)=1,535=INDEX($X$8:$X$407,$AA542)+INDEX($V$8:$V$407,$AA542)),"S","R"))))))</f>
        <v/>
      </c>
      <c r="AC542" t="str">
        <f t="shared" si="113"/>
        <v/>
      </c>
    </row>
    <row r="543" spans="1:29" ht="21" customHeight="1" x14ac:dyDescent="0.95">
      <c r="A543" s="3" t="str">
        <f t="shared" si="106"/>
        <v/>
      </c>
      <c r="B543" s="3" t="str">
        <f t="shared" si="107"/>
        <v/>
      </c>
      <c r="C543" s="8" t="str">
        <f t="shared" si="108"/>
        <v/>
      </c>
      <c r="D543" s="31" t="str">
        <f t="shared" si="109"/>
        <v/>
      </c>
      <c r="E543" s="32" t="str">
        <f>IF(536=$AD$1+3,"ขอแสดงความนับถือ",IF(536=$AD$1+6,"(                 )",IF(536=$AD$1+7,"เจ้าหน้าที่ขนส่ง",IF($AB543="G",SUM($AF$8:$AF$407),IF(OR($AB543="",$AB543="R"),"",IF($AB543="D",INDEX($AF$8:$AF$407,$AA543),SUMIF($T$8:$T$407,INDEX($T$8:$T$407,$AA543),$AF$8:$AF$407)))))))</f>
        <v/>
      </c>
      <c r="F543" s="32" t="str">
        <f t="shared" si="110"/>
        <v/>
      </c>
      <c r="G543" s="32" t="str">
        <f t="shared" si="111"/>
        <v/>
      </c>
      <c r="H543" s="32" t="str">
        <f t="shared" si="112"/>
        <v/>
      </c>
      <c r="AA543" t="str">
        <f>IFERROR(MATCH(536,$X$8:$X$407,1),"")</f>
        <v/>
      </c>
      <c r="AB543" t="str">
        <f>IF(536=$AD$1+1,"G",IF($AA543="","",IF(INDEX($Q$8:$Q$407,$AA543)="","",IF(536&gt;INDEX($X$8:$X$407,$AA543)+INDEX($V$8:$V$407,$AA543)+INDEX($W$8:$W$407,$AA543),"",IF(536=INDEX($X$8:$X$407,$AA543)+INDEX($V$8:$V$407,$AA543)+INDEX($W$8:$W$407,$AA543),"D",IF(AND(INDEX($W$8:$W$407,$AA543)=1,536=INDEX($X$8:$X$407,$AA543)+INDEX($V$8:$V$407,$AA543)),"S","R"))))))</f>
        <v/>
      </c>
      <c r="AC543" t="str">
        <f t="shared" si="113"/>
        <v/>
      </c>
    </row>
    <row r="544" spans="1:29" ht="21" customHeight="1" x14ac:dyDescent="0.95">
      <c r="A544" s="3" t="str">
        <f t="shared" si="106"/>
        <v/>
      </c>
      <c r="B544" s="3" t="str">
        <f t="shared" si="107"/>
        <v/>
      </c>
      <c r="C544" s="8" t="str">
        <f t="shared" si="108"/>
        <v/>
      </c>
      <c r="D544" s="31" t="str">
        <f t="shared" si="109"/>
        <v/>
      </c>
      <c r="E544" s="32" t="str">
        <f>IF(537=$AD$1+3,"ขอแสดงความนับถือ",IF(537=$AD$1+6,"(                 )",IF(537=$AD$1+7,"เจ้าหน้าที่ขนส่ง",IF($AB544="G",SUM($AF$8:$AF$407),IF(OR($AB544="",$AB544="R"),"",IF($AB544="D",INDEX($AF$8:$AF$407,$AA544),SUMIF($T$8:$T$407,INDEX($T$8:$T$407,$AA544),$AF$8:$AF$407)))))))</f>
        <v/>
      </c>
      <c r="F544" s="32" t="str">
        <f t="shared" si="110"/>
        <v/>
      </c>
      <c r="G544" s="32" t="str">
        <f t="shared" si="111"/>
        <v/>
      </c>
      <c r="H544" s="32" t="str">
        <f t="shared" si="112"/>
        <v/>
      </c>
      <c r="AA544" t="str">
        <f>IFERROR(MATCH(537,$X$8:$X$407,1),"")</f>
        <v/>
      </c>
      <c r="AB544" t="str">
        <f>IF(537=$AD$1+1,"G",IF($AA544="","",IF(INDEX($Q$8:$Q$407,$AA544)="","",IF(537&gt;INDEX($X$8:$X$407,$AA544)+INDEX($V$8:$V$407,$AA544)+INDEX($W$8:$W$407,$AA544),"",IF(537=INDEX($X$8:$X$407,$AA544)+INDEX($V$8:$V$407,$AA544)+INDEX($W$8:$W$407,$AA544),"D",IF(AND(INDEX($W$8:$W$407,$AA544)=1,537=INDEX($X$8:$X$407,$AA544)+INDEX($V$8:$V$407,$AA544)),"S","R"))))))</f>
        <v/>
      </c>
      <c r="AC544" t="str">
        <f t="shared" si="113"/>
        <v/>
      </c>
    </row>
    <row r="545" spans="1:29" ht="21" customHeight="1" x14ac:dyDescent="0.95">
      <c r="A545" s="3" t="str">
        <f t="shared" si="106"/>
        <v/>
      </c>
      <c r="B545" s="3" t="str">
        <f t="shared" si="107"/>
        <v/>
      </c>
      <c r="C545" s="8" t="str">
        <f t="shared" si="108"/>
        <v/>
      </c>
      <c r="D545" s="31" t="str">
        <f t="shared" si="109"/>
        <v/>
      </c>
      <c r="E545" s="32" t="str">
        <f>IF(538=$AD$1+3,"ขอแสดงความนับถือ",IF(538=$AD$1+6,"(                 )",IF(538=$AD$1+7,"เจ้าหน้าที่ขนส่ง",IF($AB545="G",SUM($AF$8:$AF$407),IF(OR($AB545="",$AB545="R"),"",IF($AB545="D",INDEX($AF$8:$AF$407,$AA545),SUMIF($T$8:$T$407,INDEX($T$8:$T$407,$AA545),$AF$8:$AF$407)))))))</f>
        <v/>
      </c>
      <c r="F545" s="32" t="str">
        <f t="shared" si="110"/>
        <v/>
      </c>
      <c r="G545" s="32" t="str">
        <f t="shared" si="111"/>
        <v/>
      </c>
      <c r="H545" s="32" t="str">
        <f t="shared" si="112"/>
        <v/>
      </c>
      <c r="AA545" t="str">
        <f>IFERROR(MATCH(538,$X$8:$X$407,1),"")</f>
        <v/>
      </c>
      <c r="AB545" t="str">
        <f>IF(538=$AD$1+1,"G",IF($AA545="","",IF(INDEX($Q$8:$Q$407,$AA545)="","",IF(538&gt;INDEX($X$8:$X$407,$AA545)+INDEX($V$8:$V$407,$AA545)+INDEX($W$8:$W$407,$AA545),"",IF(538=INDEX($X$8:$X$407,$AA545)+INDEX($V$8:$V$407,$AA545)+INDEX($W$8:$W$407,$AA545),"D",IF(AND(INDEX($W$8:$W$407,$AA545)=1,538=INDEX($X$8:$X$407,$AA545)+INDEX($V$8:$V$407,$AA545)),"S","R"))))))</f>
        <v/>
      </c>
      <c r="AC545" t="str">
        <f t="shared" si="113"/>
        <v/>
      </c>
    </row>
    <row r="546" spans="1:29" ht="21" customHeight="1" x14ac:dyDescent="0.95">
      <c r="A546" s="3" t="str">
        <f t="shared" si="106"/>
        <v/>
      </c>
      <c r="B546" s="3" t="str">
        <f t="shared" si="107"/>
        <v/>
      </c>
      <c r="C546" s="8" t="str">
        <f t="shared" si="108"/>
        <v/>
      </c>
      <c r="D546" s="31" t="str">
        <f t="shared" si="109"/>
        <v/>
      </c>
      <c r="E546" s="32" t="str">
        <f>IF(539=$AD$1+3,"ขอแสดงความนับถือ",IF(539=$AD$1+6,"(                 )",IF(539=$AD$1+7,"เจ้าหน้าที่ขนส่ง",IF($AB546="G",SUM($AF$8:$AF$407),IF(OR($AB546="",$AB546="R"),"",IF($AB546="D",INDEX($AF$8:$AF$407,$AA546),SUMIF($T$8:$T$407,INDEX($T$8:$T$407,$AA546),$AF$8:$AF$407)))))))</f>
        <v/>
      </c>
      <c r="F546" s="32" t="str">
        <f t="shared" si="110"/>
        <v/>
      </c>
      <c r="G546" s="32" t="str">
        <f t="shared" si="111"/>
        <v/>
      </c>
      <c r="H546" s="32" t="str">
        <f t="shared" si="112"/>
        <v/>
      </c>
      <c r="AA546" t="str">
        <f>IFERROR(MATCH(539,$X$8:$X$407,1),"")</f>
        <v/>
      </c>
      <c r="AB546" t="str">
        <f>IF(539=$AD$1+1,"G",IF($AA546="","",IF(INDEX($Q$8:$Q$407,$AA546)="","",IF(539&gt;INDEX($X$8:$X$407,$AA546)+INDEX($V$8:$V$407,$AA546)+INDEX($W$8:$W$407,$AA546),"",IF(539=INDEX($X$8:$X$407,$AA546)+INDEX($V$8:$V$407,$AA546)+INDEX($W$8:$W$407,$AA546),"D",IF(AND(INDEX($W$8:$W$407,$AA546)=1,539=INDEX($X$8:$X$407,$AA546)+INDEX($V$8:$V$407,$AA546)),"S","R"))))))</f>
        <v/>
      </c>
      <c r="AC546" t="str">
        <f t="shared" si="113"/>
        <v/>
      </c>
    </row>
    <row r="547" spans="1:29" ht="21" customHeight="1" x14ac:dyDescent="0.95">
      <c r="A547" s="3" t="str">
        <f t="shared" si="106"/>
        <v/>
      </c>
      <c r="B547" s="3" t="str">
        <f t="shared" si="107"/>
        <v/>
      </c>
      <c r="C547" s="8" t="str">
        <f t="shared" si="108"/>
        <v/>
      </c>
      <c r="D547" s="31" t="str">
        <f t="shared" si="109"/>
        <v/>
      </c>
      <c r="E547" s="32" t="str">
        <f>IF(540=$AD$1+3,"ขอแสดงความนับถือ",IF(540=$AD$1+6,"(                 )",IF(540=$AD$1+7,"เจ้าหน้าที่ขนส่ง",IF($AB547="G",SUM($AF$8:$AF$407),IF(OR($AB547="",$AB547="R"),"",IF($AB547="D",INDEX($AF$8:$AF$407,$AA547),SUMIF($T$8:$T$407,INDEX($T$8:$T$407,$AA547),$AF$8:$AF$407)))))))</f>
        <v/>
      </c>
      <c r="F547" s="32" t="str">
        <f t="shared" si="110"/>
        <v/>
      </c>
      <c r="G547" s="32" t="str">
        <f t="shared" si="111"/>
        <v/>
      </c>
      <c r="H547" s="32" t="str">
        <f t="shared" si="112"/>
        <v/>
      </c>
      <c r="AA547" t="str">
        <f>IFERROR(MATCH(540,$X$8:$X$407,1),"")</f>
        <v/>
      </c>
      <c r="AB547" t="str">
        <f>IF(540=$AD$1+1,"G",IF($AA547="","",IF(INDEX($Q$8:$Q$407,$AA547)="","",IF(540&gt;INDEX($X$8:$X$407,$AA547)+INDEX($V$8:$V$407,$AA547)+INDEX($W$8:$W$407,$AA547),"",IF(540=INDEX($X$8:$X$407,$AA547)+INDEX($V$8:$V$407,$AA547)+INDEX($W$8:$W$407,$AA547),"D",IF(AND(INDEX($W$8:$W$407,$AA547)=1,540=INDEX($X$8:$X$407,$AA547)+INDEX($V$8:$V$407,$AA547)),"S","R"))))))</f>
        <v/>
      </c>
      <c r="AC547" t="str">
        <f t="shared" si="113"/>
        <v/>
      </c>
    </row>
    <row r="548" spans="1:29" ht="21" customHeight="1" x14ac:dyDescent="0.95">
      <c r="A548" s="3" t="str">
        <f t="shared" si="106"/>
        <v/>
      </c>
      <c r="B548" s="3" t="str">
        <f t="shared" si="107"/>
        <v/>
      </c>
      <c r="C548" s="8" t="str">
        <f t="shared" si="108"/>
        <v/>
      </c>
      <c r="D548" s="31" t="str">
        <f t="shared" si="109"/>
        <v/>
      </c>
      <c r="E548" s="32" t="str">
        <f>IF(541=$AD$1+3,"ขอแสดงความนับถือ",IF(541=$AD$1+6,"(                 )",IF(541=$AD$1+7,"เจ้าหน้าที่ขนส่ง",IF($AB548="G",SUM($AF$8:$AF$407),IF(OR($AB548="",$AB548="R"),"",IF($AB548="D",INDEX($AF$8:$AF$407,$AA548),SUMIF($T$8:$T$407,INDEX($T$8:$T$407,$AA548),$AF$8:$AF$407)))))))</f>
        <v/>
      </c>
      <c r="F548" s="32" t="str">
        <f t="shared" si="110"/>
        <v/>
      </c>
      <c r="G548" s="32" t="str">
        <f t="shared" si="111"/>
        <v/>
      </c>
      <c r="H548" s="32" t="str">
        <f t="shared" si="112"/>
        <v/>
      </c>
      <c r="AA548" t="str">
        <f>IFERROR(MATCH(541,$X$8:$X$407,1),"")</f>
        <v/>
      </c>
      <c r="AB548" t="str">
        <f>IF(541=$AD$1+1,"G",IF($AA548="","",IF(INDEX($Q$8:$Q$407,$AA548)="","",IF(541&gt;INDEX($X$8:$X$407,$AA548)+INDEX($V$8:$V$407,$AA548)+INDEX($W$8:$W$407,$AA548),"",IF(541=INDEX($X$8:$X$407,$AA548)+INDEX($V$8:$V$407,$AA548)+INDEX($W$8:$W$407,$AA548),"D",IF(AND(INDEX($W$8:$W$407,$AA548)=1,541=INDEX($X$8:$X$407,$AA548)+INDEX($V$8:$V$407,$AA548)),"S","R"))))))</f>
        <v/>
      </c>
      <c r="AC548" t="str">
        <f t="shared" si="113"/>
        <v/>
      </c>
    </row>
    <row r="549" spans="1:29" ht="21" customHeight="1" x14ac:dyDescent="0.95">
      <c r="A549" s="3" t="str">
        <f t="shared" si="106"/>
        <v/>
      </c>
      <c r="B549" s="3" t="str">
        <f t="shared" si="107"/>
        <v/>
      </c>
      <c r="C549" s="8" t="str">
        <f t="shared" si="108"/>
        <v/>
      </c>
      <c r="D549" s="31" t="str">
        <f t="shared" si="109"/>
        <v/>
      </c>
      <c r="E549" s="32" t="str">
        <f>IF(542=$AD$1+3,"ขอแสดงความนับถือ",IF(542=$AD$1+6,"(                 )",IF(542=$AD$1+7,"เจ้าหน้าที่ขนส่ง",IF($AB549="G",SUM($AF$8:$AF$407),IF(OR($AB549="",$AB549="R"),"",IF($AB549="D",INDEX($AF$8:$AF$407,$AA549),SUMIF($T$8:$T$407,INDEX($T$8:$T$407,$AA549),$AF$8:$AF$407)))))))</f>
        <v/>
      </c>
      <c r="F549" s="32" t="str">
        <f t="shared" si="110"/>
        <v/>
      </c>
      <c r="G549" s="32" t="str">
        <f t="shared" si="111"/>
        <v/>
      </c>
      <c r="H549" s="32" t="str">
        <f t="shared" si="112"/>
        <v/>
      </c>
      <c r="AA549" t="str">
        <f>IFERROR(MATCH(542,$X$8:$X$407,1),"")</f>
        <v/>
      </c>
      <c r="AB549" t="str">
        <f>IF(542=$AD$1+1,"G",IF($AA549="","",IF(INDEX($Q$8:$Q$407,$AA549)="","",IF(542&gt;INDEX($X$8:$X$407,$AA549)+INDEX($V$8:$V$407,$AA549)+INDEX($W$8:$W$407,$AA549),"",IF(542=INDEX($X$8:$X$407,$AA549)+INDEX($V$8:$V$407,$AA549)+INDEX($W$8:$W$407,$AA549),"D",IF(AND(INDEX($W$8:$W$407,$AA549)=1,542=INDEX($X$8:$X$407,$AA549)+INDEX($V$8:$V$407,$AA549)),"S","R"))))))</f>
        <v/>
      </c>
      <c r="AC549" t="str">
        <f t="shared" si="113"/>
        <v/>
      </c>
    </row>
    <row r="550" spans="1:29" ht="21" customHeight="1" x14ac:dyDescent="0.95">
      <c r="A550" s="3" t="str">
        <f t="shared" si="106"/>
        <v/>
      </c>
      <c r="B550" s="3" t="str">
        <f t="shared" si="107"/>
        <v/>
      </c>
      <c r="C550" s="8" t="str">
        <f t="shared" si="108"/>
        <v/>
      </c>
      <c r="D550" s="31" t="str">
        <f t="shared" si="109"/>
        <v/>
      </c>
      <c r="E550" s="32" t="str">
        <f>IF(543=$AD$1+3,"ขอแสดงความนับถือ",IF(543=$AD$1+6,"(                 )",IF(543=$AD$1+7,"เจ้าหน้าที่ขนส่ง",IF($AB550="G",SUM($AF$8:$AF$407),IF(OR($AB550="",$AB550="R"),"",IF($AB550="D",INDEX($AF$8:$AF$407,$AA550),SUMIF($T$8:$T$407,INDEX($T$8:$T$407,$AA550),$AF$8:$AF$407)))))))</f>
        <v/>
      </c>
      <c r="F550" s="32" t="str">
        <f t="shared" si="110"/>
        <v/>
      </c>
      <c r="G550" s="32" t="str">
        <f t="shared" si="111"/>
        <v/>
      </c>
      <c r="H550" s="32" t="str">
        <f t="shared" si="112"/>
        <v/>
      </c>
      <c r="AA550" t="str">
        <f>IFERROR(MATCH(543,$X$8:$X$407,1),"")</f>
        <v/>
      </c>
      <c r="AB550" t="str">
        <f>IF(543=$AD$1+1,"G",IF($AA550="","",IF(INDEX($Q$8:$Q$407,$AA550)="","",IF(543&gt;INDEX($X$8:$X$407,$AA550)+INDEX($V$8:$V$407,$AA550)+INDEX($W$8:$W$407,$AA550),"",IF(543=INDEX($X$8:$X$407,$AA550)+INDEX($V$8:$V$407,$AA550)+INDEX($W$8:$W$407,$AA550),"D",IF(AND(INDEX($W$8:$W$407,$AA550)=1,543=INDEX($X$8:$X$407,$AA550)+INDEX($V$8:$V$407,$AA550)),"S","R"))))))</f>
        <v/>
      </c>
      <c r="AC550" t="str">
        <f t="shared" si="113"/>
        <v/>
      </c>
    </row>
    <row r="551" spans="1:29" ht="21" customHeight="1" x14ac:dyDescent="0.95">
      <c r="A551" s="3" t="str">
        <f t="shared" si="106"/>
        <v/>
      </c>
      <c r="B551" s="3" t="str">
        <f t="shared" si="107"/>
        <v/>
      </c>
      <c r="C551" s="8" t="str">
        <f t="shared" si="108"/>
        <v/>
      </c>
      <c r="D551" s="31" t="str">
        <f t="shared" si="109"/>
        <v/>
      </c>
      <c r="E551" s="32" t="str">
        <f>IF(544=$AD$1+3,"ขอแสดงความนับถือ",IF(544=$AD$1+6,"(                 )",IF(544=$AD$1+7,"เจ้าหน้าที่ขนส่ง",IF($AB551="G",SUM($AF$8:$AF$407),IF(OR($AB551="",$AB551="R"),"",IF($AB551="D",INDEX($AF$8:$AF$407,$AA551),SUMIF($T$8:$T$407,INDEX($T$8:$T$407,$AA551),$AF$8:$AF$407)))))))</f>
        <v/>
      </c>
      <c r="F551" s="32" t="str">
        <f t="shared" si="110"/>
        <v/>
      </c>
      <c r="G551" s="32" t="str">
        <f t="shared" si="111"/>
        <v/>
      </c>
      <c r="H551" s="32" t="str">
        <f t="shared" si="112"/>
        <v/>
      </c>
      <c r="AA551" t="str">
        <f>IFERROR(MATCH(544,$X$8:$X$407,1),"")</f>
        <v/>
      </c>
      <c r="AB551" t="str">
        <f>IF(544=$AD$1+1,"G",IF($AA551="","",IF(INDEX($Q$8:$Q$407,$AA551)="","",IF(544&gt;INDEX($X$8:$X$407,$AA551)+INDEX($V$8:$V$407,$AA551)+INDEX($W$8:$W$407,$AA551),"",IF(544=INDEX($X$8:$X$407,$AA551)+INDEX($V$8:$V$407,$AA551)+INDEX($W$8:$W$407,$AA551),"D",IF(AND(INDEX($W$8:$W$407,$AA551)=1,544=INDEX($X$8:$X$407,$AA551)+INDEX($V$8:$V$407,$AA551)),"S","R"))))))</f>
        <v/>
      </c>
      <c r="AC551" t="str">
        <f t="shared" si="113"/>
        <v/>
      </c>
    </row>
    <row r="552" spans="1:29" ht="21" customHeight="1" x14ac:dyDescent="0.95">
      <c r="A552" s="3" t="str">
        <f t="shared" si="106"/>
        <v/>
      </c>
      <c r="B552" s="3" t="str">
        <f t="shared" si="107"/>
        <v/>
      </c>
      <c r="C552" s="8" t="str">
        <f t="shared" si="108"/>
        <v/>
      </c>
      <c r="D552" s="31" t="str">
        <f t="shared" si="109"/>
        <v/>
      </c>
      <c r="E552" s="32" t="str">
        <f>IF(545=$AD$1+3,"ขอแสดงความนับถือ",IF(545=$AD$1+6,"(                 )",IF(545=$AD$1+7,"เจ้าหน้าที่ขนส่ง",IF($AB552="G",SUM($AF$8:$AF$407),IF(OR($AB552="",$AB552="R"),"",IF($AB552="D",INDEX($AF$8:$AF$407,$AA552),SUMIF($T$8:$T$407,INDEX($T$8:$T$407,$AA552),$AF$8:$AF$407)))))))</f>
        <v/>
      </c>
      <c r="F552" s="32" t="str">
        <f t="shared" si="110"/>
        <v/>
      </c>
      <c r="G552" s="32" t="str">
        <f t="shared" si="111"/>
        <v/>
      </c>
      <c r="H552" s="32" t="str">
        <f t="shared" si="112"/>
        <v/>
      </c>
      <c r="AA552" t="str">
        <f>IFERROR(MATCH(545,$X$8:$X$407,1),"")</f>
        <v/>
      </c>
      <c r="AB552" t="str">
        <f>IF(545=$AD$1+1,"G",IF($AA552="","",IF(INDEX($Q$8:$Q$407,$AA552)="","",IF(545&gt;INDEX($X$8:$X$407,$AA552)+INDEX($V$8:$V$407,$AA552)+INDEX($W$8:$W$407,$AA552),"",IF(545=INDEX($X$8:$X$407,$AA552)+INDEX($V$8:$V$407,$AA552)+INDEX($W$8:$W$407,$AA552),"D",IF(AND(INDEX($W$8:$W$407,$AA552)=1,545=INDEX($X$8:$X$407,$AA552)+INDEX($V$8:$V$407,$AA552)),"S","R"))))))</f>
        <v/>
      </c>
      <c r="AC552" t="str">
        <f t="shared" si="113"/>
        <v/>
      </c>
    </row>
    <row r="553" spans="1:29" ht="21" customHeight="1" x14ac:dyDescent="0.95">
      <c r="A553" s="3" t="str">
        <f t="shared" si="106"/>
        <v/>
      </c>
      <c r="B553" s="3" t="str">
        <f t="shared" si="107"/>
        <v/>
      </c>
      <c r="C553" s="8" t="str">
        <f t="shared" si="108"/>
        <v/>
      </c>
      <c r="D553" s="31" t="str">
        <f t="shared" si="109"/>
        <v/>
      </c>
      <c r="E553" s="32" t="str">
        <f>IF(546=$AD$1+3,"ขอแสดงความนับถือ",IF(546=$AD$1+6,"(                 )",IF(546=$AD$1+7,"เจ้าหน้าที่ขนส่ง",IF($AB553="G",SUM($AF$8:$AF$407),IF(OR($AB553="",$AB553="R"),"",IF($AB553="D",INDEX($AF$8:$AF$407,$AA553),SUMIF($T$8:$T$407,INDEX($T$8:$T$407,$AA553),$AF$8:$AF$407)))))))</f>
        <v/>
      </c>
      <c r="F553" s="32" t="str">
        <f t="shared" si="110"/>
        <v/>
      </c>
      <c r="G553" s="32" t="str">
        <f t="shared" si="111"/>
        <v/>
      </c>
      <c r="H553" s="32" t="str">
        <f t="shared" si="112"/>
        <v/>
      </c>
      <c r="AA553" t="str">
        <f>IFERROR(MATCH(546,$X$8:$X$407,1),"")</f>
        <v/>
      </c>
      <c r="AB553" t="str">
        <f>IF(546=$AD$1+1,"G",IF($AA553="","",IF(INDEX($Q$8:$Q$407,$AA553)="","",IF(546&gt;INDEX($X$8:$X$407,$AA553)+INDEX($V$8:$V$407,$AA553)+INDEX($W$8:$W$407,$AA553),"",IF(546=INDEX($X$8:$X$407,$AA553)+INDEX($V$8:$V$407,$AA553)+INDEX($W$8:$W$407,$AA553),"D",IF(AND(INDEX($W$8:$W$407,$AA553)=1,546=INDEX($X$8:$X$407,$AA553)+INDEX($V$8:$V$407,$AA553)),"S","R"))))))</f>
        <v/>
      </c>
      <c r="AC553" t="str">
        <f t="shared" si="113"/>
        <v/>
      </c>
    </row>
    <row r="554" spans="1:29" ht="21" customHeight="1" x14ac:dyDescent="0.95">
      <c r="A554" s="3" t="str">
        <f t="shared" si="106"/>
        <v/>
      </c>
      <c r="B554" s="3" t="str">
        <f t="shared" si="107"/>
        <v/>
      </c>
      <c r="C554" s="8" t="str">
        <f t="shared" si="108"/>
        <v/>
      </c>
      <c r="D554" s="31" t="str">
        <f t="shared" si="109"/>
        <v/>
      </c>
      <c r="E554" s="32" t="str">
        <f>IF(547=$AD$1+3,"ขอแสดงความนับถือ",IF(547=$AD$1+6,"(                 )",IF(547=$AD$1+7,"เจ้าหน้าที่ขนส่ง",IF($AB554="G",SUM($AF$8:$AF$407),IF(OR($AB554="",$AB554="R"),"",IF($AB554="D",INDEX($AF$8:$AF$407,$AA554),SUMIF($T$8:$T$407,INDEX($T$8:$T$407,$AA554),$AF$8:$AF$407)))))))</f>
        <v/>
      </c>
      <c r="F554" s="32" t="str">
        <f t="shared" si="110"/>
        <v/>
      </c>
      <c r="G554" s="32" t="str">
        <f t="shared" si="111"/>
        <v/>
      </c>
      <c r="H554" s="32" t="str">
        <f t="shared" si="112"/>
        <v/>
      </c>
      <c r="AA554" t="str">
        <f>IFERROR(MATCH(547,$X$8:$X$407,1),"")</f>
        <v/>
      </c>
      <c r="AB554" t="str">
        <f>IF(547=$AD$1+1,"G",IF($AA554="","",IF(INDEX($Q$8:$Q$407,$AA554)="","",IF(547&gt;INDEX($X$8:$X$407,$AA554)+INDEX($V$8:$V$407,$AA554)+INDEX($W$8:$W$407,$AA554),"",IF(547=INDEX($X$8:$X$407,$AA554)+INDEX($V$8:$V$407,$AA554)+INDEX($W$8:$W$407,$AA554),"D",IF(AND(INDEX($W$8:$W$407,$AA554)=1,547=INDEX($X$8:$X$407,$AA554)+INDEX($V$8:$V$407,$AA554)),"S","R"))))))</f>
        <v/>
      </c>
      <c r="AC554" t="str">
        <f t="shared" si="113"/>
        <v/>
      </c>
    </row>
    <row r="555" spans="1:29" ht="21" customHeight="1" x14ac:dyDescent="0.95">
      <c r="A555" s="3" t="str">
        <f t="shared" si="106"/>
        <v/>
      </c>
      <c r="B555" s="3" t="str">
        <f t="shared" si="107"/>
        <v/>
      </c>
      <c r="C555" s="8" t="str">
        <f t="shared" si="108"/>
        <v/>
      </c>
      <c r="D555" s="31" t="str">
        <f t="shared" si="109"/>
        <v/>
      </c>
      <c r="E555" s="32" t="str">
        <f>IF(548=$AD$1+3,"ขอแสดงความนับถือ",IF(548=$AD$1+6,"(                 )",IF(548=$AD$1+7,"เจ้าหน้าที่ขนส่ง",IF($AB555="G",SUM($AF$8:$AF$407),IF(OR($AB555="",$AB555="R"),"",IF($AB555="D",INDEX($AF$8:$AF$407,$AA555),SUMIF($T$8:$T$407,INDEX($T$8:$T$407,$AA555),$AF$8:$AF$407)))))))</f>
        <v/>
      </c>
      <c r="F555" s="32" t="str">
        <f t="shared" si="110"/>
        <v/>
      </c>
      <c r="G555" s="32" t="str">
        <f t="shared" si="111"/>
        <v/>
      </c>
      <c r="H555" s="32" t="str">
        <f t="shared" si="112"/>
        <v/>
      </c>
      <c r="AA555" t="str">
        <f>IFERROR(MATCH(548,$X$8:$X$407,1),"")</f>
        <v/>
      </c>
      <c r="AB555" t="str">
        <f>IF(548=$AD$1+1,"G",IF($AA555="","",IF(INDEX($Q$8:$Q$407,$AA555)="","",IF(548&gt;INDEX($X$8:$X$407,$AA555)+INDEX($V$8:$V$407,$AA555)+INDEX($W$8:$W$407,$AA555),"",IF(548=INDEX($X$8:$X$407,$AA555)+INDEX($V$8:$V$407,$AA555)+INDEX($W$8:$W$407,$AA555),"D",IF(AND(INDEX($W$8:$W$407,$AA555)=1,548=INDEX($X$8:$X$407,$AA555)+INDEX($V$8:$V$407,$AA555)),"S","R"))))))</f>
        <v/>
      </c>
      <c r="AC555" t="str">
        <f t="shared" si="113"/>
        <v/>
      </c>
    </row>
    <row r="556" spans="1:29" ht="21" customHeight="1" x14ac:dyDescent="0.95">
      <c r="A556" s="3" t="str">
        <f t="shared" si="106"/>
        <v/>
      </c>
      <c r="B556" s="3" t="str">
        <f t="shared" si="107"/>
        <v/>
      </c>
      <c r="C556" s="8" t="str">
        <f t="shared" si="108"/>
        <v/>
      </c>
      <c r="D556" s="31" t="str">
        <f t="shared" si="109"/>
        <v/>
      </c>
      <c r="E556" s="32" t="str">
        <f>IF(549=$AD$1+3,"ขอแสดงความนับถือ",IF(549=$AD$1+6,"(                 )",IF(549=$AD$1+7,"เจ้าหน้าที่ขนส่ง",IF($AB556="G",SUM($AF$8:$AF$407),IF(OR($AB556="",$AB556="R"),"",IF($AB556="D",INDEX($AF$8:$AF$407,$AA556),SUMIF($T$8:$T$407,INDEX($T$8:$T$407,$AA556),$AF$8:$AF$407)))))))</f>
        <v/>
      </c>
      <c r="F556" s="32" t="str">
        <f t="shared" si="110"/>
        <v/>
      </c>
      <c r="G556" s="32" t="str">
        <f t="shared" si="111"/>
        <v/>
      </c>
      <c r="H556" s="32" t="str">
        <f t="shared" si="112"/>
        <v/>
      </c>
      <c r="AA556" t="str">
        <f>IFERROR(MATCH(549,$X$8:$X$407,1),"")</f>
        <v/>
      </c>
      <c r="AB556" t="str">
        <f>IF(549=$AD$1+1,"G",IF($AA556="","",IF(INDEX($Q$8:$Q$407,$AA556)="","",IF(549&gt;INDEX($X$8:$X$407,$AA556)+INDEX($V$8:$V$407,$AA556)+INDEX($W$8:$W$407,$AA556),"",IF(549=INDEX($X$8:$X$407,$AA556)+INDEX($V$8:$V$407,$AA556)+INDEX($W$8:$W$407,$AA556),"D",IF(AND(INDEX($W$8:$W$407,$AA556)=1,549=INDEX($X$8:$X$407,$AA556)+INDEX($V$8:$V$407,$AA556)),"S","R"))))))</f>
        <v/>
      </c>
      <c r="AC556" t="str">
        <f t="shared" si="113"/>
        <v/>
      </c>
    </row>
    <row r="557" spans="1:29" ht="21" customHeight="1" x14ac:dyDescent="0.95">
      <c r="A557" s="3" t="str">
        <f t="shared" si="106"/>
        <v/>
      </c>
      <c r="B557" s="3" t="str">
        <f t="shared" si="107"/>
        <v/>
      </c>
      <c r="C557" s="8" t="str">
        <f t="shared" si="108"/>
        <v/>
      </c>
      <c r="D557" s="31" t="str">
        <f t="shared" si="109"/>
        <v/>
      </c>
      <c r="E557" s="32" t="str">
        <f>IF(550=$AD$1+3,"ขอแสดงความนับถือ",IF(550=$AD$1+6,"(                 )",IF(550=$AD$1+7,"เจ้าหน้าที่ขนส่ง",IF($AB557="G",SUM($AF$8:$AF$407),IF(OR($AB557="",$AB557="R"),"",IF($AB557="D",INDEX($AF$8:$AF$407,$AA557),SUMIF($T$8:$T$407,INDEX($T$8:$T$407,$AA557),$AF$8:$AF$407)))))))</f>
        <v/>
      </c>
      <c r="F557" s="32" t="str">
        <f t="shared" si="110"/>
        <v/>
      </c>
      <c r="G557" s="32" t="str">
        <f t="shared" si="111"/>
        <v/>
      </c>
      <c r="H557" s="32" t="str">
        <f t="shared" si="112"/>
        <v/>
      </c>
      <c r="AA557" t="str">
        <f>IFERROR(MATCH(550,$X$8:$X$407,1),"")</f>
        <v/>
      </c>
      <c r="AB557" t="str">
        <f>IF(550=$AD$1+1,"G",IF($AA557="","",IF(INDEX($Q$8:$Q$407,$AA557)="","",IF(550&gt;INDEX($X$8:$X$407,$AA557)+INDEX($V$8:$V$407,$AA557)+INDEX($W$8:$W$407,$AA557),"",IF(550=INDEX($X$8:$X$407,$AA557)+INDEX($V$8:$V$407,$AA557)+INDEX($W$8:$W$407,$AA557),"D",IF(AND(INDEX($W$8:$W$407,$AA557)=1,550=INDEX($X$8:$X$407,$AA557)+INDEX($V$8:$V$407,$AA557)),"S","R"))))))</f>
        <v/>
      </c>
      <c r="AC557" t="str">
        <f t="shared" si="113"/>
        <v/>
      </c>
    </row>
    <row r="558" spans="1:29" ht="21" customHeight="1" x14ac:dyDescent="0.95">
      <c r="A558" s="3" t="str">
        <f t="shared" si="106"/>
        <v/>
      </c>
      <c r="B558" s="3" t="str">
        <f t="shared" si="107"/>
        <v/>
      </c>
      <c r="C558" s="8" t="str">
        <f t="shared" si="108"/>
        <v/>
      </c>
      <c r="D558" s="31" t="str">
        <f t="shared" si="109"/>
        <v/>
      </c>
      <c r="E558" s="32" t="str">
        <f>IF(551=$AD$1+3,"ขอแสดงความนับถือ",IF(551=$AD$1+6,"(                 )",IF(551=$AD$1+7,"เจ้าหน้าที่ขนส่ง",IF($AB558="G",SUM($AF$8:$AF$407),IF(OR($AB558="",$AB558="R"),"",IF($AB558="D",INDEX($AF$8:$AF$407,$AA558),SUMIF($T$8:$T$407,INDEX($T$8:$T$407,$AA558),$AF$8:$AF$407)))))))</f>
        <v/>
      </c>
      <c r="F558" s="32" t="str">
        <f t="shared" si="110"/>
        <v/>
      </c>
      <c r="G558" s="32" t="str">
        <f t="shared" si="111"/>
        <v/>
      </c>
      <c r="H558" s="32" t="str">
        <f t="shared" si="112"/>
        <v/>
      </c>
      <c r="AA558" t="str">
        <f>IFERROR(MATCH(551,$X$8:$X$407,1),"")</f>
        <v/>
      </c>
      <c r="AB558" t="str">
        <f>IF(551=$AD$1+1,"G",IF($AA558="","",IF(INDEX($Q$8:$Q$407,$AA558)="","",IF(551&gt;INDEX($X$8:$X$407,$AA558)+INDEX($V$8:$V$407,$AA558)+INDEX($W$8:$W$407,$AA558),"",IF(551=INDEX($X$8:$X$407,$AA558)+INDEX($V$8:$V$407,$AA558)+INDEX($W$8:$W$407,$AA558),"D",IF(AND(INDEX($W$8:$W$407,$AA558)=1,551=INDEX($X$8:$X$407,$AA558)+INDEX($V$8:$V$407,$AA558)),"S","R"))))))</f>
        <v/>
      </c>
      <c r="AC558" t="str">
        <f t="shared" si="113"/>
        <v/>
      </c>
    </row>
    <row r="559" spans="1:29" ht="21" customHeight="1" x14ac:dyDescent="0.95">
      <c r="A559" s="3" t="str">
        <f t="shared" si="106"/>
        <v/>
      </c>
      <c r="B559" s="3" t="str">
        <f t="shared" si="107"/>
        <v/>
      </c>
      <c r="C559" s="8" t="str">
        <f t="shared" si="108"/>
        <v/>
      </c>
      <c r="D559" s="31" t="str">
        <f t="shared" si="109"/>
        <v/>
      </c>
      <c r="E559" s="32" t="str">
        <f>IF(552=$AD$1+3,"ขอแสดงความนับถือ",IF(552=$AD$1+6,"(                 )",IF(552=$AD$1+7,"เจ้าหน้าที่ขนส่ง",IF($AB559="G",SUM($AF$8:$AF$407),IF(OR($AB559="",$AB559="R"),"",IF($AB559="D",INDEX($AF$8:$AF$407,$AA559),SUMIF($T$8:$T$407,INDEX($T$8:$T$407,$AA559),$AF$8:$AF$407)))))))</f>
        <v/>
      </c>
      <c r="F559" s="32" t="str">
        <f t="shared" si="110"/>
        <v/>
      </c>
      <c r="G559" s="32" t="str">
        <f t="shared" si="111"/>
        <v/>
      </c>
      <c r="H559" s="32" t="str">
        <f t="shared" si="112"/>
        <v/>
      </c>
      <c r="AA559" t="str">
        <f>IFERROR(MATCH(552,$X$8:$X$407,1),"")</f>
        <v/>
      </c>
      <c r="AB559" t="str">
        <f>IF(552=$AD$1+1,"G",IF($AA559="","",IF(INDEX($Q$8:$Q$407,$AA559)="","",IF(552&gt;INDEX($X$8:$X$407,$AA559)+INDEX($V$8:$V$407,$AA559)+INDEX($W$8:$W$407,$AA559),"",IF(552=INDEX($X$8:$X$407,$AA559)+INDEX($V$8:$V$407,$AA559)+INDEX($W$8:$W$407,$AA559),"D",IF(AND(INDEX($W$8:$W$407,$AA559)=1,552=INDEX($X$8:$X$407,$AA559)+INDEX($V$8:$V$407,$AA559)),"S","R"))))))</f>
        <v/>
      </c>
      <c r="AC559" t="str">
        <f t="shared" si="113"/>
        <v/>
      </c>
    </row>
    <row r="560" spans="1:29" ht="21" customHeight="1" x14ac:dyDescent="0.95">
      <c r="A560" s="3" t="str">
        <f t="shared" si="106"/>
        <v/>
      </c>
      <c r="B560" s="3" t="str">
        <f t="shared" si="107"/>
        <v/>
      </c>
      <c r="C560" s="8" t="str">
        <f t="shared" si="108"/>
        <v/>
      </c>
      <c r="D560" s="31" t="str">
        <f t="shared" si="109"/>
        <v/>
      </c>
      <c r="E560" s="32" t="str">
        <f>IF(553=$AD$1+3,"ขอแสดงความนับถือ",IF(553=$AD$1+6,"(                 )",IF(553=$AD$1+7,"เจ้าหน้าที่ขนส่ง",IF($AB560="G",SUM($AF$8:$AF$407),IF(OR($AB560="",$AB560="R"),"",IF($AB560="D",INDEX($AF$8:$AF$407,$AA560),SUMIF($T$8:$T$407,INDEX($T$8:$T$407,$AA560),$AF$8:$AF$407)))))))</f>
        <v/>
      </c>
      <c r="F560" s="32" t="str">
        <f t="shared" si="110"/>
        <v/>
      </c>
      <c r="G560" s="32" t="str">
        <f t="shared" si="111"/>
        <v/>
      </c>
      <c r="H560" s="32" t="str">
        <f t="shared" si="112"/>
        <v/>
      </c>
      <c r="AA560" t="str">
        <f>IFERROR(MATCH(553,$X$8:$X$407,1),"")</f>
        <v/>
      </c>
      <c r="AB560" t="str">
        <f>IF(553=$AD$1+1,"G",IF($AA560="","",IF(INDEX($Q$8:$Q$407,$AA560)="","",IF(553&gt;INDEX($X$8:$X$407,$AA560)+INDEX($V$8:$V$407,$AA560)+INDEX($W$8:$W$407,$AA560),"",IF(553=INDEX($X$8:$X$407,$AA560)+INDEX($V$8:$V$407,$AA560)+INDEX($W$8:$W$407,$AA560),"D",IF(AND(INDEX($W$8:$W$407,$AA560)=1,553=INDEX($X$8:$X$407,$AA560)+INDEX($V$8:$V$407,$AA560)),"S","R"))))))</f>
        <v/>
      </c>
      <c r="AC560" t="str">
        <f t="shared" si="113"/>
        <v/>
      </c>
    </row>
    <row r="561" spans="1:29" ht="21" customHeight="1" x14ac:dyDescent="0.95">
      <c r="A561" s="3" t="str">
        <f t="shared" si="106"/>
        <v/>
      </c>
      <c r="B561" s="3" t="str">
        <f t="shared" si="107"/>
        <v/>
      </c>
      <c r="C561" s="8" t="str">
        <f t="shared" si="108"/>
        <v/>
      </c>
      <c r="D561" s="31" t="str">
        <f t="shared" si="109"/>
        <v/>
      </c>
      <c r="E561" s="32" t="str">
        <f>IF(554=$AD$1+3,"ขอแสดงความนับถือ",IF(554=$AD$1+6,"(                 )",IF(554=$AD$1+7,"เจ้าหน้าที่ขนส่ง",IF($AB561="G",SUM($AF$8:$AF$407),IF(OR($AB561="",$AB561="R"),"",IF($AB561="D",INDEX($AF$8:$AF$407,$AA561),SUMIF($T$8:$T$407,INDEX($T$8:$T$407,$AA561),$AF$8:$AF$407)))))))</f>
        <v/>
      </c>
      <c r="F561" s="32" t="str">
        <f t="shared" si="110"/>
        <v/>
      </c>
      <c r="G561" s="32" t="str">
        <f t="shared" si="111"/>
        <v/>
      </c>
      <c r="H561" s="32" t="str">
        <f t="shared" si="112"/>
        <v/>
      </c>
      <c r="AA561" t="str">
        <f>IFERROR(MATCH(554,$X$8:$X$407,1),"")</f>
        <v/>
      </c>
      <c r="AB561" t="str">
        <f>IF(554=$AD$1+1,"G",IF($AA561="","",IF(INDEX($Q$8:$Q$407,$AA561)="","",IF(554&gt;INDEX($X$8:$X$407,$AA561)+INDEX($V$8:$V$407,$AA561)+INDEX($W$8:$W$407,$AA561),"",IF(554=INDEX($X$8:$X$407,$AA561)+INDEX($V$8:$V$407,$AA561)+INDEX($W$8:$W$407,$AA561),"D",IF(AND(INDEX($W$8:$W$407,$AA561)=1,554=INDEX($X$8:$X$407,$AA561)+INDEX($V$8:$V$407,$AA561)),"S","R"))))))</f>
        <v/>
      </c>
      <c r="AC561" t="str">
        <f t="shared" si="113"/>
        <v/>
      </c>
    </row>
    <row r="562" spans="1:29" ht="21" customHeight="1" x14ac:dyDescent="0.95">
      <c r="A562" s="3" t="str">
        <f t="shared" si="106"/>
        <v/>
      </c>
      <c r="B562" s="3" t="str">
        <f t="shared" si="107"/>
        <v/>
      </c>
      <c r="C562" s="8" t="str">
        <f t="shared" si="108"/>
        <v/>
      </c>
      <c r="D562" s="31" t="str">
        <f t="shared" si="109"/>
        <v/>
      </c>
      <c r="E562" s="32" t="str">
        <f>IF(555=$AD$1+3,"ขอแสดงความนับถือ",IF(555=$AD$1+6,"(                 )",IF(555=$AD$1+7,"เจ้าหน้าที่ขนส่ง",IF($AB562="G",SUM($AF$8:$AF$407),IF(OR($AB562="",$AB562="R"),"",IF($AB562="D",INDEX($AF$8:$AF$407,$AA562),SUMIF($T$8:$T$407,INDEX($T$8:$T$407,$AA562),$AF$8:$AF$407)))))))</f>
        <v/>
      </c>
      <c r="F562" s="32" t="str">
        <f t="shared" si="110"/>
        <v/>
      </c>
      <c r="G562" s="32" t="str">
        <f t="shared" si="111"/>
        <v/>
      </c>
      <c r="H562" s="32" t="str">
        <f t="shared" si="112"/>
        <v/>
      </c>
      <c r="AA562" t="str">
        <f>IFERROR(MATCH(555,$X$8:$X$407,1),"")</f>
        <v/>
      </c>
      <c r="AB562" t="str">
        <f>IF(555=$AD$1+1,"G",IF($AA562="","",IF(INDEX($Q$8:$Q$407,$AA562)="","",IF(555&gt;INDEX($X$8:$X$407,$AA562)+INDEX($V$8:$V$407,$AA562)+INDEX($W$8:$W$407,$AA562),"",IF(555=INDEX($X$8:$X$407,$AA562)+INDEX($V$8:$V$407,$AA562)+INDEX($W$8:$W$407,$AA562),"D",IF(AND(INDEX($W$8:$W$407,$AA562)=1,555=INDEX($X$8:$X$407,$AA562)+INDEX($V$8:$V$407,$AA562)),"S","R"))))))</f>
        <v/>
      </c>
      <c r="AC562" t="str">
        <f t="shared" si="113"/>
        <v/>
      </c>
    </row>
    <row r="563" spans="1:29" ht="21" customHeight="1" x14ac:dyDescent="0.95">
      <c r="A563" s="3" t="str">
        <f t="shared" si="106"/>
        <v/>
      </c>
      <c r="B563" s="3" t="str">
        <f t="shared" si="107"/>
        <v/>
      </c>
      <c r="C563" s="8" t="str">
        <f t="shared" si="108"/>
        <v/>
      </c>
      <c r="D563" s="31" t="str">
        <f t="shared" si="109"/>
        <v/>
      </c>
      <c r="E563" s="32" t="str">
        <f>IF(556=$AD$1+3,"ขอแสดงความนับถือ",IF(556=$AD$1+6,"(                 )",IF(556=$AD$1+7,"เจ้าหน้าที่ขนส่ง",IF($AB563="G",SUM($AF$8:$AF$407),IF(OR($AB563="",$AB563="R"),"",IF($AB563="D",INDEX($AF$8:$AF$407,$AA563),SUMIF($T$8:$T$407,INDEX($T$8:$T$407,$AA563),$AF$8:$AF$407)))))))</f>
        <v/>
      </c>
      <c r="F563" s="32" t="str">
        <f t="shared" si="110"/>
        <v/>
      </c>
      <c r="G563" s="32" t="str">
        <f t="shared" si="111"/>
        <v/>
      </c>
      <c r="H563" s="32" t="str">
        <f t="shared" si="112"/>
        <v/>
      </c>
      <c r="AA563" t="str">
        <f>IFERROR(MATCH(556,$X$8:$X$407,1),"")</f>
        <v/>
      </c>
      <c r="AB563" t="str">
        <f>IF(556=$AD$1+1,"G",IF($AA563="","",IF(INDEX($Q$8:$Q$407,$AA563)="","",IF(556&gt;INDEX($X$8:$X$407,$AA563)+INDEX($V$8:$V$407,$AA563)+INDEX($W$8:$W$407,$AA563),"",IF(556=INDEX($X$8:$X$407,$AA563)+INDEX($V$8:$V$407,$AA563)+INDEX($W$8:$W$407,$AA563),"D",IF(AND(INDEX($W$8:$W$407,$AA563)=1,556=INDEX($X$8:$X$407,$AA563)+INDEX($V$8:$V$407,$AA563)),"S","R"))))))</f>
        <v/>
      </c>
      <c r="AC563" t="str">
        <f t="shared" si="113"/>
        <v/>
      </c>
    </row>
    <row r="564" spans="1:29" ht="21" customHeight="1" x14ac:dyDescent="0.95">
      <c r="A564" s="3" t="str">
        <f t="shared" si="106"/>
        <v/>
      </c>
      <c r="B564" s="3" t="str">
        <f t="shared" si="107"/>
        <v/>
      </c>
      <c r="C564" s="8" t="str">
        <f t="shared" si="108"/>
        <v/>
      </c>
      <c r="D564" s="31" t="str">
        <f t="shared" si="109"/>
        <v/>
      </c>
      <c r="E564" s="32" t="str">
        <f>IF(557=$AD$1+3,"ขอแสดงความนับถือ",IF(557=$AD$1+6,"(                 )",IF(557=$AD$1+7,"เจ้าหน้าที่ขนส่ง",IF($AB564="G",SUM($AF$8:$AF$407),IF(OR($AB564="",$AB564="R"),"",IF($AB564="D",INDEX($AF$8:$AF$407,$AA564),SUMIF($T$8:$T$407,INDEX($T$8:$T$407,$AA564),$AF$8:$AF$407)))))))</f>
        <v/>
      </c>
      <c r="F564" s="32" t="str">
        <f t="shared" si="110"/>
        <v/>
      </c>
      <c r="G564" s="32" t="str">
        <f t="shared" si="111"/>
        <v/>
      </c>
      <c r="H564" s="32" t="str">
        <f t="shared" si="112"/>
        <v/>
      </c>
      <c r="AA564" t="str">
        <f>IFERROR(MATCH(557,$X$8:$X$407,1),"")</f>
        <v/>
      </c>
      <c r="AB564" t="str">
        <f>IF(557=$AD$1+1,"G",IF($AA564="","",IF(INDEX($Q$8:$Q$407,$AA564)="","",IF(557&gt;INDEX($X$8:$X$407,$AA564)+INDEX($V$8:$V$407,$AA564)+INDEX($W$8:$W$407,$AA564),"",IF(557=INDEX($X$8:$X$407,$AA564)+INDEX($V$8:$V$407,$AA564)+INDEX($W$8:$W$407,$AA564),"D",IF(AND(INDEX($W$8:$W$407,$AA564)=1,557=INDEX($X$8:$X$407,$AA564)+INDEX($V$8:$V$407,$AA564)),"S","R"))))))</f>
        <v/>
      </c>
      <c r="AC564" t="str">
        <f t="shared" si="113"/>
        <v/>
      </c>
    </row>
    <row r="565" spans="1:29" ht="21" customHeight="1" x14ac:dyDescent="0.95">
      <c r="A565" s="3" t="str">
        <f t="shared" si="106"/>
        <v/>
      </c>
      <c r="B565" s="3" t="str">
        <f t="shared" si="107"/>
        <v/>
      </c>
      <c r="C565" s="8" t="str">
        <f t="shared" si="108"/>
        <v/>
      </c>
      <c r="D565" s="31" t="str">
        <f t="shared" si="109"/>
        <v/>
      </c>
      <c r="E565" s="32" t="str">
        <f>IF(558=$AD$1+3,"ขอแสดงความนับถือ",IF(558=$AD$1+6,"(                 )",IF(558=$AD$1+7,"เจ้าหน้าที่ขนส่ง",IF($AB565="G",SUM($AF$8:$AF$407),IF(OR($AB565="",$AB565="R"),"",IF($AB565="D",INDEX($AF$8:$AF$407,$AA565),SUMIF($T$8:$T$407,INDEX($T$8:$T$407,$AA565),$AF$8:$AF$407)))))))</f>
        <v/>
      </c>
      <c r="F565" s="32" t="str">
        <f t="shared" si="110"/>
        <v/>
      </c>
      <c r="G565" s="32" t="str">
        <f t="shared" si="111"/>
        <v/>
      </c>
      <c r="H565" s="32" t="str">
        <f t="shared" si="112"/>
        <v/>
      </c>
      <c r="AA565" t="str">
        <f>IFERROR(MATCH(558,$X$8:$X$407,1),"")</f>
        <v/>
      </c>
      <c r="AB565" t="str">
        <f>IF(558=$AD$1+1,"G",IF($AA565="","",IF(INDEX($Q$8:$Q$407,$AA565)="","",IF(558&gt;INDEX($X$8:$X$407,$AA565)+INDEX($V$8:$V$407,$AA565)+INDEX($W$8:$W$407,$AA565),"",IF(558=INDEX($X$8:$X$407,$AA565)+INDEX($V$8:$V$407,$AA565)+INDEX($W$8:$W$407,$AA565),"D",IF(AND(INDEX($W$8:$W$407,$AA565)=1,558=INDEX($X$8:$X$407,$AA565)+INDEX($V$8:$V$407,$AA565)),"S","R"))))))</f>
        <v/>
      </c>
      <c r="AC565" t="str">
        <f t="shared" si="113"/>
        <v/>
      </c>
    </row>
    <row r="566" spans="1:29" ht="21" customHeight="1" x14ac:dyDescent="0.95">
      <c r="A566" s="3" t="str">
        <f t="shared" si="106"/>
        <v/>
      </c>
      <c r="B566" s="3" t="str">
        <f t="shared" si="107"/>
        <v/>
      </c>
      <c r="C566" s="8" t="str">
        <f t="shared" si="108"/>
        <v/>
      </c>
      <c r="D566" s="31" t="str">
        <f t="shared" si="109"/>
        <v/>
      </c>
      <c r="E566" s="32" t="str">
        <f>IF(559=$AD$1+3,"ขอแสดงความนับถือ",IF(559=$AD$1+6,"(                 )",IF(559=$AD$1+7,"เจ้าหน้าที่ขนส่ง",IF($AB566="G",SUM($AF$8:$AF$407),IF(OR($AB566="",$AB566="R"),"",IF($AB566="D",INDEX($AF$8:$AF$407,$AA566),SUMIF($T$8:$T$407,INDEX($T$8:$T$407,$AA566),$AF$8:$AF$407)))))))</f>
        <v/>
      </c>
      <c r="F566" s="32" t="str">
        <f t="shared" si="110"/>
        <v/>
      </c>
      <c r="G566" s="32" t="str">
        <f t="shared" si="111"/>
        <v/>
      </c>
      <c r="H566" s="32" t="str">
        <f t="shared" si="112"/>
        <v/>
      </c>
      <c r="AA566" t="str">
        <f>IFERROR(MATCH(559,$X$8:$X$407,1),"")</f>
        <v/>
      </c>
      <c r="AB566" t="str">
        <f>IF(559=$AD$1+1,"G",IF($AA566="","",IF(INDEX($Q$8:$Q$407,$AA566)="","",IF(559&gt;INDEX($X$8:$X$407,$AA566)+INDEX($V$8:$V$407,$AA566)+INDEX($W$8:$W$407,$AA566),"",IF(559=INDEX($X$8:$X$407,$AA566)+INDEX($V$8:$V$407,$AA566)+INDEX($W$8:$W$407,$AA566),"D",IF(AND(INDEX($W$8:$W$407,$AA566)=1,559=INDEX($X$8:$X$407,$AA566)+INDEX($V$8:$V$407,$AA566)),"S","R"))))))</f>
        <v/>
      </c>
      <c r="AC566" t="str">
        <f t="shared" si="113"/>
        <v/>
      </c>
    </row>
    <row r="567" spans="1:29" ht="21" customHeight="1" x14ac:dyDescent="0.95">
      <c r="A567" s="3" t="str">
        <f t="shared" si="106"/>
        <v/>
      </c>
      <c r="B567" s="3" t="str">
        <f t="shared" si="107"/>
        <v/>
      </c>
      <c r="C567" s="8" t="str">
        <f t="shared" si="108"/>
        <v/>
      </c>
      <c r="D567" s="31" t="str">
        <f t="shared" si="109"/>
        <v/>
      </c>
      <c r="E567" s="32" t="str">
        <f>IF(560=$AD$1+3,"ขอแสดงความนับถือ",IF(560=$AD$1+6,"(                 )",IF(560=$AD$1+7,"เจ้าหน้าที่ขนส่ง",IF($AB567="G",SUM($AF$8:$AF$407),IF(OR($AB567="",$AB567="R"),"",IF($AB567="D",INDEX($AF$8:$AF$407,$AA567),SUMIF($T$8:$T$407,INDEX($T$8:$T$407,$AA567),$AF$8:$AF$407)))))))</f>
        <v/>
      </c>
      <c r="F567" s="32" t="str">
        <f t="shared" si="110"/>
        <v/>
      </c>
      <c r="G567" s="32" t="str">
        <f t="shared" si="111"/>
        <v/>
      </c>
      <c r="H567" s="32" t="str">
        <f t="shared" si="112"/>
        <v/>
      </c>
      <c r="AA567" t="str">
        <f>IFERROR(MATCH(560,$X$8:$X$407,1),"")</f>
        <v/>
      </c>
      <c r="AB567" t="str">
        <f>IF(560=$AD$1+1,"G",IF($AA567="","",IF(INDEX($Q$8:$Q$407,$AA567)="","",IF(560&gt;INDEX($X$8:$X$407,$AA567)+INDEX($V$8:$V$407,$AA567)+INDEX($W$8:$W$407,$AA567),"",IF(560=INDEX($X$8:$X$407,$AA567)+INDEX($V$8:$V$407,$AA567)+INDEX($W$8:$W$407,$AA567),"D",IF(AND(INDEX($W$8:$W$407,$AA567)=1,560=INDEX($X$8:$X$407,$AA567)+INDEX($V$8:$V$407,$AA567)),"S","R"))))))</f>
        <v/>
      </c>
      <c r="AC567" t="str">
        <f t="shared" si="113"/>
        <v/>
      </c>
    </row>
    <row r="568" spans="1:29" ht="21" customHeight="1" x14ac:dyDescent="0.95">
      <c r="A568" s="3" t="str">
        <f t="shared" si="106"/>
        <v/>
      </c>
      <c r="B568" s="3" t="str">
        <f t="shared" si="107"/>
        <v/>
      </c>
      <c r="C568" s="8" t="str">
        <f t="shared" si="108"/>
        <v/>
      </c>
      <c r="D568" s="31" t="str">
        <f t="shared" si="109"/>
        <v/>
      </c>
      <c r="E568" s="32" t="str">
        <f>IF(561=$AD$1+3,"ขอแสดงความนับถือ",IF(561=$AD$1+6,"(                 )",IF(561=$AD$1+7,"เจ้าหน้าที่ขนส่ง",IF($AB568="G",SUM($AF$8:$AF$407),IF(OR($AB568="",$AB568="R"),"",IF($AB568="D",INDEX($AF$8:$AF$407,$AA568),SUMIF($T$8:$T$407,INDEX($T$8:$T$407,$AA568),$AF$8:$AF$407)))))))</f>
        <v/>
      </c>
      <c r="F568" s="32" t="str">
        <f t="shared" si="110"/>
        <v/>
      </c>
      <c r="G568" s="32" t="str">
        <f t="shared" si="111"/>
        <v/>
      </c>
      <c r="H568" s="32" t="str">
        <f t="shared" si="112"/>
        <v/>
      </c>
      <c r="AA568" t="str">
        <f>IFERROR(MATCH(561,$X$8:$X$407,1),"")</f>
        <v/>
      </c>
      <c r="AB568" t="str">
        <f>IF(561=$AD$1+1,"G",IF($AA568="","",IF(INDEX($Q$8:$Q$407,$AA568)="","",IF(561&gt;INDEX($X$8:$X$407,$AA568)+INDEX($V$8:$V$407,$AA568)+INDEX($W$8:$W$407,$AA568),"",IF(561=INDEX($X$8:$X$407,$AA568)+INDEX($V$8:$V$407,$AA568)+INDEX($W$8:$W$407,$AA568),"D",IF(AND(INDEX($W$8:$W$407,$AA568)=1,561=INDEX($X$8:$X$407,$AA568)+INDEX($V$8:$V$407,$AA568)),"S","R"))))))</f>
        <v/>
      </c>
      <c r="AC568" t="str">
        <f t="shared" si="113"/>
        <v/>
      </c>
    </row>
    <row r="569" spans="1:29" ht="21" customHeight="1" x14ac:dyDescent="0.95">
      <c r="A569" s="3" t="str">
        <f t="shared" si="106"/>
        <v/>
      </c>
      <c r="B569" s="3" t="str">
        <f t="shared" si="107"/>
        <v/>
      </c>
      <c r="C569" s="8" t="str">
        <f t="shared" si="108"/>
        <v/>
      </c>
      <c r="D569" s="31" t="str">
        <f t="shared" si="109"/>
        <v/>
      </c>
      <c r="E569" s="32" t="str">
        <f>IF(562=$AD$1+3,"ขอแสดงความนับถือ",IF(562=$AD$1+6,"(                 )",IF(562=$AD$1+7,"เจ้าหน้าที่ขนส่ง",IF($AB569="G",SUM($AF$8:$AF$407),IF(OR($AB569="",$AB569="R"),"",IF($AB569="D",INDEX($AF$8:$AF$407,$AA569),SUMIF($T$8:$T$407,INDEX($T$8:$T$407,$AA569),$AF$8:$AF$407)))))))</f>
        <v/>
      </c>
      <c r="F569" s="32" t="str">
        <f t="shared" si="110"/>
        <v/>
      </c>
      <c r="G569" s="32" t="str">
        <f t="shared" si="111"/>
        <v/>
      </c>
      <c r="H569" s="32" t="str">
        <f t="shared" si="112"/>
        <v/>
      </c>
      <c r="AA569" t="str">
        <f>IFERROR(MATCH(562,$X$8:$X$407,1),"")</f>
        <v/>
      </c>
      <c r="AB569" t="str">
        <f>IF(562=$AD$1+1,"G",IF($AA569="","",IF(INDEX($Q$8:$Q$407,$AA569)="","",IF(562&gt;INDEX($X$8:$X$407,$AA569)+INDEX($V$8:$V$407,$AA569)+INDEX($W$8:$W$407,$AA569),"",IF(562=INDEX($X$8:$X$407,$AA569)+INDEX($V$8:$V$407,$AA569)+INDEX($W$8:$W$407,$AA569),"D",IF(AND(INDEX($W$8:$W$407,$AA569)=1,562=INDEX($X$8:$X$407,$AA569)+INDEX($V$8:$V$407,$AA569)),"S","R"))))))</f>
        <v/>
      </c>
      <c r="AC569" t="str">
        <f t="shared" si="113"/>
        <v/>
      </c>
    </row>
    <row r="570" spans="1:29" ht="21" customHeight="1" x14ac:dyDescent="0.95">
      <c r="A570" s="3" t="str">
        <f t="shared" si="106"/>
        <v/>
      </c>
      <c r="B570" s="3" t="str">
        <f t="shared" si="107"/>
        <v/>
      </c>
      <c r="C570" s="8" t="str">
        <f t="shared" si="108"/>
        <v/>
      </c>
      <c r="D570" s="31" t="str">
        <f t="shared" si="109"/>
        <v/>
      </c>
      <c r="E570" s="32" t="str">
        <f>IF(563=$AD$1+3,"ขอแสดงความนับถือ",IF(563=$AD$1+6,"(                 )",IF(563=$AD$1+7,"เจ้าหน้าที่ขนส่ง",IF($AB570="G",SUM($AF$8:$AF$407),IF(OR($AB570="",$AB570="R"),"",IF($AB570="D",INDEX($AF$8:$AF$407,$AA570),SUMIF($T$8:$T$407,INDEX($T$8:$T$407,$AA570),$AF$8:$AF$407)))))))</f>
        <v/>
      </c>
      <c r="F570" s="32" t="str">
        <f t="shared" si="110"/>
        <v/>
      </c>
      <c r="G570" s="32" t="str">
        <f t="shared" si="111"/>
        <v/>
      </c>
      <c r="H570" s="32" t="str">
        <f t="shared" si="112"/>
        <v/>
      </c>
      <c r="AA570" t="str">
        <f>IFERROR(MATCH(563,$X$8:$X$407,1),"")</f>
        <v/>
      </c>
      <c r="AB570" t="str">
        <f>IF(563=$AD$1+1,"G",IF($AA570="","",IF(INDEX($Q$8:$Q$407,$AA570)="","",IF(563&gt;INDEX($X$8:$X$407,$AA570)+INDEX($V$8:$V$407,$AA570)+INDEX($W$8:$W$407,$AA570),"",IF(563=INDEX($X$8:$X$407,$AA570)+INDEX($V$8:$V$407,$AA570)+INDEX($W$8:$W$407,$AA570),"D",IF(AND(INDEX($W$8:$W$407,$AA570)=1,563=INDEX($X$8:$X$407,$AA570)+INDEX($V$8:$V$407,$AA570)),"S","R"))))))</f>
        <v/>
      </c>
      <c r="AC570" t="str">
        <f t="shared" si="113"/>
        <v/>
      </c>
    </row>
    <row r="571" spans="1:29" ht="21" customHeight="1" x14ac:dyDescent="0.95">
      <c r="A571" s="3" t="str">
        <f t="shared" si="106"/>
        <v/>
      </c>
      <c r="B571" s="3" t="str">
        <f t="shared" si="107"/>
        <v/>
      </c>
      <c r="C571" s="8" t="str">
        <f t="shared" si="108"/>
        <v/>
      </c>
      <c r="D571" s="31" t="str">
        <f t="shared" si="109"/>
        <v/>
      </c>
      <c r="E571" s="32" t="str">
        <f>IF(564=$AD$1+3,"ขอแสดงความนับถือ",IF(564=$AD$1+6,"(                 )",IF(564=$AD$1+7,"เจ้าหน้าที่ขนส่ง",IF($AB571="G",SUM($AF$8:$AF$407),IF(OR($AB571="",$AB571="R"),"",IF($AB571="D",INDEX($AF$8:$AF$407,$AA571),SUMIF($T$8:$T$407,INDEX($T$8:$T$407,$AA571),$AF$8:$AF$407)))))))</f>
        <v/>
      </c>
      <c r="F571" s="32" t="str">
        <f t="shared" si="110"/>
        <v/>
      </c>
      <c r="G571" s="32" t="str">
        <f t="shared" si="111"/>
        <v/>
      </c>
      <c r="H571" s="32" t="str">
        <f t="shared" si="112"/>
        <v/>
      </c>
      <c r="AA571" t="str">
        <f>IFERROR(MATCH(564,$X$8:$X$407,1),"")</f>
        <v/>
      </c>
      <c r="AB571" t="str">
        <f>IF(564=$AD$1+1,"G",IF($AA571="","",IF(INDEX($Q$8:$Q$407,$AA571)="","",IF(564&gt;INDEX($X$8:$X$407,$AA571)+INDEX($V$8:$V$407,$AA571)+INDEX($W$8:$W$407,$AA571),"",IF(564=INDEX($X$8:$X$407,$AA571)+INDEX($V$8:$V$407,$AA571)+INDEX($W$8:$W$407,$AA571),"D",IF(AND(INDEX($W$8:$W$407,$AA571)=1,564=INDEX($X$8:$X$407,$AA571)+INDEX($V$8:$V$407,$AA571)),"S","R"))))))</f>
        <v/>
      </c>
      <c r="AC571" t="str">
        <f t="shared" si="113"/>
        <v/>
      </c>
    </row>
    <row r="572" spans="1:29" ht="21" customHeight="1" x14ac:dyDescent="0.95">
      <c r="A572" s="3" t="str">
        <f t="shared" si="106"/>
        <v/>
      </c>
      <c r="B572" s="3" t="str">
        <f t="shared" si="107"/>
        <v/>
      </c>
      <c r="C572" s="8" t="str">
        <f t="shared" si="108"/>
        <v/>
      </c>
      <c r="D572" s="31" t="str">
        <f t="shared" si="109"/>
        <v/>
      </c>
      <c r="E572" s="32" t="str">
        <f>IF(565=$AD$1+3,"ขอแสดงความนับถือ",IF(565=$AD$1+6,"(                 )",IF(565=$AD$1+7,"เจ้าหน้าที่ขนส่ง",IF($AB572="G",SUM($AF$8:$AF$407),IF(OR($AB572="",$AB572="R"),"",IF($AB572="D",INDEX($AF$8:$AF$407,$AA572),SUMIF($T$8:$T$407,INDEX($T$8:$T$407,$AA572),$AF$8:$AF$407)))))))</f>
        <v/>
      </c>
      <c r="F572" s="32" t="str">
        <f t="shared" si="110"/>
        <v/>
      </c>
      <c r="G572" s="32" t="str">
        <f t="shared" si="111"/>
        <v/>
      </c>
      <c r="H572" s="32" t="str">
        <f t="shared" si="112"/>
        <v/>
      </c>
      <c r="AA572" t="str">
        <f>IFERROR(MATCH(565,$X$8:$X$407,1),"")</f>
        <v/>
      </c>
      <c r="AB572" t="str">
        <f>IF(565=$AD$1+1,"G",IF($AA572="","",IF(INDEX($Q$8:$Q$407,$AA572)="","",IF(565&gt;INDEX($X$8:$X$407,$AA572)+INDEX($V$8:$V$407,$AA572)+INDEX($W$8:$W$407,$AA572),"",IF(565=INDEX($X$8:$X$407,$AA572)+INDEX($V$8:$V$407,$AA572)+INDEX($W$8:$W$407,$AA572),"D",IF(AND(INDEX($W$8:$W$407,$AA572)=1,565=INDEX($X$8:$X$407,$AA572)+INDEX($V$8:$V$407,$AA572)),"S","R"))))))</f>
        <v/>
      </c>
      <c r="AC572" t="str">
        <f t="shared" si="113"/>
        <v/>
      </c>
    </row>
    <row r="573" spans="1:29" ht="21" customHeight="1" x14ac:dyDescent="0.95">
      <c r="A573" s="3" t="str">
        <f t="shared" si="106"/>
        <v/>
      </c>
      <c r="B573" s="3" t="str">
        <f t="shared" si="107"/>
        <v/>
      </c>
      <c r="C573" s="8" t="str">
        <f t="shared" si="108"/>
        <v/>
      </c>
      <c r="D573" s="31" t="str">
        <f t="shared" si="109"/>
        <v/>
      </c>
      <c r="E573" s="32" t="str">
        <f>IF(566=$AD$1+3,"ขอแสดงความนับถือ",IF(566=$AD$1+6,"(                 )",IF(566=$AD$1+7,"เจ้าหน้าที่ขนส่ง",IF($AB573="G",SUM($AF$8:$AF$407),IF(OR($AB573="",$AB573="R"),"",IF($AB573="D",INDEX($AF$8:$AF$407,$AA573),SUMIF($T$8:$T$407,INDEX($T$8:$T$407,$AA573),$AF$8:$AF$407)))))))</f>
        <v/>
      </c>
      <c r="F573" s="32" t="str">
        <f t="shared" si="110"/>
        <v/>
      </c>
      <c r="G573" s="32" t="str">
        <f t="shared" si="111"/>
        <v/>
      </c>
      <c r="H573" s="32" t="str">
        <f t="shared" si="112"/>
        <v/>
      </c>
      <c r="AA573" t="str">
        <f>IFERROR(MATCH(566,$X$8:$X$407,1),"")</f>
        <v/>
      </c>
      <c r="AB573" t="str">
        <f>IF(566=$AD$1+1,"G",IF($AA573="","",IF(INDEX($Q$8:$Q$407,$AA573)="","",IF(566&gt;INDEX($X$8:$X$407,$AA573)+INDEX($V$8:$V$407,$AA573)+INDEX($W$8:$W$407,$AA573),"",IF(566=INDEX($X$8:$X$407,$AA573)+INDEX($V$8:$V$407,$AA573)+INDEX($W$8:$W$407,$AA573),"D",IF(AND(INDEX($W$8:$W$407,$AA573)=1,566=INDEX($X$8:$X$407,$AA573)+INDEX($V$8:$V$407,$AA573)),"S","R"))))))</f>
        <v/>
      </c>
      <c r="AC573" t="str">
        <f t="shared" si="113"/>
        <v/>
      </c>
    </row>
    <row r="574" spans="1:29" ht="21" customHeight="1" x14ac:dyDescent="0.95">
      <c r="A574" s="3" t="str">
        <f t="shared" si="106"/>
        <v/>
      </c>
      <c r="B574" s="3" t="str">
        <f t="shared" si="107"/>
        <v/>
      </c>
      <c r="C574" s="8" t="str">
        <f t="shared" si="108"/>
        <v/>
      </c>
      <c r="D574" s="31" t="str">
        <f t="shared" si="109"/>
        <v/>
      </c>
      <c r="E574" s="32" t="str">
        <f>IF(567=$AD$1+3,"ขอแสดงความนับถือ",IF(567=$AD$1+6,"(                 )",IF(567=$AD$1+7,"เจ้าหน้าที่ขนส่ง",IF($AB574="G",SUM($AF$8:$AF$407),IF(OR($AB574="",$AB574="R"),"",IF($AB574="D",INDEX($AF$8:$AF$407,$AA574),SUMIF($T$8:$T$407,INDEX($T$8:$T$407,$AA574),$AF$8:$AF$407)))))))</f>
        <v/>
      </c>
      <c r="F574" s="32" t="str">
        <f t="shared" si="110"/>
        <v/>
      </c>
      <c r="G574" s="32" t="str">
        <f t="shared" si="111"/>
        <v/>
      </c>
      <c r="H574" s="32" t="str">
        <f t="shared" si="112"/>
        <v/>
      </c>
      <c r="AA574" t="str">
        <f>IFERROR(MATCH(567,$X$8:$X$407,1),"")</f>
        <v/>
      </c>
      <c r="AB574" t="str">
        <f>IF(567=$AD$1+1,"G",IF($AA574="","",IF(INDEX($Q$8:$Q$407,$AA574)="","",IF(567&gt;INDEX($X$8:$X$407,$AA574)+INDEX($V$8:$V$407,$AA574)+INDEX($W$8:$W$407,$AA574),"",IF(567=INDEX($X$8:$X$407,$AA574)+INDEX($V$8:$V$407,$AA574)+INDEX($W$8:$W$407,$AA574),"D",IF(AND(INDEX($W$8:$W$407,$AA574)=1,567=INDEX($X$8:$X$407,$AA574)+INDEX($V$8:$V$407,$AA574)),"S","R"))))))</f>
        <v/>
      </c>
      <c r="AC574" t="str">
        <f t="shared" si="113"/>
        <v/>
      </c>
    </row>
    <row r="575" spans="1:29" ht="21" customHeight="1" x14ac:dyDescent="0.95">
      <c r="A575" s="3" t="str">
        <f t="shared" si="106"/>
        <v/>
      </c>
      <c r="B575" s="3" t="str">
        <f t="shared" si="107"/>
        <v/>
      </c>
      <c r="C575" s="8" t="str">
        <f t="shared" si="108"/>
        <v/>
      </c>
      <c r="D575" s="31" t="str">
        <f t="shared" si="109"/>
        <v/>
      </c>
      <c r="E575" s="32" t="str">
        <f>IF(568=$AD$1+3,"ขอแสดงความนับถือ",IF(568=$AD$1+6,"(                 )",IF(568=$AD$1+7,"เจ้าหน้าที่ขนส่ง",IF($AB575="G",SUM($AF$8:$AF$407),IF(OR($AB575="",$AB575="R"),"",IF($AB575="D",INDEX($AF$8:$AF$407,$AA575),SUMIF($T$8:$T$407,INDEX($T$8:$T$407,$AA575),$AF$8:$AF$407)))))))</f>
        <v/>
      </c>
      <c r="F575" s="32" t="str">
        <f t="shared" si="110"/>
        <v/>
      </c>
      <c r="G575" s="32" t="str">
        <f t="shared" si="111"/>
        <v/>
      </c>
      <c r="H575" s="32" t="str">
        <f t="shared" si="112"/>
        <v/>
      </c>
      <c r="AA575" t="str">
        <f>IFERROR(MATCH(568,$X$8:$X$407,1),"")</f>
        <v/>
      </c>
      <c r="AB575" t="str">
        <f>IF(568=$AD$1+1,"G",IF($AA575="","",IF(INDEX($Q$8:$Q$407,$AA575)="","",IF(568&gt;INDEX($X$8:$X$407,$AA575)+INDEX($V$8:$V$407,$AA575)+INDEX($W$8:$W$407,$AA575),"",IF(568=INDEX($X$8:$X$407,$AA575)+INDEX($V$8:$V$407,$AA575)+INDEX($W$8:$W$407,$AA575),"D",IF(AND(INDEX($W$8:$W$407,$AA575)=1,568=INDEX($X$8:$X$407,$AA575)+INDEX($V$8:$V$407,$AA575)),"S","R"))))))</f>
        <v/>
      </c>
      <c r="AC575" t="str">
        <f t="shared" si="113"/>
        <v/>
      </c>
    </row>
    <row r="576" spans="1:29" ht="21" customHeight="1" x14ac:dyDescent="0.95">
      <c r="A576" s="3" t="str">
        <f t="shared" si="106"/>
        <v/>
      </c>
      <c r="B576" s="3" t="str">
        <f t="shared" si="107"/>
        <v/>
      </c>
      <c r="C576" s="8" t="str">
        <f t="shared" si="108"/>
        <v/>
      </c>
      <c r="D576" s="31" t="str">
        <f t="shared" si="109"/>
        <v/>
      </c>
      <c r="E576" s="32" t="str">
        <f>IF(569=$AD$1+3,"ขอแสดงความนับถือ",IF(569=$AD$1+6,"(                 )",IF(569=$AD$1+7,"เจ้าหน้าที่ขนส่ง",IF($AB576="G",SUM($AF$8:$AF$407),IF(OR($AB576="",$AB576="R"),"",IF($AB576="D",INDEX($AF$8:$AF$407,$AA576),SUMIF($T$8:$T$407,INDEX($T$8:$T$407,$AA576),$AF$8:$AF$407)))))))</f>
        <v/>
      </c>
      <c r="F576" s="32" t="str">
        <f t="shared" si="110"/>
        <v/>
      </c>
      <c r="G576" s="32" t="str">
        <f t="shared" si="111"/>
        <v/>
      </c>
      <c r="H576" s="32" t="str">
        <f t="shared" si="112"/>
        <v/>
      </c>
      <c r="AA576" t="str">
        <f>IFERROR(MATCH(569,$X$8:$X$407,1),"")</f>
        <v/>
      </c>
      <c r="AB576" t="str">
        <f>IF(569=$AD$1+1,"G",IF($AA576="","",IF(INDEX($Q$8:$Q$407,$AA576)="","",IF(569&gt;INDEX($X$8:$X$407,$AA576)+INDEX($V$8:$V$407,$AA576)+INDEX($W$8:$W$407,$AA576),"",IF(569=INDEX($X$8:$X$407,$AA576)+INDEX($V$8:$V$407,$AA576)+INDEX($W$8:$W$407,$AA576),"D",IF(AND(INDEX($W$8:$W$407,$AA576)=1,569=INDEX($X$8:$X$407,$AA576)+INDEX($V$8:$V$407,$AA576)),"S","R"))))))</f>
        <v/>
      </c>
      <c r="AC576" t="str">
        <f t="shared" si="113"/>
        <v/>
      </c>
    </row>
    <row r="577" spans="1:29" ht="21" customHeight="1" x14ac:dyDescent="0.95">
      <c r="A577" s="3" t="str">
        <f t="shared" si="106"/>
        <v/>
      </c>
      <c r="B577" s="3" t="str">
        <f t="shared" si="107"/>
        <v/>
      </c>
      <c r="C577" s="8" t="str">
        <f t="shared" si="108"/>
        <v/>
      </c>
      <c r="D577" s="31" t="str">
        <f t="shared" si="109"/>
        <v/>
      </c>
      <c r="E577" s="32" t="str">
        <f>IF(570=$AD$1+3,"ขอแสดงความนับถือ",IF(570=$AD$1+6,"(                 )",IF(570=$AD$1+7,"เจ้าหน้าที่ขนส่ง",IF($AB577="G",SUM($AF$8:$AF$407),IF(OR($AB577="",$AB577="R"),"",IF($AB577="D",INDEX($AF$8:$AF$407,$AA577),SUMIF($T$8:$T$407,INDEX($T$8:$T$407,$AA577),$AF$8:$AF$407)))))))</f>
        <v/>
      </c>
      <c r="F577" s="32" t="str">
        <f t="shared" si="110"/>
        <v/>
      </c>
      <c r="G577" s="32" t="str">
        <f t="shared" si="111"/>
        <v/>
      </c>
      <c r="H577" s="32" t="str">
        <f t="shared" si="112"/>
        <v/>
      </c>
      <c r="AA577" t="str">
        <f>IFERROR(MATCH(570,$X$8:$X$407,1),"")</f>
        <v/>
      </c>
      <c r="AB577" t="str">
        <f>IF(570=$AD$1+1,"G",IF($AA577="","",IF(INDEX($Q$8:$Q$407,$AA577)="","",IF(570&gt;INDEX($X$8:$X$407,$AA577)+INDEX($V$8:$V$407,$AA577)+INDEX($W$8:$W$407,$AA577),"",IF(570=INDEX($X$8:$X$407,$AA577)+INDEX($V$8:$V$407,$AA577)+INDEX($W$8:$W$407,$AA577),"D",IF(AND(INDEX($W$8:$W$407,$AA577)=1,570=INDEX($X$8:$X$407,$AA577)+INDEX($V$8:$V$407,$AA577)),"S","R"))))))</f>
        <v/>
      </c>
      <c r="AC577" t="str">
        <f t="shared" si="113"/>
        <v/>
      </c>
    </row>
    <row r="578" spans="1:29" ht="21" customHeight="1" x14ac:dyDescent="0.95">
      <c r="A578" s="3" t="str">
        <f t="shared" si="106"/>
        <v/>
      </c>
      <c r="B578" s="3" t="str">
        <f t="shared" si="107"/>
        <v/>
      </c>
      <c r="C578" s="8" t="str">
        <f t="shared" si="108"/>
        <v/>
      </c>
      <c r="D578" s="31" t="str">
        <f t="shared" si="109"/>
        <v/>
      </c>
      <c r="E578" s="32" t="str">
        <f>IF(571=$AD$1+3,"ขอแสดงความนับถือ",IF(571=$AD$1+6,"(                 )",IF(571=$AD$1+7,"เจ้าหน้าที่ขนส่ง",IF($AB578="G",SUM($AF$8:$AF$407),IF(OR($AB578="",$AB578="R"),"",IF($AB578="D",INDEX($AF$8:$AF$407,$AA578),SUMIF($T$8:$T$407,INDEX($T$8:$T$407,$AA578),$AF$8:$AF$407)))))))</f>
        <v/>
      </c>
      <c r="F578" s="32" t="str">
        <f t="shared" si="110"/>
        <v/>
      </c>
      <c r="G578" s="32" t="str">
        <f t="shared" si="111"/>
        <v/>
      </c>
      <c r="H578" s="32" t="str">
        <f t="shared" si="112"/>
        <v/>
      </c>
      <c r="AA578" t="str">
        <f>IFERROR(MATCH(571,$X$8:$X$407,1),"")</f>
        <v/>
      </c>
      <c r="AB578" t="str">
        <f>IF(571=$AD$1+1,"G",IF($AA578="","",IF(INDEX($Q$8:$Q$407,$AA578)="","",IF(571&gt;INDEX($X$8:$X$407,$AA578)+INDEX($V$8:$V$407,$AA578)+INDEX($W$8:$W$407,$AA578),"",IF(571=INDEX($X$8:$X$407,$AA578)+INDEX($V$8:$V$407,$AA578)+INDEX($W$8:$W$407,$AA578),"D",IF(AND(INDEX($W$8:$W$407,$AA578)=1,571=INDEX($X$8:$X$407,$AA578)+INDEX($V$8:$V$407,$AA578)),"S","R"))))))</f>
        <v/>
      </c>
      <c r="AC578" t="str">
        <f t="shared" si="113"/>
        <v/>
      </c>
    </row>
    <row r="579" spans="1:29" ht="21" customHeight="1" x14ac:dyDescent="0.95">
      <c r="A579" s="3" t="str">
        <f t="shared" si="106"/>
        <v/>
      </c>
      <c r="B579" s="3" t="str">
        <f t="shared" si="107"/>
        <v/>
      </c>
      <c r="C579" s="8" t="str">
        <f t="shared" si="108"/>
        <v/>
      </c>
      <c r="D579" s="31" t="str">
        <f t="shared" si="109"/>
        <v/>
      </c>
      <c r="E579" s="32" t="str">
        <f>IF(572=$AD$1+3,"ขอแสดงความนับถือ",IF(572=$AD$1+6,"(                 )",IF(572=$AD$1+7,"เจ้าหน้าที่ขนส่ง",IF($AB579="G",SUM($AF$8:$AF$407),IF(OR($AB579="",$AB579="R"),"",IF($AB579="D",INDEX($AF$8:$AF$407,$AA579),SUMIF($T$8:$T$407,INDEX($T$8:$T$407,$AA579),$AF$8:$AF$407)))))))</f>
        <v/>
      </c>
      <c r="F579" s="32" t="str">
        <f t="shared" si="110"/>
        <v/>
      </c>
      <c r="G579" s="32" t="str">
        <f t="shared" si="111"/>
        <v/>
      </c>
      <c r="H579" s="32" t="str">
        <f t="shared" si="112"/>
        <v/>
      </c>
      <c r="AA579" t="str">
        <f>IFERROR(MATCH(572,$X$8:$X$407,1),"")</f>
        <v/>
      </c>
      <c r="AB579" t="str">
        <f>IF(572=$AD$1+1,"G",IF($AA579="","",IF(INDEX($Q$8:$Q$407,$AA579)="","",IF(572&gt;INDEX($X$8:$X$407,$AA579)+INDEX($V$8:$V$407,$AA579)+INDEX($W$8:$W$407,$AA579),"",IF(572=INDEX($X$8:$X$407,$AA579)+INDEX($V$8:$V$407,$AA579)+INDEX($W$8:$W$407,$AA579),"D",IF(AND(INDEX($W$8:$W$407,$AA579)=1,572=INDEX($X$8:$X$407,$AA579)+INDEX($V$8:$V$407,$AA579)),"S","R"))))))</f>
        <v/>
      </c>
      <c r="AC579" t="str">
        <f t="shared" si="113"/>
        <v/>
      </c>
    </row>
    <row r="580" spans="1:29" ht="21" customHeight="1" x14ac:dyDescent="0.95">
      <c r="A580" s="3" t="str">
        <f t="shared" si="106"/>
        <v/>
      </c>
      <c r="B580" s="3" t="str">
        <f t="shared" si="107"/>
        <v/>
      </c>
      <c r="C580" s="8" t="str">
        <f t="shared" si="108"/>
        <v/>
      </c>
      <c r="D580" s="31" t="str">
        <f t="shared" si="109"/>
        <v/>
      </c>
      <c r="E580" s="32" t="str">
        <f>IF(573=$AD$1+3,"ขอแสดงความนับถือ",IF(573=$AD$1+6,"(                 )",IF(573=$AD$1+7,"เจ้าหน้าที่ขนส่ง",IF($AB580="G",SUM($AF$8:$AF$407),IF(OR($AB580="",$AB580="R"),"",IF($AB580="D",INDEX($AF$8:$AF$407,$AA580),SUMIF($T$8:$T$407,INDEX($T$8:$T$407,$AA580),$AF$8:$AF$407)))))))</f>
        <v/>
      </c>
      <c r="F580" s="32" t="str">
        <f t="shared" si="110"/>
        <v/>
      </c>
      <c r="G580" s="32" t="str">
        <f t="shared" si="111"/>
        <v/>
      </c>
      <c r="H580" s="32" t="str">
        <f t="shared" si="112"/>
        <v/>
      </c>
      <c r="AA580" t="str">
        <f>IFERROR(MATCH(573,$X$8:$X$407,1),"")</f>
        <v/>
      </c>
      <c r="AB580" t="str">
        <f>IF(573=$AD$1+1,"G",IF($AA580="","",IF(INDEX($Q$8:$Q$407,$AA580)="","",IF(573&gt;INDEX($X$8:$X$407,$AA580)+INDEX($V$8:$V$407,$AA580)+INDEX($W$8:$W$407,$AA580),"",IF(573=INDEX($X$8:$X$407,$AA580)+INDEX($V$8:$V$407,$AA580)+INDEX($W$8:$W$407,$AA580),"D",IF(AND(INDEX($W$8:$W$407,$AA580)=1,573=INDEX($X$8:$X$407,$AA580)+INDEX($V$8:$V$407,$AA580)),"S","R"))))))</f>
        <v/>
      </c>
      <c r="AC580" t="str">
        <f t="shared" si="113"/>
        <v/>
      </c>
    </row>
    <row r="581" spans="1:29" ht="21" customHeight="1" x14ac:dyDescent="0.95">
      <c r="A581" s="3" t="str">
        <f t="shared" si="106"/>
        <v/>
      </c>
      <c r="B581" s="3" t="str">
        <f t="shared" si="107"/>
        <v/>
      </c>
      <c r="C581" s="8" t="str">
        <f t="shared" si="108"/>
        <v/>
      </c>
      <c r="D581" s="31" t="str">
        <f t="shared" si="109"/>
        <v/>
      </c>
      <c r="E581" s="32" t="str">
        <f>IF(574=$AD$1+3,"ขอแสดงความนับถือ",IF(574=$AD$1+6,"(                 )",IF(574=$AD$1+7,"เจ้าหน้าที่ขนส่ง",IF($AB581="G",SUM($AF$8:$AF$407),IF(OR($AB581="",$AB581="R"),"",IF($AB581="D",INDEX($AF$8:$AF$407,$AA581),SUMIF($T$8:$T$407,INDEX($T$8:$T$407,$AA581),$AF$8:$AF$407)))))))</f>
        <v/>
      </c>
      <c r="F581" s="32" t="str">
        <f t="shared" si="110"/>
        <v/>
      </c>
      <c r="G581" s="32" t="str">
        <f t="shared" si="111"/>
        <v/>
      </c>
      <c r="H581" s="32" t="str">
        <f t="shared" si="112"/>
        <v/>
      </c>
      <c r="AA581" t="str">
        <f>IFERROR(MATCH(574,$X$8:$X$407,1),"")</f>
        <v/>
      </c>
      <c r="AB581" t="str">
        <f>IF(574=$AD$1+1,"G",IF($AA581="","",IF(INDEX($Q$8:$Q$407,$AA581)="","",IF(574&gt;INDEX($X$8:$X$407,$AA581)+INDEX($V$8:$V$407,$AA581)+INDEX($W$8:$W$407,$AA581),"",IF(574=INDEX($X$8:$X$407,$AA581)+INDEX($V$8:$V$407,$AA581)+INDEX($W$8:$W$407,$AA581),"D",IF(AND(INDEX($W$8:$W$407,$AA581)=1,574=INDEX($X$8:$X$407,$AA581)+INDEX($V$8:$V$407,$AA581)),"S","R"))))))</f>
        <v/>
      </c>
      <c r="AC581" t="str">
        <f t="shared" si="113"/>
        <v/>
      </c>
    </row>
    <row r="582" spans="1:29" ht="21" customHeight="1" x14ac:dyDescent="0.95">
      <c r="A582" s="3" t="str">
        <f t="shared" si="106"/>
        <v/>
      </c>
      <c r="B582" s="3" t="str">
        <f t="shared" si="107"/>
        <v/>
      </c>
      <c r="C582" s="8" t="str">
        <f t="shared" si="108"/>
        <v/>
      </c>
      <c r="D582" s="31" t="str">
        <f t="shared" si="109"/>
        <v/>
      </c>
      <c r="E582" s="32" t="str">
        <f>IF(575=$AD$1+3,"ขอแสดงความนับถือ",IF(575=$AD$1+6,"(                 )",IF(575=$AD$1+7,"เจ้าหน้าที่ขนส่ง",IF($AB582="G",SUM($AF$8:$AF$407),IF(OR($AB582="",$AB582="R"),"",IF($AB582="D",INDEX($AF$8:$AF$407,$AA582),SUMIF($T$8:$T$407,INDEX($T$8:$T$407,$AA582),$AF$8:$AF$407)))))))</f>
        <v/>
      </c>
      <c r="F582" s="32" t="str">
        <f t="shared" si="110"/>
        <v/>
      </c>
      <c r="G582" s="32" t="str">
        <f t="shared" si="111"/>
        <v/>
      </c>
      <c r="H582" s="32" t="str">
        <f t="shared" si="112"/>
        <v/>
      </c>
      <c r="AA582" t="str">
        <f>IFERROR(MATCH(575,$X$8:$X$407,1),"")</f>
        <v/>
      </c>
      <c r="AB582" t="str">
        <f>IF(575=$AD$1+1,"G",IF($AA582="","",IF(INDEX($Q$8:$Q$407,$AA582)="","",IF(575&gt;INDEX($X$8:$X$407,$AA582)+INDEX($V$8:$V$407,$AA582)+INDEX($W$8:$W$407,$AA582),"",IF(575=INDEX($X$8:$X$407,$AA582)+INDEX($V$8:$V$407,$AA582)+INDEX($W$8:$W$407,$AA582),"D",IF(AND(INDEX($W$8:$W$407,$AA582)=1,575=INDEX($X$8:$X$407,$AA582)+INDEX($V$8:$V$407,$AA582)),"S","R"))))))</f>
        <v/>
      </c>
      <c r="AC582" t="str">
        <f t="shared" si="113"/>
        <v/>
      </c>
    </row>
    <row r="583" spans="1:29" ht="21" customHeight="1" x14ac:dyDescent="0.95">
      <c r="A583" s="3" t="str">
        <f t="shared" si="106"/>
        <v/>
      </c>
      <c r="B583" s="3" t="str">
        <f t="shared" si="107"/>
        <v/>
      </c>
      <c r="C583" s="8" t="str">
        <f t="shared" si="108"/>
        <v/>
      </c>
      <c r="D583" s="31" t="str">
        <f t="shared" si="109"/>
        <v/>
      </c>
      <c r="E583" s="32" t="str">
        <f>IF(576=$AD$1+3,"ขอแสดงความนับถือ",IF(576=$AD$1+6,"(                 )",IF(576=$AD$1+7,"เจ้าหน้าที่ขนส่ง",IF($AB583="G",SUM($AF$8:$AF$407),IF(OR($AB583="",$AB583="R"),"",IF($AB583="D",INDEX($AF$8:$AF$407,$AA583),SUMIF($T$8:$T$407,INDEX($T$8:$T$407,$AA583),$AF$8:$AF$407)))))))</f>
        <v/>
      </c>
      <c r="F583" s="32" t="str">
        <f t="shared" si="110"/>
        <v/>
      </c>
      <c r="G583" s="32" t="str">
        <f t="shared" si="111"/>
        <v/>
      </c>
      <c r="H583" s="32" t="str">
        <f t="shared" si="112"/>
        <v/>
      </c>
      <c r="AA583" t="str">
        <f>IFERROR(MATCH(576,$X$8:$X$407,1),"")</f>
        <v/>
      </c>
      <c r="AB583" t="str">
        <f>IF(576=$AD$1+1,"G",IF($AA583="","",IF(INDEX($Q$8:$Q$407,$AA583)="","",IF(576&gt;INDEX($X$8:$X$407,$AA583)+INDEX($V$8:$V$407,$AA583)+INDEX($W$8:$W$407,$AA583),"",IF(576=INDEX($X$8:$X$407,$AA583)+INDEX($V$8:$V$407,$AA583)+INDEX($W$8:$W$407,$AA583),"D",IF(AND(INDEX($W$8:$W$407,$AA583)=1,576=INDEX($X$8:$X$407,$AA583)+INDEX($V$8:$V$407,$AA583)),"S","R"))))))</f>
        <v/>
      </c>
      <c r="AC583" t="str">
        <f t="shared" si="113"/>
        <v/>
      </c>
    </row>
    <row r="584" spans="1:29" ht="21" customHeight="1" x14ac:dyDescent="0.95">
      <c r="A584" s="3" t="str">
        <f t="shared" ref="A584:A647" si="114">IF($AB584="G","ผลรวมทั้งหมด",IF($AB584="R",INDEX($S$8:$S$407,$AA584),""))</f>
        <v/>
      </c>
      <c r="B584" s="3" t="str">
        <f t="shared" ref="B584:B647" si="115">IF($AB584="S",INDEX($Y$8:$Y$407,$AA584),"")</f>
        <v/>
      </c>
      <c r="C584" s="8" t="str">
        <f t="shared" ref="C584:C647" si="116">IF($AB584="D",INDEX($Z$8:$Z$407,$AA584),"")</f>
        <v/>
      </c>
      <c r="D584" s="31" t="str">
        <f t="shared" ref="D584:D647" si="117">IF($AB584="G",SUM($AE$8:$AE$407),IF(OR($AB584="",$AB584="R"),"",IF($AB584="D",INDEX($AE$8:$AE$407,$AA584),SUMIF($T$8:$T$407,INDEX($T$8:$T$407,$AA584),$AE$8:$AE$407))))</f>
        <v/>
      </c>
      <c r="E584" s="32" t="str">
        <f>IF(577=$AD$1+3,"ขอแสดงความนับถือ",IF(577=$AD$1+6,"(                 )",IF(577=$AD$1+7,"เจ้าหน้าที่ขนส่ง",IF($AB584="G",SUM($AF$8:$AF$407),IF(OR($AB584="",$AB584="R"),"",IF($AB584="D",INDEX($AF$8:$AF$407,$AA584),SUMIF($T$8:$T$407,INDEX($T$8:$T$407,$AA584),$AF$8:$AF$407)))))))</f>
        <v/>
      </c>
      <c r="F584" s="32" t="str">
        <f t="shared" ref="F584:F647" si="118">IF($AB584="G",SUM($AG$8:$AG$407),IF(OR($AB584="",$AB584="R"),"",IF($AB584="D",INDEX($AG$8:$AG$407,$AA584),SUMIF($T$8:$T$407,INDEX($T$8:$T$407,$AA584),$AG$8:$AG$407))))</f>
        <v/>
      </c>
      <c r="G584" s="32" t="str">
        <f t="shared" ref="G584:G647" si="119">IF(OR($AB584="",$AB584="R"),"",ROUND($E584-$F584,2))</f>
        <v/>
      </c>
      <c r="H584" s="32" t="str">
        <f t="shared" ref="H584:H647" si="120">IF($AB584="G",SUM($AH$8:$AH$407),IF(OR($AB584="",$AB584="R"),"",IF($AB584="D",INDEX($AH$8:$AH$407,$AA584),SUMIF($T$8:$T$407,INDEX($T$8:$T$407,$AA584),$AH$8:$AH$407))))</f>
        <v/>
      </c>
      <c r="AA584" t="str">
        <f>IFERROR(MATCH(577,$X$8:$X$407,1),"")</f>
        <v/>
      </c>
      <c r="AB584" t="str">
        <f>IF(577=$AD$1+1,"G",IF($AA584="","",IF(INDEX($Q$8:$Q$407,$AA584)="","",IF(577&gt;INDEX($X$8:$X$407,$AA584)+INDEX($V$8:$V$407,$AA584)+INDEX($W$8:$W$407,$AA584),"",IF(577=INDEX($X$8:$X$407,$AA584)+INDEX($V$8:$V$407,$AA584)+INDEX($W$8:$W$407,$AA584),"D",IF(AND(INDEX($W$8:$W$407,$AA584)=1,577=INDEX($X$8:$X$407,$AA584)+INDEX($V$8:$V$407,$AA584)),"S","R"))))))</f>
        <v/>
      </c>
      <c r="AC584" t="str">
        <f t="shared" ref="AC584:AC647" si="121">IF(OR($AB584="",$AB584="G"),"",IF($AB584="D",INDEX($U$8:$U$407,$AA584),IF($AB584="S",INDEX($T$8:$T$407,$AA584)&amp;"|*",INDEX($S$8:$S$407,$AA584)&amp;"|*")))</f>
        <v/>
      </c>
    </row>
    <row r="585" spans="1:29" ht="21" customHeight="1" x14ac:dyDescent="0.95">
      <c r="A585" s="3" t="str">
        <f t="shared" si="114"/>
        <v/>
      </c>
      <c r="B585" s="3" t="str">
        <f t="shared" si="115"/>
        <v/>
      </c>
      <c r="C585" s="8" t="str">
        <f t="shared" si="116"/>
        <v/>
      </c>
      <c r="D585" s="31" t="str">
        <f t="shared" si="117"/>
        <v/>
      </c>
      <c r="E585" s="32" t="str">
        <f>IF(578=$AD$1+3,"ขอแสดงความนับถือ",IF(578=$AD$1+6,"(                 )",IF(578=$AD$1+7,"เจ้าหน้าที่ขนส่ง",IF($AB585="G",SUM($AF$8:$AF$407),IF(OR($AB585="",$AB585="R"),"",IF($AB585="D",INDEX($AF$8:$AF$407,$AA585),SUMIF($T$8:$T$407,INDEX($T$8:$T$407,$AA585),$AF$8:$AF$407)))))))</f>
        <v/>
      </c>
      <c r="F585" s="32" t="str">
        <f t="shared" si="118"/>
        <v/>
      </c>
      <c r="G585" s="32" t="str">
        <f t="shared" si="119"/>
        <v/>
      </c>
      <c r="H585" s="32" t="str">
        <f t="shared" si="120"/>
        <v/>
      </c>
      <c r="AA585" t="str">
        <f>IFERROR(MATCH(578,$X$8:$X$407,1),"")</f>
        <v/>
      </c>
      <c r="AB585" t="str">
        <f>IF(578=$AD$1+1,"G",IF($AA585="","",IF(INDEX($Q$8:$Q$407,$AA585)="","",IF(578&gt;INDEX($X$8:$X$407,$AA585)+INDEX($V$8:$V$407,$AA585)+INDEX($W$8:$W$407,$AA585),"",IF(578=INDEX($X$8:$X$407,$AA585)+INDEX($V$8:$V$407,$AA585)+INDEX($W$8:$W$407,$AA585),"D",IF(AND(INDEX($W$8:$W$407,$AA585)=1,578=INDEX($X$8:$X$407,$AA585)+INDEX($V$8:$V$407,$AA585)),"S","R"))))))</f>
        <v/>
      </c>
      <c r="AC585" t="str">
        <f t="shared" si="121"/>
        <v/>
      </c>
    </row>
    <row r="586" spans="1:29" ht="21" customHeight="1" x14ac:dyDescent="0.95">
      <c r="A586" s="3" t="str">
        <f t="shared" si="114"/>
        <v/>
      </c>
      <c r="B586" s="3" t="str">
        <f t="shared" si="115"/>
        <v/>
      </c>
      <c r="C586" s="8" t="str">
        <f t="shared" si="116"/>
        <v/>
      </c>
      <c r="D586" s="31" t="str">
        <f t="shared" si="117"/>
        <v/>
      </c>
      <c r="E586" s="32" t="str">
        <f>IF(579=$AD$1+3,"ขอแสดงความนับถือ",IF(579=$AD$1+6,"(                 )",IF(579=$AD$1+7,"เจ้าหน้าที่ขนส่ง",IF($AB586="G",SUM($AF$8:$AF$407),IF(OR($AB586="",$AB586="R"),"",IF($AB586="D",INDEX($AF$8:$AF$407,$AA586),SUMIF($T$8:$T$407,INDEX($T$8:$T$407,$AA586),$AF$8:$AF$407)))))))</f>
        <v/>
      </c>
      <c r="F586" s="32" t="str">
        <f t="shared" si="118"/>
        <v/>
      </c>
      <c r="G586" s="32" t="str">
        <f t="shared" si="119"/>
        <v/>
      </c>
      <c r="H586" s="32" t="str">
        <f t="shared" si="120"/>
        <v/>
      </c>
      <c r="AA586" t="str">
        <f>IFERROR(MATCH(579,$X$8:$X$407,1),"")</f>
        <v/>
      </c>
      <c r="AB586" t="str">
        <f>IF(579=$AD$1+1,"G",IF($AA586="","",IF(INDEX($Q$8:$Q$407,$AA586)="","",IF(579&gt;INDEX($X$8:$X$407,$AA586)+INDEX($V$8:$V$407,$AA586)+INDEX($W$8:$W$407,$AA586),"",IF(579=INDEX($X$8:$X$407,$AA586)+INDEX($V$8:$V$407,$AA586)+INDEX($W$8:$W$407,$AA586),"D",IF(AND(INDEX($W$8:$W$407,$AA586)=1,579=INDEX($X$8:$X$407,$AA586)+INDEX($V$8:$V$407,$AA586)),"S","R"))))))</f>
        <v/>
      </c>
      <c r="AC586" t="str">
        <f t="shared" si="121"/>
        <v/>
      </c>
    </row>
    <row r="587" spans="1:29" ht="21" customHeight="1" x14ac:dyDescent="0.95">
      <c r="A587" s="3" t="str">
        <f t="shared" si="114"/>
        <v/>
      </c>
      <c r="B587" s="3" t="str">
        <f t="shared" si="115"/>
        <v/>
      </c>
      <c r="C587" s="8" t="str">
        <f t="shared" si="116"/>
        <v/>
      </c>
      <c r="D587" s="31" t="str">
        <f t="shared" si="117"/>
        <v/>
      </c>
      <c r="E587" s="32" t="str">
        <f>IF(580=$AD$1+3,"ขอแสดงความนับถือ",IF(580=$AD$1+6,"(                 )",IF(580=$AD$1+7,"เจ้าหน้าที่ขนส่ง",IF($AB587="G",SUM($AF$8:$AF$407),IF(OR($AB587="",$AB587="R"),"",IF($AB587="D",INDEX($AF$8:$AF$407,$AA587),SUMIF($T$8:$T$407,INDEX($T$8:$T$407,$AA587),$AF$8:$AF$407)))))))</f>
        <v/>
      </c>
      <c r="F587" s="32" t="str">
        <f t="shared" si="118"/>
        <v/>
      </c>
      <c r="G587" s="32" t="str">
        <f t="shared" si="119"/>
        <v/>
      </c>
      <c r="H587" s="32" t="str">
        <f t="shared" si="120"/>
        <v/>
      </c>
      <c r="AA587" t="str">
        <f>IFERROR(MATCH(580,$X$8:$X$407,1),"")</f>
        <v/>
      </c>
      <c r="AB587" t="str">
        <f>IF(580=$AD$1+1,"G",IF($AA587="","",IF(INDEX($Q$8:$Q$407,$AA587)="","",IF(580&gt;INDEX($X$8:$X$407,$AA587)+INDEX($V$8:$V$407,$AA587)+INDEX($W$8:$W$407,$AA587),"",IF(580=INDEX($X$8:$X$407,$AA587)+INDEX($V$8:$V$407,$AA587)+INDEX($W$8:$W$407,$AA587),"D",IF(AND(INDEX($W$8:$W$407,$AA587)=1,580=INDEX($X$8:$X$407,$AA587)+INDEX($V$8:$V$407,$AA587)),"S","R"))))))</f>
        <v/>
      </c>
      <c r="AC587" t="str">
        <f t="shared" si="121"/>
        <v/>
      </c>
    </row>
    <row r="588" spans="1:29" ht="21" customHeight="1" x14ac:dyDescent="0.95">
      <c r="A588" s="3" t="str">
        <f t="shared" si="114"/>
        <v/>
      </c>
      <c r="B588" s="3" t="str">
        <f t="shared" si="115"/>
        <v/>
      </c>
      <c r="C588" s="8" t="str">
        <f t="shared" si="116"/>
        <v/>
      </c>
      <c r="D588" s="31" t="str">
        <f t="shared" si="117"/>
        <v/>
      </c>
      <c r="E588" s="32" t="str">
        <f>IF(581=$AD$1+3,"ขอแสดงความนับถือ",IF(581=$AD$1+6,"(                 )",IF(581=$AD$1+7,"เจ้าหน้าที่ขนส่ง",IF($AB588="G",SUM($AF$8:$AF$407),IF(OR($AB588="",$AB588="R"),"",IF($AB588="D",INDEX($AF$8:$AF$407,$AA588),SUMIF($T$8:$T$407,INDEX($T$8:$T$407,$AA588),$AF$8:$AF$407)))))))</f>
        <v/>
      </c>
      <c r="F588" s="32" t="str">
        <f t="shared" si="118"/>
        <v/>
      </c>
      <c r="G588" s="32" t="str">
        <f t="shared" si="119"/>
        <v/>
      </c>
      <c r="H588" s="32" t="str">
        <f t="shared" si="120"/>
        <v/>
      </c>
      <c r="AA588" t="str">
        <f>IFERROR(MATCH(581,$X$8:$X$407,1),"")</f>
        <v/>
      </c>
      <c r="AB588" t="str">
        <f>IF(581=$AD$1+1,"G",IF($AA588="","",IF(INDEX($Q$8:$Q$407,$AA588)="","",IF(581&gt;INDEX($X$8:$X$407,$AA588)+INDEX($V$8:$V$407,$AA588)+INDEX($W$8:$W$407,$AA588),"",IF(581=INDEX($X$8:$X$407,$AA588)+INDEX($V$8:$V$407,$AA588)+INDEX($W$8:$W$407,$AA588),"D",IF(AND(INDEX($W$8:$W$407,$AA588)=1,581=INDEX($X$8:$X$407,$AA588)+INDEX($V$8:$V$407,$AA588)),"S","R"))))))</f>
        <v/>
      </c>
      <c r="AC588" t="str">
        <f t="shared" si="121"/>
        <v/>
      </c>
    </row>
    <row r="589" spans="1:29" ht="21" customHeight="1" x14ac:dyDescent="0.95">
      <c r="A589" s="3" t="str">
        <f t="shared" si="114"/>
        <v/>
      </c>
      <c r="B589" s="3" t="str">
        <f t="shared" si="115"/>
        <v/>
      </c>
      <c r="C589" s="8" t="str">
        <f t="shared" si="116"/>
        <v/>
      </c>
      <c r="D589" s="31" t="str">
        <f t="shared" si="117"/>
        <v/>
      </c>
      <c r="E589" s="32" t="str">
        <f>IF(582=$AD$1+3,"ขอแสดงความนับถือ",IF(582=$AD$1+6,"(                 )",IF(582=$AD$1+7,"เจ้าหน้าที่ขนส่ง",IF($AB589="G",SUM($AF$8:$AF$407),IF(OR($AB589="",$AB589="R"),"",IF($AB589="D",INDEX($AF$8:$AF$407,$AA589),SUMIF($T$8:$T$407,INDEX($T$8:$T$407,$AA589),$AF$8:$AF$407)))))))</f>
        <v/>
      </c>
      <c r="F589" s="32" t="str">
        <f t="shared" si="118"/>
        <v/>
      </c>
      <c r="G589" s="32" t="str">
        <f t="shared" si="119"/>
        <v/>
      </c>
      <c r="H589" s="32" t="str">
        <f t="shared" si="120"/>
        <v/>
      </c>
      <c r="AA589" t="str">
        <f>IFERROR(MATCH(582,$X$8:$X$407,1),"")</f>
        <v/>
      </c>
      <c r="AB589" t="str">
        <f>IF(582=$AD$1+1,"G",IF($AA589="","",IF(INDEX($Q$8:$Q$407,$AA589)="","",IF(582&gt;INDEX($X$8:$X$407,$AA589)+INDEX($V$8:$V$407,$AA589)+INDEX($W$8:$W$407,$AA589),"",IF(582=INDEX($X$8:$X$407,$AA589)+INDEX($V$8:$V$407,$AA589)+INDEX($W$8:$W$407,$AA589),"D",IF(AND(INDEX($W$8:$W$407,$AA589)=1,582=INDEX($X$8:$X$407,$AA589)+INDEX($V$8:$V$407,$AA589)),"S","R"))))))</f>
        <v/>
      </c>
      <c r="AC589" t="str">
        <f t="shared" si="121"/>
        <v/>
      </c>
    </row>
    <row r="590" spans="1:29" ht="21" customHeight="1" x14ac:dyDescent="0.95">
      <c r="A590" s="3" t="str">
        <f t="shared" si="114"/>
        <v/>
      </c>
      <c r="B590" s="3" t="str">
        <f t="shared" si="115"/>
        <v/>
      </c>
      <c r="C590" s="8" t="str">
        <f t="shared" si="116"/>
        <v/>
      </c>
      <c r="D590" s="31" t="str">
        <f t="shared" si="117"/>
        <v/>
      </c>
      <c r="E590" s="32" t="str">
        <f>IF(583=$AD$1+3,"ขอแสดงความนับถือ",IF(583=$AD$1+6,"(                 )",IF(583=$AD$1+7,"เจ้าหน้าที่ขนส่ง",IF($AB590="G",SUM($AF$8:$AF$407),IF(OR($AB590="",$AB590="R"),"",IF($AB590="D",INDEX($AF$8:$AF$407,$AA590),SUMIF($T$8:$T$407,INDEX($T$8:$T$407,$AA590),$AF$8:$AF$407)))))))</f>
        <v/>
      </c>
      <c r="F590" s="32" t="str">
        <f t="shared" si="118"/>
        <v/>
      </c>
      <c r="G590" s="32" t="str">
        <f t="shared" si="119"/>
        <v/>
      </c>
      <c r="H590" s="32" t="str">
        <f t="shared" si="120"/>
        <v/>
      </c>
      <c r="AA590" t="str">
        <f>IFERROR(MATCH(583,$X$8:$X$407,1),"")</f>
        <v/>
      </c>
      <c r="AB590" t="str">
        <f>IF(583=$AD$1+1,"G",IF($AA590="","",IF(INDEX($Q$8:$Q$407,$AA590)="","",IF(583&gt;INDEX($X$8:$X$407,$AA590)+INDEX($V$8:$V$407,$AA590)+INDEX($W$8:$W$407,$AA590),"",IF(583=INDEX($X$8:$X$407,$AA590)+INDEX($V$8:$V$407,$AA590)+INDEX($W$8:$W$407,$AA590),"D",IF(AND(INDEX($W$8:$W$407,$AA590)=1,583=INDEX($X$8:$X$407,$AA590)+INDEX($V$8:$V$407,$AA590)),"S","R"))))))</f>
        <v/>
      </c>
      <c r="AC590" t="str">
        <f t="shared" si="121"/>
        <v/>
      </c>
    </row>
    <row r="591" spans="1:29" ht="21" customHeight="1" x14ac:dyDescent="0.95">
      <c r="A591" s="3" t="str">
        <f t="shared" si="114"/>
        <v/>
      </c>
      <c r="B591" s="3" t="str">
        <f t="shared" si="115"/>
        <v/>
      </c>
      <c r="C591" s="8" t="str">
        <f t="shared" si="116"/>
        <v/>
      </c>
      <c r="D591" s="31" t="str">
        <f t="shared" si="117"/>
        <v/>
      </c>
      <c r="E591" s="32" t="str">
        <f>IF(584=$AD$1+3,"ขอแสดงความนับถือ",IF(584=$AD$1+6,"(                 )",IF(584=$AD$1+7,"เจ้าหน้าที่ขนส่ง",IF($AB591="G",SUM($AF$8:$AF$407),IF(OR($AB591="",$AB591="R"),"",IF($AB591="D",INDEX($AF$8:$AF$407,$AA591),SUMIF($T$8:$T$407,INDEX($T$8:$T$407,$AA591),$AF$8:$AF$407)))))))</f>
        <v/>
      </c>
      <c r="F591" s="32" t="str">
        <f t="shared" si="118"/>
        <v/>
      </c>
      <c r="G591" s="32" t="str">
        <f t="shared" si="119"/>
        <v/>
      </c>
      <c r="H591" s="32" t="str">
        <f t="shared" si="120"/>
        <v/>
      </c>
      <c r="AA591" t="str">
        <f>IFERROR(MATCH(584,$X$8:$X$407,1),"")</f>
        <v/>
      </c>
      <c r="AB591" t="str">
        <f>IF(584=$AD$1+1,"G",IF($AA591="","",IF(INDEX($Q$8:$Q$407,$AA591)="","",IF(584&gt;INDEX($X$8:$X$407,$AA591)+INDEX($V$8:$V$407,$AA591)+INDEX($W$8:$W$407,$AA591),"",IF(584=INDEX($X$8:$X$407,$AA591)+INDEX($V$8:$V$407,$AA591)+INDEX($W$8:$W$407,$AA591),"D",IF(AND(INDEX($W$8:$W$407,$AA591)=1,584=INDEX($X$8:$X$407,$AA591)+INDEX($V$8:$V$407,$AA591)),"S","R"))))))</f>
        <v/>
      </c>
      <c r="AC591" t="str">
        <f t="shared" si="121"/>
        <v/>
      </c>
    </row>
    <row r="592" spans="1:29" ht="21" customHeight="1" x14ac:dyDescent="0.95">
      <c r="A592" s="3" t="str">
        <f t="shared" si="114"/>
        <v/>
      </c>
      <c r="B592" s="3" t="str">
        <f t="shared" si="115"/>
        <v/>
      </c>
      <c r="C592" s="8" t="str">
        <f t="shared" si="116"/>
        <v/>
      </c>
      <c r="D592" s="31" t="str">
        <f t="shared" si="117"/>
        <v/>
      </c>
      <c r="E592" s="32" t="str">
        <f>IF(585=$AD$1+3,"ขอแสดงความนับถือ",IF(585=$AD$1+6,"(                 )",IF(585=$AD$1+7,"เจ้าหน้าที่ขนส่ง",IF($AB592="G",SUM($AF$8:$AF$407),IF(OR($AB592="",$AB592="R"),"",IF($AB592="D",INDEX($AF$8:$AF$407,$AA592),SUMIF($T$8:$T$407,INDEX($T$8:$T$407,$AA592),$AF$8:$AF$407)))))))</f>
        <v/>
      </c>
      <c r="F592" s="32" t="str">
        <f t="shared" si="118"/>
        <v/>
      </c>
      <c r="G592" s="32" t="str">
        <f t="shared" si="119"/>
        <v/>
      </c>
      <c r="H592" s="32" t="str">
        <f t="shared" si="120"/>
        <v/>
      </c>
      <c r="AA592" t="str">
        <f>IFERROR(MATCH(585,$X$8:$X$407,1),"")</f>
        <v/>
      </c>
      <c r="AB592" t="str">
        <f>IF(585=$AD$1+1,"G",IF($AA592="","",IF(INDEX($Q$8:$Q$407,$AA592)="","",IF(585&gt;INDEX($X$8:$X$407,$AA592)+INDEX($V$8:$V$407,$AA592)+INDEX($W$8:$W$407,$AA592),"",IF(585=INDEX($X$8:$X$407,$AA592)+INDEX($V$8:$V$407,$AA592)+INDEX($W$8:$W$407,$AA592),"D",IF(AND(INDEX($W$8:$W$407,$AA592)=1,585=INDEX($X$8:$X$407,$AA592)+INDEX($V$8:$V$407,$AA592)),"S","R"))))))</f>
        <v/>
      </c>
      <c r="AC592" t="str">
        <f t="shared" si="121"/>
        <v/>
      </c>
    </row>
    <row r="593" spans="1:29" ht="21" customHeight="1" x14ac:dyDescent="0.95">
      <c r="A593" s="3" t="str">
        <f t="shared" si="114"/>
        <v/>
      </c>
      <c r="B593" s="3" t="str">
        <f t="shared" si="115"/>
        <v/>
      </c>
      <c r="C593" s="8" t="str">
        <f t="shared" si="116"/>
        <v/>
      </c>
      <c r="D593" s="31" t="str">
        <f t="shared" si="117"/>
        <v/>
      </c>
      <c r="E593" s="32" t="str">
        <f>IF(586=$AD$1+3,"ขอแสดงความนับถือ",IF(586=$AD$1+6,"(                 )",IF(586=$AD$1+7,"เจ้าหน้าที่ขนส่ง",IF($AB593="G",SUM($AF$8:$AF$407),IF(OR($AB593="",$AB593="R"),"",IF($AB593="D",INDEX($AF$8:$AF$407,$AA593),SUMIF($T$8:$T$407,INDEX($T$8:$T$407,$AA593),$AF$8:$AF$407)))))))</f>
        <v/>
      </c>
      <c r="F593" s="32" t="str">
        <f t="shared" si="118"/>
        <v/>
      </c>
      <c r="G593" s="32" t="str">
        <f t="shared" si="119"/>
        <v/>
      </c>
      <c r="H593" s="32" t="str">
        <f t="shared" si="120"/>
        <v/>
      </c>
      <c r="AA593" t="str">
        <f>IFERROR(MATCH(586,$X$8:$X$407,1),"")</f>
        <v/>
      </c>
      <c r="AB593" t="str">
        <f>IF(586=$AD$1+1,"G",IF($AA593="","",IF(INDEX($Q$8:$Q$407,$AA593)="","",IF(586&gt;INDEX($X$8:$X$407,$AA593)+INDEX($V$8:$V$407,$AA593)+INDEX($W$8:$W$407,$AA593),"",IF(586=INDEX($X$8:$X$407,$AA593)+INDEX($V$8:$V$407,$AA593)+INDEX($W$8:$W$407,$AA593),"D",IF(AND(INDEX($W$8:$W$407,$AA593)=1,586=INDEX($X$8:$X$407,$AA593)+INDEX($V$8:$V$407,$AA593)),"S","R"))))))</f>
        <v/>
      </c>
      <c r="AC593" t="str">
        <f t="shared" si="121"/>
        <v/>
      </c>
    </row>
    <row r="594" spans="1:29" ht="21" customHeight="1" x14ac:dyDescent="0.95">
      <c r="A594" s="3" t="str">
        <f t="shared" si="114"/>
        <v/>
      </c>
      <c r="B594" s="3" t="str">
        <f t="shared" si="115"/>
        <v/>
      </c>
      <c r="C594" s="8" t="str">
        <f t="shared" si="116"/>
        <v/>
      </c>
      <c r="D594" s="31" t="str">
        <f t="shared" si="117"/>
        <v/>
      </c>
      <c r="E594" s="32" t="str">
        <f>IF(587=$AD$1+3,"ขอแสดงความนับถือ",IF(587=$AD$1+6,"(                 )",IF(587=$AD$1+7,"เจ้าหน้าที่ขนส่ง",IF($AB594="G",SUM($AF$8:$AF$407),IF(OR($AB594="",$AB594="R"),"",IF($AB594="D",INDEX($AF$8:$AF$407,$AA594),SUMIF($T$8:$T$407,INDEX($T$8:$T$407,$AA594),$AF$8:$AF$407)))))))</f>
        <v/>
      </c>
      <c r="F594" s="32" t="str">
        <f t="shared" si="118"/>
        <v/>
      </c>
      <c r="G594" s="32" t="str">
        <f t="shared" si="119"/>
        <v/>
      </c>
      <c r="H594" s="32" t="str">
        <f t="shared" si="120"/>
        <v/>
      </c>
      <c r="AA594" t="str">
        <f>IFERROR(MATCH(587,$X$8:$X$407,1),"")</f>
        <v/>
      </c>
      <c r="AB594" t="str">
        <f>IF(587=$AD$1+1,"G",IF($AA594="","",IF(INDEX($Q$8:$Q$407,$AA594)="","",IF(587&gt;INDEX($X$8:$X$407,$AA594)+INDEX($V$8:$V$407,$AA594)+INDEX($W$8:$W$407,$AA594),"",IF(587=INDEX($X$8:$X$407,$AA594)+INDEX($V$8:$V$407,$AA594)+INDEX($W$8:$W$407,$AA594),"D",IF(AND(INDEX($W$8:$W$407,$AA594)=1,587=INDEX($X$8:$X$407,$AA594)+INDEX($V$8:$V$407,$AA594)),"S","R"))))))</f>
        <v/>
      </c>
      <c r="AC594" t="str">
        <f t="shared" si="121"/>
        <v/>
      </c>
    </row>
    <row r="595" spans="1:29" ht="21" customHeight="1" x14ac:dyDescent="0.95">
      <c r="A595" s="3" t="str">
        <f t="shared" si="114"/>
        <v/>
      </c>
      <c r="B595" s="3" t="str">
        <f t="shared" si="115"/>
        <v/>
      </c>
      <c r="C595" s="8" t="str">
        <f t="shared" si="116"/>
        <v/>
      </c>
      <c r="D595" s="31" t="str">
        <f t="shared" si="117"/>
        <v/>
      </c>
      <c r="E595" s="32" t="str">
        <f>IF(588=$AD$1+3,"ขอแสดงความนับถือ",IF(588=$AD$1+6,"(                 )",IF(588=$AD$1+7,"เจ้าหน้าที่ขนส่ง",IF($AB595="G",SUM($AF$8:$AF$407),IF(OR($AB595="",$AB595="R"),"",IF($AB595="D",INDEX($AF$8:$AF$407,$AA595),SUMIF($T$8:$T$407,INDEX($T$8:$T$407,$AA595),$AF$8:$AF$407)))))))</f>
        <v/>
      </c>
      <c r="F595" s="32" t="str">
        <f t="shared" si="118"/>
        <v/>
      </c>
      <c r="G595" s="32" t="str">
        <f t="shared" si="119"/>
        <v/>
      </c>
      <c r="H595" s="32" t="str">
        <f t="shared" si="120"/>
        <v/>
      </c>
      <c r="AA595" t="str">
        <f>IFERROR(MATCH(588,$X$8:$X$407,1),"")</f>
        <v/>
      </c>
      <c r="AB595" t="str">
        <f>IF(588=$AD$1+1,"G",IF($AA595="","",IF(INDEX($Q$8:$Q$407,$AA595)="","",IF(588&gt;INDEX($X$8:$X$407,$AA595)+INDEX($V$8:$V$407,$AA595)+INDEX($W$8:$W$407,$AA595),"",IF(588=INDEX($X$8:$X$407,$AA595)+INDEX($V$8:$V$407,$AA595)+INDEX($W$8:$W$407,$AA595),"D",IF(AND(INDEX($W$8:$W$407,$AA595)=1,588=INDEX($X$8:$X$407,$AA595)+INDEX($V$8:$V$407,$AA595)),"S","R"))))))</f>
        <v/>
      </c>
      <c r="AC595" t="str">
        <f t="shared" si="121"/>
        <v/>
      </c>
    </row>
    <row r="596" spans="1:29" ht="21" customHeight="1" x14ac:dyDescent="0.95">
      <c r="A596" s="3" t="str">
        <f t="shared" si="114"/>
        <v/>
      </c>
      <c r="B596" s="3" t="str">
        <f t="shared" si="115"/>
        <v/>
      </c>
      <c r="C596" s="8" t="str">
        <f t="shared" si="116"/>
        <v/>
      </c>
      <c r="D596" s="31" t="str">
        <f t="shared" si="117"/>
        <v/>
      </c>
      <c r="E596" s="32" t="str">
        <f>IF(589=$AD$1+3,"ขอแสดงความนับถือ",IF(589=$AD$1+6,"(                 )",IF(589=$AD$1+7,"เจ้าหน้าที่ขนส่ง",IF($AB596="G",SUM($AF$8:$AF$407),IF(OR($AB596="",$AB596="R"),"",IF($AB596="D",INDEX($AF$8:$AF$407,$AA596),SUMIF($T$8:$T$407,INDEX($T$8:$T$407,$AA596),$AF$8:$AF$407)))))))</f>
        <v/>
      </c>
      <c r="F596" s="32" t="str">
        <f t="shared" si="118"/>
        <v/>
      </c>
      <c r="G596" s="32" t="str">
        <f t="shared" si="119"/>
        <v/>
      </c>
      <c r="H596" s="32" t="str">
        <f t="shared" si="120"/>
        <v/>
      </c>
      <c r="AA596" t="str">
        <f>IFERROR(MATCH(589,$X$8:$X$407,1),"")</f>
        <v/>
      </c>
      <c r="AB596" t="str">
        <f>IF(589=$AD$1+1,"G",IF($AA596="","",IF(INDEX($Q$8:$Q$407,$AA596)="","",IF(589&gt;INDEX($X$8:$X$407,$AA596)+INDEX($V$8:$V$407,$AA596)+INDEX($W$8:$W$407,$AA596),"",IF(589=INDEX($X$8:$X$407,$AA596)+INDEX($V$8:$V$407,$AA596)+INDEX($W$8:$W$407,$AA596),"D",IF(AND(INDEX($W$8:$W$407,$AA596)=1,589=INDEX($X$8:$X$407,$AA596)+INDEX($V$8:$V$407,$AA596)),"S","R"))))))</f>
        <v/>
      </c>
      <c r="AC596" t="str">
        <f t="shared" si="121"/>
        <v/>
      </c>
    </row>
    <row r="597" spans="1:29" ht="21" customHeight="1" x14ac:dyDescent="0.95">
      <c r="A597" s="3" t="str">
        <f t="shared" si="114"/>
        <v/>
      </c>
      <c r="B597" s="3" t="str">
        <f t="shared" si="115"/>
        <v/>
      </c>
      <c r="C597" s="8" t="str">
        <f t="shared" si="116"/>
        <v/>
      </c>
      <c r="D597" s="31" t="str">
        <f t="shared" si="117"/>
        <v/>
      </c>
      <c r="E597" s="32" t="str">
        <f>IF(590=$AD$1+3,"ขอแสดงความนับถือ",IF(590=$AD$1+6,"(                 )",IF(590=$AD$1+7,"เจ้าหน้าที่ขนส่ง",IF($AB597="G",SUM($AF$8:$AF$407),IF(OR($AB597="",$AB597="R"),"",IF($AB597="D",INDEX($AF$8:$AF$407,$AA597),SUMIF($T$8:$T$407,INDEX($T$8:$T$407,$AA597),$AF$8:$AF$407)))))))</f>
        <v/>
      </c>
      <c r="F597" s="32" t="str">
        <f t="shared" si="118"/>
        <v/>
      </c>
      <c r="G597" s="32" t="str">
        <f t="shared" si="119"/>
        <v/>
      </c>
      <c r="H597" s="32" t="str">
        <f t="shared" si="120"/>
        <v/>
      </c>
      <c r="AA597" t="str">
        <f>IFERROR(MATCH(590,$X$8:$X$407,1),"")</f>
        <v/>
      </c>
      <c r="AB597" t="str">
        <f>IF(590=$AD$1+1,"G",IF($AA597="","",IF(INDEX($Q$8:$Q$407,$AA597)="","",IF(590&gt;INDEX($X$8:$X$407,$AA597)+INDEX($V$8:$V$407,$AA597)+INDEX($W$8:$W$407,$AA597),"",IF(590=INDEX($X$8:$X$407,$AA597)+INDEX($V$8:$V$407,$AA597)+INDEX($W$8:$W$407,$AA597),"D",IF(AND(INDEX($W$8:$W$407,$AA597)=1,590=INDEX($X$8:$X$407,$AA597)+INDEX($V$8:$V$407,$AA597)),"S","R"))))))</f>
        <v/>
      </c>
      <c r="AC597" t="str">
        <f t="shared" si="121"/>
        <v/>
      </c>
    </row>
    <row r="598" spans="1:29" ht="21" customHeight="1" x14ac:dyDescent="0.95">
      <c r="A598" s="3" t="str">
        <f t="shared" si="114"/>
        <v/>
      </c>
      <c r="B598" s="3" t="str">
        <f t="shared" si="115"/>
        <v/>
      </c>
      <c r="C598" s="8" t="str">
        <f t="shared" si="116"/>
        <v/>
      </c>
      <c r="D598" s="31" t="str">
        <f t="shared" si="117"/>
        <v/>
      </c>
      <c r="E598" s="32" t="str">
        <f>IF(591=$AD$1+3,"ขอแสดงความนับถือ",IF(591=$AD$1+6,"(                 )",IF(591=$AD$1+7,"เจ้าหน้าที่ขนส่ง",IF($AB598="G",SUM($AF$8:$AF$407),IF(OR($AB598="",$AB598="R"),"",IF($AB598="D",INDEX($AF$8:$AF$407,$AA598),SUMIF($T$8:$T$407,INDEX($T$8:$T$407,$AA598),$AF$8:$AF$407)))))))</f>
        <v/>
      </c>
      <c r="F598" s="32" t="str">
        <f t="shared" si="118"/>
        <v/>
      </c>
      <c r="G598" s="32" t="str">
        <f t="shared" si="119"/>
        <v/>
      </c>
      <c r="H598" s="32" t="str">
        <f t="shared" si="120"/>
        <v/>
      </c>
      <c r="AA598" t="str">
        <f>IFERROR(MATCH(591,$X$8:$X$407,1),"")</f>
        <v/>
      </c>
      <c r="AB598" t="str">
        <f>IF(591=$AD$1+1,"G",IF($AA598="","",IF(INDEX($Q$8:$Q$407,$AA598)="","",IF(591&gt;INDEX($X$8:$X$407,$AA598)+INDEX($V$8:$V$407,$AA598)+INDEX($W$8:$W$407,$AA598),"",IF(591=INDEX($X$8:$X$407,$AA598)+INDEX($V$8:$V$407,$AA598)+INDEX($W$8:$W$407,$AA598),"D",IF(AND(INDEX($W$8:$W$407,$AA598)=1,591=INDEX($X$8:$X$407,$AA598)+INDEX($V$8:$V$407,$AA598)),"S","R"))))))</f>
        <v/>
      </c>
      <c r="AC598" t="str">
        <f t="shared" si="121"/>
        <v/>
      </c>
    </row>
    <row r="599" spans="1:29" ht="21" customHeight="1" x14ac:dyDescent="0.95">
      <c r="A599" s="3" t="str">
        <f t="shared" si="114"/>
        <v/>
      </c>
      <c r="B599" s="3" t="str">
        <f t="shared" si="115"/>
        <v/>
      </c>
      <c r="C599" s="8" t="str">
        <f t="shared" si="116"/>
        <v/>
      </c>
      <c r="D599" s="31" t="str">
        <f t="shared" si="117"/>
        <v/>
      </c>
      <c r="E599" s="32" t="str">
        <f>IF(592=$AD$1+3,"ขอแสดงความนับถือ",IF(592=$AD$1+6,"(                 )",IF(592=$AD$1+7,"เจ้าหน้าที่ขนส่ง",IF($AB599="G",SUM($AF$8:$AF$407),IF(OR($AB599="",$AB599="R"),"",IF($AB599="D",INDEX($AF$8:$AF$407,$AA599),SUMIF($T$8:$T$407,INDEX($T$8:$T$407,$AA599),$AF$8:$AF$407)))))))</f>
        <v/>
      </c>
      <c r="F599" s="32" t="str">
        <f t="shared" si="118"/>
        <v/>
      </c>
      <c r="G599" s="32" t="str">
        <f t="shared" si="119"/>
        <v/>
      </c>
      <c r="H599" s="32" t="str">
        <f t="shared" si="120"/>
        <v/>
      </c>
      <c r="AA599" t="str">
        <f>IFERROR(MATCH(592,$X$8:$X$407,1),"")</f>
        <v/>
      </c>
      <c r="AB599" t="str">
        <f>IF(592=$AD$1+1,"G",IF($AA599="","",IF(INDEX($Q$8:$Q$407,$AA599)="","",IF(592&gt;INDEX($X$8:$X$407,$AA599)+INDEX($V$8:$V$407,$AA599)+INDEX($W$8:$W$407,$AA599),"",IF(592=INDEX($X$8:$X$407,$AA599)+INDEX($V$8:$V$407,$AA599)+INDEX($W$8:$W$407,$AA599),"D",IF(AND(INDEX($W$8:$W$407,$AA599)=1,592=INDEX($X$8:$X$407,$AA599)+INDEX($V$8:$V$407,$AA599)),"S","R"))))))</f>
        <v/>
      </c>
      <c r="AC599" t="str">
        <f t="shared" si="121"/>
        <v/>
      </c>
    </row>
    <row r="600" spans="1:29" ht="21" customHeight="1" x14ac:dyDescent="0.95">
      <c r="A600" s="3" t="str">
        <f t="shared" si="114"/>
        <v/>
      </c>
      <c r="B600" s="3" t="str">
        <f t="shared" si="115"/>
        <v/>
      </c>
      <c r="C600" s="8" t="str">
        <f t="shared" si="116"/>
        <v/>
      </c>
      <c r="D600" s="31" t="str">
        <f t="shared" si="117"/>
        <v/>
      </c>
      <c r="E600" s="32" t="str">
        <f>IF(593=$AD$1+3,"ขอแสดงความนับถือ",IF(593=$AD$1+6,"(                 )",IF(593=$AD$1+7,"เจ้าหน้าที่ขนส่ง",IF($AB600="G",SUM($AF$8:$AF$407),IF(OR($AB600="",$AB600="R"),"",IF($AB600="D",INDEX($AF$8:$AF$407,$AA600),SUMIF($T$8:$T$407,INDEX($T$8:$T$407,$AA600),$AF$8:$AF$407)))))))</f>
        <v/>
      </c>
      <c r="F600" s="32" t="str">
        <f t="shared" si="118"/>
        <v/>
      </c>
      <c r="G600" s="32" t="str">
        <f t="shared" si="119"/>
        <v/>
      </c>
      <c r="H600" s="32" t="str">
        <f t="shared" si="120"/>
        <v/>
      </c>
      <c r="AA600" t="str">
        <f>IFERROR(MATCH(593,$X$8:$X$407,1),"")</f>
        <v/>
      </c>
      <c r="AB600" t="str">
        <f>IF(593=$AD$1+1,"G",IF($AA600="","",IF(INDEX($Q$8:$Q$407,$AA600)="","",IF(593&gt;INDEX($X$8:$X$407,$AA600)+INDEX($V$8:$V$407,$AA600)+INDEX($W$8:$W$407,$AA600),"",IF(593=INDEX($X$8:$X$407,$AA600)+INDEX($V$8:$V$407,$AA600)+INDEX($W$8:$W$407,$AA600),"D",IF(AND(INDEX($W$8:$W$407,$AA600)=1,593=INDEX($X$8:$X$407,$AA600)+INDEX($V$8:$V$407,$AA600)),"S","R"))))))</f>
        <v/>
      </c>
      <c r="AC600" t="str">
        <f t="shared" si="121"/>
        <v/>
      </c>
    </row>
    <row r="601" spans="1:29" ht="21" customHeight="1" x14ac:dyDescent="0.95">
      <c r="A601" s="3" t="str">
        <f t="shared" si="114"/>
        <v/>
      </c>
      <c r="B601" s="3" t="str">
        <f t="shared" si="115"/>
        <v/>
      </c>
      <c r="C601" s="8" t="str">
        <f t="shared" si="116"/>
        <v/>
      </c>
      <c r="D601" s="31" t="str">
        <f t="shared" si="117"/>
        <v/>
      </c>
      <c r="E601" s="32" t="str">
        <f>IF(594=$AD$1+3,"ขอแสดงความนับถือ",IF(594=$AD$1+6,"(                 )",IF(594=$AD$1+7,"เจ้าหน้าที่ขนส่ง",IF($AB601="G",SUM($AF$8:$AF$407),IF(OR($AB601="",$AB601="R"),"",IF($AB601="D",INDEX($AF$8:$AF$407,$AA601),SUMIF($T$8:$T$407,INDEX($T$8:$T$407,$AA601),$AF$8:$AF$407)))))))</f>
        <v/>
      </c>
      <c r="F601" s="32" t="str">
        <f t="shared" si="118"/>
        <v/>
      </c>
      <c r="G601" s="32" t="str">
        <f t="shared" si="119"/>
        <v/>
      </c>
      <c r="H601" s="32" t="str">
        <f t="shared" si="120"/>
        <v/>
      </c>
      <c r="AA601" t="str">
        <f>IFERROR(MATCH(594,$X$8:$X$407,1),"")</f>
        <v/>
      </c>
      <c r="AB601" t="str">
        <f>IF(594=$AD$1+1,"G",IF($AA601="","",IF(INDEX($Q$8:$Q$407,$AA601)="","",IF(594&gt;INDEX($X$8:$X$407,$AA601)+INDEX($V$8:$V$407,$AA601)+INDEX($W$8:$W$407,$AA601),"",IF(594=INDEX($X$8:$X$407,$AA601)+INDEX($V$8:$V$407,$AA601)+INDEX($W$8:$W$407,$AA601),"D",IF(AND(INDEX($W$8:$W$407,$AA601)=1,594=INDEX($X$8:$X$407,$AA601)+INDEX($V$8:$V$407,$AA601)),"S","R"))))))</f>
        <v/>
      </c>
      <c r="AC601" t="str">
        <f t="shared" si="121"/>
        <v/>
      </c>
    </row>
    <row r="602" spans="1:29" ht="21" customHeight="1" x14ac:dyDescent="0.95">
      <c r="A602" s="3" t="str">
        <f t="shared" si="114"/>
        <v/>
      </c>
      <c r="B602" s="3" t="str">
        <f t="shared" si="115"/>
        <v/>
      </c>
      <c r="C602" s="8" t="str">
        <f t="shared" si="116"/>
        <v/>
      </c>
      <c r="D602" s="31" t="str">
        <f t="shared" si="117"/>
        <v/>
      </c>
      <c r="E602" s="32" t="str">
        <f>IF(595=$AD$1+3,"ขอแสดงความนับถือ",IF(595=$AD$1+6,"(                 )",IF(595=$AD$1+7,"เจ้าหน้าที่ขนส่ง",IF($AB602="G",SUM($AF$8:$AF$407),IF(OR($AB602="",$AB602="R"),"",IF($AB602="D",INDEX($AF$8:$AF$407,$AA602),SUMIF($T$8:$T$407,INDEX($T$8:$T$407,$AA602),$AF$8:$AF$407)))))))</f>
        <v/>
      </c>
      <c r="F602" s="32" t="str">
        <f t="shared" si="118"/>
        <v/>
      </c>
      <c r="G602" s="32" t="str">
        <f t="shared" si="119"/>
        <v/>
      </c>
      <c r="H602" s="32" t="str">
        <f t="shared" si="120"/>
        <v/>
      </c>
      <c r="AA602" t="str">
        <f>IFERROR(MATCH(595,$X$8:$X$407,1),"")</f>
        <v/>
      </c>
      <c r="AB602" t="str">
        <f>IF(595=$AD$1+1,"G",IF($AA602="","",IF(INDEX($Q$8:$Q$407,$AA602)="","",IF(595&gt;INDEX($X$8:$X$407,$AA602)+INDEX($V$8:$V$407,$AA602)+INDEX($W$8:$W$407,$AA602),"",IF(595=INDEX($X$8:$X$407,$AA602)+INDEX($V$8:$V$407,$AA602)+INDEX($W$8:$W$407,$AA602),"D",IF(AND(INDEX($W$8:$W$407,$AA602)=1,595=INDEX($X$8:$X$407,$AA602)+INDEX($V$8:$V$407,$AA602)),"S","R"))))))</f>
        <v/>
      </c>
      <c r="AC602" t="str">
        <f t="shared" si="121"/>
        <v/>
      </c>
    </row>
    <row r="603" spans="1:29" ht="21" customHeight="1" x14ac:dyDescent="0.95">
      <c r="A603" s="3" t="str">
        <f t="shared" si="114"/>
        <v/>
      </c>
      <c r="B603" s="3" t="str">
        <f t="shared" si="115"/>
        <v/>
      </c>
      <c r="C603" s="8" t="str">
        <f t="shared" si="116"/>
        <v/>
      </c>
      <c r="D603" s="31" t="str">
        <f t="shared" si="117"/>
        <v/>
      </c>
      <c r="E603" s="32" t="str">
        <f>IF(596=$AD$1+3,"ขอแสดงความนับถือ",IF(596=$AD$1+6,"(                 )",IF(596=$AD$1+7,"เจ้าหน้าที่ขนส่ง",IF($AB603="G",SUM($AF$8:$AF$407),IF(OR($AB603="",$AB603="R"),"",IF($AB603="D",INDEX($AF$8:$AF$407,$AA603),SUMIF($T$8:$T$407,INDEX($T$8:$T$407,$AA603),$AF$8:$AF$407)))))))</f>
        <v/>
      </c>
      <c r="F603" s="32" t="str">
        <f t="shared" si="118"/>
        <v/>
      </c>
      <c r="G603" s="32" t="str">
        <f t="shared" si="119"/>
        <v/>
      </c>
      <c r="H603" s="32" t="str">
        <f t="shared" si="120"/>
        <v/>
      </c>
      <c r="AA603" t="str">
        <f>IFERROR(MATCH(596,$X$8:$X$407,1),"")</f>
        <v/>
      </c>
      <c r="AB603" t="str">
        <f>IF(596=$AD$1+1,"G",IF($AA603="","",IF(INDEX($Q$8:$Q$407,$AA603)="","",IF(596&gt;INDEX($X$8:$X$407,$AA603)+INDEX($V$8:$V$407,$AA603)+INDEX($W$8:$W$407,$AA603),"",IF(596=INDEX($X$8:$X$407,$AA603)+INDEX($V$8:$V$407,$AA603)+INDEX($W$8:$W$407,$AA603),"D",IF(AND(INDEX($W$8:$W$407,$AA603)=1,596=INDEX($X$8:$X$407,$AA603)+INDEX($V$8:$V$407,$AA603)),"S","R"))))))</f>
        <v/>
      </c>
      <c r="AC603" t="str">
        <f t="shared" si="121"/>
        <v/>
      </c>
    </row>
    <row r="604" spans="1:29" ht="21" customHeight="1" x14ac:dyDescent="0.95">
      <c r="A604" s="3" t="str">
        <f t="shared" si="114"/>
        <v/>
      </c>
      <c r="B604" s="3" t="str">
        <f t="shared" si="115"/>
        <v/>
      </c>
      <c r="C604" s="8" t="str">
        <f t="shared" si="116"/>
        <v/>
      </c>
      <c r="D604" s="31" t="str">
        <f t="shared" si="117"/>
        <v/>
      </c>
      <c r="E604" s="32" t="str">
        <f>IF(597=$AD$1+3,"ขอแสดงความนับถือ",IF(597=$AD$1+6,"(                 )",IF(597=$AD$1+7,"เจ้าหน้าที่ขนส่ง",IF($AB604="G",SUM($AF$8:$AF$407),IF(OR($AB604="",$AB604="R"),"",IF($AB604="D",INDEX($AF$8:$AF$407,$AA604),SUMIF($T$8:$T$407,INDEX($T$8:$T$407,$AA604),$AF$8:$AF$407)))))))</f>
        <v/>
      </c>
      <c r="F604" s="32" t="str">
        <f t="shared" si="118"/>
        <v/>
      </c>
      <c r="G604" s="32" t="str">
        <f t="shared" si="119"/>
        <v/>
      </c>
      <c r="H604" s="32" t="str">
        <f t="shared" si="120"/>
        <v/>
      </c>
      <c r="AA604" t="str">
        <f>IFERROR(MATCH(597,$X$8:$X$407,1),"")</f>
        <v/>
      </c>
      <c r="AB604" t="str">
        <f>IF(597=$AD$1+1,"G",IF($AA604="","",IF(INDEX($Q$8:$Q$407,$AA604)="","",IF(597&gt;INDEX($X$8:$X$407,$AA604)+INDEX($V$8:$V$407,$AA604)+INDEX($W$8:$W$407,$AA604),"",IF(597=INDEX($X$8:$X$407,$AA604)+INDEX($V$8:$V$407,$AA604)+INDEX($W$8:$W$407,$AA604),"D",IF(AND(INDEX($W$8:$W$407,$AA604)=1,597=INDEX($X$8:$X$407,$AA604)+INDEX($V$8:$V$407,$AA604)),"S","R"))))))</f>
        <v/>
      </c>
      <c r="AC604" t="str">
        <f t="shared" si="121"/>
        <v/>
      </c>
    </row>
    <row r="605" spans="1:29" ht="21" customHeight="1" x14ac:dyDescent="0.95">
      <c r="A605" s="3" t="str">
        <f t="shared" si="114"/>
        <v/>
      </c>
      <c r="B605" s="3" t="str">
        <f t="shared" si="115"/>
        <v/>
      </c>
      <c r="C605" s="8" t="str">
        <f t="shared" si="116"/>
        <v/>
      </c>
      <c r="D605" s="31" t="str">
        <f t="shared" si="117"/>
        <v/>
      </c>
      <c r="E605" s="32" t="str">
        <f>IF(598=$AD$1+3,"ขอแสดงความนับถือ",IF(598=$AD$1+6,"(                 )",IF(598=$AD$1+7,"เจ้าหน้าที่ขนส่ง",IF($AB605="G",SUM($AF$8:$AF$407),IF(OR($AB605="",$AB605="R"),"",IF($AB605="D",INDEX($AF$8:$AF$407,$AA605),SUMIF($T$8:$T$407,INDEX($T$8:$T$407,$AA605),$AF$8:$AF$407)))))))</f>
        <v/>
      </c>
      <c r="F605" s="32" t="str">
        <f t="shared" si="118"/>
        <v/>
      </c>
      <c r="G605" s="32" t="str">
        <f t="shared" si="119"/>
        <v/>
      </c>
      <c r="H605" s="32" t="str">
        <f t="shared" si="120"/>
        <v/>
      </c>
      <c r="AA605" t="str">
        <f>IFERROR(MATCH(598,$X$8:$X$407,1),"")</f>
        <v/>
      </c>
      <c r="AB605" t="str">
        <f>IF(598=$AD$1+1,"G",IF($AA605="","",IF(INDEX($Q$8:$Q$407,$AA605)="","",IF(598&gt;INDEX($X$8:$X$407,$AA605)+INDEX($V$8:$V$407,$AA605)+INDEX($W$8:$W$407,$AA605),"",IF(598=INDEX($X$8:$X$407,$AA605)+INDEX($V$8:$V$407,$AA605)+INDEX($W$8:$W$407,$AA605),"D",IF(AND(INDEX($W$8:$W$407,$AA605)=1,598=INDEX($X$8:$X$407,$AA605)+INDEX($V$8:$V$407,$AA605)),"S","R"))))))</f>
        <v/>
      </c>
      <c r="AC605" t="str">
        <f t="shared" si="121"/>
        <v/>
      </c>
    </row>
    <row r="606" spans="1:29" ht="21" customHeight="1" x14ac:dyDescent="0.95">
      <c r="A606" s="3" t="str">
        <f t="shared" si="114"/>
        <v/>
      </c>
      <c r="B606" s="3" t="str">
        <f t="shared" si="115"/>
        <v/>
      </c>
      <c r="C606" s="8" t="str">
        <f t="shared" si="116"/>
        <v/>
      </c>
      <c r="D606" s="31" t="str">
        <f t="shared" si="117"/>
        <v/>
      </c>
      <c r="E606" s="32" t="str">
        <f>IF(599=$AD$1+3,"ขอแสดงความนับถือ",IF(599=$AD$1+6,"(                 )",IF(599=$AD$1+7,"เจ้าหน้าที่ขนส่ง",IF($AB606="G",SUM($AF$8:$AF$407),IF(OR($AB606="",$AB606="R"),"",IF($AB606="D",INDEX($AF$8:$AF$407,$AA606),SUMIF($T$8:$T$407,INDEX($T$8:$T$407,$AA606),$AF$8:$AF$407)))))))</f>
        <v/>
      </c>
      <c r="F606" s="32" t="str">
        <f t="shared" si="118"/>
        <v/>
      </c>
      <c r="G606" s="32" t="str">
        <f t="shared" si="119"/>
        <v/>
      </c>
      <c r="H606" s="32" t="str">
        <f t="shared" si="120"/>
        <v/>
      </c>
      <c r="AA606" t="str">
        <f>IFERROR(MATCH(599,$X$8:$X$407,1),"")</f>
        <v/>
      </c>
      <c r="AB606" t="str">
        <f>IF(599=$AD$1+1,"G",IF($AA606="","",IF(INDEX($Q$8:$Q$407,$AA606)="","",IF(599&gt;INDEX($X$8:$X$407,$AA606)+INDEX($V$8:$V$407,$AA606)+INDEX($W$8:$W$407,$AA606),"",IF(599=INDEX($X$8:$X$407,$AA606)+INDEX($V$8:$V$407,$AA606)+INDEX($W$8:$W$407,$AA606),"D",IF(AND(INDEX($W$8:$W$407,$AA606)=1,599=INDEX($X$8:$X$407,$AA606)+INDEX($V$8:$V$407,$AA606)),"S","R"))))))</f>
        <v/>
      </c>
      <c r="AC606" t="str">
        <f t="shared" si="121"/>
        <v/>
      </c>
    </row>
    <row r="607" spans="1:29" ht="21" customHeight="1" x14ac:dyDescent="0.95">
      <c r="A607" s="3" t="str">
        <f t="shared" si="114"/>
        <v/>
      </c>
      <c r="B607" s="3" t="str">
        <f t="shared" si="115"/>
        <v/>
      </c>
      <c r="C607" s="8" t="str">
        <f t="shared" si="116"/>
        <v/>
      </c>
      <c r="D607" s="31" t="str">
        <f t="shared" si="117"/>
        <v/>
      </c>
      <c r="E607" s="32" t="str">
        <f>IF(600=$AD$1+3,"ขอแสดงความนับถือ",IF(600=$AD$1+6,"(                 )",IF(600=$AD$1+7,"เจ้าหน้าที่ขนส่ง",IF($AB607="G",SUM($AF$8:$AF$407),IF(OR($AB607="",$AB607="R"),"",IF($AB607="D",INDEX($AF$8:$AF$407,$AA607),SUMIF($T$8:$T$407,INDEX($T$8:$T$407,$AA607),$AF$8:$AF$407)))))))</f>
        <v/>
      </c>
      <c r="F607" s="32" t="str">
        <f t="shared" si="118"/>
        <v/>
      </c>
      <c r="G607" s="32" t="str">
        <f t="shared" si="119"/>
        <v/>
      </c>
      <c r="H607" s="32" t="str">
        <f t="shared" si="120"/>
        <v/>
      </c>
      <c r="AA607" t="str">
        <f>IFERROR(MATCH(600,$X$8:$X$407,1),"")</f>
        <v/>
      </c>
      <c r="AB607" t="str">
        <f>IF(600=$AD$1+1,"G",IF($AA607="","",IF(INDEX($Q$8:$Q$407,$AA607)="","",IF(600&gt;INDEX($X$8:$X$407,$AA607)+INDEX($V$8:$V$407,$AA607)+INDEX($W$8:$W$407,$AA607),"",IF(600=INDEX($X$8:$X$407,$AA607)+INDEX($V$8:$V$407,$AA607)+INDEX($W$8:$W$407,$AA607),"D",IF(AND(INDEX($W$8:$W$407,$AA607)=1,600=INDEX($X$8:$X$407,$AA607)+INDEX($V$8:$V$407,$AA607)),"S","R"))))))</f>
        <v/>
      </c>
      <c r="AC607" t="str">
        <f t="shared" si="121"/>
        <v/>
      </c>
    </row>
    <row r="608" spans="1:29" ht="21" customHeight="1" x14ac:dyDescent="0.95">
      <c r="A608" s="3" t="str">
        <f t="shared" si="114"/>
        <v/>
      </c>
      <c r="B608" s="3" t="str">
        <f t="shared" si="115"/>
        <v/>
      </c>
      <c r="C608" s="8" t="str">
        <f t="shared" si="116"/>
        <v/>
      </c>
      <c r="D608" s="31" t="str">
        <f t="shared" si="117"/>
        <v/>
      </c>
      <c r="E608" s="32" t="str">
        <f>IF(601=$AD$1+3,"ขอแสดงความนับถือ",IF(601=$AD$1+6,"(                 )",IF(601=$AD$1+7,"เจ้าหน้าที่ขนส่ง",IF($AB608="G",SUM($AF$8:$AF$407),IF(OR($AB608="",$AB608="R"),"",IF($AB608="D",INDEX($AF$8:$AF$407,$AA608),SUMIF($T$8:$T$407,INDEX($T$8:$T$407,$AA608),$AF$8:$AF$407)))))))</f>
        <v/>
      </c>
      <c r="F608" s="32" t="str">
        <f t="shared" si="118"/>
        <v/>
      </c>
      <c r="G608" s="32" t="str">
        <f t="shared" si="119"/>
        <v/>
      </c>
      <c r="H608" s="32" t="str">
        <f t="shared" si="120"/>
        <v/>
      </c>
      <c r="AA608" t="str">
        <f>IFERROR(MATCH(601,$X$8:$X$407,1),"")</f>
        <v/>
      </c>
      <c r="AB608" t="str">
        <f>IF(601=$AD$1+1,"G",IF($AA608="","",IF(INDEX($Q$8:$Q$407,$AA608)="","",IF(601&gt;INDEX($X$8:$X$407,$AA608)+INDEX($V$8:$V$407,$AA608)+INDEX($W$8:$W$407,$AA608),"",IF(601=INDEX($X$8:$X$407,$AA608)+INDEX($V$8:$V$407,$AA608)+INDEX($W$8:$W$407,$AA608),"D",IF(AND(INDEX($W$8:$W$407,$AA608)=1,601=INDEX($X$8:$X$407,$AA608)+INDEX($V$8:$V$407,$AA608)),"S","R"))))))</f>
        <v/>
      </c>
      <c r="AC608" t="str">
        <f t="shared" si="121"/>
        <v/>
      </c>
    </row>
    <row r="609" spans="1:29" ht="21" customHeight="1" x14ac:dyDescent="0.95">
      <c r="A609" s="3" t="str">
        <f t="shared" si="114"/>
        <v/>
      </c>
      <c r="B609" s="3" t="str">
        <f t="shared" si="115"/>
        <v/>
      </c>
      <c r="C609" s="8" t="str">
        <f t="shared" si="116"/>
        <v/>
      </c>
      <c r="D609" s="31" t="str">
        <f t="shared" si="117"/>
        <v/>
      </c>
      <c r="E609" s="32" t="str">
        <f>IF(602=$AD$1+3,"ขอแสดงความนับถือ",IF(602=$AD$1+6,"(                 )",IF(602=$AD$1+7,"เจ้าหน้าที่ขนส่ง",IF($AB609="G",SUM($AF$8:$AF$407),IF(OR($AB609="",$AB609="R"),"",IF($AB609="D",INDEX($AF$8:$AF$407,$AA609),SUMIF($T$8:$T$407,INDEX($T$8:$T$407,$AA609),$AF$8:$AF$407)))))))</f>
        <v/>
      </c>
      <c r="F609" s="32" t="str">
        <f t="shared" si="118"/>
        <v/>
      </c>
      <c r="G609" s="32" t="str">
        <f t="shared" si="119"/>
        <v/>
      </c>
      <c r="H609" s="32" t="str">
        <f t="shared" si="120"/>
        <v/>
      </c>
      <c r="AA609" t="str">
        <f>IFERROR(MATCH(602,$X$8:$X$407,1),"")</f>
        <v/>
      </c>
      <c r="AB609" t="str">
        <f>IF(602=$AD$1+1,"G",IF($AA609="","",IF(INDEX($Q$8:$Q$407,$AA609)="","",IF(602&gt;INDEX($X$8:$X$407,$AA609)+INDEX($V$8:$V$407,$AA609)+INDEX($W$8:$W$407,$AA609),"",IF(602=INDEX($X$8:$X$407,$AA609)+INDEX($V$8:$V$407,$AA609)+INDEX($W$8:$W$407,$AA609),"D",IF(AND(INDEX($W$8:$W$407,$AA609)=1,602=INDEX($X$8:$X$407,$AA609)+INDEX($V$8:$V$407,$AA609)),"S","R"))))))</f>
        <v/>
      </c>
      <c r="AC609" t="str">
        <f t="shared" si="121"/>
        <v/>
      </c>
    </row>
    <row r="610" spans="1:29" ht="21" customHeight="1" x14ac:dyDescent="0.95">
      <c r="A610" s="3" t="str">
        <f t="shared" si="114"/>
        <v/>
      </c>
      <c r="B610" s="3" t="str">
        <f t="shared" si="115"/>
        <v/>
      </c>
      <c r="C610" s="8" t="str">
        <f t="shared" si="116"/>
        <v/>
      </c>
      <c r="D610" s="31" t="str">
        <f t="shared" si="117"/>
        <v/>
      </c>
      <c r="E610" s="32" t="str">
        <f>IF(603=$AD$1+3,"ขอแสดงความนับถือ",IF(603=$AD$1+6,"(                 )",IF(603=$AD$1+7,"เจ้าหน้าที่ขนส่ง",IF($AB610="G",SUM($AF$8:$AF$407),IF(OR($AB610="",$AB610="R"),"",IF($AB610="D",INDEX($AF$8:$AF$407,$AA610),SUMIF($T$8:$T$407,INDEX($T$8:$T$407,$AA610),$AF$8:$AF$407)))))))</f>
        <v/>
      </c>
      <c r="F610" s="32" t="str">
        <f t="shared" si="118"/>
        <v/>
      </c>
      <c r="G610" s="32" t="str">
        <f t="shared" si="119"/>
        <v/>
      </c>
      <c r="H610" s="32" t="str">
        <f t="shared" si="120"/>
        <v/>
      </c>
      <c r="AA610" t="str">
        <f>IFERROR(MATCH(603,$X$8:$X$407,1),"")</f>
        <v/>
      </c>
      <c r="AB610" t="str">
        <f>IF(603=$AD$1+1,"G",IF($AA610="","",IF(INDEX($Q$8:$Q$407,$AA610)="","",IF(603&gt;INDEX($X$8:$X$407,$AA610)+INDEX($V$8:$V$407,$AA610)+INDEX($W$8:$W$407,$AA610),"",IF(603=INDEX($X$8:$X$407,$AA610)+INDEX($V$8:$V$407,$AA610)+INDEX($W$8:$W$407,$AA610),"D",IF(AND(INDEX($W$8:$W$407,$AA610)=1,603=INDEX($X$8:$X$407,$AA610)+INDEX($V$8:$V$407,$AA610)),"S","R"))))))</f>
        <v/>
      </c>
      <c r="AC610" t="str">
        <f t="shared" si="121"/>
        <v/>
      </c>
    </row>
    <row r="611" spans="1:29" ht="21" customHeight="1" x14ac:dyDescent="0.95">
      <c r="A611" s="3" t="str">
        <f t="shared" si="114"/>
        <v/>
      </c>
      <c r="B611" s="3" t="str">
        <f t="shared" si="115"/>
        <v/>
      </c>
      <c r="C611" s="8" t="str">
        <f t="shared" si="116"/>
        <v/>
      </c>
      <c r="D611" s="31" t="str">
        <f t="shared" si="117"/>
        <v/>
      </c>
      <c r="E611" s="32" t="str">
        <f>IF(604=$AD$1+3,"ขอแสดงความนับถือ",IF(604=$AD$1+6,"(                 )",IF(604=$AD$1+7,"เจ้าหน้าที่ขนส่ง",IF($AB611="G",SUM($AF$8:$AF$407),IF(OR($AB611="",$AB611="R"),"",IF($AB611="D",INDEX($AF$8:$AF$407,$AA611),SUMIF($T$8:$T$407,INDEX($T$8:$T$407,$AA611),$AF$8:$AF$407)))))))</f>
        <v/>
      </c>
      <c r="F611" s="32" t="str">
        <f t="shared" si="118"/>
        <v/>
      </c>
      <c r="G611" s="32" t="str">
        <f t="shared" si="119"/>
        <v/>
      </c>
      <c r="H611" s="32" t="str">
        <f t="shared" si="120"/>
        <v/>
      </c>
      <c r="AA611" t="str">
        <f>IFERROR(MATCH(604,$X$8:$X$407,1),"")</f>
        <v/>
      </c>
      <c r="AB611" t="str">
        <f>IF(604=$AD$1+1,"G",IF($AA611="","",IF(INDEX($Q$8:$Q$407,$AA611)="","",IF(604&gt;INDEX($X$8:$X$407,$AA611)+INDEX($V$8:$V$407,$AA611)+INDEX($W$8:$W$407,$AA611),"",IF(604=INDEX($X$8:$X$407,$AA611)+INDEX($V$8:$V$407,$AA611)+INDEX($W$8:$W$407,$AA611),"D",IF(AND(INDEX($W$8:$W$407,$AA611)=1,604=INDEX($X$8:$X$407,$AA611)+INDEX($V$8:$V$407,$AA611)),"S","R"))))))</f>
        <v/>
      </c>
      <c r="AC611" t="str">
        <f t="shared" si="121"/>
        <v/>
      </c>
    </row>
    <row r="612" spans="1:29" ht="21" customHeight="1" x14ac:dyDescent="0.95">
      <c r="A612" s="3" t="str">
        <f t="shared" si="114"/>
        <v/>
      </c>
      <c r="B612" s="3" t="str">
        <f t="shared" si="115"/>
        <v/>
      </c>
      <c r="C612" s="8" t="str">
        <f t="shared" si="116"/>
        <v/>
      </c>
      <c r="D612" s="31" t="str">
        <f t="shared" si="117"/>
        <v/>
      </c>
      <c r="E612" s="32" t="str">
        <f>IF(605=$AD$1+3,"ขอแสดงความนับถือ",IF(605=$AD$1+6,"(                 )",IF(605=$AD$1+7,"เจ้าหน้าที่ขนส่ง",IF($AB612="G",SUM($AF$8:$AF$407),IF(OR($AB612="",$AB612="R"),"",IF($AB612="D",INDEX($AF$8:$AF$407,$AA612),SUMIF($T$8:$T$407,INDEX($T$8:$T$407,$AA612),$AF$8:$AF$407)))))))</f>
        <v/>
      </c>
      <c r="F612" s="32" t="str">
        <f t="shared" si="118"/>
        <v/>
      </c>
      <c r="G612" s="32" t="str">
        <f t="shared" si="119"/>
        <v/>
      </c>
      <c r="H612" s="32" t="str">
        <f t="shared" si="120"/>
        <v/>
      </c>
      <c r="AA612" t="str">
        <f>IFERROR(MATCH(605,$X$8:$X$407,1),"")</f>
        <v/>
      </c>
      <c r="AB612" t="str">
        <f>IF(605=$AD$1+1,"G",IF($AA612="","",IF(INDEX($Q$8:$Q$407,$AA612)="","",IF(605&gt;INDEX($X$8:$X$407,$AA612)+INDEX($V$8:$V$407,$AA612)+INDEX($W$8:$W$407,$AA612),"",IF(605=INDEX($X$8:$X$407,$AA612)+INDEX($V$8:$V$407,$AA612)+INDEX($W$8:$W$407,$AA612),"D",IF(AND(INDEX($W$8:$W$407,$AA612)=1,605=INDEX($X$8:$X$407,$AA612)+INDEX($V$8:$V$407,$AA612)),"S","R"))))))</f>
        <v/>
      </c>
      <c r="AC612" t="str">
        <f t="shared" si="121"/>
        <v/>
      </c>
    </row>
    <row r="613" spans="1:29" ht="21" customHeight="1" x14ac:dyDescent="0.95">
      <c r="A613" s="3" t="str">
        <f t="shared" si="114"/>
        <v/>
      </c>
      <c r="B613" s="3" t="str">
        <f t="shared" si="115"/>
        <v/>
      </c>
      <c r="C613" s="8" t="str">
        <f t="shared" si="116"/>
        <v/>
      </c>
      <c r="D613" s="31" t="str">
        <f t="shared" si="117"/>
        <v/>
      </c>
      <c r="E613" s="32" t="str">
        <f>IF(606=$AD$1+3,"ขอแสดงความนับถือ",IF(606=$AD$1+6,"(                 )",IF(606=$AD$1+7,"เจ้าหน้าที่ขนส่ง",IF($AB613="G",SUM($AF$8:$AF$407),IF(OR($AB613="",$AB613="R"),"",IF($AB613="D",INDEX($AF$8:$AF$407,$AA613),SUMIF($T$8:$T$407,INDEX($T$8:$T$407,$AA613),$AF$8:$AF$407)))))))</f>
        <v/>
      </c>
      <c r="F613" s="32" t="str">
        <f t="shared" si="118"/>
        <v/>
      </c>
      <c r="G613" s="32" t="str">
        <f t="shared" si="119"/>
        <v/>
      </c>
      <c r="H613" s="32" t="str">
        <f t="shared" si="120"/>
        <v/>
      </c>
      <c r="AA613" t="str">
        <f>IFERROR(MATCH(606,$X$8:$X$407,1),"")</f>
        <v/>
      </c>
      <c r="AB613" t="str">
        <f>IF(606=$AD$1+1,"G",IF($AA613="","",IF(INDEX($Q$8:$Q$407,$AA613)="","",IF(606&gt;INDEX($X$8:$X$407,$AA613)+INDEX($V$8:$V$407,$AA613)+INDEX($W$8:$W$407,$AA613),"",IF(606=INDEX($X$8:$X$407,$AA613)+INDEX($V$8:$V$407,$AA613)+INDEX($W$8:$W$407,$AA613),"D",IF(AND(INDEX($W$8:$W$407,$AA613)=1,606=INDEX($X$8:$X$407,$AA613)+INDEX($V$8:$V$407,$AA613)),"S","R"))))))</f>
        <v/>
      </c>
      <c r="AC613" t="str">
        <f t="shared" si="121"/>
        <v/>
      </c>
    </row>
    <row r="614" spans="1:29" ht="21" customHeight="1" x14ac:dyDescent="0.95">
      <c r="A614" s="3" t="str">
        <f t="shared" si="114"/>
        <v/>
      </c>
      <c r="B614" s="3" t="str">
        <f t="shared" si="115"/>
        <v/>
      </c>
      <c r="C614" s="8" t="str">
        <f t="shared" si="116"/>
        <v/>
      </c>
      <c r="D614" s="31" t="str">
        <f t="shared" si="117"/>
        <v/>
      </c>
      <c r="E614" s="32" t="str">
        <f>IF(607=$AD$1+3,"ขอแสดงความนับถือ",IF(607=$AD$1+6,"(                 )",IF(607=$AD$1+7,"เจ้าหน้าที่ขนส่ง",IF($AB614="G",SUM($AF$8:$AF$407),IF(OR($AB614="",$AB614="R"),"",IF($AB614="D",INDEX($AF$8:$AF$407,$AA614),SUMIF($T$8:$T$407,INDEX($T$8:$T$407,$AA614),$AF$8:$AF$407)))))))</f>
        <v/>
      </c>
      <c r="F614" s="32" t="str">
        <f t="shared" si="118"/>
        <v/>
      </c>
      <c r="G614" s="32" t="str">
        <f t="shared" si="119"/>
        <v/>
      </c>
      <c r="H614" s="32" t="str">
        <f t="shared" si="120"/>
        <v/>
      </c>
      <c r="AA614" t="str">
        <f>IFERROR(MATCH(607,$X$8:$X$407,1),"")</f>
        <v/>
      </c>
      <c r="AB614" t="str">
        <f>IF(607=$AD$1+1,"G",IF($AA614="","",IF(INDEX($Q$8:$Q$407,$AA614)="","",IF(607&gt;INDEX($X$8:$X$407,$AA614)+INDEX($V$8:$V$407,$AA614)+INDEX($W$8:$W$407,$AA614),"",IF(607=INDEX($X$8:$X$407,$AA614)+INDEX($V$8:$V$407,$AA614)+INDEX($W$8:$W$407,$AA614),"D",IF(AND(INDEX($W$8:$W$407,$AA614)=1,607=INDEX($X$8:$X$407,$AA614)+INDEX($V$8:$V$407,$AA614)),"S","R"))))))</f>
        <v/>
      </c>
      <c r="AC614" t="str">
        <f t="shared" si="121"/>
        <v/>
      </c>
    </row>
    <row r="615" spans="1:29" ht="21" customHeight="1" x14ac:dyDescent="0.95">
      <c r="A615" s="3" t="str">
        <f t="shared" si="114"/>
        <v/>
      </c>
      <c r="B615" s="3" t="str">
        <f t="shared" si="115"/>
        <v/>
      </c>
      <c r="C615" s="8" t="str">
        <f t="shared" si="116"/>
        <v/>
      </c>
      <c r="D615" s="31" t="str">
        <f t="shared" si="117"/>
        <v/>
      </c>
      <c r="E615" s="32" t="str">
        <f>IF(608=$AD$1+3,"ขอแสดงความนับถือ",IF(608=$AD$1+6,"(                 )",IF(608=$AD$1+7,"เจ้าหน้าที่ขนส่ง",IF($AB615="G",SUM($AF$8:$AF$407),IF(OR($AB615="",$AB615="R"),"",IF($AB615="D",INDEX($AF$8:$AF$407,$AA615),SUMIF($T$8:$T$407,INDEX($T$8:$T$407,$AA615),$AF$8:$AF$407)))))))</f>
        <v/>
      </c>
      <c r="F615" s="32" t="str">
        <f t="shared" si="118"/>
        <v/>
      </c>
      <c r="G615" s="32" t="str">
        <f t="shared" si="119"/>
        <v/>
      </c>
      <c r="H615" s="32" t="str">
        <f t="shared" si="120"/>
        <v/>
      </c>
      <c r="AA615" t="str">
        <f>IFERROR(MATCH(608,$X$8:$X$407,1),"")</f>
        <v/>
      </c>
      <c r="AB615" t="str">
        <f>IF(608=$AD$1+1,"G",IF($AA615="","",IF(INDEX($Q$8:$Q$407,$AA615)="","",IF(608&gt;INDEX($X$8:$X$407,$AA615)+INDEX($V$8:$V$407,$AA615)+INDEX($W$8:$W$407,$AA615),"",IF(608=INDEX($X$8:$X$407,$AA615)+INDEX($V$8:$V$407,$AA615)+INDEX($W$8:$W$407,$AA615),"D",IF(AND(INDEX($W$8:$W$407,$AA615)=1,608=INDEX($X$8:$X$407,$AA615)+INDEX($V$8:$V$407,$AA615)),"S","R"))))))</f>
        <v/>
      </c>
      <c r="AC615" t="str">
        <f t="shared" si="121"/>
        <v/>
      </c>
    </row>
    <row r="616" spans="1:29" ht="21" customHeight="1" x14ac:dyDescent="0.95">
      <c r="A616" s="3" t="str">
        <f t="shared" si="114"/>
        <v/>
      </c>
      <c r="B616" s="3" t="str">
        <f t="shared" si="115"/>
        <v/>
      </c>
      <c r="C616" s="8" t="str">
        <f t="shared" si="116"/>
        <v/>
      </c>
      <c r="D616" s="31" t="str">
        <f t="shared" si="117"/>
        <v/>
      </c>
      <c r="E616" s="32" t="str">
        <f>IF(609=$AD$1+3,"ขอแสดงความนับถือ",IF(609=$AD$1+6,"(                 )",IF(609=$AD$1+7,"เจ้าหน้าที่ขนส่ง",IF($AB616="G",SUM($AF$8:$AF$407),IF(OR($AB616="",$AB616="R"),"",IF($AB616="D",INDEX($AF$8:$AF$407,$AA616),SUMIF($T$8:$T$407,INDEX($T$8:$T$407,$AA616),$AF$8:$AF$407)))))))</f>
        <v/>
      </c>
      <c r="F616" s="32" t="str">
        <f t="shared" si="118"/>
        <v/>
      </c>
      <c r="G616" s="32" t="str">
        <f t="shared" si="119"/>
        <v/>
      </c>
      <c r="H616" s="32" t="str">
        <f t="shared" si="120"/>
        <v/>
      </c>
      <c r="AA616" t="str">
        <f>IFERROR(MATCH(609,$X$8:$X$407,1),"")</f>
        <v/>
      </c>
      <c r="AB616" t="str">
        <f>IF(609=$AD$1+1,"G",IF($AA616="","",IF(INDEX($Q$8:$Q$407,$AA616)="","",IF(609&gt;INDEX($X$8:$X$407,$AA616)+INDEX($V$8:$V$407,$AA616)+INDEX($W$8:$W$407,$AA616),"",IF(609=INDEX($X$8:$X$407,$AA616)+INDEX($V$8:$V$407,$AA616)+INDEX($W$8:$W$407,$AA616),"D",IF(AND(INDEX($W$8:$W$407,$AA616)=1,609=INDEX($X$8:$X$407,$AA616)+INDEX($V$8:$V$407,$AA616)),"S","R"))))))</f>
        <v/>
      </c>
      <c r="AC616" t="str">
        <f t="shared" si="121"/>
        <v/>
      </c>
    </row>
    <row r="617" spans="1:29" ht="21" customHeight="1" x14ac:dyDescent="0.95">
      <c r="A617" s="3" t="str">
        <f t="shared" si="114"/>
        <v/>
      </c>
      <c r="B617" s="3" t="str">
        <f t="shared" si="115"/>
        <v/>
      </c>
      <c r="C617" s="8" t="str">
        <f t="shared" si="116"/>
        <v/>
      </c>
      <c r="D617" s="31" t="str">
        <f t="shared" si="117"/>
        <v/>
      </c>
      <c r="E617" s="32" t="str">
        <f>IF(610=$AD$1+3,"ขอแสดงความนับถือ",IF(610=$AD$1+6,"(                 )",IF(610=$AD$1+7,"เจ้าหน้าที่ขนส่ง",IF($AB617="G",SUM($AF$8:$AF$407),IF(OR($AB617="",$AB617="R"),"",IF($AB617="D",INDEX($AF$8:$AF$407,$AA617),SUMIF($T$8:$T$407,INDEX($T$8:$T$407,$AA617),$AF$8:$AF$407)))))))</f>
        <v/>
      </c>
      <c r="F617" s="32" t="str">
        <f t="shared" si="118"/>
        <v/>
      </c>
      <c r="G617" s="32" t="str">
        <f t="shared" si="119"/>
        <v/>
      </c>
      <c r="H617" s="32" t="str">
        <f t="shared" si="120"/>
        <v/>
      </c>
      <c r="AA617" t="str">
        <f>IFERROR(MATCH(610,$X$8:$X$407,1),"")</f>
        <v/>
      </c>
      <c r="AB617" t="str">
        <f>IF(610=$AD$1+1,"G",IF($AA617="","",IF(INDEX($Q$8:$Q$407,$AA617)="","",IF(610&gt;INDEX($X$8:$X$407,$AA617)+INDEX($V$8:$V$407,$AA617)+INDEX($W$8:$W$407,$AA617),"",IF(610=INDEX($X$8:$X$407,$AA617)+INDEX($V$8:$V$407,$AA617)+INDEX($W$8:$W$407,$AA617),"D",IF(AND(INDEX($W$8:$W$407,$AA617)=1,610=INDEX($X$8:$X$407,$AA617)+INDEX($V$8:$V$407,$AA617)),"S","R"))))))</f>
        <v/>
      </c>
      <c r="AC617" t="str">
        <f t="shared" si="121"/>
        <v/>
      </c>
    </row>
    <row r="618" spans="1:29" ht="21" customHeight="1" x14ac:dyDescent="0.95">
      <c r="A618" s="3" t="str">
        <f t="shared" si="114"/>
        <v/>
      </c>
      <c r="B618" s="3" t="str">
        <f t="shared" si="115"/>
        <v/>
      </c>
      <c r="C618" s="8" t="str">
        <f t="shared" si="116"/>
        <v/>
      </c>
      <c r="D618" s="31" t="str">
        <f t="shared" si="117"/>
        <v/>
      </c>
      <c r="E618" s="32" t="str">
        <f>IF(611=$AD$1+3,"ขอแสดงความนับถือ",IF(611=$AD$1+6,"(                 )",IF(611=$AD$1+7,"เจ้าหน้าที่ขนส่ง",IF($AB618="G",SUM($AF$8:$AF$407),IF(OR($AB618="",$AB618="R"),"",IF($AB618="D",INDEX($AF$8:$AF$407,$AA618),SUMIF($T$8:$T$407,INDEX($T$8:$T$407,$AA618),$AF$8:$AF$407)))))))</f>
        <v/>
      </c>
      <c r="F618" s="32" t="str">
        <f t="shared" si="118"/>
        <v/>
      </c>
      <c r="G618" s="32" t="str">
        <f t="shared" si="119"/>
        <v/>
      </c>
      <c r="H618" s="32" t="str">
        <f t="shared" si="120"/>
        <v/>
      </c>
      <c r="AA618" t="str">
        <f>IFERROR(MATCH(611,$X$8:$X$407,1),"")</f>
        <v/>
      </c>
      <c r="AB618" t="str">
        <f>IF(611=$AD$1+1,"G",IF($AA618="","",IF(INDEX($Q$8:$Q$407,$AA618)="","",IF(611&gt;INDEX($X$8:$X$407,$AA618)+INDEX($V$8:$V$407,$AA618)+INDEX($W$8:$W$407,$AA618),"",IF(611=INDEX($X$8:$X$407,$AA618)+INDEX($V$8:$V$407,$AA618)+INDEX($W$8:$W$407,$AA618),"D",IF(AND(INDEX($W$8:$W$407,$AA618)=1,611=INDEX($X$8:$X$407,$AA618)+INDEX($V$8:$V$407,$AA618)),"S","R"))))))</f>
        <v/>
      </c>
      <c r="AC618" t="str">
        <f t="shared" si="121"/>
        <v/>
      </c>
    </row>
    <row r="619" spans="1:29" ht="21" customHeight="1" x14ac:dyDescent="0.95">
      <c r="A619" s="3" t="str">
        <f t="shared" si="114"/>
        <v/>
      </c>
      <c r="B619" s="3" t="str">
        <f t="shared" si="115"/>
        <v/>
      </c>
      <c r="C619" s="8" t="str">
        <f t="shared" si="116"/>
        <v/>
      </c>
      <c r="D619" s="31" t="str">
        <f t="shared" si="117"/>
        <v/>
      </c>
      <c r="E619" s="32" t="str">
        <f>IF(612=$AD$1+3,"ขอแสดงความนับถือ",IF(612=$AD$1+6,"(                 )",IF(612=$AD$1+7,"เจ้าหน้าที่ขนส่ง",IF($AB619="G",SUM($AF$8:$AF$407),IF(OR($AB619="",$AB619="R"),"",IF($AB619="D",INDEX($AF$8:$AF$407,$AA619),SUMIF($T$8:$T$407,INDEX($T$8:$T$407,$AA619),$AF$8:$AF$407)))))))</f>
        <v/>
      </c>
      <c r="F619" s="32" t="str">
        <f t="shared" si="118"/>
        <v/>
      </c>
      <c r="G619" s="32" t="str">
        <f t="shared" si="119"/>
        <v/>
      </c>
      <c r="H619" s="32" t="str">
        <f t="shared" si="120"/>
        <v/>
      </c>
      <c r="AA619" t="str">
        <f>IFERROR(MATCH(612,$X$8:$X$407,1),"")</f>
        <v/>
      </c>
      <c r="AB619" t="str">
        <f>IF(612=$AD$1+1,"G",IF($AA619="","",IF(INDEX($Q$8:$Q$407,$AA619)="","",IF(612&gt;INDEX($X$8:$X$407,$AA619)+INDEX($V$8:$V$407,$AA619)+INDEX($W$8:$W$407,$AA619),"",IF(612=INDEX($X$8:$X$407,$AA619)+INDEX($V$8:$V$407,$AA619)+INDEX($W$8:$W$407,$AA619),"D",IF(AND(INDEX($W$8:$W$407,$AA619)=1,612=INDEX($X$8:$X$407,$AA619)+INDEX($V$8:$V$407,$AA619)),"S","R"))))))</f>
        <v/>
      </c>
      <c r="AC619" t="str">
        <f t="shared" si="121"/>
        <v/>
      </c>
    </row>
    <row r="620" spans="1:29" ht="21" customHeight="1" x14ac:dyDescent="0.95">
      <c r="A620" s="3" t="str">
        <f t="shared" si="114"/>
        <v/>
      </c>
      <c r="B620" s="3" t="str">
        <f t="shared" si="115"/>
        <v/>
      </c>
      <c r="C620" s="8" t="str">
        <f t="shared" si="116"/>
        <v/>
      </c>
      <c r="D620" s="31" t="str">
        <f t="shared" si="117"/>
        <v/>
      </c>
      <c r="E620" s="32" t="str">
        <f>IF(613=$AD$1+3,"ขอแสดงความนับถือ",IF(613=$AD$1+6,"(                 )",IF(613=$AD$1+7,"เจ้าหน้าที่ขนส่ง",IF($AB620="G",SUM($AF$8:$AF$407),IF(OR($AB620="",$AB620="R"),"",IF($AB620="D",INDEX($AF$8:$AF$407,$AA620),SUMIF($T$8:$T$407,INDEX($T$8:$T$407,$AA620),$AF$8:$AF$407)))))))</f>
        <v/>
      </c>
      <c r="F620" s="32" t="str">
        <f t="shared" si="118"/>
        <v/>
      </c>
      <c r="G620" s="32" t="str">
        <f t="shared" si="119"/>
        <v/>
      </c>
      <c r="H620" s="32" t="str">
        <f t="shared" si="120"/>
        <v/>
      </c>
      <c r="AA620" t="str">
        <f>IFERROR(MATCH(613,$X$8:$X$407,1),"")</f>
        <v/>
      </c>
      <c r="AB620" t="str">
        <f>IF(613=$AD$1+1,"G",IF($AA620="","",IF(INDEX($Q$8:$Q$407,$AA620)="","",IF(613&gt;INDEX($X$8:$X$407,$AA620)+INDEX($V$8:$V$407,$AA620)+INDEX($W$8:$W$407,$AA620),"",IF(613=INDEX($X$8:$X$407,$AA620)+INDEX($V$8:$V$407,$AA620)+INDEX($W$8:$W$407,$AA620),"D",IF(AND(INDEX($W$8:$W$407,$AA620)=1,613=INDEX($X$8:$X$407,$AA620)+INDEX($V$8:$V$407,$AA620)),"S","R"))))))</f>
        <v/>
      </c>
      <c r="AC620" t="str">
        <f t="shared" si="121"/>
        <v/>
      </c>
    </row>
    <row r="621" spans="1:29" ht="21" customHeight="1" x14ac:dyDescent="0.95">
      <c r="A621" s="3" t="str">
        <f t="shared" si="114"/>
        <v/>
      </c>
      <c r="B621" s="3" t="str">
        <f t="shared" si="115"/>
        <v/>
      </c>
      <c r="C621" s="8" t="str">
        <f t="shared" si="116"/>
        <v/>
      </c>
      <c r="D621" s="31" t="str">
        <f t="shared" si="117"/>
        <v/>
      </c>
      <c r="E621" s="32" t="str">
        <f>IF(614=$AD$1+3,"ขอแสดงความนับถือ",IF(614=$AD$1+6,"(                 )",IF(614=$AD$1+7,"เจ้าหน้าที่ขนส่ง",IF($AB621="G",SUM($AF$8:$AF$407),IF(OR($AB621="",$AB621="R"),"",IF($AB621="D",INDEX($AF$8:$AF$407,$AA621),SUMIF($T$8:$T$407,INDEX($T$8:$T$407,$AA621),$AF$8:$AF$407)))))))</f>
        <v/>
      </c>
      <c r="F621" s="32" t="str">
        <f t="shared" si="118"/>
        <v/>
      </c>
      <c r="G621" s="32" t="str">
        <f t="shared" si="119"/>
        <v/>
      </c>
      <c r="H621" s="32" t="str">
        <f t="shared" si="120"/>
        <v/>
      </c>
      <c r="AA621" t="str">
        <f>IFERROR(MATCH(614,$X$8:$X$407,1),"")</f>
        <v/>
      </c>
      <c r="AB621" t="str">
        <f>IF(614=$AD$1+1,"G",IF($AA621="","",IF(INDEX($Q$8:$Q$407,$AA621)="","",IF(614&gt;INDEX($X$8:$X$407,$AA621)+INDEX($V$8:$V$407,$AA621)+INDEX($W$8:$W$407,$AA621),"",IF(614=INDEX($X$8:$X$407,$AA621)+INDEX($V$8:$V$407,$AA621)+INDEX($W$8:$W$407,$AA621),"D",IF(AND(INDEX($W$8:$W$407,$AA621)=1,614=INDEX($X$8:$X$407,$AA621)+INDEX($V$8:$V$407,$AA621)),"S","R"))))))</f>
        <v/>
      </c>
      <c r="AC621" t="str">
        <f t="shared" si="121"/>
        <v/>
      </c>
    </row>
    <row r="622" spans="1:29" ht="21" customHeight="1" x14ac:dyDescent="0.95">
      <c r="A622" s="3" t="str">
        <f t="shared" si="114"/>
        <v/>
      </c>
      <c r="B622" s="3" t="str">
        <f t="shared" si="115"/>
        <v/>
      </c>
      <c r="C622" s="8" t="str">
        <f t="shared" si="116"/>
        <v/>
      </c>
      <c r="D622" s="31" t="str">
        <f t="shared" si="117"/>
        <v/>
      </c>
      <c r="E622" s="32" t="str">
        <f>IF(615=$AD$1+3,"ขอแสดงความนับถือ",IF(615=$AD$1+6,"(                 )",IF(615=$AD$1+7,"เจ้าหน้าที่ขนส่ง",IF($AB622="G",SUM($AF$8:$AF$407),IF(OR($AB622="",$AB622="R"),"",IF($AB622="D",INDEX($AF$8:$AF$407,$AA622),SUMIF($T$8:$T$407,INDEX($T$8:$T$407,$AA622),$AF$8:$AF$407)))))))</f>
        <v/>
      </c>
      <c r="F622" s="32" t="str">
        <f t="shared" si="118"/>
        <v/>
      </c>
      <c r="G622" s="32" t="str">
        <f t="shared" si="119"/>
        <v/>
      </c>
      <c r="H622" s="32" t="str">
        <f t="shared" si="120"/>
        <v/>
      </c>
      <c r="AA622" t="str">
        <f>IFERROR(MATCH(615,$X$8:$X$407,1),"")</f>
        <v/>
      </c>
      <c r="AB622" t="str">
        <f>IF(615=$AD$1+1,"G",IF($AA622="","",IF(INDEX($Q$8:$Q$407,$AA622)="","",IF(615&gt;INDEX($X$8:$X$407,$AA622)+INDEX($V$8:$V$407,$AA622)+INDEX($W$8:$W$407,$AA622),"",IF(615=INDEX($X$8:$X$407,$AA622)+INDEX($V$8:$V$407,$AA622)+INDEX($W$8:$W$407,$AA622),"D",IF(AND(INDEX($W$8:$W$407,$AA622)=1,615=INDEX($X$8:$X$407,$AA622)+INDEX($V$8:$V$407,$AA622)),"S","R"))))))</f>
        <v/>
      </c>
      <c r="AC622" t="str">
        <f t="shared" si="121"/>
        <v/>
      </c>
    </row>
    <row r="623" spans="1:29" ht="21" customHeight="1" x14ac:dyDescent="0.95">
      <c r="A623" s="3" t="str">
        <f t="shared" si="114"/>
        <v/>
      </c>
      <c r="B623" s="3" t="str">
        <f t="shared" si="115"/>
        <v/>
      </c>
      <c r="C623" s="8" t="str">
        <f t="shared" si="116"/>
        <v/>
      </c>
      <c r="D623" s="31" t="str">
        <f t="shared" si="117"/>
        <v/>
      </c>
      <c r="E623" s="32" t="str">
        <f>IF(616=$AD$1+3,"ขอแสดงความนับถือ",IF(616=$AD$1+6,"(                 )",IF(616=$AD$1+7,"เจ้าหน้าที่ขนส่ง",IF($AB623="G",SUM($AF$8:$AF$407),IF(OR($AB623="",$AB623="R"),"",IF($AB623="D",INDEX($AF$8:$AF$407,$AA623),SUMIF($T$8:$T$407,INDEX($T$8:$T$407,$AA623),$AF$8:$AF$407)))))))</f>
        <v/>
      </c>
      <c r="F623" s="32" t="str">
        <f t="shared" si="118"/>
        <v/>
      </c>
      <c r="G623" s="32" t="str">
        <f t="shared" si="119"/>
        <v/>
      </c>
      <c r="H623" s="32" t="str">
        <f t="shared" si="120"/>
        <v/>
      </c>
      <c r="AA623" t="str">
        <f>IFERROR(MATCH(616,$X$8:$X$407,1),"")</f>
        <v/>
      </c>
      <c r="AB623" t="str">
        <f>IF(616=$AD$1+1,"G",IF($AA623="","",IF(INDEX($Q$8:$Q$407,$AA623)="","",IF(616&gt;INDEX($X$8:$X$407,$AA623)+INDEX($V$8:$V$407,$AA623)+INDEX($W$8:$W$407,$AA623),"",IF(616=INDEX($X$8:$X$407,$AA623)+INDEX($V$8:$V$407,$AA623)+INDEX($W$8:$W$407,$AA623),"D",IF(AND(INDEX($W$8:$W$407,$AA623)=1,616=INDEX($X$8:$X$407,$AA623)+INDEX($V$8:$V$407,$AA623)),"S","R"))))))</f>
        <v/>
      </c>
      <c r="AC623" t="str">
        <f t="shared" si="121"/>
        <v/>
      </c>
    </row>
    <row r="624" spans="1:29" ht="21" customHeight="1" x14ac:dyDescent="0.95">
      <c r="A624" s="3" t="str">
        <f t="shared" si="114"/>
        <v/>
      </c>
      <c r="B624" s="3" t="str">
        <f t="shared" si="115"/>
        <v/>
      </c>
      <c r="C624" s="8" t="str">
        <f t="shared" si="116"/>
        <v/>
      </c>
      <c r="D624" s="31" t="str">
        <f t="shared" si="117"/>
        <v/>
      </c>
      <c r="E624" s="32" t="str">
        <f>IF(617=$AD$1+3,"ขอแสดงความนับถือ",IF(617=$AD$1+6,"(                 )",IF(617=$AD$1+7,"เจ้าหน้าที่ขนส่ง",IF($AB624="G",SUM($AF$8:$AF$407),IF(OR($AB624="",$AB624="R"),"",IF($AB624="D",INDEX($AF$8:$AF$407,$AA624),SUMIF($T$8:$T$407,INDEX($T$8:$T$407,$AA624),$AF$8:$AF$407)))))))</f>
        <v/>
      </c>
      <c r="F624" s="32" t="str">
        <f t="shared" si="118"/>
        <v/>
      </c>
      <c r="G624" s="32" t="str">
        <f t="shared" si="119"/>
        <v/>
      </c>
      <c r="H624" s="32" t="str">
        <f t="shared" si="120"/>
        <v/>
      </c>
      <c r="AA624" t="str">
        <f>IFERROR(MATCH(617,$X$8:$X$407,1),"")</f>
        <v/>
      </c>
      <c r="AB624" t="str">
        <f>IF(617=$AD$1+1,"G",IF($AA624="","",IF(INDEX($Q$8:$Q$407,$AA624)="","",IF(617&gt;INDEX($X$8:$X$407,$AA624)+INDEX($V$8:$V$407,$AA624)+INDEX($W$8:$W$407,$AA624),"",IF(617=INDEX($X$8:$X$407,$AA624)+INDEX($V$8:$V$407,$AA624)+INDEX($W$8:$W$407,$AA624),"D",IF(AND(INDEX($W$8:$W$407,$AA624)=1,617=INDEX($X$8:$X$407,$AA624)+INDEX($V$8:$V$407,$AA624)),"S","R"))))))</f>
        <v/>
      </c>
      <c r="AC624" t="str">
        <f t="shared" si="121"/>
        <v/>
      </c>
    </row>
    <row r="625" spans="1:29" ht="21" customHeight="1" x14ac:dyDescent="0.95">
      <c r="A625" s="3" t="str">
        <f t="shared" si="114"/>
        <v/>
      </c>
      <c r="B625" s="3" t="str">
        <f t="shared" si="115"/>
        <v/>
      </c>
      <c r="C625" s="8" t="str">
        <f t="shared" si="116"/>
        <v/>
      </c>
      <c r="D625" s="31" t="str">
        <f t="shared" si="117"/>
        <v/>
      </c>
      <c r="E625" s="32" t="str">
        <f>IF(618=$AD$1+3,"ขอแสดงความนับถือ",IF(618=$AD$1+6,"(                 )",IF(618=$AD$1+7,"เจ้าหน้าที่ขนส่ง",IF($AB625="G",SUM($AF$8:$AF$407),IF(OR($AB625="",$AB625="R"),"",IF($AB625="D",INDEX($AF$8:$AF$407,$AA625),SUMIF($T$8:$T$407,INDEX($T$8:$T$407,$AA625),$AF$8:$AF$407)))))))</f>
        <v/>
      </c>
      <c r="F625" s="32" t="str">
        <f t="shared" si="118"/>
        <v/>
      </c>
      <c r="G625" s="32" t="str">
        <f t="shared" si="119"/>
        <v/>
      </c>
      <c r="H625" s="32" t="str">
        <f t="shared" si="120"/>
        <v/>
      </c>
      <c r="AA625" t="str">
        <f>IFERROR(MATCH(618,$X$8:$X$407,1),"")</f>
        <v/>
      </c>
      <c r="AB625" t="str">
        <f>IF(618=$AD$1+1,"G",IF($AA625="","",IF(INDEX($Q$8:$Q$407,$AA625)="","",IF(618&gt;INDEX($X$8:$X$407,$AA625)+INDEX($V$8:$V$407,$AA625)+INDEX($W$8:$W$407,$AA625),"",IF(618=INDEX($X$8:$X$407,$AA625)+INDEX($V$8:$V$407,$AA625)+INDEX($W$8:$W$407,$AA625),"D",IF(AND(INDEX($W$8:$W$407,$AA625)=1,618=INDEX($X$8:$X$407,$AA625)+INDEX($V$8:$V$407,$AA625)),"S","R"))))))</f>
        <v/>
      </c>
      <c r="AC625" t="str">
        <f t="shared" si="121"/>
        <v/>
      </c>
    </row>
    <row r="626" spans="1:29" ht="21" customHeight="1" x14ac:dyDescent="0.95">
      <c r="A626" s="3" t="str">
        <f t="shared" si="114"/>
        <v/>
      </c>
      <c r="B626" s="3" t="str">
        <f t="shared" si="115"/>
        <v/>
      </c>
      <c r="C626" s="8" t="str">
        <f t="shared" si="116"/>
        <v/>
      </c>
      <c r="D626" s="31" t="str">
        <f t="shared" si="117"/>
        <v/>
      </c>
      <c r="E626" s="32" t="str">
        <f>IF(619=$AD$1+3,"ขอแสดงความนับถือ",IF(619=$AD$1+6,"(                 )",IF(619=$AD$1+7,"เจ้าหน้าที่ขนส่ง",IF($AB626="G",SUM($AF$8:$AF$407),IF(OR($AB626="",$AB626="R"),"",IF($AB626="D",INDEX($AF$8:$AF$407,$AA626),SUMIF($T$8:$T$407,INDEX($T$8:$T$407,$AA626),$AF$8:$AF$407)))))))</f>
        <v/>
      </c>
      <c r="F626" s="32" t="str">
        <f t="shared" si="118"/>
        <v/>
      </c>
      <c r="G626" s="32" t="str">
        <f t="shared" si="119"/>
        <v/>
      </c>
      <c r="H626" s="32" t="str">
        <f t="shared" si="120"/>
        <v/>
      </c>
      <c r="AA626" t="str">
        <f>IFERROR(MATCH(619,$X$8:$X$407,1),"")</f>
        <v/>
      </c>
      <c r="AB626" t="str">
        <f>IF(619=$AD$1+1,"G",IF($AA626="","",IF(INDEX($Q$8:$Q$407,$AA626)="","",IF(619&gt;INDEX($X$8:$X$407,$AA626)+INDEX($V$8:$V$407,$AA626)+INDEX($W$8:$W$407,$AA626),"",IF(619=INDEX($X$8:$X$407,$AA626)+INDEX($V$8:$V$407,$AA626)+INDEX($W$8:$W$407,$AA626),"D",IF(AND(INDEX($W$8:$W$407,$AA626)=1,619=INDEX($X$8:$X$407,$AA626)+INDEX($V$8:$V$407,$AA626)),"S","R"))))))</f>
        <v/>
      </c>
      <c r="AC626" t="str">
        <f t="shared" si="121"/>
        <v/>
      </c>
    </row>
    <row r="627" spans="1:29" ht="21" customHeight="1" x14ac:dyDescent="0.95">
      <c r="A627" s="3" t="str">
        <f t="shared" si="114"/>
        <v/>
      </c>
      <c r="B627" s="3" t="str">
        <f t="shared" si="115"/>
        <v/>
      </c>
      <c r="C627" s="8" t="str">
        <f t="shared" si="116"/>
        <v/>
      </c>
      <c r="D627" s="31" t="str">
        <f t="shared" si="117"/>
        <v/>
      </c>
      <c r="E627" s="32" t="str">
        <f>IF(620=$AD$1+3,"ขอแสดงความนับถือ",IF(620=$AD$1+6,"(                 )",IF(620=$AD$1+7,"เจ้าหน้าที่ขนส่ง",IF($AB627="G",SUM($AF$8:$AF$407),IF(OR($AB627="",$AB627="R"),"",IF($AB627="D",INDEX($AF$8:$AF$407,$AA627),SUMIF($T$8:$T$407,INDEX($T$8:$T$407,$AA627),$AF$8:$AF$407)))))))</f>
        <v/>
      </c>
      <c r="F627" s="32" t="str">
        <f t="shared" si="118"/>
        <v/>
      </c>
      <c r="G627" s="32" t="str">
        <f t="shared" si="119"/>
        <v/>
      </c>
      <c r="H627" s="32" t="str">
        <f t="shared" si="120"/>
        <v/>
      </c>
      <c r="AA627" t="str">
        <f>IFERROR(MATCH(620,$X$8:$X$407,1),"")</f>
        <v/>
      </c>
      <c r="AB627" t="str">
        <f>IF(620=$AD$1+1,"G",IF($AA627="","",IF(INDEX($Q$8:$Q$407,$AA627)="","",IF(620&gt;INDEX($X$8:$X$407,$AA627)+INDEX($V$8:$V$407,$AA627)+INDEX($W$8:$W$407,$AA627),"",IF(620=INDEX($X$8:$X$407,$AA627)+INDEX($V$8:$V$407,$AA627)+INDEX($W$8:$W$407,$AA627),"D",IF(AND(INDEX($W$8:$W$407,$AA627)=1,620=INDEX($X$8:$X$407,$AA627)+INDEX($V$8:$V$407,$AA627)),"S","R"))))))</f>
        <v/>
      </c>
      <c r="AC627" t="str">
        <f t="shared" si="121"/>
        <v/>
      </c>
    </row>
    <row r="628" spans="1:29" ht="21" customHeight="1" x14ac:dyDescent="0.95">
      <c r="A628" s="3" t="str">
        <f t="shared" si="114"/>
        <v/>
      </c>
      <c r="B628" s="3" t="str">
        <f t="shared" si="115"/>
        <v/>
      </c>
      <c r="C628" s="8" t="str">
        <f t="shared" si="116"/>
        <v/>
      </c>
      <c r="D628" s="31" t="str">
        <f t="shared" si="117"/>
        <v/>
      </c>
      <c r="E628" s="32" t="str">
        <f>IF(621=$AD$1+3,"ขอแสดงความนับถือ",IF(621=$AD$1+6,"(                 )",IF(621=$AD$1+7,"เจ้าหน้าที่ขนส่ง",IF($AB628="G",SUM($AF$8:$AF$407),IF(OR($AB628="",$AB628="R"),"",IF($AB628="D",INDEX($AF$8:$AF$407,$AA628),SUMIF($T$8:$T$407,INDEX($T$8:$T$407,$AA628),$AF$8:$AF$407)))))))</f>
        <v/>
      </c>
      <c r="F628" s="32" t="str">
        <f t="shared" si="118"/>
        <v/>
      </c>
      <c r="G628" s="32" t="str">
        <f t="shared" si="119"/>
        <v/>
      </c>
      <c r="H628" s="32" t="str">
        <f t="shared" si="120"/>
        <v/>
      </c>
      <c r="AA628" t="str">
        <f>IFERROR(MATCH(621,$X$8:$X$407,1),"")</f>
        <v/>
      </c>
      <c r="AB628" t="str">
        <f>IF(621=$AD$1+1,"G",IF($AA628="","",IF(INDEX($Q$8:$Q$407,$AA628)="","",IF(621&gt;INDEX($X$8:$X$407,$AA628)+INDEX($V$8:$V$407,$AA628)+INDEX($W$8:$W$407,$AA628),"",IF(621=INDEX($X$8:$X$407,$AA628)+INDEX($V$8:$V$407,$AA628)+INDEX($W$8:$W$407,$AA628),"D",IF(AND(INDEX($W$8:$W$407,$AA628)=1,621=INDEX($X$8:$X$407,$AA628)+INDEX($V$8:$V$407,$AA628)),"S","R"))))))</f>
        <v/>
      </c>
      <c r="AC628" t="str">
        <f t="shared" si="121"/>
        <v/>
      </c>
    </row>
    <row r="629" spans="1:29" ht="21" customHeight="1" x14ac:dyDescent="0.95">
      <c r="A629" s="3" t="str">
        <f t="shared" si="114"/>
        <v/>
      </c>
      <c r="B629" s="3" t="str">
        <f t="shared" si="115"/>
        <v/>
      </c>
      <c r="C629" s="8" t="str">
        <f t="shared" si="116"/>
        <v/>
      </c>
      <c r="D629" s="31" t="str">
        <f t="shared" si="117"/>
        <v/>
      </c>
      <c r="E629" s="32" t="str">
        <f>IF(622=$AD$1+3,"ขอแสดงความนับถือ",IF(622=$AD$1+6,"(                 )",IF(622=$AD$1+7,"เจ้าหน้าที่ขนส่ง",IF($AB629="G",SUM($AF$8:$AF$407),IF(OR($AB629="",$AB629="R"),"",IF($AB629="D",INDEX($AF$8:$AF$407,$AA629),SUMIF($T$8:$T$407,INDEX($T$8:$T$407,$AA629),$AF$8:$AF$407)))))))</f>
        <v/>
      </c>
      <c r="F629" s="32" t="str">
        <f t="shared" si="118"/>
        <v/>
      </c>
      <c r="G629" s="32" t="str">
        <f t="shared" si="119"/>
        <v/>
      </c>
      <c r="H629" s="32" t="str">
        <f t="shared" si="120"/>
        <v/>
      </c>
      <c r="AA629" t="str">
        <f>IFERROR(MATCH(622,$X$8:$X$407,1),"")</f>
        <v/>
      </c>
      <c r="AB629" t="str">
        <f>IF(622=$AD$1+1,"G",IF($AA629="","",IF(INDEX($Q$8:$Q$407,$AA629)="","",IF(622&gt;INDEX($X$8:$X$407,$AA629)+INDEX($V$8:$V$407,$AA629)+INDEX($W$8:$W$407,$AA629),"",IF(622=INDEX($X$8:$X$407,$AA629)+INDEX($V$8:$V$407,$AA629)+INDEX($W$8:$W$407,$AA629),"D",IF(AND(INDEX($W$8:$W$407,$AA629)=1,622=INDEX($X$8:$X$407,$AA629)+INDEX($V$8:$V$407,$AA629)),"S","R"))))))</f>
        <v/>
      </c>
      <c r="AC629" t="str">
        <f t="shared" si="121"/>
        <v/>
      </c>
    </row>
    <row r="630" spans="1:29" ht="21" customHeight="1" x14ac:dyDescent="0.95">
      <c r="A630" s="3" t="str">
        <f t="shared" si="114"/>
        <v/>
      </c>
      <c r="B630" s="3" t="str">
        <f t="shared" si="115"/>
        <v/>
      </c>
      <c r="C630" s="8" t="str">
        <f t="shared" si="116"/>
        <v/>
      </c>
      <c r="D630" s="31" t="str">
        <f t="shared" si="117"/>
        <v/>
      </c>
      <c r="E630" s="32" t="str">
        <f>IF(623=$AD$1+3,"ขอแสดงความนับถือ",IF(623=$AD$1+6,"(                 )",IF(623=$AD$1+7,"เจ้าหน้าที่ขนส่ง",IF($AB630="G",SUM($AF$8:$AF$407),IF(OR($AB630="",$AB630="R"),"",IF($AB630="D",INDEX($AF$8:$AF$407,$AA630),SUMIF($T$8:$T$407,INDEX($T$8:$T$407,$AA630),$AF$8:$AF$407)))))))</f>
        <v/>
      </c>
      <c r="F630" s="32" t="str">
        <f t="shared" si="118"/>
        <v/>
      </c>
      <c r="G630" s="32" t="str">
        <f t="shared" si="119"/>
        <v/>
      </c>
      <c r="H630" s="32" t="str">
        <f t="shared" si="120"/>
        <v/>
      </c>
      <c r="AA630" t="str">
        <f>IFERROR(MATCH(623,$X$8:$X$407,1),"")</f>
        <v/>
      </c>
      <c r="AB630" t="str">
        <f>IF(623=$AD$1+1,"G",IF($AA630="","",IF(INDEX($Q$8:$Q$407,$AA630)="","",IF(623&gt;INDEX($X$8:$X$407,$AA630)+INDEX($V$8:$V$407,$AA630)+INDEX($W$8:$W$407,$AA630),"",IF(623=INDEX($X$8:$X$407,$AA630)+INDEX($V$8:$V$407,$AA630)+INDEX($W$8:$W$407,$AA630),"D",IF(AND(INDEX($W$8:$W$407,$AA630)=1,623=INDEX($X$8:$X$407,$AA630)+INDEX($V$8:$V$407,$AA630)),"S","R"))))))</f>
        <v/>
      </c>
      <c r="AC630" t="str">
        <f t="shared" si="121"/>
        <v/>
      </c>
    </row>
    <row r="631" spans="1:29" ht="21" customHeight="1" x14ac:dyDescent="0.95">
      <c r="A631" s="3" t="str">
        <f t="shared" si="114"/>
        <v/>
      </c>
      <c r="B631" s="3" t="str">
        <f t="shared" si="115"/>
        <v/>
      </c>
      <c r="C631" s="8" t="str">
        <f t="shared" si="116"/>
        <v/>
      </c>
      <c r="D631" s="31" t="str">
        <f t="shared" si="117"/>
        <v/>
      </c>
      <c r="E631" s="32" t="str">
        <f>IF(624=$AD$1+3,"ขอแสดงความนับถือ",IF(624=$AD$1+6,"(                 )",IF(624=$AD$1+7,"เจ้าหน้าที่ขนส่ง",IF($AB631="G",SUM($AF$8:$AF$407),IF(OR($AB631="",$AB631="R"),"",IF($AB631="D",INDEX($AF$8:$AF$407,$AA631),SUMIF($T$8:$T$407,INDEX($T$8:$T$407,$AA631),$AF$8:$AF$407)))))))</f>
        <v/>
      </c>
      <c r="F631" s="32" t="str">
        <f t="shared" si="118"/>
        <v/>
      </c>
      <c r="G631" s="32" t="str">
        <f t="shared" si="119"/>
        <v/>
      </c>
      <c r="H631" s="32" t="str">
        <f t="shared" si="120"/>
        <v/>
      </c>
      <c r="AA631" t="str">
        <f>IFERROR(MATCH(624,$X$8:$X$407,1),"")</f>
        <v/>
      </c>
      <c r="AB631" t="str">
        <f>IF(624=$AD$1+1,"G",IF($AA631="","",IF(INDEX($Q$8:$Q$407,$AA631)="","",IF(624&gt;INDEX($X$8:$X$407,$AA631)+INDEX($V$8:$V$407,$AA631)+INDEX($W$8:$W$407,$AA631),"",IF(624=INDEX($X$8:$X$407,$AA631)+INDEX($V$8:$V$407,$AA631)+INDEX($W$8:$W$407,$AA631),"D",IF(AND(INDEX($W$8:$W$407,$AA631)=1,624=INDEX($X$8:$X$407,$AA631)+INDEX($V$8:$V$407,$AA631)),"S","R"))))))</f>
        <v/>
      </c>
      <c r="AC631" t="str">
        <f t="shared" si="121"/>
        <v/>
      </c>
    </row>
    <row r="632" spans="1:29" ht="21" customHeight="1" x14ac:dyDescent="0.95">
      <c r="A632" s="3" t="str">
        <f t="shared" si="114"/>
        <v/>
      </c>
      <c r="B632" s="3" t="str">
        <f t="shared" si="115"/>
        <v/>
      </c>
      <c r="C632" s="8" t="str">
        <f t="shared" si="116"/>
        <v/>
      </c>
      <c r="D632" s="31" t="str">
        <f t="shared" si="117"/>
        <v/>
      </c>
      <c r="E632" s="32" t="str">
        <f>IF(625=$AD$1+3,"ขอแสดงความนับถือ",IF(625=$AD$1+6,"(                 )",IF(625=$AD$1+7,"เจ้าหน้าที่ขนส่ง",IF($AB632="G",SUM($AF$8:$AF$407),IF(OR($AB632="",$AB632="R"),"",IF($AB632="D",INDEX($AF$8:$AF$407,$AA632),SUMIF($T$8:$T$407,INDEX($T$8:$T$407,$AA632),$AF$8:$AF$407)))))))</f>
        <v/>
      </c>
      <c r="F632" s="32" t="str">
        <f t="shared" si="118"/>
        <v/>
      </c>
      <c r="G632" s="32" t="str">
        <f t="shared" si="119"/>
        <v/>
      </c>
      <c r="H632" s="32" t="str">
        <f t="shared" si="120"/>
        <v/>
      </c>
      <c r="AA632" t="str">
        <f>IFERROR(MATCH(625,$X$8:$X$407,1),"")</f>
        <v/>
      </c>
      <c r="AB632" t="str">
        <f>IF(625=$AD$1+1,"G",IF($AA632="","",IF(INDEX($Q$8:$Q$407,$AA632)="","",IF(625&gt;INDEX($X$8:$X$407,$AA632)+INDEX($V$8:$V$407,$AA632)+INDEX($W$8:$W$407,$AA632),"",IF(625=INDEX($X$8:$X$407,$AA632)+INDEX($V$8:$V$407,$AA632)+INDEX($W$8:$W$407,$AA632),"D",IF(AND(INDEX($W$8:$W$407,$AA632)=1,625=INDEX($X$8:$X$407,$AA632)+INDEX($V$8:$V$407,$AA632)),"S","R"))))))</f>
        <v/>
      </c>
      <c r="AC632" t="str">
        <f t="shared" si="121"/>
        <v/>
      </c>
    </row>
    <row r="633" spans="1:29" ht="21" customHeight="1" x14ac:dyDescent="0.95">
      <c r="A633" s="3" t="str">
        <f t="shared" si="114"/>
        <v/>
      </c>
      <c r="B633" s="3" t="str">
        <f t="shared" si="115"/>
        <v/>
      </c>
      <c r="C633" s="8" t="str">
        <f t="shared" si="116"/>
        <v/>
      </c>
      <c r="D633" s="31" t="str">
        <f t="shared" si="117"/>
        <v/>
      </c>
      <c r="E633" s="32" t="str">
        <f>IF(626=$AD$1+3,"ขอแสดงความนับถือ",IF(626=$AD$1+6,"(                 )",IF(626=$AD$1+7,"เจ้าหน้าที่ขนส่ง",IF($AB633="G",SUM($AF$8:$AF$407),IF(OR($AB633="",$AB633="R"),"",IF($AB633="D",INDEX($AF$8:$AF$407,$AA633),SUMIF($T$8:$T$407,INDEX($T$8:$T$407,$AA633),$AF$8:$AF$407)))))))</f>
        <v/>
      </c>
      <c r="F633" s="32" t="str">
        <f t="shared" si="118"/>
        <v/>
      </c>
      <c r="G633" s="32" t="str">
        <f t="shared" si="119"/>
        <v/>
      </c>
      <c r="H633" s="32" t="str">
        <f t="shared" si="120"/>
        <v/>
      </c>
      <c r="AA633" t="str">
        <f>IFERROR(MATCH(626,$X$8:$X$407,1),"")</f>
        <v/>
      </c>
      <c r="AB633" t="str">
        <f>IF(626=$AD$1+1,"G",IF($AA633="","",IF(INDEX($Q$8:$Q$407,$AA633)="","",IF(626&gt;INDEX($X$8:$X$407,$AA633)+INDEX($V$8:$V$407,$AA633)+INDEX($W$8:$W$407,$AA633),"",IF(626=INDEX($X$8:$X$407,$AA633)+INDEX($V$8:$V$407,$AA633)+INDEX($W$8:$W$407,$AA633),"D",IF(AND(INDEX($W$8:$W$407,$AA633)=1,626=INDEX($X$8:$X$407,$AA633)+INDEX($V$8:$V$407,$AA633)),"S","R"))))))</f>
        <v/>
      </c>
      <c r="AC633" t="str">
        <f t="shared" si="121"/>
        <v/>
      </c>
    </row>
    <row r="634" spans="1:29" ht="21" customHeight="1" x14ac:dyDescent="0.95">
      <c r="A634" s="3" t="str">
        <f t="shared" si="114"/>
        <v/>
      </c>
      <c r="B634" s="3" t="str">
        <f t="shared" si="115"/>
        <v/>
      </c>
      <c r="C634" s="8" t="str">
        <f t="shared" si="116"/>
        <v/>
      </c>
      <c r="D634" s="31" t="str">
        <f t="shared" si="117"/>
        <v/>
      </c>
      <c r="E634" s="32" t="str">
        <f>IF(627=$AD$1+3,"ขอแสดงความนับถือ",IF(627=$AD$1+6,"(                 )",IF(627=$AD$1+7,"เจ้าหน้าที่ขนส่ง",IF($AB634="G",SUM($AF$8:$AF$407),IF(OR($AB634="",$AB634="R"),"",IF($AB634="D",INDEX($AF$8:$AF$407,$AA634),SUMIF($T$8:$T$407,INDEX($T$8:$T$407,$AA634),$AF$8:$AF$407)))))))</f>
        <v/>
      </c>
      <c r="F634" s="32" t="str">
        <f t="shared" si="118"/>
        <v/>
      </c>
      <c r="G634" s="32" t="str">
        <f t="shared" si="119"/>
        <v/>
      </c>
      <c r="H634" s="32" t="str">
        <f t="shared" si="120"/>
        <v/>
      </c>
      <c r="AA634" t="str">
        <f>IFERROR(MATCH(627,$X$8:$X$407,1),"")</f>
        <v/>
      </c>
      <c r="AB634" t="str">
        <f>IF(627=$AD$1+1,"G",IF($AA634="","",IF(INDEX($Q$8:$Q$407,$AA634)="","",IF(627&gt;INDEX($X$8:$X$407,$AA634)+INDEX($V$8:$V$407,$AA634)+INDEX($W$8:$W$407,$AA634),"",IF(627=INDEX($X$8:$X$407,$AA634)+INDEX($V$8:$V$407,$AA634)+INDEX($W$8:$W$407,$AA634),"D",IF(AND(INDEX($W$8:$W$407,$AA634)=1,627=INDEX($X$8:$X$407,$AA634)+INDEX($V$8:$V$407,$AA634)),"S","R"))))))</f>
        <v/>
      </c>
      <c r="AC634" t="str">
        <f t="shared" si="121"/>
        <v/>
      </c>
    </row>
    <row r="635" spans="1:29" ht="21" customHeight="1" x14ac:dyDescent="0.95">
      <c r="A635" s="3" t="str">
        <f t="shared" si="114"/>
        <v/>
      </c>
      <c r="B635" s="3" t="str">
        <f t="shared" si="115"/>
        <v/>
      </c>
      <c r="C635" s="8" t="str">
        <f t="shared" si="116"/>
        <v/>
      </c>
      <c r="D635" s="31" t="str">
        <f t="shared" si="117"/>
        <v/>
      </c>
      <c r="E635" s="32" t="str">
        <f>IF(628=$AD$1+3,"ขอแสดงความนับถือ",IF(628=$AD$1+6,"(                 )",IF(628=$AD$1+7,"เจ้าหน้าที่ขนส่ง",IF($AB635="G",SUM($AF$8:$AF$407),IF(OR($AB635="",$AB635="R"),"",IF($AB635="D",INDEX($AF$8:$AF$407,$AA635),SUMIF($T$8:$T$407,INDEX($T$8:$T$407,$AA635),$AF$8:$AF$407)))))))</f>
        <v/>
      </c>
      <c r="F635" s="32" t="str">
        <f t="shared" si="118"/>
        <v/>
      </c>
      <c r="G635" s="32" t="str">
        <f t="shared" si="119"/>
        <v/>
      </c>
      <c r="H635" s="32" t="str">
        <f t="shared" si="120"/>
        <v/>
      </c>
      <c r="AA635" t="str">
        <f>IFERROR(MATCH(628,$X$8:$X$407,1),"")</f>
        <v/>
      </c>
      <c r="AB635" t="str">
        <f>IF(628=$AD$1+1,"G",IF($AA635="","",IF(INDEX($Q$8:$Q$407,$AA635)="","",IF(628&gt;INDEX($X$8:$X$407,$AA635)+INDEX($V$8:$V$407,$AA635)+INDEX($W$8:$W$407,$AA635),"",IF(628=INDEX($X$8:$X$407,$AA635)+INDEX($V$8:$V$407,$AA635)+INDEX($W$8:$W$407,$AA635),"D",IF(AND(INDEX($W$8:$W$407,$AA635)=1,628=INDEX($X$8:$X$407,$AA635)+INDEX($V$8:$V$407,$AA635)),"S","R"))))))</f>
        <v/>
      </c>
      <c r="AC635" t="str">
        <f t="shared" si="121"/>
        <v/>
      </c>
    </row>
    <row r="636" spans="1:29" ht="21" customHeight="1" x14ac:dyDescent="0.95">
      <c r="A636" s="3" t="str">
        <f t="shared" si="114"/>
        <v/>
      </c>
      <c r="B636" s="3" t="str">
        <f t="shared" si="115"/>
        <v/>
      </c>
      <c r="C636" s="8" t="str">
        <f t="shared" si="116"/>
        <v/>
      </c>
      <c r="D636" s="31" t="str">
        <f t="shared" si="117"/>
        <v/>
      </c>
      <c r="E636" s="32" t="str">
        <f>IF(629=$AD$1+3,"ขอแสดงความนับถือ",IF(629=$AD$1+6,"(                 )",IF(629=$AD$1+7,"เจ้าหน้าที่ขนส่ง",IF($AB636="G",SUM($AF$8:$AF$407),IF(OR($AB636="",$AB636="R"),"",IF($AB636="D",INDEX($AF$8:$AF$407,$AA636),SUMIF($T$8:$T$407,INDEX($T$8:$T$407,$AA636),$AF$8:$AF$407)))))))</f>
        <v/>
      </c>
      <c r="F636" s="32" t="str">
        <f t="shared" si="118"/>
        <v/>
      </c>
      <c r="G636" s="32" t="str">
        <f t="shared" si="119"/>
        <v/>
      </c>
      <c r="H636" s="32" t="str">
        <f t="shared" si="120"/>
        <v/>
      </c>
      <c r="AA636" t="str">
        <f>IFERROR(MATCH(629,$X$8:$X$407,1),"")</f>
        <v/>
      </c>
      <c r="AB636" t="str">
        <f>IF(629=$AD$1+1,"G",IF($AA636="","",IF(INDEX($Q$8:$Q$407,$AA636)="","",IF(629&gt;INDEX($X$8:$X$407,$AA636)+INDEX($V$8:$V$407,$AA636)+INDEX($W$8:$W$407,$AA636),"",IF(629=INDEX($X$8:$X$407,$AA636)+INDEX($V$8:$V$407,$AA636)+INDEX($W$8:$W$407,$AA636),"D",IF(AND(INDEX($W$8:$W$407,$AA636)=1,629=INDEX($X$8:$X$407,$AA636)+INDEX($V$8:$V$407,$AA636)),"S","R"))))))</f>
        <v/>
      </c>
      <c r="AC636" t="str">
        <f t="shared" si="121"/>
        <v/>
      </c>
    </row>
    <row r="637" spans="1:29" ht="21" customHeight="1" x14ac:dyDescent="0.95">
      <c r="A637" s="3" t="str">
        <f t="shared" si="114"/>
        <v/>
      </c>
      <c r="B637" s="3" t="str">
        <f t="shared" si="115"/>
        <v/>
      </c>
      <c r="C637" s="8" t="str">
        <f t="shared" si="116"/>
        <v/>
      </c>
      <c r="D637" s="31" t="str">
        <f t="shared" si="117"/>
        <v/>
      </c>
      <c r="E637" s="32" t="str">
        <f>IF(630=$AD$1+3,"ขอแสดงความนับถือ",IF(630=$AD$1+6,"(                 )",IF(630=$AD$1+7,"เจ้าหน้าที่ขนส่ง",IF($AB637="G",SUM($AF$8:$AF$407),IF(OR($AB637="",$AB637="R"),"",IF($AB637="D",INDEX($AF$8:$AF$407,$AA637),SUMIF($T$8:$T$407,INDEX($T$8:$T$407,$AA637),$AF$8:$AF$407)))))))</f>
        <v/>
      </c>
      <c r="F637" s="32" t="str">
        <f t="shared" si="118"/>
        <v/>
      </c>
      <c r="G637" s="32" t="str">
        <f t="shared" si="119"/>
        <v/>
      </c>
      <c r="H637" s="32" t="str">
        <f t="shared" si="120"/>
        <v/>
      </c>
      <c r="AA637" t="str">
        <f>IFERROR(MATCH(630,$X$8:$X$407,1),"")</f>
        <v/>
      </c>
      <c r="AB637" t="str">
        <f>IF(630=$AD$1+1,"G",IF($AA637="","",IF(INDEX($Q$8:$Q$407,$AA637)="","",IF(630&gt;INDEX($X$8:$X$407,$AA637)+INDEX($V$8:$V$407,$AA637)+INDEX($W$8:$W$407,$AA637),"",IF(630=INDEX($X$8:$X$407,$AA637)+INDEX($V$8:$V$407,$AA637)+INDEX($W$8:$W$407,$AA637),"D",IF(AND(INDEX($W$8:$W$407,$AA637)=1,630=INDEX($X$8:$X$407,$AA637)+INDEX($V$8:$V$407,$AA637)),"S","R"))))))</f>
        <v/>
      </c>
      <c r="AC637" t="str">
        <f t="shared" si="121"/>
        <v/>
      </c>
    </row>
    <row r="638" spans="1:29" ht="21" customHeight="1" x14ac:dyDescent="0.95">
      <c r="A638" s="3" t="str">
        <f t="shared" si="114"/>
        <v/>
      </c>
      <c r="B638" s="3" t="str">
        <f t="shared" si="115"/>
        <v/>
      </c>
      <c r="C638" s="8" t="str">
        <f t="shared" si="116"/>
        <v/>
      </c>
      <c r="D638" s="31" t="str">
        <f t="shared" si="117"/>
        <v/>
      </c>
      <c r="E638" s="32" t="str">
        <f>IF(631=$AD$1+3,"ขอแสดงความนับถือ",IF(631=$AD$1+6,"(                 )",IF(631=$AD$1+7,"เจ้าหน้าที่ขนส่ง",IF($AB638="G",SUM($AF$8:$AF$407),IF(OR($AB638="",$AB638="R"),"",IF($AB638="D",INDEX($AF$8:$AF$407,$AA638),SUMIF($T$8:$T$407,INDEX($T$8:$T$407,$AA638),$AF$8:$AF$407)))))))</f>
        <v/>
      </c>
      <c r="F638" s="32" t="str">
        <f t="shared" si="118"/>
        <v/>
      </c>
      <c r="G638" s="32" t="str">
        <f t="shared" si="119"/>
        <v/>
      </c>
      <c r="H638" s="32" t="str">
        <f t="shared" si="120"/>
        <v/>
      </c>
      <c r="AA638" t="str">
        <f>IFERROR(MATCH(631,$X$8:$X$407,1),"")</f>
        <v/>
      </c>
      <c r="AB638" t="str">
        <f>IF(631=$AD$1+1,"G",IF($AA638="","",IF(INDEX($Q$8:$Q$407,$AA638)="","",IF(631&gt;INDEX($X$8:$X$407,$AA638)+INDEX($V$8:$V$407,$AA638)+INDEX($W$8:$W$407,$AA638),"",IF(631=INDEX($X$8:$X$407,$AA638)+INDEX($V$8:$V$407,$AA638)+INDEX($W$8:$W$407,$AA638),"D",IF(AND(INDEX($W$8:$W$407,$AA638)=1,631=INDEX($X$8:$X$407,$AA638)+INDEX($V$8:$V$407,$AA638)),"S","R"))))))</f>
        <v/>
      </c>
      <c r="AC638" t="str">
        <f t="shared" si="121"/>
        <v/>
      </c>
    </row>
    <row r="639" spans="1:29" ht="21" customHeight="1" x14ac:dyDescent="0.95">
      <c r="A639" s="3" t="str">
        <f t="shared" si="114"/>
        <v/>
      </c>
      <c r="B639" s="3" t="str">
        <f t="shared" si="115"/>
        <v/>
      </c>
      <c r="C639" s="8" t="str">
        <f t="shared" si="116"/>
        <v/>
      </c>
      <c r="D639" s="31" t="str">
        <f t="shared" si="117"/>
        <v/>
      </c>
      <c r="E639" s="32" t="str">
        <f>IF(632=$AD$1+3,"ขอแสดงความนับถือ",IF(632=$AD$1+6,"(                 )",IF(632=$AD$1+7,"เจ้าหน้าที่ขนส่ง",IF($AB639="G",SUM($AF$8:$AF$407),IF(OR($AB639="",$AB639="R"),"",IF($AB639="D",INDEX($AF$8:$AF$407,$AA639),SUMIF($T$8:$T$407,INDEX($T$8:$T$407,$AA639),$AF$8:$AF$407)))))))</f>
        <v/>
      </c>
      <c r="F639" s="32" t="str">
        <f t="shared" si="118"/>
        <v/>
      </c>
      <c r="G639" s="32" t="str">
        <f t="shared" si="119"/>
        <v/>
      </c>
      <c r="H639" s="32" t="str">
        <f t="shared" si="120"/>
        <v/>
      </c>
      <c r="AA639" t="str">
        <f>IFERROR(MATCH(632,$X$8:$X$407,1),"")</f>
        <v/>
      </c>
      <c r="AB639" t="str">
        <f>IF(632=$AD$1+1,"G",IF($AA639="","",IF(INDEX($Q$8:$Q$407,$AA639)="","",IF(632&gt;INDEX($X$8:$X$407,$AA639)+INDEX($V$8:$V$407,$AA639)+INDEX($W$8:$W$407,$AA639),"",IF(632=INDEX($X$8:$X$407,$AA639)+INDEX($V$8:$V$407,$AA639)+INDEX($W$8:$W$407,$AA639),"D",IF(AND(INDEX($W$8:$W$407,$AA639)=1,632=INDEX($X$8:$X$407,$AA639)+INDEX($V$8:$V$407,$AA639)),"S","R"))))))</f>
        <v/>
      </c>
      <c r="AC639" t="str">
        <f t="shared" si="121"/>
        <v/>
      </c>
    </row>
    <row r="640" spans="1:29" ht="21" customHeight="1" x14ac:dyDescent="0.95">
      <c r="A640" s="3" t="str">
        <f t="shared" si="114"/>
        <v/>
      </c>
      <c r="B640" s="3" t="str">
        <f t="shared" si="115"/>
        <v/>
      </c>
      <c r="C640" s="8" t="str">
        <f t="shared" si="116"/>
        <v/>
      </c>
      <c r="D640" s="31" t="str">
        <f t="shared" si="117"/>
        <v/>
      </c>
      <c r="E640" s="32" t="str">
        <f>IF(633=$AD$1+3,"ขอแสดงความนับถือ",IF(633=$AD$1+6,"(                 )",IF(633=$AD$1+7,"เจ้าหน้าที่ขนส่ง",IF($AB640="G",SUM($AF$8:$AF$407),IF(OR($AB640="",$AB640="R"),"",IF($AB640="D",INDEX($AF$8:$AF$407,$AA640),SUMIF($T$8:$T$407,INDEX($T$8:$T$407,$AA640),$AF$8:$AF$407)))))))</f>
        <v/>
      </c>
      <c r="F640" s="32" t="str">
        <f t="shared" si="118"/>
        <v/>
      </c>
      <c r="G640" s="32" t="str">
        <f t="shared" si="119"/>
        <v/>
      </c>
      <c r="H640" s="32" t="str">
        <f t="shared" si="120"/>
        <v/>
      </c>
      <c r="AA640" t="str">
        <f>IFERROR(MATCH(633,$X$8:$X$407,1),"")</f>
        <v/>
      </c>
      <c r="AB640" t="str">
        <f>IF(633=$AD$1+1,"G",IF($AA640="","",IF(INDEX($Q$8:$Q$407,$AA640)="","",IF(633&gt;INDEX($X$8:$X$407,$AA640)+INDEX($V$8:$V$407,$AA640)+INDEX($W$8:$W$407,$AA640),"",IF(633=INDEX($X$8:$X$407,$AA640)+INDEX($V$8:$V$407,$AA640)+INDEX($W$8:$W$407,$AA640),"D",IF(AND(INDEX($W$8:$W$407,$AA640)=1,633=INDEX($X$8:$X$407,$AA640)+INDEX($V$8:$V$407,$AA640)),"S","R"))))))</f>
        <v/>
      </c>
      <c r="AC640" t="str">
        <f t="shared" si="121"/>
        <v/>
      </c>
    </row>
    <row r="641" spans="1:29" ht="21" customHeight="1" x14ac:dyDescent="0.95">
      <c r="A641" s="3" t="str">
        <f t="shared" si="114"/>
        <v/>
      </c>
      <c r="B641" s="3" t="str">
        <f t="shared" si="115"/>
        <v/>
      </c>
      <c r="C641" s="8" t="str">
        <f t="shared" si="116"/>
        <v/>
      </c>
      <c r="D641" s="31" t="str">
        <f t="shared" si="117"/>
        <v/>
      </c>
      <c r="E641" s="32" t="str">
        <f>IF(634=$AD$1+3,"ขอแสดงความนับถือ",IF(634=$AD$1+6,"(                 )",IF(634=$AD$1+7,"เจ้าหน้าที่ขนส่ง",IF($AB641="G",SUM($AF$8:$AF$407),IF(OR($AB641="",$AB641="R"),"",IF($AB641="D",INDEX($AF$8:$AF$407,$AA641),SUMIF($T$8:$T$407,INDEX($T$8:$T$407,$AA641),$AF$8:$AF$407)))))))</f>
        <v/>
      </c>
      <c r="F641" s="32" t="str">
        <f t="shared" si="118"/>
        <v/>
      </c>
      <c r="G641" s="32" t="str">
        <f t="shared" si="119"/>
        <v/>
      </c>
      <c r="H641" s="32" t="str">
        <f t="shared" si="120"/>
        <v/>
      </c>
      <c r="AA641" t="str">
        <f>IFERROR(MATCH(634,$X$8:$X$407,1),"")</f>
        <v/>
      </c>
      <c r="AB641" t="str">
        <f>IF(634=$AD$1+1,"G",IF($AA641="","",IF(INDEX($Q$8:$Q$407,$AA641)="","",IF(634&gt;INDEX($X$8:$X$407,$AA641)+INDEX($V$8:$V$407,$AA641)+INDEX($W$8:$W$407,$AA641),"",IF(634=INDEX($X$8:$X$407,$AA641)+INDEX($V$8:$V$407,$AA641)+INDEX($W$8:$W$407,$AA641),"D",IF(AND(INDEX($W$8:$W$407,$AA641)=1,634=INDEX($X$8:$X$407,$AA641)+INDEX($V$8:$V$407,$AA641)),"S","R"))))))</f>
        <v/>
      </c>
      <c r="AC641" t="str">
        <f t="shared" si="121"/>
        <v/>
      </c>
    </row>
    <row r="642" spans="1:29" ht="21" customHeight="1" x14ac:dyDescent="0.95">
      <c r="A642" s="3" t="str">
        <f t="shared" si="114"/>
        <v/>
      </c>
      <c r="B642" s="3" t="str">
        <f t="shared" si="115"/>
        <v/>
      </c>
      <c r="C642" s="8" t="str">
        <f t="shared" si="116"/>
        <v/>
      </c>
      <c r="D642" s="31" t="str">
        <f t="shared" si="117"/>
        <v/>
      </c>
      <c r="E642" s="32" t="str">
        <f>IF(635=$AD$1+3,"ขอแสดงความนับถือ",IF(635=$AD$1+6,"(                 )",IF(635=$AD$1+7,"เจ้าหน้าที่ขนส่ง",IF($AB642="G",SUM($AF$8:$AF$407),IF(OR($AB642="",$AB642="R"),"",IF($AB642="D",INDEX($AF$8:$AF$407,$AA642),SUMIF($T$8:$T$407,INDEX($T$8:$T$407,$AA642),$AF$8:$AF$407)))))))</f>
        <v/>
      </c>
      <c r="F642" s="32" t="str">
        <f t="shared" si="118"/>
        <v/>
      </c>
      <c r="G642" s="32" t="str">
        <f t="shared" si="119"/>
        <v/>
      </c>
      <c r="H642" s="32" t="str">
        <f t="shared" si="120"/>
        <v/>
      </c>
      <c r="AA642" t="str">
        <f>IFERROR(MATCH(635,$X$8:$X$407,1),"")</f>
        <v/>
      </c>
      <c r="AB642" t="str">
        <f>IF(635=$AD$1+1,"G",IF($AA642="","",IF(INDEX($Q$8:$Q$407,$AA642)="","",IF(635&gt;INDEX($X$8:$X$407,$AA642)+INDEX($V$8:$V$407,$AA642)+INDEX($W$8:$W$407,$AA642),"",IF(635=INDEX($X$8:$X$407,$AA642)+INDEX($V$8:$V$407,$AA642)+INDEX($W$8:$W$407,$AA642),"D",IF(AND(INDEX($W$8:$W$407,$AA642)=1,635=INDEX($X$8:$X$407,$AA642)+INDEX($V$8:$V$407,$AA642)),"S","R"))))))</f>
        <v/>
      </c>
      <c r="AC642" t="str">
        <f t="shared" si="121"/>
        <v/>
      </c>
    </row>
    <row r="643" spans="1:29" ht="21" customHeight="1" x14ac:dyDescent="0.95">
      <c r="A643" s="3" t="str">
        <f t="shared" si="114"/>
        <v/>
      </c>
      <c r="B643" s="3" t="str">
        <f t="shared" si="115"/>
        <v/>
      </c>
      <c r="C643" s="8" t="str">
        <f t="shared" si="116"/>
        <v/>
      </c>
      <c r="D643" s="31" t="str">
        <f t="shared" si="117"/>
        <v/>
      </c>
      <c r="E643" s="32" t="str">
        <f>IF(636=$AD$1+3,"ขอแสดงความนับถือ",IF(636=$AD$1+6,"(                 )",IF(636=$AD$1+7,"เจ้าหน้าที่ขนส่ง",IF($AB643="G",SUM($AF$8:$AF$407),IF(OR($AB643="",$AB643="R"),"",IF($AB643="D",INDEX($AF$8:$AF$407,$AA643),SUMIF($T$8:$T$407,INDEX($T$8:$T$407,$AA643),$AF$8:$AF$407)))))))</f>
        <v/>
      </c>
      <c r="F643" s="32" t="str">
        <f t="shared" si="118"/>
        <v/>
      </c>
      <c r="G643" s="32" t="str">
        <f t="shared" si="119"/>
        <v/>
      </c>
      <c r="H643" s="32" t="str">
        <f t="shared" si="120"/>
        <v/>
      </c>
      <c r="AA643" t="str">
        <f>IFERROR(MATCH(636,$X$8:$X$407,1),"")</f>
        <v/>
      </c>
      <c r="AB643" t="str">
        <f>IF(636=$AD$1+1,"G",IF($AA643="","",IF(INDEX($Q$8:$Q$407,$AA643)="","",IF(636&gt;INDEX($X$8:$X$407,$AA643)+INDEX($V$8:$V$407,$AA643)+INDEX($W$8:$W$407,$AA643),"",IF(636=INDEX($X$8:$X$407,$AA643)+INDEX($V$8:$V$407,$AA643)+INDEX($W$8:$W$407,$AA643),"D",IF(AND(INDEX($W$8:$W$407,$AA643)=1,636=INDEX($X$8:$X$407,$AA643)+INDEX($V$8:$V$407,$AA643)),"S","R"))))))</f>
        <v/>
      </c>
      <c r="AC643" t="str">
        <f t="shared" si="121"/>
        <v/>
      </c>
    </row>
    <row r="644" spans="1:29" ht="21" customHeight="1" x14ac:dyDescent="0.95">
      <c r="A644" s="3" t="str">
        <f t="shared" si="114"/>
        <v/>
      </c>
      <c r="B644" s="3" t="str">
        <f t="shared" si="115"/>
        <v/>
      </c>
      <c r="C644" s="8" t="str">
        <f t="shared" si="116"/>
        <v/>
      </c>
      <c r="D644" s="31" t="str">
        <f t="shared" si="117"/>
        <v/>
      </c>
      <c r="E644" s="32" t="str">
        <f>IF(637=$AD$1+3,"ขอแสดงความนับถือ",IF(637=$AD$1+6,"(                 )",IF(637=$AD$1+7,"เจ้าหน้าที่ขนส่ง",IF($AB644="G",SUM($AF$8:$AF$407),IF(OR($AB644="",$AB644="R"),"",IF($AB644="D",INDEX($AF$8:$AF$407,$AA644),SUMIF($T$8:$T$407,INDEX($T$8:$T$407,$AA644),$AF$8:$AF$407)))))))</f>
        <v/>
      </c>
      <c r="F644" s="32" t="str">
        <f t="shared" si="118"/>
        <v/>
      </c>
      <c r="G644" s="32" t="str">
        <f t="shared" si="119"/>
        <v/>
      </c>
      <c r="H644" s="32" t="str">
        <f t="shared" si="120"/>
        <v/>
      </c>
      <c r="AA644" t="str">
        <f>IFERROR(MATCH(637,$X$8:$X$407,1),"")</f>
        <v/>
      </c>
      <c r="AB644" t="str">
        <f>IF(637=$AD$1+1,"G",IF($AA644="","",IF(INDEX($Q$8:$Q$407,$AA644)="","",IF(637&gt;INDEX($X$8:$X$407,$AA644)+INDEX($V$8:$V$407,$AA644)+INDEX($W$8:$W$407,$AA644),"",IF(637=INDEX($X$8:$X$407,$AA644)+INDEX($V$8:$V$407,$AA644)+INDEX($W$8:$W$407,$AA644),"D",IF(AND(INDEX($W$8:$W$407,$AA644)=1,637=INDEX($X$8:$X$407,$AA644)+INDEX($V$8:$V$407,$AA644)),"S","R"))))))</f>
        <v/>
      </c>
      <c r="AC644" t="str">
        <f t="shared" si="121"/>
        <v/>
      </c>
    </row>
    <row r="645" spans="1:29" ht="21" customHeight="1" x14ac:dyDescent="0.95">
      <c r="A645" s="3" t="str">
        <f t="shared" si="114"/>
        <v/>
      </c>
      <c r="B645" s="3" t="str">
        <f t="shared" si="115"/>
        <v/>
      </c>
      <c r="C645" s="8" t="str">
        <f t="shared" si="116"/>
        <v/>
      </c>
      <c r="D645" s="31" t="str">
        <f t="shared" si="117"/>
        <v/>
      </c>
      <c r="E645" s="32" t="str">
        <f>IF(638=$AD$1+3,"ขอแสดงความนับถือ",IF(638=$AD$1+6,"(                 )",IF(638=$AD$1+7,"เจ้าหน้าที่ขนส่ง",IF($AB645="G",SUM($AF$8:$AF$407),IF(OR($AB645="",$AB645="R"),"",IF($AB645="D",INDEX($AF$8:$AF$407,$AA645),SUMIF($T$8:$T$407,INDEX($T$8:$T$407,$AA645),$AF$8:$AF$407)))))))</f>
        <v/>
      </c>
      <c r="F645" s="32" t="str">
        <f t="shared" si="118"/>
        <v/>
      </c>
      <c r="G645" s="32" t="str">
        <f t="shared" si="119"/>
        <v/>
      </c>
      <c r="H645" s="32" t="str">
        <f t="shared" si="120"/>
        <v/>
      </c>
      <c r="AA645" t="str">
        <f>IFERROR(MATCH(638,$X$8:$X$407,1),"")</f>
        <v/>
      </c>
      <c r="AB645" t="str">
        <f>IF(638=$AD$1+1,"G",IF($AA645="","",IF(INDEX($Q$8:$Q$407,$AA645)="","",IF(638&gt;INDEX($X$8:$X$407,$AA645)+INDEX($V$8:$V$407,$AA645)+INDEX($W$8:$W$407,$AA645),"",IF(638=INDEX($X$8:$X$407,$AA645)+INDEX($V$8:$V$407,$AA645)+INDEX($W$8:$W$407,$AA645),"D",IF(AND(INDEX($W$8:$W$407,$AA645)=1,638=INDEX($X$8:$X$407,$AA645)+INDEX($V$8:$V$407,$AA645)),"S","R"))))))</f>
        <v/>
      </c>
      <c r="AC645" t="str">
        <f t="shared" si="121"/>
        <v/>
      </c>
    </row>
    <row r="646" spans="1:29" ht="21" customHeight="1" x14ac:dyDescent="0.95">
      <c r="A646" s="3" t="str">
        <f t="shared" si="114"/>
        <v/>
      </c>
      <c r="B646" s="3" t="str">
        <f t="shared" si="115"/>
        <v/>
      </c>
      <c r="C646" s="8" t="str">
        <f t="shared" si="116"/>
        <v/>
      </c>
      <c r="D646" s="31" t="str">
        <f t="shared" si="117"/>
        <v/>
      </c>
      <c r="E646" s="32" t="str">
        <f>IF(639=$AD$1+3,"ขอแสดงความนับถือ",IF(639=$AD$1+6,"(                 )",IF(639=$AD$1+7,"เจ้าหน้าที่ขนส่ง",IF($AB646="G",SUM($AF$8:$AF$407),IF(OR($AB646="",$AB646="R"),"",IF($AB646="D",INDEX($AF$8:$AF$407,$AA646),SUMIF($T$8:$T$407,INDEX($T$8:$T$407,$AA646),$AF$8:$AF$407)))))))</f>
        <v/>
      </c>
      <c r="F646" s="32" t="str">
        <f t="shared" si="118"/>
        <v/>
      </c>
      <c r="G646" s="32" t="str">
        <f t="shared" si="119"/>
        <v/>
      </c>
      <c r="H646" s="32" t="str">
        <f t="shared" si="120"/>
        <v/>
      </c>
      <c r="AA646" t="str">
        <f>IFERROR(MATCH(639,$X$8:$X$407,1),"")</f>
        <v/>
      </c>
      <c r="AB646" t="str">
        <f>IF(639=$AD$1+1,"G",IF($AA646="","",IF(INDEX($Q$8:$Q$407,$AA646)="","",IF(639&gt;INDEX($X$8:$X$407,$AA646)+INDEX($V$8:$V$407,$AA646)+INDEX($W$8:$W$407,$AA646),"",IF(639=INDEX($X$8:$X$407,$AA646)+INDEX($V$8:$V$407,$AA646)+INDEX($W$8:$W$407,$AA646),"D",IF(AND(INDEX($W$8:$W$407,$AA646)=1,639=INDEX($X$8:$X$407,$AA646)+INDEX($V$8:$V$407,$AA646)),"S","R"))))))</f>
        <v/>
      </c>
      <c r="AC646" t="str">
        <f t="shared" si="121"/>
        <v/>
      </c>
    </row>
    <row r="647" spans="1:29" ht="21" customHeight="1" x14ac:dyDescent="0.95">
      <c r="A647" s="3" t="str">
        <f t="shared" si="114"/>
        <v/>
      </c>
      <c r="B647" s="3" t="str">
        <f t="shared" si="115"/>
        <v/>
      </c>
      <c r="C647" s="8" t="str">
        <f t="shared" si="116"/>
        <v/>
      </c>
      <c r="D647" s="31" t="str">
        <f t="shared" si="117"/>
        <v/>
      </c>
      <c r="E647" s="32" t="str">
        <f>IF(640=$AD$1+3,"ขอแสดงความนับถือ",IF(640=$AD$1+6,"(                 )",IF(640=$AD$1+7,"เจ้าหน้าที่ขนส่ง",IF($AB647="G",SUM($AF$8:$AF$407),IF(OR($AB647="",$AB647="R"),"",IF($AB647="D",INDEX($AF$8:$AF$407,$AA647),SUMIF($T$8:$T$407,INDEX($T$8:$T$407,$AA647),$AF$8:$AF$407)))))))</f>
        <v/>
      </c>
      <c r="F647" s="32" t="str">
        <f t="shared" si="118"/>
        <v/>
      </c>
      <c r="G647" s="32" t="str">
        <f t="shared" si="119"/>
        <v/>
      </c>
      <c r="H647" s="32" t="str">
        <f t="shared" si="120"/>
        <v/>
      </c>
      <c r="AA647" t="str">
        <f>IFERROR(MATCH(640,$X$8:$X$407,1),"")</f>
        <v/>
      </c>
      <c r="AB647" t="str">
        <f>IF(640=$AD$1+1,"G",IF($AA647="","",IF(INDEX($Q$8:$Q$407,$AA647)="","",IF(640&gt;INDEX($X$8:$X$407,$AA647)+INDEX($V$8:$V$407,$AA647)+INDEX($W$8:$W$407,$AA647),"",IF(640=INDEX($X$8:$X$407,$AA647)+INDEX($V$8:$V$407,$AA647)+INDEX($W$8:$W$407,$AA647),"D",IF(AND(INDEX($W$8:$W$407,$AA647)=1,640=INDEX($X$8:$X$407,$AA647)+INDEX($V$8:$V$407,$AA647)),"S","R"))))))</f>
        <v/>
      </c>
      <c r="AC647" t="str">
        <f t="shared" si="121"/>
        <v/>
      </c>
    </row>
    <row r="648" spans="1:29" ht="21" customHeight="1" x14ac:dyDescent="0.95">
      <c r="A648" s="3" t="str">
        <f t="shared" ref="A648:A707" si="122">IF($AB648="G","ผลรวมทั้งหมด",IF($AB648="R",INDEX($S$8:$S$407,$AA648),""))</f>
        <v/>
      </c>
      <c r="B648" s="3" t="str">
        <f t="shared" ref="B648:B707" si="123">IF($AB648="S",INDEX($Y$8:$Y$407,$AA648),"")</f>
        <v/>
      </c>
      <c r="C648" s="8" t="str">
        <f t="shared" ref="C648:C707" si="124">IF($AB648="D",INDEX($Z$8:$Z$407,$AA648),"")</f>
        <v/>
      </c>
      <c r="D648" s="31" t="str">
        <f t="shared" ref="D648:D707" si="125">IF($AB648="G",SUM($AE$8:$AE$407),IF(OR($AB648="",$AB648="R"),"",IF($AB648="D",INDEX($AE$8:$AE$407,$AA648),SUMIF($T$8:$T$407,INDEX($T$8:$T$407,$AA648),$AE$8:$AE$407))))</f>
        <v/>
      </c>
      <c r="E648" s="32" t="str">
        <f>IF(641=$AD$1+3,"ขอแสดงความนับถือ",IF(641=$AD$1+6,"(                 )",IF(641=$AD$1+7,"เจ้าหน้าที่ขนส่ง",IF($AB648="G",SUM($AF$8:$AF$407),IF(OR($AB648="",$AB648="R"),"",IF($AB648="D",INDEX($AF$8:$AF$407,$AA648),SUMIF($T$8:$T$407,INDEX($T$8:$T$407,$AA648),$AF$8:$AF$407)))))))</f>
        <v/>
      </c>
      <c r="F648" s="32" t="str">
        <f t="shared" ref="F648:F707" si="126">IF($AB648="G",SUM($AG$8:$AG$407),IF(OR($AB648="",$AB648="R"),"",IF($AB648="D",INDEX($AG$8:$AG$407,$AA648),SUMIF($T$8:$T$407,INDEX($T$8:$T$407,$AA648),$AG$8:$AG$407))))</f>
        <v/>
      </c>
      <c r="G648" s="32" t="str">
        <f t="shared" ref="G648:G707" si="127">IF(OR($AB648="",$AB648="R"),"",ROUND($E648-$F648,2))</f>
        <v/>
      </c>
      <c r="H648" s="32" t="str">
        <f t="shared" ref="H648:H707" si="128">IF($AB648="G",SUM($AH$8:$AH$407),IF(OR($AB648="",$AB648="R"),"",IF($AB648="D",INDEX($AH$8:$AH$407,$AA648),SUMIF($T$8:$T$407,INDEX($T$8:$T$407,$AA648),$AH$8:$AH$407))))</f>
        <v/>
      </c>
      <c r="AA648" t="str">
        <f>IFERROR(MATCH(641,$X$8:$X$407,1),"")</f>
        <v/>
      </c>
      <c r="AB648" t="str">
        <f>IF(641=$AD$1+1,"G",IF($AA648="","",IF(INDEX($Q$8:$Q$407,$AA648)="","",IF(641&gt;INDEX($X$8:$X$407,$AA648)+INDEX($V$8:$V$407,$AA648)+INDEX($W$8:$W$407,$AA648),"",IF(641=INDEX($X$8:$X$407,$AA648)+INDEX($V$8:$V$407,$AA648)+INDEX($W$8:$W$407,$AA648),"D",IF(AND(INDEX($W$8:$W$407,$AA648)=1,641=INDEX($X$8:$X$407,$AA648)+INDEX($V$8:$V$407,$AA648)),"S","R"))))))</f>
        <v/>
      </c>
      <c r="AC648" t="str">
        <f t="shared" ref="AC648:AC707" si="129">IF(OR($AB648="",$AB648="G"),"",IF($AB648="D",INDEX($U$8:$U$407,$AA648),IF($AB648="S",INDEX($T$8:$T$407,$AA648)&amp;"|*",INDEX($S$8:$S$407,$AA648)&amp;"|*")))</f>
        <v/>
      </c>
    </row>
    <row r="649" spans="1:29" ht="21" customHeight="1" x14ac:dyDescent="0.95">
      <c r="A649" s="3" t="str">
        <f t="shared" si="122"/>
        <v/>
      </c>
      <c r="B649" s="3" t="str">
        <f t="shared" si="123"/>
        <v/>
      </c>
      <c r="C649" s="8" t="str">
        <f t="shared" si="124"/>
        <v/>
      </c>
      <c r="D649" s="31" t="str">
        <f t="shared" si="125"/>
        <v/>
      </c>
      <c r="E649" s="32" t="str">
        <f>IF(642=$AD$1+3,"ขอแสดงความนับถือ",IF(642=$AD$1+6,"(                 )",IF(642=$AD$1+7,"เจ้าหน้าที่ขนส่ง",IF($AB649="G",SUM($AF$8:$AF$407),IF(OR($AB649="",$AB649="R"),"",IF($AB649="D",INDEX($AF$8:$AF$407,$AA649),SUMIF($T$8:$T$407,INDEX($T$8:$T$407,$AA649),$AF$8:$AF$407)))))))</f>
        <v/>
      </c>
      <c r="F649" s="32" t="str">
        <f t="shared" si="126"/>
        <v/>
      </c>
      <c r="G649" s="32" t="str">
        <f t="shared" si="127"/>
        <v/>
      </c>
      <c r="H649" s="32" t="str">
        <f t="shared" si="128"/>
        <v/>
      </c>
      <c r="AA649" t="str">
        <f>IFERROR(MATCH(642,$X$8:$X$407,1),"")</f>
        <v/>
      </c>
      <c r="AB649" t="str">
        <f>IF(642=$AD$1+1,"G",IF($AA649="","",IF(INDEX($Q$8:$Q$407,$AA649)="","",IF(642&gt;INDEX($X$8:$X$407,$AA649)+INDEX($V$8:$V$407,$AA649)+INDEX($W$8:$W$407,$AA649),"",IF(642=INDEX($X$8:$X$407,$AA649)+INDEX($V$8:$V$407,$AA649)+INDEX($W$8:$W$407,$AA649),"D",IF(AND(INDEX($W$8:$W$407,$AA649)=1,642=INDEX($X$8:$X$407,$AA649)+INDEX($V$8:$V$407,$AA649)),"S","R"))))))</f>
        <v/>
      </c>
      <c r="AC649" t="str">
        <f t="shared" si="129"/>
        <v/>
      </c>
    </row>
    <row r="650" spans="1:29" ht="21" customHeight="1" x14ac:dyDescent="0.95">
      <c r="A650" s="3" t="str">
        <f t="shared" si="122"/>
        <v/>
      </c>
      <c r="B650" s="3" t="str">
        <f t="shared" si="123"/>
        <v/>
      </c>
      <c r="C650" s="8" t="str">
        <f t="shared" si="124"/>
        <v/>
      </c>
      <c r="D650" s="31" t="str">
        <f t="shared" si="125"/>
        <v/>
      </c>
      <c r="E650" s="32" t="str">
        <f>IF(643=$AD$1+3,"ขอแสดงความนับถือ",IF(643=$AD$1+6,"(                 )",IF(643=$AD$1+7,"เจ้าหน้าที่ขนส่ง",IF($AB650="G",SUM($AF$8:$AF$407),IF(OR($AB650="",$AB650="R"),"",IF($AB650="D",INDEX($AF$8:$AF$407,$AA650),SUMIF($T$8:$T$407,INDEX($T$8:$T$407,$AA650),$AF$8:$AF$407)))))))</f>
        <v/>
      </c>
      <c r="F650" s="32" t="str">
        <f t="shared" si="126"/>
        <v/>
      </c>
      <c r="G650" s="32" t="str">
        <f t="shared" si="127"/>
        <v/>
      </c>
      <c r="H650" s="32" t="str">
        <f t="shared" si="128"/>
        <v/>
      </c>
      <c r="AA650" t="str">
        <f>IFERROR(MATCH(643,$X$8:$X$407,1),"")</f>
        <v/>
      </c>
      <c r="AB650" t="str">
        <f>IF(643=$AD$1+1,"G",IF($AA650="","",IF(INDEX($Q$8:$Q$407,$AA650)="","",IF(643&gt;INDEX($X$8:$X$407,$AA650)+INDEX($V$8:$V$407,$AA650)+INDEX($W$8:$W$407,$AA650),"",IF(643=INDEX($X$8:$X$407,$AA650)+INDEX($V$8:$V$407,$AA650)+INDEX($W$8:$W$407,$AA650),"D",IF(AND(INDEX($W$8:$W$407,$AA650)=1,643=INDEX($X$8:$X$407,$AA650)+INDEX($V$8:$V$407,$AA650)),"S","R"))))))</f>
        <v/>
      </c>
      <c r="AC650" t="str">
        <f t="shared" si="129"/>
        <v/>
      </c>
    </row>
    <row r="651" spans="1:29" ht="21" customHeight="1" x14ac:dyDescent="0.95">
      <c r="A651" s="3" t="str">
        <f t="shared" si="122"/>
        <v/>
      </c>
      <c r="B651" s="3" t="str">
        <f t="shared" si="123"/>
        <v/>
      </c>
      <c r="C651" s="8" t="str">
        <f t="shared" si="124"/>
        <v/>
      </c>
      <c r="D651" s="31" t="str">
        <f t="shared" si="125"/>
        <v/>
      </c>
      <c r="E651" s="32" t="str">
        <f>IF(644=$AD$1+3,"ขอแสดงความนับถือ",IF(644=$AD$1+6,"(                 )",IF(644=$AD$1+7,"เจ้าหน้าที่ขนส่ง",IF($AB651="G",SUM($AF$8:$AF$407),IF(OR($AB651="",$AB651="R"),"",IF($AB651="D",INDEX($AF$8:$AF$407,$AA651),SUMIF($T$8:$T$407,INDEX($T$8:$T$407,$AA651),$AF$8:$AF$407)))))))</f>
        <v/>
      </c>
      <c r="F651" s="32" t="str">
        <f t="shared" si="126"/>
        <v/>
      </c>
      <c r="G651" s="32" t="str">
        <f t="shared" si="127"/>
        <v/>
      </c>
      <c r="H651" s="32" t="str">
        <f t="shared" si="128"/>
        <v/>
      </c>
      <c r="AA651" t="str">
        <f>IFERROR(MATCH(644,$X$8:$X$407,1),"")</f>
        <v/>
      </c>
      <c r="AB651" t="str">
        <f>IF(644=$AD$1+1,"G",IF($AA651="","",IF(INDEX($Q$8:$Q$407,$AA651)="","",IF(644&gt;INDEX($X$8:$X$407,$AA651)+INDEX($V$8:$V$407,$AA651)+INDEX($W$8:$W$407,$AA651),"",IF(644=INDEX($X$8:$X$407,$AA651)+INDEX($V$8:$V$407,$AA651)+INDEX($W$8:$W$407,$AA651),"D",IF(AND(INDEX($W$8:$W$407,$AA651)=1,644=INDEX($X$8:$X$407,$AA651)+INDEX($V$8:$V$407,$AA651)),"S","R"))))))</f>
        <v/>
      </c>
      <c r="AC651" t="str">
        <f t="shared" si="129"/>
        <v/>
      </c>
    </row>
    <row r="652" spans="1:29" ht="21" customHeight="1" x14ac:dyDescent="0.95">
      <c r="A652" s="3" t="str">
        <f t="shared" si="122"/>
        <v/>
      </c>
      <c r="B652" s="3" t="str">
        <f t="shared" si="123"/>
        <v/>
      </c>
      <c r="C652" s="8" t="str">
        <f t="shared" si="124"/>
        <v/>
      </c>
      <c r="D652" s="31" t="str">
        <f t="shared" si="125"/>
        <v/>
      </c>
      <c r="E652" s="32" t="str">
        <f>IF(645=$AD$1+3,"ขอแสดงความนับถือ",IF(645=$AD$1+6,"(                 )",IF(645=$AD$1+7,"เจ้าหน้าที่ขนส่ง",IF($AB652="G",SUM($AF$8:$AF$407),IF(OR($AB652="",$AB652="R"),"",IF($AB652="D",INDEX($AF$8:$AF$407,$AA652),SUMIF($T$8:$T$407,INDEX($T$8:$T$407,$AA652),$AF$8:$AF$407)))))))</f>
        <v/>
      </c>
      <c r="F652" s="32" t="str">
        <f t="shared" si="126"/>
        <v/>
      </c>
      <c r="G652" s="32" t="str">
        <f t="shared" si="127"/>
        <v/>
      </c>
      <c r="H652" s="32" t="str">
        <f t="shared" si="128"/>
        <v/>
      </c>
      <c r="AA652" t="str">
        <f>IFERROR(MATCH(645,$X$8:$X$407,1),"")</f>
        <v/>
      </c>
      <c r="AB652" t="str">
        <f>IF(645=$AD$1+1,"G",IF($AA652="","",IF(INDEX($Q$8:$Q$407,$AA652)="","",IF(645&gt;INDEX($X$8:$X$407,$AA652)+INDEX($V$8:$V$407,$AA652)+INDEX($W$8:$W$407,$AA652),"",IF(645=INDEX($X$8:$X$407,$AA652)+INDEX($V$8:$V$407,$AA652)+INDEX($W$8:$W$407,$AA652),"D",IF(AND(INDEX($W$8:$W$407,$AA652)=1,645=INDEX($X$8:$X$407,$AA652)+INDEX($V$8:$V$407,$AA652)),"S","R"))))))</f>
        <v/>
      </c>
      <c r="AC652" t="str">
        <f t="shared" si="129"/>
        <v/>
      </c>
    </row>
    <row r="653" spans="1:29" ht="21" customHeight="1" x14ac:dyDescent="0.95">
      <c r="A653" s="3" t="str">
        <f t="shared" si="122"/>
        <v/>
      </c>
      <c r="B653" s="3" t="str">
        <f t="shared" si="123"/>
        <v/>
      </c>
      <c r="C653" s="8" t="str">
        <f t="shared" si="124"/>
        <v/>
      </c>
      <c r="D653" s="31" t="str">
        <f t="shared" si="125"/>
        <v/>
      </c>
      <c r="E653" s="32" t="str">
        <f>IF(646=$AD$1+3,"ขอแสดงความนับถือ",IF(646=$AD$1+6,"(                 )",IF(646=$AD$1+7,"เจ้าหน้าที่ขนส่ง",IF($AB653="G",SUM($AF$8:$AF$407),IF(OR($AB653="",$AB653="R"),"",IF($AB653="D",INDEX($AF$8:$AF$407,$AA653),SUMIF($T$8:$T$407,INDEX($T$8:$T$407,$AA653),$AF$8:$AF$407)))))))</f>
        <v/>
      </c>
      <c r="F653" s="32" t="str">
        <f t="shared" si="126"/>
        <v/>
      </c>
      <c r="G653" s="32" t="str">
        <f t="shared" si="127"/>
        <v/>
      </c>
      <c r="H653" s="32" t="str">
        <f t="shared" si="128"/>
        <v/>
      </c>
      <c r="AA653" t="str">
        <f>IFERROR(MATCH(646,$X$8:$X$407,1),"")</f>
        <v/>
      </c>
      <c r="AB653" t="str">
        <f>IF(646=$AD$1+1,"G",IF($AA653="","",IF(INDEX($Q$8:$Q$407,$AA653)="","",IF(646&gt;INDEX($X$8:$X$407,$AA653)+INDEX($V$8:$V$407,$AA653)+INDEX($W$8:$W$407,$AA653),"",IF(646=INDEX($X$8:$X$407,$AA653)+INDEX($V$8:$V$407,$AA653)+INDEX($W$8:$W$407,$AA653),"D",IF(AND(INDEX($W$8:$W$407,$AA653)=1,646=INDEX($X$8:$X$407,$AA653)+INDEX($V$8:$V$407,$AA653)),"S","R"))))))</f>
        <v/>
      </c>
      <c r="AC653" t="str">
        <f t="shared" si="129"/>
        <v/>
      </c>
    </row>
    <row r="654" spans="1:29" ht="21" customHeight="1" x14ac:dyDescent="0.95">
      <c r="A654" s="3" t="str">
        <f t="shared" si="122"/>
        <v/>
      </c>
      <c r="B654" s="3" t="str">
        <f t="shared" si="123"/>
        <v/>
      </c>
      <c r="C654" s="8" t="str">
        <f t="shared" si="124"/>
        <v/>
      </c>
      <c r="D654" s="31" t="str">
        <f t="shared" si="125"/>
        <v/>
      </c>
      <c r="E654" s="32" t="str">
        <f>IF(647=$AD$1+3,"ขอแสดงความนับถือ",IF(647=$AD$1+6,"(                 )",IF(647=$AD$1+7,"เจ้าหน้าที่ขนส่ง",IF($AB654="G",SUM($AF$8:$AF$407),IF(OR($AB654="",$AB654="R"),"",IF($AB654="D",INDEX($AF$8:$AF$407,$AA654),SUMIF($T$8:$T$407,INDEX($T$8:$T$407,$AA654),$AF$8:$AF$407)))))))</f>
        <v/>
      </c>
      <c r="F654" s="32" t="str">
        <f t="shared" si="126"/>
        <v/>
      </c>
      <c r="G654" s="32" t="str">
        <f t="shared" si="127"/>
        <v/>
      </c>
      <c r="H654" s="32" t="str">
        <f t="shared" si="128"/>
        <v/>
      </c>
      <c r="AA654" t="str">
        <f>IFERROR(MATCH(647,$X$8:$X$407,1),"")</f>
        <v/>
      </c>
      <c r="AB654" t="str">
        <f>IF(647=$AD$1+1,"G",IF($AA654="","",IF(INDEX($Q$8:$Q$407,$AA654)="","",IF(647&gt;INDEX($X$8:$X$407,$AA654)+INDEX($V$8:$V$407,$AA654)+INDEX($W$8:$W$407,$AA654),"",IF(647=INDEX($X$8:$X$407,$AA654)+INDEX($V$8:$V$407,$AA654)+INDEX($W$8:$W$407,$AA654),"D",IF(AND(INDEX($W$8:$W$407,$AA654)=1,647=INDEX($X$8:$X$407,$AA654)+INDEX($V$8:$V$407,$AA654)),"S","R"))))))</f>
        <v/>
      </c>
      <c r="AC654" t="str">
        <f t="shared" si="129"/>
        <v/>
      </c>
    </row>
    <row r="655" spans="1:29" ht="21" customHeight="1" x14ac:dyDescent="0.95">
      <c r="A655" s="3" t="str">
        <f t="shared" si="122"/>
        <v/>
      </c>
      <c r="B655" s="3" t="str">
        <f t="shared" si="123"/>
        <v/>
      </c>
      <c r="C655" s="8" t="str">
        <f t="shared" si="124"/>
        <v/>
      </c>
      <c r="D655" s="31" t="str">
        <f t="shared" si="125"/>
        <v/>
      </c>
      <c r="E655" s="32" t="str">
        <f>IF(648=$AD$1+3,"ขอแสดงความนับถือ",IF(648=$AD$1+6,"(                 )",IF(648=$AD$1+7,"เจ้าหน้าที่ขนส่ง",IF($AB655="G",SUM($AF$8:$AF$407),IF(OR($AB655="",$AB655="R"),"",IF($AB655="D",INDEX($AF$8:$AF$407,$AA655),SUMIF($T$8:$T$407,INDEX($T$8:$T$407,$AA655),$AF$8:$AF$407)))))))</f>
        <v/>
      </c>
      <c r="F655" s="32" t="str">
        <f t="shared" si="126"/>
        <v/>
      </c>
      <c r="G655" s="32" t="str">
        <f t="shared" si="127"/>
        <v/>
      </c>
      <c r="H655" s="32" t="str">
        <f t="shared" si="128"/>
        <v/>
      </c>
      <c r="AA655" t="str">
        <f>IFERROR(MATCH(648,$X$8:$X$407,1),"")</f>
        <v/>
      </c>
      <c r="AB655" t="str">
        <f>IF(648=$AD$1+1,"G",IF($AA655="","",IF(INDEX($Q$8:$Q$407,$AA655)="","",IF(648&gt;INDEX($X$8:$X$407,$AA655)+INDEX($V$8:$V$407,$AA655)+INDEX($W$8:$W$407,$AA655),"",IF(648=INDEX($X$8:$X$407,$AA655)+INDEX($V$8:$V$407,$AA655)+INDEX($W$8:$W$407,$AA655),"D",IF(AND(INDEX($W$8:$W$407,$AA655)=1,648=INDEX($X$8:$X$407,$AA655)+INDEX($V$8:$V$407,$AA655)),"S","R"))))))</f>
        <v/>
      </c>
      <c r="AC655" t="str">
        <f t="shared" si="129"/>
        <v/>
      </c>
    </row>
    <row r="656" spans="1:29" ht="21" customHeight="1" x14ac:dyDescent="0.95">
      <c r="A656" s="3" t="str">
        <f t="shared" si="122"/>
        <v/>
      </c>
      <c r="B656" s="3" t="str">
        <f t="shared" si="123"/>
        <v/>
      </c>
      <c r="C656" s="8" t="str">
        <f t="shared" si="124"/>
        <v/>
      </c>
      <c r="D656" s="31" t="str">
        <f t="shared" si="125"/>
        <v/>
      </c>
      <c r="E656" s="32" t="str">
        <f>IF(649=$AD$1+3,"ขอแสดงความนับถือ",IF(649=$AD$1+6,"(                 )",IF(649=$AD$1+7,"เจ้าหน้าที่ขนส่ง",IF($AB656="G",SUM($AF$8:$AF$407),IF(OR($AB656="",$AB656="R"),"",IF($AB656="D",INDEX($AF$8:$AF$407,$AA656),SUMIF($T$8:$T$407,INDEX($T$8:$T$407,$AA656),$AF$8:$AF$407)))))))</f>
        <v/>
      </c>
      <c r="F656" s="32" t="str">
        <f t="shared" si="126"/>
        <v/>
      </c>
      <c r="G656" s="32" t="str">
        <f t="shared" si="127"/>
        <v/>
      </c>
      <c r="H656" s="32" t="str">
        <f t="shared" si="128"/>
        <v/>
      </c>
      <c r="AA656" t="str">
        <f>IFERROR(MATCH(649,$X$8:$X$407,1),"")</f>
        <v/>
      </c>
      <c r="AB656" t="str">
        <f>IF(649=$AD$1+1,"G",IF($AA656="","",IF(INDEX($Q$8:$Q$407,$AA656)="","",IF(649&gt;INDEX($X$8:$X$407,$AA656)+INDEX($V$8:$V$407,$AA656)+INDEX($W$8:$W$407,$AA656),"",IF(649=INDEX($X$8:$X$407,$AA656)+INDEX($V$8:$V$407,$AA656)+INDEX($W$8:$W$407,$AA656),"D",IF(AND(INDEX($W$8:$W$407,$AA656)=1,649=INDEX($X$8:$X$407,$AA656)+INDEX($V$8:$V$407,$AA656)),"S","R"))))))</f>
        <v/>
      </c>
      <c r="AC656" t="str">
        <f t="shared" si="129"/>
        <v/>
      </c>
    </row>
    <row r="657" spans="1:29" ht="21" customHeight="1" x14ac:dyDescent="0.95">
      <c r="A657" s="3" t="str">
        <f t="shared" si="122"/>
        <v/>
      </c>
      <c r="B657" s="3" t="str">
        <f t="shared" si="123"/>
        <v/>
      </c>
      <c r="C657" s="8" t="str">
        <f t="shared" si="124"/>
        <v/>
      </c>
      <c r="D657" s="31" t="str">
        <f t="shared" si="125"/>
        <v/>
      </c>
      <c r="E657" s="32" t="str">
        <f>IF(650=$AD$1+3,"ขอแสดงความนับถือ",IF(650=$AD$1+6,"(                 )",IF(650=$AD$1+7,"เจ้าหน้าที่ขนส่ง",IF($AB657="G",SUM($AF$8:$AF$407),IF(OR($AB657="",$AB657="R"),"",IF($AB657="D",INDEX($AF$8:$AF$407,$AA657),SUMIF($T$8:$T$407,INDEX($T$8:$T$407,$AA657),$AF$8:$AF$407)))))))</f>
        <v/>
      </c>
      <c r="F657" s="32" t="str">
        <f t="shared" si="126"/>
        <v/>
      </c>
      <c r="G657" s="32" t="str">
        <f t="shared" si="127"/>
        <v/>
      </c>
      <c r="H657" s="32" t="str">
        <f t="shared" si="128"/>
        <v/>
      </c>
      <c r="AA657" t="str">
        <f>IFERROR(MATCH(650,$X$8:$X$407,1),"")</f>
        <v/>
      </c>
      <c r="AB657" t="str">
        <f>IF(650=$AD$1+1,"G",IF($AA657="","",IF(INDEX($Q$8:$Q$407,$AA657)="","",IF(650&gt;INDEX($X$8:$X$407,$AA657)+INDEX($V$8:$V$407,$AA657)+INDEX($W$8:$W$407,$AA657),"",IF(650=INDEX($X$8:$X$407,$AA657)+INDEX($V$8:$V$407,$AA657)+INDEX($W$8:$W$407,$AA657),"D",IF(AND(INDEX($W$8:$W$407,$AA657)=1,650=INDEX($X$8:$X$407,$AA657)+INDEX($V$8:$V$407,$AA657)),"S","R"))))))</f>
        <v/>
      </c>
      <c r="AC657" t="str">
        <f t="shared" si="129"/>
        <v/>
      </c>
    </row>
    <row r="658" spans="1:29" ht="21" customHeight="1" x14ac:dyDescent="0.95">
      <c r="A658" s="3" t="str">
        <f t="shared" si="122"/>
        <v/>
      </c>
      <c r="B658" s="3" t="str">
        <f t="shared" si="123"/>
        <v/>
      </c>
      <c r="C658" s="8" t="str">
        <f t="shared" si="124"/>
        <v/>
      </c>
      <c r="D658" s="31" t="str">
        <f t="shared" si="125"/>
        <v/>
      </c>
      <c r="E658" s="32" t="str">
        <f>IF(651=$AD$1+3,"ขอแสดงความนับถือ",IF(651=$AD$1+6,"(                 )",IF(651=$AD$1+7,"เจ้าหน้าที่ขนส่ง",IF($AB658="G",SUM($AF$8:$AF$407),IF(OR($AB658="",$AB658="R"),"",IF($AB658="D",INDEX($AF$8:$AF$407,$AA658),SUMIF($T$8:$T$407,INDEX($T$8:$T$407,$AA658),$AF$8:$AF$407)))))))</f>
        <v/>
      </c>
      <c r="F658" s="32" t="str">
        <f t="shared" si="126"/>
        <v/>
      </c>
      <c r="G658" s="32" t="str">
        <f t="shared" si="127"/>
        <v/>
      </c>
      <c r="H658" s="32" t="str">
        <f t="shared" si="128"/>
        <v/>
      </c>
      <c r="AA658" t="str">
        <f>IFERROR(MATCH(651,$X$8:$X$407,1),"")</f>
        <v/>
      </c>
      <c r="AB658" t="str">
        <f>IF(651=$AD$1+1,"G",IF($AA658="","",IF(INDEX($Q$8:$Q$407,$AA658)="","",IF(651&gt;INDEX($X$8:$X$407,$AA658)+INDEX($V$8:$V$407,$AA658)+INDEX($W$8:$W$407,$AA658),"",IF(651=INDEX($X$8:$X$407,$AA658)+INDEX($V$8:$V$407,$AA658)+INDEX($W$8:$W$407,$AA658),"D",IF(AND(INDEX($W$8:$W$407,$AA658)=1,651=INDEX($X$8:$X$407,$AA658)+INDEX($V$8:$V$407,$AA658)),"S","R"))))))</f>
        <v/>
      </c>
      <c r="AC658" t="str">
        <f t="shared" si="129"/>
        <v/>
      </c>
    </row>
    <row r="659" spans="1:29" ht="21" customHeight="1" x14ac:dyDescent="0.95">
      <c r="A659" s="3" t="str">
        <f t="shared" si="122"/>
        <v/>
      </c>
      <c r="B659" s="3" t="str">
        <f t="shared" si="123"/>
        <v/>
      </c>
      <c r="C659" s="8" t="str">
        <f t="shared" si="124"/>
        <v/>
      </c>
      <c r="D659" s="31" t="str">
        <f t="shared" si="125"/>
        <v/>
      </c>
      <c r="E659" s="32" t="str">
        <f>IF(652=$AD$1+3,"ขอแสดงความนับถือ",IF(652=$AD$1+6,"(                 )",IF(652=$AD$1+7,"เจ้าหน้าที่ขนส่ง",IF($AB659="G",SUM($AF$8:$AF$407),IF(OR($AB659="",$AB659="R"),"",IF($AB659="D",INDEX($AF$8:$AF$407,$AA659),SUMIF($T$8:$T$407,INDEX($T$8:$T$407,$AA659),$AF$8:$AF$407)))))))</f>
        <v/>
      </c>
      <c r="F659" s="32" t="str">
        <f t="shared" si="126"/>
        <v/>
      </c>
      <c r="G659" s="32" t="str">
        <f t="shared" si="127"/>
        <v/>
      </c>
      <c r="H659" s="32" t="str">
        <f t="shared" si="128"/>
        <v/>
      </c>
      <c r="AA659" t="str">
        <f>IFERROR(MATCH(652,$X$8:$X$407,1),"")</f>
        <v/>
      </c>
      <c r="AB659" t="str">
        <f>IF(652=$AD$1+1,"G",IF($AA659="","",IF(INDEX($Q$8:$Q$407,$AA659)="","",IF(652&gt;INDEX($X$8:$X$407,$AA659)+INDEX($V$8:$V$407,$AA659)+INDEX($W$8:$W$407,$AA659),"",IF(652=INDEX($X$8:$X$407,$AA659)+INDEX($V$8:$V$407,$AA659)+INDEX($W$8:$W$407,$AA659),"D",IF(AND(INDEX($W$8:$W$407,$AA659)=1,652=INDEX($X$8:$X$407,$AA659)+INDEX($V$8:$V$407,$AA659)),"S","R"))))))</f>
        <v/>
      </c>
      <c r="AC659" t="str">
        <f t="shared" si="129"/>
        <v/>
      </c>
    </row>
    <row r="660" spans="1:29" ht="21" customHeight="1" x14ac:dyDescent="0.95">
      <c r="A660" s="3" t="str">
        <f t="shared" si="122"/>
        <v/>
      </c>
      <c r="B660" s="3" t="str">
        <f t="shared" si="123"/>
        <v/>
      </c>
      <c r="C660" s="8" t="str">
        <f t="shared" si="124"/>
        <v/>
      </c>
      <c r="D660" s="31" t="str">
        <f t="shared" si="125"/>
        <v/>
      </c>
      <c r="E660" s="32" t="str">
        <f>IF(653=$AD$1+3,"ขอแสดงความนับถือ",IF(653=$AD$1+6,"(                 )",IF(653=$AD$1+7,"เจ้าหน้าที่ขนส่ง",IF($AB660="G",SUM($AF$8:$AF$407),IF(OR($AB660="",$AB660="R"),"",IF($AB660="D",INDEX($AF$8:$AF$407,$AA660),SUMIF($T$8:$T$407,INDEX($T$8:$T$407,$AA660),$AF$8:$AF$407)))))))</f>
        <v/>
      </c>
      <c r="F660" s="32" t="str">
        <f t="shared" si="126"/>
        <v/>
      </c>
      <c r="G660" s="32" t="str">
        <f t="shared" si="127"/>
        <v/>
      </c>
      <c r="H660" s="32" t="str">
        <f t="shared" si="128"/>
        <v/>
      </c>
      <c r="AA660" t="str">
        <f>IFERROR(MATCH(653,$X$8:$X$407,1),"")</f>
        <v/>
      </c>
      <c r="AB660" t="str">
        <f>IF(653=$AD$1+1,"G",IF($AA660="","",IF(INDEX($Q$8:$Q$407,$AA660)="","",IF(653&gt;INDEX($X$8:$X$407,$AA660)+INDEX($V$8:$V$407,$AA660)+INDEX($W$8:$W$407,$AA660),"",IF(653=INDEX($X$8:$X$407,$AA660)+INDEX($V$8:$V$407,$AA660)+INDEX($W$8:$W$407,$AA660),"D",IF(AND(INDEX($W$8:$W$407,$AA660)=1,653=INDEX($X$8:$X$407,$AA660)+INDEX($V$8:$V$407,$AA660)),"S","R"))))))</f>
        <v/>
      </c>
      <c r="AC660" t="str">
        <f t="shared" si="129"/>
        <v/>
      </c>
    </row>
    <row r="661" spans="1:29" ht="21" customHeight="1" x14ac:dyDescent="0.95">
      <c r="A661" s="3" t="str">
        <f t="shared" si="122"/>
        <v/>
      </c>
      <c r="B661" s="3" t="str">
        <f t="shared" si="123"/>
        <v/>
      </c>
      <c r="C661" s="8" t="str">
        <f t="shared" si="124"/>
        <v/>
      </c>
      <c r="D661" s="31" t="str">
        <f t="shared" si="125"/>
        <v/>
      </c>
      <c r="E661" s="32" t="str">
        <f>IF(654=$AD$1+3,"ขอแสดงความนับถือ",IF(654=$AD$1+6,"(                 )",IF(654=$AD$1+7,"เจ้าหน้าที่ขนส่ง",IF($AB661="G",SUM($AF$8:$AF$407),IF(OR($AB661="",$AB661="R"),"",IF($AB661="D",INDEX($AF$8:$AF$407,$AA661),SUMIF($T$8:$T$407,INDEX($T$8:$T$407,$AA661),$AF$8:$AF$407)))))))</f>
        <v/>
      </c>
      <c r="F661" s="32" t="str">
        <f t="shared" si="126"/>
        <v/>
      </c>
      <c r="G661" s="32" t="str">
        <f t="shared" si="127"/>
        <v/>
      </c>
      <c r="H661" s="32" t="str">
        <f t="shared" si="128"/>
        <v/>
      </c>
      <c r="AA661" t="str">
        <f>IFERROR(MATCH(654,$X$8:$X$407,1),"")</f>
        <v/>
      </c>
      <c r="AB661" t="str">
        <f>IF(654=$AD$1+1,"G",IF($AA661="","",IF(INDEX($Q$8:$Q$407,$AA661)="","",IF(654&gt;INDEX($X$8:$X$407,$AA661)+INDEX($V$8:$V$407,$AA661)+INDEX($W$8:$W$407,$AA661),"",IF(654=INDEX($X$8:$X$407,$AA661)+INDEX($V$8:$V$407,$AA661)+INDEX($W$8:$W$407,$AA661),"D",IF(AND(INDEX($W$8:$W$407,$AA661)=1,654=INDEX($X$8:$X$407,$AA661)+INDEX($V$8:$V$407,$AA661)),"S","R"))))))</f>
        <v/>
      </c>
      <c r="AC661" t="str">
        <f t="shared" si="129"/>
        <v/>
      </c>
    </row>
    <row r="662" spans="1:29" ht="21" customHeight="1" x14ac:dyDescent="0.95">
      <c r="A662" s="3" t="str">
        <f t="shared" si="122"/>
        <v/>
      </c>
      <c r="B662" s="3" t="str">
        <f t="shared" si="123"/>
        <v/>
      </c>
      <c r="C662" s="8" t="str">
        <f t="shared" si="124"/>
        <v/>
      </c>
      <c r="D662" s="31" t="str">
        <f t="shared" si="125"/>
        <v/>
      </c>
      <c r="E662" s="32" t="str">
        <f>IF(655=$AD$1+3,"ขอแสดงความนับถือ",IF(655=$AD$1+6,"(                 )",IF(655=$AD$1+7,"เจ้าหน้าที่ขนส่ง",IF($AB662="G",SUM($AF$8:$AF$407),IF(OR($AB662="",$AB662="R"),"",IF($AB662="D",INDEX($AF$8:$AF$407,$AA662),SUMIF($T$8:$T$407,INDEX($T$8:$T$407,$AA662),$AF$8:$AF$407)))))))</f>
        <v/>
      </c>
      <c r="F662" s="32" t="str">
        <f t="shared" si="126"/>
        <v/>
      </c>
      <c r="G662" s="32" t="str">
        <f t="shared" si="127"/>
        <v/>
      </c>
      <c r="H662" s="32" t="str">
        <f t="shared" si="128"/>
        <v/>
      </c>
      <c r="AA662" t="str">
        <f>IFERROR(MATCH(655,$X$8:$X$407,1),"")</f>
        <v/>
      </c>
      <c r="AB662" t="str">
        <f>IF(655=$AD$1+1,"G",IF($AA662="","",IF(INDEX($Q$8:$Q$407,$AA662)="","",IF(655&gt;INDEX($X$8:$X$407,$AA662)+INDEX($V$8:$V$407,$AA662)+INDEX($W$8:$W$407,$AA662),"",IF(655=INDEX($X$8:$X$407,$AA662)+INDEX($V$8:$V$407,$AA662)+INDEX($W$8:$W$407,$AA662),"D",IF(AND(INDEX($W$8:$W$407,$AA662)=1,655=INDEX($X$8:$X$407,$AA662)+INDEX($V$8:$V$407,$AA662)),"S","R"))))))</f>
        <v/>
      </c>
      <c r="AC662" t="str">
        <f t="shared" si="129"/>
        <v/>
      </c>
    </row>
    <row r="663" spans="1:29" ht="21" customHeight="1" x14ac:dyDescent="0.95">
      <c r="A663" s="3" t="str">
        <f t="shared" si="122"/>
        <v/>
      </c>
      <c r="B663" s="3" t="str">
        <f t="shared" si="123"/>
        <v/>
      </c>
      <c r="C663" s="8" t="str">
        <f t="shared" si="124"/>
        <v/>
      </c>
      <c r="D663" s="31" t="str">
        <f t="shared" si="125"/>
        <v/>
      </c>
      <c r="E663" s="32" t="str">
        <f>IF(656=$AD$1+3,"ขอแสดงความนับถือ",IF(656=$AD$1+6,"(                 )",IF(656=$AD$1+7,"เจ้าหน้าที่ขนส่ง",IF($AB663="G",SUM($AF$8:$AF$407),IF(OR($AB663="",$AB663="R"),"",IF($AB663="D",INDEX($AF$8:$AF$407,$AA663),SUMIF($T$8:$T$407,INDEX($T$8:$T$407,$AA663),$AF$8:$AF$407)))))))</f>
        <v/>
      </c>
      <c r="F663" s="32" t="str">
        <f t="shared" si="126"/>
        <v/>
      </c>
      <c r="G663" s="32" t="str">
        <f t="shared" si="127"/>
        <v/>
      </c>
      <c r="H663" s="32" t="str">
        <f t="shared" si="128"/>
        <v/>
      </c>
      <c r="AA663" t="str">
        <f>IFERROR(MATCH(656,$X$8:$X$407,1),"")</f>
        <v/>
      </c>
      <c r="AB663" t="str">
        <f>IF(656=$AD$1+1,"G",IF($AA663="","",IF(INDEX($Q$8:$Q$407,$AA663)="","",IF(656&gt;INDEX($X$8:$X$407,$AA663)+INDEX($V$8:$V$407,$AA663)+INDEX($W$8:$W$407,$AA663),"",IF(656=INDEX($X$8:$X$407,$AA663)+INDEX($V$8:$V$407,$AA663)+INDEX($W$8:$W$407,$AA663),"D",IF(AND(INDEX($W$8:$W$407,$AA663)=1,656=INDEX($X$8:$X$407,$AA663)+INDEX($V$8:$V$407,$AA663)),"S","R"))))))</f>
        <v/>
      </c>
      <c r="AC663" t="str">
        <f t="shared" si="129"/>
        <v/>
      </c>
    </row>
    <row r="664" spans="1:29" ht="21" customHeight="1" x14ac:dyDescent="0.95">
      <c r="A664" s="3" t="str">
        <f t="shared" si="122"/>
        <v/>
      </c>
      <c r="B664" s="3" t="str">
        <f t="shared" si="123"/>
        <v/>
      </c>
      <c r="C664" s="8" t="str">
        <f t="shared" si="124"/>
        <v/>
      </c>
      <c r="D664" s="31" t="str">
        <f t="shared" si="125"/>
        <v/>
      </c>
      <c r="E664" s="32" t="str">
        <f>IF(657=$AD$1+3,"ขอแสดงความนับถือ",IF(657=$AD$1+6,"(                 )",IF(657=$AD$1+7,"เจ้าหน้าที่ขนส่ง",IF($AB664="G",SUM($AF$8:$AF$407),IF(OR($AB664="",$AB664="R"),"",IF($AB664="D",INDEX($AF$8:$AF$407,$AA664),SUMIF($T$8:$T$407,INDEX($T$8:$T$407,$AA664),$AF$8:$AF$407)))))))</f>
        <v/>
      </c>
      <c r="F664" s="32" t="str">
        <f t="shared" si="126"/>
        <v/>
      </c>
      <c r="G664" s="32" t="str">
        <f t="shared" si="127"/>
        <v/>
      </c>
      <c r="H664" s="32" t="str">
        <f t="shared" si="128"/>
        <v/>
      </c>
      <c r="AA664" t="str">
        <f>IFERROR(MATCH(657,$X$8:$X$407,1),"")</f>
        <v/>
      </c>
      <c r="AB664" t="str">
        <f>IF(657=$AD$1+1,"G",IF($AA664="","",IF(INDEX($Q$8:$Q$407,$AA664)="","",IF(657&gt;INDEX($X$8:$X$407,$AA664)+INDEX($V$8:$V$407,$AA664)+INDEX($W$8:$W$407,$AA664),"",IF(657=INDEX($X$8:$X$407,$AA664)+INDEX($V$8:$V$407,$AA664)+INDEX($W$8:$W$407,$AA664),"D",IF(AND(INDEX($W$8:$W$407,$AA664)=1,657=INDEX($X$8:$X$407,$AA664)+INDEX($V$8:$V$407,$AA664)),"S","R"))))))</f>
        <v/>
      </c>
      <c r="AC664" t="str">
        <f t="shared" si="129"/>
        <v/>
      </c>
    </row>
    <row r="665" spans="1:29" ht="21" customHeight="1" x14ac:dyDescent="0.95">
      <c r="A665" s="3" t="str">
        <f t="shared" si="122"/>
        <v/>
      </c>
      <c r="B665" s="3" t="str">
        <f t="shared" si="123"/>
        <v/>
      </c>
      <c r="C665" s="8" t="str">
        <f t="shared" si="124"/>
        <v/>
      </c>
      <c r="D665" s="31" t="str">
        <f t="shared" si="125"/>
        <v/>
      </c>
      <c r="E665" s="32" t="str">
        <f>IF(658=$AD$1+3,"ขอแสดงความนับถือ",IF(658=$AD$1+6,"(                 )",IF(658=$AD$1+7,"เจ้าหน้าที่ขนส่ง",IF($AB665="G",SUM($AF$8:$AF$407),IF(OR($AB665="",$AB665="R"),"",IF($AB665="D",INDEX($AF$8:$AF$407,$AA665),SUMIF($T$8:$T$407,INDEX($T$8:$T$407,$AA665),$AF$8:$AF$407)))))))</f>
        <v/>
      </c>
      <c r="F665" s="32" t="str">
        <f t="shared" si="126"/>
        <v/>
      </c>
      <c r="G665" s="32" t="str">
        <f t="shared" si="127"/>
        <v/>
      </c>
      <c r="H665" s="32" t="str">
        <f t="shared" si="128"/>
        <v/>
      </c>
      <c r="AA665" t="str">
        <f>IFERROR(MATCH(658,$X$8:$X$407,1),"")</f>
        <v/>
      </c>
      <c r="AB665" t="str">
        <f>IF(658=$AD$1+1,"G",IF($AA665="","",IF(INDEX($Q$8:$Q$407,$AA665)="","",IF(658&gt;INDEX($X$8:$X$407,$AA665)+INDEX($V$8:$V$407,$AA665)+INDEX($W$8:$W$407,$AA665),"",IF(658=INDEX($X$8:$X$407,$AA665)+INDEX($V$8:$V$407,$AA665)+INDEX($W$8:$W$407,$AA665),"D",IF(AND(INDEX($W$8:$W$407,$AA665)=1,658=INDEX($X$8:$X$407,$AA665)+INDEX($V$8:$V$407,$AA665)),"S","R"))))))</f>
        <v/>
      </c>
      <c r="AC665" t="str">
        <f t="shared" si="129"/>
        <v/>
      </c>
    </row>
    <row r="666" spans="1:29" ht="21" customHeight="1" x14ac:dyDescent="0.95">
      <c r="A666" s="3" t="str">
        <f t="shared" si="122"/>
        <v/>
      </c>
      <c r="B666" s="3" t="str">
        <f t="shared" si="123"/>
        <v/>
      </c>
      <c r="C666" s="8" t="str">
        <f t="shared" si="124"/>
        <v/>
      </c>
      <c r="D666" s="31" t="str">
        <f t="shared" si="125"/>
        <v/>
      </c>
      <c r="E666" s="32" t="str">
        <f>IF(659=$AD$1+3,"ขอแสดงความนับถือ",IF(659=$AD$1+6,"(                 )",IF(659=$AD$1+7,"เจ้าหน้าที่ขนส่ง",IF($AB666="G",SUM($AF$8:$AF$407),IF(OR($AB666="",$AB666="R"),"",IF($AB666="D",INDEX($AF$8:$AF$407,$AA666),SUMIF($T$8:$T$407,INDEX($T$8:$T$407,$AA666),$AF$8:$AF$407)))))))</f>
        <v/>
      </c>
      <c r="F666" s="32" t="str">
        <f t="shared" si="126"/>
        <v/>
      </c>
      <c r="G666" s="32" t="str">
        <f t="shared" si="127"/>
        <v/>
      </c>
      <c r="H666" s="32" t="str">
        <f t="shared" si="128"/>
        <v/>
      </c>
      <c r="AA666" t="str">
        <f>IFERROR(MATCH(659,$X$8:$X$407,1),"")</f>
        <v/>
      </c>
      <c r="AB666" t="str">
        <f>IF(659=$AD$1+1,"G",IF($AA666="","",IF(INDEX($Q$8:$Q$407,$AA666)="","",IF(659&gt;INDEX($X$8:$X$407,$AA666)+INDEX($V$8:$V$407,$AA666)+INDEX($W$8:$W$407,$AA666),"",IF(659=INDEX($X$8:$X$407,$AA666)+INDEX($V$8:$V$407,$AA666)+INDEX($W$8:$W$407,$AA666),"D",IF(AND(INDEX($W$8:$W$407,$AA666)=1,659=INDEX($X$8:$X$407,$AA666)+INDEX($V$8:$V$407,$AA666)),"S","R"))))))</f>
        <v/>
      </c>
      <c r="AC666" t="str">
        <f t="shared" si="129"/>
        <v/>
      </c>
    </row>
    <row r="667" spans="1:29" ht="21" customHeight="1" x14ac:dyDescent="0.95">
      <c r="A667" s="3" t="str">
        <f t="shared" si="122"/>
        <v/>
      </c>
      <c r="B667" s="3" t="str">
        <f t="shared" si="123"/>
        <v/>
      </c>
      <c r="C667" s="8" t="str">
        <f t="shared" si="124"/>
        <v/>
      </c>
      <c r="D667" s="31" t="str">
        <f t="shared" si="125"/>
        <v/>
      </c>
      <c r="E667" s="32" t="str">
        <f>IF(660=$AD$1+3,"ขอแสดงความนับถือ",IF(660=$AD$1+6,"(                 )",IF(660=$AD$1+7,"เจ้าหน้าที่ขนส่ง",IF($AB667="G",SUM($AF$8:$AF$407),IF(OR($AB667="",$AB667="R"),"",IF($AB667="D",INDEX($AF$8:$AF$407,$AA667),SUMIF($T$8:$T$407,INDEX($T$8:$T$407,$AA667),$AF$8:$AF$407)))))))</f>
        <v/>
      </c>
      <c r="F667" s="32" t="str">
        <f t="shared" si="126"/>
        <v/>
      </c>
      <c r="G667" s="32" t="str">
        <f t="shared" si="127"/>
        <v/>
      </c>
      <c r="H667" s="32" t="str">
        <f t="shared" si="128"/>
        <v/>
      </c>
      <c r="AA667" t="str">
        <f>IFERROR(MATCH(660,$X$8:$X$407,1),"")</f>
        <v/>
      </c>
      <c r="AB667" t="str">
        <f>IF(660=$AD$1+1,"G",IF($AA667="","",IF(INDEX($Q$8:$Q$407,$AA667)="","",IF(660&gt;INDEX($X$8:$X$407,$AA667)+INDEX($V$8:$V$407,$AA667)+INDEX($W$8:$W$407,$AA667),"",IF(660=INDEX($X$8:$X$407,$AA667)+INDEX($V$8:$V$407,$AA667)+INDEX($W$8:$W$407,$AA667),"D",IF(AND(INDEX($W$8:$W$407,$AA667)=1,660=INDEX($X$8:$X$407,$AA667)+INDEX($V$8:$V$407,$AA667)),"S","R"))))))</f>
        <v/>
      </c>
      <c r="AC667" t="str">
        <f t="shared" si="129"/>
        <v/>
      </c>
    </row>
    <row r="668" spans="1:29" ht="21" customHeight="1" x14ac:dyDescent="0.95">
      <c r="A668" s="3" t="str">
        <f t="shared" si="122"/>
        <v/>
      </c>
      <c r="B668" s="3" t="str">
        <f t="shared" si="123"/>
        <v/>
      </c>
      <c r="C668" s="8" t="str">
        <f t="shared" si="124"/>
        <v/>
      </c>
      <c r="D668" s="31" t="str">
        <f t="shared" si="125"/>
        <v/>
      </c>
      <c r="E668" s="32" t="str">
        <f>IF(661=$AD$1+3,"ขอแสดงความนับถือ",IF(661=$AD$1+6,"(                 )",IF(661=$AD$1+7,"เจ้าหน้าที่ขนส่ง",IF($AB668="G",SUM($AF$8:$AF$407),IF(OR($AB668="",$AB668="R"),"",IF($AB668="D",INDEX($AF$8:$AF$407,$AA668),SUMIF($T$8:$T$407,INDEX($T$8:$T$407,$AA668),$AF$8:$AF$407)))))))</f>
        <v/>
      </c>
      <c r="F668" s="32" t="str">
        <f t="shared" si="126"/>
        <v/>
      </c>
      <c r="G668" s="32" t="str">
        <f t="shared" si="127"/>
        <v/>
      </c>
      <c r="H668" s="32" t="str">
        <f t="shared" si="128"/>
        <v/>
      </c>
      <c r="AA668" t="str">
        <f>IFERROR(MATCH(661,$X$8:$X$407,1),"")</f>
        <v/>
      </c>
      <c r="AB668" t="str">
        <f>IF(661=$AD$1+1,"G",IF($AA668="","",IF(INDEX($Q$8:$Q$407,$AA668)="","",IF(661&gt;INDEX($X$8:$X$407,$AA668)+INDEX($V$8:$V$407,$AA668)+INDEX($W$8:$W$407,$AA668),"",IF(661=INDEX($X$8:$X$407,$AA668)+INDEX($V$8:$V$407,$AA668)+INDEX($W$8:$W$407,$AA668),"D",IF(AND(INDEX($W$8:$W$407,$AA668)=1,661=INDEX($X$8:$X$407,$AA668)+INDEX($V$8:$V$407,$AA668)),"S","R"))))))</f>
        <v/>
      </c>
      <c r="AC668" t="str">
        <f t="shared" si="129"/>
        <v/>
      </c>
    </row>
    <row r="669" spans="1:29" ht="21" customHeight="1" x14ac:dyDescent="0.95">
      <c r="A669" s="3" t="str">
        <f t="shared" si="122"/>
        <v/>
      </c>
      <c r="B669" s="3" t="str">
        <f t="shared" si="123"/>
        <v/>
      </c>
      <c r="C669" s="8" t="str">
        <f t="shared" si="124"/>
        <v/>
      </c>
      <c r="D669" s="31" t="str">
        <f t="shared" si="125"/>
        <v/>
      </c>
      <c r="E669" s="32" t="str">
        <f>IF(662=$AD$1+3,"ขอแสดงความนับถือ",IF(662=$AD$1+6,"(                 )",IF(662=$AD$1+7,"เจ้าหน้าที่ขนส่ง",IF($AB669="G",SUM($AF$8:$AF$407),IF(OR($AB669="",$AB669="R"),"",IF($AB669="D",INDEX($AF$8:$AF$407,$AA669),SUMIF($T$8:$T$407,INDEX($T$8:$T$407,$AA669),$AF$8:$AF$407)))))))</f>
        <v/>
      </c>
      <c r="F669" s="32" t="str">
        <f t="shared" si="126"/>
        <v/>
      </c>
      <c r="G669" s="32" t="str">
        <f t="shared" si="127"/>
        <v/>
      </c>
      <c r="H669" s="32" t="str">
        <f t="shared" si="128"/>
        <v/>
      </c>
      <c r="AA669" t="str">
        <f>IFERROR(MATCH(662,$X$8:$X$407,1),"")</f>
        <v/>
      </c>
      <c r="AB669" t="str">
        <f>IF(662=$AD$1+1,"G",IF($AA669="","",IF(INDEX($Q$8:$Q$407,$AA669)="","",IF(662&gt;INDEX($X$8:$X$407,$AA669)+INDEX($V$8:$V$407,$AA669)+INDEX($W$8:$W$407,$AA669),"",IF(662=INDEX($X$8:$X$407,$AA669)+INDEX($V$8:$V$407,$AA669)+INDEX($W$8:$W$407,$AA669),"D",IF(AND(INDEX($W$8:$W$407,$AA669)=1,662=INDEX($X$8:$X$407,$AA669)+INDEX($V$8:$V$407,$AA669)),"S","R"))))))</f>
        <v/>
      </c>
      <c r="AC669" t="str">
        <f t="shared" si="129"/>
        <v/>
      </c>
    </row>
    <row r="670" spans="1:29" ht="21" customHeight="1" x14ac:dyDescent="0.95">
      <c r="A670" s="3" t="str">
        <f t="shared" si="122"/>
        <v/>
      </c>
      <c r="B670" s="3" t="str">
        <f t="shared" si="123"/>
        <v/>
      </c>
      <c r="C670" s="8" t="str">
        <f t="shared" si="124"/>
        <v/>
      </c>
      <c r="D670" s="31" t="str">
        <f t="shared" si="125"/>
        <v/>
      </c>
      <c r="E670" s="32" t="str">
        <f>IF(663=$AD$1+3,"ขอแสดงความนับถือ",IF(663=$AD$1+6,"(                 )",IF(663=$AD$1+7,"เจ้าหน้าที่ขนส่ง",IF($AB670="G",SUM($AF$8:$AF$407),IF(OR($AB670="",$AB670="R"),"",IF($AB670="D",INDEX($AF$8:$AF$407,$AA670),SUMIF($T$8:$T$407,INDEX($T$8:$T$407,$AA670),$AF$8:$AF$407)))))))</f>
        <v/>
      </c>
      <c r="F670" s="32" t="str">
        <f t="shared" si="126"/>
        <v/>
      </c>
      <c r="G670" s="32" t="str">
        <f t="shared" si="127"/>
        <v/>
      </c>
      <c r="H670" s="32" t="str">
        <f t="shared" si="128"/>
        <v/>
      </c>
      <c r="AA670" t="str">
        <f>IFERROR(MATCH(663,$X$8:$X$407,1),"")</f>
        <v/>
      </c>
      <c r="AB670" t="str">
        <f>IF(663=$AD$1+1,"G",IF($AA670="","",IF(INDEX($Q$8:$Q$407,$AA670)="","",IF(663&gt;INDEX($X$8:$X$407,$AA670)+INDEX($V$8:$V$407,$AA670)+INDEX($W$8:$W$407,$AA670),"",IF(663=INDEX($X$8:$X$407,$AA670)+INDEX($V$8:$V$407,$AA670)+INDEX($W$8:$W$407,$AA670),"D",IF(AND(INDEX($W$8:$W$407,$AA670)=1,663=INDEX($X$8:$X$407,$AA670)+INDEX($V$8:$V$407,$AA670)),"S","R"))))))</f>
        <v/>
      </c>
      <c r="AC670" t="str">
        <f t="shared" si="129"/>
        <v/>
      </c>
    </row>
    <row r="671" spans="1:29" ht="21" customHeight="1" x14ac:dyDescent="0.95">
      <c r="A671" s="3" t="str">
        <f t="shared" si="122"/>
        <v/>
      </c>
      <c r="B671" s="3" t="str">
        <f t="shared" si="123"/>
        <v/>
      </c>
      <c r="C671" s="8" t="str">
        <f t="shared" si="124"/>
        <v/>
      </c>
      <c r="D671" s="31" t="str">
        <f t="shared" si="125"/>
        <v/>
      </c>
      <c r="E671" s="32" t="str">
        <f>IF(664=$AD$1+3,"ขอแสดงความนับถือ",IF(664=$AD$1+6,"(                 )",IF(664=$AD$1+7,"เจ้าหน้าที่ขนส่ง",IF($AB671="G",SUM($AF$8:$AF$407),IF(OR($AB671="",$AB671="R"),"",IF($AB671="D",INDEX($AF$8:$AF$407,$AA671),SUMIF($T$8:$T$407,INDEX($T$8:$T$407,$AA671),$AF$8:$AF$407)))))))</f>
        <v/>
      </c>
      <c r="F671" s="32" t="str">
        <f t="shared" si="126"/>
        <v/>
      </c>
      <c r="G671" s="32" t="str">
        <f t="shared" si="127"/>
        <v/>
      </c>
      <c r="H671" s="32" t="str">
        <f t="shared" si="128"/>
        <v/>
      </c>
      <c r="AA671" t="str">
        <f>IFERROR(MATCH(664,$X$8:$X$407,1),"")</f>
        <v/>
      </c>
      <c r="AB671" t="str">
        <f>IF(664=$AD$1+1,"G",IF($AA671="","",IF(INDEX($Q$8:$Q$407,$AA671)="","",IF(664&gt;INDEX($X$8:$X$407,$AA671)+INDEX($V$8:$V$407,$AA671)+INDEX($W$8:$W$407,$AA671),"",IF(664=INDEX($X$8:$X$407,$AA671)+INDEX($V$8:$V$407,$AA671)+INDEX($W$8:$W$407,$AA671),"D",IF(AND(INDEX($W$8:$W$407,$AA671)=1,664=INDEX($X$8:$X$407,$AA671)+INDEX($V$8:$V$407,$AA671)),"S","R"))))))</f>
        <v/>
      </c>
      <c r="AC671" t="str">
        <f t="shared" si="129"/>
        <v/>
      </c>
    </row>
    <row r="672" spans="1:29" ht="21" customHeight="1" x14ac:dyDescent="0.95">
      <c r="A672" s="3" t="str">
        <f t="shared" si="122"/>
        <v/>
      </c>
      <c r="B672" s="3" t="str">
        <f t="shared" si="123"/>
        <v/>
      </c>
      <c r="C672" s="8" t="str">
        <f t="shared" si="124"/>
        <v/>
      </c>
      <c r="D672" s="31" t="str">
        <f t="shared" si="125"/>
        <v/>
      </c>
      <c r="E672" s="32" t="str">
        <f>IF(665=$AD$1+3,"ขอแสดงความนับถือ",IF(665=$AD$1+6,"(                 )",IF(665=$AD$1+7,"เจ้าหน้าที่ขนส่ง",IF($AB672="G",SUM($AF$8:$AF$407),IF(OR($AB672="",$AB672="R"),"",IF($AB672="D",INDEX($AF$8:$AF$407,$AA672),SUMIF($T$8:$T$407,INDEX($T$8:$T$407,$AA672),$AF$8:$AF$407)))))))</f>
        <v/>
      </c>
      <c r="F672" s="32" t="str">
        <f t="shared" si="126"/>
        <v/>
      </c>
      <c r="G672" s="32" t="str">
        <f t="shared" si="127"/>
        <v/>
      </c>
      <c r="H672" s="32" t="str">
        <f t="shared" si="128"/>
        <v/>
      </c>
      <c r="AA672" t="str">
        <f>IFERROR(MATCH(665,$X$8:$X$407,1),"")</f>
        <v/>
      </c>
      <c r="AB672" t="str">
        <f>IF(665=$AD$1+1,"G",IF($AA672="","",IF(INDEX($Q$8:$Q$407,$AA672)="","",IF(665&gt;INDEX($X$8:$X$407,$AA672)+INDEX($V$8:$V$407,$AA672)+INDEX($W$8:$W$407,$AA672),"",IF(665=INDEX($X$8:$X$407,$AA672)+INDEX($V$8:$V$407,$AA672)+INDEX($W$8:$W$407,$AA672),"D",IF(AND(INDEX($W$8:$W$407,$AA672)=1,665=INDEX($X$8:$X$407,$AA672)+INDEX($V$8:$V$407,$AA672)),"S","R"))))))</f>
        <v/>
      </c>
      <c r="AC672" t="str">
        <f t="shared" si="129"/>
        <v/>
      </c>
    </row>
    <row r="673" spans="1:29" ht="21" customHeight="1" x14ac:dyDescent="0.95">
      <c r="A673" s="3" t="str">
        <f t="shared" si="122"/>
        <v/>
      </c>
      <c r="B673" s="3" t="str">
        <f t="shared" si="123"/>
        <v/>
      </c>
      <c r="C673" s="8" t="str">
        <f t="shared" si="124"/>
        <v/>
      </c>
      <c r="D673" s="31" t="str">
        <f t="shared" si="125"/>
        <v/>
      </c>
      <c r="E673" s="32" t="str">
        <f>IF(666=$AD$1+3,"ขอแสดงความนับถือ",IF(666=$AD$1+6,"(                 )",IF(666=$AD$1+7,"เจ้าหน้าที่ขนส่ง",IF($AB673="G",SUM($AF$8:$AF$407),IF(OR($AB673="",$AB673="R"),"",IF($AB673="D",INDEX($AF$8:$AF$407,$AA673),SUMIF($T$8:$T$407,INDEX($T$8:$T$407,$AA673),$AF$8:$AF$407)))))))</f>
        <v/>
      </c>
      <c r="F673" s="32" t="str">
        <f t="shared" si="126"/>
        <v/>
      </c>
      <c r="G673" s="32" t="str">
        <f t="shared" si="127"/>
        <v/>
      </c>
      <c r="H673" s="32" t="str">
        <f t="shared" si="128"/>
        <v/>
      </c>
      <c r="AA673" t="str">
        <f>IFERROR(MATCH(666,$X$8:$X$407,1),"")</f>
        <v/>
      </c>
      <c r="AB673" t="str">
        <f>IF(666=$AD$1+1,"G",IF($AA673="","",IF(INDEX($Q$8:$Q$407,$AA673)="","",IF(666&gt;INDEX($X$8:$X$407,$AA673)+INDEX($V$8:$V$407,$AA673)+INDEX($W$8:$W$407,$AA673),"",IF(666=INDEX($X$8:$X$407,$AA673)+INDEX($V$8:$V$407,$AA673)+INDEX($W$8:$W$407,$AA673),"D",IF(AND(INDEX($W$8:$W$407,$AA673)=1,666=INDEX($X$8:$X$407,$AA673)+INDEX($V$8:$V$407,$AA673)),"S","R"))))))</f>
        <v/>
      </c>
      <c r="AC673" t="str">
        <f t="shared" si="129"/>
        <v/>
      </c>
    </row>
    <row r="674" spans="1:29" ht="21" customHeight="1" x14ac:dyDescent="0.95">
      <c r="A674" s="3" t="str">
        <f t="shared" si="122"/>
        <v/>
      </c>
      <c r="B674" s="3" t="str">
        <f t="shared" si="123"/>
        <v/>
      </c>
      <c r="C674" s="8" t="str">
        <f t="shared" si="124"/>
        <v/>
      </c>
      <c r="D674" s="31" t="str">
        <f t="shared" si="125"/>
        <v/>
      </c>
      <c r="E674" s="32" t="str">
        <f>IF(667=$AD$1+3,"ขอแสดงความนับถือ",IF(667=$AD$1+6,"(                 )",IF(667=$AD$1+7,"เจ้าหน้าที่ขนส่ง",IF($AB674="G",SUM($AF$8:$AF$407),IF(OR($AB674="",$AB674="R"),"",IF($AB674="D",INDEX($AF$8:$AF$407,$AA674),SUMIF($T$8:$T$407,INDEX($T$8:$T$407,$AA674),$AF$8:$AF$407)))))))</f>
        <v/>
      </c>
      <c r="F674" s="32" t="str">
        <f t="shared" si="126"/>
        <v/>
      </c>
      <c r="G674" s="32" t="str">
        <f t="shared" si="127"/>
        <v/>
      </c>
      <c r="H674" s="32" t="str">
        <f t="shared" si="128"/>
        <v/>
      </c>
      <c r="AA674" t="str">
        <f>IFERROR(MATCH(667,$X$8:$X$407,1),"")</f>
        <v/>
      </c>
      <c r="AB674" t="str">
        <f>IF(667=$AD$1+1,"G",IF($AA674="","",IF(INDEX($Q$8:$Q$407,$AA674)="","",IF(667&gt;INDEX($X$8:$X$407,$AA674)+INDEX($V$8:$V$407,$AA674)+INDEX($W$8:$W$407,$AA674),"",IF(667=INDEX($X$8:$X$407,$AA674)+INDEX($V$8:$V$407,$AA674)+INDEX($W$8:$W$407,$AA674),"D",IF(AND(INDEX($W$8:$W$407,$AA674)=1,667=INDEX($X$8:$X$407,$AA674)+INDEX($V$8:$V$407,$AA674)),"S","R"))))))</f>
        <v/>
      </c>
      <c r="AC674" t="str">
        <f t="shared" si="129"/>
        <v/>
      </c>
    </row>
    <row r="675" spans="1:29" ht="21" customHeight="1" x14ac:dyDescent="0.95">
      <c r="A675" s="3" t="str">
        <f t="shared" si="122"/>
        <v/>
      </c>
      <c r="B675" s="3" t="str">
        <f t="shared" si="123"/>
        <v/>
      </c>
      <c r="C675" s="8" t="str">
        <f t="shared" si="124"/>
        <v/>
      </c>
      <c r="D675" s="31" t="str">
        <f t="shared" si="125"/>
        <v/>
      </c>
      <c r="E675" s="32" t="str">
        <f>IF(668=$AD$1+3,"ขอแสดงความนับถือ",IF(668=$AD$1+6,"(                 )",IF(668=$AD$1+7,"เจ้าหน้าที่ขนส่ง",IF($AB675="G",SUM($AF$8:$AF$407),IF(OR($AB675="",$AB675="R"),"",IF($AB675="D",INDEX($AF$8:$AF$407,$AA675),SUMIF($T$8:$T$407,INDEX($T$8:$T$407,$AA675),$AF$8:$AF$407)))))))</f>
        <v/>
      </c>
      <c r="F675" s="32" t="str">
        <f t="shared" si="126"/>
        <v/>
      </c>
      <c r="G675" s="32" t="str">
        <f t="shared" si="127"/>
        <v/>
      </c>
      <c r="H675" s="32" t="str">
        <f t="shared" si="128"/>
        <v/>
      </c>
      <c r="AA675" t="str">
        <f>IFERROR(MATCH(668,$X$8:$X$407,1),"")</f>
        <v/>
      </c>
      <c r="AB675" t="str">
        <f>IF(668=$AD$1+1,"G",IF($AA675="","",IF(INDEX($Q$8:$Q$407,$AA675)="","",IF(668&gt;INDEX($X$8:$X$407,$AA675)+INDEX($V$8:$V$407,$AA675)+INDEX($W$8:$W$407,$AA675),"",IF(668=INDEX($X$8:$X$407,$AA675)+INDEX($V$8:$V$407,$AA675)+INDEX($W$8:$W$407,$AA675),"D",IF(AND(INDEX($W$8:$W$407,$AA675)=1,668=INDEX($X$8:$X$407,$AA675)+INDEX($V$8:$V$407,$AA675)),"S","R"))))))</f>
        <v/>
      </c>
      <c r="AC675" t="str">
        <f t="shared" si="129"/>
        <v/>
      </c>
    </row>
    <row r="676" spans="1:29" ht="21" customHeight="1" x14ac:dyDescent="0.95">
      <c r="A676" s="3" t="str">
        <f t="shared" si="122"/>
        <v/>
      </c>
      <c r="B676" s="3" t="str">
        <f t="shared" si="123"/>
        <v/>
      </c>
      <c r="C676" s="8" t="str">
        <f t="shared" si="124"/>
        <v/>
      </c>
      <c r="D676" s="31" t="str">
        <f t="shared" si="125"/>
        <v/>
      </c>
      <c r="E676" s="32" t="str">
        <f>IF(669=$AD$1+3,"ขอแสดงความนับถือ",IF(669=$AD$1+6,"(                 )",IF(669=$AD$1+7,"เจ้าหน้าที่ขนส่ง",IF($AB676="G",SUM($AF$8:$AF$407),IF(OR($AB676="",$AB676="R"),"",IF($AB676="D",INDEX($AF$8:$AF$407,$AA676),SUMIF($T$8:$T$407,INDEX($T$8:$T$407,$AA676),$AF$8:$AF$407)))))))</f>
        <v/>
      </c>
      <c r="F676" s="32" t="str">
        <f t="shared" si="126"/>
        <v/>
      </c>
      <c r="G676" s="32" t="str">
        <f t="shared" si="127"/>
        <v/>
      </c>
      <c r="H676" s="32" t="str">
        <f t="shared" si="128"/>
        <v/>
      </c>
      <c r="AA676" t="str">
        <f>IFERROR(MATCH(669,$X$8:$X$407,1),"")</f>
        <v/>
      </c>
      <c r="AB676" t="str">
        <f>IF(669=$AD$1+1,"G",IF($AA676="","",IF(INDEX($Q$8:$Q$407,$AA676)="","",IF(669&gt;INDEX($X$8:$X$407,$AA676)+INDEX($V$8:$V$407,$AA676)+INDEX($W$8:$W$407,$AA676),"",IF(669=INDEX($X$8:$X$407,$AA676)+INDEX($V$8:$V$407,$AA676)+INDEX($W$8:$W$407,$AA676),"D",IF(AND(INDEX($W$8:$W$407,$AA676)=1,669=INDEX($X$8:$X$407,$AA676)+INDEX($V$8:$V$407,$AA676)),"S","R"))))))</f>
        <v/>
      </c>
      <c r="AC676" t="str">
        <f t="shared" si="129"/>
        <v/>
      </c>
    </row>
    <row r="677" spans="1:29" ht="21" customHeight="1" x14ac:dyDescent="0.95">
      <c r="A677" s="3" t="str">
        <f t="shared" si="122"/>
        <v/>
      </c>
      <c r="B677" s="3" t="str">
        <f t="shared" si="123"/>
        <v/>
      </c>
      <c r="C677" s="8" t="str">
        <f t="shared" si="124"/>
        <v/>
      </c>
      <c r="D677" s="31" t="str">
        <f t="shared" si="125"/>
        <v/>
      </c>
      <c r="E677" s="32" t="str">
        <f>IF(670=$AD$1+3,"ขอแสดงความนับถือ",IF(670=$AD$1+6,"(                 )",IF(670=$AD$1+7,"เจ้าหน้าที่ขนส่ง",IF($AB677="G",SUM($AF$8:$AF$407),IF(OR($AB677="",$AB677="R"),"",IF($AB677="D",INDEX($AF$8:$AF$407,$AA677),SUMIF($T$8:$T$407,INDEX($T$8:$T$407,$AA677),$AF$8:$AF$407)))))))</f>
        <v/>
      </c>
      <c r="F677" s="32" t="str">
        <f t="shared" si="126"/>
        <v/>
      </c>
      <c r="G677" s="32" t="str">
        <f t="shared" si="127"/>
        <v/>
      </c>
      <c r="H677" s="32" t="str">
        <f t="shared" si="128"/>
        <v/>
      </c>
      <c r="AA677" t="str">
        <f>IFERROR(MATCH(670,$X$8:$X$407,1),"")</f>
        <v/>
      </c>
      <c r="AB677" t="str">
        <f>IF(670=$AD$1+1,"G",IF($AA677="","",IF(INDEX($Q$8:$Q$407,$AA677)="","",IF(670&gt;INDEX($X$8:$X$407,$AA677)+INDEX($V$8:$V$407,$AA677)+INDEX($W$8:$W$407,$AA677),"",IF(670=INDEX($X$8:$X$407,$AA677)+INDEX($V$8:$V$407,$AA677)+INDEX($W$8:$W$407,$AA677),"D",IF(AND(INDEX($W$8:$W$407,$AA677)=1,670=INDEX($X$8:$X$407,$AA677)+INDEX($V$8:$V$407,$AA677)),"S","R"))))))</f>
        <v/>
      </c>
      <c r="AC677" t="str">
        <f t="shared" si="129"/>
        <v/>
      </c>
    </row>
    <row r="678" spans="1:29" ht="21" customHeight="1" x14ac:dyDescent="0.95">
      <c r="A678" s="3" t="str">
        <f t="shared" si="122"/>
        <v/>
      </c>
      <c r="B678" s="3" t="str">
        <f t="shared" si="123"/>
        <v/>
      </c>
      <c r="C678" s="8" t="str">
        <f t="shared" si="124"/>
        <v/>
      </c>
      <c r="D678" s="31" t="str">
        <f t="shared" si="125"/>
        <v/>
      </c>
      <c r="E678" s="32" t="str">
        <f>IF(671=$AD$1+3,"ขอแสดงความนับถือ",IF(671=$AD$1+6,"(                 )",IF(671=$AD$1+7,"เจ้าหน้าที่ขนส่ง",IF($AB678="G",SUM($AF$8:$AF$407),IF(OR($AB678="",$AB678="R"),"",IF($AB678="D",INDEX($AF$8:$AF$407,$AA678),SUMIF($T$8:$T$407,INDEX($T$8:$T$407,$AA678),$AF$8:$AF$407)))))))</f>
        <v/>
      </c>
      <c r="F678" s="32" t="str">
        <f t="shared" si="126"/>
        <v/>
      </c>
      <c r="G678" s="32" t="str">
        <f t="shared" si="127"/>
        <v/>
      </c>
      <c r="H678" s="32" t="str">
        <f t="shared" si="128"/>
        <v/>
      </c>
      <c r="AA678" t="str">
        <f>IFERROR(MATCH(671,$X$8:$X$407,1),"")</f>
        <v/>
      </c>
      <c r="AB678" t="str">
        <f>IF(671=$AD$1+1,"G",IF($AA678="","",IF(INDEX($Q$8:$Q$407,$AA678)="","",IF(671&gt;INDEX($X$8:$X$407,$AA678)+INDEX($V$8:$V$407,$AA678)+INDEX($W$8:$W$407,$AA678),"",IF(671=INDEX($X$8:$X$407,$AA678)+INDEX($V$8:$V$407,$AA678)+INDEX($W$8:$W$407,$AA678),"D",IF(AND(INDEX($W$8:$W$407,$AA678)=1,671=INDEX($X$8:$X$407,$AA678)+INDEX($V$8:$V$407,$AA678)),"S","R"))))))</f>
        <v/>
      </c>
      <c r="AC678" t="str">
        <f t="shared" si="129"/>
        <v/>
      </c>
    </row>
    <row r="679" spans="1:29" ht="21" customHeight="1" x14ac:dyDescent="0.95">
      <c r="A679" s="3" t="str">
        <f t="shared" si="122"/>
        <v/>
      </c>
      <c r="B679" s="3" t="str">
        <f t="shared" si="123"/>
        <v/>
      </c>
      <c r="C679" s="8" t="str">
        <f t="shared" si="124"/>
        <v/>
      </c>
      <c r="D679" s="31" t="str">
        <f t="shared" si="125"/>
        <v/>
      </c>
      <c r="E679" s="32" t="str">
        <f>IF(672=$AD$1+3,"ขอแสดงความนับถือ",IF(672=$AD$1+6,"(                 )",IF(672=$AD$1+7,"เจ้าหน้าที่ขนส่ง",IF($AB679="G",SUM($AF$8:$AF$407),IF(OR($AB679="",$AB679="R"),"",IF($AB679="D",INDEX($AF$8:$AF$407,$AA679),SUMIF($T$8:$T$407,INDEX($T$8:$T$407,$AA679),$AF$8:$AF$407)))))))</f>
        <v/>
      </c>
      <c r="F679" s="32" t="str">
        <f t="shared" si="126"/>
        <v/>
      </c>
      <c r="G679" s="32" t="str">
        <f t="shared" si="127"/>
        <v/>
      </c>
      <c r="H679" s="32" t="str">
        <f t="shared" si="128"/>
        <v/>
      </c>
      <c r="AA679" t="str">
        <f>IFERROR(MATCH(672,$X$8:$X$407,1),"")</f>
        <v/>
      </c>
      <c r="AB679" t="str">
        <f>IF(672=$AD$1+1,"G",IF($AA679="","",IF(INDEX($Q$8:$Q$407,$AA679)="","",IF(672&gt;INDEX($X$8:$X$407,$AA679)+INDEX($V$8:$V$407,$AA679)+INDEX($W$8:$W$407,$AA679),"",IF(672=INDEX($X$8:$X$407,$AA679)+INDEX($V$8:$V$407,$AA679)+INDEX($W$8:$W$407,$AA679),"D",IF(AND(INDEX($W$8:$W$407,$AA679)=1,672=INDEX($X$8:$X$407,$AA679)+INDEX($V$8:$V$407,$AA679)),"S","R"))))))</f>
        <v/>
      </c>
      <c r="AC679" t="str">
        <f t="shared" si="129"/>
        <v/>
      </c>
    </row>
    <row r="680" spans="1:29" ht="21" customHeight="1" x14ac:dyDescent="0.95">
      <c r="A680" s="3" t="str">
        <f t="shared" si="122"/>
        <v/>
      </c>
      <c r="B680" s="3" t="str">
        <f t="shared" si="123"/>
        <v/>
      </c>
      <c r="C680" s="8" t="str">
        <f t="shared" si="124"/>
        <v/>
      </c>
      <c r="D680" s="31" t="str">
        <f t="shared" si="125"/>
        <v/>
      </c>
      <c r="E680" s="32" t="str">
        <f>IF(673=$AD$1+3,"ขอแสดงความนับถือ",IF(673=$AD$1+6,"(                 )",IF(673=$AD$1+7,"เจ้าหน้าที่ขนส่ง",IF($AB680="G",SUM($AF$8:$AF$407),IF(OR($AB680="",$AB680="R"),"",IF($AB680="D",INDEX($AF$8:$AF$407,$AA680),SUMIF($T$8:$T$407,INDEX($T$8:$T$407,$AA680),$AF$8:$AF$407)))))))</f>
        <v/>
      </c>
      <c r="F680" s="32" t="str">
        <f t="shared" si="126"/>
        <v/>
      </c>
      <c r="G680" s="32" t="str">
        <f t="shared" si="127"/>
        <v/>
      </c>
      <c r="H680" s="32" t="str">
        <f t="shared" si="128"/>
        <v/>
      </c>
      <c r="AA680" t="str">
        <f>IFERROR(MATCH(673,$X$8:$X$407,1),"")</f>
        <v/>
      </c>
      <c r="AB680" t="str">
        <f>IF(673=$AD$1+1,"G",IF($AA680="","",IF(INDEX($Q$8:$Q$407,$AA680)="","",IF(673&gt;INDEX($X$8:$X$407,$AA680)+INDEX($V$8:$V$407,$AA680)+INDEX($W$8:$W$407,$AA680),"",IF(673=INDEX($X$8:$X$407,$AA680)+INDEX($V$8:$V$407,$AA680)+INDEX($W$8:$W$407,$AA680),"D",IF(AND(INDEX($W$8:$W$407,$AA680)=1,673=INDEX($X$8:$X$407,$AA680)+INDEX($V$8:$V$407,$AA680)),"S","R"))))))</f>
        <v/>
      </c>
      <c r="AC680" t="str">
        <f t="shared" si="129"/>
        <v/>
      </c>
    </row>
    <row r="681" spans="1:29" ht="21" customHeight="1" x14ac:dyDescent="0.95">
      <c r="A681" s="3" t="str">
        <f t="shared" si="122"/>
        <v/>
      </c>
      <c r="B681" s="3" t="str">
        <f t="shared" si="123"/>
        <v/>
      </c>
      <c r="C681" s="8" t="str">
        <f t="shared" si="124"/>
        <v/>
      </c>
      <c r="D681" s="31" t="str">
        <f t="shared" si="125"/>
        <v/>
      </c>
      <c r="E681" s="32" t="str">
        <f>IF(674=$AD$1+3,"ขอแสดงความนับถือ",IF(674=$AD$1+6,"(                 )",IF(674=$AD$1+7,"เจ้าหน้าที่ขนส่ง",IF($AB681="G",SUM($AF$8:$AF$407),IF(OR($AB681="",$AB681="R"),"",IF($AB681="D",INDEX($AF$8:$AF$407,$AA681),SUMIF($T$8:$T$407,INDEX($T$8:$T$407,$AA681),$AF$8:$AF$407)))))))</f>
        <v/>
      </c>
      <c r="F681" s="32" t="str">
        <f t="shared" si="126"/>
        <v/>
      </c>
      <c r="G681" s="32" t="str">
        <f t="shared" si="127"/>
        <v/>
      </c>
      <c r="H681" s="32" t="str">
        <f t="shared" si="128"/>
        <v/>
      </c>
      <c r="AA681" t="str">
        <f>IFERROR(MATCH(674,$X$8:$X$407,1),"")</f>
        <v/>
      </c>
      <c r="AB681" t="str">
        <f>IF(674=$AD$1+1,"G",IF($AA681="","",IF(INDEX($Q$8:$Q$407,$AA681)="","",IF(674&gt;INDEX($X$8:$X$407,$AA681)+INDEX($V$8:$V$407,$AA681)+INDEX($W$8:$W$407,$AA681),"",IF(674=INDEX($X$8:$X$407,$AA681)+INDEX($V$8:$V$407,$AA681)+INDEX($W$8:$W$407,$AA681),"D",IF(AND(INDEX($W$8:$W$407,$AA681)=1,674=INDEX($X$8:$X$407,$AA681)+INDEX($V$8:$V$407,$AA681)),"S","R"))))))</f>
        <v/>
      </c>
      <c r="AC681" t="str">
        <f t="shared" si="129"/>
        <v/>
      </c>
    </row>
    <row r="682" spans="1:29" ht="21" customHeight="1" x14ac:dyDescent="0.95">
      <c r="A682" s="3" t="str">
        <f t="shared" si="122"/>
        <v/>
      </c>
      <c r="B682" s="3" t="str">
        <f t="shared" si="123"/>
        <v/>
      </c>
      <c r="C682" s="8" t="str">
        <f t="shared" si="124"/>
        <v/>
      </c>
      <c r="D682" s="31" t="str">
        <f t="shared" si="125"/>
        <v/>
      </c>
      <c r="E682" s="32" t="str">
        <f>IF(675=$AD$1+3,"ขอแสดงความนับถือ",IF(675=$AD$1+6,"(                 )",IF(675=$AD$1+7,"เจ้าหน้าที่ขนส่ง",IF($AB682="G",SUM($AF$8:$AF$407),IF(OR($AB682="",$AB682="R"),"",IF($AB682="D",INDEX($AF$8:$AF$407,$AA682),SUMIF($T$8:$T$407,INDEX($T$8:$T$407,$AA682),$AF$8:$AF$407)))))))</f>
        <v/>
      </c>
      <c r="F682" s="32" t="str">
        <f t="shared" si="126"/>
        <v/>
      </c>
      <c r="G682" s="32" t="str">
        <f t="shared" si="127"/>
        <v/>
      </c>
      <c r="H682" s="32" t="str">
        <f t="shared" si="128"/>
        <v/>
      </c>
      <c r="AA682" t="str">
        <f>IFERROR(MATCH(675,$X$8:$X$407,1),"")</f>
        <v/>
      </c>
      <c r="AB682" t="str">
        <f>IF(675=$AD$1+1,"G",IF($AA682="","",IF(INDEX($Q$8:$Q$407,$AA682)="","",IF(675&gt;INDEX($X$8:$X$407,$AA682)+INDEX($V$8:$V$407,$AA682)+INDEX($W$8:$W$407,$AA682),"",IF(675=INDEX($X$8:$X$407,$AA682)+INDEX($V$8:$V$407,$AA682)+INDEX($W$8:$W$407,$AA682),"D",IF(AND(INDEX($W$8:$W$407,$AA682)=1,675=INDEX($X$8:$X$407,$AA682)+INDEX($V$8:$V$407,$AA682)),"S","R"))))))</f>
        <v/>
      </c>
      <c r="AC682" t="str">
        <f t="shared" si="129"/>
        <v/>
      </c>
    </row>
    <row r="683" spans="1:29" ht="21" customHeight="1" x14ac:dyDescent="0.95">
      <c r="A683" s="3" t="str">
        <f t="shared" si="122"/>
        <v/>
      </c>
      <c r="B683" s="3" t="str">
        <f t="shared" si="123"/>
        <v/>
      </c>
      <c r="C683" s="8" t="str">
        <f t="shared" si="124"/>
        <v/>
      </c>
      <c r="D683" s="31" t="str">
        <f t="shared" si="125"/>
        <v/>
      </c>
      <c r="E683" s="32" t="str">
        <f>IF(676=$AD$1+3,"ขอแสดงความนับถือ",IF(676=$AD$1+6,"(                 )",IF(676=$AD$1+7,"เจ้าหน้าที่ขนส่ง",IF($AB683="G",SUM($AF$8:$AF$407),IF(OR($AB683="",$AB683="R"),"",IF($AB683="D",INDEX($AF$8:$AF$407,$AA683),SUMIF($T$8:$T$407,INDEX($T$8:$T$407,$AA683),$AF$8:$AF$407)))))))</f>
        <v/>
      </c>
      <c r="F683" s="32" t="str">
        <f t="shared" si="126"/>
        <v/>
      </c>
      <c r="G683" s="32" t="str">
        <f t="shared" si="127"/>
        <v/>
      </c>
      <c r="H683" s="32" t="str">
        <f t="shared" si="128"/>
        <v/>
      </c>
      <c r="AA683" t="str">
        <f>IFERROR(MATCH(676,$X$8:$X$407,1),"")</f>
        <v/>
      </c>
      <c r="AB683" t="str">
        <f>IF(676=$AD$1+1,"G",IF($AA683="","",IF(INDEX($Q$8:$Q$407,$AA683)="","",IF(676&gt;INDEX($X$8:$X$407,$AA683)+INDEX($V$8:$V$407,$AA683)+INDEX($W$8:$W$407,$AA683),"",IF(676=INDEX($X$8:$X$407,$AA683)+INDEX($V$8:$V$407,$AA683)+INDEX($W$8:$W$407,$AA683),"D",IF(AND(INDEX($W$8:$W$407,$AA683)=1,676=INDEX($X$8:$X$407,$AA683)+INDEX($V$8:$V$407,$AA683)),"S","R"))))))</f>
        <v/>
      </c>
      <c r="AC683" t="str">
        <f t="shared" si="129"/>
        <v/>
      </c>
    </row>
    <row r="684" spans="1:29" ht="21" customHeight="1" x14ac:dyDescent="0.95">
      <c r="A684" s="3" t="str">
        <f t="shared" si="122"/>
        <v/>
      </c>
      <c r="B684" s="3" t="str">
        <f t="shared" si="123"/>
        <v/>
      </c>
      <c r="C684" s="8" t="str">
        <f t="shared" si="124"/>
        <v/>
      </c>
      <c r="D684" s="31" t="str">
        <f t="shared" si="125"/>
        <v/>
      </c>
      <c r="E684" s="32" t="str">
        <f>IF(677=$AD$1+3,"ขอแสดงความนับถือ",IF(677=$AD$1+6,"(                 )",IF(677=$AD$1+7,"เจ้าหน้าที่ขนส่ง",IF($AB684="G",SUM($AF$8:$AF$407),IF(OR($AB684="",$AB684="R"),"",IF($AB684="D",INDEX($AF$8:$AF$407,$AA684),SUMIF($T$8:$T$407,INDEX($T$8:$T$407,$AA684),$AF$8:$AF$407)))))))</f>
        <v/>
      </c>
      <c r="F684" s="32" t="str">
        <f t="shared" si="126"/>
        <v/>
      </c>
      <c r="G684" s="32" t="str">
        <f t="shared" si="127"/>
        <v/>
      </c>
      <c r="H684" s="32" t="str">
        <f t="shared" si="128"/>
        <v/>
      </c>
      <c r="AA684" t="str">
        <f>IFERROR(MATCH(677,$X$8:$X$407,1),"")</f>
        <v/>
      </c>
      <c r="AB684" t="str">
        <f>IF(677=$AD$1+1,"G",IF($AA684="","",IF(INDEX($Q$8:$Q$407,$AA684)="","",IF(677&gt;INDEX($X$8:$X$407,$AA684)+INDEX($V$8:$V$407,$AA684)+INDEX($W$8:$W$407,$AA684),"",IF(677=INDEX($X$8:$X$407,$AA684)+INDEX($V$8:$V$407,$AA684)+INDEX($W$8:$W$407,$AA684),"D",IF(AND(INDEX($W$8:$W$407,$AA684)=1,677=INDEX($X$8:$X$407,$AA684)+INDEX($V$8:$V$407,$AA684)),"S","R"))))))</f>
        <v/>
      </c>
      <c r="AC684" t="str">
        <f t="shared" si="129"/>
        <v/>
      </c>
    </row>
    <row r="685" spans="1:29" ht="21" customHeight="1" x14ac:dyDescent="0.95">
      <c r="A685" s="3" t="str">
        <f t="shared" si="122"/>
        <v/>
      </c>
      <c r="B685" s="3" t="str">
        <f t="shared" si="123"/>
        <v/>
      </c>
      <c r="C685" s="8" t="str">
        <f t="shared" si="124"/>
        <v/>
      </c>
      <c r="D685" s="31" t="str">
        <f t="shared" si="125"/>
        <v/>
      </c>
      <c r="E685" s="32" t="str">
        <f>IF(678=$AD$1+3,"ขอแสดงความนับถือ",IF(678=$AD$1+6,"(                 )",IF(678=$AD$1+7,"เจ้าหน้าที่ขนส่ง",IF($AB685="G",SUM($AF$8:$AF$407),IF(OR($AB685="",$AB685="R"),"",IF($AB685="D",INDEX($AF$8:$AF$407,$AA685),SUMIF($T$8:$T$407,INDEX($T$8:$T$407,$AA685),$AF$8:$AF$407)))))))</f>
        <v/>
      </c>
      <c r="F685" s="32" t="str">
        <f t="shared" si="126"/>
        <v/>
      </c>
      <c r="G685" s="32" t="str">
        <f t="shared" si="127"/>
        <v/>
      </c>
      <c r="H685" s="32" t="str">
        <f t="shared" si="128"/>
        <v/>
      </c>
      <c r="AA685" t="str">
        <f>IFERROR(MATCH(678,$X$8:$X$407,1),"")</f>
        <v/>
      </c>
      <c r="AB685" t="str">
        <f>IF(678=$AD$1+1,"G",IF($AA685="","",IF(INDEX($Q$8:$Q$407,$AA685)="","",IF(678&gt;INDEX($X$8:$X$407,$AA685)+INDEX($V$8:$V$407,$AA685)+INDEX($W$8:$W$407,$AA685),"",IF(678=INDEX($X$8:$X$407,$AA685)+INDEX($V$8:$V$407,$AA685)+INDEX($W$8:$W$407,$AA685),"D",IF(AND(INDEX($W$8:$W$407,$AA685)=1,678=INDEX($X$8:$X$407,$AA685)+INDEX($V$8:$V$407,$AA685)),"S","R"))))))</f>
        <v/>
      </c>
      <c r="AC685" t="str">
        <f t="shared" si="129"/>
        <v/>
      </c>
    </row>
    <row r="686" spans="1:29" ht="21" customHeight="1" x14ac:dyDescent="0.95">
      <c r="A686" s="3" t="str">
        <f t="shared" si="122"/>
        <v/>
      </c>
      <c r="B686" s="3" t="str">
        <f t="shared" si="123"/>
        <v/>
      </c>
      <c r="C686" s="8" t="str">
        <f t="shared" si="124"/>
        <v/>
      </c>
      <c r="D686" s="31" t="str">
        <f t="shared" si="125"/>
        <v/>
      </c>
      <c r="E686" s="32" t="str">
        <f>IF(679=$AD$1+3,"ขอแสดงความนับถือ",IF(679=$AD$1+6,"(                 )",IF(679=$AD$1+7,"เจ้าหน้าที่ขนส่ง",IF($AB686="G",SUM($AF$8:$AF$407),IF(OR($AB686="",$AB686="R"),"",IF($AB686="D",INDEX($AF$8:$AF$407,$AA686),SUMIF($T$8:$T$407,INDEX($T$8:$T$407,$AA686),$AF$8:$AF$407)))))))</f>
        <v/>
      </c>
      <c r="F686" s="32" t="str">
        <f t="shared" si="126"/>
        <v/>
      </c>
      <c r="G686" s="32" t="str">
        <f t="shared" si="127"/>
        <v/>
      </c>
      <c r="H686" s="32" t="str">
        <f t="shared" si="128"/>
        <v/>
      </c>
      <c r="AA686" t="str">
        <f>IFERROR(MATCH(679,$X$8:$X$407,1),"")</f>
        <v/>
      </c>
      <c r="AB686" t="str">
        <f>IF(679=$AD$1+1,"G",IF($AA686="","",IF(INDEX($Q$8:$Q$407,$AA686)="","",IF(679&gt;INDEX($X$8:$X$407,$AA686)+INDEX($V$8:$V$407,$AA686)+INDEX($W$8:$W$407,$AA686),"",IF(679=INDEX($X$8:$X$407,$AA686)+INDEX($V$8:$V$407,$AA686)+INDEX($W$8:$W$407,$AA686),"D",IF(AND(INDEX($W$8:$W$407,$AA686)=1,679=INDEX($X$8:$X$407,$AA686)+INDEX($V$8:$V$407,$AA686)),"S","R"))))))</f>
        <v/>
      </c>
      <c r="AC686" t="str">
        <f t="shared" si="129"/>
        <v/>
      </c>
    </row>
    <row r="687" spans="1:29" ht="21" customHeight="1" x14ac:dyDescent="0.95">
      <c r="A687" s="3" t="str">
        <f t="shared" si="122"/>
        <v/>
      </c>
      <c r="B687" s="3" t="str">
        <f t="shared" si="123"/>
        <v/>
      </c>
      <c r="C687" s="8" t="str">
        <f t="shared" si="124"/>
        <v/>
      </c>
      <c r="D687" s="31" t="str">
        <f t="shared" si="125"/>
        <v/>
      </c>
      <c r="E687" s="32" t="str">
        <f>IF(680=$AD$1+3,"ขอแสดงความนับถือ",IF(680=$AD$1+6,"(                 )",IF(680=$AD$1+7,"เจ้าหน้าที่ขนส่ง",IF($AB687="G",SUM($AF$8:$AF$407),IF(OR($AB687="",$AB687="R"),"",IF($AB687="D",INDEX($AF$8:$AF$407,$AA687),SUMIF($T$8:$T$407,INDEX($T$8:$T$407,$AA687),$AF$8:$AF$407)))))))</f>
        <v/>
      </c>
      <c r="F687" s="32" t="str">
        <f t="shared" si="126"/>
        <v/>
      </c>
      <c r="G687" s="32" t="str">
        <f t="shared" si="127"/>
        <v/>
      </c>
      <c r="H687" s="32" t="str">
        <f t="shared" si="128"/>
        <v/>
      </c>
      <c r="AA687" t="str">
        <f>IFERROR(MATCH(680,$X$8:$X$407,1),"")</f>
        <v/>
      </c>
      <c r="AB687" t="str">
        <f>IF(680=$AD$1+1,"G",IF($AA687="","",IF(INDEX($Q$8:$Q$407,$AA687)="","",IF(680&gt;INDEX($X$8:$X$407,$AA687)+INDEX($V$8:$V$407,$AA687)+INDEX($W$8:$W$407,$AA687),"",IF(680=INDEX($X$8:$X$407,$AA687)+INDEX($V$8:$V$407,$AA687)+INDEX($W$8:$W$407,$AA687),"D",IF(AND(INDEX($W$8:$W$407,$AA687)=1,680=INDEX($X$8:$X$407,$AA687)+INDEX($V$8:$V$407,$AA687)),"S","R"))))))</f>
        <v/>
      </c>
      <c r="AC687" t="str">
        <f t="shared" si="129"/>
        <v/>
      </c>
    </row>
    <row r="688" spans="1:29" ht="21" customHeight="1" x14ac:dyDescent="0.95">
      <c r="A688" s="3" t="str">
        <f t="shared" si="122"/>
        <v/>
      </c>
      <c r="B688" s="3" t="str">
        <f t="shared" si="123"/>
        <v/>
      </c>
      <c r="C688" s="8" t="str">
        <f t="shared" si="124"/>
        <v/>
      </c>
      <c r="D688" s="31" t="str">
        <f t="shared" si="125"/>
        <v/>
      </c>
      <c r="E688" s="32" t="str">
        <f>IF(681=$AD$1+3,"ขอแสดงความนับถือ",IF(681=$AD$1+6,"(                 )",IF(681=$AD$1+7,"เจ้าหน้าที่ขนส่ง",IF($AB688="G",SUM($AF$8:$AF$407),IF(OR($AB688="",$AB688="R"),"",IF($AB688="D",INDEX($AF$8:$AF$407,$AA688),SUMIF($T$8:$T$407,INDEX($T$8:$T$407,$AA688),$AF$8:$AF$407)))))))</f>
        <v/>
      </c>
      <c r="F688" s="32" t="str">
        <f t="shared" si="126"/>
        <v/>
      </c>
      <c r="G688" s="32" t="str">
        <f t="shared" si="127"/>
        <v/>
      </c>
      <c r="H688" s="32" t="str">
        <f t="shared" si="128"/>
        <v/>
      </c>
      <c r="AA688" t="str">
        <f>IFERROR(MATCH(681,$X$8:$X$407,1),"")</f>
        <v/>
      </c>
      <c r="AB688" t="str">
        <f>IF(681=$AD$1+1,"G",IF($AA688="","",IF(INDEX($Q$8:$Q$407,$AA688)="","",IF(681&gt;INDEX($X$8:$X$407,$AA688)+INDEX($V$8:$V$407,$AA688)+INDEX($W$8:$W$407,$AA688),"",IF(681=INDEX($X$8:$X$407,$AA688)+INDEX($V$8:$V$407,$AA688)+INDEX($W$8:$W$407,$AA688),"D",IF(AND(INDEX($W$8:$W$407,$AA688)=1,681=INDEX($X$8:$X$407,$AA688)+INDEX($V$8:$V$407,$AA688)),"S","R"))))))</f>
        <v/>
      </c>
      <c r="AC688" t="str">
        <f t="shared" si="129"/>
        <v/>
      </c>
    </row>
    <row r="689" spans="1:29" ht="21" customHeight="1" x14ac:dyDescent="0.95">
      <c r="A689" s="3" t="str">
        <f t="shared" si="122"/>
        <v/>
      </c>
      <c r="B689" s="3" t="str">
        <f t="shared" si="123"/>
        <v/>
      </c>
      <c r="C689" s="8" t="str">
        <f t="shared" si="124"/>
        <v/>
      </c>
      <c r="D689" s="31" t="str">
        <f t="shared" si="125"/>
        <v/>
      </c>
      <c r="E689" s="32" t="str">
        <f>IF(682=$AD$1+3,"ขอแสดงความนับถือ",IF(682=$AD$1+6,"(                 )",IF(682=$AD$1+7,"เจ้าหน้าที่ขนส่ง",IF($AB689="G",SUM($AF$8:$AF$407),IF(OR($AB689="",$AB689="R"),"",IF($AB689="D",INDEX($AF$8:$AF$407,$AA689),SUMIF($T$8:$T$407,INDEX($T$8:$T$407,$AA689),$AF$8:$AF$407)))))))</f>
        <v/>
      </c>
      <c r="F689" s="32" t="str">
        <f t="shared" si="126"/>
        <v/>
      </c>
      <c r="G689" s="32" t="str">
        <f t="shared" si="127"/>
        <v/>
      </c>
      <c r="H689" s="32" t="str">
        <f t="shared" si="128"/>
        <v/>
      </c>
      <c r="AA689" t="str">
        <f>IFERROR(MATCH(682,$X$8:$X$407,1),"")</f>
        <v/>
      </c>
      <c r="AB689" t="str">
        <f>IF(682=$AD$1+1,"G",IF($AA689="","",IF(INDEX($Q$8:$Q$407,$AA689)="","",IF(682&gt;INDEX($X$8:$X$407,$AA689)+INDEX($V$8:$V$407,$AA689)+INDEX($W$8:$W$407,$AA689),"",IF(682=INDEX($X$8:$X$407,$AA689)+INDEX($V$8:$V$407,$AA689)+INDEX($W$8:$W$407,$AA689),"D",IF(AND(INDEX($W$8:$W$407,$AA689)=1,682=INDEX($X$8:$X$407,$AA689)+INDEX($V$8:$V$407,$AA689)),"S","R"))))))</f>
        <v/>
      </c>
      <c r="AC689" t="str">
        <f t="shared" si="129"/>
        <v/>
      </c>
    </row>
    <row r="690" spans="1:29" ht="21" customHeight="1" x14ac:dyDescent="0.95">
      <c r="A690" s="3" t="str">
        <f t="shared" si="122"/>
        <v/>
      </c>
      <c r="B690" s="3" t="str">
        <f t="shared" si="123"/>
        <v/>
      </c>
      <c r="C690" s="8" t="str">
        <f t="shared" si="124"/>
        <v/>
      </c>
      <c r="D690" s="31" t="str">
        <f t="shared" si="125"/>
        <v/>
      </c>
      <c r="E690" s="32" t="str">
        <f>IF(683=$AD$1+3,"ขอแสดงความนับถือ",IF(683=$AD$1+6,"(                 )",IF(683=$AD$1+7,"เจ้าหน้าที่ขนส่ง",IF($AB690="G",SUM($AF$8:$AF$407),IF(OR($AB690="",$AB690="R"),"",IF($AB690="D",INDEX($AF$8:$AF$407,$AA690),SUMIF($T$8:$T$407,INDEX($T$8:$T$407,$AA690),$AF$8:$AF$407)))))))</f>
        <v/>
      </c>
      <c r="F690" s="32" t="str">
        <f t="shared" si="126"/>
        <v/>
      </c>
      <c r="G690" s="32" t="str">
        <f t="shared" si="127"/>
        <v/>
      </c>
      <c r="H690" s="32" t="str">
        <f t="shared" si="128"/>
        <v/>
      </c>
      <c r="AA690" t="str">
        <f>IFERROR(MATCH(683,$X$8:$X$407,1),"")</f>
        <v/>
      </c>
      <c r="AB690" t="str">
        <f>IF(683=$AD$1+1,"G",IF($AA690="","",IF(INDEX($Q$8:$Q$407,$AA690)="","",IF(683&gt;INDEX($X$8:$X$407,$AA690)+INDEX($V$8:$V$407,$AA690)+INDEX($W$8:$W$407,$AA690),"",IF(683=INDEX($X$8:$X$407,$AA690)+INDEX($V$8:$V$407,$AA690)+INDEX($W$8:$W$407,$AA690),"D",IF(AND(INDEX($W$8:$W$407,$AA690)=1,683=INDEX($X$8:$X$407,$AA690)+INDEX($V$8:$V$407,$AA690)),"S","R"))))))</f>
        <v/>
      </c>
      <c r="AC690" t="str">
        <f t="shared" si="129"/>
        <v/>
      </c>
    </row>
    <row r="691" spans="1:29" ht="21" customHeight="1" x14ac:dyDescent="0.95">
      <c r="A691" s="3" t="str">
        <f t="shared" si="122"/>
        <v/>
      </c>
      <c r="B691" s="3" t="str">
        <f t="shared" si="123"/>
        <v/>
      </c>
      <c r="C691" s="8" t="str">
        <f t="shared" si="124"/>
        <v/>
      </c>
      <c r="D691" s="31" t="str">
        <f t="shared" si="125"/>
        <v/>
      </c>
      <c r="E691" s="32" t="str">
        <f>IF(684=$AD$1+3,"ขอแสดงความนับถือ",IF(684=$AD$1+6,"(                 )",IF(684=$AD$1+7,"เจ้าหน้าที่ขนส่ง",IF($AB691="G",SUM($AF$8:$AF$407),IF(OR($AB691="",$AB691="R"),"",IF($AB691="D",INDEX($AF$8:$AF$407,$AA691),SUMIF($T$8:$T$407,INDEX($T$8:$T$407,$AA691),$AF$8:$AF$407)))))))</f>
        <v/>
      </c>
      <c r="F691" s="32" t="str">
        <f t="shared" si="126"/>
        <v/>
      </c>
      <c r="G691" s="32" t="str">
        <f t="shared" si="127"/>
        <v/>
      </c>
      <c r="H691" s="32" t="str">
        <f t="shared" si="128"/>
        <v/>
      </c>
      <c r="AA691" t="str">
        <f>IFERROR(MATCH(684,$X$8:$X$407,1),"")</f>
        <v/>
      </c>
      <c r="AB691" t="str">
        <f>IF(684=$AD$1+1,"G",IF($AA691="","",IF(INDEX($Q$8:$Q$407,$AA691)="","",IF(684&gt;INDEX($X$8:$X$407,$AA691)+INDEX($V$8:$V$407,$AA691)+INDEX($W$8:$W$407,$AA691),"",IF(684=INDEX($X$8:$X$407,$AA691)+INDEX($V$8:$V$407,$AA691)+INDEX($W$8:$W$407,$AA691),"D",IF(AND(INDEX($W$8:$W$407,$AA691)=1,684=INDEX($X$8:$X$407,$AA691)+INDEX($V$8:$V$407,$AA691)),"S","R"))))))</f>
        <v/>
      </c>
      <c r="AC691" t="str">
        <f t="shared" si="129"/>
        <v/>
      </c>
    </row>
    <row r="692" spans="1:29" ht="21" customHeight="1" x14ac:dyDescent="0.95">
      <c r="A692" s="3" t="str">
        <f t="shared" si="122"/>
        <v/>
      </c>
      <c r="B692" s="3" t="str">
        <f t="shared" si="123"/>
        <v/>
      </c>
      <c r="C692" s="8" t="str">
        <f t="shared" si="124"/>
        <v/>
      </c>
      <c r="D692" s="31" t="str">
        <f t="shared" si="125"/>
        <v/>
      </c>
      <c r="E692" s="32" t="str">
        <f>IF(685=$AD$1+3,"ขอแสดงความนับถือ",IF(685=$AD$1+6,"(                 )",IF(685=$AD$1+7,"เจ้าหน้าที่ขนส่ง",IF($AB692="G",SUM($AF$8:$AF$407),IF(OR($AB692="",$AB692="R"),"",IF($AB692="D",INDEX($AF$8:$AF$407,$AA692),SUMIF($T$8:$T$407,INDEX($T$8:$T$407,$AA692),$AF$8:$AF$407)))))))</f>
        <v/>
      </c>
      <c r="F692" s="32" t="str">
        <f t="shared" si="126"/>
        <v/>
      </c>
      <c r="G692" s="32" t="str">
        <f t="shared" si="127"/>
        <v/>
      </c>
      <c r="H692" s="32" t="str">
        <f t="shared" si="128"/>
        <v/>
      </c>
      <c r="AA692" t="str">
        <f>IFERROR(MATCH(685,$X$8:$X$407,1),"")</f>
        <v/>
      </c>
      <c r="AB692" t="str">
        <f>IF(685=$AD$1+1,"G",IF($AA692="","",IF(INDEX($Q$8:$Q$407,$AA692)="","",IF(685&gt;INDEX($X$8:$X$407,$AA692)+INDEX($V$8:$V$407,$AA692)+INDEX($W$8:$W$407,$AA692),"",IF(685=INDEX($X$8:$X$407,$AA692)+INDEX($V$8:$V$407,$AA692)+INDEX($W$8:$W$407,$AA692),"D",IF(AND(INDEX($W$8:$W$407,$AA692)=1,685=INDEX($X$8:$X$407,$AA692)+INDEX($V$8:$V$407,$AA692)),"S","R"))))))</f>
        <v/>
      </c>
      <c r="AC692" t="str">
        <f t="shared" si="129"/>
        <v/>
      </c>
    </row>
    <row r="693" spans="1:29" ht="21" customHeight="1" x14ac:dyDescent="0.95">
      <c r="A693" s="3" t="str">
        <f t="shared" si="122"/>
        <v/>
      </c>
      <c r="B693" s="3" t="str">
        <f t="shared" si="123"/>
        <v/>
      </c>
      <c r="C693" s="8" t="str">
        <f t="shared" si="124"/>
        <v/>
      </c>
      <c r="D693" s="31" t="str">
        <f t="shared" si="125"/>
        <v/>
      </c>
      <c r="E693" s="32" t="str">
        <f>IF(686=$AD$1+3,"ขอแสดงความนับถือ",IF(686=$AD$1+6,"(                 )",IF(686=$AD$1+7,"เจ้าหน้าที่ขนส่ง",IF($AB693="G",SUM($AF$8:$AF$407),IF(OR($AB693="",$AB693="R"),"",IF($AB693="D",INDEX($AF$8:$AF$407,$AA693),SUMIF($T$8:$T$407,INDEX($T$8:$T$407,$AA693),$AF$8:$AF$407)))))))</f>
        <v/>
      </c>
      <c r="F693" s="32" t="str">
        <f t="shared" si="126"/>
        <v/>
      </c>
      <c r="G693" s="32" t="str">
        <f t="shared" si="127"/>
        <v/>
      </c>
      <c r="H693" s="32" t="str">
        <f t="shared" si="128"/>
        <v/>
      </c>
      <c r="AA693" t="str">
        <f>IFERROR(MATCH(686,$X$8:$X$407,1),"")</f>
        <v/>
      </c>
      <c r="AB693" t="str">
        <f>IF(686=$AD$1+1,"G",IF($AA693="","",IF(INDEX($Q$8:$Q$407,$AA693)="","",IF(686&gt;INDEX($X$8:$X$407,$AA693)+INDEX($V$8:$V$407,$AA693)+INDEX($W$8:$W$407,$AA693),"",IF(686=INDEX($X$8:$X$407,$AA693)+INDEX($V$8:$V$407,$AA693)+INDEX($W$8:$W$407,$AA693),"D",IF(AND(INDEX($W$8:$W$407,$AA693)=1,686=INDEX($X$8:$X$407,$AA693)+INDEX($V$8:$V$407,$AA693)),"S","R"))))))</f>
        <v/>
      </c>
      <c r="AC693" t="str">
        <f t="shared" si="129"/>
        <v/>
      </c>
    </row>
    <row r="694" spans="1:29" ht="21" customHeight="1" x14ac:dyDescent="0.95">
      <c r="A694" s="3" t="str">
        <f t="shared" si="122"/>
        <v/>
      </c>
      <c r="B694" s="3" t="str">
        <f t="shared" si="123"/>
        <v/>
      </c>
      <c r="C694" s="8" t="str">
        <f t="shared" si="124"/>
        <v/>
      </c>
      <c r="D694" s="31" t="str">
        <f t="shared" si="125"/>
        <v/>
      </c>
      <c r="E694" s="32" t="str">
        <f>IF(687=$AD$1+3,"ขอแสดงความนับถือ",IF(687=$AD$1+6,"(                 )",IF(687=$AD$1+7,"เจ้าหน้าที่ขนส่ง",IF($AB694="G",SUM($AF$8:$AF$407),IF(OR($AB694="",$AB694="R"),"",IF($AB694="D",INDEX($AF$8:$AF$407,$AA694),SUMIF($T$8:$T$407,INDEX($T$8:$T$407,$AA694),$AF$8:$AF$407)))))))</f>
        <v/>
      </c>
      <c r="F694" s="32" t="str">
        <f t="shared" si="126"/>
        <v/>
      </c>
      <c r="G694" s="32" t="str">
        <f t="shared" si="127"/>
        <v/>
      </c>
      <c r="H694" s="32" t="str">
        <f t="shared" si="128"/>
        <v/>
      </c>
      <c r="AA694" t="str">
        <f>IFERROR(MATCH(687,$X$8:$X$407,1),"")</f>
        <v/>
      </c>
      <c r="AB694" t="str">
        <f>IF(687=$AD$1+1,"G",IF($AA694="","",IF(INDEX($Q$8:$Q$407,$AA694)="","",IF(687&gt;INDEX($X$8:$X$407,$AA694)+INDEX($V$8:$V$407,$AA694)+INDEX($W$8:$W$407,$AA694),"",IF(687=INDEX($X$8:$X$407,$AA694)+INDEX($V$8:$V$407,$AA694)+INDEX($W$8:$W$407,$AA694),"D",IF(AND(INDEX($W$8:$W$407,$AA694)=1,687=INDEX($X$8:$X$407,$AA694)+INDEX($V$8:$V$407,$AA694)),"S","R"))))))</f>
        <v/>
      </c>
      <c r="AC694" t="str">
        <f t="shared" si="129"/>
        <v/>
      </c>
    </row>
    <row r="695" spans="1:29" ht="21" customHeight="1" x14ac:dyDescent="0.95">
      <c r="A695" s="3" t="str">
        <f t="shared" si="122"/>
        <v/>
      </c>
      <c r="B695" s="3" t="str">
        <f t="shared" si="123"/>
        <v/>
      </c>
      <c r="C695" s="8" t="str">
        <f t="shared" si="124"/>
        <v/>
      </c>
      <c r="D695" s="31" t="str">
        <f t="shared" si="125"/>
        <v/>
      </c>
      <c r="E695" s="32" t="str">
        <f>IF(688=$AD$1+3,"ขอแสดงความนับถือ",IF(688=$AD$1+6,"(                 )",IF(688=$AD$1+7,"เจ้าหน้าที่ขนส่ง",IF($AB695="G",SUM($AF$8:$AF$407),IF(OR($AB695="",$AB695="R"),"",IF($AB695="D",INDEX($AF$8:$AF$407,$AA695),SUMIF($T$8:$T$407,INDEX($T$8:$T$407,$AA695),$AF$8:$AF$407)))))))</f>
        <v/>
      </c>
      <c r="F695" s="32" t="str">
        <f t="shared" si="126"/>
        <v/>
      </c>
      <c r="G695" s="32" t="str">
        <f t="shared" si="127"/>
        <v/>
      </c>
      <c r="H695" s="32" t="str">
        <f t="shared" si="128"/>
        <v/>
      </c>
      <c r="AA695" t="str">
        <f>IFERROR(MATCH(688,$X$8:$X$407,1),"")</f>
        <v/>
      </c>
      <c r="AB695" t="str">
        <f>IF(688=$AD$1+1,"G",IF($AA695="","",IF(INDEX($Q$8:$Q$407,$AA695)="","",IF(688&gt;INDEX($X$8:$X$407,$AA695)+INDEX($V$8:$V$407,$AA695)+INDEX($W$8:$W$407,$AA695),"",IF(688=INDEX($X$8:$X$407,$AA695)+INDEX($V$8:$V$407,$AA695)+INDEX($W$8:$W$407,$AA695),"D",IF(AND(INDEX($W$8:$W$407,$AA695)=1,688=INDEX($X$8:$X$407,$AA695)+INDEX($V$8:$V$407,$AA695)),"S","R"))))))</f>
        <v/>
      </c>
      <c r="AC695" t="str">
        <f t="shared" si="129"/>
        <v/>
      </c>
    </row>
    <row r="696" spans="1:29" ht="21" customHeight="1" x14ac:dyDescent="0.95">
      <c r="A696" s="3" t="str">
        <f t="shared" si="122"/>
        <v/>
      </c>
      <c r="B696" s="3" t="str">
        <f t="shared" si="123"/>
        <v/>
      </c>
      <c r="C696" s="8" t="str">
        <f t="shared" si="124"/>
        <v/>
      </c>
      <c r="D696" s="31" t="str">
        <f t="shared" si="125"/>
        <v/>
      </c>
      <c r="E696" s="32" t="str">
        <f>IF(689=$AD$1+3,"ขอแสดงความนับถือ",IF(689=$AD$1+6,"(                 )",IF(689=$AD$1+7,"เจ้าหน้าที่ขนส่ง",IF($AB696="G",SUM($AF$8:$AF$407),IF(OR($AB696="",$AB696="R"),"",IF($AB696="D",INDEX($AF$8:$AF$407,$AA696),SUMIF($T$8:$T$407,INDEX($T$8:$T$407,$AA696),$AF$8:$AF$407)))))))</f>
        <v/>
      </c>
      <c r="F696" s="32" t="str">
        <f t="shared" si="126"/>
        <v/>
      </c>
      <c r="G696" s="32" t="str">
        <f t="shared" si="127"/>
        <v/>
      </c>
      <c r="H696" s="32" t="str">
        <f t="shared" si="128"/>
        <v/>
      </c>
      <c r="AA696" t="str">
        <f>IFERROR(MATCH(689,$X$8:$X$407,1),"")</f>
        <v/>
      </c>
      <c r="AB696" t="str">
        <f>IF(689=$AD$1+1,"G",IF($AA696="","",IF(INDEX($Q$8:$Q$407,$AA696)="","",IF(689&gt;INDEX($X$8:$X$407,$AA696)+INDEX($V$8:$V$407,$AA696)+INDEX($W$8:$W$407,$AA696),"",IF(689=INDEX($X$8:$X$407,$AA696)+INDEX($V$8:$V$407,$AA696)+INDEX($W$8:$W$407,$AA696),"D",IF(AND(INDEX($W$8:$W$407,$AA696)=1,689=INDEX($X$8:$X$407,$AA696)+INDEX($V$8:$V$407,$AA696)),"S","R"))))))</f>
        <v/>
      </c>
      <c r="AC696" t="str">
        <f t="shared" si="129"/>
        <v/>
      </c>
    </row>
    <row r="697" spans="1:29" ht="21" customHeight="1" x14ac:dyDescent="0.95">
      <c r="A697" s="3" t="str">
        <f t="shared" si="122"/>
        <v/>
      </c>
      <c r="B697" s="3" t="str">
        <f t="shared" si="123"/>
        <v/>
      </c>
      <c r="C697" s="8" t="str">
        <f t="shared" si="124"/>
        <v/>
      </c>
      <c r="D697" s="31" t="str">
        <f t="shared" si="125"/>
        <v/>
      </c>
      <c r="E697" s="32" t="str">
        <f>IF(690=$AD$1+3,"ขอแสดงความนับถือ",IF(690=$AD$1+6,"(                 )",IF(690=$AD$1+7,"เจ้าหน้าที่ขนส่ง",IF($AB697="G",SUM($AF$8:$AF$407),IF(OR($AB697="",$AB697="R"),"",IF($AB697="D",INDEX($AF$8:$AF$407,$AA697),SUMIF($T$8:$T$407,INDEX($T$8:$T$407,$AA697),$AF$8:$AF$407)))))))</f>
        <v/>
      </c>
      <c r="F697" s="32" t="str">
        <f t="shared" si="126"/>
        <v/>
      </c>
      <c r="G697" s="32" t="str">
        <f t="shared" si="127"/>
        <v/>
      </c>
      <c r="H697" s="32" t="str">
        <f t="shared" si="128"/>
        <v/>
      </c>
      <c r="AA697" t="str">
        <f>IFERROR(MATCH(690,$X$8:$X$407,1),"")</f>
        <v/>
      </c>
      <c r="AB697" t="str">
        <f>IF(690=$AD$1+1,"G",IF($AA697="","",IF(INDEX($Q$8:$Q$407,$AA697)="","",IF(690&gt;INDEX($X$8:$X$407,$AA697)+INDEX($V$8:$V$407,$AA697)+INDEX($W$8:$W$407,$AA697),"",IF(690=INDEX($X$8:$X$407,$AA697)+INDEX($V$8:$V$407,$AA697)+INDEX($W$8:$W$407,$AA697),"D",IF(AND(INDEX($W$8:$W$407,$AA697)=1,690=INDEX($X$8:$X$407,$AA697)+INDEX($V$8:$V$407,$AA697)),"S","R"))))))</f>
        <v/>
      </c>
      <c r="AC697" t="str">
        <f t="shared" si="129"/>
        <v/>
      </c>
    </row>
    <row r="698" spans="1:29" ht="21" customHeight="1" x14ac:dyDescent="0.95">
      <c r="A698" s="3" t="str">
        <f t="shared" si="122"/>
        <v/>
      </c>
      <c r="B698" s="3" t="str">
        <f t="shared" si="123"/>
        <v/>
      </c>
      <c r="C698" s="8" t="str">
        <f t="shared" si="124"/>
        <v/>
      </c>
      <c r="D698" s="31" t="str">
        <f t="shared" si="125"/>
        <v/>
      </c>
      <c r="E698" s="32" t="str">
        <f>IF(691=$AD$1+3,"ขอแสดงความนับถือ",IF(691=$AD$1+6,"(                 )",IF(691=$AD$1+7,"เจ้าหน้าที่ขนส่ง",IF($AB698="G",SUM($AF$8:$AF$407),IF(OR($AB698="",$AB698="R"),"",IF($AB698="D",INDEX($AF$8:$AF$407,$AA698),SUMIF($T$8:$T$407,INDEX($T$8:$T$407,$AA698),$AF$8:$AF$407)))))))</f>
        <v/>
      </c>
      <c r="F698" s="32" t="str">
        <f t="shared" si="126"/>
        <v/>
      </c>
      <c r="G698" s="32" t="str">
        <f t="shared" si="127"/>
        <v/>
      </c>
      <c r="H698" s="32" t="str">
        <f t="shared" si="128"/>
        <v/>
      </c>
      <c r="AA698" t="str">
        <f>IFERROR(MATCH(691,$X$8:$X$407,1),"")</f>
        <v/>
      </c>
      <c r="AB698" t="str">
        <f>IF(691=$AD$1+1,"G",IF($AA698="","",IF(INDEX($Q$8:$Q$407,$AA698)="","",IF(691&gt;INDEX($X$8:$X$407,$AA698)+INDEX($V$8:$V$407,$AA698)+INDEX($W$8:$W$407,$AA698),"",IF(691=INDEX($X$8:$X$407,$AA698)+INDEX($V$8:$V$407,$AA698)+INDEX($W$8:$W$407,$AA698),"D",IF(AND(INDEX($W$8:$W$407,$AA698)=1,691=INDEX($X$8:$X$407,$AA698)+INDEX($V$8:$V$407,$AA698)),"S","R"))))))</f>
        <v/>
      </c>
      <c r="AC698" t="str">
        <f t="shared" si="129"/>
        <v/>
      </c>
    </row>
    <row r="699" spans="1:29" ht="21" customHeight="1" x14ac:dyDescent="0.95">
      <c r="A699" s="3" t="str">
        <f t="shared" si="122"/>
        <v/>
      </c>
      <c r="B699" s="3" t="str">
        <f t="shared" si="123"/>
        <v/>
      </c>
      <c r="C699" s="8" t="str">
        <f t="shared" si="124"/>
        <v/>
      </c>
      <c r="D699" s="31" t="str">
        <f t="shared" si="125"/>
        <v/>
      </c>
      <c r="E699" s="32" t="str">
        <f>IF(692=$AD$1+3,"ขอแสดงความนับถือ",IF(692=$AD$1+6,"(                 )",IF(692=$AD$1+7,"เจ้าหน้าที่ขนส่ง",IF($AB699="G",SUM($AF$8:$AF$407),IF(OR($AB699="",$AB699="R"),"",IF($AB699="D",INDEX($AF$8:$AF$407,$AA699),SUMIF($T$8:$T$407,INDEX($T$8:$T$407,$AA699),$AF$8:$AF$407)))))))</f>
        <v/>
      </c>
      <c r="F699" s="32" t="str">
        <f t="shared" si="126"/>
        <v/>
      </c>
      <c r="G699" s="32" t="str">
        <f t="shared" si="127"/>
        <v/>
      </c>
      <c r="H699" s="32" t="str">
        <f t="shared" si="128"/>
        <v/>
      </c>
      <c r="AA699" t="str">
        <f>IFERROR(MATCH(692,$X$8:$X$407,1),"")</f>
        <v/>
      </c>
      <c r="AB699" t="str">
        <f>IF(692=$AD$1+1,"G",IF($AA699="","",IF(INDEX($Q$8:$Q$407,$AA699)="","",IF(692&gt;INDEX($X$8:$X$407,$AA699)+INDEX($V$8:$V$407,$AA699)+INDEX($W$8:$W$407,$AA699),"",IF(692=INDEX($X$8:$X$407,$AA699)+INDEX($V$8:$V$407,$AA699)+INDEX($W$8:$W$407,$AA699),"D",IF(AND(INDEX($W$8:$W$407,$AA699)=1,692=INDEX($X$8:$X$407,$AA699)+INDEX($V$8:$V$407,$AA699)),"S","R"))))))</f>
        <v/>
      </c>
      <c r="AC699" t="str">
        <f t="shared" si="129"/>
        <v/>
      </c>
    </row>
    <row r="700" spans="1:29" ht="21" customHeight="1" x14ac:dyDescent="0.95">
      <c r="A700" s="3" t="str">
        <f t="shared" si="122"/>
        <v/>
      </c>
      <c r="B700" s="3" t="str">
        <f t="shared" si="123"/>
        <v/>
      </c>
      <c r="C700" s="8" t="str">
        <f t="shared" si="124"/>
        <v/>
      </c>
      <c r="D700" s="31" t="str">
        <f t="shared" si="125"/>
        <v/>
      </c>
      <c r="E700" s="32" t="str">
        <f>IF(693=$AD$1+3,"ขอแสดงความนับถือ",IF(693=$AD$1+6,"(                 )",IF(693=$AD$1+7,"เจ้าหน้าที่ขนส่ง",IF($AB700="G",SUM($AF$8:$AF$407),IF(OR($AB700="",$AB700="R"),"",IF($AB700="D",INDEX($AF$8:$AF$407,$AA700),SUMIF($T$8:$T$407,INDEX($T$8:$T$407,$AA700),$AF$8:$AF$407)))))))</f>
        <v/>
      </c>
      <c r="F700" s="32" t="str">
        <f t="shared" si="126"/>
        <v/>
      </c>
      <c r="G700" s="32" t="str">
        <f t="shared" si="127"/>
        <v/>
      </c>
      <c r="H700" s="32" t="str">
        <f t="shared" si="128"/>
        <v/>
      </c>
      <c r="AA700" t="str">
        <f>IFERROR(MATCH(693,$X$8:$X$407,1),"")</f>
        <v/>
      </c>
      <c r="AB700" t="str">
        <f>IF(693=$AD$1+1,"G",IF($AA700="","",IF(INDEX($Q$8:$Q$407,$AA700)="","",IF(693&gt;INDEX($X$8:$X$407,$AA700)+INDEX($V$8:$V$407,$AA700)+INDEX($W$8:$W$407,$AA700),"",IF(693=INDEX($X$8:$X$407,$AA700)+INDEX($V$8:$V$407,$AA700)+INDEX($W$8:$W$407,$AA700),"D",IF(AND(INDEX($W$8:$W$407,$AA700)=1,693=INDEX($X$8:$X$407,$AA700)+INDEX($V$8:$V$407,$AA700)),"S","R"))))))</f>
        <v/>
      </c>
      <c r="AC700" t="str">
        <f t="shared" si="129"/>
        <v/>
      </c>
    </row>
    <row r="701" spans="1:29" ht="21" customHeight="1" x14ac:dyDescent="0.95">
      <c r="A701" s="3" t="str">
        <f t="shared" si="122"/>
        <v/>
      </c>
      <c r="B701" s="3" t="str">
        <f t="shared" si="123"/>
        <v/>
      </c>
      <c r="C701" s="8" t="str">
        <f t="shared" si="124"/>
        <v/>
      </c>
      <c r="D701" s="31" t="str">
        <f t="shared" si="125"/>
        <v/>
      </c>
      <c r="E701" s="32" t="str">
        <f>IF(694=$AD$1+3,"ขอแสดงความนับถือ",IF(694=$AD$1+6,"(                 )",IF(694=$AD$1+7,"เจ้าหน้าที่ขนส่ง",IF($AB701="G",SUM($AF$8:$AF$407),IF(OR($AB701="",$AB701="R"),"",IF($AB701="D",INDEX($AF$8:$AF$407,$AA701),SUMIF($T$8:$T$407,INDEX($T$8:$T$407,$AA701),$AF$8:$AF$407)))))))</f>
        <v/>
      </c>
      <c r="F701" s="32" t="str">
        <f t="shared" si="126"/>
        <v/>
      </c>
      <c r="G701" s="32" t="str">
        <f t="shared" si="127"/>
        <v/>
      </c>
      <c r="H701" s="32" t="str">
        <f t="shared" si="128"/>
        <v/>
      </c>
      <c r="AA701" t="str">
        <f>IFERROR(MATCH(694,$X$8:$X$407,1),"")</f>
        <v/>
      </c>
      <c r="AB701" t="str">
        <f>IF(694=$AD$1+1,"G",IF($AA701="","",IF(INDEX($Q$8:$Q$407,$AA701)="","",IF(694&gt;INDEX($X$8:$X$407,$AA701)+INDEX($V$8:$V$407,$AA701)+INDEX($W$8:$W$407,$AA701),"",IF(694=INDEX($X$8:$X$407,$AA701)+INDEX($V$8:$V$407,$AA701)+INDEX($W$8:$W$407,$AA701),"D",IF(AND(INDEX($W$8:$W$407,$AA701)=1,694=INDEX($X$8:$X$407,$AA701)+INDEX($V$8:$V$407,$AA701)),"S","R"))))))</f>
        <v/>
      </c>
      <c r="AC701" t="str">
        <f t="shared" si="129"/>
        <v/>
      </c>
    </row>
    <row r="702" spans="1:29" ht="21" customHeight="1" x14ac:dyDescent="0.95">
      <c r="A702" s="3" t="str">
        <f t="shared" si="122"/>
        <v/>
      </c>
      <c r="B702" s="3" t="str">
        <f t="shared" si="123"/>
        <v/>
      </c>
      <c r="C702" s="8" t="str">
        <f t="shared" si="124"/>
        <v/>
      </c>
      <c r="D702" s="31" t="str">
        <f t="shared" si="125"/>
        <v/>
      </c>
      <c r="E702" s="32" t="str">
        <f>IF(695=$AD$1+3,"ขอแสดงความนับถือ",IF(695=$AD$1+6,"(                 )",IF(695=$AD$1+7,"เจ้าหน้าที่ขนส่ง",IF($AB702="G",SUM($AF$8:$AF$407),IF(OR($AB702="",$AB702="R"),"",IF($AB702="D",INDEX($AF$8:$AF$407,$AA702),SUMIF($T$8:$T$407,INDEX($T$8:$T$407,$AA702),$AF$8:$AF$407)))))))</f>
        <v/>
      </c>
      <c r="F702" s="32" t="str">
        <f t="shared" si="126"/>
        <v/>
      </c>
      <c r="G702" s="32" t="str">
        <f t="shared" si="127"/>
        <v/>
      </c>
      <c r="H702" s="32" t="str">
        <f t="shared" si="128"/>
        <v/>
      </c>
      <c r="AA702" t="str">
        <f>IFERROR(MATCH(695,$X$8:$X$407,1),"")</f>
        <v/>
      </c>
      <c r="AB702" t="str">
        <f>IF(695=$AD$1+1,"G",IF($AA702="","",IF(INDEX($Q$8:$Q$407,$AA702)="","",IF(695&gt;INDEX($X$8:$X$407,$AA702)+INDEX($V$8:$V$407,$AA702)+INDEX($W$8:$W$407,$AA702),"",IF(695=INDEX($X$8:$X$407,$AA702)+INDEX($V$8:$V$407,$AA702)+INDEX($W$8:$W$407,$AA702),"D",IF(AND(INDEX($W$8:$W$407,$AA702)=1,695=INDEX($X$8:$X$407,$AA702)+INDEX($V$8:$V$407,$AA702)),"S","R"))))))</f>
        <v/>
      </c>
      <c r="AC702" t="str">
        <f t="shared" si="129"/>
        <v/>
      </c>
    </row>
    <row r="703" spans="1:29" ht="21" customHeight="1" x14ac:dyDescent="0.95">
      <c r="A703" s="3" t="str">
        <f t="shared" si="122"/>
        <v/>
      </c>
      <c r="B703" s="3" t="str">
        <f t="shared" si="123"/>
        <v/>
      </c>
      <c r="C703" s="8" t="str">
        <f t="shared" si="124"/>
        <v/>
      </c>
      <c r="D703" s="31" t="str">
        <f t="shared" si="125"/>
        <v/>
      </c>
      <c r="E703" s="32" t="str">
        <f>IF(696=$AD$1+3,"ขอแสดงความนับถือ",IF(696=$AD$1+6,"(                 )",IF(696=$AD$1+7,"เจ้าหน้าที่ขนส่ง",IF($AB703="G",SUM($AF$8:$AF$407),IF(OR($AB703="",$AB703="R"),"",IF($AB703="D",INDEX($AF$8:$AF$407,$AA703),SUMIF($T$8:$T$407,INDEX($T$8:$T$407,$AA703),$AF$8:$AF$407)))))))</f>
        <v/>
      </c>
      <c r="F703" s="32" t="str">
        <f t="shared" si="126"/>
        <v/>
      </c>
      <c r="G703" s="32" t="str">
        <f t="shared" si="127"/>
        <v/>
      </c>
      <c r="H703" s="32" t="str">
        <f t="shared" si="128"/>
        <v/>
      </c>
      <c r="AA703" t="str">
        <f>IFERROR(MATCH(696,$X$8:$X$407,1),"")</f>
        <v/>
      </c>
      <c r="AB703" t="str">
        <f>IF(696=$AD$1+1,"G",IF($AA703="","",IF(INDEX($Q$8:$Q$407,$AA703)="","",IF(696&gt;INDEX($X$8:$X$407,$AA703)+INDEX($V$8:$V$407,$AA703)+INDEX($W$8:$W$407,$AA703),"",IF(696=INDEX($X$8:$X$407,$AA703)+INDEX($V$8:$V$407,$AA703)+INDEX($W$8:$W$407,$AA703),"D",IF(AND(INDEX($W$8:$W$407,$AA703)=1,696=INDEX($X$8:$X$407,$AA703)+INDEX($V$8:$V$407,$AA703)),"S","R"))))))</f>
        <v/>
      </c>
      <c r="AC703" t="str">
        <f t="shared" si="129"/>
        <v/>
      </c>
    </row>
    <row r="704" spans="1:29" ht="21" customHeight="1" x14ac:dyDescent="0.95">
      <c r="A704" s="3" t="str">
        <f t="shared" si="122"/>
        <v/>
      </c>
      <c r="B704" s="3" t="str">
        <f t="shared" si="123"/>
        <v/>
      </c>
      <c r="C704" s="8" t="str">
        <f t="shared" si="124"/>
        <v/>
      </c>
      <c r="D704" s="31" t="str">
        <f t="shared" si="125"/>
        <v/>
      </c>
      <c r="E704" s="32" t="str">
        <f>IF(697=$AD$1+3,"ขอแสดงความนับถือ",IF(697=$AD$1+6,"(                 )",IF(697=$AD$1+7,"เจ้าหน้าที่ขนส่ง",IF($AB704="G",SUM($AF$8:$AF$407),IF(OR($AB704="",$AB704="R"),"",IF($AB704="D",INDEX($AF$8:$AF$407,$AA704),SUMIF($T$8:$T$407,INDEX($T$8:$T$407,$AA704),$AF$8:$AF$407)))))))</f>
        <v/>
      </c>
      <c r="F704" s="32" t="str">
        <f t="shared" si="126"/>
        <v/>
      </c>
      <c r="G704" s="32" t="str">
        <f t="shared" si="127"/>
        <v/>
      </c>
      <c r="H704" s="32" t="str">
        <f t="shared" si="128"/>
        <v/>
      </c>
      <c r="AA704" t="str">
        <f>IFERROR(MATCH(697,$X$8:$X$407,1),"")</f>
        <v/>
      </c>
      <c r="AB704" t="str">
        <f>IF(697=$AD$1+1,"G",IF($AA704="","",IF(INDEX($Q$8:$Q$407,$AA704)="","",IF(697&gt;INDEX($X$8:$X$407,$AA704)+INDEX($V$8:$V$407,$AA704)+INDEX($W$8:$W$407,$AA704),"",IF(697=INDEX($X$8:$X$407,$AA704)+INDEX($V$8:$V$407,$AA704)+INDEX($W$8:$W$407,$AA704),"D",IF(AND(INDEX($W$8:$W$407,$AA704)=1,697=INDEX($X$8:$X$407,$AA704)+INDEX($V$8:$V$407,$AA704)),"S","R"))))))</f>
        <v/>
      </c>
      <c r="AC704" t="str">
        <f t="shared" si="129"/>
        <v/>
      </c>
    </row>
    <row r="705" spans="1:29" ht="21" customHeight="1" x14ac:dyDescent="0.95">
      <c r="A705" s="3" t="str">
        <f t="shared" si="122"/>
        <v/>
      </c>
      <c r="B705" s="3" t="str">
        <f t="shared" si="123"/>
        <v/>
      </c>
      <c r="C705" s="8" t="str">
        <f t="shared" si="124"/>
        <v/>
      </c>
      <c r="D705" s="31" t="str">
        <f t="shared" si="125"/>
        <v/>
      </c>
      <c r="E705" s="32" t="str">
        <f>IF(698=$AD$1+3,"ขอแสดงความนับถือ",IF(698=$AD$1+6,"(                 )",IF(698=$AD$1+7,"เจ้าหน้าที่ขนส่ง",IF($AB705="G",SUM($AF$8:$AF$407),IF(OR($AB705="",$AB705="R"),"",IF($AB705="D",INDEX($AF$8:$AF$407,$AA705),SUMIF($T$8:$T$407,INDEX($T$8:$T$407,$AA705),$AF$8:$AF$407)))))))</f>
        <v/>
      </c>
      <c r="F705" s="32" t="str">
        <f t="shared" si="126"/>
        <v/>
      </c>
      <c r="G705" s="32" t="str">
        <f t="shared" si="127"/>
        <v/>
      </c>
      <c r="H705" s="32" t="str">
        <f t="shared" si="128"/>
        <v/>
      </c>
      <c r="AA705" t="str">
        <f>IFERROR(MATCH(698,$X$8:$X$407,1),"")</f>
        <v/>
      </c>
      <c r="AB705" t="str">
        <f>IF(698=$AD$1+1,"G",IF($AA705="","",IF(INDEX($Q$8:$Q$407,$AA705)="","",IF(698&gt;INDEX($X$8:$X$407,$AA705)+INDEX($V$8:$V$407,$AA705)+INDEX($W$8:$W$407,$AA705),"",IF(698=INDEX($X$8:$X$407,$AA705)+INDEX($V$8:$V$407,$AA705)+INDEX($W$8:$W$407,$AA705),"D",IF(AND(INDEX($W$8:$W$407,$AA705)=1,698=INDEX($X$8:$X$407,$AA705)+INDEX($V$8:$V$407,$AA705)),"S","R"))))))</f>
        <v/>
      </c>
      <c r="AC705" t="str">
        <f t="shared" si="129"/>
        <v/>
      </c>
    </row>
    <row r="706" spans="1:29" ht="21" customHeight="1" x14ac:dyDescent="0.95">
      <c r="A706" s="3" t="str">
        <f t="shared" si="122"/>
        <v/>
      </c>
      <c r="B706" s="3" t="str">
        <f t="shared" si="123"/>
        <v/>
      </c>
      <c r="C706" s="8" t="str">
        <f t="shared" si="124"/>
        <v/>
      </c>
      <c r="D706" s="31" t="str">
        <f t="shared" si="125"/>
        <v/>
      </c>
      <c r="E706" s="32" t="str">
        <f>IF(699=$AD$1+3,"ขอแสดงความนับถือ",IF(699=$AD$1+6,"(                 )",IF(699=$AD$1+7,"เจ้าหน้าที่ขนส่ง",IF($AB706="G",SUM($AF$8:$AF$407),IF(OR($AB706="",$AB706="R"),"",IF($AB706="D",INDEX($AF$8:$AF$407,$AA706),SUMIF($T$8:$T$407,INDEX($T$8:$T$407,$AA706),$AF$8:$AF$407)))))))</f>
        <v/>
      </c>
      <c r="F706" s="32" t="str">
        <f t="shared" si="126"/>
        <v/>
      </c>
      <c r="G706" s="32" t="str">
        <f t="shared" si="127"/>
        <v/>
      </c>
      <c r="H706" s="32" t="str">
        <f t="shared" si="128"/>
        <v/>
      </c>
      <c r="AA706" t="str">
        <f>IFERROR(MATCH(699,$X$8:$X$407,1),"")</f>
        <v/>
      </c>
      <c r="AB706" t="str">
        <f>IF(699=$AD$1+1,"G",IF($AA706="","",IF(INDEX($Q$8:$Q$407,$AA706)="","",IF(699&gt;INDEX($X$8:$X$407,$AA706)+INDEX($V$8:$V$407,$AA706)+INDEX($W$8:$W$407,$AA706),"",IF(699=INDEX($X$8:$X$407,$AA706)+INDEX($V$8:$V$407,$AA706)+INDEX($W$8:$W$407,$AA706),"D",IF(AND(INDEX($W$8:$W$407,$AA706)=1,699=INDEX($X$8:$X$407,$AA706)+INDEX($V$8:$V$407,$AA706)),"S","R"))))))</f>
        <v/>
      </c>
      <c r="AC706" t="str">
        <f t="shared" si="129"/>
        <v/>
      </c>
    </row>
    <row r="707" spans="1:29" ht="21" customHeight="1" x14ac:dyDescent="0.95">
      <c r="A707" s="3" t="str">
        <f t="shared" si="122"/>
        <v/>
      </c>
      <c r="B707" s="3" t="str">
        <f t="shared" si="123"/>
        <v/>
      </c>
      <c r="C707" s="8" t="str">
        <f t="shared" si="124"/>
        <v/>
      </c>
      <c r="D707" s="31" t="str">
        <f t="shared" si="125"/>
        <v/>
      </c>
      <c r="E707" s="32" t="str">
        <f>IF(700=$AD$1+3,"ขอแสดงความนับถือ",IF(700=$AD$1+6,"(                 )",IF(700=$AD$1+7,"เจ้าหน้าที่ขนส่ง",IF($AB707="G",SUM($AF$8:$AF$407),IF(OR($AB707="",$AB707="R"),"",IF($AB707="D",INDEX($AF$8:$AF$407,$AA707),SUMIF($T$8:$T$407,INDEX($T$8:$T$407,$AA707),$AF$8:$AF$407)))))))</f>
        <v/>
      </c>
      <c r="F707" s="32" t="str">
        <f t="shared" si="126"/>
        <v/>
      </c>
      <c r="G707" s="32" t="str">
        <f t="shared" si="127"/>
        <v/>
      </c>
      <c r="H707" s="32" t="str">
        <f t="shared" si="128"/>
        <v/>
      </c>
      <c r="AA707" t="str">
        <f>IFERROR(MATCH(700,$X$8:$X$407,1),"")</f>
        <v/>
      </c>
      <c r="AB707" t="str">
        <f>IF(700=$AD$1+1,"G",IF($AA707="","",IF(INDEX($Q$8:$Q$407,$AA707)="","",IF(700&gt;INDEX($X$8:$X$407,$AA707)+INDEX($V$8:$V$407,$AA707)+INDEX($W$8:$W$407,$AA707),"",IF(700=INDEX($X$8:$X$407,$AA707)+INDEX($V$8:$V$407,$AA707)+INDEX($W$8:$W$407,$AA707),"D",IF(AND(INDEX($W$8:$W$407,$AA707)=1,700=INDEX($X$8:$X$407,$AA707)+INDEX($V$8:$V$407,$AA707)),"S","R"))))))</f>
        <v/>
      </c>
      <c r="AC707" t="str">
        <f t="shared" si="129"/>
        <v/>
      </c>
    </row>
  </sheetData>
  <mergeCells count="2">
    <mergeCell ref="A6:H6"/>
    <mergeCell ref="A5:H5"/>
  </mergeCells>
  <conditionalFormatting sqref="A8:H707">
    <cfRule type="expression" dxfId="9" priority="1">
      <formula>$AB8="G"</formula>
    </cfRule>
    <cfRule type="expression" dxfId="8" priority="2">
      <formula>$AB8="R"</formula>
    </cfRule>
    <cfRule type="expression" dxfId="7" priority="3">
      <formula>$AB8="S"</formula>
    </cfRule>
    <cfRule type="expression" dxfId="6" priority="4">
      <formula>$AB8&lt;&gt;""</formula>
    </cfRule>
  </conditionalFormatting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0000000}">
          <x14:formula1>
            <xm:f>รายการมาตรฐาน!$L$2:$L$302</xm:f>
          </x14:formula1>
          <xm:sqref>I3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1000000}">
          <x14:formula1>
            <xm:f>รายการมาตรฐาน!$M$2:$M$302</xm:f>
          </x14:formula1>
          <xm:sqref>I5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2000000}">
          <x14:formula1>
            <xm:f>รายการมาตรฐาน!$N$2:$N$302</xm:f>
          </x14:formula1>
          <xm:sqref>I7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N75"/>
  <sheetViews>
    <sheetView workbookViewId="0"/>
  </sheetViews>
  <sheetFormatPr defaultRowHeight="14.25" x14ac:dyDescent="0.45"/>
  <cols>
    <col min="1" max="1" width="12" customWidth="1"/>
    <col min="2" max="2" width="27" customWidth="1"/>
    <col min="3" max="3" width="8" customWidth="1"/>
    <col min="4" max="4" width="11" customWidth="1"/>
    <col min="5" max="5" width="15" customWidth="1"/>
    <col min="6" max="6" width="13" customWidth="1"/>
    <col min="7" max="7" width="14" customWidth="1"/>
    <col min="8" max="8" width="15" customWidth="1"/>
    <col min="10" max="10" width="30" customWidth="1"/>
    <col min="11" max="11" width="46" customWidth="1"/>
    <col min="13" max="14" width="13" hidden="1" customWidth="1"/>
  </cols>
  <sheetData>
    <row r="1" spans="1:13" ht="19.899999999999999" customHeight="1" x14ac:dyDescent="0.8">
      <c r="J1" s="18" t="s">
        <v>111</v>
      </c>
    </row>
    <row r="2" spans="1:13" ht="21" customHeight="1" x14ac:dyDescent="0.95">
      <c r="J2" s="8" t="s">
        <v>112</v>
      </c>
      <c r="K2" s="4" t="s">
        <v>113</v>
      </c>
      <c r="M2">
        <f>MAX(สรุปจ่ายรถร่วม!$AZ$5:$AZ$704)</f>
        <v>0</v>
      </c>
    </row>
    <row r="3" spans="1:13" ht="21" customHeight="1" x14ac:dyDescent="0.95">
      <c r="J3" s="8" t="s">
        <v>41</v>
      </c>
      <c r="K3" s="4" t="s">
        <v>114</v>
      </c>
    </row>
    <row r="4" spans="1:13" ht="21" customHeight="1" x14ac:dyDescent="0.95">
      <c r="J4" s="8" t="s">
        <v>115</v>
      </c>
      <c r="K4" s="4" t="s">
        <v>116</v>
      </c>
    </row>
    <row r="5" spans="1:13" ht="21" customHeight="1" x14ac:dyDescent="0.95">
      <c r="A5" s="8" t="str">
        <f>"ที่ "&amp;$K$2</f>
        <v>ที่ ACC.SURAT.115/2569</v>
      </c>
      <c r="J5" s="8" t="s">
        <v>103</v>
      </c>
      <c r="K5" s="4" t="s">
        <v>117</v>
      </c>
      <c r="M5">
        <f>SUMIF(สรุปจ่ายรถร่วม!$AN$5:$AN$404,1,สรุปจ่ายรถร่วม!$AR$5:$AR$404)</f>
        <v>0</v>
      </c>
    </row>
    <row r="6" spans="1:13" ht="21" customHeight="1" x14ac:dyDescent="0.95">
      <c r="D6" s="71" t="str">
        <f>"วันที่  "&amp;$K$3</f>
        <v>วันที่  3 กรกฏาคม 2569</v>
      </c>
      <c r="E6" s="69"/>
      <c r="F6" s="69"/>
      <c r="J6" s="8" t="s">
        <v>118</v>
      </c>
      <c r="K6" s="4">
        <v>90</v>
      </c>
      <c r="M6">
        <f>ROUND(SUMIF(สรุปจ่ายรถร่วม!$AN$5:$AN$404,1,สรุปจ่ายรถร่วม!$AS$5:$AS$404),2)</f>
        <v>0</v>
      </c>
    </row>
    <row r="7" spans="1:13" ht="21" customHeight="1" x14ac:dyDescent="0.95">
      <c r="J7" s="8" t="s">
        <v>119</v>
      </c>
      <c r="K7" s="4" t="s">
        <v>120</v>
      </c>
      <c r="M7">
        <f>ROUND(SUMIF(สรุปจ่ายรถร่วม!$AN$5:$AN$404,1,สรุปจ่ายรถร่วม!$AU$5:$AU$404),2)</f>
        <v>0</v>
      </c>
    </row>
    <row r="8" spans="1:13" ht="21" customHeight="1" x14ac:dyDescent="0.95">
      <c r="A8" s="3" t="s">
        <v>100</v>
      </c>
      <c r="B8" s="72" t="str">
        <f>$K$4&amp;บันทึกรายเที่ยว!$F$3&amp;"  ประจำเดือน  "&amp;บันทึกรายเที่ยว!$B$3</f>
        <v>จ่ายค่าบรรทุกรถร่วมทีมปกติ ส่งออกนามศิลาชัย  ประจำเดือน  กรกฎาคม 2569</v>
      </c>
      <c r="C8" s="69"/>
      <c r="D8" s="69"/>
      <c r="E8" s="69"/>
      <c r="F8" s="69"/>
      <c r="G8" s="69"/>
      <c r="H8" s="69"/>
      <c r="J8" s="8" t="s">
        <v>121</v>
      </c>
      <c r="K8" s="4" t="s">
        <v>122</v>
      </c>
      <c r="M8">
        <f>ROUND(SUMIF(สรุปจ่ายรถร่วม!$AN$5:$AN$404,1,สรุปจ่ายรถร่วม!$AV$5:$AV$404),2)</f>
        <v>0</v>
      </c>
    </row>
    <row r="9" spans="1:13" ht="21" customHeight="1" x14ac:dyDescent="0.95">
      <c r="A9" s="3" t="s">
        <v>103</v>
      </c>
      <c r="B9" s="72" t="str">
        <f>$K$5</f>
        <v>พันตำรวจเอกพร้อม  ปริยวาที กรรมการผู้จัดการ</v>
      </c>
      <c r="C9" s="69"/>
      <c r="D9" s="69"/>
      <c r="E9" s="69"/>
      <c r="F9" s="69"/>
      <c r="G9" s="69"/>
      <c r="H9" s="69"/>
      <c r="J9" s="8" t="s">
        <v>123</v>
      </c>
      <c r="K9" s="4" t="s">
        <v>124</v>
      </c>
      <c r="M9">
        <f>ROUND(SUMIF(สรุปจ่ายรถร่วม!$AQ$5:$AQ$704,1,สรุปจ่ายรถร่วม!$AJ$5:$AJ$704),2)</f>
        <v>0</v>
      </c>
    </row>
    <row r="10" spans="1:13" ht="21" customHeight="1" x14ac:dyDescent="0.95">
      <c r="A10" s="3" t="s">
        <v>125</v>
      </c>
      <c r="B10" s="72" t="str">
        <f>IF($K$19="","",1&amp;"."&amp;$K$19)</f>
        <v/>
      </c>
      <c r="C10" s="69"/>
      <c r="D10" s="69"/>
      <c r="E10" s="72" t="str">
        <f>IF($K$20="","",2&amp;"."&amp;$K$20)</f>
        <v/>
      </c>
      <c r="F10" s="69"/>
      <c r="G10" s="69"/>
      <c r="H10" s="69"/>
      <c r="J10" s="8" t="s">
        <v>126</v>
      </c>
      <c r="K10" s="4" t="s">
        <v>127</v>
      </c>
      <c r="M10">
        <f>ROUND($M$7-$M$8-$M$9,2)</f>
        <v>0</v>
      </c>
    </row>
    <row r="11" spans="1:13" ht="21" customHeight="1" x14ac:dyDescent="0.95">
      <c r="B11" s="72" t="str">
        <f>IF($K$21="","",3&amp;"."&amp;$K$21)</f>
        <v/>
      </c>
      <c r="C11" s="69"/>
      <c r="D11" s="69"/>
      <c r="E11" s="72" t="str">
        <f>IF($K$22="","",4&amp;"."&amp;$K$22)</f>
        <v/>
      </c>
      <c r="F11" s="69"/>
      <c r="G11" s="69"/>
      <c r="H11" s="69"/>
      <c r="J11" s="8" t="s">
        <v>128</v>
      </c>
      <c r="K11" s="4" t="s">
        <v>129</v>
      </c>
    </row>
    <row r="12" spans="1:13" ht="21" customHeight="1" x14ac:dyDescent="0.95">
      <c r="B12" s="72" t="str">
        <f>IF($K$23="","",5&amp;"."&amp;$K$23)</f>
        <v/>
      </c>
      <c r="C12" s="69"/>
      <c r="D12" s="69"/>
      <c r="E12" s="72" t="str">
        <f>IF($K$24="","",6&amp;"."&amp;$K$24)</f>
        <v/>
      </c>
      <c r="F12" s="69"/>
      <c r="G12" s="69"/>
      <c r="H12" s="69"/>
      <c r="J12" s="8" t="s">
        <v>130</v>
      </c>
      <c r="K12" s="4" t="s">
        <v>131</v>
      </c>
    </row>
    <row r="13" spans="1:13" ht="21" customHeight="1" x14ac:dyDescent="0.95">
      <c r="B13" s="72" t="str">
        <f>IF($K$25="","",7&amp;"."&amp;$K$25)</f>
        <v/>
      </c>
      <c r="C13" s="69"/>
      <c r="D13" s="69"/>
      <c r="E13" s="72" t="str">
        <f>IF($K$26="","",8&amp;"."&amp;$K$26)</f>
        <v/>
      </c>
      <c r="F13" s="69"/>
      <c r="G13" s="69"/>
      <c r="H13" s="69"/>
      <c r="J13" s="8" t="s">
        <v>132</v>
      </c>
      <c r="K13" s="4" t="s">
        <v>133</v>
      </c>
    </row>
    <row r="14" spans="1:13" ht="21" customHeight="1" x14ac:dyDescent="0.95">
      <c r="B14" s="72" t="str">
        <f>IF($K$27="","",9&amp;"."&amp;$K$27)</f>
        <v/>
      </c>
      <c r="C14" s="69"/>
      <c r="D14" s="69"/>
      <c r="E14" s="72" t="str">
        <f>IF($K$28="","",10&amp;"."&amp;$K$28)</f>
        <v/>
      </c>
      <c r="F14" s="69"/>
      <c r="G14" s="69"/>
      <c r="H14" s="69"/>
      <c r="J14" s="8" t="s">
        <v>134</v>
      </c>
      <c r="K14" s="4" t="s">
        <v>133</v>
      </c>
    </row>
    <row r="15" spans="1:13" ht="21" customHeight="1" x14ac:dyDescent="0.95">
      <c r="B15" s="72" t="str">
        <f>IF($K$29="","",11&amp;"."&amp;$K$29)</f>
        <v/>
      </c>
      <c r="C15" s="69"/>
      <c r="D15" s="69"/>
      <c r="E15" s="72" t="str">
        <f>IF($K$30="","",12&amp;"."&amp;$K$30)</f>
        <v/>
      </c>
      <c r="F15" s="69"/>
      <c r="G15" s="69"/>
      <c r="H15" s="69"/>
      <c r="J15" s="8" t="s">
        <v>135</v>
      </c>
      <c r="K15" s="4" t="s">
        <v>136</v>
      </c>
    </row>
    <row r="16" spans="1:13" ht="21" customHeight="1" x14ac:dyDescent="0.95">
      <c r="B16" s="74" t="str">
        <f>"สรุปค่าบรรทุก ประจำเดือน  "&amp;บันทึกรายเที่ยว!$B$3</f>
        <v>สรุปค่าบรรทุก ประจำเดือน  กรกฎาคม 2569</v>
      </c>
      <c r="C16" s="69"/>
      <c r="D16" s="69"/>
      <c r="E16" s="69"/>
      <c r="F16" s="69"/>
      <c r="G16" s="69"/>
      <c r="H16" s="69"/>
      <c r="J16" s="8" t="s">
        <v>137</v>
      </c>
      <c r="K16" s="4" t="s">
        <v>138</v>
      </c>
    </row>
    <row r="17" spans="1:13" ht="21" customHeight="1" x14ac:dyDescent="0.95">
      <c r="A17" s="72" t="str">
        <f>"เครดิต "&amp;$K$6&amp;" วัน ครบกำหนดในวันที่  "&amp;$K$7&amp;"  ซึ่งมีรายละเอียดดังต่อไปนี้"</f>
        <v>เครดิต 90 วัน ครบกำหนดในวันที่  30 กรกฏาคม 2569  ซึ่งมีรายละเอียดดังต่อไปนี้</v>
      </c>
      <c r="B17" s="69"/>
      <c r="C17" s="69"/>
      <c r="D17" s="69"/>
      <c r="E17" s="69"/>
      <c r="F17" s="69"/>
      <c r="G17" s="69"/>
      <c r="H17" s="69"/>
      <c r="J17" s="8" t="s">
        <v>139</v>
      </c>
      <c r="K17" s="4"/>
    </row>
    <row r="18" spans="1:13" ht="30" customHeight="1" x14ac:dyDescent="0.8">
      <c r="A18" s="63" t="s">
        <v>66</v>
      </c>
      <c r="B18" s="63" t="s">
        <v>6</v>
      </c>
      <c r="C18" s="63" t="s">
        <v>107</v>
      </c>
      <c r="D18" s="63" t="s">
        <v>140</v>
      </c>
      <c r="E18" s="63" t="s">
        <v>141</v>
      </c>
      <c r="F18" s="63" t="s">
        <v>142</v>
      </c>
      <c r="G18" s="63" t="s">
        <v>143</v>
      </c>
      <c r="H18" s="7" t="s">
        <v>144</v>
      </c>
      <c r="J18" s="3" t="s">
        <v>145</v>
      </c>
    </row>
    <row r="19" spans="1:13" ht="21" customHeight="1" x14ac:dyDescent="0.95">
      <c r="A19" s="64"/>
      <c r="B19" s="64"/>
      <c r="C19" s="64"/>
      <c r="D19" s="64"/>
      <c r="E19" s="64"/>
      <c r="F19" s="64"/>
      <c r="G19" s="64"/>
      <c r="H19" s="7" t="s">
        <v>146</v>
      </c>
      <c r="J19" s="8" t="s">
        <v>147</v>
      </c>
      <c r="K19" s="4"/>
    </row>
    <row r="20" spans="1:13" ht="21" customHeight="1" x14ac:dyDescent="0.95">
      <c r="A20" s="37" t="str">
        <f>IF($M20="","",1)</f>
        <v/>
      </c>
      <c r="B20" s="36" t="str">
        <f>IF($M20="","",INDEX(สรุปจ่ายรถร่วม!$AF$5:$AF$704,$M20))</f>
        <v/>
      </c>
      <c r="C20" s="38" t="str">
        <f>IF($M20="","",N(INDEX(สรุปจ่ายรถร่วม!$E$5:$E$704,$M20)))</f>
        <v/>
      </c>
      <c r="D20" s="39" t="str">
        <f>IF($M20="","",N(INDEX(สรุปจ่ายรถร่วม!$F$5:$F$704,$M20)))</f>
        <v/>
      </c>
      <c r="E20" s="39" t="str">
        <f>IF($M20="","",N(INDEX(สรุปจ่ายรถร่วม!$K$5:$K$704,$M20)))</f>
        <v/>
      </c>
      <c r="F20" s="39" t="str">
        <f>IF($M20="","",N(INDEX(สรุปจ่ายรถร่วม!$L$5:$L$704,$M20)))</f>
        <v/>
      </c>
      <c r="G20" s="39" t="str">
        <f>IF($M20="","",N(INDEX(สรุปจ่ายรถร่วม!$M$5:$M$704,$M20)))</f>
        <v/>
      </c>
      <c r="H20" s="39" t="str">
        <f>IF($M20="","",N(INDEX(สรุปจ่ายรถร่วม!$N$5:$N$704,$M20)))</f>
        <v/>
      </c>
      <c r="J20" s="8" t="s">
        <v>148</v>
      </c>
      <c r="K20" s="4"/>
      <c r="M20" t="str">
        <f>IFERROR(MATCH(1,สรุปจ่ายรถร่วม!$AZ$5:$AZ$704,0),"")</f>
        <v/>
      </c>
    </row>
    <row r="21" spans="1:13" ht="21" customHeight="1" x14ac:dyDescent="0.95">
      <c r="A21" s="37" t="str">
        <f>IF($M21="","",2)</f>
        <v/>
      </c>
      <c r="B21" s="36" t="str">
        <f>IF($M21="","",INDEX(สรุปจ่ายรถร่วม!$AF$5:$AF$704,$M21))</f>
        <v/>
      </c>
      <c r="C21" s="38" t="str">
        <f>IF($M21="","",N(INDEX(สรุปจ่ายรถร่วม!$E$5:$E$704,$M21)))</f>
        <v/>
      </c>
      <c r="D21" s="39" t="str">
        <f>IF($M21="","",N(INDEX(สรุปจ่ายรถร่วม!$F$5:$F$704,$M21)))</f>
        <v/>
      </c>
      <c r="E21" s="39" t="str">
        <f>IF($M21="","",N(INDEX(สรุปจ่ายรถร่วม!$K$5:$K$704,$M21)))</f>
        <v/>
      </c>
      <c r="F21" s="39" t="str">
        <f>IF($M21="","",N(INDEX(สรุปจ่ายรถร่วม!$L$5:$L$704,$M21)))</f>
        <v/>
      </c>
      <c r="G21" s="39" t="str">
        <f>IF($M21="","",N(INDEX(สรุปจ่ายรถร่วม!$M$5:$M$704,$M21)))</f>
        <v/>
      </c>
      <c r="H21" s="39" t="str">
        <f>IF($M21="","",N(INDEX(สรุปจ่ายรถร่วม!$N$5:$N$704,$M21)))</f>
        <v/>
      </c>
      <c r="J21" s="8" t="s">
        <v>149</v>
      </c>
      <c r="K21" s="4"/>
      <c r="M21" t="str">
        <f>IFERROR(MATCH(2,สรุปจ่ายรถร่วม!$AZ$5:$AZ$704,0),"")</f>
        <v/>
      </c>
    </row>
    <row r="22" spans="1:13" ht="21" customHeight="1" x14ac:dyDescent="0.95">
      <c r="A22" s="37" t="str">
        <f>IF($M22="","",3)</f>
        <v/>
      </c>
      <c r="B22" s="36" t="str">
        <f>IF($M22="","",INDEX(สรุปจ่ายรถร่วม!$AF$5:$AF$704,$M22))</f>
        <v/>
      </c>
      <c r="C22" s="38" t="str">
        <f>IF($M22="","",N(INDEX(สรุปจ่ายรถร่วม!$E$5:$E$704,$M22)))</f>
        <v/>
      </c>
      <c r="D22" s="39" t="str">
        <f>IF($M22="","",N(INDEX(สรุปจ่ายรถร่วม!$F$5:$F$704,$M22)))</f>
        <v/>
      </c>
      <c r="E22" s="39" t="str">
        <f>IF($M22="","",N(INDEX(สรุปจ่ายรถร่วม!$K$5:$K$704,$M22)))</f>
        <v/>
      </c>
      <c r="F22" s="39" t="str">
        <f>IF($M22="","",N(INDEX(สรุปจ่ายรถร่วม!$L$5:$L$704,$M22)))</f>
        <v/>
      </c>
      <c r="G22" s="39" t="str">
        <f>IF($M22="","",N(INDEX(สรุปจ่ายรถร่วม!$M$5:$M$704,$M22)))</f>
        <v/>
      </c>
      <c r="H22" s="39" t="str">
        <f>IF($M22="","",N(INDEX(สรุปจ่ายรถร่วม!$N$5:$N$704,$M22)))</f>
        <v/>
      </c>
      <c r="J22" s="8" t="s">
        <v>150</v>
      </c>
      <c r="K22" s="4"/>
      <c r="M22" t="str">
        <f>IFERROR(MATCH(3,สรุปจ่ายรถร่วม!$AZ$5:$AZ$704,0),"")</f>
        <v/>
      </c>
    </row>
    <row r="23" spans="1:13" ht="21" customHeight="1" x14ac:dyDescent="0.95">
      <c r="A23" s="37" t="str">
        <f>IF($M23="","",4)</f>
        <v/>
      </c>
      <c r="B23" s="36" t="str">
        <f>IF($M23="","",INDEX(สรุปจ่ายรถร่วม!$AF$5:$AF$704,$M23))</f>
        <v/>
      </c>
      <c r="C23" s="38" t="str">
        <f>IF($M23="","",N(INDEX(สรุปจ่ายรถร่วม!$E$5:$E$704,$M23)))</f>
        <v/>
      </c>
      <c r="D23" s="39" t="str">
        <f>IF($M23="","",N(INDEX(สรุปจ่ายรถร่วม!$F$5:$F$704,$M23)))</f>
        <v/>
      </c>
      <c r="E23" s="39" t="str">
        <f>IF($M23="","",N(INDEX(สรุปจ่ายรถร่วม!$K$5:$K$704,$M23)))</f>
        <v/>
      </c>
      <c r="F23" s="39" t="str">
        <f>IF($M23="","",N(INDEX(สรุปจ่ายรถร่วม!$L$5:$L$704,$M23)))</f>
        <v/>
      </c>
      <c r="G23" s="39" t="str">
        <f>IF($M23="","",N(INDEX(สรุปจ่ายรถร่วม!$M$5:$M$704,$M23)))</f>
        <v/>
      </c>
      <c r="H23" s="39" t="str">
        <f>IF($M23="","",N(INDEX(สรุปจ่ายรถร่วม!$N$5:$N$704,$M23)))</f>
        <v/>
      </c>
      <c r="J23" s="8" t="s">
        <v>151</v>
      </c>
      <c r="K23" s="4"/>
      <c r="M23" t="str">
        <f>IFERROR(MATCH(4,สรุปจ่ายรถร่วม!$AZ$5:$AZ$704,0),"")</f>
        <v/>
      </c>
    </row>
    <row r="24" spans="1:13" ht="21" customHeight="1" x14ac:dyDescent="0.95">
      <c r="A24" s="37" t="str">
        <f>IF($M24="","",5)</f>
        <v/>
      </c>
      <c r="B24" s="36" t="str">
        <f>IF($M24="","",INDEX(สรุปจ่ายรถร่วม!$AF$5:$AF$704,$M24))</f>
        <v/>
      </c>
      <c r="C24" s="38" t="str">
        <f>IF($M24="","",N(INDEX(สรุปจ่ายรถร่วม!$E$5:$E$704,$M24)))</f>
        <v/>
      </c>
      <c r="D24" s="39" t="str">
        <f>IF($M24="","",N(INDEX(สรุปจ่ายรถร่วม!$F$5:$F$704,$M24)))</f>
        <v/>
      </c>
      <c r="E24" s="39" t="str">
        <f>IF($M24="","",N(INDEX(สรุปจ่ายรถร่วม!$K$5:$K$704,$M24)))</f>
        <v/>
      </c>
      <c r="F24" s="39" t="str">
        <f>IF($M24="","",N(INDEX(สรุปจ่ายรถร่วม!$L$5:$L$704,$M24)))</f>
        <v/>
      </c>
      <c r="G24" s="39" t="str">
        <f>IF($M24="","",N(INDEX(สรุปจ่ายรถร่วม!$M$5:$M$704,$M24)))</f>
        <v/>
      </c>
      <c r="H24" s="39" t="str">
        <f>IF($M24="","",N(INDEX(สรุปจ่ายรถร่วม!$N$5:$N$704,$M24)))</f>
        <v/>
      </c>
      <c r="J24" s="8" t="s">
        <v>152</v>
      </c>
      <c r="K24" s="4"/>
      <c r="M24" t="str">
        <f>IFERROR(MATCH(5,สรุปจ่ายรถร่วม!$AZ$5:$AZ$704,0),"")</f>
        <v/>
      </c>
    </row>
    <row r="25" spans="1:13" ht="21" customHeight="1" x14ac:dyDescent="0.95">
      <c r="A25" s="37" t="str">
        <f>IF($M25="","",6)</f>
        <v/>
      </c>
      <c r="B25" s="36" t="str">
        <f>IF($M25="","",INDEX(สรุปจ่ายรถร่วม!$AF$5:$AF$704,$M25))</f>
        <v/>
      </c>
      <c r="C25" s="38" t="str">
        <f>IF($M25="","",N(INDEX(สรุปจ่ายรถร่วม!$E$5:$E$704,$M25)))</f>
        <v/>
      </c>
      <c r="D25" s="39" t="str">
        <f>IF($M25="","",N(INDEX(สรุปจ่ายรถร่วม!$F$5:$F$704,$M25)))</f>
        <v/>
      </c>
      <c r="E25" s="39" t="str">
        <f>IF($M25="","",N(INDEX(สรุปจ่ายรถร่วม!$K$5:$K$704,$M25)))</f>
        <v/>
      </c>
      <c r="F25" s="39" t="str">
        <f>IF($M25="","",N(INDEX(สรุปจ่ายรถร่วม!$L$5:$L$704,$M25)))</f>
        <v/>
      </c>
      <c r="G25" s="39" t="str">
        <f>IF($M25="","",N(INDEX(สรุปจ่ายรถร่วม!$M$5:$M$704,$M25)))</f>
        <v/>
      </c>
      <c r="H25" s="39" t="str">
        <f>IF($M25="","",N(INDEX(สรุปจ่ายรถร่วม!$N$5:$N$704,$M25)))</f>
        <v/>
      </c>
      <c r="J25" s="8" t="s">
        <v>153</v>
      </c>
      <c r="K25" s="4"/>
      <c r="M25" t="str">
        <f>IFERROR(MATCH(6,สรุปจ่ายรถร่วม!$AZ$5:$AZ$704,0),"")</f>
        <v/>
      </c>
    </row>
    <row r="26" spans="1:13" ht="21" customHeight="1" x14ac:dyDescent="0.95">
      <c r="A26" s="37" t="str">
        <f>IF($M26="","",7)</f>
        <v/>
      </c>
      <c r="B26" s="36" t="str">
        <f>IF($M26="","",INDEX(สรุปจ่ายรถร่วม!$AF$5:$AF$704,$M26))</f>
        <v/>
      </c>
      <c r="C26" s="38" t="str">
        <f>IF($M26="","",N(INDEX(สรุปจ่ายรถร่วม!$E$5:$E$704,$M26)))</f>
        <v/>
      </c>
      <c r="D26" s="39" t="str">
        <f>IF($M26="","",N(INDEX(สรุปจ่ายรถร่วม!$F$5:$F$704,$M26)))</f>
        <v/>
      </c>
      <c r="E26" s="39" t="str">
        <f>IF($M26="","",N(INDEX(สรุปจ่ายรถร่วม!$K$5:$K$704,$M26)))</f>
        <v/>
      </c>
      <c r="F26" s="39" t="str">
        <f>IF($M26="","",N(INDEX(สรุปจ่ายรถร่วม!$L$5:$L$704,$M26)))</f>
        <v/>
      </c>
      <c r="G26" s="39" t="str">
        <f>IF($M26="","",N(INDEX(สรุปจ่ายรถร่วม!$M$5:$M$704,$M26)))</f>
        <v/>
      </c>
      <c r="H26" s="39" t="str">
        <f>IF($M26="","",N(INDEX(สรุปจ่ายรถร่วม!$N$5:$N$704,$M26)))</f>
        <v/>
      </c>
      <c r="J26" s="8" t="s">
        <v>154</v>
      </c>
      <c r="K26" s="4"/>
      <c r="M26" t="str">
        <f>IFERROR(MATCH(7,สรุปจ่ายรถร่วม!$AZ$5:$AZ$704,0),"")</f>
        <v/>
      </c>
    </row>
    <row r="27" spans="1:13" ht="21" customHeight="1" x14ac:dyDescent="0.95">
      <c r="A27" s="37" t="str">
        <f>IF($M27="","",8)</f>
        <v/>
      </c>
      <c r="B27" s="36" t="str">
        <f>IF($M27="","",INDEX(สรุปจ่ายรถร่วม!$AF$5:$AF$704,$M27))</f>
        <v/>
      </c>
      <c r="C27" s="38" t="str">
        <f>IF($M27="","",N(INDEX(สรุปจ่ายรถร่วม!$E$5:$E$704,$M27)))</f>
        <v/>
      </c>
      <c r="D27" s="39" t="str">
        <f>IF($M27="","",N(INDEX(สรุปจ่ายรถร่วม!$F$5:$F$704,$M27)))</f>
        <v/>
      </c>
      <c r="E27" s="39" t="str">
        <f>IF($M27="","",N(INDEX(สรุปจ่ายรถร่วม!$K$5:$K$704,$M27)))</f>
        <v/>
      </c>
      <c r="F27" s="39" t="str">
        <f>IF($M27="","",N(INDEX(สรุปจ่ายรถร่วม!$L$5:$L$704,$M27)))</f>
        <v/>
      </c>
      <c r="G27" s="39" t="str">
        <f>IF($M27="","",N(INDEX(สรุปจ่ายรถร่วม!$M$5:$M$704,$M27)))</f>
        <v/>
      </c>
      <c r="H27" s="39" t="str">
        <f>IF($M27="","",N(INDEX(สรุปจ่ายรถร่วม!$N$5:$N$704,$M27)))</f>
        <v/>
      </c>
      <c r="J27" s="8" t="s">
        <v>155</v>
      </c>
      <c r="K27" s="4"/>
      <c r="M27" t="str">
        <f>IFERROR(MATCH(8,สรุปจ่ายรถร่วม!$AZ$5:$AZ$704,0),"")</f>
        <v/>
      </c>
    </row>
    <row r="28" spans="1:13" ht="21" customHeight="1" x14ac:dyDescent="0.95">
      <c r="A28" s="37" t="str">
        <f>IF($M28="","",9)</f>
        <v/>
      </c>
      <c r="B28" s="36" t="str">
        <f>IF($M28="","",INDEX(สรุปจ่ายรถร่วม!$AF$5:$AF$704,$M28))</f>
        <v/>
      </c>
      <c r="C28" s="38" t="str">
        <f>IF($M28="","",N(INDEX(สรุปจ่ายรถร่วม!$E$5:$E$704,$M28)))</f>
        <v/>
      </c>
      <c r="D28" s="39" t="str">
        <f>IF($M28="","",N(INDEX(สรุปจ่ายรถร่วม!$F$5:$F$704,$M28)))</f>
        <v/>
      </c>
      <c r="E28" s="39" t="str">
        <f>IF($M28="","",N(INDEX(สรุปจ่ายรถร่วม!$K$5:$K$704,$M28)))</f>
        <v/>
      </c>
      <c r="F28" s="39" t="str">
        <f>IF($M28="","",N(INDEX(สรุปจ่ายรถร่วม!$L$5:$L$704,$M28)))</f>
        <v/>
      </c>
      <c r="G28" s="39" t="str">
        <f>IF($M28="","",N(INDEX(สรุปจ่ายรถร่วม!$M$5:$M$704,$M28)))</f>
        <v/>
      </c>
      <c r="H28" s="39" t="str">
        <f>IF($M28="","",N(INDEX(สรุปจ่ายรถร่วม!$N$5:$N$704,$M28)))</f>
        <v/>
      </c>
      <c r="J28" s="8" t="s">
        <v>156</v>
      </c>
      <c r="K28" s="4"/>
      <c r="M28" t="str">
        <f>IFERROR(MATCH(9,สรุปจ่ายรถร่วม!$AZ$5:$AZ$704,0),"")</f>
        <v/>
      </c>
    </row>
    <row r="29" spans="1:13" ht="21" customHeight="1" x14ac:dyDescent="0.95">
      <c r="A29" s="37" t="str">
        <f>IF($M29="","",10)</f>
        <v/>
      </c>
      <c r="B29" s="36" t="str">
        <f>IF($M29="","",INDEX(สรุปจ่ายรถร่วม!$AF$5:$AF$704,$M29))</f>
        <v/>
      </c>
      <c r="C29" s="38" t="str">
        <f>IF($M29="","",N(INDEX(สรุปจ่ายรถร่วม!$E$5:$E$704,$M29)))</f>
        <v/>
      </c>
      <c r="D29" s="39" t="str">
        <f>IF($M29="","",N(INDEX(สรุปจ่ายรถร่วม!$F$5:$F$704,$M29)))</f>
        <v/>
      </c>
      <c r="E29" s="39" t="str">
        <f>IF($M29="","",N(INDEX(สรุปจ่ายรถร่วม!$K$5:$K$704,$M29)))</f>
        <v/>
      </c>
      <c r="F29" s="39" t="str">
        <f>IF($M29="","",N(INDEX(สรุปจ่ายรถร่วม!$L$5:$L$704,$M29)))</f>
        <v/>
      </c>
      <c r="G29" s="39" t="str">
        <f>IF($M29="","",N(INDEX(สรุปจ่ายรถร่วม!$M$5:$M$704,$M29)))</f>
        <v/>
      </c>
      <c r="H29" s="39" t="str">
        <f>IF($M29="","",N(INDEX(สรุปจ่ายรถร่วม!$N$5:$N$704,$M29)))</f>
        <v/>
      </c>
      <c r="J29" s="8" t="s">
        <v>157</v>
      </c>
      <c r="K29" s="4"/>
      <c r="M29" t="str">
        <f>IFERROR(MATCH(10,สรุปจ่ายรถร่วม!$AZ$5:$AZ$704,0),"")</f>
        <v/>
      </c>
    </row>
    <row r="30" spans="1:13" ht="21" customHeight="1" x14ac:dyDescent="0.95">
      <c r="A30" s="37" t="str">
        <f>IF($M30="","",11)</f>
        <v/>
      </c>
      <c r="B30" s="36" t="str">
        <f>IF($M30="","",INDEX(สรุปจ่ายรถร่วม!$AF$5:$AF$704,$M30))</f>
        <v/>
      </c>
      <c r="C30" s="38" t="str">
        <f>IF($M30="","",N(INDEX(สรุปจ่ายรถร่วม!$E$5:$E$704,$M30)))</f>
        <v/>
      </c>
      <c r="D30" s="39" t="str">
        <f>IF($M30="","",N(INDEX(สรุปจ่ายรถร่วม!$F$5:$F$704,$M30)))</f>
        <v/>
      </c>
      <c r="E30" s="39" t="str">
        <f>IF($M30="","",N(INDEX(สรุปจ่ายรถร่วม!$K$5:$K$704,$M30)))</f>
        <v/>
      </c>
      <c r="F30" s="39" t="str">
        <f>IF($M30="","",N(INDEX(สรุปจ่ายรถร่วม!$L$5:$L$704,$M30)))</f>
        <v/>
      </c>
      <c r="G30" s="39" t="str">
        <f>IF($M30="","",N(INDEX(สรุปจ่ายรถร่วม!$M$5:$M$704,$M30)))</f>
        <v/>
      </c>
      <c r="H30" s="39" t="str">
        <f>IF($M30="","",N(INDEX(สรุปจ่ายรถร่วม!$N$5:$N$704,$M30)))</f>
        <v/>
      </c>
      <c r="J30" s="8" t="s">
        <v>158</v>
      </c>
      <c r="K30" s="4"/>
      <c r="M30" t="str">
        <f>IFERROR(MATCH(11,สรุปจ่ายรถร่วม!$AZ$5:$AZ$704,0),"")</f>
        <v/>
      </c>
    </row>
    <row r="31" spans="1:13" ht="21" customHeight="1" x14ac:dyDescent="0.95">
      <c r="A31" s="37" t="str">
        <f>IF($M31="","",12)</f>
        <v/>
      </c>
      <c r="B31" s="36" t="str">
        <f>IF($M31="","",INDEX(สรุปจ่ายรถร่วม!$AF$5:$AF$704,$M31))</f>
        <v/>
      </c>
      <c r="C31" s="38" t="str">
        <f>IF($M31="","",N(INDEX(สรุปจ่ายรถร่วม!$E$5:$E$704,$M31)))</f>
        <v/>
      </c>
      <c r="D31" s="39" t="str">
        <f>IF($M31="","",N(INDEX(สรุปจ่ายรถร่วม!$F$5:$F$704,$M31)))</f>
        <v/>
      </c>
      <c r="E31" s="39" t="str">
        <f>IF($M31="","",N(INDEX(สรุปจ่ายรถร่วม!$K$5:$K$704,$M31)))</f>
        <v/>
      </c>
      <c r="F31" s="39" t="str">
        <f>IF($M31="","",N(INDEX(สรุปจ่ายรถร่วม!$L$5:$L$704,$M31)))</f>
        <v/>
      </c>
      <c r="G31" s="39" t="str">
        <f>IF($M31="","",N(INDEX(สรุปจ่ายรถร่วม!$M$5:$M$704,$M31)))</f>
        <v/>
      </c>
      <c r="H31" s="39" t="str">
        <f>IF($M31="","",N(INDEX(สรุปจ่ายรถร่วม!$N$5:$N$704,$M31)))</f>
        <v/>
      </c>
      <c r="M31" t="str">
        <f>IFERROR(MATCH(12,สรุปจ่ายรถร่วม!$AZ$5:$AZ$704,0),"")</f>
        <v/>
      </c>
    </row>
    <row r="32" spans="1:13" ht="21" customHeight="1" x14ac:dyDescent="0.95">
      <c r="A32" s="37" t="str">
        <f>IF($M32="","",13)</f>
        <v/>
      </c>
      <c r="B32" s="36" t="str">
        <f>IF($M32="","",INDEX(สรุปจ่ายรถร่วม!$AF$5:$AF$704,$M32))</f>
        <v/>
      </c>
      <c r="C32" s="38" t="str">
        <f>IF($M32="","",N(INDEX(สรุปจ่ายรถร่วม!$E$5:$E$704,$M32)))</f>
        <v/>
      </c>
      <c r="D32" s="39" t="str">
        <f>IF($M32="","",N(INDEX(สรุปจ่ายรถร่วม!$F$5:$F$704,$M32)))</f>
        <v/>
      </c>
      <c r="E32" s="39" t="str">
        <f>IF($M32="","",N(INDEX(สรุปจ่ายรถร่วม!$K$5:$K$704,$M32)))</f>
        <v/>
      </c>
      <c r="F32" s="39" t="str">
        <f>IF($M32="","",N(INDEX(สรุปจ่ายรถร่วม!$L$5:$L$704,$M32)))</f>
        <v/>
      </c>
      <c r="G32" s="39" t="str">
        <f>IF($M32="","",N(INDEX(สรุปจ่ายรถร่วม!$M$5:$M$704,$M32)))</f>
        <v/>
      </c>
      <c r="H32" s="39" t="str">
        <f>IF($M32="","",N(INDEX(สรุปจ่ายรถร่วม!$N$5:$N$704,$M32)))</f>
        <v/>
      </c>
      <c r="M32" t="str">
        <f>IFERROR(MATCH(13,สรุปจ่ายรถร่วม!$AZ$5:$AZ$704,0),"")</f>
        <v/>
      </c>
    </row>
    <row r="33" spans="1:13" ht="21" customHeight="1" x14ac:dyDescent="0.95">
      <c r="A33" s="37" t="str">
        <f>IF($M33="","",14)</f>
        <v/>
      </c>
      <c r="B33" s="36" t="str">
        <f>IF($M33="","",INDEX(สรุปจ่ายรถร่วม!$AF$5:$AF$704,$M33))</f>
        <v/>
      </c>
      <c r="C33" s="38" t="str">
        <f>IF($M33="","",N(INDEX(สรุปจ่ายรถร่วม!$E$5:$E$704,$M33)))</f>
        <v/>
      </c>
      <c r="D33" s="39" t="str">
        <f>IF($M33="","",N(INDEX(สรุปจ่ายรถร่วม!$F$5:$F$704,$M33)))</f>
        <v/>
      </c>
      <c r="E33" s="39" t="str">
        <f>IF($M33="","",N(INDEX(สรุปจ่ายรถร่วม!$K$5:$K$704,$M33)))</f>
        <v/>
      </c>
      <c r="F33" s="39" t="str">
        <f>IF($M33="","",N(INDEX(สรุปจ่ายรถร่วม!$L$5:$L$704,$M33)))</f>
        <v/>
      </c>
      <c r="G33" s="39" t="str">
        <f>IF($M33="","",N(INDEX(สรุปจ่ายรถร่วม!$M$5:$M$704,$M33)))</f>
        <v/>
      </c>
      <c r="H33" s="39" t="str">
        <f>IF($M33="","",N(INDEX(สรุปจ่ายรถร่วม!$N$5:$N$704,$M33)))</f>
        <v/>
      </c>
      <c r="M33" t="str">
        <f>IFERROR(MATCH(14,สรุปจ่ายรถร่วม!$AZ$5:$AZ$704,0),"")</f>
        <v/>
      </c>
    </row>
    <row r="34" spans="1:13" ht="21" customHeight="1" x14ac:dyDescent="0.95">
      <c r="A34" s="37" t="str">
        <f>IF($M34="","",15)</f>
        <v/>
      </c>
      <c r="B34" s="36" t="str">
        <f>IF($M34="","",INDEX(สรุปจ่ายรถร่วม!$AF$5:$AF$704,$M34))</f>
        <v/>
      </c>
      <c r="C34" s="38" t="str">
        <f>IF($M34="","",N(INDEX(สรุปจ่ายรถร่วม!$E$5:$E$704,$M34)))</f>
        <v/>
      </c>
      <c r="D34" s="39" t="str">
        <f>IF($M34="","",N(INDEX(สรุปจ่ายรถร่วม!$F$5:$F$704,$M34)))</f>
        <v/>
      </c>
      <c r="E34" s="39" t="str">
        <f>IF($M34="","",N(INDEX(สรุปจ่ายรถร่วม!$K$5:$K$704,$M34)))</f>
        <v/>
      </c>
      <c r="F34" s="39" t="str">
        <f>IF($M34="","",N(INDEX(สรุปจ่ายรถร่วม!$L$5:$L$704,$M34)))</f>
        <v/>
      </c>
      <c r="G34" s="39" t="str">
        <f>IF($M34="","",N(INDEX(สรุปจ่ายรถร่วม!$M$5:$M$704,$M34)))</f>
        <v/>
      </c>
      <c r="H34" s="39" t="str">
        <f>IF($M34="","",N(INDEX(สรุปจ่ายรถร่วม!$N$5:$N$704,$M34)))</f>
        <v/>
      </c>
      <c r="M34" t="str">
        <f>IFERROR(MATCH(15,สรุปจ่ายรถร่วม!$AZ$5:$AZ$704,0),"")</f>
        <v/>
      </c>
    </row>
    <row r="35" spans="1:13" ht="21" customHeight="1" x14ac:dyDescent="0.95">
      <c r="A35" s="37" t="str">
        <f>IF($M35="","",16)</f>
        <v/>
      </c>
      <c r="B35" s="36" t="str">
        <f>IF($M35="","",INDEX(สรุปจ่ายรถร่วม!$AF$5:$AF$704,$M35))</f>
        <v/>
      </c>
      <c r="C35" s="38" t="str">
        <f>IF($M35="","",N(INDEX(สรุปจ่ายรถร่วม!$E$5:$E$704,$M35)))</f>
        <v/>
      </c>
      <c r="D35" s="39" t="str">
        <f>IF($M35="","",N(INDEX(สรุปจ่ายรถร่วม!$F$5:$F$704,$M35)))</f>
        <v/>
      </c>
      <c r="E35" s="39" t="str">
        <f>IF($M35="","",N(INDEX(สรุปจ่ายรถร่วม!$K$5:$K$704,$M35)))</f>
        <v/>
      </c>
      <c r="F35" s="39" t="str">
        <f>IF($M35="","",N(INDEX(สรุปจ่ายรถร่วม!$L$5:$L$704,$M35)))</f>
        <v/>
      </c>
      <c r="G35" s="39" t="str">
        <f>IF($M35="","",N(INDEX(สรุปจ่ายรถร่วม!$M$5:$M$704,$M35)))</f>
        <v/>
      </c>
      <c r="H35" s="39" t="str">
        <f>IF($M35="","",N(INDEX(สรุปจ่ายรถร่วม!$N$5:$N$704,$M35)))</f>
        <v/>
      </c>
      <c r="J35" s="33" t="s">
        <v>159</v>
      </c>
      <c r="M35" t="str">
        <f>IFERROR(MATCH(16,สรุปจ่ายรถร่วม!$AZ$5:$AZ$704,0),"")</f>
        <v/>
      </c>
    </row>
    <row r="36" spans="1:13" ht="21" customHeight="1" x14ac:dyDescent="0.95">
      <c r="A36" s="37" t="str">
        <f>IF($M36="","",17)</f>
        <v/>
      </c>
      <c r="B36" s="36" t="str">
        <f>IF($M36="","",INDEX(สรุปจ่ายรถร่วม!$AF$5:$AF$704,$M36))</f>
        <v/>
      </c>
      <c r="C36" s="38" t="str">
        <f>IF($M36="","",N(INDEX(สรุปจ่ายรถร่วม!$E$5:$E$704,$M36)))</f>
        <v/>
      </c>
      <c r="D36" s="39" t="str">
        <f>IF($M36="","",N(INDEX(สรุปจ่ายรถร่วม!$F$5:$F$704,$M36)))</f>
        <v/>
      </c>
      <c r="E36" s="39" t="str">
        <f>IF($M36="","",N(INDEX(สรุปจ่ายรถร่วม!$K$5:$K$704,$M36)))</f>
        <v/>
      </c>
      <c r="F36" s="39" t="str">
        <f>IF($M36="","",N(INDEX(สรุปจ่ายรถร่วม!$L$5:$L$704,$M36)))</f>
        <v/>
      </c>
      <c r="G36" s="39" t="str">
        <f>IF($M36="","",N(INDEX(สรุปจ่ายรถร่วม!$M$5:$M$704,$M36)))</f>
        <v/>
      </c>
      <c r="H36" s="39" t="str">
        <f>IF($M36="","",N(INDEX(สรุปจ่ายรถร่วม!$N$5:$N$704,$M36)))</f>
        <v/>
      </c>
      <c r="J36" s="8" t="s">
        <v>160</v>
      </c>
      <c r="K36" s="40" t="str">
        <f>IF($M$2&gt;=40,"ไม่ต้องซ่อนแถว","ซ่อนแถว "&amp;(20+$M$2)&amp;":59 ก่อนพิมพ์")</f>
        <v>ซ่อนแถว 20:59 ก่อนพิมพ์</v>
      </c>
      <c r="M36" t="str">
        <f>IFERROR(MATCH(17,สรุปจ่ายรถร่วม!$AZ$5:$AZ$704,0),"")</f>
        <v/>
      </c>
    </row>
    <row r="37" spans="1:13" ht="21" customHeight="1" x14ac:dyDescent="0.95">
      <c r="A37" s="37" t="str">
        <f>IF($M37="","",18)</f>
        <v/>
      </c>
      <c r="B37" s="36" t="str">
        <f>IF($M37="","",INDEX(สรุปจ่ายรถร่วม!$AF$5:$AF$704,$M37))</f>
        <v/>
      </c>
      <c r="C37" s="38" t="str">
        <f>IF($M37="","",N(INDEX(สรุปจ่ายรถร่วม!$E$5:$E$704,$M37)))</f>
        <v/>
      </c>
      <c r="D37" s="39" t="str">
        <f>IF($M37="","",N(INDEX(สรุปจ่ายรถร่วม!$F$5:$F$704,$M37)))</f>
        <v/>
      </c>
      <c r="E37" s="39" t="str">
        <f>IF($M37="","",N(INDEX(สรุปจ่ายรถร่วม!$K$5:$K$704,$M37)))</f>
        <v/>
      </c>
      <c r="F37" s="39" t="str">
        <f>IF($M37="","",N(INDEX(สรุปจ่ายรถร่วม!$L$5:$L$704,$M37)))</f>
        <v/>
      </c>
      <c r="G37" s="39" t="str">
        <f>IF($M37="","",N(INDEX(สรุปจ่ายรถร่วม!$M$5:$M$704,$M37)))</f>
        <v/>
      </c>
      <c r="H37" s="39" t="str">
        <f>IF($M37="","",N(INDEX(สรุปจ่ายรถร่วม!$N$5:$N$704,$M37)))</f>
        <v/>
      </c>
      <c r="J37" s="8" t="s">
        <v>161</v>
      </c>
      <c r="K37" s="17">
        <f>IF($M$2&gt;40,"*** ทีมเกิน 40 — เพิ่มแถวสำรอง ***",$M$2)</f>
        <v>0</v>
      </c>
      <c r="M37" t="str">
        <f>IFERROR(MATCH(18,สรุปจ่ายรถร่วม!$AZ$5:$AZ$704,0),"")</f>
        <v/>
      </c>
    </row>
    <row r="38" spans="1:13" ht="21" customHeight="1" x14ac:dyDescent="0.95">
      <c r="A38" s="37" t="str">
        <f>IF($M38="","",19)</f>
        <v/>
      </c>
      <c r="B38" s="36" t="str">
        <f>IF($M38="","",INDEX(สรุปจ่ายรถร่วม!$AF$5:$AF$704,$M38))</f>
        <v/>
      </c>
      <c r="C38" s="38" t="str">
        <f>IF($M38="","",N(INDEX(สรุปจ่ายรถร่วม!$E$5:$E$704,$M38)))</f>
        <v/>
      </c>
      <c r="D38" s="39" t="str">
        <f>IF($M38="","",N(INDEX(สรุปจ่ายรถร่วม!$F$5:$F$704,$M38)))</f>
        <v/>
      </c>
      <c r="E38" s="39" t="str">
        <f>IF($M38="","",N(INDEX(สรุปจ่ายรถร่วม!$K$5:$K$704,$M38)))</f>
        <v/>
      </c>
      <c r="F38" s="39" t="str">
        <f>IF($M38="","",N(INDEX(สรุปจ่ายรถร่วม!$L$5:$L$704,$M38)))</f>
        <v/>
      </c>
      <c r="G38" s="39" t="str">
        <f>IF($M38="","",N(INDEX(สรุปจ่ายรถร่วม!$M$5:$M$704,$M38)))</f>
        <v/>
      </c>
      <c r="H38" s="39" t="str">
        <f>IF($M38="","",N(INDEX(สรุปจ่ายรถร่วม!$N$5:$N$704,$M38)))</f>
        <v/>
      </c>
      <c r="J38" s="8" t="s">
        <v>162</v>
      </c>
      <c r="K38" s="17" t="str">
        <f>IF(AND(ROUND(SUM($D$20:$D$59),2)=ROUND($M$6,2),SUM($C$20:$C$59)=$M$5),"ยอดตรงกับสรุปจ่ายรถร่วม","*** ยอดไม่ตรง ***")</f>
        <v>ยอดตรงกับสรุปจ่ายรถร่วม</v>
      </c>
      <c r="M38" t="str">
        <f>IFERROR(MATCH(19,สรุปจ่ายรถร่วม!$AZ$5:$AZ$704,0),"")</f>
        <v/>
      </c>
    </row>
    <row r="39" spans="1:13" ht="21" customHeight="1" x14ac:dyDescent="0.95">
      <c r="A39" s="37" t="str">
        <f>IF($M39="","",20)</f>
        <v/>
      </c>
      <c r="B39" s="36" t="str">
        <f>IF($M39="","",INDEX(สรุปจ่ายรถร่วม!$AF$5:$AF$704,$M39))</f>
        <v/>
      </c>
      <c r="C39" s="38" t="str">
        <f>IF($M39="","",N(INDEX(สรุปจ่ายรถร่วม!$E$5:$E$704,$M39)))</f>
        <v/>
      </c>
      <c r="D39" s="39" t="str">
        <f>IF($M39="","",N(INDEX(สรุปจ่ายรถร่วม!$F$5:$F$704,$M39)))</f>
        <v/>
      </c>
      <c r="E39" s="39" t="str">
        <f>IF($M39="","",N(INDEX(สรุปจ่ายรถร่วม!$K$5:$K$704,$M39)))</f>
        <v/>
      </c>
      <c r="F39" s="39" t="str">
        <f>IF($M39="","",N(INDEX(สรุปจ่ายรถร่วม!$L$5:$L$704,$M39)))</f>
        <v/>
      </c>
      <c r="G39" s="39" t="str">
        <f>IF($M39="","",N(INDEX(สรุปจ่ายรถร่วม!$M$5:$M$704,$M39)))</f>
        <v/>
      </c>
      <c r="H39" s="39" t="str">
        <f>IF($M39="","",N(INDEX(สรุปจ่ายรถร่วม!$N$5:$N$704,$M39)))</f>
        <v/>
      </c>
      <c r="M39" t="str">
        <f>IFERROR(MATCH(20,สรุปจ่ายรถร่วม!$AZ$5:$AZ$704,0),"")</f>
        <v/>
      </c>
    </row>
    <row r="40" spans="1:13" ht="21" customHeight="1" x14ac:dyDescent="0.95">
      <c r="A40" s="37" t="str">
        <f>IF($M40="","",21)</f>
        <v/>
      </c>
      <c r="B40" s="36" t="str">
        <f>IF($M40="","",INDEX(สรุปจ่ายรถร่วม!$AF$5:$AF$704,$M40))</f>
        <v/>
      </c>
      <c r="C40" s="38" t="str">
        <f>IF($M40="","",N(INDEX(สรุปจ่ายรถร่วม!$E$5:$E$704,$M40)))</f>
        <v/>
      </c>
      <c r="D40" s="39" t="str">
        <f>IF($M40="","",N(INDEX(สรุปจ่ายรถร่วม!$F$5:$F$704,$M40)))</f>
        <v/>
      </c>
      <c r="E40" s="39" t="str">
        <f>IF($M40="","",N(INDEX(สรุปจ่ายรถร่วม!$K$5:$K$704,$M40)))</f>
        <v/>
      </c>
      <c r="F40" s="39" t="str">
        <f>IF($M40="","",N(INDEX(สรุปจ่ายรถร่วม!$L$5:$L$704,$M40)))</f>
        <v/>
      </c>
      <c r="G40" s="39" t="str">
        <f>IF($M40="","",N(INDEX(สรุปจ่ายรถร่วม!$M$5:$M$704,$M40)))</f>
        <v/>
      </c>
      <c r="H40" s="39" t="str">
        <f>IF($M40="","",N(INDEX(สรุปจ่ายรถร่วม!$N$5:$N$704,$M40)))</f>
        <v/>
      </c>
      <c r="M40" t="str">
        <f>IFERROR(MATCH(21,สรุปจ่ายรถร่วม!$AZ$5:$AZ$704,0),"")</f>
        <v/>
      </c>
    </row>
    <row r="41" spans="1:13" ht="21" customHeight="1" x14ac:dyDescent="0.95">
      <c r="A41" s="37" t="str">
        <f>IF($M41="","",22)</f>
        <v/>
      </c>
      <c r="B41" s="36" t="str">
        <f>IF($M41="","",INDEX(สรุปจ่ายรถร่วม!$AF$5:$AF$704,$M41))</f>
        <v/>
      </c>
      <c r="C41" s="38" t="str">
        <f>IF($M41="","",N(INDEX(สรุปจ่ายรถร่วม!$E$5:$E$704,$M41)))</f>
        <v/>
      </c>
      <c r="D41" s="39" t="str">
        <f>IF($M41="","",N(INDEX(สรุปจ่ายรถร่วม!$F$5:$F$704,$M41)))</f>
        <v/>
      </c>
      <c r="E41" s="39" t="str">
        <f>IF($M41="","",N(INDEX(สรุปจ่ายรถร่วม!$K$5:$K$704,$M41)))</f>
        <v/>
      </c>
      <c r="F41" s="39" t="str">
        <f>IF($M41="","",N(INDEX(สรุปจ่ายรถร่วม!$L$5:$L$704,$M41)))</f>
        <v/>
      </c>
      <c r="G41" s="39" t="str">
        <f>IF($M41="","",N(INDEX(สรุปจ่ายรถร่วม!$M$5:$M$704,$M41)))</f>
        <v/>
      </c>
      <c r="H41" s="39" t="str">
        <f>IF($M41="","",N(INDEX(สรุปจ่ายรถร่วม!$N$5:$N$704,$M41)))</f>
        <v/>
      </c>
      <c r="M41" t="str">
        <f>IFERROR(MATCH(22,สรุปจ่ายรถร่วม!$AZ$5:$AZ$704,0),"")</f>
        <v/>
      </c>
    </row>
    <row r="42" spans="1:13" ht="21" customHeight="1" x14ac:dyDescent="0.95">
      <c r="A42" s="37" t="str">
        <f>IF($M42="","",23)</f>
        <v/>
      </c>
      <c r="B42" s="36" t="str">
        <f>IF($M42="","",INDEX(สรุปจ่ายรถร่วม!$AF$5:$AF$704,$M42))</f>
        <v/>
      </c>
      <c r="C42" s="38" t="str">
        <f>IF($M42="","",N(INDEX(สรุปจ่ายรถร่วม!$E$5:$E$704,$M42)))</f>
        <v/>
      </c>
      <c r="D42" s="39" t="str">
        <f>IF($M42="","",N(INDEX(สรุปจ่ายรถร่วม!$F$5:$F$704,$M42)))</f>
        <v/>
      </c>
      <c r="E42" s="39" t="str">
        <f>IF($M42="","",N(INDEX(สรุปจ่ายรถร่วม!$K$5:$K$704,$M42)))</f>
        <v/>
      </c>
      <c r="F42" s="39" t="str">
        <f>IF($M42="","",N(INDEX(สรุปจ่ายรถร่วม!$L$5:$L$704,$M42)))</f>
        <v/>
      </c>
      <c r="G42" s="39" t="str">
        <f>IF($M42="","",N(INDEX(สรุปจ่ายรถร่วม!$M$5:$M$704,$M42)))</f>
        <v/>
      </c>
      <c r="H42" s="39" t="str">
        <f>IF($M42="","",N(INDEX(สรุปจ่ายรถร่วม!$N$5:$N$704,$M42)))</f>
        <v/>
      </c>
      <c r="M42" t="str">
        <f>IFERROR(MATCH(23,สรุปจ่ายรถร่วม!$AZ$5:$AZ$704,0),"")</f>
        <v/>
      </c>
    </row>
    <row r="43" spans="1:13" ht="21" customHeight="1" x14ac:dyDescent="0.95">
      <c r="A43" s="37" t="str">
        <f>IF($M43="","",24)</f>
        <v/>
      </c>
      <c r="B43" s="36" t="str">
        <f>IF($M43="","",INDEX(สรุปจ่ายรถร่วม!$AF$5:$AF$704,$M43))</f>
        <v/>
      </c>
      <c r="C43" s="38" t="str">
        <f>IF($M43="","",N(INDEX(สรุปจ่ายรถร่วม!$E$5:$E$704,$M43)))</f>
        <v/>
      </c>
      <c r="D43" s="39" t="str">
        <f>IF($M43="","",N(INDEX(สรุปจ่ายรถร่วม!$F$5:$F$704,$M43)))</f>
        <v/>
      </c>
      <c r="E43" s="39" t="str">
        <f>IF($M43="","",N(INDEX(สรุปจ่ายรถร่วม!$K$5:$K$704,$M43)))</f>
        <v/>
      </c>
      <c r="F43" s="39" t="str">
        <f>IF($M43="","",N(INDEX(สรุปจ่ายรถร่วม!$L$5:$L$704,$M43)))</f>
        <v/>
      </c>
      <c r="G43" s="39" t="str">
        <f>IF($M43="","",N(INDEX(สรุปจ่ายรถร่วม!$M$5:$M$704,$M43)))</f>
        <v/>
      </c>
      <c r="H43" s="39" t="str">
        <f>IF($M43="","",N(INDEX(สรุปจ่ายรถร่วม!$N$5:$N$704,$M43)))</f>
        <v/>
      </c>
      <c r="M43" t="str">
        <f>IFERROR(MATCH(24,สรุปจ่ายรถร่วม!$AZ$5:$AZ$704,0),"")</f>
        <v/>
      </c>
    </row>
    <row r="44" spans="1:13" ht="21" customHeight="1" x14ac:dyDescent="0.95">
      <c r="A44" s="37" t="str">
        <f>IF($M44="","",25)</f>
        <v/>
      </c>
      <c r="B44" s="36" t="str">
        <f>IF($M44="","",INDEX(สรุปจ่ายรถร่วม!$AF$5:$AF$704,$M44))</f>
        <v/>
      </c>
      <c r="C44" s="38" t="str">
        <f>IF($M44="","",N(INDEX(สรุปจ่ายรถร่วม!$E$5:$E$704,$M44)))</f>
        <v/>
      </c>
      <c r="D44" s="39" t="str">
        <f>IF($M44="","",N(INDEX(สรุปจ่ายรถร่วม!$F$5:$F$704,$M44)))</f>
        <v/>
      </c>
      <c r="E44" s="39" t="str">
        <f>IF($M44="","",N(INDEX(สรุปจ่ายรถร่วม!$K$5:$K$704,$M44)))</f>
        <v/>
      </c>
      <c r="F44" s="39" t="str">
        <f>IF($M44="","",N(INDEX(สรุปจ่ายรถร่วม!$L$5:$L$704,$M44)))</f>
        <v/>
      </c>
      <c r="G44" s="39" t="str">
        <f>IF($M44="","",N(INDEX(สรุปจ่ายรถร่วม!$M$5:$M$704,$M44)))</f>
        <v/>
      </c>
      <c r="H44" s="39" t="str">
        <f>IF($M44="","",N(INDEX(สรุปจ่ายรถร่วม!$N$5:$N$704,$M44)))</f>
        <v/>
      </c>
      <c r="M44" t="str">
        <f>IFERROR(MATCH(25,สรุปจ่ายรถร่วม!$AZ$5:$AZ$704,0),"")</f>
        <v/>
      </c>
    </row>
    <row r="45" spans="1:13" ht="21" customHeight="1" x14ac:dyDescent="0.95">
      <c r="A45" s="37" t="str">
        <f>IF($M45="","",26)</f>
        <v/>
      </c>
      <c r="B45" s="36" t="str">
        <f>IF($M45="","",INDEX(สรุปจ่ายรถร่วม!$AF$5:$AF$704,$M45))</f>
        <v/>
      </c>
      <c r="C45" s="38" t="str">
        <f>IF($M45="","",N(INDEX(สรุปจ่ายรถร่วม!$E$5:$E$704,$M45)))</f>
        <v/>
      </c>
      <c r="D45" s="39" t="str">
        <f>IF($M45="","",N(INDEX(สรุปจ่ายรถร่วม!$F$5:$F$704,$M45)))</f>
        <v/>
      </c>
      <c r="E45" s="39" t="str">
        <f>IF($M45="","",N(INDEX(สรุปจ่ายรถร่วม!$K$5:$K$704,$M45)))</f>
        <v/>
      </c>
      <c r="F45" s="39" t="str">
        <f>IF($M45="","",N(INDEX(สรุปจ่ายรถร่วม!$L$5:$L$704,$M45)))</f>
        <v/>
      </c>
      <c r="G45" s="39" t="str">
        <f>IF($M45="","",N(INDEX(สรุปจ่ายรถร่วม!$M$5:$M$704,$M45)))</f>
        <v/>
      </c>
      <c r="H45" s="39" t="str">
        <f>IF($M45="","",N(INDEX(สรุปจ่ายรถร่วม!$N$5:$N$704,$M45)))</f>
        <v/>
      </c>
      <c r="M45" t="str">
        <f>IFERROR(MATCH(26,สรุปจ่ายรถร่วม!$AZ$5:$AZ$704,0),"")</f>
        <v/>
      </c>
    </row>
    <row r="46" spans="1:13" ht="21" customHeight="1" x14ac:dyDescent="0.95">
      <c r="A46" s="37" t="str">
        <f>IF($M46="","",27)</f>
        <v/>
      </c>
      <c r="B46" s="36" t="str">
        <f>IF($M46="","",INDEX(สรุปจ่ายรถร่วม!$AF$5:$AF$704,$M46))</f>
        <v/>
      </c>
      <c r="C46" s="38" t="str">
        <f>IF($M46="","",N(INDEX(สรุปจ่ายรถร่วม!$E$5:$E$704,$M46)))</f>
        <v/>
      </c>
      <c r="D46" s="39" t="str">
        <f>IF($M46="","",N(INDEX(สรุปจ่ายรถร่วม!$F$5:$F$704,$M46)))</f>
        <v/>
      </c>
      <c r="E46" s="39" t="str">
        <f>IF($M46="","",N(INDEX(สรุปจ่ายรถร่วม!$K$5:$K$704,$M46)))</f>
        <v/>
      </c>
      <c r="F46" s="39" t="str">
        <f>IF($M46="","",N(INDEX(สรุปจ่ายรถร่วม!$L$5:$L$704,$M46)))</f>
        <v/>
      </c>
      <c r="G46" s="39" t="str">
        <f>IF($M46="","",N(INDEX(สรุปจ่ายรถร่วม!$M$5:$M$704,$M46)))</f>
        <v/>
      </c>
      <c r="H46" s="39" t="str">
        <f>IF($M46="","",N(INDEX(สรุปจ่ายรถร่วม!$N$5:$N$704,$M46)))</f>
        <v/>
      </c>
      <c r="M46" t="str">
        <f>IFERROR(MATCH(27,สรุปจ่ายรถร่วม!$AZ$5:$AZ$704,0),"")</f>
        <v/>
      </c>
    </row>
    <row r="47" spans="1:13" ht="21" customHeight="1" x14ac:dyDescent="0.95">
      <c r="A47" s="37" t="str">
        <f>IF($M47="","",28)</f>
        <v/>
      </c>
      <c r="B47" s="36" t="str">
        <f>IF($M47="","",INDEX(สรุปจ่ายรถร่วม!$AF$5:$AF$704,$M47))</f>
        <v/>
      </c>
      <c r="C47" s="38" t="str">
        <f>IF($M47="","",N(INDEX(สรุปจ่ายรถร่วม!$E$5:$E$704,$M47)))</f>
        <v/>
      </c>
      <c r="D47" s="39" t="str">
        <f>IF($M47="","",N(INDEX(สรุปจ่ายรถร่วม!$F$5:$F$704,$M47)))</f>
        <v/>
      </c>
      <c r="E47" s="39" t="str">
        <f>IF($M47="","",N(INDEX(สรุปจ่ายรถร่วม!$K$5:$K$704,$M47)))</f>
        <v/>
      </c>
      <c r="F47" s="39" t="str">
        <f>IF($M47="","",N(INDEX(สรุปจ่ายรถร่วม!$L$5:$L$704,$M47)))</f>
        <v/>
      </c>
      <c r="G47" s="39" t="str">
        <f>IF($M47="","",N(INDEX(สรุปจ่ายรถร่วม!$M$5:$M$704,$M47)))</f>
        <v/>
      </c>
      <c r="H47" s="39" t="str">
        <f>IF($M47="","",N(INDEX(สรุปจ่ายรถร่วม!$N$5:$N$704,$M47)))</f>
        <v/>
      </c>
      <c r="M47" t="str">
        <f>IFERROR(MATCH(28,สรุปจ่ายรถร่วม!$AZ$5:$AZ$704,0),"")</f>
        <v/>
      </c>
    </row>
    <row r="48" spans="1:13" ht="21" customHeight="1" x14ac:dyDescent="0.95">
      <c r="A48" s="37" t="str">
        <f>IF($M48="","",29)</f>
        <v/>
      </c>
      <c r="B48" s="36" t="str">
        <f>IF($M48="","",INDEX(สรุปจ่ายรถร่วม!$AF$5:$AF$704,$M48))</f>
        <v/>
      </c>
      <c r="C48" s="38" t="str">
        <f>IF($M48="","",N(INDEX(สรุปจ่ายรถร่วม!$E$5:$E$704,$M48)))</f>
        <v/>
      </c>
      <c r="D48" s="39" t="str">
        <f>IF($M48="","",N(INDEX(สรุปจ่ายรถร่วม!$F$5:$F$704,$M48)))</f>
        <v/>
      </c>
      <c r="E48" s="39" t="str">
        <f>IF($M48="","",N(INDEX(สรุปจ่ายรถร่วม!$K$5:$K$704,$M48)))</f>
        <v/>
      </c>
      <c r="F48" s="39" t="str">
        <f>IF($M48="","",N(INDEX(สรุปจ่ายรถร่วม!$L$5:$L$704,$M48)))</f>
        <v/>
      </c>
      <c r="G48" s="39" t="str">
        <f>IF($M48="","",N(INDEX(สรุปจ่ายรถร่วม!$M$5:$M$704,$M48)))</f>
        <v/>
      </c>
      <c r="H48" s="39" t="str">
        <f>IF($M48="","",N(INDEX(สรุปจ่ายรถร่วม!$N$5:$N$704,$M48)))</f>
        <v/>
      </c>
      <c r="M48" t="str">
        <f>IFERROR(MATCH(29,สรุปจ่ายรถร่วม!$AZ$5:$AZ$704,0),"")</f>
        <v/>
      </c>
    </row>
    <row r="49" spans="1:13" ht="21" customHeight="1" x14ac:dyDescent="0.95">
      <c r="A49" s="37" t="str">
        <f>IF($M49="","",30)</f>
        <v/>
      </c>
      <c r="B49" s="36" t="str">
        <f>IF($M49="","",INDEX(สรุปจ่ายรถร่วม!$AF$5:$AF$704,$M49))</f>
        <v/>
      </c>
      <c r="C49" s="38" t="str">
        <f>IF($M49="","",N(INDEX(สรุปจ่ายรถร่วม!$E$5:$E$704,$M49)))</f>
        <v/>
      </c>
      <c r="D49" s="39" t="str">
        <f>IF($M49="","",N(INDEX(สรุปจ่ายรถร่วม!$F$5:$F$704,$M49)))</f>
        <v/>
      </c>
      <c r="E49" s="39" t="str">
        <f>IF($M49="","",N(INDEX(สรุปจ่ายรถร่วม!$K$5:$K$704,$M49)))</f>
        <v/>
      </c>
      <c r="F49" s="39" t="str">
        <f>IF($M49="","",N(INDEX(สรุปจ่ายรถร่วม!$L$5:$L$704,$M49)))</f>
        <v/>
      </c>
      <c r="G49" s="39" t="str">
        <f>IF($M49="","",N(INDEX(สรุปจ่ายรถร่วม!$M$5:$M$704,$M49)))</f>
        <v/>
      </c>
      <c r="H49" s="39" t="str">
        <f>IF($M49="","",N(INDEX(สรุปจ่ายรถร่วม!$N$5:$N$704,$M49)))</f>
        <v/>
      </c>
      <c r="M49" t="str">
        <f>IFERROR(MATCH(30,สรุปจ่ายรถร่วม!$AZ$5:$AZ$704,0),"")</f>
        <v/>
      </c>
    </row>
    <row r="50" spans="1:13" ht="21" customHeight="1" x14ac:dyDescent="0.95">
      <c r="A50" s="37" t="str">
        <f>IF($M50="","",31)</f>
        <v/>
      </c>
      <c r="B50" s="36" t="str">
        <f>IF($M50="","",INDEX(สรุปจ่ายรถร่วม!$AF$5:$AF$704,$M50))</f>
        <v/>
      </c>
      <c r="C50" s="38" t="str">
        <f>IF($M50="","",N(INDEX(สรุปจ่ายรถร่วม!$E$5:$E$704,$M50)))</f>
        <v/>
      </c>
      <c r="D50" s="39" t="str">
        <f>IF($M50="","",N(INDEX(สรุปจ่ายรถร่วม!$F$5:$F$704,$M50)))</f>
        <v/>
      </c>
      <c r="E50" s="39" t="str">
        <f>IF($M50="","",N(INDEX(สรุปจ่ายรถร่วม!$K$5:$K$704,$M50)))</f>
        <v/>
      </c>
      <c r="F50" s="39" t="str">
        <f>IF($M50="","",N(INDEX(สรุปจ่ายรถร่วม!$L$5:$L$704,$M50)))</f>
        <v/>
      </c>
      <c r="G50" s="39" t="str">
        <f>IF($M50="","",N(INDEX(สรุปจ่ายรถร่วม!$M$5:$M$704,$M50)))</f>
        <v/>
      </c>
      <c r="H50" s="39" t="str">
        <f>IF($M50="","",N(INDEX(สรุปจ่ายรถร่วม!$N$5:$N$704,$M50)))</f>
        <v/>
      </c>
      <c r="M50" t="str">
        <f>IFERROR(MATCH(31,สรุปจ่ายรถร่วม!$AZ$5:$AZ$704,0),"")</f>
        <v/>
      </c>
    </row>
    <row r="51" spans="1:13" ht="21" customHeight="1" x14ac:dyDescent="0.95">
      <c r="A51" s="37" t="str">
        <f>IF($M51="","",32)</f>
        <v/>
      </c>
      <c r="B51" s="36" t="str">
        <f>IF($M51="","",INDEX(สรุปจ่ายรถร่วม!$AF$5:$AF$704,$M51))</f>
        <v/>
      </c>
      <c r="C51" s="38" t="str">
        <f>IF($M51="","",N(INDEX(สรุปจ่ายรถร่วม!$E$5:$E$704,$M51)))</f>
        <v/>
      </c>
      <c r="D51" s="39" t="str">
        <f>IF($M51="","",N(INDEX(สรุปจ่ายรถร่วม!$F$5:$F$704,$M51)))</f>
        <v/>
      </c>
      <c r="E51" s="39" t="str">
        <f>IF($M51="","",N(INDEX(สรุปจ่ายรถร่วม!$K$5:$K$704,$M51)))</f>
        <v/>
      </c>
      <c r="F51" s="39" t="str">
        <f>IF($M51="","",N(INDEX(สรุปจ่ายรถร่วม!$L$5:$L$704,$M51)))</f>
        <v/>
      </c>
      <c r="G51" s="39" t="str">
        <f>IF($M51="","",N(INDEX(สรุปจ่ายรถร่วม!$M$5:$M$704,$M51)))</f>
        <v/>
      </c>
      <c r="H51" s="39" t="str">
        <f>IF($M51="","",N(INDEX(สรุปจ่ายรถร่วม!$N$5:$N$704,$M51)))</f>
        <v/>
      </c>
      <c r="M51" t="str">
        <f>IFERROR(MATCH(32,สรุปจ่ายรถร่วม!$AZ$5:$AZ$704,0),"")</f>
        <v/>
      </c>
    </row>
    <row r="52" spans="1:13" ht="21" customHeight="1" x14ac:dyDescent="0.95">
      <c r="A52" s="37" t="str">
        <f>IF($M52="","",33)</f>
        <v/>
      </c>
      <c r="B52" s="36" t="str">
        <f>IF($M52="","",INDEX(สรุปจ่ายรถร่วม!$AF$5:$AF$704,$M52))</f>
        <v/>
      </c>
      <c r="C52" s="38" t="str">
        <f>IF($M52="","",N(INDEX(สรุปจ่ายรถร่วม!$E$5:$E$704,$M52)))</f>
        <v/>
      </c>
      <c r="D52" s="39" t="str">
        <f>IF($M52="","",N(INDEX(สรุปจ่ายรถร่วม!$F$5:$F$704,$M52)))</f>
        <v/>
      </c>
      <c r="E52" s="39" t="str">
        <f>IF($M52="","",N(INDEX(สรุปจ่ายรถร่วม!$K$5:$K$704,$M52)))</f>
        <v/>
      </c>
      <c r="F52" s="39" t="str">
        <f>IF($M52="","",N(INDEX(สรุปจ่ายรถร่วม!$L$5:$L$704,$M52)))</f>
        <v/>
      </c>
      <c r="G52" s="39" t="str">
        <f>IF($M52="","",N(INDEX(สรุปจ่ายรถร่วม!$M$5:$M$704,$M52)))</f>
        <v/>
      </c>
      <c r="H52" s="39" t="str">
        <f>IF($M52="","",N(INDEX(สรุปจ่ายรถร่วม!$N$5:$N$704,$M52)))</f>
        <v/>
      </c>
      <c r="M52" t="str">
        <f>IFERROR(MATCH(33,สรุปจ่ายรถร่วม!$AZ$5:$AZ$704,0),"")</f>
        <v/>
      </c>
    </row>
    <row r="53" spans="1:13" ht="21" customHeight="1" x14ac:dyDescent="0.95">
      <c r="A53" s="37" t="str">
        <f>IF($M53="","",34)</f>
        <v/>
      </c>
      <c r="B53" s="36" t="str">
        <f>IF($M53="","",INDEX(สรุปจ่ายรถร่วม!$AF$5:$AF$704,$M53))</f>
        <v/>
      </c>
      <c r="C53" s="38" t="str">
        <f>IF($M53="","",N(INDEX(สรุปจ่ายรถร่วม!$E$5:$E$704,$M53)))</f>
        <v/>
      </c>
      <c r="D53" s="39" t="str">
        <f>IF($M53="","",N(INDEX(สรุปจ่ายรถร่วม!$F$5:$F$704,$M53)))</f>
        <v/>
      </c>
      <c r="E53" s="39" t="str">
        <f>IF($M53="","",N(INDEX(สรุปจ่ายรถร่วม!$K$5:$K$704,$M53)))</f>
        <v/>
      </c>
      <c r="F53" s="39" t="str">
        <f>IF($M53="","",N(INDEX(สรุปจ่ายรถร่วม!$L$5:$L$704,$M53)))</f>
        <v/>
      </c>
      <c r="G53" s="39" t="str">
        <f>IF($M53="","",N(INDEX(สรุปจ่ายรถร่วม!$M$5:$M$704,$M53)))</f>
        <v/>
      </c>
      <c r="H53" s="39" t="str">
        <f>IF($M53="","",N(INDEX(สรุปจ่ายรถร่วม!$N$5:$N$704,$M53)))</f>
        <v/>
      </c>
      <c r="M53" t="str">
        <f>IFERROR(MATCH(34,สรุปจ่ายรถร่วม!$AZ$5:$AZ$704,0),"")</f>
        <v/>
      </c>
    </row>
    <row r="54" spans="1:13" ht="21" customHeight="1" x14ac:dyDescent="0.95">
      <c r="A54" s="37" t="str">
        <f>IF($M54="","",35)</f>
        <v/>
      </c>
      <c r="B54" s="36" t="str">
        <f>IF($M54="","",INDEX(สรุปจ่ายรถร่วม!$AF$5:$AF$704,$M54))</f>
        <v/>
      </c>
      <c r="C54" s="38" t="str">
        <f>IF($M54="","",N(INDEX(สรุปจ่ายรถร่วม!$E$5:$E$704,$M54)))</f>
        <v/>
      </c>
      <c r="D54" s="39" t="str">
        <f>IF($M54="","",N(INDEX(สรุปจ่ายรถร่วม!$F$5:$F$704,$M54)))</f>
        <v/>
      </c>
      <c r="E54" s="39" t="str">
        <f>IF($M54="","",N(INDEX(สรุปจ่ายรถร่วม!$K$5:$K$704,$M54)))</f>
        <v/>
      </c>
      <c r="F54" s="39" t="str">
        <f>IF($M54="","",N(INDEX(สรุปจ่ายรถร่วม!$L$5:$L$704,$M54)))</f>
        <v/>
      </c>
      <c r="G54" s="39" t="str">
        <f>IF($M54="","",N(INDEX(สรุปจ่ายรถร่วม!$M$5:$M$704,$M54)))</f>
        <v/>
      </c>
      <c r="H54" s="39" t="str">
        <f>IF($M54="","",N(INDEX(สรุปจ่ายรถร่วม!$N$5:$N$704,$M54)))</f>
        <v/>
      </c>
      <c r="M54" t="str">
        <f>IFERROR(MATCH(35,สรุปจ่ายรถร่วม!$AZ$5:$AZ$704,0),"")</f>
        <v/>
      </c>
    </row>
    <row r="55" spans="1:13" ht="21" customHeight="1" x14ac:dyDescent="0.95">
      <c r="A55" s="37" t="str">
        <f>IF($M55="","",36)</f>
        <v/>
      </c>
      <c r="B55" s="36" t="str">
        <f>IF($M55="","",INDEX(สรุปจ่ายรถร่วม!$AF$5:$AF$704,$M55))</f>
        <v/>
      </c>
      <c r="C55" s="38" t="str">
        <f>IF($M55="","",N(INDEX(สรุปจ่ายรถร่วม!$E$5:$E$704,$M55)))</f>
        <v/>
      </c>
      <c r="D55" s="39" t="str">
        <f>IF($M55="","",N(INDEX(สรุปจ่ายรถร่วม!$F$5:$F$704,$M55)))</f>
        <v/>
      </c>
      <c r="E55" s="39" t="str">
        <f>IF($M55="","",N(INDEX(สรุปจ่ายรถร่วม!$K$5:$K$704,$M55)))</f>
        <v/>
      </c>
      <c r="F55" s="39" t="str">
        <f>IF($M55="","",N(INDEX(สรุปจ่ายรถร่วม!$L$5:$L$704,$M55)))</f>
        <v/>
      </c>
      <c r="G55" s="39" t="str">
        <f>IF($M55="","",N(INDEX(สรุปจ่ายรถร่วม!$M$5:$M$704,$M55)))</f>
        <v/>
      </c>
      <c r="H55" s="39" t="str">
        <f>IF($M55="","",N(INDEX(สรุปจ่ายรถร่วม!$N$5:$N$704,$M55)))</f>
        <v/>
      </c>
      <c r="M55" t="str">
        <f>IFERROR(MATCH(36,สรุปจ่ายรถร่วม!$AZ$5:$AZ$704,0),"")</f>
        <v/>
      </c>
    </row>
    <row r="56" spans="1:13" ht="21" customHeight="1" x14ac:dyDescent="0.95">
      <c r="A56" s="37" t="str">
        <f>IF($M56="","",37)</f>
        <v/>
      </c>
      <c r="B56" s="36" t="str">
        <f>IF($M56="","",INDEX(สรุปจ่ายรถร่วม!$AF$5:$AF$704,$M56))</f>
        <v/>
      </c>
      <c r="C56" s="38" t="str">
        <f>IF($M56="","",N(INDEX(สรุปจ่ายรถร่วม!$E$5:$E$704,$M56)))</f>
        <v/>
      </c>
      <c r="D56" s="39" t="str">
        <f>IF($M56="","",N(INDEX(สรุปจ่ายรถร่วม!$F$5:$F$704,$M56)))</f>
        <v/>
      </c>
      <c r="E56" s="39" t="str">
        <f>IF($M56="","",N(INDEX(สรุปจ่ายรถร่วม!$K$5:$K$704,$M56)))</f>
        <v/>
      </c>
      <c r="F56" s="39" t="str">
        <f>IF($M56="","",N(INDEX(สรุปจ่ายรถร่วม!$L$5:$L$704,$M56)))</f>
        <v/>
      </c>
      <c r="G56" s="39" t="str">
        <f>IF($M56="","",N(INDEX(สรุปจ่ายรถร่วม!$M$5:$M$704,$M56)))</f>
        <v/>
      </c>
      <c r="H56" s="39" t="str">
        <f>IF($M56="","",N(INDEX(สรุปจ่ายรถร่วม!$N$5:$N$704,$M56)))</f>
        <v/>
      </c>
      <c r="M56" t="str">
        <f>IFERROR(MATCH(37,สรุปจ่ายรถร่วม!$AZ$5:$AZ$704,0),"")</f>
        <v/>
      </c>
    </row>
    <row r="57" spans="1:13" ht="21" customHeight="1" x14ac:dyDescent="0.95">
      <c r="A57" s="37" t="str">
        <f>IF($M57="","",38)</f>
        <v/>
      </c>
      <c r="B57" s="36" t="str">
        <f>IF($M57="","",INDEX(สรุปจ่ายรถร่วม!$AF$5:$AF$704,$M57))</f>
        <v/>
      </c>
      <c r="C57" s="38" t="str">
        <f>IF($M57="","",N(INDEX(สรุปจ่ายรถร่วม!$E$5:$E$704,$M57)))</f>
        <v/>
      </c>
      <c r="D57" s="39" t="str">
        <f>IF($M57="","",N(INDEX(สรุปจ่ายรถร่วม!$F$5:$F$704,$M57)))</f>
        <v/>
      </c>
      <c r="E57" s="39" t="str">
        <f>IF($M57="","",N(INDEX(สรุปจ่ายรถร่วม!$K$5:$K$704,$M57)))</f>
        <v/>
      </c>
      <c r="F57" s="39" t="str">
        <f>IF($M57="","",N(INDEX(สรุปจ่ายรถร่วม!$L$5:$L$704,$M57)))</f>
        <v/>
      </c>
      <c r="G57" s="39" t="str">
        <f>IF($M57="","",N(INDEX(สรุปจ่ายรถร่วม!$M$5:$M$704,$M57)))</f>
        <v/>
      </c>
      <c r="H57" s="39" t="str">
        <f>IF($M57="","",N(INDEX(สรุปจ่ายรถร่วม!$N$5:$N$704,$M57)))</f>
        <v/>
      </c>
      <c r="M57" t="str">
        <f>IFERROR(MATCH(38,สรุปจ่ายรถร่วม!$AZ$5:$AZ$704,0),"")</f>
        <v/>
      </c>
    </row>
    <row r="58" spans="1:13" ht="21" customHeight="1" x14ac:dyDescent="0.95">
      <c r="A58" s="37" t="str">
        <f>IF($M58="","",39)</f>
        <v/>
      </c>
      <c r="B58" s="36" t="str">
        <f>IF($M58="","",INDEX(สรุปจ่ายรถร่วม!$AF$5:$AF$704,$M58))</f>
        <v/>
      </c>
      <c r="C58" s="38" t="str">
        <f>IF($M58="","",N(INDEX(สรุปจ่ายรถร่วม!$E$5:$E$704,$M58)))</f>
        <v/>
      </c>
      <c r="D58" s="39" t="str">
        <f>IF($M58="","",N(INDEX(สรุปจ่ายรถร่วม!$F$5:$F$704,$M58)))</f>
        <v/>
      </c>
      <c r="E58" s="39" t="str">
        <f>IF($M58="","",N(INDEX(สรุปจ่ายรถร่วม!$K$5:$K$704,$M58)))</f>
        <v/>
      </c>
      <c r="F58" s="39" t="str">
        <f>IF($M58="","",N(INDEX(สรุปจ่ายรถร่วม!$L$5:$L$704,$M58)))</f>
        <v/>
      </c>
      <c r="G58" s="39" t="str">
        <f>IF($M58="","",N(INDEX(สรุปจ่ายรถร่วม!$M$5:$M$704,$M58)))</f>
        <v/>
      </c>
      <c r="H58" s="39" t="str">
        <f>IF($M58="","",N(INDEX(สรุปจ่ายรถร่วม!$N$5:$N$704,$M58)))</f>
        <v/>
      </c>
      <c r="M58" t="str">
        <f>IFERROR(MATCH(39,สรุปจ่ายรถร่วม!$AZ$5:$AZ$704,0),"")</f>
        <v/>
      </c>
    </row>
    <row r="59" spans="1:13" ht="21" customHeight="1" x14ac:dyDescent="0.95">
      <c r="A59" s="37" t="str">
        <f>IF($M59="","",40)</f>
        <v/>
      </c>
      <c r="B59" s="36" t="str">
        <f>IF($M59="","",INDEX(สรุปจ่ายรถร่วม!$AF$5:$AF$704,$M59))</f>
        <v/>
      </c>
      <c r="C59" s="38" t="str">
        <f>IF($M59="","",N(INDEX(สรุปจ่ายรถร่วม!$E$5:$E$704,$M59)))</f>
        <v/>
      </c>
      <c r="D59" s="39" t="str">
        <f>IF($M59="","",N(INDEX(สรุปจ่ายรถร่วม!$F$5:$F$704,$M59)))</f>
        <v/>
      </c>
      <c r="E59" s="39" t="str">
        <f>IF($M59="","",N(INDEX(สรุปจ่ายรถร่วม!$K$5:$K$704,$M59)))</f>
        <v/>
      </c>
      <c r="F59" s="39" t="str">
        <f>IF($M59="","",N(INDEX(สรุปจ่ายรถร่วม!$L$5:$L$704,$M59)))</f>
        <v/>
      </c>
      <c r="G59" s="39" t="str">
        <f>IF($M59="","",N(INDEX(สรุปจ่ายรถร่วม!$M$5:$M$704,$M59)))</f>
        <v/>
      </c>
      <c r="H59" s="39" t="str">
        <f>IF($M59="","",N(INDEX(สรุปจ่ายรถร่วม!$N$5:$N$704,$M59)))</f>
        <v/>
      </c>
      <c r="M59" t="str">
        <f>IFERROR(MATCH(40,สรุปจ่ายรถร่วม!$AZ$5:$AZ$704,0),"")</f>
        <v/>
      </c>
    </row>
    <row r="60" spans="1:13" ht="19.899999999999999" customHeight="1" x14ac:dyDescent="0.8">
      <c r="A60" s="41"/>
      <c r="B60" s="42" t="s">
        <v>77</v>
      </c>
      <c r="C60" s="43">
        <f>$M$5</f>
        <v>0</v>
      </c>
      <c r="D60" s="25">
        <f>$M$6</f>
        <v>0</v>
      </c>
      <c r="E60" s="25">
        <f>$M$7</f>
        <v>0</v>
      </c>
      <c r="F60" s="25">
        <f>$M$8</f>
        <v>0</v>
      </c>
      <c r="G60" s="25">
        <f>$M$9</f>
        <v>0</v>
      </c>
      <c r="H60" s="25">
        <f>$M$10</f>
        <v>0</v>
      </c>
    </row>
    <row r="61" spans="1:13" x14ac:dyDescent="0.45">
      <c r="A61" s="75" t="str">
        <f>IF($K$17&lt;&gt;"","( "&amp;$K$17&amp;" )","( ...พิมพ์จำนวนเงินเป็นตัวหนังสือที่ช่อง K17... )")</f>
        <v>( ...พิมพ์จำนวนเงินเป็นตัวหนังสือที่ช่อง K17... )</v>
      </c>
      <c r="B61" s="69"/>
      <c r="C61" s="69"/>
      <c r="D61" s="69"/>
      <c r="E61" s="69"/>
      <c r="F61" s="69"/>
      <c r="G61" s="69"/>
      <c r="H61" s="69"/>
    </row>
    <row r="63" spans="1:13" ht="21" customHeight="1" x14ac:dyDescent="0.45">
      <c r="A63" s="72" t="str">
        <f>$K$16</f>
        <v>โดยให้โอนเงินจำนวนดังกล่าวเข้าบัญชีรถร่วมโดยตรง ตามรายละเอียดที่แจ้งไว้ก่อนหน้านี้</v>
      </c>
      <c r="B63" s="69"/>
      <c r="C63" s="69"/>
      <c r="D63" s="69"/>
      <c r="E63" s="69"/>
      <c r="F63" s="69"/>
      <c r="G63" s="69"/>
      <c r="H63" s="69"/>
    </row>
    <row r="65" spans="1:8" x14ac:dyDescent="0.45">
      <c r="C65" s="73" t="str">
        <f>"จึงเรียนมาเพื่อโปรดดำเนินการ"</f>
        <v>จึงเรียนมาเพื่อโปรดดำเนินการ</v>
      </c>
      <c r="D65" s="69"/>
      <c r="E65" s="69"/>
      <c r="F65" s="69"/>
    </row>
    <row r="67" spans="1:8" x14ac:dyDescent="0.45">
      <c r="D67" s="73" t="str">
        <f>"ขอแสดงความนับถือ"</f>
        <v>ขอแสดงความนับถือ</v>
      </c>
      <c r="E67" s="69"/>
      <c r="F67" s="69"/>
    </row>
    <row r="70" spans="1:8" x14ac:dyDescent="0.45">
      <c r="D70" s="73" t="str">
        <f>"("&amp;$K$8&amp;")"</f>
        <v>(นางสาวกิตติมา  เพิ่มพูล)</v>
      </c>
      <c r="E70" s="69"/>
      <c r="F70" s="69"/>
    </row>
    <row r="71" spans="1:8" x14ac:dyDescent="0.45">
      <c r="D71" s="73" t="str">
        <f>$K$9</f>
        <v>เจ้าหน้าที่บัญชี</v>
      </c>
      <c r="E71" s="69"/>
      <c r="F71" s="69"/>
    </row>
    <row r="73" spans="1:8" ht="21" customHeight="1" x14ac:dyDescent="0.95">
      <c r="A73" s="8" t="s">
        <v>163</v>
      </c>
      <c r="B73" s="72" t="str">
        <f>$K$10</f>
        <v>ประธานกรรมการบริหาร</v>
      </c>
      <c r="C73" s="69"/>
      <c r="D73" s="69"/>
      <c r="E73" s="69"/>
      <c r="G73" s="72" t="str">
        <f>$K$13</f>
        <v>เพื่อโปรดทราบ</v>
      </c>
      <c r="H73" s="69"/>
    </row>
    <row r="74" spans="1:8" ht="21" customHeight="1" x14ac:dyDescent="0.45">
      <c r="B74" s="72" t="str">
        <f>$K$11</f>
        <v>รองประธานกรรมการอาวุโสฝ่ายบริหารฯ</v>
      </c>
      <c r="C74" s="69"/>
      <c r="D74" s="69"/>
      <c r="E74" s="69"/>
      <c r="G74" s="72" t="str">
        <f>$K$14</f>
        <v>เพื่อโปรดทราบ</v>
      </c>
      <c r="H74" s="69"/>
    </row>
    <row r="75" spans="1:8" ht="21" customHeight="1" x14ac:dyDescent="0.45">
      <c r="B75" s="72" t="str">
        <f>$K$12</f>
        <v>บัญชี/การเงิน กทม.</v>
      </c>
      <c r="C75" s="69"/>
      <c r="D75" s="69"/>
      <c r="E75" s="69"/>
      <c r="G75" s="72" t="str">
        <f>$K$15</f>
        <v>เพื่อดำเนินการ</v>
      </c>
      <c r="H75" s="69"/>
    </row>
  </sheetData>
  <mergeCells count="36">
    <mergeCell ref="B74:E74"/>
    <mergeCell ref="D70:F70"/>
    <mergeCell ref="B13:D13"/>
    <mergeCell ref="A61:H61"/>
    <mergeCell ref="F18:F19"/>
    <mergeCell ref="A18:A19"/>
    <mergeCell ref="B75:E75"/>
    <mergeCell ref="D71:F71"/>
    <mergeCell ref="E12:H12"/>
    <mergeCell ref="B16:H16"/>
    <mergeCell ref="B15:D15"/>
    <mergeCell ref="G18:G19"/>
    <mergeCell ref="G74:H74"/>
    <mergeCell ref="E14:H14"/>
    <mergeCell ref="D67:F67"/>
    <mergeCell ref="D18:D19"/>
    <mergeCell ref="C18:C19"/>
    <mergeCell ref="C65:F65"/>
    <mergeCell ref="A17:H17"/>
    <mergeCell ref="E13:H13"/>
    <mergeCell ref="G73:H73"/>
    <mergeCell ref="G75:H75"/>
    <mergeCell ref="D6:F6"/>
    <mergeCell ref="B8:H8"/>
    <mergeCell ref="B73:E73"/>
    <mergeCell ref="E18:E19"/>
    <mergeCell ref="A63:H63"/>
    <mergeCell ref="E15:H15"/>
    <mergeCell ref="B12:D12"/>
    <mergeCell ref="E11:H11"/>
    <mergeCell ref="B11:D11"/>
    <mergeCell ref="B14:D14"/>
    <mergeCell ref="B9:H9"/>
    <mergeCell ref="B18:B19"/>
    <mergeCell ref="B10:D10"/>
    <mergeCell ref="E10:H10"/>
  </mergeCells>
  <conditionalFormatting sqref="A20:H59">
    <cfRule type="expression" dxfId="5" priority="1">
      <formula>$M20&lt;&gt;""</formula>
    </cfRule>
  </conditionalFormatting>
  <pageMargins left="0.75" right="0.75" top="1" bottom="1" header="0.5" footer="0.5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BF70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2" customWidth="1"/>
    <col min="2" max="2" width="8" customWidth="1"/>
    <col min="3" max="3" width="22" customWidth="1"/>
    <col min="4" max="4" width="26" customWidth="1"/>
    <col min="5" max="5" width="9" customWidth="1"/>
    <col min="6" max="6" width="15" customWidth="1"/>
    <col min="7" max="7" width="12" customWidth="1"/>
    <col min="8" max="8" width="11" customWidth="1"/>
    <col min="9" max="9" width="12" customWidth="1"/>
    <col min="10" max="10" width="11" customWidth="1"/>
    <col min="11" max="11" width="18" customWidth="1"/>
    <col min="12" max="12" width="14" customWidth="1"/>
    <col min="13" max="13" width="16" customWidth="1"/>
    <col min="14" max="14" width="18" customWidth="1"/>
    <col min="15" max="15" width="12" customWidth="1"/>
    <col min="16" max="57" width="13" hidden="1" customWidth="1"/>
    <col min="58" max="58" width="30" customWidth="1"/>
  </cols>
  <sheetData>
    <row r="1" spans="1:58" ht="19.899999999999999" customHeight="1" x14ac:dyDescent="0.8">
      <c r="A1" s="77" t="str">
        <f>"สรุปการจ่ายค่าบรรทุกส่งออก นาม "&amp;บันทึกรายเที่ยว!$F$3&amp;"  ประจำเดือน "&amp;บันทึกรายเที่ยว!$B$3&amp;IF($AF$1+1&gt;230,"   *** ยาวเกินพื้นที่พิมพ์ — ตั้ง Print Area ใหม่เป็น A1:O"&amp;(5-1+$AI$1+1)&amp;" ***","")</f>
        <v>สรุปการจ่ายค่าบรรทุกส่งออก นาม ศิลาชัย  ประจำเดือน กรกฎาคม 2569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I1">
        <f>COUNT($V$5:$V$404)+SUM($Z$5:$Z$404)+SUM($AA$5:$AA$404)+SUM($AO$5:$AO$404)</f>
        <v>0</v>
      </c>
      <c r="BF1" s="3" t="s">
        <v>164</v>
      </c>
    </row>
    <row r="2" spans="1:58" ht="20" customHeight="1" x14ac:dyDescent="0.8">
      <c r="A2" s="63" t="s">
        <v>165</v>
      </c>
      <c r="B2" s="7" t="s">
        <v>166</v>
      </c>
      <c r="C2" s="7" t="s">
        <v>167</v>
      </c>
      <c r="D2" s="7" t="s">
        <v>168</v>
      </c>
      <c r="E2" s="7" t="s">
        <v>169</v>
      </c>
      <c r="F2" s="7" t="s">
        <v>169</v>
      </c>
      <c r="G2" s="7" t="s">
        <v>460</v>
      </c>
      <c r="H2" s="7" t="s">
        <v>171</v>
      </c>
      <c r="I2" s="7" t="s">
        <v>172</v>
      </c>
      <c r="J2" s="7" t="s">
        <v>170</v>
      </c>
      <c r="K2" s="63" t="s">
        <v>173</v>
      </c>
      <c r="L2" s="7" t="s">
        <v>174</v>
      </c>
      <c r="M2" s="7" t="s">
        <v>175</v>
      </c>
      <c r="N2" s="63" t="s">
        <v>144</v>
      </c>
      <c r="O2" s="7" t="s">
        <v>176</v>
      </c>
      <c r="AI2">
        <f>SUM($AP$5:$AP$404)</f>
        <v>0</v>
      </c>
      <c r="BF2" s="44">
        <v>1</v>
      </c>
    </row>
    <row r="3" spans="1:58" ht="20" customHeight="1" x14ac:dyDescent="0.8">
      <c r="A3" s="76"/>
      <c r="B3" s="7" t="s">
        <v>177</v>
      </c>
      <c r="C3" s="63" t="s">
        <v>178</v>
      </c>
      <c r="D3" s="63" t="s">
        <v>179</v>
      </c>
      <c r="E3" s="7"/>
      <c r="F3" s="7" t="s">
        <v>176</v>
      </c>
      <c r="G3" s="7" t="s">
        <v>461</v>
      </c>
      <c r="H3" s="7" t="s">
        <v>180</v>
      </c>
      <c r="I3" s="7" t="s">
        <v>181</v>
      </c>
      <c r="J3" s="7" t="s">
        <v>182</v>
      </c>
      <c r="K3" s="76"/>
      <c r="L3" s="7" t="s">
        <v>183</v>
      </c>
      <c r="M3" s="7" t="s">
        <v>184</v>
      </c>
      <c r="N3" s="76"/>
      <c r="O3" s="7" t="s">
        <v>185</v>
      </c>
      <c r="BF3" s="3" t="s">
        <v>186</v>
      </c>
    </row>
    <row r="4" spans="1:58" ht="34.049999999999997" customHeight="1" x14ac:dyDescent="0.8">
      <c r="A4" s="64"/>
      <c r="B4" s="7" t="s">
        <v>187</v>
      </c>
      <c r="C4" s="64"/>
      <c r="D4" s="64"/>
      <c r="E4" s="7" t="s">
        <v>107</v>
      </c>
      <c r="F4" s="7" t="s">
        <v>140</v>
      </c>
      <c r="G4" s="7" t="s">
        <v>188</v>
      </c>
      <c r="H4" s="7" t="s">
        <v>188</v>
      </c>
      <c r="I4" s="7" t="s">
        <v>188</v>
      </c>
      <c r="J4" s="7" t="s">
        <v>189</v>
      </c>
      <c r="K4" s="64"/>
      <c r="L4" s="7"/>
      <c r="M4" s="7"/>
      <c r="N4" s="64"/>
      <c r="O4" s="7" t="s">
        <v>190</v>
      </c>
      <c r="AZ4">
        <v>0</v>
      </c>
      <c r="BF4" s="45">
        <f>SUMPRODUCT(--($AD$5:$AD$704="D"),--($G$5:$G$704=0))</f>
        <v>0</v>
      </c>
    </row>
    <row r="5" spans="1:58" ht="21" customHeight="1" x14ac:dyDescent="0.95">
      <c r="A5" s="36" t="str">
        <f>IF($AD5="","",IF($AD5="Z","รวมจ่ายทั้งสิ้น",IF($AD5="H",INDEX($X$5:$X$404,$AC5),IF($AD5="T","รวม",IF($AD5="B",IFERROR(INDEX(อัตราค่าขนส่ง!$U$5:$U$14,MATCH(INDEX($AM$5:$AM$404,$AC5),อัตราค่าขนส่ง!$T$5:$T$14,0)),"รวมกลุ่ม "&amp;INDEX($AM$5:$AM$404,$AC5)),INDEX($AY$5:$AY$404,$AC5))))))</f>
        <v>รวมจ่ายทั้งสิ้น</v>
      </c>
      <c r="B5" s="31" t="str">
        <f t="shared" ref="B5:B68" si="0">IF($AD5&lt;&gt;"D","",INDEX($AW$5:$AW$404,$AC5))</f>
        <v/>
      </c>
      <c r="C5" s="8" t="str">
        <f t="shared" ref="C5:C68" si="1">IF($AD5&lt;&gt;"D","",INDEX($AX$5:$AX$404,$AC5))</f>
        <v/>
      </c>
      <c r="D5" s="37" t="str">
        <f t="shared" ref="D5:D68" si="2">IF($AD5&lt;&gt;"D","",INDEX($BA$5:$BA$404,$AC5))</f>
        <v/>
      </c>
      <c r="E5" s="31">
        <f t="shared" ref="E5:E68" si="3">IF($AD5="Z",SUM($AR$5:$AR$404),IF($AD5="D",INDEX($AR$5:$AR$404,$AC5),IF($AD5="T",SUMIF($X$5:$X$404,$AF5,$AR$5:$AR$404),IF($AD5="B",SUMIF($AN$5:$AN$404,$AQ5,$AR$5:$AR$404),""))))</f>
        <v>0</v>
      </c>
      <c r="F5" s="32">
        <f t="shared" ref="F5:F68" si="4">IF($AD5="Z",ROUND(SUM($AS$5:$AS$404),2),IF($AD5="D",INDEX($AS$5:$AS$404,$AC5),IF($AD5="T",ROUND(SUMIF($X$5:$X$404,$AF5,$AS$5:$AS$404),2),IF($AD5="B",ROUND(SUMIF($AN$5:$AN$404,$AQ5,$AS$5:$AS$404),2),""))))</f>
        <v>0</v>
      </c>
      <c r="G5" s="32" t="str">
        <f t="shared" ref="G5:G68" si="5">IF($AD5&lt;&gt;"D","",INDEX($AT$5:$AT$404,$AC5))</f>
        <v/>
      </c>
      <c r="H5" s="32" t="str">
        <f t="shared" ref="H5:H68" si="6">IF($AD5&lt;&gt;"D","",INDEX($BC$5:$BC$404,$AC5))</f>
        <v/>
      </c>
      <c r="I5" s="32" t="str">
        <f t="shared" ref="I5:I68" si="7">IF($AD5&lt;&gt;"D","",INDEX($BD$5:$BD$404,$AC5))</f>
        <v/>
      </c>
      <c r="J5" s="46" t="str">
        <f t="shared" ref="J5:J68" si="8">IF($AD5&lt;&gt;"D","",IF(N($B5)=0,"",ROUND($I5/$B5,4)))</f>
        <v/>
      </c>
      <c r="K5" s="32">
        <f t="shared" ref="K5:K68" si="9">IF($AD5="Z",ROUND(SUM($AU$5:$AU$404),2),IF($AD5="D",INDEX($AU$5:$AU$404,$AC5),IF($AD5="T",ROUND(SUMIF($X$5:$X$404,$AF5,$AU$5:$AU$404),2),IF($AD5="B",ROUND(SUMIF($AN$5:$AN$404,$AQ5,$AU$5:$AU$404),2),""))))</f>
        <v>0</v>
      </c>
      <c r="L5" s="32">
        <f t="shared" ref="L5:L68" si="10">IF($AD5="Z",ROUND(SUM($AV$5:$AV$404),2),IF($AD5="D",INDEX($AV$5:$AV$404,$AC5),IF($AD5="T",ROUND(SUMIF($X$5:$X$404,$AF5,$AV$5:$AV$404),2),IF($AD5="B",ROUND(SUMIF($AN$5:$AN$404,$AQ5,$AV$5:$AV$404),2),""))))</f>
        <v>0</v>
      </c>
      <c r="M5" s="32">
        <f t="shared" ref="M5:M68" si="11">IF($AD5="Z",ROUND(SUM($AJ$5:$AJ$704),2),IF($AD5="B",ROUND(SUMIF($AQ$5:$AQ$704,$AQ5,$AJ$5:$AJ$704),2),IF($AD5&lt;&gt;"T","",$AJ5)))</f>
        <v>0</v>
      </c>
      <c r="N5" s="32">
        <f t="shared" ref="N5:N68" si="12">IF(OR($AD5="D",$AD5="T",$AD5="B",$AD5="Z"),ROUND(N($K5)-N($L5)-N($M5),2),"")</f>
        <v>0</v>
      </c>
      <c r="O5" s="32" t="str">
        <f t="shared" ref="O5:O68" si="13">IF(OR($AD5="D",$AD5="T",$AD5="B",$AD5="Z"),IF(N($E5)=0,"",ROUND($F5/$E5,2)),"")</f>
        <v/>
      </c>
      <c r="Q5" t="str">
        <f>IFERROR(MATCH(1,บันทึกรายเที่ยว!$Z$6:$Z$10005,0),"")</f>
        <v/>
      </c>
      <c r="R5" t="str">
        <f>IF($Q5="","",INDEX(บันทึกรายเที่ยว!$V$6:$V$10005,$Q5))</f>
        <v/>
      </c>
      <c r="S5" t="str">
        <f>IF($Q5="","",INDEX(บันทึกรายเที่ยว!$F$6:$F$10005,$Q5))</f>
        <v/>
      </c>
      <c r="T5" t="str">
        <f>IF($Q5="","",MATCH($S5,บันทึกรายเที่ยว!$F$6:$F$10005,0))</f>
        <v/>
      </c>
      <c r="U5" t="str">
        <f>IF($Q5="","",$AL5*10000000+$T5*1000+1)</f>
        <v/>
      </c>
      <c r="V5" t="str">
        <f>IFERROR(MATCH(SMALL($U$5:$U$404,1),$U$5:$U$404,0),"")</f>
        <v/>
      </c>
      <c r="W5" t="str">
        <f t="shared" ref="W5:W68" si="14">IF($V5="","",INDEX($Q$5:$Q$404,$V5))</f>
        <v/>
      </c>
      <c r="X5" t="str">
        <f t="shared" ref="X5:X68" si="15">IF($V5="","",INDEX($S$5:$S$404,$V5))</f>
        <v/>
      </c>
      <c r="Y5" t="str">
        <f t="shared" ref="Y5:Y68" si="16">IF($V5="","",INDEX($R$5:$R$404,$V5))</f>
        <v/>
      </c>
      <c r="Z5">
        <f>IF($V5="",0,1)</f>
        <v>0</v>
      </c>
      <c r="AA5">
        <f t="shared" ref="AA5:AA68" si="17">IF($V5="",0,IF($V6="",1,IF($X6&lt;&gt;$X5,1,0)))</f>
        <v>0</v>
      </c>
      <c r="AB5">
        <f>IF($V5="",99999,1)</f>
        <v>99999</v>
      </c>
      <c r="AC5" t="str">
        <f>IFERROR(MATCH(1,$AB$5:$AB$404,1),"")</f>
        <v/>
      </c>
      <c r="AD5" t="str">
        <f>IF(1=$AI$1+1,"Z",IF($AC5="","",IF(INDEX($V$5:$V$404,$AC5)="","",IF(1&gt;INDEX($AB$5:$AB$404,$AC5)+INDEX($Z$5:$Z$404,$AC5)+INDEX($AA$5:$AA$404,$AC5)+INDEX($AO$5:$AO$404,$AC5),"",IF(1=INDEX($AB$5:$AB$404,$AC5)+INDEX($Z$5:$Z$404,$AC5),"D",IF(AND(INDEX($Z$5:$Z$404,$AC5)=1,1=INDEX($AB$5:$AB$404,$AC5)),"H",IF(AND(INDEX($AO$5:$AO$404,$AC5)=1,1=INDEX($AB$5:$AB$404,$AC5)+INDEX($Z$5:$Z$404,$AC5)+INDEX($AA$5:$AA$404,$AC5)+INDEX($AO$5:$AO$404,$AC5)),"B","T")))))))</f>
        <v>Z</v>
      </c>
      <c r="AF5" t="str">
        <f t="shared" ref="AF5:AF68" si="18">IF(OR($AD5="",$AD5="Z",$AD5="B"),"",INDEX($X$5:$X$404,$AC5))</f>
        <v/>
      </c>
      <c r="AJ5">
        <f>IF($AD5&lt;&gt;"T",0,ROUND(SUMIF(oil!$B$4:$B$63,$AF5,oil!$AE$4:$AE$63),2))</f>
        <v>0</v>
      </c>
      <c r="AK5" t="str">
        <f>IF($S5="","",IFERROR(INDEX(อัตราค่าขนส่ง!$R$5:$R$54,MATCH($S5,อัตราค่าขนส่ง!$Q$5:$Q$54,0)),INDEX(รายการมาตรฐาน!$G$2:$G$3,1)))</f>
        <v/>
      </c>
      <c r="AL5" t="str">
        <f>IF($S5="","",IFERROR(MATCH($AK5,รายการมาตรฐาน!$G$2:$G$3,0),1))</f>
        <v/>
      </c>
      <c r="AM5" t="str">
        <f t="shared" ref="AM5:AM68" si="19">IF($V5="","",INDEX($AK$5:$AK$404,$V5))</f>
        <v/>
      </c>
      <c r="AN5" t="str">
        <f t="shared" ref="AN5:AN68" si="20">IF($V5="","",INDEX($AL$5:$AL$404,$V5))</f>
        <v/>
      </c>
      <c r="AO5">
        <f t="shared" ref="AO5:AO68" si="21">IF(OR($V5="",$AI$2&lt;=1),0,IF($V6="",1,IF($AN6&lt;&gt;$AN5,1,0)))</f>
        <v>0</v>
      </c>
      <c r="AP5">
        <f>IF($V5="",0,1)</f>
        <v>0</v>
      </c>
      <c r="AQ5" t="str">
        <f t="shared" ref="AQ5:AQ68" si="22">IF(OR($AD5="",$AD5="Z"),"",INDEX($AN$5:$AN$404,$AC5))</f>
        <v/>
      </c>
      <c r="AR5">
        <f>IF($Y5="",0,COUNTIF(บันทึกรายเที่ยว!$V$6:$V$10005,$Y5))</f>
        <v>0</v>
      </c>
      <c r="AS5">
        <f>IF($Y5="",0,ROUND(SUMIF(บันทึกรายเที่ยว!$V$6:$V$10005,$Y5,บันทึกรายเที่ยว!$M$6:$M$10005),2))</f>
        <v>0</v>
      </c>
      <c r="AT5">
        <f>IF($Y5="",0,IFERROR(INDEX(อัตราค่าขนส่ง!$J$5:$J$204,MATCH($Y5,อัตราค่าขนส่ง!$O$5:$O$204,0)),0))</f>
        <v>0</v>
      </c>
      <c r="AU5">
        <f t="shared" ref="AU5:AU68" si="23">ROUND($AS5*$BD5,2)</f>
        <v>0</v>
      </c>
      <c r="AV5">
        <f t="shared" ref="AV5:AV68" si="24">ROUND($AU5*$BF$2/100,2)</f>
        <v>0</v>
      </c>
      <c r="AW5" t="str">
        <f>IF($Y5="","",IFERROR(INDEX(อัตราค่าขนส่ง!$F$5:$F$204,MATCH($Y5,อัตราค่าขนส่ง!$O$5:$O$204,0)),""))</f>
        <v/>
      </c>
      <c r="AX5" t="str">
        <f>IF($W5="","",INDEX(บันทึกรายเที่ยว!$D$6:$D$10005,$W5))</f>
        <v/>
      </c>
      <c r="AY5" t="str">
        <f>IF($W5="","",INDEX(บันทึกรายเที่ยว!$R$6:$R$10005,$W5))</f>
        <v/>
      </c>
      <c r="AZ5">
        <f t="shared" ref="AZ5:AZ68" si="25">IF(AND($AD5="T",$AQ5=1),N($AZ4)+1,N($AZ4))</f>
        <v>0</v>
      </c>
      <c r="BA5" t="str">
        <f>IF($W5="","",INDEX(บันทึกรายเที่ยว!$E$6:$E$10005,$W5))</f>
        <v/>
      </c>
      <c r="BC5">
        <f>IF($Y5="",0,IFERROR(INDEX(อัตราค่าขนส่ง!$M$5:$M$204,MATCH($Y5,อัตราค่าขนส่ง!$O$5:$O$204,0)),0))</f>
        <v>0</v>
      </c>
      <c r="BD5">
        <f>IF($Y5="",0,IFERROR(INDEX(อัตราค่าขนส่ง!$N$5:$N$204,MATCH($Y5,อัตราค่าขนส่ง!$O$5:$O$204,0)),0))</f>
        <v>0</v>
      </c>
      <c r="BF5" s="3" t="s">
        <v>109</v>
      </c>
    </row>
    <row r="6" spans="1:58" ht="21" customHeight="1" x14ac:dyDescent="0.95">
      <c r="A6" s="36" t="str">
        <f>IF($AD6="","",IF($AD6="Z","รวมจ่ายทั้งสิ้น",IF($AD6="H",INDEX($X$5:$X$404,$AC6),IF($AD6="T","รวม",IF($AD6="B",IFERROR(INDEX(อัตราค่าขนส่ง!$U$5:$U$14,MATCH(INDEX($AM$5:$AM$404,$AC6),อัตราค่าขนส่ง!$T$5:$T$14,0)),"รวมกลุ่ม "&amp;INDEX($AM$5:$AM$404,$AC6)),INDEX($AY$5:$AY$404,$AC6))))))</f>
        <v/>
      </c>
      <c r="B6" s="31" t="str">
        <f t="shared" si="0"/>
        <v/>
      </c>
      <c r="C6" s="8" t="str">
        <f t="shared" si="1"/>
        <v/>
      </c>
      <c r="D6" s="37" t="str">
        <f t="shared" si="2"/>
        <v/>
      </c>
      <c r="E6" s="31" t="str">
        <f t="shared" si="3"/>
        <v/>
      </c>
      <c r="F6" s="32" t="str">
        <f t="shared" si="4"/>
        <v/>
      </c>
      <c r="G6" s="32" t="str">
        <f t="shared" si="5"/>
        <v/>
      </c>
      <c r="H6" s="32" t="str">
        <f t="shared" si="6"/>
        <v/>
      </c>
      <c r="I6" s="32" t="str">
        <f t="shared" si="7"/>
        <v/>
      </c>
      <c r="J6" s="46" t="str">
        <f t="shared" si="8"/>
        <v/>
      </c>
      <c r="K6" s="32" t="str">
        <f t="shared" si="9"/>
        <v/>
      </c>
      <c r="L6" s="32" t="str">
        <f t="shared" si="10"/>
        <v/>
      </c>
      <c r="M6" s="32" t="str">
        <f t="shared" si="11"/>
        <v/>
      </c>
      <c r="N6" s="32" t="str">
        <f t="shared" si="12"/>
        <v/>
      </c>
      <c r="O6" s="32" t="str">
        <f t="shared" si="13"/>
        <v/>
      </c>
      <c r="Q6" t="str">
        <f>IFERROR(MATCH(2,บันทึกรายเที่ยว!$Z$6:$Z$10005,0),"")</f>
        <v/>
      </c>
      <c r="R6" t="str">
        <f>IF($Q6="","",INDEX(บันทึกรายเที่ยว!$V$6:$V$10005,$Q6))</f>
        <v/>
      </c>
      <c r="S6" t="str">
        <f>IF($Q6="","",INDEX(บันทึกรายเที่ยว!$F$6:$F$10005,$Q6))</f>
        <v/>
      </c>
      <c r="T6" t="str">
        <f>IF($Q6="","",MATCH($S6,บันทึกรายเที่ยว!$F$6:$F$10005,0))</f>
        <v/>
      </c>
      <c r="U6" t="str">
        <f>IF($Q6="","",$AL6*10000000+$T6*1000+2)</f>
        <v/>
      </c>
      <c r="V6" t="str">
        <f>IFERROR(MATCH(SMALL($U$5:$U$404,2),$U$5:$U$404,0),"")</f>
        <v/>
      </c>
      <c r="W6" t="str">
        <f t="shared" si="14"/>
        <v/>
      </c>
      <c r="X6" t="str">
        <f t="shared" si="15"/>
        <v/>
      </c>
      <c r="Y6" t="str">
        <f t="shared" si="16"/>
        <v/>
      </c>
      <c r="Z6">
        <f t="shared" ref="Z6:Z69" si="26">IF($V6="",0,IF($X6&lt;&gt;$X5,1,0))</f>
        <v>0</v>
      </c>
      <c r="AA6">
        <f t="shared" si="17"/>
        <v>0</v>
      </c>
      <c r="AB6">
        <f>IF($V6="",99999+2,$AB5+1+$Z5+$AA5+$AO5)</f>
        <v>100001</v>
      </c>
      <c r="AC6" t="str">
        <f>IFERROR(MATCH(2,$AB$5:$AB$404,1),"")</f>
        <v/>
      </c>
      <c r="AD6" t="str">
        <f>IF(2=$AI$1+1,"Z",IF($AC6="","",IF(INDEX($V$5:$V$404,$AC6)="","",IF(2&gt;INDEX($AB$5:$AB$404,$AC6)+INDEX($Z$5:$Z$404,$AC6)+INDEX($AA$5:$AA$404,$AC6)+INDEX($AO$5:$AO$404,$AC6),"",IF(2=INDEX($AB$5:$AB$404,$AC6)+INDEX($Z$5:$Z$404,$AC6),"D",IF(AND(INDEX($Z$5:$Z$404,$AC6)=1,2=INDEX($AB$5:$AB$404,$AC6)),"H",IF(AND(INDEX($AO$5:$AO$404,$AC6)=1,2=INDEX($AB$5:$AB$404,$AC6)+INDEX($Z$5:$Z$404,$AC6)+INDEX($AA$5:$AA$404,$AC6)+INDEX($AO$5:$AO$404,$AC6)),"B","T")))))))</f>
        <v/>
      </c>
      <c r="AF6" t="str">
        <f t="shared" si="18"/>
        <v/>
      </c>
      <c r="AJ6">
        <f>IF($AD6&lt;&gt;"T",0,ROUND(SUMIF(oil!$B$4:$B$63,$AF6,oil!$AE$4:$AE$63),2))</f>
        <v>0</v>
      </c>
      <c r="AK6" t="str">
        <f>IF($S6="","",IFERROR(INDEX(อัตราค่าขนส่ง!$R$5:$R$54,MATCH($S6,อัตราค่าขนส่ง!$Q$5:$Q$54,0)),INDEX(รายการมาตรฐาน!$G$2:$G$3,1)))</f>
        <v/>
      </c>
      <c r="AL6" t="str">
        <f>IF($S6="","",IFERROR(MATCH($AK6,รายการมาตรฐาน!$G$2:$G$3,0),1))</f>
        <v/>
      </c>
      <c r="AM6" t="str">
        <f t="shared" si="19"/>
        <v/>
      </c>
      <c r="AN6" t="str">
        <f t="shared" si="20"/>
        <v/>
      </c>
      <c r="AO6">
        <f t="shared" si="21"/>
        <v>0</v>
      </c>
      <c r="AP6">
        <f t="shared" ref="AP6:AP69" si="27">IF($V6="",0,IF($AN6&lt;&gt;$AN5,1,0))</f>
        <v>0</v>
      </c>
      <c r="AQ6" t="str">
        <f t="shared" si="22"/>
        <v/>
      </c>
      <c r="AR6">
        <f>IF($Y6="",0,COUNTIF(บันทึกรายเที่ยว!$V$6:$V$10005,$Y6))</f>
        <v>0</v>
      </c>
      <c r="AS6">
        <f>IF($Y6="",0,ROUND(SUMIF(บันทึกรายเที่ยว!$V$6:$V$10005,$Y6,บันทึกรายเที่ยว!$M$6:$M$10005),2))</f>
        <v>0</v>
      </c>
      <c r="AT6">
        <f>IF($Y6="",0,IFERROR(INDEX(อัตราค่าขนส่ง!$J$5:$J$204,MATCH($Y6,อัตราค่าขนส่ง!$O$5:$O$204,0)),0))</f>
        <v>0</v>
      </c>
      <c r="AU6">
        <f t="shared" si="23"/>
        <v>0</v>
      </c>
      <c r="AV6">
        <f t="shared" si="24"/>
        <v>0</v>
      </c>
      <c r="AW6" t="str">
        <f>IF($Y6="","",IFERROR(INDEX(อัตราค่าขนส่ง!$F$5:$F$204,MATCH($Y6,อัตราค่าขนส่ง!$O$5:$O$204,0)),""))</f>
        <v/>
      </c>
      <c r="AX6" t="str">
        <f>IF($W6="","",INDEX(บันทึกรายเที่ยว!$D$6:$D$10005,$W6))</f>
        <v/>
      </c>
      <c r="AY6" t="str">
        <f>IF($W6="","",INDEX(บันทึกรายเที่ยว!$R$6:$R$10005,$W6))</f>
        <v/>
      </c>
      <c r="AZ6">
        <f t="shared" si="25"/>
        <v>0</v>
      </c>
      <c r="BA6" t="str">
        <f>IF($W6="","",INDEX(บันทึกรายเที่ยว!$E$6:$E$10005,$W6))</f>
        <v/>
      </c>
      <c r="BC6">
        <f>IF($Y6="",0,IFERROR(INDEX(อัตราค่าขนส่ง!$M$5:$M$204,MATCH($Y6,อัตราค่าขนส่ง!$O$5:$O$204,0)),0))</f>
        <v>0</v>
      </c>
      <c r="BD6">
        <f>IF($Y6="",0,IFERROR(INDEX(อัตราค่าขนส่ง!$N$5:$N$204,MATCH($Y6,อัตราค่าขนส่ง!$O$5:$O$204,0)),0))</f>
        <v>0</v>
      </c>
      <c r="BF6" s="17" t="str">
        <f>IF($AD$704&lt;&gt;"","*** บรรทัดไม่พอ ***",IF($AI$1+1&gt;230,"*** ยาวกว่าพื้นที่พิมพ์ ตั้ง Print Area ใหม่ ***","เพียงพอ"))</f>
        <v>เพียงพอ</v>
      </c>
    </row>
    <row r="7" spans="1:58" ht="21" customHeight="1" x14ac:dyDescent="0.95">
      <c r="A7" s="36" t="str">
        <f>IF($AD7="","",IF($AD7="Z","รวมจ่ายทั้งสิ้น",IF($AD7="H",INDEX($X$5:$X$404,$AC7),IF($AD7="T","รวม",IF($AD7="B",IFERROR(INDEX(อัตราค่าขนส่ง!$U$5:$U$14,MATCH(INDEX($AM$5:$AM$404,$AC7),อัตราค่าขนส่ง!$T$5:$T$14,0)),"รวมกลุ่ม "&amp;INDEX($AM$5:$AM$404,$AC7)),INDEX($AY$5:$AY$404,$AC7))))))</f>
        <v/>
      </c>
      <c r="B7" s="31" t="str">
        <f t="shared" si="0"/>
        <v/>
      </c>
      <c r="C7" s="8" t="str">
        <f t="shared" si="1"/>
        <v/>
      </c>
      <c r="D7" s="37" t="str">
        <f t="shared" si="2"/>
        <v/>
      </c>
      <c r="E7" s="31" t="str">
        <f t="shared" si="3"/>
        <v/>
      </c>
      <c r="F7" s="32" t="str">
        <f t="shared" si="4"/>
        <v/>
      </c>
      <c r="G7" s="32" t="str">
        <f t="shared" si="5"/>
        <v/>
      </c>
      <c r="H7" s="32" t="str">
        <f t="shared" si="6"/>
        <v/>
      </c>
      <c r="I7" s="32" t="str">
        <f t="shared" si="7"/>
        <v/>
      </c>
      <c r="J7" s="46" t="str">
        <f t="shared" si="8"/>
        <v/>
      </c>
      <c r="K7" s="32" t="str">
        <f t="shared" si="9"/>
        <v/>
      </c>
      <c r="L7" s="32" t="str">
        <f t="shared" si="10"/>
        <v/>
      </c>
      <c r="M7" s="32" t="str">
        <f t="shared" si="11"/>
        <v/>
      </c>
      <c r="N7" s="32" t="str">
        <f t="shared" si="12"/>
        <v/>
      </c>
      <c r="O7" s="32" t="str">
        <f t="shared" si="13"/>
        <v/>
      </c>
      <c r="Q7" t="str">
        <f>IFERROR(MATCH(3,บันทึกรายเที่ยว!$Z$6:$Z$10005,0),"")</f>
        <v/>
      </c>
      <c r="R7" t="str">
        <f>IF($Q7="","",INDEX(บันทึกรายเที่ยว!$V$6:$V$10005,$Q7))</f>
        <v/>
      </c>
      <c r="S7" t="str">
        <f>IF($Q7="","",INDEX(บันทึกรายเที่ยว!$F$6:$F$10005,$Q7))</f>
        <v/>
      </c>
      <c r="T7" t="str">
        <f>IF($Q7="","",MATCH($S7,บันทึกรายเที่ยว!$F$6:$F$10005,0))</f>
        <v/>
      </c>
      <c r="U7" t="str">
        <f>IF($Q7="","",$AL7*10000000+$T7*1000+3)</f>
        <v/>
      </c>
      <c r="V7" t="str">
        <f>IFERROR(MATCH(SMALL($U$5:$U$404,3),$U$5:$U$404,0),"")</f>
        <v/>
      </c>
      <c r="W7" t="str">
        <f t="shared" si="14"/>
        <v/>
      </c>
      <c r="X7" t="str">
        <f t="shared" si="15"/>
        <v/>
      </c>
      <c r="Y7" t="str">
        <f t="shared" si="16"/>
        <v/>
      </c>
      <c r="Z7">
        <f t="shared" si="26"/>
        <v>0</v>
      </c>
      <c r="AA7">
        <f t="shared" si="17"/>
        <v>0</v>
      </c>
      <c r="AB7">
        <f>IF($V7="",99999+3,$AB6+1+$Z6+$AA6+$AO6)</f>
        <v>100002</v>
      </c>
      <c r="AC7" t="str">
        <f>IFERROR(MATCH(3,$AB$5:$AB$404,1),"")</f>
        <v/>
      </c>
      <c r="AD7" t="str">
        <f>IF(3=$AI$1+1,"Z",IF($AC7="","",IF(INDEX($V$5:$V$404,$AC7)="","",IF(3&gt;INDEX($AB$5:$AB$404,$AC7)+INDEX($Z$5:$Z$404,$AC7)+INDEX($AA$5:$AA$404,$AC7)+INDEX($AO$5:$AO$404,$AC7),"",IF(3=INDEX($AB$5:$AB$404,$AC7)+INDEX($Z$5:$Z$404,$AC7),"D",IF(AND(INDEX($Z$5:$Z$404,$AC7)=1,3=INDEX($AB$5:$AB$404,$AC7)),"H",IF(AND(INDEX($AO$5:$AO$404,$AC7)=1,3=INDEX($AB$5:$AB$404,$AC7)+INDEX($Z$5:$Z$404,$AC7)+INDEX($AA$5:$AA$404,$AC7)+INDEX($AO$5:$AO$404,$AC7)),"B","T")))))))</f>
        <v/>
      </c>
      <c r="AF7" t="str">
        <f t="shared" si="18"/>
        <v/>
      </c>
      <c r="AJ7">
        <f>IF($AD7&lt;&gt;"T",0,ROUND(SUMIF(oil!$B$4:$B$63,$AF7,oil!$AE$4:$AE$63),2))</f>
        <v>0</v>
      </c>
      <c r="AK7" t="str">
        <f>IF($S7="","",IFERROR(INDEX(อัตราค่าขนส่ง!$R$5:$R$54,MATCH($S7,อัตราค่าขนส่ง!$Q$5:$Q$54,0)),INDEX(รายการมาตรฐาน!$G$2:$G$3,1)))</f>
        <v/>
      </c>
      <c r="AL7" t="str">
        <f>IF($S7="","",IFERROR(MATCH($AK7,รายการมาตรฐาน!$G$2:$G$3,0),1))</f>
        <v/>
      </c>
      <c r="AM7" t="str">
        <f t="shared" si="19"/>
        <v/>
      </c>
      <c r="AN7" t="str">
        <f t="shared" si="20"/>
        <v/>
      </c>
      <c r="AO7">
        <f t="shared" si="21"/>
        <v>0</v>
      </c>
      <c r="AP7">
        <f t="shared" si="27"/>
        <v>0</v>
      </c>
      <c r="AQ7" t="str">
        <f t="shared" si="22"/>
        <v/>
      </c>
      <c r="AR7">
        <f>IF($Y7="",0,COUNTIF(บันทึกรายเที่ยว!$V$6:$V$10005,$Y7))</f>
        <v>0</v>
      </c>
      <c r="AS7">
        <f>IF($Y7="",0,ROUND(SUMIF(บันทึกรายเที่ยว!$V$6:$V$10005,$Y7,บันทึกรายเที่ยว!$M$6:$M$10005),2))</f>
        <v>0</v>
      </c>
      <c r="AT7">
        <f>IF($Y7="",0,IFERROR(INDEX(อัตราค่าขนส่ง!$J$5:$J$204,MATCH($Y7,อัตราค่าขนส่ง!$O$5:$O$204,0)),0))</f>
        <v>0</v>
      </c>
      <c r="AU7">
        <f t="shared" si="23"/>
        <v>0</v>
      </c>
      <c r="AV7">
        <f t="shared" si="24"/>
        <v>0</v>
      </c>
      <c r="AW7" t="str">
        <f>IF($Y7="","",IFERROR(INDEX(อัตราค่าขนส่ง!$F$5:$F$204,MATCH($Y7,อัตราค่าขนส่ง!$O$5:$O$204,0)),""))</f>
        <v/>
      </c>
      <c r="AX7" t="str">
        <f>IF($W7="","",INDEX(บันทึกรายเที่ยว!$D$6:$D$10005,$W7))</f>
        <v/>
      </c>
      <c r="AY7" t="str">
        <f>IF($W7="","",INDEX(บันทึกรายเที่ยว!$R$6:$R$10005,$W7))</f>
        <v/>
      </c>
      <c r="AZ7">
        <f t="shared" si="25"/>
        <v>0</v>
      </c>
      <c r="BA7" t="str">
        <f>IF($W7="","",INDEX(บันทึกรายเที่ยว!$E$6:$E$10005,$W7))</f>
        <v/>
      </c>
      <c r="BC7">
        <f>IF($Y7="",0,IFERROR(INDEX(อัตราค่าขนส่ง!$M$5:$M$204,MATCH($Y7,อัตราค่าขนส่ง!$O$5:$O$204,0)),0))</f>
        <v>0</v>
      </c>
      <c r="BD7">
        <f>IF($Y7="",0,IFERROR(INDEX(อัตราค่าขนส่ง!$N$5:$N$204,MATCH($Y7,อัตราค่าขนส่ง!$O$5:$O$204,0)),0))</f>
        <v>0</v>
      </c>
      <c r="BF7" s="3" t="s">
        <v>191</v>
      </c>
    </row>
    <row r="8" spans="1:58" ht="21" customHeight="1" x14ac:dyDescent="0.95">
      <c r="A8" s="36" t="str">
        <f>IF($AD8="","",IF($AD8="Z","รวมจ่ายทั้งสิ้น",IF($AD8="H",INDEX($X$5:$X$404,$AC8),IF($AD8="T","รวม",IF($AD8="B",IFERROR(INDEX(อัตราค่าขนส่ง!$U$5:$U$14,MATCH(INDEX($AM$5:$AM$404,$AC8),อัตราค่าขนส่ง!$T$5:$T$14,0)),"รวมกลุ่ม "&amp;INDEX($AM$5:$AM$404,$AC8)),INDEX($AY$5:$AY$404,$AC8))))))</f>
        <v/>
      </c>
      <c r="B8" s="31" t="str">
        <f t="shared" si="0"/>
        <v/>
      </c>
      <c r="C8" s="8" t="str">
        <f t="shared" si="1"/>
        <v/>
      </c>
      <c r="D8" s="37" t="str">
        <f t="shared" si="2"/>
        <v/>
      </c>
      <c r="E8" s="31" t="str">
        <f t="shared" si="3"/>
        <v/>
      </c>
      <c r="F8" s="32" t="str">
        <f t="shared" si="4"/>
        <v/>
      </c>
      <c r="G8" s="32" t="str">
        <f t="shared" si="5"/>
        <v/>
      </c>
      <c r="H8" s="32" t="str">
        <f t="shared" si="6"/>
        <v/>
      </c>
      <c r="I8" s="32" t="str">
        <f t="shared" si="7"/>
        <v/>
      </c>
      <c r="J8" s="46" t="str">
        <f t="shared" si="8"/>
        <v/>
      </c>
      <c r="K8" s="32" t="str">
        <f t="shared" si="9"/>
        <v/>
      </c>
      <c r="L8" s="32" t="str">
        <f t="shared" si="10"/>
        <v/>
      </c>
      <c r="M8" s="32" t="str">
        <f t="shared" si="11"/>
        <v/>
      </c>
      <c r="N8" s="32" t="str">
        <f t="shared" si="12"/>
        <v/>
      </c>
      <c r="O8" s="32" t="str">
        <f t="shared" si="13"/>
        <v/>
      </c>
      <c r="Q8" t="str">
        <f>IFERROR(MATCH(4,บันทึกรายเที่ยว!$Z$6:$Z$10005,0),"")</f>
        <v/>
      </c>
      <c r="R8" t="str">
        <f>IF($Q8="","",INDEX(บันทึกรายเที่ยว!$V$6:$V$10005,$Q8))</f>
        <v/>
      </c>
      <c r="S8" t="str">
        <f>IF($Q8="","",INDEX(บันทึกรายเที่ยว!$F$6:$F$10005,$Q8))</f>
        <v/>
      </c>
      <c r="T8" t="str">
        <f>IF($Q8="","",MATCH($S8,บันทึกรายเที่ยว!$F$6:$F$10005,0))</f>
        <v/>
      </c>
      <c r="U8" t="str">
        <f>IF($Q8="","",$AL8*10000000+$T8*1000+4)</f>
        <v/>
      </c>
      <c r="V8" t="str">
        <f>IFERROR(MATCH(SMALL($U$5:$U$404,4),$U$5:$U$404,0),"")</f>
        <v/>
      </c>
      <c r="W8" t="str">
        <f t="shared" si="14"/>
        <v/>
      </c>
      <c r="X8" t="str">
        <f t="shared" si="15"/>
        <v/>
      </c>
      <c r="Y8" t="str">
        <f t="shared" si="16"/>
        <v/>
      </c>
      <c r="Z8">
        <f t="shared" si="26"/>
        <v>0</v>
      </c>
      <c r="AA8">
        <f t="shared" si="17"/>
        <v>0</v>
      </c>
      <c r="AB8">
        <f>IF($V8="",99999+4,$AB7+1+$Z7+$AA7+$AO7)</f>
        <v>100003</v>
      </c>
      <c r="AC8" t="str">
        <f>IFERROR(MATCH(4,$AB$5:$AB$404,1),"")</f>
        <v/>
      </c>
      <c r="AD8" t="str">
        <f>IF(4=$AI$1+1,"Z",IF($AC8="","",IF(INDEX($V$5:$V$404,$AC8)="","",IF(4&gt;INDEX($AB$5:$AB$404,$AC8)+INDEX($Z$5:$Z$404,$AC8)+INDEX($AA$5:$AA$404,$AC8)+INDEX($AO$5:$AO$404,$AC8),"",IF(4=INDEX($AB$5:$AB$404,$AC8)+INDEX($Z$5:$Z$404,$AC8),"D",IF(AND(INDEX($Z$5:$Z$404,$AC8)=1,4=INDEX($AB$5:$AB$404,$AC8)),"H",IF(AND(INDEX($AO$5:$AO$404,$AC8)=1,4=INDEX($AB$5:$AB$404,$AC8)+INDEX($Z$5:$Z$404,$AC8)+INDEX($AA$5:$AA$404,$AC8)+INDEX($AO$5:$AO$404,$AC8)),"B","T")))))))</f>
        <v/>
      </c>
      <c r="AF8" t="str">
        <f t="shared" si="18"/>
        <v/>
      </c>
      <c r="AJ8">
        <f>IF($AD8&lt;&gt;"T",0,ROUND(SUMIF(oil!$B$4:$B$63,$AF8,oil!$AE$4:$AE$63),2))</f>
        <v>0</v>
      </c>
      <c r="AK8" t="str">
        <f>IF($S8="","",IFERROR(INDEX(อัตราค่าขนส่ง!$R$5:$R$54,MATCH($S8,อัตราค่าขนส่ง!$Q$5:$Q$54,0)),INDEX(รายการมาตรฐาน!$G$2:$G$3,1)))</f>
        <v/>
      </c>
      <c r="AL8" t="str">
        <f>IF($S8="","",IFERROR(MATCH($AK8,รายการมาตรฐาน!$G$2:$G$3,0),1))</f>
        <v/>
      </c>
      <c r="AM8" t="str">
        <f t="shared" si="19"/>
        <v/>
      </c>
      <c r="AN8" t="str">
        <f t="shared" si="20"/>
        <v/>
      </c>
      <c r="AO8">
        <f t="shared" si="21"/>
        <v>0</v>
      </c>
      <c r="AP8">
        <f t="shared" si="27"/>
        <v>0</v>
      </c>
      <c r="AQ8" t="str">
        <f t="shared" si="22"/>
        <v/>
      </c>
      <c r="AR8">
        <f>IF($Y8="",0,COUNTIF(บันทึกรายเที่ยว!$V$6:$V$10005,$Y8))</f>
        <v>0</v>
      </c>
      <c r="AS8">
        <f>IF($Y8="",0,ROUND(SUMIF(บันทึกรายเที่ยว!$V$6:$V$10005,$Y8,บันทึกรายเที่ยว!$M$6:$M$10005),2))</f>
        <v>0</v>
      </c>
      <c r="AT8">
        <f>IF($Y8="",0,IFERROR(INDEX(อัตราค่าขนส่ง!$J$5:$J$204,MATCH($Y8,อัตราค่าขนส่ง!$O$5:$O$204,0)),0))</f>
        <v>0</v>
      </c>
      <c r="AU8">
        <f t="shared" si="23"/>
        <v>0</v>
      </c>
      <c r="AV8">
        <f t="shared" si="24"/>
        <v>0</v>
      </c>
      <c r="AW8" t="str">
        <f>IF($Y8="","",IFERROR(INDEX(อัตราค่าขนส่ง!$F$5:$F$204,MATCH($Y8,อัตราค่าขนส่ง!$O$5:$O$204,0)),""))</f>
        <v/>
      </c>
      <c r="AX8" t="str">
        <f>IF($W8="","",INDEX(บันทึกรายเที่ยว!$D$6:$D$10005,$W8))</f>
        <v/>
      </c>
      <c r="AY8" t="str">
        <f>IF($W8="","",INDEX(บันทึกรายเที่ยว!$R$6:$R$10005,$W8))</f>
        <v/>
      </c>
      <c r="AZ8">
        <f t="shared" si="25"/>
        <v>0</v>
      </c>
      <c r="BA8" t="str">
        <f>IF($W8="","",INDEX(บันทึกรายเที่ยว!$E$6:$E$10005,$W8))</f>
        <v/>
      </c>
      <c r="BC8">
        <f>IF($Y8="",0,IFERROR(INDEX(อัตราค่าขนส่ง!$M$5:$M$204,MATCH($Y8,อัตราค่าขนส่ง!$O$5:$O$204,0)),0))</f>
        <v>0</v>
      </c>
      <c r="BD8">
        <f>IF($Y8="",0,IFERROR(INDEX(อัตราค่าขนส่ง!$N$5:$N$204,MATCH($Y8,อัตราค่าขนส่ง!$O$5:$O$204,0)),0))</f>
        <v>0</v>
      </c>
      <c r="BF8" s="17" t="str">
        <f>IF(ROUND(SUMIF($AD$5:$AD$704,"D",$F$5:$F$704),2)=ROUND(SUM(บันทึกรายเที่ยว!$M$6:$M$10005),2),"ยอดตันตรงกับรายเที่ยว","*** ยอดไม่ตรง ***")</f>
        <v>ยอดตันตรงกับรายเที่ยว</v>
      </c>
    </row>
    <row r="9" spans="1:58" ht="21" customHeight="1" x14ac:dyDescent="0.95">
      <c r="A9" s="36" t="str">
        <f>IF($AD9="","",IF($AD9="Z","รวมจ่ายทั้งสิ้น",IF($AD9="H",INDEX($X$5:$X$404,$AC9),IF($AD9="T","รวม",IF($AD9="B",IFERROR(INDEX(อัตราค่าขนส่ง!$U$5:$U$14,MATCH(INDEX($AM$5:$AM$404,$AC9),อัตราค่าขนส่ง!$T$5:$T$14,0)),"รวมกลุ่ม "&amp;INDEX($AM$5:$AM$404,$AC9)),INDEX($AY$5:$AY$404,$AC9))))))</f>
        <v/>
      </c>
      <c r="B9" s="31" t="str">
        <f t="shared" si="0"/>
        <v/>
      </c>
      <c r="C9" s="8" t="str">
        <f t="shared" si="1"/>
        <v/>
      </c>
      <c r="D9" s="37" t="str">
        <f t="shared" si="2"/>
        <v/>
      </c>
      <c r="E9" s="31" t="str">
        <f t="shared" si="3"/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32" t="str">
        <f t="shared" si="7"/>
        <v/>
      </c>
      <c r="J9" s="46" t="str">
        <f t="shared" si="8"/>
        <v/>
      </c>
      <c r="K9" s="32" t="str">
        <f t="shared" si="9"/>
        <v/>
      </c>
      <c r="L9" s="32" t="str">
        <f t="shared" si="10"/>
        <v/>
      </c>
      <c r="M9" s="32" t="str">
        <f t="shared" si="11"/>
        <v/>
      </c>
      <c r="N9" s="32" t="str">
        <f t="shared" si="12"/>
        <v/>
      </c>
      <c r="O9" s="32" t="str">
        <f t="shared" si="13"/>
        <v/>
      </c>
      <c r="Q9" t="str">
        <f>IFERROR(MATCH(5,บันทึกรายเที่ยว!$Z$6:$Z$10005,0),"")</f>
        <v/>
      </c>
      <c r="R9" t="str">
        <f>IF($Q9="","",INDEX(บันทึกรายเที่ยว!$V$6:$V$10005,$Q9))</f>
        <v/>
      </c>
      <c r="S9" t="str">
        <f>IF($Q9="","",INDEX(บันทึกรายเที่ยว!$F$6:$F$10005,$Q9))</f>
        <v/>
      </c>
      <c r="T9" t="str">
        <f>IF($Q9="","",MATCH($S9,บันทึกรายเที่ยว!$F$6:$F$10005,0))</f>
        <v/>
      </c>
      <c r="U9" t="str">
        <f>IF($Q9="","",$AL9*10000000+$T9*1000+5)</f>
        <v/>
      </c>
      <c r="V9" t="str">
        <f>IFERROR(MATCH(SMALL($U$5:$U$404,5),$U$5:$U$404,0),"")</f>
        <v/>
      </c>
      <c r="W9" t="str">
        <f t="shared" si="14"/>
        <v/>
      </c>
      <c r="X9" t="str">
        <f t="shared" si="15"/>
        <v/>
      </c>
      <c r="Y9" t="str">
        <f t="shared" si="16"/>
        <v/>
      </c>
      <c r="Z9">
        <f t="shared" si="26"/>
        <v>0</v>
      </c>
      <c r="AA9">
        <f t="shared" si="17"/>
        <v>0</v>
      </c>
      <c r="AB9">
        <f>IF($V9="",99999+5,$AB8+1+$Z8+$AA8+$AO8)</f>
        <v>100004</v>
      </c>
      <c r="AC9" t="str">
        <f>IFERROR(MATCH(5,$AB$5:$AB$404,1),"")</f>
        <v/>
      </c>
      <c r="AD9" t="str">
        <f>IF(5=$AI$1+1,"Z",IF($AC9="","",IF(INDEX($V$5:$V$404,$AC9)="","",IF(5&gt;INDEX($AB$5:$AB$404,$AC9)+INDEX($Z$5:$Z$404,$AC9)+INDEX($AA$5:$AA$404,$AC9)+INDEX($AO$5:$AO$404,$AC9),"",IF(5=INDEX($AB$5:$AB$404,$AC9)+INDEX($Z$5:$Z$404,$AC9),"D",IF(AND(INDEX($Z$5:$Z$404,$AC9)=1,5=INDEX($AB$5:$AB$404,$AC9)),"H",IF(AND(INDEX($AO$5:$AO$404,$AC9)=1,5=INDEX($AB$5:$AB$404,$AC9)+INDEX($Z$5:$Z$404,$AC9)+INDEX($AA$5:$AA$404,$AC9)+INDEX($AO$5:$AO$404,$AC9)),"B","T")))))))</f>
        <v/>
      </c>
      <c r="AF9" t="str">
        <f t="shared" si="18"/>
        <v/>
      </c>
      <c r="AJ9">
        <f>IF($AD9&lt;&gt;"T",0,ROUND(SUMIF(oil!$B$4:$B$63,$AF9,oil!$AE$4:$AE$63),2))</f>
        <v>0</v>
      </c>
      <c r="AK9" t="str">
        <f>IF($S9="","",IFERROR(INDEX(อัตราค่าขนส่ง!$R$5:$R$54,MATCH($S9,อัตราค่าขนส่ง!$Q$5:$Q$54,0)),INDEX(รายการมาตรฐาน!$G$2:$G$3,1)))</f>
        <v/>
      </c>
      <c r="AL9" t="str">
        <f>IF($S9="","",IFERROR(MATCH($AK9,รายการมาตรฐาน!$G$2:$G$3,0),1))</f>
        <v/>
      </c>
      <c r="AM9" t="str">
        <f t="shared" si="19"/>
        <v/>
      </c>
      <c r="AN9" t="str">
        <f t="shared" si="20"/>
        <v/>
      </c>
      <c r="AO9">
        <f t="shared" si="21"/>
        <v>0</v>
      </c>
      <c r="AP9">
        <f t="shared" si="27"/>
        <v>0</v>
      </c>
      <c r="AQ9" t="str">
        <f t="shared" si="22"/>
        <v/>
      </c>
      <c r="AR9">
        <f>IF($Y9="",0,COUNTIF(บันทึกรายเที่ยว!$V$6:$V$10005,$Y9))</f>
        <v>0</v>
      </c>
      <c r="AS9">
        <f>IF($Y9="",0,ROUND(SUMIF(บันทึกรายเที่ยว!$V$6:$V$10005,$Y9,บันทึกรายเที่ยว!$M$6:$M$10005),2))</f>
        <v>0</v>
      </c>
      <c r="AT9">
        <f>IF($Y9="",0,IFERROR(INDEX(อัตราค่าขนส่ง!$J$5:$J$204,MATCH($Y9,อัตราค่าขนส่ง!$O$5:$O$204,0)),0))</f>
        <v>0</v>
      </c>
      <c r="AU9">
        <f t="shared" si="23"/>
        <v>0</v>
      </c>
      <c r="AV9">
        <f t="shared" si="24"/>
        <v>0</v>
      </c>
      <c r="AW9" t="str">
        <f>IF($Y9="","",IFERROR(INDEX(อัตราค่าขนส่ง!$F$5:$F$204,MATCH($Y9,อัตราค่าขนส่ง!$O$5:$O$204,0)),""))</f>
        <v/>
      </c>
      <c r="AX9" t="str">
        <f>IF($W9="","",INDEX(บันทึกรายเที่ยว!$D$6:$D$10005,$W9))</f>
        <v/>
      </c>
      <c r="AY9" t="str">
        <f>IF($W9="","",INDEX(บันทึกรายเที่ยว!$R$6:$R$10005,$W9))</f>
        <v/>
      </c>
      <c r="AZ9">
        <f t="shared" si="25"/>
        <v>0</v>
      </c>
      <c r="BA9" t="str">
        <f>IF($W9="","",INDEX(บันทึกรายเที่ยว!$E$6:$E$10005,$W9))</f>
        <v/>
      </c>
      <c r="BC9">
        <f>IF($Y9="",0,IFERROR(INDEX(อัตราค่าขนส่ง!$M$5:$M$204,MATCH($Y9,อัตราค่าขนส่ง!$O$5:$O$204,0)),0))</f>
        <v>0</v>
      </c>
      <c r="BD9">
        <f>IF($Y9="",0,IFERROR(INDEX(อัตราค่าขนส่ง!$N$5:$N$204,MATCH($Y9,อัตราค่าขนส่ง!$O$5:$O$204,0)),0))</f>
        <v>0</v>
      </c>
      <c r="BF9" s="3" t="s">
        <v>192</v>
      </c>
    </row>
    <row r="10" spans="1:58" ht="21" customHeight="1" x14ac:dyDescent="0.95">
      <c r="A10" s="36" t="str">
        <f>IF($AD10="","",IF($AD10="Z","รวมจ่ายทั้งสิ้น",IF($AD10="H",INDEX($X$5:$X$404,$AC10),IF($AD10="T","รวม",IF($AD10="B",IFERROR(INDEX(อัตราค่าขนส่ง!$U$5:$U$14,MATCH(INDEX($AM$5:$AM$404,$AC10),อัตราค่าขนส่ง!$T$5:$T$14,0)),"รวมกลุ่ม "&amp;INDEX($AM$5:$AM$404,$AC10)),INDEX($AY$5:$AY$404,$AC10))))))</f>
        <v/>
      </c>
      <c r="B10" s="31" t="str">
        <f t="shared" si="0"/>
        <v/>
      </c>
      <c r="C10" s="8" t="str">
        <f t="shared" si="1"/>
        <v/>
      </c>
      <c r="D10" s="37" t="str">
        <f t="shared" si="2"/>
        <v/>
      </c>
      <c r="E10" s="31" t="str">
        <f t="shared" si="3"/>
        <v/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2" t="str">
        <f t="shared" si="7"/>
        <v/>
      </c>
      <c r="J10" s="46" t="str">
        <f t="shared" si="8"/>
        <v/>
      </c>
      <c r="K10" s="32" t="str">
        <f t="shared" si="9"/>
        <v/>
      </c>
      <c r="L10" s="32" t="str">
        <f t="shared" si="10"/>
        <v/>
      </c>
      <c r="M10" s="32" t="str">
        <f t="shared" si="11"/>
        <v/>
      </c>
      <c r="N10" s="32" t="str">
        <f t="shared" si="12"/>
        <v/>
      </c>
      <c r="O10" s="32" t="str">
        <f t="shared" si="13"/>
        <v/>
      </c>
      <c r="Q10" t="str">
        <f>IFERROR(MATCH(6,บันทึกรายเที่ยว!$Z$6:$Z$10005,0),"")</f>
        <v/>
      </c>
      <c r="R10" t="str">
        <f>IF($Q10="","",INDEX(บันทึกรายเที่ยว!$V$6:$V$10005,$Q10))</f>
        <v/>
      </c>
      <c r="S10" t="str">
        <f>IF($Q10="","",INDEX(บันทึกรายเที่ยว!$F$6:$F$10005,$Q10))</f>
        <v/>
      </c>
      <c r="T10" t="str">
        <f>IF($Q10="","",MATCH($S10,บันทึกรายเที่ยว!$F$6:$F$10005,0))</f>
        <v/>
      </c>
      <c r="U10" t="str">
        <f>IF($Q10="","",$AL10*10000000+$T10*1000+6)</f>
        <v/>
      </c>
      <c r="V10" t="str">
        <f>IFERROR(MATCH(SMALL($U$5:$U$404,6),$U$5:$U$404,0),"")</f>
        <v/>
      </c>
      <c r="W10" t="str">
        <f t="shared" si="14"/>
        <v/>
      </c>
      <c r="X10" t="str">
        <f t="shared" si="15"/>
        <v/>
      </c>
      <c r="Y10" t="str">
        <f t="shared" si="16"/>
        <v/>
      </c>
      <c r="Z10">
        <f t="shared" si="26"/>
        <v>0</v>
      </c>
      <c r="AA10">
        <f t="shared" si="17"/>
        <v>0</v>
      </c>
      <c r="AB10">
        <f>IF($V10="",99999+6,$AB9+1+$Z9+$AA9+$AO9)</f>
        <v>100005</v>
      </c>
      <c r="AC10" t="str">
        <f>IFERROR(MATCH(6,$AB$5:$AB$404,1),"")</f>
        <v/>
      </c>
      <c r="AD10" t="str">
        <f>IF(6=$AI$1+1,"Z",IF($AC10="","",IF(INDEX($V$5:$V$404,$AC10)="","",IF(6&gt;INDEX($AB$5:$AB$404,$AC10)+INDEX($Z$5:$Z$404,$AC10)+INDEX($AA$5:$AA$404,$AC10)+INDEX($AO$5:$AO$404,$AC10),"",IF(6=INDEX($AB$5:$AB$404,$AC10)+INDEX($Z$5:$Z$404,$AC10),"D",IF(AND(INDEX($Z$5:$Z$404,$AC10)=1,6=INDEX($AB$5:$AB$404,$AC10)),"H",IF(AND(INDEX($AO$5:$AO$404,$AC10)=1,6=INDEX($AB$5:$AB$404,$AC10)+INDEX($Z$5:$Z$404,$AC10)+INDEX($AA$5:$AA$404,$AC10)+INDEX($AO$5:$AO$404,$AC10)),"B","T")))))))</f>
        <v/>
      </c>
      <c r="AF10" t="str">
        <f t="shared" si="18"/>
        <v/>
      </c>
      <c r="AJ10">
        <f>IF($AD10&lt;&gt;"T",0,ROUND(SUMIF(oil!$B$4:$B$63,$AF10,oil!$AE$4:$AE$63),2))</f>
        <v>0</v>
      </c>
      <c r="AK10" t="str">
        <f>IF($S10="","",IFERROR(INDEX(อัตราค่าขนส่ง!$R$5:$R$54,MATCH($S10,อัตราค่าขนส่ง!$Q$5:$Q$54,0)),INDEX(รายการมาตรฐาน!$G$2:$G$3,1)))</f>
        <v/>
      </c>
      <c r="AL10" t="str">
        <f>IF($S10="","",IFERROR(MATCH($AK10,รายการมาตรฐาน!$G$2:$G$3,0),1))</f>
        <v/>
      </c>
      <c r="AM10" t="str">
        <f t="shared" si="19"/>
        <v/>
      </c>
      <c r="AN10" t="str">
        <f t="shared" si="20"/>
        <v/>
      </c>
      <c r="AO10">
        <f t="shared" si="21"/>
        <v>0</v>
      </c>
      <c r="AP10">
        <f t="shared" si="27"/>
        <v>0</v>
      </c>
      <c r="AQ10" t="str">
        <f t="shared" si="22"/>
        <v/>
      </c>
      <c r="AR10">
        <f>IF($Y10="",0,COUNTIF(บันทึกรายเที่ยว!$V$6:$V$10005,$Y10))</f>
        <v>0</v>
      </c>
      <c r="AS10">
        <f>IF($Y10="",0,ROUND(SUMIF(บันทึกรายเที่ยว!$V$6:$V$10005,$Y10,บันทึกรายเที่ยว!$M$6:$M$10005),2))</f>
        <v>0</v>
      </c>
      <c r="AT10">
        <f>IF($Y10="",0,IFERROR(INDEX(อัตราค่าขนส่ง!$J$5:$J$204,MATCH($Y10,อัตราค่าขนส่ง!$O$5:$O$204,0)),0))</f>
        <v>0</v>
      </c>
      <c r="AU10">
        <f t="shared" si="23"/>
        <v>0</v>
      </c>
      <c r="AV10">
        <f t="shared" si="24"/>
        <v>0</v>
      </c>
      <c r="AW10" t="str">
        <f>IF($Y10="","",IFERROR(INDEX(อัตราค่าขนส่ง!$F$5:$F$204,MATCH($Y10,อัตราค่าขนส่ง!$O$5:$O$204,0)),""))</f>
        <v/>
      </c>
      <c r="AX10" t="str">
        <f>IF($W10="","",INDEX(บันทึกรายเที่ยว!$D$6:$D$10005,$W10))</f>
        <v/>
      </c>
      <c r="AY10" t="str">
        <f>IF($W10="","",INDEX(บันทึกรายเที่ยว!$R$6:$R$10005,$W10))</f>
        <v/>
      </c>
      <c r="AZ10">
        <f t="shared" si="25"/>
        <v>0</v>
      </c>
      <c r="BA10" t="str">
        <f>IF($W10="","",INDEX(บันทึกรายเที่ยว!$E$6:$E$10005,$W10))</f>
        <v/>
      </c>
      <c r="BC10">
        <f>IF($Y10="",0,IFERROR(INDEX(อัตราค่าขนส่ง!$M$5:$M$204,MATCH($Y10,อัตราค่าขนส่ง!$O$5:$O$204,0)),0))</f>
        <v>0</v>
      </c>
      <c r="BD10">
        <f>IF($Y10="",0,IFERROR(INDEX(อัตราค่าขนส่ง!$N$5:$N$204,MATCH($Y10,อัตราค่าขนส่ง!$O$5:$O$204,0)),0))</f>
        <v>0</v>
      </c>
      <c r="BF10" s="40" t="str">
        <f>"A1:O"&amp;(5-1+$AI$1+1)</f>
        <v>A1:O5</v>
      </c>
    </row>
    <row r="11" spans="1:58" ht="21" customHeight="1" x14ac:dyDescent="0.95">
      <c r="A11" s="36" t="str">
        <f>IF($AD11="","",IF($AD11="Z","รวมจ่ายทั้งสิ้น",IF($AD11="H",INDEX($X$5:$X$404,$AC11),IF($AD11="T","รวม",IF($AD11="B",IFERROR(INDEX(อัตราค่าขนส่ง!$U$5:$U$14,MATCH(INDEX($AM$5:$AM$404,$AC11),อัตราค่าขนส่ง!$T$5:$T$14,0)),"รวมกลุ่ม "&amp;INDEX($AM$5:$AM$404,$AC11)),INDEX($AY$5:$AY$404,$AC11))))))</f>
        <v/>
      </c>
      <c r="B11" s="31" t="str">
        <f t="shared" si="0"/>
        <v/>
      </c>
      <c r="C11" s="8" t="str">
        <f t="shared" si="1"/>
        <v/>
      </c>
      <c r="D11" s="37" t="str">
        <f t="shared" si="2"/>
        <v/>
      </c>
      <c r="E11" s="31" t="str">
        <f t="shared" si="3"/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32" t="str">
        <f t="shared" si="7"/>
        <v/>
      </c>
      <c r="J11" s="46" t="str">
        <f t="shared" si="8"/>
        <v/>
      </c>
      <c r="K11" s="32" t="str">
        <f t="shared" si="9"/>
        <v/>
      </c>
      <c r="L11" s="32" t="str">
        <f t="shared" si="10"/>
        <v/>
      </c>
      <c r="M11" s="32" t="str">
        <f t="shared" si="11"/>
        <v/>
      </c>
      <c r="N11" s="32" t="str">
        <f t="shared" si="12"/>
        <v/>
      </c>
      <c r="O11" s="32" t="str">
        <f t="shared" si="13"/>
        <v/>
      </c>
      <c r="Q11" t="str">
        <f>IFERROR(MATCH(7,บันทึกรายเที่ยว!$Z$6:$Z$10005,0),"")</f>
        <v/>
      </c>
      <c r="R11" t="str">
        <f>IF($Q11="","",INDEX(บันทึกรายเที่ยว!$V$6:$V$10005,$Q11))</f>
        <v/>
      </c>
      <c r="S11" t="str">
        <f>IF($Q11="","",INDEX(บันทึกรายเที่ยว!$F$6:$F$10005,$Q11))</f>
        <v/>
      </c>
      <c r="T11" t="str">
        <f>IF($Q11="","",MATCH($S11,บันทึกรายเที่ยว!$F$6:$F$10005,0))</f>
        <v/>
      </c>
      <c r="U11" t="str">
        <f>IF($Q11="","",$AL11*10000000+$T11*1000+7)</f>
        <v/>
      </c>
      <c r="V11" t="str">
        <f>IFERROR(MATCH(SMALL($U$5:$U$404,7),$U$5:$U$404,0),"")</f>
        <v/>
      </c>
      <c r="W11" t="str">
        <f t="shared" si="14"/>
        <v/>
      </c>
      <c r="X11" t="str">
        <f t="shared" si="15"/>
        <v/>
      </c>
      <c r="Y11" t="str">
        <f t="shared" si="16"/>
        <v/>
      </c>
      <c r="Z11">
        <f t="shared" si="26"/>
        <v>0</v>
      </c>
      <c r="AA11">
        <f t="shared" si="17"/>
        <v>0</v>
      </c>
      <c r="AB11">
        <f>IF($V11="",99999+7,$AB10+1+$Z10+$AA10+$AO10)</f>
        <v>100006</v>
      </c>
      <c r="AC11" t="str">
        <f>IFERROR(MATCH(7,$AB$5:$AB$404,1),"")</f>
        <v/>
      </c>
      <c r="AD11" t="str">
        <f>IF(7=$AI$1+1,"Z",IF($AC11="","",IF(INDEX($V$5:$V$404,$AC11)="","",IF(7&gt;INDEX($AB$5:$AB$404,$AC11)+INDEX($Z$5:$Z$404,$AC11)+INDEX($AA$5:$AA$404,$AC11)+INDEX($AO$5:$AO$404,$AC11),"",IF(7=INDEX($AB$5:$AB$404,$AC11)+INDEX($Z$5:$Z$404,$AC11),"D",IF(AND(INDEX($Z$5:$Z$404,$AC11)=1,7=INDEX($AB$5:$AB$404,$AC11)),"H",IF(AND(INDEX($AO$5:$AO$404,$AC11)=1,7=INDEX($AB$5:$AB$404,$AC11)+INDEX($Z$5:$Z$404,$AC11)+INDEX($AA$5:$AA$404,$AC11)+INDEX($AO$5:$AO$404,$AC11)),"B","T")))))))</f>
        <v/>
      </c>
      <c r="AF11" t="str">
        <f t="shared" si="18"/>
        <v/>
      </c>
      <c r="AJ11">
        <f>IF($AD11&lt;&gt;"T",0,ROUND(SUMIF(oil!$B$4:$B$63,$AF11,oil!$AE$4:$AE$63),2))</f>
        <v>0</v>
      </c>
      <c r="AK11" t="str">
        <f>IF($S11="","",IFERROR(INDEX(อัตราค่าขนส่ง!$R$5:$R$54,MATCH($S11,อัตราค่าขนส่ง!$Q$5:$Q$54,0)),INDEX(รายการมาตรฐาน!$G$2:$G$3,1)))</f>
        <v/>
      </c>
      <c r="AL11" t="str">
        <f>IF($S11="","",IFERROR(MATCH($AK11,รายการมาตรฐาน!$G$2:$G$3,0),1))</f>
        <v/>
      </c>
      <c r="AM11" t="str">
        <f t="shared" si="19"/>
        <v/>
      </c>
      <c r="AN11" t="str">
        <f t="shared" si="20"/>
        <v/>
      </c>
      <c r="AO11">
        <f t="shared" si="21"/>
        <v>0</v>
      </c>
      <c r="AP11">
        <f t="shared" si="27"/>
        <v>0</v>
      </c>
      <c r="AQ11" t="str">
        <f t="shared" si="22"/>
        <v/>
      </c>
      <c r="AR11">
        <f>IF($Y11="",0,COUNTIF(บันทึกรายเที่ยว!$V$6:$V$10005,$Y11))</f>
        <v>0</v>
      </c>
      <c r="AS11">
        <f>IF($Y11="",0,ROUND(SUMIF(บันทึกรายเที่ยว!$V$6:$V$10005,$Y11,บันทึกรายเที่ยว!$M$6:$M$10005),2))</f>
        <v>0</v>
      </c>
      <c r="AT11">
        <f>IF($Y11="",0,IFERROR(INDEX(อัตราค่าขนส่ง!$J$5:$J$204,MATCH($Y11,อัตราค่าขนส่ง!$O$5:$O$204,0)),0))</f>
        <v>0</v>
      </c>
      <c r="AU11">
        <f t="shared" si="23"/>
        <v>0</v>
      </c>
      <c r="AV11">
        <f t="shared" si="24"/>
        <v>0</v>
      </c>
      <c r="AW11" t="str">
        <f>IF($Y11="","",IFERROR(INDEX(อัตราค่าขนส่ง!$F$5:$F$204,MATCH($Y11,อัตราค่าขนส่ง!$O$5:$O$204,0)),""))</f>
        <v/>
      </c>
      <c r="AX11" t="str">
        <f>IF($W11="","",INDEX(บันทึกรายเที่ยว!$D$6:$D$10005,$W11))</f>
        <v/>
      </c>
      <c r="AY11" t="str">
        <f>IF($W11="","",INDEX(บันทึกรายเที่ยว!$R$6:$R$10005,$W11))</f>
        <v/>
      </c>
      <c r="AZ11">
        <f t="shared" si="25"/>
        <v>0</v>
      </c>
      <c r="BA11" t="str">
        <f>IF($W11="","",INDEX(บันทึกรายเที่ยว!$E$6:$E$10005,$W11))</f>
        <v/>
      </c>
      <c r="BC11">
        <f>IF($Y11="",0,IFERROR(INDEX(อัตราค่าขนส่ง!$M$5:$M$204,MATCH($Y11,อัตราค่าขนส่ง!$O$5:$O$204,0)),0))</f>
        <v>0</v>
      </c>
      <c r="BD11">
        <f>IF($Y11="",0,IFERROR(INDEX(อัตราค่าขนส่ง!$N$5:$N$204,MATCH($Y11,อัตราค่าขนส่ง!$O$5:$O$204,0)),0))</f>
        <v>0</v>
      </c>
      <c r="BF11" s="3" t="s">
        <v>193</v>
      </c>
    </row>
    <row r="12" spans="1:58" ht="21" customHeight="1" x14ac:dyDescent="0.95">
      <c r="A12" s="36" t="str">
        <f>IF($AD12="","",IF($AD12="Z","รวมจ่ายทั้งสิ้น",IF($AD12="H",INDEX($X$5:$X$404,$AC12),IF($AD12="T","รวม",IF($AD12="B",IFERROR(INDEX(อัตราค่าขนส่ง!$U$5:$U$14,MATCH(INDEX($AM$5:$AM$404,$AC12),อัตราค่าขนส่ง!$T$5:$T$14,0)),"รวมกลุ่ม "&amp;INDEX($AM$5:$AM$404,$AC12)),INDEX($AY$5:$AY$404,$AC12))))))</f>
        <v/>
      </c>
      <c r="B12" s="31" t="str">
        <f t="shared" si="0"/>
        <v/>
      </c>
      <c r="C12" s="8" t="str">
        <f t="shared" si="1"/>
        <v/>
      </c>
      <c r="D12" s="37" t="str">
        <f t="shared" si="2"/>
        <v/>
      </c>
      <c r="E12" s="31" t="str">
        <f t="shared" si="3"/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2" t="str">
        <f t="shared" si="7"/>
        <v/>
      </c>
      <c r="J12" s="46" t="str">
        <f t="shared" si="8"/>
        <v/>
      </c>
      <c r="K12" s="32" t="str">
        <f t="shared" si="9"/>
        <v/>
      </c>
      <c r="L12" s="32" t="str">
        <f t="shared" si="10"/>
        <v/>
      </c>
      <c r="M12" s="32" t="str">
        <f t="shared" si="11"/>
        <v/>
      </c>
      <c r="N12" s="32" t="str">
        <f t="shared" si="12"/>
        <v/>
      </c>
      <c r="O12" s="32" t="str">
        <f t="shared" si="13"/>
        <v/>
      </c>
      <c r="Q12" t="str">
        <f>IFERROR(MATCH(8,บันทึกรายเที่ยว!$Z$6:$Z$10005,0),"")</f>
        <v/>
      </c>
      <c r="R12" t="str">
        <f>IF($Q12="","",INDEX(บันทึกรายเที่ยว!$V$6:$V$10005,$Q12))</f>
        <v/>
      </c>
      <c r="S12" t="str">
        <f>IF($Q12="","",INDEX(บันทึกรายเที่ยว!$F$6:$F$10005,$Q12))</f>
        <v/>
      </c>
      <c r="T12" t="str">
        <f>IF($Q12="","",MATCH($S12,บันทึกรายเที่ยว!$F$6:$F$10005,0))</f>
        <v/>
      </c>
      <c r="U12" t="str">
        <f>IF($Q12="","",$AL12*10000000+$T12*1000+8)</f>
        <v/>
      </c>
      <c r="V12" t="str">
        <f>IFERROR(MATCH(SMALL($U$5:$U$404,8),$U$5:$U$404,0),"")</f>
        <v/>
      </c>
      <c r="W12" t="str">
        <f t="shared" si="14"/>
        <v/>
      </c>
      <c r="X12" t="str">
        <f t="shared" si="15"/>
        <v/>
      </c>
      <c r="Y12" t="str">
        <f t="shared" si="16"/>
        <v/>
      </c>
      <c r="Z12">
        <f t="shared" si="26"/>
        <v>0</v>
      </c>
      <c r="AA12">
        <f t="shared" si="17"/>
        <v>0</v>
      </c>
      <c r="AB12">
        <f>IF($V12="",99999+8,$AB11+1+$Z11+$AA11+$AO11)</f>
        <v>100007</v>
      </c>
      <c r="AC12" t="str">
        <f>IFERROR(MATCH(8,$AB$5:$AB$404,1),"")</f>
        <v/>
      </c>
      <c r="AD12" t="str">
        <f>IF(8=$AI$1+1,"Z",IF($AC12="","",IF(INDEX($V$5:$V$404,$AC12)="","",IF(8&gt;INDEX($AB$5:$AB$404,$AC12)+INDEX($Z$5:$Z$404,$AC12)+INDEX($AA$5:$AA$404,$AC12)+INDEX($AO$5:$AO$404,$AC12),"",IF(8=INDEX($AB$5:$AB$404,$AC12)+INDEX($Z$5:$Z$404,$AC12),"D",IF(AND(INDEX($Z$5:$Z$404,$AC12)=1,8=INDEX($AB$5:$AB$404,$AC12)),"H",IF(AND(INDEX($AO$5:$AO$404,$AC12)=1,8=INDEX($AB$5:$AB$404,$AC12)+INDEX($Z$5:$Z$404,$AC12)+INDEX($AA$5:$AA$404,$AC12)+INDEX($AO$5:$AO$404,$AC12)),"B","T")))))))</f>
        <v/>
      </c>
      <c r="AF12" t="str">
        <f t="shared" si="18"/>
        <v/>
      </c>
      <c r="AJ12">
        <f>IF($AD12&lt;&gt;"T",0,ROUND(SUMIF(oil!$B$4:$B$63,$AF12,oil!$AE$4:$AE$63),2))</f>
        <v>0</v>
      </c>
      <c r="AK12" t="str">
        <f>IF($S12="","",IFERROR(INDEX(อัตราค่าขนส่ง!$R$5:$R$54,MATCH($S12,อัตราค่าขนส่ง!$Q$5:$Q$54,0)),INDEX(รายการมาตรฐาน!$G$2:$G$3,1)))</f>
        <v/>
      </c>
      <c r="AL12" t="str">
        <f>IF($S12="","",IFERROR(MATCH($AK12,รายการมาตรฐาน!$G$2:$G$3,0),1))</f>
        <v/>
      </c>
      <c r="AM12" t="str">
        <f t="shared" si="19"/>
        <v/>
      </c>
      <c r="AN12" t="str">
        <f t="shared" si="20"/>
        <v/>
      </c>
      <c r="AO12">
        <f t="shared" si="21"/>
        <v>0</v>
      </c>
      <c r="AP12">
        <f t="shared" si="27"/>
        <v>0</v>
      </c>
      <c r="AQ12" t="str">
        <f t="shared" si="22"/>
        <v/>
      </c>
      <c r="AR12">
        <f>IF($Y12="",0,COUNTIF(บันทึกรายเที่ยว!$V$6:$V$10005,$Y12))</f>
        <v>0</v>
      </c>
      <c r="AS12">
        <f>IF($Y12="",0,ROUND(SUMIF(บันทึกรายเที่ยว!$V$6:$V$10005,$Y12,บันทึกรายเที่ยว!$M$6:$M$10005),2))</f>
        <v>0</v>
      </c>
      <c r="AT12">
        <f>IF($Y12="",0,IFERROR(INDEX(อัตราค่าขนส่ง!$J$5:$J$204,MATCH($Y12,อัตราค่าขนส่ง!$O$5:$O$204,0)),0))</f>
        <v>0</v>
      </c>
      <c r="AU12">
        <f t="shared" si="23"/>
        <v>0</v>
      </c>
      <c r="AV12">
        <f t="shared" si="24"/>
        <v>0</v>
      </c>
      <c r="AW12" t="str">
        <f>IF($Y12="","",IFERROR(INDEX(อัตราค่าขนส่ง!$F$5:$F$204,MATCH($Y12,อัตราค่าขนส่ง!$O$5:$O$204,0)),""))</f>
        <v/>
      </c>
      <c r="AX12" t="str">
        <f>IF($W12="","",INDEX(บันทึกรายเที่ยว!$D$6:$D$10005,$W12))</f>
        <v/>
      </c>
      <c r="AY12" t="str">
        <f>IF($W12="","",INDEX(บันทึกรายเที่ยว!$R$6:$R$10005,$W12))</f>
        <v/>
      </c>
      <c r="AZ12">
        <f t="shared" si="25"/>
        <v>0</v>
      </c>
      <c r="BA12" t="str">
        <f>IF($W12="","",INDEX(บันทึกรายเที่ยว!$E$6:$E$10005,$W12))</f>
        <v/>
      </c>
      <c r="BC12">
        <f>IF($Y12="",0,IFERROR(INDEX(อัตราค่าขนส่ง!$M$5:$M$204,MATCH($Y12,อัตราค่าขนส่ง!$O$5:$O$204,0)),0))</f>
        <v>0</v>
      </c>
      <c r="BD12">
        <f>IF($Y12="",0,IFERROR(INDEX(อัตราค่าขนส่ง!$N$5:$N$204,MATCH($Y12,อัตราค่าขนส่ง!$O$5:$O$204,0)),0))</f>
        <v>0</v>
      </c>
      <c r="BF12" s="40">
        <f>$AI$2</f>
        <v>0</v>
      </c>
    </row>
    <row r="13" spans="1:58" ht="21" customHeight="1" x14ac:dyDescent="0.95">
      <c r="A13" s="36" t="str">
        <f>IF($AD13="","",IF($AD13="Z","รวมจ่ายทั้งสิ้น",IF($AD13="H",INDEX($X$5:$X$404,$AC13),IF($AD13="T","รวม",IF($AD13="B",IFERROR(INDEX(อัตราค่าขนส่ง!$U$5:$U$14,MATCH(INDEX($AM$5:$AM$404,$AC13),อัตราค่าขนส่ง!$T$5:$T$14,0)),"รวมกลุ่ม "&amp;INDEX($AM$5:$AM$404,$AC13)),INDEX($AY$5:$AY$404,$AC13))))))</f>
        <v/>
      </c>
      <c r="B13" s="31" t="str">
        <f t="shared" si="0"/>
        <v/>
      </c>
      <c r="C13" s="8" t="str">
        <f t="shared" si="1"/>
        <v/>
      </c>
      <c r="D13" s="37" t="str">
        <f t="shared" si="2"/>
        <v/>
      </c>
      <c r="E13" s="31" t="str">
        <f t="shared" si="3"/>
        <v/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32" t="str">
        <f t="shared" si="7"/>
        <v/>
      </c>
      <c r="J13" s="46" t="str">
        <f t="shared" si="8"/>
        <v/>
      </c>
      <c r="K13" s="32" t="str">
        <f t="shared" si="9"/>
        <v/>
      </c>
      <c r="L13" s="32" t="str">
        <f t="shared" si="10"/>
        <v/>
      </c>
      <c r="M13" s="32" t="str">
        <f t="shared" si="11"/>
        <v/>
      </c>
      <c r="N13" s="32" t="str">
        <f t="shared" si="12"/>
        <v/>
      </c>
      <c r="O13" s="32" t="str">
        <f t="shared" si="13"/>
        <v/>
      </c>
      <c r="Q13" t="str">
        <f>IFERROR(MATCH(9,บันทึกรายเที่ยว!$Z$6:$Z$10005,0),"")</f>
        <v/>
      </c>
      <c r="R13" t="str">
        <f>IF($Q13="","",INDEX(บันทึกรายเที่ยว!$V$6:$V$10005,$Q13))</f>
        <v/>
      </c>
      <c r="S13" t="str">
        <f>IF($Q13="","",INDEX(บันทึกรายเที่ยว!$F$6:$F$10005,$Q13))</f>
        <v/>
      </c>
      <c r="T13" t="str">
        <f>IF($Q13="","",MATCH($S13,บันทึกรายเที่ยว!$F$6:$F$10005,0))</f>
        <v/>
      </c>
      <c r="U13" t="str">
        <f>IF($Q13="","",$AL13*10000000+$T13*1000+9)</f>
        <v/>
      </c>
      <c r="V13" t="str">
        <f>IFERROR(MATCH(SMALL($U$5:$U$404,9),$U$5:$U$404,0),"")</f>
        <v/>
      </c>
      <c r="W13" t="str">
        <f t="shared" si="14"/>
        <v/>
      </c>
      <c r="X13" t="str">
        <f t="shared" si="15"/>
        <v/>
      </c>
      <c r="Y13" t="str">
        <f t="shared" si="16"/>
        <v/>
      </c>
      <c r="Z13">
        <f t="shared" si="26"/>
        <v>0</v>
      </c>
      <c r="AA13">
        <f t="shared" si="17"/>
        <v>0</v>
      </c>
      <c r="AB13">
        <f>IF($V13="",99999+9,$AB12+1+$Z12+$AA12+$AO12)</f>
        <v>100008</v>
      </c>
      <c r="AC13" t="str">
        <f>IFERROR(MATCH(9,$AB$5:$AB$404,1),"")</f>
        <v/>
      </c>
      <c r="AD13" t="str">
        <f>IF(9=$AI$1+1,"Z",IF($AC13="","",IF(INDEX($V$5:$V$404,$AC13)="","",IF(9&gt;INDEX($AB$5:$AB$404,$AC13)+INDEX($Z$5:$Z$404,$AC13)+INDEX($AA$5:$AA$404,$AC13)+INDEX($AO$5:$AO$404,$AC13),"",IF(9=INDEX($AB$5:$AB$404,$AC13)+INDEX($Z$5:$Z$404,$AC13),"D",IF(AND(INDEX($Z$5:$Z$404,$AC13)=1,9=INDEX($AB$5:$AB$404,$AC13)),"H",IF(AND(INDEX($AO$5:$AO$404,$AC13)=1,9=INDEX($AB$5:$AB$404,$AC13)+INDEX($Z$5:$Z$404,$AC13)+INDEX($AA$5:$AA$404,$AC13)+INDEX($AO$5:$AO$404,$AC13)),"B","T")))))))</f>
        <v/>
      </c>
      <c r="AF13" t="str">
        <f t="shared" si="18"/>
        <v/>
      </c>
      <c r="AJ13">
        <f>IF($AD13&lt;&gt;"T",0,ROUND(SUMIF(oil!$B$4:$B$63,$AF13,oil!$AE$4:$AE$63),2))</f>
        <v>0</v>
      </c>
      <c r="AK13" t="str">
        <f>IF($S13="","",IFERROR(INDEX(อัตราค่าขนส่ง!$R$5:$R$54,MATCH($S13,อัตราค่าขนส่ง!$Q$5:$Q$54,0)),INDEX(รายการมาตรฐาน!$G$2:$G$3,1)))</f>
        <v/>
      </c>
      <c r="AL13" t="str">
        <f>IF($S13="","",IFERROR(MATCH($AK13,รายการมาตรฐาน!$G$2:$G$3,0),1))</f>
        <v/>
      </c>
      <c r="AM13" t="str">
        <f t="shared" si="19"/>
        <v/>
      </c>
      <c r="AN13" t="str">
        <f t="shared" si="20"/>
        <v/>
      </c>
      <c r="AO13">
        <f t="shared" si="21"/>
        <v>0</v>
      </c>
      <c r="AP13">
        <f t="shared" si="27"/>
        <v>0</v>
      </c>
      <c r="AQ13" t="str">
        <f t="shared" si="22"/>
        <v/>
      </c>
      <c r="AR13">
        <f>IF($Y13="",0,COUNTIF(บันทึกรายเที่ยว!$V$6:$V$10005,$Y13))</f>
        <v>0</v>
      </c>
      <c r="AS13">
        <f>IF($Y13="",0,ROUND(SUMIF(บันทึกรายเที่ยว!$V$6:$V$10005,$Y13,บันทึกรายเที่ยว!$M$6:$M$10005),2))</f>
        <v>0</v>
      </c>
      <c r="AT13">
        <f>IF($Y13="",0,IFERROR(INDEX(อัตราค่าขนส่ง!$J$5:$J$204,MATCH($Y13,อัตราค่าขนส่ง!$O$5:$O$204,0)),0))</f>
        <v>0</v>
      </c>
      <c r="AU13">
        <f t="shared" si="23"/>
        <v>0</v>
      </c>
      <c r="AV13">
        <f t="shared" si="24"/>
        <v>0</v>
      </c>
      <c r="AW13" t="str">
        <f>IF($Y13="","",IFERROR(INDEX(อัตราค่าขนส่ง!$F$5:$F$204,MATCH($Y13,อัตราค่าขนส่ง!$O$5:$O$204,0)),""))</f>
        <v/>
      </c>
      <c r="AX13" t="str">
        <f>IF($W13="","",INDEX(บันทึกรายเที่ยว!$D$6:$D$10005,$W13))</f>
        <v/>
      </c>
      <c r="AY13" t="str">
        <f>IF($W13="","",INDEX(บันทึกรายเที่ยว!$R$6:$R$10005,$W13))</f>
        <v/>
      </c>
      <c r="AZ13">
        <f t="shared" si="25"/>
        <v>0</v>
      </c>
      <c r="BA13" t="str">
        <f>IF($W13="","",INDEX(บันทึกรายเที่ยว!$E$6:$E$10005,$W13))</f>
        <v/>
      </c>
      <c r="BC13">
        <f>IF($Y13="",0,IFERROR(INDEX(อัตราค่าขนส่ง!$M$5:$M$204,MATCH($Y13,อัตราค่าขนส่ง!$O$5:$O$204,0)),0))</f>
        <v>0</v>
      </c>
      <c r="BD13">
        <f>IF($Y13="",0,IFERROR(INDEX(อัตราค่าขนส่ง!$N$5:$N$204,MATCH($Y13,อัตราค่าขนส่ง!$O$5:$O$204,0)),0))</f>
        <v>0</v>
      </c>
    </row>
    <row r="14" spans="1:58" ht="21" customHeight="1" x14ac:dyDescent="0.95">
      <c r="A14" s="36" t="str">
        <f>IF($AD14="","",IF($AD14="Z","รวมจ่ายทั้งสิ้น",IF($AD14="H",INDEX($X$5:$X$404,$AC14),IF($AD14="T","รวม",IF($AD14="B",IFERROR(INDEX(อัตราค่าขนส่ง!$U$5:$U$14,MATCH(INDEX($AM$5:$AM$404,$AC14),อัตราค่าขนส่ง!$T$5:$T$14,0)),"รวมกลุ่ม "&amp;INDEX($AM$5:$AM$404,$AC14)),INDEX($AY$5:$AY$404,$AC14))))))</f>
        <v/>
      </c>
      <c r="B14" s="31" t="str">
        <f t="shared" si="0"/>
        <v/>
      </c>
      <c r="C14" s="8" t="str">
        <f t="shared" si="1"/>
        <v/>
      </c>
      <c r="D14" s="37" t="str">
        <f t="shared" si="2"/>
        <v/>
      </c>
      <c r="E14" s="31" t="str">
        <f t="shared" si="3"/>
        <v/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2" t="str">
        <f t="shared" si="7"/>
        <v/>
      </c>
      <c r="J14" s="46" t="str">
        <f t="shared" si="8"/>
        <v/>
      </c>
      <c r="K14" s="32" t="str">
        <f t="shared" si="9"/>
        <v/>
      </c>
      <c r="L14" s="32" t="str">
        <f t="shared" si="10"/>
        <v/>
      </c>
      <c r="M14" s="32" t="str">
        <f t="shared" si="11"/>
        <v/>
      </c>
      <c r="N14" s="32" t="str">
        <f t="shared" si="12"/>
        <v/>
      </c>
      <c r="O14" s="32" t="str">
        <f t="shared" si="13"/>
        <v/>
      </c>
      <c r="Q14" t="str">
        <f>IFERROR(MATCH(10,บันทึกรายเที่ยว!$Z$6:$Z$10005,0),"")</f>
        <v/>
      </c>
      <c r="R14" t="str">
        <f>IF($Q14="","",INDEX(บันทึกรายเที่ยว!$V$6:$V$10005,$Q14))</f>
        <v/>
      </c>
      <c r="S14" t="str">
        <f>IF($Q14="","",INDEX(บันทึกรายเที่ยว!$F$6:$F$10005,$Q14))</f>
        <v/>
      </c>
      <c r="T14" t="str">
        <f>IF($Q14="","",MATCH($S14,บันทึกรายเที่ยว!$F$6:$F$10005,0))</f>
        <v/>
      </c>
      <c r="U14" t="str">
        <f>IF($Q14="","",$AL14*10000000+$T14*1000+10)</f>
        <v/>
      </c>
      <c r="V14" t="str">
        <f>IFERROR(MATCH(SMALL($U$5:$U$404,10),$U$5:$U$404,0),"")</f>
        <v/>
      </c>
      <c r="W14" t="str">
        <f t="shared" si="14"/>
        <v/>
      </c>
      <c r="X14" t="str">
        <f t="shared" si="15"/>
        <v/>
      </c>
      <c r="Y14" t="str">
        <f t="shared" si="16"/>
        <v/>
      </c>
      <c r="Z14">
        <f t="shared" si="26"/>
        <v>0</v>
      </c>
      <c r="AA14">
        <f t="shared" si="17"/>
        <v>0</v>
      </c>
      <c r="AB14">
        <f>IF($V14="",99999+10,$AB13+1+$Z13+$AA13+$AO13)</f>
        <v>100009</v>
      </c>
      <c r="AC14" t="str">
        <f>IFERROR(MATCH(10,$AB$5:$AB$404,1),"")</f>
        <v/>
      </c>
      <c r="AD14" t="str">
        <f>IF(10=$AI$1+1,"Z",IF($AC14="","",IF(INDEX($V$5:$V$404,$AC14)="","",IF(10&gt;INDEX($AB$5:$AB$404,$AC14)+INDEX($Z$5:$Z$404,$AC14)+INDEX($AA$5:$AA$404,$AC14)+INDEX($AO$5:$AO$404,$AC14),"",IF(10=INDEX($AB$5:$AB$404,$AC14)+INDEX($Z$5:$Z$404,$AC14),"D",IF(AND(INDEX($Z$5:$Z$404,$AC14)=1,10=INDEX($AB$5:$AB$404,$AC14)),"H",IF(AND(INDEX($AO$5:$AO$404,$AC14)=1,10=INDEX($AB$5:$AB$404,$AC14)+INDEX($Z$5:$Z$404,$AC14)+INDEX($AA$5:$AA$404,$AC14)+INDEX($AO$5:$AO$404,$AC14)),"B","T")))))))</f>
        <v/>
      </c>
      <c r="AF14" t="str">
        <f t="shared" si="18"/>
        <v/>
      </c>
      <c r="AJ14">
        <f>IF($AD14&lt;&gt;"T",0,ROUND(SUMIF(oil!$B$4:$B$63,$AF14,oil!$AE$4:$AE$63),2))</f>
        <v>0</v>
      </c>
      <c r="AK14" t="str">
        <f>IF($S14="","",IFERROR(INDEX(อัตราค่าขนส่ง!$R$5:$R$54,MATCH($S14,อัตราค่าขนส่ง!$Q$5:$Q$54,0)),INDEX(รายการมาตรฐาน!$G$2:$G$3,1)))</f>
        <v/>
      </c>
      <c r="AL14" t="str">
        <f>IF($S14="","",IFERROR(MATCH($AK14,รายการมาตรฐาน!$G$2:$G$3,0),1))</f>
        <v/>
      </c>
      <c r="AM14" t="str">
        <f t="shared" si="19"/>
        <v/>
      </c>
      <c r="AN14" t="str">
        <f t="shared" si="20"/>
        <v/>
      </c>
      <c r="AO14">
        <f t="shared" si="21"/>
        <v>0</v>
      </c>
      <c r="AP14">
        <f t="shared" si="27"/>
        <v>0</v>
      </c>
      <c r="AQ14" t="str">
        <f t="shared" si="22"/>
        <v/>
      </c>
      <c r="AR14">
        <f>IF($Y14="",0,COUNTIF(บันทึกรายเที่ยว!$V$6:$V$10005,$Y14))</f>
        <v>0</v>
      </c>
      <c r="AS14">
        <f>IF($Y14="",0,ROUND(SUMIF(บันทึกรายเที่ยว!$V$6:$V$10005,$Y14,บันทึกรายเที่ยว!$M$6:$M$10005),2))</f>
        <v>0</v>
      </c>
      <c r="AT14">
        <f>IF($Y14="",0,IFERROR(INDEX(อัตราค่าขนส่ง!$J$5:$J$204,MATCH($Y14,อัตราค่าขนส่ง!$O$5:$O$204,0)),0))</f>
        <v>0</v>
      </c>
      <c r="AU14">
        <f t="shared" si="23"/>
        <v>0</v>
      </c>
      <c r="AV14">
        <f t="shared" si="24"/>
        <v>0</v>
      </c>
      <c r="AW14" t="str">
        <f>IF($Y14="","",IFERROR(INDEX(อัตราค่าขนส่ง!$F$5:$F$204,MATCH($Y14,อัตราค่าขนส่ง!$O$5:$O$204,0)),""))</f>
        <v/>
      </c>
      <c r="AX14" t="str">
        <f>IF($W14="","",INDEX(บันทึกรายเที่ยว!$D$6:$D$10005,$W14))</f>
        <v/>
      </c>
      <c r="AY14" t="str">
        <f>IF($W14="","",INDEX(บันทึกรายเที่ยว!$R$6:$R$10005,$W14))</f>
        <v/>
      </c>
      <c r="AZ14">
        <f t="shared" si="25"/>
        <v>0</v>
      </c>
      <c r="BA14" t="str">
        <f>IF($W14="","",INDEX(บันทึกรายเที่ยว!$E$6:$E$10005,$W14))</f>
        <v/>
      </c>
      <c r="BC14">
        <f>IF($Y14="",0,IFERROR(INDEX(อัตราค่าขนส่ง!$M$5:$M$204,MATCH($Y14,อัตราค่าขนส่ง!$O$5:$O$204,0)),0))</f>
        <v>0</v>
      </c>
      <c r="BD14">
        <f>IF($Y14="",0,IFERROR(INDEX(อัตราค่าขนส่ง!$N$5:$N$204,MATCH($Y14,อัตราค่าขนส่ง!$O$5:$O$204,0)),0))</f>
        <v>0</v>
      </c>
      <c r="BF14" s="23" t="s">
        <v>194</v>
      </c>
    </row>
    <row r="15" spans="1:58" ht="21" customHeight="1" x14ac:dyDescent="0.95">
      <c r="A15" s="36" t="str">
        <f>IF($AD15="","",IF($AD15="Z","รวมจ่ายทั้งสิ้น",IF($AD15="H",INDEX($X$5:$X$404,$AC15),IF($AD15="T","รวม",IF($AD15="B",IFERROR(INDEX(อัตราค่าขนส่ง!$U$5:$U$14,MATCH(INDEX($AM$5:$AM$404,$AC15),อัตราค่าขนส่ง!$T$5:$T$14,0)),"รวมกลุ่ม "&amp;INDEX($AM$5:$AM$404,$AC15)),INDEX($AY$5:$AY$404,$AC15))))))</f>
        <v/>
      </c>
      <c r="B15" s="31" t="str">
        <f t="shared" si="0"/>
        <v/>
      </c>
      <c r="C15" s="8" t="str">
        <f t="shared" si="1"/>
        <v/>
      </c>
      <c r="D15" s="37" t="str">
        <f t="shared" si="2"/>
        <v/>
      </c>
      <c r="E15" s="31" t="str">
        <f t="shared" si="3"/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I15" s="32" t="str">
        <f t="shared" si="7"/>
        <v/>
      </c>
      <c r="J15" s="46" t="str">
        <f t="shared" si="8"/>
        <v/>
      </c>
      <c r="K15" s="32" t="str">
        <f t="shared" si="9"/>
        <v/>
      </c>
      <c r="L15" s="32" t="str">
        <f t="shared" si="10"/>
        <v/>
      </c>
      <c r="M15" s="32" t="str">
        <f t="shared" si="11"/>
        <v/>
      </c>
      <c r="N15" s="32" t="str">
        <f t="shared" si="12"/>
        <v/>
      </c>
      <c r="O15" s="32" t="str">
        <f t="shared" si="13"/>
        <v/>
      </c>
      <c r="Q15" t="str">
        <f>IFERROR(MATCH(11,บันทึกรายเที่ยว!$Z$6:$Z$10005,0),"")</f>
        <v/>
      </c>
      <c r="R15" t="str">
        <f>IF($Q15="","",INDEX(บันทึกรายเที่ยว!$V$6:$V$10005,$Q15))</f>
        <v/>
      </c>
      <c r="S15" t="str">
        <f>IF($Q15="","",INDEX(บันทึกรายเที่ยว!$F$6:$F$10005,$Q15))</f>
        <v/>
      </c>
      <c r="T15" t="str">
        <f>IF($Q15="","",MATCH($S15,บันทึกรายเที่ยว!$F$6:$F$10005,0))</f>
        <v/>
      </c>
      <c r="U15" t="str">
        <f>IF($Q15="","",$AL15*10000000+$T15*1000+11)</f>
        <v/>
      </c>
      <c r="V15" t="str">
        <f>IFERROR(MATCH(SMALL($U$5:$U$404,11),$U$5:$U$404,0),"")</f>
        <v/>
      </c>
      <c r="W15" t="str">
        <f t="shared" si="14"/>
        <v/>
      </c>
      <c r="X15" t="str">
        <f t="shared" si="15"/>
        <v/>
      </c>
      <c r="Y15" t="str">
        <f t="shared" si="16"/>
        <v/>
      </c>
      <c r="Z15">
        <f t="shared" si="26"/>
        <v>0</v>
      </c>
      <c r="AA15">
        <f t="shared" si="17"/>
        <v>0</v>
      </c>
      <c r="AB15">
        <f>IF($V15="",99999+11,$AB14+1+$Z14+$AA14+$AO14)</f>
        <v>100010</v>
      </c>
      <c r="AC15" t="str">
        <f>IFERROR(MATCH(11,$AB$5:$AB$404,1),"")</f>
        <v/>
      </c>
      <c r="AD15" t="str">
        <f>IF(11=$AI$1+1,"Z",IF($AC15="","",IF(INDEX($V$5:$V$404,$AC15)="","",IF(11&gt;INDEX($AB$5:$AB$404,$AC15)+INDEX($Z$5:$Z$404,$AC15)+INDEX($AA$5:$AA$404,$AC15)+INDEX($AO$5:$AO$404,$AC15),"",IF(11=INDEX($AB$5:$AB$404,$AC15)+INDEX($Z$5:$Z$404,$AC15),"D",IF(AND(INDEX($Z$5:$Z$404,$AC15)=1,11=INDEX($AB$5:$AB$404,$AC15)),"H",IF(AND(INDEX($AO$5:$AO$404,$AC15)=1,11=INDEX($AB$5:$AB$404,$AC15)+INDEX($Z$5:$Z$404,$AC15)+INDEX($AA$5:$AA$404,$AC15)+INDEX($AO$5:$AO$404,$AC15)),"B","T")))))))</f>
        <v/>
      </c>
      <c r="AF15" t="str">
        <f t="shared" si="18"/>
        <v/>
      </c>
      <c r="AJ15">
        <f>IF($AD15&lt;&gt;"T",0,ROUND(SUMIF(oil!$B$4:$B$63,$AF15,oil!$AE$4:$AE$63),2))</f>
        <v>0</v>
      </c>
      <c r="AK15" t="str">
        <f>IF($S15="","",IFERROR(INDEX(อัตราค่าขนส่ง!$R$5:$R$54,MATCH($S15,อัตราค่าขนส่ง!$Q$5:$Q$54,0)),INDEX(รายการมาตรฐาน!$G$2:$G$3,1)))</f>
        <v/>
      </c>
      <c r="AL15" t="str">
        <f>IF($S15="","",IFERROR(MATCH($AK15,รายการมาตรฐาน!$G$2:$G$3,0),1))</f>
        <v/>
      </c>
      <c r="AM15" t="str">
        <f t="shared" si="19"/>
        <v/>
      </c>
      <c r="AN15" t="str">
        <f t="shared" si="20"/>
        <v/>
      </c>
      <c r="AO15">
        <f t="shared" si="21"/>
        <v>0</v>
      </c>
      <c r="AP15">
        <f t="shared" si="27"/>
        <v>0</v>
      </c>
      <c r="AQ15" t="str">
        <f t="shared" si="22"/>
        <v/>
      </c>
      <c r="AR15">
        <f>IF($Y15="",0,COUNTIF(บันทึกรายเที่ยว!$V$6:$V$10005,$Y15))</f>
        <v>0</v>
      </c>
      <c r="AS15">
        <f>IF($Y15="",0,ROUND(SUMIF(บันทึกรายเที่ยว!$V$6:$V$10005,$Y15,บันทึกรายเที่ยว!$M$6:$M$10005),2))</f>
        <v>0</v>
      </c>
      <c r="AT15">
        <f>IF($Y15="",0,IFERROR(INDEX(อัตราค่าขนส่ง!$J$5:$J$204,MATCH($Y15,อัตราค่าขนส่ง!$O$5:$O$204,0)),0))</f>
        <v>0</v>
      </c>
      <c r="AU15">
        <f t="shared" si="23"/>
        <v>0</v>
      </c>
      <c r="AV15">
        <f t="shared" si="24"/>
        <v>0</v>
      </c>
      <c r="AW15" t="str">
        <f>IF($Y15="","",IFERROR(INDEX(อัตราค่าขนส่ง!$F$5:$F$204,MATCH($Y15,อัตราค่าขนส่ง!$O$5:$O$204,0)),""))</f>
        <v/>
      </c>
      <c r="AX15" t="str">
        <f>IF($W15="","",INDEX(บันทึกรายเที่ยว!$D$6:$D$10005,$W15))</f>
        <v/>
      </c>
      <c r="AY15" t="str">
        <f>IF($W15="","",INDEX(บันทึกรายเที่ยว!$R$6:$R$10005,$W15))</f>
        <v/>
      </c>
      <c r="AZ15">
        <f t="shared" si="25"/>
        <v>0</v>
      </c>
      <c r="BA15" t="str">
        <f>IF($W15="","",INDEX(บันทึกรายเที่ยว!$E$6:$E$10005,$W15))</f>
        <v/>
      </c>
      <c r="BC15">
        <f>IF($Y15="",0,IFERROR(INDEX(อัตราค่าขนส่ง!$M$5:$M$204,MATCH($Y15,อัตราค่าขนส่ง!$O$5:$O$204,0)),0))</f>
        <v>0</v>
      </c>
      <c r="BD15">
        <f>IF($Y15="",0,IFERROR(INDEX(อัตราค่าขนส่ง!$N$5:$N$204,MATCH($Y15,อัตราค่าขนส่ง!$O$5:$O$204,0)),0))</f>
        <v>0</v>
      </c>
      <c r="BF15" s="47" t="s">
        <v>195</v>
      </c>
    </row>
    <row r="16" spans="1:58" ht="21" customHeight="1" x14ac:dyDescent="0.95">
      <c r="A16" s="36" t="str">
        <f>IF($AD16="","",IF($AD16="Z","รวมจ่ายทั้งสิ้น",IF($AD16="H",INDEX($X$5:$X$404,$AC16),IF($AD16="T","รวม",IF($AD16="B",IFERROR(INDEX(อัตราค่าขนส่ง!$U$5:$U$14,MATCH(INDEX($AM$5:$AM$404,$AC16),อัตราค่าขนส่ง!$T$5:$T$14,0)),"รวมกลุ่ม "&amp;INDEX($AM$5:$AM$404,$AC16)),INDEX($AY$5:$AY$404,$AC16))))))</f>
        <v/>
      </c>
      <c r="B16" s="31" t="str">
        <f t="shared" si="0"/>
        <v/>
      </c>
      <c r="C16" s="8" t="str">
        <f t="shared" si="1"/>
        <v/>
      </c>
      <c r="D16" s="37" t="str">
        <f t="shared" si="2"/>
        <v/>
      </c>
      <c r="E16" s="31" t="str">
        <f t="shared" si="3"/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I16" s="32" t="str">
        <f t="shared" si="7"/>
        <v/>
      </c>
      <c r="J16" s="46" t="str">
        <f t="shared" si="8"/>
        <v/>
      </c>
      <c r="K16" s="32" t="str">
        <f t="shared" si="9"/>
        <v/>
      </c>
      <c r="L16" s="32" t="str">
        <f t="shared" si="10"/>
        <v/>
      </c>
      <c r="M16" s="32" t="str">
        <f t="shared" si="11"/>
        <v/>
      </c>
      <c r="N16" s="32" t="str">
        <f t="shared" si="12"/>
        <v/>
      </c>
      <c r="O16" s="32" t="str">
        <f t="shared" si="13"/>
        <v/>
      </c>
      <c r="Q16" t="str">
        <f>IFERROR(MATCH(12,บันทึกรายเที่ยว!$Z$6:$Z$10005,0),"")</f>
        <v/>
      </c>
      <c r="R16" t="str">
        <f>IF($Q16="","",INDEX(บันทึกรายเที่ยว!$V$6:$V$10005,$Q16))</f>
        <v/>
      </c>
      <c r="S16" t="str">
        <f>IF($Q16="","",INDEX(บันทึกรายเที่ยว!$F$6:$F$10005,$Q16))</f>
        <v/>
      </c>
      <c r="T16" t="str">
        <f>IF($Q16="","",MATCH($S16,บันทึกรายเที่ยว!$F$6:$F$10005,0))</f>
        <v/>
      </c>
      <c r="U16" t="str">
        <f>IF($Q16="","",$AL16*10000000+$T16*1000+12)</f>
        <v/>
      </c>
      <c r="V16" t="str">
        <f>IFERROR(MATCH(SMALL($U$5:$U$404,12),$U$5:$U$404,0),"")</f>
        <v/>
      </c>
      <c r="W16" t="str">
        <f t="shared" si="14"/>
        <v/>
      </c>
      <c r="X16" t="str">
        <f t="shared" si="15"/>
        <v/>
      </c>
      <c r="Y16" t="str">
        <f t="shared" si="16"/>
        <v/>
      </c>
      <c r="Z16">
        <f t="shared" si="26"/>
        <v>0</v>
      </c>
      <c r="AA16">
        <f t="shared" si="17"/>
        <v>0</v>
      </c>
      <c r="AB16">
        <f>IF($V16="",99999+12,$AB15+1+$Z15+$AA15+$AO15)</f>
        <v>100011</v>
      </c>
      <c r="AC16" t="str">
        <f>IFERROR(MATCH(12,$AB$5:$AB$404,1),"")</f>
        <v/>
      </c>
      <c r="AD16" t="str">
        <f>IF(12=$AI$1+1,"Z",IF($AC16="","",IF(INDEX($V$5:$V$404,$AC16)="","",IF(12&gt;INDEX($AB$5:$AB$404,$AC16)+INDEX($Z$5:$Z$404,$AC16)+INDEX($AA$5:$AA$404,$AC16)+INDEX($AO$5:$AO$404,$AC16),"",IF(12=INDEX($AB$5:$AB$404,$AC16)+INDEX($Z$5:$Z$404,$AC16),"D",IF(AND(INDEX($Z$5:$Z$404,$AC16)=1,12=INDEX($AB$5:$AB$404,$AC16)),"H",IF(AND(INDEX($AO$5:$AO$404,$AC16)=1,12=INDEX($AB$5:$AB$404,$AC16)+INDEX($Z$5:$Z$404,$AC16)+INDEX($AA$5:$AA$404,$AC16)+INDEX($AO$5:$AO$404,$AC16)),"B","T")))))))</f>
        <v/>
      </c>
      <c r="AF16" t="str">
        <f t="shared" si="18"/>
        <v/>
      </c>
      <c r="AJ16">
        <f>IF($AD16&lt;&gt;"T",0,ROUND(SUMIF(oil!$B$4:$B$63,$AF16,oil!$AE$4:$AE$63),2))</f>
        <v>0</v>
      </c>
      <c r="AK16" t="str">
        <f>IF($S16="","",IFERROR(INDEX(อัตราค่าขนส่ง!$R$5:$R$54,MATCH($S16,อัตราค่าขนส่ง!$Q$5:$Q$54,0)),INDEX(รายการมาตรฐาน!$G$2:$G$3,1)))</f>
        <v/>
      </c>
      <c r="AL16" t="str">
        <f>IF($S16="","",IFERROR(MATCH($AK16,รายการมาตรฐาน!$G$2:$G$3,0),1))</f>
        <v/>
      </c>
      <c r="AM16" t="str">
        <f t="shared" si="19"/>
        <v/>
      </c>
      <c r="AN16" t="str">
        <f t="shared" si="20"/>
        <v/>
      </c>
      <c r="AO16">
        <f t="shared" si="21"/>
        <v>0</v>
      </c>
      <c r="AP16">
        <f t="shared" si="27"/>
        <v>0</v>
      </c>
      <c r="AQ16" t="str">
        <f t="shared" si="22"/>
        <v/>
      </c>
      <c r="AR16">
        <f>IF($Y16="",0,COUNTIF(บันทึกรายเที่ยว!$V$6:$V$10005,$Y16))</f>
        <v>0</v>
      </c>
      <c r="AS16">
        <f>IF($Y16="",0,ROUND(SUMIF(บันทึกรายเที่ยว!$V$6:$V$10005,$Y16,บันทึกรายเที่ยว!$M$6:$M$10005),2))</f>
        <v>0</v>
      </c>
      <c r="AT16">
        <f>IF($Y16="",0,IFERROR(INDEX(อัตราค่าขนส่ง!$J$5:$J$204,MATCH($Y16,อัตราค่าขนส่ง!$O$5:$O$204,0)),0))</f>
        <v>0</v>
      </c>
      <c r="AU16">
        <f t="shared" si="23"/>
        <v>0</v>
      </c>
      <c r="AV16">
        <f t="shared" si="24"/>
        <v>0</v>
      </c>
      <c r="AW16" t="str">
        <f>IF($Y16="","",IFERROR(INDEX(อัตราค่าขนส่ง!$F$5:$F$204,MATCH($Y16,อัตราค่าขนส่ง!$O$5:$O$204,0)),""))</f>
        <v/>
      </c>
      <c r="AX16" t="str">
        <f>IF($W16="","",INDEX(บันทึกรายเที่ยว!$D$6:$D$10005,$W16))</f>
        <v/>
      </c>
      <c r="AY16" t="str">
        <f>IF($W16="","",INDEX(บันทึกรายเที่ยว!$R$6:$R$10005,$W16))</f>
        <v/>
      </c>
      <c r="AZ16">
        <f t="shared" si="25"/>
        <v>0</v>
      </c>
      <c r="BA16" t="str">
        <f>IF($W16="","",INDEX(บันทึกรายเที่ยว!$E$6:$E$10005,$W16))</f>
        <v/>
      </c>
      <c r="BC16">
        <f>IF($Y16="",0,IFERROR(INDEX(อัตราค่าขนส่ง!$M$5:$M$204,MATCH($Y16,อัตราค่าขนส่ง!$O$5:$O$204,0)),0))</f>
        <v>0</v>
      </c>
      <c r="BD16">
        <f>IF($Y16="",0,IFERROR(INDEX(อัตราค่าขนส่ง!$N$5:$N$204,MATCH($Y16,อัตราค่าขนส่ง!$O$5:$O$204,0)),0))</f>
        <v>0</v>
      </c>
      <c r="BF16" s="47" t="s">
        <v>196</v>
      </c>
    </row>
    <row r="17" spans="1:58" ht="21" customHeight="1" x14ac:dyDescent="0.95">
      <c r="A17" s="36" t="str">
        <f>IF($AD17="","",IF($AD17="Z","รวมจ่ายทั้งสิ้น",IF($AD17="H",INDEX($X$5:$X$404,$AC17),IF($AD17="T","รวม",IF($AD17="B",IFERROR(INDEX(อัตราค่าขนส่ง!$U$5:$U$14,MATCH(INDEX($AM$5:$AM$404,$AC17),อัตราค่าขนส่ง!$T$5:$T$14,0)),"รวมกลุ่ม "&amp;INDEX($AM$5:$AM$404,$AC17)),INDEX($AY$5:$AY$404,$AC17))))))</f>
        <v/>
      </c>
      <c r="B17" s="31" t="str">
        <f t="shared" si="0"/>
        <v/>
      </c>
      <c r="C17" s="8" t="str">
        <f t="shared" si="1"/>
        <v/>
      </c>
      <c r="D17" s="37" t="str">
        <f t="shared" si="2"/>
        <v/>
      </c>
      <c r="E17" s="31" t="str">
        <f t="shared" si="3"/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I17" s="32" t="str">
        <f t="shared" si="7"/>
        <v/>
      </c>
      <c r="J17" s="46" t="str">
        <f t="shared" si="8"/>
        <v/>
      </c>
      <c r="K17" s="32" t="str">
        <f t="shared" si="9"/>
        <v/>
      </c>
      <c r="L17" s="32" t="str">
        <f t="shared" si="10"/>
        <v/>
      </c>
      <c r="M17" s="32" t="str">
        <f t="shared" si="11"/>
        <v/>
      </c>
      <c r="N17" s="32" t="str">
        <f t="shared" si="12"/>
        <v/>
      </c>
      <c r="O17" s="32" t="str">
        <f t="shared" si="13"/>
        <v/>
      </c>
      <c r="Q17" t="str">
        <f>IFERROR(MATCH(13,บันทึกรายเที่ยว!$Z$6:$Z$10005,0),"")</f>
        <v/>
      </c>
      <c r="R17" t="str">
        <f>IF($Q17="","",INDEX(บันทึกรายเที่ยว!$V$6:$V$10005,$Q17))</f>
        <v/>
      </c>
      <c r="S17" t="str">
        <f>IF($Q17="","",INDEX(บันทึกรายเที่ยว!$F$6:$F$10005,$Q17))</f>
        <v/>
      </c>
      <c r="T17" t="str">
        <f>IF($Q17="","",MATCH($S17,บันทึกรายเที่ยว!$F$6:$F$10005,0))</f>
        <v/>
      </c>
      <c r="U17" t="str">
        <f>IF($Q17="","",$AL17*10000000+$T17*1000+13)</f>
        <v/>
      </c>
      <c r="V17" t="str">
        <f>IFERROR(MATCH(SMALL($U$5:$U$404,13),$U$5:$U$404,0),"")</f>
        <v/>
      </c>
      <c r="W17" t="str">
        <f t="shared" si="14"/>
        <v/>
      </c>
      <c r="X17" t="str">
        <f t="shared" si="15"/>
        <v/>
      </c>
      <c r="Y17" t="str">
        <f t="shared" si="16"/>
        <v/>
      </c>
      <c r="Z17">
        <f t="shared" si="26"/>
        <v>0</v>
      </c>
      <c r="AA17">
        <f t="shared" si="17"/>
        <v>0</v>
      </c>
      <c r="AB17">
        <f>IF($V17="",99999+13,$AB16+1+$Z16+$AA16+$AO16)</f>
        <v>100012</v>
      </c>
      <c r="AC17" t="str">
        <f>IFERROR(MATCH(13,$AB$5:$AB$404,1),"")</f>
        <v/>
      </c>
      <c r="AD17" t="str">
        <f>IF(13=$AI$1+1,"Z",IF($AC17="","",IF(INDEX($V$5:$V$404,$AC17)="","",IF(13&gt;INDEX($AB$5:$AB$404,$AC17)+INDEX($Z$5:$Z$404,$AC17)+INDEX($AA$5:$AA$404,$AC17)+INDEX($AO$5:$AO$404,$AC17),"",IF(13=INDEX($AB$5:$AB$404,$AC17)+INDEX($Z$5:$Z$404,$AC17),"D",IF(AND(INDEX($Z$5:$Z$404,$AC17)=1,13=INDEX($AB$5:$AB$404,$AC17)),"H",IF(AND(INDEX($AO$5:$AO$404,$AC17)=1,13=INDEX($AB$5:$AB$404,$AC17)+INDEX($Z$5:$Z$404,$AC17)+INDEX($AA$5:$AA$404,$AC17)+INDEX($AO$5:$AO$404,$AC17)),"B","T")))))))</f>
        <v/>
      </c>
      <c r="AF17" t="str">
        <f t="shared" si="18"/>
        <v/>
      </c>
      <c r="AJ17">
        <f>IF($AD17&lt;&gt;"T",0,ROUND(SUMIF(oil!$B$4:$B$63,$AF17,oil!$AE$4:$AE$63),2))</f>
        <v>0</v>
      </c>
      <c r="AK17" t="str">
        <f>IF($S17="","",IFERROR(INDEX(อัตราค่าขนส่ง!$R$5:$R$54,MATCH($S17,อัตราค่าขนส่ง!$Q$5:$Q$54,0)),INDEX(รายการมาตรฐาน!$G$2:$G$3,1)))</f>
        <v/>
      </c>
      <c r="AL17" t="str">
        <f>IF($S17="","",IFERROR(MATCH($AK17,รายการมาตรฐาน!$G$2:$G$3,0),1))</f>
        <v/>
      </c>
      <c r="AM17" t="str">
        <f t="shared" si="19"/>
        <v/>
      </c>
      <c r="AN17" t="str">
        <f t="shared" si="20"/>
        <v/>
      </c>
      <c r="AO17">
        <f t="shared" si="21"/>
        <v>0</v>
      </c>
      <c r="AP17">
        <f t="shared" si="27"/>
        <v>0</v>
      </c>
      <c r="AQ17" t="str">
        <f t="shared" si="22"/>
        <v/>
      </c>
      <c r="AR17">
        <f>IF($Y17="",0,COUNTIF(บันทึกรายเที่ยว!$V$6:$V$10005,$Y17))</f>
        <v>0</v>
      </c>
      <c r="AS17">
        <f>IF($Y17="",0,ROUND(SUMIF(บันทึกรายเที่ยว!$V$6:$V$10005,$Y17,บันทึกรายเที่ยว!$M$6:$M$10005),2))</f>
        <v>0</v>
      </c>
      <c r="AT17">
        <f>IF($Y17="",0,IFERROR(INDEX(อัตราค่าขนส่ง!$J$5:$J$204,MATCH($Y17,อัตราค่าขนส่ง!$O$5:$O$204,0)),0))</f>
        <v>0</v>
      </c>
      <c r="AU17">
        <f t="shared" si="23"/>
        <v>0</v>
      </c>
      <c r="AV17">
        <f t="shared" si="24"/>
        <v>0</v>
      </c>
      <c r="AW17" t="str">
        <f>IF($Y17="","",IFERROR(INDEX(อัตราค่าขนส่ง!$F$5:$F$204,MATCH($Y17,อัตราค่าขนส่ง!$O$5:$O$204,0)),""))</f>
        <v/>
      </c>
      <c r="AX17" t="str">
        <f>IF($W17="","",INDEX(บันทึกรายเที่ยว!$D$6:$D$10005,$W17))</f>
        <v/>
      </c>
      <c r="AY17" t="str">
        <f>IF($W17="","",INDEX(บันทึกรายเที่ยว!$R$6:$R$10005,$W17))</f>
        <v/>
      </c>
      <c r="AZ17">
        <f t="shared" si="25"/>
        <v>0</v>
      </c>
      <c r="BA17" t="str">
        <f>IF($W17="","",INDEX(บันทึกรายเที่ยว!$E$6:$E$10005,$W17))</f>
        <v/>
      </c>
      <c r="BC17">
        <f>IF($Y17="",0,IFERROR(INDEX(อัตราค่าขนส่ง!$M$5:$M$204,MATCH($Y17,อัตราค่าขนส่ง!$O$5:$O$204,0)),0))</f>
        <v>0</v>
      </c>
      <c r="BD17">
        <f>IF($Y17="",0,IFERROR(INDEX(อัตราค่าขนส่ง!$N$5:$N$204,MATCH($Y17,อัตราค่าขนส่ง!$O$5:$O$204,0)),0))</f>
        <v>0</v>
      </c>
      <c r="BF17" s="47" t="s">
        <v>197</v>
      </c>
    </row>
    <row r="18" spans="1:58" ht="21" customHeight="1" x14ac:dyDescent="0.95">
      <c r="A18" s="36" t="str">
        <f>IF($AD18="","",IF($AD18="Z","รวมจ่ายทั้งสิ้น",IF($AD18="H",INDEX($X$5:$X$404,$AC18),IF($AD18="T","รวม",IF($AD18="B",IFERROR(INDEX(อัตราค่าขนส่ง!$U$5:$U$14,MATCH(INDEX($AM$5:$AM$404,$AC18),อัตราค่าขนส่ง!$T$5:$T$14,0)),"รวมกลุ่ม "&amp;INDEX($AM$5:$AM$404,$AC18)),INDEX($AY$5:$AY$404,$AC18))))))</f>
        <v/>
      </c>
      <c r="B18" s="31" t="str">
        <f t="shared" si="0"/>
        <v/>
      </c>
      <c r="C18" s="8" t="str">
        <f t="shared" si="1"/>
        <v/>
      </c>
      <c r="D18" s="37" t="str">
        <f t="shared" si="2"/>
        <v/>
      </c>
      <c r="E18" s="31" t="str">
        <f t="shared" si="3"/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I18" s="32" t="str">
        <f t="shared" si="7"/>
        <v/>
      </c>
      <c r="J18" s="46" t="str">
        <f t="shared" si="8"/>
        <v/>
      </c>
      <c r="K18" s="32" t="str">
        <f t="shared" si="9"/>
        <v/>
      </c>
      <c r="L18" s="32" t="str">
        <f t="shared" si="10"/>
        <v/>
      </c>
      <c r="M18" s="32" t="str">
        <f t="shared" si="11"/>
        <v/>
      </c>
      <c r="N18" s="32" t="str">
        <f t="shared" si="12"/>
        <v/>
      </c>
      <c r="O18" s="32" t="str">
        <f t="shared" si="13"/>
        <v/>
      </c>
      <c r="Q18" t="str">
        <f>IFERROR(MATCH(14,บันทึกรายเที่ยว!$Z$6:$Z$10005,0),"")</f>
        <v/>
      </c>
      <c r="R18" t="str">
        <f>IF($Q18="","",INDEX(บันทึกรายเที่ยว!$V$6:$V$10005,$Q18))</f>
        <v/>
      </c>
      <c r="S18" t="str">
        <f>IF($Q18="","",INDEX(บันทึกรายเที่ยว!$F$6:$F$10005,$Q18))</f>
        <v/>
      </c>
      <c r="T18" t="str">
        <f>IF($Q18="","",MATCH($S18,บันทึกรายเที่ยว!$F$6:$F$10005,0))</f>
        <v/>
      </c>
      <c r="U18" t="str">
        <f>IF($Q18="","",$AL18*10000000+$T18*1000+14)</f>
        <v/>
      </c>
      <c r="V18" t="str">
        <f>IFERROR(MATCH(SMALL($U$5:$U$404,14),$U$5:$U$404,0),"")</f>
        <v/>
      </c>
      <c r="W18" t="str">
        <f t="shared" si="14"/>
        <v/>
      </c>
      <c r="X18" t="str">
        <f t="shared" si="15"/>
        <v/>
      </c>
      <c r="Y18" t="str">
        <f t="shared" si="16"/>
        <v/>
      </c>
      <c r="Z18">
        <f t="shared" si="26"/>
        <v>0</v>
      </c>
      <c r="AA18">
        <f t="shared" si="17"/>
        <v>0</v>
      </c>
      <c r="AB18">
        <f>IF($V18="",99999+14,$AB17+1+$Z17+$AA17+$AO17)</f>
        <v>100013</v>
      </c>
      <c r="AC18" t="str">
        <f>IFERROR(MATCH(14,$AB$5:$AB$404,1),"")</f>
        <v/>
      </c>
      <c r="AD18" t="str">
        <f>IF(14=$AI$1+1,"Z",IF($AC18="","",IF(INDEX($V$5:$V$404,$AC18)="","",IF(14&gt;INDEX($AB$5:$AB$404,$AC18)+INDEX($Z$5:$Z$404,$AC18)+INDEX($AA$5:$AA$404,$AC18)+INDEX($AO$5:$AO$404,$AC18),"",IF(14=INDEX($AB$5:$AB$404,$AC18)+INDEX($Z$5:$Z$404,$AC18),"D",IF(AND(INDEX($Z$5:$Z$404,$AC18)=1,14=INDEX($AB$5:$AB$404,$AC18)),"H",IF(AND(INDEX($AO$5:$AO$404,$AC18)=1,14=INDEX($AB$5:$AB$404,$AC18)+INDEX($Z$5:$Z$404,$AC18)+INDEX($AA$5:$AA$404,$AC18)+INDEX($AO$5:$AO$404,$AC18)),"B","T")))))))</f>
        <v/>
      </c>
      <c r="AF18" t="str">
        <f t="shared" si="18"/>
        <v/>
      </c>
      <c r="AJ18">
        <f>IF($AD18&lt;&gt;"T",0,ROUND(SUMIF(oil!$B$4:$B$63,$AF18,oil!$AE$4:$AE$63),2))</f>
        <v>0</v>
      </c>
      <c r="AK18" t="str">
        <f>IF($S18="","",IFERROR(INDEX(อัตราค่าขนส่ง!$R$5:$R$54,MATCH($S18,อัตราค่าขนส่ง!$Q$5:$Q$54,0)),INDEX(รายการมาตรฐาน!$G$2:$G$3,1)))</f>
        <v/>
      </c>
      <c r="AL18" t="str">
        <f>IF($S18="","",IFERROR(MATCH($AK18,รายการมาตรฐาน!$G$2:$G$3,0),1))</f>
        <v/>
      </c>
      <c r="AM18" t="str">
        <f t="shared" si="19"/>
        <v/>
      </c>
      <c r="AN18" t="str">
        <f t="shared" si="20"/>
        <v/>
      </c>
      <c r="AO18">
        <f t="shared" si="21"/>
        <v>0</v>
      </c>
      <c r="AP18">
        <f t="shared" si="27"/>
        <v>0</v>
      </c>
      <c r="AQ18" t="str">
        <f t="shared" si="22"/>
        <v/>
      </c>
      <c r="AR18">
        <f>IF($Y18="",0,COUNTIF(บันทึกรายเที่ยว!$V$6:$V$10005,$Y18))</f>
        <v>0</v>
      </c>
      <c r="AS18">
        <f>IF($Y18="",0,ROUND(SUMIF(บันทึกรายเที่ยว!$V$6:$V$10005,$Y18,บันทึกรายเที่ยว!$M$6:$M$10005),2))</f>
        <v>0</v>
      </c>
      <c r="AT18">
        <f>IF($Y18="",0,IFERROR(INDEX(อัตราค่าขนส่ง!$J$5:$J$204,MATCH($Y18,อัตราค่าขนส่ง!$O$5:$O$204,0)),0))</f>
        <v>0</v>
      </c>
      <c r="AU18">
        <f t="shared" si="23"/>
        <v>0</v>
      </c>
      <c r="AV18">
        <f t="shared" si="24"/>
        <v>0</v>
      </c>
      <c r="AW18" t="str">
        <f>IF($Y18="","",IFERROR(INDEX(อัตราค่าขนส่ง!$F$5:$F$204,MATCH($Y18,อัตราค่าขนส่ง!$O$5:$O$204,0)),""))</f>
        <v/>
      </c>
      <c r="AX18" t="str">
        <f>IF($W18="","",INDEX(บันทึกรายเที่ยว!$D$6:$D$10005,$W18))</f>
        <v/>
      </c>
      <c r="AY18" t="str">
        <f>IF($W18="","",INDEX(บันทึกรายเที่ยว!$R$6:$R$10005,$W18))</f>
        <v/>
      </c>
      <c r="AZ18">
        <f t="shared" si="25"/>
        <v>0</v>
      </c>
      <c r="BA18" t="str">
        <f>IF($W18="","",INDEX(บันทึกรายเที่ยว!$E$6:$E$10005,$W18))</f>
        <v/>
      </c>
      <c r="BC18">
        <f>IF($Y18="",0,IFERROR(INDEX(อัตราค่าขนส่ง!$M$5:$M$204,MATCH($Y18,อัตราค่าขนส่ง!$O$5:$O$204,0)),0))</f>
        <v>0</v>
      </c>
      <c r="BD18">
        <f>IF($Y18="",0,IFERROR(INDEX(อัตราค่าขนส่ง!$N$5:$N$204,MATCH($Y18,อัตราค่าขนส่ง!$O$5:$O$204,0)),0))</f>
        <v>0</v>
      </c>
      <c r="BF18" s="47" t="s">
        <v>198</v>
      </c>
    </row>
    <row r="19" spans="1:58" ht="21" customHeight="1" x14ac:dyDescent="0.95">
      <c r="A19" s="36" t="str">
        <f>IF($AD19="","",IF($AD19="Z","รวมจ่ายทั้งสิ้น",IF($AD19="H",INDEX($X$5:$X$404,$AC19),IF($AD19="T","รวม",IF($AD19="B",IFERROR(INDEX(อัตราค่าขนส่ง!$U$5:$U$14,MATCH(INDEX($AM$5:$AM$404,$AC19),อัตราค่าขนส่ง!$T$5:$T$14,0)),"รวมกลุ่ม "&amp;INDEX($AM$5:$AM$404,$AC19)),INDEX($AY$5:$AY$404,$AC19))))))</f>
        <v/>
      </c>
      <c r="B19" s="31" t="str">
        <f t="shared" si="0"/>
        <v/>
      </c>
      <c r="C19" s="8" t="str">
        <f t="shared" si="1"/>
        <v/>
      </c>
      <c r="D19" s="37" t="str">
        <f t="shared" si="2"/>
        <v/>
      </c>
      <c r="E19" s="31" t="str">
        <f t="shared" si="3"/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I19" s="32" t="str">
        <f t="shared" si="7"/>
        <v/>
      </c>
      <c r="J19" s="46" t="str">
        <f t="shared" si="8"/>
        <v/>
      </c>
      <c r="K19" s="32" t="str">
        <f t="shared" si="9"/>
        <v/>
      </c>
      <c r="L19" s="32" t="str">
        <f t="shared" si="10"/>
        <v/>
      </c>
      <c r="M19" s="32" t="str">
        <f t="shared" si="11"/>
        <v/>
      </c>
      <c r="N19" s="32" t="str">
        <f t="shared" si="12"/>
        <v/>
      </c>
      <c r="O19" s="32" t="str">
        <f t="shared" si="13"/>
        <v/>
      </c>
      <c r="Q19" t="str">
        <f>IFERROR(MATCH(15,บันทึกรายเที่ยว!$Z$6:$Z$10005,0),"")</f>
        <v/>
      </c>
      <c r="R19" t="str">
        <f>IF($Q19="","",INDEX(บันทึกรายเที่ยว!$V$6:$V$10005,$Q19))</f>
        <v/>
      </c>
      <c r="S19" t="str">
        <f>IF($Q19="","",INDEX(บันทึกรายเที่ยว!$F$6:$F$10005,$Q19))</f>
        <v/>
      </c>
      <c r="T19" t="str">
        <f>IF($Q19="","",MATCH($S19,บันทึกรายเที่ยว!$F$6:$F$10005,0))</f>
        <v/>
      </c>
      <c r="U19" t="str">
        <f>IF($Q19="","",$AL19*10000000+$T19*1000+15)</f>
        <v/>
      </c>
      <c r="V19" t="str">
        <f>IFERROR(MATCH(SMALL($U$5:$U$404,15),$U$5:$U$404,0),"")</f>
        <v/>
      </c>
      <c r="W19" t="str">
        <f t="shared" si="14"/>
        <v/>
      </c>
      <c r="X19" t="str">
        <f t="shared" si="15"/>
        <v/>
      </c>
      <c r="Y19" t="str">
        <f t="shared" si="16"/>
        <v/>
      </c>
      <c r="Z19">
        <f t="shared" si="26"/>
        <v>0</v>
      </c>
      <c r="AA19">
        <f t="shared" si="17"/>
        <v>0</v>
      </c>
      <c r="AB19">
        <f>IF($V19="",99999+15,$AB18+1+$Z18+$AA18+$AO18)</f>
        <v>100014</v>
      </c>
      <c r="AC19" t="str">
        <f>IFERROR(MATCH(15,$AB$5:$AB$404,1),"")</f>
        <v/>
      </c>
      <c r="AD19" t="str">
        <f>IF(15=$AI$1+1,"Z",IF($AC19="","",IF(INDEX($V$5:$V$404,$AC19)="","",IF(15&gt;INDEX($AB$5:$AB$404,$AC19)+INDEX($Z$5:$Z$404,$AC19)+INDEX($AA$5:$AA$404,$AC19)+INDEX($AO$5:$AO$404,$AC19),"",IF(15=INDEX($AB$5:$AB$404,$AC19)+INDEX($Z$5:$Z$404,$AC19),"D",IF(AND(INDEX($Z$5:$Z$404,$AC19)=1,15=INDEX($AB$5:$AB$404,$AC19)),"H",IF(AND(INDEX($AO$5:$AO$404,$AC19)=1,15=INDEX($AB$5:$AB$404,$AC19)+INDEX($Z$5:$Z$404,$AC19)+INDEX($AA$5:$AA$404,$AC19)+INDEX($AO$5:$AO$404,$AC19)),"B","T")))))))</f>
        <v/>
      </c>
      <c r="AF19" t="str">
        <f t="shared" si="18"/>
        <v/>
      </c>
      <c r="AJ19">
        <f>IF($AD19&lt;&gt;"T",0,ROUND(SUMIF(oil!$B$4:$B$63,$AF19,oil!$AE$4:$AE$63),2))</f>
        <v>0</v>
      </c>
      <c r="AK19" t="str">
        <f>IF($S19="","",IFERROR(INDEX(อัตราค่าขนส่ง!$R$5:$R$54,MATCH($S19,อัตราค่าขนส่ง!$Q$5:$Q$54,0)),INDEX(รายการมาตรฐาน!$G$2:$G$3,1)))</f>
        <v/>
      </c>
      <c r="AL19" t="str">
        <f>IF($S19="","",IFERROR(MATCH($AK19,รายการมาตรฐาน!$G$2:$G$3,0),1))</f>
        <v/>
      </c>
      <c r="AM19" t="str">
        <f t="shared" si="19"/>
        <v/>
      </c>
      <c r="AN19" t="str">
        <f t="shared" si="20"/>
        <v/>
      </c>
      <c r="AO19">
        <f t="shared" si="21"/>
        <v>0</v>
      </c>
      <c r="AP19">
        <f t="shared" si="27"/>
        <v>0</v>
      </c>
      <c r="AQ19" t="str">
        <f t="shared" si="22"/>
        <v/>
      </c>
      <c r="AR19">
        <f>IF($Y19="",0,COUNTIF(บันทึกรายเที่ยว!$V$6:$V$10005,$Y19))</f>
        <v>0</v>
      </c>
      <c r="AS19">
        <f>IF($Y19="",0,ROUND(SUMIF(บันทึกรายเที่ยว!$V$6:$V$10005,$Y19,บันทึกรายเที่ยว!$M$6:$M$10005),2))</f>
        <v>0</v>
      </c>
      <c r="AT19">
        <f>IF($Y19="",0,IFERROR(INDEX(อัตราค่าขนส่ง!$J$5:$J$204,MATCH($Y19,อัตราค่าขนส่ง!$O$5:$O$204,0)),0))</f>
        <v>0</v>
      </c>
      <c r="AU19">
        <f t="shared" si="23"/>
        <v>0</v>
      </c>
      <c r="AV19">
        <f t="shared" si="24"/>
        <v>0</v>
      </c>
      <c r="AW19" t="str">
        <f>IF($Y19="","",IFERROR(INDEX(อัตราค่าขนส่ง!$F$5:$F$204,MATCH($Y19,อัตราค่าขนส่ง!$O$5:$O$204,0)),""))</f>
        <v/>
      </c>
      <c r="AX19" t="str">
        <f>IF($W19="","",INDEX(บันทึกรายเที่ยว!$D$6:$D$10005,$W19))</f>
        <v/>
      </c>
      <c r="AY19" t="str">
        <f>IF($W19="","",INDEX(บันทึกรายเที่ยว!$R$6:$R$10005,$W19))</f>
        <v/>
      </c>
      <c r="AZ19">
        <f t="shared" si="25"/>
        <v>0</v>
      </c>
      <c r="BA19" t="str">
        <f>IF($W19="","",INDEX(บันทึกรายเที่ยว!$E$6:$E$10005,$W19))</f>
        <v/>
      </c>
      <c r="BC19">
        <f>IF($Y19="",0,IFERROR(INDEX(อัตราค่าขนส่ง!$M$5:$M$204,MATCH($Y19,อัตราค่าขนส่ง!$O$5:$O$204,0)),0))</f>
        <v>0</v>
      </c>
      <c r="BD19">
        <f>IF($Y19="",0,IFERROR(INDEX(อัตราค่าขนส่ง!$N$5:$N$204,MATCH($Y19,อัตราค่าขนส่ง!$O$5:$O$204,0)),0))</f>
        <v>0</v>
      </c>
      <c r="BF19" s="47" t="s">
        <v>199</v>
      </c>
    </row>
    <row r="20" spans="1:58" ht="21" customHeight="1" x14ac:dyDescent="0.95">
      <c r="A20" s="36" t="str">
        <f>IF($AD20="","",IF($AD20="Z","รวมจ่ายทั้งสิ้น",IF($AD20="H",INDEX($X$5:$X$404,$AC20),IF($AD20="T","รวม",IF($AD20="B",IFERROR(INDEX(อัตราค่าขนส่ง!$U$5:$U$14,MATCH(INDEX($AM$5:$AM$404,$AC20),อัตราค่าขนส่ง!$T$5:$T$14,0)),"รวมกลุ่ม "&amp;INDEX($AM$5:$AM$404,$AC20)),INDEX($AY$5:$AY$404,$AC20))))))</f>
        <v/>
      </c>
      <c r="B20" s="31" t="str">
        <f t="shared" si="0"/>
        <v/>
      </c>
      <c r="C20" s="8" t="str">
        <f t="shared" si="1"/>
        <v/>
      </c>
      <c r="D20" s="37" t="str">
        <f t="shared" si="2"/>
        <v/>
      </c>
      <c r="E20" s="31" t="str">
        <f t="shared" si="3"/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I20" s="32" t="str">
        <f t="shared" si="7"/>
        <v/>
      </c>
      <c r="J20" s="46" t="str">
        <f t="shared" si="8"/>
        <v/>
      </c>
      <c r="K20" s="32" t="str">
        <f t="shared" si="9"/>
        <v/>
      </c>
      <c r="L20" s="32" t="str">
        <f t="shared" si="10"/>
        <v/>
      </c>
      <c r="M20" s="32" t="str">
        <f t="shared" si="11"/>
        <v/>
      </c>
      <c r="N20" s="32" t="str">
        <f t="shared" si="12"/>
        <v/>
      </c>
      <c r="O20" s="32" t="str">
        <f t="shared" si="13"/>
        <v/>
      </c>
      <c r="Q20" t="str">
        <f>IFERROR(MATCH(16,บันทึกรายเที่ยว!$Z$6:$Z$10005,0),"")</f>
        <v/>
      </c>
      <c r="R20" t="str">
        <f>IF($Q20="","",INDEX(บันทึกรายเที่ยว!$V$6:$V$10005,$Q20))</f>
        <v/>
      </c>
      <c r="S20" t="str">
        <f>IF($Q20="","",INDEX(บันทึกรายเที่ยว!$F$6:$F$10005,$Q20))</f>
        <v/>
      </c>
      <c r="T20" t="str">
        <f>IF($Q20="","",MATCH($S20,บันทึกรายเที่ยว!$F$6:$F$10005,0))</f>
        <v/>
      </c>
      <c r="U20" t="str">
        <f>IF($Q20="","",$AL20*10000000+$T20*1000+16)</f>
        <v/>
      </c>
      <c r="V20" t="str">
        <f>IFERROR(MATCH(SMALL($U$5:$U$404,16),$U$5:$U$404,0),"")</f>
        <v/>
      </c>
      <c r="W20" t="str">
        <f t="shared" si="14"/>
        <v/>
      </c>
      <c r="X20" t="str">
        <f t="shared" si="15"/>
        <v/>
      </c>
      <c r="Y20" t="str">
        <f t="shared" si="16"/>
        <v/>
      </c>
      <c r="Z20">
        <f t="shared" si="26"/>
        <v>0</v>
      </c>
      <c r="AA20">
        <f t="shared" si="17"/>
        <v>0</v>
      </c>
      <c r="AB20">
        <f>IF($V20="",99999+16,$AB19+1+$Z19+$AA19+$AO19)</f>
        <v>100015</v>
      </c>
      <c r="AC20" t="str">
        <f>IFERROR(MATCH(16,$AB$5:$AB$404,1),"")</f>
        <v/>
      </c>
      <c r="AD20" t="str">
        <f>IF(16=$AI$1+1,"Z",IF($AC20="","",IF(INDEX($V$5:$V$404,$AC20)="","",IF(16&gt;INDEX($AB$5:$AB$404,$AC20)+INDEX($Z$5:$Z$404,$AC20)+INDEX($AA$5:$AA$404,$AC20)+INDEX($AO$5:$AO$404,$AC20),"",IF(16=INDEX($AB$5:$AB$404,$AC20)+INDEX($Z$5:$Z$404,$AC20),"D",IF(AND(INDEX($Z$5:$Z$404,$AC20)=1,16=INDEX($AB$5:$AB$404,$AC20)),"H",IF(AND(INDEX($AO$5:$AO$404,$AC20)=1,16=INDEX($AB$5:$AB$404,$AC20)+INDEX($Z$5:$Z$404,$AC20)+INDEX($AA$5:$AA$404,$AC20)+INDEX($AO$5:$AO$404,$AC20)),"B","T")))))))</f>
        <v/>
      </c>
      <c r="AF20" t="str">
        <f t="shared" si="18"/>
        <v/>
      </c>
      <c r="AJ20">
        <f>IF($AD20&lt;&gt;"T",0,ROUND(SUMIF(oil!$B$4:$B$63,$AF20,oil!$AE$4:$AE$63),2))</f>
        <v>0</v>
      </c>
      <c r="AK20" t="str">
        <f>IF($S20="","",IFERROR(INDEX(อัตราค่าขนส่ง!$R$5:$R$54,MATCH($S20,อัตราค่าขนส่ง!$Q$5:$Q$54,0)),INDEX(รายการมาตรฐาน!$G$2:$G$3,1)))</f>
        <v/>
      </c>
      <c r="AL20" t="str">
        <f>IF($S20="","",IFERROR(MATCH($AK20,รายการมาตรฐาน!$G$2:$G$3,0),1))</f>
        <v/>
      </c>
      <c r="AM20" t="str">
        <f t="shared" si="19"/>
        <v/>
      </c>
      <c r="AN20" t="str">
        <f t="shared" si="20"/>
        <v/>
      </c>
      <c r="AO20">
        <f t="shared" si="21"/>
        <v>0</v>
      </c>
      <c r="AP20">
        <f t="shared" si="27"/>
        <v>0</v>
      </c>
      <c r="AQ20" t="str">
        <f t="shared" si="22"/>
        <v/>
      </c>
      <c r="AR20">
        <f>IF($Y20="",0,COUNTIF(บันทึกรายเที่ยว!$V$6:$V$10005,$Y20))</f>
        <v>0</v>
      </c>
      <c r="AS20">
        <f>IF($Y20="",0,ROUND(SUMIF(บันทึกรายเที่ยว!$V$6:$V$10005,$Y20,บันทึกรายเที่ยว!$M$6:$M$10005),2))</f>
        <v>0</v>
      </c>
      <c r="AT20">
        <f>IF($Y20="",0,IFERROR(INDEX(อัตราค่าขนส่ง!$J$5:$J$204,MATCH($Y20,อัตราค่าขนส่ง!$O$5:$O$204,0)),0))</f>
        <v>0</v>
      </c>
      <c r="AU20">
        <f t="shared" si="23"/>
        <v>0</v>
      </c>
      <c r="AV20">
        <f t="shared" si="24"/>
        <v>0</v>
      </c>
      <c r="AW20" t="str">
        <f>IF($Y20="","",IFERROR(INDEX(อัตราค่าขนส่ง!$F$5:$F$204,MATCH($Y20,อัตราค่าขนส่ง!$O$5:$O$204,0)),""))</f>
        <v/>
      </c>
      <c r="AX20" t="str">
        <f>IF($W20="","",INDEX(บันทึกรายเที่ยว!$D$6:$D$10005,$W20))</f>
        <v/>
      </c>
      <c r="AY20" t="str">
        <f>IF($W20="","",INDEX(บันทึกรายเที่ยว!$R$6:$R$10005,$W20))</f>
        <v/>
      </c>
      <c r="AZ20">
        <f t="shared" si="25"/>
        <v>0</v>
      </c>
      <c r="BA20" t="str">
        <f>IF($W20="","",INDEX(บันทึกรายเที่ยว!$E$6:$E$10005,$W20))</f>
        <v/>
      </c>
      <c r="BC20">
        <f>IF($Y20="",0,IFERROR(INDEX(อัตราค่าขนส่ง!$M$5:$M$204,MATCH($Y20,อัตราค่าขนส่ง!$O$5:$O$204,0)),0))</f>
        <v>0</v>
      </c>
      <c r="BD20">
        <f>IF($Y20="",0,IFERROR(INDEX(อัตราค่าขนส่ง!$N$5:$N$204,MATCH($Y20,อัตราค่าขนส่ง!$O$5:$O$204,0)),0))</f>
        <v>0</v>
      </c>
      <c r="BF20" s="47" t="s">
        <v>200</v>
      </c>
    </row>
    <row r="21" spans="1:58" ht="21" customHeight="1" x14ac:dyDescent="0.95">
      <c r="A21" s="36" t="str">
        <f>IF($AD21="","",IF($AD21="Z","รวมจ่ายทั้งสิ้น",IF($AD21="H",INDEX($X$5:$X$404,$AC21),IF($AD21="T","รวม",IF($AD21="B",IFERROR(INDEX(อัตราค่าขนส่ง!$U$5:$U$14,MATCH(INDEX($AM$5:$AM$404,$AC21),อัตราค่าขนส่ง!$T$5:$T$14,0)),"รวมกลุ่ม "&amp;INDEX($AM$5:$AM$404,$AC21)),INDEX($AY$5:$AY$404,$AC21))))))</f>
        <v/>
      </c>
      <c r="B21" s="31" t="str">
        <f t="shared" si="0"/>
        <v/>
      </c>
      <c r="C21" s="8" t="str">
        <f t="shared" si="1"/>
        <v/>
      </c>
      <c r="D21" s="37" t="str">
        <f t="shared" si="2"/>
        <v/>
      </c>
      <c r="E21" s="31" t="str">
        <f t="shared" si="3"/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I21" s="32" t="str">
        <f t="shared" si="7"/>
        <v/>
      </c>
      <c r="J21" s="46" t="str">
        <f t="shared" si="8"/>
        <v/>
      </c>
      <c r="K21" s="32" t="str">
        <f t="shared" si="9"/>
        <v/>
      </c>
      <c r="L21" s="32" t="str">
        <f t="shared" si="10"/>
        <v/>
      </c>
      <c r="M21" s="32" t="str">
        <f t="shared" si="11"/>
        <v/>
      </c>
      <c r="N21" s="32" t="str">
        <f t="shared" si="12"/>
        <v/>
      </c>
      <c r="O21" s="32" t="str">
        <f t="shared" si="13"/>
        <v/>
      </c>
      <c r="Q21" t="str">
        <f>IFERROR(MATCH(17,บันทึกรายเที่ยว!$Z$6:$Z$10005,0),"")</f>
        <v/>
      </c>
      <c r="R21" t="str">
        <f>IF($Q21="","",INDEX(บันทึกรายเที่ยว!$V$6:$V$10005,$Q21))</f>
        <v/>
      </c>
      <c r="S21" t="str">
        <f>IF($Q21="","",INDEX(บันทึกรายเที่ยว!$F$6:$F$10005,$Q21))</f>
        <v/>
      </c>
      <c r="T21" t="str">
        <f>IF($Q21="","",MATCH($S21,บันทึกรายเที่ยว!$F$6:$F$10005,0))</f>
        <v/>
      </c>
      <c r="U21" t="str">
        <f>IF($Q21="","",$AL21*10000000+$T21*1000+17)</f>
        <v/>
      </c>
      <c r="V21" t="str">
        <f>IFERROR(MATCH(SMALL($U$5:$U$404,17),$U$5:$U$404,0),"")</f>
        <v/>
      </c>
      <c r="W21" t="str">
        <f t="shared" si="14"/>
        <v/>
      </c>
      <c r="X21" t="str">
        <f t="shared" si="15"/>
        <v/>
      </c>
      <c r="Y21" t="str">
        <f t="shared" si="16"/>
        <v/>
      </c>
      <c r="Z21">
        <f t="shared" si="26"/>
        <v>0</v>
      </c>
      <c r="AA21">
        <f t="shared" si="17"/>
        <v>0</v>
      </c>
      <c r="AB21">
        <f>IF($V21="",99999+17,$AB20+1+$Z20+$AA20+$AO20)</f>
        <v>100016</v>
      </c>
      <c r="AC21" t="str">
        <f>IFERROR(MATCH(17,$AB$5:$AB$404,1),"")</f>
        <v/>
      </c>
      <c r="AD21" t="str">
        <f>IF(17=$AI$1+1,"Z",IF($AC21="","",IF(INDEX($V$5:$V$404,$AC21)="","",IF(17&gt;INDEX($AB$5:$AB$404,$AC21)+INDEX($Z$5:$Z$404,$AC21)+INDEX($AA$5:$AA$404,$AC21)+INDEX($AO$5:$AO$404,$AC21),"",IF(17=INDEX($AB$5:$AB$404,$AC21)+INDEX($Z$5:$Z$404,$AC21),"D",IF(AND(INDEX($Z$5:$Z$404,$AC21)=1,17=INDEX($AB$5:$AB$404,$AC21)),"H",IF(AND(INDEX($AO$5:$AO$404,$AC21)=1,17=INDEX($AB$5:$AB$404,$AC21)+INDEX($Z$5:$Z$404,$AC21)+INDEX($AA$5:$AA$404,$AC21)+INDEX($AO$5:$AO$404,$AC21)),"B","T")))))))</f>
        <v/>
      </c>
      <c r="AF21" t="str">
        <f t="shared" si="18"/>
        <v/>
      </c>
      <c r="AJ21">
        <f>IF($AD21&lt;&gt;"T",0,ROUND(SUMIF(oil!$B$4:$B$63,$AF21,oil!$AE$4:$AE$63),2))</f>
        <v>0</v>
      </c>
      <c r="AK21" t="str">
        <f>IF($S21="","",IFERROR(INDEX(อัตราค่าขนส่ง!$R$5:$R$54,MATCH($S21,อัตราค่าขนส่ง!$Q$5:$Q$54,0)),INDEX(รายการมาตรฐาน!$G$2:$G$3,1)))</f>
        <v/>
      </c>
      <c r="AL21" t="str">
        <f>IF($S21="","",IFERROR(MATCH($AK21,รายการมาตรฐาน!$G$2:$G$3,0),1))</f>
        <v/>
      </c>
      <c r="AM21" t="str">
        <f t="shared" si="19"/>
        <v/>
      </c>
      <c r="AN21" t="str">
        <f t="shared" si="20"/>
        <v/>
      </c>
      <c r="AO21">
        <f t="shared" si="21"/>
        <v>0</v>
      </c>
      <c r="AP21">
        <f t="shared" si="27"/>
        <v>0</v>
      </c>
      <c r="AQ21" t="str">
        <f t="shared" si="22"/>
        <v/>
      </c>
      <c r="AR21">
        <f>IF($Y21="",0,COUNTIF(บันทึกรายเที่ยว!$V$6:$V$10005,$Y21))</f>
        <v>0</v>
      </c>
      <c r="AS21">
        <f>IF($Y21="",0,ROUND(SUMIF(บันทึกรายเที่ยว!$V$6:$V$10005,$Y21,บันทึกรายเที่ยว!$M$6:$M$10005),2))</f>
        <v>0</v>
      </c>
      <c r="AT21">
        <f>IF($Y21="",0,IFERROR(INDEX(อัตราค่าขนส่ง!$J$5:$J$204,MATCH($Y21,อัตราค่าขนส่ง!$O$5:$O$204,0)),0))</f>
        <v>0</v>
      </c>
      <c r="AU21">
        <f t="shared" si="23"/>
        <v>0</v>
      </c>
      <c r="AV21">
        <f t="shared" si="24"/>
        <v>0</v>
      </c>
      <c r="AW21" t="str">
        <f>IF($Y21="","",IFERROR(INDEX(อัตราค่าขนส่ง!$F$5:$F$204,MATCH($Y21,อัตราค่าขนส่ง!$O$5:$O$204,0)),""))</f>
        <v/>
      </c>
      <c r="AX21" t="str">
        <f>IF($W21="","",INDEX(บันทึกรายเที่ยว!$D$6:$D$10005,$W21))</f>
        <v/>
      </c>
      <c r="AY21" t="str">
        <f>IF($W21="","",INDEX(บันทึกรายเที่ยว!$R$6:$R$10005,$W21))</f>
        <v/>
      </c>
      <c r="AZ21">
        <f t="shared" si="25"/>
        <v>0</v>
      </c>
      <c r="BA21" t="str">
        <f>IF($W21="","",INDEX(บันทึกรายเที่ยว!$E$6:$E$10005,$W21))</f>
        <v/>
      </c>
      <c r="BC21">
        <f>IF($Y21="",0,IFERROR(INDEX(อัตราค่าขนส่ง!$M$5:$M$204,MATCH($Y21,อัตราค่าขนส่ง!$O$5:$O$204,0)),0))</f>
        <v>0</v>
      </c>
      <c r="BD21">
        <f>IF($Y21="",0,IFERROR(INDEX(อัตราค่าขนส่ง!$N$5:$N$204,MATCH($Y21,อัตราค่าขนส่ง!$O$5:$O$204,0)),0))</f>
        <v>0</v>
      </c>
    </row>
    <row r="22" spans="1:58" ht="21" customHeight="1" x14ac:dyDescent="0.95">
      <c r="A22" s="36" t="str">
        <f>IF($AD22="","",IF($AD22="Z","รวมจ่ายทั้งสิ้น",IF($AD22="H",INDEX($X$5:$X$404,$AC22),IF($AD22="T","รวม",IF($AD22="B",IFERROR(INDEX(อัตราค่าขนส่ง!$U$5:$U$14,MATCH(INDEX($AM$5:$AM$404,$AC22),อัตราค่าขนส่ง!$T$5:$T$14,0)),"รวมกลุ่ม "&amp;INDEX($AM$5:$AM$404,$AC22)),INDEX($AY$5:$AY$404,$AC22))))))</f>
        <v/>
      </c>
      <c r="B22" s="31" t="str">
        <f t="shared" si="0"/>
        <v/>
      </c>
      <c r="C22" s="8" t="str">
        <f t="shared" si="1"/>
        <v/>
      </c>
      <c r="D22" s="37" t="str">
        <f t="shared" si="2"/>
        <v/>
      </c>
      <c r="E22" s="31" t="str">
        <f t="shared" si="3"/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I22" s="32" t="str">
        <f t="shared" si="7"/>
        <v/>
      </c>
      <c r="J22" s="46" t="str">
        <f t="shared" si="8"/>
        <v/>
      </c>
      <c r="K22" s="32" t="str">
        <f t="shared" si="9"/>
        <v/>
      </c>
      <c r="L22" s="32" t="str">
        <f t="shared" si="10"/>
        <v/>
      </c>
      <c r="M22" s="32" t="str">
        <f t="shared" si="11"/>
        <v/>
      </c>
      <c r="N22" s="32" t="str">
        <f t="shared" si="12"/>
        <v/>
      </c>
      <c r="O22" s="32" t="str">
        <f t="shared" si="13"/>
        <v/>
      </c>
      <c r="Q22" t="str">
        <f>IFERROR(MATCH(18,บันทึกรายเที่ยว!$Z$6:$Z$10005,0),"")</f>
        <v/>
      </c>
      <c r="R22" t="str">
        <f>IF($Q22="","",INDEX(บันทึกรายเที่ยว!$V$6:$V$10005,$Q22))</f>
        <v/>
      </c>
      <c r="S22" t="str">
        <f>IF($Q22="","",INDEX(บันทึกรายเที่ยว!$F$6:$F$10005,$Q22))</f>
        <v/>
      </c>
      <c r="T22" t="str">
        <f>IF($Q22="","",MATCH($S22,บันทึกรายเที่ยว!$F$6:$F$10005,0))</f>
        <v/>
      </c>
      <c r="U22" t="str">
        <f>IF($Q22="","",$AL22*10000000+$T22*1000+18)</f>
        <v/>
      </c>
      <c r="V22" t="str">
        <f>IFERROR(MATCH(SMALL($U$5:$U$404,18),$U$5:$U$404,0),"")</f>
        <v/>
      </c>
      <c r="W22" t="str">
        <f t="shared" si="14"/>
        <v/>
      </c>
      <c r="X22" t="str">
        <f t="shared" si="15"/>
        <v/>
      </c>
      <c r="Y22" t="str">
        <f t="shared" si="16"/>
        <v/>
      </c>
      <c r="Z22">
        <f t="shared" si="26"/>
        <v>0</v>
      </c>
      <c r="AA22">
        <f t="shared" si="17"/>
        <v>0</v>
      </c>
      <c r="AB22">
        <f>IF($V22="",99999+18,$AB21+1+$Z21+$AA21+$AO21)</f>
        <v>100017</v>
      </c>
      <c r="AC22" t="str">
        <f>IFERROR(MATCH(18,$AB$5:$AB$404,1),"")</f>
        <v/>
      </c>
      <c r="AD22" t="str">
        <f>IF(18=$AI$1+1,"Z",IF($AC22="","",IF(INDEX($V$5:$V$404,$AC22)="","",IF(18&gt;INDEX($AB$5:$AB$404,$AC22)+INDEX($Z$5:$Z$404,$AC22)+INDEX($AA$5:$AA$404,$AC22)+INDEX($AO$5:$AO$404,$AC22),"",IF(18=INDEX($AB$5:$AB$404,$AC22)+INDEX($Z$5:$Z$404,$AC22),"D",IF(AND(INDEX($Z$5:$Z$404,$AC22)=1,18=INDEX($AB$5:$AB$404,$AC22)),"H",IF(AND(INDEX($AO$5:$AO$404,$AC22)=1,18=INDEX($AB$5:$AB$404,$AC22)+INDEX($Z$5:$Z$404,$AC22)+INDEX($AA$5:$AA$404,$AC22)+INDEX($AO$5:$AO$404,$AC22)),"B","T")))))))</f>
        <v/>
      </c>
      <c r="AF22" t="str">
        <f t="shared" si="18"/>
        <v/>
      </c>
      <c r="AJ22">
        <f>IF($AD22&lt;&gt;"T",0,ROUND(SUMIF(oil!$B$4:$B$63,$AF22,oil!$AE$4:$AE$63),2))</f>
        <v>0</v>
      </c>
      <c r="AK22" t="str">
        <f>IF($S22="","",IFERROR(INDEX(อัตราค่าขนส่ง!$R$5:$R$54,MATCH($S22,อัตราค่าขนส่ง!$Q$5:$Q$54,0)),INDEX(รายการมาตรฐาน!$G$2:$G$3,1)))</f>
        <v/>
      </c>
      <c r="AL22" t="str">
        <f>IF($S22="","",IFERROR(MATCH($AK22,รายการมาตรฐาน!$G$2:$G$3,0),1))</f>
        <v/>
      </c>
      <c r="AM22" t="str">
        <f t="shared" si="19"/>
        <v/>
      </c>
      <c r="AN22" t="str">
        <f t="shared" si="20"/>
        <v/>
      </c>
      <c r="AO22">
        <f t="shared" si="21"/>
        <v>0</v>
      </c>
      <c r="AP22">
        <f t="shared" si="27"/>
        <v>0</v>
      </c>
      <c r="AQ22" t="str">
        <f t="shared" si="22"/>
        <v/>
      </c>
      <c r="AR22">
        <f>IF($Y22="",0,COUNTIF(บันทึกรายเที่ยว!$V$6:$V$10005,$Y22))</f>
        <v>0</v>
      </c>
      <c r="AS22">
        <f>IF($Y22="",0,ROUND(SUMIF(บันทึกรายเที่ยว!$V$6:$V$10005,$Y22,บันทึกรายเที่ยว!$M$6:$M$10005),2))</f>
        <v>0</v>
      </c>
      <c r="AT22">
        <f>IF($Y22="",0,IFERROR(INDEX(อัตราค่าขนส่ง!$J$5:$J$204,MATCH($Y22,อัตราค่าขนส่ง!$O$5:$O$204,0)),0))</f>
        <v>0</v>
      </c>
      <c r="AU22">
        <f t="shared" si="23"/>
        <v>0</v>
      </c>
      <c r="AV22">
        <f t="shared" si="24"/>
        <v>0</v>
      </c>
      <c r="AW22" t="str">
        <f>IF($Y22="","",IFERROR(INDEX(อัตราค่าขนส่ง!$F$5:$F$204,MATCH($Y22,อัตราค่าขนส่ง!$O$5:$O$204,0)),""))</f>
        <v/>
      </c>
      <c r="AX22" t="str">
        <f>IF($W22="","",INDEX(บันทึกรายเที่ยว!$D$6:$D$10005,$W22))</f>
        <v/>
      </c>
      <c r="AY22" t="str">
        <f>IF($W22="","",INDEX(บันทึกรายเที่ยว!$R$6:$R$10005,$W22))</f>
        <v/>
      </c>
      <c r="AZ22">
        <f t="shared" si="25"/>
        <v>0</v>
      </c>
      <c r="BA22" t="str">
        <f>IF($W22="","",INDEX(บันทึกรายเที่ยว!$E$6:$E$10005,$W22))</f>
        <v/>
      </c>
      <c r="BC22">
        <f>IF($Y22="",0,IFERROR(INDEX(อัตราค่าขนส่ง!$M$5:$M$204,MATCH($Y22,อัตราค่าขนส่ง!$O$5:$O$204,0)),0))</f>
        <v>0</v>
      </c>
      <c r="BD22">
        <f>IF($Y22="",0,IFERROR(INDEX(อัตราค่าขนส่ง!$N$5:$N$204,MATCH($Y22,อัตราค่าขนส่ง!$O$5:$O$204,0)),0))</f>
        <v>0</v>
      </c>
    </row>
    <row r="23" spans="1:58" ht="21" customHeight="1" x14ac:dyDescent="0.95">
      <c r="A23" s="36" t="str">
        <f>IF($AD23="","",IF($AD23="Z","รวมจ่ายทั้งสิ้น",IF($AD23="H",INDEX($X$5:$X$404,$AC23),IF($AD23="T","รวม",IF($AD23="B",IFERROR(INDEX(อัตราค่าขนส่ง!$U$5:$U$14,MATCH(INDEX($AM$5:$AM$404,$AC23),อัตราค่าขนส่ง!$T$5:$T$14,0)),"รวมกลุ่ม "&amp;INDEX($AM$5:$AM$404,$AC23)),INDEX($AY$5:$AY$404,$AC23))))))</f>
        <v/>
      </c>
      <c r="B23" s="31" t="str">
        <f t="shared" si="0"/>
        <v/>
      </c>
      <c r="C23" s="8" t="str">
        <f t="shared" si="1"/>
        <v/>
      </c>
      <c r="D23" s="37" t="str">
        <f t="shared" si="2"/>
        <v/>
      </c>
      <c r="E23" s="31" t="str">
        <f t="shared" si="3"/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I23" s="32" t="str">
        <f t="shared" si="7"/>
        <v/>
      </c>
      <c r="J23" s="46" t="str">
        <f t="shared" si="8"/>
        <v/>
      </c>
      <c r="K23" s="32" t="str">
        <f t="shared" si="9"/>
        <v/>
      </c>
      <c r="L23" s="32" t="str">
        <f t="shared" si="10"/>
        <v/>
      </c>
      <c r="M23" s="32" t="str">
        <f t="shared" si="11"/>
        <v/>
      </c>
      <c r="N23" s="32" t="str">
        <f t="shared" si="12"/>
        <v/>
      </c>
      <c r="O23" s="32" t="str">
        <f t="shared" si="13"/>
        <v/>
      </c>
      <c r="Q23" t="str">
        <f>IFERROR(MATCH(19,บันทึกรายเที่ยว!$Z$6:$Z$10005,0),"")</f>
        <v/>
      </c>
      <c r="R23" t="str">
        <f>IF($Q23="","",INDEX(บันทึกรายเที่ยว!$V$6:$V$10005,$Q23))</f>
        <v/>
      </c>
      <c r="S23" t="str">
        <f>IF($Q23="","",INDEX(บันทึกรายเที่ยว!$F$6:$F$10005,$Q23))</f>
        <v/>
      </c>
      <c r="T23" t="str">
        <f>IF($Q23="","",MATCH($S23,บันทึกรายเที่ยว!$F$6:$F$10005,0))</f>
        <v/>
      </c>
      <c r="U23" t="str">
        <f>IF($Q23="","",$AL23*10000000+$T23*1000+19)</f>
        <v/>
      </c>
      <c r="V23" t="str">
        <f>IFERROR(MATCH(SMALL($U$5:$U$404,19),$U$5:$U$404,0),"")</f>
        <v/>
      </c>
      <c r="W23" t="str">
        <f t="shared" si="14"/>
        <v/>
      </c>
      <c r="X23" t="str">
        <f t="shared" si="15"/>
        <v/>
      </c>
      <c r="Y23" t="str">
        <f t="shared" si="16"/>
        <v/>
      </c>
      <c r="Z23">
        <f t="shared" si="26"/>
        <v>0</v>
      </c>
      <c r="AA23">
        <f t="shared" si="17"/>
        <v>0</v>
      </c>
      <c r="AB23">
        <f>IF($V23="",99999+19,$AB22+1+$Z22+$AA22+$AO22)</f>
        <v>100018</v>
      </c>
      <c r="AC23" t="str">
        <f>IFERROR(MATCH(19,$AB$5:$AB$404,1),"")</f>
        <v/>
      </c>
      <c r="AD23" t="str">
        <f>IF(19=$AI$1+1,"Z",IF($AC23="","",IF(INDEX($V$5:$V$404,$AC23)="","",IF(19&gt;INDEX($AB$5:$AB$404,$AC23)+INDEX($Z$5:$Z$404,$AC23)+INDEX($AA$5:$AA$404,$AC23)+INDEX($AO$5:$AO$404,$AC23),"",IF(19=INDEX($AB$5:$AB$404,$AC23)+INDEX($Z$5:$Z$404,$AC23),"D",IF(AND(INDEX($Z$5:$Z$404,$AC23)=1,19=INDEX($AB$5:$AB$404,$AC23)),"H",IF(AND(INDEX($AO$5:$AO$404,$AC23)=1,19=INDEX($AB$5:$AB$404,$AC23)+INDEX($Z$5:$Z$404,$AC23)+INDEX($AA$5:$AA$404,$AC23)+INDEX($AO$5:$AO$404,$AC23)),"B","T")))))))</f>
        <v/>
      </c>
      <c r="AF23" t="str">
        <f t="shared" si="18"/>
        <v/>
      </c>
      <c r="AJ23">
        <f>IF($AD23&lt;&gt;"T",0,ROUND(SUMIF(oil!$B$4:$B$63,$AF23,oil!$AE$4:$AE$63),2))</f>
        <v>0</v>
      </c>
      <c r="AK23" t="str">
        <f>IF($S23="","",IFERROR(INDEX(อัตราค่าขนส่ง!$R$5:$R$54,MATCH($S23,อัตราค่าขนส่ง!$Q$5:$Q$54,0)),INDEX(รายการมาตรฐาน!$G$2:$G$3,1)))</f>
        <v/>
      </c>
      <c r="AL23" t="str">
        <f>IF($S23="","",IFERROR(MATCH($AK23,รายการมาตรฐาน!$G$2:$G$3,0),1))</f>
        <v/>
      </c>
      <c r="AM23" t="str">
        <f t="shared" si="19"/>
        <v/>
      </c>
      <c r="AN23" t="str">
        <f t="shared" si="20"/>
        <v/>
      </c>
      <c r="AO23">
        <f t="shared" si="21"/>
        <v>0</v>
      </c>
      <c r="AP23">
        <f t="shared" si="27"/>
        <v>0</v>
      </c>
      <c r="AQ23" t="str">
        <f t="shared" si="22"/>
        <v/>
      </c>
      <c r="AR23">
        <f>IF($Y23="",0,COUNTIF(บันทึกรายเที่ยว!$V$6:$V$10005,$Y23))</f>
        <v>0</v>
      </c>
      <c r="AS23">
        <f>IF($Y23="",0,ROUND(SUMIF(บันทึกรายเที่ยว!$V$6:$V$10005,$Y23,บันทึกรายเที่ยว!$M$6:$M$10005),2))</f>
        <v>0</v>
      </c>
      <c r="AT23">
        <f>IF($Y23="",0,IFERROR(INDEX(อัตราค่าขนส่ง!$J$5:$J$204,MATCH($Y23,อัตราค่าขนส่ง!$O$5:$O$204,0)),0))</f>
        <v>0</v>
      </c>
      <c r="AU23">
        <f t="shared" si="23"/>
        <v>0</v>
      </c>
      <c r="AV23">
        <f t="shared" si="24"/>
        <v>0</v>
      </c>
      <c r="AW23" t="str">
        <f>IF($Y23="","",IFERROR(INDEX(อัตราค่าขนส่ง!$F$5:$F$204,MATCH($Y23,อัตราค่าขนส่ง!$O$5:$O$204,0)),""))</f>
        <v/>
      </c>
      <c r="AX23" t="str">
        <f>IF($W23="","",INDEX(บันทึกรายเที่ยว!$D$6:$D$10005,$W23))</f>
        <v/>
      </c>
      <c r="AY23" t="str">
        <f>IF($W23="","",INDEX(บันทึกรายเที่ยว!$R$6:$R$10005,$W23))</f>
        <v/>
      </c>
      <c r="AZ23">
        <f t="shared" si="25"/>
        <v>0</v>
      </c>
      <c r="BA23" t="str">
        <f>IF($W23="","",INDEX(บันทึกรายเที่ยว!$E$6:$E$10005,$W23))</f>
        <v/>
      </c>
      <c r="BC23">
        <f>IF($Y23="",0,IFERROR(INDEX(อัตราค่าขนส่ง!$M$5:$M$204,MATCH($Y23,อัตราค่าขนส่ง!$O$5:$O$204,0)),0))</f>
        <v>0</v>
      </c>
      <c r="BD23">
        <f>IF($Y23="",0,IFERROR(INDEX(อัตราค่าขนส่ง!$N$5:$N$204,MATCH($Y23,อัตราค่าขนส่ง!$O$5:$O$204,0)),0))</f>
        <v>0</v>
      </c>
    </row>
    <row r="24" spans="1:58" ht="21" customHeight="1" x14ac:dyDescent="0.95">
      <c r="A24" s="36" t="str">
        <f>IF($AD24="","",IF($AD24="Z","รวมจ่ายทั้งสิ้น",IF($AD24="H",INDEX($X$5:$X$404,$AC24),IF($AD24="T","รวม",IF($AD24="B",IFERROR(INDEX(อัตราค่าขนส่ง!$U$5:$U$14,MATCH(INDEX($AM$5:$AM$404,$AC24),อัตราค่าขนส่ง!$T$5:$T$14,0)),"รวมกลุ่ม "&amp;INDEX($AM$5:$AM$404,$AC24)),INDEX($AY$5:$AY$404,$AC24))))))</f>
        <v/>
      </c>
      <c r="B24" s="31" t="str">
        <f t="shared" si="0"/>
        <v/>
      </c>
      <c r="C24" s="8" t="str">
        <f t="shared" si="1"/>
        <v/>
      </c>
      <c r="D24" s="37" t="str">
        <f t="shared" si="2"/>
        <v/>
      </c>
      <c r="E24" s="31" t="str">
        <f t="shared" si="3"/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I24" s="32" t="str">
        <f t="shared" si="7"/>
        <v/>
      </c>
      <c r="J24" s="46" t="str">
        <f t="shared" si="8"/>
        <v/>
      </c>
      <c r="K24" s="32" t="str">
        <f t="shared" si="9"/>
        <v/>
      </c>
      <c r="L24" s="32" t="str">
        <f t="shared" si="10"/>
        <v/>
      </c>
      <c r="M24" s="32" t="str">
        <f t="shared" si="11"/>
        <v/>
      </c>
      <c r="N24" s="32" t="str">
        <f t="shared" si="12"/>
        <v/>
      </c>
      <c r="O24" s="32" t="str">
        <f t="shared" si="13"/>
        <v/>
      </c>
      <c r="Q24" t="str">
        <f>IFERROR(MATCH(20,บันทึกรายเที่ยว!$Z$6:$Z$10005,0),"")</f>
        <v/>
      </c>
      <c r="R24" t="str">
        <f>IF($Q24="","",INDEX(บันทึกรายเที่ยว!$V$6:$V$10005,$Q24))</f>
        <v/>
      </c>
      <c r="S24" t="str">
        <f>IF($Q24="","",INDEX(บันทึกรายเที่ยว!$F$6:$F$10005,$Q24))</f>
        <v/>
      </c>
      <c r="T24" t="str">
        <f>IF($Q24="","",MATCH($S24,บันทึกรายเที่ยว!$F$6:$F$10005,0))</f>
        <v/>
      </c>
      <c r="U24" t="str">
        <f>IF($Q24="","",$AL24*10000000+$T24*1000+20)</f>
        <v/>
      </c>
      <c r="V24" t="str">
        <f>IFERROR(MATCH(SMALL($U$5:$U$404,20),$U$5:$U$404,0),"")</f>
        <v/>
      </c>
      <c r="W24" t="str">
        <f t="shared" si="14"/>
        <v/>
      </c>
      <c r="X24" t="str">
        <f t="shared" si="15"/>
        <v/>
      </c>
      <c r="Y24" t="str">
        <f t="shared" si="16"/>
        <v/>
      </c>
      <c r="Z24">
        <f t="shared" si="26"/>
        <v>0</v>
      </c>
      <c r="AA24">
        <f t="shared" si="17"/>
        <v>0</v>
      </c>
      <c r="AB24">
        <f>IF($V24="",99999+20,$AB23+1+$Z23+$AA23+$AO23)</f>
        <v>100019</v>
      </c>
      <c r="AC24" t="str">
        <f>IFERROR(MATCH(20,$AB$5:$AB$404,1),"")</f>
        <v/>
      </c>
      <c r="AD24" t="str">
        <f>IF(20=$AI$1+1,"Z",IF($AC24="","",IF(INDEX($V$5:$V$404,$AC24)="","",IF(20&gt;INDEX($AB$5:$AB$404,$AC24)+INDEX($Z$5:$Z$404,$AC24)+INDEX($AA$5:$AA$404,$AC24)+INDEX($AO$5:$AO$404,$AC24),"",IF(20=INDEX($AB$5:$AB$404,$AC24)+INDEX($Z$5:$Z$404,$AC24),"D",IF(AND(INDEX($Z$5:$Z$404,$AC24)=1,20=INDEX($AB$5:$AB$404,$AC24)),"H",IF(AND(INDEX($AO$5:$AO$404,$AC24)=1,20=INDEX($AB$5:$AB$404,$AC24)+INDEX($Z$5:$Z$404,$AC24)+INDEX($AA$5:$AA$404,$AC24)+INDEX($AO$5:$AO$404,$AC24)),"B","T")))))))</f>
        <v/>
      </c>
      <c r="AF24" t="str">
        <f t="shared" si="18"/>
        <v/>
      </c>
      <c r="AJ24">
        <f>IF($AD24&lt;&gt;"T",0,ROUND(SUMIF(oil!$B$4:$B$63,$AF24,oil!$AE$4:$AE$63),2))</f>
        <v>0</v>
      </c>
      <c r="AK24" t="str">
        <f>IF($S24="","",IFERROR(INDEX(อัตราค่าขนส่ง!$R$5:$R$54,MATCH($S24,อัตราค่าขนส่ง!$Q$5:$Q$54,0)),INDEX(รายการมาตรฐาน!$G$2:$G$3,1)))</f>
        <v/>
      </c>
      <c r="AL24" t="str">
        <f>IF($S24="","",IFERROR(MATCH($AK24,รายการมาตรฐาน!$G$2:$G$3,0),1))</f>
        <v/>
      </c>
      <c r="AM24" t="str">
        <f t="shared" si="19"/>
        <v/>
      </c>
      <c r="AN24" t="str">
        <f t="shared" si="20"/>
        <v/>
      </c>
      <c r="AO24">
        <f t="shared" si="21"/>
        <v>0</v>
      </c>
      <c r="AP24">
        <f t="shared" si="27"/>
        <v>0</v>
      </c>
      <c r="AQ24" t="str">
        <f t="shared" si="22"/>
        <v/>
      </c>
      <c r="AR24">
        <f>IF($Y24="",0,COUNTIF(บันทึกรายเที่ยว!$V$6:$V$10005,$Y24))</f>
        <v>0</v>
      </c>
      <c r="AS24">
        <f>IF($Y24="",0,ROUND(SUMIF(บันทึกรายเที่ยว!$V$6:$V$10005,$Y24,บันทึกรายเที่ยว!$M$6:$M$10005),2))</f>
        <v>0</v>
      </c>
      <c r="AT24">
        <f>IF($Y24="",0,IFERROR(INDEX(อัตราค่าขนส่ง!$J$5:$J$204,MATCH($Y24,อัตราค่าขนส่ง!$O$5:$O$204,0)),0))</f>
        <v>0</v>
      </c>
      <c r="AU24">
        <f t="shared" si="23"/>
        <v>0</v>
      </c>
      <c r="AV24">
        <f t="shared" si="24"/>
        <v>0</v>
      </c>
      <c r="AW24" t="str">
        <f>IF($Y24="","",IFERROR(INDEX(อัตราค่าขนส่ง!$F$5:$F$204,MATCH($Y24,อัตราค่าขนส่ง!$O$5:$O$204,0)),""))</f>
        <v/>
      </c>
      <c r="AX24" t="str">
        <f>IF($W24="","",INDEX(บันทึกรายเที่ยว!$D$6:$D$10005,$W24))</f>
        <v/>
      </c>
      <c r="AY24" t="str">
        <f>IF($W24="","",INDEX(บันทึกรายเที่ยว!$R$6:$R$10005,$W24))</f>
        <v/>
      </c>
      <c r="AZ24">
        <f t="shared" si="25"/>
        <v>0</v>
      </c>
      <c r="BA24" t="str">
        <f>IF($W24="","",INDEX(บันทึกรายเที่ยว!$E$6:$E$10005,$W24))</f>
        <v/>
      </c>
      <c r="BC24">
        <f>IF($Y24="",0,IFERROR(INDEX(อัตราค่าขนส่ง!$M$5:$M$204,MATCH($Y24,อัตราค่าขนส่ง!$O$5:$O$204,0)),0))</f>
        <v>0</v>
      </c>
      <c r="BD24">
        <f>IF($Y24="",0,IFERROR(INDEX(อัตราค่าขนส่ง!$N$5:$N$204,MATCH($Y24,อัตราค่าขนส่ง!$O$5:$O$204,0)),0))</f>
        <v>0</v>
      </c>
    </row>
    <row r="25" spans="1:58" ht="21" customHeight="1" x14ac:dyDescent="0.95">
      <c r="A25" s="36" t="str">
        <f>IF($AD25="","",IF($AD25="Z","รวมจ่ายทั้งสิ้น",IF($AD25="H",INDEX($X$5:$X$404,$AC25),IF($AD25="T","รวม",IF($AD25="B",IFERROR(INDEX(อัตราค่าขนส่ง!$U$5:$U$14,MATCH(INDEX($AM$5:$AM$404,$AC25),อัตราค่าขนส่ง!$T$5:$T$14,0)),"รวมกลุ่ม "&amp;INDEX($AM$5:$AM$404,$AC25)),INDEX($AY$5:$AY$404,$AC25))))))</f>
        <v/>
      </c>
      <c r="B25" s="31" t="str">
        <f t="shared" si="0"/>
        <v/>
      </c>
      <c r="C25" s="8" t="str">
        <f t="shared" si="1"/>
        <v/>
      </c>
      <c r="D25" s="37" t="str">
        <f t="shared" si="2"/>
        <v/>
      </c>
      <c r="E25" s="31" t="str">
        <f t="shared" si="3"/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I25" s="32" t="str">
        <f t="shared" si="7"/>
        <v/>
      </c>
      <c r="J25" s="46" t="str">
        <f t="shared" si="8"/>
        <v/>
      </c>
      <c r="K25" s="32" t="str">
        <f t="shared" si="9"/>
        <v/>
      </c>
      <c r="L25" s="32" t="str">
        <f t="shared" si="10"/>
        <v/>
      </c>
      <c r="M25" s="32" t="str">
        <f t="shared" si="11"/>
        <v/>
      </c>
      <c r="N25" s="32" t="str">
        <f t="shared" si="12"/>
        <v/>
      </c>
      <c r="O25" s="32" t="str">
        <f t="shared" si="13"/>
        <v/>
      </c>
      <c r="Q25" t="str">
        <f>IFERROR(MATCH(21,บันทึกรายเที่ยว!$Z$6:$Z$10005,0),"")</f>
        <v/>
      </c>
      <c r="R25" t="str">
        <f>IF($Q25="","",INDEX(บันทึกรายเที่ยว!$V$6:$V$10005,$Q25))</f>
        <v/>
      </c>
      <c r="S25" t="str">
        <f>IF($Q25="","",INDEX(บันทึกรายเที่ยว!$F$6:$F$10005,$Q25))</f>
        <v/>
      </c>
      <c r="T25" t="str">
        <f>IF($Q25="","",MATCH($S25,บันทึกรายเที่ยว!$F$6:$F$10005,0))</f>
        <v/>
      </c>
      <c r="U25" t="str">
        <f>IF($Q25="","",$AL25*10000000+$T25*1000+21)</f>
        <v/>
      </c>
      <c r="V25" t="str">
        <f>IFERROR(MATCH(SMALL($U$5:$U$404,21),$U$5:$U$404,0),"")</f>
        <v/>
      </c>
      <c r="W25" t="str">
        <f t="shared" si="14"/>
        <v/>
      </c>
      <c r="X25" t="str">
        <f t="shared" si="15"/>
        <v/>
      </c>
      <c r="Y25" t="str">
        <f t="shared" si="16"/>
        <v/>
      </c>
      <c r="Z25">
        <f t="shared" si="26"/>
        <v>0</v>
      </c>
      <c r="AA25">
        <f t="shared" si="17"/>
        <v>0</v>
      </c>
      <c r="AB25">
        <f>IF($V25="",99999+21,$AB24+1+$Z24+$AA24+$AO24)</f>
        <v>100020</v>
      </c>
      <c r="AC25" t="str">
        <f>IFERROR(MATCH(21,$AB$5:$AB$404,1),"")</f>
        <v/>
      </c>
      <c r="AD25" t="str">
        <f>IF(21=$AI$1+1,"Z",IF($AC25="","",IF(INDEX($V$5:$V$404,$AC25)="","",IF(21&gt;INDEX($AB$5:$AB$404,$AC25)+INDEX($Z$5:$Z$404,$AC25)+INDEX($AA$5:$AA$404,$AC25)+INDEX($AO$5:$AO$404,$AC25),"",IF(21=INDEX($AB$5:$AB$404,$AC25)+INDEX($Z$5:$Z$404,$AC25),"D",IF(AND(INDEX($Z$5:$Z$404,$AC25)=1,21=INDEX($AB$5:$AB$404,$AC25)),"H",IF(AND(INDEX($AO$5:$AO$404,$AC25)=1,21=INDEX($AB$5:$AB$404,$AC25)+INDEX($Z$5:$Z$404,$AC25)+INDEX($AA$5:$AA$404,$AC25)+INDEX($AO$5:$AO$404,$AC25)),"B","T")))))))</f>
        <v/>
      </c>
      <c r="AF25" t="str">
        <f t="shared" si="18"/>
        <v/>
      </c>
      <c r="AJ25">
        <f>IF($AD25&lt;&gt;"T",0,ROUND(SUMIF(oil!$B$4:$B$63,$AF25,oil!$AE$4:$AE$63),2))</f>
        <v>0</v>
      </c>
      <c r="AK25" t="str">
        <f>IF($S25="","",IFERROR(INDEX(อัตราค่าขนส่ง!$R$5:$R$54,MATCH($S25,อัตราค่าขนส่ง!$Q$5:$Q$54,0)),INDEX(รายการมาตรฐาน!$G$2:$G$3,1)))</f>
        <v/>
      </c>
      <c r="AL25" t="str">
        <f>IF($S25="","",IFERROR(MATCH($AK25,รายการมาตรฐาน!$G$2:$G$3,0),1))</f>
        <v/>
      </c>
      <c r="AM25" t="str">
        <f t="shared" si="19"/>
        <v/>
      </c>
      <c r="AN25" t="str">
        <f t="shared" si="20"/>
        <v/>
      </c>
      <c r="AO25">
        <f t="shared" si="21"/>
        <v>0</v>
      </c>
      <c r="AP25">
        <f t="shared" si="27"/>
        <v>0</v>
      </c>
      <c r="AQ25" t="str">
        <f t="shared" si="22"/>
        <v/>
      </c>
      <c r="AR25">
        <f>IF($Y25="",0,COUNTIF(บันทึกรายเที่ยว!$V$6:$V$10005,$Y25))</f>
        <v>0</v>
      </c>
      <c r="AS25">
        <f>IF($Y25="",0,ROUND(SUMIF(บันทึกรายเที่ยว!$V$6:$V$10005,$Y25,บันทึกรายเที่ยว!$M$6:$M$10005),2))</f>
        <v>0</v>
      </c>
      <c r="AT25">
        <f>IF($Y25="",0,IFERROR(INDEX(อัตราค่าขนส่ง!$J$5:$J$204,MATCH($Y25,อัตราค่าขนส่ง!$O$5:$O$204,0)),0))</f>
        <v>0</v>
      </c>
      <c r="AU25">
        <f t="shared" si="23"/>
        <v>0</v>
      </c>
      <c r="AV25">
        <f t="shared" si="24"/>
        <v>0</v>
      </c>
      <c r="AW25" t="str">
        <f>IF($Y25="","",IFERROR(INDEX(อัตราค่าขนส่ง!$F$5:$F$204,MATCH($Y25,อัตราค่าขนส่ง!$O$5:$O$204,0)),""))</f>
        <v/>
      </c>
      <c r="AX25" t="str">
        <f>IF($W25="","",INDEX(บันทึกรายเที่ยว!$D$6:$D$10005,$W25))</f>
        <v/>
      </c>
      <c r="AY25" t="str">
        <f>IF($W25="","",INDEX(บันทึกรายเที่ยว!$R$6:$R$10005,$W25))</f>
        <v/>
      </c>
      <c r="AZ25">
        <f t="shared" si="25"/>
        <v>0</v>
      </c>
      <c r="BA25" t="str">
        <f>IF($W25="","",INDEX(บันทึกรายเที่ยว!$E$6:$E$10005,$W25))</f>
        <v/>
      </c>
      <c r="BC25">
        <f>IF($Y25="",0,IFERROR(INDEX(อัตราค่าขนส่ง!$M$5:$M$204,MATCH($Y25,อัตราค่าขนส่ง!$O$5:$O$204,0)),0))</f>
        <v>0</v>
      </c>
      <c r="BD25">
        <f>IF($Y25="",0,IFERROR(INDEX(อัตราค่าขนส่ง!$N$5:$N$204,MATCH($Y25,อัตราค่าขนส่ง!$O$5:$O$204,0)),0))</f>
        <v>0</v>
      </c>
    </row>
    <row r="26" spans="1:58" ht="21" customHeight="1" x14ac:dyDescent="0.95">
      <c r="A26" s="36" t="str">
        <f>IF($AD26="","",IF($AD26="Z","รวมจ่ายทั้งสิ้น",IF($AD26="H",INDEX($X$5:$X$404,$AC26),IF($AD26="T","รวม",IF($AD26="B",IFERROR(INDEX(อัตราค่าขนส่ง!$U$5:$U$14,MATCH(INDEX($AM$5:$AM$404,$AC26),อัตราค่าขนส่ง!$T$5:$T$14,0)),"รวมกลุ่ม "&amp;INDEX($AM$5:$AM$404,$AC26)),INDEX($AY$5:$AY$404,$AC26))))))</f>
        <v/>
      </c>
      <c r="B26" s="31" t="str">
        <f t="shared" si="0"/>
        <v/>
      </c>
      <c r="C26" s="8" t="str">
        <f t="shared" si="1"/>
        <v/>
      </c>
      <c r="D26" s="37" t="str">
        <f t="shared" si="2"/>
        <v/>
      </c>
      <c r="E26" s="31" t="str">
        <f t="shared" si="3"/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I26" s="32" t="str">
        <f t="shared" si="7"/>
        <v/>
      </c>
      <c r="J26" s="46" t="str">
        <f t="shared" si="8"/>
        <v/>
      </c>
      <c r="K26" s="32" t="str">
        <f t="shared" si="9"/>
        <v/>
      </c>
      <c r="L26" s="32" t="str">
        <f t="shared" si="10"/>
        <v/>
      </c>
      <c r="M26" s="32" t="str">
        <f t="shared" si="11"/>
        <v/>
      </c>
      <c r="N26" s="32" t="str">
        <f t="shared" si="12"/>
        <v/>
      </c>
      <c r="O26" s="32" t="str">
        <f t="shared" si="13"/>
        <v/>
      </c>
      <c r="Q26" t="str">
        <f>IFERROR(MATCH(22,บันทึกรายเที่ยว!$Z$6:$Z$10005,0),"")</f>
        <v/>
      </c>
      <c r="R26" t="str">
        <f>IF($Q26="","",INDEX(บันทึกรายเที่ยว!$V$6:$V$10005,$Q26))</f>
        <v/>
      </c>
      <c r="S26" t="str">
        <f>IF($Q26="","",INDEX(บันทึกรายเที่ยว!$F$6:$F$10005,$Q26))</f>
        <v/>
      </c>
      <c r="T26" t="str">
        <f>IF($Q26="","",MATCH($S26,บันทึกรายเที่ยว!$F$6:$F$10005,0))</f>
        <v/>
      </c>
      <c r="U26" t="str">
        <f>IF($Q26="","",$AL26*10000000+$T26*1000+22)</f>
        <v/>
      </c>
      <c r="V26" t="str">
        <f>IFERROR(MATCH(SMALL($U$5:$U$404,22),$U$5:$U$404,0),"")</f>
        <v/>
      </c>
      <c r="W26" t="str">
        <f t="shared" si="14"/>
        <v/>
      </c>
      <c r="X26" t="str">
        <f t="shared" si="15"/>
        <v/>
      </c>
      <c r="Y26" t="str">
        <f t="shared" si="16"/>
        <v/>
      </c>
      <c r="Z26">
        <f t="shared" si="26"/>
        <v>0</v>
      </c>
      <c r="AA26">
        <f t="shared" si="17"/>
        <v>0</v>
      </c>
      <c r="AB26">
        <f>IF($V26="",99999+22,$AB25+1+$Z25+$AA25+$AO25)</f>
        <v>100021</v>
      </c>
      <c r="AC26" t="str">
        <f>IFERROR(MATCH(22,$AB$5:$AB$404,1),"")</f>
        <v/>
      </c>
      <c r="AD26" t="str">
        <f>IF(22=$AI$1+1,"Z",IF($AC26="","",IF(INDEX($V$5:$V$404,$AC26)="","",IF(22&gt;INDEX($AB$5:$AB$404,$AC26)+INDEX($Z$5:$Z$404,$AC26)+INDEX($AA$5:$AA$404,$AC26)+INDEX($AO$5:$AO$404,$AC26),"",IF(22=INDEX($AB$5:$AB$404,$AC26)+INDEX($Z$5:$Z$404,$AC26),"D",IF(AND(INDEX($Z$5:$Z$404,$AC26)=1,22=INDEX($AB$5:$AB$404,$AC26)),"H",IF(AND(INDEX($AO$5:$AO$404,$AC26)=1,22=INDEX($AB$5:$AB$404,$AC26)+INDEX($Z$5:$Z$404,$AC26)+INDEX($AA$5:$AA$404,$AC26)+INDEX($AO$5:$AO$404,$AC26)),"B","T")))))))</f>
        <v/>
      </c>
      <c r="AF26" t="str">
        <f t="shared" si="18"/>
        <v/>
      </c>
      <c r="AJ26">
        <f>IF($AD26&lt;&gt;"T",0,ROUND(SUMIF(oil!$B$4:$B$63,$AF26,oil!$AE$4:$AE$63),2))</f>
        <v>0</v>
      </c>
      <c r="AK26" t="str">
        <f>IF($S26="","",IFERROR(INDEX(อัตราค่าขนส่ง!$R$5:$R$54,MATCH($S26,อัตราค่าขนส่ง!$Q$5:$Q$54,0)),INDEX(รายการมาตรฐาน!$G$2:$G$3,1)))</f>
        <v/>
      </c>
      <c r="AL26" t="str">
        <f>IF($S26="","",IFERROR(MATCH($AK26,รายการมาตรฐาน!$G$2:$G$3,0),1))</f>
        <v/>
      </c>
      <c r="AM26" t="str">
        <f t="shared" si="19"/>
        <v/>
      </c>
      <c r="AN26" t="str">
        <f t="shared" si="20"/>
        <v/>
      </c>
      <c r="AO26">
        <f t="shared" si="21"/>
        <v>0</v>
      </c>
      <c r="AP26">
        <f t="shared" si="27"/>
        <v>0</v>
      </c>
      <c r="AQ26" t="str">
        <f t="shared" si="22"/>
        <v/>
      </c>
      <c r="AR26">
        <f>IF($Y26="",0,COUNTIF(บันทึกรายเที่ยว!$V$6:$V$10005,$Y26))</f>
        <v>0</v>
      </c>
      <c r="AS26">
        <f>IF($Y26="",0,ROUND(SUMIF(บันทึกรายเที่ยว!$V$6:$V$10005,$Y26,บันทึกรายเที่ยว!$M$6:$M$10005),2))</f>
        <v>0</v>
      </c>
      <c r="AT26">
        <f>IF($Y26="",0,IFERROR(INDEX(อัตราค่าขนส่ง!$J$5:$J$204,MATCH($Y26,อัตราค่าขนส่ง!$O$5:$O$204,0)),0))</f>
        <v>0</v>
      </c>
      <c r="AU26">
        <f t="shared" si="23"/>
        <v>0</v>
      </c>
      <c r="AV26">
        <f t="shared" si="24"/>
        <v>0</v>
      </c>
      <c r="AW26" t="str">
        <f>IF($Y26="","",IFERROR(INDEX(อัตราค่าขนส่ง!$F$5:$F$204,MATCH($Y26,อัตราค่าขนส่ง!$O$5:$O$204,0)),""))</f>
        <v/>
      </c>
      <c r="AX26" t="str">
        <f>IF($W26="","",INDEX(บันทึกรายเที่ยว!$D$6:$D$10005,$W26))</f>
        <v/>
      </c>
      <c r="AY26" t="str">
        <f>IF($W26="","",INDEX(บันทึกรายเที่ยว!$R$6:$R$10005,$W26))</f>
        <v/>
      </c>
      <c r="AZ26">
        <f t="shared" si="25"/>
        <v>0</v>
      </c>
      <c r="BA26" t="str">
        <f>IF($W26="","",INDEX(บันทึกรายเที่ยว!$E$6:$E$10005,$W26))</f>
        <v/>
      </c>
      <c r="BC26">
        <f>IF($Y26="",0,IFERROR(INDEX(อัตราค่าขนส่ง!$M$5:$M$204,MATCH($Y26,อัตราค่าขนส่ง!$O$5:$O$204,0)),0))</f>
        <v>0</v>
      </c>
      <c r="BD26">
        <f>IF($Y26="",0,IFERROR(INDEX(อัตราค่าขนส่ง!$N$5:$N$204,MATCH($Y26,อัตราค่าขนส่ง!$O$5:$O$204,0)),0))</f>
        <v>0</v>
      </c>
    </row>
    <row r="27" spans="1:58" ht="21" customHeight="1" x14ac:dyDescent="0.95">
      <c r="A27" s="36" t="str">
        <f>IF($AD27="","",IF($AD27="Z","รวมจ่ายทั้งสิ้น",IF($AD27="H",INDEX($X$5:$X$404,$AC27),IF($AD27="T","รวม",IF($AD27="B",IFERROR(INDEX(อัตราค่าขนส่ง!$U$5:$U$14,MATCH(INDEX($AM$5:$AM$404,$AC27),อัตราค่าขนส่ง!$T$5:$T$14,0)),"รวมกลุ่ม "&amp;INDEX($AM$5:$AM$404,$AC27)),INDEX($AY$5:$AY$404,$AC27))))))</f>
        <v/>
      </c>
      <c r="B27" s="31" t="str">
        <f t="shared" si="0"/>
        <v/>
      </c>
      <c r="C27" s="8" t="str">
        <f t="shared" si="1"/>
        <v/>
      </c>
      <c r="D27" s="37" t="str">
        <f t="shared" si="2"/>
        <v/>
      </c>
      <c r="E27" s="31" t="str">
        <f t="shared" si="3"/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I27" s="32" t="str">
        <f t="shared" si="7"/>
        <v/>
      </c>
      <c r="J27" s="46" t="str">
        <f t="shared" si="8"/>
        <v/>
      </c>
      <c r="K27" s="32" t="str">
        <f t="shared" si="9"/>
        <v/>
      </c>
      <c r="L27" s="32" t="str">
        <f t="shared" si="10"/>
        <v/>
      </c>
      <c r="M27" s="32" t="str">
        <f t="shared" si="11"/>
        <v/>
      </c>
      <c r="N27" s="32" t="str">
        <f t="shared" si="12"/>
        <v/>
      </c>
      <c r="O27" s="32" t="str">
        <f t="shared" si="13"/>
        <v/>
      </c>
      <c r="Q27" t="str">
        <f>IFERROR(MATCH(23,บันทึกรายเที่ยว!$Z$6:$Z$10005,0),"")</f>
        <v/>
      </c>
      <c r="R27" t="str">
        <f>IF($Q27="","",INDEX(บันทึกรายเที่ยว!$V$6:$V$10005,$Q27))</f>
        <v/>
      </c>
      <c r="S27" t="str">
        <f>IF($Q27="","",INDEX(บันทึกรายเที่ยว!$F$6:$F$10005,$Q27))</f>
        <v/>
      </c>
      <c r="T27" t="str">
        <f>IF($Q27="","",MATCH($S27,บันทึกรายเที่ยว!$F$6:$F$10005,0))</f>
        <v/>
      </c>
      <c r="U27" t="str">
        <f>IF($Q27="","",$AL27*10000000+$T27*1000+23)</f>
        <v/>
      </c>
      <c r="V27" t="str">
        <f>IFERROR(MATCH(SMALL($U$5:$U$404,23),$U$5:$U$404,0),"")</f>
        <v/>
      </c>
      <c r="W27" t="str">
        <f t="shared" si="14"/>
        <v/>
      </c>
      <c r="X27" t="str">
        <f t="shared" si="15"/>
        <v/>
      </c>
      <c r="Y27" t="str">
        <f t="shared" si="16"/>
        <v/>
      </c>
      <c r="Z27">
        <f t="shared" si="26"/>
        <v>0</v>
      </c>
      <c r="AA27">
        <f t="shared" si="17"/>
        <v>0</v>
      </c>
      <c r="AB27">
        <f>IF($V27="",99999+23,$AB26+1+$Z26+$AA26+$AO26)</f>
        <v>100022</v>
      </c>
      <c r="AC27" t="str">
        <f>IFERROR(MATCH(23,$AB$5:$AB$404,1),"")</f>
        <v/>
      </c>
      <c r="AD27" t="str">
        <f>IF(23=$AI$1+1,"Z",IF($AC27="","",IF(INDEX($V$5:$V$404,$AC27)="","",IF(23&gt;INDEX($AB$5:$AB$404,$AC27)+INDEX($Z$5:$Z$404,$AC27)+INDEX($AA$5:$AA$404,$AC27)+INDEX($AO$5:$AO$404,$AC27),"",IF(23=INDEX($AB$5:$AB$404,$AC27)+INDEX($Z$5:$Z$404,$AC27),"D",IF(AND(INDEX($Z$5:$Z$404,$AC27)=1,23=INDEX($AB$5:$AB$404,$AC27)),"H",IF(AND(INDEX($AO$5:$AO$404,$AC27)=1,23=INDEX($AB$5:$AB$404,$AC27)+INDEX($Z$5:$Z$404,$AC27)+INDEX($AA$5:$AA$404,$AC27)+INDEX($AO$5:$AO$404,$AC27)),"B","T")))))))</f>
        <v/>
      </c>
      <c r="AF27" t="str">
        <f t="shared" si="18"/>
        <v/>
      </c>
      <c r="AJ27">
        <f>IF($AD27&lt;&gt;"T",0,ROUND(SUMIF(oil!$B$4:$B$63,$AF27,oil!$AE$4:$AE$63),2))</f>
        <v>0</v>
      </c>
      <c r="AK27" t="str">
        <f>IF($S27="","",IFERROR(INDEX(อัตราค่าขนส่ง!$R$5:$R$54,MATCH($S27,อัตราค่าขนส่ง!$Q$5:$Q$54,0)),INDEX(รายการมาตรฐาน!$G$2:$G$3,1)))</f>
        <v/>
      </c>
      <c r="AL27" t="str">
        <f>IF($S27="","",IFERROR(MATCH($AK27,รายการมาตรฐาน!$G$2:$G$3,0),1))</f>
        <v/>
      </c>
      <c r="AM27" t="str">
        <f t="shared" si="19"/>
        <v/>
      </c>
      <c r="AN27" t="str">
        <f t="shared" si="20"/>
        <v/>
      </c>
      <c r="AO27">
        <f t="shared" si="21"/>
        <v>0</v>
      </c>
      <c r="AP27">
        <f t="shared" si="27"/>
        <v>0</v>
      </c>
      <c r="AQ27" t="str">
        <f t="shared" si="22"/>
        <v/>
      </c>
      <c r="AR27">
        <f>IF($Y27="",0,COUNTIF(บันทึกรายเที่ยว!$V$6:$V$10005,$Y27))</f>
        <v>0</v>
      </c>
      <c r="AS27">
        <f>IF($Y27="",0,ROUND(SUMIF(บันทึกรายเที่ยว!$V$6:$V$10005,$Y27,บันทึกรายเที่ยว!$M$6:$M$10005),2))</f>
        <v>0</v>
      </c>
      <c r="AT27">
        <f>IF($Y27="",0,IFERROR(INDEX(อัตราค่าขนส่ง!$J$5:$J$204,MATCH($Y27,อัตราค่าขนส่ง!$O$5:$O$204,0)),0))</f>
        <v>0</v>
      </c>
      <c r="AU27">
        <f t="shared" si="23"/>
        <v>0</v>
      </c>
      <c r="AV27">
        <f t="shared" si="24"/>
        <v>0</v>
      </c>
      <c r="AW27" t="str">
        <f>IF($Y27="","",IFERROR(INDEX(อัตราค่าขนส่ง!$F$5:$F$204,MATCH($Y27,อัตราค่าขนส่ง!$O$5:$O$204,0)),""))</f>
        <v/>
      </c>
      <c r="AX27" t="str">
        <f>IF($W27="","",INDEX(บันทึกรายเที่ยว!$D$6:$D$10005,$W27))</f>
        <v/>
      </c>
      <c r="AY27" t="str">
        <f>IF($W27="","",INDEX(บันทึกรายเที่ยว!$R$6:$R$10005,$W27))</f>
        <v/>
      </c>
      <c r="AZ27">
        <f t="shared" si="25"/>
        <v>0</v>
      </c>
      <c r="BA27" t="str">
        <f>IF($W27="","",INDEX(บันทึกรายเที่ยว!$E$6:$E$10005,$W27))</f>
        <v/>
      </c>
      <c r="BC27">
        <f>IF($Y27="",0,IFERROR(INDEX(อัตราค่าขนส่ง!$M$5:$M$204,MATCH($Y27,อัตราค่าขนส่ง!$O$5:$O$204,0)),0))</f>
        <v>0</v>
      </c>
      <c r="BD27">
        <f>IF($Y27="",0,IFERROR(INDEX(อัตราค่าขนส่ง!$N$5:$N$204,MATCH($Y27,อัตราค่าขนส่ง!$O$5:$O$204,0)),0))</f>
        <v>0</v>
      </c>
    </row>
    <row r="28" spans="1:58" ht="21" customHeight="1" x14ac:dyDescent="0.95">
      <c r="A28" s="36" t="str">
        <f>IF($AD28="","",IF($AD28="Z","รวมจ่ายทั้งสิ้น",IF($AD28="H",INDEX($X$5:$X$404,$AC28),IF($AD28="T","รวม",IF($AD28="B",IFERROR(INDEX(อัตราค่าขนส่ง!$U$5:$U$14,MATCH(INDEX($AM$5:$AM$404,$AC28),อัตราค่าขนส่ง!$T$5:$T$14,0)),"รวมกลุ่ม "&amp;INDEX($AM$5:$AM$404,$AC28)),INDEX($AY$5:$AY$404,$AC28))))))</f>
        <v/>
      </c>
      <c r="B28" s="31" t="str">
        <f t="shared" si="0"/>
        <v/>
      </c>
      <c r="C28" s="8" t="str">
        <f t="shared" si="1"/>
        <v/>
      </c>
      <c r="D28" s="37" t="str">
        <f t="shared" si="2"/>
        <v/>
      </c>
      <c r="E28" s="31" t="str">
        <f t="shared" si="3"/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I28" s="32" t="str">
        <f t="shared" si="7"/>
        <v/>
      </c>
      <c r="J28" s="46" t="str">
        <f t="shared" si="8"/>
        <v/>
      </c>
      <c r="K28" s="32" t="str">
        <f t="shared" si="9"/>
        <v/>
      </c>
      <c r="L28" s="32" t="str">
        <f t="shared" si="10"/>
        <v/>
      </c>
      <c r="M28" s="32" t="str">
        <f t="shared" si="11"/>
        <v/>
      </c>
      <c r="N28" s="32" t="str">
        <f t="shared" si="12"/>
        <v/>
      </c>
      <c r="O28" s="32" t="str">
        <f t="shared" si="13"/>
        <v/>
      </c>
      <c r="Q28" t="str">
        <f>IFERROR(MATCH(24,บันทึกรายเที่ยว!$Z$6:$Z$10005,0),"")</f>
        <v/>
      </c>
      <c r="R28" t="str">
        <f>IF($Q28="","",INDEX(บันทึกรายเที่ยว!$V$6:$V$10005,$Q28))</f>
        <v/>
      </c>
      <c r="S28" t="str">
        <f>IF($Q28="","",INDEX(บันทึกรายเที่ยว!$F$6:$F$10005,$Q28))</f>
        <v/>
      </c>
      <c r="T28" t="str">
        <f>IF($Q28="","",MATCH($S28,บันทึกรายเที่ยว!$F$6:$F$10005,0))</f>
        <v/>
      </c>
      <c r="U28" t="str">
        <f>IF($Q28="","",$AL28*10000000+$T28*1000+24)</f>
        <v/>
      </c>
      <c r="V28" t="str">
        <f>IFERROR(MATCH(SMALL($U$5:$U$404,24),$U$5:$U$404,0),"")</f>
        <v/>
      </c>
      <c r="W28" t="str">
        <f t="shared" si="14"/>
        <v/>
      </c>
      <c r="X28" t="str">
        <f t="shared" si="15"/>
        <v/>
      </c>
      <c r="Y28" t="str">
        <f t="shared" si="16"/>
        <v/>
      </c>
      <c r="Z28">
        <f t="shared" si="26"/>
        <v>0</v>
      </c>
      <c r="AA28">
        <f t="shared" si="17"/>
        <v>0</v>
      </c>
      <c r="AB28">
        <f>IF($V28="",99999+24,$AB27+1+$Z27+$AA27+$AO27)</f>
        <v>100023</v>
      </c>
      <c r="AC28" t="str">
        <f>IFERROR(MATCH(24,$AB$5:$AB$404,1),"")</f>
        <v/>
      </c>
      <c r="AD28" t="str">
        <f>IF(24=$AI$1+1,"Z",IF($AC28="","",IF(INDEX($V$5:$V$404,$AC28)="","",IF(24&gt;INDEX($AB$5:$AB$404,$AC28)+INDEX($Z$5:$Z$404,$AC28)+INDEX($AA$5:$AA$404,$AC28)+INDEX($AO$5:$AO$404,$AC28),"",IF(24=INDEX($AB$5:$AB$404,$AC28)+INDEX($Z$5:$Z$404,$AC28),"D",IF(AND(INDEX($Z$5:$Z$404,$AC28)=1,24=INDEX($AB$5:$AB$404,$AC28)),"H",IF(AND(INDEX($AO$5:$AO$404,$AC28)=1,24=INDEX($AB$5:$AB$404,$AC28)+INDEX($Z$5:$Z$404,$AC28)+INDEX($AA$5:$AA$404,$AC28)+INDEX($AO$5:$AO$404,$AC28)),"B","T")))))))</f>
        <v/>
      </c>
      <c r="AF28" t="str">
        <f t="shared" si="18"/>
        <v/>
      </c>
      <c r="AJ28">
        <f>IF($AD28&lt;&gt;"T",0,ROUND(SUMIF(oil!$B$4:$B$63,$AF28,oil!$AE$4:$AE$63),2))</f>
        <v>0</v>
      </c>
      <c r="AK28" t="str">
        <f>IF($S28="","",IFERROR(INDEX(อัตราค่าขนส่ง!$R$5:$R$54,MATCH($S28,อัตราค่าขนส่ง!$Q$5:$Q$54,0)),INDEX(รายการมาตรฐาน!$G$2:$G$3,1)))</f>
        <v/>
      </c>
      <c r="AL28" t="str">
        <f>IF($S28="","",IFERROR(MATCH($AK28,รายการมาตรฐาน!$G$2:$G$3,0),1))</f>
        <v/>
      </c>
      <c r="AM28" t="str">
        <f t="shared" si="19"/>
        <v/>
      </c>
      <c r="AN28" t="str">
        <f t="shared" si="20"/>
        <v/>
      </c>
      <c r="AO28">
        <f t="shared" si="21"/>
        <v>0</v>
      </c>
      <c r="AP28">
        <f t="shared" si="27"/>
        <v>0</v>
      </c>
      <c r="AQ28" t="str">
        <f t="shared" si="22"/>
        <v/>
      </c>
      <c r="AR28">
        <f>IF($Y28="",0,COUNTIF(บันทึกรายเที่ยว!$V$6:$V$10005,$Y28))</f>
        <v>0</v>
      </c>
      <c r="AS28">
        <f>IF($Y28="",0,ROUND(SUMIF(บันทึกรายเที่ยว!$V$6:$V$10005,$Y28,บันทึกรายเที่ยว!$M$6:$M$10005),2))</f>
        <v>0</v>
      </c>
      <c r="AT28">
        <f>IF($Y28="",0,IFERROR(INDEX(อัตราค่าขนส่ง!$J$5:$J$204,MATCH($Y28,อัตราค่าขนส่ง!$O$5:$O$204,0)),0))</f>
        <v>0</v>
      </c>
      <c r="AU28">
        <f t="shared" si="23"/>
        <v>0</v>
      </c>
      <c r="AV28">
        <f t="shared" si="24"/>
        <v>0</v>
      </c>
      <c r="AW28" t="str">
        <f>IF($Y28="","",IFERROR(INDEX(อัตราค่าขนส่ง!$F$5:$F$204,MATCH($Y28,อัตราค่าขนส่ง!$O$5:$O$204,0)),""))</f>
        <v/>
      </c>
      <c r="AX28" t="str">
        <f>IF($W28="","",INDEX(บันทึกรายเที่ยว!$D$6:$D$10005,$W28))</f>
        <v/>
      </c>
      <c r="AY28" t="str">
        <f>IF($W28="","",INDEX(บันทึกรายเที่ยว!$R$6:$R$10005,$W28))</f>
        <v/>
      </c>
      <c r="AZ28">
        <f t="shared" si="25"/>
        <v>0</v>
      </c>
      <c r="BA28" t="str">
        <f>IF($W28="","",INDEX(บันทึกรายเที่ยว!$E$6:$E$10005,$W28))</f>
        <v/>
      </c>
      <c r="BC28">
        <f>IF($Y28="",0,IFERROR(INDEX(อัตราค่าขนส่ง!$M$5:$M$204,MATCH($Y28,อัตราค่าขนส่ง!$O$5:$O$204,0)),0))</f>
        <v>0</v>
      </c>
      <c r="BD28">
        <f>IF($Y28="",0,IFERROR(INDEX(อัตราค่าขนส่ง!$N$5:$N$204,MATCH($Y28,อัตราค่าขนส่ง!$O$5:$O$204,0)),0))</f>
        <v>0</v>
      </c>
    </row>
    <row r="29" spans="1:58" ht="21" customHeight="1" x14ac:dyDescent="0.95">
      <c r="A29" s="36" t="str">
        <f>IF($AD29="","",IF($AD29="Z","รวมจ่ายทั้งสิ้น",IF($AD29="H",INDEX($X$5:$X$404,$AC29),IF($AD29="T","รวม",IF($AD29="B",IFERROR(INDEX(อัตราค่าขนส่ง!$U$5:$U$14,MATCH(INDEX($AM$5:$AM$404,$AC29),อัตราค่าขนส่ง!$T$5:$T$14,0)),"รวมกลุ่ม "&amp;INDEX($AM$5:$AM$404,$AC29)),INDEX($AY$5:$AY$404,$AC29))))))</f>
        <v/>
      </c>
      <c r="B29" s="31" t="str">
        <f t="shared" si="0"/>
        <v/>
      </c>
      <c r="C29" s="8" t="str">
        <f t="shared" si="1"/>
        <v/>
      </c>
      <c r="D29" s="37" t="str">
        <f t="shared" si="2"/>
        <v/>
      </c>
      <c r="E29" s="31" t="str">
        <f t="shared" si="3"/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I29" s="32" t="str">
        <f t="shared" si="7"/>
        <v/>
      </c>
      <c r="J29" s="46" t="str">
        <f t="shared" si="8"/>
        <v/>
      </c>
      <c r="K29" s="32" t="str">
        <f t="shared" si="9"/>
        <v/>
      </c>
      <c r="L29" s="32" t="str">
        <f t="shared" si="10"/>
        <v/>
      </c>
      <c r="M29" s="32" t="str">
        <f t="shared" si="11"/>
        <v/>
      </c>
      <c r="N29" s="32" t="str">
        <f t="shared" si="12"/>
        <v/>
      </c>
      <c r="O29" s="32" t="str">
        <f t="shared" si="13"/>
        <v/>
      </c>
      <c r="Q29" t="str">
        <f>IFERROR(MATCH(25,บันทึกรายเที่ยว!$Z$6:$Z$10005,0),"")</f>
        <v/>
      </c>
      <c r="R29" t="str">
        <f>IF($Q29="","",INDEX(บันทึกรายเที่ยว!$V$6:$V$10005,$Q29))</f>
        <v/>
      </c>
      <c r="S29" t="str">
        <f>IF($Q29="","",INDEX(บันทึกรายเที่ยว!$F$6:$F$10005,$Q29))</f>
        <v/>
      </c>
      <c r="T29" t="str">
        <f>IF($Q29="","",MATCH($S29,บันทึกรายเที่ยว!$F$6:$F$10005,0))</f>
        <v/>
      </c>
      <c r="U29" t="str">
        <f>IF($Q29="","",$AL29*10000000+$T29*1000+25)</f>
        <v/>
      </c>
      <c r="V29" t="str">
        <f>IFERROR(MATCH(SMALL($U$5:$U$404,25),$U$5:$U$404,0),"")</f>
        <v/>
      </c>
      <c r="W29" t="str">
        <f t="shared" si="14"/>
        <v/>
      </c>
      <c r="X29" t="str">
        <f t="shared" si="15"/>
        <v/>
      </c>
      <c r="Y29" t="str">
        <f t="shared" si="16"/>
        <v/>
      </c>
      <c r="Z29">
        <f t="shared" si="26"/>
        <v>0</v>
      </c>
      <c r="AA29">
        <f t="shared" si="17"/>
        <v>0</v>
      </c>
      <c r="AB29">
        <f>IF($V29="",99999+25,$AB28+1+$Z28+$AA28+$AO28)</f>
        <v>100024</v>
      </c>
      <c r="AC29" t="str">
        <f>IFERROR(MATCH(25,$AB$5:$AB$404,1),"")</f>
        <v/>
      </c>
      <c r="AD29" t="str">
        <f>IF(25=$AI$1+1,"Z",IF($AC29="","",IF(INDEX($V$5:$V$404,$AC29)="","",IF(25&gt;INDEX($AB$5:$AB$404,$AC29)+INDEX($Z$5:$Z$404,$AC29)+INDEX($AA$5:$AA$404,$AC29)+INDEX($AO$5:$AO$404,$AC29),"",IF(25=INDEX($AB$5:$AB$404,$AC29)+INDEX($Z$5:$Z$404,$AC29),"D",IF(AND(INDEX($Z$5:$Z$404,$AC29)=1,25=INDEX($AB$5:$AB$404,$AC29)),"H",IF(AND(INDEX($AO$5:$AO$404,$AC29)=1,25=INDEX($AB$5:$AB$404,$AC29)+INDEX($Z$5:$Z$404,$AC29)+INDEX($AA$5:$AA$404,$AC29)+INDEX($AO$5:$AO$404,$AC29)),"B","T")))))))</f>
        <v/>
      </c>
      <c r="AF29" t="str">
        <f t="shared" si="18"/>
        <v/>
      </c>
      <c r="AJ29">
        <f>IF($AD29&lt;&gt;"T",0,ROUND(SUMIF(oil!$B$4:$B$63,$AF29,oil!$AE$4:$AE$63),2))</f>
        <v>0</v>
      </c>
      <c r="AK29" t="str">
        <f>IF($S29="","",IFERROR(INDEX(อัตราค่าขนส่ง!$R$5:$R$54,MATCH($S29,อัตราค่าขนส่ง!$Q$5:$Q$54,0)),INDEX(รายการมาตรฐาน!$G$2:$G$3,1)))</f>
        <v/>
      </c>
      <c r="AL29" t="str">
        <f>IF($S29="","",IFERROR(MATCH($AK29,รายการมาตรฐาน!$G$2:$G$3,0),1))</f>
        <v/>
      </c>
      <c r="AM29" t="str">
        <f t="shared" si="19"/>
        <v/>
      </c>
      <c r="AN29" t="str">
        <f t="shared" si="20"/>
        <v/>
      </c>
      <c r="AO29">
        <f t="shared" si="21"/>
        <v>0</v>
      </c>
      <c r="AP29">
        <f t="shared" si="27"/>
        <v>0</v>
      </c>
      <c r="AQ29" t="str">
        <f t="shared" si="22"/>
        <v/>
      </c>
      <c r="AR29">
        <f>IF($Y29="",0,COUNTIF(บันทึกรายเที่ยว!$V$6:$V$10005,$Y29))</f>
        <v>0</v>
      </c>
      <c r="AS29">
        <f>IF($Y29="",0,ROUND(SUMIF(บันทึกรายเที่ยว!$V$6:$V$10005,$Y29,บันทึกรายเที่ยว!$M$6:$M$10005),2))</f>
        <v>0</v>
      </c>
      <c r="AT29">
        <f>IF($Y29="",0,IFERROR(INDEX(อัตราค่าขนส่ง!$J$5:$J$204,MATCH($Y29,อัตราค่าขนส่ง!$O$5:$O$204,0)),0))</f>
        <v>0</v>
      </c>
      <c r="AU29">
        <f t="shared" si="23"/>
        <v>0</v>
      </c>
      <c r="AV29">
        <f t="shared" si="24"/>
        <v>0</v>
      </c>
      <c r="AW29" t="str">
        <f>IF($Y29="","",IFERROR(INDEX(อัตราค่าขนส่ง!$F$5:$F$204,MATCH($Y29,อัตราค่าขนส่ง!$O$5:$O$204,0)),""))</f>
        <v/>
      </c>
      <c r="AX29" t="str">
        <f>IF($W29="","",INDEX(บันทึกรายเที่ยว!$D$6:$D$10005,$W29))</f>
        <v/>
      </c>
      <c r="AY29" t="str">
        <f>IF($W29="","",INDEX(บันทึกรายเที่ยว!$R$6:$R$10005,$W29))</f>
        <v/>
      </c>
      <c r="AZ29">
        <f t="shared" si="25"/>
        <v>0</v>
      </c>
      <c r="BA29" t="str">
        <f>IF($W29="","",INDEX(บันทึกรายเที่ยว!$E$6:$E$10005,$W29))</f>
        <v/>
      </c>
      <c r="BC29">
        <f>IF($Y29="",0,IFERROR(INDEX(อัตราค่าขนส่ง!$M$5:$M$204,MATCH($Y29,อัตราค่าขนส่ง!$O$5:$O$204,0)),0))</f>
        <v>0</v>
      </c>
      <c r="BD29">
        <f>IF($Y29="",0,IFERROR(INDEX(อัตราค่าขนส่ง!$N$5:$N$204,MATCH($Y29,อัตราค่าขนส่ง!$O$5:$O$204,0)),0))</f>
        <v>0</v>
      </c>
    </row>
    <row r="30" spans="1:58" ht="21" customHeight="1" x14ac:dyDescent="0.95">
      <c r="A30" s="36" t="str">
        <f>IF($AD30="","",IF($AD30="Z","รวมจ่ายทั้งสิ้น",IF($AD30="H",INDEX($X$5:$X$404,$AC30),IF($AD30="T","รวม",IF($AD30="B",IFERROR(INDEX(อัตราค่าขนส่ง!$U$5:$U$14,MATCH(INDEX($AM$5:$AM$404,$AC30),อัตราค่าขนส่ง!$T$5:$T$14,0)),"รวมกลุ่ม "&amp;INDEX($AM$5:$AM$404,$AC30)),INDEX($AY$5:$AY$404,$AC30))))))</f>
        <v/>
      </c>
      <c r="B30" s="31" t="str">
        <f t="shared" si="0"/>
        <v/>
      </c>
      <c r="C30" s="8" t="str">
        <f t="shared" si="1"/>
        <v/>
      </c>
      <c r="D30" s="37" t="str">
        <f t="shared" si="2"/>
        <v/>
      </c>
      <c r="E30" s="31" t="str">
        <f t="shared" si="3"/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I30" s="32" t="str">
        <f t="shared" si="7"/>
        <v/>
      </c>
      <c r="J30" s="46" t="str">
        <f t="shared" si="8"/>
        <v/>
      </c>
      <c r="K30" s="32" t="str">
        <f t="shared" si="9"/>
        <v/>
      </c>
      <c r="L30" s="32" t="str">
        <f t="shared" si="10"/>
        <v/>
      </c>
      <c r="M30" s="32" t="str">
        <f t="shared" si="11"/>
        <v/>
      </c>
      <c r="N30" s="32" t="str">
        <f t="shared" si="12"/>
        <v/>
      </c>
      <c r="O30" s="32" t="str">
        <f t="shared" si="13"/>
        <v/>
      </c>
      <c r="Q30" t="str">
        <f>IFERROR(MATCH(26,บันทึกรายเที่ยว!$Z$6:$Z$10005,0),"")</f>
        <v/>
      </c>
      <c r="R30" t="str">
        <f>IF($Q30="","",INDEX(บันทึกรายเที่ยว!$V$6:$V$10005,$Q30))</f>
        <v/>
      </c>
      <c r="S30" t="str">
        <f>IF($Q30="","",INDEX(บันทึกรายเที่ยว!$F$6:$F$10005,$Q30))</f>
        <v/>
      </c>
      <c r="T30" t="str">
        <f>IF($Q30="","",MATCH($S30,บันทึกรายเที่ยว!$F$6:$F$10005,0))</f>
        <v/>
      </c>
      <c r="U30" t="str">
        <f>IF($Q30="","",$AL30*10000000+$T30*1000+26)</f>
        <v/>
      </c>
      <c r="V30" t="str">
        <f>IFERROR(MATCH(SMALL($U$5:$U$404,26),$U$5:$U$404,0),"")</f>
        <v/>
      </c>
      <c r="W30" t="str">
        <f t="shared" si="14"/>
        <v/>
      </c>
      <c r="X30" t="str">
        <f t="shared" si="15"/>
        <v/>
      </c>
      <c r="Y30" t="str">
        <f t="shared" si="16"/>
        <v/>
      </c>
      <c r="Z30">
        <f t="shared" si="26"/>
        <v>0</v>
      </c>
      <c r="AA30">
        <f t="shared" si="17"/>
        <v>0</v>
      </c>
      <c r="AB30">
        <f>IF($V30="",99999+26,$AB29+1+$Z29+$AA29+$AO29)</f>
        <v>100025</v>
      </c>
      <c r="AC30" t="str">
        <f>IFERROR(MATCH(26,$AB$5:$AB$404,1),"")</f>
        <v/>
      </c>
      <c r="AD30" t="str">
        <f>IF(26=$AI$1+1,"Z",IF($AC30="","",IF(INDEX($V$5:$V$404,$AC30)="","",IF(26&gt;INDEX($AB$5:$AB$404,$AC30)+INDEX($Z$5:$Z$404,$AC30)+INDEX($AA$5:$AA$404,$AC30)+INDEX($AO$5:$AO$404,$AC30),"",IF(26=INDEX($AB$5:$AB$404,$AC30)+INDEX($Z$5:$Z$404,$AC30),"D",IF(AND(INDEX($Z$5:$Z$404,$AC30)=1,26=INDEX($AB$5:$AB$404,$AC30)),"H",IF(AND(INDEX($AO$5:$AO$404,$AC30)=1,26=INDEX($AB$5:$AB$404,$AC30)+INDEX($Z$5:$Z$404,$AC30)+INDEX($AA$5:$AA$404,$AC30)+INDEX($AO$5:$AO$404,$AC30)),"B","T")))))))</f>
        <v/>
      </c>
      <c r="AF30" t="str">
        <f t="shared" si="18"/>
        <v/>
      </c>
      <c r="AJ30">
        <f>IF($AD30&lt;&gt;"T",0,ROUND(SUMIF(oil!$B$4:$B$63,$AF30,oil!$AE$4:$AE$63),2))</f>
        <v>0</v>
      </c>
      <c r="AK30" t="str">
        <f>IF($S30="","",IFERROR(INDEX(อัตราค่าขนส่ง!$R$5:$R$54,MATCH($S30,อัตราค่าขนส่ง!$Q$5:$Q$54,0)),INDEX(รายการมาตรฐาน!$G$2:$G$3,1)))</f>
        <v/>
      </c>
      <c r="AL30" t="str">
        <f>IF($S30="","",IFERROR(MATCH($AK30,รายการมาตรฐาน!$G$2:$G$3,0),1))</f>
        <v/>
      </c>
      <c r="AM30" t="str">
        <f t="shared" si="19"/>
        <v/>
      </c>
      <c r="AN30" t="str">
        <f t="shared" si="20"/>
        <v/>
      </c>
      <c r="AO30">
        <f t="shared" si="21"/>
        <v>0</v>
      </c>
      <c r="AP30">
        <f t="shared" si="27"/>
        <v>0</v>
      </c>
      <c r="AQ30" t="str">
        <f t="shared" si="22"/>
        <v/>
      </c>
      <c r="AR30">
        <f>IF($Y30="",0,COUNTIF(บันทึกรายเที่ยว!$V$6:$V$10005,$Y30))</f>
        <v>0</v>
      </c>
      <c r="AS30">
        <f>IF($Y30="",0,ROUND(SUMIF(บันทึกรายเที่ยว!$V$6:$V$10005,$Y30,บันทึกรายเที่ยว!$M$6:$M$10005),2))</f>
        <v>0</v>
      </c>
      <c r="AT30">
        <f>IF($Y30="",0,IFERROR(INDEX(อัตราค่าขนส่ง!$J$5:$J$204,MATCH($Y30,อัตราค่าขนส่ง!$O$5:$O$204,0)),0))</f>
        <v>0</v>
      </c>
      <c r="AU30">
        <f t="shared" si="23"/>
        <v>0</v>
      </c>
      <c r="AV30">
        <f t="shared" si="24"/>
        <v>0</v>
      </c>
      <c r="AW30" t="str">
        <f>IF($Y30="","",IFERROR(INDEX(อัตราค่าขนส่ง!$F$5:$F$204,MATCH($Y30,อัตราค่าขนส่ง!$O$5:$O$204,0)),""))</f>
        <v/>
      </c>
      <c r="AX30" t="str">
        <f>IF($W30="","",INDEX(บันทึกรายเที่ยว!$D$6:$D$10005,$W30))</f>
        <v/>
      </c>
      <c r="AY30" t="str">
        <f>IF($W30="","",INDEX(บันทึกรายเที่ยว!$R$6:$R$10005,$W30))</f>
        <v/>
      </c>
      <c r="AZ30">
        <f t="shared" si="25"/>
        <v>0</v>
      </c>
      <c r="BA30" t="str">
        <f>IF($W30="","",INDEX(บันทึกรายเที่ยว!$E$6:$E$10005,$W30))</f>
        <v/>
      </c>
      <c r="BC30">
        <f>IF($Y30="",0,IFERROR(INDEX(อัตราค่าขนส่ง!$M$5:$M$204,MATCH($Y30,อัตราค่าขนส่ง!$O$5:$O$204,0)),0))</f>
        <v>0</v>
      </c>
      <c r="BD30">
        <f>IF($Y30="",0,IFERROR(INDEX(อัตราค่าขนส่ง!$N$5:$N$204,MATCH($Y30,อัตราค่าขนส่ง!$O$5:$O$204,0)),0))</f>
        <v>0</v>
      </c>
    </row>
    <row r="31" spans="1:58" ht="21" customHeight="1" x14ac:dyDescent="0.95">
      <c r="A31" s="36" t="str">
        <f>IF($AD31="","",IF($AD31="Z","รวมจ่ายทั้งสิ้น",IF($AD31="H",INDEX($X$5:$X$404,$AC31),IF($AD31="T","รวม",IF($AD31="B",IFERROR(INDEX(อัตราค่าขนส่ง!$U$5:$U$14,MATCH(INDEX($AM$5:$AM$404,$AC31),อัตราค่าขนส่ง!$T$5:$T$14,0)),"รวมกลุ่ม "&amp;INDEX($AM$5:$AM$404,$AC31)),INDEX($AY$5:$AY$404,$AC31))))))</f>
        <v/>
      </c>
      <c r="B31" s="31" t="str">
        <f t="shared" si="0"/>
        <v/>
      </c>
      <c r="C31" s="8" t="str">
        <f t="shared" si="1"/>
        <v/>
      </c>
      <c r="D31" s="37" t="str">
        <f t="shared" si="2"/>
        <v/>
      </c>
      <c r="E31" s="31" t="str">
        <f t="shared" si="3"/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I31" s="32" t="str">
        <f t="shared" si="7"/>
        <v/>
      </c>
      <c r="J31" s="46" t="str">
        <f t="shared" si="8"/>
        <v/>
      </c>
      <c r="K31" s="32" t="str">
        <f t="shared" si="9"/>
        <v/>
      </c>
      <c r="L31" s="32" t="str">
        <f t="shared" si="10"/>
        <v/>
      </c>
      <c r="M31" s="32" t="str">
        <f t="shared" si="11"/>
        <v/>
      </c>
      <c r="N31" s="32" t="str">
        <f t="shared" si="12"/>
        <v/>
      </c>
      <c r="O31" s="32" t="str">
        <f t="shared" si="13"/>
        <v/>
      </c>
      <c r="Q31" t="str">
        <f>IFERROR(MATCH(27,บันทึกรายเที่ยว!$Z$6:$Z$10005,0),"")</f>
        <v/>
      </c>
      <c r="R31" t="str">
        <f>IF($Q31="","",INDEX(บันทึกรายเที่ยว!$V$6:$V$10005,$Q31))</f>
        <v/>
      </c>
      <c r="S31" t="str">
        <f>IF($Q31="","",INDEX(บันทึกรายเที่ยว!$F$6:$F$10005,$Q31))</f>
        <v/>
      </c>
      <c r="T31" t="str">
        <f>IF($Q31="","",MATCH($S31,บันทึกรายเที่ยว!$F$6:$F$10005,0))</f>
        <v/>
      </c>
      <c r="U31" t="str">
        <f>IF($Q31="","",$AL31*10000000+$T31*1000+27)</f>
        <v/>
      </c>
      <c r="V31" t="str">
        <f>IFERROR(MATCH(SMALL($U$5:$U$404,27),$U$5:$U$404,0),"")</f>
        <v/>
      </c>
      <c r="W31" t="str">
        <f t="shared" si="14"/>
        <v/>
      </c>
      <c r="X31" t="str">
        <f t="shared" si="15"/>
        <v/>
      </c>
      <c r="Y31" t="str">
        <f t="shared" si="16"/>
        <v/>
      </c>
      <c r="Z31">
        <f t="shared" si="26"/>
        <v>0</v>
      </c>
      <c r="AA31">
        <f t="shared" si="17"/>
        <v>0</v>
      </c>
      <c r="AB31">
        <f>IF($V31="",99999+27,$AB30+1+$Z30+$AA30+$AO30)</f>
        <v>100026</v>
      </c>
      <c r="AC31" t="str">
        <f>IFERROR(MATCH(27,$AB$5:$AB$404,1),"")</f>
        <v/>
      </c>
      <c r="AD31" t="str">
        <f>IF(27=$AI$1+1,"Z",IF($AC31="","",IF(INDEX($V$5:$V$404,$AC31)="","",IF(27&gt;INDEX($AB$5:$AB$404,$AC31)+INDEX($Z$5:$Z$404,$AC31)+INDEX($AA$5:$AA$404,$AC31)+INDEX($AO$5:$AO$404,$AC31),"",IF(27=INDEX($AB$5:$AB$404,$AC31)+INDEX($Z$5:$Z$404,$AC31),"D",IF(AND(INDEX($Z$5:$Z$404,$AC31)=1,27=INDEX($AB$5:$AB$404,$AC31)),"H",IF(AND(INDEX($AO$5:$AO$404,$AC31)=1,27=INDEX($AB$5:$AB$404,$AC31)+INDEX($Z$5:$Z$404,$AC31)+INDEX($AA$5:$AA$404,$AC31)+INDEX($AO$5:$AO$404,$AC31)),"B","T")))))))</f>
        <v/>
      </c>
      <c r="AF31" t="str">
        <f t="shared" si="18"/>
        <v/>
      </c>
      <c r="AJ31">
        <f>IF($AD31&lt;&gt;"T",0,ROUND(SUMIF(oil!$B$4:$B$63,$AF31,oil!$AE$4:$AE$63),2))</f>
        <v>0</v>
      </c>
      <c r="AK31" t="str">
        <f>IF($S31="","",IFERROR(INDEX(อัตราค่าขนส่ง!$R$5:$R$54,MATCH($S31,อัตราค่าขนส่ง!$Q$5:$Q$54,0)),INDEX(รายการมาตรฐาน!$G$2:$G$3,1)))</f>
        <v/>
      </c>
      <c r="AL31" t="str">
        <f>IF($S31="","",IFERROR(MATCH($AK31,รายการมาตรฐาน!$G$2:$G$3,0),1))</f>
        <v/>
      </c>
      <c r="AM31" t="str">
        <f t="shared" si="19"/>
        <v/>
      </c>
      <c r="AN31" t="str">
        <f t="shared" si="20"/>
        <v/>
      </c>
      <c r="AO31">
        <f t="shared" si="21"/>
        <v>0</v>
      </c>
      <c r="AP31">
        <f t="shared" si="27"/>
        <v>0</v>
      </c>
      <c r="AQ31" t="str">
        <f t="shared" si="22"/>
        <v/>
      </c>
      <c r="AR31">
        <f>IF($Y31="",0,COUNTIF(บันทึกรายเที่ยว!$V$6:$V$10005,$Y31))</f>
        <v>0</v>
      </c>
      <c r="AS31">
        <f>IF($Y31="",0,ROUND(SUMIF(บันทึกรายเที่ยว!$V$6:$V$10005,$Y31,บันทึกรายเที่ยว!$M$6:$M$10005),2))</f>
        <v>0</v>
      </c>
      <c r="AT31">
        <f>IF($Y31="",0,IFERROR(INDEX(อัตราค่าขนส่ง!$J$5:$J$204,MATCH($Y31,อัตราค่าขนส่ง!$O$5:$O$204,0)),0))</f>
        <v>0</v>
      </c>
      <c r="AU31">
        <f t="shared" si="23"/>
        <v>0</v>
      </c>
      <c r="AV31">
        <f t="shared" si="24"/>
        <v>0</v>
      </c>
      <c r="AW31" t="str">
        <f>IF($Y31="","",IFERROR(INDEX(อัตราค่าขนส่ง!$F$5:$F$204,MATCH($Y31,อัตราค่าขนส่ง!$O$5:$O$204,0)),""))</f>
        <v/>
      </c>
      <c r="AX31" t="str">
        <f>IF($W31="","",INDEX(บันทึกรายเที่ยว!$D$6:$D$10005,$W31))</f>
        <v/>
      </c>
      <c r="AY31" t="str">
        <f>IF($W31="","",INDEX(บันทึกรายเที่ยว!$R$6:$R$10005,$W31))</f>
        <v/>
      </c>
      <c r="AZ31">
        <f t="shared" si="25"/>
        <v>0</v>
      </c>
      <c r="BA31" t="str">
        <f>IF($W31="","",INDEX(บันทึกรายเที่ยว!$E$6:$E$10005,$W31))</f>
        <v/>
      </c>
      <c r="BC31">
        <f>IF($Y31="",0,IFERROR(INDEX(อัตราค่าขนส่ง!$M$5:$M$204,MATCH($Y31,อัตราค่าขนส่ง!$O$5:$O$204,0)),0))</f>
        <v>0</v>
      </c>
      <c r="BD31">
        <f>IF($Y31="",0,IFERROR(INDEX(อัตราค่าขนส่ง!$N$5:$N$204,MATCH($Y31,อัตราค่าขนส่ง!$O$5:$O$204,0)),0))</f>
        <v>0</v>
      </c>
    </row>
    <row r="32" spans="1:58" ht="21" customHeight="1" x14ac:dyDescent="0.95">
      <c r="A32" s="36" t="str">
        <f>IF($AD32="","",IF($AD32="Z","รวมจ่ายทั้งสิ้น",IF($AD32="H",INDEX($X$5:$X$404,$AC32),IF($AD32="T","รวม",IF($AD32="B",IFERROR(INDEX(อัตราค่าขนส่ง!$U$5:$U$14,MATCH(INDEX($AM$5:$AM$404,$AC32),อัตราค่าขนส่ง!$T$5:$T$14,0)),"รวมกลุ่ม "&amp;INDEX($AM$5:$AM$404,$AC32)),INDEX($AY$5:$AY$404,$AC32))))))</f>
        <v/>
      </c>
      <c r="B32" s="31" t="str">
        <f t="shared" si="0"/>
        <v/>
      </c>
      <c r="C32" s="8" t="str">
        <f t="shared" si="1"/>
        <v/>
      </c>
      <c r="D32" s="37" t="str">
        <f t="shared" si="2"/>
        <v/>
      </c>
      <c r="E32" s="31" t="str">
        <f t="shared" si="3"/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I32" s="32" t="str">
        <f t="shared" si="7"/>
        <v/>
      </c>
      <c r="J32" s="46" t="str">
        <f t="shared" si="8"/>
        <v/>
      </c>
      <c r="K32" s="32" t="str">
        <f t="shared" si="9"/>
        <v/>
      </c>
      <c r="L32" s="32" t="str">
        <f t="shared" si="10"/>
        <v/>
      </c>
      <c r="M32" s="32" t="str">
        <f t="shared" si="11"/>
        <v/>
      </c>
      <c r="N32" s="32" t="str">
        <f t="shared" si="12"/>
        <v/>
      </c>
      <c r="O32" s="32" t="str">
        <f t="shared" si="13"/>
        <v/>
      </c>
      <c r="Q32" t="str">
        <f>IFERROR(MATCH(28,บันทึกรายเที่ยว!$Z$6:$Z$10005,0),"")</f>
        <v/>
      </c>
      <c r="R32" t="str">
        <f>IF($Q32="","",INDEX(บันทึกรายเที่ยว!$V$6:$V$10005,$Q32))</f>
        <v/>
      </c>
      <c r="S32" t="str">
        <f>IF($Q32="","",INDEX(บันทึกรายเที่ยว!$F$6:$F$10005,$Q32))</f>
        <v/>
      </c>
      <c r="T32" t="str">
        <f>IF($Q32="","",MATCH($S32,บันทึกรายเที่ยว!$F$6:$F$10005,0))</f>
        <v/>
      </c>
      <c r="U32" t="str">
        <f>IF($Q32="","",$AL32*10000000+$T32*1000+28)</f>
        <v/>
      </c>
      <c r="V32" t="str">
        <f>IFERROR(MATCH(SMALL($U$5:$U$404,28),$U$5:$U$404,0),"")</f>
        <v/>
      </c>
      <c r="W32" t="str">
        <f t="shared" si="14"/>
        <v/>
      </c>
      <c r="X32" t="str">
        <f t="shared" si="15"/>
        <v/>
      </c>
      <c r="Y32" t="str">
        <f t="shared" si="16"/>
        <v/>
      </c>
      <c r="Z32">
        <f t="shared" si="26"/>
        <v>0</v>
      </c>
      <c r="AA32">
        <f t="shared" si="17"/>
        <v>0</v>
      </c>
      <c r="AB32">
        <f>IF($V32="",99999+28,$AB31+1+$Z31+$AA31+$AO31)</f>
        <v>100027</v>
      </c>
      <c r="AC32" t="str">
        <f>IFERROR(MATCH(28,$AB$5:$AB$404,1),"")</f>
        <v/>
      </c>
      <c r="AD32" t="str">
        <f>IF(28=$AI$1+1,"Z",IF($AC32="","",IF(INDEX($V$5:$V$404,$AC32)="","",IF(28&gt;INDEX($AB$5:$AB$404,$AC32)+INDEX($Z$5:$Z$404,$AC32)+INDEX($AA$5:$AA$404,$AC32)+INDEX($AO$5:$AO$404,$AC32),"",IF(28=INDEX($AB$5:$AB$404,$AC32)+INDEX($Z$5:$Z$404,$AC32),"D",IF(AND(INDEX($Z$5:$Z$404,$AC32)=1,28=INDEX($AB$5:$AB$404,$AC32)),"H",IF(AND(INDEX($AO$5:$AO$404,$AC32)=1,28=INDEX($AB$5:$AB$404,$AC32)+INDEX($Z$5:$Z$404,$AC32)+INDEX($AA$5:$AA$404,$AC32)+INDEX($AO$5:$AO$404,$AC32)),"B","T")))))))</f>
        <v/>
      </c>
      <c r="AF32" t="str">
        <f t="shared" si="18"/>
        <v/>
      </c>
      <c r="AJ32">
        <f>IF($AD32&lt;&gt;"T",0,ROUND(SUMIF(oil!$B$4:$B$63,$AF32,oil!$AE$4:$AE$63),2))</f>
        <v>0</v>
      </c>
      <c r="AK32" t="str">
        <f>IF($S32="","",IFERROR(INDEX(อัตราค่าขนส่ง!$R$5:$R$54,MATCH($S32,อัตราค่าขนส่ง!$Q$5:$Q$54,0)),INDEX(รายการมาตรฐาน!$G$2:$G$3,1)))</f>
        <v/>
      </c>
      <c r="AL32" t="str">
        <f>IF($S32="","",IFERROR(MATCH($AK32,รายการมาตรฐาน!$G$2:$G$3,0),1))</f>
        <v/>
      </c>
      <c r="AM32" t="str">
        <f t="shared" si="19"/>
        <v/>
      </c>
      <c r="AN32" t="str">
        <f t="shared" si="20"/>
        <v/>
      </c>
      <c r="AO32">
        <f t="shared" si="21"/>
        <v>0</v>
      </c>
      <c r="AP32">
        <f t="shared" si="27"/>
        <v>0</v>
      </c>
      <c r="AQ32" t="str">
        <f t="shared" si="22"/>
        <v/>
      </c>
      <c r="AR32">
        <f>IF($Y32="",0,COUNTIF(บันทึกรายเที่ยว!$V$6:$V$10005,$Y32))</f>
        <v>0</v>
      </c>
      <c r="AS32">
        <f>IF($Y32="",0,ROUND(SUMIF(บันทึกรายเที่ยว!$V$6:$V$10005,$Y32,บันทึกรายเที่ยว!$M$6:$M$10005),2))</f>
        <v>0</v>
      </c>
      <c r="AT32">
        <f>IF($Y32="",0,IFERROR(INDEX(อัตราค่าขนส่ง!$J$5:$J$204,MATCH($Y32,อัตราค่าขนส่ง!$O$5:$O$204,0)),0))</f>
        <v>0</v>
      </c>
      <c r="AU32">
        <f t="shared" si="23"/>
        <v>0</v>
      </c>
      <c r="AV32">
        <f t="shared" si="24"/>
        <v>0</v>
      </c>
      <c r="AW32" t="str">
        <f>IF($Y32="","",IFERROR(INDEX(อัตราค่าขนส่ง!$F$5:$F$204,MATCH($Y32,อัตราค่าขนส่ง!$O$5:$O$204,0)),""))</f>
        <v/>
      </c>
      <c r="AX32" t="str">
        <f>IF($W32="","",INDEX(บันทึกรายเที่ยว!$D$6:$D$10005,$W32))</f>
        <v/>
      </c>
      <c r="AY32" t="str">
        <f>IF($W32="","",INDEX(บันทึกรายเที่ยว!$R$6:$R$10005,$W32))</f>
        <v/>
      </c>
      <c r="AZ32">
        <f t="shared" si="25"/>
        <v>0</v>
      </c>
      <c r="BA32" t="str">
        <f>IF($W32="","",INDEX(บันทึกรายเที่ยว!$E$6:$E$10005,$W32))</f>
        <v/>
      </c>
      <c r="BC32">
        <f>IF($Y32="",0,IFERROR(INDEX(อัตราค่าขนส่ง!$M$5:$M$204,MATCH($Y32,อัตราค่าขนส่ง!$O$5:$O$204,0)),0))</f>
        <v>0</v>
      </c>
      <c r="BD32">
        <f>IF($Y32="",0,IFERROR(INDEX(อัตราค่าขนส่ง!$N$5:$N$204,MATCH($Y32,อัตราค่าขนส่ง!$O$5:$O$204,0)),0))</f>
        <v>0</v>
      </c>
    </row>
    <row r="33" spans="1:56" ht="21" customHeight="1" x14ac:dyDescent="0.95">
      <c r="A33" s="36" t="str">
        <f>IF($AD33="","",IF($AD33="Z","รวมจ่ายทั้งสิ้น",IF($AD33="H",INDEX($X$5:$X$404,$AC33),IF($AD33="T","รวม",IF($AD33="B",IFERROR(INDEX(อัตราค่าขนส่ง!$U$5:$U$14,MATCH(INDEX($AM$5:$AM$404,$AC33),อัตราค่าขนส่ง!$T$5:$T$14,0)),"รวมกลุ่ม "&amp;INDEX($AM$5:$AM$404,$AC33)),INDEX($AY$5:$AY$404,$AC33))))))</f>
        <v/>
      </c>
      <c r="B33" s="31" t="str">
        <f t="shared" si="0"/>
        <v/>
      </c>
      <c r="C33" s="8" t="str">
        <f t="shared" si="1"/>
        <v/>
      </c>
      <c r="D33" s="37" t="str">
        <f t="shared" si="2"/>
        <v/>
      </c>
      <c r="E33" s="31" t="str">
        <f t="shared" si="3"/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I33" s="32" t="str">
        <f t="shared" si="7"/>
        <v/>
      </c>
      <c r="J33" s="46" t="str">
        <f t="shared" si="8"/>
        <v/>
      </c>
      <c r="K33" s="32" t="str">
        <f t="shared" si="9"/>
        <v/>
      </c>
      <c r="L33" s="32" t="str">
        <f t="shared" si="10"/>
        <v/>
      </c>
      <c r="M33" s="32" t="str">
        <f t="shared" si="11"/>
        <v/>
      </c>
      <c r="N33" s="32" t="str">
        <f t="shared" si="12"/>
        <v/>
      </c>
      <c r="O33" s="32" t="str">
        <f t="shared" si="13"/>
        <v/>
      </c>
      <c r="Q33" t="str">
        <f>IFERROR(MATCH(29,บันทึกรายเที่ยว!$Z$6:$Z$10005,0),"")</f>
        <v/>
      </c>
      <c r="R33" t="str">
        <f>IF($Q33="","",INDEX(บันทึกรายเที่ยว!$V$6:$V$10005,$Q33))</f>
        <v/>
      </c>
      <c r="S33" t="str">
        <f>IF($Q33="","",INDEX(บันทึกรายเที่ยว!$F$6:$F$10005,$Q33))</f>
        <v/>
      </c>
      <c r="T33" t="str">
        <f>IF($Q33="","",MATCH($S33,บันทึกรายเที่ยว!$F$6:$F$10005,0))</f>
        <v/>
      </c>
      <c r="U33" t="str">
        <f>IF($Q33="","",$AL33*10000000+$T33*1000+29)</f>
        <v/>
      </c>
      <c r="V33" t="str">
        <f>IFERROR(MATCH(SMALL($U$5:$U$404,29),$U$5:$U$404,0),"")</f>
        <v/>
      </c>
      <c r="W33" t="str">
        <f t="shared" si="14"/>
        <v/>
      </c>
      <c r="X33" t="str">
        <f t="shared" si="15"/>
        <v/>
      </c>
      <c r="Y33" t="str">
        <f t="shared" si="16"/>
        <v/>
      </c>
      <c r="Z33">
        <f t="shared" si="26"/>
        <v>0</v>
      </c>
      <c r="AA33">
        <f t="shared" si="17"/>
        <v>0</v>
      </c>
      <c r="AB33">
        <f>IF($V33="",99999+29,$AB32+1+$Z32+$AA32+$AO32)</f>
        <v>100028</v>
      </c>
      <c r="AC33" t="str">
        <f>IFERROR(MATCH(29,$AB$5:$AB$404,1),"")</f>
        <v/>
      </c>
      <c r="AD33" t="str">
        <f>IF(29=$AI$1+1,"Z",IF($AC33="","",IF(INDEX($V$5:$V$404,$AC33)="","",IF(29&gt;INDEX($AB$5:$AB$404,$AC33)+INDEX($Z$5:$Z$404,$AC33)+INDEX($AA$5:$AA$404,$AC33)+INDEX($AO$5:$AO$404,$AC33),"",IF(29=INDEX($AB$5:$AB$404,$AC33)+INDEX($Z$5:$Z$404,$AC33),"D",IF(AND(INDEX($Z$5:$Z$404,$AC33)=1,29=INDEX($AB$5:$AB$404,$AC33)),"H",IF(AND(INDEX($AO$5:$AO$404,$AC33)=1,29=INDEX($AB$5:$AB$404,$AC33)+INDEX($Z$5:$Z$404,$AC33)+INDEX($AA$5:$AA$404,$AC33)+INDEX($AO$5:$AO$404,$AC33)),"B","T")))))))</f>
        <v/>
      </c>
      <c r="AF33" t="str">
        <f t="shared" si="18"/>
        <v/>
      </c>
      <c r="AJ33">
        <f>IF($AD33&lt;&gt;"T",0,ROUND(SUMIF(oil!$B$4:$B$63,$AF33,oil!$AE$4:$AE$63),2))</f>
        <v>0</v>
      </c>
      <c r="AK33" t="str">
        <f>IF($S33="","",IFERROR(INDEX(อัตราค่าขนส่ง!$R$5:$R$54,MATCH($S33,อัตราค่าขนส่ง!$Q$5:$Q$54,0)),INDEX(รายการมาตรฐาน!$G$2:$G$3,1)))</f>
        <v/>
      </c>
      <c r="AL33" t="str">
        <f>IF($S33="","",IFERROR(MATCH($AK33,รายการมาตรฐาน!$G$2:$G$3,0),1))</f>
        <v/>
      </c>
      <c r="AM33" t="str">
        <f t="shared" si="19"/>
        <v/>
      </c>
      <c r="AN33" t="str">
        <f t="shared" si="20"/>
        <v/>
      </c>
      <c r="AO33">
        <f t="shared" si="21"/>
        <v>0</v>
      </c>
      <c r="AP33">
        <f t="shared" si="27"/>
        <v>0</v>
      </c>
      <c r="AQ33" t="str">
        <f t="shared" si="22"/>
        <v/>
      </c>
      <c r="AR33">
        <f>IF($Y33="",0,COUNTIF(บันทึกรายเที่ยว!$V$6:$V$10005,$Y33))</f>
        <v>0</v>
      </c>
      <c r="AS33">
        <f>IF($Y33="",0,ROUND(SUMIF(บันทึกรายเที่ยว!$V$6:$V$10005,$Y33,บันทึกรายเที่ยว!$M$6:$M$10005),2))</f>
        <v>0</v>
      </c>
      <c r="AT33">
        <f>IF($Y33="",0,IFERROR(INDEX(อัตราค่าขนส่ง!$J$5:$J$204,MATCH($Y33,อัตราค่าขนส่ง!$O$5:$O$204,0)),0))</f>
        <v>0</v>
      </c>
      <c r="AU33">
        <f t="shared" si="23"/>
        <v>0</v>
      </c>
      <c r="AV33">
        <f t="shared" si="24"/>
        <v>0</v>
      </c>
      <c r="AW33" t="str">
        <f>IF($Y33="","",IFERROR(INDEX(อัตราค่าขนส่ง!$F$5:$F$204,MATCH($Y33,อัตราค่าขนส่ง!$O$5:$O$204,0)),""))</f>
        <v/>
      </c>
      <c r="AX33" t="str">
        <f>IF($W33="","",INDEX(บันทึกรายเที่ยว!$D$6:$D$10005,$W33))</f>
        <v/>
      </c>
      <c r="AY33" t="str">
        <f>IF($W33="","",INDEX(บันทึกรายเที่ยว!$R$6:$R$10005,$W33))</f>
        <v/>
      </c>
      <c r="AZ33">
        <f t="shared" si="25"/>
        <v>0</v>
      </c>
      <c r="BA33" t="str">
        <f>IF($W33="","",INDEX(บันทึกรายเที่ยว!$E$6:$E$10005,$W33))</f>
        <v/>
      </c>
      <c r="BC33">
        <f>IF($Y33="",0,IFERROR(INDEX(อัตราค่าขนส่ง!$M$5:$M$204,MATCH($Y33,อัตราค่าขนส่ง!$O$5:$O$204,0)),0))</f>
        <v>0</v>
      </c>
      <c r="BD33">
        <f>IF($Y33="",0,IFERROR(INDEX(อัตราค่าขนส่ง!$N$5:$N$204,MATCH($Y33,อัตราค่าขนส่ง!$O$5:$O$204,0)),0))</f>
        <v>0</v>
      </c>
    </row>
    <row r="34" spans="1:56" ht="21" customHeight="1" x14ac:dyDescent="0.95">
      <c r="A34" s="36" t="str">
        <f>IF($AD34="","",IF($AD34="Z","รวมจ่ายทั้งสิ้น",IF($AD34="H",INDEX($X$5:$X$404,$AC34),IF($AD34="T","รวม",IF($AD34="B",IFERROR(INDEX(อัตราค่าขนส่ง!$U$5:$U$14,MATCH(INDEX($AM$5:$AM$404,$AC34),อัตราค่าขนส่ง!$T$5:$T$14,0)),"รวมกลุ่ม "&amp;INDEX($AM$5:$AM$404,$AC34)),INDEX($AY$5:$AY$404,$AC34))))))</f>
        <v/>
      </c>
      <c r="B34" s="31" t="str">
        <f t="shared" si="0"/>
        <v/>
      </c>
      <c r="C34" s="8" t="str">
        <f t="shared" si="1"/>
        <v/>
      </c>
      <c r="D34" s="37" t="str">
        <f t="shared" si="2"/>
        <v/>
      </c>
      <c r="E34" s="31" t="str">
        <f t="shared" si="3"/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I34" s="32" t="str">
        <f t="shared" si="7"/>
        <v/>
      </c>
      <c r="J34" s="46" t="str">
        <f t="shared" si="8"/>
        <v/>
      </c>
      <c r="K34" s="32" t="str">
        <f t="shared" si="9"/>
        <v/>
      </c>
      <c r="L34" s="32" t="str">
        <f t="shared" si="10"/>
        <v/>
      </c>
      <c r="M34" s="32" t="str">
        <f t="shared" si="11"/>
        <v/>
      </c>
      <c r="N34" s="32" t="str">
        <f t="shared" si="12"/>
        <v/>
      </c>
      <c r="O34" s="32" t="str">
        <f t="shared" si="13"/>
        <v/>
      </c>
      <c r="Q34" t="str">
        <f>IFERROR(MATCH(30,บันทึกรายเที่ยว!$Z$6:$Z$10005,0),"")</f>
        <v/>
      </c>
      <c r="R34" t="str">
        <f>IF($Q34="","",INDEX(บันทึกรายเที่ยว!$V$6:$V$10005,$Q34))</f>
        <v/>
      </c>
      <c r="S34" t="str">
        <f>IF($Q34="","",INDEX(บันทึกรายเที่ยว!$F$6:$F$10005,$Q34))</f>
        <v/>
      </c>
      <c r="T34" t="str">
        <f>IF($Q34="","",MATCH($S34,บันทึกรายเที่ยว!$F$6:$F$10005,0))</f>
        <v/>
      </c>
      <c r="U34" t="str">
        <f>IF($Q34="","",$AL34*10000000+$T34*1000+30)</f>
        <v/>
      </c>
      <c r="V34" t="str">
        <f>IFERROR(MATCH(SMALL($U$5:$U$404,30),$U$5:$U$404,0),"")</f>
        <v/>
      </c>
      <c r="W34" t="str">
        <f t="shared" si="14"/>
        <v/>
      </c>
      <c r="X34" t="str">
        <f t="shared" si="15"/>
        <v/>
      </c>
      <c r="Y34" t="str">
        <f t="shared" si="16"/>
        <v/>
      </c>
      <c r="Z34">
        <f t="shared" si="26"/>
        <v>0</v>
      </c>
      <c r="AA34">
        <f t="shared" si="17"/>
        <v>0</v>
      </c>
      <c r="AB34">
        <f>IF($V34="",99999+30,$AB33+1+$Z33+$AA33+$AO33)</f>
        <v>100029</v>
      </c>
      <c r="AC34" t="str">
        <f>IFERROR(MATCH(30,$AB$5:$AB$404,1),"")</f>
        <v/>
      </c>
      <c r="AD34" t="str">
        <f>IF(30=$AI$1+1,"Z",IF($AC34="","",IF(INDEX($V$5:$V$404,$AC34)="","",IF(30&gt;INDEX($AB$5:$AB$404,$AC34)+INDEX($Z$5:$Z$404,$AC34)+INDEX($AA$5:$AA$404,$AC34)+INDEX($AO$5:$AO$404,$AC34),"",IF(30=INDEX($AB$5:$AB$404,$AC34)+INDEX($Z$5:$Z$404,$AC34),"D",IF(AND(INDEX($Z$5:$Z$404,$AC34)=1,30=INDEX($AB$5:$AB$404,$AC34)),"H",IF(AND(INDEX($AO$5:$AO$404,$AC34)=1,30=INDEX($AB$5:$AB$404,$AC34)+INDEX($Z$5:$Z$404,$AC34)+INDEX($AA$5:$AA$404,$AC34)+INDEX($AO$5:$AO$404,$AC34)),"B","T")))))))</f>
        <v/>
      </c>
      <c r="AF34" t="str">
        <f t="shared" si="18"/>
        <v/>
      </c>
      <c r="AJ34">
        <f>IF($AD34&lt;&gt;"T",0,ROUND(SUMIF(oil!$B$4:$B$63,$AF34,oil!$AE$4:$AE$63),2))</f>
        <v>0</v>
      </c>
      <c r="AK34" t="str">
        <f>IF($S34="","",IFERROR(INDEX(อัตราค่าขนส่ง!$R$5:$R$54,MATCH($S34,อัตราค่าขนส่ง!$Q$5:$Q$54,0)),INDEX(รายการมาตรฐาน!$G$2:$G$3,1)))</f>
        <v/>
      </c>
      <c r="AL34" t="str">
        <f>IF($S34="","",IFERROR(MATCH($AK34,รายการมาตรฐาน!$G$2:$G$3,0),1))</f>
        <v/>
      </c>
      <c r="AM34" t="str">
        <f t="shared" si="19"/>
        <v/>
      </c>
      <c r="AN34" t="str">
        <f t="shared" si="20"/>
        <v/>
      </c>
      <c r="AO34">
        <f t="shared" si="21"/>
        <v>0</v>
      </c>
      <c r="AP34">
        <f t="shared" si="27"/>
        <v>0</v>
      </c>
      <c r="AQ34" t="str">
        <f t="shared" si="22"/>
        <v/>
      </c>
      <c r="AR34">
        <f>IF($Y34="",0,COUNTIF(บันทึกรายเที่ยว!$V$6:$V$10005,$Y34))</f>
        <v>0</v>
      </c>
      <c r="AS34">
        <f>IF($Y34="",0,ROUND(SUMIF(บันทึกรายเที่ยว!$V$6:$V$10005,$Y34,บันทึกรายเที่ยว!$M$6:$M$10005),2))</f>
        <v>0</v>
      </c>
      <c r="AT34">
        <f>IF($Y34="",0,IFERROR(INDEX(อัตราค่าขนส่ง!$J$5:$J$204,MATCH($Y34,อัตราค่าขนส่ง!$O$5:$O$204,0)),0))</f>
        <v>0</v>
      </c>
      <c r="AU34">
        <f t="shared" si="23"/>
        <v>0</v>
      </c>
      <c r="AV34">
        <f t="shared" si="24"/>
        <v>0</v>
      </c>
      <c r="AW34" t="str">
        <f>IF($Y34="","",IFERROR(INDEX(อัตราค่าขนส่ง!$F$5:$F$204,MATCH($Y34,อัตราค่าขนส่ง!$O$5:$O$204,0)),""))</f>
        <v/>
      </c>
      <c r="AX34" t="str">
        <f>IF($W34="","",INDEX(บันทึกรายเที่ยว!$D$6:$D$10005,$W34))</f>
        <v/>
      </c>
      <c r="AY34" t="str">
        <f>IF($W34="","",INDEX(บันทึกรายเที่ยว!$R$6:$R$10005,$W34))</f>
        <v/>
      </c>
      <c r="AZ34">
        <f t="shared" si="25"/>
        <v>0</v>
      </c>
      <c r="BA34" t="str">
        <f>IF($W34="","",INDEX(บันทึกรายเที่ยว!$E$6:$E$10005,$W34))</f>
        <v/>
      </c>
      <c r="BC34">
        <f>IF($Y34="",0,IFERROR(INDEX(อัตราค่าขนส่ง!$M$5:$M$204,MATCH($Y34,อัตราค่าขนส่ง!$O$5:$O$204,0)),0))</f>
        <v>0</v>
      </c>
      <c r="BD34">
        <f>IF($Y34="",0,IFERROR(INDEX(อัตราค่าขนส่ง!$N$5:$N$204,MATCH($Y34,อัตราค่าขนส่ง!$O$5:$O$204,0)),0))</f>
        <v>0</v>
      </c>
    </row>
    <row r="35" spans="1:56" ht="21" customHeight="1" x14ac:dyDescent="0.95">
      <c r="A35" s="36" t="str">
        <f>IF($AD35="","",IF($AD35="Z","รวมจ่ายทั้งสิ้น",IF($AD35="H",INDEX($X$5:$X$404,$AC35),IF($AD35="T","รวม",IF($AD35="B",IFERROR(INDEX(อัตราค่าขนส่ง!$U$5:$U$14,MATCH(INDEX($AM$5:$AM$404,$AC35),อัตราค่าขนส่ง!$T$5:$T$14,0)),"รวมกลุ่ม "&amp;INDEX($AM$5:$AM$404,$AC35)),INDEX($AY$5:$AY$404,$AC35))))))</f>
        <v/>
      </c>
      <c r="B35" s="31" t="str">
        <f t="shared" si="0"/>
        <v/>
      </c>
      <c r="C35" s="8" t="str">
        <f t="shared" si="1"/>
        <v/>
      </c>
      <c r="D35" s="37" t="str">
        <f t="shared" si="2"/>
        <v/>
      </c>
      <c r="E35" s="31" t="str">
        <f t="shared" si="3"/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I35" s="32" t="str">
        <f t="shared" si="7"/>
        <v/>
      </c>
      <c r="J35" s="46" t="str">
        <f t="shared" si="8"/>
        <v/>
      </c>
      <c r="K35" s="32" t="str">
        <f t="shared" si="9"/>
        <v/>
      </c>
      <c r="L35" s="32" t="str">
        <f t="shared" si="10"/>
        <v/>
      </c>
      <c r="M35" s="32" t="str">
        <f t="shared" si="11"/>
        <v/>
      </c>
      <c r="N35" s="32" t="str">
        <f t="shared" si="12"/>
        <v/>
      </c>
      <c r="O35" s="32" t="str">
        <f t="shared" si="13"/>
        <v/>
      </c>
      <c r="Q35" t="str">
        <f>IFERROR(MATCH(31,บันทึกรายเที่ยว!$Z$6:$Z$10005,0),"")</f>
        <v/>
      </c>
      <c r="R35" t="str">
        <f>IF($Q35="","",INDEX(บันทึกรายเที่ยว!$V$6:$V$10005,$Q35))</f>
        <v/>
      </c>
      <c r="S35" t="str">
        <f>IF($Q35="","",INDEX(บันทึกรายเที่ยว!$F$6:$F$10005,$Q35))</f>
        <v/>
      </c>
      <c r="T35" t="str">
        <f>IF($Q35="","",MATCH($S35,บันทึกรายเที่ยว!$F$6:$F$10005,0))</f>
        <v/>
      </c>
      <c r="U35" t="str">
        <f>IF($Q35="","",$AL35*10000000+$T35*1000+31)</f>
        <v/>
      </c>
      <c r="V35" t="str">
        <f>IFERROR(MATCH(SMALL($U$5:$U$404,31),$U$5:$U$404,0),"")</f>
        <v/>
      </c>
      <c r="W35" t="str">
        <f t="shared" si="14"/>
        <v/>
      </c>
      <c r="X35" t="str">
        <f t="shared" si="15"/>
        <v/>
      </c>
      <c r="Y35" t="str">
        <f t="shared" si="16"/>
        <v/>
      </c>
      <c r="Z35">
        <f t="shared" si="26"/>
        <v>0</v>
      </c>
      <c r="AA35">
        <f t="shared" si="17"/>
        <v>0</v>
      </c>
      <c r="AB35">
        <f>IF($V35="",99999+31,$AB34+1+$Z34+$AA34+$AO34)</f>
        <v>100030</v>
      </c>
      <c r="AC35" t="str">
        <f>IFERROR(MATCH(31,$AB$5:$AB$404,1),"")</f>
        <v/>
      </c>
      <c r="AD35" t="str">
        <f>IF(31=$AI$1+1,"Z",IF($AC35="","",IF(INDEX($V$5:$V$404,$AC35)="","",IF(31&gt;INDEX($AB$5:$AB$404,$AC35)+INDEX($Z$5:$Z$404,$AC35)+INDEX($AA$5:$AA$404,$AC35)+INDEX($AO$5:$AO$404,$AC35),"",IF(31=INDEX($AB$5:$AB$404,$AC35)+INDEX($Z$5:$Z$404,$AC35),"D",IF(AND(INDEX($Z$5:$Z$404,$AC35)=1,31=INDEX($AB$5:$AB$404,$AC35)),"H",IF(AND(INDEX($AO$5:$AO$404,$AC35)=1,31=INDEX($AB$5:$AB$404,$AC35)+INDEX($Z$5:$Z$404,$AC35)+INDEX($AA$5:$AA$404,$AC35)+INDEX($AO$5:$AO$404,$AC35)),"B","T")))))))</f>
        <v/>
      </c>
      <c r="AF35" t="str">
        <f t="shared" si="18"/>
        <v/>
      </c>
      <c r="AJ35">
        <f>IF($AD35&lt;&gt;"T",0,ROUND(SUMIF(oil!$B$4:$B$63,$AF35,oil!$AE$4:$AE$63),2))</f>
        <v>0</v>
      </c>
      <c r="AK35" t="str">
        <f>IF($S35="","",IFERROR(INDEX(อัตราค่าขนส่ง!$R$5:$R$54,MATCH($S35,อัตราค่าขนส่ง!$Q$5:$Q$54,0)),INDEX(รายการมาตรฐาน!$G$2:$G$3,1)))</f>
        <v/>
      </c>
      <c r="AL35" t="str">
        <f>IF($S35="","",IFERROR(MATCH($AK35,รายการมาตรฐาน!$G$2:$G$3,0),1))</f>
        <v/>
      </c>
      <c r="AM35" t="str">
        <f t="shared" si="19"/>
        <v/>
      </c>
      <c r="AN35" t="str">
        <f t="shared" si="20"/>
        <v/>
      </c>
      <c r="AO35">
        <f t="shared" si="21"/>
        <v>0</v>
      </c>
      <c r="AP35">
        <f t="shared" si="27"/>
        <v>0</v>
      </c>
      <c r="AQ35" t="str">
        <f t="shared" si="22"/>
        <v/>
      </c>
      <c r="AR35">
        <f>IF($Y35="",0,COUNTIF(บันทึกรายเที่ยว!$V$6:$V$10005,$Y35))</f>
        <v>0</v>
      </c>
      <c r="AS35">
        <f>IF($Y35="",0,ROUND(SUMIF(บันทึกรายเที่ยว!$V$6:$V$10005,$Y35,บันทึกรายเที่ยว!$M$6:$M$10005),2))</f>
        <v>0</v>
      </c>
      <c r="AT35">
        <f>IF($Y35="",0,IFERROR(INDEX(อัตราค่าขนส่ง!$J$5:$J$204,MATCH($Y35,อัตราค่าขนส่ง!$O$5:$O$204,0)),0))</f>
        <v>0</v>
      </c>
      <c r="AU35">
        <f t="shared" si="23"/>
        <v>0</v>
      </c>
      <c r="AV35">
        <f t="shared" si="24"/>
        <v>0</v>
      </c>
      <c r="AW35" t="str">
        <f>IF($Y35="","",IFERROR(INDEX(อัตราค่าขนส่ง!$F$5:$F$204,MATCH($Y35,อัตราค่าขนส่ง!$O$5:$O$204,0)),""))</f>
        <v/>
      </c>
      <c r="AX35" t="str">
        <f>IF($W35="","",INDEX(บันทึกรายเที่ยว!$D$6:$D$10005,$W35))</f>
        <v/>
      </c>
      <c r="AY35" t="str">
        <f>IF($W35="","",INDEX(บันทึกรายเที่ยว!$R$6:$R$10005,$W35))</f>
        <v/>
      </c>
      <c r="AZ35">
        <f t="shared" si="25"/>
        <v>0</v>
      </c>
      <c r="BA35" t="str">
        <f>IF($W35="","",INDEX(บันทึกรายเที่ยว!$E$6:$E$10005,$W35))</f>
        <v/>
      </c>
      <c r="BC35">
        <f>IF($Y35="",0,IFERROR(INDEX(อัตราค่าขนส่ง!$M$5:$M$204,MATCH($Y35,อัตราค่าขนส่ง!$O$5:$O$204,0)),0))</f>
        <v>0</v>
      </c>
      <c r="BD35">
        <f>IF($Y35="",0,IFERROR(INDEX(อัตราค่าขนส่ง!$N$5:$N$204,MATCH($Y35,อัตราค่าขนส่ง!$O$5:$O$204,0)),0))</f>
        <v>0</v>
      </c>
    </row>
    <row r="36" spans="1:56" ht="21" customHeight="1" x14ac:dyDescent="0.95">
      <c r="A36" s="36" t="str">
        <f>IF($AD36="","",IF($AD36="Z","รวมจ่ายทั้งสิ้น",IF($AD36="H",INDEX($X$5:$X$404,$AC36),IF($AD36="T","รวม",IF($AD36="B",IFERROR(INDEX(อัตราค่าขนส่ง!$U$5:$U$14,MATCH(INDEX($AM$5:$AM$404,$AC36),อัตราค่าขนส่ง!$T$5:$T$14,0)),"รวมกลุ่ม "&amp;INDEX($AM$5:$AM$404,$AC36)),INDEX($AY$5:$AY$404,$AC36))))))</f>
        <v/>
      </c>
      <c r="B36" s="31" t="str">
        <f t="shared" si="0"/>
        <v/>
      </c>
      <c r="C36" s="8" t="str">
        <f t="shared" si="1"/>
        <v/>
      </c>
      <c r="D36" s="37" t="str">
        <f t="shared" si="2"/>
        <v/>
      </c>
      <c r="E36" s="31" t="str">
        <f t="shared" si="3"/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I36" s="32" t="str">
        <f t="shared" si="7"/>
        <v/>
      </c>
      <c r="J36" s="46" t="str">
        <f t="shared" si="8"/>
        <v/>
      </c>
      <c r="K36" s="32" t="str">
        <f t="shared" si="9"/>
        <v/>
      </c>
      <c r="L36" s="32" t="str">
        <f t="shared" si="10"/>
        <v/>
      </c>
      <c r="M36" s="32" t="str">
        <f t="shared" si="11"/>
        <v/>
      </c>
      <c r="N36" s="32" t="str">
        <f t="shared" si="12"/>
        <v/>
      </c>
      <c r="O36" s="32" t="str">
        <f t="shared" si="13"/>
        <v/>
      </c>
      <c r="Q36" t="str">
        <f>IFERROR(MATCH(32,บันทึกรายเที่ยว!$Z$6:$Z$10005,0),"")</f>
        <v/>
      </c>
      <c r="R36" t="str">
        <f>IF($Q36="","",INDEX(บันทึกรายเที่ยว!$V$6:$V$10005,$Q36))</f>
        <v/>
      </c>
      <c r="S36" t="str">
        <f>IF($Q36="","",INDEX(บันทึกรายเที่ยว!$F$6:$F$10005,$Q36))</f>
        <v/>
      </c>
      <c r="T36" t="str">
        <f>IF($Q36="","",MATCH($S36,บันทึกรายเที่ยว!$F$6:$F$10005,0))</f>
        <v/>
      </c>
      <c r="U36" t="str">
        <f>IF($Q36="","",$AL36*10000000+$T36*1000+32)</f>
        <v/>
      </c>
      <c r="V36" t="str">
        <f>IFERROR(MATCH(SMALL($U$5:$U$404,32),$U$5:$U$404,0),"")</f>
        <v/>
      </c>
      <c r="W36" t="str">
        <f t="shared" si="14"/>
        <v/>
      </c>
      <c r="X36" t="str">
        <f t="shared" si="15"/>
        <v/>
      </c>
      <c r="Y36" t="str">
        <f t="shared" si="16"/>
        <v/>
      </c>
      <c r="Z36">
        <f t="shared" si="26"/>
        <v>0</v>
      </c>
      <c r="AA36">
        <f t="shared" si="17"/>
        <v>0</v>
      </c>
      <c r="AB36">
        <f>IF($V36="",99999+32,$AB35+1+$Z35+$AA35+$AO35)</f>
        <v>100031</v>
      </c>
      <c r="AC36" t="str">
        <f>IFERROR(MATCH(32,$AB$5:$AB$404,1),"")</f>
        <v/>
      </c>
      <c r="AD36" t="str">
        <f>IF(32=$AI$1+1,"Z",IF($AC36="","",IF(INDEX($V$5:$V$404,$AC36)="","",IF(32&gt;INDEX($AB$5:$AB$404,$AC36)+INDEX($Z$5:$Z$404,$AC36)+INDEX($AA$5:$AA$404,$AC36)+INDEX($AO$5:$AO$404,$AC36),"",IF(32=INDEX($AB$5:$AB$404,$AC36)+INDEX($Z$5:$Z$404,$AC36),"D",IF(AND(INDEX($Z$5:$Z$404,$AC36)=1,32=INDEX($AB$5:$AB$404,$AC36)),"H",IF(AND(INDEX($AO$5:$AO$404,$AC36)=1,32=INDEX($AB$5:$AB$404,$AC36)+INDEX($Z$5:$Z$404,$AC36)+INDEX($AA$5:$AA$404,$AC36)+INDEX($AO$5:$AO$404,$AC36)),"B","T")))))))</f>
        <v/>
      </c>
      <c r="AF36" t="str">
        <f t="shared" si="18"/>
        <v/>
      </c>
      <c r="AJ36">
        <f>IF($AD36&lt;&gt;"T",0,ROUND(SUMIF(oil!$B$4:$B$63,$AF36,oil!$AE$4:$AE$63),2))</f>
        <v>0</v>
      </c>
      <c r="AK36" t="str">
        <f>IF($S36="","",IFERROR(INDEX(อัตราค่าขนส่ง!$R$5:$R$54,MATCH($S36,อัตราค่าขนส่ง!$Q$5:$Q$54,0)),INDEX(รายการมาตรฐาน!$G$2:$G$3,1)))</f>
        <v/>
      </c>
      <c r="AL36" t="str">
        <f>IF($S36="","",IFERROR(MATCH($AK36,รายการมาตรฐาน!$G$2:$G$3,0),1))</f>
        <v/>
      </c>
      <c r="AM36" t="str">
        <f t="shared" si="19"/>
        <v/>
      </c>
      <c r="AN36" t="str">
        <f t="shared" si="20"/>
        <v/>
      </c>
      <c r="AO36">
        <f t="shared" si="21"/>
        <v>0</v>
      </c>
      <c r="AP36">
        <f t="shared" si="27"/>
        <v>0</v>
      </c>
      <c r="AQ36" t="str">
        <f t="shared" si="22"/>
        <v/>
      </c>
      <c r="AR36">
        <f>IF($Y36="",0,COUNTIF(บันทึกรายเที่ยว!$V$6:$V$10005,$Y36))</f>
        <v>0</v>
      </c>
      <c r="AS36">
        <f>IF($Y36="",0,ROUND(SUMIF(บันทึกรายเที่ยว!$V$6:$V$10005,$Y36,บันทึกรายเที่ยว!$M$6:$M$10005),2))</f>
        <v>0</v>
      </c>
      <c r="AT36">
        <f>IF($Y36="",0,IFERROR(INDEX(อัตราค่าขนส่ง!$J$5:$J$204,MATCH($Y36,อัตราค่าขนส่ง!$O$5:$O$204,0)),0))</f>
        <v>0</v>
      </c>
      <c r="AU36">
        <f t="shared" si="23"/>
        <v>0</v>
      </c>
      <c r="AV36">
        <f t="shared" si="24"/>
        <v>0</v>
      </c>
      <c r="AW36" t="str">
        <f>IF($Y36="","",IFERROR(INDEX(อัตราค่าขนส่ง!$F$5:$F$204,MATCH($Y36,อัตราค่าขนส่ง!$O$5:$O$204,0)),""))</f>
        <v/>
      </c>
      <c r="AX36" t="str">
        <f>IF($W36="","",INDEX(บันทึกรายเที่ยว!$D$6:$D$10005,$W36))</f>
        <v/>
      </c>
      <c r="AY36" t="str">
        <f>IF($W36="","",INDEX(บันทึกรายเที่ยว!$R$6:$R$10005,$W36))</f>
        <v/>
      </c>
      <c r="AZ36">
        <f t="shared" si="25"/>
        <v>0</v>
      </c>
      <c r="BA36" t="str">
        <f>IF($W36="","",INDEX(บันทึกรายเที่ยว!$E$6:$E$10005,$W36))</f>
        <v/>
      </c>
      <c r="BC36">
        <f>IF($Y36="",0,IFERROR(INDEX(อัตราค่าขนส่ง!$M$5:$M$204,MATCH($Y36,อัตราค่าขนส่ง!$O$5:$O$204,0)),0))</f>
        <v>0</v>
      </c>
      <c r="BD36">
        <f>IF($Y36="",0,IFERROR(INDEX(อัตราค่าขนส่ง!$N$5:$N$204,MATCH($Y36,อัตราค่าขนส่ง!$O$5:$O$204,0)),0))</f>
        <v>0</v>
      </c>
    </row>
    <row r="37" spans="1:56" ht="21" customHeight="1" x14ac:dyDescent="0.95">
      <c r="A37" s="36" t="str">
        <f>IF($AD37="","",IF($AD37="Z","รวมจ่ายทั้งสิ้น",IF($AD37="H",INDEX($X$5:$X$404,$AC37),IF($AD37="T","รวม",IF($AD37="B",IFERROR(INDEX(อัตราค่าขนส่ง!$U$5:$U$14,MATCH(INDEX($AM$5:$AM$404,$AC37),อัตราค่าขนส่ง!$T$5:$T$14,0)),"รวมกลุ่ม "&amp;INDEX($AM$5:$AM$404,$AC37)),INDEX($AY$5:$AY$404,$AC37))))))</f>
        <v/>
      </c>
      <c r="B37" s="31" t="str">
        <f t="shared" si="0"/>
        <v/>
      </c>
      <c r="C37" s="8" t="str">
        <f t="shared" si="1"/>
        <v/>
      </c>
      <c r="D37" s="37" t="str">
        <f t="shared" si="2"/>
        <v/>
      </c>
      <c r="E37" s="31" t="str">
        <f t="shared" si="3"/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I37" s="32" t="str">
        <f t="shared" si="7"/>
        <v/>
      </c>
      <c r="J37" s="46" t="str">
        <f t="shared" si="8"/>
        <v/>
      </c>
      <c r="K37" s="32" t="str">
        <f t="shared" si="9"/>
        <v/>
      </c>
      <c r="L37" s="32" t="str">
        <f t="shared" si="10"/>
        <v/>
      </c>
      <c r="M37" s="32" t="str">
        <f t="shared" si="11"/>
        <v/>
      </c>
      <c r="N37" s="32" t="str">
        <f t="shared" si="12"/>
        <v/>
      </c>
      <c r="O37" s="32" t="str">
        <f t="shared" si="13"/>
        <v/>
      </c>
      <c r="Q37" t="str">
        <f>IFERROR(MATCH(33,บันทึกรายเที่ยว!$Z$6:$Z$10005,0),"")</f>
        <v/>
      </c>
      <c r="R37" t="str">
        <f>IF($Q37="","",INDEX(บันทึกรายเที่ยว!$V$6:$V$10005,$Q37))</f>
        <v/>
      </c>
      <c r="S37" t="str">
        <f>IF($Q37="","",INDEX(บันทึกรายเที่ยว!$F$6:$F$10005,$Q37))</f>
        <v/>
      </c>
      <c r="T37" t="str">
        <f>IF($Q37="","",MATCH($S37,บันทึกรายเที่ยว!$F$6:$F$10005,0))</f>
        <v/>
      </c>
      <c r="U37" t="str">
        <f>IF($Q37="","",$AL37*10000000+$T37*1000+33)</f>
        <v/>
      </c>
      <c r="V37" t="str">
        <f>IFERROR(MATCH(SMALL($U$5:$U$404,33),$U$5:$U$404,0),"")</f>
        <v/>
      </c>
      <c r="W37" t="str">
        <f t="shared" si="14"/>
        <v/>
      </c>
      <c r="X37" t="str">
        <f t="shared" si="15"/>
        <v/>
      </c>
      <c r="Y37" t="str">
        <f t="shared" si="16"/>
        <v/>
      </c>
      <c r="Z37">
        <f t="shared" si="26"/>
        <v>0</v>
      </c>
      <c r="AA37">
        <f t="shared" si="17"/>
        <v>0</v>
      </c>
      <c r="AB37">
        <f>IF($V37="",99999+33,$AB36+1+$Z36+$AA36+$AO36)</f>
        <v>100032</v>
      </c>
      <c r="AC37" t="str">
        <f>IFERROR(MATCH(33,$AB$5:$AB$404,1),"")</f>
        <v/>
      </c>
      <c r="AD37" t="str">
        <f>IF(33=$AI$1+1,"Z",IF($AC37="","",IF(INDEX($V$5:$V$404,$AC37)="","",IF(33&gt;INDEX($AB$5:$AB$404,$AC37)+INDEX($Z$5:$Z$404,$AC37)+INDEX($AA$5:$AA$404,$AC37)+INDEX($AO$5:$AO$404,$AC37),"",IF(33=INDEX($AB$5:$AB$404,$AC37)+INDEX($Z$5:$Z$404,$AC37),"D",IF(AND(INDEX($Z$5:$Z$404,$AC37)=1,33=INDEX($AB$5:$AB$404,$AC37)),"H",IF(AND(INDEX($AO$5:$AO$404,$AC37)=1,33=INDEX($AB$5:$AB$404,$AC37)+INDEX($Z$5:$Z$404,$AC37)+INDEX($AA$5:$AA$404,$AC37)+INDEX($AO$5:$AO$404,$AC37)),"B","T")))))))</f>
        <v/>
      </c>
      <c r="AF37" t="str">
        <f t="shared" si="18"/>
        <v/>
      </c>
      <c r="AJ37">
        <f>IF($AD37&lt;&gt;"T",0,ROUND(SUMIF(oil!$B$4:$B$63,$AF37,oil!$AE$4:$AE$63),2))</f>
        <v>0</v>
      </c>
      <c r="AK37" t="str">
        <f>IF($S37="","",IFERROR(INDEX(อัตราค่าขนส่ง!$R$5:$R$54,MATCH($S37,อัตราค่าขนส่ง!$Q$5:$Q$54,0)),INDEX(รายการมาตรฐาน!$G$2:$G$3,1)))</f>
        <v/>
      </c>
      <c r="AL37" t="str">
        <f>IF($S37="","",IFERROR(MATCH($AK37,รายการมาตรฐาน!$G$2:$G$3,0),1))</f>
        <v/>
      </c>
      <c r="AM37" t="str">
        <f t="shared" si="19"/>
        <v/>
      </c>
      <c r="AN37" t="str">
        <f t="shared" si="20"/>
        <v/>
      </c>
      <c r="AO37">
        <f t="shared" si="21"/>
        <v>0</v>
      </c>
      <c r="AP37">
        <f t="shared" si="27"/>
        <v>0</v>
      </c>
      <c r="AQ37" t="str">
        <f t="shared" si="22"/>
        <v/>
      </c>
      <c r="AR37">
        <f>IF($Y37="",0,COUNTIF(บันทึกรายเที่ยว!$V$6:$V$10005,$Y37))</f>
        <v>0</v>
      </c>
      <c r="AS37">
        <f>IF($Y37="",0,ROUND(SUMIF(บันทึกรายเที่ยว!$V$6:$V$10005,$Y37,บันทึกรายเที่ยว!$M$6:$M$10005),2))</f>
        <v>0</v>
      </c>
      <c r="AT37">
        <f>IF($Y37="",0,IFERROR(INDEX(อัตราค่าขนส่ง!$J$5:$J$204,MATCH($Y37,อัตราค่าขนส่ง!$O$5:$O$204,0)),0))</f>
        <v>0</v>
      </c>
      <c r="AU37">
        <f t="shared" si="23"/>
        <v>0</v>
      </c>
      <c r="AV37">
        <f t="shared" si="24"/>
        <v>0</v>
      </c>
      <c r="AW37" t="str">
        <f>IF($Y37="","",IFERROR(INDEX(อัตราค่าขนส่ง!$F$5:$F$204,MATCH($Y37,อัตราค่าขนส่ง!$O$5:$O$204,0)),""))</f>
        <v/>
      </c>
      <c r="AX37" t="str">
        <f>IF($W37="","",INDEX(บันทึกรายเที่ยว!$D$6:$D$10005,$W37))</f>
        <v/>
      </c>
      <c r="AY37" t="str">
        <f>IF($W37="","",INDEX(บันทึกรายเที่ยว!$R$6:$R$10005,$W37))</f>
        <v/>
      </c>
      <c r="AZ37">
        <f t="shared" si="25"/>
        <v>0</v>
      </c>
      <c r="BA37" t="str">
        <f>IF($W37="","",INDEX(บันทึกรายเที่ยว!$E$6:$E$10005,$W37))</f>
        <v/>
      </c>
      <c r="BC37">
        <f>IF($Y37="",0,IFERROR(INDEX(อัตราค่าขนส่ง!$M$5:$M$204,MATCH($Y37,อัตราค่าขนส่ง!$O$5:$O$204,0)),0))</f>
        <v>0</v>
      </c>
      <c r="BD37">
        <f>IF($Y37="",0,IFERROR(INDEX(อัตราค่าขนส่ง!$N$5:$N$204,MATCH($Y37,อัตราค่าขนส่ง!$O$5:$O$204,0)),0))</f>
        <v>0</v>
      </c>
    </row>
    <row r="38" spans="1:56" ht="21" customHeight="1" x14ac:dyDescent="0.95">
      <c r="A38" s="36" t="str">
        <f>IF($AD38="","",IF($AD38="Z","รวมจ่ายทั้งสิ้น",IF($AD38="H",INDEX($X$5:$X$404,$AC38),IF($AD38="T","รวม",IF($AD38="B",IFERROR(INDEX(อัตราค่าขนส่ง!$U$5:$U$14,MATCH(INDEX($AM$5:$AM$404,$AC38),อัตราค่าขนส่ง!$T$5:$T$14,0)),"รวมกลุ่ม "&amp;INDEX($AM$5:$AM$404,$AC38)),INDEX($AY$5:$AY$404,$AC38))))))</f>
        <v/>
      </c>
      <c r="B38" s="31" t="str">
        <f t="shared" si="0"/>
        <v/>
      </c>
      <c r="C38" s="8" t="str">
        <f t="shared" si="1"/>
        <v/>
      </c>
      <c r="D38" s="37" t="str">
        <f t="shared" si="2"/>
        <v/>
      </c>
      <c r="E38" s="31" t="str">
        <f t="shared" si="3"/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I38" s="32" t="str">
        <f t="shared" si="7"/>
        <v/>
      </c>
      <c r="J38" s="46" t="str">
        <f t="shared" si="8"/>
        <v/>
      </c>
      <c r="K38" s="32" t="str">
        <f t="shared" si="9"/>
        <v/>
      </c>
      <c r="L38" s="32" t="str">
        <f t="shared" si="10"/>
        <v/>
      </c>
      <c r="M38" s="32" t="str">
        <f t="shared" si="11"/>
        <v/>
      </c>
      <c r="N38" s="32" t="str">
        <f t="shared" si="12"/>
        <v/>
      </c>
      <c r="O38" s="32" t="str">
        <f t="shared" si="13"/>
        <v/>
      </c>
      <c r="Q38" t="str">
        <f>IFERROR(MATCH(34,บันทึกรายเที่ยว!$Z$6:$Z$10005,0),"")</f>
        <v/>
      </c>
      <c r="R38" t="str">
        <f>IF($Q38="","",INDEX(บันทึกรายเที่ยว!$V$6:$V$10005,$Q38))</f>
        <v/>
      </c>
      <c r="S38" t="str">
        <f>IF($Q38="","",INDEX(บันทึกรายเที่ยว!$F$6:$F$10005,$Q38))</f>
        <v/>
      </c>
      <c r="T38" t="str">
        <f>IF($Q38="","",MATCH($S38,บันทึกรายเที่ยว!$F$6:$F$10005,0))</f>
        <v/>
      </c>
      <c r="U38" t="str">
        <f>IF($Q38="","",$AL38*10000000+$T38*1000+34)</f>
        <v/>
      </c>
      <c r="V38" t="str">
        <f>IFERROR(MATCH(SMALL($U$5:$U$404,34),$U$5:$U$404,0),"")</f>
        <v/>
      </c>
      <c r="W38" t="str">
        <f t="shared" si="14"/>
        <v/>
      </c>
      <c r="X38" t="str">
        <f t="shared" si="15"/>
        <v/>
      </c>
      <c r="Y38" t="str">
        <f t="shared" si="16"/>
        <v/>
      </c>
      <c r="Z38">
        <f t="shared" si="26"/>
        <v>0</v>
      </c>
      <c r="AA38">
        <f t="shared" si="17"/>
        <v>0</v>
      </c>
      <c r="AB38">
        <f>IF($V38="",99999+34,$AB37+1+$Z37+$AA37+$AO37)</f>
        <v>100033</v>
      </c>
      <c r="AC38" t="str">
        <f>IFERROR(MATCH(34,$AB$5:$AB$404,1),"")</f>
        <v/>
      </c>
      <c r="AD38" t="str">
        <f>IF(34=$AI$1+1,"Z",IF($AC38="","",IF(INDEX($V$5:$V$404,$AC38)="","",IF(34&gt;INDEX($AB$5:$AB$404,$AC38)+INDEX($Z$5:$Z$404,$AC38)+INDEX($AA$5:$AA$404,$AC38)+INDEX($AO$5:$AO$404,$AC38),"",IF(34=INDEX($AB$5:$AB$404,$AC38)+INDEX($Z$5:$Z$404,$AC38),"D",IF(AND(INDEX($Z$5:$Z$404,$AC38)=1,34=INDEX($AB$5:$AB$404,$AC38)),"H",IF(AND(INDEX($AO$5:$AO$404,$AC38)=1,34=INDEX($AB$5:$AB$404,$AC38)+INDEX($Z$5:$Z$404,$AC38)+INDEX($AA$5:$AA$404,$AC38)+INDEX($AO$5:$AO$404,$AC38)),"B","T")))))))</f>
        <v/>
      </c>
      <c r="AF38" t="str">
        <f t="shared" si="18"/>
        <v/>
      </c>
      <c r="AJ38">
        <f>IF($AD38&lt;&gt;"T",0,ROUND(SUMIF(oil!$B$4:$B$63,$AF38,oil!$AE$4:$AE$63),2))</f>
        <v>0</v>
      </c>
      <c r="AK38" t="str">
        <f>IF($S38="","",IFERROR(INDEX(อัตราค่าขนส่ง!$R$5:$R$54,MATCH($S38,อัตราค่าขนส่ง!$Q$5:$Q$54,0)),INDEX(รายการมาตรฐาน!$G$2:$G$3,1)))</f>
        <v/>
      </c>
      <c r="AL38" t="str">
        <f>IF($S38="","",IFERROR(MATCH($AK38,รายการมาตรฐาน!$G$2:$G$3,0),1))</f>
        <v/>
      </c>
      <c r="AM38" t="str">
        <f t="shared" si="19"/>
        <v/>
      </c>
      <c r="AN38" t="str">
        <f t="shared" si="20"/>
        <v/>
      </c>
      <c r="AO38">
        <f t="shared" si="21"/>
        <v>0</v>
      </c>
      <c r="AP38">
        <f t="shared" si="27"/>
        <v>0</v>
      </c>
      <c r="AQ38" t="str">
        <f t="shared" si="22"/>
        <v/>
      </c>
      <c r="AR38">
        <f>IF($Y38="",0,COUNTIF(บันทึกรายเที่ยว!$V$6:$V$10005,$Y38))</f>
        <v>0</v>
      </c>
      <c r="AS38">
        <f>IF($Y38="",0,ROUND(SUMIF(บันทึกรายเที่ยว!$V$6:$V$10005,$Y38,บันทึกรายเที่ยว!$M$6:$M$10005),2))</f>
        <v>0</v>
      </c>
      <c r="AT38">
        <f>IF($Y38="",0,IFERROR(INDEX(อัตราค่าขนส่ง!$J$5:$J$204,MATCH($Y38,อัตราค่าขนส่ง!$O$5:$O$204,0)),0))</f>
        <v>0</v>
      </c>
      <c r="AU38">
        <f t="shared" si="23"/>
        <v>0</v>
      </c>
      <c r="AV38">
        <f t="shared" si="24"/>
        <v>0</v>
      </c>
      <c r="AW38" t="str">
        <f>IF($Y38="","",IFERROR(INDEX(อัตราค่าขนส่ง!$F$5:$F$204,MATCH($Y38,อัตราค่าขนส่ง!$O$5:$O$204,0)),""))</f>
        <v/>
      </c>
      <c r="AX38" t="str">
        <f>IF($W38="","",INDEX(บันทึกรายเที่ยว!$D$6:$D$10005,$W38))</f>
        <v/>
      </c>
      <c r="AY38" t="str">
        <f>IF($W38="","",INDEX(บันทึกรายเที่ยว!$R$6:$R$10005,$W38))</f>
        <v/>
      </c>
      <c r="AZ38">
        <f t="shared" si="25"/>
        <v>0</v>
      </c>
      <c r="BA38" t="str">
        <f>IF($W38="","",INDEX(บันทึกรายเที่ยว!$E$6:$E$10005,$W38))</f>
        <v/>
      </c>
      <c r="BC38">
        <f>IF($Y38="",0,IFERROR(INDEX(อัตราค่าขนส่ง!$M$5:$M$204,MATCH($Y38,อัตราค่าขนส่ง!$O$5:$O$204,0)),0))</f>
        <v>0</v>
      </c>
      <c r="BD38">
        <f>IF($Y38="",0,IFERROR(INDEX(อัตราค่าขนส่ง!$N$5:$N$204,MATCH($Y38,อัตราค่าขนส่ง!$O$5:$O$204,0)),0))</f>
        <v>0</v>
      </c>
    </row>
    <row r="39" spans="1:56" ht="21" customHeight="1" x14ac:dyDescent="0.95">
      <c r="A39" s="36" t="str">
        <f>IF($AD39="","",IF($AD39="Z","รวมจ่ายทั้งสิ้น",IF($AD39="H",INDEX($X$5:$X$404,$AC39),IF($AD39="T","รวม",IF($AD39="B",IFERROR(INDEX(อัตราค่าขนส่ง!$U$5:$U$14,MATCH(INDEX($AM$5:$AM$404,$AC39),อัตราค่าขนส่ง!$T$5:$T$14,0)),"รวมกลุ่ม "&amp;INDEX($AM$5:$AM$404,$AC39)),INDEX($AY$5:$AY$404,$AC39))))))</f>
        <v/>
      </c>
      <c r="B39" s="31" t="str">
        <f t="shared" si="0"/>
        <v/>
      </c>
      <c r="C39" s="8" t="str">
        <f t="shared" si="1"/>
        <v/>
      </c>
      <c r="D39" s="37" t="str">
        <f t="shared" si="2"/>
        <v/>
      </c>
      <c r="E39" s="31" t="str">
        <f t="shared" si="3"/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I39" s="32" t="str">
        <f t="shared" si="7"/>
        <v/>
      </c>
      <c r="J39" s="46" t="str">
        <f t="shared" si="8"/>
        <v/>
      </c>
      <c r="K39" s="32" t="str">
        <f t="shared" si="9"/>
        <v/>
      </c>
      <c r="L39" s="32" t="str">
        <f t="shared" si="10"/>
        <v/>
      </c>
      <c r="M39" s="32" t="str">
        <f t="shared" si="11"/>
        <v/>
      </c>
      <c r="N39" s="32" t="str">
        <f t="shared" si="12"/>
        <v/>
      </c>
      <c r="O39" s="32" t="str">
        <f t="shared" si="13"/>
        <v/>
      </c>
      <c r="Q39" t="str">
        <f>IFERROR(MATCH(35,บันทึกรายเที่ยว!$Z$6:$Z$10005,0),"")</f>
        <v/>
      </c>
      <c r="R39" t="str">
        <f>IF($Q39="","",INDEX(บันทึกรายเที่ยว!$V$6:$V$10005,$Q39))</f>
        <v/>
      </c>
      <c r="S39" t="str">
        <f>IF($Q39="","",INDEX(บันทึกรายเที่ยว!$F$6:$F$10005,$Q39))</f>
        <v/>
      </c>
      <c r="T39" t="str">
        <f>IF($Q39="","",MATCH($S39,บันทึกรายเที่ยว!$F$6:$F$10005,0))</f>
        <v/>
      </c>
      <c r="U39" t="str">
        <f>IF($Q39="","",$AL39*10000000+$T39*1000+35)</f>
        <v/>
      </c>
      <c r="V39" t="str">
        <f>IFERROR(MATCH(SMALL($U$5:$U$404,35),$U$5:$U$404,0),"")</f>
        <v/>
      </c>
      <c r="W39" t="str">
        <f t="shared" si="14"/>
        <v/>
      </c>
      <c r="X39" t="str">
        <f t="shared" si="15"/>
        <v/>
      </c>
      <c r="Y39" t="str">
        <f t="shared" si="16"/>
        <v/>
      </c>
      <c r="Z39">
        <f t="shared" si="26"/>
        <v>0</v>
      </c>
      <c r="AA39">
        <f t="shared" si="17"/>
        <v>0</v>
      </c>
      <c r="AB39">
        <f>IF($V39="",99999+35,$AB38+1+$Z38+$AA38+$AO38)</f>
        <v>100034</v>
      </c>
      <c r="AC39" t="str">
        <f>IFERROR(MATCH(35,$AB$5:$AB$404,1),"")</f>
        <v/>
      </c>
      <c r="AD39" t="str">
        <f>IF(35=$AI$1+1,"Z",IF($AC39="","",IF(INDEX($V$5:$V$404,$AC39)="","",IF(35&gt;INDEX($AB$5:$AB$404,$AC39)+INDEX($Z$5:$Z$404,$AC39)+INDEX($AA$5:$AA$404,$AC39)+INDEX($AO$5:$AO$404,$AC39),"",IF(35=INDEX($AB$5:$AB$404,$AC39)+INDEX($Z$5:$Z$404,$AC39),"D",IF(AND(INDEX($Z$5:$Z$404,$AC39)=1,35=INDEX($AB$5:$AB$404,$AC39)),"H",IF(AND(INDEX($AO$5:$AO$404,$AC39)=1,35=INDEX($AB$5:$AB$404,$AC39)+INDEX($Z$5:$Z$404,$AC39)+INDEX($AA$5:$AA$404,$AC39)+INDEX($AO$5:$AO$404,$AC39)),"B","T")))))))</f>
        <v/>
      </c>
      <c r="AF39" t="str">
        <f t="shared" si="18"/>
        <v/>
      </c>
      <c r="AJ39">
        <f>IF($AD39&lt;&gt;"T",0,ROUND(SUMIF(oil!$B$4:$B$63,$AF39,oil!$AE$4:$AE$63),2))</f>
        <v>0</v>
      </c>
      <c r="AK39" t="str">
        <f>IF($S39="","",IFERROR(INDEX(อัตราค่าขนส่ง!$R$5:$R$54,MATCH($S39,อัตราค่าขนส่ง!$Q$5:$Q$54,0)),INDEX(รายการมาตรฐาน!$G$2:$G$3,1)))</f>
        <v/>
      </c>
      <c r="AL39" t="str">
        <f>IF($S39="","",IFERROR(MATCH($AK39,รายการมาตรฐาน!$G$2:$G$3,0),1))</f>
        <v/>
      </c>
      <c r="AM39" t="str">
        <f t="shared" si="19"/>
        <v/>
      </c>
      <c r="AN39" t="str">
        <f t="shared" si="20"/>
        <v/>
      </c>
      <c r="AO39">
        <f t="shared" si="21"/>
        <v>0</v>
      </c>
      <c r="AP39">
        <f t="shared" si="27"/>
        <v>0</v>
      </c>
      <c r="AQ39" t="str">
        <f t="shared" si="22"/>
        <v/>
      </c>
      <c r="AR39">
        <f>IF($Y39="",0,COUNTIF(บันทึกรายเที่ยว!$V$6:$V$10005,$Y39))</f>
        <v>0</v>
      </c>
      <c r="AS39">
        <f>IF($Y39="",0,ROUND(SUMIF(บันทึกรายเที่ยว!$V$6:$V$10005,$Y39,บันทึกรายเที่ยว!$M$6:$M$10005),2))</f>
        <v>0</v>
      </c>
      <c r="AT39">
        <f>IF($Y39="",0,IFERROR(INDEX(อัตราค่าขนส่ง!$J$5:$J$204,MATCH($Y39,อัตราค่าขนส่ง!$O$5:$O$204,0)),0))</f>
        <v>0</v>
      </c>
      <c r="AU39">
        <f t="shared" si="23"/>
        <v>0</v>
      </c>
      <c r="AV39">
        <f t="shared" si="24"/>
        <v>0</v>
      </c>
      <c r="AW39" t="str">
        <f>IF($Y39="","",IFERROR(INDEX(อัตราค่าขนส่ง!$F$5:$F$204,MATCH($Y39,อัตราค่าขนส่ง!$O$5:$O$204,0)),""))</f>
        <v/>
      </c>
      <c r="AX39" t="str">
        <f>IF($W39="","",INDEX(บันทึกรายเที่ยว!$D$6:$D$10005,$W39))</f>
        <v/>
      </c>
      <c r="AY39" t="str">
        <f>IF($W39="","",INDEX(บันทึกรายเที่ยว!$R$6:$R$10005,$W39))</f>
        <v/>
      </c>
      <c r="AZ39">
        <f t="shared" si="25"/>
        <v>0</v>
      </c>
      <c r="BA39" t="str">
        <f>IF($W39="","",INDEX(บันทึกรายเที่ยว!$E$6:$E$10005,$W39))</f>
        <v/>
      </c>
      <c r="BC39">
        <f>IF($Y39="",0,IFERROR(INDEX(อัตราค่าขนส่ง!$M$5:$M$204,MATCH($Y39,อัตราค่าขนส่ง!$O$5:$O$204,0)),0))</f>
        <v>0</v>
      </c>
      <c r="BD39">
        <f>IF($Y39="",0,IFERROR(INDEX(อัตราค่าขนส่ง!$N$5:$N$204,MATCH($Y39,อัตราค่าขนส่ง!$O$5:$O$204,0)),0))</f>
        <v>0</v>
      </c>
    </row>
    <row r="40" spans="1:56" ht="21" customHeight="1" x14ac:dyDescent="0.95">
      <c r="A40" s="36" t="str">
        <f>IF($AD40="","",IF($AD40="Z","รวมจ่ายทั้งสิ้น",IF($AD40="H",INDEX($X$5:$X$404,$AC40),IF($AD40="T","รวม",IF($AD40="B",IFERROR(INDEX(อัตราค่าขนส่ง!$U$5:$U$14,MATCH(INDEX($AM$5:$AM$404,$AC40),อัตราค่าขนส่ง!$T$5:$T$14,0)),"รวมกลุ่ม "&amp;INDEX($AM$5:$AM$404,$AC40)),INDEX($AY$5:$AY$404,$AC40))))))</f>
        <v/>
      </c>
      <c r="B40" s="31" t="str">
        <f t="shared" si="0"/>
        <v/>
      </c>
      <c r="C40" s="8" t="str">
        <f t="shared" si="1"/>
        <v/>
      </c>
      <c r="D40" s="37" t="str">
        <f t="shared" si="2"/>
        <v/>
      </c>
      <c r="E40" s="31" t="str">
        <f t="shared" si="3"/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I40" s="32" t="str">
        <f t="shared" si="7"/>
        <v/>
      </c>
      <c r="J40" s="46" t="str">
        <f t="shared" si="8"/>
        <v/>
      </c>
      <c r="K40" s="32" t="str">
        <f t="shared" si="9"/>
        <v/>
      </c>
      <c r="L40" s="32" t="str">
        <f t="shared" si="10"/>
        <v/>
      </c>
      <c r="M40" s="32" t="str">
        <f t="shared" si="11"/>
        <v/>
      </c>
      <c r="N40" s="32" t="str">
        <f t="shared" si="12"/>
        <v/>
      </c>
      <c r="O40" s="32" t="str">
        <f t="shared" si="13"/>
        <v/>
      </c>
      <c r="Q40" t="str">
        <f>IFERROR(MATCH(36,บันทึกรายเที่ยว!$Z$6:$Z$10005,0),"")</f>
        <v/>
      </c>
      <c r="R40" t="str">
        <f>IF($Q40="","",INDEX(บันทึกรายเที่ยว!$V$6:$V$10005,$Q40))</f>
        <v/>
      </c>
      <c r="S40" t="str">
        <f>IF($Q40="","",INDEX(บันทึกรายเที่ยว!$F$6:$F$10005,$Q40))</f>
        <v/>
      </c>
      <c r="T40" t="str">
        <f>IF($Q40="","",MATCH($S40,บันทึกรายเที่ยว!$F$6:$F$10005,0))</f>
        <v/>
      </c>
      <c r="U40" t="str">
        <f>IF($Q40="","",$AL40*10000000+$T40*1000+36)</f>
        <v/>
      </c>
      <c r="V40" t="str">
        <f>IFERROR(MATCH(SMALL($U$5:$U$404,36),$U$5:$U$404,0),"")</f>
        <v/>
      </c>
      <c r="W40" t="str">
        <f t="shared" si="14"/>
        <v/>
      </c>
      <c r="X40" t="str">
        <f t="shared" si="15"/>
        <v/>
      </c>
      <c r="Y40" t="str">
        <f t="shared" si="16"/>
        <v/>
      </c>
      <c r="Z40">
        <f t="shared" si="26"/>
        <v>0</v>
      </c>
      <c r="AA40">
        <f t="shared" si="17"/>
        <v>0</v>
      </c>
      <c r="AB40">
        <f>IF($V40="",99999+36,$AB39+1+$Z39+$AA39+$AO39)</f>
        <v>100035</v>
      </c>
      <c r="AC40" t="str">
        <f>IFERROR(MATCH(36,$AB$5:$AB$404,1),"")</f>
        <v/>
      </c>
      <c r="AD40" t="str">
        <f>IF(36=$AI$1+1,"Z",IF($AC40="","",IF(INDEX($V$5:$V$404,$AC40)="","",IF(36&gt;INDEX($AB$5:$AB$404,$AC40)+INDEX($Z$5:$Z$404,$AC40)+INDEX($AA$5:$AA$404,$AC40)+INDEX($AO$5:$AO$404,$AC40),"",IF(36=INDEX($AB$5:$AB$404,$AC40)+INDEX($Z$5:$Z$404,$AC40),"D",IF(AND(INDEX($Z$5:$Z$404,$AC40)=1,36=INDEX($AB$5:$AB$404,$AC40)),"H",IF(AND(INDEX($AO$5:$AO$404,$AC40)=1,36=INDEX($AB$5:$AB$404,$AC40)+INDEX($Z$5:$Z$404,$AC40)+INDEX($AA$5:$AA$404,$AC40)+INDEX($AO$5:$AO$404,$AC40)),"B","T")))))))</f>
        <v/>
      </c>
      <c r="AF40" t="str">
        <f t="shared" si="18"/>
        <v/>
      </c>
      <c r="AJ40">
        <f>IF($AD40&lt;&gt;"T",0,ROUND(SUMIF(oil!$B$4:$B$63,$AF40,oil!$AE$4:$AE$63),2))</f>
        <v>0</v>
      </c>
      <c r="AK40" t="str">
        <f>IF($S40="","",IFERROR(INDEX(อัตราค่าขนส่ง!$R$5:$R$54,MATCH($S40,อัตราค่าขนส่ง!$Q$5:$Q$54,0)),INDEX(รายการมาตรฐาน!$G$2:$G$3,1)))</f>
        <v/>
      </c>
      <c r="AL40" t="str">
        <f>IF($S40="","",IFERROR(MATCH($AK40,รายการมาตรฐาน!$G$2:$G$3,0),1))</f>
        <v/>
      </c>
      <c r="AM40" t="str">
        <f t="shared" si="19"/>
        <v/>
      </c>
      <c r="AN40" t="str">
        <f t="shared" si="20"/>
        <v/>
      </c>
      <c r="AO40">
        <f t="shared" si="21"/>
        <v>0</v>
      </c>
      <c r="AP40">
        <f t="shared" si="27"/>
        <v>0</v>
      </c>
      <c r="AQ40" t="str">
        <f t="shared" si="22"/>
        <v/>
      </c>
      <c r="AR40">
        <f>IF($Y40="",0,COUNTIF(บันทึกรายเที่ยว!$V$6:$V$10005,$Y40))</f>
        <v>0</v>
      </c>
      <c r="AS40">
        <f>IF($Y40="",0,ROUND(SUMIF(บันทึกรายเที่ยว!$V$6:$V$10005,$Y40,บันทึกรายเที่ยว!$M$6:$M$10005),2))</f>
        <v>0</v>
      </c>
      <c r="AT40">
        <f>IF($Y40="",0,IFERROR(INDEX(อัตราค่าขนส่ง!$J$5:$J$204,MATCH($Y40,อัตราค่าขนส่ง!$O$5:$O$204,0)),0))</f>
        <v>0</v>
      </c>
      <c r="AU40">
        <f t="shared" si="23"/>
        <v>0</v>
      </c>
      <c r="AV40">
        <f t="shared" si="24"/>
        <v>0</v>
      </c>
      <c r="AW40" t="str">
        <f>IF($Y40="","",IFERROR(INDEX(อัตราค่าขนส่ง!$F$5:$F$204,MATCH($Y40,อัตราค่าขนส่ง!$O$5:$O$204,0)),""))</f>
        <v/>
      </c>
      <c r="AX40" t="str">
        <f>IF($W40="","",INDEX(บันทึกรายเที่ยว!$D$6:$D$10005,$W40))</f>
        <v/>
      </c>
      <c r="AY40" t="str">
        <f>IF($W40="","",INDEX(บันทึกรายเที่ยว!$R$6:$R$10005,$W40))</f>
        <v/>
      </c>
      <c r="AZ40">
        <f t="shared" si="25"/>
        <v>0</v>
      </c>
      <c r="BA40" t="str">
        <f>IF($W40="","",INDEX(บันทึกรายเที่ยว!$E$6:$E$10005,$W40))</f>
        <v/>
      </c>
      <c r="BC40">
        <f>IF($Y40="",0,IFERROR(INDEX(อัตราค่าขนส่ง!$M$5:$M$204,MATCH($Y40,อัตราค่าขนส่ง!$O$5:$O$204,0)),0))</f>
        <v>0</v>
      </c>
      <c r="BD40">
        <f>IF($Y40="",0,IFERROR(INDEX(อัตราค่าขนส่ง!$N$5:$N$204,MATCH($Y40,อัตราค่าขนส่ง!$O$5:$O$204,0)),0))</f>
        <v>0</v>
      </c>
    </row>
    <row r="41" spans="1:56" ht="21" customHeight="1" x14ac:dyDescent="0.95">
      <c r="A41" s="36" t="str">
        <f>IF($AD41="","",IF($AD41="Z","รวมจ่ายทั้งสิ้น",IF($AD41="H",INDEX($X$5:$X$404,$AC41),IF($AD41="T","รวม",IF($AD41="B",IFERROR(INDEX(อัตราค่าขนส่ง!$U$5:$U$14,MATCH(INDEX($AM$5:$AM$404,$AC41),อัตราค่าขนส่ง!$T$5:$T$14,0)),"รวมกลุ่ม "&amp;INDEX($AM$5:$AM$404,$AC41)),INDEX($AY$5:$AY$404,$AC41))))))</f>
        <v/>
      </c>
      <c r="B41" s="31" t="str">
        <f t="shared" si="0"/>
        <v/>
      </c>
      <c r="C41" s="8" t="str">
        <f t="shared" si="1"/>
        <v/>
      </c>
      <c r="D41" s="37" t="str">
        <f t="shared" si="2"/>
        <v/>
      </c>
      <c r="E41" s="31" t="str">
        <f t="shared" si="3"/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I41" s="32" t="str">
        <f t="shared" si="7"/>
        <v/>
      </c>
      <c r="J41" s="46" t="str">
        <f t="shared" si="8"/>
        <v/>
      </c>
      <c r="K41" s="32" t="str">
        <f t="shared" si="9"/>
        <v/>
      </c>
      <c r="L41" s="32" t="str">
        <f t="shared" si="10"/>
        <v/>
      </c>
      <c r="M41" s="32" t="str">
        <f t="shared" si="11"/>
        <v/>
      </c>
      <c r="N41" s="32" t="str">
        <f t="shared" si="12"/>
        <v/>
      </c>
      <c r="O41" s="32" t="str">
        <f t="shared" si="13"/>
        <v/>
      </c>
      <c r="Q41" t="str">
        <f>IFERROR(MATCH(37,บันทึกรายเที่ยว!$Z$6:$Z$10005,0),"")</f>
        <v/>
      </c>
      <c r="R41" t="str">
        <f>IF($Q41="","",INDEX(บันทึกรายเที่ยว!$V$6:$V$10005,$Q41))</f>
        <v/>
      </c>
      <c r="S41" t="str">
        <f>IF($Q41="","",INDEX(บันทึกรายเที่ยว!$F$6:$F$10005,$Q41))</f>
        <v/>
      </c>
      <c r="T41" t="str">
        <f>IF($Q41="","",MATCH($S41,บันทึกรายเที่ยว!$F$6:$F$10005,0))</f>
        <v/>
      </c>
      <c r="U41" t="str">
        <f>IF($Q41="","",$AL41*10000000+$T41*1000+37)</f>
        <v/>
      </c>
      <c r="V41" t="str">
        <f>IFERROR(MATCH(SMALL($U$5:$U$404,37),$U$5:$U$404,0),"")</f>
        <v/>
      </c>
      <c r="W41" t="str">
        <f t="shared" si="14"/>
        <v/>
      </c>
      <c r="X41" t="str">
        <f t="shared" si="15"/>
        <v/>
      </c>
      <c r="Y41" t="str">
        <f t="shared" si="16"/>
        <v/>
      </c>
      <c r="Z41">
        <f t="shared" si="26"/>
        <v>0</v>
      </c>
      <c r="AA41">
        <f t="shared" si="17"/>
        <v>0</v>
      </c>
      <c r="AB41">
        <f>IF($V41="",99999+37,$AB40+1+$Z40+$AA40+$AO40)</f>
        <v>100036</v>
      </c>
      <c r="AC41" t="str">
        <f>IFERROR(MATCH(37,$AB$5:$AB$404,1),"")</f>
        <v/>
      </c>
      <c r="AD41" t="str">
        <f>IF(37=$AI$1+1,"Z",IF($AC41="","",IF(INDEX($V$5:$V$404,$AC41)="","",IF(37&gt;INDEX($AB$5:$AB$404,$AC41)+INDEX($Z$5:$Z$404,$AC41)+INDEX($AA$5:$AA$404,$AC41)+INDEX($AO$5:$AO$404,$AC41),"",IF(37=INDEX($AB$5:$AB$404,$AC41)+INDEX($Z$5:$Z$404,$AC41),"D",IF(AND(INDEX($Z$5:$Z$404,$AC41)=1,37=INDEX($AB$5:$AB$404,$AC41)),"H",IF(AND(INDEX($AO$5:$AO$404,$AC41)=1,37=INDEX($AB$5:$AB$404,$AC41)+INDEX($Z$5:$Z$404,$AC41)+INDEX($AA$5:$AA$404,$AC41)+INDEX($AO$5:$AO$404,$AC41)),"B","T")))))))</f>
        <v/>
      </c>
      <c r="AF41" t="str">
        <f t="shared" si="18"/>
        <v/>
      </c>
      <c r="AJ41">
        <f>IF($AD41&lt;&gt;"T",0,ROUND(SUMIF(oil!$B$4:$B$63,$AF41,oil!$AE$4:$AE$63),2))</f>
        <v>0</v>
      </c>
      <c r="AK41" t="str">
        <f>IF($S41="","",IFERROR(INDEX(อัตราค่าขนส่ง!$R$5:$R$54,MATCH($S41,อัตราค่าขนส่ง!$Q$5:$Q$54,0)),INDEX(รายการมาตรฐาน!$G$2:$G$3,1)))</f>
        <v/>
      </c>
      <c r="AL41" t="str">
        <f>IF($S41="","",IFERROR(MATCH($AK41,รายการมาตรฐาน!$G$2:$G$3,0),1))</f>
        <v/>
      </c>
      <c r="AM41" t="str">
        <f t="shared" si="19"/>
        <v/>
      </c>
      <c r="AN41" t="str">
        <f t="shared" si="20"/>
        <v/>
      </c>
      <c r="AO41">
        <f t="shared" si="21"/>
        <v>0</v>
      </c>
      <c r="AP41">
        <f t="shared" si="27"/>
        <v>0</v>
      </c>
      <c r="AQ41" t="str">
        <f t="shared" si="22"/>
        <v/>
      </c>
      <c r="AR41">
        <f>IF($Y41="",0,COUNTIF(บันทึกรายเที่ยว!$V$6:$V$10005,$Y41))</f>
        <v>0</v>
      </c>
      <c r="AS41">
        <f>IF($Y41="",0,ROUND(SUMIF(บันทึกรายเที่ยว!$V$6:$V$10005,$Y41,บันทึกรายเที่ยว!$M$6:$M$10005),2))</f>
        <v>0</v>
      </c>
      <c r="AT41">
        <f>IF($Y41="",0,IFERROR(INDEX(อัตราค่าขนส่ง!$J$5:$J$204,MATCH($Y41,อัตราค่าขนส่ง!$O$5:$O$204,0)),0))</f>
        <v>0</v>
      </c>
      <c r="AU41">
        <f t="shared" si="23"/>
        <v>0</v>
      </c>
      <c r="AV41">
        <f t="shared" si="24"/>
        <v>0</v>
      </c>
      <c r="AW41" t="str">
        <f>IF($Y41="","",IFERROR(INDEX(อัตราค่าขนส่ง!$F$5:$F$204,MATCH($Y41,อัตราค่าขนส่ง!$O$5:$O$204,0)),""))</f>
        <v/>
      </c>
      <c r="AX41" t="str">
        <f>IF($W41="","",INDEX(บันทึกรายเที่ยว!$D$6:$D$10005,$W41))</f>
        <v/>
      </c>
      <c r="AY41" t="str">
        <f>IF($W41="","",INDEX(บันทึกรายเที่ยว!$R$6:$R$10005,$W41))</f>
        <v/>
      </c>
      <c r="AZ41">
        <f t="shared" si="25"/>
        <v>0</v>
      </c>
      <c r="BA41" t="str">
        <f>IF($W41="","",INDEX(บันทึกรายเที่ยว!$E$6:$E$10005,$W41))</f>
        <v/>
      </c>
      <c r="BC41">
        <f>IF($Y41="",0,IFERROR(INDEX(อัตราค่าขนส่ง!$M$5:$M$204,MATCH($Y41,อัตราค่าขนส่ง!$O$5:$O$204,0)),0))</f>
        <v>0</v>
      </c>
      <c r="BD41">
        <f>IF($Y41="",0,IFERROR(INDEX(อัตราค่าขนส่ง!$N$5:$N$204,MATCH($Y41,อัตราค่าขนส่ง!$O$5:$O$204,0)),0))</f>
        <v>0</v>
      </c>
    </row>
    <row r="42" spans="1:56" ht="21" customHeight="1" x14ac:dyDescent="0.95">
      <c r="A42" s="36" t="str">
        <f>IF($AD42="","",IF($AD42="Z","รวมจ่ายทั้งสิ้น",IF($AD42="H",INDEX($X$5:$X$404,$AC42),IF($AD42="T","รวม",IF($AD42="B",IFERROR(INDEX(อัตราค่าขนส่ง!$U$5:$U$14,MATCH(INDEX($AM$5:$AM$404,$AC42),อัตราค่าขนส่ง!$T$5:$T$14,0)),"รวมกลุ่ม "&amp;INDEX($AM$5:$AM$404,$AC42)),INDEX($AY$5:$AY$404,$AC42))))))</f>
        <v/>
      </c>
      <c r="B42" s="31" t="str">
        <f t="shared" si="0"/>
        <v/>
      </c>
      <c r="C42" s="8" t="str">
        <f t="shared" si="1"/>
        <v/>
      </c>
      <c r="D42" s="37" t="str">
        <f t="shared" si="2"/>
        <v/>
      </c>
      <c r="E42" s="31" t="str">
        <f t="shared" si="3"/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I42" s="32" t="str">
        <f t="shared" si="7"/>
        <v/>
      </c>
      <c r="J42" s="46" t="str">
        <f t="shared" si="8"/>
        <v/>
      </c>
      <c r="K42" s="32" t="str">
        <f t="shared" si="9"/>
        <v/>
      </c>
      <c r="L42" s="32" t="str">
        <f t="shared" si="10"/>
        <v/>
      </c>
      <c r="M42" s="32" t="str">
        <f t="shared" si="11"/>
        <v/>
      </c>
      <c r="N42" s="32" t="str">
        <f t="shared" si="12"/>
        <v/>
      </c>
      <c r="O42" s="32" t="str">
        <f t="shared" si="13"/>
        <v/>
      </c>
      <c r="Q42" t="str">
        <f>IFERROR(MATCH(38,บันทึกรายเที่ยว!$Z$6:$Z$10005,0),"")</f>
        <v/>
      </c>
      <c r="R42" t="str">
        <f>IF($Q42="","",INDEX(บันทึกรายเที่ยว!$V$6:$V$10005,$Q42))</f>
        <v/>
      </c>
      <c r="S42" t="str">
        <f>IF($Q42="","",INDEX(บันทึกรายเที่ยว!$F$6:$F$10005,$Q42))</f>
        <v/>
      </c>
      <c r="T42" t="str">
        <f>IF($Q42="","",MATCH($S42,บันทึกรายเที่ยว!$F$6:$F$10005,0))</f>
        <v/>
      </c>
      <c r="U42" t="str">
        <f>IF($Q42="","",$AL42*10000000+$T42*1000+38)</f>
        <v/>
      </c>
      <c r="V42" t="str">
        <f>IFERROR(MATCH(SMALL($U$5:$U$404,38),$U$5:$U$404,0),"")</f>
        <v/>
      </c>
      <c r="W42" t="str">
        <f t="shared" si="14"/>
        <v/>
      </c>
      <c r="X42" t="str">
        <f t="shared" si="15"/>
        <v/>
      </c>
      <c r="Y42" t="str">
        <f t="shared" si="16"/>
        <v/>
      </c>
      <c r="Z42">
        <f t="shared" si="26"/>
        <v>0</v>
      </c>
      <c r="AA42">
        <f t="shared" si="17"/>
        <v>0</v>
      </c>
      <c r="AB42">
        <f>IF($V42="",99999+38,$AB41+1+$Z41+$AA41+$AO41)</f>
        <v>100037</v>
      </c>
      <c r="AC42" t="str">
        <f>IFERROR(MATCH(38,$AB$5:$AB$404,1),"")</f>
        <v/>
      </c>
      <c r="AD42" t="str">
        <f>IF(38=$AI$1+1,"Z",IF($AC42="","",IF(INDEX($V$5:$V$404,$AC42)="","",IF(38&gt;INDEX($AB$5:$AB$404,$AC42)+INDEX($Z$5:$Z$404,$AC42)+INDEX($AA$5:$AA$404,$AC42)+INDEX($AO$5:$AO$404,$AC42),"",IF(38=INDEX($AB$5:$AB$404,$AC42)+INDEX($Z$5:$Z$404,$AC42),"D",IF(AND(INDEX($Z$5:$Z$404,$AC42)=1,38=INDEX($AB$5:$AB$404,$AC42)),"H",IF(AND(INDEX($AO$5:$AO$404,$AC42)=1,38=INDEX($AB$5:$AB$404,$AC42)+INDEX($Z$5:$Z$404,$AC42)+INDEX($AA$5:$AA$404,$AC42)+INDEX($AO$5:$AO$404,$AC42)),"B","T")))))))</f>
        <v/>
      </c>
      <c r="AF42" t="str">
        <f t="shared" si="18"/>
        <v/>
      </c>
      <c r="AJ42">
        <f>IF($AD42&lt;&gt;"T",0,ROUND(SUMIF(oil!$B$4:$B$63,$AF42,oil!$AE$4:$AE$63),2))</f>
        <v>0</v>
      </c>
      <c r="AK42" t="str">
        <f>IF($S42="","",IFERROR(INDEX(อัตราค่าขนส่ง!$R$5:$R$54,MATCH($S42,อัตราค่าขนส่ง!$Q$5:$Q$54,0)),INDEX(รายการมาตรฐาน!$G$2:$G$3,1)))</f>
        <v/>
      </c>
      <c r="AL42" t="str">
        <f>IF($S42="","",IFERROR(MATCH($AK42,รายการมาตรฐาน!$G$2:$G$3,0),1))</f>
        <v/>
      </c>
      <c r="AM42" t="str">
        <f t="shared" si="19"/>
        <v/>
      </c>
      <c r="AN42" t="str">
        <f t="shared" si="20"/>
        <v/>
      </c>
      <c r="AO42">
        <f t="shared" si="21"/>
        <v>0</v>
      </c>
      <c r="AP42">
        <f t="shared" si="27"/>
        <v>0</v>
      </c>
      <c r="AQ42" t="str">
        <f t="shared" si="22"/>
        <v/>
      </c>
      <c r="AR42">
        <f>IF($Y42="",0,COUNTIF(บันทึกรายเที่ยว!$V$6:$V$10005,$Y42))</f>
        <v>0</v>
      </c>
      <c r="AS42">
        <f>IF($Y42="",0,ROUND(SUMIF(บันทึกรายเที่ยว!$V$6:$V$10005,$Y42,บันทึกรายเที่ยว!$M$6:$M$10005),2))</f>
        <v>0</v>
      </c>
      <c r="AT42">
        <f>IF($Y42="",0,IFERROR(INDEX(อัตราค่าขนส่ง!$J$5:$J$204,MATCH($Y42,อัตราค่าขนส่ง!$O$5:$O$204,0)),0))</f>
        <v>0</v>
      </c>
      <c r="AU42">
        <f t="shared" si="23"/>
        <v>0</v>
      </c>
      <c r="AV42">
        <f t="shared" si="24"/>
        <v>0</v>
      </c>
      <c r="AW42" t="str">
        <f>IF($Y42="","",IFERROR(INDEX(อัตราค่าขนส่ง!$F$5:$F$204,MATCH($Y42,อัตราค่าขนส่ง!$O$5:$O$204,0)),""))</f>
        <v/>
      </c>
      <c r="AX42" t="str">
        <f>IF($W42="","",INDEX(บันทึกรายเที่ยว!$D$6:$D$10005,$W42))</f>
        <v/>
      </c>
      <c r="AY42" t="str">
        <f>IF($W42="","",INDEX(บันทึกรายเที่ยว!$R$6:$R$10005,$W42))</f>
        <v/>
      </c>
      <c r="AZ42">
        <f t="shared" si="25"/>
        <v>0</v>
      </c>
      <c r="BA42" t="str">
        <f>IF($W42="","",INDEX(บันทึกรายเที่ยว!$E$6:$E$10005,$W42))</f>
        <v/>
      </c>
      <c r="BC42">
        <f>IF($Y42="",0,IFERROR(INDEX(อัตราค่าขนส่ง!$M$5:$M$204,MATCH($Y42,อัตราค่าขนส่ง!$O$5:$O$204,0)),0))</f>
        <v>0</v>
      </c>
      <c r="BD42">
        <f>IF($Y42="",0,IFERROR(INDEX(อัตราค่าขนส่ง!$N$5:$N$204,MATCH($Y42,อัตราค่าขนส่ง!$O$5:$O$204,0)),0))</f>
        <v>0</v>
      </c>
    </row>
    <row r="43" spans="1:56" ht="21" customHeight="1" x14ac:dyDescent="0.95">
      <c r="A43" s="36" t="str">
        <f>IF($AD43="","",IF($AD43="Z","รวมจ่ายทั้งสิ้น",IF($AD43="H",INDEX($X$5:$X$404,$AC43),IF($AD43="T","รวม",IF($AD43="B",IFERROR(INDEX(อัตราค่าขนส่ง!$U$5:$U$14,MATCH(INDEX($AM$5:$AM$404,$AC43),อัตราค่าขนส่ง!$T$5:$T$14,0)),"รวมกลุ่ม "&amp;INDEX($AM$5:$AM$404,$AC43)),INDEX($AY$5:$AY$404,$AC43))))))</f>
        <v/>
      </c>
      <c r="B43" s="31" t="str">
        <f t="shared" si="0"/>
        <v/>
      </c>
      <c r="C43" s="8" t="str">
        <f t="shared" si="1"/>
        <v/>
      </c>
      <c r="D43" s="37" t="str">
        <f t="shared" si="2"/>
        <v/>
      </c>
      <c r="E43" s="31" t="str">
        <f t="shared" si="3"/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I43" s="32" t="str">
        <f t="shared" si="7"/>
        <v/>
      </c>
      <c r="J43" s="46" t="str">
        <f t="shared" si="8"/>
        <v/>
      </c>
      <c r="K43" s="32" t="str">
        <f t="shared" si="9"/>
        <v/>
      </c>
      <c r="L43" s="32" t="str">
        <f t="shared" si="10"/>
        <v/>
      </c>
      <c r="M43" s="32" t="str">
        <f t="shared" si="11"/>
        <v/>
      </c>
      <c r="N43" s="32" t="str">
        <f t="shared" si="12"/>
        <v/>
      </c>
      <c r="O43" s="32" t="str">
        <f t="shared" si="13"/>
        <v/>
      </c>
      <c r="Q43" t="str">
        <f>IFERROR(MATCH(39,บันทึกรายเที่ยว!$Z$6:$Z$10005,0),"")</f>
        <v/>
      </c>
      <c r="R43" t="str">
        <f>IF($Q43="","",INDEX(บันทึกรายเที่ยว!$V$6:$V$10005,$Q43))</f>
        <v/>
      </c>
      <c r="S43" t="str">
        <f>IF($Q43="","",INDEX(บันทึกรายเที่ยว!$F$6:$F$10005,$Q43))</f>
        <v/>
      </c>
      <c r="T43" t="str">
        <f>IF($Q43="","",MATCH($S43,บันทึกรายเที่ยว!$F$6:$F$10005,0))</f>
        <v/>
      </c>
      <c r="U43" t="str">
        <f>IF($Q43="","",$AL43*10000000+$T43*1000+39)</f>
        <v/>
      </c>
      <c r="V43" t="str">
        <f>IFERROR(MATCH(SMALL($U$5:$U$404,39),$U$5:$U$404,0),"")</f>
        <v/>
      </c>
      <c r="W43" t="str">
        <f t="shared" si="14"/>
        <v/>
      </c>
      <c r="X43" t="str">
        <f t="shared" si="15"/>
        <v/>
      </c>
      <c r="Y43" t="str">
        <f t="shared" si="16"/>
        <v/>
      </c>
      <c r="Z43">
        <f t="shared" si="26"/>
        <v>0</v>
      </c>
      <c r="AA43">
        <f t="shared" si="17"/>
        <v>0</v>
      </c>
      <c r="AB43">
        <f>IF($V43="",99999+39,$AB42+1+$Z42+$AA42+$AO42)</f>
        <v>100038</v>
      </c>
      <c r="AC43" t="str">
        <f>IFERROR(MATCH(39,$AB$5:$AB$404,1),"")</f>
        <v/>
      </c>
      <c r="AD43" t="str">
        <f>IF(39=$AI$1+1,"Z",IF($AC43="","",IF(INDEX($V$5:$V$404,$AC43)="","",IF(39&gt;INDEX($AB$5:$AB$404,$AC43)+INDEX($Z$5:$Z$404,$AC43)+INDEX($AA$5:$AA$404,$AC43)+INDEX($AO$5:$AO$404,$AC43),"",IF(39=INDEX($AB$5:$AB$404,$AC43)+INDEX($Z$5:$Z$404,$AC43),"D",IF(AND(INDEX($Z$5:$Z$404,$AC43)=1,39=INDEX($AB$5:$AB$404,$AC43)),"H",IF(AND(INDEX($AO$5:$AO$404,$AC43)=1,39=INDEX($AB$5:$AB$404,$AC43)+INDEX($Z$5:$Z$404,$AC43)+INDEX($AA$5:$AA$404,$AC43)+INDEX($AO$5:$AO$404,$AC43)),"B","T")))))))</f>
        <v/>
      </c>
      <c r="AF43" t="str">
        <f t="shared" si="18"/>
        <v/>
      </c>
      <c r="AJ43">
        <f>IF($AD43&lt;&gt;"T",0,ROUND(SUMIF(oil!$B$4:$B$63,$AF43,oil!$AE$4:$AE$63),2))</f>
        <v>0</v>
      </c>
      <c r="AK43" t="str">
        <f>IF($S43="","",IFERROR(INDEX(อัตราค่าขนส่ง!$R$5:$R$54,MATCH($S43,อัตราค่าขนส่ง!$Q$5:$Q$54,0)),INDEX(รายการมาตรฐาน!$G$2:$G$3,1)))</f>
        <v/>
      </c>
      <c r="AL43" t="str">
        <f>IF($S43="","",IFERROR(MATCH($AK43,รายการมาตรฐาน!$G$2:$G$3,0),1))</f>
        <v/>
      </c>
      <c r="AM43" t="str">
        <f t="shared" si="19"/>
        <v/>
      </c>
      <c r="AN43" t="str">
        <f t="shared" si="20"/>
        <v/>
      </c>
      <c r="AO43">
        <f t="shared" si="21"/>
        <v>0</v>
      </c>
      <c r="AP43">
        <f t="shared" si="27"/>
        <v>0</v>
      </c>
      <c r="AQ43" t="str">
        <f t="shared" si="22"/>
        <v/>
      </c>
      <c r="AR43">
        <f>IF($Y43="",0,COUNTIF(บันทึกรายเที่ยว!$V$6:$V$10005,$Y43))</f>
        <v>0</v>
      </c>
      <c r="AS43">
        <f>IF($Y43="",0,ROUND(SUMIF(บันทึกรายเที่ยว!$V$6:$V$10005,$Y43,บันทึกรายเที่ยว!$M$6:$M$10005),2))</f>
        <v>0</v>
      </c>
      <c r="AT43">
        <f>IF($Y43="",0,IFERROR(INDEX(อัตราค่าขนส่ง!$J$5:$J$204,MATCH($Y43,อัตราค่าขนส่ง!$O$5:$O$204,0)),0))</f>
        <v>0</v>
      </c>
      <c r="AU43">
        <f t="shared" si="23"/>
        <v>0</v>
      </c>
      <c r="AV43">
        <f t="shared" si="24"/>
        <v>0</v>
      </c>
      <c r="AW43" t="str">
        <f>IF($Y43="","",IFERROR(INDEX(อัตราค่าขนส่ง!$F$5:$F$204,MATCH($Y43,อัตราค่าขนส่ง!$O$5:$O$204,0)),""))</f>
        <v/>
      </c>
      <c r="AX43" t="str">
        <f>IF($W43="","",INDEX(บันทึกรายเที่ยว!$D$6:$D$10005,$W43))</f>
        <v/>
      </c>
      <c r="AY43" t="str">
        <f>IF($W43="","",INDEX(บันทึกรายเที่ยว!$R$6:$R$10005,$W43))</f>
        <v/>
      </c>
      <c r="AZ43">
        <f t="shared" si="25"/>
        <v>0</v>
      </c>
      <c r="BA43" t="str">
        <f>IF($W43="","",INDEX(บันทึกรายเที่ยว!$E$6:$E$10005,$W43))</f>
        <v/>
      </c>
      <c r="BC43">
        <f>IF($Y43="",0,IFERROR(INDEX(อัตราค่าขนส่ง!$M$5:$M$204,MATCH($Y43,อัตราค่าขนส่ง!$O$5:$O$204,0)),0))</f>
        <v>0</v>
      </c>
      <c r="BD43">
        <f>IF($Y43="",0,IFERROR(INDEX(อัตราค่าขนส่ง!$N$5:$N$204,MATCH($Y43,อัตราค่าขนส่ง!$O$5:$O$204,0)),0))</f>
        <v>0</v>
      </c>
    </row>
    <row r="44" spans="1:56" ht="21" customHeight="1" x14ac:dyDescent="0.95">
      <c r="A44" s="36" t="str">
        <f>IF($AD44="","",IF($AD44="Z","รวมจ่ายทั้งสิ้น",IF($AD44="H",INDEX($X$5:$X$404,$AC44),IF($AD44="T","รวม",IF($AD44="B",IFERROR(INDEX(อัตราค่าขนส่ง!$U$5:$U$14,MATCH(INDEX($AM$5:$AM$404,$AC44),อัตราค่าขนส่ง!$T$5:$T$14,0)),"รวมกลุ่ม "&amp;INDEX($AM$5:$AM$404,$AC44)),INDEX($AY$5:$AY$404,$AC44))))))</f>
        <v/>
      </c>
      <c r="B44" s="31" t="str">
        <f t="shared" si="0"/>
        <v/>
      </c>
      <c r="C44" s="8" t="str">
        <f t="shared" si="1"/>
        <v/>
      </c>
      <c r="D44" s="37" t="str">
        <f t="shared" si="2"/>
        <v/>
      </c>
      <c r="E44" s="31" t="str">
        <f t="shared" si="3"/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I44" s="32" t="str">
        <f t="shared" si="7"/>
        <v/>
      </c>
      <c r="J44" s="46" t="str">
        <f t="shared" si="8"/>
        <v/>
      </c>
      <c r="K44" s="32" t="str">
        <f t="shared" si="9"/>
        <v/>
      </c>
      <c r="L44" s="32" t="str">
        <f t="shared" si="10"/>
        <v/>
      </c>
      <c r="M44" s="32" t="str">
        <f t="shared" si="11"/>
        <v/>
      </c>
      <c r="N44" s="32" t="str">
        <f t="shared" si="12"/>
        <v/>
      </c>
      <c r="O44" s="32" t="str">
        <f t="shared" si="13"/>
        <v/>
      </c>
      <c r="Q44" t="str">
        <f>IFERROR(MATCH(40,บันทึกรายเที่ยว!$Z$6:$Z$10005,0),"")</f>
        <v/>
      </c>
      <c r="R44" t="str">
        <f>IF($Q44="","",INDEX(บันทึกรายเที่ยว!$V$6:$V$10005,$Q44))</f>
        <v/>
      </c>
      <c r="S44" t="str">
        <f>IF($Q44="","",INDEX(บันทึกรายเที่ยว!$F$6:$F$10005,$Q44))</f>
        <v/>
      </c>
      <c r="T44" t="str">
        <f>IF($Q44="","",MATCH($S44,บันทึกรายเที่ยว!$F$6:$F$10005,0))</f>
        <v/>
      </c>
      <c r="U44" t="str">
        <f>IF($Q44="","",$AL44*10000000+$T44*1000+40)</f>
        <v/>
      </c>
      <c r="V44" t="str">
        <f>IFERROR(MATCH(SMALL($U$5:$U$404,40),$U$5:$U$404,0),"")</f>
        <v/>
      </c>
      <c r="W44" t="str">
        <f t="shared" si="14"/>
        <v/>
      </c>
      <c r="X44" t="str">
        <f t="shared" si="15"/>
        <v/>
      </c>
      <c r="Y44" t="str">
        <f t="shared" si="16"/>
        <v/>
      </c>
      <c r="Z44">
        <f t="shared" si="26"/>
        <v>0</v>
      </c>
      <c r="AA44">
        <f t="shared" si="17"/>
        <v>0</v>
      </c>
      <c r="AB44">
        <f>IF($V44="",99999+40,$AB43+1+$Z43+$AA43+$AO43)</f>
        <v>100039</v>
      </c>
      <c r="AC44" t="str">
        <f>IFERROR(MATCH(40,$AB$5:$AB$404,1),"")</f>
        <v/>
      </c>
      <c r="AD44" t="str">
        <f>IF(40=$AI$1+1,"Z",IF($AC44="","",IF(INDEX($V$5:$V$404,$AC44)="","",IF(40&gt;INDEX($AB$5:$AB$404,$AC44)+INDEX($Z$5:$Z$404,$AC44)+INDEX($AA$5:$AA$404,$AC44)+INDEX($AO$5:$AO$404,$AC44),"",IF(40=INDEX($AB$5:$AB$404,$AC44)+INDEX($Z$5:$Z$404,$AC44),"D",IF(AND(INDEX($Z$5:$Z$404,$AC44)=1,40=INDEX($AB$5:$AB$404,$AC44)),"H",IF(AND(INDEX($AO$5:$AO$404,$AC44)=1,40=INDEX($AB$5:$AB$404,$AC44)+INDEX($Z$5:$Z$404,$AC44)+INDEX($AA$5:$AA$404,$AC44)+INDEX($AO$5:$AO$404,$AC44)),"B","T")))))))</f>
        <v/>
      </c>
      <c r="AF44" t="str">
        <f t="shared" si="18"/>
        <v/>
      </c>
      <c r="AJ44">
        <f>IF($AD44&lt;&gt;"T",0,ROUND(SUMIF(oil!$B$4:$B$63,$AF44,oil!$AE$4:$AE$63),2))</f>
        <v>0</v>
      </c>
      <c r="AK44" t="str">
        <f>IF($S44="","",IFERROR(INDEX(อัตราค่าขนส่ง!$R$5:$R$54,MATCH($S44,อัตราค่าขนส่ง!$Q$5:$Q$54,0)),INDEX(รายการมาตรฐาน!$G$2:$G$3,1)))</f>
        <v/>
      </c>
      <c r="AL44" t="str">
        <f>IF($S44="","",IFERROR(MATCH($AK44,รายการมาตรฐาน!$G$2:$G$3,0),1))</f>
        <v/>
      </c>
      <c r="AM44" t="str">
        <f t="shared" si="19"/>
        <v/>
      </c>
      <c r="AN44" t="str">
        <f t="shared" si="20"/>
        <v/>
      </c>
      <c r="AO44">
        <f t="shared" si="21"/>
        <v>0</v>
      </c>
      <c r="AP44">
        <f t="shared" si="27"/>
        <v>0</v>
      </c>
      <c r="AQ44" t="str">
        <f t="shared" si="22"/>
        <v/>
      </c>
      <c r="AR44">
        <f>IF($Y44="",0,COUNTIF(บันทึกรายเที่ยว!$V$6:$V$10005,$Y44))</f>
        <v>0</v>
      </c>
      <c r="AS44">
        <f>IF($Y44="",0,ROUND(SUMIF(บันทึกรายเที่ยว!$V$6:$V$10005,$Y44,บันทึกรายเที่ยว!$M$6:$M$10005),2))</f>
        <v>0</v>
      </c>
      <c r="AT44">
        <f>IF($Y44="",0,IFERROR(INDEX(อัตราค่าขนส่ง!$J$5:$J$204,MATCH($Y44,อัตราค่าขนส่ง!$O$5:$O$204,0)),0))</f>
        <v>0</v>
      </c>
      <c r="AU44">
        <f t="shared" si="23"/>
        <v>0</v>
      </c>
      <c r="AV44">
        <f t="shared" si="24"/>
        <v>0</v>
      </c>
      <c r="AW44" t="str">
        <f>IF($Y44="","",IFERROR(INDEX(อัตราค่าขนส่ง!$F$5:$F$204,MATCH($Y44,อัตราค่าขนส่ง!$O$5:$O$204,0)),""))</f>
        <v/>
      </c>
      <c r="AX44" t="str">
        <f>IF($W44="","",INDEX(บันทึกรายเที่ยว!$D$6:$D$10005,$W44))</f>
        <v/>
      </c>
      <c r="AY44" t="str">
        <f>IF($W44="","",INDEX(บันทึกรายเที่ยว!$R$6:$R$10005,$W44))</f>
        <v/>
      </c>
      <c r="AZ44">
        <f t="shared" si="25"/>
        <v>0</v>
      </c>
      <c r="BA44" t="str">
        <f>IF($W44="","",INDEX(บันทึกรายเที่ยว!$E$6:$E$10005,$W44))</f>
        <v/>
      </c>
      <c r="BC44">
        <f>IF($Y44="",0,IFERROR(INDEX(อัตราค่าขนส่ง!$M$5:$M$204,MATCH($Y44,อัตราค่าขนส่ง!$O$5:$O$204,0)),0))</f>
        <v>0</v>
      </c>
      <c r="BD44">
        <f>IF($Y44="",0,IFERROR(INDEX(อัตราค่าขนส่ง!$N$5:$N$204,MATCH($Y44,อัตราค่าขนส่ง!$O$5:$O$204,0)),0))</f>
        <v>0</v>
      </c>
    </row>
    <row r="45" spans="1:56" ht="21" customHeight="1" x14ac:dyDescent="0.95">
      <c r="A45" s="36" t="str">
        <f>IF($AD45="","",IF($AD45="Z","รวมจ่ายทั้งสิ้น",IF($AD45="H",INDEX($X$5:$X$404,$AC45),IF($AD45="T","รวม",IF($AD45="B",IFERROR(INDEX(อัตราค่าขนส่ง!$U$5:$U$14,MATCH(INDEX($AM$5:$AM$404,$AC45),อัตราค่าขนส่ง!$T$5:$T$14,0)),"รวมกลุ่ม "&amp;INDEX($AM$5:$AM$404,$AC45)),INDEX($AY$5:$AY$404,$AC45))))))</f>
        <v/>
      </c>
      <c r="B45" s="31" t="str">
        <f t="shared" si="0"/>
        <v/>
      </c>
      <c r="C45" s="8" t="str">
        <f t="shared" si="1"/>
        <v/>
      </c>
      <c r="D45" s="37" t="str">
        <f t="shared" si="2"/>
        <v/>
      </c>
      <c r="E45" s="31" t="str">
        <f t="shared" si="3"/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I45" s="32" t="str">
        <f t="shared" si="7"/>
        <v/>
      </c>
      <c r="J45" s="46" t="str">
        <f t="shared" si="8"/>
        <v/>
      </c>
      <c r="K45" s="32" t="str">
        <f t="shared" si="9"/>
        <v/>
      </c>
      <c r="L45" s="32" t="str">
        <f t="shared" si="10"/>
        <v/>
      </c>
      <c r="M45" s="32" t="str">
        <f t="shared" si="11"/>
        <v/>
      </c>
      <c r="N45" s="32" t="str">
        <f t="shared" si="12"/>
        <v/>
      </c>
      <c r="O45" s="32" t="str">
        <f t="shared" si="13"/>
        <v/>
      </c>
      <c r="Q45" t="str">
        <f>IFERROR(MATCH(41,บันทึกรายเที่ยว!$Z$6:$Z$10005,0),"")</f>
        <v/>
      </c>
      <c r="R45" t="str">
        <f>IF($Q45="","",INDEX(บันทึกรายเที่ยว!$V$6:$V$10005,$Q45))</f>
        <v/>
      </c>
      <c r="S45" t="str">
        <f>IF($Q45="","",INDEX(บันทึกรายเที่ยว!$F$6:$F$10005,$Q45))</f>
        <v/>
      </c>
      <c r="T45" t="str">
        <f>IF($Q45="","",MATCH($S45,บันทึกรายเที่ยว!$F$6:$F$10005,0))</f>
        <v/>
      </c>
      <c r="U45" t="str">
        <f>IF($Q45="","",$AL45*10000000+$T45*1000+41)</f>
        <v/>
      </c>
      <c r="V45" t="str">
        <f>IFERROR(MATCH(SMALL($U$5:$U$404,41),$U$5:$U$404,0),"")</f>
        <v/>
      </c>
      <c r="W45" t="str">
        <f t="shared" si="14"/>
        <v/>
      </c>
      <c r="X45" t="str">
        <f t="shared" si="15"/>
        <v/>
      </c>
      <c r="Y45" t="str">
        <f t="shared" si="16"/>
        <v/>
      </c>
      <c r="Z45">
        <f t="shared" si="26"/>
        <v>0</v>
      </c>
      <c r="AA45">
        <f t="shared" si="17"/>
        <v>0</v>
      </c>
      <c r="AB45">
        <f>IF($V45="",99999+41,$AB44+1+$Z44+$AA44+$AO44)</f>
        <v>100040</v>
      </c>
      <c r="AC45" t="str">
        <f>IFERROR(MATCH(41,$AB$5:$AB$404,1),"")</f>
        <v/>
      </c>
      <c r="AD45" t="str">
        <f>IF(41=$AI$1+1,"Z",IF($AC45="","",IF(INDEX($V$5:$V$404,$AC45)="","",IF(41&gt;INDEX($AB$5:$AB$404,$AC45)+INDEX($Z$5:$Z$404,$AC45)+INDEX($AA$5:$AA$404,$AC45)+INDEX($AO$5:$AO$404,$AC45),"",IF(41=INDEX($AB$5:$AB$404,$AC45)+INDEX($Z$5:$Z$404,$AC45),"D",IF(AND(INDEX($Z$5:$Z$404,$AC45)=1,41=INDEX($AB$5:$AB$404,$AC45)),"H",IF(AND(INDEX($AO$5:$AO$404,$AC45)=1,41=INDEX($AB$5:$AB$404,$AC45)+INDEX($Z$5:$Z$404,$AC45)+INDEX($AA$5:$AA$404,$AC45)+INDEX($AO$5:$AO$404,$AC45)),"B","T")))))))</f>
        <v/>
      </c>
      <c r="AF45" t="str">
        <f t="shared" si="18"/>
        <v/>
      </c>
      <c r="AJ45">
        <f>IF($AD45&lt;&gt;"T",0,ROUND(SUMIF(oil!$B$4:$B$63,$AF45,oil!$AE$4:$AE$63),2))</f>
        <v>0</v>
      </c>
      <c r="AK45" t="str">
        <f>IF($S45="","",IFERROR(INDEX(อัตราค่าขนส่ง!$R$5:$R$54,MATCH($S45,อัตราค่าขนส่ง!$Q$5:$Q$54,0)),INDEX(รายการมาตรฐาน!$G$2:$G$3,1)))</f>
        <v/>
      </c>
      <c r="AL45" t="str">
        <f>IF($S45="","",IFERROR(MATCH($AK45,รายการมาตรฐาน!$G$2:$G$3,0),1))</f>
        <v/>
      </c>
      <c r="AM45" t="str">
        <f t="shared" si="19"/>
        <v/>
      </c>
      <c r="AN45" t="str">
        <f t="shared" si="20"/>
        <v/>
      </c>
      <c r="AO45">
        <f t="shared" si="21"/>
        <v>0</v>
      </c>
      <c r="AP45">
        <f t="shared" si="27"/>
        <v>0</v>
      </c>
      <c r="AQ45" t="str">
        <f t="shared" si="22"/>
        <v/>
      </c>
      <c r="AR45">
        <f>IF($Y45="",0,COUNTIF(บันทึกรายเที่ยว!$V$6:$V$10005,$Y45))</f>
        <v>0</v>
      </c>
      <c r="AS45">
        <f>IF($Y45="",0,ROUND(SUMIF(บันทึกรายเที่ยว!$V$6:$V$10005,$Y45,บันทึกรายเที่ยว!$M$6:$M$10005),2))</f>
        <v>0</v>
      </c>
      <c r="AT45">
        <f>IF($Y45="",0,IFERROR(INDEX(อัตราค่าขนส่ง!$J$5:$J$204,MATCH($Y45,อัตราค่าขนส่ง!$O$5:$O$204,0)),0))</f>
        <v>0</v>
      </c>
      <c r="AU45">
        <f t="shared" si="23"/>
        <v>0</v>
      </c>
      <c r="AV45">
        <f t="shared" si="24"/>
        <v>0</v>
      </c>
      <c r="AW45" t="str">
        <f>IF($Y45="","",IFERROR(INDEX(อัตราค่าขนส่ง!$F$5:$F$204,MATCH($Y45,อัตราค่าขนส่ง!$O$5:$O$204,0)),""))</f>
        <v/>
      </c>
      <c r="AX45" t="str">
        <f>IF($W45="","",INDEX(บันทึกรายเที่ยว!$D$6:$D$10005,$W45))</f>
        <v/>
      </c>
      <c r="AY45" t="str">
        <f>IF($W45="","",INDEX(บันทึกรายเที่ยว!$R$6:$R$10005,$W45))</f>
        <v/>
      </c>
      <c r="AZ45">
        <f t="shared" si="25"/>
        <v>0</v>
      </c>
      <c r="BA45" t="str">
        <f>IF($W45="","",INDEX(บันทึกรายเที่ยว!$E$6:$E$10005,$W45))</f>
        <v/>
      </c>
      <c r="BC45">
        <f>IF($Y45="",0,IFERROR(INDEX(อัตราค่าขนส่ง!$M$5:$M$204,MATCH($Y45,อัตราค่าขนส่ง!$O$5:$O$204,0)),0))</f>
        <v>0</v>
      </c>
      <c r="BD45">
        <f>IF($Y45="",0,IFERROR(INDEX(อัตราค่าขนส่ง!$N$5:$N$204,MATCH($Y45,อัตราค่าขนส่ง!$O$5:$O$204,0)),0))</f>
        <v>0</v>
      </c>
    </row>
    <row r="46" spans="1:56" ht="21" customHeight="1" x14ac:dyDescent="0.95">
      <c r="A46" s="36" t="str">
        <f>IF($AD46="","",IF($AD46="Z","รวมจ่ายทั้งสิ้น",IF($AD46="H",INDEX($X$5:$X$404,$AC46),IF($AD46="T","รวม",IF($AD46="B",IFERROR(INDEX(อัตราค่าขนส่ง!$U$5:$U$14,MATCH(INDEX($AM$5:$AM$404,$AC46),อัตราค่าขนส่ง!$T$5:$T$14,0)),"รวมกลุ่ม "&amp;INDEX($AM$5:$AM$404,$AC46)),INDEX($AY$5:$AY$404,$AC46))))))</f>
        <v/>
      </c>
      <c r="B46" s="31" t="str">
        <f t="shared" si="0"/>
        <v/>
      </c>
      <c r="C46" s="8" t="str">
        <f t="shared" si="1"/>
        <v/>
      </c>
      <c r="D46" s="37" t="str">
        <f t="shared" si="2"/>
        <v/>
      </c>
      <c r="E46" s="31" t="str">
        <f t="shared" si="3"/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I46" s="32" t="str">
        <f t="shared" si="7"/>
        <v/>
      </c>
      <c r="J46" s="46" t="str">
        <f t="shared" si="8"/>
        <v/>
      </c>
      <c r="K46" s="32" t="str">
        <f t="shared" si="9"/>
        <v/>
      </c>
      <c r="L46" s="32" t="str">
        <f t="shared" si="10"/>
        <v/>
      </c>
      <c r="M46" s="32" t="str">
        <f t="shared" si="11"/>
        <v/>
      </c>
      <c r="N46" s="32" t="str">
        <f t="shared" si="12"/>
        <v/>
      </c>
      <c r="O46" s="32" t="str">
        <f t="shared" si="13"/>
        <v/>
      </c>
      <c r="Q46" t="str">
        <f>IFERROR(MATCH(42,บันทึกรายเที่ยว!$Z$6:$Z$10005,0),"")</f>
        <v/>
      </c>
      <c r="R46" t="str">
        <f>IF($Q46="","",INDEX(บันทึกรายเที่ยว!$V$6:$V$10005,$Q46))</f>
        <v/>
      </c>
      <c r="S46" t="str">
        <f>IF($Q46="","",INDEX(บันทึกรายเที่ยว!$F$6:$F$10005,$Q46))</f>
        <v/>
      </c>
      <c r="T46" t="str">
        <f>IF($Q46="","",MATCH($S46,บันทึกรายเที่ยว!$F$6:$F$10005,0))</f>
        <v/>
      </c>
      <c r="U46" t="str">
        <f>IF($Q46="","",$AL46*10000000+$T46*1000+42)</f>
        <v/>
      </c>
      <c r="V46" t="str">
        <f>IFERROR(MATCH(SMALL($U$5:$U$404,42),$U$5:$U$404,0),"")</f>
        <v/>
      </c>
      <c r="W46" t="str">
        <f t="shared" si="14"/>
        <v/>
      </c>
      <c r="X46" t="str">
        <f t="shared" si="15"/>
        <v/>
      </c>
      <c r="Y46" t="str">
        <f t="shared" si="16"/>
        <v/>
      </c>
      <c r="Z46">
        <f t="shared" si="26"/>
        <v>0</v>
      </c>
      <c r="AA46">
        <f t="shared" si="17"/>
        <v>0</v>
      </c>
      <c r="AB46">
        <f>IF($V46="",99999+42,$AB45+1+$Z45+$AA45+$AO45)</f>
        <v>100041</v>
      </c>
      <c r="AC46" t="str">
        <f>IFERROR(MATCH(42,$AB$5:$AB$404,1),"")</f>
        <v/>
      </c>
      <c r="AD46" t="str">
        <f>IF(42=$AI$1+1,"Z",IF($AC46="","",IF(INDEX($V$5:$V$404,$AC46)="","",IF(42&gt;INDEX($AB$5:$AB$404,$AC46)+INDEX($Z$5:$Z$404,$AC46)+INDEX($AA$5:$AA$404,$AC46)+INDEX($AO$5:$AO$404,$AC46),"",IF(42=INDEX($AB$5:$AB$404,$AC46)+INDEX($Z$5:$Z$404,$AC46),"D",IF(AND(INDEX($Z$5:$Z$404,$AC46)=1,42=INDEX($AB$5:$AB$404,$AC46)),"H",IF(AND(INDEX($AO$5:$AO$404,$AC46)=1,42=INDEX($AB$5:$AB$404,$AC46)+INDEX($Z$5:$Z$404,$AC46)+INDEX($AA$5:$AA$404,$AC46)+INDEX($AO$5:$AO$404,$AC46)),"B","T")))))))</f>
        <v/>
      </c>
      <c r="AF46" t="str">
        <f t="shared" si="18"/>
        <v/>
      </c>
      <c r="AJ46">
        <f>IF($AD46&lt;&gt;"T",0,ROUND(SUMIF(oil!$B$4:$B$63,$AF46,oil!$AE$4:$AE$63),2))</f>
        <v>0</v>
      </c>
      <c r="AK46" t="str">
        <f>IF($S46="","",IFERROR(INDEX(อัตราค่าขนส่ง!$R$5:$R$54,MATCH($S46,อัตราค่าขนส่ง!$Q$5:$Q$54,0)),INDEX(รายการมาตรฐาน!$G$2:$G$3,1)))</f>
        <v/>
      </c>
      <c r="AL46" t="str">
        <f>IF($S46="","",IFERROR(MATCH($AK46,รายการมาตรฐาน!$G$2:$G$3,0),1))</f>
        <v/>
      </c>
      <c r="AM46" t="str">
        <f t="shared" si="19"/>
        <v/>
      </c>
      <c r="AN46" t="str">
        <f t="shared" si="20"/>
        <v/>
      </c>
      <c r="AO46">
        <f t="shared" si="21"/>
        <v>0</v>
      </c>
      <c r="AP46">
        <f t="shared" si="27"/>
        <v>0</v>
      </c>
      <c r="AQ46" t="str">
        <f t="shared" si="22"/>
        <v/>
      </c>
      <c r="AR46">
        <f>IF($Y46="",0,COUNTIF(บันทึกรายเที่ยว!$V$6:$V$10005,$Y46))</f>
        <v>0</v>
      </c>
      <c r="AS46">
        <f>IF($Y46="",0,ROUND(SUMIF(บันทึกรายเที่ยว!$V$6:$V$10005,$Y46,บันทึกรายเที่ยว!$M$6:$M$10005),2))</f>
        <v>0</v>
      </c>
      <c r="AT46">
        <f>IF($Y46="",0,IFERROR(INDEX(อัตราค่าขนส่ง!$J$5:$J$204,MATCH($Y46,อัตราค่าขนส่ง!$O$5:$O$204,0)),0))</f>
        <v>0</v>
      </c>
      <c r="AU46">
        <f t="shared" si="23"/>
        <v>0</v>
      </c>
      <c r="AV46">
        <f t="shared" si="24"/>
        <v>0</v>
      </c>
      <c r="AW46" t="str">
        <f>IF($Y46="","",IFERROR(INDEX(อัตราค่าขนส่ง!$F$5:$F$204,MATCH($Y46,อัตราค่าขนส่ง!$O$5:$O$204,0)),""))</f>
        <v/>
      </c>
      <c r="AX46" t="str">
        <f>IF($W46="","",INDEX(บันทึกรายเที่ยว!$D$6:$D$10005,$W46))</f>
        <v/>
      </c>
      <c r="AY46" t="str">
        <f>IF($W46="","",INDEX(บันทึกรายเที่ยว!$R$6:$R$10005,$W46))</f>
        <v/>
      </c>
      <c r="AZ46">
        <f t="shared" si="25"/>
        <v>0</v>
      </c>
      <c r="BA46" t="str">
        <f>IF($W46="","",INDEX(บันทึกรายเที่ยว!$E$6:$E$10005,$W46))</f>
        <v/>
      </c>
      <c r="BC46">
        <f>IF($Y46="",0,IFERROR(INDEX(อัตราค่าขนส่ง!$M$5:$M$204,MATCH($Y46,อัตราค่าขนส่ง!$O$5:$O$204,0)),0))</f>
        <v>0</v>
      </c>
      <c r="BD46">
        <f>IF($Y46="",0,IFERROR(INDEX(อัตราค่าขนส่ง!$N$5:$N$204,MATCH($Y46,อัตราค่าขนส่ง!$O$5:$O$204,0)),0))</f>
        <v>0</v>
      </c>
    </row>
    <row r="47" spans="1:56" ht="21" customHeight="1" x14ac:dyDescent="0.95">
      <c r="A47" s="36" t="str">
        <f>IF($AD47="","",IF($AD47="Z","รวมจ่ายทั้งสิ้น",IF($AD47="H",INDEX($X$5:$X$404,$AC47),IF($AD47="T","รวม",IF($AD47="B",IFERROR(INDEX(อัตราค่าขนส่ง!$U$5:$U$14,MATCH(INDEX($AM$5:$AM$404,$AC47),อัตราค่าขนส่ง!$T$5:$T$14,0)),"รวมกลุ่ม "&amp;INDEX($AM$5:$AM$404,$AC47)),INDEX($AY$5:$AY$404,$AC47))))))</f>
        <v/>
      </c>
      <c r="B47" s="31" t="str">
        <f t="shared" si="0"/>
        <v/>
      </c>
      <c r="C47" s="8" t="str">
        <f t="shared" si="1"/>
        <v/>
      </c>
      <c r="D47" s="37" t="str">
        <f t="shared" si="2"/>
        <v/>
      </c>
      <c r="E47" s="31" t="str">
        <f t="shared" si="3"/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I47" s="32" t="str">
        <f t="shared" si="7"/>
        <v/>
      </c>
      <c r="J47" s="46" t="str">
        <f t="shared" si="8"/>
        <v/>
      </c>
      <c r="K47" s="32" t="str">
        <f t="shared" si="9"/>
        <v/>
      </c>
      <c r="L47" s="32" t="str">
        <f t="shared" si="10"/>
        <v/>
      </c>
      <c r="M47" s="32" t="str">
        <f t="shared" si="11"/>
        <v/>
      </c>
      <c r="N47" s="32" t="str">
        <f t="shared" si="12"/>
        <v/>
      </c>
      <c r="O47" s="32" t="str">
        <f t="shared" si="13"/>
        <v/>
      </c>
      <c r="Q47" t="str">
        <f>IFERROR(MATCH(43,บันทึกรายเที่ยว!$Z$6:$Z$10005,0),"")</f>
        <v/>
      </c>
      <c r="R47" t="str">
        <f>IF($Q47="","",INDEX(บันทึกรายเที่ยว!$V$6:$V$10005,$Q47))</f>
        <v/>
      </c>
      <c r="S47" t="str">
        <f>IF($Q47="","",INDEX(บันทึกรายเที่ยว!$F$6:$F$10005,$Q47))</f>
        <v/>
      </c>
      <c r="T47" t="str">
        <f>IF($Q47="","",MATCH($S47,บันทึกรายเที่ยว!$F$6:$F$10005,0))</f>
        <v/>
      </c>
      <c r="U47" t="str">
        <f>IF($Q47="","",$AL47*10000000+$T47*1000+43)</f>
        <v/>
      </c>
      <c r="V47" t="str">
        <f>IFERROR(MATCH(SMALL($U$5:$U$404,43),$U$5:$U$404,0),"")</f>
        <v/>
      </c>
      <c r="W47" t="str">
        <f t="shared" si="14"/>
        <v/>
      </c>
      <c r="X47" t="str">
        <f t="shared" si="15"/>
        <v/>
      </c>
      <c r="Y47" t="str">
        <f t="shared" si="16"/>
        <v/>
      </c>
      <c r="Z47">
        <f t="shared" si="26"/>
        <v>0</v>
      </c>
      <c r="AA47">
        <f t="shared" si="17"/>
        <v>0</v>
      </c>
      <c r="AB47">
        <f>IF($V47="",99999+43,$AB46+1+$Z46+$AA46+$AO46)</f>
        <v>100042</v>
      </c>
      <c r="AC47" t="str">
        <f>IFERROR(MATCH(43,$AB$5:$AB$404,1),"")</f>
        <v/>
      </c>
      <c r="AD47" t="str">
        <f>IF(43=$AI$1+1,"Z",IF($AC47="","",IF(INDEX($V$5:$V$404,$AC47)="","",IF(43&gt;INDEX($AB$5:$AB$404,$AC47)+INDEX($Z$5:$Z$404,$AC47)+INDEX($AA$5:$AA$404,$AC47)+INDEX($AO$5:$AO$404,$AC47),"",IF(43=INDEX($AB$5:$AB$404,$AC47)+INDEX($Z$5:$Z$404,$AC47),"D",IF(AND(INDEX($Z$5:$Z$404,$AC47)=1,43=INDEX($AB$5:$AB$404,$AC47)),"H",IF(AND(INDEX($AO$5:$AO$404,$AC47)=1,43=INDEX($AB$5:$AB$404,$AC47)+INDEX($Z$5:$Z$404,$AC47)+INDEX($AA$5:$AA$404,$AC47)+INDEX($AO$5:$AO$404,$AC47)),"B","T")))))))</f>
        <v/>
      </c>
      <c r="AF47" t="str">
        <f t="shared" si="18"/>
        <v/>
      </c>
      <c r="AJ47">
        <f>IF($AD47&lt;&gt;"T",0,ROUND(SUMIF(oil!$B$4:$B$63,$AF47,oil!$AE$4:$AE$63),2))</f>
        <v>0</v>
      </c>
      <c r="AK47" t="str">
        <f>IF($S47="","",IFERROR(INDEX(อัตราค่าขนส่ง!$R$5:$R$54,MATCH($S47,อัตราค่าขนส่ง!$Q$5:$Q$54,0)),INDEX(รายการมาตรฐาน!$G$2:$G$3,1)))</f>
        <v/>
      </c>
      <c r="AL47" t="str">
        <f>IF($S47="","",IFERROR(MATCH($AK47,รายการมาตรฐาน!$G$2:$G$3,0),1))</f>
        <v/>
      </c>
      <c r="AM47" t="str">
        <f t="shared" si="19"/>
        <v/>
      </c>
      <c r="AN47" t="str">
        <f t="shared" si="20"/>
        <v/>
      </c>
      <c r="AO47">
        <f t="shared" si="21"/>
        <v>0</v>
      </c>
      <c r="AP47">
        <f t="shared" si="27"/>
        <v>0</v>
      </c>
      <c r="AQ47" t="str">
        <f t="shared" si="22"/>
        <v/>
      </c>
      <c r="AR47">
        <f>IF($Y47="",0,COUNTIF(บันทึกรายเที่ยว!$V$6:$V$10005,$Y47))</f>
        <v>0</v>
      </c>
      <c r="AS47">
        <f>IF($Y47="",0,ROUND(SUMIF(บันทึกรายเที่ยว!$V$6:$V$10005,$Y47,บันทึกรายเที่ยว!$M$6:$M$10005),2))</f>
        <v>0</v>
      </c>
      <c r="AT47">
        <f>IF($Y47="",0,IFERROR(INDEX(อัตราค่าขนส่ง!$J$5:$J$204,MATCH($Y47,อัตราค่าขนส่ง!$O$5:$O$204,0)),0))</f>
        <v>0</v>
      </c>
      <c r="AU47">
        <f t="shared" si="23"/>
        <v>0</v>
      </c>
      <c r="AV47">
        <f t="shared" si="24"/>
        <v>0</v>
      </c>
      <c r="AW47" t="str">
        <f>IF($Y47="","",IFERROR(INDEX(อัตราค่าขนส่ง!$F$5:$F$204,MATCH($Y47,อัตราค่าขนส่ง!$O$5:$O$204,0)),""))</f>
        <v/>
      </c>
      <c r="AX47" t="str">
        <f>IF($W47="","",INDEX(บันทึกรายเที่ยว!$D$6:$D$10005,$W47))</f>
        <v/>
      </c>
      <c r="AY47" t="str">
        <f>IF($W47="","",INDEX(บันทึกรายเที่ยว!$R$6:$R$10005,$W47))</f>
        <v/>
      </c>
      <c r="AZ47">
        <f t="shared" si="25"/>
        <v>0</v>
      </c>
      <c r="BA47" t="str">
        <f>IF($W47="","",INDEX(บันทึกรายเที่ยว!$E$6:$E$10005,$W47))</f>
        <v/>
      </c>
      <c r="BC47">
        <f>IF($Y47="",0,IFERROR(INDEX(อัตราค่าขนส่ง!$M$5:$M$204,MATCH($Y47,อัตราค่าขนส่ง!$O$5:$O$204,0)),0))</f>
        <v>0</v>
      </c>
      <c r="BD47">
        <f>IF($Y47="",0,IFERROR(INDEX(อัตราค่าขนส่ง!$N$5:$N$204,MATCH($Y47,อัตราค่าขนส่ง!$O$5:$O$204,0)),0))</f>
        <v>0</v>
      </c>
    </row>
    <row r="48" spans="1:56" ht="21" customHeight="1" x14ac:dyDescent="0.95">
      <c r="A48" s="36" t="str">
        <f>IF($AD48="","",IF($AD48="Z","รวมจ่ายทั้งสิ้น",IF($AD48="H",INDEX($X$5:$X$404,$AC48),IF($AD48="T","รวม",IF($AD48="B",IFERROR(INDEX(อัตราค่าขนส่ง!$U$5:$U$14,MATCH(INDEX($AM$5:$AM$404,$AC48),อัตราค่าขนส่ง!$T$5:$T$14,0)),"รวมกลุ่ม "&amp;INDEX($AM$5:$AM$404,$AC48)),INDEX($AY$5:$AY$404,$AC48))))))</f>
        <v/>
      </c>
      <c r="B48" s="31" t="str">
        <f t="shared" si="0"/>
        <v/>
      </c>
      <c r="C48" s="8" t="str">
        <f t="shared" si="1"/>
        <v/>
      </c>
      <c r="D48" s="37" t="str">
        <f t="shared" si="2"/>
        <v/>
      </c>
      <c r="E48" s="31" t="str">
        <f t="shared" si="3"/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I48" s="32" t="str">
        <f t="shared" si="7"/>
        <v/>
      </c>
      <c r="J48" s="46" t="str">
        <f t="shared" si="8"/>
        <v/>
      </c>
      <c r="K48" s="32" t="str">
        <f t="shared" si="9"/>
        <v/>
      </c>
      <c r="L48" s="32" t="str">
        <f t="shared" si="10"/>
        <v/>
      </c>
      <c r="M48" s="32" t="str">
        <f t="shared" si="11"/>
        <v/>
      </c>
      <c r="N48" s="32" t="str">
        <f t="shared" si="12"/>
        <v/>
      </c>
      <c r="O48" s="32" t="str">
        <f t="shared" si="13"/>
        <v/>
      </c>
      <c r="Q48" t="str">
        <f>IFERROR(MATCH(44,บันทึกรายเที่ยว!$Z$6:$Z$10005,0),"")</f>
        <v/>
      </c>
      <c r="R48" t="str">
        <f>IF($Q48="","",INDEX(บันทึกรายเที่ยว!$V$6:$V$10005,$Q48))</f>
        <v/>
      </c>
      <c r="S48" t="str">
        <f>IF($Q48="","",INDEX(บันทึกรายเที่ยว!$F$6:$F$10005,$Q48))</f>
        <v/>
      </c>
      <c r="T48" t="str">
        <f>IF($Q48="","",MATCH($S48,บันทึกรายเที่ยว!$F$6:$F$10005,0))</f>
        <v/>
      </c>
      <c r="U48" t="str">
        <f>IF($Q48="","",$AL48*10000000+$T48*1000+44)</f>
        <v/>
      </c>
      <c r="V48" t="str">
        <f>IFERROR(MATCH(SMALL($U$5:$U$404,44),$U$5:$U$404,0),"")</f>
        <v/>
      </c>
      <c r="W48" t="str">
        <f t="shared" si="14"/>
        <v/>
      </c>
      <c r="X48" t="str">
        <f t="shared" si="15"/>
        <v/>
      </c>
      <c r="Y48" t="str">
        <f t="shared" si="16"/>
        <v/>
      </c>
      <c r="Z48">
        <f t="shared" si="26"/>
        <v>0</v>
      </c>
      <c r="AA48">
        <f t="shared" si="17"/>
        <v>0</v>
      </c>
      <c r="AB48">
        <f>IF($V48="",99999+44,$AB47+1+$Z47+$AA47+$AO47)</f>
        <v>100043</v>
      </c>
      <c r="AC48" t="str">
        <f>IFERROR(MATCH(44,$AB$5:$AB$404,1),"")</f>
        <v/>
      </c>
      <c r="AD48" t="str">
        <f>IF(44=$AI$1+1,"Z",IF($AC48="","",IF(INDEX($V$5:$V$404,$AC48)="","",IF(44&gt;INDEX($AB$5:$AB$404,$AC48)+INDEX($Z$5:$Z$404,$AC48)+INDEX($AA$5:$AA$404,$AC48)+INDEX($AO$5:$AO$404,$AC48),"",IF(44=INDEX($AB$5:$AB$404,$AC48)+INDEX($Z$5:$Z$404,$AC48),"D",IF(AND(INDEX($Z$5:$Z$404,$AC48)=1,44=INDEX($AB$5:$AB$404,$AC48)),"H",IF(AND(INDEX($AO$5:$AO$404,$AC48)=1,44=INDEX($AB$5:$AB$404,$AC48)+INDEX($Z$5:$Z$404,$AC48)+INDEX($AA$5:$AA$404,$AC48)+INDEX($AO$5:$AO$404,$AC48)),"B","T")))))))</f>
        <v/>
      </c>
      <c r="AF48" t="str">
        <f t="shared" si="18"/>
        <v/>
      </c>
      <c r="AJ48">
        <f>IF($AD48&lt;&gt;"T",0,ROUND(SUMIF(oil!$B$4:$B$63,$AF48,oil!$AE$4:$AE$63),2))</f>
        <v>0</v>
      </c>
      <c r="AK48" t="str">
        <f>IF($S48="","",IFERROR(INDEX(อัตราค่าขนส่ง!$R$5:$R$54,MATCH($S48,อัตราค่าขนส่ง!$Q$5:$Q$54,0)),INDEX(รายการมาตรฐาน!$G$2:$G$3,1)))</f>
        <v/>
      </c>
      <c r="AL48" t="str">
        <f>IF($S48="","",IFERROR(MATCH($AK48,รายการมาตรฐาน!$G$2:$G$3,0),1))</f>
        <v/>
      </c>
      <c r="AM48" t="str">
        <f t="shared" si="19"/>
        <v/>
      </c>
      <c r="AN48" t="str">
        <f t="shared" si="20"/>
        <v/>
      </c>
      <c r="AO48">
        <f t="shared" si="21"/>
        <v>0</v>
      </c>
      <c r="AP48">
        <f t="shared" si="27"/>
        <v>0</v>
      </c>
      <c r="AQ48" t="str">
        <f t="shared" si="22"/>
        <v/>
      </c>
      <c r="AR48">
        <f>IF($Y48="",0,COUNTIF(บันทึกรายเที่ยว!$V$6:$V$10005,$Y48))</f>
        <v>0</v>
      </c>
      <c r="AS48">
        <f>IF($Y48="",0,ROUND(SUMIF(บันทึกรายเที่ยว!$V$6:$V$10005,$Y48,บันทึกรายเที่ยว!$M$6:$M$10005),2))</f>
        <v>0</v>
      </c>
      <c r="AT48">
        <f>IF($Y48="",0,IFERROR(INDEX(อัตราค่าขนส่ง!$J$5:$J$204,MATCH($Y48,อัตราค่าขนส่ง!$O$5:$O$204,0)),0))</f>
        <v>0</v>
      </c>
      <c r="AU48">
        <f t="shared" si="23"/>
        <v>0</v>
      </c>
      <c r="AV48">
        <f t="shared" si="24"/>
        <v>0</v>
      </c>
      <c r="AW48" t="str">
        <f>IF($Y48="","",IFERROR(INDEX(อัตราค่าขนส่ง!$F$5:$F$204,MATCH($Y48,อัตราค่าขนส่ง!$O$5:$O$204,0)),""))</f>
        <v/>
      </c>
      <c r="AX48" t="str">
        <f>IF($W48="","",INDEX(บันทึกรายเที่ยว!$D$6:$D$10005,$W48))</f>
        <v/>
      </c>
      <c r="AY48" t="str">
        <f>IF($W48="","",INDEX(บันทึกรายเที่ยว!$R$6:$R$10005,$W48))</f>
        <v/>
      </c>
      <c r="AZ48">
        <f t="shared" si="25"/>
        <v>0</v>
      </c>
      <c r="BA48" t="str">
        <f>IF($W48="","",INDEX(บันทึกรายเที่ยว!$E$6:$E$10005,$W48))</f>
        <v/>
      </c>
      <c r="BC48">
        <f>IF($Y48="",0,IFERROR(INDEX(อัตราค่าขนส่ง!$M$5:$M$204,MATCH($Y48,อัตราค่าขนส่ง!$O$5:$O$204,0)),0))</f>
        <v>0</v>
      </c>
      <c r="BD48">
        <f>IF($Y48="",0,IFERROR(INDEX(อัตราค่าขนส่ง!$N$5:$N$204,MATCH($Y48,อัตราค่าขนส่ง!$O$5:$O$204,0)),0))</f>
        <v>0</v>
      </c>
    </row>
    <row r="49" spans="1:56" ht="21" customHeight="1" x14ac:dyDescent="0.95">
      <c r="A49" s="36" t="str">
        <f>IF($AD49="","",IF($AD49="Z","รวมจ่ายทั้งสิ้น",IF($AD49="H",INDEX($X$5:$X$404,$AC49),IF($AD49="T","รวม",IF($AD49="B",IFERROR(INDEX(อัตราค่าขนส่ง!$U$5:$U$14,MATCH(INDEX($AM$5:$AM$404,$AC49),อัตราค่าขนส่ง!$T$5:$T$14,0)),"รวมกลุ่ม "&amp;INDEX($AM$5:$AM$404,$AC49)),INDEX($AY$5:$AY$404,$AC49))))))</f>
        <v/>
      </c>
      <c r="B49" s="31" t="str">
        <f t="shared" si="0"/>
        <v/>
      </c>
      <c r="C49" s="8" t="str">
        <f t="shared" si="1"/>
        <v/>
      </c>
      <c r="D49" s="37" t="str">
        <f t="shared" si="2"/>
        <v/>
      </c>
      <c r="E49" s="31" t="str">
        <f t="shared" si="3"/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I49" s="32" t="str">
        <f t="shared" si="7"/>
        <v/>
      </c>
      <c r="J49" s="46" t="str">
        <f t="shared" si="8"/>
        <v/>
      </c>
      <c r="K49" s="32" t="str">
        <f t="shared" si="9"/>
        <v/>
      </c>
      <c r="L49" s="32" t="str">
        <f t="shared" si="10"/>
        <v/>
      </c>
      <c r="M49" s="32" t="str">
        <f t="shared" si="11"/>
        <v/>
      </c>
      <c r="N49" s="32" t="str">
        <f t="shared" si="12"/>
        <v/>
      </c>
      <c r="O49" s="32" t="str">
        <f t="shared" si="13"/>
        <v/>
      </c>
      <c r="Q49" t="str">
        <f>IFERROR(MATCH(45,บันทึกรายเที่ยว!$Z$6:$Z$10005,0),"")</f>
        <v/>
      </c>
      <c r="R49" t="str">
        <f>IF($Q49="","",INDEX(บันทึกรายเที่ยว!$V$6:$V$10005,$Q49))</f>
        <v/>
      </c>
      <c r="S49" t="str">
        <f>IF($Q49="","",INDEX(บันทึกรายเที่ยว!$F$6:$F$10005,$Q49))</f>
        <v/>
      </c>
      <c r="T49" t="str">
        <f>IF($Q49="","",MATCH($S49,บันทึกรายเที่ยว!$F$6:$F$10005,0))</f>
        <v/>
      </c>
      <c r="U49" t="str">
        <f>IF($Q49="","",$AL49*10000000+$T49*1000+45)</f>
        <v/>
      </c>
      <c r="V49" t="str">
        <f>IFERROR(MATCH(SMALL($U$5:$U$404,45),$U$5:$U$404,0),"")</f>
        <v/>
      </c>
      <c r="W49" t="str">
        <f t="shared" si="14"/>
        <v/>
      </c>
      <c r="X49" t="str">
        <f t="shared" si="15"/>
        <v/>
      </c>
      <c r="Y49" t="str">
        <f t="shared" si="16"/>
        <v/>
      </c>
      <c r="Z49">
        <f t="shared" si="26"/>
        <v>0</v>
      </c>
      <c r="AA49">
        <f t="shared" si="17"/>
        <v>0</v>
      </c>
      <c r="AB49">
        <f>IF($V49="",99999+45,$AB48+1+$Z48+$AA48+$AO48)</f>
        <v>100044</v>
      </c>
      <c r="AC49" t="str">
        <f>IFERROR(MATCH(45,$AB$5:$AB$404,1),"")</f>
        <v/>
      </c>
      <c r="AD49" t="str">
        <f>IF(45=$AI$1+1,"Z",IF($AC49="","",IF(INDEX($V$5:$V$404,$AC49)="","",IF(45&gt;INDEX($AB$5:$AB$404,$AC49)+INDEX($Z$5:$Z$404,$AC49)+INDEX($AA$5:$AA$404,$AC49)+INDEX($AO$5:$AO$404,$AC49),"",IF(45=INDEX($AB$5:$AB$404,$AC49)+INDEX($Z$5:$Z$404,$AC49),"D",IF(AND(INDEX($Z$5:$Z$404,$AC49)=1,45=INDEX($AB$5:$AB$404,$AC49)),"H",IF(AND(INDEX($AO$5:$AO$404,$AC49)=1,45=INDEX($AB$5:$AB$404,$AC49)+INDEX($Z$5:$Z$404,$AC49)+INDEX($AA$5:$AA$404,$AC49)+INDEX($AO$5:$AO$404,$AC49)),"B","T")))))))</f>
        <v/>
      </c>
      <c r="AF49" t="str">
        <f t="shared" si="18"/>
        <v/>
      </c>
      <c r="AJ49">
        <f>IF($AD49&lt;&gt;"T",0,ROUND(SUMIF(oil!$B$4:$B$63,$AF49,oil!$AE$4:$AE$63),2))</f>
        <v>0</v>
      </c>
      <c r="AK49" t="str">
        <f>IF($S49="","",IFERROR(INDEX(อัตราค่าขนส่ง!$R$5:$R$54,MATCH($S49,อัตราค่าขนส่ง!$Q$5:$Q$54,0)),INDEX(รายการมาตรฐาน!$G$2:$G$3,1)))</f>
        <v/>
      </c>
      <c r="AL49" t="str">
        <f>IF($S49="","",IFERROR(MATCH($AK49,รายการมาตรฐาน!$G$2:$G$3,0),1))</f>
        <v/>
      </c>
      <c r="AM49" t="str">
        <f t="shared" si="19"/>
        <v/>
      </c>
      <c r="AN49" t="str">
        <f t="shared" si="20"/>
        <v/>
      </c>
      <c r="AO49">
        <f t="shared" si="21"/>
        <v>0</v>
      </c>
      <c r="AP49">
        <f t="shared" si="27"/>
        <v>0</v>
      </c>
      <c r="AQ49" t="str">
        <f t="shared" si="22"/>
        <v/>
      </c>
      <c r="AR49">
        <f>IF($Y49="",0,COUNTIF(บันทึกรายเที่ยว!$V$6:$V$10005,$Y49))</f>
        <v>0</v>
      </c>
      <c r="AS49">
        <f>IF($Y49="",0,ROUND(SUMIF(บันทึกรายเที่ยว!$V$6:$V$10005,$Y49,บันทึกรายเที่ยว!$M$6:$M$10005),2))</f>
        <v>0</v>
      </c>
      <c r="AT49">
        <f>IF($Y49="",0,IFERROR(INDEX(อัตราค่าขนส่ง!$J$5:$J$204,MATCH($Y49,อัตราค่าขนส่ง!$O$5:$O$204,0)),0))</f>
        <v>0</v>
      </c>
      <c r="AU49">
        <f t="shared" si="23"/>
        <v>0</v>
      </c>
      <c r="AV49">
        <f t="shared" si="24"/>
        <v>0</v>
      </c>
      <c r="AW49" t="str">
        <f>IF($Y49="","",IFERROR(INDEX(อัตราค่าขนส่ง!$F$5:$F$204,MATCH($Y49,อัตราค่าขนส่ง!$O$5:$O$204,0)),""))</f>
        <v/>
      </c>
      <c r="AX49" t="str">
        <f>IF($W49="","",INDEX(บันทึกรายเที่ยว!$D$6:$D$10005,$W49))</f>
        <v/>
      </c>
      <c r="AY49" t="str">
        <f>IF($W49="","",INDEX(บันทึกรายเที่ยว!$R$6:$R$10005,$W49))</f>
        <v/>
      </c>
      <c r="AZ49">
        <f t="shared" si="25"/>
        <v>0</v>
      </c>
      <c r="BA49" t="str">
        <f>IF($W49="","",INDEX(บันทึกรายเที่ยว!$E$6:$E$10005,$W49))</f>
        <v/>
      </c>
      <c r="BC49">
        <f>IF($Y49="",0,IFERROR(INDEX(อัตราค่าขนส่ง!$M$5:$M$204,MATCH($Y49,อัตราค่าขนส่ง!$O$5:$O$204,0)),0))</f>
        <v>0</v>
      </c>
      <c r="BD49">
        <f>IF($Y49="",0,IFERROR(INDEX(อัตราค่าขนส่ง!$N$5:$N$204,MATCH($Y49,อัตราค่าขนส่ง!$O$5:$O$204,0)),0))</f>
        <v>0</v>
      </c>
    </row>
    <row r="50" spans="1:56" ht="21" customHeight="1" x14ac:dyDescent="0.95">
      <c r="A50" s="36" t="str">
        <f>IF($AD50="","",IF($AD50="Z","รวมจ่ายทั้งสิ้น",IF($AD50="H",INDEX($X$5:$X$404,$AC50),IF($AD50="T","รวม",IF($AD50="B",IFERROR(INDEX(อัตราค่าขนส่ง!$U$5:$U$14,MATCH(INDEX($AM$5:$AM$404,$AC50),อัตราค่าขนส่ง!$T$5:$T$14,0)),"รวมกลุ่ม "&amp;INDEX($AM$5:$AM$404,$AC50)),INDEX($AY$5:$AY$404,$AC50))))))</f>
        <v/>
      </c>
      <c r="B50" s="31" t="str">
        <f t="shared" si="0"/>
        <v/>
      </c>
      <c r="C50" s="8" t="str">
        <f t="shared" si="1"/>
        <v/>
      </c>
      <c r="D50" s="37" t="str">
        <f t="shared" si="2"/>
        <v/>
      </c>
      <c r="E50" s="31" t="str">
        <f t="shared" si="3"/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I50" s="32" t="str">
        <f t="shared" si="7"/>
        <v/>
      </c>
      <c r="J50" s="46" t="str">
        <f t="shared" si="8"/>
        <v/>
      </c>
      <c r="K50" s="32" t="str">
        <f t="shared" si="9"/>
        <v/>
      </c>
      <c r="L50" s="32" t="str">
        <f t="shared" si="10"/>
        <v/>
      </c>
      <c r="M50" s="32" t="str">
        <f t="shared" si="11"/>
        <v/>
      </c>
      <c r="N50" s="32" t="str">
        <f t="shared" si="12"/>
        <v/>
      </c>
      <c r="O50" s="32" t="str">
        <f t="shared" si="13"/>
        <v/>
      </c>
      <c r="Q50" t="str">
        <f>IFERROR(MATCH(46,บันทึกรายเที่ยว!$Z$6:$Z$10005,0),"")</f>
        <v/>
      </c>
      <c r="R50" t="str">
        <f>IF($Q50="","",INDEX(บันทึกรายเที่ยว!$V$6:$V$10005,$Q50))</f>
        <v/>
      </c>
      <c r="S50" t="str">
        <f>IF($Q50="","",INDEX(บันทึกรายเที่ยว!$F$6:$F$10005,$Q50))</f>
        <v/>
      </c>
      <c r="T50" t="str">
        <f>IF($Q50="","",MATCH($S50,บันทึกรายเที่ยว!$F$6:$F$10005,0))</f>
        <v/>
      </c>
      <c r="U50" t="str">
        <f>IF($Q50="","",$AL50*10000000+$T50*1000+46)</f>
        <v/>
      </c>
      <c r="V50" t="str">
        <f>IFERROR(MATCH(SMALL($U$5:$U$404,46),$U$5:$U$404,0),"")</f>
        <v/>
      </c>
      <c r="W50" t="str">
        <f t="shared" si="14"/>
        <v/>
      </c>
      <c r="X50" t="str">
        <f t="shared" si="15"/>
        <v/>
      </c>
      <c r="Y50" t="str">
        <f t="shared" si="16"/>
        <v/>
      </c>
      <c r="Z50">
        <f t="shared" si="26"/>
        <v>0</v>
      </c>
      <c r="AA50">
        <f t="shared" si="17"/>
        <v>0</v>
      </c>
      <c r="AB50">
        <f>IF($V50="",99999+46,$AB49+1+$Z49+$AA49+$AO49)</f>
        <v>100045</v>
      </c>
      <c r="AC50" t="str">
        <f>IFERROR(MATCH(46,$AB$5:$AB$404,1),"")</f>
        <v/>
      </c>
      <c r="AD50" t="str">
        <f>IF(46=$AI$1+1,"Z",IF($AC50="","",IF(INDEX($V$5:$V$404,$AC50)="","",IF(46&gt;INDEX($AB$5:$AB$404,$AC50)+INDEX($Z$5:$Z$404,$AC50)+INDEX($AA$5:$AA$404,$AC50)+INDEX($AO$5:$AO$404,$AC50),"",IF(46=INDEX($AB$5:$AB$404,$AC50)+INDEX($Z$5:$Z$404,$AC50),"D",IF(AND(INDEX($Z$5:$Z$404,$AC50)=1,46=INDEX($AB$5:$AB$404,$AC50)),"H",IF(AND(INDEX($AO$5:$AO$404,$AC50)=1,46=INDEX($AB$5:$AB$404,$AC50)+INDEX($Z$5:$Z$404,$AC50)+INDEX($AA$5:$AA$404,$AC50)+INDEX($AO$5:$AO$404,$AC50)),"B","T")))))))</f>
        <v/>
      </c>
      <c r="AF50" t="str">
        <f t="shared" si="18"/>
        <v/>
      </c>
      <c r="AJ50">
        <f>IF($AD50&lt;&gt;"T",0,ROUND(SUMIF(oil!$B$4:$B$63,$AF50,oil!$AE$4:$AE$63),2))</f>
        <v>0</v>
      </c>
      <c r="AK50" t="str">
        <f>IF($S50="","",IFERROR(INDEX(อัตราค่าขนส่ง!$R$5:$R$54,MATCH($S50,อัตราค่าขนส่ง!$Q$5:$Q$54,0)),INDEX(รายการมาตรฐาน!$G$2:$G$3,1)))</f>
        <v/>
      </c>
      <c r="AL50" t="str">
        <f>IF($S50="","",IFERROR(MATCH($AK50,รายการมาตรฐาน!$G$2:$G$3,0),1))</f>
        <v/>
      </c>
      <c r="AM50" t="str">
        <f t="shared" si="19"/>
        <v/>
      </c>
      <c r="AN50" t="str">
        <f t="shared" si="20"/>
        <v/>
      </c>
      <c r="AO50">
        <f t="shared" si="21"/>
        <v>0</v>
      </c>
      <c r="AP50">
        <f t="shared" si="27"/>
        <v>0</v>
      </c>
      <c r="AQ50" t="str">
        <f t="shared" si="22"/>
        <v/>
      </c>
      <c r="AR50">
        <f>IF($Y50="",0,COUNTIF(บันทึกรายเที่ยว!$V$6:$V$10005,$Y50))</f>
        <v>0</v>
      </c>
      <c r="AS50">
        <f>IF($Y50="",0,ROUND(SUMIF(บันทึกรายเที่ยว!$V$6:$V$10005,$Y50,บันทึกรายเที่ยว!$M$6:$M$10005),2))</f>
        <v>0</v>
      </c>
      <c r="AT50">
        <f>IF($Y50="",0,IFERROR(INDEX(อัตราค่าขนส่ง!$J$5:$J$204,MATCH($Y50,อัตราค่าขนส่ง!$O$5:$O$204,0)),0))</f>
        <v>0</v>
      </c>
      <c r="AU50">
        <f t="shared" si="23"/>
        <v>0</v>
      </c>
      <c r="AV50">
        <f t="shared" si="24"/>
        <v>0</v>
      </c>
      <c r="AW50" t="str">
        <f>IF($Y50="","",IFERROR(INDEX(อัตราค่าขนส่ง!$F$5:$F$204,MATCH($Y50,อัตราค่าขนส่ง!$O$5:$O$204,0)),""))</f>
        <v/>
      </c>
      <c r="AX50" t="str">
        <f>IF($W50="","",INDEX(บันทึกรายเที่ยว!$D$6:$D$10005,$W50))</f>
        <v/>
      </c>
      <c r="AY50" t="str">
        <f>IF($W50="","",INDEX(บันทึกรายเที่ยว!$R$6:$R$10005,$W50))</f>
        <v/>
      </c>
      <c r="AZ50">
        <f t="shared" si="25"/>
        <v>0</v>
      </c>
      <c r="BA50" t="str">
        <f>IF($W50="","",INDEX(บันทึกรายเที่ยว!$E$6:$E$10005,$W50))</f>
        <v/>
      </c>
      <c r="BC50">
        <f>IF($Y50="",0,IFERROR(INDEX(อัตราค่าขนส่ง!$M$5:$M$204,MATCH($Y50,อัตราค่าขนส่ง!$O$5:$O$204,0)),0))</f>
        <v>0</v>
      </c>
      <c r="BD50">
        <f>IF($Y50="",0,IFERROR(INDEX(อัตราค่าขนส่ง!$N$5:$N$204,MATCH($Y50,อัตราค่าขนส่ง!$O$5:$O$204,0)),0))</f>
        <v>0</v>
      </c>
    </row>
    <row r="51" spans="1:56" ht="21" customHeight="1" x14ac:dyDescent="0.95">
      <c r="A51" s="36" t="str">
        <f>IF($AD51="","",IF($AD51="Z","รวมจ่ายทั้งสิ้น",IF($AD51="H",INDEX($X$5:$X$404,$AC51),IF($AD51="T","รวม",IF($AD51="B",IFERROR(INDEX(อัตราค่าขนส่ง!$U$5:$U$14,MATCH(INDEX($AM$5:$AM$404,$AC51),อัตราค่าขนส่ง!$T$5:$T$14,0)),"รวมกลุ่ม "&amp;INDEX($AM$5:$AM$404,$AC51)),INDEX($AY$5:$AY$404,$AC51))))))</f>
        <v/>
      </c>
      <c r="B51" s="31" t="str">
        <f t="shared" si="0"/>
        <v/>
      </c>
      <c r="C51" s="8" t="str">
        <f t="shared" si="1"/>
        <v/>
      </c>
      <c r="D51" s="37" t="str">
        <f t="shared" si="2"/>
        <v/>
      </c>
      <c r="E51" s="31" t="str">
        <f t="shared" si="3"/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I51" s="32" t="str">
        <f t="shared" si="7"/>
        <v/>
      </c>
      <c r="J51" s="46" t="str">
        <f t="shared" si="8"/>
        <v/>
      </c>
      <c r="K51" s="32" t="str">
        <f t="shared" si="9"/>
        <v/>
      </c>
      <c r="L51" s="32" t="str">
        <f t="shared" si="10"/>
        <v/>
      </c>
      <c r="M51" s="32" t="str">
        <f t="shared" si="11"/>
        <v/>
      </c>
      <c r="N51" s="32" t="str">
        <f t="shared" si="12"/>
        <v/>
      </c>
      <c r="O51" s="32" t="str">
        <f t="shared" si="13"/>
        <v/>
      </c>
      <c r="Q51" t="str">
        <f>IFERROR(MATCH(47,บันทึกรายเที่ยว!$Z$6:$Z$10005,0),"")</f>
        <v/>
      </c>
      <c r="R51" t="str">
        <f>IF($Q51="","",INDEX(บันทึกรายเที่ยว!$V$6:$V$10005,$Q51))</f>
        <v/>
      </c>
      <c r="S51" t="str">
        <f>IF($Q51="","",INDEX(บันทึกรายเที่ยว!$F$6:$F$10005,$Q51))</f>
        <v/>
      </c>
      <c r="T51" t="str">
        <f>IF($Q51="","",MATCH($S51,บันทึกรายเที่ยว!$F$6:$F$10005,0))</f>
        <v/>
      </c>
      <c r="U51" t="str">
        <f>IF($Q51="","",$AL51*10000000+$T51*1000+47)</f>
        <v/>
      </c>
      <c r="V51" t="str">
        <f>IFERROR(MATCH(SMALL($U$5:$U$404,47),$U$5:$U$404,0),"")</f>
        <v/>
      </c>
      <c r="W51" t="str">
        <f t="shared" si="14"/>
        <v/>
      </c>
      <c r="X51" t="str">
        <f t="shared" si="15"/>
        <v/>
      </c>
      <c r="Y51" t="str">
        <f t="shared" si="16"/>
        <v/>
      </c>
      <c r="Z51">
        <f t="shared" si="26"/>
        <v>0</v>
      </c>
      <c r="AA51">
        <f t="shared" si="17"/>
        <v>0</v>
      </c>
      <c r="AB51">
        <f>IF($V51="",99999+47,$AB50+1+$Z50+$AA50+$AO50)</f>
        <v>100046</v>
      </c>
      <c r="AC51" t="str">
        <f>IFERROR(MATCH(47,$AB$5:$AB$404,1),"")</f>
        <v/>
      </c>
      <c r="AD51" t="str">
        <f>IF(47=$AI$1+1,"Z",IF($AC51="","",IF(INDEX($V$5:$V$404,$AC51)="","",IF(47&gt;INDEX($AB$5:$AB$404,$AC51)+INDEX($Z$5:$Z$404,$AC51)+INDEX($AA$5:$AA$404,$AC51)+INDEX($AO$5:$AO$404,$AC51),"",IF(47=INDEX($AB$5:$AB$404,$AC51)+INDEX($Z$5:$Z$404,$AC51),"D",IF(AND(INDEX($Z$5:$Z$404,$AC51)=1,47=INDEX($AB$5:$AB$404,$AC51)),"H",IF(AND(INDEX($AO$5:$AO$404,$AC51)=1,47=INDEX($AB$5:$AB$404,$AC51)+INDEX($Z$5:$Z$404,$AC51)+INDEX($AA$5:$AA$404,$AC51)+INDEX($AO$5:$AO$404,$AC51)),"B","T")))))))</f>
        <v/>
      </c>
      <c r="AF51" t="str">
        <f t="shared" si="18"/>
        <v/>
      </c>
      <c r="AJ51">
        <f>IF($AD51&lt;&gt;"T",0,ROUND(SUMIF(oil!$B$4:$B$63,$AF51,oil!$AE$4:$AE$63),2))</f>
        <v>0</v>
      </c>
      <c r="AK51" t="str">
        <f>IF($S51="","",IFERROR(INDEX(อัตราค่าขนส่ง!$R$5:$R$54,MATCH($S51,อัตราค่าขนส่ง!$Q$5:$Q$54,0)),INDEX(รายการมาตรฐาน!$G$2:$G$3,1)))</f>
        <v/>
      </c>
      <c r="AL51" t="str">
        <f>IF($S51="","",IFERROR(MATCH($AK51,รายการมาตรฐาน!$G$2:$G$3,0),1))</f>
        <v/>
      </c>
      <c r="AM51" t="str">
        <f t="shared" si="19"/>
        <v/>
      </c>
      <c r="AN51" t="str">
        <f t="shared" si="20"/>
        <v/>
      </c>
      <c r="AO51">
        <f t="shared" si="21"/>
        <v>0</v>
      </c>
      <c r="AP51">
        <f t="shared" si="27"/>
        <v>0</v>
      </c>
      <c r="AQ51" t="str">
        <f t="shared" si="22"/>
        <v/>
      </c>
      <c r="AR51">
        <f>IF($Y51="",0,COUNTIF(บันทึกรายเที่ยว!$V$6:$V$10005,$Y51))</f>
        <v>0</v>
      </c>
      <c r="AS51">
        <f>IF($Y51="",0,ROUND(SUMIF(บันทึกรายเที่ยว!$V$6:$V$10005,$Y51,บันทึกรายเที่ยว!$M$6:$M$10005),2))</f>
        <v>0</v>
      </c>
      <c r="AT51">
        <f>IF($Y51="",0,IFERROR(INDEX(อัตราค่าขนส่ง!$J$5:$J$204,MATCH($Y51,อัตราค่าขนส่ง!$O$5:$O$204,0)),0))</f>
        <v>0</v>
      </c>
      <c r="AU51">
        <f t="shared" si="23"/>
        <v>0</v>
      </c>
      <c r="AV51">
        <f t="shared" si="24"/>
        <v>0</v>
      </c>
      <c r="AW51" t="str">
        <f>IF($Y51="","",IFERROR(INDEX(อัตราค่าขนส่ง!$F$5:$F$204,MATCH($Y51,อัตราค่าขนส่ง!$O$5:$O$204,0)),""))</f>
        <v/>
      </c>
      <c r="AX51" t="str">
        <f>IF($W51="","",INDEX(บันทึกรายเที่ยว!$D$6:$D$10005,$W51))</f>
        <v/>
      </c>
      <c r="AY51" t="str">
        <f>IF($W51="","",INDEX(บันทึกรายเที่ยว!$R$6:$R$10005,$W51))</f>
        <v/>
      </c>
      <c r="AZ51">
        <f t="shared" si="25"/>
        <v>0</v>
      </c>
      <c r="BA51" t="str">
        <f>IF($W51="","",INDEX(บันทึกรายเที่ยว!$E$6:$E$10005,$W51))</f>
        <v/>
      </c>
      <c r="BC51">
        <f>IF($Y51="",0,IFERROR(INDEX(อัตราค่าขนส่ง!$M$5:$M$204,MATCH($Y51,อัตราค่าขนส่ง!$O$5:$O$204,0)),0))</f>
        <v>0</v>
      </c>
      <c r="BD51">
        <f>IF($Y51="",0,IFERROR(INDEX(อัตราค่าขนส่ง!$N$5:$N$204,MATCH($Y51,อัตราค่าขนส่ง!$O$5:$O$204,0)),0))</f>
        <v>0</v>
      </c>
    </row>
    <row r="52" spans="1:56" ht="21" customHeight="1" x14ac:dyDescent="0.95">
      <c r="A52" s="36" t="str">
        <f>IF($AD52="","",IF($AD52="Z","รวมจ่ายทั้งสิ้น",IF($AD52="H",INDEX($X$5:$X$404,$AC52),IF($AD52="T","รวม",IF($AD52="B",IFERROR(INDEX(อัตราค่าขนส่ง!$U$5:$U$14,MATCH(INDEX($AM$5:$AM$404,$AC52),อัตราค่าขนส่ง!$T$5:$T$14,0)),"รวมกลุ่ม "&amp;INDEX($AM$5:$AM$404,$AC52)),INDEX($AY$5:$AY$404,$AC52))))))</f>
        <v/>
      </c>
      <c r="B52" s="31" t="str">
        <f t="shared" si="0"/>
        <v/>
      </c>
      <c r="C52" s="8" t="str">
        <f t="shared" si="1"/>
        <v/>
      </c>
      <c r="D52" s="37" t="str">
        <f t="shared" si="2"/>
        <v/>
      </c>
      <c r="E52" s="31" t="str">
        <f t="shared" si="3"/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I52" s="32" t="str">
        <f t="shared" si="7"/>
        <v/>
      </c>
      <c r="J52" s="46" t="str">
        <f t="shared" si="8"/>
        <v/>
      </c>
      <c r="K52" s="32" t="str">
        <f t="shared" si="9"/>
        <v/>
      </c>
      <c r="L52" s="32" t="str">
        <f t="shared" si="10"/>
        <v/>
      </c>
      <c r="M52" s="32" t="str">
        <f t="shared" si="11"/>
        <v/>
      </c>
      <c r="N52" s="32" t="str">
        <f t="shared" si="12"/>
        <v/>
      </c>
      <c r="O52" s="32" t="str">
        <f t="shared" si="13"/>
        <v/>
      </c>
      <c r="Q52" t="str">
        <f>IFERROR(MATCH(48,บันทึกรายเที่ยว!$Z$6:$Z$10005,0),"")</f>
        <v/>
      </c>
      <c r="R52" t="str">
        <f>IF($Q52="","",INDEX(บันทึกรายเที่ยว!$V$6:$V$10005,$Q52))</f>
        <v/>
      </c>
      <c r="S52" t="str">
        <f>IF($Q52="","",INDEX(บันทึกรายเที่ยว!$F$6:$F$10005,$Q52))</f>
        <v/>
      </c>
      <c r="T52" t="str">
        <f>IF($Q52="","",MATCH($S52,บันทึกรายเที่ยว!$F$6:$F$10005,0))</f>
        <v/>
      </c>
      <c r="U52" t="str">
        <f>IF($Q52="","",$AL52*10000000+$T52*1000+48)</f>
        <v/>
      </c>
      <c r="V52" t="str">
        <f>IFERROR(MATCH(SMALL($U$5:$U$404,48),$U$5:$U$404,0),"")</f>
        <v/>
      </c>
      <c r="W52" t="str">
        <f t="shared" si="14"/>
        <v/>
      </c>
      <c r="X52" t="str">
        <f t="shared" si="15"/>
        <v/>
      </c>
      <c r="Y52" t="str">
        <f t="shared" si="16"/>
        <v/>
      </c>
      <c r="Z52">
        <f t="shared" si="26"/>
        <v>0</v>
      </c>
      <c r="AA52">
        <f t="shared" si="17"/>
        <v>0</v>
      </c>
      <c r="AB52">
        <f>IF($V52="",99999+48,$AB51+1+$Z51+$AA51+$AO51)</f>
        <v>100047</v>
      </c>
      <c r="AC52" t="str">
        <f>IFERROR(MATCH(48,$AB$5:$AB$404,1),"")</f>
        <v/>
      </c>
      <c r="AD52" t="str">
        <f>IF(48=$AI$1+1,"Z",IF($AC52="","",IF(INDEX($V$5:$V$404,$AC52)="","",IF(48&gt;INDEX($AB$5:$AB$404,$AC52)+INDEX($Z$5:$Z$404,$AC52)+INDEX($AA$5:$AA$404,$AC52)+INDEX($AO$5:$AO$404,$AC52),"",IF(48=INDEX($AB$5:$AB$404,$AC52)+INDEX($Z$5:$Z$404,$AC52),"D",IF(AND(INDEX($Z$5:$Z$404,$AC52)=1,48=INDEX($AB$5:$AB$404,$AC52)),"H",IF(AND(INDEX($AO$5:$AO$404,$AC52)=1,48=INDEX($AB$5:$AB$404,$AC52)+INDEX($Z$5:$Z$404,$AC52)+INDEX($AA$5:$AA$404,$AC52)+INDEX($AO$5:$AO$404,$AC52)),"B","T")))))))</f>
        <v/>
      </c>
      <c r="AF52" t="str">
        <f t="shared" si="18"/>
        <v/>
      </c>
      <c r="AJ52">
        <f>IF($AD52&lt;&gt;"T",0,ROUND(SUMIF(oil!$B$4:$B$63,$AF52,oil!$AE$4:$AE$63),2))</f>
        <v>0</v>
      </c>
      <c r="AK52" t="str">
        <f>IF($S52="","",IFERROR(INDEX(อัตราค่าขนส่ง!$R$5:$R$54,MATCH($S52,อัตราค่าขนส่ง!$Q$5:$Q$54,0)),INDEX(รายการมาตรฐาน!$G$2:$G$3,1)))</f>
        <v/>
      </c>
      <c r="AL52" t="str">
        <f>IF($S52="","",IFERROR(MATCH($AK52,รายการมาตรฐาน!$G$2:$G$3,0),1))</f>
        <v/>
      </c>
      <c r="AM52" t="str">
        <f t="shared" si="19"/>
        <v/>
      </c>
      <c r="AN52" t="str">
        <f t="shared" si="20"/>
        <v/>
      </c>
      <c r="AO52">
        <f t="shared" si="21"/>
        <v>0</v>
      </c>
      <c r="AP52">
        <f t="shared" si="27"/>
        <v>0</v>
      </c>
      <c r="AQ52" t="str">
        <f t="shared" si="22"/>
        <v/>
      </c>
      <c r="AR52">
        <f>IF($Y52="",0,COUNTIF(บันทึกรายเที่ยว!$V$6:$V$10005,$Y52))</f>
        <v>0</v>
      </c>
      <c r="AS52">
        <f>IF($Y52="",0,ROUND(SUMIF(บันทึกรายเที่ยว!$V$6:$V$10005,$Y52,บันทึกรายเที่ยว!$M$6:$M$10005),2))</f>
        <v>0</v>
      </c>
      <c r="AT52">
        <f>IF($Y52="",0,IFERROR(INDEX(อัตราค่าขนส่ง!$J$5:$J$204,MATCH($Y52,อัตราค่าขนส่ง!$O$5:$O$204,0)),0))</f>
        <v>0</v>
      </c>
      <c r="AU52">
        <f t="shared" si="23"/>
        <v>0</v>
      </c>
      <c r="AV52">
        <f t="shared" si="24"/>
        <v>0</v>
      </c>
      <c r="AW52" t="str">
        <f>IF($Y52="","",IFERROR(INDEX(อัตราค่าขนส่ง!$F$5:$F$204,MATCH($Y52,อัตราค่าขนส่ง!$O$5:$O$204,0)),""))</f>
        <v/>
      </c>
      <c r="AX52" t="str">
        <f>IF($W52="","",INDEX(บันทึกรายเที่ยว!$D$6:$D$10005,$W52))</f>
        <v/>
      </c>
      <c r="AY52" t="str">
        <f>IF($W52="","",INDEX(บันทึกรายเที่ยว!$R$6:$R$10005,$W52))</f>
        <v/>
      </c>
      <c r="AZ52">
        <f t="shared" si="25"/>
        <v>0</v>
      </c>
      <c r="BA52" t="str">
        <f>IF($W52="","",INDEX(บันทึกรายเที่ยว!$E$6:$E$10005,$W52))</f>
        <v/>
      </c>
      <c r="BC52">
        <f>IF($Y52="",0,IFERROR(INDEX(อัตราค่าขนส่ง!$M$5:$M$204,MATCH($Y52,อัตราค่าขนส่ง!$O$5:$O$204,0)),0))</f>
        <v>0</v>
      </c>
      <c r="BD52">
        <f>IF($Y52="",0,IFERROR(INDEX(อัตราค่าขนส่ง!$N$5:$N$204,MATCH($Y52,อัตราค่าขนส่ง!$O$5:$O$204,0)),0))</f>
        <v>0</v>
      </c>
    </row>
    <row r="53" spans="1:56" ht="21" customHeight="1" x14ac:dyDescent="0.95">
      <c r="A53" s="36" t="str">
        <f>IF($AD53="","",IF($AD53="Z","รวมจ่ายทั้งสิ้น",IF($AD53="H",INDEX($X$5:$X$404,$AC53),IF($AD53="T","รวม",IF($AD53="B",IFERROR(INDEX(อัตราค่าขนส่ง!$U$5:$U$14,MATCH(INDEX($AM$5:$AM$404,$AC53),อัตราค่าขนส่ง!$T$5:$T$14,0)),"รวมกลุ่ม "&amp;INDEX($AM$5:$AM$404,$AC53)),INDEX($AY$5:$AY$404,$AC53))))))</f>
        <v/>
      </c>
      <c r="B53" s="31" t="str">
        <f t="shared" si="0"/>
        <v/>
      </c>
      <c r="C53" s="8" t="str">
        <f t="shared" si="1"/>
        <v/>
      </c>
      <c r="D53" s="37" t="str">
        <f t="shared" si="2"/>
        <v/>
      </c>
      <c r="E53" s="31" t="str">
        <f t="shared" si="3"/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I53" s="32" t="str">
        <f t="shared" si="7"/>
        <v/>
      </c>
      <c r="J53" s="46" t="str">
        <f t="shared" si="8"/>
        <v/>
      </c>
      <c r="K53" s="32" t="str">
        <f t="shared" si="9"/>
        <v/>
      </c>
      <c r="L53" s="32" t="str">
        <f t="shared" si="10"/>
        <v/>
      </c>
      <c r="M53" s="32" t="str">
        <f t="shared" si="11"/>
        <v/>
      </c>
      <c r="N53" s="32" t="str">
        <f t="shared" si="12"/>
        <v/>
      </c>
      <c r="O53" s="32" t="str">
        <f t="shared" si="13"/>
        <v/>
      </c>
      <c r="Q53" t="str">
        <f>IFERROR(MATCH(49,บันทึกรายเที่ยว!$Z$6:$Z$10005,0),"")</f>
        <v/>
      </c>
      <c r="R53" t="str">
        <f>IF($Q53="","",INDEX(บันทึกรายเที่ยว!$V$6:$V$10005,$Q53))</f>
        <v/>
      </c>
      <c r="S53" t="str">
        <f>IF($Q53="","",INDEX(บันทึกรายเที่ยว!$F$6:$F$10005,$Q53))</f>
        <v/>
      </c>
      <c r="T53" t="str">
        <f>IF($Q53="","",MATCH($S53,บันทึกรายเที่ยว!$F$6:$F$10005,0))</f>
        <v/>
      </c>
      <c r="U53" t="str">
        <f>IF($Q53="","",$AL53*10000000+$T53*1000+49)</f>
        <v/>
      </c>
      <c r="V53" t="str">
        <f>IFERROR(MATCH(SMALL($U$5:$U$404,49),$U$5:$U$404,0),"")</f>
        <v/>
      </c>
      <c r="W53" t="str">
        <f t="shared" si="14"/>
        <v/>
      </c>
      <c r="X53" t="str">
        <f t="shared" si="15"/>
        <v/>
      </c>
      <c r="Y53" t="str">
        <f t="shared" si="16"/>
        <v/>
      </c>
      <c r="Z53">
        <f t="shared" si="26"/>
        <v>0</v>
      </c>
      <c r="AA53">
        <f t="shared" si="17"/>
        <v>0</v>
      </c>
      <c r="AB53">
        <f>IF($V53="",99999+49,$AB52+1+$Z52+$AA52+$AO52)</f>
        <v>100048</v>
      </c>
      <c r="AC53" t="str">
        <f>IFERROR(MATCH(49,$AB$5:$AB$404,1),"")</f>
        <v/>
      </c>
      <c r="AD53" t="str">
        <f>IF(49=$AI$1+1,"Z",IF($AC53="","",IF(INDEX($V$5:$V$404,$AC53)="","",IF(49&gt;INDEX($AB$5:$AB$404,$AC53)+INDEX($Z$5:$Z$404,$AC53)+INDEX($AA$5:$AA$404,$AC53)+INDEX($AO$5:$AO$404,$AC53),"",IF(49=INDEX($AB$5:$AB$404,$AC53)+INDEX($Z$5:$Z$404,$AC53),"D",IF(AND(INDEX($Z$5:$Z$404,$AC53)=1,49=INDEX($AB$5:$AB$404,$AC53)),"H",IF(AND(INDEX($AO$5:$AO$404,$AC53)=1,49=INDEX($AB$5:$AB$404,$AC53)+INDEX($Z$5:$Z$404,$AC53)+INDEX($AA$5:$AA$404,$AC53)+INDEX($AO$5:$AO$404,$AC53)),"B","T")))))))</f>
        <v/>
      </c>
      <c r="AF53" t="str">
        <f t="shared" si="18"/>
        <v/>
      </c>
      <c r="AJ53">
        <f>IF($AD53&lt;&gt;"T",0,ROUND(SUMIF(oil!$B$4:$B$63,$AF53,oil!$AE$4:$AE$63),2))</f>
        <v>0</v>
      </c>
      <c r="AK53" t="str">
        <f>IF($S53="","",IFERROR(INDEX(อัตราค่าขนส่ง!$R$5:$R$54,MATCH($S53,อัตราค่าขนส่ง!$Q$5:$Q$54,0)),INDEX(รายการมาตรฐาน!$G$2:$G$3,1)))</f>
        <v/>
      </c>
      <c r="AL53" t="str">
        <f>IF($S53="","",IFERROR(MATCH($AK53,รายการมาตรฐาน!$G$2:$G$3,0),1))</f>
        <v/>
      </c>
      <c r="AM53" t="str">
        <f t="shared" si="19"/>
        <v/>
      </c>
      <c r="AN53" t="str">
        <f t="shared" si="20"/>
        <v/>
      </c>
      <c r="AO53">
        <f t="shared" si="21"/>
        <v>0</v>
      </c>
      <c r="AP53">
        <f t="shared" si="27"/>
        <v>0</v>
      </c>
      <c r="AQ53" t="str">
        <f t="shared" si="22"/>
        <v/>
      </c>
      <c r="AR53">
        <f>IF($Y53="",0,COUNTIF(บันทึกรายเที่ยว!$V$6:$V$10005,$Y53))</f>
        <v>0</v>
      </c>
      <c r="AS53">
        <f>IF($Y53="",0,ROUND(SUMIF(บันทึกรายเที่ยว!$V$6:$V$10005,$Y53,บันทึกรายเที่ยว!$M$6:$M$10005),2))</f>
        <v>0</v>
      </c>
      <c r="AT53">
        <f>IF($Y53="",0,IFERROR(INDEX(อัตราค่าขนส่ง!$J$5:$J$204,MATCH($Y53,อัตราค่าขนส่ง!$O$5:$O$204,0)),0))</f>
        <v>0</v>
      </c>
      <c r="AU53">
        <f t="shared" si="23"/>
        <v>0</v>
      </c>
      <c r="AV53">
        <f t="shared" si="24"/>
        <v>0</v>
      </c>
      <c r="AW53" t="str">
        <f>IF($Y53="","",IFERROR(INDEX(อัตราค่าขนส่ง!$F$5:$F$204,MATCH($Y53,อัตราค่าขนส่ง!$O$5:$O$204,0)),""))</f>
        <v/>
      </c>
      <c r="AX53" t="str">
        <f>IF($W53="","",INDEX(บันทึกรายเที่ยว!$D$6:$D$10005,$W53))</f>
        <v/>
      </c>
      <c r="AY53" t="str">
        <f>IF($W53="","",INDEX(บันทึกรายเที่ยว!$R$6:$R$10005,$W53))</f>
        <v/>
      </c>
      <c r="AZ53">
        <f t="shared" si="25"/>
        <v>0</v>
      </c>
      <c r="BA53" t="str">
        <f>IF($W53="","",INDEX(บันทึกรายเที่ยว!$E$6:$E$10005,$W53))</f>
        <v/>
      </c>
      <c r="BC53">
        <f>IF($Y53="",0,IFERROR(INDEX(อัตราค่าขนส่ง!$M$5:$M$204,MATCH($Y53,อัตราค่าขนส่ง!$O$5:$O$204,0)),0))</f>
        <v>0</v>
      </c>
      <c r="BD53">
        <f>IF($Y53="",0,IFERROR(INDEX(อัตราค่าขนส่ง!$N$5:$N$204,MATCH($Y53,อัตราค่าขนส่ง!$O$5:$O$204,0)),0))</f>
        <v>0</v>
      </c>
    </row>
    <row r="54" spans="1:56" ht="21" customHeight="1" x14ac:dyDescent="0.95">
      <c r="A54" s="36" t="str">
        <f>IF($AD54="","",IF($AD54="Z","รวมจ่ายทั้งสิ้น",IF($AD54="H",INDEX($X$5:$X$404,$AC54),IF($AD54="T","รวม",IF($AD54="B",IFERROR(INDEX(อัตราค่าขนส่ง!$U$5:$U$14,MATCH(INDEX($AM$5:$AM$404,$AC54),อัตราค่าขนส่ง!$T$5:$T$14,0)),"รวมกลุ่ม "&amp;INDEX($AM$5:$AM$404,$AC54)),INDEX($AY$5:$AY$404,$AC54))))))</f>
        <v/>
      </c>
      <c r="B54" s="31" t="str">
        <f t="shared" si="0"/>
        <v/>
      </c>
      <c r="C54" s="8" t="str">
        <f t="shared" si="1"/>
        <v/>
      </c>
      <c r="D54" s="37" t="str">
        <f t="shared" si="2"/>
        <v/>
      </c>
      <c r="E54" s="31" t="str">
        <f t="shared" si="3"/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I54" s="32" t="str">
        <f t="shared" si="7"/>
        <v/>
      </c>
      <c r="J54" s="46" t="str">
        <f t="shared" si="8"/>
        <v/>
      </c>
      <c r="K54" s="32" t="str">
        <f t="shared" si="9"/>
        <v/>
      </c>
      <c r="L54" s="32" t="str">
        <f t="shared" si="10"/>
        <v/>
      </c>
      <c r="M54" s="32" t="str">
        <f t="shared" si="11"/>
        <v/>
      </c>
      <c r="N54" s="32" t="str">
        <f t="shared" si="12"/>
        <v/>
      </c>
      <c r="O54" s="32" t="str">
        <f t="shared" si="13"/>
        <v/>
      </c>
      <c r="Q54" t="str">
        <f>IFERROR(MATCH(50,บันทึกรายเที่ยว!$Z$6:$Z$10005,0),"")</f>
        <v/>
      </c>
      <c r="R54" t="str">
        <f>IF($Q54="","",INDEX(บันทึกรายเที่ยว!$V$6:$V$10005,$Q54))</f>
        <v/>
      </c>
      <c r="S54" t="str">
        <f>IF($Q54="","",INDEX(บันทึกรายเที่ยว!$F$6:$F$10005,$Q54))</f>
        <v/>
      </c>
      <c r="T54" t="str">
        <f>IF($Q54="","",MATCH($S54,บันทึกรายเที่ยว!$F$6:$F$10005,0))</f>
        <v/>
      </c>
      <c r="U54" t="str">
        <f>IF($Q54="","",$AL54*10000000+$T54*1000+50)</f>
        <v/>
      </c>
      <c r="V54" t="str">
        <f>IFERROR(MATCH(SMALL($U$5:$U$404,50),$U$5:$U$404,0),"")</f>
        <v/>
      </c>
      <c r="W54" t="str">
        <f t="shared" si="14"/>
        <v/>
      </c>
      <c r="X54" t="str">
        <f t="shared" si="15"/>
        <v/>
      </c>
      <c r="Y54" t="str">
        <f t="shared" si="16"/>
        <v/>
      </c>
      <c r="Z54">
        <f t="shared" si="26"/>
        <v>0</v>
      </c>
      <c r="AA54">
        <f t="shared" si="17"/>
        <v>0</v>
      </c>
      <c r="AB54">
        <f>IF($V54="",99999+50,$AB53+1+$Z53+$AA53+$AO53)</f>
        <v>100049</v>
      </c>
      <c r="AC54" t="str">
        <f>IFERROR(MATCH(50,$AB$5:$AB$404,1),"")</f>
        <v/>
      </c>
      <c r="AD54" t="str">
        <f>IF(50=$AI$1+1,"Z",IF($AC54="","",IF(INDEX($V$5:$V$404,$AC54)="","",IF(50&gt;INDEX($AB$5:$AB$404,$AC54)+INDEX($Z$5:$Z$404,$AC54)+INDEX($AA$5:$AA$404,$AC54)+INDEX($AO$5:$AO$404,$AC54),"",IF(50=INDEX($AB$5:$AB$404,$AC54)+INDEX($Z$5:$Z$404,$AC54),"D",IF(AND(INDEX($Z$5:$Z$404,$AC54)=1,50=INDEX($AB$5:$AB$404,$AC54)),"H",IF(AND(INDEX($AO$5:$AO$404,$AC54)=1,50=INDEX($AB$5:$AB$404,$AC54)+INDEX($Z$5:$Z$404,$AC54)+INDEX($AA$5:$AA$404,$AC54)+INDEX($AO$5:$AO$404,$AC54)),"B","T")))))))</f>
        <v/>
      </c>
      <c r="AF54" t="str">
        <f t="shared" si="18"/>
        <v/>
      </c>
      <c r="AJ54">
        <f>IF($AD54&lt;&gt;"T",0,ROUND(SUMIF(oil!$B$4:$B$63,$AF54,oil!$AE$4:$AE$63),2))</f>
        <v>0</v>
      </c>
      <c r="AK54" t="str">
        <f>IF($S54="","",IFERROR(INDEX(อัตราค่าขนส่ง!$R$5:$R$54,MATCH($S54,อัตราค่าขนส่ง!$Q$5:$Q$54,0)),INDEX(รายการมาตรฐาน!$G$2:$G$3,1)))</f>
        <v/>
      </c>
      <c r="AL54" t="str">
        <f>IF($S54="","",IFERROR(MATCH($AK54,รายการมาตรฐาน!$G$2:$G$3,0),1))</f>
        <v/>
      </c>
      <c r="AM54" t="str">
        <f t="shared" si="19"/>
        <v/>
      </c>
      <c r="AN54" t="str">
        <f t="shared" si="20"/>
        <v/>
      </c>
      <c r="AO54">
        <f t="shared" si="21"/>
        <v>0</v>
      </c>
      <c r="AP54">
        <f t="shared" si="27"/>
        <v>0</v>
      </c>
      <c r="AQ54" t="str">
        <f t="shared" si="22"/>
        <v/>
      </c>
      <c r="AR54">
        <f>IF($Y54="",0,COUNTIF(บันทึกรายเที่ยว!$V$6:$V$10005,$Y54))</f>
        <v>0</v>
      </c>
      <c r="AS54">
        <f>IF($Y54="",0,ROUND(SUMIF(บันทึกรายเที่ยว!$V$6:$V$10005,$Y54,บันทึกรายเที่ยว!$M$6:$M$10005),2))</f>
        <v>0</v>
      </c>
      <c r="AT54">
        <f>IF($Y54="",0,IFERROR(INDEX(อัตราค่าขนส่ง!$J$5:$J$204,MATCH($Y54,อัตราค่าขนส่ง!$O$5:$O$204,0)),0))</f>
        <v>0</v>
      </c>
      <c r="AU54">
        <f t="shared" si="23"/>
        <v>0</v>
      </c>
      <c r="AV54">
        <f t="shared" si="24"/>
        <v>0</v>
      </c>
      <c r="AW54" t="str">
        <f>IF($Y54="","",IFERROR(INDEX(อัตราค่าขนส่ง!$F$5:$F$204,MATCH($Y54,อัตราค่าขนส่ง!$O$5:$O$204,0)),""))</f>
        <v/>
      </c>
      <c r="AX54" t="str">
        <f>IF($W54="","",INDEX(บันทึกรายเที่ยว!$D$6:$D$10005,$W54))</f>
        <v/>
      </c>
      <c r="AY54" t="str">
        <f>IF($W54="","",INDEX(บันทึกรายเที่ยว!$R$6:$R$10005,$W54))</f>
        <v/>
      </c>
      <c r="AZ54">
        <f t="shared" si="25"/>
        <v>0</v>
      </c>
      <c r="BA54" t="str">
        <f>IF($W54="","",INDEX(บันทึกรายเที่ยว!$E$6:$E$10005,$W54))</f>
        <v/>
      </c>
      <c r="BC54">
        <f>IF($Y54="",0,IFERROR(INDEX(อัตราค่าขนส่ง!$M$5:$M$204,MATCH($Y54,อัตราค่าขนส่ง!$O$5:$O$204,0)),0))</f>
        <v>0</v>
      </c>
      <c r="BD54">
        <f>IF($Y54="",0,IFERROR(INDEX(อัตราค่าขนส่ง!$N$5:$N$204,MATCH($Y54,อัตราค่าขนส่ง!$O$5:$O$204,0)),0))</f>
        <v>0</v>
      </c>
    </row>
    <row r="55" spans="1:56" ht="21" customHeight="1" x14ac:dyDescent="0.95">
      <c r="A55" s="36" t="str">
        <f>IF($AD55="","",IF($AD55="Z","รวมจ่ายทั้งสิ้น",IF($AD55="H",INDEX($X$5:$X$404,$AC55),IF($AD55="T","รวม",IF($AD55="B",IFERROR(INDEX(อัตราค่าขนส่ง!$U$5:$U$14,MATCH(INDEX($AM$5:$AM$404,$AC55),อัตราค่าขนส่ง!$T$5:$T$14,0)),"รวมกลุ่ม "&amp;INDEX($AM$5:$AM$404,$AC55)),INDEX($AY$5:$AY$404,$AC55))))))</f>
        <v/>
      </c>
      <c r="B55" s="31" t="str">
        <f t="shared" si="0"/>
        <v/>
      </c>
      <c r="C55" s="8" t="str">
        <f t="shared" si="1"/>
        <v/>
      </c>
      <c r="D55" s="37" t="str">
        <f t="shared" si="2"/>
        <v/>
      </c>
      <c r="E55" s="31" t="str">
        <f t="shared" si="3"/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I55" s="32" t="str">
        <f t="shared" si="7"/>
        <v/>
      </c>
      <c r="J55" s="46" t="str">
        <f t="shared" si="8"/>
        <v/>
      </c>
      <c r="K55" s="32" t="str">
        <f t="shared" si="9"/>
        <v/>
      </c>
      <c r="L55" s="32" t="str">
        <f t="shared" si="10"/>
        <v/>
      </c>
      <c r="M55" s="32" t="str">
        <f t="shared" si="11"/>
        <v/>
      </c>
      <c r="N55" s="32" t="str">
        <f t="shared" si="12"/>
        <v/>
      </c>
      <c r="O55" s="32" t="str">
        <f t="shared" si="13"/>
        <v/>
      </c>
      <c r="Q55" t="str">
        <f>IFERROR(MATCH(51,บันทึกรายเที่ยว!$Z$6:$Z$10005,0),"")</f>
        <v/>
      </c>
      <c r="R55" t="str">
        <f>IF($Q55="","",INDEX(บันทึกรายเที่ยว!$V$6:$V$10005,$Q55))</f>
        <v/>
      </c>
      <c r="S55" t="str">
        <f>IF($Q55="","",INDEX(บันทึกรายเที่ยว!$F$6:$F$10005,$Q55))</f>
        <v/>
      </c>
      <c r="T55" t="str">
        <f>IF($Q55="","",MATCH($S55,บันทึกรายเที่ยว!$F$6:$F$10005,0))</f>
        <v/>
      </c>
      <c r="U55" t="str">
        <f>IF($Q55="","",$AL55*10000000+$T55*1000+51)</f>
        <v/>
      </c>
      <c r="V55" t="str">
        <f>IFERROR(MATCH(SMALL($U$5:$U$404,51),$U$5:$U$404,0),"")</f>
        <v/>
      </c>
      <c r="W55" t="str">
        <f t="shared" si="14"/>
        <v/>
      </c>
      <c r="X55" t="str">
        <f t="shared" si="15"/>
        <v/>
      </c>
      <c r="Y55" t="str">
        <f t="shared" si="16"/>
        <v/>
      </c>
      <c r="Z55">
        <f t="shared" si="26"/>
        <v>0</v>
      </c>
      <c r="AA55">
        <f t="shared" si="17"/>
        <v>0</v>
      </c>
      <c r="AB55">
        <f>IF($V55="",99999+51,$AB54+1+$Z54+$AA54+$AO54)</f>
        <v>100050</v>
      </c>
      <c r="AC55" t="str">
        <f>IFERROR(MATCH(51,$AB$5:$AB$404,1),"")</f>
        <v/>
      </c>
      <c r="AD55" t="str">
        <f>IF(51=$AI$1+1,"Z",IF($AC55="","",IF(INDEX($V$5:$V$404,$AC55)="","",IF(51&gt;INDEX($AB$5:$AB$404,$AC55)+INDEX($Z$5:$Z$404,$AC55)+INDEX($AA$5:$AA$404,$AC55)+INDEX($AO$5:$AO$404,$AC55),"",IF(51=INDEX($AB$5:$AB$404,$AC55)+INDEX($Z$5:$Z$404,$AC55),"D",IF(AND(INDEX($Z$5:$Z$404,$AC55)=1,51=INDEX($AB$5:$AB$404,$AC55)),"H",IF(AND(INDEX($AO$5:$AO$404,$AC55)=1,51=INDEX($AB$5:$AB$404,$AC55)+INDEX($Z$5:$Z$404,$AC55)+INDEX($AA$5:$AA$404,$AC55)+INDEX($AO$5:$AO$404,$AC55)),"B","T")))))))</f>
        <v/>
      </c>
      <c r="AF55" t="str">
        <f t="shared" si="18"/>
        <v/>
      </c>
      <c r="AJ55">
        <f>IF($AD55&lt;&gt;"T",0,ROUND(SUMIF(oil!$B$4:$B$63,$AF55,oil!$AE$4:$AE$63),2))</f>
        <v>0</v>
      </c>
      <c r="AK55" t="str">
        <f>IF($S55="","",IFERROR(INDEX(อัตราค่าขนส่ง!$R$5:$R$54,MATCH($S55,อัตราค่าขนส่ง!$Q$5:$Q$54,0)),INDEX(รายการมาตรฐาน!$G$2:$G$3,1)))</f>
        <v/>
      </c>
      <c r="AL55" t="str">
        <f>IF($S55="","",IFERROR(MATCH($AK55,รายการมาตรฐาน!$G$2:$G$3,0),1))</f>
        <v/>
      </c>
      <c r="AM55" t="str">
        <f t="shared" si="19"/>
        <v/>
      </c>
      <c r="AN55" t="str">
        <f t="shared" si="20"/>
        <v/>
      </c>
      <c r="AO55">
        <f t="shared" si="21"/>
        <v>0</v>
      </c>
      <c r="AP55">
        <f t="shared" si="27"/>
        <v>0</v>
      </c>
      <c r="AQ55" t="str">
        <f t="shared" si="22"/>
        <v/>
      </c>
      <c r="AR55">
        <f>IF($Y55="",0,COUNTIF(บันทึกรายเที่ยว!$V$6:$V$10005,$Y55))</f>
        <v>0</v>
      </c>
      <c r="AS55">
        <f>IF($Y55="",0,ROUND(SUMIF(บันทึกรายเที่ยว!$V$6:$V$10005,$Y55,บันทึกรายเที่ยว!$M$6:$M$10005),2))</f>
        <v>0</v>
      </c>
      <c r="AT55">
        <f>IF($Y55="",0,IFERROR(INDEX(อัตราค่าขนส่ง!$J$5:$J$204,MATCH($Y55,อัตราค่าขนส่ง!$O$5:$O$204,0)),0))</f>
        <v>0</v>
      </c>
      <c r="AU55">
        <f t="shared" si="23"/>
        <v>0</v>
      </c>
      <c r="AV55">
        <f t="shared" si="24"/>
        <v>0</v>
      </c>
      <c r="AW55" t="str">
        <f>IF($Y55="","",IFERROR(INDEX(อัตราค่าขนส่ง!$F$5:$F$204,MATCH($Y55,อัตราค่าขนส่ง!$O$5:$O$204,0)),""))</f>
        <v/>
      </c>
      <c r="AX55" t="str">
        <f>IF($W55="","",INDEX(บันทึกรายเที่ยว!$D$6:$D$10005,$W55))</f>
        <v/>
      </c>
      <c r="AY55" t="str">
        <f>IF($W55="","",INDEX(บันทึกรายเที่ยว!$R$6:$R$10005,$W55))</f>
        <v/>
      </c>
      <c r="AZ55">
        <f t="shared" si="25"/>
        <v>0</v>
      </c>
      <c r="BA55" t="str">
        <f>IF($W55="","",INDEX(บันทึกรายเที่ยว!$E$6:$E$10005,$W55))</f>
        <v/>
      </c>
      <c r="BC55">
        <f>IF($Y55="",0,IFERROR(INDEX(อัตราค่าขนส่ง!$M$5:$M$204,MATCH($Y55,อัตราค่าขนส่ง!$O$5:$O$204,0)),0))</f>
        <v>0</v>
      </c>
      <c r="BD55">
        <f>IF($Y55="",0,IFERROR(INDEX(อัตราค่าขนส่ง!$N$5:$N$204,MATCH($Y55,อัตราค่าขนส่ง!$O$5:$O$204,0)),0))</f>
        <v>0</v>
      </c>
    </row>
    <row r="56" spans="1:56" ht="21" customHeight="1" x14ac:dyDescent="0.95">
      <c r="A56" s="36" t="str">
        <f>IF($AD56="","",IF($AD56="Z","รวมจ่ายทั้งสิ้น",IF($AD56="H",INDEX($X$5:$X$404,$AC56),IF($AD56="T","รวม",IF($AD56="B",IFERROR(INDEX(อัตราค่าขนส่ง!$U$5:$U$14,MATCH(INDEX($AM$5:$AM$404,$AC56),อัตราค่าขนส่ง!$T$5:$T$14,0)),"รวมกลุ่ม "&amp;INDEX($AM$5:$AM$404,$AC56)),INDEX($AY$5:$AY$404,$AC56))))))</f>
        <v/>
      </c>
      <c r="B56" s="31" t="str">
        <f t="shared" si="0"/>
        <v/>
      </c>
      <c r="C56" s="8" t="str">
        <f t="shared" si="1"/>
        <v/>
      </c>
      <c r="D56" s="37" t="str">
        <f t="shared" si="2"/>
        <v/>
      </c>
      <c r="E56" s="31" t="str">
        <f t="shared" si="3"/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I56" s="32" t="str">
        <f t="shared" si="7"/>
        <v/>
      </c>
      <c r="J56" s="46" t="str">
        <f t="shared" si="8"/>
        <v/>
      </c>
      <c r="K56" s="32" t="str">
        <f t="shared" si="9"/>
        <v/>
      </c>
      <c r="L56" s="32" t="str">
        <f t="shared" si="10"/>
        <v/>
      </c>
      <c r="M56" s="32" t="str">
        <f t="shared" si="11"/>
        <v/>
      </c>
      <c r="N56" s="32" t="str">
        <f t="shared" si="12"/>
        <v/>
      </c>
      <c r="O56" s="32" t="str">
        <f t="shared" si="13"/>
        <v/>
      </c>
      <c r="Q56" t="str">
        <f>IFERROR(MATCH(52,บันทึกรายเที่ยว!$Z$6:$Z$10005,0),"")</f>
        <v/>
      </c>
      <c r="R56" t="str">
        <f>IF($Q56="","",INDEX(บันทึกรายเที่ยว!$V$6:$V$10005,$Q56))</f>
        <v/>
      </c>
      <c r="S56" t="str">
        <f>IF($Q56="","",INDEX(บันทึกรายเที่ยว!$F$6:$F$10005,$Q56))</f>
        <v/>
      </c>
      <c r="T56" t="str">
        <f>IF($Q56="","",MATCH($S56,บันทึกรายเที่ยว!$F$6:$F$10005,0))</f>
        <v/>
      </c>
      <c r="U56" t="str">
        <f>IF($Q56="","",$AL56*10000000+$T56*1000+52)</f>
        <v/>
      </c>
      <c r="V56" t="str">
        <f>IFERROR(MATCH(SMALL($U$5:$U$404,52),$U$5:$U$404,0),"")</f>
        <v/>
      </c>
      <c r="W56" t="str">
        <f t="shared" si="14"/>
        <v/>
      </c>
      <c r="X56" t="str">
        <f t="shared" si="15"/>
        <v/>
      </c>
      <c r="Y56" t="str">
        <f t="shared" si="16"/>
        <v/>
      </c>
      <c r="Z56">
        <f t="shared" si="26"/>
        <v>0</v>
      </c>
      <c r="AA56">
        <f t="shared" si="17"/>
        <v>0</v>
      </c>
      <c r="AB56">
        <f>IF($V56="",99999+52,$AB55+1+$Z55+$AA55+$AO55)</f>
        <v>100051</v>
      </c>
      <c r="AC56" t="str">
        <f>IFERROR(MATCH(52,$AB$5:$AB$404,1),"")</f>
        <v/>
      </c>
      <c r="AD56" t="str">
        <f>IF(52=$AI$1+1,"Z",IF($AC56="","",IF(INDEX($V$5:$V$404,$AC56)="","",IF(52&gt;INDEX($AB$5:$AB$404,$AC56)+INDEX($Z$5:$Z$404,$AC56)+INDEX($AA$5:$AA$404,$AC56)+INDEX($AO$5:$AO$404,$AC56),"",IF(52=INDEX($AB$5:$AB$404,$AC56)+INDEX($Z$5:$Z$404,$AC56),"D",IF(AND(INDEX($Z$5:$Z$404,$AC56)=1,52=INDEX($AB$5:$AB$404,$AC56)),"H",IF(AND(INDEX($AO$5:$AO$404,$AC56)=1,52=INDEX($AB$5:$AB$404,$AC56)+INDEX($Z$5:$Z$404,$AC56)+INDEX($AA$5:$AA$404,$AC56)+INDEX($AO$5:$AO$404,$AC56)),"B","T")))))))</f>
        <v/>
      </c>
      <c r="AF56" t="str">
        <f t="shared" si="18"/>
        <v/>
      </c>
      <c r="AJ56">
        <f>IF($AD56&lt;&gt;"T",0,ROUND(SUMIF(oil!$B$4:$B$63,$AF56,oil!$AE$4:$AE$63),2))</f>
        <v>0</v>
      </c>
      <c r="AK56" t="str">
        <f>IF($S56="","",IFERROR(INDEX(อัตราค่าขนส่ง!$R$5:$R$54,MATCH($S56,อัตราค่าขนส่ง!$Q$5:$Q$54,0)),INDEX(รายการมาตรฐาน!$G$2:$G$3,1)))</f>
        <v/>
      </c>
      <c r="AL56" t="str">
        <f>IF($S56="","",IFERROR(MATCH($AK56,รายการมาตรฐาน!$G$2:$G$3,0),1))</f>
        <v/>
      </c>
      <c r="AM56" t="str">
        <f t="shared" si="19"/>
        <v/>
      </c>
      <c r="AN56" t="str">
        <f t="shared" si="20"/>
        <v/>
      </c>
      <c r="AO56">
        <f t="shared" si="21"/>
        <v>0</v>
      </c>
      <c r="AP56">
        <f t="shared" si="27"/>
        <v>0</v>
      </c>
      <c r="AQ56" t="str">
        <f t="shared" si="22"/>
        <v/>
      </c>
      <c r="AR56">
        <f>IF($Y56="",0,COUNTIF(บันทึกรายเที่ยว!$V$6:$V$10005,$Y56))</f>
        <v>0</v>
      </c>
      <c r="AS56">
        <f>IF($Y56="",0,ROUND(SUMIF(บันทึกรายเที่ยว!$V$6:$V$10005,$Y56,บันทึกรายเที่ยว!$M$6:$M$10005),2))</f>
        <v>0</v>
      </c>
      <c r="AT56">
        <f>IF($Y56="",0,IFERROR(INDEX(อัตราค่าขนส่ง!$J$5:$J$204,MATCH($Y56,อัตราค่าขนส่ง!$O$5:$O$204,0)),0))</f>
        <v>0</v>
      </c>
      <c r="AU56">
        <f t="shared" si="23"/>
        <v>0</v>
      </c>
      <c r="AV56">
        <f t="shared" si="24"/>
        <v>0</v>
      </c>
      <c r="AW56" t="str">
        <f>IF($Y56="","",IFERROR(INDEX(อัตราค่าขนส่ง!$F$5:$F$204,MATCH($Y56,อัตราค่าขนส่ง!$O$5:$O$204,0)),""))</f>
        <v/>
      </c>
      <c r="AX56" t="str">
        <f>IF($W56="","",INDEX(บันทึกรายเที่ยว!$D$6:$D$10005,$W56))</f>
        <v/>
      </c>
      <c r="AY56" t="str">
        <f>IF($W56="","",INDEX(บันทึกรายเที่ยว!$R$6:$R$10005,$W56))</f>
        <v/>
      </c>
      <c r="AZ56">
        <f t="shared" si="25"/>
        <v>0</v>
      </c>
      <c r="BA56" t="str">
        <f>IF($W56="","",INDEX(บันทึกรายเที่ยว!$E$6:$E$10005,$W56))</f>
        <v/>
      </c>
      <c r="BC56">
        <f>IF($Y56="",0,IFERROR(INDEX(อัตราค่าขนส่ง!$M$5:$M$204,MATCH($Y56,อัตราค่าขนส่ง!$O$5:$O$204,0)),0))</f>
        <v>0</v>
      </c>
      <c r="BD56">
        <f>IF($Y56="",0,IFERROR(INDEX(อัตราค่าขนส่ง!$N$5:$N$204,MATCH($Y56,อัตราค่าขนส่ง!$O$5:$O$204,0)),0))</f>
        <v>0</v>
      </c>
    </row>
    <row r="57" spans="1:56" ht="21" customHeight="1" x14ac:dyDescent="0.95">
      <c r="A57" s="36" t="str">
        <f>IF($AD57="","",IF($AD57="Z","รวมจ่ายทั้งสิ้น",IF($AD57="H",INDEX($X$5:$X$404,$AC57),IF($AD57="T","รวม",IF($AD57="B",IFERROR(INDEX(อัตราค่าขนส่ง!$U$5:$U$14,MATCH(INDEX($AM$5:$AM$404,$AC57),อัตราค่าขนส่ง!$T$5:$T$14,0)),"รวมกลุ่ม "&amp;INDEX($AM$5:$AM$404,$AC57)),INDEX($AY$5:$AY$404,$AC57))))))</f>
        <v/>
      </c>
      <c r="B57" s="31" t="str">
        <f t="shared" si="0"/>
        <v/>
      </c>
      <c r="C57" s="8" t="str">
        <f t="shared" si="1"/>
        <v/>
      </c>
      <c r="D57" s="37" t="str">
        <f t="shared" si="2"/>
        <v/>
      </c>
      <c r="E57" s="31" t="str">
        <f t="shared" si="3"/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I57" s="32" t="str">
        <f t="shared" si="7"/>
        <v/>
      </c>
      <c r="J57" s="46" t="str">
        <f t="shared" si="8"/>
        <v/>
      </c>
      <c r="K57" s="32" t="str">
        <f t="shared" si="9"/>
        <v/>
      </c>
      <c r="L57" s="32" t="str">
        <f t="shared" si="10"/>
        <v/>
      </c>
      <c r="M57" s="32" t="str">
        <f t="shared" si="11"/>
        <v/>
      </c>
      <c r="N57" s="32" t="str">
        <f t="shared" si="12"/>
        <v/>
      </c>
      <c r="O57" s="32" t="str">
        <f t="shared" si="13"/>
        <v/>
      </c>
      <c r="Q57" t="str">
        <f>IFERROR(MATCH(53,บันทึกรายเที่ยว!$Z$6:$Z$10005,0),"")</f>
        <v/>
      </c>
      <c r="R57" t="str">
        <f>IF($Q57="","",INDEX(บันทึกรายเที่ยว!$V$6:$V$10005,$Q57))</f>
        <v/>
      </c>
      <c r="S57" t="str">
        <f>IF($Q57="","",INDEX(บันทึกรายเที่ยว!$F$6:$F$10005,$Q57))</f>
        <v/>
      </c>
      <c r="T57" t="str">
        <f>IF($Q57="","",MATCH($S57,บันทึกรายเที่ยว!$F$6:$F$10005,0))</f>
        <v/>
      </c>
      <c r="U57" t="str">
        <f>IF($Q57="","",$AL57*10000000+$T57*1000+53)</f>
        <v/>
      </c>
      <c r="V57" t="str">
        <f>IFERROR(MATCH(SMALL($U$5:$U$404,53),$U$5:$U$404,0),"")</f>
        <v/>
      </c>
      <c r="W57" t="str">
        <f t="shared" si="14"/>
        <v/>
      </c>
      <c r="X57" t="str">
        <f t="shared" si="15"/>
        <v/>
      </c>
      <c r="Y57" t="str">
        <f t="shared" si="16"/>
        <v/>
      </c>
      <c r="Z57">
        <f t="shared" si="26"/>
        <v>0</v>
      </c>
      <c r="AA57">
        <f t="shared" si="17"/>
        <v>0</v>
      </c>
      <c r="AB57">
        <f>IF($V57="",99999+53,$AB56+1+$Z56+$AA56+$AO56)</f>
        <v>100052</v>
      </c>
      <c r="AC57" t="str">
        <f>IFERROR(MATCH(53,$AB$5:$AB$404,1),"")</f>
        <v/>
      </c>
      <c r="AD57" t="str">
        <f>IF(53=$AI$1+1,"Z",IF($AC57="","",IF(INDEX($V$5:$V$404,$AC57)="","",IF(53&gt;INDEX($AB$5:$AB$404,$AC57)+INDEX($Z$5:$Z$404,$AC57)+INDEX($AA$5:$AA$404,$AC57)+INDEX($AO$5:$AO$404,$AC57),"",IF(53=INDEX($AB$5:$AB$404,$AC57)+INDEX($Z$5:$Z$404,$AC57),"D",IF(AND(INDEX($Z$5:$Z$404,$AC57)=1,53=INDEX($AB$5:$AB$404,$AC57)),"H",IF(AND(INDEX($AO$5:$AO$404,$AC57)=1,53=INDEX($AB$5:$AB$404,$AC57)+INDEX($Z$5:$Z$404,$AC57)+INDEX($AA$5:$AA$404,$AC57)+INDEX($AO$5:$AO$404,$AC57)),"B","T")))))))</f>
        <v/>
      </c>
      <c r="AF57" t="str">
        <f t="shared" si="18"/>
        <v/>
      </c>
      <c r="AJ57">
        <f>IF($AD57&lt;&gt;"T",0,ROUND(SUMIF(oil!$B$4:$B$63,$AF57,oil!$AE$4:$AE$63),2))</f>
        <v>0</v>
      </c>
      <c r="AK57" t="str">
        <f>IF($S57="","",IFERROR(INDEX(อัตราค่าขนส่ง!$R$5:$R$54,MATCH($S57,อัตราค่าขนส่ง!$Q$5:$Q$54,0)),INDEX(รายการมาตรฐาน!$G$2:$G$3,1)))</f>
        <v/>
      </c>
      <c r="AL57" t="str">
        <f>IF($S57="","",IFERROR(MATCH($AK57,รายการมาตรฐาน!$G$2:$G$3,0),1))</f>
        <v/>
      </c>
      <c r="AM57" t="str">
        <f t="shared" si="19"/>
        <v/>
      </c>
      <c r="AN57" t="str">
        <f t="shared" si="20"/>
        <v/>
      </c>
      <c r="AO57">
        <f t="shared" si="21"/>
        <v>0</v>
      </c>
      <c r="AP57">
        <f t="shared" si="27"/>
        <v>0</v>
      </c>
      <c r="AQ57" t="str">
        <f t="shared" si="22"/>
        <v/>
      </c>
      <c r="AR57">
        <f>IF($Y57="",0,COUNTIF(บันทึกรายเที่ยว!$V$6:$V$10005,$Y57))</f>
        <v>0</v>
      </c>
      <c r="AS57">
        <f>IF($Y57="",0,ROUND(SUMIF(บันทึกรายเที่ยว!$V$6:$V$10005,$Y57,บันทึกรายเที่ยว!$M$6:$M$10005),2))</f>
        <v>0</v>
      </c>
      <c r="AT57">
        <f>IF($Y57="",0,IFERROR(INDEX(อัตราค่าขนส่ง!$J$5:$J$204,MATCH($Y57,อัตราค่าขนส่ง!$O$5:$O$204,0)),0))</f>
        <v>0</v>
      </c>
      <c r="AU57">
        <f t="shared" si="23"/>
        <v>0</v>
      </c>
      <c r="AV57">
        <f t="shared" si="24"/>
        <v>0</v>
      </c>
      <c r="AW57" t="str">
        <f>IF($Y57="","",IFERROR(INDEX(อัตราค่าขนส่ง!$F$5:$F$204,MATCH($Y57,อัตราค่าขนส่ง!$O$5:$O$204,0)),""))</f>
        <v/>
      </c>
      <c r="AX57" t="str">
        <f>IF($W57="","",INDEX(บันทึกรายเที่ยว!$D$6:$D$10005,$W57))</f>
        <v/>
      </c>
      <c r="AY57" t="str">
        <f>IF($W57="","",INDEX(บันทึกรายเที่ยว!$R$6:$R$10005,$W57))</f>
        <v/>
      </c>
      <c r="AZ57">
        <f t="shared" si="25"/>
        <v>0</v>
      </c>
      <c r="BA57" t="str">
        <f>IF($W57="","",INDEX(บันทึกรายเที่ยว!$E$6:$E$10005,$W57))</f>
        <v/>
      </c>
      <c r="BC57">
        <f>IF($Y57="",0,IFERROR(INDEX(อัตราค่าขนส่ง!$M$5:$M$204,MATCH($Y57,อัตราค่าขนส่ง!$O$5:$O$204,0)),0))</f>
        <v>0</v>
      </c>
      <c r="BD57">
        <f>IF($Y57="",0,IFERROR(INDEX(อัตราค่าขนส่ง!$N$5:$N$204,MATCH($Y57,อัตราค่าขนส่ง!$O$5:$O$204,0)),0))</f>
        <v>0</v>
      </c>
    </row>
    <row r="58" spans="1:56" ht="21" customHeight="1" x14ac:dyDescent="0.95">
      <c r="A58" s="36" t="str">
        <f>IF($AD58="","",IF($AD58="Z","รวมจ่ายทั้งสิ้น",IF($AD58="H",INDEX($X$5:$X$404,$AC58),IF($AD58="T","รวม",IF($AD58="B",IFERROR(INDEX(อัตราค่าขนส่ง!$U$5:$U$14,MATCH(INDEX($AM$5:$AM$404,$AC58),อัตราค่าขนส่ง!$T$5:$T$14,0)),"รวมกลุ่ม "&amp;INDEX($AM$5:$AM$404,$AC58)),INDEX($AY$5:$AY$404,$AC58))))))</f>
        <v/>
      </c>
      <c r="B58" s="31" t="str">
        <f t="shared" si="0"/>
        <v/>
      </c>
      <c r="C58" s="8" t="str">
        <f t="shared" si="1"/>
        <v/>
      </c>
      <c r="D58" s="37" t="str">
        <f t="shared" si="2"/>
        <v/>
      </c>
      <c r="E58" s="31" t="str">
        <f t="shared" si="3"/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I58" s="32" t="str">
        <f t="shared" si="7"/>
        <v/>
      </c>
      <c r="J58" s="46" t="str">
        <f t="shared" si="8"/>
        <v/>
      </c>
      <c r="K58" s="32" t="str">
        <f t="shared" si="9"/>
        <v/>
      </c>
      <c r="L58" s="32" t="str">
        <f t="shared" si="10"/>
        <v/>
      </c>
      <c r="M58" s="32" t="str">
        <f t="shared" si="11"/>
        <v/>
      </c>
      <c r="N58" s="32" t="str">
        <f t="shared" si="12"/>
        <v/>
      </c>
      <c r="O58" s="32" t="str">
        <f t="shared" si="13"/>
        <v/>
      </c>
      <c r="Q58" t="str">
        <f>IFERROR(MATCH(54,บันทึกรายเที่ยว!$Z$6:$Z$10005,0),"")</f>
        <v/>
      </c>
      <c r="R58" t="str">
        <f>IF($Q58="","",INDEX(บันทึกรายเที่ยว!$V$6:$V$10005,$Q58))</f>
        <v/>
      </c>
      <c r="S58" t="str">
        <f>IF($Q58="","",INDEX(บันทึกรายเที่ยว!$F$6:$F$10005,$Q58))</f>
        <v/>
      </c>
      <c r="T58" t="str">
        <f>IF($Q58="","",MATCH($S58,บันทึกรายเที่ยว!$F$6:$F$10005,0))</f>
        <v/>
      </c>
      <c r="U58" t="str">
        <f>IF($Q58="","",$AL58*10000000+$T58*1000+54)</f>
        <v/>
      </c>
      <c r="V58" t="str">
        <f>IFERROR(MATCH(SMALL($U$5:$U$404,54),$U$5:$U$404,0),"")</f>
        <v/>
      </c>
      <c r="W58" t="str">
        <f t="shared" si="14"/>
        <v/>
      </c>
      <c r="X58" t="str">
        <f t="shared" si="15"/>
        <v/>
      </c>
      <c r="Y58" t="str">
        <f t="shared" si="16"/>
        <v/>
      </c>
      <c r="Z58">
        <f t="shared" si="26"/>
        <v>0</v>
      </c>
      <c r="AA58">
        <f t="shared" si="17"/>
        <v>0</v>
      </c>
      <c r="AB58">
        <f>IF($V58="",99999+54,$AB57+1+$Z57+$AA57+$AO57)</f>
        <v>100053</v>
      </c>
      <c r="AC58" t="str">
        <f>IFERROR(MATCH(54,$AB$5:$AB$404,1),"")</f>
        <v/>
      </c>
      <c r="AD58" t="str">
        <f>IF(54=$AI$1+1,"Z",IF($AC58="","",IF(INDEX($V$5:$V$404,$AC58)="","",IF(54&gt;INDEX($AB$5:$AB$404,$AC58)+INDEX($Z$5:$Z$404,$AC58)+INDEX($AA$5:$AA$404,$AC58)+INDEX($AO$5:$AO$404,$AC58),"",IF(54=INDEX($AB$5:$AB$404,$AC58)+INDEX($Z$5:$Z$404,$AC58),"D",IF(AND(INDEX($Z$5:$Z$404,$AC58)=1,54=INDEX($AB$5:$AB$404,$AC58)),"H",IF(AND(INDEX($AO$5:$AO$404,$AC58)=1,54=INDEX($AB$5:$AB$404,$AC58)+INDEX($Z$5:$Z$404,$AC58)+INDEX($AA$5:$AA$404,$AC58)+INDEX($AO$5:$AO$404,$AC58)),"B","T")))))))</f>
        <v/>
      </c>
      <c r="AF58" t="str">
        <f t="shared" si="18"/>
        <v/>
      </c>
      <c r="AJ58">
        <f>IF($AD58&lt;&gt;"T",0,ROUND(SUMIF(oil!$B$4:$B$63,$AF58,oil!$AE$4:$AE$63),2))</f>
        <v>0</v>
      </c>
      <c r="AK58" t="str">
        <f>IF($S58="","",IFERROR(INDEX(อัตราค่าขนส่ง!$R$5:$R$54,MATCH($S58,อัตราค่าขนส่ง!$Q$5:$Q$54,0)),INDEX(รายการมาตรฐาน!$G$2:$G$3,1)))</f>
        <v/>
      </c>
      <c r="AL58" t="str">
        <f>IF($S58="","",IFERROR(MATCH($AK58,รายการมาตรฐาน!$G$2:$G$3,0),1))</f>
        <v/>
      </c>
      <c r="AM58" t="str">
        <f t="shared" si="19"/>
        <v/>
      </c>
      <c r="AN58" t="str">
        <f t="shared" si="20"/>
        <v/>
      </c>
      <c r="AO58">
        <f t="shared" si="21"/>
        <v>0</v>
      </c>
      <c r="AP58">
        <f t="shared" si="27"/>
        <v>0</v>
      </c>
      <c r="AQ58" t="str">
        <f t="shared" si="22"/>
        <v/>
      </c>
      <c r="AR58">
        <f>IF($Y58="",0,COUNTIF(บันทึกรายเที่ยว!$V$6:$V$10005,$Y58))</f>
        <v>0</v>
      </c>
      <c r="AS58">
        <f>IF($Y58="",0,ROUND(SUMIF(บันทึกรายเที่ยว!$V$6:$V$10005,$Y58,บันทึกรายเที่ยว!$M$6:$M$10005),2))</f>
        <v>0</v>
      </c>
      <c r="AT58">
        <f>IF($Y58="",0,IFERROR(INDEX(อัตราค่าขนส่ง!$J$5:$J$204,MATCH($Y58,อัตราค่าขนส่ง!$O$5:$O$204,0)),0))</f>
        <v>0</v>
      </c>
      <c r="AU58">
        <f t="shared" si="23"/>
        <v>0</v>
      </c>
      <c r="AV58">
        <f t="shared" si="24"/>
        <v>0</v>
      </c>
      <c r="AW58" t="str">
        <f>IF($Y58="","",IFERROR(INDEX(อัตราค่าขนส่ง!$F$5:$F$204,MATCH($Y58,อัตราค่าขนส่ง!$O$5:$O$204,0)),""))</f>
        <v/>
      </c>
      <c r="AX58" t="str">
        <f>IF($W58="","",INDEX(บันทึกรายเที่ยว!$D$6:$D$10005,$W58))</f>
        <v/>
      </c>
      <c r="AY58" t="str">
        <f>IF($W58="","",INDEX(บันทึกรายเที่ยว!$R$6:$R$10005,$W58))</f>
        <v/>
      </c>
      <c r="AZ58">
        <f t="shared" si="25"/>
        <v>0</v>
      </c>
      <c r="BA58" t="str">
        <f>IF($W58="","",INDEX(บันทึกรายเที่ยว!$E$6:$E$10005,$W58))</f>
        <v/>
      </c>
      <c r="BC58">
        <f>IF($Y58="",0,IFERROR(INDEX(อัตราค่าขนส่ง!$M$5:$M$204,MATCH($Y58,อัตราค่าขนส่ง!$O$5:$O$204,0)),0))</f>
        <v>0</v>
      </c>
      <c r="BD58">
        <f>IF($Y58="",0,IFERROR(INDEX(อัตราค่าขนส่ง!$N$5:$N$204,MATCH($Y58,อัตราค่าขนส่ง!$O$5:$O$204,0)),0))</f>
        <v>0</v>
      </c>
    </row>
    <row r="59" spans="1:56" ht="21" customHeight="1" x14ac:dyDescent="0.95">
      <c r="A59" s="36" t="str">
        <f>IF($AD59="","",IF($AD59="Z","รวมจ่ายทั้งสิ้น",IF($AD59="H",INDEX($X$5:$X$404,$AC59),IF($AD59="T","รวม",IF($AD59="B",IFERROR(INDEX(อัตราค่าขนส่ง!$U$5:$U$14,MATCH(INDEX($AM$5:$AM$404,$AC59),อัตราค่าขนส่ง!$T$5:$T$14,0)),"รวมกลุ่ม "&amp;INDEX($AM$5:$AM$404,$AC59)),INDEX($AY$5:$AY$404,$AC59))))))</f>
        <v/>
      </c>
      <c r="B59" s="31" t="str">
        <f t="shared" si="0"/>
        <v/>
      </c>
      <c r="C59" s="8" t="str">
        <f t="shared" si="1"/>
        <v/>
      </c>
      <c r="D59" s="37" t="str">
        <f t="shared" si="2"/>
        <v/>
      </c>
      <c r="E59" s="31" t="str">
        <f t="shared" si="3"/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I59" s="32" t="str">
        <f t="shared" si="7"/>
        <v/>
      </c>
      <c r="J59" s="46" t="str">
        <f t="shared" si="8"/>
        <v/>
      </c>
      <c r="K59" s="32" t="str">
        <f t="shared" si="9"/>
        <v/>
      </c>
      <c r="L59" s="32" t="str">
        <f t="shared" si="10"/>
        <v/>
      </c>
      <c r="M59" s="32" t="str">
        <f t="shared" si="11"/>
        <v/>
      </c>
      <c r="N59" s="32" t="str">
        <f t="shared" si="12"/>
        <v/>
      </c>
      <c r="O59" s="32" t="str">
        <f t="shared" si="13"/>
        <v/>
      </c>
      <c r="Q59" t="str">
        <f>IFERROR(MATCH(55,บันทึกรายเที่ยว!$Z$6:$Z$10005,0),"")</f>
        <v/>
      </c>
      <c r="R59" t="str">
        <f>IF($Q59="","",INDEX(บันทึกรายเที่ยว!$V$6:$V$10005,$Q59))</f>
        <v/>
      </c>
      <c r="S59" t="str">
        <f>IF($Q59="","",INDEX(บันทึกรายเที่ยว!$F$6:$F$10005,$Q59))</f>
        <v/>
      </c>
      <c r="T59" t="str">
        <f>IF($Q59="","",MATCH($S59,บันทึกรายเที่ยว!$F$6:$F$10005,0))</f>
        <v/>
      </c>
      <c r="U59" t="str">
        <f>IF($Q59="","",$AL59*10000000+$T59*1000+55)</f>
        <v/>
      </c>
      <c r="V59" t="str">
        <f>IFERROR(MATCH(SMALL($U$5:$U$404,55),$U$5:$U$404,0),"")</f>
        <v/>
      </c>
      <c r="W59" t="str">
        <f t="shared" si="14"/>
        <v/>
      </c>
      <c r="X59" t="str">
        <f t="shared" si="15"/>
        <v/>
      </c>
      <c r="Y59" t="str">
        <f t="shared" si="16"/>
        <v/>
      </c>
      <c r="Z59">
        <f t="shared" si="26"/>
        <v>0</v>
      </c>
      <c r="AA59">
        <f t="shared" si="17"/>
        <v>0</v>
      </c>
      <c r="AB59">
        <f>IF($V59="",99999+55,$AB58+1+$Z58+$AA58+$AO58)</f>
        <v>100054</v>
      </c>
      <c r="AC59" t="str">
        <f>IFERROR(MATCH(55,$AB$5:$AB$404,1),"")</f>
        <v/>
      </c>
      <c r="AD59" t="str">
        <f>IF(55=$AI$1+1,"Z",IF($AC59="","",IF(INDEX($V$5:$V$404,$AC59)="","",IF(55&gt;INDEX($AB$5:$AB$404,$AC59)+INDEX($Z$5:$Z$404,$AC59)+INDEX($AA$5:$AA$404,$AC59)+INDEX($AO$5:$AO$404,$AC59),"",IF(55=INDEX($AB$5:$AB$404,$AC59)+INDEX($Z$5:$Z$404,$AC59),"D",IF(AND(INDEX($Z$5:$Z$404,$AC59)=1,55=INDEX($AB$5:$AB$404,$AC59)),"H",IF(AND(INDEX($AO$5:$AO$404,$AC59)=1,55=INDEX($AB$5:$AB$404,$AC59)+INDEX($Z$5:$Z$404,$AC59)+INDEX($AA$5:$AA$404,$AC59)+INDEX($AO$5:$AO$404,$AC59)),"B","T")))))))</f>
        <v/>
      </c>
      <c r="AF59" t="str">
        <f t="shared" si="18"/>
        <v/>
      </c>
      <c r="AJ59">
        <f>IF($AD59&lt;&gt;"T",0,ROUND(SUMIF(oil!$B$4:$B$63,$AF59,oil!$AE$4:$AE$63),2))</f>
        <v>0</v>
      </c>
      <c r="AK59" t="str">
        <f>IF($S59="","",IFERROR(INDEX(อัตราค่าขนส่ง!$R$5:$R$54,MATCH($S59,อัตราค่าขนส่ง!$Q$5:$Q$54,0)),INDEX(รายการมาตรฐาน!$G$2:$G$3,1)))</f>
        <v/>
      </c>
      <c r="AL59" t="str">
        <f>IF($S59="","",IFERROR(MATCH($AK59,รายการมาตรฐาน!$G$2:$G$3,0),1))</f>
        <v/>
      </c>
      <c r="AM59" t="str">
        <f t="shared" si="19"/>
        <v/>
      </c>
      <c r="AN59" t="str">
        <f t="shared" si="20"/>
        <v/>
      </c>
      <c r="AO59">
        <f t="shared" si="21"/>
        <v>0</v>
      </c>
      <c r="AP59">
        <f t="shared" si="27"/>
        <v>0</v>
      </c>
      <c r="AQ59" t="str">
        <f t="shared" si="22"/>
        <v/>
      </c>
      <c r="AR59">
        <f>IF($Y59="",0,COUNTIF(บันทึกรายเที่ยว!$V$6:$V$10005,$Y59))</f>
        <v>0</v>
      </c>
      <c r="AS59">
        <f>IF($Y59="",0,ROUND(SUMIF(บันทึกรายเที่ยว!$V$6:$V$10005,$Y59,บันทึกรายเที่ยว!$M$6:$M$10005),2))</f>
        <v>0</v>
      </c>
      <c r="AT59">
        <f>IF($Y59="",0,IFERROR(INDEX(อัตราค่าขนส่ง!$J$5:$J$204,MATCH($Y59,อัตราค่าขนส่ง!$O$5:$O$204,0)),0))</f>
        <v>0</v>
      </c>
      <c r="AU59">
        <f t="shared" si="23"/>
        <v>0</v>
      </c>
      <c r="AV59">
        <f t="shared" si="24"/>
        <v>0</v>
      </c>
      <c r="AW59" t="str">
        <f>IF($Y59="","",IFERROR(INDEX(อัตราค่าขนส่ง!$F$5:$F$204,MATCH($Y59,อัตราค่าขนส่ง!$O$5:$O$204,0)),""))</f>
        <v/>
      </c>
      <c r="AX59" t="str">
        <f>IF($W59="","",INDEX(บันทึกรายเที่ยว!$D$6:$D$10005,$W59))</f>
        <v/>
      </c>
      <c r="AY59" t="str">
        <f>IF($W59="","",INDEX(บันทึกรายเที่ยว!$R$6:$R$10005,$W59))</f>
        <v/>
      </c>
      <c r="AZ59">
        <f t="shared" si="25"/>
        <v>0</v>
      </c>
      <c r="BA59" t="str">
        <f>IF($W59="","",INDEX(บันทึกรายเที่ยว!$E$6:$E$10005,$W59))</f>
        <v/>
      </c>
      <c r="BC59">
        <f>IF($Y59="",0,IFERROR(INDEX(อัตราค่าขนส่ง!$M$5:$M$204,MATCH($Y59,อัตราค่าขนส่ง!$O$5:$O$204,0)),0))</f>
        <v>0</v>
      </c>
      <c r="BD59">
        <f>IF($Y59="",0,IFERROR(INDEX(อัตราค่าขนส่ง!$N$5:$N$204,MATCH($Y59,อัตราค่าขนส่ง!$O$5:$O$204,0)),0))</f>
        <v>0</v>
      </c>
    </row>
    <row r="60" spans="1:56" ht="21" customHeight="1" x14ac:dyDescent="0.95">
      <c r="A60" s="36" t="str">
        <f>IF($AD60="","",IF($AD60="Z","รวมจ่ายทั้งสิ้น",IF($AD60="H",INDEX($X$5:$X$404,$AC60),IF($AD60="T","รวม",IF($AD60="B",IFERROR(INDEX(อัตราค่าขนส่ง!$U$5:$U$14,MATCH(INDEX($AM$5:$AM$404,$AC60),อัตราค่าขนส่ง!$T$5:$T$14,0)),"รวมกลุ่ม "&amp;INDEX($AM$5:$AM$404,$AC60)),INDEX($AY$5:$AY$404,$AC60))))))</f>
        <v/>
      </c>
      <c r="B60" s="31" t="str">
        <f t="shared" si="0"/>
        <v/>
      </c>
      <c r="C60" s="8" t="str">
        <f t="shared" si="1"/>
        <v/>
      </c>
      <c r="D60" s="37" t="str">
        <f t="shared" si="2"/>
        <v/>
      </c>
      <c r="E60" s="31" t="str">
        <f t="shared" si="3"/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I60" s="32" t="str">
        <f t="shared" si="7"/>
        <v/>
      </c>
      <c r="J60" s="46" t="str">
        <f t="shared" si="8"/>
        <v/>
      </c>
      <c r="K60" s="32" t="str">
        <f t="shared" si="9"/>
        <v/>
      </c>
      <c r="L60" s="32" t="str">
        <f t="shared" si="10"/>
        <v/>
      </c>
      <c r="M60" s="32" t="str">
        <f t="shared" si="11"/>
        <v/>
      </c>
      <c r="N60" s="32" t="str">
        <f t="shared" si="12"/>
        <v/>
      </c>
      <c r="O60" s="32" t="str">
        <f t="shared" si="13"/>
        <v/>
      </c>
      <c r="Q60" t="str">
        <f>IFERROR(MATCH(56,บันทึกรายเที่ยว!$Z$6:$Z$10005,0),"")</f>
        <v/>
      </c>
      <c r="R60" t="str">
        <f>IF($Q60="","",INDEX(บันทึกรายเที่ยว!$V$6:$V$10005,$Q60))</f>
        <v/>
      </c>
      <c r="S60" t="str">
        <f>IF($Q60="","",INDEX(บันทึกรายเที่ยว!$F$6:$F$10005,$Q60))</f>
        <v/>
      </c>
      <c r="T60" t="str">
        <f>IF($Q60="","",MATCH($S60,บันทึกรายเที่ยว!$F$6:$F$10005,0))</f>
        <v/>
      </c>
      <c r="U60" t="str">
        <f>IF($Q60="","",$AL60*10000000+$T60*1000+56)</f>
        <v/>
      </c>
      <c r="V60" t="str">
        <f>IFERROR(MATCH(SMALL($U$5:$U$404,56),$U$5:$U$404,0),"")</f>
        <v/>
      </c>
      <c r="W60" t="str">
        <f t="shared" si="14"/>
        <v/>
      </c>
      <c r="X60" t="str">
        <f t="shared" si="15"/>
        <v/>
      </c>
      <c r="Y60" t="str">
        <f t="shared" si="16"/>
        <v/>
      </c>
      <c r="Z60">
        <f t="shared" si="26"/>
        <v>0</v>
      </c>
      <c r="AA60">
        <f t="shared" si="17"/>
        <v>0</v>
      </c>
      <c r="AB60">
        <f>IF($V60="",99999+56,$AB59+1+$Z59+$AA59+$AO59)</f>
        <v>100055</v>
      </c>
      <c r="AC60" t="str">
        <f>IFERROR(MATCH(56,$AB$5:$AB$404,1),"")</f>
        <v/>
      </c>
      <c r="AD60" t="str">
        <f>IF(56=$AI$1+1,"Z",IF($AC60="","",IF(INDEX($V$5:$V$404,$AC60)="","",IF(56&gt;INDEX($AB$5:$AB$404,$AC60)+INDEX($Z$5:$Z$404,$AC60)+INDEX($AA$5:$AA$404,$AC60)+INDEX($AO$5:$AO$404,$AC60),"",IF(56=INDEX($AB$5:$AB$404,$AC60)+INDEX($Z$5:$Z$404,$AC60),"D",IF(AND(INDEX($Z$5:$Z$404,$AC60)=1,56=INDEX($AB$5:$AB$404,$AC60)),"H",IF(AND(INDEX($AO$5:$AO$404,$AC60)=1,56=INDEX($AB$5:$AB$404,$AC60)+INDEX($Z$5:$Z$404,$AC60)+INDEX($AA$5:$AA$404,$AC60)+INDEX($AO$5:$AO$404,$AC60)),"B","T")))))))</f>
        <v/>
      </c>
      <c r="AF60" t="str">
        <f t="shared" si="18"/>
        <v/>
      </c>
      <c r="AJ60">
        <f>IF($AD60&lt;&gt;"T",0,ROUND(SUMIF(oil!$B$4:$B$63,$AF60,oil!$AE$4:$AE$63),2))</f>
        <v>0</v>
      </c>
      <c r="AK60" t="str">
        <f>IF($S60="","",IFERROR(INDEX(อัตราค่าขนส่ง!$R$5:$R$54,MATCH($S60,อัตราค่าขนส่ง!$Q$5:$Q$54,0)),INDEX(รายการมาตรฐาน!$G$2:$G$3,1)))</f>
        <v/>
      </c>
      <c r="AL60" t="str">
        <f>IF($S60="","",IFERROR(MATCH($AK60,รายการมาตรฐาน!$G$2:$G$3,0),1))</f>
        <v/>
      </c>
      <c r="AM60" t="str">
        <f t="shared" si="19"/>
        <v/>
      </c>
      <c r="AN60" t="str">
        <f t="shared" si="20"/>
        <v/>
      </c>
      <c r="AO60">
        <f t="shared" si="21"/>
        <v>0</v>
      </c>
      <c r="AP60">
        <f t="shared" si="27"/>
        <v>0</v>
      </c>
      <c r="AQ60" t="str">
        <f t="shared" si="22"/>
        <v/>
      </c>
      <c r="AR60">
        <f>IF($Y60="",0,COUNTIF(บันทึกรายเที่ยว!$V$6:$V$10005,$Y60))</f>
        <v>0</v>
      </c>
      <c r="AS60">
        <f>IF($Y60="",0,ROUND(SUMIF(บันทึกรายเที่ยว!$V$6:$V$10005,$Y60,บันทึกรายเที่ยว!$M$6:$M$10005),2))</f>
        <v>0</v>
      </c>
      <c r="AT60">
        <f>IF($Y60="",0,IFERROR(INDEX(อัตราค่าขนส่ง!$J$5:$J$204,MATCH($Y60,อัตราค่าขนส่ง!$O$5:$O$204,0)),0))</f>
        <v>0</v>
      </c>
      <c r="AU60">
        <f t="shared" si="23"/>
        <v>0</v>
      </c>
      <c r="AV60">
        <f t="shared" si="24"/>
        <v>0</v>
      </c>
      <c r="AW60" t="str">
        <f>IF($Y60="","",IFERROR(INDEX(อัตราค่าขนส่ง!$F$5:$F$204,MATCH($Y60,อัตราค่าขนส่ง!$O$5:$O$204,0)),""))</f>
        <v/>
      </c>
      <c r="AX60" t="str">
        <f>IF($W60="","",INDEX(บันทึกรายเที่ยว!$D$6:$D$10005,$W60))</f>
        <v/>
      </c>
      <c r="AY60" t="str">
        <f>IF($W60="","",INDEX(บันทึกรายเที่ยว!$R$6:$R$10005,$W60))</f>
        <v/>
      </c>
      <c r="AZ60">
        <f t="shared" si="25"/>
        <v>0</v>
      </c>
      <c r="BA60" t="str">
        <f>IF($W60="","",INDEX(บันทึกรายเที่ยว!$E$6:$E$10005,$W60))</f>
        <v/>
      </c>
      <c r="BC60">
        <f>IF($Y60="",0,IFERROR(INDEX(อัตราค่าขนส่ง!$M$5:$M$204,MATCH($Y60,อัตราค่าขนส่ง!$O$5:$O$204,0)),0))</f>
        <v>0</v>
      </c>
      <c r="BD60">
        <f>IF($Y60="",0,IFERROR(INDEX(อัตราค่าขนส่ง!$N$5:$N$204,MATCH($Y60,อัตราค่าขนส่ง!$O$5:$O$204,0)),0))</f>
        <v>0</v>
      </c>
    </row>
    <row r="61" spans="1:56" ht="21" customHeight="1" x14ac:dyDescent="0.95">
      <c r="A61" s="36" t="str">
        <f>IF($AD61="","",IF($AD61="Z","รวมจ่ายทั้งสิ้น",IF($AD61="H",INDEX($X$5:$X$404,$AC61),IF($AD61="T","รวม",IF($AD61="B",IFERROR(INDEX(อัตราค่าขนส่ง!$U$5:$U$14,MATCH(INDEX($AM$5:$AM$404,$AC61),อัตราค่าขนส่ง!$T$5:$T$14,0)),"รวมกลุ่ม "&amp;INDEX($AM$5:$AM$404,$AC61)),INDEX($AY$5:$AY$404,$AC61))))))</f>
        <v/>
      </c>
      <c r="B61" s="31" t="str">
        <f t="shared" si="0"/>
        <v/>
      </c>
      <c r="C61" s="8" t="str">
        <f t="shared" si="1"/>
        <v/>
      </c>
      <c r="D61" s="37" t="str">
        <f t="shared" si="2"/>
        <v/>
      </c>
      <c r="E61" s="31" t="str">
        <f t="shared" si="3"/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I61" s="32" t="str">
        <f t="shared" si="7"/>
        <v/>
      </c>
      <c r="J61" s="46" t="str">
        <f t="shared" si="8"/>
        <v/>
      </c>
      <c r="K61" s="32" t="str">
        <f t="shared" si="9"/>
        <v/>
      </c>
      <c r="L61" s="32" t="str">
        <f t="shared" si="10"/>
        <v/>
      </c>
      <c r="M61" s="32" t="str">
        <f t="shared" si="11"/>
        <v/>
      </c>
      <c r="N61" s="32" t="str">
        <f t="shared" si="12"/>
        <v/>
      </c>
      <c r="O61" s="32" t="str">
        <f t="shared" si="13"/>
        <v/>
      </c>
      <c r="Q61" t="str">
        <f>IFERROR(MATCH(57,บันทึกรายเที่ยว!$Z$6:$Z$10005,0),"")</f>
        <v/>
      </c>
      <c r="R61" t="str">
        <f>IF($Q61="","",INDEX(บันทึกรายเที่ยว!$V$6:$V$10005,$Q61))</f>
        <v/>
      </c>
      <c r="S61" t="str">
        <f>IF($Q61="","",INDEX(บันทึกรายเที่ยว!$F$6:$F$10005,$Q61))</f>
        <v/>
      </c>
      <c r="T61" t="str">
        <f>IF($Q61="","",MATCH($S61,บันทึกรายเที่ยว!$F$6:$F$10005,0))</f>
        <v/>
      </c>
      <c r="U61" t="str">
        <f>IF($Q61="","",$AL61*10000000+$T61*1000+57)</f>
        <v/>
      </c>
      <c r="V61" t="str">
        <f>IFERROR(MATCH(SMALL($U$5:$U$404,57),$U$5:$U$404,0),"")</f>
        <v/>
      </c>
      <c r="W61" t="str">
        <f t="shared" si="14"/>
        <v/>
      </c>
      <c r="X61" t="str">
        <f t="shared" si="15"/>
        <v/>
      </c>
      <c r="Y61" t="str">
        <f t="shared" si="16"/>
        <v/>
      </c>
      <c r="Z61">
        <f t="shared" si="26"/>
        <v>0</v>
      </c>
      <c r="AA61">
        <f t="shared" si="17"/>
        <v>0</v>
      </c>
      <c r="AB61">
        <f>IF($V61="",99999+57,$AB60+1+$Z60+$AA60+$AO60)</f>
        <v>100056</v>
      </c>
      <c r="AC61" t="str">
        <f>IFERROR(MATCH(57,$AB$5:$AB$404,1),"")</f>
        <v/>
      </c>
      <c r="AD61" t="str">
        <f>IF(57=$AI$1+1,"Z",IF($AC61="","",IF(INDEX($V$5:$V$404,$AC61)="","",IF(57&gt;INDEX($AB$5:$AB$404,$AC61)+INDEX($Z$5:$Z$404,$AC61)+INDEX($AA$5:$AA$404,$AC61)+INDEX($AO$5:$AO$404,$AC61),"",IF(57=INDEX($AB$5:$AB$404,$AC61)+INDEX($Z$5:$Z$404,$AC61),"D",IF(AND(INDEX($Z$5:$Z$404,$AC61)=1,57=INDEX($AB$5:$AB$404,$AC61)),"H",IF(AND(INDEX($AO$5:$AO$404,$AC61)=1,57=INDEX($AB$5:$AB$404,$AC61)+INDEX($Z$5:$Z$404,$AC61)+INDEX($AA$5:$AA$404,$AC61)+INDEX($AO$5:$AO$404,$AC61)),"B","T")))))))</f>
        <v/>
      </c>
      <c r="AF61" t="str">
        <f t="shared" si="18"/>
        <v/>
      </c>
      <c r="AJ61">
        <f>IF($AD61&lt;&gt;"T",0,ROUND(SUMIF(oil!$B$4:$B$63,$AF61,oil!$AE$4:$AE$63),2))</f>
        <v>0</v>
      </c>
      <c r="AK61" t="str">
        <f>IF($S61="","",IFERROR(INDEX(อัตราค่าขนส่ง!$R$5:$R$54,MATCH($S61,อัตราค่าขนส่ง!$Q$5:$Q$54,0)),INDEX(รายการมาตรฐาน!$G$2:$G$3,1)))</f>
        <v/>
      </c>
      <c r="AL61" t="str">
        <f>IF($S61="","",IFERROR(MATCH($AK61,รายการมาตรฐาน!$G$2:$G$3,0),1))</f>
        <v/>
      </c>
      <c r="AM61" t="str">
        <f t="shared" si="19"/>
        <v/>
      </c>
      <c r="AN61" t="str">
        <f t="shared" si="20"/>
        <v/>
      </c>
      <c r="AO61">
        <f t="shared" si="21"/>
        <v>0</v>
      </c>
      <c r="AP61">
        <f t="shared" si="27"/>
        <v>0</v>
      </c>
      <c r="AQ61" t="str">
        <f t="shared" si="22"/>
        <v/>
      </c>
      <c r="AR61">
        <f>IF($Y61="",0,COUNTIF(บันทึกรายเที่ยว!$V$6:$V$10005,$Y61))</f>
        <v>0</v>
      </c>
      <c r="AS61">
        <f>IF($Y61="",0,ROUND(SUMIF(บันทึกรายเที่ยว!$V$6:$V$10005,$Y61,บันทึกรายเที่ยว!$M$6:$M$10005),2))</f>
        <v>0</v>
      </c>
      <c r="AT61">
        <f>IF($Y61="",0,IFERROR(INDEX(อัตราค่าขนส่ง!$J$5:$J$204,MATCH($Y61,อัตราค่าขนส่ง!$O$5:$O$204,0)),0))</f>
        <v>0</v>
      </c>
      <c r="AU61">
        <f t="shared" si="23"/>
        <v>0</v>
      </c>
      <c r="AV61">
        <f t="shared" si="24"/>
        <v>0</v>
      </c>
      <c r="AW61" t="str">
        <f>IF($Y61="","",IFERROR(INDEX(อัตราค่าขนส่ง!$F$5:$F$204,MATCH($Y61,อัตราค่าขนส่ง!$O$5:$O$204,0)),""))</f>
        <v/>
      </c>
      <c r="AX61" t="str">
        <f>IF($W61="","",INDEX(บันทึกรายเที่ยว!$D$6:$D$10005,$W61))</f>
        <v/>
      </c>
      <c r="AY61" t="str">
        <f>IF($W61="","",INDEX(บันทึกรายเที่ยว!$R$6:$R$10005,$W61))</f>
        <v/>
      </c>
      <c r="AZ61">
        <f t="shared" si="25"/>
        <v>0</v>
      </c>
      <c r="BA61" t="str">
        <f>IF($W61="","",INDEX(บันทึกรายเที่ยว!$E$6:$E$10005,$W61))</f>
        <v/>
      </c>
      <c r="BC61">
        <f>IF($Y61="",0,IFERROR(INDEX(อัตราค่าขนส่ง!$M$5:$M$204,MATCH($Y61,อัตราค่าขนส่ง!$O$5:$O$204,0)),0))</f>
        <v>0</v>
      </c>
      <c r="BD61">
        <f>IF($Y61="",0,IFERROR(INDEX(อัตราค่าขนส่ง!$N$5:$N$204,MATCH($Y61,อัตราค่าขนส่ง!$O$5:$O$204,0)),0))</f>
        <v>0</v>
      </c>
    </row>
    <row r="62" spans="1:56" ht="21" customHeight="1" x14ac:dyDescent="0.95">
      <c r="A62" s="36" t="str">
        <f>IF($AD62="","",IF($AD62="Z","รวมจ่ายทั้งสิ้น",IF($AD62="H",INDEX($X$5:$X$404,$AC62),IF($AD62="T","รวม",IF($AD62="B",IFERROR(INDEX(อัตราค่าขนส่ง!$U$5:$U$14,MATCH(INDEX($AM$5:$AM$404,$AC62),อัตราค่าขนส่ง!$T$5:$T$14,0)),"รวมกลุ่ม "&amp;INDEX($AM$5:$AM$404,$AC62)),INDEX($AY$5:$AY$404,$AC62))))))</f>
        <v/>
      </c>
      <c r="B62" s="31" t="str">
        <f t="shared" si="0"/>
        <v/>
      </c>
      <c r="C62" s="8" t="str">
        <f t="shared" si="1"/>
        <v/>
      </c>
      <c r="D62" s="37" t="str">
        <f t="shared" si="2"/>
        <v/>
      </c>
      <c r="E62" s="31" t="str">
        <f t="shared" si="3"/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I62" s="32" t="str">
        <f t="shared" si="7"/>
        <v/>
      </c>
      <c r="J62" s="46" t="str">
        <f t="shared" si="8"/>
        <v/>
      </c>
      <c r="K62" s="32" t="str">
        <f t="shared" si="9"/>
        <v/>
      </c>
      <c r="L62" s="32" t="str">
        <f t="shared" si="10"/>
        <v/>
      </c>
      <c r="M62" s="32" t="str">
        <f t="shared" si="11"/>
        <v/>
      </c>
      <c r="N62" s="32" t="str">
        <f t="shared" si="12"/>
        <v/>
      </c>
      <c r="O62" s="32" t="str">
        <f t="shared" si="13"/>
        <v/>
      </c>
      <c r="Q62" t="str">
        <f>IFERROR(MATCH(58,บันทึกรายเที่ยว!$Z$6:$Z$10005,0),"")</f>
        <v/>
      </c>
      <c r="R62" t="str">
        <f>IF($Q62="","",INDEX(บันทึกรายเที่ยว!$V$6:$V$10005,$Q62))</f>
        <v/>
      </c>
      <c r="S62" t="str">
        <f>IF($Q62="","",INDEX(บันทึกรายเที่ยว!$F$6:$F$10005,$Q62))</f>
        <v/>
      </c>
      <c r="T62" t="str">
        <f>IF($Q62="","",MATCH($S62,บันทึกรายเที่ยว!$F$6:$F$10005,0))</f>
        <v/>
      </c>
      <c r="U62" t="str">
        <f>IF($Q62="","",$AL62*10000000+$T62*1000+58)</f>
        <v/>
      </c>
      <c r="V62" t="str">
        <f>IFERROR(MATCH(SMALL($U$5:$U$404,58),$U$5:$U$404,0),"")</f>
        <v/>
      </c>
      <c r="W62" t="str">
        <f t="shared" si="14"/>
        <v/>
      </c>
      <c r="X62" t="str">
        <f t="shared" si="15"/>
        <v/>
      </c>
      <c r="Y62" t="str">
        <f t="shared" si="16"/>
        <v/>
      </c>
      <c r="Z62">
        <f t="shared" si="26"/>
        <v>0</v>
      </c>
      <c r="AA62">
        <f t="shared" si="17"/>
        <v>0</v>
      </c>
      <c r="AB62">
        <f>IF($V62="",99999+58,$AB61+1+$Z61+$AA61+$AO61)</f>
        <v>100057</v>
      </c>
      <c r="AC62" t="str">
        <f>IFERROR(MATCH(58,$AB$5:$AB$404,1),"")</f>
        <v/>
      </c>
      <c r="AD62" t="str">
        <f>IF(58=$AI$1+1,"Z",IF($AC62="","",IF(INDEX($V$5:$V$404,$AC62)="","",IF(58&gt;INDEX($AB$5:$AB$404,$AC62)+INDEX($Z$5:$Z$404,$AC62)+INDEX($AA$5:$AA$404,$AC62)+INDEX($AO$5:$AO$404,$AC62),"",IF(58=INDEX($AB$5:$AB$404,$AC62)+INDEX($Z$5:$Z$404,$AC62),"D",IF(AND(INDEX($Z$5:$Z$404,$AC62)=1,58=INDEX($AB$5:$AB$404,$AC62)),"H",IF(AND(INDEX($AO$5:$AO$404,$AC62)=1,58=INDEX($AB$5:$AB$404,$AC62)+INDEX($Z$5:$Z$404,$AC62)+INDEX($AA$5:$AA$404,$AC62)+INDEX($AO$5:$AO$404,$AC62)),"B","T")))))))</f>
        <v/>
      </c>
      <c r="AF62" t="str">
        <f t="shared" si="18"/>
        <v/>
      </c>
      <c r="AJ62">
        <f>IF($AD62&lt;&gt;"T",0,ROUND(SUMIF(oil!$B$4:$B$63,$AF62,oil!$AE$4:$AE$63),2))</f>
        <v>0</v>
      </c>
      <c r="AK62" t="str">
        <f>IF($S62="","",IFERROR(INDEX(อัตราค่าขนส่ง!$R$5:$R$54,MATCH($S62,อัตราค่าขนส่ง!$Q$5:$Q$54,0)),INDEX(รายการมาตรฐาน!$G$2:$G$3,1)))</f>
        <v/>
      </c>
      <c r="AL62" t="str">
        <f>IF($S62="","",IFERROR(MATCH($AK62,รายการมาตรฐาน!$G$2:$G$3,0),1))</f>
        <v/>
      </c>
      <c r="AM62" t="str">
        <f t="shared" si="19"/>
        <v/>
      </c>
      <c r="AN62" t="str">
        <f t="shared" si="20"/>
        <v/>
      </c>
      <c r="AO62">
        <f t="shared" si="21"/>
        <v>0</v>
      </c>
      <c r="AP62">
        <f t="shared" si="27"/>
        <v>0</v>
      </c>
      <c r="AQ62" t="str">
        <f t="shared" si="22"/>
        <v/>
      </c>
      <c r="AR62">
        <f>IF($Y62="",0,COUNTIF(บันทึกรายเที่ยว!$V$6:$V$10005,$Y62))</f>
        <v>0</v>
      </c>
      <c r="AS62">
        <f>IF($Y62="",0,ROUND(SUMIF(บันทึกรายเที่ยว!$V$6:$V$10005,$Y62,บันทึกรายเที่ยว!$M$6:$M$10005),2))</f>
        <v>0</v>
      </c>
      <c r="AT62">
        <f>IF($Y62="",0,IFERROR(INDEX(อัตราค่าขนส่ง!$J$5:$J$204,MATCH($Y62,อัตราค่าขนส่ง!$O$5:$O$204,0)),0))</f>
        <v>0</v>
      </c>
      <c r="AU62">
        <f t="shared" si="23"/>
        <v>0</v>
      </c>
      <c r="AV62">
        <f t="shared" si="24"/>
        <v>0</v>
      </c>
      <c r="AW62" t="str">
        <f>IF($Y62="","",IFERROR(INDEX(อัตราค่าขนส่ง!$F$5:$F$204,MATCH($Y62,อัตราค่าขนส่ง!$O$5:$O$204,0)),""))</f>
        <v/>
      </c>
      <c r="AX62" t="str">
        <f>IF($W62="","",INDEX(บันทึกรายเที่ยว!$D$6:$D$10005,$W62))</f>
        <v/>
      </c>
      <c r="AY62" t="str">
        <f>IF($W62="","",INDEX(บันทึกรายเที่ยว!$R$6:$R$10005,$W62))</f>
        <v/>
      </c>
      <c r="AZ62">
        <f t="shared" si="25"/>
        <v>0</v>
      </c>
      <c r="BA62" t="str">
        <f>IF($W62="","",INDEX(บันทึกรายเที่ยว!$E$6:$E$10005,$W62))</f>
        <v/>
      </c>
      <c r="BC62">
        <f>IF($Y62="",0,IFERROR(INDEX(อัตราค่าขนส่ง!$M$5:$M$204,MATCH($Y62,อัตราค่าขนส่ง!$O$5:$O$204,0)),0))</f>
        <v>0</v>
      </c>
      <c r="BD62">
        <f>IF($Y62="",0,IFERROR(INDEX(อัตราค่าขนส่ง!$N$5:$N$204,MATCH($Y62,อัตราค่าขนส่ง!$O$5:$O$204,0)),0))</f>
        <v>0</v>
      </c>
    </row>
    <row r="63" spans="1:56" ht="21" customHeight="1" x14ac:dyDescent="0.95">
      <c r="A63" s="36" t="str">
        <f>IF($AD63="","",IF($AD63="Z","รวมจ่ายทั้งสิ้น",IF($AD63="H",INDEX($X$5:$X$404,$AC63),IF($AD63="T","รวม",IF($AD63="B",IFERROR(INDEX(อัตราค่าขนส่ง!$U$5:$U$14,MATCH(INDEX($AM$5:$AM$404,$AC63),อัตราค่าขนส่ง!$T$5:$T$14,0)),"รวมกลุ่ม "&amp;INDEX($AM$5:$AM$404,$AC63)),INDEX($AY$5:$AY$404,$AC63))))))</f>
        <v/>
      </c>
      <c r="B63" s="31" t="str">
        <f t="shared" si="0"/>
        <v/>
      </c>
      <c r="C63" s="8" t="str">
        <f t="shared" si="1"/>
        <v/>
      </c>
      <c r="D63" s="37" t="str">
        <f t="shared" si="2"/>
        <v/>
      </c>
      <c r="E63" s="31" t="str">
        <f t="shared" si="3"/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I63" s="32" t="str">
        <f t="shared" si="7"/>
        <v/>
      </c>
      <c r="J63" s="46" t="str">
        <f t="shared" si="8"/>
        <v/>
      </c>
      <c r="K63" s="32" t="str">
        <f t="shared" si="9"/>
        <v/>
      </c>
      <c r="L63" s="32" t="str">
        <f t="shared" si="10"/>
        <v/>
      </c>
      <c r="M63" s="32" t="str">
        <f t="shared" si="11"/>
        <v/>
      </c>
      <c r="N63" s="32" t="str">
        <f t="shared" si="12"/>
        <v/>
      </c>
      <c r="O63" s="32" t="str">
        <f t="shared" si="13"/>
        <v/>
      </c>
      <c r="Q63" t="str">
        <f>IFERROR(MATCH(59,บันทึกรายเที่ยว!$Z$6:$Z$10005,0),"")</f>
        <v/>
      </c>
      <c r="R63" t="str">
        <f>IF($Q63="","",INDEX(บันทึกรายเที่ยว!$V$6:$V$10005,$Q63))</f>
        <v/>
      </c>
      <c r="S63" t="str">
        <f>IF($Q63="","",INDEX(บันทึกรายเที่ยว!$F$6:$F$10005,$Q63))</f>
        <v/>
      </c>
      <c r="T63" t="str">
        <f>IF($Q63="","",MATCH($S63,บันทึกรายเที่ยว!$F$6:$F$10005,0))</f>
        <v/>
      </c>
      <c r="U63" t="str">
        <f>IF($Q63="","",$AL63*10000000+$T63*1000+59)</f>
        <v/>
      </c>
      <c r="V63" t="str">
        <f>IFERROR(MATCH(SMALL($U$5:$U$404,59),$U$5:$U$404,0),"")</f>
        <v/>
      </c>
      <c r="W63" t="str">
        <f t="shared" si="14"/>
        <v/>
      </c>
      <c r="X63" t="str">
        <f t="shared" si="15"/>
        <v/>
      </c>
      <c r="Y63" t="str">
        <f t="shared" si="16"/>
        <v/>
      </c>
      <c r="Z63">
        <f t="shared" si="26"/>
        <v>0</v>
      </c>
      <c r="AA63">
        <f t="shared" si="17"/>
        <v>0</v>
      </c>
      <c r="AB63">
        <f>IF($V63="",99999+59,$AB62+1+$Z62+$AA62+$AO62)</f>
        <v>100058</v>
      </c>
      <c r="AC63" t="str">
        <f>IFERROR(MATCH(59,$AB$5:$AB$404,1),"")</f>
        <v/>
      </c>
      <c r="AD63" t="str">
        <f>IF(59=$AI$1+1,"Z",IF($AC63="","",IF(INDEX($V$5:$V$404,$AC63)="","",IF(59&gt;INDEX($AB$5:$AB$404,$AC63)+INDEX($Z$5:$Z$404,$AC63)+INDEX($AA$5:$AA$404,$AC63)+INDEX($AO$5:$AO$404,$AC63),"",IF(59=INDEX($AB$5:$AB$404,$AC63)+INDEX($Z$5:$Z$404,$AC63),"D",IF(AND(INDEX($Z$5:$Z$404,$AC63)=1,59=INDEX($AB$5:$AB$404,$AC63)),"H",IF(AND(INDEX($AO$5:$AO$404,$AC63)=1,59=INDEX($AB$5:$AB$404,$AC63)+INDEX($Z$5:$Z$404,$AC63)+INDEX($AA$5:$AA$404,$AC63)+INDEX($AO$5:$AO$404,$AC63)),"B","T")))))))</f>
        <v/>
      </c>
      <c r="AF63" t="str">
        <f t="shared" si="18"/>
        <v/>
      </c>
      <c r="AJ63">
        <f>IF($AD63&lt;&gt;"T",0,ROUND(SUMIF(oil!$B$4:$B$63,$AF63,oil!$AE$4:$AE$63),2))</f>
        <v>0</v>
      </c>
      <c r="AK63" t="str">
        <f>IF($S63="","",IFERROR(INDEX(อัตราค่าขนส่ง!$R$5:$R$54,MATCH($S63,อัตราค่าขนส่ง!$Q$5:$Q$54,0)),INDEX(รายการมาตรฐาน!$G$2:$G$3,1)))</f>
        <v/>
      </c>
      <c r="AL63" t="str">
        <f>IF($S63="","",IFERROR(MATCH($AK63,รายการมาตรฐาน!$G$2:$G$3,0),1))</f>
        <v/>
      </c>
      <c r="AM63" t="str">
        <f t="shared" si="19"/>
        <v/>
      </c>
      <c r="AN63" t="str">
        <f t="shared" si="20"/>
        <v/>
      </c>
      <c r="AO63">
        <f t="shared" si="21"/>
        <v>0</v>
      </c>
      <c r="AP63">
        <f t="shared" si="27"/>
        <v>0</v>
      </c>
      <c r="AQ63" t="str">
        <f t="shared" si="22"/>
        <v/>
      </c>
      <c r="AR63">
        <f>IF($Y63="",0,COUNTIF(บันทึกรายเที่ยว!$V$6:$V$10005,$Y63))</f>
        <v>0</v>
      </c>
      <c r="AS63">
        <f>IF($Y63="",0,ROUND(SUMIF(บันทึกรายเที่ยว!$V$6:$V$10005,$Y63,บันทึกรายเที่ยว!$M$6:$M$10005),2))</f>
        <v>0</v>
      </c>
      <c r="AT63">
        <f>IF($Y63="",0,IFERROR(INDEX(อัตราค่าขนส่ง!$J$5:$J$204,MATCH($Y63,อัตราค่าขนส่ง!$O$5:$O$204,0)),0))</f>
        <v>0</v>
      </c>
      <c r="AU63">
        <f t="shared" si="23"/>
        <v>0</v>
      </c>
      <c r="AV63">
        <f t="shared" si="24"/>
        <v>0</v>
      </c>
      <c r="AW63" t="str">
        <f>IF($Y63="","",IFERROR(INDEX(อัตราค่าขนส่ง!$F$5:$F$204,MATCH($Y63,อัตราค่าขนส่ง!$O$5:$O$204,0)),""))</f>
        <v/>
      </c>
      <c r="AX63" t="str">
        <f>IF($W63="","",INDEX(บันทึกรายเที่ยว!$D$6:$D$10005,$W63))</f>
        <v/>
      </c>
      <c r="AY63" t="str">
        <f>IF($W63="","",INDEX(บันทึกรายเที่ยว!$R$6:$R$10005,$W63))</f>
        <v/>
      </c>
      <c r="AZ63">
        <f t="shared" si="25"/>
        <v>0</v>
      </c>
      <c r="BA63" t="str">
        <f>IF($W63="","",INDEX(บันทึกรายเที่ยว!$E$6:$E$10005,$W63))</f>
        <v/>
      </c>
      <c r="BC63">
        <f>IF($Y63="",0,IFERROR(INDEX(อัตราค่าขนส่ง!$M$5:$M$204,MATCH($Y63,อัตราค่าขนส่ง!$O$5:$O$204,0)),0))</f>
        <v>0</v>
      </c>
      <c r="BD63">
        <f>IF($Y63="",0,IFERROR(INDEX(อัตราค่าขนส่ง!$N$5:$N$204,MATCH($Y63,อัตราค่าขนส่ง!$O$5:$O$204,0)),0))</f>
        <v>0</v>
      </c>
    </row>
    <row r="64" spans="1:56" ht="21" customHeight="1" x14ac:dyDescent="0.95">
      <c r="A64" s="36" t="str">
        <f>IF($AD64="","",IF($AD64="Z","รวมจ่ายทั้งสิ้น",IF($AD64="H",INDEX($X$5:$X$404,$AC64),IF($AD64="T","รวม",IF($AD64="B",IFERROR(INDEX(อัตราค่าขนส่ง!$U$5:$U$14,MATCH(INDEX($AM$5:$AM$404,$AC64),อัตราค่าขนส่ง!$T$5:$T$14,0)),"รวมกลุ่ม "&amp;INDEX($AM$5:$AM$404,$AC64)),INDEX($AY$5:$AY$404,$AC64))))))</f>
        <v/>
      </c>
      <c r="B64" s="31" t="str">
        <f t="shared" si="0"/>
        <v/>
      </c>
      <c r="C64" s="8" t="str">
        <f t="shared" si="1"/>
        <v/>
      </c>
      <c r="D64" s="37" t="str">
        <f t="shared" si="2"/>
        <v/>
      </c>
      <c r="E64" s="31" t="str">
        <f t="shared" si="3"/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I64" s="32" t="str">
        <f t="shared" si="7"/>
        <v/>
      </c>
      <c r="J64" s="46" t="str">
        <f t="shared" si="8"/>
        <v/>
      </c>
      <c r="K64" s="32" t="str">
        <f t="shared" si="9"/>
        <v/>
      </c>
      <c r="L64" s="32" t="str">
        <f t="shared" si="10"/>
        <v/>
      </c>
      <c r="M64" s="32" t="str">
        <f t="shared" si="11"/>
        <v/>
      </c>
      <c r="N64" s="32" t="str">
        <f t="shared" si="12"/>
        <v/>
      </c>
      <c r="O64" s="32" t="str">
        <f t="shared" si="13"/>
        <v/>
      </c>
      <c r="Q64" t="str">
        <f>IFERROR(MATCH(60,บันทึกรายเที่ยว!$Z$6:$Z$10005,0),"")</f>
        <v/>
      </c>
      <c r="R64" t="str">
        <f>IF($Q64="","",INDEX(บันทึกรายเที่ยว!$V$6:$V$10005,$Q64))</f>
        <v/>
      </c>
      <c r="S64" t="str">
        <f>IF($Q64="","",INDEX(บันทึกรายเที่ยว!$F$6:$F$10005,$Q64))</f>
        <v/>
      </c>
      <c r="T64" t="str">
        <f>IF($Q64="","",MATCH($S64,บันทึกรายเที่ยว!$F$6:$F$10005,0))</f>
        <v/>
      </c>
      <c r="U64" t="str">
        <f>IF($Q64="","",$AL64*10000000+$T64*1000+60)</f>
        <v/>
      </c>
      <c r="V64" t="str">
        <f>IFERROR(MATCH(SMALL($U$5:$U$404,60),$U$5:$U$404,0),"")</f>
        <v/>
      </c>
      <c r="W64" t="str">
        <f t="shared" si="14"/>
        <v/>
      </c>
      <c r="X64" t="str">
        <f t="shared" si="15"/>
        <v/>
      </c>
      <c r="Y64" t="str">
        <f t="shared" si="16"/>
        <v/>
      </c>
      <c r="Z64">
        <f t="shared" si="26"/>
        <v>0</v>
      </c>
      <c r="AA64">
        <f t="shared" si="17"/>
        <v>0</v>
      </c>
      <c r="AB64">
        <f>IF($V64="",99999+60,$AB63+1+$Z63+$AA63+$AO63)</f>
        <v>100059</v>
      </c>
      <c r="AC64" t="str">
        <f>IFERROR(MATCH(60,$AB$5:$AB$404,1),"")</f>
        <v/>
      </c>
      <c r="AD64" t="str">
        <f>IF(60=$AI$1+1,"Z",IF($AC64="","",IF(INDEX($V$5:$V$404,$AC64)="","",IF(60&gt;INDEX($AB$5:$AB$404,$AC64)+INDEX($Z$5:$Z$404,$AC64)+INDEX($AA$5:$AA$404,$AC64)+INDEX($AO$5:$AO$404,$AC64),"",IF(60=INDEX($AB$5:$AB$404,$AC64)+INDEX($Z$5:$Z$404,$AC64),"D",IF(AND(INDEX($Z$5:$Z$404,$AC64)=1,60=INDEX($AB$5:$AB$404,$AC64)),"H",IF(AND(INDEX($AO$5:$AO$404,$AC64)=1,60=INDEX($AB$5:$AB$404,$AC64)+INDEX($Z$5:$Z$404,$AC64)+INDEX($AA$5:$AA$404,$AC64)+INDEX($AO$5:$AO$404,$AC64)),"B","T")))))))</f>
        <v/>
      </c>
      <c r="AF64" t="str">
        <f t="shared" si="18"/>
        <v/>
      </c>
      <c r="AJ64">
        <f>IF($AD64&lt;&gt;"T",0,ROUND(SUMIF(oil!$B$4:$B$63,$AF64,oil!$AE$4:$AE$63),2))</f>
        <v>0</v>
      </c>
      <c r="AK64" t="str">
        <f>IF($S64="","",IFERROR(INDEX(อัตราค่าขนส่ง!$R$5:$R$54,MATCH($S64,อัตราค่าขนส่ง!$Q$5:$Q$54,0)),INDEX(รายการมาตรฐาน!$G$2:$G$3,1)))</f>
        <v/>
      </c>
      <c r="AL64" t="str">
        <f>IF($S64="","",IFERROR(MATCH($AK64,รายการมาตรฐาน!$G$2:$G$3,0),1))</f>
        <v/>
      </c>
      <c r="AM64" t="str">
        <f t="shared" si="19"/>
        <v/>
      </c>
      <c r="AN64" t="str">
        <f t="shared" si="20"/>
        <v/>
      </c>
      <c r="AO64">
        <f t="shared" si="21"/>
        <v>0</v>
      </c>
      <c r="AP64">
        <f t="shared" si="27"/>
        <v>0</v>
      </c>
      <c r="AQ64" t="str">
        <f t="shared" si="22"/>
        <v/>
      </c>
      <c r="AR64">
        <f>IF($Y64="",0,COUNTIF(บันทึกรายเที่ยว!$V$6:$V$10005,$Y64))</f>
        <v>0</v>
      </c>
      <c r="AS64">
        <f>IF($Y64="",0,ROUND(SUMIF(บันทึกรายเที่ยว!$V$6:$V$10005,$Y64,บันทึกรายเที่ยว!$M$6:$M$10005),2))</f>
        <v>0</v>
      </c>
      <c r="AT64">
        <f>IF($Y64="",0,IFERROR(INDEX(อัตราค่าขนส่ง!$J$5:$J$204,MATCH($Y64,อัตราค่าขนส่ง!$O$5:$O$204,0)),0))</f>
        <v>0</v>
      </c>
      <c r="AU64">
        <f t="shared" si="23"/>
        <v>0</v>
      </c>
      <c r="AV64">
        <f t="shared" si="24"/>
        <v>0</v>
      </c>
      <c r="AW64" t="str">
        <f>IF($Y64="","",IFERROR(INDEX(อัตราค่าขนส่ง!$F$5:$F$204,MATCH($Y64,อัตราค่าขนส่ง!$O$5:$O$204,0)),""))</f>
        <v/>
      </c>
      <c r="AX64" t="str">
        <f>IF($W64="","",INDEX(บันทึกรายเที่ยว!$D$6:$D$10005,$W64))</f>
        <v/>
      </c>
      <c r="AY64" t="str">
        <f>IF($W64="","",INDEX(บันทึกรายเที่ยว!$R$6:$R$10005,$W64))</f>
        <v/>
      </c>
      <c r="AZ64">
        <f t="shared" si="25"/>
        <v>0</v>
      </c>
      <c r="BA64" t="str">
        <f>IF($W64="","",INDEX(บันทึกรายเที่ยว!$E$6:$E$10005,$W64))</f>
        <v/>
      </c>
      <c r="BC64">
        <f>IF($Y64="",0,IFERROR(INDEX(อัตราค่าขนส่ง!$M$5:$M$204,MATCH($Y64,อัตราค่าขนส่ง!$O$5:$O$204,0)),0))</f>
        <v>0</v>
      </c>
      <c r="BD64">
        <f>IF($Y64="",0,IFERROR(INDEX(อัตราค่าขนส่ง!$N$5:$N$204,MATCH($Y64,อัตราค่าขนส่ง!$O$5:$O$204,0)),0))</f>
        <v>0</v>
      </c>
    </row>
    <row r="65" spans="1:56" ht="21" customHeight="1" x14ac:dyDescent="0.95">
      <c r="A65" s="36" t="str">
        <f>IF($AD65="","",IF($AD65="Z","รวมจ่ายทั้งสิ้น",IF($AD65="H",INDEX($X$5:$X$404,$AC65),IF($AD65="T","รวม",IF($AD65="B",IFERROR(INDEX(อัตราค่าขนส่ง!$U$5:$U$14,MATCH(INDEX($AM$5:$AM$404,$AC65),อัตราค่าขนส่ง!$T$5:$T$14,0)),"รวมกลุ่ม "&amp;INDEX($AM$5:$AM$404,$AC65)),INDEX($AY$5:$AY$404,$AC65))))))</f>
        <v/>
      </c>
      <c r="B65" s="31" t="str">
        <f t="shared" si="0"/>
        <v/>
      </c>
      <c r="C65" s="8" t="str">
        <f t="shared" si="1"/>
        <v/>
      </c>
      <c r="D65" s="37" t="str">
        <f t="shared" si="2"/>
        <v/>
      </c>
      <c r="E65" s="31" t="str">
        <f t="shared" si="3"/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I65" s="32" t="str">
        <f t="shared" si="7"/>
        <v/>
      </c>
      <c r="J65" s="46" t="str">
        <f t="shared" si="8"/>
        <v/>
      </c>
      <c r="K65" s="32" t="str">
        <f t="shared" si="9"/>
        <v/>
      </c>
      <c r="L65" s="32" t="str">
        <f t="shared" si="10"/>
        <v/>
      </c>
      <c r="M65" s="32" t="str">
        <f t="shared" si="11"/>
        <v/>
      </c>
      <c r="N65" s="32" t="str">
        <f t="shared" si="12"/>
        <v/>
      </c>
      <c r="O65" s="32" t="str">
        <f t="shared" si="13"/>
        <v/>
      </c>
      <c r="Q65" t="str">
        <f>IFERROR(MATCH(61,บันทึกรายเที่ยว!$Z$6:$Z$10005,0),"")</f>
        <v/>
      </c>
      <c r="R65" t="str">
        <f>IF($Q65="","",INDEX(บันทึกรายเที่ยว!$V$6:$V$10005,$Q65))</f>
        <v/>
      </c>
      <c r="S65" t="str">
        <f>IF($Q65="","",INDEX(บันทึกรายเที่ยว!$F$6:$F$10005,$Q65))</f>
        <v/>
      </c>
      <c r="T65" t="str">
        <f>IF($Q65="","",MATCH($S65,บันทึกรายเที่ยว!$F$6:$F$10005,0))</f>
        <v/>
      </c>
      <c r="U65" t="str">
        <f>IF($Q65="","",$AL65*10000000+$T65*1000+61)</f>
        <v/>
      </c>
      <c r="V65" t="str">
        <f>IFERROR(MATCH(SMALL($U$5:$U$404,61),$U$5:$U$404,0),"")</f>
        <v/>
      </c>
      <c r="W65" t="str">
        <f t="shared" si="14"/>
        <v/>
      </c>
      <c r="X65" t="str">
        <f t="shared" si="15"/>
        <v/>
      </c>
      <c r="Y65" t="str">
        <f t="shared" si="16"/>
        <v/>
      </c>
      <c r="Z65">
        <f t="shared" si="26"/>
        <v>0</v>
      </c>
      <c r="AA65">
        <f t="shared" si="17"/>
        <v>0</v>
      </c>
      <c r="AB65">
        <f>IF($V65="",99999+61,$AB64+1+$Z64+$AA64+$AO64)</f>
        <v>100060</v>
      </c>
      <c r="AC65" t="str">
        <f>IFERROR(MATCH(61,$AB$5:$AB$404,1),"")</f>
        <v/>
      </c>
      <c r="AD65" t="str">
        <f>IF(61=$AI$1+1,"Z",IF($AC65="","",IF(INDEX($V$5:$V$404,$AC65)="","",IF(61&gt;INDEX($AB$5:$AB$404,$AC65)+INDEX($Z$5:$Z$404,$AC65)+INDEX($AA$5:$AA$404,$AC65)+INDEX($AO$5:$AO$404,$AC65),"",IF(61=INDEX($AB$5:$AB$404,$AC65)+INDEX($Z$5:$Z$404,$AC65),"D",IF(AND(INDEX($Z$5:$Z$404,$AC65)=1,61=INDEX($AB$5:$AB$404,$AC65)),"H",IF(AND(INDEX($AO$5:$AO$404,$AC65)=1,61=INDEX($AB$5:$AB$404,$AC65)+INDEX($Z$5:$Z$404,$AC65)+INDEX($AA$5:$AA$404,$AC65)+INDEX($AO$5:$AO$404,$AC65)),"B","T")))))))</f>
        <v/>
      </c>
      <c r="AF65" t="str">
        <f t="shared" si="18"/>
        <v/>
      </c>
      <c r="AJ65">
        <f>IF($AD65&lt;&gt;"T",0,ROUND(SUMIF(oil!$B$4:$B$63,$AF65,oil!$AE$4:$AE$63),2))</f>
        <v>0</v>
      </c>
      <c r="AK65" t="str">
        <f>IF($S65="","",IFERROR(INDEX(อัตราค่าขนส่ง!$R$5:$R$54,MATCH($S65,อัตราค่าขนส่ง!$Q$5:$Q$54,0)),INDEX(รายการมาตรฐาน!$G$2:$G$3,1)))</f>
        <v/>
      </c>
      <c r="AL65" t="str">
        <f>IF($S65="","",IFERROR(MATCH($AK65,รายการมาตรฐาน!$G$2:$G$3,0),1))</f>
        <v/>
      </c>
      <c r="AM65" t="str">
        <f t="shared" si="19"/>
        <v/>
      </c>
      <c r="AN65" t="str">
        <f t="shared" si="20"/>
        <v/>
      </c>
      <c r="AO65">
        <f t="shared" si="21"/>
        <v>0</v>
      </c>
      <c r="AP65">
        <f t="shared" si="27"/>
        <v>0</v>
      </c>
      <c r="AQ65" t="str">
        <f t="shared" si="22"/>
        <v/>
      </c>
      <c r="AR65">
        <f>IF($Y65="",0,COUNTIF(บันทึกรายเที่ยว!$V$6:$V$10005,$Y65))</f>
        <v>0</v>
      </c>
      <c r="AS65">
        <f>IF($Y65="",0,ROUND(SUMIF(บันทึกรายเที่ยว!$V$6:$V$10005,$Y65,บันทึกรายเที่ยว!$M$6:$M$10005),2))</f>
        <v>0</v>
      </c>
      <c r="AT65">
        <f>IF($Y65="",0,IFERROR(INDEX(อัตราค่าขนส่ง!$J$5:$J$204,MATCH($Y65,อัตราค่าขนส่ง!$O$5:$O$204,0)),0))</f>
        <v>0</v>
      </c>
      <c r="AU65">
        <f t="shared" si="23"/>
        <v>0</v>
      </c>
      <c r="AV65">
        <f t="shared" si="24"/>
        <v>0</v>
      </c>
      <c r="AW65" t="str">
        <f>IF($Y65="","",IFERROR(INDEX(อัตราค่าขนส่ง!$F$5:$F$204,MATCH($Y65,อัตราค่าขนส่ง!$O$5:$O$204,0)),""))</f>
        <v/>
      </c>
      <c r="AX65" t="str">
        <f>IF($W65="","",INDEX(บันทึกรายเที่ยว!$D$6:$D$10005,$W65))</f>
        <v/>
      </c>
      <c r="AY65" t="str">
        <f>IF($W65="","",INDEX(บันทึกรายเที่ยว!$R$6:$R$10005,$W65))</f>
        <v/>
      </c>
      <c r="AZ65">
        <f t="shared" si="25"/>
        <v>0</v>
      </c>
      <c r="BA65" t="str">
        <f>IF($W65="","",INDEX(บันทึกรายเที่ยว!$E$6:$E$10005,$W65))</f>
        <v/>
      </c>
      <c r="BC65">
        <f>IF($Y65="",0,IFERROR(INDEX(อัตราค่าขนส่ง!$M$5:$M$204,MATCH($Y65,อัตราค่าขนส่ง!$O$5:$O$204,0)),0))</f>
        <v>0</v>
      </c>
      <c r="BD65">
        <f>IF($Y65="",0,IFERROR(INDEX(อัตราค่าขนส่ง!$N$5:$N$204,MATCH($Y65,อัตราค่าขนส่ง!$O$5:$O$204,0)),0))</f>
        <v>0</v>
      </c>
    </row>
    <row r="66" spans="1:56" ht="21" customHeight="1" x14ac:dyDescent="0.95">
      <c r="A66" s="36" t="str">
        <f>IF($AD66="","",IF($AD66="Z","รวมจ่ายทั้งสิ้น",IF($AD66="H",INDEX($X$5:$X$404,$AC66),IF($AD66="T","รวม",IF($AD66="B",IFERROR(INDEX(อัตราค่าขนส่ง!$U$5:$U$14,MATCH(INDEX($AM$5:$AM$404,$AC66),อัตราค่าขนส่ง!$T$5:$T$14,0)),"รวมกลุ่ม "&amp;INDEX($AM$5:$AM$404,$AC66)),INDEX($AY$5:$AY$404,$AC66))))))</f>
        <v/>
      </c>
      <c r="B66" s="31" t="str">
        <f t="shared" si="0"/>
        <v/>
      </c>
      <c r="C66" s="8" t="str">
        <f t="shared" si="1"/>
        <v/>
      </c>
      <c r="D66" s="37" t="str">
        <f t="shared" si="2"/>
        <v/>
      </c>
      <c r="E66" s="31" t="str">
        <f t="shared" si="3"/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I66" s="32" t="str">
        <f t="shared" si="7"/>
        <v/>
      </c>
      <c r="J66" s="46" t="str">
        <f t="shared" si="8"/>
        <v/>
      </c>
      <c r="K66" s="32" t="str">
        <f t="shared" si="9"/>
        <v/>
      </c>
      <c r="L66" s="32" t="str">
        <f t="shared" si="10"/>
        <v/>
      </c>
      <c r="M66" s="32" t="str">
        <f t="shared" si="11"/>
        <v/>
      </c>
      <c r="N66" s="32" t="str">
        <f t="shared" si="12"/>
        <v/>
      </c>
      <c r="O66" s="32" t="str">
        <f t="shared" si="13"/>
        <v/>
      </c>
      <c r="Q66" t="str">
        <f>IFERROR(MATCH(62,บันทึกรายเที่ยว!$Z$6:$Z$10005,0),"")</f>
        <v/>
      </c>
      <c r="R66" t="str">
        <f>IF($Q66="","",INDEX(บันทึกรายเที่ยว!$V$6:$V$10005,$Q66))</f>
        <v/>
      </c>
      <c r="S66" t="str">
        <f>IF($Q66="","",INDEX(บันทึกรายเที่ยว!$F$6:$F$10005,$Q66))</f>
        <v/>
      </c>
      <c r="T66" t="str">
        <f>IF($Q66="","",MATCH($S66,บันทึกรายเที่ยว!$F$6:$F$10005,0))</f>
        <v/>
      </c>
      <c r="U66" t="str">
        <f>IF($Q66="","",$AL66*10000000+$T66*1000+62)</f>
        <v/>
      </c>
      <c r="V66" t="str">
        <f>IFERROR(MATCH(SMALL($U$5:$U$404,62),$U$5:$U$404,0),"")</f>
        <v/>
      </c>
      <c r="W66" t="str">
        <f t="shared" si="14"/>
        <v/>
      </c>
      <c r="X66" t="str">
        <f t="shared" si="15"/>
        <v/>
      </c>
      <c r="Y66" t="str">
        <f t="shared" si="16"/>
        <v/>
      </c>
      <c r="Z66">
        <f t="shared" si="26"/>
        <v>0</v>
      </c>
      <c r="AA66">
        <f t="shared" si="17"/>
        <v>0</v>
      </c>
      <c r="AB66">
        <f>IF($V66="",99999+62,$AB65+1+$Z65+$AA65+$AO65)</f>
        <v>100061</v>
      </c>
      <c r="AC66" t="str">
        <f>IFERROR(MATCH(62,$AB$5:$AB$404,1),"")</f>
        <v/>
      </c>
      <c r="AD66" t="str">
        <f>IF(62=$AI$1+1,"Z",IF($AC66="","",IF(INDEX($V$5:$V$404,$AC66)="","",IF(62&gt;INDEX($AB$5:$AB$404,$AC66)+INDEX($Z$5:$Z$404,$AC66)+INDEX($AA$5:$AA$404,$AC66)+INDEX($AO$5:$AO$404,$AC66),"",IF(62=INDEX($AB$5:$AB$404,$AC66)+INDEX($Z$5:$Z$404,$AC66),"D",IF(AND(INDEX($Z$5:$Z$404,$AC66)=1,62=INDEX($AB$5:$AB$404,$AC66)),"H",IF(AND(INDEX($AO$5:$AO$404,$AC66)=1,62=INDEX($AB$5:$AB$404,$AC66)+INDEX($Z$5:$Z$404,$AC66)+INDEX($AA$5:$AA$404,$AC66)+INDEX($AO$5:$AO$404,$AC66)),"B","T")))))))</f>
        <v/>
      </c>
      <c r="AF66" t="str">
        <f t="shared" si="18"/>
        <v/>
      </c>
      <c r="AJ66">
        <f>IF($AD66&lt;&gt;"T",0,ROUND(SUMIF(oil!$B$4:$B$63,$AF66,oil!$AE$4:$AE$63),2))</f>
        <v>0</v>
      </c>
      <c r="AK66" t="str">
        <f>IF($S66="","",IFERROR(INDEX(อัตราค่าขนส่ง!$R$5:$R$54,MATCH($S66,อัตราค่าขนส่ง!$Q$5:$Q$54,0)),INDEX(รายการมาตรฐาน!$G$2:$G$3,1)))</f>
        <v/>
      </c>
      <c r="AL66" t="str">
        <f>IF($S66="","",IFERROR(MATCH($AK66,รายการมาตรฐาน!$G$2:$G$3,0),1))</f>
        <v/>
      </c>
      <c r="AM66" t="str">
        <f t="shared" si="19"/>
        <v/>
      </c>
      <c r="AN66" t="str">
        <f t="shared" si="20"/>
        <v/>
      </c>
      <c r="AO66">
        <f t="shared" si="21"/>
        <v>0</v>
      </c>
      <c r="AP66">
        <f t="shared" si="27"/>
        <v>0</v>
      </c>
      <c r="AQ66" t="str">
        <f t="shared" si="22"/>
        <v/>
      </c>
      <c r="AR66">
        <f>IF($Y66="",0,COUNTIF(บันทึกรายเที่ยว!$V$6:$V$10005,$Y66))</f>
        <v>0</v>
      </c>
      <c r="AS66">
        <f>IF($Y66="",0,ROUND(SUMIF(บันทึกรายเที่ยว!$V$6:$V$10005,$Y66,บันทึกรายเที่ยว!$M$6:$M$10005),2))</f>
        <v>0</v>
      </c>
      <c r="AT66">
        <f>IF($Y66="",0,IFERROR(INDEX(อัตราค่าขนส่ง!$J$5:$J$204,MATCH($Y66,อัตราค่าขนส่ง!$O$5:$O$204,0)),0))</f>
        <v>0</v>
      </c>
      <c r="AU66">
        <f t="shared" si="23"/>
        <v>0</v>
      </c>
      <c r="AV66">
        <f t="shared" si="24"/>
        <v>0</v>
      </c>
      <c r="AW66" t="str">
        <f>IF($Y66="","",IFERROR(INDEX(อัตราค่าขนส่ง!$F$5:$F$204,MATCH($Y66,อัตราค่าขนส่ง!$O$5:$O$204,0)),""))</f>
        <v/>
      </c>
      <c r="AX66" t="str">
        <f>IF($W66="","",INDEX(บันทึกรายเที่ยว!$D$6:$D$10005,$W66))</f>
        <v/>
      </c>
      <c r="AY66" t="str">
        <f>IF($W66="","",INDEX(บันทึกรายเที่ยว!$R$6:$R$10005,$W66))</f>
        <v/>
      </c>
      <c r="AZ66">
        <f t="shared" si="25"/>
        <v>0</v>
      </c>
      <c r="BA66" t="str">
        <f>IF($W66="","",INDEX(บันทึกรายเที่ยว!$E$6:$E$10005,$W66))</f>
        <v/>
      </c>
      <c r="BC66">
        <f>IF($Y66="",0,IFERROR(INDEX(อัตราค่าขนส่ง!$M$5:$M$204,MATCH($Y66,อัตราค่าขนส่ง!$O$5:$O$204,0)),0))</f>
        <v>0</v>
      </c>
      <c r="BD66">
        <f>IF($Y66="",0,IFERROR(INDEX(อัตราค่าขนส่ง!$N$5:$N$204,MATCH($Y66,อัตราค่าขนส่ง!$O$5:$O$204,0)),0))</f>
        <v>0</v>
      </c>
    </row>
    <row r="67" spans="1:56" ht="21" customHeight="1" x14ac:dyDescent="0.95">
      <c r="A67" s="36" t="str">
        <f>IF($AD67="","",IF($AD67="Z","รวมจ่ายทั้งสิ้น",IF($AD67="H",INDEX($X$5:$X$404,$AC67),IF($AD67="T","รวม",IF($AD67="B",IFERROR(INDEX(อัตราค่าขนส่ง!$U$5:$U$14,MATCH(INDEX($AM$5:$AM$404,$AC67),อัตราค่าขนส่ง!$T$5:$T$14,0)),"รวมกลุ่ม "&amp;INDEX($AM$5:$AM$404,$AC67)),INDEX($AY$5:$AY$404,$AC67))))))</f>
        <v/>
      </c>
      <c r="B67" s="31" t="str">
        <f t="shared" si="0"/>
        <v/>
      </c>
      <c r="C67" s="8" t="str">
        <f t="shared" si="1"/>
        <v/>
      </c>
      <c r="D67" s="37" t="str">
        <f t="shared" si="2"/>
        <v/>
      </c>
      <c r="E67" s="31" t="str">
        <f t="shared" si="3"/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I67" s="32" t="str">
        <f t="shared" si="7"/>
        <v/>
      </c>
      <c r="J67" s="46" t="str">
        <f t="shared" si="8"/>
        <v/>
      </c>
      <c r="K67" s="32" t="str">
        <f t="shared" si="9"/>
        <v/>
      </c>
      <c r="L67" s="32" t="str">
        <f t="shared" si="10"/>
        <v/>
      </c>
      <c r="M67" s="32" t="str">
        <f t="shared" si="11"/>
        <v/>
      </c>
      <c r="N67" s="32" t="str">
        <f t="shared" si="12"/>
        <v/>
      </c>
      <c r="O67" s="32" t="str">
        <f t="shared" si="13"/>
        <v/>
      </c>
      <c r="Q67" t="str">
        <f>IFERROR(MATCH(63,บันทึกรายเที่ยว!$Z$6:$Z$10005,0),"")</f>
        <v/>
      </c>
      <c r="R67" t="str">
        <f>IF($Q67="","",INDEX(บันทึกรายเที่ยว!$V$6:$V$10005,$Q67))</f>
        <v/>
      </c>
      <c r="S67" t="str">
        <f>IF($Q67="","",INDEX(บันทึกรายเที่ยว!$F$6:$F$10005,$Q67))</f>
        <v/>
      </c>
      <c r="T67" t="str">
        <f>IF($Q67="","",MATCH($S67,บันทึกรายเที่ยว!$F$6:$F$10005,0))</f>
        <v/>
      </c>
      <c r="U67" t="str">
        <f>IF($Q67="","",$AL67*10000000+$T67*1000+63)</f>
        <v/>
      </c>
      <c r="V67" t="str">
        <f>IFERROR(MATCH(SMALL($U$5:$U$404,63),$U$5:$U$404,0),"")</f>
        <v/>
      </c>
      <c r="W67" t="str">
        <f t="shared" si="14"/>
        <v/>
      </c>
      <c r="X67" t="str">
        <f t="shared" si="15"/>
        <v/>
      </c>
      <c r="Y67" t="str">
        <f t="shared" si="16"/>
        <v/>
      </c>
      <c r="Z67">
        <f t="shared" si="26"/>
        <v>0</v>
      </c>
      <c r="AA67">
        <f t="shared" si="17"/>
        <v>0</v>
      </c>
      <c r="AB67">
        <f>IF($V67="",99999+63,$AB66+1+$Z66+$AA66+$AO66)</f>
        <v>100062</v>
      </c>
      <c r="AC67" t="str">
        <f>IFERROR(MATCH(63,$AB$5:$AB$404,1),"")</f>
        <v/>
      </c>
      <c r="AD67" t="str">
        <f>IF(63=$AI$1+1,"Z",IF($AC67="","",IF(INDEX($V$5:$V$404,$AC67)="","",IF(63&gt;INDEX($AB$5:$AB$404,$AC67)+INDEX($Z$5:$Z$404,$AC67)+INDEX($AA$5:$AA$404,$AC67)+INDEX($AO$5:$AO$404,$AC67),"",IF(63=INDEX($AB$5:$AB$404,$AC67)+INDEX($Z$5:$Z$404,$AC67),"D",IF(AND(INDEX($Z$5:$Z$404,$AC67)=1,63=INDEX($AB$5:$AB$404,$AC67)),"H",IF(AND(INDEX($AO$5:$AO$404,$AC67)=1,63=INDEX($AB$5:$AB$404,$AC67)+INDEX($Z$5:$Z$404,$AC67)+INDEX($AA$5:$AA$404,$AC67)+INDEX($AO$5:$AO$404,$AC67)),"B","T")))))))</f>
        <v/>
      </c>
      <c r="AF67" t="str">
        <f t="shared" si="18"/>
        <v/>
      </c>
      <c r="AJ67">
        <f>IF($AD67&lt;&gt;"T",0,ROUND(SUMIF(oil!$B$4:$B$63,$AF67,oil!$AE$4:$AE$63),2))</f>
        <v>0</v>
      </c>
      <c r="AK67" t="str">
        <f>IF($S67="","",IFERROR(INDEX(อัตราค่าขนส่ง!$R$5:$R$54,MATCH($S67,อัตราค่าขนส่ง!$Q$5:$Q$54,0)),INDEX(รายการมาตรฐาน!$G$2:$G$3,1)))</f>
        <v/>
      </c>
      <c r="AL67" t="str">
        <f>IF($S67="","",IFERROR(MATCH($AK67,รายการมาตรฐาน!$G$2:$G$3,0),1))</f>
        <v/>
      </c>
      <c r="AM67" t="str">
        <f t="shared" si="19"/>
        <v/>
      </c>
      <c r="AN67" t="str">
        <f t="shared" si="20"/>
        <v/>
      </c>
      <c r="AO67">
        <f t="shared" si="21"/>
        <v>0</v>
      </c>
      <c r="AP67">
        <f t="shared" si="27"/>
        <v>0</v>
      </c>
      <c r="AQ67" t="str">
        <f t="shared" si="22"/>
        <v/>
      </c>
      <c r="AR67">
        <f>IF($Y67="",0,COUNTIF(บันทึกรายเที่ยว!$V$6:$V$10005,$Y67))</f>
        <v>0</v>
      </c>
      <c r="AS67">
        <f>IF($Y67="",0,ROUND(SUMIF(บันทึกรายเที่ยว!$V$6:$V$10005,$Y67,บันทึกรายเที่ยว!$M$6:$M$10005),2))</f>
        <v>0</v>
      </c>
      <c r="AT67">
        <f>IF($Y67="",0,IFERROR(INDEX(อัตราค่าขนส่ง!$J$5:$J$204,MATCH($Y67,อัตราค่าขนส่ง!$O$5:$O$204,0)),0))</f>
        <v>0</v>
      </c>
      <c r="AU67">
        <f t="shared" si="23"/>
        <v>0</v>
      </c>
      <c r="AV67">
        <f t="shared" si="24"/>
        <v>0</v>
      </c>
      <c r="AW67" t="str">
        <f>IF($Y67="","",IFERROR(INDEX(อัตราค่าขนส่ง!$F$5:$F$204,MATCH($Y67,อัตราค่าขนส่ง!$O$5:$O$204,0)),""))</f>
        <v/>
      </c>
      <c r="AX67" t="str">
        <f>IF($W67="","",INDEX(บันทึกรายเที่ยว!$D$6:$D$10005,$W67))</f>
        <v/>
      </c>
      <c r="AY67" t="str">
        <f>IF($W67="","",INDEX(บันทึกรายเที่ยว!$R$6:$R$10005,$W67))</f>
        <v/>
      </c>
      <c r="AZ67">
        <f t="shared" si="25"/>
        <v>0</v>
      </c>
      <c r="BA67" t="str">
        <f>IF($W67="","",INDEX(บันทึกรายเที่ยว!$E$6:$E$10005,$W67))</f>
        <v/>
      </c>
      <c r="BC67">
        <f>IF($Y67="",0,IFERROR(INDEX(อัตราค่าขนส่ง!$M$5:$M$204,MATCH($Y67,อัตราค่าขนส่ง!$O$5:$O$204,0)),0))</f>
        <v>0</v>
      </c>
      <c r="BD67">
        <f>IF($Y67="",0,IFERROR(INDEX(อัตราค่าขนส่ง!$N$5:$N$204,MATCH($Y67,อัตราค่าขนส่ง!$O$5:$O$204,0)),0))</f>
        <v>0</v>
      </c>
    </row>
    <row r="68" spans="1:56" ht="21" customHeight="1" x14ac:dyDescent="0.95">
      <c r="A68" s="36" t="str">
        <f>IF($AD68="","",IF($AD68="Z","รวมจ่ายทั้งสิ้น",IF($AD68="H",INDEX($X$5:$X$404,$AC68),IF($AD68="T","รวม",IF($AD68="B",IFERROR(INDEX(อัตราค่าขนส่ง!$U$5:$U$14,MATCH(INDEX($AM$5:$AM$404,$AC68),อัตราค่าขนส่ง!$T$5:$T$14,0)),"รวมกลุ่ม "&amp;INDEX($AM$5:$AM$404,$AC68)),INDEX($AY$5:$AY$404,$AC68))))))</f>
        <v/>
      </c>
      <c r="B68" s="31" t="str">
        <f t="shared" si="0"/>
        <v/>
      </c>
      <c r="C68" s="8" t="str">
        <f t="shared" si="1"/>
        <v/>
      </c>
      <c r="D68" s="37" t="str">
        <f t="shared" si="2"/>
        <v/>
      </c>
      <c r="E68" s="31" t="str">
        <f t="shared" si="3"/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I68" s="32" t="str">
        <f t="shared" si="7"/>
        <v/>
      </c>
      <c r="J68" s="46" t="str">
        <f t="shared" si="8"/>
        <v/>
      </c>
      <c r="K68" s="32" t="str">
        <f t="shared" si="9"/>
        <v/>
      </c>
      <c r="L68" s="32" t="str">
        <f t="shared" si="10"/>
        <v/>
      </c>
      <c r="M68" s="32" t="str">
        <f t="shared" si="11"/>
        <v/>
      </c>
      <c r="N68" s="32" t="str">
        <f t="shared" si="12"/>
        <v/>
      </c>
      <c r="O68" s="32" t="str">
        <f t="shared" si="13"/>
        <v/>
      </c>
      <c r="Q68" t="str">
        <f>IFERROR(MATCH(64,บันทึกรายเที่ยว!$Z$6:$Z$10005,0),"")</f>
        <v/>
      </c>
      <c r="R68" t="str">
        <f>IF($Q68="","",INDEX(บันทึกรายเที่ยว!$V$6:$V$10005,$Q68))</f>
        <v/>
      </c>
      <c r="S68" t="str">
        <f>IF($Q68="","",INDEX(บันทึกรายเที่ยว!$F$6:$F$10005,$Q68))</f>
        <v/>
      </c>
      <c r="T68" t="str">
        <f>IF($Q68="","",MATCH($S68,บันทึกรายเที่ยว!$F$6:$F$10005,0))</f>
        <v/>
      </c>
      <c r="U68" t="str">
        <f>IF($Q68="","",$AL68*10000000+$T68*1000+64)</f>
        <v/>
      </c>
      <c r="V68" t="str">
        <f>IFERROR(MATCH(SMALL($U$5:$U$404,64),$U$5:$U$404,0),"")</f>
        <v/>
      </c>
      <c r="W68" t="str">
        <f t="shared" si="14"/>
        <v/>
      </c>
      <c r="X68" t="str">
        <f t="shared" si="15"/>
        <v/>
      </c>
      <c r="Y68" t="str">
        <f t="shared" si="16"/>
        <v/>
      </c>
      <c r="Z68">
        <f t="shared" si="26"/>
        <v>0</v>
      </c>
      <c r="AA68">
        <f t="shared" si="17"/>
        <v>0</v>
      </c>
      <c r="AB68">
        <f>IF($V68="",99999+64,$AB67+1+$Z67+$AA67+$AO67)</f>
        <v>100063</v>
      </c>
      <c r="AC68" t="str">
        <f>IFERROR(MATCH(64,$AB$5:$AB$404,1),"")</f>
        <v/>
      </c>
      <c r="AD68" t="str">
        <f>IF(64=$AI$1+1,"Z",IF($AC68="","",IF(INDEX($V$5:$V$404,$AC68)="","",IF(64&gt;INDEX($AB$5:$AB$404,$AC68)+INDEX($Z$5:$Z$404,$AC68)+INDEX($AA$5:$AA$404,$AC68)+INDEX($AO$5:$AO$404,$AC68),"",IF(64=INDEX($AB$5:$AB$404,$AC68)+INDEX($Z$5:$Z$404,$AC68),"D",IF(AND(INDEX($Z$5:$Z$404,$AC68)=1,64=INDEX($AB$5:$AB$404,$AC68)),"H",IF(AND(INDEX($AO$5:$AO$404,$AC68)=1,64=INDEX($AB$5:$AB$404,$AC68)+INDEX($Z$5:$Z$404,$AC68)+INDEX($AA$5:$AA$404,$AC68)+INDEX($AO$5:$AO$404,$AC68)),"B","T")))))))</f>
        <v/>
      </c>
      <c r="AF68" t="str">
        <f t="shared" si="18"/>
        <v/>
      </c>
      <c r="AJ68">
        <f>IF($AD68&lt;&gt;"T",0,ROUND(SUMIF(oil!$B$4:$B$63,$AF68,oil!$AE$4:$AE$63),2))</f>
        <v>0</v>
      </c>
      <c r="AK68" t="str">
        <f>IF($S68="","",IFERROR(INDEX(อัตราค่าขนส่ง!$R$5:$R$54,MATCH($S68,อัตราค่าขนส่ง!$Q$5:$Q$54,0)),INDEX(รายการมาตรฐาน!$G$2:$G$3,1)))</f>
        <v/>
      </c>
      <c r="AL68" t="str">
        <f>IF($S68="","",IFERROR(MATCH($AK68,รายการมาตรฐาน!$G$2:$G$3,0),1))</f>
        <v/>
      </c>
      <c r="AM68" t="str">
        <f t="shared" si="19"/>
        <v/>
      </c>
      <c r="AN68" t="str">
        <f t="shared" si="20"/>
        <v/>
      </c>
      <c r="AO68">
        <f t="shared" si="21"/>
        <v>0</v>
      </c>
      <c r="AP68">
        <f t="shared" si="27"/>
        <v>0</v>
      </c>
      <c r="AQ68" t="str">
        <f t="shared" si="22"/>
        <v/>
      </c>
      <c r="AR68">
        <f>IF($Y68="",0,COUNTIF(บันทึกรายเที่ยว!$V$6:$V$10005,$Y68))</f>
        <v>0</v>
      </c>
      <c r="AS68">
        <f>IF($Y68="",0,ROUND(SUMIF(บันทึกรายเที่ยว!$V$6:$V$10005,$Y68,บันทึกรายเที่ยว!$M$6:$M$10005),2))</f>
        <v>0</v>
      </c>
      <c r="AT68">
        <f>IF($Y68="",0,IFERROR(INDEX(อัตราค่าขนส่ง!$J$5:$J$204,MATCH($Y68,อัตราค่าขนส่ง!$O$5:$O$204,0)),0))</f>
        <v>0</v>
      </c>
      <c r="AU68">
        <f t="shared" si="23"/>
        <v>0</v>
      </c>
      <c r="AV68">
        <f t="shared" si="24"/>
        <v>0</v>
      </c>
      <c r="AW68" t="str">
        <f>IF($Y68="","",IFERROR(INDEX(อัตราค่าขนส่ง!$F$5:$F$204,MATCH($Y68,อัตราค่าขนส่ง!$O$5:$O$204,0)),""))</f>
        <v/>
      </c>
      <c r="AX68" t="str">
        <f>IF($W68="","",INDEX(บันทึกรายเที่ยว!$D$6:$D$10005,$W68))</f>
        <v/>
      </c>
      <c r="AY68" t="str">
        <f>IF($W68="","",INDEX(บันทึกรายเที่ยว!$R$6:$R$10005,$W68))</f>
        <v/>
      </c>
      <c r="AZ68">
        <f t="shared" si="25"/>
        <v>0</v>
      </c>
      <c r="BA68" t="str">
        <f>IF($W68="","",INDEX(บันทึกรายเที่ยว!$E$6:$E$10005,$W68))</f>
        <v/>
      </c>
      <c r="BC68">
        <f>IF($Y68="",0,IFERROR(INDEX(อัตราค่าขนส่ง!$M$5:$M$204,MATCH($Y68,อัตราค่าขนส่ง!$O$5:$O$204,0)),0))</f>
        <v>0</v>
      </c>
      <c r="BD68">
        <f>IF($Y68="",0,IFERROR(INDEX(อัตราค่าขนส่ง!$N$5:$N$204,MATCH($Y68,อัตราค่าขนส่ง!$O$5:$O$204,0)),0))</f>
        <v>0</v>
      </c>
    </row>
    <row r="69" spans="1:56" ht="21" customHeight="1" x14ac:dyDescent="0.95">
      <c r="A69" s="36" t="str">
        <f>IF($AD69="","",IF($AD69="Z","รวมจ่ายทั้งสิ้น",IF($AD69="H",INDEX($X$5:$X$404,$AC69),IF($AD69="T","รวม",IF($AD69="B",IFERROR(INDEX(อัตราค่าขนส่ง!$U$5:$U$14,MATCH(INDEX($AM$5:$AM$404,$AC69),อัตราค่าขนส่ง!$T$5:$T$14,0)),"รวมกลุ่ม "&amp;INDEX($AM$5:$AM$404,$AC69)),INDEX($AY$5:$AY$404,$AC69))))))</f>
        <v/>
      </c>
      <c r="B69" s="31" t="str">
        <f t="shared" ref="B69:B132" si="28">IF($AD69&lt;&gt;"D","",INDEX($AW$5:$AW$404,$AC69))</f>
        <v/>
      </c>
      <c r="C69" s="8" t="str">
        <f t="shared" ref="C69:C132" si="29">IF($AD69&lt;&gt;"D","",INDEX($AX$5:$AX$404,$AC69))</f>
        <v/>
      </c>
      <c r="D69" s="37" t="str">
        <f t="shared" ref="D69:D132" si="30">IF($AD69&lt;&gt;"D","",INDEX($BA$5:$BA$404,$AC69))</f>
        <v/>
      </c>
      <c r="E69" s="31" t="str">
        <f t="shared" ref="E69:E132" si="31">IF($AD69="Z",SUM($AR$5:$AR$404),IF($AD69="D",INDEX($AR$5:$AR$404,$AC69),IF($AD69="T",SUMIF($X$5:$X$404,$AF69,$AR$5:$AR$404),IF($AD69="B",SUMIF($AN$5:$AN$404,$AQ69,$AR$5:$AR$404),""))))</f>
        <v/>
      </c>
      <c r="F69" s="32" t="str">
        <f t="shared" ref="F69:F132" si="32">IF($AD69="Z",ROUND(SUM($AS$5:$AS$404),2),IF($AD69="D",INDEX($AS$5:$AS$404,$AC69),IF($AD69="T",ROUND(SUMIF($X$5:$X$404,$AF69,$AS$5:$AS$404),2),IF($AD69="B",ROUND(SUMIF($AN$5:$AN$404,$AQ69,$AS$5:$AS$404),2),""))))</f>
        <v/>
      </c>
      <c r="G69" s="32" t="str">
        <f t="shared" ref="G69:G132" si="33">IF($AD69&lt;&gt;"D","",INDEX($AT$5:$AT$404,$AC69))</f>
        <v/>
      </c>
      <c r="H69" s="32" t="str">
        <f t="shared" ref="H69:H132" si="34">IF($AD69&lt;&gt;"D","",INDEX($BC$5:$BC$404,$AC69))</f>
        <v/>
      </c>
      <c r="I69" s="32" t="str">
        <f t="shared" ref="I69:I132" si="35">IF($AD69&lt;&gt;"D","",INDEX($BD$5:$BD$404,$AC69))</f>
        <v/>
      </c>
      <c r="J69" s="46" t="str">
        <f t="shared" ref="J69:J132" si="36">IF($AD69&lt;&gt;"D","",IF(N($B69)=0,"",ROUND($I69/$B69,4)))</f>
        <v/>
      </c>
      <c r="K69" s="32" t="str">
        <f t="shared" ref="K69:K132" si="37">IF($AD69="Z",ROUND(SUM($AU$5:$AU$404),2),IF($AD69="D",INDEX($AU$5:$AU$404,$AC69),IF($AD69="T",ROUND(SUMIF($X$5:$X$404,$AF69,$AU$5:$AU$404),2),IF($AD69="B",ROUND(SUMIF($AN$5:$AN$404,$AQ69,$AU$5:$AU$404),2),""))))</f>
        <v/>
      </c>
      <c r="L69" s="32" t="str">
        <f t="shared" ref="L69:L132" si="38">IF($AD69="Z",ROUND(SUM($AV$5:$AV$404),2),IF($AD69="D",INDEX($AV$5:$AV$404,$AC69),IF($AD69="T",ROUND(SUMIF($X$5:$X$404,$AF69,$AV$5:$AV$404),2),IF($AD69="B",ROUND(SUMIF($AN$5:$AN$404,$AQ69,$AV$5:$AV$404),2),""))))</f>
        <v/>
      </c>
      <c r="M69" s="32" t="str">
        <f t="shared" ref="M69:M132" si="39">IF($AD69="Z",ROUND(SUM($AJ$5:$AJ$704),2),IF($AD69="B",ROUND(SUMIF($AQ$5:$AQ$704,$AQ69,$AJ$5:$AJ$704),2),IF($AD69&lt;&gt;"T","",$AJ69)))</f>
        <v/>
      </c>
      <c r="N69" s="32" t="str">
        <f t="shared" ref="N69:N132" si="40">IF(OR($AD69="D",$AD69="T",$AD69="B",$AD69="Z"),ROUND(N($K69)-N($L69)-N($M69),2),"")</f>
        <v/>
      </c>
      <c r="O69" s="32" t="str">
        <f t="shared" ref="O69:O132" si="41">IF(OR($AD69="D",$AD69="T",$AD69="B",$AD69="Z"),IF(N($E69)=0,"",ROUND($F69/$E69,2)),"")</f>
        <v/>
      </c>
      <c r="Q69" t="str">
        <f>IFERROR(MATCH(65,บันทึกรายเที่ยว!$Z$6:$Z$10005,0),"")</f>
        <v/>
      </c>
      <c r="R69" t="str">
        <f>IF($Q69="","",INDEX(บันทึกรายเที่ยว!$V$6:$V$10005,$Q69))</f>
        <v/>
      </c>
      <c r="S69" t="str">
        <f>IF($Q69="","",INDEX(บันทึกรายเที่ยว!$F$6:$F$10005,$Q69))</f>
        <v/>
      </c>
      <c r="T69" t="str">
        <f>IF($Q69="","",MATCH($S69,บันทึกรายเที่ยว!$F$6:$F$10005,0))</f>
        <v/>
      </c>
      <c r="U69" t="str">
        <f>IF($Q69="","",$AL69*10000000+$T69*1000+65)</f>
        <v/>
      </c>
      <c r="V69" t="str">
        <f>IFERROR(MATCH(SMALL($U$5:$U$404,65),$U$5:$U$404,0),"")</f>
        <v/>
      </c>
      <c r="W69" t="str">
        <f t="shared" ref="W69:W132" si="42">IF($V69="","",INDEX($Q$5:$Q$404,$V69))</f>
        <v/>
      </c>
      <c r="X69" t="str">
        <f t="shared" ref="X69:X132" si="43">IF($V69="","",INDEX($S$5:$S$404,$V69))</f>
        <v/>
      </c>
      <c r="Y69" t="str">
        <f t="shared" ref="Y69:Y132" si="44">IF($V69="","",INDEX($R$5:$R$404,$V69))</f>
        <v/>
      </c>
      <c r="Z69">
        <f t="shared" si="26"/>
        <v>0</v>
      </c>
      <c r="AA69">
        <f t="shared" ref="AA69:AA132" si="45">IF($V69="",0,IF($V70="",1,IF($X70&lt;&gt;$X69,1,0)))</f>
        <v>0</v>
      </c>
      <c r="AB69">
        <f>IF($V69="",99999+65,$AB68+1+$Z68+$AA68+$AO68)</f>
        <v>100064</v>
      </c>
      <c r="AC69" t="str">
        <f>IFERROR(MATCH(65,$AB$5:$AB$404,1),"")</f>
        <v/>
      </c>
      <c r="AD69" t="str">
        <f>IF(65=$AI$1+1,"Z",IF($AC69="","",IF(INDEX($V$5:$V$404,$AC69)="","",IF(65&gt;INDEX($AB$5:$AB$404,$AC69)+INDEX($Z$5:$Z$404,$AC69)+INDEX($AA$5:$AA$404,$AC69)+INDEX($AO$5:$AO$404,$AC69),"",IF(65=INDEX($AB$5:$AB$404,$AC69)+INDEX($Z$5:$Z$404,$AC69),"D",IF(AND(INDEX($Z$5:$Z$404,$AC69)=1,65=INDEX($AB$5:$AB$404,$AC69)),"H",IF(AND(INDEX($AO$5:$AO$404,$AC69)=1,65=INDEX($AB$5:$AB$404,$AC69)+INDEX($Z$5:$Z$404,$AC69)+INDEX($AA$5:$AA$404,$AC69)+INDEX($AO$5:$AO$404,$AC69)),"B","T")))))))</f>
        <v/>
      </c>
      <c r="AF69" t="str">
        <f t="shared" ref="AF69:AF132" si="46">IF(OR($AD69="",$AD69="Z",$AD69="B"),"",INDEX($X$5:$X$404,$AC69))</f>
        <v/>
      </c>
      <c r="AJ69">
        <f>IF($AD69&lt;&gt;"T",0,ROUND(SUMIF(oil!$B$4:$B$63,$AF69,oil!$AE$4:$AE$63),2))</f>
        <v>0</v>
      </c>
      <c r="AK69" t="str">
        <f>IF($S69="","",IFERROR(INDEX(อัตราค่าขนส่ง!$R$5:$R$54,MATCH($S69,อัตราค่าขนส่ง!$Q$5:$Q$54,0)),INDEX(รายการมาตรฐาน!$G$2:$G$3,1)))</f>
        <v/>
      </c>
      <c r="AL69" t="str">
        <f>IF($S69="","",IFERROR(MATCH($AK69,รายการมาตรฐาน!$G$2:$G$3,0),1))</f>
        <v/>
      </c>
      <c r="AM69" t="str">
        <f t="shared" ref="AM69:AM132" si="47">IF($V69="","",INDEX($AK$5:$AK$404,$V69))</f>
        <v/>
      </c>
      <c r="AN69" t="str">
        <f t="shared" ref="AN69:AN132" si="48">IF($V69="","",INDEX($AL$5:$AL$404,$V69))</f>
        <v/>
      </c>
      <c r="AO69">
        <f t="shared" ref="AO69:AO132" si="49">IF(OR($V69="",$AI$2&lt;=1),0,IF($V70="",1,IF($AN70&lt;&gt;$AN69,1,0)))</f>
        <v>0</v>
      </c>
      <c r="AP69">
        <f t="shared" si="27"/>
        <v>0</v>
      </c>
      <c r="AQ69" t="str">
        <f t="shared" ref="AQ69:AQ132" si="50">IF(OR($AD69="",$AD69="Z"),"",INDEX($AN$5:$AN$404,$AC69))</f>
        <v/>
      </c>
      <c r="AR69">
        <f>IF($Y69="",0,COUNTIF(บันทึกรายเที่ยว!$V$6:$V$10005,$Y69))</f>
        <v>0</v>
      </c>
      <c r="AS69">
        <f>IF($Y69="",0,ROUND(SUMIF(บันทึกรายเที่ยว!$V$6:$V$10005,$Y69,บันทึกรายเที่ยว!$M$6:$M$10005),2))</f>
        <v>0</v>
      </c>
      <c r="AT69">
        <f>IF($Y69="",0,IFERROR(INDEX(อัตราค่าขนส่ง!$J$5:$J$204,MATCH($Y69,อัตราค่าขนส่ง!$O$5:$O$204,0)),0))</f>
        <v>0</v>
      </c>
      <c r="AU69">
        <f t="shared" ref="AU69:AU132" si="51">ROUND($AS69*$BD69,2)</f>
        <v>0</v>
      </c>
      <c r="AV69">
        <f t="shared" ref="AV69:AV132" si="52">ROUND($AU69*$BF$2/100,2)</f>
        <v>0</v>
      </c>
      <c r="AW69" t="str">
        <f>IF($Y69="","",IFERROR(INDEX(อัตราค่าขนส่ง!$F$5:$F$204,MATCH($Y69,อัตราค่าขนส่ง!$O$5:$O$204,0)),""))</f>
        <v/>
      </c>
      <c r="AX69" t="str">
        <f>IF($W69="","",INDEX(บันทึกรายเที่ยว!$D$6:$D$10005,$W69))</f>
        <v/>
      </c>
      <c r="AY69" t="str">
        <f>IF($W69="","",INDEX(บันทึกรายเที่ยว!$R$6:$R$10005,$W69))</f>
        <v/>
      </c>
      <c r="AZ69">
        <f t="shared" ref="AZ69:AZ132" si="53">IF(AND($AD69="T",$AQ69=1),N($AZ68)+1,N($AZ68))</f>
        <v>0</v>
      </c>
      <c r="BA69" t="str">
        <f>IF($W69="","",INDEX(บันทึกรายเที่ยว!$E$6:$E$10005,$W69))</f>
        <v/>
      </c>
      <c r="BC69">
        <f>IF($Y69="",0,IFERROR(INDEX(อัตราค่าขนส่ง!$M$5:$M$204,MATCH($Y69,อัตราค่าขนส่ง!$O$5:$O$204,0)),0))</f>
        <v>0</v>
      </c>
      <c r="BD69">
        <f>IF($Y69="",0,IFERROR(INDEX(อัตราค่าขนส่ง!$N$5:$N$204,MATCH($Y69,อัตราค่าขนส่ง!$O$5:$O$204,0)),0))</f>
        <v>0</v>
      </c>
    </row>
    <row r="70" spans="1:56" ht="21" customHeight="1" x14ac:dyDescent="0.95">
      <c r="A70" s="36" t="str">
        <f>IF($AD70="","",IF($AD70="Z","รวมจ่ายทั้งสิ้น",IF($AD70="H",INDEX($X$5:$X$404,$AC70),IF($AD70="T","รวม",IF($AD70="B",IFERROR(INDEX(อัตราค่าขนส่ง!$U$5:$U$14,MATCH(INDEX($AM$5:$AM$404,$AC70),อัตราค่าขนส่ง!$T$5:$T$14,0)),"รวมกลุ่ม "&amp;INDEX($AM$5:$AM$404,$AC70)),INDEX($AY$5:$AY$404,$AC70))))))</f>
        <v/>
      </c>
      <c r="B70" s="31" t="str">
        <f t="shared" si="28"/>
        <v/>
      </c>
      <c r="C70" s="8" t="str">
        <f t="shared" si="29"/>
        <v/>
      </c>
      <c r="D70" s="37" t="str">
        <f t="shared" si="30"/>
        <v/>
      </c>
      <c r="E70" s="31" t="str">
        <f t="shared" si="31"/>
        <v/>
      </c>
      <c r="F70" s="32" t="str">
        <f t="shared" si="32"/>
        <v/>
      </c>
      <c r="G70" s="32" t="str">
        <f t="shared" si="33"/>
        <v/>
      </c>
      <c r="H70" s="32" t="str">
        <f t="shared" si="34"/>
        <v/>
      </c>
      <c r="I70" s="32" t="str">
        <f t="shared" si="35"/>
        <v/>
      </c>
      <c r="J70" s="46" t="str">
        <f t="shared" si="36"/>
        <v/>
      </c>
      <c r="K70" s="32" t="str">
        <f t="shared" si="37"/>
        <v/>
      </c>
      <c r="L70" s="32" t="str">
        <f t="shared" si="38"/>
        <v/>
      </c>
      <c r="M70" s="32" t="str">
        <f t="shared" si="39"/>
        <v/>
      </c>
      <c r="N70" s="32" t="str">
        <f t="shared" si="40"/>
        <v/>
      </c>
      <c r="O70" s="32" t="str">
        <f t="shared" si="41"/>
        <v/>
      </c>
      <c r="Q70" t="str">
        <f>IFERROR(MATCH(66,บันทึกรายเที่ยว!$Z$6:$Z$10005,0),"")</f>
        <v/>
      </c>
      <c r="R70" t="str">
        <f>IF($Q70="","",INDEX(บันทึกรายเที่ยว!$V$6:$V$10005,$Q70))</f>
        <v/>
      </c>
      <c r="S70" t="str">
        <f>IF($Q70="","",INDEX(บันทึกรายเที่ยว!$F$6:$F$10005,$Q70))</f>
        <v/>
      </c>
      <c r="T70" t="str">
        <f>IF($Q70="","",MATCH($S70,บันทึกรายเที่ยว!$F$6:$F$10005,0))</f>
        <v/>
      </c>
      <c r="U70" t="str">
        <f>IF($Q70="","",$AL70*10000000+$T70*1000+66)</f>
        <v/>
      </c>
      <c r="V70" t="str">
        <f>IFERROR(MATCH(SMALL($U$5:$U$404,66),$U$5:$U$404,0),"")</f>
        <v/>
      </c>
      <c r="W70" t="str">
        <f t="shared" si="42"/>
        <v/>
      </c>
      <c r="X70" t="str">
        <f t="shared" si="43"/>
        <v/>
      </c>
      <c r="Y70" t="str">
        <f t="shared" si="44"/>
        <v/>
      </c>
      <c r="Z70">
        <f t="shared" ref="Z70:Z133" si="54">IF($V70="",0,IF($X70&lt;&gt;$X69,1,0))</f>
        <v>0</v>
      </c>
      <c r="AA70">
        <f t="shared" si="45"/>
        <v>0</v>
      </c>
      <c r="AB70">
        <f>IF($V70="",99999+66,$AB69+1+$Z69+$AA69+$AO69)</f>
        <v>100065</v>
      </c>
      <c r="AC70" t="str">
        <f>IFERROR(MATCH(66,$AB$5:$AB$404,1),"")</f>
        <v/>
      </c>
      <c r="AD70" t="str">
        <f>IF(66=$AI$1+1,"Z",IF($AC70="","",IF(INDEX($V$5:$V$404,$AC70)="","",IF(66&gt;INDEX($AB$5:$AB$404,$AC70)+INDEX($Z$5:$Z$404,$AC70)+INDEX($AA$5:$AA$404,$AC70)+INDEX($AO$5:$AO$404,$AC70),"",IF(66=INDEX($AB$5:$AB$404,$AC70)+INDEX($Z$5:$Z$404,$AC70),"D",IF(AND(INDEX($Z$5:$Z$404,$AC70)=1,66=INDEX($AB$5:$AB$404,$AC70)),"H",IF(AND(INDEX($AO$5:$AO$404,$AC70)=1,66=INDEX($AB$5:$AB$404,$AC70)+INDEX($Z$5:$Z$404,$AC70)+INDEX($AA$5:$AA$404,$AC70)+INDEX($AO$5:$AO$404,$AC70)),"B","T")))))))</f>
        <v/>
      </c>
      <c r="AF70" t="str">
        <f t="shared" si="46"/>
        <v/>
      </c>
      <c r="AJ70">
        <f>IF($AD70&lt;&gt;"T",0,ROUND(SUMIF(oil!$B$4:$B$63,$AF70,oil!$AE$4:$AE$63),2))</f>
        <v>0</v>
      </c>
      <c r="AK70" t="str">
        <f>IF($S70="","",IFERROR(INDEX(อัตราค่าขนส่ง!$R$5:$R$54,MATCH($S70,อัตราค่าขนส่ง!$Q$5:$Q$54,0)),INDEX(รายการมาตรฐาน!$G$2:$G$3,1)))</f>
        <v/>
      </c>
      <c r="AL70" t="str">
        <f>IF($S70="","",IFERROR(MATCH($AK70,รายการมาตรฐาน!$G$2:$G$3,0),1))</f>
        <v/>
      </c>
      <c r="AM70" t="str">
        <f t="shared" si="47"/>
        <v/>
      </c>
      <c r="AN70" t="str">
        <f t="shared" si="48"/>
        <v/>
      </c>
      <c r="AO70">
        <f t="shared" si="49"/>
        <v>0</v>
      </c>
      <c r="AP70">
        <f t="shared" ref="AP70:AP133" si="55">IF($V70="",0,IF($AN70&lt;&gt;$AN69,1,0))</f>
        <v>0</v>
      </c>
      <c r="AQ70" t="str">
        <f t="shared" si="50"/>
        <v/>
      </c>
      <c r="AR70">
        <f>IF($Y70="",0,COUNTIF(บันทึกรายเที่ยว!$V$6:$V$10005,$Y70))</f>
        <v>0</v>
      </c>
      <c r="AS70">
        <f>IF($Y70="",0,ROUND(SUMIF(บันทึกรายเที่ยว!$V$6:$V$10005,$Y70,บันทึกรายเที่ยว!$M$6:$M$10005),2))</f>
        <v>0</v>
      </c>
      <c r="AT70">
        <f>IF($Y70="",0,IFERROR(INDEX(อัตราค่าขนส่ง!$J$5:$J$204,MATCH($Y70,อัตราค่าขนส่ง!$O$5:$O$204,0)),0))</f>
        <v>0</v>
      </c>
      <c r="AU70">
        <f t="shared" si="51"/>
        <v>0</v>
      </c>
      <c r="AV70">
        <f t="shared" si="52"/>
        <v>0</v>
      </c>
      <c r="AW70" t="str">
        <f>IF($Y70="","",IFERROR(INDEX(อัตราค่าขนส่ง!$F$5:$F$204,MATCH($Y70,อัตราค่าขนส่ง!$O$5:$O$204,0)),""))</f>
        <v/>
      </c>
      <c r="AX70" t="str">
        <f>IF($W70="","",INDEX(บันทึกรายเที่ยว!$D$6:$D$10005,$W70))</f>
        <v/>
      </c>
      <c r="AY70" t="str">
        <f>IF($W70="","",INDEX(บันทึกรายเที่ยว!$R$6:$R$10005,$W70))</f>
        <v/>
      </c>
      <c r="AZ70">
        <f t="shared" si="53"/>
        <v>0</v>
      </c>
      <c r="BA70" t="str">
        <f>IF($W70="","",INDEX(บันทึกรายเที่ยว!$E$6:$E$10005,$W70))</f>
        <v/>
      </c>
      <c r="BC70">
        <f>IF($Y70="",0,IFERROR(INDEX(อัตราค่าขนส่ง!$M$5:$M$204,MATCH($Y70,อัตราค่าขนส่ง!$O$5:$O$204,0)),0))</f>
        <v>0</v>
      </c>
      <c r="BD70">
        <f>IF($Y70="",0,IFERROR(INDEX(อัตราค่าขนส่ง!$N$5:$N$204,MATCH($Y70,อัตราค่าขนส่ง!$O$5:$O$204,0)),0))</f>
        <v>0</v>
      </c>
    </row>
    <row r="71" spans="1:56" ht="21" customHeight="1" x14ac:dyDescent="0.95">
      <c r="A71" s="36" t="str">
        <f>IF($AD71="","",IF($AD71="Z","รวมจ่ายทั้งสิ้น",IF($AD71="H",INDEX($X$5:$X$404,$AC71),IF($AD71="T","รวม",IF($AD71="B",IFERROR(INDEX(อัตราค่าขนส่ง!$U$5:$U$14,MATCH(INDEX($AM$5:$AM$404,$AC71),อัตราค่าขนส่ง!$T$5:$T$14,0)),"รวมกลุ่ม "&amp;INDEX($AM$5:$AM$404,$AC71)),INDEX($AY$5:$AY$404,$AC71))))))</f>
        <v/>
      </c>
      <c r="B71" s="31" t="str">
        <f t="shared" si="28"/>
        <v/>
      </c>
      <c r="C71" s="8" t="str">
        <f t="shared" si="29"/>
        <v/>
      </c>
      <c r="D71" s="37" t="str">
        <f t="shared" si="30"/>
        <v/>
      </c>
      <c r="E71" s="31" t="str">
        <f t="shared" si="31"/>
        <v/>
      </c>
      <c r="F71" s="32" t="str">
        <f t="shared" si="32"/>
        <v/>
      </c>
      <c r="G71" s="32" t="str">
        <f t="shared" si="33"/>
        <v/>
      </c>
      <c r="H71" s="32" t="str">
        <f t="shared" si="34"/>
        <v/>
      </c>
      <c r="I71" s="32" t="str">
        <f t="shared" si="35"/>
        <v/>
      </c>
      <c r="J71" s="46" t="str">
        <f t="shared" si="36"/>
        <v/>
      </c>
      <c r="K71" s="32" t="str">
        <f t="shared" si="37"/>
        <v/>
      </c>
      <c r="L71" s="32" t="str">
        <f t="shared" si="38"/>
        <v/>
      </c>
      <c r="M71" s="32" t="str">
        <f t="shared" si="39"/>
        <v/>
      </c>
      <c r="N71" s="32" t="str">
        <f t="shared" si="40"/>
        <v/>
      </c>
      <c r="O71" s="32" t="str">
        <f t="shared" si="41"/>
        <v/>
      </c>
      <c r="Q71" t="str">
        <f>IFERROR(MATCH(67,บันทึกรายเที่ยว!$Z$6:$Z$10005,0),"")</f>
        <v/>
      </c>
      <c r="R71" t="str">
        <f>IF($Q71="","",INDEX(บันทึกรายเที่ยว!$V$6:$V$10005,$Q71))</f>
        <v/>
      </c>
      <c r="S71" t="str">
        <f>IF($Q71="","",INDEX(บันทึกรายเที่ยว!$F$6:$F$10005,$Q71))</f>
        <v/>
      </c>
      <c r="T71" t="str">
        <f>IF($Q71="","",MATCH($S71,บันทึกรายเที่ยว!$F$6:$F$10005,0))</f>
        <v/>
      </c>
      <c r="U71" t="str">
        <f>IF($Q71="","",$AL71*10000000+$T71*1000+67)</f>
        <v/>
      </c>
      <c r="V71" t="str">
        <f>IFERROR(MATCH(SMALL($U$5:$U$404,67),$U$5:$U$404,0),"")</f>
        <v/>
      </c>
      <c r="W71" t="str">
        <f t="shared" si="42"/>
        <v/>
      </c>
      <c r="X71" t="str">
        <f t="shared" si="43"/>
        <v/>
      </c>
      <c r="Y71" t="str">
        <f t="shared" si="44"/>
        <v/>
      </c>
      <c r="Z71">
        <f t="shared" si="54"/>
        <v>0</v>
      </c>
      <c r="AA71">
        <f t="shared" si="45"/>
        <v>0</v>
      </c>
      <c r="AB71">
        <f>IF($V71="",99999+67,$AB70+1+$Z70+$AA70+$AO70)</f>
        <v>100066</v>
      </c>
      <c r="AC71" t="str">
        <f>IFERROR(MATCH(67,$AB$5:$AB$404,1),"")</f>
        <v/>
      </c>
      <c r="AD71" t="str">
        <f>IF(67=$AI$1+1,"Z",IF($AC71="","",IF(INDEX($V$5:$V$404,$AC71)="","",IF(67&gt;INDEX($AB$5:$AB$404,$AC71)+INDEX($Z$5:$Z$404,$AC71)+INDEX($AA$5:$AA$404,$AC71)+INDEX($AO$5:$AO$404,$AC71),"",IF(67=INDEX($AB$5:$AB$404,$AC71)+INDEX($Z$5:$Z$404,$AC71),"D",IF(AND(INDEX($Z$5:$Z$404,$AC71)=1,67=INDEX($AB$5:$AB$404,$AC71)),"H",IF(AND(INDEX($AO$5:$AO$404,$AC71)=1,67=INDEX($AB$5:$AB$404,$AC71)+INDEX($Z$5:$Z$404,$AC71)+INDEX($AA$5:$AA$404,$AC71)+INDEX($AO$5:$AO$404,$AC71)),"B","T")))))))</f>
        <v/>
      </c>
      <c r="AF71" t="str">
        <f t="shared" si="46"/>
        <v/>
      </c>
      <c r="AJ71">
        <f>IF($AD71&lt;&gt;"T",0,ROUND(SUMIF(oil!$B$4:$B$63,$AF71,oil!$AE$4:$AE$63),2))</f>
        <v>0</v>
      </c>
      <c r="AK71" t="str">
        <f>IF($S71="","",IFERROR(INDEX(อัตราค่าขนส่ง!$R$5:$R$54,MATCH($S71,อัตราค่าขนส่ง!$Q$5:$Q$54,0)),INDEX(รายการมาตรฐาน!$G$2:$G$3,1)))</f>
        <v/>
      </c>
      <c r="AL71" t="str">
        <f>IF($S71="","",IFERROR(MATCH($AK71,รายการมาตรฐาน!$G$2:$G$3,0),1))</f>
        <v/>
      </c>
      <c r="AM71" t="str">
        <f t="shared" si="47"/>
        <v/>
      </c>
      <c r="AN71" t="str">
        <f t="shared" si="48"/>
        <v/>
      </c>
      <c r="AO71">
        <f t="shared" si="49"/>
        <v>0</v>
      </c>
      <c r="AP71">
        <f t="shared" si="55"/>
        <v>0</v>
      </c>
      <c r="AQ71" t="str">
        <f t="shared" si="50"/>
        <v/>
      </c>
      <c r="AR71">
        <f>IF($Y71="",0,COUNTIF(บันทึกรายเที่ยว!$V$6:$V$10005,$Y71))</f>
        <v>0</v>
      </c>
      <c r="AS71">
        <f>IF($Y71="",0,ROUND(SUMIF(บันทึกรายเที่ยว!$V$6:$V$10005,$Y71,บันทึกรายเที่ยว!$M$6:$M$10005),2))</f>
        <v>0</v>
      </c>
      <c r="AT71">
        <f>IF($Y71="",0,IFERROR(INDEX(อัตราค่าขนส่ง!$J$5:$J$204,MATCH($Y71,อัตราค่าขนส่ง!$O$5:$O$204,0)),0))</f>
        <v>0</v>
      </c>
      <c r="AU71">
        <f t="shared" si="51"/>
        <v>0</v>
      </c>
      <c r="AV71">
        <f t="shared" si="52"/>
        <v>0</v>
      </c>
      <c r="AW71" t="str">
        <f>IF($Y71="","",IFERROR(INDEX(อัตราค่าขนส่ง!$F$5:$F$204,MATCH($Y71,อัตราค่าขนส่ง!$O$5:$O$204,0)),""))</f>
        <v/>
      </c>
      <c r="AX71" t="str">
        <f>IF($W71="","",INDEX(บันทึกรายเที่ยว!$D$6:$D$10005,$W71))</f>
        <v/>
      </c>
      <c r="AY71" t="str">
        <f>IF($W71="","",INDEX(บันทึกรายเที่ยว!$R$6:$R$10005,$W71))</f>
        <v/>
      </c>
      <c r="AZ71">
        <f t="shared" si="53"/>
        <v>0</v>
      </c>
      <c r="BA71" t="str">
        <f>IF($W71="","",INDEX(บันทึกรายเที่ยว!$E$6:$E$10005,$W71))</f>
        <v/>
      </c>
      <c r="BC71">
        <f>IF($Y71="",0,IFERROR(INDEX(อัตราค่าขนส่ง!$M$5:$M$204,MATCH($Y71,อัตราค่าขนส่ง!$O$5:$O$204,0)),0))</f>
        <v>0</v>
      </c>
      <c r="BD71">
        <f>IF($Y71="",0,IFERROR(INDEX(อัตราค่าขนส่ง!$N$5:$N$204,MATCH($Y71,อัตราค่าขนส่ง!$O$5:$O$204,0)),0))</f>
        <v>0</v>
      </c>
    </row>
    <row r="72" spans="1:56" ht="21" customHeight="1" x14ac:dyDescent="0.95">
      <c r="A72" s="36" t="str">
        <f>IF($AD72="","",IF($AD72="Z","รวมจ่ายทั้งสิ้น",IF($AD72="H",INDEX($X$5:$X$404,$AC72),IF($AD72="T","รวม",IF($AD72="B",IFERROR(INDEX(อัตราค่าขนส่ง!$U$5:$U$14,MATCH(INDEX($AM$5:$AM$404,$AC72),อัตราค่าขนส่ง!$T$5:$T$14,0)),"รวมกลุ่ม "&amp;INDEX($AM$5:$AM$404,$AC72)),INDEX($AY$5:$AY$404,$AC72))))))</f>
        <v/>
      </c>
      <c r="B72" s="31" t="str">
        <f t="shared" si="28"/>
        <v/>
      </c>
      <c r="C72" s="8" t="str">
        <f t="shared" si="29"/>
        <v/>
      </c>
      <c r="D72" s="37" t="str">
        <f t="shared" si="30"/>
        <v/>
      </c>
      <c r="E72" s="31" t="str">
        <f t="shared" si="31"/>
        <v/>
      </c>
      <c r="F72" s="32" t="str">
        <f t="shared" si="32"/>
        <v/>
      </c>
      <c r="G72" s="32" t="str">
        <f t="shared" si="33"/>
        <v/>
      </c>
      <c r="H72" s="32" t="str">
        <f t="shared" si="34"/>
        <v/>
      </c>
      <c r="I72" s="32" t="str">
        <f t="shared" si="35"/>
        <v/>
      </c>
      <c r="J72" s="46" t="str">
        <f t="shared" si="36"/>
        <v/>
      </c>
      <c r="K72" s="32" t="str">
        <f t="shared" si="37"/>
        <v/>
      </c>
      <c r="L72" s="32" t="str">
        <f t="shared" si="38"/>
        <v/>
      </c>
      <c r="M72" s="32" t="str">
        <f t="shared" si="39"/>
        <v/>
      </c>
      <c r="N72" s="32" t="str">
        <f t="shared" si="40"/>
        <v/>
      </c>
      <c r="O72" s="32" t="str">
        <f t="shared" si="41"/>
        <v/>
      </c>
      <c r="Q72" t="str">
        <f>IFERROR(MATCH(68,บันทึกรายเที่ยว!$Z$6:$Z$10005,0),"")</f>
        <v/>
      </c>
      <c r="R72" t="str">
        <f>IF($Q72="","",INDEX(บันทึกรายเที่ยว!$V$6:$V$10005,$Q72))</f>
        <v/>
      </c>
      <c r="S72" t="str">
        <f>IF($Q72="","",INDEX(บันทึกรายเที่ยว!$F$6:$F$10005,$Q72))</f>
        <v/>
      </c>
      <c r="T72" t="str">
        <f>IF($Q72="","",MATCH($S72,บันทึกรายเที่ยว!$F$6:$F$10005,0))</f>
        <v/>
      </c>
      <c r="U72" t="str">
        <f>IF($Q72="","",$AL72*10000000+$T72*1000+68)</f>
        <v/>
      </c>
      <c r="V72" t="str">
        <f>IFERROR(MATCH(SMALL($U$5:$U$404,68),$U$5:$U$404,0),"")</f>
        <v/>
      </c>
      <c r="W72" t="str">
        <f t="shared" si="42"/>
        <v/>
      </c>
      <c r="X72" t="str">
        <f t="shared" si="43"/>
        <v/>
      </c>
      <c r="Y72" t="str">
        <f t="shared" si="44"/>
        <v/>
      </c>
      <c r="Z72">
        <f t="shared" si="54"/>
        <v>0</v>
      </c>
      <c r="AA72">
        <f t="shared" si="45"/>
        <v>0</v>
      </c>
      <c r="AB72">
        <f>IF($V72="",99999+68,$AB71+1+$Z71+$AA71+$AO71)</f>
        <v>100067</v>
      </c>
      <c r="AC72" t="str">
        <f>IFERROR(MATCH(68,$AB$5:$AB$404,1),"")</f>
        <v/>
      </c>
      <c r="AD72" t="str">
        <f>IF(68=$AI$1+1,"Z",IF($AC72="","",IF(INDEX($V$5:$V$404,$AC72)="","",IF(68&gt;INDEX($AB$5:$AB$404,$AC72)+INDEX($Z$5:$Z$404,$AC72)+INDEX($AA$5:$AA$404,$AC72)+INDEX($AO$5:$AO$404,$AC72),"",IF(68=INDEX($AB$5:$AB$404,$AC72)+INDEX($Z$5:$Z$404,$AC72),"D",IF(AND(INDEX($Z$5:$Z$404,$AC72)=1,68=INDEX($AB$5:$AB$404,$AC72)),"H",IF(AND(INDEX($AO$5:$AO$404,$AC72)=1,68=INDEX($AB$5:$AB$404,$AC72)+INDEX($Z$5:$Z$404,$AC72)+INDEX($AA$5:$AA$404,$AC72)+INDEX($AO$5:$AO$404,$AC72)),"B","T")))))))</f>
        <v/>
      </c>
      <c r="AF72" t="str">
        <f t="shared" si="46"/>
        <v/>
      </c>
      <c r="AJ72">
        <f>IF($AD72&lt;&gt;"T",0,ROUND(SUMIF(oil!$B$4:$B$63,$AF72,oil!$AE$4:$AE$63),2))</f>
        <v>0</v>
      </c>
      <c r="AK72" t="str">
        <f>IF($S72="","",IFERROR(INDEX(อัตราค่าขนส่ง!$R$5:$R$54,MATCH($S72,อัตราค่าขนส่ง!$Q$5:$Q$54,0)),INDEX(รายการมาตรฐาน!$G$2:$G$3,1)))</f>
        <v/>
      </c>
      <c r="AL72" t="str">
        <f>IF($S72="","",IFERROR(MATCH($AK72,รายการมาตรฐาน!$G$2:$G$3,0),1))</f>
        <v/>
      </c>
      <c r="AM72" t="str">
        <f t="shared" si="47"/>
        <v/>
      </c>
      <c r="AN72" t="str">
        <f t="shared" si="48"/>
        <v/>
      </c>
      <c r="AO72">
        <f t="shared" si="49"/>
        <v>0</v>
      </c>
      <c r="AP72">
        <f t="shared" si="55"/>
        <v>0</v>
      </c>
      <c r="AQ72" t="str">
        <f t="shared" si="50"/>
        <v/>
      </c>
      <c r="AR72">
        <f>IF($Y72="",0,COUNTIF(บันทึกรายเที่ยว!$V$6:$V$10005,$Y72))</f>
        <v>0</v>
      </c>
      <c r="AS72">
        <f>IF($Y72="",0,ROUND(SUMIF(บันทึกรายเที่ยว!$V$6:$V$10005,$Y72,บันทึกรายเที่ยว!$M$6:$M$10005),2))</f>
        <v>0</v>
      </c>
      <c r="AT72">
        <f>IF($Y72="",0,IFERROR(INDEX(อัตราค่าขนส่ง!$J$5:$J$204,MATCH($Y72,อัตราค่าขนส่ง!$O$5:$O$204,0)),0))</f>
        <v>0</v>
      </c>
      <c r="AU72">
        <f t="shared" si="51"/>
        <v>0</v>
      </c>
      <c r="AV72">
        <f t="shared" si="52"/>
        <v>0</v>
      </c>
      <c r="AW72" t="str">
        <f>IF($Y72="","",IFERROR(INDEX(อัตราค่าขนส่ง!$F$5:$F$204,MATCH($Y72,อัตราค่าขนส่ง!$O$5:$O$204,0)),""))</f>
        <v/>
      </c>
      <c r="AX72" t="str">
        <f>IF($W72="","",INDEX(บันทึกรายเที่ยว!$D$6:$D$10005,$W72))</f>
        <v/>
      </c>
      <c r="AY72" t="str">
        <f>IF($W72="","",INDEX(บันทึกรายเที่ยว!$R$6:$R$10005,$W72))</f>
        <v/>
      </c>
      <c r="AZ72">
        <f t="shared" si="53"/>
        <v>0</v>
      </c>
      <c r="BA72" t="str">
        <f>IF($W72="","",INDEX(บันทึกรายเที่ยว!$E$6:$E$10005,$W72))</f>
        <v/>
      </c>
      <c r="BC72">
        <f>IF($Y72="",0,IFERROR(INDEX(อัตราค่าขนส่ง!$M$5:$M$204,MATCH($Y72,อัตราค่าขนส่ง!$O$5:$O$204,0)),0))</f>
        <v>0</v>
      </c>
      <c r="BD72">
        <f>IF($Y72="",0,IFERROR(INDEX(อัตราค่าขนส่ง!$N$5:$N$204,MATCH($Y72,อัตราค่าขนส่ง!$O$5:$O$204,0)),0))</f>
        <v>0</v>
      </c>
    </row>
    <row r="73" spans="1:56" ht="21" customHeight="1" x14ac:dyDescent="0.95">
      <c r="A73" s="36" t="str">
        <f>IF($AD73="","",IF($AD73="Z","รวมจ่ายทั้งสิ้น",IF($AD73="H",INDEX($X$5:$X$404,$AC73),IF($AD73="T","รวม",IF($AD73="B",IFERROR(INDEX(อัตราค่าขนส่ง!$U$5:$U$14,MATCH(INDEX($AM$5:$AM$404,$AC73),อัตราค่าขนส่ง!$T$5:$T$14,0)),"รวมกลุ่ม "&amp;INDEX($AM$5:$AM$404,$AC73)),INDEX($AY$5:$AY$404,$AC73))))))</f>
        <v/>
      </c>
      <c r="B73" s="31" t="str">
        <f t="shared" si="28"/>
        <v/>
      </c>
      <c r="C73" s="8" t="str">
        <f t="shared" si="29"/>
        <v/>
      </c>
      <c r="D73" s="37" t="str">
        <f t="shared" si="30"/>
        <v/>
      </c>
      <c r="E73" s="31" t="str">
        <f t="shared" si="31"/>
        <v/>
      </c>
      <c r="F73" s="32" t="str">
        <f t="shared" si="32"/>
        <v/>
      </c>
      <c r="G73" s="32" t="str">
        <f t="shared" si="33"/>
        <v/>
      </c>
      <c r="H73" s="32" t="str">
        <f t="shared" si="34"/>
        <v/>
      </c>
      <c r="I73" s="32" t="str">
        <f t="shared" si="35"/>
        <v/>
      </c>
      <c r="J73" s="46" t="str">
        <f t="shared" si="36"/>
        <v/>
      </c>
      <c r="K73" s="32" t="str">
        <f t="shared" si="37"/>
        <v/>
      </c>
      <c r="L73" s="32" t="str">
        <f t="shared" si="38"/>
        <v/>
      </c>
      <c r="M73" s="32" t="str">
        <f t="shared" si="39"/>
        <v/>
      </c>
      <c r="N73" s="32" t="str">
        <f t="shared" si="40"/>
        <v/>
      </c>
      <c r="O73" s="32" t="str">
        <f t="shared" si="41"/>
        <v/>
      </c>
      <c r="Q73" t="str">
        <f>IFERROR(MATCH(69,บันทึกรายเที่ยว!$Z$6:$Z$10005,0),"")</f>
        <v/>
      </c>
      <c r="R73" t="str">
        <f>IF($Q73="","",INDEX(บันทึกรายเที่ยว!$V$6:$V$10005,$Q73))</f>
        <v/>
      </c>
      <c r="S73" t="str">
        <f>IF($Q73="","",INDEX(บันทึกรายเที่ยว!$F$6:$F$10005,$Q73))</f>
        <v/>
      </c>
      <c r="T73" t="str">
        <f>IF($Q73="","",MATCH($S73,บันทึกรายเที่ยว!$F$6:$F$10005,0))</f>
        <v/>
      </c>
      <c r="U73" t="str">
        <f>IF($Q73="","",$AL73*10000000+$T73*1000+69)</f>
        <v/>
      </c>
      <c r="V73" t="str">
        <f>IFERROR(MATCH(SMALL($U$5:$U$404,69),$U$5:$U$404,0),"")</f>
        <v/>
      </c>
      <c r="W73" t="str">
        <f t="shared" si="42"/>
        <v/>
      </c>
      <c r="X73" t="str">
        <f t="shared" si="43"/>
        <v/>
      </c>
      <c r="Y73" t="str">
        <f t="shared" si="44"/>
        <v/>
      </c>
      <c r="Z73">
        <f t="shared" si="54"/>
        <v>0</v>
      </c>
      <c r="AA73">
        <f t="shared" si="45"/>
        <v>0</v>
      </c>
      <c r="AB73">
        <f>IF($V73="",99999+69,$AB72+1+$Z72+$AA72+$AO72)</f>
        <v>100068</v>
      </c>
      <c r="AC73" t="str">
        <f>IFERROR(MATCH(69,$AB$5:$AB$404,1),"")</f>
        <v/>
      </c>
      <c r="AD73" t="str">
        <f>IF(69=$AI$1+1,"Z",IF($AC73="","",IF(INDEX($V$5:$V$404,$AC73)="","",IF(69&gt;INDEX($AB$5:$AB$404,$AC73)+INDEX($Z$5:$Z$404,$AC73)+INDEX($AA$5:$AA$404,$AC73)+INDEX($AO$5:$AO$404,$AC73),"",IF(69=INDEX($AB$5:$AB$404,$AC73)+INDEX($Z$5:$Z$404,$AC73),"D",IF(AND(INDEX($Z$5:$Z$404,$AC73)=1,69=INDEX($AB$5:$AB$404,$AC73)),"H",IF(AND(INDEX($AO$5:$AO$404,$AC73)=1,69=INDEX($AB$5:$AB$404,$AC73)+INDEX($Z$5:$Z$404,$AC73)+INDEX($AA$5:$AA$404,$AC73)+INDEX($AO$5:$AO$404,$AC73)),"B","T")))))))</f>
        <v/>
      </c>
      <c r="AF73" t="str">
        <f t="shared" si="46"/>
        <v/>
      </c>
      <c r="AJ73">
        <f>IF($AD73&lt;&gt;"T",0,ROUND(SUMIF(oil!$B$4:$B$63,$AF73,oil!$AE$4:$AE$63),2))</f>
        <v>0</v>
      </c>
      <c r="AK73" t="str">
        <f>IF($S73="","",IFERROR(INDEX(อัตราค่าขนส่ง!$R$5:$R$54,MATCH($S73,อัตราค่าขนส่ง!$Q$5:$Q$54,0)),INDEX(รายการมาตรฐาน!$G$2:$G$3,1)))</f>
        <v/>
      </c>
      <c r="AL73" t="str">
        <f>IF($S73="","",IFERROR(MATCH($AK73,รายการมาตรฐาน!$G$2:$G$3,0),1))</f>
        <v/>
      </c>
      <c r="AM73" t="str">
        <f t="shared" si="47"/>
        <v/>
      </c>
      <c r="AN73" t="str">
        <f t="shared" si="48"/>
        <v/>
      </c>
      <c r="AO73">
        <f t="shared" si="49"/>
        <v>0</v>
      </c>
      <c r="AP73">
        <f t="shared" si="55"/>
        <v>0</v>
      </c>
      <c r="AQ73" t="str">
        <f t="shared" si="50"/>
        <v/>
      </c>
      <c r="AR73">
        <f>IF($Y73="",0,COUNTIF(บันทึกรายเที่ยว!$V$6:$V$10005,$Y73))</f>
        <v>0</v>
      </c>
      <c r="AS73">
        <f>IF($Y73="",0,ROUND(SUMIF(บันทึกรายเที่ยว!$V$6:$V$10005,$Y73,บันทึกรายเที่ยว!$M$6:$M$10005),2))</f>
        <v>0</v>
      </c>
      <c r="AT73">
        <f>IF($Y73="",0,IFERROR(INDEX(อัตราค่าขนส่ง!$J$5:$J$204,MATCH($Y73,อัตราค่าขนส่ง!$O$5:$O$204,0)),0))</f>
        <v>0</v>
      </c>
      <c r="AU73">
        <f t="shared" si="51"/>
        <v>0</v>
      </c>
      <c r="AV73">
        <f t="shared" si="52"/>
        <v>0</v>
      </c>
      <c r="AW73" t="str">
        <f>IF($Y73="","",IFERROR(INDEX(อัตราค่าขนส่ง!$F$5:$F$204,MATCH($Y73,อัตราค่าขนส่ง!$O$5:$O$204,0)),""))</f>
        <v/>
      </c>
      <c r="AX73" t="str">
        <f>IF($W73="","",INDEX(บันทึกรายเที่ยว!$D$6:$D$10005,$W73))</f>
        <v/>
      </c>
      <c r="AY73" t="str">
        <f>IF($W73="","",INDEX(บันทึกรายเที่ยว!$R$6:$R$10005,$W73))</f>
        <v/>
      </c>
      <c r="AZ73">
        <f t="shared" si="53"/>
        <v>0</v>
      </c>
      <c r="BA73" t="str">
        <f>IF($W73="","",INDEX(บันทึกรายเที่ยว!$E$6:$E$10005,$W73))</f>
        <v/>
      </c>
      <c r="BC73">
        <f>IF($Y73="",0,IFERROR(INDEX(อัตราค่าขนส่ง!$M$5:$M$204,MATCH($Y73,อัตราค่าขนส่ง!$O$5:$O$204,0)),0))</f>
        <v>0</v>
      </c>
      <c r="BD73">
        <f>IF($Y73="",0,IFERROR(INDEX(อัตราค่าขนส่ง!$N$5:$N$204,MATCH($Y73,อัตราค่าขนส่ง!$O$5:$O$204,0)),0))</f>
        <v>0</v>
      </c>
    </row>
    <row r="74" spans="1:56" ht="21" customHeight="1" x14ac:dyDescent="0.95">
      <c r="A74" s="36" t="str">
        <f>IF($AD74="","",IF($AD74="Z","รวมจ่ายทั้งสิ้น",IF($AD74="H",INDEX($X$5:$X$404,$AC74),IF($AD74="T","รวม",IF($AD74="B",IFERROR(INDEX(อัตราค่าขนส่ง!$U$5:$U$14,MATCH(INDEX($AM$5:$AM$404,$AC74),อัตราค่าขนส่ง!$T$5:$T$14,0)),"รวมกลุ่ม "&amp;INDEX($AM$5:$AM$404,$AC74)),INDEX($AY$5:$AY$404,$AC74))))))</f>
        <v/>
      </c>
      <c r="B74" s="31" t="str">
        <f t="shared" si="28"/>
        <v/>
      </c>
      <c r="C74" s="8" t="str">
        <f t="shared" si="29"/>
        <v/>
      </c>
      <c r="D74" s="37" t="str">
        <f t="shared" si="30"/>
        <v/>
      </c>
      <c r="E74" s="31" t="str">
        <f t="shared" si="31"/>
        <v/>
      </c>
      <c r="F74" s="32" t="str">
        <f t="shared" si="32"/>
        <v/>
      </c>
      <c r="G74" s="32" t="str">
        <f t="shared" si="33"/>
        <v/>
      </c>
      <c r="H74" s="32" t="str">
        <f t="shared" si="34"/>
        <v/>
      </c>
      <c r="I74" s="32" t="str">
        <f t="shared" si="35"/>
        <v/>
      </c>
      <c r="J74" s="46" t="str">
        <f t="shared" si="36"/>
        <v/>
      </c>
      <c r="K74" s="32" t="str">
        <f t="shared" si="37"/>
        <v/>
      </c>
      <c r="L74" s="32" t="str">
        <f t="shared" si="38"/>
        <v/>
      </c>
      <c r="M74" s="32" t="str">
        <f t="shared" si="39"/>
        <v/>
      </c>
      <c r="N74" s="32" t="str">
        <f t="shared" si="40"/>
        <v/>
      </c>
      <c r="O74" s="32" t="str">
        <f t="shared" si="41"/>
        <v/>
      </c>
      <c r="Q74" t="str">
        <f>IFERROR(MATCH(70,บันทึกรายเที่ยว!$Z$6:$Z$10005,0),"")</f>
        <v/>
      </c>
      <c r="R74" t="str">
        <f>IF($Q74="","",INDEX(บันทึกรายเที่ยว!$V$6:$V$10005,$Q74))</f>
        <v/>
      </c>
      <c r="S74" t="str">
        <f>IF($Q74="","",INDEX(บันทึกรายเที่ยว!$F$6:$F$10005,$Q74))</f>
        <v/>
      </c>
      <c r="T74" t="str">
        <f>IF($Q74="","",MATCH($S74,บันทึกรายเที่ยว!$F$6:$F$10005,0))</f>
        <v/>
      </c>
      <c r="U74" t="str">
        <f>IF($Q74="","",$AL74*10000000+$T74*1000+70)</f>
        <v/>
      </c>
      <c r="V74" t="str">
        <f>IFERROR(MATCH(SMALL($U$5:$U$404,70),$U$5:$U$404,0),"")</f>
        <v/>
      </c>
      <c r="W74" t="str">
        <f t="shared" si="42"/>
        <v/>
      </c>
      <c r="X74" t="str">
        <f t="shared" si="43"/>
        <v/>
      </c>
      <c r="Y74" t="str">
        <f t="shared" si="44"/>
        <v/>
      </c>
      <c r="Z74">
        <f t="shared" si="54"/>
        <v>0</v>
      </c>
      <c r="AA74">
        <f t="shared" si="45"/>
        <v>0</v>
      </c>
      <c r="AB74">
        <f>IF($V74="",99999+70,$AB73+1+$Z73+$AA73+$AO73)</f>
        <v>100069</v>
      </c>
      <c r="AC74" t="str">
        <f>IFERROR(MATCH(70,$AB$5:$AB$404,1),"")</f>
        <v/>
      </c>
      <c r="AD74" t="str">
        <f>IF(70=$AI$1+1,"Z",IF($AC74="","",IF(INDEX($V$5:$V$404,$AC74)="","",IF(70&gt;INDEX($AB$5:$AB$404,$AC74)+INDEX($Z$5:$Z$404,$AC74)+INDEX($AA$5:$AA$404,$AC74)+INDEX($AO$5:$AO$404,$AC74),"",IF(70=INDEX($AB$5:$AB$404,$AC74)+INDEX($Z$5:$Z$404,$AC74),"D",IF(AND(INDEX($Z$5:$Z$404,$AC74)=1,70=INDEX($AB$5:$AB$404,$AC74)),"H",IF(AND(INDEX($AO$5:$AO$404,$AC74)=1,70=INDEX($AB$5:$AB$404,$AC74)+INDEX($Z$5:$Z$404,$AC74)+INDEX($AA$5:$AA$404,$AC74)+INDEX($AO$5:$AO$404,$AC74)),"B","T")))))))</f>
        <v/>
      </c>
      <c r="AF74" t="str">
        <f t="shared" si="46"/>
        <v/>
      </c>
      <c r="AJ74">
        <f>IF($AD74&lt;&gt;"T",0,ROUND(SUMIF(oil!$B$4:$B$63,$AF74,oil!$AE$4:$AE$63),2))</f>
        <v>0</v>
      </c>
      <c r="AK74" t="str">
        <f>IF($S74="","",IFERROR(INDEX(อัตราค่าขนส่ง!$R$5:$R$54,MATCH($S74,อัตราค่าขนส่ง!$Q$5:$Q$54,0)),INDEX(รายการมาตรฐาน!$G$2:$G$3,1)))</f>
        <v/>
      </c>
      <c r="AL74" t="str">
        <f>IF($S74="","",IFERROR(MATCH($AK74,รายการมาตรฐาน!$G$2:$G$3,0),1))</f>
        <v/>
      </c>
      <c r="AM74" t="str">
        <f t="shared" si="47"/>
        <v/>
      </c>
      <c r="AN74" t="str">
        <f t="shared" si="48"/>
        <v/>
      </c>
      <c r="AO74">
        <f t="shared" si="49"/>
        <v>0</v>
      </c>
      <c r="AP74">
        <f t="shared" si="55"/>
        <v>0</v>
      </c>
      <c r="AQ74" t="str">
        <f t="shared" si="50"/>
        <v/>
      </c>
      <c r="AR74">
        <f>IF($Y74="",0,COUNTIF(บันทึกรายเที่ยว!$V$6:$V$10005,$Y74))</f>
        <v>0</v>
      </c>
      <c r="AS74">
        <f>IF($Y74="",0,ROUND(SUMIF(บันทึกรายเที่ยว!$V$6:$V$10005,$Y74,บันทึกรายเที่ยว!$M$6:$M$10005),2))</f>
        <v>0</v>
      </c>
      <c r="AT74">
        <f>IF($Y74="",0,IFERROR(INDEX(อัตราค่าขนส่ง!$J$5:$J$204,MATCH($Y74,อัตราค่าขนส่ง!$O$5:$O$204,0)),0))</f>
        <v>0</v>
      </c>
      <c r="AU74">
        <f t="shared" si="51"/>
        <v>0</v>
      </c>
      <c r="AV74">
        <f t="shared" si="52"/>
        <v>0</v>
      </c>
      <c r="AW74" t="str">
        <f>IF($Y74="","",IFERROR(INDEX(อัตราค่าขนส่ง!$F$5:$F$204,MATCH($Y74,อัตราค่าขนส่ง!$O$5:$O$204,0)),""))</f>
        <v/>
      </c>
      <c r="AX74" t="str">
        <f>IF($W74="","",INDEX(บันทึกรายเที่ยว!$D$6:$D$10005,$W74))</f>
        <v/>
      </c>
      <c r="AY74" t="str">
        <f>IF($W74="","",INDEX(บันทึกรายเที่ยว!$R$6:$R$10005,$W74))</f>
        <v/>
      </c>
      <c r="AZ74">
        <f t="shared" si="53"/>
        <v>0</v>
      </c>
      <c r="BA74" t="str">
        <f>IF($W74="","",INDEX(บันทึกรายเที่ยว!$E$6:$E$10005,$W74))</f>
        <v/>
      </c>
      <c r="BC74">
        <f>IF($Y74="",0,IFERROR(INDEX(อัตราค่าขนส่ง!$M$5:$M$204,MATCH($Y74,อัตราค่าขนส่ง!$O$5:$O$204,0)),0))</f>
        <v>0</v>
      </c>
      <c r="BD74">
        <f>IF($Y74="",0,IFERROR(INDEX(อัตราค่าขนส่ง!$N$5:$N$204,MATCH($Y74,อัตราค่าขนส่ง!$O$5:$O$204,0)),0))</f>
        <v>0</v>
      </c>
    </row>
    <row r="75" spans="1:56" ht="21" customHeight="1" x14ac:dyDescent="0.95">
      <c r="A75" s="36" t="str">
        <f>IF($AD75="","",IF($AD75="Z","รวมจ่ายทั้งสิ้น",IF($AD75="H",INDEX($X$5:$X$404,$AC75),IF($AD75="T","รวม",IF($AD75="B",IFERROR(INDEX(อัตราค่าขนส่ง!$U$5:$U$14,MATCH(INDEX($AM$5:$AM$404,$AC75),อัตราค่าขนส่ง!$T$5:$T$14,0)),"รวมกลุ่ม "&amp;INDEX($AM$5:$AM$404,$AC75)),INDEX($AY$5:$AY$404,$AC75))))))</f>
        <v/>
      </c>
      <c r="B75" s="31" t="str">
        <f t="shared" si="28"/>
        <v/>
      </c>
      <c r="C75" s="8" t="str">
        <f t="shared" si="29"/>
        <v/>
      </c>
      <c r="D75" s="37" t="str">
        <f t="shared" si="30"/>
        <v/>
      </c>
      <c r="E75" s="31" t="str">
        <f t="shared" si="31"/>
        <v/>
      </c>
      <c r="F75" s="32" t="str">
        <f t="shared" si="32"/>
        <v/>
      </c>
      <c r="G75" s="32" t="str">
        <f t="shared" si="33"/>
        <v/>
      </c>
      <c r="H75" s="32" t="str">
        <f t="shared" si="34"/>
        <v/>
      </c>
      <c r="I75" s="32" t="str">
        <f t="shared" si="35"/>
        <v/>
      </c>
      <c r="J75" s="46" t="str">
        <f t="shared" si="36"/>
        <v/>
      </c>
      <c r="K75" s="32" t="str">
        <f t="shared" si="37"/>
        <v/>
      </c>
      <c r="L75" s="32" t="str">
        <f t="shared" si="38"/>
        <v/>
      </c>
      <c r="M75" s="32" t="str">
        <f t="shared" si="39"/>
        <v/>
      </c>
      <c r="N75" s="32" t="str">
        <f t="shared" si="40"/>
        <v/>
      </c>
      <c r="O75" s="32" t="str">
        <f t="shared" si="41"/>
        <v/>
      </c>
      <c r="Q75" t="str">
        <f>IFERROR(MATCH(71,บันทึกรายเที่ยว!$Z$6:$Z$10005,0),"")</f>
        <v/>
      </c>
      <c r="R75" t="str">
        <f>IF($Q75="","",INDEX(บันทึกรายเที่ยว!$V$6:$V$10005,$Q75))</f>
        <v/>
      </c>
      <c r="S75" t="str">
        <f>IF($Q75="","",INDEX(บันทึกรายเที่ยว!$F$6:$F$10005,$Q75))</f>
        <v/>
      </c>
      <c r="T75" t="str">
        <f>IF($Q75="","",MATCH($S75,บันทึกรายเที่ยว!$F$6:$F$10005,0))</f>
        <v/>
      </c>
      <c r="U75" t="str">
        <f>IF($Q75="","",$AL75*10000000+$T75*1000+71)</f>
        <v/>
      </c>
      <c r="V75" t="str">
        <f>IFERROR(MATCH(SMALL($U$5:$U$404,71),$U$5:$U$404,0),"")</f>
        <v/>
      </c>
      <c r="W75" t="str">
        <f t="shared" si="42"/>
        <v/>
      </c>
      <c r="X75" t="str">
        <f t="shared" si="43"/>
        <v/>
      </c>
      <c r="Y75" t="str">
        <f t="shared" si="44"/>
        <v/>
      </c>
      <c r="Z75">
        <f t="shared" si="54"/>
        <v>0</v>
      </c>
      <c r="AA75">
        <f t="shared" si="45"/>
        <v>0</v>
      </c>
      <c r="AB75">
        <f>IF($V75="",99999+71,$AB74+1+$Z74+$AA74+$AO74)</f>
        <v>100070</v>
      </c>
      <c r="AC75" t="str">
        <f>IFERROR(MATCH(71,$AB$5:$AB$404,1),"")</f>
        <v/>
      </c>
      <c r="AD75" t="str">
        <f>IF(71=$AI$1+1,"Z",IF($AC75="","",IF(INDEX($V$5:$V$404,$AC75)="","",IF(71&gt;INDEX($AB$5:$AB$404,$AC75)+INDEX($Z$5:$Z$404,$AC75)+INDEX($AA$5:$AA$404,$AC75)+INDEX($AO$5:$AO$404,$AC75),"",IF(71=INDEX($AB$5:$AB$404,$AC75)+INDEX($Z$5:$Z$404,$AC75),"D",IF(AND(INDEX($Z$5:$Z$404,$AC75)=1,71=INDEX($AB$5:$AB$404,$AC75)),"H",IF(AND(INDEX($AO$5:$AO$404,$AC75)=1,71=INDEX($AB$5:$AB$404,$AC75)+INDEX($Z$5:$Z$404,$AC75)+INDEX($AA$5:$AA$404,$AC75)+INDEX($AO$5:$AO$404,$AC75)),"B","T")))))))</f>
        <v/>
      </c>
      <c r="AF75" t="str">
        <f t="shared" si="46"/>
        <v/>
      </c>
      <c r="AJ75">
        <f>IF($AD75&lt;&gt;"T",0,ROUND(SUMIF(oil!$B$4:$B$63,$AF75,oil!$AE$4:$AE$63),2))</f>
        <v>0</v>
      </c>
      <c r="AK75" t="str">
        <f>IF($S75="","",IFERROR(INDEX(อัตราค่าขนส่ง!$R$5:$R$54,MATCH($S75,อัตราค่าขนส่ง!$Q$5:$Q$54,0)),INDEX(รายการมาตรฐาน!$G$2:$G$3,1)))</f>
        <v/>
      </c>
      <c r="AL75" t="str">
        <f>IF($S75="","",IFERROR(MATCH($AK75,รายการมาตรฐาน!$G$2:$G$3,0),1))</f>
        <v/>
      </c>
      <c r="AM75" t="str">
        <f t="shared" si="47"/>
        <v/>
      </c>
      <c r="AN75" t="str">
        <f t="shared" si="48"/>
        <v/>
      </c>
      <c r="AO75">
        <f t="shared" si="49"/>
        <v>0</v>
      </c>
      <c r="AP75">
        <f t="shared" si="55"/>
        <v>0</v>
      </c>
      <c r="AQ75" t="str">
        <f t="shared" si="50"/>
        <v/>
      </c>
      <c r="AR75">
        <f>IF($Y75="",0,COUNTIF(บันทึกรายเที่ยว!$V$6:$V$10005,$Y75))</f>
        <v>0</v>
      </c>
      <c r="AS75">
        <f>IF($Y75="",0,ROUND(SUMIF(บันทึกรายเที่ยว!$V$6:$V$10005,$Y75,บันทึกรายเที่ยว!$M$6:$M$10005),2))</f>
        <v>0</v>
      </c>
      <c r="AT75">
        <f>IF($Y75="",0,IFERROR(INDEX(อัตราค่าขนส่ง!$J$5:$J$204,MATCH($Y75,อัตราค่าขนส่ง!$O$5:$O$204,0)),0))</f>
        <v>0</v>
      </c>
      <c r="AU75">
        <f t="shared" si="51"/>
        <v>0</v>
      </c>
      <c r="AV75">
        <f t="shared" si="52"/>
        <v>0</v>
      </c>
      <c r="AW75" t="str">
        <f>IF($Y75="","",IFERROR(INDEX(อัตราค่าขนส่ง!$F$5:$F$204,MATCH($Y75,อัตราค่าขนส่ง!$O$5:$O$204,0)),""))</f>
        <v/>
      </c>
      <c r="AX75" t="str">
        <f>IF($W75="","",INDEX(บันทึกรายเที่ยว!$D$6:$D$10005,$W75))</f>
        <v/>
      </c>
      <c r="AY75" t="str">
        <f>IF($W75="","",INDEX(บันทึกรายเที่ยว!$R$6:$R$10005,$W75))</f>
        <v/>
      </c>
      <c r="AZ75">
        <f t="shared" si="53"/>
        <v>0</v>
      </c>
      <c r="BA75" t="str">
        <f>IF($W75="","",INDEX(บันทึกรายเที่ยว!$E$6:$E$10005,$W75))</f>
        <v/>
      </c>
      <c r="BC75">
        <f>IF($Y75="",0,IFERROR(INDEX(อัตราค่าขนส่ง!$M$5:$M$204,MATCH($Y75,อัตราค่าขนส่ง!$O$5:$O$204,0)),0))</f>
        <v>0</v>
      </c>
      <c r="BD75">
        <f>IF($Y75="",0,IFERROR(INDEX(อัตราค่าขนส่ง!$N$5:$N$204,MATCH($Y75,อัตราค่าขนส่ง!$O$5:$O$204,0)),0))</f>
        <v>0</v>
      </c>
    </row>
    <row r="76" spans="1:56" ht="21" customHeight="1" x14ac:dyDescent="0.95">
      <c r="A76" s="36" t="str">
        <f>IF($AD76="","",IF($AD76="Z","รวมจ่ายทั้งสิ้น",IF($AD76="H",INDEX($X$5:$X$404,$AC76),IF($AD76="T","รวม",IF($AD76="B",IFERROR(INDEX(อัตราค่าขนส่ง!$U$5:$U$14,MATCH(INDEX($AM$5:$AM$404,$AC76),อัตราค่าขนส่ง!$T$5:$T$14,0)),"รวมกลุ่ม "&amp;INDEX($AM$5:$AM$404,$AC76)),INDEX($AY$5:$AY$404,$AC76))))))</f>
        <v/>
      </c>
      <c r="B76" s="31" t="str">
        <f t="shared" si="28"/>
        <v/>
      </c>
      <c r="C76" s="8" t="str">
        <f t="shared" si="29"/>
        <v/>
      </c>
      <c r="D76" s="37" t="str">
        <f t="shared" si="30"/>
        <v/>
      </c>
      <c r="E76" s="31" t="str">
        <f t="shared" si="31"/>
        <v/>
      </c>
      <c r="F76" s="32" t="str">
        <f t="shared" si="32"/>
        <v/>
      </c>
      <c r="G76" s="32" t="str">
        <f t="shared" si="33"/>
        <v/>
      </c>
      <c r="H76" s="32" t="str">
        <f t="shared" si="34"/>
        <v/>
      </c>
      <c r="I76" s="32" t="str">
        <f t="shared" si="35"/>
        <v/>
      </c>
      <c r="J76" s="46" t="str">
        <f t="shared" si="36"/>
        <v/>
      </c>
      <c r="K76" s="32" t="str">
        <f t="shared" si="37"/>
        <v/>
      </c>
      <c r="L76" s="32" t="str">
        <f t="shared" si="38"/>
        <v/>
      </c>
      <c r="M76" s="32" t="str">
        <f t="shared" si="39"/>
        <v/>
      </c>
      <c r="N76" s="32" t="str">
        <f t="shared" si="40"/>
        <v/>
      </c>
      <c r="O76" s="32" t="str">
        <f t="shared" si="41"/>
        <v/>
      </c>
      <c r="Q76" t="str">
        <f>IFERROR(MATCH(72,บันทึกรายเที่ยว!$Z$6:$Z$10005,0),"")</f>
        <v/>
      </c>
      <c r="R76" t="str">
        <f>IF($Q76="","",INDEX(บันทึกรายเที่ยว!$V$6:$V$10005,$Q76))</f>
        <v/>
      </c>
      <c r="S76" t="str">
        <f>IF($Q76="","",INDEX(บันทึกรายเที่ยว!$F$6:$F$10005,$Q76))</f>
        <v/>
      </c>
      <c r="T76" t="str">
        <f>IF($Q76="","",MATCH($S76,บันทึกรายเที่ยว!$F$6:$F$10005,0))</f>
        <v/>
      </c>
      <c r="U76" t="str">
        <f>IF($Q76="","",$AL76*10000000+$T76*1000+72)</f>
        <v/>
      </c>
      <c r="V76" t="str">
        <f>IFERROR(MATCH(SMALL($U$5:$U$404,72),$U$5:$U$404,0),"")</f>
        <v/>
      </c>
      <c r="W76" t="str">
        <f t="shared" si="42"/>
        <v/>
      </c>
      <c r="X76" t="str">
        <f t="shared" si="43"/>
        <v/>
      </c>
      <c r="Y76" t="str">
        <f t="shared" si="44"/>
        <v/>
      </c>
      <c r="Z76">
        <f t="shared" si="54"/>
        <v>0</v>
      </c>
      <c r="AA76">
        <f t="shared" si="45"/>
        <v>0</v>
      </c>
      <c r="AB76">
        <f>IF($V76="",99999+72,$AB75+1+$Z75+$AA75+$AO75)</f>
        <v>100071</v>
      </c>
      <c r="AC76" t="str">
        <f>IFERROR(MATCH(72,$AB$5:$AB$404,1),"")</f>
        <v/>
      </c>
      <c r="AD76" t="str">
        <f>IF(72=$AI$1+1,"Z",IF($AC76="","",IF(INDEX($V$5:$V$404,$AC76)="","",IF(72&gt;INDEX($AB$5:$AB$404,$AC76)+INDEX($Z$5:$Z$404,$AC76)+INDEX($AA$5:$AA$404,$AC76)+INDEX($AO$5:$AO$404,$AC76),"",IF(72=INDEX($AB$5:$AB$404,$AC76)+INDEX($Z$5:$Z$404,$AC76),"D",IF(AND(INDEX($Z$5:$Z$404,$AC76)=1,72=INDEX($AB$5:$AB$404,$AC76)),"H",IF(AND(INDEX($AO$5:$AO$404,$AC76)=1,72=INDEX($AB$5:$AB$404,$AC76)+INDEX($Z$5:$Z$404,$AC76)+INDEX($AA$5:$AA$404,$AC76)+INDEX($AO$5:$AO$404,$AC76)),"B","T")))))))</f>
        <v/>
      </c>
      <c r="AF76" t="str">
        <f t="shared" si="46"/>
        <v/>
      </c>
      <c r="AJ76">
        <f>IF($AD76&lt;&gt;"T",0,ROUND(SUMIF(oil!$B$4:$B$63,$AF76,oil!$AE$4:$AE$63),2))</f>
        <v>0</v>
      </c>
      <c r="AK76" t="str">
        <f>IF($S76="","",IFERROR(INDEX(อัตราค่าขนส่ง!$R$5:$R$54,MATCH($S76,อัตราค่าขนส่ง!$Q$5:$Q$54,0)),INDEX(รายการมาตรฐาน!$G$2:$G$3,1)))</f>
        <v/>
      </c>
      <c r="AL76" t="str">
        <f>IF($S76="","",IFERROR(MATCH($AK76,รายการมาตรฐาน!$G$2:$G$3,0),1))</f>
        <v/>
      </c>
      <c r="AM76" t="str">
        <f t="shared" si="47"/>
        <v/>
      </c>
      <c r="AN76" t="str">
        <f t="shared" si="48"/>
        <v/>
      </c>
      <c r="AO76">
        <f t="shared" si="49"/>
        <v>0</v>
      </c>
      <c r="AP76">
        <f t="shared" si="55"/>
        <v>0</v>
      </c>
      <c r="AQ76" t="str">
        <f t="shared" si="50"/>
        <v/>
      </c>
      <c r="AR76">
        <f>IF($Y76="",0,COUNTIF(บันทึกรายเที่ยว!$V$6:$V$10005,$Y76))</f>
        <v>0</v>
      </c>
      <c r="AS76">
        <f>IF($Y76="",0,ROUND(SUMIF(บันทึกรายเที่ยว!$V$6:$V$10005,$Y76,บันทึกรายเที่ยว!$M$6:$M$10005),2))</f>
        <v>0</v>
      </c>
      <c r="AT76">
        <f>IF($Y76="",0,IFERROR(INDEX(อัตราค่าขนส่ง!$J$5:$J$204,MATCH($Y76,อัตราค่าขนส่ง!$O$5:$O$204,0)),0))</f>
        <v>0</v>
      </c>
      <c r="AU76">
        <f t="shared" si="51"/>
        <v>0</v>
      </c>
      <c r="AV76">
        <f t="shared" si="52"/>
        <v>0</v>
      </c>
      <c r="AW76" t="str">
        <f>IF($Y76="","",IFERROR(INDEX(อัตราค่าขนส่ง!$F$5:$F$204,MATCH($Y76,อัตราค่าขนส่ง!$O$5:$O$204,0)),""))</f>
        <v/>
      </c>
      <c r="AX76" t="str">
        <f>IF($W76="","",INDEX(บันทึกรายเที่ยว!$D$6:$D$10005,$W76))</f>
        <v/>
      </c>
      <c r="AY76" t="str">
        <f>IF($W76="","",INDEX(บันทึกรายเที่ยว!$R$6:$R$10005,$W76))</f>
        <v/>
      </c>
      <c r="AZ76">
        <f t="shared" si="53"/>
        <v>0</v>
      </c>
      <c r="BA76" t="str">
        <f>IF($W76="","",INDEX(บันทึกรายเที่ยว!$E$6:$E$10005,$W76))</f>
        <v/>
      </c>
      <c r="BC76">
        <f>IF($Y76="",0,IFERROR(INDEX(อัตราค่าขนส่ง!$M$5:$M$204,MATCH($Y76,อัตราค่าขนส่ง!$O$5:$O$204,0)),0))</f>
        <v>0</v>
      </c>
      <c r="BD76">
        <f>IF($Y76="",0,IFERROR(INDEX(อัตราค่าขนส่ง!$N$5:$N$204,MATCH($Y76,อัตราค่าขนส่ง!$O$5:$O$204,0)),0))</f>
        <v>0</v>
      </c>
    </row>
    <row r="77" spans="1:56" ht="21" customHeight="1" x14ac:dyDescent="0.95">
      <c r="A77" s="36" t="str">
        <f>IF($AD77="","",IF($AD77="Z","รวมจ่ายทั้งสิ้น",IF($AD77="H",INDEX($X$5:$X$404,$AC77),IF($AD77="T","รวม",IF($AD77="B",IFERROR(INDEX(อัตราค่าขนส่ง!$U$5:$U$14,MATCH(INDEX($AM$5:$AM$404,$AC77),อัตราค่าขนส่ง!$T$5:$T$14,0)),"รวมกลุ่ม "&amp;INDEX($AM$5:$AM$404,$AC77)),INDEX($AY$5:$AY$404,$AC77))))))</f>
        <v/>
      </c>
      <c r="B77" s="31" t="str">
        <f t="shared" si="28"/>
        <v/>
      </c>
      <c r="C77" s="8" t="str">
        <f t="shared" si="29"/>
        <v/>
      </c>
      <c r="D77" s="37" t="str">
        <f t="shared" si="30"/>
        <v/>
      </c>
      <c r="E77" s="31" t="str">
        <f t="shared" si="31"/>
        <v/>
      </c>
      <c r="F77" s="32" t="str">
        <f t="shared" si="32"/>
        <v/>
      </c>
      <c r="G77" s="32" t="str">
        <f t="shared" si="33"/>
        <v/>
      </c>
      <c r="H77" s="32" t="str">
        <f t="shared" si="34"/>
        <v/>
      </c>
      <c r="I77" s="32" t="str">
        <f t="shared" si="35"/>
        <v/>
      </c>
      <c r="J77" s="46" t="str">
        <f t="shared" si="36"/>
        <v/>
      </c>
      <c r="K77" s="32" t="str">
        <f t="shared" si="37"/>
        <v/>
      </c>
      <c r="L77" s="32" t="str">
        <f t="shared" si="38"/>
        <v/>
      </c>
      <c r="M77" s="32" t="str">
        <f t="shared" si="39"/>
        <v/>
      </c>
      <c r="N77" s="32" t="str">
        <f t="shared" si="40"/>
        <v/>
      </c>
      <c r="O77" s="32" t="str">
        <f t="shared" si="41"/>
        <v/>
      </c>
      <c r="Q77" t="str">
        <f>IFERROR(MATCH(73,บันทึกรายเที่ยว!$Z$6:$Z$10005,0),"")</f>
        <v/>
      </c>
      <c r="R77" t="str">
        <f>IF($Q77="","",INDEX(บันทึกรายเที่ยว!$V$6:$V$10005,$Q77))</f>
        <v/>
      </c>
      <c r="S77" t="str">
        <f>IF($Q77="","",INDEX(บันทึกรายเที่ยว!$F$6:$F$10005,$Q77))</f>
        <v/>
      </c>
      <c r="T77" t="str">
        <f>IF($Q77="","",MATCH($S77,บันทึกรายเที่ยว!$F$6:$F$10005,0))</f>
        <v/>
      </c>
      <c r="U77" t="str">
        <f>IF($Q77="","",$AL77*10000000+$T77*1000+73)</f>
        <v/>
      </c>
      <c r="V77" t="str">
        <f>IFERROR(MATCH(SMALL($U$5:$U$404,73),$U$5:$U$404,0),"")</f>
        <v/>
      </c>
      <c r="W77" t="str">
        <f t="shared" si="42"/>
        <v/>
      </c>
      <c r="X77" t="str">
        <f t="shared" si="43"/>
        <v/>
      </c>
      <c r="Y77" t="str">
        <f t="shared" si="44"/>
        <v/>
      </c>
      <c r="Z77">
        <f t="shared" si="54"/>
        <v>0</v>
      </c>
      <c r="AA77">
        <f t="shared" si="45"/>
        <v>0</v>
      </c>
      <c r="AB77">
        <f>IF($V77="",99999+73,$AB76+1+$Z76+$AA76+$AO76)</f>
        <v>100072</v>
      </c>
      <c r="AC77" t="str">
        <f>IFERROR(MATCH(73,$AB$5:$AB$404,1),"")</f>
        <v/>
      </c>
      <c r="AD77" t="str">
        <f>IF(73=$AI$1+1,"Z",IF($AC77="","",IF(INDEX($V$5:$V$404,$AC77)="","",IF(73&gt;INDEX($AB$5:$AB$404,$AC77)+INDEX($Z$5:$Z$404,$AC77)+INDEX($AA$5:$AA$404,$AC77)+INDEX($AO$5:$AO$404,$AC77),"",IF(73=INDEX($AB$5:$AB$404,$AC77)+INDEX($Z$5:$Z$404,$AC77),"D",IF(AND(INDEX($Z$5:$Z$404,$AC77)=1,73=INDEX($AB$5:$AB$404,$AC77)),"H",IF(AND(INDEX($AO$5:$AO$404,$AC77)=1,73=INDEX($AB$5:$AB$404,$AC77)+INDEX($Z$5:$Z$404,$AC77)+INDEX($AA$5:$AA$404,$AC77)+INDEX($AO$5:$AO$404,$AC77)),"B","T")))))))</f>
        <v/>
      </c>
      <c r="AF77" t="str">
        <f t="shared" si="46"/>
        <v/>
      </c>
      <c r="AJ77">
        <f>IF($AD77&lt;&gt;"T",0,ROUND(SUMIF(oil!$B$4:$B$63,$AF77,oil!$AE$4:$AE$63),2))</f>
        <v>0</v>
      </c>
      <c r="AK77" t="str">
        <f>IF($S77="","",IFERROR(INDEX(อัตราค่าขนส่ง!$R$5:$R$54,MATCH($S77,อัตราค่าขนส่ง!$Q$5:$Q$54,0)),INDEX(รายการมาตรฐาน!$G$2:$G$3,1)))</f>
        <v/>
      </c>
      <c r="AL77" t="str">
        <f>IF($S77="","",IFERROR(MATCH($AK77,รายการมาตรฐาน!$G$2:$G$3,0),1))</f>
        <v/>
      </c>
      <c r="AM77" t="str">
        <f t="shared" si="47"/>
        <v/>
      </c>
      <c r="AN77" t="str">
        <f t="shared" si="48"/>
        <v/>
      </c>
      <c r="AO77">
        <f t="shared" si="49"/>
        <v>0</v>
      </c>
      <c r="AP77">
        <f t="shared" si="55"/>
        <v>0</v>
      </c>
      <c r="AQ77" t="str">
        <f t="shared" si="50"/>
        <v/>
      </c>
      <c r="AR77">
        <f>IF($Y77="",0,COUNTIF(บันทึกรายเที่ยว!$V$6:$V$10005,$Y77))</f>
        <v>0</v>
      </c>
      <c r="AS77">
        <f>IF($Y77="",0,ROUND(SUMIF(บันทึกรายเที่ยว!$V$6:$V$10005,$Y77,บันทึกรายเที่ยว!$M$6:$M$10005),2))</f>
        <v>0</v>
      </c>
      <c r="AT77">
        <f>IF($Y77="",0,IFERROR(INDEX(อัตราค่าขนส่ง!$J$5:$J$204,MATCH($Y77,อัตราค่าขนส่ง!$O$5:$O$204,0)),0))</f>
        <v>0</v>
      </c>
      <c r="AU77">
        <f t="shared" si="51"/>
        <v>0</v>
      </c>
      <c r="AV77">
        <f t="shared" si="52"/>
        <v>0</v>
      </c>
      <c r="AW77" t="str">
        <f>IF($Y77="","",IFERROR(INDEX(อัตราค่าขนส่ง!$F$5:$F$204,MATCH($Y77,อัตราค่าขนส่ง!$O$5:$O$204,0)),""))</f>
        <v/>
      </c>
      <c r="AX77" t="str">
        <f>IF($W77="","",INDEX(บันทึกรายเที่ยว!$D$6:$D$10005,$W77))</f>
        <v/>
      </c>
      <c r="AY77" t="str">
        <f>IF($W77="","",INDEX(บันทึกรายเที่ยว!$R$6:$R$10005,$W77))</f>
        <v/>
      </c>
      <c r="AZ77">
        <f t="shared" si="53"/>
        <v>0</v>
      </c>
      <c r="BA77" t="str">
        <f>IF($W77="","",INDEX(บันทึกรายเที่ยว!$E$6:$E$10005,$W77))</f>
        <v/>
      </c>
      <c r="BC77">
        <f>IF($Y77="",0,IFERROR(INDEX(อัตราค่าขนส่ง!$M$5:$M$204,MATCH($Y77,อัตราค่าขนส่ง!$O$5:$O$204,0)),0))</f>
        <v>0</v>
      </c>
      <c r="BD77">
        <f>IF($Y77="",0,IFERROR(INDEX(อัตราค่าขนส่ง!$N$5:$N$204,MATCH($Y77,อัตราค่าขนส่ง!$O$5:$O$204,0)),0))</f>
        <v>0</v>
      </c>
    </row>
    <row r="78" spans="1:56" ht="21" customHeight="1" x14ac:dyDescent="0.95">
      <c r="A78" s="36" t="str">
        <f>IF($AD78="","",IF($AD78="Z","รวมจ่ายทั้งสิ้น",IF($AD78="H",INDEX($X$5:$X$404,$AC78),IF($AD78="T","รวม",IF($AD78="B",IFERROR(INDEX(อัตราค่าขนส่ง!$U$5:$U$14,MATCH(INDEX($AM$5:$AM$404,$AC78),อัตราค่าขนส่ง!$T$5:$T$14,0)),"รวมกลุ่ม "&amp;INDEX($AM$5:$AM$404,$AC78)),INDEX($AY$5:$AY$404,$AC78))))))</f>
        <v/>
      </c>
      <c r="B78" s="31" t="str">
        <f t="shared" si="28"/>
        <v/>
      </c>
      <c r="C78" s="8" t="str">
        <f t="shared" si="29"/>
        <v/>
      </c>
      <c r="D78" s="37" t="str">
        <f t="shared" si="30"/>
        <v/>
      </c>
      <c r="E78" s="31" t="str">
        <f t="shared" si="31"/>
        <v/>
      </c>
      <c r="F78" s="32" t="str">
        <f t="shared" si="32"/>
        <v/>
      </c>
      <c r="G78" s="32" t="str">
        <f t="shared" si="33"/>
        <v/>
      </c>
      <c r="H78" s="32" t="str">
        <f t="shared" si="34"/>
        <v/>
      </c>
      <c r="I78" s="32" t="str">
        <f t="shared" si="35"/>
        <v/>
      </c>
      <c r="J78" s="46" t="str">
        <f t="shared" si="36"/>
        <v/>
      </c>
      <c r="K78" s="32" t="str">
        <f t="shared" si="37"/>
        <v/>
      </c>
      <c r="L78" s="32" t="str">
        <f t="shared" si="38"/>
        <v/>
      </c>
      <c r="M78" s="32" t="str">
        <f t="shared" si="39"/>
        <v/>
      </c>
      <c r="N78" s="32" t="str">
        <f t="shared" si="40"/>
        <v/>
      </c>
      <c r="O78" s="32" t="str">
        <f t="shared" si="41"/>
        <v/>
      </c>
      <c r="Q78" t="str">
        <f>IFERROR(MATCH(74,บันทึกรายเที่ยว!$Z$6:$Z$10005,0),"")</f>
        <v/>
      </c>
      <c r="R78" t="str">
        <f>IF($Q78="","",INDEX(บันทึกรายเที่ยว!$V$6:$V$10005,$Q78))</f>
        <v/>
      </c>
      <c r="S78" t="str">
        <f>IF($Q78="","",INDEX(บันทึกรายเที่ยว!$F$6:$F$10005,$Q78))</f>
        <v/>
      </c>
      <c r="T78" t="str">
        <f>IF($Q78="","",MATCH($S78,บันทึกรายเที่ยว!$F$6:$F$10005,0))</f>
        <v/>
      </c>
      <c r="U78" t="str">
        <f>IF($Q78="","",$AL78*10000000+$T78*1000+74)</f>
        <v/>
      </c>
      <c r="V78" t="str">
        <f>IFERROR(MATCH(SMALL($U$5:$U$404,74),$U$5:$U$404,0),"")</f>
        <v/>
      </c>
      <c r="W78" t="str">
        <f t="shared" si="42"/>
        <v/>
      </c>
      <c r="X78" t="str">
        <f t="shared" si="43"/>
        <v/>
      </c>
      <c r="Y78" t="str">
        <f t="shared" si="44"/>
        <v/>
      </c>
      <c r="Z78">
        <f t="shared" si="54"/>
        <v>0</v>
      </c>
      <c r="AA78">
        <f t="shared" si="45"/>
        <v>0</v>
      </c>
      <c r="AB78">
        <f>IF($V78="",99999+74,$AB77+1+$Z77+$AA77+$AO77)</f>
        <v>100073</v>
      </c>
      <c r="AC78" t="str">
        <f>IFERROR(MATCH(74,$AB$5:$AB$404,1),"")</f>
        <v/>
      </c>
      <c r="AD78" t="str">
        <f>IF(74=$AI$1+1,"Z",IF($AC78="","",IF(INDEX($V$5:$V$404,$AC78)="","",IF(74&gt;INDEX($AB$5:$AB$404,$AC78)+INDEX($Z$5:$Z$404,$AC78)+INDEX($AA$5:$AA$404,$AC78)+INDEX($AO$5:$AO$404,$AC78),"",IF(74=INDEX($AB$5:$AB$404,$AC78)+INDEX($Z$5:$Z$404,$AC78),"D",IF(AND(INDEX($Z$5:$Z$404,$AC78)=1,74=INDEX($AB$5:$AB$404,$AC78)),"H",IF(AND(INDEX($AO$5:$AO$404,$AC78)=1,74=INDEX($AB$5:$AB$404,$AC78)+INDEX($Z$5:$Z$404,$AC78)+INDEX($AA$5:$AA$404,$AC78)+INDEX($AO$5:$AO$404,$AC78)),"B","T")))))))</f>
        <v/>
      </c>
      <c r="AF78" t="str">
        <f t="shared" si="46"/>
        <v/>
      </c>
      <c r="AJ78">
        <f>IF($AD78&lt;&gt;"T",0,ROUND(SUMIF(oil!$B$4:$B$63,$AF78,oil!$AE$4:$AE$63),2))</f>
        <v>0</v>
      </c>
      <c r="AK78" t="str">
        <f>IF($S78="","",IFERROR(INDEX(อัตราค่าขนส่ง!$R$5:$R$54,MATCH($S78,อัตราค่าขนส่ง!$Q$5:$Q$54,0)),INDEX(รายการมาตรฐาน!$G$2:$G$3,1)))</f>
        <v/>
      </c>
      <c r="AL78" t="str">
        <f>IF($S78="","",IFERROR(MATCH($AK78,รายการมาตรฐาน!$G$2:$G$3,0),1))</f>
        <v/>
      </c>
      <c r="AM78" t="str">
        <f t="shared" si="47"/>
        <v/>
      </c>
      <c r="AN78" t="str">
        <f t="shared" si="48"/>
        <v/>
      </c>
      <c r="AO78">
        <f t="shared" si="49"/>
        <v>0</v>
      </c>
      <c r="AP78">
        <f t="shared" si="55"/>
        <v>0</v>
      </c>
      <c r="AQ78" t="str">
        <f t="shared" si="50"/>
        <v/>
      </c>
      <c r="AR78">
        <f>IF($Y78="",0,COUNTIF(บันทึกรายเที่ยว!$V$6:$V$10005,$Y78))</f>
        <v>0</v>
      </c>
      <c r="AS78">
        <f>IF($Y78="",0,ROUND(SUMIF(บันทึกรายเที่ยว!$V$6:$V$10005,$Y78,บันทึกรายเที่ยว!$M$6:$M$10005),2))</f>
        <v>0</v>
      </c>
      <c r="AT78">
        <f>IF($Y78="",0,IFERROR(INDEX(อัตราค่าขนส่ง!$J$5:$J$204,MATCH($Y78,อัตราค่าขนส่ง!$O$5:$O$204,0)),0))</f>
        <v>0</v>
      </c>
      <c r="AU78">
        <f t="shared" si="51"/>
        <v>0</v>
      </c>
      <c r="AV78">
        <f t="shared" si="52"/>
        <v>0</v>
      </c>
      <c r="AW78" t="str">
        <f>IF($Y78="","",IFERROR(INDEX(อัตราค่าขนส่ง!$F$5:$F$204,MATCH($Y78,อัตราค่าขนส่ง!$O$5:$O$204,0)),""))</f>
        <v/>
      </c>
      <c r="AX78" t="str">
        <f>IF($W78="","",INDEX(บันทึกรายเที่ยว!$D$6:$D$10005,$W78))</f>
        <v/>
      </c>
      <c r="AY78" t="str">
        <f>IF($W78="","",INDEX(บันทึกรายเที่ยว!$R$6:$R$10005,$W78))</f>
        <v/>
      </c>
      <c r="AZ78">
        <f t="shared" si="53"/>
        <v>0</v>
      </c>
      <c r="BA78" t="str">
        <f>IF($W78="","",INDEX(บันทึกรายเที่ยว!$E$6:$E$10005,$W78))</f>
        <v/>
      </c>
      <c r="BC78">
        <f>IF($Y78="",0,IFERROR(INDEX(อัตราค่าขนส่ง!$M$5:$M$204,MATCH($Y78,อัตราค่าขนส่ง!$O$5:$O$204,0)),0))</f>
        <v>0</v>
      </c>
      <c r="BD78">
        <f>IF($Y78="",0,IFERROR(INDEX(อัตราค่าขนส่ง!$N$5:$N$204,MATCH($Y78,อัตราค่าขนส่ง!$O$5:$O$204,0)),0))</f>
        <v>0</v>
      </c>
    </row>
    <row r="79" spans="1:56" ht="21" customHeight="1" x14ac:dyDescent="0.95">
      <c r="A79" s="36" t="str">
        <f>IF($AD79="","",IF($AD79="Z","รวมจ่ายทั้งสิ้น",IF($AD79="H",INDEX($X$5:$X$404,$AC79),IF($AD79="T","รวม",IF($AD79="B",IFERROR(INDEX(อัตราค่าขนส่ง!$U$5:$U$14,MATCH(INDEX($AM$5:$AM$404,$AC79),อัตราค่าขนส่ง!$T$5:$T$14,0)),"รวมกลุ่ม "&amp;INDEX($AM$5:$AM$404,$AC79)),INDEX($AY$5:$AY$404,$AC79))))))</f>
        <v/>
      </c>
      <c r="B79" s="31" t="str">
        <f t="shared" si="28"/>
        <v/>
      </c>
      <c r="C79" s="8" t="str">
        <f t="shared" si="29"/>
        <v/>
      </c>
      <c r="D79" s="37" t="str">
        <f t="shared" si="30"/>
        <v/>
      </c>
      <c r="E79" s="31" t="str">
        <f t="shared" si="31"/>
        <v/>
      </c>
      <c r="F79" s="32" t="str">
        <f t="shared" si="32"/>
        <v/>
      </c>
      <c r="G79" s="32" t="str">
        <f t="shared" si="33"/>
        <v/>
      </c>
      <c r="H79" s="32" t="str">
        <f t="shared" si="34"/>
        <v/>
      </c>
      <c r="I79" s="32" t="str">
        <f t="shared" si="35"/>
        <v/>
      </c>
      <c r="J79" s="46" t="str">
        <f t="shared" si="36"/>
        <v/>
      </c>
      <c r="K79" s="32" t="str">
        <f t="shared" si="37"/>
        <v/>
      </c>
      <c r="L79" s="32" t="str">
        <f t="shared" si="38"/>
        <v/>
      </c>
      <c r="M79" s="32" t="str">
        <f t="shared" si="39"/>
        <v/>
      </c>
      <c r="N79" s="32" t="str">
        <f t="shared" si="40"/>
        <v/>
      </c>
      <c r="O79" s="32" t="str">
        <f t="shared" si="41"/>
        <v/>
      </c>
      <c r="Q79" t="str">
        <f>IFERROR(MATCH(75,บันทึกรายเที่ยว!$Z$6:$Z$10005,0),"")</f>
        <v/>
      </c>
      <c r="R79" t="str">
        <f>IF($Q79="","",INDEX(บันทึกรายเที่ยว!$V$6:$V$10005,$Q79))</f>
        <v/>
      </c>
      <c r="S79" t="str">
        <f>IF($Q79="","",INDEX(บันทึกรายเที่ยว!$F$6:$F$10005,$Q79))</f>
        <v/>
      </c>
      <c r="T79" t="str">
        <f>IF($Q79="","",MATCH($S79,บันทึกรายเที่ยว!$F$6:$F$10005,0))</f>
        <v/>
      </c>
      <c r="U79" t="str">
        <f>IF($Q79="","",$AL79*10000000+$T79*1000+75)</f>
        <v/>
      </c>
      <c r="V79" t="str">
        <f>IFERROR(MATCH(SMALL($U$5:$U$404,75),$U$5:$U$404,0),"")</f>
        <v/>
      </c>
      <c r="W79" t="str">
        <f t="shared" si="42"/>
        <v/>
      </c>
      <c r="X79" t="str">
        <f t="shared" si="43"/>
        <v/>
      </c>
      <c r="Y79" t="str">
        <f t="shared" si="44"/>
        <v/>
      </c>
      <c r="Z79">
        <f t="shared" si="54"/>
        <v>0</v>
      </c>
      <c r="AA79">
        <f t="shared" si="45"/>
        <v>0</v>
      </c>
      <c r="AB79">
        <f>IF($V79="",99999+75,$AB78+1+$Z78+$AA78+$AO78)</f>
        <v>100074</v>
      </c>
      <c r="AC79" t="str">
        <f>IFERROR(MATCH(75,$AB$5:$AB$404,1),"")</f>
        <v/>
      </c>
      <c r="AD79" t="str">
        <f>IF(75=$AI$1+1,"Z",IF($AC79="","",IF(INDEX($V$5:$V$404,$AC79)="","",IF(75&gt;INDEX($AB$5:$AB$404,$AC79)+INDEX($Z$5:$Z$404,$AC79)+INDEX($AA$5:$AA$404,$AC79)+INDEX($AO$5:$AO$404,$AC79),"",IF(75=INDEX($AB$5:$AB$404,$AC79)+INDEX($Z$5:$Z$404,$AC79),"D",IF(AND(INDEX($Z$5:$Z$404,$AC79)=1,75=INDEX($AB$5:$AB$404,$AC79)),"H",IF(AND(INDEX($AO$5:$AO$404,$AC79)=1,75=INDEX($AB$5:$AB$404,$AC79)+INDEX($Z$5:$Z$404,$AC79)+INDEX($AA$5:$AA$404,$AC79)+INDEX($AO$5:$AO$404,$AC79)),"B","T")))))))</f>
        <v/>
      </c>
      <c r="AF79" t="str">
        <f t="shared" si="46"/>
        <v/>
      </c>
      <c r="AJ79">
        <f>IF($AD79&lt;&gt;"T",0,ROUND(SUMIF(oil!$B$4:$B$63,$AF79,oil!$AE$4:$AE$63),2))</f>
        <v>0</v>
      </c>
      <c r="AK79" t="str">
        <f>IF($S79="","",IFERROR(INDEX(อัตราค่าขนส่ง!$R$5:$R$54,MATCH($S79,อัตราค่าขนส่ง!$Q$5:$Q$54,0)),INDEX(รายการมาตรฐาน!$G$2:$G$3,1)))</f>
        <v/>
      </c>
      <c r="AL79" t="str">
        <f>IF($S79="","",IFERROR(MATCH($AK79,รายการมาตรฐาน!$G$2:$G$3,0),1))</f>
        <v/>
      </c>
      <c r="AM79" t="str">
        <f t="shared" si="47"/>
        <v/>
      </c>
      <c r="AN79" t="str">
        <f t="shared" si="48"/>
        <v/>
      </c>
      <c r="AO79">
        <f t="shared" si="49"/>
        <v>0</v>
      </c>
      <c r="AP79">
        <f t="shared" si="55"/>
        <v>0</v>
      </c>
      <c r="AQ79" t="str">
        <f t="shared" si="50"/>
        <v/>
      </c>
      <c r="AR79">
        <f>IF($Y79="",0,COUNTIF(บันทึกรายเที่ยว!$V$6:$V$10005,$Y79))</f>
        <v>0</v>
      </c>
      <c r="AS79">
        <f>IF($Y79="",0,ROUND(SUMIF(บันทึกรายเที่ยว!$V$6:$V$10005,$Y79,บันทึกรายเที่ยว!$M$6:$M$10005),2))</f>
        <v>0</v>
      </c>
      <c r="AT79">
        <f>IF($Y79="",0,IFERROR(INDEX(อัตราค่าขนส่ง!$J$5:$J$204,MATCH($Y79,อัตราค่าขนส่ง!$O$5:$O$204,0)),0))</f>
        <v>0</v>
      </c>
      <c r="AU79">
        <f t="shared" si="51"/>
        <v>0</v>
      </c>
      <c r="AV79">
        <f t="shared" si="52"/>
        <v>0</v>
      </c>
      <c r="AW79" t="str">
        <f>IF($Y79="","",IFERROR(INDEX(อัตราค่าขนส่ง!$F$5:$F$204,MATCH($Y79,อัตราค่าขนส่ง!$O$5:$O$204,0)),""))</f>
        <v/>
      </c>
      <c r="AX79" t="str">
        <f>IF($W79="","",INDEX(บันทึกรายเที่ยว!$D$6:$D$10005,$W79))</f>
        <v/>
      </c>
      <c r="AY79" t="str">
        <f>IF($W79="","",INDEX(บันทึกรายเที่ยว!$R$6:$R$10005,$W79))</f>
        <v/>
      </c>
      <c r="AZ79">
        <f t="shared" si="53"/>
        <v>0</v>
      </c>
      <c r="BA79" t="str">
        <f>IF($W79="","",INDEX(บันทึกรายเที่ยว!$E$6:$E$10005,$W79))</f>
        <v/>
      </c>
      <c r="BC79">
        <f>IF($Y79="",0,IFERROR(INDEX(อัตราค่าขนส่ง!$M$5:$M$204,MATCH($Y79,อัตราค่าขนส่ง!$O$5:$O$204,0)),0))</f>
        <v>0</v>
      </c>
      <c r="BD79">
        <f>IF($Y79="",0,IFERROR(INDEX(อัตราค่าขนส่ง!$N$5:$N$204,MATCH($Y79,อัตราค่าขนส่ง!$O$5:$O$204,0)),0))</f>
        <v>0</v>
      </c>
    </row>
    <row r="80" spans="1:56" ht="21" customHeight="1" x14ac:dyDescent="0.95">
      <c r="A80" s="36" t="str">
        <f>IF($AD80="","",IF($AD80="Z","รวมจ่ายทั้งสิ้น",IF($AD80="H",INDEX($X$5:$X$404,$AC80),IF($AD80="T","รวม",IF($AD80="B",IFERROR(INDEX(อัตราค่าขนส่ง!$U$5:$U$14,MATCH(INDEX($AM$5:$AM$404,$AC80),อัตราค่าขนส่ง!$T$5:$T$14,0)),"รวมกลุ่ม "&amp;INDEX($AM$5:$AM$404,$AC80)),INDEX($AY$5:$AY$404,$AC80))))))</f>
        <v/>
      </c>
      <c r="B80" s="31" t="str">
        <f t="shared" si="28"/>
        <v/>
      </c>
      <c r="C80" s="8" t="str">
        <f t="shared" si="29"/>
        <v/>
      </c>
      <c r="D80" s="37" t="str">
        <f t="shared" si="30"/>
        <v/>
      </c>
      <c r="E80" s="31" t="str">
        <f t="shared" si="31"/>
        <v/>
      </c>
      <c r="F80" s="32" t="str">
        <f t="shared" si="32"/>
        <v/>
      </c>
      <c r="G80" s="32" t="str">
        <f t="shared" si="33"/>
        <v/>
      </c>
      <c r="H80" s="32" t="str">
        <f t="shared" si="34"/>
        <v/>
      </c>
      <c r="I80" s="32" t="str">
        <f t="shared" si="35"/>
        <v/>
      </c>
      <c r="J80" s="46" t="str">
        <f t="shared" si="36"/>
        <v/>
      </c>
      <c r="K80" s="32" t="str">
        <f t="shared" si="37"/>
        <v/>
      </c>
      <c r="L80" s="32" t="str">
        <f t="shared" si="38"/>
        <v/>
      </c>
      <c r="M80" s="32" t="str">
        <f t="shared" si="39"/>
        <v/>
      </c>
      <c r="N80" s="32" t="str">
        <f t="shared" si="40"/>
        <v/>
      </c>
      <c r="O80" s="32" t="str">
        <f t="shared" si="41"/>
        <v/>
      </c>
      <c r="Q80" t="str">
        <f>IFERROR(MATCH(76,บันทึกรายเที่ยว!$Z$6:$Z$10005,0),"")</f>
        <v/>
      </c>
      <c r="R80" t="str">
        <f>IF($Q80="","",INDEX(บันทึกรายเที่ยว!$V$6:$V$10005,$Q80))</f>
        <v/>
      </c>
      <c r="S80" t="str">
        <f>IF($Q80="","",INDEX(บันทึกรายเที่ยว!$F$6:$F$10005,$Q80))</f>
        <v/>
      </c>
      <c r="T80" t="str">
        <f>IF($Q80="","",MATCH($S80,บันทึกรายเที่ยว!$F$6:$F$10005,0))</f>
        <v/>
      </c>
      <c r="U80" t="str">
        <f>IF($Q80="","",$AL80*10000000+$T80*1000+76)</f>
        <v/>
      </c>
      <c r="V80" t="str">
        <f>IFERROR(MATCH(SMALL($U$5:$U$404,76),$U$5:$U$404,0),"")</f>
        <v/>
      </c>
      <c r="W80" t="str">
        <f t="shared" si="42"/>
        <v/>
      </c>
      <c r="X80" t="str">
        <f t="shared" si="43"/>
        <v/>
      </c>
      <c r="Y80" t="str">
        <f t="shared" si="44"/>
        <v/>
      </c>
      <c r="Z80">
        <f t="shared" si="54"/>
        <v>0</v>
      </c>
      <c r="AA80">
        <f t="shared" si="45"/>
        <v>0</v>
      </c>
      <c r="AB80">
        <f>IF($V80="",99999+76,$AB79+1+$Z79+$AA79+$AO79)</f>
        <v>100075</v>
      </c>
      <c r="AC80" t="str">
        <f>IFERROR(MATCH(76,$AB$5:$AB$404,1),"")</f>
        <v/>
      </c>
      <c r="AD80" t="str">
        <f>IF(76=$AI$1+1,"Z",IF($AC80="","",IF(INDEX($V$5:$V$404,$AC80)="","",IF(76&gt;INDEX($AB$5:$AB$404,$AC80)+INDEX($Z$5:$Z$404,$AC80)+INDEX($AA$5:$AA$404,$AC80)+INDEX($AO$5:$AO$404,$AC80),"",IF(76=INDEX($AB$5:$AB$404,$AC80)+INDEX($Z$5:$Z$404,$AC80),"D",IF(AND(INDEX($Z$5:$Z$404,$AC80)=1,76=INDEX($AB$5:$AB$404,$AC80)),"H",IF(AND(INDEX($AO$5:$AO$404,$AC80)=1,76=INDEX($AB$5:$AB$404,$AC80)+INDEX($Z$5:$Z$404,$AC80)+INDEX($AA$5:$AA$404,$AC80)+INDEX($AO$5:$AO$404,$AC80)),"B","T")))))))</f>
        <v/>
      </c>
      <c r="AF80" t="str">
        <f t="shared" si="46"/>
        <v/>
      </c>
      <c r="AJ80">
        <f>IF($AD80&lt;&gt;"T",0,ROUND(SUMIF(oil!$B$4:$B$63,$AF80,oil!$AE$4:$AE$63),2))</f>
        <v>0</v>
      </c>
      <c r="AK80" t="str">
        <f>IF($S80="","",IFERROR(INDEX(อัตราค่าขนส่ง!$R$5:$R$54,MATCH($S80,อัตราค่าขนส่ง!$Q$5:$Q$54,0)),INDEX(รายการมาตรฐาน!$G$2:$G$3,1)))</f>
        <v/>
      </c>
      <c r="AL80" t="str">
        <f>IF($S80="","",IFERROR(MATCH($AK80,รายการมาตรฐาน!$G$2:$G$3,0),1))</f>
        <v/>
      </c>
      <c r="AM80" t="str">
        <f t="shared" si="47"/>
        <v/>
      </c>
      <c r="AN80" t="str">
        <f t="shared" si="48"/>
        <v/>
      </c>
      <c r="AO80">
        <f t="shared" si="49"/>
        <v>0</v>
      </c>
      <c r="AP80">
        <f t="shared" si="55"/>
        <v>0</v>
      </c>
      <c r="AQ80" t="str">
        <f t="shared" si="50"/>
        <v/>
      </c>
      <c r="AR80">
        <f>IF($Y80="",0,COUNTIF(บันทึกรายเที่ยว!$V$6:$V$10005,$Y80))</f>
        <v>0</v>
      </c>
      <c r="AS80">
        <f>IF($Y80="",0,ROUND(SUMIF(บันทึกรายเที่ยว!$V$6:$V$10005,$Y80,บันทึกรายเที่ยว!$M$6:$M$10005),2))</f>
        <v>0</v>
      </c>
      <c r="AT80">
        <f>IF($Y80="",0,IFERROR(INDEX(อัตราค่าขนส่ง!$J$5:$J$204,MATCH($Y80,อัตราค่าขนส่ง!$O$5:$O$204,0)),0))</f>
        <v>0</v>
      </c>
      <c r="AU80">
        <f t="shared" si="51"/>
        <v>0</v>
      </c>
      <c r="AV80">
        <f t="shared" si="52"/>
        <v>0</v>
      </c>
      <c r="AW80" t="str">
        <f>IF($Y80="","",IFERROR(INDEX(อัตราค่าขนส่ง!$F$5:$F$204,MATCH($Y80,อัตราค่าขนส่ง!$O$5:$O$204,0)),""))</f>
        <v/>
      </c>
      <c r="AX80" t="str">
        <f>IF($W80="","",INDEX(บันทึกรายเที่ยว!$D$6:$D$10005,$W80))</f>
        <v/>
      </c>
      <c r="AY80" t="str">
        <f>IF($W80="","",INDEX(บันทึกรายเที่ยว!$R$6:$R$10005,$W80))</f>
        <v/>
      </c>
      <c r="AZ80">
        <f t="shared" si="53"/>
        <v>0</v>
      </c>
      <c r="BA80" t="str">
        <f>IF($W80="","",INDEX(บันทึกรายเที่ยว!$E$6:$E$10005,$W80))</f>
        <v/>
      </c>
      <c r="BC80">
        <f>IF($Y80="",0,IFERROR(INDEX(อัตราค่าขนส่ง!$M$5:$M$204,MATCH($Y80,อัตราค่าขนส่ง!$O$5:$O$204,0)),0))</f>
        <v>0</v>
      </c>
      <c r="BD80">
        <f>IF($Y80="",0,IFERROR(INDEX(อัตราค่าขนส่ง!$N$5:$N$204,MATCH($Y80,อัตราค่าขนส่ง!$O$5:$O$204,0)),0))</f>
        <v>0</v>
      </c>
    </row>
    <row r="81" spans="1:56" ht="21" customHeight="1" x14ac:dyDescent="0.95">
      <c r="A81" s="36" t="str">
        <f>IF($AD81="","",IF($AD81="Z","รวมจ่ายทั้งสิ้น",IF($AD81="H",INDEX($X$5:$X$404,$AC81),IF($AD81="T","รวม",IF($AD81="B",IFERROR(INDEX(อัตราค่าขนส่ง!$U$5:$U$14,MATCH(INDEX($AM$5:$AM$404,$AC81),อัตราค่าขนส่ง!$T$5:$T$14,0)),"รวมกลุ่ม "&amp;INDEX($AM$5:$AM$404,$AC81)),INDEX($AY$5:$AY$404,$AC81))))))</f>
        <v/>
      </c>
      <c r="B81" s="31" t="str">
        <f t="shared" si="28"/>
        <v/>
      </c>
      <c r="C81" s="8" t="str">
        <f t="shared" si="29"/>
        <v/>
      </c>
      <c r="D81" s="37" t="str">
        <f t="shared" si="30"/>
        <v/>
      </c>
      <c r="E81" s="31" t="str">
        <f t="shared" si="31"/>
        <v/>
      </c>
      <c r="F81" s="32" t="str">
        <f t="shared" si="32"/>
        <v/>
      </c>
      <c r="G81" s="32" t="str">
        <f t="shared" si="33"/>
        <v/>
      </c>
      <c r="H81" s="32" t="str">
        <f t="shared" si="34"/>
        <v/>
      </c>
      <c r="I81" s="32" t="str">
        <f t="shared" si="35"/>
        <v/>
      </c>
      <c r="J81" s="46" t="str">
        <f t="shared" si="36"/>
        <v/>
      </c>
      <c r="K81" s="32" t="str">
        <f t="shared" si="37"/>
        <v/>
      </c>
      <c r="L81" s="32" t="str">
        <f t="shared" si="38"/>
        <v/>
      </c>
      <c r="M81" s="32" t="str">
        <f t="shared" si="39"/>
        <v/>
      </c>
      <c r="N81" s="32" t="str">
        <f t="shared" si="40"/>
        <v/>
      </c>
      <c r="O81" s="32" t="str">
        <f t="shared" si="41"/>
        <v/>
      </c>
      <c r="Q81" t="str">
        <f>IFERROR(MATCH(77,บันทึกรายเที่ยว!$Z$6:$Z$10005,0),"")</f>
        <v/>
      </c>
      <c r="R81" t="str">
        <f>IF($Q81="","",INDEX(บันทึกรายเที่ยว!$V$6:$V$10005,$Q81))</f>
        <v/>
      </c>
      <c r="S81" t="str">
        <f>IF($Q81="","",INDEX(บันทึกรายเที่ยว!$F$6:$F$10005,$Q81))</f>
        <v/>
      </c>
      <c r="T81" t="str">
        <f>IF($Q81="","",MATCH($S81,บันทึกรายเที่ยว!$F$6:$F$10005,0))</f>
        <v/>
      </c>
      <c r="U81" t="str">
        <f>IF($Q81="","",$AL81*10000000+$T81*1000+77)</f>
        <v/>
      </c>
      <c r="V81" t="str">
        <f>IFERROR(MATCH(SMALL($U$5:$U$404,77),$U$5:$U$404,0),"")</f>
        <v/>
      </c>
      <c r="W81" t="str">
        <f t="shared" si="42"/>
        <v/>
      </c>
      <c r="X81" t="str">
        <f t="shared" si="43"/>
        <v/>
      </c>
      <c r="Y81" t="str">
        <f t="shared" si="44"/>
        <v/>
      </c>
      <c r="Z81">
        <f t="shared" si="54"/>
        <v>0</v>
      </c>
      <c r="AA81">
        <f t="shared" si="45"/>
        <v>0</v>
      </c>
      <c r="AB81">
        <f>IF($V81="",99999+77,$AB80+1+$Z80+$AA80+$AO80)</f>
        <v>100076</v>
      </c>
      <c r="AC81" t="str">
        <f>IFERROR(MATCH(77,$AB$5:$AB$404,1),"")</f>
        <v/>
      </c>
      <c r="AD81" t="str">
        <f>IF(77=$AI$1+1,"Z",IF($AC81="","",IF(INDEX($V$5:$V$404,$AC81)="","",IF(77&gt;INDEX($AB$5:$AB$404,$AC81)+INDEX($Z$5:$Z$404,$AC81)+INDEX($AA$5:$AA$404,$AC81)+INDEX($AO$5:$AO$404,$AC81),"",IF(77=INDEX($AB$5:$AB$404,$AC81)+INDEX($Z$5:$Z$404,$AC81),"D",IF(AND(INDEX($Z$5:$Z$404,$AC81)=1,77=INDEX($AB$5:$AB$404,$AC81)),"H",IF(AND(INDEX($AO$5:$AO$404,$AC81)=1,77=INDEX($AB$5:$AB$404,$AC81)+INDEX($Z$5:$Z$404,$AC81)+INDEX($AA$5:$AA$404,$AC81)+INDEX($AO$5:$AO$404,$AC81)),"B","T")))))))</f>
        <v/>
      </c>
      <c r="AF81" t="str">
        <f t="shared" si="46"/>
        <v/>
      </c>
      <c r="AJ81">
        <f>IF($AD81&lt;&gt;"T",0,ROUND(SUMIF(oil!$B$4:$B$63,$AF81,oil!$AE$4:$AE$63),2))</f>
        <v>0</v>
      </c>
      <c r="AK81" t="str">
        <f>IF($S81="","",IFERROR(INDEX(อัตราค่าขนส่ง!$R$5:$R$54,MATCH($S81,อัตราค่าขนส่ง!$Q$5:$Q$54,0)),INDEX(รายการมาตรฐาน!$G$2:$G$3,1)))</f>
        <v/>
      </c>
      <c r="AL81" t="str">
        <f>IF($S81="","",IFERROR(MATCH($AK81,รายการมาตรฐาน!$G$2:$G$3,0),1))</f>
        <v/>
      </c>
      <c r="AM81" t="str">
        <f t="shared" si="47"/>
        <v/>
      </c>
      <c r="AN81" t="str">
        <f t="shared" si="48"/>
        <v/>
      </c>
      <c r="AO81">
        <f t="shared" si="49"/>
        <v>0</v>
      </c>
      <c r="AP81">
        <f t="shared" si="55"/>
        <v>0</v>
      </c>
      <c r="AQ81" t="str">
        <f t="shared" si="50"/>
        <v/>
      </c>
      <c r="AR81">
        <f>IF($Y81="",0,COUNTIF(บันทึกรายเที่ยว!$V$6:$V$10005,$Y81))</f>
        <v>0</v>
      </c>
      <c r="AS81">
        <f>IF($Y81="",0,ROUND(SUMIF(บันทึกรายเที่ยว!$V$6:$V$10005,$Y81,บันทึกรายเที่ยว!$M$6:$M$10005),2))</f>
        <v>0</v>
      </c>
      <c r="AT81">
        <f>IF($Y81="",0,IFERROR(INDEX(อัตราค่าขนส่ง!$J$5:$J$204,MATCH($Y81,อัตราค่าขนส่ง!$O$5:$O$204,0)),0))</f>
        <v>0</v>
      </c>
      <c r="AU81">
        <f t="shared" si="51"/>
        <v>0</v>
      </c>
      <c r="AV81">
        <f t="shared" si="52"/>
        <v>0</v>
      </c>
      <c r="AW81" t="str">
        <f>IF($Y81="","",IFERROR(INDEX(อัตราค่าขนส่ง!$F$5:$F$204,MATCH($Y81,อัตราค่าขนส่ง!$O$5:$O$204,0)),""))</f>
        <v/>
      </c>
      <c r="AX81" t="str">
        <f>IF($W81="","",INDEX(บันทึกรายเที่ยว!$D$6:$D$10005,$W81))</f>
        <v/>
      </c>
      <c r="AY81" t="str">
        <f>IF($W81="","",INDEX(บันทึกรายเที่ยว!$R$6:$R$10005,$W81))</f>
        <v/>
      </c>
      <c r="AZ81">
        <f t="shared" si="53"/>
        <v>0</v>
      </c>
      <c r="BA81" t="str">
        <f>IF($W81="","",INDEX(บันทึกรายเที่ยว!$E$6:$E$10005,$W81))</f>
        <v/>
      </c>
      <c r="BC81">
        <f>IF($Y81="",0,IFERROR(INDEX(อัตราค่าขนส่ง!$M$5:$M$204,MATCH($Y81,อัตราค่าขนส่ง!$O$5:$O$204,0)),0))</f>
        <v>0</v>
      </c>
      <c r="BD81">
        <f>IF($Y81="",0,IFERROR(INDEX(อัตราค่าขนส่ง!$N$5:$N$204,MATCH($Y81,อัตราค่าขนส่ง!$O$5:$O$204,0)),0))</f>
        <v>0</v>
      </c>
    </row>
    <row r="82" spans="1:56" ht="21" customHeight="1" x14ac:dyDescent="0.95">
      <c r="A82" s="36" t="str">
        <f>IF($AD82="","",IF($AD82="Z","รวมจ่ายทั้งสิ้น",IF($AD82="H",INDEX($X$5:$X$404,$AC82),IF($AD82="T","รวม",IF($AD82="B",IFERROR(INDEX(อัตราค่าขนส่ง!$U$5:$U$14,MATCH(INDEX($AM$5:$AM$404,$AC82),อัตราค่าขนส่ง!$T$5:$T$14,0)),"รวมกลุ่ม "&amp;INDEX($AM$5:$AM$404,$AC82)),INDEX($AY$5:$AY$404,$AC82))))))</f>
        <v/>
      </c>
      <c r="B82" s="31" t="str">
        <f t="shared" si="28"/>
        <v/>
      </c>
      <c r="C82" s="8" t="str">
        <f t="shared" si="29"/>
        <v/>
      </c>
      <c r="D82" s="37" t="str">
        <f t="shared" si="30"/>
        <v/>
      </c>
      <c r="E82" s="31" t="str">
        <f t="shared" si="31"/>
        <v/>
      </c>
      <c r="F82" s="32" t="str">
        <f t="shared" si="32"/>
        <v/>
      </c>
      <c r="G82" s="32" t="str">
        <f t="shared" si="33"/>
        <v/>
      </c>
      <c r="H82" s="32" t="str">
        <f t="shared" si="34"/>
        <v/>
      </c>
      <c r="I82" s="32" t="str">
        <f t="shared" si="35"/>
        <v/>
      </c>
      <c r="J82" s="46" t="str">
        <f t="shared" si="36"/>
        <v/>
      </c>
      <c r="K82" s="32" t="str">
        <f t="shared" si="37"/>
        <v/>
      </c>
      <c r="L82" s="32" t="str">
        <f t="shared" si="38"/>
        <v/>
      </c>
      <c r="M82" s="32" t="str">
        <f t="shared" si="39"/>
        <v/>
      </c>
      <c r="N82" s="32" t="str">
        <f t="shared" si="40"/>
        <v/>
      </c>
      <c r="O82" s="32" t="str">
        <f t="shared" si="41"/>
        <v/>
      </c>
      <c r="Q82" t="str">
        <f>IFERROR(MATCH(78,บันทึกรายเที่ยว!$Z$6:$Z$10005,0),"")</f>
        <v/>
      </c>
      <c r="R82" t="str">
        <f>IF($Q82="","",INDEX(บันทึกรายเที่ยว!$V$6:$V$10005,$Q82))</f>
        <v/>
      </c>
      <c r="S82" t="str">
        <f>IF($Q82="","",INDEX(บันทึกรายเที่ยว!$F$6:$F$10005,$Q82))</f>
        <v/>
      </c>
      <c r="T82" t="str">
        <f>IF($Q82="","",MATCH($S82,บันทึกรายเที่ยว!$F$6:$F$10005,0))</f>
        <v/>
      </c>
      <c r="U82" t="str">
        <f>IF($Q82="","",$AL82*10000000+$T82*1000+78)</f>
        <v/>
      </c>
      <c r="V82" t="str">
        <f>IFERROR(MATCH(SMALL($U$5:$U$404,78),$U$5:$U$404,0),"")</f>
        <v/>
      </c>
      <c r="W82" t="str">
        <f t="shared" si="42"/>
        <v/>
      </c>
      <c r="X82" t="str">
        <f t="shared" si="43"/>
        <v/>
      </c>
      <c r="Y82" t="str">
        <f t="shared" si="44"/>
        <v/>
      </c>
      <c r="Z82">
        <f t="shared" si="54"/>
        <v>0</v>
      </c>
      <c r="AA82">
        <f t="shared" si="45"/>
        <v>0</v>
      </c>
      <c r="AB82">
        <f>IF($V82="",99999+78,$AB81+1+$Z81+$AA81+$AO81)</f>
        <v>100077</v>
      </c>
      <c r="AC82" t="str">
        <f>IFERROR(MATCH(78,$AB$5:$AB$404,1),"")</f>
        <v/>
      </c>
      <c r="AD82" t="str">
        <f>IF(78=$AI$1+1,"Z",IF($AC82="","",IF(INDEX($V$5:$V$404,$AC82)="","",IF(78&gt;INDEX($AB$5:$AB$404,$AC82)+INDEX($Z$5:$Z$404,$AC82)+INDEX($AA$5:$AA$404,$AC82)+INDEX($AO$5:$AO$404,$AC82),"",IF(78=INDEX($AB$5:$AB$404,$AC82)+INDEX($Z$5:$Z$404,$AC82),"D",IF(AND(INDEX($Z$5:$Z$404,$AC82)=1,78=INDEX($AB$5:$AB$404,$AC82)),"H",IF(AND(INDEX($AO$5:$AO$404,$AC82)=1,78=INDEX($AB$5:$AB$404,$AC82)+INDEX($Z$5:$Z$404,$AC82)+INDEX($AA$5:$AA$404,$AC82)+INDEX($AO$5:$AO$404,$AC82)),"B","T")))))))</f>
        <v/>
      </c>
      <c r="AF82" t="str">
        <f t="shared" si="46"/>
        <v/>
      </c>
      <c r="AJ82">
        <f>IF($AD82&lt;&gt;"T",0,ROUND(SUMIF(oil!$B$4:$B$63,$AF82,oil!$AE$4:$AE$63),2))</f>
        <v>0</v>
      </c>
      <c r="AK82" t="str">
        <f>IF($S82="","",IFERROR(INDEX(อัตราค่าขนส่ง!$R$5:$R$54,MATCH($S82,อัตราค่าขนส่ง!$Q$5:$Q$54,0)),INDEX(รายการมาตรฐาน!$G$2:$G$3,1)))</f>
        <v/>
      </c>
      <c r="AL82" t="str">
        <f>IF($S82="","",IFERROR(MATCH($AK82,รายการมาตรฐาน!$G$2:$G$3,0),1))</f>
        <v/>
      </c>
      <c r="AM82" t="str">
        <f t="shared" si="47"/>
        <v/>
      </c>
      <c r="AN82" t="str">
        <f t="shared" si="48"/>
        <v/>
      </c>
      <c r="AO82">
        <f t="shared" si="49"/>
        <v>0</v>
      </c>
      <c r="AP82">
        <f t="shared" si="55"/>
        <v>0</v>
      </c>
      <c r="AQ82" t="str">
        <f t="shared" si="50"/>
        <v/>
      </c>
      <c r="AR82">
        <f>IF($Y82="",0,COUNTIF(บันทึกรายเที่ยว!$V$6:$V$10005,$Y82))</f>
        <v>0</v>
      </c>
      <c r="AS82">
        <f>IF($Y82="",0,ROUND(SUMIF(บันทึกรายเที่ยว!$V$6:$V$10005,$Y82,บันทึกรายเที่ยว!$M$6:$M$10005),2))</f>
        <v>0</v>
      </c>
      <c r="AT82">
        <f>IF($Y82="",0,IFERROR(INDEX(อัตราค่าขนส่ง!$J$5:$J$204,MATCH($Y82,อัตราค่าขนส่ง!$O$5:$O$204,0)),0))</f>
        <v>0</v>
      </c>
      <c r="AU82">
        <f t="shared" si="51"/>
        <v>0</v>
      </c>
      <c r="AV82">
        <f t="shared" si="52"/>
        <v>0</v>
      </c>
      <c r="AW82" t="str">
        <f>IF($Y82="","",IFERROR(INDEX(อัตราค่าขนส่ง!$F$5:$F$204,MATCH($Y82,อัตราค่าขนส่ง!$O$5:$O$204,0)),""))</f>
        <v/>
      </c>
      <c r="AX82" t="str">
        <f>IF($W82="","",INDEX(บันทึกรายเที่ยว!$D$6:$D$10005,$W82))</f>
        <v/>
      </c>
      <c r="AY82" t="str">
        <f>IF($W82="","",INDEX(บันทึกรายเที่ยว!$R$6:$R$10005,$W82))</f>
        <v/>
      </c>
      <c r="AZ82">
        <f t="shared" si="53"/>
        <v>0</v>
      </c>
      <c r="BA82" t="str">
        <f>IF($W82="","",INDEX(บันทึกรายเที่ยว!$E$6:$E$10005,$W82))</f>
        <v/>
      </c>
      <c r="BC82">
        <f>IF($Y82="",0,IFERROR(INDEX(อัตราค่าขนส่ง!$M$5:$M$204,MATCH($Y82,อัตราค่าขนส่ง!$O$5:$O$204,0)),0))</f>
        <v>0</v>
      </c>
      <c r="BD82">
        <f>IF($Y82="",0,IFERROR(INDEX(อัตราค่าขนส่ง!$N$5:$N$204,MATCH($Y82,อัตราค่าขนส่ง!$O$5:$O$204,0)),0))</f>
        <v>0</v>
      </c>
    </row>
    <row r="83" spans="1:56" ht="21" customHeight="1" x14ac:dyDescent="0.95">
      <c r="A83" s="36" t="str">
        <f>IF($AD83="","",IF($AD83="Z","รวมจ่ายทั้งสิ้น",IF($AD83="H",INDEX($X$5:$X$404,$AC83),IF($AD83="T","รวม",IF($AD83="B",IFERROR(INDEX(อัตราค่าขนส่ง!$U$5:$U$14,MATCH(INDEX($AM$5:$AM$404,$AC83),อัตราค่าขนส่ง!$T$5:$T$14,0)),"รวมกลุ่ม "&amp;INDEX($AM$5:$AM$404,$AC83)),INDEX($AY$5:$AY$404,$AC83))))))</f>
        <v/>
      </c>
      <c r="B83" s="31" t="str">
        <f t="shared" si="28"/>
        <v/>
      </c>
      <c r="C83" s="8" t="str">
        <f t="shared" si="29"/>
        <v/>
      </c>
      <c r="D83" s="37" t="str">
        <f t="shared" si="30"/>
        <v/>
      </c>
      <c r="E83" s="31" t="str">
        <f t="shared" si="31"/>
        <v/>
      </c>
      <c r="F83" s="32" t="str">
        <f t="shared" si="32"/>
        <v/>
      </c>
      <c r="G83" s="32" t="str">
        <f t="shared" si="33"/>
        <v/>
      </c>
      <c r="H83" s="32" t="str">
        <f t="shared" si="34"/>
        <v/>
      </c>
      <c r="I83" s="32" t="str">
        <f t="shared" si="35"/>
        <v/>
      </c>
      <c r="J83" s="46" t="str">
        <f t="shared" si="36"/>
        <v/>
      </c>
      <c r="K83" s="32" t="str">
        <f t="shared" si="37"/>
        <v/>
      </c>
      <c r="L83" s="32" t="str">
        <f t="shared" si="38"/>
        <v/>
      </c>
      <c r="M83" s="32" t="str">
        <f t="shared" si="39"/>
        <v/>
      </c>
      <c r="N83" s="32" t="str">
        <f t="shared" si="40"/>
        <v/>
      </c>
      <c r="O83" s="32" t="str">
        <f t="shared" si="41"/>
        <v/>
      </c>
      <c r="Q83" t="str">
        <f>IFERROR(MATCH(79,บันทึกรายเที่ยว!$Z$6:$Z$10005,0),"")</f>
        <v/>
      </c>
      <c r="R83" t="str">
        <f>IF($Q83="","",INDEX(บันทึกรายเที่ยว!$V$6:$V$10005,$Q83))</f>
        <v/>
      </c>
      <c r="S83" t="str">
        <f>IF($Q83="","",INDEX(บันทึกรายเที่ยว!$F$6:$F$10005,$Q83))</f>
        <v/>
      </c>
      <c r="T83" t="str">
        <f>IF($Q83="","",MATCH($S83,บันทึกรายเที่ยว!$F$6:$F$10005,0))</f>
        <v/>
      </c>
      <c r="U83" t="str">
        <f>IF($Q83="","",$AL83*10000000+$T83*1000+79)</f>
        <v/>
      </c>
      <c r="V83" t="str">
        <f>IFERROR(MATCH(SMALL($U$5:$U$404,79),$U$5:$U$404,0),"")</f>
        <v/>
      </c>
      <c r="W83" t="str">
        <f t="shared" si="42"/>
        <v/>
      </c>
      <c r="X83" t="str">
        <f t="shared" si="43"/>
        <v/>
      </c>
      <c r="Y83" t="str">
        <f t="shared" si="44"/>
        <v/>
      </c>
      <c r="Z83">
        <f t="shared" si="54"/>
        <v>0</v>
      </c>
      <c r="AA83">
        <f t="shared" si="45"/>
        <v>0</v>
      </c>
      <c r="AB83">
        <f>IF($V83="",99999+79,$AB82+1+$Z82+$AA82+$AO82)</f>
        <v>100078</v>
      </c>
      <c r="AC83" t="str">
        <f>IFERROR(MATCH(79,$AB$5:$AB$404,1),"")</f>
        <v/>
      </c>
      <c r="AD83" t="str">
        <f>IF(79=$AI$1+1,"Z",IF($AC83="","",IF(INDEX($V$5:$V$404,$AC83)="","",IF(79&gt;INDEX($AB$5:$AB$404,$AC83)+INDEX($Z$5:$Z$404,$AC83)+INDEX($AA$5:$AA$404,$AC83)+INDEX($AO$5:$AO$404,$AC83),"",IF(79=INDEX($AB$5:$AB$404,$AC83)+INDEX($Z$5:$Z$404,$AC83),"D",IF(AND(INDEX($Z$5:$Z$404,$AC83)=1,79=INDEX($AB$5:$AB$404,$AC83)),"H",IF(AND(INDEX($AO$5:$AO$404,$AC83)=1,79=INDEX($AB$5:$AB$404,$AC83)+INDEX($Z$5:$Z$404,$AC83)+INDEX($AA$5:$AA$404,$AC83)+INDEX($AO$5:$AO$404,$AC83)),"B","T")))))))</f>
        <v/>
      </c>
      <c r="AF83" t="str">
        <f t="shared" si="46"/>
        <v/>
      </c>
      <c r="AJ83">
        <f>IF($AD83&lt;&gt;"T",0,ROUND(SUMIF(oil!$B$4:$B$63,$AF83,oil!$AE$4:$AE$63),2))</f>
        <v>0</v>
      </c>
      <c r="AK83" t="str">
        <f>IF($S83="","",IFERROR(INDEX(อัตราค่าขนส่ง!$R$5:$R$54,MATCH($S83,อัตราค่าขนส่ง!$Q$5:$Q$54,0)),INDEX(รายการมาตรฐาน!$G$2:$G$3,1)))</f>
        <v/>
      </c>
      <c r="AL83" t="str">
        <f>IF($S83="","",IFERROR(MATCH($AK83,รายการมาตรฐาน!$G$2:$G$3,0),1))</f>
        <v/>
      </c>
      <c r="AM83" t="str">
        <f t="shared" si="47"/>
        <v/>
      </c>
      <c r="AN83" t="str">
        <f t="shared" si="48"/>
        <v/>
      </c>
      <c r="AO83">
        <f t="shared" si="49"/>
        <v>0</v>
      </c>
      <c r="AP83">
        <f t="shared" si="55"/>
        <v>0</v>
      </c>
      <c r="AQ83" t="str">
        <f t="shared" si="50"/>
        <v/>
      </c>
      <c r="AR83">
        <f>IF($Y83="",0,COUNTIF(บันทึกรายเที่ยว!$V$6:$V$10005,$Y83))</f>
        <v>0</v>
      </c>
      <c r="AS83">
        <f>IF($Y83="",0,ROUND(SUMIF(บันทึกรายเที่ยว!$V$6:$V$10005,$Y83,บันทึกรายเที่ยว!$M$6:$M$10005),2))</f>
        <v>0</v>
      </c>
      <c r="AT83">
        <f>IF($Y83="",0,IFERROR(INDEX(อัตราค่าขนส่ง!$J$5:$J$204,MATCH($Y83,อัตราค่าขนส่ง!$O$5:$O$204,0)),0))</f>
        <v>0</v>
      </c>
      <c r="AU83">
        <f t="shared" si="51"/>
        <v>0</v>
      </c>
      <c r="AV83">
        <f t="shared" si="52"/>
        <v>0</v>
      </c>
      <c r="AW83" t="str">
        <f>IF($Y83="","",IFERROR(INDEX(อัตราค่าขนส่ง!$F$5:$F$204,MATCH($Y83,อัตราค่าขนส่ง!$O$5:$O$204,0)),""))</f>
        <v/>
      </c>
      <c r="AX83" t="str">
        <f>IF($W83="","",INDEX(บันทึกรายเที่ยว!$D$6:$D$10005,$W83))</f>
        <v/>
      </c>
      <c r="AY83" t="str">
        <f>IF($W83="","",INDEX(บันทึกรายเที่ยว!$R$6:$R$10005,$W83))</f>
        <v/>
      </c>
      <c r="AZ83">
        <f t="shared" si="53"/>
        <v>0</v>
      </c>
      <c r="BA83" t="str">
        <f>IF($W83="","",INDEX(บันทึกรายเที่ยว!$E$6:$E$10005,$W83))</f>
        <v/>
      </c>
      <c r="BC83">
        <f>IF($Y83="",0,IFERROR(INDEX(อัตราค่าขนส่ง!$M$5:$M$204,MATCH($Y83,อัตราค่าขนส่ง!$O$5:$O$204,0)),0))</f>
        <v>0</v>
      </c>
      <c r="BD83">
        <f>IF($Y83="",0,IFERROR(INDEX(อัตราค่าขนส่ง!$N$5:$N$204,MATCH($Y83,อัตราค่าขนส่ง!$O$5:$O$204,0)),0))</f>
        <v>0</v>
      </c>
    </row>
    <row r="84" spans="1:56" ht="21" customHeight="1" x14ac:dyDescent="0.95">
      <c r="A84" s="36" t="str">
        <f>IF($AD84="","",IF($AD84="Z","รวมจ่ายทั้งสิ้น",IF($AD84="H",INDEX($X$5:$X$404,$AC84),IF($AD84="T","รวม",IF($AD84="B",IFERROR(INDEX(อัตราค่าขนส่ง!$U$5:$U$14,MATCH(INDEX($AM$5:$AM$404,$AC84),อัตราค่าขนส่ง!$T$5:$T$14,0)),"รวมกลุ่ม "&amp;INDEX($AM$5:$AM$404,$AC84)),INDEX($AY$5:$AY$404,$AC84))))))</f>
        <v/>
      </c>
      <c r="B84" s="31" t="str">
        <f t="shared" si="28"/>
        <v/>
      </c>
      <c r="C84" s="8" t="str">
        <f t="shared" si="29"/>
        <v/>
      </c>
      <c r="D84" s="37" t="str">
        <f t="shared" si="30"/>
        <v/>
      </c>
      <c r="E84" s="31" t="str">
        <f t="shared" si="31"/>
        <v/>
      </c>
      <c r="F84" s="32" t="str">
        <f t="shared" si="32"/>
        <v/>
      </c>
      <c r="G84" s="32" t="str">
        <f t="shared" si="33"/>
        <v/>
      </c>
      <c r="H84" s="32" t="str">
        <f t="shared" si="34"/>
        <v/>
      </c>
      <c r="I84" s="32" t="str">
        <f t="shared" si="35"/>
        <v/>
      </c>
      <c r="J84" s="46" t="str">
        <f t="shared" si="36"/>
        <v/>
      </c>
      <c r="K84" s="32" t="str">
        <f t="shared" si="37"/>
        <v/>
      </c>
      <c r="L84" s="32" t="str">
        <f t="shared" si="38"/>
        <v/>
      </c>
      <c r="M84" s="32" t="str">
        <f t="shared" si="39"/>
        <v/>
      </c>
      <c r="N84" s="32" t="str">
        <f t="shared" si="40"/>
        <v/>
      </c>
      <c r="O84" s="32" t="str">
        <f t="shared" si="41"/>
        <v/>
      </c>
      <c r="Q84" t="str">
        <f>IFERROR(MATCH(80,บันทึกรายเที่ยว!$Z$6:$Z$10005,0),"")</f>
        <v/>
      </c>
      <c r="R84" t="str">
        <f>IF($Q84="","",INDEX(บันทึกรายเที่ยว!$V$6:$V$10005,$Q84))</f>
        <v/>
      </c>
      <c r="S84" t="str">
        <f>IF($Q84="","",INDEX(บันทึกรายเที่ยว!$F$6:$F$10005,$Q84))</f>
        <v/>
      </c>
      <c r="T84" t="str">
        <f>IF($Q84="","",MATCH($S84,บันทึกรายเที่ยว!$F$6:$F$10005,0))</f>
        <v/>
      </c>
      <c r="U84" t="str">
        <f>IF($Q84="","",$AL84*10000000+$T84*1000+80)</f>
        <v/>
      </c>
      <c r="V84" t="str">
        <f>IFERROR(MATCH(SMALL($U$5:$U$404,80),$U$5:$U$404,0),"")</f>
        <v/>
      </c>
      <c r="W84" t="str">
        <f t="shared" si="42"/>
        <v/>
      </c>
      <c r="X84" t="str">
        <f t="shared" si="43"/>
        <v/>
      </c>
      <c r="Y84" t="str">
        <f t="shared" si="44"/>
        <v/>
      </c>
      <c r="Z84">
        <f t="shared" si="54"/>
        <v>0</v>
      </c>
      <c r="AA84">
        <f t="shared" si="45"/>
        <v>0</v>
      </c>
      <c r="AB84">
        <f>IF($V84="",99999+80,$AB83+1+$Z83+$AA83+$AO83)</f>
        <v>100079</v>
      </c>
      <c r="AC84" t="str">
        <f>IFERROR(MATCH(80,$AB$5:$AB$404,1),"")</f>
        <v/>
      </c>
      <c r="AD84" t="str">
        <f>IF(80=$AI$1+1,"Z",IF($AC84="","",IF(INDEX($V$5:$V$404,$AC84)="","",IF(80&gt;INDEX($AB$5:$AB$404,$AC84)+INDEX($Z$5:$Z$404,$AC84)+INDEX($AA$5:$AA$404,$AC84)+INDEX($AO$5:$AO$404,$AC84),"",IF(80=INDEX($AB$5:$AB$404,$AC84)+INDEX($Z$5:$Z$404,$AC84),"D",IF(AND(INDEX($Z$5:$Z$404,$AC84)=1,80=INDEX($AB$5:$AB$404,$AC84)),"H",IF(AND(INDEX($AO$5:$AO$404,$AC84)=1,80=INDEX($AB$5:$AB$404,$AC84)+INDEX($Z$5:$Z$404,$AC84)+INDEX($AA$5:$AA$404,$AC84)+INDEX($AO$5:$AO$404,$AC84)),"B","T")))))))</f>
        <v/>
      </c>
      <c r="AF84" t="str">
        <f t="shared" si="46"/>
        <v/>
      </c>
      <c r="AJ84">
        <f>IF($AD84&lt;&gt;"T",0,ROUND(SUMIF(oil!$B$4:$B$63,$AF84,oil!$AE$4:$AE$63),2))</f>
        <v>0</v>
      </c>
      <c r="AK84" t="str">
        <f>IF($S84="","",IFERROR(INDEX(อัตราค่าขนส่ง!$R$5:$R$54,MATCH($S84,อัตราค่าขนส่ง!$Q$5:$Q$54,0)),INDEX(รายการมาตรฐาน!$G$2:$G$3,1)))</f>
        <v/>
      </c>
      <c r="AL84" t="str">
        <f>IF($S84="","",IFERROR(MATCH($AK84,รายการมาตรฐาน!$G$2:$G$3,0),1))</f>
        <v/>
      </c>
      <c r="AM84" t="str">
        <f t="shared" si="47"/>
        <v/>
      </c>
      <c r="AN84" t="str">
        <f t="shared" si="48"/>
        <v/>
      </c>
      <c r="AO84">
        <f t="shared" si="49"/>
        <v>0</v>
      </c>
      <c r="AP84">
        <f t="shared" si="55"/>
        <v>0</v>
      </c>
      <c r="AQ84" t="str">
        <f t="shared" si="50"/>
        <v/>
      </c>
      <c r="AR84">
        <f>IF($Y84="",0,COUNTIF(บันทึกรายเที่ยว!$V$6:$V$10005,$Y84))</f>
        <v>0</v>
      </c>
      <c r="AS84">
        <f>IF($Y84="",0,ROUND(SUMIF(บันทึกรายเที่ยว!$V$6:$V$10005,$Y84,บันทึกรายเที่ยว!$M$6:$M$10005),2))</f>
        <v>0</v>
      </c>
      <c r="AT84">
        <f>IF($Y84="",0,IFERROR(INDEX(อัตราค่าขนส่ง!$J$5:$J$204,MATCH($Y84,อัตราค่าขนส่ง!$O$5:$O$204,0)),0))</f>
        <v>0</v>
      </c>
      <c r="AU84">
        <f t="shared" si="51"/>
        <v>0</v>
      </c>
      <c r="AV84">
        <f t="shared" si="52"/>
        <v>0</v>
      </c>
      <c r="AW84" t="str">
        <f>IF($Y84="","",IFERROR(INDEX(อัตราค่าขนส่ง!$F$5:$F$204,MATCH($Y84,อัตราค่าขนส่ง!$O$5:$O$204,0)),""))</f>
        <v/>
      </c>
      <c r="AX84" t="str">
        <f>IF($W84="","",INDEX(บันทึกรายเที่ยว!$D$6:$D$10005,$W84))</f>
        <v/>
      </c>
      <c r="AY84" t="str">
        <f>IF($W84="","",INDEX(บันทึกรายเที่ยว!$R$6:$R$10005,$W84))</f>
        <v/>
      </c>
      <c r="AZ84">
        <f t="shared" si="53"/>
        <v>0</v>
      </c>
      <c r="BA84" t="str">
        <f>IF($W84="","",INDEX(บันทึกรายเที่ยว!$E$6:$E$10005,$W84))</f>
        <v/>
      </c>
      <c r="BC84">
        <f>IF($Y84="",0,IFERROR(INDEX(อัตราค่าขนส่ง!$M$5:$M$204,MATCH($Y84,อัตราค่าขนส่ง!$O$5:$O$204,0)),0))</f>
        <v>0</v>
      </c>
      <c r="BD84">
        <f>IF($Y84="",0,IFERROR(INDEX(อัตราค่าขนส่ง!$N$5:$N$204,MATCH($Y84,อัตราค่าขนส่ง!$O$5:$O$204,0)),0))</f>
        <v>0</v>
      </c>
    </row>
    <row r="85" spans="1:56" ht="21" customHeight="1" x14ac:dyDescent="0.95">
      <c r="A85" s="36" t="str">
        <f>IF($AD85="","",IF($AD85="Z","รวมจ่ายทั้งสิ้น",IF($AD85="H",INDEX($X$5:$X$404,$AC85),IF($AD85="T","รวม",IF($AD85="B",IFERROR(INDEX(อัตราค่าขนส่ง!$U$5:$U$14,MATCH(INDEX($AM$5:$AM$404,$AC85),อัตราค่าขนส่ง!$T$5:$T$14,0)),"รวมกลุ่ม "&amp;INDEX($AM$5:$AM$404,$AC85)),INDEX($AY$5:$AY$404,$AC85))))))</f>
        <v/>
      </c>
      <c r="B85" s="31" t="str">
        <f t="shared" si="28"/>
        <v/>
      </c>
      <c r="C85" s="8" t="str">
        <f t="shared" si="29"/>
        <v/>
      </c>
      <c r="D85" s="37" t="str">
        <f t="shared" si="30"/>
        <v/>
      </c>
      <c r="E85" s="31" t="str">
        <f t="shared" si="31"/>
        <v/>
      </c>
      <c r="F85" s="32" t="str">
        <f t="shared" si="32"/>
        <v/>
      </c>
      <c r="G85" s="32" t="str">
        <f t="shared" si="33"/>
        <v/>
      </c>
      <c r="H85" s="32" t="str">
        <f t="shared" si="34"/>
        <v/>
      </c>
      <c r="I85" s="32" t="str">
        <f t="shared" si="35"/>
        <v/>
      </c>
      <c r="J85" s="46" t="str">
        <f t="shared" si="36"/>
        <v/>
      </c>
      <c r="K85" s="32" t="str">
        <f t="shared" si="37"/>
        <v/>
      </c>
      <c r="L85" s="32" t="str">
        <f t="shared" si="38"/>
        <v/>
      </c>
      <c r="M85" s="32" t="str">
        <f t="shared" si="39"/>
        <v/>
      </c>
      <c r="N85" s="32" t="str">
        <f t="shared" si="40"/>
        <v/>
      </c>
      <c r="O85" s="32" t="str">
        <f t="shared" si="41"/>
        <v/>
      </c>
      <c r="Q85" t="str">
        <f>IFERROR(MATCH(81,บันทึกรายเที่ยว!$Z$6:$Z$10005,0),"")</f>
        <v/>
      </c>
      <c r="R85" t="str">
        <f>IF($Q85="","",INDEX(บันทึกรายเที่ยว!$V$6:$V$10005,$Q85))</f>
        <v/>
      </c>
      <c r="S85" t="str">
        <f>IF($Q85="","",INDEX(บันทึกรายเที่ยว!$F$6:$F$10005,$Q85))</f>
        <v/>
      </c>
      <c r="T85" t="str">
        <f>IF($Q85="","",MATCH($S85,บันทึกรายเที่ยว!$F$6:$F$10005,0))</f>
        <v/>
      </c>
      <c r="U85" t="str">
        <f>IF($Q85="","",$AL85*10000000+$T85*1000+81)</f>
        <v/>
      </c>
      <c r="V85" t="str">
        <f>IFERROR(MATCH(SMALL($U$5:$U$404,81),$U$5:$U$404,0),"")</f>
        <v/>
      </c>
      <c r="W85" t="str">
        <f t="shared" si="42"/>
        <v/>
      </c>
      <c r="X85" t="str">
        <f t="shared" si="43"/>
        <v/>
      </c>
      <c r="Y85" t="str">
        <f t="shared" si="44"/>
        <v/>
      </c>
      <c r="Z85">
        <f t="shared" si="54"/>
        <v>0</v>
      </c>
      <c r="AA85">
        <f t="shared" si="45"/>
        <v>0</v>
      </c>
      <c r="AB85">
        <f>IF($V85="",99999+81,$AB84+1+$Z84+$AA84+$AO84)</f>
        <v>100080</v>
      </c>
      <c r="AC85" t="str">
        <f>IFERROR(MATCH(81,$AB$5:$AB$404,1),"")</f>
        <v/>
      </c>
      <c r="AD85" t="str">
        <f>IF(81=$AI$1+1,"Z",IF($AC85="","",IF(INDEX($V$5:$V$404,$AC85)="","",IF(81&gt;INDEX($AB$5:$AB$404,$AC85)+INDEX($Z$5:$Z$404,$AC85)+INDEX($AA$5:$AA$404,$AC85)+INDEX($AO$5:$AO$404,$AC85),"",IF(81=INDEX($AB$5:$AB$404,$AC85)+INDEX($Z$5:$Z$404,$AC85),"D",IF(AND(INDEX($Z$5:$Z$404,$AC85)=1,81=INDEX($AB$5:$AB$404,$AC85)),"H",IF(AND(INDEX($AO$5:$AO$404,$AC85)=1,81=INDEX($AB$5:$AB$404,$AC85)+INDEX($Z$5:$Z$404,$AC85)+INDEX($AA$5:$AA$404,$AC85)+INDEX($AO$5:$AO$404,$AC85)),"B","T")))))))</f>
        <v/>
      </c>
      <c r="AF85" t="str">
        <f t="shared" si="46"/>
        <v/>
      </c>
      <c r="AJ85">
        <f>IF($AD85&lt;&gt;"T",0,ROUND(SUMIF(oil!$B$4:$B$63,$AF85,oil!$AE$4:$AE$63),2))</f>
        <v>0</v>
      </c>
      <c r="AK85" t="str">
        <f>IF($S85="","",IFERROR(INDEX(อัตราค่าขนส่ง!$R$5:$R$54,MATCH($S85,อัตราค่าขนส่ง!$Q$5:$Q$54,0)),INDEX(รายการมาตรฐาน!$G$2:$G$3,1)))</f>
        <v/>
      </c>
      <c r="AL85" t="str">
        <f>IF($S85="","",IFERROR(MATCH($AK85,รายการมาตรฐาน!$G$2:$G$3,0),1))</f>
        <v/>
      </c>
      <c r="AM85" t="str">
        <f t="shared" si="47"/>
        <v/>
      </c>
      <c r="AN85" t="str">
        <f t="shared" si="48"/>
        <v/>
      </c>
      <c r="AO85">
        <f t="shared" si="49"/>
        <v>0</v>
      </c>
      <c r="AP85">
        <f t="shared" si="55"/>
        <v>0</v>
      </c>
      <c r="AQ85" t="str">
        <f t="shared" si="50"/>
        <v/>
      </c>
      <c r="AR85">
        <f>IF($Y85="",0,COUNTIF(บันทึกรายเที่ยว!$V$6:$V$10005,$Y85))</f>
        <v>0</v>
      </c>
      <c r="AS85">
        <f>IF($Y85="",0,ROUND(SUMIF(บันทึกรายเที่ยว!$V$6:$V$10005,$Y85,บันทึกรายเที่ยว!$M$6:$M$10005),2))</f>
        <v>0</v>
      </c>
      <c r="AT85">
        <f>IF($Y85="",0,IFERROR(INDEX(อัตราค่าขนส่ง!$J$5:$J$204,MATCH($Y85,อัตราค่าขนส่ง!$O$5:$O$204,0)),0))</f>
        <v>0</v>
      </c>
      <c r="AU85">
        <f t="shared" si="51"/>
        <v>0</v>
      </c>
      <c r="AV85">
        <f t="shared" si="52"/>
        <v>0</v>
      </c>
      <c r="AW85" t="str">
        <f>IF($Y85="","",IFERROR(INDEX(อัตราค่าขนส่ง!$F$5:$F$204,MATCH($Y85,อัตราค่าขนส่ง!$O$5:$O$204,0)),""))</f>
        <v/>
      </c>
      <c r="AX85" t="str">
        <f>IF($W85="","",INDEX(บันทึกรายเที่ยว!$D$6:$D$10005,$W85))</f>
        <v/>
      </c>
      <c r="AY85" t="str">
        <f>IF($W85="","",INDEX(บันทึกรายเที่ยว!$R$6:$R$10005,$W85))</f>
        <v/>
      </c>
      <c r="AZ85">
        <f t="shared" si="53"/>
        <v>0</v>
      </c>
      <c r="BA85" t="str">
        <f>IF($W85="","",INDEX(บันทึกรายเที่ยว!$E$6:$E$10005,$W85))</f>
        <v/>
      </c>
      <c r="BC85">
        <f>IF($Y85="",0,IFERROR(INDEX(อัตราค่าขนส่ง!$M$5:$M$204,MATCH($Y85,อัตราค่าขนส่ง!$O$5:$O$204,0)),0))</f>
        <v>0</v>
      </c>
      <c r="BD85">
        <f>IF($Y85="",0,IFERROR(INDEX(อัตราค่าขนส่ง!$N$5:$N$204,MATCH($Y85,อัตราค่าขนส่ง!$O$5:$O$204,0)),0))</f>
        <v>0</v>
      </c>
    </row>
    <row r="86" spans="1:56" ht="21" customHeight="1" x14ac:dyDescent="0.95">
      <c r="A86" s="36" t="str">
        <f>IF($AD86="","",IF($AD86="Z","รวมจ่ายทั้งสิ้น",IF($AD86="H",INDEX($X$5:$X$404,$AC86),IF($AD86="T","รวม",IF($AD86="B",IFERROR(INDEX(อัตราค่าขนส่ง!$U$5:$U$14,MATCH(INDEX($AM$5:$AM$404,$AC86),อัตราค่าขนส่ง!$T$5:$T$14,0)),"รวมกลุ่ม "&amp;INDEX($AM$5:$AM$404,$AC86)),INDEX($AY$5:$AY$404,$AC86))))))</f>
        <v/>
      </c>
      <c r="B86" s="31" t="str">
        <f t="shared" si="28"/>
        <v/>
      </c>
      <c r="C86" s="8" t="str">
        <f t="shared" si="29"/>
        <v/>
      </c>
      <c r="D86" s="37" t="str">
        <f t="shared" si="30"/>
        <v/>
      </c>
      <c r="E86" s="31" t="str">
        <f t="shared" si="31"/>
        <v/>
      </c>
      <c r="F86" s="32" t="str">
        <f t="shared" si="32"/>
        <v/>
      </c>
      <c r="G86" s="32" t="str">
        <f t="shared" si="33"/>
        <v/>
      </c>
      <c r="H86" s="32" t="str">
        <f t="shared" si="34"/>
        <v/>
      </c>
      <c r="I86" s="32" t="str">
        <f t="shared" si="35"/>
        <v/>
      </c>
      <c r="J86" s="46" t="str">
        <f t="shared" si="36"/>
        <v/>
      </c>
      <c r="K86" s="32" t="str">
        <f t="shared" si="37"/>
        <v/>
      </c>
      <c r="L86" s="32" t="str">
        <f t="shared" si="38"/>
        <v/>
      </c>
      <c r="M86" s="32" t="str">
        <f t="shared" si="39"/>
        <v/>
      </c>
      <c r="N86" s="32" t="str">
        <f t="shared" si="40"/>
        <v/>
      </c>
      <c r="O86" s="32" t="str">
        <f t="shared" si="41"/>
        <v/>
      </c>
      <c r="Q86" t="str">
        <f>IFERROR(MATCH(82,บันทึกรายเที่ยว!$Z$6:$Z$10005,0),"")</f>
        <v/>
      </c>
      <c r="R86" t="str">
        <f>IF($Q86="","",INDEX(บันทึกรายเที่ยว!$V$6:$V$10005,$Q86))</f>
        <v/>
      </c>
      <c r="S86" t="str">
        <f>IF($Q86="","",INDEX(บันทึกรายเที่ยว!$F$6:$F$10005,$Q86))</f>
        <v/>
      </c>
      <c r="T86" t="str">
        <f>IF($Q86="","",MATCH($S86,บันทึกรายเที่ยว!$F$6:$F$10005,0))</f>
        <v/>
      </c>
      <c r="U86" t="str">
        <f>IF($Q86="","",$AL86*10000000+$T86*1000+82)</f>
        <v/>
      </c>
      <c r="V86" t="str">
        <f>IFERROR(MATCH(SMALL($U$5:$U$404,82),$U$5:$U$404,0),"")</f>
        <v/>
      </c>
      <c r="W86" t="str">
        <f t="shared" si="42"/>
        <v/>
      </c>
      <c r="X86" t="str">
        <f t="shared" si="43"/>
        <v/>
      </c>
      <c r="Y86" t="str">
        <f t="shared" si="44"/>
        <v/>
      </c>
      <c r="Z86">
        <f t="shared" si="54"/>
        <v>0</v>
      </c>
      <c r="AA86">
        <f t="shared" si="45"/>
        <v>0</v>
      </c>
      <c r="AB86">
        <f>IF($V86="",99999+82,$AB85+1+$Z85+$AA85+$AO85)</f>
        <v>100081</v>
      </c>
      <c r="AC86" t="str">
        <f>IFERROR(MATCH(82,$AB$5:$AB$404,1),"")</f>
        <v/>
      </c>
      <c r="AD86" t="str">
        <f>IF(82=$AI$1+1,"Z",IF($AC86="","",IF(INDEX($V$5:$V$404,$AC86)="","",IF(82&gt;INDEX($AB$5:$AB$404,$AC86)+INDEX($Z$5:$Z$404,$AC86)+INDEX($AA$5:$AA$404,$AC86)+INDEX($AO$5:$AO$404,$AC86),"",IF(82=INDEX($AB$5:$AB$404,$AC86)+INDEX($Z$5:$Z$404,$AC86),"D",IF(AND(INDEX($Z$5:$Z$404,$AC86)=1,82=INDEX($AB$5:$AB$404,$AC86)),"H",IF(AND(INDEX($AO$5:$AO$404,$AC86)=1,82=INDEX($AB$5:$AB$404,$AC86)+INDEX($Z$5:$Z$404,$AC86)+INDEX($AA$5:$AA$404,$AC86)+INDEX($AO$5:$AO$404,$AC86)),"B","T")))))))</f>
        <v/>
      </c>
      <c r="AF86" t="str">
        <f t="shared" si="46"/>
        <v/>
      </c>
      <c r="AJ86">
        <f>IF($AD86&lt;&gt;"T",0,ROUND(SUMIF(oil!$B$4:$B$63,$AF86,oil!$AE$4:$AE$63),2))</f>
        <v>0</v>
      </c>
      <c r="AK86" t="str">
        <f>IF($S86="","",IFERROR(INDEX(อัตราค่าขนส่ง!$R$5:$R$54,MATCH($S86,อัตราค่าขนส่ง!$Q$5:$Q$54,0)),INDEX(รายการมาตรฐาน!$G$2:$G$3,1)))</f>
        <v/>
      </c>
      <c r="AL86" t="str">
        <f>IF($S86="","",IFERROR(MATCH($AK86,รายการมาตรฐาน!$G$2:$G$3,0),1))</f>
        <v/>
      </c>
      <c r="AM86" t="str">
        <f t="shared" si="47"/>
        <v/>
      </c>
      <c r="AN86" t="str">
        <f t="shared" si="48"/>
        <v/>
      </c>
      <c r="AO86">
        <f t="shared" si="49"/>
        <v>0</v>
      </c>
      <c r="AP86">
        <f t="shared" si="55"/>
        <v>0</v>
      </c>
      <c r="AQ86" t="str">
        <f t="shared" si="50"/>
        <v/>
      </c>
      <c r="AR86">
        <f>IF($Y86="",0,COUNTIF(บันทึกรายเที่ยว!$V$6:$V$10005,$Y86))</f>
        <v>0</v>
      </c>
      <c r="AS86">
        <f>IF($Y86="",0,ROUND(SUMIF(บันทึกรายเที่ยว!$V$6:$V$10005,$Y86,บันทึกรายเที่ยว!$M$6:$M$10005),2))</f>
        <v>0</v>
      </c>
      <c r="AT86">
        <f>IF($Y86="",0,IFERROR(INDEX(อัตราค่าขนส่ง!$J$5:$J$204,MATCH($Y86,อัตราค่าขนส่ง!$O$5:$O$204,0)),0))</f>
        <v>0</v>
      </c>
      <c r="AU86">
        <f t="shared" si="51"/>
        <v>0</v>
      </c>
      <c r="AV86">
        <f t="shared" si="52"/>
        <v>0</v>
      </c>
      <c r="AW86" t="str">
        <f>IF($Y86="","",IFERROR(INDEX(อัตราค่าขนส่ง!$F$5:$F$204,MATCH($Y86,อัตราค่าขนส่ง!$O$5:$O$204,0)),""))</f>
        <v/>
      </c>
      <c r="AX86" t="str">
        <f>IF($W86="","",INDEX(บันทึกรายเที่ยว!$D$6:$D$10005,$W86))</f>
        <v/>
      </c>
      <c r="AY86" t="str">
        <f>IF($W86="","",INDEX(บันทึกรายเที่ยว!$R$6:$R$10005,$W86))</f>
        <v/>
      </c>
      <c r="AZ86">
        <f t="shared" si="53"/>
        <v>0</v>
      </c>
      <c r="BA86" t="str">
        <f>IF($W86="","",INDEX(บันทึกรายเที่ยว!$E$6:$E$10005,$W86))</f>
        <v/>
      </c>
      <c r="BC86">
        <f>IF($Y86="",0,IFERROR(INDEX(อัตราค่าขนส่ง!$M$5:$M$204,MATCH($Y86,อัตราค่าขนส่ง!$O$5:$O$204,0)),0))</f>
        <v>0</v>
      </c>
      <c r="BD86">
        <f>IF($Y86="",0,IFERROR(INDEX(อัตราค่าขนส่ง!$N$5:$N$204,MATCH($Y86,อัตราค่าขนส่ง!$O$5:$O$204,0)),0))</f>
        <v>0</v>
      </c>
    </row>
    <row r="87" spans="1:56" ht="21" customHeight="1" x14ac:dyDescent="0.95">
      <c r="A87" s="36" t="str">
        <f>IF($AD87="","",IF($AD87="Z","รวมจ่ายทั้งสิ้น",IF($AD87="H",INDEX($X$5:$X$404,$AC87),IF($AD87="T","รวม",IF($AD87="B",IFERROR(INDEX(อัตราค่าขนส่ง!$U$5:$U$14,MATCH(INDEX($AM$5:$AM$404,$AC87),อัตราค่าขนส่ง!$T$5:$T$14,0)),"รวมกลุ่ม "&amp;INDEX($AM$5:$AM$404,$AC87)),INDEX($AY$5:$AY$404,$AC87))))))</f>
        <v/>
      </c>
      <c r="B87" s="31" t="str">
        <f t="shared" si="28"/>
        <v/>
      </c>
      <c r="C87" s="8" t="str">
        <f t="shared" si="29"/>
        <v/>
      </c>
      <c r="D87" s="37" t="str">
        <f t="shared" si="30"/>
        <v/>
      </c>
      <c r="E87" s="31" t="str">
        <f t="shared" si="31"/>
        <v/>
      </c>
      <c r="F87" s="32" t="str">
        <f t="shared" si="32"/>
        <v/>
      </c>
      <c r="G87" s="32" t="str">
        <f t="shared" si="33"/>
        <v/>
      </c>
      <c r="H87" s="32" t="str">
        <f t="shared" si="34"/>
        <v/>
      </c>
      <c r="I87" s="32" t="str">
        <f t="shared" si="35"/>
        <v/>
      </c>
      <c r="J87" s="46" t="str">
        <f t="shared" si="36"/>
        <v/>
      </c>
      <c r="K87" s="32" t="str">
        <f t="shared" si="37"/>
        <v/>
      </c>
      <c r="L87" s="32" t="str">
        <f t="shared" si="38"/>
        <v/>
      </c>
      <c r="M87" s="32" t="str">
        <f t="shared" si="39"/>
        <v/>
      </c>
      <c r="N87" s="32" t="str">
        <f t="shared" si="40"/>
        <v/>
      </c>
      <c r="O87" s="32" t="str">
        <f t="shared" si="41"/>
        <v/>
      </c>
      <c r="Q87" t="str">
        <f>IFERROR(MATCH(83,บันทึกรายเที่ยว!$Z$6:$Z$10005,0),"")</f>
        <v/>
      </c>
      <c r="R87" t="str">
        <f>IF($Q87="","",INDEX(บันทึกรายเที่ยว!$V$6:$V$10005,$Q87))</f>
        <v/>
      </c>
      <c r="S87" t="str">
        <f>IF($Q87="","",INDEX(บันทึกรายเที่ยว!$F$6:$F$10005,$Q87))</f>
        <v/>
      </c>
      <c r="T87" t="str">
        <f>IF($Q87="","",MATCH($S87,บันทึกรายเที่ยว!$F$6:$F$10005,0))</f>
        <v/>
      </c>
      <c r="U87" t="str">
        <f>IF($Q87="","",$AL87*10000000+$T87*1000+83)</f>
        <v/>
      </c>
      <c r="V87" t="str">
        <f>IFERROR(MATCH(SMALL($U$5:$U$404,83),$U$5:$U$404,0),"")</f>
        <v/>
      </c>
      <c r="W87" t="str">
        <f t="shared" si="42"/>
        <v/>
      </c>
      <c r="X87" t="str">
        <f t="shared" si="43"/>
        <v/>
      </c>
      <c r="Y87" t="str">
        <f t="shared" si="44"/>
        <v/>
      </c>
      <c r="Z87">
        <f t="shared" si="54"/>
        <v>0</v>
      </c>
      <c r="AA87">
        <f t="shared" si="45"/>
        <v>0</v>
      </c>
      <c r="AB87">
        <f>IF($V87="",99999+83,$AB86+1+$Z86+$AA86+$AO86)</f>
        <v>100082</v>
      </c>
      <c r="AC87" t="str">
        <f>IFERROR(MATCH(83,$AB$5:$AB$404,1),"")</f>
        <v/>
      </c>
      <c r="AD87" t="str">
        <f>IF(83=$AI$1+1,"Z",IF($AC87="","",IF(INDEX($V$5:$V$404,$AC87)="","",IF(83&gt;INDEX($AB$5:$AB$404,$AC87)+INDEX($Z$5:$Z$404,$AC87)+INDEX($AA$5:$AA$404,$AC87)+INDEX($AO$5:$AO$404,$AC87),"",IF(83=INDEX($AB$5:$AB$404,$AC87)+INDEX($Z$5:$Z$404,$AC87),"D",IF(AND(INDEX($Z$5:$Z$404,$AC87)=1,83=INDEX($AB$5:$AB$404,$AC87)),"H",IF(AND(INDEX($AO$5:$AO$404,$AC87)=1,83=INDEX($AB$5:$AB$404,$AC87)+INDEX($Z$5:$Z$404,$AC87)+INDEX($AA$5:$AA$404,$AC87)+INDEX($AO$5:$AO$404,$AC87)),"B","T")))))))</f>
        <v/>
      </c>
      <c r="AF87" t="str">
        <f t="shared" si="46"/>
        <v/>
      </c>
      <c r="AJ87">
        <f>IF($AD87&lt;&gt;"T",0,ROUND(SUMIF(oil!$B$4:$B$63,$AF87,oil!$AE$4:$AE$63),2))</f>
        <v>0</v>
      </c>
      <c r="AK87" t="str">
        <f>IF($S87="","",IFERROR(INDEX(อัตราค่าขนส่ง!$R$5:$R$54,MATCH($S87,อัตราค่าขนส่ง!$Q$5:$Q$54,0)),INDEX(รายการมาตรฐาน!$G$2:$G$3,1)))</f>
        <v/>
      </c>
      <c r="AL87" t="str">
        <f>IF($S87="","",IFERROR(MATCH($AK87,รายการมาตรฐาน!$G$2:$G$3,0),1))</f>
        <v/>
      </c>
      <c r="AM87" t="str">
        <f t="shared" si="47"/>
        <v/>
      </c>
      <c r="AN87" t="str">
        <f t="shared" si="48"/>
        <v/>
      </c>
      <c r="AO87">
        <f t="shared" si="49"/>
        <v>0</v>
      </c>
      <c r="AP87">
        <f t="shared" si="55"/>
        <v>0</v>
      </c>
      <c r="AQ87" t="str">
        <f t="shared" si="50"/>
        <v/>
      </c>
      <c r="AR87">
        <f>IF($Y87="",0,COUNTIF(บันทึกรายเที่ยว!$V$6:$V$10005,$Y87))</f>
        <v>0</v>
      </c>
      <c r="AS87">
        <f>IF($Y87="",0,ROUND(SUMIF(บันทึกรายเที่ยว!$V$6:$V$10005,$Y87,บันทึกรายเที่ยว!$M$6:$M$10005),2))</f>
        <v>0</v>
      </c>
      <c r="AT87">
        <f>IF($Y87="",0,IFERROR(INDEX(อัตราค่าขนส่ง!$J$5:$J$204,MATCH($Y87,อัตราค่าขนส่ง!$O$5:$O$204,0)),0))</f>
        <v>0</v>
      </c>
      <c r="AU87">
        <f t="shared" si="51"/>
        <v>0</v>
      </c>
      <c r="AV87">
        <f t="shared" si="52"/>
        <v>0</v>
      </c>
      <c r="AW87" t="str">
        <f>IF($Y87="","",IFERROR(INDEX(อัตราค่าขนส่ง!$F$5:$F$204,MATCH($Y87,อัตราค่าขนส่ง!$O$5:$O$204,0)),""))</f>
        <v/>
      </c>
      <c r="AX87" t="str">
        <f>IF($W87="","",INDEX(บันทึกรายเที่ยว!$D$6:$D$10005,$W87))</f>
        <v/>
      </c>
      <c r="AY87" t="str">
        <f>IF($W87="","",INDEX(บันทึกรายเที่ยว!$R$6:$R$10005,$W87))</f>
        <v/>
      </c>
      <c r="AZ87">
        <f t="shared" si="53"/>
        <v>0</v>
      </c>
      <c r="BA87" t="str">
        <f>IF($W87="","",INDEX(บันทึกรายเที่ยว!$E$6:$E$10005,$W87))</f>
        <v/>
      </c>
      <c r="BC87">
        <f>IF($Y87="",0,IFERROR(INDEX(อัตราค่าขนส่ง!$M$5:$M$204,MATCH($Y87,อัตราค่าขนส่ง!$O$5:$O$204,0)),0))</f>
        <v>0</v>
      </c>
      <c r="BD87">
        <f>IF($Y87="",0,IFERROR(INDEX(อัตราค่าขนส่ง!$N$5:$N$204,MATCH($Y87,อัตราค่าขนส่ง!$O$5:$O$204,0)),0))</f>
        <v>0</v>
      </c>
    </row>
    <row r="88" spans="1:56" ht="21" customHeight="1" x14ac:dyDescent="0.95">
      <c r="A88" s="36" t="str">
        <f>IF($AD88="","",IF($AD88="Z","รวมจ่ายทั้งสิ้น",IF($AD88="H",INDEX($X$5:$X$404,$AC88),IF($AD88="T","รวม",IF($AD88="B",IFERROR(INDEX(อัตราค่าขนส่ง!$U$5:$U$14,MATCH(INDEX($AM$5:$AM$404,$AC88),อัตราค่าขนส่ง!$T$5:$T$14,0)),"รวมกลุ่ม "&amp;INDEX($AM$5:$AM$404,$AC88)),INDEX($AY$5:$AY$404,$AC88))))))</f>
        <v/>
      </c>
      <c r="B88" s="31" t="str">
        <f t="shared" si="28"/>
        <v/>
      </c>
      <c r="C88" s="8" t="str">
        <f t="shared" si="29"/>
        <v/>
      </c>
      <c r="D88" s="37" t="str">
        <f t="shared" si="30"/>
        <v/>
      </c>
      <c r="E88" s="31" t="str">
        <f t="shared" si="31"/>
        <v/>
      </c>
      <c r="F88" s="32" t="str">
        <f t="shared" si="32"/>
        <v/>
      </c>
      <c r="G88" s="32" t="str">
        <f t="shared" si="33"/>
        <v/>
      </c>
      <c r="H88" s="32" t="str">
        <f t="shared" si="34"/>
        <v/>
      </c>
      <c r="I88" s="32" t="str">
        <f t="shared" si="35"/>
        <v/>
      </c>
      <c r="J88" s="46" t="str">
        <f t="shared" si="36"/>
        <v/>
      </c>
      <c r="K88" s="32" t="str">
        <f t="shared" si="37"/>
        <v/>
      </c>
      <c r="L88" s="32" t="str">
        <f t="shared" si="38"/>
        <v/>
      </c>
      <c r="M88" s="32" t="str">
        <f t="shared" si="39"/>
        <v/>
      </c>
      <c r="N88" s="32" t="str">
        <f t="shared" si="40"/>
        <v/>
      </c>
      <c r="O88" s="32" t="str">
        <f t="shared" si="41"/>
        <v/>
      </c>
      <c r="Q88" t="str">
        <f>IFERROR(MATCH(84,บันทึกรายเที่ยว!$Z$6:$Z$10005,0),"")</f>
        <v/>
      </c>
      <c r="R88" t="str">
        <f>IF($Q88="","",INDEX(บันทึกรายเที่ยว!$V$6:$V$10005,$Q88))</f>
        <v/>
      </c>
      <c r="S88" t="str">
        <f>IF($Q88="","",INDEX(บันทึกรายเที่ยว!$F$6:$F$10005,$Q88))</f>
        <v/>
      </c>
      <c r="T88" t="str">
        <f>IF($Q88="","",MATCH($S88,บันทึกรายเที่ยว!$F$6:$F$10005,0))</f>
        <v/>
      </c>
      <c r="U88" t="str">
        <f>IF($Q88="","",$AL88*10000000+$T88*1000+84)</f>
        <v/>
      </c>
      <c r="V88" t="str">
        <f>IFERROR(MATCH(SMALL($U$5:$U$404,84),$U$5:$U$404,0),"")</f>
        <v/>
      </c>
      <c r="W88" t="str">
        <f t="shared" si="42"/>
        <v/>
      </c>
      <c r="X88" t="str">
        <f t="shared" si="43"/>
        <v/>
      </c>
      <c r="Y88" t="str">
        <f t="shared" si="44"/>
        <v/>
      </c>
      <c r="Z88">
        <f t="shared" si="54"/>
        <v>0</v>
      </c>
      <c r="AA88">
        <f t="shared" si="45"/>
        <v>0</v>
      </c>
      <c r="AB88">
        <f>IF($V88="",99999+84,$AB87+1+$Z87+$AA87+$AO87)</f>
        <v>100083</v>
      </c>
      <c r="AC88" t="str">
        <f>IFERROR(MATCH(84,$AB$5:$AB$404,1),"")</f>
        <v/>
      </c>
      <c r="AD88" t="str">
        <f>IF(84=$AI$1+1,"Z",IF($AC88="","",IF(INDEX($V$5:$V$404,$AC88)="","",IF(84&gt;INDEX($AB$5:$AB$404,$AC88)+INDEX($Z$5:$Z$404,$AC88)+INDEX($AA$5:$AA$404,$AC88)+INDEX($AO$5:$AO$404,$AC88),"",IF(84=INDEX($AB$5:$AB$404,$AC88)+INDEX($Z$5:$Z$404,$AC88),"D",IF(AND(INDEX($Z$5:$Z$404,$AC88)=1,84=INDEX($AB$5:$AB$404,$AC88)),"H",IF(AND(INDEX($AO$5:$AO$404,$AC88)=1,84=INDEX($AB$5:$AB$404,$AC88)+INDEX($Z$5:$Z$404,$AC88)+INDEX($AA$5:$AA$404,$AC88)+INDEX($AO$5:$AO$404,$AC88)),"B","T")))))))</f>
        <v/>
      </c>
      <c r="AF88" t="str">
        <f t="shared" si="46"/>
        <v/>
      </c>
      <c r="AJ88">
        <f>IF($AD88&lt;&gt;"T",0,ROUND(SUMIF(oil!$B$4:$B$63,$AF88,oil!$AE$4:$AE$63),2))</f>
        <v>0</v>
      </c>
      <c r="AK88" t="str">
        <f>IF($S88="","",IFERROR(INDEX(อัตราค่าขนส่ง!$R$5:$R$54,MATCH($S88,อัตราค่าขนส่ง!$Q$5:$Q$54,0)),INDEX(รายการมาตรฐาน!$G$2:$G$3,1)))</f>
        <v/>
      </c>
      <c r="AL88" t="str">
        <f>IF($S88="","",IFERROR(MATCH($AK88,รายการมาตรฐาน!$G$2:$G$3,0),1))</f>
        <v/>
      </c>
      <c r="AM88" t="str">
        <f t="shared" si="47"/>
        <v/>
      </c>
      <c r="AN88" t="str">
        <f t="shared" si="48"/>
        <v/>
      </c>
      <c r="AO88">
        <f t="shared" si="49"/>
        <v>0</v>
      </c>
      <c r="AP88">
        <f t="shared" si="55"/>
        <v>0</v>
      </c>
      <c r="AQ88" t="str">
        <f t="shared" si="50"/>
        <v/>
      </c>
      <c r="AR88">
        <f>IF($Y88="",0,COUNTIF(บันทึกรายเที่ยว!$V$6:$V$10005,$Y88))</f>
        <v>0</v>
      </c>
      <c r="AS88">
        <f>IF($Y88="",0,ROUND(SUMIF(บันทึกรายเที่ยว!$V$6:$V$10005,$Y88,บันทึกรายเที่ยว!$M$6:$M$10005),2))</f>
        <v>0</v>
      </c>
      <c r="AT88">
        <f>IF($Y88="",0,IFERROR(INDEX(อัตราค่าขนส่ง!$J$5:$J$204,MATCH($Y88,อัตราค่าขนส่ง!$O$5:$O$204,0)),0))</f>
        <v>0</v>
      </c>
      <c r="AU88">
        <f t="shared" si="51"/>
        <v>0</v>
      </c>
      <c r="AV88">
        <f t="shared" si="52"/>
        <v>0</v>
      </c>
      <c r="AW88" t="str">
        <f>IF($Y88="","",IFERROR(INDEX(อัตราค่าขนส่ง!$F$5:$F$204,MATCH($Y88,อัตราค่าขนส่ง!$O$5:$O$204,0)),""))</f>
        <v/>
      </c>
      <c r="AX88" t="str">
        <f>IF($W88="","",INDEX(บันทึกรายเที่ยว!$D$6:$D$10005,$W88))</f>
        <v/>
      </c>
      <c r="AY88" t="str">
        <f>IF($W88="","",INDEX(บันทึกรายเที่ยว!$R$6:$R$10005,$W88))</f>
        <v/>
      </c>
      <c r="AZ88">
        <f t="shared" si="53"/>
        <v>0</v>
      </c>
      <c r="BA88" t="str">
        <f>IF($W88="","",INDEX(บันทึกรายเที่ยว!$E$6:$E$10005,$W88))</f>
        <v/>
      </c>
      <c r="BC88">
        <f>IF($Y88="",0,IFERROR(INDEX(อัตราค่าขนส่ง!$M$5:$M$204,MATCH($Y88,อัตราค่าขนส่ง!$O$5:$O$204,0)),0))</f>
        <v>0</v>
      </c>
      <c r="BD88">
        <f>IF($Y88="",0,IFERROR(INDEX(อัตราค่าขนส่ง!$N$5:$N$204,MATCH($Y88,อัตราค่าขนส่ง!$O$5:$O$204,0)),0))</f>
        <v>0</v>
      </c>
    </row>
    <row r="89" spans="1:56" ht="21" customHeight="1" x14ac:dyDescent="0.95">
      <c r="A89" s="36" t="str">
        <f>IF($AD89="","",IF($AD89="Z","รวมจ่ายทั้งสิ้น",IF($AD89="H",INDEX($X$5:$X$404,$AC89),IF($AD89="T","รวม",IF($AD89="B",IFERROR(INDEX(อัตราค่าขนส่ง!$U$5:$U$14,MATCH(INDEX($AM$5:$AM$404,$AC89),อัตราค่าขนส่ง!$T$5:$T$14,0)),"รวมกลุ่ม "&amp;INDEX($AM$5:$AM$404,$AC89)),INDEX($AY$5:$AY$404,$AC89))))))</f>
        <v/>
      </c>
      <c r="B89" s="31" t="str">
        <f t="shared" si="28"/>
        <v/>
      </c>
      <c r="C89" s="8" t="str">
        <f t="shared" si="29"/>
        <v/>
      </c>
      <c r="D89" s="37" t="str">
        <f t="shared" si="30"/>
        <v/>
      </c>
      <c r="E89" s="31" t="str">
        <f t="shared" si="31"/>
        <v/>
      </c>
      <c r="F89" s="32" t="str">
        <f t="shared" si="32"/>
        <v/>
      </c>
      <c r="G89" s="32" t="str">
        <f t="shared" si="33"/>
        <v/>
      </c>
      <c r="H89" s="32" t="str">
        <f t="shared" si="34"/>
        <v/>
      </c>
      <c r="I89" s="32" t="str">
        <f t="shared" si="35"/>
        <v/>
      </c>
      <c r="J89" s="46" t="str">
        <f t="shared" si="36"/>
        <v/>
      </c>
      <c r="K89" s="32" t="str">
        <f t="shared" si="37"/>
        <v/>
      </c>
      <c r="L89" s="32" t="str">
        <f t="shared" si="38"/>
        <v/>
      </c>
      <c r="M89" s="32" t="str">
        <f t="shared" si="39"/>
        <v/>
      </c>
      <c r="N89" s="32" t="str">
        <f t="shared" si="40"/>
        <v/>
      </c>
      <c r="O89" s="32" t="str">
        <f t="shared" si="41"/>
        <v/>
      </c>
      <c r="Q89" t="str">
        <f>IFERROR(MATCH(85,บันทึกรายเที่ยว!$Z$6:$Z$10005,0),"")</f>
        <v/>
      </c>
      <c r="R89" t="str">
        <f>IF($Q89="","",INDEX(บันทึกรายเที่ยว!$V$6:$V$10005,$Q89))</f>
        <v/>
      </c>
      <c r="S89" t="str">
        <f>IF($Q89="","",INDEX(บันทึกรายเที่ยว!$F$6:$F$10005,$Q89))</f>
        <v/>
      </c>
      <c r="T89" t="str">
        <f>IF($Q89="","",MATCH($S89,บันทึกรายเที่ยว!$F$6:$F$10005,0))</f>
        <v/>
      </c>
      <c r="U89" t="str">
        <f>IF($Q89="","",$AL89*10000000+$T89*1000+85)</f>
        <v/>
      </c>
      <c r="V89" t="str">
        <f>IFERROR(MATCH(SMALL($U$5:$U$404,85),$U$5:$U$404,0),"")</f>
        <v/>
      </c>
      <c r="W89" t="str">
        <f t="shared" si="42"/>
        <v/>
      </c>
      <c r="X89" t="str">
        <f t="shared" si="43"/>
        <v/>
      </c>
      <c r="Y89" t="str">
        <f t="shared" si="44"/>
        <v/>
      </c>
      <c r="Z89">
        <f t="shared" si="54"/>
        <v>0</v>
      </c>
      <c r="AA89">
        <f t="shared" si="45"/>
        <v>0</v>
      </c>
      <c r="AB89">
        <f>IF($V89="",99999+85,$AB88+1+$Z88+$AA88+$AO88)</f>
        <v>100084</v>
      </c>
      <c r="AC89" t="str">
        <f>IFERROR(MATCH(85,$AB$5:$AB$404,1),"")</f>
        <v/>
      </c>
      <c r="AD89" t="str">
        <f>IF(85=$AI$1+1,"Z",IF($AC89="","",IF(INDEX($V$5:$V$404,$AC89)="","",IF(85&gt;INDEX($AB$5:$AB$404,$AC89)+INDEX($Z$5:$Z$404,$AC89)+INDEX($AA$5:$AA$404,$AC89)+INDEX($AO$5:$AO$404,$AC89),"",IF(85=INDEX($AB$5:$AB$404,$AC89)+INDEX($Z$5:$Z$404,$AC89),"D",IF(AND(INDEX($Z$5:$Z$404,$AC89)=1,85=INDEX($AB$5:$AB$404,$AC89)),"H",IF(AND(INDEX($AO$5:$AO$404,$AC89)=1,85=INDEX($AB$5:$AB$404,$AC89)+INDEX($Z$5:$Z$404,$AC89)+INDEX($AA$5:$AA$404,$AC89)+INDEX($AO$5:$AO$404,$AC89)),"B","T")))))))</f>
        <v/>
      </c>
      <c r="AF89" t="str">
        <f t="shared" si="46"/>
        <v/>
      </c>
      <c r="AJ89">
        <f>IF($AD89&lt;&gt;"T",0,ROUND(SUMIF(oil!$B$4:$B$63,$AF89,oil!$AE$4:$AE$63),2))</f>
        <v>0</v>
      </c>
      <c r="AK89" t="str">
        <f>IF($S89="","",IFERROR(INDEX(อัตราค่าขนส่ง!$R$5:$R$54,MATCH($S89,อัตราค่าขนส่ง!$Q$5:$Q$54,0)),INDEX(รายการมาตรฐาน!$G$2:$G$3,1)))</f>
        <v/>
      </c>
      <c r="AL89" t="str">
        <f>IF($S89="","",IFERROR(MATCH($AK89,รายการมาตรฐาน!$G$2:$G$3,0),1))</f>
        <v/>
      </c>
      <c r="AM89" t="str">
        <f t="shared" si="47"/>
        <v/>
      </c>
      <c r="AN89" t="str">
        <f t="shared" si="48"/>
        <v/>
      </c>
      <c r="AO89">
        <f t="shared" si="49"/>
        <v>0</v>
      </c>
      <c r="AP89">
        <f t="shared" si="55"/>
        <v>0</v>
      </c>
      <c r="AQ89" t="str">
        <f t="shared" si="50"/>
        <v/>
      </c>
      <c r="AR89">
        <f>IF($Y89="",0,COUNTIF(บันทึกรายเที่ยว!$V$6:$V$10005,$Y89))</f>
        <v>0</v>
      </c>
      <c r="AS89">
        <f>IF($Y89="",0,ROUND(SUMIF(บันทึกรายเที่ยว!$V$6:$V$10005,$Y89,บันทึกรายเที่ยว!$M$6:$M$10005),2))</f>
        <v>0</v>
      </c>
      <c r="AT89">
        <f>IF($Y89="",0,IFERROR(INDEX(อัตราค่าขนส่ง!$J$5:$J$204,MATCH($Y89,อัตราค่าขนส่ง!$O$5:$O$204,0)),0))</f>
        <v>0</v>
      </c>
      <c r="AU89">
        <f t="shared" si="51"/>
        <v>0</v>
      </c>
      <c r="AV89">
        <f t="shared" si="52"/>
        <v>0</v>
      </c>
      <c r="AW89" t="str">
        <f>IF($Y89="","",IFERROR(INDEX(อัตราค่าขนส่ง!$F$5:$F$204,MATCH($Y89,อัตราค่าขนส่ง!$O$5:$O$204,0)),""))</f>
        <v/>
      </c>
      <c r="AX89" t="str">
        <f>IF($W89="","",INDEX(บันทึกรายเที่ยว!$D$6:$D$10005,$W89))</f>
        <v/>
      </c>
      <c r="AY89" t="str">
        <f>IF($W89="","",INDEX(บันทึกรายเที่ยว!$R$6:$R$10005,$W89))</f>
        <v/>
      </c>
      <c r="AZ89">
        <f t="shared" si="53"/>
        <v>0</v>
      </c>
      <c r="BA89" t="str">
        <f>IF($W89="","",INDEX(บันทึกรายเที่ยว!$E$6:$E$10005,$W89))</f>
        <v/>
      </c>
      <c r="BC89">
        <f>IF($Y89="",0,IFERROR(INDEX(อัตราค่าขนส่ง!$M$5:$M$204,MATCH($Y89,อัตราค่าขนส่ง!$O$5:$O$204,0)),0))</f>
        <v>0</v>
      </c>
      <c r="BD89">
        <f>IF($Y89="",0,IFERROR(INDEX(อัตราค่าขนส่ง!$N$5:$N$204,MATCH($Y89,อัตราค่าขนส่ง!$O$5:$O$204,0)),0))</f>
        <v>0</v>
      </c>
    </row>
    <row r="90" spans="1:56" ht="21" customHeight="1" x14ac:dyDescent="0.95">
      <c r="A90" s="36" t="str">
        <f>IF($AD90="","",IF($AD90="Z","รวมจ่ายทั้งสิ้น",IF($AD90="H",INDEX($X$5:$X$404,$AC90),IF($AD90="T","รวม",IF($AD90="B",IFERROR(INDEX(อัตราค่าขนส่ง!$U$5:$U$14,MATCH(INDEX($AM$5:$AM$404,$AC90),อัตราค่าขนส่ง!$T$5:$T$14,0)),"รวมกลุ่ม "&amp;INDEX($AM$5:$AM$404,$AC90)),INDEX($AY$5:$AY$404,$AC90))))))</f>
        <v/>
      </c>
      <c r="B90" s="31" t="str">
        <f t="shared" si="28"/>
        <v/>
      </c>
      <c r="C90" s="8" t="str">
        <f t="shared" si="29"/>
        <v/>
      </c>
      <c r="D90" s="37" t="str">
        <f t="shared" si="30"/>
        <v/>
      </c>
      <c r="E90" s="31" t="str">
        <f t="shared" si="31"/>
        <v/>
      </c>
      <c r="F90" s="32" t="str">
        <f t="shared" si="32"/>
        <v/>
      </c>
      <c r="G90" s="32" t="str">
        <f t="shared" si="33"/>
        <v/>
      </c>
      <c r="H90" s="32" t="str">
        <f t="shared" si="34"/>
        <v/>
      </c>
      <c r="I90" s="32" t="str">
        <f t="shared" si="35"/>
        <v/>
      </c>
      <c r="J90" s="46" t="str">
        <f t="shared" si="36"/>
        <v/>
      </c>
      <c r="K90" s="32" t="str">
        <f t="shared" si="37"/>
        <v/>
      </c>
      <c r="L90" s="32" t="str">
        <f t="shared" si="38"/>
        <v/>
      </c>
      <c r="M90" s="32" t="str">
        <f t="shared" si="39"/>
        <v/>
      </c>
      <c r="N90" s="32" t="str">
        <f t="shared" si="40"/>
        <v/>
      </c>
      <c r="O90" s="32" t="str">
        <f t="shared" si="41"/>
        <v/>
      </c>
      <c r="Q90" t="str">
        <f>IFERROR(MATCH(86,บันทึกรายเที่ยว!$Z$6:$Z$10005,0),"")</f>
        <v/>
      </c>
      <c r="R90" t="str">
        <f>IF($Q90="","",INDEX(บันทึกรายเที่ยว!$V$6:$V$10005,$Q90))</f>
        <v/>
      </c>
      <c r="S90" t="str">
        <f>IF($Q90="","",INDEX(บันทึกรายเที่ยว!$F$6:$F$10005,$Q90))</f>
        <v/>
      </c>
      <c r="T90" t="str">
        <f>IF($Q90="","",MATCH($S90,บันทึกรายเที่ยว!$F$6:$F$10005,0))</f>
        <v/>
      </c>
      <c r="U90" t="str">
        <f>IF($Q90="","",$AL90*10000000+$T90*1000+86)</f>
        <v/>
      </c>
      <c r="V90" t="str">
        <f>IFERROR(MATCH(SMALL($U$5:$U$404,86),$U$5:$U$404,0),"")</f>
        <v/>
      </c>
      <c r="W90" t="str">
        <f t="shared" si="42"/>
        <v/>
      </c>
      <c r="X90" t="str">
        <f t="shared" si="43"/>
        <v/>
      </c>
      <c r="Y90" t="str">
        <f t="shared" si="44"/>
        <v/>
      </c>
      <c r="Z90">
        <f t="shared" si="54"/>
        <v>0</v>
      </c>
      <c r="AA90">
        <f t="shared" si="45"/>
        <v>0</v>
      </c>
      <c r="AB90">
        <f>IF($V90="",99999+86,$AB89+1+$Z89+$AA89+$AO89)</f>
        <v>100085</v>
      </c>
      <c r="AC90" t="str">
        <f>IFERROR(MATCH(86,$AB$5:$AB$404,1),"")</f>
        <v/>
      </c>
      <c r="AD90" t="str">
        <f>IF(86=$AI$1+1,"Z",IF($AC90="","",IF(INDEX($V$5:$V$404,$AC90)="","",IF(86&gt;INDEX($AB$5:$AB$404,$AC90)+INDEX($Z$5:$Z$404,$AC90)+INDEX($AA$5:$AA$404,$AC90)+INDEX($AO$5:$AO$404,$AC90),"",IF(86=INDEX($AB$5:$AB$404,$AC90)+INDEX($Z$5:$Z$404,$AC90),"D",IF(AND(INDEX($Z$5:$Z$404,$AC90)=1,86=INDEX($AB$5:$AB$404,$AC90)),"H",IF(AND(INDEX($AO$5:$AO$404,$AC90)=1,86=INDEX($AB$5:$AB$404,$AC90)+INDEX($Z$5:$Z$404,$AC90)+INDEX($AA$5:$AA$404,$AC90)+INDEX($AO$5:$AO$404,$AC90)),"B","T")))))))</f>
        <v/>
      </c>
      <c r="AF90" t="str">
        <f t="shared" si="46"/>
        <v/>
      </c>
      <c r="AJ90">
        <f>IF($AD90&lt;&gt;"T",0,ROUND(SUMIF(oil!$B$4:$B$63,$AF90,oil!$AE$4:$AE$63),2))</f>
        <v>0</v>
      </c>
      <c r="AK90" t="str">
        <f>IF($S90="","",IFERROR(INDEX(อัตราค่าขนส่ง!$R$5:$R$54,MATCH($S90,อัตราค่าขนส่ง!$Q$5:$Q$54,0)),INDEX(รายการมาตรฐาน!$G$2:$G$3,1)))</f>
        <v/>
      </c>
      <c r="AL90" t="str">
        <f>IF($S90="","",IFERROR(MATCH($AK90,รายการมาตรฐาน!$G$2:$G$3,0),1))</f>
        <v/>
      </c>
      <c r="AM90" t="str">
        <f t="shared" si="47"/>
        <v/>
      </c>
      <c r="AN90" t="str">
        <f t="shared" si="48"/>
        <v/>
      </c>
      <c r="AO90">
        <f t="shared" si="49"/>
        <v>0</v>
      </c>
      <c r="AP90">
        <f t="shared" si="55"/>
        <v>0</v>
      </c>
      <c r="AQ90" t="str">
        <f t="shared" si="50"/>
        <v/>
      </c>
      <c r="AR90">
        <f>IF($Y90="",0,COUNTIF(บันทึกรายเที่ยว!$V$6:$V$10005,$Y90))</f>
        <v>0</v>
      </c>
      <c r="AS90">
        <f>IF($Y90="",0,ROUND(SUMIF(บันทึกรายเที่ยว!$V$6:$V$10005,$Y90,บันทึกรายเที่ยว!$M$6:$M$10005),2))</f>
        <v>0</v>
      </c>
      <c r="AT90">
        <f>IF($Y90="",0,IFERROR(INDEX(อัตราค่าขนส่ง!$J$5:$J$204,MATCH($Y90,อัตราค่าขนส่ง!$O$5:$O$204,0)),0))</f>
        <v>0</v>
      </c>
      <c r="AU90">
        <f t="shared" si="51"/>
        <v>0</v>
      </c>
      <c r="AV90">
        <f t="shared" si="52"/>
        <v>0</v>
      </c>
      <c r="AW90" t="str">
        <f>IF($Y90="","",IFERROR(INDEX(อัตราค่าขนส่ง!$F$5:$F$204,MATCH($Y90,อัตราค่าขนส่ง!$O$5:$O$204,0)),""))</f>
        <v/>
      </c>
      <c r="AX90" t="str">
        <f>IF($W90="","",INDEX(บันทึกรายเที่ยว!$D$6:$D$10005,$W90))</f>
        <v/>
      </c>
      <c r="AY90" t="str">
        <f>IF($W90="","",INDEX(บันทึกรายเที่ยว!$R$6:$R$10005,$W90))</f>
        <v/>
      </c>
      <c r="AZ90">
        <f t="shared" si="53"/>
        <v>0</v>
      </c>
      <c r="BA90" t="str">
        <f>IF($W90="","",INDEX(บันทึกรายเที่ยว!$E$6:$E$10005,$W90))</f>
        <v/>
      </c>
      <c r="BC90">
        <f>IF($Y90="",0,IFERROR(INDEX(อัตราค่าขนส่ง!$M$5:$M$204,MATCH($Y90,อัตราค่าขนส่ง!$O$5:$O$204,0)),0))</f>
        <v>0</v>
      </c>
      <c r="BD90">
        <f>IF($Y90="",0,IFERROR(INDEX(อัตราค่าขนส่ง!$N$5:$N$204,MATCH($Y90,อัตราค่าขนส่ง!$O$5:$O$204,0)),0))</f>
        <v>0</v>
      </c>
    </row>
    <row r="91" spans="1:56" ht="21" customHeight="1" x14ac:dyDescent="0.95">
      <c r="A91" s="36" t="str">
        <f>IF($AD91="","",IF($AD91="Z","รวมจ่ายทั้งสิ้น",IF($AD91="H",INDEX($X$5:$X$404,$AC91),IF($AD91="T","รวม",IF($AD91="B",IFERROR(INDEX(อัตราค่าขนส่ง!$U$5:$U$14,MATCH(INDEX($AM$5:$AM$404,$AC91),อัตราค่าขนส่ง!$T$5:$T$14,0)),"รวมกลุ่ม "&amp;INDEX($AM$5:$AM$404,$AC91)),INDEX($AY$5:$AY$404,$AC91))))))</f>
        <v/>
      </c>
      <c r="B91" s="31" t="str">
        <f t="shared" si="28"/>
        <v/>
      </c>
      <c r="C91" s="8" t="str">
        <f t="shared" si="29"/>
        <v/>
      </c>
      <c r="D91" s="37" t="str">
        <f t="shared" si="30"/>
        <v/>
      </c>
      <c r="E91" s="31" t="str">
        <f t="shared" si="31"/>
        <v/>
      </c>
      <c r="F91" s="32" t="str">
        <f t="shared" si="32"/>
        <v/>
      </c>
      <c r="G91" s="32" t="str">
        <f t="shared" si="33"/>
        <v/>
      </c>
      <c r="H91" s="32" t="str">
        <f t="shared" si="34"/>
        <v/>
      </c>
      <c r="I91" s="32" t="str">
        <f t="shared" si="35"/>
        <v/>
      </c>
      <c r="J91" s="46" t="str">
        <f t="shared" si="36"/>
        <v/>
      </c>
      <c r="K91" s="32" t="str">
        <f t="shared" si="37"/>
        <v/>
      </c>
      <c r="L91" s="32" t="str">
        <f t="shared" si="38"/>
        <v/>
      </c>
      <c r="M91" s="32" t="str">
        <f t="shared" si="39"/>
        <v/>
      </c>
      <c r="N91" s="32" t="str">
        <f t="shared" si="40"/>
        <v/>
      </c>
      <c r="O91" s="32" t="str">
        <f t="shared" si="41"/>
        <v/>
      </c>
      <c r="Q91" t="str">
        <f>IFERROR(MATCH(87,บันทึกรายเที่ยว!$Z$6:$Z$10005,0),"")</f>
        <v/>
      </c>
      <c r="R91" t="str">
        <f>IF($Q91="","",INDEX(บันทึกรายเที่ยว!$V$6:$V$10005,$Q91))</f>
        <v/>
      </c>
      <c r="S91" t="str">
        <f>IF($Q91="","",INDEX(บันทึกรายเที่ยว!$F$6:$F$10005,$Q91))</f>
        <v/>
      </c>
      <c r="T91" t="str">
        <f>IF($Q91="","",MATCH($S91,บันทึกรายเที่ยว!$F$6:$F$10005,0))</f>
        <v/>
      </c>
      <c r="U91" t="str">
        <f>IF($Q91="","",$AL91*10000000+$T91*1000+87)</f>
        <v/>
      </c>
      <c r="V91" t="str">
        <f>IFERROR(MATCH(SMALL($U$5:$U$404,87),$U$5:$U$404,0),"")</f>
        <v/>
      </c>
      <c r="W91" t="str">
        <f t="shared" si="42"/>
        <v/>
      </c>
      <c r="X91" t="str">
        <f t="shared" si="43"/>
        <v/>
      </c>
      <c r="Y91" t="str">
        <f t="shared" si="44"/>
        <v/>
      </c>
      <c r="Z91">
        <f t="shared" si="54"/>
        <v>0</v>
      </c>
      <c r="AA91">
        <f t="shared" si="45"/>
        <v>0</v>
      </c>
      <c r="AB91">
        <f>IF($V91="",99999+87,$AB90+1+$Z90+$AA90+$AO90)</f>
        <v>100086</v>
      </c>
      <c r="AC91" t="str">
        <f>IFERROR(MATCH(87,$AB$5:$AB$404,1),"")</f>
        <v/>
      </c>
      <c r="AD91" t="str">
        <f>IF(87=$AI$1+1,"Z",IF($AC91="","",IF(INDEX($V$5:$V$404,$AC91)="","",IF(87&gt;INDEX($AB$5:$AB$404,$AC91)+INDEX($Z$5:$Z$404,$AC91)+INDEX($AA$5:$AA$404,$AC91)+INDEX($AO$5:$AO$404,$AC91),"",IF(87=INDEX($AB$5:$AB$404,$AC91)+INDEX($Z$5:$Z$404,$AC91),"D",IF(AND(INDEX($Z$5:$Z$404,$AC91)=1,87=INDEX($AB$5:$AB$404,$AC91)),"H",IF(AND(INDEX($AO$5:$AO$404,$AC91)=1,87=INDEX($AB$5:$AB$404,$AC91)+INDEX($Z$5:$Z$404,$AC91)+INDEX($AA$5:$AA$404,$AC91)+INDEX($AO$5:$AO$404,$AC91)),"B","T")))))))</f>
        <v/>
      </c>
      <c r="AF91" t="str">
        <f t="shared" si="46"/>
        <v/>
      </c>
      <c r="AJ91">
        <f>IF($AD91&lt;&gt;"T",0,ROUND(SUMIF(oil!$B$4:$B$63,$AF91,oil!$AE$4:$AE$63),2))</f>
        <v>0</v>
      </c>
      <c r="AK91" t="str">
        <f>IF($S91="","",IFERROR(INDEX(อัตราค่าขนส่ง!$R$5:$R$54,MATCH($S91,อัตราค่าขนส่ง!$Q$5:$Q$54,0)),INDEX(รายการมาตรฐาน!$G$2:$G$3,1)))</f>
        <v/>
      </c>
      <c r="AL91" t="str">
        <f>IF($S91="","",IFERROR(MATCH($AK91,รายการมาตรฐาน!$G$2:$G$3,0),1))</f>
        <v/>
      </c>
      <c r="AM91" t="str">
        <f t="shared" si="47"/>
        <v/>
      </c>
      <c r="AN91" t="str">
        <f t="shared" si="48"/>
        <v/>
      </c>
      <c r="AO91">
        <f t="shared" si="49"/>
        <v>0</v>
      </c>
      <c r="AP91">
        <f t="shared" si="55"/>
        <v>0</v>
      </c>
      <c r="AQ91" t="str">
        <f t="shared" si="50"/>
        <v/>
      </c>
      <c r="AR91">
        <f>IF($Y91="",0,COUNTIF(บันทึกรายเที่ยว!$V$6:$V$10005,$Y91))</f>
        <v>0</v>
      </c>
      <c r="AS91">
        <f>IF($Y91="",0,ROUND(SUMIF(บันทึกรายเที่ยว!$V$6:$V$10005,$Y91,บันทึกรายเที่ยว!$M$6:$M$10005),2))</f>
        <v>0</v>
      </c>
      <c r="AT91">
        <f>IF($Y91="",0,IFERROR(INDEX(อัตราค่าขนส่ง!$J$5:$J$204,MATCH($Y91,อัตราค่าขนส่ง!$O$5:$O$204,0)),0))</f>
        <v>0</v>
      </c>
      <c r="AU91">
        <f t="shared" si="51"/>
        <v>0</v>
      </c>
      <c r="AV91">
        <f t="shared" si="52"/>
        <v>0</v>
      </c>
      <c r="AW91" t="str">
        <f>IF($Y91="","",IFERROR(INDEX(อัตราค่าขนส่ง!$F$5:$F$204,MATCH($Y91,อัตราค่าขนส่ง!$O$5:$O$204,0)),""))</f>
        <v/>
      </c>
      <c r="AX91" t="str">
        <f>IF($W91="","",INDEX(บันทึกรายเที่ยว!$D$6:$D$10005,$W91))</f>
        <v/>
      </c>
      <c r="AY91" t="str">
        <f>IF($W91="","",INDEX(บันทึกรายเที่ยว!$R$6:$R$10005,$W91))</f>
        <v/>
      </c>
      <c r="AZ91">
        <f t="shared" si="53"/>
        <v>0</v>
      </c>
      <c r="BA91" t="str">
        <f>IF($W91="","",INDEX(บันทึกรายเที่ยว!$E$6:$E$10005,$W91))</f>
        <v/>
      </c>
      <c r="BC91">
        <f>IF($Y91="",0,IFERROR(INDEX(อัตราค่าขนส่ง!$M$5:$M$204,MATCH($Y91,อัตราค่าขนส่ง!$O$5:$O$204,0)),0))</f>
        <v>0</v>
      </c>
      <c r="BD91">
        <f>IF($Y91="",0,IFERROR(INDEX(อัตราค่าขนส่ง!$N$5:$N$204,MATCH($Y91,อัตราค่าขนส่ง!$O$5:$O$204,0)),0))</f>
        <v>0</v>
      </c>
    </row>
    <row r="92" spans="1:56" ht="21" customHeight="1" x14ac:dyDescent="0.95">
      <c r="A92" s="36" t="str">
        <f>IF($AD92="","",IF($AD92="Z","รวมจ่ายทั้งสิ้น",IF($AD92="H",INDEX($X$5:$X$404,$AC92),IF($AD92="T","รวม",IF($AD92="B",IFERROR(INDEX(อัตราค่าขนส่ง!$U$5:$U$14,MATCH(INDEX($AM$5:$AM$404,$AC92),อัตราค่าขนส่ง!$T$5:$T$14,0)),"รวมกลุ่ม "&amp;INDEX($AM$5:$AM$404,$AC92)),INDEX($AY$5:$AY$404,$AC92))))))</f>
        <v/>
      </c>
      <c r="B92" s="31" t="str">
        <f t="shared" si="28"/>
        <v/>
      </c>
      <c r="C92" s="8" t="str">
        <f t="shared" si="29"/>
        <v/>
      </c>
      <c r="D92" s="37" t="str">
        <f t="shared" si="30"/>
        <v/>
      </c>
      <c r="E92" s="31" t="str">
        <f t="shared" si="31"/>
        <v/>
      </c>
      <c r="F92" s="32" t="str">
        <f t="shared" si="32"/>
        <v/>
      </c>
      <c r="G92" s="32" t="str">
        <f t="shared" si="33"/>
        <v/>
      </c>
      <c r="H92" s="32" t="str">
        <f t="shared" si="34"/>
        <v/>
      </c>
      <c r="I92" s="32" t="str">
        <f t="shared" si="35"/>
        <v/>
      </c>
      <c r="J92" s="46" t="str">
        <f t="shared" si="36"/>
        <v/>
      </c>
      <c r="K92" s="32" t="str">
        <f t="shared" si="37"/>
        <v/>
      </c>
      <c r="L92" s="32" t="str">
        <f t="shared" si="38"/>
        <v/>
      </c>
      <c r="M92" s="32" t="str">
        <f t="shared" si="39"/>
        <v/>
      </c>
      <c r="N92" s="32" t="str">
        <f t="shared" si="40"/>
        <v/>
      </c>
      <c r="O92" s="32" t="str">
        <f t="shared" si="41"/>
        <v/>
      </c>
      <c r="Q92" t="str">
        <f>IFERROR(MATCH(88,บันทึกรายเที่ยว!$Z$6:$Z$10005,0),"")</f>
        <v/>
      </c>
      <c r="R92" t="str">
        <f>IF($Q92="","",INDEX(บันทึกรายเที่ยว!$V$6:$V$10005,$Q92))</f>
        <v/>
      </c>
      <c r="S92" t="str">
        <f>IF($Q92="","",INDEX(บันทึกรายเที่ยว!$F$6:$F$10005,$Q92))</f>
        <v/>
      </c>
      <c r="T92" t="str">
        <f>IF($Q92="","",MATCH($S92,บันทึกรายเที่ยว!$F$6:$F$10005,0))</f>
        <v/>
      </c>
      <c r="U92" t="str">
        <f>IF($Q92="","",$AL92*10000000+$T92*1000+88)</f>
        <v/>
      </c>
      <c r="V92" t="str">
        <f>IFERROR(MATCH(SMALL($U$5:$U$404,88),$U$5:$U$404,0),"")</f>
        <v/>
      </c>
      <c r="W92" t="str">
        <f t="shared" si="42"/>
        <v/>
      </c>
      <c r="X92" t="str">
        <f t="shared" si="43"/>
        <v/>
      </c>
      <c r="Y92" t="str">
        <f t="shared" si="44"/>
        <v/>
      </c>
      <c r="Z92">
        <f t="shared" si="54"/>
        <v>0</v>
      </c>
      <c r="AA92">
        <f t="shared" si="45"/>
        <v>0</v>
      </c>
      <c r="AB92">
        <f>IF($V92="",99999+88,$AB91+1+$Z91+$AA91+$AO91)</f>
        <v>100087</v>
      </c>
      <c r="AC92" t="str">
        <f>IFERROR(MATCH(88,$AB$5:$AB$404,1),"")</f>
        <v/>
      </c>
      <c r="AD92" t="str">
        <f>IF(88=$AI$1+1,"Z",IF($AC92="","",IF(INDEX($V$5:$V$404,$AC92)="","",IF(88&gt;INDEX($AB$5:$AB$404,$AC92)+INDEX($Z$5:$Z$404,$AC92)+INDEX($AA$5:$AA$404,$AC92)+INDEX($AO$5:$AO$404,$AC92),"",IF(88=INDEX($AB$5:$AB$404,$AC92)+INDEX($Z$5:$Z$404,$AC92),"D",IF(AND(INDEX($Z$5:$Z$404,$AC92)=1,88=INDEX($AB$5:$AB$404,$AC92)),"H",IF(AND(INDEX($AO$5:$AO$404,$AC92)=1,88=INDEX($AB$5:$AB$404,$AC92)+INDEX($Z$5:$Z$404,$AC92)+INDEX($AA$5:$AA$404,$AC92)+INDEX($AO$5:$AO$404,$AC92)),"B","T")))))))</f>
        <v/>
      </c>
      <c r="AF92" t="str">
        <f t="shared" si="46"/>
        <v/>
      </c>
      <c r="AJ92">
        <f>IF($AD92&lt;&gt;"T",0,ROUND(SUMIF(oil!$B$4:$B$63,$AF92,oil!$AE$4:$AE$63),2))</f>
        <v>0</v>
      </c>
      <c r="AK92" t="str">
        <f>IF($S92="","",IFERROR(INDEX(อัตราค่าขนส่ง!$R$5:$R$54,MATCH($S92,อัตราค่าขนส่ง!$Q$5:$Q$54,0)),INDEX(รายการมาตรฐาน!$G$2:$G$3,1)))</f>
        <v/>
      </c>
      <c r="AL92" t="str">
        <f>IF($S92="","",IFERROR(MATCH($AK92,รายการมาตรฐาน!$G$2:$G$3,0),1))</f>
        <v/>
      </c>
      <c r="AM92" t="str">
        <f t="shared" si="47"/>
        <v/>
      </c>
      <c r="AN92" t="str">
        <f t="shared" si="48"/>
        <v/>
      </c>
      <c r="AO92">
        <f t="shared" si="49"/>
        <v>0</v>
      </c>
      <c r="AP92">
        <f t="shared" si="55"/>
        <v>0</v>
      </c>
      <c r="AQ92" t="str">
        <f t="shared" si="50"/>
        <v/>
      </c>
      <c r="AR92">
        <f>IF($Y92="",0,COUNTIF(บันทึกรายเที่ยว!$V$6:$V$10005,$Y92))</f>
        <v>0</v>
      </c>
      <c r="AS92">
        <f>IF($Y92="",0,ROUND(SUMIF(บันทึกรายเที่ยว!$V$6:$V$10005,$Y92,บันทึกรายเที่ยว!$M$6:$M$10005),2))</f>
        <v>0</v>
      </c>
      <c r="AT92">
        <f>IF($Y92="",0,IFERROR(INDEX(อัตราค่าขนส่ง!$J$5:$J$204,MATCH($Y92,อัตราค่าขนส่ง!$O$5:$O$204,0)),0))</f>
        <v>0</v>
      </c>
      <c r="AU92">
        <f t="shared" si="51"/>
        <v>0</v>
      </c>
      <c r="AV92">
        <f t="shared" si="52"/>
        <v>0</v>
      </c>
      <c r="AW92" t="str">
        <f>IF($Y92="","",IFERROR(INDEX(อัตราค่าขนส่ง!$F$5:$F$204,MATCH($Y92,อัตราค่าขนส่ง!$O$5:$O$204,0)),""))</f>
        <v/>
      </c>
      <c r="AX92" t="str">
        <f>IF($W92="","",INDEX(บันทึกรายเที่ยว!$D$6:$D$10005,$W92))</f>
        <v/>
      </c>
      <c r="AY92" t="str">
        <f>IF($W92="","",INDEX(บันทึกรายเที่ยว!$R$6:$R$10005,$W92))</f>
        <v/>
      </c>
      <c r="AZ92">
        <f t="shared" si="53"/>
        <v>0</v>
      </c>
      <c r="BA92" t="str">
        <f>IF($W92="","",INDEX(บันทึกรายเที่ยว!$E$6:$E$10005,$W92))</f>
        <v/>
      </c>
      <c r="BC92">
        <f>IF($Y92="",0,IFERROR(INDEX(อัตราค่าขนส่ง!$M$5:$M$204,MATCH($Y92,อัตราค่าขนส่ง!$O$5:$O$204,0)),0))</f>
        <v>0</v>
      </c>
      <c r="BD92">
        <f>IF($Y92="",0,IFERROR(INDEX(อัตราค่าขนส่ง!$N$5:$N$204,MATCH($Y92,อัตราค่าขนส่ง!$O$5:$O$204,0)),0))</f>
        <v>0</v>
      </c>
    </row>
    <row r="93" spans="1:56" ht="21" customHeight="1" x14ac:dyDescent="0.95">
      <c r="A93" s="36" t="str">
        <f>IF($AD93="","",IF($AD93="Z","รวมจ่ายทั้งสิ้น",IF($AD93="H",INDEX($X$5:$X$404,$AC93),IF($AD93="T","รวม",IF($AD93="B",IFERROR(INDEX(อัตราค่าขนส่ง!$U$5:$U$14,MATCH(INDEX($AM$5:$AM$404,$AC93),อัตราค่าขนส่ง!$T$5:$T$14,0)),"รวมกลุ่ม "&amp;INDEX($AM$5:$AM$404,$AC93)),INDEX($AY$5:$AY$404,$AC93))))))</f>
        <v/>
      </c>
      <c r="B93" s="31" t="str">
        <f t="shared" si="28"/>
        <v/>
      </c>
      <c r="C93" s="8" t="str">
        <f t="shared" si="29"/>
        <v/>
      </c>
      <c r="D93" s="37" t="str">
        <f t="shared" si="30"/>
        <v/>
      </c>
      <c r="E93" s="31" t="str">
        <f t="shared" si="31"/>
        <v/>
      </c>
      <c r="F93" s="32" t="str">
        <f t="shared" si="32"/>
        <v/>
      </c>
      <c r="G93" s="32" t="str">
        <f t="shared" si="33"/>
        <v/>
      </c>
      <c r="H93" s="32" t="str">
        <f t="shared" si="34"/>
        <v/>
      </c>
      <c r="I93" s="32" t="str">
        <f t="shared" si="35"/>
        <v/>
      </c>
      <c r="J93" s="46" t="str">
        <f t="shared" si="36"/>
        <v/>
      </c>
      <c r="K93" s="32" t="str">
        <f t="shared" si="37"/>
        <v/>
      </c>
      <c r="L93" s="32" t="str">
        <f t="shared" si="38"/>
        <v/>
      </c>
      <c r="M93" s="32" t="str">
        <f t="shared" si="39"/>
        <v/>
      </c>
      <c r="N93" s="32" t="str">
        <f t="shared" si="40"/>
        <v/>
      </c>
      <c r="O93" s="32" t="str">
        <f t="shared" si="41"/>
        <v/>
      </c>
      <c r="Q93" t="str">
        <f>IFERROR(MATCH(89,บันทึกรายเที่ยว!$Z$6:$Z$10005,0),"")</f>
        <v/>
      </c>
      <c r="R93" t="str">
        <f>IF($Q93="","",INDEX(บันทึกรายเที่ยว!$V$6:$V$10005,$Q93))</f>
        <v/>
      </c>
      <c r="S93" t="str">
        <f>IF($Q93="","",INDEX(บันทึกรายเที่ยว!$F$6:$F$10005,$Q93))</f>
        <v/>
      </c>
      <c r="T93" t="str">
        <f>IF($Q93="","",MATCH($S93,บันทึกรายเที่ยว!$F$6:$F$10005,0))</f>
        <v/>
      </c>
      <c r="U93" t="str">
        <f>IF($Q93="","",$AL93*10000000+$T93*1000+89)</f>
        <v/>
      </c>
      <c r="V93" t="str">
        <f>IFERROR(MATCH(SMALL($U$5:$U$404,89),$U$5:$U$404,0),"")</f>
        <v/>
      </c>
      <c r="W93" t="str">
        <f t="shared" si="42"/>
        <v/>
      </c>
      <c r="X93" t="str">
        <f t="shared" si="43"/>
        <v/>
      </c>
      <c r="Y93" t="str">
        <f t="shared" si="44"/>
        <v/>
      </c>
      <c r="Z93">
        <f t="shared" si="54"/>
        <v>0</v>
      </c>
      <c r="AA93">
        <f t="shared" si="45"/>
        <v>0</v>
      </c>
      <c r="AB93">
        <f>IF($V93="",99999+89,$AB92+1+$Z92+$AA92+$AO92)</f>
        <v>100088</v>
      </c>
      <c r="AC93" t="str">
        <f>IFERROR(MATCH(89,$AB$5:$AB$404,1),"")</f>
        <v/>
      </c>
      <c r="AD93" t="str">
        <f>IF(89=$AI$1+1,"Z",IF($AC93="","",IF(INDEX($V$5:$V$404,$AC93)="","",IF(89&gt;INDEX($AB$5:$AB$404,$AC93)+INDEX($Z$5:$Z$404,$AC93)+INDEX($AA$5:$AA$404,$AC93)+INDEX($AO$5:$AO$404,$AC93),"",IF(89=INDEX($AB$5:$AB$404,$AC93)+INDEX($Z$5:$Z$404,$AC93),"D",IF(AND(INDEX($Z$5:$Z$404,$AC93)=1,89=INDEX($AB$5:$AB$404,$AC93)),"H",IF(AND(INDEX($AO$5:$AO$404,$AC93)=1,89=INDEX($AB$5:$AB$404,$AC93)+INDEX($Z$5:$Z$404,$AC93)+INDEX($AA$5:$AA$404,$AC93)+INDEX($AO$5:$AO$404,$AC93)),"B","T")))))))</f>
        <v/>
      </c>
      <c r="AF93" t="str">
        <f t="shared" si="46"/>
        <v/>
      </c>
      <c r="AJ93">
        <f>IF($AD93&lt;&gt;"T",0,ROUND(SUMIF(oil!$B$4:$B$63,$AF93,oil!$AE$4:$AE$63),2))</f>
        <v>0</v>
      </c>
      <c r="AK93" t="str">
        <f>IF($S93="","",IFERROR(INDEX(อัตราค่าขนส่ง!$R$5:$R$54,MATCH($S93,อัตราค่าขนส่ง!$Q$5:$Q$54,0)),INDEX(รายการมาตรฐาน!$G$2:$G$3,1)))</f>
        <v/>
      </c>
      <c r="AL93" t="str">
        <f>IF($S93="","",IFERROR(MATCH($AK93,รายการมาตรฐาน!$G$2:$G$3,0),1))</f>
        <v/>
      </c>
      <c r="AM93" t="str">
        <f t="shared" si="47"/>
        <v/>
      </c>
      <c r="AN93" t="str">
        <f t="shared" si="48"/>
        <v/>
      </c>
      <c r="AO93">
        <f t="shared" si="49"/>
        <v>0</v>
      </c>
      <c r="AP93">
        <f t="shared" si="55"/>
        <v>0</v>
      </c>
      <c r="AQ93" t="str">
        <f t="shared" si="50"/>
        <v/>
      </c>
      <c r="AR93">
        <f>IF($Y93="",0,COUNTIF(บันทึกรายเที่ยว!$V$6:$V$10005,$Y93))</f>
        <v>0</v>
      </c>
      <c r="AS93">
        <f>IF($Y93="",0,ROUND(SUMIF(บันทึกรายเที่ยว!$V$6:$V$10005,$Y93,บันทึกรายเที่ยว!$M$6:$M$10005),2))</f>
        <v>0</v>
      </c>
      <c r="AT93">
        <f>IF($Y93="",0,IFERROR(INDEX(อัตราค่าขนส่ง!$J$5:$J$204,MATCH($Y93,อัตราค่าขนส่ง!$O$5:$O$204,0)),0))</f>
        <v>0</v>
      </c>
      <c r="AU93">
        <f t="shared" si="51"/>
        <v>0</v>
      </c>
      <c r="AV93">
        <f t="shared" si="52"/>
        <v>0</v>
      </c>
      <c r="AW93" t="str">
        <f>IF($Y93="","",IFERROR(INDEX(อัตราค่าขนส่ง!$F$5:$F$204,MATCH($Y93,อัตราค่าขนส่ง!$O$5:$O$204,0)),""))</f>
        <v/>
      </c>
      <c r="AX93" t="str">
        <f>IF($W93="","",INDEX(บันทึกรายเที่ยว!$D$6:$D$10005,$W93))</f>
        <v/>
      </c>
      <c r="AY93" t="str">
        <f>IF($W93="","",INDEX(บันทึกรายเที่ยว!$R$6:$R$10005,$W93))</f>
        <v/>
      </c>
      <c r="AZ93">
        <f t="shared" si="53"/>
        <v>0</v>
      </c>
      <c r="BA93" t="str">
        <f>IF($W93="","",INDEX(บันทึกรายเที่ยว!$E$6:$E$10005,$W93))</f>
        <v/>
      </c>
      <c r="BC93">
        <f>IF($Y93="",0,IFERROR(INDEX(อัตราค่าขนส่ง!$M$5:$M$204,MATCH($Y93,อัตราค่าขนส่ง!$O$5:$O$204,0)),0))</f>
        <v>0</v>
      </c>
      <c r="BD93">
        <f>IF($Y93="",0,IFERROR(INDEX(อัตราค่าขนส่ง!$N$5:$N$204,MATCH($Y93,อัตราค่าขนส่ง!$O$5:$O$204,0)),0))</f>
        <v>0</v>
      </c>
    </row>
    <row r="94" spans="1:56" ht="21" customHeight="1" x14ac:dyDescent="0.95">
      <c r="A94" s="36" t="str">
        <f>IF($AD94="","",IF($AD94="Z","รวมจ่ายทั้งสิ้น",IF($AD94="H",INDEX($X$5:$X$404,$AC94),IF($AD94="T","รวม",IF($AD94="B",IFERROR(INDEX(อัตราค่าขนส่ง!$U$5:$U$14,MATCH(INDEX($AM$5:$AM$404,$AC94),อัตราค่าขนส่ง!$T$5:$T$14,0)),"รวมกลุ่ม "&amp;INDEX($AM$5:$AM$404,$AC94)),INDEX($AY$5:$AY$404,$AC94))))))</f>
        <v/>
      </c>
      <c r="B94" s="31" t="str">
        <f t="shared" si="28"/>
        <v/>
      </c>
      <c r="C94" s="8" t="str">
        <f t="shared" si="29"/>
        <v/>
      </c>
      <c r="D94" s="37" t="str">
        <f t="shared" si="30"/>
        <v/>
      </c>
      <c r="E94" s="31" t="str">
        <f t="shared" si="31"/>
        <v/>
      </c>
      <c r="F94" s="32" t="str">
        <f t="shared" si="32"/>
        <v/>
      </c>
      <c r="G94" s="32" t="str">
        <f t="shared" si="33"/>
        <v/>
      </c>
      <c r="H94" s="32" t="str">
        <f t="shared" si="34"/>
        <v/>
      </c>
      <c r="I94" s="32" t="str">
        <f t="shared" si="35"/>
        <v/>
      </c>
      <c r="J94" s="46" t="str">
        <f t="shared" si="36"/>
        <v/>
      </c>
      <c r="K94" s="32" t="str">
        <f t="shared" si="37"/>
        <v/>
      </c>
      <c r="L94" s="32" t="str">
        <f t="shared" si="38"/>
        <v/>
      </c>
      <c r="M94" s="32" t="str">
        <f t="shared" si="39"/>
        <v/>
      </c>
      <c r="N94" s="32" t="str">
        <f t="shared" si="40"/>
        <v/>
      </c>
      <c r="O94" s="32" t="str">
        <f t="shared" si="41"/>
        <v/>
      </c>
      <c r="Q94" t="str">
        <f>IFERROR(MATCH(90,บันทึกรายเที่ยว!$Z$6:$Z$10005,0),"")</f>
        <v/>
      </c>
      <c r="R94" t="str">
        <f>IF($Q94="","",INDEX(บันทึกรายเที่ยว!$V$6:$V$10005,$Q94))</f>
        <v/>
      </c>
      <c r="S94" t="str">
        <f>IF($Q94="","",INDEX(บันทึกรายเที่ยว!$F$6:$F$10005,$Q94))</f>
        <v/>
      </c>
      <c r="T94" t="str">
        <f>IF($Q94="","",MATCH($S94,บันทึกรายเที่ยว!$F$6:$F$10005,0))</f>
        <v/>
      </c>
      <c r="U94" t="str">
        <f>IF($Q94="","",$AL94*10000000+$T94*1000+90)</f>
        <v/>
      </c>
      <c r="V94" t="str">
        <f>IFERROR(MATCH(SMALL($U$5:$U$404,90),$U$5:$U$404,0),"")</f>
        <v/>
      </c>
      <c r="W94" t="str">
        <f t="shared" si="42"/>
        <v/>
      </c>
      <c r="X94" t="str">
        <f t="shared" si="43"/>
        <v/>
      </c>
      <c r="Y94" t="str">
        <f t="shared" si="44"/>
        <v/>
      </c>
      <c r="Z94">
        <f t="shared" si="54"/>
        <v>0</v>
      </c>
      <c r="AA94">
        <f t="shared" si="45"/>
        <v>0</v>
      </c>
      <c r="AB94">
        <f>IF($V94="",99999+90,$AB93+1+$Z93+$AA93+$AO93)</f>
        <v>100089</v>
      </c>
      <c r="AC94" t="str">
        <f>IFERROR(MATCH(90,$AB$5:$AB$404,1),"")</f>
        <v/>
      </c>
      <c r="AD94" t="str">
        <f>IF(90=$AI$1+1,"Z",IF($AC94="","",IF(INDEX($V$5:$V$404,$AC94)="","",IF(90&gt;INDEX($AB$5:$AB$404,$AC94)+INDEX($Z$5:$Z$404,$AC94)+INDEX($AA$5:$AA$404,$AC94)+INDEX($AO$5:$AO$404,$AC94),"",IF(90=INDEX($AB$5:$AB$404,$AC94)+INDEX($Z$5:$Z$404,$AC94),"D",IF(AND(INDEX($Z$5:$Z$404,$AC94)=1,90=INDEX($AB$5:$AB$404,$AC94)),"H",IF(AND(INDEX($AO$5:$AO$404,$AC94)=1,90=INDEX($AB$5:$AB$404,$AC94)+INDEX($Z$5:$Z$404,$AC94)+INDEX($AA$5:$AA$404,$AC94)+INDEX($AO$5:$AO$404,$AC94)),"B","T")))))))</f>
        <v/>
      </c>
      <c r="AF94" t="str">
        <f t="shared" si="46"/>
        <v/>
      </c>
      <c r="AJ94">
        <f>IF($AD94&lt;&gt;"T",0,ROUND(SUMIF(oil!$B$4:$B$63,$AF94,oil!$AE$4:$AE$63),2))</f>
        <v>0</v>
      </c>
      <c r="AK94" t="str">
        <f>IF($S94="","",IFERROR(INDEX(อัตราค่าขนส่ง!$R$5:$R$54,MATCH($S94,อัตราค่าขนส่ง!$Q$5:$Q$54,0)),INDEX(รายการมาตรฐาน!$G$2:$G$3,1)))</f>
        <v/>
      </c>
      <c r="AL94" t="str">
        <f>IF($S94="","",IFERROR(MATCH($AK94,รายการมาตรฐาน!$G$2:$G$3,0),1))</f>
        <v/>
      </c>
      <c r="AM94" t="str">
        <f t="shared" si="47"/>
        <v/>
      </c>
      <c r="AN94" t="str">
        <f t="shared" si="48"/>
        <v/>
      </c>
      <c r="AO94">
        <f t="shared" si="49"/>
        <v>0</v>
      </c>
      <c r="AP94">
        <f t="shared" si="55"/>
        <v>0</v>
      </c>
      <c r="AQ94" t="str">
        <f t="shared" si="50"/>
        <v/>
      </c>
      <c r="AR94">
        <f>IF($Y94="",0,COUNTIF(บันทึกรายเที่ยว!$V$6:$V$10005,$Y94))</f>
        <v>0</v>
      </c>
      <c r="AS94">
        <f>IF($Y94="",0,ROUND(SUMIF(บันทึกรายเที่ยว!$V$6:$V$10005,$Y94,บันทึกรายเที่ยว!$M$6:$M$10005),2))</f>
        <v>0</v>
      </c>
      <c r="AT94">
        <f>IF($Y94="",0,IFERROR(INDEX(อัตราค่าขนส่ง!$J$5:$J$204,MATCH($Y94,อัตราค่าขนส่ง!$O$5:$O$204,0)),0))</f>
        <v>0</v>
      </c>
      <c r="AU94">
        <f t="shared" si="51"/>
        <v>0</v>
      </c>
      <c r="AV94">
        <f t="shared" si="52"/>
        <v>0</v>
      </c>
      <c r="AW94" t="str">
        <f>IF($Y94="","",IFERROR(INDEX(อัตราค่าขนส่ง!$F$5:$F$204,MATCH($Y94,อัตราค่าขนส่ง!$O$5:$O$204,0)),""))</f>
        <v/>
      </c>
      <c r="AX94" t="str">
        <f>IF($W94="","",INDEX(บันทึกรายเที่ยว!$D$6:$D$10005,$W94))</f>
        <v/>
      </c>
      <c r="AY94" t="str">
        <f>IF($W94="","",INDEX(บันทึกรายเที่ยว!$R$6:$R$10005,$W94))</f>
        <v/>
      </c>
      <c r="AZ94">
        <f t="shared" si="53"/>
        <v>0</v>
      </c>
      <c r="BA94" t="str">
        <f>IF($W94="","",INDEX(บันทึกรายเที่ยว!$E$6:$E$10005,$W94))</f>
        <v/>
      </c>
      <c r="BC94">
        <f>IF($Y94="",0,IFERROR(INDEX(อัตราค่าขนส่ง!$M$5:$M$204,MATCH($Y94,อัตราค่าขนส่ง!$O$5:$O$204,0)),0))</f>
        <v>0</v>
      </c>
      <c r="BD94">
        <f>IF($Y94="",0,IFERROR(INDEX(อัตราค่าขนส่ง!$N$5:$N$204,MATCH($Y94,อัตราค่าขนส่ง!$O$5:$O$204,0)),0))</f>
        <v>0</v>
      </c>
    </row>
    <row r="95" spans="1:56" ht="21" customHeight="1" x14ac:dyDescent="0.95">
      <c r="A95" s="36" t="str">
        <f>IF($AD95="","",IF($AD95="Z","รวมจ่ายทั้งสิ้น",IF($AD95="H",INDEX($X$5:$X$404,$AC95),IF($AD95="T","รวม",IF($AD95="B",IFERROR(INDEX(อัตราค่าขนส่ง!$U$5:$U$14,MATCH(INDEX($AM$5:$AM$404,$AC95),อัตราค่าขนส่ง!$T$5:$T$14,0)),"รวมกลุ่ม "&amp;INDEX($AM$5:$AM$404,$AC95)),INDEX($AY$5:$AY$404,$AC95))))))</f>
        <v/>
      </c>
      <c r="B95" s="31" t="str">
        <f t="shared" si="28"/>
        <v/>
      </c>
      <c r="C95" s="8" t="str">
        <f t="shared" si="29"/>
        <v/>
      </c>
      <c r="D95" s="37" t="str">
        <f t="shared" si="30"/>
        <v/>
      </c>
      <c r="E95" s="31" t="str">
        <f t="shared" si="31"/>
        <v/>
      </c>
      <c r="F95" s="32" t="str">
        <f t="shared" si="32"/>
        <v/>
      </c>
      <c r="G95" s="32" t="str">
        <f t="shared" si="33"/>
        <v/>
      </c>
      <c r="H95" s="32" t="str">
        <f t="shared" si="34"/>
        <v/>
      </c>
      <c r="I95" s="32" t="str">
        <f t="shared" si="35"/>
        <v/>
      </c>
      <c r="J95" s="46" t="str">
        <f t="shared" si="36"/>
        <v/>
      </c>
      <c r="K95" s="32" t="str">
        <f t="shared" si="37"/>
        <v/>
      </c>
      <c r="L95" s="32" t="str">
        <f t="shared" si="38"/>
        <v/>
      </c>
      <c r="M95" s="32" t="str">
        <f t="shared" si="39"/>
        <v/>
      </c>
      <c r="N95" s="32" t="str">
        <f t="shared" si="40"/>
        <v/>
      </c>
      <c r="O95" s="32" t="str">
        <f t="shared" si="41"/>
        <v/>
      </c>
      <c r="Q95" t="str">
        <f>IFERROR(MATCH(91,บันทึกรายเที่ยว!$Z$6:$Z$10005,0),"")</f>
        <v/>
      </c>
      <c r="R95" t="str">
        <f>IF($Q95="","",INDEX(บันทึกรายเที่ยว!$V$6:$V$10005,$Q95))</f>
        <v/>
      </c>
      <c r="S95" t="str">
        <f>IF($Q95="","",INDEX(บันทึกรายเที่ยว!$F$6:$F$10005,$Q95))</f>
        <v/>
      </c>
      <c r="T95" t="str">
        <f>IF($Q95="","",MATCH($S95,บันทึกรายเที่ยว!$F$6:$F$10005,0))</f>
        <v/>
      </c>
      <c r="U95" t="str">
        <f>IF($Q95="","",$AL95*10000000+$T95*1000+91)</f>
        <v/>
      </c>
      <c r="V95" t="str">
        <f>IFERROR(MATCH(SMALL($U$5:$U$404,91),$U$5:$U$404,0),"")</f>
        <v/>
      </c>
      <c r="W95" t="str">
        <f t="shared" si="42"/>
        <v/>
      </c>
      <c r="X95" t="str">
        <f t="shared" si="43"/>
        <v/>
      </c>
      <c r="Y95" t="str">
        <f t="shared" si="44"/>
        <v/>
      </c>
      <c r="Z95">
        <f t="shared" si="54"/>
        <v>0</v>
      </c>
      <c r="AA95">
        <f t="shared" si="45"/>
        <v>0</v>
      </c>
      <c r="AB95">
        <f>IF($V95="",99999+91,$AB94+1+$Z94+$AA94+$AO94)</f>
        <v>100090</v>
      </c>
      <c r="AC95" t="str">
        <f>IFERROR(MATCH(91,$AB$5:$AB$404,1),"")</f>
        <v/>
      </c>
      <c r="AD95" t="str">
        <f>IF(91=$AI$1+1,"Z",IF($AC95="","",IF(INDEX($V$5:$V$404,$AC95)="","",IF(91&gt;INDEX($AB$5:$AB$404,$AC95)+INDEX($Z$5:$Z$404,$AC95)+INDEX($AA$5:$AA$404,$AC95)+INDEX($AO$5:$AO$404,$AC95),"",IF(91=INDEX($AB$5:$AB$404,$AC95)+INDEX($Z$5:$Z$404,$AC95),"D",IF(AND(INDEX($Z$5:$Z$404,$AC95)=1,91=INDEX($AB$5:$AB$404,$AC95)),"H",IF(AND(INDEX($AO$5:$AO$404,$AC95)=1,91=INDEX($AB$5:$AB$404,$AC95)+INDEX($Z$5:$Z$404,$AC95)+INDEX($AA$5:$AA$404,$AC95)+INDEX($AO$5:$AO$404,$AC95)),"B","T")))))))</f>
        <v/>
      </c>
      <c r="AF95" t="str">
        <f t="shared" si="46"/>
        <v/>
      </c>
      <c r="AJ95">
        <f>IF($AD95&lt;&gt;"T",0,ROUND(SUMIF(oil!$B$4:$B$63,$AF95,oil!$AE$4:$AE$63),2))</f>
        <v>0</v>
      </c>
      <c r="AK95" t="str">
        <f>IF($S95="","",IFERROR(INDEX(อัตราค่าขนส่ง!$R$5:$R$54,MATCH($S95,อัตราค่าขนส่ง!$Q$5:$Q$54,0)),INDEX(รายการมาตรฐาน!$G$2:$G$3,1)))</f>
        <v/>
      </c>
      <c r="AL95" t="str">
        <f>IF($S95="","",IFERROR(MATCH($AK95,รายการมาตรฐาน!$G$2:$G$3,0),1))</f>
        <v/>
      </c>
      <c r="AM95" t="str">
        <f t="shared" si="47"/>
        <v/>
      </c>
      <c r="AN95" t="str">
        <f t="shared" si="48"/>
        <v/>
      </c>
      <c r="AO95">
        <f t="shared" si="49"/>
        <v>0</v>
      </c>
      <c r="AP95">
        <f t="shared" si="55"/>
        <v>0</v>
      </c>
      <c r="AQ95" t="str">
        <f t="shared" si="50"/>
        <v/>
      </c>
      <c r="AR95">
        <f>IF($Y95="",0,COUNTIF(บันทึกรายเที่ยว!$V$6:$V$10005,$Y95))</f>
        <v>0</v>
      </c>
      <c r="AS95">
        <f>IF($Y95="",0,ROUND(SUMIF(บันทึกรายเที่ยว!$V$6:$V$10005,$Y95,บันทึกรายเที่ยว!$M$6:$M$10005),2))</f>
        <v>0</v>
      </c>
      <c r="AT95">
        <f>IF($Y95="",0,IFERROR(INDEX(อัตราค่าขนส่ง!$J$5:$J$204,MATCH($Y95,อัตราค่าขนส่ง!$O$5:$O$204,0)),0))</f>
        <v>0</v>
      </c>
      <c r="AU95">
        <f t="shared" si="51"/>
        <v>0</v>
      </c>
      <c r="AV95">
        <f t="shared" si="52"/>
        <v>0</v>
      </c>
      <c r="AW95" t="str">
        <f>IF($Y95="","",IFERROR(INDEX(อัตราค่าขนส่ง!$F$5:$F$204,MATCH($Y95,อัตราค่าขนส่ง!$O$5:$O$204,0)),""))</f>
        <v/>
      </c>
      <c r="AX95" t="str">
        <f>IF($W95="","",INDEX(บันทึกรายเที่ยว!$D$6:$D$10005,$W95))</f>
        <v/>
      </c>
      <c r="AY95" t="str">
        <f>IF($W95="","",INDEX(บันทึกรายเที่ยว!$R$6:$R$10005,$W95))</f>
        <v/>
      </c>
      <c r="AZ95">
        <f t="shared" si="53"/>
        <v>0</v>
      </c>
      <c r="BA95" t="str">
        <f>IF($W95="","",INDEX(บันทึกรายเที่ยว!$E$6:$E$10005,$W95))</f>
        <v/>
      </c>
      <c r="BC95">
        <f>IF($Y95="",0,IFERROR(INDEX(อัตราค่าขนส่ง!$M$5:$M$204,MATCH($Y95,อัตราค่าขนส่ง!$O$5:$O$204,0)),0))</f>
        <v>0</v>
      </c>
      <c r="BD95">
        <f>IF($Y95="",0,IFERROR(INDEX(อัตราค่าขนส่ง!$N$5:$N$204,MATCH($Y95,อัตราค่าขนส่ง!$O$5:$O$204,0)),0))</f>
        <v>0</v>
      </c>
    </row>
    <row r="96" spans="1:56" ht="21" customHeight="1" x14ac:dyDescent="0.95">
      <c r="A96" s="36" t="str">
        <f>IF($AD96="","",IF($AD96="Z","รวมจ่ายทั้งสิ้น",IF($AD96="H",INDEX($X$5:$X$404,$AC96),IF($AD96="T","รวม",IF($AD96="B",IFERROR(INDEX(อัตราค่าขนส่ง!$U$5:$U$14,MATCH(INDEX($AM$5:$AM$404,$AC96),อัตราค่าขนส่ง!$T$5:$T$14,0)),"รวมกลุ่ม "&amp;INDEX($AM$5:$AM$404,$AC96)),INDEX($AY$5:$AY$404,$AC96))))))</f>
        <v/>
      </c>
      <c r="B96" s="31" t="str">
        <f t="shared" si="28"/>
        <v/>
      </c>
      <c r="C96" s="8" t="str">
        <f t="shared" si="29"/>
        <v/>
      </c>
      <c r="D96" s="37" t="str">
        <f t="shared" si="30"/>
        <v/>
      </c>
      <c r="E96" s="31" t="str">
        <f t="shared" si="31"/>
        <v/>
      </c>
      <c r="F96" s="32" t="str">
        <f t="shared" si="32"/>
        <v/>
      </c>
      <c r="G96" s="32" t="str">
        <f t="shared" si="33"/>
        <v/>
      </c>
      <c r="H96" s="32" t="str">
        <f t="shared" si="34"/>
        <v/>
      </c>
      <c r="I96" s="32" t="str">
        <f t="shared" si="35"/>
        <v/>
      </c>
      <c r="J96" s="46" t="str">
        <f t="shared" si="36"/>
        <v/>
      </c>
      <c r="K96" s="32" t="str">
        <f t="shared" si="37"/>
        <v/>
      </c>
      <c r="L96" s="32" t="str">
        <f t="shared" si="38"/>
        <v/>
      </c>
      <c r="M96" s="32" t="str">
        <f t="shared" si="39"/>
        <v/>
      </c>
      <c r="N96" s="32" t="str">
        <f t="shared" si="40"/>
        <v/>
      </c>
      <c r="O96" s="32" t="str">
        <f t="shared" si="41"/>
        <v/>
      </c>
      <c r="Q96" t="str">
        <f>IFERROR(MATCH(92,บันทึกรายเที่ยว!$Z$6:$Z$10005,0),"")</f>
        <v/>
      </c>
      <c r="R96" t="str">
        <f>IF($Q96="","",INDEX(บันทึกรายเที่ยว!$V$6:$V$10005,$Q96))</f>
        <v/>
      </c>
      <c r="S96" t="str">
        <f>IF($Q96="","",INDEX(บันทึกรายเที่ยว!$F$6:$F$10005,$Q96))</f>
        <v/>
      </c>
      <c r="T96" t="str">
        <f>IF($Q96="","",MATCH($S96,บันทึกรายเที่ยว!$F$6:$F$10005,0))</f>
        <v/>
      </c>
      <c r="U96" t="str">
        <f>IF($Q96="","",$AL96*10000000+$T96*1000+92)</f>
        <v/>
      </c>
      <c r="V96" t="str">
        <f>IFERROR(MATCH(SMALL($U$5:$U$404,92),$U$5:$U$404,0),"")</f>
        <v/>
      </c>
      <c r="W96" t="str">
        <f t="shared" si="42"/>
        <v/>
      </c>
      <c r="X96" t="str">
        <f t="shared" si="43"/>
        <v/>
      </c>
      <c r="Y96" t="str">
        <f t="shared" si="44"/>
        <v/>
      </c>
      <c r="Z96">
        <f t="shared" si="54"/>
        <v>0</v>
      </c>
      <c r="AA96">
        <f t="shared" si="45"/>
        <v>0</v>
      </c>
      <c r="AB96">
        <f>IF($V96="",99999+92,$AB95+1+$Z95+$AA95+$AO95)</f>
        <v>100091</v>
      </c>
      <c r="AC96" t="str">
        <f>IFERROR(MATCH(92,$AB$5:$AB$404,1),"")</f>
        <v/>
      </c>
      <c r="AD96" t="str">
        <f>IF(92=$AI$1+1,"Z",IF($AC96="","",IF(INDEX($V$5:$V$404,$AC96)="","",IF(92&gt;INDEX($AB$5:$AB$404,$AC96)+INDEX($Z$5:$Z$404,$AC96)+INDEX($AA$5:$AA$404,$AC96)+INDEX($AO$5:$AO$404,$AC96),"",IF(92=INDEX($AB$5:$AB$404,$AC96)+INDEX($Z$5:$Z$404,$AC96),"D",IF(AND(INDEX($Z$5:$Z$404,$AC96)=1,92=INDEX($AB$5:$AB$404,$AC96)),"H",IF(AND(INDEX($AO$5:$AO$404,$AC96)=1,92=INDEX($AB$5:$AB$404,$AC96)+INDEX($Z$5:$Z$404,$AC96)+INDEX($AA$5:$AA$404,$AC96)+INDEX($AO$5:$AO$404,$AC96)),"B","T")))))))</f>
        <v/>
      </c>
      <c r="AF96" t="str">
        <f t="shared" si="46"/>
        <v/>
      </c>
      <c r="AJ96">
        <f>IF($AD96&lt;&gt;"T",0,ROUND(SUMIF(oil!$B$4:$B$63,$AF96,oil!$AE$4:$AE$63),2))</f>
        <v>0</v>
      </c>
      <c r="AK96" t="str">
        <f>IF($S96="","",IFERROR(INDEX(อัตราค่าขนส่ง!$R$5:$R$54,MATCH($S96,อัตราค่าขนส่ง!$Q$5:$Q$54,0)),INDEX(รายการมาตรฐาน!$G$2:$G$3,1)))</f>
        <v/>
      </c>
      <c r="AL96" t="str">
        <f>IF($S96="","",IFERROR(MATCH($AK96,รายการมาตรฐาน!$G$2:$G$3,0),1))</f>
        <v/>
      </c>
      <c r="AM96" t="str">
        <f t="shared" si="47"/>
        <v/>
      </c>
      <c r="AN96" t="str">
        <f t="shared" si="48"/>
        <v/>
      </c>
      <c r="AO96">
        <f t="shared" si="49"/>
        <v>0</v>
      </c>
      <c r="AP96">
        <f t="shared" si="55"/>
        <v>0</v>
      </c>
      <c r="AQ96" t="str">
        <f t="shared" si="50"/>
        <v/>
      </c>
      <c r="AR96">
        <f>IF($Y96="",0,COUNTIF(บันทึกรายเที่ยว!$V$6:$V$10005,$Y96))</f>
        <v>0</v>
      </c>
      <c r="AS96">
        <f>IF($Y96="",0,ROUND(SUMIF(บันทึกรายเที่ยว!$V$6:$V$10005,$Y96,บันทึกรายเที่ยว!$M$6:$M$10005),2))</f>
        <v>0</v>
      </c>
      <c r="AT96">
        <f>IF($Y96="",0,IFERROR(INDEX(อัตราค่าขนส่ง!$J$5:$J$204,MATCH($Y96,อัตราค่าขนส่ง!$O$5:$O$204,0)),0))</f>
        <v>0</v>
      </c>
      <c r="AU96">
        <f t="shared" si="51"/>
        <v>0</v>
      </c>
      <c r="AV96">
        <f t="shared" si="52"/>
        <v>0</v>
      </c>
      <c r="AW96" t="str">
        <f>IF($Y96="","",IFERROR(INDEX(อัตราค่าขนส่ง!$F$5:$F$204,MATCH($Y96,อัตราค่าขนส่ง!$O$5:$O$204,0)),""))</f>
        <v/>
      </c>
      <c r="AX96" t="str">
        <f>IF($W96="","",INDEX(บันทึกรายเที่ยว!$D$6:$D$10005,$W96))</f>
        <v/>
      </c>
      <c r="AY96" t="str">
        <f>IF($W96="","",INDEX(บันทึกรายเที่ยว!$R$6:$R$10005,$W96))</f>
        <v/>
      </c>
      <c r="AZ96">
        <f t="shared" si="53"/>
        <v>0</v>
      </c>
      <c r="BA96" t="str">
        <f>IF($W96="","",INDEX(บันทึกรายเที่ยว!$E$6:$E$10005,$W96))</f>
        <v/>
      </c>
      <c r="BC96">
        <f>IF($Y96="",0,IFERROR(INDEX(อัตราค่าขนส่ง!$M$5:$M$204,MATCH($Y96,อัตราค่าขนส่ง!$O$5:$O$204,0)),0))</f>
        <v>0</v>
      </c>
      <c r="BD96">
        <f>IF($Y96="",0,IFERROR(INDEX(อัตราค่าขนส่ง!$N$5:$N$204,MATCH($Y96,อัตราค่าขนส่ง!$O$5:$O$204,0)),0))</f>
        <v>0</v>
      </c>
    </row>
    <row r="97" spans="1:56" ht="21" customHeight="1" x14ac:dyDescent="0.95">
      <c r="A97" s="36" t="str">
        <f>IF($AD97="","",IF($AD97="Z","รวมจ่ายทั้งสิ้น",IF($AD97="H",INDEX($X$5:$X$404,$AC97),IF($AD97="T","รวม",IF($AD97="B",IFERROR(INDEX(อัตราค่าขนส่ง!$U$5:$U$14,MATCH(INDEX($AM$5:$AM$404,$AC97),อัตราค่าขนส่ง!$T$5:$T$14,0)),"รวมกลุ่ม "&amp;INDEX($AM$5:$AM$404,$AC97)),INDEX($AY$5:$AY$404,$AC97))))))</f>
        <v/>
      </c>
      <c r="B97" s="31" t="str">
        <f t="shared" si="28"/>
        <v/>
      </c>
      <c r="C97" s="8" t="str">
        <f t="shared" si="29"/>
        <v/>
      </c>
      <c r="D97" s="37" t="str">
        <f t="shared" si="30"/>
        <v/>
      </c>
      <c r="E97" s="31" t="str">
        <f t="shared" si="31"/>
        <v/>
      </c>
      <c r="F97" s="32" t="str">
        <f t="shared" si="32"/>
        <v/>
      </c>
      <c r="G97" s="32" t="str">
        <f t="shared" si="33"/>
        <v/>
      </c>
      <c r="H97" s="32" t="str">
        <f t="shared" si="34"/>
        <v/>
      </c>
      <c r="I97" s="32" t="str">
        <f t="shared" si="35"/>
        <v/>
      </c>
      <c r="J97" s="46" t="str">
        <f t="shared" si="36"/>
        <v/>
      </c>
      <c r="K97" s="32" t="str">
        <f t="shared" si="37"/>
        <v/>
      </c>
      <c r="L97" s="32" t="str">
        <f t="shared" si="38"/>
        <v/>
      </c>
      <c r="M97" s="32" t="str">
        <f t="shared" si="39"/>
        <v/>
      </c>
      <c r="N97" s="32" t="str">
        <f t="shared" si="40"/>
        <v/>
      </c>
      <c r="O97" s="32" t="str">
        <f t="shared" si="41"/>
        <v/>
      </c>
      <c r="Q97" t="str">
        <f>IFERROR(MATCH(93,บันทึกรายเที่ยว!$Z$6:$Z$10005,0),"")</f>
        <v/>
      </c>
      <c r="R97" t="str">
        <f>IF($Q97="","",INDEX(บันทึกรายเที่ยว!$V$6:$V$10005,$Q97))</f>
        <v/>
      </c>
      <c r="S97" t="str">
        <f>IF($Q97="","",INDEX(บันทึกรายเที่ยว!$F$6:$F$10005,$Q97))</f>
        <v/>
      </c>
      <c r="T97" t="str">
        <f>IF($Q97="","",MATCH($S97,บันทึกรายเที่ยว!$F$6:$F$10005,0))</f>
        <v/>
      </c>
      <c r="U97" t="str">
        <f>IF($Q97="","",$AL97*10000000+$T97*1000+93)</f>
        <v/>
      </c>
      <c r="V97" t="str">
        <f>IFERROR(MATCH(SMALL($U$5:$U$404,93),$U$5:$U$404,0),"")</f>
        <v/>
      </c>
      <c r="W97" t="str">
        <f t="shared" si="42"/>
        <v/>
      </c>
      <c r="X97" t="str">
        <f t="shared" si="43"/>
        <v/>
      </c>
      <c r="Y97" t="str">
        <f t="shared" si="44"/>
        <v/>
      </c>
      <c r="Z97">
        <f t="shared" si="54"/>
        <v>0</v>
      </c>
      <c r="AA97">
        <f t="shared" si="45"/>
        <v>0</v>
      </c>
      <c r="AB97">
        <f>IF($V97="",99999+93,$AB96+1+$Z96+$AA96+$AO96)</f>
        <v>100092</v>
      </c>
      <c r="AC97" t="str">
        <f>IFERROR(MATCH(93,$AB$5:$AB$404,1),"")</f>
        <v/>
      </c>
      <c r="AD97" t="str">
        <f>IF(93=$AI$1+1,"Z",IF($AC97="","",IF(INDEX($V$5:$V$404,$AC97)="","",IF(93&gt;INDEX($AB$5:$AB$404,$AC97)+INDEX($Z$5:$Z$404,$AC97)+INDEX($AA$5:$AA$404,$AC97)+INDEX($AO$5:$AO$404,$AC97),"",IF(93=INDEX($AB$5:$AB$404,$AC97)+INDEX($Z$5:$Z$404,$AC97),"D",IF(AND(INDEX($Z$5:$Z$404,$AC97)=1,93=INDEX($AB$5:$AB$404,$AC97)),"H",IF(AND(INDEX($AO$5:$AO$404,$AC97)=1,93=INDEX($AB$5:$AB$404,$AC97)+INDEX($Z$5:$Z$404,$AC97)+INDEX($AA$5:$AA$404,$AC97)+INDEX($AO$5:$AO$404,$AC97)),"B","T")))))))</f>
        <v/>
      </c>
      <c r="AF97" t="str">
        <f t="shared" si="46"/>
        <v/>
      </c>
      <c r="AJ97">
        <f>IF($AD97&lt;&gt;"T",0,ROUND(SUMIF(oil!$B$4:$B$63,$AF97,oil!$AE$4:$AE$63),2))</f>
        <v>0</v>
      </c>
      <c r="AK97" t="str">
        <f>IF($S97="","",IFERROR(INDEX(อัตราค่าขนส่ง!$R$5:$R$54,MATCH($S97,อัตราค่าขนส่ง!$Q$5:$Q$54,0)),INDEX(รายการมาตรฐาน!$G$2:$G$3,1)))</f>
        <v/>
      </c>
      <c r="AL97" t="str">
        <f>IF($S97="","",IFERROR(MATCH($AK97,รายการมาตรฐาน!$G$2:$G$3,0),1))</f>
        <v/>
      </c>
      <c r="AM97" t="str">
        <f t="shared" si="47"/>
        <v/>
      </c>
      <c r="AN97" t="str">
        <f t="shared" si="48"/>
        <v/>
      </c>
      <c r="AO97">
        <f t="shared" si="49"/>
        <v>0</v>
      </c>
      <c r="AP97">
        <f t="shared" si="55"/>
        <v>0</v>
      </c>
      <c r="AQ97" t="str">
        <f t="shared" si="50"/>
        <v/>
      </c>
      <c r="AR97">
        <f>IF($Y97="",0,COUNTIF(บันทึกรายเที่ยว!$V$6:$V$10005,$Y97))</f>
        <v>0</v>
      </c>
      <c r="AS97">
        <f>IF($Y97="",0,ROUND(SUMIF(บันทึกรายเที่ยว!$V$6:$V$10005,$Y97,บันทึกรายเที่ยว!$M$6:$M$10005),2))</f>
        <v>0</v>
      </c>
      <c r="AT97">
        <f>IF($Y97="",0,IFERROR(INDEX(อัตราค่าขนส่ง!$J$5:$J$204,MATCH($Y97,อัตราค่าขนส่ง!$O$5:$O$204,0)),0))</f>
        <v>0</v>
      </c>
      <c r="AU97">
        <f t="shared" si="51"/>
        <v>0</v>
      </c>
      <c r="AV97">
        <f t="shared" si="52"/>
        <v>0</v>
      </c>
      <c r="AW97" t="str">
        <f>IF($Y97="","",IFERROR(INDEX(อัตราค่าขนส่ง!$F$5:$F$204,MATCH($Y97,อัตราค่าขนส่ง!$O$5:$O$204,0)),""))</f>
        <v/>
      </c>
      <c r="AX97" t="str">
        <f>IF($W97="","",INDEX(บันทึกรายเที่ยว!$D$6:$D$10005,$W97))</f>
        <v/>
      </c>
      <c r="AY97" t="str">
        <f>IF($W97="","",INDEX(บันทึกรายเที่ยว!$R$6:$R$10005,$W97))</f>
        <v/>
      </c>
      <c r="AZ97">
        <f t="shared" si="53"/>
        <v>0</v>
      </c>
      <c r="BA97" t="str">
        <f>IF($W97="","",INDEX(บันทึกรายเที่ยว!$E$6:$E$10005,$W97))</f>
        <v/>
      </c>
      <c r="BC97">
        <f>IF($Y97="",0,IFERROR(INDEX(อัตราค่าขนส่ง!$M$5:$M$204,MATCH($Y97,อัตราค่าขนส่ง!$O$5:$O$204,0)),0))</f>
        <v>0</v>
      </c>
      <c r="BD97">
        <f>IF($Y97="",0,IFERROR(INDEX(อัตราค่าขนส่ง!$N$5:$N$204,MATCH($Y97,อัตราค่าขนส่ง!$O$5:$O$204,0)),0))</f>
        <v>0</v>
      </c>
    </row>
    <row r="98" spans="1:56" ht="21" customHeight="1" x14ac:dyDescent="0.95">
      <c r="A98" s="36" t="str">
        <f>IF($AD98="","",IF($AD98="Z","รวมจ่ายทั้งสิ้น",IF($AD98="H",INDEX($X$5:$X$404,$AC98),IF($AD98="T","รวม",IF($AD98="B",IFERROR(INDEX(อัตราค่าขนส่ง!$U$5:$U$14,MATCH(INDEX($AM$5:$AM$404,$AC98),อัตราค่าขนส่ง!$T$5:$T$14,0)),"รวมกลุ่ม "&amp;INDEX($AM$5:$AM$404,$AC98)),INDEX($AY$5:$AY$404,$AC98))))))</f>
        <v/>
      </c>
      <c r="B98" s="31" t="str">
        <f t="shared" si="28"/>
        <v/>
      </c>
      <c r="C98" s="8" t="str">
        <f t="shared" si="29"/>
        <v/>
      </c>
      <c r="D98" s="37" t="str">
        <f t="shared" si="30"/>
        <v/>
      </c>
      <c r="E98" s="31" t="str">
        <f t="shared" si="31"/>
        <v/>
      </c>
      <c r="F98" s="32" t="str">
        <f t="shared" si="32"/>
        <v/>
      </c>
      <c r="G98" s="32" t="str">
        <f t="shared" si="33"/>
        <v/>
      </c>
      <c r="H98" s="32" t="str">
        <f t="shared" si="34"/>
        <v/>
      </c>
      <c r="I98" s="32" t="str">
        <f t="shared" si="35"/>
        <v/>
      </c>
      <c r="J98" s="46" t="str">
        <f t="shared" si="36"/>
        <v/>
      </c>
      <c r="K98" s="32" t="str">
        <f t="shared" si="37"/>
        <v/>
      </c>
      <c r="L98" s="32" t="str">
        <f t="shared" si="38"/>
        <v/>
      </c>
      <c r="M98" s="32" t="str">
        <f t="shared" si="39"/>
        <v/>
      </c>
      <c r="N98" s="32" t="str">
        <f t="shared" si="40"/>
        <v/>
      </c>
      <c r="O98" s="32" t="str">
        <f t="shared" si="41"/>
        <v/>
      </c>
      <c r="Q98" t="str">
        <f>IFERROR(MATCH(94,บันทึกรายเที่ยว!$Z$6:$Z$10005,0),"")</f>
        <v/>
      </c>
      <c r="R98" t="str">
        <f>IF($Q98="","",INDEX(บันทึกรายเที่ยว!$V$6:$V$10005,$Q98))</f>
        <v/>
      </c>
      <c r="S98" t="str">
        <f>IF($Q98="","",INDEX(บันทึกรายเที่ยว!$F$6:$F$10005,$Q98))</f>
        <v/>
      </c>
      <c r="T98" t="str">
        <f>IF($Q98="","",MATCH($S98,บันทึกรายเที่ยว!$F$6:$F$10005,0))</f>
        <v/>
      </c>
      <c r="U98" t="str">
        <f>IF($Q98="","",$AL98*10000000+$T98*1000+94)</f>
        <v/>
      </c>
      <c r="V98" t="str">
        <f>IFERROR(MATCH(SMALL($U$5:$U$404,94),$U$5:$U$404,0),"")</f>
        <v/>
      </c>
      <c r="W98" t="str">
        <f t="shared" si="42"/>
        <v/>
      </c>
      <c r="X98" t="str">
        <f t="shared" si="43"/>
        <v/>
      </c>
      <c r="Y98" t="str">
        <f t="shared" si="44"/>
        <v/>
      </c>
      <c r="Z98">
        <f t="shared" si="54"/>
        <v>0</v>
      </c>
      <c r="AA98">
        <f t="shared" si="45"/>
        <v>0</v>
      </c>
      <c r="AB98">
        <f>IF($V98="",99999+94,$AB97+1+$Z97+$AA97+$AO97)</f>
        <v>100093</v>
      </c>
      <c r="AC98" t="str">
        <f>IFERROR(MATCH(94,$AB$5:$AB$404,1),"")</f>
        <v/>
      </c>
      <c r="AD98" t="str">
        <f>IF(94=$AI$1+1,"Z",IF($AC98="","",IF(INDEX($V$5:$V$404,$AC98)="","",IF(94&gt;INDEX($AB$5:$AB$404,$AC98)+INDEX($Z$5:$Z$404,$AC98)+INDEX($AA$5:$AA$404,$AC98)+INDEX($AO$5:$AO$404,$AC98),"",IF(94=INDEX($AB$5:$AB$404,$AC98)+INDEX($Z$5:$Z$404,$AC98),"D",IF(AND(INDEX($Z$5:$Z$404,$AC98)=1,94=INDEX($AB$5:$AB$404,$AC98)),"H",IF(AND(INDEX($AO$5:$AO$404,$AC98)=1,94=INDEX($AB$5:$AB$404,$AC98)+INDEX($Z$5:$Z$404,$AC98)+INDEX($AA$5:$AA$404,$AC98)+INDEX($AO$5:$AO$404,$AC98)),"B","T")))))))</f>
        <v/>
      </c>
      <c r="AF98" t="str">
        <f t="shared" si="46"/>
        <v/>
      </c>
      <c r="AJ98">
        <f>IF($AD98&lt;&gt;"T",0,ROUND(SUMIF(oil!$B$4:$B$63,$AF98,oil!$AE$4:$AE$63),2))</f>
        <v>0</v>
      </c>
      <c r="AK98" t="str">
        <f>IF($S98="","",IFERROR(INDEX(อัตราค่าขนส่ง!$R$5:$R$54,MATCH($S98,อัตราค่าขนส่ง!$Q$5:$Q$54,0)),INDEX(รายการมาตรฐาน!$G$2:$G$3,1)))</f>
        <v/>
      </c>
      <c r="AL98" t="str">
        <f>IF($S98="","",IFERROR(MATCH($AK98,รายการมาตรฐาน!$G$2:$G$3,0),1))</f>
        <v/>
      </c>
      <c r="AM98" t="str">
        <f t="shared" si="47"/>
        <v/>
      </c>
      <c r="AN98" t="str">
        <f t="shared" si="48"/>
        <v/>
      </c>
      <c r="AO98">
        <f t="shared" si="49"/>
        <v>0</v>
      </c>
      <c r="AP98">
        <f t="shared" si="55"/>
        <v>0</v>
      </c>
      <c r="AQ98" t="str">
        <f t="shared" si="50"/>
        <v/>
      </c>
      <c r="AR98">
        <f>IF($Y98="",0,COUNTIF(บันทึกรายเที่ยว!$V$6:$V$10005,$Y98))</f>
        <v>0</v>
      </c>
      <c r="AS98">
        <f>IF($Y98="",0,ROUND(SUMIF(บันทึกรายเที่ยว!$V$6:$V$10005,$Y98,บันทึกรายเที่ยว!$M$6:$M$10005),2))</f>
        <v>0</v>
      </c>
      <c r="AT98">
        <f>IF($Y98="",0,IFERROR(INDEX(อัตราค่าขนส่ง!$J$5:$J$204,MATCH($Y98,อัตราค่าขนส่ง!$O$5:$O$204,0)),0))</f>
        <v>0</v>
      </c>
      <c r="AU98">
        <f t="shared" si="51"/>
        <v>0</v>
      </c>
      <c r="AV98">
        <f t="shared" si="52"/>
        <v>0</v>
      </c>
      <c r="AW98" t="str">
        <f>IF($Y98="","",IFERROR(INDEX(อัตราค่าขนส่ง!$F$5:$F$204,MATCH($Y98,อัตราค่าขนส่ง!$O$5:$O$204,0)),""))</f>
        <v/>
      </c>
      <c r="AX98" t="str">
        <f>IF($W98="","",INDEX(บันทึกรายเที่ยว!$D$6:$D$10005,$W98))</f>
        <v/>
      </c>
      <c r="AY98" t="str">
        <f>IF($W98="","",INDEX(บันทึกรายเที่ยว!$R$6:$R$10005,$W98))</f>
        <v/>
      </c>
      <c r="AZ98">
        <f t="shared" si="53"/>
        <v>0</v>
      </c>
      <c r="BA98" t="str">
        <f>IF($W98="","",INDEX(บันทึกรายเที่ยว!$E$6:$E$10005,$W98))</f>
        <v/>
      </c>
      <c r="BC98">
        <f>IF($Y98="",0,IFERROR(INDEX(อัตราค่าขนส่ง!$M$5:$M$204,MATCH($Y98,อัตราค่าขนส่ง!$O$5:$O$204,0)),0))</f>
        <v>0</v>
      </c>
      <c r="BD98">
        <f>IF($Y98="",0,IFERROR(INDEX(อัตราค่าขนส่ง!$N$5:$N$204,MATCH($Y98,อัตราค่าขนส่ง!$O$5:$O$204,0)),0))</f>
        <v>0</v>
      </c>
    </row>
    <row r="99" spans="1:56" ht="21" customHeight="1" x14ac:dyDescent="0.95">
      <c r="A99" s="36" t="str">
        <f>IF($AD99="","",IF($AD99="Z","รวมจ่ายทั้งสิ้น",IF($AD99="H",INDEX($X$5:$X$404,$AC99),IF($AD99="T","รวม",IF($AD99="B",IFERROR(INDEX(อัตราค่าขนส่ง!$U$5:$U$14,MATCH(INDEX($AM$5:$AM$404,$AC99),อัตราค่าขนส่ง!$T$5:$T$14,0)),"รวมกลุ่ม "&amp;INDEX($AM$5:$AM$404,$AC99)),INDEX($AY$5:$AY$404,$AC99))))))</f>
        <v/>
      </c>
      <c r="B99" s="31" t="str">
        <f t="shared" si="28"/>
        <v/>
      </c>
      <c r="C99" s="8" t="str">
        <f t="shared" si="29"/>
        <v/>
      </c>
      <c r="D99" s="37" t="str">
        <f t="shared" si="30"/>
        <v/>
      </c>
      <c r="E99" s="31" t="str">
        <f t="shared" si="31"/>
        <v/>
      </c>
      <c r="F99" s="32" t="str">
        <f t="shared" si="32"/>
        <v/>
      </c>
      <c r="G99" s="32" t="str">
        <f t="shared" si="33"/>
        <v/>
      </c>
      <c r="H99" s="32" t="str">
        <f t="shared" si="34"/>
        <v/>
      </c>
      <c r="I99" s="32" t="str">
        <f t="shared" si="35"/>
        <v/>
      </c>
      <c r="J99" s="46" t="str">
        <f t="shared" si="36"/>
        <v/>
      </c>
      <c r="K99" s="32" t="str">
        <f t="shared" si="37"/>
        <v/>
      </c>
      <c r="L99" s="32" t="str">
        <f t="shared" si="38"/>
        <v/>
      </c>
      <c r="M99" s="32" t="str">
        <f t="shared" si="39"/>
        <v/>
      </c>
      <c r="N99" s="32" t="str">
        <f t="shared" si="40"/>
        <v/>
      </c>
      <c r="O99" s="32" t="str">
        <f t="shared" si="41"/>
        <v/>
      </c>
      <c r="Q99" t="str">
        <f>IFERROR(MATCH(95,บันทึกรายเที่ยว!$Z$6:$Z$10005,0),"")</f>
        <v/>
      </c>
      <c r="R99" t="str">
        <f>IF($Q99="","",INDEX(บันทึกรายเที่ยว!$V$6:$V$10005,$Q99))</f>
        <v/>
      </c>
      <c r="S99" t="str">
        <f>IF($Q99="","",INDEX(บันทึกรายเที่ยว!$F$6:$F$10005,$Q99))</f>
        <v/>
      </c>
      <c r="T99" t="str">
        <f>IF($Q99="","",MATCH($S99,บันทึกรายเที่ยว!$F$6:$F$10005,0))</f>
        <v/>
      </c>
      <c r="U99" t="str">
        <f>IF($Q99="","",$AL99*10000000+$T99*1000+95)</f>
        <v/>
      </c>
      <c r="V99" t="str">
        <f>IFERROR(MATCH(SMALL($U$5:$U$404,95),$U$5:$U$404,0),"")</f>
        <v/>
      </c>
      <c r="W99" t="str">
        <f t="shared" si="42"/>
        <v/>
      </c>
      <c r="X99" t="str">
        <f t="shared" si="43"/>
        <v/>
      </c>
      <c r="Y99" t="str">
        <f t="shared" si="44"/>
        <v/>
      </c>
      <c r="Z99">
        <f t="shared" si="54"/>
        <v>0</v>
      </c>
      <c r="AA99">
        <f t="shared" si="45"/>
        <v>0</v>
      </c>
      <c r="AB99">
        <f>IF($V99="",99999+95,$AB98+1+$Z98+$AA98+$AO98)</f>
        <v>100094</v>
      </c>
      <c r="AC99" t="str">
        <f>IFERROR(MATCH(95,$AB$5:$AB$404,1),"")</f>
        <v/>
      </c>
      <c r="AD99" t="str">
        <f>IF(95=$AI$1+1,"Z",IF($AC99="","",IF(INDEX($V$5:$V$404,$AC99)="","",IF(95&gt;INDEX($AB$5:$AB$404,$AC99)+INDEX($Z$5:$Z$404,$AC99)+INDEX($AA$5:$AA$404,$AC99)+INDEX($AO$5:$AO$404,$AC99),"",IF(95=INDEX($AB$5:$AB$404,$AC99)+INDEX($Z$5:$Z$404,$AC99),"D",IF(AND(INDEX($Z$5:$Z$404,$AC99)=1,95=INDEX($AB$5:$AB$404,$AC99)),"H",IF(AND(INDEX($AO$5:$AO$404,$AC99)=1,95=INDEX($AB$5:$AB$404,$AC99)+INDEX($Z$5:$Z$404,$AC99)+INDEX($AA$5:$AA$404,$AC99)+INDEX($AO$5:$AO$404,$AC99)),"B","T")))))))</f>
        <v/>
      </c>
      <c r="AF99" t="str">
        <f t="shared" si="46"/>
        <v/>
      </c>
      <c r="AJ99">
        <f>IF($AD99&lt;&gt;"T",0,ROUND(SUMIF(oil!$B$4:$B$63,$AF99,oil!$AE$4:$AE$63),2))</f>
        <v>0</v>
      </c>
      <c r="AK99" t="str">
        <f>IF($S99="","",IFERROR(INDEX(อัตราค่าขนส่ง!$R$5:$R$54,MATCH($S99,อัตราค่าขนส่ง!$Q$5:$Q$54,0)),INDEX(รายการมาตรฐาน!$G$2:$G$3,1)))</f>
        <v/>
      </c>
      <c r="AL99" t="str">
        <f>IF($S99="","",IFERROR(MATCH($AK99,รายการมาตรฐาน!$G$2:$G$3,0),1))</f>
        <v/>
      </c>
      <c r="AM99" t="str">
        <f t="shared" si="47"/>
        <v/>
      </c>
      <c r="AN99" t="str">
        <f t="shared" si="48"/>
        <v/>
      </c>
      <c r="AO99">
        <f t="shared" si="49"/>
        <v>0</v>
      </c>
      <c r="AP99">
        <f t="shared" si="55"/>
        <v>0</v>
      </c>
      <c r="AQ99" t="str">
        <f t="shared" si="50"/>
        <v/>
      </c>
      <c r="AR99">
        <f>IF($Y99="",0,COUNTIF(บันทึกรายเที่ยว!$V$6:$V$10005,$Y99))</f>
        <v>0</v>
      </c>
      <c r="AS99">
        <f>IF($Y99="",0,ROUND(SUMIF(บันทึกรายเที่ยว!$V$6:$V$10005,$Y99,บันทึกรายเที่ยว!$M$6:$M$10005),2))</f>
        <v>0</v>
      </c>
      <c r="AT99">
        <f>IF($Y99="",0,IFERROR(INDEX(อัตราค่าขนส่ง!$J$5:$J$204,MATCH($Y99,อัตราค่าขนส่ง!$O$5:$O$204,0)),0))</f>
        <v>0</v>
      </c>
      <c r="AU99">
        <f t="shared" si="51"/>
        <v>0</v>
      </c>
      <c r="AV99">
        <f t="shared" si="52"/>
        <v>0</v>
      </c>
      <c r="AW99" t="str">
        <f>IF($Y99="","",IFERROR(INDEX(อัตราค่าขนส่ง!$F$5:$F$204,MATCH($Y99,อัตราค่าขนส่ง!$O$5:$O$204,0)),""))</f>
        <v/>
      </c>
      <c r="AX99" t="str">
        <f>IF($W99="","",INDEX(บันทึกรายเที่ยว!$D$6:$D$10005,$W99))</f>
        <v/>
      </c>
      <c r="AY99" t="str">
        <f>IF($W99="","",INDEX(บันทึกรายเที่ยว!$R$6:$R$10005,$W99))</f>
        <v/>
      </c>
      <c r="AZ99">
        <f t="shared" si="53"/>
        <v>0</v>
      </c>
      <c r="BA99" t="str">
        <f>IF($W99="","",INDEX(บันทึกรายเที่ยว!$E$6:$E$10005,$W99))</f>
        <v/>
      </c>
      <c r="BC99">
        <f>IF($Y99="",0,IFERROR(INDEX(อัตราค่าขนส่ง!$M$5:$M$204,MATCH($Y99,อัตราค่าขนส่ง!$O$5:$O$204,0)),0))</f>
        <v>0</v>
      </c>
      <c r="BD99">
        <f>IF($Y99="",0,IFERROR(INDEX(อัตราค่าขนส่ง!$N$5:$N$204,MATCH($Y99,อัตราค่าขนส่ง!$O$5:$O$204,0)),0))</f>
        <v>0</v>
      </c>
    </row>
    <row r="100" spans="1:56" ht="21" customHeight="1" x14ac:dyDescent="0.95">
      <c r="A100" s="36" t="str">
        <f>IF($AD100="","",IF($AD100="Z","รวมจ่ายทั้งสิ้น",IF($AD100="H",INDEX($X$5:$X$404,$AC100),IF($AD100="T","รวม",IF($AD100="B",IFERROR(INDEX(อัตราค่าขนส่ง!$U$5:$U$14,MATCH(INDEX($AM$5:$AM$404,$AC100),อัตราค่าขนส่ง!$T$5:$T$14,0)),"รวมกลุ่ม "&amp;INDEX($AM$5:$AM$404,$AC100)),INDEX($AY$5:$AY$404,$AC100))))))</f>
        <v/>
      </c>
      <c r="B100" s="31" t="str">
        <f t="shared" si="28"/>
        <v/>
      </c>
      <c r="C100" s="8" t="str">
        <f t="shared" si="29"/>
        <v/>
      </c>
      <c r="D100" s="37" t="str">
        <f t="shared" si="30"/>
        <v/>
      </c>
      <c r="E100" s="31" t="str">
        <f t="shared" si="31"/>
        <v/>
      </c>
      <c r="F100" s="32" t="str">
        <f t="shared" si="32"/>
        <v/>
      </c>
      <c r="G100" s="32" t="str">
        <f t="shared" si="33"/>
        <v/>
      </c>
      <c r="H100" s="32" t="str">
        <f t="shared" si="34"/>
        <v/>
      </c>
      <c r="I100" s="32" t="str">
        <f t="shared" si="35"/>
        <v/>
      </c>
      <c r="J100" s="46" t="str">
        <f t="shared" si="36"/>
        <v/>
      </c>
      <c r="K100" s="32" t="str">
        <f t="shared" si="37"/>
        <v/>
      </c>
      <c r="L100" s="32" t="str">
        <f t="shared" si="38"/>
        <v/>
      </c>
      <c r="M100" s="32" t="str">
        <f t="shared" si="39"/>
        <v/>
      </c>
      <c r="N100" s="32" t="str">
        <f t="shared" si="40"/>
        <v/>
      </c>
      <c r="O100" s="32" t="str">
        <f t="shared" si="41"/>
        <v/>
      </c>
      <c r="Q100" t="str">
        <f>IFERROR(MATCH(96,บันทึกรายเที่ยว!$Z$6:$Z$10005,0),"")</f>
        <v/>
      </c>
      <c r="R100" t="str">
        <f>IF($Q100="","",INDEX(บันทึกรายเที่ยว!$V$6:$V$10005,$Q100))</f>
        <v/>
      </c>
      <c r="S100" t="str">
        <f>IF($Q100="","",INDEX(บันทึกรายเที่ยว!$F$6:$F$10005,$Q100))</f>
        <v/>
      </c>
      <c r="T100" t="str">
        <f>IF($Q100="","",MATCH($S100,บันทึกรายเที่ยว!$F$6:$F$10005,0))</f>
        <v/>
      </c>
      <c r="U100" t="str">
        <f>IF($Q100="","",$AL100*10000000+$T100*1000+96)</f>
        <v/>
      </c>
      <c r="V100" t="str">
        <f>IFERROR(MATCH(SMALL($U$5:$U$404,96),$U$5:$U$404,0),"")</f>
        <v/>
      </c>
      <c r="W100" t="str">
        <f t="shared" si="42"/>
        <v/>
      </c>
      <c r="X100" t="str">
        <f t="shared" si="43"/>
        <v/>
      </c>
      <c r="Y100" t="str">
        <f t="shared" si="44"/>
        <v/>
      </c>
      <c r="Z100">
        <f t="shared" si="54"/>
        <v>0</v>
      </c>
      <c r="AA100">
        <f t="shared" si="45"/>
        <v>0</v>
      </c>
      <c r="AB100">
        <f>IF($V100="",99999+96,$AB99+1+$Z99+$AA99+$AO99)</f>
        <v>100095</v>
      </c>
      <c r="AC100" t="str">
        <f>IFERROR(MATCH(96,$AB$5:$AB$404,1),"")</f>
        <v/>
      </c>
      <c r="AD100" t="str">
        <f>IF(96=$AI$1+1,"Z",IF($AC100="","",IF(INDEX($V$5:$V$404,$AC100)="","",IF(96&gt;INDEX($AB$5:$AB$404,$AC100)+INDEX($Z$5:$Z$404,$AC100)+INDEX($AA$5:$AA$404,$AC100)+INDEX($AO$5:$AO$404,$AC100),"",IF(96=INDEX($AB$5:$AB$404,$AC100)+INDEX($Z$5:$Z$404,$AC100),"D",IF(AND(INDEX($Z$5:$Z$404,$AC100)=1,96=INDEX($AB$5:$AB$404,$AC100)),"H",IF(AND(INDEX($AO$5:$AO$404,$AC100)=1,96=INDEX($AB$5:$AB$404,$AC100)+INDEX($Z$5:$Z$404,$AC100)+INDEX($AA$5:$AA$404,$AC100)+INDEX($AO$5:$AO$404,$AC100)),"B","T")))))))</f>
        <v/>
      </c>
      <c r="AF100" t="str">
        <f t="shared" si="46"/>
        <v/>
      </c>
      <c r="AJ100">
        <f>IF($AD100&lt;&gt;"T",0,ROUND(SUMIF(oil!$B$4:$B$63,$AF100,oil!$AE$4:$AE$63),2))</f>
        <v>0</v>
      </c>
      <c r="AK100" t="str">
        <f>IF($S100="","",IFERROR(INDEX(อัตราค่าขนส่ง!$R$5:$R$54,MATCH($S100,อัตราค่าขนส่ง!$Q$5:$Q$54,0)),INDEX(รายการมาตรฐาน!$G$2:$G$3,1)))</f>
        <v/>
      </c>
      <c r="AL100" t="str">
        <f>IF($S100="","",IFERROR(MATCH($AK100,รายการมาตรฐาน!$G$2:$G$3,0),1))</f>
        <v/>
      </c>
      <c r="AM100" t="str">
        <f t="shared" si="47"/>
        <v/>
      </c>
      <c r="AN100" t="str">
        <f t="shared" si="48"/>
        <v/>
      </c>
      <c r="AO100">
        <f t="shared" si="49"/>
        <v>0</v>
      </c>
      <c r="AP100">
        <f t="shared" si="55"/>
        <v>0</v>
      </c>
      <c r="AQ100" t="str">
        <f t="shared" si="50"/>
        <v/>
      </c>
      <c r="AR100">
        <f>IF($Y100="",0,COUNTIF(บันทึกรายเที่ยว!$V$6:$V$10005,$Y100))</f>
        <v>0</v>
      </c>
      <c r="AS100">
        <f>IF($Y100="",0,ROUND(SUMIF(บันทึกรายเที่ยว!$V$6:$V$10005,$Y100,บันทึกรายเที่ยว!$M$6:$M$10005),2))</f>
        <v>0</v>
      </c>
      <c r="AT100">
        <f>IF($Y100="",0,IFERROR(INDEX(อัตราค่าขนส่ง!$J$5:$J$204,MATCH($Y100,อัตราค่าขนส่ง!$O$5:$O$204,0)),0))</f>
        <v>0</v>
      </c>
      <c r="AU100">
        <f t="shared" si="51"/>
        <v>0</v>
      </c>
      <c r="AV100">
        <f t="shared" si="52"/>
        <v>0</v>
      </c>
      <c r="AW100" t="str">
        <f>IF($Y100="","",IFERROR(INDEX(อัตราค่าขนส่ง!$F$5:$F$204,MATCH($Y100,อัตราค่าขนส่ง!$O$5:$O$204,0)),""))</f>
        <v/>
      </c>
      <c r="AX100" t="str">
        <f>IF($W100="","",INDEX(บันทึกรายเที่ยว!$D$6:$D$10005,$W100))</f>
        <v/>
      </c>
      <c r="AY100" t="str">
        <f>IF($W100="","",INDEX(บันทึกรายเที่ยว!$R$6:$R$10005,$W100))</f>
        <v/>
      </c>
      <c r="AZ100">
        <f t="shared" si="53"/>
        <v>0</v>
      </c>
      <c r="BA100" t="str">
        <f>IF($W100="","",INDEX(บันทึกรายเที่ยว!$E$6:$E$10005,$W100))</f>
        <v/>
      </c>
      <c r="BC100">
        <f>IF($Y100="",0,IFERROR(INDEX(อัตราค่าขนส่ง!$M$5:$M$204,MATCH($Y100,อัตราค่าขนส่ง!$O$5:$O$204,0)),0))</f>
        <v>0</v>
      </c>
      <c r="BD100">
        <f>IF($Y100="",0,IFERROR(INDEX(อัตราค่าขนส่ง!$N$5:$N$204,MATCH($Y100,อัตราค่าขนส่ง!$O$5:$O$204,0)),0))</f>
        <v>0</v>
      </c>
    </row>
    <row r="101" spans="1:56" ht="21" customHeight="1" x14ac:dyDescent="0.95">
      <c r="A101" s="36" t="str">
        <f>IF($AD101="","",IF($AD101="Z","รวมจ่ายทั้งสิ้น",IF($AD101="H",INDEX($X$5:$X$404,$AC101),IF($AD101="T","รวม",IF($AD101="B",IFERROR(INDEX(อัตราค่าขนส่ง!$U$5:$U$14,MATCH(INDEX($AM$5:$AM$404,$AC101),อัตราค่าขนส่ง!$T$5:$T$14,0)),"รวมกลุ่ม "&amp;INDEX($AM$5:$AM$404,$AC101)),INDEX($AY$5:$AY$404,$AC101))))))</f>
        <v/>
      </c>
      <c r="B101" s="31" t="str">
        <f t="shared" si="28"/>
        <v/>
      </c>
      <c r="C101" s="8" t="str">
        <f t="shared" si="29"/>
        <v/>
      </c>
      <c r="D101" s="37" t="str">
        <f t="shared" si="30"/>
        <v/>
      </c>
      <c r="E101" s="31" t="str">
        <f t="shared" si="31"/>
        <v/>
      </c>
      <c r="F101" s="32" t="str">
        <f t="shared" si="32"/>
        <v/>
      </c>
      <c r="G101" s="32" t="str">
        <f t="shared" si="33"/>
        <v/>
      </c>
      <c r="H101" s="32" t="str">
        <f t="shared" si="34"/>
        <v/>
      </c>
      <c r="I101" s="32" t="str">
        <f t="shared" si="35"/>
        <v/>
      </c>
      <c r="J101" s="46" t="str">
        <f t="shared" si="36"/>
        <v/>
      </c>
      <c r="K101" s="32" t="str">
        <f t="shared" si="37"/>
        <v/>
      </c>
      <c r="L101" s="32" t="str">
        <f t="shared" si="38"/>
        <v/>
      </c>
      <c r="M101" s="32" t="str">
        <f t="shared" si="39"/>
        <v/>
      </c>
      <c r="N101" s="32" t="str">
        <f t="shared" si="40"/>
        <v/>
      </c>
      <c r="O101" s="32" t="str">
        <f t="shared" si="41"/>
        <v/>
      </c>
      <c r="Q101" t="str">
        <f>IFERROR(MATCH(97,บันทึกรายเที่ยว!$Z$6:$Z$10005,0),"")</f>
        <v/>
      </c>
      <c r="R101" t="str">
        <f>IF($Q101="","",INDEX(บันทึกรายเที่ยว!$V$6:$V$10005,$Q101))</f>
        <v/>
      </c>
      <c r="S101" t="str">
        <f>IF($Q101="","",INDEX(บันทึกรายเที่ยว!$F$6:$F$10005,$Q101))</f>
        <v/>
      </c>
      <c r="T101" t="str">
        <f>IF($Q101="","",MATCH($S101,บันทึกรายเที่ยว!$F$6:$F$10005,0))</f>
        <v/>
      </c>
      <c r="U101" t="str">
        <f>IF($Q101="","",$AL101*10000000+$T101*1000+97)</f>
        <v/>
      </c>
      <c r="V101" t="str">
        <f>IFERROR(MATCH(SMALL($U$5:$U$404,97),$U$5:$U$404,0),"")</f>
        <v/>
      </c>
      <c r="W101" t="str">
        <f t="shared" si="42"/>
        <v/>
      </c>
      <c r="X101" t="str">
        <f t="shared" si="43"/>
        <v/>
      </c>
      <c r="Y101" t="str">
        <f t="shared" si="44"/>
        <v/>
      </c>
      <c r="Z101">
        <f t="shared" si="54"/>
        <v>0</v>
      </c>
      <c r="AA101">
        <f t="shared" si="45"/>
        <v>0</v>
      </c>
      <c r="AB101">
        <f>IF($V101="",99999+97,$AB100+1+$Z100+$AA100+$AO100)</f>
        <v>100096</v>
      </c>
      <c r="AC101" t="str">
        <f>IFERROR(MATCH(97,$AB$5:$AB$404,1),"")</f>
        <v/>
      </c>
      <c r="AD101" t="str">
        <f>IF(97=$AI$1+1,"Z",IF($AC101="","",IF(INDEX($V$5:$V$404,$AC101)="","",IF(97&gt;INDEX($AB$5:$AB$404,$AC101)+INDEX($Z$5:$Z$404,$AC101)+INDEX($AA$5:$AA$404,$AC101)+INDEX($AO$5:$AO$404,$AC101),"",IF(97=INDEX($AB$5:$AB$404,$AC101)+INDEX($Z$5:$Z$404,$AC101),"D",IF(AND(INDEX($Z$5:$Z$404,$AC101)=1,97=INDEX($AB$5:$AB$404,$AC101)),"H",IF(AND(INDEX($AO$5:$AO$404,$AC101)=1,97=INDEX($AB$5:$AB$404,$AC101)+INDEX($Z$5:$Z$404,$AC101)+INDEX($AA$5:$AA$404,$AC101)+INDEX($AO$5:$AO$404,$AC101)),"B","T")))))))</f>
        <v/>
      </c>
      <c r="AF101" t="str">
        <f t="shared" si="46"/>
        <v/>
      </c>
      <c r="AJ101">
        <f>IF($AD101&lt;&gt;"T",0,ROUND(SUMIF(oil!$B$4:$B$63,$AF101,oil!$AE$4:$AE$63),2))</f>
        <v>0</v>
      </c>
      <c r="AK101" t="str">
        <f>IF($S101="","",IFERROR(INDEX(อัตราค่าขนส่ง!$R$5:$R$54,MATCH($S101,อัตราค่าขนส่ง!$Q$5:$Q$54,0)),INDEX(รายการมาตรฐาน!$G$2:$G$3,1)))</f>
        <v/>
      </c>
      <c r="AL101" t="str">
        <f>IF($S101="","",IFERROR(MATCH($AK101,รายการมาตรฐาน!$G$2:$G$3,0),1))</f>
        <v/>
      </c>
      <c r="AM101" t="str">
        <f t="shared" si="47"/>
        <v/>
      </c>
      <c r="AN101" t="str">
        <f t="shared" si="48"/>
        <v/>
      </c>
      <c r="AO101">
        <f t="shared" si="49"/>
        <v>0</v>
      </c>
      <c r="AP101">
        <f t="shared" si="55"/>
        <v>0</v>
      </c>
      <c r="AQ101" t="str">
        <f t="shared" si="50"/>
        <v/>
      </c>
      <c r="AR101">
        <f>IF($Y101="",0,COUNTIF(บันทึกรายเที่ยว!$V$6:$V$10005,$Y101))</f>
        <v>0</v>
      </c>
      <c r="AS101">
        <f>IF($Y101="",0,ROUND(SUMIF(บันทึกรายเที่ยว!$V$6:$V$10005,$Y101,บันทึกรายเที่ยว!$M$6:$M$10005),2))</f>
        <v>0</v>
      </c>
      <c r="AT101">
        <f>IF($Y101="",0,IFERROR(INDEX(อัตราค่าขนส่ง!$J$5:$J$204,MATCH($Y101,อัตราค่าขนส่ง!$O$5:$O$204,0)),0))</f>
        <v>0</v>
      </c>
      <c r="AU101">
        <f t="shared" si="51"/>
        <v>0</v>
      </c>
      <c r="AV101">
        <f t="shared" si="52"/>
        <v>0</v>
      </c>
      <c r="AW101" t="str">
        <f>IF($Y101="","",IFERROR(INDEX(อัตราค่าขนส่ง!$F$5:$F$204,MATCH($Y101,อัตราค่าขนส่ง!$O$5:$O$204,0)),""))</f>
        <v/>
      </c>
      <c r="AX101" t="str">
        <f>IF($W101="","",INDEX(บันทึกรายเที่ยว!$D$6:$D$10005,$W101))</f>
        <v/>
      </c>
      <c r="AY101" t="str">
        <f>IF($W101="","",INDEX(บันทึกรายเที่ยว!$R$6:$R$10005,$W101))</f>
        <v/>
      </c>
      <c r="AZ101">
        <f t="shared" si="53"/>
        <v>0</v>
      </c>
      <c r="BA101" t="str">
        <f>IF($W101="","",INDEX(บันทึกรายเที่ยว!$E$6:$E$10005,$W101))</f>
        <v/>
      </c>
      <c r="BC101">
        <f>IF($Y101="",0,IFERROR(INDEX(อัตราค่าขนส่ง!$M$5:$M$204,MATCH($Y101,อัตราค่าขนส่ง!$O$5:$O$204,0)),0))</f>
        <v>0</v>
      </c>
      <c r="BD101">
        <f>IF($Y101="",0,IFERROR(INDEX(อัตราค่าขนส่ง!$N$5:$N$204,MATCH($Y101,อัตราค่าขนส่ง!$O$5:$O$204,0)),0))</f>
        <v>0</v>
      </c>
    </row>
    <row r="102" spans="1:56" ht="21" customHeight="1" x14ac:dyDescent="0.95">
      <c r="A102" s="36" t="str">
        <f>IF($AD102="","",IF($AD102="Z","รวมจ่ายทั้งสิ้น",IF($AD102="H",INDEX($X$5:$X$404,$AC102),IF($AD102="T","รวม",IF($AD102="B",IFERROR(INDEX(อัตราค่าขนส่ง!$U$5:$U$14,MATCH(INDEX($AM$5:$AM$404,$AC102),อัตราค่าขนส่ง!$T$5:$T$14,0)),"รวมกลุ่ม "&amp;INDEX($AM$5:$AM$404,$AC102)),INDEX($AY$5:$AY$404,$AC102))))))</f>
        <v/>
      </c>
      <c r="B102" s="31" t="str">
        <f t="shared" si="28"/>
        <v/>
      </c>
      <c r="C102" s="8" t="str">
        <f t="shared" si="29"/>
        <v/>
      </c>
      <c r="D102" s="37" t="str">
        <f t="shared" si="30"/>
        <v/>
      </c>
      <c r="E102" s="31" t="str">
        <f t="shared" si="31"/>
        <v/>
      </c>
      <c r="F102" s="32" t="str">
        <f t="shared" si="32"/>
        <v/>
      </c>
      <c r="G102" s="32" t="str">
        <f t="shared" si="33"/>
        <v/>
      </c>
      <c r="H102" s="32" t="str">
        <f t="shared" si="34"/>
        <v/>
      </c>
      <c r="I102" s="32" t="str">
        <f t="shared" si="35"/>
        <v/>
      </c>
      <c r="J102" s="46" t="str">
        <f t="shared" si="36"/>
        <v/>
      </c>
      <c r="K102" s="32" t="str">
        <f t="shared" si="37"/>
        <v/>
      </c>
      <c r="L102" s="32" t="str">
        <f t="shared" si="38"/>
        <v/>
      </c>
      <c r="M102" s="32" t="str">
        <f t="shared" si="39"/>
        <v/>
      </c>
      <c r="N102" s="32" t="str">
        <f t="shared" si="40"/>
        <v/>
      </c>
      <c r="O102" s="32" t="str">
        <f t="shared" si="41"/>
        <v/>
      </c>
      <c r="Q102" t="str">
        <f>IFERROR(MATCH(98,บันทึกรายเที่ยว!$Z$6:$Z$10005,0),"")</f>
        <v/>
      </c>
      <c r="R102" t="str">
        <f>IF($Q102="","",INDEX(บันทึกรายเที่ยว!$V$6:$V$10005,$Q102))</f>
        <v/>
      </c>
      <c r="S102" t="str">
        <f>IF($Q102="","",INDEX(บันทึกรายเที่ยว!$F$6:$F$10005,$Q102))</f>
        <v/>
      </c>
      <c r="T102" t="str">
        <f>IF($Q102="","",MATCH($S102,บันทึกรายเที่ยว!$F$6:$F$10005,0))</f>
        <v/>
      </c>
      <c r="U102" t="str">
        <f>IF($Q102="","",$AL102*10000000+$T102*1000+98)</f>
        <v/>
      </c>
      <c r="V102" t="str">
        <f>IFERROR(MATCH(SMALL($U$5:$U$404,98),$U$5:$U$404,0),"")</f>
        <v/>
      </c>
      <c r="W102" t="str">
        <f t="shared" si="42"/>
        <v/>
      </c>
      <c r="X102" t="str">
        <f t="shared" si="43"/>
        <v/>
      </c>
      <c r="Y102" t="str">
        <f t="shared" si="44"/>
        <v/>
      </c>
      <c r="Z102">
        <f t="shared" si="54"/>
        <v>0</v>
      </c>
      <c r="AA102">
        <f t="shared" si="45"/>
        <v>0</v>
      </c>
      <c r="AB102">
        <f>IF($V102="",99999+98,$AB101+1+$Z101+$AA101+$AO101)</f>
        <v>100097</v>
      </c>
      <c r="AC102" t="str">
        <f>IFERROR(MATCH(98,$AB$5:$AB$404,1),"")</f>
        <v/>
      </c>
      <c r="AD102" t="str">
        <f>IF(98=$AI$1+1,"Z",IF($AC102="","",IF(INDEX($V$5:$V$404,$AC102)="","",IF(98&gt;INDEX($AB$5:$AB$404,$AC102)+INDEX($Z$5:$Z$404,$AC102)+INDEX($AA$5:$AA$404,$AC102)+INDEX($AO$5:$AO$404,$AC102),"",IF(98=INDEX($AB$5:$AB$404,$AC102)+INDEX($Z$5:$Z$404,$AC102),"D",IF(AND(INDEX($Z$5:$Z$404,$AC102)=1,98=INDEX($AB$5:$AB$404,$AC102)),"H",IF(AND(INDEX($AO$5:$AO$404,$AC102)=1,98=INDEX($AB$5:$AB$404,$AC102)+INDEX($Z$5:$Z$404,$AC102)+INDEX($AA$5:$AA$404,$AC102)+INDEX($AO$5:$AO$404,$AC102)),"B","T")))))))</f>
        <v/>
      </c>
      <c r="AF102" t="str">
        <f t="shared" si="46"/>
        <v/>
      </c>
      <c r="AJ102">
        <f>IF($AD102&lt;&gt;"T",0,ROUND(SUMIF(oil!$B$4:$B$63,$AF102,oil!$AE$4:$AE$63),2))</f>
        <v>0</v>
      </c>
      <c r="AK102" t="str">
        <f>IF($S102="","",IFERROR(INDEX(อัตราค่าขนส่ง!$R$5:$R$54,MATCH($S102,อัตราค่าขนส่ง!$Q$5:$Q$54,0)),INDEX(รายการมาตรฐาน!$G$2:$G$3,1)))</f>
        <v/>
      </c>
      <c r="AL102" t="str">
        <f>IF($S102="","",IFERROR(MATCH($AK102,รายการมาตรฐาน!$G$2:$G$3,0),1))</f>
        <v/>
      </c>
      <c r="AM102" t="str">
        <f t="shared" si="47"/>
        <v/>
      </c>
      <c r="AN102" t="str">
        <f t="shared" si="48"/>
        <v/>
      </c>
      <c r="AO102">
        <f t="shared" si="49"/>
        <v>0</v>
      </c>
      <c r="AP102">
        <f t="shared" si="55"/>
        <v>0</v>
      </c>
      <c r="AQ102" t="str">
        <f t="shared" si="50"/>
        <v/>
      </c>
      <c r="AR102">
        <f>IF($Y102="",0,COUNTIF(บันทึกรายเที่ยว!$V$6:$V$10005,$Y102))</f>
        <v>0</v>
      </c>
      <c r="AS102">
        <f>IF($Y102="",0,ROUND(SUMIF(บันทึกรายเที่ยว!$V$6:$V$10005,$Y102,บันทึกรายเที่ยว!$M$6:$M$10005),2))</f>
        <v>0</v>
      </c>
      <c r="AT102">
        <f>IF($Y102="",0,IFERROR(INDEX(อัตราค่าขนส่ง!$J$5:$J$204,MATCH($Y102,อัตราค่าขนส่ง!$O$5:$O$204,0)),0))</f>
        <v>0</v>
      </c>
      <c r="AU102">
        <f t="shared" si="51"/>
        <v>0</v>
      </c>
      <c r="AV102">
        <f t="shared" si="52"/>
        <v>0</v>
      </c>
      <c r="AW102" t="str">
        <f>IF($Y102="","",IFERROR(INDEX(อัตราค่าขนส่ง!$F$5:$F$204,MATCH($Y102,อัตราค่าขนส่ง!$O$5:$O$204,0)),""))</f>
        <v/>
      </c>
      <c r="AX102" t="str">
        <f>IF($W102="","",INDEX(บันทึกรายเที่ยว!$D$6:$D$10005,$W102))</f>
        <v/>
      </c>
      <c r="AY102" t="str">
        <f>IF($W102="","",INDEX(บันทึกรายเที่ยว!$R$6:$R$10005,$W102))</f>
        <v/>
      </c>
      <c r="AZ102">
        <f t="shared" si="53"/>
        <v>0</v>
      </c>
      <c r="BA102" t="str">
        <f>IF($W102="","",INDEX(บันทึกรายเที่ยว!$E$6:$E$10005,$W102))</f>
        <v/>
      </c>
      <c r="BC102">
        <f>IF($Y102="",0,IFERROR(INDEX(อัตราค่าขนส่ง!$M$5:$M$204,MATCH($Y102,อัตราค่าขนส่ง!$O$5:$O$204,0)),0))</f>
        <v>0</v>
      </c>
      <c r="BD102">
        <f>IF($Y102="",0,IFERROR(INDEX(อัตราค่าขนส่ง!$N$5:$N$204,MATCH($Y102,อัตราค่าขนส่ง!$O$5:$O$204,0)),0))</f>
        <v>0</v>
      </c>
    </row>
    <row r="103" spans="1:56" ht="21" customHeight="1" x14ac:dyDescent="0.95">
      <c r="A103" s="36" t="str">
        <f>IF($AD103="","",IF($AD103="Z","รวมจ่ายทั้งสิ้น",IF($AD103="H",INDEX($X$5:$X$404,$AC103),IF($AD103="T","รวม",IF($AD103="B",IFERROR(INDEX(อัตราค่าขนส่ง!$U$5:$U$14,MATCH(INDEX($AM$5:$AM$404,$AC103),อัตราค่าขนส่ง!$T$5:$T$14,0)),"รวมกลุ่ม "&amp;INDEX($AM$5:$AM$404,$AC103)),INDEX($AY$5:$AY$404,$AC103))))))</f>
        <v/>
      </c>
      <c r="B103" s="31" t="str">
        <f t="shared" si="28"/>
        <v/>
      </c>
      <c r="C103" s="8" t="str">
        <f t="shared" si="29"/>
        <v/>
      </c>
      <c r="D103" s="37" t="str">
        <f t="shared" si="30"/>
        <v/>
      </c>
      <c r="E103" s="31" t="str">
        <f t="shared" si="31"/>
        <v/>
      </c>
      <c r="F103" s="32" t="str">
        <f t="shared" si="32"/>
        <v/>
      </c>
      <c r="G103" s="32" t="str">
        <f t="shared" si="33"/>
        <v/>
      </c>
      <c r="H103" s="32" t="str">
        <f t="shared" si="34"/>
        <v/>
      </c>
      <c r="I103" s="32" t="str">
        <f t="shared" si="35"/>
        <v/>
      </c>
      <c r="J103" s="46" t="str">
        <f t="shared" si="36"/>
        <v/>
      </c>
      <c r="K103" s="32" t="str">
        <f t="shared" si="37"/>
        <v/>
      </c>
      <c r="L103" s="32" t="str">
        <f t="shared" si="38"/>
        <v/>
      </c>
      <c r="M103" s="32" t="str">
        <f t="shared" si="39"/>
        <v/>
      </c>
      <c r="N103" s="32" t="str">
        <f t="shared" si="40"/>
        <v/>
      </c>
      <c r="O103" s="32" t="str">
        <f t="shared" si="41"/>
        <v/>
      </c>
      <c r="Q103" t="str">
        <f>IFERROR(MATCH(99,บันทึกรายเที่ยว!$Z$6:$Z$10005,0),"")</f>
        <v/>
      </c>
      <c r="R103" t="str">
        <f>IF($Q103="","",INDEX(บันทึกรายเที่ยว!$V$6:$V$10005,$Q103))</f>
        <v/>
      </c>
      <c r="S103" t="str">
        <f>IF($Q103="","",INDEX(บันทึกรายเที่ยว!$F$6:$F$10005,$Q103))</f>
        <v/>
      </c>
      <c r="T103" t="str">
        <f>IF($Q103="","",MATCH($S103,บันทึกรายเที่ยว!$F$6:$F$10005,0))</f>
        <v/>
      </c>
      <c r="U103" t="str">
        <f>IF($Q103="","",$AL103*10000000+$T103*1000+99)</f>
        <v/>
      </c>
      <c r="V103" t="str">
        <f>IFERROR(MATCH(SMALL($U$5:$U$404,99),$U$5:$U$404,0),"")</f>
        <v/>
      </c>
      <c r="W103" t="str">
        <f t="shared" si="42"/>
        <v/>
      </c>
      <c r="X103" t="str">
        <f t="shared" si="43"/>
        <v/>
      </c>
      <c r="Y103" t="str">
        <f t="shared" si="44"/>
        <v/>
      </c>
      <c r="Z103">
        <f t="shared" si="54"/>
        <v>0</v>
      </c>
      <c r="AA103">
        <f t="shared" si="45"/>
        <v>0</v>
      </c>
      <c r="AB103">
        <f>IF($V103="",99999+99,$AB102+1+$Z102+$AA102+$AO102)</f>
        <v>100098</v>
      </c>
      <c r="AC103" t="str">
        <f>IFERROR(MATCH(99,$AB$5:$AB$404,1),"")</f>
        <v/>
      </c>
      <c r="AD103" t="str">
        <f>IF(99=$AI$1+1,"Z",IF($AC103="","",IF(INDEX($V$5:$V$404,$AC103)="","",IF(99&gt;INDEX($AB$5:$AB$404,$AC103)+INDEX($Z$5:$Z$404,$AC103)+INDEX($AA$5:$AA$404,$AC103)+INDEX($AO$5:$AO$404,$AC103),"",IF(99=INDEX($AB$5:$AB$404,$AC103)+INDEX($Z$5:$Z$404,$AC103),"D",IF(AND(INDEX($Z$5:$Z$404,$AC103)=1,99=INDEX($AB$5:$AB$404,$AC103)),"H",IF(AND(INDEX($AO$5:$AO$404,$AC103)=1,99=INDEX($AB$5:$AB$404,$AC103)+INDEX($Z$5:$Z$404,$AC103)+INDEX($AA$5:$AA$404,$AC103)+INDEX($AO$5:$AO$404,$AC103)),"B","T")))))))</f>
        <v/>
      </c>
      <c r="AF103" t="str">
        <f t="shared" si="46"/>
        <v/>
      </c>
      <c r="AJ103">
        <f>IF($AD103&lt;&gt;"T",0,ROUND(SUMIF(oil!$B$4:$B$63,$AF103,oil!$AE$4:$AE$63),2))</f>
        <v>0</v>
      </c>
      <c r="AK103" t="str">
        <f>IF($S103="","",IFERROR(INDEX(อัตราค่าขนส่ง!$R$5:$R$54,MATCH($S103,อัตราค่าขนส่ง!$Q$5:$Q$54,0)),INDEX(รายการมาตรฐาน!$G$2:$G$3,1)))</f>
        <v/>
      </c>
      <c r="AL103" t="str">
        <f>IF($S103="","",IFERROR(MATCH($AK103,รายการมาตรฐาน!$G$2:$G$3,0),1))</f>
        <v/>
      </c>
      <c r="AM103" t="str">
        <f t="shared" si="47"/>
        <v/>
      </c>
      <c r="AN103" t="str">
        <f t="shared" si="48"/>
        <v/>
      </c>
      <c r="AO103">
        <f t="shared" si="49"/>
        <v>0</v>
      </c>
      <c r="AP103">
        <f t="shared" si="55"/>
        <v>0</v>
      </c>
      <c r="AQ103" t="str">
        <f t="shared" si="50"/>
        <v/>
      </c>
      <c r="AR103">
        <f>IF($Y103="",0,COUNTIF(บันทึกรายเที่ยว!$V$6:$V$10005,$Y103))</f>
        <v>0</v>
      </c>
      <c r="AS103">
        <f>IF($Y103="",0,ROUND(SUMIF(บันทึกรายเที่ยว!$V$6:$V$10005,$Y103,บันทึกรายเที่ยว!$M$6:$M$10005),2))</f>
        <v>0</v>
      </c>
      <c r="AT103">
        <f>IF($Y103="",0,IFERROR(INDEX(อัตราค่าขนส่ง!$J$5:$J$204,MATCH($Y103,อัตราค่าขนส่ง!$O$5:$O$204,0)),0))</f>
        <v>0</v>
      </c>
      <c r="AU103">
        <f t="shared" si="51"/>
        <v>0</v>
      </c>
      <c r="AV103">
        <f t="shared" si="52"/>
        <v>0</v>
      </c>
      <c r="AW103" t="str">
        <f>IF($Y103="","",IFERROR(INDEX(อัตราค่าขนส่ง!$F$5:$F$204,MATCH($Y103,อัตราค่าขนส่ง!$O$5:$O$204,0)),""))</f>
        <v/>
      </c>
      <c r="AX103" t="str">
        <f>IF($W103="","",INDEX(บันทึกรายเที่ยว!$D$6:$D$10005,$W103))</f>
        <v/>
      </c>
      <c r="AY103" t="str">
        <f>IF($W103="","",INDEX(บันทึกรายเที่ยว!$R$6:$R$10005,$W103))</f>
        <v/>
      </c>
      <c r="AZ103">
        <f t="shared" si="53"/>
        <v>0</v>
      </c>
      <c r="BA103" t="str">
        <f>IF($W103="","",INDEX(บันทึกรายเที่ยว!$E$6:$E$10005,$W103))</f>
        <v/>
      </c>
      <c r="BC103">
        <f>IF($Y103="",0,IFERROR(INDEX(อัตราค่าขนส่ง!$M$5:$M$204,MATCH($Y103,อัตราค่าขนส่ง!$O$5:$O$204,0)),0))</f>
        <v>0</v>
      </c>
      <c r="BD103">
        <f>IF($Y103="",0,IFERROR(INDEX(อัตราค่าขนส่ง!$N$5:$N$204,MATCH($Y103,อัตราค่าขนส่ง!$O$5:$O$204,0)),0))</f>
        <v>0</v>
      </c>
    </row>
    <row r="104" spans="1:56" ht="21" customHeight="1" x14ac:dyDescent="0.95">
      <c r="A104" s="36" t="str">
        <f>IF($AD104="","",IF($AD104="Z","รวมจ่ายทั้งสิ้น",IF($AD104="H",INDEX($X$5:$X$404,$AC104),IF($AD104="T","รวม",IF($AD104="B",IFERROR(INDEX(อัตราค่าขนส่ง!$U$5:$U$14,MATCH(INDEX($AM$5:$AM$404,$AC104),อัตราค่าขนส่ง!$T$5:$T$14,0)),"รวมกลุ่ม "&amp;INDEX($AM$5:$AM$404,$AC104)),INDEX($AY$5:$AY$404,$AC104))))))</f>
        <v/>
      </c>
      <c r="B104" s="31" t="str">
        <f t="shared" si="28"/>
        <v/>
      </c>
      <c r="C104" s="8" t="str">
        <f t="shared" si="29"/>
        <v/>
      </c>
      <c r="D104" s="37" t="str">
        <f t="shared" si="30"/>
        <v/>
      </c>
      <c r="E104" s="31" t="str">
        <f t="shared" si="31"/>
        <v/>
      </c>
      <c r="F104" s="32" t="str">
        <f t="shared" si="32"/>
        <v/>
      </c>
      <c r="G104" s="32" t="str">
        <f t="shared" si="33"/>
        <v/>
      </c>
      <c r="H104" s="32" t="str">
        <f t="shared" si="34"/>
        <v/>
      </c>
      <c r="I104" s="32" t="str">
        <f t="shared" si="35"/>
        <v/>
      </c>
      <c r="J104" s="46" t="str">
        <f t="shared" si="36"/>
        <v/>
      </c>
      <c r="K104" s="32" t="str">
        <f t="shared" si="37"/>
        <v/>
      </c>
      <c r="L104" s="32" t="str">
        <f t="shared" si="38"/>
        <v/>
      </c>
      <c r="M104" s="32" t="str">
        <f t="shared" si="39"/>
        <v/>
      </c>
      <c r="N104" s="32" t="str">
        <f t="shared" si="40"/>
        <v/>
      </c>
      <c r="O104" s="32" t="str">
        <f t="shared" si="41"/>
        <v/>
      </c>
      <c r="Q104" t="str">
        <f>IFERROR(MATCH(100,บันทึกรายเที่ยว!$Z$6:$Z$10005,0),"")</f>
        <v/>
      </c>
      <c r="R104" t="str">
        <f>IF($Q104="","",INDEX(บันทึกรายเที่ยว!$V$6:$V$10005,$Q104))</f>
        <v/>
      </c>
      <c r="S104" t="str">
        <f>IF($Q104="","",INDEX(บันทึกรายเที่ยว!$F$6:$F$10005,$Q104))</f>
        <v/>
      </c>
      <c r="T104" t="str">
        <f>IF($Q104="","",MATCH($S104,บันทึกรายเที่ยว!$F$6:$F$10005,0))</f>
        <v/>
      </c>
      <c r="U104" t="str">
        <f>IF($Q104="","",$AL104*10000000+$T104*1000+100)</f>
        <v/>
      </c>
      <c r="V104" t="str">
        <f>IFERROR(MATCH(SMALL($U$5:$U$404,100),$U$5:$U$404,0),"")</f>
        <v/>
      </c>
      <c r="W104" t="str">
        <f t="shared" si="42"/>
        <v/>
      </c>
      <c r="X104" t="str">
        <f t="shared" si="43"/>
        <v/>
      </c>
      <c r="Y104" t="str">
        <f t="shared" si="44"/>
        <v/>
      </c>
      <c r="Z104">
        <f t="shared" si="54"/>
        <v>0</v>
      </c>
      <c r="AA104">
        <f t="shared" si="45"/>
        <v>0</v>
      </c>
      <c r="AB104">
        <f>IF($V104="",99999+100,$AB103+1+$Z103+$AA103+$AO103)</f>
        <v>100099</v>
      </c>
      <c r="AC104" t="str">
        <f>IFERROR(MATCH(100,$AB$5:$AB$404,1),"")</f>
        <v/>
      </c>
      <c r="AD104" t="str">
        <f>IF(100=$AI$1+1,"Z",IF($AC104="","",IF(INDEX($V$5:$V$404,$AC104)="","",IF(100&gt;INDEX($AB$5:$AB$404,$AC104)+INDEX($Z$5:$Z$404,$AC104)+INDEX($AA$5:$AA$404,$AC104)+INDEX($AO$5:$AO$404,$AC104),"",IF(100=INDEX($AB$5:$AB$404,$AC104)+INDEX($Z$5:$Z$404,$AC104),"D",IF(AND(INDEX($Z$5:$Z$404,$AC104)=1,100=INDEX($AB$5:$AB$404,$AC104)),"H",IF(AND(INDEX($AO$5:$AO$404,$AC104)=1,100=INDEX($AB$5:$AB$404,$AC104)+INDEX($Z$5:$Z$404,$AC104)+INDEX($AA$5:$AA$404,$AC104)+INDEX($AO$5:$AO$404,$AC104)),"B","T")))))))</f>
        <v/>
      </c>
      <c r="AF104" t="str">
        <f t="shared" si="46"/>
        <v/>
      </c>
      <c r="AJ104">
        <f>IF($AD104&lt;&gt;"T",0,ROUND(SUMIF(oil!$B$4:$B$63,$AF104,oil!$AE$4:$AE$63),2))</f>
        <v>0</v>
      </c>
      <c r="AK104" t="str">
        <f>IF($S104="","",IFERROR(INDEX(อัตราค่าขนส่ง!$R$5:$R$54,MATCH($S104,อัตราค่าขนส่ง!$Q$5:$Q$54,0)),INDEX(รายการมาตรฐาน!$G$2:$G$3,1)))</f>
        <v/>
      </c>
      <c r="AL104" t="str">
        <f>IF($S104="","",IFERROR(MATCH($AK104,รายการมาตรฐาน!$G$2:$G$3,0),1))</f>
        <v/>
      </c>
      <c r="AM104" t="str">
        <f t="shared" si="47"/>
        <v/>
      </c>
      <c r="AN104" t="str">
        <f t="shared" si="48"/>
        <v/>
      </c>
      <c r="AO104">
        <f t="shared" si="49"/>
        <v>0</v>
      </c>
      <c r="AP104">
        <f t="shared" si="55"/>
        <v>0</v>
      </c>
      <c r="AQ104" t="str">
        <f t="shared" si="50"/>
        <v/>
      </c>
      <c r="AR104">
        <f>IF($Y104="",0,COUNTIF(บันทึกรายเที่ยว!$V$6:$V$10005,$Y104))</f>
        <v>0</v>
      </c>
      <c r="AS104">
        <f>IF($Y104="",0,ROUND(SUMIF(บันทึกรายเที่ยว!$V$6:$V$10005,$Y104,บันทึกรายเที่ยว!$M$6:$M$10005),2))</f>
        <v>0</v>
      </c>
      <c r="AT104">
        <f>IF($Y104="",0,IFERROR(INDEX(อัตราค่าขนส่ง!$J$5:$J$204,MATCH($Y104,อัตราค่าขนส่ง!$O$5:$O$204,0)),0))</f>
        <v>0</v>
      </c>
      <c r="AU104">
        <f t="shared" si="51"/>
        <v>0</v>
      </c>
      <c r="AV104">
        <f t="shared" si="52"/>
        <v>0</v>
      </c>
      <c r="AW104" t="str">
        <f>IF($Y104="","",IFERROR(INDEX(อัตราค่าขนส่ง!$F$5:$F$204,MATCH($Y104,อัตราค่าขนส่ง!$O$5:$O$204,0)),""))</f>
        <v/>
      </c>
      <c r="AX104" t="str">
        <f>IF($W104="","",INDEX(บันทึกรายเที่ยว!$D$6:$D$10005,$W104))</f>
        <v/>
      </c>
      <c r="AY104" t="str">
        <f>IF($W104="","",INDEX(บันทึกรายเที่ยว!$R$6:$R$10005,$W104))</f>
        <v/>
      </c>
      <c r="AZ104">
        <f t="shared" si="53"/>
        <v>0</v>
      </c>
      <c r="BA104" t="str">
        <f>IF($W104="","",INDEX(บันทึกรายเที่ยว!$E$6:$E$10005,$W104))</f>
        <v/>
      </c>
      <c r="BC104">
        <f>IF($Y104="",0,IFERROR(INDEX(อัตราค่าขนส่ง!$M$5:$M$204,MATCH($Y104,อัตราค่าขนส่ง!$O$5:$O$204,0)),0))</f>
        <v>0</v>
      </c>
      <c r="BD104">
        <f>IF($Y104="",0,IFERROR(INDEX(อัตราค่าขนส่ง!$N$5:$N$204,MATCH($Y104,อัตราค่าขนส่ง!$O$5:$O$204,0)),0))</f>
        <v>0</v>
      </c>
    </row>
    <row r="105" spans="1:56" ht="21" customHeight="1" x14ac:dyDescent="0.95">
      <c r="A105" s="36" t="str">
        <f>IF($AD105="","",IF($AD105="Z","รวมจ่ายทั้งสิ้น",IF($AD105="H",INDEX($X$5:$X$404,$AC105),IF($AD105="T","รวม",IF($AD105="B",IFERROR(INDEX(อัตราค่าขนส่ง!$U$5:$U$14,MATCH(INDEX($AM$5:$AM$404,$AC105),อัตราค่าขนส่ง!$T$5:$T$14,0)),"รวมกลุ่ม "&amp;INDEX($AM$5:$AM$404,$AC105)),INDEX($AY$5:$AY$404,$AC105))))))</f>
        <v/>
      </c>
      <c r="B105" s="31" t="str">
        <f t="shared" si="28"/>
        <v/>
      </c>
      <c r="C105" s="8" t="str">
        <f t="shared" si="29"/>
        <v/>
      </c>
      <c r="D105" s="37" t="str">
        <f t="shared" si="30"/>
        <v/>
      </c>
      <c r="E105" s="31" t="str">
        <f t="shared" si="31"/>
        <v/>
      </c>
      <c r="F105" s="32" t="str">
        <f t="shared" si="32"/>
        <v/>
      </c>
      <c r="G105" s="32" t="str">
        <f t="shared" si="33"/>
        <v/>
      </c>
      <c r="H105" s="32" t="str">
        <f t="shared" si="34"/>
        <v/>
      </c>
      <c r="I105" s="32" t="str">
        <f t="shared" si="35"/>
        <v/>
      </c>
      <c r="J105" s="46" t="str">
        <f t="shared" si="36"/>
        <v/>
      </c>
      <c r="K105" s="32" t="str">
        <f t="shared" si="37"/>
        <v/>
      </c>
      <c r="L105" s="32" t="str">
        <f t="shared" si="38"/>
        <v/>
      </c>
      <c r="M105" s="32" t="str">
        <f t="shared" si="39"/>
        <v/>
      </c>
      <c r="N105" s="32" t="str">
        <f t="shared" si="40"/>
        <v/>
      </c>
      <c r="O105" s="32" t="str">
        <f t="shared" si="41"/>
        <v/>
      </c>
      <c r="Q105" t="str">
        <f>IFERROR(MATCH(101,บันทึกรายเที่ยว!$Z$6:$Z$10005,0),"")</f>
        <v/>
      </c>
      <c r="R105" t="str">
        <f>IF($Q105="","",INDEX(บันทึกรายเที่ยว!$V$6:$V$10005,$Q105))</f>
        <v/>
      </c>
      <c r="S105" t="str">
        <f>IF($Q105="","",INDEX(บันทึกรายเที่ยว!$F$6:$F$10005,$Q105))</f>
        <v/>
      </c>
      <c r="T105" t="str">
        <f>IF($Q105="","",MATCH($S105,บันทึกรายเที่ยว!$F$6:$F$10005,0))</f>
        <v/>
      </c>
      <c r="U105" t="str">
        <f>IF($Q105="","",$AL105*10000000+$T105*1000+101)</f>
        <v/>
      </c>
      <c r="V105" t="str">
        <f>IFERROR(MATCH(SMALL($U$5:$U$404,101),$U$5:$U$404,0),"")</f>
        <v/>
      </c>
      <c r="W105" t="str">
        <f t="shared" si="42"/>
        <v/>
      </c>
      <c r="X105" t="str">
        <f t="shared" si="43"/>
        <v/>
      </c>
      <c r="Y105" t="str">
        <f t="shared" si="44"/>
        <v/>
      </c>
      <c r="Z105">
        <f t="shared" si="54"/>
        <v>0</v>
      </c>
      <c r="AA105">
        <f t="shared" si="45"/>
        <v>0</v>
      </c>
      <c r="AB105">
        <f>IF($V105="",99999+101,$AB104+1+$Z104+$AA104+$AO104)</f>
        <v>100100</v>
      </c>
      <c r="AC105" t="str">
        <f>IFERROR(MATCH(101,$AB$5:$AB$404,1),"")</f>
        <v/>
      </c>
      <c r="AD105" t="str">
        <f>IF(101=$AI$1+1,"Z",IF($AC105="","",IF(INDEX($V$5:$V$404,$AC105)="","",IF(101&gt;INDEX($AB$5:$AB$404,$AC105)+INDEX($Z$5:$Z$404,$AC105)+INDEX($AA$5:$AA$404,$AC105)+INDEX($AO$5:$AO$404,$AC105),"",IF(101=INDEX($AB$5:$AB$404,$AC105)+INDEX($Z$5:$Z$404,$AC105),"D",IF(AND(INDEX($Z$5:$Z$404,$AC105)=1,101=INDEX($AB$5:$AB$404,$AC105)),"H",IF(AND(INDEX($AO$5:$AO$404,$AC105)=1,101=INDEX($AB$5:$AB$404,$AC105)+INDEX($Z$5:$Z$404,$AC105)+INDEX($AA$5:$AA$404,$AC105)+INDEX($AO$5:$AO$404,$AC105)),"B","T")))))))</f>
        <v/>
      </c>
      <c r="AF105" t="str">
        <f t="shared" si="46"/>
        <v/>
      </c>
      <c r="AJ105">
        <f>IF($AD105&lt;&gt;"T",0,ROUND(SUMIF(oil!$B$4:$B$63,$AF105,oil!$AE$4:$AE$63),2))</f>
        <v>0</v>
      </c>
      <c r="AK105" t="str">
        <f>IF($S105="","",IFERROR(INDEX(อัตราค่าขนส่ง!$R$5:$R$54,MATCH($S105,อัตราค่าขนส่ง!$Q$5:$Q$54,0)),INDEX(รายการมาตรฐาน!$G$2:$G$3,1)))</f>
        <v/>
      </c>
      <c r="AL105" t="str">
        <f>IF($S105="","",IFERROR(MATCH($AK105,รายการมาตรฐาน!$G$2:$G$3,0),1))</f>
        <v/>
      </c>
      <c r="AM105" t="str">
        <f t="shared" si="47"/>
        <v/>
      </c>
      <c r="AN105" t="str">
        <f t="shared" si="48"/>
        <v/>
      </c>
      <c r="AO105">
        <f t="shared" si="49"/>
        <v>0</v>
      </c>
      <c r="AP105">
        <f t="shared" si="55"/>
        <v>0</v>
      </c>
      <c r="AQ105" t="str">
        <f t="shared" si="50"/>
        <v/>
      </c>
      <c r="AR105">
        <f>IF($Y105="",0,COUNTIF(บันทึกรายเที่ยว!$V$6:$V$10005,$Y105))</f>
        <v>0</v>
      </c>
      <c r="AS105">
        <f>IF($Y105="",0,ROUND(SUMIF(บันทึกรายเที่ยว!$V$6:$V$10005,$Y105,บันทึกรายเที่ยว!$M$6:$M$10005),2))</f>
        <v>0</v>
      </c>
      <c r="AT105">
        <f>IF($Y105="",0,IFERROR(INDEX(อัตราค่าขนส่ง!$J$5:$J$204,MATCH($Y105,อัตราค่าขนส่ง!$O$5:$O$204,0)),0))</f>
        <v>0</v>
      </c>
      <c r="AU105">
        <f t="shared" si="51"/>
        <v>0</v>
      </c>
      <c r="AV105">
        <f t="shared" si="52"/>
        <v>0</v>
      </c>
      <c r="AW105" t="str">
        <f>IF($Y105="","",IFERROR(INDEX(อัตราค่าขนส่ง!$F$5:$F$204,MATCH($Y105,อัตราค่าขนส่ง!$O$5:$O$204,0)),""))</f>
        <v/>
      </c>
      <c r="AX105" t="str">
        <f>IF($W105="","",INDEX(บันทึกรายเที่ยว!$D$6:$D$10005,$W105))</f>
        <v/>
      </c>
      <c r="AY105" t="str">
        <f>IF($W105="","",INDEX(บันทึกรายเที่ยว!$R$6:$R$10005,$W105))</f>
        <v/>
      </c>
      <c r="AZ105">
        <f t="shared" si="53"/>
        <v>0</v>
      </c>
      <c r="BA105" t="str">
        <f>IF($W105="","",INDEX(บันทึกรายเที่ยว!$E$6:$E$10005,$W105))</f>
        <v/>
      </c>
      <c r="BC105">
        <f>IF($Y105="",0,IFERROR(INDEX(อัตราค่าขนส่ง!$M$5:$M$204,MATCH($Y105,อัตราค่าขนส่ง!$O$5:$O$204,0)),0))</f>
        <v>0</v>
      </c>
      <c r="BD105">
        <f>IF($Y105="",0,IFERROR(INDEX(อัตราค่าขนส่ง!$N$5:$N$204,MATCH($Y105,อัตราค่าขนส่ง!$O$5:$O$204,0)),0))</f>
        <v>0</v>
      </c>
    </row>
    <row r="106" spans="1:56" ht="21" customHeight="1" x14ac:dyDescent="0.95">
      <c r="A106" s="36" t="str">
        <f>IF($AD106="","",IF($AD106="Z","รวมจ่ายทั้งสิ้น",IF($AD106="H",INDEX($X$5:$X$404,$AC106),IF($AD106="T","รวม",IF($AD106="B",IFERROR(INDEX(อัตราค่าขนส่ง!$U$5:$U$14,MATCH(INDEX($AM$5:$AM$404,$AC106),อัตราค่าขนส่ง!$T$5:$T$14,0)),"รวมกลุ่ม "&amp;INDEX($AM$5:$AM$404,$AC106)),INDEX($AY$5:$AY$404,$AC106))))))</f>
        <v/>
      </c>
      <c r="B106" s="31" t="str">
        <f t="shared" si="28"/>
        <v/>
      </c>
      <c r="C106" s="8" t="str">
        <f t="shared" si="29"/>
        <v/>
      </c>
      <c r="D106" s="37" t="str">
        <f t="shared" si="30"/>
        <v/>
      </c>
      <c r="E106" s="31" t="str">
        <f t="shared" si="31"/>
        <v/>
      </c>
      <c r="F106" s="32" t="str">
        <f t="shared" si="32"/>
        <v/>
      </c>
      <c r="G106" s="32" t="str">
        <f t="shared" si="33"/>
        <v/>
      </c>
      <c r="H106" s="32" t="str">
        <f t="shared" si="34"/>
        <v/>
      </c>
      <c r="I106" s="32" t="str">
        <f t="shared" si="35"/>
        <v/>
      </c>
      <c r="J106" s="46" t="str">
        <f t="shared" si="36"/>
        <v/>
      </c>
      <c r="K106" s="32" t="str">
        <f t="shared" si="37"/>
        <v/>
      </c>
      <c r="L106" s="32" t="str">
        <f t="shared" si="38"/>
        <v/>
      </c>
      <c r="M106" s="32" t="str">
        <f t="shared" si="39"/>
        <v/>
      </c>
      <c r="N106" s="32" t="str">
        <f t="shared" si="40"/>
        <v/>
      </c>
      <c r="O106" s="32" t="str">
        <f t="shared" si="41"/>
        <v/>
      </c>
      <c r="Q106" t="str">
        <f>IFERROR(MATCH(102,บันทึกรายเที่ยว!$Z$6:$Z$10005,0),"")</f>
        <v/>
      </c>
      <c r="R106" t="str">
        <f>IF($Q106="","",INDEX(บันทึกรายเที่ยว!$V$6:$V$10005,$Q106))</f>
        <v/>
      </c>
      <c r="S106" t="str">
        <f>IF($Q106="","",INDEX(บันทึกรายเที่ยว!$F$6:$F$10005,$Q106))</f>
        <v/>
      </c>
      <c r="T106" t="str">
        <f>IF($Q106="","",MATCH($S106,บันทึกรายเที่ยว!$F$6:$F$10005,0))</f>
        <v/>
      </c>
      <c r="U106" t="str">
        <f>IF($Q106="","",$AL106*10000000+$T106*1000+102)</f>
        <v/>
      </c>
      <c r="V106" t="str">
        <f>IFERROR(MATCH(SMALL($U$5:$U$404,102),$U$5:$U$404,0),"")</f>
        <v/>
      </c>
      <c r="W106" t="str">
        <f t="shared" si="42"/>
        <v/>
      </c>
      <c r="X106" t="str">
        <f t="shared" si="43"/>
        <v/>
      </c>
      <c r="Y106" t="str">
        <f t="shared" si="44"/>
        <v/>
      </c>
      <c r="Z106">
        <f t="shared" si="54"/>
        <v>0</v>
      </c>
      <c r="AA106">
        <f t="shared" si="45"/>
        <v>0</v>
      </c>
      <c r="AB106">
        <f>IF($V106="",99999+102,$AB105+1+$Z105+$AA105+$AO105)</f>
        <v>100101</v>
      </c>
      <c r="AC106" t="str">
        <f>IFERROR(MATCH(102,$AB$5:$AB$404,1),"")</f>
        <v/>
      </c>
      <c r="AD106" t="str">
        <f>IF(102=$AI$1+1,"Z",IF($AC106="","",IF(INDEX($V$5:$V$404,$AC106)="","",IF(102&gt;INDEX($AB$5:$AB$404,$AC106)+INDEX($Z$5:$Z$404,$AC106)+INDEX($AA$5:$AA$404,$AC106)+INDEX($AO$5:$AO$404,$AC106),"",IF(102=INDEX($AB$5:$AB$404,$AC106)+INDEX($Z$5:$Z$404,$AC106),"D",IF(AND(INDEX($Z$5:$Z$404,$AC106)=1,102=INDEX($AB$5:$AB$404,$AC106)),"H",IF(AND(INDEX($AO$5:$AO$404,$AC106)=1,102=INDEX($AB$5:$AB$404,$AC106)+INDEX($Z$5:$Z$404,$AC106)+INDEX($AA$5:$AA$404,$AC106)+INDEX($AO$5:$AO$404,$AC106)),"B","T")))))))</f>
        <v/>
      </c>
      <c r="AF106" t="str">
        <f t="shared" si="46"/>
        <v/>
      </c>
      <c r="AJ106">
        <f>IF($AD106&lt;&gt;"T",0,ROUND(SUMIF(oil!$B$4:$B$63,$AF106,oil!$AE$4:$AE$63),2))</f>
        <v>0</v>
      </c>
      <c r="AK106" t="str">
        <f>IF($S106="","",IFERROR(INDEX(อัตราค่าขนส่ง!$R$5:$R$54,MATCH($S106,อัตราค่าขนส่ง!$Q$5:$Q$54,0)),INDEX(รายการมาตรฐาน!$G$2:$G$3,1)))</f>
        <v/>
      </c>
      <c r="AL106" t="str">
        <f>IF($S106="","",IFERROR(MATCH($AK106,รายการมาตรฐาน!$G$2:$G$3,0),1))</f>
        <v/>
      </c>
      <c r="AM106" t="str">
        <f t="shared" si="47"/>
        <v/>
      </c>
      <c r="AN106" t="str">
        <f t="shared" si="48"/>
        <v/>
      </c>
      <c r="AO106">
        <f t="shared" si="49"/>
        <v>0</v>
      </c>
      <c r="AP106">
        <f t="shared" si="55"/>
        <v>0</v>
      </c>
      <c r="AQ106" t="str">
        <f t="shared" si="50"/>
        <v/>
      </c>
      <c r="AR106">
        <f>IF($Y106="",0,COUNTIF(บันทึกรายเที่ยว!$V$6:$V$10005,$Y106))</f>
        <v>0</v>
      </c>
      <c r="AS106">
        <f>IF($Y106="",0,ROUND(SUMIF(บันทึกรายเที่ยว!$V$6:$V$10005,$Y106,บันทึกรายเที่ยว!$M$6:$M$10005),2))</f>
        <v>0</v>
      </c>
      <c r="AT106">
        <f>IF($Y106="",0,IFERROR(INDEX(อัตราค่าขนส่ง!$J$5:$J$204,MATCH($Y106,อัตราค่าขนส่ง!$O$5:$O$204,0)),0))</f>
        <v>0</v>
      </c>
      <c r="AU106">
        <f t="shared" si="51"/>
        <v>0</v>
      </c>
      <c r="AV106">
        <f t="shared" si="52"/>
        <v>0</v>
      </c>
      <c r="AW106" t="str">
        <f>IF($Y106="","",IFERROR(INDEX(อัตราค่าขนส่ง!$F$5:$F$204,MATCH($Y106,อัตราค่าขนส่ง!$O$5:$O$204,0)),""))</f>
        <v/>
      </c>
      <c r="AX106" t="str">
        <f>IF($W106="","",INDEX(บันทึกรายเที่ยว!$D$6:$D$10005,$W106))</f>
        <v/>
      </c>
      <c r="AY106" t="str">
        <f>IF($W106="","",INDEX(บันทึกรายเที่ยว!$R$6:$R$10005,$W106))</f>
        <v/>
      </c>
      <c r="AZ106">
        <f t="shared" si="53"/>
        <v>0</v>
      </c>
      <c r="BA106" t="str">
        <f>IF($W106="","",INDEX(บันทึกรายเที่ยว!$E$6:$E$10005,$W106))</f>
        <v/>
      </c>
      <c r="BC106">
        <f>IF($Y106="",0,IFERROR(INDEX(อัตราค่าขนส่ง!$M$5:$M$204,MATCH($Y106,อัตราค่าขนส่ง!$O$5:$O$204,0)),0))</f>
        <v>0</v>
      </c>
      <c r="BD106">
        <f>IF($Y106="",0,IFERROR(INDEX(อัตราค่าขนส่ง!$N$5:$N$204,MATCH($Y106,อัตราค่าขนส่ง!$O$5:$O$204,0)),0))</f>
        <v>0</v>
      </c>
    </row>
    <row r="107" spans="1:56" ht="21" customHeight="1" x14ac:dyDescent="0.95">
      <c r="A107" s="36" t="str">
        <f>IF($AD107="","",IF($AD107="Z","รวมจ่ายทั้งสิ้น",IF($AD107="H",INDEX($X$5:$X$404,$AC107),IF($AD107="T","รวม",IF($AD107="B",IFERROR(INDEX(อัตราค่าขนส่ง!$U$5:$U$14,MATCH(INDEX($AM$5:$AM$404,$AC107),อัตราค่าขนส่ง!$T$5:$T$14,0)),"รวมกลุ่ม "&amp;INDEX($AM$5:$AM$404,$AC107)),INDEX($AY$5:$AY$404,$AC107))))))</f>
        <v/>
      </c>
      <c r="B107" s="31" t="str">
        <f t="shared" si="28"/>
        <v/>
      </c>
      <c r="C107" s="8" t="str">
        <f t="shared" si="29"/>
        <v/>
      </c>
      <c r="D107" s="37" t="str">
        <f t="shared" si="30"/>
        <v/>
      </c>
      <c r="E107" s="31" t="str">
        <f t="shared" si="31"/>
        <v/>
      </c>
      <c r="F107" s="32" t="str">
        <f t="shared" si="32"/>
        <v/>
      </c>
      <c r="G107" s="32" t="str">
        <f t="shared" si="33"/>
        <v/>
      </c>
      <c r="H107" s="32" t="str">
        <f t="shared" si="34"/>
        <v/>
      </c>
      <c r="I107" s="32" t="str">
        <f t="shared" si="35"/>
        <v/>
      </c>
      <c r="J107" s="46" t="str">
        <f t="shared" si="36"/>
        <v/>
      </c>
      <c r="K107" s="32" t="str">
        <f t="shared" si="37"/>
        <v/>
      </c>
      <c r="L107" s="32" t="str">
        <f t="shared" si="38"/>
        <v/>
      </c>
      <c r="M107" s="32" t="str">
        <f t="shared" si="39"/>
        <v/>
      </c>
      <c r="N107" s="32" t="str">
        <f t="shared" si="40"/>
        <v/>
      </c>
      <c r="O107" s="32" t="str">
        <f t="shared" si="41"/>
        <v/>
      </c>
      <c r="Q107" t="str">
        <f>IFERROR(MATCH(103,บันทึกรายเที่ยว!$Z$6:$Z$10005,0),"")</f>
        <v/>
      </c>
      <c r="R107" t="str">
        <f>IF($Q107="","",INDEX(บันทึกรายเที่ยว!$V$6:$V$10005,$Q107))</f>
        <v/>
      </c>
      <c r="S107" t="str">
        <f>IF($Q107="","",INDEX(บันทึกรายเที่ยว!$F$6:$F$10005,$Q107))</f>
        <v/>
      </c>
      <c r="T107" t="str">
        <f>IF($Q107="","",MATCH($S107,บันทึกรายเที่ยว!$F$6:$F$10005,0))</f>
        <v/>
      </c>
      <c r="U107" t="str">
        <f>IF($Q107="","",$AL107*10000000+$T107*1000+103)</f>
        <v/>
      </c>
      <c r="V107" t="str">
        <f>IFERROR(MATCH(SMALL($U$5:$U$404,103),$U$5:$U$404,0),"")</f>
        <v/>
      </c>
      <c r="W107" t="str">
        <f t="shared" si="42"/>
        <v/>
      </c>
      <c r="X107" t="str">
        <f t="shared" si="43"/>
        <v/>
      </c>
      <c r="Y107" t="str">
        <f t="shared" si="44"/>
        <v/>
      </c>
      <c r="Z107">
        <f t="shared" si="54"/>
        <v>0</v>
      </c>
      <c r="AA107">
        <f t="shared" si="45"/>
        <v>0</v>
      </c>
      <c r="AB107">
        <f>IF($V107="",99999+103,$AB106+1+$Z106+$AA106+$AO106)</f>
        <v>100102</v>
      </c>
      <c r="AC107" t="str">
        <f>IFERROR(MATCH(103,$AB$5:$AB$404,1),"")</f>
        <v/>
      </c>
      <c r="AD107" t="str">
        <f>IF(103=$AI$1+1,"Z",IF($AC107="","",IF(INDEX($V$5:$V$404,$AC107)="","",IF(103&gt;INDEX($AB$5:$AB$404,$AC107)+INDEX($Z$5:$Z$404,$AC107)+INDEX($AA$5:$AA$404,$AC107)+INDEX($AO$5:$AO$404,$AC107),"",IF(103=INDEX($AB$5:$AB$404,$AC107)+INDEX($Z$5:$Z$404,$AC107),"D",IF(AND(INDEX($Z$5:$Z$404,$AC107)=1,103=INDEX($AB$5:$AB$404,$AC107)),"H",IF(AND(INDEX($AO$5:$AO$404,$AC107)=1,103=INDEX($AB$5:$AB$404,$AC107)+INDEX($Z$5:$Z$404,$AC107)+INDEX($AA$5:$AA$404,$AC107)+INDEX($AO$5:$AO$404,$AC107)),"B","T")))))))</f>
        <v/>
      </c>
      <c r="AF107" t="str">
        <f t="shared" si="46"/>
        <v/>
      </c>
      <c r="AJ107">
        <f>IF($AD107&lt;&gt;"T",0,ROUND(SUMIF(oil!$B$4:$B$63,$AF107,oil!$AE$4:$AE$63),2))</f>
        <v>0</v>
      </c>
      <c r="AK107" t="str">
        <f>IF($S107="","",IFERROR(INDEX(อัตราค่าขนส่ง!$R$5:$R$54,MATCH($S107,อัตราค่าขนส่ง!$Q$5:$Q$54,0)),INDEX(รายการมาตรฐาน!$G$2:$G$3,1)))</f>
        <v/>
      </c>
      <c r="AL107" t="str">
        <f>IF($S107="","",IFERROR(MATCH($AK107,รายการมาตรฐาน!$G$2:$G$3,0),1))</f>
        <v/>
      </c>
      <c r="AM107" t="str">
        <f t="shared" si="47"/>
        <v/>
      </c>
      <c r="AN107" t="str">
        <f t="shared" si="48"/>
        <v/>
      </c>
      <c r="AO107">
        <f t="shared" si="49"/>
        <v>0</v>
      </c>
      <c r="AP107">
        <f t="shared" si="55"/>
        <v>0</v>
      </c>
      <c r="AQ107" t="str">
        <f t="shared" si="50"/>
        <v/>
      </c>
      <c r="AR107">
        <f>IF($Y107="",0,COUNTIF(บันทึกรายเที่ยว!$V$6:$V$10005,$Y107))</f>
        <v>0</v>
      </c>
      <c r="AS107">
        <f>IF($Y107="",0,ROUND(SUMIF(บันทึกรายเที่ยว!$V$6:$V$10005,$Y107,บันทึกรายเที่ยว!$M$6:$M$10005),2))</f>
        <v>0</v>
      </c>
      <c r="AT107">
        <f>IF($Y107="",0,IFERROR(INDEX(อัตราค่าขนส่ง!$J$5:$J$204,MATCH($Y107,อัตราค่าขนส่ง!$O$5:$O$204,0)),0))</f>
        <v>0</v>
      </c>
      <c r="AU107">
        <f t="shared" si="51"/>
        <v>0</v>
      </c>
      <c r="AV107">
        <f t="shared" si="52"/>
        <v>0</v>
      </c>
      <c r="AW107" t="str">
        <f>IF($Y107="","",IFERROR(INDEX(อัตราค่าขนส่ง!$F$5:$F$204,MATCH($Y107,อัตราค่าขนส่ง!$O$5:$O$204,0)),""))</f>
        <v/>
      </c>
      <c r="AX107" t="str">
        <f>IF($W107="","",INDEX(บันทึกรายเที่ยว!$D$6:$D$10005,$W107))</f>
        <v/>
      </c>
      <c r="AY107" t="str">
        <f>IF($W107="","",INDEX(บันทึกรายเที่ยว!$R$6:$R$10005,$W107))</f>
        <v/>
      </c>
      <c r="AZ107">
        <f t="shared" si="53"/>
        <v>0</v>
      </c>
      <c r="BA107" t="str">
        <f>IF($W107="","",INDEX(บันทึกรายเที่ยว!$E$6:$E$10005,$W107))</f>
        <v/>
      </c>
      <c r="BC107">
        <f>IF($Y107="",0,IFERROR(INDEX(อัตราค่าขนส่ง!$M$5:$M$204,MATCH($Y107,อัตราค่าขนส่ง!$O$5:$O$204,0)),0))</f>
        <v>0</v>
      </c>
      <c r="BD107">
        <f>IF($Y107="",0,IFERROR(INDEX(อัตราค่าขนส่ง!$N$5:$N$204,MATCH($Y107,อัตราค่าขนส่ง!$O$5:$O$204,0)),0))</f>
        <v>0</v>
      </c>
    </row>
    <row r="108" spans="1:56" ht="21" customHeight="1" x14ac:dyDescent="0.95">
      <c r="A108" s="36" t="str">
        <f>IF($AD108="","",IF($AD108="Z","รวมจ่ายทั้งสิ้น",IF($AD108="H",INDEX($X$5:$X$404,$AC108),IF($AD108="T","รวม",IF($AD108="B",IFERROR(INDEX(อัตราค่าขนส่ง!$U$5:$U$14,MATCH(INDEX($AM$5:$AM$404,$AC108),อัตราค่าขนส่ง!$T$5:$T$14,0)),"รวมกลุ่ม "&amp;INDEX($AM$5:$AM$404,$AC108)),INDEX($AY$5:$AY$404,$AC108))))))</f>
        <v/>
      </c>
      <c r="B108" s="31" t="str">
        <f t="shared" si="28"/>
        <v/>
      </c>
      <c r="C108" s="8" t="str">
        <f t="shared" si="29"/>
        <v/>
      </c>
      <c r="D108" s="37" t="str">
        <f t="shared" si="30"/>
        <v/>
      </c>
      <c r="E108" s="31" t="str">
        <f t="shared" si="31"/>
        <v/>
      </c>
      <c r="F108" s="32" t="str">
        <f t="shared" si="32"/>
        <v/>
      </c>
      <c r="G108" s="32" t="str">
        <f t="shared" si="33"/>
        <v/>
      </c>
      <c r="H108" s="32" t="str">
        <f t="shared" si="34"/>
        <v/>
      </c>
      <c r="I108" s="32" t="str">
        <f t="shared" si="35"/>
        <v/>
      </c>
      <c r="J108" s="46" t="str">
        <f t="shared" si="36"/>
        <v/>
      </c>
      <c r="K108" s="32" t="str">
        <f t="shared" si="37"/>
        <v/>
      </c>
      <c r="L108" s="32" t="str">
        <f t="shared" si="38"/>
        <v/>
      </c>
      <c r="M108" s="32" t="str">
        <f t="shared" si="39"/>
        <v/>
      </c>
      <c r="N108" s="32" t="str">
        <f t="shared" si="40"/>
        <v/>
      </c>
      <c r="O108" s="32" t="str">
        <f t="shared" si="41"/>
        <v/>
      </c>
      <c r="Q108" t="str">
        <f>IFERROR(MATCH(104,บันทึกรายเที่ยว!$Z$6:$Z$10005,0),"")</f>
        <v/>
      </c>
      <c r="R108" t="str">
        <f>IF($Q108="","",INDEX(บันทึกรายเที่ยว!$V$6:$V$10005,$Q108))</f>
        <v/>
      </c>
      <c r="S108" t="str">
        <f>IF($Q108="","",INDEX(บันทึกรายเที่ยว!$F$6:$F$10005,$Q108))</f>
        <v/>
      </c>
      <c r="T108" t="str">
        <f>IF($Q108="","",MATCH($S108,บันทึกรายเที่ยว!$F$6:$F$10005,0))</f>
        <v/>
      </c>
      <c r="U108" t="str">
        <f>IF($Q108="","",$AL108*10000000+$T108*1000+104)</f>
        <v/>
      </c>
      <c r="V108" t="str">
        <f>IFERROR(MATCH(SMALL($U$5:$U$404,104),$U$5:$U$404,0),"")</f>
        <v/>
      </c>
      <c r="W108" t="str">
        <f t="shared" si="42"/>
        <v/>
      </c>
      <c r="X108" t="str">
        <f t="shared" si="43"/>
        <v/>
      </c>
      <c r="Y108" t="str">
        <f t="shared" si="44"/>
        <v/>
      </c>
      <c r="Z108">
        <f t="shared" si="54"/>
        <v>0</v>
      </c>
      <c r="AA108">
        <f t="shared" si="45"/>
        <v>0</v>
      </c>
      <c r="AB108">
        <f>IF($V108="",99999+104,$AB107+1+$Z107+$AA107+$AO107)</f>
        <v>100103</v>
      </c>
      <c r="AC108" t="str">
        <f>IFERROR(MATCH(104,$AB$5:$AB$404,1),"")</f>
        <v/>
      </c>
      <c r="AD108" t="str">
        <f>IF(104=$AI$1+1,"Z",IF($AC108="","",IF(INDEX($V$5:$V$404,$AC108)="","",IF(104&gt;INDEX($AB$5:$AB$404,$AC108)+INDEX($Z$5:$Z$404,$AC108)+INDEX($AA$5:$AA$404,$AC108)+INDEX($AO$5:$AO$404,$AC108),"",IF(104=INDEX($AB$5:$AB$404,$AC108)+INDEX($Z$5:$Z$404,$AC108),"D",IF(AND(INDEX($Z$5:$Z$404,$AC108)=1,104=INDEX($AB$5:$AB$404,$AC108)),"H",IF(AND(INDEX($AO$5:$AO$404,$AC108)=1,104=INDEX($AB$5:$AB$404,$AC108)+INDEX($Z$5:$Z$404,$AC108)+INDEX($AA$5:$AA$404,$AC108)+INDEX($AO$5:$AO$404,$AC108)),"B","T")))))))</f>
        <v/>
      </c>
      <c r="AF108" t="str">
        <f t="shared" si="46"/>
        <v/>
      </c>
      <c r="AJ108">
        <f>IF($AD108&lt;&gt;"T",0,ROUND(SUMIF(oil!$B$4:$B$63,$AF108,oil!$AE$4:$AE$63),2))</f>
        <v>0</v>
      </c>
      <c r="AK108" t="str">
        <f>IF($S108="","",IFERROR(INDEX(อัตราค่าขนส่ง!$R$5:$R$54,MATCH($S108,อัตราค่าขนส่ง!$Q$5:$Q$54,0)),INDEX(รายการมาตรฐาน!$G$2:$G$3,1)))</f>
        <v/>
      </c>
      <c r="AL108" t="str">
        <f>IF($S108="","",IFERROR(MATCH($AK108,รายการมาตรฐาน!$G$2:$G$3,0),1))</f>
        <v/>
      </c>
      <c r="AM108" t="str">
        <f t="shared" si="47"/>
        <v/>
      </c>
      <c r="AN108" t="str">
        <f t="shared" si="48"/>
        <v/>
      </c>
      <c r="AO108">
        <f t="shared" si="49"/>
        <v>0</v>
      </c>
      <c r="AP108">
        <f t="shared" si="55"/>
        <v>0</v>
      </c>
      <c r="AQ108" t="str">
        <f t="shared" si="50"/>
        <v/>
      </c>
      <c r="AR108">
        <f>IF($Y108="",0,COUNTIF(บันทึกรายเที่ยว!$V$6:$V$10005,$Y108))</f>
        <v>0</v>
      </c>
      <c r="AS108">
        <f>IF($Y108="",0,ROUND(SUMIF(บันทึกรายเที่ยว!$V$6:$V$10005,$Y108,บันทึกรายเที่ยว!$M$6:$M$10005),2))</f>
        <v>0</v>
      </c>
      <c r="AT108">
        <f>IF($Y108="",0,IFERROR(INDEX(อัตราค่าขนส่ง!$J$5:$J$204,MATCH($Y108,อัตราค่าขนส่ง!$O$5:$O$204,0)),0))</f>
        <v>0</v>
      </c>
      <c r="AU108">
        <f t="shared" si="51"/>
        <v>0</v>
      </c>
      <c r="AV108">
        <f t="shared" si="52"/>
        <v>0</v>
      </c>
      <c r="AW108" t="str">
        <f>IF($Y108="","",IFERROR(INDEX(อัตราค่าขนส่ง!$F$5:$F$204,MATCH($Y108,อัตราค่าขนส่ง!$O$5:$O$204,0)),""))</f>
        <v/>
      </c>
      <c r="AX108" t="str">
        <f>IF($W108="","",INDEX(บันทึกรายเที่ยว!$D$6:$D$10005,$W108))</f>
        <v/>
      </c>
      <c r="AY108" t="str">
        <f>IF($W108="","",INDEX(บันทึกรายเที่ยว!$R$6:$R$10005,$W108))</f>
        <v/>
      </c>
      <c r="AZ108">
        <f t="shared" si="53"/>
        <v>0</v>
      </c>
      <c r="BA108" t="str">
        <f>IF($W108="","",INDEX(บันทึกรายเที่ยว!$E$6:$E$10005,$W108))</f>
        <v/>
      </c>
      <c r="BC108">
        <f>IF($Y108="",0,IFERROR(INDEX(อัตราค่าขนส่ง!$M$5:$M$204,MATCH($Y108,อัตราค่าขนส่ง!$O$5:$O$204,0)),0))</f>
        <v>0</v>
      </c>
      <c r="BD108">
        <f>IF($Y108="",0,IFERROR(INDEX(อัตราค่าขนส่ง!$N$5:$N$204,MATCH($Y108,อัตราค่าขนส่ง!$O$5:$O$204,0)),0))</f>
        <v>0</v>
      </c>
    </row>
    <row r="109" spans="1:56" ht="21" customHeight="1" x14ac:dyDescent="0.95">
      <c r="A109" s="36" t="str">
        <f>IF($AD109="","",IF($AD109="Z","รวมจ่ายทั้งสิ้น",IF($AD109="H",INDEX($X$5:$X$404,$AC109),IF($AD109="T","รวม",IF($AD109="B",IFERROR(INDEX(อัตราค่าขนส่ง!$U$5:$U$14,MATCH(INDEX($AM$5:$AM$404,$AC109),อัตราค่าขนส่ง!$T$5:$T$14,0)),"รวมกลุ่ม "&amp;INDEX($AM$5:$AM$404,$AC109)),INDEX($AY$5:$AY$404,$AC109))))))</f>
        <v/>
      </c>
      <c r="B109" s="31" t="str">
        <f t="shared" si="28"/>
        <v/>
      </c>
      <c r="C109" s="8" t="str">
        <f t="shared" si="29"/>
        <v/>
      </c>
      <c r="D109" s="37" t="str">
        <f t="shared" si="30"/>
        <v/>
      </c>
      <c r="E109" s="31" t="str">
        <f t="shared" si="31"/>
        <v/>
      </c>
      <c r="F109" s="32" t="str">
        <f t="shared" si="32"/>
        <v/>
      </c>
      <c r="G109" s="32" t="str">
        <f t="shared" si="33"/>
        <v/>
      </c>
      <c r="H109" s="32" t="str">
        <f t="shared" si="34"/>
        <v/>
      </c>
      <c r="I109" s="32" t="str">
        <f t="shared" si="35"/>
        <v/>
      </c>
      <c r="J109" s="46" t="str">
        <f t="shared" si="36"/>
        <v/>
      </c>
      <c r="K109" s="32" t="str">
        <f t="shared" si="37"/>
        <v/>
      </c>
      <c r="L109" s="32" t="str">
        <f t="shared" si="38"/>
        <v/>
      </c>
      <c r="M109" s="32" t="str">
        <f t="shared" si="39"/>
        <v/>
      </c>
      <c r="N109" s="32" t="str">
        <f t="shared" si="40"/>
        <v/>
      </c>
      <c r="O109" s="32" t="str">
        <f t="shared" si="41"/>
        <v/>
      </c>
      <c r="Q109" t="str">
        <f>IFERROR(MATCH(105,บันทึกรายเที่ยว!$Z$6:$Z$10005,0),"")</f>
        <v/>
      </c>
      <c r="R109" t="str">
        <f>IF($Q109="","",INDEX(บันทึกรายเที่ยว!$V$6:$V$10005,$Q109))</f>
        <v/>
      </c>
      <c r="S109" t="str">
        <f>IF($Q109="","",INDEX(บันทึกรายเที่ยว!$F$6:$F$10005,$Q109))</f>
        <v/>
      </c>
      <c r="T109" t="str">
        <f>IF($Q109="","",MATCH($S109,บันทึกรายเที่ยว!$F$6:$F$10005,0))</f>
        <v/>
      </c>
      <c r="U109" t="str">
        <f>IF($Q109="","",$AL109*10000000+$T109*1000+105)</f>
        <v/>
      </c>
      <c r="V109" t="str">
        <f>IFERROR(MATCH(SMALL($U$5:$U$404,105),$U$5:$U$404,0),"")</f>
        <v/>
      </c>
      <c r="W109" t="str">
        <f t="shared" si="42"/>
        <v/>
      </c>
      <c r="X109" t="str">
        <f t="shared" si="43"/>
        <v/>
      </c>
      <c r="Y109" t="str">
        <f t="shared" si="44"/>
        <v/>
      </c>
      <c r="Z109">
        <f t="shared" si="54"/>
        <v>0</v>
      </c>
      <c r="AA109">
        <f t="shared" si="45"/>
        <v>0</v>
      </c>
      <c r="AB109">
        <f>IF($V109="",99999+105,$AB108+1+$Z108+$AA108+$AO108)</f>
        <v>100104</v>
      </c>
      <c r="AC109" t="str">
        <f>IFERROR(MATCH(105,$AB$5:$AB$404,1),"")</f>
        <v/>
      </c>
      <c r="AD109" t="str">
        <f>IF(105=$AI$1+1,"Z",IF($AC109="","",IF(INDEX($V$5:$V$404,$AC109)="","",IF(105&gt;INDEX($AB$5:$AB$404,$AC109)+INDEX($Z$5:$Z$404,$AC109)+INDEX($AA$5:$AA$404,$AC109)+INDEX($AO$5:$AO$404,$AC109),"",IF(105=INDEX($AB$5:$AB$404,$AC109)+INDEX($Z$5:$Z$404,$AC109),"D",IF(AND(INDEX($Z$5:$Z$404,$AC109)=1,105=INDEX($AB$5:$AB$404,$AC109)),"H",IF(AND(INDEX($AO$5:$AO$404,$AC109)=1,105=INDEX($AB$5:$AB$404,$AC109)+INDEX($Z$5:$Z$404,$AC109)+INDEX($AA$5:$AA$404,$AC109)+INDEX($AO$5:$AO$404,$AC109)),"B","T")))))))</f>
        <v/>
      </c>
      <c r="AF109" t="str">
        <f t="shared" si="46"/>
        <v/>
      </c>
      <c r="AJ109">
        <f>IF($AD109&lt;&gt;"T",0,ROUND(SUMIF(oil!$B$4:$B$63,$AF109,oil!$AE$4:$AE$63),2))</f>
        <v>0</v>
      </c>
      <c r="AK109" t="str">
        <f>IF($S109="","",IFERROR(INDEX(อัตราค่าขนส่ง!$R$5:$R$54,MATCH($S109,อัตราค่าขนส่ง!$Q$5:$Q$54,0)),INDEX(รายการมาตรฐาน!$G$2:$G$3,1)))</f>
        <v/>
      </c>
      <c r="AL109" t="str">
        <f>IF($S109="","",IFERROR(MATCH($AK109,รายการมาตรฐาน!$G$2:$G$3,0),1))</f>
        <v/>
      </c>
      <c r="AM109" t="str">
        <f t="shared" si="47"/>
        <v/>
      </c>
      <c r="AN109" t="str">
        <f t="shared" si="48"/>
        <v/>
      </c>
      <c r="AO109">
        <f t="shared" si="49"/>
        <v>0</v>
      </c>
      <c r="AP109">
        <f t="shared" si="55"/>
        <v>0</v>
      </c>
      <c r="AQ109" t="str">
        <f t="shared" si="50"/>
        <v/>
      </c>
      <c r="AR109">
        <f>IF($Y109="",0,COUNTIF(บันทึกรายเที่ยว!$V$6:$V$10005,$Y109))</f>
        <v>0</v>
      </c>
      <c r="AS109">
        <f>IF($Y109="",0,ROUND(SUMIF(บันทึกรายเที่ยว!$V$6:$V$10005,$Y109,บันทึกรายเที่ยว!$M$6:$M$10005),2))</f>
        <v>0</v>
      </c>
      <c r="AT109">
        <f>IF($Y109="",0,IFERROR(INDEX(อัตราค่าขนส่ง!$J$5:$J$204,MATCH($Y109,อัตราค่าขนส่ง!$O$5:$O$204,0)),0))</f>
        <v>0</v>
      </c>
      <c r="AU109">
        <f t="shared" si="51"/>
        <v>0</v>
      </c>
      <c r="AV109">
        <f t="shared" si="52"/>
        <v>0</v>
      </c>
      <c r="AW109" t="str">
        <f>IF($Y109="","",IFERROR(INDEX(อัตราค่าขนส่ง!$F$5:$F$204,MATCH($Y109,อัตราค่าขนส่ง!$O$5:$O$204,0)),""))</f>
        <v/>
      </c>
      <c r="AX109" t="str">
        <f>IF($W109="","",INDEX(บันทึกรายเที่ยว!$D$6:$D$10005,$W109))</f>
        <v/>
      </c>
      <c r="AY109" t="str">
        <f>IF($W109="","",INDEX(บันทึกรายเที่ยว!$R$6:$R$10005,$W109))</f>
        <v/>
      </c>
      <c r="AZ109">
        <f t="shared" si="53"/>
        <v>0</v>
      </c>
      <c r="BA109" t="str">
        <f>IF($W109="","",INDEX(บันทึกรายเที่ยว!$E$6:$E$10005,$W109))</f>
        <v/>
      </c>
      <c r="BC109">
        <f>IF($Y109="",0,IFERROR(INDEX(อัตราค่าขนส่ง!$M$5:$M$204,MATCH($Y109,อัตราค่าขนส่ง!$O$5:$O$204,0)),0))</f>
        <v>0</v>
      </c>
      <c r="BD109">
        <f>IF($Y109="",0,IFERROR(INDEX(อัตราค่าขนส่ง!$N$5:$N$204,MATCH($Y109,อัตราค่าขนส่ง!$O$5:$O$204,0)),0))</f>
        <v>0</v>
      </c>
    </row>
    <row r="110" spans="1:56" ht="21" customHeight="1" x14ac:dyDescent="0.95">
      <c r="A110" s="36" t="str">
        <f>IF($AD110="","",IF($AD110="Z","รวมจ่ายทั้งสิ้น",IF($AD110="H",INDEX($X$5:$X$404,$AC110),IF($AD110="T","รวม",IF($AD110="B",IFERROR(INDEX(อัตราค่าขนส่ง!$U$5:$U$14,MATCH(INDEX($AM$5:$AM$404,$AC110),อัตราค่าขนส่ง!$T$5:$T$14,0)),"รวมกลุ่ม "&amp;INDEX($AM$5:$AM$404,$AC110)),INDEX($AY$5:$AY$404,$AC110))))))</f>
        <v/>
      </c>
      <c r="B110" s="31" t="str">
        <f t="shared" si="28"/>
        <v/>
      </c>
      <c r="C110" s="8" t="str">
        <f t="shared" si="29"/>
        <v/>
      </c>
      <c r="D110" s="37" t="str">
        <f t="shared" si="30"/>
        <v/>
      </c>
      <c r="E110" s="31" t="str">
        <f t="shared" si="31"/>
        <v/>
      </c>
      <c r="F110" s="32" t="str">
        <f t="shared" si="32"/>
        <v/>
      </c>
      <c r="G110" s="32" t="str">
        <f t="shared" si="33"/>
        <v/>
      </c>
      <c r="H110" s="32" t="str">
        <f t="shared" si="34"/>
        <v/>
      </c>
      <c r="I110" s="32" t="str">
        <f t="shared" si="35"/>
        <v/>
      </c>
      <c r="J110" s="46" t="str">
        <f t="shared" si="36"/>
        <v/>
      </c>
      <c r="K110" s="32" t="str">
        <f t="shared" si="37"/>
        <v/>
      </c>
      <c r="L110" s="32" t="str">
        <f t="shared" si="38"/>
        <v/>
      </c>
      <c r="M110" s="32" t="str">
        <f t="shared" si="39"/>
        <v/>
      </c>
      <c r="N110" s="32" t="str">
        <f t="shared" si="40"/>
        <v/>
      </c>
      <c r="O110" s="32" t="str">
        <f t="shared" si="41"/>
        <v/>
      </c>
      <c r="Q110" t="str">
        <f>IFERROR(MATCH(106,บันทึกรายเที่ยว!$Z$6:$Z$10005,0),"")</f>
        <v/>
      </c>
      <c r="R110" t="str">
        <f>IF($Q110="","",INDEX(บันทึกรายเที่ยว!$V$6:$V$10005,$Q110))</f>
        <v/>
      </c>
      <c r="S110" t="str">
        <f>IF($Q110="","",INDEX(บันทึกรายเที่ยว!$F$6:$F$10005,$Q110))</f>
        <v/>
      </c>
      <c r="T110" t="str">
        <f>IF($Q110="","",MATCH($S110,บันทึกรายเที่ยว!$F$6:$F$10005,0))</f>
        <v/>
      </c>
      <c r="U110" t="str">
        <f>IF($Q110="","",$AL110*10000000+$T110*1000+106)</f>
        <v/>
      </c>
      <c r="V110" t="str">
        <f>IFERROR(MATCH(SMALL($U$5:$U$404,106),$U$5:$U$404,0),"")</f>
        <v/>
      </c>
      <c r="W110" t="str">
        <f t="shared" si="42"/>
        <v/>
      </c>
      <c r="X110" t="str">
        <f t="shared" si="43"/>
        <v/>
      </c>
      <c r="Y110" t="str">
        <f t="shared" si="44"/>
        <v/>
      </c>
      <c r="Z110">
        <f t="shared" si="54"/>
        <v>0</v>
      </c>
      <c r="AA110">
        <f t="shared" si="45"/>
        <v>0</v>
      </c>
      <c r="AB110">
        <f>IF($V110="",99999+106,$AB109+1+$Z109+$AA109+$AO109)</f>
        <v>100105</v>
      </c>
      <c r="AC110" t="str">
        <f>IFERROR(MATCH(106,$AB$5:$AB$404,1),"")</f>
        <v/>
      </c>
      <c r="AD110" t="str">
        <f>IF(106=$AI$1+1,"Z",IF($AC110="","",IF(INDEX($V$5:$V$404,$AC110)="","",IF(106&gt;INDEX($AB$5:$AB$404,$AC110)+INDEX($Z$5:$Z$404,$AC110)+INDEX($AA$5:$AA$404,$AC110)+INDEX($AO$5:$AO$404,$AC110),"",IF(106=INDEX($AB$5:$AB$404,$AC110)+INDEX($Z$5:$Z$404,$AC110),"D",IF(AND(INDEX($Z$5:$Z$404,$AC110)=1,106=INDEX($AB$5:$AB$404,$AC110)),"H",IF(AND(INDEX($AO$5:$AO$404,$AC110)=1,106=INDEX($AB$5:$AB$404,$AC110)+INDEX($Z$5:$Z$404,$AC110)+INDEX($AA$5:$AA$404,$AC110)+INDEX($AO$5:$AO$404,$AC110)),"B","T")))))))</f>
        <v/>
      </c>
      <c r="AF110" t="str">
        <f t="shared" si="46"/>
        <v/>
      </c>
      <c r="AJ110">
        <f>IF($AD110&lt;&gt;"T",0,ROUND(SUMIF(oil!$B$4:$B$63,$AF110,oil!$AE$4:$AE$63),2))</f>
        <v>0</v>
      </c>
      <c r="AK110" t="str">
        <f>IF($S110="","",IFERROR(INDEX(อัตราค่าขนส่ง!$R$5:$R$54,MATCH($S110,อัตราค่าขนส่ง!$Q$5:$Q$54,0)),INDEX(รายการมาตรฐาน!$G$2:$G$3,1)))</f>
        <v/>
      </c>
      <c r="AL110" t="str">
        <f>IF($S110="","",IFERROR(MATCH($AK110,รายการมาตรฐาน!$G$2:$G$3,0),1))</f>
        <v/>
      </c>
      <c r="AM110" t="str">
        <f t="shared" si="47"/>
        <v/>
      </c>
      <c r="AN110" t="str">
        <f t="shared" si="48"/>
        <v/>
      </c>
      <c r="AO110">
        <f t="shared" si="49"/>
        <v>0</v>
      </c>
      <c r="AP110">
        <f t="shared" si="55"/>
        <v>0</v>
      </c>
      <c r="AQ110" t="str">
        <f t="shared" si="50"/>
        <v/>
      </c>
      <c r="AR110">
        <f>IF($Y110="",0,COUNTIF(บันทึกรายเที่ยว!$V$6:$V$10005,$Y110))</f>
        <v>0</v>
      </c>
      <c r="AS110">
        <f>IF($Y110="",0,ROUND(SUMIF(บันทึกรายเที่ยว!$V$6:$V$10005,$Y110,บันทึกรายเที่ยว!$M$6:$M$10005),2))</f>
        <v>0</v>
      </c>
      <c r="AT110">
        <f>IF($Y110="",0,IFERROR(INDEX(อัตราค่าขนส่ง!$J$5:$J$204,MATCH($Y110,อัตราค่าขนส่ง!$O$5:$O$204,0)),0))</f>
        <v>0</v>
      </c>
      <c r="AU110">
        <f t="shared" si="51"/>
        <v>0</v>
      </c>
      <c r="AV110">
        <f t="shared" si="52"/>
        <v>0</v>
      </c>
      <c r="AW110" t="str">
        <f>IF($Y110="","",IFERROR(INDEX(อัตราค่าขนส่ง!$F$5:$F$204,MATCH($Y110,อัตราค่าขนส่ง!$O$5:$O$204,0)),""))</f>
        <v/>
      </c>
      <c r="AX110" t="str">
        <f>IF($W110="","",INDEX(บันทึกรายเที่ยว!$D$6:$D$10005,$W110))</f>
        <v/>
      </c>
      <c r="AY110" t="str">
        <f>IF($W110="","",INDEX(บันทึกรายเที่ยว!$R$6:$R$10005,$W110))</f>
        <v/>
      </c>
      <c r="AZ110">
        <f t="shared" si="53"/>
        <v>0</v>
      </c>
      <c r="BA110" t="str">
        <f>IF($W110="","",INDEX(บันทึกรายเที่ยว!$E$6:$E$10005,$W110))</f>
        <v/>
      </c>
      <c r="BC110">
        <f>IF($Y110="",0,IFERROR(INDEX(อัตราค่าขนส่ง!$M$5:$M$204,MATCH($Y110,อัตราค่าขนส่ง!$O$5:$O$204,0)),0))</f>
        <v>0</v>
      </c>
      <c r="BD110">
        <f>IF($Y110="",0,IFERROR(INDEX(อัตราค่าขนส่ง!$N$5:$N$204,MATCH($Y110,อัตราค่าขนส่ง!$O$5:$O$204,0)),0))</f>
        <v>0</v>
      </c>
    </row>
    <row r="111" spans="1:56" ht="21" customHeight="1" x14ac:dyDescent="0.95">
      <c r="A111" s="36" t="str">
        <f>IF($AD111="","",IF($AD111="Z","รวมจ่ายทั้งสิ้น",IF($AD111="H",INDEX($X$5:$X$404,$AC111),IF($AD111="T","รวม",IF($AD111="B",IFERROR(INDEX(อัตราค่าขนส่ง!$U$5:$U$14,MATCH(INDEX($AM$5:$AM$404,$AC111),อัตราค่าขนส่ง!$T$5:$T$14,0)),"รวมกลุ่ม "&amp;INDEX($AM$5:$AM$404,$AC111)),INDEX($AY$5:$AY$404,$AC111))))))</f>
        <v/>
      </c>
      <c r="B111" s="31" t="str">
        <f t="shared" si="28"/>
        <v/>
      </c>
      <c r="C111" s="8" t="str">
        <f t="shared" si="29"/>
        <v/>
      </c>
      <c r="D111" s="37" t="str">
        <f t="shared" si="30"/>
        <v/>
      </c>
      <c r="E111" s="31" t="str">
        <f t="shared" si="31"/>
        <v/>
      </c>
      <c r="F111" s="32" t="str">
        <f t="shared" si="32"/>
        <v/>
      </c>
      <c r="G111" s="32" t="str">
        <f t="shared" si="33"/>
        <v/>
      </c>
      <c r="H111" s="32" t="str">
        <f t="shared" si="34"/>
        <v/>
      </c>
      <c r="I111" s="32" t="str">
        <f t="shared" si="35"/>
        <v/>
      </c>
      <c r="J111" s="46" t="str">
        <f t="shared" si="36"/>
        <v/>
      </c>
      <c r="K111" s="32" t="str">
        <f t="shared" si="37"/>
        <v/>
      </c>
      <c r="L111" s="32" t="str">
        <f t="shared" si="38"/>
        <v/>
      </c>
      <c r="M111" s="32" t="str">
        <f t="shared" si="39"/>
        <v/>
      </c>
      <c r="N111" s="32" t="str">
        <f t="shared" si="40"/>
        <v/>
      </c>
      <c r="O111" s="32" t="str">
        <f t="shared" si="41"/>
        <v/>
      </c>
      <c r="Q111" t="str">
        <f>IFERROR(MATCH(107,บันทึกรายเที่ยว!$Z$6:$Z$10005,0),"")</f>
        <v/>
      </c>
      <c r="R111" t="str">
        <f>IF($Q111="","",INDEX(บันทึกรายเที่ยว!$V$6:$V$10005,$Q111))</f>
        <v/>
      </c>
      <c r="S111" t="str">
        <f>IF($Q111="","",INDEX(บันทึกรายเที่ยว!$F$6:$F$10005,$Q111))</f>
        <v/>
      </c>
      <c r="T111" t="str">
        <f>IF($Q111="","",MATCH($S111,บันทึกรายเที่ยว!$F$6:$F$10005,0))</f>
        <v/>
      </c>
      <c r="U111" t="str">
        <f>IF($Q111="","",$AL111*10000000+$T111*1000+107)</f>
        <v/>
      </c>
      <c r="V111" t="str">
        <f>IFERROR(MATCH(SMALL($U$5:$U$404,107),$U$5:$U$404,0),"")</f>
        <v/>
      </c>
      <c r="W111" t="str">
        <f t="shared" si="42"/>
        <v/>
      </c>
      <c r="X111" t="str">
        <f t="shared" si="43"/>
        <v/>
      </c>
      <c r="Y111" t="str">
        <f t="shared" si="44"/>
        <v/>
      </c>
      <c r="Z111">
        <f t="shared" si="54"/>
        <v>0</v>
      </c>
      <c r="AA111">
        <f t="shared" si="45"/>
        <v>0</v>
      </c>
      <c r="AB111">
        <f>IF($V111="",99999+107,$AB110+1+$Z110+$AA110+$AO110)</f>
        <v>100106</v>
      </c>
      <c r="AC111" t="str">
        <f>IFERROR(MATCH(107,$AB$5:$AB$404,1),"")</f>
        <v/>
      </c>
      <c r="AD111" t="str">
        <f>IF(107=$AI$1+1,"Z",IF($AC111="","",IF(INDEX($V$5:$V$404,$AC111)="","",IF(107&gt;INDEX($AB$5:$AB$404,$AC111)+INDEX($Z$5:$Z$404,$AC111)+INDEX($AA$5:$AA$404,$AC111)+INDEX($AO$5:$AO$404,$AC111),"",IF(107=INDEX($AB$5:$AB$404,$AC111)+INDEX($Z$5:$Z$404,$AC111),"D",IF(AND(INDEX($Z$5:$Z$404,$AC111)=1,107=INDEX($AB$5:$AB$404,$AC111)),"H",IF(AND(INDEX($AO$5:$AO$404,$AC111)=1,107=INDEX($AB$5:$AB$404,$AC111)+INDEX($Z$5:$Z$404,$AC111)+INDEX($AA$5:$AA$404,$AC111)+INDEX($AO$5:$AO$404,$AC111)),"B","T")))))))</f>
        <v/>
      </c>
      <c r="AF111" t="str">
        <f t="shared" si="46"/>
        <v/>
      </c>
      <c r="AJ111">
        <f>IF($AD111&lt;&gt;"T",0,ROUND(SUMIF(oil!$B$4:$B$63,$AF111,oil!$AE$4:$AE$63),2))</f>
        <v>0</v>
      </c>
      <c r="AK111" t="str">
        <f>IF($S111="","",IFERROR(INDEX(อัตราค่าขนส่ง!$R$5:$R$54,MATCH($S111,อัตราค่าขนส่ง!$Q$5:$Q$54,0)),INDEX(รายการมาตรฐาน!$G$2:$G$3,1)))</f>
        <v/>
      </c>
      <c r="AL111" t="str">
        <f>IF($S111="","",IFERROR(MATCH($AK111,รายการมาตรฐาน!$G$2:$G$3,0),1))</f>
        <v/>
      </c>
      <c r="AM111" t="str">
        <f t="shared" si="47"/>
        <v/>
      </c>
      <c r="AN111" t="str">
        <f t="shared" si="48"/>
        <v/>
      </c>
      <c r="AO111">
        <f t="shared" si="49"/>
        <v>0</v>
      </c>
      <c r="AP111">
        <f t="shared" si="55"/>
        <v>0</v>
      </c>
      <c r="AQ111" t="str">
        <f t="shared" si="50"/>
        <v/>
      </c>
      <c r="AR111">
        <f>IF($Y111="",0,COUNTIF(บันทึกรายเที่ยว!$V$6:$V$10005,$Y111))</f>
        <v>0</v>
      </c>
      <c r="AS111">
        <f>IF($Y111="",0,ROUND(SUMIF(บันทึกรายเที่ยว!$V$6:$V$10005,$Y111,บันทึกรายเที่ยว!$M$6:$M$10005),2))</f>
        <v>0</v>
      </c>
      <c r="AT111">
        <f>IF($Y111="",0,IFERROR(INDEX(อัตราค่าขนส่ง!$J$5:$J$204,MATCH($Y111,อัตราค่าขนส่ง!$O$5:$O$204,0)),0))</f>
        <v>0</v>
      </c>
      <c r="AU111">
        <f t="shared" si="51"/>
        <v>0</v>
      </c>
      <c r="AV111">
        <f t="shared" si="52"/>
        <v>0</v>
      </c>
      <c r="AW111" t="str">
        <f>IF($Y111="","",IFERROR(INDEX(อัตราค่าขนส่ง!$F$5:$F$204,MATCH($Y111,อัตราค่าขนส่ง!$O$5:$O$204,0)),""))</f>
        <v/>
      </c>
      <c r="AX111" t="str">
        <f>IF($W111="","",INDEX(บันทึกรายเที่ยว!$D$6:$D$10005,$W111))</f>
        <v/>
      </c>
      <c r="AY111" t="str">
        <f>IF($W111="","",INDEX(บันทึกรายเที่ยว!$R$6:$R$10005,$W111))</f>
        <v/>
      </c>
      <c r="AZ111">
        <f t="shared" si="53"/>
        <v>0</v>
      </c>
      <c r="BA111" t="str">
        <f>IF($W111="","",INDEX(บันทึกรายเที่ยว!$E$6:$E$10005,$W111))</f>
        <v/>
      </c>
      <c r="BC111">
        <f>IF($Y111="",0,IFERROR(INDEX(อัตราค่าขนส่ง!$M$5:$M$204,MATCH($Y111,อัตราค่าขนส่ง!$O$5:$O$204,0)),0))</f>
        <v>0</v>
      </c>
      <c r="BD111">
        <f>IF($Y111="",0,IFERROR(INDEX(อัตราค่าขนส่ง!$N$5:$N$204,MATCH($Y111,อัตราค่าขนส่ง!$O$5:$O$204,0)),0))</f>
        <v>0</v>
      </c>
    </row>
    <row r="112" spans="1:56" ht="21" customHeight="1" x14ac:dyDescent="0.95">
      <c r="A112" s="36" t="str">
        <f>IF($AD112="","",IF($AD112="Z","รวมจ่ายทั้งสิ้น",IF($AD112="H",INDEX($X$5:$X$404,$AC112),IF($AD112="T","รวม",IF($AD112="B",IFERROR(INDEX(อัตราค่าขนส่ง!$U$5:$U$14,MATCH(INDEX($AM$5:$AM$404,$AC112),อัตราค่าขนส่ง!$T$5:$T$14,0)),"รวมกลุ่ม "&amp;INDEX($AM$5:$AM$404,$AC112)),INDEX($AY$5:$AY$404,$AC112))))))</f>
        <v/>
      </c>
      <c r="B112" s="31" t="str">
        <f t="shared" si="28"/>
        <v/>
      </c>
      <c r="C112" s="8" t="str">
        <f t="shared" si="29"/>
        <v/>
      </c>
      <c r="D112" s="37" t="str">
        <f t="shared" si="30"/>
        <v/>
      </c>
      <c r="E112" s="31" t="str">
        <f t="shared" si="31"/>
        <v/>
      </c>
      <c r="F112" s="32" t="str">
        <f t="shared" si="32"/>
        <v/>
      </c>
      <c r="G112" s="32" t="str">
        <f t="shared" si="33"/>
        <v/>
      </c>
      <c r="H112" s="32" t="str">
        <f t="shared" si="34"/>
        <v/>
      </c>
      <c r="I112" s="32" t="str">
        <f t="shared" si="35"/>
        <v/>
      </c>
      <c r="J112" s="46" t="str">
        <f t="shared" si="36"/>
        <v/>
      </c>
      <c r="K112" s="32" t="str">
        <f t="shared" si="37"/>
        <v/>
      </c>
      <c r="L112" s="32" t="str">
        <f t="shared" si="38"/>
        <v/>
      </c>
      <c r="M112" s="32" t="str">
        <f t="shared" si="39"/>
        <v/>
      </c>
      <c r="N112" s="32" t="str">
        <f t="shared" si="40"/>
        <v/>
      </c>
      <c r="O112" s="32" t="str">
        <f t="shared" si="41"/>
        <v/>
      </c>
      <c r="Q112" t="str">
        <f>IFERROR(MATCH(108,บันทึกรายเที่ยว!$Z$6:$Z$10005,0),"")</f>
        <v/>
      </c>
      <c r="R112" t="str">
        <f>IF($Q112="","",INDEX(บันทึกรายเที่ยว!$V$6:$V$10005,$Q112))</f>
        <v/>
      </c>
      <c r="S112" t="str">
        <f>IF($Q112="","",INDEX(บันทึกรายเที่ยว!$F$6:$F$10005,$Q112))</f>
        <v/>
      </c>
      <c r="T112" t="str">
        <f>IF($Q112="","",MATCH($S112,บันทึกรายเที่ยว!$F$6:$F$10005,0))</f>
        <v/>
      </c>
      <c r="U112" t="str">
        <f>IF($Q112="","",$AL112*10000000+$T112*1000+108)</f>
        <v/>
      </c>
      <c r="V112" t="str">
        <f>IFERROR(MATCH(SMALL($U$5:$U$404,108),$U$5:$U$404,0),"")</f>
        <v/>
      </c>
      <c r="W112" t="str">
        <f t="shared" si="42"/>
        <v/>
      </c>
      <c r="X112" t="str">
        <f t="shared" si="43"/>
        <v/>
      </c>
      <c r="Y112" t="str">
        <f t="shared" si="44"/>
        <v/>
      </c>
      <c r="Z112">
        <f t="shared" si="54"/>
        <v>0</v>
      </c>
      <c r="AA112">
        <f t="shared" si="45"/>
        <v>0</v>
      </c>
      <c r="AB112">
        <f>IF($V112="",99999+108,$AB111+1+$Z111+$AA111+$AO111)</f>
        <v>100107</v>
      </c>
      <c r="AC112" t="str">
        <f>IFERROR(MATCH(108,$AB$5:$AB$404,1),"")</f>
        <v/>
      </c>
      <c r="AD112" t="str">
        <f>IF(108=$AI$1+1,"Z",IF($AC112="","",IF(INDEX($V$5:$V$404,$AC112)="","",IF(108&gt;INDEX($AB$5:$AB$404,$AC112)+INDEX($Z$5:$Z$404,$AC112)+INDEX($AA$5:$AA$404,$AC112)+INDEX($AO$5:$AO$404,$AC112),"",IF(108=INDEX($AB$5:$AB$404,$AC112)+INDEX($Z$5:$Z$404,$AC112),"D",IF(AND(INDEX($Z$5:$Z$404,$AC112)=1,108=INDEX($AB$5:$AB$404,$AC112)),"H",IF(AND(INDEX($AO$5:$AO$404,$AC112)=1,108=INDEX($AB$5:$AB$404,$AC112)+INDEX($Z$5:$Z$404,$AC112)+INDEX($AA$5:$AA$404,$AC112)+INDEX($AO$5:$AO$404,$AC112)),"B","T")))))))</f>
        <v/>
      </c>
      <c r="AF112" t="str">
        <f t="shared" si="46"/>
        <v/>
      </c>
      <c r="AJ112">
        <f>IF($AD112&lt;&gt;"T",0,ROUND(SUMIF(oil!$B$4:$B$63,$AF112,oil!$AE$4:$AE$63),2))</f>
        <v>0</v>
      </c>
      <c r="AK112" t="str">
        <f>IF($S112="","",IFERROR(INDEX(อัตราค่าขนส่ง!$R$5:$R$54,MATCH($S112,อัตราค่าขนส่ง!$Q$5:$Q$54,0)),INDEX(รายการมาตรฐาน!$G$2:$G$3,1)))</f>
        <v/>
      </c>
      <c r="AL112" t="str">
        <f>IF($S112="","",IFERROR(MATCH($AK112,รายการมาตรฐาน!$G$2:$G$3,0),1))</f>
        <v/>
      </c>
      <c r="AM112" t="str">
        <f t="shared" si="47"/>
        <v/>
      </c>
      <c r="AN112" t="str">
        <f t="shared" si="48"/>
        <v/>
      </c>
      <c r="AO112">
        <f t="shared" si="49"/>
        <v>0</v>
      </c>
      <c r="AP112">
        <f t="shared" si="55"/>
        <v>0</v>
      </c>
      <c r="AQ112" t="str">
        <f t="shared" si="50"/>
        <v/>
      </c>
      <c r="AR112">
        <f>IF($Y112="",0,COUNTIF(บันทึกรายเที่ยว!$V$6:$V$10005,$Y112))</f>
        <v>0</v>
      </c>
      <c r="AS112">
        <f>IF($Y112="",0,ROUND(SUMIF(บันทึกรายเที่ยว!$V$6:$V$10005,$Y112,บันทึกรายเที่ยว!$M$6:$M$10005),2))</f>
        <v>0</v>
      </c>
      <c r="AT112">
        <f>IF($Y112="",0,IFERROR(INDEX(อัตราค่าขนส่ง!$J$5:$J$204,MATCH($Y112,อัตราค่าขนส่ง!$O$5:$O$204,0)),0))</f>
        <v>0</v>
      </c>
      <c r="AU112">
        <f t="shared" si="51"/>
        <v>0</v>
      </c>
      <c r="AV112">
        <f t="shared" si="52"/>
        <v>0</v>
      </c>
      <c r="AW112" t="str">
        <f>IF($Y112="","",IFERROR(INDEX(อัตราค่าขนส่ง!$F$5:$F$204,MATCH($Y112,อัตราค่าขนส่ง!$O$5:$O$204,0)),""))</f>
        <v/>
      </c>
      <c r="AX112" t="str">
        <f>IF($W112="","",INDEX(บันทึกรายเที่ยว!$D$6:$D$10005,$W112))</f>
        <v/>
      </c>
      <c r="AY112" t="str">
        <f>IF($W112="","",INDEX(บันทึกรายเที่ยว!$R$6:$R$10005,$W112))</f>
        <v/>
      </c>
      <c r="AZ112">
        <f t="shared" si="53"/>
        <v>0</v>
      </c>
      <c r="BA112" t="str">
        <f>IF($W112="","",INDEX(บันทึกรายเที่ยว!$E$6:$E$10005,$W112))</f>
        <v/>
      </c>
      <c r="BC112">
        <f>IF($Y112="",0,IFERROR(INDEX(อัตราค่าขนส่ง!$M$5:$M$204,MATCH($Y112,อัตราค่าขนส่ง!$O$5:$O$204,0)),0))</f>
        <v>0</v>
      </c>
      <c r="BD112">
        <f>IF($Y112="",0,IFERROR(INDEX(อัตราค่าขนส่ง!$N$5:$N$204,MATCH($Y112,อัตราค่าขนส่ง!$O$5:$O$204,0)),0))</f>
        <v>0</v>
      </c>
    </row>
    <row r="113" spans="1:56" ht="21" customHeight="1" x14ac:dyDescent="0.95">
      <c r="A113" s="36" t="str">
        <f>IF($AD113="","",IF($AD113="Z","รวมจ่ายทั้งสิ้น",IF($AD113="H",INDEX($X$5:$X$404,$AC113),IF($AD113="T","รวม",IF($AD113="B",IFERROR(INDEX(อัตราค่าขนส่ง!$U$5:$U$14,MATCH(INDEX($AM$5:$AM$404,$AC113),อัตราค่าขนส่ง!$T$5:$T$14,0)),"รวมกลุ่ม "&amp;INDEX($AM$5:$AM$404,$AC113)),INDEX($AY$5:$AY$404,$AC113))))))</f>
        <v/>
      </c>
      <c r="B113" s="31" t="str">
        <f t="shared" si="28"/>
        <v/>
      </c>
      <c r="C113" s="8" t="str">
        <f t="shared" si="29"/>
        <v/>
      </c>
      <c r="D113" s="37" t="str">
        <f t="shared" si="30"/>
        <v/>
      </c>
      <c r="E113" s="31" t="str">
        <f t="shared" si="31"/>
        <v/>
      </c>
      <c r="F113" s="32" t="str">
        <f t="shared" si="32"/>
        <v/>
      </c>
      <c r="G113" s="32" t="str">
        <f t="shared" si="33"/>
        <v/>
      </c>
      <c r="H113" s="32" t="str">
        <f t="shared" si="34"/>
        <v/>
      </c>
      <c r="I113" s="32" t="str">
        <f t="shared" si="35"/>
        <v/>
      </c>
      <c r="J113" s="46" t="str">
        <f t="shared" si="36"/>
        <v/>
      </c>
      <c r="K113" s="32" t="str">
        <f t="shared" si="37"/>
        <v/>
      </c>
      <c r="L113" s="32" t="str">
        <f t="shared" si="38"/>
        <v/>
      </c>
      <c r="M113" s="32" t="str">
        <f t="shared" si="39"/>
        <v/>
      </c>
      <c r="N113" s="32" t="str">
        <f t="shared" si="40"/>
        <v/>
      </c>
      <c r="O113" s="32" t="str">
        <f t="shared" si="41"/>
        <v/>
      </c>
      <c r="Q113" t="str">
        <f>IFERROR(MATCH(109,บันทึกรายเที่ยว!$Z$6:$Z$10005,0),"")</f>
        <v/>
      </c>
      <c r="R113" t="str">
        <f>IF($Q113="","",INDEX(บันทึกรายเที่ยว!$V$6:$V$10005,$Q113))</f>
        <v/>
      </c>
      <c r="S113" t="str">
        <f>IF($Q113="","",INDEX(บันทึกรายเที่ยว!$F$6:$F$10005,$Q113))</f>
        <v/>
      </c>
      <c r="T113" t="str">
        <f>IF($Q113="","",MATCH($S113,บันทึกรายเที่ยว!$F$6:$F$10005,0))</f>
        <v/>
      </c>
      <c r="U113" t="str">
        <f>IF($Q113="","",$AL113*10000000+$T113*1000+109)</f>
        <v/>
      </c>
      <c r="V113" t="str">
        <f>IFERROR(MATCH(SMALL($U$5:$U$404,109),$U$5:$U$404,0),"")</f>
        <v/>
      </c>
      <c r="W113" t="str">
        <f t="shared" si="42"/>
        <v/>
      </c>
      <c r="X113" t="str">
        <f t="shared" si="43"/>
        <v/>
      </c>
      <c r="Y113" t="str">
        <f t="shared" si="44"/>
        <v/>
      </c>
      <c r="Z113">
        <f t="shared" si="54"/>
        <v>0</v>
      </c>
      <c r="AA113">
        <f t="shared" si="45"/>
        <v>0</v>
      </c>
      <c r="AB113">
        <f>IF($V113="",99999+109,$AB112+1+$Z112+$AA112+$AO112)</f>
        <v>100108</v>
      </c>
      <c r="AC113" t="str">
        <f>IFERROR(MATCH(109,$AB$5:$AB$404,1),"")</f>
        <v/>
      </c>
      <c r="AD113" t="str">
        <f>IF(109=$AI$1+1,"Z",IF($AC113="","",IF(INDEX($V$5:$V$404,$AC113)="","",IF(109&gt;INDEX($AB$5:$AB$404,$AC113)+INDEX($Z$5:$Z$404,$AC113)+INDEX($AA$5:$AA$404,$AC113)+INDEX($AO$5:$AO$404,$AC113),"",IF(109=INDEX($AB$5:$AB$404,$AC113)+INDEX($Z$5:$Z$404,$AC113),"D",IF(AND(INDEX($Z$5:$Z$404,$AC113)=1,109=INDEX($AB$5:$AB$404,$AC113)),"H",IF(AND(INDEX($AO$5:$AO$404,$AC113)=1,109=INDEX($AB$5:$AB$404,$AC113)+INDEX($Z$5:$Z$404,$AC113)+INDEX($AA$5:$AA$404,$AC113)+INDEX($AO$5:$AO$404,$AC113)),"B","T")))))))</f>
        <v/>
      </c>
      <c r="AF113" t="str">
        <f t="shared" si="46"/>
        <v/>
      </c>
      <c r="AJ113">
        <f>IF($AD113&lt;&gt;"T",0,ROUND(SUMIF(oil!$B$4:$B$63,$AF113,oil!$AE$4:$AE$63),2))</f>
        <v>0</v>
      </c>
      <c r="AK113" t="str">
        <f>IF($S113="","",IFERROR(INDEX(อัตราค่าขนส่ง!$R$5:$R$54,MATCH($S113,อัตราค่าขนส่ง!$Q$5:$Q$54,0)),INDEX(รายการมาตรฐาน!$G$2:$G$3,1)))</f>
        <v/>
      </c>
      <c r="AL113" t="str">
        <f>IF($S113="","",IFERROR(MATCH($AK113,รายการมาตรฐาน!$G$2:$G$3,0),1))</f>
        <v/>
      </c>
      <c r="AM113" t="str">
        <f t="shared" si="47"/>
        <v/>
      </c>
      <c r="AN113" t="str">
        <f t="shared" si="48"/>
        <v/>
      </c>
      <c r="AO113">
        <f t="shared" si="49"/>
        <v>0</v>
      </c>
      <c r="AP113">
        <f t="shared" si="55"/>
        <v>0</v>
      </c>
      <c r="AQ113" t="str">
        <f t="shared" si="50"/>
        <v/>
      </c>
      <c r="AR113">
        <f>IF($Y113="",0,COUNTIF(บันทึกรายเที่ยว!$V$6:$V$10005,$Y113))</f>
        <v>0</v>
      </c>
      <c r="AS113">
        <f>IF($Y113="",0,ROUND(SUMIF(บันทึกรายเที่ยว!$V$6:$V$10005,$Y113,บันทึกรายเที่ยว!$M$6:$M$10005),2))</f>
        <v>0</v>
      </c>
      <c r="AT113">
        <f>IF($Y113="",0,IFERROR(INDEX(อัตราค่าขนส่ง!$J$5:$J$204,MATCH($Y113,อัตราค่าขนส่ง!$O$5:$O$204,0)),0))</f>
        <v>0</v>
      </c>
      <c r="AU113">
        <f t="shared" si="51"/>
        <v>0</v>
      </c>
      <c r="AV113">
        <f t="shared" si="52"/>
        <v>0</v>
      </c>
      <c r="AW113" t="str">
        <f>IF($Y113="","",IFERROR(INDEX(อัตราค่าขนส่ง!$F$5:$F$204,MATCH($Y113,อัตราค่าขนส่ง!$O$5:$O$204,0)),""))</f>
        <v/>
      </c>
      <c r="AX113" t="str">
        <f>IF($W113="","",INDEX(บันทึกรายเที่ยว!$D$6:$D$10005,$W113))</f>
        <v/>
      </c>
      <c r="AY113" t="str">
        <f>IF($W113="","",INDEX(บันทึกรายเที่ยว!$R$6:$R$10005,$W113))</f>
        <v/>
      </c>
      <c r="AZ113">
        <f t="shared" si="53"/>
        <v>0</v>
      </c>
      <c r="BA113" t="str">
        <f>IF($W113="","",INDEX(บันทึกรายเที่ยว!$E$6:$E$10005,$W113))</f>
        <v/>
      </c>
      <c r="BC113">
        <f>IF($Y113="",0,IFERROR(INDEX(อัตราค่าขนส่ง!$M$5:$M$204,MATCH($Y113,อัตราค่าขนส่ง!$O$5:$O$204,0)),0))</f>
        <v>0</v>
      </c>
      <c r="BD113">
        <f>IF($Y113="",0,IFERROR(INDEX(อัตราค่าขนส่ง!$N$5:$N$204,MATCH($Y113,อัตราค่าขนส่ง!$O$5:$O$204,0)),0))</f>
        <v>0</v>
      </c>
    </row>
    <row r="114" spans="1:56" ht="21" customHeight="1" x14ac:dyDescent="0.95">
      <c r="A114" s="36" t="str">
        <f>IF($AD114="","",IF($AD114="Z","รวมจ่ายทั้งสิ้น",IF($AD114="H",INDEX($X$5:$X$404,$AC114),IF($AD114="T","รวม",IF($AD114="B",IFERROR(INDEX(อัตราค่าขนส่ง!$U$5:$U$14,MATCH(INDEX($AM$5:$AM$404,$AC114),อัตราค่าขนส่ง!$T$5:$T$14,0)),"รวมกลุ่ม "&amp;INDEX($AM$5:$AM$404,$AC114)),INDEX($AY$5:$AY$404,$AC114))))))</f>
        <v/>
      </c>
      <c r="B114" s="31" t="str">
        <f t="shared" si="28"/>
        <v/>
      </c>
      <c r="C114" s="8" t="str">
        <f t="shared" si="29"/>
        <v/>
      </c>
      <c r="D114" s="37" t="str">
        <f t="shared" si="30"/>
        <v/>
      </c>
      <c r="E114" s="31" t="str">
        <f t="shared" si="31"/>
        <v/>
      </c>
      <c r="F114" s="32" t="str">
        <f t="shared" si="32"/>
        <v/>
      </c>
      <c r="G114" s="32" t="str">
        <f t="shared" si="33"/>
        <v/>
      </c>
      <c r="H114" s="32" t="str">
        <f t="shared" si="34"/>
        <v/>
      </c>
      <c r="I114" s="32" t="str">
        <f t="shared" si="35"/>
        <v/>
      </c>
      <c r="J114" s="46" t="str">
        <f t="shared" si="36"/>
        <v/>
      </c>
      <c r="K114" s="32" t="str">
        <f t="shared" si="37"/>
        <v/>
      </c>
      <c r="L114" s="32" t="str">
        <f t="shared" si="38"/>
        <v/>
      </c>
      <c r="M114" s="32" t="str">
        <f t="shared" si="39"/>
        <v/>
      </c>
      <c r="N114" s="32" t="str">
        <f t="shared" si="40"/>
        <v/>
      </c>
      <c r="O114" s="32" t="str">
        <f t="shared" si="41"/>
        <v/>
      </c>
      <c r="Q114" t="str">
        <f>IFERROR(MATCH(110,บันทึกรายเที่ยว!$Z$6:$Z$10005,0),"")</f>
        <v/>
      </c>
      <c r="R114" t="str">
        <f>IF($Q114="","",INDEX(บันทึกรายเที่ยว!$V$6:$V$10005,$Q114))</f>
        <v/>
      </c>
      <c r="S114" t="str">
        <f>IF($Q114="","",INDEX(บันทึกรายเที่ยว!$F$6:$F$10005,$Q114))</f>
        <v/>
      </c>
      <c r="T114" t="str">
        <f>IF($Q114="","",MATCH($S114,บันทึกรายเที่ยว!$F$6:$F$10005,0))</f>
        <v/>
      </c>
      <c r="U114" t="str">
        <f>IF($Q114="","",$AL114*10000000+$T114*1000+110)</f>
        <v/>
      </c>
      <c r="V114" t="str">
        <f>IFERROR(MATCH(SMALL($U$5:$U$404,110),$U$5:$U$404,0),"")</f>
        <v/>
      </c>
      <c r="W114" t="str">
        <f t="shared" si="42"/>
        <v/>
      </c>
      <c r="X114" t="str">
        <f t="shared" si="43"/>
        <v/>
      </c>
      <c r="Y114" t="str">
        <f t="shared" si="44"/>
        <v/>
      </c>
      <c r="Z114">
        <f t="shared" si="54"/>
        <v>0</v>
      </c>
      <c r="AA114">
        <f t="shared" si="45"/>
        <v>0</v>
      </c>
      <c r="AB114">
        <f>IF($V114="",99999+110,$AB113+1+$Z113+$AA113+$AO113)</f>
        <v>100109</v>
      </c>
      <c r="AC114" t="str">
        <f>IFERROR(MATCH(110,$AB$5:$AB$404,1),"")</f>
        <v/>
      </c>
      <c r="AD114" t="str">
        <f>IF(110=$AI$1+1,"Z",IF($AC114="","",IF(INDEX($V$5:$V$404,$AC114)="","",IF(110&gt;INDEX($AB$5:$AB$404,$AC114)+INDEX($Z$5:$Z$404,$AC114)+INDEX($AA$5:$AA$404,$AC114)+INDEX($AO$5:$AO$404,$AC114),"",IF(110=INDEX($AB$5:$AB$404,$AC114)+INDEX($Z$5:$Z$404,$AC114),"D",IF(AND(INDEX($Z$5:$Z$404,$AC114)=1,110=INDEX($AB$5:$AB$404,$AC114)),"H",IF(AND(INDEX($AO$5:$AO$404,$AC114)=1,110=INDEX($AB$5:$AB$404,$AC114)+INDEX($Z$5:$Z$404,$AC114)+INDEX($AA$5:$AA$404,$AC114)+INDEX($AO$5:$AO$404,$AC114)),"B","T")))))))</f>
        <v/>
      </c>
      <c r="AF114" t="str">
        <f t="shared" si="46"/>
        <v/>
      </c>
      <c r="AJ114">
        <f>IF($AD114&lt;&gt;"T",0,ROUND(SUMIF(oil!$B$4:$B$63,$AF114,oil!$AE$4:$AE$63),2))</f>
        <v>0</v>
      </c>
      <c r="AK114" t="str">
        <f>IF($S114="","",IFERROR(INDEX(อัตราค่าขนส่ง!$R$5:$R$54,MATCH($S114,อัตราค่าขนส่ง!$Q$5:$Q$54,0)),INDEX(รายการมาตรฐาน!$G$2:$G$3,1)))</f>
        <v/>
      </c>
      <c r="AL114" t="str">
        <f>IF($S114="","",IFERROR(MATCH($AK114,รายการมาตรฐาน!$G$2:$G$3,0),1))</f>
        <v/>
      </c>
      <c r="AM114" t="str">
        <f t="shared" si="47"/>
        <v/>
      </c>
      <c r="AN114" t="str">
        <f t="shared" si="48"/>
        <v/>
      </c>
      <c r="AO114">
        <f t="shared" si="49"/>
        <v>0</v>
      </c>
      <c r="AP114">
        <f t="shared" si="55"/>
        <v>0</v>
      </c>
      <c r="AQ114" t="str">
        <f t="shared" si="50"/>
        <v/>
      </c>
      <c r="AR114">
        <f>IF($Y114="",0,COUNTIF(บันทึกรายเที่ยว!$V$6:$V$10005,$Y114))</f>
        <v>0</v>
      </c>
      <c r="AS114">
        <f>IF($Y114="",0,ROUND(SUMIF(บันทึกรายเที่ยว!$V$6:$V$10005,$Y114,บันทึกรายเที่ยว!$M$6:$M$10005),2))</f>
        <v>0</v>
      </c>
      <c r="AT114">
        <f>IF($Y114="",0,IFERROR(INDEX(อัตราค่าขนส่ง!$J$5:$J$204,MATCH($Y114,อัตราค่าขนส่ง!$O$5:$O$204,0)),0))</f>
        <v>0</v>
      </c>
      <c r="AU114">
        <f t="shared" si="51"/>
        <v>0</v>
      </c>
      <c r="AV114">
        <f t="shared" si="52"/>
        <v>0</v>
      </c>
      <c r="AW114" t="str">
        <f>IF($Y114="","",IFERROR(INDEX(อัตราค่าขนส่ง!$F$5:$F$204,MATCH($Y114,อัตราค่าขนส่ง!$O$5:$O$204,0)),""))</f>
        <v/>
      </c>
      <c r="AX114" t="str">
        <f>IF($W114="","",INDEX(บันทึกรายเที่ยว!$D$6:$D$10005,$W114))</f>
        <v/>
      </c>
      <c r="AY114" t="str">
        <f>IF($W114="","",INDEX(บันทึกรายเที่ยว!$R$6:$R$10005,$W114))</f>
        <v/>
      </c>
      <c r="AZ114">
        <f t="shared" si="53"/>
        <v>0</v>
      </c>
      <c r="BA114" t="str">
        <f>IF($W114="","",INDEX(บันทึกรายเที่ยว!$E$6:$E$10005,$W114))</f>
        <v/>
      </c>
      <c r="BC114">
        <f>IF($Y114="",0,IFERROR(INDEX(อัตราค่าขนส่ง!$M$5:$M$204,MATCH($Y114,อัตราค่าขนส่ง!$O$5:$O$204,0)),0))</f>
        <v>0</v>
      </c>
      <c r="BD114">
        <f>IF($Y114="",0,IFERROR(INDEX(อัตราค่าขนส่ง!$N$5:$N$204,MATCH($Y114,อัตราค่าขนส่ง!$O$5:$O$204,0)),0))</f>
        <v>0</v>
      </c>
    </row>
    <row r="115" spans="1:56" ht="21" customHeight="1" x14ac:dyDescent="0.95">
      <c r="A115" s="36" t="str">
        <f>IF($AD115="","",IF($AD115="Z","รวมจ่ายทั้งสิ้น",IF($AD115="H",INDEX($X$5:$X$404,$AC115),IF($AD115="T","รวม",IF($AD115="B",IFERROR(INDEX(อัตราค่าขนส่ง!$U$5:$U$14,MATCH(INDEX($AM$5:$AM$404,$AC115),อัตราค่าขนส่ง!$T$5:$T$14,0)),"รวมกลุ่ม "&amp;INDEX($AM$5:$AM$404,$AC115)),INDEX($AY$5:$AY$404,$AC115))))))</f>
        <v/>
      </c>
      <c r="B115" s="31" t="str">
        <f t="shared" si="28"/>
        <v/>
      </c>
      <c r="C115" s="8" t="str">
        <f t="shared" si="29"/>
        <v/>
      </c>
      <c r="D115" s="37" t="str">
        <f t="shared" si="30"/>
        <v/>
      </c>
      <c r="E115" s="31" t="str">
        <f t="shared" si="31"/>
        <v/>
      </c>
      <c r="F115" s="32" t="str">
        <f t="shared" si="32"/>
        <v/>
      </c>
      <c r="G115" s="32" t="str">
        <f t="shared" si="33"/>
        <v/>
      </c>
      <c r="H115" s="32" t="str">
        <f t="shared" si="34"/>
        <v/>
      </c>
      <c r="I115" s="32" t="str">
        <f t="shared" si="35"/>
        <v/>
      </c>
      <c r="J115" s="46" t="str">
        <f t="shared" si="36"/>
        <v/>
      </c>
      <c r="K115" s="32" t="str">
        <f t="shared" si="37"/>
        <v/>
      </c>
      <c r="L115" s="32" t="str">
        <f t="shared" si="38"/>
        <v/>
      </c>
      <c r="M115" s="32" t="str">
        <f t="shared" si="39"/>
        <v/>
      </c>
      <c r="N115" s="32" t="str">
        <f t="shared" si="40"/>
        <v/>
      </c>
      <c r="O115" s="32" t="str">
        <f t="shared" si="41"/>
        <v/>
      </c>
      <c r="Q115" t="str">
        <f>IFERROR(MATCH(111,บันทึกรายเที่ยว!$Z$6:$Z$10005,0),"")</f>
        <v/>
      </c>
      <c r="R115" t="str">
        <f>IF($Q115="","",INDEX(บันทึกรายเที่ยว!$V$6:$V$10005,$Q115))</f>
        <v/>
      </c>
      <c r="S115" t="str">
        <f>IF($Q115="","",INDEX(บันทึกรายเที่ยว!$F$6:$F$10005,$Q115))</f>
        <v/>
      </c>
      <c r="T115" t="str">
        <f>IF($Q115="","",MATCH($S115,บันทึกรายเที่ยว!$F$6:$F$10005,0))</f>
        <v/>
      </c>
      <c r="U115" t="str">
        <f>IF($Q115="","",$AL115*10000000+$T115*1000+111)</f>
        <v/>
      </c>
      <c r="V115" t="str">
        <f>IFERROR(MATCH(SMALL($U$5:$U$404,111),$U$5:$U$404,0),"")</f>
        <v/>
      </c>
      <c r="W115" t="str">
        <f t="shared" si="42"/>
        <v/>
      </c>
      <c r="X115" t="str">
        <f t="shared" si="43"/>
        <v/>
      </c>
      <c r="Y115" t="str">
        <f t="shared" si="44"/>
        <v/>
      </c>
      <c r="Z115">
        <f t="shared" si="54"/>
        <v>0</v>
      </c>
      <c r="AA115">
        <f t="shared" si="45"/>
        <v>0</v>
      </c>
      <c r="AB115">
        <f>IF($V115="",99999+111,$AB114+1+$Z114+$AA114+$AO114)</f>
        <v>100110</v>
      </c>
      <c r="AC115" t="str">
        <f>IFERROR(MATCH(111,$AB$5:$AB$404,1),"")</f>
        <v/>
      </c>
      <c r="AD115" t="str">
        <f>IF(111=$AI$1+1,"Z",IF($AC115="","",IF(INDEX($V$5:$V$404,$AC115)="","",IF(111&gt;INDEX($AB$5:$AB$404,$AC115)+INDEX($Z$5:$Z$404,$AC115)+INDEX($AA$5:$AA$404,$AC115)+INDEX($AO$5:$AO$404,$AC115),"",IF(111=INDEX($AB$5:$AB$404,$AC115)+INDEX($Z$5:$Z$404,$AC115),"D",IF(AND(INDEX($Z$5:$Z$404,$AC115)=1,111=INDEX($AB$5:$AB$404,$AC115)),"H",IF(AND(INDEX($AO$5:$AO$404,$AC115)=1,111=INDEX($AB$5:$AB$404,$AC115)+INDEX($Z$5:$Z$404,$AC115)+INDEX($AA$5:$AA$404,$AC115)+INDEX($AO$5:$AO$404,$AC115)),"B","T")))))))</f>
        <v/>
      </c>
      <c r="AF115" t="str">
        <f t="shared" si="46"/>
        <v/>
      </c>
      <c r="AJ115">
        <f>IF($AD115&lt;&gt;"T",0,ROUND(SUMIF(oil!$B$4:$B$63,$AF115,oil!$AE$4:$AE$63),2))</f>
        <v>0</v>
      </c>
      <c r="AK115" t="str">
        <f>IF($S115="","",IFERROR(INDEX(อัตราค่าขนส่ง!$R$5:$R$54,MATCH($S115,อัตราค่าขนส่ง!$Q$5:$Q$54,0)),INDEX(รายการมาตรฐาน!$G$2:$G$3,1)))</f>
        <v/>
      </c>
      <c r="AL115" t="str">
        <f>IF($S115="","",IFERROR(MATCH($AK115,รายการมาตรฐาน!$G$2:$G$3,0),1))</f>
        <v/>
      </c>
      <c r="AM115" t="str">
        <f t="shared" si="47"/>
        <v/>
      </c>
      <c r="AN115" t="str">
        <f t="shared" si="48"/>
        <v/>
      </c>
      <c r="AO115">
        <f t="shared" si="49"/>
        <v>0</v>
      </c>
      <c r="AP115">
        <f t="shared" si="55"/>
        <v>0</v>
      </c>
      <c r="AQ115" t="str">
        <f t="shared" si="50"/>
        <v/>
      </c>
      <c r="AR115">
        <f>IF($Y115="",0,COUNTIF(บันทึกรายเที่ยว!$V$6:$V$10005,$Y115))</f>
        <v>0</v>
      </c>
      <c r="AS115">
        <f>IF($Y115="",0,ROUND(SUMIF(บันทึกรายเที่ยว!$V$6:$V$10005,$Y115,บันทึกรายเที่ยว!$M$6:$M$10005),2))</f>
        <v>0</v>
      </c>
      <c r="AT115">
        <f>IF($Y115="",0,IFERROR(INDEX(อัตราค่าขนส่ง!$J$5:$J$204,MATCH($Y115,อัตราค่าขนส่ง!$O$5:$O$204,0)),0))</f>
        <v>0</v>
      </c>
      <c r="AU115">
        <f t="shared" si="51"/>
        <v>0</v>
      </c>
      <c r="AV115">
        <f t="shared" si="52"/>
        <v>0</v>
      </c>
      <c r="AW115" t="str">
        <f>IF($Y115="","",IFERROR(INDEX(อัตราค่าขนส่ง!$F$5:$F$204,MATCH($Y115,อัตราค่าขนส่ง!$O$5:$O$204,0)),""))</f>
        <v/>
      </c>
      <c r="AX115" t="str">
        <f>IF($W115="","",INDEX(บันทึกรายเที่ยว!$D$6:$D$10005,$W115))</f>
        <v/>
      </c>
      <c r="AY115" t="str">
        <f>IF($W115="","",INDEX(บันทึกรายเที่ยว!$R$6:$R$10005,$W115))</f>
        <v/>
      </c>
      <c r="AZ115">
        <f t="shared" si="53"/>
        <v>0</v>
      </c>
      <c r="BA115" t="str">
        <f>IF($W115="","",INDEX(บันทึกรายเที่ยว!$E$6:$E$10005,$W115))</f>
        <v/>
      </c>
      <c r="BC115">
        <f>IF($Y115="",0,IFERROR(INDEX(อัตราค่าขนส่ง!$M$5:$M$204,MATCH($Y115,อัตราค่าขนส่ง!$O$5:$O$204,0)),0))</f>
        <v>0</v>
      </c>
      <c r="BD115">
        <f>IF($Y115="",0,IFERROR(INDEX(อัตราค่าขนส่ง!$N$5:$N$204,MATCH($Y115,อัตราค่าขนส่ง!$O$5:$O$204,0)),0))</f>
        <v>0</v>
      </c>
    </row>
    <row r="116" spans="1:56" ht="21" customHeight="1" x14ac:dyDescent="0.95">
      <c r="A116" s="36" t="str">
        <f>IF($AD116="","",IF($AD116="Z","รวมจ่ายทั้งสิ้น",IF($AD116="H",INDEX($X$5:$X$404,$AC116),IF($AD116="T","รวม",IF($AD116="B",IFERROR(INDEX(อัตราค่าขนส่ง!$U$5:$U$14,MATCH(INDEX($AM$5:$AM$404,$AC116),อัตราค่าขนส่ง!$T$5:$T$14,0)),"รวมกลุ่ม "&amp;INDEX($AM$5:$AM$404,$AC116)),INDEX($AY$5:$AY$404,$AC116))))))</f>
        <v/>
      </c>
      <c r="B116" s="31" t="str">
        <f t="shared" si="28"/>
        <v/>
      </c>
      <c r="C116" s="8" t="str">
        <f t="shared" si="29"/>
        <v/>
      </c>
      <c r="D116" s="37" t="str">
        <f t="shared" si="30"/>
        <v/>
      </c>
      <c r="E116" s="31" t="str">
        <f t="shared" si="31"/>
        <v/>
      </c>
      <c r="F116" s="32" t="str">
        <f t="shared" si="32"/>
        <v/>
      </c>
      <c r="G116" s="32" t="str">
        <f t="shared" si="33"/>
        <v/>
      </c>
      <c r="H116" s="32" t="str">
        <f t="shared" si="34"/>
        <v/>
      </c>
      <c r="I116" s="32" t="str">
        <f t="shared" si="35"/>
        <v/>
      </c>
      <c r="J116" s="46" t="str">
        <f t="shared" si="36"/>
        <v/>
      </c>
      <c r="K116" s="32" t="str">
        <f t="shared" si="37"/>
        <v/>
      </c>
      <c r="L116" s="32" t="str">
        <f t="shared" si="38"/>
        <v/>
      </c>
      <c r="M116" s="32" t="str">
        <f t="shared" si="39"/>
        <v/>
      </c>
      <c r="N116" s="32" t="str">
        <f t="shared" si="40"/>
        <v/>
      </c>
      <c r="O116" s="32" t="str">
        <f t="shared" si="41"/>
        <v/>
      </c>
      <c r="Q116" t="str">
        <f>IFERROR(MATCH(112,บันทึกรายเที่ยว!$Z$6:$Z$10005,0),"")</f>
        <v/>
      </c>
      <c r="R116" t="str">
        <f>IF($Q116="","",INDEX(บันทึกรายเที่ยว!$V$6:$V$10005,$Q116))</f>
        <v/>
      </c>
      <c r="S116" t="str">
        <f>IF($Q116="","",INDEX(บันทึกรายเที่ยว!$F$6:$F$10005,$Q116))</f>
        <v/>
      </c>
      <c r="T116" t="str">
        <f>IF($Q116="","",MATCH($S116,บันทึกรายเที่ยว!$F$6:$F$10005,0))</f>
        <v/>
      </c>
      <c r="U116" t="str">
        <f>IF($Q116="","",$AL116*10000000+$T116*1000+112)</f>
        <v/>
      </c>
      <c r="V116" t="str">
        <f>IFERROR(MATCH(SMALL($U$5:$U$404,112),$U$5:$U$404,0),"")</f>
        <v/>
      </c>
      <c r="W116" t="str">
        <f t="shared" si="42"/>
        <v/>
      </c>
      <c r="X116" t="str">
        <f t="shared" si="43"/>
        <v/>
      </c>
      <c r="Y116" t="str">
        <f t="shared" si="44"/>
        <v/>
      </c>
      <c r="Z116">
        <f t="shared" si="54"/>
        <v>0</v>
      </c>
      <c r="AA116">
        <f t="shared" si="45"/>
        <v>0</v>
      </c>
      <c r="AB116">
        <f>IF($V116="",99999+112,$AB115+1+$Z115+$AA115+$AO115)</f>
        <v>100111</v>
      </c>
      <c r="AC116" t="str">
        <f>IFERROR(MATCH(112,$AB$5:$AB$404,1),"")</f>
        <v/>
      </c>
      <c r="AD116" t="str">
        <f>IF(112=$AI$1+1,"Z",IF($AC116="","",IF(INDEX($V$5:$V$404,$AC116)="","",IF(112&gt;INDEX($AB$5:$AB$404,$AC116)+INDEX($Z$5:$Z$404,$AC116)+INDEX($AA$5:$AA$404,$AC116)+INDEX($AO$5:$AO$404,$AC116),"",IF(112=INDEX($AB$5:$AB$404,$AC116)+INDEX($Z$5:$Z$404,$AC116),"D",IF(AND(INDEX($Z$5:$Z$404,$AC116)=1,112=INDEX($AB$5:$AB$404,$AC116)),"H",IF(AND(INDEX($AO$5:$AO$404,$AC116)=1,112=INDEX($AB$5:$AB$404,$AC116)+INDEX($Z$5:$Z$404,$AC116)+INDEX($AA$5:$AA$404,$AC116)+INDEX($AO$5:$AO$404,$AC116)),"B","T")))))))</f>
        <v/>
      </c>
      <c r="AF116" t="str">
        <f t="shared" si="46"/>
        <v/>
      </c>
      <c r="AJ116">
        <f>IF($AD116&lt;&gt;"T",0,ROUND(SUMIF(oil!$B$4:$B$63,$AF116,oil!$AE$4:$AE$63),2))</f>
        <v>0</v>
      </c>
      <c r="AK116" t="str">
        <f>IF($S116="","",IFERROR(INDEX(อัตราค่าขนส่ง!$R$5:$R$54,MATCH($S116,อัตราค่าขนส่ง!$Q$5:$Q$54,0)),INDEX(รายการมาตรฐาน!$G$2:$G$3,1)))</f>
        <v/>
      </c>
      <c r="AL116" t="str">
        <f>IF($S116="","",IFERROR(MATCH($AK116,รายการมาตรฐาน!$G$2:$G$3,0),1))</f>
        <v/>
      </c>
      <c r="AM116" t="str">
        <f t="shared" si="47"/>
        <v/>
      </c>
      <c r="AN116" t="str">
        <f t="shared" si="48"/>
        <v/>
      </c>
      <c r="AO116">
        <f t="shared" si="49"/>
        <v>0</v>
      </c>
      <c r="AP116">
        <f t="shared" si="55"/>
        <v>0</v>
      </c>
      <c r="AQ116" t="str">
        <f t="shared" si="50"/>
        <v/>
      </c>
      <c r="AR116">
        <f>IF($Y116="",0,COUNTIF(บันทึกรายเที่ยว!$V$6:$V$10005,$Y116))</f>
        <v>0</v>
      </c>
      <c r="AS116">
        <f>IF($Y116="",0,ROUND(SUMIF(บันทึกรายเที่ยว!$V$6:$V$10005,$Y116,บันทึกรายเที่ยว!$M$6:$M$10005),2))</f>
        <v>0</v>
      </c>
      <c r="AT116">
        <f>IF($Y116="",0,IFERROR(INDEX(อัตราค่าขนส่ง!$J$5:$J$204,MATCH($Y116,อัตราค่าขนส่ง!$O$5:$O$204,0)),0))</f>
        <v>0</v>
      </c>
      <c r="AU116">
        <f t="shared" si="51"/>
        <v>0</v>
      </c>
      <c r="AV116">
        <f t="shared" si="52"/>
        <v>0</v>
      </c>
      <c r="AW116" t="str">
        <f>IF($Y116="","",IFERROR(INDEX(อัตราค่าขนส่ง!$F$5:$F$204,MATCH($Y116,อัตราค่าขนส่ง!$O$5:$O$204,0)),""))</f>
        <v/>
      </c>
      <c r="AX116" t="str">
        <f>IF($W116="","",INDEX(บันทึกรายเที่ยว!$D$6:$D$10005,$W116))</f>
        <v/>
      </c>
      <c r="AY116" t="str">
        <f>IF($W116="","",INDEX(บันทึกรายเที่ยว!$R$6:$R$10005,$W116))</f>
        <v/>
      </c>
      <c r="AZ116">
        <f t="shared" si="53"/>
        <v>0</v>
      </c>
      <c r="BA116" t="str">
        <f>IF($W116="","",INDEX(บันทึกรายเที่ยว!$E$6:$E$10005,$W116))</f>
        <v/>
      </c>
      <c r="BC116">
        <f>IF($Y116="",0,IFERROR(INDEX(อัตราค่าขนส่ง!$M$5:$M$204,MATCH($Y116,อัตราค่าขนส่ง!$O$5:$O$204,0)),0))</f>
        <v>0</v>
      </c>
      <c r="BD116">
        <f>IF($Y116="",0,IFERROR(INDEX(อัตราค่าขนส่ง!$N$5:$N$204,MATCH($Y116,อัตราค่าขนส่ง!$O$5:$O$204,0)),0))</f>
        <v>0</v>
      </c>
    </row>
    <row r="117" spans="1:56" ht="21" customHeight="1" x14ac:dyDescent="0.95">
      <c r="A117" s="36" t="str">
        <f>IF($AD117="","",IF($AD117="Z","รวมจ่ายทั้งสิ้น",IF($AD117="H",INDEX($X$5:$X$404,$AC117),IF($AD117="T","รวม",IF($AD117="B",IFERROR(INDEX(อัตราค่าขนส่ง!$U$5:$U$14,MATCH(INDEX($AM$5:$AM$404,$AC117),อัตราค่าขนส่ง!$T$5:$T$14,0)),"รวมกลุ่ม "&amp;INDEX($AM$5:$AM$404,$AC117)),INDEX($AY$5:$AY$404,$AC117))))))</f>
        <v/>
      </c>
      <c r="B117" s="31" t="str">
        <f t="shared" si="28"/>
        <v/>
      </c>
      <c r="C117" s="8" t="str">
        <f t="shared" si="29"/>
        <v/>
      </c>
      <c r="D117" s="37" t="str">
        <f t="shared" si="30"/>
        <v/>
      </c>
      <c r="E117" s="31" t="str">
        <f t="shared" si="31"/>
        <v/>
      </c>
      <c r="F117" s="32" t="str">
        <f t="shared" si="32"/>
        <v/>
      </c>
      <c r="G117" s="32" t="str">
        <f t="shared" si="33"/>
        <v/>
      </c>
      <c r="H117" s="32" t="str">
        <f t="shared" si="34"/>
        <v/>
      </c>
      <c r="I117" s="32" t="str">
        <f t="shared" si="35"/>
        <v/>
      </c>
      <c r="J117" s="46" t="str">
        <f t="shared" si="36"/>
        <v/>
      </c>
      <c r="K117" s="32" t="str">
        <f t="shared" si="37"/>
        <v/>
      </c>
      <c r="L117" s="32" t="str">
        <f t="shared" si="38"/>
        <v/>
      </c>
      <c r="M117" s="32" t="str">
        <f t="shared" si="39"/>
        <v/>
      </c>
      <c r="N117" s="32" t="str">
        <f t="shared" si="40"/>
        <v/>
      </c>
      <c r="O117" s="32" t="str">
        <f t="shared" si="41"/>
        <v/>
      </c>
      <c r="Q117" t="str">
        <f>IFERROR(MATCH(113,บันทึกรายเที่ยว!$Z$6:$Z$10005,0),"")</f>
        <v/>
      </c>
      <c r="R117" t="str">
        <f>IF($Q117="","",INDEX(บันทึกรายเที่ยว!$V$6:$V$10005,$Q117))</f>
        <v/>
      </c>
      <c r="S117" t="str">
        <f>IF($Q117="","",INDEX(บันทึกรายเที่ยว!$F$6:$F$10005,$Q117))</f>
        <v/>
      </c>
      <c r="T117" t="str">
        <f>IF($Q117="","",MATCH($S117,บันทึกรายเที่ยว!$F$6:$F$10005,0))</f>
        <v/>
      </c>
      <c r="U117" t="str">
        <f>IF($Q117="","",$AL117*10000000+$T117*1000+113)</f>
        <v/>
      </c>
      <c r="V117" t="str">
        <f>IFERROR(MATCH(SMALL($U$5:$U$404,113),$U$5:$U$404,0),"")</f>
        <v/>
      </c>
      <c r="W117" t="str">
        <f t="shared" si="42"/>
        <v/>
      </c>
      <c r="X117" t="str">
        <f t="shared" si="43"/>
        <v/>
      </c>
      <c r="Y117" t="str">
        <f t="shared" si="44"/>
        <v/>
      </c>
      <c r="Z117">
        <f t="shared" si="54"/>
        <v>0</v>
      </c>
      <c r="AA117">
        <f t="shared" si="45"/>
        <v>0</v>
      </c>
      <c r="AB117">
        <f>IF($V117="",99999+113,$AB116+1+$Z116+$AA116+$AO116)</f>
        <v>100112</v>
      </c>
      <c r="AC117" t="str">
        <f>IFERROR(MATCH(113,$AB$5:$AB$404,1),"")</f>
        <v/>
      </c>
      <c r="AD117" t="str">
        <f>IF(113=$AI$1+1,"Z",IF($AC117="","",IF(INDEX($V$5:$V$404,$AC117)="","",IF(113&gt;INDEX($AB$5:$AB$404,$AC117)+INDEX($Z$5:$Z$404,$AC117)+INDEX($AA$5:$AA$404,$AC117)+INDEX($AO$5:$AO$404,$AC117),"",IF(113=INDEX($AB$5:$AB$404,$AC117)+INDEX($Z$5:$Z$404,$AC117),"D",IF(AND(INDEX($Z$5:$Z$404,$AC117)=1,113=INDEX($AB$5:$AB$404,$AC117)),"H",IF(AND(INDEX($AO$5:$AO$404,$AC117)=1,113=INDEX($AB$5:$AB$404,$AC117)+INDEX($Z$5:$Z$404,$AC117)+INDEX($AA$5:$AA$404,$AC117)+INDEX($AO$5:$AO$404,$AC117)),"B","T")))))))</f>
        <v/>
      </c>
      <c r="AF117" t="str">
        <f t="shared" si="46"/>
        <v/>
      </c>
      <c r="AJ117">
        <f>IF($AD117&lt;&gt;"T",0,ROUND(SUMIF(oil!$B$4:$B$63,$AF117,oil!$AE$4:$AE$63),2))</f>
        <v>0</v>
      </c>
      <c r="AK117" t="str">
        <f>IF($S117="","",IFERROR(INDEX(อัตราค่าขนส่ง!$R$5:$R$54,MATCH($S117,อัตราค่าขนส่ง!$Q$5:$Q$54,0)),INDEX(รายการมาตรฐาน!$G$2:$G$3,1)))</f>
        <v/>
      </c>
      <c r="AL117" t="str">
        <f>IF($S117="","",IFERROR(MATCH($AK117,รายการมาตรฐาน!$G$2:$G$3,0),1))</f>
        <v/>
      </c>
      <c r="AM117" t="str">
        <f t="shared" si="47"/>
        <v/>
      </c>
      <c r="AN117" t="str">
        <f t="shared" si="48"/>
        <v/>
      </c>
      <c r="AO117">
        <f t="shared" si="49"/>
        <v>0</v>
      </c>
      <c r="AP117">
        <f t="shared" si="55"/>
        <v>0</v>
      </c>
      <c r="AQ117" t="str">
        <f t="shared" si="50"/>
        <v/>
      </c>
      <c r="AR117">
        <f>IF($Y117="",0,COUNTIF(บันทึกรายเที่ยว!$V$6:$V$10005,$Y117))</f>
        <v>0</v>
      </c>
      <c r="AS117">
        <f>IF($Y117="",0,ROUND(SUMIF(บันทึกรายเที่ยว!$V$6:$V$10005,$Y117,บันทึกรายเที่ยว!$M$6:$M$10005),2))</f>
        <v>0</v>
      </c>
      <c r="AT117">
        <f>IF($Y117="",0,IFERROR(INDEX(อัตราค่าขนส่ง!$J$5:$J$204,MATCH($Y117,อัตราค่าขนส่ง!$O$5:$O$204,0)),0))</f>
        <v>0</v>
      </c>
      <c r="AU117">
        <f t="shared" si="51"/>
        <v>0</v>
      </c>
      <c r="AV117">
        <f t="shared" si="52"/>
        <v>0</v>
      </c>
      <c r="AW117" t="str">
        <f>IF($Y117="","",IFERROR(INDEX(อัตราค่าขนส่ง!$F$5:$F$204,MATCH($Y117,อัตราค่าขนส่ง!$O$5:$O$204,0)),""))</f>
        <v/>
      </c>
      <c r="AX117" t="str">
        <f>IF($W117="","",INDEX(บันทึกรายเที่ยว!$D$6:$D$10005,$W117))</f>
        <v/>
      </c>
      <c r="AY117" t="str">
        <f>IF($W117="","",INDEX(บันทึกรายเที่ยว!$R$6:$R$10005,$W117))</f>
        <v/>
      </c>
      <c r="AZ117">
        <f t="shared" si="53"/>
        <v>0</v>
      </c>
      <c r="BA117" t="str">
        <f>IF($W117="","",INDEX(บันทึกรายเที่ยว!$E$6:$E$10005,$W117))</f>
        <v/>
      </c>
      <c r="BC117">
        <f>IF($Y117="",0,IFERROR(INDEX(อัตราค่าขนส่ง!$M$5:$M$204,MATCH($Y117,อัตราค่าขนส่ง!$O$5:$O$204,0)),0))</f>
        <v>0</v>
      </c>
      <c r="BD117">
        <f>IF($Y117="",0,IFERROR(INDEX(อัตราค่าขนส่ง!$N$5:$N$204,MATCH($Y117,อัตราค่าขนส่ง!$O$5:$O$204,0)),0))</f>
        <v>0</v>
      </c>
    </row>
    <row r="118" spans="1:56" ht="21" customHeight="1" x14ac:dyDescent="0.95">
      <c r="A118" s="36" t="str">
        <f>IF($AD118="","",IF($AD118="Z","รวมจ่ายทั้งสิ้น",IF($AD118="H",INDEX($X$5:$X$404,$AC118),IF($AD118="T","รวม",IF($AD118="B",IFERROR(INDEX(อัตราค่าขนส่ง!$U$5:$U$14,MATCH(INDEX($AM$5:$AM$404,$AC118),อัตราค่าขนส่ง!$T$5:$T$14,0)),"รวมกลุ่ม "&amp;INDEX($AM$5:$AM$404,$AC118)),INDEX($AY$5:$AY$404,$AC118))))))</f>
        <v/>
      </c>
      <c r="B118" s="31" t="str">
        <f t="shared" si="28"/>
        <v/>
      </c>
      <c r="C118" s="8" t="str">
        <f t="shared" si="29"/>
        <v/>
      </c>
      <c r="D118" s="37" t="str">
        <f t="shared" si="30"/>
        <v/>
      </c>
      <c r="E118" s="31" t="str">
        <f t="shared" si="31"/>
        <v/>
      </c>
      <c r="F118" s="32" t="str">
        <f t="shared" si="32"/>
        <v/>
      </c>
      <c r="G118" s="32" t="str">
        <f t="shared" si="33"/>
        <v/>
      </c>
      <c r="H118" s="32" t="str">
        <f t="shared" si="34"/>
        <v/>
      </c>
      <c r="I118" s="32" t="str">
        <f t="shared" si="35"/>
        <v/>
      </c>
      <c r="J118" s="46" t="str">
        <f t="shared" si="36"/>
        <v/>
      </c>
      <c r="K118" s="32" t="str">
        <f t="shared" si="37"/>
        <v/>
      </c>
      <c r="L118" s="32" t="str">
        <f t="shared" si="38"/>
        <v/>
      </c>
      <c r="M118" s="32" t="str">
        <f t="shared" si="39"/>
        <v/>
      </c>
      <c r="N118" s="32" t="str">
        <f t="shared" si="40"/>
        <v/>
      </c>
      <c r="O118" s="32" t="str">
        <f t="shared" si="41"/>
        <v/>
      </c>
      <c r="Q118" t="str">
        <f>IFERROR(MATCH(114,บันทึกรายเที่ยว!$Z$6:$Z$10005,0),"")</f>
        <v/>
      </c>
      <c r="R118" t="str">
        <f>IF($Q118="","",INDEX(บันทึกรายเที่ยว!$V$6:$V$10005,$Q118))</f>
        <v/>
      </c>
      <c r="S118" t="str">
        <f>IF($Q118="","",INDEX(บันทึกรายเที่ยว!$F$6:$F$10005,$Q118))</f>
        <v/>
      </c>
      <c r="T118" t="str">
        <f>IF($Q118="","",MATCH($S118,บันทึกรายเที่ยว!$F$6:$F$10005,0))</f>
        <v/>
      </c>
      <c r="U118" t="str">
        <f>IF($Q118="","",$AL118*10000000+$T118*1000+114)</f>
        <v/>
      </c>
      <c r="V118" t="str">
        <f>IFERROR(MATCH(SMALL($U$5:$U$404,114),$U$5:$U$404,0),"")</f>
        <v/>
      </c>
      <c r="W118" t="str">
        <f t="shared" si="42"/>
        <v/>
      </c>
      <c r="X118" t="str">
        <f t="shared" si="43"/>
        <v/>
      </c>
      <c r="Y118" t="str">
        <f t="shared" si="44"/>
        <v/>
      </c>
      <c r="Z118">
        <f t="shared" si="54"/>
        <v>0</v>
      </c>
      <c r="AA118">
        <f t="shared" si="45"/>
        <v>0</v>
      </c>
      <c r="AB118">
        <f>IF($V118="",99999+114,$AB117+1+$Z117+$AA117+$AO117)</f>
        <v>100113</v>
      </c>
      <c r="AC118" t="str">
        <f>IFERROR(MATCH(114,$AB$5:$AB$404,1),"")</f>
        <v/>
      </c>
      <c r="AD118" t="str">
        <f>IF(114=$AI$1+1,"Z",IF($AC118="","",IF(INDEX($V$5:$V$404,$AC118)="","",IF(114&gt;INDEX($AB$5:$AB$404,$AC118)+INDEX($Z$5:$Z$404,$AC118)+INDEX($AA$5:$AA$404,$AC118)+INDEX($AO$5:$AO$404,$AC118),"",IF(114=INDEX($AB$5:$AB$404,$AC118)+INDEX($Z$5:$Z$404,$AC118),"D",IF(AND(INDEX($Z$5:$Z$404,$AC118)=1,114=INDEX($AB$5:$AB$404,$AC118)),"H",IF(AND(INDEX($AO$5:$AO$404,$AC118)=1,114=INDEX($AB$5:$AB$404,$AC118)+INDEX($Z$5:$Z$404,$AC118)+INDEX($AA$5:$AA$404,$AC118)+INDEX($AO$5:$AO$404,$AC118)),"B","T")))))))</f>
        <v/>
      </c>
      <c r="AF118" t="str">
        <f t="shared" si="46"/>
        <v/>
      </c>
      <c r="AJ118">
        <f>IF($AD118&lt;&gt;"T",0,ROUND(SUMIF(oil!$B$4:$B$63,$AF118,oil!$AE$4:$AE$63),2))</f>
        <v>0</v>
      </c>
      <c r="AK118" t="str">
        <f>IF($S118="","",IFERROR(INDEX(อัตราค่าขนส่ง!$R$5:$R$54,MATCH($S118,อัตราค่าขนส่ง!$Q$5:$Q$54,0)),INDEX(รายการมาตรฐาน!$G$2:$G$3,1)))</f>
        <v/>
      </c>
      <c r="AL118" t="str">
        <f>IF($S118="","",IFERROR(MATCH($AK118,รายการมาตรฐาน!$G$2:$G$3,0),1))</f>
        <v/>
      </c>
      <c r="AM118" t="str">
        <f t="shared" si="47"/>
        <v/>
      </c>
      <c r="AN118" t="str">
        <f t="shared" si="48"/>
        <v/>
      </c>
      <c r="AO118">
        <f t="shared" si="49"/>
        <v>0</v>
      </c>
      <c r="AP118">
        <f t="shared" si="55"/>
        <v>0</v>
      </c>
      <c r="AQ118" t="str">
        <f t="shared" si="50"/>
        <v/>
      </c>
      <c r="AR118">
        <f>IF($Y118="",0,COUNTIF(บันทึกรายเที่ยว!$V$6:$V$10005,$Y118))</f>
        <v>0</v>
      </c>
      <c r="AS118">
        <f>IF($Y118="",0,ROUND(SUMIF(บันทึกรายเที่ยว!$V$6:$V$10005,$Y118,บันทึกรายเที่ยว!$M$6:$M$10005),2))</f>
        <v>0</v>
      </c>
      <c r="AT118">
        <f>IF($Y118="",0,IFERROR(INDEX(อัตราค่าขนส่ง!$J$5:$J$204,MATCH($Y118,อัตราค่าขนส่ง!$O$5:$O$204,0)),0))</f>
        <v>0</v>
      </c>
      <c r="AU118">
        <f t="shared" si="51"/>
        <v>0</v>
      </c>
      <c r="AV118">
        <f t="shared" si="52"/>
        <v>0</v>
      </c>
      <c r="AW118" t="str">
        <f>IF($Y118="","",IFERROR(INDEX(อัตราค่าขนส่ง!$F$5:$F$204,MATCH($Y118,อัตราค่าขนส่ง!$O$5:$O$204,0)),""))</f>
        <v/>
      </c>
      <c r="AX118" t="str">
        <f>IF($W118="","",INDEX(บันทึกรายเที่ยว!$D$6:$D$10005,$W118))</f>
        <v/>
      </c>
      <c r="AY118" t="str">
        <f>IF($W118="","",INDEX(บันทึกรายเที่ยว!$R$6:$R$10005,$W118))</f>
        <v/>
      </c>
      <c r="AZ118">
        <f t="shared" si="53"/>
        <v>0</v>
      </c>
      <c r="BA118" t="str">
        <f>IF($W118="","",INDEX(บันทึกรายเที่ยว!$E$6:$E$10005,$W118))</f>
        <v/>
      </c>
      <c r="BC118">
        <f>IF($Y118="",0,IFERROR(INDEX(อัตราค่าขนส่ง!$M$5:$M$204,MATCH($Y118,อัตราค่าขนส่ง!$O$5:$O$204,0)),0))</f>
        <v>0</v>
      </c>
      <c r="BD118">
        <f>IF($Y118="",0,IFERROR(INDEX(อัตราค่าขนส่ง!$N$5:$N$204,MATCH($Y118,อัตราค่าขนส่ง!$O$5:$O$204,0)),0))</f>
        <v>0</v>
      </c>
    </row>
    <row r="119" spans="1:56" ht="21" customHeight="1" x14ac:dyDescent="0.95">
      <c r="A119" s="36" t="str">
        <f>IF($AD119="","",IF($AD119="Z","รวมจ่ายทั้งสิ้น",IF($AD119="H",INDEX($X$5:$X$404,$AC119),IF($AD119="T","รวม",IF($AD119="B",IFERROR(INDEX(อัตราค่าขนส่ง!$U$5:$U$14,MATCH(INDEX($AM$5:$AM$404,$AC119),อัตราค่าขนส่ง!$T$5:$T$14,0)),"รวมกลุ่ม "&amp;INDEX($AM$5:$AM$404,$AC119)),INDEX($AY$5:$AY$404,$AC119))))))</f>
        <v/>
      </c>
      <c r="B119" s="31" t="str">
        <f t="shared" si="28"/>
        <v/>
      </c>
      <c r="C119" s="8" t="str">
        <f t="shared" si="29"/>
        <v/>
      </c>
      <c r="D119" s="37" t="str">
        <f t="shared" si="30"/>
        <v/>
      </c>
      <c r="E119" s="31" t="str">
        <f t="shared" si="31"/>
        <v/>
      </c>
      <c r="F119" s="32" t="str">
        <f t="shared" si="32"/>
        <v/>
      </c>
      <c r="G119" s="32" t="str">
        <f t="shared" si="33"/>
        <v/>
      </c>
      <c r="H119" s="32" t="str">
        <f t="shared" si="34"/>
        <v/>
      </c>
      <c r="I119" s="32" t="str">
        <f t="shared" si="35"/>
        <v/>
      </c>
      <c r="J119" s="46" t="str">
        <f t="shared" si="36"/>
        <v/>
      </c>
      <c r="K119" s="32" t="str">
        <f t="shared" si="37"/>
        <v/>
      </c>
      <c r="L119" s="32" t="str">
        <f t="shared" si="38"/>
        <v/>
      </c>
      <c r="M119" s="32" t="str">
        <f t="shared" si="39"/>
        <v/>
      </c>
      <c r="N119" s="32" t="str">
        <f t="shared" si="40"/>
        <v/>
      </c>
      <c r="O119" s="32" t="str">
        <f t="shared" si="41"/>
        <v/>
      </c>
      <c r="Q119" t="str">
        <f>IFERROR(MATCH(115,บันทึกรายเที่ยว!$Z$6:$Z$10005,0),"")</f>
        <v/>
      </c>
      <c r="R119" t="str">
        <f>IF($Q119="","",INDEX(บันทึกรายเที่ยว!$V$6:$V$10005,$Q119))</f>
        <v/>
      </c>
      <c r="S119" t="str">
        <f>IF($Q119="","",INDEX(บันทึกรายเที่ยว!$F$6:$F$10005,$Q119))</f>
        <v/>
      </c>
      <c r="T119" t="str">
        <f>IF($Q119="","",MATCH($S119,บันทึกรายเที่ยว!$F$6:$F$10005,0))</f>
        <v/>
      </c>
      <c r="U119" t="str">
        <f>IF($Q119="","",$AL119*10000000+$T119*1000+115)</f>
        <v/>
      </c>
      <c r="V119" t="str">
        <f>IFERROR(MATCH(SMALL($U$5:$U$404,115),$U$5:$U$404,0),"")</f>
        <v/>
      </c>
      <c r="W119" t="str">
        <f t="shared" si="42"/>
        <v/>
      </c>
      <c r="X119" t="str">
        <f t="shared" si="43"/>
        <v/>
      </c>
      <c r="Y119" t="str">
        <f t="shared" si="44"/>
        <v/>
      </c>
      <c r="Z119">
        <f t="shared" si="54"/>
        <v>0</v>
      </c>
      <c r="AA119">
        <f t="shared" si="45"/>
        <v>0</v>
      </c>
      <c r="AB119">
        <f>IF($V119="",99999+115,$AB118+1+$Z118+$AA118+$AO118)</f>
        <v>100114</v>
      </c>
      <c r="AC119" t="str">
        <f>IFERROR(MATCH(115,$AB$5:$AB$404,1),"")</f>
        <v/>
      </c>
      <c r="AD119" t="str">
        <f>IF(115=$AI$1+1,"Z",IF($AC119="","",IF(INDEX($V$5:$V$404,$AC119)="","",IF(115&gt;INDEX($AB$5:$AB$404,$AC119)+INDEX($Z$5:$Z$404,$AC119)+INDEX($AA$5:$AA$404,$AC119)+INDEX($AO$5:$AO$404,$AC119),"",IF(115=INDEX($AB$5:$AB$404,$AC119)+INDEX($Z$5:$Z$404,$AC119),"D",IF(AND(INDEX($Z$5:$Z$404,$AC119)=1,115=INDEX($AB$5:$AB$404,$AC119)),"H",IF(AND(INDEX($AO$5:$AO$404,$AC119)=1,115=INDEX($AB$5:$AB$404,$AC119)+INDEX($Z$5:$Z$404,$AC119)+INDEX($AA$5:$AA$404,$AC119)+INDEX($AO$5:$AO$404,$AC119)),"B","T")))))))</f>
        <v/>
      </c>
      <c r="AF119" t="str">
        <f t="shared" si="46"/>
        <v/>
      </c>
      <c r="AJ119">
        <f>IF($AD119&lt;&gt;"T",0,ROUND(SUMIF(oil!$B$4:$B$63,$AF119,oil!$AE$4:$AE$63),2))</f>
        <v>0</v>
      </c>
      <c r="AK119" t="str">
        <f>IF($S119="","",IFERROR(INDEX(อัตราค่าขนส่ง!$R$5:$R$54,MATCH($S119,อัตราค่าขนส่ง!$Q$5:$Q$54,0)),INDEX(รายการมาตรฐาน!$G$2:$G$3,1)))</f>
        <v/>
      </c>
      <c r="AL119" t="str">
        <f>IF($S119="","",IFERROR(MATCH($AK119,รายการมาตรฐาน!$G$2:$G$3,0),1))</f>
        <v/>
      </c>
      <c r="AM119" t="str">
        <f t="shared" si="47"/>
        <v/>
      </c>
      <c r="AN119" t="str">
        <f t="shared" si="48"/>
        <v/>
      </c>
      <c r="AO119">
        <f t="shared" si="49"/>
        <v>0</v>
      </c>
      <c r="AP119">
        <f t="shared" si="55"/>
        <v>0</v>
      </c>
      <c r="AQ119" t="str">
        <f t="shared" si="50"/>
        <v/>
      </c>
      <c r="AR119">
        <f>IF($Y119="",0,COUNTIF(บันทึกรายเที่ยว!$V$6:$V$10005,$Y119))</f>
        <v>0</v>
      </c>
      <c r="AS119">
        <f>IF($Y119="",0,ROUND(SUMIF(บันทึกรายเที่ยว!$V$6:$V$10005,$Y119,บันทึกรายเที่ยว!$M$6:$M$10005),2))</f>
        <v>0</v>
      </c>
      <c r="AT119">
        <f>IF($Y119="",0,IFERROR(INDEX(อัตราค่าขนส่ง!$J$5:$J$204,MATCH($Y119,อัตราค่าขนส่ง!$O$5:$O$204,0)),0))</f>
        <v>0</v>
      </c>
      <c r="AU119">
        <f t="shared" si="51"/>
        <v>0</v>
      </c>
      <c r="AV119">
        <f t="shared" si="52"/>
        <v>0</v>
      </c>
      <c r="AW119" t="str">
        <f>IF($Y119="","",IFERROR(INDEX(อัตราค่าขนส่ง!$F$5:$F$204,MATCH($Y119,อัตราค่าขนส่ง!$O$5:$O$204,0)),""))</f>
        <v/>
      </c>
      <c r="AX119" t="str">
        <f>IF($W119="","",INDEX(บันทึกรายเที่ยว!$D$6:$D$10005,$W119))</f>
        <v/>
      </c>
      <c r="AY119" t="str">
        <f>IF($W119="","",INDEX(บันทึกรายเที่ยว!$R$6:$R$10005,$W119))</f>
        <v/>
      </c>
      <c r="AZ119">
        <f t="shared" si="53"/>
        <v>0</v>
      </c>
      <c r="BA119" t="str">
        <f>IF($W119="","",INDEX(บันทึกรายเที่ยว!$E$6:$E$10005,$W119))</f>
        <v/>
      </c>
      <c r="BC119">
        <f>IF($Y119="",0,IFERROR(INDEX(อัตราค่าขนส่ง!$M$5:$M$204,MATCH($Y119,อัตราค่าขนส่ง!$O$5:$O$204,0)),0))</f>
        <v>0</v>
      </c>
      <c r="BD119">
        <f>IF($Y119="",0,IFERROR(INDEX(อัตราค่าขนส่ง!$N$5:$N$204,MATCH($Y119,อัตราค่าขนส่ง!$O$5:$O$204,0)),0))</f>
        <v>0</v>
      </c>
    </row>
    <row r="120" spans="1:56" ht="21" customHeight="1" x14ac:dyDescent="0.95">
      <c r="A120" s="36" t="str">
        <f>IF($AD120="","",IF($AD120="Z","รวมจ่ายทั้งสิ้น",IF($AD120="H",INDEX($X$5:$X$404,$AC120),IF($AD120="T","รวม",IF($AD120="B",IFERROR(INDEX(อัตราค่าขนส่ง!$U$5:$U$14,MATCH(INDEX($AM$5:$AM$404,$AC120),อัตราค่าขนส่ง!$T$5:$T$14,0)),"รวมกลุ่ม "&amp;INDEX($AM$5:$AM$404,$AC120)),INDEX($AY$5:$AY$404,$AC120))))))</f>
        <v/>
      </c>
      <c r="B120" s="31" t="str">
        <f t="shared" si="28"/>
        <v/>
      </c>
      <c r="C120" s="8" t="str">
        <f t="shared" si="29"/>
        <v/>
      </c>
      <c r="D120" s="37" t="str">
        <f t="shared" si="30"/>
        <v/>
      </c>
      <c r="E120" s="31" t="str">
        <f t="shared" si="31"/>
        <v/>
      </c>
      <c r="F120" s="32" t="str">
        <f t="shared" si="32"/>
        <v/>
      </c>
      <c r="G120" s="32" t="str">
        <f t="shared" si="33"/>
        <v/>
      </c>
      <c r="H120" s="32" t="str">
        <f t="shared" si="34"/>
        <v/>
      </c>
      <c r="I120" s="32" t="str">
        <f t="shared" si="35"/>
        <v/>
      </c>
      <c r="J120" s="46" t="str">
        <f t="shared" si="36"/>
        <v/>
      </c>
      <c r="K120" s="32" t="str">
        <f t="shared" si="37"/>
        <v/>
      </c>
      <c r="L120" s="32" t="str">
        <f t="shared" si="38"/>
        <v/>
      </c>
      <c r="M120" s="32" t="str">
        <f t="shared" si="39"/>
        <v/>
      </c>
      <c r="N120" s="32" t="str">
        <f t="shared" si="40"/>
        <v/>
      </c>
      <c r="O120" s="32" t="str">
        <f t="shared" si="41"/>
        <v/>
      </c>
      <c r="Q120" t="str">
        <f>IFERROR(MATCH(116,บันทึกรายเที่ยว!$Z$6:$Z$10005,0),"")</f>
        <v/>
      </c>
      <c r="R120" t="str">
        <f>IF($Q120="","",INDEX(บันทึกรายเที่ยว!$V$6:$V$10005,$Q120))</f>
        <v/>
      </c>
      <c r="S120" t="str">
        <f>IF($Q120="","",INDEX(บันทึกรายเที่ยว!$F$6:$F$10005,$Q120))</f>
        <v/>
      </c>
      <c r="T120" t="str">
        <f>IF($Q120="","",MATCH($S120,บันทึกรายเที่ยว!$F$6:$F$10005,0))</f>
        <v/>
      </c>
      <c r="U120" t="str">
        <f>IF($Q120="","",$AL120*10000000+$T120*1000+116)</f>
        <v/>
      </c>
      <c r="V120" t="str">
        <f>IFERROR(MATCH(SMALL($U$5:$U$404,116),$U$5:$U$404,0),"")</f>
        <v/>
      </c>
      <c r="W120" t="str">
        <f t="shared" si="42"/>
        <v/>
      </c>
      <c r="X120" t="str">
        <f t="shared" si="43"/>
        <v/>
      </c>
      <c r="Y120" t="str">
        <f t="shared" si="44"/>
        <v/>
      </c>
      <c r="Z120">
        <f t="shared" si="54"/>
        <v>0</v>
      </c>
      <c r="AA120">
        <f t="shared" si="45"/>
        <v>0</v>
      </c>
      <c r="AB120">
        <f>IF($V120="",99999+116,$AB119+1+$Z119+$AA119+$AO119)</f>
        <v>100115</v>
      </c>
      <c r="AC120" t="str">
        <f>IFERROR(MATCH(116,$AB$5:$AB$404,1),"")</f>
        <v/>
      </c>
      <c r="AD120" t="str">
        <f>IF(116=$AI$1+1,"Z",IF($AC120="","",IF(INDEX($V$5:$V$404,$AC120)="","",IF(116&gt;INDEX($AB$5:$AB$404,$AC120)+INDEX($Z$5:$Z$404,$AC120)+INDEX($AA$5:$AA$404,$AC120)+INDEX($AO$5:$AO$404,$AC120),"",IF(116=INDEX($AB$5:$AB$404,$AC120)+INDEX($Z$5:$Z$404,$AC120),"D",IF(AND(INDEX($Z$5:$Z$404,$AC120)=1,116=INDEX($AB$5:$AB$404,$AC120)),"H",IF(AND(INDEX($AO$5:$AO$404,$AC120)=1,116=INDEX($AB$5:$AB$404,$AC120)+INDEX($Z$5:$Z$404,$AC120)+INDEX($AA$5:$AA$404,$AC120)+INDEX($AO$5:$AO$404,$AC120)),"B","T")))))))</f>
        <v/>
      </c>
      <c r="AF120" t="str">
        <f t="shared" si="46"/>
        <v/>
      </c>
      <c r="AJ120">
        <f>IF($AD120&lt;&gt;"T",0,ROUND(SUMIF(oil!$B$4:$B$63,$AF120,oil!$AE$4:$AE$63),2))</f>
        <v>0</v>
      </c>
      <c r="AK120" t="str">
        <f>IF($S120="","",IFERROR(INDEX(อัตราค่าขนส่ง!$R$5:$R$54,MATCH($S120,อัตราค่าขนส่ง!$Q$5:$Q$54,0)),INDEX(รายการมาตรฐาน!$G$2:$G$3,1)))</f>
        <v/>
      </c>
      <c r="AL120" t="str">
        <f>IF($S120="","",IFERROR(MATCH($AK120,รายการมาตรฐาน!$G$2:$G$3,0),1))</f>
        <v/>
      </c>
      <c r="AM120" t="str">
        <f t="shared" si="47"/>
        <v/>
      </c>
      <c r="AN120" t="str">
        <f t="shared" si="48"/>
        <v/>
      </c>
      <c r="AO120">
        <f t="shared" si="49"/>
        <v>0</v>
      </c>
      <c r="AP120">
        <f t="shared" si="55"/>
        <v>0</v>
      </c>
      <c r="AQ120" t="str">
        <f t="shared" si="50"/>
        <v/>
      </c>
      <c r="AR120">
        <f>IF($Y120="",0,COUNTIF(บันทึกรายเที่ยว!$V$6:$V$10005,$Y120))</f>
        <v>0</v>
      </c>
      <c r="AS120">
        <f>IF($Y120="",0,ROUND(SUMIF(บันทึกรายเที่ยว!$V$6:$V$10005,$Y120,บันทึกรายเที่ยว!$M$6:$M$10005),2))</f>
        <v>0</v>
      </c>
      <c r="AT120">
        <f>IF($Y120="",0,IFERROR(INDEX(อัตราค่าขนส่ง!$J$5:$J$204,MATCH($Y120,อัตราค่าขนส่ง!$O$5:$O$204,0)),0))</f>
        <v>0</v>
      </c>
      <c r="AU120">
        <f t="shared" si="51"/>
        <v>0</v>
      </c>
      <c r="AV120">
        <f t="shared" si="52"/>
        <v>0</v>
      </c>
      <c r="AW120" t="str">
        <f>IF($Y120="","",IFERROR(INDEX(อัตราค่าขนส่ง!$F$5:$F$204,MATCH($Y120,อัตราค่าขนส่ง!$O$5:$O$204,0)),""))</f>
        <v/>
      </c>
      <c r="AX120" t="str">
        <f>IF($W120="","",INDEX(บันทึกรายเที่ยว!$D$6:$D$10005,$W120))</f>
        <v/>
      </c>
      <c r="AY120" t="str">
        <f>IF($W120="","",INDEX(บันทึกรายเที่ยว!$R$6:$R$10005,$W120))</f>
        <v/>
      </c>
      <c r="AZ120">
        <f t="shared" si="53"/>
        <v>0</v>
      </c>
      <c r="BA120" t="str">
        <f>IF($W120="","",INDEX(บันทึกรายเที่ยว!$E$6:$E$10005,$W120))</f>
        <v/>
      </c>
      <c r="BC120">
        <f>IF($Y120="",0,IFERROR(INDEX(อัตราค่าขนส่ง!$M$5:$M$204,MATCH($Y120,อัตราค่าขนส่ง!$O$5:$O$204,0)),0))</f>
        <v>0</v>
      </c>
      <c r="BD120">
        <f>IF($Y120="",0,IFERROR(INDEX(อัตราค่าขนส่ง!$N$5:$N$204,MATCH($Y120,อัตราค่าขนส่ง!$O$5:$O$204,0)),0))</f>
        <v>0</v>
      </c>
    </row>
    <row r="121" spans="1:56" ht="21" customHeight="1" x14ac:dyDescent="0.95">
      <c r="A121" s="36" t="str">
        <f>IF($AD121="","",IF($AD121="Z","รวมจ่ายทั้งสิ้น",IF($AD121="H",INDEX($X$5:$X$404,$AC121),IF($AD121="T","รวม",IF($AD121="B",IFERROR(INDEX(อัตราค่าขนส่ง!$U$5:$U$14,MATCH(INDEX($AM$5:$AM$404,$AC121),อัตราค่าขนส่ง!$T$5:$T$14,0)),"รวมกลุ่ม "&amp;INDEX($AM$5:$AM$404,$AC121)),INDEX($AY$5:$AY$404,$AC121))))))</f>
        <v/>
      </c>
      <c r="B121" s="31" t="str">
        <f t="shared" si="28"/>
        <v/>
      </c>
      <c r="C121" s="8" t="str">
        <f t="shared" si="29"/>
        <v/>
      </c>
      <c r="D121" s="37" t="str">
        <f t="shared" si="30"/>
        <v/>
      </c>
      <c r="E121" s="31" t="str">
        <f t="shared" si="31"/>
        <v/>
      </c>
      <c r="F121" s="32" t="str">
        <f t="shared" si="32"/>
        <v/>
      </c>
      <c r="G121" s="32" t="str">
        <f t="shared" si="33"/>
        <v/>
      </c>
      <c r="H121" s="32" t="str">
        <f t="shared" si="34"/>
        <v/>
      </c>
      <c r="I121" s="32" t="str">
        <f t="shared" si="35"/>
        <v/>
      </c>
      <c r="J121" s="46" t="str">
        <f t="shared" si="36"/>
        <v/>
      </c>
      <c r="K121" s="32" t="str">
        <f t="shared" si="37"/>
        <v/>
      </c>
      <c r="L121" s="32" t="str">
        <f t="shared" si="38"/>
        <v/>
      </c>
      <c r="M121" s="32" t="str">
        <f t="shared" si="39"/>
        <v/>
      </c>
      <c r="N121" s="32" t="str">
        <f t="shared" si="40"/>
        <v/>
      </c>
      <c r="O121" s="32" t="str">
        <f t="shared" si="41"/>
        <v/>
      </c>
      <c r="Q121" t="str">
        <f>IFERROR(MATCH(117,บันทึกรายเที่ยว!$Z$6:$Z$10005,0),"")</f>
        <v/>
      </c>
      <c r="R121" t="str">
        <f>IF($Q121="","",INDEX(บันทึกรายเที่ยว!$V$6:$V$10005,$Q121))</f>
        <v/>
      </c>
      <c r="S121" t="str">
        <f>IF($Q121="","",INDEX(บันทึกรายเที่ยว!$F$6:$F$10005,$Q121))</f>
        <v/>
      </c>
      <c r="T121" t="str">
        <f>IF($Q121="","",MATCH($S121,บันทึกรายเที่ยว!$F$6:$F$10005,0))</f>
        <v/>
      </c>
      <c r="U121" t="str">
        <f>IF($Q121="","",$AL121*10000000+$T121*1000+117)</f>
        <v/>
      </c>
      <c r="V121" t="str">
        <f>IFERROR(MATCH(SMALL($U$5:$U$404,117),$U$5:$U$404,0),"")</f>
        <v/>
      </c>
      <c r="W121" t="str">
        <f t="shared" si="42"/>
        <v/>
      </c>
      <c r="X121" t="str">
        <f t="shared" si="43"/>
        <v/>
      </c>
      <c r="Y121" t="str">
        <f t="shared" si="44"/>
        <v/>
      </c>
      <c r="Z121">
        <f t="shared" si="54"/>
        <v>0</v>
      </c>
      <c r="AA121">
        <f t="shared" si="45"/>
        <v>0</v>
      </c>
      <c r="AB121">
        <f>IF($V121="",99999+117,$AB120+1+$Z120+$AA120+$AO120)</f>
        <v>100116</v>
      </c>
      <c r="AC121" t="str">
        <f>IFERROR(MATCH(117,$AB$5:$AB$404,1),"")</f>
        <v/>
      </c>
      <c r="AD121" t="str">
        <f>IF(117=$AI$1+1,"Z",IF($AC121="","",IF(INDEX($V$5:$V$404,$AC121)="","",IF(117&gt;INDEX($AB$5:$AB$404,$AC121)+INDEX($Z$5:$Z$404,$AC121)+INDEX($AA$5:$AA$404,$AC121)+INDEX($AO$5:$AO$404,$AC121),"",IF(117=INDEX($AB$5:$AB$404,$AC121)+INDEX($Z$5:$Z$404,$AC121),"D",IF(AND(INDEX($Z$5:$Z$404,$AC121)=1,117=INDEX($AB$5:$AB$404,$AC121)),"H",IF(AND(INDEX($AO$5:$AO$404,$AC121)=1,117=INDEX($AB$5:$AB$404,$AC121)+INDEX($Z$5:$Z$404,$AC121)+INDEX($AA$5:$AA$404,$AC121)+INDEX($AO$5:$AO$404,$AC121)),"B","T")))))))</f>
        <v/>
      </c>
      <c r="AF121" t="str">
        <f t="shared" si="46"/>
        <v/>
      </c>
      <c r="AJ121">
        <f>IF($AD121&lt;&gt;"T",0,ROUND(SUMIF(oil!$B$4:$B$63,$AF121,oil!$AE$4:$AE$63),2))</f>
        <v>0</v>
      </c>
      <c r="AK121" t="str">
        <f>IF($S121="","",IFERROR(INDEX(อัตราค่าขนส่ง!$R$5:$R$54,MATCH($S121,อัตราค่าขนส่ง!$Q$5:$Q$54,0)),INDEX(รายการมาตรฐาน!$G$2:$G$3,1)))</f>
        <v/>
      </c>
      <c r="AL121" t="str">
        <f>IF($S121="","",IFERROR(MATCH($AK121,รายการมาตรฐาน!$G$2:$G$3,0),1))</f>
        <v/>
      </c>
      <c r="AM121" t="str">
        <f t="shared" si="47"/>
        <v/>
      </c>
      <c r="AN121" t="str">
        <f t="shared" si="48"/>
        <v/>
      </c>
      <c r="AO121">
        <f t="shared" si="49"/>
        <v>0</v>
      </c>
      <c r="AP121">
        <f t="shared" si="55"/>
        <v>0</v>
      </c>
      <c r="AQ121" t="str">
        <f t="shared" si="50"/>
        <v/>
      </c>
      <c r="AR121">
        <f>IF($Y121="",0,COUNTIF(บันทึกรายเที่ยว!$V$6:$V$10005,$Y121))</f>
        <v>0</v>
      </c>
      <c r="AS121">
        <f>IF($Y121="",0,ROUND(SUMIF(บันทึกรายเที่ยว!$V$6:$V$10005,$Y121,บันทึกรายเที่ยว!$M$6:$M$10005),2))</f>
        <v>0</v>
      </c>
      <c r="AT121">
        <f>IF($Y121="",0,IFERROR(INDEX(อัตราค่าขนส่ง!$J$5:$J$204,MATCH($Y121,อัตราค่าขนส่ง!$O$5:$O$204,0)),0))</f>
        <v>0</v>
      </c>
      <c r="AU121">
        <f t="shared" si="51"/>
        <v>0</v>
      </c>
      <c r="AV121">
        <f t="shared" si="52"/>
        <v>0</v>
      </c>
      <c r="AW121" t="str">
        <f>IF($Y121="","",IFERROR(INDEX(อัตราค่าขนส่ง!$F$5:$F$204,MATCH($Y121,อัตราค่าขนส่ง!$O$5:$O$204,0)),""))</f>
        <v/>
      </c>
      <c r="AX121" t="str">
        <f>IF($W121="","",INDEX(บันทึกรายเที่ยว!$D$6:$D$10005,$W121))</f>
        <v/>
      </c>
      <c r="AY121" t="str">
        <f>IF($W121="","",INDEX(บันทึกรายเที่ยว!$R$6:$R$10005,$W121))</f>
        <v/>
      </c>
      <c r="AZ121">
        <f t="shared" si="53"/>
        <v>0</v>
      </c>
      <c r="BA121" t="str">
        <f>IF($W121="","",INDEX(บันทึกรายเที่ยว!$E$6:$E$10005,$W121))</f>
        <v/>
      </c>
      <c r="BC121">
        <f>IF($Y121="",0,IFERROR(INDEX(อัตราค่าขนส่ง!$M$5:$M$204,MATCH($Y121,อัตราค่าขนส่ง!$O$5:$O$204,0)),0))</f>
        <v>0</v>
      </c>
      <c r="BD121">
        <f>IF($Y121="",0,IFERROR(INDEX(อัตราค่าขนส่ง!$N$5:$N$204,MATCH($Y121,อัตราค่าขนส่ง!$O$5:$O$204,0)),0))</f>
        <v>0</v>
      </c>
    </row>
    <row r="122" spans="1:56" ht="21" customHeight="1" x14ac:dyDescent="0.95">
      <c r="A122" s="36" t="str">
        <f>IF($AD122="","",IF($AD122="Z","รวมจ่ายทั้งสิ้น",IF($AD122="H",INDEX($X$5:$X$404,$AC122),IF($AD122="T","รวม",IF($AD122="B",IFERROR(INDEX(อัตราค่าขนส่ง!$U$5:$U$14,MATCH(INDEX($AM$5:$AM$404,$AC122),อัตราค่าขนส่ง!$T$5:$T$14,0)),"รวมกลุ่ม "&amp;INDEX($AM$5:$AM$404,$AC122)),INDEX($AY$5:$AY$404,$AC122))))))</f>
        <v/>
      </c>
      <c r="B122" s="31" t="str">
        <f t="shared" si="28"/>
        <v/>
      </c>
      <c r="C122" s="8" t="str">
        <f t="shared" si="29"/>
        <v/>
      </c>
      <c r="D122" s="37" t="str">
        <f t="shared" si="30"/>
        <v/>
      </c>
      <c r="E122" s="31" t="str">
        <f t="shared" si="31"/>
        <v/>
      </c>
      <c r="F122" s="32" t="str">
        <f t="shared" si="32"/>
        <v/>
      </c>
      <c r="G122" s="32" t="str">
        <f t="shared" si="33"/>
        <v/>
      </c>
      <c r="H122" s="32" t="str">
        <f t="shared" si="34"/>
        <v/>
      </c>
      <c r="I122" s="32" t="str">
        <f t="shared" si="35"/>
        <v/>
      </c>
      <c r="J122" s="46" t="str">
        <f t="shared" si="36"/>
        <v/>
      </c>
      <c r="K122" s="32" t="str">
        <f t="shared" si="37"/>
        <v/>
      </c>
      <c r="L122" s="32" t="str">
        <f t="shared" si="38"/>
        <v/>
      </c>
      <c r="M122" s="32" t="str">
        <f t="shared" si="39"/>
        <v/>
      </c>
      <c r="N122" s="32" t="str">
        <f t="shared" si="40"/>
        <v/>
      </c>
      <c r="O122" s="32" t="str">
        <f t="shared" si="41"/>
        <v/>
      </c>
      <c r="Q122" t="str">
        <f>IFERROR(MATCH(118,บันทึกรายเที่ยว!$Z$6:$Z$10005,0),"")</f>
        <v/>
      </c>
      <c r="R122" t="str">
        <f>IF($Q122="","",INDEX(บันทึกรายเที่ยว!$V$6:$V$10005,$Q122))</f>
        <v/>
      </c>
      <c r="S122" t="str">
        <f>IF($Q122="","",INDEX(บันทึกรายเที่ยว!$F$6:$F$10005,$Q122))</f>
        <v/>
      </c>
      <c r="T122" t="str">
        <f>IF($Q122="","",MATCH($S122,บันทึกรายเที่ยว!$F$6:$F$10005,0))</f>
        <v/>
      </c>
      <c r="U122" t="str">
        <f>IF($Q122="","",$AL122*10000000+$T122*1000+118)</f>
        <v/>
      </c>
      <c r="V122" t="str">
        <f>IFERROR(MATCH(SMALL($U$5:$U$404,118),$U$5:$U$404,0),"")</f>
        <v/>
      </c>
      <c r="W122" t="str">
        <f t="shared" si="42"/>
        <v/>
      </c>
      <c r="X122" t="str">
        <f t="shared" si="43"/>
        <v/>
      </c>
      <c r="Y122" t="str">
        <f t="shared" si="44"/>
        <v/>
      </c>
      <c r="Z122">
        <f t="shared" si="54"/>
        <v>0</v>
      </c>
      <c r="AA122">
        <f t="shared" si="45"/>
        <v>0</v>
      </c>
      <c r="AB122">
        <f>IF($V122="",99999+118,$AB121+1+$Z121+$AA121+$AO121)</f>
        <v>100117</v>
      </c>
      <c r="AC122" t="str">
        <f>IFERROR(MATCH(118,$AB$5:$AB$404,1),"")</f>
        <v/>
      </c>
      <c r="AD122" t="str">
        <f>IF(118=$AI$1+1,"Z",IF($AC122="","",IF(INDEX($V$5:$V$404,$AC122)="","",IF(118&gt;INDEX($AB$5:$AB$404,$AC122)+INDEX($Z$5:$Z$404,$AC122)+INDEX($AA$5:$AA$404,$AC122)+INDEX($AO$5:$AO$404,$AC122),"",IF(118=INDEX($AB$5:$AB$404,$AC122)+INDEX($Z$5:$Z$404,$AC122),"D",IF(AND(INDEX($Z$5:$Z$404,$AC122)=1,118=INDEX($AB$5:$AB$404,$AC122)),"H",IF(AND(INDEX($AO$5:$AO$404,$AC122)=1,118=INDEX($AB$5:$AB$404,$AC122)+INDEX($Z$5:$Z$404,$AC122)+INDEX($AA$5:$AA$404,$AC122)+INDEX($AO$5:$AO$404,$AC122)),"B","T")))))))</f>
        <v/>
      </c>
      <c r="AF122" t="str">
        <f t="shared" si="46"/>
        <v/>
      </c>
      <c r="AJ122">
        <f>IF($AD122&lt;&gt;"T",0,ROUND(SUMIF(oil!$B$4:$B$63,$AF122,oil!$AE$4:$AE$63),2))</f>
        <v>0</v>
      </c>
      <c r="AK122" t="str">
        <f>IF($S122="","",IFERROR(INDEX(อัตราค่าขนส่ง!$R$5:$R$54,MATCH($S122,อัตราค่าขนส่ง!$Q$5:$Q$54,0)),INDEX(รายการมาตรฐาน!$G$2:$G$3,1)))</f>
        <v/>
      </c>
      <c r="AL122" t="str">
        <f>IF($S122="","",IFERROR(MATCH($AK122,รายการมาตรฐาน!$G$2:$G$3,0),1))</f>
        <v/>
      </c>
      <c r="AM122" t="str">
        <f t="shared" si="47"/>
        <v/>
      </c>
      <c r="AN122" t="str">
        <f t="shared" si="48"/>
        <v/>
      </c>
      <c r="AO122">
        <f t="shared" si="49"/>
        <v>0</v>
      </c>
      <c r="AP122">
        <f t="shared" si="55"/>
        <v>0</v>
      </c>
      <c r="AQ122" t="str">
        <f t="shared" si="50"/>
        <v/>
      </c>
      <c r="AR122">
        <f>IF($Y122="",0,COUNTIF(บันทึกรายเที่ยว!$V$6:$V$10005,$Y122))</f>
        <v>0</v>
      </c>
      <c r="AS122">
        <f>IF($Y122="",0,ROUND(SUMIF(บันทึกรายเที่ยว!$V$6:$V$10005,$Y122,บันทึกรายเที่ยว!$M$6:$M$10005),2))</f>
        <v>0</v>
      </c>
      <c r="AT122">
        <f>IF($Y122="",0,IFERROR(INDEX(อัตราค่าขนส่ง!$J$5:$J$204,MATCH($Y122,อัตราค่าขนส่ง!$O$5:$O$204,0)),0))</f>
        <v>0</v>
      </c>
      <c r="AU122">
        <f t="shared" si="51"/>
        <v>0</v>
      </c>
      <c r="AV122">
        <f t="shared" si="52"/>
        <v>0</v>
      </c>
      <c r="AW122" t="str">
        <f>IF($Y122="","",IFERROR(INDEX(อัตราค่าขนส่ง!$F$5:$F$204,MATCH($Y122,อัตราค่าขนส่ง!$O$5:$O$204,0)),""))</f>
        <v/>
      </c>
      <c r="AX122" t="str">
        <f>IF($W122="","",INDEX(บันทึกรายเที่ยว!$D$6:$D$10005,$W122))</f>
        <v/>
      </c>
      <c r="AY122" t="str">
        <f>IF($W122="","",INDEX(บันทึกรายเที่ยว!$R$6:$R$10005,$W122))</f>
        <v/>
      </c>
      <c r="AZ122">
        <f t="shared" si="53"/>
        <v>0</v>
      </c>
      <c r="BA122" t="str">
        <f>IF($W122="","",INDEX(บันทึกรายเที่ยว!$E$6:$E$10005,$W122))</f>
        <v/>
      </c>
      <c r="BC122">
        <f>IF($Y122="",0,IFERROR(INDEX(อัตราค่าขนส่ง!$M$5:$M$204,MATCH($Y122,อัตราค่าขนส่ง!$O$5:$O$204,0)),0))</f>
        <v>0</v>
      </c>
      <c r="BD122">
        <f>IF($Y122="",0,IFERROR(INDEX(อัตราค่าขนส่ง!$N$5:$N$204,MATCH($Y122,อัตราค่าขนส่ง!$O$5:$O$204,0)),0))</f>
        <v>0</v>
      </c>
    </row>
    <row r="123" spans="1:56" ht="21" customHeight="1" x14ac:dyDescent="0.95">
      <c r="A123" s="36" t="str">
        <f>IF($AD123="","",IF($AD123="Z","รวมจ่ายทั้งสิ้น",IF($AD123="H",INDEX($X$5:$X$404,$AC123),IF($AD123="T","รวม",IF($AD123="B",IFERROR(INDEX(อัตราค่าขนส่ง!$U$5:$U$14,MATCH(INDEX($AM$5:$AM$404,$AC123),อัตราค่าขนส่ง!$T$5:$T$14,0)),"รวมกลุ่ม "&amp;INDEX($AM$5:$AM$404,$AC123)),INDEX($AY$5:$AY$404,$AC123))))))</f>
        <v/>
      </c>
      <c r="B123" s="31" t="str">
        <f t="shared" si="28"/>
        <v/>
      </c>
      <c r="C123" s="8" t="str">
        <f t="shared" si="29"/>
        <v/>
      </c>
      <c r="D123" s="37" t="str">
        <f t="shared" si="30"/>
        <v/>
      </c>
      <c r="E123" s="31" t="str">
        <f t="shared" si="31"/>
        <v/>
      </c>
      <c r="F123" s="32" t="str">
        <f t="shared" si="32"/>
        <v/>
      </c>
      <c r="G123" s="32" t="str">
        <f t="shared" si="33"/>
        <v/>
      </c>
      <c r="H123" s="32" t="str">
        <f t="shared" si="34"/>
        <v/>
      </c>
      <c r="I123" s="32" t="str">
        <f t="shared" si="35"/>
        <v/>
      </c>
      <c r="J123" s="46" t="str">
        <f t="shared" si="36"/>
        <v/>
      </c>
      <c r="K123" s="32" t="str">
        <f t="shared" si="37"/>
        <v/>
      </c>
      <c r="L123" s="32" t="str">
        <f t="shared" si="38"/>
        <v/>
      </c>
      <c r="M123" s="32" t="str">
        <f t="shared" si="39"/>
        <v/>
      </c>
      <c r="N123" s="32" t="str">
        <f t="shared" si="40"/>
        <v/>
      </c>
      <c r="O123" s="32" t="str">
        <f t="shared" si="41"/>
        <v/>
      </c>
      <c r="Q123" t="str">
        <f>IFERROR(MATCH(119,บันทึกรายเที่ยว!$Z$6:$Z$10005,0),"")</f>
        <v/>
      </c>
      <c r="R123" t="str">
        <f>IF($Q123="","",INDEX(บันทึกรายเที่ยว!$V$6:$V$10005,$Q123))</f>
        <v/>
      </c>
      <c r="S123" t="str">
        <f>IF($Q123="","",INDEX(บันทึกรายเที่ยว!$F$6:$F$10005,$Q123))</f>
        <v/>
      </c>
      <c r="T123" t="str">
        <f>IF($Q123="","",MATCH($S123,บันทึกรายเที่ยว!$F$6:$F$10005,0))</f>
        <v/>
      </c>
      <c r="U123" t="str">
        <f>IF($Q123="","",$AL123*10000000+$T123*1000+119)</f>
        <v/>
      </c>
      <c r="V123" t="str">
        <f>IFERROR(MATCH(SMALL($U$5:$U$404,119),$U$5:$U$404,0),"")</f>
        <v/>
      </c>
      <c r="W123" t="str">
        <f t="shared" si="42"/>
        <v/>
      </c>
      <c r="X123" t="str">
        <f t="shared" si="43"/>
        <v/>
      </c>
      <c r="Y123" t="str">
        <f t="shared" si="44"/>
        <v/>
      </c>
      <c r="Z123">
        <f t="shared" si="54"/>
        <v>0</v>
      </c>
      <c r="AA123">
        <f t="shared" si="45"/>
        <v>0</v>
      </c>
      <c r="AB123">
        <f>IF($V123="",99999+119,$AB122+1+$Z122+$AA122+$AO122)</f>
        <v>100118</v>
      </c>
      <c r="AC123" t="str">
        <f>IFERROR(MATCH(119,$AB$5:$AB$404,1),"")</f>
        <v/>
      </c>
      <c r="AD123" t="str">
        <f>IF(119=$AI$1+1,"Z",IF($AC123="","",IF(INDEX($V$5:$V$404,$AC123)="","",IF(119&gt;INDEX($AB$5:$AB$404,$AC123)+INDEX($Z$5:$Z$404,$AC123)+INDEX($AA$5:$AA$404,$AC123)+INDEX($AO$5:$AO$404,$AC123),"",IF(119=INDEX($AB$5:$AB$404,$AC123)+INDEX($Z$5:$Z$404,$AC123),"D",IF(AND(INDEX($Z$5:$Z$404,$AC123)=1,119=INDEX($AB$5:$AB$404,$AC123)),"H",IF(AND(INDEX($AO$5:$AO$404,$AC123)=1,119=INDEX($AB$5:$AB$404,$AC123)+INDEX($Z$5:$Z$404,$AC123)+INDEX($AA$5:$AA$404,$AC123)+INDEX($AO$5:$AO$404,$AC123)),"B","T")))))))</f>
        <v/>
      </c>
      <c r="AF123" t="str">
        <f t="shared" si="46"/>
        <v/>
      </c>
      <c r="AJ123">
        <f>IF($AD123&lt;&gt;"T",0,ROUND(SUMIF(oil!$B$4:$B$63,$AF123,oil!$AE$4:$AE$63),2))</f>
        <v>0</v>
      </c>
      <c r="AK123" t="str">
        <f>IF($S123="","",IFERROR(INDEX(อัตราค่าขนส่ง!$R$5:$R$54,MATCH($S123,อัตราค่าขนส่ง!$Q$5:$Q$54,0)),INDEX(รายการมาตรฐาน!$G$2:$G$3,1)))</f>
        <v/>
      </c>
      <c r="AL123" t="str">
        <f>IF($S123="","",IFERROR(MATCH($AK123,รายการมาตรฐาน!$G$2:$G$3,0),1))</f>
        <v/>
      </c>
      <c r="AM123" t="str">
        <f t="shared" si="47"/>
        <v/>
      </c>
      <c r="AN123" t="str">
        <f t="shared" si="48"/>
        <v/>
      </c>
      <c r="AO123">
        <f t="shared" si="49"/>
        <v>0</v>
      </c>
      <c r="AP123">
        <f t="shared" si="55"/>
        <v>0</v>
      </c>
      <c r="AQ123" t="str">
        <f t="shared" si="50"/>
        <v/>
      </c>
      <c r="AR123">
        <f>IF($Y123="",0,COUNTIF(บันทึกรายเที่ยว!$V$6:$V$10005,$Y123))</f>
        <v>0</v>
      </c>
      <c r="AS123">
        <f>IF($Y123="",0,ROUND(SUMIF(บันทึกรายเที่ยว!$V$6:$V$10005,$Y123,บันทึกรายเที่ยว!$M$6:$M$10005),2))</f>
        <v>0</v>
      </c>
      <c r="AT123">
        <f>IF($Y123="",0,IFERROR(INDEX(อัตราค่าขนส่ง!$J$5:$J$204,MATCH($Y123,อัตราค่าขนส่ง!$O$5:$O$204,0)),0))</f>
        <v>0</v>
      </c>
      <c r="AU123">
        <f t="shared" si="51"/>
        <v>0</v>
      </c>
      <c r="AV123">
        <f t="shared" si="52"/>
        <v>0</v>
      </c>
      <c r="AW123" t="str">
        <f>IF($Y123="","",IFERROR(INDEX(อัตราค่าขนส่ง!$F$5:$F$204,MATCH($Y123,อัตราค่าขนส่ง!$O$5:$O$204,0)),""))</f>
        <v/>
      </c>
      <c r="AX123" t="str">
        <f>IF($W123="","",INDEX(บันทึกรายเที่ยว!$D$6:$D$10005,$W123))</f>
        <v/>
      </c>
      <c r="AY123" t="str">
        <f>IF($W123="","",INDEX(บันทึกรายเที่ยว!$R$6:$R$10005,$W123))</f>
        <v/>
      </c>
      <c r="AZ123">
        <f t="shared" si="53"/>
        <v>0</v>
      </c>
      <c r="BA123" t="str">
        <f>IF($W123="","",INDEX(บันทึกรายเที่ยว!$E$6:$E$10005,$W123))</f>
        <v/>
      </c>
      <c r="BC123">
        <f>IF($Y123="",0,IFERROR(INDEX(อัตราค่าขนส่ง!$M$5:$M$204,MATCH($Y123,อัตราค่าขนส่ง!$O$5:$O$204,0)),0))</f>
        <v>0</v>
      </c>
      <c r="BD123">
        <f>IF($Y123="",0,IFERROR(INDEX(อัตราค่าขนส่ง!$N$5:$N$204,MATCH($Y123,อัตราค่าขนส่ง!$O$5:$O$204,0)),0))</f>
        <v>0</v>
      </c>
    </row>
    <row r="124" spans="1:56" ht="21" customHeight="1" x14ac:dyDescent="0.95">
      <c r="A124" s="36" t="str">
        <f>IF($AD124="","",IF($AD124="Z","รวมจ่ายทั้งสิ้น",IF($AD124="H",INDEX($X$5:$X$404,$AC124),IF($AD124="T","รวม",IF($AD124="B",IFERROR(INDEX(อัตราค่าขนส่ง!$U$5:$U$14,MATCH(INDEX($AM$5:$AM$404,$AC124),อัตราค่าขนส่ง!$T$5:$T$14,0)),"รวมกลุ่ม "&amp;INDEX($AM$5:$AM$404,$AC124)),INDEX($AY$5:$AY$404,$AC124))))))</f>
        <v/>
      </c>
      <c r="B124" s="31" t="str">
        <f t="shared" si="28"/>
        <v/>
      </c>
      <c r="C124" s="8" t="str">
        <f t="shared" si="29"/>
        <v/>
      </c>
      <c r="D124" s="37" t="str">
        <f t="shared" si="30"/>
        <v/>
      </c>
      <c r="E124" s="31" t="str">
        <f t="shared" si="31"/>
        <v/>
      </c>
      <c r="F124" s="32" t="str">
        <f t="shared" si="32"/>
        <v/>
      </c>
      <c r="G124" s="32" t="str">
        <f t="shared" si="33"/>
        <v/>
      </c>
      <c r="H124" s="32" t="str">
        <f t="shared" si="34"/>
        <v/>
      </c>
      <c r="I124" s="32" t="str">
        <f t="shared" si="35"/>
        <v/>
      </c>
      <c r="J124" s="46" t="str">
        <f t="shared" si="36"/>
        <v/>
      </c>
      <c r="K124" s="32" t="str">
        <f t="shared" si="37"/>
        <v/>
      </c>
      <c r="L124" s="32" t="str">
        <f t="shared" si="38"/>
        <v/>
      </c>
      <c r="M124" s="32" t="str">
        <f t="shared" si="39"/>
        <v/>
      </c>
      <c r="N124" s="32" t="str">
        <f t="shared" si="40"/>
        <v/>
      </c>
      <c r="O124" s="32" t="str">
        <f t="shared" si="41"/>
        <v/>
      </c>
      <c r="Q124" t="str">
        <f>IFERROR(MATCH(120,บันทึกรายเที่ยว!$Z$6:$Z$10005,0),"")</f>
        <v/>
      </c>
      <c r="R124" t="str">
        <f>IF($Q124="","",INDEX(บันทึกรายเที่ยว!$V$6:$V$10005,$Q124))</f>
        <v/>
      </c>
      <c r="S124" t="str">
        <f>IF($Q124="","",INDEX(บันทึกรายเที่ยว!$F$6:$F$10005,$Q124))</f>
        <v/>
      </c>
      <c r="T124" t="str">
        <f>IF($Q124="","",MATCH($S124,บันทึกรายเที่ยว!$F$6:$F$10005,0))</f>
        <v/>
      </c>
      <c r="U124" t="str">
        <f>IF($Q124="","",$AL124*10000000+$T124*1000+120)</f>
        <v/>
      </c>
      <c r="V124" t="str">
        <f>IFERROR(MATCH(SMALL($U$5:$U$404,120),$U$5:$U$404,0),"")</f>
        <v/>
      </c>
      <c r="W124" t="str">
        <f t="shared" si="42"/>
        <v/>
      </c>
      <c r="X124" t="str">
        <f t="shared" si="43"/>
        <v/>
      </c>
      <c r="Y124" t="str">
        <f t="shared" si="44"/>
        <v/>
      </c>
      <c r="Z124">
        <f t="shared" si="54"/>
        <v>0</v>
      </c>
      <c r="AA124">
        <f t="shared" si="45"/>
        <v>0</v>
      </c>
      <c r="AB124">
        <f>IF($V124="",99999+120,$AB123+1+$Z123+$AA123+$AO123)</f>
        <v>100119</v>
      </c>
      <c r="AC124" t="str">
        <f>IFERROR(MATCH(120,$AB$5:$AB$404,1),"")</f>
        <v/>
      </c>
      <c r="AD124" t="str">
        <f>IF(120=$AI$1+1,"Z",IF($AC124="","",IF(INDEX($V$5:$V$404,$AC124)="","",IF(120&gt;INDEX($AB$5:$AB$404,$AC124)+INDEX($Z$5:$Z$404,$AC124)+INDEX($AA$5:$AA$404,$AC124)+INDEX($AO$5:$AO$404,$AC124),"",IF(120=INDEX($AB$5:$AB$404,$AC124)+INDEX($Z$5:$Z$404,$AC124),"D",IF(AND(INDEX($Z$5:$Z$404,$AC124)=1,120=INDEX($AB$5:$AB$404,$AC124)),"H",IF(AND(INDEX($AO$5:$AO$404,$AC124)=1,120=INDEX($AB$5:$AB$404,$AC124)+INDEX($Z$5:$Z$404,$AC124)+INDEX($AA$5:$AA$404,$AC124)+INDEX($AO$5:$AO$404,$AC124)),"B","T")))))))</f>
        <v/>
      </c>
      <c r="AF124" t="str">
        <f t="shared" si="46"/>
        <v/>
      </c>
      <c r="AJ124">
        <f>IF($AD124&lt;&gt;"T",0,ROUND(SUMIF(oil!$B$4:$B$63,$AF124,oil!$AE$4:$AE$63),2))</f>
        <v>0</v>
      </c>
      <c r="AK124" t="str">
        <f>IF($S124="","",IFERROR(INDEX(อัตราค่าขนส่ง!$R$5:$R$54,MATCH($S124,อัตราค่าขนส่ง!$Q$5:$Q$54,0)),INDEX(รายการมาตรฐาน!$G$2:$G$3,1)))</f>
        <v/>
      </c>
      <c r="AL124" t="str">
        <f>IF($S124="","",IFERROR(MATCH($AK124,รายการมาตรฐาน!$G$2:$G$3,0),1))</f>
        <v/>
      </c>
      <c r="AM124" t="str">
        <f t="shared" si="47"/>
        <v/>
      </c>
      <c r="AN124" t="str">
        <f t="shared" si="48"/>
        <v/>
      </c>
      <c r="AO124">
        <f t="shared" si="49"/>
        <v>0</v>
      </c>
      <c r="AP124">
        <f t="shared" si="55"/>
        <v>0</v>
      </c>
      <c r="AQ124" t="str">
        <f t="shared" si="50"/>
        <v/>
      </c>
      <c r="AR124">
        <f>IF($Y124="",0,COUNTIF(บันทึกรายเที่ยว!$V$6:$V$10005,$Y124))</f>
        <v>0</v>
      </c>
      <c r="AS124">
        <f>IF($Y124="",0,ROUND(SUMIF(บันทึกรายเที่ยว!$V$6:$V$10005,$Y124,บันทึกรายเที่ยว!$M$6:$M$10005),2))</f>
        <v>0</v>
      </c>
      <c r="AT124">
        <f>IF($Y124="",0,IFERROR(INDEX(อัตราค่าขนส่ง!$J$5:$J$204,MATCH($Y124,อัตราค่าขนส่ง!$O$5:$O$204,0)),0))</f>
        <v>0</v>
      </c>
      <c r="AU124">
        <f t="shared" si="51"/>
        <v>0</v>
      </c>
      <c r="AV124">
        <f t="shared" si="52"/>
        <v>0</v>
      </c>
      <c r="AW124" t="str">
        <f>IF($Y124="","",IFERROR(INDEX(อัตราค่าขนส่ง!$F$5:$F$204,MATCH($Y124,อัตราค่าขนส่ง!$O$5:$O$204,0)),""))</f>
        <v/>
      </c>
      <c r="AX124" t="str">
        <f>IF($W124="","",INDEX(บันทึกรายเที่ยว!$D$6:$D$10005,$W124))</f>
        <v/>
      </c>
      <c r="AY124" t="str">
        <f>IF($W124="","",INDEX(บันทึกรายเที่ยว!$R$6:$R$10005,$W124))</f>
        <v/>
      </c>
      <c r="AZ124">
        <f t="shared" si="53"/>
        <v>0</v>
      </c>
      <c r="BA124" t="str">
        <f>IF($W124="","",INDEX(บันทึกรายเที่ยว!$E$6:$E$10005,$W124))</f>
        <v/>
      </c>
      <c r="BC124">
        <f>IF($Y124="",0,IFERROR(INDEX(อัตราค่าขนส่ง!$M$5:$M$204,MATCH($Y124,อัตราค่าขนส่ง!$O$5:$O$204,0)),0))</f>
        <v>0</v>
      </c>
      <c r="BD124">
        <f>IF($Y124="",0,IFERROR(INDEX(อัตราค่าขนส่ง!$N$5:$N$204,MATCH($Y124,อัตราค่าขนส่ง!$O$5:$O$204,0)),0))</f>
        <v>0</v>
      </c>
    </row>
    <row r="125" spans="1:56" ht="21" customHeight="1" x14ac:dyDescent="0.95">
      <c r="A125" s="36" t="str">
        <f>IF($AD125="","",IF($AD125="Z","รวมจ่ายทั้งสิ้น",IF($AD125="H",INDEX($X$5:$X$404,$AC125),IF($AD125="T","รวม",IF($AD125="B",IFERROR(INDEX(อัตราค่าขนส่ง!$U$5:$U$14,MATCH(INDEX($AM$5:$AM$404,$AC125),อัตราค่าขนส่ง!$T$5:$T$14,0)),"รวมกลุ่ม "&amp;INDEX($AM$5:$AM$404,$AC125)),INDEX($AY$5:$AY$404,$AC125))))))</f>
        <v/>
      </c>
      <c r="B125" s="31" t="str">
        <f t="shared" si="28"/>
        <v/>
      </c>
      <c r="C125" s="8" t="str">
        <f t="shared" si="29"/>
        <v/>
      </c>
      <c r="D125" s="37" t="str">
        <f t="shared" si="30"/>
        <v/>
      </c>
      <c r="E125" s="31" t="str">
        <f t="shared" si="31"/>
        <v/>
      </c>
      <c r="F125" s="32" t="str">
        <f t="shared" si="32"/>
        <v/>
      </c>
      <c r="G125" s="32" t="str">
        <f t="shared" si="33"/>
        <v/>
      </c>
      <c r="H125" s="32" t="str">
        <f t="shared" si="34"/>
        <v/>
      </c>
      <c r="I125" s="32" t="str">
        <f t="shared" si="35"/>
        <v/>
      </c>
      <c r="J125" s="46" t="str">
        <f t="shared" si="36"/>
        <v/>
      </c>
      <c r="K125" s="32" t="str">
        <f t="shared" si="37"/>
        <v/>
      </c>
      <c r="L125" s="32" t="str">
        <f t="shared" si="38"/>
        <v/>
      </c>
      <c r="M125" s="32" t="str">
        <f t="shared" si="39"/>
        <v/>
      </c>
      <c r="N125" s="32" t="str">
        <f t="shared" si="40"/>
        <v/>
      </c>
      <c r="O125" s="32" t="str">
        <f t="shared" si="41"/>
        <v/>
      </c>
      <c r="Q125" t="str">
        <f>IFERROR(MATCH(121,บันทึกรายเที่ยว!$Z$6:$Z$10005,0),"")</f>
        <v/>
      </c>
      <c r="R125" t="str">
        <f>IF($Q125="","",INDEX(บันทึกรายเที่ยว!$V$6:$V$10005,$Q125))</f>
        <v/>
      </c>
      <c r="S125" t="str">
        <f>IF($Q125="","",INDEX(บันทึกรายเที่ยว!$F$6:$F$10005,$Q125))</f>
        <v/>
      </c>
      <c r="T125" t="str">
        <f>IF($Q125="","",MATCH($S125,บันทึกรายเที่ยว!$F$6:$F$10005,0))</f>
        <v/>
      </c>
      <c r="U125" t="str">
        <f>IF($Q125="","",$AL125*10000000+$T125*1000+121)</f>
        <v/>
      </c>
      <c r="V125" t="str">
        <f>IFERROR(MATCH(SMALL($U$5:$U$404,121),$U$5:$U$404,0),"")</f>
        <v/>
      </c>
      <c r="W125" t="str">
        <f t="shared" si="42"/>
        <v/>
      </c>
      <c r="X125" t="str">
        <f t="shared" si="43"/>
        <v/>
      </c>
      <c r="Y125" t="str">
        <f t="shared" si="44"/>
        <v/>
      </c>
      <c r="Z125">
        <f t="shared" si="54"/>
        <v>0</v>
      </c>
      <c r="AA125">
        <f t="shared" si="45"/>
        <v>0</v>
      </c>
      <c r="AB125">
        <f>IF($V125="",99999+121,$AB124+1+$Z124+$AA124+$AO124)</f>
        <v>100120</v>
      </c>
      <c r="AC125" t="str">
        <f>IFERROR(MATCH(121,$AB$5:$AB$404,1),"")</f>
        <v/>
      </c>
      <c r="AD125" t="str">
        <f>IF(121=$AI$1+1,"Z",IF($AC125="","",IF(INDEX($V$5:$V$404,$AC125)="","",IF(121&gt;INDEX($AB$5:$AB$404,$AC125)+INDEX($Z$5:$Z$404,$AC125)+INDEX($AA$5:$AA$404,$AC125)+INDEX($AO$5:$AO$404,$AC125),"",IF(121=INDEX($AB$5:$AB$404,$AC125)+INDEX($Z$5:$Z$404,$AC125),"D",IF(AND(INDEX($Z$5:$Z$404,$AC125)=1,121=INDEX($AB$5:$AB$404,$AC125)),"H",IF(AND(INDEX($AO$5:$AO$404,$AC125)=1,121=INDEX($AB$5:$AB$404,$AC125)+INDEX($Z$5:$Z$404,$AC125)+INDEX($AA$5:$AA$404,$AC125)+INDEX($AO$5:$AO$404,$AC125)),"B","T")))))))</f>
        <v/>
      </c>
      <c r="AF125" t="str">
        <f t="shared" si="46"/>
        <v/>
      </c>
      <c r="AJ125">
        <f>IF($AD125&lt;&gt;"T",0,ROUND(SUMIF(oil!$B$4:$B$63,$AF125,oil!$AE$4:$AE$63),2))</f>
        <v>0</v>
      </c>
      <c r="AK125" t="str">
        <f>IF($S125="","",IFERROR(INDEX(อัตราค่าขนส่ง!$R$5:$R$54,MATCH($S125,อัตราค่าขนส่ง!$Q$5:$Q$54,0)),INDEX(รายการมาตรฐาน!$G$2:$G$3,1)))</f>
        <v/>
      </c>
      <c r="AL125" t="str">
        <f>IF($S125="","",IFERROR(MATCH($AK125,รายการมาตรฐาน!$G$2:$G$3,0),1))</f>
        <v/>
      </c>
      <c r="AM125" t="str">
        <f t="shared" si="47"/>
        <v/>
      </c>
      <c r="AN125" t="str">
        <f t="shared" si="48"/>
        <v/>
      </c>
      <c r="AO125">
        <f t="shared" si="49"/>
        <v>0</v>
      </c>
      <c r="AP125">
        <f t="shared" si="55"/>
        <v>0</v>
      </c>
      <c r="AQ125" t="str">
        <f t="shared" si="50"/>
        <v/>
      </c>
      <c r="AR125">
        <f>IF($Y125="",0,COUNTIF(บันทึกรายเที่ยว!$V$6:$V$10005,$Y125))</f>
        <v>0</v>
      </c>
      <c r="AS125">
        <f>IF($Y125="",0,ROUND(SUMIF(บันทึกรายเที่ยว!$V$6:$V$10005,$Y125,บันทึกรายเที่ยว!$M$6:$M$10005),2))</f>
        <v>0</v>
      </c>
      <c r="AT125">
        <f>IF($Y125="",0,IFERROR(INDEX(อัตราค่าขนส่ง!$J$5:$J$204,MATCH($Y125,อัตราค่าขนส่ง!$O$5:$O$204,0)),0))</f>
        <v>0</v>
      </c>
      <c r="AU125">
        <f t="shared" si="51"/>
        <v>0</v>
      </c>
      <c r="AV125">
        <f t="shared" si="52"/>
        <v>0</v>
      </c>
      <c r="AW125" t="str">
        <f>IF($Y125="","",IFERROR(INDEX(อัตราค่าขนส่ง!$F$5:$F$204,MATCH($Y125,อัตราค่าขนส่ง!$O$5:$O$204,0)),""))</f>
        <v/>
      </c>
      <c r="AX125" t="str">
        <f>IF($W125="","",INDEX(บันทึกรายเที่ยว!$D$6:$D$10005,$W125))</f>
        <v/>
      </c>
      <c r="AY125" t="str">
        <f>IF($W125="","",INDEX(บันทึกรายเที่ยว!$R$6:$R$10005,$W125))</f>
        <v/>
      </c>
      <c r="AZ125">
        <f t="shared" si="53"/>
        <v>0</v>
      </c>
      <c r="BA125" t="str">
        <f>IF($W125="","",INDEX(บันทึกรายเที่ยว!$E$6:$E$10005,$W125))</f>
        <v/>
      </c>
      <c r="BC125">
        <f>IF($Y125="",0,IFERROR(INDEX(อัตราค่าขนส่ง!$M$5:$M$204,MATCH($Y125,อัตราค่าขนส่ง!$O$5:$O$204,0)),0))</f>
        <v>0</v>
      </c>
      <c r="BD125">
        <f>IF($Y125="",0,IFERROR(INDEX(อัตราค่าขนส่ง!$N$5:$N$204,MATCH($Y125,อัตราค่าขนส่ง!$O$5:$O$204,0)),0))</f>
        <v>0</v>
      </c>
    </row>
    <row r="126" spans="1:56" ht="21" customHeight="1" x14ac:dyDescent="0.95">
      <c r="A126" s="36" t="str">
        <f>IF($AD126="","",IF($AD126="Z","รวมจ่ายทั้งสิ้น",IF($AD126="H",INDEX($X$5:$X$404,$AC126),IF($AD126="T","รวม",IF($AD126="B",IFERROR(INDEX(อัตราค่าขนส่ง!$U$5:$U$14,MATCH(INDEX($AM$5:$AM$404,$AC126),อัตราค่าขนส่ง!$T$5:$T$14,0)),"รวมกลุ่ม "&amp;INDEX($AM$5:$AM$404,$AC126)),INDEX($AY$5:$AY$404,$AC126))))))</f>
        <v/>
      </c>
      <c r="B126" s="31" t="str">
        <f t="shared" si="28"/>
        <v/>
      </c>
      <c r="C126" s="8" t="str">
        <f t="shared" si="29"/>
        <v/>
      </c>
      <c r="D126" s="37" t="str">
        <f t="shared" si="30"/>
        <v/>
      </c>
      <c r="E126" s="31" t="str">
        <f t="shared" si="31"/>
        <v/>
      </c>
      <c r="F126" s="32" t="str">
        <f t="shared" si="32"/>
        <v/>
      </c>
      <c r="G126" s="32" t="str">
        <f t="shared" si="33"/>
        <v/>
      </c>
      <c r="H126" s="32" t="str">
        <f t="shared" si="34"/>
        <v/>
      </c>
      <c r="I126" s="32" t="str">
        <f t="shared" si="35"/>
        <v/>
      </c>
      <c r="J126" s="46" t="str">
        <f t="shared" si="36"/>
        <v/>
      </c>
      <c r="K126" s="32" t="str">
        <f t="shared" si="37"/>
        <v/>
      </c>
      <c r="L126" s="32" t="str">
        <f t="shared" si="38"/>
        <v/>
      </c>
      <c r="M126" s="32" t="str">
        <f t="shared" si="39"/>
        <v/>
      </c>
      <c r="N126" s="32" t="str">
        <f t="shared" si="40"/>
        <v/>
      </c>
      <c r="O126" s="32" t="str">
        <f t="shared" si="41"/>
        <v/>
      </c>
      <c r="Q126" t="str">
        <f>IFERROR(MATCH(122,บันทึกรายเที่ยว!$Z$6:$Z$10005,0),"")</f>
        <v/>
      </c>
      <c r="R126" t="str">
        <f>IF($Q126="","",INDEX(บันทึกรายเที่ยว!$V$6:$V$10005,$Q126))</f>
        <v/>
      </c>
      <c r="S126" t="str">
        <f>IF($Q126="","",INDEX(บันทึกรายเที่ยว!$F$6:$F$10005,$Q126))</f>
        <v/>
      </c>
      <c r="T126" t="str">
        <f>IF($Q126="","",MATCH($S126,บันทึกรายเที่ยว!$F$6:$F$10005,0))</f>
        <v/>
      </c>
      <c r="U126" t="str">
        <f>IF($Q126="","",$AL126*10000000+$T126*1000+122)</f>
        <v/>
      </c>
      <c r="V126" t="str">
        <f>IFERROR(MATCH(SMALL($U$5:$U$404,122),$U$5:$U$404,0),"")</f>
        <v/>
      </c>
      <c r="W126" t="str">
        <f t="shared" si="42"/>
        <v/>
      </c>
      <c r="X126" t="str">
        <f t="shared" si="43"/>
        <v/>
      </c>
      <c r="Y126" t="str">
        <f t="shared" si="44"/>
        <v/>
      </c>
      <c r="Z126">
        <f t="shared" si="54"/>
        <v>0</v>
      </c>
      <c r="AA126">
        <f t="shared" si="45"/>
        <v>0</v>
      </c>
      <c r="AB126">
        <f>IF($V126="",99999+122,$AB125+1+$Z125+$AA125+$AO125)</f>
        <v>100121</v>
      </c>
      <c r="AC126" t="str">
        <f>IFERROR(MATCH(122,$AB$5:$AB$404,1),"")</f>
        <v/>
      </c>
      <c r="AD126" t="str">
        <f>IF(122=$AI$1+1,"Z",IF($AC126="","",IF(INDEX($V$5:$V$404,$AC126)="","",IF(122&gt;INDEX($AB$5:$AB$404,$AC126)+INDEX($Z$5:$Z$404,$AC126)+INDEX($AA$5:$AA$404,$AC126)+INDEX($AO$5:$AO$404,$AC126),"",IF(122=INDEX($AB$5:$AB$404,$AC126)+INDEX($Z$5:$Z$404,$AC126),"D",IF(AND(INDEX($Z$5:$Z$404,$AC126)=1,122=INDEX($AB$5:$AB$404,$AC126)),"H",IF(AND(INDEX($AO$5:$AO$404,$AC126)=1,122=INDEX($AB$5:$AB$404,$AC126)+INDEX($Z$5:$Z$404,$AC126)+INDEX($AA$5:$AA$404,$AC126)+INDEX($AO$5:$AO$404,$AC126)),"B","T")))))))</f>
        <v/>
      </c>
      <c r="AF126" t="str">
        <f t="shared" si="46"/>
        <v/>
      </c>
      <c r="AJ126">
        <f>IF($AD126&lt;&gt;"T",0,ROUND(SUMIF(oil!$B$4:$B$63,$AF126,oil!$AE$4:$AE$63),2))</f>
        <v>0</v>
      </c>
      <c r="AK126" t="str">
        <f>IF($S126="","",IFERROR(INDEX(อัตราค่าขนส่ง!$R$5:$R$54,MATCH($S126,อัตราค่าขนส่ง!$Q$5:$Q$54,0)),INDEX(รายการมาตรฐาน!$G$2:$G$3,1)))</f>
        <v/>
      </c>
      <c r="AL126" t="str">
        <f>IF($S126="","",IFERROR(MATCH($AK126,รายการมาตรฐาน!$G$2:$G$3,0),1))</f>
        <v/>
      </c>
      <c r="AM126" t="str">
        <f t="shared" si="47"/>
        <v/>
      </c>
      <c r="AN126" t="str">
        <f t="shared" si="48"/>
        <v/>
      </c>
      <c r="AO126">
        <f t="shared" si="49"/>
        <v>0</v>
      </c>
      <c r="AP126">
        <f t="shared" si="55"/>
        <v>0</v>
      </c>
      <c r="AQ126" t="str">
        <f t="shared" si="50"/>
        <v/>
      </c>
      <c r="AR126">
        <f>IF($Y126="",0,COUNTIF(บันทึกรายเที่ยว!$V$6:$V$10005,$Y126))</f>
        <v>0</v>
      </c>
      <c r="AS126">
        <f>IF($Y126="",0,ROUND(SUMIF(บันทึกรายเที่ยว!$V$6:$V$10005,$Y126,บันทึกรายเที่ยว!$M$6:$M$10005),2))</f>
        <v>0</v>
      </c>
      <c r="AT126">
        <f>IF($Y126="",0,IFERROR(INDEX(อัตราค่าขนส่ง!$J$5:$J$204,MATCH($Y126,อัตราค่าขนส่ง!$O$5:$O$204,0)),0))</f>
        <v>0</v>
      </c>
      <c r="AU126">
        <f t="shared" si="51"/>
        <v>0</v>
      </c>
      <c r="AV126">
        <f t="shared" si="52"/>
        <v>0</v>
      </c>
      <c r="AW126" t="str">
        <f>IF($Y126="","",IFERROR(INDEX(อัตราค่าขนส่ง!$F$5:$F$204,MATCH($Y126,อัตราค่าขนส่ง!$O$5:$O$204,0)),""))</f>
        <v/>
      </c>
      <c r="AX126" t="str">
        <f>IF($W126="","",INDEX(บันทึกรายเที่ยว!$D$6:$D$10005,$W126))</f>
        <v/>
      </c>
      <c r="AY126" t="str">
        <f>IF($W126="","",INDEX(บันทึกรายเที่ยว!$R$6:$R$10005,$W126))</f>
        <v/>
      </c>
      <c r="AZ126">
        <f t="shared" si="53"/>
        <v>0</v>
      </c>
      <c r="BA126" t="str">
        <f>IF($W126="","",INDEX(บันทึกรายเที่ยว!$E$6:$E$10005,$W126))</f>
        <v/>
      </c>
      <c r="BC126">
        <f>IF($Y126="",0,IFERROR(INDEX(อัตราค่าขนส่ง!$M$5:$M$204,MATCH($Y126,อัตราค่าขนส่ง!$O$5:$O$204,0)),0))</f>
        <v>0</v>
      </c>
      <c r="BD126">
        <f>IF($Y126="",0,IFERROR(INDEX(อัตราค่าขนส่ง!$N$5:$N$204,MATCH($Y126,อัตราค่าขนส่ง!$O$5:$O$204,0)),0))</f>
        <v>0</v>
      </c>
    </row>
    <row r="127" spans="1:56" ht="21" customHeight="1" x14ac:dyDescent="0.95">
      <c r="A127" s="36" t="str">
        <f>IF($AD127="","",IF($AD127="Z","รวมจ่ายทั้งสิ้น",IF($AD127="H",INDEX($X$5:$X$404,$AC127),IF($AD127="T","รวม",IF($AD127="B",IFERROR(INDEX(อัตราค่าขนส่ง!$U$5:$U$14,MATCH(INDEX($AM$5:$AM$404,$AC127),อัตราค่าขนส่ง!$T$5:$T$14,0)),"รวมกลุ่ม "&amp;INDEX($AM$5:$AM$404,$AC127)),INDEX($AY$5:$AY$404,$AC127))))))</f>
        <v/>
      </c>
      <c r="B127" s="31" t="str">
        <f t="shared" si="28"/>
        <v/>
      </c>
      <c r="C127" s="8" t="str">
        <f t="shared" si="29"/>
        <v/>
      </c>
      <c r="D127" s="37" t="str">
        <f t="shared" si="30"/>
        <v/>
      </c>
      <c r="E127" s="31" t="str">
        <f t="shared" si="31"/>
        <v/>
      </c>
      <c r="F127" s="32" t="str">
        <f t="shared" si="32"/>
        <v/>
      </c>
      <c r="G127" s="32" t="str">
        <f t="shared" si="33"/>
        <v/>
      </c>
      <c r="H127" s="32" t="str">
        <f t="shared" si="34"/>
        <v/>
      </c>
      <c r="I127" s="32" t="str">
        <f t="shared" si="35"/>
        <v/>
      </c>
      <c r="J127" s="46" t="str">
        <f t="shared" si="36"/>
        <v/>
      </c>
      <c r="K127" s="32" t="str">
        <f t="shared" si="37"/>
        <v/>
      </c>
      <c r="L127" s="32" t="str">
        <f t="shared" si="38"/>
        <v/>
      </c>
      <c r="M127" s="32" t="str">
        <f t="shared" si="39"/>
        <v/>
      </c>
      <c r="N127" s="32" t="str">
        <f t="shared" si="40"/>
        <v/>
      </c>
      <c r="O127" s="32" t="str">
        <f t="shared" si="41"/>
        <v/>
      </c>
      <c r="Q127" t="str">
        <f>IFERROR(MATCH(123,บันทึกรายเที่ยว!$Z$6:$Z$10005,0),"")</f>
        <v/>
      </c>
      <c r="R127" t="str">
        <f>IF($Q127="","",INDEX(บันทึกรายเที่ยว!$V$6:$V$10005,$Q127))</f>
        <v/>
      </c>
      <c r="S127" t="str">
        <f>IF($Q127="","",INDEX(บันทึกรายเที่ยว!$F$6:$F$10005,$Q127))</f>
        <v/>
      </c>
      <c r="T127" t="str">
        <f>IF($Q127="","",MATCH($S127,บันทึกรายเที่ยว!$F$6:$F$10005,0))</f>
        <v/>
      </c>
      <c r="U127" t="str">
        <f>IF($Q127="","",$AL127*10000000+$T127*1000+123)</f>
        <v/>
      </c>
      <c r="V127" t="str">
        <f>IFERROR(MATCH(SMALL($U$5:$U$404,123),$U$5:$U$404,0),"")</f>
        <v/>
      </c>
      <c r="W127" t="str">
        <f t="shared" si="42"/>
        <v/>
      </c>
      <c r="X127" t="str">
        <f t="shared" si="43"/>
        <v/>
      </c>
      <c r="Y127" t="str">
        <f t="shared" si="44"/>
        <v/>
      </c>
      <c r="Z127">
        <f t="shared" si="54"/>
        <v>0</v>
      </c>
      <c r="AA127">
        <f t="shared" si="45"/>
        <v>0</v>
      </c>
      <c r="AB127">
        <f>IF($V127="",99999+123,$AB126+1+$Z126+$AA126+$AO126)</f>
        <v>100122</v>
      </c>
      <c r="AC127" t="str">
        <f>IFERROR(MATCH(123,$AB$5:$AB$404,1),"")</f>
        <v/>
      </c>
      <c r="AD127" t="str">
        <f>IF(123=$AI$1+1,"Z",IF($AC127="","",IF(INDEX($V$5:$V$404,$AC127)="","",IF(123&gt;INDEX($AB$5:$AB$404,$AC127)+INDEX($Z$5:$Z$404,$AC127)+INDEX($AA$5:$AA$404,$AC127)+INDEX($AO$5:$AO$404,$AC127),"",IF(123=INDEX($AB$5:$AB$404,$AC127)+INDEX($Z$5:$Z$404,$AC127),"D",IF(AND(INDEX($Z$5:$Z$404,$AC127)=1,123=INDEX($AB$5:$AB$404,$AC127)),"H",IF(AND(INDEX($AO$5:$AO$404,$AC127)=1,123=INDEX($AB$5:$AB$404,$AC127)+INDEX($Z$5:$Z$404,$AC127)+INDEX($AA$5:$AA$404,$AC127)+INDEX($AO$5:$AO$404,$AC127)),"B","T")))))))</f>
        <v/>
      </c>
      <c r="AF127" t="str">
        <f t="shared" si="46"/>
        <v/>
      </c>
      <c r="AJ127">
        <f>IF($AD127&lt;&gt;"T",0,ROUND(SUMIF(oil!$B$4:$B$63,$AF127,oil!$AE$4:$AE$63),2))</f>
        <v>0</v>
      </c>
      <c r="AK127" t="str">
        <f>IF($S127="","",IFERROR(INDEX(อัตราค่าขนส่ง!$R$5:$R$54,MATCH($S127,อัตราค่าขนส่ง!$Q$5:$Q$54,0)),INDEX(รายการมาตรฐาน!$G$2:$G$3,1)))</f>
        <v/>
      </c>
      <c r="AL127" t="str">
        <f>IF($S127="","",IFERROR(MATCH($AK127,รายการมาตรฐาน!$G$2:$G$3,0),1))</f>
        <v/>
      </c>
      <c r="AM127" t="str">
        <f t="shared" si="47"/>
        <v/>
      </c>
      <c r="AN127" t="str">
        <f t="shared" si="48"/>
        <v/>
      </c>
      <c r="AO127">
        <f t="shared" si="49"/>
        <v>0</v>
      </c>
      <c r="AP127">
        <f t="shared" si="55"/>
        <v>0</v>
      </c>
      <c r="AQ127" t="str">
        <f t="shared" si="50"/>
        <v/>
      </c>
      <c r="AR127">
        <f>IF($Y127="",0,COUNTIF(บันทึกรายเที่ยว!$V$6:$V$10005,$Y127))</f>
        <v>0</v>
      </c>
      <c r="AS127">
        <f>IF($Y127="",0,ROUND(SUMIF(บันทึกรายเที่ยว!$V$6:$V$10005,$Y127,บันทึกรายเที่ยว!$M$6:$M$10005),2))</f>
        <v>0</v>
      </c>
      <c r="AT127">
        <f>IF($Y127="",0,IFERROR(INDEX(อัตราค่าขนส่ง!$J$5:$J$204,MATCH($Y127,อัตราค่าขนส่ง!$O$5:$O$204,0)),0))</f>
        <v>0</v>
      </c>
      <c r="AU127">
        <f t="shared" si="51"/>
        <v>0</v>
      </c>
      <c r="AV127">
        <f t="shared" si="52"/>
        <v>0</v>
      </c>
      <c r="AW127" t="str">
        <f>IF($Y127="","",IFERROR(INDEX(อัตราค่าขนส่ง!$F$5:$F$204,MATCH($Y127,อัตราค่าขนส่ง!$O$5:$O$204,0)),""))</f>
        <v/>
      </c>
      <c r="AX127" t="str">
        <f>IF($W127="","",INDEX(บันทึกรายเที่ยว!$D$6:$D$10005,$W127))</f>
        <v/>
      </c>
      <c r="AY127" t="str">
        <f>IF($W127="","",INDEX(บันทึกรายเที่ยว!$R$6:$R$10005,$W127))</f>
        <v/>
      </c>
      <c r="AZ127">
        <f t="shared" si="53"/>
        <v>0</v>
      </c>
      <c r="BA127" t="str">
        <f>IF($W127="","",INDEX(บันทึกรายเที่ยว!$E$6:$E$10005,$W127))</f>
        <v/>
      </c>
      <c r="BC127">
        <f>IF($Y127="",0,IFERROR(INDEX(อัตราค่าขนส่ง!$M$5:$M$204,MATCH($Y127,อัตราค่าขนส่ง!$O$5:$O$204,0)),0))</f>
        <v>0</v>
      </c>
      <c r="BD127">
        <f>IF($Y127="",0,IFERROR(INDEX(อัตราค่าขนส่ง!$N$5:$N$204,MATCH($Y127,อัตราค่าขนส่ง!$O$5:$O$204,0)),0))</f>
        <v>0</v>
      </c>
    </row>
    <row r="128" spans="1:56" ht="21" customHeight="1" x14ac:dyDescent="0.95">
      <c r="A128" s="36" t="str">
        <f>IF($AD128="","",IF($AD128="Z","รวมจ่ายทั้งสิ้น",IF($AD128="H",INDEX($X$5:$X$404,$AC128),IF($AD128="T","รวม",IF($AD128="B",IFERROR(INDEX(อัตราค่าขนส่ง!$U$5:$U$14,MATCH(INDEX($AM$5:$AM$404,$AC128),อัตราค่าขนส่ง!$T$5:$T$14,0)),"รวมกลุ่ม "&amp;INDEX($AM$5:$AM$404,$AC128)),INDEX($AY$5:$AY$404,$AC128))))))</f>
        <v/>
      </c>
      <c r="B128" s="31" t="str">
        <f t="shared" si="28"/>
        <v/>
      </c>
      <c r="C128" s="8" t="str">
        <f t="shared" si="29"/>
        <v/>
      </c>
      <c r="D128" s="37" t="str">
        <f t="shared" si="30"/>
        <v/>
      </c>
      <c r="E128" s="31" t="str">
        <f t="shared" si="31"/>
        <v/>
      </c>
      <c r="F128" s="32" t="str">
        <f t="shared" si="32"/>
        <v/>
      </c>
      <c r="G128" s="32" t="str">
        <f t="shared" si="33"/>
        <v/>
      </c>
      <c r="H128" s="32" t="str">
        <f t="shared" si="34"/>
        <v/>
      </c>
      <c r="I128" s="32" t="str">
        <f t="shared" si="35"/>
        <v/>
      </c>
      <c r="J128" s="46" t="str">
        <f t="shared" si="36"/>
        <v/>
      </c>
      <c r="K128" s="32" t="str">
        <f t="shared" si="37"/>
        <v/>
      </c>
      <c r="L128" s="32" t="str">
        <f t="shared" si="38"/>
        <v/>
      </c>
      <c r="M128" s="32" t="str">
        <f t="shared" si="39"/>
        <v/>
      </c>
      <c r="N128" s="32" t="str">
        <f t="shared" si="40"/>
        <v/>
      </c>
      <c r="O128" s="32" t="str">
        <f t="shared" si="41"/>
        <v/>
      </c>
      <c r="Q128" t="str">
        <f>IFERROR(MATCH(124,บันทึกรายเที่ยว!$Z$6:$Z$10005,0),"")</f>
        <v/>
      </c>
      <c r="R128" t="str">
        <f>IF($Q128="","",INDEX(บันทึกรายเที่ยว!$V$6:$V$10005,$Q128))</f>
        <v/>
      </c>
      <c r="S128" t="str">
        <f>IF($Q128="","",INDEX(บันทึกรายเที่ยว!$F$6:$F$10005,$Q128))</f>
        <v/>
      </c>
      <c r="T128" t="str">
        <f>IF($Q128="","",MATCH($S128,บันทึกรายเที่ยว!$F$6:$F$10005,0))</f>
        <v/>
      </c>
      <c r="U128" t="str">
        <f>IF($Q128="","",$AL128*10000000+$T128*1000+124)</f>
        <v/>
      </c>
      <c r="V128" t="str">
        <f>IFERROR(MATCH(SMALL($U$5:$U$404,124),$U$5:$U$404,0),"")</f>
        <v/>
      </c>
      <c r="W128" t="str">
        <f t="shared" si="42"/>
        <v/>
      </c>
      <c r="X128" t="str">
        <f t="shared" si="43"/>
        <v/>
      </c>
      <c r="Y128" t="str">
        <f t="shared" si="44"/>
        <v/>
      </c>
      <c r="Z128">
        <f t="shared" si="54"/>
        <v>0</v>
      </c>
      <c r="AA128">
        <f t="shared" si="45"/>
        <v>0</v>
      </c>
      <c r="AB128">
        <f>IF($V128="",99999+124,$AB127+1+$Z127+$AA127+$AO127)</f>
        <v>100123</v>
      </c>
      <c r="AC128" t="str">
        <f>IFERROR(MATCH(124,$AB$5:$AB$404,1),"")</f>
        <v/>
      </c>
      <c r="AD128" t="str">
        <f>IF(124=$AI$1+1,"Z",IF($AC128="","",IF(INDEX($V$5:$V$404,$AC128)="","",IF(124&gt;INDEX($AB$5:$AB$404,$AC128)+INDEX($Z$5:$Z$404,$AC128)+INDEX($AA$5:$AA$404,$AC128)+INDEX($AO$5:$AO$404,$AC128),"",IF(124=INDEX($AB$5:$AB$404,$AC128)+INDEX($Z$5:$Z$404,$AC128),"D",IF(AND(INDEX($Z$5:$Z$404,$AC128)=1,124=INDEX($AB$5:$AB$404,$AC128)),"H",IF(AND(INDEX($AO$5:$AO$404,$AC128)=1,124=INDEX($AB$5:$AB$404,$AC128)+INDEX($Z$5:$Z$404,$AC128)+INDEX($AA$5:$AA$404,$AC128)+INDEX($AO$5:$AO$404,$AC128)),"B","T")))))))</f>
        <v/>
      </c>
      <c r="AF128" t="str">
        <f t="shared" si="46"/>
        <v/>
      </c>
      <c r="AJ128">
        <f>IF($AD128&lt;&gt;"T",0,ROUND(SUMIF(oil!$B$4:$B$63,$AF128,oil!$AE$4:$AE$63),2))</f>
        <v>0</v>
      </c>
      <c r="AK128" t="str">
        <f>IF($S128="","",IFERROR(INDEX(อัตราค่าขนส่ง!$R$5:$R$54,MATCH($S128,อัตราค่าขนส่ง!$Q$5:$Q$54,0)),INDEX(รายการมาตรฐาน!$G$2:$G$3,1)))</f>
        <v/>
      </c>
      <c r="AL128" t="str">
        <f>IF($S128="","",IFERROR(MATCH($AK128,รายการมาตรฐาน!$G$2:$G$3,0),1))</f>
        <v/>
      </c>
      <c r="AM128" t="str">
        <f t="shared" si="47"/>
        <v/>
      </c>
      <c r="AN128" t="str">
        <f t="shared" si="48"/>
        <v/>
      </c>
      <c r="AO128">
        <f t="shared" si="49"/>
        <v>0</v>
      </c>
      <c r="AP128">
        <f t="shared" si="55"/>
        <v>0</v>
      </c>
      <c r="AQ128" t="str">
        <f t="shared" si="50"/>
        <v/>
      </c>
      <c r="AR128">
        <f>IF($Y128="",0,COUNTIF(บันทึกรายเที่ยว!$V$6:$V$10005,$Y128))</f>
        <v>0</v>
      </c>
      <c r="AS128">
        <f>IF($Y128="",0,ROUND(SUMIF(บันทึกรายเที่ยว!$V$6:$V$10005,$Y128,บันทึกรายเที่ยว!$M$6:$M$10005),2))</f>
        <v>0</v>
      </c>
      <c r="AT128">
        <f>IF($Y128="",0,IFERROR(INDEX(อัตราค่าขนส่ง!$J$5:$J$204,MATCH($Y128,อัตราค่าขนส่ง!$O$5:$O$204,0)),0))</f>
        <v>0</v>
      </c>
      <c r="AU128">
        <f t="shared" si="51"/>
        <v>0</v>
      </c>
      <c r="AV128">
        <f t="shared" si="52"/>
        <v>0</v>
      </c>
      <c r="AW128" t="str">
        <f>IF($Y128="","",IFERROR(INDEX(อัตราค่าขนส่ง!$F$5:$F$204,MATCH($Y128,อัตราค่าขนส่ง!$O$5:$O$204,0)),""))</f>
        <v/>
      </c>
      <c r="AX128" t="str">
        <f>IF($W128="","",INDEX(บันทึกรายเที่ยว!$D$6:$D$10005,$W128))</f>
        <v/>
      </c>
      <c r="AY128" t="str">
        <f>IF($W128="","",INDEX(บันทึกรายเที่ยว!$R$6:$R$10005,$W128))</f>
        <v/>
      </c>
      <c r="AZ128">
        <f t="shared" si="53"/>
        <v>0</v>
      </c>
      <c r="BA128" t="str">
        <f>IF($W128="","",INDEX(บันทึกรายเที่ยว!$E$6:$E$10005,$W128))</f>
        <v/>
      </c>
      <c r="BC128">
        <f>IF($Y128="",0,IFERROR(INDEX(อัตราค่าขนส่ง!$M$5:$M$204,MATCH($Y128,อัตราค่าขนส่ง!$O$5:$O$204,0)),0))</f>
        <v>0</v>
      </c>
      <c r="BD128">
        <f>IF($Y128="",0,IFERROR(INDEX(อัตราค่าขนส่ง!$N$5:$N$204,MATCH($Y128,อัตราค่าขนส่ง!$O$5:$O$204,0)),0))</f>
        <v>0</v>
      </c>
    </row>
    <row r="129" spans="1:56" ht="21" customHeight="1" x14ac:dyDescent="0.95">
      <c r="A129" s="36" t="str">
        <f>IF($AD129="","",IF($AD129="Z","รวมจ่ายทั้งสิ้น",IF($AD129="H",INDEX($X$5:$X$404,$AC129),IF($AD129="T","รวม",IF($AD129="B",IFERROR(INDEX(อัตราค่าขนส่ง!$U$5:$U$14,MATCH(INDEX($AM$5:$AM$404,$AC129),อัตราค่าขนส่ง!$T$5:$T$14,0)),"รวมกลุ่ม "&amp;INDEX($AM$5:$AM$404,$AC129)),INDEX($AY$5:$AY$404,$AC129))))))</f>
        <v/>
      </c>
      <c r="B129" s="31" t="str">
        <f t="shared" si="28"/>
        <v/>
      </c>
      <c r="C129" s="8" t="str">
        <f t="shared" si="29"/>
        <v/>
      </c>
      <c r="D129" s="37" t="str">
        <f t="shared" si="30"/>
        <v/>
      </c>
      <c r="E129" s="31" t="str">
        <f t="shared" si="31"/>
        <v/>
      </c>
      <c r="F129" s="32" t="str">
        <f t="shared" si="32"/>
        <v/>
      </c>
      <c r="G129" s="32" t="str">
        <f t="shared" si="33"/>
        <v/>
      </c>
      <c r="H129" s="32" t="str">
        <f t="shared" si="34"/>
        <v/>
      </c>
      <c r="I129" s="32" t="str">
        <f t="shared" si="35"/>
        <v/>
      </c>
      <c r="J129" s="46" t="str">
        <f t="shared" si="36"/>
        <v/>
      </c>
      <c r="K129" s="32" t="str">
        <f t="shared" si="37"/>
        <v/>
      </c>
      <c r="L129" s="32" t="str">
        <f t="shared" si="38"/>
        <v/>
      </c>
      <c r="M129" s="32" t="str">
        <f t="shared" si="39"/>
        <v/>
      </c>
      <c r="N129" s="32" t="str">
        <f t="shared" si="40"/>
        <v/>
      </c>
      <c r="O129" s="32" t="str">
        <f t="shared" si="41"/>
        <v/>
      </c>
      <c r="Q129" t="str">
        <f>IFERROR(MATCH(125,บันทึกรายเที่ยว!$Z$6:$Z$10005,0),"")</f>
        <v/>
      </c>
      <c r="R129" t="str">
        <f>IF($Q129="","",INDEX(บันทึกรายเที่ยว!$V$6:$V$10005,$Q129))</f>
        <v/>
      </c>
      <c r="S129" t="str">
        <f>IF($Q129="","",INDEX(บันทึกรายเที่ยว!$F$6:$F$10005,$Q129))</f>
        <v/>
      </c>
      <c r="T129" t="str">
        <f>IF($Q129="","",MATCH($S129,บันทึกรายเที่ยว!$F$6:$F$10005,0))</f>
        <v/>
      </c>
      <c r="U129" t="str">
        <f>IF($Q129="","",$AL129*10000000+$T129*1000+125)</f>
        <v/>
      </c>
      <c r="V129" t="str">
        <f>IFERROR(MATCH(SMALL($U$5:$U$404,125),$U$5:$U$404,0),"")</f>
        <v/>
      </c>
      <c r="W129" t="str">
        <f t="shared" si="42"/>
        <v/>
      </c>
      <c r="X129" t="str">
        <f t="shared" si="43"/>
        <v/>
      </c>
      <c r="Y129" t="str">
        <f t="shared" si="44"/>
        <v/>
      </c>
      <c r="Z129">
        <f t="shared" si="54"/>
        <v>0</v>
      </c>
      <c r="AA129">
        <f t="shared" si="45"/>
        <v>0</v>
      </c>
      <c r="AB129">
        <f>IF($V129="",99999+125,$AB128+1+$Z128+$AA128+$AO128)</f>
        <v>100124</v>
      </c>
      <c r="AC129" t="str">
        <f>IFERROR(MATCH(125,$AB$5:$AB$404,1),"")</f>
        <v/>
      </c>
      <c r="AD129" t="str">
        <f>IF(125=$AI$1+1,"Z",IF($AC129="","",IF(INDEX($V$5:$V$404,$AC129)="","",IF(125&gt;INDEX($AB$5:$AB$404,$AC129)+INDEX($Z$5:$Z$404,$AC129)+INDEX($AA$5:$AA$404,$AC129)+INDEX($AO$5:$AO$404,$AC129),"",IF(125=INDEX($AB$5:$AB$404,$AC129)+INDEX($Z$5:$Z$404,$AC129),"D",IF(AND(INDEX($Z$5:$Z$404,$AC129)=1,125=INDEX($AB$5:$AB$404,$AC129)),"H",IF(AND(INDEX($AO$5:$AO$404,$AC129)=1,125=INDEX($AB$5:$AB$404,$AC129)+INDEX($Z$5:$Z$404,$AC129)+INDEX($AA$5:$AA$404,$AC129)+INDEX($AO$5:$AO$404,$AC129)),"B","T")))))))</f>
        <v/>
      </c>
      <c r="AF129" t="str">
        <f t="shared" si="46"/>
        <v/>
      </c>
      <c r="AJ129">
        <f>IF($AD129&lt;&gt;"T",0,ROUND(SUMIF(oil!$B$4:$B$63,$AF129,oil!$AE$4:$AE$63),2))</f>
        <v>0</v>
      </c>
      <c r="AK129" t="str">
        <f>IF($S129="","",IFERROR(INDEX(อัตราค่าขนส่ง!$R$5:$R$54,MATCH($S129,อัตราค่าขนส่ง!$Q$5:$Q$54,0)),INDEX(รายการมาตรฐาน!$G$2:$G$3,1)))</f>
        <v/>
      </c>
      <c r="AL129" t="str">
        <f>IF($S129="","",IFERROR(MATCH($AK129,รายการมาตรฐาน!$G$2:$G$3,0),1))</f>
        <v/>
      </c>
      <c r="AM129" t="str">
        <f t="shared" si="47"/>
        <v/>
      </c>
      <c r="AN129" t="str">
        <f t="shared" si="48"/>
        <v/>
      </c>
      <c r="AO129">
        <f t="shared" si="49"/>
        <v>0</v>
      </c>
      <c r="AP129">
        <f t="shared" si="55"/>
        <v>0</v>
      </c>
      <c r="AQ129" t="str">
        <f t="shared" si="50"/>
        <v/>
      </c>
      <c r="AR129">
        <f>IF($Y129="",0,COUNTIF(บันทึกรายเที่ยว!$V$6:$V$10005,$Y129))</f>
        <v>0</v>
      </c>
      <c r="AS129">
        <f>IF($Y129="",0,ROUND(SUMIF(บันทึกรายเที่ยว!$V$6:$V$10005,$Y129,บันทึกรายเที่ยว!$M$6:$M$10005),2))</f>
        <v>0</v>
      </c>
      <c r="AT129">
        <f>IF($Y129="",0,IFERROR(INDEX(อัตราค่าขนส่ง!$J$5:$J$204,MATCH($Y129,อัตราค่าขนส่ง!$O$5:$O$204,0)),0))</f>
        <v>0</v>
      </c>
      <c r="AU129">
        <f t="shared" si="51"/>
        <v>0</v>
      </c>
      <c r="AV129">
        <f t="shared" si="52"/>
        <v>0</v>
      </c>
      <c r="AW129" t="str">
        <f>IF($Y129="","",IFERROR(INDEX(อัตราค่าขนส่ง!$F$5:$F$204,MATCH($Y129,อัตราค่าขนส่ง!$O$5:$O$204,0)),""))</f>
        <v/>
      </c>
      <c r="AX129" t="str">
        <f>IF($W129="","",INDEX(บันทึกรายเที่ยว!$D$6:$D$10005,$W129))</f>
        <v/>
      </c>
      <c r="AY129" t="str">
        <f>IF($W129="","",INDEX(บันทึกรายเที่ยว!$R$6:$R$10005,$W129))</f>
        <v/>
      </c>
      <c r="AZ129">
        <f t="shared" si="53"/>
        <v>0</v>
      </c>
      <c r="BA129" t="str">
        <f>IF($W129="","",INDEX(บันทึกรายเที่ยว!$E$6:$E$10005,$W129))</f>
        <v/>
      </c>
      <c r="BC129">
        <f>IF($Y129="",0,IFERROR(INDEX(อัตราค่าขนส่ง!$M$5:$M$204,MATCH($Y129,อัตราค่าขนส่ง!$O$5:$O$204,0)),0))</f>
        <v>0</v>
      </c>
      <c r="BD129">
        <f>IF($Y129="",0,IFERROR(INDEX(อัตราค่าขนส่ง!$N$5:$N$204,MATCH($Y129,อัตราค่าขนส่ง!$O$5:$O$204,0)),0))</f>
        <v>0</v>
      </c>
    </row>
    <row r="130" spans="1:56" ht="21" customHeight="1" x14ac:dyDescent="0.95">
      <c r="A130" s="36" t="str">
        <f>IF($AD130="","",IF($AD130="Z","รวมจ่ายทั้งสิ้น",IF($AD130="H",INDEX($X$5:$X$404,$AC130),IF($AD130="T","รวม",IF($AD130="B",IFERROR(INDEX(อัตราค่าขนส่ง!$U$5:$U$14,MATCH(INDEX($AM$5:$AM$404,$AC130),อัตราค่าขนส่ง!$T$5:$T$14,0)),"รวมกลุ่ม "&amp;INDEX($AM$5:$AM$404,$AC130)),INDEX($AY$5:$AY$404,$AC130))))))</f>
        <v/>
      </c>
      <c r="B130" s="31" t="str">
        <f t="shared" si="28"/>
        <v/>
      </c>
      <c r="C130" s="8" t="str">
        <f t="shared" si="29"/>
        <v/>
      </c>
      <c r="D130" s="37" t="str">
        <f t="shared" si="30"/>
        <v/>
      </c>
      <c r="E130" s="31" t="str">
        <f t="shared" si="31"/>
        <v/>
      </c>
      <c r="F130" s="32" t="str">
        <f t="shared" si="32"/>
        <v/>
      </c>
      <c r="G130" s="32" t="str">
        <f t="shared" si="33"/>
        <v/>
      </c>
      <c r="H130" s="32" t="str">
        <f t="shared" si="34"/>
        <v/>
      </c>
      <c r="I130" s="32" t="str">
        <f t="shared" si="35"/>
        <v/>
      </c>
      <c r="J130" s="46" t="str">
        <f t="shared" si="36"/>
        <v/>
      </c>
      <c r="K130" s="32" t="str">
        <f t="shared" si="37"/>
        <v/>
      </c>
      <c r="L130" s="32" t="str">
        <f t="shared" si="38"/>
        <v/>
      </c>
      <c r="M130" s="32" t="str">
        <f t="shared" si="39"/>
        <v/>
      </c>
      <c r="N130" s="32" t="str">
        <f t="shared" si="40"/>
        <v/>
      </c>
      <c r="O130" s="32" t="str">
        <f t="shared" si="41"/>
        <v/>
      </c>
      <c r="Q130" t="str">
        <f>IFERROR(MATCH(126,บันทึกรายเที่ยว!$Z$6:$Z$10005,0),"")</f>
        <v/>
      </c>
      <c r="R130" t="str">
        <f>IF($Q130="","",INDEX(บันทึกรายเที่ยว!$V$6:$V$10005,$Q130))</f>
        <v/>
      </c>
      <c r="S130" t="str">
        <f>IF($Q130="","",INDEX(บันทึกรายเที่ยว!$F$6:$F$10005,$Q130))</f>
        <v/>
      </c>
      <c r="T130" t="str">
        <f>IF($Q130="","",MATCH($S130,บันทึกรายเที่ยว!$F$6:$F$10005,0))</f>
        <v/>
      </c>
      <c r="U130" t="str">
        <f>IF($Q130="","",$AL130*10000000+$T130*1000+126)</f>
        <v/>
      </c>
      <c r="V130" t="str">
        <f>IFERROR(MATCH(SMALL($U$5:$U$404,126),$U$5:$U$404,0),"")</f>
        <v/>
      </c>
      <c r="W130" t="str">
        <f t="shared" si="42"/>
        <v/>
      </c>
      <c r="X130" t="str">
        <f t="shared" si="43"/>
        <v/>
      </c>
      <c r="Y130" t="str">
        <f t="shared" si="44"/>
        <v/>
      </c>
      <c r="Z130">
        <f t="shared" si="54"/>
        <v>0</v>
      </c>
      <c r="AA130">
        <f t="shared" si="45"/>
        <v>0</v>
      </c>
      <c r="AB130">
        <f>IF($V130="",99999+126,$AB129+1+$Z129+$AA129+$AO129)</f>
        <v>100125</v>
      </c>
      <c r="AC130" t="str">
        <f>IFERROR(MATCH(126,$AB$5:$AB$404,1),"")</f>
        <v/>
      </c>
      <c r="AD130" t="str">
        <f>IF(126=$AI$1+1,"Z",IF($AC130="","",IF(INDEX($V$5:$V$404,$AC130)="","",IF(126&gt;INDEX($AB$5:$AB$404,$AC130)+INDEX($Z$5:$Z$404,$AC130)+INDEX($AA$5:$AA$404,$AC130)+INDEX($AO$5:$AO$404,$AC130),"",IF(126=INDEX($AB$5:$AB$404,$AC130)+INDEX($Z$5:$Z$404,$AC130),"D",IF(AND(INDEX($Z$5:$Z$404,$AC130)=1,126=INDEX($AB$5:$AB$404,$AC130)),"H",IF(AND(INDEX($AO$5:$AO$404,$AC130)=1,126=INDEX($AB$5:$AB$404,$AC130)+INDEX($Z$5:$Z$404,$AC130)+INDEX($AA$5:$AA$404,$AC130)+INDEX($AO$5:$AO$404,$AC130)),"B","T")))))))</f>
        <v/>
      </c>
      <c r="AF130" t="str">
        <f t="shared" si="46"/>
        <v/>
      </c>
      <c r="AJ130">
        <f>IF($AD130&lt;&gt;"T",0,ROUND(SUMIF(oil!$B$4:$B$63,$AF130,oil!$AE$4:$AE$63),2))</f>
        <v>0</v>
      </c>
      <c r="AK130" t="str">
        <f>IF($S130="","",IFERROR(INDEX(อัตราค่าขนส่ง!$R$5:$R$54,MATCH($S130,อัตราค่าขนส่ง!$Q$5:$Q$54,0)),INDEX(รายการมาตรฐาน!$G$2:$G$3,1)))</f>
        <v/>
      </c>
      <c r="AL130" t="str">
        <f>IF($S130="","",IFERROR(MATCH($AK130,รายการมาตรฐาน!$G$2:$G$3,0),1))</f>
        <v/>
      </c>
      <c r="AM130" t="str">
        <f t="shared" si="47"/>
        <v/>
      </c>
      <c r="AN130" t="str">
        <f t="shared" si="48"/>
        <v/>
      </c>
      <c r="AO130">
        <f t="shared" si="49"/>
        <v>0</v>
      </c>
      <c r="AP130">
        <f t="shared" si="55"/>
        <v>0</v>
      </c>
      <c r="AQ130" t="str">
        <f t="shared" si="50"/>
        <v/>
      </c>
      <c r="AR130">
        <f>IF($Y130="",0,COUNTIF(บันทึกรายเที่ยว!$V$6:$V$10005,$Y130))</f>
        <v>0</v>
      </c>
      <c r="AS130">
        <f>IF($Y130="",0,ROUND(SUMIF(บันทึกรายเที่ยว!$V$6:$V$10005,$Y130,บันทึกรายเที่ยว!$M$6:$M$10005),2))</f>
        <v>0</v>
      </c>
      <c r="AT130">
        <f>IF($Y130="",0,IFERROR(INDEX(อัตราค่าขนส่ง!$J$5:$J$204,MATCH($Y130,อัตราค่าขนส่ง!$O$5:$O$204,0)),0))</f>
        <v>0</v>
      </c>
      <c r="AU130">
        <f t="shared" si="51"/>
        <v>0</v>
      </c>
      <c r="AV130">
        <f t="shared" si="52"/>
        <v>0</v>
      </c>
      <c r="AW130" t="str">
        <f>IF($Y130="","",IFERROR(INDEX(อัตราค่าขนส่ง!$F$5:$F$204,MATCH($Y130,อัตราค่าขนส่ง!$O$5:$O$204,0)),""))</f>
        <v/>
      </c>
      <c r="AX130" t="str">
        <f>IF($W130="","",INDEX(บันทึกรายเที่ยว!$D$6:$D$10005,$W130))</f>
        <v/>
      </c>
      <c r="AY130" t="str">
        <f>IF($W130="","",INDEX(บันทึกรายเที่ยว!$R$6:$R$10005,$W130))</f>
        <v/>
      </c>
      <c r="AZ130">
        <f t="shared" si="53"/>
        <v>0</v>
      </c>
      <c r="BA130" t="str">
        <f>IF($W130="","",INDEX(บันทึกรายเที่ยว!$E$6:$E$10005,$W130))</f>
        <v/>
      </c>
      <c r="BC130">
        <f>IF($Y130="",0,IFERROR(INDEX(อัตราค่าขนส่ง!$M$5:$M$204,MATCH($Y130,อัตราค่าขนส่ง!$O$5:$O$204,0)),0))</f>
        <v>0</v>
      </c>
      <c r="BD130">
        <f>IF($Y130="",0,IFERROR(INDEX(อัตราค่าขนส่ง!$N$5:$N$204,MATCH($Y130,อัตราค่าขนส่ง!$O$5:$O$204,0)),0))</f>
        <v>0</v>
      </c>
    </row>
    <row r="131" spans="1:56" ht="21" customHeight="1" x14ac:dyDescent="0.95">
      <c r="A131" s="36" t="str">
        <f>IF($AD131="","",IF($AD131="Z","รวมจ่ายทั้งสิ้น",IF($AD131="H",INDEX($X$5:$X$404,$AC131),IF($AD131="T","รวม",IF($AD131="B",IFERROR(INDEX(อัตราค่าขนส่ง!$U$5:$U$14,MATCH(INDEX($AM$5:$AM$404,$AC131),อัตราค่าขนส่ง!$T$5:$T$14,0)),"รวมกลุ่ม "&amp;INDEX($AM$5:$AM$404,$AC131)),INDEX($AY$5:$AY$404,$AC131))))))</f>
        <v/>
      </c>
      <c r="B131" s="31" t="str">
        <f t="shared" si="28"/>
        <v/>
      </c>
      <c r="C131" s="8" t="str">
        <f t="shared" si="29"/>
        <v/>
      </c>
      <c r="D131" s="37" t="str">
        <f t="shared" si="30"/>
        <v/>
      </c>
      <c r="E131" s="31" t="str">
        <f t="shared" si="31"/>
        <v/>
      </c>
      <c r="F131" s="32" t="str">
        <f t="shared" si="32"/>
        <v/>
      </c>
      <c r="G131" s="32" t="str">
        <f t="shared" si="33"/>
        <v/>
      </c>
      <c r="H131" s="32" t="str">
        <f t="shared" si="34"/>
        <v/>
      </c>
      <c r="I131" s="32" t="str">
        <f t="shared" si="35"/>
        <v/>
      </c>
      <c r="J131" s="46" t="str">
        <f t="shared" si="36"/>
        <v/>
      </c>
      <c r="K131" s="32" t="str">
        <f t="shared" si="37"/>
        <v/>
      </c>
      <c r="L131" s="32" t="str">
        <f t="shared" si="38"/>
        <v/>
      </c>
      <c r="M131" s="32" t="str">
        <f t="shared" si="39"/>
        <v/>
      </c>
      <c r="N131" s="32" t="str">
        <f t="shared" si="40"/>
        <v/>
      </c>
      <c r="O131" s="32" t="str">
        <f t="shared" si="41"/>
        <v/>
      </c>
      <c r="Q131" t="str">
        <f>IFERROR(MATCH(127,บันทึกรายเที่ยว!$Z$6:$Z$10005,0),"")</f>
        <v/>
      </c>
      <c r="R131" t="str">
        <f>IF($Q131="","",INDEX(บันทึกรายเที่ยว!$V$6:$V$10005,$Q131))</f>
        <v/>
      </c>
      <c r="S131" t="str">
        <f>IF($Q131="","",INDEX(บันทึกรายเที่ยว!$F$6:$F$10005,$Q131))</f>
        <v/>
      </c>
      <c r="T131" t="str">
        <f>IF($Q131="","",MATCH($S131,บันทึกรายเที่ยว!$F$6:$F$10005,0))</f>
        <v/>
      </c>
      <c r="U131" t="str">
        <f>IF($Q131="","",$AL131*10000000+$T131*1000+127)</f>
        <v/>
      </c>
      <c r="V131" t="str">
        <f>IFERROR(MATCH(SMALL($U$5:$U$404,127),$U$5:$U$404,0),"")</f>
        <v/>
      </c>
      <c r="W131" t="str">
        <f t="shared" si="42"/>
        <v/>
      </c>
      <c r="X131" t="str">
        <f t="shared" si="43"/>
        <v/>
      </c>
      <c r="Y131" t="str">
        <f t="shared" si="44"/>
        <v/>
      </c>
      <c r="Z131">
        <f t="shared" si="54"/>
        <v>0</v>
      </c>
      <c r="AA131">
        <f t="shared" si="45"/>
        <v>0</v>
      </c>
      <c r="AB131">
        <f>IF($V131="",99999+127,$AB130+1+$Z130+$AA130+$AO130)</f>
        <v>100126</v>
      </c>
      <c r="AC131" t="str">
        <f>IFERROR(MATCH(127,$AB$5:$AB$404,1),"")</f>
        <v/>
      </c>
      <c r="AD131" t="str">
        <f>IF(127=$AI$1+1,"Z",IF($AC131="","",IF(INDEX($V$5:$V$404,$AC131)="","",IF(127&gt;INDEX($AB$5:$AB$404,$AC131)+INDEX($Z$5:$Z$404,$AC131)+INDEX($AA$5:$AA$404,$AC131)+INDEX($AO$5:$AO$404,$AC131),"",IF(127=INDEX($AB$5:$AB$404,$AC131)+INDEX($Z$5:$Z$404,$AC131),"D",IF(AND(INDEX($Z$5:$Z$404,$AC131)=1,127=INDEX($AB$5:$AB$404,$AC131)),"H",IF(AND(INDEX($AO$5:$AO$404,$AC131)=1,127=INDEX($AB$5:$AB$404,$AC131)+INDEX($Z$5:$Z$404,$AC131)+INDEX($AA$5:$AA$404,$AC131)+INDEX($AO$5:$AO$404,$AC131)),"B","T")))))))</f>
        <v/>
      </c>
      <c r="AF131" t="str">
        <f t="shared" si="46"/>
        <v/>
      </c>
      <c r="AJ131">
        <f>IF($AD131&lt;&gt;"T",0,ROUND(SUMIF(oil!$B$4:$B$63,$AF131,oil!$AE$4:$AE$63),2))</f>
        <v>0</v>
      </c>
      <c r="AK131" t="str">
        <f>IF($S131="","",IFERROR(INDEX(อัตราค่าขนส่ง!$R$5:$R$54,MATCH($S131,อัตราค่าขนส่ง!$Q$5:$Q$54,0)),INDEX(รายการมาตรฐาน!$G$2:$G$3,1)))</f>
        <v/>
      </c>
      <c r="AL131" t="str">
        <f>IF($S131="","",IFERROR(MATCH($AK131,รายการมาตรฐาน!$G$2:$G$3,0),1))</f>
        <v/>
      </c>
      <c r="AM131" t="str">
        <f t="shared" si="47"/>
        <v/>
      </c>
      <c r="AN131" t="str">
        <f t="shared" si="48"/>
        <v/>
      </c>
      <c r="AO131">
        <f t="shared" si="49"/>
        <v>0</v>
      </c>
      <c r="AP131">
        <f t="shared" si="55"/>
        <v>0</v>
      </c>
      <c r="AQ131" t="str">
        <f t="shared" si="50"/>
        <v/>
      </c>
      <c r="AR131">
        <f>IF($Y131="",0,COUNTIF(บันทึกรายเที่ยว!$V$6:$V$10005,$Y131))</f>
        <v>0</v>
      </c>
      <c r="AS131">
        <f>IF($Y131="",0,ROUND(SUMIF(บันทึกรายเที่ยว!$V$6:$V$10005,$Y131,บันทึกรายเที่ยว!$M$6:$M$10005),2))</f>
        <v>0</v>
      </c>
      <c r="AT131">
        <f>IF($Y131="",0,IFERROR(INDEX(อัตราค่าขนส่ง!$J$5:$J$204,MATCH($Y131,อัตราค่าขนส่ง!$O$5:$O$204,0)),0))</f>
        <v>0</v>
      </c>
      <c r="AU131">
        <f t="shared" si="51"/>
        <v>0</v>
      </c>
      <c r="AV131">
        <f t="shared" si="52"/>
        <v>0</v>
      </c>
      <c r="AW131" t="str">
        <f>IF($Y131="","",IFERROR(INDEX(อัตราค่าขนส่ง!$F$5:$F$204,MATCH($Y131,อัตราค่าขนส่ง!$O$5:$O$204,0)),""))</f>
        <v/>
      </c>
      <c r="AX131" t="str">
        <f>IF($W131="","",INDEX(บันทึกรายเที่ยว!$D$6:$D$10005,$W131))</f>
        <v/>
      </c>
      <c r="AY131" t="str">
        <f>IF($W131="","",INDEX(บันทึกรายเที่ยว!$R$6:$R$10005,$W131))</f>
        <v/>
      </c>
      <c r="AZ131">
        <f t="shared" si="53"/>
        <v>0</v>
      </c>
      <c r="BA131" t="str">
        <f>IF($W131="","",INDEX(บันทึกรายเที่ยว!$E$6:$E$10005,$W131))</f>
        <v/>
      </c>
      <c r="BC131">
        <f>IF($Y131="",0,IFERROR(INDEX(อัตราค่าขนส่ง!$M$5:$M$204,MATCH($Y131,อัตราค่าขนส่ง!$O$5:$O$204,0)),0))</f>
        <v>0</v>
      </c>
      <c r="BD131">
        <f>IF($Y131="",0,IFERROR(INDEX(อัตราค่าขนส่ง!$N$5:$N$204,MATCH($Y131,อัตราค่าขนส่ง!$O$5:$O$204,0)),0))</f>
        <v>0</v>
      </c>
    </row>
    <row r="132" spans="1:56" ht="21" customHeight="1" x14ac:dyDescent="0.95">
      <c r="A132" s="36" t="str">
        <f>IF($AD132="","",IF($AD132="Z","รวมจ่ายทั้งสิ้น",IF($AD132="H",INDEX($X$5:$X$404,$AC132),IF($AD132="T","รวม",IF($AD132="B",IFERROR(INDEX(อัตราค่าขนส่ง!$U$5:$U$14,MATCH(INDEX($AM$5:$AM$404,$AC132),อัตราค่าขนส่ง!$T$5:$T$14,0)),"รวมกลุ่ม "&amp;INDEX($AM$5:$AM$404,$AC132)),INDEX($AY$5:$AY$404,$AC132))))))</f>
        <v/>
      </c>
      <c r="B132" s="31" t="str">
        <f t="shared" si="28"/>
        <v/>
      </c>
      <c r="C132" s="8" t="str">
        <f t="shared" si="29"/>
        <v/>
      </c>
      <c r="D132" s="37" t="str">
        <f t="shared" si="30"/>
        <v/>
      </c>
      <c r="E132" s="31" t="str">
        <f t="shared" si="31"/>
        <v/>
      </c>
      <c r="F132" s="32" t="str">
        <f t="shared" si="32"/>
        <v/>
      </c>
      <c r="G132" s="32" t="str">
        <f t="shared" si="33"/>
        <v/>
      </c>
      <c r="H132" s="32" t="str">
        <f t="shared" si="34"/>
        <v/>
      </c>
      <c r="I132" s="32" t="str">
        <f t="shared" si="35"/>
        <v/>
      </c>
      <c r="J132" s="46" t="str">
        <f t="shared" si="36"/>
        <v/>
      </c>
      <c r="K132" s="32" t="str">
        <f t="shared" si="37"/>
        <v/>
      </c>
      <c r="L132" s="32" t="str">
        <f t="shared" si="38"/>
        <v/>
      </c>
      <c r="M132" s="32" t="str">
        <f t="shared" si="39"/>
        <v/>
      </c>
      <c r="N132" s="32" t="str">
        <f t="shared" si="40"/>
        <v/>
      </c>
      <c r="O132" s="32" t="str">
        <f t="shared" si="41"/>
        <v/>
      </c>
      <c r="Q132" t="str">
        <f>IFERROR(MATCH(128,บันทึกรายเที่ยว!$Z$6:$Z$10005,0),"")</f>
        <v/>
      </c>
      <c r="R132" t="str">
        <f>IF($Q132="","",INDEX(บันทึกรายเที่ยว!$V$6:$V$10005,$Q132))</f>
        <v/>
      </c>
      <c r="S132" t="str">
        <f>IF($Q132="","",INDEX(บันทึกรายเที่ยว!$F$6:$F$10005,$Q132))</f>
        <v/>
      </c>
      <c r="T132" t="str">
        <f>IF($Q132="","",MATCH($S132,บันทึกรายเที่ยว!$F$6:$F$10005,0))</f>
        <v/>
      </c>
      <c r="U132" t="str">
        <f>IF($Q132="","",$AL132*10000000+$T132*1000+128)</f>
        <v/>
      </c>
      <c r="V132" t="str">
        <f>IFERROR(MATCH(SMALL($U$5:$U$404,128),$U$5:$U$404,0),"")</f>
        <v/>
      </c>
      <c r="W132" t="str">
        <f t="shared" si="42"/>
        <v/>
      </c>
      <c r="X132" t="str">
        <f t="shared" si="43"/>
        <v/>
      </c>
      <c r="Y132" t="str">
        <f t="shared" si="44"/>
        <v/>
      </c>
      <c r="Z132">
        <f t="shared" si="54"/>
        <v>0</v>
      </c>
      <c r="AA132">
        <f t="shared" si="45"/>
        <v>0</v>
      </c>
      <c r="AB132">
        <f>IF($V132="",99999+128,$AB131+1+$Z131+$AA131+$AO131)</f>
        <v>100127</v>
      </c>
      <c r="AC132" t="str">
        <f>IFERROR(MATCH(128,$AB$5:$AB$404,1),"")</f>
        <v/>
      </c>
      <c r="AD132" t="str">
        <f>IF(128=$AI$1+1,"Z",IF($AC132="","",IF(INDEX($V$5:$V$404,$AC132)="","",IF(128&gt;INDEX($AB$5:$AB$404,$AC132)+INDEX($Z$5:$Z$404,$AC132)+INDEX($AA$5:$AA$404,$AC132)+INDEX($AO$5:$AO$404,$AC132),"",IF(128=INDEX($AB$5:$AB$404,$AC132)+INDEX($Z$5:$Z$404,$AC132),"D",IF(AND(INDEX($Z$5:$Z$404,$AC132)=1,128=INDEX($AB$5:$AB$404,$AC132)),"H",IF(AND(INDEX($AO$5:$AO$404,$AC132)=1,128=INDEX($AB$5:$AB$404,$AC132)+INDEX($Z$5:$Z$404,$AC132)+INDEX($AA$5:$AA$404,$AC132)+INDEX($AO$5:$AO$404,$AC132)),"B","T")))))))</f>
        <v/>
      </c>
      <c r="AF132" t="str">
        <f t="shared" si="46"/>
        <v/>
      </c>
      <c r="AJ132">
        <f>IF($AD132&lt;&gt;"T",0,ROUND(SUMIF(oil!$B$4:$B$63,$AF132,oil!$AE$4:$AE$63),2))</f>
        <v>0</v>
      </c>
      <c r="AK132" t="str">
        <f>IF($S132="","",IFERROR(INDEX(อัตราค่าขนส่ง!$R$5:$R$54,MATCH($S132,อัตราค่าขนส่ง!$Q$5:$Q$54,0)),INDEX(รายการมาตรฐาน!$G$2:$G$3,1)))</f>
        <v/>
      </c>
      <c r="AL132" t="str">
        <f>IF($S132="","",IFERROR(MATCH($AK132,รายการมาตรฐาน!$G$2:$G$3,0),1))</f>
        <v/>
      </c>
      <c r="AM132" t="str">
        <f t="shared" si="47"/>
        <v/>
      </c>
      <c r="AN132" t="str">
        <f t="shared" si="48"/>
        <v/>
      </c>
      <c r="AO132">
        <f t="shared" si="49"/>
        <v>0</v>
      </c>
      <c r="AP132">
        <f t="shared" si="55"/>
        <v>0</v>
      </c>
      <c r="AQ132" t="str">
        <f t="shared" si="50"/>
        <v/>
      </c>
      <c r="AR132">
        <f>IF($Y132="",0,COUNTIF(บันทึกรายเที่ยว!$V$6:$V$10005,$Y132))</f>
        <v>0</v>
      </c>
      <c r="AS132">
        <f>IF($Y132="",0,ROUND(SUMIF(บันทึกรายเที่ยว!$V$6:$V$10005,$Y132,บันทึกรายเที่ยว!$M$6:$M$10005),2))</f>
        <v>0</v>
      </c>
      <c r="AT132">
        <f>IF($Y132="",0,IFERROR(INDEX(อัตราค่าขนส่ง!$J$5:$J$204,MATCH($Y132,อัตราค่าขนส่ง!$O$5:$O$204,0)),0))</f>
        <v>0</v>
      </c>
      <c r="AU132">
        <f t="shared" si="51"/>
        <v>0</v>
      </c>
      <c r="AV132">
        <f t="shared" si="52"/>
        <v>0</v>
      </c>
      <c r="AW132" t="str">
        <f>IF($Y132="","",IFERROR(INDEX(อัตราค่าขนส่ง!$F$5:$F$204,MATCH($Y132,อัตราค่าขนส่ง!$O$5:$O$204,0)),""))</f>
        <v/>
      </c>
      <c r="AX132" t="str">
        <f>IF($W132="","",INDEX(บันทึกรายเที่ยว!$D$6:$D$10005,$W132))</f>
        <v/>
      </c>
      <c r="AY132" t="str">
        <f>IF($W132="","",INDEX(บันทึกรายเที่ยว!$R$6:$R$10005,$W132))</f>
        <v/>
      </c>
      <c r="AZ132">
        <f t="shared" si="53"/>
        <v>0</v>
      </c>
      <c r="BA132" t="str">
        <f>IF($W132="","",INDEX(บันทึกรายเที่ยว!$E$6:$E$10005,$W132))</f>
        <v/>
      </c>
      <c r="BC132">
        <f>IF($Y132="",0,IFERROR(INDEX(อัตราค่าขนส่ง!$M$5:$M$204,MATCH($Y132,อัตราค่าขนส่ง!$O$5:$O$204,0)),0))</f>
        <v>0</v>
      </c>
      <c r="BD132">
        <f>IF($Y132="",0,IFERROR(INDEX(อัตราค่าขนส่ง!$N$5:$N$204,MATCH($Y132,อัตราค่าขนส่ง!$O$5:$O$204,0)),0))</f>
        <v>0</v>
      </c>
    </row>
    <row r="133" spans="1:56" ht="21" customHeight="1" x14ac:dyDescent="0.95">
      <c r="A133" s="36" t="str">
        <f>IF($AD133="","",IF($AD133="Z","รวมจ่ายทั้งสิ้น",IF($AD133="H",INDEX($X$5:$X$404,$AC133),IF($AD133="T","รวม",IF($AD133="B",IFERROR(INDEX(อัตราค่าขนส่ง!$U$5:$U$14,MATCH(INDEX($AM$5:$AM$404,$AC133),อัตราค่าขนส่ง!$T$5:$T$14,0)),"รวมกลุ่ม "&amp;INDEX($AM$5:$AM$404,$AC133)),INDEX($AY$5:$AY$404,$AC133))))))</f>
        <v/>
      </c>
      <c r="B133" s="31" t="str">
        <f t="shared" ref="B133:B196" si="56">IF($AD133&lt;&gt;"D","",INDEX($AW$5:$AW$404,$AC133))</f>
        <v/>
      </c>
      <c r="C133" s="8" t="str">
        <f t="shared" ref="C133:C196" si="57">IF($AD133&lt;&gt;"D","",INDEX($AX$5:$AX$404,$AC133))</f>
        <v/>
      </c>
      <c r="D133" s="37" t="str">
        <f t="shared" ref="D133:D196" si="58">IF($AD133&lt;&gt;"D","",INDEX($BA$5:$BA$404,$AC133))</f>
        <v/>
      </c>
      <c r="E133" s="31" t="str">
        <f t="shared" ref="E133:E196" si="59">IF($AD133="Z",SUM($AR$5:$AR$404),IF($AD133="D",INDEX($AR$5:$AR$404,$AC133),IF($AD133="T",SUMIF($X$5:$X$404,$AF133,$AR$5:$AR$404),IF($AD133="B",SUMIF($AN$5:$AN$404,$AQ133,$AR$5:$AR$404),""))))</f>
        <v/>
      </c>
      <c r="F133" s="32" t="str">
        <f t="shared" ref="F133:F196" si="60">IF($AD133="Z",ROUND(SUM($AS$5:$AS$404),2),IF($AD133="D",INDEX($AS$5:$AS$404,$AC133),IF($AD133="T",ROUND(SUMIF($X$5:$X$404,$AF133,$AS$5:$AS$404),2),IF($AD133="B",ROUND(SUMIF($AN$5:$AN$404,$AQ133,$AS$5:$AS$404),2),""))))</f>
        <v/>
      </c>
      <c r="G133" s="32" t="str">
        <f t="shared" ref="G133:G196" si="61">IF($AD133&lt;&gt;"D","",INDEX($AT$5:$AT$404,$AC133))</f>
        <v/>
      </c>
      <c r="H133" s="32" t="str">
        <f t="shared" ref="H133:H196" si="62">IF($AD133&lt;&gt;"D","",INDEX($BC$5:$BC$404,$AC133))</f>
        <v/>
      </c>
      <c r="I133" s="32" t="str">
        <f t="shared" ref="I133:I196" si="63">IF($AD133&lt;&gt;"D","",INDEX($BD$5:$BD$404,$AC133))</f>
        <v/>
      </c>
      <c r="J133" s="46" t="str">
        <f t="shared" ref="J133:J196" si="64">IF($AD133&lt;&gt;"D","",IF(N($B133)=0,"",ROUND($I133/$B133,4)))</f>
        <v/>
      </c>
      <c r="K133" s="32" t="str">
        <f t="shared" ref="K133:K196" si="65">IF($AD133="Z",ROUND(SUM($AU$5:$AU$404),2),IF($AD133="D",INDEX($AU$5:$AU$404,$AC133),IF($AD133="T",ROUND(SUMIF($X$5:$X$404,$AF133,$AU$5:$AU$404),2),IF($AD133="B",ROUND(SUMIF($AN$5:$AN$404,$AQ133,$AU$5:$AU$404),2),""))))</f>
        <v/>
      </c>
      <c r="L133" s="32" t="str">
        <f t="shared" ref="L133:L196" si="66">IF($AD133="Z",ROUND(SUM($AV$5:$AV$404),2),IF($AD133="D",INDEX($AV$5:$AV$404,$AC133),IF($AD133="T",ROUND(SUMIF($X$5:$X$404,$AF133,$AV$5:$AV$404),2),IF($AD133="B",ROUND(SUMIF($AN$5:$AN$404,$AQ133,$AV$5:$AV$404),2),""))))</f>
        <v/>
      </c>
      <c r="M133" s="32" t="str">
        <f t="shared" ref="M133:M196" si="67">IF($AD133="Z",ROUND(SUM($AJ$5:$AJ$704),2),IF($AD133="B",ROUND(SUMIF($AQ$5:$AQ$704,$AQ133,$AJ$5:$AJ$704),2),IF($AD133&lt;&gt;"T","",$AJ133)))</f>
        <v/>
      </c>
      <c r="N133" s="32" t="str">
        <f t="shared" ref="N133:N196" si="68">IF(OR($AD133="D",$AD133="T",$AD133="B",$AD133="Z"),ROUND(N($K133)-N($L133)-N($M133),2),"")</f>
        <v/>
      </c>
      <c r="O133" s="32" t="str">
        <f t="shared" ref="O133:O196" si="69">IF(OR($AD133="D",$AD133="T",$AD133="B",$AD133="Z"),IF(N($E133)=0,"",ROUND($F133/$E133,2)),"")</f>
        <v/>
      </c>
      <c r="Q133" t="str">
        <f>IFERROR(MATCH(129,บันทึกรายเที่ยว!$Z$6:$Z$10005,0),"")</f>
        <v/>
      </c>
      <c r="R133" t="str">
        <f>IF($Q133="","",INDEX(บันทึกรายเที่ยว!$V$6:$V$10005,$Q133))</f>
        <v/>
      </c>
      <c r="S133" t="str">
        <f>IF($Q133="","",INDEX(บันทึกรายเที่ยว!$F$6:$F$10005,$Q133))</f>
        <v/>
      </c>
      <c r="T133" t="str">
        <f>IF($Q133="","",MATCH($S133,บันทึกรายเที่ยว!$F$6:$F$10005,0))</f>
        <v/>
      </c>
      <c r="U133" t="str">
        <f>IF($Q133="","",$AL133*10000000+$T133*1000+129)</f>
        <v/>
      </c>
      <c r="V133" t="str">
        <f>IFERROR(MATCH(SMALL($U$5:$U$404,129),$U$5:$U$404,0),"")</f>
        <v/>
      </c>
      <c r="W133" t="str">
        <f t="shared" ref="W133:W196" si="70">IF($V133="","",INDEX($Q$5:$Q$404,$V133))</f>
        <v/>
      </c>
      <c r="X133" t="str">
        <f t="shared" ref="X133:X196" si="71">IF($V133="","",INDEX($S$5:$S$404,$V133))</f>
        <v/>
      </c>
      <c r="Y133" t="str">
        <f t="shared" ref="Y133:Y196" si="72">IF($V133="","",INDEX($R$5:$R$404,$V133))</f>
        <v/>
      </c>
      <c r="Z133">
        <f t="shared" si="54"/>
        <v>0</v>
      </c>
      <c r="AA133">
        <f t="shared" ref="AA133:AA196" si="73">IF($V133="",0,IF($V134="",1,IF($X134&lt;&gt;$X133,1,0)))</f>
        <v>0</v>
      </c>
      <c r="AB133">
        <f>IF($V133="",99999+129,$AB132+1+$Z132+$AA132+$AO132)</f>
        <v>100128</v>
      </c>
      <c r="AC133" t="str">
        <f>IFERROR(MATCH(129,$AB$5:$AB$404,1),"")</f>
        <v/>
      </c>
      <c r="AD133" t="str">
        <f>IF(129=$AI$1+1,"Z",IF($AC133="","",IF(INDEX($V$5:$V$404,$AC133)="","",IF(129&gt;INDEX($AB$5:$AB$404,$AC133)+INDEX($Z$5:$Z$404,$AC133)+INDEX($AA$5:$AA$404,$AC133)+INDEX($AO$5:$AO$404,$AC133),"",IF(129=INDEX($AB$5:$AB$404,$AC133)+INDEX($Z$5:$Z$404,$AC133),"D",IF(AND(INDEX($Z$5:$Z$404,$AC133)=1,129=INDEX($AB$5:$AB$404,$AC133)),"H",IF(AND(INDEX($AO$5:$AO$404,$AC133)=1,129=INDEX($AB$5:$AB$404,$AC133)+INDEX($Z$5:$Z$404,$AC133)+INDEX($AA$5:$AA$404,$AC133)+INDEX($AO$5:$AO$404,$AC133)),"B","T")))))))</f>
        <v/>
      </c>
      <c r="AF133" t="str">
        <f t="shared" ref="AF133:AF196" si="74">IF(OR($AD133="",$AD133="Z",$AD133="B"),"",INDEX($X$5:$X$404,$AC133))</f>
        <v/>
      </c>
      <c r="AJ133">
        <f>IF($AD133&lt;&gt;"T",0,ROUND(SUMIF(oil!$B$4:$B$63,$AF133,oil!$AE$4:$AE$63),2))</f>
        <v>0</v>
      </c>
      <c r="AK133" t="str">
        <f>IF($S133="","",IFERROR(INDEX(อัตราค่าขนส่ง!$R$5:$R$54,MATCH($S133,อัตราค่าขนส่ง!$Q$5:$Q$54,0)),INDEX(รายการมาตรฐาน!$G$2:$G$3,1)))</f>
        <v/>
      </c>
      <c r="AL133" t="str">
        <f>IF($S133="","",IFERROR(MATCH($AK133,รายการมาตรฐาน!$G$2:$G$3,0),1))</f>
        <v/>
      </c>
      <c r="AM133" t="str">
        <f t="shared" ref="AM133:AM196" si="75">IF($V133="","",INDEX($AK$5:$AK$404,$V133))</f>
        <v/>
      </c>
      <c r="AN133" t="str">
        <f t="shared" ref="AN133:AN196" si="76">IF($V133="","",INDEX($AL$5:$AL$404,$V133))</f>
        <v/>
      </c>
      <c r="AO133">
        <f t="shared" ref="AO133:AO196" si="77">IF(OR($V133="",$AI$2&lt;=1),0,IF($V134="",1,IF($AN134&lt;&gt;$AN133,1,0)))</f>
        <v>0</v>
      </c>
      <c r="AP133">
        <f t="shared" si="55"/>
        <v>0</v>
      </c>
      <c r="AQ133" t="str">
        <f t="shared" ref="AQ133:AQ196" si="78">IF(OR($AD133="",$AD133="Z"),"",INDEX($AN$5:$AN$404,$AC133))</f>
        <v/>
      </c>
      <c r="AR133">
        <f>IF($Y133="",0,COUNTIF(บันทึกรายเที่ยว!$V$6:$V$10005,$Y133))</f>
        <v>0</v>
      </c>
      <c r="AS133">
        <f>IF($Y133="",0,ROUND(SUMIF(บันทึกรายเที่ยว!$V$6:$V$10005,$Y133,บันทึกรายเที่ยว!$M$6:$M$10005),2))</f>
        <v>0</v>
      </c>
      <c r="AT133">
        <f>IF($Y133="",0,IFERROR(INDEX(อัตราค่าขนส่ง!$J$5:$J$204,MATCH($Y133,อัตราค่าขนส่ง!$O$5:$O$204,0)),0))</f>
        <v>0</v>
      </c>
      <c r="AU133">
        <f t="shared" ref="AU133:AU196" si="79">ROUND($AS133*$BD133,2)</f>
        <v>0</v>
      </c>
      <c r="AV133">
        <f t="shared" ref="AV133:AV196" si="80">ROUND($AU133*$BF$2/100,2)</f>
        <v>0</v>
      </c>
      <c r="AW133" t="str">
        <f>IF($Y133="","",IFERROR(INDEX(อัตราค่าขนส่ง!$F$5:$F$204,MATCH($Y133,อัตราค่าขนส่ง!$O$5:$O$204,0)),""))</f>
        <v/>
      </c>
      <c r="AX133" t="str">
        <f>IF($W133="","",INDEX(บันทึกรายเที่ยว!$D$6:$D$10005,$W133))</f>
        <v/>
      </c>
      <c r="AY133" t="str">
        <f>IF($W133="","",INDEX(บันทึกรายเที่ยว!$R$6:$R$10005,$W133))</f>
        <v/>
      </c>
      <c r="AZ133">
        <f t="shared" ref="AZ133:AZ196" si="81">IF(AND($AD133="T",$AQ133=1),N($AZ132)+1,N($AZ132))</f>
        <v>0</v>
      </c>
      <c r="BA133" t="str">
        <f>IF($W133="","",INDEX(บันทึกรายเที่ยว!$E$6:$E$10005,$W133))</f>
        <v/>
      </c>
      <c r="BC133">
        <f>IF($Y133="",0,IFERROR(INDEX(อัตราค่าขนส่ง!$M$5:$M$204,MATCH($Y133,อัตราค่าขนส่ง!$O$5:$O$204,0)),0))</f>
        <v>0</v>
      </c>
      <c r="BD133">
        <f>IF($Y133="",0,IFERROR(INDEX(อัตราค่าขนส่ง!$N$5:$N$204,MATCH($Y133,อัตราค่าขนส่ง!$O$5:$O$204,0)),0))</f>
        <v>0</v>
      </c>
    </row>
    <row r="134" spans="1:56" ht="21" customHeight="1" x14ac:dyDescent="0.95">
      <c r="A134" s="36" t="str">
        <f>IF($AD134="","",IF($AD134="Z","รวมจ่ายทั้งสิ้น",IF($AD134="H",INDEX($X$5:$X$404,$AC134),IF($AD134="T","รวม",IF($AD134="B",IFERROR(INDEX(อัตราค่าขนส่ง!$U$5:$U$14,MATCH(INDEX($AM$5:$AM$404,$AC134),อัตราค่าขนส่ง!$T$5:$T$14,0)),"รวมกลุ่ม "&amp;INDEX($AM$5:$AM$404,$AC134)),INDEX($AY$5:$AY$404,$AC134))))))</f>
        <v/>
      </c>
      <c r="B134" s="31" t="str">
        <f t="shared" si="56"/>
        <v/>
      </c>
      <c r="C134" s="8" t="str">
        <f t="shared" si="57"/>
        <v/>
      </c>
      <c r="D134" s="37" t="str">
        <f t="shared" si="58"/>
        <v/>
      </c>
      <c r="E134" s="31" t="str">
        <f t="shared" si="59"/>
        <v/>
      </c>
      <c r="F134" s="32" t="str">
        <f t="shared" si="60"/>
        <v/>
      </c>
      <c r="G134" s="32" t="str">
        <f t="shared" si="61"/>
        <v/>
      </c>
      <c r="H134" s="32" t="str">
        <f t="shared" si="62"/>
        <v/>
      </c>
      <c r="I134" s="32" t="str">
        <f t="shared" si="63"/>
        <v/>
      </c>
      <c r="J134" s="46" t="str">
        <f t="shared" si="64"/>
        <v/>
      </c>
      <c r="K134" s="32" t="str">
        <f t="shared" si="65"/>
        <v/>
      </c>
      <c r="L134" s="32" t="str">
        <f t="shared" si="66"/>
        <v/>
      </c>
      <c r="M134" s="32" t="str">
        <f t="shared" si="67"/>
        <v/>
      </c>
      <c r="N134" s="32" t="str">
        <f t="shared" si="68"/>
        <v/>
      </c>
      <c r="O134" s="32" t="str">
        <f t="shared" si="69"/>
        <v/>
      </c>
      <c r="Q134" t="str">
        <f>IFERROR(MATCH(130,บันทึกรายเที่ยว!$Z$6:$Z$10005,0),"")</f>
        <v/>
      </c>
      <c r="R134" t="str">
        <f>IF($Q134="","",INDEX(บันทึกรายเที่ยว!$V$6:$V$10005,$Q134))</f>
        <v/>
      </c>
      <c r="S134" t="str">
        <f>IF($Q134="","",INDEX(บันทึกรายเที่ยว!$F$6:$F$10005,$Q134))</f>
        <v/>
      </c>
      <c r="T134" t="str">
        <f>IF($Q134="","",MATCH($S134,บันทึกรายเที่ยว!$F$6:$F$10005,0))</f>
        <v/>
      </c>
      <c r="U134" t="str">
        <f>IF($Q134="","",$AL134*10000000+$T134*1000+130)</f>
        <v/>
      </c>
      <c r="V134" t="str">
        <f>IFERROR(MATCH(SMALL($U$5:$U$404,130),$U$5:$U$404,0),"")</f>
        <v/>
      </c>
      <c r="W134" t="str">
        <f t="shared" si="70"/>
        <v/>
      </c>
      <c r="X134" t="str">
        <f t="shared" si="71"/>
        <v/>
      </c>
      <c r="Y134" t="str">
        <f t="shared" si="72"/>
        <v/>
      </c>
      <c r="Z134">
        <f t="shared" ref="Z134:Z197" si="82">IF($V134="",0,IF($X134&lt;&gt;$X133,1,0))</f>
        <v>0</v>
      </c>
      <c r="AA134">
        <f t="shared" si="73"/>
        <v>0</v>
      </c>
      <c r="AB134">
        <f>IF($V134="",99999+130,$AB133+1+$Z133+$AA133+$AO133)</f>
        <v>100129</v>
      </c>
      <c r="AC134" t="str">
        <f>IFERROR(MATCH(130,$AB$5:$AB$404,1),"")</f>
        <v/>
      </c>
      <c r="AD134" t="str">
        <f>IF(130=$AI$1+1,"Z",IF($AC134="","",IF(INDEX($V$5:$V$404,$AC134)="","",IF(130&gt;INDEX($AB$5:$AB$404,$AC134)+INDEX($Z$5:$Z$404,$AC134)+INDEX($AA$5:$AA$404,$AC134)+INDEX($AO$5:$AO$404,$AC134),"",IF(130=INDEX($AB$5:$AB$404,$AC134)+INDEX($Z$5:$Z$404,$AC134),"D",IF(AND(INDEX($Z$5:$Z$404,$AC134)=1,130=INDEX($AB$5:$AB$404,$AC134)),"H",IF(AND(INDEX($AO$5:$AO$404,$AC134)=1,130=INDEX($AB$5:$AB$404,$AC134)+INDEX($Z$5:$Z$404,$AC134)+INDEX($AA$5:$AA$404,$AC134)+INDEX($AO$5:$AO$404,$AC134)),"B","T")))))))</f>
        <v/>
      </c>
      <c r="AF134" t="str">
        <f t="shared" si="74"/>
        <v/>
      </c>
      <c r="AJ134">
        <f>IF($AD134&lt;&gt;"T",0,ROUND(SUMIF(oil!$B$4:$B$63,$AF134,oil!$AE$4:$AE$63),2))</f>
        <v>0</v>
      </c>
      <c r="AK134" t="str">
        <f>IF($S134="","",IFERROR(INDEX(อัตราค่าขนส่ง!$R$5:$R$54,MATCH($S134,อัตราค่าขนส่ง!$Q$5:$Q$54,0)),INDEX(รายการมาตรฐาน!$G$2:$G$3,1)))</f>
        <v/>
      </c>
      <c r="AL134" t="str">
        <f>IF($S134="","",IFERROR(MATCH($AK134,รายการมาตรฐาน!$G$2:$G$3,0),1))</f>
        <v/>
      </c>
      <c r="AM134" t="str">
        <f t="shared" si="75"/>
        <v/>
      </c>
      <c r="AN134" t="str">
        <f t="shared" si="76"/>
        <v/>
      </c>
      <c r="AO134">
        <f t="shared" si="77"/>
        <v>0</v>
      </c>
      <c r="AP134">
        <f t="shared" ref="AP134:AP197" si="83">IF($V134="",0,IF($AN134&lt;&gt;$AN133,1,0))</f>
        <v>0</v>
      </c>
      <c r="AQ134" t="str">
        <f t="shared" si="78"/>
        <v/>
      </c>
      <c r="AR134">
        <f>IF($Y134="",0,COUNTIF(บันทึกรายเที่ยว!$V$6:$V$10005,$Y134))</f>
        <v>0</v>
      </c>
      <c r="AS134">
        <f>IF($Y134="",0,ROUND(SUMIF(บันทึกรายเที่ยว!$V$6:$V$10005,$Y134,บันทึกรายเที่ยว!$M$6:$M$10005),2))</f>
        <v>0</v>
      </c>
      <c r="AT134">
        <f>IF($Y134="",0,IFERROR(INDEX(อัตราค่าขนส่ง!$J$5:$J$204,MATCH($Y134,อัตราค่าขนส่ง!$O$5:$O$204,0)),0))</f>
        <v>0</v>
      </c>
      <c r="AU134">
        <f t="shared" si="79"/>
        <v>0</v>
      </c>
      <c r="AV134">
        <f t="shared" si="80"/>
        <v>0</v>
      </c>
      <c r="AW134" t="str">
        <f>IF($Y134="","",IFERROR(INDEX(อัตราค่าขนส่ง!$F$5:$F$204,MATCH($Y134,อัตราค่าขนส่ง!$O$5:$O$204,0)),""))</f>
        <v/>
      </c>
      <c r="AX134" t="str">
        <f>IF($W134="","",INDEX(บันทึกรายเที่ยว!$D$6:$D$10005,$W134))</f>
        <v/>
      </c>
      <c r="AY134" t="str">
        <f>IF($W134="","",INDEX(บันทึกรายเที่ยว!$R$6:$R$10005,$W134))</f>
        <v/>
      </c>
      <c r="AZ134">
        <f t="shared" si="81"/>
        <v>0</v>
      </c>
      <c r="BA134" t="str">
        <f>IF($W134="","",INDEX(บันทึกรายเที่ยว!$E$6:$E$10005,$W134))</f>
        <v/>
      </c>
      <c r="BC134">
        <f>IF($Y134="",0,IFERROR(INDEX(อัตราค่าขนส่ง!$M$5:$M$204,MATCH($Y134,อัตราค่าขนส่ง!$O$5:$O$204,0)),0))</f>
        <v>0</v>
      </c>
      <c r="BD134">
        <f>IF($Y134="",0,IFERROR(INDEX(อัตราค่าขนส่ง!$N$5:$N$204,MATCH($Y134,อัตราค่าขนส่ง!$O$5:$O$204,0)),0))</f>
        <v>0</v>
      </c>
    </row>
    <row r="135" spans="1:56" ht="21" customHeight="1" x14ac:dyDescent="0.95">
      <c r="A135" s="36" t="str">
        <f>IF($AD135="","",IF($AD135="Z","รวมจ่ายทั้งสิ้น",IF($AD135="H",INDEX($X$5:$X$404,$AC135),IF($AD135="T","รวม",IF($AD135="B",IFERROR(INDEX(อัตราค่าขนส่ง!$U$5:$U$14,MATCH(INDEX($AM$5:$AM$404,$AC135),อัตราค่าขนส่ง!$T$5:$T$14,0)),"รวมกลุ่ม "&amp;INDEX($AM$5:$AM$404,$AC135)),INDEX($AY$5:$AY$404,$AC135))))))</f>
        <v/>
      </c>
      <c r="B135" s="31" t="str">
        <f t="shared" si="56"/>
        <v/>
      </c>
      <c r="C135" s="8" t="str">
        <f t="shared" si="57"/>
        <v/>
      </c>
      <c r="D135" s="37" t="str">
        <f t="shared" si="58"/>
        <v/>
      </c>
      <c r="E135" s="31" t="str">
        <f t="shared" si="59"/>
        <v/>
      </c>
      <c r="F135" s="32" t="str">
        <f t="shared" si="60"/>
        <v/>
      </c>
      <c r="G135" s="32" t="str">
        <f t="shared" si="61"/>
        <v/>
      </c>
      <c r="H135" s="32" t="str">
        <f t="shared" si="62"/>
        <v/>
      </c>
      <c r="I135" s="32" t="str">
        <f t="shared" si="63"/>
        <v/>
      </c>
      <c r="J135" s="46" t="str">
        <f t="shared" si="64"/>
        <v/>
      </c>
      <c r="K135" s="32" t="str">
        <f t="shared" si="65"/>
        <v/>
      </c>
      <c r="L135" s="32" t="str">
        <f t="shared" si="66"/>
        <v/>
      </c>
      <c r="M135" s="32" t="str">
        <f t="shared" si="67"/>
        <v/>
      </c>
      <c r="N135" s="32" t="str">
        <f t="shared" si="68"/>
        <v/>
      </c>
      <c r="O135" s="32" t="str">
        <f t="shared" si="69"/>
        <v/>
      </c>
      <c r="Q135" t="str">
        <f>IFERROR(MATCH(131,บันทึกรายเที่ยว!$Z$6:$Z$10005,0),"")</f>
        <v/>
      </c>
      <c r="R135" t="str">
        <f>IF($Q135="","",INDEX(บันทึกรายเที่ยว!$V$6:$V$10005,$Q135))</f>
        <v/>
      </c>
      <c r="S135" t="str">
        <f>IF($Q135="","",INDEX(บันทึกรายเที่ยว!$F$6:$F$10005,$Q135))</f>
        <v/>
      </c>
      <c r="T135" t="str">
        <f>IF($Q135="","",MATCH($S135,บันทึกรายเที่ยว!$F$6:$F$10005,0))</f>
        <v/>
      </c>
      <c r="U135" t="str">
        <f>IF($Q135="","",$AL135*10000000+$T135*1000+131)</f>
        <v/>
      </c>
      <c r="V135" t="str">
        <f>IFERROR(MATCH(SMALL($U$5:$U$404,131),$U$5:$U$404,0),"")</f>
        <v/>
      </c>
      <c r="W135" t="str">
        <f t="shared" si="70"/>
        <v/>
      </c>
      <c r="X135" t="str">
        <f t="shared" si="71"/>
        <v/>
      </c>
      <c r="Y135" t="str">
        <f t="shared" si="72"/>
        <v/>
      </c>
      <c r="Z135">
        <f t="shared" si="82"/>
        <v>0</v>
      </c>
      <c r="AA135">
        <f t="shared" si="73"/>
        <v>0</v>
      </c>
      <c r="AB135">
        <f>IF($V135="",99999+131,$AB134+1+$Z134+$AA134+$AO134)</f>
        <v>100130</v>
      </c>
      <c r="AC135" t="str">
        <f>IFERROR(MATCH(131,$AB$5:$AB$404,1),"")</f>
        <v/>
      </c>
      <c r="AD135" t="str">
        <f>IF(131=$AI$1+1,"Z",IF($AC135="","",IF(INDEX($V$5:$V$404,$AC135)="","",IF(131&gt;INDEX($AB$5:$AB$404,$AC135)+INDEX($Z$5:$Z$404,$AC135)+INDEX($AA$5:$AA$404,$AC135)+INDEX($AO$5:$AO$404,$AC135),"",IF(131=INDEX($AB$5:$AB$404,$AC135)+INDEX($Z$5:$Z$404,$AC135),"D",IF(AND(INDEX($Z$5:$Z$404,$AC135)=1,131=INDEX($AB$5:$AB$404,$AC135)),"H",IF(AND(INDEX($AO$5:$AO$404,$AC135)=1,131=INDEX($AB$5:$AB$404,$AC135)+INDEX($Z$5:$Z$404,$AC135)+INDEX($AA$5:$AA$404,$AC135)+INDEX($AO$5:$AO$404,$AC135)),"B","T")))))))</f>
        <v/>
      </c>
      <c r="AF135" t="str">
        <f t="shared" si="74"/>
        <v/>
      </c>
      <c r="AJ135">
        <f>IF($AD135&lt;&gt;"T",0,ROUND(SUMIF(oil!$B$4:$B$63,$AF135,oil!$AE$4:$AE$63),2))</f>
        <v>0</v>
      </c>
      <c r="AK135" t="str">
        <f>IF($S135="","",IFERROR(INDEX(อัตราค่าขนส่ง!$R$5:$R$54,MATCH($S135,อัตราค่าขนส่ง!$Q$5:$Q$54,0)),INDEX(รายการมาตรฐาน!$G$2:$G$3,1)))</f>
        <v/>
      </c>
      <c r="AL135" t="str">
        <f>IF($S135="","",IFERROR(MATCH($AK135,รายการมาตรฐาน!$G$2:$G$3,0),1))</f>
        <v/>
      </c>
      <c r="AM135" t="str">
        <f t="shared" si="75"/>
        <v/>
      </c>
      <c r="AN135" t="str">
        <f t="shared" si="76"/>
        <v/>
      </c>
      <c r="AO135">
        <f t="shared" si="77"/>
        <v>0</v>
      </c>
      <c r="AP135">
        <f t="shared" si="83"/>
        <v>0</v>
      </c>
      <c r="AQ135" t="str">
        <f t="shared" si="78"/>
        <v/>
      </c>
      <c r="AR135">
        <f>IF($Y135="",0,COUNTIF(บันทึกรายเที่ยว!$V$6:$V$10005,$Y135))</f>
        <v>0</v>
      </c>
      <c r="AS135">
        <f>IF($Y135="",0,ROUND(SUMIF(บันทึกรายเที่ยว!$V$6:$V$10005,$Y135,บันทึกรายเที่ยว!$M$6:$M$10005),2))</f>
        <v>0</v>
      </c>
      <c r="AT135">
        <f>IF($Y135="",0,IFERROR(INDEX(อัตราค่าขนส่ง!$J$5:$J$204,MATCH($Y135,อัตราค่าขนส่ง!$O$5:$O$204,0)),0))</f>
        <v>0</v>
      </c>
      <c r="AU135">
        <f t="shared" si="79"/>
        <v>0</v>
      </c>
      <c r="AV135">
        <f t="shared" si="80"/>
        <v>0</v>
      </c>
      <c r="AW135" t="str">
        <f>IF($Y135="","",IFERROR(INDEX(อัตราค่าขนส่ง!$F$5:$F$204,MATCH($Y135,อัตราค่าขนส่ง!$O$5:$O$204,0)),""))</f>
        <v/>
      </c>
      <c r="AX135" t="str">
        <f>IF($W135="","",INDEX(บันทึกรายเที่ยว!$D$6:$D$10005,$W135))</f>
        <v/>
      </c>
      <c r="AY135" t="str">
        <f>IF($W135="","",INDEX(บันทึกรายเที่ยว!$R$6:$R$10005,$W135))</f>
        <v/>
      </c>
      <c r="AZ135">
        <f t="shared" si="81"/>
        <v>0</v>
      </c>
      <c r="BA135" t="str">
        <f>IF($W135="","",INDEX(บันทึกรายเที่ยว!$E$6:$E$10005,$W135))</f>
        <v/>
      </c>
      <c r="BC135">
        <f>IF($Y135="",0,IFERROR(INDEX(อัตราค่าขนส่ง!$M$5:$M$204,MATCH($Y135,อัตราค่าขนส่ง!$O$5:$O$204,0)),0))</f>
        <v>0</v>
      </c>
      <c r="BD135">
        <f>IF($Y135="",0,IFERROR(INDEX(อัตราค่าขนส่ง!$N$5:$N$204,MATCH($Y135,อัตราค่าขนส่ง!$O$5:$O$204,0)),0))</f>
        <v>0</v>
      </c>
    </row>
    <row r="136" spans="1:56" ht="21" customHeight="1" x14ac:dyDescent="0.95">
      <c r="A136" s="36" t="str">
        <f>IF($AD136="","",IF($AD136="Z","รวมจ่ายทั้งสิ้น",IF($AD136="H",INDEX($X$5:$X$404,$AC136),IF($AD136="T","รวม",IF($AD136="B",IFERROR(INDEX(อัตราค่าขนส่ง!$U$5:$U$14,MATCH(INDEX($AM$5:$AM$404,$AC136),อัตราค่าขนส่ง!$T$5:$T$14,0)),"รวมกลุ่ม "&amp;INDEX($AM$5:$AM$404,$AC136)),INDEX($AY$5:$AY$404,$AC136))))))</f>
        <v/>
      </c>
      <c r="B136" s="31" t="str">
        <f t="shared" si="56"/>
        <v/>
      </c>
      <c r="C136" s="8" t="str">
        <f t="shared" si="57"/>
        <v/>
      </c>
      <c r="D136" s="37" t="str">
        <f t="shared" si="58"/>
        <v/>
      </c>
      <c r="E136" s="31" t="str">
        <f t="shared" si="59"/>
        <v/>
      </c>
      <c r="F136" s="32" t="str">
        <f t="shared" si="60"/>
        <v/>
      </c>
      <c r="G136" s="32" t="str">
        <f t="shared" si="61"/>
        <v/>
      </c>
      <c r="H136" s="32" t="str">
        <f t="shared" si="62"/>
        <v/>
      </c>
      <c r="I136" s="32" t="str">
        <f t="shared" si="63"/>
        <v/>
      </c>
      <c r="J136" s="46" t="str">
        <f t="shared" si="64"/>
        <v/>
      </c>
      <c r="K136" s="32" t="str">
        <f t="shared" si="65"/>
        <v/>
      </c>
      <c r="L136" s="32" t="str">
        <f t="shared" si="66"/>
        <v/>
      </c>
      <c r="M136" s="32" t="str">
        <f t="shared" si="67"/>
        <v/>
      </c>
      <c r="N136" s="32" t="str">
        <f t="shared" si="68"/>
        <v/>
      </c>
      <c r="O136" s="32" t="str">
        <f t="shared" si="69"/>
        <v/>
      </c>
      <c r="Q136" t="str">
        <f>IFERROR(MATCH(132,บันทึกรายเที่ยว!$Z$6:$Z$10005,0),"")</f>
        <v/>
      </c>
      <c r="R136" t="str">
        <f>IF($Q136="","",INDEX(บันทึกรายเที่ยว!$V$6:$V$10005,$Q136))</f>
        <v/>
      </c>
      <c r="S136" t="str">
        <f>IF($Q136="","",INDEX(บันทึกรายเที่ยว!$F$6:$F$10005,$Q136))</f>
        <v/>
      </c>
      <c r="T136" t="str">
        <f>IF($Q136="","",MATCH($S136,บันทึกรายเที่ยว!$F$6:$F$10005,0))</f>
        <v/>
      </c>
      <c r="U136" t="str">
        <f>IF($Q136="","",$AL136*10000000+$T136*1000+132)</f>
        <v/>
      </c>
      <c r="V136" t="str">
        <f>IFERROR(MATCH(SMALL($U$5:$U$404,132),$U$5:$U$404,0),"")</f>
        <v/>
      </c>
      <c r="W136" t="str">
        <f t="shared" si="70"/>
        <v/>
      </c>
      <c r="X136" t="str">
        <f t="shared" si="71"/>
        <v/>
      </c>
      <c r="Y136" t="str">
        <f t="shared" si="72"/>
        <v/>
      </c>
      <c r="Z136">
        <f t="shared" si="82"/>
        <v>0</v>
      </c>
      <c r="AA136">
        <f t="shared" si="73"/>
        <v>0</v>
      </c>
      <c r="AB136">
        <f>IF($V136="",99999+132,$AB135+1+$Z135+$AA135+$AO135)</f>
        <v>100131</v>
      </c>
      <c r="AC136" t="str">
        <f>IFERROR(MATCH(132,$AB$5:$AB$404,1),"")</f>
        <v/>
      </c>
      <c r="AD136" t="str">
        <f>IF(132=$AI$1+1,"Z",IF($AC136="","",IF(INDEX($V$5:$V$404,$AC136)="","",IF(132&gt;INDEX($AB$5:$AB$404,$AC136)+INDEX($Z$5:$Z$404,$AC136)+INDEX($AA$5:$AA$404,$AC136)+INDEX($AO$5:$AO$404,$AC136),"",IF(132=INDEX($AB$5:$AB$404,$AC136)+INDEX($Z$5:$Z$404,$AC136),"D",IF(AND(INDEX($Z$5:$Z$404,$AC136)=1,132=INDEX($AB$5:$AB$404,$AC136)),"H",IF(AND(INDEX($AO$5:$AO$404,$AC136)=1,132=INDEX($AB$5:$AB$404,$AC136)+INDEX($Z$5:$Z$404,$AC136)+INDEX($AA$5:$AA$404,$AC136)+INDEX($AO$5:$AO$404,$AC136)),"B","T")))))))</f>
        <v/>
      </c>
      <c r="AF136" t="str">
        <f t="shared" si="74"/>
        <v/>
      </c>
      <c r="AJ136">
        <f>IF($AD136&lt;&gt;"T",0,ROUND(SUMIF(oil!$B$4:$B$63,$AF136,oil!$AE$4:$AE$63),2))</f>
        <v>0</v>
      </c>
      <c r="AK136" t="str">
        <f>IF($S136="","",IFERROR(INDEX(อัตราค่าขนส่ง!$R$5:$R$54,MATCH($S136,อัตราค่าขนส่ง!$Q$5:$Q$54,0)),INDEX(รายการมาตรฐาน!$G$2:$G$3,1)))</f>
        <v/>
      </c>
      <c r="AL136" t="str">
        <f>IF($S136="","",IFERROR(MATCH($AK136,รายการมาตรฐาน!$G$2:$G$3,0),1))</f>
        <v/>
      </c>
      <c r="AM136" t="str">
        <f t="shared" si="75"/>
        <v/>
      </c>
      <c r="AN136" t="str">
        <f t="shared" si="76"/>
        <v/>
      </c>
      <c r="AO136">
        <f t="shared" si="77"/>
        <v>0</v>
      </c>
      <c r="AP136">
        <f t="shared" si="83"/>
        <v>0</v>
      </c>
      <c r="AQ136" t="str">
        <f t="shared" si="78"/>
        <v/>
      </c>
      <c r="AR136">
        <f>IF($Y136="",0,COUNTIF(บันทึกรายเที่ยว!$V$6:$V$10005,$Y136))</f>
        <v>0</v>
      </c>
      <c r="AS136">
        <f>IF($Y136="",0,ROUND(SUMIF(บันทึกรายเที่ยว!$V$6:$V$10005,$Y136,บันทึกรายเที่ยว!$M$6:$M$10005),2))</f>
        <v>0</v>
      </c>
      <c r="AT136">
        <f>IF($Y136="",0,IFERROR(INDEX(อัตราค่าขนส่ง!$J$5:$J$204,MATCH($Y136,อัตราค่าขนส่ง!$O$5:$O$204,0)),0))</f>
        <v>0</v>
      </c>
      <c r="AU136">
        <f t="shared" si="79"/>
        <v>0</v>
      </c>
      <c r="AV136">
        <f t="shared" si="80"/>
        <v>0</v>
      </c>
      <c r="AW136" t="str">
        <f>IF($Y136="","",IFERROR(INDEX(อัตราค่าขนส่ง!$F$5:$F$204,MATCH($Y136,อัตราค่าขนส่ง!$O$5:$O$204,0)),""))</f>
        <v/>
      </c>
      <c r="AX136" t="str">
        <f>IF($W136="","",INDEX(บันทึกรายเที่ยว!$D$6:$D$10005,$W136))</f>
        <v/>
      </c>
      <c r="AY136" t="str">
        <f>IF($W136="","",INDEX(บันทึกรายเที่ยว!$R$6:$R$10005,$W136))</f>
        <v/>
      </c>
      <c r="AZ136">
        <f t="shared" si="81"/>
        <v>0</v>
      </c>
      <c r="BA136" t="str">
        <f>IF($W136="","",INDEX(บันทึกรายเที่ยว!$E$6:$E$10005,$W136))</f>
        <v/>
      </c>
      <c r="BC136">
        <f>IF($Y136="",0,IFERROR(INDEX(อัตราค่าขนส่ง!$M$5:$M$204,MATCH($Y136,อัตราค่าขนส่ง!$O$5:$O$204,0)),0))</f>
        <v>0</v>
      </c>
      <c r="BD136">
        <f>IF($Y136="",0,IFERROR(INDEX(อัตราค่าขนส่ง!$N$5:$N$204,MATCH($Y136,อัตราค่าขนส่ง!$O$5:$O$204,0)),0))</f>
        <v>0</v>
      </c>
    </row>
    <row r="137" spans="1:56" ht="21" customHeight="1" x14ac:dyDescent="0.95">
      <c r="A137" s="36" t="str">
        <f>IF($AD137="","",IF($AD137="Z","รวมจ่ายทั้งสิ้น",IF($AD137="H",INDEX($X$5:$X$404,$AC137),IF($AD137="T","รวม",IF($AD137="B",IFERROR(INDEX(อัตราค่าขนส่ง!$U$5:$U$14,MATCH(INDEX($AM$5:$AM$404,$AC137),อัตราค่าขนส่ง!$T$5:$T$14,0)),"รวมกลุ่ม "&amp;INDEX($AM$5:$AM$404,$AC137)),INDEX($AY$5:$AY$404,$AC137))))))</f>
        <v/>
      </c>
      <c r="B137" s="31" t="str">
        <f t="shared" si="56"/>
        <v/>
      </c>
      <c r="C137" s="8" t="str">
        <f t="shared" si="57"/>
        <v/>
      </c>
      <c r="D137" s="37" t="str">
        <f t="shared" si="58"/>
        <v/>
      </c>
      <c r="E137" s="31" t="str">
        <f t="shared" si="59"/>
        <v/>
      </c>
      <c r="F137" s="32" t="str">
        <f t="shared" si="60"/>
        <v/>
      </c>
      <c r="G137" s="32" t="str">
        <f t="shared" si="61"/>
        <v/>
      </c>
      <c r="H137" s="32" t="str">
        <f t="shared" si="62"/>
        <v/>
      </c>
      <c r="I137" s="32" t="str">
        <f t="shared" si="63"/>
        <v/>
      </c>
      <c r="J137" s="46" t="str">
        <f t="shared" si="64"/>
        <v/>
      </c>
      <c r="K137" s="32" t="str">
        <f t="shared" si="65"/>
        <v/>
      </c>
      <c r="L137" s="32" t="str">
        <f t="shared" si="66"/>
        <v/>
      </c>
      <c r="M137" s="32" t="str">
        <f t="shared" si="67"/>
        <v/>
      </c>
      <c r="N137" s="32" t="str">
        <f t="shared" si="68"/>
        <v/>
      </c>
      <c r="O137" s="32" t="str">
        <f t="shared" si="69"/>
        <v/>
      </c>
      <c r="Q137" t="str">
        <f>IFERROR(MATCH(133,บันทึกรายเที่ยว!$Z$6:$Z$10005,0),"")</f>
        <v/>
      </c>
      <c r="R137" t="str">
        <f>IF($Q137="","",INDEX(บันทึกรายเที่ยว!$V$6:$V$10005,$Q137))</f>
        <v/>
      </c>
      <c r="S137" t="str">
        <f>IF($Q137="","",INDEX(บันทึกรายเที่ยว!$F$6:$F$10005,$Q137))</f>
        <v/>
      </c>
      <c r="T137" t="str">
        <f>IF($Q137="","",MATCH($S137,บันทึกรายเที่ยว!$F$6:$F$10005,0))</f>
        <v/>
      </c>
      <c r="U137" t="str">
        <f>IF($Q137="","",$AL137*10000000+$T137*1000+133)</f>
        <v/>
      </c>
      <c r="V137" t="str">
        <f>IFERROR(MATCH(SMALL($U$5:$U$404,133),$U$5:$U$404,0),"")</f>
        <v/>
      </c>
      <c r="W137" t="str">
        <f t="shared" si="70"/>
        <v/>
      </c>
      <c r="X137" t="str">
        <f t="shared" si="71"/>
        <v/>
      </c>
      <c r="Y137" t="str">
        <f t="shared" si="72"/>
        <v/>
      </c>
      <c r="Z137">
        <f t="shared" si="82"/>
        <v>0</v>
      </c>
      <c r="AA137">
        <f t="shared" si="73"/>
        <v>0</v>
      </c>
      <c r="AB137">
        <f>IF($V137="",99999+133,$AB136+1+$Z136+$AA136+$AO136)</f>
        <v>100132</v>
      </c>
      <c r="AC137" t="str">
        <f>IFERROR(MATCH(133,$AB$5:$AB$404,1),"")</f>
        <v/>
      </c>
      <c r="AD137" t="str">
        <f>IF(133=$AI$1+1,"Z",IF($AC137="","",IF(INDEX($V$5:$V$404,$AC137)="","",IF(133&gt;INDEX($AB$5:$AB$404,$AC137)+INDEX($Z$5:$Z$404,$AC137)+INDEX($AA$5:$AA$404,$AC137)+INDEX($AO$5:$AO$404,$AC137),"",IF(133=INDEX($AB$5:$AB$404,$AC137)+INDEX($Z$5:$Z$404,$AC137),"D",IF(AND(INDEX($Z$5:$Z$404,$AC137)=1,133=INDEX($AB$5:$AB$404,$AC137)),"H",IF(AND(INDEX($AO$5:$AO$404,$AC137)=1,133=INDEX($AB$5:$AB$404,$AC137)+INDEX($Z$5:$Z$404,$AC137)+INDEX($AA$5:$AA$404,$AC137)+INDEX($AO$5:$AO$404,$AC137)),"B","T")))))))</f>
        <v/>
      </c>
      <c r="AF137" t="str">
        <f t="shared" si="74"/>
        <v/>
      </c>
      <c r="AJ137">
        <f>IF($AD137&lt;&gt;"T",0,ROUND(SUMIF(oil!$B$4:$B$63,$AF137,oil!$AE$4:$AE$63),2))</f>
        <v>0</v>
      </c>
      <c r="AK137" t="str">
        <f>IF($S137="","",IFERROR(INDEX(อัตราค่าขนส่ง!$R$5:$R$54,MATCH($S137,อัตราค่าขนส่ง!$Q$5:$Q$54,0)),INDEX(รายการมาตรฐาน!$G$2:$G$3,1)))</f>
        <v/>
      </c>
      <c r="AL137" t="str">
        <f>IF($S137="","",IFERROR(MATCH($AK137,รายการมาตรฐาน!$G$2:$G$3,0),1))</f>
        <v/>
      </c>
      <c r="AM137" t="str">
        <f t="shared" si="75"/>
        <v/>
      </c>
      <c r="AN137" t="str">
        <f t="shared" si="76"/>
        <v/>
      </c>
      <c r="AO137">
        <f t="shared" si="77"/>
        <v>0</v>
      </c>
      <c r="AP137">
        <f t="shared" si="83"/>
        <v>0</v>
      </c>
      <c r="AQ137" t="str">
        <f t="shared" si="78"/>
        <v/>
      </c>
      <c r="AR137">
        <f>IF($Y137="",0,COUNTIF(บันทึกรายเที่ยว!$V$6:$V$10005,$Y137))</f>
        <v>0</v>
      </c>
      <c r="AS137">
        <f>IF($Y137="",0,ROUND(SUMIF(บันทึกรายเที่ยว!$V$6:$V$10005,$Y137,บันทึกรายเที่ยว!$M$6:$M$10005),2))</f>
        <v>0</v>
      </c>
      <c r="AT137">
        <f>IF($Y137="",0,IFERROR(INDEX(อัตราค่าขนส่ง!$J$5:$J$204,MATCH($Y137,อัตราค่าขนส่ง!$O$5:$O$204,0)),0))</f>
        <v>0</v>
      </c>
      <c r="AU137">
        <f t="shared" si="79"/>
        <v>0</v>
      </c>
      <c r="AV137">
        <f t="shared" si="80"/>
        <v>0</v>
      </c>
      <c r="AW137" t="str">
        <f>IF($Y137="","",IFERROR(INDEX(อัตราค่าขนส่ง!$F$5:$F$204,MATCH($Y137,อัตราค่าขนส่ง!$O$5:$O$204,0)),""))</f>
        <v/>
      </c>
      <c r="AX137" t="str">
        <f>IF($W137="","",INDEX(บันทึกรายเที่ยว!$D$6:$D$10005,$W137))</f>
        <v/>
      </c>
      <c r="AY137" t="str">
        <f>IF($W137="","",INDEX(บันทึกรายเที่ยว!$R$6:$R$10005,$W137))</f>
        <v/>
      </c>
      <c r="AZ137">
        <f t="shared" si="81"/>
        <v>0</v>
      </c>
      <c r="BA137" t="str">
        <f>IF($W137="","",INDEX(บันทึกรายเที่ยว!$E$6:$E$10005,$W137))</f>
        <v/>
      </c>
      <c r="BC137">
        <f>IF($Y137="",0,IFERROR(INDEX(อัตราค่าขนส่ง!$M$5:$M$204,MATCH($Y137,อัตราค่าขนส่ง!$O$5:$O$204,0)),0))</f>
        <v>0</v>
      </c>
      <c r="BD137">
        <f>IF($Y137="",0,IFERROR(INDEX(อัตราค่าขนส่ง!$N$5:$N$204,MATCH($Y137,อัตราค่าขนส่ง!$O$5:$O$204,0)),0))</f>
        <v>0</v>
      </c>
    </row>
    <row r="138" spans="1:56" ht="21" customHeight="1" x14ac:dyDescent="0.95">
      <c r="A138" s="36" t="str">
        <f>IF($AD138="","",IF($AD138="Z","รวมจ่ายทั้งสิ้น",IF($AD138="H",INDEX($X$5:$X$404,$AC138),IF($AD138="T","รวม",IF($AD138="B",IFERROR(INDEX(อัตราค่าขนส่ง!$U$5:$U$14,MATCH(INDEX($AM$5:$AM$404,$AC138),อัตราค่าขนส่ง!$T$5:$T$14,0)),"รวมกลุ่ม "&amp;INDEX($AM$5:$AM$404,$AC138)),INDEX($AY$5:$AY$404,$AC138))))))</f>
        <v/>
      </c>
      <c r="B138" s="31" t="str">
        <f t="shared" si="56"/>
        <v/>
      </c>
      <c r="C138" s="8" t="str">
        <f t="shared" si="57"/>
        <v/>
      </c>
      <c r="D138" s="37" t="str">
        <f t="shared" si="58"/>
        <v/>
      </c>
      <c r="E138" s="31" t="str">
        <f t="shared" si="59"/>
        <v/>
      </c>
      <c r="F138" s="32" t="str">
        <f t="shared" si="60"/>
        <v/>
      </c>
      <c r="G138" s="32" t="str">
        <f t="shared" si="61"/>
        <v/>
      </c>
      <c r="H138" s="32" t="str">
        <f t="shared" si="62"/>
        <v/>
      </c>
      <c r="I138" s="32" t="str">
        <f t="shared" si="63"/>
        <v/>
      </c>
      <c r="J138" s="46" t="str">
        <f t="shared" si="64"/>
        <v/>
      </c>
      <c r="K138" s="32" t="str">
        <f t="shared" si="65"/>
        <v/>
      </c>
      <c r="L138" s="32" t="str">
        <f t="shared" si="66"/>
        <v/>
      </c>
      <c r="M138" s="32" t="str">
        <f t="shared" si="67"/>
        <v/>
      </c>
      <c r="N138" s="32" t="str">
        <f t="shared" si="68"/>
        <v/>
      </c>
      <c r="O138" s="32" t="str">
        <f t="shared" si="69"/>
        <v/>
      </c>
      <c r="Q138" t="str">
        <f>IFERROR(MATCH(134,บันทึกรายเที่ยว!$Z$6:$Z$10005,0),"")</f>
        <v/>
      </c>
      <c r="R138" t="str">
        <f>IF($Q138="","",INDEX(บันทึกรายเที่ยว!$V$6:$V$10005,$Q138))</f>
        <v/>
      </c>
      <c r="S138" t="str">
        <f>IF($Q138="","",INDEX(บันทึกรายเที่ยว!$F$6:$F$10005,$Q138))</f>
        <v/>
      </c>
      <c r="T138" t="str">
        <f>IF($Q138="","",MATCH($S138,บันทึกรายเที่ยว!$F$6:$F$10005,0))</f>
        <v/>
      </c>
      <c r="U138" t="str">
        <f>IF($Q138="","",$AL138*10000000+$T138*1000+134)</f>
        <v/>
      </c>
      <c r="V138" t="str">
        <f>IFERROR(MATCH(SMALL($U$5:$U$404,134),$U$5:$U$404,0),"")</f>
        <v/>
      </c>
      <c r="W138" t="str">
        <f t="shared" si="70"/>
        <v/>
      </c>
      <c r="X138" t="str">
        <f t="shared" si="71"/>
        <v/>
      </c>
      <c r="Y138" t="str">
        <f t="shared" si="72"/>
        <v/>
      </c>
      <c r="Z138">
        <f t="shared" si="82"/>
        <v>0</v>
      </c>
      <c r="AA138">
        <f t="shared" si="73"/>
        <v>0</v>
      </c>
      <c r="AB138">
        <f>IF($V138="",99999+134,$AB137+1+$Z137+$AA137+$AO137)</f>
        <v>100133</v>
      </c>
      <c r="AC138" t="str">
        <f>IFERROR(MATCH(134,$AB$5:$AB$404,1),"")</f>
        <v/>
      </c>
      <c r="AD138" t="str">
        <f>IF(134=$AI$1+1,"Z",IF($AC138="","",IF(INDEX($V$5:$V$404,$AC138)="","",IF(134&gt;INDEX($AB$5:$AB$404,$AC138)+INDEX($Z$5:$Z$404,$AC138)+INDEX($AA$5:$AA$404,$AC138)+INDEX($AO$5:$AO$404,$AC138),"",IF(134=INDEX($AB$5:$AB$404,$AC138)+INDEX($Z$5:$Z$404,$AC138),"D",IF(AND(INDEX($Z$5:$Z$404,$AC138)=1,134=INDEX($AB$5:$AB$404,$AC138)),"H",IF(AND(INDEX($AO$5:$AO$404,$AC138)=1,134=INDEX($AB$5:$AB$404,$AC138)+INDEX($Z$5:$Z$404,$AC138)+INDEX($AA$5:$AA$404,$AC138)+INDEX($AO$5:$AO$404,$AC138)),"B","T")))))))</f>
        <v/>
      </c>
      <c r="AF138" t="str">
        <f t="shared" si="74"/>
        <v/>
      </c>
      <c r="AJ138">
        <f>IF($AD138&lt;&gt;"T",0,ROUND(SUMIF(oil!$B$4:$B$63,$AF138,oil!$AE$4:$AE$63),2))</f>
        <v>0</v>
      </c>
      <c r="AK138" t="str">
        <f>IF($S138="","",IFERROR(INDEX(อัตราค่าขนส่ง!$R$5:$R$54,MATCH($S138,อัตราค่าขนส่ง!$Q$5:$Q$54,0)),INDEX(รายการมาตรฐาน!$G$2:$G$3,1)))</f>
        <v/>
      </c>
      <c r="AL138" t="str">
        <f>IF($S138="","",IFERROR(MATCH($AK138,รายการมาตรฐาน!$G$2:$G$3,0),1))</f>
        <v/>
      </c>
      <c r="AM138" t="str">
        <f t="shared" si="75"/>
        <v/>
      </c>
      <c r="AN138" t="str">
        <f t="shared" si="76"/>
        <v/>
      </c>
      <c r="AO138">
        <f t="shared" si="77"/>
        <v>0</v>
      </c>
      <c r="AP138">
        <f t="shared" si="83"/>
        <v>0</v>
      </c>
      <c r="AQ138" t="str">
        <f t="shared" si="78"/>
        <v/>
      </c>
      <c r="AR138">
        <f>IF($Y138="",0,COUNTIF(บันทึกรายเที่ยว!$V$6:$V$10005,$Y138))</f>
        <v>0</v>
      </c>
      <c r="AS138">
        <f>IF($Y138="",0,ROUND(SUMIF(บันทึกรายเที่ยว!$V$6:$V$10005,$Y138,บันทึกรายเที่ยว!$M$6:$M$10005),2))</f>
        <v>0</v>
      </c>
      <c r="AT138">
        <f>IF($Y138="",0,IFERROR(INDEX(อัตราค่าขนส่ง!$J$5:$J$204,MATCH($Y138,อัตราค่าขนส่ง!$O$5:$O$204,0)),0))</f>
        <v>0</v>
      </c>
      <c r="AU138">
        <f t="shared" si="79"/>
        <v>0</v>
      </c>
      <c r="AV138">
        <f t="shared" si="80"/>
        <v>0</v>
      </c>
      <c r="AW138" t="str">
        <f>IF($Y138="","",IFERROR(INDEX(อัตราค่าขนส่ง!$F$5:$F$204,MATCH($Y138,อัตราค่าขนส่ง!$O$5:$O$204,0)),""))</f>
        <v/>
      </c>
      <c r="AX138" t="str">
        <f>IF($W138="","",INDEX(บันทึกรายเที่ยว!$D$6:$D$10005,$W138))</f>
        <v/>
      </c>
      <c r="AY138" t="str">
        <f>IF($W138="","",INDEX(บันทึกรายเที่ยว!$R$6:$R$10005,$W138))</f>
        <v/>
      </c>
      <c r="AZ138">
        <f t="shared" si="81"/>
        <v>0</v>
      </c>
      <c r="BA138" t="str">
        <f>IF($W138="","",INDEX(บันทึกรายเที่ยว!$E$6:$E$10005,$W138))</f>
        <v/>
      </c>
      <c r="BC138">
        <f>IF($Y138="",0,IFERROR(INDEX(อัตราค่าขนส่ง!$M$5:$M$204,MATCH($Y138,อัตราค่าขนส่ง!$O$5:$O$204,0)),0))</f>
        <v>0</v>
      </c>
      <c r="BD138">
        <f>IF($Y138="",0,IFERROR(INDEX(อัตราค่าขนส่ง!$N$5:$N$204,MATCH($Y138,อัตราค่าขนส่ง!$O$5:$O$204,0)),0))</f>
        <v>0</v>
      </c>
    </row>
    <row r="139" spans="1:56" ht="21" customHeight="1" x14ac:dyDescent="0.95">
      <c r="A139" s="36" t="str">
        <f>IF($AD139="","",IF($AD139="Z","รวมจ่ายทั้งสิ้น",IF($AD139="H",INDEX($X$5:$X$404,$AC139),IF($AD139="T","รวม",IF($AD139="B",IFERROR(INDEX(อัตราค่าขนส่ง!$U$5:$U$14,MATCH(INDEX($AM$5:$AM$404,$AC139),อัตราค่าขนส่ง!$T$5:$T$14,0)),"รวมกลุ่ม "&amp;INDEX($AM$5:$AM$404,$AC139)),INDEX($AY$5:$AY$404,$AC139))))))</f>
        <v/>
      </c>
      <c r="B139" s="31" t="str">
        <f t="shared" si="56"/>
        <v/>
      </c>
      <c r="C139" s="8" t="str">
        <f t="shared" si="57"/>
        <v/>
      </c>
      <c r="D139" s="37" t="str">
        <f t="shared" si="58"/>
        <v/>
      </c>
      <c r="E139" s="31" t="str">
        <f t="shared" si="59"/>
        <v/>
      </c>
      <c r="F139" s="32" t="str">
        <f t="shared" si="60"/>
        <v/>
      </c>
      <c r="G139" s="32" t="str">
        <f t="shared" si="61"/>
        <v/>
      </c>
      <c r="H139" s="32" t="str">
        <f t="shared" si="62"/>
        <v/>
      </c>
      <c r="I139" s="32" t="str">
        <f t="shared" si="63"/>
        <v/>
      </c>
      <c r="J139" s="46" t="str">
        <f t="shared" si="64"/>
        <v/>
      </c>
      <c r="K139" s="32" t="str">
        <f t="shared" si="65"/>
        <v/>
      </c>
      <c r="L139" s="32" t="str">
        <f t="shared" si="66"/>
        <v/>
      </c>
      <c r="M139" s="32" t="str">
        <f t="shared" si="67"/>
        <v/>
      </c>
      <c r="N139" s="32" t="str">
        <f t="shared" si="68"/>
        <v/>
      </c>
      <c r="O139" s="32" t="str">
        <f t="shared" si="69"/>
        <v/>
      </c>
      <c r="Q139" t="str">
        <f>IFERROR(MATCH(135,บันทึกรายเที่ยว!$Z$6:$Z$10005,0),"")</f>
        <v/>
      </c>
      <c r="R139" t="str">
        <f>IF($Q139="","",INDEX(บันทึกรายเที่ยว!$V$6:$V$10005,$Q139))</f>
        <v/>
      </c>
      <c r="S139" t="str">
        <f>IF($Q139="","",INDEX(บันทึกรายเที่ยว!$F$6:$F$10005,$Q139))</f>
        <v/>
      </c>
      <c r="T139" t="str">
        <f>IF($Q139="","",MATCH($S139,บันทึกรายเที่ยว!$F$6:$F$10005,0))</f>
        <v/>
      </c>
      <c r="U139" t="str">
        <f>IF($Q139="","",$AL139*10000000+$T139*1000+135)</f>
        <v/>
      </c>
      <c r="V139" t="str">
        <f>IFERROR(MATCH(SMALL($U$5:$U$404,135),$U$5:$U$404,0),"")</f>
        <v/>
      </c>
      <c r="W139" t="str">
        <f t="shared" si="70"/>
        <v/>
      </c>
      <c r="X139" t="str">
        <f t="shared" si="71"/>
        <v/>
      </c>
      <c r="Y139" t="str">
        <f t="shared" si="72"/>
        <v/>
      </c>
      <c r="Z139">
        <f t="shared" si="82"/>
        <v>0</v>
      </c>
      <c r="AA139">
        <f t="shared" si="73"/>
        <v>0</v>
      </c>
      <c r="AB139">
        <f>IF($V139="",99999+135,$AB138+1+$Z138+$AA138+$AO138)</f>
        <v>100134</v>
      </c>
      <c r="AC139" t="str">
        <f>IFERROR(MATCH(135,$AB$5:$AB$404,1),"")</f>
        <v/>
      </c>
      <c r="AD139" t="str">
        <f>IF(135=$AI$1+1,"Z",IF($AC139="","",IF(INDEX($V$5:$V$404,$AC139)="","",IF(135&gt;INDEX($AB$5:$AB$404,$AC139)+INDEX($Z$5:$Z$404,$AC139)+INDEX($AA$5:$AA$404,$AC139)+INDEX($AO$5:$AO$404,$AC139),"",IF(135=INDEX($AB$5:$AB$404,$AC139)+INDEX($Z$5:$Z$404,$AC139),"D",IF(AND(INDEX($Z$5:$Z$404,$AC139)=1,135=INDEX($AB$5:$AB$404,$AC139)),"H",IF(AND(INDEX($AO$5:$AO$404,$AC139)=1,135=INDEX($AB$5:$AB$404,$AC139)+INDEX($Z$5:$Z$404,$AC139)+INDEX($AA$5:$AA$404,$AC139)+INDEX($AO$5:$AO$404,$AC139)),"B","T")))))))</f>
        <v/>
      </c>
      <c r="AF139" t="str">
        <f t="shared" si="74"/>
        <v/>
      </c>
      <c r="AJ139">
        <f>IF($AD139&lt;&gt;"T",0,ROUND(SUMIF(oil!$B$4:$B$63,$AF139,oil!$AE$4:$AE$63),2))</f>
        <v>0</v>
      </c>
      <c r="AK139" t="str">
        <f>IF($S139="","",IFERROR(INDEX(อัตราค่าขนส่ง!$R$5:$R$54,MATCH($S139,อัตราค่าขนส่ง!$Q$5:$Q$54,0)),INDEX(รายการมาตรฐาน!$G$2:$G$3,1)))</f>
        <v/>
      </c>
      <c r="AL139" t="str">
        <f>IF($S139="","",IFERROR(MATCH($AK139,รายการมาตรฐาน!$G$2:$G$3,0),1))</f>
        <v/>
      </c>
      <c r="AM139" t="str">
        <f t="shared" si="75"/>
        <v/>
      </c>
      <c r="AN139" t="str">
        <f t="shared" si="76"/>
        <v/>
      </c>
      <c r="AO139">
        <f t="shared" si="77"/>
        <v>0</v>
      </c>
      <c r="AP139">
        <f t="shared" si="83"/>
        <v>0</v>
      </c>
      <c r="AQ139" t="str">
        <f t="shared" si="78"/>
        <v/>
      </c>
      <c r="AR139">
        <f>IF($Y139="",0,COUNTIF(บันทึกรายเที่ยว!$V$6:$V$10005,$Y139))</f>
        <v>0</v>
      </c>
      <c r="AS139">
        <f>IF($Y139="",0,ROUND(SUMIF(บันทึกรายเที่ยว!$V$6:$V$10005,$Y139,บันทึกรายเที่ยว!$M$6:$M$10005),2))</f>
        <v>0</v>
      </c>
      <c r="AT139">
        <f>IF($Y139="",0,IFERROR(INDEX(อัตราค่าขนส่ง!$J$5:$J$204,MATCH($Y139,อัตราค่าขนส่ง!$O$5:$O$204,0)),0))</f>
        <v>0</v>
      </c>
      <c r="AU139">
        <f t="shared" si="79"/>
        <v>0</v>
      </c>
      <c r="AV139">
        <f t="shared" si="80"/>
        <v>0</v>
      </c>
      <c r="AW139" t="str">
        <f>IF($Y139="","",IFERROR(INDEX(อัตราค่าขนส่ง!$F$5:$F$204,MATCH($Y139,อัตราค่าขนส่ง!$O$5:$O$204,0)),""))</f>
        <v/>
      </c>
      <c r="AX139" t="str">
        <f>IF($W139="","",INDEX(บันทึกรายเที่ยว!$D$6:$D$10005,$W139))</f>
        <v/>
      </c>
      <c r="AY139" t="str">
        <f>IF($W139="","",INDEX(บันทึกรายเที่ยว!$R$6:$R$10005,$W139))</f>
        <v/>
      </c>
      <c r="AZ139">
        <f t="shared" si="81"/>
        <v>0</v>
      </c>
      <c r="BA139" t="str">
        <f>IF($W139="","",INDEX(บันทึกรายเที่ยว!$E$6:$E$10005,$W139))</f>
        <v/>
      </c>
      <c r="BC139">
        <f>IF($Y139="",0,IFERROR(INDEX(อัตราค่าขนส่ง!$M$5:$M$204,MATCH($Y139,อัตราค่าขนส่ง!$O$5:$O$204,0)),0))</f>
        <v>0</v>
      </c>
      <c r="BD139">
        <f>IF($Y139="",0,IFERROR(INDEX(อัตราค่าขนส่ง!$N$5:$N$204,MATCH($Y139,อัตราค่าขนส่ง!$O$5:$O$204,0)),0))</f>
        <v>0</v>
      </c>
    </row>
    <row r="140" spans="1:56" ht="21" customHeight="1" x14ac:dyDescent="0.95">
      <c r="A140" s="36" t="str">
        <f>IF($AD140="","",IF($AD140="Z","รวมจ่ายทั้งสิ้น",IF($AD140="H",INDEX($X$5:$X$404,$AC140),IF($AD140="T","รวม",IF($AD140="B",IFERROR(INDEX(อัตราค่าขนส่ง!$U$5:$U$14,MATCH(INDEX($AM$5:$AM$404,$AC140),อัตราค่าขนส่ง!$T$5:$T$14,0)),"รวมกลุ่ม "&amp;INDEX($AM$5:$AM$404,$AC140)),INDEX($AY$5:$AY$404,$AC140))))))</f>
        <v/>
      </c>
      <c r="B140" s="31" t="str">
        <f t="shared" si="56"/>
        <v/>
      </c>
      <c r="C140" s="8" t="str">
        <f t="shared" si="57"/>
        <v/>
      </c>
      <c r="D140" s="37" t="str">
        <f t="shared" si="58"/>
        <v/>
      </c>
      <c r="E140" s="31" t="str">
        <f t="shared" si="59"/>
        <v/>
      </c>
      <c r="F140" s="32" t="str">
        <f t="shared" si="60"/>
        <v/>
      </c>
      <c r="G140" s="32" t="str">
        <f t="shared" si="61"/>
        <v/>
      </c>
      <c r="H140" s="32" t="str">
        <f t="shared" si="62"/>
        <v/>
      </c>
      <c r="I140" s="32" t="str">
        <f t="shared" si="63"/>
        <v/>
      </c>
      <c r="J140" s="46" t="str">
        <f t="shared" si="64"/>
        <v/>
      </c>
      <c r="K140" s="32" t="str">
        <f t="shared" si="65"/>
        <v/>
      </c>
      <c r="L140" s="32" t="str">
        <f t="shared" si="66"/>
        <v/>
      </c>
      <c r="M140" s="32" t="str">
        <f t="shared" si="67"/>
        <v/>
      </c>
      <c r="N140" s="32" t="str">
        <f t="shared" si="68"/>
        <v/>
      </c>
      <c r="O140" s="32" t="str">
        <f t="shared" si="69"/>
        <v/>
      </c>
      <c r="Q140" t="str">
        <f>IFERROR(MATCH(136,บันทึกรายเที่ยว!$Z$6:$Z$10005,0),"")</f>
        <v/>
      </c>
      <c r="R140" t="str">
        <f>IF($Q140="","",INDEX(บันทึกรายเที่ยว!$V$6:$V$10005,$Q140))</f>
        <v/>
      </c>
      <c r="S140" t="str">
        <f>IF($Q140="","",INDEX(บันทึกรายเที่ยว!$F$6:$F$10005,$Q140))</f>
        <v/>
      </c>
      <c r="T140" t="str">
        <f>IF($Q140="","",MATCH($S140,บันทึกรายเที่ยว!$F$6:$F$10005,0))</f>
        <v/>
      </c>
      <c r="U140" t="str">
        <f>IF($Q140="","",$AL140*10000000+$T140*1000+136)</f>
        <v/>
      </c>
      <c r="V140" t="str">
        <f>IFERROR(MATCH(SMALL($U$5:$U$404,136),$U$5:$U$404,0),"")</f>
        <v/>
      </c>
      <c r="W140" t="str">
        <f t="shared" si="70"/>
        <v/>
      </c>
      <c r="X140" t="str">
        <f t="shared" si="71"/>
        <v/>
      </c>
      <c r="Y140" t="str">
        <f t="shared" si="72"/>
        <v/>
      </c>
      <c r="Z140">
        <f t="shared" si="82"/>
        <v>0</v>
      </c>
      <c r="AA140">
        <f t="shared" si="73"/>
        <v>0</v>
      </c>
      <c r="AB140">
        <f>IF($V140="",99999+136,$AB139+1+$Z139+$AA139+$AO139)</f>
        <v>100135</v>
      </c>
      <c r="AC140" t="str">
        <f>IFERROR(MATCH(136,$AB$5:$AB$404,1),"")</f>
        <v/>
      </c>
      <c r="AD140" t="str">
        <f>IF(136=$AI$1+1,"Z",IF($AC140="","",IF(INDEX($V$5:$V$404,$AC140)="","",IF(136&gt;INDEX($AB$5:$AB$404,$AC140)+INDEX($Z$5:$Z$404,$AC140)+INDEX($AA$5:$AA$404,$AC140)+INDEX($AO$5:$AO$404,$AC140),"",IF(136=INDEX($AB$5:$AB$404,$AC140)+INDEX($Z$5:$Z$404,$AC140),"D",IF(AND(INDEX($Z$5:$Z$404,$AC140)=1,136=INDEX($AB$5:$AB$404,$AC140)),"H",IF(AND(INDEX($AO$5:$AO$404,$AC140)=1,136=INDEX($AB$5:$AB$404,$AC140)+INDEX($Z$5:$Z$404,$AC140)+INDEX($AA$5:$AA$404,$AC140)+INDEX($AO$5:$AO$404,$AC140)),"B","T")))))))</f>
        <v/>
      </c>
      <c r="AF140" t="str">
        <f t="shared" si="74"/>
        <v/>
      </c>
      <c r="AJ140">
        <f>IF($AD140&lt;&gt;"T",0,ROUND(SUMIF(oil!$B$4:$B$63,$AF140,oil!$AE$4:$AE$63),2))</f>
        <v>0</v>
      </c>
      <c r="AK140" t="str">
        <f>IF($S140="","",IFERROR(INDEX(อัตราค่าขนส่ง!$R$5:$R$54,MATCH($S140,อัตราค่าขนส่ง!$Q$5:$Q$54,0)),INDEX(รายการมาตรฐาน!$G$2:$G$3,1)))</f>
        <v/>
      </c>
      <c r="AL140" t="str">
        <f>IF($S140="","",IFERROR(MATCH($AK140,รายการมาตรฐาน!$G$2:$G$3,0),1))</f>
        <v/>
      </c>
      <c r="AM140" t="str">
        <f t="shared" si="75"/>
        <v/>
      </c>
      <c r="AN140" t="str">
        <f t="shared" si="76"/>
        <v/>
      </c>
      <c r="AO140">
        <f t="shared" si="77"/>
        <v>0</v>
      </c>
      <c r="AP140">
        <f t="shared" si="83"/>
        <v>0</v>
      </c>
      <c r="AQ140" t="str">
        <f t="shared" si="78"/>
        <v/>
      </c>
      <c r="AR140">
        <f>IF($Y140="",0,COUNTIF(บันทึกรายเที่ยว!$V$6:$V$10005,$Y140))</f>
        <v>0</v>
      </c>
      <c r="AS140">
        <f>IF($Y140="",0,ROUND(SUMIF(บันทึกรายเที่ยว!$V$6:$V$10005,$Y140,บันทึกรายเที่ยว!$M$6:$M$10005),2))</f>
        <v>0</v>
      </c>
      <c r="AT140">
        <f>IF($Y140="",0,IFERROR(INDEX(อัตราค่าขนส่ง!$J$5:$J$204,MATCH($Y140,อัตราค่าขนส่ง!$O$5:$O$204,0)),0))</f>
        <v>0</v>
      </c>
      <c r="AU140">
        <f t="shared" si="79"/>
        <v>0</v>
      </c>
      <c r="AV140">
        <f t="shared" si="80"/>
        <v>0</v>
      </c>
      <c r="AW140" t="str">
        <f>IF($Y140="","",IFERROR(INDEX(อัตราค่าขนส่ง!$F$5:$F$204,MATCH($Y140,อัตราค่าขนส่ง!$O$5:$O$204,0)),""))</f>
        <v/>
      </c>
      <c r="AX140" t="str">
        <f>IF($W140="","",INDEX(บันทึกรายเที่ยว!$D$6:$D$10005,$W140))</f>
        <v/>
      </c>
      <c r="AY140" t="str">
        <f>IF($W140="","",INDEX(บันทึกรายเที่ยว!$R$6:$R$10005,$W140))</f>
        <v/>
      </c>
      <c r="AZ140">
        <f t="shared" si="81"/>
        <v>0</v>
      </c>
      <c r="BA140" t="str">
        <f>IF($W140="","",INDEX(บันทึกรายเที่ยว!$E$6:$E$10005,$W140))</f>
        <v/>
      </c>
      <c r="BC140">
        <f>IF($Y140="",0,IFERROR(INDEX(อัตราค่าขนส่ง!$M$5:$M$204,MATCH($Y140,อัตราค่าขนส่ง!$O$5:$O$204,0)),0))</f>
        <v>0</v>
      </c>
      <c r="BD140">
        <f>IF($Y140="",0,IFERROR(INDEX(อัตราค่าขนส่ง!$N$5:$N$204,MATCH($Y140,อัตราค่าขนส่ง!$O$5:$O$204,0)),0))</f>
        <v>0</v>
      </c>
    </row>
    <row r="141" spans="1:56" ht="21" customHeight="1" x14ac:dyDescent="0.95">
      <c r="A141" s="36" t="str">
        <f>IF($AD141="","",IF($AD141="Z","รวมจ่ายทั้งสิ้น",IF($AD141="H",INDEX($X$5:$X$404,$AC141),IF($AD141="T","รวม",IF($AD141="B",IFERROR(INDEX(อัตราค่าขนส่ง!$U$5:$U$14,MATCH(INDEX($AM$5:$AM$404,$AC141),อัตราค่าขนส่ง!$T$5:$T$14,0)),"รวมกลุ่ม "&amp;INDEX($AM$5:$AM$404,$AC141)),INDEX($AY$5:$AY$404,$AC141))))))</f>
        <v/>
      </c>
      <c r="B141" s="31" t="str">
        <f t="shared" si="56"/>
        <v/>
      </c>
      <c r="C141" s="8" t="str">
        <f t="shared" si="57"/>
        <v/>
      </c>
      <c r="D141" s="37" t="str">
        <f t="shared" si="58"/>
        <v/>
      </c>
      <c r="E141" s="31" t="str">
        <f t="shared" si="59"/>
        <v/>
      </c>
      <c r="F141" s="32" t="str">
        <f t="shared" si="60"/>
        <v/>
      </c>
      <c r="G141" s="32" t="str">
        <f t="shared" si="61"/>
        <v/>
      </c>
      <c r="H141" s="32" t="str">
        <f t="shared" si="62"/>
        <v/>
      </c>
      <c r="I141" s="32" t="str">
        <f t="shared" si="63"/>
        <v/>
      </c>
      <c r="J141" s="46" t="str">
        <f t="shared" si="64"/>
        <v/>
      </c>
      <c r="K141" s="32" t="str">
        <f t="shared" si="65"/>
        <v/>
      </c>
      <c r="L141" s="32" t="str">
        <f t="shared" si="66"/>
        <v/>
      </c>
      <c r="M141" s="32" t="str">
        <f t="shared" si="67"/>
        <v/>
      </c>
      <c r="N141" s="32" t="str">
        <f t="shared" si="68"/>
        <v/>
      </c>
      <c r="O141" s="32" t="str">
        <f t="shared" si="69"/>
        <v/>
      </c>
      <c r="Q141" t="str">
        <f>IFERROR(MATCH(137,บันทึกรายเที่ยว!$Z$6:$Z$10005,0),"")</f>
        <v/>
      </c>
      <c r="R141" t="str">
        <f>IF($Q141="","",INDEX(บันทึกรายเที่ยว!$V$6:$V$10005,$Q141))</f>
        <v/>
      </c>
      <c r="S141" t="str">
        <f>IF($Q141="","",INDEX(บันทึกรายเที่ยว!$F$6:$F$10005,$Q141))</f>
        <v/>
      </c>
      <c r="T141" t="str">
        <f>IF($Q141="","",MATCH($S141,บันทึกรายเที่ยว!$F$6:$F$10005,0))</f>
        <v/>
      </c>
      <c r="U141" t="str">
        <f>IF($Q141="","",$AL141*10000000+$T141*1000+137)</f>
        <v/>
      </c>
      <c r="V141" t="str">
        <f>IFERROR(MATCH(SMALL($U$5:$U$404,137),$U$5:$U$404,0),"")</f>
        <v/>
      </c>
      <c r="W141" t="str">
        <f t="shared" si="70"/>
        <v/>
      </c>
      <c r="X141" t="str">
        <f t="shared" si="71"/>
        <v/>
      </c>
      <c r="Y141" t="str">
        <f t="shared" si="72"/>
        <v/>
      </c>
      <c r="Z141">
        <f t="shared" si="82"/>
        <v>0</v>
      </c>
      <c r="AA141">
        <f t="shared" si="73"/>
        <v>0</v>
      </c>
      <c r="AB141">
        <f>IF($V141="",99999+137,$AB140+1+$Z140+$AA140+$AO140)</f>
        <v>100136</v>
      </c>
      <c r="AC141" t="str">
        <f>IFERROR(MATCH(137,$AB$5:$AB$404,1),"")</f>
        <v/>
      </c>
      <c r="AD141" t="str">
        <f>IF(137=$AI$1+1,"Z",IF($AC141="","",IF(INDEX($V$5:$V$404,$AC141)="","",IF(137&gt;INDEX($AB$5:$AB$404,$AC141)+INDEX($Z$5:$Z$404,$AC141)+INDEX($AA$5:$AA$404,$AC141)+INDEX($AO$5:$AO$404,$AC141),"",IF(137=INDEX($AB$5:$AB$404,$AC141)+INDEX($Z$5:$Z$404,$AC141),"D",IF(AND(INDEX($Z$5:$Z$404,$AC141)=1,137=INDEX($AB$5:$AB$404,$AC141)),"H",IF(AND(INDEX($AO$5:$AO$404,$AC141)=1,137=INDEX($AB$5:$AB$404,$AC141)+INDEX($Z$5:$Z$404,$AC141)+INDEX($AA$5:$AA$404,$AC141)+INDEX($AO$5:$AO$404,$AC141)),"B","T")))))))</f>
        <v/>
      </c>
      <c r="AF141" t="str">
        <f t="shared" si="74"/>
        <v/>
      </c>
      <c r="AJ141">
        <f>IF($AD141&lt;&gt;"T",0,ROUND(SUMIF(oil!$B$4:$B$63,$AF141,oil!$AE$4:$AE$63),2))</f>
        <v>0</v>
      </c>
      <c r="AK141" t="str">
        <f>IF($S141="","",IFERROR(INDEX(อัตราค่าขนส่ง!$R$5:$R$54,MATCH($S141,อัตราค่าขนส่ง!$Q$5:$Q$54,0)),INDEX(รายการมาตรฐาน!$G$2:$G$3,1)))</f>
        <v/>
      </c>
      <c r="AL141" t="str">
        <f>IF($S141="","",IFERROR(MATCH($AK141,รายการมาตรฐาน!$G$2:$G$3,0),1))</f>
        <v/>
      </c>
      <c r="AM141" t="str">
        <f t="shared" si="75"/>
        <v/>
      </c>
      <c r="AN141" t="str">
        <f t="shared" si="76"/>
        <v/>
      </c>
      <c r="AO141">
        <f t="shared" si="77"/>
        <v>0</v>
      </c>
      <c r="AP141">
        <f t="shared" si="83"/>
        <v>0</v>
      </c>
      <c r="AQ141" t="str">
        <f t="shared" si="78"/>
        <v/>
      </c>
      <c r="AR141">
        <f>IF($Y141="",0,COUNTIF(บันทึกรายเที่ยว!$V$6:$V$10005,$Y141))</f>
        <v>0</v>
      </c>
      <c r="AS141">
        <f>IF($Y141="",0,ROUND(SUMIF(บันทึกรายเที่ยว!$V$6:$V$10005,$Y141,บันทึกรายเที่ยว!$M$6:$M$10005),2))</f>
        <v>0</v>
      </c>
      <c r="AT141">
        <f>IF($Y141="",0,IFERROR(INDEX(อัตราค่าขนส่ง!$J$5:$J$204,MATCH($Y141,อัตราค่าขนส่ง!$O$5:$O$204,0)),0))</f>
        <v>0</v>
      </c>
      <c r="AU141">
        <f t="shared" si="79"/>
        <v>0</v>
      </c>
      <c r="AV141">
        <f t="shared" si="80"/>
        <v>0</v>
      </c>
      <c r="AW141" t="str">
        <f>IF($Y141="","",IFERROR(INDEX(อัตราค่าขนส่ง!$F$5:$F$204,MATCH($Y141,อัตราค่าขนส่ง!$O$5:$O$204,0)),""))</f>
        <v/>
      </c>
      <c r="AX141" t="str">
        <f>IF($W141="","",INDEX(บันทึกรายเที่ยว!$D$6:$D$10005,$W141))</f>
        <v/>
      </c>
      <c r="AY141" t="str">
        <f>IF($W141="","",INDEX(บันทึกรายเที่ยว!$R$6:$R$10005,$W141))</f>
        <v/>
      </c>
      <c r="AZ141">
        <f t="shared" si="81"/>
        <v>0</v>
      </c>
      <c r="BA141" t="str">
        <f>IF($W141="","",INDEX(บันทึกรายเที่ยว!$E$6:$E$10005,$W141))</f>
        <v/>
      </c>
      <c r="BC141">
        <f>IF($Y141="",0,IFERROR(INDEX(อัตราค่าขนส่ง!$M$5:$M$204,MATCH($Y141,อัตราค่าขนส่ง!$O$5:$O$204,0)),0))</f>
        <v>0</v>
      </c>
      <c r="BD141">
        <f>IF($Y141="",0,IFERROR(INDEX(อัตราค่าขนส่ง!$N$5:$N$204,MATCH($Y141,อัตราค่าขนส่ง!$O$5:$O$204,0)),0))</f>
        <v>0</v>
      </c>
    </row>
    <row r="142" spans="1:56" ht="21" customHeight="1" x14ac:dyDescent="0.95">
      <c r="A142" s="36" t="str">
        <f>IF($AD142="","",IF($AD142="Z","รวมจ่ายทั้งสิ้น",IF($AD142="H",INDEX($X$5:$X$404,$AC142),IF($AD142="T","รวม",IF($AD142="B",IFERROR(INDEX(อัตราค่าขนส่ง!$U$5:$U$14,MATCH(INDEX($AM$5:$AM$404,$AC142),อัตราค่าขนส่ง!$T$5:$T$14,0)),"รวมกลุ่ม "&amp;INDEX($AM$5:$AM$404,$AC142)),INDEX($AY$5:$AY$404,$AC142))))))</f>
        <v/>
      </c>
      <c r="B142" s="31" t="str">
        <f t="shared" si="56"/>
        <v/>
      </c>
      <c r="C142" s="8" t="str">
        <f t="shared" si="57"/>
        <v/>
      </c>
      <c r="D142" s="37" t="str">
        <f t="shared" si="58"/>
        <v/>
      </c>
      <c r="E142" s="31" t="str">
        <f t="shared" si="59"/>
        <v/>
      </c>
      <c r="F142" s="32" t="str">
        <f t="shared" si="60"/>
        <v/>
      </c>
      <c r="G142" s="32" t="str">
        <f t="shared" si="61"/>
        <v/>
      </c>
      <c r="H142" s="32" t="str">
        <f t="shared" si="62"/>
        <v/>
      </c>
      <c r="I142" s="32" t="str">
        <f t="shared" si="63"/>
        <v/>
      </c>
      <c r="J142" s="46" t="str">
        <f t="shared" si="64"/>
        <v/>
      </c>
      <c r="K142" s="32" t="str">
        <f t="shared" si="65"/>
        <v/>
      </c>
      <c r="L142" s="32" t="str">
        <f t="shared" si="66"/>
        <v/>
      </c>
      <c r="M142" s="32" t="str">
        <f t="shared" si="67"/>
        <v/>
      </c>
      <c r="N142" s="32" t="str">
        <f t="shared" si="68"/>
        <v/>
      </c>
      <c r="O142" s="32" t="str">
        <f t="shared" si="69"/>
        <v/>
      </c>
      <c r="Q142" t="str">
        <f>IFERROR(MATCH(138,บันทึกรายเที่ยว!$Z$6:$Z$10005,0),"")</f>
        <v/>
      </c>
      <c r="R142" t="str">
        <f>IF($Q142="","",INDEX(บันทึกรายเที่ยว!$V$6:$V$10005,$Q142))</f>
        <v/>
      </c>
      <c r="S142" t="str">
        <f>IF($Q142="","",INDEX(บันทึกรายเที่ยว!$F$6:$F$10005,$Q142))</f>
        <v/>
      </c>
      <c r="T142" t="str">
        <f>IF($Q142="","",MATCH($S142,บันทึกรายเที่ยว!$F$6:$F$10005,0))</f>
        <v/>
      </c>
      <c r="U142" t="str">
        <f>IF($Q142="","",$AL142*10000000+$T142*1000+138)</f>
        <v/>
      </c>
      <c r="V142" t="str">
        <f>IFERROR(MATCH(SMALL($U$5:$U$404,138),$U$5:$U$404,0),"")</f>
        <v/>
      </c>
      <c r="W142" t="str">
        <f t="shared" si="70"/>
        <v/>
      </c>
      <c r="X142" t="str">
        <f t="shared" si="71"/>
        <v/>
      </c>
      <c r="Y142" t="str">
        <f t="shared" si="72"/>
        <v/>
      </c>
      <c r="Z142">
        <f t="shared" si="82"/>
        <v>0</v>
      </c>
      <c r="AA142">
        <f t="shared" si="73"/>
        <v>0</v>
      </c>
      <c r="AB142">
        <f>IF($V142="",99999+138,$AB141+1+$Z141+$AA141+$AO141)</f>
        <v>100137</v>
      </c>
      <c r="AC142" t="str">
        <f>IFERROR(MATCH(138,$AB$5:$AB$404,1),"")</f>
        <v/>
      </c>
      <c r="AD142" t="str">
        <f>IF(138=$AI$1+1,"Z",IF($AC142="","",IF(INDEX($V$5:$V$404,$AC142)="","",IF(138&gt;INDEX($AB$5:$AB$404,$AC142)+INDEX($Z$5:$Z$404,$AC142)+INDEX($AA$5:$AA$404,$AC142)+INDEX($AO$5:$AO$404,$AC142),"",IF(138=INDEX($AB$5:$AB$404,$AC142)+INDEX($Z$5:$Z$404,$AC142),"D",IF(AND(INDEX($Z$5:$Z$404,$AC142)=1,138=INDEX($AB$5:$AB$404,$AC142)),"H",IF(AND(INDEX($AO$5:$AO$404,$AC142)=1,138=INDEX($AB$5:$AB$404,$AC142)+INDEX($Z$5:$Z$404,$AC142)+INDEX($AA$5:$AA$404,$AC142)+INDEX($AO$5:$AO$404,$AC142)),"B","T")))))))</f>
        <v/>
      </c>
      <c r="AF142" t="str">
        <f t="shared" si="74"/>
        <v/>
      </c>
      <c r="AJ142">
        <f>IF($AD142&lt;&gt;"T",0,ROUND(SUMIF(oil!$B$4:$B$63,$AF142,oil!$AE$4:$AE$63),2))</f>
        <v>0</v>
      </c>
      <c r="AK142" t="str">
        <f>IF($S142="","",IFERROR(INDEX(อัตราค่าขนส่ง!$R$5:$R$54,MATCH($S142,อัตราค่าขนส่ง!$Q$5:$Q$54,0)),INDEX(รายการมาตรฐาน!$G$2:$G$3,1)))</f>
        <v/>
      </c>
      <c r="AL142" t="str">
        <f>IF($S142="","",IFERROR(MATCH($AK142,รายการมาตรฐาน!$G$2:$G$3,0),1))</f>
        <v/>
      </c>
      <c r="AM142" t="str">
        <f t="shared" si="75"/>
        <v/>
      </c>
      <c r="AN142" t="str">
        <f t="shared" si="76"/>
        <v/>
      </c>
      <c r="AO142">
        <f t="shared" si="77"/>
        <v>0</v>
      </c>
      <c r="AP142">
        <f t="shared" si="83"/>
        <v>0</v>
      </c>
      <c r="AQ142" t="str">
        <f t="shared" si="78"/>
        <v/>
      </c>
      <c r="AR142">
        <f>IF($Y142="",0,COUNTIF(บันทึกรายเที่ยว!$V$6:$V$10005,$Y142))</f>
        <v>0</v>
      </c>
      <c r="AS142">
        <f>IF($Y142="",0,ROUND(SUMIF(บันทึกรายเที่ยว!$V$6:$V$10005,$Y142,บันทึกรายเที่ยว!$M$6:$M$10005),2))</f>
        <v>0</v>
      </c>
      <c r="AT142">
        <f>IF($Y142="",0,IFERROR(INDEX(อัตราค่าขนส่ง!$J$5:$J$204,MATCH($Y142,อัตราค่าขนส่ง!$O$5:$O$204,0)),0))</f>
        <v>0</v>
      </c>
      <c r="AU142">
        <f t="shared" si="79"/>
        <v>0</v>
      </c>
      <c r="AV142">
        <f t="shared" si="80"/>
        <v>0</v>
      </c>
      <c r="AW142" t="str">
        <f>IF($Y142="","",IFERROR(INDEX(อัตราค่าขนส่ง!$F$5:$F$204,MATCH($Y142,อัตราค่าขนส่ง!$O$5:$O$204,0)),""))</f>
        <v/>
      </c>
      <c r="AX142" t="str">
        <f>IF($W142="","",INDEX(บันทึกรายเที่ยว!$D$6:$D$10005,$W142))</f>
        <v/>
      </c>
      <c r="AY142" t="str">
        <f>IF($W142="","",INDEX(บันทึกรายเที่ยว!$R$6:$R$10005,$W142))</f>
        <v/>
      </c>
      <c r="AZ142">
        <f t="shared" si="81"/>
        <v>0</v>
      </c>
      <c r="BA142" t="str">
        <f>IF($W142="","",INDEX(บันทึกรายเที่ยว!$E$6:$E$10005,$W142))</f>
        <v/>
      </c>
      <c r="BC142">
        <f>IF($Y142="",0,IFERROR(INDEX(อัตราค่าขนส่ง!$M$5:$M$204,MATCH($Y142,อัตราค่าขนส่ง!$O$5:$O$204,0)),0))</f>
        <v>0</v>
      </c>
      <c r="BD142">
        <f>IF($Y142="",0,IFERROR(INDEX(อัตราค่าขนส่ง!$N$5:$N$204,MATCH($Y142,อัตราค่าขนส่ง!$O$5:$O$204,0)),0))</f>
        <v>0</v>
      </c>
    </row>
    <row r="143" spans="1:56" ht="21" customHeight="1" x14ac:dyDescent="0.95">
      <c r="A143" s="36" t="str">
        <f>IF($AD143="","",IF($AD143="Z","รวมจ่ายทั้งสิ้น",IF($AD143="H",INDEX($X$5:$X$404,$AC143),IF($AD143="T","รวม",IF($AD143="B",IFERROR(INDEX(อัตราค่าขนส่ง!$U$5:$U$14,MATCH(INDEX($AM$5:$AM$404,$AC143),อัตราค่าขนส่ง!$T$5:$T$14,0)),"รวมกลุ่ม "&amp;INDEX($AM$5:$AM$404,$AC143)),INDEX($AY$5:$AY$404,$AC143))))))</f>
        <v/>
      </c>
      <c r="B143" s="31" t="str">
        <f t="shared" si="56"/>
        <v/>
      </c>
      <c r="C143" s="8" t="str">
        <f t="shared" si="57"/>
        <v/>
      </c>
      <c r="D143" s="37" t="str">
        <f t="shared" si="58"/>
        <v/>
      </c>
      <c r="E143" s="31" t="str">
        <f t="shared" si="59"/>
        <v/>
      </c>
      <c r="F143" s="32" t="str">
        <f t="shared" si="60"/>
        <v/>
      </c>
      <c r="G143" s="32" t="str">
        <f t="shared" si="61"/>
        <v/>
      </c>
      <c r="H143" s="32" t="str">
        <f t="shared" si="62"/>
        <v/>
      </c>
      <c r="I143" s="32" t="str">
        <f t="shared" si="63"/>
        <v/>
      </c>
      <c r="J143" s="46" t="str">
        <f t="shared" si="64"/>
        <v/>
      </c>
      <c r="K143" s="32" t="str">
        <f t="shared" si="65"/>
        <v/>
      </c>
      <c r="L143" s="32" t="str">
        <f t="shared" si="66"/>
        <v/>
      </c>
      <c r="M143" s="32" t="str">
        <f t="shared" si="67"/>
        <v/>
      </c>
      <c r="N143" s="32" t="str">
        <f t="shared" si="68"/>
        <v/>
      </c>
      <c r="O143" s="32" t="str">
        <f t="shared" si="69"/>
        <v/>
      </c>
      <c r="Q143" t="str">
        <f>IFERROR(MATCH(139,บันทึกรายเที่ยว!$Z$6:$Z$10005,0),"")</f>
        <v/>
      </c>
      <c r="R143" t="str">
        <f>IF($Q143="","",INDEX(บันทึกรายเที่ยว!$V$6:$V$10005,$Q143))</f>
        <v/>
      </c>
      <c r="S143" t="str">
        <f>IF($Q143="","",INDEX(บันทึกรายเที่ยว!$F$6:$F$10005,$Q143))</f>
        <v/>
      </c>
      <c r="T143" t="str">
        <f>IF($Q143="","",MATCH($S143,บันทึกรายเที่ยว!$F$6:$F$10005,0))</f>
        <v/>
      </c>
      <c r="U143" t="str">
        <f>IF($Q143="","",$AL143*10000000+$T143*1000+139)</f>
        <v/>
      </c>
      <c r="V143" t="str">
        <f>IFERROR(MATCH(SMALL($U$5:$U$404,139),$U$5:$U$404,0),"")</f>
        <v/>
      </c>
      <c r="W143" t="str">
        <f t="shared" si="70"/>
        <v/>
      </c>
      <c r="X143" t="str">
        <f t="shared" si="71"/>
        <v/>
      </c>
      <c r="Y143" t="str">
        <f t="shared" si="72"/>
        <v/>
      </c>
      <c r="Z143">
        <f t="shared" si="82"/>
        <v>0</v>
      </c>
      <c r="AA143">
        <f t="shared" si="73"/>
        <v>0</v>
      </c>
      <c r="AB143">
        <f>IF($V143="",99999+139,$AB142+1+$Z142+$AA142+$AO142)</f>
        <v>100138</v>
      </c>
      <c r="AC143" t="str">
        <f>IFERROR(MATCH(139,$AB$5:$AB$404,1),"")</f>
        <v/>
      </c>
      <c r="AD143" t="str">
        <f>IF(139=$AI$1+1,"Z",IF($AC143="","",IF(INDEX($V$5:$V$404,$AC143)="","",IF(139&gt;INDEX($AB$5:$AB$404,$AC143)+INDEX($Z$5:$Z$404,$AC143)+INDEX($AA$5:$AA$404,$AC143)+INDEX($AO$5:$AO$404,$AC143),"",IF(139=INDEX($AB$5:$AB$404,$AC143)+INDEX($Z$5:$Z$404,$AC143),"D",IF(AND(INDEX($Z$5:$Z$404,$AC143)=1,139=INDEX($AB$5:$AB$404,$AC143)),"H",IF(AND(INDEX($AO$5:$AO$404,$AC143)=1,139=INDEX($AB$5:$AB$404,$AC143)+INDEX($Z$5:$Z$404,$AC143)+INDEX($AA$5:$AA$404,$AC143)+INDEX($AO$5:$AO$404,$AC143)),"B","T")))))))</f>
        <v/>
      </c>
      <c r="AF143" t="str">
        <f t="shared" si="74"/>
        <v/>
      </c>
      <c r="AJ143">
        <f>IF($AD143&lt;&gt;"T",0,ROUND(SUMIF(oil!$B$4:$B$63,$AF143,oil!$AE$4:$AE$63),2))</f>
        <v>0</v>
      </c>
      <c r="AK143" t="str">
        <f>IF($S143="","",IFERROR(INDEX(อัตราค่าขนส่ง!$R$5:$R$54,MATCH($S143,อัตราค่าขนส่ง!$Q$5:$Q$54,0)),INDEX(รายการมาตรฐาน!$G$2:$G$3,1)))</f>
        <v/>
      </c>
      <c r="AL143" t="str">
        <f>IF($S143="","",IFERROR(MATCH($AK143,รายการมาตรฐาน!$G$2:$G$3,0),1))</f>
        <v/>
      </c>
      <c r="AM143" t="str">
        <f t="shared" si="75"/>
        <v/>
      </c>
      <c r="AN143" t="str">
        <f t="shared" si="76"/>
        <v/>
      </c>
      <c r="AO143">
        <f t="shared" si="77"/>
        <v>0</v>
      </c>
      <c r="AP143">
        <f t="shared" si="83"/>
        <v>0</v>
      </c>
      <c r="AQ143" t="str">
        <f t="shared" si="78"/>
        <v/>
      </c>
      <c r="AR143">
        <f>IF($Y143="",0,COUNTIF(บันทึกรายเที่ยว!$V$6:$V$10005,$Y143))</f>
        <v>0</v>
      </c>
      <c r="AS143">
        <f>IF($Y143="",0,ROUND(SUMIF(บันทึกรายเที่ยว!$V$6:$V$10005,$Y143,บันทึกรายเที่ยว!$M$6:$M$10005),2))</f>
        <v>0</v>
      </c>
      <c r="AT143">
        <f>IF($Y143="",0,IFERROR(INDEX(อัตราค่าขนส่ง!$J$5:$J$204,MATCH($Y143,อัตราค่าขนส่ง!$O$5:$O$204,0)),0))</f>
        <v>0</v>
      </c>
      <c r="AU143">
        <f t="shared" si="79"/>
        <v>0</v>
      </c>
      <c r="AV143">
        <f t="shared" si="80"/>
        <v>0</v>
      </c>
      <c r="AW143" t="str">
        <f>IF($Y143="","",IFERROR(INDEX(อัตราค่าขนส่ง!$F$5:$F$204,MATCH($Y143,อัตราค่าขนส่ง!$O$5:$O$204,0)),""))</f>
        <v/>
      </c>
      <c r="AX143" t="str">
        <f>IF($W143="","",INDEX(บันทึกรายเที่ยว!$D$6:$D$10005,$W143))</f>
        <v/>
      </c>
      <c r="AY143" t="str">
        <f>IF($W143="","",INDEX(บันทึกรายเที่ยว!$R$6:$R$10005,$W143))</f>
        <v/>
      </c>
      <c r="AZ143">
        <f t="shared" si="81"/>
        <v>0</v>
      </c>
      <c r="BA143" t="str">
        <f>IF($W143="","",INDEX(บันทึกรายเที่ยว!$E$6:$E$10005,$W143))</f>
        <v/>
      </c>
      <c r="BC143">
        <f>IF($Y143="",0,IFERROR(INDEX(อัตราค่าขนส่ง!$M$5:$M$204,MATCH($Y143,อัตราค่าขนส่ง!$O$5:$O$204,0)),0))</f>
        <v>0</v>
      </c>
      <c r="BD143">
        <f>IF($Y143="",0,IFERROR(INDEX(อัตราค่าขนส่ง!$N$5:$N$204,MATCH($Y143,อัตราค่าขนส่ง!$O$5:$O$204,0)),0))</f>
        <v>0</v>
      </c>
    </row>
    <row r="144" spans="1:56" ht="21" customHeight="1" x14ac:dyDescent="0.95">
      <c r="A144" s="36" t="str">
        <f>IF($AD144="","",IF($AD144="Z","รวมจ่ายทั้งสิ้น",IF($AD144="H",INDEX($X$5:$X$404,$AC144),IF($AD144="T","รวม",IF($AD144="B",IFERROR(INDEX(อัตราค่าขนส่ง!$U$5:$U$14,MATCH(INDEX($AM$5:$AM$404,$AC144),อัตราค่าขนส่ง!$T$5:$T$14,0)),"รวมกลุ่ม "&amp;INDEX($AM$5:$AM$404,$AC144)),INDEX($AY$5:$AY$404,$AC144))))))</f>
        <v/>
      </c>
      <c r="B144" s="31" t="str">
        <f t="shared" si="56"/>
        <v/>
      </c>
      <c r="C144" s="8" t="str">
        <f t="shared" si="57"/>
        <v/>
      </c>
      <c r="D144" s="37" t="str">
        <f t="shared" si="58"/>
        <v/>
      </c>
      <c r="E144" s="31" t="str">
        <f t="shared" si="59"/>
        <v/>
      </c>
      <c r="F144" s="32" t="str">
        <f t="shared" si="60"/>
        <v/>
      </c>
      <c r="G144" s="32" t="str">
        <f t="shared" si="61"/>
        <v/>
      </c>
      <c r="H144" s="32" t="str">
        <f t="shared" si="62"/>
        <v/>
      </c>
      <c r="I144" s="32" t="str">
        <f t="shared" si="63"/>
        <v/>
      </c>
      <c r="J144" s="46" t="str">
        <f t="shared" si="64"/>
        <v/>
      </c>
      <c r="K144" s="32" t="str">
        <f t="shared" si="65"/>
        <v/>
      </c>
      <c r="L144" s="32" t="str">
        <f t="shared" si="66"/>
        <v/>
      </c>
      <c r="M144" s="32" t="str">
        <f t="shared" si="67"/>
        <v/>
      </c>
      <c r="N144" s="32" t="str">
        <f t="shared" si="68"/>
        <v/>
      </c>
      <c r="O144" s="32" t="str">
        <f t="shared" si="69"/>
        <v/>
      </c>
      <c r="Q144" t="str">
        <f>IFERROR(MATCH(140,บันทึกรายเที่ยว!$Z$6:$Z$10005,0),"")</f>
        <v/>
      </c>
      <c r="R144" t="str">
        <f>IF($Q144="","",INDEX(บันทึกรายเที่ยว!$V$6:$V$10005,$Q144))</f>
        <v/>
      </c>
      <c r="S144" t="str">
        <f>IF($Q144="","",INDEX(บันทึกรายเที่ยว!$F$6:$F$10005,$Q144))</f>
        <v/>
      </c>
      <c r="T144" t="str">
        <f>IF($Q144="","",MATCH($S144,บันทึกรายเที่ยว!$F$6:$F$10005,0))</f>
        <v/>
      </c>
      <c r="U144" t="str">
        <f>IF($Q144="","",$AL144*10000000+$T144*1000+140)</f>
        <v/>
      </c>
      <c r="V144" t="str">
        <f>IFERROR(MATCH(SMALL($U$5:$U$404,140),$U$5:$U$404,0),"")</f>
        <v/>
      </c>
      <c r="W144" t="str">
        <f t="shared" si="70"/>
        <v/>
      </c>
      <c r="X144" t="str">
        <f t="shared" si="71"/>
        <v/>
      </c>
      <c r="Y144" t="str">
        <f t="shared" si="72"/>
        <v/>
      </c>
      <c r="Z144">
        <f t="shared" si="82"/>
        <v>0</v>
      </c>
      <c r="AA144">
        <f t="shared" si="73"/>
        <v>0</v>
      </c>
      <c r="AB144">
        <f>IF($V144="",99999+140,$AB143+1+$Z143+$AA143+$AO143)</f>
        <v>100139</v>
      </c>
      <c r="AC144" t="str">
        <f>IFERROR(MATCH(140,$AB$5:$AB$404,1),"")</f>
        <v/>
      </c>
      <c r="AD144" t="str">
        <f>IF(140=$AI$1+1,"Z",IF($AC144="","",IF(INDEX($V$5:$V$404,$AC144)="","",IF(140&gt;INDEX($AB$5:$AB$404,$AC144)+INDEX($Z$5:$Z$404,$AC144)+INDEX($AA$5:$AA$404,$AC144)+INDEX($AO$5:$AO$404,$AC144),"",IF(140=INDEX($AB$5:$AB$404,$AC144)+INDEX($Z$5:$Z$404,$AC144),"D",IF(AND(INDEX($Z$5:$Z$404,$AC144)=1,140=INDEX($AB$5:$AB$404,$AC144)),"H",IF(AND(INDEX($AO$5:$AO$404,$AC144)=1,140=INDEX($AB$5:$AB$404,$AC144)+INDEX($Z$5:$Z$404,$AC144)+INDEX($AA$5:$AA$404,$AC144)+INDEX($AO$5:$AO$404,$AC144)),"B","T")))))))</f>
        <v/>
      </c>
      <c r="AF144" t="str">
        <f t="shared" si="74"/>
        <v/>
      </c>
      <c r="AJ144">
        <f>IF($AD144&lt;&gt;"T",0,ROUND(SUMIF(oil!$B$4:$B$63,$AF144,oil!$AE$4:$AE$63),2))</f>
        <v>0</v>
      </c>
      <c r="AK144" t="str">
        <f>IF($S144="","",IFERROR(INDEX(อัตราค่าขนส่ง!$R$5:$R$54,MATCH($S144,อัตราค่าขนส่ง!$Q$5:$Q$54,0)),INDEX(รายการมาตรฐาน!$G$2:$G$3,1)))</f>
        <v/>
      </c>
      <c r="AL144" t="str">
        <f>IF($S144="","",IFERROR(MATCH($AK144,รายการมาตรฐาน!$G$2:$G$3,0),1))</f>
        <v/>
      </c>
      <c r="AM144" t="str">
        <f t="shared" si="75"/>
        <v/>
      </c>
      <c r="AN144" t="str">
        <f t="shared" si="76"/>
        <v/>
      </c>
      <c r="AO144">
        <f t="shared" si="77"/>
        <v>0</v>
      </c>
      <c r="AP144">
        <f t="shared" si="83"/>
        <v>0</v>
      </c>
      <c r="AQ144" t="str">
        <f t="shared" si="78"/>
        <v/>
      </c>
      <c r="AR144">
        <f>IF($Y144="",0,COUNTIF(บันทึกรายเที่ยว!$V$6:$V$10005,$Y144))</f>
        <v>0</v>
      </c>
      <c r="AS144">
        <f>IF($Y144="",0,ROUND(SUMIF(บันทึกรายเที่ยว!$V$6:$V$10005,$Y144,บันทึกรายเที่ยว!$M$6:$M$10005),2))</f>
        <v>0</v>
      </c>
      <c r="AT144">
        <f>IF($Y144="",0,IFERROR(INDEX(อัตราค่าขนส่ง!$J$5:$J$204,MATCH($Y144,อัตราค่าขนส่ง!$O$5:$O$204,0)),0))</f>
        <v>0</v>
      </c>
      <c r="AU144">
        <f t="shared" si="79"/>
        <v>0</v>
      </c>
      <c r="AV144">
        <f t="shared" si="80"/>
        <v>0</v>
      </c>
      <c r="AW144" t="str">
        <f>IF($Y144="","",IFERROR(INDEX(อัตราค่าขนส่ง!$F$5:$F$204,MATCH($Y144,อัตราค่าขนส่ง!$O$5:$O$204,0)),""))</f>
        <v/>
      </c>
      <c r="AX144" t="str">
        <f>IF($W144="","",INDEX(บันทึกรายเที่ยว!$D$6:$D$10005,$W144))</f>
        <v/>
      </c>
      <c r="AY144" t="str">
        <f>IF($W144="","",INDEX(บันทึกรายเที่ยว!$R$6:$R$10005,$W144))</f>
        <v/>
      </c>
      <c r="AZ144">
        <f t="shared" si="81"/>
        <v>0</v>
      </c>
      <c r="BA144" t="str">
        <f>IF($W144="","",INDEX(บันทึกรายเที่ยว!$E$6:$E$10005,$W144))</f>
        <v/>
      </c>
      <c r="BC144">
        <f>IF($Y144="",0,IFERROR(INDEX(อัตราค่าขนส่ง!$M$5:$M$204,MATCH($Y144,อัตราค่าขนส่ง!$O$5:$O$204,0)),0))</f>
        <v>0</v>
      </c>
      <c r="BD144">
        <f>IF($Y144="",0,IFERROR(INDEX(อัตราค่าขนส่ง!$N$5:$N$204,MATCH($Y144,อัตราค่าขนส่ง!$O$5:$O$204,0)),0))</f>
        <v>0</v>
      </c>
    </row>
    <row r="145" spans="1:56" ht="21" customHeight="1" x14ac:dyDescent="0.95">
      <c r="A145" s="36" t="str">
        <f>IF($AD145="","",IF($AD145="Z","รวมจ่ายทั้งสิ้น",IF($AD145="H",INDEX($X$5:$X$404,$AC145),IF($AD145="T","รวม",IF($AD145="B",IFERROR(INDEX(อัตราค่าขนส่ง!$U$5:$U$14,MATCH(INDEX($AM$5:$AM$404,$AC145),อัตราค่าขนส่ง!$T$5:$T$14,0)),"รวมกลุ่ม "&amp;INDEX($AM$5:$AM$404,$AC145)),INDEX($AY$5:$AY$404,$AC145))))))</f>
        <v/>
      </c>
      <c r="B145" s="31" t="str">
        <f t="shared" si="56"/>
        <v/>
      </c>
      <c r="C145" s="8" t="str">
        <f t="shared" si="57"/>
        <v/>
      </c>
      <c r="D145" s="37" t="str">
        <f t="shared" si="58"/>
        <v/>
      </c>
      <c r="E145" s="31" t="str">
        <f t="shared" si="59"/>
        <v/>
      </c>
      <c r="F145" s="32" t="str">
        <f t="shared" si="60"/>
        <v/>
      </c>
      <c r="G145" s="32" t="str">
        <f t="shared" si="61"/>
        <v/>
      </c>
      <c r="H145" s="32" t="str">
        <f t="shared" si="62"/>
        <v/>
      </c>
      <c r="I145" s="32" t="str">
        <f t="shared" si="63"/>
        <v/>
      </c>
      <c r="J145" s="46" t="str">
        <f t="shared" si="64"/>
        <v/>
      </c>
      <c r="K145" s="32" t="str">
        <f t="shared" si="65"/>
        <v/>
      </c>
      <c r="L145" s="32" t="str">
        <f t="shared" si="66"/>
        <v/>
      </c>
      <c r="M145" s="32" t="str">
        <f t="shared" si="67"/>
        <v/>
      </c>
      <c r="N145" s="32" t="str">
        <f t="shared" si="68"/>
        <v/>
      </c>
      <c r="O145" s="32" t="str">
        <f t="shared" si="69"/>
        <v/>
      </c>
      <c r="Q145" t="str">
        <f>IFERROR(MATCH(141,บันทึกรายเที่ยว!$Z$6:$Z$10005,0),"")</f>
        <v/>
      </c>
      <c r="R145" t="str">
        <f>IF($Q145="","",INDEX(บันทึกรายเที่ยว!$V$6:$V$10005,$Q145))</f>
        <v/>
      </c>
      <c r="S145" t="str">
        <f>IF($Q145="","",INDEX(บันทึกรายเที่ยว!$F$6:$F$10005,$Q145))</f>
        <v/>
      </c>
      <c r="T145" t="str">
        <f>IF($Q145="","",MATCH($S145,บันทึกรายเที่ยว!$F$6:$F$10005,0))</f>
        <v/>
      </c>
      <c r="U145" t="str">
        <f>IF($Q145="","",$AL145*10000000+$T145*1000+141)</f>
        <v/>
      </c>
      <c r="V145" t="str">
        <f>IFERROR(MATCH(SMALL($U$5:$U$404,141),$U$5:$U$404,0),"")</f>
        <v/>
      </c>
      <c r="W145" t="str">
        <f t="shared" si="70"/>
        <v/>
      </c>
      <c r="X145" t="str">
        <f t="shared" si="71"/>
        <v/>
      </c>
      <c r="Y145" t="str">
        <f t="shared" si="72"/>
        <v/>
      </c>
      <c r="Z145">
        <f t="shared" si="82"/>
        <v>0</v>
      </c>
      <c r="AA145">
        <f t="shared" si="73"/>
        <v>0</v>
      </c>
      <c r="AB145">
        <f>IF($V145="",99999+141,$AB144+1+$Z144+$AA144+$AO144)</f>
        <v>100140</v>
      </c>
      <c r="AC145" t="str">
        <f>IFERROR(MATCH(141,$AB$5:$AB$404,1),"")</f>
        <v/>
      </c>
      <c r="AD145" t="str">
        <f>IF(141=$AI$1+1,"Z",IF($AC145="","",IF(INDEX($V$5:$V$404,$AC145)="","",IF(141&gt;INDEX($AB$5:$AB$404,$AC145)+INDEX($Z$5:$Z$404,$AC145)+INDEX($AA$5:$AA$404,$AC145)+INDEX($AO$5:$AO$404,$AC145),"",IF(141=INDEX($AB$5:$AB$404,$AC145)+INDEX($Z$5:$Z$404,$AC145),"D",IF(AND(INDEX($Z$5:$Z$404,$AC145)=1,141=INDEX($AB$5:$AB$404,$AC145)),"H",IF(AND(INDEX($AO$5:$AO$404,$AC145)=1,141=INDEX($AB$5:$AB$404,$AC145)+INDEX($Z$5:$Z$404,$AC145)+INDEX($AA$5:$AA$404,$AC145)+INDEX($AO$5:$AO$404,$AC145)),"B","T")))))))</f>
        <v/>
      </c>
      <c r="AF145" t="str">
        <f t="shared" si="74"/>
        <v/>
      </c>
      <c r="AJ145">
        <f>IF($AD145&lt;&gt;"T",0,ROUND(SUMIF(oil!$B$4:$B$63,$AF145,oil!$AE$4:$AE$63),2))</f>
        <v>0</v>
      </c>
      <c r="AK145" t="str">
        <f>IF($S145="","",IFERROR(INDEX(อัตราค่าขนส่ง!$R$5:$R$54,MATCH($S145,อัตราค่าขนส่ง!$Q$5:$Q$54,0)),INDEX(รายการมาตรฐาน!$G$2:$G$3,1)))</f>
        <v/>
      </c>
      <c r="AL145" t="str">
        <f>IF($S145="","",IFERROR(MATCH($AK145,รายการมาตรฐาน!$G$2:$G$3,0),1))</f>
        <v/>
      </c>
      <c r="AM145" t="str">
        <f t="shared" si="75"/>
        <v/>
      </c>
      <c r="AN145" t="str">
        <f t="shared" si="76"/>
        <v/>
      </c>
      <c r="AO145">
        <f t="shared" si="77"/>
        <v>0</v>
      </c>
      <c r="AP145">
        <f t="shared" si="83"/>
        <v>0</v>
      </c>
      <c r="AQ145" t="str">
        <f t="shared" si="78"/>
        <v/>
      </c>
      <c r="AR145">
        <f>IF($Y145="",0,COUNTIF(บันทึกรายเที่ยว!$V$6:$V$10005,$Y145))</f>
        <v>0</v>
      </c>
      <c r="AS145">
        <f>IF($Y145="",0,ROUND(SUMIF(บันทึกรายเที่ยว!$V$6:$V$10005,$Y145,บันทึกรายเที่ยว!$M$6:$M$10005),2))</f>
        <v>0</v>
      </c>
      <c r="AT145">
        <f>IF($Y145="",0,IFERROR(INDEX(อัตราค่าขนส่ง!$J$5:$J$204,MATCH($Y145,อัตราค่าขนส่ง!$O$5:$O$204,0)),0))</f>
        <v>0</v>
      </c>
      <c r="AU145">
        <f t="shared" si="79"/>
        <v>0</v>
      </c>
      <c r="AV145">
        <f t="shared" si="80"/>
        <v>0</v>
      </c>
      <c r="AW145" t="str">
        <f>IF($Y145="","",IFERROR(INDEX(อัตราค่าขนส่ง!$F$5:$F$204,MATCH($Y145,อัตราค่าขนส่ง!$O$5:$O$204,0)),""))</f>
        <v/>
      </c>
      <c r="AX145" t="str">
        <f>IF($W145="","",INDEX(บันทึกรายเที่ยว!$D$6:$D$10005,$W145))</f>
        <v/>
      </c>
      <c r="AY145" t="str">
        <f>IF($W145="","",INDEX(บันทึกรายเที่ยว!$R$6:$R$10005,$W145))</f>
        <v/>
      </c>
      <c r="AZ145">
        <f t="shared" si="81"/>
        <v>0</v>
      </c>
      <c r="BA145" t="str">
        <f>IF($W145="","",INDEX(บันทึกรายเที่ยว!$E$6:$E$10005,$W145))</f>
        <v/>
      </c>
      <c r="BC145">
        <f>IF($Y145="",0,IFERROR(INDEX(อัตราค่าขนส่ง!$M$5:$M$204,MATCH($Y145,อัตราค่าขนส่ง!$O$5:$O$204,0)),0))</f>
        <v>0</v>
      </c>
      <c r="BD145">
        <f>IF($Y145="",0,IFERROR(INDEX(อัตราค่าขนส่ง!$N$5:$N$204,MATCH($Y145,อัตราค่าขนส่ง!$O$5:$O$204,0)),0))</f>
        <v>0</v>
      </c>
    </row>
    <row r="146" spans="1:56" ht="21" customHeight="1" x14ac:dyDescent="0.95">
      <c r="A146" s="36" t="str">
        <f>IF($AD146="","",IF($AD146="Z","รวมจ่ายทั้งสิ้น",IF($AD146="H",INDEX($X$5:$X$404,$AC146),IF($AD146="T","รวม",IF($AD146="B",IFERROR(INDEX(อัตราค่าขนส่ง!$U$5:$U$14,MATCH(INDEX($AM$5:$AM$404,$AC146),อัตราค่าขนส่ง!$T$5:$T$14,0)),"รวมกลุ่ม "&amp;INDEX($AM$5:$AM$404,$AC146)),INDEX($AY$5:$AY$404,$AC146))))))</f>
        <v/>
      </c>
      <c r="B146" s="31" t="str">
        <f t="shared" si="56"/>
        <v/>
      </c>
      <c r="C146" s="8" t="str">
        <f t="shared" si="57"/>
        <v/>
      </c>
      <c r="D146" s="37" t="str">
        <f t="shared" si="58"/>
        <v/>
      </c>
      <c r="E146" s="31" t="str">
        <f t="shared" si="59"/>
        <v/>
      </c>
      <c r="F146" s="32" t="str">
        <f t="shared" si="60"/>
        <v/>
      </c>
      <c r="G146" s="32" t="str">
        <f t="shared" si="61"/>
        <v/>
      </c>
      <c r="H146" s="32" t="str">
        <f t="shared" si="62"/>
        <v/>
      </c>
      <c r="I146" s="32" t="str">
        <f t="shared" si="63"/>
        <v/>
      </c>
      <c r="J146" s="46" t="str">
        <f t="shared" si="64"/>
        <v/>
      </c>
      <c r="K146" s="32" t="str">
        <f t="shared" si="65"/>
        <v/>
      </c>
      <c r="L146" s="32" t="str">
        <f t="shared" si="66"/>
        <v/>
      </c>
      <c r="M146" s="32" t="str">
        <f t="shared" si="67"/>
        <v/>
      </c>
      <c r="N146" s="32" t="str">
        <f t="shared" si="68"/>
        <v/>
      </c>
      <c r="O146" s="32" t="str">
        <f t="shared" si="69"/>
        <v/>
      </c>
      <c r="Q146" t="str">
        <f>IFERROR(MATCH(142,บันทึกรายเที่ยว!$Z$6:$Z$10005,0),"")</f>
        <v/>
      </c>
      <c r="R146" t="str">
        <f>IF($Q146="","",INDEX(บันทึกรายเที่ยว!$V$6:$V$10005,$Q146))</f>
        <v/>
      </c>
      <c r="S146" t="str">
        <f>IF($Q146="","",INDEX(บันทึกรายเที่ยว!$F$6:$F$10005,$Q146))</f>
        <v/>
      </c>
      <c r="T146" t="str">
        <f>IF($Q146="","",MATCH($S146,บันทึกรายเที่ยว!$F$6:$F$10005,0))</f>
        <v/>
      </c>
      <c r="U146" t="str">
        <f>IF($Q146="","",$AL146*10000000+$T146*1000+142)</f>
        <v/>
      </c>
      <c r="V146" t="str">
        <f>IFERROR(MATCH(SMALL($U$5:$U$404,142),$U$5:$U$404,0),"")</f>
        <v/>
      </c>
      <c r="W146" t="str">
        <f t="shared" si="70"/>
        <v/>
      </c>
      <c r="X146" t="str">
        <f t="shared" si="71"/>
        <v/>
      </c>
      <c r="Y146" t="str">
        <f t="shared" si="72"/>
        <v/>
      </c>
      <c r="Z146">
        <f t="shared" si="82"/>
        <v>0</v>
      </c>
      <c r="AA146">
        <f t="shared" si="73"/>
        <v>0</v>
      </c>
      <c r="AB146">
        <f>IF($V146="",99999+142,$AB145+1+$Z145+$AA145+$AO145)</f>
        <v>100141</v>
      </c>
      <c r="AC146" t="str">
        <f>IFERROR(MATCH(142,$AB$5:$AB$404,1),"")</f>
        <v/>
      </c>
      <c r="AD146" t="str">
        <f>IF(142=$AI$1+1,"Z",IF($AC146="","",IF(INDEX($V$5:$V$404,$AC146)="","",IF(142&gt;INDEX($AB$5:$AB$404,$AC146)+INDEX($Z$5:$Z$404,$AC146)+INDEX($AA$5:$AA$404,$AC146)+INDEX($AO$5:$AO$404,$AC146),"",IF(142=INDEX($AB$5:$AB$404,$AC146)+INDEX($Z$5:$Z$404,$AC146),"D",IF(AND(INDEX($Z$5:$Z$404,$AC146)=1,142=INDEX($AB$5:$AB$404,$AC146)),"H",IF(AND(INDEX($AO$5:$AO$404,$AC146)=1,142=INDEX($AB$5:$AB$404,$AC146)+INDEX($Z$5:$Z$404,$AC146)+INDEX($AA$5:$AA$404,$AC146)+INDEX($AO$5:$AO$404,$AC146)),"B","T")))))))</f>
        <v/>
      </c>
      <c r="AF146" t="str">
        <f t="shared" si="74"/>
        <v/>
      </c>
      <c r="AJ146">
        <f>IF($AD146&lt;&gt;"T",0,ROUND(SUMIF(oil!$B$4:$B$63,$AF146,oil!$AE$4:$AE$63),2))</f>
        <v>0</v>
      </c>
      <c r="AK146" t="str">
        <f>IF($S146="","",IFERROR(INDEX(อัตราค่าขนส่ง!$R$5:$R$54,MATCH($S146,อัตราค่าขนส่ง!$Q$5:$Q$54,0)),INDEX(รายการมาตรฐาน!$G$2:$G$3,1)))</f>
        <v/>
      </c>
      <c r="AL146" t="str">
        <f>IF($S146="","",IFERROR(MATCH($AK146,รายการมาตรฐาน!$G$2:$G$3,0),1))</f>
        <v/>
      </c>
      <c r="AM146" t="str">
        <f t="shared" si="75"/>
        <v/>
      </c>
      <c r="AN146" t="str">
        <f t="shared" si="76"/>
        <v/>
      </c>
      <c r="AO146">
        <f t="shared" si="77"/>
        <v>0</v>
      </c>
      <c r="AP146">
        <f t="shared" si="83"/>
        <v>0</v>
      </c>
      <c r="AQ146" t="str">
        <f t="shared" si="78"/>
        <v/>
      </c>
      <c r="AR146">
        <f>IF($Y146="",0,COUNTIF(บันทึกรายเที่ยว!$V$6:$V$10005,$Y146))</f>
        <v>0</v>
      </c>
      <c r="AS146">
        <f>IF($Y146="",0,ROUND(SUMIF(บันทึกรายเที่ยว!$V$6:$V$10005,$Y146,บันทึกรายเที่ยว!$M$6:$M$10005),2))</f>
        <v>0</v>
      </c>
      <c r="AT146">
        <f>IF($Y146="",0,IFERROR(INDEX(อัตราค่าขนส่ง!$J$5:$J$204,MATCH($Y146,อัตราค่าขนส่ง!$O$5:$O$204,0)),0))</f>
        <v>0</v>
      </c>
      <c r="AU146">
        <f t="shared" si="79"/>
        <v>0</v>
      </c>
      <c r="AV146">
        <f t="shared" si="80"/>
        <v>0</v>
      </c>
      <c r="AW146" t="str">
        <f>IF($Y146="","",IFERROR(INDEX(อัตราค่าขนส่ง!$F$5:$F$204,MATCH($Y146,อัตราค่าขนส่ง!$O$5:$O$204,0)),""))</f>
        <v/>
      </c>
      <c r="AX146" t="str">
        <f>IF($W146="","",INDEX(บันทึกรายเที่ยว!$D$6:$D$10005,$W146))</f>
        <v/>
      </c>
      <c r="AY146" t="str">
        <f>IF($W146="","",INDEX(บันทึกรายเที่ยว!$R$6:$R$10005,$W146))</f>
        <v/>
      </c>
      <c r="AZ146">
        <f t="shared" si="81"/>
        <v>0</v>
      </c>
      <c r="BA146" t="str">
        <f>IF($W146="","",INDEX(บันทึกรายเที่ยว!$E$6:$E$10005,$W146))</f>
        <v/>
      </c>
      <c r="BC146">
        <f>IF($Y146="",0,IFERROR(INDEX(อัตราค่าขนส่ง!$M$5:$M$204,MATCH($Y146,อัตราค่าขนส่ง!$O$5:$O$204,0)),0))</f>
        <v>0</v>
      </c>
      <c r="BD146">
        <f>IF($Y146="",0,IFERROR(INDEX(อัตราค่าขนส่ง!$N$5:$N$204,MATCH($Y146,อัตราค่าขนส่ง!$O$5:$O$204,0)),0))</f>
        <v>0</v>
      </c>
    </row>
    <row r="147" spans="1:56" ht="21" customHeight="1" x14ac:dyDescent="0.95">
      <c r="A147" s="36" t="str">
        <f>IF($AD147="","",IF($AD147="Z","รวมจ่ายทั้งสิ้น",IF($AD147="H",INDEX($X$5:$X$404,$AC147),IF($AD147="T","รวม",IF($AD147="B",IFERROR(INDEX(อัตราค่าขนส่ง!$U$5:$U$14,MATCH(INDEX($AM$5:$AM$404,$AC147),อัตราค่าขนส่ง!$T$5:$T$14,0)),"รวมกลุ่ม "&amp;INDEX($AM$5:$AM$404,$AC147)),INDEX($AY$5:$AY$404,$AC147))))))</f>
        <v/>
      </c>
      <c r="B147" s="31" t="str">
        <f t="shared" si="56"/>
        <v/>
      </c>
      <c r="C147" s="8" t="str">
        <f t="shared" si="57"/>
        <v/>
      </c>
      <c r="D147" s="37" t="str">
        <f t="shared" si="58"/>
        <v/>
      </c>
      <c r="E147" s="31" t="str">
        <f t="shared" si="59"/>
        <v/>
      </c>
      <c r="F147" s="32" t="str">
        <f t="shared" si="60"/>
        <v/>
      </c>
      <c r="G147" s="32" t="str">
        <f t="shared" si="61"/>
        <v/>
      </c>
      <c r="H147" s="32" t="str">
        <f t="shared" si="62"/>
        <v/>
      </c>
      <c r="I147" s="32" t="str">
        <f t="shared" si="63"/>
        <v/>
      </c>
      <c r="J147" s="46" t="str">
        <f t="shared" si="64"/>
        <v/>
      </c>
      <c r="K147" s="32" t="str">
        <f t="shared" si="65"/>
        <v/>
      </c>
      <c r="L147" s="32" t="str">
        <f t="shared" si="66"/>
        <v/>
      </c>
      <c r="M147" s="32" t="str">
        <f t="shared" si="67"/>
        <v/>
      </c>
      <c r="N147" s="32" t="str">
        <f t="shared" si="68"/>
        <v/>
      </c>
      <c r="O147" s="32" t="str">
        <f t="shared" si="69"/>
        <v/>
      </c>
      <c r="Q147" t="str">
        <f>IFERROR(MATCH(143,บันทึกรายเที่ยว!$Z$6:$Z$10005,0),"")</f>
        <v/>
      </c>
      <c r="R147" t="str">
        <f>IF($Q147="","",INDEX(บันทึกรายเที่ยว!$V$6:$V$10005,$Q147))</f>
        <v/>
      </c>
      <c r="S147" t="str">
        <f>IF($Q147="","",INDEX(บันทึกรายเที่ยว!$F$6:$F$10005,$Q147))</f>
        <v/>
      </c>
      <c r="T147" t="str">
        <f>IF($Q147="","",MATCH($S147,บันทึกรายเที่ยว!$F$6:$F$10005,0))</f>
        <v/>
      </c>
      <c r="U147" t="str">
        <f>IF($Q147="","",$AL147*10000000+$T147*1000+143)</f>
        <v/>
      </c>
      <c r="V147" t="str">
        <f>IFERROR(MATCH(SMALL($U$5:$U$404,143),$U$5:$U$404,0),"")</f>
        <v/>
      </c>
      <c r="W147" t="str">
        <f t="shared" si="70"/>
        <v/>
      </c>
      <c r="X147" t="str">
        <f t="shared" si="71"/>
        <v/>
      </c>
      <c r="Y147" t="str">
        <f t="shared" si="72"/>
        <v/>
      </c>
      <c r="Z147">
        <f t="shared" si="82"/>
        <v>0</v>
      </c>
      <c r="AA147">
        <f t="shared" si="73"/>
        <v>0</v>
      </c>
      <c r="AB147">
        <f>IF($V147="",99999+143,$AB146+1+$Z146+$AA146+$AO146)</f>
        <v>100142</v>
      </c>
      <c r="AC147" t="str">
        <f>IFERROR(MATCH(143,$AB$5:$AB$404,1),"")</f>
        <v/>
      </c>
      <c r="AD147" t="str">
        <f>IF(143=$AI$1+1,"Z",IF($AC147="","",IF(INDEX($V$5:$V$404,$AC147)="","",IF(143&gt;INDEX($AB$5:$AB$404,$AC147)+INDEX($Z$5:$Z$404,$AC147)+INDEX($AA$5:$AA$404,$AC147)+INDEX($AO$5:$AO$404,$AC147),"",IF(143=INDEX($AB$5:$AB$404,$AC147)+INDEX($Z$5:$Z$404,$AC147),"D",IF(AND(INDEX($Z$5:$Z$404,$AC147)=1,143=INDEX($AB$5:$AB$404,$AC147)),"H",IF(AND(INDEX($AO$5:$AO$404,$AC147)=1,143=INDEX($AB$5:$AB$404,$AC147)+INDEX($Z$5:$Z$404,$AC147)+INDEX($AA$5:$AA$404,$AC147)+INDEX($AO$5:$AO$404,$AC147)),"B","T")))))))</f>
        <v/>
      </c>
      <c r="AF147" t="str">
        <f t="shared" si="74"/>
        <v/>
      </c>
      <c r="AJ147">
        <f>IF($AD147&lt;&gt;"T",0,ROUND(SUMIF(oil!$B$4:$B$63,$AF147,oil!$AE$4:$AE$63),2))</f>
        <v>0</v>
      </c>
      <c r="AK147" t="str">
        <f>IF($S147="","",IFERROR(INDEX(อัตราค่าขนส่ง!$R$5:$R$54,MATCH($S147,อัตราค่าขนส่ง!$Q$5:$Q$54,0)),INDEX(รายการมาตรฐาน!$G$2:$G$3,1)))</f>
        <v/>
      </c>
      <c r="AL147" t="str">
        <f>IF($S147="","",IFERROR(MATCH($AK147,รายการมาตรฐาน!$G$2:$G$3,0),1))</f>
        <v/>
      </c>
      <c r="AM147" t="str">
        <f t="shared" si="75"/>
        <v/>
      </c>
      <c r="AN147" t="str">
        <f t="shared" si="76"/>
        <v/>
      </c>
      <c r="AO147">
        <f t="shared" si="77"/>
        <v>0</v>
      </c>
      <c r="AP147">
        <f t="shared" si="83"/>
        <v>0</v>
      </c>
      <c r="AQ147" t="str">
        <f t="shared" si="78"/>
        <v/>
      </c>
      <c r="AR147">
        <f>IF($Y147="",0,COUNTIF(บันทึกรายเที่ยว!$V$6:$V$10005,$Y147))</f>
        <v>0</v>
      </c>
      <c r="AS147">
        <f>IF($Y147="",0,ROUND(SUMIF(บันทึกรายเที่ยว!$V$6:$V$10005,$Y147,บันทึกรายเที่ยว!$M$6:$M$10005),2))</f>
        <v>0</v>
      </c>
      <c r="AT147">
        <f>IF($Y147="",0,IFERROR(INDEX(อัตราค่าขนส่ง!$J$5:$J$204,MATCH($Y147,อัตราค่าขนส่ง!$O$5:$O$204,0)),0))</f>
        <v>0</v>
      </c>
      <c r="AU147">
        <f t="shared" si="79"/>
        <v>0</v>
      </c>
      <c r="AV147">
        <f t="shared" si="80"/>
        <v>0</v>
      </c>
      <c r="AW147" t="str">
        <f>IF($Y147="","",IFERROR(INDEX(อัตราค่าขนส่ง!$F$5:$F$204,MATCH($Y147,อัตราค่าขนส่ง!$O$5:$O$204,0)),""))</f>
        <v/>
      </c>
      <c r="AX147" t="str">
        <f>IF($W147="","",INDEX(บันทึกรายเที่ยว!$D$6:$D$10005,$W147))</f>
        <v/>
      </c>
      <c r="AY147" t="str">
        <f>IF($W147="","",INDEX(บันทึกรายเที่ยว!$R$6:$R$10005,$W147))</f>
        <v/>
      </c>
      <c r="AZ147">
        <f t="shared" si="81"/>
        <v>0</v>
      </c>
      <c r="BA147" t="str">
        <f>IF($W147="","",INDEX(บันทึกรายเที่ยว!$E$6:$E$10005,$W147))</f>
        <v/>
      </c>
      <c r="BC147">
        <f>IF($Y147="",0,IFERROR(INDEX(อัตราค่าขนส่ง!$M$5:$M$204,MATCH($Y147,อัตราค่าขนส่ง!$O$5:$O$204,0)),0))</f>
        <v>0</v>
      </c>
      <c r="BD147">
        <f>IF($Y147="",0,IFERROR(INDEX(อัตราค่าขนส่ง!$N$5:$N$204,MATCH($Y147,อัตราค่าขนส่ง!$O$5:$O$204,0)),0))</f>
        <v>0</v>
      </c>
    </row>
    <row r="148" spans="1:56" ht="21" customHeight="1" x14ac:dyDescent="0.95">
      <c r="A148" s="36" t="str">
        <f>IF($AD148="","",IF($AD148="Z","รวมจ่ายทั้งสิ้น",IF($AD148="H",INDEX($X$5:$X$404,$AC148),IF($AD148="T","รวม",IF($AD148="B",IFERROR(INDEX(อัตราค่าขนส่ง!$U$5:$U$14,MATCH(INDEX($AM$5:$AM$404,$AC148),อัตราค่าขนส่ง!$T$5:$T$14,0)),"รวมกลุ่ม "&amp;INDEX($AM$5:$AM$404,$AC148)),INDEX($AY$5:$AY$404,$AC148))))))</f>
        <v/>
      </c>
      <c r="B148" s="31" t="str">
        <f t="shared" si="56"/>
        <v/>
      </c>
      <c r="C148" s="8" t="str">
        <f t="shared" si="57"/>
        <v/>
      </c>
      <c r="D148" s="37" t="str">
        <f t="shared" si="58"/>
        <v/>
      </c>
      <c r="E148" s="31" t="str">
        <f t="shared" si="59"/>
        <v/>
      </c>
      <c r="F148" s="32" t="str">
        <f t="shared" si="60"/>
        <v/>
      </c>
      <c r="G148" s="32" t="str">
        <f t="shared" si="61"/>
        <v/>
      </c>
      <c r="H148" s="32" t="str">
        <f t="shared" si="62"/>
        <v/>
      </c>
      <c r="I148" s="32" t="str">
        <f t="shared" si="63"/>
        <v/>
      </c>
      <c r="J148" s="46" t="str">
        <f t="shared" si="64"/>
        <v/>
      </c>
      <c r="K148" s="32" t="str">
        <f t="shared" si="65"/>
        <v/>
      </c>
      <c r="L148" s="32" t="str">
        <f t="shared" si="66"/>
        <v/>
      </c>
      <c r="M148" s="32" t="str">
        <f t="shared" si="67"/>
        <v/>
      </c>
      <c r="N148" s="32" t="str">
        <f t="shared" si="68"/>
        <v/>
      </c>
      <c r="O148" s="32" t="str">
        <f t="shared" si="69"/>
        <v/>
      </c>
      <c r="Q148" t="str">
        <f>IFERROR(MATCH(144,บันทึกรายเที่ยว!$Z$6:$Z$10005,0),"")</f>
        <v/>
      </c>
      <c r="R148" t="str">
        <f>IF($Q148="","",INDEX(บันทึกรายเที่ยว!$V$6:$V$10005,$Q148))</f>
        <v/>
      </c>
      <c r="S148" t="str">
        <f>IF($Q148="","",INDEX(บันทึกรายเที่ยว!$F$6:$F$10005,$Q148))</f>
        <v/>
      </c>
      <c r="T148" t="str">
        <f>IF($Q148="","",MATCH($S148,บันทึกรายเที่ยว!$F$6:$F$10005,0))</f>
        <v/>
      </c>
      <c r="U148" t="str">
        <f>IF($Q148="","",$AL148*10000000+$T148*1000+144)</f>
        <v/>
      </c>
      <c r="V148" t="str">
        <f>IFERROR(MATCH(SMALL($U$5:$U$404,144),$U$5:$U$404,0),"")</f>
        <v/>
      </c>
      <c r="W148" t="str">
        <f t="shared" si="70"/>
        <v/>
      </c>
      <c r="X148" t="str">
        <f t="shared" si="71"/>
        <v/>
      </c>
      <c r="Y148" t="str">
        <f t="shared" si="72"/>
        <v/>
      </c>
      <c r="Z148">
        <f t="shared" si="82"/>
        <v>0</v>
      </c>
      <c r="AA148">
        <f t="shared" si="73"/>
        <v>0</v>
      </c>
      <c r="AB148">
        <f>IF($V148="",99999+144,$AB147+1+$Z147+$AA147+$AO147)</f>
        <v>100143</v>
      </c>
      <c r="AC148" t="str">
        <f>IFERROR(MATCH(144,$AB$5:$AB$404,1),"")</f>
        <v/>
      </c>
      <c r="AD148" t="str">
        <f>IF(144=$AI$1+1,"Z",IF($AC148="","",IF(INDEX($V$5:$V$404,$AC148)="","",IF(144&gt;INDEX($AB$5:$AB$404,$AC148)+INDEX($Z$5:$Z$404,$AC148)+INDEX($AA$5:$AA$404,$AC148)+INDEX($AO$5:$AO$404,$AC148),"",IF(144=INDEX($AB$5:$AB$404,$AC148)+INDEX($Z$5:$Z$404,$AC148),"D",IF(AND(INDEX($Z$5:$Z$404,$AC148)=1,144=INDEX($AB$5:$AB$404,$AC148)),"H",IF(AND(INDEX($AO$5:$AO$404,$AC148)=1,144=INDEX($AB$5:$AB$404,$AC148)+INDEX($Z$5:$Z$404,$AC148)+INDEX($AA$5:$AA$404,$AC148)+INDEX($AO$5:$AO$404,$AC148)),"B","T")))))))</f>
        <v/>
      </c>
      <c r="AF148" t="str">
        <f t="shared" si="74"/>
        <v/>
      </c>
      <c r="AJ148">
        <f>IF($AD148&lt;&gt;"T",0,ROUND(SUMIF(oil!$B$4:$B$63,$AF148,oil!$AE$4:$AE$63),2))</f>
        <v>0</v>
      </c>
      <c r="AK148" t="str">
        <f>IF($S148="","",IFERROR(INDEX(อัตราค่าขนส่ง!$R$5:$R$54,MATCH($S148,อัตราค่าขนส่ง!$Q$5:$Q$54,0)),INDEX(รายการมาตรฐาน!$G$2:$G$3,1)))</f>
        <v/>
      </c>
      <c r="AL148" t="str">
        <f>IF($S148="","",IFERROR(MATCH($AK148,รายการมาตรฐาน!$G$2:$G$3,0),1))</f>
        <v/>
      </c>
      <c r="AM148" t="str">
        <f t="shared" si="75"/>
        <v/>
      </c>
      <c r="AN148" t="str">
        <f t="shared" si="76"/>
        <v/>
      </c>
      <c r="AO148">
        <f t="shared" si="77"/>
        <v>0</v>
      </c>
      <c r="AP148">
        <f t="shared" si="83"/>
        <v>0</v>
      </c>
      <c r="AQ148" t="str">
        <f t="shared" si="78"/>
        <v/>
      </c>
      <c r="AR148">
        <f>IF($Y148="",0,COUNTIF(บันทึกรายเที่ยว!$V$6:$V$10005,$Y148))</f>
        <v>0</v>
      </c>
      <c r="AS148">
        <f>IF($Y148="",0,ROUND(SUMIF(บันทึกรายเที่ยว!$V$6:$V$10005,$Y148,บันทึกรายเที่ยว!$M$6:$M$10005),2))</f>
        <v>0</v>
      </c>
      <c r="AT148">
        <f>IF($Y148="",0,IFERROR(INDEX(อัตราค่าขนส่ง!$J$5:$J$204,MATCH($Y148,อัตราค่าขนส่ง!$O$5:$O$204,0)),0))</f>
        <v>0</v>
      </c>
      <c r="AU148">
        <f t="shared" si="79"/>
        <v>0</v>
      </c>
      <c r="AV148">
        <f t="shared" si="80"/>
        <v>0</v>
      </c>
      <c r="AW148" t="str">
        <f>IF($Y148="","",IFERROR(INDEX(อัตราค่าขนส่ง!$F$5:$F$204,MATCH($Y148,อัตราค่าขนส่ง!$O$5:$O$204,0)),""))</f>
        <v/>
      </c>
      <c r="AX148" t="str">
        <f>IF($W148="","",INDEX(บันทึกรายเที่ยว!$D$6:$D$10005,$W148))</f>
        <v/>
      </c>
      <c r="AY148" t="str">
        <f>IF($W148="","",INDEX(บันทึกรายเที่ยว!$R$6:$R$10005,$W148))</f>
        <v/>
      </c>
      <c r="AZ148">
        <f t="shared" si="81"/>
        <v>0</v>
      </c>
      <c r="BA148" t="str">
        <f>IF($W148="","",INDEX(บันทึกรายเที่ยว!$E$6:$E$10005,$W148))</f>
        <v/>
      </c>
      <c r="BC148">
        <f>IF($Y148="",0,IFERROR(INDEX(อัตราค่าขนส่ง!$M$5:$M$204,MATCH($Y148,อัตราค่าขนส่ง!$O$5:$O$204,0)),0))</f>
        <v>0</v>
      </c>
      <c r="BD148">
        <f>IF($Y148="",0,IFERROR(INDEX(อัตราค่าขนส่ง!$N$5:$N$204,MATCH($Y148,อัตราค่าขนส่ง!$O$5:$O$204,0)),0))</f>
        <v>0</v>
      </c>
    </row>
    <row r="149" spans="1:56" ht="21" customHeight="1" x14ac:dyDescent="0.95">
      <c r="A149" s="36" t="str">
        <f>IF($AD149="","",IF($AD149="Z","รวมจ่ายทั้งสิ้น",IF($AD149="H",INDEX($X$5:$X$404,$AC149),IF($AD149="T","รวม",IF($AD149="B",IFERROR(INDEX(อัตราค่าขนส่ง!$U$5:$U$14,MATCH(INDEX($AM$5:$AM$404,$AC149),อัตราค่าขนส่ง!$T$5:$T$14,0)),"รวมกลุ่ม "&amp;INDEX($AM$5:$AM$404,$AC149)),INDEX($AY$5:$AY$404,$AC149))))))</f>
        <v/>
      </c>
      <c r="B149" s="31" t="str">
        <f t="shared" si="56"/>
        <v/>
      </c>
      <c r="C149" s="8" t="str">
        <f t="shared" si="57"/>
        <v/>
      </c>
      <c r="D149" s="37" t="str">
        <f t="shared" si="58"/>
        <v/>
      </c>
      <c r="E149" s="31" t="str">
        <f t="shared" si="59"/>
        <v/>
      </c>
      <c r="F149" s="32" t="str">
        <f t="shared" si="60"/>
        <v/>
      </c>
      <c r="G149" s="32" t="str">
        <f t="shared" si="61"/>
        <v/>
      </c>
      <c r="H149" s="32" t="str">
        <f t="shared" si="62"/>
        <v/>
      </c>
      <c r="I149" s="32" t="str">
        <f t="shared" si="63"/>
        <v/>
      </c>
      <c r="J149" s="46" t="str">
        <f t="shared" si="64"/>
        <v/>
      </c>
      <c r="K149" s="32" t="str">
        <f t="shared" si="65"/>
        <v/>
      </c>
      <c r="L149" s="32" t="str">
        <f t="shared" si="66"/>
        <v/>
      </c>
      <c r="M149" s="32" t="str">
        <f t="shared" si="67"/>
        <v/>
      </c>
      <c r="N149" s="32" t="str">
        <f t="shared" si="68"/>
        <v/>
      </c>
      <c r="O149" s="32" t="str">
        <f t="shared" si="69"/>
        <v/>
      </c>
      <c r="Q149" t="str">
        <f>IFERROR(MATCH(145,บันทึกรายเที่ยว!$Z$6:$Z$10005,0),"")</f>
        <v/>
      </c>
      <c r="R149" t="str">
        <f>IF($Q149="","",INDEX(บันทึกรายเที่ยว!$V$6:$V$10005,$Q149))</f>
        <v/>
      </c>
      <c r="S149" t="str">
        <f>IF($Q149="","",INDEX(บันทึกรายเที่ยว!$F$6:$F$10005,$Q149))</f>
        <v/>
      </c>
      <c r="T149" t="str">
        <f>IF($Q149="","",MATCH($S149,บันทึกรายเที่ยว!$F$6:$F$10005,0))</f>
        <v/>
      </c>
      <c r="U149" t="str">
        <f>IF($Q149="","",$AL149*10000000+$T149*1000+145)</f>
        <v/>
      </c>
      <c r="V149" t="str">
        <f>IFERROR(MATCH(SMALL($U$5:$U$404,145),$U$5:$U$404,0),"")</f>
        <v/>
      </c>
      <c r="W149" t="str">
        <f t="shared" si="70"/>
        <v/>
      </c>
      <c r="X149" t="str">
        <f t="shared" si="71"/>
        <v/>
      </c>
      <c r="Y149" t="str">
        <f t="shared" si="72"/>
        <v/>
      </c>
      <c r="Z149">
        <f t="shared" si="82"/>
        <v>0</v>
      </c>
      <c r="AA149">
        <f t="shared" si="73"/>
        <v>0</v>
      </c>
      <c r="AB149">
        <f>IF($V149="",99999+145,$AB148+1+$Z148+$AA148+$AO148)</f>
        <v>100144</v>
      </c>
      <c r="AC149" t="str">
        <f>IFERROR(MATCH(145,$AB$5:$AB$404,1),"")</f>
        <v/>
      </c>
      <c r="AD149" t="str">
        <f>IF(145=$AI$1+1,"Z",IF($AC149="","",IF(INDEX($V$5:$V$404,$AC149)="","",IF(145&gt;INDEX($AB$5:$AB$404,$AC149)+INDEX($Z$5:$Z$404,$AC149)+INDEX($AA$5:$AA$404,$AC149)+INDEX($AO$5:$AO$404,$AC149),"",IF(145=INDEX($AB$5:$AB$404,$AC149)+INDEX($Z$5:$Z$404,$AC149),"D",IF(AND(INDEX($Z$5:$Z$404,$AC149)=1,145=INDEX($AB$5:$AB$404,$AC149)),"H",IF(AND(INDEX($AO$5:$AO$404,$AC149)=1,145=INDEX($AB$5:$AB$404,$AC149)+INDEX($Z$5:$Z$404,$AC149)+INDEX($AA$5:$AA$404,$AC149)+INDEX($AO$5:$AO$404,$AC149)),"B","T")))))))</f>
        <v/>
      </c>
      <c r="AF149" t="str">
        <f t="shared" si="74"/>
        <v/>
      </c>
      <c r="AJ149">
        <f>IF($AD149&lt;&gt;"T",0,ROUND(SUMIF(oil!$B$4:$B$63,$AF149,oil!$AE$4:$AE$63),2))</f>
        <v>0</v>
      </c>
      <c r="AK149" t="str">
        <f>IF($S149="","",IFERROR(INDEX(อัตราค่าขนส่ง!$R$5:$R$54,MATCH($S149,อัตราค่าขนส่ง!$Q$5:$Q$54,0)),INDEX(รายการมาตรฐาน!$G$2:$G$3,1)))</f>
        <v/>
      </c>
      <c r="AL149" t="str">
        <f>IF($S149="","",IFERROR(MATCH($AK149,รายการมาตรฐาน!$G$2:$G$3,0),1))</f>
        <v/>
      </c>
      <c r="AM149" t="str">
        <f t="shared" si="75"/>
        <v/>
      </c>
      <c r="AN149" t="str">
        <f t="shared" si="76"/>
        <v/>
      </c>
      <c r="AO149">
        <f t="shared" si="77"/>
        <v>0</v>
      </c>
      <c r="AP149">
        <f t="shared" si="83"/>
        <v>0</v>
      </c>
      <c r="AQ149" t="str">
        <f t="shared" si="78"/>
        <v/>
      </c>
      <c r="AR149">
        <f>IF($Y149="",0,COUNTIF(บันทึกรายเที่ยว!$V$6:$V$10005,$Y149))</f>
        <v>0</v>
      </c>
      <c r="AS149">
        <f>IF($Y149="",0,ROUND(SUMIF(บันทึกรายเที่ยว!$V$6:$V$10005,$Y149,บันทึกรายเที่ยว!$M$6:$M$10005),2))</f>
        <v>0</v>
      </c>
      <c r="AT149">
        <f>IF($Y149="",0,IFERROR(INDEX(อัตราค่าขนส่ง!$J$5:$J$204,MATCH($Y149,อัตราค่าขนส่ง!$O$5:$O$204,0)),0))</f>
        <v>0</v>
      </c>
      <c r="AU149">
        <f t="shared" si="79"/>
        <v>0</v>
      </c>
      <c r="AV149">
        <f t="shared" si="80"/>
        <v>0</v>
      </c>
      <c r="AW149" t="str">
        <f>IF($Y149="","",IFERROR(INDEX(อัตราค่าขนส่ง!$F$5:$F$204,MATCH($Y149,อัตราค่าขนส่ง!$O$5:$O$204,0)),""))</f>
        <v/>
      </c>
      <c r="AX149" t="str">
        <f>IF($W149="","",INDEX(บันทึกรายเที่ยว!$D$6:$D$10005,$W149))</f>
        <v/>
      </c>
      <c r="AY149" t="str">
        <f>IF($W149="","",INDEX(บันทึกรายเที่ยว!$R$6:$R$10005,$W149))</f>
        <v/>
      </c>
      <c r="AZ149">
        <f t="shared" si="81"/>
        <v>0</v>
      </c>
      <c r="BA149" t="str">
        <f>IF($W149="","",INDEX(บันทึกรายเที่ยว!$E$6:$E$10005,$W149))</f>
        <v/>
      </c>
      <c r="BC149">
        <f>IF($Y149="",0,IFERROR(INDEX(อัตราค่าขนส่ง!$M$5:$M$204,MATCH($Y149,อัตราค่าขนส่ง!$O$5:$O$204,0)),0))</f>
        <v>0</v>
      </c>
      <c r="BD149">
        <f>IF($Y149="",0,IFERROR(INDEX(อัตราค่าขนส่ง!$N$5:$N$204,MATCH($Y149,อัตราค่าขนส่ง!$O$5:$O$204,0)),0))</f>
        <v>0</v>
      </c>
    </row>
    <row r="150" spans="1:56" ht="21" customHeight="1" x14ac:dyDescent="0.95">
      <c r="A150" s="36" t="str">
        <f>IF($AD150="","",IF($AD150="Z","รวมจ่ายทั้งสิ้น",IF($AD150="H",INDEX($X$5:$X$404,$AC150),IF($AD150="T","รวม",IF($AD150="B",IFERROR(INDEX(อัตราค่าขนส่ง!$U$5:$U$14,MATCH(INDEX($AM$5:$AM$404,$AC150),อัตราค่าขนส่ง!$T$5:$T$14,0)),"รวมกลุ่ม "&amp;INDEX($AM$5:$AM$404,$AC150)),INDEX($AY$5:$AY$404,$AC150))))))</f>
        <v/>
      </c>
      <c r="B150" s="31" t="str">
        <f t="shared" si="56"/>
        <v/>
      </c>
      <c r="C150" s="8" t="str">
        <f t="shared" si="57"/>
        <v/>
      </c>
      <c r="D150" s="37" t="str">
        <f t="shared" si="58"/>
        <v/>
      </c>
      <c r="E150" s="31" t="str">
        <f t="shared" si="59"/>
        <v/>
      </c>
      <c r="F150" s="32" t="str">
        <f t="shared" si="60"/>
        <v/>
      </c>
      <c r="G150" s="32" t="str">
        <f t="shared" si="61"/>
        <v/>
      </c>
      <c r="H150" s="32" t="str">
        <f t="shared" si="62"/>
        <v/>
      </c>
      <c r="I150" s="32" t="str">
        <f t="shared" si="63"/>
        <v/>
      </c>
      <c r="J150" s="46" t="str">
        <f t="shared" si="64"/>
        <v/>
      </c>
      <c r="K150" s="32" t="str">
        <f t="shared" si="65"/>
        <v/>
      </c>
      <c r="L150" s="32" t="str">
        <f t="shared" si="66"/>
        <v/>
      </c>
      <c r="M150" s="32" t="str">
        <f t="shared" si="67"/>
        <v/>
      </c>
      <c r="N150" s="32" t="str">
        <f t="shared" si="68"/>
        <v/>
      </c>
      <c r="O150" s="32" t="str">
        <f t="shared" si="69"/>
        <v/>
      </c>
      <c r="Q150" t="str">
        <f>IFERROR(MATCH(146,บันทึกรายเที่ยว!$Z$6:$Z$10005,0),"")</f>
        <v/>
      </c>
      <c r="R150" t="str">
        <f>IF($Q150="","",INDEX(บันทึกรายเที่ยว!$V$6:$V$10005,$Q150))</f>
        <v/>
      </c>
      <c r="S150" t="str">
        <f>IF($Q150="","",INDEX(บันทึกรายเที่ยว!$F$6:$F$10005,$Q150))</f>
        <v/>
      </c>
      <c r="T150" t="str">
        <f>IF($Q150="","",MATCH($S150,บันทึกรายเที่ยว!$F$6:$F$10005,0))</f>
        <v/>
      </c>
      <c r="U150" t="str">
        <f>IF($Q150="","",$AL150*10000000+$T150*1000+146)</f>
        <v/>
      </c>
      <c r="V150" t="str">
        <f>IFERROR(MATCH(SMALL($U$5:$U$404,146),$U$5:$U$404,0),"")</f>
        <v/>
      </c>
      <c r="W150" t="str">
        <f t="shared" si="70"/>
        <v/>
      </c>
      <c r="X150" t="str">
        <f t="shared" si="71"/>
        <v/>
      </c>
      <c r="Y150" t="str">
        <f t="shared" si="72"/>
        <v/>
      </c>
      <c r="Z150">
        <f t="shared" si="82"/>
        <v>0</v>
      </c>
      <c r="AA150">
        <f t="shared" si="73"/>
        <v>0</v>
      </c>
      <c r="AB150">
        <f>IF($V150="",99999+146,$AB149+1+$Z149+$AA149+$AO149)</f>
        <v>100145</v>
      </c>
      <c r="AC150" t="str">
        <f>IFERROR(MATCH(146,$AB$5:$AB$404,1),"")</f>
        <v/>
      </c>
      <c r="AD150" t="str">
        <f>IF(146=$AI$1+1,"Z",IF($AC150="","",IF(INDEX($V$5:$V$404,$AC150)="","",IF(146&gt;INDEX($AB$5:$AB$404,$AC150)+INDEX($Z$5:$Z$404,$AC150)+INDEX($AA$5:$AA$404,$AC150)+INDEX($AO$5:$AO$404,$AC150),"",IF(146=INDEX($AB$5:$AB$404,$AC150)+INDEX($Z$5:$Z$404,$AC150),"D",IF(AND(INDEX($Z$5:$Z$404,$AC150)=1,146=INDEX($AB$5:$AB$404,$AC150)),"H",IF(AND(INDEX($AO$5:$AO$404,$AC150)=1,146=INDEX($AB$5:$AB$404,$AC150)+INDEX($Z$5:$Z$404,$AC150)+INDEX($AA$5:$AA$404,$AC150)+INDEX($AO$5:$AO$404,$AC150)),"B","T")))))))</f>
        <v/>
      </c>
      <c r="AF150" t="str">
        <f t="shared" si="74"/>
        <v/>
      </c>
      <c r="AJ150">
        <f>IF($AD150&lt;&gt;"T",0,ROUND(SUMIF(oil!$B$4:$B$63,$AF150,oil!$AE$4:$AE$63),2))</f>
        <v>0</v>
      </c>
      <c r="AK150" t="str">
        <f>IF($S150="","",IFERROR(INDEX(อัตราค่าขนส่ง!$R$5:$R$54,MATCH($S150,อัตราค่าขนส่ง!$Q$5:$Q$54,0)),INDEX(รายการมาตรฐาน!$G$2:$G$3,1)))</f>
        <v/>
      </c>
      <c r="AL150" t="str">
        <f>IF($S150="","",IFERROR(MATCH($AK150,รายการมาตรฐาน!$G$2:$G$3,0),1))</f>
        <v/>
      </c>
      <c r="AM150" t="str">
        <f t="shared" si="75"/>
        <v/>
      </c>
      <c r="AN150" t="str">
        <f t="shared" si="76"/>
        <v/>
      </c>
      <c r="AO150">
        <f t="shared" si="77"/>
        <v>0</v>
      </c>
      <c r="AP150">
        <f t="shared" si="83"/>
        <v>0</v>
      </c>
      <c r="AQ150" t="str">
        <f t="shared" si="78"/>
        <v/>
      </c>
      <c r="AR150">
        <f>IF($Y150="",0,COUNTIF(บันทึกรายเที่ยว!$V$6:$V$10005,$Y150))</f>
        <v>0</v>
      </c>
      <c r="AS150">
        <f>IF($Y150="",0,ROUND(SUMIF(บันทึกรายเที่ยว!$V$6:$V$10005,$Y150,บันทึกรายเที่ยว!$M$6:$M$10005),2))</f>
        <v>0</v>
      </c>
      <c r="AT150">
        <f>IF($Y150="",0,IFERROR(INDEX(อัตราค่าขนส่ง!$J$5:$J$204,MATCH($Y150,อัตราค่าขนส่ง!$O$5:$O$204,0)),0))</f>
        <v>0</v>
      </c>
      <c r="AU150">
        <f t="shared" si="79"/>
        <v>0</v>
      </c>
      <c r="AV150">
        <f t="shared" si="80"/>
        <v>0</v>
      </c>
      <c r="AW150" t="str">
        <f>IF($Y150="","",IFERROR(INDEX(อัตราค่าขนส่ง!$F$5:$F$204,MATCH($Y150,อัตราค่าขนส่ง!$O$5:$O$204,0)),""))</f>
        <v/>
      </c>
      <c r="AX150" t="str">
        <f>IF($W150="","",INDEX(บันทึกรายเที่ยว!$D$6:$D$10005,$W150))</f>
        <v/>
      </c>
      <c r="AY150" t="str">
        <f>IF($W150="","",INDEX(บันทึกรายเที่ยว!$R$6:$R$10005,$W150))</f>
        <v/>
      </c>
      <c r="AZ150">
        <f t="shared" si="81"/>
        <v>0</v>
      </c>
      <c r="BA150" t="str">
        <f>IF($W150="","",INDEX(บันทึกรายเที่ยว!$E$6:$E$10005,$W150))</f>
        <v/>
      </c>
      <c r="BC150">
        <f>IF($Y150="",0,IFERROR(INDEX(อัตราค่าขนส่ง!$M$5:$M$204,MATCH($Y150,อัตราค่าขนส่ง!$O$5:$O$204,0)),0))</f>
        <v>0</v>
      </c>
      <c r="BD150">
        <f>IF($Y150="",0,IFERROR(INDEX(อัตราค่าขนส่ง!$N$5:$N$204,MATCH($Y150,อัตราค่าขนส่ง!$O$5:$O$204,0)),0))</f>
        <v>0</v>
      </c>
    </row>
    <row r="151" spans="1:56" ht="21" customHeight="1" x14ac:dyDescent="0.95">
      <c r="A151" s="36" t="str">
        <f>IF($AD151="","",IF($AD151="Z","รวมจ่ายทั้งสิ้น",IF($AD151="H",INDEX($X$5:$X$404,$AC151),IF($AD151="T","รวม",IF($AD151="B",IFERROR(INDEX(อัตราค่าขนส่ง!$U$5:$U$14,MATCH(INDEX($AM$5:$AM$404,$AC151),อัตราค่าขนส่ง!$T$5:$T$14,0)),"รวมกลุ่ม "&amp;INDEX($AM$5:$AM$404,$AC151)),INDEX($AY$5:$AY$404,$AC151))))))</f>
        <v/>
      </c>
      <c r="B151" s="31" t="str">
        <f t="shared" si="56"/>
        <v/>
      </c>
      <c r="C151" s="8" t="str">
        <f t="shared" si="57"/>
        <v/>
      </c>
      <c r="D151" s="37" t="str">
        <f t="shared" si="58"/>
        <v/>
      </c>
      <c r="E151" s="31" t="str">
        <f t="shared" si="59"/>
        <v/>
      </c>
      <c r="F151" s="32" t="str">
        <f t="shared" si="60"/>
        <v/>
      </c>
      <c r="G151" s="32" t="str">
        <f t="shared" si="61"/>
        <v/>
      </c>
      <c r="H151" s="32" t="str">
        <f t="shared" si="62"/>
        <v/>
      </c>
      <c r="I151" s="32" t="str">
        <f t="shared" si="63"/>
        <v/>
      </c>
      <c r="J151" s="46" t="str">
        <f t="shared" si="64"/>
        <v/>
      </c>
      <c r="K151" s="32" t="str">
        <f t="shared" si="65"/>
        <v/>
      </c>
      <c r="L151" s="32" t="str">
        <f t="shared" si="66"/>
        <v/>
      </c>
      <c r="M151" s="32" t="str">
        <f t="shared" si="67"/>
        <v/>
      </c>
      <c r="N151" s="32" t="str">
        <f t="shared" si="68"/>
        <v/>
      </c>
      <c r="O151" s="32" t="str">
        <f t="shared" si="69"/>
        <v/>
      </c>
      <c r="Q151" t="str">
        <f>IFERROR(MATCH(147,บันทึกรายเที่ยว!$Z$6:$Z$10005,0),"")</f>
        <v/>
      </c>
      <c r="R151" t="str">
        <f>IF($Q151="","",INDEX(บันทึกรายเที่ยว!$V$6:$V$10005,$Q151))</f>
        <v/>
      </c>
      <c r="S151" t="str">
        <f>IF($Q151="","",INDEX(บันทึกรายเที่ยว!$F$6:$F$10005,$Q151))</f>
        <v/>
      </c>
      <c r="T151" t="str">
        <f>IF($Q151="","",MATCH($S151,บันทึกรายเที่ยว!$F$6:$F$10005,0))</f>
        <v/>
      </c>
      <c r="U151" t="str">
        <f>IF($Q151="","",$AL151*10000000+$T151*1000+147)</f>
        <v/>
      </c>
      <c r="V151" t="str">
        <f>IFERROR(MATCH(SMALL($U$5:$U$404,147),$U$5:$U$404,0),"")</f>
        <v/>
      </c>
      <c r="W151" t="str">
        <f t="shared" si="70"/>
        <v/>
      </c>
      <c r="X151" t="str">
        <f t="shared" si="71"/>
        <v/>
      </c>
      <c r="Y151" t="str">
        <f t="shared" si="72"/>
        <v/>
      </c>
      <c r="Z151">
        <f t="shared" si="82"/>
        <v>0</v>
      </c>
      <c r="AA151">
        <f t="shared" si="73"/>
        <v>0</v>
      </c>
      <c r="AB151">
        <f>IF($V151="",99999+147,$AB150+1+$Z150+$AA150+$AO150)</f>
        <v>100146</v>
      </c>
      <c r="AC151" t="str">
        <f>IFERROR(MATCH(147,$AB$5:$AB$404,1),"")</f>
        <v/>
      </c>
      <c r="AD151" t="str">
        <f>IF(147=$AI$1+1,"Z",IF($AC151="","",IF(INDEX($V$5:$V$404,$AC151)="","",IF(147&gt;INDEX($AB$5:$AB$404,$AC151)+INDEX($Z$5:$Z$404,$AC151)+INDEX($AA$5:$AA$404,$AC151)+INDEX($AO$5:$AO$404,$AC151),"",IF(147=INDEX($AB$5:$AB$404,$AC151)+INDEX($Z$5:$Z$404,$AC151),"D",IF(AND(INDEX($Z$5:$Z$404,$AC151)=1,147=INDEX($AB$5:$AB$404,$AC151)),"H",IF(AND(INDEX($AO$5:$AO$404,$AC151)=1,147=INDEX($AB$5:$AB$404,$AC151)+INDEX($Z$5:$Z$404,$AC151)+INDEX($AA$5:$AA$404,$AC151)+INDEX($AO$5:$AO$404,$AC151)),"B","T")))))))</f>
        <v/>
      </c>
      <c r="AF151" t="str">
        <f t="shared" si="74"/>
        <v/>
      </c>
      <c r="AJ151">
        <f>IF($AD151&lt;&gt;"T",0,ROUND(SUMIF(oil!$B$4:$B$63,$AF151,oil!$AE$4:$AE$63),2))</f>
        <v>0</v>
      </c>
      <c r="AK151" t="str">
        <f>IF($S151="","",IFERROR(INDEX(อัตราค่าขนส่ง!$R$5:$R$54,MATCH($S151,อัตราค่าขนส่ง!$Q$5:$Q$54,0)),INDEX(รายการมาตรฐาน!$G$2:$G$3,1)))</f>
        <v/>
      </c>
      <c r="AL151" t="str">
        <f>IF($S151="","",IFERROR(MATCH($AK151,รายการมาตรฐาน!$G$2:$G$3,0),1))</f>
        <v/>
      </c>
      <c r="AM151" t="str">
        <f t="shared" si="75"/>
        <v/>
      </c>
      <c r="AN151" t="str">
        <f t="shared" si="76"/>
        <v/>
      </c>
      <c r="AO151">
        <f t="shared" si="77"/>
        <v>0</v>
      </c>
      <c r="AP151">
        <f t="shared" si="83"/>
        <v>0</v>
      </c>
      <c r="AQ151" t="str">
        <f t="shared" si="78"/>
        <v/>
      </c>
      <c r="AR151">
        <f>IF($Y151="",0,COUNTIF(บันทึกรายเที่ยว!$V$6:$V$10005,$Y151))</f>
        <v>0</v>
      </c>
      <c r="AS151">
        <f>IF($Y151="",0,ROUND(SUMIF(บันทึกรายเที่ยว!$V$6:$V$10005,$Y151,บันทึกรายเที่ยว!$M$6:$M$10005),2))</f>
        <v>0</v>
      </c>
      <c r="AT151">
        <f>IF($Y151="",0,IFERROR(INDEX(อัตราค่าขนส่ง!$J$5:$J$204,MATCH($Y151,อัตราค่าขนส่ง!$O$5:$O$204,0)),0))</f>
        <v>0</v>
      </c>
      <c r="AU151">
        <f t="shared" si="79"/>
        <v>0</v>
      </c>
      <c r="AV151">
        <f t="shared" si="80"/>
        <v>0</v>
      </c>
      <c r="AW151" t="str">
        <f>IF($Y151="","",IFERROR(INDEX(อัตราค่าขนส่ง!$F$5:$F$204,MATCH($Y151,อัตราค่าขนส่ง!$O$5:$O$204,0)),""))</f>
        <v/>
      </c>
      <c r="AX151" t="str">
        <f>IF($W151="","",INDEX(บันทึกรายเที่ยว!$D$6:$D$10005,$W151))</f>
        <v/>
      </c>
      <c r="AY151" t="str">
        <f>IF($W151="","",INDEX(บันทึกรายเที่ยว!$R$6:$R$10005,$W151))</f>
        <v/>
      </c>
      <c r="AZ151">
        <f t="shared" si="81"/>
        <v>0</v>
      </c>
      <c r="BA151" t="str">
        <f>IF($W151="","",INDEX(บันทึกรายเที่ยว!$E$6:$E$10005,$W151))</f>
        <v/>
      </c>
      <c r="BC151">
        <f>IF($Y151="",0,IFERROR(INDEX(อัตราค่าขนส่ง!$M$5:$M$204,MATCH($Y151,อัตราค่าขนส่ง!$O$5:$O$204,0)),0))</f>
        <v>0</v>
      </c>
      <c r="BD151">
        <f>IF($Y151="",0,IFERROR(INDEX(อัตราค่าขนส่ง!$N$5:$N$204,MATCH($Y151,อัตราค่าขนส่ง!$O$5:$O$204,0)),0))</f>
        <v>0</v>
      </c>
    </row>
    <row r="152" spans="1:56" ht="21" customHeight="1" x14ac:dyDescent="0.95">
      <c r="A152" s="36" t="str">
        <f>IF($AD152="","",IF($AD152="Z","รวมจ่ายทั้งสิ้น",IF($AD152="H",INDEX($X$5:$X$404,$AC152),IF($AD152="T","รวม",IF($AD152="B",IFERROR(INDEX(อัตราค่าขนส่ง!$U$5:$U$14,MATCH(INDEX($AM$5:$AM$404,$AC152),อัตราค่าขนส่ง!$T$5:$T$14,0)),"รวมกลุ่ม "&amp;INDEX($AM$5:$AM$404,$AC152)),INDEX($AY$5:$AY$404,$AC152))))))</f>
        <v/>
      </c>
      <c r="B152" s="31" t="str">
        <f t="shared" si="56"/>
        <v/>
      </c>
      <c r="C152" s="8" t="str">
        <f t="shared" si="57"/>
        <v/>
      </c>
      <c r="D152" s="37" t="str">
        <f t="shared" si="58"/>
        <v/>
      </c>
      <c r="E152" s="31" t="str">
        <f t="shared" si="59"/>
        <v/>
      </c>
      <c r="F152" s="32" t="str">
        <f t="shared" si="60"/>
        <v/>
      </c>
      <c r="G152" s="32" t="str">
        <f t="shared" si="61"/>
        <v/>
      </c>
      <c r="H152" s="32" t="str">
        <f t="shared" si="62"/>
        <v/>
      </c>
      <c r="I152" s="32" t="str">
        <f t="shared" si="63"/>
        <v/>
      </c>
      <c r="J152" s="46" t="str">
        <f t="shared" si="64"/>
        <v/>
      </c>
      <c r="K152" s="32" t="str">
        <f t="shared" si="65"/>
        <v/>
      </c>
      <c r="L152" s="32" t="str">
        <f t="shared" si="66"/>
        <v/>
      </c>
      <c r="M152" s="32" t="str">
        <f t="shared" si="67"/>
        <v/>
      </c>
      <c r="N152" s="32" t="str">
        <f t="shared" si="68"/>
        <v/>
      </c>
      <c r="O152" s="32" t="str">
        <f t="shared" si="69"/>
        <v/>
      </c>
      <c r="Q152" t="str">
        <f>IFERROR(MATCH(148,บันทึกรายเที่ยว!$Z$6:$Z$10005,0),"")</f>
        <v/>
      </c>
      <c r="R152" t="str">
        <f>IF($Q152="","",INDEX(บันทึกรายเที่ยว!$V$6:$V$10005,$Q152))</f>
        <v/>
      </c>
      <c r="S152" t="str">
        <f>IF($Q152="","",INDEX(บันทึกรายเที่ยว!$F$6:$F$10005,$Q152))</f>
        <v/>
      </c>
      <c r="T152" t="str">
        <f>IF($Q152="","",MATCH($S152,บันทึกรายเที่ยว!$F$6:$F$10005,0))</f>
        <v/>
      </c>
      <c r="U152" t="str">
        <f>IF($Q152="","",$AL152*10000000+$T152*1000+148)</f>
        <v/>
      </c>
      <c r="V152" t="str">
        <f>IFERROR(MATCH(SMALL($U$5:$U$404,148),$U$5:$U$404,0),"")</f>
        <v/>
      </c>
      <c r="W152" t="str">
        <f t="shared" si="70"/>
        <v/>
      </c>
      <c r="X152" t="str">
        <f t="shared" si="71"/>
        <v/>
      </c>
      <c r="Y152" t="str">
        <f t="shared" si="72"/>
        <v/>
      </c>
      <c r="Z152">
        <f t="shared" si="82"/>
        <v>0</v>
      </c>
      <c r="AA152">
        <f t="shared" si="73"/>
        <v>0</v>
      </c>
      <c r="AB152">
        <f>IF($V152="",99999+148,$AB151+1+$Z151+$AA151+$AO151)</f>
        <v>100147</v>
      </c>
      <c r="AC152" t="str">
        <f>IFERROR(MATCH(148,$AB$5:$AB$404,1),"")</f>
        <v/>
      </c>
      <c r="AD152" t="str">
        <f>IF(148=$AI$1+1,"Z",IF($AC152="","",IF(INDEX($V$5:$V$404,$AC152)="","",IF(148&gt;INDEX($AB$5:$AB$404,$AC152)+INDEX($Z$5:$Z$404,$AC152)+INDEX($AA$5:$AA$404,$AC152)+INDEX($AO$5:$AO$404,$AC152),"",IF(148=INDEX($AB$5:$AB$404,$AC152)+INDEX($Z$5:$Z$404,$AC152),"D",IF(AND(INDEX($Z$5:$Z$404,$AC152)=1,148=INDEX($AB$5:$AB$404,$AC152)),"H",IF(AND(INDEX($AO$5:$AO$404,$AC152)=1,148=INDEX($AB$5:$AB$404,$AC152)+INDEX($Z$5:$Z$404,$AC152)+INDEX($AA$5:$AA$404,$AC152)+INDEX($AO$5:$AO$404,$AC152)),"B","T")))))))</f>
        <v/>
      </c>
      <c r="AF152" t="str">
        <f t="shared" si="74"/>
        <v/>
      </c>
      <c r="AJ152">
        <f>IF($AD152&lt;&gt;"T",0,ROUND(SUMIF(oil!$B$4:$B$63,$AF152,oil!$AE$4:$AE$63),2))</f>
        <v>0</v>
      </c>
      <c r="AK152" t="str">
        <f>IF($S152="","",IFERROR(INDEX(อัตราค่าขนส่ง!$R$5:$R$54,MATCH($S152,อัตราค่าขนส่ง!$Q$5:$Q$54,0)),INDEX(รายการมาตรฐาน!$G$2:$G$3,1)))</f>
        <v/>
      </c>
      <c r="AL152" t="str">
        <f>IF($S152="","",IFERROR(MATCH($AK152,รายการมาตรฐาน!$G$2:$G$3,0),1))</f>
        <v/>
      </c>
      <c r="AM152" t="str">
        <f t="shared" si="75"/>
        <v/>
      </c>
      <c r="AN152" t="str">
        <f t="shared" si="76"/>
        <v/>
      </c>
      <c r="AO152">
        <f t="shared" si="77"/>
        <v>0</v>
      </c>
      <c r="AP152">
        <f t="shared" si="83"/>
        <v>0</v>
      </c>
      <c r="AQ152" t="str">
        <f t="shared" si="78"/>
        <v/>
      </c>
      <c r="AR152">
        <f>IF($Y152="",0,COUNTIF(บันทึกรายเที่ยว!$V$6:$V$10005,$Y152))</f>
        <v>0</v>
      </c>
      <c r="AS152">
        <f>IF($Y152="",0,ROUND(SUMIF(บันทึกรายเที่ยว!$V$6:$V$10005,$Y152,บันทึกรายเที่ยว!$M$6:$M$10005),2))</f>
        <v>0</v>
      </c>
      <c r="AT152">
        <f>IF($Y152="",0,IFERROR(INDEX(อัตราค่าขนส่ง!$J$5:$J$204,MATCH($Y152,อัตราค่าขนส่ง!$O$5:$O$204,0)),0))</f>
        <v>0</v>
      </c>
      <c r="AU152">
        <f t="shared" si="79"/>
        <v>0</v>
      </c>
      <c r="AV152">
        <f t="shared" si="80"/>
        <v>0</v>
      </c>
      <c r="AW152" t="str">
        <f>IF($Y152="","",IFERROR(INDEX(อัตราค่าขนส่ง!$F$5:$F$204,MATCH($Y152,อัตราค่าขนส่ง!$O$5:$O$204,0)),""))</f>
        <v/>
      </c>
      <c r="AX152" t="str">
        <f>IF($W152="","",INDEX(บันทึกรายเที่ยว!$D$6:$D$10005,$W152))</f>
        <v/>
      </c>
      <c r="AY152" t="str">
        <f>IF($W152="","",INDEX(บันทึกรายเที่ยว!$R$6:$R$10005,$W152))</f>
        <v/>
      </c>
      <c r="AZ152">
        <f t="shared" si="81"/>
        <v>0</v>
      </c>
      <c r="BA152" t="str">
        <f>IF($W152="","",INDEX(บันทึกรายเที่ยว!$E$6:$E$10005,$W152))</f>
        <v/>
      </c>
      <c r="BC152">
        <f>IF($Y152="",0,IFERROR(INDEX(อัตราค่าขนส่ง!$M$5:$M$204,MATCH($Y152,อัตราค่าขนส่ง!$O$5:$O$204,0)),0))</f>
        <v>0</v>
      </c>
      <c r="BD152">
        <f>IF($Y152="",0,IFERROR(INDEX(อัตราค่าขนส่ง!$N$5:$N$204,MATCH($Y152,อัตราค่าขนส่ง!$O$5:$O$204,0)),0))</f>
        <v>0</v>
      </c>
    </row>
    <row r="153" spans="1:56" ht="21" customHeight="1" x14ac:dyDescent="0.95">
      <c r="A153" s="36" t="str">
        <f>IF($AD153="","",IF($AD153="Z","รวมจ่ายทั้งสิ้น",IF($AD153="H",INDEX($X$5:$X$404,$AC153),IF($AD153="T","รวม",IF($AD153="B",IFERROR(INDEX(อัตราค่าขนส่ง!$U$5:$U$14,MATCH(INDEX($AM$5:$AM$404,$AC153),อัตราค่าขนส่ง!$T$5:$T$14,0)),"รวมกลุ่ม "&amp;INDEX($AM$5:$AM$404,$AC153)),INDEX($AY$5:$AY$404,$AC153))))))</f>
        <v/>
      </c>
      <c r="B153" s="31" t="str">
        <f t="shared" si="56"/>
        <v/>
      </c>
      <c r="C153" s="8" t="str">
        <f t="shared" si="57"/>
        <v/>
      </c>
      <c r="D153" s="37" t="str">
        <f t="shared" si="58"/>
        <v/>
      </c>
      <c r="E153" s="31" t="str">
        <f t="shared" si="59"/>
        <v/>
      </c>
      <c r="F153" s="32" t="str">
        <f t="shared" si="60"/>
        <v/>
      </c>
      <c r="G153" s="32" t="str">
        <f t="shared" si="61"/>
        <v/>
      </c>
      <c r="H153" s="32" t="str">
        <f t="shared" si="62"/>
        <v/>
      </c>
      <c r="I153" s="32" t="str">
        <f t="shared" si="63"/>
        <v/>
      </c>
      <c r="J153" s="46" t="str">
        <f t="shared" si="64"/>
        <v/>
      </c>
      <c r="K153" s="32" t="str">
        <f t="shared" si="65"/>
        <v/>
      </c>
      <c r="L153" s="32" t="str">
        <f t="shared" si="66"/>
        <v/>
      </c>
      <c r="M153" s="32" t="str">
        <f t="shared" si="67"/>
        <v/>
      </c>
      <c r="N153" s="32" t="str">
        <f t="shared" si="68"/>
        <v/>
      </c>
      <c r="O153" s="32" t="str">
        <f t="shared" si="69"/>
        <v/>
      </c>
      <c r="Q153" t="str">
        <f>IFERROR(MATCH(149,บันทึกรายเที่ยว!$Z$6:$Z$10005,0),"")</f>
        <v/>
      </c>
      <c r="R153" t="str">
        <f>IF($Q153="","",INDEX(บันทึกรายเที่ยว!$V$6:$V$10005,$Q153))</f>
        <v/>
      </c>
      <c r="S153" t="str">
        <f>IF($Q153="","",INDEX(บันทึกรายเที่ยว!$F$6:$F$10005,$Q153))</f>
        <v/>
      </c>
      <c r="T153" t="str">
        <f>IF($Q153="","",MATCH($S153,บันทึกรายเที่ยว!$F$6:$F$10005,0))</f>
        <v/>
      </c>
      <c r="U153" t="str">
        <f>IF($Q153="","",$AL153*10000000+$T153*1000+149)</f>
        <v/>
      </c>
      <c r="V153" t="str">
        <f>IFERROR(MATCH(SMALL($U$5:$U$404,149),$U$5:$U$404,0),"")</f>
        <v/>
      </c>
      <c r="W153" t="str">
        <f t="shared" si="70"/>
        <v/>
      </c>
      <c r="X153" t="str">
        <f t="shared" si="71"/>
        <v/>
      </c>
      <c r="Y153" t="str">
        <f t="shared" si="72"/>
        <v/>
      </c>
      <c r="Z153">
        <f t="shared" si="82"/>
        <v>0</v>
      </c>
      <c r="AA153">
        <f t="shared" si="73"/>
        <v>0</v>
      </c>
      <c r="AB153">
        <f>IF($V153="",99999+149,$AB152+1+$Z152+$AA152+$AO152)</f>
        <v>100148</v>
      </c>
      <c r="AC153" t="str">
        <f>IFERROR(MATCH(149,$AB$5:$AB$404,1),"")</f>
        <v/>
      </c>
      <c r="AD153" t="str">
        <f>IF(149=$AI$1+1,"Z",IF($AC153="","",IF(INDEX($V$5:$V$404,$AC153)="","",IF(149&gt;INDEX($AB$5:$AB$404,$AC153)+INDEX($Z$5:$Z$404,$AC153)+INDEX($AA$5:$AA$404,$AC153)+INDEX($AO$5:$AO$404,$AC153),"",IF(149=INDEX($AB$5:$AB$404,$AC153)+INDEX($Z$5:$Z$404,$AC153),"D",IF(AND(INDEX($Z$5:$Z$404,$AC153)=1,149=INDEX($AB$5:$AB$404,$AC153)),"H",IF(AND(INDEX($AO$5:$AO$404,$AC153)=1,149=INDEX($AB$5:$AB$404,$AC153)+INDEX($Z$5:$Z$404,$AC153)+INDEX($AA$5:$AA$404,$AC153)+INDEX($AO$5:$AO$404,$AC153)),"B","T")))))))</f>
        <v/>
      </c>
      <c r="AF153" t="str">
        <f t="shared" si="74"/>
        <v/>
      </c>
      <c r="AJ153">
        <f>IF($AD153&lt;&gt;"T",0,ROUND(SUMIF(oil!$B$4:$B$63,$AF153,oil!$AE$4:$AE$63),2))</f>
        <v>0</v>
      </c>
      <c r="AK153" t="str">
        <f>IF($S153="","",IFERROR(INDEX(อัตราค่าขนส่ง!$R$5:$R$54,MATCH($S153,อัตราค่าขนส่ง!$Q$5:$Q$54,0)),INDEX(รายการมาตรฐาน!$G$2:$G$3,1)))</f>
        <v/>
      </c>
      <c r="AL153" t="str">
        <f>IF($S153="","",IFERROR(MATCH($AK153,รายการมาตรฐาน!$G$2:$G$3,0),1))</f>
        <v/>
      </c>
      <c r="AM153" t="str">
        <f t="shared" si="75"/>
        <v/>
      </c>
      <c r="AN153" t="str">
        <f t="shared" si="76"/>
        <v/>
      </c>
      <c r="AO153">
        <f t="shared" si="77"/>
        <v>0</v>
      </c>
      <c r="AP153">
        <f t="shared" si="83"/>
        <v>0</v>
      </c>
      <c r="AQ153" t="str">
        <f t="shared" si="78"/>
        <v/>
      </c>
      <c r="AR153">
        <f>IF($Y153="",0,COUNTIF(บันทึกรายเที่ยว!$V$6:$V$10005,$Y153))</f>
        <v>0</v>
      </c>
      <c r="AS153">
        <f>IF($Y153="",0,ROUND(SUMIF(บันทึกรายเที่ยว!$V$6:$V$10005,$Y153,บันทึกรายเที่ยว!$M$6:$M$10005),2))</f>
        <v>0</v>
      </c>
      <c r="AT153">
        <f>IF($Y153="",0,IFERROR(INDEX(อัตราค่าขนส่ง!$J$5:$J$204,MATCH($Y153,อัตราค่าขนส่ง!$O$5:$O$204,0)),0))</f>
        <v>0</v>
      </c>
      <c r="AU153">
        <f t="shared" si="79"/>
        <v>0</v>
      </c>
      <c r="AV153">
        <f t="shared" si="80"/>
        <v>0</v>
      </c>
      <c r="AW153" t="str">
        <f>IF($Y153="","",IFERROR(INDEX(อัตราค่าขนส่ง!$F$5:$F$204,MATCH($Y153,อัตราค่าขนส่ง!$O$5:$O$204,0)),""))</f>
        <v/>
      </c>
      <c r="AX153" t="str">
        <f>IF($W153="","",INDEX(บันทึกรายเที่ยว!$D$6:$D$10005,$W153))</f>
        <v/>
      </c>
      <c r="AY153" t="str">
        <f>IF($W153="","",INDEX(บันทึกรายเที่ยว!$R$6:$R$10005,$W153))</f>
        <v/>
      </c>
      <c r="AZ153">
        <f t="shared" si="81"/>
        <v>0</v>
      </c>
      <c r="BA153" t="str">
        <f>IF($W153="","",INDEX(บันทึกรายเที่ยว!$E$6:$E$10005,$W153))</f>
        <v/>
      </c>
      <c r="BC153">
        <f>IF($Y153="",0,IFERROR(INDEX(อัตราค่าขนส่ง!$M$5:$M$204,MATCH($Y153,อัตราค่าขนส่ง!$O$5:$O$204,0)),0))</f>
        <v>0</v>
      </c>
      <c r="BD153">
        <f>IF($Y153="",0,IFERROR(INDEX(อัตราค่าขนส่ง!$N$5:$N$204,MATCH($Y153,อัตราค่าขนส่ง!$O$5:$O$204,0)),0))</f>
        <v>0</v>
      </c>
    </row>
    <row r="154" spans="1:56" ht="21" customHeight="1" x14ac:dyDescent="0.95">
      <c r="A154" s="36" t="str">
        <f>IF($AD154="","",IF($AD154="Z","รวมจ่ายทั้งสิ้น",IF($AD154="H",INDEX($X$5:$X$404,$AC154),IF($AD154="T","รวม",IF($AD154="B",IFERROR(INDEX(อัตราค่าขนส่ง!$U$5:$U$14,MATCH(INDEX($AM$5:$AM$404,$AC154),อัตราค่าขนส่ง!$T$5:$T$14,0)),"รวมกลุ่ม "&amp;INDEX($AM$5:$AM$404,$AC154)),INDEX($AY$5:$AY$404,$AC154))))))</f>
        <v/>
      </c>
      <c r="B154" s="31" t="str">
        <f t="shared" si="56"/>
        <v/>
      </c>
      <c r="C154" s="8" t="str">
        <f t="shared" si="57"/>
        <v/>
      </c>
      <c r="D154" s="37" t="str">
        <f t="shared" si="58"/>
        <v/>
      </c>
      <c r="E154" s="31" t="str">
        <f t="shared" si="59"/>
        <v/>
      </c>
      <c r="F154" s="32" t="str">
        <f t="shared" si="60"/>
        <v/>
      </c>
      <c r="G154" s="32" t="str">
        <f t="shared" si="61"/>
        <v/>
      </c>
      <c r="H154" s="32" t="str">
        <f t="shared" si="62"/>
        <v/>
      </c>
      <c r="I154" s="32" t="str">
        <f t="shared" si="63"/>
        <v/>
      </c>
      <c r="J154" s="46" t="str">
        <f t="shared" si="64"/>
        <v/>
      </c>
      <c r="K154" s="32" t="str">
        <f t="shared" si="65"/>
        <v/>
      </c>
      <c r="L154" s="32" t="str">
        <f t="shared" si="66"/>
        <v/>
      </c>
      <c r="M154" s="32" t="str">
        <f t="shared" si="67"/>
        <v/>
      </c>
      <c r="N154" s="32" t="str">
        <f t="shared" si="68"/>
        <v/>
      </c>
      <c r="O154" s="32" t="str">
        <f t="shared" si="69"/>
        <v/>
      </c>
      <c r="Q154" t="str">
        <f>IFERROR(MATCH(150,บันทึกรายเที่ยว!$Z$6:$Z$10005,0),"")</f>
        <v/>
      </c>
      <c r="R154" t="str">
        <f>IF($Q154="","",INDEX(บันทึกรายเที่ยว!$V$6:$V$10005,$Q154))</f>
        <v/>
      </c>
      <c r="S154" t="str">
        <f>IF($Q154="","",INDEX(บันทึกรายเที่ยว!$F$6:$F$10005,$Q154))</f>
        <v/>
      </c>
      <c r="T154" t="str">
        <f>IF($Q154="","",MATCH($S154,บันทึกรายเที่ยว!$F$6:$F$10005,0))</f>
        <v/>
      </c>
      <c r="U154" t="str">
        <f>IF($Q154="","",$AL154*10000000+$T154*1000+150)</f>
        <v/>
      </c>
      <c r="V154" t="str">
        <f>IFERROR(MATCH(SMALL($U$5:$U$404,150),$U$5:$U$404,0),"")</f>
        <v/>
      </c>
      <c r="W154" t="str">
        <f t="shared" si="70"/>
        <v/>
      </c>
      <c r="X154" t="str">
        <f t="shared" si="71"/>
        <v/>
      </c>
      <c r="Y154" t="str">
        <f t="shared" si="72"/>
        <v/>
      </c>
      <c r="Z154">
        <f t="shared" si="82"/>
        <v>0</v>
      </c>
      <c r="AA154">
        <f t="shared" si="73"/>
        <v>0</v>
      </c>
      <c r="AB154">
        <f>IF($V154="",99999+150,$AB153+1+$Z153+$AA153+$AO153)</f>
        <v>100149</v>
      </c>
      <c r="AC154" t="str">
        <f>IFERROR(MATCH(150,$AB$5:$AB$404,1),"")</f>
        <v/>
      </c>
      <c r="AD154" t="str">
        <f>IF(150=$AI$1+1,"Z",IF($AC154="","",IF(INDEX($V$5:$V$404,$AC154)="","",IF(150&gt;INDEX($AB$5:$AB$404,$AC154)+INDEX($Z$5:$Z$404,$AC154)+INDEX($AA$5:$AA$404,$AC154)+INDEX($AO$5:$AO$404,$AC154),"",IF(150=INDEX($AB$5:$AB$404,$AC154)+INDEX($Z$5:$Z$404,$AC154),"D",IF(AND(INDEX($Z$5:$Z$404,$AC154)=1,150=INDEX($AB$5:$AB$404,$AC154)),"H",IF(AND(INDEX($AO$5:$AO$404,$AC154)=1,150=INDEX($AB$5:$AB$404,$AC154)+INDEX($Z$5:$Z$404,$AC154)+INDEX($AA$5:$AA$404,$AC154)+INDEX($AO$5:$AO$404,$AC154)),"B","T")))))))</f>
        <v/>
      </c>
      <c r="AF154" t="str">
        <f t="shared" si="74"/>
        <v/>
      </c>
      <c r="AJ154">
        <f>IF($AD154&lt;&gt;"T",0,ROUND(SUMIF(oil!$B$4:$B$63,$AF154,oil!$AE$4:$AE$63),2))</f>
        <v>0</v>
      </c>
      <c r="AK154" t="str">
        <f>IF($S154="","",IFERROR(INDEX(อัตราค่าขนส่ง!$R$5:$R$54,MATCH($S154,อัตราค่าขนส่ง!$Q$5:$Q$54,0)),INDEX(รายการมาตรฐาน!$G$2:$G$3,1)))</f>
        <v/>
      </c>
      <c r="AL154" t="str">
        <f>IF($S154="","",IFERROR(MATCH($AK154,รายการมาตรฐาน!$G$2:$G$3,0),1))</f>
        <v/>
      </c>
      <c r="AM154" t="str">
        <f t="shared" si="75"/>
        <v/>
      </c>
      <c r="AN154" t="str">
        <f t="shared" si="76"/>
        <v/>
      </c>
      <c r="AO154">
        <f t="shared" si="77"/>
        <v>0</v>
      </c>
      <c r="AP154">
        <f t="shared" si="83"/>
        <v>0</v>
      </c>
      <c r="AQ154" t="str">
        <f t="shared" si="78"/>
        <v/>
      </c>
      <c r="AR154">
        <f>IF($Y154="",0,COUNTIF(บันทึกรายเที่ยว!$V$6:$V$10005,$Y154))</f>
        <v>0</v>
      </c>
      <c r="AS154">
        <f>IF($Y154="",0,ROUND(SUMIF(บันทึกรายเที่ยว!$V$6:$V$10005,$Y154,บันทึกรายเที่ยว!$M$6:$M$10005),2))</f>
        <v>0</v>
      </c>
      <c r="AT154">
        <f>IF($Y154="",0,IFERROR(INDEX(อัตราค่าขนส่ง!$J$5:$J$204,MATCH($Y154,อัตราค่าขนส่ง!$O$5:$O$204,0)),0))</f>
        <v>0</v>
      </c>
      <c r="AU154">
        <f t="shared" si="79"/>
        <v>0</v>
      </c>
      <c r="AV154">
        <f t="shared" si="80"/>
        <v>0</v>
      </c>
      <c r="AW154" t="str">
        <f>IF($Y154="","",IFERROR(INDEX(อัตราค่าขนส่ง!$F$5:$F$204,MATCH($Y154,อัตราค่าขนส่ง!$O$5:$O$204,0)),""))</f>
        <v/>
      </c>
      <c r="AX154" t="str">
        <f>IF($W154="","",INDEX(บันทึกรายเที่ยว!$D$6:$D$10005,$W154))</f>
        <v/>
      </c>
      <c r="AY154" t="str">
        <f>IF($W154="","",INDEX(บันทึกรายเที่ยว!$R$6:$R$10005,$W154))</f>
        <v/>
      </c>
      <c r="AZ154">
        <f t="shared" si="81"/>
        <v>0</v>
      </c>
      <c r="BA154" t="str">
        <f>IF($W154="","",INDEX(บันทึกรายเที่ยว!$E$6:$E$10005,$W154))</f>
        <v/>
      </c>
      <c r="BC154">
        <f>IF($Y154="",0,IFERROR(INDEX(อัตราค่าขนส่ง!$M$5:$M$204,MATCH($Y154,อัตราค่าขนส่ง!$O$5:$O$204,0)),0))</f>
        <v>0</v>
      </c>
      <c r="BD154">
        <f>IF($Y154="",0,IFERROR(INDEX(อัตราค่าขนส่ง!$N$5:$N$204,MATCH($Y154,อัตราค่าขนส่ง!$O$5:$O$204,0)),0))</f>
        <v>0</v>
      </c>
    </row>
    <row r="155" spans="1:56" ht="21" customHeight="1" x14ac:dyDescent="0.95">
      <c r="A155" s="36" t="str">
        <f>IF($AD155="","",IF($AD155="Z","รวมจ่ายทั้งสิ้น",IF($AD155="H",INDEX($X$5:$X$404,$AC155),IF($AD155="T","รวม",IF($AD155="B",IFERROR(INDEX(อัตราค่าขนส่ง!$U$5:$U$14,MATCH(INDEX($AM$5:$AM$404,$AC155),อัตราค่าขนส่ง!$T$5:$T$14,0)),"รวมกลุ่ม "&amp;INDEX($AM$5:$AM$404,$AC155)),INDEX($AY$5:$AY$404,$AC155))))))</f>
        <v/>
      </c>
      <c r="B155" s="31" t="str">
        <f t="shared" si="56"/>
        <v/>
      </c>
      <c r="C155" s="8" t="str">
        <f t="shared" si="57"/>
        <v/>
      </c>
      <c r="D155" s="37" t="str">
        <f t="shared" si="58"/>
        <v/>
      </c>
      <c r="E155" s="31" t="str">
        <f t="shared" si="59"/>
        <v/>
      </c>
      <c r="F155" s="32" t="str">
        <f t="shared" si="60"/>
        <v/>
      </c>
      <c r="G155" s="32" t="str">
        <f t="shared" si="61"/>
        <v/>
      </c>
      <c r="H155" s="32" t="str">
        <f t="shared" si="62"/>
        <v/>
      </c>
      <c r="I155" s="32" t="str">
        <f t="shared" si="63"/>
        <v/>
      </c>
      <c r="J155" s="46" t="str">
        <f t="shared" si="64"/>
        <v/>
      </c>
      <c r="K155" s="32" t="str">
        <f t="shared" si="65"/>
        <v/>
      </c>
      <c r="L155" s="32" t="str">
        <f t="shared" si="66"/>
        <v/>
      </c>
      <c r="M155" s="32" t="str">
        <f t="shared" si="67"/>
        <v/>
      </c>
      <c r="N155" s="32" t="str">
        <f t="shared" si="68"/>
        <v/>
      </c>
      <c r="O155" s="32" t="str">
        <f t="shared" si="69"/>
        <v/>
      </c>
      <c r="Q155" t="str">
        <f>IFERROR(MATCH(151,บันทึกรายเที่ยว!$Z$6:$Z$10005,0),"")</f>
        <v/>
      </c>
      <c r="R155" t="str">
        <f>IF($Q155="","",INDEX(บันทึกรายเที่ยว!$V$6:$V$10005,$Q155))</f>
        <v/>
      </c>
      <c r="S155" t="str">
        <f>IF($Q155="","",INDEX(บันทึกรายเที่ยว!$F$6:$F$10005,$Q155))</f>
        <v/>
      </c>
      <c r="T155" t="str">
        <f>IF($Q155="","",MATCH($S155,บันทึกรายเที่ยว!$F$6:$F$10005,0))</f>
        <v/>
      </c>
      <c r="U155" t="str">
        <f>IF($Q155="","",$AL155*10000000+$T155*1000+151)</f>
        <v/>
      </c>
      <c r="V155" t="str">
        <f>IFERROR(MATCH(SMALL($U$5:$U$404,151),$U$5:$U$404,0),"")</f>
        <v/>
      </c>
      <c r="W155" t="str">
        <f t="shared" si="70"/>
        <v/>
      </c>
      <c r="X155" t="str">
        <f t="shared" si="71"/>
        <v/>
      </c>
      <c r="Y155" t="str">
        <f t="shared" si="72"/>
        <v/>
      </c>
      <c r="Z155">
        <f t="shared" si="82"/>
        <v>0</v>
      </c>
      <c r="AA155">
        <f t="shared" si="73"/>
        <v>0</v>
      </c>
      <c r="AB155">
        <f>IF($V155="",99999+151,$AB154+1+$Z154+$AA154+$AO154)</f>
        <v>100150</v>
      </c>
      <c r="AC155" t="str">
        <f>IFERROR(MATCH(151,$AB$5:$AB$404,1),"")</f>
        <v/>
      </c>
      <c r="AD155" t="str">
        <f>IF(151=$AI$1+1,"Z",IF($AC155="","",IF(INDEX($V$5:$V$404,$AC155)="","",IF(151&gt;INDEX($AB$5:$AB$404,$AC155)+INDEX($Z$5:$Z$404,$AC155)+INDEX($AA$5:$AA$404,$AC155)+INDEX($AO$5:$AO$404,$AC155),"",IF(151=INDEX($AB$5:$AB$404,$AC155)+INDEX($Z$5:$Z$404,$AC155),"D",IF(AND(INDEX($Z$5:$Z$404,$AC155)=1,151=INDEX($AB$5:$AB$404,$AC155)),"H",IF(AND(INDEX($AO$5:$AO$404,$AC155)=1,151=INDEX($AB$5:$AB$404,$AC155)+INDEX($Z$5:$Z$404,$AC155)+INDEX($AA$5:$AA$404,$AC155)+INDEX($AO$5:$AO$404,$AC155)),"B","T")))))))</f>
        <v/>
      </c>
      <c r="AF155" t="str">
        <f t="shared" si="74"/>
        <v/>
      </c>
      <c r="AJ155">
        <f>IF($AD155&lt;&gt;"T",0,ROUND(SUMIF(oil!$B$4:$B$63,$AF155,oil!$AE$4:$AE$63),2))</f>
        <v>0</v>
      </c>
      <c r="AK155" t="str">
        <f>IF($S155="","",IFERROR(INDEX(อัตราค่าขนส่ง!$R$5:$R$54,MATCH($S155,อัตราค่าขนส่ง!$Q$5:$Q$54,0)),INDEX(รายการมาตรฐาน!$G$2:$G$3,1)))</f>
        <v/>
      </c>
      <c r="AL155" t="str">
        <f>IF($S155="","",IFERROR(MATCH($AK155,รายการมาตรฐาน!$G$2:$G$3,0),1))</f>
        <v/>
      </c>
      <c r="AM155" t="str">
        <f t="shared" si="75"/>
        <v/>
      </c>
      <c r="AN155" t="str">
        <f t="shared" si="76"/>
        <v/>
      </c>
      <c r="AO155">
        <f t="shared" si="77"/>
        <v>0</v>
      </c>
      <c r="AP155">
        <f t="shared" si="83"/>
        <v>0</v>
      </c>
      <c r="AQ155" t="str">
        <f t="shared" si="78"/>
        <v/>
      </c>
      <c r="AR155">
        <f>IF($Y155="",0,COUNTIF(บันทึกรายเที่ยว!$V$6:$V$10005,$Y155))</f>
        <v>0</v>
      </c>
      <c r="AS155">
        <f>IF($Y155="",0,ROUND(SUMIF(บันทึกรายเที่ยว!$V$6:$V$10005,$Y155,บันทึกรายเที่ยว!$M$6:$M$10005),2))</f>
        <v>0</v>
      </c>
      <c r="AT155">
        <f>IF($Y155="",0,IFERROR(INDEX(อัตราค่าขนส่ง!$J$5:$J$204,MATCH($Y155,อัตราค่าขนส่ง!$O$5:$O$204,0)),0))</f>
        <v>0</v>
      </c>
      <c r="AU155">
        <f t="shared" si="79"/>
        <v>0</v>
      </c>
      <c r="AV155">
        <f t="shared" si="80"/>
        <v>0</v>
      </c>
      <c r="AW155" t="str">
        <f>IF($Y155="","",IFERROR(INDEX(อัตราค่าขนส่ง!$F$5:$F$204,MATCH($Y155,อัตราค่าขนส่ง!$O$5:$O$204,0)),""))</f>
        <v/>
      </c>
      <c r="AX155" t="str">
        <f>IF($W155="","",INDEX(บันทึกรายเที่ยว!$D$6:$D$10005,$W155))</f>
        <v/>
      </c>
      <c r="AY155" t="str">
        <f>IF($W155="","",INDEX(บันทึกรายเที่ยว!$R$6:$R$10005,$W155))</f>
        <v/>
      </c>
      <c r="AZ155">
        <f t="shared" si="81"/>
        <v>0</v>
      </c>
      <c r="BA155" t="str">
        <f>IF($W155="","",INDEX(บันทึกรายเที่ยว!$E$6:$E$10005,$W155))</f>
        <v/>
      </c>
      <c r="BC155">
        <f>IF($Y155="",0,IFERROR(INDEX(อัตราค่าขนส่ง!$M$5:$M$204,MATCH($Y155,อัตราค่าขนส่ง!$O$5:$O$204,0)),0))</f>
        <v>0</v>
      </c>
      <c r="BD155">
        <f>IF($Y155="",0,IFERROR(INDEX(อัตราค่าขนส่ง!$N$5:$N$204,MATCH($Y155,อัตราค่าขนส่ง!$O$5:$O$204,0)),0))</f>
        <v>0</v>
      </c>
    </row>
    <row r="156" spans="1:56" ht="21" customHeight="1" x14ac:dyDescent="0.95">
      <c r="A156" s="36" t="str">
        <f>IF($AD156="","",IF($AD156="Z","รวมจ่ายทั้งสิ้น",IF($AD156="H",INDEX($X$5:$X$404,$AC156),IF($AD156="T","รวม",IF($AD156="B",IFERROR(INDEX(อัตราค่าขนส่ง!$U$5:$U$14,MATCH(INDEX($AM$5:$AM$404,$AC156),อัตราค่าขนส่ง!$T$5:$T$14,0)),"รวมกลุ่ม "&amp;INDEX($AM$5:$AM$404,$AC156)),INDEX($AY$5:$AY$404,$AC156))))))</f>
        <v/>
      </c>
      <c r="B156" s="31" t="str">
        <f t="shared" si="56"/>
        <v/>
      </c>
      <c r="C156" s="8" t="str">
        <f t="shared" si="57"/>
        <v/>
      </c>
      <c r="D156" s="37" t="str">
        <f t="shared" si="58"/>
        <v/>
      </c>
      <c r="E156" s="31" t="str">
        <f t="shared" si="59"/>
        <v/>
      </c>
      <c r="F156" s="32" t="str">
        <f t="shared" si="60"/>
        <v/>
      </c>
      <c r="G156" s="32" t="str">
        <f t="shared" si="61"/>
        <v/>
      </c>
      <c r="H156" s="32" t="str">
        <f t="shared" si="62"/>
        <v/>
      </c>
      <c r="I156" s="32" t="str">
        <f t="shared" si="63"/>
        <v/>
      </c>
      <c r="J156" s="46" t="str">
        <f t="shared" si="64"/>
        <v/>
      </c>
      <c r="K156" s="32" t="str">
        <f t="shared" si="65"/>
        <v/>
      </c>
      <c r="L156" s="32" t="str">
        <f t="shared" si="66"/>
        <v/>
      </c>
      <c r="M156" s="32" t="str">
        <f t="shared" si="67"/>
        <v/>
      </c>
      <c r="N156" s="32" t="str">
        <f t="shared" si="68"/>
        <v/>
      </c>
      <c r="O156" s="32" t="str">
        <f t="shared" si="69"/>
        <v/>
      </c>
      <c r="Q156" t="str">
        <f>IFERROR(MATCH(152,บันทึกรายเที่ยว!$Z$6:$Z$10005,0),"")</f>
        <v/>
      </c>
      <c r="R156" t="str">
        <f>IF($Q156="","",INDEX(บันทึกรายเที่ยว!$V$6:$V$10005,$Q156))</f>
        <v/>
      </c>
      <c r="S156" t="str">
        <f>IF($Q156="","",INDEX(บันทึกรายเที่ยว!$F$6:$F$10005,$Q156))</f>
        <v/>
      </c>
      <c r="T156" t="str">
        <f>IF($Q156="","",MATCH($S156,บันทึกรายเที่ยว!$F$6:$F$10005,0))</f>
        <v/>
      </c>
      <c r="U156" t="str">
        <f>IF($Q156="","",$AL156*10000000+$T156*1000+152)</f>
        <v/>
      </c>
      <c r="V156" t="str">
        <f>IFERROR(MATCH(SMALL($U$5:$U$404,152),$U$5:$U$404,0),"")</f>
        <v/>
      </c>
      <c r="W156" t="str">
        <f t="shared" si="70"/>
        <v/>
      </c>
      <c r="X156" t="str">
        <f t="shared" si="71"/>
        <v/>
      </c>
      <c r="Y156" t="str">
        <f t="shared" si="72"/>
        <v/>
      </c>
      <c r="Z156">
        <f t="shared" si="82"/>
        <v>0</v>
      </c>
      <c r="AA156">
        <f t="shared" si="73"/>
        <v>0</v>
      </c>
      <c r="AB156">
        <f>IF($V156="",99999+152,$AB155+1+$Z155+$AA155+$AO155)</f>
        <v>100151</v>
      </c>
      <c r="AC156" t="str">
        <f>IFERROR(MATCH(152,$AB$5:$AB$404,1),"")</f>
        <v/>
      </c>
      <c r="AD156" t="str">
        <f>IF(152=$AI$1+1,"Z",IF($AC156="","",IF(INDEX($V$5:$V$404,$AC156)="","",IF(152&gt;INDEX($AB$5:$AB$404,$AC156)+INDEX($Z$5:$Z$404,$AC156)+INDEX($AA$5:$AA$404,$AC156)+INDEX($AO$5:$AO$404,$AC156),"",IF(152=INDEX($AB$5:$AB$404,$AC156)+INDEX($Z$5:$Z$404,$AC156),"D",IF(AND(INDEX($Z$5:$Z$404,$AC156)=1,152=INDEX($AB$5:$AB$404,$AC156)),"H",IF(AND(INDEX($AO$5:$AO$404,$AC156)=1,152=INDEX($AB$5:$AB$404,$AC156)+INDEX($Z$5:$Z$404,$AC156)+INDEX($AA$5:$AA$404,$AC156)+INDEX($AO$5:$AO$404,$AC156)),"B","T")))))))</f>
        <v/>
      </c>
      <c r="AF156" t="str">
        <f t="shared" si="74"/>
        <v/>
      </c>
      <c r="AJ156">
        <f>IF($AD156&lt;&gt;"T",0,ROUND(SUMIF(oil!$B$4:$B$63,$AF156,oil!$AE$4:$AE$63),2))</f>
        <v>0</v>
      </c>
      <c r="AK156" t="str">
        <f>IF($S156="","",IFERROR(INDEX(อัตราค่าขนส่ง!$R$5:$R$54,MATCH($S156,อัตราค่าขนส่ง!$Q$5:$Q$54,0)),INDEX(รายการมาตรฐาน!$G$2:$G$3,1)))</f>
        <v/>
      </c>
      <c r="AL156" t="str">
        <f>IF($S156="","",IFERROR(MATCH($AK156,รายการมาตรฐาน!$G$2:$G$3,0),1))</f>
        <v/>
      </c>
      <c r="AM156" t="str">
        <f t="shared" si="75"/>
        <v/>
      </c>
      <c r="AN156" t="str">
        <f t="shared" si="76"/>
        <v/>
      </c>
      <c r="AO156">
        <f t="shared" si="77"/>
        <v>0</v>
      </c>
      <c r="AP156">
        <f t="shared" si="83"/>
        <v>0</v>
      </c>
      <c r="AQ156" t="str">
        <f t="shared" si="78"/>
        <v/>
      </c>
      <c r="AR156">
        <f>IF($Y156="",0,COUNTIF(บันทึกรายเที่ยว!$V$6:$V$10005,$Y156))</f>
        <v>0</v>
      </c>
      <c r="AS156">
        <f>IF($Y156="",0,ROUND(SUMIF(บันทึกรายเที่ยว!$V$6:$V$10005,$Y156,บันทึกรายเที่ยว!$M$6:$M$10005),2))</f>
        <v>0</v>
      </c>
      <c r="AT156">
        <f>IF($Y156="",0,IFERROR(INDEX(อัตราค่าขนส่ง!$J$5:$J$204,MATCH($Y156,อัตราค่าขนส่ง!$O$5:$O$204,0)),0))</f>
        <v>0</v>
      </c>
      <c r="AU156">
        <f t="shared" si="79"/>
        <v>0</v>
      </c>
      <c r="AV156">
        <f t="shared" si="80"/>
        <v>0</v>
      </c>
      <c r="AW156" t="str">
        <f>IF($Y156="","",IFERROR(INDEX(อัตราค่าขนส่ง!$F$5:$F$204,MATCH($Y156,อัตราค่าขนส่ง!$O$5:$O$204,0)),""))</f>
        <v/>
      </c>
      <c r="AX156" t="str">
        <f>IF($W156="","",INDEX(บันทึกรายเที่ยว!$D$6:$D$10005,$W156))</f>
        <v/>
      </c>
      <c r="AY156" t="str">
        <f>IF($W156="","",INDEX(บันทึกรายเที่ยว!$R$6:$R$10005,$W156))</f>
        <v/>
      </c>
      <c r="AZ156">
        <f t="shared" si="81"/>
        <v>0</v>
      </c>
      <c r="BA156" t="str">
        <f>IF($W156="","",INDEX(บันทึกรายเที่ยว!$E$6:$E$10005,$W156))</f>
        <v/>
      </c>
      <c r="BC156">
        <f>IF($Y156="",0,IFERROR(INDEX(อัตราค่าขนส่ง!$M$5:$M$204,MATCH($Y156,อัตราค่าขนส่ง!$O$5:$O$204,0)),0))</f>
        <v>0</v>
      </c>
      <c r="BD156">
        <f>IF($Y156="",0,IFERROR(INDEX(อัตราค่าขนส่ง!$N$5:$N$204,MATCH($Y156,อัตราค่าขนส่ง!$O$5:$O$204,0)),0))</f>
        <v>0</v>
      </c>
    </row>
    <row r="157" spans="1:56" ht="21" customHeight="1" x14ac:dyDescent="0.95">
      <c r="A157" s="36" t="str">
        <f>IF($AD157="","",IF($AD157="Z","รวมจ่ายทั้งสิ้น",IF($AD157="H",INDEX($X$5:$X$404,$AC157),IF($AD157="T","รวม",IF($AD157="B",IFERROR(INDEX(อัตราค่าขนส่ง!$U$5:$U$14,MATCH(INDEX($AM$5:$AM$404,$AC157),อัตราค่าขนส่ง!$T$5:$T$14,0)),"รวมกลุ่ม "&amp;INDEX($AM$5:$AM$404,$AC157)),INDEX($AY$5:$AY$404,$AC157))))))</f>
        <v/>
      </c>
      <c r="B157" s="31" t="str">
        <f t="shared" si="56"/>
        <v/>
      </c>
      <c r="C157" s="8" t="str">
        <f t="shared" si="57"/>
        <v/>
      </c>
      <c r="D157" s="37" t="str">
        <f t="shared" si="58"/>
        <v/>
      </c>
      <c r="E157" s="31" t="str">
        <f t="shared" si="59"/>
        <v/>
      </c>
      <c r="F157" s="32" t="str">
        <f t="shared" si="60"/>
        <v/>
      </c>
      <c r="G157" s="32" t="str">
        <f t="shared" si="61"/>
        <v/>
      </c>
      <c r="H157" s="32" t="str">
        <f t="shared" si="62"/>
        <v/>
      </c>
      <c r="I157" s="32" t="str">
        <f t="shared" si="63"/>
        <v/>
      </c>
      <c r="J157" s="46" t="str">
        <f t="shared" si="64"/>
        <v/>
      </c>
      <c r="K157" s="32" t="str">
        <f t="shared" si="65"/>
        <v/>
      </c>
      <c r="L157" s="32" t="str">
        <f t="shared" si="66"/>
        <v/>
      </c>
      <c r="M157" s="32" t="str">
        <f t="shared" si="67"/>
        <v/>
      </c>
      <c r="N157" s="32" t="str">
        <f t="shared" si="68"/>
        <v/>
      </c>
      <c r="O157" s="32" t="str">
        <f t="shared" si="69"/>
        <v/>
      </c>
      <c r="Q157" t="str">
        <f>IFERROR(MATCH(153,บันทึกรายเที่ยว!$Z$6:$Z$10005,0),"")</f>
        <v/>
      </c>
      <c r="R157" t="str">
        <f>IF($Q157="","",INDEX(บันทึกรายเที่ยว!$V$6:$V$10005,$Q157))</f>
        <v/>
      </c>
      <c r="S157" t="str">
        <f>IF($Q157="","",INDEX(บันทึกรายเที่ยว!$F$6:$F$10005,$Q157))</f>
        <v/>
      </c>
      <c r="T157" t="str">
        <f>IF($Q157="","",MATCH($S157,บันทึกรายเที่ยว!$F$6:$F$10005,0))</f>
        <v/>
      </c>
      <c r="U157" t="str">
        <f>IF($Q157="","",$AL157*10000000+$T157*1000+153)</f>
        <v/>
      </c>
      <c r="V157" t="str">
        <f>IFERROR(MATCH(SMALL($U$5:$U$404,153),$U$5:$U$404,0),"")</f>
        <v/>
      </c>
      <c r="W157" t="str">
        <f t="shared" si="70"/>
        <v/>
      </c>
      <c r="X157" t="str">
        <f t="shared" si="71"/>
        <v/>
      </c>
      <c r="Y157" t="str">
        <f t="shared" si="72"/>
        <v/>
      </c>
      <c r="Z157">
        <f t="shared" si="82"/>
        <v>0</v>
      </c>
      <c r="AA157">
        <f t="shared" si="73"/>
        <v>0</v>
      </c>
      <c r="AB157">
        <f>IF($V157="",99999+153,$AB156+1+$Z156+$AA156+$AO156)</f>
        <v>100152</v>
      </c>
      <c r="AC157" t="str">
        <f>IFERROR(MATCH(153,$AB$5:$AB$404,1),"")</f>
        <v/>
      </c>
      <c r="AD157" t="str">
        <f>IF(153=$AI$1+1,"Z",IF($AC157="","",IF(INDEX($V$5:$V$404,$AC157)="","",IF(153&gt;INDEX($AB$5:$AB$404,$AC157)+INDEX($Z$5:$Z$404,$AC157)+INDEX($AA$5:$AA$404,$AC157)+INDEX($AO$5:$AO$404,$AC157),"",IF(153=INDEX($AB$5:$AB$404,$AC157)+INDEX($Z$5:$Z$404,$AC157),"D",IF(AND(INDEX($Z$5:$Z$404,$AC157)=1,153=INDEX($AB$5:$AB$404,$AC157)),"H",IF(AND(INDEX($AO$5:$AO$404,$AC157)=1,153=INDEX($AB$5:$AB$404,$AC157)+INDEX($Z$5:$Z$404,$AC157)+INDEX($AA$5:$AA$404,$AC157)+INDEX($AO$5:$AO$404,$AC157)),"B","T")))))))</f>
        <v/>
      </c>
      <c r="AF157" t="str">
        <f t="shared" si="74"/>
        <v/>
      </c>
      <c r="AJ157">
        <f>IF($AD157&lt;&gt;"T",0,ROUND(SUMIF(oil!$B$4:$B$63,$AF157,oil!$AE$4:$AE$63),2))</f>
        <v>0</v>
      </c>
      <c r="AK157" t="str">
        <f>IF($S157="","",IFERROR(INDEX(อัตราค่าขนส่ง!$R$5:$R$54,MATCH($S157,อัตราค่าขนส่ง!$Q$5:$Q$54,0)),INDEX(รายการมาตรฐาน!$G$2:$G$3,1)))</f>
        <v/>
      </c>
      <c r="AL157" t="str">
        <f>IF($S157="","",IFERROR(MATCH($AK157,รายการมาตรฐาน!$G$2:$G$3,0),1))</f>
        <v/>
      </c>
      <c r="AM157" t="str">
        <f t="shared" si="75"/>
        <v/>
      </c>
      <c r="AN157" t="str">
        <f t="shared" si="76"/>
        <v/>
      </c>
      <c r="AO157">
        <f t="shared" si="77"/>
        <v>0</v>
      </c>
      <c r="AP157">
        <f t="shared" si="83"/>
        <v>0</v>
      </c>
      <c r="AQ157" t="str">
        <f t="shared" si="78"/>
        <v/>
      </c>
      <c r="AR157">
        <f>IF($Y157="",0,COUNTIF(บันทึกรายเที่ยว!$V$6:$V$10005,$Y157))</f>
        <v>0</v>
      </c>
      <c r="AS157">
        <f>IF($Y157="",0,ROUND(SUMIF(บันทึกรายเที่ยว!$V$6:$V$10005,$Y157,บันทึกรายเที่ยว!$M$6:$M$10005),2))</f>
        <v>0</v>
      </c>
      <c r="AT157">
        <f>IF($Y157="",0,IFERROR(INDEX(อัตราค่าขนส่ง!$J$5:$J$204,MATCH($Y157,อัตราค่าขนส่ง!$O$5:$O$204,0)),0))</f>
        <v>0</v>
      </c>
      <c r="AU157">
        <f t="shared" si="79"/>
        <v>0</v>
      </c>
      <c r="AV157">
        <f t="shared" si="80"/>
        <v>0</v>
      </c>
      <c r="AW157" t="str">
        <f>IF($Y157="","",IFERROR(INDEX(อัตราค่าขนส่ง!$F$5:$F$204,MATCH($Y157,อัตราค่าขนส่ง!$O$5:$O$204,0)),""))</f>
        <v/>
      </c>
      <c r="AX157" t="str">
        <f>IF($W157="","",INDEX(บันทึกรายเที่ยว!$D$6:$D$10005,$W157))</f>
        <v/>
      </c>
      <c r="AY157" t="str">
        <f>IF($W157="","",INDEX(บันทึกรายเที่ยว!$R$6:$R$10005,$W157))</f>
        <v/>
      </c>
      <c r="AZ157">
        <f t="shared" si="81"/>
        <v>0</v>
      </c>
      <c r="BA157" t="str">
        <f>IF($W157="","",INDEX(บันทึกรายเที่ยว!$E$6:$E$10005,$W157))</f>
        <v/>
      </c>
      <c r="BC157">
        <f>IF($Y157="",0,IFERROR(INDEX(อัตราค่าขนส่ง!$M$5:$M$204,MATCH($Y157,อัตราค่าขนส่ง!$O$5:$O$204,0)),0))</f>
        <v>0</v>
      </c>
      <c r="BD157">
        <f>IF($Y157="",0,IFERROR(INDEX(อัตราค่าขนส่ง!$N$5:$N$204,MATCH($Y157,อัตราค่าขนส่ง!$O$5:$O$204,0)),0))</f>
        <v>0</v>
      </c>
    </row>
    <row r="158" spans="1:56" ht="21" customHeight="1" x14ac:dyDescent="0.95">
      <c r="A158" s="36" t="str">
        <f>IF($AD158="","",IF($AD158="Z","รวมจ่ายทั้งสิ้น",IF($AD158="H",INDEX($X$5:$X$404,$AC158),IF($AD158="T","รวม",IF($AD158="B",IFERROR(INDEX(อัตราค่าขนส่ง!$U$5:$U$14,MATCH(INDEX($AM$5:$AM$404,$AC158),อัตราค่าขนส่ง!$T$5:$T$14,0)),"รวมกลุ่ม "&amp;INDEX($AM$5:$AM$404,$AC158)),INDEX($AY$5:$AY$404,$AC158))))))</f>
        <v/>
      </c>
      <c r="B158" s="31" t="str">
        <f t="shared" si="56"/>
        <v/>
      </c>
      <c r="C158" s="8" t="str">
        <f t="shared" si="57"/>
        <v/>
      </c>
      <c r="D158" s="37" t="str">
        <f t="shared" si="58"/>
        <v/>
      </c>
      <c r="E158" s="31" t="str">
        <f t="shared" si="59"/>
        <v/>
      </c>
      <c r="F158" s="32" t="str">
        <f t="shared" si="60"/>
        <v/>
      </c>
      <c r="G158" s="32" t="str">
        <f t="shared" si="61"/>
        <v/>
      </c>
      <c r="H158" s="32" t="str">
        <f t="shared" si="62"/>
        <v/>
      </c>
      <c r="I158" s="32" t="str">
        <f t="shared" si="63"/>
        <v/>
      </c>
      <c r="J158" s="46" t="str">
        <f t="shared" si="64"/>
        <v/>
      </c>
      <c r="K158" s="32" t="str">
        <f t="shared" si="65"/>
        <v/>
      </c>
      <c r="L158" s="32" t="str">
        <f t="shared" si="66"/>
        <v/>
      </c>
      <c r="M158" s="32" t="str">
        <f t="shared" si="67"/>
        <v/>
      </c>
      <c r="N158" s="32" t="str">
        <f t="shared" si="68"/>
        <v/>
      </c>
      <c r="O158" s="32" t="str">
        <f t="shared" si="69"/>
        <v/>
      </c>
      <c r="Q158" t="str">
        <f>IFERROR(MATCH(154,บันทึกรายเที่ยว!$Z$6:$Z$10005,0),"")</f>
        <v/>
      </c>
      <c r="R158" t="str">
        <f>IF($Q158="","",INDEX(บันทึกรายเที่ยว!$V$6:$V$10005,$Q158))</f>
        <v/>
      </c>
      <c r="S158" t="str">
        <f>IF($Q158="","",INDEX(บันทึกรายเที่ยว!$F$6:$F$10005,$Q158))</f>
        <v/>
      </c>
      <c r="T158" t="str">
        <f>IF($Q158="","",MATCH($S158,บันทึกรายเที่ยว!$F$6:$F$10005,0))</f>
        <v/>
      </c>
      <c r="U158" t="str">
        <f>IF($Q158="","",$AL158*10000000+$T158*1000+154)</f>
        <v/>
      </c>
      <c r="V158" t="str">
        <f>IFERROR(MATCH(SMALL($U$5:$U$404,154),$U$5:$U$404,0),"")</f>
        <v/>
      </c>
      <c r="W158" t="str">
        <f t="shared" si="70"/>
        <v/>
      </c>
      <c r="X158" t="str">
        <f t="shared" si="71"/>
        <v/>
      </c>
      <c r="Y158" t="str">
        <f t="shared" si="72"/>
        <v/>
      </c>
      <c r="Z158">
        <f t="shared" si="82"/>
        <v>0</v>
      </c>
      <c r="AA158">
        <f t="shared" si="73"/>
        <v>0</v>
      </c>
      <c r="AB158">
        <f>IF($V158="",99999+154,$AB157+1+$Z157+$AA157+$AO157)</f>
        <v>100153</v>
      </c>
      <c r="AC158" t="str">
        <f>IFERROR(MATCH(154,$AB$5:$AB$404,1),"")</f>
        <v/>
      </c>
      <c r="AD158" t="str">
        <f>IF(154=$AI$1+1,"Z",IF($AC158="","",IF(INDEX($V$5:$V$404,$AC158)="","",IF(154&gt;INDEX($AB$5:$AB$404,$AC158)+INDEX($Z$5:$Z$404,$AC158)+INDEX($AA$5:$AA$404,$AC158)+INDEX($AO$5:$AO$404,$AC158),"",IF(154=INDEX($AB$5:$AB$404,$AC158)+INDEX($Z$5:$Z$404,$AC158),"D",IF(AND(INDEX($Z$5:$Z$404,$AC158)=1,154=INDEX($AB$5:$AB$404,$AC158)),"H",IF(AND(INDEX($AO$5:$AO$404,$AC158)=1,154=INDEX($AB$5:$AB$404,$AC158)+INDEX($Z$5:$Z$404,$AC158)+INDEX($AA$5:$AA$404,$AC158)+INDEX($AO$5:$AO$404,$AC158)),"B","T")))))))</f>
        <v/>
      </c>
      <c r="AF158" t="str">
        <f t="shared" si="74"/>
        <v/>
      </c>
      <c r="AJ158">
        <f>IF($AD158&lt;&gt;"T",0,ROUND(SUMIF(oil!$B$4:$B$63,$AF158,oil!$AE$4:$AE$63),2))</f>
        <v>0</v>
      </c>
      <c r="AK158" t="str">
        <f>IF($S158="","",IFERROR(INDEX(อัตราค่าขนส่ง!$R$5:$R$54,MATCH($S158,อัตราค่าขนส่ง!$Q$5:$Q$54,0)),INDEX(รายการมาตรฐาน!$G$2:$G$3,1)))</f>
        <v/>
      </c>
      <c r="AL158" t="str">
        <f>IF($S158="","",IFERROR(MATCH($AK158,รายการมาตรฐาน!$G$2:$G$3,0),1))</f>
        <v/>
      </c>
      <c r="AM158" t="str">
        <f t="shared" si="75"/>
        <v/>
      </c>
      <c r="AN158" t="str">
        <f t="shared" si="76"/>
        <v/>
      </c>
      <c r="AO158">
        <f t="shared" si="77"/>
        <v>0</v>
      </c>
      <c r="AP158">
        <f t="shared" si="83"/>
        <v>0</v>
      </c>
      <c r="AQ158" t="str">
        <f t="shared" si="78"/>
        <v/>
      </c>
      <c r="AR158">
        <f>IF($Y158="",0,COUNTIF(บันทึกรายเที่ยว!$V$6:$V$10005,$Y158))</f>
        <v>0</v>
      </c>
      <c r="AS158">
        <f>IF($Y158="",0,ROUND(SUMIF(บันทึกรายเที่ยว!$V$6:$V$10005,$Y158,บันทึกรายเที่ยว!$M$6:$M$10005),2))</f>
        <v>0</v>
      </c>
      <c r="AT158">
        <f>IF($Y158="",0,IFERROR(INDEX(อัตราค่าขนส่ง!$J$5:$J$204,MATCH($Y158,อัตราค่าขนส่ง!$O$5:$O$204,0)),0))</f>
        <v>0</v>
      </c>
      <c r="AU158">
        <f t="shared" si="79"/>
        <v>0</v>
      </c>
      <c r="AV158">
        <f t="shared" si="80"/>
        <v>0</v>
      </c>
      <c r="AW158" t="str">
        <f>IF($Y158="","",IFERROR(INDEX(อัตราค่าขนส่ง!$F$5:$F$204,MATCH($Y158,อัตราค่าขนส่ง!$O$5:$O$204,0)),""))</f>
        <v/>
      </c>
      <c r="AX158" t="str">
        <f>IF($W158="","",INDEX(บันทึกรายเที่ยว!$D$6:$D$10005,$W158))</f>
        <v/>
      </c>
      <c r="AY158" t="str">
        <f>IF($W158="","",INDEX(บันทึกรายเที่ยว!$R$6:$R$10005,$W158))</f>
        <v/>
      </c>
      <c r="AZ158">
        <f t="shared" si="81"/>
        <v>0</v>
      </c>
      <c r="BA158" t="str">
        <f>IF($W158="","",INDEX(บันทึกรายเที่ยว!$E$6:$E$10005,$W158))</f>
        <v/>
      </c>
      <c r="BC158">
        <f>IF($Y158="",0,IFERROR(INDEX(อัตราค่าขนส่ง!$M$5:$M$204,MATCH($Y158,อัตราค่าขนส่ง!$O$5:$O$204,0)),0))</f>
        <v>0</v>
      </c>
      <c r="BD158">
        <f>IF($Y158="",0,IFERROR(INDEX(อัตราค่าขนส่ง!$N$5:$N$204,MATCH($Y158,อัตราค่าขนส่ง!$O$5:$O$204,0)),0))</f>
        <v>0</v>
      </c>
    </row>
    <row r="159" spans="1:56" ht="21" customHeight="1" x14ac:dyDescent="0.95">
      <c r="A159" s="36" t="str">
        <f>IF($AD159="","",IF($AD159="Z","รวมจ่ายทั้งสิ้น",IF($AD159="H",INDEX($X$5:$X$404,$AC159),IF($AD159="T","รวม",IF($AD159="B",IFERROR(INDEX(อัตราค่าขนส่ง!$U$5:$U$14,MATCH(INDEX($AM$5:$AM$404,$AC159),อัตราค่าขนส่ง!$T$5:$T$14,0)),"รวมกลุ่ม "&amp;INDEX($AM$5:$AM$404,$AC159)),INDEX($AY$5:$AY$404,$AC159))))))</f>
        <v/>
      </c>
      <c r="B159" s="31" t="str">
        <f t="shared" si="56"/>
        <v/>
      </c>
      <c r="C159" s="8" t="str">
        <f t="shared" si="57"/>
        <v/>
      </c>
      <c r="D159" s="37" t="str">
        <f t="shared" si="58"/>
        <v/>
      </c>
      <c r="E159" s="31" t="str">
        <f t="shared" si="59"/>
        <v/>
      </c>
      <c r="F159" s="32" t="str">
        <f t="shared" si="60"/>
        <v/>
      </c>
      <c r="G159" s="32" t="str">
        <f t="shared" si="61"/>
        <v/>
      </c>
      <c r="H159" s="32" t="str">
        <f t="shared" si="62"/>
        <v/>
      </c>
      <c r="I159" s="32" t="str">
        <f t="shared" si="63"/>
        <v/>
      </c>
      <c r="J159" s="46" t="str">
        <f t="shared" si="64"/>
        <v/>
      </c>
      <c r="K159" s="32" t="str">
        <f t="shared" si="65"/>
        <v/>
      </c>
      <c r="L159" s="32" t="str">
        <f t="shared" si="66"/>
        <v/>
      </c>
      <c r="M159" s="32" t="str">
        <f t="shared" si="67"/>
        <v/>
      </c>
      <c r="N159" s="32" t="str">
        <f t="shared" si="68"/>
        <v/>
      </c>
      <c r="O159" s="32" t="str">
        <f t="shared" si="69"/>
        <v/>
      </c>
      <c r="Q159" t="str">
        <f>IFERROR(MATCH(155,บันทึกรายเที่ยว!$Z$6:$Z$10005,0),"")</f>
        <v/>
      </c>
      <c r="R159" t="str">
        <f>IF($Q159="","",INDEX(บันทึกรายเที่ยว!$V$6:$V$10005,$Q159))</f>
        <v/>
      </c>
      <c r="S159" t="str">
        <f>IF($Q159="","",INDEX(บันทึกรายเที่ยว!$F$6:$F$10005,$Q159))</f>
        <v/>
      </c>
      <c r="T159" t="str">
        <f>IF($Q159="","",MATCH($S159,บันทึกรายเที่ยว!$F$6:$F$10005,0))</f>
        <v/>
      </c>
      <c r="U159" t="str">
        <f>IF($Q159="","",$AL159*10000000+$T159*1000+155)</f>
        <v/>
      </c>
      <c r="V159" t="str">
        <f>IFERROR(MATCH(SMALL($U$5:$U$404,155),$U$5:$U$404,0),"")</f>
        <v/>
      </c>
      <c r="W159" t="str">
        <f t="shared" si="70"/>
        <v/>
      </c>
      <c r="X159" t="str">
        <f t="shared" si="71"/>
        <v/>
      </c>
      <c r="Y159" t="str">
        <f t="shared" si="72"/>
        <v/>
      </c>
      <c r="Z159">
        <f t="shared" si="82"/>
        <v>0</v>
      </c>
      <c r="AA159">
        <f t="shared" si="73"/>
        <v>0</v>
      </c>
      <c r="AB159">
        <f>IF($V159="",99999+155,$AB158+1+$Z158+$AA158+$AO158)</f>
        <v>100154</v>
      </c>
      <c r="AC159" t="str">
        <f>IFERROR(MATCH(155,$AB$5:$AB$404,1),"")</f>
        <v/>
      </c>
      <c r="AD159" t="str">
        <f>IF(155=$AI$1+1,"Z",IF($AC159="","",IF(INDEX($V$5:$V$404,$AC159)="","",IF(155&gt;INDEX($AB$5:$AB$404,$AC159)+INDEX($Z$5:$Z$404,$AC159)+INDEX($AA$5:$AA$404,$AC159)+INDEX($AO$5:$AO$404,$AC159),"",IF(155=INDEX($AB$5:$AB$404,$AC159)+INDEX($Z$5:$Z$404,$AC159),"D",IF(AND(INDEX($Z$5:$Z$404,$AC159)=1,155=INDEX($AB$5:$AB$404,$AC159)),"H",IF(AND(INDEX($AO$5:$AO$404,$AC159)=1,155=INDEX($AB$5:$AB$404,$AC159)+INDEX($Z$5:$Z$404,$AC159)+INDEX($AA$5:$AA$404,$AC159)+INDEX($AO$5:$AO$404,$AC159)),"B","T")))))))</f>
        <v/>
      </c>
      <c r="AF159" t="str">
        <f t="shared" si="74"/>
        <v/>
      </c>
      <c r="AJ159">
        <f>IF($AD159&lt;&gt;"T",0,ROUND(SUMIF(oil!$B$4:$B$63,$AF159,oil!$AE$4:$AE$63),2))</f>
        <v>0</v>
      </c>
      <c r="AK159" t="str">
        <f>IF($S159="","",IFERROR(INDEX(อัตราค่าขนส่ง!$R$5:$R$54,MATCH($S159,อัตราค่าขนส่ง!$Q$5:$Q$54,0)),INDEX(รายการมาตรฐาน!$G$2:$G$3,1)))</f>
        <v/>
      </c>
      <c r="AL159" t="str">
        <f>IF($S159="","",IFERROR(MATCH($AK159,รายการมาตรฐาน!$G$2:$G$3,0),1))</f>
        <v/>
      </c>
      <c r="AM159" t="str">
        <f t="shared" si="75"/>
        <v/>
      </c>
      <c r="AN159" t="str">
        <f t="shared" si="76"/>
        <v/>
      </c>
      <c r="AO159">
        <f t="shared" si="77"/>
        <v>0</v>
      </c>
      <c r="AP159">
        <f t="shared" si="83"/>
        <v>0</v>
      </c>
      <c r="AQ159" t="str">
        <f t="shared" si="78"/>
        <v/>
      </c>
      <c r="AR159">
        <f>IF($Y159="",0,COUNTIF(บันทึกรายเที่ยว!$V$6:$V$10005,$Y159))</f>
        <v>0</v>
      </c>
      <c r="AS159">
        <f>IF($Y159="",0,ROUND(SUMIF(บันทึกรายเที่ยว!$V$6:$V$10005,$Y159,บันทึกรายเที่ยว!$M$6:$M$10005),2))</f>
        <v>0</v>
      </c>
      <c r="AT159">
        <f>IF($Y159="",0,IFERROR(INDEX(อัตราค่าขนส่ง!$J$5:$J$204,MATCH($Y159,อัตราค่าขนส่ง!$O$5:$O$204,0)),0))</f>
        <v>0</v>
      </c>
      <c r="AU159">
        <f t="shared" si="79"/>
        <v>0</v>
      </c>
      <c r="AV159">
        <f t="shared" si="80"/>
        <v>0</v>
      </c>
      <c r="AW159" t="str">
        <f>IF($Y159="","",IFERROR(INDEX(อัตราค่าขนส่ง!$F$5:$F$204,MATCH($Y159,อัตราค่าขนส่ง!$O$5:$O$204,0)),""))</f>
        <v/>
      </c>
      <c r="AX159" t="str">
        <f>IF($W159="","",INDEX(บันทึกรายเที่ยว!$D$6:$D$10005,$W159))</f>
        <v/>
      </c>
      <c r="AY159" t="str">
        <f>IF($W159="","",INDEX(บันทึกรายเที่ยว!$R$6:$R$10005,$W159))</f>
        <v/>
      </c>
      <c r="AZ159">
        <f t="shared" si="81"/>
        <v>0</v>
      </c>
      <c r="BA159" t="str">
        <f>IF($W159="","",INDEX(บันทึกรายเที่ยว!$E$6:$E$10005,$W159))</f>
        <v/>
      </c>
      <c r="BC159">
        <f>IF($Y159="",0,IFERROR(INDEX(อัตราค่าขนส่ง!$M$5:$M$204,MATCH($Y159,อัตราค่าขนส่ง!$O$5:$O$204,0)),0))</f>
        <v>0</v>
      </c>
      <c r="BD159">
        <f>IF($Y159="",0,IFERROR(INDEX(อัตราค่าขนส่ง!$N$5:$N$204,MATCH($Y159,อัตราค่าขนส่ง!$O$5:$O$204,0)),0))</f>
        <v>0</v>
      </c>
    </row>
    <row r="160" spans="1:56" ht="21" customHeight="1" x14ac:dyDescent="0.95">
      <c r="A160" s="36" t="str">
        <f>IF($AD160="","",IF($AD160="Z","รวมจ่ายทั้งสิ้น",IF($AD160="H",INDEX($X$5:$X$404,$AC160),IF($AD160="T","รวม",IF($AD160="B",IFERROR(INDEX(อัตราค่าขนส่ง!$U$5:$U$14,MATCH(INDEX($AM$5:$AM$404,$AC160),อัตราค่าขนส่ง!$T$5:$T$14,0)),"รวมกลุ่ม "&amp;INDEX($AM$5:$AM$404,$AC160)),INDEX($AY$5:$AY$404,$AC160))))))</f>
        <v/>
      </c>
      <c r="B160" s="31" t="str">
        <f t="shared" si="56"/>
        <v/>
      </c>
      <c r="C160" s="8" t="str">
        <f t="shared" si="57"/>
        <v/>
      </c>
      <c r="D160" s="37" t="str">
        <f t="shared" si="58"/>
        <v/>
      </c>
      <c r="E160" s="31" t="str">
        <f t="shared" si="59"/>
        <v/>
      </c>
      <c r="F160" s="32" t="str">
        <f t="shared" si="60"/>
        <v/>
      </c>
      <c r="G160" s="32" t="str">
        <f t="shared" si="61"/>
        <v/>
      </c>
      <c r="H160" s="32" t="str">
        <f t="shared" si="62"/>
        <v/>
      </c>
      <c r="I160" s="32" t="str">
        <f t="shared" si="63"/>
        <v/>
      </c>
      <c r="J160" s="46" t="str">
        <f t="shared" si="64"/>
        <v/>
      </c>
      <c r="K160" s="32" t="str">
        <f t="shared" si="65"/>
        <v/>
      </c>
      <c r="L160" s="32" t="str">
        <f t="shared" si="66"/>
        <v/>
      </c>
      <c r="M160" s="32" t="str">
        <f t="shared" si="67"/>
        <v/>
      </c>
      <c r="N160" s="32" t="str">
        <f t="shared" si="68"/>
        <v/>
      </c>
      <c r="O160" s="32" t="str">
        <f t="shared" si="69"/>
        <v/>
      </c>
      <c r="Q160" t="str">
        <f>IFERROR(MATCH(156,บันทึกรายเที่ยว!$Z$6:$Z$10005,0),"")</f>
        <v/>
      </c>
      <c r="R160" t="str">
        <f>IF($Q160="","",INDEX(บันทึกรายเที่ยว!$V$6:$V$10005,$Q160))</f>
        <v/>
      </c>
      <c r="S160" t="str">
        <f>IF($Q160="","",INDEX(บันทึกรายเที่ยว!$F$6:$F$10005,$Q160))</f>
        <v/>
      </c>
      <c r="T160" t="str">
        <f>IF($Q160="","",MATCH($S160,บันทึกรายเที่ยว!$F$6:$F$10005,0))</f>
        <v/>
      </c>
      <c r="U160" t="str">
        <f>IF($Q160="","",$AL160*10000000+$T160*1000+156)</f>
        <v/>
      </c>
      <c r="V160" t="str">
        <f>IFERROR(MATCH(SMALL($U$5:$U$404,156),$U$5:$U$404,0),"")</f>
        <v/>
      </c>
      <c r="W160" t="str">
        <f t="shared" si="70"/>
        <v/>
      </c>
      <c r="X160" t="str">
        <f t="shared" si="71"/>
        <v/>
      </c>
      <c r="Y160" t="str">
        <f t="shared" si="72"/>
        <v/>
      </c>
      <c r="Z160">
        <f t="shared" si="82"/>
        <v>0</v>
      </c>
      <c r="AA160">
        <f t="shared" si="73"/>
        <v>0</v>
      </c>
      <c r="AB160">
        <f>IF($V160="",99999+156,$AB159+1+$Z159+$AA159+$AO159)</f>
        <v>100155</v>
      </c>
      <c r="AC160" t="str">
        <f>IFERROR(MATCH(156,$AB$5:$AB$404,1),"")</f>
        <v/>
      </c>
      <c r="AD160" t="str">
        <f>IF(156=$AI$1+1,"Z",IF($AC160="","",IF(INDEX($V$5:$V$404,$AC160)="","",IF(156&gt;INDEX($AB$5:$AB$404,$AC160)+INDEX($Z$5:$Z$404,$AC160)+INDEX($AA$5:$AA$404,$AC160)+INDEX($AO$5:$AO$404,$AC160),"",IF(156=INDEX($AB$5:$AB$404,$AC160)+INDEX($Z$5:$Z$404,$AC160),"D",IF(AND(INDEX($Z$5:$Z$404,$AC160)=1,156=INDEX($AB$5:$AB$404,$AC160)),"H",IF(AND(INDEX($AO$5:$AO$404,$AC160)=1,156=INDEX($AB$5:$AB$404,$AC160)+INDEX($Z$5:$Z$404,$AC160)+INDEX($AA$5:$AA$404,$AC160)+INDEX($AO$5:$AO$404,$AC160)),"B","T")))))))</f>
        <v/>
      </c>
      <c r="AF160" t="str">
        <f t="shared" si="74"/>
        <v/>
      </c>
      <c r="AJ160">
        <f>IF($AD160&lt;&gt;"T",0,ROUND(SUMIF(oil!$B$4:$B$63,$AF160,oil!$AE$4:$AE$63),2))</f>
        <v>0</v>
      </c>
      <c r="AK160" t="str">
        <f>IF($S160="","",IFERROR(INDEX(อัตราค่าขนส่ง!$R$5:$R$54,MATCH($S160,อัตราค่าขนส่ง!$Q$5:$Q$54,0)),INDEX(รายการมาตรฐาน!$G$2:$G$3,1)))</f>
        <v/>
      </c>
      <c r="AL160" t="str">
        <f>IF($S160="","",IFERROR(MATCH($AK160,รายการมาตรฐาน!$G$2:$G$3,0),1))</f>
        <v/>
      </c>
      <c r="AM160" t="str">
        <f t="shared" si="75"/>
        <v/>
      </c>
      <c r="AN160" t="str">
        <f t="shared" si="76"/>
        <v/>
      </c>
      <c r="AO160">
        <f t="shared" si="77"/>
        <v>0</v>
      </c>
      <c r="AP160">
        <f t="shared" si="83"/>
        <v>0</v>
      </c>
      <c r="AQ160" t="str">
        <f t="shared" si="78"/>
        <v/>
      </c>
      <c r="AR160">
        <f>IF($Y160="",0,COUNTIF(บันทึกรายเที่ยว!$V$6:$V$10005,$Y160))</f>
        <v>0</v>
      </c>
      <c r="AS160">
        <f>IF($Y160="",0,ROUND(SUMIF(บันทึกรายเที่ยว!$V$6:$V$10005,$Y160,บันทึกรายเที่ยว!$M$6:$M$10005),2))</f>
        <v>0</v>
      </c>
      <c r="AT160">
        <f>IF($Y160="",0,IFERROR(INDEX(อัตราค่าขนส่ง!$J$5:$J$204,MATCH($Y160,อัตราค่าขนส่ง!$O$5:$O$204,0)),0))</f>
        <v>0</v>
      </c>
      <c r="AU160">
        <f t="shared" si="79"/>
        <v>0</v>
      </c>
      <c r="AV160">
        <f t="shared" si="80"/>
        <v>0</v>
      </c>
      <c r="AW160" t="str">
        <f>IF($Y160="","",IFERROR(INDEX(อัตราค่าขนส่ง!$F$5:$F$204,MATCH($Y160,อัตราค่าขนส่ง!$O$5:$O$204,0)),""))</f>
        <v/>
      </c>
      <c r="AX160" t="str">
        <f>IF($W160="","",INDEX(บันทึกรายเที่ยว!$D$6:$D$10005,$W160))</f>
        <v/>
      </c>
      <c r="AY160" t="str">
        <f>IF($W160="","",INDEX(บันทึกรายเที่ยว!$R$6:$R$10005,$W160))</f>
        <v/>
      </c>
      <c r="AZ160">
        <f t="shared" si="81"/>
        <v>0</v>
      </c>
      <c r="BA160" t="str">
        <f>IF($W160="","",INDEX(บันทึกรายเที่ยว!$E$6:$E$10005,$W160))</f>
        <v/>
      </c>
      <c r="BC160">
        <f>IF($Y160="",0,IFERROR(INDEX(อัตราค่าขนส่ง!$M$5:$M$204,MATCH($Y160,อัตราค่าขนส่ง!$O$5:$O$204,0)),0))</f>
        <v>0</v>
      </c>
      <c r="BD160">
        <f>IF($Y160="",0,IFERROR(INDEX(อัตราค่าขนส่ง!$N$5:$N$204,MATCH($Y160,อัตราค่าขนส่ง!$O$5:$O$204,0)),0))</f>
        <v>0</v>
      </c>
    </row>
    <row r="161" spans="1:56" ht="21" customHeight="1" x14ac:dyDescent="0.95">
      <c r="A161" s="36" t="str">
        <f>IF($AD161="","",IF($AD161="Z","รวมจ่ายทั้งสิ้น",IF($AD161="H",INDEX($X$5:$X$404,$AC161),IF($AD161="T","รวม",IF($AD161="B",IFERROR(INDEX(อัตราค่าขนส่ง!$U$5:$U$14,MATCH(INDEX($AM$5:$AM$404,$AC161),อัตราค่าขนส่ง!$T$5:$T$14,0)),"รวมกลุ่ม "&amp;INDEX($AM$5:$AM$404,$AC161)),INDEX($AY$5:$AY$404,$AC161))))))</f>
        <v/>
      </c>
      <c r="B161" s="31" t="str">
        <f t="shared" si="56"/>
        <v/>
      </c>
      <c r="C161" s="8" t="str">
        <f t="shared" si="57"/>
        <v/>
      </c>
      <c r="D161" s="37" t="str">
        <f t="shared" si="58"/>
        <v/>
      </c>
      <c r="E161" s="31" t="str">
        <f t="shared" si="59"/>
        <v/>
      </c>
      <c r="F161" s="32" t="str">
        <f t="shared" si="60"/>
        <v/>
      </c>
      <c r="G161" s="32" t="str">
        <f t="shared" si="61"/>
        <v/>
      </c>
      <c r="H161" s="32" t="str">
        <f t="shared" si="62"/>
        <v/>
      </c>
      <c r="I161" s="32" t="str">
        <f t="shared" si="63"/>
        <v/>
      </c>
      <c r="J161" s="46" t="str">
        <f t="shared" si="64"/>
        <v/>
      </c>
      <c r="K161" s="32" t="str">
        <f t="shared" si="65"/>
        <v/>
      </c>
      <c r="L161" s="32" t="str">
        <f t="shared" si="66"/>
        <v/>
      </c>
      <c r="M161" s="32" t="str">
        <f t="shared" si="67"/>
        <v/>
      </c>
      <c r="N161" s="32" t="str">
        <f t="shared" si="68"/>
        <v/>
      </c>
      <c r="O161" s="32" t="str">
        <f t="shared" si="69"/>
        <v/>
      </c>
      <c r="Q161" t="str">
        <f>IFERROR(MATCH(157,บันทึกรายเที่ยว!$Z$6:$Z$10005,0),"")</f>
        <v/>
      </c>
      <c r="R161" t="str">
        <f>IF($Q161="","",INDEX(บันทึกรายเที่ยว!$V$6:$V$10005,$Q161))</f>
        <v/>
      </c>
      <c r="S161" t="str">
        <f>IF($Q161="","",INDEX(บันทึกรายเที่ยว!$F$6:$F$10005,$Q161))</f>
        <v/>
      </c>
      <c r="T161" t="str">
        <f>IF($Q161="","",MATCH($S161,บันทึกรายเที่ยว!$F$6:$F$10005,0))</f>
        <v/>
      </c>
      <c r="U161" t="str">
        <f>IF($Q161="","",$AL161*10000000+$T161*1000+157)</f>
        <v/>
      </c>
      <c r="V161" t="str">
        <f>IFERROR(MATCH(SMALL($U$5:$U$404,157),$U$5:$U$404,0),"")</f>
        <v/>
      </c>
      <c r="W161" t="str">
        <f t="shared" si="70"/>
        <v/>
      </c>
      <c r="X161" t="str">
        <f t="shared" si="71"/>
        <v/>
      </c>
      <c r="Y161" t="str">
        <f t="shared" si="72"/>
        <v/>
      </c>
      <c r="Z161">
        <f t="shared" si="82"/>
        <v>0</v>
      </c>
      <c r="AA161">
        <f t="shared" si="73"/>
        <v>0</v>
      </c>
      <c r="AB161">
        <f>IF($V161="",99999+157,$AB160+1+$Z160+$AA160+$AO160)</f>
        <v>100156</v>
      </c>
      <c r="AC161" t="str">
        <f>IFERROR(MATCH(157,$AB$5:$AB$404,1),"")</f>
        <v/>
      </c>
      <c r="AD161" t="str">
        <f>IF(157=$AI$1+1,"Z",IF($AC161="","",IF(INDEX($V$5:$V$404,$AC161)="","",IF(157&gt;INDEX($AB$5:$AB$404,$AC161)+INDEX($Z$5:$Z$404,$AC161)+INDEX($AA$5:$AA$404,$AC161)+INDEX($AO$5:$AO$404,$AC161),"",IF(157=INDEX($AB$5:$AB$404,$AC161)+INDEX($Z$5:$Z$404,$AC161),"D",IF(AND(INDEX($Z$5:$Z$404,$AC161)=1,157=INDEX($AB$5:$AB$404,$AC161)),"H",IF(AND(INDEX($AO$5:$AO$404,$AC161)=1,157=INDEX($AB$5:$AB$404,$AC161)+INDEX($Z$5:$Z$404,$AC161)+INDEX($AA$5:$AA$404,$AC161)+INDEX($AO$5:$AO$404,$AC161)),"B","T")))))))</f>
        <v/>
      </c>
      <c r="AF161" t="str">
        <f t="shared" si="74"/>
        <v/>
      </c>
      <c r="AJ161">
        <f>IF($AD161&lt;&gt;"T",0,ROUND(SUMIF(oil!$B$4:$B$63,$AF161,oil!$AE$4:$AE$63),2))</f>
        <v>0</v>
      </c>
      <c r="AK161" t="str">
        <f>IF($S161="","",IFERROR(INDEX(อัตราค่าขนส่ง!$R$5:$R$54,MATCH($S161,อัตราค่าขนส่ง!$Q$5:$Q$54,0)),INDEX(รายการมาตรฐาน!$G$2:$G$3,1)))</f>
        <v/>
      </c>
      <c r="AL161" t="str">
        <f>IF($S161="","",IFERROR(MATCH($AK161,รายการมาตรฐาน!$G$2:$G$3,0),1))</f>
        <v/>
      </c>
      <c r="AM161" t="str">
        <f t="shared" si="75"/>
        <v/>
      </c>
      <c r="AN161" t="str">
        <f t="shared" si="76"/>
        <v/>
      </c>
      <c r="AO161">
        <f t="shared" si="77"/>
        <v>0</v>
      </c>
      <c r="AP161">
        <f t="shared" si="83"/>
        <v>0</v>
      </c>
      <c r="AQ161" t="str">
        <f t="shared" si="78"/>
        <v/>
      </c>
      <c r="AR161">
        <f>IF($Y161="",0,COUNTIF(บันทึกรายเที่ยว!$V$6:$V$10005,$Y161))</f>
        <v>0</v>
      </c>
      <c r="AS161">
        <f>IF($Y161="",0,ROUND(SUMIF(บันทึกรายเที่ยว!$V$6:$V$10005,$Y161,บันทึกรายเที่ยว!$M$6:$M$10005),2))</f>
        <v>0</v>
      </c>
      <c r="AT161">
        <f>IF($Y161="",0,IFERROR(INDEX(อัตราค่าขนส่ง!$J$5:$J$204,MATCH($Y161,อัตราค่าขนส่ง!$O$5:$O$204,0)),0))</f>
        <v>0</v>
      </c>
      <c r="AU161">
        <f t="shared" si="79"/>
        <v>0</v>
      </c>
      <c r="AV161">
        <f t="shared" si="80"/>
        <v>0</v>
      </c>
      <c r="AW161" t="str">
        <f>IF($Y161="","",IFERROR(INDEX(อัตราค่าขนส่ง!$F$5:$F$204,MATCH($Y161,อัตราค่าขนส่ง!$O$5:$O$204,0)),""))</f>
        <v/>
      </c>
      <c r="AX161" t="str">
        <f>IF($W161="","",INDEX(บันทึกรายเที่ยว!$D$6:$D$10005,$W161))</f>
        <v/>
      </c>
      <c r="AY161" t="str">
        <f>IF($W161="","",INDEX(บันทึกรายเที่ยว!$R$6:$R$10005,$W161))</f>
        <v/>
      </c>
      <c r="AZ161">
        <f t="shared" si="81"/>
        <v>0</v>
      </c>
      <c r="BA161" t="str">
        <f>IF($W161="","",INDEX(บันทึกรายเที่ยว!$E$6:$E$10005,$W161))</f>
        <v/>
      </c>
      <c r="BC161">
        <f>IF($Y161="",0,IFERROR(INDEX(อัตราค่าขนส่ง!$M$5:$M$204,MATCH($Y161,อัตราค่าขนส่ง!$O$5:$O$204,0)),0))</f>
        <v>0</v>
      </c>
      <c r="BD161">
        <f>IF($Y161="",0,IFERROR(INDEX(อัตราค่าขนส่ง!$N$5:$N$204,MATCH($Y161,อัตราค่าขนส่ง!$O$5:$O$204,0)),0))</f>
        <v>0</v>
      </c>
    </row>
    <row r="162" spans="1:56" ht="21" customHeight="1" x14ac:dyDescent="0.95">
      <c r="A162" s="36" t="str">
        <f>IF($AD162="","",IF($AD162="Z","รวมจ่ายทั้งสิ้น",IF($AD162="H",INDEX($X$5:$X$404,$AC162),IF($AD162="T","รวม",IF($AD162="B",IFERROR(INDEX(อัตราค่าขนส่ง!$U$5:$U$14,MATCH(INDEX($AM$5:$AM$404,$AC162),อัตราค่าขนส่ง!$T$5:$T$14,0)),"รวมกลุ่ม "&amp;INDEX($AM$5:$AM$404,$AC162)),INDEX($AY$5:$AY$404,$AC162))))))</f>
        <v/>
      </c>
      <c r="B162" s="31" t="str">
        <f t="shared" si="56"/>
        <v/>
      </c>
      <c r="C162" s="8" t="str">
        <f t="shared" si="57"/>
        <v/>
      </c>
      <c r="D162" s="37" t="str">
        <f t="shared" si="58"/>
        <v/>
      </c>
      <c r="E162" s="31" t="str">
        <f t="shared" si="59"/>
        <v/>
      </c>
      <c r="F162" s="32" t="str">
        <f t="shared" si="60"/>
        <v/>
      </c>
      <c r="G162" s="32" t="str">
        <f t="shared" si="61"/>
        <v/>
      </c>
      <c r="H162" s="32" t="str">
        <f t="shared" si="62"/>
        <v/>
      </c>
      <c r="I162" s="32" t="str">
        <f t="shared" si="63"/>
        <v/>
      </c>
      <c r="J162" s="46" t="str">
        <f t="shared" si="64"/>
        <v/>
      </c>
      <c r="K162" s="32" t="str">
        <f t="shared" si="65"/>
        <v/>
      </c>
      <c r="L162" s="32" t="str">
        <f t="shared" si="66"/>
        <v/>
      </c>
      <c r="M162" s="32" t="str">
        <f t="shared" si="67"/>
        <v/>
      </c>
      <c r="N162" s="32" t="str">
        <f t="shared" si="68"/>
        <v/>
      </c>
      <c r="O162" s="32" t="str">
        <f t="shared" si="69"/>
        <v/>
      </c>
      <c r="Q162" t="str">
        <f>IFERROR(MATCH(158,บันทึกรายเที่ยว!$Z$6:$Z$10005,0),"")</f>
        <v/>
      </c>
      <c r="R162" t="str">
        <f>IF($Q162="","",INDEX(บันทึกรายเที่ยว!$V$6:$V$10005,$Q162))</f>
        <v/>
      </c>
      <c r="S162" t="str">
        <f>IF($Q162="","",INDEX(บันทึกรายเที่ยว!$F$6:$F$10005,$Q162))</f>
        <v/>
      </c>
      <c r="T162" t="str">
        <f>IF($Q162="","",MATCH($S162,บันทึกรายเที่ยว!$F$6:$F$10005,0))</f>
        <v/>
      </c>
      <c r="U162" t="str">
        <f>IF($Q162="","",$AL162*10000000+$T162*1000+158)</f>
        <v/>
      </c>
      <c r="V162" t="str">
        <f>IFERROR(MATCH(SMALL($U$5:$U$404,158),$U$5:$U$404,0),"")</f>
        <v/>
      </c>
      <c r="W162" t="str">
        <f t="shared" si="70"/>
        <v/>
      </c>
      <c r="X162" t="str">
        <f t="shared" si="71"/>
        <v/>
      </c>
      <c r="Y162" t="str">
        <f t="shared" si="72"/>
        <v/>
      </c>
      <c r="Z162">
        <f t="shared" si="82"/>
        <v>0</v>
      </c>
      <c r="AA162">
        <f t="shared" si="73"/>
        <v>0</v>
      </c>
      <c r="AB162">
        <f>IF($V162="",99999+158,$AB161+1+$Z161+$AA161+$AO161)</f>
        <v>100157</v>
      </c>
      <c r="AC162" t="str">
        <f>IFERROR(MATCH(158,$AB$5:$AB$404,1),"")</f>
        <v/>
      </c>
      <c r="AD162" t="str">
        <f>IF(158=$AI$1+1,"Z",IF($AC162="","",IF(INDEX($V$5:$V$404,$AC162)="","",IF(158&gt;INDEX($AB$5:$AB$404,$AC162)+INDEX($Z$5:$Z$404,$AC162)+INDEX($AA$5:$AA$404,$AC162)+INDEX($AO$5:$AO$404,$AC162),"",IF(158=INDEX($AB$5:$AB$404,$AC162)+INDEX($Z$5:$Z$404,$AC162),"D",IF(AND(INDEX($Z$5:$Z$404,$AC162)=1,158=INDEX($AB$5:$AB$404,$AC162)),"H",IF(AND(INDEX($AO$5:$AO$404,$AC162)=1,158=INDEX($AB$5:$AB$404,$AC162)+INDEX($Z$5:$Z$404,$AC162)+INDEX($AA$5:$AA$404,$AC162)+INDEX($AO$5:$AO$404,$AC162)),"B","T")))))))</f>
        <v/>
      </c>
      <c r="AF162" t="str">
        <f t="shared" si="74"/>
        <v/>
      </c>
      <c r="AJ162">
        <f>IF($AD162&lt;&gt;"T",0,ROUND(SUMIF(oil!$B$4:$B$63,$AF162,oil!$AE$4:$AE$63),2))</f>
        <v>0</v>
      </c>
      <c r="AK162" t="str">
        <f>IF($S162="","",IFERROR(INDEX(อัตราค่าขนส่ง!$R$5:$R$54,MATCH($S162,อัตราค่าขนส่ง!$Q$5:$Q$54,0)),INDEX(รายการมาตรฐาน!$G$2:$G$3,1)))</f>
        <v/>
      </c>
      <c r="AL162" t="str">
        <f>IF($S162="","",IFERROR(MATCH($AK162,รายการมาตรฐาน!$G$2:$G$3,0),1))</f>
        <v/>
      </c>
      <c r="AM162" t="str">
        <f t="shared" si="75"/>
        <v/>
      </c>
      <c r="AN162" t="str">
        <f t="shared" si="76"/>
        <v/>
      </c>
      <c r="AO162">
        <f t="shared" si="77"/>
        <v>0</v>
      </c>
      <c r="AP162">
        <f t="shared" si="83"/>
        <v>0</v>
      </c>
      <c r="AQ162" t="str">
        <f t="shared" si="78"/>
        <v/>
      </c>
      <c r="AR162">
        <f>IF($Y162="",0,COUNTIF(บันทึกรายเที่ยว!$V$6:$V$10005,$Y162))</f>
        <v>0</v>
      </c>
      <c r="AS162">
        <f>IF($Y162="",0,ROUND(SUMIF(บันทึกรายเที่ยว!$V$6:$V$10005,$Y162,บันทึกรายเที่ยว!$M$6:$M$10005),2))</f>
        <v>0</v>
      </c>
      <c r="AT162">
        <f>IF($Y162="",0,IFERROR(INDEX(อัตราค่าขนส่ง!$J$5:$J$204,MATCH($Y162,อัตราค่าขนส่ง!$O$5:$O$204,0)),0))</f>
        <v>0</v>
      </c>
      <c r="AU162">
        <f t="shared" si="79"/>
        <v>0</v>
      </c>
      <c r="AV162">
        <f t="shared" si="80"/>
        <v>0</v>
      </c>
      <c r="AW162" t="str">
        <f>IF($Y162="","",IFERROR(INDEX(อัตราค่าขนส่ง!$F$5:$F$204,MATCH($Y162,อัตราค่าขนส่ง!$O$5:$O$204,0)),""))</f>
        <v/>
      </c>
      <c r="AX162" t="str">
        <f>IF($W162="","",INDEX(บันทึกรายเที่ยว!$D$6:$D$10005,$W162))</f>
        <v/>
      </c>
      <c r="AY162" t="str">
        <f>IF($W162="","",INDEX(บันทึกรายเที่ยว!$R$6:$R$10005,$W162))</f>
        <v/>
      </c>
      <c r="AZ162">
        <f t="shared" si="81"/>
        <v>0</v>
      </c>
      <c r="BA162" t="str">
        <f>IF($W162="","",INDEX(บันทึกรายเที่ยว!$E$6:$E$10005,$W162))</f>
        <v/>
      </c>
      <c r="BC162">
        <f>IF($Y162="",0,IFERROR(INDEX(อัตราค่าขนส่ง!$M$5:$M$204,MATCH($Y162,อัตราค่าขนส่ง!$O$5:$O$204,0)),0))</f>
        <v>0</v>
      </c>
      <c r="BD162">
        <f>IF($Y162="",0,IFERROR(INDEX(อัตราค่าขนส่ง!$N$5:$N$204,MATCH($Y162,อัตราค่าขนส่ง!$O$5:$O$204,0)),0))</f>
        <v>0</v>
      </c>
    </row>
    <row r="163" spans="1:56" ht="21" customHeight="1" x14ac:dyDescent="0.95">
      <c r="A163" s="36" t="str">
        <f>IF($AD163="","",IF($AD163="Z","รวมจ่ายทั้งสิ้น",IF($AD163="H",INDEX($X$5:$X$404,$AC163),IF($AD163="T","รวม",IF($AD163="B",IFERROR(INDEX(อัตราค่าขนส่ง!$U$5:$U$14,MATCH(INDEX($AM$5:$AM$404,$AC163),อัตราค่าขนส่ง!$T$5:$T$14,0)),"รวมกลุ่ม "&amp;INDEX($AM$5:$AM$404,$AC163)),INDEX($AY$5:$AY$404,$AC163))))))</f>
        <v/>
      </c>
      <c r="B163" s="31" t="str">
        <f t="shared" si="56"/>
        <v/>
      </c>
      <c r="C163" s="8" t="str">
        <f t="shared" si="57"/>
        <v/>
      </c>
      <c r="D163" s="37" t="str">
        <f t="shared" si="58"/>
        <v/>
      </c>
      <c r="E163" s="31" t="str">
        <f t="shared" si="59"/>
        <v/>
      </c>
      <c r="F163" s="32" t="str">
        <f t="shared" si="60"/>
        <v/>
      </c>
      <c r="G163" s="32" t="str">
        <f t="shared" si="61"/>
        <v/>
      </c>
      <c r="H163" s="32" t="str">
        <f t="shared" si="62"/>
        <v/>
      </c>
      <c r="I163" s="32" t="str">
        <f t="shared" si="63"/>
        <v/>
      </c>
      <c r="J163" s="46" t="str">
        <f t="shared" si="64"/>
        <v/>
      </c>
      <c r="K163" s="32" t="str">
        <f t="shared" si="65"/>
        <v/>
      </c>
      <c r="L163" s="32" t="str">
        <f t="shared" si="66"/>
        <v/>
      </c>
      <c r="M163" s="32" t="str">
        <f t="shared" si="67"/>
        <v/>
      </c>
      <c r="N163" s="32" t="str">
        <f t="shared" si="68"/>
        <v/>
      </c>
      <c r="O163" s="32" t="str">
        <f t="shared" si="69"/>
        <v/>
      </c>
      <c r="Q163" t="str">
        <f>IFERROR(MATCH(159,บันทึกรายเที่ยว!$Z$6:$Z$10005,0),"")</f>
        <v/>
      </c>
      <c r="R163" t="str">
        <f>IF($Q163="","",INDEX(บันทึกรายเที่ยว!$V$6:$V$10005,$Q163))</f>
        <v/>
      </c>
      <c r="S163" t="str">
        <f>IF($Q163="","",INDEX(บันทึกรายเที่ยว!$F$6:$F$10005,$Q163))</f>
        <v/>
      </c>
      <c r="T163" t="str">
        <f>IF($Q163="","",MATCH($S163,บันทึกรายเที่ยว!$F$6:$F$10005,0))</f>
        <v/>
      </c>
      <c r="U163" t="str">
        <f>IF($Q163="","",$AL163*10000000+$T163*1000+159)</f>
        <v/>
      </c>
      <c r="V163" t="str">
        <f>IFERROR(MATCH(SMALL($U$5:$U$404,159),$U$5:$U$404,0),"")</f>
        <v/>
      </c>
      <c r="W163" t="str">
        <f t="shared" si="70"/>
        <v/>
      </c>
      <c r="X163" t="str">
        <f t="shared" si="71"/>
        <v/>
      </c>
      <c r="Y163" t="str">
        <f t="shared" si="72"/>
        <v/>
      </c>
      <c r="Z163">
        <f t="shared" si="82"/>
        <v>0</v>
      </c>
      <c r="AA163">
        <f t="shared" si="73"/>
        <v>0</v>
      </c>
      <c r="AB163">
        <f>IF($V163="",99999+159,$AB162+1+$Z162+$AA162+$AO162)</f>
        <v>100158</v>
      </c>
      <c r="AC163" t="str">
        <f>IFERROR(MATCH(159,$AB$5:$AB$404,1),"")</f>
        <v/>
      </c>
      <c r="AD163" t="str">
        <f>IF(159=$AI$1+1,"Z",IF($AC163="","",IF(INDEX($V$5:$V$404,$AC163)="","",IF(159&gt;INDEX($AB$5:$AB$404,$AC163)+INDEX($Z$5:$Z$404,$AC163)+INDEX($AA$5:$AA$404,$AC163)+INDEX($AO$5:$AO$404,$AC163),"",IF(159=INDEX($AB$5:$AB$404,$AC163)+INDEX($Z$5:$Z$404,$AC163),"D",IF(AND(INDEX($Z$5:$Z$404,$AC163)=1,159=INDEX($AB$5:$AB$404,$AC163)),"H",IF(AND(INDEX($AO$5:$AO$404,$AC163)=1,159=INDEX($AB$5:$AB$404,$AC163)+INDEX($Z$5:$Z$404,$AC163)+INDEX($AA$5:$AA$404,$AC163)+INDEX($AO$5:$AO$404,$AC163)),"B","T")))))))</f>
        <v/>
      </c>
      <c r="AF163" t="str">
        <f t="shared" si="74"/>
        <v/>
      </c>
      <c r="AJ163">
        <f>IF($AD163&lt;&gt;"T",0,ROUND(SUMIF(oil!$B$4:$B$63,$AF163,oil!$AE$4:$AE$63),2))</f>
        <v>0</v>
      </c>
      <c r="AK163" t="str">
        <f>IF($S163="","",IFERROR(INDEX(อัตราค่าขนส่ง!$R$5:$R$54,MATCH($S163,อัตราค่าขนส่ง!$Q$5:$Q$54,0)),INDEX(รายการมาตรฐาน!$G$2:$G$3,1)))</f>
        <v/>
      </c>
      <c r="AL163" t="str">
        <f>IF($S163="","",IFERROR(MATCH($AK163,รายการมาตรฐาน!$G$2:$G$3,0),1))</f>
        <v/>
      </c>
      <c r="AM163" t="str">
        <f t="shared" si="75"/>
        <v/>
      </c>
      <c r="AN163" t="str">
        <f t="shared" si="76"/>
        <v/>
      </c>
      <c r="AO163">
        <f t="shared" si="77"/>
        <v>0</v>
      </c>
      <c r="AP163">
        <f t="shared" si="83"/>
        <v>0</v>
      </c>
      <c r="AQ163" t="str">
        <f t="shared" si="78"/>
        <v/>
      </c>
      <c r="AR163">
        <f>IF($Y163="",0,COUNTIF(บันทึกรายเที่ยว!$V$6:$V$10005,$Y163))</f>
        <v>0</v>
      </c>
      <c r="AS163">
        <f>IF($Y163="",0,ROUND(SUMIF(บันทึกรายเที่ยว!$V$6:$V$10005,$Y163,บันทึกรายเที่ยว!$M$6:$M$10005),2))</f>
        <v>0</v>
      </c>
      <c r="AT163">
        <f>IF($Y163="",0,IFERROR(INDEX(อัตราค่าขนส่ง!$J$5:$J$204,MATCH($Y163,อัตราค่าขนส่ง!$O$5:$O$204,0)),0))</f>
        <v>0</v>
      </c>
      <c r="AU163">
        <f t="shared" si="79"/>
        <v>0</v>
      </c>
      <c r="AV163">
        <f t="shared" si="80"/>
        <v>0</v>
      </c>
      <c r="AW163" t="str">
        <f>IF($Y163="","",IFERROR(INDEX(อัตราค่าขนส่ง!$F$5:$F$204,MATCH($Y163,อัตราค่าขนส่ง!$O$5:$O$204,0)),""))</f>
        <v/>
      </c>
      <c r="AX163" t="str">
        <f>IF($W163="","",INDEX(บันทึกรายเที่ยว!$D$6:$D$10005,$W163))</f>
        <v/>
      </c>
      <c r="AY163" t="str">
        <f>IF($W163="","",INDEX(บันทึกรายเที่ยว!$R$6:$R$10005,$W163))</f>
        <v/>
      </c>
      <c r="AZ163">
        <f t="shared" si="81"/>
        <v>0</v>
      </c>
      <c r="BA163" t="str">
        <f>IF($W163="","",INDEX(บันทึกรายเที่ยว!$E$6:$E$10005,$W163))</f>
        <v/>
      </c>
      <c r="BC163">
        <f>IF($Y163="",0,IFERROR(INDEX(อัตราค่าขนส่ง!$M$5:$M$204,MATCH($Y163,อัตราค่าขนส่ง!$O$5:$O$204,0)),0))</f>
        <v>0</v>
      </c>
      <c r="BD163">
        <f>IF($Y163="",0,IFERROR(INDEX(อัตราค่าขนส่ง!$N$5:$N$204,MATCH($Y163,อัตราค่าขนส่ง!$O$5:$O$204,0)),0))</f>
        <v>0</v>
      </c>
    </row>
    <row r="164" spans="1:56" ht="21" customHeight="1" x14ac:dyDescent="0.95">
      <c r="A164" s="36" t="str">
        <f>IF($AD164="","",IF($AD164="Z","รวมจ่ายทั้งสิ้น",IF($AD164="H",INDEX($X$5:$X$404,$AC164),IF($AD164="T","รวม",IF($AD164="B",IFERROR(INDEX(อัตราค่าขนส่ง!$U$5:$U$14,MATCH(INDEX($AM$5:$AM$404,$AC164),อัตราค่าขนส่ง!$T$5:$T$14,0)),"รวมกลุ่ม "&amp;INDEX($AM$5:$AM$404,$AC164)),INDEX($AY$5:$AY$404,$AC164))))))</f>
        <v/>
      </c>
      <c r="B164" s="31" t="str">
        <f t="shared" si="56"/>
        <v/>
      </c>
      <c r="C164" s="8" t="str">
        <f t="shared" si="57"/>
        <v/>
      </c>
      <c r="D164" s="37" t="str">
        <f t="shared" si="58"/>
        <v/>
      </c>
      <c r="E164" s="31" t="str">
        <f t="shared" si="59"/>
        <v/>
      </c>
      <c r="F164" s="32" t="str">
        <f t="shared" si="60"/>
        <v/>
      </c>
      <c r="G164" s="32" t="str">
        <f t="shared" si="61"/>
        <v/>
      </c>
      <c r="H164" s="32" t="str">
        <f t="shared" si="62"/>
        <v/>
      </c>
      <c r="I164" s="32" t="str">
        <f t="shared" si="63"/>
        <v/>
      </c>
      <c r="J164" s="46" t="str">
        <f t="shared" si="64"/>
        <v/>
      </c>
      <c r="K164" s="32" t="str">
        <f t="shared" si="65"/>
        <v/>
      </c>
      <c r="L164" s="32" t="str">
        <f t="shared" si="66"/>
        <v/>
      </c>
      <c r="M164" s="32" t="str">
        <f t="shared" si="67"/>
        <v/>
      </c>
      <c r="N164" s="32" t="str">
        <f t="shared" si="68"/>
        <v/>
      </c>
      <c r="O164" s="32" t="str">
        <f t="shared" si="69"/>
        <v/>
      </c>
      <c r="Q164" t="str">
        <f>IFERROR(MATCH(160,บันทึกรายเที่ยว!$Z$6:$Z$10005,0),"")</f>
        <v/>
      </c>
      <c r="R164" t="str">
        <f>IF($Q164="","",INDEX(บันทึกรายเที่ยว!$V$6:$V$10005,$Q164))</f>
        <v/>
      </c>
      <c r="S164" t="str">
        <f>IF($Q164="","",INDEX(บันทึกรายเที่ยว!$F$6:$F$10005,$Q164))</f>
        <v/>
      </c>
      <c r="T164" t="str">
        <f>IF($Q164="","",MATCH($S164,บันทึกรายเที่ยว!$F$6:$F$10005,0))</f>
        <v/>
      </c>
      <c r="U164" t="str">
        <f>IF($Q164="","",$AL164*10000000+$T164*1000+160)</f>
        <v/>
      </c>
      <c r="V164" t="str">
        <f>IFERROR(MATCH(SMALL($U$5:$U$404,160),$U$5:$U$404,0),"")</f>
        <v/>
      </c>
      <c r="W164" t="str">
        <f t="shared" si="70"/>
        <v/>
      </c>
      <c r="X164" t="str">
        <f t="shared" si="71"/>
        <v/>
      </c>
      <c r="Y164" t="str">
        <f t="shared" si="72"/>
        <v/>
      </c>
      <c r="Z164">
        <f t="shared" si="82"/>
        <v>0</v>
      </c>
      <c r="AA164">
        <f t="shared" si="73"/>
        <v>0</v>
      </c>
      <c r="AB164">
        <f>IF($V164="",99999+160,$AB163+1+$Z163+$AA163+$AO163)</f>
        <v>100159</v>
      </c>
      <c r="AC164" t="str">
        <f>IFERROR(MATCH(160,$AB$5:$AB$404,1),"")</f>
        <v/>
      </c>
      <c r="AD164" t="str">
        <f>IF(160=$AI$1+1,"Z",IF($AC164="","",IF(INDEX($V$5:$V$404,$AC164)="","",IF(160&gt;INDEX($AB$5:$AB$404,$AC164)+INDEX($Z$5:$Z$404,$AC164)+INDEX($AA$5:$AA$404,$AC164)+INDEX($AO$5:$AO$404,$AC164),"",IF(160=INDEX($AB$5:$AB$404,$AC164)+INDEX($Z$5:$Z$404,$AC164),"D",IF(AND(INDEX($Z$5:$Z$404,$AC164)=1,160=INDEX($AB$5:$AB$404,$AC164)),"H",IF(AND(INDEX($AO$5:$AO$404,$AC164)=1,160=INDEX($AB$5:$AB$404,$AC164)+INDEX($Z$5:$Z$404,$AC164)+INDEX($AA$5:$AA$404,$AC164)+INDEX($AO$5:$AO$404,$AC164)),"B","T")))))))</f>
        <v/>
      </c>
      <c r="AF164" t="str">
        <f t="shared" si="74"/>
        <v/>
      </c>
      <c r="AJ164">
        <f>IF($AD164&lt;&gt;"T",0,ROUND(SUMIF(oil!$B$4:$B$63,$AF164,oil!$AE$4:$AE$63),2))</f>
        <v>0</v>
      </c>
      <c r="AK164" t="str">
        <f>IF($S164="","",IFERROR(INDEX(อัตราค่าขนส่ง!$R$5:$R$54,MATCH($S164,อัตราค่าขนส่ง!$Q$5:$Q$54,0)),INDEX(รายการมาตรฐาน!$G$2:$G$3,1)))</f>
        <v/>
      </c>
      <c r="AL164" t="str">
        <f>IF($S164="","",IFERROR(MATCH($AK164,รายการมาตรฐาน!$G$2:$G$3,0),1))</f>
        <v/>
      </c>
      <c r="AM164" t="str">
        <f t="shared" si="75"/>
        <v/>
      </c>
      <c r="AN164" t="str">
        <f t="shared" si="76"/>
        <v/>
      </c>
      <c r="AO164">
        <f t="shared" si="77"/>
        <v>0</v>
      </c>
      <c r="AP164">
        <f t="shared" si="83"/>
        <v>0</v>
      </c>
      <c r="AQ164" t="str">
        <f t="shared" si="78"/>
        <v/>
      </c>
      <c r="AR164">
        <f>IF($Y164="",0,COUNTIF(บันทึกรายเที่ยว!$V$6:$V$10005,$Y164))</f>
        <v>0</v>
      </c>
      <c r="AS164">
        <f>IF($Y164="",0,ROUND(SUMIF(บันทึกรายเที่ยว!$V$6:$V$10005,$Y164,บันทึกรายเที่ยว!$M$6:$M$10005),2))</f>
        <v>0</v>
      </c>
      <c r="AT164">
        <f>IF($Y164="",0,IFERROR(INDEX(อัตราค่าขนส่ง!$J$5:$J$204,MATCH($Y164,อัตราค่าขนส่ง!$O$5:$O$204,0)),0))</f>
        <v>0</v>
      </c>
      <c r="AU164">
        <f t="shared" si="79"/>
        <v>0</v>
      </c>
      <c r="AV164">
        <f t="shared" si="80"/>
        <v>0</v>
      </c>
      <c r="AW164" t="str">
        <f>IF($Y164="","",IFERROR(INDEX(อัตราค่าขนส่ง!$F$5:$F$204,MATCH($Y164,อัตราค่าขนส่ง!$O$5:$O$204,0)),""))</f>
        <v/>
      </c>
      <c r="AX164" t="str">
        <f>IF($W164="","",INDEX(บันทึกรายเที่ยว!$D$6:$D$10005,$W164))</f>
        <v/>
      </c>
      <c r="AY164" t="str">
        <f>IF($W164="","",INDEX(บันทึกรายเที่ยว!$R$6:$R$10005,$W164))</f>
        <v/>
      </c>
      <c r="AZ164">
        <f t="shared" si="81"/>
        <v>0</v>
      </c>
      <c r="BA164" t="str">
        <f>IF($W164="","",INDEX(บันทึกรายเที่ยว!$E$6:$E$10005,$W164))</f>
        <v/>
      </c>
      <c r="BC164">
        <f>IF($Y164="",0,IFERROR(INDEX(อัตราค่าขนส่ง!$M$5:$M$204,MATCH($Y164,อัตราค่าขนส่ง!$O$5:$O$204,0)),0))</f>
        <v>0</v>
      </c>
      <c r="BD164">
        <f>IF($Y164="",0,IFERROR(INDEX(อัตราค่าขนส่ง!$N$5:$N$204,MATCH($Y164,อัตราค่าขนส่ง!$O$5:$O$204,0)),0))</f>
        <v>0</v>
      </c>
    </row>
    <row r="165" spans="1:56" ht="21" customHeight="1" x14ac:dyDescent="0.95">
      <c r="A165" s="36" t="str">
        <f>IF($AD165="","",IF($AD165="Z","รวมจ่ายทั้งสิ้น",IF($AD165="H",INDEX($X$5:$X$404,$AC165),IF($AD165="T","รวม",IF($AD165="B",IFERROR(INDEX(อัตราค่าขนส่ง!$U$5:$U$14,MATCH(INDEX($AM$5:$AM$404,$AC165),อัตราค่าขนส่ง!$T$5:$T$14,0)),"รวมกลุ่ม "&amp;INDEX($AM$5:$AM$404,$AC165)),INDEX($AY$5:$AY$404,$AC165))))))</f>
        <v/>
      </c>
      <c r="B165" s="31" t="str">
        <f t="shared" si="56"/>
        <v/>
      </c>
      <c r="C165" s="8" t="str">
        <f t="shared" si="57"/>
        <v/>
      </c>
      <c r="D165" s="37" t="str">
        <f t="shared" si="58"/>
        <v/>
      </c>
      <c r="E165" s="31" t="str">
        <f t="shared" si="59"/>
        <v/>
      </c>
      <c r="F165" s="32" t="str">
        <f t="shared" si="60"/>
        <v/>
      </c>
      <c r="G165" s="32" t="str">
        <f t="shared" si="61"/>
        <v/>
      </c>
      <c r="H165" s="32" t="str">
        <f t="shared" si="62"/>
        <v/>
      </c>
      <c r="I165" s="32" t="str">
        <f t="shared" si="63"/>
        <v/>
      </c>
      <c r="J165" s="46" t="str">
        <f t="shared" si="64"/>
        <v/>
      </c>
      <c r="K165" s="32" t="str">
        <f t="shared" si="65"/>
        <v/>
      </c>
      <c r="L165" s="32" t="str">
        <f t="shared" si="66"/>
        <v/>
      </c>
      <c r="M165" s="32" t="str">
        <f t="shared" si="67"/>
        <v/>
      </c>
      <c r="N165" s="32" t="str">
        <f t="shared" si="68"/>
        <v/>
      </c>
      <c r="O165" s="32" t="str">
        <f t="shared" si="69"/>
        <v/>
      </c>
      <c r="Q165" t="str">
        <f>IFERROR(MATCH(161,บันทึกรายเที่ยว!$Z$6:$Z$10005,0),"")</f>
        <v/>
      </c>
      <c r="R165" t="str">
        <f>IF($Q165="","",INDEX(บันทึกรายเที่ยว!$V$6:$V$10005,$Q165))</f>
        <v/>
      </c>
      <c r="S165" t="str">
        <f>IF($Q165="","",INDEX(บันทึกรายเที่ยว!$F$6:$F$10005,$Q165))</f>
        <v/>
      </c>
      <c r="T165" t="str">
        <f>IF($Q165="","",MATCH($S165,บันทึกรายเที่ยว!$F$6:$F$10005,0))</f>
        <v/>
      </c>
      <c r="U165" t="str">
        <f>IF($Q165="","",$AL165*10000000+$T165*1000+161)</f>
        <v/>
      </c>
      <c r="V165" t="str">
        <f>IFERROR(MATCH(SMALL($U$5:$U$404,161),$U$5:$U$404,0),"")</f>
        <v/>
      </c>
      <c r="W165" t="str">
        <f t="shared" si="70"/>
        <v/>
      </c>
      <c r="X165" t="str">
        <f t="shared" si="71"/>
        <v/>
      </c>
      <c r="Y165" t="str">
        <f t="shared" si="72"/>
        <v/>
      </c>
      <c r="Z165">
        <f t="shared" si="82"/>
        <v>0</v>
      </c>
      <c r="AA165">
        <f t="shared" si="73"/>
        <v>0</v>
      </c>
      <c r="AB165">
        <f>IF($V165="",99999+161,$AB164+1+$Z164+$AA164+$AO164)</f>
        <v>100160</v>
      </c>
      <c r="AC165" t="str">
        <f>IFERROR(MATCH(161,$AB$5:$AB$404,1),"")</f>
        <v/>
      </c>
      <c r="AD165" t="str">
        <f>IF(161=$AI$1+1,"Z",IF($AC165="","",IF(INDEX($V$5:$V$404,$AC165)="","",IF(161&gt;INDEX($AB$5:$AB$404,$AC165)+INDEX($Z$5:$Z$404,$AC165)+INDEX($AA$5:$AA$404,$AC165)+INDEX($AO$5:$AO$404,$AC165),"",IF(161=INDEX($AB$5:$AB$404,$AC165)+INDEX($Z$5:$Z$404,$AC165),"D",IF(AND(INDEX($Z$5:$Z$404,$AC165)=1,161=INDEX($AB$5:$AB$404,$AC165)),"H",IF(AND(INDEX($AO$5:$AO$404,$AC165)=1,161=INDEX($AB$5:$AB$404,$AC165)+INDEX($Z$5:$Z$404,$AC165)+INDEX($AA$5:$AA$404,$AC165)+INDEX($AO$5:$AO$404,$AC165)),"B","T")))))))</f>
        <v/>
      </c>
      <c r="AF165" t="str">
        <f t="shared" si="74"/>
        <v/>
      </c>
      <c r="AJ165">
        <f>IF($AD165&lt;&gt;"T",0,ROUND(SUMIF(oil!$B$4:$B$63,$AF165,oil!$AE$4:$AE$63),2))</f>
        <v>0</v>
      </c>
      <c r="AK165" t="str">
        <f>IF($S165="","",IFERROR(INDEX(อัตราค่าขนส่ง!$R$5:$R$54,MATCH($S165,อัตราค่าขนส่ง!$Q$5:$Q$54,0)),INDEX(รายการมาตรฐาน!$G$2:$G$3,1)))</f>
        <v/>
      </c>
      <c r="AL165" t="str">
        <f>IF($S165="","",IFERROR(MATCH($AK165,รายการมาตรฐาน!$G$2:$G$3,0),1))</f>
        <v/>
      </c>
      <c r="AM165" t="str">
        <f t="shared" si="75"/>
        <v/>
      </c>
      <c r="AN165" t="str">
        <f t="shared" si="76"/>
        <v/>
      </c>
      <c r="AO165">
        <f t="shared" si="77"/>
        <v>0</v>
      </c>
      <c r="AP165">
        <f t="shared" si="83"/>
        <v>0</v>
      </c>
      <c r="AQ165" t="str">
        <f t="shared" si="78"/>
        <v/>
      </c>
      <c r="AR165">
        <f>IF($Y165="",0,COUNTIF(บันทึกรายเที่ยว!$V$6:$V$10005,$Y165))</f>
        <v>0</v>
      </c>
      <c r="AS165">
        <f>IF($Y165="",0,ROUND(SUMIF(บันทึกรายเที่ยว!$V$6:$V$10005,$Y165,บันทึกรายเที่ยว!$M$6:$M$10005),2))</f>
        <v>0</v>
      </c>
      <c r="AT165">
        <f>IF($Y165="",0,IFERROR(INDEX(อัตราค่าขนส่ง!$J$5:$J$204,MATCH($Y165,อัตราค่าขนส่ง!$O$5:$O$204,0)),0))</f>
        <v>0</v>
      </c>
      <c r="AU165">
        <f t="shared" si="79"/>
        <v>0</v>
      </c>
      <c r="AV165">
        <f t="shared" si="80"/>
        <v>0</v>
      </c>
      <c r="AW165" t="str">
        <f>IF($Y165="","",IFERROR(INDEX(อัตราค่าขนส่ง!$F$5:$F$204,MATCH($Y165,อัตราค่าขนส่ง!$O$5:$O$204,0)),""))</f>
        <v/>
      </c>
      <c r="AX165" t="str">
        <f>IF($W165="","",INDEX(บันทึกรายเที่ยว!$D$6:$D$10005,$W165))</f>
        <v/>
      </c>
      <c r="AY165" t="str">
        <f>IF($W165="","",INDEX(บันทึกรายเที่ยว!$R$6:$R$10005,$W165))</f>
        <v/>
      </c>
      <c r="AZ165">
        <f t="shared" si="81"/>
        <v>0</v>
      </c>
      <c r="BA165" t="str">
        <f>IF($W165="","",INDEX(บันทึกรายเที่ยว!$E$6:$E$10005,$W165))</f>
        <v/>
      </c>
      <c r="BC165">
        <f>IF($Y165="",0,IFERROR(INDEX(อัตราค่าขนส่ง!$M$5:$M$204,MATCH($Y165,อัตราค่าขนส่ง!$O$5:$O$204,0)),0))</f>
        <v>0</v>
      </c>
      <c r="BD165">
        <f>IF($Y165="",0,IFERROR(INDEX(อัตราค่าขนส่ง!$N$5:$N$204,MATCH($Y165,อัตราค่าขนส่ง!$O$5:$O$204,0)),0))</f>
        <v>0</v>
      </c>
    </row>
    <row r="166" spans="1:56" ht="21" customHeight="1" x14ac:dyDescent="0.95">
      <c r="A166" s="36" t="str">
        <f>IF($AD166="","",IF($AD166="Z","รวมจ่ายทั้งสิ้น",IF($AD166="H",INDEX($X$5:$X$404,$AC166),IF($AD166="T","รวม",IF($AD166="B",IFERROR(INDEX(อัตราค่าขนส่ง!$U$5:$U$14,MATCH(INDEX($AM$5:$AM$404,$AC166),อัตราค่าขนส่ง!$T$5:$T$14,0)),"รวมกลุ่ม "&amp;INDEX($AM$5:$AM$404,$AC166)),INDEX($AY$5:$AY$404,$AC166))))))</f>
        <v/>
      </c>
      <c r="B166" s="31" t="str">
        <f t="shared" si="56"/>
        <v/>
      </c>
      <c r="C166" s="8" t="str">
        <f t="shared" si="57"/>
        <v/>
      </c>
      <c r="D166" s="37" t="str">
        <f t="shared" si="58"/>
        <v/>
      </c>
      <c r="E166" s="31" t="str">
        <f t="shared" si="59"/>
        <v/>
      </c>
      <c r="F166" s="32" t="str">
        <f t="shared" si="60"/>
        <v/>
      </c>
      <c r="G166" s="32" t="str">
        <f t="shared" si="61"/>
        <v/>
      </c>
      <c r="H166" s="32" t="str">
        <f t="shared" si="62"/>
        <v/>
      </c>
      <c r="I166" s="32" t="str">
        <f t="shared" si="63"/>
        <v/>
      </c>
      <c r="J166" s="46" t="str">
        <f t="shared" si="64"/>
        <v/>
      </c>
      <c r="K166" s="32" t="str">
        <f t="shared" si="65"/>
        <v/>
      </c>
      <c r="L166" s="32" t="str">
        <f t="shared" si="66"/>
        <v/>
      </c>
      <c r="M166" s="32" t="str">
        <f t="shared" si="67"/>
        <v/>
      </c>
      <c r="N166" s="32" t="str">
        <f t="shared" si="68"/>
        <v/>
      </c>
      <c r="O166" s="32" t="str">
        <f t="shared" si="69"/>
        <v/>
      </c>
      <c r="Q166" t="str">
        <f>IFERROR(MATCH(162,บันทึกรายเที่ยว!$Z$6:$Z$10005,0),"")</f>
        <v/>
      </c>
      <c r="R166" t="str">
        <f>IF($Q166="","",INDEX(บันทึกรายเที่ยว!$V$6:$V$10005,$Q166))</f>
        <v/>
      </c>
      <c r="S166" t="str">
        <f>IF($Q166="","",INDEX(บันทึกรายเที่ยว!$F$6:$F$10005,$Q166))</f>
        <v/>
      </c>
      <c r="T166" t="str">
        <f>IF($Q166="","",MATCH($S166,บันทึกรายเที่ยว!$F$6:$F$10005,0))</f>
        <v/>
      </c>
      <c r="U166" t="str">
        <f>IF($Q166="","",$AL166*10000000+$T166*1000+162)</f>
        <v/>
      </c>
      <c r="V166" t="str">
        <f>IFERROR(MATCH(SMALL($U$5:$U$404,162),$U$5:$U$404,0),"")</f>
        <v/>
      </c>
      <c r="W166" t="str">
        <f t="shared" si="70"/>
        <v/>
      </c>
      <c r="X166" t="str">
        <f t="shared" si="71"/>
        <v/>
      </c>
      <c r="Y166" t="str">
        <f t="shared" si="72"/>
        <v/>
      </c>
      <c r="Z166">
        <f t="shared" si="82"/>
        <v>0</v>
      </c>
      <c r="AA166">
        <f t="shared" si="73"/>
        <v>0</v>
      </c>
      <c r="AB166">
        <f>IF($V166="",99999+162,$AB165+1+$Z165+$AA165+$AO165)</f>
        <v>100161</v>
      </c>
      <c r="AC166" t="str">
        <f>IFERROR(MATCH(162,$AB$5:$AB$404,1),"")</f>
        <v/>
      </c>
      <c r="AD166" t="str">
        <f>IF(162=$AI$1+1,"Z",IF($AC166="","",IF(INDEX($V$5:$V$404,$AC166)="","",IF(162&gt;INDEX($AB$5:$AB$404,$AC166)+INDEX($Z$5:$Z$404,$AC166)+INDEX($AA$5:$AA$404,$AC166)+INDEX($AO$5:$AO$404,$AC166),"",IF(162=INDEX($AB$5:$AB$404,$AC166)+INDEX($Z$5:$Z$404,$AC166),"D",IF(AND(INDEX($Z$5:$Z$404,$AC166)=1,162=INDEX($AB$5:$AB$404,$AC166)),"H",IF(AND(INDEX($AO$5:$AO$404,$AC166)=1,162=INDEX($AB$5:$AB$404,$AC166)+INDEX($Z$5:$Z$404,$AC166)+INDEX($AA$5:$AA$404,$AC166)+INDEX($AO$5:$AO$404,$AC166)),"B","T")))))))</f>
        <v/>
      </c>
      <c r="AF166" t="str">
        <f t="shared" si="74"/>
        <v/>
      </c>
      <c r="AJ166">
        <f>IF($AD166&lt;&gt;"T",0,ROUND(SUMIF(oil!$B$4:$B$63,$AF166,oil!$AE$4:$AE$63),2))</f>
        <v>0</v>
      </c>
      <c r="AK166" t="str">
        <f>IF($S166="","",IFERROR(INDEX(อัตราค่าขนส่ง!$R$5:$R$54,MATCH($S166,อัตราค่าขนส่ง!$Q$5:$Q$54,0)),INDEX(รายการมาตรฐาน!$G$2:$G$3,1)))</f>
        <v/>
      </c>
      <c r="AL166" t="str">
        <f>IF($S166="","",IFERROR(MATCH($AK166,รายการมาตรฐาน!$G$2:$G$3,0),1))</f>
        <v/>
      </c>
      <c r="AM166" t="str">
        <f t="shared" si="75"/>
        <v/>
      </c>
      <c r="AN166" t="str">
        <f t="shared" si="76"/>
        <v/>
      </c>
      <c r="AO166">
        <f t="shared" si="77"/>
        <v>0</v>
      </c>
      <c r="AP166">
        <f t="shared" si="83"/>
        <v>0</v>
      </c>
      <c r="AQ166" t="str">
        <f t="shared" si="78"/>
        <v/>
      </c>
      <c r="AR166">
        <f>IF($Y166="",0,COUNTIF(บันทึกรายเที่ยว!$V$6:$V$10005,$Y166))</f>
        <v>0</v>
      </c>
      <c r="AS166">
        <f>IF($Y166="",0,ROUND(SUMIF(บันทึกรายเที่ยว!$V$6:$V$10005,$Y166,บันทึกรายเที่ยว!$M$6:$M$10005),2))</f>
        <v>0</v>
      </c>
      <c r="AT166">
        <f>IF($Y166="",0,IFERROR(INDEX(อัตราค่าขนส่ง!$J$5:$J$204,MATCH($Y166,อัตราค่าขนส่ง!$O$5:$O$204,0)),0))</f>
        <v>0</v>
      </c>
      <c r="AU166">
        <f t="shared" si="79"/>
        <v>0</v>
      </c>
      <c r="AV166">
        <f t="shared" si="80"/>
        <v>0</v>
      </c>
      <c r="AW166" t="str">
        <f>IF($Y166="","",IFERROR(INDEX(อัตราค่าขนส่ง!$F$5:$F$204,MATCH($Y166,อัตราค่าขนส่ง!$O$5:$O$204,0)),""))</f>
        <v/>
      </c>
      <c r="AX166" t="str">
        <f>IF($W166="","",INDEX(บันทึกรายเที่ยว!$D$6:$D$10005,$W166))</f>
        <v/>
      </c>
      <c r="AY166" t="str">
        <f>IF($W166="","",INDEX(บันทึกรายเที่ยว!$R$6:$R$10005,$W166))</f>
        <v/>
      </c>
      <c r="AZ166">
        <f t="shared" si="81"/>
        <v>0</v>
      </c>
      <c r="BA166" t="str">
        <f>IF($W166="","",INDEX(บันทึกรายเที่ยว!$E$6:$E$10005,$W166))</f>
        <v/>
      </c>
      <c r="BC166">
        <f>IF($Y166="",0,IFERROR(INDEX(อัตราค่าขนส่ง!$M$5:$M$204,MATCH($Y166,อัตราค่าขนส่ง!$O$5:$O$204,0)),0))</f>
        <v>0</v>
      </c>
      <c r="BD166">
        <f>IF($Y166="",0,IFERROR(INDEX(อัตราค่าขนส่ง!$N$5:$N$204,MATCH($Y166,อัตราค่าขนส่ง!$O$5:$O$204,0)),0))</f>
        <v>0</v>
      </c>
    </row>
    <row r="167" spans="1:56" ht="21" customHeight="1" x14ac:dyDescent="0.95">
      <c r="A167" s="36" t="str">
        <f>IF($AD167="","",IF($AD167="Z","รวมจ่ายทั้งสิ้น",IF($AD167="H",INDEX($X$5:$X$404,$AC167),IF($AD167="T","รวม",IF($AD167="B",IFERROR(INDEX(อัตราค่าขนส่ง!$U$5:$U$14,MATCH(INDEX($AM$5:$AM$404,$AC167),อัตราค่าขนส่ง!$T$5:$T$14,0)),"รวมกลุ่ม "&amp;INDEX($AM$5:$AM$404,$AC167)),INDEX($AY$5:$AY$404,$AC167))))))</f>
        <v/>
      </c>
      <c r="B167" s="31" t="str">
        <f t="shared" si="56"/>
        <v/>
      </c>
      <c r="C167" s="8" t="str">
        <f t="shared" si="57"/>
        <v/>
      </c>
      <c r="D167" s="37" t="str">
        <f t="shared" si="58"/>
        <v/>
      </c>
      <c r="E167" s="31" t="str">
        <f t="shared" si="59"/>
        <v/>
      </c>
      <c r="F167" s="32" t="str">
        <f t="shared" si="60"/>
        <v/>
      </c>
      <c r="G167" s="32" t="str">
        <f t="shared" si="61"/>
        <v/>
      </c>
      <c r="H167" s="32" t="str">
        <f t="shared" si="62"/>
        <v/>
      </c>
      <c r="I167" s="32" t="str">
        <f t="shared" si="63"/>
        <v/>
      </c>
      <c r="J167" s="46" t="str">
        <f t="shared" si="64"/>
        <v/>
      </c>
      <c r="K167" s="32" t="str">
        <f t="shared" si="65"/>
        <v/>
      </c>
      <c r="L167" s="32" t="str">
        <f t="shared" si="66"/>
        <v/>
      </c>
      <c r="M167" s="32" t="str">
        <f t="shared" si="67"/>
        <v/>
      </c>
      <c r="N167" s="32" t="str">
        <f t="shared" si="68"/>
        <v/>
      </c>
      <c r="O167" s="32" t="str">
        <f t="shared" si="69"/>
        <v/>
      </c>
      <c r="Q167" t="str">
        <f>IFERROR(MATCH(163,บันทึกรายเที่ยว!$Z$6:$Z$10005,0),"")</f>
        <v/>
      </c>
      <c r="R167" t="str">
        <f>IF($Q167="","",INDEX(บันทึกรายเที่ยว!$V$6:$V$10005,$Q167))</f>
        <v/>
      </c>
      <c r="S167" t="str">
        <f>IF($Q167="","",INDEX(บันทึกรายเที่ยว!$F$6:$F$10005,$Q167))</f>
        <v/>
      </c>
      <c r="T167" t="str">
        <f>IF($Q167="","",MATCH($S167,บันทึกรายเที่ยว!$F$6:$F$10005,0))</f>
        <v/>
      </c>
      <c r="U167" t="str">
        <f>IF($Q167="","",$AL167*10000000+$T167*1000+163)</f>
        <v/>
      </c>
      <c r="V167" t="str">
        <f>IFERROR(MATCH(SMALL($U$5:$U$404,163),$U$5:$U$404,0),"")</f>
        <v/>
      </c>
      <c r="W167" t="str">
        <f t="shared" si="70"/>
        <v/>
      </c>
      <c r="X167" t="str">
        <f t="shared" si="71"/>
        <v/>
      </c>
      <c r="Y167" t="str">
        <f t="shared" si="72"/>
        <v/>
      </c>
      <c r="Z167">
        <f t="shared" si="82"/>
        <v>0</v>
      </c>
      <c r="AA167">
        <f t="shared" si="73"/>
        <v>0</v>
      </c>
      <c r="AB167">
        <f>IF($V167="",99999+163,$AB166+1+$Z166+$AA166+$AO166)</f>
        <v>100162</v>
      </c>
      <c r="AC167" t="str">
        <f>IFERROR(MATCH(163,$AB$5:$AB$404,1),"")</f>
        <v/>
      </c>
      <c r="AD167" t="str">
        <f>IF(163=$AI$1+1,"Z",IF($AC167="","",IF(INDEX($V$5:$V$404,$AC167)="","",IF(163&gt;INDEX($AB$5:$AB$404,$AC167)+INDEX($Z$5:$Z$404,$AC167)+INDEX($AA$5:$AA$404,$AC167)+INDEX($AO$5:$AO$404,$AC167),"",IF(163=INDEX($AB$5:$AB$404,$AC167)+INDEX($Z$5:$Z$404,$AC167),"D",IF(AND(INDEX($Z$5:$Z$404,$AC167)=1,163=INDEX($AB$5:$AB$404,$AC167)),"H",IF(AND(INDEX($AO$5:$AO$404,$AC167)=1,163=INDEX($AB$5:$AB$404,$AC167)+INDEX($Z$5:$Z$404,$AC167)+INDEX($AA$5:$AA$404,$AC167)+INDEX($AO$5:$AO$404,$AC167)),"B","T")))))))</f>
        <v/>
      </c>
      <c r="AF167" t="str">
        <f t="shared" si="74"/>
        <v/>
      </c>
      <c r="AJ167">
        <f>IF($AD167&lt;&gt;"T",0,ROUND(SUMIF(oil!$B$4:$B$63,$AF167,oil!$AE$4:$AE$63),2))</f>
        <v>0</v>
      </c>
      <c r="AK167" t="str">
        <f>IF($S167="","",IFERROR(INDEX(อัตราค่าขนส่ง!$R$5:$R$54,MATCH($S167,อัตราค่าขนส่ง!$Q$5:$Q$54,0)),INDEX(รายการมาตรฐาน!$G$2:$G$3,1)))</f>
        <v/>
      </c>
      <c r="AL167" t="str">
        <f>IF($S167="","",IFERROR(MATCH($AK167,รายการมาตรฐาน!$G$2:$G$3,0),1))</f>
        <v/>
      </c>
      <c r="AM167" t="str">
        <f t="shared" si="75"/>
        <v/>
      </c>
      <c r="AN167" t="str">
        <f t="shared" si="76"/>
        <v/>
      </c>
      <c r="AO167">
        <f t="shared" si="77"/>
        <v>0</v>
      </c>
      <c r="AP167">
        <f t="shared" si="83"/>
        <v>0</v>
      </c>
      <c r="AQ167" t="str">
        <f t="shared" si="78"/>
        <v/>
      </c>
      <c r="AR167">
        <f>IF($Y167="",0,COUNTIF(บันทึกรายเที่ยว!$V$6:$V$10005,$Y167))</f>
        <v>0</v>
      </c>
      <c r="AS167">
        <f>IF($Y167="",0,ROUND(SUMIF(บันทึกรายเที่ยว!$V$6:$V$10005,$Y167,บันทึกรายเที่ยว!$M$6:$M$10005),2))</f>
        <v>0</v>
      </c>
      <c r="AT167">
        <f>IF($Y167="",0,IFERROR(INDEX(อัตราค่าขนส่ง!$J$5:$J$204,MATCH($Y167,อัตราค่าขนส่ง!$O$5:$O$204,0)),0))</f>
        <v>0</v>
      </c>
      <c r="AU167">
        <f t="shared" si="79"/>
        <v>0</v>
      </c>
      <c r="AV167">
        <f t="shared" si="80"/>
        <v>0</v>
      </c>
      <c r="AW167" t="str">
        <f>IF($Y167="","",IFERROR(INDEX(อัตราค่าขนส่ง!$F$5:$F$204,MATCH($Y167,อัตราค่าขนส่ง!$O$5:$O$204,0)),""))</f>
        <v/>
      </c>
      <c r="AX167" t="str">
        <f>IF($W167="","",INDEX(บันทึกรายเที่ยว!$D$6:$D$10005,$W167))</f>
        <v/>
      </c>
      <c r="AY167" t="str">
        <f>IF($W167="","",INDEX(บันทึกรายเที่ยว!$R$6:$R$10005,$W167))</f>
        <v/>
      </c>
      <c r="AZ167">
        <f t="shared" si="81"/>
        <v>0</v>
      </c>
      <c r="BA167" t="str">
        <f>IF($W167="","",INDEX(บันทึกรายเที่ยว!$E$6:$E$10005,$W167))</f>
        <v/>
      </c>
      <c r="BC167">
        <f>IF($Y167="",0,IFERROR(INDEX(อัตราค่าขนส่ง!$M$5:$M$204,MATCH($Y167,อัตราค่าขนส่ง!$O$5:$O$204,0)),0))</f>
        <v>0</v>
      </c>
      <c r="BD167">
        <f>IF($Y167="",0,IFERROR(INDEX(อัตราค่าขนส่ง!$N$5:$N$204,MATCH($Y167,อัตราค่าขนส่ง!$O$5:$O$204,0)),0))</f>
        <v>0</v>
      </c>
    </row>
    <row r="168" spans="1:56" ht="21" customHeight="1" x14ac:dyDescent="0.95">
      <c r="A168" s="36" t="str">
        <f>IF($AD168="","",IF($AD168="Z","รวมจ่ายทั้งสิ้น",IF($AD168="H",INDEX($X$5:$X$404,$AC168),IF($AD168="T","รวม",IF($AD168="B",IFERROR(INDEX(อัตราค่าขนส่ง!$U$5:$U$14,MATCH(INDEX($AM$5:$AM$404,$AC168),อัตราค่าขนส่ง!$T$5:$T$14,0)),"รวมกลุ่ม "&amp;INDEX($AM$5:$AM$404,$AC168)),INDEX($AY$5:$AY$404,$AC168))))))</f>
        <v/>
      </c>
      <c r="B168" s="31" t="str">
        <f t="shared" si="56"/>
        <v/>
      </c>
      <c r="C168" s="8" t="str">
        <f t="shared" si="57"/>
        <v/>
      </c>
      <c r="D168" s="37" t="str">
        <f t="shared" si="58"/>
        <v/>
      </c>
      <c r="E168" s="31" t="str">
        <f t="shared" si="59"/>
        <v/>
      </c>
      <c r="F168" s="32" t="str">
        <f t="shared" si="60"/>
        <v/>
      </c>
      <c r="G168" s="32" t="str">
        <f t="shared" si="61"/>
        <v/>
      </c>
      <c r="H168" s="32" t="str">
        <f t="shared" si="62"/>
        <v/>
      </c>
      <c r="I168" s="32" t="str">
        <f t="shared" si="63"/>
        <v/>
      </c>
      <c r="J168" s="46" t="str">
        <f t="shared" si="64"/>
        <v/>
      </c>
      <c r="K168" s="32" t="str">
        <f t="shared" si="65"/>
        <v/>
      </c>
      <c r="L168" s="32" t="str">
        <f t="shared" si="66"/>
        <v/>
      </c>
      <c r="M168" s="32" t="str">
        <f t="shared" si="67"/>
        <v/>
      </c>
      <c r="N168" s="32" t="str">
        <f t="shared" si="68"/>
        <v/>
      </c>
      <c r="O168" s="32" t="str">
        <f t="shared" si="69"/>
        <v/>
      </c>
      <c r="Q168" t="str">
        <f>IFERROR(MATCH(164,บันทึกรายเที่ยว!$Z$6:$Z$10005,0),"")</f>
        <v/>
      </c>
      <c r="R168" t="str">
        <f>IF($Q168="","",INDEX(บันทึกรายเที่ยว!$V$6:$V$10005,$Q168))</f>
        <v/>
      </c>
      <c r="S168" t="str">
        <f>IF($Q168="","",INDEX(บันทึกรายเที่ยว!$F$6:$F$10005,$Q168))</f>
        <v/>
      </c>
      <c r="T168" t="str">
        <f>IF($Q168="","",MATCH($S168,บันทึกรายเที่ยว!$F$6:$F$10005,0))</f>
        <v/>
      </c>
      <c r="U168" t="str">
        <f>IF($Q168="","",$AL168*10000000+$T168*1000+164)</f>
        <v/>
      </c>
      <c r="V168" t="str">
        <f>IFERROR(MATCH(SMALL($U$5:$U$404,164),$U$5:$U$404,0),"")</f>
        <v/>
      </c>
      <c r="W168" t="str">
        <f t="shared" si="70"/>
        <v/>
      </c>
      <c r="X168" t="str">
        <f t="shared" si="71"/>
        <v/>
      </c>
      <c r="Y168" t="str">
        <f t="shared" si="72"/>
        <v/>
      </c>
      <c r="Z168">
        <f t="shared" si="82"/>
        <v>0</v>
      </c>
      <c r="AA168">
        <f t="shared" si="73"/>
        <v>0</v>
      </c>
      <c r="AB168">
        <f>IF($V168="",99999+164,$AB167+1+$Z167+$AA167+$AO167)</f>
        <v>100163</v>
      </c>
      <c r="AC168" t="str">
        <f>IFERROR(MATCH(164,$AB$5:$AB$404,1),"")</f>
        <v/>
      </c>
      <c r="AD168" t="str">
        <f>IF(164=$AI$1+1,"Z",IF($AC168="","",IF(INDEX($V$5:$V$404,$AC168)="","",IF(164&gt;INDEX($AB$5:$AB$404,$AC168)+INDEX($Z$5:$Z$404,$AC168)+INDEX($AA$5:$AA$404,$AC168)+INDEX($AO$5:$AO$404,$AC168),"",IF(164=INDEX($AB$5:$AB$404,$AC168)+INDEX($Z$5:$Z$404,$AC168),"D",IF(AND(INDEX($Z$5:$Z$404,$AC168)=1,164=INDEX($AB$5:$AB$404,$AC168)),"H",IF(AND(INDEX($AO$5:$AO$404,$AC168)=1,164=INDEX($AB$5:$AB$404,$AC168)+INDEX($Z$5:$Z$404,$AC168)+INDEX($AA$5:$AA$404,$AC168)+INDEX($AO$5:$AO$404,$AC168)),"B","T")))))))</f>
        <v/>
      </c>
      <c r="AF168" t="str">
        <f t="shared" si="74"/>
        <v/>
      </c>
      <c r="AJ168">
        <f>IF($AD168&lt;&gt;"T",0,ROUND(SUMIF(oil!$B$4:$B$63,$AF168,oil!$AE$4:$AE$63),2))</f>
        <v>0</v>
      </c>
      <c r="AK168" t="str">
        <f>IF($S168="","",IFERROR(INDEX(อัตราค่าขนส่ง!$R$5:$R$54,MATCH($S168,อัตราค่าขนส่ง!$Q$5:$Q$54,0)),INDEX(รายการมาตรฐาน!$G$2:$G$3,1)))</f>
        <v/>
      </c>
      <c r="AL168" t="str">
        <f>IF($S168="","",IFERROR(MATCH($AK168,รายการมาตรฐาน!$G$2:$G$3,0),1))</f>
        <v/>
      </c>
      <c r="AM168" t="str">
        <f t="shared" si="75"/>
        <v/>
      </c>
      <c r="AN168" t="str">
        <f t="shared" si="76"/>
        <v/>
      </c>
      <c r="AO168">
        <f t="shared" si="77"/>
        <v>0</v>
      </c>
      <c r="AP168">
        <f t="shared" si="83"/>
        <v>0</v>
      </c>
      <c r="AQ168" t="str">
        <f t="shared" si="78"/>
        <v/>
      </c>
      <c r="AR168">
        <f>IF($Y168="",0,COUNTIF(บันทึกรายเที่ยว!$V$6:$V$10005,$Y168))</f>
        <v>0</v>
      </c>
      <c r="AS168">
        <f>IF($Y168="",0,ROUND(SUMIF(บันทึกรายเที่ยว!$V$6:$V$10005,$Y168,บันทึกรายเที่ยว!$M$6:$M$10005),2))</f>
        <v>0</v>
      </c>
      <c r="AT168">
        <f>IF($Y168="",0,IFERROR(INDEX(อัตราค่าขนส่ง!$J$5:$J$204,MATCH($Y168,อัตราค่าขนส่ง!$O$5:$O$204,0)),0))</f>
        <v>0</v>
      </c>
      <c r="AU168">
        <f t="shared" si="79"/>
        <v>0</v>
      </c>
      <c r="AV168">
        <f t="shared" si="80"/>
        <v>0</v>
      </c>
      <c r="AW168" t="str">
        <f>IF($Y168="","",IFERROR(INDEX(อัตราค่าขนส่ง!$F$5:$F$204,MATCH($Y168,อัตราค่าขนส่ง!$O$5:$O$204,0)),""))</f>
        <v/>
      </c>
      <c r="AX168" t="str">
        <f>IF($W168="","",INDEX(บันทึกรายเที่ยว!$D$6:$D$10005,$W168))</f>
        <v/>
      </c>
      <c r="AY168" t="str">
        <f>IF($W168="","",INDEX(บันทึกรายเที่ยว!$R$6:$R$10005,$W168))</f>
        <v/>
      </c>
      <c r="AZ168">
        <f t="shared" si="81"/>
        <v>0</v>
      </c>
      <c r="BA168" t="str">
        <f>IF($W168="","",INDEX(บันทึกรายเที่ยว!$E$6:$E$10005,$W168))</f>
        <v/>
      </c>
      <c r="BC168">
        <f>IF($Y168="",0,IFERROR(INDEX(อัตราค่าขนส่ง!$M$5:$M$204,MATCH($Y168,อัตราค่าขนส่ง!$O$5:$O$204,0)),0))</f>
        <v>0</v>
      </c>
      <c r="BD168">
        <f>IF($Y168="",0,IFERROR(INDEX(อัตราค่าขนส่ง!$N$5:$N$204,MATCH($Y168,อัตราค่าขนส่ง!$O$5:$O$204,0)),0))</f>
        <v>0</v>
      </c>
    </row>
    <row r="169" spans="1:56" ht="21" customHeight="1" x14ac:dyDescent="0.95">
      <c r="A169" s="36" t="str">
        <f>IF($AD169="","",IF($AD169="Z","รวมจ่ายทั้งสิ้น",IF($AD169="H",INDEX($X$5:$X$404,$AC169),IF($AD169="T","รวม",IF($AD169="B",IFERROR(INDEX(อัตราค่าขนส่ง!$U$5:$U$14,MATCH(INDEX($AM$5:$AM$404,$AC169),อัตราค่าขนส่ง!$T$5:$T$14,0)),"รวมกลุ่ม "&amp;INDEX($AM$5:$AM$404,$AC169)),INDEX($AY$5:$AY$404,$AC169))))))</f>
        <v/>
      </c>
      <c r="B169" s="31" t="str">
        <f t="shared" si="56"/>
        <v/>
      </c>
      <c r="C169" s="8" t="str">
        <f t="shared" si="57"/>
        <v/>
      </c>
      <c r="D169" s="37" t="str">
        <f t="shared" si="58"/>
        <v/>
      </c>
      <c r="E169" s="31" t="str">
        <f t="shared" si="59"/>
        <v/>
      </c>
      <c r="F169" s="32" t="str">
        <f t="shared" si="60"/>
        <v/>
      </c>
      <c r="G169" s="32" t="str">
        <f t="shared" si="61"/>
        <v/>
      </c>
      <c r="H169" s="32" t="str">
        <f t="shared" si="62"/>
        <v/>
      </c>
      <c r="I169" s="32" t="str">
        <f t="shared" si="63"/>
        <v/>
      </c>
      <c r="J169" s="46" t="str">
        <f t="shared" si="64"/>
        <v/>
      </c>
      <c r="K169" s="32" t="str">
        <f t="shared" si="65"/>
        <v/>
      </c>
      <c r="L169" s="32" t="str">
        <f t="shared" si="66"/>
        <v/>
      </c>
      <c r="M169" s="32" t="str">
        <f t="shared" si="67"/>
        <v/>
      </c>
      <c r="N169" s="32" t="str">
        <f t="shared" si="68"/>
        <v/>
      </c>
      <c r="O169" s="32" t="str">
        <f t="shared" si="69"/>
        <v/>
      </c>
      <c r="Q169" t="str">
        <f>IFERROR(MATCH(165,บันทึกรายเที่ยว!$Z$6:$Z$10005,0),"")</f>
        <v/>
      </c>
      <c r="R169" t="str">
        <f>IF($Q169="","",INDEX(บันทึกรายเที่ยว!$V$6:$V$10005,$Q169))</f>
        <v/>
      </c>
      <c r="S169" t="str">
        <f>IF($Q169="","",INDEX(บันทึกรายเที่ยว!$F$6:$F$10005,$Q169))</f>
        <v/>
      </c>
      <c r="T169" t="str">
        <f>IF($Q169="","",MATCH($S169,บันทึกรายเที่ยว!$F$6:$F$10005,0))</f>
        <v/>
      </c>
      <c r="U169" t="str">
        <f>IF($Q169="","",$AL169*10000000+$T169*1000+165)</f>
        <v/>
      </c>
      <c r="V169" t="str">
        <f>IFERROR(MATCH(SMALL($U$5:$U$404,165),$U$5:$U$404,0),"")</f>
        <v/>
      </c>
      <c r="W169" t="str">
        <f t="shared" si="70"/>
        <v/>
      </c>
      <c r="X169" t="str">
        <f t="shared" si="71"/>
        <v/>
      </c>
      <c r="Y169" t="str">
        <f t="shared" si="72"/>
        <v/>
      </c>
      <c r="Z169">
        <f t="shared" si="82"/>
        <v>0</v>
      </c>
      <c r="AA169">
        <f t="shared" si="73"/>
        <v>0</v>
      </c>
      <c r="AB169">
        <f>IF($V169="",99999+165,$AB168+1+$Z168+$AA168+$AO168)</f>
        <v>100164</v>
      </c>
      <c r="AC169" t="str">
        <f>IFERROR(MATCH(165,$AB$5:$AB$404,1),"")</f>
        <v/>
      </c>
      <c r="AD169" t="str">
        <f>IF(165=$AI$1+1,"Z",IF($AC169="","",IF(INDEX($V$5:$V$404,$AC169)="","",IF(165&gt;INDEX($AB$5:$AB$404,$AC169)+INDEX($Z$5:$Z$404,$AC169)+INDEX($AA$5:$AA$404,$AC169)+INDEX($AO$5:$AO$404,$AC169),"",IF(165=INDEX($AB$5:$AB$404,$AC169)+INDEX($Z$5:$Z$404,$AC169),"D",IF(AND(INDEX($Z$5:$Z$404,$AC169)=1,165=INDEX($AB$5:$AB$404,$AC169)),"H",IF(AND(INDEX($AO$5:$AO$404,$AC169)=1,165=INDEX($AB$5:$AB$404,$AC169)+INDEX($Z$5:$Z$404,$AC169)+INDEX($AA$5:$AA$404,$AC169)+INDEX($AO$5:$AO$404,$AC169)),"B","T")))))))</f>
        <v/>
      </c>
      <c r="AF169" t="str">
        <f t="shared" si="74"/>
        <v/>
      </c>
      <c r="AJ169">
        <f>IF($AD169&lt;&gt;"T",0,ROUND(SUMIF(oil!$B$4:$B$63,$AF169,oil!$AE$4:$AE$63),2))</f>
        <v>0</v>
      </c>
      <c r="AK169" t="str">
        <f>IF($S169="","",IFERROR(INDEX(อัตราค่าขนส่ง!$R$5:$R$54,MATCH($S169,อัตราค่าขนส่ง!$Q$5:$Q$54,0)),INDEX(รายการมาตรฐาน!$G$2:$G$3,1)))</f>
        <v/>
      </c>
      <c r="AL169" t="str">
        <f>IF($S169="","",IFERROR(MATCH($AK169,รายการมาตรฐาน!$G$2:$G$3,0),1))</f>
        <v/>
      </c>
      <c r="AM169" t="str">
        <f t="shared" si="75"/>
        <v/>
      </c>
      <c r="AN169" t="str">
        <f t="shared" si="76"/>
        <v/>
      </c>
      <c r="AO169">
        <f t="shared" si="77"/>
        <v>0</v>
      </c>
      <c r="AP169">
        <f t="shared" si="83"/>
        <v>0</v>
      </c>
      <c r="AQ169" t="str">
        <f t="shared" si="78"/>
        <v/>
      </c>
      <c r="AR169">
        <f>IF($Y169="",0,COUNTIF(บันทึกรายเที่ยว!$V$6:$V$10005,$Y169))</f>
        <v>0</v>
      </c>
      <c r="AS169">
        <f>IF($Y169="",0,ROUND(SUMIF(บันทึกรายเที่ยว!$V$6:$V$10005,$Y169,บันทึกรายเที่ยว!$M$6:$M$10005),2))</f>
        <v>0</v>
      </c>
      <c r="AT169">
        <f>IF($Y169="",0,IFERROR(INDEX(อัตราค่าขนส่ง!$J$5:$J$204,MATCH($Y169,อัตราค่าขนส่ง!$O$5:$O$204,0)),0))</f>
        <v>0</v>
      </c>
      <c r="AU169">
        <f t="shared" si="79"/>
        <v>0</v>
      </c>
      <c r="AV169">
        <f t="shared" si="80"/>
        <v>0</v>
      </c>
      <c r="AW169" t="str">
        <f>IF($Y169="","",IFERROR(INDEX(อัตราค่าขนส่ง!$F$5:$F$204,MATCH($Y169,อัตราค่าขนส่ง!$O$5:$O$204,0)),""))</f>
        <v/>
      </c>
      <c r="AX169" t="str">
        <f>IF($W169="","",INDEX(บันทึกรายเที่ยว!$D$6:$D$10005,$W169))</f>
        <v/>
      </c>
      <c r="AY169" t="str">
        <f>IF($W169="","",INDEX(บันทึกรายเที่ยว!$R$6:$R$10005,$W169))</f>
        <v/>
      </c>
      <c r="AZ169">
        <f t="shared" si="81"/>
        <v>0</v>
      </c>
      <c r="BA169" t="str">
        <f>IF($W169="","",INDEX(บันทึกรายเที่ยว!$E$6:$E$10005,$W169))</f>
        <v/>
      </c>
      <c r="BC169">
        <f>IF($Y169="",0,IFERROR(INDEX(อัตราค่าขนส่ง!$M$5:$M$204,MATCH($Y169,อัตราค่าขนส่ง!$O$5:$O$204,0)),0))</f>
        <v>0</v>
      </c>
      <c r="BD169">
        <f>IF($Y169="",0,IFERROR(INDEX(อัตราค่าขนส่ง!$N$5:$N$204,MATCH($Y169,อัตราค่าขนส่ง!$O$5:$O$204,0)),0))</f>
        <v>0</v>
      </c>
    </row>
    <row r="170" spans="1:56" ht="21" customHeight="1" x14ac:dyDescent="0.95">
      <c r="A170" s="36" t="str">
        <f>IF($AD170="","",IF($AD170="Z","รวมจ่ายทั้งสิ้น",IF($AD170="H",INDEX($X$5:$X$404,$AC170),IF($AD170="T","รวม",IF($AD170="B",IFERROR(INDEX(อัตราค่าขนส่ง!$U$5:$U$14,MATCH(INDEX($AM$5:$AM$404,$AC170),อัตราค่าขนส่ง!$T$5:$T$14,0)),"รวมกลุ่ม "&amp;INDEX($AM$5:$AM$404,$AC170)),INDEX($AY$5:$AY$404,$AC170))))))</f>
        <v/>
      </c>
      <c r="B170" s="31" t="str">
        <f t="shared" si="56"/>
        <v/>
      </c>
      <c r="C170" s="8" t="str">
        <f t="shared" si="57"/>
        <v/>
      </c>
      <c r="D170" s="37" t="str">
        <f t="shared" si="58"/>
        <v/>
      </c>
      <c r="E170" s="31" t="str">
        <f t="shared" si="59"/>
        <v/>
      </c>
      <c r="F170" s="32" t="str">
        <f t="shared" si="60"/>
        <v/>
      </c>
      <c r="G170" s="32" t="str">
        <f t="shared" si="61"/>
        <v/>
      </c>
      <c r="H170" s="32" t="str">
        <f t="shared" si="62"/>
        <v/>
      </c>
      <c r="I170" s="32" t="str">
        <f t="shared" si="63"/>
        <v/>
      </c>
      <c r="J170" s="46" t="str">
        <f t="shared" si="64"/>
        <v/>
      </c>
      <c r="K170" s="32" t="str">
        <f t="shared" si="65"/>
        <v/>
      </c>
      <c r="L170" s="32" t="str">
        <f t="shared" si="66"/>
        <v/>
      </c>
      <c r="M170" s="32" t="str">
        <f t="shared" si="67"/>
        <v/>
      </c>
      <c r="N170" s="32" t="str">
        <f t="shared" si="68"/>
        <v/>
      </c>
      <c r="O170" s="32" t="str">
        <f t="shared" si="69"/>
        <v/>
      </c>
      <c r="Q170" t="str">
        <f>IFERROR(MATCH(166,บันทึกรายเที่ยว!$Z$6:$Z$10005,0),"")</f>
        <v/>
      </c>
      <c r="R170" t="str">
        <f>IF($Q170="","",INDEX(บันทึกรายเที่ยว!$V$6:$V$10005,$Q170))</f>
        <v/>
      </c>
      <c r="S170" t="str">
        <f>IF($Q170="","",INDEX(บันทึกรายเที่ยว!$F$6:$F$10005,$Q170))</f>
        <v/>
      </c>
      <c r="T170" t="str">
        <f>IF($Q170="","",MATCH($S170,บันทึกรายเที่ยว!$F$6:$F$10005,0))</f>
        <v/>
      </c>
      <c r="U170" t="str">
        <f>IF($Q170="","",$AL170*10000000+$T170*1000+166)</f>
        <v/>
      </c>
      <c r="V170" t="str">
        <f>IFERROR(MATCH(SMALL($U$5:$U$404,166),$U$5:$U$404,0),"")</f>
        <v/>
      </c>
      <c r="W170" t="str">
        <f t="shared" si="70"/>
        <v/>
      </c>
      <c r="X170" t="str">
        <f t="shared" si="71"/>
        <v/>
      </c>
      <c r="Y170" t="str">
        <f t="shared" si="72"/>
        <v/>
      </c>
      <c r="Z170">
        <f t="shared" si="82"/>
        <v>0</v>
      </c>
      <c r="AA170">
        <f t="shared" si="73"/>
        <v>0</v>
      </c>
      <c r="AB170">
        <f>IF($V170="",99999+166,$AB169+1+$Z169+$AA169+$AO169)</f>
        <v>100165</v>
      </c>
      <c r="AC170" t="str">
        <f>IFERROR(MATCH(166,$AB$5:$AB$404,1),"")</f>
        <v/>
      </c>
      <c r="AD170" t="str">
        <f>IF(166=$AI$1+1,"Z",IF($AC170="","",IF(INDEX($V$5:$V$404,$AC170)="","",IF(166&gt;INDEX($AB$5:$AB$404,$AC170)+INDEX($Z$5:$Z$404,$AC170)+INDEX($AA$5:$AA$404,$AC170)+INDEX($AO$5:$AO$404,$AC170),"",IF(166=INDEX($AB$5:$AB$404,$AC170)+INDEX($Z$5:$Z$404,$AC170),"D",IF(AND(INDEX($Z$5:$Z$404,$AC170)=1,166=INDEX($AB$5:$AB$404,$AC170)),"H",IF(AND(INDEX($AO$5:$AO$404,$AC170)=1,166=INDEX($AB$5:$AB$404,$AC170)+INDEX($Z$5:$Z$404,$AC170)+INDEX($AA$5:$AA$404,$AC170)+INDEX($AO$5:$AO$404,$AC170)),"B","T")))))))</f>
        <v/>
      </c>
      <c r="AF170" t="str">
        <f t="shared" si="74"/>
        <v/>
      </c>
      <c r="AJ170">
        <f>IF($AD170&lt;&gt;"T",0,ROUND(SUMIF(oil!$B$4:$B$63,$AF170,oil!$AE$4:$AE$63),2))</f>
        <v>0</v>
      </c>
      <c r="AK170" t="str">
        <f>IF($S170="","",IFERROR(INDEX(อัตราค่าขนส่ง!$R$5:$R$54,MATCH($S170,อัตราค่าขนส่ง!$Q$5:$Q$54,0)),INDEX(รายการมาตรฐาน!$G$2:$G$3,1)))</f>
        <v/>
      </c>
      <c r="AL170" t="str">
        <f>IF($S170="","",IFERROR(MATCH($AK170,รายการมาตรฐาน!$G$2:$G$3,0),1))</f>
        <v/>
      </c>
      <c r="AM170" t="str">
        <f t="shared" si="75"/>
        <v/>
      </c>
      <c r="AN170" t="str">
        <f t="shared" si="76"/>
        <v/>
      </c>
      <c r="AO170">
        <f t="shared" si="77"/>
        <v>0</v>
      </c>
      <c r="AP170">
        <f t="shared" si="83"/>
        <v>0</v>
      </c>
      <c r="AQ170" t="str">
        <f t="shared" si="78"/>
        <v/>
      </c>
      <c r="AR170">
        <f>IF($Y170="",0,COUNTIF(บันทึกรายเที่ยว!$V$6:$V$10005,$Y170))</f>
        <v>0</v>
      </c>
      <c r="AS170">
        <f>IF($Y170="",0,ROUND(SUMIF(บันทึกรายเที่ยว!$V$6:$V$10005,$Y170,บันทึกรายเที่ยว!$M$6:$M$10005),2))</f>
        <v>0</v>
      </c>
      <c r="AT170">
        <f>IF($Y170="",0,IFERROR(INDEX(อัตราค่าขนส่ง!$J$5:$J$204,MATCH($Y170,อัตราค่าขนส่ง!$O$5:$O$204,0)),0))</f>
        <v>0</v>
      </c>
      <c r="AU170">
        <f t="shared" si="79"/>
        <v>0</v>
      </c>
      <c r="AV170">
        <f t="shared" si="80"/>
        <v>0</v>
      </c>
      <c r="AW170" t="str">
        <f>IF($Y170="","",IFERROR(INDEX(อัตราค่าขนส่ง!$F$5:$F$204,MATCH($Y170,อัตราค่าขนส่ง!$O$5:$O$204,0)),""))</f>
        <v/>
      </c>
      <c r="AX170" t="str">
        <f>IF($W170="","",INDEX(บันทึกรายเที่ยว!$D$6:$D$10005,$W170))</f>
        <v/>
      </c>
      <c r="AY170" t="str">
        <f>IF($W170="","",INDEX(บันทึกรายเที่ยว!$R$6:$R$10005,$W170))</f>
        <v/>
      </c>
      <c r="AZ170">
        <f t="shared" si="81"/>
        <v>0</v>
      </c>
      <c r="BA170" t="str">
        <f>IF($W170="","",INDEX(บันทึกรายเที่ยว!$E$6:$E$10005,$W170))</f>
        <v/>
      </c>
      <c r="BC170">
        <f>IF($Y170="",0,IFERROR(INDEX(อัตราค่าขนส่ง!$M$5:$M$204,MATCH($Y170,อัตราค่าขนส่ง!$O$5:$O$204,0)),0))</f>
        <v>0</v>
      </c>
      <c r="BD170">
        <f>IF($Y170="",0,IFERROR(INDEX(อัตราค่าขนส่ง!$N$5:$N$204,MATCH($Y170,อัตราค่าขนส่ง!$O$5:$O$204,0)),0))</f>
        <v>0</v>
      </c>
    </row>
    <row r="171" spans="1:56" ht="21" customHeight="1" x14ac:dyDescent="0.95">
      <c r="A171" s="36" t="str">
        <f>IF($AD171="","",IF($AD171="Z","รวมจ่ายทั้งสิ้น",IF($AD171="H",INDEX($X$5:$X$404,$AC171),IF($AD171="T","รวม",IF($AD171="B",IFERROR(INDEX(อัตราค่าขนส่ง!$U$5:$U$14,MATCH(INDEX($AM$5:$AM$404,$AC171),อัตราค่าขนส่ง!$T$5:$T$14,0)),"รวมกลุ่ม "&amp;INDEX($AM$5:$AM$404,$AC171)),INDEX($AY$5:$AY$404,$AC171))))))</f>
        <v/>
      </c>
      <c r="B171" s="31" t="str">
        <f t="shared" si="56"/>
        <v/>
      </c>
      <c r="C171" s="8" t="str">
        <f t="shared" si="57"/>
        <v/>
      </c>
      <c r="D171" s="37" t="str">
        <f t="shared" si="58"/>
        <v/>
      </c>
      <c r="E171" s="31" t="str">
        <f t="shared" si="59"/>
        <v/>
      </c>
      <c r="F171" s="32" t="str">
        <f t="shared" si="60"/>
        <v/>
      </c>
      <c r="G171" s="32" t="str">
        <f t="shared" si="61"/>
        <v/>
      </c>
      <c r="H171" s="32" t="str">
        <f t="shared" si="62"/>
        <v/>
      </c>
      <c r="I171" s="32" t="str">
        <f t="shared" si="63"/>
        <v/>
      </c>
      <c r="J171" s="46" t="str">
        <f t="shared" si="64"/>
        <v/>
      </c>
      <c r="K171" s="32" t="str">
        <f t="shared" si="65"/>
        <v/>
      </c>
      <c r="L171" s="32" t="str">
        <f t="shared" si="66"/>
        <v/>
      </c>
      <c r="M171" s="32" t="str">
        <f t="shared" si="67"/>
        <v/>
      </c>
      <c r="N171" s="32" t="str">
        <f t="shared" si="68"/>
        <v/>
      </c>
      <c r="O171" s="32" t="str">
        <f t="shared" si="69"/>
        <v/>
      </c>
      <c r="Q171" t="str">
        <f>IFERROR(MATCH(167,บันทึกรายเที่ยว!$Z$6:$Z$10005,0),"")</f>
        <v/>
      </c>
      <c r="R171" t="str">
        <f>IF($Q171="","",INDEX(บันทึกรายเที่ยว!$V$6:$V$10005,$Q171))</f>
        <v/>
      </c>
      <c r="S171" t="str">
        <f>IF($Q171="","",INDEX(บันทึกรายเที่ยว!$F$6:$F$10005,$Q171))</f>
        <v/>
      </c>
      <c r="T171" t="str">
        <f>IF($Q171="","",MATCH($S171,บันทึกรายเที่ยว!$F$6:$F$10005,0))</f>
        <v/>
      </c>
      <c r="U171" t="str">
        <f>IF($Q171="","",$AL171*10000000+$T171*1000+167)</f>
        <v/>
      </c>
      <c r="V171" t="str">
        <f>IFERROR(MATCH(SMALL($U$5:$U$404,167),$U$5:$U$404,0),"")</f>
        <v/>
      </c>
      <c r="W171" t="str">
        <f t="shared" si="70"/>
        <v/>
      </c>
      <c r="X171" t="str">
        <f t="shared" si="71"/>
        <v/>
      </c>
      <c r="Y171" t="str">
        <f t="shared" si="72"/>
        <v/>
      </c>
      <c r="Z171">
        <f t="shared" si="82"/>
        <v>0</v>
      </c>
      <c r="AA171">
        <f t="shared" si="73"/>
        <v>0</v>
      </c>
      <c r="AB171">
        <f>IF($V171="",99999+167,$AB170+1+$Z170+$AA170+$AO170)</f>
        <v>100166</v>
      </c>
      <c r="AC171" t="str">
        <f>IFERROR(MATCH(167,$AB$5:$AB$404,1),"")</f>
        <v/>
      </c>
      <c r="AD171" t="str">
        <f>IF(167=$AI$1+1,"Z",IF($AC171="","",IF(INDEX($V$5:$V$404,$AC171)="","",IF(167&gt;INDEX($AB$5:$AB$404,$AC171)+INDEX($Z$5:$Z$404,$AC171)+INDEX($AA$5:$AA$404,$AC171)+INDEX($AO$5:$AO$404,$AC171),"",IF(167=INDEX($AB$5:$AB$404,$AC171)+INDEX($Z$5:$Z$404,$AC171),"D",IF(AND(INDEX($Z$5:$Z$404,$AC171)=1,167=INDEX($AB$5:$AB$404,$AC171)),"H",IF(AND(INDEX($AO$5:$AO$404,$AC171)=1,167=INDEX($AB$5:$AB$404,$AC171)+INDEX($Z$5:$Z$404,$AC171)+INDEX($AA$5:$AA$404,$AC171)+INDEX($AO$5:$AO$404,$AC171)),"B","T")))))))</f>
        <v/>
      </c>
      <c r="AF171" t="str">
        <f t="shared" si="74"/>
        <v/>
      </c>
      <c r="AJ171">
        <f>IF($AD171&lt;&gt;"T",0,ROUND(SUMIF(oil!$B$4:$B$63,$AF171,oil!$AE$4:$AE$63),2))</f>
        <v>0</v>
      </c>
      <c r="AK171" t="str">
        <f>IF($S171="","",IFERROR(INDEX(อัตราค่าขนส่ง!$R$5:$R$54,MATCH($S171,อัตราค่าขนส่ง!$Q$5:$Q$54,0)),INDEX(รายการมาตรฐาน!$G$2:$G$3,1)))</f>
        <v/>
      </c>
      <c r="AL171" t="str">
        <f>IF($S171="","",IFERROR(MATCH($AK171,รายการมาตรฐาน!$G$2:$G$3,0),1))</f>
        <v/>
      </c>
      <c r="AM171" t="str">
        <f t="shared" si="75"/>
        <v/>
      </c>
      <c r="AN171" t="str">
        <f t="shared" si="76"/>
        <v/>
      </c>
      <c r="AO171">
        <f t="shared" si="77"/>
        <v>0</v>
      </c>
      <c r="AP171">
        <f t="shared" si="83"/>
        <v>0</v>
      </c>
      <c r="AQ171" t="str">
        <f t="shared" si="78"/>
        <v/>
      </c>
      <c r="AR171">
        <f>IF($Y171="",0,COUNTIF(บันทึกรายเที่ยว!$V$6:$V$10005,$Y171))</f>
        <v>0</v>
      </c>
      <c r="AS171">
        <f>IF($Y171="",0,ROUND(SUMIF(บันทึกรายเที่ยว!$V$6:$V$10005,$Y171,บันทึกรายเที่ยว!$M$6:$M$10005),2))</f>
        <v>0</v>
      </c>
      <c r="AT171">
        <f>IF($Y171="",0,IFERROR(INDEX(อัตราค่าขนส่ง!$J$5:$J$204,MATCH($Y171,อัตราค่าขนส่ง!$O$5:$O$204,0)),0))</f>
        <v>0</v>
      </c>
      <c r="AU171">
        <f t="shared" si="79"/>
        <v>0</v>
      </c>
      <c r="AV171">
        <f t="shared" si="80"/>
        <v>0</v>
      </c>
      <c r="AW171" t="str">
        <f>IF($Y171="","",IFERROR(INDEX(อัตราค่าขนส่ง!$F$5:$F$204,MATCH($Y171,อัตราค่าขนส่ง!$O$5:$O$204,0)),""))</f>
        <v/>
      </c>
      <c r="AX171" t="str">
        <f>IF($W171="","",INDEX(บันทึกรายเที่ยว!$D$6:$D$10005,$W171))</f>
        <v/>
      </c>
      <c r="AY171" t="str">
        <f>IF($W171="","",INDEX(บันทึกรายเที่ยว!$R$6:$R$10005,$W171))</f>
        <v/>
      </c>
      <c r="AZ171">
        <f t="shared" si="81"/>
        <v>0</v>
      </c>
      <c r="BA171" t="str">
        <f>IF($W171="","",INDEX(บันทึกรายเที่ยว!$E$6:$E$10005,$W171))</f>
        <v/>
      </c>
      <c r="BC171">
        <f>IF($Y171="",0,IFERROR(INDEX(อัตราค่าขนส่ง!$M$5:$M$204,MATCH($Y171,อัตราค่าขนส่ง!$O$5:$O$204,0)),0))</f>
        <v>0</v>
      </c>
      <c r="BD171">
        <f>IF($Y171="",0,IFERROR(INDEX(อัตราค่าขนส่ง!$N$5:$N$204,MATCH($Y171,อัตราค่าขนส่ง!$O$5:$O$204,0)),0))</f>
        <v>0</v>
      </c>
    </row>
    <row r="172" spans="1:56" ht="21" customHeight="1" x14ac:dyDescent="0.95">
      <c r="A172" s="36" t="str">
        <f>IF($AD172="","",IF($AD172="Z","รวมจ่ายทั้งสิ้น",IF($AD172="H",INDEX($X$5:$X$404,$AC172),IF($AD172="T","รวม",IF($AD172="B",IFERROR(INDEX(อัตราค่าขนส่ง!$U$5:$U$14,MATCH(INDEX($AM$5:$AM$404,$AC172),อัตราค่าขนส่ง!$T$5:$T$14,0)),"รวมกลุ่ม "&amp;INDEX($AM$5:$AM$404,$AC172)),INDEX($AY$5:$AY$404,$AC172))))))</f>
        <v/>
      </c>
      <c r="B172" s="31" t="str">
        <f t="shared" si="56"/>
        <v/>
      </c>
      <c r="C172" s="8" t="str">
        <f t="shared" si="57"/>
        <v/>
      </c>
      <c r="D172" s="37" t="str">
        <f t="shared" si="58"/>
        <v/>
      </c>
      <c r="E172" s="31" t="str">
        <f t="shared" si="59"/>
        <v/>
      </c>
      <c r="F172" s="32" t="str">
        <f t="shared" si="60"/>
        <v/>
      </c>
      <c r="G172" s="32" t="str">
        <f t="shared" si="61"/>
        <v/>
      </c>
      <c r="H172" s="32" t="str">
        <f t="shared" si="62"/>
        <v/>
      </c>
      <c r="I172" s="32" t="str">
        <f t="shared" si="63"/>
        <v/>
      </c>
      <c r="J172" s="46" t="str">
        <f t="shared" si="64"/>
        <v/>
      </c>
      <c r="K172" s="32" t="str">
        <f t="shared" si="65"/>
        <v/>
      </c>
      <c r="L172" s="32" t="str">
        <f t="shared" si="66"/>
        <v/>
      </c>
      <c r="M172" s="32" t="str">
        <f t="shared" si="67"/>
        <v/>
      </c>
      <c r="N172" s="32" t="str">
        <f t="shared" si="68"/>
        <v/>
      </c>
      <c r="O172" s="32" t="str">
        <f t="shared" si="69"/>
        <v/>
      </c>
      <c r="Q172" t="str">
        <f>IFERROR(MATCH(168,บันทึกรายเที่ยว!$Z$6:$Z$10005,0),"")</f>
        <v/>
      </c>
      <c r="R172" t="str">
        <f>IF($Q172="","",INDEX(บันทึกรายเที่ยว!$V$6:$V$10005,$Q172))</f>
        <v/>
      </c>
      <c r="S172" t="str">
        <f>IF($Q172="","",INDEX(บันทึกรายเที่ยว!$F$6:$F$10005,$Q172))</f>
        <v/>
      </c>
      <c r="T172" t="str">
        <f>IF($Q172="","",MATCH($S172,บันทึกรายเที่ยว!$F$6:$F$10005,0))</f>
        <v/>
      </c>
      <c r="U172" t="str">
        <f>IF($Q172="","",$AL172*10000000+$T172*1000+168)</f>
        <v/>
      </c>
      <c r="V172" t="str">
        <f>IFERROR(MATCH(SMALL($U$5:$U$404,168),$U$5:$U$404,0),"")</f>
        <v/>
      </c>
      <c r="W172" t="str">
        <f t="shared" si="70"/>
        <v/>
      </c>
      <c r="X172" t="str">
        <f t="shared" si="71"/>
        <v/>
      </c>
      <c r="Y172" t="str">
        <f t="shared" si="72"/>
        <v/>
      </c>
      <c r="Z172">
        <f t="shared" si="82"/>
        <v>0</v>
      </c>
      <c r="AA172">
        <f t="shared" si="73"/>
        <v>0</v>
      </c>
      <c r="AB172">
        <f>IF($V172="",99999+168,$AB171+1+$Z171+$AA171+$AO171)</f>
        <v>100167</v>
      </c>
      <c r="AC172" t="str">
        <f>IFERROR(MATCH(168,$AB$5:$AB$404,1),"")</f>
        <v/>
      </c>
      <c r="AD172" t="str">
        <f>IF(168=$AI$1+1,"Z",IF($AC172="","",IF(INDEX($V$5:$V$404,$AC172)="","",IF(168&gt;INDEX($AB$5:$AB$404,$AC172)+INDEX($Z$5:$Z$404,$AC172)+INDEX($AA$5:$AA$404,$AC172)+INDEX($AO$5:$AO$404,$AC172),"",IF(168=INDEX($AB$5:$AB$404,$AC172)+INDEX($Z$5:$Z$404,$AC172),"D",IF(AND(INDEX($Z$5:$Z$404,$AC172)=1,168=INDEX($AB$5:$AB$404,$AC172)),"H",IF(AND(INDEX($AO$5:$AO$404,$AC172)=1,168=INDEX($AB$5:$AB$404,$AC172)+INDEX($Z$5:$Z$404,$AC172)+INDEX($AA$5:$AA$404,$AC172)+INDEX($AO$5:$AO$404,$AC172)),"B","T")))))))</f>
        <v/>
      </c>
      <c r="AF172" t="str">
        <f t="shared" si="74"/>
        <v/>
      </c>
      <c r="AJ172">
        <f>IF($AD172&lt;&gt;"T",0,ROUND(SUMIF(oil!$B$4:$B$63,$AF172,oil!$AE$4:$AE$63),2))</f>
        <v>0</v>
      </c>
      <c r="AK172" t="str">
        <f>IF($S172="","",IFERROR(INDEX(อัตราค่าขนส่ง!$R$5:$R$54,MATCH($S172,อัตราค่าขนส่ง!$Q$5:$Q$54,0)),INDEX(รายการมาตรฐาน!$G$2:$G$3,1)))</f>
        <v/>
      </c>
      <c r="AL172" t="str">
        <f>IF($S172="","",IFERROR(MATCH($AK172,รายการมาตรฐาน!$G$2:$G$3,0),1))</f>
        <v/>
      </c>
      <c r="AM172" t="str">
        <f t="shared" si="75"/>
        <v/>
      </c>
      <c r="AN172" t="str">
        <f t="shared" si="76"/>
        <v/>
      </c>
      <c r="AO172">
        <f t="shared" si="77"/>
        <v>0</v>
      </c>
      <c r="AP172">
        <f t="shared" si="83"/>
        <v>0</v>
      </c>
      <c r="AQ172" t="str">
        <f t="shared" si="78"/>
        <v/>
      </c>
      <c r="AR172">
        <f>IF($Y172="",0,COUNTIF(บันทึกรายเที่ยว!$V$6:$V$10005,$Y172))</f>
        <v>0</v>
      </c>
      <c r="AS172">
        <f>IF($Y172="",0,ROUND(SUMIF(บันทึกรายเที่ยว!$V$6:$V$10005,$Y172,บันทึกรายเที่ยว!$M$6:$M$10005),2))</f>
        <v>0</v>
      </c>
      <c r="AT172">
        <f>IF($Y172="",0,IFERROR(INDEX(อัตราค่าขนส่ง!$J$5:$J$204,MATCH($Y172,อัตราค่าขนส่ง!$O$5:$O$204,0)),0))</f>
        <v>0</v>
      </c>
      <c r="AU172">
        <f t="shared" si="79"/>
        <v>0</v>
      </c>
      <c r="AV172">
        <f t="shared" si="80"/>
        <v>0</v>
      </c>
      <c r="AW172" t="str">
        <f>IF($Y172="","",IFERROR(INDEX(อัตราค่าขนส่ง!$F$5:$F$204,MATCH($Y172,อัตราค่าขนส่ง!$O$5:$O$204,0)),""))</f>
        <v/>
      </c>
      <c r="AX172" t="str">
        <f>IF($W172="","",INDEX(บันทึกรายเที่ยว!$D$6:$D$10005,$W172))</f>
        <v/>
      </c>
      <c r="AY172" t="str">
        <f>IF($W172="","",INDEX(บันทึกรายเที่ยว!$R$6:$R$10005,$W172))</f>
        <v/>
      </c>
      <c r="AZ172">
        <f t="shared" si="81"/>
        <v>0</v>
      </c>
      <c r="BA172" t="str">
        <f>IF($W172="","",INDEX(บันทึกรายเที่ยว!$E$6:$E$10005,$W172))</f>
        <v/>
      </c>
      <c r="BC172">
        <f>IF($Y172="",0,IFERROR(INDEX(อัตราค่าขนส่ง!$M$5:$M$204,MATCH($Y172,อัตราค่าขนส่ง!$O$5:$O$204,0)),0))</f>
        <v>0</v>
      </c>
      <c r="BD172">
        <f>IF($Y172="",0,IFERROR(INDEX(อัตราค่าขนส่ง!$N$5:$N$204,MATCH($Y172,อัตราค่าขนส่ง!$O$5:$O$204,0)),0))</f>
        <v>0</v>
      </c>
    </row>
    <row r="173" spans="1:56" ht="21" customHeight="1" x14ac:dyDescent="0.95">
      <c r="A173" s="36" t="str">
        <f>IF($AD173="","",IF($AD173="Z","รวมจ่ายทั้งสิ้น",IF($AD173="H",INDEX($X$5:$X$404,$AC173),IF($AD173="T","รวม",IF($AD173="B",IFERROR(INDEX(อัตราค่าขนส่ง!$U$5:$U$14,MATCH(INDEX($AM$5:$AM$404,$AC173),อัตราค่าขนส่ง!$T$5:$T$14,0)),"รวมกลุ่ม "&amp;INDEX($AM$5:$AM$404,$AC173)),INDEX($AY$5:$AY$404,$AC173))))))</f>
        <v/>
      </c>
      <c r="B173" s="31" t="str">
        <f t="shared" si="56"/>
        <v/>
      </c>
      <c r="C173" s="8" t="str">
        <f t="shared" si="57"/>
        <v/>
      </c>
      <c r="D173" s="37" t="str">
        <f t="shared" si="58"/>
        <v/>
      </c>
      <c r="E173" s="31" t="str">
        <f t="shared" si="59"/>
        <v/>
      </c>
      <c r="F173" s="32" t="str">
        <f t="shared" si="60"/>
        <v/>
      </c>
      <c r="G173" s="32" t="str">
        <f t="shared" si="61"/>
        <v/>
      </c>
      <c r="H173" s="32" t="str">
        <f t="shared" si="62"/>
        <v/>
      </c>
      <c r="I173" s="32" t="str">
        <f t="shared" si="63"/>
        <v/>
      </c>
      <c r="J173" s="46" t="str">
        <f t="shared" si="64"/>
        <v/>
      </c>
      <c r="K173" s="32" t="str">
        <f t="shared" si="65"/>
        <v/>
      </c>
      <c r="L173" s="32" t="str">
        <f t="shared" si="66"/>
        <v/>
      </c>
      <c r="M173" s="32" t="str">
        <f t="shared" si="67"/>
        <v/>
      </c>
      <c r="N173" s="32" t="str">
        <f t="shared" si="68"/>
        <v/>
      </c>
      <c r="O173" s="32" t="str">
        <f t="shared" si="69"/>
        <v/>
      </c>
      <c r="Q173" t="str">
        <f>IFERROR(MATCH(169,บันทึกรายเที่ยว!$Z$6:$Z$10005,0),"")</f>
        <v/>
      </c>
      <c r="R173" t="str">
        <f>IF($Q173="","",INDEX(บันทึกรายเที่ยว!$V$6:$V$10005,$Q173))</f>
        <v/>
      </c>
      <c r="S173" t="str">
        <f>IF($Q173="","",INDEX(บันทึกรายเที่ยว!$F$6:$F$10005,$Q173))</f>
        <v/>
      </c>
      <c r="T173" t="str">
        <f>IF($Q173="","",MATCH($S173,บันทึกรายเที่ยว!$F$6:$F$10005,0))</f>
        <v/>
      </c>
      <c r="U173" t="str">
        <f>IF($Q173="","",$AL173*10000000+$T173*1000+169)</f>
        <v/>
      </c>
      <c r="V173" t="str">
        <f>IFERROR(MATCH(SMALL($U$5:$U$404,169),$U$5:$U$404,0),"")</f>
        <v/>
      </c>
      <c r="W173" t="str">
        <f t="shared" si="70"/>
        <v/>
      </c>
      <c r="X173" t="str">
        <f t="shared" si="71"/>
        <v/>
      </c>
      <c r="Y173" t="str">
        <f t="shared" si="72"/>
        <v/>
      </c>
      <c r="Z173">
        <f t="shared" si="82"/>
        <v>0</v>
      </c>
      <c r="AA173">
        <f t="shared" si="73"/>
        <v>0</v>
      </c>
      <c r="AB173">
        <f>IF($V173="",99999+169,$AB172+1+$Z172+$AA172+$AO172)</f>
        <v>100168</v>
      </c>
      <c r="AC173" t="str">
        <f>IFERROR(MATCH(169,$AB$5:$AB$404,1),"")</f>
        <v/>
      </c>
      <c r="AD173" t="str">
        <f>IF(169=$AI$1+1,"Z",IF($AC173="","",IF(INDEX($V$5:$V$404,$AC173)="","",IF(169&gt;INDEX($AB$5:$AB$404,$AC173)+INDEX($Z$5:$Z$404,$AC173)+INDEX($AA$5:$AA$404,$AC173)+INDEX($AO$5:$AO$404,$AC173),"",IF(169=INDEX($AB$5:$AB$404,$AC173)+INDEX($Z$5:$Z$404,$AC173),"D",IF(AND(INDEX($Z$5:$Z$404,$AC173)=1,169=INDEX($AB$5:$AB$404,$AC173)),"H",IF(AND(INDEX($AO$5:$AO$404,$AC173)=1,169=INDEX($AB$5:$AB$404,$AC173)+INDEX($Z$5:$Z$404,$AC173)+INDEX($AA$5:$AA$404,$AC173)+INDEX($AO$5:$AO$404,$AC173)),"B","T")))))))</f>
        <v/>
      </c>
      <c r="AF173" t="str">
        <f t="shared" si="74"/>
        <v/>
      </c>
      <c r="AJ173">
        <f>IF($AD173&lt;&gt;"T",0,ROUND(SUMIF(oil!$B$4:$B$63,$AF173,oil!$AE$4:$AE$63),2))</f>
        <v>0</v>
      </c>
      <c r="AK173" t="str">
        <f>IF($S173="","",IFERROR(INDEX(อัตราค่าขนส่ง!$R$5:$R$54,MATCH($S173,อัตราค่าขนส่ง!$Q$5:$Q$54,0)),INDEX(รายการมาตรฐาน!$G$2:$G$3,1)))</f>
        <v/>
      </c>
      <c r="AL173" t="str">
        <f>IF($S173="","",IFERROR(MATCH($AK173,รายการมาตรฐาน!$G$2:$G$3,0),1))</f>
        <v/>
      </c>
      <c r="AM173" t="str">
        <f t="shared" si="75"/>
        <v/>
      </c>
      <c r="AN173" t="str">
        <f t="shared" si="76"/>
        <v/>
      </c>
      <c r="AO173">
        <f t="shared" si="77"/>
        <v>0</v>
      </c>
      <c r="AP173">
        <f t="shared" si="83"/>
        <v>0</v>
      </c>
      <c r="AQ173" t="str">
        <f t="shared" si="78"/>
        <v/>
      </c>
      <c r="AR173">
        <f>IF($Y173="",0,COUNTIF(บันทึกรายเที่ยว!$V$6:$V$10005,$Y173))</f>
        <v>0</v>
      </c>
      <c r="AS173">
        <f>IF($Y173="",0,ROUND(SUMIF(บันทึกรายเที่ยว!$V$6:$V$10005,$Y173,บันทึกรายเที่ยว!$M$6:$M$10005),2))</f>
        <v>0</v>
      </c>
      <c r="AT173">
        <f>IF($Y173="",0,IFERROR(INDEX(อัตราค่าขนส่ง!$J$5:$J$204,MATCH($Y173,อัตราค่าขนส่ง!$O$5:$O$204,0)),0))</f>
        <v>0</v>
      </c>
      <c r="AU173">
        <f t="shared" si="79"/>
        <v>0</v>
      </c>
      <c r="AV173">
        <f t="shared" si="80"/>
        <v>0</v>
      </c>
      <c r="AW173" t="str">
        <f>IF($Y173="","",IFERROR(INDEX(อัตราค่าขนส่ง!$F$5:$F$204,MATCH($Y173,อัตราค่าขนส่ง!$O$5:$O$204,0)),""))</f>
        <v/>
      </c>
      <c r="AX173" t="str">
        <f>IF($W173="","",INDEX(บันทึกรายเที่ยว!$D$6:$D$10005,$W173))</f>
        <v/>
      </c>
      <c r="AY173" t="str">
        <f>IF($W173="","",INDEX(บันทึกรายเที่ยว!$R$6:$R$10005,$W173))</f>
        <v/>
      </c>
      <c r="AZ173">
        <f t="shared" si="81"/>
        <v>0</v>
      </c>
      <c r="BA173" t="str">
        <f>IF($W173="","",INDEX(บันทึกรายเที่ยว!$E$6:$E$10005,$W173))</f>
        <v/>
      </c>
      <c r="BC173">
        <f>IF($Y173="",0,IFERROR(INDEX(อัตราค่าขนส่ง!$M$5:$M$204,MATCH($Y173,อัตราค่าขนส่ง!$O$5:$O$204,0)),0))</f>
        <v>0</v>
      </c>
      <c r="BD173">
        <f>IF($Y173="",0,IFERROR(INDEX(อัตราค่าขนส่ง!$N$5:$N$204,MATCH($Y173,อัตราค่าขนส่ง!$O$5:$O$204,0)),0))</f>
        <v>0</v>
      </c>
    </row>
    <row r="174" spans="1:56" ht="21" customHeight="1" x14ac:dyDescent="0.95">
      <c r="A174" s="36" t="str">
        <f>IF($AD174="","",IF($AD174="Z","รวมจ่ายทั้งสิ้น",IF($AD174="H",INDEX($X$5:$X$404,$AC174),IF($AD174="T","รวม",IF($AD174="B",IFERROR(INDEX(อัตราค่าขนส่ง!$U$5:$U$14,MATCH(INDEX($AM$5:$AM$404,$AC174),อัตราค่าขนส่ง!$T$5:$T$14,0)),"รวมกลุ่ม "&amp;INDEX($AM$5:$AM$404,$AC174)),INDEX($AY$5:$AY$404,$AC174))))))</f>
        <v/>
      </c>
      <c r="B174" s="31" t="str">
        <f t="shared" si="56"/>
        <v/>
      </c>
      <c r="C174" s="8" t="str">
        <f t="shared" si="57"/>
        <v/>
      </c>
      <c r="D174" s="37" t="str">
        <f t="shared" si="58"/>
        <v/>
      </c>
      <c r="E174" s="31" t="str">
        <f t="shared" si="59"/>
        <v/>
      </c>
      <c r="F174" s="32" t="str">
        <f t="shared" si="60"/>
        <v/>
      </c>
      <c r="G174" s="32" t="str">
        <f t="shared" si="61"/>
        <v/>
      </c>
      <c r="H174" s="32" t="str">
        <f t="shared" si="62"/>
        <v/>
      </c>
      <c r="I174" s="32" t="str">
        <f t="shared" si="63"/>
        <v/>
      </c>
      <c r="J174" s="46" t="str">
        <f t="shared" si="64"/>
        <v/>
      </c>
      <c r="K174" s="32" t="str">
        <f t="shared" si="65"/>
        <v/>
      </c>
      <c r="L174" s="32" t="str">
        <f t="shared" si="66"/>
        <v/>
      </c>
      <c r="M174" s="32" t="str">
        <f t="shared" si="67"/>
        <v/>
      </c>
      <c r="N174" s="32" t="str">
        <f t="shared" si="68"/>
        <v/>
      </c>
      <c r="O174" s="32" t="str">
        <f t="shared" si="69"/>
        <v/>
      </c>
      <c r="Q174" t="str">
        <f>IFERROR(MATCH(170,บันทึกรายเที่ยว!$Z$6:$Z$10005,0),"")</f>
        <v/>
      </c>
      <c r="R174" t="str">
        <f>IF($Q174="","",INDEX(บันทึกรายเที่ยว!$V$6:$V$10005,$Q174))</f>
        <v/>
      </c>
      <c r="S174" t="str">
        <f>IF($Q174="","",INDEX(บันทึกรายเที่ยว!$F$6:$F$10005,$Q174))</f>
        <v/>
      </c>
      <c r="T174" t="str">
        <f>IF($Q174="","",MATCH($S174,บันทึกรายเที่ยว!$F$6:$F$10005,0))</f>
        <v/>
      </c>
      <c r="U174" t="str">
        <f>IF($Q174="","",$AL174*10000000+$T174*1000+170)</f>
        <v/>
      </c>
      <c r="V174" t="str">
        <f>IFERROR(MATCH(SMALL($U$5:$U$404,170),$U$5:$U$404,0),"")</f>
        <v/>
      </c>
      <c r="W174" t="str">
        <f t="shared" si="70"/>
        <v/>
      </c>
      <c r="X174" t="str">
        <f t="shared" si="71"/>
        <v/>
      </c>
      <c r="Y174" t="str">
        <f t="shared" si="72"/>
        <v/>
      </c>
      <c r="Z174">
        <f t="shared" si="82"/>
        <v>0</v>
      </c>
      <c r="AA174">
        <f t="shared" si="73"/>
        <v>0</v>
      </c>
      <c r="AB174">
        <f>IF($V174="",99999+170,$AB173+1+$Z173+$AA173+$AO173)</f>
        <v>100169</v>
      </c>
      <c r="AC174" t="str">
        <f>IFERROR(MATCH(170,$AB$5:$AB$404,1),"")</f>
        <v/>
      </c>
      <c r="AD174" t="str">
        <f>IF(170=$AI$1+1,"Z",IF($AC174="","",IF(INDEX($V$5:$V$404,$AC174)="","",IF(170&gt;INDEX($AB$5:$AB$404,$AC174)+INDEX($Z$5:$Z$404,$AC174)+INDEX($AA$5:$AA$404,$AC174)+INDEX($AO$5:$AO$404,$AC174),"",IF(170=INDEX($AB$5:$AB$404,$AC174)+INDEX($Z$5:$Z$404,$AC174),"D",IF(AND(INDEX($Z$5:$Z$404,$AC174)=1,170=INDEX($AB$5:$AB$404,$AC174)),"H",IF(AND(INDEX($AO$5:$AO$404,$AC174)=1,170=INDEX($AB$5:$AB$404,$AC174)+INDEX($Z$5:$Z$404,$AC174)+INDEX($AA$5:$AA$404,$AC174)+INDEX($AO$5:$AO$404,$AC174)),"B","T")))))))</f>
        <v/>
      </c>
      <c r="AF174" t="str">
        <f t="shared" si="74"/>
        <v/>
      </c>
      <c r="AJ174">
        <f>IF($AD174&lt;&gt;"T",0,ROUND(SUMIF(oil!$B$4:$B$63,$AF174,oil!$AE$4:$AE$63),2))</f>
        <v>0</v>
      </c>
      <c r="AK174" t="str">
        <f>IF($S174="","",IFERROR(INDEX(อัตราค่าขนส่ง!$R$5:$R$54,MATCH($S174,อัตราค่าขนส่ง!$Q$5:$Q$54,0)),INDEX(รายการมาตรฐาน!$G$2:$G$3,1)))</f>
        <v/>
      </c>
      <c r="AL174" t="str">
        <f>IF($S174="","",IFERROR(MATCH($AK174,รายการมาตรฐาน!$G$2:$G$3,0),1))</f>
        <v/>
      </c>
      <c r="AM174" t="str">
        <f t="shared" si="75"/>
        <v/>
      </c>
      <c r="AN174" t="str">
        <f t="shared" si="76"/>
        <v/>
      </c>
      <c r="AO174">
        <f t="shared" si="77"/>
        <v>0</v>
      </c>
      <c r="AP174">
        <f t="shared" si="83"/>
        <v>0</v>
      </c>
      <c r="AQ174" t="str">
        <f t="shared" si="78"/>
        <v/>
      </c>
      <c r="AR174">
        <f>IF($Y174="",0,COUNTIF(บันทึกรายเที่ยว!$V$6:$V$10005,$Y174))</f>
        <v>0</v>
      </c>
      <c r="AS174">
        <f>IF($Y174="",0,ROUND(SUMIF(บันทึกรายเที่ยว!$V$6:$V$10005,$Y174,บันทึกรายเที่ยว!$M$6:$M$10005),2))</f>
        <v>0</v>
      </c>
      <c r="AT174">
        <f>IF($Y174="",0,IFERROR(INDEX(อัตราค่าขนส่ง!$J$5:$J$204,MATCH($Y174,อัตราค่าขนส่ง!$O$5:$O$204,0)),0))</f>
        <v>0</v>
      </c>
      <c r="AU174">
        <f t="shared" si="79"/>
        <v>0</v>
      </c>
      <c r="AV174">
        <f t="shared" si="80"/>
        <v>0</v>
      </c>
      <c r="AW174" t="str">
        <f>IF($Y174="","",IFERROR(INDEX(อัตราค่าขนส่ง!$F$5:$F$204,MATCH($Y174,อัตราค่าขนส่ง!$O$5:$O$204,0)),""))</f>
        <v/>
      </c>
      <c r="AX174" t="str">
        <f>IF($W174="","",INDEX(บันทึกรายเที่ยว!$D$6:$D$10005,$W174))</f>
        <v/>
      </c>
      <c r="AY174" t="str">
        <f>IF($W174="","",INDEX(บันทึกรายเที่ยว!$R$6:$R$10005,$W174))</f>
        <v/>
      </c>
      <c r="AZ174">
        <f t="shared" si="81"/>
        <v>0</v>
      </c>
      <c r="BA174" t="str">
        <f>IF($W174="","",INDEX(บันทึกรายเที่ยว!$E$6:$E$10005,$W174))</f>
        <v/>
      </c>
      <c r="BC174">
        <f>IF($Y174="",0,IFERROR(INDEX(อัตราค่าขนส่ง!$M$5:$M$204,MATCH($Y174,อัตราค่าขนส่ง!$O$5:$O$204,0)),0))</f>
        <v>0</v>
      </c>
      <c r="BD174">
        <f>IF($Y174="",0,IFERROR(INDEX(อัตราค่าขนส่ง!$N$5:$N$204,MATCH($Y174,อัตราค่าขนส่ง!$O$5:$O$204,0)),0))</f>
        <v>0</v>
      </c>
    </row>
    <row r="175" spans="1:56" ht="21" customHeight="1" x14ac:dyDescent="0.95">
      <c r="A175" s="36" t="str">
        <f>IF($AD175="","",IF($AD175="Z","รวมจ่ายทั้งสิ้น",IF($AD175="H",INDEX($X$5:$X$404,$AC175),IF($AD175="T","รวม",IF($AD175="B",IFERROR(INDEX(อัตราค่าขนส่ง!$U$5:$U$14,MATCH(INDEX($AM$5:$AM$404,$AC175),อัตราค่าขนส่ง!$T$5:$T$14,0)),"รวมกลุ่ม "&amp;INDEX($AM$5:$AM$404,$AC175)),INDEX($AY$5:$AY$404,$AC175))))))</f>
        <v/>
      </c>
      <c r="B175" s="31" t="str">
        <f t="shared" si="56"/>
        <v/>
      </c>
      <c r="C175" s="8" t="str">
        <f t="shared" si="57"/>
        <v/>
      </c>
      <c r="D175" s="37" t="str">
        <f t="shared" si="58"/>
        <v/>
      </c>
      <c r="E175" s="31" t="str">
        <f t="shared" si="59"/>
        <v/>
      </c>
      <c r="F175" s="32" t="str">
        <f t="shared" si="60"/>
        <v/>
      </c>
      <c r="G175" s="32" t="str">
        <f t="shared" si="61"/>
        <v/>
      </c>
      <c r="H175" s="32" t="str">
        <f t="shared" si="62"/>
        <v/>
      </c>
      <c r="I175" s="32" t="str">
        <f t="shared" si="63"/>
        <v/>
      </c>
      <c r="J175" s="46" t="str">
        <f t="shared" si="64"/>
        <v/>
      </c>
      <c r="K175" s="32" t="str">
        <f t="shared" si="65"/>
        <v/>
      </c>
      <c r="L175" s="32" t="str">
        <f t="shared" si="66"/>
        <v/>
      </c>
      <c r="M175" s="32" t="str">
        <f t="shared" si="67"/>
        <v/>
      </c>
      <c r="N175" s="32" t="str">
        <f t="shared" si="68"/>
        <v/>
      </c>
      <c r="O175" s="32" t="str">
        <f t="shared" si="69"/>
        <v/>
      </c>
      <c r="Q175" t="str">
        <f>IFERROR(MATCH(171,บันทึกรายเที่ยว!$Z$6:$Z$10005,0),"")</f>
        <v/>
      </c>
      <c r="R175" t="str">
        <f>IF($Q175="","",INDEX(บันทึกรายเที่ยว!$V$6:$V$10005,$Q175))</f>
        <v/>
      </c>
      <c r="S175" t="str">
        <f>IF($Q175="","",INDEX(บันทึกรายเที่ยว!$F$6:$F$10005,$Q175))</f>
        <v/>
      </c>
      <c r="T175" t="str">
        <f>IF($Q175="","",MATCH($S175,บันทึกรายเที่ยว!$F$6:$F$10005,0))</f>
        <v/>
      </c>
      <c r="U175" t="str">
        <f>IF($Q175="","",$AL175*10000000+$T175*1000+171)</f>
        <v/>
      </c>
      <c r="V175" t="str">
        <f>IFERROR(MATCH(SMALL($U$5:$U$404,171),$U$5:$U$404,0),"")</f>
        <v/>
      </c>
      <c r="W175" t="str">
        <f t="shared" si="70"/>
        <v/>
      </c>
      <c r="X175" t="str">
        <f t="shared" si="71"/>
        <v/>
      </c>
      <c r="Y175" t="str">
        <f t="shared" si="72"/>
        <v/>
      </c>
      <c r="Z175">
        <f t="shared" si="82"/>
        <v>0</v>
      </c>
      <c r="AA175">
        <f t="shared" si="73"/>
        <v>0</v>
      </c>
      <c r="AB175">
        <f>IF($V175="",99999+171,$AB174+1+$Z174+$AA174+$AO174)</f>
        <v>100170</v>
      </c>
      <c r="AC175" t="str">
        <f>IFERROR(MATCH(171,$AB$5:$AB$404,1),"")</f>
        <v/>
      </c>
      <c r="AD175" t="str">
        <f>IF(171=$AI$1+1,"Z",IF($AC175="","",IF(INDEX($V$5:$V$404,$AC175)="","",IF(171&gt;INDEX($AB$5:$AB$404,$AC175)+INDEX($Z$5:$Z$404,$AC175)+INDEX($AA$5:$AA$404,$AC175)+INDEX($AO$5:$AO$404,$AC175),"",IF(171=INDEX($AB$5:$AB$404,$AC175)+INDEX($Z$5:$Z$404,$AC175),"D",IF(AND(INDEX($Z$5:$Z$404,$AC175)=1,171=INDEX($AB$5:$AB$404,$AC175)),"H",IF(AND(INDEX($AO$5:$AO$404,$AC175)=1,171=INDEX($AB$5:$AB$404,$AC175)+INDEX($Z$5:$Z$404,$AC175)+INDEX($AA$5:$AA$404,$AC175)+INDEX($AO$5:$AO$404,$AC175)),"B","T")))))))</f>
        <v/>
      </c>
      <c r="AF175" t="str">
        <f t="shared" si="74"/>
        <v/>
      </c>
      <c r="AJ175">
        <f>IF($AD175&lt;&gt;"T",0,ROUND(SUMIF(oil!$B$4:$B$63,$AF175,oil!$AE$4:$AE$63),2))</f>
        <v>0</v>
      </c>
      <c r="AK175" t="str">
        <f>IF($S175="","",IFERROR(INDEX(อัตราค่าขนส่ง!$R$5:$R$54,MATCH($S175,อัตราค่าขนส่ง!$Q$5:$Q$54,0)),INDEX(รายการมาตรฐาน!$G$2:$G$3,1)))</f>
        <v/>
      </c>
      <c r="AL175" t="str">
        <f>IF($S175="","",IFERROR(MATCH($AK175,รายการมาตรฐาน!$G$2:$G$3,0),1))</f>
        <v/>
      </c>
      <c r="AM175" t="str">
        <f t="shared" si="75"/>
        <v/>
      </c>
      <c r="AN175" t="str">
        <f t="shared" si="76"/>
        <v/>
      </c>
      <c r="AO175">
        <f t="shared" si="77"/>
        <v>0</v>
      </c>
      <c r="AP175">
        <f t="shared" si="83"/>
        <v>0</v>
      </c>
      <c r="AQ175" t="str">
        <f t="shared" si="78"/>
        <v/>
      </c>
      <c r="AR175">
        <f>IF($Y175="",0,COUNTIF(บันทึกรายเที่ยว!$V$6:$V$10005,$Y175))</f>
        <v>0</v>
      </c>
      <c r="AS175">
        <f>IF($Y175="",0,ROUND(SUMIF(บันทึกรายเที่ยว!$V$6:$V$10005,$Y175,บันทึกรายเที่ยว!$M$6:$M$10005),2))</f>
        <v>0</v>
      </c>
      <c r="AT175">
        <f>IF($Y175="",0,IFERROR(INDEX(อัตราค่าขนส่ง!$J$5:$J$204,MATCH($Y175,อัตราค่าขนส่ง!$O$5:$O$204,0)),0))</f>
        <v>0</v>
      </c>
      <c r="AU175">
        <f t="shared" si="79"/>
        <v>0</v>
      </c>
      <c r="AV175">
        <f t="shared" si="80"/>
        <v>0</v>
      </c>
      <c r="AW175" t="str">
        <f>IF($Y175="","",IFERROR(INDEX(อัตราค่าขนส่ง!$F$5:$F$204,MATCH($Y175,อัตราค่าขนส่ง!$O$5:$O$204,0)),""))</f>
        <v/>
      </c>
      <c r="AX175" t="str">
        <f>IF($W175="","",INDEX(บันทึกรายเที่ยว!$D$6:$D$10005,$W175))</f>
        <v/>
      </c>
      <c r="AY175" t="str">
        <f>IF($W175="","",INDEX(บันทึกรายเที่ยว!$R$6:$R$10005,$W175))</f>
        <v/>
      </c>
      <c r="AZ175">
        <f t="shared" si="81"/>
        <v>0</v>
      </c>
      <c r="BA175" t="str">
        <f>IF($W175="","",INDEX(บันทึกรายเที่ยว!$E$6:$E$10005,$W175))</f>
        <v/>
      </c>
      <c r="BC175">
        <f>IF($Y175="",0,IFERROR(INDEX(อัตราค่าขนส่ง!$M$5:$M$204,MATCH($Y175,อัตราค่าขนส่ง!$O$5:$O$204,0)),0))</f>
        <v>0</v>
      </c>
      <c r="BD175">
        <f>IF($Y175="",0,IFERROR(INDEX(อัตราค่าขนส่ง!$N$5:$N$204,MATCH($Y175,อัตราค่าขนส่ง!$O$5:$O$204,0)),0))</f>
        <v>0</v>
      </c>
    </row>
    <row r="176" spans="1:56" ht="21" customHeight="1" x14ac:dyDescent="0.95">
      <c r="A176" s="36" t="str">
        <f>IF($AD176="","",IF($AD176="Z","รวมจ่ายทั้งสิ้น",IF($AD176="H",INDEX($X$5:$X$404,$AC176),IF($AD176="T","รวม",IF($AD176="B",IFERROR(INDEX(อัตราค่าขนส่ง!$U$5:$U$14,MATCH(INDEX($AM$5:$AM$404,$AC176),อัตราค่าขนส่ง!$T$5:$T$14,0)),"รวมกลุ่ม "&amp;INDEX($AM$5:$AM$404,$AC176)),INDEX($AY$5:$AY$404,$AC176))))))</f>
        <v/>
      </c>
      <c r="B176" s="31" t="str">
        <f t="shared" si="56"/>
        <v/>
      </c>
      <c r="C176" s="8" t="str">
        <f t="shared" si="57"/>
        <v/>
      </c>
      <c r="D176" s="37" t="str">
        <f t="shared" si="58"/>
        <v/>
      </c>
      <c r="E176" s="31" t="str">
        <f t="shared" si="59"/>
        <v/>
      </c>
      <c r="F176" s="32" t="str">
        <f t="shared" si="60"/>
        <v/>
      </c>
      <c r="G176" s="32" t="str">
        <f t="shared" si="61"/>
        <v/>
      </c>
      <c r="H176" s="32" t="str">
        <f t="shared" si="62"/>
        <v/>
      </c>
      <c r="I176" s="32" t="str">
        <f t="shared" si="63"/>
        <v/>
      </c>
      <c r="J176" s="46" t="str">
        <f t="shared" si="64"/>
        <v/>
      </c>
      <c r="K176" s="32" t="str">
        <f t="shared" si="65"/>
        <v/>
      </c>
      <c r="L176" s="32" t="str">
        <f t="shared" si="66"/>
        <v/>
      </c>
      <c r="M176" s="32" t="str">
        <f t="shared" si="67"/>
        <v/>
      </c>
      <c r="N176" s="32" t="str">
        <f t="shared" si="68"/>
        <v/>
      </c>
      <c r="O176" s="32" t="str">
        <f t="shared" si="69"/>
        <v/>
      </c>
      <c r="Q176" t="str">
        <f>IFERROR(MATCH(172,บันทึกรายเที่ยว!$Z$6:$Z$10005,0),"")</f>
        <v/>
      </c>
      <c r="R176" t="str">
        <f>IF($Q176="","",INDEX(บันทึกรายเที่ยว!$V$6:$V$10005,$Q176))</f>
        <v/>
      </c>
      <c r="S176" t="str">
        <f>IF($Q176="","",INDEX(บันทึกรายเที่ยว!$F$6:$F$10005,$Q176))</f>
        <v/>
      </c>
      <c r="T176" t="str">
        <f>IF($Q176="","",MATCH($S176,บันทึกรายเที่ยว!$F$6:$F$10005,0))</f>
        <v/>
      </c>
      <c r="U176" t="str">
        <f>IF($Q176="","",$AL176*10000000+$T176*1000+172)</f>
        <v/>
      </c>
      <c r="V176" t="str">
        <f>IFERROR(MATCH(SMALL($U$5:$U$404,172),$U$5:$U$404,0),"")</f>
        <v/>
      </c>
      <c r="W176" t="str">
        <f t="shared" si="70"/>
        <v/>
      </c>
      <c r="X176" t="str">
        <f t="shared" si="71"/>
        <v/>
      </c>
      <c r="Y176" t="str">
        <f t="shared" si="72"/>
        <v/>
      </c>
      <c r="Z176">
        <f t="shared" si="82"/>
        <v>0</v>
      </c>
      <c r="AA176">
        <f t="shared" si="73"/>
        <v>0</v>
      </c>
      <c r="AB176">
        <f>IF($V176="",99999+172,$AB175+1+$Z175+$AA175+$AO175)</f>
        <v>100171</v>
      </c>
      <c r="AC176" t="str">
        <f>IFERROR(MATCH(172,$AB$5:$AB$404,1),"")</f>
        <v/>
      </c>
      <c r="AD176" t="str">
        <f>IF(172=$AI$1+1,"Z",IF($AC176="","",IF(INDEX($V$5:$V$404,$AC176)="","",IF(172&gt;INDEX($AB$5:$AB$404,$AC176)+INDEX($Z$5:$Z$404,$AC176)+INDEX($AA$5:$AA$404,$AC176)+INDEX($AO$5:$AO$404,$AC176),"",IF(172=INDEX($AB$5:$AB$404,$AC176)+INDEX($Z$5:$Z$404,$AC176),"D",IF(AND(INDEX($Z$5:$Z$404,$AC176)=1,172=INDEX($AB$5:$AB$404,$AC176)),"H",IF(AND(INDEX($AO$5:$AO$404,$AC176)=1,172=INDEX($AB$5:$AB$404,$AC176)+INDEX($Z$5:$Z$404,$AC176)+INDEX($AA$5:$AA$404,$AC176)+INDEX($AO$5:$AO$404,$AC176)),"B","T")))))))</f>
        <v/>
      </c>
      <c r="AF176" t="str">
        <f t="shared" si="74"/>
        <v/>
      </c>
      <c r="AJ176">
        <f>IF($AD176&lt;&gt;"T",0,ROUND(SUMIF(oil!$B$4:$B$63,$AF176,oil!$AE$4:$AE$63),2))</f>
        <v>0</v>
      </c>
      <c r="AK176" t="str">
        <f>IF($S176="","",IFERROR(INDEX(อัตราค่าขนส่ง!$R$5:$R$54,MATCH($S176,อัตราค่าขนส่ง!$Q$5:$Q$54,0)),INDEX(รายการมาตรฐาน!$G$2:$G$3,1)))</f>
        <v/>
      </c>
      <c r="AL176" t="str">
        <f>IF($S176="","",IFERROR(MATCH($AK176,รายการมาตรฐาน!$G$2:$G$3,0),1))</f>
        <v/>
      </c>
      <c r="AM176" t="str">
        <f t="shared" si="75"/>
        <v/>
      </c>
      <c r="AN176" t="str">
        <f t="shared" si="76"/>
        <v/>
      </c>
      <c r="AO176">
        <f t="shared" si="77"/>
        <v>0</v>
      </c>
      <c r="AP176">
        <f t="shared" si="83"/>
        <v>0</v>
      </c>
      <c r="AQ176" t="str">
        <f t="shared" si="78"/>
        <v/>
      </c>
      <c r="AR176">
        <f>IF($Y176="",0,COUNTIF(บันทึกรายเที่ยว!$V$6:$V$10005,$Y176))</f>
        <v>0</v>
      </c>
      <c r="AS176">
        <f>IF($Y176="",0,ROUND(SUMIF(บันทึกรายเที่ยว!$V$6:$V$10005,$Y176,บันทึกรายเที่ยว!$M$6:$M$10005),2))</f>
        <v>0</v>
      </c>
      <c r="AT176">
        <f>IF($Y176="",0,IFERROR(INDEX(อัตราค่าขนส่ง!$J$5:$J$204,MATCH($Y176,อัตราค่าขนส่ง!$O$5:$O$204,0)),0))</f>
        <v>0</v>
      </c>
      <c r="AU176">
        <f t="shared" si="79"/>
        <v>0</v>
      </c>
      <c r="AV176">
        <f t="shared" si="80"/>
        <v>0</v>
      </c>
      <c r="AW176" t="str">
        <f>IF($Y176="","",IFERROR(INDEX(อัตราค่าขนส่ง!$F$5:$F$204,MATCH($Y176,อัตราค่าขนส่ง!$O$5:$O$204,0)),""))</f>
        <v/>
      </c>
      <c r="AX176" t="str">
        <f>IF($W176="","",INDEX(บันทึกรายเที่ยว!$D$6:$D$10005,$W176))</f>
        <v/>
      </c>
      <c r="AY176" t="str">
        <f>IF($W176="","",INDEX(บันทึกรายเที่ยว!$R$6:$R$10005,$W176))</f>
        <v/>
      </c>
      <c r="AZ176">
        <f t="shared" si="81"/>
        <v>0</v>
      </c>
      <c r="BA176" t="str">
        <f>IF($W176="","",INDEX(บันทึกรายเที่ยว!$E$6:$E$10005,$W176))</f>
        <v/>
      </c>
      <c r="BC176">
        <f>IF($Y176="",0,IFERROR(INDEX(อัตราค่าขนส่ง!$M$5:$M$204,MATCH($Y176,อัตราค่าขนส่ง!$O$5:$O$204,0)),0))</f>
        <v>0</v>
      </c>
      <c r="BD176">
        <f>IF($Y176="",0,IFERROR(INDEX(อัตราค่าขนส่ง!$N$5:$N$204,MATCH($Y176,อัตราค่าขนส่ง!$O$5:$O$204,0)),0))</f>
        <v>0</v>
      </c>
    </row>
    <row r="177" spans="1:56" ht="21" customHeight="1" x14ac:dyDescent="0.95">
      <c r="A177" s="36" t="str">
        <f>IF($AD177="","",IF($AD177="Z","รวมจ่ายทั้งสิ้น",IF($AD177="H",INDEX($X$5:$X$404,$AC177),IF($AD177="T","รวม",IF($AD177="B",IFERROR(INDEX(อัตราค่าขนส่ง!$U$5:$U$14,MATCH(INDEX($AM$5:$AM$404,$AC177),อัตราค่าขนส่ง!$T$5:$T$14,0)),"รวมกลุ่ม "&amp;INDEX($AM$5:$AM$404,$AC177)),INDEX($AY$5:$AY$404,$AC177))))))</f>
        <v/>
      </c>
      <c r="B177" s="31" t="str">
        <f t="shared" si="56"/>
        <v/>
      </c>
      <c r="C177" s="8" t="str">
        <f t="shared" si="57"/>
        <v/>
      </c>
      <c r="D177" s="37" t="str">
        <f t="shared" si="58"/>
        <v/>
      </c>
      <c r="E177" s="31" t="str">
        <f t="shared" si="59"/>
        <v/>
      </c>
      <c r="F177" s="32" t="str">
        <f t="shared" si="60"/>
        <v/>
      </c>
      <c r="G177" s="32" t="str">
        <f t="shared" si="61"/>
        <v/>
      </c>
      <c r="H177" s="32" t="str">
        <f t="shared" si="62"/>
        <v/>
      </c>
      <c r="I177" s="32" t="str">
        <f t="shared" si="63"/>
        <v/>
      </c>
      <c r="J177" s="46" t="str">
        <f t="shared" si="64"/>
        <v/>
      </c>
      <c r="K177" s="32" t="str">
        <f t="shared" si="65"/>
        <v/>
      </c>
      <c r="L177" s="32" t="str">
        <f t="shared" si="66"/>
        <v/>
      </c>
      <c r="M177" s="32" t="str">
        <f t="shared" si="67"/>
        <v/>
      </c>
      <c r="N177" s="32" t="str">
        <f t="shared" si="68"/>
        <v/>
      </c>
      <c r="O177" s="32" t="str">
        <f t="shared" si="69"/>
        <v/>
      </c>
      <c r="Q177" t="str">
        <f>IFERROR(MATCH(173,บันทึกรายเที่ยว!$Z$6:$Z$10005,0),"")</f>
        <v/>
      </c>
      <c r="R177" t="str">
        <f>IF($Q177="","",INDEX(บันทึกรายเที่ยว!$V$6:$V$10005,$Q177))</f>
        <v/>
      </c>
      <c r="S177" t="str">
        <f>IF($Q177="","",INDEX(บันทึกรายเที่ยว!$F$6:$F$10005,$Q177))</f>
        <v/>
      </c>
      <c r="T177" t="str">
        <f>IF($Q177="","",MATCH($S177,บันทึกรายเที่ยว!$F$6:$F$10005,0))</f>
        <v/>
      </c>
      <c r="U177" t="str">
        <f>IF($Q177="","",$AL177*10000000+$T177*1000+173)</f>
        <v/>
      </c>
      <c r="V177" t="str">
        <f>IFERROR(MATCH(SMALL($U$5:$U$404,173),$U$5:$U$404,0),"")</f>
        <v/>
      </c>
      <c r="W177" t="str">
        <f t="shared" si="70"/>
        <v/>
      </c>
      <c r="X177" t="str">
        <f t="shared" si="71"/>
        <v/>
      </c>
      <c r="Y177" t="str">
        <f t="shared" si="72"/>
        <v/>
      </c>
      <c r="Z177">
        <f t="shared" si="82"/>
        <v>0</v>
      </c>
      <c r="AA177">
        <f t="shared" si="73"/>
        <v>0</v>
      </c>
      <c r="AB177">
        <f>IF($V177="",99999+173,$AB176+1+$Z176+$AA176+$AO176)</f>
        <v>100172</v>
      </c>
      <c r="AC177" t="str">
        <f>IFERROR(MATCH(173,$AB$5:$AB$404,1),"")</f>
        <v/>
      </c>
      <c r="AD177" t="str">
        <f>IF(173=$AI$1+1,"Z",IF($AC177="","",IF(INDEX($V$5:$V$404,$AC177)="","",IF(173&gt;INDEX($AB$5:$AB$404,$AC177)+INDEX($Z$5:$Z$404,$AC177)+INDEX($AA$5:$AA$404,$AC177)+INDEX($AO$5:$AO$404,$AC177),"",IF(173=INDEX($AB$5:$AB$404,$AC177)+INDEX($Z$5:$Z$404,$AC177),"D",IF(AND(INDEX($Z$5:$Z$404,$AC177)=1,173=INDEX($AB$5:$AB$404,$AC177)),"H",IF(AND(INDEX($AO$5:$AO$404,$AC177)=1,173=INDEX($AB$5:$AB$404,$AC177)+INDEX($Z$5:$Z$404,$AC177)+INDEX($AA$5:$AA$404,$AC177)+INDEX($AO$5:$AO$404,$AC177)),"B","T")))))))</f>
        <v/>
      </c>
      <c r="AF177" t="str">
        <f t="shared" si="74"/>
        <v/>
      </c>
      <c r="AJ177">
        <f>IF($AD177&lt;&gt;"T",0,ROUND(SUMIF(oil!$B$4:$B$63,$AF177,oil!$AE$4:$AE$63),2))</f>
        <v>0</v>
      </c>
      <c r="AK177" t="str">
        <f>IF($S177="","",IFERROR(INDEX(อัตราค่าขนส่ง!$R$5:$R$54,MATCH($S177,อัตราค่าขนส่ง!$Q$5:$Q$54,0)),INDEX(รายการมาตรฐาน!$G$2:$G$3,1)))</f>
        <v/>
      </c>
      <c r="AL177" t="str">
        <f>IF($S177="","",IFERROR(MATCH($AK177,รายการมาตรฐาน!$G$2:$G$3,0),1))</f>
        <v/>
      </c>
      <c r="AM177" t="str">
        <f t="shared" si="75"/>
        <v/>
      </c>
      <c r="AN177" t="str">
        <f t="shared" si="76"/>
        <v/>
      </c>
      <c r="AO177">
        <f t="shared" si="77"/>
        <v>0</v>
      </c>
      <c r="AP177">
        <f t="shared" si="83"/>
        <v>0</v>
      </c>
      <c r="AQ177" t="str">
        <f t="shared" si="78"/>
        <v/>
      </c>
      <c r="AR177">
        <f>IF($Y177="",0,COUNTIF(บันทึกรายเที่ยว!$V$6:$V$10005,$Y177))</f>
        <v>0</v>
      </c>
      <c r="AS177">
        <f>IF($Y177="",0,ROUND(SUMIF(บันทึกรายเที่ยว!$V$6:$V$10005,$Y177,บันทึกรายเที่ยว!$M$6:$M$10005),2))</f>
        <v>0</v>
      </c>
      <c r="AT177">
        <f>IF($Y177="",0,IFERROR(INDEX(อัตราค่าขนส่ง!$J$5:$J$204,MATCH($Y177,อัตราค่าขนส่ง!$O$5:$O$204,0)),0))</f>
        <v>0</v>
      </c>
      <c r="AU177">
        <f t="shared" si="79"/>
        <v>0</v>
      </c>
      <c r="AV177">
        <f t="shared" si="80"/>
        <v>0</v>
      </c>
      <c r="AW177" t="str">
        <f>IF($Y177="","",IFERROR(INDEX(อัตราค่าขนส่ง!$F$5:$F$204,MATCH($Y177,อัตราค่าขนส่ง!$O$5:$O$204,0)),""))</f>
        <v/>
      </c>
      <c r="AX177" t="str">
        <f>IF($W177="","",INDEX(บันทึกรายเที่ยว!$D$6:$D$10005,$W177))</f>
        <v/>
      </c>
      <c r="AY177" t="str">
        <f>IF($W177="","",INDEX(บันทึกรายเที่ยว!$R$6:$R$10005,$W177))</f>
        <v/>
      </c>
      <c r="AZ177">
        <f t="shared" si="81"/>
        <v>0</v>
      </c>
      <c r="BA177" t="str">
        <f>IF($W177="","",INDEX(บันทึกรายเที่ยว!$E$6:$E$10005,$W177))</f>
        <v/>
      </c>
      <c r="BC177">
        <f>IF($Y177="",0,IFERROR(INDEX(อัตราค่าขนส่ง!$M$5:$M$204,MATCH($Y177,อัตราค่าขนส่ง!$O$5:$O$204,0)),0))</f>
        <v>0</v>
      </c>
      <c r="BD177">
        <f>IF($Y177="",0,IFERROR(INDEX(อัตราค่าขนส่ง!$N$5:$N$204,MATCH($Y177,อัตราค่าขนส่ง!$O$5:$O$204,0)),0))</f>
        <v>0</v>
      </c>
    </row>
    <row r="178" spans="1:56" ht="21" customHeight="1" x14ac:dyDescent="0.95">
      <c r="A178" s="36" t="str">
        <f>IF($AD178="","",IF($AD178="Z","รวมจ่ายทั้งสิ้น",IF($AD178="H",INDEX($X$5:$X$404,$AC178),IF($AD178="T","รวม",IF($AD178="B",IFERROR(INDEX(อัตราค่าขนส่ง!$U$5:$U$14,MATCH(INDEX($AM$5:$AM$404,$AC178),อัตราค่าขนส่ง!$T$5:$T$14,0)),"รวมกลุ่ม "&amp;INDEX($AM$5:$AM$404,$AC178)),INDEX($AY$5:$AY$404,$AC178))))))</f>
        <v/>
      </c>
      <c r="B178" s="31" t="str">
        <f t="shared" si="56"/>
        <v/>
      </c>
      <c r="C178" s="8" t="str">
        <f t="shared" si="57"/>
        <v/>
      </c>
      <c r="D178" s="37" t="str">
        <f t="shared" si="58"/>
        <v/>
      </c>
      <c r="E178" s="31" t="str">
        <f t="shared" si="59"/>
        <v/>
      </c>
      <c r="F178" s="32" t="str">
        <f t="shared" si="60"/>
        <v/>
      </c>
      <c r="G178" s="32" t="str">
        <f t="shared" si="61"/>
        <v/>
      </c>
      <c r="H178" s="32" t="str">
        <f t="shared" si="62"/>
        <v/>
      </c>
      <c r="I178" s="32" t="str">
        <f t="shared" si="63"/>
        <v/>
      </c>
      <c r="J178" s="46" t="str">
        <f t="shared" si="64"/>
        <v/>
      </c>
      <c r="K178" s="32" t="str">
        <f t="shared" si="65"/>
        <v/>
      </c>
      <c r="L178" s="32" t="str">
        <f t="shared" si="66"/>
        <v/>
      </c>
      <c r="M178" s="32" t="str">
        <f t="shared" si="67"/>
        <v/>
      </c>
      <c r="N178" s="32" t="str">
        <f t="shared" si="68"/>
        <v/>
      </c>
      <c r="O178" s="32" t="str">
        <f t="shared" si="69"/>
        <v/>
      </c>
      <c r="Q178" t="str">
        <f>IFERROR(MATCH(174,บันทึกรายเที่ยว!$Z$6:$Z$10005,0),"")</f>
        <v/>
      </c>
      <c r="R178" t="str">
        <f>IF($Q178="","",INDEX(บันทึกรายเที่ยว!$V$6:$V$10005,$Q178))</f>
        <v/>
      </c>
      <c r="S178" t="str">
        <f>IF($Q178="","",INDEX(บันทึกรายเที่ยว!$F$6:$F$10005,$Q178))</f>
        <v/>
      </c>
      <c r="T178" t="str">
        <f>IF($Q178="","",MATCH($S178,บันทึกรายเที่ยว!$F$6:$F$10005,0))</f>
        <v/>
      </c>
      <c r="U178" t="str">
        <f>IF($Q178="","",$AL178*10000000+$T178*1000+174)</f>
        <v/>
      </c>
      <c r="V178" t="str">
        <f>IFERROR(MATCH(SMALL($U$5:$U$404,174),$U$5:$U$404,0),"")</f>
        <v/>
      </c>
      <c r="W178" t="str">
        <f t="shared" si="70"/>
        <v/>
      </c>
      <c r="X178" t="str">
        <f t="shared" si="71"/>
        <v/>
      </c>
      <c r="Y178" t="str">
        <f t="shared" si="72"/>
        <v/>
      </c>
      <c r="Z178">
        <f t="shared" si="82"/>
        <v>0</v>
      </c>
      <c r="AA178">
        <f t="shared" si="73"/>
        <v>0</v>
      </c>
      <c r="AB178">
        <f>IF($V178="",99999+174,$AB177+1+$Z177+$AA177+$AO177)</f>
        <v>100173</v>
      </c>
      <c r="AC178" t="str">
        <f>IFERROR(MATCH(174,$AB$5:$AB$404,1),"")</f>
        <v/>
      </c>
      <c r="AD178" t="str">
        <f>IF(174=$AI$1+1,"Z",IF($AC178="","",IF(INDEX($V$5:$V$404,$AC178)="","",IF(174&gt;INDEX($AB$5:$AB$404,$AC178)+INDEX($Z$5:$Z$404,$AC178)+INDEX($AA$5:$AA$404,$AC178)+INDEX($AO$5:$AO$404,$AC178),"",IF(174=INDEX($AB$5:$AB$404,$AC178)+INDEX($Z$5:$Z$404,$AC178),"D",IF(AND(INDEX($Z$5:$Z$404,$AC178)=1,174=INDEX($AB$5:$AB$404,$AC178)),"H",IF(AND(INDEX($AO$5:$AO$404,$AC178)=1,174=INDEX($AB$5:$AB$404,$AC178)+INDEX($Z$5:$Z$404,$AC178)+INDEX($AA$5:$AA$404,$AC178)+INDEX($AO$5:$AO$404,$AC178)),"B","T")))))))</f>
        <v/>
      </c>
      <c r="AF178" t="str">
        <f t="shared" si="74"/>
        <v/>
      </c>
      <c r="AJ178">
        <f>IF($AD178&lt;&gt;"T",0,ROUND(SUMIF(oil!$B$4:$B$63,$AF178,oil!$AE$4:$AE$63),2))</f>
        <v>0</v>
      </c>
      <c r="AK178" t="str">
        <f>IF($S178="","",IFERROR(INDEX(อัตราค่าขนส่ง!$R$5:$R$54,MATCH($S178,อัตราค่าขนส่ง!$Q$5:$Q$54,0)),INDEX(รายการมาตรฐาน!$G$2:$G$3,1)))</f>
        <v/>
      </c>
      <c r="AL178" t="str">
        <f>IF($S178="","",IFERROR(MATCH($AK178,รายการมาตรฐาน!$G$2:$G$3,0),1))</f>
        <v/>
      </c>
      <c r="AM178" t="str">
        <f t="shared" si="75"/>
        <v/>
      </c>
      <c r="AN178" t="str">
        <f t="shared" si="76"/>
        <v/>
      </c>
      <c r="AO178">
        <f t="shared" si="77"/>
        <v>0</v>
      </c>
      <c r="AP178">
        <f t="shared" si="83"/>
        <v>0</v>
      </c>
      <c r="AQ178" t="str">
        <f t="shared" si="78"/>
        <v/>
      </c>
      <c r="AR178">
        <f>IF($Y178="",0,COUNTIF(บันทึกรายเที่ยว!$V$6:$V$10005,$Y178))</f>
        <v>0</v>
      </c>
      <c r="AS178">
        <f>IF($Y178="",0,ROUND(SUMIF(บันทึกรายเที่ยว!$V$6:$V$10005,$Y178,บันทึกรายเที่ยว!$M$6:$M$10005),2))</f>
        <v>0</v>
      </c>
      <c r="AT178">
        <f>IF($Y178="",0,IFERROR(INDEX(อัตราค่าขนส่ง!$J$5:$J$204,MATCH($Y178,อัตราค่าขนส่ง!$O$5:$O$204,0)),0))</f>
        <v>0</v>
      </c>
      <c r="AU178">
        <f t="shared" si="79"/>
        <v>0</v>
      </c>
      <c r="AV178">
        <f t="shared" si="80"/>
        <v>0</v>
      </c>
      <c r="AW178" t="str">
        <f>IF($Y178="","",IFERROR(INDEX(อัตราค่าขนส่ง!$F$5:$F$204,MATCH($Y178,อัตราค่าขนส่ง!$O$5:$O$204,0)),""))</f>
        <v/>
      </c>
      <c r="AX178" t="str">
        <f>IF($W178="","",INDEX(บันทึกรายเที่ยว!$D$6:$D$10005,$W178))</f>
        <v/>
      </c>
      <c r="AY178" t="str">
        <f>IF($W178="","",INDEX(บันทึกรายเที่ยว!$R$6:$R$10005,$W178))</f>
        <v/>
      </c>
      <c r="AZ178">
        <f t="shared" si="81"/>
        <v>0</v>
      </c>
      <c r="BA178" t="str">
        <f>IF($W178="","",INDEX(บันทึกรายเที่ยว!$E$6:$E$10005,$W178))</f>
        <v/>
      </c>
      <c r="BC178">
        <f>IF($Y178="",0,IFERROR(INDEX(อัตราค่าขนส่ง!$M$5:$M$204,MATCH($Y178,อัตราค่าขนส่ง!$O$5:$O$204,0)),0))</f>
        <v>0</v>
      </c>
      <c r="BD178">
        <f>IF($Y178="",0,IFERROR(INDEX(อัตราค่าขนส่ง!$N$5:$N$204,MATCH($Y178,อัตราค่าขนส่ง!$O$5:$O$204,0)),0))</f>
        <v>0</v>
      </c>
    </row>
    <row r="179" spans="1:56" ht="21" customHeight="1" x14ac:dyDescent="0.95">
      <c r="A179" s="36" t="str">
        <f>IF($AD179="","",IF($AD179="Z","รวมจ่ายทั้งสิ้น",IF($AD179="H",INDEX($X$5:$X$404,$AC179),IF($AD179="T","รวม",IF($AD179="B",IFERROR(INDEX(อัตราค่าขนส่ง!$U$5:$U$14,MATCH(INDEX($AM$5:$AM$404,$AC179),อัตราค่าขนส่ง!$T$5:$T$14,0)),"รวมกลุ่ม "&amp;INDEX($AM$5:$AM$404,$AC179)),INDEX($AY$5:$AY$404,$AC179))))))</f>
        <v/>
      </c>
      <c r="B179" s="31" t="str">
        <f t="shared" si="56"/>
        <v/>
      </c>
      <c r="C179" s="8" t="str">
        <f t="shared" si="57"/>
        <v/>
      </c>
      <c r="D179" s="37" t="str">
        <f t="shared" si="58"/>
        <v/>
      </c>
      <c r="E179" s="31" t="str">
        <f t="shared" si="59"/>
        <v/>
      </c>
      <c r="F179" s="32" t="str">
        <f t="shared" si="60"/>
        <v/>
      </c>
      <c r="G179" s="32" t="str">
        <f t="shared" si="61"/>
        <v/>
      </c>
      <c r="H179" s="32" t="str">
        <f t="shared" si="62"/>
        <v/>
      </c>
      <c r="I179" s="32" t="str">
        <f t="shared" si="63"/>
        <v/>
      </c>
      <c r="J179" s="46" t="str">
        <f t="shared" si="64"/>
        <v/>
      </c>
      <c r="K179" s="32" t="str">
        <f t="shared" si="65"/>
        <v/>
      </c>
      <c r="L179" s="32" t="str">
        <f t="shared" si="66"/>
        <v/>
      </c>
      <c r="M179" s="32" t="str">
        <f t="shared" si="67"/>
        <v/>
      </c>
      <c r="N179" s="32" t="str">
        <f t="shared" si="68"/>
        <v/>
      </c>
      <c r="O179" s="32" t="str">
        <f t="shared" si="69"/>
        <v/>
      </c>
      <c r="Q179" t="str">
        <f>IFERROR(MATCH(175,บันทึกรายเที่ยว!$Z$6:$Z$10005,0),"")</f>
        <v/>
      </c>
      <c r="R179" t="str">
        <f>IF($Q179="","",INDEX(บันทึกรายเที่ยว!$V$6:$V$10005,$Q179))</f>
        <v/>
      </c>
      <c r="S179" t="str">
        <f>IF($Q179="","",INDEX(บันทึกรายเที่ยว!$F$6:$F$10005,$Q179))</f>
        <v/>
      </c>
      <c r="T179" t="str">
        <f>IF($Q179="","",MATCH($S179,บันทึกรายเที่ยว!$F$6:$F$10005,0))</f>
        <v/>
      </c>
      <c r="U179" t="str">
        <f>IF($Q179="","",$AL179*10000000+$T179*1000+175)</f>
        <v/>
      </c>
      <c r="V179" t="str">
        <f>IFERROR(MATCH(SMALL($U$5:$U$404,175),$U$5:$U$404,0),"")</f>
        <v/>
      </c>
      <c r="W179" t="str">
        <f t="shared" si="70"/>
        <v/>
      </c>
      <c r="X179" t="str">
        <f t="shared" si="71"/>
        <v/>
      </c>
      <c r="Y179" t="str">
        <f t="shared" si="72"/>
        <v/>
      </c>
      <c r="Z179">
        <f t="shared" si="82"/>
        <v>0</v>
      </c>
      <c r="AA179">
        <f t="shared" si="73"/>
        <v>0</v>
      </c>
      <c r="AB179">
        <f>IF($V179="",99999+175,$AB178+1+$Z178+$AA178+$AO178)</f>
        <v>100174</v>
      </c>
      <c r="AC179" t="str">
        <f>IFERROR(MATCH(175,$AB$5:$AB$404,1),"")</f>
        <v/>
      </c>
      <c r="AD179" t="str">
        <f>IF(175=$AI$1+1,"Z",IF($AC179="","",IF(INDEX($V$5:$V$404,$AC179)="","",IF(175&gt;INDEX($AB$5:$AB$404,$AC179)+INDEX($Z$5:$Z$404,$AC179)+INDEX($AA$5:$AA$404,$AC179)+INDEX($AO$5:$AO$404,$AC179),"",IF(175=INDEX($AB$5:$AB$404,$AC179)+INDEX($Z$5:$Z$404,$AC179),"D",IF(AND(INDEX($Z$5:$Z$404,$AC179)=1,175=INDEX($AB$5:$AB$404,$AC179)),"H",IF(AND(INDEX($AO$5:$AO$404,$AC179)=1,175=INDEX($AB$5:$AB$404,$AC179)+INDEX($Z$5:$Z$404,$AC179)+INDEX($AA$5:$AA$404,$AC179)+INDEX($AO$5:$AO$404,$AC179)),"B","T")))))))</f>
        <v/>
      </c>
      <c r="AF179" t="str">
        <f t="shared" si="74"/>
        <v/>
      </c>
      <c r="AJ179">
        <f>IF($AD179&lt;&gt;"T",0,ROUND(SUMIF(oil!$B$4:$B$63,$AF179,oil!$AE$4:$AE$63),2))</f>
        <v>0</v>
      </c>
      <c r="AK179" t="str">
        <f>IF($S179="","",IFERROR(INDEX(อัตราค่าขนส่ง!$R$5:$R$54,MATCH($S179,อัตราค่าขนส่ง!$Q$5:$Q$54,0)),INDEX(รายการมาตรฐาน!$G$2:$G$3,1)))</f>
        <v/>
      </c>
      <c r="AL179" t="str">
        <f>IF($S179="","",IFERROR(MATCH($AK179,รายการมาตรฐาน!$G$2:$G$3,0),1))</f>
        <v/>
      </c>
      <c r="AM179" t="str">
        <f t="shared" si="75"/>
        <v/>
      </c>
      <c r="AN179" t="str">
        <f t="shared" si="76"/>
        <v/>
      </c>
      <c r="AO179">
        <f t="shared" si="77"/>
        <v>0</v>
      </c>
      <c r="AP179">
        <f t="shared" si="83"/>
        <v>0</v>
      </c>
      <c r="AQ179" t="str">
        <f t="shared" si="78"/>
        <v/>
      </c>
      <c r="AR179">
        <f>IF($Y179="",0,COUNTIF(บันทึกรายเที่ยว!$V$6:$V$10005,$Y179))</f>
        <v>0</v>
      </c>
      <c r="AS179">
        <f>IF($Y179="",0,ROUND(SUMIF(บันทึกรายเที่ยว!$V$6:$V$10005,$Y179,บันทึกรายเที่ยว!$M$6:$M$10005),2))</f>
        <v>0</v>
      </c>
      <c r="AT179">
        <f>IF($Y179="",0,IFERROR(INDEX(อัตราค่าขนส่ง!$J$5:$J$204,MATCH($Y179,อัตราค่าขนส่ง!$O$5:$O$204,0)),0))</f>
        <v>0</v>
      </c>
      <c r="AU179">
        <f t="shared" si="79"/>
        <v>0</v>
      </c>
      <c r="AV179">
        <f t="shared" si="80"/>
        <v>0</v>
      </c>
      <c r="AW179" t="str">
        <f>IF($Y179="","",IFERROR(INDEX(อัตราค่าขนส่ง!$F$5:$F$204,MATCH($Y179,อัตราค่าขนส่ง!$O$5:$O$204,0)),""))</f>
        <v/>
      </c>
      <c r="AX179" t="str">
        <f>IF($W179="","",INDEX(บันทึกรายเที่ยว!$D$6:$D$10005,$W179))</f>
        <v/>
      </c>
      <c r="AY179" t="str">
        <f>IF($W179="","",INDEX(บันทึกรายเที่ยว!$R$6:$R$10005,$W179))</f>
        <v/>
      </c>
      <c r="AZ179">
        <f t="shared" si="81"/>
        <v>0</v>
      </c>
      <c r="BA179" t="str">
        <f>IF($W179="","",INDEX(บันทึกรายเที่ยว!$E$6:$E$10005,$W179))</f>
        <v/>
      </c>
      <c r="BC179">
        <f>IF($Y179="",0,IFERROR(INDEX(อัตราค่าขนส่ง!$M$5:$M$204,MATCH($Y179,อัตราค่าขนส่ง!$O$5:$O$204,0)),0))</f>
        <v>0</v>
      </c>
      <c r="BD179">
        <f>IF($Y179="",0,IFERROR(INDEX(อัตราค่าขนส่ง!$N$5:$N$204,MATCH($Y179,อัตราค่าขนส่ง!$O$5:$O$204,0)),0))</f>
        <v>0</v>
      </c>
    </row>
    <row r="180" spans="1:56" ht="21" customHeight="1" x14ac:dyDescent="0.95">
      <c r="A180" s="36" t="str">
        <f>IF($AD180="","",IF($AD180="Z","รวมจ่ายทั้งสิ้น",IF($AD180="H",INDEX($X$5:$X$404,$AC180),IF($AD180="T","รวม",IF($AD180="B",IFERROR(INDEX(อัตราค่าขนส่ง!$U$5:$U$14,MATCH(INDEX($AM$5:$AM$404,$AC180),อัตราค่าขนส่ง!$T$5:$T$14,0)),"รวมกลุ่ม "&amp;INDEX($AM$5:$AM$404,$AC180)),INDEX($AY$5:$AY$404,$AC180))))))</f>
        <v/>
      </c>
      <c r="B180" s="31" t="str">
        <f t="shared" si="56"/>
        <v/>
      </c>
      <c r="C180" s="8" t="str">
        <f t="shared" si="57"/>
        <v/>
      </c>
      <c r="D180" s="37" t="str">
        <f t="shared" si="58"/>
        <v/>
      </c>
      <c r="E180" s="31" t="str">
        <f t="shared" si="59"/>
        <v/>
      </c>
      <c r="F180" s="32" t="str">
        <f t="shared" si="60"/>
        <v/>
      </c>
      <c r="G180" s="32" t="str">
        <f t="shared" si="61"/>
        <v/>
      </c>
      <c r="H180" s="32" t="str">
        <f t="shared" si="62"/>
        <v/>
      </c>
      <c r="I180" s="32" t="str">
        <f t="shared" si="63"/>
        <v/>
      </c>
      <c r="J180" s="46" t="str">
        <f t="shared" si="64"/>
        <v/>
      </c>
      <c r="K180" s="32" t="str">
        <f t="shared" si="65"/>
        <v/>
      </c>
      <c r="L180" s="32" t="str">
        <f t="shared" si="66"/>
        <v/>
      </c>
      <c r="M180" s="32" t="str">
        <f t="shared" si="67"/>
        <v/>
      </c>
      <c r="N180" s="32" t="str">
        <f t="shared" si="68"/>
        <v/>
      </c>
      <c r="O180" s="32" t="str">
        <f t="shared" si="69"/>
        <v/>
      </c>
      <c r="Q180" t="str">
        <f>IFERROR(MATCH(176,บันทึกรายเที่ยว!$Z$6:$Z$10005,0),"")</f>
        <v/>
      </c>
      <c r="R180" t="str">
        <f>IF($Q180="","",INDEX(บันทึกรายเที่ยว!$V$6:$V$10005,$Q180))</f>
        <v/>
      </c>
      <c r="S180" t="str">
        <f>IF($Q180="","",INDEX(บันทึกรายเที่ยว!$F$6:$F$10005,$Q180))</f>
        <v/>
      </c>
      <c r="T180" t="str">
        <f>IF($Q180="","",MATCH($S180,บันทึกรายเที่ยว!$F$6:$F$10005,0))</f>
        <v/>
      </c>
      <c r="U180" t="str">
        <f>IF($Q180="","",$AL180*10000000+$T180*1000+176)</f>
        <v/>
      </c>
      <c r="V180" t="str">
        <f>IFERROR(MATCH(SMALL($U$5:$U$404,176),$U$5:$U$404,0),"")</f>
        <v/>
      </c>
      <c r="W180" t="str">
        <f t="shared" si="70"/>
        <v/>
      </c>
      <c r="X180" t="str">
        <f t="shared" si="71"/>
        <v/>
      </c>
      <c r="Y180" t="str">
        <f t="shared" si="72"/>
        <v/>
      </c>
      <c r="Z180">
        <f t="shared" si="82"/>
        <v>0</v>
      </c>
      <c r="AA180">
        <f t="shared" si="73"/>
        <v>0</v>
      </c>
      <c r="AB180">
        <f>IF($V180="",99999+176,$AB179+1+$Z179+$AA179+$AO179)</f>
        <v>100175</v>
      </c>
      <c r="AC180" t="str">
        <f>IFERROR(MATCH(176,$AB$5:$AB$404,1),"")</f>
        <v/>
      </c>
      <c r="AD180" t="str">
        <f>IF(176=$AI$1+1,"Z",IF($AC180="","",IF(INDEX($V$5:$V$404,$AC180)="","",IF(176&gt;INDEX($AB$5:$AB$404,$AC180)+INDEX($Z$5:$Z$404,$AC180)+INDEX($AA$5:$AA$404,$AC180)+INDEX($AO$5:$AO$404,$AC180),"",IF(176=INDEX($AB$5:$AB$404,$AC180)+INDEX($Z$5:$Z$404,$AC180),"D",IF(AND(INDEX($Z$5:$Z$404,$AC180)=1,176=INDEX($AB$5:$AB$404,$AC180)),"H",IF(AND(INDEX($AO$5:$AO$404,$AC180)=1,176=INDEX($AB$5:$AB$404,$AC180)+INDEX($Z$5:$Z$404,$AC180)+INDEX($AA$5:$AA$404,$AC180)+INDEX($AO$5:$AO$404,$AC180)),"B","T")))))))</f>
        <v/>
      </c>
      <c r="AF180" t="str">
        <f t="shared" si="74"/>
        <v/>
      </c>
      <c r="AJ180">
        <f>IF($AD180&lt;&gt;"T",0,ROUND(SUMIF(oil!$B$4:$B$63,$AF180,oil!$AE$4:$AE$63),2))</f>
        <v>0</v>
      </c>
      <c r="AK180" t="str">
        <f>IF($S180="","",IFERROR(INDEX(อัตราค่าขนส่ง!$R$5:$R$54,MATCH($S180,อัตราค่าขนส่ง!$Q$5:$Q$54,0)),INDEX(รายการมาตรฐาน!$G$2:$G$3,1)))</f>
        <v/>
      </c>
      <c r="AL180" t="str">
        <f>IF($S180="","",IFERROR(MATCH($AK180,รายการมาตรฐาน!$G$2:$G$3,0),1))</f>
        <v/>
      </c>
      <c r="AM180" t="str">
        <f t="shared" si="75"/>
        <v/>
      </c>
      <c r="AN180" t="str">
        <f t="shared" si="76"/>
        <v/>
      </c>
      <c r="AO180">
        <f t="shared" si="77"/>
        <v>0</v>
      </c>
      <c r="AP180">
        <f t="shared" si="83"/>
        <v>0</v>
      </c>
      <c r="AQ180" t="str">
        <f t="shared" si="78"/>
        <v/>
      </c>
      <c r="AR180">
        <f>IF($Y180="",0,COUNTIF(บันทึกรายเที่ยว!$V$6:$V$10005,$Y180))</f>
        <v>0</v>
      </c>
      <c r="AS180">
        <f>IF($Y180="",0,ROUND(SUMIF(บันทึกรายเที่ยว!$V$6:$V$10005,$Y180,บันทึกรายเที่ยว!$M$6:$M$10005),2))</f>
        <v>0</v>
      </c>
      <c r="AT180">
        <f>IF($Y180="",0,IFERROR(INDEX(อัตราค่าขนส่ง!$J$5:$J$204,MATCH($Y180,อัตราค่าขนส่ง!$O$5:$O$204,0)),0))</f>
        <v>0</v>
      </c>
      <c r="AU180">
        <f t="shared" si="79"/>
        <v>0</v>
      </c>
      <c r="AV180">
        <f t="shared" si="80"/>
        <v>0</v>
      </c>
      <c r="AW180" t="str">
        <f>IF($Y180="","",IFERROR(INDEX(อัตราค่าขนส่ง!$F$5:$F$204,MATCH($Y180,อัตราค่าขนส่ง!$O$5:$O$204,0)),""))</f>
        <v/>
      </c>
      <c r="AX180" t="str">
        <f>IF($W180="","",INDEX(บันทึกรายเที่ยว!$D$6:$D$10005,$W180))</f>
        <v/>
      </c>
      <c r="AY180" t="str">
        <f>IF($W180="","",INDEX(บันทึกรายเที่ยว!$R$6:$R$10005,$W180))</f>
        <v/>
      </c>
      <c r="AZ180">
        <f t="shared" si="81"/>
        <v>0</v>
      </c>
      <c r="BA180" t="str">
        <f>IF($W180="","",INDEX(บันทึกรายเที่ยว!$E$6:$E$10005,$W180))</f>
        <v/>
      </c>
      <c r="BC180">
        <f>IF($Y180="",0,IFERROR(INDEX(อัตราค่าขนส่ง!$M$5:$M$204,MATCH($Y180,อัตราค่าขนส่ง!$O$5:$O$204,0)),0))</f>
        <v>0</v>
      </c>
      <c r="BD180">
        <f>IF($Y180="",0,IFERROR(INDEX(อัตราค่าขนส่ง!$N$5:$N$204,MATCH($Y180,อัตราค่าขนส่ง!$O$5:$O$204,0)),0))</f>
        <v>0</v>
      </c>
    </row>
    <row r="181" spans="1:56" ht="21" customHeight="1" x14ac:dyDescent="0.95">
      <c r="A181" s="36" t="str">
        <f>IF($AD181="","",IF($AD181="Z","รวมจ่ายทั้งสิ้น",IF($AD181="H",INDEX($X$5:$X$404,$AC181),IF($AD181="T","รวม",IF($AD181="B",IFERROR(INDEX(อัตราค่าขนส่ง!$U$5:$U$14,MATCH(INDEX($AM$5:$AM$404,$AC181),อัตราค่าขนส่ง!$T$5:$T$14,0)),"รวมกลุ่ม "&amp;INDEX($AM$5:$AM$404,$AC181)),INDEX($AY$5:$AY$404,$AC181))))))</f>
        <v/>
      </c>
      <c r="B181" s="31" t="str">
        <f t="shared" si="56"/>
        <v/>
      </c>
      <c r="C181" s="8" t="str">
        <f t="shared" si="57"/>
        <v/>
      </c>
      <c r="D181" s="37" t="str">
        <f t="shared" si="58"/>
        <v/>
      </c>
      <c r="E181" s="31" t="str">
        <f t="shared" si="59"/>
        <v/>
      </c>
      <c r="F181" s="32" t="str">
        <f t="shared" si="60"/>
        <v/>
      </c>
      <c r="G181" s="32" t="str">
        <f t="shared" si="61"/>
        <v/>
      </c>
      <c r="H181" s="32" t="str">
        <f t="shared" si="62"/>
        <v/>
      </c>
      <c r="I181" s="32" t="str">
        <f t="shared" si="63"/>
        <v/>
      </c>
      <c r="J181" s="46" t="str">
        <f t="shared" si="64"/>
        <v/>
      </c>
      <c r="K181" s="32" t="str">
        <f t="shared" si="65"/>
        <v/>
      </c>
      <c r="L181" s="32" t="str">
        <f t="shared" si="66"/>
        <v/>
      </c>
      <c r="M181" s="32" t="str">
        <f t="shared" si="67"/>
        <v/>
      </c>
      <c r="N181" s="32" t="str">
        <f t="shared" si="68"/>
        <v/>
      </c>
      <c r="O181" s="32" t="str">
        <f t="shared" si="69"/>
        <v/>
      </c>
      <c r="Q181" t="str">
        <f>IFERROR(MATCH(177,บันทึกรายเที่ยว!$Z$6:$Z$10005,0),"")</f>
        <v/>
      </c>
      <c r="R181" t="str">
        <f>IF($Q181="","",INDEX(บันทึกรายเที่ยว!$V$6:$V$10005,$Q181))</f>
        <v/>
      </c>
      <c r="S181" t="str">
        <f>IF($Q181="","",INDEX(บันทึกรายเที่ยว!$F$6:$F$10005,$Q181))</f>
        <v/>
      </c>
      <c r="T181" t="str">
        <f>IF($Q181="","",MATCH($S181,บันทึกรายเที่ยว!$F$6:$F$10005,0))</f>
        <v/>
      </c>
      <c r="U181" t="str">
        <f>IF($Q181="","",$AL181*10000000+$T181*1000+177)</f>
        <v/>
      </c>
      <c r="V181" t="str">
        <f>IFERROR(MATCH(SMALL($U$5:$U$404,177),$U$5:$U$404,0),"")</f>
        <v/>
      </c>
      <c r="W181" t="str">
        <f t="shared" si="70"/>
        <v/>
      </c>
      <c r="X181" t="str">
        <f t="shared" si="71"/>
        <v/>
      </c>
      <c r="Y181" t="str">
        <f t="shared" si="72"/>
        <v/>
      </c>
      <c r="Z181">
        <f t="shared" si="82"/>
        <v>0</v>
      </c>
      <c r="AA181">
        <f t="shared" si="73"/>
        <v>0</v>
      </c>
      <c r="AB181">
        <f>IF($V181="",99999+177,$AB180+1+$Z180+$AA180+$AO180)</f>
        <v>100176</v>
      </c>
      <c r="AC181" t="str">
        <f>IFERROR(MATCH(177,$AB$5:$AB$404,1),"")</f>
        <v/>
      </c>
      <c r="AD181" t="str">
        <f>IF(177=$AI$1+1,"Z",IF($AC181="","",IF(INDEX($V$5:$V$404,$AC181)="","",IF(177&gt;INDEX($AB$5:$AB$404,$AC181)+INDEX($Z$5:$Z$404,$AC181)+INDEX($AA$5:$AA$404,$AC181)+INDEX($AO$5:$AO$404,$AC181),"",IF(177=INDEX($AB$5:$AB$404,$AC181)+INDEX($Z$5:$Z$404,$AC181),"D",IF(AND(INDEX($Z$5:$Z$404,$AC181)=1,177=INDEX($AB$5:$AB$404,$AC181)),"H",IF(AND(INDEX($AO$5:$AO$404,$AC181)=1,177=INDEX($AB$5:$AB$404,$AC181)+INDEX($Z$5:$Z$404,$AC181)+INDEX($AA$5:$AA$404,$AC181)+INDEX($AO$5:$AO$404,$AC181)),"B","T")))))))</f>
        <v/>
      </c>
      <c r="AF181" t="str">
        <f t="shared" si="74"/>
        <v/>
      </c>
      <c r="AJ181">
        <f>IF($AD181&lt;&gt;"T",0,ROUND(SUMIF(oil!$B$4:$B$63,$AF181,oil!$AE$4:$AE$63),2))</f>
        <v>0</v>
      </c>
      <c r="AK181" t="str">
        <f>IF($S181="","",IFERROR(INDEX(อัตราค่าขนส่ง!$R$5:$R$54,MATCH($S181,อัตราค่าขนส่ง!$Q$5:$Q$54,0)),INDEX(รายการมาตรฐาน!$G$2:$G$3,1)))</f>
        <v/>
      </c>
      <c r="AL181" t="str">
        <f>IF($S181="","",IFERROR(MATCH($AK181,รายการมาตรฐาน!$G$2:$G$3,0),1))</f>
        <v/>
      </c>
      <c r="AM181" t="str">
        <f t="shared" si="75"/>
        <v/>
      </c>
      <c r="AN181" t="str">
        <f t="shared" si="76"/>
        <v/>
      </c>
      <c r="AO181">
        <f t="shared" si="77"/>
        <v>0</v>
      </c>
      <c r="AP181">
        <f t="shared" si="83"/>
        <v>0</v>
      </c>
      <c r="AQ181" t="str">
        <f t="shared" si="78"/>
        <v/>
      </c>
      <c r="AR181">
        <f>IF($Y181="",0,COUNTIF(บันทึกรายเที่ยว!$V$6:$V$10005,$Y181))</f>
        <v>0</v>
      </c>
      <c r="AS181">
        <f>IF($Y181="",0,ROUND(SUMIF(บันทึกรายเที่ยว!$V$6:$V$10005,$Y181,บันทึกรายเที่ยว!$M$6:$M$10005),2))</f>
        <v>0</v>
      </c>
      <c r="AT181">
        <f>IF($Y181="",0,IFERROR(INDEX(อัตราค่าขนส่ง!$J$5:$J$204,MATCH($Y181,อัตราค่าขนส่ง!$O$5:$O$204,0)),0))</f>
        <v>0</v>
      </c>
      <c r="AU181">
        <f t="shared" si="79"/>
        <v>0</v>
      </c>
      <c r="AV181">
        <f t="shared" si="80"/>
        <v>0</v>
      </c>
      <c r="AW181" t="str">
        <f>IF($Y181="","",IFERROR(INDEX(อัตราค่าขนส่ง!$F$5:$F$204,MATCH($Y181,อัตราค่าขนส่ง!$O$5:$O$204,0)),""))</f>
        <v/>
      </c>
      <c r="AX181" t="str">
        <f>IF($W181="","",INDEX(บันทึกรายเที่ยว!$D$6:$D$10005,$W181))</f>
        <v/>
      </c>
      <c r="AY181" t="str">
        <f>IF($W181="","",INDEX(บันทึกรายเที่ยว!$R$6:$R$10005,$W181))</f>
        <v/>
      </c>
      <c r="AZ181">
        <f t="shared" si="81"/>
        <v>0</v>
      </c>
      <c r="BA181" t="str">
        <f>IF($W181="","",INDEX(บันทึกรายเที่ยว!$E$6:$E$10005,$W181))</f>
        <v/>
      </c>
      <c r="BC181">
        <f>IF($Y181="",0,IFERROR(INDEX(อัตราค่าขนส่ง!$M$5:$M$204,MATCH($Y181,อัตราค่าขนส่ง!$O$5:$O$204,0)),0))</f>
        <v>0</v>
      </c>
      <c r="BD181">
        <f>IF($Y181="",0,IFERROR(INDEX(อัตราค่าขนส่ง!$N$5:$N$204,MATCH($Y181,อัตราค่าขนส่ง!$O$5:$O$204,0)),0))</f>
        <v>0</v>
      </c>
    </row>
    <row r="182" spans="1:56" ht="21" customHeight="1" x14ac:dyDescent="0.95">
      <c r="A182" s="36" t="str">
        <f>IF($AD182="","",IF($AD182="Z","รวมจ่ายทั้งสิ้น",IF($AD182="H",INDEX($X$5:$X$404,$AC182),IF($AD182="T","รวม",IF($AD182="B",IFERROR(INDEX(อัตราค่าขนส่ง!$U$5:$U$14,MATCH(INDEX($AM$5:$AM$404,$AC182),อัตราค่าขนส่ง!$T$5:$T$14,0)),"รวมกลุ่ม "&amp;INDEX($AM$5:$AM$404,$AC182)),INDEX($AY$5:$AY$404,$AC182))))))</f>
        <v/>
      </c>
      <c r="B182" s="31" t="str">
        <f t="shared" si="56"/>
        <v/>
      </c>
      <c r="C182" s="8" t="str">
        <f t="shared" si="57"/>
        <v/>
      </c>
      <c r="D182" s="37" t="str">
        <f t="shared" si="58"/>
        <v/>
      </c>
      <c r="E182" s="31" t="str">
        <f t="shared" si="59"/>
        <v/>
      </c>
      <c r="F182" s="32" t="str">
        <f t="shared" si="60"/>
        <v/>
      </c>
      <c r="G182" s="32" t="str">
        <f t="shared" si="61"/>
        <v/>
      </c>
      <c r="H182" s="32" t="str">
        <f t="shared" si="62"/>
        <v/>
      </c>
      <c r="I182" s="32" t="str">
        <f t="shared" si="63"/>
        <v/>
      </c>
      <c r="J182" s="46" t="str">
        <f t="shared" si="64"/>
        <v/>
      </c>
      <c r="K182" s="32" t="str">
        <f t="shared" si="65"/>
        <v/>
      </c>
      <c r="L182" s="32" t="str">
        <f t="shared" si="66"/>
        <v/>
      </c>
      <c r="M182" s="32" t="str">
        <f t="shared" si="67"/>
        <v/>
      </c>
      <c r="N182" s="32" t="str">
        <f t="shared" si="68"/>
        <v/>
      </c>
      <c r="O182" s="32" t="str">
        <f t="shared" si="69"/>
        <v/>
      </c>
      <c r="Q182" t="str">
        <f>IFERROR(MATCH(178,บันทึกรายเที่ยว!$Z$6:$Z$10005,0),"")</f>
        <v/>
      </c>
      <c r="R182" t="str">
        <f>IF($Q182="","",INDEX(บันทึกรายเที่ยว!$V$6:$V$10005,$Q182))</f>
        <v/>
      </c>
      <c r="S182" t="str">
        <f>IF($Q182="","",INDEX(บันทึกรายเที่ยว!$F$6:$F$10005,$Q182))</f>
        <v/>
      </c>
      <c r="T182" t="str">
        <f>IF($Q182="","",MATCH($S182,บันทึกรายเที่ยว!$F$6:$F$10005,0))</f>
        <v/>
      </c>
      <c r="U182" t="str">
        <f>IF($Q182="","",$AL182*10000000+$T182*1000+178)</f>
        <v/>
      </c>
      <c r="V182" t="str">
        <f>IFERROR(MATCH(SMALL($U$5:$U$404,178),$U$5:$U$404,0),"")</f>
        <v/>
      </c>
      <c r="W182" t="str">
        <f t="shared" si="70"/>
        <v/>
      </c>
      <c r="X182" t="str">
        <f t="shared" si="71"/>
        <v/>
      </c>
      <c r="Y182" t="str">
        <f t="shared" si="72"/>
        <v/>
      </c>
      <c r="Z182">
        <f t="shared" si="82"/>
        <v>0</v>
      </c>
      <c r="AA182">
        <f t="shared" si="73"/>
        <v>0</v>
      </c>
      <c r="AB182">
        <f>IF($V182="",99999+178,$AB181+1+$Z181+$AA181+$AO181)</f>
        <v>100177</v>
      </c>
      <c r="AC182" t="str">
        <f>IFERROR(MATCH(178,$AB$5:$AB$404,1),"")</f>
        <v/>
      </c>
      <c r="AD182" t="str">
        <f>IF(178=$AI$1+1,"Z",IF($AC182="","",IF(INDEX($V$5:$V$404,$AC182)="","",IF(178&gt;INDEX($AB$5:$AB$404,$AC182)+INDEX($Z$5:$Z$404,$AC182)+INDEX($AA$5:$AA$404,$AC182)+INDEX($AO$5:$AO$404,$AC182),"",IF(178=INDEX($AB$5:$AB$404,$AC182)+INDEX($Z$5:$Z$404,$AC182),"D",IF(AND(INDEX($Z$5:$Z$404,$AC182)=1,178=INDEX($AB$5:$AB$404,$AC182)),"H",IF(AND(INDEX($AO$5:$AO$404,$AC182)=1,178=INDEX($AB$5:$AB$404,$AC182)+INDEX($Z$5:$Z$404,$AC182)+INDEX($AA$5:$AA$404,$AC182)+INDEX($AO$5:$AO$404,$AC182)),"B","T")))))))</f>
        <v/>
      </c>
      <c r="AF182" t="str">
        <f t="shared" si="74"/>
        <v/>
      </c>
      <c r="AJ182">
        <f>IF($AD182&lt;&gt;"T",0,ROUND(SUMIF(oil!$B$4:$B$63,$AF182,oil!$AE$4:$AE$63),2))</f>
        <v>0</v>
      </c>
      <c r="AK182" t="str">
        <f>IF($S182="","",IFERROR(INDEX(อัตราค่าขนส่ง!$R$5:$R$54,MATCH($S182,อัตราค่าขนส่ง!$Q$5:$Q$54,0)),INDEX(รายการมาตรฐาน!$G$2:$G$3,1)))</f>
        <v/>
      </c>
      <c r="AL182" t="str">
        <f>IF($S182="","",IFERROR(MATCH($AK182,รายการมาตรฐาน!$G$2:$G$3,0),1))</f>
        <v/>
      </c>
      <c r="AM182" t="str">
        <f t="shared" si="75"/>
        <v/>
      </c>
      <c r="AN182" t="str">
        <f t="shared" si="76"/>
        <v/>
      </c>
      <c r="AO182">
        <f t="shared" si="77"/>
        <v>0</v>
      </c>
      <c r="AP182">
        <f t="shared" si="83"/>
        <v>0</v>
      </c>
      <c r="AQ182" t="str">
        <f t="shared" si="78"/>
        <v/>
      </c>
      <c r="AR182">
        <f>IF($Y182="",0,COUNTIF(บันทึกรายเที่ยว!$V$6:$V$10005,$Y182))</f>
        <v>0</v>
      </c>
      <c r="AS182">
        <f>IF($Y182="",0,ROUND(SUMIF(บันทึกรายเที่ยว!$V$6:$V$10005,$Y182,บันทึกรายเที่ยว!$M$6:$M$10005),2))</f>
        <v>0</v>
      </c>
      <c r="AT182">
        <f>IF($Y182="",0,IFERROR(INDEX(อัตราค่าขนส่ง!$J$5:$J$204,MATCH($Y182,อัตราค่าขนส่ง!$O$5:$O$204,0)),0))</f>
        <v>0</v>
      </c>
      <c r="AU182">
        <f t="shared" si="79"/>
        <v>0</v>
      </c>
      <c r="AV182">
        <f t="shared" si="80"/>
        <v>0</v>
      </c>
      <c r="AW182" t="str">
        <f>IF($Y182="","",IFERROR(INDEX(อัตราค่าขนส่ง!$F$5:$F$204,MATCH($Y182,อัตราค่าขนส่ง!$O$5:$O$204,0)),""))</f>
        <v/>
      </c>
      <c r="AX182" t="str">
        <f>IF($W182="","",INDEX(บันทึกรายเที่ยว!$D$6:$D$10005,$W182))</f>
        <v/>
      </c>
      <c r="AY182" t="str">
        <f>IF($W182="","",INDEX(บันทึกรายเที่ยว!$R$6:$R$10005,$W182))</f>
        <v/>
      </c>
      <c r="AZ182">
        <f t="shared" si="81"/>
        <v>0</v>
      </c>
      <c r="BA182" t="str">
        <f>IF($W182="","",INDEX(บันทึกรายเที่ยว!$E$6:$E$10005,$W182))</f>
        <v/>
      </c>
      <c r="BC182">
        <f>IF($Y182="",0,IFERROR(INDEX(อัตราค่าขนส่ง!$M$5:$M$204,MATCH($Y182,อัตราค่าขนส่ง!$O$5:$O$204,0)),0))</f>
        <v>0</v>
      </c>
      <c r="BD182">
        <f>IF($Y182="",0,IFERROR(INDEX(อัตราค่าขนส่ง!$N$5:$N$204,MATCH($Y182,อัตราค่าขนส่ง!$O$5:$O$204,0)),0))</f>
        <v>0</v>
      </c>
    </row>
    <row r="183" spans="1:56" ht="21" customHeight="1" x14ac:dyDescent="0.95">
      <c r="A183" s="36" t="str">
        <f>IF($AD183="","",IF($AD183="Z","รวมจ่ายทั้งสิ้น",IF($AD183="H",INDEX($X$5:$X$404,$AC183),IF($AD183="T","รวม",IF($AD183="B",IFERROR(INDEX(อัตราค่าขนส่ง!$U$5:$U$14,MATCH(INDEX($AM$5:$AM$404,$AC183),อัตราค่าขนส่ง!$T$5:$T$14,0)),"รวมกลุ่ม "&amp;INDEX($AM$5:$AM$404,$AC183)),INDEX($AY$5:$AY$404,$AC183))))))</f>
        <v/>
      </c>
      <c r="B183" s="31" t="str">
        <f t="shared" si="56"/>
        <v/>
      </c>
      <c r="C183" s="8" t="str">
        <f t="shared" si="57"/>
        <v/>
      </c>
      <c r="D183" s="37" t="str">
        <f t="shared" si="58"/>
        <v/>
      </c>
      <c r="E183" s="31" t="str">
        <f t="shared" si="59"/>
        <v/>
      </c>
      <c r="F183" s="32" t="str">
        <f t="shared" si="60"/>
        <v/>
      </c>
      <c r="G183" s="32" t="str">
        <f t="shared" si="61"/>
        <v/>
      </c>
      <c r="H183" s="32" t="str">
        <f t="shared" si="62"/>
        <v/>
      </c>
      <c r="I183" s="32" t="str">
        <f t="shared" si="63"/>
        <v/>
      </c>
      <c r="J183" s="46" t="str">
        <f t="shared" si="64"/>
        <v/>
      </c>
      <c r="K183" s="32" t="str">
        <f t="shared" si="65"/>
        <v/>
      </c>
      <c r="L183" s="32" t="str">
        <f t="shared" si="66"/>
        <v/>
      </c>
      <c r="M183" s="32" t="str">
        <f t="shared" si="67"/>
        <v/>
      </c>
      <c r="N183" s="32" t="str">
        <f t="shared" si="68"/>
        <v/>
      </c>
      <c r="O183" s="32" t="str">
        <f t="shared" si="69"/>
        <v/>
      </c>
      <c r="Q183" t="str">
        <f>IFERROR(MATCH(179,บันทึกรายเที่ยว!$Z$6:$Z$10005,0),"")</f>
        <v/>
      </c>
      <c r="R183" t="str">
        <f>IF($Q183="","",INDEX(บันทึกรายเที่ยว!$V$6:$V$10005,$Q183))</f>
        <v/>
      </c>
      <c r="S183" t="str">
        <f>IF($Q183="","",INDEX(บันทึกรายเที่ยว!$F$6:$F$10005,$Q183))</f>
        <v/>
      </c>
      <c r="T183" t="str">
        <f>IF($Q183="","",MATCH($S183,บันทึกรายเที่ยว!$F$6:$F$10005,0))</f>
        <v/>
      </c>
      <c r="U183" t="str">
        <f>IF($Q183="","",$AL183*10000000+$T183*1000+179)</f>
        <v/>
      </c>
      <c r="V183" t="str">
        <f>IFERROR(MATCH(SMALL($U$5:$U$404,179),$U$5:$U$404,0),"")</f>
        <v/>
      </c>
      <c r="W183" t="str">
        <f t="shared" si="70"/>
        <v/>
      </c>
      <c r="X183" t="str">
        <f t="shared" si="71"/>
        <v/>
      </c>
      <c r="Y183" t="str">
        <f t="shared" si="72"/>
        <v/>
      </c>
      <c r="Z183">
        <f t="shared" si="82"/>
        <v>0</v>
      </c>
      <c r="AA183">
        <f t="shared" si="73"/>
        <v>0</v>
      </c>
      <c r="AB183">
        <f>IF($V183="",99999+179,$AB182+1+$Z182+$AA182+$AO182)</f>
        <v>100178</v>
      </c>
      <c r="AC183" t="str">
        <f>IFERROR(MATCH(179,$AB$5:$AB$404,1),"")</f>
        <v/>
      </c>
      <c r="AD183" t="str">
        <f>IF(179=$AI$1+1,"Z",IF($AC183="","",IF(INDEX($V$5:$V$404,$AC183)="","",IF(179&gt;INDEX($AB$5:$AB$404,$AC183)+INDEX($Z$5:$Z$404,$AC183)+INDEX($AA$5:$AA$404,$AC183)+INDEX($AO$5:$AO$404,$AC183),"",IF(179=INDEX($AB$5:$AB$404,$AC183)+INDEX($Z$5:$Z$404,$AC183),"D",IF(AND(INDEX($Z$5:$Z$404,$AC183)=1,179=INDEX($AB$5:$AB$404,$AC183)),"H",IF(AND(INDEX($AO$5:$AO$404,$AC183)=1,179=INDEX($AB$5:$AB$404,$AC183)+INDEX($Z$5:$Z$404,$AC183)+INDEX($AA$5:$AA$404,$AC183)+INDEX($AO$5:$AO$404,$AC183)),"B","T")))))))</f>
        <v/>
      </c>
      <c r="AF183" t="str">
        <f t="shared" si="74"/>
        <v/>
      </c>
      <c r="AJ183">
        <f>IF($AD183&lt;&gt;"T",0,ROUND(SUMIF(oil!$B$4:$B$63,$AF183,oil!$AE$4:$AE$63),2))</f>
        <v>0</v>
      </c>
      <c r="AK183" t="str">
        <f>IF($S183="","",IFERROR(INDEX(อัตราค่าขนส่ง!$R$5:$R$54,MATCH($S183,อัตราค่าขนส่ง!$Q$5:$Q$54,0)),INDEX(รายการมาตรฐาน!$G$2:$G$3,1)))</f>
        <v/>
      </c>
      <c r="AL183" t="str">
        <f>IF($S183="","",IFERROR(MATCH($AK183,รายการมาตรฐาน!$G$2:$G$3,0),1))</f>
        <v/>
      </c>
      <c r="AM183" t="str">
        <f t="shared" si="75"/>
        <v/>
      </c>
      <c r="AN183" t="str">
        <f t="shared" si="76"/>
        <v/>
      </c>
      <c r="AO183">
        <f t="shared" si="77"/>
        <v>0</v>
      </c>
      <c r="AP183">
        <f t="shared" si="83"/>
        <v>0</v>
      </c>
      <c r="AQ183" t="str">
        <f t="shared" si="78"/>
        <v/>
      </c>
      <c r="AR183">
        <f>IF($Y183="",0,COUNTIF(บันทึกรายเที่ยว!$V$6:$V$10005,$Y183))</f>
        <v>0</v>
      </c>
      <c r="AS183">
        <f>IF($Y183="",0,ROUND(SUMIF(บันทึกรายเที่ยว!$V$6:$V$10005,$Y183,บันทึกรายเที่ยว!$M$6:$M$10005),2))</f>
        <v>0</v>
      </c>
      <c r="AT183">
        <f>IF($Y183="",0,IFERROR(INDEX(อัตราค่าขนส่ง!$J$5:$J$204,MATCH($Y183,อัตราค่าขนส่ง!$O$5:$O$204,0)),0))</f>
        <v>0</v>
      </c>
      <c r="AU183">
        <f t="shared" si="79"/>
        <v>0</v>
      </c>
      <c r="AV183">
        <f t="shared" si="80"/>
        <v>0</v>
      </c>
      <c r="AW183" t="str">
        <f>IF($Y183="","",IFERROR(INDEX(อัตราค่าขนส่ง!$F$5:$F$204,MATCH($Y183,อัตราค่าขนส่ง!$O$5:$O$204,0)),""))</f>
        <v/>
      </c>
      <c r="AX183" t="str">
        <f>IF($W183="","",INDEX(บันทึกรายเที่ยว!$D$6:$D$10005,$W183))</f>
        <v/>
      </c>
      <c r="AY183" t="str">
        <f>IF($W183="","",INDEX(บันทึกรายเที่ยว!$R$6:$R$10005,$W183))</f>
        <v/>
      </c>
      <c r="AZ183">
        <f t="shared" si="81"/>
        <v>0</v>
      </c>
      <c r="BA183" t="str">
        <f>IF($W183="","",INDEX(บันทึกรายเที่ยว!$E$6:$E$10005,$W183))</f>
        <v/>
      </c>
      <c r="BC183">
        <f>IF($Y183="",0,IFERROR(INDEX(อัตราค่าขนส่ง!$M$5:$M$204,MATCH($Y183,อัตราค่าขนส่ง!$O$5:$O$204,0)),0))</f>
        <v>0</v>
      </c>
      <c r="BD183">
        <f>IF($Y183="",0,IFERROR(INDEX(อัตราค่าขนส่ง!$N$5:$N$204,MATCH($Y183,อัตราค่าขนส่ง!$O$5:$O$204,0)),0))</f>
        <v>0</v>
      </c>
    </row>
    <row r="184" spans="1:56" ht="21" customHeight="1" x14ac:dyDescent="0.95">
      <c r="A184" s="36" t="str">
        <f>IF($AD184="","",IF($AD184="Z","รวมจ่ายทั้งสิ้น",IF($AD184="H",INDEX($X$5:$X$404,$AC184),IF($AD184="T","รวม",IF($AD184="B",IFERROR(INDEX(อัตราค่าขนส่ง!$U$5:$U$14,MATCH(INDEX($AM$5:$AM$404,$AC184),อัตราค่าขนส่ง!$T$5:$T$14,0)),"รวมกลุ่ม "&amp;INDEX($AM$5:$AM$404,$AC184)),INDEX($AY$5:$AY$404,$AC184))))))</f>
        <v/>
      </c>
      <c r="B184" s="31" t="str">
        <f t="shared" si="56"/>
        <v/>
      </c>
      <c r="C184" s="8" t="str">
        <f t="shared" si="57"/>
        <v/>
      </c>
      <c r="D184" s="37" t="str">
        <f t="shared" si="58"/>
        <v/>
      </c>
      <c r="E184" s="31" t="str">
        <f t="shared" si="59"/>
        <v/>
      </c>
      <c r="F184" s="32" t="str">
        <f t="shared" si="60"/>
        <v/>
      </c>
      <c r="G184" s="32" t="str">
        <f t="shared" si="61"/>
        <v/>
      </c>
      <c r="H184" s="32" t="str">
        <f t="shared" si="62"/>
        <v/>
      </c>
      <c r="I184" s="32" t="str">
        <f t="shared" si="63"/>
        <v/>
      </c>
      <c r="J184" s="46" t="str">
        <f t="shared" si="64"/>
        <v/>
      </c>
      <c r="K184" s="32" t="str">
        <f t="shared" si="65"/>
        <v/>
      </c>
      <c r="L184" s="32" t="str">
        <f t="shared" si="66"/>
        <v/>
      </c>
      <c r="M184" s="32" t="str">
        <f t="shared" si="67"/>
        <v/>
      </c>
      <c r="N184" s="32" t="str">
        <f t="shared" si="68"/>
        <v/>
      </c>
      <c r="O184" s="32" t="str">
        <f t="shared" si="69"/>
        <v/>
      </c>
      <c r="Q184" t="str">
        <f>IFERROR(MATCH(180,บันทึกรายเที่ยว!$Z$6:$Z$10005,0),"")</f>
        <v/>
      </c>
      <c r="R184" t="str">
        <f>IF($Q184="","",INDEX(บันทึกรายเที่ยว!$V$6:$V$10005,$Q184))</f>
        <v/>
      </c>
      <c r="S184" t="str">
        <f>IF($Q184="","",INDEX(บันทึกรายเที่ยว!$F$6:$F$10005,$Q184))</f>
        <v/>
      </c>
      <c r="T184" t="str">
        <f>IF($Q184="","",MATCH($S184,บันทึกรายเที่ยว!$F$6:$F$10005,0))</f>
        <v/>
      </c>
      <c r="U184" t="str">
        <f>IF($Q184="","",$AL184*10000000+$T184*1000+180)</f>
        <v/>
      </c>
      <c r="V184" t="str">
        <f>IFERROR(MATCH(SMALL($U$5:$U$404,180),$U$5:$U$404,0),"")</f>
        <v/>
      </c>
      <c r="W184" t="str">
        <f t="shared" si="70"/>
        <v/>
      </c>
      <c r="X184" t="str">
        <f t="shared" si="71"/>
        <v/>
      </c>
      <c r="Y184" t="str">
        <f t="shared" si="72"/>
        <v/>
      </c>
      <c r="Z184">
        <f t="shared" si="82"/>
        <v>0</v>
      </c>
      <c r="AA184">
        <f t="shared" si="73"/>
        <v>0</v>
      </c>
      <c r="AB184">
        <f>IF($V184="",99999+180,$AB183+1+$Z183+$AA183+$AO183)</f>
        <v>100179</v>
      </c>
      <c r="AC184" t="str">
        <f>IFERROR(MATCH(180,$AB$5:$AB$404,1),"")</f>
        <v/>
      </c>
      <c r="AD184" t="str">
        <f>IF(180=$AI$1+1,"Z",IF($AC184="","",IF(INDEX($V$5:$V$404,$AC184)="","",IF(180&gt;INDEX($AB$5:$AB$404,$AC184)+INDEX($Z$5:$Z$404,$AC184)+INDEX($AA$5:$AA$404,$AC184)+INDEX($AO$5:$AO$404,$AC184),"",IF(180=INDEX($AB$5:$AB$404,$AC184)+INDEX($Z$5:$Z$404,$AC184),"D",IF(AND(INDEX($Z$5:$Z$404,$AC184)=1,180=INDEX($AB$5:$AB$404,$AC184)),"H",IF(AND(INDEX($AO$5:$AO$404,$AC184)=1,180=INDEX($AB$5:$AB$404,$AC184)+INDEX($Z$5:$Z$404,$AC184)+INDEX($AA$5:$AA$404,$AC184)+INDEX($AO$5:$AO$404,$AC184)),"B","T")))))))</f>
        <v/>
      </c>
      <c r="AF184" t="str">
        <f t="shared" si="74"/>
        <v/>
      </c>
      <c r="AJ184">
        <f>IF($AD184&lt;&gt;"T",0,ROUND(SUMIF(oil!$B$4:$B$63,$AF184,oil!$AE$4:$AE$63),2))</f>
        <v>0</v>
      </c>
      <c r="AK184" t="str">
        <f>IF($S184="","",IFERROR(INDEX(อัตราค่าขนส่ง!$R$5:$R$54,MATCH($S184,อัตราค่าขนส่ง!$Q$5:$Q$54,0)),INDEX(รายการมาตรฐาน!$G$2:$G$3,1)))</f>
        <v/>
      </c>
      <c r="AL184" t="str">
        <f>IF($S184="","",IFERROR(MATCH($AK184,รายการมาตรฐาน!$G$2:$G$3,0),1))</f>
        <v/>
      </c>
      <c r="AM184" t="str">
        <f t="shared" si="75"/>
        <v/>
      </c>
      <c r="AN184" t="str">
        <f t="shared" si="76"/>
        <v/>
      </c>
      <c r="AO184">
        <f t="shared" si="77"/>
        <v>0</v>
      </c>
      <c r="AP184">
        <f t="shared" si="83"/>
        <v>0</v>
      </c>
      <c r="AQ184" t="str">
        <f t="shared" si="78"/>
        <v/>
      </c>
      <c r="AR184">
        <f>IF($Y184="",0,COUNTIF(บันทึกรายเที่ยว!$V$6:$V$10005,$Y184))</f>
        <v>0</v>
      </c>
      <c r="AS184">
        <f>IF($Y184="",0,ROUND(SUMIF(บันทึกรายเที่ยว!$V$6:$V$10005,$Y184,บันทึกรายเที่ยว!$M$6:$M$10005),2))</f>
        <v>0</v>
      </c>
      <c r="AT184">
        <f>IF($Y184="",0,IFERROR(INDEX(อัตราค่าขนส่ง!$J$5:$J$204,MATCH($Y184,อัตราค่าขนส่ง!$O$5:$O$204,0)),0))</f>
        <v>0</v>
      </c>
      <c r="AU184">
        <f t="shared" si="79"/>
        <v>0</v>
      </c>
      <c r="AV184">
        <f t="shared" si="80"/>
        <v>0</v>
      </c>
      <c r="AW184" t="str">
        <f>IF($Y184="","",IFERROR(INDEX(อัตราค่าขนส่ง!$F$5:$F$204,MATCH($Y184,อัตราค่าขนส่ง!$O$5:$O$204,0)),""))</f>
        <v/>
      </c>
      <c r="AX184" t="str">
        <f>IF($W184="","",INDEX(บันทึกรายเที่ยว!$D$6:$D$10005,$W184))</f>
        <v/>
      </c>
      <c r="AY184" t="str">
        <f>IF($W184="","",INDEX(บันทึกรายเที่ยว!$R$6:$R$10005,$W184))</f>
        <v/>
      </c>
      <c r="AZ184">
        <f t="shared" si="81"/>
        <v>0</v>
      </c>
      <c r="BA184" t="str">
        <f>IF($W184="","",INDEX(บันทึกรายเที่ยว!$E$6:$E$10005,$W184))</f>
        <v/>
      </c>
      <c r="BC184">
        <f>IF($Y184="",0,IFERROR(INDEX(อัตราค่าขนส่ง!$M$5:$M$204,MATCH($Y184,อัตราค่าขนส่ง!$O$5:$O$204,0)),0))</f>
        <v>0</v>
      </c>
      <c r="BD184">
        <f>IF($Y184="",0,IFERROR(INDEX(อัตราค่าขนส่ง!$N$5:$N$204,MATCH($Y184,อัตราค่าขนส่ง!$O$5:$O$204,0)),0))</f>
        <v>0</v>
      </c>
    </row>
    <row r="185" spans="1:56" ht="21" customHeight="1" x14ac:dyDescent="0.95">
      <c r="A185" s="36" t="str">
        <f>IF($AD185="","",IF($AD185="Z","รวมจ่ายทั้งสิ้น",IF($AD185="H",INDEX($X$5:$X$404,$AC185),IF($AD185="T","รวม",IF($AD185="B",IFERROR(INDEX(อัตราค่าขนส่ง!$U$5:$U$14,MATCH(INDEX($AM$5:$AM$404,$AC185),อัตราค่าขนส่ง!$T$5:$T$14,0)),"รวมกลุ่ม "&amp;INDEX($AM$5:$AM$404,$AC185)),INDEX($AY$5:$AY$404,$AC185))))))</f>
        <v/>
      </c>
      <c r="B185" s="31" t="str">
        <f t="shared" si="56"/>
        <v/>
      </c>
      <c r="C185" s="8" t="str">
        <f t="shared" si="57"/>
        <v/>
      </c>
      <c r="D185" s="37" t="str">
        <f t="shared" si="58"/>
        <v/>
      </c>
      <c r="E185" s="31" t="str">
        <f t="shared" si="59"/>
        <v/>
      </c>
      <c r="F185" s="32" t="str">
        <f t="shared" si="60"/>
        <v/>
      </c>
      <c r="G185" s="32" t="str">
        <f t="shared" si="61"/>
        <v/>
      </c>
      <c r="H185" s="32" t="str">
        <f t="shared" si="62"/>
        <v/>
      </c>
      <c r="I185" s="32" t="str">
        <f t="shared" si="63"/>
        <v/>
      </c>
      <c r="J185" s="46" t="str">
        <f t="shared" si="64"/>
        <v/>
      </c>
      <c r="K185" s="32" t="str">
        <f t="shared" si="65"/>
        <v/>
      </c>
      <c r="L185" s="32" t="str">
        <f t="shared" si="66"/>
        <v/>
      </c>
      <c r="M185" s="32" t="str">
        <f t="shared" si="67"/>
        <v/>
      </c>
      <c r="N185" s="32" t="str">
        <f t="shared" si="68"/>
        <v/>
      </c>
      <c r="O185" s="32" t="str">
        <f t="shared" si="69"/>
        <v/>
      </c>
      <c r="Q185" t="str">
        <f>IFERROR(MATCH(181,บันทึกรายเที่ยว!$Z$6:$Z$10005,0),"")</f>
        <v/>
      </c>
      <c r="R185" t="str">
        <f>IF($Q185="","",INDEX(บันทึกรายเที่ยว!$V$6:$V$10005,$Q185))</f>
        <v/>
      </c>
      <c r="S185" t="str">
        <f>IF($Q185="","",INDEX(บันทึกรายเที่ยว!$F$6:$F$10005,$Q185))</f>
        <v/>
      </c>
      <c r="T185" t="str">
        <f>IF($Q185="","",MATCH($S185,บันทึกรายเที่ยว!$F$6:$F$10005,0))</f>
        <v/>
      </c>
      <c r="U185" t="str">
        <f>IF($Q185="","",$AL185*10000000+$T185*1000+181)</f>
        <v/>
      </c>
      <c r="V185" t="str">
        <f>IFERROR(MATCH(SMALL($U$5:$U$404,181),$U$5:$U$404,0),"")</f>
        <v/>
      </c>
      <c r="W185" t="str">
        <f t="shared" si="70"/>
        <v/>
      </c>
      <c r="X185" t="str">
        <f t="shared" si="71"/>
        <v/>
      </c>
      <c r="Y185" t="str">
        <f t="shared" si="72"/>
        <v/>
      </c>
      <c r="Z185">
        <f t="shared" si="82"/>
        <v>0</v>
      </c>
      <c r="AA185">
        <f t="shared" si="73"/>
        <v>0</v>
      </c>
      <c r="AB185">
        <f>IF($V185="",99999+181,$AB184+1+$Z184+$AA184+$AO184)</f>
        <v>100180</v>
      </c>
      <c r="AC185" t="str">
        <f>IFERROR(MATCH(181,$AB$5:$AB$404,1),"")</f>
        <v/>
      </c>
      <c r="AD185" t="str">
        <f>IF(181=$AI$1+1,"Z",IF($AC185="","",IF(INDEX($V$5:$V$404,$AC185)="","",IF(181&gt;INDEX($AB$5:$AB$404,$AC185)+INDEX($Z$5:$Z$404,$AC185)+INDEX($AA$5:$AA$404,$AC185)+INDEX($AO$5:$AO$404,$AC185),"",IF(181=INDEX($AB$5:$AB$404,$AC185)+INDEX($Z$5:$Z$404,$AC185),"D",IF(AND(INDEX($Z$5:$Z$404,$AC185)=1,181=INDEX($AB$5:$AB$404,$AC185)),"H",IF(AND(INDEX($AO$5:$AO$404,$AC185)=1,181=INDEX($AB$5:$AB$404,$AC185)+INDEX($Z$5:$Z$404,$AC185)+INDEX($AA$5:$AA$404,$AC185)+INDEX($AO$5:$AO$404,$AC185)),"B","T")))))))</f>
        <v/>
      </c>
      <c r="AF185" t="str">
        <f t="shared" si="74"/>
        <v/>
      </c>
      <c r="AJ185">
        <f>IF($AD185&lt;&gt;"T",0,ROUND(SUMIF(oil!$B$4:$B$63,$AF185,oil!$AE$4:$AE$63),2))</f>
        <v>0</v>
      </c>
      <c r="AK185" t="str">
        <f>IF($S185="","",IFERROR(INDEX(อัตราค่าขนส่ง!$R$5:$R$54,MATCH($S185,อัตราค่าขนส่ง!$Q$5:$Q$54,0)),INDEX(รายการมาตรฐาน!$G$2:$G$3,1)))</f>
        <v/>
      </c>
      <c r="AL185" t="str">
        <f>IF($S185="","",IFERROR(MATCH($AK185,รายการมาตรฐาน!$G$2:$G$3,0),1))</f>
        <v/>
      </c>
      <c r="AM185" t="str">
        <f t="shared" si="75"/>
        <v/>
      </c>
      <c r="AN185" t="str">
        <f t="shared" si="76"/>
        <v/>
      </c>
      <c r="AO185">
        <f t="shared" si="77"/>
        <v>0</v>
      </c>
      <c r="AP185">
        <f t="shared" si="83"/>
        <v>0</v>
      </c>
      <c r="AQ185" t="str">
        <f t="shared" si="78"/>
        <v/>
      </c>
      <c r="AR185">
        <f>IF($Y185="",0,COUNTIF(บันทึกรายเที่ยว!$V$6:$V$10005,$Y185))</f>
        <v>0</v>
      </c>
      <c r="AS185">
        <f>IF($Y185="",0,ROUND(SUMIF(บันทึกรายเที่ยว!$V$6:$V$10005,$Y185,บันทึกรายเที่ยว!$M$6:$M$10005),2))</f>
        <v>0</v>
      </c>
      <c r="AT185">
        <f>IF($Y185="",0,IFERROR(INDEX(อัตราค่าขนส่ง!$J$5:$J$204,MATCH($Y185,อัตราค่าขนส่ง!$O$5:$O$204,0)),0))</f>
        <v>0</v>
      </c>
      <c r="AU185">
        <f t="shared" si="79"/>
        <v>0</v>
      </c>
      <c r="AV185">
        <f t="shared" si="80"/>
        <v>0</v>
      </c>
      <c r="AW185" t="str">
        <f>IF($Y185="","",IFERROR(INDEX(อัตราค่าขนส่ง!$F$5:$F$204,MATCH($Y185,อัตราค่าขนส่ง!$O$5:$O$204,0)),""))</f>
        <v/>
      </c>
      <c r="AX185" t="str">
        <f>IF($W185="","",INDEX(บันทึกรายเที่ยว!$D$6:$D$10005,$W185))</f>
        <v/>
      </c>
      <c r="AY185" t="str">
        <f>IF($W185="","",INDEX(บันทึกรายเที่ยว!$R$6:$R$10005,$W185))</f>
        <v/>
      </c>
      <c r="AZ185">
        <f t="shared" si="81"/>
        <v>0</v>
      </c>
      <c r="BA185" t="str">
        <f>IF($W185="","",INDEX(บันทึกรายเที่ยว!$E$6:$E$10005,$W185))</f>
        <v/>
      </c>
      <c r="BC185">
        <f>IF($Y185="",0,IFERROR(INDEX(อัตราค่าขนส่ง!$M$5:$M$204,MATCH($Y185,อัตราค่าขนส่ง!$O$5:$O$204,0)),0))</f>
        <v>0</v>
      </c>
      <c r="BD185">
        <f>IF($Y185="",0,IFERROR(INDEX(อัตราค่าขนส่ง!$N$5:$N$204,MATCH($Y185,อัตราค่าขนส่ง!$O$5:$O$204,0)),0))</f>
        <v>0</v>
      </c>
    </row>
    <row r="186" spans="1:56" ht="21" customHeight="1" x14ac:dyDescent="0.95">
      <c r="A186" s="36" t="str">
        <f>IF($AD186="","",IF($AD186="Z","รวมจ่ายทั้งสิ้น",IF($AD186="H",INDEX($X$5:$X$404,$AC186),IF($AD186="T","รวม",IF($AD186="B",IFERROR(INDEX(อัตราค่าขนส่ง!$U$5:$U$14,MATCH(INDEX($AM$5:$AM$404,$AC186),อัตราค่าขนส่ง!$T$5:$T$14,0)),"รวมกลุ่ม "&amp;INDEX($AM$5:$AM$404,$AC186)),INDEX($AY$5:$AY$404,$AC186))))))</f>
        <v/>
      </c>
      <c r="B186" s="31" t="str">
        <f t="shared" si="56"/>
        <v/>
      </c>
      <c r="C186" s="8" t="str">
        <f t="shared" si="57"/>
        <v/>
      </c>
      <c r="D186" s="37" t="str">
        <f t="shared" si="58"/>
        <v/>
      </c>
      <c r="E186" s="31" t="str">
        <f t="shared" si="59"/>
        <v/>
      </c>
      <c r="F186" s="32" t="str">
        <f t="shared" si="60"/>
        <v/>
      </c>
      <c r="G186" s="32" t="str">
        <f t="shared" si="61"/>
        <v/>
      </c>
      <c r="H186" s="32" t="str">
        <f t="shared" si="62"/>
        <v/>
      </c>
      <c r="I186" s="32" t="str">
        <f t="shared" si="63"/>
        <v/>
      </c>
      <c r="J186" s="46" t="str">
        <f t="shared" si="64"/>
        <v/>
      </c>
      <c r="K186" s="32" t="str">
        <f t="shared" si="65"/>
        <v/>
      </c>
      <c r="L186" s="32" t="str">
        <f t="shared" si="66"/>
        <v/>
      </c>
      <c r="M186" s="32" t="str">
        <f t="shared" si="67"/>
        <v/>
      </c>
      <c r="N186" s="32" t="str">
        <f t="shared" si="68"/>
        <v/>
      </c>
      <c r="O186" s="32" t="str">
        <f t="shared" si="69"/>
        <v/>
      </c>
      <c r="Q186" t="str">
        <f>IFERROR(MATCH(182,บันทึกรายเที่ยว!$Z$6:$Z$10005,0),"")</f>
        <v/>
      </c>
      <c r="R186" t="str">
        <f>IF($Q186="","",INDEX(บันทึกรายเที่ยว!$V$6:$V$10005,$Q186))</f>
        <v/>
      </c>
      <c r="S186" t="str">
        <f>IF($Q186="","",INDEX(บันทึกรายเที่ยว!$F$6:$F$10005,$Q186))</f>
        <v/>
      </c>
      <c r="T186" t="str">
        <f>IF($Q186="","",MATCH($S186,บันทึกรายเที่ยว!$F$6:$F$10005,0))</f>
        <v/>
      </c>
      <c r="U186" t="str">
        <f>IF($Q186="","",$AL186*10000000+$T186*1000+182)</f>
        <v/>
      </c>
      <c r="V186" t="str">
        <f>IFERROR(MATCH(SMALL($U$5:$U$404,182),$U$5:$U$404,0),"")</f>
        <v/>
      </c>
      <c r="W186" t="str">
        <f t="shared" si="70"/>
        <v/>
      </c>
      <c r="X186" t="str">
        <f t="shared" si="71"/>
        <v/>
      </c>
      <c r="Y186" t="str">
        <f t="shared" si="72"/>
        <v/>
      </c>
      <c r="Z186">
        <f t="shared" si="82"/>
        <v>0</v>
      </c>
      <c r="AA186">
        <f t="shared" si="73"/>
        <v>0</v>
      </c>
      <c r="AB186">
        <f>IF($V186="",99999+182,$AB185+1+$Z185+$AA185+$AO185)</f>
        <v>100181</v>
      </c>
      <c r="AC186" t="str">
        <f>IFERROR(MATCH(182,$AB$5:$AB$404,1),"")</f>
        <v/>
      </c>
      <c r="AD186" t="str">
        <f>IF(182=$AI$1+1,"Z",IF($AC186="","",IF(INDEX($V$5:$V$404,$AC186)="","",IF(182&gt;INDEX($AB$5:$AB$404,$AC186)+INDEX($Z$5:$Z$404,$AC186)+INDEX($AA$5:$AA$404,$AC186)+INDEX($AO$5:$AO$404,$AC186),"",IF(182=INDEX($AB$5:$AB$404,$AC186)+INDEX($Z$5:$Z$404,$AC186),"D",IF(AND(INDEX($Z$5:$Z$404,$AC186)=1,182=INDEX($AB$5:$AB$404,$AC186)),"H",IF(AND(INDEX($AO$5:$AO$404,$AC186)=1,182=INDEX($AB$5:$AB$404,$AC186)+INDEX($Z$5:$Z$404,$AC186)+INDEX($AA$5:$AA$404,$AC186)+INDEX($AO$5:$AO$404,$AC186)),"B","T")))))))</f>
        <v/>
      </c>
      <c r="AF186" t="str">
        <f t="shared" si="74"/>
        <v/>
      </c>
      <c r="AJ186">
        <f>IF($AD186&lt;&gt;"T",0,ROUND(SUMIF(oil!$B$4:$B$63,$AF186,oil!$AE$4:$AE$63),2))</f>
        <v>0</v>
      </c>
      <c r="AK186" t="str">
        <f>IF($S186="","",IFERROR(INDEX(อัตราค่าขนส่ง!$R$5:$R$54,MATCH($S186,อัตราค่าขนส่ง!$Q$5:$Q$54,0)),INDEX(รายการมาตรฐาน!$G$2:$G$3,1)))</f>
        <v/>
      </c>
      <c r="AL186" t="str">
        <f>IF($S186="","",IFERROR(MATCH($AK186,รายการมาตรฐาน!$G$2:$G$3,0),1))</f>
        <v/>
      </c>
      <c r="AM186" t="str">
        <f t="shared" si="75"/>
        <v/>
      </c>
      <c r="AN186" t="str">
        <f t="shared" si="76"/>
        <v/>
      </c>
      <c r="AO186">
        <f t="shared" si="77"/>
        <v>0</v>
      </c>
      <c r="AP186">
        <f t="shared" si="83"/>
        <v>0</v>
      </c>
      <c r="AQ186" t="str">
        <f t="shared" si="78"/>
        <v/>
      </c>
      <c r="AR186">
        <f>IF($Y186="",0,COUNTIF(บันทึกรายเที่ยว!$V$6:$V$10005,$Y186))</f>
        <v>0</v>
      </c>
      <c r="AS186">
        <f>IF($Y186="",0,ROUND(SUMIF(บันทึกรายเที่ยว!$V$6:$V$10005,$Y186,บันทึกรายเที่ยว!$M$6:$M$10005),2))</f>
        <v>0</v>
      </c>
      <c r="AT186">
        <f>IF($Y186="",0,IFERROR(INDEX(อัตราค่าขนส่ง!$J$5:$J$204,MATCH($Y186,อัตราค่าขนส่ง!$O$5:$O$204,0)),0))</f>
        <v>0</v>
      </c>
      <c r="AU186">
        <f t="shared" si="79"/>
        <v>0</v>
      </c>
      <c r="AV186">
        <f t="shared" si="80"/>
        <v>0</v>
      </c>
      <c r="AW186" t="str">
        <f>IF($Y186="","",IFERROR(INDEX(อัตราค่าขนส่ง!$F$5:$F$204,MATCH($Y186,อัตราค่าขนส่ง!$O$5:$O$204,0)),""))</f>
        <v/>
      </c>
      <c r="AX186" t="str">
        <f>IF($W186="","",INDEX(บันทึกรายเที่ยว!$D$6:$D$10005,$W186))</f>
        <v/>
      </c>
      <c r="AY186" t="str">
        <f>IF($W186="","",INDEX(บันทึกรายเที่ยว!$R$6:$R$10005,$W186))</f>
        <v/>
      </c>
      <c r="AZ186">
        <f t="shared" si="81"/>
        <v>0</v>
      </c>
      <c r="BA186" t="str">
        <f>IF($W186="","",INDEX(บันทึกรายเที่ยว!$E$6:$E$10005,$W186))</f>
        <v/>
      </c>
      <c r="BC186">
        <f>IF($Y186="",0,IFERROR(INDEX(อัตราค่าขนส่ง!$M$5:$M$204,MATCH($Y186,อัตราค่าขนส่ง!$O$5:$O$204,0)),0))</f>
        <v>0</v>
      </c>
      <c r="BD186">
        <f>IF($Y186="",0,IFERROR(INDEX(อัตราค่าขนส่ง!$N$5:$N$204,MATCH($Y186,อัตราค่าขนส่ง!$O$5:$O$204,0)),0))</f>
        <v>0</v>
      </c>
    </row>
    <row r="187" spans="1:56" ht="21" customHeight="1" x14ac:dyDescent="0.95">
      <c r="A187" s="36" t="str">
        <f>IF($AD187="","",IF($AD187="Z","รวมจ่ายทั้งสิ้น",IF($AD187="H",INDEX($X$5:$X$404,$AC187),IF($AD187="T","รวม",IF($AD187="B",IFERROR(INDEX(อัตราค่าขนส่ง!$U$5:$U$14,MATCH(INDEX($AM$5:$AM$404,$AC187),อัตราค่าขนส่ง!$T$5:$T$14,0)),"รวมกลุ่ม "&amp;INDEX($AM$5:$AM$404,$AC187)),INDEX($AY$5:$AY$404,$AC187))))))</f>
        <v/>
      </c>
      <c r="B187" s="31" t="str">
        <f t="shared" si="56"/>
        <v/>
      </c>
      <c r="C187" s="8" t="str">
        <f t="shared" si="57"/>
        <v/>
      </c>
      <c r="D187" s="37" t="str">
        <f t="shared" si="58"/>
        <v/>
      </c>
      <c r="E187" s="31" t="str">
        <f t="shared" si="59"/>
        <v/>
      </c>
      <c r="F187" s="32" t="str">
        <f t="shared" si="60"/>
        <v/>
      </c>
      <c r="G187" s="32" t="str">
        <f t="shared" si="61"/>
        <v/>
      </c>
      <c r="H187" s="32" t="str">
        <f t="shared" si="62"/>
        <v/>
      </c>
      <c r="I187" s="32" t="str">
        <f t="shared" si="63"/>
        <v/>
      </c>
      <c r="J187" s="46" t="str">
        <f t="shared" si="64"/>
        <v/>
      </c>
      <c r="K187" s="32" t="str">
        <f t="shared" si="65"/>
        <v/>
      </c>
      <c r="L187" s="32" t="str">
        <f t="shared" si="66"/>
        <v/>
      </c>
      <c r="M187" s="32" t="str">
        <f t="shared" si="67"/>
        <v/>
      </c>
      <c r="N187" s="32" t="str">
        <f t="shared" si="68"/>
        <v/>
      </c>
      <c r="O187" s="32" t="str">
        <f t="shared" si="69"/>
        <v/>
      </c>
      <c r="Q187" t="str">
        <f>IFERROR(MATCH(183,บันทึกรายเที่ยว!$Z$6:$Z$10005,0),"")</f>
        <v/>
      </c>
      <c r="R187" t="str">
        <f>IF($Q187="","",INDEX(บันทึกรายเที่ยว!$V$6:$V$10005,$Q187))</f>
        <v/>
      </c>
      <c r="S187" t="str">
        <f>IF($Q187="","",INDEX(บันทึกรายเที่ยว!$F$6:$F$10005,$Q187))</f>
        <v/>
      </c>
      <c r="T187" t="str">
        <f>IF($Q187="","",MATCH($S187,บันทึกรายเที่ยว!$F$6:$F$10005,0))</f>
        <v/>
      </c>
      <c r="U187" t="str">
        <f>IF($Q187="","",$AL187*10000000+$T187*1000+183)</f>
        <v/>
      </c>
      <c r="V187" t="str">
        <f>IFERROR(MATCH(SMALL($U$5:$U$404,183),$U$5:$U$404,0),"")</f>
        <v/>
      </c>
      <c r="W187" t="str">
        <f t="shared" si="70"/>
        <v/>
      </c>
      <c r="X187" t="str">
        <f t="shared" si="71"/>
        <v/>
      </c>
      <c r="Y187" t="str">
        <f t="shared" si="72"/>
        <v/>
      </c>
      <c r="Z187">
        <f t="shared" si="82"/>
        <v>0</v>
      </c>
      <c r="AA187">
        <f t="shared" si="73"/>
        <v>0</v>
      </c>
      <c r="AB187">
        <f>IF($V187="",99999+183,$AB186+1+$Z186+$AA186+$AO186)</f>
        <v>100182</v>
      </c>
      <c r="AC187" t="str">
        <f>IFERROR(MATCH(183,$AB$5:$AB$404,1),"")</f>
        <v/>
      </c>
      <c r="AD187" t="str">
        <f>IF(183=$AI$1+1,"Z",IF($AC187="","",IF(INDEX($V$5:$V$404,$AC187)="","",IF(183&gt;INDEX($AB$5:$AB$404,$AC187)+INDEX($Z$5:$Z$404,$AC187)+INDEX($AA$5:$AA$404,$AC187)+INDEX($AO$5:$AO$404,$AC187),"",IF(183=INDEX($AB$5:$AB$404,$AC187)+INDEX($Z$5:$Z$404,$AC187),"D",IF(AND(INDEX($Z$5:$Z$404,$AC187)=1,183=INDEX($AB$5:$AB$404,$AC187)),"H",IF(AND(INDEX($AO$5:$AO$404,$AC187)=1,183=INDEX($AB$5:$AB$404,$AC187)+INDEX($Z$5:$Z$404,$AC187)+INDEX($AA$5:$AA$404,$AC187)+INDEX($AO$5:$AO$404,$AC187)),"B","T")))))))</f>
        <v/>
      </c>
      <c r="AF187" t="str">
        <f t="shared" si="74"/>
        <v/>
      </c>
      <c r="AJ187">
        <f>IF($AD187&lt;&gt;"T",0,ROUND(SUMIF(oil!$B$4:$B$63,$AF187,oil!$AE$4:$AE$63),2))</f>
        <v>0</v>
      </c>
      <c r="AK187" t="str">
        <f>IF($S187="","",IFERROR(INDEX(อัตราค่าขนส่ง!$R$5:$R$54,MATCH($S187,อัตราค่าขนส่ง!$Q$5:$Q$54,0)),INDEX(รายการมาตรฐาน!$G$2:$G$3,1)))</f>
        <v/>
      </c>
      <c r="AL187" t="str">
        <f>IF($S187="","",IFERROR(MATCH($AK187,รายการมาตรฐาน!$G$2:$G$3,0),1))</f>
        <v/>
      </c>
      <c r="AM187" t="str">
        <f t="shared" si="75"/>
        <v/>
      </c>
      <c r="AN187" t="str">
        <f t="shared" si="76"/>
        <v/>
      </c>
      <c r="AO187">
        <f t="shared" si="77"/>
        <v>0</v>
      </c>
      <c r="AP187">
        <f t="shared" si="83"/>
        <v>0</v>
      </c>
      <c r="AQ187" t="str">
        <f t="shared" si="78"/>
        <v/>
      </c>
      <c r="AR187">
        <f>IF($Y187="",0,COUNTIF(บันทึกรายเที่ยว!$V$6:$V$10005,$Y187))</f>
        <v>0</v>
      </c>
      <c r="AS187">
        <f>IF($Y187="",0,ROUND(SUMIF(บันทึกรายเที่ยว!$V$6:$V$10005,$Y187,บันทึกรายเที่ยว!$M$6:$M$10005),2))</f>
        <v>0</v>
      </c>
      <c r="AT187">
        <f>IF($Y187="",0,IFERROR(INDEX(อัตราค่าขนส่ง!$J$5:$J$204,MATCH($Y187,อัตราค่าขนส่ง!$O$5:$O$204,0)),0))</f>
        <v>0</v>
      </c>
      <c r="AU187">
        <f t="shared" si="79"/>
        <v>0</v>
      </c>
      <c r="AV187">
        <f t="shared" si="80"/>
        <v>0</v>
      </c>
      <c r="AW187" t="str">
        <f>IF($Y187="","",IFERROR(INDEX(อัตราค่าขนส่ง!$F$5:$F$204,MATCH($Y187,อัตราค่าขนส่ง!$O$5:$O$204,0)),""))</f>
        <v/>
      </c>
      <c r="AX187" t="str">
        <f>IF($W187="","",INDEX(บันทึกรายเที่ยว!$D$6:$D$10005,$W187))</f>
        <v/>
      </c>
      <c r="AY187" t="str">
        <f>IF($W187="","",INDEX(บันทึกรายเที่ยว!$R$6:$R$10005,$W187))</f>
        <v/>
      </c>
      <c r="AZ187">
        <f t="shared" si="81"/>
        <v>0</v>
      </c>
      <c r="BA187" t="str">
        <f>IF($W187="","",INDEX(บันทึกรายเที่ยว!$E$6:$E$10005,$W187))</f>
        <v/>
      </c>
      <c r="BC187">
        <f>IF($Y187="",0,IFERROR(INDEX(อัตราค่าขนส่ง!$M$5:$M$204,MATCH($Y187,อัตราค่าขนส่ง!$O$5:$O$204,0)),0))</f>
        <v>0</v>
      </c>
      <c r="BD187">
        <f>IF($Y187="",0,IFERROR(INDEX(อัตราค่าขนส่ง!$N$5:$N$204,MATCH($Y187,อัตราค่าขนส่ง!$O$5:$O$204,0)),0))</f>
        <v>0</v>
      </c>
    </row>
    <row r="188" spans="1:56" ht="21" customHeight="1" x14ac:dyDescent="0.95">
      <c r="A188" s="36" t="str">
        <f>IF($AD188="","",IF($AD188="Z","รวมจ่ายทั้งสิ้น",IF($AD188="H",INDEX($X$5:$X$404,$AC188),IF($AD188="T","รวม",IF($AD188="B",IFERROR(INDEX(อัตราค่าขนส่ง!$U$5:$U$14,MATCH(INDEX($AM$5:$AM$404,$AC188),อัตราค่าขนส่ง!$T$5:$T$14,0)),"รวมกลุ่ม "&amp;INDEX($AM$5:$AM$404,$AC188)),INDEX($AY$5:$AY$404,$AC188))))))</f>
        <v/>
      </c>
      <c r="B188" s="31" t="str">
        <f t="shared" si="56"/>
        <v/>
      </c>
      <c r="C188" s="8" t="str">
        <f t="shared" si="57"/>
        <v/>
      </c>
      <c r="D188" s="37" t="str">
        <f t="shared" si="58"/>
        <v/>
      </c>
      <c r="E188" s="31" t="str">
        <f t="shared" si="59"/>
        <v/>
      </c>
      <c r="F188" s="32" t="str">
        <f t="shared" si="60"/>
        <v/>
      </c>
      <c r="G188" s="32" t="str">
        <f t="shared" si="61"/>
        <v/>
      </c>
      <c r="H188" s="32" t="str">
        <f t="shared" si="62"/>
        <v/>
      </c>
      <c r="I188" s="32" t="str">
        <f t="shared" si="63"/>
        <v/>
      </c>
      <c r="J188" s="46" t="str">
        <f t="shared" si="64"/>
        <v/>
      </c>
      <c r="K188" s="32" t="str">
        <f t="shared" si="65"/>
        <v/>
      </c>
      <c r="L188" s="32" t="str">
        <f t="shared" si="66"/>
        <v/>
      </c>
      <c r="M188" s="32" t="str">
        <f t="shared" si="67"/>
        <v/>
      </c>
      <c r="N188" s="32" t="str">
        <f t="shared" si="68"/>
        <v/>
      </c>
      <c r="O188" s="32" t="str">
        <f t="shared" si="69"/>
        <v/>
      </c>
      <c r="Q188" t="str">
        <f>IFERROR(MATCH(184,บันทึกรายเที่ยว!$Z$6:$Z$10005,0),"")</f>
        <v/>
      </c>
      <c r="R188" t="str">
        <f>IF($Q188="","",INDEX(บันทึกรายเที่ยว!$V$6:$V$10005,$Q188))</f>
        <v/>
      </c>
      <c r="S188" t="str">
        <f>IF($Q188="","",INDEX(บันทึกรายเที่ยว!$F$6:$F$10005,$Q188))</f>
        <v/>
      </c>
      <c r="T188" t="str">
        <f>IF($Q188="","",MATCH($S188,บันทึกรายเที่ยว!$F$6:$F$10005,0))</f>
        <v/>
      </c>
      <c r="U188" t="str">
        <f>IF($Q188="","",$AL188*10000000+$T188*1000+184)</f>
        <v/>
      </c>
      <c r="V188" t="str">
        <f>IFERROR(MATCH(SMALL($U$5:$U$404,184),$U$5:$U$404,0),"")</f>
        <v/>
      </c>
      <c r="W188" t="str">
        <f t="shared" si="70"/>
        <v/>
      </c>
      <c r="X188" t="str">
        <f t="shared" si="71"/>
        <v/>
      </c>
      <c r="Y188" t="str">
        <f t="shared" si="72"/>
        <v/>
      </c>
      <c r="Z188">
        <f t="shared" si="82"/>
        <v>0</v>
      </c>
      <c r="AA188">
        <f t="shared" si="73"/>
        <v>0</v>
      </c>
      <c r="AB188">
        <f>IF($V188="",99999+184,$AB187+1+$Z187+$AA187+$AO187)</f>
        <v>100183</v>
      </c>
      <c r="AC188" t="str">
        <f>IFERROR(MATCH(184,$AB$5:$AB$404,1),"")</f>
        <v/>
      </c>
      <c r="AD188" t="str">
        <f>IF(184=$AI$1+1,"Z",IF($AC188="","",IF(INDEX($V$5:$V$404,$AC188)="","",IF(184&gt;INDEX($AB$5:$AB$404,$AC188)+INDEX($Z$5:$Z$404,$AC188)+INDEX($AA$5:$AA$404,$AC188)+INDEX($AO$5:$AO$404,$AC188),"",IF(184=INDEX($AB$5:$AB$404,$AC188)+INDEX($Z$5:$Z$404,$AC188),"D",IF(AND(INDEX($Z$5:$Z$404,$AC188)=1,184=INDEX($AB$5:$AB$404,$AC188)),"H",IF(AND(INDEX($AO$5:$AO$404,$AC188)=1,184=INDEX($AB$5:$AB$404,$AC188)+INDEX($Z$5:$Z$404,$AC188)+INDEX($AA$5:$AA$404,$AC188)+INDEX($AO$5:$AO$404,$AC188)),"B","T")))))))</f>
        <v/>
      </c>
      <c r="AF188" t="str">
        <f t="shared" si="74"/>
        <v/>
      </c>
      <c r="AJ188">
        <f>IF($AD188&lt;&gt;"T",0,ROUND(SUMIF(oil!$B$4:$B$63,$AF188,oil!$AE$4:$AE$63),2))</f>
        <v>0</v>
      </c>
      <c r="AK188" t="str">
        <f>IF($S188="","",IFERROR(INDEX(อัตราค่าขนส่ง!$R$5:$R$54,MATCH($S188,อัตราค่าขนส่ง!$Q$5:$Q$54,0)),INDEX(รายการมาตรฐาน!$G$2:$G$3,1)))</f>
        <v/>
      </c>
      <c r="AL188" t="str">
        <f>IF($S188="","",IFERROR(MATCH($AK188,รายการมาตรฐาน!$G$2:$G$3,0),1))</f>
        <v/>
      </c>
      <c r="AM188" t="str">
        <f t="shared" si="75"/>
        <v/>
      </c>
      <c r="AN188" t="str">
        <f t="shared" si="76"/>
        <v/>
      </c>
      <c r="AO188">
        <f t="shared" si="77"/>
        <v>0</v>
      </c>
      <c r="AP188">
        <f t="shared" si="83"/>
        <v>0</v>
      </c>
      <c r="AQ188" t="str">
        <f t="shared" si="78"/>
        <v/>
      </c>
      <c r="AR188">
        <f>IF($Y188="",0,COUNTIF(บันทึกรายเที่ยว!$V$6:$V$10005,$Y188))</f>
        <v>0</v>
      </c>
      <c r="AS188">
        <f>IF($Y188="",0,ROUND(SUMIF(บันทึกรายเที่ยว!$V$6:$V$10005,$Y188,บันทึกรายเที่ยว!$M$6:$M$10005),2))</f>
        <v>0</v>
      </c>
      <c r="AT188">
        <f>IF($Y188="",0,IFERROR(INDEX(อัตราค่าขนส่ง!$J$5:$J$204,MATCH($Y188,อัตราค่าขนส่ง!$O$5:$O$204,0)),0))</f>
        <v>0</v>
      </c>
      <c r="AU188">
        <f t="shared" si="79"/>
        <v>0</v>
      </c>
      <c r="AV188">
        <f t="shared" si="80"/>
        <v>0</v>
      </c>
      <c r="AW188" t="str">
        <f>IF($Y188="","",IFERROR(INDEX(อัตราค่าขนส่ง!$F$5:$F$204,MATCH($Y188,อัตราค่าขนส่ง!$O$5:$O$204,0)),""))</f>
        <v/>
      </c>
      <c r="AX188" t="str">
        <f>IF($W188="","",INDEX(บันทึกรายเที่ยว!$D$6:$D$10005,$W188))</f>
        <v/>
      </c>
      <c r="AY188" t="str">
        <f>IF($W188="","",INDEX(บันทึกรายเที่ยว!$R$6:$R$10005,$W188))</f>
        <v/>
      </c>
      <c r="AZ188">
        <f t="shared" si="81"/>
        <v>0</v>
      </c>
      <c r="BA188" t="str">
        <f>IF($W188="","",INDEX(บันทึกรายเที่ยว!$E$6:$E$10005,$W188))</f>
        <v/>
      </c>
      <c r="BC188">
        <f>IF($Y188="",0,IFERROR(INDEX(อัตราค่าขนส่ง!$M$5:$M$204,MATCH($Y188,อัตราค่าขนส่ง!$O$5:$O$204,0)),0))</f>
        <v>0</v>
      </c>
      <c r="BD188">
        <f>IF($Y188="",0,IFERROR(INDEX(อัตราค่าขนส่ง!$N$5:$N$204,MATCH($Y188,อัตราค่าขนส่ง!$O$5:$O$204,0)),0))</f>
        <v>0</v>
      </c>
    </row>
    <row r="189" spans="1:56" ht="21" customHeight="1" x14ac:dyDescent="0.95">
      <c r="A189" s="36" t="str">
        <f>IF($AD189="","",IF($AD189="Z","รวมจ่ายทั้งสิ้น",IF($AD189="H",INDEX($X$5:$X$404,$AC189),IF($AD189="T","รวม",IF($AD189="B",IFERROR(INDEX(อัตราค่าขนส่ง!$U$5:$U$14,MATCH(INDEX($AM$5:$AM$404,$AC189),อัตราค่าขนส่ง!$T$5:$T$14,0)),"รวมกลุ่ม "&amp;INDEX($AM$5:$AM$404,$AC189)),INDEX($AY$5:$AY$404,$AC189))))))</f>
        <v/>
      </c>
      <c r="B189" s="31" t="str">
        <f t="shared" si="56"/>
        <v/>
      </c>
      <c r="C189" s="8" t="str">
        <f t="shared" si="57"/>
        <v/>
      </c>
      <c r="D189" s="37" t="str">
        <f t="shared" si="58"/>
        <v/>
      </c>
      <c r="E189" s="31" t="str">
        <f t="shared" si="59"/>
        <v/>
      </c>
      <c r="F189" s="32" t="str">
        <f t="shared" si="60"/>
        <v/>
      </c>
      <c r="G189" s="32" t="str">
        <f t="shared" si="61"/>
        <v/>
      </c>
      <c r="H189" s="32" t="str">
        <f t="shared" si="62"/>
        <v/>
      </c>
      <c r="I189" s="32" t="str">
        <f t="shared" si="63"/>
        <v/>
      </c>
      <c r="J189" s="46" t="str">
        <f t="shared" si="64"/>
        <v/>
      </c>
      <c r="K189" s="32" t="str">
        <f t="shared" si="65"/>
        <v/>
      </c>
      <c r="L189" s="32" t="str">
        <f t="shared" si="66"/>
        <v/>
      </c>
      <c r="M189" s="32" t="str">
        <f t="shared" si="67"/>
        <v/>
      </c>
      <c r="N189" s="32" t="str">
        <f t="shared" si="68"/>
        <v/>
      </c>
      <c r="O189" s="32" t="str">
        <f t="shared" si="69"/>
        <v/>
      </c>
      <c r="Q189" t="str">
        <f>IFERROR(MATCH(185,บันทึกรายเที่ยว!$Z$6:$Z$10005,0),"")</f>
        <v/>
      </c>
      <c r="R189" t="str">
        <f>IF($Q189="","",INDEX(บันทึกรายเที่ยว!$V$6:$V$10005,$Q189))</f>
        <v/>
      </c>
      <c r="S189" t="str">
        <f>IF($Q189="","",INDEX(บันทึกรายเที่ยว!$F$6:$F$10005,$Q189))</f>
        <v/>
      </c>
      <c r="T189" t="str">
        <f>IF($Q189="","",MATCH($S189,บันทึกรายเที่ยว!$F$6:$F$10005,0))</f>
        <v/>
      </c>
      <c r="U189" t="str">
        <f>IF($Q189="","",$AL189*10000000+$T189*1000+185)</f>
        <v/>
      </c>
      <c r="V189" t="str">
        <f>IFERROR(MATCH(SMALL($U$5:$U$404,185),$U$5:$U$404,0),"")</f>
        <v/>
      </c>
      <c r="W189" t="str">
        <f t="shared" si="70"/>
        <v/>
      </c>
      <c r="X189" t="str">
        <f t="shared" si="71"/>
        <v/>
      </c>
      <c r="Y189" t="str">
        <f t="shared" si="72"/>
        <v/>
      </c>
      <c r="Z189">
        <f t="shared" si="82"/>
        <v>0</v>
      </c>
      <c r="AA189">
        <f t="shared" si="73"/>
        <v>0</v>
      </c>
      <c r="AB189">
        <f>IF($V189="",99999+185,$AB188+1+$Z188+$AA188+$AO188)</f>
        <v>100184</v>
      </c>
      <c r="AC189" t="str">
        <f>IFERROR(MATCH(185,$AB$5:$AB$404,1),"")</f>
        <v/>
      </c>
      <c r="AD189" t="str">
        <f>IF(185=$AI$1+1,"Z",IF($AC189="","",IF(INDEX($V$5:$V$404,$AC189)="","",IF(185&gt;INDEX($AB$5:$AB$404,$AC189)+INDEX($Z$5:$Z$404,$AC189)+INDEX($AA$5:$AA$404,$AC189)+INDEX($AO$5:$AO$404,$AC189),"",IF(185=INDEX($AB$5:$AB$404,$AC189)+INDEX($Z$5:$Z$404,$AC189),"D",IF(AND(INDEX($Z$5:$Z$404,$AC189)=1,185=INDEX($AB$5:$AB$404,$AC189)),"H",IF(AND(INDEX($AO$5:$AO$404,$AC189)=1,185=INDEX($AB$5:$AB$404,$AC189)+INDEX($Z$5:$Z$404,$AC189)+INDEX($AA$5:$AA$404,$AC189)+INDEX($AO$5:$AO$404,$AC189)),"B","T")))))))</f>
        <v/>
      </c>
      <c r="AF189" t="str">
        <f t="shared" si="74"/>
        <v/>
      </c>
      <c r="AJ189">
        <f>IF($AD189&lt;&gt;"T",0,ROUND(SUMIF(oil!$B$4:$B$63,$AF189,oil!$AE$4:$AE$63),2))</f>
        <v>0</v>
      </c>
      <c r="AK189" t="str">
        <f>IF($S189="","",IFERROR(INDEX(อัตราค่าขนส่ง!$R$5:$R$54,MATCH($S189,อัตราค่าขนส่ง!$Q$5:$Q$54,0)),INDEX(รายการมาตรฐาน!$G$2:$G$3,1)))</f>
        <v/>
      </c>
      <c r="AL189" t="str">
        <f>IF($S189="","",IFERROR(MATCH($AK189,รายการมาตรฐาน!$G$2:$G$3,0),1))</f>
        <v/>
      </c>
      <c r="AM189" t="str">
        <f t="shared" si="75"/>
        <v/>
      </c>
      <c r="AN189" t="str">
        <f t="shared" si="76"/>
        <v/>
      </c>
      <c r="AO189">
        <f t="shared" si="77"/>
        <v>0</v>
      </c>
      <c r="AP189">
        <f t="shared" si="83"/>
        <v>0</v>
      </c>
      <c r="AQ189" t="str">
        <f t="shared" si="78"/>
        <v/>
      </c>
      <c r="AR189">
        <f>IF($Y189="",0,COUNTIF(บันทึกรายเที่ยว!$V$6:$V$10005,$Y189))</f>
        <v>0</v>
      </c>
      <c r="AS189">
        <f>IF($Y189="",0,ROUND(SUMIF(บันทึกรายเที่ยว!$V$6:$V$10005,$Y189,บันทึกรายเที่ยว!$M$6:$M$10005),2))</f>
        <v>0</v>
      </c>
      <c r="AT189">
        <f>IF($Y189="",0,IFERROR(INDEX(อัตราค่าขนส่ง!$J$5:$J$204,MATCH($Y189,อัตราค่าขนส่ง!$O$5:$O$204,0)),0))</f>
        <v>0</v>
      </c>
      <c r="AU189">
        <f t="shared" si="79"/>
        <v>0</v>
      </c>
      <c r="AV189">
        <f t="shared" si="80"/>
        <v>0</v>
      </c>
      <c r="AW189" t="str">
        <f>IF($Y189="","",IFERROR(INDEX(อัตราค่าขนส่ง!$F$5:$F$204,MATCH($Y189,อัตราค่าขนส่ง!$O$5:$O$204,0)),""))</f>
        <v/>
      </c>
      <c r="AX189" t="str">
        <f>IF($W189="","",INDEX(บันทึกรายเที่ยว!$D$6:$D$10005,$W189))</f>
        <v/>
      </c>
      <c r="AY189" t="str">
        <f>IF($W189="","",INDEX(บันทึกรายเที่ยว!$R$6:$R$10005,$W189))</f>
        <v/>
      </c>
      <c r="AZ189">
        <f t="shared" si="81"/>
        <v>0</v>
      </c>
      <c r="BA189" t="str">
        <f>IF($W189="","",INDEX(บันทึกรายเที่ยว!$E$6:$E$10005,$W189))</f>
        <v/>
      </c>
      <c r="BC189">
        <f>IF($Y189="",0,IFERROR(INDEX(อัตราค่าขนส่ง!$M$5:$M$204,MATCH($Y189,อัตราค่าขนส่ง!$O$5:$O$204,0)),0))</f>
        <v>0</v>
      </c>
      <c r="BD189">
        <f>IF($Y189="",0,IFERROR(INDEX(อัตราค่าขนส่ง!$N$5:$N$204,MATCH($Y189,อัตราค่าขนส่ง!$O$5:$O$204,0)),0))</f>
        <v>0</v>
      </c>
    </row>
    <row r="190" spans="1:56" ht="21" customHeight="1" x14ac:dyDescent="0.95">
      <c r="A190" s="36" t="str">
        <f>IF($AD190="","",IF($AD190="Z","รวมจ่ายทั้งสิ้น",IF($AD190="H",INDEX($X$5:$X$404,$AC190),IF($AD190="T","รวม",IF($AD190="B",IFERROR(INDEX(อัตราค่าขนส่ง!$U$5:$U$14,MATCH(INDEX($AM$5:$AM$404,$AC190),อัตราค่าขนส่ง!$T$5:$T$14,0)),"รวมกลุ่ม "&amp;INDEX($AM$5:$AM$404,$AC190)),INDEX($AY$5:$AY$404,$AC190))))))</f>
        <v/>
      </c>
      <c r="B190" s="31" t="str">
        <f t="shared" si="56"/>
        <v/>
      </c>
      <c r="C190" s="8" t="str">
        <f t="shared" si="57"/>
        <v/>
      </c>
      <c r="D190" s="37" t="str">
        <f t="shared" si="58"/>
        <v/>
      </c>
      <c r="E190" s="31" t="str">
        <f t="shared" si="59"/>
        <v/>
      </c>
      <c r="F190" s="32" t="str">
        <f t="shared" si="60"/>
        <v/>
      </c>
      <c r="G190" s="32" t="str">
        <f t="shared" si="61"/>
        <v/>
      </c>
      <c r="H190" s="32" t="str">
        <f t="shared" si="62"/>
        <v/>
      </c>
      <c r="I190" s="32" t="str">
        <f t="shared" si="63"/>
        <v/>
      </c>
      <c r="J190" s="46" t="str">
        <f t="shared" si="64"/>
        <v/>
      </c>
      <c r="K190" s="32" t="str">
        <f t="shared" si="65"/>
        <v/>
      </c>
      <c r="L190" s="32" t="str">
        <f t="shared" si="66"/>
        <v/>
      </c>
      <c r="M190" s="32" t="str">
        <f t="shared" si="67"/>
        <v/>
      </c>
      <c r="N190" s="32" t="str">
        <f t="shared" si="68"/>
        <v/>
      </c>
      <c r="O190" s="32" t="str">
        <f t="shared" si="69"/>
        <v/>
      </c>
      <c r="Q190" t="str">
        <f>IFERROR(MATCH(186,บันทึกรายเที่ยว!$Z$6:$Z$10005,0),"")</f>
        <v/>
      </c>
      <c r="R190" t="str">
        <f>IF($Q190="","",INDEX(บันทึกรายเที่ยว!$V$6:$V$10005,$Q190))</f>
        <v/>
      </c>
      <c r="S190" t="str">
        <f>IF($Q190="","",INDEX(บันทึกรายเที่ยว!$F$6:$F$10005,$Q190))</f>
        <v/>
      </c>
      <c r="T190" t="str">
        <f>IF($Q190="","",MATCH($S190,บันทึกรายเที่ยว!$F$6:$F$10005,0))</f>
        <v/>
      </c>
      <c r="U190" t="str">
        <f>IF($Q190="","",$AL190*10000000+$T190*1000+186)</f>
        <v/>
      </c>
      <c r="V190" t="str">
        <f>IFERROR(MATCH(SMALL($U$5:$U$404,186),$U$5:$U$404,0),"")</f>
        <v/>
      </c>
      <c r="W190" t="str">
        <f t="shared" si="70"/>
        <v/>
      </c>
      <c r="X190" t="str">
        <f t="shared" si="71"/>
        <v/>
      </c>
      <c r="Y190" t="str">
        <f t="shared" si="72"/>
        <v/>
      </c>
      <c r="Z190">
        <f t="shared" si="82"/>
        <v>0</v>
      </c>
      <c r="AA190">
        <f t="shared" si="73"/>
        <v>0</v>
      </c>
      <c r="AB190">
        <f>IF($V190="",99999+186,$AB189+1+$Z189+$AA189+$AO189)</f>
        <v>100185</v>
      </c>
      <c r="AC190" t="str">
        <f>IFERROR(MATCH(186,$AB$5:$AB$404,1),"")</f>
        <v/>
      </c>
      <c r="AD190" t="str">
        <f>IF(186=$AI$1+1,"Z",IF($AC190="","",IF(INDEX($V$5:$V$404,$AC190)="","",IF(186&gt;INDEX($AB$5:$AB$404,$AC190)+INDEX($Z$5:$Z$404,$AC190)+INDEX($AA$5:$AA$404,$AC190)+INDEX($AO$5:$AO$404,$AC190),"",IF(186=INDEX($AB$5:$AB$404,$AC190)+INDEX($Z$5:$Z$404,$AC190),"D",IF(AND(INDEX($Z$5:$Z$404,$AC190)=1,186=INDEX($AB$5:$AB$404,$AC190)),"H",IF(AND(INDEX($AO$5:$AO$404,$AC190)=1,186=INDEX($AB$5:$AB$404,$AC190)+INDEX($Z$5:$Z$404,$AC190)+INDEX($AA$5:$AA$404,$AC190)+INDEX($AO$5:$AO$404,$AC190)),"B","T")))))))</f>
        <v/>
      </c>
      <c r="AF190" t="str">
        <f t="shared" si="74"/>
        <v/>
      </c>
      <c r="AJ190">
        <f>IF($AD190&lt;&gt;"T",0,ROUND(SUMIF(oil!$B$4:$B$63,$AF190,oil!$AE$4:$AE$63),2))</f>
        <v>0</v>
      </c>
      <c r="AK190" t="str">
        <f>IF($S190="","",IFERROR(INDEX(อัตราค่าขนส่ง!$R$5:$R$54,MATCH($S190,อัตราค่าขนส่ง!$Q$5:$Q$54,0)),INDEX(รายการมาตรฐาน!$G$2:$G$3,1)))</f>
        <v/>
      </c>
      <c r="AL190" t="str">
        <f>IF($S190="","",IFERROR(MATCH($AK190,รายการมาตรฐาน!$G$2:$G$3,0),1))</f>
        <v/>
      </c>
      <c r="AM190" t="str">
        <f t="shared" si="75"/>
        <v/>
      </c>
      <c r="AN190" t="str">
        <f t="shared" si="76"/>
        <v/>
      </c>
      <c r="AO190">
        <f t="shared" si="77"/>
        <v>0</v>
      </c>
      <c r="AP190">
        <f t="shared" si="83"/>
        <v>0</v>
      </c>
      <c r="AQ190" t="str">
        <f t="shared" si="78"/>
        <v/>
      </c>
      <c r="AR190">
        <f>IF($Y190="",0,COUNTIF(บันทึกรายเที่ยว!$V$6:$V$10005,$Y190))</f>
        <v>0</v>
      </c>
      <c r="AS190">
        <f>IF($Y190="",0,ROUND(SUMIF(บันทึกรายเที่ยว!$V$6:$V$10005,$Y190,บันทึกรายเที่ยว!$M$6:$M$10005),2))</f>
        <v>0</v>
      </c>
      <c r="AT190">
        <f>IF($Y190="",0,IFERROR(INDEX(อัตราค่าขนส่ง!$J$5:$J$204,MATCH($Y190,อัตราค่าขนส่ง!$O$5:$O$204,0)),0))</f>
        <v>0</v>
      </c>
      <c r="AU190">
        <f t="shared" si="79"/>
        <v>0</v>
      </c>
      <c r="AV190">
        <f t="shared" si="80"/>
        <v>0</v>
      </c>
      <c r="AW190" t="str">
        <f>IF($Y190="","",IFERROR(INDEX(อัตราค่าขนส่ง!$F$5:$F$204,MATCH($Y190,อัตราค่าขนส่ง!$O$5:$O$204,0)),""))</f>
        <v/>
      </c>
      <c r="AX190" t="str">
        <f>IF($W190="","",INDEX(บันทึกรายเที่ยว!$D$6:$D$10005,$W190))</f>
        <v/>
      </c>
      <c r="AY190" t="str">
        <f>IF($W190="","",INDEX(บันทึกรายเที่ยว!$R$6:$R$10005,$W190))</f>
        <v/>
      </c>
      <c r="AZ190">
        <f t="shared" si="81"/>
        <v>0</v>
      </c>
      <c r="BA190" t="str">
        <f>IF($W190="","",INDEX(บันทึกรายเที่ยว!$E$6:$E$10005,$W190))</f>
        <v/>
      </c>
      <c r="BC190">
        <f>IF($Y190="",0,IFERROR(INDEX(อัตราค่าขนส่ง!$M$5:$M$204,MATCH($Y190,อัตราค่าขนส่ง!$O$5:$O$204,0)),0))</f>
        <v>0</v>
      </c>
      <c r="BD190">
        <f>IF($Y190="",0,IFERROR(INDEX(อัตราค่าขนส่ง!$N$5:$N$204,MATCH($Y190,อัตราค่าขนส่ง!$O$5:$O$204,0)),0))</f>
        <v>0</v>
      </c>
    </row>
    <row r="191" spans="1:56" ht="21" customHeight="1" x14ac:dyDescent="0.95">
      <c r="A191" s="36" t="str">
        <f>IF($AD191="","",IF($AD191="Z","รวมจ่ายทั้งสิ้น",IF($AD191="H",INDEX($X$5:$X$404,$AC191),IF($AD191="T","รวม",IF($AD191="B",IFERROR(INDEX(อัตราค่าขนส่ง!$U$5:$U$14,MATCH(INDEX($AM$5:$AM$404,$AC191),อัตราค่าขนส่ง!$T$5:$T$14,0)),"รวมกลุ่ม "&amp;INDEX($AM$5:$AM$404,$AC191)),INDEX($AY$5:$AY$404,$AC191))))))</f>
        <v/>
      </c>
      <c r="B191" s="31" t="str">
        <f t="shared" si="56"/>
        <v/>
      </c>
      <c r="C191" s="8" t="str">
        <f t="shared" si="57"/>
        <v/>
      </c>
      <c r="D191" s="37" t="str">
        <f t="shared" si="58"/>
        <v/>
      </c>
      <c r="E191" s="31" t="str">
        <f t="shared" si="59"/>
        <v/>
      </c>
      <c r="F191" s="32" t="str">
        <f t="shared" si="60"/>
        <v/>
      </c>
      <c r="G191" s="32" t="str">
        <f t="shared" si="61"/>
        <v/>
      </c>
      <c r="H191" s="32" t="str">
        <f t="shared" si="62"/>
        <v/>
      </c>
      <c r="I191" s="32" t="str">
        <f t="shared" si="63"/>
        <v/>
      </c>
      <c r="J191" s="46" t="str">
        <f t="shared" si="64"/>
        <v/>
      </c>
      <c r="K191" s="32" t="str">
        <f t="shared" si="65"/>
        <v/>
      </c>
      <c r="L191" s="32" t="str">
        <f t="shared" si="66"/>
        <v/>
      </c>
      <c r="M191" s="32" t="str">
        <f t="shared" si="67"/>
        <v/>
      </c>
      <c r="N191" s="32" t="str">
        <f t="shared" si="68"/>
        <v/>
      </c>
      <c r="O191" s="32" t="str">
        <f t="shared" si="69"/>
        <v/>
      </c>
      <c r="Q191" t="str">
        <f>IFERROR(MATCH(187,บันทึกรายเที่ยว!$Z$6:$Z$10005,0),"")</f>
        <v/>
      </c>
      <c r="R191" t="str">
        <f>IF($Q191="","",INDEX(บันทึกรายเที่ยว!$V$6:$V$10005,$Q191))</f>
        <v/>
      </c>
      <c r="S191" t="str">
        <f>IF($Q191="","",INDEX(บันทึกรายเที่ยว!$F$6:$F$10005,$Q191))</f>
        <v/>
      </c>
      <c r="T191" t="str">
        <f>IF($Q191="","",MATCH($S191,บันทึกรายเที่ยว!$F$6:$F$10005,0))</f>
        <v/>
      </c>
      <c r="U191" t="str">
        <f>IF($Q191="","",$AL191*10000000+$T191*1000+187)</f>
        <v/>
      </c>
      <c r="V191" t="str">
        <f>IFERROR(MATCH(SMALL($U$5:$U$404,187),$U$5:$U$404,0),"")</f>
        <v/>
      </c>
      <c r="W191" t="str">
        <f t="shared" si="70"/>
        <v/>
      </c>
      <c r="X191" t="str">
        <f t="shared" si="71"/>
        <v/>
      </c>
      <c r="Y191" t="str">
        <f t="shared" si="72"/>
        <v/>
      </c>
      <c r="Z191">
        <f t="shared" si="82"/>
        <v>0</v>
      </c>
      <c r="AA191">
        <f t="shared" si="73"/>
        <v>0</v>
      </c>
      <c r="AB191">
        <f>IF($V191="",99999+187,$AB190+1+$Z190+$AA190+$AO190)</f>
        <v>100186</v>
      </c>
      <c r="AC191" t="str">
        <f>IFERROR(MATCH(187,$AB$5:$AB$404,1),"")</f>
        <v/>
      </c>
      <c r="AD191" t="str">
        <f>IF(187=$AI$1+1,"Z",IF($AC191="","",IF(INDEX($V$5:$V$404,$AC191)="","",IF(187&gt;INDEX($AB$5:$AB$404,$AC191)+INDEX($Z$5:$Z$404,$AC191)+INDEX($AA$5:$AA$404,$AC191)+INDEX($AO$5:$AO$404,$AC191),"",IF(187=INDEX($AB$5:$AB$404,$AC191)+INDEX($Z$5:$Z$404,$AC191),"D",IF(AND(INDEX($Z$5:$Z$404,$AC191)=1,187=INDEX($AB$5:$AB$404,$AC191)),"H",IF(AND(INDEX($AO$5:$AO$404,$AC191)=1,187=INDEX($AB$5:$AB$404,$AC191)+INDEX($Z$5:$Z$404,$AC191)+INDEX($AA$5:$AA$404,$AC191)+INDEX($AO$5:$AO$404,$AC191)),"B","T")))))))</f>
        <v/>
      </c>
      <c r="AF191" t="str">
        <f t="shared" si="74"/>
        <v/>
      </c>
      <c r="AJ191">
        <f>IF($AD191&lt;&gt;"T",0,ROUND(SUMIF(oil!$B$4:$B$63,$AF191,oil!$AE$4:$AE$63),2))</f>
        <v>0</v>
      </c>
      <c r="AK191" t="str">
        <f>IF($S191="","",IFERROR(INDEX(อัตราค่าขนส่ง!$R$5:$R$54,MATCH($S191,อัตราค่าขนส่ง!$Q$5:$Q$54,0)),INDEX(รายการมาตรฐาน!$G$2:$G$3,1)))</f>
        <v/>
      </c>
      <c r="AL191" t="str">
        <f>IF($S191="","",IFERROR(MATCH($AK191,รายการมาตรฐาน!$G$2:$G$3,0),1))</f>
        <v/>
      </c>
      <c r="AM191" t="str">
        <f t="shared" si="75"/>
        <v/>
      </c>
      <c r="AN191" t="str">
        <f t="shared" si="76"/>
        <v/>
      </c>
      <c r="AO191">
        <f t="shared" si="77"/>
        <v>0</v>
      </c>
      <c r="AP191">
        <f t="shared" si="83"/>
        <v>0</v>
      </c>
      <c r="AQ191" t="str">
        <f t="shared" si="78"/>
        <v/>
      </c>
      <c r="AR191">
        <f>IF($Y191="",0,COUNTIF(บันทึกรายเที่ยว!$V$6:$V$10005,$Y191))</f>
        <v>0</v>
      </c>
      <c r="AS191">
        <f>IF($Y191="",0,ROUND(SUMIF(บันทึกรายเที่ยว!$V$6:$V$10005,$Y191,บันทึกรายเที่ยว!$M$6:$M$10005),2))</f>
        <v>0</v>
      </c>
      <c r="AT191">
        <f>IF($Y191="",0,IFERROR(INDEX(อัตราค่าขนส่ง!$J$5:$J$204,MATCH($Y191,อัตราค่าขนส่ง!$O$5:$O$204,0)),0))</f>
        <v>0</v>
      </c>
      <c r="AU191">
        <f t="shared" si="79"/>
        <v>0</v>
      </c>
      <c r="AV191">
        <f t="shared" si="80"/>
        <v>0</v>
      </c>
      <c r="AW191" t="str">
        <f>IF($Y191="","",IFERROR(INDEX(อัตราค่าขนส่ง!$F$5:$F$204,MATCH($Y191,อัตราค่าขนส่ง!$O$5:$O$204,0)),""))</f>
        <v/>
      </c>
      <c r="AX191" t="str">
        <f>IF($W191="","",INDEX(บันทึกรายเที่ยว!$D$6:$D$10005,$W191))</f>
        <v/>
      </c>
      <c r="AY191" t="str">
        <f>IF($W191="","",INDEX(บันทึกรายเที่ยว!$R$6:$R$10005,$W191))</f>
        <v/>
      </c>
      <c r="AZ191">
        <f t="shared" si="81"/>
        <v>0</v>
      </c>
      <c r="BA191" t="str">
        <f>IF($W191="","",INDEX(บันทึกรายเที่ยว!$E$6:$E$10005,$W191))</f>
        <v/>
      </c>
      <c r="BC191">
        <f>IF($Y191="",0,IFERROR(INDEX(อัตราค่าขนส่ง!$M$5:$M$204,MATCH($Y191,อัตราค่าขนส่ง!$O$5:$O$204,0)),0))</f>
        <v>0</v>
      </c>
      <c r="BD191">
        <f>IF($Y191="",0,IFERROR(INDEX(อัตราค่าขนส่ง!$N$5:$N$204,MATCH($Y191,อัตราค่าขนส่ง!$O$5:$O$204,0)),0))</f>
        <v>0</v>
      </c>
    </row>
    <row r="192" spans="1:56" ht="21" customHeight="1" x14ac:dyDescent="0.95">
      <c r="A192" s="36" t="str">
        <f>IF($AD192="","",IF($AD192="Z","รวมจ่ายทั้งสิ้น",IF($AD192="H",INDEX($X$5:$X$404,$AC192),IF($AD192="T","รวม",IF($AD192="B",IFERROR(INDEX(อัตราค่าขนส่ง!$U$5:$U$14,MATCH(INDEX($AM$5:$AM$404,$AC192),อัตราค่าขนส่ง!$T$5:$T$14,0)),"รวมกลุ่ม "&amp;INDEX($AM$5:$AM$404,$AC192)),INDEX($AY$5:$AY$404,$AC192))))))</f>
        <v/>
      </c>
      <c r="B192" s="31" t="str">
        <f t="shared" si="56"/>
        <v/>
      </c>
      <c r="C192" s="8" t="str">
        <f t="shared" si="57"/>
        <v/>
      </c>
      <c r="D192" s="37" t="str">
        <f t="shared" si="58"/>
        <v/>
      </c>
      <c r="E192" s="31" t="str">
        <f t="shared" si="59"/>
        <v/>
      </c>
      <c r="F192" s="32" t="str">
        <f t="shared" si="60"/>
        <v/>
      </c>
      <c r="G192" s="32" t="str">
        <f t="shared" si="61"/>
        <v/>
      </c>
      <c r="H192" s="32" t="str">
        <f t="shared" si="62"/>
        <v/>
      </c>
      <c r="I192" s="32" t="str">
        <f t="shared" si="63"/>
        <v/>
      </c>
      <c r="J192" s="46" t="str">
        <f t="shared" si="64"/>
        <v/>
      </c>
      <c r="K192" s="32" t="str">
        <f t="shared" si="65"/>
        <v/>
      </c>
      <c r="L192" s="32" t="str">
        <f t="shared" si="66"/>
        <v/>
      </c>
      <c r="M192" s="32" t="str">
        <f t="shared" si="67"/>
        <v/>
      </c>
      <c r="N192" s="32" t="str">
        <f t="shared" si="68"/>
        <v/>
      </c>
      <c r="O192" s="32" t="str">
        <f t="shared" si="69"/>
        <v/>
      </c>
      <c r="Q192" t="str">
        <f>IFERROR(MATCH(188,บันทึกรายเที่ยว!$Z$6:$Z$10005,0),"")</f>
        <v/>
      </c>
      <c r="R192" t="str">
        <f>IF($Q192="","",INDEX(บันทึกรายเที่ยว!$V$6:$V$10005,$Q192))</f>
        <v/>
      </c>
      <c r="S192" t="str">
        <f>IF($Q192="","",INDEX(บันทึกรายเที่ยว!$F$6:$F$10005,$Q192))</f>
        <v/>
      </c>
      <c r="T192" t="str">
        <f>IF($Q192="","",MATCH($S192,บันทึกรายเที่ยว!$F$6:$F$10005,0))</f>
        <v/>
      </c>
      <c r="U192" t="str">
        <f>IF($Q192="","",$AL192*10000000+$T192*1000+188)</f>
        <v/>
      </c>
      <c r="V192" t="str">
        <f>IFERROR(MATCH(SMALL($U$5:$U$404,188),$U$5:$U$404,0),"")</f>
        <v/>
      </c>
      <c r="W192" t="str">
        <f t="shared" si="70"/>
        <v/>
      </c>
      <c r="X192" t="str">
        <f t="shared" si="71"/>
        <v/>
      </c>
      <c r="Y192" t="str">
        <f t="shared" si="72"/>
        <v/>
      </c>
      <c r="Z192">
        <f t="shared" si="82"/>
        <v>0</v>
      </c>
      <c r="AA192">
        <f t="shared" si="73"/>
        <v>0</v>
      </c>
      <c r="AB192">
        <f>IF($V192="",99999+188,$AB191+1+$Z191+$AA191+$AO191)</f>
        <v>100187</v>
      </c>
      <c r="AC192" t="str">
        <f>IFERROR(MATCH(188,$AB$5:$AB$404,1),"")</f>
        <v/>
      </c>
      <c r="AD192" t="str">
        <f>IF(188=$AI$1+1,"Z",IF($AC192="","",IF(INDEX($V$5:$V$404,$AC192)="","",IF(188&gt;INDEX($AB$5:$AB$404,$AC192)+INDEX($Z$5:$Z$404,$AC192)+INDEX($AA$5:$AA$404,$AC192)+INDEX($AO$5:$AO$404,$AC192),"",IF(188=INDEX($AB$5:$AB$404,$AC192)+INDEX($Z$5:$Z$404,$AC192),"D",IF(AND(INDEX($Z$5:$Z$404,$AC192)=1,188=INDEX($AB$5:$AB$404,$AC192)),"H",IF(AND(INDEX($AO$5:$AO$404,$AC192)=1,188=INDEX($AB$5:$AB$404,$AC192)+INDEX($Z$5:$Z$404,$AC192)+INDEX($AA$5:$AA$404,$AC192)+INDEX($AO$5:$AO$404,$AC192)),"B","T")))))))</f>
        <v/>
      </c>
      <c r="AF192" t="str">
        <f t="shared" si="74"/>
        <v/>
      </c>
      <c r="AJ192">
        <f>IF($AD192&lt;&gt;"T",0,ROUND(SUMIF(oil!$B$4:$B$63,$AF192,oil!$AE$4:$AE$63),2))</f>
        <v>0</v>
      </c>
      <c r="AK192" t="str">
        <f>IF($S192="","",IFERROR(INDEX(อัตราค่าขนส่ง!$R$5:$R$54,MATCH($S192,อัตราค่าขนส่ง!$Q$5:$Q$54,0)),INDEX(รายการมาตรฐาน!$G$2:$G$3,1)))</f>
        <v/>
      </c>
      <c r="AL192" t="str">
        <f>IF($S192="","",IFERROR(MATCH($AK192,รายการมาตรฐาน!$G$2:$G$3,0),1))</f>
        <v/>
      </c>
      <c r="AM192" t="str">
        <f t="shared" si="75"/>
        <v/>
      </c>
      <c r="AN192" t="str">
        <f t="shared" si="76"/>
        <v/>
      </c>
      <c r="AO192">
        <f t="shared" si="77"/>
        <v>0</v>
      </c>
      <c r="AP192">
        <f t="shared" si="83"/>
        <v>0</v>
      </c>
      <c r="AQ192" t="str">
        <f t="shared" si="78"/>
        <v/>
      </c>
      <c r="AR192">
        <f>IF($Y192="",0,COUNTIF(บันทึกรายเที่ยว!$V$6:$V$10005,$Y192))</f>
        <v>0</v>
      </c>
      <c r="AS192">
        <f>IF($Y192="",0,ROUND(SUMIF(บันทึกรายเที่ยว!$V$6:$V$10005,$Y192,บันทึกรายเที่ยว!$M$6:$M$10005),2))</f>
        <v>0</v>
      </c>
      <c r="AT192">
        <f>IF($Y192="",0,IFERROR(INDEX(อัตราค่าขนส่ง!$J$5:$J$204,MATCH($Y192,อัตราค่าขนส่ง!$O$5:$O$204,0)),0))</f>
        <v>0</v>
      </c>
      <c r="AU192">
        <f t="shared" si="79"/>
        <v>0</v>
      </c>
      <c r="AV192">
        <f t="shared" si="80"/>
        <v>0</v>
      </c>
      <c r="AW192" t="str">
        <f>IF($Y192="","",IFERROR(INDEX(อัตราค่าขนส่ง!$F$5:$F$204,MATCH($Y192,อัตราค่าขนส่ง!$O$5:$O$204,0)),""))</f>
        <v/>
      </c>
      <c r="AX192" t="str">
        <f>IF($W192="","",INDEX(บันทึกรายเที่ยว!$D$6:$D$10005,$W192))</f>
        <v/>
      </c>
      <c r="AY192" t="str">
        <f>IF($W192="","",INDEX(บันทึกรายเที่ยว!$R$6:$R$10005,$W192))</f>
        <v/>
      </c>
      <c r="AZ192">
        <f t="shared" si="81"/>
        <v>0</v>
      </c>
      <c r="BA192" t="str">
        <f>IF($W192="","",INDEX(บันทึกรายเที่ยว!$E$6:$E$10005,$W192))</f>
        <v/>
      </c>
      <c r="BC192">
        <f>IF($Y192="",0,IFERROR(INDEX(อัตราค่าขนส่ง!$M$5:$M$204,MATCH($Y192,อัตราค่าขนส่ง!$O$5:$O$204,0)),0))</f>
        <v>0</v>
      </c>
      <c r="BD192">
        <f>IF($Y192="",0,IFERROR(INDEX(อัตราค่าขนส่ง!$N$5:$N$204,MATCH($Y192,อัตราค่าขนส่ง!$O$5:$O$204,0)),0))</f>
        <v>0</v>
      </c>
    </row>
    <row r="193" spans="1:56" ht="21" customHeight="1" x14ac:dyDescent="0.95">
      <c r="A193" s="36" t="str">
        <f>IF($AD193="","",IF($AD193="Z","รวมจ่ายทั้งสิ้น",IF($AD193="H",INDEX($X$5:$X$404,$AC193),IF($AD193="T","รวม",IF($AD193="B",IFERROR(INDEX(อัตราค่าขนส่ง!$U$5:$U$14,MATCH(INDEX($AM$5:$AM$404,$AC193),อัตราค่าขนส่ง!$T$5:$T$14,0)),"รวมกลุ่ม "&amp;INDEX($AM$5:$AM$404,$AC193)),INDEX($AY$5:$AY$404,$AC193))))))</f>
        <v/>
      </c>
      <c r="B193" s="31" t="str">
        <f t="shared" si="56"/>
        <v/>
      </c>
      <c r="C193" s="8" t="str">
        <f t="shared" si="57"/>
        <v/>
      </c>
      <c r="D193" s="37" t="str">
        <f t="shared" si="58"/>
        <v/>
      </c>
      <c r="E193" s="31" t="str">
        <f t="shared" si="59"/>
        <v/>
      </c>
      <c r="F193" s="32" t="str">
        <f t="shared" si="60"/>
        <v/>
      </c>
      <c r="G193" s="32" t="str">
        <f t="shared" si="61"/>
        <v/>
      </c>
      <c r="H193" s="32" t="str">
        <f t="shared" si="62"/>
        <v/>
      </c>
      <c r="I193" s="32" t="str">
        <f t="shared" si="63"/>
        <v/>
      </c>
      <c r="J193" s="46" t="str">
        <f t="shared" si="64"/>
        <v/>
      </c>
      <c r="K193" s="32" t="str">
        <f t="shared" si="65"/>
        <v/>
      </c>
      <c r="L193" s="32" t="str">
        <f t="shared" si="66"/>
        <v/>
      </c>
      <c r="M193" s="32" t="str">
        <f t="shared" si="67"/>
        <v/>
      </c>
      <c r="N193" s="32" t="str">
        <f t="shared" si="68"/>
        <v/>
      </c>
      <c r="O193" s="32" t="str">
        <f t="shared" si="69"/>
        <v/>
      </c>
      <c r="Q193" t="str">
        <f>IFERROR(MATCH(189,บันทึกรายเที่ยว!$Z$6:$Z$10005,0),"")</f>
        <v/>
      </c>
      <c r="R193" t="str">
        <f>IF($Q193="","",INDEX(บันทึกรายเที่ยว!$V$6:$V$10005,$Q193))</f>
        <v/>
      </c>
      <c r="S193" t="str">
        <f>IF($Q193="","",INDEX(บันทึกรายเที่ยว!$F$6:$F$10005,$Q193))</f>
        <v/>
      </c>
      <c r="T193" t="str">
        <f>IF($Q193="","",MATCH($S193,บันทึกรายเที่ยว!$F$6:$F$10005,0))</f>
        <v/>
      </c>
      <c r="U193" t="str">
        <f>IF($Q193="","",$AL193*10000000+$T193*1000+189)</f>
        <v/>
      </c>
      <c r="V193" t="str">
        <f>IFERROR(MATCH(SMALL($U$5:$U$404,189),$U$5:$U$404,0),"")</f>
        <v/>
      </c>
      <c r="W193" t="str">
        <f t="shared" si="70"/>
        <v/>
      </c>
      <c r="X193" t="str">
        <f t="shared" si="71"/>
        <v/>
      </c>
      <c r="Y193" t="str">
        <f t="shared" si="72"/>
        <v/>
      </c>
      <c r="Z193">
        <f t="shared" si="82"/>
        <v>0</v>
      </c>
      <c r="AA193">
        <f t="shared" si="73"/>
        <v>0</v>
      </c>
      <c r="AB193">
        <f>IF($V193="",99999+189,$AB192+1+$Z192+$AA192+$AO192)</f>
        <v>100188</v>
      </c>
      <c r="AC193" t="str">
        <f>IFERROR(MATCH(189,$AB$5:$AB$404,1),"")</f>
        <v/>
      </c>
      <c r="AD193" t="str">
        <f>IF(189=$AI$1+1,"Z",IF($AC193="","",IF(INDEX($V$5:$V$404,$AC193)="","",IF(189&gt;INDEX($AB$5:$AB$404,$AC193)+INDEX($Z$5:$Z$404,$AC193)+INDEX($AA$5:$AA$404,$AC193)+INDEX($AO$5:$AO$404,$AC193),"",IF(189=INDEX($AB$5:$AB$404,$AC193)+INDEX($Z$5:$Z$404,$AC193),"D",IF(AND(INDEX($Z$5:$Z$404,$AC193)=1,189=INDEX($AB$5:$AB$404,$AC193)),"H",IF(AND(INDEX($AO$5:$AO$404,$AC193)=1,189=INDEX($AB$5:$AB$404,$AC193)+INDEX($Z$5:$Z$404,$AC193)+INDEX($AA$5:$AA$404,$AC193)+INDEX($AO$5:$AO$404,$AC193)),"B","T")))))))</f>
        <v/>
      </c>
      <c r="AF193" t="str">
        <f t="shared" si="74"/>
        <v/>
      </c>
      <c r="AJ193">
        <f>IF($AD193&lt;&gt;"T",0,ROUND(SUMIF(oil!$B$4:$B$63,$AF193,oil!$AE$4:$AE$63),2))</f>
        <v>0</v>
      </c>
      <c r="AK193" t="str">
        <f>IF($S193="","",IFERROR(INDEX(อัตราค่าขนส่ง!$R$5:$R$54,MATCH($S193,อัตราค่าขนส่ง!$Q$5:$Q$54,0)),INDEX(รายการมาตรฐาน!$G$2:$G$3,1)))</f>
        <v/>
      </c>
      <c r="AL193" t="str">
        <f>IF($S193="","",IFERROR(MATCH($AK193,รายการมาตรฐาน!$G$2:$G$3,0),1))</f>
        <v/>
      </c>
      <c r="AM193" t="str">
        <f t="shared" si="75"/>
        <v/>
      </c>
      <c r="AN193" t="str">
        <f t="shared" si="76"/>
        <v/>
      </c>
      <c r="AO193">
        <f t="shared" si="77"/>
        <v>0</v>
      </c>
      <c r="AP193">
        <f t="shared" si="83"/>
        <v>0</v>
      </c>
      <c r="AQ193" t="str">
        <f t="shared" si="78"/>
        <v/>
      </c>
      <c r="AR193">
        <f>IF($Y193="",0,COUNTIF(บันทึกรายเที่ยว!$V$6:$V$10005,$Y193))</f>
        <v>0</v>
      </c>
      <c r="AS193">
        <f>IF($Y193="",0,ROUND(SUMIF(บันทึกรายเที่ยว!$V$6:$V$10005,$Y193,บันทึกรายเที่ยว!$M$6:$M$10005),2))</f>
        <v>0</v>
      </c>
      <c r="AT193">
        <f>IF($Y193="",0,IFERROR(INDEX(อัตราค่าขนส่ง!$J$5:$J$204,MATCH($Y193,อัตราค่าขนส่ง!$O$5:$O$204,0)),0))</f>
        <v>0</v>
      </c>
      <c r="AU193">
        <f t="shared" si="79"/>
        <v>0</v>
      </c>
      <c r="AV193">
        <f t="shared" si="80"/>
        <v>0</v>
      </c>
      <c r="AW193" t="str">
        <f>IF($Y193="","",IFERROR(INDEX(อัตราค่าขนส่ง!$F$5:$F$204,MATCH($Y193,อัตราค่าขนส่ง!$O$5:$O$204,0)),""))</f>
        <v/>
      </c>
      <c r="AX193" t="str">
        <f>IF($W193="","",INDEX(บันทึกรายเที่ยว!$D$6:$D$10005,$W193))</f>
        <v/>
      </c>
      <c r="AY193" t="str">
        <f>IF($W193="","",INDEX(บันทึกรายเที่ยว!$R$6:$R$10005,$W193))</f>
        <v/>
      </c>
      <c r="AZ193">
        <f t="shared" si="81"/>
        <v>0</v>
      </c>
      <c r="BA193" t="str">
        <f>IF($W193="","",INDEX(บันทึกรายเที่ยว!$E$6:$E$10005,$W193))</f>
        <v/>
      </c>
      <c r="BC193">
        <f>IF($Y193="",0,IFERROR(INDEX(อัตราค่าขนส่ง!$M$5:$M$204,MATCH($Y193,อัตราค่าขนส่ง!$O$5:$O$204,0)),0))</f>
        <v>0</v>
      </c>
      <c r="BD193">
        <f>IF($Y193="",0,IFERROR(INDEX(อัตราค่าขนส่ง!$N$5:$N$204,MATCH($Y193,อัตราค่าขนส่ง!$O$5:$O$204,0)),0))</f>
        <v>0</v>
      </c>
    </row>
    <row r="194" spans="1:56" ht="21" customHeight="1" x14ac:dyDescent="0.95">
      <c r="A194" s="36" t="str">
        <f>IF($AD194="","",IF($AD194="Z","รวมจ่ายทั้งสิ้น",IF($AD194="H",INDEX($X$5:$X$404,$AC194),IF($AD194="T","รวม",IF($AD194="B",IFERROR(INDEX(อัตราค่าขนส่ง!$U$5:$U$14,MATCH(INDEX($AM$5:$AM$404,$AC194),อัตราค่าขนส่ง!$T$5:$T$14,0)),"รวมกลุ่ม "&amp;INDEX($AM$5:$AM$404,$AC194)),INDEX($AY$5:$AY$404,$AC194))))))</f>
        <v/>
      </c>
      <c r="B194" s="31" t="str">
        <f t="shared" si="56"/>
        <v/>
      </c>
      <c r="C194" s="8" t="str">
        <f t="shared" si="57"/>
        <v/>
      </c>
      <c r="D194" s="37" t="str">
        <f t="shared" si="58"/>
        <v/>
      </c>
      <c r="E194" s="31" t="str">
        <f t="shared" si="59"/>
        <v/>
      </c>
      <c r="F194" s="32" t="str">
        <f t="shared" si="60"/>
        <v/>
      </c>
      <c r="G194" s="32" t="str">
        <f t="shared" si="61"/>
        <v/>
      </c>
      <c r="H194" s="32" t="str">
        <f t="shared" si="62"/>
        <v/>
      </c>
      <c r="I194" s="32" t="str">
        <f t="shared" si="63"/>
        <v/>
      </c>
      <c r="J194" s="46" t="str">
        <f t="shared" si="64"/>
        <v/>
      </c>
      <c r="K194" s="32" t="str">
        <f t="shared" si="65"/>
        <v/>
      </c>
      <c r="L194" s="32" t="str">
        <f t="shared" si="66"/>
        <v/>
      </c>
      <c r="M194" s="32" t="str">
        <f t="shared" si="67"/>
        <v/>
      </c>
      <c r="N194" s="32" t="str">
        <f t="shared" si="68"/>
        <v/>
      </c>
      <c r="O194" s="32" t="str">
        <f t="shared" si="69"/>
        <v/>
      </c>
      <c r="Q194" t="str">
        <f>IFERROR(MATCH(190,บันทึกรายเที่ยว!$Z$6:$Z$10005,0),"")</f>
        <v/>
      </c>
      <c r="R194" t="str">
        <f>IF($Q194="","",INDEX(บันทึกรายเที่ยว!$V$6:$V$10005,$Q194))</f>
        <v/>
      </c>
      <c r="S194" t="str">
        <f>IF($Q194="","",INDEX(บันทึกรายเที่ยว!$F$6:$F$10005,$Q194))</f>
        <v/>
      </c>
      <c r="T194" t="str">
        <f>IF($Q194="","",MATCH($S194,บันทึกรายเที่ยว!$F$6:$F$10005,0))</f>
        <v/>
      </c>
      <c r="U194" t="str">
        <f>IF($Q194="","",$AL194*10000000+$T194*1000+190)</f>
        <v/>
      </c>
      <c r="V194" t="str">
        <f>IFERROR(MATCH(SMALL($U$5:$U$404,190),$U$5:$U$404,0),"")</f>
        <v/>
      </c>
      <c r="W194" t="str">
        <f t="shared" si="70"/>
        <v/>
      </c>
      <c r="X194" t="str">
        <f t="shared" si="71"/>
        <v/>
      </c>
      <c r="Y194" t="str">
        <f t="shared" si="72"/>
        <v/>
      </c>
      <c r="Z194">
        <f t="shared" si="82"/>
        <v>0</v>
      </c>
      <c r="AA194">
        <f t="shared" si="73"/>
        <v>0</v>
      </c>
      <c r="AB194">
        <f>IF($V194="",99999+190,$AB193+1+$Z193+$AA193+$AO193)</f>
        <v>100189</v>
      </c>
      <c r="AC194" t="str">
        <f>IFERROR(MATCH(190,$AB$5:$AB$404,1),"")</f>
        <v/>
      </c>
      <c r="AD194" t="str">
        <f>IF(190=$AI$1+1,"Z",IF($AC194="","",IF(INDEX($V$5:$V$404,$AC194)="","",IF(190&gt;INDEX($AB$5:$AB$404,$AC194)+INDEX($Z$5:$Z$404,$AC194)+INDEX($AA$5:$AA$404,$AC194)+INDEX($AO$5:$AO$404,$AC194),"",IF(190=INDEX($AB$5:$AB$404,$AC194)+INDEX($Z$5:$Z$404,$AC194),"D",IF(AND(INDEX($Z$5:$Z$404,$AC194)=1,190=INDEX($AB$5:$AB$404,$AC194)),"H",IF(AND(INDEX($AO$5:$AO$404,$AC194)=1,190=INDEX($AB$5:$AB$404,$AC194)+INDEX($Z$5:$Z$404,$AC194)+INDEX($AA$5:$AA$404,$AC194)+INDEX($AO$5:$AO$404,$AC194)),"B","T")))))))</f>
        <v/>
      </c>
      <c r="AF194" t="str">
        <f t="shared" si="74"/>
        <v/>
      </c>
      <c r="AJ194">
        <f>IF($AD194&lt;&gt;"T",0,ROUND(SUMIF(oil!$B$4:$B$63,$AF194,oil!$AE$4:$AE$63),2))</f>
        <v>0</v>
      </c>
      <c r="AK194" t="str">
        <f>IF($S194="","",IFERROR(INDEX(อัตราค่าขนส่ง!$R$5:$R$54,MATCH($S194,อัตราค่าขนส่ง!$Q$5:$Q$54,0)),INDEX(รายการมาตรฐาน!$G$2:$G$3,1)))</f>
        <v/>
      </c>
      <c r="AL194" t="str">
        <f>IF($S194="","",IFERROR(MATCH($AK194,รายการมาตรฐาน!$G$2:$G$3,0),1))</f>
        <v/>
      </c>
      <c r="AM194" t="str">
        <f t="shared" si="75"/>
        <v/>
      </c>
      <c r="AN194" t="str">
        <f t="shared" si="76"/>
        <v/>
      </c>
      <c r="AO194">
        <f t="shared" si="77"/>
        <v>0</v>
      </c>
      <c r="AP194">
        <f t="shared" si="83"/>
        <v>0</v>
      </c>
      <c r="AQ194" t="str">
        <f t="shared" si="78"/>
        <v/>
      </c>
      <c r="AR194">
        <f>IF($Y194="",0,COUNTIF(บันทึกรายเที่ยว!$V$6:$V$10005,$Y194))</f>
        <v>0</v>
      </c>
      <c r="AS194">
        <f>IF($Y194="",0,ROUND(SUMIF(บันทึกรายเที่ยว!$V$6:$V$10005,$Y194,บันทึกรายเที่ยว!$M$6:$M$10005),2))</f>
        <v>0</v>
      </c>
      <c r="AT194">
        <f>IF($Y194="",0,IFERROR(INDEX(อัตราค่าขนส่ง!$J$5:$J$204,MATCH($Y194,อัตราค่าขนส่ง!$O$5:$O$204,0)),0))</f>
        <v>0</v>
      </c>
      <c r="AU194">
        <f t="shared" si="79"/>
        <v>0</v>
      </c>
      <c r="AV194">
        <f t="shared" si="80"/>
        <v>0</v>
      </c>
      <c r="AW194" t="str">
        <f>IF($Y194="","",IFERROR(INDEX(อัตราค่าขนส่ง!$F$5:$F$204,MATCH($Y194,อัตราค่าขนส่ง!$O$5:$O$204,0)),""))</f>
        <v/>
      </c>
      <c r="AX194" t="str">
        <f>IF($W194="","",INDEX(บันทึกรายเที่ยว!$D$6:$D$10005,$W194))</f>
        <v/>
      </c>
      <c r="AY194" t="str">
        <f>IF($W194="","",INDEX(บันทึกรายเที่ยว!$R$6:$R$10005,$W194))</f>
        <v/>
      </c>
      <c r="AZ194">
        <f t="shared" si="81"/>
        <v>0</v>
      </c>
      <c r="BA194" t="str">
        <f>IF($W194="","",INDEX(บันทึกรายเที่ยว!$E$6:$E$10005,$W194))</f>
        <v/>
      </c>
      <c r="BC194">
        <f>IF($Y194="",0,IFERROR(INDEX(อัตราค่าขนส่ง!$M$5:$M$204,MATCH($Y194,อัตราค่าขนส่ง!$O$5:$O$204,0)),0))</f>
        <v>0</v>
      </c>
      <c r="BD194">
        <f>IF($Y194="",0,IFERROR(INDEX(อัตราค่าขนส่ง!$N$5:$N$204,MATCH($Y194,อัตราค่าขนส่ง!$O$5:$O$204,0)),0))</f>
        <v>0</v>
      </c>
    </row>
    <row r="195" spans="1:56" ht="21" customHeight="1" x14ac:dyDescent="0.95">
      <c r="A195" s="36" t="str">
        <f>IF($AD195="","",IF($AD195="Z","รวมจ่ายทั้งสิ้น",IF($AD195="H",INDEX($X$5:$X$404,$AC195),IF($AD195="T","รวม",IF($AD195="B",IFERROR(INDEX(อัตราค่าขนส่ง!$U$5:$U$14,MATCH(INDEX($AM$5:$AM$404,$AC195),อัตราค่าขนส่ง!$T$5:$T$14,0)),"รวมกลุ่ม "&amp;INDEX($AM$5:$AM$404,$AC195)),INDEX($AY$5:$AY$404,$AC195))))))</f>
        <v/>
      </c>
      <c r="B195" s="31" t="str">
        <f t="shared" si="56"/>
        <v/>
      </c>
      <c r="C195" s="8" t="str">
        <f t="shared" si="57"/>
        <v/>
      </c>
      <c r="D195" s="37" t="str">
        <f t="shared" si="58"/>
        <v/>
      </c>
      <c r="E195" s="31" t="str">
        <f t="shared" si="59"/>
        <v/>
      </c>
      <c r="F195" s="32" t="str">
        <f t="shared" si="60"/>
        <v/>
      </c>
      <c r="G195" s="32" t="str">
        <f t="shared" si="61"/>
        <v/>
      </c>
      <c r="H195" s="32" t="str">
        <f t="shared" si="62"/>
        <v/>
      </c>
      <c r="I195" s="32" t="str">
        <f t="shared" si="63"/>
        <v/>
      </c>
      <c r="J195" s="46" t="str">
        <f t="shared" si="64"/>
        <v/>
      </c>
      <c r="K195" s="32" t="str">
        <f t="shared" si="65"/>
        <v/>
      </c>
      <c r="L195" s="32" t="str">
        <f t="shared" si="66"/>
        <v/>
      </c>
      <c r="M195" s="32" t="str">
        <f t="shared" si="67"/>
        <v/>
      </c>
      <c r="N195" s="32" t="str">
        <f t="shared" si="68"/>
        <v/>
      </c>
      <c r="O195" s="32" t="str">
        <f t="shared" si="69"/>
        <v/>
      </c>
      <c r="Q195" t="str">
        <f>IFERROR(MATCH(191,บันทึกรายเที่ยว!$Z$6:$Z$10005,0),"")</f>
        <v/>
      </c>
      <c r="R195" t="str">
        <f>IF($Q195="","",INDEX(บันทึกรายเที่ยว!$V$6:$V$10005,$Q195))</f>
        <v/>
      </c>
      <c r="S195" t="str">
        <f>IF($Q195="","",INDEX(บันทึกรายเที่ยว!$F$6:$F$10005,$Q195))</f>
        <v/>
      </c>
      <c r="T195" t="str">
        <f>IF($Q195="","",MATCH($S195,บันทึกรายเที่ยว!$F$6:$F$10005,0))</f>
        <v/>
      </c>
      <c r="U195" t="str">
        <f>IF($Q195="","",$AL195*10000000+$T195*1000+191)</f>
        <v/>
      </c>
      <c r="V195" t="str">
        <f>IFERROR(MATCH(SMALL($U$5:$U$404,191),$U$5:$U$404,0),"")</f>
        <v/>
      </c>
      <c r="W195" t="str">
        <f t="shared" si="70"/>
        <v/>
      </c>
      <c r="X195" t="str">
        <f t="shared" si="71"/>
        <v/>
      </c>
      <c r="Y195" t="str">
        <f t="shared" si="72"/>
        <v/>
      </c>
      <c r="Z195">
        <f t="shared" si="82"/>
        <v>0</v>
      </c>
      <c r="AA195">
        <f t="shared" si="73"/>
        <v>0</v>
      </c>
      <c r="AB195">
        <f>IF($V195="",99999+191,$AB194+1+$Z194+$AA194+$AO194)</f>
        <v>100190</v>
      </c>
      <c r="AC195" t="str">
        <f>IFERROR(MATCH(191,$AB$5:$AB$404,1),"")</f>
        <v/>
      </c>
      <c r="AD195" t="str">
        <f>IF(191=$AI$1+1,"Z",IF($AC195="","",IF(INDEX($V$5:$V$404,$AC195)="","",IF(191&gt;INDEX($AB$5:$AB$404,$AC195)+INDEX($Z$5:$Z$404,$AC195)+INDEX($AA$5:$AA$404,$AC195)+INDEX($AO$5:$AO$404,$AC195),"",IF(191=INDEX($AB$5:$AB$404,$AC195)+INDEX($Z$5:$Z$404,$AC195),"D",IF(AND(INDEX($Z$5:$Z$404,$AC195)=1,191=INDEX($AB$5:$AB$404,$AC195)),"H",IF(AND(INDEX($AO$5:$AO$404,$AC195)=1,191=INDEX($AB$5:$AB$404,$AC195)+INDEX($Z$5:$Z$404,$AC195)+INDEX($AA$5:$AA$404,$AC195)+INDEX($AO$5:$AO$404,$AC195)),"B","T")))))))</f>
        <v/>
      </c>
      <c r="AF195" t="str">
        <f t="shared" si="74"/>
        <v/>
      </c>
      <c r="AJ195">
        <f>IF($AD195&lt;&gt;"T",0,ROUND(SUMIF(oil!$B$4:$B$63,$AF195,oil!$AE$4:$AE$63),2))</f>
        <v>0</v>
      </c>
      <c r="AK195" t="str">
        <f>IF($S195="","",IFERROR(INDEX(อัตราค่าขนส่ง!$R$5:$R$54,MATCH($S195,อัตราค่าขนส่ง!$Q$5:$Q$54,0)),INDEX(รายการมาตรฐาน!$G$2:$G$3,1)))</f>
        <v/>
      </c>
      <c r="AL195" t="str">
        <f>IF($S195="","",IFERROR(MATCH($AK195,รายการมาตรฐาน!$G$2:$G$3,0),1))</f>
        <v/>
      </c>
      <c r="AM195" t="str">
        <f t="shared" si="75"/>
        <v/>
      </c>
      <c r="AN195" t="str">
        <f t="shared" si="76"/>
        <v/>
      </c>
      <c r="AO195">
        <f t="shared" si="77"/>
        <v>0</v>
      </c>
      <c r="AP195">
        <f t="shared" si="83"/>
        <v>0</v>
      </c>
      <c r="AQ195" t="str">
        <f t="shared" si="78"/>
        <v/>
      </c>
      <c r="AR195">
        <f>IF($Y195="",0,COUNTIF(บันทึกรายเที่ยว!$V$6:$V$10005,$Y195))</f>
        <v>0</v>
      </c>
      <c r="AS195">
        <f>IF($Y195="",0,ROUND(SUMIF(บันทึกรายเที่ยว!$V$6:$V$10005,$Y195,บันทึกรายเที่ยว!$M$6:$M$10005),2))</f>
        <v>0</v>
      </c>
      <c r="AT195">
        <f>IF($Y195="",0,IFERROR(INDEX(อัตราค่าขนส่ง!$J$5:$J$204,MATCH($Y195,อัตราค่าขนส่ง!$O$5:$O$204,0)),0))</f>
        <v>0</v>
      </c>
      <c r="AU195">
        <f t="shared" si="79"/>
        <v>0</v>
      </c>
      <c r="AV195">
        <f t="shared" si="80"/>
        <v>0</v>
      </c>
      <c r="AW195" t="str">
        <f>IF($Y195="","",IFERROR(INDEX(อัตราค่าขนส่ง!$F$5:$F$204,MATCH($Y195,อัตราค่าขนส่ง!$O$5:$O$204,0)),""))</f>
        <v/>
      </c>
      <c r="AX195" t="str">
        <f>IF($W195="","",INDEX(บันทึกรายเที่ยว!$D$6:$D$10005,$W195))</f>
        <v/>
      </c>
      <c r="AY195" t="str">
        <f>IF($W195="","",INDEX(บันทึกรายเที่ยว!$R$6:$R$10005,$W195))</f>
        <v/>
      </c>
      <c r="AZ195">
        <f t="shared" si="81"/>
        <v>0</v>
      </c>
      <c r="BA195" t="str">
        <f>IF($W195="","",INDEX(บันทึกรายเที่ยว!$E$6:$E$10005,$W195))</f>
        <v/>
      </c>
      <c r="BC195">
        <f>IF($Y195="",0,IFERROR(INDEX(อัตราค่าขนส่ง!$M$5:$M$204,MATCH($Y195,อัตราค่าขนส่ง!$O$5:$O$204,0)),0))</f>
        <v>0</v>
      </c>
      <c r="BD195">
        <f>IF($Y195="",0,IFERROR(INDEX(อัตราค่าขนส่ง!$N$5:$N$204,MATCH($Y195,อัตราค่าขนส่ง!$O$5:$O$204,0)),0))</f>
        <v>0</v>
      </c>
    </row>
    <row r="196" spans="1:56" ht="21" customHeight="1" x14ac:dyDescent="0.95">
      <c r="A196" s="36" t="str">
        <f>IF($AD196="","",IF($AD196="Z","รวมจ่ายทั้งสิ้น",IF($AD196="H",INDEX($X$5:$X$404,$AC196),IF($AD196="T","รวม",IF($AD196="B",IFERROR(INDEX(อัตราค่าขนส่ง!$U$5:$U$14,MATCH(INDEX($AM$5:$AM$404,$AC196),อัตราค่าขนส่ง!$T$5:$T$14,0)),"รวมกลุ่ม "&amp;INDEX($AM$5:$AM$404,$AC196)),INDEX($AY$5:$AY$404,$AC196))))))</f>
        <v/>
      </c>
      <c r="B196" s="31" t="str">
        <f t="shared" si="56"/>
        <v/>
      </c>
      <c r="C196" s="8" t="str">
        <f t="shared" si="57"/>
        <v/>
      </c>
      <c r="D196" s="37" t="str">
        <f t="shared" si="58"/>
        <v/>
      </c>
      <c r="E196" s="31" t="str">
        <f t="shared" si="59"/>
        <v/>
      </c>
      <c r="F196" s="32" t="str">
        <f t="shared" si="60"/>
        <v/>
      </c>
      <c r="G196" s="32" t="str">
        <f t="shared" si="61"/>
        <v/>
      </c>
      <c r="H196" s="32" t="str">
        <f t="shared" si="62"/>
        <v/>
      </c>
      <c r="I196" s="32" t="str">
        <f t="shared" si="63"/>
        <v/>
      </c>
      <c r="J196" s="46" t="str">
        <f t="shared" si="64"/>
        <v/>
      </c>
      <c r="K196" s="32" t="str">
        <f t="shared" si="65"/>
        <v/>
      </c>
      <c r="L196" s="32" t="str">
        <f t="shared" si="66"/>
        <v/>
      </c>
      <c r="M196" s="32" t="str">
        <f t="shared" si="67"/>
        <v/>
      </c>
      <c r="N196" s="32" t="str">
        <f t="shared" si="68"/>
        <v/>
      </c>
      <c r="O196" s="32" t="str">
        <f t="shared" si="69"/>
        <v/>
      </c>
      <c r="Q196" t="str">
        <f>IFERROR(MATCH(192,บันทึกรายเที่ยว!$Z$6:$Z$10005,0),"")</f>
        <v/>
      </c>
      <c r="R196" t="str">
        <f>IF($Q196="","",INDEX(บันทึกรายเที่ยว!$V$6:$V$10005,$Q196))</f>
        <v/>
      </c>
      <c r="S196" t="str">
        <f>IF($Q196="","",INDEX(บันทึกรายเที่ยว!$F$6:$F$10005,$Q196))</f>
        <v/>
      </c>
      <c r="T196" t="str">
        <f>IF($Q196="","",MATCH($S196,บันทึกรายเที่ยว!$F$6:$F$10005,0))</f>
        <v/>
      </c>
      <c r="U196" t="str">
        <f>IF($Q196="","",$AL196*10000000+$T196*1000+192)</f>
        <v/>
      </c>
      <c r="V196" t="str">
        <f>IFERROR(MATCH(SMALL($U$5:$U$404,192),$U$5:$U$404,0),"")</f>
        <v/>
      </c>
      <c r="W196" t="str">
        <f t="shared" si="70"/>
        <v/>
      </c>
      <c r="X196" t="str">
        <f t="shared" si="71"/>
        <v/>
      </c>
      <c r="Y196" t="str">
        <f t="shared" si="72"/>
        <v/>
      </c>
      <c r="Z196">
        <f t="shared" si="82"/>
        <v>0</v>
      </c>
      <c r="AA196">
        <f t="shared" si="73"/>
        <v>0</v>
      </c>
      <c r="AB196">
        <f>IF($V196="",99999+192,$AB195+1+$Z195+$AA195+$AO195)</f>
        <v>100191</v>
      </c>
      <c r="AC196" t="str">
        <f>IFERROR(MATCH(192,$AB$5:$AB$404,1),"")</f>
        <v/>
      </c>
      <c r="AD196" t="str">
        <f>IF(192=$AI$1+1,"Z",IF($AC196="","",IF(INDEX($V$5:$V$404,$AC196)="","",IF(192&gt;INDEX($AB$5:$AB$404,$AC196)+INDEX($Z$5:$Z$404,$AC196)+INDEX($AA$5:$AA$404,$AC196)+INDEX($AO$5:$AO$404,$AC196),"",IF(192=INDEX($AB$5:$AB$404,$AC196)+INDEX($Z$5:$Z$404,$AC196),"D",IF(AND(INDEX($Z$5:$Z$404,$AC196)=1,192=INDEX($AB$5:$AB$404,$AC196)),"H",IF(AND(INDEX($AO$5:$AO$404,$AC196)=1,192=INDEX($AB$5:$AB$404,$AC196)+INDEX($Z$5:$Z$404,$AC196)+INDEX($AA$5:$AA$404,$AC196)+INDEX($AO$5:$AO$404,$AC196)),"B","T")))))))</f>
        <v/>
      </c>
      <c r="AF196" t="str">
        <f t="shared" si="74"/>
        <v/>
      </c>
      <c r="AJ196">
        <f>IF($AD196&lt;&gt;"T",0,ROUND(SUMIF(oil!$B$4:$B$63,$AF196,oil!$AE$4:$AE$63),2))</f>
        <v>0</v>
      </c>
      <c r="AK196" t="str">
        <f>IF($S196="","",IFERROR(INDEX(อัตราค่าขนส่ง!$R$5:$R$54,MATCH($S196,อัตราค่าขนส่ง!$Q$5:$Q$54,0)),INDEX(รายการมาตรฐาน!$G$2:$G$3,1)))</f>
        <v/>
      </c>
      <c r="AL196" t="str">
        <f>IF($S196="","",IFERROR(MATCH($AK196,รายการมาตรฐาน!$G$2:$G$3,0),1))</f>
        <v/>
      </c>
      <c r="AM196" t="str">
        <f t="shared" si="75"/>
        <v/>
      </c>
      <c r="AN196" t="str">
        <f t="shared" si="76"/>
        <v/>
      </c>
      <c r="AO196">
        <f t="shared" si="77"/>
        <v>0</v>
      </c>
      <c r="AP196">
        <f t="shared" si="83"/>
        <v>0</v>
      </c>
      <c r="AQ196" t="str">
        <f t="shared" si="78"/>
        <v/>
      </c>
      <c r="AR196">
        <f>IF($Y196="",0,COUNTIF(บันทึกรายเที่ยว!$V$6:$V$10005,$Y196))</f>
        <v>0</v>
      </c>
      <c r="AS196">
        <f>IF($Y196="",0,ROUND(SUMIF(บันทึกรายเที่ยว!$V$6:$V$10005,$Y196,บันทึกรายเที่ยว!$M$6:$M$10005),2))</f>
        <v>0</v>
      </c>
      <c r="AT196">
        <f>IF($Y196="",0,IFERROR(INDEX(อัตราค่าขนส่ง!$J$5:$J$204,MATCH($Y196,อัตราค่าขนส่ง!$O$5:$O$204,0)),0))</f>
        <v>0</v>
      </c>
      <c r="AU196">
        <f t="shared" si="79"/>
        <v>0</v>
      </c>
      <c r="AV196">
        <f t="shared" si="80"/>
        <v>0</v>
      </c>
      <c r="AW196" t="str">
        <f>IF($Y196="","",IFERROR(INDEX(อัตราค่าขนส่ง!$F$5:$F$204,MATCH($Y196,อัตราค่าขนส่ง!$O$5:$O$204,0)),""))</f>
        <v/>
      </c>
      <c r="AX196" t="str">
        <f>IF($W196="","",INDEX(บันทึกรายเที่ยว!$D$6:$D$10005,$W196))</f>
        <v/>
      </c>
      <c r="AY196" t="str">
        <f>IF($W196="","",INDEX(บันทึกรายเที่ยว!$R$6:$R$10005,$W196))</f>
        <v/>
      </c>
      <c r="AZ196">
        <f t="shared" si="81"/>
        <v>0</v>
      </c>
      <c r="BA196" t="str">
        <f>IF($W196="","",INDEX(บันทึกรายเที่ยว!$E$6:$E$10005,$W196))</f>
        <v/>
      </c>
      <c r="BC196">
        <f>IF($Y196="",0,IFERROR(INDEX(อัตราค่าขนส่ง!$M$5:$M$204,MATCH($Y196,อัตราค่าขนส่ง!$O$5:$O$204,0)),0))</f>
        <v>0</v>
      </c>
      <c r="BD196">
        <f>IF($Y196="",0,IFERROR(INDEX(อัตราค่าขนส่ง!$N$5:$N$204,MATCH($Y196,อัตราค่าขนส่ง!$O$5:$O$204,0)),0))</f>
        <v>0</v>
      </c>
    </row>
    <row r="197" spans="1:56" ht="21" customHeight="1" x14ac:dyDescent="0.95">
      <c r="A197" s="36" t="str">
        <f>IF($AD197="","",IF($AD197="Z","รวมจ่ายทั้งสิ้น",IF($AD197="H",INDEX($X$5:$X$404,$AC197),IF($AD197="T","รวม",IF($AD197="B",IFERROR(INDEX(อัตราค่าขนส่ง!$U$5:$U$14,MATCH(INDEX($AM$5:$AM$404,$AC197),อัตราค่าขนส่ง!$T$5:$T$14,0)),"รวมกลุ่ม "&amp;INDEX($AM$5:$AM$404,$AC197)),INDEX($AY$5:$AY$404,$AC197))))))</f>
        <v/>
      </c>
      <c r="B197" s="31" t="str">
        <f t="shared" ref="B197:B260" si="84">IF($AD197&lt;&gt;"D","",INDEX($AW$5:$AW$404,$AC197))</f>
        <v/>
      </c>
      <c r="C197" s="8" t="str">
        <f t="shared" ref="C197:C260" si="85">IF($AD197&lt;&gt;"D","",INDEX($AX$5:$AX$404,$AC197))</f>
        <v/>
      </c>
      <c r="D197" s="37" t="str">
        <f t="shared" ref="D197:D260" si="86">IF($AD197&lt;&gt;"D","",INDEX($BA$5:$BA$404,$AC197))</f>
        <v/>
      </c>
      <c r="E197" s="31" t="str">
        <f t="shared" ref="E197:E260" si="87">IF($AD197="Z",SUM($AR$5:$AR$404),IF($AD197="D",INDEX($AR$5:$AR$404,$AC197),IF($AD197="T",SUMIF($X$5:$X$404,$AF197,$AR$5:$AR$404),IF($AD197="B",SUMIF($AN$5:$AN$404,$AQ197,$AR$5:$AR$404),""))))</f>
        <v/>
      </c>
      <c r="F197" s="32" t="str">
        <f t="shared" ref="F197:F260" si="88">IF($AD197="Z",ROUND(SUM($AS$5:$AS$404),2),IF($AD197="D",INDEX($AS$5:$AS$404,$AC197),IF($AD197="T",ROUND(SUMIF($X$5:$X$404,$AF197,$AS$5:$AS$404),2),IF($AD197="B",ROUND(SUMIF($AN$5:$AN$404,$AQ197,$AS$5:$AS$404),2),""))))</f>
        <v/>
      </c>
      <c r="G197" s="32" t="str">
        <f t="shared" ref="G197:G260" si="89">IF($AD197&lt;&gt;"D","",INDEX($AT$5:$AT$404,$AC197))</f>
        <v/>
      </c>
      <c r="H197" s="32" t="str">
        <f t="shared" ref="H197:H260" si="90">IF($AD197&lt;&gt;"D","",INDEX($BC$5:$BC$404,$AC197))</f>
        <v/>
      </c>
      <c r="I197" s="32" t="str">
        <f t="shared" ref="I197:I260" si="91">IF($AD197&lt;&gt;"D","",INDEX($BD$5:$BD$404,$AC197))</f>
        <v/>
      </c>
      <c r="J197" s="46" t="str">
        <f t="shared" ref="J197:J260" si="92">IF($AD197&lt;&gt;"D","",IF(N($B197)=0,"",ROUND($I197/$B197,4)))</f>
        <v/>
      </c>
      <c r="K197" s="32" t="str">
        <f t="shared" ref="K197:K260" si="93">IF($AD197="Z",ROUND(SUM($AU$5:$AU$404),2),IF($AD197="D",INDEX($AU$5:$AU$404,$AC197),IF($AD197="T",ROUND(SUMIF($X$5:$X$404,$AF197,$AU$5:$AU$404),2),IF($AD197="B",ROUND(SUMIF($AN$5:$AN$404,$AQ197,$AU$5:$AU$404),2),""))))</f>
        <v/>
      </c>
      <c r="L197" s="32" t="str">
        <f t="shared" ref="L197:L260" si="94">IF($AD197="Z",ROUND(SUM($AV$5:$AV$404),2),IF($AD197="D",INDEX($AV$5:$AV$404,$AC197),IF($AD197="T",ROUND(SUMIF($X$5:$X$404,$AF197,$AV$5:$AV$404),2),IF($AD197="B",ROUND(SUMIF($AN$5:$AN$404,$AQ197,$AV$5:$AV$404),2),""))))</f>
        <v/>
      </c>
      <c r="M197" s="32" t="str">
        <f t="shared" ref="M197:M260" si="95">IF($AD197="Z",ROUND(SUM($AJ$5:$AJ$704),2),IF($AD197="B",ROUND(SUMIF($AQ$5:$AQ$704,$AQ197,$AJ$5:$AJ$704),2),IF($AD197&lt;&gt;"T","",$AJ197)))</f>
        <v/>
      </c>
      <c r="N197" s="32" t="str">
        <f t="shared" ref="N197:N260" si="96">IF(OR($AD197="D",$AD197="T",$AD197="B",$AD197="Z"),ROUND(N($K197)-N($L197)-N($M197),2),"")</f>
        <v/>
      </c>
      <c r="O197" s="32" t="str">
        <f t="shared" ref="O197:O260" si="97">IF(OR($AD197="D",$AD197="T",$AD197="B",$AD197="Z"),IF(N($E197)=0,"",ROUND($F197/$E197,2)),"")</f>
        <v/>
      </c>
      <c r="Q197" t="str">
        <f>IFERROR(MATCH(193,บันทึกรายเที่ยว!$Z$6:$Z$10005,0),"")</f>
        <v/>
      </c>
      <c r="R197" t="str">
        <f>IF($Q197="","",INDEX(บันทึกรายเที่ยว!$V$6:$V$10005,$Q197))</f>
        <v/>
      </c>
      <c r="S197" t="str">
        <f>IF($Q197="","",INDEX(บันทึกรายเที่ยว!$F$6:$F$10005,$Q197))</f>
        <v/>
      </c>
      <c r="T197" t="str">
        <f>IF($Q197="","",MATCH($S197,บันทึกรายเที่ยว!$F$6:$F$10005,0))</f>
        <v/>
      </c>
      <c r="U197" t="str">
        <f>IF($Q197="","",$AL197*10000000+$T197*1000+193)</f>
        <v/>
      </c>
      <c r="V197" t="str">
        <f>IFERROR(MATCH(SMALL($U$5:$U$404,193),$U$5:$U$404,0),"")</f>
        <v/>
      </c>
      <c r="W197" t="str">
        <f t="shared" ref="W197:W260" si="98">IF($V197="","",INDEX($Q$5:$Q$404,$V197))</f>
        <v/>
      </c>
      <c r="X197" t="str">
        <f t="shared" ref="X197:X260" si="99">IF($V197="","",INDEX($S$5:$S$404,$V197))</f>
        <v/>
      </c>
      <c r="Y197" t="str">
        <f t="shared" ref="Y197:Y260" si="100">IF($V197="","",INDEX($R$5:$R$404,$V197))</f>
        <v/>
      </c>
      <c r="Z197">
        <f t="shared" si="82"/>
        <v>0</v>
      </c>
      <c r="AA197">
        <f t="shared" ref="AA197:AA260" si="101">IF($V197="",0,IF($V198="",1,IF($X198&lt;&gt;$X197,1,0)))</f>
        <v>0</v>
      </c>
      <c r="AB197">
        <f>IF($V197="",99999+193,$AB196+1+$Z196+$AA196+$AO196)</f>
        <v>100192</v>
      </c>
      <c r="AC197" t="str">
        <f>IFERROR(MATCH(193,$AB$5:$AB$404,1),"")</f>
        <v/>
      </c>
      <c r="AD197" t="str">
        <f>IF(193=$AI$1+1,"Z",IF($AC197="","",IF(INDEX($V$5:$V$404,$AC197)="","",IF(193&gt;INDEX($AB$5:$AB$404,$AC197)+INDEX($Z$5:$Z$404,$AC197)+INDEX($AA$5:$AA$404,$AC197)+INDEX($AO$5:$AO$404,$AC197),"",IF(193=INDEX($AB$5:$AB$404,$AC197)+INDEX($Z$5:$Z$404,$AC197),"D",IF(AND(INDEX($Z$5:$Z$404,$AC197)=1,193=INDEX($AB$5:$AB$404,$AC197)),"H",IF(AND(INDEX($AO$5:$AO$404,$AC197)=1,193=INDEX($AB$5:$AB$404,$AC197)+INDEX($Z$5:$Z$404,$AC197)+INDEX($AA$5:$AA$404,$AC197)+INDEX($AO$5:$AO$404,$AC197)),"B","T")))))))</f>
        <v/>
      </c>
      <c r="AF197" t="str">
        <f t="shared" ref="AF197:AF260" si="102">IF(OR($AD197="",$AD197="Z",$AD197="B"),"",INDEX($X$5:$X$404,$AC197))</f>
        <v/>
      </c>
      <c r="AJ197">
        <f>IF($AD197&lt;&gt;"T",0,ROUND(SUMIF(oil!$B$4:$B$63,$AF197,oil!$AE$4:$AE$63),2))</f>
        <v>0</v>
      </c>
      <c r="AK197" t="str">
        <f>IF($S197="","",IFERROR(INDEX(อัตราค่าขนส่ง!$R$5:$R$54,MATCH($S197,อัตราค่าขนส่ง!$Q$5:$Q$54,0)),INDEX(รายการมาตรฐาน!$G$2:$G$3,1)))</f>
        <v/>
      </c>
      <c r="AL197" t="str">
        <f>IF($S197="","",IFERROR(MATCH($AK197,รายการมาตรฐาน!$G$2:$G$3,0),1))</f>
        <v/>
      </c>
      <c r="AM197" t="str">
        <f t="shared" ref="AM197:AM260" si="103">IF($V197="","",INDEX($AK$5:$AK$404,$V197))</f>
        <v/>
      </c>
      <c r="AN197" t="str">
        <f t="shared" ref="AN197:AN260" si="104">IF($V197="","",INDEX($AL$5:$AL$404,$V197))</f>
        <v/>
      </c>
      <c r="AO197">
        <f t="shared" ref="AO197:AO260" si="105">IF(OR($V197="",$AI$2&lt;=1),0,IF($V198="",1,IF($AN198&lt;&gt;$AN197,1,0)))</f>
        <v>0</v>
      </c>
      <c r="AP197">
        <f t="shared" si="83"/>
        <v>0</v>
      </c>
      <c r="AQ197" t="str">
        <f t="shared" ref="AQ197:AQ260" si="106">IF(OR($AD197="",$AD197="Z"),"",INDEX($AN$5:$AN$404,$AC197))</f>
        <v/>
      </c>
      <c r="AR197">
        <f>IF($Y197="",0,COUNTIF(บันทึกรายเที่ยว!$V$6:$V$10005,$Y197))</f>
        <v>0</v>
      </c>
      <c r="AS197">
        <f>IF($Y197="",0,ROUND(SUMIF(บันทึกรายเที่ยว!$V$6:$V$10005,$Y197,บันทึกรายเที่ยว!$M$6:$M$10005),2))</f>
        <v>0</v>
      </c>
      <c r="AT197">
        <f>IF($Y197="",0,IFERROR(INDEX(อัตราค่าขนส่ง!$J$5:$J$204,MATCH($Y197,อัตราค่าขนส่ง!$O$5:$O$204,0)),0))</f>
        <v>0</v>
      </c>
      <c r="AU197">
        <f t="shared" ref="AU197:AU260" si="107">ROUND($AS197*$BD197,2)</f>
        <v>0</v>
      </c>
      <c r="AV197">
        <f t="shared" ref="AV197:AV260" si="108">ROUND($AU197*$BF$2/100,2)</f>
        <v>0</v>
      </c>
      <c r="AW197" t="str">
        <f>IF($Y197="","",IFERROR(INDEX(อัตราค่าขนส่ง!$F$5:$F$204,MATCH($Y197,อัตราค่าขนส่ง!$O$5:$O$204,0)),""))</f>
        <v/>
      </c>
      <c r="AX197" t="str">
        <f>IF($W197="","",INDEX(บันทึกรายเที่ยว!$D$6:$D$10005,$W197))</f>
        <v/>
      </c>
      <c r="AY197" t="str">
        <f>IF($W197="","",INDEX(บันทึกรายเที่ยว!$R$6:$R$10005,$W197))</f>
        <v/>
      </c>
      <c r="AZ197">
        <f t="shared" ref="AZ197:AZ260" si="109">IF(AND($AD197="T",$AQ197=1),N($AZ196)+1,N($AZ196))</f>
        <v>0</v>
      </c>
      <c r="BA197" t="str">
        <f>IF($W197="","",INDEX(บันทึกรายเที่ยว!$E$6:$E$10005,$W197))</f>
        <v/>
      </c>
      <c r="BC197">
        <f>IF($Y197="",0,IFERROR(INDEX(อัตราค่าขนส่ง!$M$5:$M$204,MATCH($Y197,อัตราค่าขนส่ง!$O$5:$O$204,0)),0))</f>
        <v>0</v>
      </c>
      <c r="BD197">
        <f>IF($Y197="",0,IFERROR(INDEX(อัตราค่าขนส่ง!$N$5:$N$204,MATCH($Y197,อัตราค่าขนส่ง!$O$5:$O$204,0)),0))</f>
        <v>0</v>
      </c>
    </row>
    <row r="198" spans="1:56" ht="21" customHeight="1" x14ac:dyDescent="0.95">
      <c r="A198" s="36" t="str">
        <f>IF($AD198="","",IF($AD198="Z","รวมจ่ายทั้งสิ้น",IF($AD198="H",INDEX($X$5:$X$404,$AC198),IF($AD198="T","รวม",IF($AD198="B",IFERROR(INDEX(อัตราค่าขนส่ง!$U$5:$U$14,MATCH(INDEX($AM$5:$AM$404,$AC198),อัตราค่าขนส่ง!$T$5:$T$14,0)),"รวมกลุ่ม "&amp;INDEX($AM$5:$AM$404,$AC198)),INDEX($AY$5:$AY$404,$AC198))))))</f>
        <v/>
      </c>
      <c r="B198" s="31" t="str">
        <f t="shared" si="84"/>
        <v/>
      </c>
      <c r="C198" s="8" t="str">
        <f t="shared" si="85"/>
        <v/>
      </c>
      <c r="D198" s="37" t="str">
        <f t="shared" si="86"/>
        <v/>
      </c>
      <c r="E198" s="31" t="str">
        <f t="shared" si="87"/>
        <v/>
      </c>
      <c r="F198" s="32" t="str">
        <f t="shared" si="88"/>
        <v/>
      </c>
      <c r="G198" s="32" t="str">
        <f t="shared" si="89"/>
        <v/>
      </c>
      <c r="H198" s="32" t="str">
        <f t="shared" si="90"/>
        <v/>
      </c>
      <c r="I198" s="32" t="str">
        <f t="shared" si="91"/>
        <v/>
      </c>
      <c r="J198" s="46" t="str">
        <f t="shared" si="92"/>
        <v/>
      </c>
      <c r="K198" s="32" t="str">
        <f t="shared" si="93"/>
        <v/>
      </c>
      <c r="L198" s="32" t="str">
        <f t="shared" si="94"/>
        <v/>
      </c>
      <c r="M198" s="32" t="str">
        <f t="shared" si="95"/>
        <v/>
      </c>
      <c r="N198" s="32" t="str">
        <f t="shared" si="96"/>
        <v/>
      </c>
      <c r="O198" s="32" t="str">
        <f t="shared" si="97"/>
        <v/>
      </c>
      <c r="Q198" t="str">
        <f>IFERROR(MATCH(194,บันทึกรายเที่ยว!$Z$6:$Z$10005,0),"")</f>
        <v/>
      </c>
      <c r="R198" t="str">
        <f>IF($Q198="","",INDEX(บันทึกรายเที่ยว!$V$6:$V$10005,$Q198))</f>
        <v/>
      </c>
      <c r="S198" t="str">
        <f>IF($Q198="","",INDEX(บันทึกรายเที่ยว!$F$6:$F$10005,$Q198))</f>
        <v/>
      </c>
      <c r="T198" t="str">
        <f>IF($Q198="","",MATCH($S198,บันทึกรายเที่ยว!$F$6:$F$10005,0))</f>
        <v/>
      </c>
      <c r="U198" t="str">
        <f>IF($Q198="","",$AL198*10000000+$T198*1000+194)</f>
        <v/>
      </c>
      <c r="V198" t="str">
        <f>IFERROR(MATCH(SMALL($U$5:$U$404,194),$U$5:$U$404,0),"")</f>
        <v/>
      </c>
      <c r="W198" t="str">
        <f t="shared" si="98"/>
        <v/>
      </c>
      <c r="X198" t="str">
        <f t="shared" si="99"/>
        <v/>
      </c>
      <c r="Y198" t="str">
        <f t="shared" si="100"/>
        <v/>
      </c>
      <c r="Z198">
        <f t="shared" ref="Z198:Z261" si="110">IF($V198="",0,IF($X198&lt;&gt;$X197,1,0))</f>
        <v>0</v>
      </c>
      <c r="AA198">
        <f t="shared" si="101"/>
        <v>0</v>
      </c>
      <c r="AB198">
        <f>IF($V198="",99999+194,$AB197+1+$Z197+$AA197+$AO197)</f>
        <v>100193</v>
      </c>
      <c r="AC198" t="str">
        <f>IFERROR(MATCH(194,$AB$5:$AB$404,1),"")</f>
        <v/>
      </c>
      <c r="AD198" t="str">
        <f>IF(194=$AI$1+1,"Z",IF($AC198="","",IF(INDEX($V$5:$V$404,$AC198)="","",IF(194&gt;INDEX($AB$5:$AB$404,$AC198)+INDEX($Z$5:$Z$404,$AC198)+INDEX($AA$5:$AA$404,$AC198)+INDEX($AO$5:$AO$404,$AC198),"",IF(194=INDEX($AB$5:$AB$404,$AC198)+INDEX($Z$5:$Z$404,$AC198),"D",IF(AND(INDEX($Z$5:$Z$404,$AC198)=1,194=INDEX($AB$5:$AB$404,$AC198)),"H",IF(AND(INDEX($AO$5:$AO$404,$AC198)=1,194=INDEX($AB$5:$AB$404,$AC198)+INDEX($Z$5:$Z$404,$AC198)+INDEX($AA$5:$AA$404,$AC198)+INDEX($AO$5:$AO$404,$AC198)),"B","T")))))))</f>
        <v/>
      </c>
      <c r="AF198" t="str">
        <f t="shared" si="102"/>
        <v/>
      </c>
      <c r="AJ198">
        <f>IF($AD198&lt;&gt;"T",0,ROUND(SUMIF(oil!$B$4:$B$63,$AF198,oil!$AE$4:$AE$63),2))</f>
        <v>0</v>
      </c>
      <c r="AK198" t="str">
        <f>IF($S198="","",IFERROR(INDEX(อัตราค่าขนส่ง!$R$5:$R$54,MATCH($S198,อัตราค่าขนส่ง!$Q$5:$Q$54,0)),INDEX(รายการมาตรฐาน!$G$2:$G$3,1)))</f>
        <v/>
      </c>
      <c r="AL198" t="str">
        <f>IF($S198="","",IFERROR(MATCH($AK198,รายการมาตรฐาน!$G$2:$G$3,0),1))</f>
        <v/>
      </c>
      <c r="AM198" t="str">
        <f t="shared" si="103"/>
        <v/>
      </c>
      <c r="AN198" t="str">
        <f t="shared" si="104"/>
        <v/>
      </c>
      <c r="AO198">
        <f t="shared" si="105"/>
        <v>0</v>
      </c>
      <c r="AP198">
        <f t="shared" ref="AP198:AP261" si="111">IF($V198="",0,IF($AN198&lt;&gt;$AN197,1,0))</f>
        <v>0</v>
      </c>
      <c r="AQ198" t="str">
        <f t="shared" si="106"/>
        <v/>
      </c>
      <c r="AR198">
        <f>IF($Y198="",0,COUNTIF(บันทึกรายเที่ยว!$V$6:$V$10005,$Y198))</f>
        <v>0</v>
      </c>
      <c r="AS198">
        <f>IF($Y198="",0,ROUND(SUMIF(บันทึกรายเที่ยว!$V$6:$V$10005,$Y198,บันทึกรายเที่ยว!$M$6:$M$10005),2))</f>
        <v>0</v>
      </c>
      <c r="AT198">
        <f>IF($Y198="",0,IFERROR(INDEX(อัตราค่าขนส่ง!$J$5:$J$204,MATCH($Y198,อัตราค่าขนส่ง!$O$5:$O$204,0)),0))</f>
        <v>0</v>
      </c>
      <c r="AU198">
        <f t="shared" si="107"/>
        <v>0</v>
      </c>
      <c r="AV198">
        <f t="shared" si="108"/>
        <v>0</v>
      </c>
      <c r="AW198" t="str">
        <f>IF($Y198="","",IFERROR(INDEX(อัตราค่าขนส่ง!$F$5:$F$204,MATCH($Y198,อัตราค่าขนส่ง!$O$5:$O$204,0)),""))</f>
        <v/>
      </c>
      <c r="AX198" t="str">
        <f>IF($W198="","",INDEX(บันทึกรายเที่ยว!$D$6:$D$10005,$W198))</f>
        <v/>
      </c>
      <c r="AY198" t="str">
        <f>IF($W198="","",INDEX(บันทึกรายเที่ยว!$R$6:$R$10005,$W198))</f>
        <v/>
      </c>
      <c r="AZ198">
        <f t="shared" si="109"/>
        <v>0</v>
      </c>
      <c r="BA198" t="str">
        <f>IF($W198="","",INDEX(บันทึกรายเที่ยว!$E$6:$E$10005,$W198))</f>
        <v/>
      </c>
      <c r="BC198">
        <f>IF($Y198="",0,IFERROR(INDEX(อัตราค่าขนส่ง!$M$5:$M$204,MATCH($Y198,อัตราค่าขนส่ง!$O$5:$O$204,0)),0))</f>
        <v>0</v>
      </c>
      <c r="BD198">
        <f>IF($Y198="",0,IFERROR(INDEX(อัตราค่าขนส่ง!$N$5:$N$204,MATCH($Y198,อัตราค่าขนส่ง!$O$5:$O$204,0)),0))</f>
        <v>0</v>
      </c>
    </row>
    <row r="199" spans="1:56" ht="21" customHeight="1" x14ac:dyDescent="0.95">
      <c r="A199" s="36" t="str">
        <f>IF($AD199="","",IF($AD199="Z","รวมจ่ายทั้งสิ้น",IF($AD199="H",INDEX($X$5:$X$404,$AC199),IF($AD199="T","รวม",IF($AD199="B",IFERROR(INDEX(อัตราค่าขนส่ง!$U$5:$U$14,MATCH(INDEX($AM$5:$AM$404,$AC199),อัตราค่าขนส่ง!$T$5:$T$14,0)),"รวมกลุ่ม "&amp;INDEX($AM$5:$AM$404,$AC199)),INDEX($AY$5:$AY$404,$AC199))))))</f>
        <v/>
      </c>
      <c r="B199" s="31" t="str">
        <f t="shared" si="84"/>
        <v/>
      </c>
      <c r="C199" s="8" t="str">
        <f t="shared" si="85"/>
        <v/>
      </c>
      <c r="D199" s="37" t="str">
        <f t="shared" si="86"/>
        <v/>
      </c>
      <c r="E199" s="31" t="str">
        <f t="shared" si="87"/>
        <v/>
      </c>
      <c r="F199" s="32" t="str">
        <f t="shared" si="88"/>
        <v/>
      </c>
      <c r="G199" s="32" t="str">
        <f t="shared" si="89"/>
        <v/>
      </c>
      <c r="H199" s="32" t="str">
        <f t="shared" si="90"/>
        <v/>
      </c>
      <c r="I199" s="32" t="str">
        <f t="shared" si="91"/>
        <v/>
      </c>
      <c r="J199" s="46" t="str">
        <f t="shared" si="92"/>
        <v/>
      </c>
      <c r="K199" s="32" t="str">
        <f t="shared" si="93"/>
        <v/>
      </c>
      <c r="L199" s="32" t="str">
        <f t="shared" si="94"/>
        <v/>
      </c>
      <c r="M199" s="32" t="str">
        <f t="shared" si="95"/>
        <v/>
      </c>
      <c r="N199" s="32" t="str">
        <f t="shared" si="96"/>
        <v/>
      </c>
      <c r="O199" s="32" t="str">
        <f t="shared" si="97"/>
        <v/>
      </c>
      <c r="Q199" t="str">
        <f>IFERROR(MATCH(195,บันทึกรายเที่ยว!$Z$6:$Z$10005,0),"")</f>
        <v/>
      </c>
      <c r="R199" t="str">
        <f>IF($Q199="","",INDEX(บันทึกรายเที่ยว!$V$6:$V$10005,$Q199))</f>
        <v/>
      </c>
      <c r="S199" t="str">
        <f>IF($Q199="","",INDEX(บันทึกรายเที่ยว!$F$6:$F$10005,$Q199))</f>
        <v/>
      </c>
      <c r="T199" t="str">
        <f>IF($Q199="","",MATCH($S199,บันทึกรายเที่ยว!$F$6:$F$10005,0))</f>
        <v/>
      </c>
      <c r="U199" t="str">
        <f>IF($Q199="","",$AL199*10000000+$T199*1000+195)</f>
        <v/>
      </c>
      <c r="V199" t="str">
        <f>IFERROR(MATCH(SMALL($U$5:$U$404,195),$U$5:$U$404,0),"")</f>
        <v/>
      </c>
      <c r="W199" t="str">
        <f t="shared" si="98"/>
        <v/>
      </c>
      <c r="X199" t="str">
        <f t="shared" si="99"/>
        <v/>
      </c>
      <c r="Y199" t="str">
        <f t="shared" si="100"/>
        <v/>
      </c>
      <c r="Z199">
        <f t="shared" si="110"/>
        <v>0</v>
      </c>
      <c r="AA199">
        <f t="shared" si="101"/>
        <v>0</v>
      </c>
      <c r="AB199">
        <f>IF($V199="",99999+195,$AB198+1+$Z198+$AA198+$AO198)</f>
        <v>100194</v>
      </c>
      <c r="AC199" t="str">
        <f>IFERROR(MATCH(195,$AB$5:$AB$404,1),"")</f>
        <v/>
      </c>
      <c r="AD199" t="str">
        <f>IF(195=$AI$1+1,"Z",IF($AC199="","",IF(INDEX($V$5:$V$404,$AC199)="","",IF(195&gt;INDEX($AB$5:$AB$404,$AC199)+INDEX($Z$5:$Z$404,$AC199)+INDEX($AA$5:$AA$404,$AC199)+INDEX($AO$5:$AO$404,$AC199),"",IF(195=INDEX($AB$5:$AB$404,$AC199)+INDEX($Z$5:$Z$404,$AC199),"D",IF(AND(INDEX($Z$5:$Z$404,$AC199)=1,195=INDEX($AB$5:$AB$404,$AC199)),"H",IF(AND(INDEX($AO$5:$AO$404,$AC199)=1,195=INDEX($AB$5:$AB$404,$AC199)+INDEX($Z$5:$Z$404,$AC199)+INDEX($AA$5:$AA$404,$AC199)+INDEX($AO$5:$AO$404,$AC199)),"B","T")))))))</f>
        <v/>
      </c>
      <c r="AF199" t="str">
        <f t="shared" si="102"/>
        <v/>
      </c>
      <c r="AJ199">
        <f>IF($AD199&lt;&gt;"T",0,ROUND(SUMIF(oil!$B$4:$B$63,$AF199,oil!$AE$4:$AE$63),2))</f>
        <v>0</v>
      </c>
      <c r="AK199" t="str">
        <f>IF($S199="","",IFERROR(INDEX(อัตราค่าขนส่ง!$R$5:$R$54,MATCH($S199,อัตราค่าขนส่ง!$Q$5:$Q$54,0)),INDEX(รายการมาตรฐาน!$G$2:$G$3,1)))</f>
        <v/>
      </c>
      <c r="AL199" t="str">
        <f>IF($S199="","",IFERROR(MATCH($AK199,รายการมาตรฐาน!$G$2:$G$3,0),1))</f>
        <v/>
      </c>
      <c r="AM199" t="str">
        <f t="shared" si="103"/>
        <v/>
      </c>
      <c r="AN199" t="str">
        <f t="shared" si="104"/>
        <v/>
      </c>
      <c r="AO199">
        <f t="shared" si="105"/>
        <v>0</v>
      </c>
      <c r="AP199">
        <f t="shared" si="111"/>
        <v>0</v>
      </c>
      <c r="AQ199" t="str">
        <f t="shared" si="106"/>
        <v/>
      </c>
      <c r="AR199">
        <f>IF($Y199="",0,COUNTIF(บันทึกรายเที่ยว!$V$6:$V$10005,$Y199))</f>
        <v>0</v>
      </c>
      <c r="AS199">
        <f>IF($Y199="",0,ROUND(SUMIF(บันทึกรายเที่ยว!$V$6:$V$10005,$Y199,บันทึกรายเที่ยว!$M$6:$M$10005),2))</f>
        <v>0</v>
      </c>
      <c r="AT199">
        <f>IF($Y199="",0,IFERROR(INDEX(อัตราค่าขนส่ง!$J$5:$J$204,MATCH($Y199,อัตราค่าขนส่ง!$O$5:$O$204,0)),0))</f>
        <v>0</v>
      </c>
      <c r="AU199">
        <f t="shared" si="107"/>
        <v>0</v>
      </c>
      <c r="AV199">
        <f t="shared" si="108"/>
        <v>0</v>
      </c>
      <c r="AW199" t="str">
        <f>IF($Y199="","",IFERROR(INDEX(อัตราค่าขนส่ง!$F$5:$F$204,MATCH($Y199,อัตราค่าขนส่ง!$O$5:$O$204,0)),""))</f>
        <v/>
      </c>
      <c r="AX199" t="str">
        <f>IF($W199="","",INDEX(บันทึกรายเที่ยว!$D$6:$D$10005,$W199))</f>
        <v/>
      </c>
      <c r="AY199" t="str">
        <f>IF($W199="","",INDEX(บันทึกรายเที่ยว!$R$6:$R$10005,$W199))</f>
        <v/>
      </c>
      <c r="AZ199">
        <f t="shared" si="109"/>
        <v>0</v>
      </c>
      <c r="BA199" t="str">
        <f>IF($W199="","",INDEX(บันทึกรายเที่ยว!$E$6:$E$10005,$W199))</f>
        <v/>
      </c>
      <c r="BC199">
        <f>IF($Y199="",0,IFERROR(INDEX(อัตราค่าขนส่ง!$M$5:$M$204,MATCH($Y199,อัตราค่าขนส่ง!$O$5:$O$204,0)),0))</f>
        <v>0</v>
      </c>
      <c r="BD199">
        <f>IF($Y199="",0,IFERROR(INDEX(อัตราค่าขนส่ง!$N$5:$N$204,MATCH($Y199,อัตราค่าขนส่ง!$O$5:$O$204,0)),0))</f>
        <v>0</v>
      </c>
    </row>
    <row r="200" spans="1:56" ht="21" customHeight="1" x14ac:dyDescent="0.95">
      <c r="A200" s="36" t="str">
        <f>IF($AD200="","",IF($AD200="Z","รวมจ่ายทั้งสิ้น",IF($AD200="H",INDEX($X$5:$X$404,$AC200),IF($AD200="T","รวม",IF($AD200="B",IFERROR(INDEX(อัตราค่าขนส่ง!$U$5:$U$14,MATCH(INDEX($AM$5:$AM$404,$AC200),อัตราค่าขนส่ง!$T$5:$T$14,0)),"รวมกลุ่ม "&amp;INDEX($AM$5:$AM$404,$AC200)),INDEX($AY$5:$AY$404,$AC200))))))</f>
        <v/>
      </c>
      <c r="B200" s="31" t="str">
        <f t="shared" si="84"/>
        <v/>
      </c>
      <c r="C200" s="8" t="str">
        <f t="shared" si="85"/>
        <v/>
      </c>
      <c r="D200" s="37" t="str">
        <f t="shared" si="86"/>
        <v/>
      </c>
      <c r="E200" s="31" t="str">
        <f t="shared" si="87"/>
        <v/>
      </c>
      <c r="F200" s="32" t="str">
        <f t="shared" si="88"/>
        <v/>
      </c>
      <c r="G200" s="32" t="str">
        <f t="shared" si="89"/>
        <v/>
      </c>
      <c r="H200" s="32" t="str">
        <f t="shared" si="90"/>
        <v/>
      </c>
      <c r="I200" s="32" t="str">
        <f t="shared" si="91"/>
        <v/>
      </c>
      <c r="J200" s="46" t="str">
        <f t="shared" si="92"/>
        <v/>
      </c>
      <c r="K200" s="32" t="str">
        <f t="shared" si="93"/>
        <v/>
      </c>
      <c r="L200" s="32" t="str">
        <f t="shared" si="94"/>
        <v/>
      </c>
      <c r="M200" s="32" t="str">
        <f t="shared" si="95"/>
        <v/>
      </c>
      <c r="N200" s="32" t="str">
        <f t="shared" si="96"/>
        <v/>
      </c>
      <c r="O200" s="32" t="str">
        <f t="shared" si="97"/>
        <v/>
      </c>
      <c r="Q200" t="str">
        <f>IFERROR(MATCH(196,บันทึกรายเที่ยว!$Z$6:$Z$10005,0),"")</f>
        <v/>
      </c>
      <c r="R200" t="str">
        <f>IF($Q200="","",INDEX(บันทึกรายเที่ยว!$V$6:$V$10005,$Q200))</f>
        <v/>
      </c>
      <c r="S200" t="str">
        <f>IF($Q200="","",INDEX(บันทึกรายเที่ยว!$F$6:$F$10005,$Q200))</f>
        <v/>
      </c>
      <c r="T200" t="str">
        <f>IF($Q200="","",MATCH($S200,บันทึกรายเที่ยว!$F$6:$F$10005,0))</f>
        <v/>
      </c>
      <c r="U200" t="str">
        <f>IF($Q200="","",$AL200*10000000+$T200*1000+196)</f>
        <v/>
      </c>
      <c r="V200" t="str">
        <f>IFERROR(MATCH(SMALL($U$5:$U$404,196),$U$5:$U$404,0),"")</f>
        <v/>
      </c>
      <c r="W200" t="str">
        <f t="shared" si="98"/>
        <v/>
      </c>
      <c r="X200" t="str">
        <f t="shared" si="99"/>
        <v/>
      </c>
      <c r="Y200" t="str">
        <f t="shared" si="100"/>
        <v/>
      </c>
      <c r="Z200">
        <f t="shared" si="110"/>
        <v>0</v>
      </c>
      <c r="AA200">
        <f t="shared" si="101"/>
        <v>0</v>
      </c>
      <c r="AB200">
        <f>IF($V200="",99999+196,$AB199+1+$Z199+$AA199+$AO199)</f>
        <v>100195</v>
      </c>
      <c r="AC200" t="str">
        <f>IFERROR(MATCH(196,$AB$5:$AB$404,1),"")</f>
        <v/>
      </c>
      <c r="AD200" t="str">
        <f>IF(196=$AI$1+1,"Z",IF($AC200="","",IF(INDEX($V$5:$V$404,$AC200)="","",IF(196&gt;INDEX($AB$5:$AB$404,$AC200)+INDEX($Z$5:$Z$404,$AC200)+INDEX($AA$5:$AA$404,$AC200)+INDEX($AO$5:$AO$404,$AC200),"",IF(196=INDEX($AB$5:$AB$404,$AC200)+INDEX($Z$5:$Z$404,$AC200),"D",IF(AND(INDEX($Z$5:$Z$404,$AC200)=1,196=INDEX($AB$5:$AB$404,$AC200)),"H",IF(AND(INDEX($AO$5:$AO$404,$AC200)=1,196=INDEX($AB$5:$AB$404,$AC200)+INDEX($Z$5:$Z$404,$AC200)+INDEX($AA$5:$AA$404,$AC200)+INDEX($AO$5:$AO$404,$AC200)),"B","T")))))))</f>
        <v/>
      </c>
      <c r="AF200" t="str">
        <f t="shared" si="102"/>
        <v/>
      </c>
      <c r="AJ200">
        <f>IF($AD200&lt;&gt;"T",0,ROUND(SUMIF(oil!$B$4:$B$63,$AF200,oil!$AE$4:$AE$63),2))</f>
        <v>0</v>
      </c>
      <c r="AK200" t="str">
        <f>IF($S200="","",IFERROR(INDEX(อัตราค่าขนส่ง!$R$5:$R$54,MATCH($S200,อัตราค่าขนส่ง!$Q$5:$Q$54,0)),INDEX(รายการมาตรฐาน!$G$2:$G$3,1)))</f>
        <v/>
      </c>
      <c r="AL200" t="str">
        <f>IF($S200="","",IFERROR(MATCH($AK200,รายการมาตรฐาน!$G$2:$G$3,0),1))</f>
        <v/>
      </c>
      <c r="AM200" t="str">
        <f t="shared" si="103"/>
        <v/>
      </c>
      <c r="AN200" t="str">
        <f t="shared" si="104"/>
        <v/>
      </c>
      <c r="AO200">
        <f t="shared" si="105"/>
        <v>0</v>
      </c>
      <c r="AP200">
        <f t="shared" si="111"/>
        <v>0</v>
      </c>
      <c r="AQ200" t="str">
        <f t="shared" si="106"/>
        <v/>
      </c>
      <c r="AR200">
        <f>IF($Y200="",0,COUNTIF(บันทึกรายเที่ยว!$V$6:$V$10005,$Y200))</f>
        <v>0</v>
      </c>
      <c r="AS200">
        <f>IF($Y200="",0,ROUND(SUMIF(บันทึกรายเที่ยว!$V$6:$V$10005,$Y200,บันทึกรายเที่ยว!$M$6:$M$10005),2))</f>
        <v>0</v>
      </c>
      <c r="AT200">
        <f>IF($Y200="",0,IFERROR(INDEX(อัตราค่าขนส่ง!$J$5:$J$204,MATCH($Y200,อัตราค่าขนส่ง!$O$5:$O$204,0)),0))</f>
        <v>0</v>
      </c>
      <c r="AU200">
        <f t="shared" si="107"/>
        <v>0</v>
      </c>
      <c r="AV200">
        <f t="shared" si="108"/>
        <v>0</v>
      </c>
      <c r="AW200" t="str">
        <f>IF($Y200="","",IFERROR(INDEX(อัตราค่าขนส่ง!$F$5:$F$204,MATCH($Y200,อัตราค่าขนส่ง!$O$5:$O$204,0)),""))</f>
        <v/>
      </c>
      <c r="AX200" t="str">
        <f>IF($W200="","",INDEX(บันทึกรายเที่ยว!$D$6:$D$10005,$W200))</f>
        <v/>
      </c>
      <c r="AY200" t="str">
        <f>IF($W200="","",INDEX(บันทึกรายเที่ยว!$R$6:$R$10005,$W200))</f>
        <v/>
      </c>
      <c r="AZ200">
        <f t="shared" si="109"/>
        <v>0</v>
      </c>
      <c r="BA200" t="str">
        <f>IF($W200="","",INDEX(บันทึกรายเที่ยว!$E$6:$E$10005,$W200))</f>
        <v/>
      </c>
      <c r="BC200">
        <f>IF($Y200="",0,IFERROR(INDEX(อัตราค่าขนส่ง!$M$5:$M$204,MATCH($Y200,อัตราค่าขนส่ง!$O$5:$O$204,0)),0))</f>
        <v>0</v>
      </c>
      <c r="BD200">
        <f>IF($Y200="",0,IFERROR(INDEX(อัตราค่าขนส่ง!$N$5:$N$204,MATCH($Y200,อัตราค่าขนส่ง!$O$5:$O$204,0)),0))</f>
        <v>0</v>
      </c>
    </row>
    <row r="201" spans="1:56" ht="21" customHeight="1" x14ac:dyDescent="0.95">
      <c r="A201" s="36" t="str">
        <f>IF($AD201="","",IF($AD201="Z","รวมจ่ายทั้งสิ้น",IF($AD201="H",INDEX($X$5:$X$404,$AC201),IF($AD201="T","รวม",IF($AD201="B",IFERROR(INDEX(อัตราค่าขนส่ง!$U$5:$U$14,MATCH(INDEX($AM$5:$AM$404,$AC201),อัตราค่าขนส่ง!$T$5:$T$14,0)),"รวมกลุ่ม "&amp;INDEX($AM$5:$AM$404,$AC201)),INDEX($AY$5:$AY$404,$AC201))))))</f>
        <v/>
      </c>
      <c r="B201" s="31" t="str">
        <f t="shared" si="84"/>
        <v/>
      </c>
      <c r="C201" s="8" t="str">
        <f t="shared" si="85"/>
        <v/>
      </c>
      <c r="D201" s="37" t="str">
        <f t="shared" si="86"/>
        <v/>
      </c>
      <c r="E201" s="31" t="str">
        <f t="shared" si="87"/>
        <v/>
      </c>
      <c r="F201" s="32" t="str">
        <f t="shared" si="88"/>
        <v/>
      </c>
      <c r="G201" s="32" t="str">
        <f t="shared" si="89"/>
        <v/>
      </c>
      <c r="H201" s="32" t="str">
        <f t="shared" si="90"/>
        <v/>
      </c>
      <c r="I201" s="32" t="str">
        <f t="shared" si="91"/>
        <v/>
      </c>
      <c r="J201" s="46" t="str">
        <f t="shared" si="92"/>
        <v/>
      </c>
      <c r="K201" s="32" t="str">
        <f t="shared" si="93"/>
        <v/>
      </c>
      <c r="L201" s="32" t="str">
        <f t="shared" si="94"/>
        <v/>
      </c>
      <c r="M201" s="32" t="str">
        <f t="shared" si="95"/>
        <v/>
      </c>
      <c r="N201" s="32" t="str">
        <f t="shared" si="96"/>
        <v/>
      </c>
      <c r="O201" s="32" t="str">
        <f t="shared" si="97"/>
        <v/>
      </c>
      <c r="Q201" t="str">
        <f>IFERROR(MATCH(197,บันทึกรายเที่ยว!$Z$6:$Z$10005,0),"")</f>
        <v/>
      </c>
      <c r="R201" t="str">
        <f>IF($Q201="","",INDEX(บันทึกรายเที่ยว!$V$6:$V$10005,$Q201))</f>
        <v/>
      </c>
      <c r="S201" t="str">
        <f>IF($Q201="","",INDEX(บันทึกรายเที่ยว!$F$6:$F$10005,$Q201))</f>
        <v/>
      </c>
      <c r="T201" t="str">
        <f>IF($Q201="","",MATCH($S201,บันทึกรายเที่ยว!$F$6:$F$10005,0))</f>
        <v/>
      </c>
      <c r="U201" t="str">
        <f>IF($Q201="","",$AL201*10000000+$T201*1000+197)</f>
        <v/>
      </c>
      <c r="V201" t="str">
        <f>IFERROR(MATCH(SMALL($U$5:$U$404,197),$U$5:$U$404,0),"")</f>
        <v/>
      </c>
      <c r="W201" t="str">
        <f t="shared" si="98"/>
        <v/>
      </c>
      <c r="X201" t="str">
        <f t="shared" si="99"/>
        <v/>
      </c>
      <c r="Y201" t="str">
        <f t="shared" si="100"/>
        <v/>
      </c>
      <c r="Z201">
        <f t="shared" si="110"/>
        <v>0</v>
      </c>
      <c r="AA201">
        <f t="shared" si="101"/>
        <v>0</v>
      </c>
      <c r="AB201">
        <f>IF($V201="",99999+197,$AB200+1+$Z200+$AA200+$AO200)</f>
        <v>100196</v>
      </c>
      <c r="AC201" t="str">
        <f>IFERROR(MATCH(197,$AB$5:$AB$404,1),"")</f>
        <v/>
      </c>
      <c r="AD201" t="str">
        <f>IF(197=$AI$1+1,"Z",IF($AC201="","",IF(INDEX($V$5:$V$404,$AC201)="","",IF(197&gt;INDEX($AB$5:$AB$404,$AC201)+INDEX($Z$5:$Z$404,$AC201)+INDEX($AA$5:$AA$404,$AC201)+INDEX($AO$5:$AO$404,$AC201),"",IF(197=INDEX($AB$5:$AB$404,$AC201)+INDEX($Z$5:$Z$404,$AC201),"D",IF(AND(INDEX($Z$5:$Z$404,$AC201)=1,197=INDEX($AB$5:$AB$404,$AC201)),"H",IF(AND(INDEX($AO$5:$AO$404,$AC201)=1,197=INDEX($AB$5:$AB$404,$AC201)+INDEX($Z$5:$Z$404,$AC201)+INDEX($AA$5:$AA$404,$AC201)+INDEX($AO$5:$AO$404,$AC201)),"B","T")))))))</f>
        <v/>
      </c>
      <c r="AF201" t="str">
        <f t="shared" si="102"/>
        <v/>
      </c>
      <c r="AJ201">
        <f>IF($AD201&lt;&gt;"T",0,ROUND(SUMIF(oil!$B$4:$B$63,$AF201,oil!$AE$4:$AE$63),2))</f>
        <v>0</v>
      </c>
      <c r="AK201" t="str">
        <f>IF($S201="","",IFERROR(INDEX(อัตราค่าขนส่ง!$R$5:$R$54,MATCH($S201,อัตราค่าขนส่ง!$Q$5:$Q$54,0)),INDEX(รายการมาตรฐาน!$G$2:$G$3,1)))</f>
        <v/>
      </c>
      <c r="AL201" t="str">
        <f>IF($S201="","",IFERROR(MATCH($AK201,รายการมาตรฐาน!$G$2:$G$3,0),1))</f>
        <v/>
      </c>
      <c r="AM201" t="str">
        <f t="shared" si="103"/>
        <v/>
      </c>
      <c r="AN201" t="str">
        <f t="shared" si="104"/>
        <v/>
      </c>
      <c r="AO201">
        <f t="shared" si="105"/>
        <v>0</v>
      </c>
      <c r="AP201">
        <f t="shared" si="111"/>
        <v>0</v>
      </c>
      <c r="AQ201" t="str">
        <f t="shared" si="106"/>
        <v/>
      </c>
      <c r="AR201">
        <f>IF($Y201="",0,COUNTIF(บันทึกรายเที่ยว!$V$6:$V$10005,$Y201))</f>
        <v>0</v>
      </c>
      <c r="AS201">
        <f>IF($Y201="",0,ROUND(SUMIF(บันทึกรายเที่ยว!$V$6:$V$10005,$Y201,บันทึกรายเที่ยว!$M$6:$M$10005),2))</f>
        <v>0</v>
      </c>
      <c r="AT201">
        <f>IF($Y201="",0,IFERROR(INDEX(อัตราค่าขนส่ง!$J$5:$J$204,MATCH($Y201,อัตราค่าขนส่ง!$O$5:$O$204,0)),0))</f>
        <v>0</v>
      </c>
      <c r="AU201">
        <f t="shared" si="107"/>
        <v>0</v>
      </c>
      <c r="AV201">
        <f t="shared" si="108"/>
        <v>0</v>
      </c>
      <c r="AW201" t="str">
        <f>IF($Y201="","",IFERROR(INDEX(อัตราค่าขนส่ง!$F$5:$F$204,MATCH($Y201,อัตราค่าขนส่ง!$O$5:$O$204,0)),""))</f>
        <v/>
      </c>
      <c r="AX201" t="str">
        <f>IF($W201="","",INDEX(บันทึกรายเที่ยว!$D$6:$D$10005,$W201))</f>
        <v/>
      </c>
      <c r="AY201" t="str">
        <f>IF($W201="","",INDEX(บันทึกรายเที่ยว!$R$6:$R$10005,$W201))</f>
        <v/>
      </c>
      <c r="AZ201">
        <f t="shared" si="109"/>
        <v>0</v>
      </c>
      <c r="BA201" t="str">
        <f>IF($W201="","",INDEX(บันทึกรายเที่ยว!$E$6:$E$10005,$W201))</f>
        <v/>
      </c>
      <c r="BC201">
        <f>IF($Y201="",0,IFERROR(INDEX(อัตราค่าขนส่ง!$M$5:$M$204,MATCH($Y201,อัตราค่าขนส่ง!$O$5:$O$204,0)),0))</f>
        <v>0</v>
      </c>
      <c r="BD201">
        <f>IF($Y201="",0,IFERROR(INDEX(อัตราค่าขนส่ง!$N$5:$N$204,MATCH($Y201,อัตราค่าขนส่ง!$O$5:$O$204,0)),0))</f>
        <v>0</v>
      </c>
    </row>
    <row r="202" spans="1:56" ht="21" customHeight="1" x14ac:dyDescent="0.95">
      <c r="A202" s="36" t="str">
        <f>IF($AD202="","",IF($AD202="Z","รวมจ่ายทั้งสิ้น",IF($AD202="H",INDEX($X$5:$X$404,$AC202),IF($AD202="T","รวม",IF($AD202="B",IFERROR(INDEX(อัตราค่าขนส่ง!$U$5:$U$14,MATCH(INDEX($AM$5:$AM$404,$AC202),อัตราค่าขนส่ง!$T$5:$T$14,0)),"รวมกลุ่ม "&amp;INDEX($AM$5:$AM$404,$AC202)),INDEX($AY$5:$AY$404,$AC202))))))</f>
        <v/>
      </c>
      <c r="B202" s="31" t="str">
        <f t="shared" si="84"/>
        <v/>
      </c>
      <c r="C202" s="8" t="str">
        <f t="shared" si="85"/>
        <v/>
      </c>
      <c r="D202" s="37" t="str">
        <f t="shared" si="86"/>
        <v/>
      </c>
      <c r="E202" s="31" t="str">
        <f t="shared" si="87"/>
        <v/>
      </c>
      <c r="F202" s="32" t="str">
        <f t="shared" si="88"/>
        <v/>
      </c>
      <c r="G202" s="32" t="str">
        <f t="shared" si="89"/>
        <v/>
      </c>
      <c r="H202" s="32" t="str">
        <f t="shared" si="90"/>
        <v/>
      </c>
      <c r="I202" s="32" t="str">
        <f t="shared" si="91"/>
        <v/>
      </c>
      <c r="J202" s="46" t="str">
        <f t="shared" si="92"/>
        <v/>
      </c>
      <c r="K202" s="32" t="str">
        <f t="shared" si="93"/>
        <v/>
      </c>
      <c r="L202" s="32" t="str">
        <f t="shared" si="94"/>
        <v/>
      </c>
      <c r="M202" s="32" t="str">
        <f t="shared" si="95"/>
        <v/>
      </c>
      <c r="N202" s="32" t="str">
        <f t="shared" si="96"/>
        <v/>
      </c>
      <c r="O202" s="32" t="str">
        <f t="shared" si="97"/>
        <v/>
      </c>
      <c r="Q202" t="str">
        <f>IFERROR(MATCH(198,บันทึกรายเที่ยว!$Z$6:$Z$10005,0),"")</f>
        <v/>
      </c>
      <c r="R202" t="str">
        <f>IF($Q202="","",INDEX(บันทึกรายเที่ยว!$V$6:$V$10005,$Q202))</f>
        <v/>
      </c>
      <c r="S202" t="str">
        <f>IF($Q202="","",INDEX(บันทึกรายเที่ยว!$F$6:$F$10005,$Q202))</f>
        <v/>
      </c>
      <c r="T202" t="str">
        <f>IF($Q202="","",MATCH($S202,บันทึกรายเที่ยว!$F$6:$F$10005,0))</f>
        <v/>
      </c>
      <c r="U202" t="str">
        <f>IF($Q202="","",$AL202*10000000+$T202*1000+198)</f>
        <v/>
      </c>
      <c r="V202" t="str">
        <f>IFERROR(MATCH(SMALL($U$5:$U$404,198),$U$5:$U$404,0),"")</f>
        <v/>
      </c>
      <c r="W202" t="str">
        <f t="shared" si="98"/>
        <v/>
      </c>
      <c r="X202" t="str">
        <f t="shared" si="99"/>
        <v/>
      </c>
      <c r="Y202" t="str">
        <f t="shared" si="100"/>
        <v/>
      </c>
      <c r="Z202">
        <f t="shared" si="110"/>
        <v>0</v>
      </c>
      <c r="AA202">
        <f t="shared" si="101"/>
        <v>0</v>
      </c>
      <c r="AB202">
        <f>IF($V202="",99999+198,$AB201+1+$Z201+$AA201+$AO201)</f>
        <v>100197</v>
      </c>
      <c r="AC202" t="str">
        <f>IFERROR(MATCH(198,$AB$5:$AB$404,1),"")</f>
        <v/>
      </c>
      <c r="AD202" t="str">
        <f>IF(198=$AI$1+1,"Z",IF($AC202="","",IF(INDEX($V$5:$V$404,$AC202)="","",IF(198&gt;INDEX($AB$5:$AB$404,$AC202)+INDEX($Z$5:$Z$404,$AC202)+INDEX($AA$5:$AA$404,$AC202)+INDEX($AO$5:$AO$404,$AC202),"",IF(198=INDEX($AB$5:$AB$404,$AC202)+INDEX($Z$5:$Z$404,$AC202),"D",IF(AND(INDEX($Z$5:$Z$404,$AC202)=1,198=INDEX($AB$5:$AB$404,$AC202)),"H",IF(AND(INDEX($AO$5:$AO$404,$AC202)=1,198=INDEX($AB$5:$AB$404,$AC202)+INDEX($Z$5:$Z$404,$AC202)+INDEX($AA$5:$AA$404,$AC202)+INDEX($AO$5:$AO$404,$AC202)),"B","T")))))))</f>
        <v/>
      </c>
      <c r="AF202" t="str">
        <f t="shared" si="102"/>
        <v/>
      </c>
      <c r="AJ202">
        <f>IF($AD202&lt;&gt;"T",0,ROUND(SUMIF(oil!$B$4:$B$63,$AF202,oil!$AE$4:$AE$63),2))</f>
        <v>0</v>
      </c>
      <c r="AK202" t="str">
        <f>IF($S202="","",IFERROR(INDEX(อัตราค่าขนส่ง!$R$5:$R$54,MATCH($S202,อัตราค่าขนส่ง!$Q$5:$Q$54,0)),INDEX(รายการมาตรฐาน!$G$2:$G$3,1)))</f>
        <v/>
      </c>
      <c r="AL202" t="str">
        <f>IF($S202="","",IFERROR(MATCH($AK202,รายการมาตรฐาน!$G$2:$G$3,0),1))</f>
        <v/>
      </c>
      <c r="AM202" t="str">
        <f t="shared" si="103"/>
        <v/>
      </c>
      <c r="AN202" t="str">
        <f t="shared" si="104"/>
        <v/>
      </c>
      <c r="AO202">
        <f t="shared" si="105"/>
        <v>0</v>
      </c>
      <c r="AP202">
        <f t="shared" si="111"/>
        <v>0</v>
      </c>
      <c r="AQ202" t="str">
        <f t="shared" si="106"/>
        <v/>
      </c>
      <c r="AR202">
        <f>IF($Y202="",0,COUNTIF(บันทึกรายเที่ยว!$V$6:$V$10005,$Y202))</f>
        <v>0</v>
      </c>
      <c r="AS202">
        <f>IF($Y202="",0,ROUND(SUMIF(บันทึกรายเที่ยว!$V$6:$V$10005,$Y202,บันทึกรายเที่ยว!$M$6:$M$10005),2))</f>
        <v>0</v>
      </c>
      <c r="AT202">
        <f>IF($Y202="",0,IFERROR(INDEX(อัตราค่าขนส่ง!$J$5:$J$204,MATCH($Y202,อัตราค่าขนส่ง!$O$5:$O$204,0)),0))</f>
        <v>0</v>
      </c>
      <c r="AU202">
        <f t="shared" si="107"/>
        <v>0</v>
      </c>
      <c r="AV202">
        <f t="shared" si="108"/>
        <v>0</v>
      </c>
      <c r="AW202" t="str">
        <f>IF($Y202="","",IFERROR(INDEX(อัตราค่าขนส่ง!$F$5:$F$204,MATCH($Y202,อัตราค่าขนส่ง!$O$5:$O$204,0)),""))</f>
        <v/>
      </c>
      <c r="AX202" t="str">
        <f>IF($W202="","",INDEX(บันทึกรายเที่ยว!$D$6:$D$10005,$W202))</f>
        <v/>
      </c>
      <c r="AY202" t="str">
        <f>IF($W202="","",INDEX(บันทึกรายเที่ยว!$R$6:$R$10005,$W202))</f>
        <v/>
      </c>
      <c r="AZ202">
        <f t="shared" si="109"/>
        <v>0</v>
      </c>
      <c r="BA202" t="str">
        <f>IF($W202="","",INDEX(บันทึกรายเที่ยว!$E$6:$E$10005,$W202))</f>
        <v/>
      </c>
      <c r="BC202">
        <f>IF($Y202="",0,IFERROR(INDEX(อัตราค่าขนส่ง!$M$5:$M$204,MATCH($Y202,อัตราค่าขนส่ง!$O$5:$O$204,0)),0))</f>
        <v>0</v>
      </c>
      <c r="BD202">
        <f>IF($Y202="",0,IFERROR(INDEX(อัตราค่าขนส่ง!$N$5:$N$204,MATCH($Y202,อัตราค่าขนส่ง!$O$5:$O$204,0)),0))</f>
        <v>0</v>
      </c>
    </row>
    <row r="203" spans="1:56" ht="21" customHeight="1" x14ac:dyDescent="0.95">
      <c r="A203" s="36" t="str">
        <f>IF($AD203="","",IF($AD203="Z","รวมจ่ายทั้งสิ้น",IF($AD203="H",INDEX($X$5:$X$404,$AC203),IF($AD203="T","รวม",IF($AD203="B",IFERROR(INDEX(อัตราค่าขนส่ง!$U$5:$U$14,MATCH(INDEX($AM$5:$AM$404,$AC203),อัตราค่าขนส่ง!$T$5:$T$14,0)),"รวมกลุ่ม "&amp;INDEX($AM$5:$AM$404,$AC203)),INDEX($AY$5:$AY$404,$AC203))))))</f>
        <v/>
      </c>
      <c r="B203" s="31" t="str">
        <f t="shared" si="84"/>
        <v/>
      </c>
      <c r="C203" s="8" t="str">
        <f t="shared" si="85"/>
        <v/>
      </c>
      <c r="D203" s="37" t="str">
        <f t="shared" si="86"/>
        <v/>
      </c>
      <c r="E203" s="31" t="str">
        <f t="shared" si="87"/>
        <v/>
      </c>
      <c r="F203" s="32" t="str">
        <f t="shared" si="88"/>
        <v/>
      </c>
      <c r="G203" s="32" t="str">
        <f t="shared" si="89"/>
        <v/>
      </c>
      <c r="H203" s="32" t="str">
        <f t="shared" si="90"/>
        <v/>
      </c>
      <c r="I203" s="32" t="str">
        <f t="shared" si="91"/>
        <v/>
      </c>
      <c r="J203" s="46" t="str">
        <f t="shared" si="92"/>
        <v/>
      </c>
      <c r="K203" s="32" t="str">
        <f t="shared" si="93"/>
        <v/>
      </c>
      <c r="L203" s="32" t="str">
        <f t="shared" si="94"/>
        <v/>
      </c>
      <c r="M203" s="32" t="str">
        <f t="shared" si="95"/>
        <v/>
      </c>
      <c r="N203" s="32" t="str">
        <f t="shared" si="96"/>
        <v/>
      </c>
      <c r="O203" s="32" t="str">
        <f t="shared" si="97"/>
        <v/>
      </c>
      <c r="Q203" t="str">
        <f>IFERROR(MATCH(199,บันทึกรายเที่ยว!$Z$6:$Z$10005,0),"")</f>
        <v/>
      </c>
      <c r="R203" t="str">
        <f>IF($Q203="","",INDEX(บันทึกรายเที่ยว!$V$6:$V$10005,$Q203))</f>
        <v/>
      </c>
      <c r="S203" t="str">
        <f>IF($Q203="","",INDEX(บันทึกรายเที่ยว!$F$6:$F$10005,$Q203))</f>
        <v/>
      </c>
      <c r="T203" t="str">
        <f>IF($Q203="","",MATCH($S203,บันทึกรายเที่ยว!$F$6:$F$10005,0))</f>
        <v/>
      </c>
      <c r="U203" t="str">
        <f>IF($Q203="","",$AL203*10000000+$T203*1000+199)</f>
        <v/>
      </c>
      <c r="V203" t="str">
        <f>IFERROR(MATCH(SMALL($U$5:$U$404,199),$U$5:$U$404,0),"")</f>
        <v/>
      </c>
      <c r="W203" t="str">
        <f t="shared" si="98"/>
        <v/>
      </c>
      <c r="X203" t="str">
        <f t="shared" si="99"/>
        <v/>
      </c>
      <c r="Y203" t="str">
        <f t="shared" si="100"/>
        <v/>
      </c>
      <c r="Z203">
        <f t="shared" si="110"/>
        <v>0</v>
      </c>
      <c r="AA203">
        <f t="shared" si="101"/>
        <v>0</v>
      </c>
      <c r="AB203">
        <f>IF($V203="",99999+199,$AB202+1+$Z202+$AA202+$AO202)</f>
        <v>100198</v>
      </c>
      <c r="AC203" t="str">
        <f>IFERROR(MATCH(199,$AB$5:$AB$404,1),"")</f>
        <v/>
      </c>
      <c r="AD203" t="str">
        <f>IF(199=$AI$1+1,"Z",IF($AC203="","",IF(INDEX($V$5:$V$404,$AC203)="","",IF(199&gt;INDEX($AB$5:$AB$404,$AC203)+INDEX($Z$5:$Z$404,$AC203)+INDEX($AA$5:$AA$404,$AC203)+INDEX($AO$5:$AO$404,$AC203),"",IF(199=INDEX($AB$5:$AB$404,$AC203)+INDEX($Z$5:$Z$404,$AC203),"D",IF(AND(INDEX($Z$5:$Z$404,$AC203)=1,199=INDEX($AB$5:$AB$404,$AC203)),"H",IF(AND(INDEX($AO$5:$AO$404,$AC203)=1,199=INDEX($AB$5:$AB$404,$AC203)+INDEX($Z$5:$Z$404,$AC203)+INDEX($AA$5:$AA$404,$AC203)+INDEX($AO$5:$AO$404,$AC203)),"B","T")))))))</f>
        <v/>
      </c>
      <c r="AF203" t="str">
        <f t="shared" si="102"/>
        <v/>
      </c>
      <c r="AJ203">
        <f>IF($AD203&lt;&gt;"T",0,ROUND(SUMIF(oil!$B$4:$B$63,$AF203,oil!$AE$4:$AE$63),2))</f>
        <v>0</v>
      </c>
      <c r="AK203" t="str">
        <f>IF($S203="","",IFERROR(INDEX(อัตราค่าขนส่ง!$R$5:$R$54,MATCH($S203,อัตราค่าขนส่ง!$Q$5:$Q$54,0)),INDEX(รายการมาตรฐาน!$G$2:$G$3,1)))</f>
        <v/>
      </c>
      <c r="AL203" t="str">
        <f>IF($S203="","",IFERROR(MATCH($AK203,รายการมาตรฐาน!$G$2:$G$3,0),1))</f>
        <v/>
      </c>
      <c r="AM203" t="str">
        <f t="shared" si="103"/>
        <v/>
      </c>
      <c r="AN203" t="str">
        <f t="shared" si="104"/>
        <v/>
      </c>
      <c r="AO203">
        <f t="shared" si="105"/>
        <v>0</v>
      </c>
      <c r="AP203">
        <f t="shared" si="111"/>
        <v>0</v>
      </c>
      <c r="AQ203" t="str">
        <f t="shared" si="106"/>
        <v/>
      </c>
      <c r="AR203">
        <f>IF($Y203="",0,COUNTIF(บันทึกรายเที่ยว!$V$6:$V$10005,$Y203))</f>
        <v>0</v>
      </c>
      <c r="AS203">
        <f>IF($Y203="",0,ROUND(SUMIF(บันทึกรายเที่ยว!$V$6:$V$10005,$Y203,บันทึกรายเที่ยว!$M$6:$M$10005),2))</f>
        <v>0</v>
      </c>
      <c r="AT203">
        <f>IF($Y203="",0,IFERROR(INDEX(อัตราค่าขนส่ง!$J$5:$J$204,MATCH($Y203,อัตราค่าขนส่ง!$O$5:$O$204,0)),0))</f>
        <v>0</v>
      </c>
      <c r="AU203">
        <f t="shared" si="107"/>
        <v>0</v>
      </c>
      <c r="AV203">
        <f t="shared" si="108"/>
        <v>0</v>
      </c>
      <c r="AW203" t="str">
        <f>IF($Y203="","",IFERROR(INDEX(อัตราค่าขนส่ง!$F$5:$F$204,MATCH($Y203,อัตราค่าขนส่ง!$O$5:$O$204,0)),""))</f>
        <v/>
      </c>
      <c r="AX203" t="str">
        <f>IF($W203="","",INDEX(บันทึกรายเที่ยว!$D$6:$D$10005,$W203))</f>
        <v/>
      </c>
      <c r="AY203" t="str">
        <f>IF($W203="","",INDEX(บันทึกรายเที่ยว!$R$6:$R$10005,$W203))</f>
        <v/>
      </c>
      <c r="AZ203">
        <f t="shared" si="109"/>
        <v>0</v>
      </c>
      <c r="BA203" t="str">
        <f>IF($W203="","",INDEX(บันทึกรายเที่ยว!$E$6:$E$10005,$W203))</f>
        <v/>
      </c>
      <c r="BC203">
        <f>IF($Y203="",0,IFERROR(INDEX(อัตราค่าขนส่ง!$M$5:$M$204,MATCH($Y203,อัตราค่าขนส่ง!$O$5:$O$204,0)),0))</f>
        <v>0</v>
      </c>
      <c r="BD203">
        <f>IF($Y203="",0,IFERROR(INDEX(อัตราค่าขนส่ง!$N$5:$N$204,MATCH($Y203,อัตราค่าขนส่ง!$O$5:$O$204,0)),0))</f>
        <v>0</v>
      </c>
    </row>
    <row r="204" spans="1:56" ht="21" customHeight="1" x14ac:dyDescent="0.95">
      <c r="A204" s="36" t="str">
        <f>IF($AD204="","",IF($AD204="Z","รวมจ่ายทั้งสิ้น",IF($AD204="H",INDEX($X$5:$X$404,$AC204),IF($AD204="T","รวม",IF($AD204="B",IFERROR(INDEX(อัตราค่าขนส่ง!$U$5:$U$14,MATCH(INDEX($AM$5:$AM$404,$AC204),อัตราค่าขนส่ง!$T$5:$T$14,0)),"รวมกลุ่ม "&amp;INDEX($AM$5:$AM$404,$AC204)),INDEX($AY$5:$AY$404,$AC204))))))</f>
        <v/>
      </c>
      <c r="B204" s="31" t="str">
        <f t="shared" si="84"/>
        <v/>
      </c>
      <c r="C204" s="8" t="str">
        <f t="shared" si="85"/>
        <v/>
      </c>
      <c r="D204" s="37" t="str">
        <f t="shared" si="86"/>
        <v/>
      </c>
      <c r="E204" s="31" t="str">
        <f t="shared" si="87"/>
        <v/>
      </c>
      <c r="F204" s="32" t="str">
        <f t="shared" si="88"/>
        <v/>
      </c>
      <c r="G204" s="32" t="str">
        <f t="shared" si="89"/>
        <v/>
      </c>
      <c r="H204" s="32" t="str">
        <f t="shared" si="90"/>
        <v/>
      </c>
      <c r="I204" s="32" t="str">
        <f t="shared" si="91"/>
        <v/>
      </c>
      <c r="J204" s="46" t="str">
        <f t="shared" si="92"/>
        <v/>
      </c>
      <c r="K204" s="32" t="str">
        <f t="shared" si="93"/>
        <v/>
      </c>
      <c r="L204" s="32" t="str">
        <f t="shared" si="94"/>
        <v/>
      </c>
      <c r="M204" s="32" t="str">
        <f t="shared" si="95"/>
        <v/>
      </c>
      <c r="N204" s="32" t="str">
        <f t="shared" si="96"/>
        <v/>
      </c>
      <c r="O204" s="32" t="str">
        <f t="shared" si="97"/>
        <v/>
      </c>
      <c r="Q204" t="str">
        <f>IFERROR(MATCH(200,บันทึกรายเที่ยว!$Z$6:$Z$10005,0),"")</f>
        <v/>
      </c>
      <c r="R204" t="str">
        <f>IF($Q204="","",INDEX(บันทึกรายเที่ยว!$V$6:$V$10005,$Q204))</f>
        <v/>
      </c>
      <c r="S204" t="str">
        <f>IF($Q204="","",INDEX(บันทึกรายเที่ยว!$F$6:$F$10005,$Q204))</f>
        <v/>
      </c>
      <c r="T204" t="str">
        <f>IF($Q204="","",MATCH($S204,บันทึกรายเที่ยว!$F$6:$F$10005,0))</f>
        <v/>
      </c>
      <c r="U204" t="str">
        <f>IF($Q204="","",$AL204*10000000+$T204*1000+200)</f>
        <v/>
      </c>
      <c r="V204" t="str">
        <f>IFERROR(MATCH(SMALL($U$5:$U$404,200),$U$5:$U$404,0),"")</f>
        <v/>
      </c>
      <c r="W204" t="str">
        <f t="shared" si="98"/>
        <v/>
      </c>
      <c r="X204" t="str">
        <f t="shared" si="99"/>
        <v/>
      </c>
      <c r="Y204" t="str">
        <f t="shared" si="100"/>
        <v/>
      </c>
      <c r="Z204">
        <f t="shared" si="110"/>
        <v>0</v>
      </c>
      <c r="AA204">
        <f t="shared" si="101"/>
        <v>0</v>
      </c>
      <c r="AB204">
        <f>IF($V204="",99999+200,$AB203+1+$Z203+$AA203+$AO203)</f>
        <v>100199</v>
      </c>
      <c r="AC204" t="str">
        <f>IFERROR(MATCH(200,$AB$5:$AB$404,1),"")</f>
        <v/>
      </c>
      <c r="AD204" t="str">
        <f>IF(200=$AI$1+1,"Z",IF($AC204="","",IF(INDEX($V$5:$V$404,$AC204)="","",IF(200&gt;INDEX($AB$5:$AB$404,$AC204)+INDEX($Z$5:$Z$404,$AC204)+INDEX($AA$5:$AA$404,$AC204)+INDEX($AO$5:$AO$404,$AC204),"",IF(200=INDEX($AB$5:$AB$404,$AC204)+INDEX($Z$5:$Z$404,$AC204),"D",IF(AND(INDEX($Z$5:$Z$404,$AC204)=1,200=INDEX($AB$5:$AB$404,$AC204)),"H",IF(AND(INDEX($AO$5:$AO$404,$AC204)=1,200=INDEX($AB$5:$AB$404,$AC204)+INDEX($Z$5:$Z$404,$AC204)+INDEX($AA$5:$AA$404,$AC204)+INDEX($AO$5:$AO$404,$AC204)),"B","T")))))))</f>
        <v/>
      </c>
      <c r="AF204" t="str">
        <f t="shared" si="102"/>
        <v/>
      </c>
      <c r="AJ204">
        <f>IF($AD204&lt;&gt;"T",0,ROUND(SUMIF(oil!$B$4:$B$63,$AF204,oil!$AE$4:$AE$63),2))</f>
        <v>0</v>
      </c>
      <c r="AK204" t="str">
        <f>IF($S204="","",IFERROR(INDEX(อัตราค่าขนส่ง!$R$5:$R$54,MATCH($S204,อัตราค่าขนส่ง!$Q$5:$Q$54,0)),INDEX(รายการมาตรฐาน!$G$2:$G$3,1)))</f>
        <v/>
      </c>
      <c r="AL204" t="str">
        <f>IF($S204="","",IFERROR(MATCH($AK204,รายการมาตรฐาน!$G$2:$G$3,0),1))</f>
        <v/>
      </c>
      <c r="AM204" t="str">
        <f t="shared" si="103"/>
        <v/>
      </c>
      <c r="AN204" t="str">
        <f t="shared" si="104"/>
        <v/>
      </c>
      <c r="AO204">
        <f t="shared" si="105"/>
        <v>0</v>
      </c>
      <c r="AP204">
        <f t="shared" si="111"/>
        <v>0</v>
      </c>
      <c r="AQ204" t="str">
        <f t="shared" si="106"/>
        <v/>
      </c>
      <c r="AR204">
        <f>IF($Y204="",0,COUNTIF(บันทึกรายเที่ยว!$V$6:$V$10005,$Y204))</f>
        <v>0</v>
      </c>
      <c r="AS204">
        <f>IF($Y204="",0,ROUND(SUMIF(บันทึกรายเที่ยว!$V$6:$V$10005,$Y204,บันทึกรายเที่ยว!$M$6:$M$10005),2))</f>
        <v>0</v>
      </c>
      <c r="AT204">
        <f>IF($Y204="",0,IFERROR(INDEX(อัตราค่าขนส่ง!$J$5:$J$204,MATCH($Y204,อัตราค่าขนส่ง!$O$5:$O$204,0)),0))</f>
        <v>0</v>
      </c>
      <c r="AU204">
        <f t="shared" si="107"/>
        <v>0</v>
      </c>
      <c r="AV204">
        <f t="shared" si="108"/>
        <v>0</v>
      </c>
      <c r="AW204" t="str">
        <f>IF($Y204="","",IFERROR(INDEX(อัตราค่าขนส่ง!$F$5:$F$204,MATCH($Y204,อัตราค่าขนส่ง!$O$5:$O$204,0)),""))</f>
        <v/>
      </c>
      <c r="AX204" t="str">
        <f>IF($W204="","",INDEX(บันทึกรายเที่ยว!$D$6:$D$10005,$W204))</f>
        <v/>
      </c>
      <c r="AY204" t="str">
        <f>IF($W204="","",INDEX(บันทึกรายเที่ยว!$R$6:$R$10005,$W204))</f>
        <v/>
      </c>
      <c r="AZ204">
        <f t="shared" si="109"/>
        <v>0</v>
      </c>
      <c r="BA204" t="str">
        <f>IF($W204="","",INDEX(บันทึกรายเที่ยว!$E$6:$E$10005,$W204))</f>
        <v/>
      </c>
      <c r="BC204">
        <f>IF($Y204="",0,IFERROR(INDEX(อัตราค่าขนส่ง!$M$5:$M$204,MATCH($Y204,อัตราค่าขนส่ง!$O$5:$O$204,0)),0))</f>
        <v>0</v>
      </c>
      <c r="BD204">
        <f>IF($Y204="",0,IFERROR(INDEX(อัตราค่าขนส่ง!$N$5:$N$204,MATCH($Y204,อัตราค่าขนส่ง!$O$5:$O$204,0)),0))</f>
        <v>0</v>
      </c>
    </row>
    <row r="205" spans="1:56" ht="21" customHeight="1" x14ac:dyDescent="0.95">
      <c r="A205" s="36" t="str">
        <f>IF($AD205="","",IF($AD205="Z","รวมจ่ายทั้งสิ้น",IF($AD205="H",INDEX($X$5:$X$404,$AC205),IF($AD205="T","รวม",IF($AD205="B",IFERROR(INDEX(อัตราค่าขนส่ง!$U$5:$U$14,MATCH(INDEX($AM$5:$AM$404,$AC205),อัตราค่าขนส่ง!$T$5:$T$14,0)),"รวมกลุ่ม "&amp;INDEX($AM$5:$AM$404,$AC205)),INDEX($AY$5:$AY$404,$AC205))))))</f>
        <v/>
      </c>
      <c r="B205" s="31" t="str">
        <f t="shared" si="84"/>
        <v/>
      </c>
      <c r="C205" s="8" t="str">
        <f t="shared" si="85"/>
        <v/>
      </c>
      <c r="D205" s="37" t="str">
        <f t="shared" si="86"/>
        <v/>
      </c>
      <c r="E205" s="31" t="str">
        <f t="shared" si="87"/>
        <v/>
      </c>
      <c r="F205" s="32" t="str">
        <f t="shared" si="88"/>
        <v/>
      </c>
      <c r="G205" s="32" t="str">
        <f t="shared" si="89"/>
        <v/>
      </c>
      <c r="H205" s="32" t="str">
        <f t="shared" si="90"/>
        <v/>
      </c>
      <c r="I205" s="32" t="str">
        <f t="shared" si="91"/>
        <v/>
      </c>
      <c r="J205" s="46" t="str">
        <f t="shared" si="92"/>
        <v/>
      </c>
      <c r="K205" s="32" t="str">
        <f t="shared" si="93"/>
        <v/>
      </c>
      <c r="L205" s="32" t="str">
        <f t="shared" si="94"/>
        <v/>
      </c>
      <c r="M205" s="32" t="str">
        <f t="shared" si="95"/>
        <v/>
      </c>
      <c r="N205" s="32" t="str">
        <f t="shared" si="96"/>
        <v/>
      </c>
      <c r="O205" s="32" t="str">
        <f t="shared" si="97"/>
        <v/>
      </c>
      <c r="Q205" t="str">
        <f>IFERROR(MATCH(201,บันทึกรายเที่ยว!$Z$6:$Z$10005,0),"")</f>
        <v/>
      </c>
      <c r="R205" t="str">
        <f>IF($Q205="","",INDEX(บันทึกรายเที่ยว!$V$6:$V$10005,$Q205))</f>
        <v/>
      </c>
      <c r="S205" t="str">
        <f>IF($Q205="","",INDEX(บันทึกรายเที่ยว!$F$6:$F$10005,$Q205))</f>
        <v/>
      </c>
      <c r="T205" t="str">
        <f>IF($Q205="","",MATCH($S205,บันทึกรายเที่ยว!$F$6:$F$10005,0))</f>
        <v/>
      </c>
      <c r="U205" t="str">
        <f>IF($Q205="","",$AL205*10000000+$T205*1000+201)</f>
        <v/>
      </c>
      <c r="V205" t="str">
        <f>IFERROR(MATCH(SMALL($U$5:$U$404,201),$U$5:$U$404,0),"")</f>
        <v/>
      </c>
      <c r="W205" t="str">
        <f t="shared" si="98"/>
        <v/>
      </c>
      <c r="X205" t="str">
        <f t="shared" si="99"/>
        <v/>
      </c>
      <c r="Y205" t="str">
        <f t="shared" si="100"/>
        <v/>
      </c>
      <c r="Z205">
        <f t="shared" si="110"/>
        <v>0</v>
      </c>
      <c r="AA205">
        <f t="shared" si="101"/>
        <v>0</v>
      </c>
      <c r="AB205">
        <f>IF($V205="",99999+201,$AB204+1+$Z204+$AA204+$AO204)</f>
        <v>100200</v>
      </c>
      <c r="AC205" t="str">
        <f>IFERROR(MATCH(201,$AB$5:$AB$404,1),"")</f>
        <v/>
      </c>
      <c r="AD205" t="str">
        <f>IF(201=$AI$1+1,"Z",IF($AC205="","",IF(INDEX($V$5:$V$404,$AC205)="","",IF(201&gt;INDEX($AB$5:$AB$404,$AC205)+INDEX($Z$5:$Z$404,$AC205)+INDEX($AA$5:$AA$404,$AC205)+INDEX($AO$5:$AO$404,$AC205),"",IF(201=INDEX($AB$5:$AB$404,$AC205)+INDEX($Z$5:$Z$404,$AC205),"D",IF(AND(INDEX($Z$5:$Z$404,$AC205)=1,201=INDEX($AB$5:$AB$404,$AC205)),"H",IF(AND(INDEX($AO$5:$AO$404,$AC205)=1,201=INDEX($AB$5:$AB$404,$AC205)+INDEX($Z$5:$Z$404,$AC205)+INDEX($AA$5:$AA$404,$AC205)+INDEX($AO$5:$AO$404,$AC205)),"B","T")))))))</f>
        <v/>
      </c>
      <c r="AF205" t="str">
        <f t="shared" si="102"/>
        <v/>
      </c>
      <c r="AJ205">
        <f>IF($AD205&lt;&gt;"T",0,ROUND(SUMIF(oil!$B$4:$B$63,$AF205,oil!$AE$4:$AE$63),2))</f>
        <v>0</v>
      </c>
      <c r="AK205" t="str">
        <f>IF($S205="","",IFERROR(INDEX(อัตราค่าขนส่ง!$R$5:$R$54,MATCH($S205,อัตราค่าขนส่ง!$Q$5:$Q$54,0)),INDEX(รายการมาตรฐาน!$G$2:$G$3,1)))</f>
        <v/>
      </c>
      <c r="AL205" t="str">
        <f>IF($S205="","",IFERROR(MATCH($AK205,รายการมาตรฐาน!$G$2:$G$3,0),1))</f>
        <v/>
      </c>
      <c r="AM205" t="str">
        <f t="shared" si="103"/>
        <v/>
      </c>
      <c r="AN205" t="str">
        <f t="shared" si="104"/>
        <v/>
      </c>
      <c r="AO205">
        <f t="shared" si="105"/>
        <v>0</v>
      </c>
      <c r="AP205">
        <f t="shared" si="111"/>
        <v>0</v>
      </c>
      <c r="AQ205" t="str">
        <f t="shared" si="106"/>
        <v/>
      </c>
      <c r="AR205">
        <f>IF($Y205="",0,COUNTIF(บันทึกรายเที่ยว!$V$6:$V$10005,$Y205))</f>
        <v>0</v>
      </c>
      <c r="AS205">
        <f>IF($Y205="",0,ROUND(SUMIF(บันทึกรายเที่ยว!$V$6:$V$10005,$Y205,บันทึกรายเที่ยว!$M$6:$M$10005),2))</f>
        <v>0</v>
      </c>
      <c r="AT205">
        <f>IF($Y205="",0,IFERROR(INDEX(อัตราค่าขนส่ง!$J$5:$J$204,MATCH($Y205,อัตราค่าขนส่ง!$O$5:$O$204,0)),0))</f>
        <v>0</v>
      </c>
      <c r="AU205">
        <f t="shared" si="107"/>
        <v>0</v>
      </c>
      <c r="AV205">
        <f t="shared" si="108"/>
        <v>0</v>
      </c>
      <c r="AW205" t="str">
        <f>IF($Y205="","",IFERROR(INDEX(อัตราค่าขนส่ง!$F$5:$F$204,MATCH($Y205,อัตราค่าขนส่ง!$O$5:$O$204,0)),""))</f>
        <v/>
      </c>
      <c r="AX205" t="str">
        <f>IF($W205="","",INDEX(บันทึกรายเที่ยว!$D$6:$D$10005,$W205))</f>
        <v/>
      </c>
      <c r="AY205" t="str">
        <f>IF($W205="","",INDEX(บันทึกรายเที่ยว!$R$6:$R$10005,$W205))</f>
        <v/>
      </c>
      <c r="AZ205">
        <f t="shared" si="109"/>
        <v>0</v>
      </c>
      <c r="BA205" t="str">
        <f>IF($W205="","",INDEX(บันทึกรายเที่ยว!$E$6:$E$10005,$W205))</f>
        <v/>
      </c>
      <c r="BC205">
        <f>IF($Y205="",0,IFERROR(INDEX(อัตราค่าขนส่ง!$M$5:$M$204,MATCH($Y205,อัตราค่าขนส่ง!$O$5:$O$204,0)),0))</f>
        <v>0</v>
      </c>
      <c r="BD205">
        <f>IF($Y205="",0,IFERROR(INDEX(อัตราค่าขนส่ง!$N$5:$N$204,MATCH($Y205,อัตราค่าขนส่ง!$O$5:$O$204,0)),0))</f>
        <v>0</v>
      </c>
    </row>
    <row r="206" spans="1:56" ht="21" customHeight="1" x14ac:dyDescent="0.95">
      <c r="A206" s="36" t="str">
        <f>IF($AD206="","",IF($AD206="Z","รวมจ่ายทั้งสิ้น",IF($AD206="H",INDEX($X$5:$X$404,$AC206),IF($AD206="T","รวม",IF($AD206="B",IFERROR(INDEX(อัตราค่าขนส่ง!$U$5:$U$14,MATCH(INDEX($AM$5:$AM$404,$AC206),อัตราค่าขนส่ง!$T$5:$T$14,0)),"รวมกลุ่ม "&amp;INDEX($AM$5:$AM$404,$AC206)),INDEX($AY$5:$AY$404,$AC206))))))</f>
        <v/>
      </c>
      <c r="B206" s="31" t="str">
        <f t="shared" si="84"/>
        <v/>
      </c>
      <c r="C206" s="8" t="str">
        <f t="shared" si="85"/>
        <v/>
      </c>
      <c r="D206" s="37" t="str">
        <f t="shared" si="86"/>
        <v/>
      </c>
      <c r="E206" s="31" t="str">
        <f t="shared" si="87"/>
        <v/>
      </c>
      <c r="F206" s="32" t="str">
        <f t="shared" si="88"/>
        <v/>
      </c>
      <c r="G206" s="32" t="str">
        <f t="shared" si="89"/>
        <v/>
      </c>
      <c r="H206" s="32" t="str">
        <f t="shared" si="90"/>
        <v/>
      </c>
      <c r="I206" s="32" t="str">
        <f t="shared" si="91"/>
        <v/>
      </c>
      <c r="J206" s="46" t="str">
        <f t="shared" si="92"/>
        <v/>
      </c>
      <c r="K206" s="32" t="str">
        <f t="shared" si="93"/>
        <v/>
      </c>
      <c r="L206" s="32" t="str">
        <f t="shared" si="94"/>
        <v/>
      </c>
      <c r="M206" s="32" t="str">
        <f t="shared" si="95"/>
        <v/>
      </c>
      <c r="N206" s="32" t="str">
        <f t="shared" si="96"/>
        <v/>
      </c>
      <c r="O206" s="32" t="str">
        <f t="shared" si="97"/>
        <v/>
      </c>
      <c r="Q206" t="str">
        <f>IFERROR(MATCH(202,บันทึกรายเที่ยว!$Z$6:$Z$10005,0),"")</f>
        <v/>
      </c>
      <c r="R206" t="str">
        <f>IF($Q206="","",INDEX(บันทึกรายเที่ยว!$V$6:$V$10005,$Q206))</f>
        <v/>
      </c>
      <c r="S206" t="str">
        <f>IF($Q206="","",INDEX(บันทึกรายเที่ยว!$F$6:$F$10005,$Q206))</f>
        <v/>
      </c>
      <c r="T206" t="str">
        <f>IF($Q206="","",MATCH($S206,บันทึกรายเที่ยว!$F$6:$F$10005,0))</f>
        <v/>
      </c>
      <c r="U206" t="str">
        <f>IF($Q206="","",$AL206*10000000+$T206*1000+202)</f>
        <v/>
      </c>
      <c r="V206" t="str">
        <f>IFERROR(MATCH(SMALL($U$5:$U$404,202),$U$5:$U$404,0),"")</f>
        <v/>
      </c>
      <c r="W206" t="str">
        <f t="shared" si="98"/>
        <v/>
      </c>
      <c r="X206" t="str">
        <f t="shared" si="99"/>
        <v/>
      </c>
      <c r="Y206" t="str">
        <f t="shared" si="100"/>
        <v/>
      </c>
      <c r="Z206">
        <f t="shared" si="110"/>
        <v>0</v>
      </c>
      <c r="AA206">
        <f t="shared" si="101"/>
        <v>0</v>
      </c>
      <c r="AB206">
        <f>IF($V206="",99999+202,$AB205+1+$Z205+$AA205+$AO205)</f>
        <v>100201</v>
      </c>
      <c r="AC206" t="str">
        <f>IFERROR(MATCH(202,$AB$5:$AB$404,1),"")</f>
        <v/>
      </c>
      <c r="AD206" t="str">
        <f>IF(202=$AI$1+1,"Z",IF($AC206="","",IF(INDEX($V$5:$V$404,$AC206)="","",IF(202&gt;INDEX($AB$5:$AB$404,$AC206)+INDEX($Z$5:$Z$404,$AC206)+INDEX($AA$5:$AA$404,$AC206)+INDEX($AO$5:$AO$404,$AC206),"",IF(202=INDEX($AB$5:$AB$404,$AC206)+INDEX($Z$5:$Z$404,$AC206),"D",IF(AND(INDEX($Z$5:$Z$404,$AC206)=1,202=INDEX($AB$5:$AB$404,$AC206)),"H",IF(AND(INDEX($AO$5:$AO$404,$AC206)=1,202=INDEX($AB$5:$AB$404,$AC206)+INDEX($Z$5:$Z$404,$AC206)+INDEX($AA$5:$AA$404,$AC206)+INDEX($AO$5:$AO$404,$AC206)),"B","T")))))))</f>
        <v/>
      </c>
      <c r="AF206" t="str">
        <f t="shared" si="102"/>
        <v/>
      </c>
      <c r="AJ206">
        <f>IF($AD206&lt;&gt;"T",0,ROUND(SUMIF(oil!$B$4:$B$63,$AF206,oil!$AE$4:$AE$63),2))</f>
        <v>0</v>
      </c>
      <c r="AK206" t="str">
        <f>IF($S206="","",IFERROR(INDEX(อัตราค่าขนส่ง!$R$5:$R$54,MATCH($S206,อัตราค่าขนส่ง!$Q$5:$Q$54,0)),INDEX(รายการมาตรฐาน!$G$2:$G$3,1)))</f>
        <v/>
      </c>
      <c r="AL206" t="str">
        <f>IF($S206="","",IFERROR(MATCH($AK206,รายการมาตรฐาน!$G$2:$G$3,0),1))</f>
        <v/>
      </c>
      <c r="AM206" t="str">
        <f t="shared" si="103"/>
        <v/>
      </c>
      <c r="AN206" t="str">
        <f t="shared" si="104"/>
        <v/>
      </c>
      <c r="AO206">
        <f t="shared" si="105"/>
        <v>0</v>
      </c>
      <c r="AP206">
        <f t="shared" si="111"/>
        <v>0</v>
      </c>
      <c r="AQ206" t="str">
        <f t="shared" si="106"/>
        <v/>
      </c>
      <c r="AR206">
        <f>IF($Y206="",0,COUNTIF(บันทึกรายเที่ยว!$V$6:$V$10005,$Y206))</f>
        <v>0</v>
      </c>
      <c r="AS206">
        <f>IF($Y206="",0,ROUND(SUMIF(บันทึกรายเที่ยว!$V$6:$V$10005,$Y206,บันทึกรายเที่ยว!$M$6:$M$10005),2))</f>
        <v>0</v>
      </c>
      <c r="AT206">
        <f>IF($Y206="",0,IFERROR(INDEX(อัตราค่าขนส่ง!$J$5:$J$204,MATCH($Y206,อัตราค่าขนส่ง!$O$5:$O$204,0)),0))</f>
        <v>0</v>
      </c>
      <c r="AU206">
        <f t="shared" si="107"/>
        <v>0</v>
      </c>
      <c r="AV206">
        <f t="shared" si="108"/>
        <v>0</v>
      </c>
      <c r="AW206" t="str">
        <f>IF($Y206="","",IFERROR(INDEX(อัตราค่าขนส่ง!$F$5:$F$204,MATCH($Y206,อัตราค่าขนส่ง!$O$5:$O$204,0)),""))</f>
        <v/>
      </c>
      <c r="AX206" t="str">
        <f>IF($W206="","",INDEX(บันทึกรายเที่ยว!$D$6:$D$10005,$W206))</f>
        <v/>
      </c>
      <c r="AY206" t="str">
        <f>IF($W206="","",INDEX(บันทึกรายเที่ยว!$R$6:$R$10005,$W206))</f>
        <v/>
      </c>
      <c r="AZ206">
        <f t="shared" si="109"/>
        <v>0</v>
      </c>
      <c r="BA206" t="str">
        <f>IF($W206="","",INDEX(บันทึกรายเที่ยว!$E$6:$E$10005,$W206))</f>
        <v/>
      </c>
      <c r="BC206">
        <f>IF($Y206="",0,IFERROR(INDEX(อัตราค่าขนส่ง!$M$5:$M$204,MATCH($Y206,อัตราค่าขนส่ง!$O$5:$O$204,0)),0))</f>
        <v>0</v>
      </c>
      <c r="BD206">
        <f>IF($Y206="",0,IFERROR(INDEX(อัตราค่าขนส่ง!$N$5:$N$204,MATCH($Y206,อัตราค่าขนส่ง!$O$5:$O$204,0)),0))</f>
        <v>0</v>
      </c>
    </row>
    <row r="207" spans="1:56" ht="21" customHeight="1" x14ac:dyDescent="0.95">
      <c r="A207" s="36" t="str">
        <f>IF($AD207="","",IF($AD207="Z","รวมจ่ายทั้งสิ้น",IF($AD207="H",INDEX($X$5:$X$404,$AC207),IF($AD207="T","รวม",IF($AD207="B",IFERROR(INDEX(อัตราค่าขนส่ง!$U$5:$U$14,MATCH(INDEX($AM$5:$AM$404,$AC207),อัตราค่าขนส่ง!$T$5:$T$14,0)),"รวมกลุ่ม "&amp;INDEX($AM$5:$AM$404,$AC207)),INDEX($AY$5:$AY$404,$AC207))))))</f>
        <v/>
      </c>
      <c r="B207" s="31" t="str">
        <f t="shared" si="84"/>
        <v/>
      </c>
      <c r="C207" s="8" t="str">
        <f t="shared" si="85"/>
        <v/>
      </c>
      <c r="D207" s="37" t="str">
        <f t="shared" si="86"/>
        <v/>
      </c>
      <c r="E207" s="31" t="str">
        <f t="shared" si="87"/>
        <v/>
      </c>
      <c r="F207" s="32" t="str">
        <f t="shared" si="88"/>
        <v/>
      </c>
      <c r="G207" s="32" t="str">
        <f t="shared" si="89"/>
        <v/>
      </c>
      <c r="H207" s="32" t="str">
        <f t="shared" si="90"/>
        <v/>
      </c>
      <c r="I207" s="32" t="str">
        <f t="shared" si="91"/>
        <v/>
      </c>
      <c r="J207" s="46" t="str">
        <f t="shared" si="92"/>
        <v/>
      </c>
      <c r="K207" s="32" t="str">
        <f t="shared" si="93"/>
        <v/>
      </c>
      <c r="L207" s="32" t="str">
        <f t="shared" si="94"/>
        <v/>
      </c>
      <c r="M207" s="32" t="str">
        <f t="shared" si="95"/>
        <v/>
      </c>
      <c r="N207" s="32" t="str">
        <f t="shared" si="96"/>
        <v/>
      </c>
      <c r="O207" s="32" t="str">
        <f t="shared" si="97"/>
        <v/>
      </c>
      <c r="Q207" t="str">
        <f>IFERROR(MATCH(203,บันทึกรายเที่ยว!$Z$6:$Z$10005,0),"")</f>
        <v/>
      </c>
      <c r="R207" t="str">
        <f>IF($Q207="","",INDEX(บันทึกรายเที่ยว!$V$6:$V$10005,$Q207))</f>
        <v/>
      </c>
      <c r="S207" t="str">
        <f>IF($Q207="","",INDEX(บันทึกรายเที่ยว!$F$6:$F$10005,$Q207))</f>
        <v/>
      </c>
      <c r="T207" t="str">
        <f>IF($Q207="","",MATCH($S207,บันทึกรายเที่ยว!$F$6:$F$10005,0))</f>
        <v/>
      </c>
      <c r="U207" t="str">
        <f>IF($Q207="","",$AL207*10000000+$T207*1000+203)</f>
        <v/>
      </c>
      <c r="V207" t="str">
        <f>IFERROR(MATCH(SMALL($U$5:$U$404,203),$U$5:$U$404,0),"")</f>
        <v/>
      </c>
      <c r="W207" t="str">
        <f t="shared" si="98"/>
        <v/>
      </c>
      <c r="X207" t="str">
        <f t="shared" si="99"/>
        <v/>
      </c>
      <c r="Y207" t="str">
        <f t="shared" si="100"/>
        <v/>
      </c>
      <c r="Z207">
        <f t="shared" si="110"/>
        <v>0</v>
      </c>
      <c r="AA207">
        <f t="shared" si="101"/>
        <v>0</v>
      </c>
      <c r="AB207">
        <f>IF($V207="",99999+203,$AB206+1+$Z206+$AA206+$AO206)</f>
        <v>100202</v>
      </c>
      <c r="AC207" t="str">
        <f>IFERROR(MATCH(203,$AB$5:$AB$404,1),"")</f>
        <v/>
      </c>
      <c r="AD207" t="str">
        <f>IF(203=$AI$1+1,"Z",IF($AC207="","",IF(INDEX($V$5:$V$404,$AC207)="","",IF(203&gt;INDEX($AB$5:$AB$404,$AC207)+INDEX($Z$5:$Z$404,$AC207)+INDEX($AA$5:$AA$404,$AC207)+INDEX($AO$5:$AO$404,$AC207),"",IF(203=INDEX($AB$5:$AB$404,$AC207)+INDEX($Z$5:$Z$404,$AC207),"D",IF(AND(INDEX($Z$5:$Z$404,$AC207)=1,203=INDEX($AB$5:$AB$404,$AC207)),"H",IF(AND(INDEX($AO$5:$AO$404,$AC207)=1,203=INDEX($AB$5:$AB$404,$AC207)+INDEX($Z$5:$Z$404,$AC207)+INDEX($AA$5:$AA$404,$AC207)+INDEX($AO$5:$AO$404,$AC207)),"B","T")))))))</f>
        <v/>
      </c>
      <c r="AF207" t="str">
        <f t="shared" si="102"/>
        <v/>
      </c>
      <c r="AJ207">
        <f>IF($AD207&lt;&gt;"T",0,ROUND(SUMIF(oil!$B$4:$B$63,$AF207,oil!$AE$4:$AE$63),2))</f>
        <v>0</v>
      </c>
      <c r="AK207" t="str">
        <f>IF($S207="","",IFERROR(INDEX(อัตราค่าขนส่ง!$R$5:$R$54,MATCH($S207,อัตราค่าขนส่ง!$Q$5:$Q$54,0)),INDEX(รายการมาตรฐาน!$G$2:$G$3,1)))</f>
        <v/>
      </c>
      <c r="AL207" t="str">
        <f>IF($S207="","",IFERROR(MATCH($AK207,รายการมาตรฐาน!$G$2:$G$3,0),1))</f>
        <v/>
      </c>
      <c r="AM207" t="str">
        <f t="shared" si="103"/>
        <v/>
      </c>
      <c r="AN207" t="str">
        <f t="shared" si="104"/>
        <v/>
      </c>
      <c r="AO207">
        <f t="shared" si="105"/>
        <v>0</v>
      </c>
      <c r="AP207">
        <f t="shared" si="111"/>
        <v>0</v>
      </c>
      <c r="AQ207" t="str">
        <f t="shared" si="106"/>
        <v/>
      </c>
      <c r="AR207">
        <f>IF($Y207="",0,COUNTIF(บันทึกรายเที่ยว!$V$6:$V$10005,$Y207))</f>
        <v>0</v>
      </c>
      <c r="AS207">
        <f>IF($Y207="",0,ROUND(SUMIF(บันทึกรายเที่ยว!$V$6:$V$10005,$Y207,บันทึกรายเที่ยว!$M$6:$M$10005),2))</f>
        <v>0</v>
      </c>
      <c r="AT207">
        <f>IF($Y207="",0,IFERROR(INDEX(อัตราค่าขนส่ง!$J$5:$J$204,MATCH($Y207,อัตราค่าขนส่ง!$O$5:$O$204,0)),0))</f>
        <v>0</v>
      </c>
      <c r="AU207">
        <f t="shared" si="107"/>
        <v>0</v>
      </c>
      <c r="AV207">
        <f t="shared" si="108"/>
        <v>0</v>
      </c>
      <c r="AW207" t="str">
        <f>IF($Y207="","",IFERROR(INDEX(อัตราค่าขนส่ง!$F$5:$F$204,MATCH($Y207,อัตราค่าขนส่ง!$O$5:$O$204,0)),""))</f>
        <v/>
      </c>
      <c r="AX207" t="str">
        <f>IF($W207="","",INDEX(บันทึกรายเที่ยว!$D$6:$D$10005,$W207))</f>
        <v/>
      </c>
      <c r="AY207" t="str">
        <f>IF($W207="","",INDEX(บันทึกรายเที่ยว!$R$6:$R$10005,$W207))</f>
        <v/>
      </c>
      <c r="AZ207">
        <f t="shared" si="109"/>
        <v>0</v>
      </c>
      <c r="BA207" t="str">
        <f>IF($W207="","",INDEX(บันทึกรายเที่ยว!$E$6:$E$10005,$W207))</f>
        <v/>
      </c>
      <c r="BC207">
        <f>IF($Y207="",0,IFERROR(INDEX(อัตราค่าขนส่ง!$M$5:$M$204,MATCH($Y207,อัตราค่าขนส่ง!$O$5:$O$204,0)),0))</f>
        <v>0</v>
      </c>
      <c r="BD207">
        <f>IF($Y207="",0,IFERROR(INDEX(อัตราค่าขนส่ง!$N$5:$N$204,MATCH($Y207,อัตราค่าขนส่ง!$O$5:$O$204,0)),0))</f>
        <v>0</v>
      </c>
    </row>
    <row r="208" spans="1:56" ht="21" customHeight="1" x14ac:dyDescent="0.95">
      <c r="A208" s="36" t="str">
        <f>IF($AD208="","",IF($AD208="Z","รวมจ่ายทั้งสิ้น",IF($AD208="H",INDEX($X$5:$X$404,$AC208),IF($AD208="T","รวม",IF($AD208="B",IFERROR(INDEX(อัตราค่าขนส่ง!$U$5:$U$14,MATCH(INDEX($AM$5:$AM$404,$AC208),อัตราค่าขนส่ง!$T$5:$T$14,0)),"รวมกลุ่ม "&amp;INDEX($AM$5:$AM$404,$AC208)),INDEX($AY$5:$AY$404,$AC208))))))</f>
        <v/>
      </c>
      <c r="B208" s="31" t="str">
        <f t="shared" si="84"/>
        <v/>
      </c>
      <c r="C208" s="8" t="str">
        <f t="shared" si="85"/>
        <v/>
      </c>
      <c r="D208" s="37" t="str">
        <f t="shared" si="86"/>
        <v/>
      </c>
      <c r="E208" s="31" t="str">
        <f t="shared" si="87"/>
        <v/>
      </c>
      <c r="F208" s="32" t="str">
        <f t="shared" si="88"/>
        <v/>
      </c>
      <c r="G208" s="32" t="str">
        <f t="shared" si="89"/>
        <v/>
      </c>
      <c r="H208" s="32" t="str">
        <f t="shared" si="90"/>
        <v/>
      </c>
      <c r="I208" s="32" t="str">
        <f t="shared" si="91"/>
        <v/>
      </c>
      <c r="J208" s="46" t="str">
        <f t="shared" si="92"/>
        <v/>
      </c>
      <c r="K208" s="32" t="str">
        <f t="shared" si="93"/>
        <v/>
      </c>
      <c r="L208" s="32" t="str">
        <f t="shared" si="94"/>
        <v/>
      </c>
      <c r="M208" s="32" t="str">
        <f t="shared" si="95"/>
        <v/>
      </c>
      <c r="N208" s="32" t="str">
        <f t="shared" si="96"/>
        <v/>
      </c>
      <c r="O208" s="32" t="str">
        <f t="shared" si="97"/>
        <v/>
      </c>
      <c r="Q208" t="str">
        <f>IFERROR(MATCH(204,บันทึกรายเที่ยว!$Z$6:$Z$10005,0),"")</f>
        <v/>
      </c>
      <c r="R208" t="str">
        <f>IF($Q208="","",INDEX(บันทึกรายเที่ยว!$V$6:$V$10005,$Q208))</f>
        <v/>
      </c>
      <c r="S208" t="str">
        <f>IF($Q208="","",INDEX(บันทึกรายเที่ยว!$F$6:$F$10005,$Q208))</f>
        <v/>
      </c>
      <c r="T208" t="str">
        <f>IF($Q208="","",MATCH($S208,บันทึกรายเที่ยว!$F$6:$F$10005,0))</f>
        <v/>
      </c>
      <c r="U208" t="str">
        <f>IF($Q208="","",$AL208*10000000+$T208*1000+204)</f>
        <v/>
      </c>
      <c r="V208" t="str">
        <f>IFERROR(MATCH(SMALL($U$5:$U$404,204),$U$5:$U$404,0),"")</f>
        <v/>
      </c>
      <c r="W208" t="str">
        <f t="shared" si="98"/>
        <v/>
      </c>
      <c r="X208" t="str">
        <f t="shared" si="99"/>
        <v/>
      </c>
      <c r="Y208" t="str">
        <f t="shared" si="100"/>
        <v/>
      </c>
      <c r="Z208">
        <f t="shared" si="110"/>
        <v>0</v>
      </c>
      <c r="AA208">
        <f t="shared" si="101"/>
        <v>0</v>
      </c>
      <c r="AB208">
        <f>IF($V208="",99999+204,$AB207+1+$Z207+$AA207+$AO207)</f>
        <v>100203</v>
      </c>
      <c r="AC208" t="str">
        <f>IFERROR(MATCH(204,$AB$5:$AB$404,1),"")</f>
        <v/>
      </c>
      <c r="AD208" t="str">
        <f>IF(204=$AI$1+1,"Z",IF($AC208="","",IF(INDEX($V$5:$V$404,$AC208)="","",IF(204&gt;INDEX($AB$5:$AB$404,$AC208)+INDEX($Z$5:$Z$404,$AC208)+INDEX($AA$5:$AA$404,$AC208)+INDEX($AO$5:$AO$404,$AC208),"",IF(204=INDEX($AB$5:$AB$404,$AC208)+INDEX($Z$5:$Z$404,$AC208),"D",IF(AND(INDEX($Z$5:$Z$404,$AC208)=1,204=INDEX($AB$5:$AB$404,$AC208)),"H",IF(AND(INDEX($AO$5:$AO$404,$AC208)=1,204=INDEX($AB$5:$AB$404,$AC208)+INDEX($Z$5:$Z$404,$AC208)+INDEX($AA$5:$AA$404,$AC208)+INDEX($AO$5:$AO$404,$AC208)),"B","T")))))))</f>
        <v/>
      </c>
      <c r="AF208" t="str">
        <f t="shared" si="102"/>
        <v/>
      </c>
      <c r="AJ208">
        <f>IF($AD208&lt;&gt;"T",0,ROUND(SUMIF(oil!$B$4:$B$63,$AF208,oil!$AE$4:$AE$63),2))</f>
        <v>0</v>
      </c>
      <c r="AK208" t="str">
        <f>IF($S208="","",IFERROR(INDEX(อัตราค่าขนส่ง!$R$5:$R$54,MATCH($S208,อัตราค่าขนส่ง!$Q$5:$Q$54,0)),INDEX(รายการมาตรฐาน!$G$2:$G$3,1)))</f>
        <v/>
      </c>
      <c r="AL208" t="str">
        <f>IF($S208="","",IFERROR(MATCH($AK208,รายการมาตรฐาน!$G$2:$G$3,0),1))</f>
        <v/>
      </c>
      <c r="AM208" t="str">
        <f t="shared" si="103"/>
        <v/>
      </c>
      <c r="AN208" t="str">
        <f t="shared" si="104"/>
        <v/>
      </c>
      <c r="AO208">
        <f t="shared" si="105"/>
        <v>0</v>
      </c>
      <c r="AP208">
        <f t="shared" si="111"/>
        <v>0</v>
      </c>
      <c r="AQ208" t="str">
        <f t="shared" si="106"/>
        <v/>
      </c>
      <c r="AR208">
        <f>IF($Y208="",0,COUNTIF(บันทึกรายเที่ยว!$V$6:$V$10005,$Y208))</f>
        <v>0</v>
      </c>
      <c r="AS208">
        <f>IF($Y208="",0,ROUND(SUMIF(บันทึกรายเที่ยว!$V$6:$V$10005,$Y208,บันทึกรายเที่ยว!$M$6:$M$10005),2))</f>
        <v>0</v>
      </c>
      <c r="AT208">
        <f>IF($Y208="",0,IFERROR(INDEX(อัตราค่าขนส่ง!$J$5:$J$204,MATCH($Y208,อัตราค่าขนส่ง!$O$5:$O$204,0)),0))</f>
        <v>0</v>
      </c>
      <c r="AU208">
        <f t="shared" si="107"/>
        <v>0</v>
      </c>
      <c r="AV208">
        <f t="shared" si="108"/>
        <v>0</v>
      </c>
      <c r="AW208" t="str">
        <f>IF($Y208="","",IFERROR(INDEX(อัตราค่าขนส่ง!$F$5:$F$204,MATCH($Y208,อัตราค่าขนส่ง!$O$5:$O$204,0)),""))</f>
        <v/>
      </c>
      <c r="AX208" t="str">
        <f>IF($W208="","",INDEX(บันทึกรายเที่ยว!$D$6:$D$10005,$W208))</f>
        <v/>
      </c>
      <c r="AY208" t="str">
        <f>IF($W208="","",INDEX(บันทึกรายเที่ยว!$R$6:$R$10005,$W208))</f>
        <v/>
      </c>
      <c r="AZ208">
        <f t="shared" si="109"/>
        <v>0</v>
      </c>
      <c r="BA208" t="str">
        <f>IF($W208="","",INDEX(บันทึกรายเที่ยว!$E$6:$E$10005,$W208))</f>
        <v/>
      </c>
      <c r="BC208">
        <f>IF($Y208="",0,IFERROR(INDEX(อัตราค่าขนส่ง!$M$5:$M$204,MATCH($Y208,อัตราค่าขนส่ง!$O$5:$O$204,0)),0))</f>
        <v>0</v>
      </c>
      <c r="BD208">
        <f>IF($Y208="",0,IFERROR(INDEX(อัตราค่าขนส่ง!$N$5:$N$204,MATCH($Y208,อัตราค่าขนส่ง!$O$5:$O$204,0)),0))</f>
        <v>0</v>
      </c>
    </row>
    <row r="209" spans="1:56" ht="21" customHeight="1" x14ac:dyDescent="0.95">
      <c r="A209" s="36" t="str">
        <f>IF($AD209="","",IF($AD209="Z","รวมจ่ายทั้งสิ้น",IF($AD209="H",INDEX($X$5:$X$404,$AC209),IF($AD209="T","รวม",IF($AD209="B",IFERROR(INDEX(อัตราค่าขนส่ง!$U$5:$U$14,MATCH(INDEX($AM$5:$AM$404,$AC209),อัตราค่าขนส่ง!$T$5:$T$14,0)),"รวมกลุ่ม "&amp;INDEX($AM$5:$AM$404,$AC209)),INDEX($AY$5:$AY$404,$AC209))))))</f>
        <v/>
      </c>
      <c r="B209" s="31" t="str">
        <f t="shared" si="84"/>
        <v/>
      </c>
      <c r="C209" s="8" t="str">
        <f t="shared" si="85"/>
        <v/>
      </c>
      <c r="D209" s="37" t="str">
        <f t="shared" si="86"/>
        <v/>
      </c>
      <c r="E209" s="31" t="str">
        <f t="shared" si="87"/>
        <v/>
      </c>
      <c r="F209" s="32" t="str">
        <f t="shared" si="88"/>
        <v/>
      </c>
      <c r="G209" s="32" t="str">
        <f t="shared" si="89"/>
        <v/>
      </c>
      <c r="H209" s="32" t="str">
        <f t="shared" si="90"/>
        <v/>
      </c>
      <c r="I209" s="32" t="str">
        <f t="shared" si="91"/>
        <v/>
      </c>
      <c r="J209" s="46" t="str">
        <f t="shared" si="92"/>
        <v/>
      </c>
      <c r="K209" s="32" t="str">
        <f t="shared" si="93"/>
        <v/>
      </c>
      <c r="L209" s="32" t="str">
        <f t="shared" si="94"/>
        <v/>
      </c>
      <c r="M209" s="32" t="str">
        <f t="shared" si="95"/>
        <v/>
      </c>
      <c r="N209" s="32" t="str">
        <f t="shared" si="96"/>
        <v/>
      </c>
      <c r="O209" s="32" t="str">
        <f t="shared" si="97"/>
        <v/>
      </c>
      <c r="Q209" t="str">
        <f>IFERROR(MATCH(205,บันทึกรายเที่ยว!$Z$6:$Z$10005,0),"")</f>
        <v/>
      </c>
      <c r="R209" t="str">
        <f>IF($Q209="","",INDEX(บันทึกรายเที่ยว!$V$6:$V$10005,$Q209))</f>
        <v/>
      </c>
      <c r="S209" t="str">
        <f>IF($Q209="","",INDEX(บันทึกรายเที่ยว!$F$6:$F$10005,$Q209))</f>
        <v/>
      </c>
      <c r="T209" t="str">
        <f>IF($Q209="","",MATCH($S209,บันทึกรายเที่ยว!$F$6:$F$10005,0))</f>
        <v/>
      </c>
      <c r="U209" t="str">
        <f>IF($Q209="","",$AL209*10000000+$T209*1000+205)</f>
        <v/>
      </c>
      <c r="V209" t="str">
        <f>IFERROR(MATCH(SMALL($U$5:$U$404,205),$U$5:$U$404,0),"")</f>
        <v/>
      </c>
      <c r="W209" t="str">
        <f t="shared" si="98"/>
        <v/>
      </c>
      <c r="X209" t="str">
        <f t="shared" si="99"/>
        <v/>
      </c>
      <c r="Y209" t="str">
        <f t="shared" si="100"/>
        <v/>
      </c>
      <c r="Z209">
        <f t="shared" si="110"/>
        <v>0</v>
      </c>
      <c r="AA209">
        <f t="shared" si="101"/>
        <v>0</v>
      </c>
      <c r="AB209">
        <f>IF($V209="",99999+205,$AB208+1+$Z208+$AA208+$AO208)</f>
        <v>100204</v>
      </c>
      <c r="AC209" t="str">
        <f>IFERROR(MATCH(205,$AB$5:$AB$404,1),"")</f>
        <v/>
      </c>
      <c r="AD209" t="str">
        <f>IF(205=$AI$1+1,"Z",IF($AC209="","",IF(INDEX($V$5:$V$404,$AC209)="","",IF(205&gt;INDEX($AB$5:$AB$404,$AC209)+INDEX($Z$5:$Z$404,$AC209)+INDEX($AA$5:$AA$404,$AC209)+INDEX($AO$5:$AO$404,$AC209),"",IF(205=INDEX($AB$5:$AB$404,$AC209)+INDEX($Z$5:$Z$404,$AC209),"D",IF(AND(INDEX($Z$5:$Z$404,$AC209)=1,205=INDEX($AB$5:$AB$404,$AC209)),"H",IF(AND(INDEX($AO$5:$AO$404,$AC209)=1,205=INDEX($AB$5:$AB$404,$AC209)+INDEX($Z$5:$Z$404,$AC209)+INDEX($AA$5:$AA$404,$AC209)+INDEX($AO$5:$AO$404,$AC209)),"B","T")))))))</f>
        <v/>
      </c>
      <c r="AF209" t="str">
        <f t="shared" si="102"/>
        <v/>
      </c>
      <c r="AJ209">
        <f>IF($AD209&lt;&gt;"T",0,ROUND(SUMIF(oil!$B$4:$B$63,$AF209,oil!$AE$4:$AE$63),2))</f>
        <v>0</v>
      </c>
      <c r="AK209" t="str">
        <f>IF($S209="","",IFERROR(INDEX(อัตราค่าขนส่ง!$R$5:$R$54,MATCH($S209,อัตราค่าขนส่ง!$Q$5:$Q$54,0)),INDEX(รายการมาตรฐาน!$G$2:$G$3,1)))</f>
        <v/>
      </c>
      <c r="AL209" t="str">
        <f>IF($S209="","",IFERROR(MATCH($AK209,รายการมาตรฐาน!$G$2:$G$3,0),1))</f>
        <v/>
      </c>
      <c r="AM209" t="str">
        <f t="shared" si="103"/>
        <v/>
      </c>
      <c r="AN209" t="str">
        <f t="shared" si="104"/>
        <v/>
      </c>
      <c r="AO209">
        <f t="shared" si="105"/>
        <v>0</v>
      </c>
      <c r="AP209">
        <f t="shared" si="111"/>
        <v>0</v>
      </c>
      <c r="AQ209" t="str">
        <f t="shared" si="106"/>
        <v/>
      </c>
      <c r="AR209">
        <f>IF($Y209="",0,COUNTIF(บันทึกรายเที่ยว!$V$6:$V$10005,$Y209))</f>
        <v>0</v>
      </c>
      <c r="AS209">
        <f>IF($Y209="",0,ROUND(SUMIF(บันทึกรายเที่ยว!$V$6:$V$10005,$Y209,บันทึกรายเที่ยว!$M$6:$M$10005),2))</f>
        <v>0</v>
      </c>
      <c r="AT209">
        <f>IF($Y209="",0,IFERROR(INDEX(อัตราค่าขนส่ง!$J$5:$J$204,MATCH($Y209,อัตราค่าขนส่ง!$O$5:$O$204,0)),0))</f>
        <v>0</v>
      </c>
      <c r="AU209">
        <f t="shared" si="107"/>
        <v>0</v>
      </c>
      <c r="AV209">
        <f t="shared" si="108"/>
        <v>0</v>
      </c>
      <c r="AW209" t="str">
        <f>IF($Y209="","",IFERROR(INDEX(อัตราค่าขนส่ง!$F$5:$F$204,MATCH($Y209,อัตราค่าขนส่ง!$O$5:$O$204,0)),""))</f>
        <v/>
      </c>
      <c r="AX209" t="str">
        <f>IF($W209="","",INDEX(บันทึกรายเที่ยว!$D$6:$D$10005,$W209))</f>
        <v/>
      </c>
      <c r="AY209" t="str">
        <f>IF($W209="","",INDEX(บันทึกรายเที่ยว!$R$6:$R$10005,$W209))</f>
        <v/>
      </c>
      <c r="AZ209">
        <f t="shared" si="109"/>
        <v>0</v>
      </c>
      <c r="BA209" t="str">
        <f>IF($W209="","",INDEX(บันทึกรายเที่ยว!$E$6:$E$10005,$W209))</f>
        <v/>
      </c>
      <c r="BC209">
        <f>IF($Y209="",0,IFERROR(INDEX(อัตราค่าขนส่ง!$M$5:$M$204,MATCH($Y209,อัตราค่าขนส่ง!$O$5:$O$204,0)),0))</f>
        <v>0</v>
      </c>
      <c r="BD209">
        <f>IF($Y209="",0,IFERROR(INDEX(อัตราค่าขนส่ง!$N$5:$N$204,MATCH($Y209,อัตราค่าขนส่ง!$O$5:$O$204,0)),0))</f>
        <v>0</v>
      </c>
    </row>
    <row r="210" spans="1:56" ht="21" customHeight="1" x14ac:dyDescent="0.95">
      <c r="A210" s="36" t="str">
        <f>IF($AD210="","",IF($AD210="Z","รวมจ่ายทั้งสิ้น",IF($AD210="H",INDEX($X$5:$X$404,$AC210),IF($AD210="T","รวม",IF($AD210="B",IFERROR(INDEX(อัตราค่าขนส่ง!$U$5:$U$14,MATCH(INDEX($AM$5:$AM$404,$AC210),อัตราค่าขนส่ง!$T$5:$T$14,0)),"รวมกลุ่ม "&amp;INDEX($AM$5:$AM$404,$AC210)),INDEX($AY$5:$AY$404,$AC210))))))</f>
        <v/>
      </c>
      <c r="B210" s="31" t="str">
        <f t="shared" si="84"/>
        <v/>
      </c>
      <c r="C210" s="8" t="str">
        <f t="shared" si="85"/>
        <v/>
      </c>
      <c r="D210" s="37" t="str">
        <f t="shared" si="86"/>
        <v/>
      </c>
      <c r="E210" s="31" t="str">
        <f t="shared" si="87"/>
        <v/>
      </c>
      <c r="F210" s="32" t="str">
        <f t="shared" si="88"/>
        <v/>
      </c>
      <c r="G210" s="32" t="str">
        <f t="shared" si="89"/>
        <v/>
      </c>
      <c r="H210" s="32" t="str">
        <f t="shared" si="90"/>
        <v/>
      </c>
      <c r="I210" s="32" t="str">
        <f t="shared" si="91"/>
        <v/>
      </c>
      <c r="J210" s="46" t="str">
        <f t="shared" si="92"/>
        <v/>
      </c>
      <c r="K210" s="32" t="str">
        <f t="shared" si="93"/>
        <v/>
      </c>
      <c r="L210" s="32" t="str">
        <f t="shared" si="94"/>
        <v/>
      </c>
      <c r="M210" s="32" t="str">
        <f t="shared" si="95"/>
        <v/>
      </c>
      <c r="N210" s="32" t="str">
        <f t="shared" si="96"/>
        <v/>
      </c>
      <c r="O210" s="32" t="str">
        <f t="shared" si="97"/>
        <v/>
      </c>
      <c r="Q210" t="str">
        <f>IFERROR(MATCH(206,บันทึกรายเที่ยว!$Z$6:$Z$10005,0),"")</f>
        <v/>
      </c>
      <c r="R210" t="str">
        <f>IF($Q210="","",INDEX(บันทึกรายเที่ยว!$V$6:$V$10005,$Q210))</f>
        <v/>
      </c>
      <c r="S210" t="str">
        <f>IF($Q210="","",INDEX(บันทึกรายเที่ยว!$F$6:$F$10005,$Q210))</f>
        <v/>
      </c>
      <c r="T210" t="str">
        <f>IF($Q210="","",MATCH($S210,บันทึกรายเที่ยว!$F$6:$F$10005,0))</f>
        <v/>
      </c>
      <c r="U210" t="str">
        <f>IF($Q210="","",$AL210*10000000+$T210*1000+206)</f>
        <v/>
      </c>
      <c r="V210" t="str">
        <f>IFERROR(MATCH(SMALL($U$5:$U$404,206),$U$5:$U$404,0),"")</f>
        <v/>
      </c>
      <c r="W210" t="str">
        <f t="shared" si="98"/>
        <v/>
      </c>
      <c r="X210" t="str">
        <f t="shared" si="99"/>
        <v/>
      </c>
      <c r="Y210" t="str">
        <f t="shared" si="100"/>
        <v/>
      </c>
      <c r="Z210">
        <f t="shared" si="110"/>
        <v>0</v>
      </c>
      <c r="AA210">
        <f t="shared" si="101"/>
        <v>0</v>
      </c>
      <c r="AB210">
        <f>IF($V210="",99999+206,$AB209+1+$Z209+$AA209+$AO209)</f>
        <v>100205</v>
      </c>
      <c r="AC210" t="str">
        <f>IFERROR(MATCH(206,$AB$5:$AB$404,1),"")</f>
        <v/>
      </c>
      <c r="AD210" t="str">
        <f>IF(206=$AI$1+1,"Z",IF($AC210="","",IF(INDEX($V$5:$V$404,$AC210)="","",IF(206&gt;INDEX($AB$5:$AB$404,$AC210)+INDEX($Z$5:$Z$404,$AC210)+INDEX($AA$5:$AA$404,$AC210)+INDEX($AO$5:$AO$404,$AC210),"",IF(206=INDEX($AB$5:$AB$404,$AC210)+INDEX($Z$5:$Z$404,$AC210),"D",IF(AND(INDEX($Z$5:$Z$404,$AC210)=1,206=INDEX($AB$5:$AB$404,$AC210)),"H",IF(AND(INDEX($AO$5:$AO$404,$AC210)=1,206=INDEX($AB$5:$AB$404,$AC210)+INDEX($Z$5:$Z$404,$AC210)+INDEX($AA$5:$AA$404,$AC210)+INDEX($AO$5:$AO$404,$AC210)),"B","T")))))))</f>
        <v/>
      </c>
      <c r="AF210" t="str">
        <f t="shared" si="102"/>
        <v/>
      </c>
      <c r="AJ210">
        <f>IF($AD210&lt;&gt;"T",0,ROUND(SUMIF(oil!$B$4:$B$63,$AF210,oil!$AE$4:$AE$63),2))</f>
        <v>0</v>
      </c>
      <c r="AK210" t="str">
        <f>IF($S210="","",IFERROR(INDEX(อัตราค่าขนส่ง!$R$5:$R$54,MATCH($S210,อัตราค่าขนส่ง!$Q$5:$Q$54,0)),INDEX(รายการมาตรฐาน!$G$2:$G$3,1)))</f>
        <v/>
      </c>
      <c r="AL210" t="str">
        <f>IF($S210="","",IFERROR(MATCH($AK210,รายการมาตรฐาน!$G$2:$G$3,0),1))</f>
        <v/>
      </c>
      <c r="AM210" t="str">
        <f t="shared" si="103"/>
        <v/>
      </c>
      <c r="AN210" t="str">
        <f t="shared" si="104"/>
        <v/>
      </c>
      <c r="AO210">
        <f t="shared" si="105"/>
        <v>0</v>
      </c>
      <c r="AP210">
        <f t="shared" si="111"/>
        <v>0</v>
      </c>
      <c r="AQ210" t="str">
        <f t="shared" si="106"/>
        <v/>
      </c>
      <c r="AR210">
        <f>IF($Y210="",0,COUNTIF(บันทึกรายเที่ยว!$V$6:$V$10005,$Y210))</f>
        <v>0</v>
      </c>
      <c r="AS210">
        <f>IF($Y210="",0,ROUND(SUMIF(บันทึกรายเที่ยว!$V$6:$V$10005,$Y210,บันทึกรายเที่ยว!$M$6:$M$10005),2))</f>
        <v>0</v>
      </c>
      <c r="AT210">
        <f>IF($Y210="",0,IFERROR(INDEX(อัตราค่าขนส่ง!$J$5:$J$204,MATCH($Y210,อัตราค่าขนส่ง!$O$5:$O$204,0)),0))</f>
        <v>0</v>
      </c>
      <c r="AU210">
        <f t="shared" si="107"/>
        <v>0</v>
      </c>
      <c r="AV210">
        <f t="shared" si="108"/>
        <v>0</v>
      </c>
      <c r="AW210" t="str">
        <f>IF($Y210="","",IFERROR(INDEX(อัตราค่าขนส่ง!$F$5:$F$204,MATCH($Y210,อัตราค่าขนส่ง!$O$5:$O$204,0)),""))</f>
        <v/>
      </c>
      <c r="AX210" t="str">
        <f>IF($W210="","",INDEX(บันทึกรายเที่ยว!$D$6:$D$10005,$W210))</f>
        <v/>
      </c>
      <c r="AY210" t="str">
        <f>IF($W210="","",INDEX(บันทึกรายเที่ยว!$R$6:$R$10005,$W210))</f>
        <v/>
      </c>
      <c r="AZ210">
        <f t="shared" si="109"/>
        <v>0</v>
      </c>
      <c r="BA210" t="str">
        <f>IF($W210="","",INDEX(บันทึกรายเที่ยว!$E$6:$E$10005,$W210))</f>
        <v/>
      </c>
      <c r="BC210">
        <f>IF($Y210="",0,IFERROR(INDEX(อัตราค่าขนส่ง!$M$5:$M$204,MATCH($Y210,อัตราค่าขนส่ง!$O$5:$O$204,0)),0))</f>
        <v>0</v>
      </c>
      <c r="BD210">
        <f>IF($Y210="",0,IFERROR(INDEX(อัตราค่าขนส่ง!$N$5:$N$204,MATCH($Y210,อัตราค่าขนส่ง!$O$5:$O$204,0)),0))</f>
        <v>0</v>
      </c>
    </row>
    <row r="211" spans="1:56" ht="21" customHeight="1" x14ac:dyDescent="0.95">
      <c r="A211" s="36" t="str">
        <f>IF($AD211="","",IF($AD211="Z","รวมจ่ายทั้งสิ้น",IF($AD211="H",INDEX($X$5:$X$404,$AC211),IF($AD211="T","รวม",IF($AD211="B",IFERROR(INDEX(อัตราค่าขนส่ง!$U$5:$U$14,MATCH(INDEX($AM$5:$AM$404,$AC211),อัตราค่าขนส่ง!$T$5:$T$14,0)),"รวมกลุ่ม "&amp;INDEX($AM$5:$AM$404,$AC211)),INDEX($AY$5:$AY$404,$AC211))))))</f>
        <v/>
      </c>
      <c r="B211" s="31" t="str">
        <f t="shared" si="84"/>
        <v/>
      </c>
      <c r="C211" s="8" t="str">
        <f t="shared" si="85"/>
        <v/>
      </c>
      <c r="D211" s="37" t="str">
        <f t="shared" si="86"/>
        <v/>
      </c>
      <c r="E211" s="31" t="str">
        <f t="shared" si="87"/>
        <v/>
      </c>
      <c r="F211" s="32" t="str">
        <f t="shared" si="88"/>
        <v/>
      </c>
      <c r="G211" s="32" t="str">
        <f t="shared" si="89"/>
        <v/>
      </c>
      <c r="H211" s="32" t="str">
        <f t="shared" si="90"/>
        <v/>
      </c>
      <c r="I211" s="32" t="str">
        <f t="shared" si="91"/>
        <v/>
      </c>
      <c r="J211" s="46" t="str">
        <f t="shared" si="92"/>
        <v/>
      </c>
      <c r="K211" s="32" t="str">
        <f t="shared" si="93"/>
        <v/>
      </c>
      <c r="L211" s="32" t="str">
        <f t="shared" si="94"/>
        <v/>
      </c>
      <c r="M211" s="32" t="str">
        <f t="shared" si="95"/>
        <v/>
      </c>
      <c r="N211" s="32" t="str">
        <f t="shared" si="96"/>
        <v/>
      </c>
      <c r="O211" s="32" t="str">
        <f t="shared" si="97"/>
        <v/>
      </c>
      <c r="Q211" t="str">
        <f>IFERROR(MATCH(207,บันทึกรายเที่ยว!$Z$6:$Z$10005,0),"")</f>
        <v/>
      </c>
      <c r="R211" t="str">
        <f>IF($Q211="","",INDEX(บันทึกรายเที่ยว!$V$6:$V$10005,$Q211))</f>
        <v/>
      </c>
      <c r="S211" t="str">
        <f>IF($Q211="","",INDEX(บันทึกรายเที่ยว!$F$6:$F$10005,$Q211))</f>
        <v/>
      </c>
      <c r="T211" t="str">
        <f>IF($Q211="","",MATCH($S211,บันทึกรายเที่ยว!$F$6:$F$10005,0))</f>
        <v/>
      </c>
      <c r="U211" t="str">
        <f>IF($Q211="","",$AL211*10000000+$T211*1000+207)</f>
        <v/>
      </c>
      <c r="V211" t="str">
        <f>IFERROR(MATCH(SMALL($U$5:$U$404,207),$U$5:$U$404,0),"")</f>
        <v/>
      </c>
      <c r="W211" t="str">
        <f t="shared" si="98"/>
        <v/>
      </c>
      <c r="X211" t="str">
        <f t="shared" si="99"/>
        <v/>
      </c>
      <c r="Y211" t="str">
        <f t="shared" si="100"/>
        <v/>
      </c>
      <c r="Z211">
        <f t="shared" si="110"/>
        <v>0</v>
      </c>
      <c r="AA211">
        <f t="shared" si="101"/>
        <v>0</v>
      </c>
      <c r="AB211">
        <f>IF($V211="",99999+207,$AB210+1+$Z210+$AA210+$AO210)</f>
        <v>100206</v>
      </c>
      <c r="AC211" t="str">
        <f>IFERROR(MATCH(207,$AB$5:$AB$404,1),"")</f>
        <v/>
      </c>
      <c r="AD211" t="str">
        <f>IF(207=$AI$1+1,"Z",IF($AC211="","",IF(INDEX($V$5:$V$404,$AC211)="","",IF(207&gt;INDEX($AB$5:$AB$404,$AC211)+INDEX($Z$5:$Z$404,$AC211)+INDEX($AA$5:$AA$404,$AC211)+INDEX($AO$5:$AO$404,$AC211),"",IF(207=INDEX($AB$5:$AB$404,$AC211)+INDEX($Z$5:$Z$404,$AC211),"D",IF(AND(INDEX($Z$5:$Z$404,$AC211)=1,207=INDEX($AB$5:$AB$404,$AC211)),"H",IF(AND(INDEX($AO$5:$AO$404,$AC211)=1,207=INDEX($AB$5:$AB$404,$AC211)+INDEX($Z$5:$Z$404,$AC211)+INDEX($AA$5:$AA$404,$AC211)+INDEX($AO$5:$AO$404,$AC211)),"B","T")))))))</f>
        <v/>
      </c>
      <c r="AF211" t="str">
        <f t="shared" si="102"/>
        <v/>
      </c>
      <c r="AJ211">
        <f>IF($AD211&lt;&gt;"T",0,ROUND(SUMIF(oil!$B$4:$B$63,$AF211,oil!$AE$4:$AE$63),2))</f>
        <v>0</v>
      </c>
      <c r="AK211" t="str">
        <f>IF($S211="","",IFERROR(INDEX(อัตราค่าขนส่ง!$R$5:$R$54,MATCH($S211,อัตราค่าขนส่ง!$Q$5:$Q$54,0)),INDEX(รายการมาตรฐาน!$G$2:$G$3,1)))</f>
        <v/>
      </c>
      <c r="AL211" t="str">
        <f>IF($S211="","",IFERROR(MATCH($AK211,รายการมาตรฐาน!$G$2:$G$3,0),1))</f>
        <v/>
      </c>
      <c r="AM211" t="str">
        <f t="shared" si="103"/>
        <v/>
      </c>
      <c r="AN211" t="str">
        <f t="shared" si="104"/>
        <v/>
      </c>
      <c r="AO211">
        <f t="shared" si="105"/>
        <v>0</v>
      </c>
      <c r="AP211">
        <f t="shared" si="111"/>
        <v>0</v>
      </c>
      <c r="AQ211" t="str">
        <f t="shared" si="106"/>
        <v/>
      </c>
      <c r="AR211">
        <f>IF($Y211="",0,COUNTIF(บันทึกรายเที่ยว!$V$6:$V$10005,$Y211))</f>
        <v>0</v>
      </c>
      <c r="AS211">
        <f>IF($Y211="",0,ROUND(SUMIF(บันทึกรายเที่ยว!$V$6:$V$10005,$Y211,บันทึกรายเที่ยว!$M$6:$M$10005),2))</f>
        <v>0</v>
      </c>
      <c r="AT211">
        <f>IF($Y211="",0,IFERROR(INDEX(อัตราค่าขนส่ง!$J$5:$J$204,MATCH($Y211,อัตราค่าขนส่ง!$O$5:$O$204,0)),0))</f>
        <v>0</v>
      </c>
      <c r="AU211">
        <f t="shared" si="107"/>
        <v>0</v>
      </c>
      <c r="AV211">
        <f t="shared" si="108"/>
        <v>0</v>
      </c>
      <c r="AW211" t="str">
        <f>IF($Y211="","",IFERROR(INDEX(อัตราค่าขนส่ง!$F$5:$F$204,MATCH($Y211,อัตราค่าขนส่ง!$O$5:$O$204,0)),""))</f>
        <v/>
      </c>
      <c r="AX211" t="str">
        <f>IF($W211="","",INDEX(บันทึกรายเที่ยว!$D$6:$D$10005,$W211))</f>
        <v/>
      </c>
      <c r="AY211" t="str">
        <f>IF($W211="","",INDEX(บันทึกรายเที่ยว!$R$6:$R$10005,$W211))</f>
        <v/>
      </c>
      <c r="AZ211">
        <f t="shared" si="109"/>
        <v>0</v>
      </c>
      <c r="BA211" t="str">
        <f>IF($W211="","",INDEX(บันทึกรายเที่ยว!$E$6:$E$10005,$W211))</f>
        <v/>
      </c>
      <c r="BC211">
        <f>IF($Y211="",0,IFERROR(INDEX(อัตราค่าขนส่ง!$M$5:$M$204,MATCH($Y211,อัตราค่าขนส่ง!$O$5:$O$204,0)),0))</f>
        <v>0</v>
      </c>
      <c r="BD211">
        <f>IF($Y211="",0,IFERROR(INDEX(อัตราค่าขนส่ง!$N$5:$N$204,MATCH($Y211,อัตราค่าขนส่ง!$O$5:$O$204,0)),0))</f>
        <v>0</v>
      </c>
    </row>
    <row r="212" spans="1:56" ht="21" customHeight="1" x14ac:dyDescent="0.95">
      <c r="A212" s="36" t="str">
        <f>IF($AD212="","",IF($AD212="Z","รวมจ่ายทั้งสิ้น",IF($AD212="H",INDEX($X$5:$X$404,$AC212),IF($AD212="T","รวม",IF($AD212="B",IFERROR(INDEX(อัตราค่าขนส่ง!$U$5:$U$14,MATCH(INDEX($AM$5:$AM$404,$AC212),อัตราค่าขนส่ง!$T$5:$T$14,0)),"รวมกลุ่ม "&amp;INDEX($AM$5:$AM$404,$AC212)),INDEX($AY$5:$AY$404,$AC212))))))</f>
        <v/>
      </c>
      <c r="B212" s="31" t="str">
        <f t="shared" si="84"/>
        <v/>
      </c>
      <c r="C212" s="8" t="str">
        <f t="shared" si="85"/>
        <v/>
      </c>
      <c r="D212" s="37" t="str">
        <f t="shared" si="86"/>
        <v/>
      </c>
      <c r="E212" s="31" t="str">
        <f t="shared" si="87"/>
        <v/>
      </c>
      <c r="F212" s="32" t="str">
        <f t="shared" si="88"/>
        <v/>
      </c>
      <c r="G212" s="32" t="str">
        <f t="shared" si="89"/>
        <v/>
      </c>
      <c r="H212" s="32" t="str">
        <f t="shared" si="90"/>
        <v/>
      </c>
      <c r="I212" s="32" t="str">
        <f t="shared" si="91"/>
        <v/>
      </c>
      <c r="J212" s="46" t="str">
        <f t="shared" si="92"/>
        <v/>
      </c>
      <c r="K212" s="32" t="str">
        <f t="shared" si="93"/>
        <v/>
      </c>
      <c r="L212" s="32" t="str">
        <f t="shared" si="94"/>
        <v/>
      </c>
      <c r="M212" s="32" t="str">
        <f t="shared" si="95"/>
        <v/>
      </c>
      <c r="N212" s="32" t="str">
        <f t="shared" si="96"/>
        <v/>
      </c>
      <c r="O212" s="32" t="str">
        <f t="shared" si="97"/>
        <v/>
      </c>
      <c r="Q212" t="str">
        <f>IFERROR(MATCH(208,บันทึกรายเที่ยว!$Z$6:$Z$10005,0),"")</f>
        <v/>
      </c>
      <c r="R212" t="str">
        <f>IF($Q212="","",INDEX(บันทึกรายเที่ยว!$V$6:$V$10005,$Q212))</f>
        <v/>
      </c>
      <c r="S212" t="str">
        <f>IF($Q212="","",INDEX(บันทึกรายเที่ยว!$F$6:$F$10005,$Q212))</f>
        <v/>
      </c>
      <c r="T212" t="str">
        <f>IF($Q212="","",MATCH($S212,บันทึกรายเที่ยว!$F$6:$F$10005,0))</f>
        <v/>
      </c>
      <c r="U212" t="str">
        <f>IF($Q212="","",$AL212*10000000+$T212*1000+208)</f>
        <v/>
      </c>
      <c r="V212" t="str">
        <f>IFERROR(MATCH(SMALL($U$5:$U$404,208),$U$5:$U$404,0),"")</f>
        <v/>
      </c>
      <c r="W212" t="str">
        <f t="shared" si="98"/>
        <v/>
      </c>
      <c r="X212" t="str">
        <f t="shared" si="99"/>
        <v/>
      </c>
      <c r="Y212" t="str">
        <f t="shared" si="100"/>
        <v/>
      </c>
      <c r="Z212">
        <f t="shared" si="110"/>
        <v>0</v>
      </c>
      <c r="AA212">
        <f t="shared" si="101"/>
        <v>0</v>
      </c>
      <c r="AB212">
        <f>IF($V212="",99999+208,$AB211+1+$Z211+$AA211+$AO211)</f>
        <v>100207</v>
      </c>
      <c r="AC212" t="str">
        <f>IFERROR(MATCH(208,$AB$5:$AB$404,1),"")</f>
        <v/>
      </c>
      <c r="AD212" t="str">
        <f>IF(208=$AI$1+1,"Z",IF($AC212="","",IF(INDEX($V$5:$V$404,$AC212)="","",IF(208&gt;INDEX($AB$5:$AB$404,$AC212)+INDEX($Z$5:$Z$404,$AC212)+INDEX($AA$5:$AA$404,$AC212)+INDEX($AO$5:$AO$404,$AC212),"",IF(208=INDEX($AB$5:$AB$404,$AC212)+INDEX($Z$5:$Z$404,$AC212),"D",IF(AND(INDEX($Z$5:$Z$404,$AC212)=1,208=INDEX($AB$5:$AB$404,$AC212)),"H",IF(AND(INDEX($AO$5:$AO$404,$AC212)=1,208=INDEX($AB$5:$AB$404,$AC212)+INDEX($Z$5:$Z$404,$AC212)+INDEX($AA$5:$AA$404,$AC212)+INDEX($AO$5:$AO$404,$AC212)),"B","T")))))))</f>
        <v/>
      </c>
      <c r="AF212" t="str">
        <f t="shared" si="102"/>
        <v/>
      </c>
      <c r="AJ212">
        <f>IF($AD212&lt;&gt;"T",0,ROUND(SUMIF(oil!$B$4:$B$63,$AF212,oil!$AE$4:$AE$63),2))</f>
        <v>0</v>
      </c>
      <c r="AK212" t="str">
        <f>IF($S212="","",IFERROR(INDEX(อัตราค่าขนส่ง!$R$5:$R$54,MATCH($S212,อัตราค่าขนส่ง!$Q$5:$Q$54,0)),INDEX(รายการมาตรฐาน!$G$2:$G$3,1)))</f>
        <v/>
      </c>
      <c r="AL212" t="str">
        <f>IF($S212="","",IFERROR(MATCH($AK212,รายการมาตรฐาน!$G$2:$G$3,0),1))</f>
        <v/>
      </c>
      <c r="AM212" t="str">
        <f t="shared" si="103"/>
        <v/>
      </c>
      <c r="AN212" t="str">
        <f t="shared" si="104"/>
        <v/>
      </c>
      <c r="AO212">
        <f t="shared" si="105"/>
        <v>0</v>
      </c>
      <c r="AP212">
        <f t="shared" si="111"/>
        <v>0</v>
      </c>
      <c r="AQ212" t="str">
        <f t="shared" si="106"/>
        <v/>
      </c>
      <c r="AR212">
        <f>IF($Y212="",0,COUNTIF(บันทึกรายเที่ยว!$V$6:$V$10005,$Y212))</f>
        <v>0</v>
      </c>
      <c r="AS212">
        <f>IF($Y212="",0,ROUND(SUMIF(บันทึกรายเที่ยว!$V$6:$V$10005,$Y212,บันทึกรายเที่ยว!$M$6:$M$10005),2))</f>
        <v>0</v>
      </c>
      <c r="AT212">
        <f>IF($Y212="",0,IFERROR(INDEX(อัตราค่าขนส่ง!$J$5:$J$204,MATCH($Y212,อัตราค่าขนส่ง!$O$5:$O$204,0)),0))</f>
        <v>0</v>
      </c>
      <c r="AU212">
        <f t="shared" si="107"/>
        <v>0</v>
      </c>
      <c r="AV212">
        <f t="shared" si="108"/>
        <v>0</v>
      </c>
      <c r="AW212" t="str">
        <f>IF($Y212="","",IFERROR(INDEX(อัตราค่าขนส่ง!$F$5:$F$204,MATCH($Y212,อัตราค่าขนส่ง!$O$5:$O$204,0)),""))</f>
        <v/>
      </c>
      <c r="AX212" t="str">
        <f>IF($W212="","",INDEX(บันทึกรายเที่ยว!$D$6:$D$10005,$W212))</f>
        <v/>
      </c>
      <c r="AY212" t="str">
        <f>IF($W212="","",INDEX(บันทึกรายเที่ยว!$R$6:$R$10005,$W212))</f>
        <v/>
      </c>
      <c r="AZ212">
        <f t="shared" si="109"/>
        <v>0</v>
      </c>
      <c r="BA212" t="str">
        <f>IF($W212="","",INDEX(บันทึกรายเที่ยว!$E$6:$E$10005,$W212))</f>
        <v/>
      </c>
      <c r="BC212">
        <f>IF($Y212="",0,IFERROR(INDEX(อัตราค่าขนส่ง!$M$5:$M$204,MATCH($Y212,อัตราค่าขนส่ง!$O$5:$O$204,0)),0))</f>
        <v>0</v>
      </c>
      <c r="BD212">
        <f>IF($Y212="",0,IFERROR(INDEX(อัตราค่าขนส่ง!$N$5:$N$204,MATCH($Y212,อัตราค่าขนส่ง!$O$5:$O$204,0)),0))</f>
        <v>0</v>
      </c>
    </row>
    <row r="213" spans="1:56" ht="21" customHeight="1" x14ac:dyDescent="0.95">
      <c r="A213" s="36" t="str">
        <f>IF($AD213="","",IF($AD213="Z","รวมจ่ายทั้งสิ้น",IF($AD213="H",INDEX($X$5:$X$404,$AC213),IF($AD213="T","รวม",IF($AD213="B",IFERROR(INDEX(อัตราค่าขนส่ง!$U$5:$U$14,MATCH(INDEX($AM$5:$AM$404,$AC213),อัตราค่าขนส่ง!$T$5:$T$14,0)),"รวมกลุ่ม "&amp;INDEX($AM$5:$AM$404,$AC213)),INDEX($AY$5:$AY$404,$AC213))))))</f>
        <v/>
      </c>
      <c r="B213" s="31" t="str">
        <f t="shared" si="84"/>
        <v/>
      </c>
      <c r="C213" s="8" t="str">
        <f t="shared" si="85"/>
        <v/>
      </c>
      <c r="D213" s="37" t="str">
        <f t="shared" si="86"/>
        <v/>
      </c>
      <c r="E213" s="31" t="str">
        <f t="shared" si="87"/>
        <v/>
      </c>
      <c r="F213" s="32" t="str">
        <f t="shared" si="88"/>
        <v/>
      </c>
      <c r="G213" s="32" t="str">
        <f t="shared" si="89"/>
        <v/>
      </c>
      <c r="H213" s="32" t="str">
        <f t="shared" si="90"/>
        <v/>
      </c>
      <c r="I213" s="32" t="str">
        <f t="shared" si="91"/>
        <v/>
      </c>
      <c r="J213" s="46" t="str">
        <f t="shared" si="92"/>
        <v/>
      </c>
      <c r="K213" s="32" t="str">
        <f t="shared" si="93"/>
        <v/>
      </c>
      <c r="L213" s="32" t="str">
        <f t="shared" si="94"/>
        <v/>
      </c>
      <c r="M213" s="32" t="str">
        <f t="shared" si="95"/>
        <v/>
      </c>
      <c r="N213" s="32" t="str">
        <f t="shared" si="96"/>
        <v/>
      </c>
      <c r="O213" s="32" t="str">
        <f t="shared" si="97"/>
        <v/>
      </c>
      <c r="Q213" t="str">
        <f>IFERROR(MATCH(209,บันทึกรายเที่ยว!$Z$6:$Z$10005,0),"")</f>
        <v/>
      </c>
      <c r="R213" t="str">
        <f>IF($Q213="","",INDEX(บันทึกรายเที่ยว!$V$6:$V$10005,$Q213))</f>
        <v/>
      </c>
      <c r="S213" t="str">
        <f>IF($Q213="","",INDEX(บันทึกรายเที่ยว!$F$6:$F$10005,$Q213))</f>
        <v/>
      </c>
      <c r="T213" t="str">
        <f>IF($Q213="","",MATCH($S213,บันทึกรายเที่ยว!$F$6:$F$10005,0))</f>
        <v/>
      </c>
      <c r="U213" t="str">
        <f>IF($Q213="","",$AL213*10000000+$T213*1000+209)</f>
        <v/>
      </c>
      <c r="V213" t="str">
        <f>IFERROR(MATCH(SMALL($U$5:$U$404,209),$U$5:$U$404,0),"")</f>
        <v/>
      </c>
      <c r="W213" t="str">
        <f t="shared" si="98"/>
        <v/>
      </c>
      <c r="X213" t="str">
        <f t="shared" si="99"/>
        <v/>
      </c>
      <c r="Y213" t="str">
        <f t="shared" si="100"/>
        <v/>
      </c>
      <c r="Z213">
        <f t="shared" si="110"/>
        <v>0</v>
      </c>
      <c r="AA213">
        <f t="shared" si="101"/>
        <v>0</v>
      </c>
      <c r="AB213">
        <f>IF($V213="",99999+209,$AB212+1+$Z212+$AA212+$AO212)</f>
        <v>100208</v>
      </c>
      <c r="AC213" t="str">
        <f>IFERROR(MATCH(209,$AB$5:$AB$404,1),"")</f>
        <v/>
      </c>
      <c r="AD213" t="str">
        <f>IF(209=$AI$1+1,"Z",IF($AC213="","",IF(INDEX($V$5:$V$404,$AC213)="","",IF(209&gt;INDEX($AB$5:$AB$404,$AC213)+INDEX($Z$5:$Z$404,$AC213)+INDEX($AA$5:$AA$404,$AC213)+INDEX($AO$5:$AO$404,$AC213),"",IF(209=INDEX($AB$5:$AB$404,$AC213)+INDEX($Z$5:$Z$404,$AC213),"D",IF(AND(INDEX($Z$5:$Z$404,$AC213)=1,209=INDEX($AB$5:$AB$404,$AC213)),"H",IF(AND(INDEX($AO$5:$AO$404,$AC213)=1,209=INDEX($AB$5:$AB$404,$AC213)+INDEX($Z$5:$Z$404,$AC213)+INDEX($AA$5:$AA$404,$AC213)+INDEX($AO$5:$AO$404,$AC213)),"B","T")))))))</f>
        <v/>
      </c>
      <c r="AF213" t="str">
        <f t="shared" si="102"/>
        <v/>
      </c>
      <c r="AJ213">
        <f>IF($AD213&lt;&gt;"T",0,ROUND(SUMIF(oil!$B$4:$B$63,$AF213,oil!$AE$4:$AE$63),2))</f>
        <v>0</v>
      </c>
      <c r="AK213" t="str">
        <f>IF($S213="","",IFERROR(INDEX(อัตราค่าขนส่ง!$R$5:$R$54,MATCH($S213,อัตราค่าขนส่ง!$Q$5:$Q$54,0)),INDEX(รายการมาตรฐาน!$G$2:$G$3,1)))</f>
        <v/>
      </c>
      <c r="AL213" t="str">
        <f>IF($S213="","",IFERROR(MATCH($AK213,รายการมาตรฐาน!$G$2:$G$3,0),1))</f>
        <v/>
      </c>
      <c r="AM213" t="str">
        <f t="shared" si="103"/>
        <v/>
      </c>
      <c r="AN213" t="str">
        <f t="shared" si="104"/>
        <v/>
      </c>
      <c r="AO213">
        <f t="shared" si="105"/>
        <v>0</v>
      </c>
      <c r="AP213">
        <f t="shared" si="111"/>
        <v>0</v>
      </c>
      <c r="AQ213" t="str">
        <f t="shared" si="106"/>
        <v/>
      </c>
      <c r="AR213">
        <f>IF($Y213="",0,COUNTIF(บันทึกรายเที่ยว!$V$6:$V$10005,$Y213))</f>
        <v>0</v>
      </c>
      <c r="AS213">
        <f>IF($Y213="",0,ROUND(SUMIF(บันทึกรายเที่ยว!$V$6:$V$10005,$Y213,บันทึกรายเที่ยว!$M$6:$M$10005),2))</f>
        <v>0</v>
      </c>
      <c r="AT213">
        <f>IF($Y213="",0,IFERROR(INDEX(อัตราค่าขนส่ง!$J$5:$J$204,MATCH($Y213,อัตราค่าขนส่ง!$O$5:$O$204,0)),0))</f>
        <v>0</v>
      </c>
      <c r="AU213">
        <f t="shared" si="107"/>
        <v>0</v>
      </c>
      <c r="AV213">
        <f t="shared" si="108"/>
        <v>0</v>
      </c>
      <c r="AW213" t="str">
        <f>IF($Y213="","",IFERROR(INDEX(อัตราค่าขนส่ง!$F$5:$F$204,MATCH($Y213,อัตราค่าขนส่ง!$O$5:$O$204,0)),""))</f>
        <v/>
      </c>
      <c r="AX213" t="str">
        <f>IF($W213="","",INDEX(บันทึกรายเที่ยว!$D$6:$D$10005,$W213))</f>
        <v/>
      </c>
      <c r="AY213" t="str">
        <f>IF($W213="","",INDEX(บันทึกรายเที่ยว!$R$6:$R$10005,$W213))</f>
        <v/>
      </c>
      <c r="AZ213">
        <f t="shared" si="109"/>
        <v>0</v>
      </c>
      <c r="BA213" t="str">
        <f>IF($W213="","",INDEX(บันทึกรายเที่ยว!$E$6:$E$10005,$W213))</f>
        <v/>
      </c>
      <c r="BC213">
        <f>IF($Y213="",0,IFERROR(INDEX(อัตราค่าขนส่ง!$M$5:$M$204,MATCH($Y213,อัตราค่าขนส่ง!$O$5:$O$204,0)),0))</f>
        <v>0</v>
      </c>
      <c r="BD213">
        <f>IF($Y213="",0,IFERROR(INDEX(อัตราค่าขนส่ง!$N$5:$N$204,MATCH($Y213,อัตราค่าขนส่ง!$O$5:$O$204,0)),0))</f>
        <v>0</v>
      </c>
    </row>
    <row r="214" spans="1:56" ht="21" customHeight="1" x14ac:dyDescent="0.95">
      <c r="A214" s="36" t="str">
        <f>IF($AD214="","",IF($AD214="Z","รวมจ่ายทั้งสิ้น",IF($AD214="H",INDEX($X$5:$X$404,$AC214),IF($AD214="T","รวม",IF($AD214="B",IFERROR(INDEX(อัตราค่าขนส่ง!$U$5:$U$14,MATCH(INDEX($AM$5:$AM$404,$AC214),อัตราค่าขนส่ง!$T$5:$T$14,0)),"รวมกลุ่ม "&amp;INDEX($AM$5:$AM$404,$AC214)),INDEX($AY$5:$AY$404,$AC214))))))</f>
        <v/>
      </c>
      <c r="B214" s="31" t="str">
        <f t="shared" si="84"/>
        <v/>
      </c>
      <c r="C214" s="8" t="str">
        <f t="shared" si="85"/>
        <v/>
      </c>
      <c r="D214" s="37" t="str">
        <f t="shared" si="86"/>
        <v/>
      </c>
      <c r="E214" s="31" t="str">
        <f t="shared" si="87"/>
        <v/>
      </c>
      <c r="F214" s="32" t="str">
        <f t="shared" si="88"/>
        <v/>
      </c>
      <c r="G214" s="32" t="str">
        <f t="shared" si="89"/>
        <v/>
      </c>
      <c r="H214" s="32" t="str">
        <f t="shared" si="90"/>
        <v/>
      </c>
      <c r="I214" s="32" t="str">
        <f t="shared" si="91"/>
        <v/>
      </c>
      <c r="J214" s="46" t="str">
        <f t="shared" si="92"/>
        <v/>
      </c>
      <c r="K214" s="32" t="str">
        <f t="shared" si="93"/>
        <v/>
      </c>
      <c r="L214" s="32" t="str">
        <f t="shared" si="94"/>
        <v/>
      </c>
      <c r="M214" s="32" t="str">
        <f t="shared" si="95"/>
        <v/>
      </c>
      <c r="N214" s="32" t="str">
        <f t="shared" si="96"/>
        <v/>
      </c>
      <c r="O214" s="32" t="str">
        <f t="shared" si="97"/>
        <v/>
      </c>
      <c r="Q214" t="str">
        <f>IFERROR(MATCH(210,บันทึกรายเที่ยว!$Z$6:$Z$10005,0),"")</f>
        <v/>
      </c>
      <c r="R214" t="str">
        <f>IF($Q214="","",INDEX(บันทึกรายเที่ยว!$V$6:$V$10005,$Q214))</f>
        <v/>
      </c>
      <c r="S214" t="str">
        <f>IF($Q214="","",INDEX(บันทึกรายเที่ยว!$F$6:$F$10005,$Q214))</f>
        <v/>
      </c>
      <c r="T214" t="str">
        <f>IF($Q214="","",MATCH($S214,บันทึกรายเที่ยว!$F$6:$F$10005,0))</f>
        <v/>
      </c>
      <c r="U214" t="str">
        <f>IF($Q214="","",$AL214*10000000+$T214*1000+210)</f>
        <v/>
      </c>
      <c r="V214" t="str">
        <f>IFERROR(MATCH(SMALL($U$5:$U$404,210),$U$5:$U$404,0),"")</f>
        <v/>
      </c>
      <c r="W214" t="str">
        <f t="shared" si="98"/>
        <v/>
      </c>
      <c r="X214" t="str">
        <f t="shared" si="99"/>
        <v/>
      </c>
      <c r="Y214" t="str">
        <f t="shared" si="100"/>
        <v/>
      </c>
      <c r="Z214">
        <f t="shared" si="110"/>
        <v>0</v>
      </c>
      <c r="AA214">
        <f t="shared" si="101"/>
        <v>0</v>
      </c>
      <c r="AB214">
        <f>IF($V214="",99999+210,$AB213+1+$Z213+$AA213+$AO213)</f>
        <v>100209</v>
      </c>
      <c r="AC214" t="str">
        <f>IFERROR(MATCH(210,$AB$5:$AB$404,1),"")</f>
        <v/>
      </c>
      <c r="AD214" t="str">
        <f>IF(210=$AI$1+1,"Z",IF($AC214="","",IF(INDEX($V$5:$V$404,$AC214)="","",IF(210&gt;INDEX($AB$5:$AB$404,$AC214)+INDEX($Z$5:$Z$404,$AC214)+INDEX($AA$5:$AA$404,$AC214)+INDEX($AO$5:$AO$404,$AC214),"",IF(210=INDEX($AB$5:$AB$404,$AC214)+INDEX($Z$5:$Z$404,$AC214),"D",IF(AND(INDEX($Z$5:$Z$404,$AC214)=1,210=INDEX($AB$5:$AB$404,$AC214)),"H",IF(AND(INDEX($AO$5:$AO$404,$AC214)=1,210=INDEX($AB$5:$AB$404,$AC214)+INDEX($Z$5:$Z$404,$AC214)+INDEX($AA$5:$AA$404,$AC214)+INDEX($AO$5:$AO$404,$AC214)),"B","T")))))))</f>
        <v/>
      </c>
      <c r="AF214" t="str">
        <f t="shared" si="102"/>
        <v/>
      </c>
      <c r="AJ214">
        <f>IF($AD214&lt;&gt;"T",0,ROUND(SUMIF(oil!$B$4:$B$63,$AF214,oil!$AE$4:$AE$63),2))</f>
        <v>0</v>
      </c>
      <c r="AK214" t="str">
        <f>IF($S214="","",IFERROR(INDEX(อัตราค่าขนส่ง!$R$5:$R$54,MATCH($S214,อัตราค่าขนส่ง!$Q$5:$Q$54,0)),INDEX(รายการมาตรฐาน!$G$2:$G$3,1)))</f>
        <v/>
      </c>
      <c r="AL214" t="str">
        <f>IF($S214="","",IFERROR(MATCH($AK214,รายการมาตรฐาน!$G$2:$G$3,0),1))</f>
        <v/>
      </c>
      <c r="AM214" t="str">
        <f t="shared" si="103"/>
        <v/>
      </c>
      <c r="AN214" t="str">
        <f t="shared" si="104"/>
        <v/>
      </c>
      <c r="AO214">
        <f t="shared" si="105"/>
        <v>0</v>
      </c>
      <c r="AP214">
        <f t="shared" si="111"/>
        <v>0</v>
      </c>
      <c r="AQ214" t="str">
        <f t="shared" si="106"/>
        <v/>
      </c>
      <c r="AR214">
        <f>IF($Y214="",0,COUNTIF(บันทึกรายเที่ยว!$V$6:$V$10005,$Y214))</f>
        <v>0</v>
      </c>
      <c r="AS214">
        <f>IF($Y214="",0,ROUND(SUMIF(บันทึกรายเที่ยว!$V$6:$V$10005,$Y214,บันทึกรายเที่ยว!$M$6:$M$10005),2))</f>
        <v>0</v>
      </c>
      <c r="AT214">
        <f>IF($Y214="",0,IFERROR(INDEX(อัตราค่าขนส่ง!$J$5:$J$204,MATCH($Y214,อัตราค่าขนส่ง!$O$5:$O$204,0)),0))</f>
        <v>0</v>
      </c>
      <c r="AU214">
        <f t="shared" si="107"/>
        <v>0</v>
      </c>
      <c r="AV214">
        <f t="shared" si="108"/>
        <v>0</v>
      </c>
      <c r="AW214" t="str">
        <f>IF($Y214="","",IFERROR(INDEX(อัตราค่าขนส่ง!$F$5:$F$204,MATCH($Y214,อัตราค่าขนส่ง!$O$5:$O$204,0)),""))</f>
        <v/>
      </c>
      <c r="AX214" t="str">
        <f>IF($W214="","",INDEX(บันทึกรายเที่ยว!$D$6:$D$10005,$W214))</f>
        <v/>
      </c>
      <c r="AY214" t="str">
        <f>IF($W214="","",INDEX(บันทึกรายเที่ยว!$R$6:$R$10005,$W214))</f>
        <v/>
      </c>
      <c r="AZ214">
        <f t="shared" si="109"/>
        <v>0</v>
      </c>
      <c r="BA214" t="str">
        <f>IF($W214="","",INDEX(บันทึกรายเที่ยว!$E$6:$E$10005,$W214))</f>
        <v/>
      </c>
      <c r="BC214">
        <f>IF($Y214="",0,IFERROR(INDEX(อัตราค่าขนส่ง!$M$5:$M$204,MATCH($Y214,อัตราค่าขนส่ง!$O$5:$O$204,0)),0))</f>
        <v>0</v>
      </c>
      <c r="BD214">
        <f>IF($Y214="",0,IFERROR(INDEX(อัตราค่าขนส่ง!$N$5:$N$204,MATCH($Y214,อัตราค่าขนส่ง!$O$5:$O$204,0)),0))</f>
        <v>0</v>
      </c>
    </row>
    <row r="215" spans="1:56" ht="21" customHeight="1" x14ac:dyDescent="0.95">
      <c r="A215" s="36" t="str">
        <f>IF($AD215="","",IF($AD215="Z","รวมจ่ายทั้งสิ้น",IF($AD215="H",INDEX($X$5:$X$404,$AC215),IF($AD215="T","รวม",IF($AD215="B",IFERROR(INDEX(อัตราค่าขนส่ง!$U$5:$U$14,MATCH(INDEX($AM$5:$AM$404,$AC215),อัตราค่าขนส่ง!$T$5:$T$14,0)),"รวมกลุ่ม "&amp;INDEX($AM$5:$AM$404,$AC215)),INDEX($AY$5:$AY$404,$AC215))))))</f>
        <v/>
      </c>
      <c r="B215" s="31" t="str">
        <f t="shared" si="84"/>
        <v/>
      </c>
      <c r="C215" s="8" t="str">
        <f t="shared" si="85"/>
        <v/>
      </c>
      <c r="D215" s="37" t="str">
        <f t="shared" si="86"/>
        <v/>
      </c>
      <c r="E215" s="31" t="str">
        <f t="shared" si="87"/>
        <v/>
      </c>
      <c r="F215" s="32" t="str">
        <f t="shared" si="88"/>
        <v/>
      </c>
      <c r="G215" s="32" t="str">
        <f t="shared" si="89"/>
        <v/>
      </c>
      <c r="H215" s="32" t="str">
        <f t="shared" si="90"/>
        <v/>
      </c>
      <c r="I215" s="32" t="str">
        <f t="shared" si="91"/>
        <v/>
      </c>
      <c r="J215" s="46" t="str">
        <f t="shared" si="92"/>
        <v/>
      </c>
      <c r="K215" s="32" t="str">
        <f t="shared" si="93"/>
        <v/>
      </c>
      <c r="L215" s="32" t="str">
        <f t="shared" si="94"/>
        <v/>
      </c>
      <c r="M215" s="32" t="str">
        <f t="shared" si="95"/>
        <v/>
      </c>
      <c r="N215" s="32" t="str">
        <f t="shared" si="96"/>
        <v/>
      </c>
      <c r="O215" s="32" t="str">
        <f t="shared" si="97"/>
        <v/>
      </c>
      <c r="Q215" t="str">
        <f>IFERROR(MATCH(211,บันทึกรายเที่ยว!$Z$6:$Z$10005,0),"")</f>
        <v/>
      </c>
      <c r="R215" t="str">
        <f>IF($Q215="","",INDEX(บันทึกรายเที่ยว!$V$6:$V$10005,$Q215))</f>
        <v/>
      </c>
      <c r="S215" t="str">
        <f>IF($Q215="","",INDEX(บันทึกรายเที่ยว!$F$6:$F$10005,$Q215))</f>
        <v/>
      </c>
      <c r="T215" t="str">
        <f>IF($Q215="","",MATCH($S215,บันทึกรายเที่ยว!$F$6:$F$10005,0))</f>
        <v/>
      </c>
      <c r="U215" t="str">
        <f>IF($Q215="","",$AL215*10000000+$T215*1000+211)</f>
        <v/>
      </c>
      <c r="V215" t="str">
        <f>IFERROR(MATCH(SMALL($U$5:$U$404,211),$U$5:$U$404,0),"")</f>
        <v/>
      </c>
      <c r="W215" t="str">
        <f t="shared" si="98"/>
        <v/>
      </c>
      <c r="X215" t="str">
        <f t="shared" si="99"/>
        <v/>
      </c>
      <c r="Y215" t="str">
        <f t="shared" si="100"/>
        <v/>
      </c>
      <c r="Z215">
        <f t="shared" si="110"/>
        <v>0</v>
      </c>
      <c r="AA215">
        <f t="shared" si="101"/>
        <v>0</v>
      </c>
      <c r="AB215">
        <f>IF($V215="",99999+211,$AB214+1+$Z214+$AA214+$AO214)</f>
        <v>100210</v>
      </c>
      <c r="AC215" t="str">
        <f>IFERROR(MATCH(211,$AB$5:$AB$404,1),"")</f>
        <v/>
      </c>
      <c r="AD215" t="str">
        <f>IF(211=$AI$1+1,"Z",IF($AC215="","",IF(INDEX($V$5:$V$404,$AC215)="","",IF(211&gt;INDEX($AB$5:$AB$404,$AC215)+INDEX($Z$5:$Z$404,$AC215)+INDEX($AA$5:$AA$404,$AC215)+INDEX($AO$5:$AO$404,$AC215),"",IF(211=INDEX($AB$5:$AB$404,$AC215)+INDEX($Z$5:$Z$404,$AC215),"D",IF(AND(INDEX($Z$5:$Z$404,$AC215)=1,211=INDEX($AB$5:$AB$404,$AC215)),"H",IF(AND(INDEX($AO$5:$AO$404,$AC215)=1,211=INDEX($AB$5:$AB$404,$AC215)+INDEX($Z$5:$Z$404,$AC215)+INDEX($AA$5:$AA$404,$AC215)+INDEX($AO$5:$AO$404,$AC215)),"B","T")))))))</f>
        <v/>
      </c>
      <c r="AF215" t="str">
        <f t="shared" si="102"/>
        <v/>
      </c>
      <c r="AJ215">
        <f>IF($AD215&lt;&gt;"T",0,ROUND(SUMIF(oil!$B$4:$B$63,$AF215,oil!$AE$4:$AE$63),2))</f>
        <v>0</v>
      </c>
      <c r="AK215" t="str">
        <f>IF($S215="","",IFERROR(INDEX(อัตราค่าขนส่ง!$R$5:$R$54,MATCH($S215,อัตราค่าขนส่ง!$Q$5:$Q$54,0)),INDEX(รายการมาตรฐาน!$G$2:$G$3,1)))</f>
        <v/>
      </c>
      <c r="AL215" t="str">
        <f>IF($S215="","",IFERROR(MATCH($AK215,รายการมาตรฐาน!$G$2:$G$3,0),1))</f>
        <v/>
      </c>
      <c r="AM215" t="str">
        <f t="shared" si="103"/>
        <v/>
      </c>
      <c r="AN215" t="str">
        <f t="shared" si="104"/>
        <v/>
      </c>
      <c r="AO215">
        <f t="shared" si="105"/>
        <v>0</v>
      </c>
      <c r="AP215">
        <f t="shared" si="111"/>
        <v>0</v>
      </c>
      <c r="AQ215" t="str">
        <f t="shared" si="106"/>
        <v/>
      </c>
      <c r="AR215">
        <f>IF($Y215="",0,COUNTIF(บันทึกรายเที่ยว!$V$6:$V$10005,$Y215))</f>
        <v>0</v>
      </c>
      <c r="AS215">
        <f>IF($Y215="",0,ROUND(SUMIF(บันทึกรายเที่ยว!$V$6:$V$10005,$Y215,บันทึกรายเที่ยว!$M$6:$M$10005),2))</f>
        <v>0</v>
      </c>
      <c r="AT215">
        <f>IF($Y215="",0,IFERROR(INDEX(อัตราค่าขนส่ง!$J$5:$J$204,MATCH($Y215,อัตราค่าขนส่ง!$O$5:$O$204,0)),0))</f>
        <v>0</v>
      </c>
      <c r="AU215">
        <f t="shared" si="107"/>
        <v>0</v>
      </c>
      <c r="AV215">
        <f t="shared" si="108"/>
        <v>0</v>
      </c>
      <c r="AW215" t="str">
        <f>IF($Y215="","",IFERROR(INDEX(อัตราค่าขนส่ง!$F$5:$F$204,MATCH($Y215,อัตราค่าขนส่ง!$O$5:$O$204,0)),""))</f>
        <v/>
      </c>
      <c r="AX215" t="str">
        <f>IF($W215="","",INDEX(บันทึกรายเที่ยว!$D$6:$D$10005,$W215))</f>
        <v/>
      </c>
      <c r="AY215" t="str">
        <f>IF($W215="","",INDEX(บันทึกรายเที่ยว!$R$6:$R$10005,$W215))</f>
        <v/>
      </c>
      <c r="AZ215">
        <f t="shared" si="109"/>
        <v>0</v>
      </c>
      <c r="BA215" t="str">
        <f>IF($W215="","",INDEX(บันทึกรายเที่ยว!$E$6:$E$10005,$W215))</f>
        <v/>
      </c>
      <c r="BC215">
        <f>IF($Y215="",0,IFERROR(INDEX(อัตราค่าขนส่ง!$M$5:$M$204,MATCH($Y215,อัตราค่าขนส่ง!$O$5:$O$204,0)),0))</f>
        <v>0</v>
      </c>
      <c r="BD215">
        <f>IF($Y215="",0,IFERROR(INDEX(อัตราค่าขนส่ง!$N$5:$N$204,MATCH($Y215,อัตราค่าขนส่ง!$O$5:$O$204,0)),0))</f>
        <v>0</v>
      </c>
    </row>
    <row r="216" spans="1:56" ht="21" customHeight="1" x14ac:dyDescent="0.95">
      <c r="A216" s="36" t="str">
        <f>IF($AD216="","",IF($AD216="Z","รวมจ่ายทั้งสิ้น",IF($AD216="H",INDEX($X$5:$X$404,$AC216),IF($AD216="T","รวม",IF($AD216="B",IFERROR(INDEX(อัตราค่าขนส่ง!$U$5:$U$14,MATCH(INDEX($AM$5:$AM$404,$AC216),อัตราค่าขนส่ง!$T$5:$T$14,0)),"รวมกลุ่ม "&amp;INDEX($AM$5:$AM$404,$AC216)),INDEX($AY$5:$AY$404,$AC216))))))</f>
        <v/>
      </c>
      <c r="B216" s="31" t="str">
        <f t="shared" si="84"/>
        <v/>
      </c>
      <c r="C216" s="8" t="str">
        <f t="shared" si="85"/>
        <v/>
      </c>
      <c r="D216" s="37" t="str">
        <f t="shared" si="86"/>
        <v/>
      </c>
      <c r="E216" s="31" t="str">
        <f t="shared" si="87"/>
        <v/>
      </c>
      <c r="F216" s="32" t="str">
        <f t="shared" si="88"/>
        <v/>
      </c>
      <c r="G216" s="32" t="str">
        <f t="shared" si="89"/>
        <v/>
      </c>
      <c r="H216" s="32" t="str">
        <f t="shared" si="90"/>
        <v/>
      </c>
      <c r="I216" s="32" t="str">
        <f t="shared" si="91"/>
        <v/>
      </c>
      <c r="J216" s="46" t="str">
        <f t="shared" si="92"/>
        <v/>
      </c>
      <c r="K216" s="32" t="str">
        <f t="shared" si="93"/>
        <v/>
      </c>
      <c r="L216" s="32" t="str">
        <f t="shared" si="94"/>
        <v/>
      </c>
      <c r="M216" s="32" t="str">
        <f t="shared" si="95"/>
        <v/>
      </c>
      <c r="N216" s="32" t="str">
        <f t="shared" si="96"/>
        <v/>
      </c>
      <c r="O216" s="32" t="str">
        <f t="shared" si="97"/>
        <v/>
      </c>
      <c r="Q216" t="str">
        <f>IFERROR(MATCH(212,บันทึกรายเที่ยว!$Z$6:$Z$10005,0),"")</f>
        <v/>
      </c>
      <c r="R216" t="str">
        <f>IF($Q216="","",INDEX(บันทึกรายเที่ยว!$V$6:$V$10005,$Q216))</f>
        <v/>
      </c>
      <c r="S216" t="str">
        <f>IF($Q216="","",INDEX(บันทึกรายเที่ยว!$F$6:$F$10005,$Q216))</f>
        <v/>
      </c>
      <c r="T216" t="str">
        <f>IF($Q216="","",MATCH($S216,บันทึกรายเที่ยว!$F$6:$F$10005,0))</f>
        <v/>
      </c>
      <c r="U216" t="str">
        <f>IF($Q216="","",$AL216*10000000+$T216*1000+212)</f>
        <v/>
      </c>
      <c r="V216" t="str">
        <f>IFERROR(MATCH(SMALL($U$5:$U$404,212),$U$5:$U$404,0),"")</f>
        <v/>
      </c>
      <c r="W216" t="str">
        <f t="shared" si="98"/>
        <v/>
      </c>
      <c r="X216" t="str">
        <f t="shared" si="99"/>
        <v/>
      </c>
      <c r="Y216" t="str">
        <f t="shared" si="100"/>
        <v/>
      </c>
      <c r="Z216">
        <f t="shared" si="110"/>
        <v>0</v>
      </c>
      <c r="AA216">
        <f t="shared" si="101"/>
        <v>0</v>
      </c>
      <c r="AB216">
        <f>IF($V216="",99999+212,$AB215+1+$Z215+$AA215+$AO215)</f>
        <v>100211</v>
      </c>
      <c r="AC216" t="str">
        <f>IFERROR(MATCH(212,$AB$5:$AB$404,1),"")</f>
        <v/>
      </c>
      <c r="AD216" t="str">
        <f>IF(212=$AI$1+1,"Z",IF($AC216="","",IF(INDEX($V$5:$V$404,$AC216)="","",IF(212&gt;INDEX($AB$5:$AB$404,$AC216)+INDEX($Z$5:$Z$404,$AC216)+INDEX($AA$5:$AA$404,$AC216)+INDEX($AO$5:$AO$404,$AC216),"",IF(212=INDEX($AB$5:$AB$404,$AC216)+INDEX($Z$5:$Z$404,$AC216),"D",IF(AND(INDEX($Z$5:$Z$404,$AC216)=1,212=INDEX($AB$5:$AB$404,$AC216)),"H",IF(AND(INDEX($AO$5:$AO$404,$AC216)=1,212=INDEX($AB$5:$AB$404,$AC216)+INDEX($Z$5:$Z$404,$AC216)+INDEX($AA$5:$AA$404,$AC216)+INDEX($AO$5:$AO$404,$AC216)),"B","T")))))))</f>
        <v/>
      </c>
      <c r="AF216" t="str">
        <f t="shared" si="102"/>
        <v/>
      </c>
      <c r="AJ216">
        <f>IF($AD216&lt;&gt;"T",0,ROUND(SUMIF(oil!$B$4:$B$63,$AF216,oil!$AE$4:$AE$63),2))</f>
        <v>0</v>
      </c>
      <c r="AK216" t="str">
        <f>IF($S216="","",IFERROR(INDEX(อัตราค่าขนส่ง!$R$5:$R$54,MATCH($S216,อัตราค่าขนส่ง!$Q$5:$Q$54,0)),INDEX(รายการมาตรฐาน!$G$2:$G$3,1)))</f>
        <v/>
      </c>
      <c r="AL216" t="str">
        <f>IF($S216="","",IFERROR(MATCH($AK216,รายการมาตรฐาน!$G$2:$G$3,0),1))</f>
        <v/>
      </c>
      <c r="AM216" t="str">
        <f t="shared" si="103"/>
        <v/>
      </c>
      <c r="AN216" t="str">
        <f t="shared" si="104"/>
        <v/>
      </c>
      <c r="AO216">
        <f t="shared" si="105"/>
        <v>0</v>
      </c>
      <c r="AP216">
        <f t="shared" si="111"/>
        <v>0</v>
      </c>
      <c r="AQ216" t="str">
        <f t="shared" si="106"/>
        <v/>
      </c>
      <c r="AR216">
        <f>IF($Y216="",0,COUNTIF(บันทึกรายเที่ยว!$V$6:$V$10005,$Y216))</f>
        <v>0</v>
      </c>
      <c r="AS216">
        <f>IF($Y216="",0,ROUND(SUMIF(บันทึกรายเที่ยว!$V$6:$V$10005,$Y216,บันทึกรายเที่ยว!$M$6:$M$10005),2))</f>
        <v>0</v>
      </c>
      <c r="AT216">
        <f>IF($Y216="",0,IFERROR(INDEX(อัตราค่าขนส่ง!$J$5:$J$204,MATCH($Y216,อัตราค่าขนส่ง!$O$5:$O$204,0)),0))</f>
        <v>0</v>
      </c>
      <c r="AU216">
        <f t="shared" si="107"/>
        <v>0</v>
      </c>
      <c r="AV216">
        <f t="shared" si="108"/>
        <v>0</v>
      </c>
      <c r="AW216" t="str">
        <f>IF($Y216="","",IFERROR(INDEX(อัตราค่าขนส่ง!$F$5:$F$204,MATCH($Y216,อัตราค่าขนส่ง!$O$5:$O$204,0)),""))</f>
        <v/>
      </c>
      <c r="AX216" t="str">
        <f>IF($W216="","",INDEX(บันทึกรายเที่ยว!$D$6:$D$10005,$W216))</f>
        <v/>
      </c>
      <c r="AY216" t="str">
        <f>IF($W216="","",INDEX(บันทึกรายเที่ยว!$R$6:$R$10005,$W216))</f>
        <v/>
      </c>
      <c r="AZ216">
        <f t="shared" si="109"/>
        <v>0</v>
      </c>
      <c r="BA216" t="str">
        <f>IF($W216="","",INDEX(บันทึกรายเที่ยว!$E$6:$E$10005,$W216))</f>
        <v/>
      </c>
      <c r="BC216">
        <f>IF($Y216="",0,IFERROR(INDEX(อัตราค่าขนส่ง!$M$5:$M$204,MATCH($Y216,อัตราค่าขนส่ง!$O$5:$O$204,0)),0))</f>
        <v>0</v>
      </c>
      <c r="BD216">
        <f>IF($Y216="",0,IFERROR(INDEX(อัตราค่าขนส่ง!$N$5:$N$204,MATCH($Y216,อัตราค่าขนส่ง!$O$5:$O$204,0)),0))</f>
        <v>0</v>
      </c>
    </row>
    <row r="217" spans="1:56" ht="21" customHeight="1" x14ac:dyDescent="0.95">
      <c r="A217" s="36" t="str">
        <f>IF($AD217="","",IF($AD217="Z","รวมจ่ายทั้งสิ้น",IF($AD217="H",INDEX($X$5:$X$404,$AC217),IF($AD217="T","รวม",IF($AD217="B",IFERROR(INDEX(อัตราค่าขนส่ง!$U$5:$U$14,MATCH(INDEX($AM$5:$AM$404,$AC217),อัตราค่าขนส่ง!$T$5:$T$14,0)),"รวมกลุ่ม "&amp;INDEX($AM$5:$AM$404,$AC217)),INDEX($AY$5:$AY$404,$AC217))))))</f>
        <v/>
      </c>
      <c r="B217" s="31" t="str">
        <f t="shared" si="84"/>
        <v/>
      </c>
      <c r="C217" s="8" t="str">
        <f t="shared" si="85"/>
        <v/>
      </c>
      <c r="D217" s="37" t="str">
        <f t="shared" si="86"/>
        <v/>
      </c>
      <c r="E217" s="31" t="str">
        <f t="shared" si="87"/>
        <v/>
      </c>
      <c r="F217" s="32" t="str">
        <f t="shared" si="88"/>
        <v/>
      </c>
      <c r="G217" s="32" t="str">
        <f t="shared" si="89"/>
        <v/>
      </c>
      <c r="H217" s="32" t="str">
        <f t="shared" si="90"/>
        <v/>
      </c>
      <c r="I217" s="32" t="str">
        <f t="shared" si="91"/>
        <v/>
      </c>
      <c r="J217" s="46" t="str">
        <f t="shared" si="92"/>
        <v/>
      </c>
      <c r="K217" s="32" t="str">
        <f t="shared" si="93"/>
        <v/>
      </c>
      <c r="L217" s="32" t="str">
        <f t="shared" si="94"/>
        <v/>
      </c>
      <c r="M217" s="32" t="str">
        <f t="shared" si="95"/>
        <v/>
      </c>
      <c r="N217" s="32" t="str">
        <f t="shared" si="96"/>
        <v/>
      </c>
      <c r="O217" s="32" t="str">
        <f t="shared" si="97"/>
        <v/>
      </c>
      <c r="Q217" t="str">
        <f>IFERROR(MATCH(213,บันทึกรายเที่ยว!$Z$6:$Z$10005,0),"")</f>
        <v/>
      </c>
      <c r="R217" t="str">
        <f>IF($Q217="","",INDEX(บันทึกรายเที่ยว!$V$6:$V$10005,$Q217))</f>
        <v/>
      </c>
      <c r="S217" t="str">
        <f>IF($Q217="","",INDEX(บันทึกรายเที่ยว!$F$6:$F$10005,$Q217))</f>
        <v/>
      </c>
      <c r="T217" t="str">
        <f>IF($Q217="","",MATCH($S217,บันทึกรายเที่ยว!$F$6:$F$10005,0))</f>
        <v/>
      </c>
      <c r="U217" t="str">
        <f>IF($Q217="","",$AL217*10000000+$T217*1000+213)</f>
        <v/>
      </c>
      <c r="V217" t="str">
        <f>IFERROR(MATCH(SMALL($U$5:$U$404,213),$U$5:$U$404,0),"")</f>
        <v/>
      </c>
      <c r="W217" t="str">
        <f t="shared" si="98"/>
        <v/>
      </c>
      <c r="X217" t="str">
        <f t="shared" si="99"/>
        <v/>
      </c>
      <c r="Y217" t="str">
        <f t="shared" si="100"/>
        <v/>
      </c>
      <c r="Z217">
        <f t="shared" si="110"/>
        <v>0</v>
      </c>
      <c r="AA217">
        <f t="shared" si="101"/>
        <v>0</v>
      </c>
      <c r="AB217">
        <f>IF($V217="",99999+213,$AB216+1+$Z216+$AA216+$AO216)</f>
        <v>100212</v>
      </c>
      <c r="AC217" t="str">
        <f>IFERROR(MATCH(213,$AB$5:$AB$404,1),"")</f>
        <v/>
      </c>
      <c r="AD217" t="str">
        <f>IF(213=$AI$1+1,"Z",IF($AC217="","",IF(INDEX($V$5:$V$404,$AC217)="","",IF(213&gt;INDEX($AB$5:$AB$404,$AC217)+INDEX($Z$5:$Z$404,$AC217)+INDEX($AA$5:$AA$404,$AC217)+INDEX($AO$5:$AO$404,$AC217),"",IF(213=INDEX($AB$5:$AB$404,$AC217)+INDEX($Z$5:$Z$404,$AC217),"D",IF(AND(INDEX($Z$5:$Z$404,$AC217)=1,213=INDEX($AB$5:$AB$404,$AC217)),"H",IF(AND(INDEX($AO$5:$AO$404,$AC217)=1,213=INDEX($AB$5:$AB$404,$AC217)+INDEX($Z$5:$Z$404,$AC217)+INDEX($AA$5:$AA$404,$AC217)+INDEX($AO$5:$AO$404,$AC217)),"B","T")))))))</f>
        <v/>
      </c>
      <c r="AF217" t="str">
        <f t="shared" si="102"/>
        <v/>
      </c>
      <c r="AJ217">
        <f>IF($AD217&lt;&gt;"T",0,ROUND(SUMIF(oil!$B$4:$B$63,$AF217,oil!$AE$4:$AE$63),2))</f>
        <v>0</v>
      </c>
      <c r="AK217" t="str">
        <f>IF($S217="","",IFERROR(INDEX(อัตราค่าขนส่ง!$R$5:$R$54,MATCH($S217,อัตราค่าขนส่ง!$Q$5:$Q$54,0)),INDEX(รายการมาตรฐาน!$G$2:$G$3,1)))</f>
        <v/>
      </c>
      <c r="AL217" t="str">
        <f>IF($S217="","",IFERROR(MATCH($AK217,รายการมาตรฐาน!$G$2:$G$3,0),1))</f>
        <v/>
      </c>
      <c r="AM217" t="str">
        <f t="shared" si="103"/>
        <v/>
      </c>
      <c r="AN217" t="str">
        <f t="shared" si="104"/>
        <v/>
      </c>
      <c r="AO217">
        <f t="shared" si="105"/>
        <v>0</v>
      </c>
      <c r="AP217">
        <f t="shared" si="111"/>
        <v>0</v>
      </c>
      <c r="AQ217" t="str">
        <f t="shared" si="106"/>
        <v/>
      </c>
      <c r="AR217">
        <f>IF($Y217="",0,COUNTIF(บันทึกรายเที่ยว!$V$6:$V$10005,$Y217))</f>
        <v>0</v>
      </c>
      <c r="AS217">
        <f>IF($Y217="",0,ROUND(SUMIF(บันทึกรายเที่ยว!$V$6:$V$10005,$Y217,บันทึกรายเที่ยว!$M$6:$M$10005),2))</f>
        <v>0</v>
      </c>
      <c r="AT217">
        <f>IF($Y217="",0,IFERROR(INDEX(อัตราค่าขนส่ง!$J$5:$J$204,MATCH($Y217,อัตราค่าขนส่ง!$O$5:$O$204,0)),0))</f>
        <v>0</v>
      </c>
      <c r="AU217">
        <f t="shared" si="107"/>
        <v>0</v>
      </c>
      <c r="AV217">
        <f t="shared" si="108"/>
        <v>0</v>
      </c>
      <c r="AW217" t="str">
        <f>IF($Y217="","",IFERROR(INDEX(อัตราค่าขนส่ง!$F$5:$F$204,MATCH($Y217,อัตราค่าขนส่ง!$O$5:$O$204,0)),""))</f>
        <v/>
      </c>
      <c r="AX217" t="str">
        <f>IF($W217="","",INDEX(บันทึกรายเที่ยว!$D$6:$D$10005,$W217))</f>
        <v/>
      </c>
      <c r="AY217" t="str">
        <f>IF($W217="","",INDEX(บันทึกรายเที่ยว!$R$6:$R$10005,$W217))</f>
        <v/>
      </c>
      <c r="AZ217">
        <f t="shared" si="109"/>
        <v>0</v>
      </c>
      <c r="BA217" t="str">
        <f>IF($W217="","",INDEX(บันทึกรายเที่ยว!$E$6:$E$10005,$W217))</f>
        <v/>
      </c>
      <c r="BC217">
        <f>IF($Y217="",0,IFERROR(INDEX(อัตราค่าขนส่ง!$M$5:$M$204,MATCH($Y217,อัตราค่าขนส่ง!$O$5:$O$204,0)),0))</f>
        <v>0</v>
      </c>
      <c r="BD217">
        <f>IF($Y217="",0,IFERROR(INDEX(อัตราค่าขนส่ง!$N$5:$N$204,MATCH($Y217,อัตราค่าขนส่ง!$O$5:$O$204,0)),0))</f>
        <v>0</v>
      </c>
    </row>
    <row r="218" spans="1:56" ht="21" customHeight="1" x14ac:dyDescent="0.95">
      <c r="A218" s="36" t="str">
        <f>IF($AD218="","",IF($AD218="Z","รวมจ่ายทั้งสิ้น",IF($AD218="H",INDEX($X$5:$X$404,$AC218),IF($AD218="T","รวม",IF($AD218="B",IFERROR(INDEX(อัตราค่าขนส่ง!$U$5:$U$14,MATCH(INDEX($AM$5:$AM$404,$AC218),อัตราค่าขนส่ง!$T$5:$T$14,0)),"รวมกลุ่ม "&amp;INDEX($AM$5:$AM$404,$AC218)),INDEX($AY$5:$AY$404,$AC218))))))</f>
        <v/>
      </c>
      <c r="B218" s="31" t="str">
        <f t="shared" si="84"/>
        <v/>
      </c>
      <c r="C218" s="8" t="str">
        <f t="shared" si="85"/>
        <v/>
      </c>
      <c r="D218" s="37" t="str">
        <f t="shared" si="86"/>
        <v/>
      </c>
      <c r="E218" s="31" t="str">
        <f t="shared" si="87"/>
        <v/>
      </c>
      <c r="F218" s="32" t="str">
        <f t="shared" si="88"/>
        <v/>
      </c>
      <c r="G218" s="32" t="str">
        <f t="shared" si="89"/>
        <v/>
      </c>
      <c r="H218" s="32" t="str">
        <f t="shared" si="90"/>
        <v/>
      </c>
      <c r="I218" s="32" t="str">
        <f t="shared" si="91"/>
        <v/>
      </c>
      <c r="J218" s="46" t="str">
        <f t="shared" si="92"/>
        <v/>
      </c>
      <c r="K218" s="32" t="str">
        <f t="shared" si="93"/>
        <v/>
      </c>
      <c r="L218" s="32" t="str">
        <f t="shared" si="94"/>
        <v/>
      </c>
      <c r="M218" s="32" t="str">
        <f t="shared" si="95"/>
        <v/>
      </c>
      <c r="N218" s="32" t="str">
        <f t="shared" si="96"/>
        <v/>
      </c>
      <c r="O218" s="32" t="str">
        <f t="shared" si="97"/>
        <v/>
      </c>
      <c r="Q218" t="str">
        <f>IFERROR(MATCH(214,บันทึกรายเที่ยว!$Z$6:$Z$10005,0),"")</f>
        <v/>
      </c>
      <c r="R218" t="str">
        <f>IF($Q218="","",INDEX(บันทึกรายเที่ยว!$V$6:$V$10005,$Q218))</f>
        <v/>
      </c>
      <c r="S218" t="str">
        <f>IF($Q218="","",INDEX(บันทึกรายเที่ยว!$F$6:$F$10005,$Q218))</f>
        <v/>
      </c>
      <c r="T218" t="str">
        <f>IF($Q218="","",MATCH($S218,บันทึกรายเที่ยว!$F$6:$F$10005,0))</f>
        <v/>
      </c>
      <c r="U218" t="str">
        <f>IF($Q218="","",$AL218*10000000+$T218*1000+214)</f>
        <v/>
      </c>
      <c r="V218" t="str">
        <f>IFERROR(MATCH(SMALL($U$5:$U$404,214),$U$5:$U$404,0),"")</f>
        <v/>
      </c>
      <c r="W218" t="str">
        <f t="shared" si="98"/>
        <v/>
      </c>
      <c r="X218" t="str">
        <f t="shared" si="99"/>
        <v/>
      </c>
      <c r="Y218" t="str">
        <f t="shared" si="100"/>
        <v/>
      </c>
      <c r="Z218">
        <f t="shared" si="110"/>
        <v>0</v>
      </c>
      <c r="AA218">
        <f t="shared" si="101"/>
        <v>0</v>
      </c>
      <c r="AB218">
        <f>IF($V218="",99999+214,$AB217+1+$Z217+$AA217+$AO217)</f>
        <v>100213</v>
      </c>
      <c r="AC218" t="str">
        <f>IFERROR(MATCH(214,$AB$5:$AB$404,1),"")</f>
        <v/>
      </c>
      <c r="AD218" t="str">
        <f>IF(214=$AI$1+1,"Z",IF($AC218="","",IF(INDEX($V$5:$V$404,$AC218)="","",IF(214&gt;INDEX($AB$5:$AB$404,$AC218)+INDEX($Z$5:$Z$404,$AC218)+INDEX($AA$5:$AA$404,$AC218)+INDEX($AO$5:$AO$404,$AC218),"",IF(214=INDEX($AB$5:$AB$404,$AC218)+INDEX($Z$5:$Z$404,$AC218),"D",IF(AND(INDEX($Z$5:$Z$404,$AC218)=1,214=INDEX($AB$5:$AB$404,$AC218)),"H",IF(AND(INDEX($AO$5:$AO$404,$AC218)=1,214=INDEX($AB$5:$AB$404,$AC218)+INDEX($Z$5:$Z$404,$AC218)+INDEX($AA$5:$AA$404,$AC218)+INDEX($AO$5:$AO$404,$AC218)),"B","T")))))))</f>
        <v/>
      </c>
      <c r="AF218" t="str">
        <f t="shared" si="102"/>
        <v/>
      </c>
      <c r="AJ218">
        <f>IF($AD218&lt;&gt;"T",0,ROUND(SUMIF(oil!$B$4:$B$63,$AF218,oil!$AE$4:$AE$63),2))</f>
        <v>0</v>
      </c>
      <c r="AK218" t="str">
        <f>IF($S218="","",IFERROR(INDEX(อัตราค่าขนส่ง!$R$5:$R$54,MATCH($S218,อัตราค่าขนส่ง!$Q$5:$Q$54,0)),INDEX(รายการมาตรฐาน!$G$2:$G$3,1)))</f>
        <v/>
      </c>
      <c r="AL218" t="str">
        <f>IF($S218="","",IFERROR(MATCH($AK218,รายการมาตรฐาน!$G$2:$G$3,0),1))</f>
        <v/>
      </c>
      <c r="AM218" t="str">
        <f t="shared" si="103"/>
        <v/>
      </c>
      <c r="AN218" t="str">
        <f t="shared" si="104"/>
        <v/>
      </c>
      <c r="AO218">
        <f t="shared" si="105"/>
        <v>0</v>
      </c>
      <c r="AP218">
        <f t="shared" si="111"/>
        <v>0</v>
      </c>
      <c r="AQ218" t="str">
        <f t="shared" si="106"/>
        <v/>
      </c>
      <c r="AR218">
        <f>IF($Y218="",0,COUNTIF(บันทึกรายเที่ยว!$V$6:$V$10005,$Y218))</f>
        <v>0</v>
      </c>
      <c r="AS218">
        <f>IF($Y218="",0,ROUND(SUMIF(บันทึกรายเที่ยว!$V$6:$V$10005,$Y218,บันทึกรายเที่ยว!$M$6:$M$10005),2))</f>
        <v>0</v>
      </c>
      <c r="AT218">
        <f>IF($Y218="",0,IFERROR(INDEX(อัตราค่าขนส่ง!$J$5:$J$204,MATCH($Y218,อัตราค่าขนส่ง!$O$5:$O$204,0)),0))</f>
        <v>0</v>
      </c>
      <c r="AU218">
        <f t="shared" si="107"/>
        <v>0</v>
      </c>
      <c r="AV218">
        <f t="shared" si="108"/>
        <v>0</v>
      </c>
      <c r="AW218" t="str">
        <f>IF($Y218="","",IFERROR(INDEX(อัตราค่าขนส่ง!$F$5:$F$204,MATCH($Y218,อัตราค่าขนส่ง!$O$5:$O$204,0)),""))</f>
        <v/>
      </c>
      <c r="AX218" t="str">
        <f>IF($W218="","",INDEX(บันทึกรายเที่ยว!$D$6:$D$10005,$W218))</f>
        <v/>
      </c>
      <c r="AY218" t="str">
        <f>IF($W218="","",INDEX(บันทึกรายเที่ยว!$R$6:$R$10005,$W218))</f>
        <v/>
      </c>
      <c r="AZ218">
        <f t="shared" si="109"/>
        <v>0</v>
      </c>
      <c r="BA218" t="str">
        <f>IF($W218="","",INDEX(บันทึกรายเที่ยว!$E$6:$E$10005,$W218))</f>
        <v/>
      </c>
      <c r="BC218">
        <f>IF($Y218="",0,IFERROR(INDEX(อัตราค่าขนส่ง!$M$5:$M$204,MATCH($Y218,อัตราค่าขนส่ง!$O$5:$O$204,0)),0))</f>
        <v>0</v>
      </c>
      <c r="BD218">
        <f>IF($Y218="",0,IFERROR(INDEX(อัตราค่าขนส่ง!$N$5:$N$204,MATCH($Y218,อัตราค่าขนส่ง!$O$5:$O$204,0)),0))</f>
        <v>0</v>
      </c>
    </row>
    <row r="219" spans="1:56" ht="21" customHeight="1" x14ac:dyDescent="0.95">
      <c r="A219" s="36" t="str">
        <f>IF($AD219="","",IF($AD219="Z","รวมจ่ายทั้งสิ้น",IF($AD219="H",INDEX($X$5:$X$404,$AC219),IF($AD219="T","รวม",IF($AD219="B",IFERROR(INDEX(อัตราค่าขนส่ง!$U$5:$U$14,MATCH(INDEX($AM$5:$AM$404,$AC219),อัตราค่าขนส่ง!$T$5:$T$14,0)),"รวมกลุ่ม "&amp;INDEX($AM$5:$AM$404,$AC219)),INDEX($AY$5:$AY$404,$AC219))))))</f>
        <v/>
      </c>
      <c r="B219" s="31" t="str">
        <f t="shared" si="84"/>
        <v/>
      </c>
      <c r="C219" s="8" t="str">
        <f t="shared" si="85"/>
        <v/>
      </c>
      <c r="D219" s="37" t="str">
        <f t="shared" si="86"/>
        <v/>
      </c>
      <c r="E219" s="31" t="str">
        <f t="shared" si="87"/>
        <v/>
      </c>
      <c r="F219" s="32" t="str">
        <f t="shared" si="88"/>
        <v/>
      </c>
      <c r="G219" s="32" t="str">
        <f t="shared" si="89"/>
        <v/>
      </c>
      <c r="H219" s="32" t="str">
        <f t="shared" si="90"/>
        <v/>
      </c>
      <c r="I219" s="32" t="str">
        <f t="shared" si="91"/>
        <v/>
      </c>
      <c r="J219" s="46" t="str">
        <f t="shared" si="92"/>
        <v/>
      </c>
      <c r="K219" s="32" t="str">
        <f t="shared" si="93"/>
        <v/>
      </c>
      <c r="L219" s="32" t="str">
        <f t="shared" si="94"/>
        <v/>
      </c>
      <c r="M219" s="32" t="str">
        <f t="shared" si="95"/>
        <v/>
      </c>
      <c r="N219" s="32" t="str">
        <f t="shared" si="96"/>
        <v/>
      </c>
      <c r="O219" s="32" t="str">
        <f t="shared" si="97"/>
        <v/>
      </c>
      <c r="Q219" t="str">
        <f>IFERROR(MATCH(215,บันทึกรายเที่ยว!$Z$6:$Z$10005,0),"")</f>
        <v/>
      </c>
      <c r="R219" t="str">
        <f>IF($Q219="","",INDEX(บันทึกรายเที่ยว!$V$6:$V$10005,$Q219))</f>
        <v/>
      </c>
      <c r="S219" t="str">
        <f>IF($Q219="","",INDEX(บันทึกรายเที่ยว!$F$6:$F$10005,$Q219))</f>
        <v/>
      </c>
      <c r="T219" t="str">
        <f>IF($Q219="","",MATCH($S219,บันทึกรายเที่ยว!$F$6:$F$10005,0))</f>
        <v/>
      </c>
      <c r="U219" t="str">
        <f>IF($Q219="","",$AL219*10000000+$T219*1000+215)</f>
        <v/>
      </c>
      <c r="V219" t="str">
        <f>IFERROR(MATCH(SMALL($U$5:$U$404,215),$U$5:$U$404,0),"")</f>
        <v/>
      </c>
      <c r="W219" t="str">
        <f t="shared" si="98"/>
        <v/>
      </c>
      <c r="X219" t="str">
        <f t="shared" si="99"/>
        <v/>
      </c>
      <c r="Y219" t="str">
        <f t="shared" si="100"/>
        <v/>
      </c>
      <c r="Z219">
        <f t="shared" si="110"/>
        <v>0</v>
      </c>
      <c r="AA219">
        <f t="shared" si="101"/>
        <v>0</v>
      </c>
      <c r="AB219">
        <f>IF($V219="",99999+215,$AB218+1+$Z218+$AA218+$AO218)</f>
        <v>100214</v>
      </c>
      <c r="AC219" t="str">
        <f>IFERROR(MATCH(215,$AB$5:$AB$404,1),"")</f>
        <v/>
      </c>
      <c r="AD219" t="str">
        <f>IF(215=$AI$1+1,"Z",IF($AC219="","",IF(INDEX($V$5:$V$404,$AC219)="","",IF(215&gt;INDEX($AB$5:$AB$404,$AC219)+INDEX($Z$5:$Z$404,$AC219)+INDEX($AA$5:$AA$404,$AC219)+INDEX($AO$5:$AO$404,$AC219),"",IF(215=INDEX($AB$5:$AB$404,$AC219)+INDEX($Z$5:$Z$404,$AC219),"D",IF(AND(INDEX($Z$5:$Z$404,$AC219)=1,215=INDEX($AB$5:$AB$404,$AC219)),"H",IF(AND(INDEX($AO$5:$AO$404,$AC219)=1,215=INDEX($AB$5:$AB$404,$AC219)+INDEX($Z$5:$Z$404,$AC219)+INDEX($AA$5:$AA$404,$AC219)+INDEX($AO$5:$AO$404,$AC219)),"B","T")))))))</f>
        <v/>
      </c>
      <c r="AF219" t="str">
        <f t="shared" si="102"/>
        <v/>
      </c>
      <c r="AJ219">
        <f>IF($AD219&lt;&gt;"T",0,ROUND(SUMIF(oil!$B$4:$B$63,$AF219,oil!$AE$4:$AE$63),2))</f>
        <v>0</v>
      </c>
      <c r="AK219" t="str">
        <f>IF($S219="","",IFERROR(INDEX(อัตราค่าขนส่ง!$R$5:$R$54,MATCH($S219,อัตราค่าขนส่ง!$Q$5:$Q$54,0)),INDEX(รายการมาตรฐาน!$G$2:$G$3,1)))</f>
        <v/>
      </c>
      <c r="AL219" t="str">
        <f>IF($S219="","",IFERROR(MATCH($AK219,รายการมาตรฐาน!$G$2:$G$3,0),1))</f>
        <v/>
      </c>
      <c r="AM219" t="str">
        <f t="shared" si="103"/>
        <v/>
      </c>
      <c r="AN219" t="str">
        <f t="shared" si="104"/>
        <v/>
      </c>
      <c r="AO219">
        <f t="shared" si="105"/>
        <v>0</v>
      </c>
      <c r="AP219">
        <f t="shared" si="111"/>
        <v>0</v>
      </c>
      <c r="AQ219" t="str">
        <f t="shared" si="106"/>
        <v/>
      </c>
      <c r="AR219">
        <f>IF($Y219="",0,COUNTIF(บันทึกรายเที่ยว!$V$6:$V$10005,$Y219))</f>
        <v>0</v>
      </c>
      <c r="AS219">
        <f>IF($Y219="",0,ROUND(SUMIF(บันทึกรายเที่ยว!$V$6:$V$10005,$Y219,บันทึกรายเที่ยว!$M$6:$M$10005),2))</f>
        <v>0</v>
      </c>
      <c r="AT219">
        <f>IF($Y219="",0,IFERROR(INDEX(อัตราค่าขนส่ง!$J$5:$J$204,MATCH($Y219,อัตราค่าขนส่ง!$O$5:$O$204,0)),0))</f>
        <v>0</v>
      </c>
      <c r="AU219">
        <f t="shared" si="107"/>
        <v>0</v>
      </c>
      <c r="AV219">
        <f t="shared" si="108"/>
        <v>0</v>
      </c>
      <c r="AW219" t="str">
        <f>IF($Y219="","",IFERROR(INDEX(อัตราค่าขนส่ง!$F$5:$F$204,MATCH($Y219,อัตราค่าขนส่ง!$O$5:$O$204,0)),""))</f>
        <v/>
      </c>
      <c r="AX219" t="str">
        <f>IF($W219="","",INDEX(บันทึกรายเที่ยว!$D$6:$D$10005,$W219))</f>
        <v/>
      </c>
      <c r="AY219" t="str">
        <f>IF($W219="","",INDEX(บันทึกรายเที่ยว!$R$6:$R$10005,$W219))</f>
        <v/>
      </c>
      <c r="AZ219">
        <f t="shared" si="109"/>
        <v>0</v>
      </c>
      <c r="BA219" t="str">
        <f>IF($W219="","",INDEX(บันทึกรายเที่ยว!$E$6:$E$10005,$W219))</f>
        <v/>
      </c>
      <c r="BC219">
        <f>IF($Y219="",0,IFERROR(INDEX(อัตราค่าขนส่ง!$M$5:$M$204,MATCH($Y219,อัตราค่าขนส่ง!$O$5:$O$204,0)),0))</f>
        <v>0</v>
      </c>
      <c r="BD219">
        <f>IF($Y219="",0,IFERROR(INDEX(อัตราค่าขนส่ง!$N$5:$N$204,MATCH($Y219,อัตราค่าขนส่ง!$O$5:$O$204,0)),0))</f>
        <v>0</v>
      </c>
    </row>
    <row r="220" spans="1:56" ht="21" customHeight="1" x14ac:dyDescent="0.95">
      <c r="A220" s="36" t="str">
        <f>IF($AD220="","",IF($AD220="Z","รวมจ่ายทั้งสิ้น",IF($AD220="H",INDEX($X$5:$X$404,$AC220),IF($AD220="T","รวม",IF($AD220="B",IFERROR(INDEX(อัตราค่าขนส่ง!$U$5:$U$14,MATCH(INDEX($AM$5:$AM$404,$AC220),อัตราค่าขนส่ง!$T$5:$T$14,0)),"รวมกลุ่ม "&amp;INDEX($AM$5:$AM$404,$AC220)),INDEX($AY$5:$AY$404,$AC220))))))</f>
        <v/>
      </c>
      <c r="B220" s="31" t="str">
        <f t="shared" si="84"/>
        <v/>
      </c>
      <c r="C220" s="8" t="str">
        <f t="shared" si="85"/>
        <v/>
      </c>
      <c r="D220" s="37" t="str">
        <f t="shared" si="86"/>
        <v/>
      </c>
      <c r="E220" s="31" t="str">
        <f t="shared" si="87"/>
        <v/>
      </c>
      <c r="F220" s="32" t="str">
        <f t="shared" si="88"/>
        <v/>
      </c>
      <c r="G220" s="32" t="str">
        <f t="shared" si="89"/>
        <v/>
      </c>
      <c r="H220" s="32" t="str">
        <f t="shared" si="90"/>
        <v/>
      </c>
      <c r="I220" s="32" t="str">
        <f t="shared" si="91"/>
        <v/>
      </c>
      <c r="J220" s="46" t="str">
        <f t="shared" si="92"/>
        <v/>
      </c>
      <c r="K220" s="32" t="str">
        <f t="shared" si="93"/>
        <v/>
      </c>
      <c r="L220" s="32" t="str">
        <f t="shared" si="94"/>
        <v/>
      </c>
      <c r="M220" s="32" t="str">
        <f t="shared" si="95"/>
        <v/>
      </c>
      <c r="N220" s="32" t="str">
        <f t="shared" si="96"/>
        <v/>
      </c>
      <c r="O220" s="32" t="str">
        <f t="shared" si="97"/>
        <v/>
      </c>
      <c r="Q220" t="str">
        <f>IFERROR(MATCH(216,บันทึกรายเที่ยว!$Z$6:$Z$10005,0),"")</f>
        <v/>
      </c>
      <c r="R220" t="str">
        <f>IF($Q220="","",INDEX(บันทึกรายเที่ยว!$V$6:$V$10005,$Q220))</f>
        <v/>
      </c>
      <c r="S220" t="str">
        <f>IF($Q220="","",INDEX(บันทึกรายเที่ยว!$F$6:$F$10005,$Q220))</f>
        <v/>
      </c>
      <c r="T220" t="str">
        <f>IF($Q220="","",MATCH($S220,บันทึกรายเที่ยว!$F$6:$F$10005,0))</f>
        <v/>
      </c>
      <c r="U220" t="str">
        <f>IF($Q220="","",$AL220*10000000+$T220*1000+216)</f>
        <v/>
      </c>
      <c r="V220" t="str">
        <f>IFERROR(MATCH(SMALL($U$5:$U$404,216),$U$5:$U$404,0),"")</f>
        <v/>
      </c>
      <c r="W220" t="str">
        <f t="shared" si="98"/>
        <v/>
      </c>
      <c r="X220" t="str">
        <f t="shared" si="99"/>
        <v/>
      </c>
      <c r="Y220" t="str">
        <f t="shared" si="100"/>
        <v/>
      </c>
      <c r="Z220">
        <f t="shared" si="110"/>
        <v>0</v>
      </c>
      <c r="AA220">
        <f t="shared" si="101"/>
        <v>0</v>
      </c>
      <c r="AB220">
        <f>IF($V220="",99999+216,$AB219+1+$Z219+$AA219+$AO219)</f>
        <v>100215</v>
      </c>
      <c r="AC220" t="str">
        <f>IFERROR(MATCH(216,$AB$5:$AB$404,1),"")</f>
        <v/>
      </c>
      <c r="AD220" t="str">
        <f>IF(216=$AI$1+1,"Z",IF($AC220="","",IF(INDEX($V$5:$V$404,$AC220)="","",IF(216&gt;INDEX($AB$5:$AB$404,$AC220)+INDEX($Z$5:$Z$404,$AC220)+INDEX($AA$5:$AA$404,$AC220)+INDEX($AO$5:$AO$404,$AC220),"",IF(216=INDEX($AB$5:$AB$404,$AC220)+INDEX($Z$5:$Z$404,$AC220),"D",IF(AND(INDEX($Z$5:$Z$404,$AC220)=1,216=INDEX($AB$5:$AB$404,$AC220)),"H",IF(AND(INDEX($AO$5:$AO$404,$AC220)=1,216=INDEX($AB$5:$AB$404,$AC220)+INDEX($Z$5:$Z$404,$AC220)+INDEX($AA$5:$AA$404,$AC220)+INDEX($AO$5:$AO$404,$AC220)),"B","T")))))))</f>
        <v/>
      </c>
      <c r="AF220" t="str">
        <f t="shared" si="102"/>
        <v/>
      </c>
      <c r="AJ220">
        <f>IF($AD220&lt;&gt;"T",0,ROUND(SUMIF(oil!$B$4:$B$63,$AF220,oil!$AE$4:$AE$63),2))</f>
        <v>0</v>
      </c>
      <c r="AK220" t="str">
        <f>IF($S220="","",IFERROR(INDEX(อัตราค่าขนส่ง!$R$5:$R$54,MATCH($S220,อัตราค่าขนส่ง!$Q$5:$Q$54,0)),INDEX(รายการมาตรฐาน!$G$2:$G$3,1)))</f>
        <v/>
      </c>
      <c r="AL220" t="str">
        <f>IF($S220="","",IFERROR(MATCH($AK220,รายการมาตรฐาน!$G$2:$G$3,0),1))</f>
        <v/>
      </c>
      <c r="AM220" t="str">
        <f t="shared" si="103"/>
        <v/>
      </c>
      <c r="AN220" t="str">
        <f t="shared" si="104"/>
        <v/>
      </c>
      <c r="AO220">
        <f t="shared" si="105"/>
        <v>0</v>
      </c>
      <c r="AP220">
        <f t="shared" si="111"/>
        <v>0</v>
      </c>
      <c r="AQ220" t="str">
        <f t="shared" si="106"/>
        <v/>
      </c>
      <c r="AR220">
        <f>IF($Y220="",0,COUNTIF(บันทึกรายเที่ยว!$V$6:$V$10005,$Y220))</f>
        <v>0</v>
      </c>
      <c r="AS220">
        <f>IF($Y220="",0,ROUND(SUMIF(บันทึกรายเที่ยว!$V$6:$V$10005,$Y220,บันทึกรายเที่ยว!$M$6:$M$10005),2))</f>
        <v>0</v>
      </c>
      <c r="AT220">
        <f>IF($Y220="",0,IFERROR(INDEX(อัตราค่าขนส่ง!$J$5:$J$204,MATCH($Y220,อัตราค่าขนส่ง!$O$5:$O$204,0)),0))</f>
        <v>0</v>
      </c>
      <c r="AU220">
        <f t="shared" si="107"/>
        <v>0</v>
      </c>
      <c r="AV220">
        <f t="shared" si="108"/>
        <v>0</v>
      </c>
      <c r="AW220" t="str">
        <f>IF($Y220="","",IFERROR(INDEX(อัตราค่าขนส่ง!$F$5:$F$204,MATCH($Y220,อัตราค่าขนส่ง!$O$5:$O$204,0)),""))</f>
        <v/>
      </c>
      <c r="AX220" t="str">
        <f>IF($W220="","",INDEX(บันทึกรายเที่ยว!$D$6:$D$10005,$W220))</f>
        <v/>
      </c>
      <c r="AY220" t="str">
        <f>IF($W220="","",INDEX(บันทึกรายเที่ยว!$R$6:$R$10005,$W220))</f>
        <v/>
      </c>
      <c r="AZ220">
        <f t="shared" si="109"/>
        <v>0</v>
      </c>
      <c r="BA220" t="str">
        <f>IF($W220="","",INDEX(บันทึกรายเที่ยว!$E$6:$E$10005,$W220))</f>
        <v/>
      </c>
      <c r="BC220">
        <f>IF($Y220="",0,IFERROR(INDEX(อัตราค่าขนส่ง!$M$5:$M$204,MATCH($Y220,อัตราค่าขนส่ง!$O$5:$O$204,0)),0))</f>
        <v>0</v>
      </c>
      <c r="BD220">
        <f>IF($Y220="",0,IFERROR(INDEX(อัตราค่าขนส่ง!$N$5:$N$204,MATCH($Y220,อัตราค่าขนส่ง!$O$5:$O$204,0)),0))</f>
        <v>0</v>
      </c>
    </row>
    <row r="221" spans="1:56" ht="21" customHeight="1" x14ac:dyDescent="0.95">
      <c r="A221" s="36" t="str">
        <f>IF($AD221="","",IF($AD221="Z","รวมจ่ายทั้งสิ้น",IF($AD221="H",INDEX($X$5:$X$404,$AC221),IF($AD221="T","รวม",IF($AD221="B",IFERROR(INDEX(อัตราค่าขนส่ง!$U$5:$U$14,MATCH(INDEX($AM$5:$AM$404,$AC221),อัตราค่าขนส่ง!$T$5:$T$14,0)),"รวมกลุ่ม "&amp;INDEX($AM$5:$AM$404,$AC221)),INDEX($AY$5:$AY$404,$AC221))))))</f>
        <v/>
      </c>
      <c r="B221" s="31" t="str">
        <f t="shared" si="84"/>
        <v/>
      </c>
      <c r="C221" s="8" t="str">
        <f t="shared" si="85"/>
        <v/>
      </c>
      <c r="D221" s="37" t="str">
        <f t="shared" si="86"/>
        <v/>
      </c>
      <c r="E221" s="31" t="str">
        <f t="shared" si="87"/>
        <v/>
      </c>
      <c r="F221" s="32" t="str">
        <f t="shared" si="88"/>
        <v/>
      </c>
      <c r="G221" s="32" t="str">
        <f t="shared" si="89"/>
        <v/>
      </c>
      <c r="H221" s="32" t="str">
        <f t="shared" si="90"/>
        <v/>
      </c>
      <c r="I221" s="32" t="str">
        <f t="shared" si="91"/>
        <v/>
      </c>
      <c r="J221" s="46" t="str">
        <f t="shared" si="92"/>
        <v/>
      </c>
      <c r="K221" s="32" t="str">
        <f t="shared" si="93"/>
        <v/>
      </c>
      <c r="L221" s="32" t="str">
        <f t="shared" si="94"/>
        <v/>
      </c>
      <c r="M221" s="32" t="str">
        <f t="shared" si="95"/>
        <v/>
      </c>
      <c r="N221" s="32" t="str">
        <f t="shared" si="96"/>
        <v/>
      </c>
      <c r="O221" s="32" t="str">
        <f t="shared" si="97"/>
        <v/>
      </c>
      <c r="Q221" t="str">
        <f>IFERROR(MATCH(217,บันทึกรายเที่ยว!$Z$6:$Z$10005,0),"")</f>
        <v/>
      </c>
      <c r="R221" t="str">
        <f>IF($Q221="","",INDEX(บันทึกรายเที่ยว!$V$6:$V$10005,$Q221))</f>
        <v/>
      </c>
      <c r="S221" t="str">
        <f>IF($Q221="","",INDEX(บันทึกรายเที่ยว!$F$6:$F$10005,$Q221))</f>
        <v/>
      </c>
      <c r="T221" t="str">
        <f>IF($Q221="","",MATCH($S221,บันทึกรายเที่ยว!$F$6:$F$10005,0))</f>
        <v/>
      </c>
      <c r="U221" t="str">
        <f>IF($Q221="","",$AL221*10000000+$T221*1000+217)</f>
        <v/>
      </c>
      <c r="V221" t="str">
        <f>IFERROR(MATCH(SMALL($U$5:$U$404,217),$U$5:$U$404,0),"")</f>
        <v/>
      </c>
      <c r="W221" t="str">
        <f t="shared" si="98"/>
        <v/>
      </c>
      <c r="X221" t="str">
        <f t="shared" si="99"/>
        <v/>
      </c>
      <c r="Y221" t="str">
        <f t="shared" si="100"/>
        <v/>
      </c>
      <c r="Z221">
        <f t="shared" si="110"/>
        <v>0</v>
      </c>
      <c r="AA221">
        <f t="shared" si="101"/>
        <v>0</v>
      </c>
      <c r="AB221">
        <f>IF($V221="",99999+217,$AB220+1+$Z220+$AA220+$AO220)</f>
        <v>100216</v>
      </c>
      <c r="AC221" t="str">
        <f>IFERROR(MATCH(217,$AB$5:$AB$404,1),"")</f>
        <v/>
      </c>
      <c r="AD221" t="str">
        <f>IF(217=$AI$1+1,"Z",IF($AC221="","",IF(INDEX($V$5:$V$404,$AC221)="","",IF(217&gt;INDEX($AB$5:$AB$404,$AC221)+INDEX($Z$5:$Z$404,$AC221)+INDEX($AA$5:$AA$404,$AC221)+INDEX($AO$5:$AO$404,$AC221),"",IF(217=INDEX($AB$5:$AB$404,$AC221)+INDEX($Z$5:$Z$404,$AC221),"D",IF(AND(INDEX($Z$5:$Z$404,$AC221)=1,217=INDEX($AB$5:$AB$404,$AC221)),"H",IF(AND(INDEX($AO$5:$AO$404,$AC221)=1,217=INDEX($AB$5:$AB$404,$AC221)+INDEX($Z$5:$Z$404,$AC221)+INDEX($AA$5:$AA$404,$AC221)+INDEX($AO$5:$AO$404,$AC221)),"B","T")))))))</f>
        <v/>
      </c>
      <c r="AF221" t="str">
        <f t="shared" si="102"/>
        <v/>
      </c>
      <c r="AJ221">
        <f>IF($AD221&lt;&gt;"T",0,ROUND(SUMIF(oil!$B$4:$B$63,$AF221,oil!$AE$4:$AE$63),2))</f>
        <v>0</v>
      </c>
      <c r="AK221" t="str">
        <f>IF($S221="","",IFERROR(INDEX(อัตราค่าขนส่ง!$R$5:$R$54,MATCH($S221,อัตราค่าขนส่ง!$Q$5:$Q$54,0)),INDEX(รายการมาตรฐาน!$G$2:$G$3,1)))</f>
        <v/>
      </c>
      <c r="AL221" t="str">
        <f>IF($S221="","",IFERROR(MATCH($AK221,รายการมาตรฐาน!$G$2:$G$3,0),1))</f>
        <v/>
      </c>
      <c r="AM221" t="str">
        <f t="shared" si="103"/>
        <v/>
      </c>
      <c r="AN221" t="str">
        <f t="shared" si="104"/>
        <v/>
      </c>
      <c r="AO221">
        <f t="shared" si="105"/>
        <v>0</v>
      </c>
      <c r="AP221">
        <f t="shared" si="111"/>
        <v>0</v>
      </c>
      <c r="AQ221" t="str">
        <f t="shared" si="106"/>
        <v/>
      </c>
      <c r="AR221">
        <f>IF($Y221="",0,COUNTIF(บันทึกรายเที่ยว!$V$6:$V$10005,$Y221))</f>
        <v>0</v>
      </c>
      <c r="AS221">
        <f>IF($Y221="",0,ROUND(SUMIF(บันทึกรายเที่ยว!$V$6:$V$10005,$Y221,บันทึกรายเที่ยว!$M$6:$M$10005),2))</f>
        <v>0</v>
      </c>
      <c r="AT221">
        <f>IF($Y221="",0,IFERROR(INDEX(อัตราค่าขนส่ง!$J$5:$J$204,MATCH($Y221,อัตราค่าขนส่ง!$O$5:$O$204,0)),0))</f>
        <v>0</v>
      </c>
      <c r="AU221">
        <f t="shared" si="107"/>
        <v>0</v>
      </c>
      <c r="AV221">
        <f t="shared" si="108"/>
        <v>0</v>
      </c>
      <c r="AW221" t="str">
        <f>IF($Y221="","",IFERROR(INDEX(อัตราค่าขนส่ง!$F$5:$F$204,MATCH($Y221,อัตราค่าขนส่ง!$O$5:$O$204,0)),""))</f>
        <v/>
      </c>
      <c r="AX221" t="str">
        <f>IF($W221="","",INDEX(บันทึกรายเที่ยว!$D$6:$D$10005,$W221))</f>
        <v/>
      </c>
      <c r="AY221" t="str">
        <f>IF($W221="","",INDEX(บันทึกรายเที่ยว!$R$6:$R$10005,$W221))</f>
        <v/>
      </c>
      <c r="AZ221">
        <f t="shared" si="109"/>
        <v>0</v>
      </c>
      <c r="BA221" t="str">
        <f>IF($W221="","",INDEX(บันทึกรายเที่ยว!$E$6:$E$10005,$W221))</f>
        <v/>
      </c>
      <c r="BC221">
        <f>IF($Y221="",0,IFERROR(INDEX(อัตราค่าขนส่ง!$M$5:$M$204,MATCH($Y221,อัตราค่าขนส่ง!$O$5:$O$204,0)),0))</f>
        <v>0</v>
      </c>
      <c r="BD221">
        <f>IF($Y221="",0,IFERROR(INDEX(อัตราค่าขนส่ง!$N$5:$N$204,MATCH($Y221,อัตราค่าขนส่ง!$O$5:$O$204,0)),0))</f>
        <v>0</v>
      </c>
    </row>
    <row r="222" spans="1:56" ht="21" customHeight="1" x14ac:dyDescent="0.95">
      <c r="A222" s="36" t="str">
        <f>IF($AD222="","",IF($AD222="Z","รวมจ่ายทั้งสิ้น",IF($AD222="H",INDEX($X$5:$X$404,$AC222),IF($AD222="T","รวม",IF($AD222="B",IFERROR(INDEX(อัตราค่าขนส่ง!$U$5:$U$14,MATCH(INDEX($AM$5:$AM$404,$AC222),อัตราค่าขนส่ง!$T$5:$T$14,0)),"รวมกลุ่ม "&amp;INDEX($AM$5:$AM$404,$AC222)),INDEX($AY$5:$AY$404,$AC222))))))</f>
        <v/>
      </c>
      <c r="B222" s="31" t="str">
        <f t="shared" si="84"/>
        <v/>
      </c>
      <c r="C222" s="8" t="str">
        <f t="shared" si="85"/>
        <v/>
      </c>
      <c r="D222" s="37" t="str">
        <f t="shared" si="86"/>
        <v/>
      </c>
      <c r="E222" s="31" t="str">
        <f t="shared" si="87"/>
        <v/>
      </c>
      <c r="F222" s="32" t="str">
        <f t="shared" si="88"/>
        <v/>
      </c>
      <c r="G222" s="32" t="str">
        <f t="shared" si="89"/>
        <v/>
      </c>
      <c r="H222" s="32" t="str">
        <f t="shared" si="90"/>
        <v/>
      </c>
      <c r="I222" s="32" t="str">
        <f t="shared" si="91"/>
        <v/>
      </c>
      <c r="J222" s="46" t="str">
        <f t="shared" si="92"/>
        <v/>
      </c>
      <c r="K222" s="32" t="str">
        <f t="shared" si="93"/>
        <v/>
      </c>
      <c r="L222" s="32" t="str">
        <f t="shared" si="94"/>
        <v/>
      </c>
      <c r="M222" s="32" t="str">
        <f t="shared" si="95"/>
        <v/>
      </c>
      <c r="N222" s="32" t="str">
        <f t="shared" si="96"/>
        <v/>
      </c>
      <c r="O222" s="32" t="str">
        <f t="shared" si="97"/>
        <v/>
      </c>
      <c r="Q222" t="str">
        <f>IFERROR(MATCH(218,บันทึกรายเที่ยว!$Z$6:$Z$10005,0),"")</f>
        <v/>
      </c>
      <c r="R222" t="str">
        <f>IF($Q222="","",INDEX(บันทึกรายเที่ยว!$V$6:$V$10005,$Q222))</f>
        <v/>
      </c>
      <c r="S222" t="str">
        <f>IF($Q222="","",INDEX(บันทึกรายเที่ยว!$F$6:$F$10005,$Q222))</f>
        <v/>
      </c>
      <c r="T222" t="str">
        <f>IF($Q222="","",MATCH($S222,บันทึกรายเที่ยว!$F$6:$F$10005,0))</f>
        <v/>
      </c>
      <c r="U222" t="str">
        <f>IF($Q222="","",$AL222*10000000+$T222*1000+218)</f>
        <v/>
      </c>
      <c r="V222" t="str">
        <f>IFERROR(MATCH(SMALL($U$5:$U$404,218),$U$5:$U$404,0),"")</f>
        <v/>
      </c>
      <c r="W222" t="str">
        <f t="shared" si="98"/>
        <v/>
      </c>
      <c r="X222" t="str">
        <f t="shared" si="99"/>
        <v/>
      </c>
      <c r="Y222" t="str">
        <f t="shared" si="100"/>
        <v/>
      </c>
      <c r="Z222">
        <f t="shared" si="110"/>
        <v>0</v>
      </c>
      <c r="AA222">
        <f t="shared" si="101"/>
        <v>0</v>
      </c>
      <c r="AB222">
        <f>IF($V222="",99999+218,$AB221+1+$Z221+$AA221+$AO221)</f>
        <v>100217</v>
      </c>
      <c r="AC222" t="str">
        <f>IFERROR(MATCH(218,$AB$5:$AB$404,1),"")</f>
        <v/>
      </c>
      <c r="AD222" t="str">
        <f>IF(218=$AI$1+1,"Z",IF($AC222="","",IF(INDEX($V$5:$V$404,$AC222)="","",IF(218&gt;INDEX($AB$5:$AB$404,$AC222)+INDEX($Z$5:$Z$404,$AC222)+INDEX($AA$5:$AA$404,$AC222)+INDEX($AO$5:$AO$404,$AC222),"",IF(218=INDEX($AB$5:$AB$404,$AC222)+INDEX($Z$5:$Z$404,$AC222),"D",IF(AND(INDEX($Z$5:$Z$404,$AC222)=1,218=INDEX($AB$5:$AB$404,$AC222)),"H",IF(AND(INDEX($AO$5:$AO$404,$AC222)=1,218=INDEX($AB$5:$AB$404,$AC222)+INDEX($Z$5:$Z$404,$AC222)+INDEX($AA$5:$AA$404,$AC222)+INDEX($AO$5:$AO$404,$AC222)),"B","T")))))))</f>
        <v/>
      </c>
      <c r="AF222" t="str">
        <f t="shared" si="102"/>
        <v/>
      </c>
      <c r="AJ222">
        <f>IF($AD222&lt;&gt;"T",0,ROUND(SUMIF(oil!$B$4:$B$63,$AF222,oil!$AE$4:$AE$63),2))</f>
        <v>0</v>
      </c>
      <c r="AK222" t="str">
        <f>IF($S222="","",IFERROR(INDEX(อัตราค่าขนส่ง!$R$5:$R$54,MATCH($S222,อัตราค่าขนส่ง!$Q$5:$Q$54,0)),INDEX(รายการมาตรฐาน!$G$2:$G$3,1)))</f>
        <v/>
      </c>
      <c r="AL222" t="str">
        <f>IF($S222="","",IFERROR(MATCH($AK222,รายการมาตรฐาน!$G$2:$G$3,0),1))</f>
        <v/>
      </c>
      <c r="AM222" t="str">
        <f t="shared" si="103"/>
        <v/>
      </c>
      <c r="AN222" t="str">
        <f t="shared" si="104"/>
        <v/>
      </c>
      <c r="AO222">
        <f t="shared" si="105"/>
        <v>0</v>
      </c>
      <c r="AP222">
        <f t="shared" si="111"/>
        <v>0</v>
      </c>
      <c r="AQ222" t="str">
        <f t="shared" si="106"/>
        <v/>
      </c>
      <c r="AR222">
        <f>IF($Y222="",0,COUNTIF(บันทึกรายเที่ยว!$V$6:$V$10005,$Y222))</f>
        <v>0</v>
      </c>
      <c r="AS222">
        <f>IF($Y222="",0,ROUND(SUMIF(บันทึกรายเที่ยว!$V$6:$V$10005,$Y222,บันทึกรายเที่ยว!$M$6:$M$10005),2))</f>
        <v>0</v>
      </c>
      <c r="AT222">
        <f>IF($Y222="",0,IFERROR(INDEX(อัตราค่าขนส่ง!$J$5:$J$204,MATCH($Y222,อัตราค่าขนส่ง!$O$5:$O$204,0)),0))</f>
        <v>0</v>
      </c>
      <c r="AU222">
        <f t="shared" si="107"/>
        <v>0</v>
      </c>
      <c r="AV222">
        <f t="shared" si="108"/>
        <v>0</v>
      </c>
      <c r="AW222" t="str">
        <f>IF($Y222="","",IFERROR(INDEX(อัตราค่าขนส่ง!$F$5:$F$204,MATCH($Y222,อัตราค่าขนส่ง!$O$5:$O$204,0)),""))</f>
        <v/>
      </c>
      <c r="AX222" t="str">
        <f>IF($W222="","",INDEX(บันทึกรายเที่ยว!$D$6:$D$10005,$W222))</f>
        <v/>
      </c>
      <c r="AY222" t="str">
        <f>IF($W222="","",INDEX(บันทึกรายเที่ยว!$R$6:$R$10005,$W222))</f>
        <v/>
      </c>
      <c r="AZ222">
        <f t="shared" si="109"/>
        <v>0</v>
      </c>
      <c r="BA222" t="str">
        <f>IF($W222="","",INDEX(บันทึกรายเที่ยว!$E$6:$E$10005,$W222))</f>
        <v/>
      </c>
      <c r="BC222">
        <f>IF($Y222="",0,IFERROR(INDEX(อัตราค่าขนส่ง!$M$5:$M$204,MATCH($Y222,อัตราค่าขนส่ง!$O$5:$O$204,0)),0))</f>
        <v>0</v>
      </c>
      <c r="BD222">
        <f>IF($Y222="",0,IFERROR(INDEX(อัตราค่าขนส่ง!$N$5:$N$204,MATCH($Y222,อัตราค่าขนส่ง!$O$5:$O$204,0)),0))</f>
        <v>0</v>
      </c>
    </row>
    <row r="223" spans="1:56" ht="21" customHeight="1" x14ac:dyDescent="0.95">
      <c r="A223" s="36" t="str">
        <f>IF($AD223="","",IF($AD223="Z","รวมจ่ายทั้งสิ้น",IF($AD223="H",INDEX($X$5:$X$404,$AC223),IF($AD223="T","รวม",IF($AD223="B",IFERROR(INDEX(อัตราค่าขนส่ง!$U$5:$U$14,MATCH(INDEX($AM$5:$AM$404,$AC223),อัตราค่าขนส่ง!$T$5:$T$14,0)),"รวมกลุ่ม "&amp;INDEX($AM$5:$AM$404,$AC223)),INDEX($AY$5:$AY$404,$AC223))))))</f>
        <v/>
      </c>
      <c r="B223" s="31" t="str">
        <f t="shared" si="84"/>
        <v/>
      </c>
      <c r="C223" s="8" t="str">
        <f t="shared" si="85"/>
        <v/>
      </c>
      <c r="D223" s="37" t="str">
        <f t="shared" si="86"/>
        <v/>
      </c>
      <c r="E223" s="31" t="str">
        <f t="shared" si="87"/>
        <v/>
      </c>
      <c r="F223" s="32" t="str">
        <f t="shared" si="88"/>
        <v/>
      </c>
      <c r="G223" s="32" t="str">
        <f t="shared" si="89"/>
        <v/>
      </c>
      <c r="H223" s="32" t="str">
        <f t="shared" si="90"/>
        <v/>
      </c>
      <c r="I223" s="32" t="str">
        <f t="shared" si="91"/>
        <v/>
      </c>
      <c r="J223" s="46" t="str">
        <f t="shared" si="92"/>
        <v/>
      </c>
      <c r="K223" s="32" t="str">
        <f t="shared" si="93"/>
        <v/>
      </c>
      <c r="L223" s="32" t="str">
        <f t="shared" si="94"/>
        <v/>
      </c>
      <c r="M223" s="32" t="str">
        <f t="shared" si="95"/>
        <v/>
      </c>
      <c r="N223" s="32" t="str">
        <f t="shared" si="96"/>
        <v/>
      </c>
      <c r="O223" s="32" t="str">
        <f t="shared" si="97"/>
        <v/>
      </c>
      <c r="Q223" t="str">
        <f>IFERROR(MATCH(219,บันทึกรายเที่ยว!$Z$6:$Z$10005,0),"")</f>
        <v/>
      </c>
      <c r="R223" t="str">
        <f>IF($Q223="","",INDEX(บันทึกรายเที่ยว!$V$6:$V$10005,$Q223))</f>
        <v/>
      </c>
      <c r="S223" t="str">
        <f>IF($Q223="","",INDEX(บันทึกรายเที่ยว!$F$6:$F$10005,$Q223))</f>
        <v/>
      </c>
      <c r="T223" t="str">
        <f>IF($Q223="","",MATCH($S223,บันทึกรายเที่ยว!$F$6:$F$10005,0))</f>
        <v/>
      </c>
      <c r="U223" t="str">
        <f>IF($Q223="","",$AL223*10000000+$T223*1000+219)</f>
        <v/>
      </c>
      <c r="V223" t="str">
        <f>IFERROR(MATCH(SMALL($U$5:$U$404,219),$U$5:$U$404,0),"")</f>
        <v/>
      </c>
      <c r="W223" t="str">
        <f t="shared" si="98"/>
        <v/>
      </c>
      <c r="X223" t="str">
        <f t="shared" si="99"/>
        <v/>
      </c>
      <c r="Y223" t="str">
        <f t="shared" si="100"/>
        <v/>
      </c>
      <c r="Z223">
        <f t="shared" si="110"/>
        <v>0</v>
      </c>
      <c r="AA223">
        <f t="shared" si="101"/>
        <v>0</v>
      </c>
      <c r="AB223">
        <f>IF($V223="",99999+219,$AB222+1+$Z222+$AA222+$AO222)</f>
        <v>100218</v>
      </c>
      <c r="AC223" t="str">
        <f>IFERROR(MATCH(219,$AB$5:$AB$404,1),"")</f>
        <v/>
      </c>
      <c r="AD223" t="str">
        <f>IF(219=$AI$1+1,"Z",IF($AC223="","",IF(INDEX($V$5:$V$404,$AC223)="","",IF(219&gt;INDEX($AB$5:$AB$404,$AC223)+INDEX($Z$5:$Z$404,$AC223)+INDEX($AA$5:$AA$404,$AC223)+INDEX($AO$5:$AO$404,$AC223),"",IF(219=INDEX($AB$5:$AB$404,$AC223)+INDEX($Z$5:$Z$404,$AC223),"D",IF(AND(INDEX($Z$5:$Z$404,$AC223)=1,219=INDEX($AB$5:$AB$404,$AC223)),"H",IF(AND(INDEX($AO$5:$AO$404,$AC223)=1,219=INDEX($AB$5:$AB$404,$AC223)+INDEX($Z$5:$Z$404,$AC223)+INDEX($AA$5:$AA$404,$AC223)+INDEX($AO$5:$AO$404,$AC223)),"B","T")))))))</f>
        <v/>
      </c>
      <c r="AF223" t="str">
        <f t="shared" si="102"/>
        <v/>
      </c>
      <c r="AJ223">
        <f>IF($AD223&lt;&gt;"T",0,ROUND(SUMIF(oil!$B$4:$B$63,$AF223,oil!$AE$4:$AE$63),2))</f>
        <v>0</v>
      </c>
      <c r="AK223" t="str">
        <f>IF($S223="","",IFERROR(INDEX(อัตราค่าขนส่ง!$R$5:$R$54,MATCH($S223,อัตราค่าขนส่ง!$Q$5:$Q$54,0)),INDEX(รายการมาตรฐาน!$G$2:$G$3,1)))</f>
        <v/>
      </c>
      <c r="AL223" t="str">
        <f>IF($S223="","",IFERROR(MATCH($AK223,รายการมาตรฐาน!$G$2:$G$3,0),1))</f>
        <v/>
      </c>
      <c r="AM223" t="str">
        <f t="shared" si="103"/>
        <v/>
      </c>
      <c r="AN223" t="str">
        <f t="shared" si="104"/>
        <v/>
      </c>
      <c r="AO223">
        <f t="shared" si="105"/>
        <v>0</v>
      </c>
      <c r="AP223">
        <f t="shared" si="111"/>
        <v>0</v>
      </c>
      <c r="AQ223" t="str">
        <f t="shared" si="106"/>
        <v/>
      </c>
      <c r="AR223">
        <f>IF($Y223="",0,COUNTIF(บันทึกรายเที่ยว!$V$6:$V$10005,$Y223))</f>
        <v>0</v>
      </c>
      <c r="AS223">
        <f>IF($Y223="",0,ROUND(SUMIF(บันทึกรายเที่ยว!$V$6:$V$10005,$Y223,บันทึกรายเที่ยว!$M$6:$M$10005),2))</f>
        <v>0</v>
      </c>
      <c r="AT223">
        <f>IF($Y223="",0,IFERROR(INDEX(อัตราค่าขนส่ง!$J$5:$J$204,MATCH($Y223,อัตราค่าขนส่ง!$O$5:$O$204,0)),0))</f>
        <v>0</v>
      </c>
      <c r="AU223">
        <f t="shared" si="107"/>
        <v>0</v>
      </c>
      <c r="AV223">
        <f t="shared" si="108"/>
        <v>0</v>
      </c>
      <c r="AW223" t="str">
        <f>IF($Y223="","",IFERROR(INDEX(อัตราค่าขนส่ง!$F$5:$F$204,MATCH($Y223,อัตราค่าขนส่ง!$O$5:$O$204,0)),""))</f>
        <v/>
      </c>
      <c r="AX223" t="str">
        <f>IF($W223="","",INDEX(บันทึกรายเที่ยว!$D$6:$D$10005,$W223))</f>
        <v/>
      </c>
      <c r="AY223" t="str">
        <f>IF($W223="","",INDEX(บันทึกรายเที่ยว!$R$6:$R$10005,$W223))</f>
        <v/>
      </c>
      <c r="AZ223">
        <f t="shared" si="109"/>
        <v>0</v>
      </c>
      <c r="BA223" t="str">
        <f>IF($W223="","",INDEX(บันทึกรายเที่ยว!$E$6:$E$10005,$W223))</f>
        <v/>
      </c>
      <c r="BC223">
        <f>IF($Y223="",0,IFERROR(INDEX(อัตราค่าขนส่ง!$M$5:$M$204,MATCH($Y223,อัตราค่าขนส่ง!$O$5:$O$204,0)),0))</f>
        <v>0</v>
      </c>
      <c r="BD223">
        <f>IF($Y223="",0,IFERROR(INDEX(อัตราค่าขนส่ง!$N$5:$N$204,MATCH($Y223,อัตราค่าขนส่ง!$O$5:$O$204,0)),0))</f>
        <v>0</v>
      </c>
    </row>
    <row r="224" spans="1:56" ht="21" customHeight="1" x14ac:dyDescent="0.95">
      <c r="A224" s="36" t="str">
        <f>IF($AD224="","",IF($AD224="Z","รวมจ่ายทั้งสิ้น",IF($AD224="H",INDEX($X$5:$X$404,$AC224),IF($AD224="T","รวม",IF($AD224="B",IFERROR(INDEX(อัตราค่าขนส่ง!$U$5:$U$14,MATCH(INDEX($AM$5:$AM$404,$AC224),อัตราค่าขนส่ง!$T$5:$T$14,0)),"รวมกลุ่ม "&amp;INDEX($AM$5:$AM$404,$AC224)),INDEX($AY$5:$AY$404,$AC224))))))</f>
        <v/>
      </c>
      <c r="B224" s="31" t="str">
        <f t="shared" si="84"/>
        <v/>
      </c>
      <c r="C224" s="8" t="str">
        <f t="shared" si="85"/>
        <v/>
      </c>
      <c r="D224" s="37" t="str">
        <f t="shared" si="86"/>
        <v/>
      </c>
      <c r="E224" s="31" t="str">
        <f t="shared" si="87"/>
        <v/>
      </c>
      <c r="F224" s="32" t="str">
        <f t="shared" si="88"/>
        <v/>
      </c>
      <c r="G224" s="32" t="str">
        <f t="shared" si="89"/>
        <v/>
      </c>
      <c r="H224" s="32" t="str">
        <f t="shared" si="90"/>
        <v/>
      </c>
      <c r="I224" s="32" t="str">
        <f t="shared" si="91"/>
        <v/>
      </c>
      <c r="J224" s="46" t="str">
        <f t="shared" si="92"/>
        <v/>
      </c>
      <c r="K224" s="32" t="str">
        <f t="shared" si="93"/>
        <v/>
      </c>
      <c r="L224" s="32" t="str">
        <f t="shared" si="94"/>
        <v/>
      </c>
      <c r="M224" s="32" t="str">
        <f t="shared" si="95"/>
        <v/>
      </c>
      <c r="N224" s="32" t="str">
        <f t="shared" si="96"/>
        <v/>
      </c>
      <c r="O224" s="32" t="str">
        <f t="shared" si="97"/>
        <v/>
      </c>
      <c r="Q224" t="str">
        <f>IFERROR(MATCH(220,บันทึกรายเที่ยว!$Z$6:$Z$10005,0),"")</f>
        <v/>
      </c>
      <c r="R224" t="str">
        <f>IF($Q224="","",INDEX(บันทึกรายเที่ยว!$V$6:$V$10005,$Q224))</f>
        <v/>
      </c>
      <c r="S224" t="str">
        <f>IF($Q224="","",INDEX(บันทึกรายเที่ยว!$F$6:$F$10005,$Q224))</f>
        <v/>
      </c>
      <c r="T224" t="str">
        <f>IF($Q224="","",MATCH($S224,บันทึกรายเที่ยว!$F$6:$F$10005,0))</f>
        <v/>
      </c>
      <c r="U224" t="str">
        <f>IF($Q224="","",$AL224*10000000+$T224*1000+220)</f>
        <v/>
      </c>
      <c r="V224" t="str">
        <f>IFERROR(MATCH(SMALL($U$5:$U$404,220),$U$5:$U$404,0),"")</f>
        <v/>
      </c>
      <c r="W224" t="str">
        <f t="shared" si="98"/>
        <v/>
      </c>
      <c r="X224" t="str">
        <f t="shared" si="99"/>
        <v/>
      </c>
      <c r="Y224" t="str">
        <f t="shared" si="100"/>
        <v/>
      </c>
      <c r="Z224">
        <f t="shared" si="110"/>
        <v>0</v>
      </c>
      <c r="AA224">
        <f t="shared" si="101"/>
        <v>0</v>
      </c>
      <c r="AB224">
        <f>IF($V224="",99999+220,$AB223+1+$Z223+$AA223+$AO223)</f>
        <v>100219</v>
      </c>
      <c r="AC224" t="str">
        <f>IFERROR(MATCH(220,$AB$5:$AB$404,1),"")</f>
        <v/>
      </c>
      <c r="AD224" t="str">
        <f>IF(220=$AI$1+1,"Z",IF($AC224="","",IF(INDEX($V$5:$V$404,$AC224)="","",IF(220&gt;INDEX($AB$5:$AB$404,$AC224)+INDEX($Z$5:$Z$404,$AC224)+INDEX($AA$5:$AA$404,$AC224)+INDEX($AO$5:$AO$404,$AC224),"",IF(220=INDEX($AB$5:$AB$404,$AC224)+INDEX($Z$5:$Z$404,$AC224),"D",IF(AND(INDEX($Z$5:$Z$404,$AC224)=1,220=INDEX($AB$5:$AB$404,$AC224)),"H",IF(AND(INDEX($AO$5:$AO$404,$AC224)=1,220=INDEX($AB$5:$AB$404,$AC224)+INDEX($Z$5:$Z$404,$AC224)+INDEX($AA$5:$AA$404,$AC224)+INDEX($AO$5:$AO$404,$AC224)),"B","T")))))))</f>
        <v/>
      </c>
      <c r="AF224" t="str">
        <f t="shared" si="102"/>
        <v/>
      </c>
      <c r="AJ224">
        <f>IF($AD224&lt;&gt;"T",0,ROUND(SUMIF(oil!$B$4:$B$63,$AF224,oil!$AE$4:$AE$63),2))</f>
        <v>0</v>
      </c>
      <c r="AK224" t="str">
        <f>IF($S224="","",IFERROR(INDEX(อัตราค่าขนส่ง!$R$5:$R$54,MATCH($S224,อัตราค่าขนส่ง!$Q$5:$Q$54,0)),INDEX(รายการมาตรฐาน!$G$2:$G$3,1)))</f>
        <v/>
      </c>
      <c r="AL224" t="str">
        <f>IF($S224="","",IFERROR(MATCH($AK224,รายการมาตรฐาน!$G$2:$G$3,0),1))</f>
        <v/>
      </c>
      <c r="AM224" t="str">
        <f t="shared" si="103"/>
        <v/>
      </c>
      <c r="AN224" t="str">
        <f t="shared" si="104"/>
        <v/>
      </c>
      <c r="AO224">
        <f t="shared" si="105"/>
        <v>0</v>
      </c>
      <c r="AP224">
        <f t="shared" si="111"/>
        <v>0</v>
      </c>
      <c r="AQ224" t="str">
        <f t="shared" si="106"/>
        <v/>
      </c>
      <c r="AR224">
        <f>IF($Y224="",0,COUNTIF(บันทึกรายเที่ยว!$V$6:$V$10005,$Y224))</f>
        <v>0</v>
      </c>
      <c r="AS224">
        <f>IF($Y224="",0,ROUND(SUMIF(บันทึกรายเที่ยว!$V$6:$V$10005,$Y224,บันทึกรายเที่ยว!$M$6:$M$10005),2))</f>
        <v>0</v>
      </c>
      <c r="AT224">
        <f>IF($Y224="",0,IFERROR(INDEX(อัตราค่าขนส่ง!$J$5:$J$204,MATCH($Y224,อัตราค่าขนส่ง!$O$5:$O$204,0)),0))</f>
        <v>0</v>
      </c>
      <c r="AU224">
        <f t="shared" si="107"/>
        <v>0</v>
      </c>
      <c r="AV224">
        <f t="shared" si="108"/>
        <v>0</v>
      </c>
      <c r="AW224" t="str">
        <f>IF($Y224="","",IFERROR(INDEX(อัตราค่าขนส่ง!$F$5:$F$204,MATCH($Y224,อัตราค่าขนส่ง!$O$5:$O$204,0)),""))</f>
        <v/>
      </c>
      <c r="AX224" t="str">
        <f>IF($W224="","",INDEX(บันทึกรายเที่ยว!$D$6:$D$10005,$W224))</f>
        <v/>
      </c>
      <c r="AY224" t="str">
        <f>IF($W224="","",INDEX(บันทึกรายเที่ยว!$R$6:$R$10005,$W224))</f>
        <v/>
      </c>
      <c r="AZ224">
        <f t="shared" si="109"/>
        <v>0</v>
      </c>
      <c r="BA224" t="str">
        <f>IF($W224="","",INDEX(บันทึกรายเที่ยว!$E$6:$E$10005,$W224))</f>
        <v/>
      </c>
      <c r="BC224">
        <f>IF($Y224="",0,IFERROR(INDEX(อัตราค่าขนส่ง!$M$5:$M$204,MATCH($Y224,อัตราค่าขนส่ง!$O$5:$O$204,0)),0))</f>
        <v>0</v>
      </c>
      <c r="BD224">
        <f>IF($Y224="",0,IFERROR(INDEX(อัตราค่าขนส่ง!$N$5:$N$204,MATCH($Y224,อัตราค่าขนส่ง!$O$5:$O$204,0)),0))</f>
        <v>0</v>
      </c>
    </row>
    <row r="225" spans="1:56" ht="21" customHeight="1" x14ac:dyDescent="0.95">
      <c r="A225" s="36" t="str">
        <f>IF($AD225="","",IF($AD225="Z","รวมจ่ายทั้งสิ้น",IF($AD225="H",INDEX($X$5:$X$404,$AC225),IF($AD225="T","รวม",IF($AD225="B",IFERROR(INDEX(อัตราค่าขนส่ง!$U$5:$U$14,MATCH(INDEX($AM$5:$AM$404,$AC225),อัตราค่าขนส่ง!$T$5:$T$14,0)),"รวมกลุ่ม "&amp;INDEX($AM$5:$AM$404,$AC225)),INDEX($AY$5:$AY$404,$AC225))))))</f>
        <v/>
      </c>
      <c r="B225" s="31" t="str">
        <f t="shared" si="84"/>
        <v/>
      </c>
      <c r="C225" s="8" t="str">
        <f t="shared" si="85"/>
        <v/>
      </c>
      <c r="D225" s="37" t="str">
        <f t="shared" si="86"/>
        <v/>
      </c>
      <c r="E225" s="31" t="str">
        <f t="shared" si="87"/>
        <v/>
      </c>
      <c r="F225" s="32" t="str">
        <f t="shared" si="88"/>
        <v/>
      </c>
      <c r="G225" s="32" t="str">
        <f t="shared" si="89"/>
        <v/>
      </c>
      <c r="H225" s="32" t="str">
        <f t="shared" si="90"/>
        <v/>
      </c>
      <c r="I225" s="32" t="str">
        <f t="shared" si="91"/>
        <v/>
      </c>
      <c r="J225" s="46" t="str">
        <f t="shared" si="92"/>
        <v/>
      </c>
      <c r="K225" s="32" t="str">
        <f t="shared" si="93"/>
        <v/>
      </c>
      <c r="L225" s="32" t="str">
        <f t="shared" si="94"/>
        <v/>
      </c>
      <c r="M225" s="32" t="str">
        <f t="shared" si="95"/>
        <v/>
      </c>
      <c r="N225" s="32" t="str">
        <f t="shared" si="96"/>
        <v/>
      </c>
      <c r="O225" s="32" t="str">
        <f t="shared" si="97"/>
        <v/>
      </c>
      <c r="Q225" t="str">
        <f>IFERROR(MATCH(221,บันทึกรายเที่ยว!$Z$6:$Z$10005,0),"")</f>
        <v/>
      </c>
      <c r="R225" t="str">
        <f>IF($Q225="","",INDEX(บันทึกรายเที่ยว!$V$6:$V$10005,$Q225))</f>
        <v/>
      </c>
      <c r="S225" t="str">
        <f>IF($Q225="","",INDEX(บันทึกรายเที่ยว!$F$6:$F$10005,$Q225))</f>
        <v/>
      </c>
      <c r="T225" t="str">
        <f>IF($Q225="","",MATCH($S225,บันทึกรายเที่ยว!$F$6:$F$10005,0))</f>
        <v/>
      </c>
      <c r="U225" t="str">
        <f>IF($Q225="","",$AL225*10000000+$T225*1000+221)</f>
        <v/>
      </c>
      <c r="V225" t="str">
        <f>IFERROR(MATCH(SMALL($U$5:$U$404,221),$U$5:$U$404,0),"")</f>
        <v/>
      </c>
      <c r="W225" t="str">
        <f t="shared" si="98"/>
        <v/>
      </c>
      <c r="X225" t="str">
        <f t="shared" si="99"/>
        <v/>
      </c>
      <c r="Y225" t="str">
        <f t="shared" si="100"/>
        <v/>
      </c>
      <c r="Z225">
        <f t="shared" si="110"/>
        <v>0</v>
      </c>
      <c r="AA225">
        <f t="shared" si="101"/>
        <v>0</v>
      </c>
      <c r="AB225">
        <f>IF($V225="",99999+221,$AB224+1+$Z224+$AA224+$AO224)</f>
        <v>100220</v>
      </c>
      <c r="AC225" t="str">
        <f>IFERROR(MATCH(221,$AB$5:$AB$404,1),"")</f>
        <v/>
      </c>
      <c r="AD225" t="str">
        <f>IF(221=$AI$1+1,"Z",IF($AC225="","",IF(INDEX($V$5:$V$404,$AC225)="","",IF(221&gt;INDEX($AB$5:$AB$404,$AC225)+INDEX($Z$5:$Z$404,$AC225)+INDEX($AA$5:$AA$404,$AC225)+INDEX($AO$5:$AO$404,$AC225),"",IF(221=INDEX($AB$5:$AB$404,$AC225)+INDEX($Z$5:$Z$404,$AC225),"D",IF(AND(INDEX($Z$5:$Z$404,$AC225)=1,221=INDEX($AB$5:$AB$404,$AC225)),"H",IF(AND(INDEX($AO$5:$AO$404,$AC225)=1,221=INDEX($AB$5:$AB$404,$AC225)+INDEX($Z$5:$Z$404,$AC225)+INDEX($AA$5:$AA$404,$AC225)+INDEX($AO$5:$AO$404,$AC225)),"B","T")))))))</f>
        <v/>
      </c>
      <c r="AF225" t="str">
        <f t="shared" si="102"/>
        <v/>
      </c>
      <c r="AJ225">
        <f>IF($AD225&lt;&gt;"T",0,ROUND(SUMIF(oil!$B$4:$B$63,$AF225,oil!$AE$4:$AE$63),2))</f>
        <v>0</v>
      </c>
      <c r="AK225" t="str">
        <f>IF($S225="","",IFERROR(INDEX(อัตราค่าขนส่ง!$R$5:$R$54,MATCH($S225,อัตราค่าขนส่ง!$Q$5:$Q$54,0)),INDEX(รายการมาตรฐาน!$G$2:$G$3,1)))</f>
        <v/>
      </c>
      <c r="AL225" t="str">
        <f>IF($S225="","",IFERROR(MATCH($AK225,รายการมาตรฐาน!$G$2:$G$3,0),1))</f>
        <v/>
      </c>
      <c r="AM225" t="str">
        <f t="shared" si="103"/>
        <v/>
      </c>
      <c r="AN225" t="str">
        <f t="shared" si="104"/>
        <v/>
      </c>
      <c r="AO225">
        <f t="shared" si="105"/>
        <v>0</v>
      </c>
      <c r="AP225">
        <f t="shared" si="111"/>
        <v>0</v>
      </c>
      <c r="AQ225" t="str">
        <f t="shared" si="106"/>
        <v/>
      </c>
      <c r="AR225">
        <f>IF($Y225="",0,COUNTIF(บันทึกรายเที่ยว!$V$6:$V$10005,$Y225))</f>
        <v>0</v>
      </c>
      <c r="AS225">
        <f>IF($Y225="",0,ROUND(SUMIF(บันทึกรายเที่ยว!$V$6:$V$10005,$Y225,บันทึกรายเที่ยว!$M$6:$M$10005),2))</f>
        <v>0</v>
      </c>
      <c r="AT225">
        <f>IF($Y225="",0,IFERROR(INDEX(อัตราค่าขนส่ง!$J$5:$J$204,MATCH($Y225,อัตราค่าขนส่ง!$O$5:$O$204,0)),0))</f>
        <v>0</v>
      </c>
      <c r="AU225">
        <f t="shared" si="107"/>
        <v>0</v>
      </c>
      <c r="AV225">
        <f t="shared" si="108"/>
        <v>0</v>
      </c>
      <c r="AW225" t="str">
        <f>IF($Y225="","",IFERROR(INDEX(อัตราค่าขนส่ง!$F$5:$F$204,MATCH($Y225,อัตราค่าขนส่ง!$O$5:$O$204,0)),""))</f>
        <v/>
      </c>
      <c r="AX225" t="str">
        <f>IF($W225="","",INDEX(บันทึกรายเที่ยว!$D$6:$D$10005,$W225))</f>
        <v/>
      </c>
      <c r="AY225" t="str">
        <f>IF($W225="","",INDEX(บันทึกรายเที่ยว!$R$6:$R$10005,$W225))</f>
        <v/>
      </c>
      <c r="AZ225">
        <f t="shared" si="109"/>
        <v>0</v>
      </c>
      <c r="BA225" t="str">
        <f>IF($W225="","",INDEX(บันทึกรายเที่ยว!$E$6:$E$10005,$W225))</f>
        <v/>
      </c>
      <c r="BC225">
        <f>IF($Y225="",0,IFERROR(INDEX(อัตราค่าขนส่ง!$M$5:$M$204,MATCH($Y225,อัตราค่าขนส่ง!$O$5:$O$204,0)),0))</f>
        <v>0</v>
      </c>
      <c r="BD225">
        <f>IF($Y225="",0,IFERROR(INDEX(อัตราค่าขนส่ง!$N$5:$N$204,MATCH($Y225,อัตราค่าขนส่ง!$O$5:$O$204,0)),0))</f>
        <v>0</v>
      </c>
    </row>
    <row r="226" spans="1:56" ht="21" customHeight="1" x14ac:dyDescent="0.95">
      <c r="A226" s="36" t="str">
        <f>IF($AD226="","",IF($AD226="Z","รวมจ่ายทั้งสิ้น",IF($AD226="H",INDEX($X$5:$X$404,$AC226),IF($AD226="T","รวม",IF($AD226="B",IFERROR(INDEX(อัตราค่าขนส่ง!$U$5:$U$14,MATCH(INDEX($AM$5:$AM$404,$AC226),อัตราค่าขนส่ง!$T$5:$T$14,0)),"รวมกลุ่ม "&amp;INDEX($AM$5:$AM$404,$AC226)),INDEX($AY$5:$AY$404,$AC226))))))</f>
        <v/>
      </c>
      <c r="B226" s="31" t="str">
        <f t="shared" si="84"/>
        <v/>
      </c>
      <c r="C226" s="8" t="str">
        <f t="shared" si="85"/>
        <v/>
      </c>
      <c r="D226" s="37" t="str">
        <f t="shared" si="86"/>
        <v/>
      </c>
      <c r="E226" s="31" t="str">
        <f t="shared" si="87"/>
        <v/>
      </c>
      <c r="F226" s="32" t="str">
        <f t="shared" si="88"/>
        <v/>
      </c>
      <c r="G226" s="32" t="str">
        <f t="shared" si="89"/>
        <v/>
      </c>
      <c r="H226" s="32" t="str">
        <f t="shared" si="90"/>
        <v/>
      </c>
      <c r="I226" s="32" t="str">
        <f t="shared" si="91"/>
        <v/>
      </c>
      <c r="J226" s="46" t="str">
        <f t="shared" si="92"/>
        <v/>
      </c>
      <c r="K226" s="32" t="str">
        <f t="shared" si="93"/>
        <v/>
      </c>
      <c r="L226" s="32" t="str">
        <f t="shared" si="94"/>
        <v/>
      </c>
      <c r="M226" s="32" t="str">
        <f t="shared" si="95"/>
        <v/>
      </c>
      <c r="N226" s="32" t="str">
        <f t="shared" si="96"/>
        <v/>
      </c>
      <c r="O226" s="32" t="str">
        <f t="shared" si="97"/>
        <v/>
      </c>
      <c r="Q226" t="str">
        <f>IFERROR(MATCH(222,บันทึกรายเที่ยว!$Z$6:$Z$10005,0),"")</f>
        <v/>
      </c>
      <c r="R226" t="str">
        <f>IF($Q226="","",INDEX(บันทึกรายเที่ยว!$V$6:$V$10005,$Q226))</f>
        <v/>
      </c>
      <c r="S226" t="str">
        <f>IF($Q226="","",INDEX(บันทึกรายเที่ยว!$F$6:$F$10005,$Q226))</f>
        <v/>
      </c>
      <c r="T226" t="str">
        <f>IF($Q226="","",MATCH($S226,บันทึกรายเที่ยว!$F$6:$F$10005,0))</f>
        <v/>
      </c>
      <c r="U226" t="str">
        <f>IF($Q226="","",$AL226*10000000+$T226*1000+222)</f>
        <v/>
      </c>
      <c r="V226" t="str">
        <f>IFERROR(MATCH(SMALL($U$5:$U$404,222),$U$5:$U$404,0),"")</f>
        <v/>
      </c>
      <c r="W226" t="str">
        <f t="shared" si="98"/>
        <v/>
      </c>
      <c r="X226" t="str">
        <f t="shared" si="99"/>
        <v/>
      </c>
      <c r="Y226" t="str">
        <f t="shared" si="100"/>
        <v/>
      </c>
      <c r="Z226">
        <f t="shared" si="110"/>
        <v>0</v>
      </c>
      <c r="AA226">
        <f t="shared" si="101"/>
        <v>0</v>
      </c>
      <c r="AB226">
        <f>IF($V226="",99999+222,$AB225+1+$Z225+$AA225+$AO225)</f>
        <v>100221</v>
      </c>
      <c r="AC226" t="str">
        <f>IFERROR(MATCH(222,$AB$5:$AB$404,1),"")</f>
        <v/>
      </c>
      <c r="AD226" t="str">
        <f>IF(222=$AI$1+1,"Z",IF($AC226="","",IF(INDEX($V$5:$V$404,$AC226)="","",IF(222&gt;INDEX($AB$5:$AB$404,$AC226)+INDEX($Z$5:$Z$404,$AC226)+INDEX($AA$5:$AA$404,$AC226)+INDEX($AO$5:$AO$404,$AC226),"",IF(222=INDEX($AB$5:$AB$404,$AC226)+INDEX($Z$5:$Z$404,$AC226),"D",IF(AND(INDEX($Z$5:$Z$404,$AC226)=1,222=INDEX($AB$5:$AB$404,$AC226)),"H",IF(AND(INDEX($AO$5:$AO$404,$AC226)=1,222=INDEX($AB$5:$AB$404,$AC226)+INDEX($Z$5:$Z$404,$AC226)+INDEX($AA$5:$AA$404,$AC226)+INDEX($AO$5:$AO$404,$AC226)),"B","T")))))))</f>
        <v/>
      </c>
      <c r="AF226" t="str">
        <f t="shared" si="102"/>
        <v/>
      </c>
      <c r="AJ226">
        <f>IF($AD226&lt;&gt;"T",0,ROUND(SUMIF(oil!$B$4:$B$63,$AF226,oil!$AE$4:$AE$63),2))</f>
        <v>0</v>
      </c>
      <c r="AK226" t="str">
        <f>IF($S226="","",IFERROR(INDEX(อัตราค่าขนส่ง!$R$5:$R$54,MATCH($S226,อัตราค่าขนส่ง!$Q$5:$Q$54,0)),INDEX(รายการมาตรฐาน!$G$2:$G$3,1)))</f>
        <v/>
      </c>
      <c r="AL226" t="str">
        <f>IF($S226="","",IFERROR(MATCH($AK226,รายการมาตรฐาน!$G$2:$G$3,0),1))</f>
        <v/>
      </c>
      <c r="AM226" t="str">
        <f t="shared" si="103"/>
        <v/>
      </c>
      <c r="AN226" t="str">
        <f t="shared" si="104"/>
        <v/>
      </c>
      <c r="AO226">
        <f t="shared" si="105"/>
        <v>0</v>
      </c>
      <c r="AP226">
        <f t="shared" si="111"/>
        <v>0</v>
      </c>
      <c r="AQ226" t="str">
        <f t="shared" si="106"/>
        <v/>
      </c>
      <c r="AR226">
        <f>IF($Y226="",0,COUNTIF(บันทึกรายเที่ยว!$V$6:$V$10005,$Y226))</f>
        <v>0</v>
      </c>
      <c r="AS226">
        <f>IF($Y226="",0,ROUND(SUMIF(บันทึกรายเที่ยว!$V$6:$V$10005,$Y226,บันทึกรายเที่ยว!$M$6:$M$10005),2))</f>
        <v>0</v>
      </c>
      <c r="AT226">
        <f>IF($Y226="",0,IFERROR(INDEX(อัตราค่าขนส่ง!$J$5:$J$204,MATCH($Y226,อัตราค่าขนส่ง!$O$5:$O$204,0)),0))</f>
        <v>0</v>
      </c>
      <c r="AU226">
        <f t="shared" si="107"/>
        <v>0</v>
      </c>
      <c r="AV226">
        <f t="shared" si="108"/>
        <v>0</v>
      </c>
      <c r="AW226" t="str">
        <f>IF($Y226="","",IFERROR(INDEX(อัตราค่าขนส่ง!$F$5:$F$204,MATCH($Y226,อัตราค่าขนส่ง!$O$5:$O$204,0)),""))</f>
        <v/>
      </c>
      <c r="AX226" t="str">
        <f>IF($W226="","",INDEX(บันทึกรายเที่ยว!$D$6:$D$10005,$W226))</f>
        <v/>
      </c>
      <c r="AY226" t="str">
        <f>IF($W226="","",INDEX(บันทึกรายเที่ยว!$R$6:$R$10005,$W226))</f>
        <v/>
      </c>
      <c r="AZ226">
        <f t="shared" si="109"/>
        <v>0</v>
      </c>
      <c r="BA226" t="str">
        <f>IF($W226="","",INDEX(บันทึกรายเที่ยว!$E$6:$E$10005,$W226))</f>
        <v/>
      </c>
      <c r="BC226">
        <f>IF($Y226="",0,IFERROR(INDEX(อัตราค่าขนส่ง!$M$5:$M$204,MATCH($Y226,อัตราค่าขนส่ง!$O$5:$O$204,0)),0))</f>
        <v>0</v>
      </c>
      <c r="BD226">
        <f>IF($Y226="",0,IFERROR(INDEX(อัตราค่าขนส่ง!$N$5:$N$204,MATCH($Y226,อัตราค่าขนส่ง!$O$5:$O$204,0)),0))</f>
        <v>0</v>
      </c>
    </row>
    <row r="227" spans="1:56" ht="21" customHeight="1" x14ac:dyDescent="0.95">
      <c r="A227" s="36" t="str">
        <f>IF($AD227="","",IF($AD227="Z","รวมจ่ายทั้งสิ้น",IF($AD227="H",INDEX($X$5:$X$404,$AC227),IF($AD227="T","รวม",IF($AD227="B",IFERROR(INDEX(อัตราค่าขนส่ง!$U$5:$U$14,MATCH(INDEX($AM$5:$AM$404,$AC227),อัตราค่าขนส่ง!$T$5:$T$14,0)),"รวมกลุ่ม "&amp;INDEX($AM$5:$AM$404,$AC227)),INDEX($AY$5:$AY$404,$AC227))))))</f>
        <v/>
      </c>
      <c r="B227" s="31" t="str">
        <f t="shared" si="84"/>
        <v/>
      </c>
      <c r="C227" s="8" t="str">
        <f t="shared" si="85"/>
        <v/>
      </c>
      <c r="D227" s="37" t="str">
        <f t="shared" si="86"/>
        <v/>
      </c>
      <c r="E227" s="31" t="str">
        <f t="shared" si="87"/>
        <v/>
      </c>
      <c r="F227" s="32" t="str">
        <f t="shared" si="88"/>
        <v/>
      </c>
      <c r="G227" s="32" t="str">
        <f t="shared" si="89"/>
        <v/>
      </c>
      <c r="H227" s="32" t="str">
        <f t="shared" si="90"/>
        <v/>
      </c>
      <c r="I227" s="32" t="str">
        <f t="shared" si="91"/>
        <v/>
      </c>
      <c r="J227" s="46" t="str">
        <f t="shared" si="92"/>
        <v/>
      </c>
      <c r="K227" s="32" t="str">
        <f t="shared" si="93"/>
        <v/>
      </c>
      <c r="L227" s="32" t="str">
        <f t="shared" si="94"/>
        <v/>
      </c>
      <c r="M227" s="32" t="str">
        <f t="shared" si="95"/>
        <v/>
      </c>
      <c r="N227" s="32" t="str">
        <f t="shared" si="96"/>
        <v/>
      </c>
      <c r="O227" s="32" t="str">
        <f t="shared" si="97"/>
        <v/>
      </c>
      <c r="Q227" t="str">
        <f>IFERROR(MATCH(223,บันทึกรายเที่ยว!$Z$6:$Z$10005,0),"")</f>
        <v/>
      </c>
      <c r="R227" t="str">
        <f>IF($Q227="","",INDEX(บันทึกรายเที่ยว!$V$6:$V$10005,$Q227))</f>
        <v/>
      </c>
      <c r="S227" t="str">
        <f>IF($Q227="","",INDEX(บันทึกรายเที่ยว!$F$6:$F$10005,$Q227))</f>
        <v/>
      </c>
      <c r="T227" t="str">
        <f>IF($Q227="","",MATCH($S227,บันทึกรายเที่ยว!$F$6:$F$10005,0))</f>
        <v/>
      </c>
      <c r="U227" t="str">
        <f>IF($Q227="","",$AL227*10000000+$T227*1000+223)</f>
        <v/>
      </c>
      <c r="V227" t="str">
        <f>IFERROR(MATCH(SMALL($U$5:$U$404,223),$U$5:$U$404,0),"")</f>
        <v/>
      </c>
      <c r="W227" t="str">
        <f t="shared" si="98"/>
        <v/>
      </c>
      <c r="X227" t="str">
        <f t="shared" si="99"/>
        <v/>
      </c>
      <c r="Y227" t="str">
        <f t="shared" si="100"/>
        <v/>
      </c>
      <c r="Z227">
        <f t="shared" si="110"/>
        <v>0</v>
      </c>
      <c r="AA227">
        <f t="shared" si="101"/>
        <v>0</v>
      </c>
      <c r="AB227">
        <f>IF($V227="",99999+223,$AB226+1+$Z226+$AA226+$AO226)</f>
        <v>100222</v>
      </c>
      <c r="AC227" t="str">
        <f>IFERROR(MATCH(223,$AB$5:$AB$404,1),"")</f>
        <v/>
      </c>
      <c r="AD227" t="str">
        <f>IF(223=$AI$1+1,"Z",IF($AC227="","",IF(INDEX($V$5:$V$404,$AC227)="","",IF(223&gt;INDEX($AB$5:$AB$404,$AC227)+INDEX($Z$5:$Z$404,$AC227)+INDEX($AA$5:$AA$404,$AC227)+INDEX($AO$5:$AO$404,$AC227),"",IF(223=INDEX($AB$5:$AB$404,$AC227)+INDEX($Z$5:$Z$404,$AC227),"D",IF(AND(INDEX($Z$5:$Z$404,$AC227)=1,223=INDEX($AB$5:$AB$404,$AC227)),"H",IF(AND(INDEX($AO$5:$AO$404,$AC227)=1,223=INDEX($AB$5:$AB$404,$AC227)+INDEX($Z$5:$Z$404,$AC227)+INDEX($AA$5:$AA$404,$AC227)+INDEX($AO$5:$AO$404,$AC227)),"B","T")))))))</f>
        <v/>
      </c>
      <c r="AF227" t="str">
        <f t="shared" si="102"/>
        <v/>
      </c>
      <c r="AJ227">
        <f>IF($AD227&lt;&gt;"T",0,ROUND(SUMIF(oil!$B$4:$B$63,$AF227,oil!$AE$4:$AE$63),2))</f>
        <v>0</v>
      </c>
      <c r="AK227" t="str">
        <f>IF($S227="","",IFERROR(INDEX(อัตราค่าขนส่ง!$R$5:$R$54,MATCH($S227,อัตราค่าขนส่ง!$Q$5:$Q$54,0)),INDEX(รายการมาตรฐาน!$G$2:$G$3,1)))</f>
        <v/>
      </c>
      <c r="AL227" t="str">
        <f>IF($S227="","",IFERROR(MATCH($AK227,รายการมาตรฐาน!$G$2:$G$3,0),1))</f>
        <v/>
      </c>
      <c r="AM227" t="str">
        <f t="shared" si="103"/>
        <v/>
      </c>
      <c r="AN227" t="str">
        <f t="shared" si="104"/>
        <v/>
      </c>
      <c r="AO227">
        <f t="shared" si="105"/>
        <v>0</v>
      </c>
      <c r="AP227">
        <f t="shared" si="111"/>
        <v>0</v>
      </c>
      <c r="AQ227" t="str">
        <f t="shared" si="106"/>
        <v/>
      </c>
      <c r="AR227">
        <f>IF($Y227="",0,COUNTIF(บันทึกรายเที่ยว!$V$6:$V$10005,$Y227))</f>
        <v>0</v>
      </c>
      <c r="AS227">
        <f>IF($Y227="",0,ROUND(SUMIF(บันทึกรายเที่ยว!$V$6:$V$10005,$Y227,บันทึกรายเที่ยว!$M$6:$M$10005),2))</f>
        <v>0</v>
      </c>
      <c r="AT227">
        <f>IF($Y227="",0,IFERROR(INDEX(อัตราค่าขนส่ง!$J$5:$J$204,MATCH($Y227,อัตราค่าขนส่ง!$O$5:$O$204,0)),0))</f>
        <v>0</v>
      </c>
      <c r="AU227">
        <f t="shared" si="107"/>
        <v>0</v>
      </c>
      <c r="AV227">
        <f t="shared" si="108"/>
        <v>0</v>
      </c>
      <c r="AW227" t="str">
        <f>IF($Y227="","",IFERROR(INDEX(อัตราค่าขนส่ง!$F$5:$F$204,MATCH($Y227,อัตราค่าขนส่ง!$O$5:$O$204,0)),""))</f>
        <v/>
      </c>
      <c r="AX227" t="str">
        <f>IF($W227="","",INDEX(บันทึกรายเที่ยว!$D$6:$D$10005,$W227))</f>
        <v/>
      </c>
      <c r="AY227" t="str">
        <f>IF($W227="","",INDEX(บันทึกรายเที่ยว!$R$6:$R$10005,$W227))</f>
        <v/>
      </c>
      <c r="AZ227">
        <f t="shared" si="109"/>
        <v>0</v>
      </c>
      <c r="BA227" t="str">
        <f>IF($W227="","",INDEX(บันทึกรายเที่ยว!$E$6:$E$10005,$W227))</f>
        <v/>
      </c>
      <c r="BC227">
        <f>IF($Y227="",0,IFERROR(INDEX(อัตราค่าขนส่ง!$M$5:$M$204,MATCH($Y227,อัตราค่าขนส่ง!$O$5:$O$204,0)),0))</f>
        <v>0</v>
      </c>
      <c r="BD227">
        <f>IF($Y227="",0,IFERROR(INDEX(อัตราค่าขนส่ง!$N$5:$N$204,MATCH($Y227,อัตราค่าขนส่ง!$O$5:$O$204,0)),0))</f>
        <v>0</v>
      </c>
    </row>
    <row r="228" spans="1:56" ht="21" customHeight="1" x14ac:dyDescent="0.95">
      <c r="A228" s="36" t="str">
        <f>IF($AD228="","",IF($AD228="Z","รวมจ่ายทั้งสิ้น",IF($AD228="H",INDEX($X$5:$X$404,$AC228),IF($AD228="T","รวม",IF($AD228="B",IFERROR(INDEX(อัตราค่าขนส่ง!$U$5:$U$14,MATCH(INDEX($AM$5:$AM$404,$AC228),อัตราค่าขนส่ง!$T$5:$T$14,0)),"รวมกลุ่ม "&amp;INDEX($AM$5:$AM$404,$AC228)),INDEX($AY$5:$AY$404,$AC228))))))</f>
        <v/>
      </c>
      <c r="B228" s="31" t="str">
        <f t="shared" si="84"/>
        <v/>
      </c>
      <c r="C228" s="8" t="str">
        <f t="shared" si="85"/>
        <v/>
      </c>
      <c r="D228" s="37" t="str">
        <f t="shared" si="86"/>
        <v/>
      </c>
      <c r="E228" s="31" t="str">
        <f t="shared" si="87"/>
        <v/>
      </c>
      <c r="F228" s="32" t="str">
        <f t="shared" si="88"/>
        <v/>
      </c>
      <c r="G228" s="32" t="str">
        <f t="shared" si="89"/>
        <v/>
      </c>
      <c r="H228" s="32" t="str">
        <f t="shared" si="90"/>
        <v/>
      </c>
      <c r="I228" s="32" t="str">
        <f t="shared" si="91"/>
        <v/>
      </c>
      <c r="J228" s="46" t="str">
        <f t="shared" si="92"/>
        <v/>
      </c>
      <c r="K228" s="32" t="str">
        <f t="shared" si="93"/>
        <v/>
      </c>
      <c r="L228" s="32" t="str">
        <f t="shared" si="94"/>
        <v/>
      </c>
      <c r="M228" s="32" t="str">
        <f t="shared" si="95"/>
        <v/>
      </c>
      <c r="N228" s="32" t="str">
        <f t="shared" si="96"/>
        <v/>
      </c>
      <c r="O228" s="32" t="str">
        <f t="shared" si="97"/>
        <v/>
      </c>
      <c r="Q228" t="str">
        <f>IFERROR(MATCH(224,บันทึกรายเที่ยว!$Z$6:$Z$10005,0),"")</f>
        <v/>
      </c>
      <c r="R228" t="str">
        <f>IF($Q228="","",INDEX(บันทึกรายเที่ยว!$V$6:$V$10005,$Q228))</f>
        <v/>
      </c>
      <c r="S228" t="str">
        <f>IF($Q228="","",INDEX(บันทึกรายเที่ยว!$F$6:$F$10005,$Q228))</f>
        <v/>
      </c>
      <c r="T228" t="str">
        <f>IF($Q228="","",MATCH($S228,บันทึกรายเที่ยว!$F$6:$F$10005,0))</f>
        <v/>
      </c>
      <c r="U228" t="str">
        <f>IF($Q228="","",$AL228*10000000+$T228*1000+224)</f>
        <v/>
      </c>
      <c r="V228" t="str">
        <f>IFERROR(MATCH(SMALL($U$5:$U$404,224),$U$5:$U$404,0),"")</f>
        <v/>
      </c>
      <c r="W228" t="str">
        <f t="shared" si="98"/>
        <v/>
      </c>
      <c r="X228" t="str">
        <f t="shared" si="99"/>
        <v/>
      </c>
      <c r="Y228" t="str">
        <f t="shared" si="100"/>
        <v/>
      </c>
      <c r="Z228">
        <f t="shared" si="110"/>
        <v>0</v>
      </c>
      <c r="AA228">
        <f t="shared" si="101"/>
        <v>0</v>
      </c>
      <c r="AB228">
        <f>IF($V228="",99999+224,$AB227+1+$Z227+$AA227+$AO227)</f>
        <v>100223</v>
      </c>
      <c r="AC228" t="str">
        <f>IFERROR(MATCH(224,$AB$5:$AB$404,1),"")</f>
        <v/>
      </c>
      <c r="AD228" t="str">
        <f>IF(224=$AI$1+1,"Z",IF($AC228="","",IF(INDEX($V$5:$V$404,$AC228)="","",IF(224&gt;INDEX($AB$5:$AB$404,$AC228)+INDEX($Z$5:$Z$404,$AC228)+INDEX($AA$5:$AA$404,$AC228)+INDEX($AO$5:$AO$404,$AC228),"",IF(224=INDEX($AB$5:$AB$404,$AC228)+INDEX($Z$5:$Z$404,$AC228),"D",IF(AND(INDEX($Z$5:$Z$404,$AC228)=1,224=INDEX($AB$5:$AB$404,$AC228)),"H",IF(AND(INDEX($AO$5:$AO$404,$AC228)=1,224=INDEX($AB$5:$AB$404,$AC228)+INDEX($Z$5:$Z$404,$AC228)+INDEX($AA$5:$AA$404,$AC228)+INDEX($AO$5:$AO$404,$AC228)),"B","T")))))))</f>
        <v/>
      </c>
      <c r="AF228" t="str">
        <f t="shared" si="102"/>
        <v/>
      </c>
      <c r="AJ228">
        <f>IF($AD228&lt;&gt;"T",0,ROUND(SUMIF(oil!$B$4:$B$63,$AF228,oil!$AE$4:$AE$63),2))</f>
        <v>0</v>
      </c>
      <c r="AK228" t="str">
        <f>IF($S228="","",IFERROR(INDEX(อัตราค่าขนส่ง!$R$5:$R$54,MATCH($S228,อัตราค่าขนส่ง!$Q$5:$Q$54,0)),INDEX(รายการมาตรฐาน!$G$2:$G$3,1)))</f>
        <v/>
      </c>
      <c r="AL228" t="str">
        <f>IF($S228="","",IFERROR(MATCH($AK228,รายการมาตรฐาน!$G$2:$G$3,0),1))</f>
        <v/>
      </c>
      <c r="AM228" t="str">
        <f t="shared" si="103"/>
        <v/>
      </c>
      <c r="AN228" t="str">
        <f t="shared" si="104"/>
        <v/>
      </c>
      <c r="AO228">
        <f t="shared" si="105"/>
        <v>0</v>
      </c>
      <c r="AP228">
        <f t="shared" si="111"/>
        <v>0</v>
      </c>
      <c r="AQ228" t="str">
        <f t="shared" si="106"/>
        <v/>
      </c>
      <c r="AR228">
        <f>IF($Y228="",0,COUNTIF(บันทึกรายเที่ยว!$V$6:$V$10005,$Y228))</f>
        <v>0</v>
      </c>
      <c r="AS228">
        <f>IF($Y228="",0,ROUND(SUMIF(บันทึกรายเที่ยว!$V$6:$V$10005,$Y228,บันทึกรายเที่ยว!$M$6:$M$10005),2))</f>
        <v>0</v>
      </c>
      <c r="AT228">
        <f>IF($Y228="",0,IFERROR(INDEX(อัตราค่าขนส่ง!$J$5:$J$204,MATCH($Y228,อัตราค่าขนส่ง!$O$5:$O$204,0)),0))</f>
        <v>0</v>
      </c>
      <c r="AU228">
        <f t="shared" si="107"/>
        <v>0</v>
      </c>
      <c r="AV228">
        <f t="shared" si="108"/>
        <v>0</v>
      </c>
      <c r="AW228" t="str">
        <f>IF($Y228="","",IFERROR(INDEX(อัตราค่าขนส่ง!$F$5:$F$204,MATCH($Y228,อัตราค่าขนส่ง!$O$5:$O$204,0)),""))</f>
        <v/>
      </c>
      <c r="AX228" t="str">
        <f>IF($W228="","",INDEX(บันทึกรายเที่ยว!$D$6:$D$10005,$W228))</f>
        <v/>
      </c>
      <c r="AY228" t="str">
        <f>IF($W228="","",INDEX(บันทึกรายเที่ยว!$R$6:$R$10005,$W228))</f>
        <v/>
      </c>
      <c r="AZ228">
        <f t="shared" si="109"/>
        <v>0</v>
      </c>
      <c r="BA228" t="str">
        <f>IF($W228="","",INDEX(บันทึกรายเที่ยว!$E$6:$E$10005,$W228))</f>
        <v/>
      </c>
      <c r="BC228">
        <f>IF($Y228="",0,IFERROR(INDEX(อัตราค่าขนส่ง!$M$5:$M$204,MATCH($Y228,อัตราค่าขนส่ง!$O$5:$O$204,0)),0))</f>
        <v>0</v>
      </c>
      <c r="BD228">
        <f>IF($Y228="",0,IFERROR(INDEX(อัตราค่าขนส่ง!$N$5:$N$204,MATCH($Y228,อัตราค่าขนส่ง!$O$5:$O$204,0)),0))</f>
        <v>0</v>
      </c>
    </row>
    <row r="229" spans="1:56" ht="21" customHeight="1" x14ac:dyDescent="0.95">
      <c r="A229" s="36" t="str">
        <f>IF($AD229="","",IF($AD229="Z","รวมจ่ายทั้งสิ้น",IF($AD229="H",INDEX($X$5:$X$404,$AC229),IF($AD229="T","รวม",IF($AD229="B",IFERROR(INDEX(อัตราค่าขนส่ง!$U$5:$U$14,MATCH(INDEX($AM$5:$AM$404,$AC229),อัตราค่าขนส่ง!$T$5:$T$14,0)),"รวมกลุ่ม "&amp;INDEX($AM$5:$AM$404,$AC229)),INDEX($AY$5:$AY$404,$AC229))))))</f>
        <v/>
      </c>
      <c r="B229" s="31" t="str">
        <f t="shared" si="84"/>
        <v/>
      </c>
      <c r="C229" s="8" t="str">
        <f t="shared" si="85"/>
        <v/>
      </c>
      <c r="D229" s="37" t="str">
        <f t="shared" si="86"/>
        <v/>
      </c>
      <c r="E229" s="31" t="str">
        <f t="shared" si="87"/>
        <v/>
      </c>
      <c r="F229" s="32" t="str">
        <f t="shared" si="88"/>
        <v/>
      </c>
      <c r="G229" s="32" t="str">
        <f t="shared" si="89"/>
        <v/>
      </c>
      <c r="H229" s="32" t="str">
        <f t="shared" si="90"/>
        <v/>
      </c>
      <c r="I229" s="32" t="str">
        <f t="shared" si="91"/>
        <v/>
      </c>
      <c r="J229" s="46" t="str">
        <f t="shared" si="92"/>
        <v/>
      </c>
      <c r="K229" s="32" t="str">
        <f t="shared" si="93"/>
        <v/>
      </c>
      <c r="L229" s="32" t="str">
        <f t="shared" si="94"/>
        <v/>
      </c>
      <c r="M229" s="32" t="str">
        <f t="shared" si="95"/>
        <v/>
      </c>
      <c r="N229" s="32" t="str">
        <f t="shared" si="96"/>
        <v/>
      </c>
      <c r="O229" s="32" t="str">
        <f t="shared" si="97"/>
        <v/>
      </c>
      <c r="Q229" t="str">
        <f>IFERROR(MATCH(225,บันทึกรายเที่ยว!$Z$6:$Z$10005,0),"")</f>
        <v/>
      </c>
      <c r="R229" t="str">
        <f>IF($Q229="","",INDEX(บันทึกรายเที่ยว!$V$6:$V$10005,$Q229))</f>
        <v/>
      </c>
      <c r="S229" t="str">
        <f>IF($Q229="","",INDEX(บันทึกรายเที่ยว!$F$6:$F$10005,$Q229))</f>
        <v/>
      </c>
      <c r="T229" t="str">
        <f>IF($Q229="","",MATCH($S229,บันทึกรายเที่ยว!$F$6:$F$10005,0))</f>
        <v/>
      </c>
      <c r="U229" t="str">
        <f>IF($Q229="","",$AL229*10000000+$T229*1000+225)</f>
        <v/>
      </c>
      <c r="V229" t="str">
        <f>IFERROR(MATCH(SMALL($U$5:$U$404,225),$U$5:$U$404,0),"")</f>
        <v/>
      </c>
      <c r="W229" t="str">
        <f t="shared" si="98"/>
        <v/>
      </c>
      <c r="X229" t="str">
        <f t="shared" si="99"/>
        <v/>
      </c>
      <c r="Y229" t="str">
        <f t="shared" si="100"/>
        <v/>
      </c>
      <c r="Z229">
        <f t="shared" si="110"/>
        <v>0</v>
      </c>
      <c r="AA229">
        <f t="shared" si="101"/>
        <v>0</v>
      </c>
      <c r="AB229">
        <f>IF($V229="",99999+225,$AB228+1+$Z228+$AA228+$AO228)</f>
        <v>100224</v>
      </c>
      <c r="AC229" t="str">
        <f>IFERROR(MATCH(225,$AB$5:$AB$404,1),"")</f>
        <v/>
      </c>
      <c r="AD229" t="str">
        <f>IF(225=$AI$1+1,"Z",IF($AC229="","",IF(INDEX($V$5:$V$404,$AC229)="","",IF(225&gt;INDEX($AB$5:$AB$404,$AC229)+INDEX($Z$5:$Z$404,$AC229)+INDEX($AA$5:$AA$404,$AC229)+INDEX($AO$5:$AO$404,$AC229),"",IF(225=INDEX($AB$5:$AB$404,$AC229)+INDEX($Z$5:$Z$404,$AC229),"D",IF(AND(INDEX($Z$5:$Z$404,$AC229)=1,225=INDEX($AB$5:$AB$404,$AC229)),"H",IF(AND(INDEX($AO$5:$AO$404,$AC229)=1,225=INDEX($AB$5:$AB$404,$AC229)+INDEX($Z$5:$Z$404,$AC229)+INDEX($AA$5:$AA$404,$AC229)+INDEX($AO$5:$AO$404,$AC229)),"B","T")))))))</f>
        <v/>
      </c>
      <c r="AF229" t="str">
        <f t="shared" si="102"/>
        <v/>
      </c>
      <c r="AJ229">
        <f>IF($AD229&lt;&gt;"T",0,ROUND(SUMIF(oil!$B$4:$B$63,$AF229,oil!$AE$4:$AE$63),2))</f>
        <v>0</v>
      </c>
      <c r="AK229" t="str">
        <f>IF($S229="","",IFERROR(INDEX(อัตราค่าขนส่ง!$R$5:$R$54,MATCH($S229,อัตราค่าขนส่ง!$Q$5:$Q$54,0)),INDEX(รายการมาตรฐาน!$G$2:$G$3,1)))</f>
        <v/>
      </c>
      <c r="AL229" t="str">
        <f>IF($S229="","",IFERROR(MATCH($AK229,รายการมาตรฐาน!$G$2:$G$3,0),1))</f>
        <v/>
      </c>
      <c r="AM229" t="str">
        <f t="shared" si="103"/>
        <v/>
      </c>
      <c r="AN229" t="str">
        <f t="shared" si="104"/>
        <v/>
      </c>
      <c r="AO229">
        <f t="shared" si="105"/>
        <v>0</v>
      </c>
      <c r="AP229">
        <f t="shared" si="111"/>
        <v>0</v>
      </c>
      <c r="AQ229" t="str">
        <f t="shared" si="106"/>
        <v/>
      </c>
      <c r="AR229">
        <f>IF($Y229="",0,COUNTIF(บันทึกรายเที่ยว!$V$6:$V$10005,$Y229))</f>
        <v>0</v>
      </c>
      <c r="AS229">
        <f>IF($Y229="",0,ROUND(SUMIF(บันทึกรายเที่ยว!$V$6:$V$10005,$Y229,บันทึกรายเที่ยว!$M$6:$M$10005),2))</f>
        <v>0</v>
      </c>
      <c r="AT229">
        <f>IF($Y229="",0,IFERROR(INDEX(อัตราค่าขนส่ง!$J$5:$J$204,MATCH($Y229,อัตราค่าขนส่ง!$O$5:$O$204,0)),0))</f>
        <v>0</v>
      </c>
      <c r="AU229">
        <f t="shared" si="107"/>
        <v>0</v>
      </c>
      <c r="AV229">
        <f t="shared" si="108"/>
        <v>0</v>
      </c>
      <c r="AW229" t="str">
        <f>IF($Y229="","",IFERROR(INDEX(อัตราค่าขนส่ง!$F$5:$F$204,MATCH($Y229,อัตราค่าขนส่ง!$O$5:$O$204,0)),""))</f>
        <v/>
      </c>
      <c r="AX229" t="str">
        <f>IF($W229="","",INDEX(บันทึกรายเที่ยว!$D$6:$D$10005,$W229))</f>
        <v/>
      </c>
      <c r="AY229" t="str">
        <f>IF($W229="","",INDEX(บันทึกรายเที่ยว!$R$6:$R$10005,$W229))</f>
        <v/>
      </c>
      <c r="AZ229">
        <f t="shared" si="109"/>
        <v>0</v>
      </c>
      <c r="BA229" t="str">
        <f>IF($W229="","",INDEX(บันทึกรายเที่ยว!$E$6:$E$10005,$W229))</f>
        <v/>
      </c>
      <c r="BC229">
        <f>IF($Y229="",0,IFERROR(INDEX(อัตราค่าขนส่ง!$M$5:$M$204,MATCH($Y229,อัตราค่าขนส่ง!$O$5:$O$204,0)),0))</f>
        <v>0</v>
      </c>
      <c r="BD229">
        <f>IF($Y229="",0,IFERROR(INDEX(อัตราค่าขนส่ง!$N$5:$N$204,MATCH($Y229,อัตราค่าขนส่ง!$O$5:$O$204,0)),0))</f>
        <v>0</v>
      </c>
    </row>
    <row r="230" spans="1:56" ht="21" customHeight="1" x14ac:dyDescent="0.95">
      <c r="A230" s="36" t="str">
        <f>IF($AD230="","",IF($AD230="Z","รวมจ่ายทั้งสิ้น",IF($AD230="H",INDEX($X$5:$X$404,$AC230),IF($AD230="T","รวม",IF($AD230="B",IFERROR(INDEX(อัตราค่าขนส่ง!$U$5:$U$14,MATCH(INDEX($AM$5:$AM$404,$AC230),อัตราค่าขนส่ง!$T$5:$T$14,0)),"รวมกลุ่ม "&amp;INDEX($AM$5:$AM$404,$AC230)),INDEX($AY$5:$AY$404,$AC230))))))</f>
        <v/>
      </c>
      <c r="B230" s="31" t="str">
        <f t="shared" si="84"/>
        <v/>
      </c>
      <c r="C230" s="8" t="str">
        <f t="shared" si="85"/>
        <v/>
      </c>
      <c r="D230" s="37" t="str">
        <f t="shared" si="86"/>
        <v/>
      </c>
      <c r="E230" s="31" t="str">
        <f t="shared" si="87"/>
        <v/>
      </c>
      <c r="F230" s="32" t="str">
        <f t="shared" si="88"/>
        <v/>
      </c>
      <c r="G230" s="32" t="str">
        <f t="shared" si="89"/>
        <v/>
      </c>
      <c r="H230" s="32" t="str">
        <f t="shared" si="90"/>
        <v/>
      </c>
      <c r="I230" s="32" t="str">
        <f t="shared" si="91"/>
        <v/>
      </c>
      <c r="J230" s="46" t="str">
        <f t="shared" si="92"/>
        <v/>
      </c>
      <c r="K230" s="32" t="str">
        <f t="shared" si="93"/>
        <v/>
      </c>
      <c r="L230" s="32" t="str">
        <f t="shared" si="94"/>
        <v/>
      </c>
      <c r="M230" s="32" t="str">
        <f t="shared" si="95"/>
        <v/>
      </c>
      <c r="N230" s="32" t="str">
        <f t="shared" si="96"/>
        <v/>
      </c>
      <c r="O230" s="32" t="str">
        <f t="shared" si="97"/>
        <v/>
      </c>
      <c r="Q230" t="str">
        <f>IFERROR(MATCH(226,บันทึกรายเที่ยว!$Z$6:$Z$10005,0),"")</f>
        <v/>
      </c>
      <c r="R230" t="str">
        <f>IF($Q230="","",INDEX(บันทึกรายเที่ยว!$V$6:$V$10005,$Q230))</f>
        <v/>
      </c>
      <c r="S230" t="str">
        <f>IF($Q230="","",INDEX(บันทึกรายเที่ยว!$F$6:$F$10005,$Q230))</f>
        <v/>
      </c>
      <c r="T230" t="str">
        <f>IF($Q230="","",MATCH($S230,บันทึกรายเที่ยว!$F$6:$F$10005,0))</f>
        <v/>
      </c>
      <c r="U230" t="str">
        <f>IF($Q230="","",$AL230*10000000+$T230*1000+226)</f>
        <v/>
      </c>
      <c r="V230" t="str">
        <f>IFERROR(MATCH(SMALL($U$5:$U$404,226),$U$5:$U$404,0),"")</f>
        <v/>
      </c>
      <c r="W230" t="str">
        <f t="shared" si="98"/>
        <v/>
      </c>
      <c r="X230" t="str">
        <f t="shared" si="99"/>
        <v/>
      </c>
      <c r="Y230" t="str">
        <f t="shared" si="100"/>
        <v/>
      </c>
      <c r="Z230">
        <f t="shared" si="110"/>
        <v>0</v>
      </c>
      <c r="AA230">
        <f t="shared" si="101"/>
        <v>0</v>
      </c>
      <c r="AB230">
        <f>IF($V230="",99999+226,$AB229+1+$Z229+$AA229+$AO229)</f>
        <v>100225</v>
      </c>
      <c r="AC230" t="str">
        <f>IFERROR(MATCH(226,$AB$5:$AB$404,1),"")</f>
        <v/>
      </c>
      <c r="AD230" t="str">
        <f>IF(226=$AI$1+1,"Z",IF($AC230="","",IF(INDEX($V$5:$V$404,$AC230)="","",IF(226&gt;INDEX($AB$5:$AB$404,$AC230)+INDEX($Z$5:$Z$404,$AC230)+INDEX($AA$5:$AA$404,$AC230)+INDEX($AO$5:$AO$404,$AC230),"",IF(226=INDEX($AB$5:$AB$404,$AC230)+INDEX($Z$5:$Z$404,$AC230),"D",IF(AND(INDEX($Z$5:$Z$404,$AC230)=1,226=INDEX($AB$5:$AB$404,$AC230)),"H",IF(AND(INDEX($AO$5:$AO$404,$AC230)=1,226=INDEX($AB$5:$AB$404,$AC230)+INDEX($Z$5:$Z$404,$AC230)+INDEX($AA$5:$AA$404,$AC230)+INDEX($AO$5:$AO$404,$AC230)),"B","T")))))))</f>
        <v/>
      </c>
      <c r="AF230" t="str">
        <f t="shared" si="102"/>
        <v/>
      </c>
      <c r="AJ230">
        <f>IF($AD230&lt;&gt;"T",0,ROUND(SUMIF(oil!$B$4:$B$63,$AF230,oil!$AE$4:$AE$63),2))</f>
        <v>0</v>
      </c>
      <c r="AK230" t="str">
        <f>IF($S230="","",IFERROR(INDEX(อัตราค่าขนส่ง!$R$5:$R$54,MATCH($S230,อัตราค่าขนส่ง!$Q$5:$Q$54,0)),INDEX(รายการมาตรฐาน!$G$2:$G$3,1)))</f>
        <v/>
      </c>
      <c r="AL230" t="str">
        <f>IF($S230="","",IFERROR(MATCH($AK230,รายการมาตรฐาน!$G$2:$G$3,0),1))</f>
        <v/>
      </c>
      <c r="AM230" t="str">
        <f t="shared" si="103"/>
        <v/>
      </c>
      <c r="AN230" t="str">
        <f t="shared" si="104"/>
        <v/>
      </c>
      <c r="AO230">
        <f t="shared" si="105"/>
        <v>0</v>
      </c>
      <c r="AP230">
        <f t="shared" si="111"/>
        <v>0</v>
      </c>
      <c r="AQ230" t="str">
        <f t="shared" si="106"/>
        <v/>
      </c>
      <c r="AR230">
        <f>IF($Y230="",0,COUNTIF(บันทึกรายเที่ยว!$V$6:$V$10005,$Y230))</f>
        <v>0</v>
      </c>
      <c r="AS230">
        <f>IF($Y230="",0,ROUND(SUMIF(บันทึกรายเที่ยว!$V$6:$V$10005,$Y230,บันทึกรายเที่ยว!$M$6:$M$10005),2))</f>
        <v>0</v>
      </c>
      <c r="AT230">
        <f>IF($Y230="",0,IFERROR(INDEX(อัตราค่าขนส่ง!$J$5:$J$204,MATCH($Y230,อัตราค่าขนส่ง!$O$5:$O$204,0)),0))</f>
        <v>0</v>
      </c>
      <c r="AU230">
        <f t="shared" si="107"/>
        <v>0</v>
      </c>
      <c r="AV230">
        <f t="shared" si="108"/>
        <v>0</v>
      </c>
      <c r="AW230" t="str">
        <f>IF($Y230="","",IFERROR(INDEX(อัตราค่าขนส่ง!$F$5:$F$204,MATCH($Y230,อัตราค่าขนส่ง!$O$5:$O$204,0)),""))</f>
        <v/>
      </c>
      <c r="AX230" t="str">
        <f>IF($W230="","",INDEX(บันทึกรายเที่ยว!$D$6:$D$10005,$W230))</f>
        <v/>
      </c>
      <c r="AY230" t="str">
        <f>IF($W230="","",INDEX(บันทึกรายเที่ยว!$R$6:$R$10005,$W230))</f>
        <v/>
      </c>
      <c r="AZ230">
        <f t="shared" si="109"/>
        <v>0</v>
      </c>
      <c r="BA230" t="str">
        <f>IF($W230="","",INDEX(บันทึกรายเที่ยว!$E$6:$E$10005,$W230))</f>
        <v/>
      </c>
      <c r="BC230">
        <f>IF($Y230="",0,IFERROR(INDEX(อัตราค่าขนส่ง!$M$5:$M$204,MATCH($Y230,อัตราค่าขนส่ง!$O$5:$O$204,0)),0))</f>
        <v>0</v>
      </c>
      <c r="BD230">
        <f>IF($Y230="",0,IFERROR(INDEX(อัตราค่าขนส่ง!$N$5:$N$204,MATCH($Y230,อัตราค่าขนส่ง!$O$5:$O$204,0)),0))</f>
        <v>0</v>
      </c>
    </row>
    <row r="231" spans="1:56" ht="21" customHeight="1" x14ac:dyDescent="0.95">
      <c r="A231" s="36" t="str">
        <f>IF($AD231="","",IF($AD231="Z","รวมจ่ายทั้งสิ้น",IF($AD231="H",INDEX($X$5:$X$404,$AC231),IF($AD231="T","รวม",IF($AD231="B",IFERROR(INDEX(อัตราค่าขนส่ง!$U$5:$U$14,MATCH(INDEX($AM$5:$AM$404,$AC231),อัตราค่าขนส่ง!$T$5:$T$14,0)),"รวมกลุ่ม "&amp;INDEX($AM$5:$AM$404,$AC231)),INDEX($AY$5:$AY$404,$AC231))))))</f>
        <v/>
      </c>
      <c r="B231" s="31" t="str">
        <f t="shared" si="84"/>
        <v/>
      </c>
      <c r="C231" s="8" t="str">
        <f t="shared" si="85"/>
        <v/>
      </c>
      <c r="D231" s="37" t="str">
        <f t="shared" si="86"/>
        <v/>
      </c>
      <c r="E231" s="31" t="str">
        <f t="shared" si="87"/>
        <v/>
      </c>
      <c r="F231" s="32" t="str">
        <f t="shared" si="88"/>
        <v/>
      </c>
      <c r="G231" s="32" t="str">
        <f t="shared" si="89"/>
        <v/>
      </c>
      <c r="H231" s="32" t="str">
        <f t="shared" si="90"/>
        <v/>
      </c>
      <c r="I231" s="32" t="str">
        <f t="shared" si="91"/>
        <v/>
      </c>
      <c r="J231" s="46" t="str">
        <f t="shared" si="92"/>
        <v/>
      </c>
      <c r="K231" s="32" t="str">
        <f t="shared" si="93"/>
        <v/>
      </c>
      <c r="L231" s="32" t="str">
        <f t="shared" si="94"/>
        <v/>
      </c>
      <c r="M231" s="32" t="str">
        <f t="shared" si="95"/>
        <v/>
      </c>
      <c r="N231" s="32" t="str">
        <f t="shared" si="96"/>
        <v/>
      </c>
      <c r="O231" s="32" t="str">
        <f t="shared" si="97"/>
        <v/>
      </c>
      <c r="Q231" t="str">
        <f>IFERROR(MATCH(227,บันทึกรายเที่ยว!$Z$6:$Z$10005,0),"")</f>
        <v/>
      </c>
      <c r="R231" t="str">
        <f>IF($Q231="","",INDEX(บันทึกรายเที่ยว!$V$6:$V$10005,$Q231))</f>
        <v/>
      </c>
      <c r="S231" t="str">
        <f>IF($Q231="","",INDEX(บันทึกรายเที่ยว!$F$6:$F$10005,$Q231))</f>
        <v/>
      </c>
      <c r="T231" t="str">
        <f>IF($Q231="","",MATCH($S231,บันทึกรายเที่ยว!$F$6:$F$10005,0))</f>
        <v/>
      </c>
      <c r="U231" t="str">
        <f>IF($Q231="","",$AL231*10000000+$T231*1000+227)</f>
        <v/>
      </c>
      <c r="V231" t="str">
        <f>IFERROR(MATCH(SMALL($U$5:$U$404,227),$U$5:$U$404,0),"")</f>
        <v/>
      </c>
      <c r="W231" t="str">
        <f t="shared" si="98"/>
        <v/>
      </c>
      <c r="X231" t="str">
        <f t="shared" si="99"/>
        <v/>
      </c>
      <c r="Y231" t="str">
        <f t="shared" si="100"/>
        <v/>
      </c>
      <c r="Z231">
        <f t="shared" si="110"/>
        <v>0</v>
      </c>
      <c r="AA231">
        <f t="shared" si="101"/>
        <v>0</v>
      </c>
      <c r="AB231">
        <f>IF($V231="",99999+227,$AB230+1+$Z230+$AA230+$AO230)</f>
        <v>100226</v>
      </c>
      <c r="AC231" t="str">
        <f>IFERROR(MATCH(227,$AB$5:$AB$404,1),"")</f>
        <v/>
      </c>
      <c r="AD231" t="str">
        <f>IF(227=$AI$1+1,"Z",IF($AC231="","",IF(INDEX($V$5:$V$404,$AC231)="","",IF(227&gt;INDEX($AB$5:$AB$404,$AC231)+INDEX($Z$5:$Z$404,$AC231)+INDEX($AA$5:$AA$404,$AC231)+INDEX($AO$5:$AO$404,$AC231),"",IF(227=INDEX($AB$5:$AB$404,$AC231)+INDEX($Z$5:$Z$404,$AC231),"D",IF(AND(INDEX($Z$5:$Z$404,$AC231)=1,227=INDEX($AB$5:$AB$404,$AC231)),"H",IF(AND(INDEX($AO$5:$AO$404,$AC231)=1,227=INDEX($AB$5:$AB$404,$AC231)+INDEX($Z$5:$Z$404,$AC231)+INDEX($AA$5:$AA$404,$AC231)+INDEX($AO$5:$AO$404,$AC231)),"B","T")))))))</f>
        <v/>
      </c>
      <c r="AF231" t="str">
        <f t="shared" si="102"/>
        <v/>
      </c>
      <c r="AJ231">
        <f>IF($AD231&lt;&gt;"T",0,ROUND(SUMIF(oil!$B$4:$B$63,$AF231,oil!$AE$4:$AE$63),2))</f>
        <v>0</v>
      </c>
      <c r="AK231" t="str">
        <f>IF($S231="","",IFERROR(INDEX(อัตราค่าขนส่ง!$R$5:$R$54,MATCH($S231,อัตราค่าขนส่ง!$Q$5:$Q$54,0)),INDEX(รายการมาตรฐาน!$G$2:$G$3,1)))</f>
        <v/>
      </c>
      <c r="AL231" t="str">
        <f>IF($S231="","",IFERROR(MATCH($AK231,รายการมาตรฐาน!$G$2:$G$3,0),1))</f>
        <v/>
      </c>
      <c r="AM231" t="str">
        <f t="shared" si="103"/>
        <v/>
      </c>
      <c r="AN231" t="str">
        <f t="shared" si="104"/>
        <v/>
      </c>
      <c r="AO231">
        <f t="shared" si="105"/>
        <v>0</v>
      </c>
      <c r="AP231">
        <f t="shared" si="111"/>
        <v>0</v>
      </c>
      <c r="AQ231" t="str">
        <f t="shared" si="106"/>
        <v/>
      </c>
      <c r="AR231">
        <f>IF($Y231="",0,COUNTIF(บันทึกรายเที่ยว!$V$6:$V$10005,$Y231))</f>
        <v>0</v>
      </c>
      <c r="AS231">
        <f>IF($Y231="",0,ROUND(SUMIF(บันทึกรายเที่ยว!$V$6:$V$10005,$Y231,บันทึกรายเที่ยว!$M$6:$M$10005),2))</f>
        <v>0</v>
      </c>
      <c r="AT231">
        <f>IF($Y231="",0,IFERROR(INDEX(อัตราค่าขนส่ง!$J$5:$J$204,MATCH($Y231,อัตราค่าขนส่ง!$O$5:$O$204,0)),0))</f>
        <v>0</v>
      </c>
      <c r="AU231">
        <f t="shared" si="107"/>
        <v>0</v>
      </c>
      <c r="AV231">
        <f t="shared" si="108"/>
        <v>0</v>
      </c>
      <c r="AW231" t="str">
        <f>IF($Y231="","",IFERROR(INDEX(อัตราค่าขนส่ง!$F$5:$F$204,MATCH($Y231,อัตราค่าขนส่ง!$O$5:$O$204,0)),""))</f>
        <v/>
      </c>
      <c r="AX231" t="str">
        <f>IF($W231="","",INDEX(บันทึกรายเที่ยว!$D$6:$D$10005,$W231))</f>
        <v/>
      </c>
      <c r="AY231" t="str">
        <f>IF($W231="","",INDEX(บันทึกรายเที่ยว!$R$6:$R$10005,$W231))</f>
        <v/>
      </c>
      <c r="AZ231">
        <f t="shared" si="109"/>
        <v>0</v>
      </c>
      <c r="BA231" t="str">
        <f>IF($W231="","",INDEX(บันทึกรายเที่ยว!$E$6:$E$10005,$W231))</f>
        <v/>
      </c>
      <c r="BC231">
        <f>IF($Y231="",0,IFERROR(INDEX(อัตราค่าขนส่ง!$M$5:$M$204,MATCH($Y231,อัตราค่าขนส่ง!$O$5:$O$204,0)),0))</f>
        <v>0</v>
      </c>
      <c r="BD231">
        <f>IF($Y231="",0,IFERROR(INDEX(อัตราค่าขนส่ง!$N$5:$N$204,MATCH($Y231,อัตราค่าขนส่ง!$O$5:$O$204,0)),0))</f>
        <v>0</v>
      </c>
    </row>
    <row r="232" spans="1:56" ht="21" customHeight="1" x14ac:dyDescent="0.95">
      <c r="A232" s="36" t="str">
        <f>IF($AD232="","",IF($AD232="Z","รวมจ่ายทั้งสิ้น",IF($AD232="H",INDEX($X$5:$X$404,$AC232),IF($AD232="T","รวม",IF($AD232="B",IFERROR(INDEX(อัตราค่าขนส่ง!$U$5:$U$14,MATCH(INDEX($AM$5:$AM$404,$AC232),อัตราค่าขนส่ง!$T$5:$T$14,0)),"รวมกลุ่ม "&amp;INDEX($AM$5:$AM$404,$AC232)),INDEX($AY$5:$AY$404,$AC232))))))</f>
        <v/>
      </c>
      <c r="B232" s="31" t="str">
        <f t="shared" si="84"/>
        <v/>
      </c>
      <c r="C232" s="8" t="str">
        <f t="shared" si="85"/>
        <v/>
      </c>
      <c r="D232" s="37" t="str">
        <f t="shared" si="86"/>
        <v/>
      </c>
      <c r="E232" s="31" t="str">
        <f t="shared" si="87"/>
        <v/>
      </c>
      <c r="F232" s="32" t="str">
        <f t="shared" si="88"/>
        <v/>
      </c>
      <c r="G232" s="32" t="str">
        <f t="shared" si="89"/>
        <v/>
      </c>
      <c r="H232" s="32" t="str">
        <f t="shared" si="90"/>
        <v/>
      </c>
      <c r="I232" s="32" t="str">
        <f t="shared" si="91"/>
        <v/>
      </c>
      <c r="J232" s="46" t="str">
        <f t="shared" si="92"/>
        <v/>
      </c>
      <c r="K232" s="32" t="str">
        <f t="shared" si="93"/>
        <v/>
      </c>
      <c r="L232" s="32" t="str">
        <f t="shared" si="94"/>
        <v/>
      </c>
      <c r="M232" s="32" t="str">
        <f t="shared" si="95"/>
        <v/>
      </c>
      <c r="N232" s="32" t="str">
        <f t="shared" si="96"/>
        <v/>
      </c>
      <c r="O232" s="32" t="str">
        <f t="shared" si="97"/>
        <v/>
      </c>
      <c r="Q232" t="str">
        <f>IFERROR(MATCH(228,บันทึกรายเที่ยว!$Z$6:$Z$10005,0),"")</f>
        <v/>
      </c>
      <c r="R232" t="str">
        <f>IF($Q232="","",INDEX(บันทึกรายเที่ยว!$V$6:$V$10005,$Q232))</f>
        <v/>
      </c>
      <c r="S232" t="str">
        <f>IF($Q232="","",INDEX(บันทึกรายเที่ยว!$F$6:$F$10005,$Q232))</f>
        <v/>
      </c>
      <c r="T232" t="str">
        <f>IF($Q232="","",MATCH($S232,บันทึกรายเที่ยว!$F$6:$F$10005,0))</f>
        <v/>
      </c>
      <c r="U232" t="str">
        <f>IF($Q232="","",$AL232*10000000+$T232*1000+228)</f>
        <v/>
      </c>
      <c r="V232" t="str">
        <f>IFERROR(MATCH(SMALL($U$5:$U$404,228),$U$5:$U$404,0),"")</f>
        <v/>
      </c>
      <c r="W232" t="str">
        <f t="shared" si="98"/>
        <v/>
      </c>
      <c r="X232" t="str">
        <f t="shared" si="99"/>
        <v/>
      </c>
      <c r="Y232" t="str">
        <f t="shared" si="100"/>
        <v/>
      </c>
      <c r="Z232">
        <f t="shared" si="110"/>
        <v>0</v>
      </c>
      <c r="AA232">
        <f t="shared" si="101"/>
        <v>0</v>
      </c>
      <c r="AB232">
        <f>IF($V232="",99999+228,$AB231+1+$Z231+$AA231+$AO231)</f>
        <v>100227</v>
      </c>
      <c r="AC232" t="str">
        <f>IFERROR(MATCH(228,$AB$5:$AB$404,1),"")</f>
        <v/>
      </c>
      <c r="AD232" t="str">
        <f>IF(228=$AI$1+1,"Z",IF($AC232="","",IF(INDEX($V$5:$V$404,$AC232)="","",IF(228&gt;INDEX($AB$5:$AB$404,$AC232)+INDEX($Z$5:$Z$404,$AC232)+INDEX($AA$5:$AA$404,$AC232)+INDEX($AO$5:$AO$404,$AC232),"",IF(228=INDEX($AB$5:$AB$404,$AC232)+INDEX($Z$5:$Z$404,$AC232),"D",IF(AND(INDEX($Z$5:$Z$404,$AC232)=1,228=INDEX($AB$5:$AB$404,$AC232)),"H",IF(AND(INDEX($AO$5:$AO$404,$AC232)=1,228=INDEX($AB$5:$AB$404,$AC232)+INDEX($Z$5:$Z$404,$AC232)+INDEX($AA$5:$AA$404,$AC232)+INDEX($AO$5:$AO$404,$AC232)),"B","T")))))))</f>
        <v/>
      </c>
      <c r="AF232" t="str">
        <f t="shared" si="102"/>
        <v/>
      </c>
      <c r="AJ232">
        <f>IF($AD232&lt;&gt;"T",0,ROUND(SUMIF(oil!$B$4:$B$63,$AF232,oil!$AE$4:$AE$63),2))</f>
        <v>0</v>
      </c>
      <c r="AK232" t="str">
        <f>IF($S232="","",IFERROR(INDEX(อัตราค่าขนส่ง!$R$5:$R$54,MATCH($S232,อัตราค่าขนส่ง!$Q$5:$Q$54,0)),INDEX(รายการมาตรฐาน!$G$2:$G$3,1)))</f>
        <v/>
      </c>
      <c r="AL232" t="str">
        <f>IF($S232="","",IFERROR(MATCH($AK232,รายการมาตรฐาน!$G$2:$G$3,0),1))</f>
        <v/>
      </c>
      <c r="AM232" t="str">
        <f t="shared" si="103"/>
        <v/>
      </c>
      <c r="AN232" t="str">
        <f t="shared" si="104"/>
        <v/>
      </c>
      <c r="AO232">
        <f t="shared" si="105"/>
        <v>0</v>
      </c>
      <c r="AP232">
        <f t="shared" si="111"/>
        <v>0</v>
      </c>
      <c r="AQ232" t="str">
        <f t="shared" si="106"/>
        <v/>
      </c>
      <c r="AR232">
        <f>IF($Y232="",0,COUNTIF(บันทึกรายเที่ยว!$V$6:$V$10005,$Y232))</f>
        <v>0</v>
      </c>
      <c r="AS232">
        <f>IF($Y232="",0,ROUND(SUMIF(บันทึกรายเที่ยว!$V$6:$V$10005,$Y232,บันทึกรายเที่ยว!$M$6:$M$10005),2))</f>
        <v>0</v>
      </c>
      <c r="AT232">
        <f>IF($Y232="",0,IFERROR(INDEX(อัตราค่าขนส่ง!$J$5:$J$204,MATCH($Y232,อัตราค่าขนส่ง!$O$5:$O$204,0)),0))</f>
        <v>0</v>
      </c>
      <c r="AU232">
        <f t="shared" si="107"/>
        <v>0</v>
      </c>
      <c r="AV232">
        <f t="shared" si="108"/>
        <v>0</v>
      </c>
      <c r="AW232" t="str">
        <f>IF($Y232="","",IFERROR(INDEX(อัตราค่าขนส่ง!$F$5:$F$204,MATCH($Y232,อัตราค่าขนส่ง!$O$5:$O$204,0)),""))</f>
        <v/>
      </c>
      <c r="AX232" t="str">
        <f>IF($W232="","",INDEX(บันทึกรายเที่ยว!$D$6:$D$10005,$W232))</f>
        <v/>
      </c>
      <c r="AY232" t="str">
        <f>IF($W232="","",INDEX(บันทึกรายเที่ยว!$R$6:$R$10005,$W232))</f>
        <v/>
      </c>
      <c r="AZ232">
        <f t="shared" si="109"/>
        <v>0</v>
      </c>
      <c r="BA232" t="str">
        <f>IF($W232="","",INDEX(บันทึกรายเที่ยว!$E$6:$E$10005,$W232))</f>
        <v/>
      </c>
      <c r="BC232">
        <f>IF($Y232="",0,IFERROR(INDEX(อัตราค่าขนส่ง!$M$5:$M$204,MATCH($Y232,อัตราค่าขนส่ง!$O$5:$O$204,0)),0))</f>
        <v>0</v>
      </c>
      <c r="BD232">
        <f>IF($Y232="",0,IFERROR(INDEX(อัตราค่าขนส่ง!$N$5:$N$204,MATCH($Y232,อัตราค่าขนส่ง!$O$5:$O$204,0)),0))</f>
        <v>0</v>
      </c>
    </row>
    <row r="233" spans="1:56" ht="21" customHeight="1" x14ac:dyDescent="0.95">
      <c r="A233" s="36" t="str">
        <f>IF($AD233="","",IF($AD233="Z","รวมจ่ายทั้งสิ้น",IF($AD233="H",INDEX($X$5:$X$404,$AC233),IF($AD233="T","รวม",IF($AD233="B",IFERROR(INDEX(อัตราค่าขนส่ง!$U$5:$U$14,MATCH(INDEX($AM$5:$AM$404,$AC233),อัตราค่าขนส่ง!$T$5:$T$14,0)),"รวมกลุ่ม "&amp;INDEX($AM$5:$AM$404,$AC233)),INDEX($AY$5:$AY$404,$AC233))))))</f>
        <v/>
      </c>
      <c r="B233" s="31" t="str">
        <f t="shared" si="84"/>
        <v/>
      </c>
      <c r="C233" s="8" t="str">
        <f t="shared" si="85"/>
        <v/>
      </c>
      <c r="D233" s="37" t="str">
        <f t="shared" si="86"/>
        <v/>
      </c>
      <c r="E233" s="31" t="str">
        <f t="shared" si="87"/>
        <v/>
      </c>
      <c r="F233" s="32" t="str">
        <f t="shared" si="88"/>
        <v/>
      </c>
      <c r="G233" s="32" t="str">
        <f t="shared" si="89"/>
        <v/>
      </c>
      <c r="H233" s="32" t="str">
        <f t="shared" si="90"/>
        <v/>
      </c>
      <c r="I233" s="32" t="str">
        <f t="shared" si="91"/>
        <v/>
      </c>
      <c r="J233" s="46" t="str">
        <f t="shared" si="92"/>
        <v/>
      </c>
      <c r="K233" s="32" t="str">
        <f t="shared" si="93"/>
        <v/>
      </c>
      <c r="L233" s="32" t="str">
        <f t="shared" si="94"/>
        <v/>
      </c>
      <c r="M233" s="32" t="str">
        <f t="shared" si="95"/>
        <v/>
      </c>
      <c r="N233" s="32" t="str">
        <f t="shared" si="96"/>
        <v/>
      </c>
      <c r="O233" s="32" t="str">
        <f t="shared" si="97"/>
        <v/>
      </c>
      <c r="Q233" t="str">
        <f>IFERROR(MATCH(229,บันทึกรายเที่ยว!$Z$6:$Z$10005,0),"")</f>
        <v/>
      </c>
      <c r="R233" t="str">
        <f>IF($Q233="","",INDEX(บันทึกรายเที่ยว!$V$6:$V$10005,$Q233))</f>
        <v/>
      </c>
      <c r="S233" t="str">
        <f>IF($Q233="","",INDEX(บันทึกรายเที่ยว!$F$6:$F$10005,$Q233))</f>
        <v/>
      </c>
      <c r="T233" t="str">
        <f>IF($Q233="","",MATCH($S233,บันทึกรายเที่ยว!$F$6:$F$10005,0))</f>
        <v/>
      </c>
      <c r="U233" t="str">
        <f>IF($Q233="","",$AL233*10000000+$T233*1000+229)</f>
        <v/>
      </c>
      <c r="V233" t="str">
        <f>IFERROR(MATCH(SMALL($U$5:$U$404,229),$U$5:$U$404,0),"")</f>
        <v/>
      </c>
      <c r="W233" t="str">
        <f t="shared" si="98"/>
        <v/>
      </c>
      <c r="X233" t="str">
        <f t="shared" si="99"/>
        <v/>
      </c>
      <c r="Y233" t="str">
        <f t="shared" si="100"/>
        <v/>
      </c>
      <c r="Z233">
        <f t="shared" si="110"/>
        <v>0</v>
      </c>
      <c r="AA233">
        <f t="shared" si="101"/>
        <v>0</v>
      </c>
      <c r="AB233">
        <f>IF($V233="",99999+229,$AB232+1+$Z232+$AA232+$AO232)</f>
        <v>100228</v>
      </c>
      <c r="AC233" t="str">
        <f>IFERROR(MATCH(229,$AB$5:$AB$404,1),"")</f>
        <v/>
      </c>
      <c r="AD233" t="str">
        <f>IF(229=$AI$1+1,"Z",IF($AC233="","",IF(INDEX($V$5:$V$404,$AC233)="","",IF(229&gt;INDEX($AB$5:$AB$404,$AC233)+INDEX($Z$5:$Z$404,$AC233)+INDEX($AA$5:$AA$404,$AC233)+INDEX($AO$5:$AO$404,$AC233),"",IF(229=INDEX($AB$5:$AB$404,$AC233)+INDEX($Z$5:$Z$404,$AC233),"D",IF(AND(INDEX($Z$5:$Z$404,$AC233)=1,229=INDEX($AB$5:$AB$404,$AC233)),"H",IF(AND(INDEX($AO$5:$AO$404,$AC233)=1,229=INDEX($AB$5:$AB$404,$AC233)+INDEX($Z$5:$Z$404,$AC233)+INDEX($AA$5:$AA$404,$AC233)+INDEX($AO$5:$AO$404,$AC233)),"B","T")))))))</f>
        <v/>
      </c>
      <c r="AF233" t="str">
        <f t="shared" si="102"/>
        <v/>
      </c>
      <c r="AJ233">
        <f>IF($AD233&lt;&gt;"T",0,ROUND(SUMIF(oil!$B$4:$B$63,$AF233,oil!$AE$4:$AE$63),2))</f>
        <v>0</v>
      </c>
      <c r="AK233" t="str">
        <f>IF($S233="","",IFERROR(INDEX(อัตราค่าขนส่ง!$R$5:$R$54,MATCH($S233,อัตราค่าขนส่ง!$Q$5:$Q$54,0)),INDEX(รายการมาตรฐาน!$G$2:$G$3,1)))</f>
        <v/>
      </c>
      <c r="AL233" t="str">
        <f>IF($S233="","",IFERROR(MATCH($AK233,รายการมาตรฐาน!$G$2:$G$3,0),1))</f>
        <v/>
      </c>
      <c r="AM233" t="str">
        <f t="shared" si="103"/>
        <v/>
      </c>
      <c r="AN233" t="str">
        <f t="shared" si="104"/>
        <v/>
      </c>
      <c r="AO233">
        <f t="shared" si="105"/>
        <v>0</v>
      </c>
      <c r="AP233">
        <f t="shared" si="111"/>
        <v>0</v>
      </c>
      <c r="AQ233" t="str">
        <f t="shared" si="106"/>
        <v/>
      </c>
      <c r="AR233">
        <f>IF($Y233="",0,COUNTIF(บันทึกรายเที่ยว!$V$6:$V$10005,$Y233))</f>
        <v>0</v>
      </c>
      <c r="AS233">
        <f>IF($Y233="",0,ROUND(SUMIF(บันทึกรายเที่ยว!$V$6:$V$10005,$Y233,บันทึกรายเที่ยว!$M$6:$M$10005),2))</f>
        <v>0</v>
      </c>
      <c r="AT233">
        <f>IF($Y233="",0,IFERROR(INDEX(อัตราค่าขนส่ง!$J$5:$J$204,MATCH($Y233,อัตราค่าขนส่ง!$O$5:$O$204,0)),0))</f>
        <v>0</v>
      </c>
      <c r="AU233">
        <f t="shared" si="107"/>
        <v>0</v>
      </c>
      <c r="AV233">
        <f t="shared" si="108"/>
        <v>0</v>
      </c>
      <c r="AW233" t="str">
        <f>IF($Y233="","",IFERROR(INDEX(อัตราค่าขนส่ง!$F$5:$F$204,MATCH($Y233,อัตราค่าขนส่ง!$O$5:$O$204,0)),""))</f>
        <v/>
      </c>
      <c r="AX233" t="str">
        <f>IF($W233="","",INDEX(บันทึกรายเที่ยว!$D$6:$D$10005,$W233))</f>
        <v/>
      </c>
      <c r="AY233" t="str">
        <f>IF($W233="","",INDEX(บันทึกรายเที่ยว!$R$6:$R$10005,$W233))</f>
        <v/>
      </c>
      <c r="AZ233">
        <f t="shared" si="109"/>
        <v>0</v>
      </c>
      <c r="BA233" t="str">
        <f>IF($W233="","",INDEX(บันทึกรายเที่ยว!$E$6:$E$10005,$W233))</f>
        <v/>
      </c>
      <c r="BC233">
        <f>IF($Y233="",0,IFERROR(INDEX(อัตราค่าขนส่ง!$M$5:$M$204,MATCH($Y233,อัตราค่าขนส่ง!$O$5:$O$204,0)),0))</f>
        <v>0</v>
      </c>
      <c r="BD233">
        <f>IF($Y233="",0,IFERROR(INDEX(อัตราค่าขนส่ง!$N$5:$N$204,MATCH($Y233,อัตราค่าขนส่ง!$O$5:$O$204,0)),0))</f>
        <v>0</v>
      </c>
    </row>
    <row r="234" spans="1:56" ht="21" customHeight="1" x14ac:dyDescent="0.95">
      <c r="A234" s="36" t="str">
        <f>IF($AD234="","",IF($AD234="Z","รวมจ่ายทั้งสิ้น",IF($AD234="H",INDEX($X$5:$X$404,$AC234),IF($AD234="T","รวม",IF($AD234="B",IFERROR(INDEX(อัตราค่าขนส่ง!$U$5:$U$14,MATCH(INDEX($AM$5:$AM$404,$AC234),อัตราค่าขนส่ง!$T$5:$T$14,0)),"รวมกลุ่ม "&amp;INDEX($AM$5:$AM$404,$AC234)),INDEX($AY$5:$AY$404,$AC234))))))</f>
        <v/>
      </c>
      <c r="B234" s="31" t="str">
        <f t="shared" si="84"/>
        <v/>
      </c>
      <c r="C234" s="8" t="str">
        <f t="shared" si="85"/>
        <v/>
      </c>
      <c r="D234" s="37" t="str">
        <f t="shared" si="86"/>
        <v/>
      </c>
      <c r="E234" s="31" t="str">
        <f t="shared" si="87"/>
        <v/>
      </c>
      <c r="F234" s="32" t="str">
        <f t="shared" si="88"/>
        <v/>
      </c>
      <c r="G234" s="32" t="str">
        <f t="shared" si="89"/>
        <v/>
      </c>
      <c r="H234" s="32" t="str">
        <f t="shared" si="90"/>
        <v/>
      </c>
      <c r="I234" s="32" t="str">
        <f t="shared" si="91"/>
        <v/>
      </c>
      <c r="J234" s="46" t="str">
        <f t="shared" si="92"/>
        <v/>
      </c>
      <c r="K234" s="32" t="str">
        <f t="shared" si="93"/>
        <v/>
      </c>
      <c r="L234" s="32" t="str">
        <f t="shared" si="94"/>
        <v/>
      </c>
      <c r="M234" s="32" t="str">
        <f t="shared" si="95"/>
        <v/>
      </c>
      <c r="N234" s="32" t="str">
        <f t="shared" si="96"/>
        <v/>
      </c>
      <c r="O234" s="32" t="str">
        <f t="shared" si="97"/>
        <v/>
      </c>
      <c r="Q234" t="str">
        <f>IFERROR(MATCH(230,บันทึกรายเที่ยว!$Z$6:$Z$10005,0),"")</f>
        <v/>
      </c>
      <c r="R234" t="str">
        <f>IF($Q234="","",INDEX(บันทึกรายเที่ยว!$V$6:$V$10005,$Q234))</f>
        <v/>
      </c>
      <c r="S234" t="str">
        <f>IF($Q234="","",INDEX(บันทึกรายเที่ยว!$F$6:$F$10005,$Q234))</f>
        <v/>
      </c>
      <c r="T234" t="str">
        <f>IF($Q234="","",MATCH($S234,บันทึกรายเที่ยว!$F$6:$F$10005,0))</f>
        <v/>
      </c>
      <c r="U234" t="str">
        <f>IF($Q234="","",$AL234*10000000+$T234*1000+230)</f>
        <v/>
      </c>
      <c r="V234" t="str">
        <f>IFERROR(MATCH(SMALL($U$5:$U$404,230),$U$5:$U$404,0),"")</f>
        <v/>
      </c>
      <c r="W234" t="str">
        <f t="shared" si="98"/>
        <v/>
      </c>
      <c r="X234" t="str">
        <f t="shared" si="99"/>
        <v/>
      </c>
      <c r="Y234" t="str">
        <f t="shared" si="100"/>
        <v/>
      </c>
      <c r="Z234">
        <f t="shared" si="110"/>
        <v>0</v>
      </c>
      <c r="AA234">
        <f t="shared" si="101"/>
        <v>0</v>
      </c>
      <c r="AB234">
        <f>IF($V234="",99999+230,$AB233+1+$Z233+$AA233+$AO233)</f>
        <v>100229</v>
      </c>
      <c r="AC234" t="str">
        <f>IFERROR(MATCH(230,$AB$5:$AB$404,1),"")</f>
        <v/>
      </c>
      <c r="AD234" t="str">
        <f>IF(230=$AI$1+1,"Z",IF($AC234="","",IF(INDEX($V$5:$V$404,$AC234)="","",IF(230&gt;INDEX($AB$5:$AB$404,$AC234)+INDEX($Z$5:$Z$404,$AC234)+INDEX($AA$5:$AA$404,$AC234)+INDEX($AO$5:$AO$404,$AC234),"",IF(230=INDEX($AB$5:$AB$404,$AC234)+INDEX($Z$5:$Z$404,$AC234),"D",IF(AND(INDEX($Z$5:$Z$404,$AC234)=1,230=INDEX($AB$5:$AB$404,$AC234)),"H",IF(AND(INDEX($AO$5:$AO$404,$AC234)=1,230=INDEX($AB$5:$AB$404,$AC234)+INDEX($Z$5:$Z$404,$AC234)+INDEX($AA$5:$AA$404,$AC234)+INDEX($AO$5:$AO$404,$AC234)),"B","T")))))))</f>
        <v/>
      </c>
      <c r="AF234" t="str">
        <f t="shared" si="102"/>
        <v/>
      </c>
      <c r="AJ234">
        <f>IF($AD234&lt;&gt;"T",0,ROUND(SUMIF(oil!$B$4:$B$63,$AF234,oil!$AE$4:$AE$63),2))</f>
        <v>0</v>
      </c>
      <c r="AK234" t="str">
        <f>IF($S234="","",IFERROR(INDEX(อัตราค่าขนส่ง!$R$5:$R$54,MATCH($S234,อัตราค่าขนส่ง!$Q$5:$Q$54,0)),INDEX(รายการมาตรฐาน!$G$2:$G$3,1)))</f>
        <v/>
      </c>
      <c r="AL234" t="str">
        <f>IF($S234="","",IFERROR(MATCH($AK234,รายการมาตรฐาน!$G$2:$G$3,0),1))</f>
        <v/>
      </c>
      <c r="AM234" t="str">
        <f t="shared" si="103"/>
        <v/>
      </c>
      <c r="AN234" t="str">
        <f t="shared" si="104"/>
        <v/>
      </c>
      <c r="AO234">
        <f t="shared" si="105"/>
        <v>0</v>
      </c>
      <c r="AP234">
        <f t="shared" si="111"/>
        <v>0</v>
      </c>
      <c r="AQ234" t="str">
        <f t="shared" si="106"/>
        <v/>
      </c>
      <c r="AR234">
        <f>IF($Y234="",0,COUNTIF(บันทึกรายเที่ยว!$V$6:$V$10005,$Y234))</f>
        <v>0</v>
      </c>
      <c r="AS234">
        <f>IF($Y234="",0,ROUND(SUMIF(บันทึกรายเที่ยว!$V$6:$V$10005,$Y234,บันทึกรายเที่ยว!$M$6:$M$10005),2))</f>
        <v>0</v>
      </c>
      <c r="AT234">
        <f>IF($Y234="",0,IFERROR(INDEX(อัตราค่าขนส่ง!$J$5:$J$204,MATCH($Y234,อัตราค่าขนส่ง!$O$5:$O$204,0)),0))</f>
        <v>0</v>
      </c>
      <c r="AU234">
        <f t="shared" si="107"/>
        <v>0</v>
      </c>
      <c r="AV234">
        <f t="shared" si="108"/>
        <v>0</v>
      </c>
      <c r="AW234" t="str">
        <f>IF($Y234="","",IFERROR(INDEX(อัตราค่าขนส่ง!$F$5:$F$204,MATCH($Y234,อัตราค่าขนส่ง!$O$5:$O$204,0)),""))</f>
        <v/>
      </c>
      <c r="AX234" t="str">
        <f>IF($W234="","",INDEX(บันทึกรายเที่ยว!$D$6:$D$10005,$W234))</f>
        <v/>
      </c>
      <c r="AY234" t="str">
        <f>IF($W234="","",INDEX(บันทึกรายเที่ยว!$R$6:$R$10005,$W234))</f>
        <v/>
      </c>
      <c r="AZ234">
        <f t="shared" si="109"/>
        <v>0</v>
      </c>
      <c r="BA234" t="str">
        <f>IF($W234="","",INDEX(บันทึกรายเที่ยว!$E$6:$E$10005,$W234))</f>
        <v/>
      </c>
      <c r="BC234">
        <f>IF($Y234="",0,IFERROR(INDEX(อัตราค่าขนส่ง!$M$5:$M$204,MATCH($Y234,อัตราค่าขนส่ง!$O$5:$O$204,0)),0))</f>
        <v>0</v>
      </c>
      <c r="BD234">
        <f>IF($Y234="",0,IFERROR(INDEX(อัตราค่าขนส่ง!$N$5:$N$204,MATCH($Y234,อัตราค่าขนส่ง!$O$5:$O$204,0)),0))</f>
        <v>0</v>
      </c>
    </row>
    <row r="235" spans="1:56" ht="21" customHeight="1" x14ac:dyDescent="0.95">
      <c r="A235" s="36" t="str">
        <f>IF($AD235="","",IF($AD235="Z","รวมจ่ายทั้งสิ้น",IF($AD235="H",INDEX($X$5:$X$404,$AC235),IF($AD235="T","รวม",IF($AD235="B",IFERROR(INDEX(อัตราค่าขนส่ง!$U$5:$U$14,MATCH(INDEX($AM$5:$AM$404,$AC235),อัตราค่าขนส่ง!$T$5:$T$14,0)),"รวมกลุ่ม "&amp;INDEX($AM$5:$AM$404,$AC235)),INDEX($AY$5:$AY$404,$AC235))))))</f>
        <v/>
      </c>
      <c r="B235" s="31" t="str">
        <f t="shared" si="84"/>
        <v/>
      </c>
      <c r="C235" s="8" t="str">
        <f t="shared" si="85"/>
        <v/>
      </c>
      <c r="D235" s="37" t="str">
        <f t="shared" si="86"/>
        <v/>
      </c>
      <c r="E235" s="31" t="str">
        <f t="shared" si="87"/>
        <v/>
      </c>
      <c r="F235" s="32" t="str">
        <f t="shared" si="88"/>
        <v/>
      </c>
      <c r="G235" s="32" t="str">
        <f t="shared" si="89"/>
        <v/>
      </c>
      <c r="H235" s="32" t="str">
        <f t="shared" si="90"/>
        <v/>
      </c>
      <c r="I235" s="32" t="str">
        <f t="shared" si="91"/>
        <v/>
      </c>
      <c r="J235" s="46" t="str">
        <f t="shared" si="92"/>
        <v/>
      </c>
      <c r="K235" s="32" t="str">
        <f t="shared" si="93"/>
        <v/>
      </c>
      <c r="L235" s="32" t="str">
        <f t="shared" si="94"/>
        <v/>
      </c>
      <c r="M235" s="32" t="str">
        <f t="shared" si="95"/>
        <v/>
      </c>
      <c r="N235" s="32" t="str">
        <f t="shared" si="96"/>
        <v/>
      </c>
      <c r="O235" s="32" t="str">
        <f t="shared" si="97"/>
        <v/>
      </c>
      <c r="Q235" t="str">
        <f>IFERROR(MATCH(231,บันทึกรายเที่ยว!$Z$6:$Z$10005,0),"")</f>
        <v/>
      </c>
      <c r="R235" t="str">
        <f>IF($Q235="","",INDEX(บันทึกรายเที่ยว!$V$6:$V$10005,$Q235))</f>
        <v/>
      </c>
      <c r="S235" t="str">
        <f>IF($Q235="","",INDEX(บันทึกรายเที่ยว!$F$6:$F$10005,$Q235))</f>
        <v/>
      </c>
      <c r="T235" t="str">
        <f>IF($Q235="","",MATCH($S235,บันทึกรายเที่ยว!$F$6:$F$10005,0))</f>
        <v/>
      </c>
      <c r="U235" t="str">
        <f>IF($Q235="","",$AL235*10000000+$T235*1000+231)</f>
        <v/>
      </c>
      <c r="V235" t="str">
        <f>IFERROR(MATCH(SMALL($U$5:$U$404,231),$U$5:$U$404,0),"")</f>
        <v/>
      </c>
      <c r="W235" t="str">
        <f t="shared" si="98"/>
        <v/>
      </c>
      <c r="X235" t="str">
        <f t="shared" si="99"/>
        <v/>
      </c>
      <c r="Y235" t="str">
        <f t="shared" si="100"/>
        <v/>
      </c>
      <c r="Z235">
        <f t="shared" si="110"/>
        <v>0</v>
      </c>
      <c r="AA235">
        <f t="shared" si="101"/>
        <v>0</v>
      </c>
      <c r="AB235">
        <f>IF($V235="",99999+231,$AB234+1+$Z234+$AA234+$AO234)</f>
        <v>100230</v>
      </c>
      <c r="AC235" t="str">
        <f>IFERROR(MATCH(231,$AB$5:$AB$404,1),"")</f>
        <v/>
      </c>
      <c r="AD235" t="str">
        <f>IF(231=$AI$1+1,"Z",IF($AC235="","",IF(INDEX($V$5:$V$404,$AC235)="","",IF(231&gt;INDEX($AB$5:$AB$404,$AC235)+INDEX($Z$5:$Z$404,$AC235)+INDEX($AA$5:$AA$404,$AC235)+INDEX($AO$5:$AO$404,$AC235),"",IF(231=INDEX($AB$5:$AB$404,$AC235)+INDEX($Z$5:$Z$404,$AC235),"D",IF(AND(INDEX($Z$5:$Z$404,$AC235)=1,231=INDEX($AB$5:$AB$404,$AC235)),"H",IF(AND(INDEX($AO$5:$AO$404,$AC235)=1,231=INDEX($AB$5:$AB$404,$AC235)+INDEX($Z$5:$Z$404,$AC235)+INDEX($AA$5:$AA$404,$AC235)+INDEX($AO$5:$AO$404,$AC235)),"B","T")))))))</f>
        <v/>
      </c>
      <c r="AF235" t="str">
        <f t="shared" si="102"/>
        <v/>
      </c>
      <c r="AJ235">
        <f>IF($AD235&lt;&gt;"T",0,ROUND(SUMIF(oil!$B$4:$B$63,$AF235,oil!$AE$4:$AE$63),2))</f>
        <v>0</v>
      </c>
      <c r="AK235" t="str">
        <f>IF($S235="","",IFERROR(INDEX(อัตราค่าขนส่ง!$R$5:$R$54,MATCH($S235,อัตราค่าขนส่ง!$Q$5:$Q$54,0)),INDEX(รายการมาตรฐาน!$G$2:$G$3,1)))</f>
        <v/>
      </c>
      <c r="AL235" t="str">
        <f>IF($S235="","",IFERROR(MATCH($AK235,รายการมาตรฐาน!$G$2:$G$3,0),1))</f>
        <v/>
      </c>
      <c r="AM235" t="str">
        <f t="shared" si="103"/>
        <v/>
      </c>
      <c r="AN235" t="str">
        <f t="shared" si="104"/>
        <v/>
      </c>
      <c r="AO235">
        <f t="shared" si="105"/>
        <v>0</v>
      </c>
      <c r="AP235">
        <f t="shared" si="111"/>
        <v>0</v>
      </c>
      <c r="AQ235" t="str">
        <f t="shared" si="106"/>
        <v/>
      </c>
      <c r="AR235">
        <f>IF($Y235="",0,COUNTIF(บันทึกรายเที่ยว!$V$6:$V$10005,$Y235))</f>
        <v>0</v>
      </c>
      <c r="AS235">
        <f>IF($Y235="",0,ROUND(SUMIF(บันทึกรายเที่ยว!$V$6:$V$10005,$Y235,บันทึกรายเที่ยว!$M$6:$M$10005),2))</f>
        <v>0</v>
      </c>
      <c r="AT235">
        <f>IF($Y235="",0,IFERROR(INDEX(อัตราค่าขนส่ง!$J$5:$J$204,MATCH($Y235,อัตราค่าขนส่ง!$O$5:$O$204,0)),0))</f>
        <v>0</v>
      </c>
      <c r="AU235">
        <f t="shared" si="107"/>
        <v>0</v>
      </c>
      <c r="AV235">
        <f t="shared" si="108"/>
        <v>0</v>
      </c>
      <c r="AW235" t="str">
        <f>IF($Y235="","",IFERROR(INDEX(อัตราค่าขนส่ง!$F$5:$F$204,MATCH($Y235,อัตราค่าขนส่ง!$O$5:$O$204,0)),""))</f>
        <v/>
      </c>
      <c r="AX235" t="str">
        <f>IF($W235="","",INDEX(บันทึกรายเที่ยว!$D$6:$D$10005,$W235))</f>
        <v/>
      </c>
      <c r="AY235" t="str">
        <f>IF($W235="","",INDEX(บันทึกรายเที่ยว!$R$6:$R$10005,$W235))</f>
        <v/>
      </c>
      <c r="AZ235">
        <f t="shared" si="109"/>
        <v>0</v>
      </c>
      <c r="BA235" t="str">
        <f>IF($W235="","",INDEX(บันทึกรายเที่ยว!$E$6:$E$10005,$W235))</f>
        <v/>
      </c>
      <c r="BC235">
        <f>IF($Y235="",0,IFERROR(INDEX(อัตราค่าขนส่ง!$M$5:$M$204,MATCH($Y235,อัตราค่าขนส่ง!$O$5:$O$204,0)),0))</f>
        <v>0</v>
      </c>
      <c r="BD235">
        <f>IF($Y235="",0,IFERROR(INDEX(อัตราค่าขนส่ง!$N$5:$N$204,MATCH($Y235,อัตราค่าขนส่ง!$O$5:$O$204,0)),0))</f>
        <v>0</v>
      </c>
    </row>
    <row r="236" spans="1:56" ht="21" customHeight="1" x14ac:dyDescent="0.95">
      <c r="A236" s="36" t="str">
        <f>IF($AD236="","",IF($AD236="Z","รวมจ่ายทั้งสิ้น",IF($AD236="H",INDEX($X$5:$X$404,$AC236),IF($AD236="T","รวม",IF($AD236="B",IFERROR(INDEX(อัตราค่าขนส่ง!$U$5:$U$14,MATCH(INDEX($AM$5:$AM$404,$AC236),อัตราค่าขนส่ง!$T$5:$T$14,0)),"รวมกลุ่ม "&amp;INDEX($AM$5:$AM$404,$AC236)),INDEX($AY$5:$AY$404,$AC236))))))</f>
        <v/>
      </c>
      <c r="B236" s="31" t="str">
        <f t="shared" si="84"/>
        <v/>
      </c>
      <c r="C236" s="8" t="str">
        <f t="shared" si="85"/>
        <v/>
      </c>
      <c r="D236" s="37" t="str">
        <f t="shared" si="86"/>
        <v/>
      </c>
      <c r="E236" s="31" t="str">
        <f t="shared" si="87"/>
        <v/>
      </c>
      <c r="F236" s="32" t="str">
        <f t="shared" si="88"/>
        <v/>
      </c>
      <c r="G236" s="32" t="str">
        <f t="shared" si="89"/>
        <v/>
      </c>
      <c r="H236" s="32" t="str">
        <f t="shared" si="90"/>
        <v/>
      </c>
      <c r="I236" s="32" t="str">
        <f t="shared" si="91"/>
        <v/>
      </c>
      <c r="J236" s="46" t="str">
        <f t="shared" si="92"/>
        <v/>
      </c>
      <c r="K236" s="32" t="str">
        <f t="shared" si="93"/>
        <v/>
      </c>
      <c r="L236" s="32" t="str">
        <f t="shared" si="94"/>
        <v/>
      </c>
      <c r="M236" s="32" t="str">
        <f t="shared" si="95"/>
        <v/>
      </c>
      <c r="N236" s="32" t="str">
        <f t="shared" si="96"/>
        <v/>
      </c>
      <c r="O236" s="32" t="str">
        <f t="shared" si="97"/>
        <v/>
      </c>
      <c r="Q236" t="str">
        <f>IFERROR(MATCH(232,บันทึกรายเที่ยว!$Z$6:$Z$10005,0),"")</f>
        <v/>
      </c>
      <c r="R236" t="str">
        <f>IF($Q236="","",INDEX(บันทึกรายเที่ยว!$V$6:$V$10005,$Q236))</f>
        <v/>
      </c>
      <c r="S236" t="str">
        <f>IF($Q236="","",INDEX(บันทึกรายเที่ยว!$F$6:$F$10005,$Q236))</f>
        <v/>
      </c>
      <c r="T236" t="str">
        <f>IF($Q236="","",MATCH($S236,บันทึกรายเที่ยว!$F$6:$F$10005,0))</f>
        <v/>
      </c>
      <c r="U236" t="str">
        <f>IF($Q236="","",$AL236*10000000+$T236*1000+232)</f>
        <v/>
      </c>
      <c r="V236" t="str">
        <f>IFERROR(MATCH(SMALL($U$5:$U$404,232),$U$5:$U$404,0),"")</f>
        <v/>
      </c>
      <c r="W236" t="str">
        <f t="shared" si="98"/>
        <v/>
      </c>
      <c r="X236" t="str">
        <f t="shared" si="99"/>
        <v/>
      </c>
      <c r="Y236" t="str">
        <f t="shared" si="100"/>
        <v/>
      </c>
      <c r="Z236">
        <f t="shared" si="110"/>
        <v>0</v>
      </c>
      <c r="AA236">
        <f t="shared" si="101"/>
        <v>0</v>
      </c>
      <c r="AB236">
        <f>IF($V236="",99999+232,$AB235+1+$Z235+$AA235+$AO235)</f>
        <v>100231</v>
      </c>
      <c r="AC236" t="str">
        <f>IFERROR(MATCH(232,$AB$5:$AB$404,1),"")</f>
        <v/>
      </c>
      <c r="AD236" t="str">
        <f>IF(232=$AI$1+1,"Z",IF($AC236="","",IF(INDEX($V$5:$V$404,$AC236)="","",IF(232&gt;INDEX($AB$5:$AB$404,$AC236)+INDEX($Z$5:$Z$404,$AC236)+INDEX($AA$5:$AA$404,$AC236)+INDEX($AO$5:$AO$404,$AC236),"",IF(232=INDEX($AB$5:$AB$404,$AC236)+INDEX($Z$5:$Z$404,$AC236),"D",IF(AND(INDEX($Z$5:$Z$404,$AC236)=1,232=INDEX($AB$5:$AB$404,$AC236)),"H",IF(AND(INDEX($AO$5:$AO$404,$AC236)=1,232=INDEX($AB$5:$AB$404,$AC236)+INDEX($Z$5:$Z$404,$AC236)+INDEX($AA$5:$AA$404,$AC236)+INDEX($AO$5:$AO$404,$AC236)),"B","T")))))))</f>
        <v/>
      </c>
      <c r="AF236" t="str">
        <f t="shared" si="102"/>
        <v/>
      </c>
      <c r="AJ236">
        <f>IF($AD236&lt;&gt;"T",0,ROUND(SUMIF(oil!$B$4:$B$63,$AF236,oil!$AE$4:$AE$63),2))</f>
        <v>0</v>
      </c>
      <c r="AK236" t="str">
        <f>IF($S236="","",IFERROR(INDEX(อัตราค่าขนส่ง!$R$5:$R$54,MATCH($S236,อัตราค่าขนส่ง!$Q$5:$Q$54,0)),INDEX(รายการมาตรฐาน!$G$2:$G$3,1)))</f>
        <v/>
      </c>
      <c r="AL236" t="str">
        <f>IF($S236="","",IFERROR(MATCH($AK236,รายการมาตรฐาน!$G$2:$G$3,0),1))</f>
        <v/>
      </c>
      <c r="AM236" t="str">
        <f t="shared" si="103"/>
        <v/>
      </c>
      <c r="AN236" t="str">
        <f t="shared" si="104"/>
        <v/>
      </c>
      <c r="AO236">
        <f t="shared" si="105"/>
        <v>0</v>
      </c>
      <c r="AP236">
        <f t="shared" si="111"/>
        <v>0</v>
      </c>
      <c r="AQ236" t="str">
        <f t="shared" si="106"/>
        <v/>
      </c>
      <c r="AR236">
        <f>IF($Y236="",0,COUNTIF(บันทึกรายเที่ยว!$V$6:$V$10005,$Y236))</f>
        <v>0</v>
      </c>
      <c r="AS236">
        <f>IF($Y236="",0,ROUND(SUMIF(บันทึกรายเที่ยว!$V$6:$V$10005,$Y236,บันทึกรายเที่ยว!$M$6:$M$10005),2))</f>
        <v>0</v>
      </c>
      <c r="AT236">
        <f>IF($Y236="",0,IFERROR(INDEX(อัตราค่าขนส่ง!$J$5:$J$204,MATCH($Y236,อัตราค่าขนส่ง!$O$5:$O$204,0)),0))</f>
        <v>0</v>
      </c>
      <c r="AU236">
        <f t="shared" si="107"/>
        <v>0</v>
      </c>
      <c r="AV236">
        <f t="shared" si="108"/>
        <v>0</v>
      </c>
      <c r="AW236" t="str">
        <f>IF($Y236="","",IFERROR(INDEX(อัตราค่าขนส่ง!$F$5:$F$204,MATCH($Y236,อัตราค่าขนส่ง!$O$5:$O$204,0)),""))</f>
        <v/>
      </c>
      <c r="AX236" t="str">
        <f>IF($W236="","",INDEX(บันทึกรายเที่ยว!$D$6:$D$10005,$W236))</f>
        <v/>
      </c>
      <c r="AY236" t="str">
        <f>IF($W236="","",INDEX(บันทึกรายเที่ยว!$R$6:$R$10005,$W236))</f>
        <v/>
      </c>
      <c r="AZ236">
        <f t="shared" si="109"/>
        <v>0</v>
      </c>
      <c r="BA236" t="str">
        <f>IF($W236="","",INDEX(บันทึกรายเที่ยว!$E$6:$E$10005,$W236))</f>
        <v/>
      </c>
      <c r="BC236">
        <f>IF($Y236="",0,IFERROR(INDEX(อัตราค่าขนส่ง!$M$5:$M$204,MATCH($Y236,อัตราค่าขนส่ง!$O$5:$O$204,0)),0))</f>
        <v>0</v>
      </c>
      <c r="BD236">
        <f>IF($Y236="",0,IFERROR(INDEX(อัตราค่าขนส่ง!$N$5:$N$204,MATCH($Y236,อัตราค่าขนส่ง!$O$5:$O$204,0)),0))</f>
        <v>0</v>
      </c>
    </row>
    <row r="237" spans="1:56" ht="21" customHeight="1" x14ac:dyDescent="0.95">
      <c r="A237" s="36" t="str">
        <f>IF($AD237="","",IF($AD237="Z","รวมจ่ายทั้งสิ้น",IF($AD237="H",INDEX($X$5:$X$404,$AC237),IF($AD237="T","รวม",IF($AD237="B",IFERROR(INDEX(อัตราค่าขนส่ง!$U$5:$U$14,MATCH(INDEX($AM$5:$AM$404,$AC237),อัตราค่าขนส่ง!$T$5:$T$14,0)),"รวมกลุ่ม "&amp;INDEX($AM$5:$AM$404,$AC237)),INDEX($AY$5:$AY$404,$AC237))))))</f>
        <v/>
      </c>
      <c r="B237" s="31" t="str">
        <f t="shared" si="84"/>
        <v/>
      </c>
      <c r="C237" s="8" t="str">
        <f t="shared" si="85"/>
        <v/>
      </c>
      <c r="D237" s="37" t="str">
        <f t="shared" si="86"/>
        <v/>
      </c>
      <c r="E237" s="31" t="str">
        <f t="shared" si="87"/>
        <v/>
      </c>
      <c r="F237" s="32" t="str">
        <f t="shared" si="88"/>
        <v/>
      </c>
      <c r="G237" s="32" t="str">
        <f t="shared" si="89"/>
        <v/>
      </c>
      <c r="H237" s="32" t="str">
        <f t="shared" si="90"/>
        <v/>
      </c>
      <c r="I237" s="32" t="str">
        <f t="shared" si="91"/>
        <v/>
      </c>
      <c r="J237" s="46" t="str">
        <f t="shared" si="92"/>
        <v/>
      </c>
      <c r="K237" s="32" t="str">
        <f t="shared" si="93"/>
        <v/>
      </c>
      <c r="L237" s="32" t="str">
        <f t="shared" si="94"/>
        <v/>
      </c>
      <c r="M237" s="32" t="str">
        <f t="shared" si="95"/>
        <v/>
      </c>
      <c r="N237" s="32" t="str">
        <f t="shared" si="96"/>
        <v/>
      </c>
      <c r="O237" s="32" t="str">
        <f t="shared" si="97"/>
        <v/>
      </c>
      <c r="Q237" t="str">
        <f>IFERROR(MATCH(233,บันทึกรายเที่ยว!$Z$6:$Z$10005,0),"")</f>
        <v/>
      </c>
      <c r="R237" t="str">
        <f>IF($Q237="","",INDEX(บันทึกรายเที่ยว!$V$6:$V$10005,$Q237))</f>
        <v/>
      </c>
      <c r="S237" t="str">
        <f>IF($Q237="","",INDEX(บันทึกรายเที่ยว!$F$6:$F$10005,$Q237))</f>
        <v/>
      </c>
      <c r="T237" t="str">
        <f>IF($Q237="","",MATCH($S237,บันทึกรายเที่ยว!$F$6:$F$10005,0))</f>
        <v/>
      </c>
      <c r="U237" t="str">
        <f>IF($Q237="","",$AL237*10000000+$T237*1000+233)</f>
        <v/>
      </c>
      <c r="V237" t="str">
        <f>IFERROR(MATCH(SMALL($U$5:$U$404,233),$U$5:$U$404,0),"")</f>
        <v/>
      </c>
      <c r="W237" t="str">
        <f t="shared" si="98"/>
        <v/>
      </c>
      <c r="X237" t="str">
        <f t="shared" si="99"/>
        <v/>
      </c>
      <c r="Y237" t="str">
        <f t="shared" si="100"/>
        <v/>
      </c>
      <c r="Z237">
        <f t="shared" si="110"/>
        <v>0</v>
      </c>
      <c r="AA237">
        <f t="shared" si="101"/>
        <v>0</v>
      </c>
      <c r="AB237">
        <f>IF($V237="",99999+233,$AB236+1+$Z236+$AA236+$AO236)</f>
        <v>100232</v>
      </c>
      <c r="AC237" t="str">
        <f>IFERROR(MATCH(233,$AB$5:$AB$404,1),"")</f>
        <v/>
      </c>
      <c r="AD237" t="str">
        <f>IF(233=$AI$1+1,"Z",IF($AC237="","",IF(INDEX($V$5:$V$404,$AC237)="","",IF(233&gt;INDEX($AB$5:$AB$404,$AC237)+INDEX($Z$5:$Z$404,$AC237)+INDEX($AA$5:$AA$404,$AC237)+INDEX($AO$5:$AO$404,$AC237),"",IF(233=INDEX($AB$5:$AB$404,$AC237)+INDEX($Z$5:$Z$404,$AC237),"D",IF(AND(INDEX($Z$5:$Z$404,$AC237)=1,233=INDEX($AB$5:$AB$404,$AC237)),"H",IF(AND(INDEX($AO$5:$AO$404,$AC237)=1,233=INDEX($AB$5:$AB$404,$AC237)+INDEX($Z$5:$Z$404,$AC237)+INDEX($AA$5:$AA$404,$AC237)+INDEX($AO$5:$AO$404,$AC237)),"B","T")))))))</f>
        <v/>
      </c>
      <c r="AF237" t="str">
        <f t="shared" si="102"/>
        <v/>
      </c>
      <c r="AJ237">
        <f>IF($AD237&lt;&gt;"T",0,ROUND(SUMIF(oil!$B$4:$B$63,$AF237,oil!$AE$4:$AE$63),2))</f>
        <v>0</v>
      </c>
      <c r="AK237" t="str">
        <f>IF($S237="","",IFERROR(INDEX(อัตราค่าขนส่ง!$R$5:$R$54,MATCH($S237,อัตราค่าขนส่ง!$Q$5:$Q$54,0)),INDEX(รายการมาตรฐาน!$G$2:$G$3,1)))</f>
        <v/>
      </c>
      <c r="AL237" t="str">
        <f>IF($S237="","",IFERROR(MATCH($AK237,รายการมาตรฐาน!$G$2:$G$3,0),1))</f>
        <v/>
      </c>
      <c r="AM237" t="str">
        <f t="shared" si="103"/>
        <v/>
      </c>
      <c r="AN237" t="str">
        <f t="shared" si="104"/>
        <v/>
      </c>
      <c r="AO237">
        <f t="shared" si="105"/>
        <v>0</v>
      </c>
      <c r="AP237">
        <f t="shared" si="111"/>
        <v>0</v>
      </c>
      <c r="AQ237" t="str">
        <f t="shared" si="106"/>
        <v/>
      </c>
      <c r="AR237">
        <f>IF($Y237="",0,COUNTIF(บันทึกรายเที่ยว!$V$6:$V$10005,$Y237))</f>
        <v>0</v>
      </c>
      <c r="AS237">
        <f>IF($Y237="",0,ROUND(SUMIF(บันทึกรายเที่ยว!$V$6:$V$10005,$Y237,บันทึกรายเที่ยว!$M$6:$M$10005),2))</f>
        <v>0</v>
      </c>
      <c r="AT237">
        <f>IF($Y237="",0,IFERROR(INDEX(อัตราค่าขนส่ง!$J$5:$J$204,MATCH($Y237,อัตราค่าขนส่ง!$O$5:$O$204,0)),0))</f>
        <v>0</v>
      </c>
      <c r="AU237">
        <f t="shared" si="107"/>
        <v>0</v>
      </c>
      <c r="AV237">
        <f t="shared" si="108"/>
        <v>0</v>
      </c>
      <c r="AW237" t="str">
        <f>IF($Y237="","",IFERROR(INDEX(อัตราค่าขนส่ง!$F$5:$F$204,MATCH($Y237,อัตราค่าขนส่ง!$O$5:$O$204,0)),""))</f>
        <v/>
      </c>
      <c r="AX237" t="str">
        <f>IF($W237="","",INDEX(บันทึกรายเที่ยว!$D$6:$D$10005,$W237))</f>
        <v/>
      </c>
      <c r="AY237" t="str">
        <f>IF($W237="","",INDEX(บันทึกรายเที่ยว!$R$6:$R$10005,$W237))</f>
        <v/>
      </c>
      <c r="AZ237">
        <f t="shared" si="109"/>
        <v>0</v>
      </c>
      <c r="BA237" t="str">
        <f>IF($W237="","",INDEX(บันทึกรายเที่ยว!$E$6:$E$10005,$W237))</f>
        <v/>
      </c>
      <c r="BC237">
        <f>IF($Y237="",0,IFERROR(INDEX(อัตราค่าขนส่ง!$M$5:$M$204,MATCH($Y237,อัตราค่าขนส่ง!$O$5:$O$204,0)),0))</f>
        <v>0</v>
      </c>
      <c r="BD237">
        <f>IF($Y237="",0,IFERROR(INDEX(อัตราค่าขนส่ง!$N$5:$N$204,MATCH($Y237,อัตราค่าขนส่ง!$O$5:$O$204,0)),0))</f>
        <v>0</v>
      </c>
    </row>
    <row r="238" spans="1:56" ht="21" customHeight="1" x14ac:dyDescent="0.95">
      <c r="A238" s="36" t="str">
        <f>IF($AD238="","",IF($AD238="Z","รวมจ่ายทั้งสิ้น",IF($AD238="H",INDEX($X$5:$X$404,$AC238),IF($AD238="T","รวม",IF($AD238="B",IFERROR(INDEX(อัตราค่าขนส่ง!$U$5:$U$14,MATCH(INDEX($AM$5:$AM$404,$AC238),อัตราค่าขนส่ง!$T$5:$T$14,0)),"รวมกลุ่ม "&amp;INDEX($AM$5:$AM$404,$AC238)),INDEX($AY$5:$AY$404,$AC238))))))</f>
        <v/>
      </c>
      <c r="B238" s="31" t="str">
        <f t="shared" si="84"/>
        <v/>
      </c>
      <c r="C238" s="8" t="str">
        <f t="shared" si="85"/>
        <v/>
      </c>
      <c r="D238" s="37" t="str">
        <f t="shared" si="86"/>
        <v/>
      </c>
      <c r="E238" s="31" t="str">
        <f t="shared" si="87"/>
        <v/>
      </c>
      <c r="F238" s="32" t="str">
        <f t="shared" si="88"/>
        <v/>
      </c>
      <c r="G238" s="32" t="str">
        <f t="shared" si="89"/>
        <v/>
      </c>
      <c r="H238" s="32" t="str">
        <f t="shared" si="90"/>
        <v/>
      </c>
      <c r="I238" s="32" t="str">
        <f t="shared" si="91"/>
        <v/>
      </c>
      <c r="J238" s="46" t="str">
        <f t="shared" si="92"/>
        <v/>
      </c>
      <c r="K238" s="32" t="str">
        <f t="shared" si="93"/>
        <v/>
      </c>
      <c r="L238" s="32" t="str">
        <f t="shared" si="94"/>
        <v/>
      </c>
      <c r="M238" s="32" t="str">
        <f t="shared" si="95"/>
        <v/>
      </c>
      <c r="N238" s="32" t="str">
        <f t="shared" si="96"/>
        <v/>
      </c>
      <c r="O238" s="32" t="str">
        <f t="shared" si="97"/>
        <v/>
      </c>
      <c r="Q238" t="str">
        <f>IFERROR(MATCH(234,บันทึกรายเที่ยว!$Z$6:$Z$10005,0),"")</f>
        <v/>
      </c>
      <c r="R238" t="str">
        <f>IF($Q238="","",INDEX(บันทึกรายเที่ยว!$V$6:$V$10005,$Q238))</f>
        <v/>
      </c>
      <c r="S238" t="str">
        <f>IF($Q238="","",INDEX(บันทึกรายเที่ยว!$F$6:$F$10005,$Q238))</f>
        <v/>
      </c>
      <c r="T238" t="str">
        <f>IF($Q238="","",MATCH($S238,บันทึกรายเที่ยว!$F$6:$F$10005,0))</f>
        <v/>
      </c>
      <c r="U238" t="str">
        <f>IF($Q238="","",$AL238*10000000+$T238*1000+234)</f>
        <v/>
      </c>
      <c r="V238" t="str">
        <f>IFERROR(MATCH(SMALL($U$5:$U$404,234),$U$5:$U$404,0),"")</f>
        <v/>
      </c>
      <c r="W238" t="str">
        <f t="shared" si="98"/>
        <v/>
      </c>
      <c r="X238" t="str">
        <f t="shared" si="99"/>
        <v/>
      </c>
      <c r="Y238" t="str">
        <f t="shared" si="100"/>
        <v/>
      </c>
      <c r="Z238">
        <f t="shared" si="110"/>
        <v>0</v>
      </c>
      <c r="AA238">
        <f t="shared" si="101"/>
        <v>0</v>
      </c>
      <c r="AB238">
        <f>IF($V238="",99999+234,$AB237+1+$Z237+$AA237+$AO237)</f>
        <v>100233</v>
      </c>
      <c r="AC238" t="str">
        <f>IFERROR(MATCH(234,$AB$5:$AB$404,1),"")</f>
        <v/>
      </c>
      <c r="AD238" t="str">
        <f>IF(234=$AI$1+1,"Z",IF($AC238="","",IF(INDEX($V$5:$V$404,$AC238)="","",IF(234&gt;INDEX($AB$5:$AB$404,$AC238)+INDEX($Z$5:$Z$404,$AC238)+INDEX($AA$5:$AA$404,$AC238)+INDEX($AO$5:$AO$404,$AC238),"",IF(234=INDEX($AB$5:$AB$404,$AC238)+INDEX($Z$5:$Z$404,$AC238),"D",IF(AND(INDEX($Z$5:$Z$404,$AC238)=1,234=INDEX($AB$5:$AB$404,$AC238)),"H",IF(AND(INDEX($AO$5:$AO$404,$AC238)=1,234=INDEX($AB$5:$AB$404,$AC238)+INDEX($Z$5:$Z$404,$AC238)+INDEX($AA$5:$AA$404,$AC238)+INDEX($AO$5:$AO$404,$AC238)),"B","T")))))))</f>
        <v/>
      </c>
      <c r="AF238" t="str">
        <f t="shared" si="102"/>
        <v/>
      </c>
      <c r="AJ238">
        <f>IF($AD238&lt;&gt;"T",0,ROUND(SUMIF(oil!$B$4:$B$63,$AF238,oil!$AE$4:$AE$63),2))</f>
        <v>0</v>
      </c>
      <c r="AK238" t="str">
        <f>IF($S238="","",IFERROR(INDEX(อัตราค่าขนส่ง!$R$5:$R$54,MATCH($S238,อัตราค่าขนส่ง!$Q$5:$Q$54,0)),INDEX(รายการมาตรฐาน!$G$2:$G$3,1)))</f>
        <v/>
      </c>
      <c r="AL238" t="str">
        <f>IF($S238="","",IFERROR(MATCH($AK238,รายการมาตรฐาน!$G$2:$G$3,0),1))</f>
        <v/>
      </c>
      <c r="AM238" t="str">
        <f t="shared" si="103"/>
        <v/>
      </c>
      <c r="AN238" t="str">
        <f t="shared" si="104"/>
        <v/>
      </c>
      <c r="AO238">
        <f t="shared" si="105"/>
        <v>0</v>
      </c>
      <c r="AP238">
        <f t="shared" si="111"/>
        <v>0</v>
      </c>
      <c r="AQ238" t="str">
        <f t="shared" si="106"/>
        <v/>
      </c>
      <c r="AR238">
        <f>IF($Y238="",0,COUNTIF(บันทึกรายเที่ยว!$V$6:$V$10005,$Y238))</f>
        <v>0</v>
      </c>
      <c r="AS238">
        <f>IF($Y238="",0,ROUND(SUMIF(บันทึกรายเที่ยว!$V$6:$V$10005,$Y238,บันทึกรายเที่ยว!$M$6:$M$10005),2))</f>
        <v>0</v>
      </c>
      <c r="AT238">
        <f>IF($Y238="",0,IFERROR(INDEX(อัตราค่าขนส่ง!$J$5:$J$204,MATCH($Y238,อัตราค่าขนส่ง!$O$5:$O$204,0)),0))</f>
        <v>0</v>
      </c>
      <c r="AU238">
        <f t="shared" si="107"/>
        <v>0</v>
      </c>
      <c r="AV238">
        <f t="shared" si="108"/>
        <v>0</v>
      </c>
      <c r="AW238" t="str">
        <f>IF($Y238="","",IFERROR(INDEX(อัตราค่าขนส่ง!$F$5:$F$204,MATCH($Y238,อัตราค่าขนส่ง!$O$5:$O$204,0)),""))</f>
        <v/>
      </c>
      <c r="AX238" t="str">
        <f>IF($W238="","",INDEX(บันทึกรายเที่ยว!$D$6:$D$10005,$W238))</f>
        <v/>
      </c>
      <c r="AY238" t="str">
        <f>IF($W238="","",INDEX(บันทึกรายเที่ยว!$R$6:$R$10005,$W238))</f>
        <v/>
      </c>
      <c r="AZ238">
        <f t="shared" si="109"/>
        <v>0</v>
      </c>
      <c r="BA238" t="str">
        <f>IF($W238="","",INDEX(บันทึกรายเที่ยว!$E$6:$E$10005,$W238))</f>
        <v/>
      </c>
      <c r="BC238">
        <f>IF($Y238="",0,IFERROR(INDEX(อัตราค่าขนส่ง!$M$5:$M$204,MATCH($Y238,อัตราค่าขนส่ง!$O$5:$O$204,0)),0))</f>
        <v>0</v>
      </c>
      <c r="BD238">
        <f>IF($Y238="",0,IFERROR(INDEX(อัตราค่าขนส่ง!$N$5:$N$204,MATCH($Y238,อัตราค่าขนส่ง!$O$5:$O$204,0)),0))</f>
        <v>0</v>
      </c>
    </row>
    <row r="239" spans="1:56" ht="21" customHeight="1" x14ac:dyDescent="0.95">
      <c r="A239" s="36" t="str">
        <f>IF($AD239="","",IF($AD239="Z","รวมจ่ายทั้งสิ้น",IF($AD239="H",INDEX($X$5:$X$404,$AC239),IF($AD239="T","รวม",IF($AD239="B",IFERROR(INDEX(อัตราค่าขนส่ง!$U$5:$U$14,MATCH(INDEX($AM$5:$AM$404,$AC239),อัตราค่าขนส่ง!$T$5:$T$14,0)),"รวมกลุ่ม "&amp;INDEX($AM$5:$AM$404,$AC239)),INDEX($AY$5:$AY$404,$AC239))))))</f>
        <v/>
      </c>
      <c r="B239" s="31" t="str">
        <f t="shared" si="84"/>
        <v/>
      </c>
      <c r="C239" s="8" t="str">
        <f t="shared" si="85"/>
        <v/>
      </c>
      <c r="D239" s="37" t="str">
        <f t="shared" si="86"/>
        <v/>
      </c>
      <c r="E239" s="31" t="str">
        <f t="shared" si="87"/>
        <v/>
      </c>
      <c r="F239" s="32" t="str">
        <f t="shared" si="88"/>
        <v/>
      </c>
      <c r="G239" s="32" t="str">
        <f t="shared" si="89"/>
        <v/>
      </c>
      <c r="H239" s="32" t="str">
        <f t="shared" si="90"/>
        <v/>
      </c>
      <c r="I239" s="32" t="str">
        <f t="shared" si="91"/>
        <v/>
      </c>
      <c r="J239" s="46" t="str">
        <f t="shared" si="92"/>
        <v/>
      </c>
      <c r="K239" s="32" t="str">
        <f t="shared" si="93"/>
        <v/>
      </c>
      <c r="L239" s="32" t="str">
        <f t="shared" si="94"/>
        <v/>
      </c>
      <c r="M239" s="32" t="str">
        <f t="shared" si="95"/>
        <v/>
      </c>
      <c r="N239" s="32" t="str">
        <f t="shared" si="96"/>
        <v/>
      </c>
      <c r="O239" s="32" t="str">
        <f t="shared" si="97"/>
        <v/>
      </c>
      <c r="Q239" t="str">
        <f>IFERROR(MATCH(235,บันทึกรายเที่ยว!$Z$6:$Z$10005,0),"")</f>
        <v/>
      </c>
      <c r="R239" t="str">
        <f>IF($Q239="","",INDEX(บันทึกรายเที่ยว!$V$6:$V$10005,$Q239))</f>
        <v/>
      </c>
      <c r="S239" t="str">
        <f>IF($Q239="","",INDEX(บันทึกรายเที่ยว!$F$6:$F$10005,$Q239))</f>
        <v/>
      </c>
      <c r="T239" t="str">
        <f>IF($Q239="","",MATCH($S239,บันทึกรายเที่ยว!$F$6:$F$10005,0))</f>
        <v/>
      </c>
      <c r="U239" t="str">
        <f>IF($Q239="","",$AL239*10000000+$T239*1000+235)</f>
        <v/>
      </c>
      <c r="V239" t="str">
        <f>IFERROR(MATCH(SMALL($U$5:$U$404,235),$U$5:$U$404,0),"")</f>
        <v/>
      </c>
      <c r="W239" t="str">
        <f t="shared" si="98"/>
        <v/>
      </c>
      <c r="X239" t="str">
        <f t="shared" si="99"/>
        <v/>
      </c>
      <c r="Y239" t="str">
        <f t="shared" si="100"/>
        <v/>
      </c>
      <c r="Z239">
        <f t="shared" si="110"/>
        <v>0</v>
      </c>
      <c r="AA239">
        <f t="shared" si="101"/>
        <v>0</v>
      </c>
      <c r="AB239">
        <f>IF($V239="",99999+235,$AB238+1+$Z238+$AA238+$AO238)</f>
        <v>100234</v>
      </c>
      <c r="AC239" t="str">
        <f>IFERROR(MATCH(235,$AB$5:$AB$404,1),"")</f>
        <v/>
      </c>
      <c r="AD239" t="str">
        <f>IF(235=$AI$1+1,"Z",IF($AC239="","",IF(INDEX($V$5:$V$404,$AC239)="","",IF(235&gt;INDEX($AB$5:$AB$404,$AC239)+INDEX($Z$5:$Z$404,$AC239)+INDEX($AA$5:$AA$404,$AC239)+INDEX($AO$5:$AO$404,$AC239),"",IF(235=INDEX($AB$5:$AB$404,$AC239)+INDEX($Z$5:$Z$404,$AC239),"D",IF(AND(INDEX($Z$5:$Z$404,$AC239)=1,235=INDEX($AB$5:$AB$404,$AC239)),"H",IF(AND(INDEX($AO$5:$AO$404,$AC239)=1,235=INDEX($AB$5:$AB$404,$AC239)+INDEX($Z$5:$Z$404,$AC239)+INDEX($AA$5:$AA$404,$AC239)+INDEX($AO$5:$AO$404,$AC239)),"B","T")))))))</f>
        <v/>
      </c>
      <c r="AF239" t="str">
        <f t="shared" si="102"/>
        <v/>
      </c>
      <c r="AJ239">
        <f>IF($AD239&lt;&gt;"T",0,ROUND(SUMIF(oil!$B$4:$B$63,$AF239,oil!$AE$4:$AE$63),2))</f>
        <v>0</v>
      </c>
      <c r="AK239" t="str">
        <f>IF($S239="","",IFERROR(INDEX(อัตราค่าขนส่ง!$R$5:$R$54,MATCH($S239,อัตราค่าขนส่ง!$Q$5:$Q$54,0)),INDEX(รายการมาตรฐาน!$G$2:$G$3,1)))</f>
        <v/>
      </c>
      <c r="AL239" t="str">
        <f>IF($S239="","",IFERROR(MATCH($AK239,รายการมาตรฐาน!$G$2:$G$3,0),1))</f>
        <v/>
      </c>
      <c r="AM239" t="str">
        <f t="shared" si="103"/>
        <v/>
      </c>
      <c r="AN239" t="str">
        <f t="shared" si="104"/>
        <v/>
      </c>
      <c r="AO239">
        <f t="shared" si="105"/>
        <v>0</v>
      </c>
      <c r="AP239">
        <f t="shared" si="111"/>
        <v>0</v>
      </c>
      <c r="AQ239" t="str">
        <f t="shared" si="106"/>
        <v/>
      </c>
      <c r="AR239">
        <f>IF($Y239="",0,COUNTIF(บันทึกรายเที่ยว!$V$6:$V$10005,$Y239))</f>
        <v>0</v>
      </c>
      <c r="AS239">
        <f>IF($Y239="",0,ROUND(SUMIF(บันทึกรายเที่ยว!$V$6:$V$10005,$Y239,บันทึกรายเที่ยว!$M$6:$M$10005),2))</f>
        <v>0</v>
      </c>
      <c r="AT239">
        <f>IF($Y239="",0,IFERROR(INDEX(อัตราค่าขนส่ง!$J$5:$J$204,MATCH($Y239,อัตราค่าขนส่ง!$O$5:$O$204,0)),0))</f>
        <v>0</v>
      </c>
      <c r="AU239">
        <f t="shared" si="107"/>
        <v>0</v>
      </c>
      <c r="AV239">
        <f t="shared" si="108"/>
        <v>0</v>
      </c>
      <c r="AW239" t="str">
        <f>IF($Y239="","",IFERROR(INDEX(อัตราค่าขนส่ง!$F$5:$F$204,MATCH($Y239,อัตราค่าขนส่ง!$O$5:$O$204,0)),""))</f>
        <v/>
      </c>
      <c r="AX239" t="str">
        <f>IF($W239="","",INDEX(บันทึกรายเที่ยว!$D$6:$D$10005,$W239))</f>
        <v/>
      </c>
      <c r="AY239" t="str">
        <f>IF($W239="","",INDEX(บันทึกรายเที่ยว!$R$6:$R$10005,$W239))</f>
        <v/>
      </c>
      <c r="AZ239">
        <f t="shared" si="109"/>
        <v>0</v>
      </c>
      <c r="BA239" t="str">
        <f>IF($W239="","",INDEX(บันทึกรายเที่ยว!$E$6:$E$10005,$W239))</f>
        <v/>
      </c>
      <c r="BC239">
        <f>IF($Y239="",0,IFERROR(INDEX(อัตราค่าขนส่ง!$M$5:$M$204,MATCH($Y239,อัตราค่าขนส่ง!$O$5:$O$204,0)),0))</f>
        <v>0</v>
      </c>
      <c r="BD239">
        <f>IF($Y239="",0,IFERROR(INDEX(อัตราค่าขนส่ง!$N$5:$N$204,MATCH($Y239,อัตราค่าขนส่ง!$O$5:$O$204,0)),0))</f>
        <v>0</v>
      </c>
    </row>
    <row r="240" spans="1:56" ht="21" customHeight="1" x14ac:dyDescent="0.95">
      <c r="A240" s="36" t="str">
        <f>IF($AD240="","",IF($AD240="Z","รวมจ่ายทั้งสิ้น",IF($AD240="H",INDEX($X$5:$X$404,$AC240),IF($AD240="T","รวม",IF($AD240="B",IFERROR(INDEX(อัตราค่าขนส่ง!$U$5:$U$14,MATCH(INDEX($AM$5:$AM$404,$AC240),อัตราค่าขนส่ง!$T$5:$T$14,0)),"รวมกลุ่ม "&amp;INDEX($AM$5:$AM$404,$AC240)),INDEX($AY$5:$AY$404,$AC240))))))</f>
        <v/>
      </c>
      <c r="B240" s="31" t="str">
        <f t="shared" si="84"/>
        <v/>
      </c>
      <c r="C240" s="8" t="str">
        <f t="shared" si="85"/>
        <v/>
      </c>
      <c r="D240" s="37" t="str">
        <f t="shared" si="86"/>
        <v/>
      </c>
      <c r="E240" s="31" t="str">
        <f t="shared" si="87"/>
        <v/>
      </c>
      <c r="F240" s="32" t="str">
        <f t="shared" si="88"/>
        <v/>
      </c>
      <c r="G240" s="32" t="str">
        <f t="shared" si="89"/>
        <v/>
      </c>
      <c r="H240" s="32" t="str">
        <f t="shared" si="90"/>
        <v/>
      </c>
      <c r="I240" s="32" t="str">
        <f t="shared" si="91"/>
        <v/>
      </c>
      <c r="J240" s="46" t="str">
        <f t="shared" si="92"/>
        <v/>
      </c>
      <c r="K240" s="32" t="str">
        <f t="shared" si="93"/>
        <v/>
      </c>
      <c r="L240" s="32" t="str">
        <f t="shared" si="94"/>
        <v/>
      </c>
      <c r="M240" s="32" t="str">
        <f t="shared" si="95"/>
        <v/>
      </c>
      <c r="N240" s="32" t="str">
        <f t="shared" si="96"/>
        <v/>
      </c>
      <c r="O240" s="32" t="str">
        <f t="shared" si="97"/>
        <v/>
      </c>
      <c r="Q240" t="str">
        <f>IFERROR(MATCH(236,บันทึกรายเที่ยว!$Z$6:$Z$10005,0),"")</f>
        <v/>
      </c>
      <c r="R240" t="str">
        <f>IF($Q240="","",INDEX(บันทึกรายเที่ยว!$V$6:$V$10005,$Q240))</f>
        <v/>
      </c>
      <c r="S240" t="str">
        <f>IF($Q240="","",INDEX(บันทึกรายเที่ยว!$F$6:$F$10005,$Q240))</f>
        <v/>
      </c>
      <c r="T240" t="str">
        <f>IF($Q240="","",MATCH($S240,บันทึกรายเที่ยว!$F$6:$F$10005,0))</f>
        <v/>
      </c>
      <c r="U240" t="str">
        <f>IF($Q240="","",$AL240*10000000+$T240*1000+236)</f>
        <v/>
      </c>
      <c r="V240" t="str">
        <f>IFERROR(MATCH(SMALL($U$5:$U$404,236),$U$5:$U$404,0),"")</f>
        <v/>
      </c>
      <c r="W240" t="str">
        <f t="shared" si="98"/>
        <v/>
      </c>
      <c r="X240" t="str">
        <f t="shared" si="99"/>
        <v/>
      </c>
      <c r="Y240" t="str">
        <f t="shared" si="100"/>
        <v/>
      </c>
      <c r="Z240">
        <f t="shared" si="110"/>
        <v>0</v>
      </c>
      <c r="AA240">
        <f t="shared" si="101"/>
        <v>0</v>
      </c>
      <c r="AB240">
        <f>IF($V240="",99999+236,$AB239+1+$Z239+$AA239+$AO239)</f>
        <v>100235</v>
      </c>
      <c r="AC240" t="str">
        <f>IFERROR(MATCH(236,$AB$5:$AB$404,1),"")</f>
        <v/>
      </c>
      <c r="AD240" t="str">
        <f>IF(236=$AI$1+1,"Z",IF($AC240="","",IF(INDEX($V$5:$V$404,$AC240)="","",IF(236&gt;INDEX($AB$5:$AB$404,$AC240)+INDEX($Z$5:$Z$404,$AC240)+INDEX($AA$5:$AA$404,$AC240)+INDEX($AO$5:$AO$404,$AC240),"",IF(236=INDEX($AB$5:$AB$404,$AC240)+INDEX($Z$5:$Z$404,$AC240),"D",IF(AND(INDEX($Z$5:$Z$404,$AC240)=1,236=INDEX($AB$5:$AB$404,$AC240)),"H",IF(AND(INDEX($AO$5:$AO$404,$AC240)=1,236=INDEX($AB$5:$AB$404,$AC240)+INDEX($Z$5:$Z$404,$AC240)+INDEX($AA$5:$AA$404,$AC240)+INDEX($AO$5:$AO$404,$AC240)),"B","T")))))))</f>
        <v/>
      </c>
      <c r="AF240" t="str">
        <f t="shared" si="102"/>
        <v/>
      </c>
      <c r="AJ240">
        <f>IF($AD240&lt;&gt;"T",0,ROUND(SUMIF(oil!$B$4:$B$63,$AF240,oil!$AE$4:$AE$63),2))</f>
        <v>0</v>
      </c>
      <c r="AK240" t="str">
        <f>IF($S240="","",IFERROR(INDEX(อัตราค่าขนส่ง!$R$5:$R$54,MATCH($S240,อัตราค่าขนส่ง!$Q$5:$Q$54,0)),INDEX(รายการมาตรฐาน!$G$2:$G$3,1)))</f>
        <v/>
      </c>
      <c r="AL240" t="str">
        <f>IF($S240="","",IFERROR(MATCH($AK240,รายการมาตรฐาน!$G$2:$G$3,0),1))</f>
        <v/>
      </c>
      <c r="AM240" t="str">
        <f t="shared" si="103"/>
        <v/>
      </c>
      <c r="AN240" t="str">
        <f t="shared" si="104"/>
        <v/>
      </c>
      <c r="AO240">
        <f t="shared" si="105"/>
        <v>0</v>
      </c>
      <c r="AP240">
        <f t="shared" si="111"/>
        <v>0</v>
      </c>
      <c r="AQ240" t="str">
        <f t="shared" si="106"/>
        <v/>
      </c>
      <c r="AR240">
        <f>IF($Y240="",0,COUNTIF(บันทึกรายเที่ยว!$V$6:$V$10005,$Y240))</f>
        <v>0</v>
      </c>
      <c r="AS240">
        <f>IF($Y240="",0,ROUND(SUMIF(บันทึกรายเที่ยว!$V$6:$V$10005,$Y240,บันทึกรายเที่ยว!$M$6:$M$10005),2))</f>
        <v>0</v>
      </c>
      <c r="AT240">
        <f>IF($Y240="",0,IFERROR(INDEX(อัตราค่าขนส่ง!$J$5:$J$204,MATCH($Y240,อัตราค่าขนส่ง!$O$5:$O$204,0)),0))</f>
        <v>0</v>
      </c>
      <c r="AU240">
        <f t="shared" si="107"/>
        <v>0</v>
      </c>
      <c r="AV240">
        <f t="shared" si="108"/>
        <v>0</v>
      </c>
      <c r="AW240" t="str">
        <f>IF($Y240="","",IFERROR(INDEX(อัตราค่าขนส่ง!$F$5:$F$204,MATCH($Y240,อัตราค่าขนส่ง!$O$5:$O$204,0)),""))</f>
        <v/>
      </c>
      <c r="AX240" t="str">
        <f>IF($W240="","",INDEX(บันทึกรายเที่ยว!$D$6:$D$10005,$W240))</f>
        <v/>
      </c>
      <c r="AY240" t="str">
        <f>IF($W240="","",INDEX(บันทึกรายเที่ยว!$R$6:$R$10005,$W240))</f>
        <v/>
      </c>
      <c r="AZ240">
        <f t="shared" si="109"/>
        <v>0</v>
      </c>
      <c r="BA240" t="str">
        <f>IF($W240="","",INDEX(บันทึกรายเที่ยว!$E$6:$E$10005,$W240))</f>
        <v/>
      </c>
      <c r="BC240">
        <f>IF($Y240="",0,IFERROR(INDEX(อัตราค่าขนส่ง!$M$5:$M$204,MATCH($Y240,อัตราค่าขนส่ง!$O$5:$O$204,0)),0))</f>
        <v>0</v>
      </c>
      <c r="BD240">
        <f>IF($Y240="",0,IFERROR(INDEX(อัตราค่าขนส่ง!$N$5:$N$204,MATCH($Y240,อัตราค่าขนส่ง!$O$5:$O$204,0)),0))</f>
        <v>0</v>
      </c>
    </row>
    <row r="241" spans="1:56" ht="21" customHeight="1" x14ac:dyDescent="0.95">
      <c r="A241" s="36" t="str">
        <f>IF($AD241="","",IF($AD241="Z","รวมจ่ายทั้งสิ้น",IF($AD241="H",INDEX($X$5:$X$404,$AC241),IF($AD241="T","รวม",IF($AD241="B",IFERROR(INDEX(อัตราค่าขนส่ง!$U$5:$U$14,MATCH(INDEX($AM$5:$AM$404,$AC241),อัตราค่าขนส่ง!$T$5:$T$14,0)),"รวมกลุ่ม "&amp;INDEX($AM$5:$AM$404,$AC241)),INDEX($AY$5:$AY$404,$AC241))))))</f>
        <v/>
      </c>
      <c r="B241" s="31" t="str">
        <f t="shared" si="84"/>
        <v/>
      </c>
      <c r="C241" s="8" t="str">
        <f t="shared" si="85"/>
        <v/>
      </c>
      <c r="D241" s="37" t="str">
        <f t="shared" si="86"/>
        <v/>
      </c>
      <c r="E241" s="31" t="str">
        <f t="shared" si="87"/>
        <v/>
      </c>
      <c r="F241" s="32" t="str">
        <f t="shared" si="88"/>
        <v/>
      </c>
      <c r="G241" s="32" t="str">
        <f t="shared" si="89"/>
        <v/>
      </c>
      <c r="H241" s="32" t="str">
        <f t="shared" si="90"/>
        <v/>
      </c>
      <c r="I241" s="32" t="str">
        <f t="shared" si="91"/>
        <v/>
      </c>
      <c r="J241" s="46" t="str">
        <f t="shared" si="92"/>
        <v/>
      </c>
      <c r="K241" s="32" t="str">
        <f t="shared" si="93"/>
        <v/>
      </c>
      <c r="L241" s="32" t="str">
        <f t="shared" si="94"/>
        <v/>
      </c>
      <c r="M241" s="32" t="str">
        <f t="shared" si="95"/>
        <v/>
      </c>
      <c r="N241" s="32" t="str">
        <f t="shared" si="96"/>
        <v/>
      </c>
      <c r="O241" s="32" t="str">
        <f t="shared" si="97"/>
        <v/>
      </c>
      <c r="Q241" t="str">
        <f>IFERROR(MATCH(237,บันทึกรายเที่ยว!$Z$6:$Z$10005,0),"")</f>
        <v/>
      </c>
      <c r="R241" t="str">
        <f>IF($Q241="","",INDEX(บันทึกรายเที่ยว!$V$6:$V$10005,$Q241))</f>
        <v/>
      </c>
      <c r="S241" t="str">
        <f>IF($Q241="","",INDEX(บันทึกรายเที่ยว!$F$6:$F$10005,$Q241))</f>
        <v/>
      </c>
      <c r="T241" t="str">
        <f>IF($Q241="","",MATCH($S241,บันทึกรายเที่ยว!$F$6:$F$10005,0))</f>
        <v/>
      </c>
      <c r="U241" t="str">
        <f>IF($Q241="","",$AL241*10000000+$T241*1000+237)</f>
        <v/>
      </c>
      <c r="V241" t="str">
        <f>IFERROR(MATCH(SMALL($U$5:$U$404,237),$U$5:$U$404,0),"")</f>
        <v/>
      </c>
      <c r="W241" t="str">
        <f t="shared" si="98"/>
        <v/>
      </c>
      <c r="X241" t="str">
        <f t="shared" si="99"/>
        <v/>
      </c>
      <c r="Y241" t="str">
        <f t="shared" si="100"/>
        <v/>
      </c>
      <c r="Z241">
        <f t="shared" si="110"/>
        <v>0</v>
      </c>
      <c r="AA241">
        <f t="shared" si="101"/>
        <v>0</v>
      </c>
      <c r="AB241">
        <f>IF($V241="",99999+237,$AB240+1+$Z240+$AA240+$AO240)</f>
        <v>100236</v>
      </c>
      <c r="AC241" t="str">
        <f>IFERROR(MATCH(237,$AB$5:$AB$404,1),"")</f>
        <v/>
      </c>
      <c r="AD241" t="str">
        <f>IF(237=$AI$1+1,"Z",IF($AC241="","",IF(INDEX($V$5:$V$404,$AC241)="","",IF(237&gt;INDEX($AB$5:$AB$404,$AC241)+INDEX($Z$5:$Z$404,$AC241)+INDEX($AA$5:$AA$404,$AC241)+INDEX($AO$5:$AO$404,$AC241),"",IF(237=INDEX($AB$5:$AB$404,$AC241)+INDEX($Z$5:$Z$404,$AC241),"D",IF(AND(INDEX($Z$5:$Z$404,$AC241)=1,237=INDEX($AB$5:$AB$404,$AC241)),"H",IF(AND(INDEX($AO$5:$AO$404,$AC241)=1,237=INDEX($AB$5:$AB$404,$AC241)+INDEX($Z$5:$Z$404,$AC241)+INDEX($AA$5:$AA$404,$AC241)+INDEX($AO$5:$AO$404,$AC241)),"B","T")))))))</f>
        <v/>
      </c>
      <c r="AF241" t="str">
        <f t="shared" si="102"/>
        <v/>
      </c>
      <c r="AJ241">
        <f>IF($AD241&lt;&gt;"T",0,ROUND(SUMIF(oil!$B$4:$B$63,$AF241,oil!$AE$4:$AE$63),2))</f>
        <v>0</v>
      </c>
      <c r="AK241" t="str">
        <f>IF($S241="","",IFERROR(INDEX(อัตราค่าขนส่ง!$R$5:$R$54,MATCH($S241,อัตราค่าขนส่ง!$Q$5:$Q$54,0)),INDEX(รายการมาตรฐาน!$G$2:$G$3,1)))</f>
        <v/>
      </c>
      <c r="AL241" t="str">
        <f>IF($S241="","",IFERROR(MATCH($AK241,รายการมาตรฐาน!$G$2:$G$3,0),1))</f>
        <v/>
      </c>
      <c r="AM241" t="str">
        <f t="shared" si="103"/>
        <v/>
      </c>
      <c r="AN241" t="str">
        <f t="shared" si="104"/>
        <v/>
      </c>
      <c r="AO241">
        <f t="shared" si="105"/>
        <v>0</v>
      </c>
      <c r="AP241">
        <f t="shared" si="111"/>
        <v>0</v>
      </c>
      <c r="AQ241" t="str">
        <f t="shared" si="106"/>
        <v/>
      </c>
      <c r="AR241">
        <f>IF($Y241="",0,COUNTIF(บันทึกรายเที่ยว!$V$6:$V$10005,$Y241))</f>
        <v>0</v>
      </c>
      <c r="AS241">
        <f>IF($Y241="",0,ROUND(SUMIF(บันทึกรายเที่ยว!$V$6:$V$10005,$Y241,บันทึกรายเที่ยว!$M$6:$M$10005),2))</f>
        <v>0</v>
      </c>
      <c r="AT241">
        <f>IF($Y241="",0,IFERROR(INDEX(อัตราค่าขนส่ง!$J$5:$J$204,MATCH($Y241,อัตราค่าขนส่ง!$O$5:$O$204,0)),0))</f>
        <v>0</v>
      </c>
      <c r="AU241">
        <f t="shared" si="107"/>
        <v>0</v>
      </c>
      <c r="AV241">
        <f t="shared" si="108"/>
        <v>0</v>
      </c>
      <c r="AW241" t="str">
        <f>IF($Y241="","",IFERROR(INDEX(อัตราค่าขนส่ง!$F$5:$F$204,MATCH($Y241,อัตราค่าขนส่ง!$O$5:$O$204,0)),""))</f>
        <v/>
      </c>
      <c r="AX241" t="str">
        <f>IF($W241="","",INDEX(บันทึกรายเที่ยว!$D$6:$D$10005,$W241))</f>
        <v/>
      </c>
      <c r="AY241" t="str">
        <f>IF($W241="","",INDEX(บันทึกรายเที่ยว!$R$6:$R$10005,$W241))</f>
        <v/>
      </c>
      <c r="AZ241">
        <f t="shared" si="109"/>
        <v>0</v>
      </c>
      <c r="BA241" t="str">
        <f>IF($W241="","",INDEX(บันทึกรายเที่ยว!$E$6:$E$10005,$W241))</f>
        <v/>
      </c>
      <c r="BC241">
        <f>IF($Y241="",0,IFERROR(INDEX(อัตราค่าขนส่ง!$M$5:$M$204,MATCH($Y241,อัตราค่าขนส่ง!$O$5:$O$204,0)),0))</f>
        <v>0</v>
      </c>
      <c r="BD241">
        <f>IF($Y241="",0,IFERROR(INDEX(อัตราค่าขนส่ง!$N$5:$N$204,MATCH($Y241,อัตราค่าขนส่ง!$O$5:$O$204,0)),0))</f>
        <v>0</v>
      </c>
    </row>
    <row r="242" spans="1:56" ht="21" customHeight="1" x14ac:dyDescent="0.95">
      <c r="A242" s="36" t="str">
        <f>IF($AD242="","",IF($AD242="Z","รวมจ่ายทั้งสิ้น",IF($AD242="H",INDEX($X$5:$X$404,$AC242),IF($AD242="T","รวม",IF($AD242="B",IFERROR(INDEX(อัตราค่าขนส่ง!$U$5:$U$14,MATCH(INDEX($AM$5:$AM$404,$AC242),อัตราค่าขนส่ง!$T$5:$T$14,0)),"รวมกลุ่ม "&amp;INDEX($AM$5:$AM$404,$AC242)),INDEX($AY$5:$AY$404,$AC242))))))</f>
        <v/>
      </c>
      <c r="B242" s="31" t="str">
        <f t="shared" si="84"/>
        <v/>
      </c>
      <c r="C242" s="8" t="str">
        <f t="shared" si="85"/>
        <v/>
      </c>
      <c r="D242" s="37" t="str">
        <f t="shared" si="86"/>
        <v/>
      </c>
      <c r="E242" s="31" t="str">
        <f t="shared" si="87"/>
        <v/>
      </c>
      <c r="F242" s="32" t="str">
        <f t="shared" si="88"/>
        <v/>
      </c>
      <c r="G242" s="32" t="str">
        <f t="shared" si="89"/>
        <v/>
      </c>
      <c r="H242" s="32" t="str">
        <f t="shared" si="90"/>
        <v/>
      </c>
      <c r="I242" s="32" t="str">
        <f t="shared" si="91"/>
        <v/>
      </c>
      <c r="J242" s="46" t="str">
        <f t="shared" si="92"/>
        <v/>
      </c>
      <c r="K242" s="32" t="str">
        <f t="shared" si="93"/>
        <v/>
      </c>
      <c r="L242" s="32" t="str">
        <f t="shared" si="94"/>
        <v/>
      </c>
      <c r="M242" s="32" t="str">
        <f t="shared" si="95"/>
        <v/>
      </c>
      <c r="N242" s="32" t="str">
        <f t="shared" si="96"/>
        <v/>
      </c>
      <c r="O242" s="32" t="str">
        <f t="shared" si="97"/>
        <v/>
      </c>
      <c r="Q242" t="str">
        <f>IFERROR(MATCH(238,บันทึกรายเที่ยว!$Z$6:$Z$10005,0),"")</f>
        <v/>
      </c>
      <c r="R242" t="str">
        <f>IF($Q242="","",INDEX(บันทึกรายเที่ยว!$V$6:$V$10005,$Q242))</f>
        <v/>
      </c>
      <c r="S242" t="str">
        <f>IF($Q242="","",INDEX(บันทึกรายเที่ยว!$F$6:$F$10005,$Q242))</f>
        <v/>
      </c>
      <c r="T242" t="str">
        <f>IF($Q242="","",MATCH($S242,บันทึกรายเที่ยว!$F$6:$F$10005,0))</f>
        <v/>
      </c>
      <c r="U242" t="str">
        <f>IF($Q242="","",$AL242*10000000+$T242*1000+238)</f>
        <v/>
      </c>
      <c r="V242" t="str">
        <f>IFERROR(MATCH(SMALL($U$5:$U$404,238),$U$5:$U$404,0),"")</f>
        <v/>
      </c>
      <c r="W242" t="str">
        <f t="shared" si="98"/>
        <v/>
      </c>
      <c r="X242" t="str">
        <f t="shared" si="99"/>
        <v/>
      </c>
      <c r="Y242" t="str">
        <f t="shared" si="100"/>
        <v/>
      </c>
      <c r="Z242">
        <f t="shared" si="110"/>
        <v>0</v>
      </c>
      <c r="AA242">
        <f t="shared" si="101"/>
        <v>0</v>
      </c>
      <c r="AB242">
        <f>IF($V242="",99999+238,$AB241+1+$Z241+$AA241+$AO241)</f>
        <v>100237</v>
      </c>
      <c r="AC242" t="str">
        <f>IFERROR(MATCH(238,$AB$5:$AB$404,1),"")</f>
        <v/>
      </c>
      <c r="AD242" t="str">
        <f>IF(238=$AI$1+1,"Z",IF($AC242="","",IF(INDEX($V$5:$V$404,$AC242)="","",IF(238&gt;INDEX($AB$5:$AB$404,$AC242)+INDEX($Z$5:$Z$404,$AC242)+INDEX($AA$5:$AA$404,$AC242)+INDEX($AO$5:$AO$404,$AC242),"",IF(238=INDEX($AB$5:$AB$404,$AC242)+INDEX($Z$5:$Z$404,$AC242),"D",IF(AND(INDEX($Z$5:$Z$404,$AC242)=1,238=INDEX($AB$5:$AB$404,$AC242)),"H",IF(AND(INDEX($AO$5:$AO$404,$AC242)=1,238=INDEX($AB$5:$AB$404,$AC242)+INDEX($Z$5:$Z$404,$AC242)+INDEX($AA$5:$AA$404,$AC242)+INDEX($AO$5:$AO$404,$AC242)),"B","T")))))))</f>
        <v/>
      </c>
      <c r="AF242" t="str">
        <f t="shared" si="102"/>
        <v/>
      </c>
      <c r="AJ242">
        <f>IF($AD242&lt;&gt;"T",0,ROUND(SUMIF(oil!$B$4:$B$63,$AF242,oil!$AE$4:$AE$63),2))</f>
        <v>0</v>
      </c>
      <c r="AK242" t="str">
        <f>IF($S242="","",IFERROR(INDEX(อัตราค่าขนส่ง!$R$5:$R$54,MATCH($S242,อัตราค่าขนส่ง!$Q$5:$Q$54,0)),INDEX(รายการมาตรฐาน!$G$2:$G$3,1)))</f>
        <v/>
      </c>
      <c r="AL242" t="str">
        <f>IF($S242="","",IFERROR(MATCH($AK242,รายการมาตรฐาน!$G$2:$G$3,0),1))</f>
        <v/>
      </c>
      <c r="AM242" t="str">
        <f t="shared" si="103"/>
        <v/>
      </c>
      <c r="AN242" t="str">
        <f t="shared" si="104"/>
        <v/>
      </c>
      <c r="AO242">
        <f t="shared" si="105"/>
        <v>0</v>
      </c>
      <c r="AP242">
        <f t="shared" si="111"/>
        <v>0</v>
      </c>
      <c r="AQ242" t="str">
        <f t="shared" si="106"/>
        <v/>
      </c>
      <c r="AR242">
        <f>IF($Y242="",0,COUNTIF(บันทึกรายเที่ยว!$V$6:$V$10005,$Y242))</f>
        <v>0</v>
      </c>
      <c r="AS242">
        <f>IF($Y242="",0,ROUND(SUMIF(บันทึกรายเที่ยว!$V$6:$V$10005,$Y242,บันทึกรายเที่ยว!$M$6:$M$10005),2))</f>
        <v>0</v>
      </c>
      <c r="AT242">
        <f>IF($Y242="",0,IFERROR(INDEX(อัตราค่าขนส่ง!$J$5:$J$204,MATCH($Y242,อัตราค่าขนส่ง!$O$5:$O$204,0)),0))</f>
        <v>0</v>
      </c>
      <c r="AU242">
        <f t="shared" si="107"/>
        <v>0</v>
      </c>
      <c r="AV242">
        <f t="shared" si="108"/>
        <v>0</v>
      </c>
      <c r="AW242" t="str">
        <f>IF($Y242="","",IFERROR(INDEX(อัตราค่าขนส่ง!$F$5:$F$204,MATCH($Y242,อัตราค่าขนส่ง!$O$5:$O$204,0)),""))</f>
        <v/>
      </c>
      <c r="AX242" t="str">
        <f>IF($W242="","",INDEX(บันทึกรายเที่ยว!$D$6:$D$10005,$W242))</f>
        <v/>
      </c>
      <c r="AY242" t="str">
        <f>IF($W242="","",INDEX(บันทึกรายเที่ยว!$R$6:$R$10005,$W242))</f>
        <v/>
      </c>
      <c r="AZ242">
        <f t="shared" si="109"/>
        <v>0</v>
      </c>
      <c r="BA242" t="str">
        <f>IF($W242="","",INDEX(บันทึกรายเที่ยว!$E$6:$E$10005,$W242))</f>
        <v/>
      </c>
      <c r="BC242">
        <f>IF($Y242="",0,IFERROR(INDEX(อัตราค่าขนส่ง!$M$5:$M$204,MATCH($Y242,อัตราค่าขนส่ง!$O$5:$O$204,0)),0))</f>
        <v>0</v>
      </c>
      <c r="BD242">
        <f>IF($Y242="",0,IFERROR(INDEX(อัตราค่าขนส่ง!$N$5:$N$204,MATCH($Y242,อัตราค่าขนส่ง!$O$5:$O$204,0)),0))</f>
        <v>0</v>
      </c>
    </row>
    <row r="243" spans="1:56" ht="21" customHeight="1" x14ac:dyDescent="0.95">
      <c r="A243" s="36" t="str">
        <f>IF($AD243="","",IF($AD243="Z","รวมจ่ายทั้งสิ้น",IF($AD243="H",INDEX($X$5:$X$404,$AC243),IF($AD243="T","รวม",IF($AD243="B",IFERROR(INDEX(อัตราค่าขนส่ง!$U$5:$U$14,MATCH(INDEX($AM$5:$AM$404,$AC243),อัตราค่าขนส่ง!$T$5:$T$14,0)),"รวมกลุ่ม "&amp;INDEX($AM$5:$AM$404,$AC243)),INDEX($AY$5:$AY$404,$AC243))))))</f>
        <v/>
      </c>
      <c r="B243" s="31" t="str">
        <f t="shared" si="84"/>
        <v/>
      </c>
      <c r="C243" s="8" t="str">
        <f t="shared" si="85"/>
        <v/>
      </c>
      <c r="D243" s="37" t="str">
        <f t="shared" si="86"/>
        <v/>
      </c>
      <c r="E243" s="31" t="str">
        <f t="shared" si="87"/>
        <v/>
      </c>
      <c r="F243" s="32" t="str">
        <f t="shared" si="88"/>
        <v/>
      </c>
      <c r="G243" s="32" t="str">
        <f t="shared" si="89"/>
        <v/>
      </c>
      <c r="H243" s="32" t="str">
        <f t="shared" si="90"/>
        <v/>
      </c>
      <c r="I243" s="32" t="str">
        <f t="shared" si="91"/>
        <v/>
      </c>
      <c r="J243" s="46" t="str">
        <f t="shared" si="92"/>
        <v/>
      </c>
      <c r="K243" s="32" t="str">
        <f t="shared" si="93"/>
        <v/>
      </c>
      <c r="L243" s="32" t="str">
        <f t="shared" si="94"/>
        <v/>
      </c>
      <c r="M243" s="32" t="str">
        <f t="shared" si="95"/>
        <v/>
      </c>
      <c r="N243" s="32" t="str">
        <f t="shared" si="96"/>
        <v/>
      </c>
      <c r="O243" s="32" t="str">
        <f t="shared" si="97"/>
        <v/>
      </c>
      <c r="Q243" t="str">
        <f>IFERROR(MATCH(239,บันทึกรายเที่ยว!$Z$6:$Z$10005,0),"")</f>
        <v/>
      </c>
      <c r="R243" t="str">
        <f>IF($Q243="","",INDEX(บันทึกรายเที่ยว!$V$6:$V$10005,$Q243))</f>
        <v/>
      </c>
      <c r="S243" t="str">
        <f>IF($Q243="","",INDEX(บันทึกรายเที่ยว!$F$6:$F$10005,$Q243))</f>
        <v/>
      </c>
      <c r="T243" t="str">
        <f>IF($Q243="","",MATCH($S243,บันทึกรายเที่ยว!$F$6:$F$10005,0))</f>
        <v/>
      </c>
      <c r="U243" t="str">
        <f>IF($Q243="","",$AL243*10000000+$T243*1000+239)</f>
        <v/>
      </c>
      <c r="V243" t="str">
        <f>IFERROR(MATCH(SMALL($U$5:$U$404,239),$U$5:$U$404,0),"")</f>
        <v/>
      </c>
      <c r="W243" t="str">
        <f t="shared" si="98"/>
        <v/>
      </c>
      <c r="X243" t="str">
        <f t="shared" si="99"/>
        <v/>
      </c>
      <c r="Y243" t="str">
        <f t="shared" si="100"/>
        <v/>
      </c>
      <c r="Z243">
        <f t="shared" si="110"/>
        <v>0</v>
      </c>
      <c r="AA243">
        <f t="shared" si="101"/>
        <v>0</v>
      </c>
      <c r="AB243">
        <f>IF($V243="",99999+239,$AB242+1+$Z242+$AA242+$AO242)</f>
        <v>100238</v>
      </c>
      <c r="AC243" t="str">
        <f>IFERROR(MATCH(239,$AB$5:$AB$404,1),"")</f>
        <v/>
      </c>
      <c r="AD243" t="str">
        <f>IF(239=$AI$1+1,"Z",IF($AC243="","",IF(INDEX($V$5:$V$404,$AC243)="","",IF(239&gt;INDEX($AB$5:$AB$404,$AC243)+INDEX($Z$5:$Z$404,$AC243)+INDEX($AA$5:$AA$404,$AC243)+INDEX($AO$5:$AO$404,$AC243),"",IF(239=INDEX($AB$5:$AB$404,$AC243)+INDEX($Z$5:$Z$404,$AC243),"D",IF(AND(INDEX($Z$5:$Z$404,$AC243)=1,239=INDEX($AB$5:$AB$404,$AC243)),"H",IF(AND(INDEX($AO$5:$AO$404,$AC243)=1,239=INDEX($AB$5:$AB$404,$AC243)+INDEX($Z$5:$Z$404,$AC243)+INDEX($AA$5:$AA$404,$AC243)+INDEX($AO$5:$AO$404,$AC243)),"B","T")))))))</f>
        <v/>
      </c>
      <c r="AF243" t="str">
        <f t="shared" si="102"/>
        <v/>
      </c>
      <c r="AJ243">
        <f>IF($AD243&lt;&gt;"T",0,ROUND(SUMIF(oil!$B$4:$B$63,$AF243,oil!$AE$4:$AE$63),2))</f>
        <v>0</v>
      </c>
      <c r="AK243" t="str">
        <f>IF($S243="","",IFERROR(INDEX(อัตราค่าขนส่ง!$R$5:$R$54,MATCH($S243,อัตราค่าขนส่ง!$Q$5:$Q$54,0)),INDEX(รายการมาตรฐาน!$G$2:$G$3,1)))</f>
        <v/>
      </c>
      <c r="AL243" t="str">
        <f>IF($S243="","",IFERROR(MATCH($AK243,รายการมาตรฐาน!$G$2:$G$3,0),1))</f>
        <v/>
      </c>
      <c r="AM243" t="str">
        <f t="shared" si="103"/>
        <v/>
      </c>
      <c r="AN243" t="str">
        <f t="shared" si="104"/>
        <v/>
      </c>
      <c r="AO243">
        <f t="shared" si="105"/>
        <v>0</v>
      </c>
      <c r="AP243">
        <f t="shared" si="111"/>
        <v>0</v>
      </c>
      <c r="AQ243" t="str">
        <f t="shared" si="106"/>
        <v/>
      </c>
      <c r="AR243">
        <f>IF($Y243="",0,COUNTIF(บันทึกรายเที่ยว!$V$6:$V$10005,$Y243))</f>
        <v>0</v>
      </c>
      <c r="AS243">
        <f>IF($Y243="",0,ROUND(SUMIF(บันทึกรายเที่ยว!$V$6:$V$10005,$Y243,บันทึกรายเที่ยว!$M$6:$M$10005),2))</f>
        <v>0</v>
      </c>
      <c r="AT243">
        <f>IF($Y243="",0,IFERROR(INDEX(อัตราค่าขนส่ง!$J$5:$J$204,MATCH($Y243,อัตราค่าขนส่ง!$O$5:$O$204,0)),0))</f>
        <v>0</v>
      </c>
      <c r="AU243">
        <f t="shared" si="107"/>
        <v>0</v>
      </c>
      <c r="AV243">
        <f t="shared" si="108"/>
        <v>0</v>
      </c>
      <c r="AW243" t="str">
        <f>IF($Y243="","",IFERROR(INDEX(อัตราค่าขนส่ง!$F$5:$F$204,MATCH($Y243,อัตราค่าขนส่ง!$O$5:$O$204,0)),""))</f>
        <v/>
      </c>
      <c r="AX243" t="str">
        <f>IF($W243="","",INDEX(บันทึกรายเที่ยว!$D$6:$D$10005,$W243))</f>
        <v/>
      </c>
      <c r="AY243" t="str">
        <f>IF($W243="","",INDEX(บันทึกรายเที่ยว!$R$6:$R$10005,$W243))</f>
        <v/>
      </c>
      <c r="AZ243">
        <f t="shared" si="109"/>
        <v>0</v>
      </c>
      <c r="BA243" t="str">
        <f>IF($W243="","",INDEX(บันทึกรายเที่ยว!$E$6:$E$10005,$W243))</f>
        <v/>
      </c>
      <c r="BC243">
        <f>IF($Y243="",0,IFERROR(INDEX(อัตราค่าขนส่ง!$M$5:$M$204,MATCH($Y243,อัตราค่าขนส่ง!$O$5:$O$204,0)),0))</f>
        <v>0</v>
      </c>
      <c r="BD243">
        <f>IF($Y243="",0,IFERROR(INDEX(อัตราค่าขนส่ง!$N$5:$N$204,MATCH($Y243,อัตราค่าขนส่ง!$O$5:$O$204,0)),0))</f>
        <v>0</v>
      </c>
    </row>
    <row r="244" spans="1:56" ht="21" customHeight="1" x14ac:dyDescent="0.95">
      <c r="A244" s="36" t="str">
        <f>IF($AD244="","",IF($AD244="Z","รวมจ่ายทั้งสิ้น",IF($AD244="H",INDEX($X$5:$X$404,$AC244),IF($AD244="T","รวม",IF($AD244="B",IFERROR(INDEX(อัตราค่าขนส่ง!$U$5:$U$14,MATCH(INDEX($AM$5:$AM$404,$AC244),อัตราค่าขนส่ง!$T$5:$T$14,0)),"รวมกลุ่ม "&amp;INDEX($AM$5:$AM$404,$AC244)),INDEX($AY$5:$AY$404,$AC244))))))</f>
        <v/>
      </c>
      <c r="B244" s="31" t="str">
        <f t="shared" si="84"/>
        <v/>
      </c>
      <c r="C244" s="8" t="str">
        <f t="shared" si="85"/>
        <v/>
      </c>
      <c r="D244" s="37" t="str">
        <f t="shared" si="86"/>
        <v/>
      </c>
      <c r="E244" s="31" t="str">
        <f t="shared" si="87"/>
        <v/>
      </c>
      <c r="F244" s="32" t="str">
        <f t="shared" si="88"/>
        <v/>
      </c>
      <c r="G244" s="32" t="str">
        <f t="shared" si="89"/>
        <v/>
      </c>
      <c r="H244" s="32" t="str">
        <f t="shared" si="90"/>
        <v/>
      </c>
      <c r="I244" s="32" t="str">
        <f t="shared" si="91"/>
        <v/>
      </c>
      <c r="J244" s="46" t="str">
        <f t="shared" si="92"/>
        <v/>
      </c>
      <c r="K244" s="32" t="str">
        <f t="shared" si="93"/>
        <v/>
      </c>
      <c r="L244" s="32" t="str">
        <f t="shared" si="94"/>
        <v/>
      </c>
      <c r="M244" s="32" t="str">
        <f t="shared" si="95"/>
        <v/>
      </c>
      <c r="N244" s="32" t="str">
        <f t="shared" si="96"/>
        <v/>
      </c>
      <c r="O244" s="32" t="str">
        <f t="shared" si="97"/>
        <v/>
      </c>
      <c r="Q244" t="str">
        <f>IFERROR(MATCH(240,บันทึกรายเที่ยว!$Z$6:$Z$10005,0),"")</f>
        <v/>
      </c>
      <c r="R244" t="str">
        <f>IF($Q244="","",INDEX(บันทึกรายเที่ยว!$V$6:$V$10005,$Q244))</f>
        <v/>
      </c>
      <c r="S244" t="str">
        <f>IF($Q244="","",INDEX(บันทึกรายเที่ยว!$F$6:$F$10005,$Q244))</f>
        <v/>
      </c>
      <c r="T244" t="str">
        <f>IF($Q244="","",MATCH($S244,บันทึกรายเที่ยว!$F$6:$F$10005,0))</f>
        <v/>
      </c>
      <c r="U244" t="str">
        <f>IF($Q244="","",$AL244*10000000+$T244*1000+240)</f>
        <v/>
      </c>
      <c r="V244" t="str">
        <f>IFERROR(MATCH(SMALL($U$5:$U$404,240),$U$5:$U$404,0),"")</f>
        <v/>
      </c>
      <c r="W244" t="str">
        <f t="shared" si="98"/>
        <v/>
      </c>
      <c r="X244" t="str">
        <f t="shared" si="99"/>
        <v/>
      </c>
      <c r="Y244" t="str">
        <f t="shared" si="100"/>
        <v/>
      </c>
      <c r="Z244">
        <f t="shared" si="110"/>
        <v>0</v>
      </c>
      <c r="AA244">
        <f t="shared" si="101"/>
        <v>0</v>
      </c>
      <c r="AB244">
        <f>IF($V244="",99999+240,$AB243+1+$Z243+$AA243+$AO243)</f>
        <v>100239</v>
      </c>
      <c r="AC244" t="str">
        <f>IFERROR(MATCH(240,$AB$5:$AB$404,1),"")</f>
        <v/>
      </c>
      <c r="AD244" t="str">
        <f>IF(240=$AI$1+1,"Z",IF($AC244="","",IF(INDEX($V$5:$V$404,$AC244)="","",IF(240&gt;INDEX($AB$5:$AB$404,$AC244)+INDEX($Z$5:$Z$404,$AC244)+INDEX($AA$5:$AA$404,$AC244)+INDEX($AO$5:$AO$404,$AC244),"",IF(240=INDEX($AB$5:$AB$404,$AC244)+INDEX($Z$5:$Z$404,$AC244),"D",IF(AND(INDEX($Z$5:$Z$404,$AC244)=1,240=INDEX($AB$5:$AB$404,$AC244)),"H",IF(AND(INDEX($AO$5:$AO$404,$AC244)=1,240=INDEX($AB$5:$AB$404,$AC244)+INDEX($Z$5:$Z$404,$AC244)+INDEX($AA$5:$AA$404,$AC244)+INDEX($AO$5:$AO$404,$AC244)),"B","T")))))))</f>
        <v/>
      </c>
      <c r="AF244" t="str">
        <f t="shared" si="102"/>
        <v/>
      </c>
      <c r="AJ244">
        <f>IF($AD244&lt;&gt;"T",0,ROUND(SUMIF(oil!$B$4:$B$63,$AF244,oil!$AE$4:$AE$63),2))</f>
        <v>0</v>
      </c>
      <c r="AK244" t="str">
        <f>IF($S244="","",IFERROR(INDEX(อัตราค่าขนส่ง!$R$5:$R$54,MATCH($S244,อัตราค่าขนส่ง!$Q$5:$Q$54,0)),INDEX(รายการมาตรฐาน!$G$2:$G$3,1)))</f>
        <v/>
      </c>
      <c r="AL244" t="str">
        <f>IF($S244="","",IFERROR(MATCH($AK244,รายการมาตรฐาน!$G$2:$G$3,0),1))</f>
        <v/>
      </c>
      <c r="AM244" t="str">
        <f t="shared" si="103"/>
        <v/>
      </c>
      <c r="AN244" t="str">
        <f t="shared" si="104"/>
        <v/>
      </c>
      <c r="AO244">
        <f t="shared" si="105"/>
        <v>0</v>
      </c>
      <c r="AP244">
        <f t="shared" si="111"/>
        <v>0</v>
      </c>
      <c r="AQ244" t="str">
        <f t="shared" si="106"/>
        <v/>
      </c>
      <c r="AR244">
        <f>IF($Y244="",0,COUNTIF(บันทึกรายเที่ยว!$V$6:$V$10005,$Y244))</f>
        <v>0</v>
      </c>
      <c r="AS244">
        <f>IF($Y244="",0,ROUND(SUMIF(บันทึกรายเที่ยว!$V$6:$V$10005,$Y244,บันทึกรายเที่ยว!$M$6:$M$10005),2))</f>
        <v>0</v>
      </c>
      <c r="AT244">
        <f>IF($Y244="",0,IFERROR(INDEX(อัตราค่าขนส่ง!$J$5:$J$204,MATCH($Y244,อัตราค่าขนส่ง!$O$5:$O$204,0)),0))</f>
        <v>0</v>
      </c>
      <c r="AU244">
        <f t="shared" si="107"/>
        <v>0</v>
      </c>
      <c r="AV244">
        <f t="shared" si="108"/>
        <v>0</v>
      </c>
      <c r="AW244" t="str">
        <f>IF($Y244="","",IFERROR(INDEX(อัตราค่าขนส่ง!$F$5:$F$204,MATCH($Y244,อัตราค่าขนส่ง!$O$5:$O$204,0)),""))</f>
        <v/>
      </c>
      <c r="AX244" t="str">
        <f>IF($W244="","",INDEX(บันทึกรายเที่ยว!$D$6:$D$10005,$W244))</f>
        <v/>
      </c>
      <c r="AY244" t="str">
        <f>IF($W244="","",INDEX(บันทึกรายเที่ยว!$R$6:$R$10005,$W244))</f>
        <v/>
      </c>
      <c r="AZ244">
        <f t="shared" si="109"/>
        <v>0</v>
      </c>
      <c r="BA244" t="str">
        <f>IF($W244="","",INDEX(บันทึกรายเที่ยว!$E$6:$E$10005,$W244))</f>
        <v/>
      </c>
      <c r="BC244">
        <f>IF($Y244="",0,IFERROR(INDEX(อัตราค่าขนส่ง!$M$5:$M$204,MATCH($Y244,อัตราค่าขนส่ง!$O$5:$O$204,0)),0))</f>
        <v>0</v>
      </c>
      <c r="BD244">
        <f>IF($Y244="",0,IFERROR(INDEX(อัตราค่าขนส่ง!$N$5:$N$204,MATCH($Y244,อัตราค่าขนส่ง!$O$5:$O$204,0)),0))</f>
        <v>0</v>
      </c>
    </row>
    <row r="245" spans="1:56" ht="21" customHeight="1" x14ac:dyDescent="0.95">
      <c r="A245" s="36" t="str">
        <f>IF($AD245="","",IF($AD245="Z","รวมจ่ายทั้งสิ้น",IF($AD245="H",INDEX($X$5:$X$404,$AC245),IF($AD245="T","รวม",IF($AD245="B",IFERROR(INDEX(อัตราค่าขนส่ง!$U$5:$U$14,MATCH(INDEX($AM$5:$AM$404,$AC245),อัตราค่าขนส่ง!$T$5:$T$14,0)),"รวมกลุ่ม "&amp;INDEX($AM$5:$AM$404,$AC245)),INDEX($AY$5:$AY$404,$AC245))))))</f>
        <v/>
      </c>
      <c r="B245" s="31" t="str">
        <f t="shared" si="84"/>
        <v/>
      </c>
      <c r="C245" s="8" t="str">
        <f t="shared" si="85"/>
        <v/>
      </c>
      <c r="D245" s="37" t="str">
        <f t="shared" si="86"/>
        <v/>
      </c>
      <c r="E245" s="31" t="str">
        <f t="shared" si="87"/>
        <v/>
      </c>
      <c r="F245" s="32" t="str">
        <f t="shared" si="88"/>
        <v/>
      </c>
      <c r="G245" s="32" t="str">
        <f t="shared" si="89"/>
        <v/>
      </c>
      <c r="H245" s="32" t="str">
        <f t="shared" si="90"/>
        <v/>
      </c>
      <c r="I245" s="32" t="str">
        <f t="shared" si="91"/>
        <v/>
      </c>
      <c r="J245" s="46" t="str">
        <f t="shared" si="92"/>
        <v/>
      </c>
      <c r="K245" s="32" t="str">
        <f t="shared" si="93"/>
        <v/>
      </c>
      <c r="L245" s="32" t="str">
        <f t="shared" si="94"/>
        <v/>
      </c>
      <c r="M245" s="32" t="str">
        <f t="shared" si="95"/>
        <v/>
      </c>
      <c r="N245" s="32" t="str">
        <f t="shared" si="96"/>
        <v/>
      </c>
      <c r="O245" s="32" t="str">
        <f t="shared" si="97"/>
        <v/>
      </c>
      <c r="Q245" t="str">
        <f>IFERROR(MATCH(241,บันทึกรายเที่ยว!$Z$6:$Z$10005,0),"")</f>
        <v/>
      </c>
      <c r="R245" t="str">
        <f>IF($Q245="","",INDEX(บันทึกรายเที่ยว!$V$6:$V$10005,$Q245))</f>
        <v/>
      </c>
      <c r="S245" t="str">
        <f>IF($Q245="","",INDEX(บันทึกรายเที่ยว!$F$6:$F$10005,$Q245))</f>
        <v/>
      </c>
      <c r="T245" t="str">
        <f>IF($Q245="","",MATCH($S245,บันทึกรายเที่ยว!$F$6:$F$10005,0))</f>
        <v/>
      </c>
      <c r="U245" t="str">
        <f>IF($Q245="","",$AL245*10000000+$T245*1000+241)</f>
        <v/>
      </c>
      <c r="V245" t="str">
        <f>IFERROR(MATCH(SMALL($U$5:$U$404,241),$U$5:$U$404,0),"")</f>
        <v/>
      </c>
      <c r="W245" t="str">
        <f t="shared" si="98"/>
        <v/>
      </c>
      <c r="X245" t="str">
        <f t="shared" si="99"/>
        <v/>
      </c>
      <c r="Y245" t="str">
        <f t="shared" si="100"/>
        <v/>
      </c>
      <c r="Z245">
        <f t="shared" si="110"/>
        <v>0</v>
      </c>
      <c r="AA245">
        <f t="shared" si="101"/>
        <v>0</v>
      </c>
      <c r="AB245">
        <f>IF($V245="",99999+241,$AB244+1+$Z244+$AA244+$AO244)</f>
        <v>100240</v>
      </c>
      <c r="AC245" t="str">
        <f>IFERROR(MATCH(241,$AB$5:$AB$404,1),"")</f>
        <v/>
      </c>
      <c r="AD245" t="str">
        <f>IF(241=$AI$1+1,"Z",IF($AC245="","",IF(INDEX($V$5:$V$404,$AC245)="","",IF(241&gt;INDEX($AB$5:$AB$404,$AC245)+INDEX($Z$5:$Z$404,$AC245)+INDEX($AA$5:$AA$404,$AC245)+INDEX($AO$5:$AO$404,$AC245),"",IF(241=INDEX($AB$5:$AB$404,$AC245)+INDEX($Z$5:$Z$404,$AC245),"D",IF(AND(INDEX($Z$5:$Z$404,$AC245)=1,241=INDEX($AB$5:$AB$404,$AC245)),"H",IF(AND(INDEX($AO$5:$AO$404,$AC245)=1,241=INDEX($AB$5:$AB$404,$AC245)+INDEX($Z$5:$Z$404,$AC245)+INDEX($AA$5:$AA$404,$AC245)+INDEX($AO$5:$AO$404,$AC245)),"B","T")))))))</f>
        <v/>
      </c>
      <c r="AF245" t="str">
        <f t="shared" si="102"/>
        <v/>
      </c>
      <c r="AJ245">
        <f>IF($AD245&lt;&gt;"T",0,ROUND(SUMIF(oil!$B$4:$B$63,$AF245,oil!$AE$4:$AE$63),2))</f>
        <v>0</v>
      </c>
      <c r="AK245" t="str">
        <f>IF($S245="","",IFERROR(INDEX(อัตราค่าขนส่ง!$R$5:$R$54,MATCH($S245,อัตราค่าขนส่ง!$Q$5:$Q$54,0)),INDEX(รายการมาตรฐาน!$G$2:$G$3,1)))</f>
        <v/>
      </c>
      <c r="AL245" t="str">
        <f>IF($S245="","",IFERROR(MATCH($AK245,รายการมาตรฐาน!$G$2:$G$3,0),1))</f>
        <v/>
      </c>
      <c r="AM245" t="str">
        <f t="shared" si="103"/>
        <v/>
      </c>
      <c r="AN245" t="str">
        <f t="shared" si="104"/>
        <v/>
      </c>
      <c r="AO245">
        <f t="shared" si="105"/>
        <v>0</v>
      </c>
      <c r="AP245">
        <f t="shared" si="111"/>
        <v>0</v>
      </c>
      <c r="AQ245" t="str">
        <f t="shared" si="106"/>
        <v/>
      </c>
      <c r="AR245">
        <f>IF($Y245="",0,COUNTIF(บันทึกรายเที่ยว!$V$6:$V$10005,$Y245))</f>
        <v>0</v>
      </c>
      <c r="AS245">
        <f>IF($Y245="",0,ROUND(SUMIF(บันทึกรายเที่ยว!$V$6:$V$10005,$Y245,บันทึกรายเที่ยว!$M$6:$M$10005),2))</f>
        <v>0</v>
      </c>
      <c r="AT245">
        <f>IF($Y245="",0,IFERROR(INDEX(อัตราค่าขนส่ง!$J$5:$J$204,MATCH($Y245,อัตราค่าขนส่ง!$O$5:$O$204,0)),0))</f>
        <v>0</v>
      </c>
      <c r="AU245">
        <f t="shared" si="107"/>
        <v>0</v>
      </c>
      <c r="AV245">
        <f t="shared" si="108"/>
        <v>0</v>
      </c>
      <c r="AW245" t="str">
        <f>IF($Y245="","",IFERROR(INDEX(อัตราค่าขนส่ง!$F$5:$F$204,MATCH($Y245,อัตราค่าขนส่ง!$O$5:$O$204,0)),""))</f>
        <v/>
      </c>
      <c r="AX245" t="str">
        <f>IF($W245="","",INDEX(บันทึกรายเที่ยว!$D$6:$D$10005,$W245))</f>
        <v/>
      </c>
      <c r="AY245" t="str">
        <f>IF($W245="","",INDEX(บันทึกรายเที่ยว!$R$6:$R$10005,$W245))</f>
        <v/>
      </c>
      <c r="AZ245">
        <f t="shared" si="109"/>
        <v>0</v>
      </c>
      <c r="BA245" t="str">
        <f>IF($W245="","",INDEX(บันทึกรายเที่ยว!$E$6:$E$10005,$W245))</f>
        <v/>
      </c>
      <c r="BC245">
        <f>IF($Y245="",0,IFERROR(INDEX(อัตราค่าขนส่ง!$M$5:$M$204,MATCH($Y245,อัตราค่าขนส่ง!$O$5:$O$204,0)),0))</f>
        <v>0</v>
      </c>
      <c r="BD245">
        <f>IF($Y245="",0,IFERROR(INDEX(อัตราค่าขนส่ง!$N$5:$N$204,MATCH($Y245,อัตราค่าขนส่ง!$O$5:$O$204,0)),0))</f>
        <v>0</v>
      </c>
    </row>
    <row r="246" spans="1:56" ht="21" customHeight="1" x14ac:dyDescent="0.95">
      <c r="A246" s="36" t="str">
        <f>IF($AD246="","",IF($AD246="Z","รวมจ่ายทั้งสิ้น",IF($AD246="H",INDEX($X$5:$X$404,$AC246),IF($AD246="T","รวม",IF($AD246="B",IFERROR(INDEX(อัตราค่าขนส่ง!$U$5:$U$14,MATCH(INDEX($AM$5:$AM$404,$AC246),อัตราค่าขนส่ง!$T$5:$T$14,0)),"รวมกลุ่ม "&amp;INDEX($AM$5:$AM$404,$AC246)),INDEX($AY$5:$AY$404,$AC246))))))</f>
        <v/>
      </c>
      <c r="B246" s="31" t="str">
        <f t="shared" si="84"/>
        <v/>
      </c>
      <c r="C246" s="8" t="str">
        <f t="shared" si="85"/>
        <v/>
      </c>
      <c r="D246" s="37" t="str">
        <f t="shared" si="86"/>
        <v/>
      </c>
      <c r="E246" s="31" t="str">
        <f t="shared" si="87"/>
        <v/>
      </c>
      <c r="F246" s="32" t="str">
        <f t="shared" si="88"/>
        <v/>
      </c>
      <c r="G246" s="32" t="str">
        <f t="shared" si="89"/>
        <v/>
      </c>
      <c r="H246" s="32" t="str">
        <f t="shared" si="90"/>
        <v/>
      </c>
      <c r="I246" s="32" t="str">
        <f t="shared" si="91"/>
        <v/>
      </c>
      <c r="J246" s="46" t="str">
        <f t="shared" si="92"/>
        <v/>
      </c>
      <c r="K246" s="32" t="str">
        <f t="shared" si="93"/>
        <v/>
      </c>
      <c r="L246" s="32" t="str">
        <f t="shared" si="94"/>
        <v/>
      </c>
      <c r="M246" s="32" t="str">
        <f t="shared" si="95"/>
        <v/>
      </c>
      <c r="N246" s="32" t="str">
        <f t="shared" si="96"/>
        <v/>
      </c>
      <c r="O246" s="32" t="str">
        <f t="shared" si="97"/>
        <v/>
      </c>
      <c r="Q246" t="str">
        <f>IFERROR(MATCH(242,บันทึกรายเที่ยว!$Z$6:$Z$10005,0),"")</f>
        <v/>
      </c>
      <c r="R246" t="str">
        <f>IF($Q246="","",INDEX(บันทึกรายเที่ยว!$V$6:$V$10005,$Q246))</f>
        <v/>
      </c>
      <c r="S246" t="str">
        <f>IF($Q246="","",INDEX(บันทึกรายเที่ยว!$F$6:$F$10005,$Q246))</f>
        <v/>
      </c>
      <c r="T246" t="str">
        <f>IF($Q246="","",MATCH($S246,บันทึกรายเที่ยว!$F$6:$F$10005,0))</f>
        <v/>
      </c>
      <c r="U246" t="str">
        <f>IF($Q246="","",$AL246*10000000+$T246*1000+242)</f>
        <v/>
      </c>
      <c r="V246" t="str">
        <f>IFERROR(MATCH(SMALL($U$5:$U$404,242),$U$5:$U$404,0),"")</f>
        <v/>
      </c>
      <c r="W246" t="str">
        <f t="shared" si="98"/>
        <v/>
      </c>
      <c r="X246" t="str">
        <f t="shared" si="99"/>
        <v/>
      </c>
      <c r="Y246" t="str">
        <f t="shared" si="100"/>
        <v/>
      </c>
      <c r="Z246">
        <f t="shared" si="110"/>
        <v>0</v>
      </c>
      <c r="AA246">
        <f t="shared" si="101"/>
        <v>0</v>
      </c>
      <c r="AB246">
        <f>IF($V246="",99999+242,$AB245+1+$Z245+$AA245+$AO245)</f>
        <v>100241</v>
      </c>
      <c r="AC246" t="str">
        <f>IFERROR(MATCH(242,$AB$5:$AB$404,1),"")</f>
        <v/>
      </c>
      <c r="AD246" t="str">
        <f>IF(242=$AI$1+1,"Z",IF($AC246="","",IF(INDEX($V$5:$V$404,$AC246)="","",IF(242&gt;INDEX($AB$5:$AB$404,$AC246)+INDEX($Z$5:$Z$404,$AC246)+INDEX($AA$5:$AA$404,$AC246)+INDEX($AO$5:$AO$404,$AC246),"",IF(242=INDEX($AB$5:$AB$404,$AC246)+INDEX($Z$5:$Z$404,$AC246),"D",IF(AND(INDEX($Z$5:$Z$404,$AC246)=1,242=INDEX($AB$5:$AB$404,$AC246)),"H",IF(AND(INDEX($AO$5:$AO$404,$AC246)=1,242=INDEX($AB$5:$AB$404,$AC246)+INDEX($Z$5:$Z$404,$AC246)+INDEX($AA$5:$AA$404,$AC246)+INDEX($AO$5:$AO$404,$AC246)),"B","T")))))))</f>
        <v/>
      </c>
      <c r="AF246" t="str">
        <f t="shared" si="102"/>
        <v/>
      </c>
      <c r="AJ246">
        <f>IF($AD246&lt;&gt;"T",0,ROUND(SUMIF(oil!$B$4:$B$63,$AF246,oil!$AE$4:$AE$63),2))</f>
        <v>0</v>
      </c>
      <c r="AK246" t="str">
        <f>IF($S246="","",IFERROR(INDEX(อัตราค่าขนส่ง!$R$5:$R$54,MATCH($S246,อัตราค่าขนส่ง!$Q$5:$Q$54,0)),INDEX(รายการมาตรฐาน!$G$2:$G$3,1)))</f>
        <v/>
      </c>
      <c r="AL246" t="str">
        <f>IF($S246="","",IFERROR(MATCH($AK246,รายการมาตรฐาน!$G$2:$G$3,0),1))</f>
        <v/>
      </c>
      <c r="AM246" t="str">
        <f t="shared" si="103"/>
        <v/>
      </c>
      <c r="AN246" t="str">
        <f t="shared" si="104"/>
        <v/>
      </c>
      <c r="AO246">
        <f t="shared" si="105"/>
        <v>0</v>
      </c>
      <c r="AP246">
        <f t="shared" si="111"/>
        <v>0</v>
      </c>
      <c r="AQ246" t="str">
        <f t="shared" si="106"/>
        <v/>
      </c>
      <c r="AR246">
        <f>IF($Y246="",0,COUNTIF(บันทึกรายเที่ยว!$V$6:$V$10005,$Y246))</f>
        <v>0</v>
      </c>
      <c r="AS246">
        <f>IF($Y246="",0,ROUND(SUMIF(บันทึกรายเที่ยว!$V$6:$V$10005,$Y246,บันทึกรายเที่ยว!$M$6:$M$10005),2))</f>
        <v>0</v>
      </c>
      <c r="AT246">
        <f>IF($Y246="",0,IFERROR(INDEX(อัตราค่าขนส่ง!$J$5:$J$204,MATCH($Y246,อัตราค่าขนส่ง!$O$5:$O$204,0)),0))</f>
        <v>0</v>
      </c>
      <c r="AU246">
        <f t="shared" si="107"/>
        <v>0</v>
      </c>
      <c r="AV246">
        <f t="shared" si="108"/>
        <v>0</v>
      </c>
      <c r="AW246" t="str">
        <f>IF($Y246="","",IFERROR(INDEX(อัตราค่าขนส่ง!$F$5:$F$204,MATCH($Y246,อัตราค่าขนส่ง!$O$5:$O$204,0)),""))</f>
        <v/>
      </c>
      <c r="AX246" t="str">
        <f>IF($W246="","",INDEX(บันทึกรายเที่ยว!$D$6:$D$10005,$W246))</f>
        <v/>
      </c>
      <c r="AY246" t="str">
        <f>IF($W246="","",INDEX(บันทึกรายเที่ยว!$R$6:$R$10005,$W246))</f>
        <v/>
      </c>
      <c r="AZ246">
        <f t="shared" si="109"/>
        <v>0</v>
      </c>
      <c r="BA246" t="str">
        <f>IF($W246="","",INDEX(บันทึกรายเที่ยว!$E$6:$E$10005,$W246))</f>
        <v/>
      </c>
      <c r="BC246">
        <f>IF($Y246="",0,IFERROR(INDEX(อัตราค่าขนส่ง!$M$5:$M$204,MATCH($Y246,อัตราค่าขนส่ง!$O$5:$O$204,0)),0))</f>
        <v>0</v>
      </c>
      <c r="BD246">
        <f>IF($Y246="",0,IFERROR(INDEX(อัตราค่าขนส่ง!$N$5:$N$204,MATCH($Y246,อัตราค่าขนส่ง!$O$5:$O$204,0)),0))</f>
        <v>0</v>
      </c>
    </row>
    <row r="247" spans="1:56" ht="21" customHeight="1" x14ac:dyDescent="0.95">
      <c r="A247" s="36" t="str">
        <f>IF($AD247="","",IF($AD247="Z","รวมจ่ายทั้งสิ้น",IF($AD247="H",INDEX($X$5:$X$404,$AC247),IF($AD247="T","รวม",IF($AD247="B",IFERROR(INDEX(อัตราค่าขนส่ง!$U$5:$U$14,MATCH(INDEX($AM$5:$AM$404,$AC247),อัตราค่าขนส่ง!$T$5:$T$14,0)),"รวมกลุ่ม "&amp;INDEX($AM$5:$AM$404,$AC247)),INDEX($AY$5:$AY$404,$AC247))))))</f>
        <v/>
      </c>
      <c r="B247" s="31" t="str">
        <f t="shared" si="84"/>
        <v/>
      </c>
      <c r="C247" s="8" t="str">
        <f t="shared" si="85"/>
        <v/>
      </c>
      <c r="D247" s="37" t="str">
        <f t="shared" si="86"/>
        <v/>
      </c>
      <c r="E247" s="31" t="str">
        <f t="shared" si="87"/>
        <v/>
      </c>
      <c r="F247" s="32" t="str">
        <f t="shared" si="88"/>
        <v/>
      </c>
      <c r="G247" s="32" t="str">
        <f t="shared" si="89"/>
        <v/>
      </c>
      <c r="H247" s="32" t="str">
        <f t="shared" si="90"/>
        <v/>
      </c>
      <c r="I247" s="32" t="str">
        <f t="shared" si="91"/>
        <v/>
      </c>
      <c r="J247" s="46" t="str">
        <f t="shared" si="92"/>
        <v/>
      </c>
      <c r="K247" s="32" t="str">
        <f t="shared" si="93"/>
        <v/>
      </c>
      <c r="L247" s="32" t="str">
        <f t="shared" si="94"/>
        <v/>
      </c>
      <c r="M247" s="32" t="str">
        <f t="shared" si="95"/>
        <v/>
      </c>
      <c r="N247" s="32" t="str">
        <f t="shared" si="96"/>
        <v/>
      </c>
      <c r="O247" s="32" t="str">
        <f t="shared" si="97"/>
        <v/>
      </c>
      <c r="Q247" t="str">
        <f>IFERROR(MATCH(243,บันทึกรายเที่ยว!$Z$6:$Z$10005,0),"")</f>
        <v/>
      </c>
      <c r="R247" t="str">
        <f>IF($Q247="","",INDEX(บันทึกรายเที่ยว!$V$6:$V$10005,$Q247))</f>
        <v/>
      </c>
      <c r="S247" t="str">
        <f>IF($Q247="","",INDEX(บันทึกรายเที่ยว!$F$6:$F$10005,$Q247))</f>
        <v/>
      </c>
      <c r="T247" t="str">
        <f>IF($Q247="","",MATCH($S247,บันทึกรายเที่ยว!$F$6:$F$10005,0))</f>
        <v/>
      </c>
      <c r="U247" t="str">
        <f>IF($Q247="","",$AL247*10000000+$T247*1000+243)</f>
        <v/>
      </c>
      <c r="V247" t="str">
        <f>IFERROR(MATCH(SMALL($U$5:$U$404,243),$U$5:$U$404,0),"")</f>
        <v/>
      </c>
      <c r="W247" t="str">
        <f t="shared" si="98"/>
        <v/>
      </c>
      <c r="X247" t="str">
        <f t="shared" si="99"/>
        <v/>
      </c>
      <c r="Y247" t="str">
        <f t="shared" si="100"/>
        <v/>
      </c>
      <c r="Z247">
        <f t="shared" si="110"/>
        <v>0</v>
      </c>
      <c r="AA247">
        <f t="shared" si="101"/>
        <v>0</v>
      </c>
      <c r="AB247">
        <f>IF($V247="",99999+243,$AB246+1+$Z246+$AA246+$AO246)</f>
        <v>100242</v>
      </c>
      <c r="AC247" t="str">
        <f>IFERROR(MATCH(243,$AB$5:$AB$404,1),"")</f>
        <v/>
      </c>
      <c r="AD247" t="str">
        <f>IF(243=$AI$1+1,"Z",IF($AC247="","",IF(INDEX($V$5:$V$404,$AC247)="","",IF(243&gt;INDEX($AB$5:$AB$404,$AC247)+INDEX($Z$5:$Z$404,$AC247)+INDEX($AA$5:$AA$404,$AC247)+INDEX($AO$5:$AO$404,$AC247),"",IF(243=INDEX($AB$5:$AB$404,$AC247)+INDEX($Z$5:$Z$404,$AC247),"D",IF(AND(INDEX($Z$5:$Z$404,$AC247)=1,243=INDEX($AB$5:$AB$404,$AC247)),"H",IF(AND(INDEX($AO$5:$AO$404,$AC247)=1,243=INDEX($AB$5:$AB$404,$AC247)+INDEX($Z$5:$Z$404,$AC247)+INDEX($AA$5:$AA$404,$AC247)+INDEX($AO$5:$AO$404,$AC247)),"B","T")))))))</f>
        <v/>
      </c>
      <c r="AF247" t="str">
        <f t="shared" si="102"/>
        <v/>
      </c>
      <c r="AJ247">
        <f>IF($AD247&lt;&gt;"T",0,ROUND(SUMIF(oil!$B$4:$B$63,$AF247,oil!$AE$4:$AE$63),2))</f>
        <v>0</v>
      </c>
      <c r="AK247" t="str">
        <f>IF($S247="","",IFERROR(INDEX(อัตราค่าขนส่ง!$R$5:$R$54,MATCH($S247,อัตราค่าขนส่ง!$Q$5:$Q$54,0)),INDEX(รายการมาตรฐาน!$G$2:$G$3,1)))</f>
        <v/>
      </c>
      <c r="AL247" t="str">
        <f>IF($S247="","",IFERROR(MATCH($AK247,รายการมาตรฐาน!$G$2:$G$3,0),1))</f>
        <v/>
      </c>
      <c r="AM247" t="str">
        <f t="shared" si="103"/>
        <v/>
      </c>
      <c r="AN247" t="str">
        <f t="shared" si="104"/>
        <v/>
      </c>
      <c r="AO247">
        <f t="shared" si="105"/>
        <v>0</v>
      </c>
      <c r="AP247">
        <f t="shared" si="111"/>
        <v>0</v>
      </c>
      <c r="AQ247" t="str">
        <f t="shared" si="106"/>
        <v/>
      </c>
      <c r="AR247">
        <f>IF($Y247="",0,COUNTIF(บันทึกรายเที่ยว!$V$6:$V$10005,$Y247))</f>
        <v>0</v>
      </c>
      <c r="AS247">
        <f>IF($Y247="",0,ROUND(SUMIF(บันทึกรายเที่ยว!$V$6:$V$10005,$Y247,บันทึกรายเที่ยว!$M$6:$M$10005),2))</f>
        <v>0</v>
      </c>
      <c r="AT247">
        <f>IF($Y247="",0,IFERROR(INDEX(อัตราค่าขนส่ง!$J$5:$J$204,MATCH($Y247,อัตราค่าขนส่ง!$O$5:$O$204,0)),0))</f>
        <v>0</v>
      </c>
      <c r="AU247">
        <f t="shared" si="107"/>
        <v>0</v>
      </c>
      <c r="AV247">
        <f t="shared" si="108"/>
        <v>0</v>
      </c>
      <c r="AW247" t="str">
        <f>IF($Y247="","",IFERROR(INDEX(อัตราค่าขนส่ง!$F$5:$F$204,MATCH($Y247,อัตราค่าขนส่ง!$O$5:$O$204,0)),""))</f>
        <v/>
      </c>
      <c r="AX247" t="str">
        <f>IF($W247="","",INDEX(บันทึกรายเที่ยว!$D$6:$D$10005,$W247))</f>
        <v/>
      </c>
      <c r="AY247" t="str">
        <f>IF($W247="","",INDEX(บันทึกรายเที่ยว!$R$6:$R$10005,$W247))</f>
        <v/>
      </c>
      <c r="AZ247">
        <f t="shared" si="109"/>
        <v>0</v>
      </c>
      <c r="BA247" t="str">
        <f>IF($W247="","",INDEX(บันทึกรายเที่ยว!$E$6:$E$10005,$W247))</f>
        <v/>
      </c>
      <c r="BC247">
        <f>IF($Y247="",0,IFERROR(INDEX(อัตราค่าขนส่ง!$M$5:$M$204,MATCH($Y247,อัตราค่าขนส่ง!$O$5:$O$204,0)),0))</f>
        <v>0</v>
      </c>
      <c r="BD247">
        <f>IF($Y247="",0,IFERROR(INDEX(อัตราค่าขนส่ง!$N$5:$N$204,MATCH($Y247,อัตราค่าขนส่ง!$O$5:$O$204,0)),0))</f>
        <v>0</v>
      </c>
    </row>
    <row r="248" spans="1:56" ht="21" customHeight="1" x14ac:dyDescent="0.95">
      <c r="A248" s="36" t="str">
        <f>IF($AD248="","",IF($AD248="Z","รวมจ่ายทั้งสิ้น",IF($AD248="H",INDEX($X$5:$X$404,$AC248),IF($AD248="T","รวม",IF($AD248="B",IFERROR(INDEX(อัตราค่าขนส่ง!$U$5:$U$14,MATCH(INDEX($AM$5:$AM$404,$AC248),อัตราค่าขนส่ง!$T$5:$T$14,0)),"รวมกลุ่ม "&amp;INDEX($AM$5:$AM$404,$AC248)),INDEX($AY$5:$AY$404,$AC248))))))</f>
        <v/>
      </c>
      <c r="B248" s="31" t="str">
        <f t="shared" si="84"/>
        <v/>
      </c>
      <c r="C248" s="8" t="str">
        <f t="shared" si="85"/>
        <v/>
      </c>
      <c r="D248" s="37" t="str">
        <f t="shared" si="86"/>
        <v/>
      </c>
      <c r="E248" s="31" t="str">
        <f t="shared" si="87"/>
        <v/>
      </c>
      <c r="F248" s="32" t="str">
        <f t="shared" si="88"/>
        <v/>
      </c>
      <c r="G248" s="32" t="str">
        <f t="shared" si="89"/>
        <v/>
      </c>
      <c r="H248" s="32" t="str">
        <f t="shared" si="90"/>
        <v/>
      </c>
      <c r="I248" s="32" t="str">
        <f t="shared" si="91"/>
        <v/>
      </c>
      <c r="J248" s="46" t="str">
        <f t="shared" si="92"/>
        <v/>
      </c>
      <c r="K248" s="32" t="str">
        <f t="shared" si="93"/>
        <v/>
      </c>
      <c r="L248" s="32" t="str">
        <f t="shared" si="94"/>
        <v/>
      </c>
      <c r="M248" s="32" t="str">
        <f t="shared" si="95"/>
        <v/>
      </c>
      <c r="N248" s="32" t="str">
        <f t="shared" si="96"/>
        <v/>
      </c>
      <c r="O248" s="32" t="str">
        <f t="shared" si="97"/>
        <v/>
      </c>
      <c r="Q248" t="str">
        <f>IFERROR(MATCH(244,บันทึกรายเที่ยว!$Z$6:$Z$10005,0),"")</f>
        <v/>
      </c>
      <c r="R248" t="str">
        <f>IF($Q248="","",INDEX(บันทึกรายเที่ยว!$V$6:$V$10005,$Q248))</f>
        <v/>
      </c>
      <c r="S248" t="str">
        <f>IF($Q248="","",INDEX(บันทึกรายเที่ยว!$F$6:$F$10005,$Q248))</f>
        <v/>
      </c>
      <c r="T248" t="str">
        <f>IF($Q248="","",MATCH($S248,บันทึกรายเที่ยว!$F$6:$F$10005,0))</f>
        <v/>
      </c>
      <c r="U248" t="str">
        <f>IF($Q248="","",$AL248*10000000+$T248*1000+244)</f>
        <v/>
      </c>
      <c r="V248" t="str">
        <f>IFERROR(MATCH(SMALL($U$5:$U$404,244),$U$5:$U$404,0),"")</f>
        <v/>
      </c>
      <c r="W248" t="str">
        <f t="shared" si="98"/>
        <v/>
      </c>
      <c r="X248" t="str">
        <f t="shared" si="99"/>
        <v/>
      </c>
      <c r="Y248" t="str">
        <f t="shared" si="100"/>
        <v/>
      </c>
      <c r="Z248">
        <f t="shared" si="110"/>
        <v>0</v>
      </c>
      <c r="AA248">
        <f t="shared" si="101"/>
        <v>0</v>
      </c>
      <c r="AB248">
        <f>IF($V248="",99999+244,$AB247+1+$Z247+$AA247+$AO247)</f>
        <v>100243</v>
      </c>
      <c r="AC248" t="str">
        <f>IFERROR(MATCH(244,$AB$5:$AB$404,1),"")</f>
        <v/>
      </c>
      <c r="AD248" t="str">
        <f>IF(244=$AI$1+1,"Z",IF($AC248="","",IF(INDEX($V$5:$V$404,$AC248)="","",IF(244&gt;INDEX($AB$5:$AB$404,$AC248)+INDEX($Z$5:$Z$404,$AC248)+INDEX($AA$5:$AA$404,$AC248)+INDEX($AO$5:$AO$404,$AC248),"",IF(244=INDEX($AB$5:$AB$404,$AC248)+INDEX($Z$5:$Z$404,$AC248),"D",IF(AND(INDEX($Z$5:$Z$404,$AC248)=1,244=INDEX($AB$5:$AB$404,$AC248)),"H",IF(AND(INDEX($AO$5:$AO$404,$AC248)=1,244=INDEX($AB$5:$AB$404,$AC248)+INDEX($Z$5:$Z$404,$AC248)+INDEX($AA$5:$AA$404,$AC248)+INDEX($AO$5:$AO$404,$AC248)),"B","T")))))))</f>
        <v/>
      </c>
      <c r="AF248" t="str">
        <f t="shared" si="102"/>
        <v/>
      </c>
      <c r="AJ248">
        <f>IF($AD248&lt;&gt;"T",0,ROUND(SUMIF(oil!$B$4:$B$63,$AF248,oil!$AE$4:$AE$63),2))</f>
        <v>0</v>
      </c>
      <c r="AK248" t="str">
        <f>IF($S248="","",IFERROR(INDEX(อัตราค่าขนส่ง!$R$5:$R$54,MATCH($S248,อัตราค่าขนส่ง!$Q$5:$Q$54,0)),INDEX(รายการมาตรฐาน!$G$2:$G$3,1)))</f>
        <v/>
      </c>
      <c r="AL248" t="str">
        <f>IF($S248="","",IFERROR(MATCH($AK248,รายการมาตรฐาน!$G$2:$G$3,0),1))</f>
        <v/>
      </c>
      <c r="AM248" t="str">
        <f t="shared" si="103"/>
        <v/>
      </c>
      <c r="AN248" t="str">
        <f t="shared" si="104"/>
        <v/>
      </c>
      <c r="AO248">
        <f t="shared" si="105"/>
        <v>0</v>
      </c>
      <c r="AP248">
        <f t="shared" si="111"/>
        <v>0</v>
      </c>
      <c r="AQ248" t="str">
        <f t="shared" si="106"/>
        <v/>
      </c>
      <c r="AR248">
        <f>IF($Y248="",0,COUNTIF(บันทึกรายเที่ยว!$V$6:$V$10005,$Y248))</f>
        <v>0</v>
      </c>
      <c r="AS248">
        <f>IF($Y248="",0,ROUND(SUMIF(บันทึกรายเที่ยว!$V$6:$V$10005,$Y248,บันทึกรายเที่ยว!$M$6:$M$10005),2))</f>
        <v>0</v>
      </c>
      <c r="AT248">
        <f>IF($Y248="",0,IFERROR(INDEX(อัตราค่าขนส่ง!$J$5:$J$204,MATCH($Y248,อัตราค่าขนส่ง!$O$5:$O$204,0)),0))</f>
        <v>0</v>
      </c>
      <c r="AU248">
        <f t="shared" si="107"/>
        <v>0</v>
      </c>
      <c r="AV248">
        <f t="shared" si="108"/>
        <v>0</v>
      </c>
      <c r="AW248" t="str">
        <f>IF($Y248="","",IFERROR(INDEX(อัตราค่าขนส่ง!$F$5:$F$204,MATCH($Y248,อัตราค่าขนส่ง!$O$5:$O$204,0)),""))</f>
        <v/>
      </c>
      <c r="AX248" t="str">
        <f>IF($W248="","",INDEX(บันทึกรายเที่ยว!$D$6:$D$10005,$W248))</f>
        <v/>
      </c>
      <c r="AY248" t="str">
        <f>IF($W248="","",INDEX(บันทึกรายเที่ยว!$R$6:$R$10005,$W248))</f>
        <v/>
      </c>
      <c r="AZ248">
        <f t="shared" si="109"/>
        <v>0</v>
      </c>
      <c r="BA248" t="str">
        <f>IF($W248="","",INDEX(บันทึกรายเที่ยว!$E$6:$E$10005,$W248))</f>
        <v/>
      </c>
      <c r="BC248">
        <f>IF($Y248="",0,IFERROR(INDEX(อัตราค่าขนส่ง!$M$5:$M$204,MATCH($Y248,อัตราค่าขนส่ง!$O$5:$O$204,0)),0))</f>
        <v>0</v>
      </c>
      <c r="BD248">
        <f>IF($Y248="",0,IFERROR(INDEX(อัตราค่าขนส่ง!$N$5:$N$204,MATCH($Y248,อัตราค่าขนส่ง!$O$5:$O$204,0)),0))</f>
        <v>0</v>
      </c>
    </row>
    <row r="249" spans="1:56" ht="21" customHeight="1" x14ac:dyDescent="0.95">
      <c r="A249" s="36" t="str">
        <f>IF($AD249="","",IF($AD249="Z","รวมจ่ายทั้งสิ้น",IF($AD249="H",INDEX($X$5:$X$404,$AC249),IF($AD249="T","รวม",IF($AD249="B",IFERROR(INDEX(อัตราค่าขนส่ง!$U$5:$U$14,MATCH(INDEX($AM$5:$AM$404,$AC249),อัตราค่าขนส่ง!$T$5:$T$14,0)),"รวมกลุ่ม "&amp;INDEX($AM$5:$AM$404,$AC249)),INDEX($AY$5:$AY$404,$AC249))))))</f>
        <v/>
      </c>
      <c r="B249" s="31" t="str">
        <f t="shared" si="84"/>
        <v/>
      </c>
      <c r="C249" s="8" t="str">
        <f t="shared" si="85"/>
        <v/>
      </c>
      <c r="D249" s="37" t="str">
        <f t="shared" si="86"/>
        <v/>
      </c>
      <c r="E249" s="31" t="str">
        <f t="shared" si="87"/>
        <v/>
      </c>
      <c r="F249" s="32" t="str">
        <f t="shared" si="88"/>
        <v/>
      </c>
      <c r="G249" s="32" t="str">
        <f t="shared" si="89"/>
        <v/>
      </c>
      <c r="H249" s="32" t="str">
        <f t="shared" si="90"/>
        <v/>
      </c>
      <c r="I249" s="32" t="str">
        <f t="shared" si="91"/>
        <v/>
      </c>
      <c r="J249" s="46" t="str">
        <f t="shared" si="92"/>
        <v/>
      </c>
      <c r="K249" s="32" t="str">
        <f t="shared" si="93"/>
        <v/>
      </c>
      <c r="L249" s="32" t="str">
        <f t="shared" si="94"/>
        <v/>
      </c>
      <c r="M249" s="32" t="str">
        <f t="shared" si="95"/>
        <v/>
      </c>
      <c r="N249" s="32" t="str">
        <f t="shared" si="96"/>
        <v/>
      </c>
      <c r="O249" s="32" t="str">
        <f t="shared" si="97"/>
        <v/>
      </c>
      <c r="Q249" t="str">
        <f>IFERROR(MATCH(245,บันทึกรายเที่ยว!$Z$6:$Z$10005,0),"")</f>
        <v/>
      </c>
      <c r="R249" t="str">
        <f>IF($Q249="","",INDEX(บันทึกรายเที่ยว!$V$6:$V$10005,$Q249))</f>
        <v/>
      </c>
      <c r="S249" t="str">
        <f>IF($Q249="","",INDEX(บันทึกรายเที่ยว!$F$6:$F$10005,$Q249))</f>
        <v/>
      </c>
      <c r="T249" t="str">
        <f>IF($Q249="","",MATCH($S249,บันทึกรายเที่ยว!$F$6:$F$10005,0))</f>
        <v/>
      </c>
      <c r="U249" t="str">
        <f>IF($Q249="","",$AL249*10000000+$T249*1000+245)</f>
        <v/>
      </c>
      <c r="V249" t="str">
        <f>IFERROR(MATCH(SMALL($U$5:$U$404,245),$U$5:$U$404,0),"")</f>
        <v/>
      </c>
      <c r="W249" t="str">
        <f t="shared" si="98"/>
        <v/>
      </c>
      <c r="X249" t="str">
        <f t="shared" si="99"/>
        <v/>
      </c>
      <c r="Y249" t="str">
        <f t="shared" si="100"/>
        <v/>
      </c>
      <c r="Z249">
        <f t="shared" si="110"/>
        <v>0</v>
      </c>
      <c r="AA249">
        <f t="shared" si="101"/>
        <v>0</v>
      </c>
      <c r="AB249">
        <f>IF($V249="",99999+245,$AB248+1+$Z248+$AA248+$AO248)</f>
        <v>100244</v>
      </c>
      <c r="AC249" t="str">
        <f>IFERROR(MATCH(245,$AB$5:$AB$404,1),"")</f>
        <v/>
      </c>
      <c r="AD249" t="str">
        <f>IF(245=$AI$1+1,"Z",IF($AC249="","",IF(INDEX($V$5:$V$404,$AC249)="","",IF(245&gt;INDEX($AB$5:$AB$404,$AC249)+INDEX($Z$5:$Z$404,$AC249)+INDEX($AA$5:$AA$404,$AC249)+INDEX($AO$5:$AO$404,$AC249),"",IF(245=INDEX($AB$5:$AB$404,$AC249)+INDEX($Z$5:$Z$404,$AC249),"D",IF(AND(INDEX($Z$5:$Z$404,$AC249)=1,245=INDEX($AB$5:$AB$404,$AC249)),"H",IF(AND(INDEX($AO$5:$AO$404,$AC249)=1,245=INDEX($AB$5:$AB$404,$AC249)+INDEX($Z$5:$Z$404,$AC249)+INDEX($AA$5:$AA$404,$AC249)+INDEX($AO$5:$AO$404,$AC249)),"B","T")))))))</f>
        <v/>
      </c>
      <c r="AF249" t="str">
        <f t="shared" si="102"/>
        <v/>
      </c>
      <c r="AJ249">
        <f>IF($AD249&lt;&gt;"T",0,ROUND(SUMIF(oil!$B$4:$B$63,$AF249,oil!$AE$4:$AE$63),2))</f>
        <v>0</v>
      </c>
      <c r="AK249" t="str">
        <f>IF($S249="","",IFERROR(INDEX(อัตราค่าขนส่ง!$R$5:$R$54,MATCH($S249,อัตราค่าขนส่ง!$Q$5:$Q$54,0)),INDEX(รายการมาตรฐาน!$G$2:$G$3,1)))</f>
        <v/>
      </c>
      <c r="AL249" t="str">
        <f>IF($S249="","",IFERROR(MATCH($AK249,รายการมาตรฐาน!$G$2:$G$3,0),1))</f>
        <v/>
      </c>
      <c r="AM249" t="str">
        <f t="shared" si="103"/>
        <v/>
      </c>
      <c r="AN249" t="str">
        <f t="shared" si="104"/>
        <v/>
      </c>
      <c r="AO249">
        <f t="shared" si="105"/>
        <v>0</v>
      </c>
      <c r="AP249">
        <f t="shared" si="111"/>
        <v>0</v>
      </c>
      <c r="AQ249" t="str">
        <f t="shared" si="106"/>
        <v/>
      </c>
      <c r="AR249">
        <f>IF($Y249="",0,COUNTIF(บันทึกรายเที่ยว!$V$6:$V$10005,$Y249))</f>
        <v>0</v>
      </c>
      <c r="AS249">
        <f>IF($Y249="",0,ROUND(SUMIF(บันทึกรายเที่ยว!$V$6:$V$10005,$Y249,บันทึกรายเที่ยว!$M$6:$M$10005),2))</f>
        <v>0</v>
      </c>
      <c r="AT249">
        <f>IF($Y249="",0,IFERROR(INDEX(อัตราค่าขนส่ง!$J$5:$J$204,MATCH($Y249,อัตราค่าขนส่ง!$O$5:$O$204,0)),0))</f>
        <v>0</v>
      </c>
      <c r="AU249">
        <f t="shared" si="107"/>
        <v>0</v>
      </c>
      <c r="AV249">
        <f t="shared" si="108"/>
        <v>0</v>
      </c>
      <c r="AW249" t="str">
        <f>IF($Y249="","",IFERROR(INDEX(อัตราค่าขนส่ง!$F$5:$F$204,MATCH($Y249,อัตราค่าขนส่ง!$O$5:$O$204,0)),""))</f>
        <v/>
      </c>
      <c r="AX249" t="str">
        <f>IF($W249="","",INDEX(บันทึกรายเที่ยว!$D$6:$D$10005,$W249))</f>
        <v/>
      </c>
      <c r="AY249" t="str">
        <f>IF($W249="","",INDEX(บันทึกรายเที่ยว!$R$6:$R$10005,$W249))</f>
        <v/>
      </c>
      <c r="AZ249">
        <f t="shared" si="109"/>
        <v>0</v>
      </c>
      <c r="BA249" t="str">
        <f>IF($W249="","",INDEX(บันทึกรายเที่ยว!$E$6:$E$10005,$W249))</f>
        <v/>
      </c>
      <c r="BC249">
        <f>IF($Y249="",0,IFERROR(INDEX(อัตราค่าขนส่ง!$M$5:$M$204,MATCH($Y249,อัตราค่าขนส่ง!$O$5:$O$204,0)),0))</f>
        <v>0</v>
      </c>
      <c r="BD249">
        <f>IF($Y249="",0,IFERROR(INDEX(อัตราค่าขนส่ง!$N$5:$N$204,MATCH($Y249,อัตราค่าขนส่ง!$O$5:$O$204,0)),0))</f>
        <v>0</v>
      </c>
    </row>
    <row r="250" spans="1:56" ht="21" customHeight="1" x14ac:dyDescent="0.95">
      <c r="A250" s="36" t="str">
        <f>IF($AD250="","",IF($AD250="Z","รวมจ่ายทั้งสิ้น",IF($AD250="H",INDEX($X$5:$X$404,$AC250),IF($AD250="T","รวม",IF($AD250="B",IFERROR(INDEX(อัตราค่าขนส่ง!$U$5:$U$14,MATCH(INDEX($AM$5:$AM$404,$AC250),อัตราค่าขนส่ง!$T$5:$T$14,0)),"รวมกลุ่ม "&amp;INDEX($AM$5:$AM$404,$AC250)),INDEX($AY$5:$AY$404,$AC250))))))</f>
        <v/>
      </c>
      <c r="B250" s="31" t="str">
        <f t="shared" si="84"/>
        <v/>
      </c>
      <c r="C250" s="8" t="str">
        <f t="shared" si="85"/>
        <v/>
      </c>
      <c r="D250" s="37" t="str">
        <f t="shared" si="86"/>
        <v/>
      </c>
      <c r="E250" s="31" t="str">
        <f t="shared" si="87"/>
        <v/>
      </c>
      <c r="F250" s="32" t="str">
        <f t="shared" si="88"/>
        <v/>
      </c>
      <c r="G250" s="32" t="str">
        <f t="shared" si="89"/>
        <v/>
      </c>
      <c r="H250" s="32" t="str">
        <f t="shared" si="90"/>
        <v/>
      </c>
      <c r="I250" s="32" t="str">
        <f t="shared" si="91"/>
        <v/>
      </c>
      <c r="J250" s="46" t="str">
        <f t="shared" si="92"/>
        <v/>
      </c>
      <c r="K250" s="32" t="str">
        <f t="shared" si="93"/>
        <v/>
      </c>
      <c r="L250" s="32" t="str">
        <f t="shared" si="94"/>
        <v/>
      </c>
      <c r="M250" s="32" t="str">
        <f t="shared" si="95"/>
        <v/>
      </c>
      <c r="N250" s="32" t="str">
        <f t="shared" si="96"/>
        <v/>
      </c>
      <c r="O250" s="32" t="str">
        <f t="shared" si="97"/>
        <v/>
      </c>
      <c r="Q250" t="str">
        <f>IFERROR(MATCH(246,บันทึกรายเที่ยว!$Z$6:$Z$10005,0),"")</f>
        <v/>
      </c>
      <c r="R250" t="str">
        <f>IF($Q250="","",INDEX(บันทึกรายเที่ยว!$V$6:$V$10005,$Q250))</f>
        <v/>
      </c>
      <c r="S250" t="str">
        <f>IF($Q250="","",INDEX(บันทึกรายเที่ยว!$F$6:$F$10005,$Q250))</f>
        <v/>
      </c>
      <c r="T250" t="str">
        <f>IF($Q250="","",MATCH($S250,บันทึกรายเที่ยว!$F$6:$F$10005,0))</f>
        <v/>
      </c>
      <c r="U250" t="str">
        <f>IF($Q250="","",$AL250*10000000+$T250*1000+246)</f>
        <v/>
      </c>
      <c r="V250" t="str">
        <f>IFERROR(MATCH(SMALL($U$5:$U$404,246),$U$5:$U$404,0),"")</f>
        <v/>
      </c>
      <c r="W250" t="str">
        <f t="shared" si="98"/>
        <v/>
      </c>
      <c r="X250" t="str">
        <f t="shared" si="99"/>
        <v/>
      </c>
      <c r="Y250" t="str">
        <f t="shared" si="100"/>
        <v/>
      </c>
      <c r="Z250">
        <f t="shared" si="110"/>
        <v>0</v>
      </c>
      <c r="AA250">
        <f t="shared" si="101"/>
        <v>0</v>
      </c>
      <c r="AB250">
        <f>IF($V250="",99999+246,$AB249+1+$Z249+$AA249+$AO249)</f>
        <v>100245</v>
      </c>
      <c r="AC250" t="str">
        <f>IFERROR(MATCH(246,$AB$5:$AB$404,1),"")</f>
        <v/>
      </c>
      <c r="AD250" t="str">
        <f>IF(246=$AI$1+1,"Z",IF($AC250="","",IF(INDEX($V$5:$V$404,$AC250)="","",IF(246&gt;INDEX($AB$5:$AB$404,$AC250)+INDEX($Z$5:$Z$404,$AC250)+INDEX($AA$5:$AA$404,$AC250)+INDEX($AO$5:$AO$404,$AC250),"",IF(246=INDEX($AB$5:$AB$404,$AC250)+INDEX($Z$5:$Z$404,$AC250),"D",IF(AND(INDEX($Z$5:$Z$404,$AC250)=1,246=INDEX($AB$5:$AB$404,$AC250)),"H",IF(AND(INDEX($AO$5:$AO$404,$AC250)=1,246=INDEX($AB$5:$AB$404,$AC250)+INDEX($Z$5:$Z$404,$AC250)+INDEX($AA$5:$AA$404,$AC250)+INDEX($AO$5:$AO$404,$AC250)),"B","T")))))))</f>
        <v/>
      </c>
      <c r="AF250" t="str">
        <f t="shared" si="102"/>
        <v/>
      </c>
      <c r="AJ250">
        <f>IF($AD250&lt;&gt;"T",0,ROUND(SUMIF(oil!$B$4:$B$63,$AF250,oil!$AE$4:$AE$63),2))</f>
        <v>0</v>
      </c>
      <c r="AK250" t="str">
        <f>IF($S250="","",IFERROR(INDEX(อัตราค่าขนส่ง!$R$5:$R$54,MATCH($S250,อัตราค่าขนส่ง!$Q$5:$Q$54,0)),INDEX(รายการมาตรฐาน!$G$2:$G$3,1)))</f>
        <v/>
      </c>
      <c r="AL250" t="str">
        <f>IF($S250="","",IFERROR(MATCH($AK250,รายการมาตรฐาน!$G$2:$G$3,0),1))</f>
        <v/>
      </c>
      <c r="AM250" t="str">
        <f t="shared" si="103"/>
        <v/>
      </c>
      <c r="AN250" t="str">
        <f t="shared" si="104"/>
        <v/>
      </c>
      <c r="AO250">
        <f t="shared" si="105"/>
        <v>0</v>
      </c>
      <c r="AP250">
        <f t="shared" si="111"/>
        <v>0</v>
      </c>
      <c r="AQ250" t="str">
        <f t="shared" si="106"/>
        <v/>
      </c>
      <c r="AR250">
        <f>IF($Y250="",0,COUNTIF(บันทึกรายเที่ยว!$V$6:$V$10005,$Y250))</f>
        <v>0</v>
      </c>
      <c r="AS250">
        <f>IF($Y250="",0,ROUND(SUMIF(บันทึกรายเที่ยว!$V$6:$V$10005,$Y250,บันทึกรายเที่ยว!$M$6:$M$10005),2))</f>
        <v>0</v>
      </c>
      <c r="AT250">
        <f>IF($Y250="",0,IFERROR(INDEX(อัตราค่าขนส่ง!$J$5:$J$204,MATCH($Y250,อัตราค่าขนส่ง!$O$5:$O$204,0)),0))</f>
        <v>0</v>
      </c>
      <c r="AU250">
        <f t="shared" si="107"/>
        <v>0</v>
      </c>
      <c r="AV250">
        <f t="shared" si="108"/>
        <v>0</v>
      </c>
      <c r="AW250" t="str">
        <f>IF($Y250="","",IFERROR(INDEX(อัตราค่าขนส่ง!$F$5:$F$204,MATCH($Y250,อัตราค่าขนส่ง!$O$5:$O$204,0)),""))</f>
        <v/>
      </c>
      <c r="AX250" t="str">
        <f>IF($W250="","",INDEX(บันทึกรายเที่ยว!$D$6:$D$10005,$W250))</f>
        <v/>
      </c>
      <c r="AY250" t="str">
        <f>IF($W250="","",INDEX(บันทึกรายเที่ยว!$R$6:$R$10005,$W250))</f>
        <v/>
      </c>
      <c r="AZ250">
        <f t="shared" si="109"/>
        <v>0</v>
      </c>
      <c r="BA250" t="str">
        <f>IF($W250="","",INDEX(บันทึกรายเที่ยว!$E$6:$E$10005,$W250))</f>
        <v/>
      </c>
      <c r="BC250">
        <f>IF($Y250="",0,IFERROR(INDEX(อัตราค่าขนส่ง!$M$5:$M$204,MATCH($Y250,อัตราค่าขนส่ง!$O$5:$O$204,0)),0))</f>
        <v>0</v>
      </c>
      <c r="BD250">
        <f>IF($Y250="",0,IFERROR(INDEX(อัตราค่าขนส่ง!$N$5:$N$204,MATCH($Y250,อัตราค่าขนส่ง!$O$5:$O$204,0)),0))</f>
        <v>0</v>
      </c>
    </row>
    <row r="251" spans="1:56" ht="21" customHeight="1" x14ac:dyDescent="0.95">
      <c r="A251" s="36" t="str">
        <f>IF($AD251="","",IF($AD251="Z","รวมจ่ายทั้งสิ้น",IF($AD251="H",INDEX($X$5:$X$404,$AC251),IF($AD251="T","รวม",IF($AD251="B",IFERROR(INDEX(อัตราค่าขนส่ง!$U$5:$U$14,MATCH(INDEX($AM$5:$AM$404,$AC251),อัตราค่าขนส่ง!$T$5:$T$14,0)),"รวมกลุ่ม "&amp;INDEX($AM$5:$AM$404,$AC251)),INDEX($AY$5:$AY$404,$AC251))))))</f>
        <v/>
      </c>
      <c r="B251" s="31" t="str">
        <f t="shared" si="84"/>
        <v/>
      </c>
      <c r="C251" s="8" t="str">
        <f t="shared" si="85"/>
        <v/>
      </c>
      <c r="D251" s="37" t="str">
        <f t="shared" si="86"/>
        <v/>
      </c>
      <c r="E251" s="31" t="str">
        <f t="shared" si="87"/>
        <v/>
      </c>
      <c r="F251" s="32" t="str">
        <f t="shared" si="88"/>
        <v/>
      </c>
      <c r="G251" s="32" t="str">
        <f t="shared" si="89"/>
        <v/>
      </c>
      <c r="H251" s="32" t="str">
        <f t="shared" si="90"/>
        <v/>
      </c>
      <c r="I251" s="32" t="str">
        <f t="shared" si="91"/>
        <v/>
      </c>
      <c r="J251" s="46" t="str">
        <f t="shared" si="92"/>
        <v/>
      </c>
      <c r="K251" s="32" t="str">
        <f t="shared" si="93"/>
        <v/>
      </c>
      <c r="L251" s="32" t="str">
        <f t="shared" si="94"/>
        <v/>
      </c>
      <c r="M251" s="32" t="str">
        <f t="shared" si="95"/>
        <v/>
      </c>
      <c r="N251" s="32" t="str">
        <f t="shared" si="96"/>
        <v/>
      </c>
      <c r="O251" s="32" t="str">
        <f t="shared" si="97"/>
        <v/>
      </c>
      <c r="Q251" t="str">
        <f>IFERROR(MATCH(247,บันทึกรายเที่ยว!$Z$6:$Z$10005,0),"")</f>
        <v/>
      </c>
      <c r="R251" t="str">
        <f>IF($Q251="","",INDEX(บันทึกรายเที่ยว!$V$6:$V$10005,$Q251))</f>
        <v/>
      </c>
      <c r="S251" t="str">
        <f>IF($Q251="","",INDEX(บันทึกรายเที่ยว!$F$6:$F$10005,$Q251))</f>
        <v/>
      </c>
      <c r="T251" t="str">
        <f>IF($Q251="","",MATCH($S251,บันทึกรายเที่ยว!$F$6:$F$10005,0))</f>
        <v/>
      </c>
      <c r="U251" t="str">
        <f>IF($Q251="","",$AL251*10000000+$T251*1000+247)</f>
        <v/>
      </c>
      <c r="V251" t="str">
        <f>IFERROR(MATCH(SMALL($U$5:$U$404,247),$U$5:$U$404,0),"")</f>
        <v/>
      </c>
      <c r="W251" t="str">
        <f t="shared" si="98"/>
        <v/>
      </c>
      <c r="X251" t="str">
        <f t="shared" si="99"/>
        <v/>
      </c>
      <c r="Y251" t="str">
        <f t="shared" si="100"/>
        <v/>
      </c>
      <c r="Z251">
        <f t="shared" si="110"/>
        <v>0</v>
      </c>
      <c r="AA251">
        <f t="shared" si="101"/>
        <v>0</v>
      </c>
      <c r="AB251">
        <f>IF($V251="",99999+247,$AB250+1+$Z250+$AA250+$AO250)</f>
        <v>100246</v>
      </c>
      <c r="AC251" t="str">
        <f>IFERROR(MATCH(247,$AB$5:$AB$404,1),"")</f>
        <v/>
      </c>
      <c r="AD251" t="str">
        <f>IF(247=$AI$1+1,"Z",IF($AC251="","",IF(INDEX($V$5:$V$404,$AC251)="","",IF(247&gt;INDEX($AB$5:$AB$404,$AC251)+INDEX($Z$5:$Z$404,$AC251)+INDEX($AA$5:$AA$404,$AC251)+INDEX($AO$5:$AO$404,$AC251),"",IF(247=INDEX($AB$5:$AB$404,$AC251)+INDEX($Z$5:$Z$404,$AC251),"D",IF(AND(INDEX($Z$5:$Z$404,$AC251)=1,247=INDEX($AB$5:$AB$404,$AC251)),"H",IF(AND(INDEX($AO$5:$AO$404,$AC251)=1,247=INDEX($AB$5:$AB$404,$AC251)+INDEX($Z$5:$Z$404,$AC251)+INDEX($AA$5:$AA$404,$AC251)+INDEX($AO$5:$AO$404,$AC251)),"B","T")))))))</f>
        <v/>
      </c>
      <c r="AF251" t="str">
        <f t="shared" si="102"/>
        <v/>
      </c>
      <c r="AJ251">
        <f>IF($AD251&lt;&gt;"T",0,ROUND(SUMIF(oil!$B$4:$B$63,$AF251,oil!$AE$4:$AE$63),2))</f>
        <v>0</v>
      </c>
      <c r="AK251" t="str">
        <f>IF($S251="","",IFERROR(INDEX(อัตราค่าขนส่ง!$R$5:$R$54,MATCH($S251,อัตราค่าขนส่ง!$Q$5:$Q$54,0)),INDEX(รายการมาตรฐาน!$G$2:$G$3,1)))</f>
        <v/>
      </c>
      <c r="AL251" t="str">
        <f>IF($S251="","",IFERROR(MATCH($AK251,รายการมาตรฐาน!$G$2:$G$3,0),1))</f>
        <v/>
      </c>
      <c r="AM251" t="str">
        <f t="shared" si="103"/>
        <v/>
      </c>
      <c r="AN251" t="str">
        <f t="shared" si="104"/>
        <v/>
      </c>
      <c r="AO251">
        <f t="shared" si="105"/>
        <v>0</v>
      </c>
      <c r="AP251">
        <f t="shared" si="111"/>
        <v>0</v>
      </c>
      <c r="AQ251" t="str">
        <f t="shared" si="106"/>
        <v/>
      </c>
      <c r="AR251">
        <f>IF($Y251="",0,COUNTIF(บันทึกรายเที่ยว!$V$6:$V$10005,$Y251))</f>
        <v>0</v>
      </c>
      <c r="AS251">
        <f>IF($Y251="",0,ROUND(SUMIF(บันทึกรายเที่ยว!$V$6:$V$10005,$Y251,บันทึกรายเที่ยว!$M$6:$M$10005),2))</f>
        <v>0</v>
      </c>
      <c r="AT251">
        <f>IF($Y251="",0,IFERROR(INDEX(อัตราค่าขนส่ง!$J$5:$J$204,MATCH($Y251,อัตราค่าขนส่ง!$O$5:$O$204,0)),0))</f>
        <v>0</v>
      </c>
      <c r="AU251">
        <f t="shared" si="107"/>
        <v>0</v>
      </c>
      <c r="AV251">
        <f t="shared" si="108"/>
        <v>0</v>
      </c>
      <c r="AW251" t="str">
        <f>IF($Y251="","",IFERROR(INDEX(อัตราค่าขนส่ง!$F$5:$F$204,MATCH($Y251,อัตราค่าขนส่ง!$O$5:$O$204,0)),""))</f>
        <v/>
      </c>
      <c r="AX251" t="str">
        <f>IF($W251="","",INDEX(บันทึกรายเที่ยว!$D$6:$D$10005,$W251))</f>
        <v/>
      </c>
      <c r="AY251" t="str">
        <f>IF($W251="","",INDEX(บันทึกรายเที่ยว!$R$6:$R$10005,$W251))</f>
        <v/>
      </c>
      <c r="AZ251">
        <f t="shared" si="109"/>
        <v>0</v>
      </c>
      <c r="BA251" t="str">
        <f>IF($W251="","",INDEX(บันทึกรายเที่ยว!$E$6:$E$10005,$W251))</f>
        <v/>
      </c>
      <c r="BC251">
        <f>IF($Y251="",0,IFERROR(INDEX(อัตราค่าขนส่ง!$M$5:$M$204,MATCH($Y251,อัตราค่าขนส่ง!$O$5:$O$204,0)),0))</f>
        <v>0</v>
      </c>
      <c r="BD251">
        <f>IF($Y251="",0,IFERROR(INDEX(อัตราค่าขนส่ง!$N$5:$N$204,MATCH($Y251,อัตราค่าขนส่ง!$O$5:$O$204,0)),0))</f>
        <v>0</v>
      </c>
    </row>
    <row r="252" spans="1:56" ht="21" customHeight="1" x14ac:dyDescent="0.95">
      <c r="A252" s="36" t="str">
        <f>IF($AD252="","",IF($AD252="Z","รวมจ่ายทั้งสิ้น",IF($AD252="H",INDEX($X$5:$X$404,$AC252),IF($AD252="T","รวม",IF($AD252="B",IFERROR(INDEX(อัตราค่าขนส่ง!$U$5:$U$14,MATCH(INDEX($AM$5:$AM$404,$AC252),อัตราค่าขนส่ง!$T$5:$T$14,0)),"รวมกลุ่ม "&amp;INDEX($AM$5:$AM$404,$AC252)),INDEX($AY$5:$AY$404,$AC252))))))</f>
        <v/>
      </c>
      <c r="B252" s="31" t="str">
        <f t="shared" si="84"/>
        <v/>
      </c>
      <c r="C252" s="8" t="str">
        <f t="shared" si="85"/>
        <v/>
      </c>
      <c r="D252" s="37" t="str">
        <f t="shared" si="86"/>
        <v/>
      </c>
      <c r="E252" s="31" t="str">
        <f t="shared" si="87"/>
        <v/>
      </c>
      <c r="F252" s="32" t="str">
        <f t="shared" si="88"/>
        <v/>
      </c>
      <c r="G252" s="32" t="str">
        <f t="shared" si="89"/>
        <v/>
      </c>
      <c r="H252" s="32" t="str">
        <f t="shared" si="90"/>
        <v/>
      </c>
      <c r="I252" s="32" t="str">
        <f t="shared" si="91"/>
        <v/>
      </c>
      <c r="J252" s="46" t="str">
        <f t="shared" si="92"/>
        <v/>
      </c>
      <c r="K252" s="32" t="str">
        <f t="shared" si="93"/>
        <v/>
      </c>
      <c r="L252" s="32" t="str">
        <f t="shared" si="94"/>
        <v/>
      </c>
      <c r="M252" s="32" t="str">
        <f t="shared" si="95"/>
        <v/>
      </c>
      <c r="N252" s="32" t="str">
        <f t="shared" si="96"/>
        <v/>
      </c>
      <c r="O252" s="32" t="str">
        <f t="shared" si="97"/>
        <v/>
      </c>
      <c r="Q252" t="str">
        <f>IFERROR(MATCH(248,บันทึกรายเที่ยว!$Z$6:$Z$10005,0),"")</f>
        <v/>
      </c>
      <c r="R252" t="str">
        <f>IF($Q252="","",INDEX(บันทึกรายเที่ยว!$V$6:$V$10005,$Q252))</f>
        <v/>
      </c>
      <c r="S252" t="str">
        <f>IF($Q252="","",INDEX(บันทึกรายเที่ยว!$F$6:$F$10005,$Q252))</f>
        <v/>
      </c>
      <c r="T252" t="str">
        <f>IF($Q252="","",MATCH($S252,บันทึกรายเที่ยว!$F$6:$F$10005,0))</f>
        <v/>
      </c>
      <c r="U252" t="str">
        <f>IF($Q252="","",$AL252*10000000+$T252*1000+248)</f>
        <v/>
      </c>
      <c r="V252" t="str">
        <f>IFERROR(MATCH(SMALL($U$5:$U$404,248),$U$5:$U$404,0),"")</f>
        <v/>
      </c>
      <c r="W252" t="str">
        <f t="shared" si="98"/>
        <v/>
      </c>
      <c r="X252" t="str">
        <f t="shared" si="99"/>
        <v/>
      </c>
      <c r="Y252" t="str">
        <f t="shared" si="100"/>
        <v/>
      </c>
      <c r="Z252">
        <f t="shared" si="110"/>
        <v>0</v>
      </c>
      <c r="AA252">
        <f t="shared" si="101"/>
        <v>0</v>
      </c>
      <c r="AB252">
        <f>IF($V252="",99999+248,$AB251+1+$Z251+$AA251+$AO251)</f>
        <v>100247</v>
      </c>
      <c r="AC252" t="str">
        <f>IFERROR(MATCH(248,$AB$5:$AB$404,1),"")</f>
        <v/>
      </c>
      <c r="AD252" t="str">
        <f>IF(248=$AI$1+1,"Z",IF($AC252="","",IF(INDEX($V$5:$V$404,$AC252)="","",IF(248&gt;INDEX($AB$5:$AB$404,$AC252)+INDEX($Z$5:$Z$404,$AC252)+INDEX($AA$5:$AA$404,$AC252)+INDEX($AO$5:$AO$404,$AC252),"",IF(248=INDEX($AB$5:$AB$404,$AC252)+INDEX($Z$5:$Z$404,$AC252),"D",IF(AND(INDEX($Z$5:$Z$404,$AC252)=1,248=INDEX($AB$5:$AB$404,$AC252)),"H",IF(AND(INDEX($AO$5:$AO$404,$AC252)=1,248=INDEX($AB$5:$AB$404,$AC252)+INDEX($Z$5:$Z$404,$AC252)+INDEX($AA$5:$AA$404,$AC252)+INDEX($AO$5:$AO$404,$AC252)),"B","T")))))))</f>
        <v/>
      </c>
      <c r="AF252" t="str">
        <f t="shared" si="102"/>
        <v/>
      </c>
      <c r="AJ252">
        <f>IF($AD252&lt;&gt;"T",0,ROUND(SUMIF(oil!$B$4:$B$63,$AF252,oil!$AE$4:$AE$63),2))</f>
        <v>0</v>
      </c>
      <c r="AK252" t="str">
        <f>IF($S252="","",IFERROR(INDEX(อัตราค่าขนส่ง!$R$5:$R$54,MATCH($S252,อัตราค่าขนส่ง!$Q$5:$Q$54,0)),INDEX(รายการมาตรฐาน!$G$2:$G$3,1)))</f>
        <v/>
      </c>
      <c r="AL252" t="str">
        <f>IF($S252="","",IFERROR(MATCH($AK252,รายการมาตรฐาน!$G$2:$G$3,0),1))</f>
        <v/>
      </c>
      <c r="AM252" t="str">
        <f t="shared" si="103"/>
        <v/>
      </c>
      <c r="AN252" t="str">
        <f t="shared" si="104"/>
        <v/>
      </c>
      <c r="AO252">
        <f t="shared" si="105"/>
        <v>0</v>
      </c>
      <c r="AP252">
        <f t="shared" si="111"/>
        <v>0</v>
      </c>
      <c r="AQ252" t="str">
        <f t="shared" si="106"/>
        <v/>
      </c>
      <c r="AR252">
        <f>IF($Y252="",0,COUNTIF(บันทึกรายเที่ยว!$V$6:$V$10005,$Y252))</f>
        <v>0</v>
      </c>
      <c r="AS252">
        <f>IF($Y252="",0,ROUND(SUMIF(บันทึกรายเที่ยว!$V$6:$V$10005,$Y252,บันทึกรายเที่ยว!$M$6:$M$10005),2))</f>
        <v>0</v>
      </c>
      <c r="AT252">
        <f>IF($Y252="",0,IFERROR(INDEX(อัตราค่าขนส่ง!$J$5:$J$204,MATCH($Y252,อัตราค่าขนส่ง!$O$5:$O$204,0)),0))</f>
        <v>0</v>
      </c>
      <c r="AU252">
        <f t="shared" si="107"/>
        <v>0</v>
      </c>
      <c r="AV252">
        <f t="shared" si="108"/>
        <v>0</v>
      </c>
      <c r="AW252" t="str">
        <f>IF($Y252="","",IFERROR(INDEX(อัตราค่าขนส่ง!$F$5:$F$204,MATCH($Y252,อัตราค่าขนส่ง!$O$5:$O$204,0)),""))</f>
        <v/>
      </c>
      <c r="AX252" t="str">
        <f>IF($W252="","",INDEX(บันทึกรายเที่ยว!$D$6:$D$10005,$W252))</f>
        <v/>
      </c>
      <c r="AY252" t="str">
        <f>IF($W252="","",INDEX(บันทึกรายเที่ยว!$R$6:$R$10005,$W252))</f>
        <v/>
      </c>
      <c r="AZ252">
        <f t="shared" si="109"/>
        <v>0</v>
      </c>
      <c r="BA252" t="str">
        <f>IF($W252="","",INDEX(บันทึกรายเที่ยว!$E$6:$E$10005,$W252))</f>
        <v/>
      </c>
      <c r="BC252">
        <f>IF($Y252="",0,IFERROR(INDEX(อัตราค่าขนส่ง!$M$5:$M$204,MATCH($Y252,อัตราค่าขนส่ง!$O$5:$O$204,0)),0))</f>
        <v>0</v>
      </c>
      <c r="BD252">
        <f>IF($Y252="",0,IFERROR(INDEX(อัตราค่าขนส่ง!$N$5:$N$204,MATCH($Y252,อัตราค่าขนส่ง!$O$5:$O$204,0)),0))</f>
        <v>0</v>
      </c>
    </row>
    <row r="253" spans="1:56" ht="21" customHeight="1" x14ac:dyDescent="0.95">
      <c r="A253" s="36" t="str">
        <f>IF($AD253="","",IF($AD253="Z","รวมจ่ายทั้งสิ้น",IF($AD253="H",INDEX($X$5:$X$404,$AC253),IF($AD253="T","รวม",IF($AD253="B",IFERROR(INDEX(อัตราค่าขนส่ง!$U$5:$U$14,MATCH(INDEX($AM$5:$AM$404,$AC253),อัตราค่าขนส่ง!$T$5:$T$14,0)),"รวมกลุ่ม "&amp;INDEX($AM$5:$AM$404,$AC253)),INDEX($AY$5:$AY$404,$AC253))))))</f>
        <v/>
      </c>
      <c r="B253" s="31" t="str">
        <f t="shared" si="84"/>
        <v/>
      </c>
      <c r="C253" s="8" t="str">
        <f t="shared" si="85"/>
        <v/>
      </c>
      <c r="D253" s="37" t="str">
        <f t="shared" si="86"/>
        <v/>
      </c>
      <c r="E253" s="31" t="str">
        <f t="shared" si="87"/>
        <v/>
      </c>
      <c r="F253" s="32" t="str">
        <f t="shared" si="88"/>
        <v/>
      </c>
      <c r="G253" s="32" t="str">
        <f t="shared" si="89"/>
        <v/>
      </c>
      <c r="H253" s="32" t="str">
        <f t="shared" si="90"/>
        <v/>
      </c>
      <c r="I253" s="32" t="str">
        <f t="shared" si="91"/>
        <v/>
      </c>
      <c r="J253" s="46" t="str">
        <f t="shared" si="92"/>
        <v/>
      </c>
      <c r="K253" s="32" t="str">
        <f t="shared" si="93"/>
        <v/>
      </c>
      <c r="L253" s="32" t="str">
        <f t="shared" si="94"/>
        <v/>
      </c>
      <c r="M253" s="32" t="str">
        <f t="shared" si="95"/>
        <v/>
      </c>
      <c r="N253" s="32" t="str">
        <f t="shared" si="96"/>
        <v/>
      </c>
      <c r="O253" s="32" t="str">
        <f t="shared" si="97"/>
        <v/>
      </c>
      <c r="Q253" t="str">
        <f>IFERROR(MATCH(249,บันทึกรายเที่ยว!$Z$6:$Z$10005,0),"")</f>
        <v/>
      </c>
      <c r="R253" t="str">
        <f>IF($Q253="","",INDEX(บันทึกรายเที่ยว!$V$6:$V$10005,$Q253))</f>
        <v/>
      </c>
      <c r="S253" t="str">
        <f>IF($Q253="","",INDEX(บันทึกรายเที่ยว!$F$6:$F$10005,$Q253))</f>
        <v/>
      </c>
      <c r="T253" t="str">
        <f>IF($Q253="","",MATCH($S253,บันทึกรายเที่ยว!$F$6:$F$10005,0))</f>
        <v/>
      </c>
      <c r="U253" t="str">
        <f>IF($Q253="","",$AL253*10000000+$T253*1000+249)</f>
        <v/>
      </c>
      <c r="V253" t="str">
        <f>IFERROR(MATCH(SMALL($U$5:$U$404,249),$U$5:$U$404,0),"")</f>
        <v/>
      </c>
      <c r="W253" t="str">
        <f t="shared" si="98"/>
        <v/>
      </c>
      <c r="X253" t="str">
        <f t="shared" si="99"/>
        <v/>
      </c>
      <c r="Y253" t="str">
        <f t="shared" si="100"/>
        <v/>
      </c>
      <c r="Z253">
        <f t="shared" si="110"/>
        <v>0</v>
      </c>
      <c r="AA253">
        <f t="shared" si="101"/>
        <v>0</v>
      </c>
      <c r="AB253">
        <f>IF($V253="",99999+249,$AB252+1+$Z252+$AA252+$AO252)</f>
        <v>100248</v>
      </c>
      <c r="AC253" t="str">
        <f>IFERROR(MATCH(249,$AB$5:$AB$404,1),"")</f>
        <v/>
      </c>
      <c r="AD253" t="str">
        <f>IF(249=$AI$1+1,"Z",IF($AC253="","",IF(INDEX($V$5:$V$404,$AC253)="","",IF(249&gt;INDEX($AB$5:$AB$404,$AC253)+INDEX($Z$5:$Z$404,$AC253)+INDEX($AA$5:$AA$404,$AC253)+INDEX($AO$5:$AO$404,$AC253),"",IF(249=INDEX($AB$5:$AB$404,$AC253)+INDEX($Z$5:$Z$404,$AC253),"D",IF(AND(INDEX($Z$5:$Z$404,$AC253)=1,249=INDEX($AB$5:$AB$404,$AC253)),"H",IF(AND(INDEX($AO$5:$AO$404,$AC253)=1,249=INDEX($AB$5:$AB$404,$AC253)+INDEX($Z$5:$Z$404,$AC253)+INDEX($AA$5:$AA$404,$AC253)+INDEX($AO$5:$AO$404,$AC253)),"B","T")))))))</f>
        <v/>
      </c>
      <c r="AF253" t="str">
        <f t="shared" si="102"/>
        <v/>
      </c>
      <c r="AJ253">
        <f>IF($AD253&lt;&gt;"T",0,ROUND(SUMIF(oil!$B$4:$B$63,$AF253,oil!$AE$4:$AE$63),2))</f>
        <v>0</v>
      </c>
      <c r="AK253" t="str">
        <f>IF($S253="","",IFERROR(INDEX(อัตราค่าขนส่ง!$R$5:$R$54,MATCH($S253,อัตราค่าขนส่ง!$Q$5:$Q$54,0)),INDEX(รายการมาตรฐาน!$G$2:$G$3,1)))</f>
        <v/>
      </c>
      <c r="AL253" t="str">
        <f>IF($S253="","",IFERROR(MATCH($AK253,รายการมาตรฐาน!$G$2:$G$3,0),1))</f>
        <v/>
      </c>
      <c r="AM253" t="str">
        <f t="shared" si="103"/>
        <v/>
      </c>
      <c r="AN253" t="str">
        <f t="shared" si="104"/>
        <v/>
      </c>
      <c r="AO253">
        <f t="shared" si="105"/>
        <v>0</v>
      </c>
      <c r="AP253">
        <f t="shared" si="111"/>
        <v>0</v>
      </c>
      <c r="AQ253" t="str">
        <f t="shared" si="106"/>
        <v/>
      </c>
      <c r="AR253">
        <f>IF($Y253="",0,COUNTIF(บันทึกรายเที่ยว!$V$6:$V$10005,$Y253))</f>
        <v>0</v>
      </c>
      <c r="AS253">
        <f>IF($Y253="",0,ROUND(SUMIF(บันทึกรายเที่ยว!$V$6:$V$10005,$Y253,บันทึกรายเที่ยว!$M$6:$M$10005),2))</f>
        <v>0</v>
      </c>
      <c r="AT253">
        <f>IF($Y253="",0,IFERROR(INDEX(อัตราค่าขนส่ง!$J$5:$J$204,MATCH($Y253,อัตราค่าขนส่ง!$O$5:$O$204,0)),0))</f>
        <v>0</v>
      </c>
      <c r="AU253">
        <f t="shared" si="107"/>
        <v>0</v>
      </c>
      <c r="AV253">
        <f t="shared" si="108"/>
        <v>0</v>
      </c>
      <c r="AW253" t="str">
        <f>IF($Y253="","",IFERROR(INDEX(อัตราค่าขนส่ง!$F$5:$F$204,MATCH($Y253,อัตราค่าขนส่ง!$O$5:$O$204,0)),""))</f>
        <v/>
      </c>
      <c r="AX253" t="str">
        <f>IF($W253="","",INDEX(บันทึกรายเที่ยว!$D$6:$D$10005,$W253))</f>
        <v/>
      </c>
      <c r="AY253" t="str">
        <f>IF($W253="","",INDEX(บันทึกรายเที่ยว!$R$6:$R$10005,$W253))</f>
        <v/>
      </c>
      <c r="AZ253">
        <f t="shared" si="109"/>
        <v>0</v>
      </c>
      <c r="BA253" t="str">
        <f>IF($W253="","",INDEX(บันทึกรายเที่ยว!$E$6:$E$10005,$W253))</f>
        <v/>
      </c>
      <c r="BC253">
        <f>IF($Y253="",0,IFERROR(INDEX(อัตราค่าขนส่ง!$M$5:$M$204,MATCH($Y253,อัตราค่าขนส่ง!$O$5:$O$204,0)),0))</f>
        <v>0</v>
      </c>
      <c r="BD253">
        <f>IF($Y253="",0,IFERROR(INDEX(อัตราค่าขนส่ง!$N$5:$N$204,MATCH($Y253,อัตราค่าขนส่ง!$O$5:$O$204,0)),0))</f>
        <v>0</v>
      </c>
    </row>
    <row r="254" spans="1:56" ht="21" customHeight="1" x14ac:dyDescent="0.95">
      <c r="A254" s="36" t="str">
        <f>IF($AD254="","",IF($AD254="Z","รวมจ่ายทั้งสิ้น",IF($AD254="H",INDEX($X$5:$X$404,$AC254),IF($AD254="T","รวม",IF($AD254="B",IFERROR(INDEX(อัตราค่าขนส่ง!$U$5:$U$14,MATCH(INDEX($AM$5:$AM$404,$AC254),อัตราค่าขนส่ง!$T$5:$T$14,0)),"รวมกลุ่ม "&amp;INDEX($AM$5:$AM$404,$AC254)),INDEX($AY$5:$AY$404,$AC254))))))</f>
        <v/>
      </c>
      <c r="B254" s="31" t="str">
        <f t="shared" si="84"/>
        <v/>
      </c>
      <c r="C254" s="8" t="str">
        <f t="shared" si="85"/>
        <v/>
      </c>
      <c r="D254" s="37" t="str">
        <f t="shared" si="86"/>
        <v/>
      </c>
      <c r="E254" s="31" t="str">
        <f t="shared" si="87"/>
        <v/>
      </c>
      <c r="F254" s="32" t="str">
        <f t="shared" si="88"/>
        <v/>
      </c>
      <c r="G254" s="32" t="str">
        <f t="shared" si="89"/>
        <v/>
      </c>
      <c r="H254" s="32" t="str">
        <f t="shared" si="90"/>
        <v/>
      </c>
      <c r="I254" s="32" t="str">
        <f t="shared" si="91"/>
        <v/>
      </c>
      <c r="J254" s="46" t="str">
        <f t="shared" si="92"/>
        <v/>
      </c>
      <c r="K254" s="32" t="str">
        <f t="shared" si="93"/>
        <v/>
      </c>
      <c r="L254" s="32" t="str">
        <f t="shared" si="94"/>
        <v/>
      </c>
      <c r="M254" s="32" t="str">
        <f t="shared" si="95"/>
        <v/>
      </c>
      <c r="N254" s="32" t="str">
        <f t="shared" si="96"/>
        <v/>
      </c>
      <c r="O254" s="32" t="str">
        <f t="shared" si="97"/>
        <v/>
      </c>
      <c r="Q254" t="str">
        <f>IFERROR(MATCH(250,บันทึกรายเที่ยว!$Z$6:$Z$10005,0),"")</f>
        <v/>
      </c>
      <c r="R254" t="str">
        <f>IF($Q254="","",INDEX(บันทึกรายเที่ยว!$V$6:$V$10005,$Q254))</f>
        <v/>
      </c>
      <c r="S254" t="str">
        <f>IF($Q254="","",INDEX(บันทึกรายเที่ยว!$F$6:$F$10005,$Q254))</f>
        <v/>
      </c>
      <c r="T254" t="str">
        <f>IF($Q254="","",MATCH($S254,บันทึกรายเที่ยว!$F$6:$F$10005,0))</f>
        <v/>
      </c>
      <c r="U254" t="str">
        <f>IF($Q254="","",$AL254*10000000+$T254*1000+250)</f>
        <v/>
      </c>
      <c r="V254" t="str">
        <f>IFERROR(MATCH(SMALL($U$5:$U$404,250),$U$5:$U$404,0),"")</f>
        <v/>
      </c>
      <c r="W254" t="str">
        <f t="shared" si="98"/>
        <v/>
      </c>
      <c r="X254" t="str">
        <f t="shared" si="99"/>
        <v/>
      </c>
      <c r="Y254" t="str">
        <f t="shared" si="100"/>
        <v/>
      </c>
      <c r="Z254">
        <f t="shared" si="110"/>
        <v>0</v>
      </c>
      <c r="AA254">
        <f t="shared" si="101"/>
        <v>0</v>
      </c>
      <c r="AB254">
        <f>IF($V254="",99999+250,$AB253+1+$Z253+$AA253+$AO253)</f>
        <v>100249</v>
      </c>
      <c r="AC254" t="str">
        <f>IFERROR(MATCH(250,$AB$5:$AB$404,1),"")</f>
        <v/>
      </c>
      <c r="AD254" t="str">
        <f>IF(250=$AI$1+1,"Z",IF($AC254="","",IF(INDEX($V$5:$V$404,$AC254)="","",IF(250&gt;INDEX($AB$5:$AB$404,$AC254)+INDEX($Z$5:$Z$404,$AC254)+INDEX($AA$5:$AA$404,$AC254)+INDEX($AO$5:$AO$404,$AC254),"",IF(250=INDEX($AB$5:$AB$404,$AC254)+INDEX($Z$5:$Z$404,$AC254),"D",IF(AND(INDEX($Z$5:$Z$404,$AC254)=1,250=INDEX($AB$5:$AB$404,$AC254)),"H",IF(AND(INDEX($AO$5:$AO$404,$AC254)=1,250=INDEX($AB$5:$AB$404,$AC254)+INDEX($Z$5:$Z$404,$AC254)+INDEX($AA$5:$AA$404,$AC254)+INDEX($AO$5:$AO$404,$AC254)),"B","T")))))))</f>
        <v/>
      </c>
      <c r="AF254" t="str">
        <f t="shared" si="102"/>
        <v/>
      </c>
      <c r="AJ254">
        <f>IF($AD254&lt;&gt;"T",0,ROUND(SUMIF(oil!$B$4:$B$63,$AF254,oil!$AE$4:$AE$63),2))</f>
        <v>0</v>
      </c>
      <c r="AK254" t="str">
        <f>IF($S254="","",IFERROR(INDEX(อัตราค่าขนส่ง!$R$5:$R$54,MATCH($S254,อัตราค่าขนส่ง!$Q$5:$Q$54,0)),INDEX(รายการมาตรฐาน!$G$2:$G$3,1)))</f>
        <v/>
      </c>
      <c r="AL254" t="str">
        <f>IF($S254="","",IFERROR(MATCH($AK254,รายการมาตรฐาน!$G$2:$G$3,0),1))</f>
        <v/>
      </c>
      <c r="AM254" t="str">
        <f t="shared" si="103"/>
        <v/>
      </c>
      <c r="AN254" t="str">
        <f t="shared" si="104"/>
        <v/>
      </c>
      <c r="AO254">
        <f t="shared" si="105"/>
        <v>0</v>
      </c>
      <c r="AP254">
        <f t="shared" si="111"/>
        <v>0</v>
      </c>
      <c r="AQ254" t="str">
        <f t="shared" si="106"/>
        <v/>
      </c>
      <c r="AR254">
        <f>IF($Y254="",0,COUNTIF(บันทึกรายเที่ยว!$V$6:$V$10005,$Y254))</f>
        <v>0</v>
      </c>
      <c r="AS254">
        <f>IF($Y254="",0,ROUND(SUMIF(บันทึกรายเที่ยว!$V$6:$V$10005,$Y254,บันทึกรายเที่ยว!$M$6:$M$10005),2))</f>
        <v>0</v>
      </c>
      <c r="AT254">
        <f>IF($Y254="",0,IFERROR(INDEX(อัตราค่าขนส่ง!$J$5:$J$204,MATCH($Y254,อัตราค่าขนส่ง!$O$5:$O$204,0)),0))</f>
        <v>0</v>
      </c>
      <c r="AU254">
        <f t="shared" si="107"/>
        <v>0</v>
      </c>
      <c r="AV254">
        <f t="shared" si="108"/>
        <v>0</v>
      </c>
      <c r="AW254" t="str">
        <f>IF($Y254="","",IFERROR(INDEX(อัตราค่าขนส่ง!$F$5:$F$204,MATCH($Y254,อัตราค่าขนส่ง!$O$5:$O$204,0)),""))</f>
        <v/>
      </c>
      <c r="AX254" t="str">
        <f>IF($W254="","",INDEX(บันทึกรายเที่ยว!$D$6:$D$10005,$W254))</f>
        <v/>
      </c>
      <c r="AY254" t="str">
        <f>IF($W254="","",INDEX(บันทึกรายเที่ยว!$R$6:$R$10005,$W254))</f>
        <v/>
      </c>
      <c r="AZ254">
        <f t="shared" si="109"/>
        <v>0</v>
      </c>
      <c r="BA254" t="str">
        <f>IF($W254="","",INDEX(บันทึกรายเที่ยว!$E$6:$E$10005,$W254))</f>
        <v/>
      </c>
      <c r="BC254">
        <f>IF($Y254="",0,IFERROR(INDEX(อัตราค่าขนส่ง!$M$5:$M$204,MATCH($Y254,อัตราค่าขนส่ง!$O$5:$O$204,0)),0))</f>
        <v>0</v>
      </c>
      <c r="BD254">
        <f>IF($Y254="",0,IFERROR(INDEX(อัตราค่าขนส่ง!$N$5:$N$204,MATCH($Y254,อัตราค่าขนส่ง!$O$5:$O$204,0)),0))</f>
        <v>0</v>
      </c>
    </row>
    <row r="255" spans="1:56" ht="21" customHeight="1" x14ac:dyDescent="0.95">
      <c r="A255" s="36" t="str">
        <f>IF($AD255="","",IF($AD255="Z","รวมจ่ายทั้งสิ้น",IF($AD255="H",INDEX($X$5:$X$404,$AC255),IF($AD255="T","รวม",IF($AD255="B",IFERROR(INDEX(อัตราค่าขนส่ง!$U$5:$U$14,MATCH(INDEX($AM$5:$AM$404,$AC255),อัตราค่าขนส่ง!$T$5:$T$14,0)),"รวมกลุ่ม "&amp;INDEX($AM$5:$AM$404,$AC255)),INDEX($AY$5:$AY$404,$AC255))))))</f>
        <v/>
      </c>
      <c r="B255" s="31" t="str">
        <f t="shared" si="84"/>
        <v/>
      </c>
      <c r="C255" s="8" t="str">
        <f t="shared" si="85"/>
        <v/>
      </c>
      <c r="D255" s="37" t="str">
        <f t="shared" si="86"/>
        <v/>
      </c>
      <c r="E255" s="31" t="str">
        <f t="shared" si="87"/>
        <v/>
      </c>
      <c r="F255" s="32" t="str">
        <f t="shared" si="88"/>
        <v/>
      </c>
      <c r="G255" s="32" t="str">
        <f t="shared" si="89"/>
        <v/>
      </c>
      <c r="H255" s="32" t="str">
        <f t="shared" si="90"/>
        <v/>
      </c>
      <c r="I255" s="32" t="str">
        <f t="shared" si="91"/>
        <v/>
      </c>
      <c r="J255" s="46" t="str">
        <f t="shared" si="92"/>
        <v/>
      </c>
      <c r="K255" s="32" t="str">
        <f t="shared" si="93"/>
        <v/>
      </c>
      <c r="L255" s="32" t="str">
        <f t="shared" si="94"/>
        <v/>
      </c>
      <c r="M255" s="32" t="str">
        <f t="shared" si="95"/>
        <v/>
      </c>
      <c r="N255" s="32" t="str">
        <f t="shared" si="96"/>
        <v/>
      </c>
      <c r="O255" s="32" t="str">
        <f t="shared" si="97"/>
        <v/>
      </c>
      <c r="Q255" t="str">
        <f>IFERROR(MATCH(251,บันทึกรายเที่ยว!$Z$6:$Z$10005,0),"")</f>
        <v/>
      </c>
      <c r="R255" t="str">
        <f>IF($Q255="","",INDEX(บันทึกรายเที่ยว!$V$6:$V$10005,$Q255))</f>
        <v/>
      </c>
      <c r="S255" t="str">
        <f>IF($Q255="","",INDEX(บันทึกรายเที่ยว!$F$6:$F$10005,$Q255))</f>
        <v/>
      </c>
      <c r="T255" t="str">
        <f>IF($Q255="","",MATCH($S255,บันทึกรายเที่ยว!$F$6:$F$10005,0))</f>
        <v/>
      </c>
      <c r="U255" t="str">
        <f>IF($Q255="","",$AL255*10000000+$T255*1000+251)</f>
        <v/>
      </c>
      <c r="V255" t="str">
        <f>IFERROR(MATCH(SMALL($U$5:$U$404,251),$U$5:$U$404,0),"")</f>
        <v/>
      </c>
      <c r="W255" t="str">
        <f t="shared" si="98"/>
        <v/>
      </c>
      <c r="X255" t="str">
        <f t="shared" si="99"/>
        <v/>
      </c>
      <c r="Y255" t="str">
        <f t="shared" si="100"/>
        <v/>
      </c>
      <c r="Z255">
        <f t="shared" si="110"/>
        <v>0</v>
      </c>
      <c r="AA255">
        <f t="shared" si="101"/>
        <v>0</v>
      </c>
      <c r="AB255">
        <f>IF($V255="",99999+251,$AB254+1+$Z254+$AA254+$AO254)</f>
        <v>100250</v>
      </c>
      <c r="AC255" t="str">
        <f>IFERROR(MATCH(251,$AB$5:$AB$404,1),"")</f>
        <v/>
      </c>
      <c r="AD255" t="str">
        <f>IF(251=$AI$1+1,"Z",IF($AC255="","",IF(INDEX($V$5:$V$404,$AC255)="","",IF(251&gt;INDEX($AB$5:$AB$404,$AC255)+INDEX($Z$5:$Z$404,$AC255)+INDEX($AA$5:$AA$404,$AC255)+INDEX($AO$5:$AO$404,$AC255),"",IF(251=INDEX($AB$5:$AB$404,$AC255)+INDEX($Z$5:$Z$404,$AC255),"D",IF(AND(INDEX($Z$5:$Z$404,$AC255)=1,251=INDEX($AB$5:$AB$404,$AC255)),"H",IF(AND(INDEX($AO$5:$AO$404,$AC255)=1,251=INDEX($AB$5:$AB$404,$AC255)+INDEX($Z$5:$Z$404,$AC255)+INDEX($AA$5:$AA$404,$AC255)+INDEX($AO$5:$AO$404,$AC255)),"B","T")))))))</f>
        <v/>
      </c>
      <c r="AF255" t="str">
        <f t="shared" si="102"/>
        <v/>
      </c>
      <c r="AJ255">
        <f>IF($AD255&lt;&gt;"T",0,ROUND(SUMIF(oil!$B$4:$B$63,$AF255,oil!$AE$4:$AE$63),2))</f>
        <v>0</v>
      </c>
      <c r="AK255" t="str">
        <f>IF($S255="","",IFERROR(INDEX(อัตราค่าขนส่ง!$R$5:$R$54,MATCH($S255,อัตราค่าขนส่ง!$Q$5:$Q$54,0)),INDEX(รายการมาตรฐาน!$G$2:$G$3,1)))</f>
        <v/>
      </c>
      <c r="AL255" t="str">
        <f>IF($S255="","",IFERROR(MATCH($AK255,รายการมาตรฐาน!$G$2:$G$3,0),1))</f>
        <v/>
      </c>
      <c r="AM255" t="str">
        <f t="shared" si="103"/>
        <v/>
      </c>
      <c r="AN255" t="str">
        <f t="shared" si="104"/>
        <v/>
      </c>
      <c r="AO255">
        <f t="shared" si="105"/>
        <v>0</v>
      </c>
      <c r="AP255">
        <f t="shared" si="111"/>
        <v>0</v>
      </c>
      <c r="AQ255" t="str">
        <f t="shared" si="106"/>
        <v/>
      </c>
      <c r="AR255">
        <f>IF($Y255="",0,COUNTIF(บันทึกรายเที่ยว!$V$6:$V$10005,$Y255))</f>
        <v>0</v>
      </c>
      <c r="AS255">
        <f>IF($Y255="",0,ROUND(SUMIF(บันทึกรายเที่ยว!$V$6:$V$10005,$Y255,บันทึกรายเที่ยว!$M$6:$M$10005),2))</f>
        <v>0</v>
      </c>
      <c r="AT255">
        <f>IF($Y255="",0,IFERROR(INDEX(อัตราค่าขนส่ง!$J$5:$J$204,MATCH($Y255,อัตราค่าขนส่ง!$O$5:$O$204,0)),0))</f>
        <v>0</v>
      </c>
      <c r="AU255">
        <f t="shared" si="107"/>
        <v>0</v>
      </c>
      <c r="AV255">
        <f t="shared" si="108"/>
        <v>0</v>
      </c>
      <c r="AW255" t="str">
        <f>IF($Y255="","",IFERROR(INDEX(อัตราค่าขนส่ง!$F$5:$F$204,MATCH($Y255,อัตราค่าขนส่ง!$O$5:$O$204,0)),""))</f>
        <v/>
      </c>
      <c r="AX255" t="str">
        <f>IF($W255="","",INDEX(บันทึกรายเที่ยว!$D$6:$D$10005,$W255))</f>
        <v/>
      </c>
      <c r="AY255" t="str">
        <f>IF($W255="","",INDEX(บันทึกรายเที่ยว!$R$6:$R$10005,$W255))</f>
        <v/>
      </c>
      <c r="AZ255">
        <f t="shared" si="109"/>
        <v>0</v>
      </c>
      <c r="BA255" t="str">
        <f>IF($W255="","",INDEX(บันทึกรายเที่ยว!$E$6:$E$10005,$W255))</f>
        <v/>
      </c>
      <c r="BC255">
        <f>IF($Y255="",0,IFERROR(INDEX(อัตราค่าขนส่ง!$M$5:$M$204,MATCH($Y255,อัตราค่าขนส่ง!$O$5:$O$204,0)),0))</f>
        <v>0</v>
      </c>
      <c r="BD255">
        <f>IF($Y255="",0,IFERROR(INDEX(อัตราค่าขนส่ง!$N$5:$N$204,MATCH($Y255,อัตราค่าขนส่ง!$O$5:$O$204,0)),0))</f>
        <v>0</v>
      </c>
    </row>
    <row r="256" spans="1:56" ht="21" customHeight="1" x14ac:dyDescent="0.95">
      <c r="A256" s="36" t="str">
        <f>IF($AD256="","",IF($AD256="Z","รวมจ่ายทั้งสิ้น",IF($AD256="H",INDEX($X$5:$X$404,$AC256),IF($AD256="T","รวม",IF($AD256="B",IFERROR(INDEX(อัตราค่าขนส่ง!$U$5:$U$14,MATCH(INDEX($AM$5:$AM$404,$AC256),อัตราค่าขนส่ง!$T$5:$T$14,0)),"รวมกลุ่ม "&amp;INDEX($AM$5:$AM$404,$AC256)),INDEX($AY$5:$AY$404,$AC256))))))</f>
        <v/>
      </c>
      <c r="B256" s="31" t="str">
        <f t="shared" si="84"/>
        <v/>
      </c>
      <c r="C256" s="8" t="str">
        <f t="shared" si="85"/>
        <v/>
      </c>
      <c r="D256" s="37" t="str">
        <f t="shared" si="86"/>
        <v/>
      </c>
      <c r="E256" s="31" t="str">
        <f t="shared" si="87"/>
        <v/>
      </c>
      <c r="F256" s="32" t="str">
        <f t="shared" si="88"/>
        <v/>
      </c>
      <c r="G256" s="32" t="str">
        <f t="shared" si="89"/>
        <v/>
      </c>
      <c r="H256" s="32" t="str">
        <f t="shared" si="90"/>
        <v/>
      </c>
      <c r="I256" s="32" t="str">
        <f t="shared" si="91"/>
        <v/>
      </c>
      <c r="J256" s="46" t="str">
        <f t="shared" si="92"/>
        <v/>
      </c>
      <c r="K256" s="32" t="str">
        <f t="shared" si="93"/>
        <v/>
      </c>
      <c r="L256" s="32" t="str">
        <f t="shared" si="94"/>
        <v/>
      </c>
      <c r="M256" s="32" t="str">
        <f t="shared" si="95"/>
        <v/>
      </c>
      <c r="N256" s="32" t="str">
        <f t="shared" si="96"/>
        <v/>
      </c>
      <c r="O256" s="32" t="str">
        <f t="shared" si="97"/>
        <v/>
      </c>
      <c r="Q256" t="str">
        <f>IFERROR(MATCH(252,บันทึกรายเที่ยว!$Z$6:$Z$10005,0),"")</f>
        <v/>
      </c>
      <c r="R256" t="str">
        <f>IF($Q256="","",INDEX(บันทึกรายเที่ยว!$V$6:$V$10005,$Q256))</f>
        <v/>
      </c>
      <c r="S256" t="str">
        <f>IF($Q256="","",INDEX(บันทึกรายเที่ยว!$F$6:$F$10005,$Q256))</f>
        <v/>
      </c>
      <c r="T256" t="str">
        <f>IF($Q256="","",MATCH($S256,บันทึกรายเที่ยว!$F$6:$F$10005,0))</f>
        <v/>
      </c>
      <c r="U256" t="str">
        <f>IF($Q256="","",$AL256*10000000+$T256*1000+252)</f>
        <v/>
      </c>
      <c r="V256" t="str">
        <f>IFERROR(MATCH(SMALL($U$5:$U$404,252),$U$5:$U$404,0),"")</f>
        <v/>
      </c>
      <c r="W256" t="str">
        <f t="shared" si="98"/>
        <v/>
      </c>
      <c r="X256" t="str">
        <f t="shared" si="99"/>
        <v/>
      </c>
      <c r="Y256" t="str">
        <f t="shared" si="100"/>
        <v/>
      </c>
      <c r="Z256">
        <f t="shared" si="110"/>
        <v>0</v>
      </c>
      <c r="AA256">
        <f t="shared" si="101"/>
        <v>0</v>
      </c>
      <c r="AB256">
        <f>IF($V256="",99999+252,$AB255+1+$Z255+$AA255+$AO255)</f>
        <v>100251</v>
      </c>
      <c r="AC256" t="str">
        <f>IFERROR(MATCH(252,$AB$5:$AB$404,1),"")</f>
        <v/>
      </c>
      <c r="AD256" t="str">
        <f>IF(252=$AI$1+1,"Z",IF($AC256="","",IF(INDEX($V$5:$V$404,$AC256)="","",IF(252&gt;INDEX($AB$5:$AB$404,$AC256)+INDEX($Z$5:$Z$404,$AC256)+INDEX($AA$5:$AA$404,$AC256)+INDEX($AO$5:$AO$404,$AC256),"",IF(252=INDEX($AB$5:$AB$404,$AC256)+INDEX($Z$5:$Z$404,$AC256),"D",IF(AND(INDEX($Z$5:$Z$404,$AC256)=1,252=INDEX($AB$5:$AB$404,$AC256)),"H",IF(AND(INDEX($AO$5:$AO$404,$AC256)=1,252=INDEX($AB$5:$AB$404,$AC256)+INDEX($Z$5:$Z$404,$AC256)+INDEX($AA$5:$AA$404,$AC256)+INDEX($AO$5:$AO$404,$AC256)),"B","T")))))))</f>
        <v/>
      </c>
      <c r="AF256" t="str">
        <f t="shared" si="102"/>
        <v/>
      </c>
      <c r="AJ256">
        <f>IF($AD256&lt;&gt;"T",0,ROUND(SUMIF(oil!$B$4:$B$63,$AF256,oil!$AE$4:$AE$63),2))</f>
        <v>0</v>
      </c>
      <c r="AK256" t="str">
        <f>IF($S256="","",IFERROR(INDEX(อัตราค่าขนส่ง!$R$5:$R$54,MATCH($S256,อัตราค่าขนส่ง!$Q$5:$Q$54,0)),INDEX(รายการมาตรฐาน!$G$2:$G$3,1)))</f>
        <v/>
      </c>
      <c r="AL256" t="str">
        <f>IF($S256="","",IFERROR(MATCH($AK256,รายการมาตรฐาน!$G$2:$G$3,0),1))</f>
        <v/>
      </c>
      <c r="AM256" t="str">
        <f t="shared" si="103"/>
        <v/>
      </c>
      <c r="AN256" t="str">
        <f t="shared" si="104"/>
        <v/>
      </c>
      <c r="AO256">
        <f t="shared" si="105"/>
        <v>0</v>
      </c>
      <c r="AP256">
        <f t="shared" si="111"/>
        <v>0</v>
      </c>
      <c r="AQ256" t="str">
        <f t="shared" si="106"/>
        <v/>
      </c>
      <c r="AR256">
        <f>IF($Y256="",0,COUNTIF(บันทึกรายเที่ยว!$V$6:$V$10005,$Y256))</f>
        <v>0</v>
      </c>
      <c r="AS256">
        <f>IF($Y256="",0,ROUND(SUMIF(บันทึกรายเที่ยว!$V$6:$V$10005,$Y256,บันทึกรายเที่ยว!$M$6:$M$10005),2))</f>
        <v>0</v>
      </c>
      <c r="AT256">
        <f>IF($Y256="",0,IFERROR(INDEX(อัตราค่าขนส่ง!$J$5:$J$204,MATCH($Y256,อัตราค่าขนส่ง!$O$5:$O$204,0)),0))</f>
        <v>0</v>
      </c>
      <c r="AU256">
        <f t="shared" si="107"/>
        <v>0</v>
      </c>
      <c r="AV256">
        <f t="shared" si="108"/>
        <v>0</v>
      </c>
      <c r="AW256" t="str">
        <f>IF($Y256="","",IFERROR(INDEX(อัตราค่าขนส่ง!$F$5:$F$204,MATCH($Y256,อัตราค่าขนส่ง!$O$5:$O$204,0)),""))</f>
        <v/>
      </c>
      <c r="AX256" t="str">
        <f>IF($W256="","",INDEX(บันทึกรายเที่ยว!$D$6:$D$10005,$W256))</f>
        <v/>
      </c>
      <c r="AY256" t="str">
        <f>IF($W256="","",INDEX(บันทึกรายเที่ยว!$R$6:$R$10005,$W256))</f>
        <v/>
      </c>
      <c r="AZ256">
        <f t="shared" si="109"/>
        <v>0</v>
      </c>
      <c r="BA256" t="str">
        <f>IF($W256="","",INDEX(บันทึกรายเที่ยว!$E$6:$E$10005,$W256))</f>
        <v/>
      </c>
      <c r="BC256">
        <f>IF($Y256="",0,IFERROR(INDEX(อัตราค่าขนส่ง!$M$5:$M$204,MATCH($Y256,อัตราค่าขนส่ง!$O$5:$O$204,0)),0))</f>
        <v>0</v>
      </c>
      <c r="BD256">
        <f>IF($Y256="",0,IFERROR(INDEX(อัตราค่าขนส่ง!$N$5:$N$204,MATCH($Y256,อัตราค่าขนส่ง!$O$5:$O$204,0)),0))</f>
        <v>0</v>
      </c>
    </row>
    <row r="257" spans="1:56" ht="21" customHeight="1" x14ac:dyDescent="0.95">
      <c r="A257" s="36" t="str">
        <f>IF($AD257="","",IF($AD257="Z","รวมจ่ายทั้งสิ้น",IF($AD257="H",INDEX($X$5:$X$404,$AC257),IF($AD257="T","รวม",IF($AD257="B",IFERROR(INDEX(อัตราค่าขนส่ง!$U$5:$U$14,MATCH(INDEX($AM$5:$AM$404,$AC257),อัตราค่าขนส่ง!$T$5:$T$14,0)),"รวมกลุ่ม "&amp;INDEX($AM$5:$AM$404,$AC257)),INDEX($AY$5:$AY$404,$AC257))))))</f>
        <v/>
      </c>
      <c r="B257" s="31" t="str">
        <f t="shared" si="84"/>
        <v/>
      </c>
      <c r="C257" s="8" t="str">
        <f t="shared" si="85"/>
        <v/>
      </c>
      <c r="D257" s="37" t="str">
        <f t="shared" si="86"/>
        <v/>
      </c>
      <c r="E257" s="31" t="str">
        <f t="shared" si="87"/>
        <v/>
      </c>
      <c r="F257" s="32" t="str">
        <f t="shared" si="88"/>
        <v/>
      </c>
      <c r="G257" s="32" t="str">
        <f t="shared" si="89"/>
        <v/>
      </c>
      <c r="H257" s="32" t="str">
        <f t="shared" si="90"/>
        <v/>
      </c>
      <c r="I257" s="32" t="str">
        <f t="shared" si="91"/>
        <v/>
      </c>
      <c r="J257" s="46" t="str">
        <f t="shared" si="92"/>
        <v/>
      </c>
      <c r="K257" s="32" t="str">
        <f t="shared" si="93"/>
        <v/>
      </c>
      <c r="L257" s="32" t="str">
        <f t="shared" si="94"/>
        <v/>
      </c>
      <c r="M257" s="32" t="str">
        <f t="shared" si="95"/>
        <v/>
      </c>
      <c r="N257" s="32" t="str">
        <f t="shared" si="96"/>
        <v/>
      </c>
      <c r="O257" s="32" t="str">
        <f t="shared" si="97"/>
        <v/>
      </c>
      <c r="Q257" t="str">
        <f>IFERROR(MATCH(253,บันทึกรายเที่ยว!$Z$6:$Z$10005,0),"")</f>
        <v/>
      </c>
      <c r="R257" t="str">
        <f>IF($Q257="","",INDEX(บันทึกรายเที่ยว!$V$6:$V$10005,$Q257))</f>
        <v/>
      </c>
      <c r="S257" t="str">
        <f>IF($Q257="","",INDEX(บันทึกรายเที่ยว!$F$6:$F$10005,$Q257))</f>
        <v/>
      </c>
      <c r="T257" t="str">
        <f>IF($Q257="","",MATCH($S257,บันทึกรายเที่ยว!$F$6:$F$10005,0))</f>
        <v/>
      </c>
      <c r="U257" t="str">
        <f>IF($Q257="","",$AL257*10000000+$T257*1000+253)</f>
        <v/>
      </c>
      <c r="V257" t="str">
        <f>IFERROR(MATCH(SMALL($U$5:$U$404,253),$U$5:$U$404,0),"")</f>
        <v/>
      </c>
      <c r="W257" t="str">
        <f t="shared" si="98"/>
        <v/>
      </c>
      <c r="X257" t="str">
        <f t="shared" si="99"/>
        <v/>
      </c>
      <c r="Y257" t="str">
        <f t="shared" si="100"/>
        <v/>
      </c>
      <c r="Z257">
        <f t="shared" si="110"/>
        <v>0</v>
      </c>
      <c r="AA257">
        <f t="shared" si="101"/>
        <v>0</v>
      </c>
      <c r="AB257">
        <f>IF($V257="",99999+253,$AB256+1+$Z256+$AA256+$AO256)</f>
        <v>100252</v>
      </c>
      <c r="AC257" t="str">
        <f>IFERROR(MATCH(253,$AB$5:$AB$404,1),"")</f>
        <v/>
      </c>
      <c r="AD257" t="str">
        <f>IF(253=$AI$1+1,"Z",IF($AC257="","",IF(INDEX($V$5:$V$404,$AC257)="","",IF(253&gt;INDEX($AB$5:$AB$404,$AC257)+INDEX($Z$5:$Z$404,$AC257)+INDEX($AA$5:$AA$404,$AC257)+INDEX($AO$5:$AO$404,$AC257),"",IF(253=INDEX($AB$5:$AB$404,$AC257)+INDEX($Z$5:$Z$404,$AC257),"D",IF(AND(INDEX($Z$5:$Z$404,$AC257)=1,253=INDEX($AB$5:$AB$404,$AC257)),"H",IF(AND(INDEX($AO$5:$AO$404,$AC257)=1,253=INDEX($AB$5:$AB$404,$AC257)+INDEX($Z$5:$Z$404,$AC257)+INDEX($AA$5:$AA$404,$AC257)+INDEX($AO$5:$AO$404,$AC257)),"B","T")))))))</f>
        <v/>
      </c>
      <c r="AF257" t="str">
        <f t="shared" si="102"/>
        <v/>
      </c>
      <c r="AJ257">
        <f>IF($AD257&lt;&gt;"T",0,ROUND(SUMIF(oil!$B$4:$B$63,$AF257,oil!$AE$4:$AE$63),2))</f>
        <v>0</v>
      </c>
      <c r="AK257" t="str">
        <f>IF($S257="","",IFERROR(INDEX(อัตราค่าขนส่ง!$R$5:$R$54,MATCH($S257,อัตราค่าขนส่ง!$Q$5:$Q$54,0)),INDEX(รายการมาตรฐาน!$G$2:$G$3,1)))</f>
        <v/>
      </c>
      <c r="AL257" t="str">
        <f>IF($S257="","",IFERROR(MATCH($AK257,รายการมาตรฐาน!$G$2:$G$3,0),1))</f>
        <v/>
      </c>
      <c r="AM257" t="str">
        <f t="shared" si="103"/>
        <v/>
      </c>
      <c r="AN257" t="str">
        <f t="shared" si="104"/>
        <v/>
      </c>
      <c r="AO257">
        <f t="shared" si="105"/>
        <v>0</v>
      </c>
      <c r="AP257">
        <f t="shared" si="111"/>
        <v>0</v>
      </c>
      <c r="AQ257" t="str">
        <f t="shared" si="106"/>
        <v/>
      </c>
      <c r="AR257">
        <f>IF($Y257="",0,COUNTIF(บันทึกรายเที่ยว!$V$6:$V$10005,$Y257))</f>
        <v>0</v>
      </c>
      <c r="AS257">
        <f>IF($Y257="",0,ROUND(SUMIF(บันทึกรายเที่ยว!$V$6:$V$10005,$Y257,บันทึกรายเที่ยว!$M$6:$M$10005),2))</f>
        <v>0</v>
      </c>
      <c r="AT257">
        <f>IF($Y257="",0,IFERROR(INDEX(อัตราค่าขนส่ง!$J$5:$J$204,MATCH($Y257,อัตราค่าขนส่ง!$O$5:$O$204,0)),0))</f>
        <v>0</v>
      </c>
      <c r="AU257">
        <f t="shared" si="107"/>
        <v>0</v>
      </c>
      <c r="AV257">
        <f t="shared" si="108"/>
        <v>0</v>
      </c>
      <c r="AW257" t="str">
        <f>IF($Y257="","",IFERROR(INDEX(อัตราค่าขนส่ง!$F$5:$F$204,MATCH($Y257,อัตราค่าขนส่ง!$O$5:$O$204,0)),""))</f>
        <v/>
      </c>
      <c r="AX257" t="str">
        <f>IF($W257="","",INDEX(บันทึกรายเที่ยว!$D$6:$D$10005,$W257))</f>
        <v/>
      </c>
      <c r="AY257" t="str">
        <f>IF($W257="","",INDEX(บันทึกรายเที่ยว!$R$6:$R$10005,$W257))</f>
        <v/>
      </c>
      <c r="AZ257">
        <f t="shared" si="109"/>
        <v>0</v>
      </c>
      <c r="BA257" t="str">
        <f>IF($W257="","",INDEX(บันทึกรายเที่ยว!$E$6:$E$10005,$W257))</f>
        <v/>
      </c>
      <c r="BC257">
        <f>IF($Y257="",0,IFERROR(INDEX(อัตราค่าขนส่ง!$M$5:$M$204,MATCH($Y257,อัตราค่าขนส่ง!$O$5:$O$204,0)),0))</f>
        <v>0</v>
      </c>
      <c r="BD257">
        <f>IF($Y257="",0,IFERROR(INDEX(อัตราค่าขนส่ง!$N$5:$N$204,MATCH($Y257,อัตราค่าขนส่ง!$O$5:$O$204,0)),0))</f>
        <v>0</v>
      </c>
    </row>
    <row r="258" spans="1:56" ht="21" customHeight="1" x14ac:dyDescent="0.95">
      <c r="A258" s="36" t="str">
        <f>IF($AD258="","",IF($AD258="Z","รวมจ่ายทั้งสิ้น",IF($AD258="H",INDEX($X$5:$X$404,$AC258),IF($AD258="T","รวม",IF($AD258="B",IFERROR(INDEX(อัตราค่าขนส่ง!$U$5:$U$14,MATCH(INDEX($AM$5:$AM$404,$AC258),อัตราค่าขนส่ง!$T$5:$T$14,0)),"รวมกลุ่ม "&amp;INDEX($AM$5:$AM$404,$AC258)),INDEX($AY$5:$AY$404,$AC258))))))</f>
        <v/>
      </c>
      <c r="B258" s="31" t="str">
        <f t="shared" si="84"/>
        <v/>
      </c>
      <c r="C258" s="8" t="str">
        <f t="shared" si="85"/>
        <v/>
      </c>
      <c r="D258" s="37" t="str">
        <f t="shared" si="86"/>
        <v/>
      </c>
      <c r="E258" s="31" t="str">
        <f t="shared" si="87"/>
        <v/>
      </c>
      <c r="F258" s="32" t="str">
        <f t="shared" si="88"/>
        <v/>
      </c>
      <c r="G258" s="32" t="str">
        <f t="shared" si="89"/>
        <v/>
      </c>
      <c r="H258" s="32" t="str">
        <f t="shared" si="90"/>
        <v/>
      </c>
      <c r="I258" s="32" t="str">
        <f t="shared" si="91"/>
        <v/>
      </c>
      <c r="J258" s="46" t="str">
        <f t="shared" si="92"/>
        <v/>
      </c>
      <c r="K258" s="32" t="str">
        <f t="shared" si="93"/>
        <v/>
      </c>
      <c r="L258" s="32" t="str">
        <f t="shared" si="94"/>
        <v/>
      </c>
      <c r="M258" s="32" t="str">
        <f t="shared" si="95"/>
        <v/>
      </c>
      <c r="N258" s="32" t="str">
        <f t="shared" si="96"/>
        <v/>
      </c>
      <c r="O258" s="32" t="str">
        <f t="shared" si="97"/>
        <v/>
      </c>
      <c r="Q258" t="str">
        <f>IFERROR(MATCH(254,บันทึกรายเที่ยว!$Z$6:$Z$10005,0),"")</f>
        <v/>
      </c>
      <c r="R258" t="str">
        <f>IF($Q258="","",INDEX(บันทึกรายเที่ยว!$V$6:$V$10005,$Q258))</f>
        <v/>
      </c>
      <c r="S258" t="str">
        <f>IF($Q258="","",INDEX(บันทึกรายเที่ยว!$F$6:$F$10005,$Q258))</f>
        <v/>
      </c>
      <c r="T258" t="str">
        <f>IF($Q258="","",MATCH($S258,บันทึกรายเที่ยว!$F$6:$F$10005,0))</f>
        <v/>
      </c>
      <c r="U258" t="str">
        <f>IF($Q258="","",$AL258*10000000+$T258*1000+254)</f>
        <v/>
      </c>
      <c r="V258" t="str">
        <f>IFERROR(MATCH(SMALL($U$5:$U$404,254),$U$5:$U$404,0),"")</f>
        <v/>
      </c>
      <c r="W258" t="str">
        <f t="shared" si="98"/>
        <v/>
      </c>
      <c r="X258" t="str">
        <f t="shared" si="99"/>
        <v/>
      </c>
      <c r="Y258" t="str">
        <f t="shared" si="100"/>
        <v/>
      </c>
      <c r="Z258">
        <f t="shared" si="110"/>
        <v>0</v>
      </c>
      <c r="AA258">
        <f t="shared" si="101"/>
        <v>0</v>
      </c>
      <c r="AB258">
        <f>IF($V258="",99999+254,$AB257+1+$Z257+$AA257+$AO257)</f>
        <v>100253</v>
      </c>
      <c r="AC258" t="str">
        <f>IFERROR(MATCH(254,$AB$5:$AB$404,1),"")</f>
        <v/>
      </c>
      <c r="AD258" t="str">
        <f>IF(254=$AI$1+1,"Z",IF($AC258="","",IF(INDEX($V$5:$V$404,$AC258)="","",IF(254&gt;INDEX($AB$5:$AB$404,$AC258)+INDEX($Z$5:$Z$404,$AC258)+INDEX($AA$5:$AA$404,$AC258)+INDEX($AO$5:$AO$404,$AC258),"",IF(254=INDEX($AB$5:$AB$404,$AC258)+INDEX($Z$5:$Z$404,$AC258),"D",IF(AND(INDEX($Z$5:$Z$404,$AC258)=1,254=INDEX($AB$5:$AB$404,$AC258)),"H",IF(AND(INDEX($AO$5:$AO$404,$AC258)=1,254=INDEX($AB$5:$AB$404,$AC258)+INDEX($Z$5:$Z$404,$AC258)+INDEX($AA$5:$AA$404,$AC258)+INDEX($AO$5:$AO$404,$AC258)),"B","T")))))))</f>
        <v/>
      </c>
      <c r="AF258" t="str">
        <f t="shared" si="102"/>
        <v/>
      </c>
      <c r="AJ258">
        <f>IF($AD258&lt;&gt;"T",0,ROUND(SUMIF(oil!$B$4:$B$63,$AF258,oil!$AE$4:$AE$63),2))</f>
        <v>0</v>
      </c>
      <c r="AK258" t="str">
        <f>IF($S258="","",IFERROR(INDEX(อัตราค่าขนส่ง!$R$5:$R$54,MATCH($S258,อัตราค่าขนส่ง!$Q$5:$Q$54,0)),INDEX(รายการมาตรฐาน!$G$2:$G$3,1)))</f>
        <v/>
      </c>
      <c r="AL258" t="str">
        <f>IF($S258="","",IFERROR(MATCH($AK258,รายการมาตรฐาน!$G$2:$G$3,0),1))</f>
        <v/>
      </c>
      <c r="AM258" t="str">
        <f t="shared" si="103"/>
        <v/>
      </c>
      <c r="AN258" t="str">
        <f t="shared" si="104"/>
        <v/>
      </c>
      <c r="AO258">
        <f t="shared" si="105"/>
        <v>0</v>
      </c>
      <c r="AP258">
        <f t="shared" si="111"/>
        <v>0</v>
      </c>
      <c r="AQ258" t="str">
        <f t="shared" si="106"/>
        <v/>
      </c>
      <c r="AR258">
        <f>IF($Y258="",0,COUNTIF(บันทึกรายเที่ยว!$V$6:$V$10005,$Y258))</f>
        <v>0</v>
      </c>
      <c r="AS258">
        <f>IF($Y258="",0,ROUND(SUMIF(บันทึกรายเที่ยว!$V$6:$V$10005,$Y258,บันทึกรายเที่ยว!$M$6:$M$10005),2))</f>
        <v>0</v>
      </c>
      <c r="AT258">
        <f>IF($Y258="",0,IFERROR(INDEX(อัตราค่าขนส่ง!$J$5:$J$204,MATCH($Y258,อัตราค่าขนส่ง!$O$5:$O$204,0)),0))</f>
        <v>0</v>
      </c>
      <c r="AU258">
        <f t="shared" si="107"/>
        <v>0</v>
      </c>
      <c r="AV258">
        <f t="shared" si="108"/>
        <v>0</v>
      </c>
      <c r="AW258" t="str">
        <f>IF($Y258="","",IFERROR(INDEX(อัตราค่าขนส่ง!$F$5:$F$204,MATCH($Y258,อัตราค่าขนส่ง!$O$5:$O$204,0)),""))</f>
        <v/>
      </c>
      <c r="AX258" t="str">
        <f>IF($W258="","",INDEX(บันทึกรายเที่ยว!$D$6:$D$10005,$W258))</f>
        <v/>
      </c>
      <c r="AY258" t="str">
        <f>IF($W258="","",INDEX(บันทึกรายเที่ยว!$R$6:$R$10005,$W258))</f>
        <v/>
      </c>
      <c r="AZ258">
        <f t="shared" si="109"/>
        <v>0</v>
      </c>
      <c r="BA258" t="str">
        <f>IF($W258="","",INDEX(บันทึกรายเที่ยว!$E$6:$E$10005,$W258))</f>
        <v/>
      </c>
      <c r="BC258">
        <f>IF($Y258="",0,IFERROR(INDEX(อัตราค่าขนส่ง!$M$5:$M$204,MATCH($Y258,อัตราค่าขนส่ง!$O$5:$O$204,0)),0))</f>
        <v>0</v>
      </c>
      <c r="BD258">
        <f>IF($Y258="",0,IFERROR(INDEX(อัตราค่าขนส่ง!$N$5:$N$204,MATCH($Y258,อัตราค่าขนส่ง!$O$5:$O$204,0)),0))</f>
        <v>0</v>
      </c>
    </row>
    <row r="259" spans="1:56" ht="21" customHeight="1" x14ac:dyDescent="0.95">
      <c r="A259" s="36" t="str">
        <f>IF($AD259="","",IF($AD259="Z","รวมจ่ายทั้งสิ้น",IF($AD259="H",INDEX($X$5:$X$404,$AC259),IF($AD259="T","รวม",IF($AD259="B",IFERROR(INDEX(อัตราค่าขนส่ง!$U$5:$U$14,MATCH(INDEX($AM$5:$AM$404,$AC259),อัตราค่าขนส่ง!$T$5:$T$14,0)),"รวมกลุ่ม "&amp;INDEX($AM$5:$AM$404,$AC259)),INDEX($AY$5:$AY$404,$AC259))))))</f>
        <v/>
      </c>
      <c r="B259" s="31" t="str">
        <f t="shared" si="84"/>
        <v/>
      </c>
      <c r="C259" s="8" t="str">
        <f t="shared" si="85"/>
        <v/>
      </c>
      <c r="D259" s="37" t="str">
        <f t="shared" si="86"/>
        <v/>
      </c>
      <c r="E259" s="31" t="str">
        <f t="shared" si="87"/>
        <v/>
      </c>
      <c r="F259" s="32" t="str">
        <f t="shared" si="88"/>
        <v/>
      </c>
      <c r="G259" s="32" t="str">
        <f t="shared" si="89"/>
        <v/>
      </c>
      <c r="H259" s="32" t="str">
        <f t="shared" si="90"/>
        <v/>
      </c>
      <c r="I259" s="32" t="str">
        <f t="shared" si="91"/>
        <v/>
      </c>
      <c r="J259" s="46" t="str">
        <f t="shared" si="92"/>
        <v/>
      </c>
      <c r="K259" s="32" t="str">
        <f t="shared" si="93"/>
        <v/>
      </c>
      <c r="L259" s="32" t="str">
        <f t="shared" si="94"/>
        <v/>
      </c>
      <c r="M259" s="32" t="str">
        <f t="shared" si="95"/>
        <v/>
      </c>
      <c r="N259" s="32" t="str">
        <f t="shared" si="96"/>
        <v/>
      </c>
      <c r="O259" s="32" t="str">
        <f t="shared" si="97"/>
        <v/>
      </c>
      <c r="Q259" t="str">
        <f>IFERROR(MATCH(255,บันทึกรายเที่ยว!$Z$6:$Z$10005,0),"")</f>
        <v/>
      </c>
      <c r="R259" t="str">
        <f>IF($Q259="","",INDEX(บันทึกรายเที่ยว!$V$6:$V$10005,$Q259))</f>
        <v/>
      </c>
      <c r="S259" t="str">
        <f>IF($Q259="","",INDEX(บันทึกรายเที่ยว!$F$6:$F$10005,$Q259))</f>
        <v/>
      </c>
      <c r="T259" t="str">
        <f>IF($Q259="","",MATCH($S259,บันทึกรายเที่ยว!$F$6:$F$10005,0))</f>
        <v/>
      </c>
      <c r="U259" t="str">
        <f>IF($Q259="","",$AL259*10000000+$T259*1000+255)</f>
        <v/>
      </c>
      <c r="V259" t="str">
        <f>IFERROR(MATCH(SMALL($U$5:$U$404,255),$U$5:$U$404,0),"")</f>
        <v/>
      </c>
      <c r="W259" t="str">
        <f t="shared" si="98"/>
        <v/>
      </c>
      <c r="X259" t="str">
        <f t="shared" si="99"/>
        <v/>
      </c>
      <c r="Y259" t="str">
        <f t="shared" si="100"/>
        <v/>
      </c>
      <c r="Z259">
        <f t="shared" si="110"/>
        <v>0</v>
      </c>
      <c r="AA259">
        <f t="shared" si="101"/>
        <v>0</v>
      </c>
      <c r="AB259">
        <f>IF($V259="",99999+255,$AB258+1+$Z258+$AA258+$AO258)</f>
        <v>100254</v>
      </c>
      <c r="AC259" t="str">
        <f>IFERROR(MATCH(255,$AB$5:$AB$404,1),"")</f>
        <v/>
      </c>
      <c r="AD259" t="str">
        <f>IF(255=$AI$1+1,"Z",IF($AC259="","",IF(INDEX($V$5:$V$404,$AC259)="","",IF(255&gt;INDEX($AB$5:$AB$404,$AC259)+INDEX($Z$5:$Z$404,$AC259)+INDEX($AA$5:$AA$404,$AC259)+INDEX($AO$5:$AO$404,$AC259),"",IF(255=INDEX($AB$5:$AB$404,$AC259)+INDEX($Z$5:$Z$404,$AC259),"D",IF(AND(INDEX($Z$5:$Z$404,$AC259)=1,255=INDEX($AB$5:$AB$404,$AC259)),"H",IF(AND(INDEX($AO$5:$AO$404,$AC259)=1,255=INDEX($AB$5:$AB$404,$AC259)+INDEX($Z$5:$Z$404,$AC259)+INDEX($AA$5:$AA$404,$AC259)+INDEX($AO$5:$AO$404,$AC259)),"B","T")))))))</f>
        <v/>
      </c>
      <c r="AF259" t="str">
        <f t="shared" si="102"/>
        <v/>
      </c>
      <c r="AJ259">
        <f>IF($AD259&lt;&gt;"T",0,ROUND(SUMIF(oil!$B$4:$B$63,$AF259,oil!$AE$4:$AE$63),2))</f>
        <v>0</v>
      </c>
      <c r="AK259" t="str">
        <f>IF($S259="","",IFERROR(INDEX(อัตราค่าขนส่ง!$R$5:$R$54,MATCH($S259,อัตราค่าขนส่ง!$Q$5:$Q$54,0)),INDEX(รายการมาตรฐาน!$G$2:$G$3,1)))</f>
        <v/>
      </c>
      <c r="AL259" t="str">
        <f>IF($S259="","",IFERROR(MATCH($AK259,รายการมาตรฐาน!$G$2:$G$3,0),1))</f>
        <v/>
      </c>
      <c r="AM259" t="str">
        <f t="shared" si="103"/>
        <v/>
      </c>
      <c r="AN259" t="str">
        <f t="shared" si="104"/>
        <v/>
      </c>
      <c r="AO259">
        <f t="shared" si="105"/>
        <v>0</v>
      </c>
      <c r="AP259">
        <f t="shared" si="111"/>
        <v>0</v>
      </c>
      <c r="AQ259" t="str">
        <f t="shared" si="106"/>
        <v/>
      </c>
      <c r="AR259">
        <f>IF($Y259="",0,COUNTIF(บันทึกรายเที่ยว!$V$6:$V$10005,$Y259))</f>
        <v>0</v>
      </c>
      <c r="AS259">
        <f>IF($Y259="",0,ROUND(SUMIF(บันทึกรายเที่ยว!$V$6:$V$10005,$Y259,บันทึกรายเที่ยว!$M$6:$M$10005),2))</f>
        <v>0</v>
      </c>
      <c r="AT259">
        <f>IF($Y259="",0,IFERROR(INDEX(อัตราค่าขนส่ง!$J$5:$J$204,MATCH($Y259,อัตราค่าขนส่ง!$O$5:$O$204,0)),0))</f>
        <v>0</v>
      </c>
      <c r="AU259">
        <f t="shared" si="107"/>
        <v>0</v>
      </c>
      <c r="AV259">
        <f t="shared" si="108"/>
        <v>0</v>
      </c>
      <c r="AW259" t="str">
        <f>IF($Y259="","",IFERROR(INDEX(อัตราค่าขนส่ง!$F$5:$F$204,MATCH($Y259,อัตราค่าขนส่ง!$O$5:$O$204,0)),""))</f>
        <v/>
      </c>
      <c r="AX259" t="str">
        <f>IF($W259="","",INDEX(บันทึกรายเที่ยว!$D$6:$D$10005,$W259))</f>
        <v/>
      </c>
      <c r="AY259" t="str">
        <f>IF($W259="","",INDEX(บันทึกรายเที่ยว!$R$6:$R$10005,$W259))</f>
        <v/>
      </c>
      <c r="AZ259">
        <f t="shared" si="109"/>
        <v>0</v>
      </c>
      <c r="BA259" t="str">
        <f>IF($W259="","",INDEX(บันทึกรายเที่ยว!$E$6:$E$10005,$W259))</f>
        <v/>
      </c>
      <c r="BC259">
        <f>IF($Y259="",0,IFERROR(INDEX(อัตราค่าขนส่ง!$M$5:$M$204,MATCH($Y259,อัตราค่าขนส่ง!$O$5:$O$204,0)),0))</f>
        <v>0</v>
      </c>
      <c r="BD259">
        <f>IF($Y259="",0,IFERROR(INDEX(อัตราค่าขนส่ง!$N$5:$N$204,MATCH($Y259,อัตราค่าขนส่ง!$O$5:$O$204,0)),0))</f>
        <v>0</v>
      </c>
    </row>
    <row r="260" spans="1:56" ht="21" customHeight="1" x14ac:dyDescent="0.95">
      <c r="A260" s="36" t="str">
        <f>IF($AD260="","",IF($AD260="Z","รวมจ่ายทั้งสิ้น",IF($AD260="H",INDEX($X$5:$X$404,$AC260),IF($AD260="T","รวม",IF($AD260="B",IFERROR(INDEX(อัตราค่าขนส่ง!$U$5:$U$14,MATCH(INDEX($AM$5:$AM$404,$AC260),อัตราค่าขนส่ง!$T$5:$T$14,0)),"รวมกลุ่ม "&amp;INDEX($AM$5:$AM$404,$AC260)),INDEX($AY$5:$AY$404,$AC260))))))</f>
        <v/>
      </c>
      <c r="B260" s="31" t="str">
        <f t="shared" si="84"/>
        <v/>
      </c>
      <c r="C260" s="8" t="str">
        <f t="shared" si="85"/>
        <v/>
      </c>
      <c r="D260" s="37" t="str">
        <f t="shared" si="86"/>
        <v/>
      </c>
      <c r="E260" s="31" t="str">
        <f t="shared" si="87"/>
        <v/>
      </c>
      <c r="F260" s="32" t="str">
        <f t="shared" si="88"/>
        <v/>
      </c>
      <c r="G260" s="32" t="str">
        <f t="shared" si="89"/>
        <v/>
      </c>
      <c r="H260" s="32" t="str">
        <f t="shared" si="90"/>
        <v/>
      </c>
      <c r="I260" s="32" t="str">
        <f t="shared" si="91"/>
        <v/>
      </c>
      <c r="J260" s="46" t="str">
        <f t="shared" si="92"/>
        <v/>
      </c>
      <c r="K260" s="32" t="str">
        <f t="shared" si="93"/>
        <v/>
      </c>
      <c r="L260" s="32" t="str">
        <f t="shared" si="94"/>
        <v/>
      </c>
      <c r="M260" s="32" t="str">
        <f t="shared" si="95"/>
        <v/>
      </c>
      <c r="N260" s="32" t="str">
        <f t="shared" si="96"/>
        <v/>
      </c>
      <c r="O260" s="32" t="str">
        <f t="shared" si="97"/>
        <v/>
      </c>
      <c r="Q260" t="str">
        <f>IFERROR(MATCH(256,บันทึกรายเที่ยว!$Z$6:$Z$10005,0),"")</f>
        <v/>
      </c>
      <c r="R260" t="str">
        <f>IF($Q260="","",INDEX(บันทึกรายเที่ยว!$V$6:$V$10005,$Q260))</f>
        <v/>
      </c>
      <c r="S260" t="str">
        <f>IF($Q260="","",INDEX(บันทึกรายเที่ยว!$F$6:$F$10005,$Q260))</f>
        <v/>
      </c>
      <c r="T260" t="str">
        <f>IF($Q260="","",MATCH($S260,บันทึกรายเที่ยว!$F$6:$F$10005,0))</f>
        <v/>
      </c>
      <c r="U260" t="str">
        <f>IF($Q260="","",$AL260*10000000+$T260*1000+256)</f>
        <v/>
      </c>
      <c r="V260" t="str">
        <f>IFERROR(MATCH(SMALL($U$5:$U$404,256),$U$5:$U$404,0),"")</f>
        <v/>
      </c>
      <c r="W260" t="str">
        <f t="shared" si="98"/>
        <v/>
      </c>
      <c r="X260" t="str">
        <f t="shared" si="99"/>
        <v/>
      </c>
      <c r="Y260" t="str">
        <f t="shared" si="100"/>
        <v/>
      </c>
      <c r="Z260">
        <f t="shared" si="110"/>
        <v>0</v>
      </c>
      <c r="AA260">
        <f t="shared" si="101"/>
        <v>0</v>
      </c>
      <c r="AB260">
        <f>IF($V260="",99999+256,$AB259+1+$Z259+$AA259+$AO259)</f>
        <v>100255</v>
      </c>
      <c r="AC260" t="str">
        <f>IFERROR(MATCH(256,$AB$5:$AB$404,1),"")</f>
        <v/>
      </c>
      <c r="AD260" t="str">
        <f>IF(256=$AI$1+1,"Z",IF($AC260="","",IF(INDEX($V$5:$V$404,$AC260)="","",IF(256&gt;INDEX($AB$5:$AB$404,$AC260)+INDEX($Z$5:$Z$404,$AC260)+INDEX($AA$5:$AA$404,$AC260)+INDEX($AO$5:$AO$404,$AC260),"",IF(256=INDEX($AB$5:$AB$404,$AC260)+INDEX($Z$5:$Z$404,$AC260),"D",IF(AND(INDEX($Z$5:$Z$404,$AC260)=1,256=INDEX($AB$5:$AB$404,$AC260)),"H",IF(AND(INDEX($AO$5:$AO$404,$AC260)=1,256=INDEX($AB$5:$AB$404,$AC260)+INDEX($Z$5:$Z$404,$AC260)+INDEX($AA$5:$AA$404,$AC260)+INDEX($AO$5:$AO$404,$AC260)),"B","T")))))))</f>
        <v/>
      </c>
      <c r="AF260" t="str">
        <f t="shared" si="102"/>
        <v/>
      </c>
      <c r="AJ260">
        <f>IF($AD260&lt;&gt;"T",0,ROUND(SUMIF(oil!$B$4:$B$63,$AF260,oil!$AE$4:$AE$63),2))</f>
        <v>0</v>
      </c>
      <c r="AK260" t="str">
        <f>IF($S260="","",IFERROR(INDEX(อัตราค่าขนส่ง!$R$5:$R$54,MATCH($S260,อัตราค่าขนส่ง!$Q$5:$Q$54,0)),INDEX(รายการมาตรฐาน!$G$2:$G$3,1)))</f>
        <v/>
      </c>
      <c r="AL260" t="str">
        <f>IF($S260="","",IFERROR(MATCH($AK260,รายการมาตรฐาน!$G$2:$G$3,0),1))</f>
        <v/>
      </c>
      <c r="AM260" t="str">
        <f t="shared" si="103"/>
        <v/>
      </c>
      <c r="AN260" t="str">
        <f t="shared" si="104"/>
        <v/>
      </c>
      <c r="AO260">
        <f t="shared" si="105"/>
        <v>0</v>
      </c>
      <c r="AP260">
        <f t="shared" si="111"/>
        <v>0</v>
      </c>
      <c r="AQ260" t="str">
        <f t="shared" si="106"/>
        <v/>
      </c>
      <c r="AR260">
        <f>IF($Y260="",0,COUNTIF(บันทึกรายเที่ยว!$V$6:$V$10005,$Y260))</f>
        <v>0</v>
      </c>
      <c r="AS260">
        <f>IF($Y260="",0,ROUND(SUMIF(บันทึกรายเที่ยว!$V$6:$V$10005,$Y260,บันทึกรายเที่ยว!$M$6:$M$10005),2))</f>
        <v>0</v>
      </c>
      <c r="AT260">
        <f>IF($Y260="",0,IFERROR(INDEX(อัตราค่าขนส่ง!$J$5:$J$204,MATCH($Y260,อัตราค่าขนส่ง!$O$5:$O$204,0)),0))</f>
        <v>0</v>
      </c>
      <c r="AU260">
        <f t="shared" si="107"/>
        <v>0</v>
      </c>
      <c r="AV260">
        <f t="shared" si="108"/>
        <v>0</v>
      </c>
      <c r="AW260" t="str">
        <f>IF($Y260="","",IFERROR(INDEX(อัตราค่าขนส่ง!$F$5:$F$204,MATCH($Y260,อัตราค่าขนส่ง!$O$5:$O$204,0)),""))</f>
        <v/>
      </c>
      <c r="AX260" t="str">
        <f>IF($W260="","",INDEX(บันทึกรายเที่ยว!$D$6:$D$10005,$W260))</f>
        <v/>
      </c>
      <c r="AY260" t="str">
        <f>IF($W260="","",INDEX(บันทึกรายเที่ยว!$R$6:$R$10005,$W260))</f>
        <v/>
      </c>
      <c r="AZ260">
        <f t="shared" si="109"/>
        <v>0</v>
      </c>
      <c r="BA260" t="str">
        <f>IF($W260="","",INDEX(บันทึกรายเที่ยว!$E$6:$E$10005,$W260))</f>
        <v/>
      </c>
      <c r="BC260">
        <f>IF($Y260="",0,IFERROR(INDEX(อัตราค่าขนส่ง!$M$5:$M$204,MATCH($Y260,อัตราค่าขนส่ง!$O$5:$O$204,0)),0))</f>
        <v>0</v>
      </c>
      <c r="BD260">
        <f>IF($Y260="",0,IFERROR(INDEX(อัตราค่าขนส่ง!$N$5:$N$204,MATCH($Y260,อัตราค่าขนส่ง!$O$5:$O$204,0)),0))</f>
        <v>0</v>
      </c>
    </row>
    <row r="261" spans="1:56" ht="21" customHeight="1" x14ac:dyDescent="0.95">
      <c r="A261" s="36" t="str">
        <f>IF($AD261="","",IF($AD261="Z","รวมจ่ายทั้งสิ้น",IF($AD261="H",INDEX($X$5:$X$404,$AC261),IF($AD261="T","รวม",IF($AD261="B",IFERROR(INDEX(อัตราค่าขนส่ง!$U$5:$U$14,MATCH(INDEX($AM$5:$AM$404,$AC261),อัตราค่าขนส่ง!$T$5:$T$14,0)),"รวมกลุ่ม "&amp;INDEX($AM$5:$AM$404,$AC261)),INDEX($AY$5:$AY$404,$AC261))))))</f>
        <v/>
      </c>
      <c r="B261" s="31" t="str">
        <f t="shared" ref="B261:B324" si="112">IF($AD261&lt;&gt;"D","",INDEX($AW$5:$AW$404,$AC261))</f>
        <v/>
      </c>
      <c r="C261" s="8" t="str">
        <f t="shared" ref="C261:C324" si="113">IF($AD261&lt;&gt;"D","",INDEX($AX$5:$AX$404,$AC261))</f>
        <v/>
      </c>
      <c r="D261" s="37" t="str">
        <f t="shared" ref="D261:D324" si="114">IF($AD261&lt;&gt;"D","",INDEX($BA$5:$BA$404,$AC261))</f>
        <v/>
      </c>
      <c r="E261" s="31" t="str">
        <f t="shared" ref="E261:E324" si="115">IF($AD261="Z",SUM($AR$5:$AR$404),IF($AD261="D",INDEX($AR$5:$AR$404,$AC261),IF($AD261="T",SUMIF($X$5:$X$404,$AF261,$AR$5:$AR$404),IF($AD261="B",SUMIF($AN$5:$AN$404,$AQ261,$AR$5:$AR$404),""))))</f>
        <v/>
      </c>
      <c r="F261" s="32" t="str">
        <f t="shared" ref="F261:F324" si="116">IF($AD261="Z",ROUND(SUM($AS$5:$AS$404),2),IF($AD261="D",INDEX($AS$5:$AS$404,$AC261),IF($AD261="T",ROUND(SUMIF($X$5:$X$404,$AF261,$AS$5:$AS$404),2),IF($AD261="B",ROUND(SUMIF($AN$5:$AN$404,$AQ261,$AS$5:$AS$404),2),""))))</f>
        <v/>
      </c>
      <c r="G261" s="32" t="str">
        <f t="shared" ref="G261:G324" si="117">IF($AD261&lt;&gt;"D","",INDEX($AT$5:$AT$404,$AC261))</f>
        <v/>
      </c>
      <c r="H261" s="32" t="str">
        <f t="shared" ref="H261:H324" si="118">IF($AD261&lt;&gt;"D","",INDEX($BC$5:$BC$404,$AC261))</f>
        <v/>
      </c>
      <c r="I261" s="32" t="str">
        <f t="shared" ref="I261:I324" si="119">IF($AD261&lt;&gt;"D","",INDEX($BD$5:$BD$404,$AC261))</f>
        <v/>
      </c>
      <c r="J261" s="46" t="str">
        <f t="shared" ref="J261:J324" si="120">IF($AD261&lt;&gt;"D","",IF(N($B261)=0,"",ROUND($I261/$B261,4)))</f>
        <v/>
      </c>
      <c r="K261" s="32" t="str">
        <f t="shared" ref="K261:K324" si="121">IF($AD261="Z",ROUND(SUM($AU$5:$AU$404),2),IF($AD261="D",INDEX($AU$5:$AU$404,$AC261),IF($AD261="T",ROUND(SUMIF($X$5:$X$404,$AF261,$AU$5:$AU$404),2),IF($AD261="B",ROUND(SUMIF($AN$5:$AN$404,$AQ261,$AU$5:$AU$404),2),""))))</f>
        <v/>
      </c>
      <c r="L261" s="32" t="str">
        <f t="shared" ref="L261:L324" si="122">IF($AD261="Z",ROUND(SUM($AV$5:$AV$404),2),IF($AD261="D",INDEX($AV$5:$AV$404,$AC261),IF($AD261="T",ROUND(SUMIF($X$5:$X$404,$AF261,$AV$5:$AV$404),2),IF($AD261="B",ROUND(SUMIF($AN$5:$AN$404,$AQ261,$AV$5:$AV$404),2),""))))</f>
        <v/>
      </c>
      <c r="M261" s="32" t="str">
        <f t="shared" ref="M261:M324" si="123">IF($AD261="Z",ROUND(SUM($AJ$5:$AJ$704),2),IF($AD261="B",ROUND(SUMIF($AQ$5:$AQ$704,$AQ261,$AJ$5:$AJ$704),2),IF($AD261&lt;&gt;"T","",$AJ261)))</f>
        <v/>
      </c>
      <c r="N261" s="32" t="str">
        <f t="shared" ref="N261:N324" si="124">IF(OR($AD261="D",$AD261="T",$AD261="B",$AD261="Z"),ROUND(N($K261)-N($L261)-N($M261),2),"")</f>
        <v/>
      </c>
      <c r="O261" s="32" t="str">
        <f t="shared" ref="O261:O324" si="125">IF(OR($AD261="D",$AD261="T",$AD261="B",$AD261="Z"),IF(N($E261)=0,"",ROUND($F261/$E261,2)),"")</f>
        <v/>
      </c>
      <c r="Q261" t="str">
        <f>IFERROR(MATCH(257,บันทึกรายเที่ยว!$Z$6:$Z$10005,0),"")</f>
        <v/>
      </c>
      <c r="R261" t="str">
        <f>IF($Q261="","",INDEX(บันทึกรายเที่ยว!$V$6:$V$10005,$Q261))</f>
        <v/>
      </c>
      <c r="S261" t="str">
        <f>IF($Q261="","",INDEX(บันทึกรายเที่ยว!$F$6:$F$10005,$Q261))</f>
        <v/>
      </c>
      <c r="T261" t="str">
        <f>IF($Q261="","",MATCH($S261,บันทึกรายเที่ยว!$F$6:$F$10005,0))</f>
        <v/>
      </c>
      <c r="U261" t="str">
        <f>IF($Q261="","",$AL261*10000000+$T261*1000+257)</f>
        <v/>
      </c>
      <c r="V261" t="str">
        <f>IFERROR(MATCH(SMALL($U$5:$U$404,257),$U$5:$U$404,0),"")</f>
        <v/>
      </c>
      <c r="W261" t="str">
        <f t="shared" ref="W261:W324" si="126">IF($V261="","",INDEX($Q$5:$Q$404,$V261))</f>
        <v/>
      </c>
      <c r="X261" t="str">
        <f t="shared" ref="X261:X324" si="127">IF($V261="","",INDEX($S$5:$S$404,$V261))</f>
        <v/>
      </c>
      <c r="Y261" t="str">
        <f t="shared" ref="Y261:Y324" si="128">IF($V261="","",INDEX($R$5:$R$404,$V261))</f>
        <v/>
      </c>
      <c r="Z261">
        <f t="shared" si="110"/>
        <v>0</v>
      </c>
      <c r="AA261">
        <f t="shared" ref="AA261:AA324" si="129">IF($V261="",0,IF($V262="",1,IF($X262&lt;&gt;$X261,1,0)))</f>
        <v>0</v>
      </c>
      <c r="AB261">
        <f>IF($V261="",99999+257,$AB260+1+$Z260+$AA260+$AO260)</f>
        <v>100256</v>
      </c>
      <c r="AC261" t="str">
        <f>IFERROR(MATCH(257,$AB$5:$AB$404,1),"")</f>
        <v/>
      </c>
      <c r="AD261" t="str">
        <f>IF(257=$AI$1+1,"Z",IF($AC261="","",IF(INDEX($V$5:$V$404,$AC261)="","",IF(257&gt;INDEX($AB$5:$AB$404,$AC261)+INDEX($Z$5:$Z$404,$AC261)+INDEX($AA$5:$AA$404,$AC261)+INDEX($AO$5:$AO$404,$AC261),"",IF(257=INDEX($AB$5:$AB$404,$AC261)+INDEX($Z$5:$Z$404,$AC261),"D",IF(AND(INDEX($Z$5:$Z$404,$AC261)=1,257=INDEX($AB$5:$AB$404,$AC261)),"H",IF(AND(INDEX($AO$5:$AO$404,$AC261)=1,257=INDEX($AB$5:$AB$404,$AC261)+INDEX($Z$5:$Z$404,$AC261)+INDEX($AA$5:$AA$404,$AC261)+INDEX($AO$5:$AO$404,$AC261)),"B","T")))))))</f>
        <v/>
      </c>
      <c r="AF261" t="str">
        <f t="shared" ref="AF261:AF324" si="130">IF(OR($AD261="",$AD261="Z",$AD261="B"),"",INDEX($X$5:$X$404,$AC261))</f>
        <v/>
      </c>
      <c r="AJ261">
        <f>IF($AD261&lt;&gt;"T",0,ROUND(SUMIF(oil!$B$4:$B$63,$AF261,oil!$AE$4:$AE$63),2))</f>
        <v>0</v>
      </c>
      <c r="AK261" t="str">
        <f>IF($S261="","",IFERROR(INDEX(อัตราค่าขนส่ง!$R$5:$R$54,MATCH($S261,อัตราค่าขนส่ง!$Q$5:$Q$54,0)),INDEX(รายการมาตรฐาน!$G$2:$G$3,1)))</f>
        <v/>
      </c>
      <c r="AL261" t="str">
        <f>IF($S261="","",IFERROR(MATCH($AK261,รายการมาตรฐาน!$G$2:$G$3,0),1))</f>
        <v/>
      </c>
      <c r="AM261" t="str">
        <f t="shared" ref="AM261:AM324" si="131">IF($V261="","",INDEX($AK$5:$AK$404,$V261))</f>
        <v/>
      </c>
      <c r="AN261" t="str">
        <f t="shared" ref="AN261:AN324" si="132">IF($V261="","",INDEX($AL$5:$AL$404,$V261))</f>
        <v/>
      </c>
      <c r="AO261">
        <f t="shared" ref="AO261:AO324" si="133">IF(OR($V261="",$AI$2&lt;=1),0,IF($V262="",1,IF($AN262&lt;&gt;$AN261,1,0)))</f>
        <v>0</v>
      </c>
      <c r="AP261">
        <f t="shared" si="111"/>
        <v>0</v>
      </c>
      <c r="AQ261" t="str">
        <f t="shared" ref="AQ261:AQ324" si="134">IF(OR($AD261="",$AD261="Z"),"",INDEX($AN$5:$AN$404,$AC261))</f>
        <v/>
      </c>
      <c r="AR261">
        <f>IF($Y261="",0,COUNTIF(บันทึกรายเที่ยว!$V$6:$V$10005,$Y261))</f>
        <v>0</v>
      </c>
      <c r="AS261">
        <f>IF($Y261="",0,ROUND(SUMIF(บันทึกรายเที่ยว!$V$6:$V$10005,$Y261,บันทึกรายเที่ยว!$M$6:$M$10005),2))</f>
        <v>0</v>
      </c>
      <c r="AT261">
        <f>IF($Y261="",0,IFERROR(INDEX(อัตราค่าขนส่ง!$J$5:$J$204,MATCH($Y261,อัตราค่าขนส่ง!$O$5:$O$204,0)),0))</f>
        <v>0</v>
      </c>
      <c r="AU261">
        <f t="shared" ref="AU261:AU324" si="135">ROUND($AS261*$BD261,2)</f>
        <v>0</v>
      </c>
      <c r="AV261">
        <f t="shared" ref="AV261:AV324" si="136">ROUND($AU261*$BF$2/100,2)</f>
        <v>0</v>
      </c>
      <c r="AW261" t="str">
        <f>IF($Y261="","",IFERROR(INDEX(อัตราค่าขนส่ง!$F$5:$F$204,MATCH($Y261,อัตราค่าขนส่ง!$O$5:$O$204,0)),""))</f>
        <v/>
      </c>
      <c r="AX261" t="str">
        <f>IF($W261="","",INDEX(บันทึกรายเที่ยว!$D$6:$D$10005,$W261))</f>
        <v/>
      </c>
      <c r="AY261" t="str">
        <f>IF($W261="","",INDEX(บันทึกรายเที่ยว!$R$6:$R$10005,$W261))</f>
        <v/>
      </c>
      <c r="AZ261">
        <f t="shared" ref="AZ261:AZ324" si="137">IF(AND($AD261="T",$AQ261=1),N($AZ260)+1,N($AZ260))</f>
        <v>0</v>
      </c>
      <c r="BA261" t="str">
        <f>IF($W261="","",INDEX(บันทึกรายเที่ยว!$E$6:$E$10005,$W261))</f>
        <v/>
      </c>
      <c r="BC261">
        <f>IF($Y261="",0,IFERROR(INDEX(อัตราค่าขนส่ง!$M$5:$M$204,MATCH($Y261,อัตราค่าขนส่ง!$O$5:$O$204,0)),0))</f>
        <v>0</v>
      </c>
      <c r="BD261">
        <f>IF($Y261="",0,IFERROR(INDEX(อัตราค่าขนส่ง!$N$5:$N$204,MATCH($Y261,อัตราค่าขนส่ง!$O$5:$O$204,0)),0))</f>
        <v>0</v>
      </c>
    </row>
    <row r="262" spans="1:56" ht="21" customHeight="1" x14ac:dyDescent="0.95">
      <c r="A262" s="36" t="str">
        <f>IF($AD262="","",IF($AD262="Z","รวมจ่ายทั้งสิ้น",IF($AD262="H",INDEX($X$5:$X$404,$AC262),IF($AD262="T","รวม",IF($AD262="B",IFERROR(INDEX(อัตราค่าขนส่ง!$U$5:$U$14,MATCH(INDEX($AM$5:$AM$404,$AC262),อัตราค่าขนส่ง!$T$5:$T$14,0)),"รวมกลุ่ม "&amp;INDEX($AM$5:$AM$404,$AC262)),INDEX($AY$5:$AY$404,$AC262))))))</f>
        <v/>
      </c>
      <c r="B262" s="31" t="str">
        <f t="shared" si="112"/>
        <v/>
      </c>
      <c r="C262" s="8" t="str">
        <f t="shared" si="113"/>
        <v/>
      </c>
      <c r="D262" s="37" t="str">
        <f t="shared" si="114"/>
        <v/>
      </c>
      <c r="E262" s="31" t="str">
        <f t="shared" si="115"/>
        <v/>
      </c>
      <c r="F262" s="32" t="str">
        <f t="shared" si="116"/>
        <v/>
      </c>
      <c r="G262" s="32" t="str">
        <f t="shared" si="117"/>
        <v/>
      </c>
      <c r="H262" s="32" t="str">
        <f t="shared" si="118"/>
        <v/>
      </c>
      <c r="I262" s="32" t="str">
        <f t="shared" si="119"/>
        <v/>
      </c>
      <c r="J262" s="46" t="str">
        <f t="shared" si="120"/>
        <v/>
      </c>
      <c r="K262" s="32" t="str">
        <f t="shared" si="121"/>
        <v/>
      </c>
      <c r="L262" s="32" t="str">
        <f t="shared" si="122"/>
        <v/>
      </c>
      <c r="M262" s="32" t="str">
        <f t="shared" si="123"/>
        <v/>
      </c>
      <c r="N262" s="32" t="str">
        <f t="shared" si="124"/>
        <v/>
      </c>
      <c r="O262" s="32" t="str">
        <f t="shared" si="125"/>
        <v/>
      </c>
      <c r="Q262" t="str">
        <f>IFERROR(MATCH(258,บันทึกรายเที่ยว!$Z$6:$Z$10005,0),"")</f>
        <v/>
      </c>
      <c r="R262" t="str">
        <f>IF($Q262="","",INDEX(บันทึกรายเที่ยว!$V$6:$V$10005,$Q262))</f>
        <v/>
      </c>
      <c r="S262" t="str">
        <f>IF($Q262="","",INDEX(บันทึกรายเที่ยว!$F$6:$F$10005,$Q262))</f>
        <v/>
      </c>
      <c r="T262" t="str">
        <f>IF($Q262="","",MATCH($S262,บันทึกรายเที่ยว!$F$6:$F$10005,0))</f>
        <v/>
      </c>
      <c r="U262" t="str">
        <f>IF($Q262="","",$AL262*10000000+$T262*1000+258)</f>
        <v/>
      </c>
      <c r="V262" t="str">
        <f>IFERROR(MATCH(SMALL($U$5:$U$404,258),$U$5:$U$404,0),"")</f>
        <v/>
      </c>
      <c r="W262" t="str">
        <f t="shared" si="126"/>
        <v/>
      </c>
      <c r="X262" t="str">
        <f t="shared" si="127"/>
        <v/>
      </c>
      <c r="Y262" t="str">
        <f t="shared" si="128"/>
        <v/>
      </c>
      <c r="Z262">
        <f t="shared" ref="Z262:Z325" si="138">IF($V262="",0,IF($X262&lt;&gt;$X261,1,0))</f>
        <v>0</v>
      </c>
      <c r="AA262">
        <f t="shared" si="129"/>
        <v>0</v>
      </c>
      <c r="AB262">
        <f>IF($V262="",99999+258,$AB261+1+$Z261+$AA261+$AO261)</f>
        <v>100257</v>
      </c>
      <c r="AC262" t="str">
        <f>IFERROR(MATCH(258,$AB$5:$AB$404,1),"")</f>
        <v/>
      </c>
      <c r="AD262" t="str">
        <f>IF(258=$AI$1+1,"Z",IF($AC262="","",IF(INDEX($V$5:$V$404,$AC262)="","",IF(258&gt;INDEX($AB$5:$AB$404,$AC262)+INDEX($Z$5:$Z$404,$AC262)+INDEX($AA$5:$AA$404,$AC262)+INDEX($AO$5:$AO$404,$AC262),"",IF(258=INDEX($AB$5:$AB$404,$AC262)+INDEX($Z$5:$Z$404,$AC262),"D",IF(AND(INDEX($Z$5:$Z$404,$AC262)=1,258=INDEX($AB$5:$AB$404,$AC262)),"H",IF(AND(INDEX($AO$5:$AO$404,$AC262)=1,258=INDEX($AB$5:$AB$404,$AC262)+INDEX($Z$5:$Z$404,$AC262)+INDEX($AA$5:$AA$404,$AC262)+INDEX($AO$5:$AO$404,$AC262)),"B","T")))))))</f>
        <v/>
      </c>
      <c r="AF262" t="str">
        <f t="shared" si="130"/>
        <v/>
      </c>
      <c r="AJ262">
        <f>IF($AD262&lt;&gt;"T",0,ROUND(SUMIF(oil!$B$4:$B$63,$AF262,oil!$AE$4:$AE$63),2))</f>
        <v>0</v>
      </c>
      <c r="AK262" t="str">
        <f>IF($S262="","",IFERROR(INDEX(อัตราค่าขนส่ง!$R$5:$R$54,MATCH($S262,อัตราค่าขนส่ง!$Q$5:$Q$54,0)),INDEX(รายการมาตรฐาน!$G$2:$G$3,1)))</f>
        <v/>
      </c>
      <c r="AL262" t="str">
        <f>IF($S262="","",IFERROR(MATCH($AK262,รายการมาตรฐาน!$G$2:$G$3,0),1))</f>
        <v/>
      </c>
      <c r="AM262" t="str">
        <f t="shared" si="131"/>
        <v/>
      </c>
      <c r="AN262" t="str">
        <f t="shared" si="132"/>
        <v/>
      </c>
      <c r="AO262">
        <f t="shared" si="133"/>
        <v>0</v>
      </c>
      <c r="AP262">
        <f t="shared" ref="AP262:AP325" si="139">IF($V262="",0,IF($AN262&lt;&gt;$AN261,1,0))</f>
        <v>0</v>
      </c>
      <c r="AQ262" t="str">
        <f t="shared" si="134"/>
        <v/>
      </c>
      <c r="AR262">
        <f>IF($Y262="",0,COUNTIF(บันทึกรายเที่ยว!$V$6:$V$10005,$Y262))</f>
        <v>0</v>
      </c>
      <c r="AS262">
        <f>IF($Y262="",0,ROUND(SUMIF(บันทึกรายเที่ยว!$V$6:$V$10005,$Y262,บันทึกรายเที่ยว!$M$6:$M$10005),2))</f>
        <v>0</v>
      </c>
      <c r="AT262">
        <f>IF($Y262="",0,IFERROR(INDEX(อัตราค่าขนส่ง!$J$5:$J$204,MATCH($Y262,อัตราค่าขนส่ง!$O$5:$O$204,0)),0))</f>
        <v>0</v>
      </c>
      <c r="AU262">
        <f t="shared" si="135"/>
        <v>0</v>
      </c>
      <c r="AV262">
        <f t="shared" si="136"/>
        <v>0</v>
      </c>
      <c r="AW262" t="str">
        <f>IF($Y262="","",IFERROR(INDEX(อัตราค่าขนส่ง!$F$5:$F$204,MATCH($Y262,อัตราค่าขนส่ง!$O$5:$O$204,0)),""))</f>
        <v/>
      </c>
      <c r="AX262" t="str">
        <f>IF($W262="","",INDEX(บันทึกรายเที่ยว!$D$6:$D$10005,$W262))</f>
        <v/>
      </c>
      <c r="AY262" t="str">
        <f>IF($W262="","",INDEX(บันทึกรายเที่ยว!$R$6:$R$10005,$W262))</f>
        <v/>
      </c>
      <c r="AZ262">
        <f t="shared" si="137"/>
        <v>0</v>
      </c>
      <c r="BA262" t="str">
        <f>IF($W262="","",INDEX(บันทึกรายเที่ยว!$E$6:$E$10005,$W262))</f>
        <v/>
      </c>
      <c r="BC262">
        <f>IF($Y262="",0,IFERROR(INDEX(อัตราค่าขนส่ง!$M$5:$M$204,MATCH($Y262,อัตราค่าขนส่ง!$O$5:$O$204,0)),0))</f>
        <v>0</v>
      </c>
      <c r="BD262">
        <f>IF($Y262="",0,IFERROR(INDEX(อัตราค่าขนส่ง!$N$5:$N$204,MATCH($Y262,อัตราค่าขนส่ง!$O$5:$O$204,0)),0))</f>
        <v>0</v>
      </c>
    </row>
    <row r="263" spans="1:56" ht="21" customHeight="1" x14ac:dyDescent="0.95">
      <c r="A263" s="36" t="str">
        <f>IF($AD263="","",IF($AD263="Z","รวมจ่ายทั้งสิ้น",IF($AD263="H",INDEX($X$5:$X$404,$AC263),IF($AD263="T","รวม",IF($AD263="B",IFERROR(INDEX(อัตราค่าขนส่ง!$U$5:$U$14,MATCH(INDEX($AM$5:$AM$404,$AC263),อัตราค่าขนส่ง!$T$5:$T$14,0)),"รวมกลุ่ม "&amp;INDEX($AM$5:$AM$404,$AC263)),INDEX($AY$5:$AY$404,$AC263))))))</f>
        <v/>
      </c>
      <c r="B263" s="31" t="str">
        <f t="shared" si="112"/>
        <v/>
      </c>
      <c r="C263" s="8" t="str">
        <f t="shared" si="113"/>
        <v/>
      </c>
      <c r="D263" s="37" t="str">
        <f t="shared" si="114"/>
        <v/>
      </c>
      <c r="E263" s="31" t="str">
        <f t="shared" si="115"/>
        <v/>
      </c>
      <c r="F263" s="32" t="str">
        <f t="shared" si="116"/>
        <v/>
      </c>
      <c r="G263" s="32" t="str">
        <f t="shared" si="117"/>
        <v/>
      </c>
      <c r="H263" s="32" t="str">
        <f t="shared" si="118"/>
        <v/>
      </c>
      <c r="I263" s="32" t="str">
        <f t="shared" si="119"/>
        <v/>
      </c>
      <c r="J263" s="46" t="str">
        <f t="shared" si="120"/>
        <v/>
      </c>
      <c r="K263" s="32" t="str">
        <f t="shared" si="121"/>
        <v/>
      </c>
      <c r="L263" s="32" t="str">
        <f t="shared" si="122"/>
        <v/>
      </c>
      <c r="M263" s="32" t="str">
        <f t="shared" si="123"/>
        <v/>
      </c>
      <c r="N263" s="32" t="str">
        <f t="shared" si="124"/>
        <v/>
      </c>
      <c r="O263" s="32" t="str">
        <f t="shared" si="125"/>
        <v/>
      </c>
      <c r="Q263" t="str">
        <f>IFERROR(MATCH(259,บันทึกรายเที่ยว!$Z$6:$Z$10005,0),"")</f>
        <v/>
      </c>
      <c r="R263" t="str">
        <f>IF($Q263="","",INDEX(บันทึกรายเที่ยว!$V$6:$V$10005,$Q263))</f>
        <v/>
      </c>
      <c r="S263" t="str">
        <f>IF($Q263="","",INDEX(บันทึกรายเที่ยว!$F$6:$F$10005,$Q263))</f>
        <v/>
      </c>
      <c r="T263" t="str">
        <f>IF($Q263="","",MATCH($S263,บันทึกรายเที่ยว!$F$6:$F$10005,0))</f>
        <v/>
      </c>
      <c r="U263" t="str">
        <f>IF($Q263="","",$AL263*10000000+$T263*1000+259)</f>
        <v/>
      </c>
      <c r="V263" t="str">
        <f>IFERROR(MATCH(SMALL($U$5:$U$404,259),$U$5:$U$404,0),"")</f>
        <v/>
      </c>
      <c r="W263" t="str">
        <f t="shared" si="126"/>
        <v/>
      </c>
      <c r="X263" t="str">
        <f t="shared" si="127"/>
        <v/>
      </c>
      <c r="Y263" t="str">
        <f t="shared" si="128"/>
        <v/>
      </c>
      <c r="Z263">
        <f t="shared" si="138"/>
        <v>0</v>
      </c>
      <c r="AA263">
        <f t="shared" si="129"/>
        <v>0</v>
      </c>
      <c r="AB263">
        <f>IF($V263="",99999+259,$AB262+1+$Z262+$AA262+$AO262)</f>
        <v>100258</v>
      </c>
      <c r="AC263" t="str">
        <f>IFERROR(MATCH(259,$AB$5:$AB$404,1),"")</f>
        <v/>
      </c>
      <c r="AD263" t="str">
        <f>IF(259=$AI$1+1,"Z",IF($AC263="","",IF(INDEX($V$5:$V$404,$AC263)="","",IF(259&gt;INDEX($AB$5:$AB$404,$AC263)+INDEX($Z$5:$Z$404,$AC263)+INDEX($AA$5:$AA$404,$AC263)+INDEX($AO$5:$AO$404,$AC263),"",IF(259=INDEX($AB$5:$AB$404,$AC263)+INDEX($Z$5:$Z$404,$AC263),"D",IF(AND(INDEX($Z$5:$Z$404,$AC263)=1,259=INDEX($AB$5:$AB$404,$AC263)),"H",IF(AND(INDEX($AO$5:$AO$404,$AC263)=1,259=INDEX($AB$5:$AB$404,$AC263)+INDEX($Z$5:$Z$404,$AC263)+INDEX($AA$5:$AA$404,$AC263)+INDEX($AO$5:$AO$404,$AC263)),"B","T")))))))</f>
        <v/>
      </c>
      <c r="AF263" t="str">
        <f t="shared" si="130"/>
        <v/>
      </c>
      <c r="AJ263">
        <f>IF($AD263&lt;&gt;"T",0,ROUND(SUMIF(oil!$B$4:$B$63,$AF263,oil!$AE$4:$AE$63),2))</f>
        <v>0</v>
      </c>
      <c r="AK263" t="str">
        <f>IF($S263="","",IFERROR(INDEX(อัตราค่าขนส่ง!$R$5:$R$54,MATCH($S263,อัตราค่าขนส่ง!$Q$5:$Q$54,0)),INDEX(รายการมาตรฐาน!$G$2:$G$3,1)))</f>
        <v/>
      </c>
      <c r="AL263" t="str">
        <f>IF($S263="","",IFERROR(MATCH($AK263,รายการมาตรฐาน!$G$2:$G$3,0),1))</f>
        <v/>
      </c>
      <c r="AM263" t="str">
        <f t="shared" si="131"/>
        <v/>
      </c>
      <c r="AN263" t="str">
        <f t="shared" si="132"/>
        <v/>
      </c>
      <c r="AO263">
        <f t="shared" si="133"/>
        <v>0</v>
      </c>
      <c r="AP263">
        <f t="shared" si="139"/>
        <v>0</v>
      </c>
      <c r="AQ263" t="str">
        <f t="shared" si="134"/>
        <v/>
      </c>
      <c r="AR263">
        <f>IF($Y263="",0,COUNTIF(บันทึกรายเที่ยว!$V$6:$V$10005,$Y263))</f>
        <v>0</v>
      </c>
      <c r="AS263">
        <f>IF($Y263="",0,ROUND(SUMIF(บันทึกรายเที่ยว!$V$6:$V$10005,$Y263,บันทึกรายเที่ยว!$M$6:$M$10005),2))</f>
        <v>0</v>
      </c>
      <c r="AT263">
        <f>IF($Y263="",0,IFERROR(INDEX(อัตราค่าขนส่ง!$J$5:$J$204,MATCH($Y263,อัตราค่าขนส่ง!$O$5:$O$204,0)),0))</f>
        <v>0</v>
      </c>
      <c r="AU263">
        <f t="shared" si="135"/>
        <v>0</v>
      </c>
      <c r="AV263">
        <f t="shared" si="136"/>
        <v>0</v>
      </c>
      <c r="AW263" t="str">
        <f>IF($Y263="","",IFERROR(INDEX(อัตราค่าขนส่ง!$F$5:$F$204,MATCH($Y263,อัตราค่าขนส่ง!$O$5:$O$204,0)),""))</f>
        <v/>
      </c>
      <c r="AX263" t="str">
        <f>IF($W263="","",INDEX(บันทึกรายเที่ยว!$D$6:$D$10005,$W263))</f>
        <v/>
      </c>
      <c r="AY263" t="str">
        <f>IF($W263="","",INDEX(บันทึกรายเที่ยว!$R$6:$R$10005,$W263))</f>
        <v/>
      </c>
      <c r="AZ263">
        <f t="shared" si="137"/>
        <v>0</v>
      </c>
      <c r="BA263" t="str">
        <f>IF($W263="","",INDEX(บันทึกรายเที่ยว!$E$6:$E$10005,$W263))</f>
        <v/>
      </c>
      <c r="BC263">
        <f>IF($Y263="",0,IFERROR(INDEX(อัตราค่าขนส่ง!$M$5:$M$204,MATCH($Y263,อัตราค่าขนส่ง!$O$5:$O$204,0)),0))</f>
        <v>0</v>
      </c>
      <c r="BD263">
        <f>IF($Y263="",0,IFERROR(INDEX(อัตราค่าขนส่ง!$N$5:$N$204,MATCH($Y263,อัตราค่าขนส่ง!$O$5:$O$204,0)),0))</f>
        <v>0</v>
      </c>
    </row>
    <row r="264" spans="1:56" ht="21" customHeight="1" x14ac:dyDescent="0.95">
      <c r="A264" s="36" t="str">
        <f>IF($AD264="","",IF($AD264="Z","รวมจ่ายทั้งสิ้น",IF($AD264="H",INDEX($X$5:$X$404,$AC264),IF($AD264="T","รวม",IF($AD264="B",IFERROR(INDEX(อัตราค่าขนส่ง!$U$5:$U$14,MATCH(INDEX($AM$5:$AM$404,$AC264),อัตราค่าขนส่ง!$T$5:$T$14,0)),"รวมกลุ่ม "&amp;INDEX($AM$5:$AM$404,$AC264)),INDEX($AY$5:$AY$404,$AC264))))))</f>
        <v/>
      </c>
      <c r="B264" s="31" t="str">
        <f t="shared" si="112"/>
        <v/>
      </c>
      <c r="C264" s="8" t="str">
        <f t="shared" si="113"/>
        <v/>
      </c>
      <c r="D264" s="37" t="str">
        <f t="shared" si="114"/>
        <v/>
      </c>
      <c r="E264" s="31" t="str">
        <f t="shared" si="115"/>
        <v/>
      </c>
      <c r="F264" s="32" t="str">
        <f t="shared" si="116"/>
        <v/>
      </c>
      <c r="G264" s="32" t="str">
        <f t="shared" si="117"/>
        <v/>
      </c>
      <c r="H264" s="32" t="str">
        <f t="shared" si="118"/>
        <v/>
      </c>
      <c r="I264" s="32" t="str">
        <f t="shared" si="119"/>
        <v/>
      </c>
      <c r="J264" s="46" t="str">
        <f t="shared" si="120"/>
        <v/>
      </c>
      <c r="K264" s="32" t="str">
        <f t="shared" si="121"/>
        <v/>
      </c>
      <c r="L264" s="32" t="str">
        <f t="shared" si="122"/>
        <v/>
      </c>
      <c r="M264" s="32" t="str">
        <f t="shared" si="123"/>
        <v/>
      </c>
      <c r="N264" s="32" t="str">
        <f t="shared" si="124"/>
        <v/>
      </c>
      <c r="O264" s="32" t="str">
        <f t="shared" si="125"/>
        <v/>
      </c>
      <c r="Q264" t="str">
        <f>IFERROR(MATCH(260,บันทึกรายเที่ยว!$Z$6:$Z$10005,0),"")</f>
        <v/>
      </c>
      <c r="R264" t="str">
        <f>IF($Q264="","",INDEX(บันทึกรายเที่ยว!$V$6:$V$10005,$Q264))</f>
        <v/>
      </c>
      <c r="S264" t="str">
        <f>IF($Q264="","",INDEX(บันทึกรายเที่ยว!$F$6:$F$10005,$Q264))</f>
        <v/>
      </c>
      <c r="T264" t="str">
        <f>IF($Q264="","",MATCH($S264,บันทึกรายเที่ยว!$F$6:$F$10005,0))</f>
        <v/>
      </c>
      <c r="U264" t="str">
        <f>IF($Q264="","",$AL264*10000000+$T264*1000+260)</f>
        <v/>
      </c>
      <c r="V264" t="str">
        <f>IFERROR(MATCH(SMALL($U$5:$U$404,260),$U$5:$U$404,0),"")</f>
        <v/>
      </c>
      <c r="W264" t="str">
        <f t="shared" si="126"/>
        <v/>
      </c>
      <c r="X264" t="str">
        <f t="shared" si="127"/>
        <v/>
      </c>
      <c r="Y264" t="str">
        <f t="shared" si="128"/>
        <v/>
      </c>
      <c r="Z264">
        <f t="shared" si="138"/>
        <v>0</v>
      </c>
      <c r="AA264">
        <f t="shared" si="129"/>
        <v>0</v>
      </c>
      <c r="AB264">
        <f>IF($V264="",99999+260,$AB263+1+$Z263+$AA263+$AO263)</f>
        <v>100259</v>
      </c>
      <c r="AC264" t="str">
        <f>IFERROR(MATCH(260,$AB$5:$AB$404,1),"")</f>
        <v/>
      </c>
      <c r="AD264" t="str">
        <f>IF(260=$AI$1+1,"Z",IF($AC264="","",IF(INDEX($V$5:$V$404,$AC264)="","",IF(260&gt;INDEX($AB$5:$AB$404,$AC264)+INDEX($Z$5:$Z$404,$AC264)+INDEX($AA$5:$AA$404,$AC264)+INDEX($AO$5:$AO$404,$AC264),"",IF(260=INDEX($AB$5:$AB$404,$AC264)+INDEX($Z$5:$Z$404,$AC264),"D",IF(AND(INDEX($Z$5:$Z$404,$AC264)=1,260=INDEX($AB$5:$AB$404,$AC264)),"H",IF(AND(INDEX($AO$5:$AO$404,$AC264)=1,260=INDEX($AB$5:$AB$404,$AC264)+INDEX($Z$5:$Z$404,$AC264)+INDEX($AA$5:$AA$404,$AC264)+INDEX($AO$5:$AO$404,$AC264)),"B","T")))))))</f>
        <v/>
      </c>
      <c r="AF264" t="str">
        <f t="shared" si="130"/>
        <v/>
      </c>
      <c r="AJ264">
        <f>IF($AD264&lt;&gt;"T",0,ROUND(SUMIF(oil!$B$4:$B$63,$AF264,oil!$AE$4:$AE$63),2))</f>
        <v>0</v>
      </c>
      <c r="AK264" t="str">
        <f>IF($S264="","",IFERROR(INDEX(อัตราค่าขนส่ง!$R$5:$R$54,MATCH($S264,อัตราค่าขนส่ง!$Q$5:$Q$54,0)),INDEX(รายการมาตรฐาน!$G$2:$G$3,1)))</f>
        <v/>
      </c>
      <c r="AL264" t="str">
        <f>IF($S264="","",IFERROR(MATCH($AK264,รายการมาตรฐาน!$G$2:$G$3,0),1))</f>
        <v/>
      </c>
      <c r="AM264" t="str">
        <f t="shared" si="131"/>
        <v/>
      </c>
      <c r="AN264" t="str">
        <f t="shared" si="132"/>
        <v/>
      </c>
      <c r="AO264">
        <f t="shared" si="133"/>
        <v>0</v>
      </c>
      <c r="AP264">
        <f t="shared" si="139"/>
        <v>0</v>
      </c>
      <c r="AQ264" t="str">
        <f t="shared" si="134"/>
        <v/>
      </c>
      <c r="AR264">
        <f>IF($Y264="",0,COUNTIF(บันทึกรายเที่ยว!$V$6:$V$10005,$Y264))</f>
        <v>0</v>
      </c>
      <c r="AS264">
        <f>IF($Y264="",0,ROUND(SUMIF(บันทึกรายเที่ยว!$V$6:$V$10005,$Y264,บันทึกรายเที่ยว!$M$6:$M$10005),2))</f>
        <v>0</v>
      </c>
      <c r="AT264">
        <f>IF($Y264="",0,IFERROR(INDEX(อัตราค่าขนส่ง!$J$5:$J$204,MATCH($Y264,อัตราค่าขนส่ง!$O$5:$O$204,0)),0))</f>
        <v>0</v>
      </c>
      <c r="AU264">
        <f t="shared" si="135"/>
        <v>0</v>
      </c>
      <c r="AV264">
        <f t="shared" si="136"/>
        <v>0</v>
      </c>
      <c r="AW264" t="str">
        <f>IF($Y264="","",IFERROR(INDEX(อัตราค่าขนส่ง!$F$5:$F$204,MATCH($Y264,อัตราค่าขนส่ง!$O$5:$O$204,0)),""))</f>
        <v/>
      </c>
      <c r="AX264" t="str">
        <f>IF($W264="","",INDEX(บันทึกรายเที่ยว!$D$6:$D$10005,$W264))</f>
        <v/>
      </c>
      <c r="AY264" t="str">
        <f>IF($W264="","",INDEX(บันทึกรายเที่ยว!$R$6:$R$10005,$W264))</f>
        <v/>
      </c>
      <c r="AZ264">
        <f t="shared" si="137"/>
        <v>0</v>
      </c>
      <c r="BA264" t="str">
        <f>IF($W264="","",INDEX(บันทึกรายเที่ยว!$E$6:$E$10005,$W264))</f>
        <v/>
      </c>
      <c r="BC264">
        <f>IF($Y264="",0,IFERROR(INDEX(อัตราค่าขนส่ง!$M$5:$M$204,MATCH($Y264,อัตราค่าขนส่ง!$O$5:$O$204,0)),0))</f>
        <v>0</v>
      </c>
      <c r="BD264">
        <f>IF($Y264="",0,IFERROR(INDEX(อัตราค่าขนส่ง!$N$5:$N$204,MATCH($Y264,อัตราค่าขนส่ง!$O$5:$O$204,0)),0))</f>
        <v>0</v>
      </c>
    </row>
    <row r="265" spans="1:56" ht="21" customHeight="1" x14ac:dyDescent="0.95">
      <c r="A265" s="36" t="str">
        <f>IF($AD265="","",IF($AD265="Z","รวมจ่ายทั้งสิ้น",IF($AD265="H",INDEX($X$5:$X$404,$AC265),IF($AD265="T","รวม",IF($AD265="B",IFERROR(INDEX(อัตราค่าขนส่ง!$U$5:$U$14,MATCH(INDEX($AM$5:$AM$404,$AC265),อัตราค่าขนส่ง!$T$5:$T$14,0)),"รวมกลุ่ม "&amp;INDEX($AM$5:$AM$404,$AC265)),INDEX($AY$5:$AY$404,$AC265))))))</f>
        <v/>
      </c>
      <c r="B265" s="31" t="str">
        <f t="shared" si="112"/>
        <v/>
      </c>
      <c r="C265" s="8" t="str">
        <f t="shared" si="113"/>
        <v/>
      </c>
      <c r="D265" s="37" t="str">
        <f t="shared" si="114"/>
        <v/>
      </c>
      <c r="E265" s="31" t="str">
        <f t="shared" si="115"/>
        <v/>
      </c>
      <c r="F265" s="32" t="str">
        <f t="shared" si="116"/>
        <v/>
      </c>
      <c r="G265" s="32" t="str">
        <f t="shared" si="117"/>
        <v/>
      </c>
      <c r="H265" s="32" t="str">
        <f t="shared" si="118"/>
        <v/>
      </c>
      <c r="I265" s="32" t="str">
        <f t="shared" si="119"/>
        <v/>
      </c>
      <c r="J265" s="46" t="str">
        <f t="shared" si="120"/>
        <v/>
      </c>
      <c r="K265" s="32" t="str">
        <f t="shared" si="121"/>
        <v/>
      </c>
      <c r="L265" s="32" t="str">
        <f t="shared" si="122"/>
        <v/>
      </c>
      <c r="M265" s="32" t="str">
        <f t="shared" si="123"/>
        <v/>
      </c>
      <c r="N265" s="32" t="str">
        <f t="shared" si="124"/>
        <v/>
      </c>
      <c r="O265" s="32" t="str">
        <f t="shared" si="125"/>
        <v/>
      </c>
      <c r="Q265" t="str">
        <f>IFERROR(MATCH(261,บันทึกรายเที่ยว!$Z$6:$Z$10005,0),"")</f>
        <v/>
      </c>
      <c r="R265" t="str">
        <f>IF($Q265="","",INDEX(บันทึกรายเที่ยว!$V$6:$V$10005,$Q265))</f>
        <v/>
      </c>
      <c r="S265" t="str">
        <f>IF($Q265="","",INDEX(บันทึกรายเที่ยว!$F$6:$F$10005,$Q265))</f>
        <v/>
      </c>
      <c r="T265" t="str">
        <f>IF($Q265="","",MATCH($S265,บันทึกรายเที่ยว!$F$6:$F$10005,0))</f>
        <v/>
      </c>
      <c r="U265" t="str">
        <f>IF($Q265="","",$AL265*10000000+$T265*1000+261)</f>
        <v/>
      </c>
      <c r="V265" t="str">
        <f>IFERROR(MATCH(SMALL($U$5:$U$404,261),$U$5:$U$404,0),"")</f>
        <v/>
      </c>
      <c r="W265" t="str">
        <f t="shared" si="126"/>
        <v/>
      </c>
      <c r="X265" t="str">
        <f t="shared" si="127"/>
        <v/>
      </c>
      <c r="Y265" t="str">
        <f t="shared" si="128"/>
        <v/>
      </c>
      <c r="Z265">
        <f t="shared" si="138"/>
        <v>0</v>
      </c>
      <c r="AA265">
        <f t="shared" si="129"/>
        <v>0</v>
      </c>
      <c r="AB265">
        <f>IF($V265="",99999+261,$AB264+1+$Z264+$AA264+$AO264)</f>
        <v>100260</v>
      </c>
      <c r="AC265" t="str">
        <f>IFERROR(MATCH(261,$AB$5:$AB$404,1),"")</f>
        <v/>
      </c>
      <c r="AD265" t="str">
        <f>IF(261=$AI$1+1,"Z",IF($AC265="","",IF(INDEX($V$5:$V$404,$AC265)="","",IF(261&gt;INDEX($AB$5:$AB$404,$AC265)+INDEX($Z$5:$Z$404,$AC265)+INDEX($AA$5:$AA$404,$AC265)+INDEX($AO$5:$AO$404,$AC265),"",IF(261=INDEX($AB$5:$AB$404,$AC265)+INDEX($Z$5:$Z$404,$AC265),"D",IF(AND(INDEX($Z$5:$Z$404,$AC265)=1,261=INDEX($AB$5:$AB$404,$AC265)),"H",IF(AND(INDEX($AO$5:$AO$404,$AC265)=1,261=INDEX($AB$5:$AB$404,$AC265)+INDEX($Z$5:$Z$404,$AC265)+INDEX($AA$5:$AA$404,$AC265)+INDEX($AO$5:$AO$404,$AC265)),"B","T")))))))</f>
        <v/>
      </c>
      <c r="AF265" t="str">
        <f t="shared" si="130"/>
        <v/>
      </c>
      <c r="AJ265">
        <f>IF($AD265&lt;&gt;"T",0,ROUND(SUMIF(oil!$B$4:$B$63,$AF265,oil!$AE$4:$AE$63),2))</f>
        <v>0</v>
      </c>
      <c r="AK265" t="str">
        <f>IF($S265="","",IFERROR(INDEX(อัตราค่าขนส่ง!$R$5:$R$54,MATCH($S265,อัตราค่าขนส่ง!$Q$5:$Q$54,0)),INDEX(รายการมาตรฐาน!$G$2:$G$3,1)))</f>
        <v/>
      </c>
      <c r="AL265" t="str">
        <f>IF($S265="","",IFERROR(MATCH($AK265,รายการมาตรฐาน!$G$2:$G$3,0),1))</f>
        <v/>
      </c>
      <c r="AM265" t="str">
        <f t="shared" si="131"/>
        <v/>
      </c>
      <c r="AN265" t="str">
        <f t="shared" si="132"/>
        <v/>
      </c>
      <c r="AO265">
        <f t="shared" si="133"/>
        <v>0</v>
      </c>
      <c r="AP265">
        <f t="shared" si="139"/>
        <v>0</v>
      </c>
      <c r="AQ265" t="str">
        <f t="shared" si="134"/>
        <v/>
      </c>
      <c r="AR265">
        <f>IF($Y265="",0,COUNTIF(บันทึกรายเที่ยว!$V$6:$V$10005,$Y265))</f>
        <v>0</v>
      </c>
      <c r="AS265">
        <f>IF($Y265="",0,ROUND(SUMIF(บันทึกรายเที่ยว!$V$6:$V$10005,$Y265,บันทึกรายเที่ยว!$M$6:$M$10005),2))</f>
        <v>0</v>
      </c>
      <c r="AT265">
        <f>IF($Y265="",0,IFERROR(INDEX(อัตราค่าขนส่ง!$J$5:$J$204,MATCH($Y265,อัตราค่าขนส่ง!$O$5:$O$204,0)),0))</f>
        <v>0</v>
      </c>
      <c r="AU265">
        <f t="shared" si="135"/>
        <v>0</v>
      </c>
      <c r="AV265">
        <f t="shared" si="136"/>
        <v>0</v>
      </c>
      <c r="AW265" t="str">
        <f>IF($Y265="","",IFERROR(INDEX(อัตราค่าขนส่ง!$F$5:$F$204,MATCH($Y265,อัตราค่าขนส่ง!$O$5:$O$204,0)),""))</f>
        <v/>
      </c>
      <c r="AX265" t="str">
        <f>IF($W265="","",INDEX(บันทึกรายเที่ยว!$D$6:$D$10005,$W265))</f>
        <v/>
      </c>
      <c r="AY265" t="str">
        <f>IF($W265="","",INDEX(บันทึกรายเที่ยว!$R$6:$R$10005,$W265))</f>
        <v/>
      </c>
      <c r="AZ265">
        <f t="shared" si="137"/>
        <v>0</v>
      </c>
      <c r="BA265" t="str">
        <f>IF($W265="","",INDEX(บันทึกรายเที่ยว!$E$6:$E$10005,$W265))</f>
        <v/>
      </c>
      <c r="BC265">
        <f>IF($Y265="",0,IFERROR(INDEX(อัตราค่าขนส่ง!$M$5:$M$204,MATCH($Y265,อัตราค่าขนส่ง!$O$5:$O$204,0)),0))</f>
        <v>0</v>
      </c>
      <c r="BD265">
        <f>IF($Y265="",0,IFERROR(INDEX(อัตราค่าขนส่ง!$N$5:$N$204,MATCH($Y265,อัตราค่าขนส่ง!$O$5:$O$204,0)),0))</f>
        <v>0</v>
      </c>
    </row>
    <row r="266" spans="1:56" ht="21" customHeight="1" x14ac:dyDescent="0.95">
      <c r="A266" s="36" t="str">
        <f>IF($AD266="","",IF($AD266="Z","รวมจ่ายทั้งสิ้น",IF($AD266="H",INDEX($X$5:$X$404,$AC266),IF($AD266="T","รวม",IF($AD266="B",IFERROR(INDEX(อัตราค่าขนส่ง!$U$5:$U$14,MATCH(INDEX($AM$5:$AM$404,$AC266),อัตราค่าขนส่ง!$T$5:$T$14,0)),"รวมกลุ่ม "&amp;INDEX($AM$5:$AM$404,$AC266)),INDEX($AY$5:$AY$404,$AC266))))))</f>
        <v/>
      </c>
      <c r="B266" s="31" t="str">
        <f t="shared" si="112"/>
        <v/>
      </c>
      <c r="C266" s="8" t="str">
        <f t="shared" si="113"/>
        <v/>
      </c>
      <c r="D266" s="37" t="str">
        <f t="shared" si="114"/>
        <v/>
      </c>
      <c r="E266" s="31" t="str">
        <f t="shared" si="115"/>
        <v/>
      </c>
      <c r="F266" s="32" t="str">
        <f t="shared" si="116"/>
        <v/>
      </c>
      <c r="G266" s="32" t="str">
        <f t="shared" si="117"/>
        <v/>
      </c>
      <c r="H266" s="32" t="str">
        <f t="shared" si="118"/>
        <v/>
      </c>
      <c r="I266" s="32" t="str">
        <f t="shared" si="119"/>
        <v/>
      </c>
      <c r="J266" s="46" t="str">
        <f t="shared" si="120"/>
        <v/>
      </c>
      <c r="K266" s="32" t="str">
        <f t="shared" si="121"/>
        <v/>
      </c>
      <c r="L266" s="32" t="str">
        <f t="shared" si="122"/>
        <v/>
      </c>
      <c r="M266" s="32" t="str">
        <f t="shared" si="123"/>
        <v/>
      </c>
      <c r="N266" s="32" t="str">
        <f t="shared" si="124"/>
        <v/>
      </c>
      <c r="O266" s="32" t="str">
        <f t="shared" si="125"/>
        <v/>
      </c>
      <c r="Q266" t="str">
        <f>IFERROR(MATCH(262,บันทึกรายเที่ยว!$Z$6:$Z$10005,0),"")</f>
        <v/>
      </c>
      <c r="R266" t="str">
        <f>IF($Q266="","",INDEX(บันทึกรายเที่ยว!$V$6:$V$10005,$Q266))</f>
        <v/>
      </c>
      <c r="S266" t="str">
        <f>IF($Q266="","",INDEX(บันทึกรายเที่ยว!$F$6:$F$10005,$Q266))</f>
        <v/>
      </c>
      <c r="T266" t="str">
        <f>IF($Q266="","",MATCH($S266,บันทึกรายเที่ยว!$F$6:$F$10005,0))</f>
        <v/>
      </c>
      <c r="U266" t="str">
        <f>IF($Q266="","",$AL266*10000000+$T266*1000+262)</f>
        <v/>
      </c>
      <c r="V266" t="str">
        <f>IFERROR(MATCH(SMALL($U$5:$U$404,262),$U$5:$U$404,0),"")</f>
        <v/>
      </c>
      <c r="W266" t="str">
        <f t="shared" si="126"/>
        <v/>
      </c>
      <c r="X266" t="str">
        <f t="shared" si="127"/>
        <v/>
      </c>
      <c r="Y266" t="str">
        <f t="shared" si="128"/>
        <v/>
      </c>
      <c r="Z266">
        <f t="shared" si="138"/>
        <v>0</v>
      </c>
      <c r="AA266">
        <f t="shared" si="129"/>
        <v>0</v>
      </c>
      <c r="AB266">
        <f>IF($V266="",99999+262,$AB265+1+$Z265+$AA265+$AO265)</f>
        <v>100261</v>
      </c>
      <c r="AC266" t="str">
        <f>IFERROR(MATCH(262,$AB$5:$AB$404,1),"")</f>
        <v/>
      </c>
      <c r="AD266" t="str">
        <f>IF(262=$AI$1+1,"Z",IF($AC266="","",IF(INDEX($V$5:$V$404,$AC266)="","",IF(262&gt;INDEX($AB$5:$AB$404,$AC266)+INDEX($Z$5:$Z$404,$AC266)+INDEX($AA$5:$AA$404,$AC266)+INDEX($AO$5:$AO$404,$AC266),"",IF(262=INDEX($AB$5:$AB$404,$AC266)+INDEX($Z$5:$Z$404,$AC266),"D",IF(AND(INDEX($Z$5:$Z$404,$AC266)=1,262=INDEX($AB$5:$AB$404,$AC266)),"H",IF(AND(INDEX($AO$5:$AO$404,$AC266)=1,262=INDEX($AB$5:$AB$404,$AC266)+INDEX($Z$5:$Z$404,$AC266)+INDEX($AA$5:$AA$404,$AC266)+INDEX($AO$5:$AO$404,$AC266)),"B","T")))))))</f>
        <v/>
      </c>
      <c r="AF266" t="str">
        <f t="shared" si="130"/>
        <v/>
      </c>
      <c r="AJ266">
        <f>IF($AD266&lt;&gt;"T",0,ROUND(SUMIF(oil!$B$4:$B$63,$AF266,oil!$AE$4:$AE$63),2))</f>
        <v>0</v>
      </c>
      <c r="AK266" t="str">
        <f>IF($S266="","",IFERROR(INDEX(อัตราค่าขนส่ง!$R$5:$R$54,MATCH($S266,อัตราค่าขนส่ง!$Q$5:$Q$54,0)),INDEX(รายการมาตรฐาน!$G$2:$G$3,1)))</f>
        <v/>
      </c>
      <c r="AL266" t="str">
        <f>IF($S266="","",IFERROR(MATCH($AK266,รายการมาตรฐาน!$G$2:$G$3,0),1))</f>
        <v/>
      </c>
      <c r="AM266" t="str">
        <f t="shared" si="131"/>
        <v/>
      </c>
      <c r="AN266" t="str">
        <f t="shared" si="132"/>
        <v/>
      </c>
      <c r="AO266">
        <f t="shared" si="133"/>
        <v>0</v>
      </c>
      <c r="AP266">
        <f t="shared" si="139"/>
        <v>0</v>
      </c>
      <c r="AQ266" t="str">
        <f t="shared" si="134"/>
        <v/>
      </c>
      <c r="AR266">
        <f>IF($Y266="",0,COUNTIF(บันทึกรายเที่ยว!$V$6:$V$10005,$Y266))</f>
        <v>0</v>
      </c>
      <c r="AS266">
        <f>IF($Y266="",0,ROUND(SUMIF(บันทึกรายเที่ยว!$V$6:$V$10005,$Y266,บันทึกรายเที่ยว!$M$6:$M$10005),2))</f>
        <v>0</v>
      </c>
      <c r="AT266">
        <f>IF($Y266="",0,IFERROR(INDEX(อัตราค่าขนส่ง!$J$5:$J$204,MATCH($Y266,อัตราค่าขนส่ง!$O$5:$O$204,0)),0))</f>
        <v>0</v>
      </c>
      <c r="AU266">
        <f t="shared" si="135"/>
        <v>0</v>
      </c>
      <c r="AV266">
        <f t="shared" si="136"/>
        <v>0</v>
      </c>
      <c r="AW266" t="str">
        <f>IF($Y266="","",IFERROR(INDEX(อัตราค่าขนส่ง!$F$5:$F$204,MATCH($Y266,อัตราค่าขนส่ง!$O$5:$O$204,0)),""))</f>
        <v/>
      </c>
      <c r="AX266" t="str">
        <f>IF($W266="","",INDEX(บันทึกรายเที่ยว!$D$6:$D$10005,$W266))</f>
        <v/>
      </c>
      <c r="AY266" t="str">
        <f>IF($W266="","",INDEX(บันทึกรายเที่ยว!$R$6:$R$10005,$W266))</f>
        <v/>
      </c>
      <c r="AZ266">
        <f t="shared" si="137"/>
        <v>0</v>
      </c>
      <c r="BA266" t="str">
        <f>IF($W266="","",INDEX(บันทึกรายเที่ยว!$E$6:$E$10005,$W266))</f>
        <v/>
      </c>
      <c r="BC266">
        <f>IF($Y266="",0,IFERROR(INDEX(อัตราค่าขนส่ง!$M$5:$M$204,MATCH($Y266,อัตราค่าขนส่ง!$O$5:$O$204,0)),0))</f>
        <v>0</v>
      </c>
      <c r="BD266">
        <f>IF($Y266="",0,IFERROR(INDEX(อัตราค่าขนส่ง!$N$5:$N$204,MATCH($Y266,อัตราค่าขนส่ง!$O$5:$O$204,0)),0))</f>
        <v>0</v>
      </c>
    </row>
    <row r="267" spans="1:56" ht="21" customHeight="1" x14ac:dyDescent="0.95">
      <c r="A267" s="36" t="str">
        <f>IF($AD267="","",IF($AD267="Z","รวมจ่ายทั้งสิ้น",IF($AD267="H",INDEX($X$5:$X$404,$AC267),IF($AD267="T","รวม",IF($AD267="B",IFERROR(INDEX(อัตราค่าขนส่ง!$U$5:$U$14,MATCH(INDEX($AM$5:$AM$404,$AC267),อัตราค่าขนส่ง!$T$5:$T$14,0)),"รวมกลุ่ม "&amp;INDEX($AM$5:$AM$404,$AC267)),INDEX($AY$5:$AY$404,$AC267))))))</f>
        <v/>
      </c>
      <c r="B267" s="31" t="str">
        <f t="shared" si="112"/>
        <v/>
      </c>
      <c r="C267" s="8" t="str">
        <f t="shared" si="113"/>
        <v/>
      </c>
      <c r="D267" s="37" t="str">
        <f t="shared" si="114"/>
        <v/>
      </c>
      <c r="E267" s="31" t="str">
        <f t="shared" si="115"/>
        <v/>
      </c>
      <c r="F267" s="32" t="str">
        <f t="shared" si="116"/>
        <v/>
      </c>
      <c r="G267" s="32" t="str">
        <f t="shared" si="117"/>
        <v/>
      </c>
      <c r="H267" s="32" t="str">
        <f t="shared" si="118"/>
        <v/>
      </c>
      <c r="I267" s="32" t="str">
        <f t="shared" si="119"/>
        <v/>
      </c>
      <c r="J267" s="46" t="str">
        <f t="shared" si="120"/>
        <v/>
      </c>
      <c r="K267" s="32" t="str">
        <f t="shared" si="121"/>
        <v/>
      </c>
      <c r="L267" s="32" t="str">
        <f t="shared" si="122"/>
        <v/>
      </c>
      <c r="M267" s="32" t="str">
        <f t="shared" si="123"/>
        <v/>
      </c>
      <c r="N267" s="32" t="str">
        <f t="shared" si="124"/>
        <v/>
      </c>
      <c r="O267" s="32" t="str">
        <f t="shared" si="125"/>
        <v/>
      </c>
      <c r="Q267" t="str">
        <f>IFERROR(MATCH(263,บันทึกรายเที่ยว!$Z$6:$Z$10005,0),"")</f>
        <v/>
      </c>
      <c r="R267" t="str">
        <f>IF($Q267="","",INDEX(บันทึกรายเที่ยว!$V$6:$V$10005,$Q267))</f>
        <v/>
      </c>
      <c r="S267" t="str">
        <f>IF($Q267="","",INDEX(บันทึกรายเที่ยว!$F$6:$F$10005,$Q267))</f>
        <v/>
      </c>
      <c r="T267" t="str">
        <f>IF($Q267="","",MATCH($S267,บันทึกรายเที่ยว!$F$6:$F$10005,0))</f>
        <v/>
      </c>
      <c r="U267" t="str">
        <f>IF($Q267="","",$AL267*10000000+$T267*1000+263)</f>
        <v/>
      </c>
      <c r="V267" t="str">
        <f>IFERROR(MATCH(SMALL($U$5:$U$404,263),$U$5:$U$404,0),"")</f>
        <v/>
      </c>
      <c r="W267" t="str">
        <f t="shared" si="126"/>
        <v/>
      </c>
      <c r="X267" t="str">
        <f t="shared" si="127"/>
        <v/>
      </c>
      <c r="Y267" t="str">
        <f t="shared" si="128"/>
        <v/>
      </c>
      <c r="Z267">
        <f t="shared" si="138"/>
        <v>0</v>
      </c>
      <c r="AA267">
        <f t="shared" si="129"/>
        <v>0</v>
      </c>
      <c r="AB267">
        <f>IF($V267="",99999+263,$AB266+1+$Z266+$AA266+$AO266)</f>
        <v>100262</v>
      </c>
      <c r="AC267" t="str">
        <f>IFERROR(MATCH(263,$AB$5:$AB$404,1),"")</f>
        <v/>
      </c>
      <c r="AD267" t="str">
        <f>IF(263=$AI$1+1,"Z",IF($AC267="","",IF(INDEX($V$5:$V$404,$AC267)="","",IF(263&gt;INDEX($AB$5:$AB$404,$AC267)+INDEX($Z$5:$Z$404,$AC267)+INDEX($AA$5:$AA$404,$AC267)+INDEX($AO$5:$AO$404,$AC267),"",IF(263=INDEX($AB$5:$AB$404,$AC267)+INDEX($Z$5:$Z$404,$AC267),"D",IF(AND(INDEX($Z$5:$Z$404,$AC267)=1,263=INDEX($AB$5:$AB$404,$AC267)),"H",IF(AND(INDEX($AO$5:$AO$404,$AC267)=1,263=INDEX($AB$5:$AB$404,$AC267)+INDEX($Z$5:$Z$404,$AC267)+INDEX($AA$5:$AA$404,$AC267)+INDEX($AO$5:$AO$404,$AC267)),"B","T")))))))</f>
        <v/>
      </c>
      <c r="AF267" t="str">
        <f t="shared" si="130"/>
        <v/>
      </c>
      <c r="AJ267">
        <f>IF($AD267&lt;&gt;"T",0,ROUND(SUMIF(oil!$B$4:$B$63,$AF267,oil!$AE$4:$AE$63),2))</f>
        <v>0</v>
      </c>
      <c r="AK267" t="str">
        <f>IF($S267="","",IFERROR(INDEX(อัตราค่าขนส่ง!$R$5:$R$54,MATCH($S267,อัตราค่าขนส่ง!$Q$5:$Q$54,0)),INDEX(รายการมาตรฐาน!$G$2:$G$3,1)))</f>
        <v/>
      </c>
      <c r="AL267" t="str">
        <f>IF($S267="","",IFERROR(MATCH($AK267,รายการมาตรฐาน!$G$2:$G$3,0),1))</f>
        <v/>
      </c>
      <c r="AM267" t="str">
        <f t="shared" si="131"/>
        <v/>
      </c>
      <c r="AN267" t="str">
        <f t="shared" si="132"/>
        <v/>
      </c>
      <c r="AO267">
        <f t="shared" si="133"/>
        <v>0</v>
      </c>
      <c r="AP267">
        <f t="shared" si="139"/>
        <v>0</v>
      </c>
      <c r="AQ267" t="str">
        <f t="shared" si="134"/>
        <v/>
      </c>
      <c r="AR267">
        <f>IF($Y267="",0,COUNTIF(บันทึกรายเที่ยว!$V$6:$V$10005,$Y267))</f>
        <v>0</v>
      </c>
      <c r="AS267">
        <f>IF($Y267="",0,ROUND(SUMIF(บันทึกรายเที่ยว!$V$6:$V$10005,$Y267,บันทึกรายเที่ยว!$M$6:$M$10005),2))</f>
        <v>0</v>
      </c>
      <c r="AT267">
        <f>IF($Y267="",0,IFERROR(INDEX(อัตราค่าขนส่ง!$J$5:$J$204,MATCH($Y267,อัตราค่าขนส่ง!$O$5:$O$204,0)),0))</f>
        <v>0</v>
      </c>
      <c r="AU267">
        <f t="shared" si="135"/>
        <v>0</v>
      </c>
      <c r="AV267">
        <f t="shared" si="136"/>
        <v>0</v>
      </c>
      <c r="AW267" t="str">
        <f>IF($Y267="","",IFERROR(INDEX(อัตราค่าขนส่ง!$F$5:$F$204,MATCH($Y267,อัตราค่าขนส่ง!$O$5:$O$204,0)),""))</f>
        <v/>
      </c>
      <c r="AX267" t="str">
        <f>IF($W267="","",INDEX(บันทึกรายเที่ยว!$D$6:$D$10005,$W267))</f>
        <v/>
      </c>
      <c r="AY267" t="str">
        <f>IF($W267="","",INDEX(บันทึกรายเที่ยว!$R$6:$R$10005,$W267))</f>
        <v/>
      </c>
      <c r="AZ267">
        <f t="shared" si="137"/>
        <v>0</v>
      </c>
      <c r="BA267" t="str">
        <f>IF($W267="","",INDEX(บันทึกรายเที่ยว!$E$6:$E$10005,$W267))</f>
        <v/>
      </c>
      <c r="BC267">
        <f>IF($Y267="",0,IFERROR(INDEX(อัตราค่าขนส่ง!$M$5:$M$204,MATCH($Y267,อัตราค่าขนส่ง!$O$5:$O$204,0)),0))</f>
        <v>0</v>
      </c>
      <c r="BD267">
        <f>IF($Y267="",0,IFERROR(INDEX(อัตราค่าขนส่ง!$N$5:$N$204,MATCH($Y267,อัตราค่าขนส่ง!$O$5:$O$204,0)),0))</f>
        <v>0</v>
      </c>
    </row>
    <row r="268" spans="1:56" ht="21" customHeight="1" x14ac:dyDescent="0.95">
      <c r="A268" s="36" t="str">
        <f>IF($AD268="","",IF($AD268="Z","รวมจ่ายทั้งสิ้น",IF($AD268="H",INDEX($X$5:$X$404,$AC268),IF($AD268="T","รวม",IF($AD268="B",IFERROR(INDEX(อัตราค่าขนส่ง!$U$5:$U$14,MATCH(INDEX($AM$5:$AM$404,$AC268),อัตราค่าขนส่ง!$T$5:$T$14,0)),"รวมกลุ่ม "&amp;INDEX($AM$5:$AM$404,$AC268)),INDEX($AY$5:$AY$404,$AC268))))))</f>
        <v/>
      </c>
      <c r="B268" s="31" t="str">
        <f t="shared" si="112"/>
        <v/>
      </c>
      <c r="C268" s="8" t="str">
        <f t="shared" si="113"/>
        <v/>
      </c>
      <c r="D268" s="37" t="str">
        <f t="shared" si="114"/>
        <v/>
      </c>
      <c r="E268" s="31" t="str">
        <f t="shared" si="115"/>
        <v/>
      </c>
      <c r="F268" s="32" t="str">
        <f t="shared" si="116"/>
        <v/>
      </c>
      <c r="G268" s="32" t="str">
        <f t="shared" si="117"/>
        <v/>
      </c>
      <c r="H268" s="32" t="str">
        <f t="shared" si="118"/>
        <v/>
      </c>
      <c r="I268" s="32" t="str">
        <f t="shared" si="119"/>
        <v/>
      </c>
      <c r="J268" s="46" t="str">
        <f t="shared" si="120"/>
        <v/>
      </c>
      <c r="K268" s="32" t="str">
        <f t="shared" si="121"/>
        <v/>
      </c>
      <c r="L268" s="32" t="str">
        <f t="shared" si="122"/>
        <v/>
      </c>
      <c r="M268" s="32" t="str">
        <f t="shared" si="123"/>
        <v/>
      </c>
      <c r="N268" s="32" t="str">
        <f t="shared" si="124"/>
        <v/>
      </c>
      <c r="O268" s="32" t="str">
        <f t="shared" si="125"/>
        <v/>
      </c>
      <c r="Q268" t="str">
        <f>IFERROR(MATCH(264,บันทึกรายเที่ยว!$Z$6:$Z$10005,0),"")</f>
        <v/>
      </c>
      <c r="R268" t="str">
        <f>IF($Q268="","",INDEX(บันทึกรายเที่ยว!$V$6:$V$10005,$Q268))</f>
        <v/>
      </c>
      <c r="S268" t="str">
        <f>IF($Q268="","",INDEX(บันทึกรายเที่ยว!$F$6:$F$10005,$Q268))</f>
        <v/>
      </c>
      <c r="T268" t="str">
        <f>IF($Q268="","",MATCH($S268,บันทึกรายเที่ยว!$F$6:$F$10005,0))</f>
        <v/>
      </c>
      <c r="U268" t="str">
        <f>IF($Q268="","",$AL268*10000000+$T268*1000+264)</f>
        <v/>
      </c>
      <c r="V268" t="str">
        <f>IFERROR(MATCH(SMALL($U$5:$U$404,264),$U$5:$U$404,0),"")</f>
        <v/>
      </c>
      <c r="W268" t="str">
        <f t="shared" si="126"/>
        <v/>
      </c>
      <c r="X268" t="str">
        <f t="shared" si="127"/>
        <v/>
      </c>
      <c r="Y268" t="str">
        <f t="shared" si="128"/>
        <v/>
      </c>
      <c r="Z268">
        <f t="shared" si="138"/>
        <v>0</v>
      </c>
      <c r="AA268">
        <f t="shared" si="129"/>
        <v>0</v>
      </c>
      <c r="AB268">
        <f>IF($V268="",99999+264,$AB267+1+$Z267+$AA267+$AO267)</f>
        <v>100263</v>
      </c>
      <c r="AC268" t="str">
        <f>IFERROR(MATCH(264,$AB$5:$AB$404,1),"")</f>
        <v/>
      </c>
      <c r="AD268" t="str">
        <f>IF(264=$AI$1+1,"Z",IF($AC268="","",IF(INDEX($V$5:$V$404,$AC268)="","",IF(264&gt;INDEX($AB$5:$AB$404,$AC268)+INDEX($Z$5:$Z$404,$AC268)+INDEX($AA$5:$AA$404,$AC268)+INDEX($AO$5:$AO$404,$AC268),"",IF(264=INDEX($AB$5:$AB$404,$AC268)+INDEX($Z$5:$Z$404,$AC268),"D",IF(AND(INDEX($Z$5:$Z$404,$AC268)=1,264=INDEX($AB$5:$AB$404,$AC268)),"H",IF(AND(INDEX($AO$5:$AO$404,$AC268)=1,264=INDEX($AB$5:$AB$404,$AC268)+INDEX($Z$5:$Z$404,$AC268)+INDEX($AA$5:$AA$404,$AC268)+INDEX($AO$5:$AO$404,$AC268)),"B","T")))))))</f>
        <v/>
      </c>
      <c r="AF268" t="str">
        <f t="shared" si="130"/>
        <v/>
      </c>
      <c r="AJ268">
        <f>IF($AD268&lt;&gt;"T",0,ROUND(SUMIF(oil!$B$4:$B$63,$AF268,oil!$AE$4:$AE$63),2))</f>
        <v>0</v>
      </c>
      <c r="AK268" t="str">
        <f>IF($S268="","",IFERROR(INDEX(อัตราค่าขนส่ง!$R$5:$R$54,MATCH($S268,อัตราค่าขนส่ง!$Q$5:$Q$54,0)),INDEX(รายการมาตรฐาน!$G$2:$G$3,1)))</f>
        <v/>
      </c>
      <c r="AL268" t="str">
        <f>IF($S268="","",IFERROR(MATCH($AK268,รายการมาตรฐาน!$G$2:$G$3,0),1))</f>
        <v/>
      </c>
      <c r="AM268" t="str">
        <f t="shared" si="131"/>
        <v/>
      </c>
      <c r="AN268" t="str">
        <f t="shared" si="132"/>
        <v/>
      </c>
      <c r="AO268">
        <f t="shared" si="133"/>
        <v>0</v>
      </c>
      <c r="AP268">
        <f t="shared" si="139"/>
        <v>0</v>
      </c>
      <c r="AQ268" t="str">
        <f t="shared" si="134"/>
        <v/>
      </c>
      <c r="AR268">
        <f>IF($Y268="",0,COUNTIF(บันทึกรายเที่ยว!$V$6:$V$10005,$Y268))</f>
        <v>0</v>
      </c>
      <c r="AS268">
        <f>IF($Y268="",0,ROUND(SUMIF(บันทึกรายเที่ยว!$V$6:$V$10005,$Y268,บันทึกรายเที่ยว!$M$6:$M$10005),2))</f>
        <v>0</v>
      </c>
      <c r="AT268">
        <f>IF($Y268="",0,IFERROR(INDEX(อัตราค่าขนส่ง!$J$5:$J$204,MATCH($Y268,อัตราค่าขนส่ง!$O$5:$O$204,0)),0))</f>
        <v>0</v>
      </c>
      <c r="AU268">
        <f t="shared" si="135"/>
        <v>0</v>
      </c>
      <c r="AV268">
        <f t="shared" si="136"/>
        <v>0</v>
      </c>
      <c r="AW268" t="str">
        <f>IF($Y268="","",IFERROR(INDEX(อัตราค่าขนส่ง!$F$5:$F$204,MATCH($Y268,อัตราค่าขนส่ง!$O$5:$O$204,0)),""))</f>
        <v/>
      </c>
      <c r="AX268" t="str">
        <f>IF($W268="","",INDEX(บันทึกรายเที่ยว!$D$6:$D$10005,$W268))</f>
        <v/>
      </c>
      <c r="AY268" t="str">
        <f>IF($W268="","",INDEX(บันทึกรายเที่ยว!$R$6:$R$10005,$W268))</f>
        <v/>
      </c>
      <c r="AZ268">
        <f t="shared" si="137"/>
        <v>0</v>
      </c>
      <c r="BA268" t="str">
        <f>IF($W268="","",INDEX(บันทึกรายเที่ยว!$E$6:$E$10005,$W268))</f>
        <v/>
      </c>
      <c r="BC268">
        <f>IF($Y268="",0,IFERROR(INDEX(อัตราค่าขนส่ง!$M$5:$M$204,MATCH($Y268,อัตราค่าขนส่ง!$O$5:$O$204,0)),0))</f>
        <v>0</v>
      </c>
      <c r="BD268">
        <f>IF($Y268="",0,IFERROR(INDEX(อัตราค่าขนส่ง!$N$5:$N$204,MATCH($Y268,อัตราค่าขนส่ง!$O$5:$O$204,0)),0))</f>
        <v>0</v>
      </c>
    </row>
    <row r="269" spans="1:56" ht="21" customHeight="1" x14ac:dyDescent="0.95">
      <c r="A269" s="36" t="str">
        <f>IF($AD269="","",IF($AD269="Z","รวมจ่ายทั้งสิ้น",IF($AD269="H",INDEX($X$5:$X$404,$AC269),IF($AD269="T","รวม",IF($AD269="B",IFERROR(INDEX(อัตราค่าขนส่ง!$U$5:$U$14,MATCH(INDEX($AM$5:$AM$404,$AC269),อัตราค่าขนส่ง!$T$5:$T$14,0)),"รวมกลุ่ม "&amp;INDEX($AM$5:$AM$404,$AC269)),INDEX($AY$5:$AY$404,$AC269))))))</f>
        <v/>
      </c>
      <c r="B269" s="31" t="str">
        <f t="shared" si="112"/>
        <v/>
      </c>
      <c r="C269" s="8" t="str">
        <f t="shared" si="113"/>
        <v/>
      </c>
      <c r="D269" s="37" t="str">
        <f t="shared" si="114"/>
        <v/>
      </c>
      <c r="E269" s="31" t="str">
        <f t="shared" si="115"/>
        <v/>
      </c>
      <c r="F269" s="32" t="str">
        <f t="shared" si="116"/>
        <v/>
      </c>
      <c r="G269" s="32" t="str">
        <f t="shared" si="117"/>
        <v/>
      </c>
      <c r="H269" s="32" t="str">
        <f t="shared" si="118"/>
        <v/>
      </c>
      <c r="I269" s="32" t="str">
        <f t="shared" si="119"/>
        <v/>
      </c>
      <c r="J269" s="46" t="str">
        <f t="shared" si="120"/>
        <v/>
      </c>
      <c r="K269" s="32" t="str">
        <f t="shared" si="121"/>
        <v/>
      </c>
      <c r="L269" s="32" t="str">
        <f t="shared" si="122"/>
        <v/>
      </c>
      <c r="M269" s="32" t="str">
        <f t="shared" si="123"/>
        <v/>
      </c>
      <c r="N269" s="32" t="str">
        <f t="shared" si="124"/>
        <v/>
      </c>
      <c r="O269" s="32" t="str">
        <f t="shared" si="125"/>
        <v/>
      </c>
      <c r="Q269" t="str">
        <f>IFERROR(MATCH(265,บันทึกรายเที่ยว!$Z$6:$Z$10005,0),"")</f>
        <v/>
      </c>
      <c r="R269" t="str">
        <f>IF($Q269="","",INDEX(บันทึกรายเที่ยว!$V$6:$V$10005,$Q269))</f>
        <v/>
      </c>
      <c r="S269" t="str">
        <f>IF($Q269="","",INDEX(บันทึกรายเที่ยว!$F$6:$F$10005,$Q269))</f>
        <v/>
      </c>
      <c r="T269" t="str">
        <f>IF($Q269="","",MATCH($S269,บันทึกรายเที่ยว!$F$6:$F$10005,0))</f>
        <v/>
      </c>
      <c r="U269" t="str">
        <f>IF($Q269="","",$AL269*10000000+$T269*1000+265)</f>
        <v/>
      </c>
      <c r="V269" t="str">
        <f>IFERROR(MATCH(SMALL($U$5:$U$404,265),$U$5:$U$404,0),"")</f>
        <v/>
      </c>
      <c r="W269" t="str">
        <f t="shared" si="126"/>
        <v/>
      </c>
      <c r="X269" t="str">
        <f t="shared" si="127"/>
        <v/>
      </c>
      <c r="Y269" t="str">
        <f t="shared" si="128"/>
        <v/>
      </c>
      <c r="Z269">
        <f t="shared" si="138"/>
        <v>0</v>
      </c>
      <c r="AA269">
        <f t="shared" si="129"/>
        <v>0</v>
      </c>
      <c r="AB269">
        <f>IF($V269="",99999+265,$AB268+1+$Z268+$AA268+$AO268)</f>
        <v>100264</v>
      </c>
      <c r="AC269" t="str">
        <f>IFERROR(MATCH(265,$AB$5:$AB$404,1),"")</f>
        <v/>
      </c>
      <c r="AD269" t="str">
        <f>IF(265=$AI$1+1,"Z",IF($AC269="","",IF(INDEX($V$5:$V$404,$AC269)="","",IF(265&gt;INDEX($AB$5:$AB$404,$AC269)+INDEX($Z$5:$Z$404,$AC269)+INDEX($AA$5:$AA$404,$AC269)+INDEX($AO$5:$AO$404,$AC269),"",IF(265=INDEX($AB$5:$AB$404,$AC269)+INDEX($Z$5:$Z$404,$AC269),"D",IF(AND(INDEX($Z$5:$Z$404,$AC269)=1,265=INDEX($AB$5:$AB$404,$AC269)),"H",IF(AND(INDEX($AO$5:$AO$404,$AC269)=1,265=INDEX($AB$5:$AB$404,$AC269)+INDEX($Z$5:$Z$404,$AC269)+INDEX($AA$5:$AA$404,$AC269)+INDEX($AO$5:$AO$404,$AC269)),"B","T")))))))</f>
        <v/>
      </c>
      <c r="AF269" t="str">
        <f t="shared" si="130"/>
        <v/>
      </c>
      <c r="AJ269">
        <f>IF($AD269&lt;&gt;"T",0,ROUND(SUMIF(oil!$B$4:$B$63,$AF269,oil!$AE$4:$AE$63),2))</f>
        <v>0</v>
      </c>
      <c r="AK269" t="str">
        <f>IF($S269="","",IFERROR(INDEX(อัตราค่าขนส่ง!$R$5:$R$54,MATCH($S269,อัตราค่าขนส่ง!$Q$5:$Q$54,0)),INDEX(รายการมาตรฐาน!$G$2:$G$3,1)))</f>
        <v/>
      </c>
      <c r="AL269" t="str">
        <f>IF($S269="","",IFERROR(MATCH($AK269,รายการมาตรฐาน!$G$2:$G$3,0),1))</f>
        <v/>
      </c>
      <c r="AM269" t="str">
        <f t="shared" si="131"/>
        <v/>
      </c>
      <c r="AN269" t="str">
        <f t="shared" si="132"/>
        <v/>
      </c>
      <c r="AO269">
        <f t="shared" si="133"/>
        <v>0</v>
      </c>
      <c r="AP269">
        <f t="shared" si="139"/>
        <v>0</v>
      </c>
      <c r="AQ269" t="str">
        <f t="shared" si="134"/>
        <v/>
      </c>
      <c r="AR269">
        <f>IF($Y269="",0,COUNTIF(บันทึกรายเที่ยว!$V$6:$V$10005,$Y269))</f>
        <v>0</v>
      </c>
      <c r="AS269">
        <f>IF($Y269="",0,ROUND(SUMIF(บันทึกรายเที่ยว!$V$6:$V$10005,$Y269,บันทึกรายเที่ยว!$M$6:$M$10005),2))</f>
        <v>0</v>
      </c>
      <c r="AT269">
        <f>IF($Y269="",0,IFERROR(INDEX(อัตราค่าขนส่ง!$J$5:$J$204,MATCH($Y269,อัตราค่าขนส่ง!$O$5:$O$204,0)),0))</f>
        <v>0</v>
      </c>
      <c r="AU269">
        <f t="shared" si="135"/>
        <v>0</v>
      </c>
      <c r="AV269">
        <f t="shared" si="136"/>
        <v>0</v>
      </c>
      <c r="AW269" t="str">
        <f>IF($Y269="","",IFERROR(INDEX(อัตราค่าขนส่ง!$F$5:$F$204,MATCH($Y269,อัตราค่าขนส่ง!$O$5:$O$204,0)),""))</f>
        <v/>
      </c>
      <c r="AX269" t="str">
        <f>IF($W269="","",INDEX(บันทึกรายเที่ยว!$D$6:$D$10005,$W269))</f>
        <v/>
      </c>
      <c r="AY269" t="str">
        <f>IF($W269="","",INDEX(บันทึกรายเที่ยว!$R$6:$R$10005,$W269))</f>
        <v/>
      </c>
      <c r="AZ269">
        <f t="shared" si="137"/>
        <v>0</v>
      </c>
      <c r="BA269" t="str">
        <f>IF($W269="","",INDEX(บันทึกรายเที่ยว!$E$6:$E$10005,$W269))</f>
        <v/>
      </c>
      <c r="BC269">
        <f>IF($Y269="",0,IFERROR(INDEX(อัตราค่าขนส่ง!$M$5:$M$204,MATCH($Y269,อัตราค่าขนส่ง!$O$5:$O$204,0)),0))</f>
        <v>0</v>
      </c>
      <c r="BD269">
        <f>IF($Y269="",0,IFERROR(INDEX(อัตราค่าขนส่ง!$N$5:$N$204,MATCH($Y269,อัตราค่าขนส่ง!$O$5:$O$204,0)),0))</f>
        <v>0</v>
      </c>
    </row>
    <row r="270" spans="1:56" ht="21" customHeight="1" x14ac:dyDescent="0.95">
      <c r="A270" s="36" t="str">
        <f>IF($AD270="","",IF($AD270="Z","รวมจ่ายทั้งสิ้น",IF($AD270="H",INDEX($X$5:$X$404,$AC270),IF($AD270="T","รวม",IF($AD270="B",IFERROR(INDEX(อัตราค่าขนส่ง!$U$5:$U$14,MATCH(INDEX($AM$5:$AM$404,$AC270),อัตราค่าขนส่ง!$T$5:$T$14,0)),"รวมกลุ่ม "&amp;INDEX($AM$5:$AM$404,$AC270)),INDEX($AY$5:$AY$404,$AC270))))))</f>
        <v/>
      </c>
      <c r="B270" s="31" t="str">
        <f t="shared" si="112"/>
        <v/>
      </c>
      <c r="C270" s="8" t="str">
        <f t="shared" si="113"/>
        <v/>
      </c>
      <c r="D270" s="37" t="str">
        <f t="shared" si="114"/>
        <v/>
      </c>
      <c r="E270" s="31" t="str">
        <f t="shared" si="115"/>
        <v/>
      </c>
      <c r="F270" s="32" t="str">
        <f t="shared" si="116"/>
        <v/>
      </c>
      <c r="G270" s="32" t="str">
        <f t="shared" si="117"/>
        <v/>
      </c>
      <c r="H270" s="32" t="str">
        <f t="shared" si="118"/>
        <v/>
      </c>
      <c r="I270" s="32" t="str">
        <f t="shared" si="119"/>
        <v/>
      </c>
      <c r="J270" s="46" t="str">
        <f t="shared" si="120"/>
        <v/>
      </c>
      <c r="K270" s="32" t="str">
        <f t="shared" si="121"/>
        <v/>
      </c>
      <c r="L270" s="32" t="str">
        <f t="shared" si="122"/>
        <v/>
      </c>
      <c r="M270" s="32" t="str">
        <f t="shared" si="123"/>
        <v/>
      </c>
      <c r="N270" s="32" t="str">
        <f t="shared" si="124"/>
        <v/>
      </c>
      <c r="O270" s="32" t="str">
        <f t="shared" si="125"/>
        <v/>
      </c>
      <c r="Q270" t="str">
        <f>IFERROR(MATCH(266,บันทึกรายเที่ยว!$Z$6:$Z$10005,0),"")</f>
        <v/>
      </c>
      <c r="R270" t="str">
        <f>IF($Q270="","",INDEX(บันทึกรายเที่ยว!$V$6:$V$10005,$Q270))</f>
        <v/>
      </c>
      <c r="S270" t="str">
        <f>IF($Q270="","",INDEX(บันทึกรายเที่ยว!$F$6:$F$10005,$Q270))</f>
        <v/>
      </c>
      <c r="T270" t="str">
        <f>IF($Q270="","",MATCH($S270,บันทึกรายเที่ยว!$F$6:$F$10005,0))</f>
        <v/>
      </c>
      <c r="U270" t="str">
        <f>IF($Q270="","",$AL270*10000000+$T270*1000+266)</f>
        <v/>
      </c>
      <c r="V270" t="str">
        <f>IFERROR(MATCH(SMALL($U$5:$U$404,266),$U$5:$U$404,0),"")</f>
        <v/>
      </c>
      <c r="W270" t="str">
        <f t="shared" si="126"/>
        <v/>
      </c>
      <c r="X270" t="str">
        <f t="shared" si="127"/>
        <v/>
      </c>
      <c r="Y270" t="str">
        <f t="shared" si="128"/>
        <v/>
      </c>
      <c r="Z270">
        <f t="shared" si="138"/>
        <v>0</v>
      </c>
      <c r="AA270">
        <f t="shared" si="129"/>
        <v>0</v>
      </c>
      <c r="AB270">
        <f>IF($V270="",99999+266,$AB269+1+$Z269+$AA269+$AO269)</f>
        <v>100265</v>
      </c>
      <c r="AC270" t="str">
        <f>IFERROR(MATCH(266,$AB$5:$AB$404,1),"")</f>
        <v/>
      </c>
      <c r="AD270" t="str">
        <f>IF(266=$AI$1+1,"Z",IF($AC270="","",IF(INDEX($V$5:$V$404,$AC270)="","",IF(266&gt;INDEX($AB$5:$AB$404,$AC270)+INDEX($Z$5:$Z$404,$AC270)+INDEX($AA$5:$AA$404,$AC270)+INDEX($AO$5:$AO$404,$AC270),"",IF(266=INDEX($AB$5:$AB$404,$AC270)+INDEX($Z$5:$Z$404,$AC270),"D",IF(AND(INDEX($Z$5:$Z$404,$AC270)=1,266=INDEX($AB$5:$AB$404,$AC270)),"H",IF(AND(INDEX($AO$5:$AO$404,$AC270)=1,266=INDEX($AB$5:$AB$404,$AC270)+INDEX($Z$5:$Z$404,$AC270)+INDEX($AA$5:$AA$404,$AC270)+INDEX($AO$5:$AO$404,$AC270)),"B","T")))))))</f>
        <v/>
      </c>
      <c r="AF270" t="str">
        <f t="shared" si="130"/>
        <v/>
      </c>
      <c r="AJ270">
        <f>IF($AD270&lt;&gt;"T",0,ROUND(SUMIF(oil!$B$4:$B$63,$AF270,oil!$AE$4:$AE$63),2))</f>
        <v>0</v>
      </c>
      <c r="AK270" t="str">
        <f>IF($S270="","",IFERROR(INDEX(อัตราค่าขนส่ง!$R$5:$R$54,MATCH($S270,อัตราค่าขนส่ง!$Q$5:$Q$54,0)),INDEX(รายการมาตรฐาน!$G$2:$G$3,1)))</f>
        <v/>
      </c>
      <c r="AL270" t="str">
        <f>IF($S270="","",IFERROR(MATCH($AK270,รายการมาตรฐาน!$G$2:$G$3,0),1))</f>
        <v/>
      </c>
      <c r="AM270" t="str">
        <f t="shared" si="131"/>
        <v/>
      </c>
      <c r="AN270" t="str">
        <f t="shared" si="132"/>
        <v/>
      </c>
      <c r="AO270">
        <f t="shared" si="133"/>
        <v>0</v>
      </c>
      <c r="AP270">
        <f t="shared" si="139"/>
        <v>0</v>
      </c>
      <c r="AQ270" t="str">
        <f t="shared" si="134"/>
        <v/>
      </c>
      <c r="AR270">
        <f>IF($Y270="",0,COUNTIF(บันทึกรายเที่ยว!$V$6:$V$10005,$Y270))</f>
        <v>0</v>
      </c>
      <c r="AS270">
        <f>IF($Y270="",0,ROUND(SUMIF(บันทึกรายเที่ยว!$V$6:$V$10005,$Y270,บันทึกรายเที่ยว!$M$6:$M$10005),2))</f>
        <v>0</v>
      </c>
      <c r="AT270">
        <f>IF($Y270="",0,IFERROR(INDEX(อัตราค่าขนส่ง!$J$5:$J$204,MATCH($Y270,อัตราค่าขนส่ง!$O$5:$O$204,0)),0))</f>
        <v>0</v>
      </c>
      <c r="AU270">
        <f t="shared" si="135"/>
        <v>0</v>
      </c>
      <c r="AV270">
        <f t="shared" si="136"/>
        <v>0</v>
      </c>
      <c r="AW270" t="str">
        <f>IF($Y270="","",IFERROR(INDEX(อัตราค่าขนส่ง!$F$5:$F$204,MATCH($Y270,อัตราค่าขนส่ง!$O$5:$O$204,0)),""))</f>
        <v/>
      </c>
      <c r="AX270" t="str">
        <f>IF($W270="","",INDEX(บันทึกรายเที่ยว!$D$6:$D$10005,$W270))</f>
        <v/>
      </c>
      <c r="AY270" t="str">
        <f>IF($W270="","",INDEX(บันทึกรายเที่ยว!$R$6:$R$10005,$W270))</f>
        <v/>
      </c>
      <c r="AZ270">
        <f t="shared" si="137"/>
        <v>0</v>
      </c>
      <c r="BA270" t="str">
        <f>IF($W270="","",INDEX(บันทึกรายเที่ยว!$E$6:$E$10005,$W270))</f>
        <v/>
      </c>
      <c r="BC270">
        <f>IF($Y270="",0,IFERROR(INDEX(อัตราค่าขนส่ง!$M$5:$M$204,MATCH($Y270,อัตราค่าขนส่ง!$O$5:$O$204,0)),0))</f>
        <v>0</v>
      </c>
      <c r="BD270">
        <f>IF($Y270="",0,IFERROR(INDEX(อัตราค่าขนส่ง!$N$5:$N$204,MATCH($Y270,อัตราค่าขนส่ง!$O$5:$O$204,0)),0))</f>
        <v>0</v>
      </c>
    </row>
    <row r="271" spans="1:56" ht="21" customHeight="1" x14ac:dyDescent="0.95">
      <c r="A271" s="36" t="str">
        <f>IF($AD271="","",IF($AD271="Z","รวมจ่ายทั้งสิ้น",IF($AD271="H",INDEX($X$5:$X$404,$AC271),IF($AD271="T","รวม",IF($AD271="B",IFERROR(INDEX(อัตราค่าขนส่ง!$U$5:$U$14,MATCH(INDEX($AM$5:$AM$404,$AC271),อัตราค่าขนส่ง!$T$5:$T$14,0)),"รวมกลุ่ม "&amp;INDEX($AM$5:$AM$404,$AC271)),INDEX($AY$5:$AY$404,$AC271))))))</f>
        <v/>
      </c>
      <c r="B271" s="31" t="str">
        <f t="shared" si="112"/>
        <v/>
      </c>
      <c r="C271" s="8" t="str">
        <f t="shared" si="113"/>
        <v/>
      </c>
      <c r="D271" s="37" t="str">
        <f t="shared" si="114"/>
        <v/>
      </c>
      <c r="E271" s="31" t="str">
        <f t="shared" si="115"/>
        <v/>
      </c>
      <c r="F271" s="32" t="str">
        <f t="shared" si="116"/>
        <v/>
      </c>
      <c r="G271" s="32" t="str">
        <f t="shared" si="117"/>
        <v/>
      </c>
      <c r="H271" s="32" t="str">
        <f t="shared" si="118"/>
        <v/>
      </c>
      <c r="I271" s="32" t="str">
        <f t="shared" si="119"/>
        <v/>
      </c>
      <c r="J271" s="46" t="str">
        <f t="shared" si="120"/>
        <v/>
      </c>
      <c r="K271" s="32" t="str">
        <f t="shared" si="121"/>
        <v/>
      </c>
      <c r="L271" s="32" t="str">
        <f t="shared" si="122"/>
        <v/>
      </c>
      <c r="M271" s="32" t="str">
        <f t="shared" si="123"/>
        <v/>
      </c>
      <c r="N271" s="32" t="str">
        <f t="shared" si="124"/>
        <v/>
      </c>
      <c r="O271" s="32" t="str">
        <f t="shared" si="125"/>
        <v/>
      </c>
      <c r="Q271" t="str">
        <f>IFERROR(MATCH(267,บันทึกรายเที่ยว!$Z$6:$Z$10005,0),"")</f>
        <v/>
      </c>
      <c r="R271" t="str">
        <f>IF($Q271="","",INDEX(บันทึกรายเที่ยว!$V$6:$V$10005,$Q271))</f>
        <v/>
      </c>
      <c r="S271" t="str">
        <f>IF($Q271="","",INDEX(บันทึกรายเที่ยว!$F$6:$F$10005,$Q271))</f>
        <v/>
      </c>
      <c r="T271" t="str">
        <f>IF($Q271="","",MATCH($S271,บันทึกรายเที่ยว!$F$6:$F$10005,0))</f>
        <v/>
      </c>
      <c r="U271" t="str">
        <f>IF($Q271="","",$AL271*10000000+$T271*1000+267)</f>
        <v/>
      </c>
      <c r="V271" t="str">
        <f>IFERROR(MATCH(SMALL($U$5:$U$404,267),$U$5:$U$404,0),"")</f>
        <v/>
      </c>
      <c r="W271" t="str">
        <f t="shared" si="126"/>
        <v/>
      </c>
      <c r="X271" t="str">
        <f t="shared" si="127"/>
        <v/>
      </c>
      <c r="Y271" t="str">
        <f t="shared" si="128"/>
        <v/>
      </c>
      <c r="Z271">
        <f t="shared" si="138"/>
        <v>0</v>
      </c>
      <c r="AA271">
        <f t="shared" si="129"/>
        <v>0</v>
      </c>
      <c r="AB271">
        <f>IF($V271="",99999+267,$AB270+1+$Z270+$AA270+$AO270)</f>
        <v>100266</v>
      </c>
      <c r="AC271" t="str">
        <f>IFERROR(MATCH(267,$AB$5:$AB$404,1),"")</f>
        <v/>
      </c>
      <c r="AD271" t="str">
        <f>IF(267=$AI$1+1,"Z",IF($AC271="","",IF(INDEX($V$5:$V$404,$AC271)="","",IF(267&gt;INDEX($AB$5:$AB$404,$AC271)+INDEX($Z$5:$Z$404,$AC271)+INDEX($AA$5:$AA$404,$AC271)+INDEX($AO$5:$AO$404,$AC271),"",IF(267=INDEX($AB$5:$AB$404,$AC271)+INDEX($Z$5:$Z$404,$AC271),"D",IF(AND(INDEX($Z$5:$Z$404,$AC271)=1,267=INDEX($AB$5:$AB$404,$AC271)),"H",IF(AND(INDEX($AO$5:$AO$404,$AC271)=1,267=INDEX($AB$5:$AB$404,$AC271)+INDEX($Z$5:$Z$404,$AC271)+INDEX($AA$5:$AA$404,$AC271)+INDEX($AO$5:$AO$404,$AC271)),"B","T")))))))</f>
        <v/>
      </c>
      <c r="AF271" t="str">
        <f t="shared" si="130"/>
        <v/>
      </c>
      <c r="AJ271">
        <f>IF($AD271&lt;&gt;"T",0,ROUND(SUMIF(oil!$B$4:$B$63,$AF271,oil!$AE$4:$AE$63),2))</f>
        <v>0</v>
      </c>
      <c r="AK271" t="str">
        <f>IF($S271="","",IFERROR(INDEX(อัตราค่าขนส่ง!$R$5:$R$54,MATCH($S271,อัตราค่าขนส่ง!$Q$5:$Q$54,0)),INDEX(รายการมาตรฐาน!$G$2:$G$3,1)))</f>
        <v/>
      </c>
      <c r="AL271" t="str">
        <f>IF($S271="","",IFERROR(MATCH($AK271,รายการมาตรฐาน!$G$2:$G$3,0),1))</f>
        <v/>
      </c>
      <c r="AM271" t="str">
        <f t="shared" si="131"/>
        <v/>
      </c>
      <c r="AN271" t="str">
        <f t="shared" si="132"/>
        <v/>
      </c>
      <c r="AO271">
        <f t="shared" si="133"/>
        <v>0</v>
      </c>
      <c r="AP271">
        <f t="shared" si="139"/>
        <v>0</v>
      </c>
      <c r="AQ271" t="str">
        <f t="shared" si="134"/>
        <v/>
      </c>
      <c r="AR271">
        <f>IF($Y271="",0,COUNTIF(บันทึกรายเที่ยว!$V$6:$V$10005,$Y271))</f>
        <v>0</v>
      </c>
      <c r="AS271">
        <f>IF($Y271="",0,ROUND(SUMIF(บันทึกรายเที่ยว!$V$6:$V$10005,$Y271,บันทึกรายเที่ยว!$M$6:$M$10005),2))</f>
        <v>0</v>
      </c>
      <c r="AT271">
        <f>IF($Y271="",0,IFERROR(INDEX(อัตราค่าขนส่ง!$J$5:$J$204,MATCH($Y271,อัตราค่าขนส่ง!$O$5:$O$204,0)),0))</f>
        <v>0</v>
      </c>
      <c r="AU271">
        <f t="shared" si="135"/>
        <v>0</v>
      </c>
      <c r="AV271">
        <f t="shared" si="136"/>
        <v>0</v>
      </c>
      <c r="AW271" t="str">
        <f>IF($Y271="","",IFERROR(INDEX(อัตราค่าขนส่ง!$F$5:$F$204,MATCH($Y271,อัตราค่าขนส่ง!$O$5:$O$204,0)),""))</f>
        <v/>
      </c>
      <c r="AX271" t="str">
        <f>IF($W271="","",INDEX(บันทึกรายเที่ยว!$D$6:$D$10005,$W271))</f>
        <v/>
      </c>
      <c r="AY271" t="str">
        <f>IF($W271="","",INDEX(บันทึกรายเที่ยว!$R$6:$R$10005,$W271))</f>
        <v/>
      </c>
      <c r="AZ271">
        <f t="shared" si="137"/>
        <v>0</v>
      </c>
      <c r="BA271" t="str">
        <f>IF($W271="","",INDEX(บันทึกรายเที่ยว!$E$6:$E$10005,$W271))</f>
        <v/>
      </c>
      <c r="BC271">
        <f>IF($Y271="",0,IFERROR(INDEX(อัตราค่าขนส่ง!$M$5:$M$204,MATCH($Y271,อัตราค่าขนส่ง!$O$5:$O$204,0)),0))</f>
        <v>0</v>
      </c>
      <c r="BD271">
        <f>IF($Y271="",0,IFERROR(INDEX(อัตราค่าขนส่ง!$N$5:$N$204,MATCH($Y271,อัตราค่าขนส่ง!$O$5:$O$204,0)),0))</f>
        <v>0</v>
      </c>
    </row>
    <row r="272" spans="1:56" ht="21" customHeight="1" x14ac:dyDescent="0.95">
      <c r="A272" s="36" t="str">
        <f>IF($AD272="","",IF($AD272="Z","รวมจ่ายทั้งสิ้น",IF($AD272="H",INDEX($X$5:$X$404,$AC272),IF($AD272="T","รวม",IF($AD272="B",IFERROR(INDEX(อัตราค่าขนส่ง!$U$5:$U$14,MATCH(INDEX($AM$5:$AM$404,$AC272),อัตราค่าขนส่ง!$T$5:$T$14,0)),"รวมกลุ่ม "&amp;INDEX($AM$5:$AM$404,$AC272)),INDEX($AY$5:$AY$404,$AC272))))))</f>
        <v/>
      </c>
      <c r="B272" s="31" t="str">
        <f t="shared" si="112"/>
        <v/>
      </c>
      <c r="C272" s="8" t="str">
        <f t="shared" si="113"/>
        <v/>
      </c>
      <c r="D272" s="37" t="str">
        <f t="shared" si="114"/>
        <v/>
      </c>
      <c r="E272" s="31" t="str">
        <f t="shared" si="115"/>
        <v/>
      </c>
      <c r="F272" s="32" t="str">
        <f t="shared" si="116"/>
        <v/>
      </c>
      <c r="G272" s="32" t="str">
        <f t="shared" si="117"/>
        <v/>
      </c>
      <c r="H272" s="32" t="str">
        <f t="shared" si="118"/>
        <v/>
      </c>
      <c r="I272" s="32" t="str">
        <f t="shared" si="119"/>
        <v/>
      </c>
      <c r="J272" s="46" t="str">
        <f t="shared" si="120"/>
        <v/>
      </c>
      <c r="K272" s="32" t="str">
        <f t="shared" si="121"/>
        <v/>
      </c>
      <c r="L272" s="32" t="str">
        <f t="shared" si="122"/>
        <v/>
      </c>
      <c r="M272" s="32" t="str">
        <f t="shared" si="123"/>
        <v/>
      </c>
      <c r="N272" s="32" t="str">
        <f t="shared" si="124"/>
        <v/>
      </c>
      <c r="O272" s="32" t="str">
        <f t="shared" si="125"/>
        <v/>
      </c>
      <c r="Q272" t="str">
        <f>IFERROR(MATCH(268,บันทึกรายเที่ยว!$Z$6:$Z$10005,0),"")</f>
        <v/>
      </c>
      <c r="R272" t="str">
        <f>IF($Q272="","",INDEX(บันทึกรายเที่ยว!$V$6:$V$10005,$Q272))</f>
        <v/>
      </c>
      <c r="S272" t="str">
        <f>IF($Q272="","",INDEX(บันทึกรายเที่ยว!$F$6:$F$10005,$Q272))</f>
        <v/>
      </c>
      <c r="T272" t="str">
        <f>IF($Q272="","",MATCH($S272,บันทึกรายเที่ยว!$F$6:$F$10005,0))</f>
        <v/>
      </c>
      <c r="U272" t="str">
        <f>IF($Q272="","",$AL272*10000000+$T272*1000+268)</f>
        <v/>
      </c>
      <c r="V272" t="str">
        <f>IFERROR(MATCH(SMALL($U$5:$U$404,268),$U$5:$U$404,0),"")</f>
        <v/>
      </c>
      <c r="W272" t="str">
        <f t="shared" si="126"/>
        <v/>
      </c>
      <c r="X272" t="str">
        <f t="shared" si="127"/>
        <v/>
      </c>
      <c r="Y272" t="str">
        <f t="shared" si="128"/>
        <v/>
      </c>
      <c r="Z272">
        <f t="shared" si="138"/>
        <v>0</v>
      </c>
      <c r="AA272">
        <f t="shared" si="129"/>
        <v>0</v>
      </c>
      <c r="AB272">
        <f>IF($V272="",99999+268,$AB271+1+$Z271+$AA271+$AO271)</f>
        <v>100267</v>
      </c>
      <c r="AC272" t="str">
        <f>IFERROR(MATCH(268,$AB$5:$AB$404,1),"")</f>
        <v/>
      </c>
      <c r="AD272" t="str">
        <f>IF(268=$AI$1+1,"Z",IF($AC272="","",IF(INDEX($V$5:$V$404,$AC272)="","",IF(268&gt;INDEX($AB$5:$AB$404,$AC272)+INDEX($Z$5:$Z$404,$AC272)+INDEX($AA$5:$AA$404,$AC272)+INDEX($AO$5:$AO$404,$AC272),"",IF(268=INDEX($AB$5:$AB$404,$AC272)+INDEX($Z$5:$Z$404,$AC272),"D",IF(AND(INDEX($Z$5:$Z$404,$AC272)=1,268=INDEX($AB$5:$AB$404,$AC272)),"H",IF(AND(INDEX($AO$5:$AO$404,$AC272)=1,268=INDEX($AB$5:$AB$404,$AC272)+INDEX($Z$5:$Z$404,$AC272)+INDEX($AA$5:$AA$404,$AC272)+INDEX($AO$5:$AO$404,$AC272)),"B","T")))))))</f>
        <v/>
      </c>
      <c r="AF272" t="str">
        <f t="shared" si="130"/>
        <v/>
      </c>
      <c r="AJ272">
        <f>IF($AD272&lt;&gt;"T",0,ROUND(SUMIF(oil!$B$4:$B$63,$AF272,oil!$AE$4:$AE$63),2))</f>
        <v>0</v>
      </c>
      <c r="AK272" t="str">
        <f>IF($S272="","",IFERROR(INDEX(อัตราค่าขนส่ง!$R$5:$R$54,MATCH($S272,อัตราค่าขนส่ง!$Q$5:$Q$54,0)),INDEX(รายการมาตรฐาน!$G$2:$G$3,1)))</f>
        <v/>
      </c>
      <c r="AL272" t="str">
        <f>IF($S272="","",IFERROR(MATCH($AK272,รายการมาตรฐาน!$G$2:$G$3,0),1))</f>
        <v/>
      </c>
      <c r="AM272" t="str">
        <f t="shared" si="131"/>
        <v/>
      </c>
      <c r="AN272" t="str">
        <f t="shared" si="132"/>
        <v/>
      </c>
      <c r="AO272">
        <f t="shared" si="133"/>
        <v>0</v>
      </c>
      <c r="AP272">
        <f t="shared" si="139"/>
        <v>0</v>
      </c>
      <c r="AQ272" t="str">
        <f t="shared" si="134"/>
        <v/>
      </c>
      <c r="AR272">
        <f>IF($Y272="",0,COUNTIF(บันทึกรายเที่ยว!$V$6:$V$10005,$Y272))</f>
        <v>0</v>
      </c>
      <c r="AS272">
        <f>IF($Y272="",0,ROUND(SUMIF(บันทึกรายเที่ยว!$V$6:$V$10005,$Y272,บันทึกรายเที่ยว!$M$6:$M$10005),2))</f>
        <v>0</v>
      </c>
      <c r="AT272">
        <f>IF($Y272="",0,IFERROR(INDEX(อัตราค่าขนส่ง!$J$5:$J$204,MATCH($Y272,อัตราค่าขนส่ง!$O$5:$O$204,0)),0))</f>
        <v>0</v>
      </c>
      <c r="AU272">
        <f t="shared" si="135"/>
        <v>0</v>
      </c>
      <c r="AV272">
        <f t="shared" si="136"/>
        <v>0</v>
      </c>
      <c r="AW272" t="str">
        <f>IF($Y272="","",IFERROR(INDEX(อัตราค่าขนส่ง!$F$5:$F$204,MATCH($Y272,อัตราค่าขนส่ง!$O$5:$O$204,0)),""))</f>
        <v/>
      </c>
      <c r="AX272" t="str">
        <f>IF($W272="","",INDEX(บันทึกรายเที่ยว!$D$6:$D$10005,$W272))</f>
        <v/>
      </c>
      <c r="AY272" t="str">
        <f>IF($W272="","",INDEX(บันทึกรายเที่ยว!$R$6:$R$10005,$W272))</f>
        <v/>
      </c>
      <c r="AZ272">
        <f t="shared" si="137"/>
        <v>0</v>
      </c>
      <c r="BA272" t="str">
        <f>IF($W272="","",INDEX(บันทึกรายเที่ยว!$E$6:$E$10005,$W272))</f>
        <v/>
      </c>
      <c r="BC272">
        <f>IF($Y272="",0,IFERROR(INDEX(อัตราค่าขนส่ง!$M$5:$M$204,MATCH($Y272,อัตราค่าขนส่ง!$O$5:$O$204,0)),0))</f>
        <v>0</v>
      </c>
      <c r="BD272">
        <f>IF($Y272="",0,IFERROR(INDEX(อัตราค่าขนส่ง!$N$5:$N$204,MATCH($Y272,อัตราค่าขนส่ง!$O$5:$O$204,0)),0))</f>
        <v>0</v>
      </c>
    </row>
    <row r="273" spans="1:56" ht="21" customHeight="1" x14ac:dyDescent="0.95">
      <c r="A273" s="36" t="str">
        <f>IF($AD273="","",IF($AD273="Z","รวมจ่ายทั้งสิ้น",IF($AD273="H",INDEX($X$5:$X$404,$AC273),IF($AD273="T","รวม",IF($AD273="B",IFERROR(INDEX(อัตราค่าขนส่ง!$U$5:$U$14,MATCH(INDEX($AM$5:$AM$404,$AC273),อัตราค่าขนส่ง!$T$5:$T$14,0)),"รวมกลุ่ม "&amp;INDEX($AM$5:$AM$404,$AC273)),INDEX($AY$5:$AY$404,$AC273))))))</f>
        <v/>
      </c>
      <c r="B273" s="31" t="str">
        <f t="shared" si="112"/>
        <v/>
      </c>
      <c r="C273" s="8" t="str">
        <f t="shared" si="113"/>
        <v/>
      </c>
      <c r="D273" s="37" t="str">
        <f t="shared" si="114"/>
        <v/>
      </c>
      <c r="E273" s="31" t="str">
        <f t="shared" si="115"/>
        <v/>
      </c>
      <c r="F273" s="32" t="str">
        <f t="shared" si="116"/>
        <v/>
      </c>
      <c r="G273" s="32" t="str">
        <f t="shared" si="117"/>
        <v/>
      </c>
      <c r="H273" s="32" t="str">
        <f t="shared" si="118"/>
        <v/>
      </c>
      <c r="I273" s="32" t="str">
        <f t="shared" si="119"/>
        <v/>
      </c>
      <c r="J273" s="46" t="str">
        <f t="shared" si="120"/>
        <v/>
      </c>
      <c r="K273" s="32" t="str">
        <f t="shared" si="121"/>
        <v/>
      </c>
      <c r="L273" s="32" t="str">
        <f t="shared" si="122"/>
        <v/>
      </c>
      <c r="M273" s="32" t="str">
        <f t="shared" si="123"/>
        <v/>
      </c>
      <c r="N273" s="32" t="str">
        <f t="shared" si="124"/>
        <v/>
      </c>
      <c r="O273" s="32" t="str">
        <f t="shared" si="125"/>
        <v/>
      </c>
      <c r="Q273" t="str">
        <f>IFERROR(MATCH(269,บันทึกรายเที่ยว!$Z$6:$Z$10005,0),"")</f>
        <v/>
      </c>
      <c r="R273" t="str">
        <f>IF($Q273="","",INDEX(บันทึกรายเที่ยว!$V$6:$V$10005,$Q273))</f>
        <v/>
      </c>
      <c r="S273" t="str">
        <f>IF($Q273="","",INDEX(บันทึกรายเที่ยว!$F$6:$F$10005,$Q273))</f>
        <v/>
      </c>
      <c r="T273" t="str">
        <f>IF($Q273="","",MATCH($S273,บันทึกรายเที่ยว!$F$6:$F$10005,0))</f>
        <v/>
      </c>
      <c r="U273" t="str">
        <f>IF($Q273="","",$AL273*10000000+$T273*1000+269)</f>
        <v/>
      </c>
      <c r="V273" t="str">
        <f>IFERROR(MATCH(SMALL($U$5:$U$404,269),$U$5:$U$404,0),"")</f>
        <v/>
      </c>
      <c r="W273" t="str">
        <f t="shared" si="126"/>
        <v/>
      </c>
      <c r="X273" t="str">
        <f t="shared" si="127"/>
        <v/>
      </c>
      <c r="Y273" t="str">
        <f t="shared" si="128"/>
        <v/>
      </c>
      <c r="Z273">
        <f t="shared" si="138"/>
        <v>0</v>
      </c>
      <c r="AA273">
        <f t="shared" si="129"/>
        <v>0</v>
      </c>
      <c r="AB273">
        <f>IF($V273="",99999+269,$AB272+1+$Z272+$AA272+$AO272)</f>
        <v>100268</v>
      </c>
      <c r="AC273" t="str">
        <f>IFERROR(MATCH(269,$AB$5:$AB$404,1),"")</f>
        <v/>
      </c>
      <c r="AD273" t="str">
        <f>IF(269=$AI$1+1,"Z",IF($AC273="","",IF(INDEX($V$5:$V$404,$AC273)="","",IF(269&gt;INDEX($AB$5:$AB$404,$AC273)+INDEX($Z$5:$Z$404,$AC273)+INDEX($AA$5:$AA$404,$AC273)+INDEX($AO$5:$AO$404,$AC273),"",IF(269=INDEX($AB$5:$AB$404,$AC273)+INDEX($Z$5:$Z$404,$AC273),"D",IF(AND(INDEX($Z$5:$Z$404,$AC273)=1,269=INDEX($AB$5:$AB$404,$AC273)),"H",IF(AND(INDEX($AO$5:$AO$404,$AC273)=1,269=INDEX($AB$5:$AB$404,$AC273)+INDEX($Z$5:$Z$404,$AC273)+INDEX($AA$5:$AA$404,$AC273)+INDEX($AO$5:$AO$404,$AC273)),"B","T")))))))</f>
        <v/>
      </c>
      <c r="AF273" t="str">
        <f t="shared" si="130"/>
        <v/>
      </c>
      <c r="AJ273">
        <f>IF($AD273&lt;&gt;"T",0,ROUND(SUMIF(oil!$B$4:$B$63,$AF273,oil!$AE$4:$AE$63),2))</f>
        <v>0</v>
      </c>
      <c r="AK273" t="str">
        <f>IF($S273="","",IFERROR(INDEX(อัตราค่าขนส่ง!$R$5:$R$54,MATCH($S273,อัตราค่าขนส่ง!$Q$5:$Q$54,0)),INDEX(รายการมาตรฐาน!$G$2:$G$3,1)))</f>
        <v/>
      </c>
      <c r="AL273" t="str">
        <f>IF($S273="","",IFERROR(MATCH($AK273,รายการมาตรฐาน!$G$2:$G$3,0),1))</f>
        <v/>
      </c>
      <c r="AM273" t="str">
        <f t="shared" si="131"/>
        <v/>
      </c>
      <c r="AN273" t="str">
        <f t="shared" si="132"/>
        <v/>
      </c>
      <c r="AO273">
        <f t="shared" si="133"/>
        <v>0</v>
      </c>
      <c r="AP273">
        <f t="shared" si="139"/>
        <v>0</v>
      </c>
      <c r="AQ273" t="str">
        <f t="shared" si="134"/>
        <v/>
      </c>
      <c r="AR273">
        <f>IF($Y273="",0,COUNTIF(บันทึกรายเที่ยว!$V$6:$V$10005,$Y273))</f>
        <v>0</v>
      </c>
      <c r="AS273">
        <f>IF($Y273="",0,ROUND(SUMIF(บันทึกรายเที่ยว!$V$6:$V$10005,$Y273,บันทึกรายเที่ยว!$M$6:$M$10005),2))</f>
        <v>0</v>
      </c>
      <c r="AT273">
        <f>IF($Y273="",0,IFERROR(INDEX(อัตราค่าขนส่ง!$J$5:$J$204,MATCH($Y273,อัตราค่าขนส่ง!$O$5:$O$204,0)),0))</f>
        <v>0</v>
      </c>
      <c r="AU273">
        <f t="shared" si="135"/>
        <v>0</v>
      </c>
      <c r="AV273">
        <f t="shared" si="136"/>
        <v>0</v>
      </c>
      <c r="AW273" t="str">
        <f>IF($Y273="","",IFERROR(INDEX(อัตราค่าขนส่ง!$F$5:$F$204,MATCH($Y273,อัตราค่าขนส่ง!$O$5:$O$204,0)),""))</f>
        <v/>
      </c>
      <c r="AX273" t="str">
        <f>IF($W273="","",INDEX(บันทึกรายเที่ยว!$D$6:$D$10005,$W273))</f>
        <v/>
      </c>
      <c r="AY273" t="str">
        <f>IF($W273="","",INDEX(บันทึกรายเที่ยว!$R$6:$R$10005,$W273))</f>
        <v/>
      </c>
      <c r="AZ273">
        <f t="shared" si="137"/>
        <v>0</v>
      </c>
      <c r="BA273" t="str">
        <f>IF($W273="","",INDEX(บันทึกรายเที่ยว!$E$6:$E$10005,$W273))</f>
        <v/>
      </c>
      <c r="BC273">
        <f>IF($Y273="",0,IFERROR(INDEX(อัตราค่าขนส่ง!$M$5:$M$204,MATCH($Y273,อัตราค่าขนส่ง!$O$5:$O$204,0)),0))</f>
        <v>0</v>
      </c>
      <c r="BD273">
        <f>IF($Y273="",0,IFERROR(INDEX(อัตราค่าขนส่ง!$N$5:$N$204,MATCH($Y273,อัตราค่าขนส่ง!$O$5:$O$204,0)),0))</f>
        <v>0</v>
      </c>
    </row>
    <row r="274" spans="1:56" ht="21" customHeight="1" x14ac:dyDescent="0.95">
      <c r="A274" s="36" t="str">
        <f>IF($AD274="","",IF($AD274="Z","รวมจ่ายทั้งสิ้น",IF($AD274="H",INDEX($X$5:$X$404,$AC274),IF($AD274="T","รวม",IF($AD274="B",IFERROR(INDEX(อัตราค่าขนส่ง!$U$5:$U$14,MATCH(INDEX($AM$5:$AM$404,$AC274),อัตราค่าขนส่ง!$T$5:$T$14,0)),"รวมกลุ่ม "&amp;INDEX($AM$5:$AM$404,$AC274)),INDEX($AY$5:$AY$404,$AC274))))))</f>
        <v/>
      </c>
      <c r="B274" s="31" t="str">
        <f t="shared" si="112"/>
        <v/>
      </c>
      <c r="C274" s="8" t="str">
        <f t="shared" si="113"/>
        <v/>
      </c>
      <c r="D274" s="37" t="str">
        <f t="shared" si="114"/>
        <v/>
      </c>
      <c r="E274" s="31" t="str">
        <f t="shared" si="115"/>
        <v/>
      </c>
      <c r="F274" s="32" t="str">
        <f t="shared" si="116"/>
        <v/>
      </c>
      <c r="G274" s="32" t="str">
        <f t="shared" si="117"/>
        <v/>
      </c>
      <c r="H274" s="32" t="str">
        <f t="shared" si="118"/>
        <v/>
      </c>
      <c r="I274" s="32" t="str">
        <f t="shared" si="119"/>
        <v/>
      </c>
      <c r="J274" s="46" t="str">
        <f t="shared" si="120"/>
        <v/>
      </c>
      <c r="K274" s="32" t="str">
        <f t="shared" si="121"/>
        <v/>
      </c>
      <c r="L274" s="32" t="str">
        <f t="shared" si="122"/>
        <v/>
      </c>
      <c r="M274" s="32" t="str">
        <f t="shared" si="123"/>
        <v/>
      </c>
      <c r="N274" s="32" t="str">
        <f t="shared" si="124"/>
        <v/>
      </c>
      <c r="O274" s="32" t="str">
        <f t="shared" si="125"/>
        <v/>
      </c>
      <c r="Q274" t="str">
        <f>IFERROR(MATCH(270,บันทึกรายเที่ยว!$Z$6:$Z$10005,0),"")</f>
        <v/>
      </c>
      <c r="R274" t="str">
        <f>IF($Q274="","",INDEX(บันทึกรายเที่ยว!$V$6:$V$10005,$Q274))</f>
        <v/>
      </c>
      <c r="S274" t="str">
        <f>IF($Q274="","",INDEX(บันทึกรายเที่ยว!$F$6:$F$10005,$Q274))</f>
        <v/>
      </c>
      <c r="T274" t="str">
        <f>IF($Q274="","",MATCH($S274,บันทึกรายเที่ยว!$F$6:$F$10005,0))</f>
        <v/>
      </c>
      <c r="U274" t="str">
        <f>IF($Q274="","",$AL274*10000000+$T274*1000+270)</f>
        <v/>
      </c>
      <c r="V274" t="str">
        <f>IFERROR(MATCH(SMALL($U$5:$U$404,270),$U$5:$U$404,0),"")</f>
        <v/>
      </c>
      <c r="W274" t="str">
        <f t="shared" si="126"/>
        <v/>
      </c>
      <c r="X274" t="str">
        <f t="shared" si="127"/>
        <v/>
      </c>
      <c r="Y274" t="str">
        <f t="shared" si="128"/>
        <v/>
      </c>
      <c r="Z274">
        <f t="shared" si="138"/>
        <v>0</v>
      </c>
      <c r="AA274">
        <f t="shared" si="129"/>
        <v>0</v>
      </c>
      <c r="AB274">
        <f>IF($V274="",99999+270,$AB273+1+$Z273+$AA273+$AO273)</f>
        <v>100269</v>
      </c>
      <c r="AC274" t="str">
        <f>IFERROR(MATCH(270,$AB$5:$AB$404,1),"")</f>
        <v/>
      </c>
      <c r="AD274" t="str">
        <f>IF(270=$AI$1+1,"Z",IF($AC274="","",IF(INDEX($V$5:$V$404,$AC274)="","",IF(270&gt;INDEX($AB$5:$AB$404,$AC274)+INDEX($Z$5:$Z$404,$AC274)+INDEX($AA$5:$AA$404,$AC274)+INDEX($AO$5:$AO$404,$AC274),"",IF(270=INDEX($AB$5:$AB$404,$AC274)+INDEX($Z$5:$Z$404,$AC274),"D",IF(AND(INDEX($Z$5:$Z$404,$AC274)=1,270=INDEX($AB$5:$AB$404,$AC274)),"H",IF(AND(INDEX($AO$5:$AO$404,$AC274)=1,270=INDEX($AB$5:$AB$404,$AC274)+INDEX($Z$5:$Z$404,$AC274)+INDEX($AA$5:$AA$404,$AC274)+INDEX($AO$5:$AO$404,$AC274)),"B","T")))))))</f>
        <v/>
      </c>
      <c r="AF274" t="str">
        <f t="shared" si="130"/>
        <v/>
      </c>
      <c r="AJ274">
        <f>IF($AD274&lt;&gt;"T",0,ROUND(SUMIF(oil!$B$4:$B$63,$AF274,oil!$AE$4:$AE$63),2))</f>
        <v>0</v>
      </c>
      <c r="AK274" t="str">
        <f>IF($S274="","",IFERROR(INDEX(อัตราค่าขนส่ง!$R$5:$R$54,MATCH($S274,อัตราค่าขนส่ง!$Q$5:$Q$54,0)),INDEX(รายการมาตรฐาน!$G$2:$G$3,1)))</f>
        <v/>
      </c>
      <c r="AL274" t="str">
        <f>IF($S274="","",IFERROR(MATCH($AK274,รายการมาตรฐาน!$G$2:$G$3,0),1))</f>
        <v/>
      </c>
      <c r="AM274" t="str">
        <f t="shared" si="131"/>
        <v/>
      </c>
      <c r="AN274" t="str">
        <f t="shared" si="132"/>
        <v/>
      </c>
      <c r="AO274">
        <f t="shared" si="133"/>
        <v>0</v>
      </c>
      <c r="AP274">
        <f t="shared" si="139"/>
        <v>0</v>
      </c>
      <c r="AQ274" t="str">
        <f t="shared" si="134"/>
        <v/>
      </c>
      <c r="AR274">
        <f>IF($Y274="",0,COUNTIF(บันทึกรายเที่ยว!$V$6:$V$10005,$Y274))</f>
        <v>0</v>
      </c>
      <c r="AS274">
        <f>IF($Y274="",0,ROUND(SUMIF(บันทึกรายเที่ยว!$V$6:$V$10005,$Y274,บันทึกรายเที่ยว!$M$6:$M$10005),2))</f>
        <v>0</v>
      </c>
      <c r="AT274">
        <f>IF($Y274="",0,IFERROR(INDEX(อัตราค่าขนส่ง!$J$5:$J$204,MATCH($Y274,อัตราค่าขนส่ง!$O$5:$O$204,0)),0))</f>
        <v>0</v>
      </c>
      <c r="AU274">
        <f t="shared" si="135"/>
        <v>0</v>
      </c>
      <c r="AV274">
        <f t="shared" si="136"/>
        <v>0</v>
      </c>
      <c r="AW274" t="str">
        <f>IF($Y274="","",IFERROR(INDEX(อัตราค่าขนส่ง!$F$5:$F$204,MATCH($Y274,อัตราค่าขนส่ง!$O$5:$O$204,0)),""))</f>
        <v/>
      </c>
      <c r="AX274" t="str">
        <f>IF($W274="","",INDEX(บันทึกรายเที่ยว!$D$6:$D$10005,$W274))</f>
        <v/>
      </c>
      <c r="AY274" t="str">
        <f>IF($W274="","",INDEX(บันทึกรายเที่ยว!$R$6:$R$10005,$W274))</f>
        <v/>
      </c>
      <c r="AZ274">
        <f t="shared" si="137"/>
        <v>0</v>
      </c>
      <c r="BA274" t="str">
        <f>IF($W274="","",INDEX(บันทึกรายเที่ยว!$E$6:$E$10005,$W274))</f>
        <v/>
      </c>
      <c r="BC274">
        <f>IF($Y274="",0,IFERROR(INDEX(อัตราค่าขนส่ง!$M$5:$M$204,MATCH($Y274,อัตราค่าขนส่ง!$O$5:$O$204,0)),0))</f>
        <v>0</v>
      </c>
      <c r="BD274">
        <f>IF($Y274="",0,IFERROR(INDEX(อัตราค่าขนส่ง!$N$5:$N$204,MATCH($Y274,อัตราค่าขนส่ง!$O$5:$O$204,0)),0))</f>
        <v>0</v>
      </c>
    </row>
    <row r="275" spans="1:56" ht="21" customHeight="1" x14ac:dyDescent="0.95">
      <c r="A275" s="36" t="str">
        <f>IF($AD275="","",IF($AD275="Z","รวมจ่ายทั้งสิ้น",IF($AD275="H",INDEX($X$5:$X$404,$AC275),IF($AD275="T","รวม",IF($AD275="B",IFERROR(INDEX(อัตราค่าขนส่ง!$U$5:$U$14,MATCH(INDEX($AM$5:$AM$404,$AC275),อัตราค่าขนส่ง!$T$5:$T$14,0)),"รวมกลุ่ม "&amp;INDEX($AM$5:$AM$404,$AC275)),INDEX($AY$5:$AY$404,$AC275))))))</f>
        <v/>
      </c>
      <c r="B275" s="31" t="str">
        <f t="shared" si="112"/>
        <v/>
      </c>
      <c r="C275" s="8" t="str">
        <f t="shared" si="113"/>
        <v/>
      </c>
      <c r="D275" s="37" t="str">
        <f t="shared" si="114"/>
        <v/>
      </c>
      <c r="E275" s="31" t="str">
        <f t="shared" si="115"/>
        <v/>
      </c>
      <c r="F275" s="32" t="str">
        <f t="shared" si="116"/>
        <v/>
      </c>
      <c r="G275" s="32" t="str">
        <f t="shared" si="117"/>
        <v/>
      </c>
      <c r="H275" s="32" t="str">
        <f t="shared" si="118"/>
        <v/>
      </c>
      <c r="I275" s="32" t="str">
        <f t="shared" si="119"/>
        <v/>
      </c>
      <c r="J275" s="46" t="str">
        <f t="shared" si="120"/>
        <v/>
      </c>
      <c r="K275" s="32" t="str">
        <f t="shared" si="121"/>
        <v/>
      </c>
      <c r="L275" s="32" t="str">
        <f t="shared" si="122"/>
        <v/>
      </c>
      <c r="M275" s="32" t="str">
        <f t="shared" si="123"/>
        <v/>
      </c>
      <c r="N275" s="32" t="str">
        <f t="shared" si="124"/>
        <v/>
      </c>
      <c r="O275" s="32" t="str">
        <f t="shared" si="125"/>
        <v/>
      </c>
      <c r="Q275" t="str">
        <f>IFERROR(MATCH(271,บันทึกรายเที่ยว!$Z$6:$Z$10005,0),"")</f>
        <v/>
      </c>
      <c r="R275" t="str">
        <f>IF($Q275="","",INDEX(บันทึกรายเที่ยว!$V$6:$V$10005,$Q275))</f>
        <v/>
      </c>
      <c r="S275" t="str">
        <f>IF($Q275="","",INDEX(บันทึกรายเที่ยว!$F$6:$F$10005,$Q275))</f>
        <v/>
      </c>
      <c r="T275" t="str">
        <f>IF($Q275="","",MATCH($S275,บันทึกรายเที่ยว!$F$6:$F$10005,0))</f>
        <v/>
      </c>
      <c r="U275" t="str">
        <f>IF($Q275="","",$AL275*10000000+$T275*1000+271)</f>
        <v/>
      </c>
      <c r="V275" t="str">
        <f>IFERROR(MATCH(SMALL($U$5:$U$404,271),$U$5:$U$404,0),"")</f>
        <v/>
      </c>
      <c r="W275" t="str">
        <f t="shared" si="126"/>
        <v/>
      </c>
      <c r="X275" t="str">
        <f t="shared" si="127"/>
        <v/>
      </c>
      <c r="Y275" t="str">
        <f t="shared" si="128"/>
        <v/>
      </c>
      <c r="Z275">
        <f t="shared" si="138"/>
        <v>0</v>
      </c>
      <c r="AA275">
        <f t="shared" si="129"/>
        <v>0</v>
      </c>
      <c r="AB275">
        <f>IF($V275="",99999+271,$AB274+1+$Z274+$AA274+$AO274)</f>
        <v>100270</v>
      </c>
      <c r="AC275" t="str">
        <f>IFERROR(MATCH(271,$AB$5:$AB$404,1),"")</f>
        <v/>
      </c>
      <c r="AD275" t="str">
        <f>IF(271=$AI$1+1,"Z",IF($AC275="","",IF(INDEX($V$5:$V$404,$AC275)="","",IF(271&gt;INDEX($AB$5:$AB$404,$AC275)+INDEX($Z$5:$Z$404,$AC275)+INDEX($AA$5:$AA$404,$AC275)+INDEX($AO$5:$AO$404,$AC275),"",IF(271=INDEX($AB$5:$AB$404,$AC275)+INDEX($Z$5:$Z$404,$AC275),"D",IF(AND(INDEX($Z$5:$Z$404,$AC275)=1,271=INDEX($AB$5:$AB$404,$AC275)),"H",IF(AND(INDEX($AO$5:$AO$404,$AC275)=1,271=INDEX($AB$5:$AB$404,$AC275)+INDEX($Z$5:$Z$404,$AC275)+INDEX($AA$5:$AA$404,$AC275)+INDEX($AO$5:$AO$404,$AC275)),"B","T")))))))</f>
        <v/>
      </c>
      <c r="AF275" t="str">
        <f t="shared" si="130"/>
        <v/>
      </c>
      <c r="AJ275">
        <f>IF($AD275&lt;&gt;"T",0,ROUND(SUMIF(oil!$B$4:$B$63,$AF275,oil!$AE$4:$AE$63),2))</f>
        <v>0</v>
      </c>
      <c r="AK275" t="str">
        <f>IF($S275="","",IFERROR(INDEX(อัตราค่าขนส่ง!$R$5:$R$54,MATCH($S275,อัตราค่าขนส่ง!$Q$5:$Q$54,0)),INDEX(รายการมาตรฐาน!$G$2:$G$3,1)))</f>
        <v/>
      </c>
      <c r="AL275" t="str">
        <f>IF($S275="","",IFERROR(MATCH($AK275,รายการมาตรฐาน!$G$2:$G$3,0),1))</f>
        <v/>
      </c>
      <c r="AM275" t="str">
        <f t="shared" si="131"/>
        <v/>
      </c>
      <c r="AN275" t="str">
        <f t="shared" si="132"/>
        <v/>
      </c>
      <c r="AO275">
        <f t="shared" si="133"/>
        <v>0</v>
      </c>
      <c r="AP275">
        <f t="shared" si="139"/>
        <v>0</v>
      </c>
      <c r="AQ275" t="str">
        <f t="shared" si="134"/>
        <v/>
      </c>
      <c r="AR275">
        <f>IF($Y275="",0,COUNTIF(บันทึกรายเที่ยว!$V$6:$V$10005,$Y275))</f>
        <v>0</v>
      </c>
      <c r="AS275">
        <f>IF($Y275="",0,ROUND(SUMIF(บันทึกรายเที่ยว!$V$6:$V$10005,$Y275,บันทึกรายเที่ยว!$M$6:$M$10005),2))</f>
        <v>0</v>
      </c>
      <c r="AT275">
        <f>IF($Y275="",0,IFERROR(INDEX(อัตราค่าขนส่ง!$J$5:$J$204,MATCH($Y275,อัตราค่าขนส่ง!$O$5:$O$204,0)),0))</f>
        <v>0</v>
      </c>
      <c r="AU275">
        <f t="shared" si="135"/>
        <v>0</v>
      </c>
      <c r="AV275">
        <f t="shared" si="136"/>
        <v>0</v>
      </c>
      <c r="AW275" t="str">
        <f>IF($Y275="","",IFERROR(INDEX(อัตราค่าขนส่ง!$F$5:$F$204,MATCH($Y275,อัตราค่าขนส่ง!$O$5:$O$204,0)),""))</f>
        <v/>
      </c>
      <c r="AX275" t="str">
        <f>IF($W275="","",INDEX(บันทึกรายเที่ยว!$D$6:$D$10005,$W275))</f>
        <v/>
      </c>
      <c r="AY275" t="str">
        <f>IF($W275="","",INDEX(บันทึกรายเที่ยว!$R$6:$R$10005,$W275))</f>
        <v/>
      </c>
      <c r="AZ275">
        <f t="shared" si="137"/>
        <v>0</v>
      </c>
      <c r="BA275" t="str">
        <f>IF($W275="","",INDEX(บันทึกรายเที่ยว!$E$6:$E$10005,$W275))</f>
        <v/>
      </c>
      <c r="BC275">
        <f>IF($Y275="",0,IFERROR(INDEX(อัตราค่าขนส่ง!$M$5:$M$204,MATCH($Y275,อัตราค่าขนส่ง!$O$5:$O$204,0)),0))</f>
        <v>0</v>
      </c>
      <c r="BD275">
        <f>IF($Y275="",0,IFERROR(INDEX(อัตราค่าขนส่ง!$N$5:$N$204,MATCH($Y275,อัตราค่าขนส่ง!$O$5:$O$204,0)),0))</f>
        <v>0</v>
      </c>
    </row>
    <row r="276" spans="1:56" ht="21" customHeight="1" x14ac:dyDescent="0.95">
      <c r="A276" s="36" t="str">
        <f>IF($AD276="","",IF($AD276="Z","รวมจ่ายทั้งสิ้น",IF($AD276="H",INDEX($X$5:$X$404,$AC276),IF($AD276="T","รวม",IF($AD276="B",IFERROR(INDEX(อัตราค่าขนส่ง!$U$5:$U$14,MATCH(INDEX($AM$5:$AM$404,$AC276),อัตราค่าขนส่ง!$T$5:$T$14,0)),"รวมกลุ่ม "&amp;INDEX($AM$5:$AM$404,$AC276)),INDEX($AY$5:$AY$404,$AC276))))))</f>
        <v/>
      </c>
      <c r="B276" s="31" t="str">
        <f t="shared" si="112"/>
        <v/>
      </c>
      <c r="C276" s="8" t="str">
        <f t="shared" si="113"/>
        <v/>
      </c>
      <c r="D276" s="37" t="str">
        <f t="shared" si="114"/>
        <v/>
      </c>
      <c r="E276" s="31" t="str">
        <f t="shared" si="115"/>
        <v/>
      </c>
      <c r="F276" s="32" t="str">
        <f t="shared" si="116"/>
        <v/>
      </c>
      <c r="G276" s="32" t="str">
        <f t="shared" si="117"/>
        <v/>
      </c>
      <c r="H276" s="32" t="str">
        <f t="shared" si="118"/>
        <v/>
      </c>
      <c r="I276" s="32" t="str">
        <f t="shared" si="119"/>
        <v/>
      </c>
      <c r="J276" s="46" t="str">
        <f t="shared" si="120"/>
        <v/>
      </c>
      <c r="K276" s="32" t="str">
        <f t="shared" si="121"/>
        <v/>
      </c>
      <c r="L276" s="32" t="str">
        <f t="shared" si="122"/>
        <v/>
      </c>
      <c r="M276" s="32" t="str">
        <f t="shared" si="123"/>
        <v/>
      </c>
      <c r="N276" s="32" t="str">
        <f t="shared" si="124"/>
        <v/>
      </c>
      <c r="O276" s="32" t="str">
        <f t="shared" si="125"/>
        <v/>
      </c>
      <c r="Q276" t="str">
        <f>IFERROR(MATCH(272,บันทึกรายเที่ยว!$Z$6:$Z$10005,0),"")</f>
        <v/>
      </c>
      <c r="R276" t="str">
        <f>IF($Q276="","",INDEX(บันทึกรายเที่ยว!$V$6:$V$10005,$Q276))</f>
        <v/>
      </c>
      <c r="S276" t="str">
        <f>IF($Q276="","",INDEX(บันทึกรายเที่ยว!$F$6:$F$10005,$Q276))</f>
        <v/>
      </c>
      <c r="T276" t="str">
        <f>IF($Q276="","",MATCH($S276,บันทึกรายเที่ยว!$F$6:$F$10005,0))</f>
        <v/>
      </c>
      <c r="U276" t="str">
        <f>IF($Q276="","",$AL276*10000000+$T276*1000+272)</f>
        <v/>
      </c>
      <c r="V276" t="str">
        <f>IFERROR(MATCH(SMALL($U$5:$U$404,272),$U$5:$U$404,0),"")</f>
        <v/>
      </c>
      <c r="W276" t="str">
        <f t="shared" si="126"/>
        <v/>
      </c>
      <c r="X276" t="str">
        <f t="shared" si="127"/>
        <v/>
      </c>
      <c r="Y276" t="str">
        <f t="shared" si="128"/>
        <v/>
      </c>
      <c r="Z276">
        <f t="shared" si="138"/>
        <v>0</v>
      </c>
      <c r="AA276">
        <f t="shared" si="129"/>
        <v>0</v>
      </c>
      <c r="AB276">
        <f>IF($V276="",99999+272,$AB275+1+$Z275+$AA275+$AO275)</f>
        <v>100271</v>
      </c>
      <c r="AC276" t="str">
        <f>IFERROR(MATCH(272,$AB$5:$AB$404,1),"")</f>
        <v/>
      </c>
      <c r="AD276" t="str">
        <f>IF(272=$AI$1+1,"Z",IF($AC276="","",IF(INDEX($V$5:$V$404,$AC276)="","",IF(272&gt;INDEX($AB$5:$AB$404,$AC276)+INDEX($Z$5:$Z$404,$AC276)+INDEX($AA$5:$AA$404,$AC276)+INDEX($AO$5:$AO$404,$AC276),"",IF(272=INDEX($AB$5:$AB$404,$AC276)+INDEX($Z$5:$Z$404,$AC276),"D",IF(AND(INDEX($Z$5:$Z$404,$AC276)=1,272=INDEX($AB$5:$AB$404,$AC276)),"H",IF(AND(INDEX($AO$5:$AO$404,$AC276)=1,272=INDEX($AB$5:$AB$404,$AC276)+INDEX($Z$5:$Z$404,$AC276)+INDEX($AA$5:$AA$404,$AC276)+INDEX($AO$5:$AO$404,$AC276)),"B","T")))))))</f>
        <v/>
      </c>
      <c r="AF276" t="str">
        <f t="shared" si="130"/>
        <v/>
      </c>
      <c r="AJ276">
        <f>IF($AD276&lt;&gt;"T",0,ROUND(SUMIF(oil!$B$4:$B$63,$AF276,oil!$AE$4:$AE$63),2))</f>
        <v>0</v>
      </c>
      <c r="AK276" t="str">
        <f>IF($S276="","",IFERROR(INDEX(อัตราค่าขนส่ง!$R$5:$R$54,MATCH($S276,อัตราค่าขนส่ง!$Q$5:$Q$54,0)),INDEX(รายการมาตรฐาน!$G$2:$G$3,1)))</f>
        <v/>
      </c>
      <c r="AL276" t="str">
        <f>IF($S276="","",IFERROR(MATCH($AK276,รายการมาตรฐาน!$G$2:$G$3,0),1))</f>
        <v/>
      </c>
      <c r="AM276" t="str">
        <f t="shared" si="131"/>
        <v/>
      </c>
      <c r="AN276" t="str">
        <f t="shared" si="132"/>
        <v/>
      </c>
      <c r="AO276">
        <f t="shared" si="133"/>
        <v>0</v>
      </c>
      <c r="AP276">
        <f t="shared" si="139"/>
        <v>0</v>
      </c>
      <c r="AQ276" t="str">
        <f t="shared" si="134"/>
        <v/>
      </c>
      <c r="AR276">
        <f>IF($Y276="",0,COUNTIF(บันทึกรายเที่ยว!$V$6:$V$10005,$Y276))</f>
        <v>0</v>
      </c>
      <c r="AS276">
        <f>IF($Y276="",0,ROUND(SUMIF(บันทึกรายเที่ยว!$V$6:$V$10005,$Y276,บันทึกรายเที่ยว!$M$6:$M$10005),2))</f>
        <v>0</v>
      </c>
      <c r="AT276">
        <f>IF($Y276="",0,IFERROR(INDEX(อัตราค่าขนส่ง!$J$5:$J$204,MATCH($Y276,อัตราค่าขนส่ง!$O$5:$O$204,0)),0))</f>
        <v>0</v>
      </c>
      <c r="AU276">
        <f t="shared" si="135"/>
        <v>0</v>
      </c>
      <c r="AV276">
        <f t="shared" si="136"/>
        <v>0</v>
      </c>
      <c r="AW276" t="str">
        <f>IF($Y276="","",IFERROR(INDEX(อัตราค่าขนส่ง!$F$5:$F$204,MATCH($Y276,อัตราค่าขนส่ง!$O$5:$O$204,0)),""))</f>
        <v/>
      </c>
      <c r="AX276" t="str">
        <f>IF($W276="","",INDEX(บันทึกรายเที่ยว!$D$6:$D$10005,$W276))</f>
        <v/>
      </c>
      <c r="AY276" t="str">
        <f>IF($W276="","",INDEX(บันทึกรายเที่ยว!$R$6:$R$10005,$W276))</f>
        <v/>
      </c>
      <c r="AZ276">
        <f t="shared" si="137"/>
        <v>0</v>
      </c>
      <c r="BA276" t="str">
        <f>IF($W276="","",INDEX(บันทึกรายเที่ยว!$E$6:$E$10005,$W276))</f>
        <v/>
      </c>
      <c r="BC276">
        <f>IF($Y276="",0,IFERROR(INDEX(อัตราค่าขนส่ง!$M$5:$M$204,MATCH($Y276,อัตราค่าขนส่ง!$O$5:$O$204,0)),0))</f>
        <v>0</v>
      </c>
      <c r="BD276">
        <f>IF($Y276="",0,IFERROR(INDEX(อัตราค่าขนส่ง!$N$5:$N$204,MATCH($Y276,อัตราค่าขนส่ง!$O$5:$O$204,0)),0))</f>
        <v>0</v>
      </c>
    </row>
    <row r="277" spans="1:56" ht="21" customHeight="1" x14ac:dyDescent="0.95">
      <c r="A277" s="36" t="str">
        <f>IF($AD277="","",IF($AD277="Z","รวมจ่ายทั้งสิ้น",IF($AD277="H",INDEX($X$5:$X$404,$AC277),IF($AD277="T","รวม",IF($AD277="B",IFERROR(INDEX(อัตราค่าขนส่ง!$U$5:$U$14,MATCH(INDEX($AM$5:$AM$404,$AC277),อัตราค่าขนส่ง!$T$5:$T$14,0)),"รวมกลุ่ม "&amp;INDEX($AM$5:$AM$404,$AC277)),INDEX($AY$5:$AY$404,$AC277))))))</f>
        <v/>
      </c>
      <c r="B277" s="31" t="str">
        <f t="shared" si="112"/>
        <v/>
      </c>
      <c r="C277" s="8" t="str">
        <f t="shared" si="113"/>
        <v/>
      </c>
      <c r="D277" s="37" t="str">
        <f t="shared" si="114"/>
        <v/>
      </c>
      <c r="E277" s="31" t="str">
        <f t="shared" si="115"/>
        <v/>
      </c>
      <c r="F277" s="32" t="str">
        <f t="shared" si="116"/>
        <v/>
      </c>
      <c r="G277" s="32" t="str">
        <f t="shared" si="117"/>
        <v/>
      </c>
      <c r="H277" s="32" t="str">
        <f t="shared" si="118"/>
        <v/>
      </c>
      <c r="I277" s="32" t="str">
        <f t="shared" si="119"/>
        <v/>
      </c>
      <c r="J277" s="46" t="str">
        <f t="shared" si="120"/>
        <v/>
      </c>
      <c r="K277" s="32" t="str">
        <f t="shared" si="121"/>
        <v/>
      </c>
      <c r="L277" s="32" t="str">
        <f t="shared" si="122"/>
        <v/>
      </c>
      <c r="M277" s="32" t="str">
        <f t="shared" si="123"/>
        <v/>
      </c>
      <c r="N277" s="32" t="str">
        <f t="shared" si="124"/>
        <v/>
      </c>
      <c r="O277" s="32" t="str">
        <f t="shared" si="125"/>
        <v/>
      </c>
      <c r="Q277" t="str">
        <f>IFERROR(MATCH(273,บันทึกรายเที่ยว!$Z$6:$Z$10005,0),"")</f>
        <v/>
      </c>
      <c r="R277" t="str">
        <f>IF($Q277="","",INDEX(บันทึกรายเที่ยว!$V$6:$V$10005,$Q277))</f>
        <v/>
      </c>
      <c r="S277" t="str">
        <f>IF($Q277="","",INDEX(บันทึกรายเที่ยว!$F$6:$F$10005,$Q277))</f>
        <v/>
      </c>
      <c r="T277" t="str">
        <f>IF($Q277="","",MATCH($S277,บันทึกรายเที่ยว!$F$6:$F$10005,0))</f>
        <v/>
      </c>
      <c r="U277" t="str">
        <f>IF($Q277="","",$AL277*10000000+$T277*1000+273)</f>
        <v/>
      </c>
      <c r="V277" t="str">
        <f>IFERROR(MATCH(SMALL($U$5:$U$404,273),$U$5:$U$404,0),"")</f>
        <v/>
      </c>
      <c r="W277" t="str">
        <f t="shared" si="126"/>
        <v/>
      </c>
      <c r="X277" t="str">
        <f t="shared" si="127"/>
        <v/>
      </c>
      <c r="Y277" t="str">
        <f t="shared" si="128"/>
        <v/>
      </c>
      <c r="Z277">
        <f t="shared" si="138"/>
        <v>0</v>
      </c>
      <c r="AA277">
        <f t="shared" si="129"/>
        <v>0</v>
      </c>
      <c r="AB277">
        <f>IF($V277="",99999+273,$AB276+1+$Z276+$AA276+$AO276)</f>
        <v>100272</v>
      </c>
      <c r="AC277" t="str">
        <f>IFERROR(MATCH(273,$AB$5:$AB$404,1),"")</f>
        <v/>
      </c>
      <c r="AD277" t="str">
        <f>IF(273=$AI$1+1,"Z",IF($AC277="","",IF(INDEX($V$5:$V$404,$AC277)="","",IF(273&gt;INDEX($AB$5:$AB$404,$AC277)+INDEX($Z$5:$Z$404,$AC277)+INDEX($AA$5:$AA$404,$AC277)+INDEX($AO$5:$AO$404,$AC277),"",IF(273=INDEX($AB$5:$AB$404,$AC277)+INDEX($Z$5:$Z$404,$AC277),"D",IF(AND(INDEX($Z$5:$Z$404,$AC277)=1,273=INDEX($AB$5:$AB$404,$AC277)),"H",IF(AND(INDEX($AO$5:$AO$404,$AC277)=1,273=INDEX($AB$5:$AB$404,$AC277)+INDEX($Z$5:$Z$404,$AC277)+INDEX($AA$5:$AA$404,$AC277)+INDEX($AO$5:$AO$404,$AC277)),"B","T")))))))</f>
        <v/>
      </c>
      <c r="AF277" t="str">
        <f t="shared" si="130"/>
        <v/>
      </c>
      <c r="AJ277">
        <f>IF($AD277&lt;&gt;"T",0,ROUND(SUMIF(oil!$B$4:$B$63,$AF277,oil!$AE$4:$AE$63),2))</f>
        <v>0</v>
      </c>
      <c r="AK277" t="str">
        <f>IF($S277="","",IFERROR(INDEX(อัตราค่าขนส่ง!$R$5:$R$54,MATCH($S277,อัตราค่าขนส่ง!$Q$5:$Q$54,0)),INDEX(รายการมาตรฐาน!$G$2:$G$3,1)))</f>
        <v/>
      </c>
      <c r="AL277" t="str">
        <f>IF($S277="","",IFERROR(MATCH($AK277,รายการมาตรฐาน!$G$2:$G$3,0),1))</f>
        <v/>
      </c>
      <c r="AM277" t="str">
        <f t="shared" si="131"/>
        <v/>
      </c>
      <c r="AN277" t="str">
        <f t="shared" si="132"/>
        <v/>
      </c>
      <c r="AO277">
        <f t="shared" si="133"/>
        <v>0</v>
      </c>
      <c r="AP277">
        <f t="shared" si="139"/>
        <v>0</v>
      </c>
      <c r="AQ277" t="str">
        <f t="shared" si="134"/>
        <v/>
      </c>
      <c r="AR277">
        <f>IF($Y277="",0,COUNTIF(บันทึกรายเที่ยว!$V$6:$V$10005,$Y277))</f>
        <v>0</v>
      </c>
      <c r="AS277">
        <f>IF($Y277="",0,ROUND(SUMIF(บันทึกรายเที่ยว!$V$6:$V$10005,$Y277,บันทึกรายเที่ยว!$M$6:$M$10005),2))</f>
        <v>0</v>
      </c>
      <c r="AT277">
        <f>IF($Y277="",0,IFERROR(INDEX(อัตราค่าขนส่ง!$J$5:$J$204,MATCH($Y277,อัตราค่าขนส่ง!$O$5:$O$204,0)),0))</f>
        <v>0</v>
      </c>
      <c r="AU277">
        <f t="shared" si="135"/>
        <v>0</v>
      </c>
      <c r="AV277">
        <f t="shared" si="136"/>
        <v>0</v>
      </c>
      <c r="AW277" t="str">
        <f>IF($Y277="","",IFERROR(INDEX(อัตราค่าขนส่ง!$F$5:$F$204,MATCH($Y277,อัตราค่าขนส่ง!$O$5:$O$204,0)),""))</f>
        <v/>
      </c>
      <c r="AX277" t="str">
        <f>IF($W277="","",INDEX(บันทึกรายเที่ยว!$D$6:$D$10005,$W277))</f>
        <v/>
      </c>
      <c r="AY277" t="str">
        <f>IF($W277="","",INDEX(บันทึกรายเที่ยว!$R$6:$R$10005,$W277))</f>
        <v/>
      </c>
      <c r="AZ277">
        <f t="shared" si="137"/>
        <v>0</v>
      </c>
      <c r="BA277" t="str">
        <f>IF($W277="","",INDEX(บันทึกรายเที่ยว!$E$6:$E$10005,$W277))</f>
        <v/>
      </c>
      <c r="BC277">
        <f>IF($Y277="",0,IFERROR(INDEX(อัตราค่าขนส่ง!$M$5:$M$204,MATCH($Y277,อัตราค่าขนส่ง!$O$5:$O$204,0)),0))</f>
        <v>0</v>
      </c>
      <c r="BD277">
        <f>IF($Y277="",0,IFERROR(INDEX(อัตราค่าขนส่ง!$N$5:$N$204,MATCH($Y277,อัตราค่าขนส่ง!$O$5:$O$204,0)),0))</f>
        <v>0</v>
      </c>
    </row>
    <row r="278" spans="1:56" ht="21" customHeight="1" x14ac:dyDescent="0.95">
      <c r="A278" s="36" t="str">
        <f>IF($AD278="","",IF($AD278="Z","รวมจ่ายทั้งสิ้น",IF($AD278="H",INDEX($X$5:$X$404,$AC278),IF($AD278="T","รวม",IF($AD278="B",IFERROR(INDEX(อัตราค่าขนส่ง!$U$5:$U$14,MATCH(INDEX($AM$5:$AM$404,$AC278),อัตราค่าขนส่ง!$T$5:$T$14,0)),"รวมกลุ่ม "&amp;INDEX($AM$5:$AM$404,$AC278)),INDEX($AY$5:$AY$404,$AC278))))))</f>
        <v/>
      </c>
      <c r="B278" s="31" t="str">
        <f t="shared" si="112"/>
        <v/>
      </c>
      <c r="C278" s="8" t="str">
        <f t="shared" si="113"/>
        <v/>
      </c>
      <c r="D278" s="37" t="str">
        <f t="shared" si="114"/>
        <v/>
      </c>
      <c r="E278" s="31" t="str">
        <f t="shared" si="115"/>
        <v/>
      </c>
      <c r="F278" s="32" t="str">
        <f t="shared" si="116"/>
        <v/>
      </c>
      <c r="G278" s="32" t="str">
        <f t="shared" si="117"/>
        <v/>
      </c>
      <c r="H278" s="32" t="str">
        <f t="shared" si="118"/>
        <v/>
      </c>
      <c r="I278" s="32" t="str">
        <f t="shared" si="119"/>
        <v/>
      </c>
      <c r="J278" s="46" t="str">
        <f t="shared" si="120"/>
        <v/>
      </c>
      <c r="K278" s="32" t="str">
        <f t="shared" si="121"/>
        <v/>
      </c>
      <c r="L278" s="32" t="str">
        <f t="shared" si="122"/>
        <v/>
      </c>
      <c r="M278" s="32" t="str">
        <f t="shared" si="123"/>
        <v/>
      </c>
      <c r="N278" s="32" t="str">
        <f t="shared" si="124"/>
        <v/>
      </c>
      <c r="O278" s="32" t="str">
        <f t="shared" si="125"/>
        <v/>
      </c>
      <c r="Q278" t="str">
        <f>IFERROR(MATCH(274,บันทึกรายเที่ยว!$Z$6:$Z$10005,0),"")</f>
        <v/>
      </c>
      <c r="R278" t="str">
        <f>IF($Q278="","",INDEX(บันทึกรายเที่ยว!$V$6:$V$10005,$Q278))</f>
        <v/>
      </c>
      <c r="S278" t="str">
        <f>IF($Q278="","",INDEX(บันทึกรายเที่ยว!$F$6:$F$10005,$Q278))</f>
        <v/>
      </c>
      <c r="T278" t="str">
        <f>IF($Q278="","",MATCH($S278,บันทึกรายเที่ยว!$F$6:$F$10005,0))</f>
        <v/>
      </c>
      <c r="U278" t="str">
        <f>IF($Q278="","",$AL278*10000000+$T278*1000+274)</f>
        <v/>
      </c>
      <c r="V278" t="str">
        <f>IFERROR(MATCH(SMALL($U$5:$U$404,274),$U$5:$U$404,0),"")</f>
        <v/>
      </c>
      <c r="W278" t="str">
        <f t="shared" si="126"/>
        <v/>
      </c>
      <c r="X278" t="str">
        <f t="shared" si="127"/>
        <v/>
      </c>
      <c r="Y278" t="str">
        <f t="shared" si="128"/>
        <v/>
      </c>
      <c r="Z278">
        <f t="shared" si="138"/>
        <v>0</v>
      </c>
      <c r="AA278">
        <f t="shared" si="129"/>
        <v>0</v>
      </c>
      <c r="AB278">
        <f>IF($V278="",99999+274,$AB277+1+$Z277+$AA277+$AO277)</f>
        <v>100273</v>
      </c>
      <c r="AC278" t="str">
        <f>IFERROR(MATCH(274,$AB$5:$AB$404,1),"")</f>
        <v/>
      </c>
      <c r="AD278" t="str">
        <f>IF(274=$AI$1+1,"Z",IF($AC278="","",IF(INDEX($V$5:$V$404,$AC278)="","",IF(274&gt;INDEX($AB$5:$AB$404,$AC278)+INDEX($Z$5:$Z$404,$AC278)+INDEX($AA$5:$AA$404,$AC278)+INDEX($AO$5:$AO$404,$AC278),"",IF(274=INDEX($AB$5:$AB$404,$AC278)+INDEX($Z$5:$Z$404,$AC278),"D",IF(AND(INDEX($Z$5:$Z$404,$AC278)=1,274=INDEX($AB$5:$AB$404,$AC278)),"H",IF(AND(INDEX($AO$5:$AO$404,$AC278)=1,274=INDEX($AB$5:$AB$404,$AC278)+INDEX($Z$5:$Z$404,$AC278)+INDEX($AA$5:$AA$404,$AC278)+INDEX($AO$5:$AO$404,$AC278)),"B","T")))))))</f>
        <v/>
      </c>
      <c r="AF278" t="str">
        <f t="shared" si="130"/>
        <v/>
      </c>
      <c r="AJ278">
        <f>IF($AD278&lt;&gt;"T",0,ROUND(SUMIF(oil!$B$4:$B$63,$AF278,oil!$AE$4:$AE$63),2))</f>
        <v>0</v>
      </c>
      <c r="AK278" t="str">
        <f>IF($S278="","",IFERROR(INDEX(อัตราค่าขนส่ง!$R$5:$R$54,MATCH($S278,อัตราค่าขนส่ง!$Q$5:$Q$54,0)),INDEX(รายการมาตรฐาน!$G$2:$G$3,1)))</f>
        <v/>
      </c>
      <c r="AL278" t="str">
        <f>IF($S278="","",IFERROR(MATCH($AK278,รายการมาตรฐาน!$G$2:$G$3,0),1))</f>
        <v/>
      </c>
      <c r="AM278" t="str">
        <f t="shared" si="131"/>
        <v/>
      </c>
      <c r="AN278" t="str">
        <f t="shared" si="132"/>
        <v/>
      </c>
      <c r="AO278">
        <f t="shared" si="133"/>
        <v>0</v>
      </c>
      <c r="AP278">
        <f t="shared" si="139"/>
        <v>0</v>
      </c>
      <c r="AQ278" t="str">
        <f t="shared" si="134"/>
        <v/>
      </c>
      <c r="AR278">
        <f>IF($Y278="",0,COUNTIF(บันทึกรายเที่ยว!$V$6:$V$10005,$Y278))</f>
        <v>0</v>
      </c>
      <c r="AS278">
        <f>IF($Y278="",0,ROUND(SUMIF(บันทึกรายเที่ยว!$V$6:$V$10005,$Y278,บันทึกรายเที่ยว!$M$6:$M$10005),2))</f>
        <v>0</v>
      </c>
      <c r="AT278">
        <f>IF($Y278="",0,IFERROR(INDEX(อัตราค่าขนส่ง!$J$5:$J$204,MATCH($Y278,อัตราค่าขนส่ง!$O$5:$O$204,0)),0))</f>
        <v>0</v>
      </c>
      <c r="AU278">
        <f t="shared" si="135"/>
        <v>0</v>
      </c>
      <c r="AV278">
        <f t="shared" si="136"/>
        <v>0</v>
      </c>
      <c r="AW278" t="str">
        <f>IF($Y278="","",IFERROR(INDEX(อัตราค่าขนส่ง!$F$5:$F$204,MATCH($Y278,อัตราค่าขนส่ง!$O$5:$O$204,0)),""))</f>
        <v/>
      </c>
      <c r="AX278" t="str">
        <f>IF($W278="","",INDEX(บันทึกรายเที่ยว!$D$6:$D$10005,$W278))</f>
        <v/>
      </c>
      <c r="AY278" t="str">
        <f>IF($W278="","",INDEX(บันทึกรายเที่ยว!$R$6:$R$10005,$W278))</f>
        <v/>
      </c>
      <c r="AZ278">
        <f t="shared" si="137"/>
        <v>0</v>
      </c>
      <c r="BA278" t="str">
        <f>IF($W278="","",INDEX(บันทึกรายเที่ยว!$E$6:$E$10005,$W278))</f>
        <v/>
      </c>
      <c r="BC278">
        <f>IF($Y278="",0,IFERROR(INDEX(อัตราค่าขนส่ง!$M$5:$M$204,MATCH($Y278,อัตราค่าขนส่ง!$O$5:$O$204,0)),0))</f>
        <v>0</v>
      </c>
      <c r="BD278">
        <f>IF($Y278="",0,IFERROR(INDEX(อัตราค่าขนส่ง!$N$5:$N$204,MATCH($Y278,อัตราค่าขนส่ง!$O$5:$O$204,0)),0))</f>
        <v>0</v>
      </c>
    </row>
    <row r="279" spans="1:56" ht="21" customHeight="1" x14ac:dyDescent="0.95">
      <c r="A279" s="36" t="str">
        <f>IF($AD279="","",IF($AD279="Z","รวมจ่ายทั้งสิ้น",IF($AD279="H",INDEX($X$5:$X$404,$AC279),IF($AD279="T","รวม",IF($AD279="B",IFERROR(INDEX(อัตราค่าขนส่ง!$U$5:$U$14,MATCH(INDEX($AM$5:$AM$404,$AC279),อัตราค่าขนส่ง!$T$5:$T$14,0)),"รวมกลุ่ม "&amp;INDEX($AM$5:$AM$404,$AC279)),INDEX($AY$5:$AY$404,$AC279))))))</f>
        <v/>
      </c>
      <c r="B279" s="31" t="str">
        <f t="shared" si="112"/>
        <v/>
      </c>
      <c r="C279" s="8" t="str">
        <f t="shared" si="113"/>
        <v/>
      </c>
      <c r="D279" s="37" t="str">
        <f t="shared" si="114"/>
        <v/>
      </c>
      <c r="E279" s="31" t="str">
        <f t="shared" si="115"/>
        <v/>
      </c>
      <c r="F279" s="32" t="str">
        <f t="shared" si="116"/>
        <v/>
      </c>
      <c r="G279" s="32" t="str">
        <f t="shared" si="117"/>
        <v/>
      </c>
      <c r="H279" s="32" t="str">
        <f t="shared" si="118"/>
        <v/>
      </c>
      <c r="I279" s="32" t="str">
        <f t="shared" si="119"/>
        <v/>
      </c>
      <c r="J279" s="46" t="str">
        <f t="shared" si="120"/>
        <v/>
      </c>
      <c r="K279" s="32" t="str">
        <f t="shared" si="121"/>
        <v/>
      </c>
      <c r="L279" s="32" t="str">
        <f t="shared" si="122"/>
        <v/>
      </c>
      <c r="M279" s="32" t="str">
        <f t="shared" si="123"/>
        <v/>
      </c>
      <c r="N279" s="32" t="str">
        <f t="shared" si="124"/>
        <v/>
      </c>
      <c r="O279" s="32" t="str">
        <f t="shared" si="125"/>
        <v/>
      </c>
      <c r="Q279" t="str">
        <f>IFERROR(MATCH(275,บันทึกรายเที่ยว!$Z$6:$Z$10005,0),"")</f>
        <v/>
      </c>
      <c r="R279" t="str">
        <f>IF($Q279="","",INDEX(บันทึกรายเที่ยว!$V$6:$V$10005,$Q279))</f>
        <v/>
      </c>
      <c r="S279" t="str">
        <f>IF($Q279="","",INDEX(บันทึกรายเที่ยว!$F$6:$F$10005,$Q279))</f>
        <v/>
      </c>
      <c r="T279" t="str">
        <f>IF($Q279="","",MATCH($S279,บันทึกรายเที่ยว!$F$6:$F$10005,0))</f>
        <v/>
      </c>
      <c r="U279" t="str">
        <f>IF($Q279="","",$AL279*10000000+$T279*1000+275)</f>
        <v/>
      </c>
      <c r="V279" t="str">
        <f>IFERROR(MATCH(SMALL($U$5:$U$404,275),$U$5:$U$404,0),"")</f>
        <v/>
      </c>
      <c r="W279" t="str">
        <f t="shared" si="126"/>
        <v/>
      </c>
      <c r="X279" t="str">
        <f t="shared" si="127"/>
        <v/>
      </c>
      <c r="Y279" t="str">
        <f t="shared" si="128"/>
        <v/>
      </c>
      <c r="Z279">
        <f t="shared" si="138"/>
        <v>0</v>
      </c>
      <c r="AA279">
        <f t="shared" si="129"/>
        <v>0</v>
      </c>
      <c r="AB279">
        <f>IF($V279="",99999+275,$AB278+1+$Z278+$AA278+$AO278)</f>
        <v>100274</v>
      </c>
      <c r="AC279" t="str">
        <f>IFERROR(MATCH(275,$AB$5:$AB$404,1),"")</f>
        <v/>
      </c>
      <c r="AD279" t="str">
        <f>IF(275=$AI$1+1,"Z",IF($AC279="","",IF(INDEX($V$5:$V$404,$AC279)="","",IF(275&gt;INDEX($AB$5:$AB$404,$AC279)+INDEX($Z$5:$Z$404,$AC279)+INDEX($AA$5:$AA$404,$AC279)+INDEX($AO$5:$AO$404,$AC279),"",IF(275=INDEX($AB$5:$AB$404,$AC279)+INDEX($Z$5:$Z$404,$AC279),"D",IF(AND(INDEX($Z$5:$Z$404,$AC279)=1,275=INDEX($AB$5:$AB$404,$AC279)),"H",IF(AND(INDEX($AO$5:$AO$404,$AC279)=1,275=INDEX($AB$5:$AB$404,$AC279)+INDEX($Z$5:$Z$404,$AC279)+INDEX($AA$5:$AA$404,$AC279)+INDEX($AO$5:$AO$404,$AC279)),"B","T")))))))</f>
        <v/>
      </c>
      <c r="AF279" t="str">
        <f t="shared" si="130"/>
        <v/>
      </c>
      <c r="AJ279">
        <f>IF($AD279&lt;&gt;"T",0,ROUND(SUMIF(oil!$B$4:$B$63,$AF279,oil!$AE$4:$AE$63),2))</f>
        <v>0</v>
      </c>
      <c r="AK279" t="str">
        <f>IF($S279="","",IFERROR(INDEX(อัตราค่าขนส่ง!$R$5:$R$54,MATCH($S279,อัตราค่าขนส่ง!$Q$5:$Q$54,0)),INDEX(รายการมาตรฐาน!$G$2:$G$3,1)))</f>
        <v/>
      </c>
      <c r="AL279" t="str">
        <f>IF($S279="","",IFERROR(MATCH($AK279,รายการมาตรฐาน!$G$2:$G$3,0),1))</f>
        <v/>
      </c>
      <c r="AM279" t="str">
        <f t="shared" si="131"/>
        <v/>
      </c>
      <c r="AN279" t="str">
        <f t="shared" si="132"/>
        <v/>
      </c>
      <c r="AO279">
        <f t="shared" si="133"/>
        <v>0</v>
      </c>
      <c r="AP279">
        <f t="shared" si="139"/>
        <v>0</v>
      </c>
      <c r="AQ279" t="str">
        <f t="shared" si="134"/>
        <v/>
      </c>
      <c r="AR279">
        <f>IF($Y279="",0,COUNTIF(บันทึกรายเที่ยว!$V$6:$V$10005,$Y279))</f>
        <v>0</v>
      </c>
      <c r="AS279">
        <f>IF($Y279="",0,ROUND(SUMIF(บันทึกรายเที่ยว!$V$6:$V$10005,$Y279,บันทึกรายเที่ยว!$M$6:$M$10005),2))</f>
        <v>0</v>
      </c>
      <c r="AT279">
        <f>IF($Y279="",0,IFERROR(INDEX(อัตราค่าขนส่ง!$J$5:$J$204,MATCH($Y279,อัตราค่าขนส่ง!$O$5:$O$204,0)),0))</f>
        <v>0</v>
      </c>
      <c r="AU279">
        <f t="shared" si="135"/>
        <v>0</v>
      </c>
      <c r="AV279">
        <f t="shared" si="136"/>
        <v>0</v>
      </c>
      <c r="AW279" t="str">
        <f>IF($Y279="","",IFERROR(INDEX(อัตราค่าขนส่ง!$F$5:$F$204,MATCH($Y279,อัตราค่าขนส่ง!$O$5:$O$204,0)),""))</f>
        <v/>
      </c>
      <c r="AX279" t="str">
        <f>IF($W279="","",INDEX(บันทึกรายเที่ยว!$D$6:$D$10005,$W279))</f>
        <v/>
      </c>
      <c r="AY279" t="str">
        <f>IF($W279="","",INDEX(บันทึกรายเที่ยว!$R$6:$R$10005,$W279))</f>
        <v/>
      </c>
      <c r="AZ279">
        <f t="shared" si="137"/>
        <v>0</v>
      </c>
      <c r="BA279" t="str">
        <f>IF($W279="","",INDEX(บันทึกรายเที่ยว!$E$6:$E$10005,$W279))</f>
        <v/>
      </c>
      <c r="BC279">
        <f>IF($Y279="",0,IFERROR(INDEX(อัตราค่าขนส่ง!$M$5:$M$204,MATCH($Y279,อัตราค่าขนส่ง!$O$5:$O$204,0)),0))</f>
        <v>0</v>
      </c>
      <c r="BD279">
        <f>IF($Y279="",0,IFERROR(INDEX(อัตราค่าขนส่ง!$N$5:$N$204,MATCH($Y279,อัตราค่าขนส่ง!$O$5:$O$204,0)),0))</f>
        <v>0</v>
      </c>
    </row>
    <row r="280" spans="1:56" ht="21" customHeight="1" x14ac:dyDescent="0.95">
      <c r="A280" s="36" t="str">
        <f>IF($AD280="","",IF($AD280="Z","รวมจ่ายทั้งสิ้น",IF($AD280="H",INDEX($X$5:$X$404,$AC280),IF($AD280="T","รวม",IF($AD280="B",IFERROR(INDEX(อัตราค่าขนส่ง!$U$5:$U$14,MATCH(INDEX($AM$5:$AM$404,$AC280),อัตราค่าขนส่ง!$T$5:$T$14,0)),"รวมกลุ่ม "&amp;INDEX($AM$5:$AM$404,$AC280)),INDEX($AY$5:$AY$404,$AC280))))))</f>
        <v/>
      </c>
      <c r="B280" s="31" t="str">
        <f t="shared" si="112"/>
        <v/>
      </c>
      <c r="C280" s="8" t="str">
        <f t="shared" si="113"/>
        <v/>
      </c>
      <c r="D280" s="37" t="str">
        <f t="shared" si="114"/>
        <v/>
      </c>
      <c r="E280" s="31" t="str">
        <f t="shared" si="115"/>
        <v/>
      </c>
      <c r="F280" s="32" t="str">
        <f t="shared" si="116"/>
        <v/>
      </c>
      <c r="G280" s="32" t="str">
        <f t="shared" si="117"/>
        <v/>
      </c>
      <c r="H280" s="32" t="str">
        <f t="shared" si="118"/>
        <v/>
      </c>
      <c r="I280" s="32" t="str">
        <f t="shared" si="119"/>
        <v/>
      </c>
      <c r="J280" s="46" t="str">
        <f t="shared" si="120"/>
        <v/>
      </c>
      <c r="K280" s="32" t="str">
        <f t="shared" si="121"/>
        <v/>
      </c>
      <c r="L280" s="32" t="str">
        <f t="shared" si="122"/>
        <v/>
      </c>
      <c r="M280" s="32" t="str">
        <f t="shared" si="123"/>
        <v/>
      </c>
      <c r="N280" s="32" t="str">
        <f t="shared" si="124"/>
        <v/>
      </c>
      <c r="O280" s="32" t="str">
        <f t="shared" si="125"/>
        <v/>
      </c>
      <c r="Q280" t="str">
        <f>IFERROR(MATCH(276,บันทึกรายเที่ยว!$Z$6:$Z$10005,0),"")</f>
        <v/>
      </c>
      <c r="R280" t="str">
        <f>IF($Q280="","",INDEX(บันทึกรายเที่ยว!$V$6:$V$10005,$Q280))</f>
        <v/>
      </c>
      <c r="S280" t="str">
        <f>IF($Q280="","",INDEX(บันทึกรายเที่ยว!$F$6:$F$10005,$Q280))</f>
        <v/>
      </c>
      <c r="T280" t="str">
        <f>IF($Q280="","",MATCH($S280,บันทึกรายเที่ยว!$F$6:$F$10005,0))</f>
        <v/>
      </c>
      <c r="U280" t="str">
        <f>IF($Q280="","",$AL280*10000000+$T280*1000+276)</f>
        <v/>
      </c>
      <c r="V280" t="str">
        <f>IFERROR(MATCH(SMALL($U$5:$U$404,276),$U$5:$U$404,0),"")</f>
        <v/>
      </c>
      <c r="W280" t="str">
        <f t="shared" si="126"/>
        <v/>
      </c>
      <c r="X280" t="str">
        <f t="shared" si="127"/>
        <v/>
      </c>
      <c r="Y280" t="str">
        <f t="shared" si="128"/>
        <v/>
      </c>
      <c r="Z280">
        <f t="shared" si="138"/>
        <v>0</v>
      </c>
      <c r="AA280">
        <f t="shared" si="129"/>
        <v>0</v>
      </c>
      <c r="AB280">
        <f>IF($V280="",99999+276,$AB279+1+$Z279+$AA279+$AO279)</f>
        <v>100275</v>
      </c>
      <c r="AC280" t="str">
        <f>IFERROR(MATCH(276,$AB$5:$AB$404,1),"")</f>
        <v/>
      </c>
      <c r="AD280" t="str">
        <f>IF(276=$AI$1+1,"Z",IF($AC280="","",IF(INDEX($V$5:$V$404,$AC280)="","",IF(276&gt;INDEX($AB$5:$AB$404,$AC280)+INDEX($Z$5:$Z$404,$AC280)+INDEX($AA$5:$AA$404,$AC280)+INDEX($AO$5:$AO$404,$AC280),"",IF(276=INDEX($AB$5:$AB$404,$AC280)+INDEX($Z$5:$Z$404,$AC280),"D",IF(AND(INDEX($Z$5:$Z$404,$AC280)=1,276=INDEX($AB$5:$AB$404,$AC280)),"H",IF(AND(INDEX($AO$5:$AO$404,$AC280)=1,276=INDEX($AB$5:$AB$404,$AC280)+INDEX($Z$5:$Z$404,$AC280)+INDEX($AA$5:$AA$404,$AC280)+INDEX($AO$5:$AO$404,$AC280)),"B","T")))))))</f>
        <v/>
      </c>
      <c r="AF280" t="str">
        <f t="shared" si="130"/>
        <v/>
      </c>
      <c r="AJ280">
        <f>IF($AD280&lt;&gt;"T",0,ROUND(SUMIF(oil!$B$4:$B$63,$AF280,oil!$AE$4:$AE$63),2))</f>
        <v>0</v>
      </c>
      <c r="AK280" t="str">
        <f>IF($S280="","",IFERROR(INDEX(อัตราค่าขนส่ง!$R$5:$R$54,MATCH($S280,อัตราค่าขนส่ง!$Q$5:$Q$54,0)),INDEX(รายการมาตรฐาน!$G$2:$G$3,1)))</f>
        <v/>
      </c>
      <c r="AL280" t="str">
        <f>IF($S280="","",IFERROR(MATCH($AK280,รายการมาตรฐาน!$G$2:$G$3,0),1))</f>
        <v/>
      </c>
      <c r="AM280" t="str">
        <f t="shared" si="131"/>
        <v/>
      </c>
      <c r="AN280" t="str">
        <f t="shared" si="132"/>
        <v/>
      </c>
      <c r="AO280">
        <f t="shared" si="133"/>
        <v>0</v>
      </c>
      <c r="AP280">
        <f t="shared" si="139"/>
        <v>0</v>
      </c>
      <c r="AQ280" t="str">
        <f t="shared" si="134"/>
        <v/>
      </c>
      <c r="AR280">
        <f>IF($Y280="",0,COUNTIF(บันทึกรายเที่ยว!$V$6:$V$10005,$Y280))</f>
        <v>0</v>
      </c>
      <c r="AS280">
        <f>IF($Y280="",0,ROUND(SUMIF(บันทึกรายเที่ยว!$V$6:$V$10005,$Y280,บันทึกรายเที่ยว!$M$6:$M$10005),2))</f>
        <v>0</v>
      </c>
      <c r="AT280">
        <f>IF($Y280="",0,IFERROR(INDEX(อัตราค่าขนส่ง!$J$5:$J$204,MATCH($Y280,อัตราค่าขนส่ง!$O$5:$O$204,0)),0))</f>
        <v>0</v>
      </c>
      <c r="AU280">
        <f t="shared" si="135"/>
        <v>0</v>
      </c>
      <c r="AV280">
        <f t="shared" si="136"/>
        <v>0</v>
      </c>
      <c r="AW280" t="str">
        <f>IF($Y280="","",IFERROR(INDEX(อัตราค่าขนส่ง!$F$5:$F$204,MATCH($Y280,อัตราค่าขนส่ง!$O$5:$O$204,0)),""))</f>
        <v/>
      </c>
      <c r="AX280" t="str">
        <f>IF($W280="","",INDEX(บันทึกรายเที่ยว!$D$6:$D$10005,$W280))</f>
        <v/>
      </c>
      <c r="AY280" t="str">
        <f>IF($W280="","",INDEX(บันทึกรายเที่ยว!$R$6:$R$10005,$W280))</f>
        <v/>
      </c>
      <c r="AZ280">
        <f t="shared" si="137"/>
        <v>0</v>
      </c>
      <c r="BA280" t="str">
        <f>IF($W280="","",INDEX(บันทึกรายเที่ยว!$E$6:$E$10005,$W280))</f>
        <v/>
      </c>
      <c r="BC280">
        <f>IF($Y280="",0,IFERROR(INDEX(อัตราค่าขนส่ง!$M$5:$M$204,MATCH($Y280,อัตราค่าขนส่ง!$O$5:$O$204,0)),0))</f>
        <v>0</v>
      </c>
      <c r="BD280">
        <f>IF($Y280="",0,IFERROR(INDEX(อัตราค่าขนส่ง!$N$5:$N$204,MATCH($Y280,อัตราค่าขนส่ง!$O$5:$O$204,0)),0))</f>
        <v>0</v>
      </c>
    </row>
    <row r="281" spans="1:56" ht="21" customHeight="1" x14ac:dyDescent="0.95">
      <c r="A281" s="36" t="str">
        <f>IF($AD281="","",IF($AD281="Z","รวมจ่ายทั้งสิ้น",IF($AD281="H",INDEX($X$5:$X$404,$AC281),IF($AD281="T","รวม",IF($AD281="B",IFERROR(INDEX(อัตราค่าขนส่ง!$U$5:$U$14,MATCH(INDEX($AM$5:$AM$404,$AC281),อัตราค่าขนส่ง!$T$5:$T$14,0)),"รวมกลุ่ม "&amp;INDEX($AM$5:$AM$404,$AC281)),INDEX($AY$5:$AY$404,$AC281))))))</f>
        <v/>
      </c>
      <c r="B281" s="31" t="str">
        <f t="shared" si="112"/>
        <v/>
      </c>
      <c r="C281" s="8" t="str">
        <f t="shared" si="113"/>
        <v/>
      </c>
      <c r="D281" s="37" t="str">
        <f t="shared" si="114"/>
        <v/>
      </c>
      <c r="E281" s="31" t="str">
        <f t="shared" si="115"/>
        <v/>
      </c>
      <c r="F281" s="32" t="str">
        <f t="shared" si="116"/>
        <v/>
      </c>
      <c r="G281" s="32" t="str">
        <f t="shared" si="117"/>
        <v/>
      </c>
      <c r="H281" s="32" t="str">
        <f t="shared" si="118"/>
        <v/>
      </c>
      <c r="I281" s="32" t="str">
        <f t="shared" si="119"/>
        <v/>
      </c>
      <c r="J281" s="46" t="str">
        <f t="shared" si="120"/>
        <v/>
      </c>
      <c r="K281" s="32" t="str">
        <f t="shared" si="121"/>
        <v/>
      </c>
      <c r="L281" s="32" t="str">
        <f t="shared" si="122"/>
        <v/>
      </c>
      <c r="M281" s="32" t="str">
        <f t="shared" si="123"/>
        <v/>
      </c>
      <c r="N281" s="32" t="str">
        <f t="shared" si="124"/>
        <v/>
      </c>
      <c r="O281" s="32" t="str">
        <f t="shared" si="125"/>
        <v/>
      </c>
      <c r="Q281" t="str">
        <f>IFERROR(MATCH(277,บันทึกรายเที่ยว!$Z$6:$Z$10005,0),"")</f>
        <v/>
      </c>
      <c r="R281" t="str">
        <f>IF($Q281="","",INDEX(บันทึกรายเที่ยว!$V$6:$V$10005,$Q281))</f>
        <v/>
      </c>
      <c r="S281" t="str">
        <f>IF($Q281="","",INDEX(บันทึกรายเที่ยว!$F$6:$F$10005,$Q281))</f>
        <v/>
      </c>
      <c r="T281" t="str">
        <f>IF($Q281="","",MATCH($S281,บันทึกรายเที่ยว!$F$6:$F$10005,0))</f>
        <v/>
      </c>
      <c r="U281" t="str">
        <f>IF($Q281="","",$AL281*10000000+$T281*1000+277)</f>
        <v/>
      </c>
      <c r="V281" t="str">
        <f>IFERROR(MATCH(SMALL($U$5:$U$404,277),$U$5:$U$404,0),"")</f>
        <v/>
      </c>
      <c r="W281" t="str">
        <f t="shared" si="126"/>
        <v/>
      </c>
      <c r="X281" t="str">
        <f t="shared" si="127"/>
        <v/>
      </c>
      <c r="Y281" t="str">
        <f t="shared" si="128"/>
        <v/>
      </c>
      <c r="Z281">
        <f t="shared" si="138"/>
        <v>0</v>
      </c>
      <c r="AA281">
        <f t="shared" si="129"/>
        <v>0</v>
      </c>
      <c r="AB281">
        <f>IF($V281="",99999+277,$AB280+1+$Z280+$AA280+$AO280)</f>
        <v>100276</v>
      </c>
      <c r="AC281" t="str">
        <f>IFERROR(MATCH(277,$AB$5:$AB$404,1),"")</f>
        <v/>
      </c>
      <c r="AD281" t="str">
        <f>IF(277=$AI$1+1,"Z",IF($AC281="","",IF(INDEX($V$5:$V$404,$AC281)="","",IF(277&gt;INDEX($AB$5:$AB$404,$AC281)+INDEX($Z$5:$Z$404,$AC281)+INDEX($AA$5:$AA$404,$AC281)+INDEX($AO$5:$AO$404,$AC281),"",IF(277=INDEX($AB$5:$AB$404,$AC281)+INDEX($Z$5:$Z$404,$AC281),"D",IF(AND(INDEX($Z$5:$Z$404,$AC281)=1,277=INDEX($AB$5:$AB$404,$AC281)),"H",IF(AND(INDEX($AO$5:$AO$404,$AC281)=1,277=INDEX($AB$5:$AB$404,$AC281)+INDEX($Z$5:$Z$404,$AC281)+INDEX($AA$5:$AA$404,$AC281)+INDEX($AO$5:$AO$404,$AC281)),"B","T")))))))</f>
        <v/>
      </c>
      <c r="AF281" t="str">
        <f t="shared" si="130"/>
        <v/>
      </c>
      <c r="AJ281">
        <f>IF($AD281&lt;&gt;"T",0,ROUND(SUMIF(oil!$B$4:$B$63,$AF281,oil!$AE$4:$AE$63),2))</f>
        <v>0</v>
      </c>
      <c r="AK281" t="str">
        <f>IF($S281="","",IFERROR(INDEX(อัตราค่าขนส่ง!$R$5:$R$54,MATCH($S281,อัตราค่าขนส่ง!$Q$5:$Q$54,0)),INDEX(รายการมาตรฐาน!$G$2:$G$3,1)))</f>
        <v/>
      </c>
      <c r="AL281" t="str">
        <f>IF($S281="","",IFERROR(MATCH($AK281,รายการมาตรฐาน!$G$2:$G$3,0),1))</f>
        <v/>
      </c>
      <c r="AM281" t="str">
        <f t="shared" si="131"/>
        <v/>
      </c>
      <c r="AN281" t="str">
        <f t="shared" si="132"/>
        <v/>
      </c>
      <c r="AO281">
        <f t="shared" si="133"/>
        <v>0</v>
      </c>
      <c r="AP281">
        <f t="shared" si="139"/>
        <v>0</v>
      </c>
      <c r="AQ281" t="str">
        <f t="shared" si="134"/>
        <v/>
      </c>
      <c r="AR281">
        <f>IF($Y281="",0,COUNTIF(บันทึกรายเที่ยว!$V$6:$V$10005,$Y281))</f>
        <v>0</v>
      </c>
      <c r="AS281">
        <f>IF($Y281="",0,ROUND(SUMIF(บันทึกรายเที่ยว!$V$6:$V$10005,$Y281,บันทึกรายเที่ยว!$M$6:$M$10005),2))</f>
        <v>0</v>
      </c>
      <c r="AT281">
        <f>IF($Y281="",0,IFERROR(INDEX(อัตราค่าขนส่ง!$J$5:$J$204,MATCH($Y281,อัตราค่าขนส่ง!$O$5:$O$204,0)),0))</f>
        <v>0</v>
      </c>
      <c r="AU281">
        <f t="shared" si="135"/>
        <v>0</v>
      </c>
      <c r="AV281">
        <f t="shared" si="136"/>
        <v>0</v>
      </c>
      <c r="AW281" t="str">
        <f>IF($Y281="","",IFERROR(INDEX(อัตราค่าขนส่ง!$F$5:$F$204,MATCH($Y281,อัตราค่าขนส่ง!$O$5:$O$204,0)),""))</f>
        <v/>
      </c>
      <c r="AX281" t="str">
        <f>IF($W281="","",INDEX(บันทึกรายเที่ยว!$D$6:$D$10005,$W281))</f>
        <v/>
      </c>
      <c r="AY281" t="str">
        <f>IF($W281="","",INDEX(บันทึกรายเที่ยว!$R$6:$R$10005,$W281))</f>
        <v/>
      </c>
      <c r="AZ281">
        <f t="shared" si="137"/>
        <v>0</v>
      </c>
      <c r="BA281" t="str">
        <f>IF($W281="","",INDEX(บันทึกรายเที่ยว!$E$6:$E$10005,$W281))</f>
        <v/>
      </c>
      <c r="BC281">
        <f>IF($Y281="",0,IFERROR(INDEX(อัตราค่าขนส่ง!$M$5:$M$204,MATCH($Y281,อัตราค่าขนส่ง!$O$5:$O$204,0)),0))</f>
        <v>0</v>
      </c>
      <c r="BD281">
        <f>IF($Y281="",0,IFERROR(INDEX(อัตราค่าขนส่ง!$N$5:$N$204,MATCH($Y281,อัตราค่าขนส่ง!$O$5:$O$204,0)),0))</f>
        <v>0</v>
      </c>
    </row>
    <row r="282" spans="1:56" ht="21" customHeight="1" x14ac:dyDescent="0.95">
      <c r="A282" s="36" t="str">
        <f>IF($AD282="","",IF($AD282="Z","รวมจ่ายทั้งสิ้น",IF($AD282="H",INDEX($X$5:$X$404,$AC282),IF($AD282="T","รวม",IF($AD282="B",IFERROR(INDEX(อัตราค่าขนส่ง!$U$5:$U$14,MATCH(INDEX($AM$5:$AM$404,$AC282),อัตราค่าขนส่ง!$T$5:$T$14,0)),"รวมกลุ่ม "&amp;INDEX($AM$5:$AM$404,$AC282)),INDEX($AY$5:$AY$404,$AC282))))))</f>
        <v/>
      </c>
      <c r="B282" s="31" t="str">
        <f t="shared" si="112"/>
        <v/>
      </c>
      <c r="C282" s="8" t="str">
        <f t="shared" si="113"/>
        <v/>
      </c>
      <c r="D282" s="37" t="str">
        <f t="shared" si="114"/>
        <v/>
      </c>
      <c r="E282" s="31" t="str">
        <f t="shared" si="115"/>
        <v/>
      </c>
      <c r="F282" s="32" t="str">
        <f t="shared" si="116"/>
        <v/>
      </c>
      <c r="G282" s="32" t="str">
        <f t="shared" si="117"/>
        <v/>
      </c>
      <c r="H282" s="32" t="str">
        <f t="shared" si="118"/>
        <v/>
      </c>
      <c r="I282" s="32" t="str">
        <f t="shared" si="119"/>
        <v/>
      </c>
      <c r="J282" s="46" t="str">
        <f t="shared" si="120"/>
        <v/>
      </c>
      <c r="K282" s="32" t="str">
        <f t="shared" si="121"/>
        <v/>
      </c>
      <c r="L282" s="32" t="str">
        <f t="shared" si="122"/>
        <v/>
      </c>
      <c r="M282" s="32" t="str">
        <f t="shared" si="123"/>
        <v/>
      </c>
      <c r="N282" s="32" t="str">
        <f t="shared" si="124"/>
        <v/>
      </c>
      <c r="O282" s="32" t="str">
        <f t="shared" si="125"/>
        <v/>
      </c>
      <c r="Q282" t="str">
        <f>IFERROR(MATCH(278,บันทึกรายเที่ยว!$Z$6:$Z$10005,0),"")</f>
        <v/>
      </c>
      <c r="R282" t="str">
        <f>IF($Q282="","",INDEX(บันทึกรายเที่ยว!$V$6:$V$10005,$Q282))</f>
        <v/>
      </c>
      <c r="S282" t="str">
        <f>IF($Q282="","",INDEX(บันทึกรายเที่ยว!$F$6:$F$10005,$Q282))</f>
        <v/>
      </c>
      <c r="T282" t="str">
        <f>IF($Q282="","",MATCH($S282,บันทึกรายเที่ยว!$F$6:$F$10005,0))</f>
        <v/>
      </c>
      <c r="U282" t="str">
        <f>IF($Q282="","",$AL282*10000000+$T282*1000+278)</f>
        <v/>
      </c>
      <c r="V282" t="str">
        <f>IFERROR(MATCH(SMALL($U$5:$U$404,278),$U$5:$U$404,0),"")</f>
        <v/>
      </c>
      <c r="W282" t="str">
        <f t="shared" si="126"/>
        <v/>
      </c>
      <c r="X282" t="str">
        <f t="shared" si="127"/>
        <v/>
      </c>
      <c r="Y282" t="str">
        <f t="shared" si="128"/>
        <v/>
      </c>
      <c r="Z282">
        <f t="shared" si="138"/>
        <v>0</v>
      </c>
      <c r="AA282">
        <f t="shared" si="129"/>
        <v>0</v>
      </c>
      <c r="AB282">
        <f>IF($V282="",99999+278,$AB281+1+$Z281+$AA281+$AO281)</f>
        <v>100277</v>
      </c>
      <c r="AC282" t="str">
        <f>IFERROR(MATCH(278,$AB$5:$AB$404,1),"")</f>
        <v/>
      </c>
      <c r="AD282" t="str">
        <f>IF(278=$AI$1+1,"Z",IF($AC282="","",IF(INDEX($V$5:$V$404,$AC282)="","",IF(278&gt;INDEX($AB$5:$AB$404,$AC282)+INDEX($Z$5:$Z$404,$AC282)+INDEX($AA$5:$AA$404,$AC282)+INDEX($AO$5:$AO$404,$AC282),"",IF(278=INDEX($AB$5:$AB$404,$AC282)+INDEX($Z$5:$Z$404,$AC282),"D",IF(AND(INDEX($Z$5:$Z$404,$AC282)=1,278=INDEX($AB$5:$AB$404,$AC282)),"H",IF(AND(INDEX($AO$5:$AO$404,$AC282)=1,278=INDEX($AB$5:$AB$404,$AC282)+INDEX($Z$5:$Z$404,$AC282)+INDEX($AA$5:$AA$404,$AC282)+INDEX($AO$5:$AO$404,$AC282)),"B","T")))))))</f>
        <v/>
      </c>
      <c r="AF282" t="str">
        <f t="shared" si="130"/>
        <v/>
      </c>
      <c r="AJ282">
        <f>IF($AD282&lt;&gt;"T",0,ROUND(SUMIF(oil!$B$4:$B$63,$AF282,oil!$AE$4:$AE$63),2))</f>
        <v>0</v>
      </c>
      <c r="AK282" t="str">
        <f>IF($S282="","",IFERROR(INDEX(อัตราค่าขนส่ง!$R$5:$R$54,MATCH($S282,อัตราค่าขนส่ง!$Q$5:$Q$54,0)),INDEX(รายการมาตรฐาน!$G$2:$G$3,1)))</f>
        <v/>
      </c>
      <c r="AL282" t="str">
        <f>IF($S282="","",IFERROR(MATCH($AK282,รายการมาตรฐาน!$G$2:$G$3,0),1))</f>
        <v/>
      </c>
      <c r="AM282" t="str">
        <f t="shared" si="131"/>
        <v/>
      </c>
      <c r="AN282" t="str">
        <f t="shared" si="132"/>
        <v/>
      </c>
      <c r="AO282">
        <f t="shared" si="133"/>
        <v>0</v>
      </c>
      <c r="AP282">
        <f t="shared" si="139"/>
        <v>0</v>
      </c>
      <c r="AQ282" t="str">
        <f t="shared" si="134"/>
        <v/>
      </c>
      <c r="AR282">
        <f>IF($Y282="",0,COUNTIF(บันทึกรายเที่ยว!$V$6:$V$10005,$Y282))</f>
        <v>0</v>
      </c>
      <c r="AS282">
        <f>IF($Y282="",0,ROUND(SUMIF(บันทึกรายเที่ยว!$V$6:$V$10005,$Y282,บันทึกรายเที่ยว!$M$6:$M$10005),2))</f>
        <v>0</v>
      </c>
      <c r="AT282">
        <f>IF($Y282="",0,IFERROR(INDEX(อัตราค่าขนส่ง!$J$5:$J$204,MATCH($Y282,อัตราค่าขนส่ง!$O$5:$O$204,0)),0))</f>
        <v>0</v>
      </c>
      <c r="AU282">
        <f t="shared" si="135"/>
        <v>0</v>
      </c>
      <c r="AV282">
        <f t="shared" si="136"/>
        <v>0</v>
      </c>
      <c r="AW282" t="str">
        <f>IF($Y282="","",IFERROR(INDEX(อัตราค่าขนส่ง!$F$5:$F$204,MATCH($Y282,อัตราค่าขนส่ง!$O$5:$O$204,0)),""))</f>
        <v/>
      </c>
      <c r="AX282" t="str">
        <f>IF($W282="","",INDEX(บันทึกรายเที่ยว!$D$6:$D$10005,$W282))</f>
        <v/>
      </c>
      <c r="AY282" t="str">
        <f>IF($W282="","",INDEX(บันทึกรายเที่ยว!$R$6:$R$10005,$W282))</f>
        <v/>
      </c>
      <c r="AZ282">
        <f t="shared" si="137"/>
        <v>0</v>
      </c>
      <c r="BA282" t="str">
        <f>IF($W282="","",INDEX(บันทึกรายเที่ยว!$E$6:$E$10005,$W282))</f>
        <v/>
      </c>
      <c r="BC282">
        <f>IF($Y282="",0,IFERROR(INDEX(อัตราค่าขนส่ง!$M$5:$M$204,MATCH($Y282,อัตราค่าขนส่ง!$O$5:$O$204,0)),0))</f>
        <v>0</v>
      </c>
      <c r="BD282">
        <f>IF($Y282="",0,IFERROR(INDEX(อัตราค่าขนส่ง!$N$5:$N$204,MATCH($Y282,อัตราค่าขนส่ง!$O$5:$O$204,0)),0))</f>
        <v>0</v>
      </c>
    </row>
    <row r="283" spans="1:56" ht="21" customHeight="1" x14ac:dyDescent="0.95">
      <c r="A283" s="36" t="str">
        <f>IF($AD283="","",IF($AD283="Z","รวมจ่ายทั้งสิ้น",IF($AD283="H",INDEX($X$5:$X$404,$AC283),IF($AD283="T","รวม",IF($AD283="B",IFERROR(INDEX(อัตราค่าขนส่ง!$U$5:$U$14,MATCH(INDEX($AM$5:$AM$404,$AC283),อัตราค่าขนส่ง!$T$5:$T$14,0)),"รวมกลุ่ม "&amp;INDEX($AM$5:$AM$404,$AC283)),INDEX($AY$5:$AY$404,$AC283))))))</f>
        <v/>
      </c>
      <c r="B283" s="31" t="str">
        <f t="shared" si="112"/>
        <v/>
      </c>
      <c r="C283" s="8" t="str">
        <f t="shared" si="113"/>
        <v/>
      </c>
      <c r="D283" s="37" t="str">
        <f t="shared" si="114"/>
        <v/>
      </c>
      <c r="E283" s="31" t="str">
        <f t="shared" si="115"/>
        <v/>
      </c>
      <c r="F283" s="32" t="str">
        <f t="shared" si="116"/>
        <v/>
      </c>
      <c r="G283" s="32" t="str">
        <f t="shared" si="117"/>
        <v/>
      </c>
      <c r="H283" s="32" t="str">
        <f t="shared" si="118"/>
        <v/>
      </c>
      <c r="I283" s="32" t="str">
        <f t="shared" si="119"/>
        <v/>
      </c>
      <c r="J283" s="46" t="str">
        <f t="shared" si="120"/>
        <v/>
      </c>
      <c r="K283" s="32" t="str">
        <f t="shared" si="121"/>
        <v/>
      </c>
      <c r="L283" s="32" t="str">
        <f t="shared" si="122"/>
        <v/>
      </c>
      <c r="M283" s="32" t="str">
        <f t="shared" si="123"/>
        <v/>
      </c>
      <c r="N283" s="32" t="str">
        <f t="shared" si="124"/>
        <v/>
      </c>
      <c r="O283" s="32" t="str">
        <f t="shared" si="125"/>
        <v/>
      </c>
      <c r="Q283" t="str">
        <f>IFERROR(MATCH(279,บันทึกรายเที่ยว!$Z$6:$Z$10005,0),"")</f>
        <v/>
      </c>
      <c r="R283" t="str">
        <f>IF($Q283="","",INDEX(บันทึกรายเที่ยว!$V$6:$V$10005,$Q283))</f>
        <v/>
      </c>
      <c r="S283" t="str">
        <f>IF($Q283="","",INDEX(บันทึกรายเที่ยว!$F$6:$F$10005,$Q283))</f>
        <v/>
      </c>
      <c r="T283" t="str">
        <f>IF($Q283="","",MATCH($S283,บันทึกรายเที่ยว!$F$6:$F$10005,0))</f>
        <v/>
      </c>
      <c r="U283" t="str">
        <f>IF($Q283="","",$AL283*10000000+$T283*1000+279)</f>
        <v/>
      </c>
      <c r="V283" t="str">
        <f>IFERROR(MATCH(SMALL($U$5:$U$404,279),$U$5:$U$404,0),"")</f>
        <v/>
      </c>
      <c r="W283" t="str">
        <f t="shared" si="126"/>
        <v/>
      </c>
      <c r="X283" t="str">
        <f t="shared" si="127"/>
        <v/>
      </c>
      <c r="Y283" t="str">
        <f t="shared" si="128"/>
        <v/>
      </c>
      <c r="Z283">
        <f t="shared" si="138"/>
        <v>0</v>
      </c>
      <c r="AA283">
        <f t="shared" si="129"/>
        <v>0</v>
      </c>
      <c r="AB283">
        <f>IF($V283="",99999+279,$AB282+1+$Z282+$AA282+$AO282)</f>
        <v>100278</v>
      </c>
      <c r="AC283" t="str">
        <f>IFERROR(MATCH(279,$AB$5:$AB$404,1),"")</f>
        <v/>
      </c>
      <c r="AD283" t="str">
        <f>IF(279=$AI$1+1,"Z",IF($AC283="","",IF(INDEX($V$5:$V$404,$AC283)="","",IF(279&gt;INDEX($AB$5:$AB$404,$AC283)+INDEX($Z$5:$Z$404,$AC283)+INDEX($AA$5:$AA$404,$AC283)+INDEX($AO$5:$AO$404,$AC283),"",IF(279=INDEX($AB$5:$AB$404,$AC283)+INDEX($Z$5:$Z$404,$AC283),"D",IF(AND(INDEX($Z$5:$Z$404,$AC283)=1,279=INDEX($AB$5:$AB$404,$AC283)),"H",IF(AND(INDEX($AO$5:$AO$404,$AC283)=1,279=INDEX($AB$5:$AB$404,$AC283)+INDEX($Z$5:$Z$404,$AC283)+INDEX($AA$5:$AA$404,$AC283)+INDEX($AO$5:$AO$404,$AC283)),"B","T")))))))</f>
        <v/>
      </c>
      <c r="AF283" t="str">
        <f t="shared" si="130"/>
        <v/>
      </c>
      <c r="AJ283">
        <f>IF($AD283&lt;&gt;"T",0,ROUND(SUMIF(oil!$B$4:$B$63,$AF283,oil!$AE$4:$AE$63),2))</f>
        <v>0</v>
      </c>
      <c r="AK283" t="str">
        <f>IF($S283="","",IFERROR(INDEX(อัตราค่าขนส่ง!$R$5:$R$54,MATCH($S283,อัตราค่าขนส่ง!$Q$5:$Q$54,0)),INDEX(รายการมาตรฐาน!$G$2:$G$3,1)))</f>
        <v/>
      </c>
      <c r="AL283" t="str">
        <f>IF($S283="","",IFERROR(MATCH($AK283,รายการมาตรฐาน!$G$2:$G$3,0),1))</f>
        <v/>
      </c>
      <c r="AM283" t="str">
        <f t="shared" si="131"/>
        <v/>
      </c>
      <c r="AN283" t="str">
        <f t="shared" si="132"/>
        <v/>
      </c>
      <c r="AO283">
        <f t="shared" si="133"/>
        <v>0</v>
      </c>
      <c r="AP283">
        <f t="shared" si="139"/>
        <v>0</v>
      </c>
      <c r="AQ283" t="str">
        <f t="shared" si="134"/>
        <v/>
      </c>
      <c r="AR283">
        <f>IF($Y283="",0,COUNTIF(บันทึกรายเที่ยว!$V$6:$V$10005,$Y283))</f>
        <v>0</v>
      </c>
      <c r="AS283">
        <f>IF($Y283="",0,ROUND(SUMIF(บันทึกรายเที่ยว!$V$6:$V$10005,$Y283,บันทึกรายเที่ยว!$M$6:$M$10005),2))</f>
        <v>0</v>
      </c>
      <c r="AT283">
        <f>IF($Y283="",0,IFERROR(INDEX(อัตราค่าขนส่ง!$J$5:$J$204,MATCH($Y283,อัตราค่าขนส่ง!$O$5:$O$204,0)),0))</f>
        <v>0</v>
      </c>
      <c r="AU283">
        <f t="shared" si="135"/>
        <v>0</v>
      </c>
      <c r="AV283">
        <f t="shared" si="136"/>
        <v>0</v>
      </c>
      <c r="AW283" t="str">
        <f>IF($Y283="","",IFERROR(INDEX(อัตราค่าขนส่ง!$F$5:$F$204,MATCH($Y283,อัตราค่าขนส่ง!$O$5:$O$204,0)),""))</f>
        <v/>
      </c>
      <c r="AX283" t="str">
        <f>IF($W283="","",INDEX(บันทึกรายเที่ยว!$D$6:$D$10005,$W283))</f>
        <v/>
      </c>
      <c r="AY283" t="str">
        <f>IF($W283="","",INDEX(บันทึกรายเที่ยว!$R$6:$R$10005,$W283))</f>
        <v/>
      </c>
      <c r="AZ283">
        <f t="shared" si="137"/>
        <v>0</v>
      </c>
      <c r="BA283" t="str">
        <f>IF($W283="","",INDEX(บันทึกรายเที่ยว!$E$6:$E$10005,$W283))</f>
        <v/>
      </c>
      <c r="BC283">
        <f>IF($Y283="",0,IFERROR(INDEX(อัตราค่าขนส่ง!$M$5:$M$204,MATCH($Y283,อัตราค่าขนส่ง!$O$5:$O$204,0)),0))</f>
        <v>0</v>
      </c>
      <c r="BD283">
        <f>IF($Y283="",0,IFERROR(INDEX(อัตราค่าขนส่ง!$N$5:$N$204,MATCH($Y283,อัตราค่าขนส่ง!$O$5:$O$204,0)),0))</f>
        <v>0</v>
      </c>
    </row>
    <row r="284" spans="1:56" ht="21" customHeight="1" x14ac:dyDescent="0.95">
      <c r="A284" s="36" t="str">
        <f>IF($AD284="","",IF($AD284="Z","รวมจ่ายทั้งสิ้น",IF($AD284="H",INDEX($X$5:$X$404,$AC284),IF($AD284="T","รวม",IF($AD284="B",IFERROR(INDEX(อัตราค่าขนส่ง!$U$5:$U$14,MATCH(INDEX($AM$5:$AM$404,$AC284),อัตราค่าขนส่ง!$T$5:$T$14,0)),"รวมกลุ่ม "&amp;INDEX($AM$5:$AM$404,$AC284)),INDEX($AY$5:$AY$404,$AC284))))))</f>
        <v/>
      </c>
      <c r="B284" s="31" t="str">
        <f t="shared" si="112"/>
        <v/>
      </c>
      <c r="C284" s="8" t="str">
        <f t="shared" si="113"/>
        <v/>
      </c>
      <c r="D284" s="37" t="str">
        <f t="shared" si="114"/>
        <v/>
      </c>
      <c r="E284" s="31" t="str">
        <f t="shared" si="115"/>
        <v/>
      </c>
      <c r="F284" s="32" t="str">
        <f t="shared" si="116"/>
        <v/>
      </c>
      <c r="G284" s="32" t="str">
        <f t="shared" si="117"/>
        <v/>
      </c>
      <c r="H284" s="32" t="str">
        <f t="shared" si="118"/>
        <v/>
      </c>
      <c r="I284" s="32" t="str">
        <f t="shared" si="119"/>
        <v/>
      </c>
      <c r="J284" s="46" t="str">
        <f t="shared" si="120"/>
        <v/>
      </c>
      <c r="K284" s="32" t="str">
        <f t="shared" si="121"/>
        <v/>
      </c>
      <c r="L284" s="32" t="str">
        <f t="shared" si="122"/>
        <v/>
      </c>
      <c r="M284" s="32" t="str">
        <f t="shared" si="123"/>
        <v/>
      </c>
      <c r="N284" s="32" t="str">
        <f t="shared" si="124"/>
        <v/>
      </c>
      <c r="O284" s="32" t="str">
        <f t="shared" si="125"/>
        <v/>
      </c>
      <c r="Q284" t="str">
        <f>IFERROR(MATCH(280,บันทึกรายเที่ยว!$Z$6:$Z$10005,0),"")</f>
        <v/>
      </c>
      <c r="R284" t="str">
        <f>IF($Q284="","",INDEX(บันทึกรายเที่ยว!$V$6:$V$10005,$Q284))</f>
        <v/>
      </c>
      <c r="S284" t="str">
        <f>IF($Q284="","",INDEX(บันทึกรายเที่ยว!$F$6:$F$10005,$Q284))</f>
        <v/>
      </c>
      <c r="T284" t="str">
        <f>IF($Q284="","",MATCH($S284,บันทึกรายเที่ยว!$F$6:$F$10005,0))</f>
        <v/>
      </c>
      <c r="U284" t="str">
        <f>IF($Q284="","",$AL284*10000000+$T284*1000+280)</f>
        <v/>
      </c>
      <c r="V284" t="str">
        <f>IFERROR(MATCH(SMALL($U$5:$U$404,280),$U$5:$U$404,0),"")</f>
        <v/>
      </c>
      <c r="W284" t="str">
        <f t="shared" si="126"/>
        <v/>
      </c>
      <c r="X284" t="str">
        <f t="shared" si="127"/>
        <v/>
      </c>
      <c r="Y284" t="str">
        <f t="shared" si="128"/>
        <v/>
      </c>
      <c r="Z284">
        <f t="shared" si="138"/>
        <v>0</v>
      </c>
      <c r="AA284">
        <f t="shared" si="129"/>
        <v>0</v>
      </c>
      <c r="AB284">
        <f>IF($V284="",99999+280,$AB283+1+$Z283+$AA283+$AO283)</f>
        <v>100279</v>
      </c>
      <c r="AC284" t="str">
        <f>IFERROR(MATCH(280,$AB$5:$AB$404,1),"")</f>
        <v/>
      </c>
      <c r="AD284" t="str">
        <f>IF(280=$AI$1+1,"Z",IF($AC284="","",IF(INDEX($V$5:$V$404,$AC284)="","",IF(280&gt;INDEX($AB$5:$AB$404,$AC284)+INDEX($Z$5:$Z$404,$AC284)+INDEX($AA$5:$AA$404,$AC284)+INDEX($AO$5:$AO$404,$AC284),"",IF(280=INDEX($AB$5:$AB$404,$AC284)+INDEX($Z$5:$Z$404,$AC284),"D",IF(AND(INDEX($Z$5:$Z$404,$AC284)=1,280=INDEX($AB$5:$AB$404,$AC284)),"H",IF(AND(INDEX($AO$5:$AO$404,$AC284)=1,280=INDEX($AB$5:$AB$404,$AC284)+INDEX($Z$5:$Z$404,$AC284)+INDEX($AA$5:$AA$404,$AC284)+INDEX($AO$5:$AO$404,$AC284)),"B","T")))))))</f>
        <v/>
      </c>
      <c r="AF284" t="str">
        <f t="shared" si="130"/>
        <v/>
      </c>
      <c r="AJ284">
        <f>IF($AD284&lt;&gt;"T",0,ROUND(SUMIF(oil!$B$4:$B$63,$AF284,oil!$AE$4:$AE$63),2))</f>
        <v>0</v>
      </c>
      <c r="AK284" t="str">
        <f>IF($S284="","",IFERROR(INDEX(อัตราค่าขนส่ง!$R$5:$R$54,MATCH($S284,อัตราค่าขนส่ง!$Q$5:$Q$54,0)),INDEX(รายการมาตรฐาน!$G$2:$G$3,1)))</f>
        <v/>
      </c>
      <c r="AL284" t="str">
        <f>IF($S284="","",IFERROR(MATCH($AK284,รายการมาตรฐาน!$G$2:$G$3,0),1))</f>
        <v/>
      </c>
      <c r="AM284" t="str">
        <f t="shared" si="131"/>
        <v/>
      </c>
      <c r="AN284" t="str">
        <f t="shared" si="132"/>
        <v/>
      </c>
      <c r="AO284">
        <f t="shared" si="133"/>
        <v>0</v>
      </c>
      <c r="AP284">
        <f t="shared" si="139"/>
        <v>0</v>
      </c>
      <c r="AQ284" t="str">
        <f t="shared" si="134"/>
        <v/>
      </c>
      <c r="AR284">
        <f>IF($Y284="",0,COUNTIF(บันทึกรายเที่ยว!$V$6:$V$10005,$Y284))</f>
        <v>0</v>
      </c>
      <c r="AS284">
        <f>IF($Y284="",0,ROUND(SUMIF(บันทึกรายเที่ยว!$V$6:$V$10005,$Y284,บันทึกรายเที่ยว!$M$6:$M$10005),2))</f>
        <v>0</v>
      </c>
      <c r="AT284">
        <f>IF($Y284="",0,IFERROR(INDEX(อัตราค่าขนส่ง!$J$5:$J$204,MATCH($Y284,อัตราค่าขนส่ง!$O$5:$O$204,0)),0))</f>
        <v>0</v>
      </c>
      <c r="AU284">
        <f t="shared" si="135"/>
        <v>0</v>
      </c>
      <c r="AV284">
        <f t="shared" si="136"/>
        <v>0</v>
      </c>
      <c r="AW284" t="str">
        <f>IF($Y284="","",IFERROR(INDEX(อัตราค่าขนส่ง!$F$5:$F$204,MATCH($Y284,อัตราค่าขนส่ง!$O$5:$O$204,0)),""))</f>
        <v/>
      </c>
      <c r="AX284" t="str">
        <f>IF($W284="","",INDEX(บันทึกรายเที่ยว!$D$6:$D$10005,$W284))</f>
        <v/>
      </c>
      <c r="AY284" t="str">
        <f>IF($W284="","",INDEX(บันทึกรายเที่ยว!$R$6:$R$10005,$W284))</f>
        <v/>
      </c>
      <c r="AZ284">
        <f t="shared" si="137"/>
        <v>0</v>
      </c>
      <c r="BA284" t="str">
        <f>IF($W284="","",INDEX(บันทึกรายเที่ยว!$E$6:$E$10005,$W284))</f>
        <v/>
      </c>
      <c r="BC284">
        <f>IF($Y284="",0,IFERROR(INDEX(อัตราค่าขนส่ง!$M$5:$M$204,MATCH($Y284,อัตราค่าขนส่ง!$O$5:$O$204,0)),0))</f>
        <v>0</v>
      </c>
      <c r="BD284">
        <f>IF($Y284="",0,IFERROR(INDEX(อัตราค่าขนส่ง!$N$5:$N$204,MATCH($Y284,อัตราค่าขนส่ง!$O$5:$O$204,0)),0))</f>
        <v>0</v>
      </c>
    </row>
    <row r="285" spans="1:56" ht="21" customHeight="1" x14ac:dyDescent="0.95">
      <c r="A285" s="36" t="str">
        <f>IF($AD285="","",IF($AD285="Z","รวมจ่ายทั้งสิ้น",IF($AD285="H",INDEX($X$5:$X$404,$AC285),IF($AD285="T","รวม",IF($AD285="B",IFERROR(INDEX(อัตราค่าขนส่ง!$U$5:$U$14,MATCH(INDEX($AM$5:$AM$404,$AC285),อัตราค่าขนส่ง!$T$5:$T$14,0)),"รวมกลุ่ม "&amp;INDEX($AM$5:$AM$404,$AC285)),INDEX($AY$5:$AY$404,$AC285))))))</f>
        <v/>
      </c>
      <c r="B285" s="31" t="str">
        <f t="shared" si="112"/>
        <v/>
      </c>
      <c r="C285" s="8" t="str">
        <f t="shared" si="113"/>
        <v/>
      </c>
      <c r="D285" s="37" t="str">
        <f t="shared" si="114"/>
        <v/>
      </c>
      <c r="E285" s="31" t="str">
        <f t="shared" si="115"/>
        <v/>
      </c>
      <c r="F285" s="32" t="str">
        <f t="shared" si="116"/>
        <v/>
      </c>
      <c r="G285" s="32" t="str">
        <f t="shared" si="117"/>
        <v/>
      </c>
      <c r="H285" s="32" t="str">
        <f t="shared" si="118"/>
        <v/>
      </c>
      <c r="I285" s="32" t="str">
        <f t="shared" si="119"/>
        <v/>
      </c>
      <c r="J285" s="46" t="str">
        <f t="shared" si="120"/>
        <v/>
      </c>
      <c r="K285" s="32" t="str">
        <f t="shared" si="121"/>
        <v/>
      </c>
      <c r="L285" s="32" t="str">
        <f t="shared" si="122"/>
        <v/>
      </c>
      <c r="M285" s="32" t="str">
        <f t="shared" si="123"/>
        <v/>
      </c>
      <c r="N285" s="32" t="str">
        <f t="shared" si="124"/>
        <v/>
      </c>
      <c r="O285" s="32" t="str">
        <f t="shared" si="125"/>
        <v/>
      </c>
      <c r="Q285" t="str">
        <f>IFERROR(MATCH(281,บันทึกรายเที่ยว!$Z$6:$Z$10005,0),"")</f>
        <v/>
      </c>
      <c r="R285" t="str">
        <f>IF($Q285="","",INDEX(บันทึกรายเที่ยว!$V$6:$V$10005,$Q285))</f>
        <v/>
      </c>
      <c r="S285" t="str">
        <f>IF($Q285="","",INDEX(บันทึกรายเที่ยว!$F$6:$F$10005,$Q285))</f>
        <v/>
      </c>
      <c r="T285" t="str">
        <f>IF($Q285="","",MATCH($S285,บันทึกรายเที่ยว!$F$6:$F$10005,0))</f>
        <v/>
      </c>
      <c r="U285" t="str">
        <f>IF($Q285="","",$AL285*10000000+$T285*1000+281)</f>
        <v/>
      </c>
      <c r="V285" t="str">
        <f>IFERROR(MATCH(SMALL($U$5:$U$404,281),$U$5:$U$404,0),"")</f>
        <v/>
      </c>
      <c r="W285" t="str">
        <f t="shared" si="126"/>
        <v/>
      </c>
      <c r="X285" t="str">
        <f t="shared" si="127"/>
        <v/>
      </c>
      <c r="Y285" t="str">
        <f t="shared" si="128"/>
        <v/>
      </c>
      <c r="Z285">
        <f t="shared" si="138"/>
        <v>0</v>
      </c>
      <c r="AA285">
        <f t="shared" si="129"/>
        <v>0</v>
      </c>
      <c r="AB285">
        <f>IF($V285="",99999+281,$AB284+1+$Z284+$AA284+$AO284)</f>
        <v>100280</v>
      </c>
      <c r="AC285" t="str">
        <f>IFERROR(MATCH(281,$AB$5:$AB$404,1),"")</f>
        <v/>
      </c>
      <c r="AD285" t="str">
        <f>IF(281=$AI$1+1,"Z",IF($AC285="","",IF(INDEX($V$5:$V$404,$AC285)="","",IF(281&gt;INDEX($AB$5:$AB$404,$AC285)+INDEX($Z$5:$Z$404,$AC285)+INDEX($AA$5:$AA$404,$AC285)+INDEX($AO$5:$AO$404,$AC285),"",IF(281=INDEX($AB$5:$AB$404,$AC285)+INDEX($Z$5:$Z$404,$AC285),"D",IF(AND(INDEX($Z$5:$Z$404,$AC285)=1,281=INDEX($AB$5:$AB$404,$AC285)),"H",IF(AND(INDEX($AO$5:$AO$404,$AC285)=1,281=INDEX($AB$5:$AB$404,$AC285)+INDEX($Z$5:$Z$404,$AC285)+INDEX($AA$5:$AA$404,$AC285)+INDEX($AO$5:$AO$404,$AC285)),"B","T")))))))</f>
        <v/>
      </c>
      <c r="AF285" t="str">
        <f t="shared" si="130"/>
        <v/>
      </c>
      <c r="AJ285">
        <f>IF($AD285&lt;&gt;"T",0,ROUND(SUMIF(oil!$B$4:$B$63,$AF285,oil!$AE$4:$AE$63),2))</f>
        <v>0</v>
      </c>
      <c r="AK285" t="str">
        <f>IF($S285="","",IFERROR(INDEX(อัตราค่าขนส่ง!$R$5:$R$54,MATCH($S285,อัตราค่าขนส่ง!$Q$5:$Q$54,0)),INDEX(รายการมาตรฐาน!$G$2:$G$3,1)))</f>
        <v/>
      </c>
      <c r="AL285" t="str">
        <f>IF($S285="","",IFERROR(MATCH($AK285,รายการมาตรฐาน!$G$2:$G$3,0),1))</f>
        <v/>
      </c>
      <c r="AM285" t="str">
        <f t="shared" si="131"/>
        <v/>
      </c>
      <c r="AN285" t="str">
        <f t="shared" si="132"/>
        <v/>
      </c>
      <c r="AO285">
        <f t="shared" si="133"/>
        <v>0</v>
      </c>
      <c r="AP285">
        <f t="shared" si="139"/>
        <v>0</v>
      </c>
      <c r="AQ285" t="str">
        <f t="shared" si="134"/>
        <v/>
      </c>
      <c r="AR285">
        <f>IF($Y285="",0,COUNTIF(บันทึกรายเที่ยว!$V$6:$V$10005,$Y285))</f>
        <v>0</v>
      </c>
      <c r="AS285">
        <f>IF($Y285="",0,ROUND(SUMIF(บันทึกรายเที่ยว!$V$6:$V$10005,$Y285,บันทึกรายเที่ยว!$M$6:$M$10005),2))</f>
        <v>0</v>
      </c>
      <c r="AT285">
        <f>IF($Y285="",0,IFERROR(INDEX(อัตราค่าขนส่ง!$J$5:$J$204,MATCH($Y285,อัตราค่าขนส่ง!$O$5:$O$204,0)),0))</f>
        <v>0</v>
      </c>
      <c r="AU285">
        <f t="shared" si="135"/>
        <v>0</v>
      </c>
      <c r="AV285">
        <f t="shared" si="136"/>
        <v>0</v>
      </c>
      <c r="AW285" t="str">
        <f>IF($Y285="","",IFERROR(INDEX(อัตราค่าขนส่ง!$F$5:$F$204,MATCH($Y285,อัตราค่าขนส่ง!$O$5:$O$204,0)),""))</f>
        <v/>
      </c>
      <c r="AX285" t="str">
        <f>IF($W285="","",INDEX(บันทึกรายเที่ยว!$D$6:$D$10005,$W285))</f>
        <v/>
      </c>
      <c r="AY285" t="str">
        <f>IF($W285="","",INDEX(บันทึกรายเที่ยว!$R$6:$R$10005,$W285))</f>
        <v/>
      </c>
      <c r="AZ285">
        <f t="shared" si="137"/>
        <v>0</v>
      </c>
      <c r="BA285" t="str">
        <f>IF($W285="","",INDEX(บันทึกรายเที่ยว!$E$6:$E$10005,$W285))</f>
        <v/>
      </c>
      <c r="BC285">
        <f>IF($Y285="",0,IFERROR(INDEX(อัตราค่าขนส่ง!$M$5:$M$204,MATCH($Y285,อัตราค่าขนส่ง!$O$5:$O$204,0)),0))</f>
        <v>0</v>
      </c>
      <c r="BD285">
        <f>IF($Y285="",0,IFERROR(INDEX(อัตราค่าขนส่ง!$N$5:$N$204,MATCH($Y285,อัตราค่าขนส่ง!$O$5:$O$204,0)),0))</f>
        <v>0</v>
      </c>
    </row>
    <row r="286" spans="1:56" ht="21" customHeight="1" x14ac:dyDescent="0.95">
      <c r="A286" s="36" t="str">
        <f>IF($AD286="","",IF($AD286="Z","รวมจ่ายทั้งสิ้น",IF($AD286="H",INDEX($X$5:$X$404,$AC286),IF($AD286="T","รวม",IF($AD286="B",IFERROR(INDEX(อัตราค่าขนส่ง!$U$5:$U$14,MATCH(INDEX($AM$5:$AM$404,$AC286),อัตราค่าขนส่ง!$T$5:$T$14,0)),"รวมกลุ่ม "&amp;INDEX($AM$5:$AM$404,$AC286)),INDEX($AY$5:$AY$404,$AC286))))))</f>
        <v/>
      </c>
      <c r="B286" s="31" t="str">
        <f t="shared" si="112"/>
        <v/>
      </c>
      <c r="C286" s="8" t="str">
        <f t="shared" si="113"/>
        <v/>
      </c>
      <c r="D286" s="37" t="str">
        <f t="shared" si="114"/>
        <v/>
      </c>
      <c r="E286" s="31" t="str">
        <f t="shared" si="115"/>
        <v/>
      </c>
      <c r="F286" s="32" t="str">
        <f t="shared" si="116"/>
        <v/>
      </c>
      <c r="G286" s="32" t="str">
        <f t="shared" si="117"/>
        <v/>
      </c>
      <c r="H286" s="32" t="str">
        <f t="shared" si="118"/>
        <v/>
      </c>
      <c r="I286" s="32" t="str">
        <f t="shared" si="119"/>
        <v/>
      </c>
      <c r="J286" s="46" t="str">
        <f t="shared" si="120"/>
        <v/>
      </c>
      <c r="K286" s="32" t="str">
        <f t="shared" si="121"/>
        <v/>
      </c>
      <c r="L286" s="32" t="str">
        <f t="shared" si="122"/>
        <v/>
      </c>
      <c r="M286" s="32" t="str">
        <f t="shared" si="123"/>
        <v/>
      </c>
      <c r="N286" s="32" t="str">
        <f t="shared" si="124"/>
        <v/>
      </c>
      <c r="O286" s="32" t="str">
        <f t="shared" si="125"/>
        <v/>
      </c>
      <c r="Q286" t="str">
        <f>IFERROR(MATCH(282,บันทึกรายเที่ยว!$Z$6:$Z$10005,0),"")</f>
        <v/>
      </c>
      <c r="R286" t="str">
        <f>IF($Q286="","",INDEX(บันทึกรายเที่ยว!$V$6:$V$10005,$Q286))</f>
        <v/>
      </c>
      <c r="S286" t="str">
        <f>IF($Q286="","",INDEX(บันทึกรายเที่ยว!$F$6:$F$10005,$Q286))</f>
        <v/>
      </c>
      <c r="T286" t="str">
        <f>IF($Q286="","",MATCH($S286,บันทึกรายเที่ยว!$F$6:$F$10005,0))</f>
        <v/>
      </c>
      <c r="U286" t="str">
        <f>IF($Q286="","",$AL286*10000000+$T286*1000+282)</f>
        <v/>
      </c>
      <c r="V286" t="str">
        <f>IFERROR(MATCH(SMALL($U$5:$U$404,282),$U$5:$U$404,0),"")</f>
        <v/>
      </c>
      <c r="W286" t="str">
        <f t="shared" si="126"/>
        <v/>
      </c>
      <c r="X286" t="str">
        <f t="shared" si="127"/>
        <v/>
      </c>
      <c r="Y286" t="str">
        <f t="shared" si="128"/>
        <v/>
      </c>
      <c r="Z286">
        <f t="shared" si="138"/>
        <v>0</v>
      </c>
      <c r="AA286">
        <f t="shared" si="129"/>
        <v>0</v>
      </c>
      <c r="AB286">
        <f>IF($V286="",99999+282,$AB285+1+$Z285+$AA285+$AO285)</f>
        <v>100281</v>
      </c>
      <c r="AC286" t="str">
        <f>IFERROR(MATCH(282,$AB$5:$AB$404,1),"")</f>
        <v/>
      </c>
      <c r="AD286" t="str">
        <f>IF(282=$AI$1+1,"Z",IF($AC286="","",IF(INDEX($V$5:$V$404,$AC286)="","",IF(282&gt;INDEX($AB$5:$AB$404,$AC286)+INDEX($Z$5:$Z$404,$AC286)+INDEX($AA$5:$AA$404,$AC286)+INDEX($AO$5:$AO$404,$AC286),"",IF(282=INDEX($AB$5:$AB$404,$AC286)+INDEX($Z$5:$Z$404,$AC286),"D",IF(AND(INDEX($Z$5:$Z$404,$AC286)=1,282=INDEX($AB$5:$AB$404,$AC286)),"H",IF(AND(INDEX($AO$5:$AO$404,$AC286)=1,282=INDEX($AB$5:$AB$404,$AC286)+INDEX($Z$5:$Z$404,$AC286)+INDEX($AA$5:$AA$404,$AC286)+INDEX($AO$5:$AO$404,$AC286)),"B","T")))))))</f>
        <v/>
      </c>
      <c r="AF286" t="str">
        <f t="shared" si="130"/>
        <v/>
      </c>
      <c r="AJ286">
        <f>IF($AD286&lt;&gt;"T",0,ROUND(SUMIF(oil!$B$4:$B$63,$AF286,oil!$AE$4:$AE$63),2))</f>
        <v>0</v>
      </c>
      <c r="AK286" t="str">
        <f>IF($S286="","",IFERROR(INDEX(อัตราค่าขนส่ง!$R$5:$R$54,MATCH($S286,อัตราค่าขนส่ง!$Q$5:$Q$54,0)),INDEX(รายการมาตรฐาน!$G$2:$G$3,1)))</f>
        <v/>
      </c>
      <c r="AL286" t="str">
        <f>IF($S286="","",IFERROR(MATCH($AK286,รายการมาตรฐาน!$G$2:$G$3,0),1))</f>
        <v/>
      </c>
      <c r="AM286" t="str">
        <f t="shared" si="131"/>
        <v/>
      </c>
      <c r="AN286" t="str">
        <f t="shared" si="132"/>
        <v/>
      </c>
      <c r="AO286">
        <f t="shared" si="133"/>
        <v>0</v>
      </c>
      <c r="AP286">
        <f t="shared" si="139"/>
        <v>0</v>
      </c>
      <c r="AQ286" t="str">
        <f t="shared" si="134"/>
        <v/>
      </c>
      <c r="AR286">
        <f>IF($Y286="",0,COUNTIF(บันทึกรายเที่ยว!$V$6:$V$10005,$Y286))</f>
        <v>0</v>
      </c>
      <c r="AS286">
        <f>IF($Y286="",0,ROUND(SUMIF(บันทึกรายเที่ยว!$V$6:$V$10005,$Y286,บันทึกรายเที่ยว!$M$6:$M$10005),2))</f>
        <v>0</v>
      </c>
      <c r="AT286">
        <f>IF($Y286="",0,IFERROR(INDEX(อัตราค่าขนส่ง!$J$5:$J$204,MATCH($Y286,อัตราค่าขนส่ง!$O$5:$O$204,0)),0))</f>
        <v>0</v>
      </c>
      <c r="AU286">
        <f t="shared" si="135"/>
        <v>0</v>
      </c>
      <c r="AV286">
        <f t="shared" si="136"/>
        <v>0</v>
      </c>
      <c r="AW286" t="str">
        <f>IF($Y286="","",IFERROR(INDEX(อัตราค่าขนส่ง!$F$5:$F$204,MATCH($Y286,อัตราค่าขนส่ง!$O$5:$O$204,0)),""))</f>
        <v/>
      </c>
      <c r="AX286" t="str">
        <f>IF($W286="","",INDEX(บันทึกรายเที่ยว!$D$6:$D$10005,$W286))</f>
        <v/>
      </c>
      <c r="AY286" t="str">
        <f>IF($W286="","",INDEX(บันทึกรายเที่ยว!$R$6:$R$10005,$W286))</f>
        <v/>
      </c>
      <c r="AZ286">
        <f t="shared" si="137"/>
        <v>0</v>
      </c>
      <c r="BA286" t="str">
        <f>IF($W286="","",INDEX(บันทึกรายเที่ยว!$E$6:$E$10005,$W286))</f>
        <v/>
      </c>
      <c r="BC286">
        <f>IF($Y286="",0,IFERROR(INDEX(อัตราค่าขนส่ง!$M$5:$M$204,MATCH($Y286,อัตราค่าขนส่ง!$O$5:$O$204,0)),0))</f>
        <v>0</v>
      </c>
      <c r="BD286">
        <f>IF($Y286="",0,IFERROR(INDEX(อัตราค่าขนส่ง!$N$5:$N$204,MATCH($Y286,อัตราค่าขนส่ง!$O$5:$O$204,0)),0))</f>
        <v>0</v>
      </c>
    </row>
    <row r="287" spans="1:56" ht="21" customHeight="1" x14ac:dyDescent="0.95">
      <c r="A287" s="36" t="str">
        <f>IF($AD287="","",IF($AD287="Z","รวมจ่ายทั้งสิ้น",IF($AD287="H",INDEX($X$5:$X$404,$AC287),IF($AD287="T","รวม",IF($AD287="B",IFERROR(INDEX(อัตราค่าขนส่ง!$U$5:$U$14,MATCH(INDEX($AM$5:$AM$404,$AC287),อัตราค่าขนส่ง!$T$5:$T$14,0)),"รวมกลุ่ม "&amp;INDEX($AM$5:$AM$404,$AC287)),INDEX($AY$5:$AY$404,$AC287))))))</f>
        <v/>
      </c>
      <c r="B287" s="31" t="str">
        <f t="shared" si="112"/>
        <v/>
      </c>
      <c r="C287" s="8" t="str">
        <f t="shared" si="113"/>
        <v/>
      </c>
      <c r="D287" s="37" t="str">
        <f t="shared" si="114"/>
        <v/>
      </c>
      <c r="E287" s="31" t="str">
        <f t="shared" si="115"/>
        <v/>
      </c>
      <c r="F287" s="32" t="str">
        <f t="shared" si="116"/>
        <v/>
      </c>
      <c r="G287" s="32" t="str">
        <f t="shared" si="117"/>
        <v/>
      </c>
      <c r="H287" s="32" t="str">
        <f t="shared" si="118"/>
        <v/>
      </c>
      <c r="I287" s="32" t="str">
        <f t="shared" si="119"/>
        <v/>
      </c>
      <c r="J287" s="46" t="str">
        <f t="shared" si="120"/>
        <v/>
      </c>
      <c r="K287" s="32" t="str">
        <f t="shared" si="121"/>
        <v/>
      </c>
      <c r="L287" s="32" t="str">
        <f t="shared" si="122"/>
        <v/>
      </c>
      <c r="M287" s="32" t="str">
        <f t="shared" si="123"/>
        <v/>
      </c>
      <c r="N287" s="32" t="str">
        <f t="shared" si="124"/>
        <v/>
      </c>
      <c r="O287" s="32" t="str">
        <f t="shared" si="125"/>
        <v/>
      </c>
      <c r="Q287" t="str">
        <f>IFERROR(MATCH(283,บันทึกรายเที่ยว!$Z$6:$Z$10005,0),"")</f>
        <v/>
      </c>
      <c r="R287" t="str">
        <f>IF($Q287="","",INDEX(บันทึกรายเที่ยว!$V$6:$V$10005,$Q287))</f>
        <v/>
      </c>
      <c r="S287" t="str">
        <f>IF($Q287="","",INDEX(บันทึกรายเที่ยว!$F$6:$F$10005,$Q287))</f>
        <v/>
      </c>
      <c r="T287" t="str">
        <f>IF($Q287="","",MATCH($S287,บันทึกรายเที่ยว!$F$6:$F$10005,0))</f>
        <v/>
      </c>
      <c r="U287" t="str">
        <f>IF($Q287="","",$AL287*10000000+$T287*1000+283)</f>
        <v/>
      </c>
      <c r="V287" t="str">
        <f>IFERROR(MATCH(SMALL($U$5:$U$404,283),$U$5:$U$404,0),"")</f>
        <v/>
      </c>
      <c r="W287" t="str">
        <f t="shared" si="126"/>
        <v/>
      </c>
      <c r="X287" t="str">
        <f t="shared" si="127"/>
        <v/>
      </c>
      <c r="Y287" t="str">
        <f t="shared" si="128"/>
        <v/>
      </c>
      <c r="Z287">
        <f t="shared" si="138"/>
        <v>0</v>
      </c>
      <c r="AA287">
        <f t="shared" si="129"/>
        <v>0</v>
      </c>
      <c r="AB287">
        <f>IF($V287="",99999+283,$AB286+1+$Z286+$AA286+$AO286)</f>
        <v>100282</v>
      </c>
      <c r="AC287" t="str">
        <f>IFERROR(MATCH(283,$AB$5:$AB$404,1),"")</f>
        <v/>
      </c>
      <c r="AD287" t="str">
        <f>IF(283=$AI$1+1,"Z",IF($AC287="","",IF(INDEX($V$5:$V$404,$AC287)="","",IF(283&gt;INDEX($AB$5:$AB$404,$AC287)+INDEX($Z$5:$Z$404,$AC287)+INDEX($AA$5:$AA$404,$AC287)+INDEX($AO$5:$AO$404,$AC287),"",IF(283=INDEX($AB$5:$AB$404,$AC287)+INDEX($Z$5:$Z$404,$AC287),"D",IF(AND(INDEX($Z$5:$Z$404,$AC287)=1,283=INDEX($AB$5:$AB$404,$AC287)),"H",IF(AND(INDEX($AO$5:$AO$404,$AC287)=1,283=INDEX($AB$5:$AB$404,$AC287)+INDEX($Z$5:$Z$404,$AC287)+INDEX($AA$5:$AA$404,$AC287)+INDEX($AO$5:$AO$404,$AC287)),"B","T")))))))</f>
        <v/>
      </c>
      <c r="AF287" t="str">
        <f t="shared" si="130"/>
        <v/>
      </c>
      <c r="AJ287">
        <f>IF($AD287&lt;&gt;"T",0,ROUND(SUMIF(oil!$B$4:$B$63,$AF287,oil!$AE$4:$AE$63),2))</f>
        <v>0</v>
      </c>
      <c r="AK287" t="str">
        <f>IF($S287="","",IFERROR(INDEX(อัตราค่าขนส่ง!$R$5:$R$54,MATCH($S287,อัตราค่าขนส่ง!$Q$5:$Q$54,0)),INDEX(รายการมาตรฐาน!$G$2:$G$3,1)))</f>
        <v/>
      </c>
      <c r="AL287" t="str">
        <f>IF($S287="","",IFERROR(MATCH($AK287,รายการมาตรฐาน!$G$2:$G$3,0),1))</f>
        <v/>
      </c>
      <c r="AM287" t="str">
        <f t="shared" si="131"/>
        <v/>
      </c>
      <c r="AN287" t="str">
        <f t="shared" si="132"/>
        <v/>
      </c>
      <c r="AO287">
        <f t="shared" si="133"/>
        <v>0</v>
      </c>
      <c r="AP287">
        <f t="shared" si="139"/>
        <v>0</v>
      </c>
      <c r="AQ287" t="str">
        <f t="shared" si="134"/>
        <v/>
      </c>
      <c r="AR287">
        <f>IF($Y287="",0,COUNTIF(บันทึกรายเที่ยว!$V$6:$V$10005,$Y287))</f>
        <v>0</v>
      </c>
      <c r="AS287">
        <f>IF($Y287="",0,ROUND(SUMIF(บันทึกรายเที่ยว!$V$6:$V$10005,$Y287,บันทึกรายเที่ยว!$M$6:$M$10005),2))</f>
        <v>0</v>
      </c>
      <c r="AT287">
        <f>IF($Y287="",0,IFERROR(INDEX(อัตราค่าขนส่ง!$J$5:$J$204,MATCH($Y287,อัตราค่าขนส่ง!$O$5:$O$204,0)),0))</f>
        <v>0</v>
      </c>
      <c r="AU287">
        <f t="shared" si="135"/>
        <v>0</v>
      </c>
      <c r="AV287">
        <f t="shared" si="136"/>
        <v>0</v>
      </c>
      <c r="AW287" t="str">
        <f>IF($Y287="","",IFERROR(INDEX(อัตราค่าขนส่ง!$F$5:$F$204,MATCH($Y287,อัตราค่าขนส่ง!$O$5:$O$204,0)),""))</f>
        <v/>
      </c>
      <c r="AX287" t="str">
        <f>IF($W287="","",INDEX(บันทึกรายเที่ยว!$D$6:$D$10005,$W287))</f>
        <v/>
      </c>
      <c r="AY287" t="str">
        <f>IF($W287="","",INDEX(บันทึกรายเที่ยว!$R$6:$R$10005,$W287))</f>
        <v/>
      </c>
      <c r="AZ287">
        <f t="shared" si="137"/>
        <v>0</v>
      </c>
      <c r="BA287" t="str">
        <f>IF($W287="","",INDEX(บันทึกรายเที่ยว!$E$6:$E$10005,$W287))</f>
        <v/>
      </c>
      <c r="BC287">
        <f>IF($Y287="",0,IFERROR(INDEX(อัตราค่าขนส่ง!$M$5:$M$204,MATCH($Y287,อัตราค่าขนส่ง!$O$5:$O$204,0)),0))</f>
        <v>0</v>
      </c>
      <c r="BD287">
        <f>IF($Y287="",0,IFERROR(INDEX(อัตราค่าขนส่ง!$N$5:$N$204,MATCH($Y287,อัตราค่าขนส่ง!$O$5:$O$204,0)),0))</f>
        <v>0</v>
      </c>
    </row>
    <row r="288" spans="1:56" ht="21" customHeight="1" x14ac:dyDescent="0.95">
      <c r="A288" s="36" t="str">
        <f>IF($AD288="","",IF($AD288="Z","รวมจ่ายทั้งสิ้น",IF($AD288="H",INDEX($X$5:$X$404,$AC288),IF($AD288="T","รวม",IF($AD288="B",IFERROR(INDEX(อัตราค่าขนส่ง!$U$5:$U$14,MATCH(INDEX($AM$5:$AM$404,$AC288),อัตราค่าขนส่ง!$T$5:$T$14,0)),"รวมกลุ่ม "&amp;INDEX($AM$5:$AM$404,$AC288)),INDEX($AY$5:$AY$404,$AC288))))))</f>
        <v/>
      </c>
      <c r="B288" s="31" t="str">
        <f t="shared" si="112"/>
        <v/>
      </c>
      <c r="C288" s="8" t="str">
        <f t="shared" si="113"/>
        <v/>
      </c>
      <c r="D288" s="37" t="str">
        <f t="shared" si="114"/>
        <v/>
      </c>
      <c r="E288" s="31" t="str">
        <f t="shared" si="115"/>
        <v/>
      </c>
      <c r="F288" s="32" t="str">
        <f t="shared" si="116"/>
        <v/>
      </c>
      <c r="G288" s="32" t="str">
        <f t="shared" si="117"/>
        <v/>
      </c>
      <c r="H288" s="32" t="str">
        <f t="shared" si="118"/>
        <v/>
      </c>
      <c r="I288" s="32" t="str">
        <f t="shared" si="119"/>
        <v/>
      </c>
      <c r="J288" s="46" t="str">
        <f t="shared" si="120"/>
        <v/>
      </c>
      <c r="K288" s="32" t="str">
        <f t="shared" si="121"/>
        <v/>
      </c>
      <c r="L288" s="32" t="str">
        <f t="shared" si="122"/>
        <v/>
      </c>
      <c r="M288" s="32" t="str">
        <f t="shared" si="123"/>
        <v/>
      </c>
      <c r="N288" s="32" t="str">
        <f t="shared" si="124"/>
        <v/>
      </c>
      <c r="O288" s="32" t="str">
        <f t="shared" si="125"/>
        <v/>
      </c>
      <c r="Q288" t="str">
        <f>IFERROR(MATCH(284,บันทึกรายเที่ยว!$Z$6:$Z$10005,0),"")</f>
        <v/>
      </c>
      <c r="R288" t="str">
        <f>IF($Q288="","",INDEX(บันทึกรายเที่ยว!$V$6:$V$10005,$Q288))</f>
        <v/>
      </c>
      <c r="S288" t="str">
        <f>IF($Q288="","",INDEX(บันทึกรายเที่ยว!$F$6:$F$10005,$Q288))</f>
        <v/>
      </c>
      <c r="T288" t="str">
        <f>IF($Q288="","",MATCH($S288,บันทึกรายเที่ยว!$F$6:$F$10005,0))</f>
        <v/>
      </c>
      <c r="U288" t="str">
        <f>IF($Q288="","",$AL288*10000000+$T288*1000+284)</f>
        <v/>
      </c>
      <c r="V288" t="str">
        <f>IFERROR(MATCH(SMALL($U$5:$U$404,284),$U$5:$U$404,0),"")</f>
        <v/>
      </c>
      <c r="W288" t="str">
        <f t="shared" si="126"/>
        <v/>
      </c>
      <c r="X288" t="str">
        <f t="shared" si="127"/>
        <v/>
      </c>
      <c r="Y288" t="str">
        <f t="shared" si="128"/>
        <v/>
      </c>
      <c r="Z288">
        <f t="shared" si="138"/>
        <v>0</v>
      </c>
      <c r="AA288">
        <f t="shared" si="129"/>
        <v>0</v>
      </c>
      <c r="AB288">
        <f>IF($V288="",99999+284,$AB287+1+$Z287+$AA287+$AO287)</f>
        <v>100283</v>
      </c>
      <c r="AC288" t="str">
        <f>IFERROR(MATCH(284,$AB$5:$AB$404,1),"")</f>
        <v/>
      </c>
      <c r="AD288" t="str">
        <f>IF(284=$AI$1+1,"Z",IF($AC288="","",IF(INDEX($V$5:$V$404,$AC288)="","",IF(284&gt;INDEX($AB$5:$AB$404,$AC288)+INDEX($Z$5:$Z$404,$AC288)+INDEX($AA$5:$AA$404,$AC288)+INDEX($AO$5:$AO$404,$AC288),"",IF(284=INDEX($AB$5:$AB$404,$AC288)+INDEX($Z$5:$Z$404,$AC288),"D",IF(AND(INDEX($Z$5:$Z$404,$AC288)=1,284=INDEX($AB$5:$AB$404,$AC288)),"H",IF(AND(INDEX($AO$5:$AO$404,$AC288)=1,284=INDEX($AB$5:$AB$404,$AC288)+INDEX($Z$5:$Z$404,$AC288)+INDEX($AA$5:$AA$404,$AC288)+INDEX($AO$5:$AO$404,$AC288)),"B","T")))))))</f>
        <v/>
      </c>
      <c r="AF288" t="str">
        <f t="shared" si="130"/>
        <v/>
      </c>
      <c r="AJ288">
        <f>IF($AD288&lt;&gt;"T",0,ROUND(SUMIF(oil!$B$4:$B$63,$AF288,oil!$AE$4:$AE$63),2))</f>
        <v>0</v>
      </c>
      <c r="AK288" t="str">
        <f>IF($S288="","",IFERROR(INDEX(อัตราค่าขนส่ง!$R$5:$R$54,MATCH($S288,อัตราค่าขนส่ง!$Q$5:$Q$54,0)),INDEX(รายการมาตรฐาน!$G$2:$G$3,1)))</f>
        <v/>
      </c>
      <c r="AL288" t="str">
        <f>IF($S288="","",IFERROR(MATCH($AK288,รายการมาตรฐาน!$G$2:$G$3,0),1))</f>
        <v/>
      </c>
      <c r="AM288" t="str">
        <f t="shared" si="131"/>
        <v/>
      </c>
      <c r="AN288" t="str">
        <f t="shared" si="132"/>
        <v/>
      </c>
      <c r="AO288">
        <f t="shared" si="133"/>
        <v>0</v>
      </c>
      <c r="AP288">
        <f t="shared" si="139"/>
        <v>0</v>
      </c>
      <c r="AQ288" t="str">
        <f t="shared" si="134"/>
        <v/>
      </c>
      <c r="AR288">
        <f>IF($Y288="",0,COUNTIF(บันทึกรายเที่ยว!$V$6:$V$10005,$Y288))</f>
        <v>0</v>
      </c>
      <c r="AS288">
        <f>IF($Y288="",0,ROUND(SUMIF(บันทึกรายเที่ยว!$V$6:$V$10005,$Y288,บันทึกรายเที่ยว!$M$6:$M$10005),2))</f>
        <v>0</v>
      </c>
      <c r="AT288">
        <f>IF($Y288="",0,IFERROR(INDEX(อัตราค่าขนส่ง!$J$5:$J$204,MATCH($Y288,อัตราค่าขนส่ง!$O$5:$O$204,0)),0))</f>
        <v>0</v>
      </c>
      <c r="AU288">
        <f t="shared" si="135"/>
        <v>0</v>
      </c>
      <c r="AV288">
        <f t="shared" si="136"/>
        <v>0</v>
      </c>
      <c r="AW288" t="str">
        <f>IF($Y288="","",IFERROR(INDEX(อัตราค่าขนส่ง!$F$5:$F$204,MATCH($Y288,อัตราค่าขนส่ง!$O$5:$O$204,0)),""))</f>
        <v/>
      </c>
      <c r="AX288" t="str">
        <f>IF($W288="","",INDEX(บันทึกรายเที่ยว!$D$6:$D$10005,$W288))</f>
        <v/>
      </c>
      <c r="AY288" t="str">
        <f>IF($W288="","",INDEX(บันทึกรายเที่ยว!$R$6:$R$10005,$W288))</f>
        <v/>
      </c>
      <c r="AZ288">
        <f t="shared" si="137"/>
        <v>0</v>
      </c>
      <c r="BA288" t="str">
        <f>IF($W288="","",INDEX(บันทึกรายเที่ยว!$E$6:$E$10005,$W288))</f>
        <v/>
      </c>
      <c r="BC288">
        <f>IF($Y288="",0,IFERROR(INDEX(อัตราค่าขนส่ง!$M$5:$M$204,MATCH($Y288,อัตราค่าขนส่ง!$O$5:$O$204,0)),0))</f>
        <v>0</v>
      </c>
      <c r="BD288">
        <f>IF($Y288="",0,IFERROR(INDEX(อัตราค่าขนส่ง!$N$5:$N$204,MATCH($Y288,อัตราค่าขนส่ง!$O$5:$O$204,0)),0))</f>
        <v>0</v>
      </c>
    </row>
    <row r="289" spans="1:56" ht="21" customHeight="1" x14ac:dyDescent="0.95">
      <c r="A289" s="36" t="str">
        <f>IF($AD289="","",IF($AD289="Z","รวมจ่ายทั้งสิ้น",IF($AD289="H",INDEX($X$5:$X$404,$AC289),IF($AD289="T","รวม",IF($AD289="B",IFERROR(INDEX(อัตราค่าขนส่ง!$U$5:$U$14,MATCH(INDEX($AM$5:$AM$404,$AC289),อัตราค่าขนส่ง!$T$5:$T$14,0)),"รวมกลุ่ม "&amp;INDEX($AM$5:$AM$404,$AC289)),INDEX($AY$5:$AY$404,$AC289))))))</f>
        <v/>
      </c>
      <c r="B289" s="31" t="str">
        <f t="shared" si="112"/>
        <v/>
      </c>
      <c r="C289" s="8" t="str">
        <f t="shared" si="113"/>
        <v/>
      </c>
      <c r="D289" s="37" t="str">
        <f t="shared" si="114"/>
        <v/>
      </c>
      <c r="E289" s="31" t="str">
        <f t="shared" si="115"/>
        <v/>
      </c>
      <c r="F289" s="32" t="str">
        <f t="shared" si="116"/>
        <v/>
      </c>
      <c r="G289" s="32" t="str">
        <f t="shared" si="117"/>
        <v/>
      </c>
      <c r="H289" s="32" t="str">
        <f t="shared" si="118"/>
        <v/>
      </c>
      <c r="I289" s="32" t="str">
        <f t="shared" si="119"/>
        <v/>
      </c>
      <c r="J289" s="46" t="str">
        <f t="shared" si="120"/>
        <v/>
      </c>
      <c r="K289" s="32" t="str">
        <f t="shared" si="121"/>
        <v/>
      </c>
      <c r="L289" s="32" t="str">
        <f t="shared" si="122"/>
        <v/>
      </c>
      <c r="M289" s="32" t="str">
        <f t="shared" si="123"/>
        <v/>
      </c>
      <c r="N289" s="32" t="str">
        <f t="shared" si="124"/>
        <v/>
      </c>
      <c r="O289" s="32" t="str">
        <f t="shared" si="125"/>
        <v/>
      </c>
      <c r="Q289" t="str">
        <f>IFERROR(MATCH(285,บันทึกรายเที่ยว!$Z$6:$Z$10005,0),"")</f>
        <v/>
      </c>
      <c r="R289" t="str">
        <f>IF($Q289="","",INDEX(บันทึกรายเที่ยว!$V$6:$V$10005,$Q289))</f>
        <v/>
      </c>
      <c r="S289" t="str">
        <f>IF($Q289="","",INDEX(บันทึกรายเที่ยว!$F$6:$F$10005,$Q289))</f>
        <v/>
      </c>
      <c r="T289" t="str">
        <f>IF($Q289="","",MATCH($S289,บันทึกรายเที่ยว!$F$6:$F$10005,0))</f>
        <v/>
      </c>
      <c r="U289" t="str">
        <f>IF($Q289="","",$AL289*10000000+$T289*1000+285)</f>
        <v/>
      </c>
      <c r="V289" t="str">
        <f>IFERROR(MATCH(SMALL($U$5:$U$404,285),$U$5:$U$404,0),"")</f>
        <v/>
      </c>
      <c r="W289" t="str">
        <f t="shared" si="126"/>
        <v/>
      </c>
      <c r="X289" t="str">
        <f t="shared" si="127"/>
        <v/>
      </c>
      <c r="Y289" t="str">
        <f t="shared" si="128"/>
        <v/>
      </c>
      <c r="Z289">
        <f t="shared" si="138"/>
        <v>0</v>
      </c>
      <c r="AA289">
        <f t="shared" si="129"/>
        <v>0</v>
      </c>
      <c r="AB289">
        <f>IF($V289="",99999+285,$AB288+1+$Z288+$AA288+$AO288)</f>
        <v>100284</v>
      </c>
      <c r="AC289" t="str">
        <f>IFERROR(MATCH(285,$AB$5:$AB$404,1),"")</f>
        <v/>
      </c>
      <c r="AD289" t="str">
        <f>IF(285=$AI$1+1,"Z",IF($AC289="","",IF(INDEX($V$5:$V$404,$AC289)="","",IF(285&gt;INDEX($AB$5:$AB$404,$AC289)+INDEX($Z$5:$Z$404,$AC289)+INDEX($AA$5:$AA$404,$AC289)+INDEX($AO$5:$AO$404,$AC289),"",IF(285=INDEX($AB$5:$AB$404,$AC289)+INDEX($Z$5:$Z$404,$AC289),"D",IF(AND(INDEX($Z$5:$Z$404,$AC289)=1,285=INDEX($AB$5:$AB$404,$AC289)),"H",IF(AND(INDEX($AO$5:$AO$404,$AC289)=1,285=INDEX($AB$5:$AB$404,$AC289)+INDEX($Z$5:$Z$404,$AC289)+INDEX($AA$5:$AA$404,$AC289)+INDEX($AO$5:$AO$404,$AC289)),"B","T")))))))</f>
        <v/>
      </c>
      <c r="AF289" t="str">
        <f t="shared" si="130"/>
        <v/>
      </c>
      <c r="AJ289">
        <f>IF($AD289&lt;&gt;"T",0,ROUND(SUMIF(oil!$B$4:$B$63,$AF289,oil!$AE$4:$AE$63),2))</f>
        <v>0</v>
      </c>
      <c r="AK289" t="str">
        <f>IF($S289="","",IFERROR(INDEX(อัตราค่าขนส่ง!$R$5:$R$54,MATCH($S289,อัตราค่าขนส่ง!$Q$5:$Q$54,0)),INDEX(รายการมาตรฐาน!$G$2:$G$3,1)))</f>
        <v/>
      </c>
      <c r="AL289" t="str">
        <f>IF($S289="","",IFERROR(MATCH($AK289,รายการมาตรฐาน!$G$2:$G$3,0),1))</f>
        <v/>
      </c>
      <c r="AM289" t="str">
        <f t="shared" si="131"/>
        <v/>
      </c>
      <c r="AN289" t="str">
        <f t="shared" si="132"/>
        <v/>
      </c>
      <c r="AO289">
        <f t="shared" si="133"/>
        <v>0</v>
      </c>
      <c r="AP289">
        <f t="shared" si="139"/>
        <v>0</v>
      </c>
      <c r="AQ289" t="str">
        <f t="shared" si="134"/>
        <v/>
      </c>
      <c r="AR289">
        <f>IF($Y289="",0,COUNTIF(บันทึกรายเที่ยว!$V$6:$V$10005,$Y289))</f>
        <v>0</v>
      </c>
      <c r="AS289">
        <f>IF($Y289="",0,ROUND(SUMIF(บันทึกรายเที่ยว!$V$6:$V$10005,$Y289,บันทึกรายเที่ยว!$M$6:$M$10005),2))</f>
        <v>0</v>
      </c>
      <c r="AT289">
        <f>IF($Y289="",0,IFERROR(INDEX(อัตราค่าขนส่ง!$J$5:$J$204,MATCH($Y289,อัตราค่าขนส่ง!$O$5:$O$204,0)),0))</f>
        <v>0</v>
      </c>
      <c r="AU289">
        <f t="shared" si="135"/>
        <v>0</v>
      </c>
      <c r="AV289">
        <f t="shared" si="136"/>
        <v>0</v>
      </c>
      <c r="AW289" t="str">
        <f>IF($Y289="","",IFERROR(INDEX(อัตราค่าขนส่ง!$F$5:$F$204,MATCH($Y289,อัตราค่าขนส่ง!$O$5:$O$204,0)),""))</f>
        <v/>
      </c>
      <c r="AX289" t="str">
        <f>IF($W289="","",INDEX(บันทึกรายเที่ยว!$D$6:$D$10005,$W289))</f>
        <v/>
      </c>
      <c r="AY289" t="str">
        <f>IF($W289="","",INDEX(บันทึกรายเที่ยว!$R$6:$R$10005,$W289))</f>
        <v/>
      </c>
      <c r="AZ289">
        <f t="shared" si="137"/>
        <v>0</v>
      </c>
      <c r="BA289" t="str">
        <f>IF($W289="","",INDEX(บันทึกรายเที่ยว!$E$6:$E$10005,$W289))</f>
        <v/>
      </c>
      <c r="BC289">
        <f>IF($Y289="",0,IFERROR(INDEX(อัตราค่าขนส่ง!$M$5:$M$204,MATCH($Y289,อัตราค่าขนส่ง!$O$5:$O$204,0)),0))</f>
        <v>0</v>
      </c>
      <c r="BD289">
        <f>IF($Y289="",0,IFERROR(INDEX(อัตราค่าขนส่ง!$N$5:$N$204,MATCH($Y289,อัตราค่าขนส่ง!$O$5:$O$204,0)),0))</f>
        <v>0</v>
      </c>
    </row>
    <row r="290" spans="1:56" ht="21" customHeight="1" x14ac:dyDescent="0.95">
      <c r="A290" s="36" t="str">
        <f>IF($AD290="","",IF($AD290="Z","รวมจ่ายทั้งสิ้น",IF($AD290="H",INDEX($X$5:$X$404,$AC290),IF($AD290="T","รวม",IF($AD290="B",IFERROR(INDEX(อัตราค่าขนส่ง!$U$5:$U$14,MATCH(INDEX($AM$5:$AM$404,$AC290),อัตราค่าขนส่ง!$T$5:$T$14,0)),"รวมกลุ่ม "&amp;INDEX($AM$5:$AM$404,$AC290)),INDEX($AY$5:$AY$404,$AC290))))))</f>
        <v/>
      </c>
      <c r="B290" s="31" t="str">
        <f t="shared" si="112"/>
        <v/>
      </c>
      <c r="C290" s="8" t="str">
        <f t="shared" si="113"/>
        <v/>
      </c>
      <c r="D290" s="37" t="str">
        <f t="shared" si="114"/>
        <v/>
      </c>
      <c r="E290" s="31" t="str">
        <f t="shared" si="115"/>
        <v/>
      </c>
      <c r="F290" s="32" t="str">
        <f t="shared" si="116"/>
        <v/>
      </c>
      <c r="G290" s="32" t="str">
        <f t="shared" si="117"/>
        <v/>
      </c>
      <c r="H290" s="32" t="str">
        <f t="shared" si="118"/>
        <v/>
      </c>
      <c r="I290" s="32" t="str">
        <f t="shared" si="119"/>
        <v/>
      </c>
      <c r="J290" s="46" t="str">
        <f t="shared" si="120"/>
        <v/>
      </c>
      <c r="K290" s="32" t="str">
        <f t="shared" si="121"/>
        <v/>
      </c>
      <c r="L290" s="32" t="str">
        <f t="shared" si="122"/>
        <v/>
      </c>
      <c r="M290" s="32" t="str">
        <f t="shared" si="123"/>
        <v/>
      </c>
      <c r="N290" s="32" t="str">
        <f t="shared" si="124"/>
        <v/>
      </c>
      <c r="O290" s="32" t="str">
        <f t="shared" si="125"/>
        <v/>
      </c>
      <c r="Q290" t="str">
        <f>IFERROR(MATCH(286,บันทึกรายเที่ยว!$Z$6:$Z$10005,0),"")</f>
        <v/>
      </c>
      <c r="R290" t="str">
        <f>IF($Q290="","",INDEX(บันทึกรายเที่ยว!$V$6:$V$10005,$Q290))</f>
        <v/>
      </c>
      <c r="S290" t="str">
        <f>IF($Q290="","",INDEX(บันทึกรายเที่ยว!$F$6:$F$10005,$Q290))</f>
        <v/>
      </c>
      <c r="T290" t="str">
        <f>IF($Q290="","",MATCH($S290,บันทึกรายเที่ยว!$F$6:$F$10005,0))</f>
        <v/>
      </c>
      <c r="U290" t="str">
        <f>IF($Q290="","",$AL290*10000000+$T290*1000+286)</f>
        <v/>
      </c>
      <c r="V290" t="str">
        <f>IFERROR(MATCH(SMALL($U$5:$U$404,286),$U$5:$U$404,0),"")</f>
        <v/>
      </c>
      <c r="W290" t="str">
        <f t="shared" si="126"/>
        <v/>
      </c>
      <c r="X290" t="str">
        <f t="shared" si="127"/>
        <v/>
      </c>
      <c r="Y290" t="str">
        <f t="shared" si="128"/>
        <v/>
      </c>
      <c r="Z290">
        <f t="shared" si="138"/>
        <v>0</v>
      </c>
      <c r="AA290">
        <f t="shared" si="129"/>
        <v>0</v>
      </c>
      <c r="AB290">
        <f>IF($V290="",99999+286,$AB289+1+$Z289+$AA289+$AO289)</f>
        <v>100285</v>
      </c>
      <c r="AC290" t="str">
        <f>IFERROR(MATCH(286,$AB$5:$AB$404,1),"")</f>
        <v/>
      </c>
      <c r="AD290" t="str">
        <f>IF(286=$AI$1+1,"Z",IF($AC290="","",IF(INDEX($V$5:$V$404,$AC290)="","",IF(286&gt;INDEX($AB$5:$AB$404,$AC290)+INDEX($Z$5:$Z$404,$AC290)+INDEX($AA$5:$AA$404,$AC290)+INDEX($AO$5:$AO$404,$AC290),"",IF(286=INDEX($AB$5:$AB$404,$AC290)+INDEX($Z$5:$Z$404,$AC290),"D",IF(AND(INDEX($Z$5:$Z$404,$AC290)=1,286=INDEX($AB$5:$AB$404,$AC290)),"H",IF(AND(INDEX($AO$5:$AO$404,$AC290)=1,286=INDEX($AB$5:$AB$404,$AC290)+INDEX($Z$5:$Z$404,$AC290)+INDEX($AA$5:$AA$404,$AC290)+INDEX($AO$5:$AO$404,$AC290)),"B","T")))))))</f>
        <v/>
      </c>
      <c r="AF290" t="str">
        <f t="shared" si="130"/>
        <v/>
      </c>
      <c r="AJ290">
        <f>IF($AD290&lt;&gt;"T",0,ROUND(SUMIF(oil!$B$4:$B$63,$AF290,oil!$AE$4:$AE$63),2))</f>
        <v>0</v>
      </c>
      <c r="AK290" t="str">
        <f>IF($S290="","",IFERROR(INDEX(อัตราค่าขนส่ง!$R$5:$R$54,MATCH($S290,อัตราค่าขนส่ง!$Q$5:$Q$54,0)),INDEX(รายการมาตรฐาน!$G$2:$G$3,1)))</f>
        <v/>
      </c>
      <c r="AL290" t="str">
        <f>IF($S290="","",IFERROR(MATCH($AK290,รายการมาตรฐาน!$G$2:$G$3,0),1))</f>
        <v/>
      </c>
      <c r="AM290" t="str">
        <f t="shared" si="131"/>
        <v/>
      </c>
      <c r="AN290" t="str">
        <f t="shared" si="132"/>
        <v/>
      </c>
      <c r="AO290">
        <f t="shared" si="133"/>
        <v>0</v>
      </c>
      <c r="AP290">
        <f t="shared" si="139"/>
        <v>0</v>
      </c>
      <c r="AQ290" t="str">
        <f t="shared" si="134"/>
        <v/>
      </c>
      <c r="AR290">
        <f>IF($Y290="",0,COUNTIF(บันทึกรายเที่ยว!$V$6:$V$10005,$Y290))</f>
        <v>0</v>
      </c>
      <c r="AS290">
        <f>IF($Y290="",0,ROUND(SUMIF(บันทึกรายเที่ยว!$V$6:$V$10005,$Y290,บันทึกรายเที่ยว!$M$6:$M$10005),2))</f>
        <v>0</v>
      </c>
      <c r="AT290">
        <f>IF($Y290="",0,IFERROR(INDEX(อัตราค่าขนส่ง!$J$5:$J$204,MATCH($Y290,อัตราค่าขนส่ง!$O$5:$O$204,0)),0))</f>
        <v>0</v>
      </c>
      <c r="AU290">
        <f t="shared" si="135"/>
        <v>0</v>
      </c>
      <c r="AV290">
        <f t="shared" si="136"/>
        <v>0</v>
      </c>
      <c r="AW290" t="str">
        <f>IF($Y290="","",IFERROR(INDEX(อัตราค่าขนส่ง!$F$5:$F$204,MATCH($Y290,อัตราค่าขนส่ง!$O$5:$O$204,0)),""))</f>
        <v/>
      </c>
      <c r="AX290" t="str">
        <f>IF($W290="","",INDEX(บันทึกรายเที่ยว!$D$6:$D$10005,$W290))</f>
        <v/>
      </c>
      <c r="AY290" t="str">
        <f>IF($W290="","",INDEX(บันทึกรายเที่ยว!$R$6:$R$10005,$W290))</f>
        <v/>
      </c>
      <c r="AZ290">
        <f t="shared" si="137"/>
        <v>0</v>
      </c>
      <c r="BA290" t="str">
        <f>IF($W290="","",INDEX(บันทึกรายเที่ยว!$E$6:$E$10005,$W290))</f>
        <v/>
      </c>
      <c r="BC290">
        <f>IF($Y290="",0,IFERROR(INDEX(อัตราค่าขนส่ง!$M$5:$M$204,MATCH($Y290,อัตราค่าขนส่ง!$O$5:$O$204,0)),0))</f>
        <v>0</v>
      </c>
      <c r="BD290">
        <f>IF($Y290="",0,IFERROR(INDEX(อัตราค่าขนส่ง!$N$5:$N$204,MATCH($Y290,อัตราค่าขนส่ง!$O$5:$O$204,0)),0))</f>
        <v>0</v>
      </c>
    </row>
    <row r="291" spans="1:56" ht="21" customHeight="1" x14ac:dyDescent="0.95">
      <c r="A291" s="36" t="str">
        <f>IF($AD291="","",IF($AD291="Z","รวมจ่ายทั้งสิ้น",IF($AD291="H",INDEX($X$5:$X$404,$AC291),IF($AD291="T","รวม",IF($AD291="B",IFERROR(INDEX(อัตราค่าขนส่ง!$U$5:$U$14,MATCH(INDEX($AM$5:$AM$404,$AC291),อัตราค่าขนส่ง!$T$5:$T$14,0)),"รวมกลุ่ม "&amp;INDEX($AM$5:$AM$404,$AC291)),INDEX($AY$5:$AY$404,$AC291))))))</f>
        <v/>
      </c>
      <c r="B291" s="31" t="str">
        <f t="shared" si="112"/>
        <v/>
      </c>
      <c r="C291" s="8" t="str">
        <f t="shared" si="113"/>
        <v/>
      </c>
      <c r="D291" s="37" t="str">
        <f t="shared" si="114"/>
        <v/>
      </c>
      <c r="E291" s="31" t="str">
        <f t="shared" si="115"/>
        <v/>
      </c>
      <c r="F291" s="32" t="str">
        <f t="shared" si="116"/>
        <v/>
      </c>
      <c r="G291" s="32" t="str">
        <f t="shared" si="117"/>
        <v/>
      </c>
      <c r="H291" s="32" t="str">
        <f t="shared" si="118"/>
        <v/>
      </c>
      <c r="I291" s="32" t="str">
        <f t="shared" si="119"/>
        <v/>
      </c>
      <c r="J291" s="46" t="str">
        <f t="shared" si="120"/>
        <v/>
      </c>
      <c r="K291" s="32" t="str">
        <f t="shared" si="121"/>
        <v/>
      </c>
      <c r="L291" s="32" t="str">
        <f t="shared" si="122"/>
        <v/>
      </c>
      <c r="M291" s="32" t="str">
        <f t="shared" si="123"/>
        <v/>
      </c>
      <c r="N291" s="32" t="str">
        <f t="shared" si="124"/>
        <v/>
      </c>
      <c r="O291" s="32" t="str">
        <f t="shared" si="125"/>
        <v/>
      </c>
      <c r="Q291" t="str">
        <f>IFERROR(MATCH(287,บันทึกรายเที่ยว!$Z$6:$Z$10005,0),"")</f>
        <v/>
      </c>
      <c r="R291" t="str">
        <f>IF($Q291="","",INDEX(บันทึกรายเที่ยว!$V$6:$V$10005,$Q291))</f>
        <v/>
      </c>
      <c r="S291" t="str">
        <f>IF($Q291="","",INDEX(บันทึกรายเที่ยว!$F$6:$F$10005,$Q291))</f>
        <v/>
      </c>
      <c r="T291" t="str">
        <f>IF($Q291="","",MATCH($S291,บันทึกรายเที่ยว!$F$6:$F$10005,0))</f>
        <v/>
      </c>
      <c r="U291" t="str">
        <f>IF($Q291="","",$AL291*10000000+$T291*1000+287)</f>
        <v/>
      </c>
      <c r="V291" t="str">
        <f>IFERROR(MATCH(SMALL($U$5:$U$404,287),$U$5:$U$404,0),"")</f>
        <v/>
      </c>
      <c r="W291" t="str">
        <f t="shared" si="126"/>
        <v/>
      </c>
      <c r="X291" t="str">
        <f t="shared" si="127"/>
        <v/>
      </c>
      <c r="Y291" t="str">
        <f t="shared" si="128"/>
        <v/>
      </c>
      <c r="Z291">
        <f t="shared" si="138"/>
        <v>0</v>
      </c>
      <c r="AA291">
        <f t="shared" si="129"/>
        <v>0</v>
      </c>
      <c r="AB291">
        <f>IF($V291="",99999+287,$AB290+1+$Z290+$AA290+$AO290)</f>
        <v>100286</v>
      </c>
      <c r="AC291" t="str">
        <f>IFERROR(MATCH(287,$AB$5:$AB$404,1),"")</f>
        <v/>
      </c>
      <c r="AD291" t="str">
        <f>IF(287=$AI$1+1,"Z",IF($AC291="","",IF(INDEX($V$5:$V$404,$AC291)="","",IF(287&gt;INDEX($AB$5:$AB$404,$AC291)+INDEX($Z$5:$Z$404,$AC291)+INDEX($AA$5:$AA$404,$AC291)+INDEX($AO$5:$AO$404,$AC291),"",IF(287=INDEX($AB$5:$AB$404,$AC291)+INDEX($Z$5:$Z$404,$AC291),"D",IF(AND(INDEX($Z$5:$Z$404,$AC291)=1,287=INDEX($AB$5:$AB$404,$AC291)),"H",IF(AND(INDEX($AO$5:$AO$404,$AC291)=1,287=INDEX($AB$5:$AB$404,$AC291)+INDEX($Z$5:$Z$404,$AC291)+INDEX($AA$5:$AA$404,$AC291)+INDEX($AO$5:$AO$404,$AC291)),"B","T")))))))</f>
        <v/>
      </c>
      <c r="AF291" t="str">
        <f t="shared" si="130"/>
        <v/>
      </c>
      <c r="AJ291">
        <f>IF($AD291&lt;&gt;"T",0,ROUND(SUMIF(oil!$B$4:$B$63,$AF291,oil!$AE$4:$AE$63),2))</f>
        <v>0</v>
      </c>
      <c r="AK291" t="str">
        <f>IF($S291="","",IFERROR(INDEX(อัตราค่าขนส่ง!$R$5:$R$54,MATCH($S291,อัตราค่าขนส่ง!$Q$5:$Q$54,0)),INDEX(รายการมาตรฐาน!$G$2:$G$3,1)))</f>
        <v/>
      </c>
      <c r="AL291" t="str">
        <f>IF($S291="","",IFERROR(MATCH($AK291,รายการมาตรฐาน!$G$2:$G$3,0),1))</f>
        <v/>
      </c>
      <c r="AM291" t="str">
        <f t="shared" si="131"/>
        <v/>
      </c>
      <c r="AN291" t="str">
        <f t="shared" si="132"/>
        <v/>
      </c>
      <c r="AO291">
        <f t="shared" si="133"/>
        <v>0</v>
      </c>
      <c r="AP291">
        <f t="shared" si="139"/>
        <v>0</v>
      </c>
      <c r="AQ291" t="str">
        <f t="shared" si="134"/>
        <v/>
      </c>
      <c r="AR291">
        <f>IF($Y291="",0,COUNTIF(บันทึกรายเที่ยว!$V$6:$V$10005,$Y291))</f>
        <v>0</v>
      </c>
      <c r="AS291">
        <f>IF($Y291="",0,ROUND(SUMIF(บันทึกรายเที่ยว!$V$6:$V$10005,$Y291,บันทึกรายเที่ยว!$M$6:$M$10005),2))</f>
        <v>0</v>
      </c>
      <c r="AT291">
        <f>IF($Y291="",0,IFERROR(INDEX(อัตราค่าขนส่ง!$J$5:$J$204,MATCH($Y291,อัตราค่าขนส่ง!$O$5:$O$204,0)),0))</f>
        <v>0</v>
      </c>
      <c r="AU291">
        <f t="shared" si="135"/>
        <v>0</v>
      </c>
      <c r="AV291">
        <f t="shared" si="136"/>
        <v>0</v>
      </c>
      <c r="AW291" t="str">
        <f>IF($Y291="","",IFERROR(INDEX(อัตราค่าขนส่ง!$F$5:$F$204,MATCH($Y291,อัตราค่าขนส่ง!$O$5:$O$204,0)),""))</f>
        <v/>
      </c>
      <c r="AX291" t="str">
        <f>IF($W291="","",INDEX(บันทึกรายเที่ยว!$D$6:$D$10005,$W291))</f>
        <v/>
      </c>
      <c r="AY291" t="str">
        <f>IF($W291="","",INDEX(บันทึกรายเที่ยว!$R$6:$R$10005,$W291))</f>
        <v/>
      </c>
      <c r="AZ291">
        <f t="shared" si="137"/>
        <v>0</v>
      </c>
      <c r="BA291" t="str">
        <f>IF($W291="","",INDEX(บันทึกรายเที่ยว!$E$6:$E$10005,$W291))</f>
        <v/>
      </c>
      <c r="BC291">
        <f>IF($Y291="",0,IFERROR(INDEX(อัตราค่าขนส่ง!$M$5:$M$204,MATCH($Y291,อัตราค่าขนส่ง!$O$5:$O$204,0)),0))</f>
        <v>0</v>
      </c>
      <c r="BD291">
        <f>IF($Y291="",0,IFERROR(INDEX(อัตราค่าขนส่ง!$N$5:$N$204,MATCH($Y291,อัตราค่าขนส่ง!$O$5:$O$204,0)),0))</f>
        <v>0</v>
      </c>
    </row>
    <row r="292" spans="1:56" ht="21" customHeight="1" x14ac:dyDescent="0.95">
      <c r="A292" s="36" t="str">
        <f>IF($AD292="","",IF($AD292="Z","รวมจ่ายทั้งสิ้น",IF($AD292="H",INDEX($X$5:$X$404,$AC292),IF($AD292="T","รวม",IF($AD292="B",IFERROR(INDEX(อัตราค่าขนส่ง!$U$5:$U$14,MATCH(INDEX($AM$5:$AM$404,$AC292),อัตราค่าขนส่ง!$T$5:$T$14,0)),"รวมกลุ่ม "&amp;INDEX($AM$5:$AM$404,$AC292)),INDEX($AY$5:$AY$404,$AC292))))))</f>
        <v/>
      </c>
      <c r="B292" s="31" t="str">
        <f t="shared" si="112"/>
        <v/>
      </c>
      <c r="C292" s="8" t="str">
        <f t="shared" si="113"/>
        <v/>
      </c>
      <c r="D292" s="37" t="str">
        <f t="shared" si="114"/>
        <v/>
      </c>
      <c r="E292" s="31" t="str">
        <f t="shared" si="115"/>
        <v/>
      </c>
      <c r="F292" s="32" t="str">
        <f t="shared" si="116"/>
        <v/>
      </c>
      <c r="G292" s="32" t="str">
        <f t="shared" si="117"/>
        <v/>
      </c>
      <c r="H292" s="32" t="str">
        <f t="shared" si="118"/>
        <v/>
      </c>
      <c r="I292" s="32" t="str">
        <f t="shared" si="119"/>
        <v/>
      </c>
      <c r="J292" s="46" t="str">
        <f t="shared" si="120"/>
        <v/>
      </c>
      <c r="K292" s="32" t="str">
        <f t="shared" si="121"/>
        <v/>
      </c>
      <c r="L292" s="32" t="str">
        <f t="shared" si="122"/>
        <v/>
      </c>
      <c r="M292" s="32" t="str">
        <f t="shared" si="123"/>
        <v/>
      </c>
      <c r="N292" s="32" t="str">
        <f t="shared" si="124"/>
        <v/>
      </c>
      <c r="O292" s="32" t="str">
        <f t="shared" si="125"/>
        <v/>
      </c>
      <c r="Q292" t="str">
        <f>IFERROR(MATCH(288,บันทึกรายเที่ยว!$Z$6:$Z$10005,0),"")</f>
        <v/>
      </c>
      <c r="R292" t="str">
        <f>IF($Q292="","",INDEX(บันทึกรายเที่ยว!$V$6:$V$10005,$Q292))</f>
        <v/>
      </c>
      <c r="S292" t="str">
        <f>IF($Q292="","",INDEX(บันทึกรายเที่ยว!$F$6:$F$10005,$Q292))</f>
        <v/>
      </c>
      <c r="T292" t="str">
        <f>IF($Q292="","",MATCH($S292,บันทึกรายเที่ยว!$F$6:$F$10005,0))</f>
        <v/>
      </c>
      <c r="U292" t="str">
        <f>IF($Q292="","",$AL292*10000000+$T292*1000+288)</f>
        <v/>
      </c>
      <c r="V292" t="str">
        <f>IFERROR(MATCH(SMALL($U$5:$U$404,288),$U$5:$U$404,0),"")</f>
        <v/>
      </c>
      <c r="W292" t="str">
        <f t="shared" si="126"/>
        <v/>
      </c>
      <c r="X292" t="str">
        <f t="shared" si="127"/>
        <v/>
      </c>
      <c r="Y292" t="str">
        <f t="shared" si="128"/>
        <v/>
      </c>
      <c r="Z292">
        <f t="shared" si="138"/>
        <v>0</v>
      </c>
      <c r="AA292">
        <f t="shared" si="129"/>
        <v>0</v>
      </c>
      <c r="AB292">
        <f>IF($V292="",99999+288,$AB291+1+$Z291+$AA291+$AO291)</f>
        <v>100287</v>
      </c>
      <c r="AC292" t="str">
        <f>IFERROR(MATCH(288,$AB$5:$AB$404,1),"")</f>
        <v/>
      </c>
      <c r="AD292" t="str">
        <f>IF(288=$AI$1+1,"Z",IF($AC292="","",IF(INDEX($V$5:$V$404,$AC292)="","",IF(288&gt;INDEX($AB$5:$AB$404,$AC292)+INDEX($Z$5:$Z$404,$AC292)+INDEX($AA$5:$AA$404,$AC292)+INDEX($AO$5:$AO$404,$AC292),"",IF(288=INDEX($AB$5:$AB$404,$AC292)+INDEX($Z$5:$Z$404,$AC292),"D",IF(AND(INDEX($Z$5:$Z$404,$AC292)=1,288=INDEX($AB$5:$AB$404,$AC292)),"H",IF(AND(INDEX($AO$5:$AO$404,$AC292)=1,288=INDEX($AB$5:$AB$404,$AC292)+INDEX($Z$5:$Z$404,$AC292)+INDEX($AA$5:$AA$404,$AC292)+INDEX($AO$5:$AO$404,$AC292)),"B","T")))))))</f>
        <v/>
      </c>
      <c r="AF292" t="str">
        <f t="shared" si="130"/>
        <v/>
      </c>
      <c r="AJ292">
        <f>IF($AD292&lt;&gt;"T",0,ROUND(SUMIF(oil!$B$4:$B$63,$AF292,oil!$AE$4:$AE$63),2))</f>
        <v>0</v>
      </c>
      <c r="AK292" t="str">
        <f>IF($S292="","",IFERROR(INDEX(อัตราค่าขนส่ง!$R$5:$R$54,MATCH($S292,อัตราค่าขนส่ง!$Q$5:$Q$54,0)),INDEX(รายการมาตรฐาน!$G$2:$G$3,1)))</f>
        <v/>
      </c>
      <c r="AL292" t="str">
        <f>IF($S292="","",IFERROR(MATCH($AK292,รายการมาตรฐาน!$G$2:$G$3,0),1))</f>
        <v/>
      </c>
      <c r="AM292" t="str">
        <f t="shared" si="131"/>
        <v/>
      </c>
      <c r="AN292" t="str">
        <f t="shared" si="132"/>
        <v/>
      </c>
      <c r="AO292">
        <f t="shared" si="133"/>
        <v>0</v>
      </c>
      <c r="AP292">
        <f t="shared" si="139"/>
        <v>0</v>
      </c>
      <c r="AQ292" t="str">
        <f t="shared" si="134"/>
        <v/>
      </c>
      <c r="AR292">
        <f>IF($Y292="",0,COUNTIF(บันทึกรายเที่ยว!$V$6:$V$10005,$Y292))</f>
        <v>0</v>
      </c>
      <c r="AS292">
        <f>IF($Y292="",0,ROUND(SUMIF(บันทึกรายเที่ยว!$V$6:$V$10005,$Y292,บันทึกรายเที่ยว!$M$6:$M$10005),2))</f>
        <v>0</v>
      </c>
      <c r="AT292">
        <f>IF($Y292="",0,IFERROR(INDEX(อัตราค่าขนส่ง!$J$5:$J$204,MATCH($Y292,อัตราค่าขนส่ง!$O$5:$O$204,0)),0))</f>
        <v>0</v>
      </c>
      <c r="AU292">
        <f t="shared" si="135"/>
        <v>0</v>
      </c>
      <c r="AV292">
        <f t="shared" si="136"/>
        <v>0</v>
      </c>
      <c r="AW292" t="str">
        <f>IF($Y292="","",IFERROR(INDEX(อัตราค่าขนส่ง!$F$5:$F$204,MATCH($Y292,อัตราค่าขนส่ง!$O$5:$O$204,0)),""))</f>
        <v/>
      </c>
      <c r="AX292" t="str">
        <f>IF($W292="","",INDEX(บันทึกรายเที่ยว!$D$6:$D$10005,$W292))</f>
        <v/>
      </c>
      <c r="AY292" t="str">
        <f>IF($W292="","",INDEX(บันทึกรายเที่ยว!$R$6:$R$10005,$W292))</f>
        <v/>
      </c>
      <c r="AZ292">
        <f t="shared" si="137"/>
        <v>0</v>
      </c>
      <c r="BA292" t="str">
        <f>IF($W292="","",INDEX(บันทึกรายเที่ยว!$E$6:$E$10005,$W292))</f>
        <v/>
      </c>
      <c r="BC292">
        <f>IF($Y292="",0,IFERROR(INDEX(อัตราค่าขนส่ง!$M$5:$M$204,MATCH($Y292,อัตราค่าขนส่ง!$O$5:$O$204,0)),0))</f>
        <v>0</v>
      </c>
      <c r="BD292">
        <f>IF($Y292="",0,IFERROR(INDEX(อัตราค่าขนส่ง!$N$5:$N$204,MATCH($Y292,อัตราค่าขนส่ง!$O$5:$O$204,0)),0))</f>
        <v>0</v>
      </c>
    </row>
    <row r="293" spans="1:56" ht="21" customHeight="1" x14ac:dyDescent="0.95">
      <c r="A293" s="36" t="str">
        <f>IF($AD293="","",IF($AD293="Z","รวมจ่ายทั้งสิ้น",IF($AD293="H",INDEX($X$5:$X$404,$AC293),IF($AD293="T","รวม",IF($AD293="B",IFERROR(INDEX(อัตราค่าขนส่ง!$U$5:$U$14,MATCH(INDEX($AM$5:$AM$404,$AC293),อัตราค่าขนส่ง!$T$5:$T$14,0)),"รวมกลุ่ม "&amp;INDEX($AM$5:$AM$404,$AC293)),INDEX($AY$5:$AY$404,$AC293))))))</f>
        <v/>
      </c>
      <c r="B293" s="31" t="str">
        <f t="shared" si="112"/>
        <v/>
      </c>
      <c r="C293" s="8" t="str">
        <f t="shared" si="113"/>
        <v/>
      </c>
      <c r="D293" s="37" t="str">
        <f t="shared" si="114"/>
        <v/>
      </c>
      <c r="E293" s="31" t="str">
        <f t="shared" si="115"/>
        <v/>
      </c>
      <c r="F293" s="32" t="str">
        <f t="shared" si="116"/>
        <v/>
      </c>
      <c r="G293" s="32" t="str">
        <f t="shared" si="117"/>
        <v/>
      </c>
      <c r="H293" s="32" t="str">
        <f t="shared" si="118"/>
        <v/>
      </c>
      <c r="I293" s="32" t="str">
        <f t="shared" si="119"/>
        <v/>
      </c>
      <c r="J293" s="46" t="str">
        <f t="shared" si="120"/>
        <v/>
      </c>
      <c r="K293" s="32" t="str">
        <f t="shared" si="121"/>
        <v/>
      </c>
      <c r="L293" s="32" t="str">
        <f t="shared" si="122"/>
        <v/>
      </c>
      <c r="M293" s="32" t="str">
        <f t="shared" si="123"/>
        <v/>
      </c>
      <c r="N293" s="32" t="str">
        <f t="shared" si="124"/>
        <v/>
      </c>
      <c r="O293" s="32" t="str">
        <f t="shared" si="125"/>
        <v/>
      </c>
      <c r="Q293" t="str">
        <f>IFERROR(MATCH(289,บันทึกรายเที่ยว!$Z$6:$Z$10005,0),"")</f>
        <v/>
      </c>
      <c r="R293" t="str">
        <f>IF($Q293="","",INDEX(บันทึกรายเที่ยว!$V$6:$V$10005,$Q293))</f>
        <v/>
      </c>
      <c r="S293" t="str">
        <f>IF($Q293="","",INDEX(บันทึกรายเที่ยว!$F$6:$F$10005,$Q293))</f>
        <v/>
      </c>
      <c r="T293" t="str">
        <f>IF($Q293="","",MATCH($S293,บันทึกรายเที่ยว!$F$6:$F$10005,0))</f>
        <v/>
      </c>
      <c r="U293" t="str">
        <f>IF($Q293="","",$AL293*10000000+$T293*1000+289)</f>
        <v/>
      </c>
      <c r="V293" t="str">
        <f>IFERROR(MATCH(SMALL($U$5:$U$404,289),$U$5:$U$404,0),"")</f>
        <v/>
      </c>
      <c r="W293" t="str">
        <f t="shared" si="126"/>
        <v/>
      </c>
      <c r="X293" t="str">
        <f t="shared" si="127"/>
        <v/>
      </c>
      <c r="Y293" t="str">
        <f t="shared" si="128"/>
        <v/>
      </c>
      <c r="Z293">
        <f t="shared" si="138"/>
        <v>0</v>
      </c>
      <c r="AA293">
        <f t="shared" si="129"/>
        <v>0</v>
      </c>
      <c r="AB293">
        <f>IF($V293="",99999+289,$AB292+1+$Z292+$AA292+$AO292)</f>
        <v>100288</v>
      </c>
      <c r="AC293" t="str">
        <f>IFERROR(MATCH(289,$AB$5:$AB$404,1),"")</f>
        <v/>
      </c>
      <c r="AD293" t="str">
        <f>IF(289=$AI$1+1,"Z",IF($AC293="","",IF(INDEX($V$5:$V$404,$AC293)="","",IF(289&gt;INDEX($AB$5:$AB$404,$AC293)+INDEX($Z$5:$Z$404,$AC293)+INDEX($AA$5:$AA$404,$AC293)+INDEX($AO$5:$AO$404,$AC293),"",IF(289=INDEX($AB$5:$AB$404,$AC293)+INDEX($Z$5:$Z$404,$AC293),"D",IF(AND(INDEX($Z$5:$Z$404,$AC293)=1,289=INDEX($AB$5:$AB$404,$AC293)),"H",IF(AND(INDEX($AO$5:$AO$404,$AC293)=1,289=INDEX($AB$5:$AB$404,$AC293)+INDEX($Z$5:$Z$404,$AC293)+INDEX($AA$5:$AA$404,$AC293)+INDEX($AO$5:$AO$404,$AC293)),"B","T")))))))</f>
        <v/>
      </c>
      <c r="AF293" t="str">
        <f t="shared" si="130"/>
        <v/>
      </c>
      <c r="AJ293">
        <f>IF($AD293&lt;&gt;"T",0,ROUND(SUMIF(oil!$B$4:$B$63,$AF293,oil!$AE$4:$AE$63),2))</f>
        <v>0</v>
      </c>
      <c r="AK293" t="str">
        <f>IF($S293="","",IFERROR(INDEX(อัตราค่าขนส่ง!$R$5:$R$54,MATCH($S293,อัตราค่าขนส่ง!$Q$5:$Q$54,0)),INDEX(รายการมาตรฐาน!$G$2:$G$3,1)))</f>
        <v/>
      </c>
      <c r="AL293" t="str">
        <f>IF($S293="","",IFERROR(MATCH($AK293,รายการมาตรฐาน!$G$2:$G$3,0),1))</f>
        <v/>
      </c>
      <c r="AM293" t="str">
        <f t="shared" si="131"/>
        <v/>
      </c>
      <c r="AN293" t="str">
        <f t="shared" si="132"/>
        <v/>
      </c>
      <c r="AO293">
        <f t="shared" si="133"/>
        <v>0</v>
      </c>
      <c r="AP293">
        <f t="shared" si="139"/>
        <v>0</v>
      </c>
      <c r="AQ293" t="str">
        <f t="shared" si="134"/>
        <v/>
      </c>
      <c r="AR293">
        <f>IF($Y293="",0,COUNTIF(บันทึกรายเที่ยว!$V$6:$V$10005,$Y293))</f>
        <v>0</v>
      </c>
      <c r="AS293">
        <f>IF($Y293="",0,ROUND(SUMIF(บันทึกรายเที่ยว!$V$6:$V$10005,$Y293,บันทึกรายเที่ยว!$M$6:$M$10005),2))</f>
        <v>0</v>
      </c>
      <c r="AT293">
        <f>IF($Y293="",0,IFERROR(INDEX(อัตราค่าขนส่ง!$J$5:$J$204,MATCH($Y293,อัตราค่าขนส่ง!$O$5:$O$204,0)),0))</f>
        <v>0</v>
      </c>
      <c r="AU293">
        <f t="shared" si="135"/>
        <v>0</v>
      </c>
      <c r="AV293">
        <f t="shared" si="136"/>
        <v>0</v>
      </c>
      <c r="AW293" t="str">
        <f>IF($Y293="","",IFERROR(INDEX(อัตราค่าขนส่ง!$F$5:$F$204,MATCH($Y293,อัตราค่าขนส่ง!$O$5:$O$204,0)),""))</f>
        <v/>
      </c>
      <c r="AX293" t="str">
        <f>IF($W293="","",INDEX(บันทึกรายเที่ยว!$D$6:$D$10005,$W293))</f>
        <v/>
      </c>
      <c r="AY293" t="str">
        <f>IF($W293="","",INDEX(บันทึกรายเที่ยว!$R$6:$R$10005,$W293))</f>
        <v/>
      </c>
      <c r="AZ293">
        <f t="shared" si="137"/>
        <v>0</v>
      </c>
      <c r="BA293" t="str">
        <f>IF($W293="","",INDEX(บันทึกรายเที่ยว!$E$6:$E$10005,$W293))</f>
        <v/>
      </c>
      <c r="BC293">
        <f>IF($Y293="",0,IFERROR(INDEX(อัตราค่าขนส่ง!$M$5:$M$204,MATCH($Y293,อัตราค่าขนส่ง!$O$5:$O$204,0)),0))</f>
        <v>0</v>
      </c>
      <c r="BD293">
        <f>IF($Y293="",0,IFERROR(INDEX(อัตราค่าขนส่ง!$N$5:$N$204,MATCH($Y293,อัตราค่าขนส่ง!$O$5:$O$204,0)),0))</f>
        <v>0</v>
      </c>
    </row>
    <row r="294" spans="1:56" ht="21" customHeight="1" x14ac:dyDescent="0.95">
      <c r="A294" s="36" t="str">
        <f>IF($AD294="","",IF($AD294="Z","รวมจ่ายทั้งสิ้น",IF($AD294="H",INDEX($X$5:$X$404,$AC294),IF($AD294="T","รวม",IF($AD294="B",IFERROR(INDEX(อัตราค่าขนส่ง!$U$5:$U$14,MATCH(INDEX($AM$5:$AM$404,$AC294),อัตราค่าขนส่ง!$T$5:$T$14,0)),"รวมกลุ่ม "&amp;INDEX($AM$5:$AM$404,$AC294)),INDEX($AY$5:$AY$404,$AC294))))))</f>
        <v/>
      </c>
      <c r="B294" s="31" t="str">
        <f t="shared" si="112"/>
        <v/>
      </c>
      <c r="C294" s="8" t="str">
        <f t="shared" si="113"/>
        <v/>
      </c>
      <c r="D294" s="37" t="str">
        <f t="shared" si="114"/>
        <v/>
      </c>
      <c r="E294" s="31" t="str">
        <f t="shared" si="115"/>
        <v/>
      </c>
      <c r="F294" s="32" t="str">
        <f t="shared" si="116"/>
        <v/>
      </c>
      <c r="G294" s="32" t="str">
        <f t="shared" si="117"/>
        <v/>
      </c>
      <c r="H294" s="32" t="str">
        <f t="shared" si="118"/>
        <v/>
      </c>
      <c r="I294" s="32" t="str">
        <f t="shared" si="119"/>
        <v/>
      </c>
      <c r="J294" s="46" t="str">
        <f t="shared" si="120"/>
        <v/>
      </c>
      <c r="K294" s="32" t="str">
        <f t="shared" si="121"/>
        <v/>
      </c>
      <c r="L294" s="32" t="str">
        <f t="shared" si="122"/>
        <v/>
      </c>
      <c r="M294" s="32" t="str">
        <f t="shared" si="123"/>
        <v/>
      </c>
      <c r="N294" s="32" t="str">
        <f t="shared" si="124"/>
        <v/>
      </c>
      <c r="O294" s="32" t="str">
        <f t="shared" si="125"/>
        <v/>
      </c>
      <c r="Q294" t="str">
        <f>IFERROR(MATCH(290,บันทึกรายเที่ยว!$Z$6:$Z$10005,0),"")</f>
        <v/>
      </c>
      <c r="R294" t="str">
        <f>IF($Q294="","",INDEX(บันทึกรายเที่ยว!$V$6:$V$10005,$Q294))</f>
        <v/>
      </c>
      <c r="S294" t="str">
        <f>IF($Q294="","",INDEX(บันทึกรายเที่ยว!$F$6:$F$10005,$Q294))</f>
        <v/>
      </c>
      <c r="T294" t="str">
        <f>IF($Q294="","",MATCH($S294,บันทึกรายเที่ยว!$F$6:$F$10005,0))</f>
        <v/>
      </c>
      <c r="U294" t="str">
        <f>IF($Q294="","",$AL294*10000000+$T294*1000+290)</f>
        <v/>
      </c>
      <c r="V294" t="str">
        <f>IFERROR(MATCH(SMALL($U$5:$U$404,290),$U$5:$U$404,0),"")</f>
        <v/>
      </c>
      <c r="W294" t="str">
        <f t="shared" si="126"/>
        <v/>
      </c>
      <c r="X294" t="str">
        <f t="shared" si="127"/>
        <v/>
      </c>
      <c r="Y294" t="str">
        <f t="shared" si="128"/>
        <v/>
      </c>
      <c r="Z294">
        <f t="shared" si="138"/>
        <v>0</v>
      </c>
      <c r="AA294">
        <f t="shared" si="129"/>
        <v>0</v>
      </c>
      <c r="AB294">
        <f>IF($V294="",99999+290,$AB293+1+$Z293+$AA293+$AO293)</f>
        <v>100289</v>
      </c>
      <c r="AC294" t="str">
        <f>IFERROR(MATCH(290,$AB$5:$AB$404,1),"")</f>
        <v/>
      </c>
      <c r="AD294" t="str">
        <f>IF(290=$AI$1+1,"Z",IF($AC294="","",IF(INDEX($V$5:$V$404,$AC294)="","",IF(290&gt;INDEX($AB$5:$AB$404,$AC294)+INDEX($Z$5:$Z$404,$AC294)+INDEX($AA$5:$AA$404,$AC294)+INDEX($AO$5:$AO$404,$AC294),"",IF(290=INDEX($AB$5:$AB$404,$AC294)+INDEX($Z$5:$Z$404,$AC294),"D",IF(AND(INDEX($Z$5:$Z$404,$AC294)=1,290=INDEX($AB$5:$AB$404,$AC294)),"H",IF(AND(INDEX($AO$5:$AO$404,$AC294)=1,290=INDEX($AB$5:$AB$404,$AC294)+INDEX($Z$5:$Z$404,$AC294)+INDEX($AA$5:$AA$404,$AC294)+INDEX($AO$5:$AO$404,$AC294)),"B","T")))))))</f>
        <v/>
      </c>
      <c r="AF294" t="str">
        <f t="shared" si="130"/>
        <v/>
      </c>
      <c r="AJ294">
        <f>IF($AD294&lt;&gt;"T",0,ROUND(SUMIF(oil!$B$4:$B$63,$AF294,oil!$AE$4:$AE$63),2))</f>
        <v>0</v>
      </c>
      <c r="AK294" t="str">
        <f>IF($S294="","",IFERROR(INDEX(อัตราค่าขนส่ง!$R$5:$R$54,MATCH($S294,อัตราค่าขนส่ง!$Q$5:$Q$54,0)),INDEX(รายการมาตรฐาน!$G$2:$G$3,1)))</f>
        <v/>
      </c>
      <c r="AL294" t="str">
        <f>IF($S294="","",IFERROR(MATCH($AK294,รายการมาตรฐาน!$G$2:$G$3,0),1))</f>
        <v/>
      </c>
      <c r="AM294" t="str">
        <f t="shared" si="131"/>
        <v/>
      </c>
      <c r="AN294" t="str">
        <f t="shared" si="132"/>
        <v/>
      </c>
      <c r="AO294">
        <f t="shared" si="133"/>
        <v>0</v>
      </c>
      <c r="AP294">
        <f t="shared" si="139"/>
        <v>0</v>
      </c>
      <c r="AQ294" t="str">
        <f t="shared" si="134"/>
        <v/>
      </c>
      <c r="AR294">
        <f>IF($Y294="",0,COUNTIF(บันทึกรายเที่ยว!$V$6:$V$10005,$Y294))</f>
        <v>0</v>
      </c>
      <c r="AS294">
        <f>IF($Y294="",0,ROUND(SUMIF(บันทึกรายเที่ยว!$V$6:$V$10005,$Y294,บันทึกรายเที่ยว!$M$6:$M$10005),2))</f>
        <v>0</v>
      </c>
      <c r="AT294">
        <f>IF($Y294="",0,IFERROR(INDEX(อัตราค่าขนส่ง!$J$5:$J$204,MATCH($Y294,อัตราค่าขนส่ง!$O$5:$O$204,0)),0))</f>
        <v>0</v>
      </c>
      <c r="AU294">
        <f t="shared" si="135"/>
        <v>0</v>
      </c>
      <c r="AV294">
        <f t="shared" si="136"/>
        <v>0</v>
      </c>
      <c r="AW294" t="str">
        <f>IF($Y294="","",IFERROR(INDEX(อัตราค่าขนส่ง!$F$5:$F$204,MATCH($Y294,อัตราค่าขนส่ง!$O$5:$O$204,0)),""))</f>
        <v/>
      </c>
      <c r="AX294" t="str">
        <f>IF($W294="","",INDEX(บันทึกรายเที่ยว!$D$6:$D$10005,$W294))</f>
        <v/>
      </c>
      <c r="AY294" t="str">
        <f>IF($W294="","",INDEX(บันทึกรายเที่ยว!$R$6:$R$10005,$W294))</f>
        <v/>
      </c>
      <c r="AZ294">
        <f t="shared" si="137"/>
        <v>0</v>
      </c>
      <c r="BA294" t="str">
        <f>IF($W294="","",INDEX(บันทึกรายเที่ยว!$E$6:$E$10005,$W294))</f>
        <v/>
      </c>
      <c r="BC294">
        <f>IF($Y294="",0,IFERROR(INDEX(อัตราค่าขนส่ง!$M$5:$M$204,MATCH($Y294,อัตราค่าขนส่ง!$O$5:$O$204,0)),0))</f>
        <v>0</v>
      </c>
      <c r="BD294">
        <f>IF($Y294="",0,IFERROR(INDEX(อัตราค่าขนส่ง!$N$5:$N$204,MATCH($Y294,อัตราค่าขนส่ง!$O$5:$O$204,0)),0))</f>
        <v>0</v>
      </c>
    </row>
    <row r="295" spans="1:56" ht="21" customHeight="1" x14ac:dyDescent="0.95">
      <c r="A295" s="36" t="str">
        <f>IF($AD295="","",IF($AD295="Z","รวมจ่ายทั้งสิ้น",IF($AD295="H",INDEX($X$5:$X$404,$AC295),IF($AD295="T","รวม",IF($AD295="B",IFERROR(INDEX(อัตราค่าขนส่ง!$U$5:$U$14,MATCH(INDEX($AM$5:$AM$404,$AC295),อัตราค่าขนส่ง!$T$5:$T$14,0)),"รวมกลุ่ม "&amp;INDEX($AM$5:$AM$404,$AC295)),INDEX($AY$5:$AY$404,$AC295))))))</f>
        <v/>
      </c>
      <c r="B295" s="31" t="str">
        <f t="shared" si="112"/>
        <v/>
      </c>
      <c r="C295" s="8" t="str">
        <f t="shared" si="113"/>
        <v/>
      </c>
      <c r="D295" s="37" t="str">
        <f t="shared" si="114"/>
        <v/>
      </c>
      <c r="E295" s="31" t="str">
        <f t="shared" si="115"/>
        <v/>
      </c>
      <c r="F295" s="32" t="str">
        <f t="shared" si="116"/>
        <v/>
      </c>
      <c r="G295" s="32" t="str">
        <f t="shared" si="117"/>
        <v/>
      </c>
      <c r="H295" s="32" t="str">
        <f t="shared" si="118"/>
        <v/>
      </c>
      <c r="I295" s="32" t="str">
        <f t="shared" si="119"/>
        <v/>
      </c>
      <c r="J295" s="46" t="str">
        <f t="shared" si="120"/>
        <v/>
      </c>
      <c r="K295" s="32" t="str">
        <f t="shared" si="121"/>
        <v/>
      </c>
      <c r="L295" s="32" t="str">
        <f t="shared" si="122"/>
        <v/>
      </c>
      <c r="M295" s="32" t="str">
        <f t="shared" si="123"/>
        <v/>
      </c>
      <c r="N295" s="32" t="str">
        <f t="shared" si="124"/>
        <v/>
      </c>
      <c r="O295" s="32" t="str">
        <f t="shared" si="125"/>
        <v/>
      </c>
      <c r="Q295" t="str">
        <f>IFERROR(MATCH(291,บันทึกรายเที่ยว!$Z$6:$Z$10005,0),"")</f>
        <v/>
      </c>
      <c r="R295" t="str">
        <f>IF($Q295="","",INDEX(บันทึกรายเที่ยว!$V$6:$V$10005,$Q295))</f>
        <v/>
      </c>
      <c r="S295" t="str">
        <f>IF($Q295="","",INDEX(บันทึกรายเที่ยว!$F$6:$F$10005,$Q295))</f>
        <v/>
      </c>
      <c r="T295" t="str">
        <f>IF($Q295="","",MATCH($S295,บันทึกรายเที่ยว!$F$6:$F$10005,0))</f>
        <v/>
      </c>
      <c r="U295" t="str">
        <f>IF($Q295="","",$AL295*10000000+$T295*1000+291)</f>
        <v/>
      </c>
      <c r="V295" t="str">
        <f>IFERROR(MATCH(SMALL($U$5:$U$404,291),$U$5:$U$404,0),"")</f>
        <v/>
      </c>
      <c r="W295" t="str">
        <f t="shared" si="126"/>
        <v/>
      </c>
      <c r="X295" t="str">
        <f t="shared" si="127"/>
        <v/>
      </c>
      <c r="Y295" t="str">
        <f t="shared" si="128"/>
        <v/>
      </c>
      <c r="Z295">
        <f t="shared" si="138"/>
        <v>0</v>
      </c>
      <c r="AA295">
        <f t="shared" si="129"/>
        <v>0</v>
      </c>
      <c r="AB295">
        <f>IF($V295="",99999+291,$AB294+1+$Z294+$AA294+$AO294)</f>
        <v>100290</v>
      </c>
      <c r="AC295" t="str">
        <f>IFERROR(MATCH(291,$AB$5:$AB$404,1),"")</f>
        <v/>
      </c>
      <c r="AD295" t="str">
        <f>IF(291=$AI$1+1,"Z",IF($AC295="","",IF(INDEX($V$5:$V$404,$AC295)="","",IF(291&gt;INDEX($AB$5:$AB$404,$AC295)+INDEX($Z$5:$Z$404,$AC295)+INDEX($AA$5:$AA$404,$AC295)+INDEX($AO$5:$AO$404,$AC295),"",IF(291=INDEX($AB$5:$AB$404,$AC295)+INDEX($Z$5:$Z$404,$AC295),"D",IF(AND(INDEX($Z$5:$Z$404,$AC295)=1,291=INDEX($AB$5:$AB$404,$AC295)),"H",IF(AND(INDEX($AO$5:$AO$404,$AC295)=1,291=INDEX($AB$5:$AB$404,$AC295)+INDEX($Z$5:$Z$404,$AC295)+INDEX($AA$5:$AA$404,$AC295)+INDEX($AO$5:$AO$404,$AC295)),"B","T")))))))</f>
        <v/>
      </c>
      <c r="AF295" t="str">
        <f t="shared" si="130"/>
        <v/>
      </c>
      <c r="AJ295">
        <f>IF($AD295&lt;&gt;"T",0,ROUND(SUMIF(oil!$B$4:$B$63,$AF295,oil!$AE$4:$AE$63),2))</f>
        <v>0</v>
      </c>
      <c r="AK295" t="str">
        <f>IF($S295="","",IFERROR(INDEX(อัตราค่าขนส่ง!$R$5:$R$54,MATCH($S295,อัตราค่าขนส่ง!$Q$5:$Q$54,0)),INDEX(รายการมาตรฐาน!$G$2:$G$3,1)))</f>
        <v/>
      </c>
      <c r="AL295" t="str">
        <f>IF($S295="","",IFERROR(MATCH($AK295,รายการมาตรฐาน!$G$2:$G$3,0),1))</f>
        <v/>
      </c>
      <c r="AM295" t="str">
        <f t="shared" si="131"/>
        <v/>
      </c>
      <c r="AN295" t="str">
        <f t="shared" si="132"/>
        <v/>
      </c>
      <c r="AO295">
        <f t="shared" si="133"/>
        <v>0</v>
      </c>
      <c r="AP295">
        <f t="shared" si="139"/>
        <v>0</v>
      </c>
      <c r="AQ295" t="str">
        <f t="shared" si="134"/>
        <v/>
      </c>
      <c r="AR295">
        <f>IF($Y295="",0,COUNTIF(บันทึกรายเที่ยว!$V$6:$V$10005,$Y295))</f>
        <v>0</v>
      </c>
      <c r="AS295">
        <f>IF($Y295="",0,ROUND(SUMIF(บันทึกรายเที่ยว!$V$6:$V$10005,$Y295,บันทึกรายเที่ยว!$M$6:$M$10005),2))</f>
        <v>0</v>
      </c>
      <c r="AT295">
        <f>IF($Y295="",0,IFERROR(INDEX(อัตราค่าขนส่ง!$J$5:$J$204,MATCH($Y295,อัตราค่าขนส่ง!$O$5:$O$204,0)),0))</f>
        <v>0</v>
      </c>
      <c r="AU295">
        <f t="shared" si="135"/>
        <v>0</v>
      </c>
      <c r="AV295">
        <f t="shared" si="136"/>
        <v>0</v>
      </c>
      <c r="AW295" t="str">
        <f>IF($Y295="","",IFERROR(INDEX(อัตราค่าขนส่ง!$F$5:$F$204,MATCH($Y295,อัตราค่าขนส่ง!$O$5:$O$204,0)),""))</f>
        <v/>
      </c>
      <c r="AX295" t="str">
        <f>IF($W295="","",INDEX(บันทึกรายเที่ยว!$D$6:$D$10005,$W295))</f>
        <v/>
      </c>
      <c r="AY295" t="str">
        <f>IF($W295="","",INDEX(บันทึกรายเที่ยว!$R$6:$R$10005,$W295))</f>
        <v/>
      </c>
      <c r="AZ295">
        <f t="shared" si="137"/>
        <v>0</v>
      </c>
      <c r="BA295" t="str">
        <f>IF($W295="","",INDEX(บันทึกรายเที่ยว!$E$6:$E$10005,$W295))</f>
        <v/>
      </c>
      <c r="BC295">
        <f>IF($Y295="",0,IFERROR(INDEX(อัตราค่าขนส่ง!$M$5:$M$204,MATCH($Y295,อัตราค่าขนส่ง!$O$5:$O$204,0)),0))</f>
        <v>0</v>
      </c>
      <c r="BD295">
        <f>IF($Y295="",0,IFERROR(INDEX(อัตราค่าขนส่ง!$N$5:$N$204,MATCH($Y295,อัตราค่าขนส่ง!$O$5:$O$204,0)),0))</f>
        <v>0</v>
      </c>
    </row>
    <row r="296" spans="1:56" ht="21" customHeight="1" x14ac:dyDescent="0.95">
      <c r="A296" s="36" t="str">
        <f>IF($AD296="","",IF($AD296="Z","รวมจ่ายทั้งสิ้น",IF($AD296="H",INDEX($X$5:$X$404,$AC296),IF($AD296="T","รวม",IF($AD296="B",IFERROR(INDEX(อัตราค่าขนส่ง!$U$5:$U$14,MATCH(INDEX($AM$5:$AM$404,$AC296),อัตราค่าขนส่ง!$T$5:$T$14,0)),"รวมกลุ่ม "&amp;INDEX($AM$5:$AM$404,$AC296)),INDEX($AY$5:$AY$404,$AC296))))))</f>
        <v/>
      </c>
      <c r="B296" s="31" t="str">
        <f t="shared" si="112"/>
        <v/>
      </c>
      <c r="C296" s="8" t="str">
        <f t="shared" si="113"/>
        <v/>
      </c>
      <c r="D296" s="37" t="str">
        <f t="shared" si="114"/>
        <v/>
      </c>
      <c r="E296" s="31" t="str">
        <f t="shared" si="115"/>
        <v/>
      </c>
      <c r="F296" s="32" t="str">
        <f t="shared" si="116"/>
        <v/>
      </c>
      <c r="G296" s="32" t="str">
        <f t="shared" si="117"/>
        <v/>
      </c>
      <c r="H296" s="32" t="str">
        <f t="shared" si="118"/>
        <v/>
      </c>
      <c r="I296" s="32" t="str">
        <f t="shared" si="119"/>
        <v/>
      </c>
      <c r="J296" s="46" t="str">
        <f t="shared" si="120"/>
        <v/>
      </c>
      <c r="K296" s="32" t="str">
        <f t="shared" si="121"/>
        <v/>
      </c>
      <c r="L296" s="32" t="str">
        <f t="shared" si="122"/>
        <v/>
      </c>
      <c r="M296" s="32" t="str">
        <f t="shared" si="123"/>
        <v/>
      </c>
      <c r="N296" s="32" t="str">
        <f t="shared" si="124"/>
        <v/>
      </c>
      <c r="O296" s="32" t="str">
        <f t="shared" si="125"/>
        <v/>
      </c>
      <c r="Q296" t="str">
        <f>IFERROR(MATCH(292,บันทึกรายเที่ยว!$Z$6:$Z$10005,0),"")</f>
        <v/>
      </c>
      <c r="R296" t="str">
        <f>IF($Q296="","",INDEX(บันทึกรายเที่ยว!$V$6:$V$10005,$Q296))</f>
        <v/>
      </c>
      <c r="S296" t="str">
        <f>IF($Q296="","",INDEX(บันทึกรายเที่ยว!$F$6:$F$10005,$Q296))</f>
        <v/>
      </c>
      <c r="T296" t="str">
        <f>IF($Q296="","",MATCH($S296,บันทึกรายเที่ยว!$F$6:$F$10005,0))</f>
        <v/>
      </c>
      <c r="U296" t="str">
        <f>IF($Q296="","",$AL296*10000000+$T296*1000+292)</f>
        <v/>
      </c>
      <c r="V296" t="str">
        <f>IFERROR(MATCH(SMALL($U$5:$U$404,292),$U$5:$U$404,0),"")</f>
        <v/>
      </c>
      <c r="W296" t="str">
        <f t="shared" si="126"/>
        <v/>
      </c>
      <c r="X296" t="str">
        <f t="shared" si="127"/>
        <v/>
      </c>
      <c r="Y296" t="str">
        <f t="shared" si="128"/>
        <v/>
      </c>
      <c r="Z296">
        <f t="shared" si="138"/>
        <v>0</v>
      </c>
      <c r="AA296">
        <f t="shared" si="129"/>
        <v>0</v>
      </c>
      <c r="AB296">
        <f>IF($V296="",99999+292,$AB295+1+$Z295+$AA295+$AO295)</f>
        <v>100291</v>
      </c>
      <c r="AC296" t="str">
        <f>IFERROR(MATCH(292,$AB$5:$AB$404,1),"")</f>
        <v/>
      </c>
      <c r="AD296" t="str">
        <f>IF(292=$AI$1+1,"Z",IF($AC296="","",IF(INDEX($V$5:$V$404,$AC296)="","",IF(292&gt;INDEX($AB$5:$AB$404,$AC296)+INDEX($Z$5:$Z$404,$AC296)+INDEX($AA$5:$AA$404,$AC296)+INDEX($AO$5:$AO$404,$AC296),"",IF(292=INDEX($AB$5:$AB$404,$AC296)+INDEX($Z$5:$Z$404,$AC296),"D",IF(AND(INDEX($Z$5:$Z$404,$AC296)=1,292=INDEX($AB$5:$AB$404,$AC296)),"H",IF(AND(INDEX($AO$5:$AO$404,$AC296)=1,292=INDEX($AB$5:$AB$404,$AC296)+INDEX($Z$5:$Z$404,$AC296)+INDEX($AA$5:$AA$404,$AC296)+INDEX($AO$5:$AO$404,$AC296)),"B","T")))))))</f>
        <v/>
      </c>
      <c r="AF296" t="str">
        <f t="shared" si="130"/>
        <v/>
      </c>
      <c r="AJ296">
        <f>IF($AD296&lt;&gt;"T",0,ROUND(SUMIF(oil!$B$4:$B$63,$AF296,oil!$AE$4:$AE$63),2))</f>
        <v>0</v>
      </c>
      <c r="AK296" t="str">
        <f>IF($S296="","",IFERROR(INDEX(อัตราค่าขนส่ง!$R$5:$R$54,MATCH($S296,อัตราค่าขนส่ง!$Q$5:$Q$54,0)),INDEX(รายการมาตรฐาน!$G$2:$G$3,1)))</f>
        <v/>
      </c>
      <c r="AL296" t="str">
        <f>IF($S296="","",IFERROR(MATCH($AK296,รายการมาตรฐาน!$G$2:$G$3,0),1))</f>
        <v/>
      </c>
      <c r="AM296" t="str">
        <f t="shared" si="131"/>
        <v/>
      </c>
      <c r="AN296" t="str">
        <f t="shared" si="132"/>
        <v/>
      </c>
      <c r="AO296">
        <f t="shared" si="133"/>
        <v>0</v>
      </c>
      <c r="AP296">
        <f t="shared" si="139"/>
        <v>0</v>
      </c>
      <c r="AQ296" t="str">
        <f t="shared" si="134"/>
        <v/>
      </c>
      <c r="AR296">
        <f>IF($Y296="",0,COUNTIF(บันทึกรายเที่ยว!$V$6:$V$10005,$Y296))</f>
        <v>0</v>
      </c>
      <c r="AS296">
        <f>IF($Y296="",0,ROUND(SUMIF(บันทึกรายเที่ยว!$V$6:$V$10005,$Y296,บันทึกรายเที่ยว!$M$6:$M$10005),2))</f>
        <v>0</v>
      </c>
      <c r="AT296">
        <f>IF($Y296="",0,IFERROR(INDEX(อัตราค่าขนส่ง!$J$5:$J$204,MATCH($Y296,อัตราค่าขนส่ง!$O$5:$O$204,0)),0))</f>
        <v>0</v>
      </c>
      <c r="AU296">
        <f t="shared" si="135"/>
        <v>0</v>
      </c>
      <c r="AV296">
        <f t="shared" si="136"/>
        <v>0</v>
      </c>
      <c r="AW296" t="str">
        <f>IF($Y296="","",IFERROR(INDEX(อัตราค่าขนส่ง!$F$5:$F$204,MATCH($Y296,อัตราค่าขนส่ง!$O$5:$O$204,0)),""))</f>
        <v/>
      </c>
      <c r="AX296" t="str">
        <f>IF($W296="","",INDEX(บันทึกรายเที่ยว!$D$6:$D$10005,$W296))</f>
        <v/>
      </c>
      <c r="AY296" t="str">
        <f>IF($W296="","",INDEX(บันทึกรายเที่ยว!$R$6:$R$10005,$W296))</f>
        <v/>
      </c>
      <c r="AZ296">
        <f t="shared" si="137"/>
        <v>0</v>
      </c>
      <c r="BA296" t="str">
        <f>IF($W296="","",INDEX(บันทึกรายเที่ยว!$E$6:$E$10005,$W296))</f>
        <v/>
      </c>
      <c r="BC296">
        <f>IF($Y296="",0,IFERROR(INDEX(อัตราค่าขนส่ง!$M$5:$M$204,MATCH($Y296,อัตราค่าขนส่ง!$O$5:$O$204,0)),0))</f>
        <v>0</v>
      </c>
      <c r="BD296">
        <f>IF($Y296="",0,IFERROR(INDEX(อัตราค่าขนส่ง!$N$5:$N$204,MATCH($Y296,อัตราค่าขนส่ง!$O$5:$O$204,0)),0))</f>
        <v>0</v>
      </c>
    </row>
    <row r="297" spans="1:56" ht="21" customHeight="1" x14ac:dyDescent="0.95">
      <c r="A297" s="36" t="str">
        <f>IF($AD297="","",IF($AD297="Z","รวมจ่ายทั้งสิ้น",IF($AD297="H",INDEX($X$5:$X$404,$AC297),IF($AD297="T","รวม",IF($AD297="B",IFERROR(INDEX(อัตราค่าขนส่ง!$U$5:$U$14,MATCH(INDEX($AM$5:$AM$404,$AC297),อัตราค่าขนส่ง!$T$5:$T$14,0)),"รวมกลุ่ม "&amp;INDEX($AM$5:$AM$404,$AC297)),INDEX($AY$5:$AY$404,$AC297))))))</f>
        <v/>
      </c>
      <c r="B297" s="31" t="str">
        <f t="shared" si="112"/>
        <v/>
      </c>
      <c r="C297" s="8" t="str">
        <f t="shared" si="113"/>
        <v/>
      </c>
      <c r="D297" s="37" t="str">
        <f t="shared" si="114"/>
        <v/>
      </c>
      <c r="E297" s="31" t="str">
        <f t="shared" si="115"/>
        <v/>
      </c>
      <c r="F297" s="32" t="str">
        <f t="shared" si="116"/>
        <v/>
      </c>
      <c r="G297" s="32" t="str">
        <f t="shared" si="117"/>
        <v/>
      </c>
      <c r="H297" s="32" t="str">
        <f t="shared" si="118"/>
        <v/>
      </c>
      <c r="I297" s="32" t="str">
        <f t="shared" si="119"/>
        <v/>
      </c>
      <c r="J297" s="46" t="str">
        <f t="shared" si="120"/>
        <v/>
      </c>
      <c r="K297" s="32" t="str">
        <f t="shared" si="121"/>
        <v/>
      </c>
      <c r="L297" s="32" t="str">
        <f t="shared" si="122"/>
        <v/>
      </c>
      <c r="M297" s="32" t="str">
        <f t="shared" si="123"/>
        <v/>
      </c>
      <c r="N297" s="32" t="str">
        <f t="shared" si="124"/>
        <v/>
      </c>
      <c r="O297" s="32" t="str">
        <f t="shared" si="125"/>
        <v/>
      </c>
      <c r="Q297" t="str">
        <f>IFERROR(MATCH(293,บันทึกรายเที่ยว!$Z$6:$Z$10005,0),"")</f>
        <v/>
      </c>
      <c r="R297" t="str">
        <f>IF($Q297="","",INDEX(บันทึกรายเที่ยว!$V$6:$V$10005,$Q297))</f>
        <v/>
      </c>
      <c r="S297" t="str">
        <f>IF($Q297="","",INDEX(บันทึกรายเที่ยว!$F$6:$F$10005,$Q297))</f>
        <v/>
      </c>
      <c r="T297" t="str">
        <f>IF($Q297="","",MATCH($S297,บันทึกรายเที่ยว!$F$6:$F$10005,0))</f>
        <v/>
      </c>
      <c r="U297" t="str">
        <f>IF($Q297="","",$AL297*10000000+$T297*1000+293)</f>
        <v/>
      </c>
      <c r="V297" t="str">
        <f>IFERROR(MATCH(SMALL($U$5:$U$404,293),$U$5:$U$404,0),"")</f>
        <v/>
      </c>
      <c r="W297" t="str">
        <f t="shared" si="126"/>
        <v/>
      </c>
      <c r="X297" t="str">
        <f t="shared" si="127"/>
        <v/>
      </c>
      <c r="Y297" t="str">
        <f t="shared" si="128"/>
        <v/>
      </c>
      <c r="Z297">
        <f t="shared" si="138"/>
        <v>0</v>
      </c>
      <c r="AA297">
        <f t="shared" si="129"/>
        <v>0</v>
      </c>
      <c r="AB297">
        <f>IF($V297="",99999+293,$AB296+1+$Z296+$AA296+$AO296)</f>
        <v>100292</v>
      </c>
      <c r="AC297" t="str">
        <f>IFERROR(MATCH(293,$AB$5:$AB$404,1),"")</f>
        <v/>
      </c>
      <c r="AD297" t="str">
        <f>IF(293=$AI$1+1,"Z",IF($AC297="","",IF(INDEX($V$5:$V$404,$AC297)="","",IF(293&gt;INDEX($AB$5:$AB$404,$AC297)+INDEX($Z$5:$Z$404,$AC297)+INDEX($AA$5:$AA$404,$AC297)+INDEX($AO$5:$AO$404,$AC297),"",IF(293=INDEX($AB$5:$AB$404,$AC297)+INDEX($Z$5:$Z$404,$AC297),"D",IF(AND(INDEX($Z$5:$Z$404,$AC297)=1,293=INDEX($AB$5:$AB$404,$AC297)),"H",IF(AND(INDEX($AO$5:$AO$404,$AC297)=1,293=INDEX($AB$5:$AB$404,$AC297)+INDEX($Z$5:$Z$404,$AC297)+INDEX($AA$5:$AA$404,$AC297)+INDEX($AO$5:$AO$404,$AC297)),"B","T")))))))</f>
        <v/>
      </c>
      <c r="AF297" t="str">
        <f t="shared" si="130"/>
        <v/>
      </c>
      <c r="AJ297">
        <f>IF($AD297&lt;&gt;"T",0,ROUND(SUMIF(oil!$B$4:$B$63,$AF297,oil!$AE$4:$AE$63),2))</f>
        <v>0</v>
      </c>
      <c r="AK297" t="str">
        <f>IF($S297="","",IFERROR(INDEX(อัตราค่าขนส่ง!$R$5:$R$54,MATCH($S297,อัตราค่าขนส่ง!$Q$5:$Q$54,0)),INDEX(รายการมาตรฐาน!$G$2:$G$3,1)))</f>
        <v/>
      </c>
      <c r="AL297" t="str">
        <f>IF($S297="","",IFERROR(MATCH($AK297,รายการมาตรฐาน!$G$2:$G$3,0),1))</f>
        <v/>
      </c>
      <c r="AM297" t="str">
        <f t="shared" si="131"/>
        <v/>
      </c>
      <c r="AN297" t="str">
        <f t="shared" si="132"/>
        <v/>
      </c>
      <c r="AO297">
        <f t="shared" si="133"/>
        <v>0</v>
      </c>
      <c r="AP297">
        <f t="shared" si="139"/>
        <v>0</v>
      </c>
      <c r="AQ297" t="str">
        <f t="shared" si="134"/>
        <v/>
      </c>
      <c r="AR297">
        <f>IF($Y297="",0,COUNTIF(บันทึกรายเที่ยว!$V$6:$V$10005,$Y297))</f>
        <v>0</v>
      </c>
      <c r="AS297">
        <f>IF($Y297="",0,ROUND(SUMIF(บันทึกรายเที่ยว!$V$6:$V$10005,$Y297,บันทึกรายเที่ยว!$M$6:$M$10005),2))</f>
        <v>0</v>
      </c>
      <c r="AT297">
        <f>IF($Y297="",0,IFERROR(INDEX(อัตราค่าขนส่ง!$J$5:$J$204,MATCH($Y297,อัตราค่าขนส่ง!$O$5:$O$204,0)),0))</f>
        <v>0</v>
      </c>
      <c r="AU297">
        <f t="shared" si="135"/>
        <v>0</v>
      </c>
      <c r="AV297">
        <f t="shared" si="136"/>
        <v>0</v>
      </c>
      <c r="AW297" t="str">
        <f>IF($Y297="","",IFERROR(INDEX(อัตราค่าขนส่ง!$F$5:$F$204,MATCH($Y297,อัตราค่าขนส่ง!$O$5:$O$204,0)),""))</f>
        <v/>
      </c>
      <c r="AX297" t="str">
        <f>IF($W297="","",INDEX(บันทึกรายเที่ยว!$D$6:$D$10005,$W297))</f>
        <v/>
      </c>
      <c r="AY297" t="str">
        <f>IF($W297="","",INDEX(บันทึกรายเที่ยว!$R$6:$R$10005,$W297))</f>
        <v/>
      </c>
      <c r="AZ297">
        <f t="shared" si="137"/>
        <v>0</v>
      </c>
      <c r="BA297" t="str">
        <f>IF($W297="","",INDEX(บันทึกรายเที่ยว!$E$6:$E$10005,$W297))</f>
        <v/>
      </c>
      <c r="BC297">
        <f>IF($Y297="",0,IFERROR(INDEX(อัตราค่าขนส่ง!$M$5:$M$204,MATCH($Y297,อัตราค่าขนส่ง!$O$5:$O$204,0)),0))</f>
        <v>0</v>
      </c>
      <c r="BD297">
        <f>IF($Y297="",0,IFERROR(INDEX(อัตราค่าขนส่ง!$N$5:$N$204,MATCH($Y297,อัตราค่าขนส่ง!$O$5:$O$204,0)),0))</f>
        <v>0</v>
      </c>
    </row>
    <row r="298" spans="1:56" ht="21" customHeight="1" x14ac:dyDescent="0.95">
      <c r="A298" s="36" t="str">
        <f>IF($AD298="","",IF($AD298="Z","รวมจ่ายทั้งสิ้น",IF($AD298="H",INDEX($X$5:$X$404,$AC298),IF($AD298="T","รวม",IF($AD298="B",IFERROR(INDEX(อัตราค่าขนส่ง!$U$5:$U$14,MATCH(INDEX($AM$5:$AM$404,$AC298),อัตราค่าขนส่ง!$T$5:$T$14,0)),"รวมกลุ่ม "&amp;INDEX($AM$5:$AM$404,$AC298)),INDEX($AY$5:$AY$404,$AC298))))))</f>
        <v/>
      </c>
      <c r="B298" s="31" t="str">
        <f t="shared" si="112"/>
        <v/>
      </c>
      <c r="C298" s="8" t="str">
        <f t="shared" si="113"/>
        <v/>
      </c>
      <c r="D298" s="37" t="str">
        <f t="shared" si="114"/>
        <v/>
      </c>
      <c r="E298" s="31" t="str">
        <f t="shared" si="115"/>
        <v/>
      </c>
      <c r="F298" s="32" t="str">
        <f t="shared" si="116"/>
        <v/>
      </c>
      <c r="G298" s="32" t="str">
        <f t="shared" si="117"/>
        <v/>
      </c>
      <c r="H298" s="32" t="str">
        <f t="shared" si="118"/>
        <v/>
      </c>
      <c r="I298" s="32" t="str">
        <f t="shared" si="119"/>
        <v/>
      </c>
      <c r="J298" s="46" t="str">
        <f t="shared" si="120"/>
        <v/>
      </c>
      <c r="K298" s="32" t="str">
        <f t="shared" si="121"/>
        <v/>
      </c>
      <c r="L298" s="32" t="str">
        <f t="shared" si="122"/>
        <v/>
      </c>
      <c r="M298" s="32" t="str">
        <f t="shared" si="123"/>
        <v/>
      </c>
      <c r="N298" s="32" t="str">
        <f t="shared" si="124"/>
        <v/>
      </c>
      <c r="O298" s="32" t="str">
        <f t="shared" si="125"/>
        <v/>
      </c>
      <c r="Q298" t="str">
        <f>IFERROR(MATCH(294,บันทึกรายเที่ยว!$Z$6:$Z$10005,0),"")</f>
        <v/>
      </c>
      <c r="R298" t="str">
        <f>IF($Q298="","",INDEX(บันทึกรายเที่ยว!$V$6:$V$10005,$Q298))</f>
        <v/>
      </c>
      <c r="S298" t="str">
        <f>IF($Q298="","",INDEX(บันทึกรายเที่ยว!$F$6:$F$10005,$Q298))</f>
        <v/>
      </c>
      <c r="T298" t="str">
        <f>IF($Q298="","",MATCH($S298,บันทึกรายเที่ยว!$F$6:$F$10005,0))</f>
        <v/>
      </c>
      <c r="U298" t="str">
        <f>IF($Q298="","",$AL298*10000000+$T298*1000+294)</f>
        <v/>
      </c>
      <c r="V298" t="str">
        <f>IFERROR(MATCH(SMALL($U$5:$U$404,294),$U$5:$U$404,0),"")</f>
        <v/>
      </c>
      <c r="W298" t="str">
        <f t="shared" si="126"/>
        <v/>
      </c>
      <c r="X298" t="str">
        <f t="shared" si="127"/>
        <v/>
      </c>
      <c r="Y298" t="str">
        <f t="shared" si="128"/>
        <v/>
      </c>
      <c r="Z298">
        <f t="shared" si="138"/>
        <v>0</v>
      </c>
      <c r="AA298">
        <f t="shared" si="129"/>
        <v>0</v>
      </c>
      <c r="AB298">
        <f>IF($V298="",99999+294,$AB297+1+$Z297+$AA297+$AO297)</f>
        <v>100293</v>
      </c>
      <c r="AC298" t="str">
        <f>IFERROR(MATCH(294,$AB$5:$AB$404,1),"")</f>
        <v/>
      </c>
      <c r="AD298" t="str">
        <f>IF(294=$AI$1+1,"Z",IF($AC298="","",IF(INDEX($V$5:$V$404,$AC298)="","",IF(294&gt;INDEX($AB$5:$AB$404,$AC298)+INDEX($Z$5:$Z$404,$AC298)+INDEX($AA$5:$AA$404,$AC298)+INDEX($AO$5:$AO$404,$AC298),"",IF(294=INDEX($AB$5:$AB$404,$AC298)+INDEX($Z$5:$Z$404,$AC298),"D",IF(AND(INDEX($Z$5:$Z$404,$AC298)=1,294=INDEX($AB$5:$AB$404,$AC298)),"H",IF(AND(INDEX($AO$5:$AO$404,$AC298)=1,294=INDEX($AB$5:$AB$404,$AC298)+INDEX($Z$5:$Z$404,$AC298)+INDEX($AA$5:$AA$404,$AC298)+INDEX($AO$5:$AO$404,$AC298)),"B","T")))))))</f>
        <v/>
      </c>
      <c r="AF298" t="str">
        <f t="shared" si="130"/>
        <v/>
      </c>
      <c r="AJ298">
        <f>IF($AD298&lt;&gt;"T",0,ROUND(SUMIF(oil!$B$4:$B$63,$AF298,oil!$AE$4:$AE$63),2))</f>
        <v>0</v>
      </c>
      <c r="AK298" t="str">
        <f>IF($S298="","",IFERROR(INDEX(อัตราค่าขนส่ง!$R$5:$R$54,MATCH($S298,อัตราค่าขนส่ง!$Q$5:$Q$54,0)),INDEX(รายการมาตรฐาน!$G$2:$G$3,1)))</f>
        <v/>
      </c>
      <c r="AL298" t="str">
        <f>IF($S298="","",IFERROR(MATCH($AK298,รายการมาตรฐาน!$G$2:$G$3,0),1))</f>
        <v/>
      </c>
      <c r="AM298" t="str">
        <f t="shared" si="131"/>
        <v/>
      </c>
      <c r="AN298" t="str">
        <f t="shared" si="132"/>
        <v/>
      </c>
      <c r="AO298">
        <f t="shared" si="133"/>
        <v>0</v>
      </c>
      <c r="AP298">
        <f t="shared" si="139"/>
        <v>0</v>
      </c>
      <c r="AQ298" t="str">
        <f t="shared" si="134"/>
        <v/>
      </c>
      <c r="AR298">
        <f>IF($Y298="",0,COUNTIF(บันทึกรายเที่ยว!$V$6:$V$10005,$Y298))</f>
        <v>0</v>
      </c>
      <c r="AS298">
        <f>IF($Y298="",0,ROUND(SUMIF(บันทึกรายเที่ยว!$V$6:$V$10005,$Y298,บันทึกรายเที่ยว!$M$6:$M$10005),2))</f>
        <v>0</v>
      </c>
      <c r="AT298">
        <f>IF($Y298="",0,IFERROR(INDEX(อัตราค่าขนส่ง!$J$5:$J$204,MATCH($Y298,อัตราค่าขนส่ง!$O$5:$O$204,0)),0))</f>
        <v>0</v>
      </c>
      <c r="AU298">
        <f t="shared" si="135"/>
        <v>0</v>
      </c>
      <c r="AV298">
        <f t="shared" si="136"/>
        <v>0</v>
      </c>
      <c r="AW298" t="str">
        <f>IF($Y298="","",IFERROR(INDEX(อัตราค่าขนส่ง!$F$5:$F$204,MATCH($Y298,อัตราค่าขนส่ง!$O$5:$O$204,0)),""))</f>
        <v/>
      </c>
      <c r="AX298" t="str">
        <f>IF($W298="","",INDEX(บันทึกรายเที่ยว!$D$6:$D$10005,$W298))</f>
        <v/>
      </c>
      <c r="AY298" t="str">
        <f>IF($W298="","",INDEX(บันทึกรายเที่ยว!$R$6:$R$10005,$W298))</f>
        <v/>
      </c>
      <c r="AZ298">
        <f t="shared" si="137"/>
        <v>0</v>
      </c>
      <c r="BA298" t="str">
        <f>IF($W298="","",INDEX(บันทึกรายเที่ยว!$E$6:$E$10005,$W298))</f>
        <v/>
      </c>
      <c r="BC298">
        <f>IF($Y298="",0,IFERROR(INDEX(อัตราค่าขนส่ง!$M$5:$M$204,MATCH($Y298,อัตราค่าขนส่ง!$O$5:$O$204,0)),0))</f>
        <v>0</v>
      </c>
      <c r="BD298">
        <f>IF($Y298="",0,IFERROR(INDEX(อัตราค่าขนส่ง!$N$5:$N$204,MATCH($Y298,อัตราค่าขนส่ง!$O$5:$O$204,0)),0))</f>
        <v>0</v>
      </c>
    </row>
    <row r="299" spans="1:56" ht="21" customHeight="1" x14ac:dyDescent="0.95">
      <c r="A299" s="36" t="str">
        <f>IF($AD299="","",IF($AD299="Z","รวมจ่ายทั้งสิ้น",IF($AD299="H",INDEX($X$5:$X$404,$AC299),IF($AD299="T","รวม",IF($AD299="B",IFERROR(INDEX(อัตราค่าขนส่ง!$U$5:$U$14,MATCH(INDEX($AM$5:$AM$404,$AC299),อัตราค่าขนส่ง!$T$5:$T$14,0)),"รวมกลุ่ม "&amp;INDEX($AM$5:$AM$404,$AC299)),INDEX($AY$5:$AY$404,$AC299))))))</f>
        <v/>
      </c>
      <c r="B299" s="31" t="str">
        <f t="shared" si="112"/>
        <v/>
      </c>
      <c r="C299" s="8" t="str">
        <f t="shared" si="113"/>
        <v/>
      </c>
      <c r="D299" s="37" t="str">
        <f t="shared" si="114"/>
        <v/>
      </c>
      <c r="E299" s="31" t="str">
        <f t="shared" si="115"/>
        <v/>
      </c>
      <c r="F299" s="32" t="str">
        <f t="shared" si="116"/>
        <v/>
      </c>
      <c r="G299" s="32" t="str">
        <f t="shared" si="117"/>
        <v/>
      </c>
      <c r="H299" s="32" t="str">
        <f t="shared" si="118"/>
        <v/>
      </c>
      <c r="I299" s="32" t="str">
        <f t="shared" si="119"/>
        <v/>
      </c>
      <c r="J299" s="46" t="str">
        <f t="shared" si="120"/>
        <v/>
      </c>
      <c r="K299" s="32" t="str">
        <f t="shared" si="121"/>
        <v/>
      </c>
      <c r="L299" s="32" t="str">
        <f t="shared" si="122"/>
        <v/>
      </c>
      <c r="M299" s="32" t="str">
        <f t="shared" si="123"/>
        <v/>
      </c>
      <c r="N299" s="32" t="str">
        <f t="shared" si="124"/>
        <v/>
      </c>
      <c r="O299" s="32" t="str">
        <f t="shared" si="125"/>
        <v/>
      </c>
      <c r="Q299" t="str">
        <f>IFERROR(MATCH(295,บันทึกรายเที่ยว!$Z$6:$Z$10005,0),"")</f>
        <v/>
      </c>
      <c r="R299" t="str">
        <f>IF($Q299="","",INDEX(บันทึกรายเที่ยว!$V$6:$V$10005,$Q299))</f>
        <v/>
      </c>
      <c r="S299" t="str">
        <f>IF($Q299="","",INDEX(บันทึกรายเที่ยว!$F$6:$F$10005,$Q299))</f>
        <v/>
      </c>
      <c r="T299" t="str">
        <f>IF($Q299="","",MATCH($S299,บันทึกรายเที่ยว!$F$6:$F$10005,0))</f>
        <v/>
      </c>
      <c r="U299" t="str">
        <f>IF($Q299="","",$AL299*10000000+$T299*1000+295)</f>
        <v/>
      </c>
      <c r="V299" t="str">
        <f>IFERROR(MATCH(SMALL($U$5:$U$404,295),$U$5:$U$404,0),"")</f>
        <v/>
      </c>
      <c r="W299" t="str">
        <f t="shared" si="126"/>
        <v/>
      </c>
      <c r="X299" t="str">
        <f t="shared" si="127"/>
        <v/>
      </c>
      <c r="Y299" t="str">
        <f t="shared" si="128"/>
        <v/>
      </c>
      <c r="Z299">
        <f t="shared" si="138"/>
        <v>0</v>
      </c>
      <c r="AA299">
        <f t="shared" si="129"/>
        <v>0</v>
      </c>
      <c r="AB299">
        <f>IF($V299="",99999+295,$AB298+1+$Z298+$AA298+$AO298)</f>
        <v>100294</v>
      </c>
      <c r="AC299" t="str">
        <f>IFERROR(MATCH(295,$AB$5:$AB$404,1),"")</f>
        <v/>
      </c>
      <c r="AD299" t="str">
        <f>IF(295=$AI$1+1,"Z",IF($AC299="","",IF(INDEX($V$5:$V$404,$AC299)="","",IF(295&gt;INDEX($AB$5:$AB$404,$AC299)+INDEX($Z$5:$Z$404,$AC299)+INDEX($AA$5:$AA$404,$AC299)+INDEX($AO$5:$AO$404,$AC299),"",IF(295=INDEX($AB$5:$AB$404,$AC299)+INDEX($Z$5:$Z$404,$AC299),"D",IF(AND(INDEX($Z$5:$Z$404,$AC299)=1,295=INDEX($AB$5:$AB$404,$AC299)),"H",IF(AND(INDEX($AO$5:$AO$404,$AC299)=1,295=INDEX($AB$5:$AB$404,$AC299)+INDEX($Z$5:$Z$404,$AC299)+INDEX($AA$5:$AA$404,$AC299)+INDEX($AO$5:$AO$404,$AC299)),"B","T")))))))</f>
        <v/>
      </c>
      <c r="AF299" t="str">
        <f t="shared" si="130"/>
        <v/>
      </c>
      <c r="AJ299">
        <f>IF($AD299&lt;&gt;"T",0,ROUND(SUMIF(oil!$B$4:$B$63,$AF299,oil!$AE$4:$AE$63),2))</f>
        <v>0</v>
      </c>
      <c r="AK299" t="str">
        <f>IF($S299="","",IFERROR(INDEX(อัตราค่าขนส่ง!$R$5:$R$54,MATCH($S299,อัตราค่าขนส่ง!$Q$5:$Q$54,0)),INDEX(รายการมาตรฐาน!$G$2:$G$3,1)))</f>
        <v/>
      </c>
      <c r="AL299" t="str">
        <f>IF($S299="","",IFERROR(MATCH($AK299,รายการมาตรฐาน!$G$2:$G$3,0),1))</f>
        <v/>
      </c>
      <c r="AM299" t="str">
        <f t="shared" si="131"/>
        <v/>
      </c>
      <c r="AN299" t="str">
        <f t="shared" si="132"/>
        <v/>
      </c>
      <c r="AO299">
        <f t="shared" si="133"/>
        <v>0</v>
      </c>
      <c r="AP299">
        <f t="shared" si="139"/>
        <v>0</v>
      </c>
      <c r="AQ299" t="str">
        <f t="shared" si="134"/>
        <v/>
      </c>
      <c r="AR299">
        <f>IF($Y299="",0,COUNTIF(บันทึกรายเที่ยว!$V$6:$V$10005,$Y299))</f>
        <v>0</v>
      </c>
      <c r="AS299">
        <f>IF($Y299="",0,ROUND(SUMIF(บันทึกรายเที่ยว!$V$6:$V$10005,$Y299,บันทึกรายเที่ยว!$M$6:$M$10005),2))</f>
        <v>0</v>
      </c>
      <c r="AT299">
        <f>IF($Y299="",0,IFERROR(INDEX(อัตราค่าขนส่ง!$J$5:$J$204,MATCH($Y299,อัตราค่าขนส่ง!$O$5:$O$204,0)),0))</f>
        <v>0</v>
      </c>
      <c r="AU299">
        <f t="shared" si="135"/>
        <v>0</v>
      </c>
      <c r="AV299">
        <f t="shared" si="136"/>
        <v>0</v>
      </c>
      <c r="AW299" t="str">
        <f>IF($Y299="","",IFERROR(INDEX(อัตราค่าขนส่ง!$F$5:$F$204,MATCH($Y299,อัตราค่าขนส่ง!$O$5:$O$204,0)),""))</f>
        <v/>
      </c>
      <c r="AX299" t="str">
        <f>IF($W299="","",INDEX(บันทึกรายเที่ยว!$D$6:$D$10005,$W299))</f>
        <v/>
      </c>
      <c r="AY299" t="str">
        <f>IF($W299="","",INDEX(บันทึกรายเที่ยว!$R$6:$R$10005,$W299))</f>
        <v/>
      </c>
      <c r="AZ299">
        <f t="shared" si="137"/>
        <v>0</v>
      </c>
      <c r="BA299" t="str">
        <f>IF($W299="","",INDEX(บันทึกรายเที่ยว!$E$6:$E$10005,$W299))</f>
        <v/>
      </c>
      <c r="BC299">
        <f>IF($Y299="",0,IFERROR(INDEX(อัตราค่าขนส่ง!$M$5:$M$204,MATCH($Y299,อัตราค่าขนส่ง!$O$5:$O$204,0)),0))</f>
        <v>0</v>
      </c>
      <c r="BD299">
        <f>IF($Y299="",0,IFERROR(INDEX(อัตราค่าขนส่ง!$N$5:$N$204,MATCH($Y299,อัตราค่าขนส่ง!$O$5:$O$204,0)),0))</f>
        <v>0</v>
      </c>
    </row>
    <row r="300" spans="1:56" ht="21" customHeight="1" x14ac:dyDescent="0.95">
      <c r="A300" s="36" t="str">
        <f>IF($AD300="","",IF($AD300="Z","รวมจ่ายทั้งสิ้น",IF($AD300="H",INDEX($X$5:$X$404,$AC300),IF($AD300="T","รวม",IF($AD300="B",IFERROR(INDEX(อัตราค่าขนส่ง!$U$5:$U$14,MATCH(INDEX($AM$5:$AM$404,$AC300),อัตราค่าขนส่ง!$T$5:$T$14,0)),"รวมกลุ่ม "&amp;INDEX($AM$5:$AM$404,$AC300)),INDEX($AY$5:$AY$404,$AC300))))))</f>
        <v/>
      </c>
      <c r="B300" s="31" t="str">
        <f t="shared" si="112"/>
        <v/>
      </c>
      <c r="C300" s="8" t="str">
        <f t="shared" si="113"/>
        <v/>
      </c>
      <c r="D300" s="37" t="str">
        <f t="shared" si="114"/>
        <v/>
      </c>
      <c r="E300" s="31" t="str">
        <f t="shared" si="115"/>
        <v/>
      </c>
      <c r="F300" s="32" t="str">
        <f t="shared" si="116"/>
        <v/>
      </c>
      <c r="G300" s="32" t="str">
        <f t="shared" si="117"/>
        <v/>
      </c>
      <c r="H300" s="32" t="str">
        <f t="shared" si="118"/>
        <v/>
      </c>
      <c r="I300" s="32" t="str">
        <f t="shared" si="119"/>
        <v/>
      </c>
      <c r="J300" s="46" t="str">
        <f t="shared" si="120"/>
        <v/>
      </c>
      <c r="K300" s="32" t="str">
        <f t="shared" si="121"/>
        <v/>
      </c>
      <c r="L300" s="32" t="str">
        <f t="shared" si="122"/>
        <v/>
      </c>
      <c r="M300" s="32" t="str">
        <f t="shared" si="123"/>
        <v/>
      </c>
      <c r="N300" s="32" t="str">
        <f t="shared" si="124"/>
        <v/>
      </c>
      <c r="O300" s="32" t="str">
        <f t="shared" si="125"/>
        <v/>
      </c>
      <c r="Q300" t="str">
        <f>IFERROR(MATCH(296,บันทึกรายเที่ยว!$Z$6:$Z$10005,0),"")</f>
        <v/>
      </c>
      <c r="R300" t="str">
        <f>IF($Q300="","",INDEX(บันทึกรายเที่ยว!$V$6:$V$10005,$Q300))</f>
        <v/>
      </c>
      <c r="S300" t="str">
        <f>IF($Q300="","",INDEX(บันทึกรายเที่ยว!$F$6:$F$10005,$Q300))</f>
        <v/>
      </c>
      <c r="T300" t="str">
        <f>IF($Q300="","",MATCH($S300,บันทึกรายเที่ยว!$F$6:$F$10005,0))</f>
        <v/>
      </c>
      <c r="U300" t="str">
        <f>IF($Q300="","",$AL300*10000000+$T300*1000+296)</f>
        <v/>
      </c>
      <c r="V300" t="str">
        <f>IFERROR(MATCH(SMALL($U$5:$U$404,296),$U$5:$U$404,0),"")</f>
        <v/>
      </c>
      <c r="W300" t="str">
        <f t="shared" si="126"/>
        <v/>
      </c>
      <c r="X300" t="str">
        <f t="shared" si="127"/>
        <v/>
      </c>
      <c r="Y300" t="str">
        <f t="shared" si="128"/>
        <v/>
      </c>
      <c r="Z300">
        <f t="shared" si="138"/>
        <v>0</v>
      </c>
      <c r="AA300">
        <f t="shared" si="129"/>
        <v>0</v>
      </c>
      <c r="AB300">
        <f>IF($V300="",99999+296,$AB299+1+$Z299+$AA299+$AO299)</f>
        <v>100295</v>
      </c>
      <c r="AC300" t="str">
        <f>IFERROR(MATCH(296,$AB$5:$AB$404,1),"")</f>
        <v/>
      </c>
      <c r="AD300" t="str">
        <f>IF(296=$AI$1+1,"Z",IF($AC300="","",IF(INDEX($V$5:$V$404,$AC300)="","",IF(296&gt;INDEX($AB$5:$AB$404,$AC300)+INDEX($Z$5:$Z$404,$AC300)+INDEX($AA$5:$AA$404,$AC300)+INDEX($AO$5:$AO$404,$AC300),"",IF(296=INDEX($AB$5:$AB$404,$AC300)+INDEX($Z$5:$Z$404,$AC300),"D",IF(AND(INDEX($Z$5:$Z$404,$AC300)=1,296=INDEX($AB$5:$AB$404,$AC300)),"H",IF(AND(INDEX($AO$5:$AO$404,$AC300)=1,296=INDEX($AB$5:$AB$404,$AC300)+INDEX($Z$5:$Z$404,$AC300)+INDEX($AA$5:$AA$404,$AC300)+INDEX($AO$5:$AO$404,$AC300)),"B","T")))))))</f>
        <v/>
      </c>
      <c r="AF300" t="str">
        <f t="shared" si="130"/>
        <v/>
      </c>
      <c r="AJ300">
        <f>IF($AD300&lt;&gt;"T",0,ROUND(SUMIF(oil!$B$4:$B$63,$AF300,oil!$AE$4:$AE$63),2))</f>
        <v>0</v>
      </c>
      <c r="AK300" t="str">
        <f>IF($S300="","",IFERROR(INDEX(อัตราค่าขนส่ง!$R$5:$R$54,MATCH($S300,อัตราค่าขนส่ง!$Q$5:$Q$54,0)),INDEX(รายการมาตรฐาน!$G$2:$G$3,1)))</f>
        <v/>
      </c>
      <c r="AL300" t="str">
        <f>IF($S300="","",IFERROR(MATCH($AK300,รายการมาตรฐาน!$G$2:$G$3,0),1))</f>
        <v/>
      </c>
      <c r="AM300" t="str">
        <f t="shared" si="131"/>
        <v/>
      </c>
      <c r="AN300" t="str">
        <f t="shared" si="132"/>
        <v/>
      </c>
      <c r="AO300">
        <f t="shared" si="133"/>
        <v>0</v>
      </c>
      <c r="AP300">
        <f t="shared" si="139"/>
        <v>0</v>
      </c>
      <c r="AQ300" t="str">
        <f t="shared" si="134"/>
        <v/>
      </c>
      <c r="AR300">
        <f>IF($Y300="",0,COUNTIF(บันทึกรายเที่ยว!$V$6:$V$10005,$Y300))</f>
        <v>0</v>
      </c>
      <c r="AS300">
        <f>IF($Y300="",0,ROUND(SUMIF(บันทึกรายเที่ยว!$V$6:$V$10005,$Y300,บันทึกรายเที่ยว!$M$6:$M$10005),2))</f>
        <v>0</v>
      </c>
      <c r="AT300">
        <f>IF($Y300="",0,IFERROR(INDEX(อัตราค่าขนส่ง!$J$5:$J$204,MATCH($Y300,อัตราค่าขนส่ง!$O$5:$O$204,0)),0))</f>
        <v>0</v>
      </c>
      <c r="AU300">
        <f t="shared" si="135"/>
        <v>0</v>
      </c>
      <c r="AV300">
        <f t="shared" si="136"/>
        <v>0</v>
      </c>
      <c r="AW300" t="str">
        <f>IF($Y300="","",IFERROR(INDEX(อัตราค่าขนส่ง!$F$5:$F$204,MATCH($Y300,อัตราค่าขนส่ง!$O$5:$O$204,0)),""))</f>
        <v/>
      </c>
      <c r="AX300" t="str">
        <f>IF($W300="","",INDEX(บันทึกรายเที่ยว!$D$6:$D$10005,$W300))</f>
        <v/>
      </c>
      <c r="AY300" t="str">
        <f>IF($W300="","",INDEX(บันทึกรายเที่ยว!$R$6:$R$10005,$W300))</f>
        <v/>
      </c>
      <c r="AZ300">
        <f t="shared" si="137"/>
        <v>0</v>
      </c>
      <c r="BA300" t="str">
        <f>IF($W300="","",INDEX(บันทึกรายเที่ยว!$E$6:$E$10005,$W300))</f>
        <v/>
      </c>
      <c r="BC300">
        <f>IF($Y300="",0,IFERROR(INDEX(อัตราค่าขนส่ง!$M$5:$M$204,MATCH($Y300,อัตราค่าขนส่ง!$O$5:$O$204,0)),0))</f>
        <v>0</v>
      </c>
      <c r="BD300">
        <f>IF($Y300="",0,IFERROR(INDEX(อัตราค่าขนส่ง!$N$5:$N$204,MATCH($Y300,อัตราค่าขนส่ง!$O$5:$O$204,0)),0))</f>
        <v>0</v>
      </c>
    </row>
    <row r="301" spans="1:56" ht="21" customHeight="1" x14ac:dyDescent="0.95">
      <c r="A301" s="36" t="str">
        <f>IF($AD301="","",IF($AD301="Z","รวมจ่ายทั้งสิ้น",IF($AD301="H",INDEX($X$5:$X$404,$AC301),IF($AD301="T","รวม",IF($AD301="B",IFERROR(INDEX(อัตราค่าขนส่ง!$U$5:$U$14,MATCH(INDEX($AM$5:$AM$404,$AC301),อัตราค่าขนส่ง!$T$5:$T$14,0)),"รวมกลุ่ม "&amp;INDEX($AM$5:$AM$404,$AC301)),INDEX($AY$5:$AY$404,$AC301))))))</f>
        <v/>
      </c>
      <c r="B301" s="31" t="str">
        <f t="shared" si="112"/>
        <v/>
      </c>
      <c r="C301" s="8" t="str">
        <f t="shared" si="113"/>
        <v/>
      </c>
      <c r="D301" s="37" t="str">
        <f t="shared" si="114"/>
        <v/>
      </c>
      <c r="E301" s="31" t="str">
        <f t="shared" si="115"/>
        <v/>
      </c>
      <c r="F301" s="32" t="str">
        <f t="shared" si="116"/>
        <v/>
      </c>
      <c r="G301" s="32" t="str">
        <f t="shared" si="117"/>
        <v/>
      </c>
      <c r="H301" s="32" t="str">
        <f t="shared" si="118"/>
        <v/>
      </c>
      <c r="I301" s="32" t="str">
        <f t="shared" si="119"/>
        <v/>
      </c>
      <c r="J301" s="46" t="str">
        <f t="shared" si="120"/>
        <v/>
      </c>
      <c r="K301" s="32" t="str">
        <f t="shared" si="121"/>
        <v/>
      </c>
      <c r="L301" s="32" t="str">
        <f t="shared" si="122"/>
        <v/>
      </c>
      <c r="M301" s="32" t="str">
        <f t="shared" si="123"/>
        <v/>
      </c>
      <c r="N301" s="32" t="str">
        <f t="shared" si="124"/>
        <v/>
      </c>
      <c r="O301" s="32" t="str">
        <f t="shared" si="125"/>
        <v/>
      </c>
      <c r="Q301" t="str">
        <f>IFERROR(MATCH(297,บันทึกรายเที่ยว!$Z$6:$Z$10005,0),"")</f>
        <v/>
      </c>
      <c r="R301" t="str">
        <f>IF($Q301="","",INDEX(บันทึกรายเที่ยว!$V$6:$V$10005,$Q301))</f>
        <v/>
      </c>
      <c r="S301" t="str">
        <f>IF($Q301="","",INDEX(บันทึกรายเที่ยว!$F$6:$F$10005,$Q301))</f>
        <v/>
      </c>
      <c r="T301" t="str">
        <f>IF($Q301="","",MATCH($S301,บันทึกรายเที่ยว!$F$6:$F$10005,0))</f>
        <v/>
      </c>
      <c r="U301" t="str">
        <f>IF($Q301="","",$AL301*10000000+$T301*1000+297)</f>
        <v/>
      </c>
      <c r="V301" t="str">
        <f>IFERROR(MATCH(SMALL($U$5:$U$404,297),$U$5:$U$404,0),"")</f>
        <v/>
      </c>
      <c r="W301" t="str">
        <f t="shared" si="126"/>
        <v/>
      </c>
      <c r="X301" t="str">
        <f t="shared" si="127"/>
        <v/>
      </c>
      <c r="Y301" t="str">
        <f t="shared" si="128"/>
        <v/>
      </c>
      <c r="Z301">
        <f t="shared" si="138"/>
        <v>0</v>
      </c>
      <c r="AA301">
        <f t="shared" si="129"/>
        <v>0</v>
      </c>
      <c r="AB301">
        <f>IF($V301="",99999+297,$AB300+1+$Z300+$AA300+$AO300)</f>
        <v>100296</v>
      </c>
      <c r="AC301" t="str">
        <f>IFERROR(MATCH(297,$AB$5:$AB$404,1),"")</f>
        <v/>
      </c>
      <c r="AD301" t="str">
        <f>IF(297=$AI$1+1,"Z",IF($AC301="","",IF(INDEX($V$5:$V$404,$AC301)="","",IF(297&gt;INDEX($AB$5:$AB$404,$AC301)+INDEX($Z$5:$Z$404,$AC301)+INDEX($AA$5:$AA$404,$AC301)+INDEX($AO$5:$AO$404,$AC301),"",IF(297=INDEX($AB$5:$AB$404,$AC301)+INDEX($Z$5:$Z$404,$AC301),"D",IF(AND(INDEX($Z$5:$Z$404,$AC301)=1,297=INDEX($AB$5:$AB$404,$AC301)),"H",IF(AND(INDEX($AO$5:$AO$404,$AC301)=1,297=INDEX($AB$5:$AB$404,$AC301)+INDEX($Z$5:$Z$404,$AC301)+INDEX($AA$5:$AA$404,$AC301)+INDEX($AO$5:$AO$404,$AC301)),"B","T")))))))</f>
        <v/>
      </c>
      <c r="AF301" t="str">
        <f t="shared" si="130"/>
        <v/>
      </c>
      <c r="AJ301">
        <f>IF($AD301&lt;&gt;"T",0,ROUND(SUMIF(oil!$B$4:$B$63,$AF301,oil!$AE$4:$AE$63),2))</f>
        <v>0</v>
      </c>
      <c r="AK301" t="str">
        <f>IF($S301="","",IFERROR(INDEX(อัตราค่าขนส่ง!$R$5:$R$54,MATCH($S301,อัตราค่าขนส่ง!$Q$5:$Q$54,0)),INDEX(รายการมาตรฐาน!$G$2:$G$3,1)))</f>
        <v/>
      </c>
      <c r="AL301" t="str">
        <f>IF($S301="","",IFERROR(MATCH($AK301,รายการมาตรฐาน!$G$2:$G$3,0),1))</f>
        <v/>
      </c>
      <c r="AM301" t="str">
        <f t="shared" si="131"/>
        <v/>
      </c>
      <c r="AN301" t="str">
        <f t="shared" si="132"/>
        <v/>
      </c>
      <c r="AO301">
        <f t="shared" si="133"/>
        <v>0</v>
      </c>
      <c r="AP301">
        <f t="shared" si="139"/>
        <v>0</v>
      </c>
      <c r="AQ301" t="str">
        <f t="shared" si="134"/>
        <v/>
      </c>
      <c r="AR301">
        <f>IF($Y301="",0,COUNTIF(บันทึกรายเที่ยว!$V$6:$V$10005,$Y301))</f>
        <v>0</v>
      </c>
      <c r="AS301">
        <f>IF($Y301="",0,ROUND(SUMIF(บันทึกรายเที่ยว!$V$6:$V$10005,$Y301,บันทึกรายเที่ยว!$M$6:$M$10005),2))</f>
        <v>0</v>
      </c>
      <c r="AT301">
        <f>IF($Y301="",0,IFERROR(INDEX(อัตราค่าขนส่ง!$J$5:$J$204,MATCH($Y301,อัตราค่าขนส่ง!$O$5:$O$204,0)),0))</f>
        <v>0</v>
      </c>
      <c r="AU301">
        <f t="shared" si="135"/>
        <v>0</v>
      </c>
      <c r="AV301">
        <f t="shared" si="136"/>
        <v>0</v>
      </c>
      <c r="AW301" t="str">
        <f>IF($Y301="","",IFERROR(INDEX(อัตราค่าขนส่ง!$F$5:$F$204,MATCH($Y301,อัตราค่าขนส่ง!$O$5:$O$204,0)),""))</f>
        <v/>
      </c>
      <c r="AX301" t="str">
        <f>IF($W301="","",INDEX(บันทึกรายเที่ยว!$D$6:$D$10005,$W301))</f>
        <v/>
      </c>
      <c r="AY301" t="str">
        <f>IF($W301="","",INDEX(บันทึกรายเที่ยว!$R$6:$R$10005,$W301))</f>
        <v/>
      </c>
      <c r="AZ301">
        <f t="shared" si="137"/>
        <v>0</v>
      </c>
      <c r="BA301" t="str">
        <f>IF($W301="","",INDEX(บันทึกรายเที่ยว!$E$6:$E$10005,$W301))</f>
        <v/>
      </c>
      <c r="BC301">
        <f>IF($Y301="",0,IFERROR(INDEX(อัตราค่าขนส่ง!$M$5:$M$204,MATCH($Y301,อัตราค่าขนส่ง!$O$5:$O$204,0)),0))</f>
        <v>0</v>
      </c>
      <c r="BD301">
        <f>IF($Y301="",0,IFERROR(INDEX(อัตราค่าขนส่ง!$N$5:$N$204,MATCH($Y301,อัตราค่าขนส่ง!$O$5:$O$204,0)),0))</f>
        <v>0</v>
      </c>
    </row>
    <row r="302" spans="1:56" ht="21" customHeight="1" x14ac:dyDescent="0.95">
      <c r="A302" s="36" t="str">
        <f>IF($AD302="","",IF($AD302="Z","รวมจ่ายทั้งสิ้น",IF($AD302="H",INDEX($X$5:$X$404,$AC302),IF($AD302="T","รวม",IF($AD302="B",IFERROR(INDEX(อัตราค่าขนส่ง!$U$5:$U$14,MATCH(INDEX($AM$5:$AM$404,$AC302),อัตราค่าขนส่ง!$T$5:$T$14,0)),"รวมกลุ่ม "&amp;INDEX($AM$5:$AM$404,$AC302)),INDEX($AY$5:$AY$404,$AC302))))))</f>
        <v/>
      </c>
      <c r="B302" s="31" t="str">
        <f t="shared" si="112"/>
        <v/>
      </c>
      <c r="C302" s="8" t="str">
        <f t="shared" si="113"/>
        <v/>
      </c>
      <c r="D302" s="37" t="str">
        <f t="shared" si="114"/>
        <v/>
      </c>
      <c r="E302" s="31" t="str">
        <f t="shared" si="115"/>
        <v/>
      </c>
      <c r="F302" s="32" t="str">
        <f t="shared" si="116"/>
        <v/>
      </c>
      <c r="G302" s="32" t="str">
        <f t="shared" si="117"/>
        <v/>
      </c>
      <c r="H302" s="32" t="str">
        <f t="shared" si="118"/>
        <v/>
      </c>
      <c r="I302" s="32" t="str">
        <f t="shared" si="119"/>
        <v/>
      </c>
      <c r="J302" s="46" t="str">
        <f t="shared" si="120"/>
        <v/>
      </c>
      <c r="K302" s="32" t="str">
        <f t="shared" si="121"/>
        <v/>
      </c>
      <c r="L302" s="32" t="str">
        <f t="shared" si="122"/>
        <v/>
      </c>
      <c r="M302" s="32" t="str">
        <f t="shared" si="123"/>
        <v/>
      </c>
      <c r="N302" s="32" t="str">
        <f t="shared" si="124"/>
        <v/>
      </c>
      <c r="O302" s="32" t="str">
        <f t="shared" si="125"/>
        <v/>
      </c>
      <c r="Q302" t="str">
        <f>IFERROR(MATCH(298,บันทึกรายเที่ยว!$Z$6:$Z$10005,0),"")</f>
        <v/>
      </c>
      <c r="R302" t="str">
        <f>IF($Q302="","",INDEX(บันทึกรายเที่ยว!$V$6:$V$10005,$Q302))</f>
        <v/>
      </c>
      <c r="S302" t="str">
        <f>IF($Q302="","",INDEX(บันทึกรายเที่ยว!$F$6:$F$10005,$Q302))</f>
        <v/>
      </c>
      <c r="T302" t="str">
        <f>IF($Q302="","",MATCH($S302,บันทึกรายเที่ยว!$F$6:$F$10005,0))</f>
        <v/>
      </c>
      <c r="U302" t="str">
        <f>IF($Q302="","",$AL302*10000000+$T302*1000+298)</f>
        <v/>
      </c>
      <c r="V302" t="str">
        <f>IFERROR(MATCH(SMALL($U$5:$U$404,298),$U$5:$U$404,0),"")</f>
        <v/>
      </c>
      <c r="W302" t="str">
        <f t="shared" si="126"/>
        <v/>
      </c>
      <c r="X302" t="str">
        <f t="shared" si="127"/>
        <v/>
      </c>
      <c r="Y302" t="str">
        <f t="shared" si="128"/>
        <v/>
      </c>
      <c r="Z302">
        <f t="shared" si="138"/>
        <v>0</v>
      </c>
      <c r="AA302">
        <f t="shared" si="129"/>
        <v>0</v>
      </c>
      <c r="AB302">
        <f>IF($V302="",99999+298,$AB301+1+$Z301+$AA301+$AO301)</f>
        <v>100297</v>
      </c>
      <c r="AC302" t="str">
        <f>IFERROR(MATCH(298,$AB$5:$AB$404,1),"")</f>
        <v/>
      </c>
      <c r="AD302" t="str">
        <f>IF(298=$AI$1+1,"Z",IF($AC302="","",IF(INDEX($V$5:$V$404,$AC302)="","",IF(298&gt;INDEX($AB$5:$AB$404,$AC302)+INDEX($Z$5:$Z$404,$AC302)+INDEX($AA$5:$AA$404,$AC302)+INDEX($AO$5:$AO$404,$AC302),"",IF(298=INDEX($AB$5:$AB$404,$AC302)+INDEX($Z$5:$Z$404,$AC302),"D",IF(AND(INDEX($Z$5:$Z$404,$AC302)=1,298=INDEX($AB$5:$AB$404,$AC302)),"H",IF(AND(INDEX($AO$5:$AO$404,$AC302)=1,298=INDEX($AB$5:$AB$404,$AC302)+INDEX($Z$5:$Z$404,$AC302)+INDEX($AA$5:$AA$404,$AC302)+INDEX($AO$5:$AO$404,$AC302)),"B","T")))))))</f>
        <v/>
      </c>
      <c r="AF302" t="str">
        <f t="shared" si="130"/>
        <v/>
      </c>
      <c r="AJ302">
        <f>IF($AD302&lt;&gt;"T",0,ROUND(SUMIF(oil!$B$4:$B$63,$AF302,oil!$AE$4:$AE$63),2))</f>
        <v>0</v>
      </c>
      <c r="AK302" t="str">
        <f>IF($S302="","",IFERROR(INDEX(อัตราค่าขนส่ง!$R$5:$R$54,MATCH($S302,อัตราค่าขนส่ง!$Q$5:$Q$54,0)),INDEX(รายการมาตรฐาน!$G$2:$G$3,1)))</f>
        <v/>
      </c>
      <c r="AL302" t="str">
        <f>IF($S302="","",IFERROR(MATCH($AK302,รายการมาตรฐาน!$G$2:$G$3,0),1))</f>
        <v/>
      </c>
      <c r="AM302" t="str">
        <f t="shared" si="131"/>
        <v/>
      </c>
      <c r="AN302" t="str">
        <f t="shared" si="132"/>
        <v/>
      </c>
      <c r="AO302">
        <f t="shared" si="133"/>
        <v>0</v>
      </c>
      <c r="AP302">
        <f t="shared" si="139"/>
        <v>0</v>
      </c>
      <c r="AQ302" t="str">
        <f t="shared" si="134"/>
        <v/>
      </c>
      <c r="AR302">
        <f>IF($Y302="",0,COUNTIF(บันทึกรายเที่ยว!$V$6:$V$10005,$Y302))</f>
        <v>0</v>
      </c>
      <c r="AS302">
        <f>IF($Y302="",0,ROUND(SUMIF(บันทึกรายเที่ยว!$V$6:$V$10005,$Y302,บันทึกรายเที่ยว!$M$6:$M$10005),2))</f>
        <v>0</v>
      </c>
      <c r="AT302">
        <f>IF($Y302="",0,IFERROR(INDEX(อัตราค่าขนส่ง!$J$5:$J$204,MATCH($Y302,อัตราค่าขนส่ง!$O$5:$O$204,0)),0))</f>
        <v>0</v>
      </c>
      <c r="AU302">
        <f t="shared" si="135"/>
        <v>0</v>
      </c>
      <c r="AV302">
        <f t="shared" si="136"/>
        <v>0</v>
      </c>
      <c r="AW302" t="str">
        <f>IF($Y302="","",IFERROR(INDEX(อัตราค่าขนส่ง!$F$5:$F$204,MATCH($Y302,อัตราค่าขนส่ง!$O$5:$O$204,0)),""))</f>
        <v/>
      </c>
      <c r="AX302" t="str">
        <f>IF($W302="","",INDEX(บันทึกรายเที่ยว!$D$6:$D$10005,$W302))</f>
        <v/>
      </c>
      <c r="AY302" t="str">
        <f>IF($W302="","",INDEX(บันทึกรายเที่ยว!$R$6:$R$10005,$W302))</f>
        <v/>
      </c>
      <c r="AZ302">
        <f t="shared" si="137"/>
        <v>0</v>
      </c>
      <c r="BA302" t="str">
        <f>IF($W302="","",INDEX(บันทึกรายเที่ยว!$E$6:$E$10005,$W302))</f>
        <v/>
      </c>
      <c r="BC302">
        <f>IF($Y302="",0,IFERROR(INDEX(อัตราค่าขนส่ง!$M$5:$M$204,MATCH($Y302,อัตราค่าขนส่ง!$O$5:$O$204,0)),0))</f>
        <v>0</v>
      </c>
      <c r="BD302">
        <f>IF($Y302="",0,IFERROR(INDEX(อัตราค่าขนส่ง!$N$5:$N$204,MATCH($Y302,อัตราค่าขนส่ง!$O$5:$O$204,0)),0))</f>
        <v>0</v>
      </c>
    </row>
    <row r="303" spans="1:56" ht="21" customHeight="1" x14ac:dyDescent="0.95">
      <c r="A303" s="36" t="str">
        <f>IF($AD303="","",IF($AD303="Z","รวมจ่ายทั้งสิ้น",IF($AD303="H",INDEX($X$5:$X$404,$AC303),IF($AD303="T","รวม",IF($AD303="B",IFERROR(INDEX(อัตราค่าขนส่ง!$U$5:$U$14,MATCH(INDEX($AM$5:$AM$404,$AC303),อัตราค่าขนส่ง!$T$5:$T$14,0)),"รวมกลุ่ม "&amp;INDEX($AM$5:$AM$404,$AC303)),INDEX($AY$5:$AY$404,$AC303))))))</f>
        <v/>
      </c>
      <c r="B303" s="31" t="str">
        <f t="shared" si="112"/>
        <v/>
      </c>
      <c r="C303" s="8" t="str">
        <f t="shared" si="113"/>
        <v/>
      </c>
      <c r="D303" s="37" t="str">
        <f t="shared" si="114"/>
        <v/>
      </c>
      <c r="E303" s="31" t="str">
        <f t="shared" si="115"/>
        <v/>
      </c>
      <c r="F303" s="32" t="str">
        <f t="shared" si="116"/>
        <v/>
      </c>
      <c r="G303" s="32" t="str">
        <f t="shared" si="117"/>
        <v/>
      </c>
      <c r="H303" s="32" t="str">
        <f t="shared" si="118"/>
        <v/>
      </c>
      <c r="I303" s="32" t="str">
        <f t="shared" si="119"/>
        <v/>
      </c>
      <c r="J303" s="46" t="str">
        <f t="shared" si="120"/>
        <v/>
      </c>
      <c r="K303" s="32" t="str">
        <f t="shared" si="121"/>
        <v/>
      </c>
      <c r="L303" s="32" t="str">
        <f t="shared" si="122"/>
        <v/>
      </c>
      <c r="M303" s="32" t="str">
        <f t="shared" si="123"/>
        <v/>
      </c>
      <c r="N303" s="32" t="str">
        <f t="shared" si="124"/>
        <v/>
      </c>
      <c r="O303" s="32" t="str">
        <f t="shared" si="125"/>
        <v/>
      </c>
      <c r="Q303" t="str">
        <f>IFERROR(MATCH(299,บันทึกรายเที่ยว!$Z$6:$Z$10005,0),"")</f>
        <v/>
      </c>
      <c r="R303" t="str">
        <f>IF($Q303="","",INDEX(บันทึกรายเที่ยว!$V$6:$V$10005,$Q303))</f>
        <v/>
      </c>
      <c r="S303" t="str">
        <f>IF($Q303="","",INDEX(บันทึกรายเที่ยว!$F$6:$F$10005,$Q303))</f>
        <v/>
      </c>
      <c r="T303" t="str">
        <f>IF($Q303="","",MATCH($S303,บันทึกรายเที่ยว!$F$6:$F$10005,0))</f>
        <v/>
      </c>
      <c r="U303" t="str">
        <f>IF($Q303="","",$AL303*10000000+$T303*1000+299)</f>
        <v/>
      </c>
      <c r="V303" t="str">
        <f>IFERROR(MATCH(SMALL($U$5:$U$404,299),$U$5:$U$404,0),"")</f>
        <v/>
      </c>
      <c r="W303" t="str">
        <f t="shared" si="126"/>
        <v/>
      </c>
      <c r="X303" t="str">
        <f t="shared" si="127"/>
        <v/>
      </c>
      <c r="Y303" t="str">
        <f t="shared" si="128"/>
        <v/>
      </c>
      <c r="Z303">
        <f t="shared" si="138"/>
        <v>0</v>
      </c>
      <c r="AA303">
        <f t="shared" si="129"/>
        <v>0</v>
      </c>
      <c r="AB303">
        <f>IF($V303="",99999+299,$AB302+1+$Z302+$AA302+$AO302)</f>
        <v>100298</v>
      </c>
      <c r="AC303" t="str">
        <f>IFERROR(MATCH(299,$AB$5:$AB$404,1),"")</f>
        <v/>
      </c>
      <c r="AD303" t="str">
        <f>IF(299=$AI$1+1,"Z",IF($AC303="","",IF(INDEX($V$5:$V$404,$AC303)="","",IF(299&gt;INDEX($AB$5:$AB$404,$AC303)+INDEX($Z$5:$Z$404,$AC303)+INDEX($AA$5:$AA$404,$AC303)+INDEX($AO$5:$AO$404,$AC303),"",IF(299=INDEX($AB$5:$AB$404,$AC303)+INDEX($Z$5:$Z$404,$AC303),"D",IF(AND(INDEX($Z$5:$Z$404,$AC303)=1,299=INDEX($AB$5:$AB$404,$AC303)),"H",IF(AND(INDEX($AO$5:$AO$404,$AC303)=1,299=INDEX($AB$5:$AB$404,$AC303)+INDEX($Z$5:$Z$404,$AC303)+INDEX($AA$5:$AA$404,$AC303)+INDEX($AO$5:$AO$404,$AC303)),"B","T")))))))</f>
        <v/>
      </c>
      <c r="AF303" t="str">
        <f t="shared" si="130"/>
        <v/>
      </c>
      <c r="AJ303">
        <f>IF($AD303&lt;&gt;"T",0,ROUND(SUMIF(oil!$B$4:$B$63,$AF303,oil!$AE$4:$AE$63),2))</f>
        <v>0</v>
      </c>
      <c r="AK303" t="str">
        <f>IF($S303="","",IFERROR(INDEX(อัตราค่าขนส่ง!$R$5:$R$54,MATCH($S303,อัตราค่าขนส่ง!$Q$5:$Q$54,0)),INDEX(รายการมาตรฐาน!$G$2:$G$3,1)))</f>
        <v/>
      </c>
      <c r="AL303" t="str">
        <f>IF($S303="","",IFERROR(MATCH($AK303,รายการมาตรฐาน!$G$2:$G$3,0),1))</f>
        <v/>
      </c>
      <c r="AM303" t="str">
        <f t="shared" si="131"/>
        <v/>
      </c>
      <c r="AN303" t="str">
        <f t="shared" si="132"/>
        <v/>
      </c>
      <c r="AO303">
        <f t="shared" si="133"/>
        <v>0</v>
      </c>
      <c r="AP303">
        <f t="shared" si="139"/>
        <v>0</v>
      </c>
      <c r="AQ303" t="str">
        <f t="shared" si="134"/>
        <v/>
      </c>
      <c r="AR303">
        <f>IF($Y303="",0,COUNTIF(บันทึกรายเที่ยว!$V$6:$V$10005,$Y303))</f>
        <v>0</v>
      </c>
      <c r="AS303">
        <f>IF($Y303="",0,ROUND(SUMIF(บันทึกรายเที่ยว!$V$6:$V$10005,$Y303,บันทึกรายเที่ยว!$M$6:$M$10005),2))</f>
        <v>0</v>
      </c>
      <c r="AT303">
        <f>IF($Y303="",0,IFERROR(INDEX(อัตราค่าขนส่ง!$J$5:$J$204,MATCH($Y303,อัตราค่าขนส่ง!$O$5:$O$204,0)),0))</f>
        <v>0</v>
      </c>
      <c r="AU303">
        <f t="shared" si="135"/>
        <v>0</v>
      </c>
      <c r="AV303">
        <f t="shared" si="136"/>
        <v>0</v>
      </c>
      <c r="AW303" t="str">
        <f>IF($Y303="","",IFERROR(INDEX(อัตราค่าขนส่ง!$F$5:$F$204,MATCH($Y303,อัตราค่าขนส่ง!$O$5:$O$204,0)),""))</f>
        <v/>
      </c>
      <c r="AX303" t="str">
        <f>IF($W303="","",INDEX(บันทึกรายเที่ยว!$D$6:$D$10005,$W303))</f>
        <v/>
      </c>
      <c r="AY303" t="str">
        <f>IF($W303="","",INDEX(บันทึกรายเที่ยว!$R$6:$R$10005,$W303))</f>
        <v/>
      </c>
      <c r="AZ303">
        <f t="shared" si="137"/>
        <v>0</v>
      </c>
      <c r="BA303" t="str">
        <f>IF($W303="","",INDEX(บันทึกรายเที่ยว!$E$6:$E$10005,$W303))</f>
        <v/>
      </c>
      <c r="BC303">
        <f>IF($Y303="",0,IFERROR(INDEX(อัตราค่าขนส่ง!$M$5:$M$204,MATCH($Y303,อัตราค่าขนส่ง!$O$5:$O$204,0)),0))</f>
        <v>0</v>
      </c>
      <c r="BD303">
        <f>IF($Y303="",0,IFERROR(INDEX(อัตราค่าขนส่ง!$N$5:$N$204,MATCH($Y303,อัตราค่าขนส่ง!$O$5:$O$204,0)),0))</f>
        <v>0</v>
      </c>
    </row>
    <row r="304" spans="1:56" ht="21" customHeight="1" x14ac:dyDescent="0.95">
      <c r="A304" s="36" t="str">
        <f>IF($AD304="","",IF($AD304="Z","รวมจ่ายทั้งสิ้น",IF($AD304="H",INDEX($X$5:$X$404,$AC304),IF($AD304="T","รวม",IF($AD304="B",IFERROR(INDEX(อัตราค่าขนส่ง!$U$5:$U$14,MATCH(INDEX($AM$5:$AM$404,$AC304),อัตราค่าขนส่ง!$T$5:$T$14,0)),"รวมกลุ่ม "&amp;INDEX($AM$5:$AM$404,$AC304)),INDEX($AY$5:$AY$404,$AC304))))))</f>
        <v/>
      </c>
      <c r="B304" s="31" t="str">
        <f t="shared" si="112"/>
        <v/>
      </c>
      <c r="C304" s="8" t="str">
        <f t="shared" si="113"/>
        <v/>
      </c>
      <c r="D304" s="37" t="str">
        <f t="shared" si="114"/>
        <v/>
      </c>
      <c r="E304" s="31" t="str">
        <f t="shared" si="115"/>
        <v/>
      </c>
      <c r="F304" s="32" t="str">
        <f t="shared" si="116"/>
        <v/>
      </c>
      <c r="G304" s="32" t="str">
        <f t="shared" si="117"/>
        <v/>
      </c>
      <c r="H304" s="32" t="str">
        <f t="shared" si="118"/>
        <v/>
      </c>
      <c r="I304" s="32" t="str">
        <f t="shared" si="119"/>
        <v/>
      </c>
      <c r="J304" s="46" t="str">
        <f t="shared" si="120"/>
        <v/>
      </c>
      <c r="K304" s="32" t="str">
        <f t="shared" si="121"/>
        <v/>
      </c>
      <c r="L304" s="32" t="str">
        <f t="shared" si="122"/>
        <v/>
      </c>
      <c r="M304" s="32" t="str">
        <f t="shared" si="123"/>
        <v/>
      </c>
      <c r="N304" s="32" t="str">
        <f t="shared" si="124"/>
        <v/>
      </c>
      <c r="O304" s="32" t="str">
        <f t="shared" si="125"/>
        <v/>
      </c>
      <c r="Q304" t="str">
        <f>IFERROR(MATCH(300,บันทึกรายเที่ยว!$Z$6:$Z$10005,0),"")</f>
        <v/>
      </c>
      <c r="R304" t="str">
        <f>IF($Q304="","",INDEX(บันทึกรายเที่ยว!$V$6:$V$10005,$Q304))</f>
        <v/>
      </c>
      <c r="S304" t="str">
        <f>IF($Q304="","",INDEX(บันทึกรายเที่ยว!$F$6:$F$10005,$Q304))</f>
        <v/>
      </c>
      <c r="T304" t="str">
        <f>IF($Q304="","",MATCH($S304,บันทึกรายเที่ยว!$F$6:$F$10005,0))</f>
        <v/>
      </c>
      <c r="U304" t="str">
        <f>IF($Q304="","",$AL304*10000000+$T304*1000+300)</f>
        <v/>
      </c>
      <c r="V304" t="str">
        <f>IFERROR(MATCH(SMALL($U$5:$U$404,300),$U$5:$U$404,0),"")</f>
        <v/>
      </c>
      <c r="W304" t="str">
        <f t="shared" si="126"/>
        <v/>
      </c>
      <c r="X304" t="str">
        <f t="shared" si="127"/>
        <v/>
      </c>
      <c r="Y304" t="str">
        <f t="shared" si="128"/>
        <v/>
      </c>
      <c r="Z304">
        <f t="shared" si="138"/>
        <v>0</v>
      </c>
      <c r="AA304">
        <f t="shared" si="129"/>
        <v>0</v>
      </c>
      <c r="AB304">
        <f>IF($V304="",99999+300,$AB303+1+$Z303+$AA303+$AO303)</f>
        <v>100299</v>
      </c>
      <c r="AC304" t="str">
        <f>IFERROR(MATCH(300,$AB$5:$AB$404,1),"")</f>
        <v/>
      </c>
      <c r="AD304" t="str">
        <f>IF(300=$AI$1+1,"Z",IF($AC304="","",IF(INDEX($V$5:$V$404,$AC304)="","",IF(300&gt;INDEX($AB$5:$AB$404,$AC304)+INDEX($Z$5:$Z$404,$AC304)+INDEX($AA$5:$AA$404,$AC304)+INDEX($AO$5:$AO$404,$AC304),"",IF(300=INDEX($AB$5:$AB$404,$AC304)+INDEX($Z$5:$Z$404,$AC304),"D",IF(AND(INDEX($Z$5:$Z$404,$AC304)=1,300=INDEX($AB$5:$AB$404,$AC304)),"H",IF(AND(INDEX($AO$5:$AO$404,$AC304)=1,300=INDEX($AB$5:$AB$404,$AC304)+INDEX($Z$5:$Z$404,$AC304)+INDEX($AA$5:$AA$404,$AC304)+INDEX($AO$5:$AO$404,$AC304)),"B","T")))))))</f>
        <v/>
      </c>
      <c r="AF304" t="str">
        <f t="shared" si="130"/>
        <v/>
      </c>
      <c r="AJ304">
        <f>IF($AD304&lt;&gt;"T",0,ROUND(SUMIF(oil!$B$4:$B$63,$AF304,oil!$AE$4:$AE$63),2))</f>
        <v>0</v>
      </c>
      <c r="AK304" t="str">
        <f>IF($S304="","",IFERROR(INDEX(อัตราค่าขนส่ง!$R$5:$R$54,MATCH($S304,อัตราค่าขนส่ง!$Q$5:$Q$54,0)),INDEX(รายการมาตรฐาน!$G$2:$G$3,1)))</f>
        <v/>
      </c>
      <c r="AL304" t="str">
        <f>IF($S304="","",IFERROR(MATCH($AK304,รายการมาตรฐาน!$G$2:$G$3,0),1))</f>
        <v/>
      </c>
      <c r="AM304" t="str">
        <f t="shared" si="131"/>
        <v/>
      </c>
      <c r="AN304" t="str">
        <f t="shared" si="132"/>
        <v/>
      </c>
      <c r="AO304">
        <f t="shared" si="133"/>
        <v>0</v>
      </c>
      <c r="AP304">
        <f t="shared" si="139"/>
        <v>0</v>
      </c>
      <c r="AQ304" t="str">
        <f t="shared" si="134"/>
        <v/>
      </c>
      <c r="AR304">
        <f>IF($Y304="",0,COUNTIF(บันทึกรายเที่ยว!$V$6:$V$10005,$Y304))</f>
        <v>0</v>
      </c>
      <c r="AS304">
        <f>IF($Y304="",0,ROUND(SUMIF(บันทึกรายเที่ยว!$V$6:$V$10005,$Y304,บันทึกรายเที่ยว!$M$6:$M$10005),2))</f>
        <v>0</v>
      </c>
      <c r="AT304">
        <f>IF($Y304="",0,IFERROR(INDEX(อัตราค่าขนส่ง!$J$5:$J$204,MATCH($Y304,อัตราค่าขนส่ง!$O$5:$O$204,0)),0))</f>
        <v>0</v>
      </c>
      <c r="AU304">
        <f t="shared" si="135"/>
        <v>0</v>
      </c>
      <c r="AV304">
        <f t="shared" si="136"/>
        <v>0</v>
      </c>
      <c r="AW304" t="str">
        <f>IF($Y304="","",IFERROR(INDEX(อัตราค่าขนส่ง!$F$5:$F$204,MATCH($Y304,อัตราค่าขนส่ง!$O$5:$O$204,0)),""))</f>
        <v/>
      </c>
      <c r="AX304" t="str">
        <f>IF($W304="","",INDEX(บันทึกรายเที่ยว!$D$6:$D$10005,$W304))</f>
        <v/>
      </c>
      <c r="AY304" t="str">
        <f>IF($W304="","",INDEX(บันทึกรายเที่ยว!$R$6:$R$10005,$W304))</f>
        <v/>
      </c>
      <c r="AZ304">
        <f t="shared" si="137"/>
        <v>0</v>
      </c>
      <c r="BA304" t="str">
        <f>IF($W304="","",INDEX(บันทึกรายเที่ยว!$E$6:$E$10005,$W304))</f>
        <v/>
      </c>
      <c r="BC304">
        <f>IF($Y304="",0,IFERROR(INDEX(อัตราค่าขนส่ง!$M$5:$M$204,MATCH($Y304,อัตราค่าขนส่ง!$O$5:$O$204,0)),0))</f>
        <v>0</v>
      </c>
      <c r="BD304">
        <f>IF($Y304="",0,IFERROR(INDEX(อัตราค่าขนส่ง!$N$5:$N$204,MATCH($Y304,อัตราค่าขนส่ง!$O$5:$O$204,0)),0))</f>
        <v>0</v>
      </c>
    </row>
    <row r="305" spans="1:56" ht="21" customHeight="1" x14ac:dyDescent="0.95">
      <c r="A305" s="36" t="str">
        <f>IF($AD305="","",IF($AD305="Z","รวมจ่ายทั้งสิ้น",IF($AD305="H",INDEX($X$5:$X$404,$AC305),IF($AD305="T","รวม",IF($AD305="B",IFERROR(INDEX(อัตราค่าขนส่ง!$U$5:$U$14,MATCH(INDEX($AM$5:$AM$404,$AC305),อัตราค่าขนส่ง!$T$5:$T$14,0)),"รวมกลุ่ม "&amp;INDEX($AM$5:$AM$404,$AC305)),INDEX($AY$5:$AY$404,$AC305))))))</f>
        <v/>
      </c>
      <c r="B305" s="31" t="str">
        <f t="shared" si="112"/>
        <v/>
      </c>
      <c r="C305" s="8" t="str">
        <f t="shared" si="113"/>
        <v/>
      </c>
      <c r="D305" s="37" t="str">
        <f t="shared" si="114"/>
        <v/>
      </c>
      <c r="E305" s="31" t="str">
        <f t="shared" si="115"/>
        <v/>
      </c>
      <c r="F305" s="32" t="str">
        <f t="shared" si="116"/>
        <v/>
      </c>
      <c r="G305" s="32" t="str">
        <f t="shared" si="117"/>
        <v/>
      </c>
      <c r="H305" s="32" t="str">
        <f t="shared" si="118"/>
        <v/>
      </c>
      <c r="I305" s="32" t="str">
        <f t="shared" si="119"/>
        <v/>
      </c>
      <c r="J305" s="46" t="str">
        <f t="shared" si="120"/>
        <v/>
      </c>
      <c r="K305" s="32" t="str">
        <f t="shared" si="121"/>
        <v/>
      </c>
      <c r="L305" s="32" t="str">
        <f t="shared" si="122"/>
        <v/>
      </c>
      <c r="M305" s="32" t="str">
        <f t="shared" si="123"/>
        <v/>
      </c>
      <c r="N305" s="32" t="str">
        <f t="shared" si="124"/>
        <v/>
      </c>
      <c r="O305" s="32" t="str">
        <f t="shared" si="125"/>
        <v/>
      </c>
      <c r="Q305" t="str">
        <f>IFERROR(MATCH(301,บันทึกรายเที่ยว!$Z$6:$Z$10005,0),"")</f>
        <v/>
      </c>
      <c r="R305" t="str">
        <f>IF($Q305="","",INDEX(บันทึกรายเที่ยว!$V$6:$V$10005,$Q305))</f>
        <v/>
      </c>
      <c r="S305" t="str">
        <f>IF($Q305="","",INDEX(บันทึกรายเที่ยว!$F$6:$F$10005,$Q305))</f>
        <v/>
      </c>
      <c r="T305" t="str">
        <f>IF($Q305="","",MATCH($S305,บันทึกรายเที่ยว!$F$6:$F$10005,0))</f>
        <v/>
      </c>
      <c r="U305" t="str">
        <f>IF($Q305="","",$AL305*10000000+$T305*1000+301)</f>
        <v/>
      </c>
      <c r="V305" t="str">
        <f>IFERROR(MATCH(SMALL($U$5:$U$404,301),$U$5:$U$404,0),"")</f>
        <v/>
      </c>
      <c r="W305" t="str">
        <f t="shared" si="126"/>
        <v/>
      </c>
      <c r="X305" t="str">
        <f t="shared" si="127"/>
        <v/>
      </c>
      <c r="Y305" t="str">
        <f t="shared" si="128"/>
        <v/>
      </c>
      <c r="Z305">
        <f t="shared" si="138"/>
        <v>0</v>
      </c>
      <c r="AA305">
        <f t="shared" si="129"/>
        <v>0</v>
      </c>
      <c r="AB305">
        <f>IF($V305="",99999+301,$AB304+1+$Z304+$AA304+$AO304)</f>
        <v>100300</v>
      </c>
      <c r="AC305" t="str">
        <f>IFERROR(MATCH(301,$AB$5:$AB$404,1),"")</f>
        <v/>
      </c>
      <c r="AD305" t="str">
        <f>IF(301=$AI$1+1,"Z",IF($AC305="","",IF(INDEX($V$5:$V$404,$AC305)="","",IF(301&gt;INDEX($AB$5:$AB$404,$AC305)+INDEX($Z$5:$Z$404,$AC305)+INDEX($AA$5:$AA$404,$AC305)+INDEX($AO$5:$AO$404,$AC305),"",IF(301=INDEX($AB$5:$AB$404,$AC305)+INDEX($Z$5:$Z$404,$AC305),"D",IF(AND(INDEX($Z$5:$Z$404,$AC305)=1,301=INDEX($AB$5:$AB$404,$AC305)),"H",IF(AND(INDEX($AO$5:$AO$404,$AC305)=1,301=INDEX($AB$5:$AB$404,$AC305)+INDEX($Z$5:$Z$404,$AC305)+INDEX($AA$5:$AA$404,$AC305)+INDEX($AO$5:$AO$404,$AC305)),"B","T")))))))</f>
        <v/>
      </c>
      <c r="AF305" t="str">
        <f t="shared" si="130"/>
        <v/>
      </c>
      <c r="AJ305">
        <f>IF($AD305&lt;&gt;"T",0,ROUND(SUMIF(oil!$B$4:$B$63,$AF305,oil!$AE$4:$AE$63),2))</f>
        <v>0</v>
      </c>
      <c r="AK305" t="str">
        <f>IF($S305="","",IFERROR(INDEX(อัตราค่าขนส่ง!$R$5:$R$54,MATCH($S305,อัตราค่าขนส่ง!$Q$5:$Q$54,0)),INDEX(รายการมาตรฐาน!$G$2:$G$3,1)))</f>
        <v/>
      </c>
      <c r="AL305" t="str">
        <f>IF($S305="","",IFERROR(MATCH($AK305,รายการมาตรฐาน!$G$2:$G$3,0),1))</f>
        <v/>
      </c>
      <c r="AM305" t="str">
        <f t="shared" si="131"/>
        <v/>
      </c>
      <c r="AN305" t="str">
        <f t="shared" si="132"/>
        <v/>
      </c>
      <c r="AO305">
        <f t="shared" si="133"/>
        <v>0</v>
      </c>
      <c r="AP305">
        <f t="shared" si="139"/>
        <v>0</v>
      </c>
      <c r="AQ305" t="str">
        <f t="shared" si="134"/>
        <v/>
      </c>
      <c r="AR305">
        <f>IF($Y305="",0,COUNTIF(บันทึกรายเที่ยว!$V$6:$V$10005,$Y305))</f>
        <v>0</v>
      </c>
      <c r="AS305">
        <f>IF($Y305="",0,ROUND(SUMIF(บันทึกรายเที่ยว!$V$6:$V$10005,$Y305,บันทึกรายเที่ยว!$M$6:$M$10005),2))</f>
        <v>0</v>
      </c>
      <c r="AT305">
        <f>IF($Y305="",0,IFERROR(INDEX(อัตราค่าขนส่ง!$J$5:$J$204,MATCH($Y305,อัตราค่าขนส่ง!$O$5:$O$204,0)),0))</f>
        <v>0</v>
      </c>
      <c r="AU305">
        <f t="shared" si="135"/>
        <v>0</v>
      </c>
      <c r="AV305">
        <f t="shared" si="136"/>
        <v>0</v>
      </c>
      <c r="AW305" t="str">
        <f>IF($Y305="","",IFERROR(INDEX(อัตราค่าขนส่ง!$F$5:$F$204,MATCH($Y305,อัตราค่าขนส่ง!$O$5:$O$204,0)),""))</f>
        <v/>
      </c>
      <c r="AX305" t="str">
        <f>IF($W305="","",INDEX(บันทึกรายเที่ยว!$D$6:$D$10005,$W305))</f>
        <v/>
      </c>
      <c r="AY305" t="str">
        <f>IF($W305="","",INDEX(บันทึกรายเที่ยว!$R$6:$R$10005,$W305))</f>
        <v/>
      </c>
      <c r="AZ305">
        <f t="shared" si="137"/>
        <v>0</v>
      </c>
      <c r="BA305" t="str">
        <f>IF($W305="","",INDEX(บันทึกรายเที่ยว!$E$6:$E$10005,$W305))</f>
        <v/>
      </c>
      <c r="BC305">
        <f>IF($Y305="",0,IFERROR(INDEX(อัตราค่าขนส่ง!$M$5:$M$204,MATCH($Y305,อัตราค่าขนส่ง!$O$5:$O$204,0)),0))</f>
        <v>0</v>
      </c>
      <c r="BD305">
        <f>IF($Y305="",0,IFERROR(INDEX(อัตราค่าขนส่ง!$N$5:$N$204,MATCH($Y305,อัตราค่าขนส่ง!$O$5:$O$204,0)),0))</f>
        <v>0</v>
      </c>
    </row>
    <row r="306" spans="1:56" ht="21" customHeight="1" x14ac:dyDescent="0.95">
      <c r="A306" s="36" t="str">
        <f>IF($AD306="","",IF($AD306="Z","รวมจ่ายทั้งสิ้น",IF($AD306="H",INDEX($X$5:$X$404,$AC306),IF($AD306="T","รวม",IF($AD306="B",IFERROR(INDEX(อัตราค่าขนส่ง!$U$5:$U$14,MATCH(INDEX($AM$5:$AM$404,$AC306),อัตราค่าขนส่ง!$T$5:$T$14,0)),"รวมกลุ่ม "&amp;INDEX($AM$5:$AM$404,$AC306)),INDEX($AY$5:$AY$404,$AC306))))))</f>
        <v/>
      </c>
      <c r="B306" s="31" t="str">
        <f t="shared" si="112"/>
        <v/>
      </c>
      <c r="C306" s="8" t="str">
        <f t="shared" si="113"/>
        <v/>
      </c>
      <c r="D306" s="37" t="str">
        <f t="shared" si="114"/>
        <v/>
      </c>
      <c r="E306" s="31" t="str">
        <f t="shared" si="115"/>
        <v/>
      </c>
      <c r="F306" s="32" t="str">
        <f t="shared" si="116"/>
        <v/>
      </c>
      <c r="G306" s="32" t="str">
        <f t="shared" si="117"/>
        <v/>
      </c>
      <c r="H306" s="32" t="str">
        <f t="shared" si="118"/>
        <v/>
      </c>
      <c r="I306" s="32" t="str">
        <f t="shared" si="119"/>
        <v/>
      </c>
      <c r="J306" s="46" t="str">
        <f t="shared" si="120"/>
        <v/>
      </c>
      <c r="K306" s="32" t="str">
        <f t="shared" si="121"/>
        <v/>
      </c>
      <c r="L306" s="32" t="str">
        <f t="shared" si="122"/>
        <v/>
      </c>
      <c r="M306" s="32" t="str">
        <f t="shared" si="123"/>
        <v/>
      </c>
      <c r="N306" s="32" t="str">
        <f t="shared" si="124"/>
        <v/>
      </c>
      <c r="O306" s="32" t="str">
        <f t="shared" si="125"/>
        <v/>
      </c>
      <c r="Q306" t="str">
        <f>IFERROR(MATCH(302,บันทึกรายเที่ยว!$Z$6:$Z$10005,0),"")</f>
        <v/>
      </c>
      <c r="R306" t="str">
        <f>IF($Q306="","",INDEX(บันทึกรายเที่ยว!$V$6:$V$10005,$Q306))</f>
        <v/>
      </c>
      <c r="S306" t="str">
        <f>IF($Q306="","",INDEX(บันทึกรายเที่ยว!$F$6:$F$10005,$Q306))</f>
        <v/>
      </c>
      <c r="T306" t="str">
        <f>IF($Q306="","",MATCH($S306,บันทึกรายเที่ยว!$F$6:$F$10005,0))</f>
        <v/>
      </c>
      <c r="U306" t="str">
        <f>IF($Q306="","",$AL306*10000000+$T306*1000+302)</f>
        <v/>
      </c>
      <c r="V306" t="str">
        <f>IFERROR(MATCH(SMALL($U$5:$U$404,302),$U$5:$U$404,0),"")</f>
        <v/>
      </c>
      <c r="W306" t="str">
        <f t="shared" si="126"/>
        <v/>
      </c>
      <c r="X306" t="str">
        <f t="shared" si="127"/>
        <v/>
      </c>
      <c r="Y306" t="str">
        <f t="shared" si="128"/>
        <v/>
      </c>
      <c r="Z306">
        <f t="shared" si="138"/>
        <v>0</v>
      </c>
      <c r="AA306">
        <f t="shared" si="129"/>
        <v>0</v>
      </c>
      <c r="AB306">
        <f>IF($V306="",99999+302,$AB305+1+$Z305+$AA305+$AO305)</f>
        <v>100301</v>
      </c>
      <c r="AC306" t="str">
        <f>IFERROR(MATCH(302,$AB$5:$AB$404,1),"")</f>
        <v/>
      </c>
      <c r="AD306" t="str">
        <f>IF(302=$AI$1+1,"Z",IF($AC306="","",IF(INDEX($V$5:$V$404,$AC306)="","",IF(302&gt;INDEX($AB$5:$AB$404,$AC306)+INDEX($Z$5:$Z$404,$AC306)+INDEX($AA$5:$AA$404,$AC306)+INDEX($AO$5:$AO$404,$AC306),"",IF(302=INDEX($AB$5:$AB$404,$AC306)+INDEX($Z$5:$Z$404,$AC306),"D",IF(AND(INDEX($Z$5:$Z$404,$AC306)=1,302=INDEX($AB$5:$AB$404,$AC306)),"H",IF(AND(INDEX($AO$5:$AO$404,$AC306)=1,302=INDEX($AB$5:$AB$404,$AC306)+INDEX($Z$5:$Z$404,$AC306)+INDEX($AA$5:$AA$404,$AC306)+INDEX($AO$5:$AO$404,$AC306)),"B","T")))))))</f>
        <v/>
      </c>
      <c r="AF306" t="str">
        <f t="shared" si="130"/>
        <v/>
      </c>
      <c r="AJ306">
        <f>IF($AD306&lt;&gt;"T",0,ROUND(SUMIF(oil!$B$4:$B$63,$AF306,oil!$AE$4:$AE$63),2))</f>
        <v>0</v>
      </c>
      <c r="AK306" t="str">
        <f>IF($S306="","",IFERROR(INDEX(อัตราค่าขนส่ง!$R$5:$R$54,MATCH($S306,อัตราค่าขนส่ง!$Q$5:$Q$54,0)),INDEX(รายการมาตรฐาน!$G$2:$G$3,1)))</f>
        <v/>
      </c>
      <c r="AL306" t="str">
        <f>IF($S306="","",IFERROR(MATCH($AK306,รายการมาตรฐาน!$G$2:$G$3,0),1))</f>
        <v/>
      </c>
      <c r="AM306" t="str">
        <f t="shared" si="131"/>
        <v/>
      </c>
      <c r="AN306" t="str">
        <f t="shared" si="132"/>
        <v/>
      </c>
      <c r="AO306">
        <f t="shared" si="133"/>
        <v>0</v>
      </c>
      <c r="AP306">
        <f t="shared" si="139"/>
        <v>0</v>
      </c>
      <c r="AQ306" t="str">
        <f t="shared" si="134"/>
        <v/>
      </c>
      <c r="AR306">
        <f>IF($Y306="",0,COUNTIF(บันทึกรายเที่ยว!$V$6:$V$10005,$Y306))</f>
        <v>0</v>
      </c>
      <c r="AS306">
        <f>IF($Y306="",0,ROUND(SUMIF(บันทึกรายเที่ยว!$V$6:$V$10005,$Y306,บันทึกรายเที่ยว!$M$6:$M$10005),2))</f>
        <v>0</v>
      </c>
      <c r="AT306">
        <f>IF($Y306="",0,IFERROR(INDEX(อัตราค่าขนส่ง!$J$5:$J$204,MATCH($Y306,อัตราค่าขนส่ง!$O$5:$O$204,0)),0))</f>
        <v>0</v>
      </c>
      <c r="AU306">
        <f t="shared" si="135"/>
        <v>0</v>
      </c>
      <c r="AV306">
        <f t="shared" si="136"/>
        <v>0</v>
      </c>
      <c r="AW306" t="str">
        <f>IF($Y306="","",IFERROR(INDEX(อัตราค่าขนส่ง!$F$5:$F$204,MATCH($Y306,อัตราค่าขนส่ง!$O$5:$O$204,0)),""))</f>
        <v/>
      </c>
      <c r="AX306" t="str">
        <f>IF($W306="","",INDEX(บันทึกรายเที่ยว!$D$6:$D$10005,$W306))</f>
        <v/>
      </c>
      <c r="AY306" t="str">
        <f>IF($W306="","",INDEX(บันทึกรายเที่ยว!$R$6:$R$10005,$W306))</f>
        <v/>
      </c>
      <c r="AZ306">
        <f t="shared" si="137"/>
        <v>0</v>
      </c>
      <c r="BA306" t="str">
        <f>IF($W306="","",INDEX(บันทึกรายเที่ยว!$E$6:$E$10005,$W306))</f>
        <v/>
      </c>
      <c r="BC306">
        <f>IF($Y306="",0,IFERROR(INDEX(อัตราค่าขนส่ง!$M$5:$M$204,MATCH($Y306,อัตราค่าขนส่ง!$O$5:$O$204,0)),0))</f>
        <v>0</v>
      </c>
      <c r="BD306">
        <f>IF($Y306="",0,IFERROR(INDEX(อัตราค่าขนส่ง!$N$5:$N$204,MATCH($Y306,อัตราค่าขนส่ง!$O$5:$O$204,0)),0))</f>
        <v>0</v>
      </c>
    </row>
    <row r="307" spans="1:56" ht="21" customHeight="1" x14ac:dyDescent="0.95">
      <c r="A307" s="36" t="str">
        <f>IF($AD307="","",IF($AD307="Z","รวมจ่ายทั้งสิ้น",IF($AD307="H",INDEX($X$5:$X$404,$AC307),IF($AD307="T","รวม",IF($AD307="B",IFERROR(INDEX(อัตราค่าขนส่ง!$U$5:$U$14,MATCH(INDEX($AM$5:$AM$404,$AC307),อัตราค่าขนส่ง!$T$5:$T$14,0)),"รวมกลุ่ม "&amp;INDEX($AM$5:$AM$404,$AC307)),INDEX($AY$5:$AY$404,$AC307))))))</f>
        <v/>
      </c>
      <c r="B307" s="31" t="str">
        <f t="shared" si="112"/>
        <v/>
      </c>
      <c r="C307" s="8" t="str">
        <f t="shared" si="113"/>
        <v/>
      </c>
      <c r="D307" s="37" t="str">
        <f t="shared" si="114"/>
        <v/>
      </c>
      <c r="E307" s="31" t="str">
        <f t="shared" si="115"/>
        <v/>
      </c>
      <c r="F307" s="32" t="str">
        <f t="shared" si="116"/>
        <v/>
      </c>
      <c r="G307" s="32" t="str">
        <f t="shared" si="117"/>
        <v/>
      </c>
      <c r="H307" s="32" t="str">
        <f t="shared" si="118"/>
        <v/>
      </c>
      <c r="I307" s="32" t="str">
        <f t="shared" si="119"/>
        <v/>
      </c>
      <c r="J307" s="46" t="str">
        <f t="shared" si="120"/>
        <v/>
      </c>
      <c r="K307" s="32" t="str">
        <f t="shared" si="121"/>
        <v/>
      </c>
      <c r="L307" s="32" t="str">
        <f t="shared" si="122"/>
        <v/>
      </c>
      <c r="M307" s="32" t="str">
        <f t="shared" si="123"/>
        <v/>
      </c>
      <c r="N307" s="32" t="str">
        <f t="shared" si="124"/>
        <v/>
      </c>
      <c r="O307" s="32" t="str">
        <f t="shared" si="125"/>
        <v/>
      </c>
      <c r="Q307" t="str">
        <f>IFERROR(MATCH(303,บันทึกรายเที่ยว!$Z$6:$Z$10005,0),"")</f>
        <v/>
      </c>
      <c r="R307" t="str">
        <f>IF($Q307="","",INDEX(บันทึกรายเที่ยว!$V$6:$V$10005,$Q307))</f>
        <v/>
      </c>
      <c r="S307" t="str">
        <f>IF($Q307="","",INDEX(บันทึกรายเที่ยว!$F$6:$F$10005,$Q307))</f>
        <v/>
      </c>
      <c r="T307" t="str">
        <f>IF($Q307="","",MATCH($S307,บันทึกรายเที่ยว!$F$6:$F$10005,0))</f>
        <v/>
      </c>
      <c r="U307" t="str">
        <f>IF($Q307="","",$AL307*10000000+$T307*1000+303)</f>
        <v/>
      </c>
      <c r="V307" t="str">
        <f>IFERROR(MATCH(SMALL($U$5:$U$404,303),$U$5:$U$404,0),"")</f>
        <v/>
      </c>
      <c r="W307" t="str">
        <f t="shared" si="126"/>
        <v/>
      </c>
      <c r="X307" t="str">
        <f t="shared" si="127"/>
        <v/>
      </c>
      <c r="Y307" t="str">
        <f t="shared" si="128"/>
        <v/>
      </c>
      <c r="Z307">
        <f t="shared" si="138"/>
        <v>0</v>
      </c>
      <c r="AA307">
        <f t="shared" si="129"/>
        <v>0</v>
      </c>
      <c r="AB307">
        <f>IF($V307="",99999+303,$AB306+1+$Z306+$AA306+$AO306)</f>
        <v>100302</v>
      </c>
      <c r="AC307" t="str">
        <f>IFERROR(MATCH(303,$AB$5:$AB$404,1),"")</f>
        <v/>
      </c>
      <c r="AD307" t="str">
        <f>IF(303=$AI$1+1,"Z",IF($AC307="","",IF(INDEX($V$5:$V$404,$AC307)="","",IF(303&gt;INDEX($AB$5:$AB$404,$AC307)+INDEX($Z$5:$Z$404,$AC307)+INDEX($AA$5:$AA$404,$AC307)+INDEX($AO$5:$AO$404,$AC307),"",IF(303=INDEX($AB$5:$AB$404,$AC307)+INDEX($Z$5:$Z$404,$AC307),"D",IF(AND(INDEX($Z$5:$Z$404,$AC307)=1,303=INDEX($AB$5:$AB$404,$AC307)),"H",IF(AND(INDEX($AO$5:$AO$404,$AC307)=1,303=INDEX($AB$5:$AB$404,$AC307)+INDEX($Z$5:$Z$404,$AC307)+INDEX($AA$5:$AA$404,$AC307)+INDEX($AO$5:$AO$404,$AC307)),"B","T")))))))</f>
        <v/>
      </c>
      <c r="AF307" t="str">
        <f t="shared" si="130"/>
        <v/>
      </c>
      <c r="AJ307">
        <f>IF($AD307&lt;&gt;"T",0,ROUND(SUMIF(oil!$B$4:$B$63,$AF307,oil!$AE$4:$AE$63),2))</f>
        <v>0</v>
      </c>
      <c r="AK307" t="str">
        <f>IF($S307="","",IFERROR(INDEX(อัตราค่าขนส่ง!$R$5:$R$54,MATCH($S307,อัตราค่าขนส่ง!$Q$5:$Q$54,0)),INDEX(รายการมาตรฐาน!$G$2:$G$3,1)))</f>
        <v/>
      </c>
      <c r="AL307" t="str">
        <f>IF($S307="","",IFERROR(MATCH($AK307,รายการมาตรฐาน!$G$2:$G$3,0),1))</f>
        <v/>
      </c>
      <c r="AM307" t="str">
        <f t="shared" si="131"/>
        <v/>
      </c>
      <c r="AN307" t="str">
        <f t="shared" si="132"/>
        <v/>
      </c>
      <c r="AO307">
        <f t="shared" si="133"/>
        <v>0</v>
      </c>
      <c r="AP307">
        <f t="shared" si="139"/>
        <v>0</v>
      </c>
      <c r="AQ307" t="str">
        <f t="shared" si="134"/>
        <v/>
      </c>
      <c r="AR307">
        <f>IF($Y307="",0,COUNTIF(บันทึกรายเที่ยว!$V$6:$V$10005,$Y307))</f>
        <v>0</v>
      </c>
      <c r="AS307">
        <f>IF($Y307="",0,ROUND(SUMIF(บันทึกรายเที่ยว!$V$6:$V$10005,$Y307,บันทึกรายเที่ยว!$M$6:$M$10005),2))</f>
        <v>0</v>
      </c>
      <c r="AT307">
        <f>IF($Y307="",0,IFERROR(INDEX(อัตราค่าขนส่ง!$J$5:$J$204,MATCH($Y307,อัตราค่าขนส่ง!$O$5:$O$204,0)),0))</f>
        <v>0</v>
      </c>
      <c r="AU307">
        <f t="shared" si="135"/>
        <v>0</v>
      </c>
      <c r="AV307">
        <f t="shared" si="136"/>
        <v>0</v>
      </c>
      <c r="AW307" t="str">
        <f>IF($Y307="","",IFERROR(INDEX(อัตราค่าขนส่ง!$F$5:$F$204,MATCH($Y307,อัตราค่าขนส่ง!$O$5:$O$204,0)),""))</f>
        <v/>
      </c>
      <c r="AX307" t="str">
        <f>IF($W307="","",INDEX(บันทึกรายเที่ยว!$D$6:$D$10005,$W307))</f>
        <v/>
      </c>
      <c r="AY307" t="str">
        <f>IF($W307="","",INDEX(บันทึกรายเที่ยว!$R$6:$R$10005,$W307))</f>
        <v/>
      </c>
      <c r="AZ307">
        <f t="shared" si="137"/>
        <v>0</v>
      </c>
      <c r="BA307" t="str">
        <f>IF($W307="","",INDEX(บันทึกรายเที่ยว!$E$6:$E$10005,$W307))</f>
        <v/>
      </c>
      <c r="BC307">
        <f>IF($Y307="",0,IFERROR(INDEX(อัตราค่าขนส่ง!$M$5:$M$204,MATCH($Y307,อัตราค่าขนส่ง!$O$5:$O$204,0)),0))</f>
        <v>0</v>
      </c>
      <c r="BD307">
        <f>IF($Y307="",0,IFERROR(INDEX(อัตราค่าขนส่ง!$N$5:$N$204,MATCH($Y307,อัตราค่าขนส่ง!$O$5:$O$204,0)),0))</f>
        <v>0</v>
      </c>
    </row>
    <row r="308" spans="1:56" ht="21" customHeight="1" x14ac:dyDescent="0.95">
      <c r="A308" s="36" t="str">
        <f>IF($AD308="","",IF($AD308="Z","รวมจ่ายทั้งสิ้น",IF($AD308="H",INDEX($X$5:$X$404,$AC308),IF($AD308="T","รวม",IF($AD308="B",IFERROR(INDEX(อัตราค่าขนส่ง!$U$5:$U$14,MATCH(INDEX($AM$5:$AM$404,$AC308),อัตราค่าขนส่ง!$T$5:$T$14,0)),"รวมกลุ่ม "&amp;INDEX($AM$5:$AM$404,$AC308)),INDEX($AY$5:$AY$404,$AC308))))))</f>
        <v/>
      </c>
      <c r="B308" s="31" t="str">
        <f t="shared" si="112"/>
        <v/>
      </c>
      <c r="C308" s="8" t="str">
        <f t="shared" si="113"/>
        <v/>
      </c>
      <c r="D308" s="37" t="str">
        <f t="shared" si="114"/>
        <v/>
      </c>
      <c r="E308" s="31" t="str">
        <f t="shared" si="115"/>
        <v/>
      </c>
      <c r="F308" s="32" t="str">
        <f t="shared" si="116"/>
        <v/>
      </c>
      <c r="G308" s="32" t="str">
        <f t="shared" si="117"/>
        <v/>
      </c>
      <c r="H308" s="32" t="str">
        <f t="shared" si="118"/>
        <v/>
      </c>
      <c r="I308" s="32" t="str">
        <f t="shared" si="119"/>
        <v/>
      </c>
      <c r="J308" s="46" t="str">
        <f t="shared" si="120"/>
        <v/>
      </c>
      <c r="K308" s="32" t="str">
        <f t="shared" si="121"/>
        <v/>
      </c>
      <c r="L308" s="32" t="str">
        <f t="shared" si="122"/>
        <v/>
      </c>
      <c r="M308" s="32" t="str">
        <f t="shared" si="123"/>
        <v/>
      </c>
      <c r="N308" s="32" t="str">
        <f t="shared" si="124"/>
        <v/>
      </c>
      <c r="O308" s="32" t="str">
        <f t="shared" si="125"/>
        <v/>
      </c>
      <c r="Q308" t="str">
        <f>IFERROR(MATCH(304,บันทึกรายเที่ยว!$Z$6:$Z$10005,0),"")</f>
        <v/>
      </c>
      <c r="R308" t="str">
        <f>IF($Q308="","",INDEX(บันทึกรายเที่ยว!$V$6:$V$10005,$Q308))</f>
        <v/>
      </c>
      <c r="S308" t="str">
        <f>IF($Q308="","",INDEX(บันทึกรายเที่ยว!$F$6:$F$10005,$Q308))</f>
        <v/>
      </c>
      <c r="T308" t="str">
        <f>IF($Q308="","",MATCH($S308,บันทึกรายเที่ยว!$F$6:$F$10005,0))</f>
        <v/>
      </c>
      <c r="U308" t="str">
        <f>IF($Q308="","",$AL308*10000000+$T308*1000+304)</f>
        <v/>
      </c>
      <c r="V308" t="str">
        <f>IFERROR(MATCH(SMALL($U$5:$U$404,304),$U$5:$U$404,0),"")</f>
        <v/>
      </c>
      <c r="W308" t="str">
        <f t="shared" si="126"/>
        <v/>
      </c>
      <c r="X308" t="str">
        <f t="shared" si="127"/>
        <v/>
      </c>
      <c r="Y308" t="str">
        <f t="shared" si="128"/>
        <v/>
      </c>
      <c r="Z308">
        <f t="shared" si="138"/>
        <v>0</v>
      </c>
      <c r="AA308">
        <f t="shared" si="129"/>
        <v>0</v>
      </c>
      <c r="AB308">
        <f>IF($V308="",99999+304,$AB307+1+$Z307+$AA307+$AO307)</f>
        <v>100303</v>
      </c>
      <c r="AC308" t="str">
        <f>IFERROR(MATCH(304,$AB$5:$AB$404,1),"")</f>
        <v/>
      </c>
      <c r="AD308" t="str">
        <f>IF(304=$AI$1+1,"Z",IF($AC308="","",IF(INDEX($V$5:$V$404,$AC308)="","",IF(304&gt;INDEX($AB$5:$AB$404,$AC308)+INDEX($Z$5:$Z$404,$AC308)+INDEX($AA$5:$AA$404,$AC308)+INDEX($AO$5:$AO$404,$AC308),"",IF(304=INDEX($AB$5:$AB$404,$AC308)+INDEX($Z$5:$Z$404,$AC308),"D",IF(AND(INDEX($Z$5:$Z$404,$AC308)=1,304=INDEX($AB$5:$AB$404,$AC308)),"H",IF(AND(INDEX($AO$5:$AO$404,$AC308)=1,304=INDEX($AB$5:$AB$404,$AC308)+INDEX($Z$5:$Z$404,$AC308)+INDEX($AA$5:$AA$404,$AC308)+INDEX($AO$5:$AO$404,$AC308)),"B","T")))))))</f>
        <v/>
      </c>
      <c r="AF308" t="str">
        <f t="shared" si="130"/>
        <v/>
      </c>
      <c r="AJ308">
        <f>IF($AD308&lt;&gt;"T",0,ROUND(SUMIF(oil!$B$4:$B$63,$AF308,oil!$AE$4:$AE$63),2))</f>
        <v>0</v>
      </c>
      <c r="AK308" t="str">
        <f>IF($S308="","",IFERROR(INDEX(อัตราค่าขนส่ง!$R$5:$R$54,MATCH($S308,อัตราค่าขนส่ง!$Q$5:$Q$54,0)),INDEX(รายการมาตรฐาน!$G$2:$G$3,1)))</f>
        <v/>
      </c>
      <c r="AL308" t="str">
        <f>IF($S308="","",IFERROR(MATCH($AK308,รายการมาตรฐาน!$G$2:$G$3,0),1))</f>
        <v/>
      </c>
      <c r="AM308" t="str">
        <f t="shared" si="131"/>
        <v/>
      </c>
      <c r="AN308" t="str">
        <f t="shared" si="132"/>
        <v/>
      </c>
      <c r="AO308">
        <f t="shared" si="133"/>
        <v>0</v>
      </c>
      <c r="AP308">
        <f t="shared" si="139"/>
        <v>0</v>
      </c>
      <c r="AQ308" t="str">
        <f t="shared" si="134"/>
        <v/>
      </c>
      <c r="AR308">
        <f>IF($Y308="",0,COUNTIF(บันทึกรายเที่ยว!$V$6:$V$10005,$Y308))</f>
        <v>0</v>
      </c>
      <c r="AS308">
        <f>IF($Y308="",0,ROUND(SUMIF(บันทึกรายเที่ยว!$V$6:$V$10005,$Y308,บันทึกรายเที่ยว!$M$6:$M$10005),2))</f>
        <v>0</v>
      </c>
      <c r="AT308">
        <f>IF($Y308="",0,IFERROR(INDEX(อัตราค่าขนส่ง!$J$5:$J$204,MATCH($Y308,อัตราค่าขนส่ง!$O$5:$O$204,0)),0))</f>
        <v>0</v>
      </c>
      <c r="AU308">
        <f t="shared" si="135"/>
        <v>0</v>
      </c>
      <c r="AV308">
        <f t="shared" si="136"/>
        <v>0</v>
      </c>
      <c r="AW308" t="str">
        <f>IF($Y308="","",IFERROR(INDEX(อัตราค่าขนส่ง!$F$5:$F$204,MATCH($Y308,อัตราค่าขนส่ง!$O$5:$O$204,0)),""))</f>
        <v/>
      </c>
      <c r="AX308" t="str">
        <f>IF($W308="","",INDEX(บันทึกรายเที่ยว!$D$6:$D$10005,$W308))</f>
        <v/>
      </c>
      <c r="AY308" t="str">
        <f>IF($W308="","",INDEX(บันทึกรายเที่ยว!$R$6:$R$10005,$W308))</f>
        <v/>
      </c>
      <c r="AZ308">
        <f t="shared" si="137"/>
        <v>0</v>
      </c>
      <c r="BA308" t="str">
        <f>IF($W308="","",INDEX(บันทึกรายเที่ยว!$E$6:$E$10005,$W308))</f>
        <v/>
      </c>
      <c r="BC308">
        <f>IF($Y308="",0,IFERROR(INDEX(อัตราค่าขนส่ง!$M$5:$M$204,MATCH($Y308,อัตราค่าขนส่ง!$O$5:$O$204,0)),0))</f>
        <v>0</v>
      </c>
      <c r="BD308">
        <f>IF($Y308="",0,IFERROR(INDEX(อัตราค่าขนส่ง!$N$5:$N$204,MATCH($Y308,อัตราค่าขนส่ง!$O$5:$O$204,0)),0))</f>
        <v>0</v>
      </c>
    </row>
    <row r="309" spans="1:56" ht="21" customHeight="1" x14ac:dyDescent="0.95">
      <c r="A309" s="36" t="str">
        <f>IF($AD309="","",IF($AD309="Z","รวมจ่ายทั้งสิ้น",IF($AD309="H",INDEX($X$5:$X$404,$AC309),IF($AD309="T","รวม",IF($AD309="B",IFERROR(INDEX(อัตราค่าขนส่ง!$U$5:$U$14,MATCH(INDEX($AM$5:$AM$404,$AC309),อัตราค่าขนส่ง!$T$5:$T$14,0)),"รวมกลุ่ม "&amp;INDEX($AM$5:$AM$404,$AC309)),INDEX($AY$5:$AY$404,$AC309))))))</f>
        <v/>
      </c>
      <c r="B309" s="31" t="str">
        <f t="shared" si="112"/>
        <v/>
      </c>
      <c r="C309" s="8" t="str">
        <f t="shared" si="113"/>
        <v/>
      </c>
      <c r="D309" s="37" t="str">
        <f t="shared" si="114"/>
        <v/>
      </c>
      <c r="E309" s="31" t="str">
        <f t="shared" si="115"/>
        <v/>
      </c>
      <c r="F309" s="32" t="str">
        <f t="shared" si="116"/>
        <v/>
      </c>
      <c r="G309" s="32" t="str">
        <f t="shared" si="117"/>
        <v/>
      </c>
      <c r="H309" s="32" t="str">
        <f t="shared" si="118"/>
        <v/>
      </c>
      <c r="I309" s="32" t="str">
        <f t="shared" si="119"/>
        <v/>
      </c>
      <c r="J309" s="46" t="str">
        <f t="shared" si="120"/>
        <v/>
      </c>
      <c r="K309" s="32" t="str">
        <f t="shared" si="121"/>
        <v/>
      </c>
      <c r="L309" s="32" t="str">
        <f t="shared" si="122"/>
        <v/>
      </c>
      <c r="M309" s="32" t="str">
        <f t="shared" si="123"/>
        <v/>
      </c>
      <c r="N309" s="32" t="str">
        <f t="shared" si="124"/>
        <v/>
      </c>
      <c r="O309" s="32" t="str">
        <f t="shared" si="125"/>
        <v/>
      </c>
      <c r="Q309" t="str">
        <f>IFERROR(MATCH(305,บันทึกรายเที่ยว!$Z$6:$Z$10005,0),"")</f>
        <v/>
      </c>
      <c r="R309" t="str">
        <f>IF($Q309="","",INDEX(บันทึกรายเที่ยว!$V$6:$V$10005,$Q309))</f>
        <v/>
      </c>
      <c r="S309" t="str">
        <f>IF($Q309="","",INDEX(บันทึกรายเที่ยว!$F$6:$F$10005,$Q309))</f>
        <v/>
      </c>
      <c r="T309" t="str">
        <f>IF($Q309="","",MATCH($S309,บันทึกรายเที่ยว!$F$6:$F$10005,0))</f>
        <v/>
      </c>
      <c r="U309" t="str">
        <f>IF($Q309="","",$AL309*10000000+$T309*1000+305)</f>
        <v/>
      </c>
      <c r="V309" t="str">
        <f>IFERROR(MATCH(SMALL($U$5:$U$404,305),$U$5:$U$404,0),"")</f>
        <v/>
      </c>
      <c r="W309" t="str">
        <f t="shared" si="126"/>
        <v/>
      </c>
      <c r="X309" t="str">
        <f t="shared" si="127"/>
        <v/>
      </c>
      <c r="Y309" t="str">
        <f t="shared" si="128"/>
        <v/>
      </c>
      <c r="Z309">
        <f t="shared" si="138"/>
        <v>0</v>
      </c>
      <c r="AA309">
        <f t="shared" si="129"/>
        <v>0</v>
      </c>
      <c r="AB309">
        <f>IF($V309="",99999+305,$AB308+1+$Z308+$AA308+$AO308)</f>
        <v>100304</v>
      </c>
      <c r="AC309" t="str">
        <f>IFERROR(MATCH(305,$AB$5:$AB$404,1),"")</f>
        <v/>
      </c>
      <c r="AD309" t="str">
        <f>IF(305=$AI$1+1,"Z",IF($AC309="","",IF(INDEX($V$5:$V$404,$AC309)="","",IF(305&gt;INDEX($AB$5:$AB$404,$AC309)+INDEX($Z$5:$Z$404,$AC309)+INDEX($AA$5:$AA$404,$AC309)+INDEX($AO$5:$AO$404,$AC309),"",IF(305=INDEX($AB$5:$AB$404,$AC309)+INDEX($Z$5:$Z$404,$AC309),"D",IF(AND(INDEX($Z$5:$Z$404,$AC309)=1,305=INDEX($AB$5:$AB$404,$AC309)),"H",IF(AND(INDEX($AO$5:$AO$404,$AC309)=1,305=INDEX($AB$5:$AB$404,$AC309)+INDEX($Z$5:$Z$404,$AC309)+INDEX($AA$5:$AA$404,$AC309)+INDEX($AO$5:$AO$404,$AC309)),"B","T")))))))</f>
        <v/>
      </c>
      <c r="AF309" t="str">
        <f t="shared" si="130"/>
        <v/>
      </c>
      <c r="AJ309">
        <f>IF($AD309&lt;&gt;"T",0,ROUND(SUMIF(oil!$B$4:$B$63,$AF309,oil!$AE$4:$AE$63),2))</f>
        <v>0</v>
      </c>
      <c r="AK309" t="str">
        <f>IF($S309="","",IFERROR(INDEX(อัตราค่าขนส่ง!$R$5:$R$54,MATCH($S309,อัตราค่าขนส่ง!$Q$5:$Q$54,0)),INDEX(รายการมาตรฐาน!$G$2:$G$3,1)))</f>
        <v/>
      </c>
      <c r="AL309" t="str">
        <f>IF($S309="","",IFERROR(MATCH($AK309,รายการมาตรฐาน!$G$2:$G$3,0),1))</f>
        <v/>
      </c>
      <c r="AM309" t="str">
        <f t="shared" si="131"/>
        <v/>
      </c>
      <c r="AN309" t="str">
        <f t="shared" si="132"/>
        <v/>
      </c>
      <c r="AO309">
        <f t="shared" si="133"/>
        <v>0</v>
      </c>
      <c r="AP309">
        <f t="shared" si="139"/>
        <v>0</v>
      </c>
      <c r="AQ309" t="str">
        <f t="shared" si="134"/>
        <v/>
      </c>
      <c r="AR309">
        <f>IF($Y309="",0,COUNTIF(บันทึกรายเที่ยว!$V$6:$V$10005,$Y309))</f>
        <v>0</v>
      </c>
      <c r="AS309">
        <f>IF($Y309="",0,ROUND(SUMIF(บันทึกรายเที่ยว!$V$6:$V$10005,$Y309,บันทึกรายเที่ยว!$M$6:$M$10005),2))</f>
        <v>0</v>
      </c>
      <c r="AT309">
        <f>IF($Y309="",0,IFERROR(INDEX(อัตราค่าขนส่ง!$J$5:$J$204,MATCH($Y309,อัตราค่าขนส่ง!$O$5:$O$204,0)),0))</f>
        <v>0</v>
      </c>
      <c r="AU309">
        <f t="shared" si="135"/>
        <v>0</v>
      </c>
      <c r="AV309">
        <f t="shared" si="136"/>
        <v>0</v>
      </c>
      <c r="AW309" t="str">
        <f>IF($Y309="","",IFERROR(INDEX(อัตราค่าขนส่ง!$F$5:$F$204,MATCH($Y309,อัตราค่าขนส่ง!$O$5:$O$204,0)),""))</f>
        <v/>
      </c>
      <c r="AX309" t="str">
        <f>IF($W309="","",INDEX(บันทึกรายเที่ยว!$D$6:$D$10005,$W309))</f>
        <v/>
      </c>
      <c r="AY309" t="str">
        <f>IF($W309="","",INDEX(บันทึกรายเที่ยว!$R$6:$R$10005,$W309))</f>
        <v/>
      </c>
      <c r="AZ309">
        <f t="shared" si="137"/>
        <v>0</v>
      </c>
      <c r="BA309" t="str">
        <f>IF($W309="","",INDEX(บันทึกรายเที่ยว!$E$6:$E$10005,$W309))</f>
        <v/>
      </c>
      <c r="BC309">
        <f>IF($Y309="",0,IFERROR(INDEX(อัตราค่าขนส่ง!$M$5:$M$204,MATCH($Y309,อัตราค่าขนส่ง!$O$5:$O$204,0)),0))</f>
        <v>0</v>
      </c>
      <c r="BD309">
        <f>IF($Y309="",0,IFERROR(INDEX(อัตราค่าขนส่ง!$N$5:$N$204,MATCH($Y309,อัตราค่าขนส่ง!$O$5:$O$204,0)),0))</f>
        <v>0</v>
      </c>
    </row>
    <row r="310" spans="1:56" ht="21" customHeight="1" x14ac:dyDescent="0.95">
      <c r="A310" s="36" t="str">
        <f>IF($AD310="","",IF($AD310="Z","รวมจ่ายทั้งสิ้น",IF($AD310="H",INDEX($X$5:$X$404,$AC310),IF($AD310="T","รวม",IF($AD310="B",IFERROR(INDEX(อัตราค่าขนส่ง!$U$5:$U$14,MATCH(INDEX($AM$5:$AM$404,$AC310),อัตราค่าขนส่ง!$T$5:$T$14,0)),"รวมกลุ่ม "&amp;INDEX($AM$5:$AM$404,$AC310)),INDEX($AY$5:$AY$404,$AC310))))))</f>
        <v/>
      </c>
      <c r="B310" s="31" t="str">
        <f t="shared" si="112"/>
        <v/>
      </c>
      <c r="C310" s="8" t="str">
        <f t="shared" si="113"/>
        <v/>
      </c>
      <c r="D310" s="37" t="str">
        <f t="shared" si="114"/>
        <v/>
      </c>
      <c r="E310" s="31" t="str">
        <f t="shared" si="115"/>
        <v/>
      </c>
      <c r="F310" s="32" t="str">
        <f t="shared" si="116"/>
        <v/>
      </c>
      <c r="G310" s="32" t="str">
        <f t="shared" si="117"/>
        <v/>
      </c>
      <c r="H310" s="32" t="str">
        <f t="shared" si="118"/>
        <v/>
      </c>
      <c r="I310" s="32" t="str">
        <f t="shared" si="119"/>
        <v/>
      </c>
      <c r="J310" s="46" t="str">
        <f t="shared" si="120"/>
        <v/>
      </c>
      <c r="K310" s="32" t="str">
        <f t="shared" si="121"/>
        <v/>
      </c>
      <c r="L310" s="32" t="str">
        <f t="shared" si="122"/>
        <v/>
      </c>
      <c r="M310" s="32" t="str">
        <f t="shared" si="123"/>
        <v/>
      </c>
      <c r="N310" s="32" t="str">
        <f t="shared" si="124"/>
        <v/>
      </c>
      <c r="O310" s="32" t="str">
        <f t="shared" si="125"/>
        <v/>
      </c>
      <c r="Q310" t="str">
        <f>IFERROR(MATCH(306,บันทึกรายเที่ยว!$Z$6:$Z$10005,0),"")</f>
        <v/>
      </c>
      <c r="R310" t="str">
        <f>IF($Q310="","",INDEX(บันทึกรายเที่ยว!$V$6:$V$10005,$Q310))</f>
        <v/>
      </c>
      <c r="S310" t="str">
        <f>IF($Q310="","",INDEX(บันทึกรายเที่ยว!$F$6:$F$10005,$Q310))</f>
        <v/>
      </c>
      <c r="T310" t="str">
        <f>IF($Q310="","",MATCH($S310,บันทึกรายเที่ยว!$F$6:$F$10005,0))</f>
        <v/>
      </c>
      <c r="U310" t="str">
        <f>IF($Q310="","",$AL310*10000000+$T310*1000+306)</f>
        <v/>
      </c>
      <c r="V310" t="str">
        <f>IFERROR(MATCH(SMALL($U$5:$U$404,306),$U$5:$U$404,0),"")</f>
        <v/>
      </c>
      <c r="W310" t="str">
        <f t="shared" si="126"/>
        <v/>
      </c>
      <c r="X310" t="str">
        <f t="shared" si="127"/>
        <v/>
      </c>
      <c r="Y310" t="str">
        <f t="shared" si="128"/>
        <v/>
      </c>
      <c r="Z310">
        <f t="shared" si="138"/>
        <v>0</v>
      </c>
      <c r="AA310">
        <f t="shared" si="129"/>
        <v>0</v>
      </c>
      <c r="AB310">
        <f>IF($V310="",99999+306,$AB309+1+$Z309+$AA309+$AO309)</f>
        <v>100305</v>
      </c>
      <c r="AC310" t="str">
        <f>IFERROR(MATCH(306,$AB$5:$AB$404,1),"")</f>
        <v/>
      </c>
      <c r="AD310" t="str">
        <f>IF(306=$AI$1+1,"Z",IF($AC310="","",IF(INDEX($V$5:$V$404,$AC310)="","",IF(306&gt;INDEX($AB$5:$AB$404,$AC310)+INDEX($Z$5:$Z$404,$AC310)+INDEX($AA$5:$AA$404,$AC310)+INDEX($AO$5:$AO$404,$AC310),"",IF(306=INDEX($AB$5:$AB$404,$AC310)+INDEX($Z$5:$Z$404,$AC310),"D",IF(AND(INDEX($Z$5:$Z$404,$AC310)=1,306=INDEX($AB$5:$AB$404,$AC310)),"H",IF(AND(INDEX($AO$5:$AO$404,$AC310)=1,306=INDEX($AB$5:$AB$404,$AC310)+INDEX($Z$5:$Z$404,$AC310)+INDEX($AA$5:$AA$404,$AC310)+INDEX($AO$5:$AO$404,$AC310)),"B","T")))))))</f>
        <v/>
      </c>
      <c r="AF310" t="str">
        <f t="shared" si="130"/>
        <v/>
      </c>
      <c r="AJ310">
        <f>IF($AD310&lt;&gt;"T",0,ROUND(SUMIF(oil!$B$4:$B$63,$AF310,oil!$AE$4:$AE$63),2))</f>
        <v>0</v>
      </c>
      <c r="AK310" t="str">
        <f>IF($S310="","",IFERROR(INDEX(อัตราค่าขนส่ง!$R$5:$R$54,MATCH($S310,อัตราค่าขนส่ง!$Q$5:$Q$54,0)),INDEX(รายการมาตรฐาน!$G$2:$G$3,1)))</f>
        <v/>
      </c>
      <c r="AL310" t="str">
        <f>IF($S310="","",IFERROR(MATCH($AK310,รายการมาตรฐาน!$G$2:$G$3,0),1))</f>
        <v/>
      </c>
      <c r="AM310" t="str">
        <f t="shared" si="131"/>
        <v/>
      </c>
      <c r="AN310" t="str">
        <f t="shared" si="132"/>
        <v/>
      </c>
      <c r="AO310">
        <f t="shared" si="133"/>
        <v>0</v>
      </c>
      <c r="AP310">
        <f t="shared" si="139"/>
        <v>0</v>
      </c>
      <c r="AQ310" t="str">
        <f t="shared" si="134"/>
        <v/>
      </c>
      <c r="AR310">
        <f>IF($Y310="",0,COUNTIF(บันทึกรายเที่ยว!$V$6:$V$10005,$Y310))</f>
        <v>0</v>
      </c>
      <c r="AS310">
        <f>IF($Y310="",0,ROUND(SUMIF(บันทึกรายเที่ยว!$V$6:$V$10005,$Y310,บันทึกรายเที่ยว!$M$6:$M$10005),2))</f>
        <v>0</v>
      </c>
      <c r="AT310">
        <f>IF($Y310="",0,IFERROR(INDEX(อัตราค่าขนส่ง!$J$5:$J$204,MATCH($Y310,อัตราค่าขนส่ง!$O$5:$O$204,0)),0))</f>
        <v>0</v>
      </c>
      <c r="AU310">
        <f t="shared" si="135"/>
        <v>0</v>
      </c>
      <c r="AV310">
        <f t="shared" si="136"/>
        <v>0</v>
      </c>
      <c r="AW310" t="str">
        <f>IF($Y310="","",IFERROR(INDEX(อัตราค่าขนส่ง!$F$5:$F$204,MATCH($Y310,อัตราค่าขนส่ง!$O$5:$O$204,0)),""))</f>
        <v/>
      </c>
      <c r="AX310" t="str">
        <f>IF($W310="","",INDEX(บันทึกรายเที่ยว!$D$6:$D$10005,$W310))</f>
        <v/>
      </c>
      <c r="AY310" t="str">
        <f>IF($W310="","",INDEX(บันทึกรายเที่ยว!$R$6:$R$10005,$W310))</f>
        <v/>
      </c>
      <c r="AZ310">
        <f t="shared" si="137"/>
        <v>0</v>
      </c>
      <c r="BA310" t="str">
        <f>IF($W310="","",INDEX(บันทึกรายเที่ยว!$E$6:$E$10005,$W310))</f>
        <v/>
      </c>
      <c r="BC310">
        <f>IF($Y310="",0,IFERROR(INDEX(อัตราค่าขนส่ง!$M$5:$M$204,MATCH($Y310,อัตราค่าขนส่ง!$O$5:$O$204,0)),0))</f>
        <v>0</v>
      </c>
      <c r="BD310">
        <f>IF($Y310="",0,IFERROR(INDEX(อัตราค่าขนส่ง!$N$5:$N$204,MATCH($Y310,อัตราค่าขนส่ง!$O$5:$O$204,0)),0))</f>
        <v>0</v>
      </c>
    </row>
    <row r="311" spans="1:56" ht="21" customHeight="1" x14ac:dyDescent="0.95">
      <c r="A311" s="36" t="str">
        <f>IF($AD311="","",IF($AD311="Z","รวมจ่ายทั้งสิ้น",IF($AD311="H",INDEX($X$5:$X$404,$AC311),IF($AD311="T","รวม",IF($AD311="B",IFERROR(INDEX(อัตราค่าขนส่ง!$U$5:$U$14,MATCH(INDEX($AM$5:$AM$404,$AC311),อัตราค่าขนส่ง!$T$5:$T$14,0)),"รวมกลุ่ม "&amp;INDEX($AM$5:$AM$404,$AC311)),INDEX($AY$5:$AY$404,$AC311))))))</f>
        <v/>
      </c>
      <c r="B311" s="31" t="str">
        <f t="shared" si="112"/>
        <v/>
      </c>
      <c r="C311" s="8" t="str">
        <f t="shared" si="113"/>
        <v/>
      </c>
      <c r="D311" s="37" t="str">
        <f t="shared" si="114"/>
        <v/>
      </c>
      <c r="E311" s="31" t="str">
        <f t="shared" si="115"/>
        <v/>
      </c>
      <c r="F311" s="32" t="str">
        <f t="shared" si="116"/>
        <v/>
      </c>
      <c r="G311" s="32" t="str">
        <f t="shared" si="117"/>
        <v/>
      </c>
      <c r="H311" s="32" t="str">
        <f t="shared" si="118"/>
        <v/>
      </c>
      <c r="I311" s="32" t="str">
        <f t="shared" si="119"/>
        <v/>
      </c>
      <c r="J311" s="46" t="str">
        <f t="shared" si="120"/>
        <v/>
      </c>
      <c r="K311" s="32" t="str">
        <f t="shared" si="121"/>
        <v/>
      </c>
      <c r="L311" s="32" t="str">
        <f t="shared" si="122"/>
        <v/>
      </c>
      <c r="M311" s="32" t="str">
        <f t="shared" si="123"/>
        <v/>
      </c>
      <c r="N311" s="32" t="str">
        <f t="shared" si="124"/>
        <v/>
      </c>
      <c r="O311" s="32" t="str">
        <f t="shared" si="125"/>
        <v/>
      </c>
      <c r="Q311" t="str">
        <f>IFERROR(MATCH(307,บันทึกรายเที่ยว!$Z$6:$Z$10005,0),"")</f>
        <v/>
      </c>
      <c r="R311" t="str">
        <f>IF($Q311="","",INDEX(บันทึกรายเที่ยว!$V$6:$V$10005,$Q311))</f>
        <v/>
      </c>
      <c r="S311" t="str">
        <f>IF($Q311="","",INDEX(บันทึกรายเที่ยว!$F$6:$F$10005,$Q311))</f>
        <v/>
      </c>
      <c r="T311" t="str">
        <f>IF($Q311="","",MATCH($S311,บันทึกรายเที่ยว!$F$6:$F$10005,0))</f>
        <v/>
      </c>
      <c r="U311" t="str">
        <f>IF($Q311="","",$AL311*10000000+$T311*1000+307)</f>
        <v/>
      </c>
      <c r="V311" t="str">
        <f>IFERROR(MATCH(SMALL($U$5:$U$404,307),$U$5:$U$404,0),"")</f>
        <v/>
      </c>
      <c r="W311" t="str">
        <f t="shared" si="126"/>
        <v/>
      </c>
      <c r="X311" t="str">
        <f t="shared" si="127"/>
        <v/>
      </c>
      <c r="Y311" t="str">
        <f t="shared" si="128"/>
        <v/>
      </c>
      <c r="Z311">
        <f t="shared" si="138"/>
        <v>0</v>
      </c>
      <c r="AA311">
        <f t="shared" si="129"/>
        <v>0</v>
      </c>
      <c r="AB311">
        <f>IF($V311="",99999+307,$AB310+1+$Z310+$AA310+$AO310)</f>
        <v>100306</v>
      </c>
      <c r="AC311" t="str">
        <f>IFERROR(MATCH(307,$AB$5:$AB$404,1),"")</f>
        <v/>
      </c>
      <c r="AD311" t="str">
        <f>IF(307=$AI$1+1,"Z",IF($AC311="","",IF(INDEX($V$5:$V$404,$AC311)="","",IF(307&gt;INDEX($AB$5:$AB$404,$AC311)+INDEX($Z$5:$Z$404,$AC311)+INDEX($AA$5:$AA$404,$AC311)+INDEX($AO$5:$AO$404,$AC311),"",IF(307=INDEX($AB$5:$AB$404,$AC311)+INDEX($Z$5:$Z$404,$AC311),"D",IF(AND(INDEX($Z$5:$Z$404,$AC311)=1,307=INDEX($AB$5:$AB$404,$AC311)),"H",IF(AND(INDEX($AO$5:$AO$404,$AC311)=1,307=INDEX($AB$5:$AB$404,$AC311)+INDEX($Z$5:$Z$404,$AC311)+INDEX($AA$5:$AA$404,$AC311)+INDEX($AO$5:$AO$404,$AC311)),"B","T")))))))</f>
        <v/>
      </c>
      <c r="AF311" t="str">
        <f t="shared" si="130"/>
        <v/>
      </c>
      <c r="AJ311">
        <f>IF($AD311&lt;&gt;"T",0,ROUND(SUMIF(oil!$B$4:$B$63,$AF311,oil!$AE$4:$AE$63),2))</f>
        <v>0</v>
      </c>
      <c r="AK311" t="str">
        <f>IF($S311="","",IFERROR(INDEX(อัตราค่าขนส่ง!$R$5:$R$54,MATCH($S311,อัตราค่าขนส่ง!$Q$5:$Q$54,0)),INDEX(รายการมาตรฐาน!$G$2:$G$3,1)))</f>
        <v/>
      </c>
      <c r="AL311" t="str">
        <f>IF($S311="","",IFERROR(MATCH($AK311,รายการมาตรฐาน!$G$2:$G$3,0),1))</f>
        <v/>
      </c>
      <c r="AM311" t="str">
        <f t="shared" si="131"/>
        <v/>
      </c>
      <c r="AN311" t="str">
        <f t="shared" si="132"/>
        <v/>
      </c>
      <c r="AO311">
        <f t="shared" si="133"/>
        <v>0</v>
      </c>
      <c r="AP311">
        <f t="shared" si="139"/>
        <v>0</v>
      </c>
      <c r="AQ311" t="str">
        <f t="shared" si="134"/>
        <v/>
      </c>
      <c r="AR311">
        <f>IF($Y311="",0,COUNTIF(บันทึกรายเที่ยว!$V$6:$V$10005,$Y311))</f>
        <v>0</v>
      </c>
      <c r="AS311">
        <f>IF($Y311="",0,ROUND(SUMIF(บันทึกรายเที่ยว!$V$6:$V$10005,$Y311,บันทึกรายเที่ยว!$M$6:$M$10005),2))</f>
        <v>0</v>
      </c>
      <c r="AT311">
        <f>IF($Y311="",0,IFERROR(INDEX(อัตราค่าขนส่ง!$J$5:$J$204,MATCH($Y311,อัตราค่าขนส่ง!$O$5:$O$204,0)),0))</f>
        <v>0</v>
      </c>
      <c r="AU311">
        <f t="shared" si="135"/>
        <v>0</v>
      </c>
      <c r="AV311">
        <f t="shared" si="136"/>
        <v>0</v>
      </c>
      <c r="AW311" t="str">
        <f>IF($Y311="","",IFERROR(INDEX(อัตราค่าขนส่ง!$F$5:$F$204,MATCH($Y311,อัตราค่าขนส่ง!$O$5:$O$204,0)),""))</f>
        <v/>
      </c>
      <c r="AX311" t="str">
        <f>IF($W311="","",INDEX(บันทึกรายเที่ยว!$D$6:$D$10005,$W311))</f>
        <v/>
      </c>
      <c r="AY311" t="str">
        <f>IF($W311="","",INDEX(บันทึกรายเที่ยว!$R$6:$R$10005,$W311))</f>
        <v/>
      </c>
      <c r="AZ311">
        <f t="shared" si="137"/>
        <v>0</v>
      </c>
      <c r="BA311" t="str">
        <f>IF($W311="","",INDEX(บันทึกรายเที่ยว!$E$6:$E$10005,$W311))</f>
        <v/>
      </c>
      <c r="BC311">
        <f>IF($Y311="",0,IFERROR(INDEX(อัตราค่าขนส่ง!$M$5:$M$204,MATCH($Y311,อัตราค่าขนส่ง!$O$5:$O$204,0)),0))</f>
        <v>0</v>
      </c>
      <c r="BD311">
        <f>IF($Y311="",0,IFERROR(INDEX(อัตราค่าขนส่ง!$N$5:$N$204,MATCH($Y311,อัตราค่าขนส่ง!$O$5:$O$204,0)),0))</f>
        <v>0</v>
      </c>
    </row>
    <row r="312" spans="1:56" ht="21" customHeight="1" x14ac:dyDescent="0.95">
      <c r="A312" s="36" t="str">
        <f>IF($AD312="","",IF($AD312="Z","รวมจ่ายทั้งสิ้น",IF($AD312="H",INDEX($X$5:$X$404,$AC312),IF($AD312="T","รวม",IF($AD312="B",IFERROR(INDEX(อัตราค่าขนส่ง!$U$5:$U$14,MATCH(INDEX($AM$5:$AM$404,$AC312),อัตราค่าขนส่ง!$T$5:$T$14,0)),"รวมกลุ่ม "&amp;INDEX($AM$5:$AM$404,$AC312)),INDEX($AY$5:$AY$404,$AC312))))))</f>
        <v/>
      </c>
      <c r="B312" s="31" t="str">
        <f t="shared" si="112"/>
        <v/>
      </c>
      <c r="C312" s="8" t="str">
        <f t="shared" si="113"/>
        <v/>
      </c>
      <c r="D312" s="37" t="str">
        <f t="shared" si="114"/>
        <v/>
      </c>
      <c r="E312" s="31" t="str">
        <f t="shared" si="115"/>
        <v/>
      </c>
      <c r="F312" s="32" t="str">
        <f t="shared" si="116"/>
        <v/>
      </c>
      <c r="G312" s="32" t="str">
        <f t="shared" si="117"/>
        <v/>
      </c>
      <c r="H312" s="32" t="str">
        <f t="shared" si="118"/>
        <v/>
      </c>
      <c r="I312" s="32" t="str">
        <f t="shared" si="119"/>
        <v/>
      </c>
      <c r="J312" s="46" t="str">
        <f t="shared" si="120"/>
        <v/>
      </c>
      <c r="K312" s="32" t="str">
        <f t="shared" si="121"/>
        <v/>
      </c>
      <c r="L312" s="32" t="str">
        <f t="shared" si="122"/>
        <v/>
      </c>
      <c r="M312" s="32" t="str">
        <f t="shared" si="123"/>
        <v/>
      </c>
      <c r="N312" s="32" t="str">
        <f t="shared" si="124"/>
        <v/>
      </c>
      <c r="O312" s="32" t="str">
        <f t="shared" si="125"/>
        <v/>
      </c>
      <c r="Q312" t="str">
        <f>IFERROR(MATCH(308,บันทึกรายเที่ยว!$Z$6:$Z$10005,0),"")</f>
        <v/>
      </c>
      <c r="R312" t="str">
        <f>IF($Q312="","",INDEX(บันทึกรายเที่ยว!$V$6:$V$10005,$Q312))</f>
        <v/>
      </c>
      <c r="S312" t="str">
        <f>IF($Q312="","",INDEX(บันทึกรายเที่ยว!$F$6:$F$10005,$Q312))</f>
        <v/>
      </c>
      <c r="T312" t="str">
        <f>IF($Q312="","",MATCH($S312,บันทึกรายเที่ยว!$F$6:$F$10005,0))</f>
        <v/>
      </c>
      <c r="U312" t="str">
        <f>IF($Q312="","",$AL312*10000000+$T312*1000+308)</f>
        <v/>
      </c>
      <c r="V312" t="str">
        <f>IFERROR(MATCH(SMALL($U$5:$U$404,308),$U$5:$U$404,0),"")</f>
        <v/>
      </c>
      <c r="W312" t="str">
        <f t="shared" si="126"/>
        <v/>
      </c>
      <c r="X312" t="str">
        <f t="shared" si="127"/>
        <v/>
      </c>
      <c r="Y312" t="str">
        <f t="shared" si="128"/>
        <v/>
      </c>
      <c r="Z312">
        <f t="shared" si="138"/>
        <v>0</v>
      </c>
      <c r="AA312">
        <f t="shared" si="129"/>
        <v>0</v>
      </c>
      <c r="AB312">
        <f>IF($V312="",99999+308,$AB311+1+$Z311+$AA311+$AO311)</f>
        <v>100307</v>
      </c>
      <c r="AC312" t="str">
        <f>IFERROR(MATCH(308,$AB$5:$AB$404,1),"")</f>
        <v/>
      </c>
      <c r="AD312" t="str">
        <f>IF(308=$AI$1+1,"Z",IF($AC312="","",IF(INDEX($V$5:$V$404,$AC312)="","",IF(308&gt;INDEX($AB$5:$AB$404,$AC312)+INDEX($Z$5:$Z$404,$AC312)+INDEX($AA$5:$AA$404,$AC312)+INDEX($AO$5:$AO$404,$AC312),"",IF(308=INDEX($AB$5:$AB$404,$AC312)+INDEX($Z$5:$Z$404,$AC312),"D",IF(AND(INDEX($Z$5:$Z$404,$AC312)=1,308=INDEX($AB$5:$AB$404,$AC312)),"H",IF(AND(INDEX($AO$5:$AO$404,$AC312)=1,308=INDEX($AB$5:$AB$404,$AC312)+INDEX($Z$5:$Z$404,$AC312)+INDEX($AA$5:$AA$404,$AC312)+INDEX($AO$5:$AO$404,$AC312)),"B","T")))))))</f>
        <v/>
      </c>
      <c r="AF312" t="str">
        <f t="shared" si="130"/>
        <v/>
      </c>
      <c r="AJ312">
        <f>IF($AD312&lt;&gt;"T",0,ROUND(SUMIF(oil!$B$4:$B$63,$AF312,oil!$AE$4:$AE$63),2))</f>
        <v>0</v>
      </c>
      <c r="AK312" t="str">
        <f>IF($S312="","",IFERROR(INDEX(อัตราค่าขนส่ง!$R$5:$R$54,MATCH($S312,อัตราค่าขนส่ง!$Q$5:$Q$54,0)),INDEX(รายการมาตรฐาน!$G$2:$G$3,1)))</f>
        <v/>
      </c>
      <c r="AL312" t="str">
        <f>IF($S312="","",IFERROR(MATCH($AK312,รายการมาตรฐาน!$G$2:$G$3,0),1))</f>
        <v/>
      </c>
      <c r="AM312" t="str">
        <f t="shared" si="131"/>
        <v/>
      </c>
      <c r="AN312" t="str">
        <f t="shared" si="132"/>
        <v/>
      </c>
      <c r="AO312">
        <f t="shared" si="133"/>
        <v>0</v>
      </c>
      <c r="AP312">
        <f t="shared" si="139"/>
        <v>0</v>
      </c>
      <c r="AQ312" t="str">
        <f t="shared" si="134"/>
        <v/>
      </c>
      <c r="AR312">
        <f>IF($Y312="",0,COUNTIF(บันทึกรายเที่ยว!$V$6:$V$10005,$Y312))</f>
        <v>0</v>
      </c>
      <c r="AS312">
        <f>IF($Y312="",0,ROUND(SUMIF(บันทึกรายเที่ยว!$V$6:$V$10005,$Y312,บันทึกรายเที่ยว!$M$6:$M$10005),2))</f>
        <v>0</v>
      </c>
      <c r="AT312">
        <f>IF($Y312="",0,IFERROR(INDEX(อัตราค่าขนส่ง!$J$5:$J$204,MATCH($Y312,อัตราค่าขนส่ง!$O$5:$O$204,0)),0))</f>
        <v>0</v>
      </c>
      <c r="AU312">
        <f t="shared" si="135"/>
        <v>0</v>
      </c>
      <c r="AV312">
        <f t="shared" si="136"/>
        <v>0</v>
      </c>
      <c r="AW312" t="str">
        <f>IF($Y312="","",IFERROR(INDEX(อัตราค่าขนส่ง!$F$5:$F$204,MATCH($Y312,อัตราค่าขนส่ง!$O$5:$O$204,0)),""))</f>
        <v/>
      </c>
      <c r="AX312" t="str">
        <f>IF($W312="","",INDEX(บันทึกรายเที่ยว!$D$6:$D$10005,$W312))</f>
        <v/>
      </c>
      <c r="AY312" t="str">
        <f>IF($W312="","",INDEX(บันทึกรายเที่ยว!$R$6:$R$10005,$W312))</f>
        <v/>
      </c>
      <c r="AZ312">
        <f t="shared" si="137"/>
        <v>0</v>
      </c>
      <c r="BA312" t="str">
        <f>IF($W312="","",INDEX(บันทึกรายเที่ยว!$E$6:$E$10005,$W312))</f>
        <v/>
      </c>
      <c r="BC312">
        <f>IF($Y312="",0,IFERROR(INDEX(อัตราค่าขนส่ง!$M$5:$M$204,MATCH($Y312,อัตราค่าขนส่ง!$O$5:$O$204,0)),0))</f>
        <v>0</v>
      </c>
      <c r="BD312">
        <f>IF($Y312="",0,IFERROR(INDEX(อัตราค่าขนส่ง!$N$5:$N$204,MATCH($Y312,อัตราค่าขนส่ง!$O$5:$O$204,0)),0))</f>
        <v>0</v>
      </c>
    </row>
    <row r="313" spans="1:56" ht="21" customHeight="1" x14ac:dyDescent="0.95">
      <c r="A313" s="36" t="str">
        <f>IF($AD313="","",IF($AD313="Z","รวมจ่ายทั้งสิ้น",IF($AD313="H",INDEX($X$5:$X$404,$AC313),IF($AD313="T","รวม",IF($AD313="B",IFERROR(INDEX(อัตราค่าขนส่ง!$U$5:$U$14,MATCH(INDEX($AM$5:$AM$404,$AC313),อัตราค่าขนส่ง!$T$5:$T$14,0)),"รวมกลุ่ม "&amp;INDEX($AM$5:$AM$404,$AC313)),INDEX($AY$5:$AY$404,$AC313))))))</f>
        <v/>
      </c>
      <c r="B313" s="31" t="str">
        <f t="shared" si="112"/>
        <v/>
      </c>
      <c r="C313" s="8" t="str">
        <f t="shared" si="113"/>
        <v/>
      </c>
      <c r="D313" s="37" t="str">
        <f t="shared" si="114"/>
        <v/>
      </c>
      <c r="E313" s="31" t="str">
        <f t="shared" si="115"/>
        <v/>
      </c>
      <c r="F313" s="32" t="str">
        <f t="shared" si="116"/>
        <v/>
      </c>
      <c r="G313" s="32" t="str">
        <f t="shared" si="117"/>
        <v/>
      </c>
      <c r="H313" s="32" t="str">
        <f t="shared" si="118"/>
        <v/>
      </c>
      <c r="I313" s="32" t="str">
        <f t="shared" si="119"/>
        <v/>
      </c>
      <c r="J313" s="46" t="str">
        <f t="shared" si="120"/>
        <v/>
      </c>
      <c r="K313" s="32" t="str">
        <f t="shared" si="121"/>
        <v/>
      </c>
      <c r="L313" s="32" t="str">
        <f t="shared" si="122"/>
        <v/>
      </c>
      <c r="M313" s="32" t="str">
        <f t="shared" si="123"/>
        <v/>
      </c>
      <c r="N313" s="32" t="str">
        <f t="shared" si="124"/>
        <v/>
      </c>
      <c r="O313" s="32" t="str">
        <f t="shared" si="125"/>
        <v/>
      </c>
      <c r="Q313" t="str">
        <f>IFERROR(MATCH(309,บันทึกรายเที่ยว!$Z$6:$Z$10005,0),"")</f>
        <v/>
      </c>
      <c r="R313" t="str">
        <f>IF($Q313="","",INDEX(บันทึกรายเที่ยว!$V$6:$V$10005,$Q313))</f>
        <v/>
      </c>
      <c r="S313" t="str">
        <f>IF($Q313="","",INDEX(บันทึกรายเที่ยว!$F$6:$F$10005,$Q313))</f>
        <v/>
      </c>
      <c r="T313" t="str">
        <f>IF($Q313="","",MATCH($S313,บันทึกรายเที่ยว!$F$6:$F$10005,0))</f>
        <v/>
      </c>
      <c r="U313" t="str">
        <f>IF($Q313="","",$AL313*10000000+$T313*1000+309)</f>
        <v/>
      </c>
      <c r="V313" t="str">
        <f>IFERROR(MATCH(SMALL($U$5:$U$404,309),$U$5:$U$404,0),"")</f>
        <v/>
      </c>
      <c r="W313" t="str">
        <f t="shared" si="126"/>
        <v/>
      </c>
      <c r="X313" t="str">
        <f t="shared" si="127"/>
        <v/>
      </c>
      <c r="Y313" t="str">
        <f t="shared" si="128"/>
        <v/>
      </c>
      <c r="Z313">
        <f t="shared" si="138"/>
        <v>0</v>
      </c>
      <c r="AA313">
        <f t="shared" si="129"/>
        <v>0</v>
      </c>
      <c r="AB313">
        <f>IF($V313="",99999+309,$AB312+1+$Z312+$AA312+$AO312)</f>
        <v>100308</v>
      </c>
      <c r="AC313" t="str">
        <f>IFERROR(MATCH(309,$AB$5:$AB$404,1),"")</f>
        <v/>
      </c>
      <c r="AD313" t="str">
        <f>IF(309=$AI$1+1,"Z",IF($AC313="","",IF(INDEX($V$5:$V$404,$AC313)="","",IF(309&gt;INDEX($AB$5:$AB$404,$AC313)+INDEX($Z$5:$Z$404,$AC313)+INDEX($AA$5:$AA$404,$AC313)+INDEX($AO$5:$AO$404,$AC313),"",IF(309=INDEX($AB$5:$AB$404,$AC313)+INDEX($Z$5:$Z$404,$AC313),"D",IF(AND(INDEX($Z$5:$Z$404,$AC313)=1,309=INDEX($AB$5:$AB$404,$AC313)),"H",IF(AND(INDEX($AO$5:$AO$404,$AC313)=1,309=INDEX($AB$5:$AB$404,$AC313)+INDEX($Z$5:$Z$404,$AC313)+INDEX($AA$5:$AA$404,$AC313)+INDEX($AO$5:$AO$404,$AC313)),"B","T")))))))</f>
        <v/>
      </c>
      <c r="AF313" t="str">
        <f t="shared" si="130"/>
        <v/>
      </c>
      <c r="AJ313">
        <f>IF($AD313&lt;&gt;"T",0,ROUND(SUMIF(oil!$B$4:$B$63,$AF313,oil!$AE$4:$AE$63),2))</f>
        <v>0</v>
      </c>
      <c r="AK313" t="str">
        <f>IF($S313="","",IFERROR(INDEX(อัตราค่าขนส่ง!$R$5:$R$54,MATCH($S313,อัตราค่าขนส่ง!$Q$5:$Q$54,0)),INDEX(รายการมาตรฐาน!$G$2:$G$3,1)))</f>
        <v/>
      </c>
      <c r="AL313" t="str">
        <f>IF($S313="","",IFERROR(MATCH($AK313,รายการมาตรฐาน!$G$2:$G$3,0),1))</f>
        <v/>
      </c>
      <c r="AM313" t="str">
        <f t="shared" si="131"/>
        <v/>
      </c>
      <c r="AN313" t="str">
        <f t="shared" si="132"/>
        <v/>
      </c>
      <c r="AO313">
        <f t="shared" si="133"/>
        <v>0</v>
      </c>
      <c r="AP313">
        <f t="shared" si="139"/>
        <v>0</v>
      </c>
      <c r="AQ313" t="str">
        <f t="shared" si="134"/>
        <v/>
      </c>
      <c r="AR313">
        <f>IF($Y313="",0,COUNTIF(บันทึกรายเที่ยว!$V$6:$V$10005,$Y313))</f>
        <v>0</v>
      </c>
      <c r="AS313">
        <f>IF($Y313="",0,ROUND(SUMIF(บันทึกรายเที่ยว!$V$6:$V$10005,$Y313,บันทึกรายเที่ยว!$M$6:$M$10005),2))</f>
        <v>0</v>
      </c>
      <c r="AT313">
        <f>IF($Y313="",0,IFERROR(INDEX(อัตราค่าขนส่ง!$J$5:$J$204,MATCH($Y313,อัตราค่าขนส่ง!$O$5:$O$204,0)),0))</f>
        <v>0</v>
      </c>
      <c r="AU313">
        <f t="shared" si="135"/>
        <v>0</v>
      </c>
      <c r="AV313">
        <f t="shared" si="136"/>
        <v>0</v>
      </c>
      <c r="AW313" t="str">
        <f>IF($Y313="","",IFERROR(INDEX(อัตราค่าขนส่ง!$F$5:$F$204,MATCH($Y313,อัตราค่าขนส่ง!$O$5:$O$204,0)),""))</f>
        <v/>
      </c>
      <c r="AX313" t="str">
        <f>IF($W313="","",INDEX(บันทึกรายเที่ยว!$D$6:$D$10005,$W313))</f>
        <v/>
      </c>
      <c r="AY313" t="str">
        <f>IF($W313="","",INDEX(บันทึกรายเที่ยว!$R$6:$R$10005,$W313))</f>
        <v/>
      </c>
      <c r="AZ313">
        <f t="shared" si="137"/>
        <v>0</v>
      </c>
      <c r="BA313" t="str">
        <f>IF($W313="","",INDEX(บันทึกรายเที่ยว!$E$6:$E$10005,$W313))</f>
        <v/>
      </c>
      <c r="BC313">
        <f>IF($Y313="",0,IFERROR(INDEX(อัตราค่าขนส่ง!$M$5:$M$204,MATCH($Y313,อัตราค่าขนส่ง!$O$5:$O$204,0)),0))</f>
        <v>0</v>
      </c>
      <c r="BD313">
        <f>IF($Y313="",0,IFERROR(INDEX(อัตราค่าขนส่ง!$N$5:$N$204,MATCH($Y313,อัตราค่าขนส่ง!$O$5:$O$204,0)),0))</f>
        <v>0</v>
      </c>
    </row>
    <row r="314" spans="1:56" ht="21" customHeight="1" x14ac:dyDescent="0.95">
      <c r="A314" s="36" t="str">
        <f>IF($AD314="","",IF($AD314="Z","รวมจ่ายทั้งสิ้น",IF($AD314="H",INDEX($X$5:$X$404,$AC314),IF($AD314="T","รวม",IF($AD314="B",IFERROR(INDEX(อัตราค่าขนส่ง!$U$5:$U$14,MATCH(INDEX($AM$5:$AM$404,$AC314),อัตราค่าขนส่ง!$T$5:$T$14,0)),"รวมกลุ่ม "&amp;INDEX($AM$5:$AM$404,$AC314)),INDEX($AY$5:$AY$404,$AC314))))))</f>
        <v/>
      </c>
      <c r="B314" s="31" t="str">
        <f t="shared" si="112"/>
        <v/>
      </c>
      <c r="C314" s="8" t="str">
        <f t="shared" si="113"/>
        <v/>
      </c>
      <c r="D314" s="37" t="str">
        <f t="shared" si="114"/>
        <v/>
      </c>
      <c r="E314" s="31" t="str">
        <f t="shared" si="115"/>
        <v/>
      </c>
      <c r="F314" s="32" t="str">
        <f t="shared" si="116"/>
        <v/>
      </c>
      <c r="G314" s="32" t="str">
        <f t="shared" si="117"/>
        <v/>
      </c>
      <c r="H314" s="32" t="str">
        <f t="shared" si="118"/>
        <v/>
      </c>
      <c r="I314" s="32" t="str">
        <f t="shared" si="119"/>
        <v/>
      </c>
      <c r="J314" s="46" t="str">
        <f t="shared" si="120"/>
        <v/>
      </c>
      <c r="K314" s="32" t="str">
        <f t="shared" si="121"/>
        <v/>
      </c>
      <c r="L314" s="32" t="str">
        <f t="shared" si="122"/>
        <v/>
      </c>
      <c r="M314" s="32" t="str">
        <f t="shared" si="123"/>
        <v/>
      </c>
      <c r="N314" s="32" t="str">
        <f t="shared" si="124"/>
        <v/>
      </c>
      <c r="O314" s="32" t="str">
        <f t="shared" si="125"/>
        <v/>
      </c>
      <c r="Q314" t="str">
        <f>IFERROR(MATCH(310,บันทึกรายเที่ยว!$Z$6:$Z$10005,0),"")</f>
        <v/>
      </c>
      <c r="R314" t="str">
        <f>IF($Q314="","",INDEX(บันทึกรายเที่ยว!$V$6:$V$10005,$Q314))</f>
        <v/>
      </c>
      <c r="S314" t="str">
        <f>IF($Q314="","",INDEX(บันทึกรายเที่ยว!$F$6:$F$10005,$Q314))</f>
        <v/>
      </c>
      <c r="T314" t="str">
        <f>IF($Q314="","",MATCH($S314,บันทึกรายเที่ยว!$F$6:$F$10005,0))</f>
        <v/>
      </c>
      <c r="U314" t="str">
        <f>IF($Q314="","",$AL314*10000000+$T314*1000+310)</f>
        <v/>
      </c>
      <c r="V314" t="str">
        <f>IFERROR(MATCH(SMALL($U$5:$U$404,310),$U$5:$U$404,0),"")</f>
        <v/>
      </c>
      <c r="W314" t="str">
        <f t="shared" si="126"/>
        <v/>
      </c>
      <c r="X314" t="str">
        <f t="shared" si="127"/>
        <v/>
      </c>
      <c r="Y314" t="str">
        <f t="shared" si="128"/>
        <v/>
      </c>
      <c r="Z314">
        <f t="shared" si="138"/>
        <v>0</v>
      </c>
      <c r="AA314">
        <f t="shared" si="129"/>
        <v>0</v>
      </c>
      <c r="AB314">
        <f>IF($V314="",99999+310,$AB313+1+$Z313+$AA313+$AO313)</f>
        <v>100309</v>
      </c>
      <c r="AC314" t="str">
        <f>IFERROR(MATCH(310,$AB$5:$AB$404,1),"")</f>
        <v/>
      </c>
      <c r="AD314" t="str">
        <f>IF(310=$AI$1+1,"Z",IF($AC314="","",IF(INDEX($V$5:$V$404,$AC314)="","",IF(310&gt;INDEX($AB$5:$AB$404,$AC314)+INDEX($Z$5:$Z$404,$AC314)+INDEX($AA$5:$AA$404,$AC314)+INDEX($AO$5:$AO$404,$AC314),"",IF(310=INDEX($AB$5:$AB$404,$AC314)+INDEX($Z$5:$Z$404,$AC314),"D",IF(AND(INDEX($Z$5:$Z$404,$AC314)=1,310=INDEX($AB$5:$AB$404,$AC314)),"H",IF(AND(INDEX($AO$5:$AO$404,$AC314)=1,310=INDEX($AB$5:$AB$404,$AC314)+INDEX($Z$5:$Z$404,$AC314)+INDEX($AA$5:$AA$404,$AC314)+INDEX($AO$5:$AO$404,$AC314)),"B","T")))))))</f>
        <v/>
      </c>
      <c r="AF314" t="str">
        <f t="shared" si="130"/>
        <v/>
      </c>
      <c r="AJ314">
        <f>IF($AD314&lt;&gt;"T",0,ROUND(SUMIF(oil!$B$4:$B$63,$AF314,oil!$AE$4:$AE$63),2))</f>
        <v>0</v>
      </c>
      <c r="AK314" t="str">
        <f>IF($S314="","",IFERROR(INDEX(อัตราค่าขนส่ง!$R$5:$R$54,MATCH($S314,อัตราค่าขนส่ง!$Q$5:$Q$54,0)),INDEX(รายการมาตรฐาน!$G$2:$G$3,1)))</f>
        <v/>
      </c>
      <c r="AL314" t="str">
        <f>IF($S314="","",IFERROR(MATCH($AK314,รายการมาตรฐาน!$G$2:$G$3,0),1))</f>
        <v/>
      </c>
      <c r="AM314" t="str">
        <f t="shared" si="131"/>
        <v/>
      </c>
      <c r="AN314" t="str">
        <f t="shared" si="132"/>
        <v/>
      </c>
      <c r="AO314">
        <f t="shared" si="133"/>
        <v>0</v>
      </c>
      <c r="AP314">
        <f t="shared" si="139"/>
        <v>0</v>
      </c>
      <c r="AQ314" t="str">
        <f t="shared" si="134"/>
        <v/>
      </c>
      <c r="AR314">
        <f>IF($Y314="",0,COUNTIF(บันทึกรายเที่ยว!$V$6:$V$10005,$Y314))</f>
        <v>0</v>
      </c>
      <c r="AS314">
        <f>IF($Y314="",0,ROUND(SUMIF(บันทึกรายเที่ยว!$V$6:$V$10005,$Y314,บันทึกรายเที่ยว!$M$6:$M$10005),2))</f>
        <v>0</v>
      </c>
      <c r="AT314">
        <f>IF($Y314="",0,IFERROR(INDEX(อัตราค่าขนส่ง!$J$5:$J$204,MATCH($Y314,อัตราค่าขนส่ง!$O$5:$O$204,0)),0))</f>
        <v>0</v>
      </c>
      <c r="AU314">
        <f t="shared" si="135"/>
        <v>0</v>
      </c>
      <c r="AV314">
        <f t="shared" si="136"/>
        <v>0</v>
      </c>
      <c r="AW314" t="str">
        <f>IF($Y314="","",IFERROR(INDEX(อัตราค่าขนส่ง!$F$5:$F$204,MATCH($Y314,อัตราค่าขนส่ง!$O$5:$O$204,0)),""))</f>
        <v/>
      </c>
      <c r="AX314" t="str">
        <f>IF($W314="","",INDEX(บันทึกรายเที่ยว!$D$6:$D$10005,$W314))</f>
        <v/>
      </c>
      <c r="AY314" t="str">
        <f>IF($W314="","",INDEX(บันทึกรายเที่ยว!$R$6:$R$10005,$W314))</f>
        <v/>
      </c>
      <c r="AZ314">
        <f t="shared" si="137"/>
        <v>0</v>
      </c>
      <c r="BA314" t="str">
        <f>IF($W314="","",INDEX(บันทึกรายเที่ยว!$E$6:$E$10005,$W314))</f>
        <v/>
      </c>
      <c r="BC314">
        <f>IF($Y314="",0,IFERROR(INDEX(อัตราค่าขนส่ง!$M$5:$M$204,MATCH($Y314,อัตราค่าขนส่ง!$O$5:$O$204,0)),0))</f>
        <v>0</v>
      </c>
      <c r="BD314">
        <f>IF($Y314="",0,IFERROR(INDEX(อัตราค่าขนส่ง!$N$5:$N$204,MATCH($Y314,อัตราค่าขนส่ง!$O$5:$O$204,0)),0))</f>
        <v>0</v>
      </c>
    </row>
    <row r="315" spans="1:56" ht="21" customHeight="1" x14ac:dyDescent="0.95">
      <c r="A315" s="36" t="str">
        <f>IF($AD315="","",IF($AD315="Z","รวมจ่ายทั้งสิ้น",IF($AD315="H",INDEX($X$5:$X$404,$AC315),IF($AD315="T","รวม",IF($AD315="B",IFERROR(INDEX(อัตราค่าขนส่ง!$U$5:$U$14,MATCH(INDEX($AM$5:$AM$404,$AC315),อัตราค่าขนส่ง!$T$5:$T$14,0)),"รวมกลุ่ม "&amp;INDEX($AM$5:$AM$404,$AC315)),INDEX($AY$5:$AY$404,$AC315))))))</f>
        <v/>
      </c>
      <c r="B315" s="31" t="str">
        <f t="shared" si="112"/>
        <v/>
      </c>
      <c r="C315" s="8" t="str">
        <f t="shared" si="113"/>
        <v/>
      </c>
      <c r="D315" s="37" t="str">
        <f t="shared" si="114"/>
        <v/>
      </c>
      <c r="E315" s="31" t="str">
        <f t="shared" si="115"/>
        <v/>
      </c>
      <c r="F315" s="32" t="str">
        <f t="shared" si="116"/>
        <v/>
      </c>
      <c r="G315" s="32" t="str">
        <f t="shared" si="117"/>
        <v/>
      </c>
      <c r="H315" s="32" t="str">
        <f t="shared" si="118"/>
        <v/>
      </c>
      <c r="I315" s="32" t="str">
        <f t="shared" si="119"/>
        <v/>
      </c>
      <c r="J315" s="46" t="str">
        <f t="shared" si="120"/>
        <v/>
      </c>
      <c r="K315" s="32" t="str">
        <f t="shared" si="121"/>
        <v/>
      </c>
      <c r="L315" s="32" t="str">
        <f t="shared" si="122"/>
        <v/>
      </c>
      <c r="M315" s="32" t="str">
        <f t="shared" si="123"/>
        <v/>
      </c>
      <c r="N315" s="32" t="str">
        <f t="shared" si="124"/>
        <v/>
      </c>
      <c r="O315" s="32" t="str">
        <f t="shared" si="125"/>
        <v/>
      </c>
      <c r="Q315" t="str">
        <f>IFERROR(MATCH(311,บันทึกรายเที่ยว!$Z$6:$Z$10005,0),"")</f>
        <v/>
      </c>
      <c r="R315" t="str">
        <f>IF($Q315="","",INDEX(บันทึกรายเที่ยว!$V$6:$V$10005,$Q315))</f>
        <v/>
      </c>
      <c r="S315" t="str">
        <f>IF($Q315="","",INDEX(บันทึกรายเที่ยว!$F$6:$F$10005,$Q315))</f>
        <v/>
      </c>
      <c r="T315" t="str">
        <f>IF($Q315="","",MATCH($S315,บันทึกรายเที่ยว!$F$6:$F$10005,0))</f>
        <v/>
      </c>
      <c r="U315" t="str">
        <f>IF($Q315="","",$AL315*10000000+$T315*1000+311)</f>
        <v/>
      </c>
      <c r="V315" t="str">
        <f>IFERROR(MATCH(SMALL($U$5:$U$404,311),$U$5:$U$404,0),"")</f>
        <v/>
      </c>
      <c r="W315" t="str">
        <f t="shared" si="126"/>
        <v/>
      </c>
      <c r="X315" t="str">
        <f t="shared" si="127"/>
        <v/>
      </c>
      <c r="Y315" t="str">
        <f t="shared" si="128"/>
        <v/>
      </c>
      <c r="Z315">
        <f t="shared" si="138"/>
        <v>0</v>
      </c>
      <c r="AA315">
        <f t="shared" si="129"/>
        <v>0</v>
      </c>
      <c r="AB315">
        <f>IF($V315="",99999+311,$AB314+1+$Z314+$AA314+$AO314)</f>
        <v>100310</v>
      </c>
      <c r="AC315" t="str">
        <f>IFERROR(MATCH(311,$AB$5:$AB$404,1),"")</f>
        <v/>
      </c>
      <c r="AD315" t="str">
        <f>IF(311=$AI$1+1,"Z",IF($AC315="","",IF(INDEX($V$5:$V$404,$AC315)="","",IF(311&gt;INDEX($AB$5:$AB$404,$AC315)+INDEX($Z$5:$Z$404,$AC315)+INDEX($AA$5:$AA$404,$AC315)+INDEX($AO$5:$AO$404,$AC315),"",IF(311=INDEX($AB$5:$AB$404,$AC315)+INDEX($Z$5:$Z$404,$AC315),"D",IF(AND(INDEX($Z$5:$Z$404,$AC315)=1,311=INDEX($AB$5:$AB$404,$AC315)),"H",IF(AND(INDEX($AO$5:$AO$404,$AC315)=1,311=INDEX($AB$5:$AB$404,$AC315)+INDEX($Z$5:$Z$404,$AC315)+INDEX($AA$5:$AA$404,$AC315)+INDEX($AO$5:$AO$404,$AC315)),"B","T")))))))</f>
        <v/>
      </c>
      <c r="AF315" t="str">
        <f t="shared" si="130"/>
        <v/>
      </c>
      <c r="AJ315">
        <f>IF($AD315&lt;&gt;"T",0,ROUND(SUMIF(oil!$B$4:$B$63,$AF315,oil!$AE$4:$AE$63),2))</f>
        <v>0</v>
      </c>
      <c r="AK315" t="str">
        <f>IF($S315="","",IFERROR(INDEX(อัตราค่าขนส่ง!$R$5:$R$54,MATCH($S315,อัตราค่าขนส่ง!$Q$5:$Q$54,0)),INDEX(รายการมาตรฐาน!$G$2:$G$3,1)))</f>
        <v/>
      </c>
      <c r="AL315" t="str">
        <f>IF($S315="","",IFERROR(MATCH($AK315,รายการมาตรฐาน!$G$2:$G$3,0),1))</f>
        <v/>
      </c>
      <c r="AM315" t="str">
        <f t="shared" si="131"/>
        <v/>
      </c>
      <c r="AN315" t="str">
        <f t="shared" si="132"/>
        <v/>
      </c>
      <c r="AO315">
        <f t="shared" si="133"/>
        <v>0</v>
      </c>
      <c r="AP315">
        <f t="shared" si="139"/>
        <v>0</v>
      </c>
      <c r="AQ315" t="str">
        <f t="shared" si="134"/>
        <v/>
      </c>
      <c r="AR315">
        <f>IF($Y315="",0,COUNTIF(บันทึกรายเที่ยว!$V$6:$V$10005,$Y315))</f>
        <v>0</v>
      </c>
      <c r="AS315">
        <f>IF($Y315="",0,ROUND(SUMIF(บันทึกรายเที่ยว!$V$6:$V$10005,$Y315,บันทึกรายเที่ยว!$M$6:$M$10005),2))</f>
        <v>0</v>
      </c>
      <c r="AT315">
        <f>IF($Y315="",0,IFERROR(INDEX(อัตราค่าขนส่ง!$J$5:$J$204,MATCH($Y315,อัตราค่าขนส่ง!$O$5:$O$204,0)),0))</f>
        <v>0</v>
      </c>
      <c r="AU315">
        <f t="shared" si="135"/>
        <v>0</v>
      </c>
      <c r="AV315">
        <f t="shared" si="136"/>
        <v>0</v>
      </c>
      <c r="AW315" t="str">
        <f>IF($Y315="","",IFERROR(INDEX(อัตราค่าขนส่ง!$F$5:$F$204,MATCH($Y315,อัตราค่าขนส่ง!$O$5:$O$204,0)),""))</f>
        <v/>
      </c>
      <c r="AX315" t="str">
        <f>IF($W315="","",INDEX(บันทึกรายเที่ยว!$D$6:$D$10005,$W315))</f>
        <v/>
      </c>
      <c r="AY315" t="str">
        <f>IF($W315="","",INDEX(บันทึกรายเที่ยว!$R$6:$R$10005,$W315))</f>
        <v/>
      </c>
      <c r="AZ315">
        <f t="shared" si="137"/>
        <v>0</v>
      </c>
      <c r="BA315" t="str">
        <f>IF($W315="","",INDEX(บันทึกรายเที่ยว!$E$6:$E$10005,$W315))</f>
        <v/>
      </c>
      <c r="BC315">
        <f>IF($Y315="",0,IFERROR(INDEX(อัตราค่าขนส่ง!$M$5:$M$204,MATCH($Y315,อัตราค่าขนส่ง!$O$5:$O$204,0)),0))</f>
        <v>0</v>
      </c>
      <c r="BD315">
        <f>IF($Y315="",0,IFERROR(INDEX(อัตราค่าขนส่ง!$N$5:$N$204,MATCH($Y315,อัตราค่าขนส่ง!$O$5:$O$204,0)),0))</f>
        <v>0</v>
      </c>
    </row>
    <row r="316" spans="1:56" ht="21" customHeight="1" x14ac:dyDescent="0.95">
      <c r="A316" s="36" t="str">
        <f>IF($AD316="","",IF($AD316="Z","รวมจ่ายทั้งสิ้น",IF($AD316="H",INDEX($X$5:$X$404,$AC316),IF($AD316="T","รวม",IF($AD316="B",IFERROR(INDEX(อัตราค่าขนส่ง!$U$5:$U$14,MATCH(INDEX($AM$5:$AM$404,$AC316),อัตราค่าขนส่ง!$T$5:$T$14,0)),"รวมกลุ่ม "&amp;INDEX($AM$5:$AM$404,$AC316)),INDEX($AY$5:$AY$404,$AC316))))))</f>
        <v/>
      </c>
      <c r="B316" s="31" t="str">
        <f t="shared" si="112"/>
        <v/>
      </c>
      <c r="C316" s="8" t="str">
        <f t="shared" si="113"/>
        <v/>
      </c>
      <c r="D316" s="37" t="str">
        <f t="shared" si="114"/>
        <v/>
      </c>
      <c r="E316" s="31" t="str">
        <f t="shared" si="115"/>
        <v/>
      </c>
      <c r="F316" s="32" t="str">
        <f t="shared" si="116"/>
        <v/>
      </c>
      <c r="G316" s="32" t="str">
        <f t="shared" si="117"/>
        <v/>
      </c>
      <c r="H316" s="32" t="str">
        <f t="shared" si="118"/>
        <v/>
      </c>
      <c r="I316" s="32" t="str">
        <f t="shared" si="119"/>
        <v/>
      </c>
      <c r="J316" s="46" t="str">
        <f t="shared" si="120"/>
        <v/>
      </c>
      <c r="K316" s="32" t="str">
        <f t="shared" si="121"/>
        <v/>
      </c>
      <c r="L316" s="32" t="str">
        <f t="shared" si="122"/>
        <v/>
      </c>
      <c r="M316" s="32" t="str">
        <f t="shared" si="123"/>
        <v/>
      </c>
      <c r="N316" s="32" t="str">
        <f t="shared" si="124"/>
        <v/>
      </c>
      <c r="O316" s="32" t="str">
        <f t="shared" si="125"/>
        <v/>
      </c>
      <c r="Q316" t="str">
        <f>IFERROR(MATCH(312,บันทึกรายเที่ยว!$Z$6:$Z$10005,0),"")</f>
        <v/>
      </c>
      <c r="R316" t="str">
        <f>IF($Q316="","",INDEX(บันทึกรายเที่ยว!$V$6:$V$10005,$Q316))</f>
        <v/>
      </c>
      <c r="S316" t="str">
        <f>IF($Q316="","",INDEX(บันทึกรายเที่ยว!$F$6:$F$10005,$Q316))</f>
        <v/>
      </c>
      <c r="T316" t="str">
        <f>IF($Q316="","",MATCH($S316,บันทึกรายเที่ยว!$F$6:$F$10005,0))</f>
        <v/>
      </c>
      <c r="U316" t="str">
        <f>IF($Q316="","",$AL316*10000000+$T316*1000+312)</f>
        <v/>
      </c>
      <c r="V316" t="str">
        <f>IFERROR(MATCH(SMALL($U$5:$U$404,312),$U$5:$U$404,0),"")</f>
        <v/>
      </c>
      <c r="W316" t="str">
        <f t="shared" si="126"/>
        <v/>
      </c>
      <c r="X316" t="str">
        <f t="shared" si="127"/>
        <v/>
      </c>
      <c r="Y316" t="str">
        <f t="shared" si="128"/>
        <v/>
      </c>
      <c r="Z316">
        <f t="shared" si="138"/>
        <v>0</v>
      </c>
      <c r="AA316">
        <f t="shared" si="129"/>
        <v>0</v>
      </c>
      <c r="AB316">
        <f>IF($V316="",99999+312,$AB315+1+$Z315+$AA315+$AO315)</f>
        <v>100311</v>
      </c>
      <c r="AC316" t="str">
        <f>IFERROR(MATCH(312,$AB$5:$AB$404,1),"")</f>
        <v/>
      </c>
      <c r="AD316" t="str">
        <f>IF(312=$AI$1+1,"Z",IF($AC316="","",IF(INDEX($V$5:$V$404,$AC316)="","",IF(312&gt;INDEX($AB$5:$AB$404,$AC316)+INDEX($Z$5:$Z$404,$AC316)+INDEX($AA$5:$AA$404,$AC316)+INDEX($AO$5:$AO$404,$AC316),"",IF(312=INDEX($AB$5:$AB$404,$AC316)+INDEX($Z$5:$Z$404,$AC316),"D",IF(AND(INDEX($Z$5:$Z$404,$AC316)=1,312=INDEX($AB$5:$AB$404,$AC316)),"H",IF(AND(INDEX($AO$5:$AO$404,$AC316)=1,312=INDEX($AB$5:$AB$404,$AC316)+INDEX($Z$5:$Z$404,$AC316)+INDEX($AA$5:$AA$404,$AC316)+INDEX($AO$5:$AO$404,$AC316)),"B","T")))))))</f>
        <v/>
      </c>
      <c r="AF316" t="str">
        <f t="shared" si="130"/>
        <v/>
      </c>
      <c r="AJ316">
        <f>IF($AD316&lt;&gt;"T",0,ROUND(SUMIF(oil!$B$4:$B$63,$AF316,oil!$AE$4:$AE$63),2))</f>
        <v>0</v>
      </c>
      <c r="AK316" t="str">
        <f>IF($S316="","",IFERROR(INDEX(อัตราค่าขนส่ง!$R$5:$R$54,MATCH($S316,อัตราค่าขนส่ง!$Q$5:$Q$54,0)),INDEX(รายการมาตรฐาน!$G$2:$G$3,1)))</f>
        <v/>
      </c>
      <c r="AL316" t="str">
        <f>IF($S316="","",IFERROR(MATCH($AK316,รายการมาตรฐาน!$G$2:$G$3,0),1))</f>
        <v/>
      </c>
      <c r="AM316" t="str">
        <f t="shared" si="131"/>
        <v/>
      </c>
      <c r="AN316" t="str">
        <f t="shared" si="132"/>
        <v/>
      </c>
      <c r="AO316">
        <f t="shared" si="133"/>
        <v>0</v>
      </c>
      <c r="AP316">
        <f t="shared" si="139"/>
        <v>0</v>
      </c>
      <c r="AQ316" t="str">
        <f t="shared" si="134"/>
        <v/>
      </c>
      <c r="AR316">
        <f>IF($Y316="",0,COUNTIF(บันทึกรายเที่ยว!$V$6:$V$10005,$Y316))</f>
        <v>0</v>
      </c>
      <c r="AS316">
        <f>IF($Y316="",0,ROUND(SUMIF(บันทึกรายเที่ยว!$V$6:$V$10005,$Y316,บันทึกรายเที่ยว!$M$6:$M$10005),2))</f>
        <v>0</v>
      </c>
      <c r="AT316">
        <f>IF($Y316="",0,IFERROR(INDEX(อัตราค่าขนส่ง!$J$5:$J$204,MATCH($Y316,อัตราค่าขนส่ง!$O$5:$O$204,0)),0))</f>
        <v>0</v>
      </c>
      <c r="AU316">
        <f t="shared" si="135"/>
        <v>0</v>
      </c>
      <c r="AV316">
        <f t="shared" si="136"/>
        <v>0</v>
      </c>
      <c r="AW316" t="str">
        <f>IF($Y316="","",IFERROR(INDEX(อัตราค่าขนส่ง!$F$5:$F$204,MATCH($Y316,อัตราค่าขนส่ง!$O$5:$O$204,0)),""))</f>
        <v/>
      </c>
      <c r="AX316" t="str">
        <f>IF($W316="","",INDEX(บันทึกรายเที่ยว!$D$6:$D$10005,$W316))</f>
        <v/>
      </c>
      <c r="AY316" t="str">
        <f>IF($W316="","",INDEX(บันทึกรายเที่ยว!$R$6:$R$10005,$W316))</f>
        <v/>
      </c>
      <c r="AZ316">
        <f t="shared" si="137"/>
        <v>0</v>
      </c>
      <c r="BA316" t="str">
        <f>IF($W316="","",INDEX(บันทึกรายเที่ยว!$E$6:$E$10005,$W316))</f>
        <v/>
      </c>
      <c r="BC316">
        <f>IF($Y316="",0,IFERROR(INDEX(อัตราค่าขนส่ง!$M$5:$M$204,MATCH($Y316,อัตราค่าขนส่ง!$O$5:$O$204,0)),0))</f>
        <v>0</v>
      </c>
      <c r="BD316">
        <f>IF($Y316="",0,IFERROR(INDEX(อัตราค่าขนส่ง!$N$5:$N$204,MATCH($Y316,อัตราค่าขนส่ง!$O$5:$O$204,0)),0))</f>
        <v>0</v>
      </c>
    </row>
    <row r="317" spans="1:56" ht="21" customHeight="1" x14ac:dyDescent="0.95">
      <c r="A317" s="36" t="str">
        <f>IF($AD317="","",IF($AD317="Z","รวมจ่ายทั้งสิ้น",IF($AD317="H",INDEX($X$5:$X$404,$AC317),IF($AD317="T","รวม",IF($AD317="B",IFERROR(INDEX(อัตราค่าขนส่ง!$U$5:$U$14,MATCH(INDEX($AM$5:$AM$404,$AC317),อัตราค่าขนส่ง!$T$5:$T$14,0)),"รวมกลุ่ม "&amp;INDEX($AM$5:$AM$404,$AC317)),INDEX($AY$5:$AY$404,$AC317))))))</f>
        <v/>
      </c>
      <c r="B317" s="31" t="str">
        <f t="shared" si="112"/>
        <v/>
      </c>
      <c r="C317" s="8" t="str">
        <f t="shared" si="113"/>
        <v/>
      </c>
      <c r="D317" s="37" t="str">
        <f t="shared" si="114"/>
        <v/>
      </c>
      <c r="E317" s="31" t="str">
        <f t="shared" si="115"/>
        <v/>
      </c>
      <c r="F317" s="32" t="str">
        <f t="shared" si="116"/>
        <v/>
      </c>
      <c r="G317" s="32" t="str">
        <f t="shared" si="117"/>
        <v/>
      </c>
      <c r="H317" s="32" t="str">
        <f t="shared" si="118"/>
        <v/>
      </c>
      <c r="I317" s="32" t="str">
        <f t="shared" si="119"/>
        <v/>
      </c>
      <c r="J317" s="46" t="str">
        <f t="shared" si="120"/>
        <v/>
      </c>
      <c r="K317" s="32" t="str">
        <f t="shared" si="121"/>
        <v/>
      </c>
      <c r="L317" s="32" t="str">
        <f t="shared" si="122"/>
        <v/>
      </c>
      <c r="M317" s="32" t="str">
        <f t="shared" si="123"/>
        <v/>
      </c>
      <c r="N317" s="32" t="str">
        <f t="shared" si="124"/>
        <v/>
      </c>
      <c r="O317" s="32" t="str">
        <f t="shared" si="125"/>
        <v/>
      </c>
      <c r="Q317" t="str">
        <f>IFERROR(MATCH(313,บันทึกรายเที่ยว!$Z$6:$Z$10005,0),"")</f>
        <v/>
      </c>
      <c r="R317" t="str">
        <f>IF($Q317="","",INDEX(บันทึกรายเที่ยว!$V$6:$V$10005,$Q317))</f>
        <v/>
      </c>
      <c r="S317" t="str">
        <f>IF($Q317="","",INDEX(บันทึกรายเที่ยว!$F$6:$F$10005,$Q317))</f>
        <v/>
      </c>
      <c r="T317" t="str">
        <f>IF($Q317="","",MATCH($S317,บันทึกรายเที่ยว!$F$6:$F$10005,0))</f>
        <v/>
      </c>
      <c r="U317" t="str">
        <f>IF($Q317="","",$AL317*10000000+$T317*1000+313)</f>
        <v/>
      </c>
      <c r="V317" t="str">
        <f>IFERROR(MATCH(SMALL($U$5:$U$404,313),$U$5:$U$404,0),"")</f>
        <v/>
      </c>
      <c r="W317" t="str">
        <f t="shared" si="126"/>
        <v/>
      </c>
      <c r="X317" t="str">
        <f t="shared" si="127"/>
        <v/>
      </c>
      <c r="Y317" t="str">
        <f t="shared" si="128"/>
        <v/>
      </c>
      <c r="Z317">
        <f t="shared" si="138"/>
        <v>0</v>
      </c>
      <c r="AA317">
        <f t="shared" si="129"/>
        <v>0</v>
      </c>
      <c r="AB317">
        <f>IF($V317="",99999+313,$AB316+1+$Z316+$AA316+$AO316)</f>
        <v>100312</v>
      </c>
      <c r="AC317" t="str">
        <f>IFERROR(MATCH(313,$AB$5:$AB$404,1),"")</f>
        <v/>
      </c>
      <c r="AD317" t="str">
        <f>IF(313=$AI$1+1,"Z",IF($AC317="","",IF(INDEX($V$5:$V$404,$AC317)="","",IF(313&gt;INDEX($AB$5:$AB$404,$AC317)+INDEX($Z$5:$Z$404,$AC317)+INDEX($AA$5:$AA$404,$AC317)+INDEX($AO$5:$AO$404,$AC317),"",IF(313=INDEX($AB$5:$AB$404,$AC317)+INDEX($Z$5:$Z$404,$AC317),"D",IF(AND(INDEX($Z$5:$Z$404,$AC317)=1,313=INDEX($AB$5:$AB$404,$AC317)),"H",IF(AND(INDEX($AO$5:$AO$404,$AC317)=1,313=INDEX($AB$5:$AB$404,$AC317)+INDEX($Z$5:$Z$404,$AC317)+INDEX($AA$5:$AA$404,$AC317)+INDEX($AO$5:$AO$404,$AC317)),"B","T")))))))</f>
        <v/>
      </c>
      <c r="AF317" t="str">
        <f t="shared" si="130"/>
        <v/>
      </c>
      <c r="AJ317">
        <f>IF($AD317&lt;&gt;"T",0,ROUND(SUMIF(oil!$B$4:$B$63,$AF317,oil!$AE$4:$AE$63),2))</f>
        <v>0</v>
      </c>
      <c r="AK317" t="str">
        <f>IF($S317="","",IFERROR(INDEX(อัตราค่าขนส่ง!$R$5:$R$54,MATCH($S317,อัตราค่าขนส่ง!$Q$5:$Q$54,0)),INDEX(รายการมาตรฐาน!$G$2:$G$3,1)))</f>
        <v/>
      </c>
      <c r="AL317" t="str">
        <f>IF($S317="","",IFERROR(MATCH($AK317,รายการมาตรฐาน!$G$2:$G$3,0),1))</f>
        <v/>
      </c>
      <c r="AM317" t="str">
        <f t="shared" si="131"/>
        <v/>
      </c>
      <c r="AN317" t="str">
        <f t="shared" si="132"/>
        <v/>
      </c>
      <c r="AO317">
        <f t="shared" si="133"/>
        <v>0</v>
      </c>
      <c r="AP317">
        <f t="shared" si="139"/>
        <v>0</v>
      </c>
      <c r="AQ317" t="str">
        <f t="shared" si="134"/>
        <v/>
      </c>
      <c r="AR317">
        <f>IF($Y317="",0,COUNTIF(บันทึกรายเที่ยว!$V$6:$V$10005,$Y317))</f>
        <v>0</v>
      </c>
      <c r="AS317">
        <f>IF($Y317="",0,ROUND(SUMIF(บันทึกรายเที่ยว!$V$6:$V$10005,$Y317,บันทึกรายเที่ยว!$M$6:$M$10005),2))</f>
        <v>0</v>
      </c>
      <c r="AT317">
        <f>IF($Y317="",0,IFERROR(INDEX(อัตราค่าขนส่ง!$J$5:$J$204,MATCH($Y317,อัตราค่าขนส่ง!$O$5:$O$204,0)),0))</f>
        <v>0</v>
      </c>
      <c r="AU317">
        <f t="shared" si="135"/>
        <v>0</v>
      </c>
      <c r="AV317">
        <f t="shared" si="136"/>
        <v>0</v>
      </c>
      <c r="AW317" t="str">
        <f>IF($Y317="","",IFERROR(INDEX(อัตราค่าขนส่ง!$F$5:$F$204,MATCH($Y317,อัตราค่าขนส่ง!$O$5:$O$204,0)),""))</f>
        <v/>
      </c>
      <c r="AX317" t="str">
        <f>IF($W317="","",INDEX(บันทึกรายเที่ยว!$D$6:$D$10005,$W317))</f>
        <v/>
      </c>
      <c r="AY317" t="str">
        <f>IF($W317="","",INDEX(บันทึกรายเที่ยว!$R$6:$R$10005,$W317))</f>
        <v/>
      </c>
      <c r="AZ317">
        <f t="shared" si="137"/>
        <v>0</v>
      </c>
      <c r="BA317" t="str">
        <f>IF($W317="","",INDEX(บันทึกรายเที่ยว!$E$6:$E$10005,$W317))</f>
        <v/>
      </c>
      <c r="BC317">
        <f>IF($Y317="",0,IFERROR(INDEX(อัตราค่าขนส่ง!$M$5:$M$204,MATCH($Y317,อัตราค่าขนส่ง!$O$5:$O$204,0)),0))</f>
        <v>0</v>
      </c>
      <c r="BD317">
        <f>IF($Y317="",0,IFERROR(INDEX(อัตราค่าขนส่ง!$N$5:$N$204,MATCH($Y317,อัตราค่าขนส่ง!$O$5:$O$204,0)),0))</f>
        <v>0</v>
      </c>
    </row>
    <row r="318" spans="1:56" ht="21" customHeight="1" x14ac:dyDescent="0.95">
      <c r="A318" s="36" t="str">
        <f>IF($AD318="","",IF($AD318="Z","รวมจ่ายทั้งสิ้น",IF($AD318="H",INDEX($X$5:$X$404,$AC318),IF($AD318="T","รวม",IF($AD318="B",IFERROR(INDEX(อัตราค่าขนส่ง!$U$5:$U$14,MATCH(INDEX($AM$5:$AM$404,$AC318),อัตราค่าขนส่ง!$T$5:$T$14,0)),"รวมกลุ่ม "&amp;INDEX($AM$5:$AM$404,$AC318)),INDEX($AY$5:$AY$404,$AC318))))))</f>
        <v/>
      </c>
      <c r="B318" s="31" t="str">
        <f t="shared" si="112"/>
        <v/>
      </c>
      <c r="C318" s="8" t="str">
        <f t="shared" si="113"/>
        <v/>
      </c>
      <c r="D318" s="37" t="str">
        <f t="shared" si="114"/>
        <v/>
      </c>
      <c r="E318" s="31" t="str">
        <f t="shared" si="115"/>
        <v/>
      </c>
      <c r="F318" s="32" t="str">
        <f t="shared" si="116"/>
        <v/>
      </c>
      <c r="G318" s="32" t="str">
        <f t="shared" si="117"/>
        <v/>
      </c>
      <c r="H318" s="32" t="str">
        <f t="shared" si="118"/>
        <v/>
      </c>
      <c r="I318" s="32" t="str">
        <f t="shared" si="119"/>
        <v/>
      </c>
      <c r="J318" s="46" t="str">
        <f t="shared" si="120"/>
        <v/>
      </c>
      <c r="K318" s="32" t="str">
        <f t="shared" si="121"/>
        <v/>
      </c>
      <c r="L318" s="32" t="str">
        <f t="shared" si="122"/>
        <v/>
      </c>
      <c r="M318" s="32" t="str">
        <f t="shared" si="123"/>
        <v/>
      </c>
      <c r="N318" s="32" t="str">
        <f t="shared" si="124"/>
        <v/>
      </c>
      <c r="O318" s="32" t="str">
        <f t="shared" si="125"/>
        <v/>
      </c>
      <c r="Q318" t="str">
        <f>IFERROR(MATCH(314,บันทึกรายเที่ยว!$Z$6:$Z$10005,0),"")</f>
        <v/>
      </c>
      <c r="R318" t="str">
        <f>IF($Q318="","",INDEX(บันทึกรายเที่ยว!$V$6:$V$10005,$Q318))</f>
        <v/>
      </c>
      <c r="S318" t="str">
        <f>IF($Q318="","",INDEX(บันทึกรายเที่ยว!$F$6:$F$10005,$Q318))</f>
        <v/>
      </c>
      <c r="T318" t="str">
        <f>IF($Q318="","",MATCH($S318,บันทึกรายเที่ยว!$F$6:$F$10005,0))</f>
        <v/>
      </c>
      <c r="U318" t="str">
        <f>IF($Q318="","",$AL318*10000000+$T318*1000+314)</f>
        <v/>
      </c>
      <c r="V318" t="str">
        <f>IFERROR(MATCH(SMALL($U$5:$U$404,314),$U$5:$U$404,0),"")</f>
        <v/>
      </c>
      <c r="W318" t="str">
        <f t="shared" si="126"/>
        <v/>
      </c>
      <c r="X318" t="str">
        <f t="shared" si="127"/>
        <v/>
      </c>
      <c r="Y318" t="str">
        <f t="shared" si="128"/>
        <v/>
      </c>
      <c r="Z318">
        <f t="shared" si="138"/>
        <v>0</v>
      </c>
      <c r="AA318">
        <f t="shared" si="129"/>
        <v>0</v>
      </c>
      <c r="AB318">
        <f>IF($V318="",99999+314,$AB317+1+$Z317+$AA317+$AO317)</f>
        <v>100313</v>
      </c>
      <c r="AC318" t="str">
        <f>IFERROR(MATCH(314,$AB$5:$AB$404,1),"")</f>
        <v/>
      </c>
      <c r="AD318" t="str">
        <f>IF(314=$AI$1+1,"Z",IF($AC318="","",IF(INDEX($V$5:$V$404,$AC318)="","",IF(314&gt;INDEX($AB$5:$AB$404,$AC318)+INDEX($Z$5:$Z$404,$AC318)+INDEX($AA$5:$AA$404,$AC318)+INDEX($AO$5:$AO$404,$AC318),"",IF(314=INDEX($AB$5:$AB$404,$AC318)+INDEX($Z$5:$Z$404,$AC318),"D",IF(AND(INDEX($Z$5:$Z$404,$AC318)=1,314=INDEX($AB$5:$AB$404,$AC318)),"H",IF(AND(INDEX($AO$5:$AO$404,$AC318)=1,314=INDEX($AB$5:$AB$404,$AC318)+INDEX($Z$5:$Z$404,$AC318)+INDEX($AA$5:$AA$404,$AC318)+INDEX($AO$5:$AO$404,$AC318)),"B","T")))))))</f>
        <v/>
      </c>
      <c r="AF318" t="str">
        <f t="shared" si="130"/>
        <v/>
      </c>
      <c r="AJ318">
        <f>IF($AD318&lt;&gt;"T",0,ROUND(SUMIF(oil!$B$4:$B$63,$AF318,oil!$AE$4:$AE$63),2))</f>
        <v>0</v>
      </c>
      <c r="AK318" t="str">
        <f>IF($S318="","",IFERROR(INDEX(อัตราค่าขนส่ง!$R$5:$R$54,MATCH($S318,อัตราค่าขนส่ง!$Q$5:$Q$54,0)),INDEX(รายการมาตรฐาน!$G$2:$G$3,1)))</f>
        <v/>
      </c>
      <c r="AL318" t="str">
        <f>IF($S318="","",IFERROR(MATCH($AK318,รายการมาตรฐาน!$G$2:$G$3,0),1))</f>
        <v/>
      </c>
      <c r="AM318" t="str">
        <f t="shared" si="131"/>
        <v/>
      </c>
      <c r="AN318" t="str">
        <f t="shared" si="132"/>
        <v/>
      </c>
      <c r="AO318">
        <f t="shared" si="133"/>
        <v>0</v>
      </c>
      <c r="AP318">
        <f t="shared" si="139"/>
        <v>0</v>
      </c>
      <c r="AQ318" t="str">
        <f t="shared" si="134"/>
        <v/>
      </c>
      <c r="AR318">
        <f>IF($Y318="",0,COUNTIF(บันทึกรายเที่ยว!$V$6:$V$10005,$Y318))</f>
        <v>0</v>
      </c>
      <c r="AS318">
        <f>IF($Y318="",0,ROUND(SUMIF(บันทึกรายเที่ยว!$V$6:$V$10005,$Y318,บันทึกรายเที่ยว!$M$6:$M$10005),2))</f>
        <v>0</v>
      </c>
      <c r="AT318">
        <f>IF($Y318="",0,IFERROR(INDEX(อัตราค่าขนส่ง!$J$5:$J$204,MATCH($Y318,อัตราค่าขนส่ง!$O$5:$O$204,0)),0))</f>
        <v>0</v>
      </c>
      <c r="AU318">
        <f t="shared" si="135"/>
        <v>0</v>
      </c>
      <c r="AV318">
        <f t="shared" si="136"/>
        <v>0</v>
      </c>
      <c r="AW318" t="str">
        <f>IF($Y318="","",IFERROR(INDEX(อัตราค่าขนส่ง!$F$5:$F$204,MATCH($Y318,อัตราค่าขนส่ง!$O$5:$O$204,0)),""))</f>
        <v/>
      </c>
      <c r="AX318" t="str">
        <f>IF($W318="","",INDEX(บันทึกรายเที่ยว!$D$6:$D$10005,$W318))</f>
        <v/>
      </c>
      <c r="AY318" t="str">
        <f>IF($W318="","",INDEX(บันทึกรายเที่ยว!$R$6:$R$10005,$W318))</f>
        <v/>
      </c>
      <c r="AZ318">
        <f t="shared" si="137"/>
        <v>0</v>
      </c>
      <c r="BA318" t="str">
        <f>IF($W318="","",INDEX(บันทึกรายเที่ยว!$E$6:$E$10005,$W318))</f>
        <v/>
      </c>
      <c r="BC318">
        <f>IF($Y318="",0,IFERROR(INDEX(อัตราค่าขนส่ง!$M$5:$M$204,MATCH($Y318,อัตราค่าขนส่ง!$O$5:$O$204,0)),0))</f>
        <v>0</v>
      </c>
      <c r="BD318">
        <f>IF($Y318="",0,IFERROR(INDEX(อัตราค่าขนส่ง!$N$5:$N$204,MATCH($Y318,อัตราค่าขนส่ง!$O$5:$O$204,0)),0))</f>
        <v>0</v>
      </c>
    </row>
    <row r="319" spans="1:56" ht="21" customHeight="1" x14ac:dyDescent="0.95">
      <c r="A319" s="36" t="str">
        <f>IF($AD319="","",IF($AD319="Z","รวมจ่ายทั้งสิ้น",IF($AD319="H",INDEX($X$5:$X$404,$AC319),IF($AD319="T","รวม",IF($AD319="B",IFERROR(INDEX(อัตราค่าขนส่ง!$U$5:$U$14,MATCH(INDEX($AM$5:$AM$404,$AC319),อัตราค่าขนส่ง!$T$5:$T$14,0)),"รวมกลุ่ม "&amp;INDEX($AM$5:$AM$404,$AC319)),INDEX($AY$5:$AY$404,$AC319))))))</f>
        <v/>
      </c>
      <c r="B319" s="31" t="str">
        <f t="shared" si="112"/>
        <v/>
      </c>
      <c r="C319" s="8" t="str">
        <f t="shared" si="113"/>
        <v/>
      </c>
      <c r="D319" s="37" t="str">
        <f t="shared" si="114"/>
        <v/>
      </c>
      <c r="E319" s="31" t="str">
        <f t="shared" si="115"/>
        <v/>
      </c>
      <c r="F319" s="32" t="str">
        <f t="shared" si="116"/>
        <v/>
      </c>
      <c r="G319" s="32" t="str">
        <f t="shared" si="117"/>
        <v/>
      </c>
      <c r="H319" s="32" t="str">
        <f t="shared" si="118"/>
        <v/>
      </c>
      <c r="I319" s="32" t="str">
        <f t="shared" si="119"/>
        <v/>
      </c>
      <c r="J319" s="46" t="str">
        <f t="shared" si="120"/>
        <v/>
      </c>
      <c r="K319" s="32" t="str">
        <f t="shared" si="121"/>
        <v/>
      </c>
      <c r="L319" s="32" t="str">
        <f t="shared" si="122"/>
        <v/>
      </c>
      <c r="M319" s="32" t="str">
        <f t="shared" si="123"/>
        <v/>
      </c>
      <c r="N319" s="32" t="str">
        <f t="shared" si="124"/>
        <v/>
      </c>
      <c r="O319" s="32" t="str">
        <f t="shared" si="125"/>
        <v/>
      </c>
      <c r="Q319" t="str">
        <f>IFERROR(MATCH(315,บันทึกรายเที่ยว!$Z$6:$Z$10005,0),"")</f>
        <v/>
      </c>
      <c r="R319" t="str">
        <f>IF($Q319="","",INDEX(บันทึกรายเที่ยว!$V$6:$V$10005,$Q319))</f>
        <v/>
      </c>
      <c r="S319" t="str">
        <f>IF($Q319="","",INDEX(บันทึกรายเที่ยว!$F$6:$F$10005,$Q319))</f>
        <v/>
      </c>
      <c r="T319" t="str">
        <f>IF($Q319="","",MATCH($S319,บันทึกรายเที่ยว!$F$6:$F$10005,0))</f>
        <v/>
      </c>
      <c r="U319" t="str">
        <f>IF($Q319="","",$AL319*10000000+$T319*1000+315)</f>
        <v/>
      </c>
      <c r="V319" t="str">
        <f>IFERROR(MATCH(SMALL($U$5:$U$404,315),$U$5:$U$404,0),"")</f>
        <v/>
      </c>
      <c r="W319" t="str">
        <f t="shared" si="126"/>
        <v/>
      </c>
      <c r="X319" t="str">
        <f t="shared" si="127"/>
        <v/>
      </c>
      <c r="Y319" t="str">
        <f t="shared" si="128"/>
        <v/>
      </c>
      <c r="Z319">
        <f t="shared" si="138"/>
        <v>0</v>
      </c>
      <c r="AA319">
        <f t="shared" si="129"/>
        <v>0</v>
      </c>
      <c r="AB319">
        <f>IF($V319="",99999+315,$AB318+1+$Z318+$AA318+$AO318)</f>
        <v>100314</v>
      </c>
      <c r="AC319" t="str">
        <f>IFERROR(MATCH(315,$AB$5:$AB$404,1),"")</f>
        <v/>
      </c>
      <c r="AD319" t="str">
        <f>IF(315=$AI$1+1,"Z",IF($AC319="","",IF(INDEX($V$5:$V$404,$AC319)="","",IF(315&gt;INDEX($AB$5:$AB$404,$AC319)+INDEX($Z$5:$Z$404,$AC319)+INDEX($AA$5:$AA$404,$AC319)+INDEX($AO$5:$AO$404,$AC319),"",IF(315=INDEX($AB$5:$AB$404,$AC319)+INDEX($Z$5:$Z$404,$AC319),"D",IF(AND(INDEX($Z$5:$Z$404,$AC319)=1,315=INDEX($AB$5:$AB$404,$AC319)),"H",IF(AND(INDEX($AO$5:$AO$404,$AC319)=1,315=INDEX($AB$5:$AB$404,$AC319)+INDEX($Z$5:$Z$404,$AC319)+INDEX($AA$5:$AA$404,$AC319)+INDEX($AO$5:$AO$404,$AC319)),"B","T")))))))</f>
        <v/>
      </c>
      <c r="AF319" t="str">
        <f t="shared" si="130"/>
        <v/>
      </c>
      <c r="AJ319">
        <f>IF($AD319&lt;&gt;"T",0,ROUND(SUMIF(oil!$B$4:$B$63,$AF319,oil!$AE$4:$AE$63),2))</f>
        <v>0</v>
      </c>
      <c r="AK319" t="str">
        <f>IF($S319="","",IFERROR(INDEX(อัตราค่าขนส่ง!$R$5:$R$54,MATCH($S319,อัตราค่าขนส่ง!$Q$5:$Q$54,0)),INDEX(รายการมาตรฐาน!$G$2:$G$3,1)))</f>
        <v/>
      </c>
      <c r="AL319" t="str">
        <f>IF($S319="","",IFERROR(MATCH($AK319,รายการมาตรฐาน!$G$2:$G$3,0),1))</f>
        <v/>
      </c>
      <c r="AM319" t="str">
        <f t="shared" si="131"/>
        <v/>
      </c>
      <c r="AN319" t="str">
        <f t="shared" si="132"/>
        <v/>
      </c>
      <c r="AO319">
        <f t="shared" si="133"/>
        <v>0</v>
      </c>
      <c r="AP319">
        <f t="shared" si="139"/>
        <v>0</v>
      </c>
      <c r="AQ319" t="str">
        <f t="shared" si="134"/>
        <v/>
      </c>
      <c r="AR319">
        <f>IF($Y319="",0,COUNTIF(บันทึกรายเที่ยว!$V$6:$V$10005,$Y319))</f>
        <v>0</v>
      </c>
      <c r="AS319">
        <f>IF($Y319="",0,ROUND(SUMIF(บันทึกรายเที่ยว!$V$6:$V$10005,$Y319,บันทึกรายเที่ยว!$M$6:$M$10005),2))</f>
        <v>0</v>
      </c>
      <c r="AT319">
        <f>IF($Y319="",0,IFERROR(INDEX(อัตราค่าขนส่ง!$J$5:$J$204,MATCH($Y319,อัตราค่าขนส่ง!$O$5:$O$204,0)),0))</f>
        <v>0</v>
      </c>
      <c r="AU319">
        <f t="shared" si="135"/>
        <v>0</v>
      </c>
      <c r="AV319">
        <f t="shared" si="136"/>
        <v>0</v>
      </c>
      <c r="AW319" t="str">
        <f>IF($Y319="","",IFERROR(INDEX(อัตราค่าขนส่ง!$F$5:$F$204,MATCH($Y319,อัตราค่าขนส่ง!$O$5:$O$204,0)),""))</f>
        <v/>
      </c>
      <c r="AX319" t="str">
        <f>IF($W319="","",INDEX(บันทึกรายเที่ยว!$D$6:$D$10005,$W319))</f>
        <v/>
      </c>
      <c r="AY319" t="str">
        <f>IF($W319="","",INDEX(บันทึกรายเที่ยว!$R$6:$R$10005,$W319))</f>
        <v/>
      </c>
      <c r="AZ319">
        <f t="shared" si="137"/>
        <v>0</v>
      </c>
      <c r="BA319" t="str">
        <f>IF($W319="","",INDEX(บันทึกรายเที่ยว!$E$6:$E$10005,$W319))</f>
        <v/>
      </c>
      <c r="BC319">
        <f>IF($Y319="",0,IFERROR(INDEX(อัตราค่าขนส่ง!$M$5:$M$204,MATCH($Y319,อัตราค่าขนส่ง!$O$5:$O$204,0)),0))</f>
        <v>0</v>
      </c>
      <c r="BD319">
        <f>IF($Y319="",0,IFERROR(INDEX(อัตราค่าขนส่ง!$N$5:$N$204,MATCH($Y319,อัตราค่าขนส่ง!$O$5:$O$204,0)),0))</f>
        <v>0</v>
      </c>
    </row>
    <row r="320" spans="1:56" ht="21" customHeight="1" x14ac:dyDescent="0.95">
      <c r="A320" s="36" t="str">
        <f>IF($AD320="","",IF($AD320="Z","รวมจ่ายทั้งสิ้น",IF($AD320="H",INDEX($X$5:$X$404,$AC320),IF($AD320="T","รวม",IF($AD320="B",IFERROR(INDEX(อัตราค่าขนส่ง!$U$5:$U$14,MATCH(INDEX($AM$5:$AM$404,$AC320),อัตราค่าขนส่ง!$T$5:$T$14,0)),"รวมกลุ่ม "&amp;INDEX($AM$5:$AM$404,$AC320)),INDEX($AY$5:$AY$404,$AC320))))))</f>
        <v/>
      </c>
      <c r="B320" s="31" t="str">
        <f t="shared" si="112"/>
        <v/>
      </c>
      <c r="C320" s="8" t="str">
        <f t="shared" si="113"/>
        <v/>
      </c>
      <c r="D320" s="37" t="str">
        <f t="shared" si="114"/>
        <v/>
      </c>
      <c r="E320" s="31" t="str">
        <f t="shared" si="115"/>
        <v/>
      </c>
      <c r="F320" s="32" t="str">
        <f t="shared" si="116"/>
        <v/>
      </c>
      <c r="G320" s="32" t="str">
        <f t="shared" si="117"/>
        <v/>
      </c>
      <c r="H320" s="32" t="str">
        <f t="shared" si="118"/>
        <v/>
      </c>
      <c r="I320" s="32" t="str">
        <f t="shared" si="119"/>
        <v/>
      </c>
      <c r="J320" s="46" t="str">
        <f t="shared" si="120"/>
        <v/>
      </c>
      <c r="K320" s="32" t="str">
        <f t="shared" si="121"/>
        <v/>
      </c>
      <c r="L320" s="32" t="str">
        <f t="shared" si="122"/>
        <v/>
      </c>
      <c r="M320" s="32" t="str">
        <f t="shared" si="123"/>
        <v/>
      </c>
      <c r="N320" s="32" t="str">
        <f t="shared" si="124"/>
        <v/>
      </c>
      <c r="O320" s="32" t="str">
        <f t="shared" si="125"/>
        <v/>
      </c>
      <c r="Q320" t="str">
        <f>IFERROR(MATCH(316,บันทึกรายเที่ยว!$Z$6:$Z$10005,0),"")</f>
        <v/>
      </c>
      <c r="R320" t="str">
        <f>IF($Q320="","",INDEX(บันทึกรายเที่ยว!$V$6:$V$10005,$Q320))</f>
        <v/>
      </c>
      <c r="S320" t="str">
        <f>IF($Q320="","",INDEX(บันทึกรายเที่ยว!$F$6:$F$10005,$Q320))</f>
        <v/>
      </c>
      <c r="T320" t="str">
        <f>IF($Q320="","",MATCH($S320,บันทึกรายเที่ยว!$F$6:$F$10005,0))</f>
        <v/>
      </c>
      <c r="U320" t="str">
        <f>IF($Q320="","",$AL320*10000000+$T320*1000+316)</f>
        <v/>
      </c>
      <c r="V320" t="str">
        <f>IFERROR(MATCH(SMALL($U$5:$U$404,316),$U$5:$U$404,0),"")</f>
        <v/>
      </c>
      <c r="W320" t="str">
        <f t="shared" si="126"/>
        <v/>
      </c>
      <c r="X320" t="str">
        <f t="shared" si="127"/>
        <v/>
      </c>
      <c r="Y320" t="str">
        <f t="shared" si="128"/>
        <v/>
      </c>
      <c r="Z320">
        <f t="shared" si="138"/>
        <v>0</v>
      </c>
      <c r="AA320">
        <f t="shared" si="129"/>
        <v>0</v>
      </c>
      <c r="AB320">
        <f>IF($V320="",99999+316,$AB319+1+$Z319+$AA319+$AO319)</f>
        <v>100315</v>
      </c>
      <c r="AC320" t="str">
        <f>IFERROR(MATCH(316,$AB$5:$AB$404,1),"")</f>
        <v/>
      </c>
      <c r="AD320" t="str">
        <f>IF(316=$AI$1+1,"Z",IF($AC320="","",IF(INDEX($V$5:$V$404,$AC320)="","",IF(316&gt;INDEX($AB$5:$AB$404,$AC320)+INDEX($Z$5:$Z$404,$AC320)+INDEX($AA$5:$AA$404,$AC320)+INDEX($AO$5:$AO$404,$AC320),"",IF(316=INDEX($AB$5:$AB$404,$AC320)+INDEX($Z$5:$Z$404,$AC320),"D",IF(AND(INDEX($Z$5:$Z$404,$AC320)=1,316=INDEX($AB$5:$AB$404,$AC320)),"H",IF(AND(INDEX($AO$5:$AO$404,$AC320)=1,316=INDEX($AB$5:$AB$404,$AC320)+INDEX($Z$5:$Z$404,$AC320)+INDEX($AA$5:$AA$404,$AC320)+INDEX($AO$5:$AO$404,$AC320)),"B","T")))))))</f>
        <v/>
      </c>
      <c r="AF320" t="str">
        <f t="shared" si="130"/>
        <v/>
      </c>
      <c r="AJ320">
        <f>IF($AD320&lt;&gt;"T",0,ROUND(SUMIF(oil!$B$4:$B$63,$AF320,oil!$AE$4:$AE$63),2))</f>
        <v>0</v>
      </c>
      <c r="AK320" t="str">
        <f>IF($S320="","",IFERROR(INDEX(อัตราค่าขนส่ง!$R$5:$R$54,MATCH($S320,อัตราค่าขนส่ง!$Q$5:$Q$54,0)),INDEX(รายการมาตรฐาน!$G$2:$G$3,1)))</f>
        <v/>
      </c>
      <c r="AL320" t="str">
        <f>IF($S320="","",IFERROR(MATCH($AK320,รายการมาตรฐาน!$G$2:$G$3,0),1))</f>
        <v/>
      </c>
      <c r="AM320" t="str">
        <f t="shared" si="131"/>
        <v/>
      </c>
      <c r="AN320" t="str">
        <f t="shared" si="132"/>
        <v/>
      </c>
      <c r="AO320">
        <f t="shared" si="133"/>
        <v>0</v>
      </c>
      <c r="AP320">
        <f t="shared" si="139"/>
        <v>0</v>
      </c>
      <c r="AQ320" t="str">
        <f t="shared" si="134"/>
        <v/>
      </c>
      <c r="AR320">
        <f>IF($Y320="",0,COUNTIF(บันทึกรายเที่ยว!$V$6:$V$10005,$Y320))</f>
        <v>0</v>
      </c>
      <c r="AS320">
        <f>IF($Y320="",0,ROUND(SUMIF(บันทึกรายเที่ยว!$V$6:$V$10005,$Y320,บันทึกรายเที่ยว!$M$6:$M$10005),2))</f>
        <v>0</v>
      </c>
      <c r="AT320">
        <f>IF($Y320="",0,IFERROR(INDEX(อัตราค่าขนส่ง!$J$5:$J$204,MATCH($Y320,อัตราค่าขนส่ง!$O$5:$O$204,0)),0))</f>
        <v>0</v>
      </c>
      <c r="AU320">
        <f t="shared" si="135"/>
        <v>0</v>
      </c>
      <c r="AV320">
        <f t="shared" si="136"/>
        <v>0</v>
      </c>
      <c r="AW320" t="str">
        <f>IF($Y320="","",IFERROR(INDEX(อัตราค่าขนส่ง!$F$5:$F$204,MATCH($Y320,อัตราค่าขนส่ง!$O$5:$O$204,0)),""))</f>
        <v/>
      </c>
      <c r="AX320" t="str">
        <f>IF($W320="","",INDEX(บันทึกรายเที่ยว!$D$6:$D$10005,$W320))</f>
        <v/>
      </c>
      <c r="AY320" t="str">
        <f>IF($W320="","",INDEX(บันทึกรายเที่ยว!$R$6:$R$10005,$W320))</f>
        <v/>
      </c>
      <c r="AZ320">
        <f t="shared" si="137"/>
        <v>0</v>
      </c>
      <c r="BA320" t="str">
        <f>IF($W320="","",INDEX(บันทึกรายเที่ยว!$E$6:$E$10005,$W320))</f>
        <v/>
      </c>
      <c r="BC320">
        <f>IF($Y320="",0,IFERROR(INDEX(อัตราค่าขนส่ง!$M$5:$M$204,MATCH($Y320,อัตราค่าขนส่ง!$O$5:$O$204,0)),0))</f>
        <v>0</v>
      </c>
      <c r="BD320">
        <f>IF($Y320="",0,IFERROR(INDEX(อัตราค่าขนส่ง!$N$5:$N$204,MATCH($Y320,อัตราค่าขนส่ง!$O$5:$O$204,0)),0))</f>
        <v>0</v>
      </c>
    </row>
    <row r="321" spans="1:56" ht="21" customHeight="1" x14ac:dyDescent="0.95">
      <c r="A321" s="36" t="str">
        <f>IF($AD321="","",IF($AD321="Z","รวมจ่ายทั้งสิ้น",IF($AD321="H",INDEX($X$5:$X$404,$AC321),IF($AD321="T","รวม",IF($AD321="B",IFERROR(INDEX(อัตราค่าขนส่ง!$U$5:$U$14,MATCH(INDEX($AM$5:$AM$404,$AC321),อัตราค่าขนส่ง!$T$5:$T$14,0)),"รวมกลุ่ม "&amp;INDEX($AM$5:$AM$404,$AC321)),INDEX($AY$5:$AY$404,$AC321))))))</f>
        <v/>
      </c>
      <c r="B321" s="31" t="str">
        <f t="shared" si="112"/>
        <v/>
      </c>
      <c r="C321" s="8" t="str">
        <f t="shared" si="113"/>
        <v/>
      </c>
      <c r="D321" s="37" t="str">
        <f t="shared" si="114"/>
        <v/>
      </c>
      <c r="E321" s="31" t="str">
        <f t="shared" si="115"/>
        <v/>
      </c>
      <c r="F321" s="32" t="str">
        <f t="shared" si="116"/>
        <v/>
      </c>
      <c r="G321" s="32" t="str">
        <f t="shared" si="117"/>
        <v/>
      </c>
      <c r="H321" s="32" t="str">
        <f t="shared" si="118"/>
        <v/>
      </c>
      <c r="I321" s="32" t="str">
        <f t="shared" si="119"/>
        <v/>
      </c>
      <c r="J321" s="46" t="str">
        <f t="shared" si="120"/>
        <v/>
      </c>
      <c r="K321" s="32" t="str">
        <f t="shared" si="121"/>
        <v/>
      </c>
      <c r="L321" s="32" t="str">
        <f t="shared" si="122"/>
        <v/>
      </c>
      <c r="M321" s="32" t="str">
        <f t="shared" si="123"/>
        <v/>
      </c>
      <c r="N321" s="32" t="str">
        <f t="shared" si="124"/>
        <v/>
      </c>
      <c r="O321" s="32" t="str">
        <f t="shared" si="125"/>
        <v/>
      </c>
      <c r="Q321" t="str">
        <f>IFERROR(MATCH(317,บันทึกรายเที่ยว!$Z$6:$Z$10005,0),"")</f>
        <v/>
      </c>
      <c r="R321" t="str">
        <f>IF($Q321="","",INDEX(บันทึกรายเที่ยว!$V$6:$V$10005,$Q321))</f>
        <v/>
      </c>
      <c r="S321" t="str">
        <f>IF($Q321="","",INDEX(บันทึกรายเที่ยว!$F$6:$F$10005,$Q321))</f>
        <v/>
      </c>
      <c r="T321" t="str">
        <f>IF($Q321="","",MATCH($S321,บันทึกรายเที่ยว!$F$6:$F$10005,0))</f>
        <v/>
      </c>
      <c r="U321" t="str">
        <f>IF($Q321="","",$AL321*10000000+$T321*1000+317)</f>
        <v/>
      </c>
      <c r="V321" t="str">
        <f>IFERROR(MATCH(SMALL($U$5:$U$404,317),$U$5:$U$404,0),"")</f>
        <v/>
      </c>
      <c r="W321" t="str">
        <f t="shared" si="126"/>
        <v/>
      </c>
      <c r="X321" t="str">
        <f t="shared" si="127"/>
        <v/>
      </c>
      <c r="Y321" t="str">
        <f t="shared" si="128"/>
        <v/>
      </c>
      <c r="Z321">
        <f t="shared" si="138"/>
        <v>0</v>
      </c>
      <c r="AA321">
        <f t="shared" si="129"/>
        <v>0</v>
      </c>
      <c r="AB321">
        <f>IF($V321="",99999+317,$AB320+1+$Z320+$AA320+$AO320)</f>
        <v>100316</v>
      </c>
      <c r="AC321" t="str">
        <f>IFERROR(MATCH(317,$AB$5:$AB$404,1),"")</f>
        <v/>
      </c>
      <c r="AD321" t="str">
        <f>IF(317=$AI$1+1,"Z",IF($AC321="","",IF(INDEX($V$5:$V$404,$AC321)="","",IF(317&gt;INDEX($AB$5:$AB$404,$AC321)+INDEX($Z$5:$Z$404,$AC321)+INDEX($AA$5:$AA$404,$AC321)+INDEX($AO$5:$AO$404,$AC321),"",IF(317=INDEX($AB$5:$AB$404,$AC321)+INDEX($Z$5:$Z$404,$AC321),"D",IF(AND(INDEX($Z$5:$Z$404,$AC321)=1,317=INDEX($AB$5:$AB$404,$AC321)),"H",IF(AND(INDEX($AO$5:$AO$404,$AC321)=1,317=INDEX($AB$5:$AB$404,$AC321)+INDEX($Z$5:$Z$404,$AC321)+INDEX($AA$5:$AA$404,$AC321)+INDEX($AO$5:$AO$404,$AC321)),"B","T")))))))</f>
        <v/>
      </c>
      <c r="AF321" t="str">
        <f t="shared" si="130"/>
        <v/>
      </c>
      <c r="AJ321">
        <f>IF($AD321&lt;&gt;"T",0,ROUND(SUMIF(oil!$B$4:$B$63,$AF321,oil!$AE$4:$AE$63),2))</f>
        <v>0</v>
      </c>
      <c r="AK321" t="str">
        <f>IF($S321="","",IFERROR(INDEX(อัตราค่าขนส่ง!$R$5:$R$54,MATCH($S321,อัตราค่าขนส่ง!$Q$5:$Q$54,0)),INDEX(รายการมาตรฐาน!$G$2:$G$3,1)))</f>
        <v/>
      </c>
      <c r="AL321" t="str">
        <f>IF($S321="","",IFERROR(MATCH($AK321,รายการมาตรฐาน!$G$2:$G$3,0),1))</f>
        <v/>
      </c>
      <c r="AM321" t="str">
        <f t="shared" si="131"/>
        <v/>
      </c>
      <c r="AN321" t="str">
        <f t="shared" si="132"/>
        <v/>
      </c>
      <c r="AO321">
        <f t="shared" si="133"/>
        <v>0</v>
      </c>
      <c r="AP321">
        <f t="shared" si="139"/>
        <v>0</v>
      </c>
      <c r="AQ321" t="str">
        <f t="shared" si="134"/>
        <v/>
      </c>
      <c r="AR321">
        <f>IF($Y321="",0,COUNTIF(บันทึกรายเที่ยว!$V$6:$V$10005,$Y321))</f>
        <v>0</v>
      </c>
      <c r="AS321">
        <f>IF($Y321="",0,ROUND(SUMIF(บันทึกรายเที่ยว!$V$6:$V$10005,$Y321,บันทึกรายเที่ยว!$M$6:$M$10005),2))</f>
        <v>0</v>
      </c>
      <c r="AT321">
        <f>IF($Y321="",0,IFERROR(INDEX(อัตราค่าขนส่ง!$J$5:$J$204,MATCH($Y321,อัตราค่าขนส่ง!$O$5:$O$204,0)),0))</f>
        <v>0</v>
      </c>
      <c r="AU321">
        <f t="shared" si="135"/>
        <v>0</v>
      </c>
      <c r="AV321">
        <f t="shared" si="136"/>
        <v>0</v>
      </c>
      <c r="AW321" t="str">
        <f>IF($Y321="","",IFERROR(INDEX(อัตราค่าขนส่ง!$F$5:$F$204,MATCH($Y321,อัตราค่าขนส่ง!$O$5:$O$204,0)),""))</f>
        <v/>
      </c>
      <c r="AX321" t="str">
        <f>IF($W321="","",INDEX(บันทึกรายเที่ยว!$D$6:$D$10005,$W321))</f>
        <v/>
      </c>
      <c r="AY321" t="str">
        <f>IF($W321="","",INDEX(บันทึกรายเที่ยว!$R$6:$R$10005,$W321))</f>
        <v/>
      </c>
      <c r="AZ321">
        <f t="shared" si="137"/>
        <v>0</v>
      </c>
      <c r="BA321" t="str">
        <f>IF($W321="","",INDEX(บันทึกรายเที่ยว!$E$6:$E$10005,$W321))</f>
        <v/>
      </c>
      <c r="BC321">
        <f>IF($Y321="",0,IFERROR(INDEX(อัตราค่าขนส่ง!$M$5:$M$204,MATCH($Y321,อัตราค่าขนส่ง!$O$5:$O$204,0)),0))</f>
        <v>0</v>
      </c>
      <c r="BD321">
        <f>IF($Y321="",0,IFERROR(INDEX(อัตราค่าขนส่ง!$N$5:$N$204,MATCH($Y321,อัตราค่าขนส่ง!$O$5:$O$204,0)),0))</f>
        <v>0</v>
      </c>
    </row>
    <row r="322" spans="1:56" ht="21" customHeight="1" x14ac:dyDescent="0.95">
      <c r="A322" s="36" t="str">
        <f>IF($AD322="","",IF($AD322="Z","รวมจ่ายทั้งสิ้น",IF($AD322="H",INDEX($X$5:$X$404,$AC322),IF($AD322="T","รวม",IF($AD322="B",IFERROR(INDEX(อัตราค่าขนส่ง!$U$5:$U$14,MATCH(INDEX($AM$5:$AM$404,$AC322),อัตราค่าขนส่ง!$T$5:$T$14,0)),"รวมกลุ่ม "&amp;INDEX($AM$5:$AM$404,$AC322)),INDEX($AY$5:$AY$404,$AC322))))))</f>
        <v/>
      </c>
      <c r="B322" s="31" t="str">
        <f t="shared" si="112"/>
        <v/>
      </c>
      <c r="C322" s="8" t="str">
        <f t="shared" si="113"/>
        <v/>
      </c>
      <c r="D322" s="37" t="str">
        <f t="shared" si="114"/>
        <v/>
      </c>
      <c r="E322" s="31" t="str">
        <f t="shared" si="115"/>
        <v/>
      </c>
      <c r="F322" s="32" t="str">
        <f t="shared" si="116"/>
        <v/>
      </c>
      <c r="G322" s="32" t="str">
        <f t="shared" si="117"/>
        <v/>
      </c>
      <c r="H322" s="32" t="str">
        <f t="shared" si="118"/>
        <v/>
      </c>
      <c r="I322" s="32" t="str">
        <f t="shared" si="119"/>
        <v/>
      </c>
      <c r="J322" s="46" t="str">
        <f t="shared" si="120"/>
        <v/>
      </c>
      <c r="K322" s="32" t="str">
        <f t="shared" si="121"/>
        <v/>
      </c>
      <c r="L322" s="32" t="str">
        <f t="shared" si="122"/>
        <v/>
      </c>
      <c r="M322" s="32" t="str">
        <f t="shared" si="123"/>
        <v/>
      </c>
      <c r="N322" s="32" t="str">
        <f t="shared" si="124"/>
        <v/>
      </c>
      <c r="O322" s="32" t="str">
        <f t="shared" si="125"/>
        <v/>
      </c>
      <c r="Q322" t="str">
        <f>IFERROR(MATCH(318,บันทึกรายเที่ยว!$Z$6:$Z$10005,0),"")</f>
        <v/>
      </c>
      <c r="R322" t="str">
        <f>IF($Q322="","",INDEX(บันทึกรายเที่ยว!$V$6:$V$10005,$Q322))</f>
        <v/>
      </c>
      <c r="S322" t="str">
        <f>IF($Q322="","",INDEX(บันทึกรายเที่ยว!$F$6:$F$10005,$Q322))</f>
        <v/>
      </c>
      <c r="T322" t="str">
        <f>IF($Q322="","",MATCH($S322,บันทึกรายเที่ยว!$F$6:$F$10005,0))</f>
        <v/>
      </c>
      <c r="U322" t="str">
        <f>IF($Q322="","",$AL322*10000000+$T322*1000+318)</f>
        <v/>
      </c>
      <c r="V322" t="str">
        <f>IFERROR(MATCH(SMALL($U$5:$U$404,318),$U$5:$U$404,0),"")</f>
        <v/>
      </c>
      <c r="W322" t="str">
        <f t="shared" si="126"/>
        <v/>
      </c>
      <c r="X322" t="str">
        <f t="shared" si="127"/>
        <v/>
      </c>
      <c r="Y322" t="str">
        <f t="shared" si="128"/>
        <v/>
      </c>
      <c r="Z322">
        <f t="shared" si="138"/>
        <v>0</v>
      </c>
      <c r="AA322">
        <f t="shared" si="129"/>
        <v>0</v>
      </c>
      <c r="AB322">
        <f>IF($V322="",99999+318,$AB321+1+$Z321+$AA321+$AO321)</f>
        <v>100317</v>
      </c>
      <c r="AC322" t="str">
        <f>IFERROR(MATCH(318,$AB$5:$AB$404,1),"")</f>
        <v/>
      </c>
      <c r="AD322" t="str">
        <f>IF(318=$AI$1+1,"Z",IF($AC322="","",IF(INDEX($V$5:$V$404,$AC322)="","",IF(318&gt;INDEX($AB$5:$AB$404,$AC322)+INDEX($Z$5:$Z$404,$AC322)+INDEX($AA$5:$AA$404,$AC322)+INDEX($AO$5:$AO$404,$AC322),"",IF(318=INDEX($AB$5:$AB$404,$AC322)+INDEX($Z$5:$Z$404,$AC322),"D",IF(AND(INDEX($Z$5:$Z$404,$AC322)=1,318=INDEX($AB$5:$AB$404,$AC322)),"H",IF(AND(INDEX($AO$5:$AO$404,$AC322)=1,318=INDEX($AB$5:$AB$404,$AC322)+INDEX($Z$5:$Z$404,$AC322)+INDEX($AA$5:$AA$404,$AC322)+INDEX($AO$5:$AO$404,$AC322)),"B","T")))))))</f>
        <v/>
      </c>
      <c r="AF322" t="str">
        <f t="shared" si="130"/>
        <v/>
      </c>
      <c r="AJ322">
        <f>IF($AD322&lt;&gt;"T",0,ROUND(SUMIF(oil!$B$4:$B$63,$AF322,oil!$AE$4:$AE$63),2))</f>
        <v>0</v>
      </c>
      <c r="AK322" t="str">
        <f>IF($S322="","",IFERROR(INDEX(อัตราค่าขนส่ง!$R$5:$R$54,MATCH($S322,อัตราค่าขนส่ง!$Q$5:$Q$54,0)),INDEX(รายการมาตรฐาน!$G$2:$G$3,1)))</f>
        <v/>
      </c>
      <c r="AL322" t="str">
        <f>IF($S322="","",IFERROR(MATCH($AK322,รายการมาตรฐาน!$G$2:$G$3,0),1))</f>
        <v/>
      </c>
      <c r="AM322" t="str">
        <f t="shared" si="131"/>
        <v/>
      </c>
      <c r="AN322" t="str">
        <f t="shared" si="132"/>
        <v/>
      </c>
      <c r="AO322">
        <f t="shared" si="133"/>
        <v>0</v>
      </c>
      <c r="AP322">
        <f t="shared" si="139"/>
        <v>0</v>
      </c>
      <c r="AQ322" t="str">
        <f t="shared" si="134"/>
        <v/>
      </c>
      <c r="AR322">
        <f>IF($Y322="",0,COUNTIF(บันทึกรายเที่ยว!$V$6:$V$10005,$Y322))</f>
        <v>0</v>
      </c>
      <c r="AS322">
        <f>IF($Y322="",0,ROUND(SUMIF(บันทึกรายเที่ยว!$V$6:$V$10005,$Y322,บันทึกรายเที่ยว!$M$6:$M$10005),2))</f>
        <v>0</v>
      </c>
      <c r="AT322">
        <f>IF($Y322="",0,IFERROR(INDEX(อัตราค่าขนส่ง!$J$5:$J$204,MATCH($Y322,อัตราค่าขนส่ง!$O$5:$O$204,0)),0))</f>
        <v>0</v>
      </c>
      <c r="AU322">
        <f t="shared" si="135"/>
        <v>0</v>
      </c>
      <c r="AV322">
        <f t="shared" si="136"/>
        <v>0</v>
      </c>
      <c r="AW322" t="str">
        <f>IF($Y322="","",IFERROR(INDEX(อัตราค่าขนส่ง!$F$5:$F$204,MATCH($Y322,อัตราค่าขนส่ง!$O$5:$O$204,0)),""))</f>
        <v/>
      </c>
      <c r="AX322" t="str">
        <f>IF($W322="","",INDEX(บันทึกรายเที่ยว!$D$6:$D$10005,$W322))</f>
        <v/>
      </c>
      <c r="AY322" t="str">
        <f>IF($W322="","",INDEX(บันทึกรายเที่ยว!$R$6:$R$10005,$W322))</f>
        <v/>
      </c>
      <c r="AZ322">
        <f t="shared" si="137"/>
        <v>0</v>
      </c>
      <c r="BA322" t="str">
        <f>IF($W322="","",INDEX(บันทึกรายเที่ยว!$E$6:$E$10005,$W322))</f>
        <v/>
      </c>
      <c r="BC322">
        <f>IF($Y322="",0,IFERROR(INDEX(อัตราค่าขนส่ง!$M$5:$M$204,MATCH($Y322,อัตราค่าขนส่ง!$O$5:$O$204,0)),0))</f>
        <v>0</v>
      </c>
      <c r="BD322">
        <f>IF($Y322="",0,IFERROR(INDEX(อัตราค่าขนส่ง!$N$5:$N$204,MATCH($Y322,อัตราค่าขนส่ง!$O$5:$O$204,0)),0))</f>
        <v>0</v>
      </c>
    </row>
    <row r="323" spans="1:56" ht="21" customHeight="1" x14ac:dyDescent="0.95">
      <c r="A323" s="36" t="str">
        <f>IF($AD323="","",IF($AD323="Z","รวมจ่ายทั้งสิ้น",IF($AD323="H",INDEX($X$5:$X$404,$AC323),IF($AD323="T","รวม",IF($AD323="B",IFERROR(INDEX(อัตราค่าขนส่ง!$U$5:$U$14,MATCH(INDEX($AM$5:$AM$404,$AC323),อัตราค่าขนส่ง!$T$5:$T$14,0)),"รวมกลุ่ม "&amp;INDEX($AM$5:$AM$404,$AC323)),INDEX($AY$5:$AY$404,$AC323))))))</f>
        <v/>
      </c>
      <c r="B323" s="31" t="str">
        <f t="shared" si="112"/>
        <v/>
      </c>
      <c r="C323" s="8" t="str">
        <f t="shared" si="113"/>
        <v/>
      </c>
      <c r="D323" s="37" t="str">
        <f t="shared" si="114"/>
        <v/>
      </c>
      <c r="E323" s="31" t="str">
        <f t="shared" si="115"/>
        <v/>
      </c>
      <c r="F323" s="32" t="str">
        <f t="shared" si="116"/>
        <v/>
      </c>
      <c r="G323" s="32" t="str">
        <f t="shared" si="117"/>
        <v/>
      </c>
      <c r="H323" s="32" t="str">
        <f t="shared" si="118"/>
        <v/>
      </c>
      <c r="I323" s="32" t="str">
        <f t="shared" si="119"/>
        <v/>
      </c>
      <c r="J323" s="46" t="str">
        <f t="shared" si="120"/>
        <v/>
      </c>
      <c r="K323" s="32" t="str">
        <f t="shared" si="121"/>
        <v/>
      </c>
      <c r="L323" s="32" t="str">
        <f t="shared" si="122"/>
        <v/>
      </c>
      <c r="M323" s="32" t="str">
        <f t="shared" si="123"/>
        <v/>
      </c>
      <c r="N323" s="32" t="str">
        <f t="shared" si="124"/>
        <v/>
      </c>
      <c r="O323" s="32" t="str">
        <f t="shared" si="125"/>
        <v/>
      </c>
      <c r="Q323" t="str">
        <f>IFERROR(MATCH(319,บันทึกรายเที่ยว!$Z$6:$Z$10005,0),"")</f>
        <v/>
      </c>
      <c r="R323" t="str">
        <f>IF($Q323="","",INDEX(บันทึกรายเที่ยว!$V$6:$V$10005,$Q323))</f>
        <v/>
      </c>
      <c r="S323" t="str">
        <f>IF($Q323="","",INDEX(บันทึกรายเที่ยว!$F$6:$F$10005,$Q323))</f>
        <v/>
      </c>
      <c r="T323" t="str">
        <f>IF($Q323="","",MATCH($S323,บันทึกรายเที่ยว!$F$6:$F$10005,0))</f>
        <v/>
      </c>
      <c r="U323" t="str">
        <f>IF($Q323="","",$AL323*10000000+$T323*1000+319)</f>
        <v/>
      </c>
      <c r="V323" t="str">
        <f>IFERROR(MATCH(SMALL($U$5:$U$404,319),$U$5:$U$404,0),"")</f>
        <v/>
      </c>
      <c r="W323" t="str">
        <f t="shared" si="126"/>
        <v/>
      </c>
      <c r="X323" t="str">
        <f t="shared" si="127"/>
        <v/>
      </c>
      <c r="Y323" t="str">
        <f t="shared" si="128"/>
        <v/>
      </c>
      <c r="Z323">
        <f t="shared" si="138"/>
        <v>0</v>
      </c>
      <c r="AA323">
        <f t="shared" si="129"/>
        <v>0</v>
      </c>
      <c r="AB323">
        <f>IF($V323="",99999+319,$AB322+1+$Z322+$AA322+$AO322)</f>
        <v>100318</v>
      </c>
      <c r="AC323" t="str">
        <f>IFERROR(MATCH(319,$AB$5:$AB$404,1),"")</f>
        <v/>
      </c>
      <c r="AD323" t="str">
        <f>IF(319=$AI$1+1,"Z",IF($AC323="","",IF(INDEX($V$5:$V$404,$AC323)="","",IF(319&gt;INDEX($AB$5:$AB$404,$AC323)+INDEX($Z$5:$Z$404,$AC323)+INDEX($AA$5:$AA$404,$AC323)+INDEX($AO$5:$AO$404,$AC323),"",IF(319=INDEX($AB$5:$AB$404,$AC323)+INDEX($Z$5:$Z$404,$AC323),"D",IF(AND(INDEX($Z$5:$Z$404,$AC323)=1,319=INDEX($AB$5:$AB$404,$AC323)),"H",IF(AND(INDEX($AO$5:$AO$404,$AC323)=1,319=INDEX($AB$5:$AB$404,$AC323)+INDEX($Z$5:$Z$404,$AC323)+INDEX($AA$5:$AA$404,$AC323)+INDEX($AO$5:$AO$404,$AC323)),"B","T")))))))</f>
        <v/>
      </c>
      <c r="AF323" t="str">
        <f t="shared" si="130"/>
        <v/>
      </c>
      <c r="AJ323">
        <f>IF($AD323&lt;&gt;"T",0,ROUND(SUMIF(oil!$B$4:$B$63,$AF323,oil!$AE$4:$AE$63),2))</f>
        <v>0</v>
      </c>
      <c r="AK323" t="str">
        <f>IF($S323="","",IFERROR(INDEX(อัตราค่าขนส่ง!$R$5:$R$54,MATCH($S323,อัตราค่าขนส่ง!$Q$5:$Q$54,0)),INDEX(รายการมาตรฐาน!$G$2:$G$3,1)))</f>
        <v/>
      </c>
      <c r="AL323" t="str">
        <f>IF($S323="","",IFERROR(MATCH($AK323,รายการมาตรฐาน!$G$2:$G$3,0),1))</f>
        <v/>
      </c>
      <c r="AM323" t="str">
        <f t="shared" si="131"/>
        <v/>
      </c>
      <c r="AN323" t="str">
        <f t="shared" si="132"/>
        <v/>
      </c>
      <c r="AO323">
        <f t="shared" si="133"/>
        <v>0</v>
      </c>
      <c r="AP323">
        <f t="shared" si="139"/>
        <v>0</v>
      </c>
      <c r="AQ323" t="str">
        <f t="shared" si="134"/>
        <v/>
      </c>
      <c r="AR323">
        <f>IF($Y323="",0,COUNTIF(บันทึกรายเที่ยว!$V$6:$V$10005,$Y323))</f>
        <v>0</v>
      </c>
      <c r="AS323">
        <f>IF($Y323="",0,ROUND(SUMIF(บันทึกรายเที่ยว!$V$6:$V$10005,$Y323,บันทึกรายเที่ยว!$M$6:$M$10005),2))</f>
        <v>0</v>
      </c>
      <c r="AT323">
        <f>IF($Y323="",0,IFERROR(INDEX(อัตราค่าขนส่ง!$J$5:$J$204,MATCH($Y323,อัตราค่าขนส่ง!$O$5:$O$204,0)),0))</f>
        <v>0</v>
      </c>
      <c r="AU323">
        <f t="shared" si="135"/>
        <v>0</v>
      </c>
      <c r="AV323">
        <f t="shared" si="136"/>
        <v>0</v>
      </c>
      <c r="AW323" t="str">
        <f>IF($Y323="","",IFERROR(INDEX(อัตราค่าขนส่ง!$F$5:$F$204,MATCH($Y323,อัตราค่าขนส่ง!$O$5:$O$204,0)),""))</f>
        <v/>
      </c>
      <c r="AX323" t="str">
        <f>IF($W323="","",INDEX(บันทึกรายเที่ยว!$D$6:$D$10005,$W323))</f>
        <v/>
      </c>
      <c r="AY323" t="str">
        <f>IF($W323="","",INDEX(บันทึกรายเที่ยว!$R$6:$R$10005,$W323))</f>
        <v/>
      </c>
      <c r="AZ323">
        <f t="shared" si="137"/>
        <v>0</v>
      </c>
      <c r="BA323" t="str">
        <f>IF($W323="","",INDEX(บันทึกรายเที่ยว!$E$6:$E$10005,$W323))</f>
        <v/>
      </c>
      <c r="BC323">
        <f>IF($Y323="",0,IFERROR(INDEX(อัตราค่าขนส่ง!$M$5:$M$204,MATCH($Y323,อัตราค่าขนส่ง!$O$5:$O$204,0)),0))</f>
        <v>0</v>
      </c>
      <c r="BD323">
        <f>IF($Y323="",0,IFERROR(INDEX(อัตราค่าขนส่ง!$N$5:$N$204,MATCH($Y323,อัตราค่าขนส่ง!$O$5:$O$204,0)),0))</f>
        <v>0</v>
      </c>
    </row>
    <row r="324" spans="1:56" ht="21" customHeight="1" x14ac:dyDescent="0.95">
      <c r="A324" s="36" t="str">
        <f>IF($AD324="","",IF($AD324="Z","รวมจ่ายทั้งสิ้น",IF($AD324="H",INDEX($X$5:$X$404,$AC324),IF($AD324="T","รวม",IF($AD324="B",IFERROR(INDEX(อัตราค่าขนส่ง!$U$5:$U$14,MATCH(INDEX($AM$5:$AM$404,$AC324),อัตราค่าขนส่ง!$T$5:$T$14,0)),"รวมกลุ่ม "&amp;INDEX($AM$5:$AM$404,$AC324)),INDEX($AY$5:$AY$404,$AC324))))))</f>
        <v/>
      </c>
      <c r="B324" s="31" t="str">
        <f t="shared" si="112"/>
        <v/>
      </c>
      <c r="C324" s="8" t="str">
        <f t="shared" si="113"/>
        <v/>
      </c>
      <c r="D324" s="37" t="str">
        <f t="shared" si="114"/>
        <v/>
      </c>
      <c r="E324" s="31" t="str">
        <f t="shared" si="115"/>
        <v/>
      </c>
      <c r="F324" s="32" t="str">
        <f t="shared" si="116"/>
        <v/>
      </c>
      <c r="G324" s="32" t="str">
        <f t="shared" si="117"/>
        <v/>
      </c>
      <c r="H324" s="32" t="str">
        <f t="shared" si="118"/>
        <v/>
      </c>
      <c r="I324" s="32" t="str">
        <f t="shared" si="119"/>
        <v/>
      </c>
      <c r="J324" s="46" t="str">
        <f t="shared" si="120"/>
        <v/>
      </c>
      <c r="K324" s="32" t="str">
        <f t="shared" si="121"/>
        <v/>
      </c>
      <c r="L324" s="32" t="str">
        <f t="shared" si="122"/>
        <v/>
      </c>
      <c r="M324" s="32" t="str">
        <f t="shared" si="123"/>
        <v/>
      </c>
      <c r="N324" s="32" t="str">
        <f t="shared" si="124"/>
        <v/>
      </c>
      <c r="O324" s="32" t="str">
        <f t="shared" si="125"/>
        <v/>
      </c>
      <c r="Q324" t="str">
        <f>IFERROR(MATCH(320,บันทึกรายเที่ยว!$Z$6:$Z$10005,0),"")</f>
        <v/>
      </c>
      <c r="R324" t="str">
        <f>IF($Q324="","",INDEX(บันทึกรายเที่ยว!$V$6:$V$10005,$Q324))</f>
        <v/>
      </c>
      <c r="S324" t="str">
        <f>IF($Q324="","",INDEX(บันทึกรายเที่ยว!$F$6:$F$10005,$Q324))</f>
        <v/>
      </c>
      <c r="T324" t="str">
        <f>IF($Q324="","",MATCH($S324,บันทึกรายเที่ยว!$F$6:$F$10005,0))</f>
        <v/>
      </c>
      <c r="U324" t="str">
        <f>IF($Q324="","",$AL324*10000000+$T324*1000+320)</f>
        <v/>
      </c>
      <c r="V324" t="str">
        <f>IFERROR(MATCH(SMALL($U$5:$U$404,320),$U$5:$U$404,0),"")</f>
        <v/>
      </c>
      <c r="W324" t="str">
        <f t="shared" si="126"/>
        <v/>
      </c>
      <c r="X324" t="str">
        <f t="shared" si="127"/>
        <v/>
      </c>
      <c r="Y324" t="str">
        <f t="shared" si="128"/>
        <v/>
      </c>
      <c r="Z324">
        <f t="shared" si="138"/>
        <v>0</v>
      </c>
      <c r="AA324">
        <f t="shared" si="129"/>
        <v>0</v>
      </c>
      <c r="AB324">
        <f>IF($V324="",99999+320,$AB323+1+$Z323+$AA323+$AO323)</f>
        <v>100319</v>
      </c>
      <c r="AC324" t="str">
        <f>IFERROR(MATCH(320,$AB$5:$AB$404,1),"")</f>
        <v/>
      </c>
      <c r="AD324" t="str">
        <f>IF(320=$AI$1+1,"Z",IF($AC324="","",IF(INDEX($V$5:$V$404,$AC324)="","",IF(320&gt;INDEX($AB$5:$AB$404,$AC324)+INDEX($Z$5:$Z$404,$AC324)+INDEX($AA$5:$AA$404,$AC324)+INDEX($AO$5:$AO$404,$AC324),"",IF(320=INDEX($AB$5:$AB$404,$AC324)+INDEX($Z$5:$Z$404,$AC324),"D",IF(AND(INDEX($Z$5:$Z$404,$AC324)=1,320=INDEX($AB$5:$AB$404,$AC324)),"H",IF(AND(INDEX($AO$5:$AO$404,$AC324)=1,320=INDEX($AB$5:$AB$404,$AC324)+INDEX($Z$5:$Z$404,$AC324)+INDEX($AA$5:$AA$404,$AC324)+INDEX($AO$5:$AO$404,$AC324)),"B","T")))))))</f>
        <v/>
      </c>
      <c r="AF324" t="str">
        <f t="shared" si="130"/>
        <v/>
      </c>
      <c r="AJ324">
        <f>IF($AD324&lt;&gt;"T",0,ROUND(SUMIF(oil!$B$4:$B$63,$AF324,oil!$AE$4:$AE$63),2))</f>
        <v>0</v>
      </c>
      <c r="AK324" t="str">
        <f>IF($S324="","",IFERROR(INDEX(อัตราค่าขนส่ง!$R$5:$R$54,MATCH($S324,อัตราค่าขนส่ง!$Q$5:$Q$54,0)),INDEX(รายการมาตรฐาน!$G$2:$G$3,1)))</f>
        <v/>
      </c>
      <c r="AL324" t="str">
        <f>IF($S324="","",IFERROR(MATCH($AK324,รายการมาตรฐาน!$G$2:$G$3,0),1))</f>
        <v/>
      </c>
      <c r="AM324" t="str">
        <f t="shared" si="131"/>
        <v/>
      </c>
      <c r="AN324" t="str">
        <f t="shared" si="132"/>
        <v/>
      </c>
      <c r="AO324">
        <f t="shared" si="133"/>
        <v>0</v>
      </c>
      <c r="AP324">
        <f t="shared" si="139"/>
        <v>0</v>
      </c>
      <c r="AQ324" t="str">
        <f t="shared" si="134"/>
        <v/>
      </c>
      <c r="AR324">
        <f>IF($Y324="",0,COUNTIF(บันทึกรายเที่ยว!$V$6:$V$10005,$Y324))</f>
        <v>0</v>
      </c>
      <c r="AS324">
        <f>IF($Y324="",0,ROUND(SUMIF(บันทึกรายเที่ยว!$V$6:$V$10005,$Y324,บันทึกรายเที่ยว!$M$6:$M$10005),2))</f>
        <v>0</v>
      </c>
      <c r="AT324">
        <f>IF($Y324="",0,IFERROR(INDEX(อัตราค่าขนส่ง!$J$5:$J$204,MATCH($Y324,อัตราค่าขนส่ง!$O$5:$O$204,0)),0))</f>
        <v>0</v>
      </c>
      <c r="AU324">
        <f t="shared" si="135"/>
        <v>0</v>
      </c>
      <c r="AV324">
        <f t="shared" si="136"/>
        <v>0</v>
      </c>
      <c r="AW324" t="str">
        <f>IF($Y324="","",IFERROR(INDEX(อัตราค่าขนส่ง!$F$5:$F$204,MATCH($Y324,อัตราค่าขนส่ง!$O$5:$O$204,0)),""))</f>
        <v/>
      </c>
      <c r="AX324" t="str">
        <f>IF($W324="","",INDEX(บันทึกรายเที่ยว!$D$6:$D$10005,$W324))</f>
        <v/>
      </c>
      <c r="AY324" t="str">
        <f>IF($W324="","",INDEX(บันทึกรายเที่ยว!$R$6:$R$10005,$W324))</f>
        <v/>
      </c>
      <c r="AZ324">
        <f t="shared" si="137"/>
        <v>0</v>
      </c>
      <c r="BA324" t="str">
        <f>IF($W324="","",INDEX(บันทึกรายเที่ยว!$E$6:$E$10005,$W324))</f>
        <v/>
      </c>
      <c r="BC324">
        <f>IF($Y324="",0,IFERROR(INDEX(อัตราค่าขนส่ง!$M$5:$M$204,MATCH($Y324,อัตราค่าขนส่ง!$O$5:$O$204,0)),0))</f>
        <v>0</v>
      </c>
      <c r="BD324">
        <f>IF($Y324="",0,IFERROR(INDEX(อัตราค่าขนส่ง!$N$5:$N$204,MATCH($Y324,อัตราค่าขนส่ง!$O$5:$O$204,0)),0))</f>
        <v>0</v>
      </c>
    </row>
    <row r="325" spans="1:56" ht="21" customHeight="1" x14ac:dyDescent="0.95">
      <c r="A325" s="36" t="str">
        <f>IF($AD325="","",IF($AD325="Z","รวมจ่ายทั้งสิ้น",IF($AD325="H",INDEX($X$5:$X$404,$AC325),IF($AD325="T","รวม",IF($AD325="B",IFERROR(INDEX(อัตราค่าขนส่ง!$U$5:$U$14,MATCH(INDEX($AM$5:$AM$404,$AC325),อัตราค่าขนส่ง!$T$5:$T$14,0)),"รวมกลุ่ม "&amp;INDEX($AM$5:$AM$404,$AC325)),INDEX($AY$5:$AY$404,$AC325))))))</f>
        <v/>
      </c>
      <c r="B325" s="31" t="str">
        <f t="shared" ref="B325:B388" si="140">IF($AD325&lt;&gt;"D","",INDEX($AW$5:$AW$404,$AC325))</f>
        <v/>
      </c>
      <c r="C325" s="8" t="str">
        <f t="shared" ref="C325:C388" si="141">IF($AD325&lt;&gt;"D","",INDEX($AX$5:$AX$404,$AC325))</f>
        <v/>
      </c>
      <c r="D325" s="37" t="str">
        <f t="shared" ref="D325:D388" si="142">IF($AD325&lt;&gt;"D","",INDEX($BA$5:$BA$404,$AC325))</f>
        <v/>
      </c>
      <c r="E325" s="31" t="str">
        <f t="shared" ref="E325:E388" si="143">IF($AD325="Z",SUM($AR$5:$AR$404),IF($AD325="D",INDEX($AR$5:$AR$404,$AC325),IF($AD325="T",SUMIF($X$5:$X$404,$AF325,$AR$5:$AR$404),IF($AD325="B",SUMIF($AN$5:$AN$404,$AQ325,$AR$5:$AR$404),""))))</f>
        <v/>
      </c>
      <c r="F325" s="32" t="str">
        <f t="shared" ref="F325:F388" si="144">IF($AD325="Z",ROUND(SUM($AS$5:$AS$404),2),IF($AD325="D",INDEX($AS$5:$AS$404,$AC325),IF($AD325="T",ROUND(SUMIF($X$5:$X$404,$AF325,$AS$5:$AS$404),2),IF($AD325="B",ROUND(SUMIF($AN$5:$AN$404,$AQ325,$AS$5:$AS$404),2),""))))</f>
        <v/>
      </c>
      <c r="G325" s="32" t="str">
        <f t="shared" ref="G325:G388" si="145">IF($AD325&lt;&gt;"D","",INDEX($AT$5:$AT$404,$AC325))</f>
        <v/>
      </c>
      <c r="H325" s="32" t="str">
        <f t="shared" ref="H325:H388" si="146">IF($AD325&lt;&gt;"D","",INDEX($BC$5:$BC$404,$AC325))</f>
        <v/>
      </c>
      <c r="I325" s="32" t="str">
        <f t="shared" ref="I325:I388" si="147">IF($AD325&lt;&gt;"D","",INDEX($BD$5:$BD$404,$AC325))</f>
        <v/>
      </c>
      <c r="J325" s="46" t="str">
        <f t="shared" ref="J325:J388" si="148">IF($AD325&lt;&gt;"D","",IF(N($B325)=0,"",ROUND($I325/$B325,4)))</f>
        <v/>
      </c>
      <c r="K325" s="32" t="str">
        <f t="shared" ref="K325:K388" si="149">IF($AD325="Z",ROUND(SUM($AU$5:$AU$404),2),IF($AD325="D",INDEX($AU$5:$AU$404,$AC325),IF($AD325="T",ROUND(SUMIF($X$5:$X$404,$AF325,$AU$5:$AU$404),2),IF($AD325="B",ROUND(SUMIF($AN$5:$AN$404,$AQ325,$AU$5:$AU$404),2),""))))</f>
        <v/>
      </c>
      <c r="L325" s="32" t="str">
        <f t="shared" ref="L325:L388" si="150">IF($AD325="Z",ROUND(SUM($AV$5:$AV$404),2),IF($AD325="D",INDEX($AV$5:$AV$404,$AC325),IF($AD325="T",ROUND(SUMIF($X$5:$X$404,$AF325,$AV$5:$AV$404),2),IF($AD325="B",ROUND(SUMIF($AN$5:$AN$404,$AQ325,$AV$5:$AV$404),2),""))))</f>
        <v/>
      </c>
      <c r="M325" s="32" t="str">
        <f t="shared" ref="M325:M388" si="151">IF($AD325="Z",ROUND(SUM($AJ$5:$AJ$704),2),IF($AD325="B",ROUND(SUMIF($AQ$5:$AQ$704,$AQ325,$AJ$5:$AJ$704),2),IF($AD325&lt;&gt;"T","",$AJ325)))</f>
        <v/>
      </c>
      <c r="N325" s="32" t="str">
        <f t="shared" ref="N325:N388" si="152">IF(OR($AD325="D",$AD325="T",$AD325="B",$AD325="Z"),ROUND(N($K325)-N($L325)-N($M325),2),"")</f>
        <v/>
      </c>
      <c r="O325" s="32" t="str">
        <f t="shared" ref="O325:O388" si="153">IF(OR($AD325="D",$AD325="T",$AD325="B",$AD325="Z"),IF(N($E325)=0,"",ROUND($F325/$E325,2)),"")</f>
        <v/>
      </c>
      <c r="Q325" t="str">
        <f>IFERROR(MATCH(321,บันทึกรายเที่ยว!$Z$6:$Z$10005,0),"")</f>
        <v/>
      </c>
      <c r="R325" t="str">
        <f>IF($Q325="","",INDEX(บันทึกรายเที่ยว!$V$6:$V$10005,$Q325))</f>
        <v/>
      </c>
      <c r="S325" t="str">
        <f>IF($Q325="","",INDEX(บันทึกรายเที่ยว!$F$6:$F$10005,$Q325))</f>
        <v/>
      </c>
      <c r="T325" t="str">
        <f>IF($Q325="","",MATCH($S325,บันทึกรายเที่ยว!$F$6:$F$10005,0))</f>
        <v/>
      </c>
      <c r="U325" t="str">
        <f>IF($Q325="","",$AL325*10000000+$T325*1000+321)</f>
        <v/>
      </c>
      <c r="V325" t="str">
        <f>IFERROR(MATCH(SMALL($U$5:$U$404,321),$U$5:$U$404,0),"")</f>
        <v/>
      </c>
      <c r="W325" t="str">
        <f t="shared" ref="W325:W388" si="154">IF($V325="","",INDEX($Q$5:$Q$404,$V325))</f>
        <v/>
      </c>
      <c r="X325" t="str">
        <f t="shared" ref="X325:X388" si="155">IF($V325="","",INDEX($S$5:$S$404,$V325))</f>
        <v/>
      </c>
      <c r="Y325" t="str">
        <f t="shared" ref="Y325:Y388" si="156">IF($V325="","",INDEX($R$5:$R$404,$V325))</f>
        <v/>
      </c>
      <c r="Z325">
        <f t="shared" si="138"/>
        <v>0</v>
      </c>
      <c r="AA325">
        <f t="shared" ref="AA325:AA388" si="157">IF($V325="",0,IF($V326="",1,IF($X326&lt;&gt;$X325,1,0)))</f>
        <v>0</v>
      </c>
      <c r="AB325">
        <f>IF($V325="",99999+321,$AB324+1+$Z324+$AA324+$AO324)</f>
        <v>100320</v>
      </c>
      <c r="AC325" t="str">
        <f>IFERROR(MATCH(321,$AB$5:$AB$404,1),"")</f>
        <v/>
      </c>
      <c r="AD325" t="str">
        <f>IF(321=$AI$1+1,"Z",IF($AC325="","",IF(INDEX($V$5:$V$404,$AC325)="","",IF(321&gt;INDEX($AB$5:$AB$404,$AC325)+INDEX($Z$5:$Z$404,$AC325)+INDEX($AA$5:$AA$404,$AC325)+INDEX($AO$5:$AO$404,$AC325),"",IF(321=INDEX($AB$5:$AB$404,$AC325)+INDEX($Z$5:$Z$404,$AC325),"D",IF(AND(INDEX($Z$5:$Z$404,$AC325)=1,321=INDEX($AB$5:$AB$404,$AC325)),"H",IF(AND(INDEX($AO$5:$AO$404,$AC325)=1,321=INDEX($AB$5:$AB$404,$AC325)+INDEX($Z$5:$Z$404,$AC325)+INDEX($AA$5:$AA$404,$AC325)+INDEX($AO$5:$AO$404,$AC325)),"B","T")))))))</f>
        <v/>
      </c>
      <c r="AF325" t="str">
        <f t="shared" ref="AF325:AF388" si="158">IF(OR($AD325="",$AD325="Z",$AD325="B"),"",INDEX($X$5:$X$404,$AC325))</f>
        <v/>
      </c>
      <c r="AJ325">
        <f>IF($AD325&lt;&gt;"T",0,ROUND(SUMIF(oil!$B$4:$B$63,$AF325,oil!$AE$4:$AE$63),2))</f>
        <v>0</v>
      </c>
      <c r="AK325" t="str">
        <f>IF($S325="","",IFERROR(INDEX(อัตราค่าขนส่ง!$R$5:$R$54,MATCH($S325,อัตราค่าขนส่ง!$Q$5:$Q$54,0)),INDEX(รายการมาตรฐาน!$G$2:$G$3,1)))</f>
        <v/>
      </c>
      <c r="AL325" t="str">
        <f>IF($S325="","",IFERROR(MATCH($AK325,รายการมาตรฐาน!$G$2:$G$3,0),1))</f>
        <v/>
      </c>
      <c r="AM325" t="str">
        <f t="shared" ref="AM325:AM388" si="159">IF($V325="","",INDEX($AK$5:$AK$404,$V325))</f>
        <v/>
      </c>
      <c r="AN325" t="str">
        <f t="shared" ref="AN325:AN388" si="160">IF($V325="","",INDEX($AL$5:$AL$404,$V325))</f>
        <v/>
      </c>
      <c r="AO325">
        <f t="shared" ref="AO325:AO388" si="161">IF(OR($V325="",$AI$2&lt;=1),0,IF($V326="",1,IF($AN326&lt;&gt;$AN325,1,0)))</f>
        <v>0</v>
      </c>
      <c r="AP325">
        <f t="shared" si="139"/>
        <v>0</v>
      </c>
      <c r="AQ325" t="str">
        <f t="shared" ref="AQ325:AQ388" si="162">IF(OR($AD325="",$AD325="Z"),"",INDEX($AN$5:$AN$404,$AC325))</f>
        <v/>
      </c>
      <c r="AR325">
        <f>IF($Y325="",0,COUNTIF(บันทึกรายเที่ยว!$V$6:$V$10005,$Y325))</f>
        <v>0</v>
      </c>
      <c r="AS325">
        <f>IF($Y325="",0,ROUND(SUMIF(บันทึกรายเที่ยว!$V$6:$V$10005,$Y325,บันทึกรายเที่ยว!$M$6:$M$10005),2))</f>
        <v>0</v>
      </c>
      <c r="AT325">
        <f>IF($Y325="",0,IFERROR(INDEX(อัตราค่าขนส่ง!$J$5:$J$204,MATCH($Y325,อัตราค่าขนส่ง!$O$5:$O$204,0)),0))</f>
        <v>0</v>
      </c>
      <c r="AU325">
        <f t="shared" ref="AU325:AU388" si="163">ROUND($AS325*$BD325,2)</f>
        <v>0</v>
      </c>
      <c r="AV325">
        <f t="shared" ref="AV325:AV388" si="164">ROUND($AU325*$BF$2/100,2)</f>
        <v>0</v>
      </c>
      <c r="AW325" t="str">
        <f>IF($Y325="","",IFERROR(INDEX(อัตราค่าขนส่ง!$F$5:$F$204,MATCH($Y325,อัตราค่าขนส่ง!$O$5:$O$204,0)),""))</f>
        <v/>
      </c>
      <c r="AX325" t="str">
        <f>IF($W325="","",INDEX(บันทึกรายเที่ยว!$D$6:$D$10005,$W325))</f>
        <v/>
      </c>
      <c r="AY325" t="str">
        <f>IF($W325="","",INDEX(บันทึกรายเที่ยว!$R$6:$R$10005,$W325))</f>
        <v/>
      </c>
      <c r="AZ325">
        <f t="shared" ref="AZ325:AZ388" si="165">IF(AND($AD325="T",$AQ325=1),N($AZ324)+1,N($AZ324))</f>
        <v>0</v>
      </c>
      <c r="BA325" t="str">
        <f>IF($W325="","",INDEX(บันทึกรายเที่ยว!$E$6:$E$10005,$W325))</f>
        <v/>
      </c>
      <c r="BC325">
        <f>IF($Y325="",0,IFERROR(INDEX(อัตราค่าขนส่ง!$M$5:$M$204,MATCH($Y325,อัตราค่าขนส่ง!$O$5:$O$204,0)),0))</f>
        <v>0</v>
      </c>
      <c r="BD325">
        <f>IF($Y325="",0,IFERROR(INDEX(อัตราค่าขนส่ง!$N$5:$N$204,MATCH($Y325,อัตราค่าขนส่ง!$O$5:$O$204,0)),0))</f>
        <v>0</v>
      </c>
    </row>
    <row r="326" spans="1:56" ht="21" customHeight="1" x14ac:dyDescent="0.95">
      <c r="A326" s="36" t="str">
        <f>IF($AD326="","",IF($AD326="Z","รวมจ่ายทั้งสิ้น",IF($AD326="H",INDEX($X$5:$X$404,$AC326),IF($AD326="T","รวม",IF($AD326="B",IFERROR(INDEX(อัตราค่าขนส่ง!$U$5:$U$14,MATCH(INDEX($AM$5:$AM$404,$AC326),อัตราค่าขนส่ง!$T$5:$T$14,0)),"รวมกลุ่ม "&amp;INDEX($AM$5:$AM$404,$AC326)),INDEX($AY$5:$AY$404,$AC326))))))</f>
        <v/>
      </c>
      <c r="B326" s="31" t="str">
        <f t="shared" si="140"/>
        <v/>
      </c>
      <c r="C326" s="8" t="str">
        <f t="shared" si="141"/>
        <v/>
      </c>
      <c r="D326" s="37" t="str">
        <f t="shared" si="142"/>
        <v/>
      </c>
      <c r="E326" s="31" t="str">
        <f t="shared" si="143"/>
        <v/>
      </c>
      <c r="F326" s="32" t="str">
        <f t="shared" si="144"/>
        <v/>
      </c>
      <c r="G326" s="32" t="str">
        <f t="shared" si="145"/>
        <v/>
      </c>
      <c r="H326" s="32" t="str">
        <f t="shared" si="146"/>
        <v/>
      </c>
      <c r="I326" s="32" t="str">
        <f t="shared" si="147"/>
        <v/>
      </c>
      <c r="J326" s="46" t="str">
        <f t="shared" si="148"/>
        <v/>
      </c>
      <c r="K326" s="32" t="str">
        <f t="shared" si="149"/>
        <v/>
      </c>
      <c r="L326" s="32" t="str">
        <f t="shared" si="150"/>
        <v/>
      </c>
      <c r="M326" s="32" t="str">
        <f t="shared" si="151"/>
        <v/>
      </c>
      <c r="N326" s="32" t="str">
        <f t="shared" si="152"/>
        <v/>
      </c>
      <c r="O326" s="32" t="str">
        <f t="shared" si="153"/>
        <v/>
      </c>
      <c r="Q326" t="str">
        <f>IFERROR(MATCH(322,บันทึกรายเที่ยว!$Z$6:$Z$10005,0),"")</f>
        <v/>
      </c>
      <c r="R326" t="str">
        <f>IF($Q326="","",INDEX(บันทึกรายเที่ยว!$V$6:$V$10005,$Q326))</f>
        <v/>
      </c>
      <c r="S326" t="str">
        <f>IF($Q326="","",INDEX(บันทึกรายเที่ยว!$F$6:$F$10005,$Q326))</f>
        <v/>
      </c>
      <c r="T326" t="str">
        <f>IF($Q326="","",MATCH($S326,บันทึกรายเที่ยว!$F$6:$F$10005,0))</f>
        <v/>
      </c>
      <c r="U326" t="str">
        <f>IF($Q326="","",$AL326*10000000+$T326*1000+322)</f>
        <v/>
      </c>
      <c r="V326" t="str">
        <f>IFERROR(MATCH(SMALL($U$5:$U$404,322),$U$5:$U$404,0),"")</f>
        <v/>
      </c>
      <c r="W326" t="str">
        <f t="shared" si="154"/>
        <v/>
      </c>
      <c r="X326" t="str">
        <f t="shared" si="155"/>
        <v/>
      </c>
      <c r="Y326" t="str">
        <f t="shared" si="156"/>
        <v/>
      </c>
      <c r="Z326">
        <f t="shared" ref="Z326:Z389" si="166">IF($V326="",0,IF($X326&lt;&gt;$X325,1,0))</f>
        <v>0</v>
      </c>
      <c r="AA326">
        <f t="shared" si="157"/>
        <v>0</v>
      </c>
      <c r="AB326">
        <f>IF($V326="",99999+322,$AB325+1+$Z325+$AA325+$AO325)</f>
        <v>100321</v>
      </c>
      <c r="AC326" t="str">
        <f>IFERROR(MATCH(322,$AB$5:$AB$404,1),"")</f>
        <v/>
      </c>
      <c r="AD326" t="str">
        <f>IF(322=$AI$1+1,"Z",IF($AC326="","",IF(INDEX($V$5:$V$404,$AC326)="","",IF(322&gt;INDEX($AB$5:$AB$404,$AC326)+INDEX($Z$5:$Z$404,$AC326)+INDEX($AA$5:$AA$404,$AC326)+INDEX($AO$5:$AO$404,$AC326),"",IF(322=INDEX($AB$5:$AB$404,$AC326)+INDEX($Z$5:$Z$404,$AC326),"D",IF(AND(INDEX($Z$5:$Z$404,$AC326)=1,322=INDEX($AB$5:$AB$404,$AC326)),"H",IF(AND(INDEX($AO$5:$AO$404,$AC326)=1,322=INDEX($AB$5:$AB$404,$AC326)+INDEX($Z$5:$Z$404,$AC326)+INDEX($AA$5:$AA$404,$AC326)+INDEX($AO$5:$AO$404,$AC326)),"B","T")))))))</f>
        <v/>
      </c>
      <c r="AF326" t="str">
        <f t="shared" si="158"/>
        <v/>
      </c>
      <c r="AJ326">
        <f>IF($AD326&lt;&gt;"T",0,ROUND(SUMIF(oil!$B$4:$B$63,$AF326,oil!$AE$4:$AE$63),2))</f>
        <v>0</v>
      </c>
      <c r="AK326" t="str">
        <f>IF($S326="","",IFERROR(INDEX(อัตราค่าขนส่ง!$R$5:$R$54,MATCH($S326,อัตราค่าขนส่ง!$Q$5:$Q$54,0)),INDEX(รายการมาตรฐาน!$G$2:$G$3,1)))</f>
        <v/>
      </c>
      <c r="AL326" t="str">
        <f>IF($S326="","",IFERROR(MATCH($AK326,รายการมาตรฐาน!$G$2:$G$3,0),1))</f>
        <v/>
      </c>
      <c r="AM326" t="str">
        <f t="shared" si="159"/>
        <v/>
      </c>
      <c r="AN326" t="str">
        <f t="shared" si="160"/>
        <v/>
      </c>
      <c r="AO326">
        <f t="shared" si="161"/>
        <v>0</v>
      </c>
      <c r="AP326">
        <f t="shared" ref="AP326:AP389" si="167">IF($V326="",0,IF($AN326&lt;&gt;$AN325,1,0))</f>
        <v>0</v>
      </c>
      <c r="AQ326" t="str">
        <f t="shared" si="162"/>
        <v/>
      </c>
      <c r="AR326">
        <f>IF($Y326="",0,COUNTIF(บันทึกรายเที่ยว!$V$6:$V$10005,$Y326))</f>
        <v>0</v>
      </c>
      <c r="AS326">
        <f>IF($Y326="",0,ROUND(SUMIF(บันทึกรายเที่ยว!$V$6:$V$10005,$Y326,บันทึกรายเที่ยว!$M$6:$M$10005),2))</f>
        <v>0</v>
      </c>
      <c r="AT326">
        <f>IF($Y326="",0,IFERROR(INDEX(อัตราค่าขนส่ง!$J$5:$J$204,MATCH($Y326,อัตราค่าขนส่ง!$O$5:$O$204,0)),0))</f>
        <v>0</v>
      </c>
      <c r="AU326">
        <f t="shared" si="163"/>
        <v>0</v>
      </c>
      <c r="AV326">
        <f t="shared" si="164"/>
        <v>0</v>
      </c>
      <c r="AW326" t="str">
        <f>IF($Y326="","",IFERROR(INDEX(อัตราค่าขนส่ง!$F$5:$F$204,MATCH($Y326,อัตราค่าขนส่ง!$O$5:$O$204,0)),""))</f>
        <v/>
      </c>
      <c r="AX326" t="str">
        <f>IF($W326="","",INDEX(บันทึกรายเที่ยว!$D$6:$D$10005,$W326))</f>
        <v/>
      </c>
      <c r="AY326" t="str">
        <f>IF($W326="","",INDEX(บันทึกรายเที่ยว!$R$6:$R$10005,$W326))</f>
        <v/>
      </c>
      <c r="AZ326">
        <f t="shared" si="165"/>
        <v>0</v>
      </c>
      <c r="BA326" t="str">
        <f>IF($W326="","",INDEX(บันทึกรายเที่ยว!$E$6:$E$10005,$W326))</f>
        <v/>
      </c>
      <c r="BC326">
        <f>IF($Y326="",0,IFERROR(INDEX(อัตราค่าขนส่ง!$M$5:$M$204,MATCH($Y326,อัตราค่าขนส่ง!$O$5:$O$204,0)),0))</f>
        <v>0</v>
      </c>
      <c r="BD326">
        <f>IF($Y326="",0,IFERROR(INDEX(อัตราค่าขนส่ง!$N$5:$N$204,MATCH($Y326,อัตราค่าขนส่ง!$O$5:$O$204,0)),0))</f>
        <v>0</v>
      </c>
    </row>
    <row r="327" spans="1:56" ht="21" customHeight="1" x14ac:dyDescent="0.95">
      <c r="A327" s="36" t="str">
        <f>IF($AD327="","",IF($AD327="Z","รวมจ่ายทั้งสิ้น",IF($AD327="H",INDEX($X$5:$X$404,$AC327),IF($AD327="T","รวม",IF($AD327="B",IFERROR(INDEX(อัตราค่าขนส่ง!$U$5:$U$14,MATCH(INDEX($AM$5:$AM$404,$AC327),อัตราค่าขนส่ง!$T$5:$T$14,0)),"รวมกลุ่ม "&amp;INDEX($AM$5:$AM$404,$AC327)),INDEX($AY$5:$AY$404,$AC327))))))</f>
        <v/>
      </c>
      <c r="B327" s="31" t="str">
        <f t="shared" si="140"/>
        <v/>
      </c>
      <c r="C327" s="8" t="str">
        <f t="shared" si="141"/>
        <v/>
      </c>
      <c r="D327" s="37" t="str">
        <f t="shared" si="142"/>
        <v/>
      </c>
      <c r="E327" s="31" t="str">
        <f t="shared" si="143"/>
        <v/>
      </c>
      <c r="F327" s="32" t="str">
        <f t="shared" si="144"/>
        <v/>
      </c>
      <c r="G327" s="32" t="str">
        <f t="shared" si="145"/>
        <v/>
      </c>
      <c r="H327" s="32" t="str">
        <f t="shared" si="146"/>
        <v/>
      </c>
      <c r="I327" s="32" t="str">
        <f t="shared" si="147"/>
        <v/>
      </c>
      <c r="J327" s="46" t="str">
        <f t="shared" si="148"/>
        <v/>
      </c>
      <c r="K327" s="32" t="str">
        <f t="shared" si="149"/>
        <v/>
      </c>
      <c r="L327" s="32" t="str">
        <f t="shared" si="150"/>
        <v/>
      </c>
      <c r="M327" s="32" t="str">
        <f t="shared" si="151"/>
        <v/>
      </c>
      <c r="N327" s="32" t="str">
        <f t="shared" si="152"/>
        <v/>
      </c>
      <c r="O327" s="32" t="str">
        <f t="shared" si="153"/>
        <v/>
      </c>
      <c r="Q327" t="str">
        <f>IFERROR(MATCH(323,บันทึกรายเที่ยว!$Z$6:$Z$10005,0),"")</f>
        <v/>
      </c>
      <c r="R327" t="str">
        <f>IF($Q327="","",INDEX(บันทึกรายเที่ยว!$V$6:$V$10005,$Q327))</f>
        <v/>
      </c>
      <c r="S327" t="str">
        <f>IF($Q327="","",INDEX(บันทึกรายเที่ยว!$F$6:$F$10005,$Q327))</f>
        <v/>
      </c>
      <c r="T327" t="str">
        <f>IF($Q327="","",MATCH($S327,บันทึกรายเที่ยว!$F$6:$F$10005,0))</f>
        <v/>
      </c>
      <c r="U327" t="str">
        <f>IF($Q327="","",$AL327*10000000+$T327*1000+323)</f>
        <v/>
      </c>
      <c r="V327" t="str">
        <f>IFERROR(MATCH(SMALL($U$5:$U$404,323),$U$5:$U$404,0),"")</f>
        <v/>
      </c>
      <c r="W327" t="str">
        <f t="shared" si="154"/>
        <v/>
      </c>
      <c r="X327" t="str">
        <f t="shared" si="155"/>
        <v/>
      </c>
      <c r="Y327" t="str">
        <f t="shared" si="156"/>
        <v/>
      </c>
      <c r="Z327">
        <f t="shared" si="166"/>
        <v>0</v>
      </c>
      <c r="AA327">
        <f t="shared" si="157"/>
        <v>0</v>
      </c>
      <c r="AB327">
        <f>IF($V327="",99999+323,$AB326+1+$Z326+$AA326+$AO326)</f>
        <v>100322</v>
      </c>
      <c r="AC327" t="str">
        <f>IFERROR(MATCH(323,$AB$5:$AB$404,1),"")</f>
        <v/>
      </c>
      <c r="AD327" t="str">
        <f>IF(323=$AI$1+1,"Z",IF($AC327="","",IF(INDEX($V$5:$V$404,$AC327)="","",IF(323&gt;INDEX($AB$5:$AB$404,$AC327)+INDEX($Z$5:$Z$404,$AC327)+INDEX($AA$5:$AA$404,$AC327)+INDEX($AO$5:$AO$404,$AC327),"",IF(323=INDEX($AB$5:$AB$404,$AC327)+INDEX($Z$5:$Z$404,$AC327),"D",IF(AND(INDEX($Z$5:$Z$404,$AC327)=1,323=INDEX($AB$5:$AB$404,$AC327)),"H",IF(AND(INDEX($AO$5:$AO$404,$AC327)=1,323=INDEX($AB$5:$AB$404,$AC327)+INDEX($Z$5:$Z$404,$AC327)+INDEX($AA$5:$AA$404,$AC327)+INDEX($AO$5:$AO$404,$AC327)),"B","T")))))))</f>
        <v/>
      </c>
      <c r="AF327" t="str">
        <f t="shared" si="158"/>
        <v/>
      </c>
      <c r="AJ327">
        <f>IF($AD327&lt;&gt;"T",0,ROUND(SUMIF(oil!$B$4:$B$63,$AF327,oil!$AE$4:$AE$63),2))</f>
        <v>0</v>
      </c>
      <c r="AK327" t="str">
        <f>IF($S327="","",IFERROR(INDEX(อัตราค่าขนส่ง!$R$5:$R$54,MATCH($S327,อัตราค่าขนส่ง!$Q$5:$Q$54,0)),INDEX(รายการมาตรฐาน!$G$2:$G$3,1)))</f>
        <v/>
      </c>
      <c r="AL327" t="str">
        <f>IF($S327="","",IFERROR(MATCH($AK327,รายการมาตรฐาน!$G$2:$G$3,0),1))</f>
        <v/>
      </c>
      <c r="AM327" t="str">
        <f t="shared" si="159"/>
        <v/>
      </c>
      <c r="AN327" t="str">
        <f t="shared" si="160"/>
        <v/>
      </c>
      <c r="AO327">
        <f t="shared" si="161"/>
        <v>0</v>
      </c>
      <c r="AP327">
        <f t="shared" si="167"/>
        <v>0</v>
      </c>
      <c r="AQ327" t="str">
        <f t="shared" si="162"/>
        <v/>
      </c>
      <c r="AR327">
        <f>IF($Y327="",0,COUNTIF(บันทึกรายเที่ยว!$V$6:$V$10005,$Y327))</f>
        <v>0</v>
      </c>
      <c r="AS327">
        <f>IF($Y327="",0,ROUND(SUMIF(บันทึกรายเที่ยว!$V$6:$V$10005,$Y327,บันทึกรายเที่ยว!$M$6:$M$10005),2))</f>
        <v>0</v>
      </c>
      <c r="AT327">
        <f>IF($Y327="",0,IFERROR(INDEX(อัตราค่าขนส่ง!$J$5:$J$204,MATCH($Y327,อัตราค่าขนส่ง!$O$5:$O$204,0)),0))</f>
        <v>0</v>
      </c>
      <c r="AU327">
        <f t="shared" si="163"/>
        <v>0</v>
      </c>
      <c r="AV327">
        <f t="shared" si="164"/>
        <v>0</v>
      </c>
      <c r="AW327" t="str">
        <f>IF($Y327="","",IFERROR(INDEX(อัตราค่าขนส่ง!$F$5:$F$204,MATCH($Y327,อัตราค่าขนส่ง!$O$5:$O$204,0)),""))</f>
        <v/>
      </c>
      <c r="AX327" t="str">
        <f>IF($W327="","",INDEX(บันทึกรายเที่ยว!$D$6:$D$10005,$W327))</f>
        <v/>
      </c>
      <c r="AY327" t="str">
        <f>IF($W327="","",INDEX(บันทึกรายเที่ยว!$R$6:$R$10005,$W327))</f>
        <v/>
      </c>
      <c r="AZ327">
        <f t="shared" si="165"/>
        <v>0</v>
      </c>
      <c r="BA327" t="str">
        <f>IF($W327="","",INDEX(บันทึกรายเที่ยว!$E$6:$E$10005,$W327))</f>
        <v/>
      </c>
      <c r="BC327">
        <f>IF($Y327="",0,IFERROR(INDEX(อัตราค่าขนส่ง!$M$5:$M$204,MATCH($Y327,อัตราค่าขนส่ง!$O$5:$O$204,0)),0))</f>
        <v>0</v>
      </c>
      <c r="BD327">
        <f>IF($Y327="",0,IFERROR(INDEX(อัตราค่าขนส่ง!$N$5:$N$204,MATCH($Y327,อัตราค่าขนส่ง!$O$5:$O$204,0)),0))</f>
        <v>0</v>
      </c>
    </row>
    <row r="328" spans="1:56" ht="21" customHeight="1" x14ac:dyDescent="0.95">
      <c r="A328" s="36" t="str">
        <f>IF($AD328="","",IF($AD328="Z","รวมจ่ายทั้งสิ้น",IF($AD328="H",INDEX($X$5:$X$404,$AC328),IF($AD328="T","รวม",IF($AD328="B",IFERROR(INDEX(อัตราค่าขนส่ง!$U$5:$U$14,MATCH(INDEX($AM$5:$AM$404,$AC328),อัตราค่าขนส่ง!$T$5:$T$14,0)),"รวมกลุ่ม "&amp;INDEX($AM$5:$AM$404,$AC328)),INDEX($AY$5:$AY$404,$AC328))))))</f>
        <v/>
      </c>
      <c r="B328" s="31" t="str">
        <f t="shared" si="140"/>
        <v/>
      </c>
      <c r="C328" s="8" t="str">
        <f t="shared" si="141"/>
        <v/>
      </c>
      <c r="D328" s="37" t="str">
        <f t="shared" si="142"/>
        <v/>
      </c>
      <c r="E328" s="31" t="str">
        <f t="shared" si="143"/>
        <v/>
      </c>
      <c r="F328" s="32" t="str">
        <f t="shared" si="144"/>
        <v/>
      </c>
      <c r="G328" s="32" t="str">
        <f t="shared" si="145"/>
        <v/>
      </c>
      <c r="H328" s="32" t="str">
        <f t="shared" si="146"/>
        <v/>
      </c>
      <c r="I328" s="32" t="str">
        <f t="shared" si="147"/>
        <v/>
      </c>
      <c r="J328" s="46" t="str">
        <f t="shared" si="148"/>
        <v/>
      </c>
      <c r="K328" s="32" t="str">
        <f t="shared" si="149"/>
        <v/>
      </c>
      <c r="L328" s="32" t="str">
        <f t="shared" si="150"/>
        <v/>
      </c>
      <c r="M328" s="32" t="str">
        <f t="shared" si="151"/>
        <v/>
      </c>
      <c r="N328" s="32" t="str">
        <f t="shared" si="152"/>
        <v/>
      </c>
      <c r="O328" s="32" t="str">
        <f t="shared" si="153"/>
        <v/>
      </c>
      <c r="Q328" t="str">
        <f>IFERROR(MATCH(324,บันทึกรายเที่ยว!$Z$6:$Z$10005,0),"")</f>
        <v/>
      </c>
      <c r="R328" t="str">
        <f>IF($Q328="","",INDEX(บันทึกรายเที่ยว!$V$6:$V$10005,$Q328))</f>
        <v/>
      </c>
      <c r="S328" t="str">
        <f>IF($Q328="","",INDEX(บันทึกรายเที่ยว!$F$6:$F$10005,$Q328))</f>
        <v/>
      </c>
      <c r="T328" t="str">
        <f>IF($Q328="","",MATCH($S328,บันทึกรายเที่ยว!$F$6:$F$10005,0))</f>
        <v/>
      </c>
      <c r="U328" t="str">
        <f>IF($Q328="","",$AL328*10000000+$T328*1000+324)</f>
        <v/>
      </c>
      <c r="V328" t="str">
        <f>IFERROR(MATCH(SMALL($U$5:$U$404,324),$U$5:$U$404,0),"")</f>
        <v/>
      </c>
      <c r="W328" t="str">
        <f t="shared" si="154"/>
        <v/>
      </c>
      <c r="X328" t="str">
        <f t="shared" si="155"/>
        <v/>
      </c>
      <c r="Y328" t="str">
        <f t="shared" si="156"/>
        <v/>
      </c>
      <c r="Z328">
        <f t="shared" si="166"/>
        <v>0</v>
      </c>
      <c r="AA328">
        <f t="shared" si="157"/>
        <v>0</v>
      </c>
      <c r="AB328">
        <f>IF($V328="",99999+324,$AB327+1+$Z327+$AA327+$AO327)</f>
        <v>100323</v>
      </c>
      <c r="AC328" t="str">
        <f>IFERROR(MATCH(324,$AB$5:$AB$404,1),"")</f>
        <v/>
      </c>
      <c r="AD328" t="str">
        <f>IF(324=$AI$1+1,"Z",IF($AC328="","",IF(INDEX($V$5:$V$404,$AC328)="","",IF(324&gt;INDEX($AB$5:$AB$404,$AC328)+INDEX($Z$5:$Z$404,$AC328)+INDEX($AA$5:$AA$404,$AC328)+INDEX($AO$5:$AO$404,$AC328),"",IF(324=INDEX($AB$5:$AB$404,$AC328)+INDEX($Z$5:$Z$404,$AC328),"D",IF(AND(INDEX($Z$5:$Z$404,$AC328)=1,324=INDEX($AB$5:$AB$404,$AC328)),"H",IF(AND(INDEX($AO$5:$AO$404,$AC328)=1,324=INDEX($AB$5:$AB$404,$AC328)+INDEX($Z$5:$Z$404,$AC328)+INDEX($AA$5:$AA$404,$AC328)+INDEX($AO$5:$AO$404,$AC328)),"B","T")))))))</f>
        <v/>
      </c>
      <c r="AF328" t="str">
        <f t="shared" si="158"/>
        <v/>
      </c>
      <c r="AJ328">
        <f>IF($AD328&lt;&gt;"T",0,ROUND(SUMIF(oil!$B$4:$B$63,$AF328,oil!$AE$4:$AE$63),2))</f>
        <v>0</v>
      </c>
      <c r="AK328" t="str">
        <f>IF($S328="","",IFERROR(INDEX(อัตราค่าขนส่ง!$R$5:$R$54,MATCH($S328,อัตราค่าขนส่ง!$Q$5:$Q$54,0)),INDEX(รายการมาตรฐาน!$G$2:$G$3,1)))</f>
        <v/>
      </c>
      <c r="AL328" t="str">
        <f>IF($S328="","",IFERROR(MATCH($AK328,รายการมาตรฐาน!$G$2:$G$3,0),1))</f>
        <v/>
      </c>
      <c r="AM328" t="str">
        <f t="shared" si="159"/>
        <v/>
      </c>
      <c r="AN328" t="str">
        <f t="shared" si="160"/>
        <v/>
      </c>
      <c r="AO328">
        <f t="shared" si="161"/>
        <v>0</v>
      </c>
      <c r="AP328">
        <f t="shared" si="167"/>
        <v>0</v>
      </c>
      <c r="AQ328" t="str">
        <f t="shared" si="162"/>
        <v/>
      </c>
      <c r="AR328">
        <f>IF($Y328="",0,COUNTIF(บันทึกรายเที่ยว!$V$6:$V$10005,$Y328))</f>
        <v>0</v>
      </c>
      <c r="AS328">
        <f>IF($Y328="",0,ROUND(SUMIF(บันทึกรายเที่ยว!$V$6:$V$10005,$Y328,บันทึกรายเที่ยว!$M$6:$M$10005),2))</f>
        <v>0</v>
      </c>
      <c r="AT328">
        <f>IF($Y328="",0,IFERROR(INDEX(อัตราค่าขนส่ง!$J$5:$J$204,MATCH($Y328,อัตราค่าขนส่ง!$O$5:$O$204,0)),0))</f>
        <v>0</v>
      </c>
      <c r="AU328">
        <f t="shared" si="163"/>
        <v>0</v>
      </c>
      <c r="AV328">
        <f t="shared" si="164"/>
        <v>0</v>
      </c>
      <c r="AW328" t="str">
        <f>IF($Y328="","",IFERROR(INDEX(อัตราค่าขนส่ง!$F$5:$F$204,MATCH($Y328,อัตราค่าขนส่ง!$O$5:$O$204,0)),""))</f>
        <v/>
      </c>
      <c r="AX328" t="str">
        <f>IF($W328="","",INDEX(บันทึกรายเที่ยว!$D$6:$D$10005,$W328))</f>
        <v/>
      </c>
      <c r="AY328" t="str">
        <f>IF($W328="","",INDEX(บันทึกรายเที่ยว!$R$6:$R$10005,$W328))</f>
        <v/>
      </c>
      <c r="AZ328">
        <f t="shared" si="165"/>
        <v>0</v>
      </c>
      <c r="BA328" t="str">
        <f>IF($W328="","",INDEX(บันทึกรายเที่ยว!$E$6:$E$10005,$W328))</f>
        <v/>
      </c>
      <c r="BC328">
        <f>IF($Y328="",0,IFERROR(INDEX(อัตราค่าขนส่ง!$M$5:$M$204,MATCH($Y328,อัตราค่าขนส่ง!$O$5:$O$204,0)),0))</f>
        <v>0</v>
      </c>
      <c r="BD328">
        <f>IF($Y328="",0,IFERROR(INDEX(อัตราค่าขนส่ง!$N$5:$N$204,MATCH($Y328,อัตราค่าขนส่ง!$O$5:$O$204,0)),0))</f>
        <v>0</v>
      </c>
    </row>
    <row r="329" spans="1:56" ht="21" customHeight="1" x14ac:dyDescent="0.95">
      <c r="A329" s="36" t="str">
        <f>IF($AD329="","",IF($AD329="Z","รวมจ่ายทั้งสิ้น",IF($AD329="H",INDEX($X$5:$X$404,$AC329),IF($AD329="T","รวม",IF($AD329="B",IFERROR(INDEX(อัตราค่าขนส่ง!$U$5:$U$14,MATCH(INDEX($AM$5:$AM$404,$AC329),อัตราค่าขนส่ง!$T$5:$T$14,0)),"รวมกลุ่ม "&amp;INDEX($AM$5:$AM$404,$AC329)),INDEX($AY$5:$AY$404,$AC329))))))</f>
        <v/>
      </c>
      <c r="B329" s="31" t="str">
        <f t="shared" si="140"/>
        <v/>
      </c>
      <c r="C329" s="8" t="str">
        <f t="shared" si="141"/>
        <v/>
      </c>
      <c r="D329" s="37" t="str">
        <f t="shared" si="142"/>
        <v/>
      </c>
      <c r="E329" s="31" t="str">
        <f t="shared" si="143"/>
        <v/>
      </c>
      <c r="F329" s="32" t="str">
        <f t="shared" si="144"/>
        <v/>
      </c>
      <c r="G329" s="32" t="str">
        <f t="shared" si="145"/>
        <v/>
      </c>
      <c r="H329" s="32" t="str">
        <f t="shared" si="146"/>
        <v/>
      </c>
      <c r="I329" s="32" t="str">
        <f t="shared" si="147"/>
        <v/>
      </c>
      <c r="J329" s="46" t="str">
        <f t="shared" si="148"/>
        <v/>
      </c>
      <c r="K329" s="32" t="str">
        <f t="shared" si="149"/>
        <v/>
      </c>
      <c r="L329" s="32" t="str">
        <f t="shared" si="150"/>
        <v/>
      </c>
      <c r="M329" s="32" t="str">
        <f t="shared" si="151"/>
        <v/>
      </c>
      <c r="N329" s="32" t="str">
        <f t="shared" si="152"/>
        <v/>
      </c>
      <c r="O329" s="32" t="str">
        <f t="shared" si="153"/>
        <v/>
      </c>
      <c r="Q329" t="str">
        <f>IFERROR(MATCH(325,บันทึกรายเที่ยว!$Z$6:$Z$10005,0),"")</f>
        <v/>
      </c>
      <c r="R329" t="str">
        <f>IF($Q329="","",INDEX(บันทึกรายเที่ยว!$V$6:$V$10005,$Q329))</f>
        <v/>
      </c>
      <c r="S329" t="str">
        <f>IF($Q329="","",INDEX(บันทึกรายเที่ยว!$F$6:$F$10005,$Q329))</f>
        <v/>
      </c>
      <c r="T329" t="str">
        <f>IF($Q329="","",MATCH($S329,บันทึกรายเที่ยว!$F$6:$F$10005,0))</f>
        <v/>
      </c>
      <c r="U329" t="str">
        <f>IF($Q329="","",$AL329*10000000+$T329*1000+325)</f>
        <v/>
      </c>
      <c r="V329" t="str">
        <f>IFERROR(MATCH(SMALL($U$5:$U$404,325),$U$5:$U$404,0),"")</f>
        <v/>
      </c>
      <c r="W329" t="str">
        <f t="shared" si="154"/>
        <v/>
      </c>
      <c r="X329" t="str">
        <f t="shared" si="155"/>
        <v/>
      </c>
      <c r="Y329" t="str">
        <f t="shared" si="156"/>
        <v/>
      </c>
      <c r="Z329">
        <f t="shared" si="166"/>
        <v>0</v>
      </c>
      <c r="AA329">
        <f t="shared" si="157"/>
        <v>0</v>
      </c>
      <c r="AB329">
        <f>IF($V329="",99999+325,$AB328+1+$Z328+$AA328+$AO328)</f>
        <v>100324</v>
      </c>
      <c r="AC329" t="str">
        <f>IFERROR(MATCH(325,$AB$5:$AB$404,1),"")</f>
        <v/>
      </c>
      <c r="AD329" t="str">
        <f>IF(325=$AI$1+1,"Z",IF($AC329="","",IF(INDEX($V$5:$V$404,$AC329)="","",IF(325&gt;INDEX($AB$5:$AB$404,$AC329)+INDEX($Z$5:$Z$404,$AC329)+INDEX($AA$5:$AA$404,$AC329)+INDEX($AO$5:$AO$404,$AC329),"",IF(325=INDEX($AB$5:$AB$404,$AC329)+INDEX($Z$5:$Z$404,$AC329),"D",IF(AND(INDEX($Z$5:$Z$404,$AC329)=1,325=INDEX($AB$5:$AB$404,$AC329)),"H",IF(AND(INDEX($AO$5:$AO$404,$AC329)=1,325=INDEX($AB$5:$AB$404,$AC329)+INDEX($Z$5:$Z$404,$AC329)+INDEX($AA$5:$AA$404,$AC329)+INDEX($AO$5:$AO$404,$AC329)),"B","T")))))))</f>
        <v/>
      </c>
      <c r="AF329" t="str">
        <f t="shared" si="158"/>
        <v/>
      </c>
      <c r="AJ329">
        <f>IF($AD329&lt;&gt;"T",0,ROUND(SUMIF(oil!$B$4:$B$63,$AF329,oil!$AE$4:$AE$63),2))</f>
        <v>0</v>
      </c>
      <c r="AK329" t="str">
        <f>IF($S329="","",IFERROR(INDEX(อัตราค่าขนส่ง!$R$5:$R$54,MATCH($S329,อัตราค่าขนส่ง!$Q$5:$Q$54,0)),INDEX(รายการมาตรฐาน!$G$2:$G$3,1)))</f>
        <v/>
      </c>
      <c r="AL329" t="str">
        <f>IF($S329="","",IFERROR(MATCH($AK329,รายการมาตรฐาน!$G$2:$G$3,0),1))</f>
        <v/>
      </c>
      <c r="AM329" t="str">
        <f t="shared" si="159"/>
        <v/>
      </c>
      <c r="AN329" t="str">
        <f t="shared" si="160"/>
        <v/>
      </c>
      <c r="AO329">
        <f t="shared" si="161"/>
        <v>0</v>
      </c>
      <c r="AP329">
        <f t="shared" si="167"/>
        <v>0</v>
      </c>
      <c r="AQ329" t="str">
        <f t="shared" si="162"/>
        <v/>
      </c>
      <c r="AR329">
        <f>IF($Y329="",0,COUNTIF(บันทึกรายเที่ยว!$V$6:$V$10005,$Y329))</f>
        <v>0</v>
      </c>
      <c r="AS329">
        <f>IF($Y329="",0,ROUND(SUMIF(บันทึกรายเที่ยว!$V$6:$V$10005,$Y329,บันทึกรายเที่ยว!$M$6:$M$10005),2))</f>
        <v>0</v>
      </c>
      <c r="AT329">
        <f>IF($Y329="",0,IFERROR(INDEX(อัตราค่าขนส่ง!$J$5:$J$204,MATCH($Y329,อัตราค่าขนส่ง!$O$5:$O$204,0)),0))</f>
        <v>0</v>
      </c>
      <c r="AU329">
        <f t="shared" si="163"/>
        <v>0</v>
      </c>
      <c r="AV329">
        <f t="shared" si="164"/>
        <v>0</v>
      </c>
      <c r="AW329" t="str">
        <f>IF($Y329="","",IFERROR(INDEX(อัตราค่าขนส่ง!$F$5:$F$204,MATCH($Y329,อัตราค่าขนส่ง!$O$5:$O$204,0)),""))</f>
        <v/>
      </c>
      <c r="AX329" t="str">
        <f>IF($W329="","",INDEX(บันทึกรายเที่ยว!$D$6:$D$10005,$W329))</f>
        <v/>
      </c>
      <c r="AY329" t="str">
        <f>IF($W329="","",INDEX(บันทึกรายเที่ยว!$R$6:$R$10005,$W329))</f>
        <v/>
      </c>
      <c r="AZ329">
        <f t="shared" si="165"/>
        <v>0</v>
      </c>
      <c r="BA329" t="str">
        <f>IF($W329="","",INDEX(บันทึกรายเที่ยว!$E$6:$E$10005,$W329))</f>
        <v/>
      </c>
      <c r="BC329">
        <f>IF($Y329="",0,IFERROR(INDEX(อัตราค่าขนส่ง!$M$5:$M$204,MATCH($Y329,อัตราค่าขนส่ง!$O$5:$O$204,0)),0))</f>
        <v>0</v>
      </c>
      <c r="BD329">
        <f>IF($Y329="",0,IFERROR(INDEX(อัตราค่าขนส่ง!$N$5:$N$204,MATCH($Y329,อัตราค่าขนส่ง!$O$5:$O$204,0)),0))</f>
        <v>0</v>
      </c>
    </row>
    <row r="330" spans="1:56" ht="21" customHeight="1" x14ac:dyDescent="0.95">
      <c r="A330" s="36" t="str">
        <f>IF($AD330="","",IF($AD330="Z","รวมจ่ายทั้งสิ้น",IF($AD330="H",INDEX($X$5:$X$404,$AC330),IF($AD330="T","รวม",IF($AD330="B",IFERROR(INDEX(อัตราค่าขนส่ง!$U$5:$U$14,MATCH(INDEX($AM$5:$AM$404,$AC330),อัตราค่าขนส่ง!$T$5:$T$14,0)),"รวมกลุ่ม "&amp;INDEX($AM$5:$AM$404,$AC330)),INDEX($AY$5:$AY$404,$AC330))))))</f>
        <v/>
      </c>
      <c r="B330" s="31" t="str">
        <f t="shared" si="140"/>
        <v/>
      </c>
      <c r="C330" s="8" t="str">
        <f t="shared" si="141"/>
        <v/>
      </c>
      <c r="D330" s="37" t="str">
        <f t="shared" si="142"/>
        <v/>
      </c>
      <c r="E330" s="31" t="str">
        <f t="shared" si="143"/>
        <v/>
      </c>
      <c r="F330" s="32" t="str">
        <f t="shared" si="144"/>
        <v/>
      </c>
      <c r="G330" s="32" t="str">
        <f t="shared" si="145"/>
        <v/>
      </c>
      <c r="H330" s="32" t="str">
        <f t="shared" si="146"/>
        <v/>
      </c>
      <c r="I330" s="32" t="str">
        <f t="shared" si="147"/>
        <v/>
      </c>
      <c r="J330" s="46" t="str">
        <f t="shared" si="148"/>
        <v/>
      </c>
      <c r="K330" s="32" t="str">
        <f t="shared" si="149"/>
        <v/>
      </c>
      <c r="L330" s="32" t="str">
        <f t="shared" si="150"/>
        <v/>
      </c>
      <c r="M330" s="32" t="str">
        <f t="shared" si="151"/>
        <v/>
      </c>
      <c r="N330" s="32" t="str">
        <f t="shared" si="152"/>
        <v/>
      </c>
      <c r="O330" s="32" t="str">
        <f t="shared" si="153"/>
        <v/>
      </c>
      <c r="Q330" t="str">
        <f>IFERROR(MATCH(326,บันทึกรายเที่ยว!$Z$6:$Z$10005,0),"")</f>
        <v/>
      </c>
      <c r="R330" t="str">
        <f>IF($Q330="","",INDEX(บันทึกรายเที่ยว!$V$6:$V$10005,$Q330))</f>
        <v/>
      </c>
      <c r="S330" t="str">
        <f>IF($Q330="","",INDEX(บันทึกรายเที่ยว!$F$6:$F$10005,$Q330))</f>
        <v/>
      </c>
      <c r="T330" t="str">
        <f>IF($Q330="","",MATCH($S330,บันทึกรายเที่ยว!$F$6:$F$10005,0))</f>
        <v/>
      </c>
      <c r="U330" t="str">
        <f>IF($Q330="","",$AL330*10000000+$T330*1000+326)</f>
        <v/>
      </c>
      <c r="V330" t="str">
        <f>IFERROR(MATCH(SMALL($U$5:$U$404,326),$U$5:$U$404,0),"")</f>
        <v/>
      </c>
      <c r="W330" t="str">
        <f t="shared" si="154"/>
        <v/>
      </c>
      <c r="X330" t="str">
        <f t="shared" si="155"/>
        <v/>
      </c>
      <c r="Y330" t="str">
        <f t="shared" si="156"/>
        <v/>
      </c>
      <c r="Z330">
        <f t="shared" si="166"/>
        <v>0</v>
      </c>
      <c r="AA330">
        <f t="shared" si="157"/>
        <v>0</v>
      </c>
      <c r="AB330">
        <f>IF($V330="",99999+326,$AB329+1+$Z329+$AA329+$AO329)</f>
        <v>100325</v>
      </c>
      <c r="AC330" t="str">
        <f>IFERROR(MATCH(326,$AB$5:$AB$404,1),"")</f>
        <v/>
      </c>
      <c r="AD330" t="str">
        <f>IF(326=$AI$1+1,"Z",IF($AC330="","",IF(INDEX($V$5:$V$404,$AC330)="","",IF(326&gt;INDEX($AB$5:$AB$404,$AC330)+INDEX($Z$5:$Z$404,$AC330)+INDEX($AA$5:$AA$404,$AC330)+INDEX($AO$5:$AO$404,$AC330),"",IF(326=INDEX($AB$5:$AB$404,$AC330)+INDEX($Z$5:$Z$404,$AC330),"D",IF(AND(INDEX($Z$5:$Z$404,$AC330)=1,326=INDEX($AB$5:$AB$404,$AC330)),"H",IF(AND(INDEX($AO$5:$AO$404,$AC330)=1,326=INDEX($AB$5:$AB$404,$AC330)+INDEX($Z$5:$Z$404,$AC330)+INDEX($AA$5:$AA$404,$AC330)+INDEX($AO$5:$AO$404,$AC330)),"B","T")))))))</f>
        <v/>
      </c>
      <c r="AF330" t="str">
        <f t="shared" si="158"/>
        <v/>
      </c>
      <c r="AJ330">
        <f>IF($AD330&lt;&gt;"T",0,ROUND(SUMIF(oil!$B$4:$B$63,$AF330,oil!$AE$4:$AE$63),2))</f>
        <v>0</v>
      </c>
      <c r="AK330" t="str">
        <f>IF($S330="","",IFERROR(INDEX(อัตราค่าขนส่ง!$R$5:$R$54,MATCH($S330,อัตราค่าขนส่ง!$Q$5:$Q$54,0)),INDEX(รายการมาตรฐาน!$G$2:$G$3,1)))</f>
        <v/>
      </c>
      <c r="AL330" t="str">
        <f>IF($S330="","",IFERROR(MATCH($AK330,รายการมาตรฐาน!$G$2:$G$3,0),1))</f>
        <v/>
      </c>
      <c r="AM330" t="str">
        <f t="shared" si="159"/>
        <v/>
      </c>
      <c r="AN330" t="str">
        <f t="shared" si="160"/>
        <v/>
      </c>
      <c r="AO330">
        <f t="shared" si="161"/>
        <v>0</v>
      </c>
      <c r="AP330">
        <f t="shared" si="167"/>
        <v>0</v>
      </c>
      <c r="AQ330" t="str">
        <f t="shared" si="162"/>
        <v/>
      </c>
      <c r="AR330">
        <f>IF($Y330="",0,COUNTIF(บันทึกรายเที่ยว!$V$6:$V$10005,$Y330))</f>
        <v>0</v>
      </c>
      <c r="AS330">
        <f>IF($Y330="",0,ROUND(SUMIF(บันทึกรายเที่ยว!$V$6:$V$10005,$Y330,บันทึกรายเที่ยว!$M$6:$M$10005),2))</f>
        <v>0</v>
      </c>
      <c r="AT330">
        <f>IF($Y330="",0,IFERROR(INDEX(อัตราค่าขนส่ง!$J$5:$J$204,MATCH($Y330,อัตราค่าขนส่ง!$O$5:$O$204,0)),0))</f>
        <v>0</v>
      </c>
      <c r="AU330">
        <f t="shared" si="163"/>
        <v>0</v>
      </c>
      <c r="AV330">
        <f t="shared" si="164"/>
        <v>0</v>
      </c>
      <c r="AW330" t="str">
        <f>IF($Y330="","",IFERROR(INDEX(อัตราค่าขนส่ง!$F$5:$F$204,MATCH($Y330,อัตราค่าขนส่ง!$O$5:$O$204,0)),""))</f>
        <v/>
      </c>
      <c r="AX330" t="str">
        <f>IF($W330="","",INDEX(บันทึกรายเที่ยว!$D$6:$D$10005,$W330))</f>
        <v/>
      </c>
      <c r="AY330" t="str">
        <f>IF($W330="","",INDEX(บันทึกรายเที่ยว!$R$6:$R$10005,$W330))</f>
        <v/>
      </c>
      <c r="AZ330">
        <f t="shared" si="165"/>
        <v>0</v>
      </c>
      <c r="BA330" t="str">
        <f>IF($W330="","",INDEX(บันทึกรายเที่ยว!$E$6:$E$10005,$W330))</f>
        <v/>
      </c>
      <c r="BC330">
        <f>IF($Y330="",0,IFERROR(INDEX(อัตราค่าขนส่ง!$M$5:$M$204,MATCH($Y330,อัตราค่าขนส่ง!$O$5:$O$204,0)),0))</f>
        <v>0</v>
      </c>
      <c r="BD330">
        <f>IF($Y330="",0,IFERROR(INDEX(อัตราค่าขนส่ง!$N$5:$N$204,MATCH($Y330,อัตราค่าขนส่ง!$O$5:$O$204,0)),0))</f>
        <v>0</v>
      </c>
    </row>
    <row r="331" spans="1:56" ht="21" customHeight="1" x14ac:dyDescent="0.95">
      <c r="A331" s="36" t="str">
        <f>IF($AD331="","",IF($AD331="Z","รวมจ่ายทั้งสิ้น",IF($AD331="H",INDEX($X$5:$X$404,$AC331),IF($AD331="T","รวม",IF($AD331="B",IFERROR(INDEX(อัตราค่าขนส่ง!$U$5:$U$14,MATCH(INDEX($AM$5:$AM$404,$AC331),อัตราค่าขนส่ง!$T$5:$T$14,0)),"รวมกลุ่ม "&amp;INDEX($AM$5:$AM$404,$AC331)),INDEX($AY$5:$AY$404,$AC331))))))</f>
        <v/>
      </c>
      <c r="B331" s="31" t="str">
        <f t="shared" si="140"/>
        <v/>
      </c>
      <c r="C331" s="8" t="str">
        <f t="shared" si="141"/>
        <v/>
      </c>
      <c r="D331" s="37" t="str">
        <f t="shared" si="142"/>
        <v/>
      </c>
      <c r="E331" s="31" t="str">
        <f t="shared" si="143"/>
        <v/>
      </c>
      <c r="F331" s="32" t="str">
        <f t="shared" si="144"/>
        <v/>
      </c>
      <c r="G331" s="32" t="str">
        <f t="shared" si="145"/>
        <v/>
      </c>
      <c r="H331" s="32" t="str">
        <f t="shared" si="146"/>
        <v/>
      </c>
      <c r="I331" s="32" t="str">
        <f t="shared" si="147"/>
        <v/>
      </c>
      <c r="J331" s="46" t="str">
        <f t="shared" si="148"/>
        <v/>
      </c>
      <c r="K331" s="32" t="str">
        <f t="shared" si="149"/>
        <v/>
      </c>
      <c r="L331" s="32" t="str">
        <f t="shared" si="150"/>
        <v/>
      </c>
      <c r="M331" s="32" t="str">
        <f t="shared" si="151"/>
        <v/>
      </c>
      <c r="N331" s="32" t="str">
        <f t="shared" si="152"/>
        <v/>
      </c>
      <c r="O331" s="32" t="str">
        <f t="shared" si="153"/>
        <v/>
      </c>
      <c r="Q331" t="str">
        <f>IFERROR(MATCH(327,บันทึกรายเที่ยว!$Z$6:$Z$10005,0),"")</f>
        <v/>
      </c>
      <c r="R331" t="str">
        <f>IF($Q331="","",INDEX(บันทึกรายเที่ยว!$V$6:$V$10005,$Q331))</f>
        <v/>
      </c>
      <c r="S331" t="str">
        <f>IF($Q331="","",INDEX(บันทึกรายเที่ยว!$F$6:$F$10005,$Q331))</f>
        <v/>
      </c>
      <c r="T331" t="str">
        <f>IF($Q331="","",MATCH($S331,บันทึกรายเที่ยว!$F$6:$F$10005,0))</f>
        <v/>
      </c>
      <c r="U331" t="str">
        <f>IF($Q331="","",$AL331*10000000+$T331*1000+327)</f>
        <v/>
      </c>
      <c r="V331" t="str">
        <f>IFERROR(MATCH(SMALL($U$5:$U$404,327),$U$5:$U$404,0),"")</f>
        <v/>
      </c>
      <c r="W331" t="str">
        <f t="shared" si="154"/>
        <v/>
      </c>
      <c r="X331" t="str">
        <f t="shared" si="155"/>
        <v/>
      </c>
      <c r="Y331" t="str">
        <f t="shared" si="156"/>
        <v/>
      </c>
      <c r="Z331">
        <f t="shared" si="166"/>
        <v>0</v>
      </c>
      <c r="AA331">
        <f t="shared" si="157"/>
        <v>0</v>
      </c>
      <c r="AB331">
        <f>IF($V331="",99999+327,$AB330+1+$Z330+$AA330+$AO330)</f>
        <v>100326</v>
      </c>
      <c r="AC331" t="str">
        <f>IFERROR(MATCH(327,$AB$5:$AB$404,1),"")</f>
        <v/>
      </c>
      <c r="AD331" t="str">
        <f>IF(327=$AI$1+1,"Z",IF($AC331="","",IF(INDEX($V$5:$V$404,$AC331)="","",IF(327&gt;INDEX($AB$5:$AB$404,$AC331)+INDEX($Z$5:$Z$404,$AC331)+INDEX($AA$5:$AA$404,$AC331)+INDEX($AO$5:$AO$404,$AC331),"",IF(327=INDEX($AB$5:$AB$404,$AC331)+INDEX($Z$5:$Z$404,$AC331),"D",IF(AND(INDEX($Z$5:$Z$404,$AC331)=1,327=INDEX($AB$5:$AB$404,$AC331)),"H",IF(AND(INDEX($AO$5:$AO$404,$AC331)=1,327=INDEX($AB$5:$AB$404,$AC331)+INDEX($Z$5:$Z$404,$AC331)+INDEX($AA$5:$AA$404,$AC331)+INDEX($AO$5:$AO$404,$AC331)),"B","T")))))))</f>
        <v/>
      </c>
      <c r="AF331" t="str">
        <f t="shared" si="158"/>
        <v/>
      </c>
      <c r="AJ331">
        <f>IF($AD331&lt;&gt;"T",0,ROUND(SUMIF(oil!$B$4:$B$63,$AF331,oil!$AE$4:$AE$63),2))</f>
        <v>0</v>
      </c>
      <c r="AK331" t="str">
        <f>IF($S331="","",IFERROR(INDEX(อัตราค่าขนส่ง!$R$5:$R$54,MATCH($S331,อัตราค่าขนส่ง!$Q$5:$Q$54,0)),INDEX(รายการมาตรฐาน!$G$2:$G$3,1)))</f>
        <v/>
      </c>
      <c r="AL331" t="str">
        <f>IF($S331="","",IFERROR(MATCH($AK331,รายการมาตรฐาน!$G$2:$G$3,0),1))</f>
        <v/>
      </c>
      <c r="AM331" t="str">
        <f t="shared" si="159"/>
        <v/>
      </c>
      <c r="AN331" t="str">
        <f t="shared" si="160"/>
        <v/>
      </c>
      <c r="AO331">
        <f t="shared" si="161"/>
        <v>0</v>
      </c>
      <c r="AP331">
        <f t="shared" si="167"/>
        <v>0</v>
      </c>
      <c r="AQ331" t="str">
        <f t="shared" si="162"/>
        <v/>
      </c>
      <c r="AR331">
        <f>IF($Y331="",0,COUNTIF(บันทึกรายเที่ยว!$V$6:$V$10005,$Y331))</f>
        <v>0</v>
      </c>
      <c r="AS331">
        <f>IF($Y331="",0,ROUND(SUMIF(บันทึกรายเที่ยว!$V$6:$V$10005,$Y331,บันทึกรายเที่ยว!$M$6:$M$10005),2))</f>
        <v>0</v>
      </c>
      <c r="AT331">
        <f>IF($Y331="",0,IFERROR(INDEX(อัตราค่าขนส่ง!$J$5:$J$204,MATCH($Y331,อัตราค่าขนส่ง!$O$5:$O$204,0)),0))</f>
        <v>0</v>
      </c>
      <c r="AU331">
        <f t="shared" si="163"/>
        <v>0</v>
      </c>
      <c r="AV331">
        <f t="shared" si="164"/>
        <v>0</v>
      </c>
      <c r="AW331" t="str">
        <f>IF($Y331="","",IFERROR(INDEX(อัตราค่าขนส่ง!$F$5:$F$204,MATCH($Y331,อัตราค่าขนส่ง!$O$5:$O$204,0)),""))</f>
        <v/>
      </c>
      <c r="AX331" t="str">
        <f>IF($W331="","",INDEX(บันทึกรายเที่ยว!$D$6:$D$10005,$W331))</f>
        <v/>
      </c>
      <c r="AY331" t="str">
        <f>IF($W331="","",INDEX(บันทึกรายเที่ยว!$R$6:$R$10005,$W331))</f>
        <v/>
      </c>
      <c r="AZ331">
        <f t="shared" si="165"/>
        <v>0</v>
      </c>
      <c r="BA331" t="str">
        <f>IF($W331="","",INDEX(บันทึกรายเที่ยว!$E$6:$E$10005,$W331))</f>
        <v/>
      </c>
      <c r="BC331">
        <f>IF($Y331="",0,IFERROR(INDEX(อัตราค่าขนส่ง!$M$5:$M$204,MATCH($Y331,อัตราค่าขนส่ง!$O$5:$O$204,0)),0))</f>
        <v>0</v>
      </c>
      <c r="BD331">
        <f>IF($Y331="",0,IFERROR(INDEX(อัตราค่าขนส่ง!$N$5:$N$204,MATCH($Y331,อัตราค่าขนส่ง!$O$5:$O$204,0)),0))</f>
        <v>0</v>
      </c>
    </row>
    <row r="332" spans="1:56" ht="21" customHeight="1" x14ac:dyDescent="0.95">
      <c r="A332" s="36" t="str">
        <f>IF($AD332="","",IF($AD332="Z","รวมจ่ายทั้งสิ้น",IF($AD332="H",INDEX($X$5:$X$404,$AC332),IF($AD332="T","รวม",IF($AD332="B",IFERROR(INDEX(อัตราค่าขนส่ง!$U$5:$U$14,MATCH(INDEX($AM$5:$AM$404,$AC332),อัตราค่าขนส่ง!$T$5:$T$14,0)),"รวมกลุ่ม "&amp;INDEX($AM$5:$AM$404,$AC332)),INDEX($AY$5:$AY$404,$AC332))))))</f>
        <v/>
      </c>
      <c r="B332" s="31" t="str">
        <f t="shared" si="140"/>
        <v/>
      </c>
      <c r="C332" s="8" t="str">
        <f t="shared" si="141"/>
        <v/>
      </c>
      <c r="D332" s="37" t="str">
        <f t="shared" si="142"/>
        <v/>
      </c>
      <c r="E332" s="31" t="str">
        <f t="shared" si="143"/>
        <v/>
      </c>
      <c r="F332" s="32" t="str">
        <f t="shared" si="144"/>
        <v/>
      </c>
      <c r="G332" s="32" t="str">
        <f t="shared" si="145"/>
        <v/>
      </c>
      <c r="H332" s="32" t="str">
        <f t="shared" si="146"/>
        <v/>
      </c>
      <c r="I332" s="32" t="str">
        <f t="shared" si="147"/>
        <v/>
      </c>
      <c r="J332" s="46" t="str">
        <f t="shared" si="148"/>
        <v/>
      </c>
      <c r="K332" s="32" t="str">
        <f t="shared" si="149"/>
        <v/>
      </c>
      <c r="L332" s="32" t="str">
        <f t="shared" si="150"/>
        <v/>
      </c>
      <c r="M332" s="32" t="str">
        <f t="shared" si="151"/>
        <v/>
      </c>
      <c r="N332" s="32" t="str">
        <f t="shared" si="152"/>
        <v/>
      </c>
      <c r="O332" s="32" t="str">
        <f t="shared" si="153"/>
        <v/>
      </c>
      <c r="Q332" t="str">
        <f>IFERROR(MATCH(328,บันทึกรายเที่ยว!$Z$6:$Z$10005,0),"")</f>
        <v/>
      </c>
      <c r="R332" t="str">
        <f>IF($Q332="","",INDEX(บันทึกรายเที่ยว!$V$6:$V$10005,$Q332))</f>
        <v/>
      </c>
      <c r="S332" t="str">
        <f>IF($Q332="","",INDEX(บันทึกรายเที่ยว!$F$6:$F$10005,$Q332))</f>
        <v/>
      </c>
      <c r="T332" t="str">
        <f>IF($Q332="","",MATCH($S332,บันทึกรายเที่ยว!$F$6:$F$10005,0))</f>
        <v/>
      </c>
      <c r="U332" t="str">
        <f>IF($Q332="","",$AL332*10000000+$T332*1000+328)</f>
        <v/>
      </c>
      <c r="V332" t="str">
        <f>IFERROR(MATCH(SMALL($U$5:$U$404,328),$U$5:$U$404,0),"")</f>
        <v/>
      </c>
      <c r="W332" t="str">
        <f t="shared" si="154"/>
        <v/>
      </c>
      <c r="X332" t="str">
        <f t="shared" si="155"/>
        <v/>
      </c>
      <c r="Y332" t="str">
        <f t="shared" si="156"/>
        <v/>
      </c>
      <c r="Z332">
        <f t="shared" si="166"/>
        <v>0</v>
      </c>
      <c r="AA332">
        <f t="shared" si="157"/>
        <v>0</v>
      </c>
      <c r="AB332">
        <f>IF($V332="",99999+328,$AB331+1+$Z331+$AA331+$AO331)</f>
        <v>100327</v>
      </c>
      <c r="AC332" t="str">
        <f>IFERROR(MATCH(328,$AB$5:$AB$404,1),"")</f>
        <v/>
      </c>
      <c r="AD332" t="str">
        <f>IF(328=$AI$1+1,"Z",IF($AC332="","",IF(INDEX($V$5:$V$404,$AC332)="","",IF(328&gt;INDEX($AB$5:$AB$404,$AC332)+INDEX($Z$5:$Z$404,$AC332)+INDEX($AA$5:$AA$404,$AC332)+INDEX($AO$5:$AO$404,$AC332),"",IF(328=INDEX($AB$5:$AB$404,$AC332)+INDEX($Z$5:$Z$404,$AC332),"D",IF(AND(INDEX($Z$5:$Z$404,$AC332)=1,328=INDEX($AB$5:$AB$404,$AC332)),"H",IF(AND(INDEX($AO$5:$AO$404,$AC332)=1,328=INDEX($AB$5:$AB$404,$AC332)+INDEX($Z$5:$Z$404,$AC332)+INDEX($AA$5:$AA$404,$AC332)+INDEX($AO$5:$AO$404,$AC332)),"B","T")))))))</f>
        <v/>
      </c>
      <c r="AF332" t="str">
        <f t="shared" si="158"/>
        <v/>
      </c>
      <c r="AJ332">
        <f>IF($AD332&lt;&gt;"T",0,ROUND(SUMIF(oil!$B$4:$B$63,$AF332,oil!$AE$4:$AE$63),2))</f>
        <v>0</v>
      </c>
      <c r="AK332" t="str">
        <f>IF($S332="","",IFERROR(INDEX(อัตราค่าขนส่ง!$R$5:$R$54,MATCH($S332,อัตราค่าขนส่ง!$Q$5:$Q$54,0)),INDEX(รายการมาตรฐาน!$G$2:$G$3,1)))</f>
        <v/>
      </c>
      <c r="AL332" t="str">
        <f>IF($S332="","",IFERROR(MATCH($AK332,รายการมาตรฐาน!$G$2:$G$3,0),1))</f>
        <v/>
      </c>
      <c r="AM332" t="str">
        <f t="shared" si="159"/>
        <v/>
      </c>
      <c r="AN332" t="str">
        <f t="shared" si="160"/>
        <v/>
      </c>
      <c r="AO332">
        <f t="shared" si="161"/>
        <v>0</v>
      </c>
      <c r="AP332">
        <f t="shared" si="167"/>
        <v>0</v>
      </c>
      <c r="AQ332" t="str">
        <f t="shared" si="162"/>
        <v/>
      </c>
      <c r="AR332">
        <f>IF($Y332="",0,COUNTIF(บันทึกรายเที่ยว!$V$6:$V$10005,$Y332))</f>
        <v>0</v>
      </c>
      <c r="AS332">
        <f>IF($Y332="",0,ROUND(SUMIF(บันทึกรายเที่ยว!$V$6:$V$10005,$Y332,บันทึกรายเที่ยว!$M$6:$M$10005),2))</f>
        <v>0</v>
      </c>
      <c r="AT332">
        <f>IF($Y332="",0,IFERROR(INDEX(อัตราค่าขนส่ง!$J$5:$J$204,MATCH($Y332,อัตราค่าขนส่ง!$O$5:$O$204,0)),0))</f>
        <v>0</v>
      </c>
      <c r="AU332">
        <f t="shared" si="163"/>
        <v>0</v>
      </c>
      <c r="AV332">
        <f t="shared" si="164"/>
        <v>0</v>
      </c>
      <c r="AW332" t="str">
        <f>IF($Y332="","",IFERROR(INDEX(อัตราค่าขนส่ง!$F$5:$F$204,MATCH($Y332,อัตราค่าขนส่ง!$O$5:$O$204,0)),""))</f>
        <v/>
      </c>
      <c r="AX332" t="str">
        <f>IF($W332="","",INDEX(บันทึกรายเที่ยว!$D$6:$D$10005,$W332))</f>
        <v/>
      </c>
      <c r="AY332" t="str">
        <f>IF($W332="","",INDEX(บันทึกรายเที่ยว!$R$6:$R$10005,$W332))</f>
        <v/>
      </c>
      <c r="AZ332">
        <f t="shared" si="165"/>
        <v>0</v>
      </c>
      <c r="BA332" t="str">
        <f>IF($W332="","",INDEX(บันทึกรายเที่ยว!$E$6:$E$10005,$W332))</f>
        <v/>
      </c>
      <c r="BC332">
        <f>IF($Y332="",0,IFERROR(INDEX(อัตราค่าขนส่ง!$M$5:$M$204,MATCH($Y332,อัตราค่าขนส่ง!$O$5:$O$204,0)),0))</f>
        <v>0</v>
      </c>
      <c r="BD332">
        <f>IF($Y332="",0,IFERROR(INDEX(อัตราค่าขนส่ง!$N$5:$N$204,MATCH($Y332,อัตราค่าขนส่ง!$O$5:$O$204,0)),0))</f>
        <v>0</v>
      </c>
    </row>
    <row r="333" spans="1:56" ht="21" customHeight="1" x14ac:dyDescent="0.95">
      <c r="A333" s="36" t="str">
        <f>IF($AD333="","",IF($AD333="Z","รวมจ่ายทั้งสิ้น",IF($AD333="H",INDEX($X$5:$X$404,$AC333),IF($AD333="T","รวม",IF($AD333="B",IFERROR(INDEX(อัตราค่าขนส่ง!$U$5:$U$14,MATCH(INDEX($AM$5:$AM$404,$AC333),อัตราค่าขนส่ง!$T$5:$T$14,0)),"รวมกลุ่ม "&amp;INDEX($AM$5:$AM$404,$AC333)),INDEX($AY$5:$AY$404,$AC333))))))</f>
        <v/>
      </c>
      <c r="B333" s="31" t="str">
        <f t="shared" si="140"/>
        <v/>
      </c>
      <c r="C333" s="8" t="str">
        <f t="shared" si="141"/>
        <v/>
      </c>
      <c r="D333" s="37" t="str">
        <f t="shared" si="142"/>
        <v/>
      </c>
      <c r="E333" s="31" t="str">
        <f t="shared" si="143"/>
        <v/>
      </c>
      <c r="F333" s="32" t="str">
        <f t="shared" si="144"/>
        <v/>
      </c>
      <c r="G333" s="32" t="str">
        <f t="shared" si="145"/>
        <v/>
      </c>
      <c r="H333" s="32" t="str">
        <f t="shared" si="146"/>
        <v/>
      </c>
      <c r="I333" s="32" t="str">
        <f t="shared" si="147"/>
        <v/>
      </c>
      <c r="J333" s="46" t="str">
        <f t="shared" si="148"/>
        <v/>
      </c>
      <c r="K333" s="32" t="str">
        <f t="shared" si="149"/>
        <v/>
      </c>
      <c r="L333" s="32" t="str">
        <f t="shared" si="150"/>
        <v/>
      </c>
      <c r="M333" s="32" t="str">
        <f t="shared" si="151"/>
        <v/>
      </c>
      <c r="N333" s="32" t="str">
        <f t="shared" si="152"/>
        <v/>
      </c>
      <c r="O333" s="32" t="str">
        <f t="shared" si="153"/>
        <v/>
      </c>
      <c r="Q333" t="str">
        <f>IFERROR(MATCH(329,บันทึกรายเที่ยว!$Z$6:$Z$10005,0),"")</f>
        <v/>
      </c>
      <c r="R333" t="str">
        <f>IF($Q333="","",INDEX(บันทึกรายเที่ยว!$V$6:$V$10005,$Q333))</f>
        <v/>
      </c>
      <c r="S333" t="str">
        <f>IF($Q333="","",INDEX(บันทึกรายเที่ยว!$F$6:$F$10005,$Q333))</f>
        <v/>
      </c>
      <c r="T333" t="str">
        <f>IF($Q333="","",MATCH($S333,บันทึกรายเที่ยว!$F$6:$F$10005,0))</f>
        <v/>
      </c>
      <c r="U333" t="str">
        <f>IF($Q333="","",$AL333*10000000+$T333*1000+329)</f>
        <v/>
      </c>
      <c r="V333" t="str">
        <f>IFERROR(MATCH(SMALL($U$5:$U$404,329),$U$5:$U$404,0),"")</f>
        <v/>
      </c>
      <c r="W333" t="str">
        <f t="shared" si="154"/>
        <v/>
      </c>
      <c r="X333" t="str">
        <f t="shared" si="155"/>
        <v/>
      </c>
      <c r="Y333" t="str">
        <f t="shared" si="156"/>
        <v/>
      </c>
      <c r="Z333">
        <f t="shared" si="166"/>
        <v>0</v>
      </c>
      <c r="AA333">
        <f t="shared" si="157"/>
        <v>0</v>
      </c>
      <c r="AB333">
        <f>IF($V333="",99999+329,$AB332+1+$Z332+$AA332+$AO332)</f>
        <v>100328</v>
      </c>
      <c r="AC333" t="str">
        <f>IFERROR(MATCH(329,$AB$5:$AB$404,1),"")</f>
        <v/>
      </c>
      <c r="AD333" t="str">
        <f>IF(329=$AI$1+1,"Z",IF($AC333="","",IF(INDEX($V$5:$V$404,$AC333)="","",IF(329&gt;INDEX($AB$5:$AB$404,$AC333)+INDEX($Z$5:$Z$404,$AC333)+INDEX($AA$5:$AA$404,$AC333)+INDEX($AO$5:$AO$404,$AC333),"",IF(329=INDEX($AB$5:$AB$404,$AC333)+INDEX($Z$5:$Z$404,$AC333),"D",IF(AND(INDEX($Z$5:$Z$404,$AC333)=1,329=INDEX($AB$5:$AB$404,$AC333)),"H",IF(AND(INDEX($AO$5:$AO$404,$AC333)=1,329=INDEX($AB$5:$AB$404,$AC333)+INDEX($Z$5:$Z$404,$AC333)+INDEX($AA$5:$AA$404,$AC333)+INDEX($AO$5:$AO$404,$AC333)),"B","T")))))))</f>
        <v/>
      </c>
      <c r="AF333" t="str">
        <f t="shared" si="158"/>
        <v/>
      </c>
      <c r="AJ333">
        <f>IF($AD333&lt;&gt;"T",0,ROUND(SUMIF(oil!$B$4:$B$63,$AF333,oil!$AE$4:$AE$63),2))</f>
        <v>0</v>
      </c>
      <c r="AK333" t="str">
        <f>IF($S333="","",IFERROR(INDEX(อัตราค่าขนส่ง!$R$5:$R$54,MATCH($S333,อัตราค่าขนส่ง!$Q$5:$Q$54,0)),INDEX(รายการมาตรฐาน!$G$2:$G$3,1)))</f>
        <v/>
      </c>
      <c r="AL333" t="str">
        <f>IF($S333="","",IFERROR(MATCH($AK333,รายการมาตรฐาน!$G$2:$G$3,0),1))</f>
        <v/>
      </c>
      <c r="AM333" t="str">
        <f t="shared" si="159"/>
        <v/>
      </c>
      <c r="AN333" t="str">
        <f t="shared" si="160"/>
        <v/>
      </c>
      <c r="AO333">
        <f t="shared" si="161"/>
        <v>0</v>
      </c>
      <c r="AP333">
        <f t="shared" si="167"/>
        <v>0</v>
      </c>
      <c r="AQ333" t="str">
        <f t="shared" si="162"/>
        <v/>
      </c>
      <c r="AR333">
        <f>IF($Y333="",0,COUNTIF(บันทึกรายเที่ยว!$V$6:$V$10005,$Y333))</f>
        <v>0</v>
      </c>
      <c r="AS333">
        <f>IF($Y333="",0,ROUND(SUMIF(บันทึกรายเที่ยว!$V$6:$V$10005,$Y333,บันทึกรายเที่ยว!$M$6:$M$10005),2))</f>
        <v>0</v>
      </c>
      <c r="AT333">
        <f>IF($Y333="",0,IFERROR(INDEX(อัตราค่าขนส่ง!$J$5:$J$204,MATCH($Y333,อัตราค่าขนส่ง!$O$5:$O$204,0)),0))</f>
        <v>0</v>
      </c>
      <c r="AU333">
        <f t="shared" si="163"/>
        <v>0</v>
      </c>
      <c r="AV333">
        <f t="shared" si="164"/>
        <v>0</v>
      </c>
      <c r="AW333" t="str">
        <f>IF($Y333="","",IFERROR(INDEX(อัตราค่าขนส่ง!$F$5:$F$204,MATCH($Y333,อัตราค่าขนส่ง!$O$5:$O$204,0)),""))</f>
        <v/>
      </c>
      <c r="AX333" t="str">
        <f>IF($W333="","",INDEX(บันทึกรายเที่ยว!$D$6:$D$10005,$W333))</f>
        <v/>
      </c>
      <c r="AY333" t="str">
        <f>IF($W333="","",INDEX(บันทึกรายเที่ยว!$R$6:$R$10005,$W333))</f>
        <v/>
      </c>
      <c r="AZ333">
        <f t="shared" si="165"/>
        <v>0</v>
      </c>
      <c r="BA333" t="str">
        <f>IF($W333="","",INDEX(บันทึกรายเที่ยว!$E$6:$E$10005,$W333))</f>
        <v/>
      </c>
      <c r="BC333">
        <f>IF($Y333="",0,IFERROR(INDEX(อัตราค่าขนส่ง!$M$5:$M$204,MATCH($Y333,อัตราค่าขนส่ง!$O$5:$O$204,0)),0))</f>
        <v>0</v>
      </c>
      <c r="BD333">
        <f>IF($Y333="",0,IFERROR(INDEX(อัตราค่าขนส่ง!$N$5:$N$204,MATCH($Y333,อัตราค่าขนส่ง!$O$5:$O$204,0)),0))</f>
        <v>0</v>
      </c>
    </row>
    <row r="334" spans="1:56" ht="21" customHeight="1" x14ac:dyDescent="0.95">
      <c r="A334" s="36" t="str">
        <f>IF($AD334="","",IF($AD334="Z","รวมจ่ายทั้งสิ้น",IF($AD334="H",INDEX($X$5:$X$404,$AC334),IF($AD334="T","รวม",IF($AD334="B",IFERROR(INDEX(อัตราค่าขนส่ง!$U$5:$U$14,MATCH(INDEX($AM$5:$AM$404,$AC334),อัตราค่าขนส่ง!$T$5:$T$14,0)),"รวมกลุ่ม "&amp;INDEX($AM$5:$AM$404,$AC334)),INDEX($AY$5:$AY$404,$AC334))))))</f>
        <v/>
      </c>
      <c r="B334" s="31" t="str">
        <f t="shared" si="140"/>
        <v/>
      </c>
      <c r="C334" s="8" t="str">
        <f t="shared" si="141"/>
        <v/>
      </c>
      <c r="D334" s="37" t="str">
        <f t="shared" si="142"/>
        <v/>
      </c>
      <c r="E334" s="31" t="str">
        <f t="shared" si="143"/>
        <v/>
      </c>
      <c r="F334" s="32" t="str">
        <f t="shared" si="144"/>
        <v/>
      </c>
      <c r="G334" s="32" t="str">
        <f t="shared" si="145"/>
        <v/>
      </c>
      <c r="H334" s="32" t="str">
        <f t="shared" si="146"/>
        <v/>
      </c>
      <c r="I334" s="32" t="str">
        <f t="shared" si="147"/>
        <v/>
      </c>
      <c r="J334" s="46" t="str">
        <f t="shared" si="148"/>
        <v/>
      </c>
      <c r="K334" s="32" t="str">
        <f t="shared" si="149"/>
        <v/>
      </c>
      <c r="L334" s="32" t="str">
        <f t="shared" si="150"/>
        <v/>
      </c>
      <c r="M334" s="32" t="str">
        <f t="shared" si="151"/>
        <v/>
      </c>
      <c r="N334" s="32" t="str">
        <f t="shared" si="152"/>
        <v/>
      </c>
      <c r="O334" s="32" t="str">
        <f t="shared" si="153"/>
        <v/>
      </c>
      <c r="Q334" t="str">
        <f>IFERROR(MATCH(330,บันทึกรายเที่ยว!$Z$6:$Z$10005,0),"")</f>
        <v/>
      </c>
      <c r="R334" t="str">
        <f>IF($Q334="","",INDEX(บันทึกรายเที่ยว!$V$6:$V$10005,$Q334))</f>
        <v/>
      </c>
      <c r="S334" t="str">
        <f>IF($Q334="","",INDEX(บันทึกรายเที่ยว!$F$6:$F$10005,$Q334))</f>
        <v/>
      </c>
      <c r="T334" t="str">
        <f>IF($Q334="","",MATCH($S334,บันทึกรายเที่ยว!$F$6:$F$10005,0))</f>
        <v/>
      </c>
      <c r="U334" t="str">
        <f>IF($Q334="","",$AL334*10000000+$T334*1000+330)</f>
        <v/>
      </c>
      <c r="V334" t="str">
        <f>IFERROR(MATCH(SMALL($U$5:$U$404,330),$U$5:$U$404,0),"")</f>
        <v/>
      </c>
      <c r="W334" t="str">
        <f t="shared" si="154"/>
        <v/>
      </c>
      <c r="X334" t="str">
        <f t="shared" si="155"/>
        <v/>
      </c>
      <c r="Y334" t="str">
        <f t="shared" si="156"/>
        <v/>
      </c>
      <c r="Z334">
        <f t="shared" si="166"/>
        <v>0</v>
      </c>
      <c r="AA334">
        <f t="shared" si="157"/>
        <v>0</v>
      </c>
      <c r="AB334">
        <f>IF($V334="",99999+330,$AB333+1+$Z333+$AA333+$AO333)</f>
        <v>100329</v>
      </c>
      <c r="AC334" t="str">
        <f>IFERROR(MATCH(330,$AB$5:$AB$404,1),"")</f>
        <v/>
      </c>
      <c r="AD334" t="str">
        <f>IF(330=$AI$1+1,"Z",IF($AC334="","",IF(INDEX($V$5:$V$404,$AC334)="","",IF(330&gt;INDEX($AB$5:$AB$404,$AC334)+INDEX($Z$5:$Z$404,$AC334)+INDEX($AA$5:$AA$404,$AC334)+INDEX($AO$5:$AO$404,$AC334),"",IF(330=INDEX($AB$5:$AB$404,$AC334)+INDEX($Z$5:$Z$404,$AC334),"D",IF(AND(INDEX($Z$5:$Z$404,$AC334)=1,330=INDEX($AB$5:$AB$404,$AC334)),"H",IF(AND(INDEX($AO$5:$AO$404,$AC334)=1,330=INDEX($AB$5:$AB$404,$AC334)+INDEX($Z$5:$Z$404,$AC334)+INDEX($AA$5:$AA$404,$AC334)+INDEX($AO$5:$AO$404,$AC334)),"B","T")))))))</f>
        <v/>
      </c>
      <c r="AF334" t="str">
        <f t="shared" si="158"/>
        <v/>
      </c>
      <c r="AJ334">
        <f>IF($AD334&lt;&gt;"T",0,ROUND(SUMIF(oil!$B$4:$B$63,$AF334,oil!$AE$4:$AE$63),2))</f>
        <v>0</v>
      </c>
      <c r="AK334" t="str">
        <f>IF($S334="","",IFERROR(INDEX(อัตราค่าขนส่ง!$R$5:$R$54,MATCH($S334,อัตราค่าขนส่ง!$Q$5:$Q$54,0)),INDEX(รายการมาตรฐาน!$G$2:$G$3,1)))</f>
        <v/>
      </c>
      <c r="AL334" t="str">
        <f>IF($S334="","",IFERROR(MATCH($AK334,รายการมาตรฐาน!$G$2:$G$3,0),1))</f>
        <v/>
      </c>
      <c r="AM334" t="str">
        <f t="shared" si="159"/>
        <v/>
      </c>
      <c r="AN334" t="str">
        <f t="shared" si="160"/>
        <v/>
      </c>
      <c r="AO334">
        <f t="shared" si="161"/>
        <v>0</v>
      </c>
      <c r="AP334">
        <f t="shared" si="167"/>
        <v>0</v>
      </c>
      <c r="AQ334" t="str">
        <f t="shared" si="162"/>
        <v/>
      </c>
      <c r="AR334">
        <f>IF($Y334="",0,COUNTIF(บันทึกรายเที่ยว!$V$6:$V$10005,$Y334))</f>
        <v>0</v>
      </c>
      <c r="AS334">
        <f>IF($Y334="",0,ROUND(SUMIF(บันทึกรายเที่ยว!$V$6:$V$10005,$Y334,บันทึกรายเที่ยว!$M$6:$M$10005),2))</f>
        <v>0</v>
      </c>
      <c r="AT334">
        <f>IF($Y334="",0,IFERROR(INDEX(อัตราค่าขนส่ง!$J$5:$J$204,MATCH($Y334,อัตราค่าขนส่ง!$O$5:$O$204,0)),0))</f>
        <v>0</v>
      </c>
      <c r="AU334">
        <f t="shared" si="163"/>
        <v>0</v>
      </c>
      <c r="AV334">
        <f t="shared" si="164"/>
        <v>0</v>
      </c>
      <c r="AW334" t="str">
        <f>IF($Y334="","",IFERROR(INDEX(อัตราค่าขนส่ง!$F$5:$F$204,MATCH($Y334,อัตราค่าขนส่ง!$O$5:$O$204,0)),""))</f>
        <v/>
      </c>
      <c r="AX334" t="str">
        <f>IF($W334="","",INDEX(บันทึกรายเที่ยว!$D$6:$D$10005,$W334))</f>
        <v/>
      </c>
      <c r="AY334" t="str">
        <f>IF($W334="","",INDEX(บันทึกรายเที่ยว!$R$6:$R$10005,$W334))</f>
        <v/>
      </c>
      <c r="AZ334">
        <f t="shared" si="165"/>
        <v>0</v>
      </c>
      <c r="BA334" t="str">
        <f>IF($W334="","",INDEX(บันทึกรายเที่ยว!$E$6:$E$10005,$W334))</f>
        <v/>
      </c>
      <c r="BC334">
        <f>IF($Y334="",0,IFERROR(INDEX(อัตราค่าขนส่ง!$M$5:$M$204,MATCH($Y334,อัตราค่าขนส่ง!$O$5:$O$204,0)),0))</f>
        <v>0</v>
      </c>
      <c r="BD334">
        <f>IF($Y334="",0,IFERROR(INDEX(อัตราค่าขนส่ง!$N$5:$N$204,MATCH($Y334,อัตราค่าขนส่ง!$O$5:$O$204,0)),0))</f>
        <v>0</v>
      </c>
    </row>
    <row r="335" spans="1:56" ht="21" customHeight="1" x14ac:dyDescent="0.95">
      <c r="A335" s="36" t="str">
        <f>IF($AD335="","",IF($AD335="Z","รวมจ่ายทั้งสิ้น",IF($AD335="H",INDEX($X$5:$X$404,$AC335),IF($AD335="T","รวม",IF($AD335="B",IFERROR(INDEX(อัตราค่าขนส่ง!$U$5:$U$14,MATCH(INDEX($AM$5:$AM$404,$AC335),อัตราค่าขนส่ง!$T$5:$T$14,0)),"รวมกลุ่ม "&amp;INDEX($AM$5:$AM$404,$AC335)),INDEX($AY$5:$AY$404,$AC335))))))</f>
        <v/>
      </c>
      <c r="B335" s="31" t="str">
        <f t="shared" si="140"/>
        <v/>
      </c>
      <c r="C335" s="8" t="str">
        <f t="shared" si="141"/>
        <v/>
      </c>
      <c r="D335" s="37" t="str">
        <f t="shared" si="142"/>
        <v/>
      </c>
      <c r="E335" s="31" t="str">
        <f t="shared" si="143"/>
        <v/>
      </c>
      <c r="F335" s="32" t="str">
        <f t="shared" si="144"/>
        <v/>
      </c>
      <c r="G335" s="32" t="str">
        <f t="shared" si="145"/>
        <v/>
      </c>
      <c r="H335" s="32" t="str">
        <f t="shared" si="146"/>
        <v/>
      </c>
      <c r="I335" s="32" t="str">
        <f t="shared" si="147"/>
        <v/>
      </c>
      <c r="J335" s="46" t="str">
        <f t="shared" si="148"/>
        <v/>
      </c>
      <c r="K335" s="32" t="str">
        <f t="shared" si="149"/>
        <v/>
      </c>
      <c r="L335" s="32" t="str">
        <f t="shared" si="150"/>
        <v/>
      </c>
      <c r="M335" s="32" t="str">
        <f t="shared" si="151"/>
        <v/>
      </c>
      <c r="N335" s="32" t="str">
        <f t="shared" si="152"/>
        <v/>
      </c>
      <c r="O335" s="32" t="str">
        <f t="shared" si="153"/>
        <v/>
      </c>
      <c r="Q335" t="str">
        <f>IFERROR(MATCH(331,บันทึกรายเที่ยว!$Z$6:$Z$10005,0),"")</f>
        <v/>
      </c>
      <c r="R335" t="str">
        <f>IF($Q335="","",INDEX(บันทึกรายเที่ยว!$V$6:$V$10005,$Q335))</f>
        <v/>
      </c>
      <c r="S335" t="str">
        <f>IF($Q335="","",INDEX(บันทึกรายเที่ยว!$F$6:$F$10005,$Q335))</f>
        <v/>
      </c>
      <c r="T335" t="str">
        <f>IF($Q335="","",MATCH($S335,บันทึกรายเที่ยว!$F$6:$F$10005,0))</f>
        <v/>
      </c>
      <c r="U335" t="str">
        <f>IF($Q335="","",$AL335*10000000+$T335*1000+331)</f>
        <v/>
      </c>
      <c r="V335" t="str">
        <f>IFERROR(MATCH(SMALL($U$5:$U$404,331),$U$5:$U$404,0),"")</f>
        <v/>
      </c>
      <c r="W335" t="str">
        <f t="shared" si="154"/>
        <v/>
      </c>
      <c r="X335" t="str">
        <f t="shared" si="155"/>
        <v/>
      </c>
      <c r="Y335" t="str">
        <f t="shared" si="156"/>
        <v/>
      </c>
      <c r="Z335">
        <f t="shared" si="166"/>
        <v>0</v>
      </c>
      <c r="AA335">
        <f t="shared" si="157"/>
        <v>0</v>
      </c>
      <c r="AB335">
        <f>IF($V335="",99999+331,$AB334+1+$Z334+$AA334+$AO334)</f>
        <v>100330</v>
      </c>
      <c r="AC335" t="str">
        <f>IFERROR(MATCH(331,$AB$5:$AB$404,1),"")</f>
        <v/>
      </c>
      <c r="AD335" t="str">
        <f>IF(331=$AI$1+1,"Z",IF($AC335="","",IF(INDEX($V$5:$V$404,$AC335)="","",IF(331&gt;INDEX($AB$5:$AB$404,$AC335)+INDEX($Z$5:$Z$404,$AC335)+INDEX($AA$5:$AA$404,$AC335)+INDEX($AO$5:$AO$404,$AC335),"",IF(331=INDEX($AB$5:$AB$404,$AC335)+INDEX($Z$5:$Z$404,$AC335),"D",IF(AND(INDEX($Z$5:$Z$404,$AC335)=1,331=INDEX($AB$5:$AB$404,$AC335)),"H",IF(AND(INDEX($AO$5:$AO$404,$AC335)=1,331=INDEX($AB$5:$AB$404,$AC335)+INDEX($Z$5:$Z$404,$AC335)+INDEX($AA$5:$AA$404,$AC335)+INDEX($AO$5:$AO$404,$AC335)),"B","T")))))))</f>
        <v/>
      </c>
      <c r="AF335" t="str">
        <f t="shared" si="158"/>
        <v/>
      </c>
      <c r="AJ335">
        <f>IF($AD335&lt;&gt;"T",0,ROUND(SUMIF(oil!$B$4:$B$63,$AF335,oil!$AE$4:$AE$63),2))</f>
        <v>0</v>
      </c>
      <c r="AK335" t="str">
        <f>IF($S335="","",IFERROR(INDEX(อัตราค่าขนส่ง!$R$5:$R$54,MATCH($S335,อัตราค่าขนส่ง!$Q$5:$Q$54,0)),INDEX(รายการมาตรฐาน!$G$2:$G$3,1)))</f>
        <v/>
      </c>
      <c r="AL335" t="str">
        <f>IF($S335="","",IFERROR(MATCH($AK335,รายการมาตรฐาน!$G$2:$G$3,0),1))</f>
        <v/>
      </c>
      <c r="AM335" t="str">
        <f t="shared" si="159"/>
        <v/>
      </c>
      <c r="AN335" t="str">
        <f t="shared" si="160"/>
        <v/>
      </c>
      <c r="AO335">
        <f t="shared" si="161"/>
        <v>0</v>
      </c>
      <c r="AP335">
        <f t="shared" si="167"/>
        <v>0</v>
      </c>
      <c r="AQ335" t="str">
        <f t="shared" si="162"/>
        <v/>
      </c>
      <c r="AR335">
        <f>IF($Y335="",0,COUNTIF(บันทึกรายเที่ยว!$V$6:$V$10005,$Y335))</f>
        <v>0</v>
      </c>
      <c r="AS335">
        <f>IF($Y335="",0,ROUND(SUMIF(บันทึกรายเที่ยว!$V$6:$V$10005,$Y335,บันทึกรายเที่ยว!$M$6:$M$10005),2))</f>
        <v>0</v>
      </c>
      <c r="AT335">
        <f>IF($Y335="",0,IFERROR(INDEX(อัตราค่าขนส่ง!$J$5:$J$204,MATCH($Y335,อัตราค่าขนส่ง!$O$5:$O$204,0)),0))</f>
        <v>0</v>
      </c>
      <c r="AU335">
        <f t="shared" si="163"/>
        <v>0</v>
      </c>
      <c r="AV335">
        <f t="shared" si="164"/>
        <v>0</v>
      </c>
      <c r="AW335" t="str">
        <f>IF($Y335="","",IFERROR(INDEX(อัตราค่าขนส่ง!$F$5:$F$204,MATCH($Y335,อัตราค่าขนส่ง!$O$5:$O$204,0)),""))</f>
        <v/>
      </c>
      <c r="AX335" t="str">
        <f>IF($W335="","",INDEX(บันทึกรายเที่ยว!$D$6:$D$10005,$W335))</f>
        <v/>
      </c>
      <c r="AY335" t="str">
        <f>IF($W335="","",INDEX(บันทึกรายเที่ยว!$R$6:$R$10005,$W335))</f>
        <v/>
      </c>
      <c r="AZ335">
        <f t="shared" si="165"/>
        <v>0</v>
      </c>
      <c r="BA335" t="str">
        <f>IF($W335="","",INDEX(บันทึกรายเที่ยว!$E$6:$E$10005,$W335))</f>
        <v/>
      </c>
      <c r="BC335">
        <f>IF($Y335="",0,IFERROR(INDEX(อัตราค่าขนส่ง!$M$5:$M$204,MATCH($Y335,อัตราค่าขนส่ง!$O$5:$O$204,0)),0))</f>
        <v>0</v>
      </c>
      <c r="BD335">
        <f>IF($Y335="",0,IFERROR(INDEX(อัตราค่าขนส่ง!$N$5:$N$204,MATCH($Y335,อัตราค่าขนส่ง!$O$5:$O$204,0)),0))</f>
        <v>0</v>
      </c>
    </row>
    <row r="336" spans="1:56" ht="21" customHeight="1" x14ac:dyDescent="0.95">
      <c r="A336" s="36" t="str">
        <f>IF($AD336="","",IF($AD336="Z","รวมจ่ายทั้งสิ้น",IF($AD336="H",INDEX($X$5:$X$404,$AC336),IF($AD336="T","รวม",IF($AD336="B",IFERROR(INDEX(อัตราค่าขนส่ง!$U$5:$U$14,MATCH(INDEX($AM$5:$AM$404,$AC336),อัตราค่าขนส่ง!$T$5:$T$14,0)),"รวมกลุ่ม "&amp;INDEX($AM$5:$AM$404,$AC336)),INDEX($AY$5:$AY$404,$AC336))))))</f>
        <v/>
      </c>
      <c r="B336" s="31" t="str">
        <f t="shared" si="140"/>
        <v/>
      </c>
      <c r="C336" s="8" t="str">
        <f t="shared" si="141"/>
        <v/>
      </c>
      <c r="D336" s="37" t="str">
        <f t="shared" si="142"/>
        <v/>
      </c>
      <c r="E336" s="31" t="str">
        <f t="shared" si="143"/>
        <v/>
      </c>
      <c r="F336" s="32" t="str">
        <f t="shared" si="144"/>
        <v/>
      </c>
      <c r="G336" s="32" t="str">
        <f t="shared" si="145"/>
        <v/>
      </c>
      <c r="H336" s="32" t="str">
        <f t="shared" si="146"/>
        <v/>
      </c>
      <c r="I336" s="32" t="str">
        <f t="shared" si="147"/>
        <v/>
      </c>
      <c r="J336" s="46" t="str">
        <f t="shared" si="148"/>
        <v/>
      </c>
      <c r="K336" s="32" t="str">
        <f t="shared" si="149"/>
        <v/>
      </c>
      <c r="L336" s="32" t="str">
        <f t="shared" si="150"/>
        <v/>
      </c>
      <c r="M336" s="32" t="str">
        <f t="shared" si="151"/>
        <v/>
      </c>
      <c r="N336" s="32" t="str">
        <f t="shared" si="152"/>
        <v/>
      </c>
      <c r="O336" s="32" t="str">
        <f t="shared" si="153"/>
        <v/>
      </c>
      <c r="Q336" t="str">
        <f>IFERROR(MATCH(332,บันทึกรายเที่ยว!$Z$6:$Z$10005,0),"")</f>
        <v/>
      </c>
      <c r="R336" t="str">
        <f>IF($Q336="","",INDEX(บันทึกรายเที่ยว!$V$6:$V$10005,$Q336))</f>
        <v/>
      </c>
      <c r="S336" t="str">
        <f>IF($Q336="","",INDEX(บันทึกรายเที่ยว!$F$6:$F$10005,$Q336))</f>
        <v/>
      </c>
      <c r="T336" t="str">
        <f>IF($Q336="","",MATCH($S336,บันทึกรายเที่ยว!$F$6:$F$10005,0))</f>
        <v/>
      </c>
      <c r="U336" t="str">
        <f>IF($Q336="","",$AL336*10000000+$T336*1000+332)</f>
        <v/>
      </c>
      <c r="V336" t="str">
        <f>IFERROR(MATCH(SMALL($U$5:$U$404,332),$U$5:$U$404,0),"")</f>
        <v/>
      </c>
      <c r="W336" t="str">
        <f t="shared" si="154"/>
        <v/>
      </c>
      <c r="X336" t="str">
        <f t="shared" si="155"/>
        <v/>
      </c>
      <c r="Y336" t="str">
        <f t="shared" si="156"/>
        <v/>
      </c>
      <c r="Z336">
        <f t="shared" si="166"/>
        <v>0</v>
      </c>
      <c r="AA336">
        <f t="shared" si="157"/>
        <v>0</v>
      </c>
      <c r="AB336">
        <f>IF($V336="",99999+332,$AB335+1+$Z335+$AA335+$AO335)</f>
        <v>100331</v>
      </c>
      <c r="AC336" t="str">
        <f>IFERROR(MATCH(332,$AB$5:$AB$404,1),"")</f>
        <v/>
      </c>
      <c r="AD336" t="str">
        <f>IF(332=$AI$1+1,"Z",IF($AC336="","",IF(INDEX($V$5:$V$404,$AC336)="","",IF(332&gt;INDEX($AB$5:$AB$404,$AC336)+INDEX($Z$5:$Z$404,$AC336)+INDEX($AA$5:$AA$404,$AC336)+INDEX($AO$5:$AO$404,$AC336),"",IF(332=INDEX($AB$5:$AB$404,$AC336)+INDEX($Z$5:$Z$404,$AC336),"D",IF(AND(INDEX($Z$5:$Z$404,$AC336)=1,332=INDEX($AB$5:$AB$404,$AC336)),"H",IF(AND(INDEX($AO$5:$AO$404,$AC336)=1,332=INDEX($AB$5:$AB$404,$AC336)+INDEX($Z$5:$Z$404,$AC336)+INDEX($AA$5:$AA$404,$AC336)+INDEX($AO$5:$AO$404,$AC336)),"B","T")))))))</f>
        <v/>
      </c>
      <c r="AF336" t="str">
        <f t="shared" si="158"/>
        <v/>
      </c>
      <c r="AJ336">
        <f>IF($AD336&lt;&gt;"T",0,ROUND(SUMIF(oil!$B$4:$B$63,$AF336,oil!$AE$4:$AE$63),2))</f>
        <v>0</v>
      </c>
      <c r="AK336" t="str">
        <f>IF($S336="","",IFERROR(INDEX(อัตราค่าขนส่ง!$R$5:$R$54,MATCH($S336,อัตราค่าขนส่ง!$Q$5:$Q$54,0)),INDEX(รายการมาตรฐาน!$G$2:$G$3,1)))</f>
        <v/>
      </c>
      <c r="AL336" t="str">
        <f>IF($S336="","",IFERROR(MATCH($AK336,รายการมาตรฐาน!$G$2:$G$3,0),1))</f>
        <v/>
      </c>
      <c r="AM336" t="str">
        <f t="shared" si="159"/>
        <v/>
      </c>
      <c r="AN336" t="str">
        <f t="shared" si="160"/>
        <v/>
      </c>
      <c r="AO336">
        <f t="shared" si="161"/>
        <v>0</v>
      </c>
      <c r="AP336">
        <f t="shared" si="167"/>
        <v>0</v>
      </c>
      <c r="AQ336" t="str">
        <f t="shared" si="162"/>
        <v/>
      </c>
      <c r="AR336">
        <f>IF($Y336="",0,COUNTIF(บันทึกรายเที่ยว!$V$6:$V$10005,$Y336))</f>
        <v>0</v>
      </c>
      <c r="AS336">
        <f>IF($Y336="",0,ROUND(SUMIF(บันทึกรายเที่ยว!$V$6:$V$10005,$Y336,บันทึกรายเที่ยว!$M$6:$M$10005),2))</f>
        <v>0</v>
      </c>
      <c r="AT336">
        <f>IF($Y336="",0,IFERROR(INDEX(อัตราค่าขนส่ง!$J$5:$J$204,MATCH($Y336,อัตราค่าขนส่ง!$O$5:$O$204,0)),0))</f>
        <v>0</v>
      </c>
      <c r="AU336">
        <f t="shared" si="163"/>
        <v>0</v>
      </c>
      <c r="AV336">
        <f t="shared" si="164"/>
        <v>0</v>
      </c>
      <c r="AW336" t="str">
        <f>IF($Y336="","",IFERROR(INDEX(อัตราค่าขนส่ง!$F$5:$F$204,MATCH($Y336,อัตราค่าขนส่ง!$O$5:$O$204,0)),""))</f>
        <v/>
      </c>
      <c r="AX336" t="str">
        <f>IF($W336="","",INDEX(บันทึกรายเที่ยว!$D$6:$D$10005,$W336))</f>
        <v/>
      </c>
      <c r="AY336" t="str">
        <f>IF($W336="","",INDEX(บันทึกรายเที่ยว!$R$6:$R$10005,$W336))</f>
        <v/>
      </c>
      <c r="AZ336">
        <f t="shared" si="165"/>
        <v>0</v>
      </c>
      <c r="BA336" t="str">
        <f>IF($W336="","",INDEX(บันทึกรายเที่ยว!$E$6:$E$10005,$W336))</f>
        <v/>
      </c>
      <c r="BC336">
        <f>IF($Y336="",0,IFERROR(INDEX(อัตราค่าขนส่ง!$M$5:$M$204,MATCH($Y336,อัตราค่าขนส่ง!$O$5:$O$204,0)),0))</f>
        <v>0</v>
      </c>
      <c r="BD336">
        <f>IF($Y336="",0,IFERROR(INDEX(อัตราค่าขนส่ง!$N$5:$N$204,MATCH($Y336,อัตราค่าขนส่ง!$O$5:$O$204,0)),0))</f>
        <v>0</v>
      </c>
    </row>
    <row r="337" spans="1:56" ht="21" customHeight="1" x14ac:dyDescent="0.95">
      <c r="A337" s="36" t="str">
        <f>IF($AD337="","",IF($AD337="Z","รวมจ่ายทั้งสิ้น",IF($AD337="H",INDEX($X$5:$X$404,$AC337),IF($AD337="T","รวม",IF($AD337="B",IFERROR(INDEX(อัตราค่าขนส่ง!$U$5:$U$14,MATCH(INDEX($AM$5:$AM$404,$AC337),อัตราค่าขนส่ง!$T$5:$T$14,0)),"รวมกลุ่ม "&amp;INDEX($AM$5:$AM$404,$AC337)),INDEX($AY$5:$AY$404,$AC337))))))</f>
        <v/>
      </c>
      <c r="B337" s="31" t="str">
        <f t="shared" si="140"/>
        <v/>
      </c>
      <c r="C337" s="8" t="str">
        <f t="shared" si="141"/>
        <v/>
      </c>
      <c r="D337" s="37" t="str">
        <f t="shared" si="142"/>
        <v/>
      </c>
      <c r="E337" s="31" t="str">
        <f t="shared" si="143"/>
        <v/>
      </c>
      <c r="F337" s="32" t="str">
        <f t="shared" si="144"/>
        <v/>
      </c>
      <c r="G337" s="32" t="str">
        <f t="shared" si="145"/>
        <v/>
      </c>
      <c r="H337" s="32" t="str">
        <f t="shared" si="146"/>
        <v/>
      </c>
      <c r="I337" s="32" t="str">
        <f t="shared" si="147"/>
        <v/>
      </c>
      <c r="J337" s="46" t="str">
        <f t="shared" si="148"/>
        <v/>
      </c>
      <c r="K337" s="32" t="str">
        <f t="shared" si="149"/>
        <v/>
      </c>
      <c r="L337" s="32" t="str">
        <f t="shared" si="150"/>
        <v/>
      </c>
      <c r="M337" s="32" t="str">
        <f t="shared" si="151"/>
        <v/>
      </c>
      <c r="N337" s="32" t="str">
        <f t="shared" si="152"/>
        <v/>
      </c>
      <c r="O337" s="32" t="str">
        <f t="shared" si="153"/>
        <v/>
      </c>
      <c r="Q337" t="str">
        <f>IFERROR(MATCH(333,บันทึกรายเที่ยว!$Z$6:$Z$10005,0),"")</f>
        <v/>
      </c>
      <c r="R337" t="str">
        <f>IF($Q337="","",INDEX(บันทึกรายเที่ยว!$V$6:$V$10005,$Q337))</f>
        <v/>
      </c>
      <c r="S337" t="str">
        <f>IF($Q337="","",INDEX(บันทึกรายเที่ยว!$F$6:$F$10005,$Q337))</f>
        <v/>
      </c>
      <c r="T337" t="str">
        <f>IF($Q337="","",MATCH($S337,บันทึกรายเที่ยว!$F$6:$F$10005,0))</f>
        <v/>
      </c>
      <c r="U337" t="str">
        <f>IF($Q337="","",$AL337*10000000+$T337*1000+333)</f>
        <v/>
      </c>
      <c r="V337" t="str">
        <f>IFERROR(MATCH(SMALL($U$5:$U$404,333),$U$5:$U$404,0),"")</f>
        <v/>
      </c>
      <c r="W337" t="str">
        <f t="shared" si="154"/>
        <v/>
      </c>
      <c r="X337" t="str">
        <f t="shared" si="155"/>
        <v/>
      </c>
      <c r="Y337" t="str">
        <f t="shared" si="156"/>
        <v/>
      </c>
      <c r="Z337">
        <f t="shared" si="166"/>
        <v>0</v>
      </c>
      <c r="AA337">
        <f t="shared" si="157"/>
        <v>0</v>
      </c>
      <c r="AB337">
        <f>IF($V337="",99999+333,$AB336+1+$Z336+$AA336+$AO336)</f>
        <v>100332</v>
      </c>
      <c r="AC337" t="str">
        <f>IFERROR(MATCH(333,$AB$5:$AB$404,1),"")</f>
        <v/>
      </c>
      <c r="AD337" t="str">
        <f>IF(333=$AI$1+1,"Z",IF($AC337="","",IF(INDEX($V$5:$V$404,$AC337)="","",IF(333&gt;INDEX($AB$5:$AB$404,$AC337)+INDEX($Z$5:$Z$404,$AC337)+INDEX($AA$5:$AA$404,$AC337)+INDEX($AO$5:$AO$404,$AC337),"",IF(333=INDEX($AB$5:$AB$404,$AC337)+INDEX($Z$5:$Z$404,$AC337),"D",IF(AND(INDEX($Z$5:$Z$404,$AC337)=1,333=INDEX($AB$5:$AB$404,$AC337)),"H",IF(AND(INDEX($AO$5:$AO$404,$AC337)=1,333=INDEX($AB$5:$AB$404,$AC337)+INDEX($Z$5:$Z$404,$AC337)+INDEX($AA$5:$AA$404,$AC337)+INDEX($AO$5:$AO$404,$AC337)),"B","T")))))))</f>
        <v/>
      </c>
      <c r="AF337" t="str">
        <f t="shared" si="158"/>
        <v/>
      </c>
      <c r="AJ337">
        <f>IF($AD337&lt;&gt;"T",0,ROUND(SUMIF(oil!$B$4:$B$63,$AF337,oil!$AE$4:$AE$63),2))</f>
        <v>0</v>
      </c>
      <c r="AK337" t="str">
        <f>IF($S337="","",IFERROR(INDEX(อัตราค่าขนส่ง!$R$5:$R$54,MATCH($S337,อัตราค่าขนส่ง!$Q$5:$Q$54,0)),INDEX(รายการมาตรฐาน!$G$2:$G$3,1)))</f>
        <v/>
      </c>
      <c r="AL337" t="str">
        <f>IF($S337="","",IFERROR(MATCH($AK337,รายการมาตรฐาน!$G$2:$G$3,0),1))</f>
        <v/>
      </c>
      <c r="AM337" t="str">
        <f t="shared" si="159"/>
        <v/>
      </c>
      <c r="AN337" t="str">
        <f t="shared" si="160"/>
        <v/>
      </c>
      <c r="AO337">
        <f t="shared" si="161"/>
        <v>0</v>
      </c>
      <c r="AP337">
        <f t="shared" si="167"/>
        <v>0</v>
      </c>
      <c r="AQ337" t="str">
        <f t="shared" si="162"/>
        <v/>
      </c>
      <c r="AR337">
        <f>IF($Y337="",0,COUNTIF(บันทึกรายเที่ยว!$V$6:$V$10005,$Y337))</f>
        <v>0</v>
      </c>
      <c r="AS337">
        <f>IF($Y337="",0,ROUND(SUMIF(บันทึกรายเที่ยว!$V$6:$V$10005,$Y337,บันทึกรายเที่ยว!$M$6:$M$10005),2))</f>
        <v>0</v>
      </c>
      <c r="AT337">
        <f>IF($Y337="",0,IFERROR(INDEX(อัตราค่าขนส่ง!$J$5:$J$204,MATCH($Y337,อัตราค่าขนส่ง!$O$5:$O$204,0)),0))</f>
        <v>0</v>
      </c>
      <c r="AU337">
        <f t="shared" si="163"/>
        <v>0</v>
      </c>
      <c r="AV337">
        <f t="shared" si="164"/>
        <v>0</v>
      </c>
      <c r="AW337" t="str">
        <f>IF($Y337="","",IFERROR(INDEX(อัตราค่าขนส่ง!$F$5:$F$204,MATCH($Y337,อัตราค่าขนส่ง!$O$5:$O$204,0)),""))</f>
        <v/>
      </c>
      <c r="AX337" t="str">
        <f>IF($W337="","",INDEX(บันทึกรายเที่ยว!$D$6:$D$10005,$W337))</f>
        <v/>
      </c>
      <c r="AY337" t="str">
        <f>IF($W337="","",INDEX(บันทึกรายเที่ยว!$R$6:$R$10005,$W337))</f>
        <v/>
      </c>
      <c r="AZ337">
        <f t="shared" si="165"/>
        <v>0</v>
      </c>
      <c r="BA337" t="str">
        <f>IF($W337="","",INDEX(บันทึกรายเที่ยว!$E$6:$E$10005,$W337))</f>
        <v/>
      </c>
      <c r="BC337">
        <f>IF($Y337="",0,IFERROR(INDEX(อัตราค่าขนส่ง!$M$5:$M$204,MATCH($Y337,อัตราค่าขนส่ง!$O$5:$O$204,0)),0))</f>
        <v>0</v>
      </c>
      <c r="BD337">
        <f>IF($Y337="",0,IFERROR(INDEX(อัตราค่าขนส่ง!$N$5:$N$204,MATCH($Y337,อัตราค่าขนส่ง!$O$5:$O$204,0)),0))</f>
        <v>0</v>
      </c>
    </row>
    <row r="338" spans="1:56" ht="21" customHeight="1" x14ac:dyDescent="0.95">
      <c r="A338" s="36" t="str">
        <f>IF($AD338="","",IF($AD338="Z","รวมจ่ายทั้งสิ้น",IF($AD338="H",INDEX($X$5:$X$404,$AC338),IF($AD338="T","รวม",IF($AD338="B",IFERROR(INDEX(อัตราค่าขนส่ง!$U$5:$U$14,MATCH(INDEX($AM$5:$AM$404,$AC338),อัตราค่าขนส่ง!$T$5:$T$14,0)),"รวมกลุ่ม "&amp;INDEX($AM$5:$AM$404,$AC338)),INDEX($AY$5:$AY$404,$AC338))))))</f>
        <v/>
      </c>
      <c r="B338" s="31" t="str">
        <f t="shared" si="140"/>
        <v/>
      </c>
      <c r="C338" s="8" t="str">
        <f t="shared" si="141"/>
        <v/>
      </c>
      <c r="D338" s="37" t="str">
        <f t="shared" si="142"/>
        <v/>
      </c>
      <c r="E338" s="31" t="str">
        <f t="shared" si="143"/>
        <v/>
      </c>
      <c r="F338" s="32" t="str">
        <f t="shared" si="144"/>
        <v/>
      </c>
      <c r="G338" s="32" t="str">
        <f t="shared" si="145"/>
        <v/>
      </c>
      <c r="H338" s="32" t="str">
        <f t="shared" si="146"/>
        <v/>
      </c>
      <c r="I338" s="32" t="str">
        <f t="shared" si="147"/>
        <v/>
      </c>
      <c r="J338" s="46" t="str">
        <f t="shared" si="148"/>
        <v/>
      </c>
      <c r="K338" s="32" t="str">
        <f t="shared" si="149"/>
        <v/>
      </c>
      <c r="L338" s="32" t="str">
        <f t="shared" si="150"/>
        <v/>
      </c>
      <c r="M338" s="32" t="str">
        <f t="shared" si="151"/>
        <v/>
      </c>
      <c r="N338" s="32" t="str">
        <f t="shared" si="152"/>
        <v/>
      </c>
      <c r="O338" s="32" t="str">
        <f t="shared" si="153"/>
        <v/>
      </c>
      <c r="Q338" t="str">
        <f>IFERROR(MATCH(334,บันทึกรายเที่ยว!$Z$6:$Z$10005,0),"")</f>
        <v/>
      </c>
      <c r="R338" t="str">
        <f>IF($Q338="","",INDEX(บันทึกรายเที่ยว!$V$6:$V$10005,$Q338))</f>
        <v/>
      </c>
      <c r="S338" t="str">
        <f>IF($Q338="","",INDEX(บันทึกรายเที่ยว!$F$6:$F$10005,$Q338))</f>
        <v/>
      </c>
      <c r="T338" t="str">
        <f>IF($Q338="","",MATCH($S338,บันทึกรายเที่ยว!$F$6:$F$10005,0))</f>
        <v/>
      </c>
      <c r="U338" t="str">
        <f>IF($Q338="","",$AL338*10000000+$T338*1000+334)</f>
        <v/>
      </c>
      <c r="V338" t="str">
        <f>IFERROR(MATCH(SMALL($U$5:$U$404,334),$U$5:$U$404,0),"")</f>
        <v/>
      </c>
      <c r="W338" t="str">
        <f t="shared" si="154"/>
        <v/>
      </c>
      <c r="X338" t="str">
        <f t="shared" si="155"/>
        <v/>
      </c>
      <c r="Y338" t="str">
        <f t="shared" si="156"/>
        <v/>
      </c>
      <c r="Z338">
        <f t="shared" si="166"/>
        <v>0</v>
      </c>
      <c r="AA338">
        <f t="shared" si="157"/>
        <v>0</v>
      </c>
      <c r="AB338">
        <f>IF($V338="",99999+334,$AB337+1+$Z337+$AA337+$AO337)</f>
        <v>100333</v>
      </c>
      <c r="AC338" t="str">
        <f>IFERROR(MATCH(334,$AB$5:$AB$404,1),"")</f>
        <v/>
      </c>
      <c r="AD338" t="str">
        <f>IF(334=$AI$1+1,"Z",IF($AC338="","",IF(INDEX($V$5:$V$404,$AC338)="","",IF(334&gt;INDEX($AB$5:$AB$404,$AC338)+INDEX($Z$5:$Z$404,$AC338)+INDEX($AA$5:$AA$404,$AC338)+INDEX($AO$5:$AO$404,$AC338),"",IF(334=INDEX($AB$5:$AB$404,$AC338)+INDEX($Z$5:$Z$404,$AC338),"D",IF(AND(INDEX($Z$5:$Z$404,$AC338)=1,334=INDEX($AB$5:$AB$404,$AC338)),"H",IF(AND(INDEX($AO$5:$AO$404,$AC338)=1,334=INDEX($AB$5:$AB$404,$AC338)+INDEX($Z$5:$Z$404,$AC338)+INDEX($AA$5:$AA$404,$AC338)+INDEX($AO$5:$AO$404,$AC338)),"B","T")))))))</f>
        <v/>
      </c>
      <c r="AF338" t="str">
        <f t="shared" si="158"/>
        <v/>
      </c>
      <c r="AJ338">
        <f>IF($AD338&lt;&gt;"T",0,ROUND(SUMIF(oil!$B$4:$B$63,$AF338,oil!$AE$4:$AE$63),2))</f>
        <v>0</v>
      </c>
      <c r="AK338" t="str">
        <f>IF($S338="","",IFERROR(INDEX(อัตราค่าขนส่ง!$R$5:$R$54,MATCH($S338,อัตราค่าขนส่ง!$Q$5:$Q$54,0)),INDEX(รายการมาตรฐาน!$G$2:$G$3,1)))</f>
        <v/>
      </c>
      <c r="AL338" t="str">
        <f>IF($S338="","",IFERROR(MATCH($AK338,รายการมาตรฐาน!$G$2:$G$3,0),1))</f>
        <v/>
      </c>
      <c r="AM338" t="str">
        <f t="shared" si="159"/>
        <v/>
      </c>
      <c r="AN338" t="str">
        <f t="shared" si="160"/>
        <v/>
      </c>
      <c r="AO338">
        <f t="shared" si="161"/>
        <v>0</v>
      </c>
      <c r="AP338">
        <f t="shared" si="167"/>
        <v>0</v>
      </c>
      <c r="AQ338" t="str">
        <f t="shared" si="162"/>
        <v/>
      </c>
      <c r="AR338">
        <f>IF($Y338="",0,COUNTIF(บันทึกรายเที่ยว!$V$6:$V$10005,$Y338))</f>
        <v>0</v>
      </c>
      <c r="AS338">
        <f>IF($Y338="",0,ROUND(SUMIF(บันทึกรายเที่ยว!$V$6:$V$10005,$Y338,บันทึกรายเที่ยว!$M$6:$M$10005),2))</f>
        <v>0</v>
      </c>
      <c r="AT338">
        <f>IF($Y338="",0,IFERROR(INDEX(อัตราค่าขนส่ง!$J$5:$J$204,MATCH($Y338,อัตราค่าขนส่ง!$O$5:$O$204,0)),0))</f>
        <v>0</v>
      </c>
      <c r="AU338">
        <f t="shared" si="163"/>
        <v>0</v>
      </c>
      <c r="AV338">
        <f t="shared" si="164"/>
        <v>0</v>
      </c>
      <c r="AW338" t="str">
        <f>IF($Y338="","",IFERROR(INDEX(อัตราค่าขนส่ง!$F$5:$F$204,MATCH($Y338,อัตราค่าขนส่ง!$O$5:$O$204,0)),""))</f>
        <v/>
      </c>
      <c r="AX338" t="str">
        <f>IF($W338="","",INDEX(บันทึกรายเที่ยว!$D$6:$D$10005,$W338))</f>
        <v/>
      </c>
      <c r="AY338" t="str">
        <f>IF($W338="","",INDEX(บันทึกรายเที่ยว!$R$6:$R$10005,$W338))</f>
        <v/>
      </c>
      <c r="AZ338">
        <f t="shared" si="165"/>
        <v>0</v>
      </c>
      <c r="BA338" t="str">
        <f>IF($W338="","",INDEX(บันทึกรายเที่ยว!$E$6:$E$10005,$W338))</f>
        <v/>
      </c>
      <c r="BC338">
        <f>IF($Y338="",0,IFERROR(INDEX(อัตราค่าขนส่ง!$M$5:$M$204,MATCH($Y338,อัตราค่าขนส่ง!$O$5:$O$204,0)),0))</f>
        <v>0</v>
      </c>
      <c r="BD338">
        <f>IF($Y338="",0,IFERROR(INDEX(อัตราค่าขนส่ง!$N$5:$N$204,MATCH($Y338,อัตราค่าขนส่ง!$O$5:$O$204,0)),0))</f>
        <v>0</v>
      </c>
    </row>
    <row r="339" spans="1:56" ht="21" customHeight="1" x14ac:dyDescent="0.95">
      <c r="A339" s="36" t="str">
        <f>IF($AD339="","",IF($AD339="Z","รวมจ่ายทั้งสิ้น",IF($AD339="H",INDEX($X$5:$X$404,$AC339),IF($AD339="T","รวม",IF($AD339="B",IFERROR(INDEX(อัตราค่าขนส่ง!$U$5:$U$14,MATCH(INDEX($AM$5:$AM$404,$AC339),อัตราค่าขนส่ง!$T$5:$T$14,0)),"รวมกลุ่ม "&amp;INDEX($AM$5:$AM$404,$AC339)),INDEX($AY$5:$AY$404,$AC339))))))</f>
        <v/>
      </c>
      <c r="B339" s="31" t="str">
        <f t="shared" si="140"/>
        <v/>
      </c>
      <c r="C339" s="8" t="str">
        <f t="shared" si="141"/>
        <v/>
      </c>
      <c r="D339" s="37" t="str">
        <f t="shared" si="142"/>
        <v/>
      </c>
      <c r="E339" s="31" t="str">
        <f t="shared" si="143"/>
        <v/>
      </c>
      <c r="F339" s="32" t="str">
        <f t="shared" si="144"/>
        <v/>
      </c>
      <c r="G339" s="32" t="str">
        <f t="shared" si="145"/>
        <v/>
      </c>
      <c r="H339" s="32" t="str">
        <f t="shared" si="146"/>
        <v/>
      </c>
      <c r="I339" s="32" t="str">
        <f t="shared" si="147"/>
        <v/>
      </c>
      <c r="J339" s="46" t="str">
        <f t="shared" si="148"/>
        <v/>
      </c>
      <c r="K339" s="32" t="str">
        <f t="shared" si="149"/>
        <v/>
      </c>
      <c r="L339" s="32" t="str">
        <f t="shared" si="150"/>
        <v/>
      </c>
      <c r="M339" s="32" t="str">
        <f t="shared" si="151"/>
        <v/>
      </c>
      <c r="N339" s="32" t="str">
        <f t="shared" si="152"/>
        <v/>
      </c>
      <c r="O339" s="32" t="str">
        <f t="shared" si="153"/>
        <v/>
      </c>
      <c r="Q339" t="str">
        <f>IFERROR(MATCH(335,บันทึกรายเที่ยว!$Z$6:$Z$10005,0),"")</f>
        <v/>
      </c>
      <c r="R339" t="str">
        <f>IF($Q339="","",INDEX(บันทึกรายเที่ยว!$V$6:$V$10005,$Q339))</f>
        <v/>
      </c>
      <c r="S339" t="str">
        <f>IF($Q339="","",INDEX(บันทึกรายเที่ยว!$F$6:$F$10005,$Q339))</f>
        <v/>
      </c>
      <c r="T339" t="str">
        <f>IF($Q339="","",MATCH($S339,บันทึกรายเที่ยว!$F$6:$F$10005,0))</f>
        <v/>
      </c>
      <c r="U339" t="str">
        <f>IF($Q339="","",$AL339*10000000+$T339*1000+335)</f>
        <v/>
      </c>
      <c r="V339" t="str">
        <f>IFERROR(MATCH(SMALL($U$5:$U$404,335),$U$5:$U$404,0),"")</f>
        <v/>
      </c>
      <c r="W339" t="str">
        <f t="shared" si="154"/>
        <v/>
      </c>
      <c r="X339" t="str">
        <f t="shared" si="155"/>
        <v/>
      </c>
      <c r="Y339" t="str">
        <f t="shared" si="156"/>
        <v/>
      </c>
      <c r="Z339">
        <f t="shared" si="166"/>
        <v>0</v>
      </c>
      <c r="AA339">
        <f t="shared" si="157"/>
        <v>0</v>
      </c>
      <c r="AB339">
        <f>IF($V339="",99999+335,$AB338+1+$Z338+$AA338+$AO338)</f>
        <v>100334</v>
      </c>
      <c r="AC339" t="str">
        <f>IFERROR(MATCH(335,$AB$5:$AB$404,1),"")</f>
        <v/>
      </c>
      <c r="AD339" t="str">
        <f>IF(335=$AI$1+1,"Z",IF($AC339="","",IF(INDEX($V$5:$V$404,$AC339)="","",IF(335&gt;INDEX($AB$5:$AB$404,$AC339)+INDEX($Z$5:$Z$404,$AC339)+INDEX($AA$5:$AA$404,$AC339)+INDEX($AO$5:$AO$404,$AC339),"",IF(335=INDEX($AB$5:$AB$404,$AC339)+INDEX($Z$5:$Z$404,$AC339),"D",IF(AND(INDEX($Z$5:$Z$404,$AC339)=1,335=INDEX($AB$5:$AB$404,$AC339)),"H",IF(AND(INDEX($AO$5:$AO$404,$AC339)=1,335=INDEX($AB$5:$AB$404,$AC339)+INDEX($Z$5:$Z$404,$AC339)+INDEX($AA$5:$AA$404,$AC339)+INDEX($AO$5:$AO$404,$AC339)),"B","T")))))))</f>
        <v/>
      </c>
      <c r="AF339" t="str">
        <f t="shared" si="158"/>
        <v/>
      </c>
      <c r="AJ339">
        <f>IF($AD339&lt;&gt;"T",0,ROUND(SUMIF(oil!$B$4:$B$63,$AF339,oil!$AE$4:$AE$63),2))</f>
        <v>0</v>
      </c>
      <c r="AK339" t="str">
        <f>IF($S339="","",IFERROR(INDEX(อัตราค่าขนส่ง!$R$5:$R$54,MATCH($S339,อัตราค่าขนส่ง!$Q$5:$Q$54,0)),INDEX(รายการมาตรฐาน!$G$2:$G$3,1)))</f>
        <v/>
      </c>
      <c r="AL339" t="str">
        <f>IF($S339="","",IFERROR(MATCH($AK339,รายการมาตรฐาน!$G$2:$G$3,0),1))</f>
        <v/>
      </c>
      <c r="AM339" t="str">
        <f t="shared" si="159"/>
        <v/>
      </c>
      <c r="AN339" t="str">
        <f t="shared" si="160"/>
        <v/>
      </c>
      <c r="AO339">
        <f t="shared" si="161"/>
        <v>0</v>
      </c>
      <c r="AP339">
        <f t="shared" si="167"/>
        <v>0</v>
      </c>
      <c r="AQ339" t="str">
        <f t="shared" si="162"/>
        <v/>
      </c>
      <c r="AR339">
        <f>IF($Y339="",0,COUNTIF(บันทึกรายเที่ยว!$V$6:$V$10005,$Y339))</f>
        <v>0</v>
      </c>
      <c r="AS339">
        <f>IF($Y339="",0,ROUND(SUMIF(บันทึกรายเที่ยว!$V$6:$V$10005,$Y339,บันทึกรายเที่ยว!$M$6:$M$10005),2))</f>
        <v>0</v>
      </c>
      <c r="AT339">
        <f>IF($Y339="",0,IFERROR(INDEX(อัตราค่าขนส่ง!$J$5:$J$204,MATCH($Y339,อัตราค่าขนส่ง!$O$5:$O$204,0)),0))</f>
        <v>0</v>
      </c>
      <c r="AU339">
        <f t="shared" si="163"/>
        <v>0</v>
      </c>
      <c r="AV339">
        <f t="shared" si="164"/>
        <v>0</v>
      </c>
      <c r="AW339" t="str">
        <f>IF($Y339="","",IFERROR(INDEX(อัตราค่าขนส่ง!$F$5:$F$204,MATCH($Y339,อัตราค่าขนส่ง!$O$5:$O$204,0)),""))</f>
        <v/>
      </c>
      <c r="AX339" t="str">
        <f>IF($W339="","",INDEX(บันทึกรายเที่ยว!$D$6:$D$10005,$W339))</f>
        <v/>
      </c>
      <c r="AY339" t="str">
        <f>IF($W339="","",INDEX(บันทึกรายเที่ยว!$R$6:$R$10005,$W339))</f>
        <v/>
      </c>
      <c r="AZ339">
        <f t="shared" si="165"/>
        <v>0</v>
      </c>
      <c r="BA339" t="str">
        <f>IF($W339="","",INDEX(บันทึกรายเที่ยว!$E$6:$E$10005,$W339))</f>
        <v/>
      </c>
      <c r="BC339">
        <f>IF($Y339="",0,IFERROR(INDEX(อัตราค่าขนส่ง!$M$5:$M$204,MATCH($Y339,อัตราค่าขนส่ง!$O$5:$O$204,0)),0))</f>
        <v>0</v>
      </c>
      <c r="BD339">
        <f>IF($Y339="",0,IFERROR(INDEX(อัตราค่าขนส่ง!$N$5:$N$204,MATCH($Y339,อัตราค่าขนส่ง!$O$5:$O$204,0)),0))</f>
        <v>0</v>
      </c>
    </row>
    <row r="340" spans="1:56" ht="21" customHeight="1" x14ac:dyDescent="0.95">
      <c r="A340" s="36" t="str">
        <f>IF($AD340="","",IF($AD340="Z","รวมจ่ายทั้งสิ้น",IF($AD340="H",INDEX($X$5:$X$404,$AC340),IF($AD340="T","รวม",IF($AD340="B",IFERROR(INDEX(อัตราค่าขนส่ง!$U$5:$U$14,MATCH(INDEX($AM$5:$AM$404,$AC340),อัตราค่าขนส่ง!$T$5:$T$14,0)),"รวมกลุ่ม "&amp;INDEX($AM$5:$AM$404,$AC340)),INDEX($AY$5:$AY$404,$AC340))))))</f>
        <v/>
      </c>
      <c r="B340" s="31" t="str">
        <f t="shared" si="140"/>
        <v/>
      </c>
      <c r="C340" s="8" t="str">
        <f t="shared" si="141"/>
        <v/>
      </c>
      <c r="D340" s="37" t="str">
        <f t="shared" si="142"/>
        <v/>
      </c>
      <c r="E340" s="31" t="str">
        <f t="shared" si="143"/>
        <v/>
      </c>
      <c r="F340" s="32" t="str">
        <f t="shared" si="144"/>
        <v/>
      </c>
      <c r="G340" s="32" t="str">
        <f t="shared" si="145"/>
        <v/>
      </c>
      <c r="H340" s="32" t="str">
        <f t="shared" si="146"/>
        <v/>
      </c>
      <c r="I340" s="32" t="str">
        <f t="shared" si="147"/>
        <v/>
      </c>
      <c r="J340" s="46" t="str">
        <f t="shared" si="148"/>
        <v/>
      </c>
      <c r="K340" s="32" t="str">
        <f t="shared" si="149"/>
        <v/>
      </c>
      <c r="L340" s="32" t="str">
        <f t="shared" si="150"/>
        <v/>
      </c>
      <c r="M340" s="32" t="str">
        <f t="shared" si="151"/>
        <v/>
      </c>
      <c r="N340" s="32" t="str">
        <f t="shared" si="152"/>
        <v/>
      </c>
      <c r="O340" s="32" t="str">
        <f t="shared" si="153"/>
        <v/>
      </c>
      <c r="Q340" t="str">
        <f>IFERROR(MATCH(336,บันทึกรายเที่ยว!$Z$6:$Z$10005,0),"")</f>
        <v/>
      </c>
      <c r="R340" t="str">
        <f>IF($Q340="","",INDEX(บันทึกรายเที่ยว!$V$6:$V$10005,$Q340))</f>
        <v/>
      </c>
      <c r="S340" t="str">
        <f>IF($Q340="","",INDEX(บันทึกรายเที่ยว!$F$6:$F$10005,$Q340))</f>
        <v/>
      </c>
      <c r="T340" t="str">
        <f>IF($Q340="","",MATCH($S340,บันทึกรายเที่ยว!$F$6:$F$10005,0))</f>
        <v/>
      </c>
      <c r="U340" t="str">
        <f>IF($Q340="","",$AL340*10000000+$T340*1000+336)</f>
        <v/>
      </c>
      <c r="V340" t="str">
        <f>IFERROR(MATCH(SMALL($U$5:$U$404,336),$U$5:$U$404,0),"")</f>
        <v/>
      </c>
      <c r="W340" t="str">
        <f t="shared" si="154"/>
        <v/>
      </c>
      <c r="X340" t="str">
        <f t="shared" si="155"/>
        <v/>
      </c>
      <c r="Y340" t="str">
        <f t="shared" si="156"/>
        <v/>
      </c>
      <c r="Z340">
        <f t="shared" si="166"/>
        <v>0</v>
      </c>
      <c r="AA340">
        <f t="shared" si="157"/>
        <v>0</v>
      </c>
      <c r="AB340">
        <f>IF($V340="",99999+336,$AB339+1+$Z339+$AA339+$AO339)</f>
        <v>100335</v>
      </c>
      <c r="AC340" t="str">
        <f>IFERROR(MATCH(336,$AB$5:$AB$404,1),"")</f>
        <v/>
      </c>
      <c r="AD340" t="str">
        <f>IF(336=$AI$1+1,"Z",IF($AC340="","",IF(INDEX($V$5:$V$404,$AC340)="","",IF(336&gt;INDEX($AB$5:$AB$404,$AC340)+INDEX($Z$5:$Z$404,$AC340)+INDEX($AA$5:$AA$404,$AC340)+INDEX($AO$5:$AO$404,$AC340),"",IF(336=INDEX($AB$5:$AB$404,$AC340)+INDEX($Z$5:$Z$404,$AC340),"D",IF(AND(INDEX($Z$5:$Z$404,$AC340)=1,336=INDEX($AB$5:$AB$404,$AC340)),"H",IF(AND(INDEX($AO$5:$AO$404,$AC340)=1,336=INDEX($AB$5:$AB$404,$AC340)+INDEX($Z$5:$Z$404,$AC340)+INDEX($AA$5:$AA$404,$AC340)+INDEX($AO$5:$AO$404,$AC340)),"B","T")))))))</f>
        <v/>
      </c>
      <c r="AF340" t="str">
        <f t="shared" si="158"/>
        <v/>
      </c>
      <c r="AJ340">
        <f>IF($AD340&lt;&gt;"T",0,ROUND(SUMIF(oil!$B$4:$B$63,$AF340,oil!$AE$4:$AE$63),2))</f>
        <v>0</v>
      </c>
      <c r="AK340" t="str">
        <f>IF($S340="","",IFERROR(INDEX(อัตราค่าขนส่ง!$R$5:$R$54,MATCH($S340,อัตราค่าขนส่ง!$Q$5:$Q$54,0)),INDEX(รายการมาตรฐาน!$G$2:$G$3,1)))</f>
        <v/>
      </c>
      <c r="AL340" t="str">
        <f>IF($S340="","",IFERROR(MATCH($AK340,รายการมาตรฐาน!$G$2:$G$3,0),1))</f>
        <v/>
      </c>
      <c r="AM340" t="str">
        <f t="shared" si="159"/>
        <v/>
      </c>
      <c r="AN340" t="str">
        <f t="shared" si="160"/>
        <v/>
      </c>
      <c r="AO340">
        <f t="shared" si="161"/>
        <v>0</v>
      </c>
      <c r="AP340">
        <f t="shared" si="167"/>
        <v>0</v>
      </c>
      <c r="AQ340" t="str">
        <f t="shared" si="162"/>
        <v/>
      </c>
      <c r="AR340">
        <f>IF($Y340="",0,COUNTIF(บันทึกรายเที่ยว!$V$6:$V$10005,$Y340))</f>
        <v>0</v>
      </c>
      <c r="AS340">
        <f>IF($Y340="",0,ROUND(SUMIF(บันทึกรายเที่ยว!$V$6:$V$10005,$Y340,บันทึกรายเที่ยว!$M$6:$M$10005),2))</f>
        <v>0</v>
      </c>
      <c r="AT340">
        <f>IF($Y340="",0,IFERROR(INDEX(อัตราค่าขนส่ง!$J$5:$J$204,MATCH($Y340,อัตราค่าขนส่ง!$O$5:$O$204,0)),0))</f>
        <v>0</v>
      </c>
      <c r="AU340">
        <f t="shared" si="163"/>
        <v>0</v>
      </c>
      <c r="AV340">
        <f t="shared" si="164"/>
        <v>0</v>
      </c>
      <c r="AW340" t="str">
        <f>IF($Y340="","",IFERROR(INDEX(อัตราค่าขนส่ง!$F$5:$F$204,MATCH($Y340,อัตราค่าขนส่ง!$O$5:$O$204,0)),""))</f>
        <v/>
      </c>
      <c r="AX340" t="str">
        <f>IF($W340="","",INDEX(บันทึกรายเที่ยว!$D$6:$D$10005,$W340))</f>
        <v/>
      </c>
      <c r="AY340" t="str">
        <f>IF($W340="","",INDEX(บันทึกรายเที่ยว!$R$6:$R$10005,$W340))</f>
        <v/>
      </c>
      <c r="AZ340">
        <f t="shared" si="165"/>
        <v>0</v>
      </c>
      <c r="BA340" t="str">
        <f>IF($W340="","",INDEX(บันทึกรายเที่ยว!$E$6:$E$10005,$W340))</f>
        <v/>
      </c>
      <c r="BC340">
        <f>IF($Y340="",0,IFERROR(INDEX(อัตราค่าขนส่ง!$M$5:$M$204,MATCH($Y340,อัตราค่าขนส่ง!$O$5:$O$204,0)),0))</f>
        <v>0</v>
      </c>
      <c r="BD340">
        <f>IF($Y340="",0,IFERROR(INDEX(อัตราค่าขนส่ง!$N$5:$N$204,MATCH($Y340,อัตราค่าขนส่ง!$O$5:$O$204,0)),0))</f>
        <v>0</v>
      </c>
    </row>
    <row r="341" spans="1:56" ht="21" customHeight="1" x14ac:dyDescent="0.95">
      <c r="A341" s="36" t="str">
        <f>IF($AD341="","",IF($AD341="Z","รวมจ่ายทั้งสิ้น",IF($AD341="H",INDEX($X$5:$X$404,$AC341),IF($AD341="T","รวม",IF($AD341="B",IFERROR(INDEX(อัตราค่าขนส่ง!$U$5:$U$14,MATCH(INDEX($AM$5:$AM$404,$AC341),อัตราค่าขนส่ง!$T$5:$T$14,0)),"รวมกลุ่ม "&amp;INDEX($AM$5:$AM$404,$AC341)),INDEX($AY$5:$AY$404,$AC341))))))</f>
        <v/>
      </c>
      <c r="B341" s="31" t="str">
        <f t="shared" si="140"/>
        <v/>
      </c>
      <c r="C341" s="8" t="str">
        <f t="shared" si="141"/>
        <v/>
      </c>
      <c r="D341" s="37" t="str">
        <f t="shared" si="142"/>
        <v/>
      </c>
      <c r="E341" s="31" t="str">
        <f t="shared" si="143"/>
        <v/>
      </c>
      <c r="F341" s="32" t="str">
        <f t="shared" si="144"/>
        <v/>
      </c>
      <c r="G341" s="32" t="str">
        <f t="shared" si="145"/>
        <v/>
      </c>
      <c r="H341" s="32" t="str">
        <f t="shared" si="146"/>
        <v/>
      </c>
      <c r="I341" s="32" t="str">
        <f t="shared" si="147"/>
        <v/>
      </c>
      <c r="J341" s="46" t="str">
        <f t="shared" si="148"/>
        <v/>
      </c>
      <c r="K341" s="32" t="str">
        <f t="shared" si="149"/>
        <v/>
      </c>
      <c r="L341" s="32" t="str">
        <f t="shared" si="150"/>
        <v/>
      </c>
      <c r="M341" s="32" t="str">
        <f t="shared" si="151"/>
        <v/>
      </c>
      <c r="N341" s="32" t="str">
        <f t="shared" si="152"/>
        <v/>
      </c>
      <c r="O341" s="32" t="str">
        <f t="shared" si="153"/>
        <v/>
      </c>
      <c r="Q341" t="str">
        <f>IFERROR(MATCH(337,บันทึกรายเที่ยว!$Z$6:$Z$10005,0),"")</f>
        <v/>
      </c>
      <c r="R341" t="str">
        <f>IF($Q341="","",INDEX(บันทึกรายเที่ยว!$V$6:$V$10005,$Q341))</f>
        <v/>
      </c>
      <c r="S341" t="str">
        <f>IF($Q341="","",INDEX(บันทึกรายเที่ยว!$F$6:$F$10005,$Q341))</f>
        <v/>
      </c>
      <c r="T341" t="str">
        <f>IF($Q341="","",MATCH($S341,บันทึกรายเที่ยว!$F$6:$F$10005,0))</f>
        <v/>
      </c>
      <c r="U341" t="str">
        <f>IF($Q341="","",$AL341*10000000+$T341*1000+337)</f>
        <v/>
      </c>
      <c r="V341" t="str">
        <f>IFERROR(MATCH(SMALL($U$5:$U$404,337),$U$5:$U$404,0),"")</f>
        <v/>
      </c>
      <c r="W341" t="str">
        <f t="shared" si="154"/>
        <v/>
      </c>
      <c r="X341" t="str">
        <f t="shared" si="155"/>
        <v/>
      </c>
      <c r="Y341" t="str">
        <f t="shared" si="156"/>
        <v/>
      </c>
      <c r="Z341">
        <f t="shared" si="166"/>
        <v>0</v>
      </c>
      <c r="AA341">
        <f t="shared" si="157"/>
        <v>0</v>
      </c>
      <c r="AB341">
        <f>IF($V341="",99999+337,$AB340+1+$Z340+$AA340+$AO340)</f>
        <v>100336</v>
      </c>
      <c r="AC341" t="str">
        <f>IFERROR(MATCH(337,$AB$5:$AB$404,1),"")</f>
        <v/>
      </c>
      <c r="AD341" t="str">
        <f>IF(337=$AI$1+1,"Z",IF($AC341="","",IF(INDEX($V$5:$V$404,$AC341)="","",IF(337&gt;INDEX($AB$5:$AB$404,$AC341)+INDEX($Z$5:$Z$404,$AC341)+INDEX($AA$5:$AA$404,$AC341)+INDEX($AO$5:$AO$404,$AC341),"",IF(337=INDEX($AB$5:$AB$404,$AC341)+INDEX($Z$5:$Z$404,$AC341),"D",IF(AND(INDEX($Z$5:$Z$404,$AC341)=1,337=INDEX($AB$5:$AB$404,$AC341)),"H",IF(AND(INDEX($AO$5:$AO$404,$AC341)=1,337=INDEX($AB$5:$AB$404,$AC341)+INDEX($Z$5:$Z$404,$AC341)+INDEX($AA$5:$AA$404,$AC341)+INDEX($AO$5:$AO$404,$AC341)),"B","T")))))))</f>
        <v/>
      </c>
      <c r="AF341" t="str">
        <f t="shared" si="158"/>
        <v/>
      </c>
      <c r="AJ341">
        <f>IF($AD341&lt;&gt;"T",0,ROUND(SUMIF(oil!$B$4:$B$63,$AF341,oil!$AE$4:$AE$63),2))</f>
        <v>0</v>
      </c>
      <c r="AK341" t="str">
        <f>IF($S341="","",IFERROR(INDEX(อัตราค่าขนส่ง!$R$5:$R$54,MATCH($S341,อัตราค่าขนส่ง!$Q$5:$Q$54,0)),INDEX(รายการมาตรฐาน!$G$2:$G$3,1)))</f>
        <v/>
      </c>
      <c r="AL341" t="str">
        <f>IF($S341="","",IFERROR(MATCH($AK341,รายการมาตรฐาน!$G$2:$G$3,0),1))</f>
        <v/>
      </c>
      <c r="AM341" t="str">
        <f t="shared" si="159"/>
        <v/>
      </c>
      <c r="AN341" t="str">
        <f t="shared" si="160"/>
        <v/>
      </c>
      <c r="AO341">
        <f t="shared" si="161"/>
        <v>0</v>
      </c>
      <c r="AP341">
        <f t="shared" si="167"/>
        <v>0</v>
      </c>
      <c r="AQ341" t="str">
        <f t="shared" si="162"/>
        <v/>
      </c>
      <c r="AR341">
        <f>IF($Y341="",0,COUNTIF(บันทึกรายเที่ยว!$V$6:$V$10005,$Y341))</f>
        <v>0</v>
      </c>
      <c r="AS341">
        <f>IF($Y341="",0,ROUND(SUMIF(บันทึกรายเที่ยว!$V$6:$V$10005,$Y341,บันทึกรายเที่ยว!$M$6:$M$10005),2))</f>
        <v>0</v>
      </c>
      <c r="AT341">
        <f>IF($Y341="",0,IFERROR(INDEX(อัตราค่าขนส่ง!$J$5:$J$204,MATCH($Y341,อัตราค่าขนส่ง!$O$5:$O$204,0)),0))</f>
        <v>0</v>
      </c>
      <c r="AU341">
        <f t="shared" si="163"/>
        <v>0</v>
      </c>
      <c r="AV341">
        <f t="shared" si="164"/>
        <v>0</v>
      </c>
      <c r="AW341" t="str">
        <f>IF($Y341="","",IFERROR(INDEX(อัตราค่าขนส่ง!$F$5:$F$204,MATCH($Y341,อัตราค่าขนส่ง!$O$5:$O$204,0)),""))</f>
        <v/>
      </c>
      <c r="AX341" t="str">
        <f>IF($W341="","",INDEX(บันทึกรายเที่ยว!$D$6:$D$10005,$W341))</f>
        <v/>
      </c>
      <c r="AY341" t="str">
        <f>IF($W341="","",INDEX(บันทึกรายเที่ยว!$R$6:$R$10005,$W341))</f>
        <v/>
      </c>
      <c r="AZ341">
        <f t="shared" si="165"/>
        <v>0</v>
      </c>
      <c r="BA341" t="str">
        <f>IF($W341="","",INDEX(บันทึกรายเที่ยว!$E$6:$E$10005,$W341))</f>
        <v/>
      </c>
      <c r="BC341">
        <f>IF($Y341="",0,IFERROR(INDEX(อัตราค่าขนส่ง!$M$5:$M$204,MATCH($Y341,อัตราค่าขนส่ง!$O$5:$O$204,0)),0))</f>
        <v>0</v>
      </c>
      <c r="BD341">
        <f>IF($Y341="",0,IFERROR(INDEX(อัตราค่าขนส่ง!$N$5:$N$204,MATCH($Y341,อัตราค่าขนส่ง!$O$5:$O$204,0)),0))</f>
        <v>0</v>
      </c>
    </row>
    <row r="342" spans="1:56" ht="21" customHeight="1" x14ac:dyDescent="0.95">
      <c r="A342" s="36" t="str">
        <f>IF($AD342="","",IF($AD342="Z","รวมจ่ายทั้งสิ้น",IF($AD342="H",INDEX($X$5:$X$404,$AC342),IF($AD342="T","รวม",IF($AD342="B",IFERROR(INDEX(อัตราค่าขนส่ง!$U$5:$U$14,MATCH(INDEX($AM$5:$AM$404,$AC342),อัตราค่าขนส่ง!$T$5:$T$14,0)),"รวมกลุ่ม "&amp;INDEX($AM$5:$AM$404,$AC342)),INDEX($AY$5:$AY$404,$AC342))))))</f>
        <v/>
      </c>
      <c r="B342" s="31" t="str">
        <f t="shared" si="140"/>
        <v/>
      </c>
      <c r="C342" s="8" t="str">
        <f t="shared" si="141"/>
        <v/>
      </c>
      <c r="D342" s="37" t="str">
        <f t="shared" si="142"/>
        <v/>
      </c>
      <c r="E342" s="31" t="str">
        <f t="shared" si="143"/>
        <v/>
      </c>
      <c r="F342" s="32" t="str">
        <f t="shared" si="144"/>
        <v/>
      </c>
      <c r="G342" s="32" t="str">
        <f t="shared" si="145"/>
        <v/>
      </c>
      <c r="H342" s="32" t="str">
        <f t="shared" si="146"/>
        <v/>
      </c>
      <c r="I342" s="32" t="str">
        <f t="shared" si="147"/>
        <v/>
      </c>
      <c r="J342" s="46" t="str">
        <f t="shared" si="148"/>
        <v/>
      </c>
      <c r="K342" s="32" t="str">
        <f t="shared" si="149"/>
        <v/>
      </c>
      <c r="L342" s="32" t="str">
        <f t="shared" si="150"/>
        <v/>
      </c>
      <c r="M342" s="32" t="str">
        <f t="shared" si="151"/>
        <v/>
      </c>
      <c r="N342" s="32" t="str">
        <f t="shared" si="152"/>
        <v/>
      </c>
      <c r="O342" s="32" t="str">
        <f t="shared" si="153"/>
        <v/>
      </c>
      <c r="Q342" t="str">
        <f>IFERROR(MATCH(338,บันทึกรายเที่ยว!$Z$6:$Z$10005,0),"")</f>
        <v/>
      </c>
      <c r="R342" t="str">
        <f>IF($Q342="","",INDEX(บันทึกรายเที่ยว!$V$6:$V$10005,$Q342))</f>
        <v/>
      </c>
      <c r="S342" t="str">
        <f>IF($Q342="","",INDEX(บันทึกรายเที่ยว!$F$6:$F$10005,$Q342))</f>
        <v/>
      </c>
      <c r="T342" t="str">
        <f>IF($Q342="","",MATCH($S342,บันทึกรายเที่ยว!$F$6:$F$10005,0))</f>
        <v/>
      </c>
      <c r="U342" t="str">
        <f>IF($Q342="","",$AL342*10000000+$T342*1000+338)</f>
        <v/>
      </c>
      <c r="V342" t="str">
        <f>IFERROR(MATCH(SMALL($U$5:$U$404,338),$U$5:$U$404,0),"")</f>
        <v/>
      </c>
      <c r="W342" t="str">
        <f t="shared" si="154"/>
        <v/>
      </c>
      <c r="X342" t="str">
        <f t="shared" si="155"/>
        <v/>
      </c>
      <c r="Y342" t="str">
        <f t="shared" si="156"/>
        <v/>
      </c>
      <c r="Z342">
        <f t="shared" si="166"/>
        <v>0</v>
      </c>
      <c r="AA342">
        <f t="shared" si="157"/>
        <v>0</v>
      </c>
      <c r="AB342">
        <f>IF($V342="",99999+338,$AB341+1+$Z341+$AA341+$AO341)</f>
        <v>100337</v>
      </c>
      <c r="AC342" t="str">
        <f>IFERROR(MATCH(338,$AB$5:$AB$404,1),"")</f>
        <v/>
      </c>
      <c r="AD342" t="str">
        <f>IF(338=$AI$1+1,"Z",IF($AC342="","",IF(INDEX($V$5:$V$404,$AC342)="","",IF(338&gt;INDEX($AB$5:$AB$404,$AC342)+INDEX($Z$5:$Z$404,$AC342)+INDEX($AA$5:$AA$404,$AC342)+INDEX($AO$5:$AO$404,$AC342),"",IF(338=INDEX($AB$5:$AB$404,$AC342)+INDEX($Z$5:$Z$404,$AC342),"D",IF(AND(INDEX($Z$5:$Z$404,$AC342)=1,338=INDEX($AB$5:$AB$404,$AC342)),"H",IF(AND(INDEX($AO$5:$AO$404,$AC342)=1,338=INDEX($AB$5:$AB$404,$AC342)+INDEX($Z$5:$Z$404,$AC342)+INDEX($AA$5:$AA$404,$AC342)+INDEX($AO$5:$AO$404,$AC342)),"B","T")))))))</f>
        <v/>
      </c>
      <c r="AF342" t="str">
        <f t="shared" si="158"/>
        <v/>
      </c>
      <c r="AJ342">
        <f>IF($AD342&lt;&gt;"T",0,ROUND(SUMIF(oil!$B$4:$B$63,$AF342,oil!$AE$4:$AE$63),2))</f>
        <v>0</v>
      </c>
      <c r="AK342" t="str">
        <f>IF($S342="","",IFERROR(INDEX(อัตราค่าขนส่ง!$R$5:$R$54,MATCH($S342,อัตราค่าขนส่ง!$Q$5:$Q$54,0)),INDEX(รายการมาตรฐาน!$G$2:$G$3,1)))</f>
        <v/>
      </c>
      <c r="AL342" t="str">
        <f>IF($S342="","",IFERROR(MATCH($AK342,รายการมาตรฐาน!$G$2:$G$3,0),1))</f>
        <v/>
      </c>
      <c r="AM342" t="str">
        <f t="shared" si="159"/>
        <v/>
      </c>
      <c r="AN342" t="str">
        <f t="shared" si="160"/>
        <v/>
      </c>
      <c r="AO342">
        <f t="shared" si="161"/>
        <v>0</v>
      </c>
      <c r="AP342">
        <f t="shared" si="167"/>
        <v>0</v>
      </c>
      <c r="AQ342" t="str">
        <f t="shared" si="162"/>
        <v/>
      </c>
      <c r="AR342">
        <f>IF($Y342="",0,COUNTIF(บันทึกรายเที่ยว!$V$6:$V$10005,$Y342))</f>
        <v>0</v>
      </c>
      <c r="AS342">
        <f>IF($Y342="",0,ROUND(SUMIF(บันทึกรายเที่ยว!$V$6:$V$10005,$Y342,บันทึกรายเที่ยว!$M$6:$M$10005),2))</f>
        <v>0</v>
      </c>
      <c r="AT342">
        <f>IF($Y342="",0,IFERROR(INDEX(อัตราค่าขนส่ง!$J$5:$J$204,MATCH($Y342,อัตราค่าขนส่ง!$O$5:$O$204,0)),0))</f>
        <v>0</v>
      </c>
      <c r="AU342">
        <f t="shared" si="163"/>
        <v>0</v>
      </c>
      <c r="AV342">
        <f t="shared" si="164"/>
        <v>0</v>
      </c>
      <c r="AW342" t="str">
        <f>IF($Y342="","",IFERROR(INDEX(อัตราค่าขนส่ง!$F$5:$F$204,MATCH($Y342,อัตราค่าขนส่ง!$O$5:$O$204,0)),""))</f>
        <v/>
      </c>
      <c r="AX342" t="str">
        <f>IF($W342="","",INDEX(บันทึกรายเที่ยว!$D$6:$D$10005,$W342))</f>
        <v/>
      </c>
      <c r="AY342" t="str">
        <f>IF($W342="","",INDEX(บันทึกรายเที่ยว!$R$6:$R$10005,$W342))</f>
        <v/>
      </c>
      <c r="AZ342">
        <f t="shared" si="165"/>
        <v>0</v>
      </c>
      <c r="BA342" t="str">
        <f>IF($W342="","",INDEX(บันทึกรายเที่ยว!$E$6:$E$10005,$W342))</f>
        <v/>
      </c>
      <c r="BC342">
        <f>IF($Y342="",0,IFERROR(INDEX(อัตราค่าขนส่ง!$M$5:$M$204,MATCH($Y342,อัตราค่าขนส่ง!$O$5:$O$204,0)),0))</f>
        <v>0</v>
      </c>
      <c r="BD342">
        <f>IF($Y342="",0,IFERROR(INDEX(อัตราค่าขนส่ง!$N$5:$N$204,MATCH($Y342,อัตราค่าขนส่ง!$O$5:$O$204,0)),0))</f>
        <v>0</v>
      </c>
    </row>
    <row r="343" spans="1:56" ht="21" customHeight="1" x14ac:dyDescent="0.95">
      <c r="A343" s="36" t="str">
        <f>IF($AD343="","",IF($AD343="Z","รวมจ่ายทั้งสิ้น",IF($AD343="H",INDEX($X$5:$X$404,$AC343),IF($AD343="T","รวม",IF($AD343="B",IFERROR(INDEX(อัตราค่าขนส่ง!$U$5:$U$14,MATCH(INDEX($AM$5:$AM$404,$AC343),อัตราค่าขนส่ง!$T$5:$T$14,0)),"รวมกลุ่ม "&amp;INDEX($AM$5:$AM$404,$AC343)),INDEX($AY$5:$AY$404,$AC343))))))</f>
        <v/>
      </c>
      <c r="B343" s="31" t="str">
        <f t="shared" si="140"/>
        <v/>
      </c>
      <c r="C343" s="8" t="str">
        <f t="shared" si="141"/>
        <v/>
      </c>
      <c r="D343" s="37" t="str">
        <f t="shared" si="142"/>
        <v/>
      </c>
      <c r="E343" s="31" t="str">
        <f t="shared" si="143"/>
        <v/>
      </c>
      <c r="F343" s="32" t="str">
        <f t="shared" si="144"/>
        <v/>
      </c>
      <c r="G343" s="32" t="str">
        <f t="shared" si="145"/>
        <v/>
      </c>
      <c r="H343" s="32" t="str">
        <f t="shared" si="146"/>
        <v/>
      </c>
      <c r="I343" s="32" t="str">
        <f t="shared" si="147"/>
        <v/>
      </c>
      <c r="J343" s="46" t="str">
        <f t="shared" si="148"/>
        <v/>
      </c>
      <c r="K343" s="32" t="str">
        <f t="shared" si="149"/>
        <v/>
      </c>
      <c r="L343" s="32" t="str">
        <f t="shared" si="150"/>
        <v/>
      </c>
      <c r="M343" s="32" t="str">
        <f t="shared" si="151"/>
        <v/>
      </c>
      <c r="N343" s="32" t="str">
        <f t="shared" si="152"/>
        <v/>
      </c>
      <c r="O343" s="32" t="str">
        <f t="shared" si="153"/>
        <v/>
      </c>
      <c r="Q343" t="str">
        <f>IFERROR(MATCH(339,บันทึกรายเที่ยว!$Z$6:$Z$10005,0),"")</f>
        <v/>
      </c>
      <c r="R343" t="str">
        <f>IF($Q343="","",INDEX(บันทึกรายเที่ยว!$V$6:$V$10005,$Q343))</f>
        <v/>
      </c>
      <c r="S343" t="str">
        <f>IF($Q343="","",INDEX(บันทึกรายเที่ยว!$F$6:$F$10005,$Q343))</f>
        <v/>
      </c>
      <c r="T343" t="str">
        <f>IF($Q343="","",MATCH($S343,บันทึกรายเที่ยว!$F$6:$F$10005,0))</f>
        <v/>
      </c>
      <c r="U343" t="str">
        <f>IF($Q343="","",$AL343*10000000+$T343*1000+339)</f>
        <v/>
      </c>
      <c r="V343" t="str">
        <f>IFERROR(MATCH(SMALL($U$5:$U$404,339),$U$5:$U$404,0),"")</f>
        <v/>
      </c>
      <c r="W343" t="str">
        <f t="shared" si="154"/>
        <v/>
      </c>
      <c r="X343" t="str">
        <f t="shared" si="155"/>
        <v/>
      </c>
      <c r="Y343" t="str">
        <f t="shared" si="156"/>
        <v/>
      </c>
      <c r="Z343">
        <f t="shared" si="166"/>
        <v>0</v>
      </c>
      <c r="AA343">
        <f t="shared" si="157"/>
        <v>0</v>
      </c>
      <c r="AB343">
        <f>IF($V343="",99999+339,$AB342+1+$Z342+$AA342+$AO342)</f>
        <v>100338</v>
      </c>
      <c r="AC343" t="str">
        <f>IFERROR(MATCH(339,$AB$5:$AB$404,1),"")</f>
        <v/>
      </c>
      <c r="AD343" t="str">
        <f>IF(339=$AI$1+1,"Z",IF($AC343="","",IF(INDEX($V$5:$V$404,$AC343)="","",IF(339&gt;INDEX($AB$5:$AB$404,$AC343)+INDEX($Z$5:$Z$404,$AC343)+INDEX($AA$5:$AA$404,$AC343)+INDEX($AO$5:$AO$404,$AC343),"",IF(339=INDEX($AB$5:$AB$404,$AC343)+INDEX($Z$5:$Z$404,$AC343),"D",IF(AND(INDEX($Z$5:$Z$404,$AC343)=1,339=INDEX($AB$5:$AB$404,$AC343)),"H",IF(AND(INDEX($AO$5:$AO$404,$AC343)=1,339=INDEX($AB$5:$AB$404,$AC343)+INDEX($Z$5:$Z$404,$AC343)+INDEX($AA$5:$AA$404,$AC343)+INDEX($AO$5:$AO$404,$AC343)),"B","T")))))))</f>
        <v/>
      </c>
      <c r="AF343" t="str">
        <f t="shared" si="158"/>
        <v/>
      </c>
      <c r="AJ343">
        <f>IF($AD343&lt;&gt;"T",0,ROUND(SUMIF(oil!$B$4:$B$63,$AF343,oil!$AE$4:$AE$63),2))</f>
        <v>0</v>
      </c>
      <c r="AK343" t="str">
        <f>IF($S343="","",IFERROR(INDEX(อัตราค่าขนส่ง!$R$5:$R$54,MATCH($S343,อัตราค่าขนส่ง!$Q$5:$Q$54,0)),INDEX(รายการมาตรฐาน!$G$2:$G$3,1)))</f>
        <v/>
      </c>
      <c r="AL343" t="str">
        <f>IF($S343="","",IFERROR(MATCH($AK343,รายการมาตรฐาน!$G$2:$G$3,0),1))</f>
        <v/>
      </c>
      <c r="AM343" t="str">
        <f t="shared" si="159"/>
        <v/>
      </c>
      <c r="AN343" t="str">
        <f t="shared" si="160"/>
        <v/>
      </c>
      <c r="AO343">
        <f t="shared" si="161"/>
        <v>0</v>
      </c>
      <c r="AP343">
        <f t="shared" si="167"/>
        <v>0</v>
      </c>
      <c r="AQ343" t="str">
        <f t="shared" si="162"/>
        <v/>
      </c>
      <c r="AR343">
        <f>IF($Y343="",0,COUNTIF(บันทึกรายเที่ยว!$V$6:$V$10005,$Y343))</f>
        <v>0</v>
      </c>
      <c r="AS343">
        <f>IF($Y343="",0,ROUND(SUMIF(บันทึกรายเที่ยว!$V$6:$V$10005,$Y343,บันทึกรายเที่ยว!$M$6:$M$10005),2))</f>
        <v>0</v>
      </c>
      <c r="AT343">
        <f>IF($Y343="",0,IFERROR(INDEX(อัตราค่าขนส่ง!$J$5:$J$204,MATCH($Y343,อัตราค่าขนส่ง!$O$5:$O$204,0)),0))</f>
        <v>0</v>
      </c>
      <c r="AU343">
        <f t="shared" si="163"/>
        <v>0</v>
      </c>
      <c r="AV343">
        <f t="shared" si="164"/>
        <v>0</v>
      </c>
      <c r="AW343" t="str">
        <f>IF($Y343="","",IFERROR(INDEX(อัตราค่าขนส่ง!$F$5:$F$204,MATCH($Y343,อัตราค่าขนส่ง!$O$5:$O$204,0)),""))</f>
        <v/>
      </c>
      <c r="AX343" t="str">
        <f>IF($W343="","",INDEX(บันทึกรายเที่ยว!$D$6:$D$10005,$W343))</f>
        <v/>
      </c>
      <c r="AY343" t="str">
        <f>IF($W343="","",INDEX(บันทึกรายเที่ยว!$R$6:$R$10005,$W343))</f>
        <v/>
      </c>
      <c r="AZ343">
        <f t="shared" si="165"/>
        <v>0</v>
      </c>
      <c r="BA343" t="str">
        <f>IF($W343="","",INDEX(บันทึกรายเที่ยว!$E$6:$E$10005,$W343))</f>
        <v/>
      </c>
      <c r="BC343">
        <f>IF($Y343="",0,IFERROR(INDEX(อัตราค่าขนส่ง!$M$5:$M$204,MATCH($Y343,อัตราค่าขนส่ง!$O$5:$O$204,0)),0))</f>
        <v>0</v>
      </c>
      <c r="BD343">
        <f>IF($Y343="",0,IFERROR(INDEX(อัตราค่าขนส่ง!$N$5:$N$204,MATCH($Y343,อัตราค่าขนส่ง!$O$5:$O$204,0)),0))</f>
        <v>0</v>
      </c>
    </row>
    <row r="344" spans="1:56" ht="21" customHeight="1" x14ac:dyDescent="0.95">
      <c r="A344" s="36" t="str">
        <f>IF($AD344="","",IF($AD344="Z","รวมจ่ายทั้งสิ้น",IF($AD344="H",INDEX($X$5:$X$404,$AC344),IF($AD344="T","รวม",IF($AD344="B",IFERROR(INDEX(อัตราค่าขนส่ง!$U$5:$U$14,MATCH(INDEX($AM$5:$AM$404,$AC344),อัตราค่าขนส่ง!$T$5:$T$14,0)),"รวมกลุ่ม "&amp;INDEX($AM$5:$AM$404,$AC344)),INDEX($AY$5:$AY$404,$AC344))))))</f>
        <v/>
      </c>
      <c r="B344" s="31" t="str">
        <f t="shared" si="140"/>
        <v/>
      </c>
      <c r="C344" s="8" t="str">
        <f t="shared" si="141"/>
        <v/>
      </c>
      <c r="D344" s="37" t="str">
        <f t="shared" si="142"/>
        <v/>
      </c>
      <c r="E344" s="31" t="str">
        <f t="shared" si="143"/>
        <v/>
      </c>
      <c r="F344" s="32" t="str">
        <f t="shared" si="144"/>
        <v/>
      </c>
      <c r="G344" s="32" t="str">
        <f t="shared" si="145"/>
        <v/>
      </c>
      <c r="H344" s="32" t="str">
        <f t="shared" si="146"/>
        <v/>
      </c>
      <c r="I344" s="32" t="str">
        <f t="shared" si="147"/>
        <v/>
      </c>
      <c r="J344" s="46" t="str">
        <f t="shared" si="148"/>
        <v/>
      </c>
      <c r="K344" s="32" t="str">
        <f t="shared" si="149"/>
        <v/>
      </c>
      <c r="L344" s="32" t="str">
        <f t="shared" si="150"/>
        <v/>
      </c>
      <c r="M344" s="32" t="str">
        <f t="shared" si="151"/>
        <v/>
      </c>
      <c r="N344" s="32" t="str">
        <f t="shared" si="152"/>
        <v/>
      </c>
      <c r="O344" s="32" t="str">
        <f t="shared" si="153"/>
        <v/>
      </c>
      <c r="Q344" t="str">
        <f>IFERROR(MATCH(340,บันทึกรายเที่ยว!$Z$6:$Z$10005,0),"")</f>
        <v/>
      </c>
      <c r="R344" t="str">
        <f>IF($Q344="","",INDEX(บันทึกรายเที่ยว!$V$6:$V$10005,$Q344))</f>
        <v/>
      </c>
      <c r="S344" t="str">
        <f>IF($Q344="","",INDEX(บันทึกรายเที่ยว!$F$6:$F$10005,$Q344))</f>
        <v/>
      </c>
      <c r="T344" t="str">
        <f>IF($Q344="","",MATCH($S344,บันทึกรายเที่ยว!$F$6:$F$10005,0))</f>
        <v/>
      </c>
      <c r="U344" t="str">
        <f>IF($Q344="","",$AL344*10000000+$T344*1000+340)</f>
        <v/>
      </c>
      <c r="V344" t="str">
        <f>IFERROR(MATCH(SMALL($U$5:$U$404,340),$U$5:$U$404,0),"")</f>
        <v/>
      </c>
      <c r="W344" t="str">
        <f t="shared" si="154"/>
        <v/>
      </c>
      <c r="X344" t="str">
        <f t="shared" si="155"/>
        <v/>
      </c>
      <c r="Y344" t="str">
        <f t="shared" si="156"/>
        <v/>
      </c>
      <c r="Z344">
        <f t="shared" si="166"/>
        <v>0</v>
      </c>
      <c r="AA344">
        <f t="shared" si="157"/>
        <v>0</v>
      </c>
      <c r="AB344">
        <f>IF($V344="",99999+340,$AB343+1+$Z343+$AA343+$AO343)</f>
        <v>100339</v>
      </c>
      <c r="AC344" t="str">
        <f>IFERROR(MATCH(340,$AB$5:$AB$404,1),"")</f>
        <v/>
      </c>
      <c r="AD344" t="str">
        <f>IF(340=$AI$1+1,"Z",IF($AC344="","",IF(INDEX($V$5:$V$404,$AC344)="","",IF(340&gt;INDEX($AB$5:$AB$404,$AC344)+INDEX($Z$5:$Z$404,$AC344)+INDEX($AA$5:$AA$404,$AC344)+INDEX($AO$5:$AO$404,$AC344),"",IF(340=INDEX($AB$5:$AB$404,$AC344)+INDEX($Z$5:$Z$404,$AC344),"D",IF(AND(INDEX($Z$5:$Z$404,$AC344)=1,340=INDEX($AB$5:$AB$404,$AC344)),"H",IF(AND(INDEX($AO$5:$AO$404,$AC344)=1,340=INDEX($AB$5:$AB$404,$AC344)+INDEX($Z$5:$Z$404,$AC344)+INDEX($AA$5:$AA$404,$AC344)+INDEX($AO$5:$AO$404,$AC344)),"B","T")))))))</f>
        <v/>
      </c>
      <c r="AF344" t="str">
        <f t="shared" si="158"/>
        <v/>
      </c>
      <c r="AJ344">
        <f>IF($AD344&lt;&gt;"T",0,ROUND(SUMIF(oil!$B$4:$B$63,$AF344,oil!$AE$4:$AE$63),2))</f>
        <v>0</v>
      </c>
      <c r="AK344" t="str">
        <f>IF($S344="","",IFERROR(INDEX(อัตราค่าขนส่ง!$R$5:$R$54,MATCH($S344,อัตราค่าขนส่ง!$Q$5:$Q$54,0)),INDEX(รายการมาตรฐาน!$G$2:$G$3,1)))</f>
        <v/>
      </c>
      <c r="AL344" t="str">
        <f>IF($S344="","",IFERROR(MATCH($AK344,รายการมาตรฐาน!$G$2:$G$3,0),1))</f>
        <v/>
      </c>
      <c r="AM344" t="str">
        <f t="shared" si="159"/>
        <v/>
      </c>
      <c r="AN344" t="str">
        <f t="shared" si="160"/>
        <v/>
      </c>
      <c r="AO344">
        <f t="shared" si="161"/>
        <v>0</v>
      </c>
      <c r="AP344">
        <f t="shared" si="167"/>
        <v>0</v>
      </c>
      <c r="AQ344" t="str">
        <f t="shared" si="162"/>
        <v/>
      </c>
      <c r="AR344">
        <f>IF($Y344="",0,COUNTIF(บันทึกรายเที่ยว!$V$6:$V$10005,$Y344))</f>
        <v>0</v>
      </c>
      <c r="AS344">
        <f>IF($Y344="",0,ROUND(SUMIF(บันทึกรายเที่ยว!$V$6:$V$10005,$Y344,บันทึกรายเที่ยว!$M$6:$M$10005),2))</f>
        <v>0</v>
      </c>
      <c r="AT344">
        <f>IF($Y344="",0,IFERROR(INDEX(อัตราค่าขนส่ง!$J$5:$J$204,MATCH($Y344,อัตราค่าขนส่ง!$O$5:$O$204,0)),0))</f>
        <v>0</v>
      </c>
      <c r="AU344">
        <f t="shared" si="163"/>
        <v>0</v>
      </c>
      <c r="AV344">
        <f t="shared" si="164"/>
        <v>0</v>
      </c>
      <c r="AW344" t="str">
        <f>IF($Y344="","",IFERROR(INDEX(อัตราค่าขนส่ง!$F$5:$F$204,MATCH($Y344,อัตราค่าขนส่ง!$O$5:$O$204,0)),""))</f>
        <v/>
      </c>
      <c r="AX344" t="str">
        <f>IF($W344="","",INDEX(บันทึกรายเที่ยว!$D$6:$D$10005,$W344))</f>
        <v/>
      </c>
      <c r="AY344" t="str">
        <f>IF($W344="","",INDEX(บันทึกรายเที่ยว!$R$6:$R$10005,$W344))</f>
        <v/>
      </c>
      <c r="AZ344">
        <f t="shared" si="165"/>
        <v>0</v>
      </c>
      <c r="BA344" t="str">
        <f>IF($W344="","",INDEX(บันทึกรายเที่ยว!$E$6:$E$10005,$W344))</f>
        <v/>
      </c>
      <c r="BC344">
        <f>IF($Y344="",0,IFERROR(INDEX(อัตราค่าขนส่ง!$M$5:$M$204,MATCH($Y344,อัตราค่าขนส่ง!$O$5:$O$204,0)),0))</f>
        <v>0</v>
      </c>
      <c r="BD344">
        <f>IF($Y344="",0,IFERROR(INDEX(อัตราค่าขนส่ง!$N$5:$N$204,MATCH($Y344,อัตราค่าขนส่ง!$O$5:$O$204,0)),0))</f>
        <v>0</v>
      </c>
    </row>
    <row r="345" spans="1:56" ht="21" customHeight="1" x14ac:dyDescent="0.95">
      <c r="A345" s="36" t="str">
        <f>IF($AD345="","",IF($AD345="Z","รวมจ่ายทั้งสิ้น",IF($AD345="H",INDEX($X$5:$X$404,$AC345),IF($AD345="T","รวม",IF($AD345="B",IFERROR(INDEX(อัตราค่าขนส่ง!$U$5:$U$14,MATCH(INDEX($AM$5:$AM$404,$AC345),อัตราค่าขนส่ง!$T$5:$T$14,0)),"รวมกลุ่ม "&amp;INDEX($AM$5:$AM$404,$AC345)),INDEX($AY$5:$AY$404,$AC345))))))</f>
        <v/>
      </c>
      <c r="B345" s="31" t="str">
        <f t="shared" si="140"/>
        <v/>
      </c>
      <c r="C345" s="8" t="str">
        <f t="shared" si="141"/>
        <v/>
      </c>
      <c r="D345" s="37" t="str">
        <f t="shared" si="142"/>
        <v/>
      </c>
      <c r="E345" s="31" t="str">
        <f t="shared" si="143"/>
        <v/>
      </c>
      <c r="F345" s="32" t="str">
        <f t="shared" si="144"/>
        <v/>
      </c>
      <c r="G345" s="32" t="str">
        <f t="shared" si="145"/>
        <v/>
      </c>
      <c r="H345" s="32" t="str">
        <f t="shared" si="146"/>
        <v/>
      </c>
      <c r="I345" s="32" t="str">
        <f t="shared" si="147"/>
        <v/>
      </c>
      <c r="J345" s="46" t="str">
        <f t="shared" si="148"/>
        <v/>
      </c>
      <c r="K345" s="32" t="str">
        <f t="shared" si="149"/>
        <v/>
      </c>
      <c r="L345" s="32" t="str">
        <f t="shared" si="150"/>
        <v/>
      </c>
      <c r="M345" s="32" t="str">
        <f t="shared" si="151"/>
        <v/>
      </c>
      <c r="N345" s="32" t="str">
        <f t="shared" si="152"/>
        <v/>
      </c>
      <c r="O345" s="32" t="str">
        <f t="shared" si="153"/>
        <v/>
      </c>
      <c r="Q345" t="str">
        <f>IFERROR(MATCH(341,บันทึกรายเที่ยว!$Z$6:$Z$10005,0),"")</f>
        <v/>
      </c>
      <c r="R345" t="str">
        <f>IF($Q345="","",INDEX(บันทึกรายเที่ยว!$V$6:$V$10005,$Q345))</f>
        <v/>
      </c>
      <c r="S345" t="str">
        <f>IF($Q345="","",INDEX(บันทึกรายเที่ยว!$F$6:$F$10005,$Q345))</f>
        <v/>
      </c>
      <c r="T345" t="str">
        <f>IF($Q345="","",MATCH($S345,บันทึกรายเที่ยว!$F$6:$F$10005,0))</f>
        <v/>
      </c>
      <c r="U345" t="str">
        <f>IF($Q345="","",$AL345*10000000+$T345*1000+341)</f>
        <v/>
      </c>
      <c r="V345" t="str">
        <f>IFERROR(MATCH(SMALL($U$5:$U$404,341),$U$5:$U$404,0),"")</f>
        <v/>
      </c>
      <c r="W345" t="str">
        <f t="shared" si="154"/>
        <v/>
      </c>
      <c r="X345" t="str">
        <f t="shared" si="155"/>
        <v/>
      </c>
      <c r="Y345" t="str">
        <f t="shared" si="156"/>
        <v/>
      </c>
      <c r="Z345">
        <f t="shared" si="166"/>
        <v>0</v>
      </c>
      <c r="AA345">
        <f t="shared" si="157"/>
        <v>0</v>
      </c>
      <c r="AB345">
        <f>IF($V345="",99999+341,$AB344+1+$Z344+$AA344+$AO344)</f>
        <v>100340</v>
      </c>
      <c r="AC345" t="str">
        <f>IFERROR(MATCH(341,$AB$5:$AB$404,1),"")</f>
        <v/>
      </c>
      <c r="AD345" t="str">
        <f>IF(341=$AI$1+1,"Z",IF($AC345="","",IF(INDEX($V$5:$V$404,$AC345)="","",IF(341&gt;INDEX($AB$5:$AB$404,$AC345)+INDEX($Z$5:$Z$404,$AC345)+INDEX($AA$5:$AA$404,$AC345)+INDEX($AO$5:$AO$404,$AC345),"",IF(341=INDEX($AB$5:$AB$404,$AC345)+INDEX($Z$5:$Z$404,$AC345),"D",IF(AND(INDEX($Z$5:$Z$404,$AC345)=1,341=INDEX($AB$5:$AB$404,$AC345)),"H",IF(AND(INDEX($AO$5:$AO$404,$AC345)=1,341=INDEX($AB$5:$AB$404,$AC345)+INDEX($Z$5:$Z$404,$AC345)+INDEX($AA$5:$AA$404,$AC345)+INDEX($AO$5:$AO$404,$AC345)),"B","T")))))))</f>
        <v/>
      </c>
      <c r="AF345" t="str">
        <f t="shared" si="158"/>
        <v/>
      </c>
      <c r="AJ345">
        <f>IF($AD345&lt;&gt;"T",0,ROUND(SUMIF(oil!$B$4:$B$63,$AF345,oil!$AE$4:$AE$63),2))</f>
        <v>0</v>
      </c>
      <c r="AK345" t="str">
        <f>IF($S345="","",IFERROR(INDEX(อัตราค่าขนส่ง!$R$5:$R$54,MATCH($S345,อัตราค่าขนส่ง!$Q$5:$Q$54,0)),INDEX(รายการมาตรฐาน!$G$2:$G$3,1)))</f>
        <v/>
      </c>
      <c r="AL345" t="str">
        <f>IF($S345="","",IFERROR(MATCH($AK345,รายการมาตรฐาน!$G$2:$G$3,0),1))</f>
        <v/>
      </c>
      <c r="AM345" t="str">
        <f t="shared" si="159"/>
        <v/>
      </c>
      <c r="AN345" t="str">
        <f t="shared" si="160"/>
        <v/>
      </c>
      <c r="AO345">
        <f t="shared" si="161"/>
        <v>0</v>
      </c>
      <c r="AP345">
        <f t="shared" si="167"/>
        <v>0</v>
      </c>
      <c r="AQ345" t="str">
        <f t="shared" si="162"/>
        <v/>
      </c>
      <c r="AR345">
        <f>IF($Y345="",0,COUNTIF(บันทึกรายเที่ยว!$V$6:$V$10005,$Y345))</f>
        <v>0</v>
      </c>
      <c r="AS345">
        <f>IF($Y345="",0,ROUND(SUMIF(บันทึกรายเที่ยว!$V$6:$V$10005,$Y345,บันทึกรายเที่ยว!$M$6:$M$10005),2))</f>
        <v>0</v>
      </c>
      <c r="AT345">
        <f>IF($Y345="",0,IFERROR(INDEX(อัตราค่าขนส่ง!$J$5:$J$204,MATCH($Y345,อัตราค่าขนส่ง!$O$5:$O$204,0)),0))</f>
        <v>0</v>
      </c>
      <c r="AU345">
        <f t="shared" si="163"/>
        <v>0</v>
      </c>
      <c r="AV345">
        <f t="shared" si="164"/>
        <v>0</v>
      </c>
      <c r="AW345" t="str">
        <f>IF($Y345="","",IFERROR(INDEX(อัตราค่าขนส่ง!$F$5:$F$204,MATCH($Y345,อัตราค่าขนส่ง!$O$5:$O$204,0)),""))</f>
        <v/>
      </c>
      <c r="AX345" t="str">
        <f>IF($W345="","",INDEX(บันทึกรายเที่ยว!$D$6:$D$10005,$W345))</f>
        <v/>
      </c>
      <c r="AY345" t="str">
        <f>IF($W345="","",INDEX(บันทึกรายเที่ยว!$R$6:$R$10005,$W345))</f>
        <v/>
      </c>
      <c r="AZ345">
        <f t="shared" si="165"/>
        <v>0</v>
      </c>
      <c r="BA345" t="str">
        <f>IF($W345="","",INDEX(บันทึกรายเที่ยว!$E$6:$E$10005,$W345))</f>
        <v/>
      </c>
      <c r="BC345">
        <f>IF($Y345="",0,IFERROR(INDEX(อัตราค่าขนส่ง!$M$5:$M$204,MATCH($Y345,อัตราค่าขนส่ง!$O$5:$O$204,0)),0))</f>
        <v>0</v>
      </c>
      <c r="BD345">
        <f>IF($Y345="",0,IFERROR(INDEX(อัตราค่าขนส่ง!$N$5:$N$204,MATCH($Y345,อัตราค่าขนส่ง!$O$5:$O$204,0)),0))</f>
        <v>0</v>
      </c>
    </row>
    <row r="346" spans="1:56" ht="21" customHeight="1" x14ac:dyDescent="0.95">
      <c r="A346" s="36" t="str">
        <f>IF($AD346="","",IF($AD346="Z","รวมจ่ายทั้งสิ้น",IF($AD346="H",INDEX($X$5:$X$404,$AC346),IF($AD346="T","รวม",IF($AD346="B",IFERROR(INDEX(อัตราค่าขนส่ง!$U$5:$U$14,MATCH(INDEX($AM$5:$AM$404,$AC346),อัตราค่าขนส่ง!$T$5:$T$14,0)),"รวมกลุ่ม "&amp;INDEX($AM$5:$AM$404,$AC346)),INDEX($AY$5:$AY$404,$AC346))))))</f>
        <v/>
      </c>
      <c r="B346" s="31" t="str">
        <f t="shared" si="140"/>
        <v/>
      </c>
      <c r="C346" s="8" t="str">
        <f t="shared" si="141"/>
        <v/>
      </c>
      <c r="D346" s="37" t="str">
        <f t="shared" si="142"/>
        <v/>
      </c>
      <c r="E346" s="31" t="str">
        <f t="shared" si="143"/>
        <v/>
      </c>
      <c r="F346" s="32" t="str">
        <f t="shared" si="144"/>
        <v/>
      </c>
      <c r="G346" s="32" t="str">
        <f t="shared" si="145"/>
        <v/>
      </c>
      <c r="H346" s="32" t="str">
        <f t="shared" si="146"/>
        <v/>
      </c>
      <c r="I346" s="32" t="str">
        <f t="shared" si="147"/>
        <v/>
      </c>
      <c r="J346" s="46" t="str">
        <f t="shared" si="148"/>
        <v/>
      </c>
      <c r="K346" s="32" t="str">
        <f t="shared" si="149"/>
        <v/>
      </c>
      <c r="L346" s="32" t="str">
        <f t="shared" si="150"/>
        <v/>
      </c>
      <c r="M346" s="32" t="str">
        <f t="shared" si="151"/>
        <v/>
      </c>
      <c r="N346" s="32" t="str">
        <f t="shared" si="152"/>
        <v/>
      </c>
      <c r="O346" s="32" t="str">
        <f t="shared" si="153"/>
        <v/>
      </c>
      <c r="Q346" t="str">
        <f>IFERROR(MATCH(342,บันทึกรายเที่ยว!$Z$6:$Z$10005,0),"")</f>
        <v/>
      </c>
      <c r="R346" t="str">
        <f>IF($Q346="","",INDEX(บันทึกรายเที่ยว!$V$6:$V$10005,$Q346))</f>
        <v/>
      </c>
      <c r="S346" t="str">
        <f>IF($Q346="","",INDEX(บันทึกรายเที่ยว!$F$6:$F$10005,$Q346))</f>
        <v/>
      </c>
      <c r="T346" t="str">
        <f>IF($Q346="","",MATCH($S346,บันทึกรายเที่ยว!$F$6:$F$10005,0))</f>
        <v/>
      </c>
      <c r="U346" t="str">
        <f>IF($Q346="","",$AL346*10000000+$T346*1000+342)</f>
        <v/>
      </c>
      <c r="V346" t="str">
        <f>IFERROR(MATCH(SMALL($U$5:$U$404,342),$U$5:$U$404,0),"")</f>
        <v/>
      </c>
      <c r="W346" t="str">
        <f t="shared" si="154"/>
        <v/>
      </c>
      <c r="X346" t="str">
        <f t="shared" si="155"/>
        <v/>
      </c>
      <c r="Y346" t="str">
        <f t="shared" si="156"/>
        <v/>
      </c>
      <c r="Z346">
        <f t="shared" si="166"/>
        <v>0</v>
      </c>
      <c r="AA346">
        <f t="shared" si="157"/>
        <v>0</v>
      </c>
      <c r="AB346">
        <f>IF($V346="",99999+342,$AB345+1+$Z345+$AA345+$AO345)</f>
        <v>100341</v>
      </c>
      <c r="AC346" t="str">
        <f>IFERROR(MATCH(342,$AB$5:$AB$404,1),"")</f>
        <v/>
      </c>
      <c r="AD346" t="str">
        <f>IF(342=$AI$1+1,"Z",IF($AC346="","",IF(INDEX($V$5:$V$404,$AC346)="","",IF(342&gt;INDEX($AB$5:$AB$404,$AC346)+INDEX($Z$5:$Z$404,$AC346)+INDEX($AA$5:$AA$404,$AC346)+INDEX($AO$5:$AO$404,$AC346),"",IF(342=INDEX($AB$5:$AB$404,$AC346)+INDEX($Z$5:$Z$404,$AC346),"D",IF(AND(INDEX($Z$5:$Z$404,$AC346)=1,342=INDEX($AB$5:$AB$404,$AC346)),"H",IF(AND(INDEX($AO$5:$AO$404,$AC346)=1,342=INDEX($AB$5:$AB$404,$AC346)+INDEX($Z$5:$Z$404,$AC346)+INDEX($AA$5:$AA$404,$AC346)+INDEX($AO$5:$AO$404,$AC346)),"B","T")))))))</f>
        <v/>
      </c>
      <c r="AF346" t="str">
        <f t="shared" si="158"/>
        <v/>
      </c>
      <c r="AJ346">
        <f>IF($AD346&lt;&gt;"T",0,ROUND(SUMIF(oil!$B$4:$B$63,$AF346,oil!$AE$4:$AE$63),2))</f>
        <v>0</v>
      </c>
      <c r="AK346" t="str">
        <f>IF($S346="","",IFERROR(INDEX(อัตราค่าขนส่ง!$R$5:$R$54,MATCH($S346,อัตราค่าขนส่ง!$Q$5:$Q$54,0)),INDEX(รายการมาตรฐาน!$G$2:$G$3,1)))</f>
        <v/>
      </c>
      <c r="AL346" t="str">
        <f>IF($S346="","",IFERROR(MATCH($AK346,รายการมาตรฐาน!$G$2:$G$3,0),1))</f>
        <v/>
      </c>
      <c r="AM346" t="str">
        <f t="shared" si="159"/>
        <v/>
      </c>
      <c r="AN346" t="str">
        <f t="shared" si="160"/>
        <v/>
      </c>
      <c r="AO346">
        <f t="shared" si="161"/>
        <v>0</v>
      </c>
      <c r="AP346">
        <f t="shared" si="167"/>
        <v>0</v>
      </c>
      <c r="AQ346" t="str">
        <f t="shared" si="162"/>
        <v/>
      </c>
      <c r="AR346">
        <f>IF($Y346="",0,COUNTIF(บันทึกรายเที่ยว!$V$6:$V$10005,$Y346))</f>
        <v>0</v>
      </c>
      <c r="AS346">
        <f>IF($Y346="",0,ROUND(SUMIF(บันทึกรายเที่ยว!$V$6:$V$10005,$Y346,บันทึกรายเที่ยว!$M$6:$M$10005),2))</f>
        <v>0</v>
      </c>
      <c r="AT346">
        <f>IF($Y346="",0,IFERROR(INDEX(อัตราค่าขนส่ง!$J$5:$J$204,MATCH($Y346,อัตราค่าขนส่ง!$O$5:$O$204,0)),0))</f>
        <v>0</v>
      </c>
      <c r="AU346">
        <f t="shared" si="163"/>
        <v>0</v>
      </c>
      <c r="AV346">
        <f t="shared" si="164"/>
        <v>0</v>
      </c>
      <c r="AW346" t="str">
        <f>IF($Y346="","",IFERROR(INDEX(อัตราค่าขนส่ง!$F$5:$F$204,MATCH($Y346,อัตราค่าขนส่ง!$O$5:$O$204,0)),""))</f>
        <v/>
      </c>
      <c r="AX346" t="str">
        <f>IF($W346="","",INDEX(บันทึกรายเที่ยว!$D$6:$D$10005,$W346))</f>
        <v/>
      </c>
      <c r="AY346" t="str">
        <f>IF($W346="","",INDEX(บันทึกรายเที่ยว!$R$6:$R$10005,$W346))</f>
        <v/>
      </c>
      <c r="AZ346">
        <f t="shared" si="165"/>
        <v>0</v>
      </c>
      <c r="BA346" t="str">
        <f>IF($W346="","",INDEX(บันทึกรายเที่ยว!$E$6:$E$10005,$W346))</f>
        <v/>
      </c>
      <c r="BC346">
        <f>IF($Y346="",0,IFERROR(INDEX(อัตราค่าขนส่ง!$M$5:$M$204,MATCH($Y346,อัตราค่าขนส่ง!$O$5:$O$204,0)),0))</f>
        <v>0</v>
      </c>
      <c r="BD346">
        <f>IF($Y346="",0,IFERROR(INDEX(อัตราค่าขนส่ง!$N$5:$N$204,MATCH($Y346,อัตราค่าขนส่ง!$O$5:$O$204,0)),0))</f>
        <v>0</v>
      </c>
    </row>
    <row r="347" spans="1:56" ht="21" customHeight="1" x14ac:dyDescent="0.95">
      <c r="A347" s="36" t="str">
        <f>IF($AD347="","",IF($AD347="Z","รวมจ่ายทั้งสิ้น",IF($AD347="H",INDEX($X$5:$X$404,$AC347),IF($AD347="T","รวม",IF($AD347="B",IFERROR(INDEX(อัตราค่าขนส่ง!$U$5:$U$14,MATCH(INDEX($AM$5:$AM$404,$AC347),อัตราค่าขนส่ง!$T$5:$T$14,0)),"รวมกลุ่ม "&amp;INDEX($AM$5:$AM$404,$AC347)),INDEX($AY$5:$AY$404,$AC347))))))</f>
        <v/>
      </c>
      <c r="B347" s="31" t="str">
        <f t="shared" si="140"/>
        <v/>
      </c>
      <c r="C347" s="8" t="str">
        <f t="shared" si="141"/>
        <v/>
      </c>
      <c r="D347" s="37" t="str">
        <f t="shared" si="142"/>
        <v/>
      </c>
      <c r="E347" s="31" t="str">
        <f t="shared" si="143"/>
        <v/>
      </c>
      <c r="F347" s="32" t="str">
        <f t="shared" si="144"/>
        <v/>
      </c>
      <c r="G347" s="32" t="str">
        <f t="shared" si="145"/>
        <v/>
      </c>
      <c r="H347" s="32" t="str">
        <f t="shared" si="146"/>
        <v/>
      </c>
      <c r="I347" s="32" t="str">
        <f t="shared" si="147"/>
        <v/>
      </c>
      <c r="J347" s="46" t="str">
        <f t="shared" si="148"/>
        <v/>
      </c>
      <c r="K347" s="32" t="str">
        <f t="shared" si="149"/>
        <v/>
      </c>
      <c r="L347" s="32" t="str">
        <f t="shared" si="150"/>
        <v/>
      </c>
      <c r="M347" s="32" t="str">
        <f t="shared" si="151"/>
        <v/>
      </c>
      <c r="N347" s="32" t="str">
        <f t="shared" si="152"/>
        <v/>
      </c>
      <c r="O347" s="32" t="str">
        <f t="shared" si="153"/>
        <v/>
      </c>
      <c r="Q347" t="str">
        <f>IFERROR(MATCH(343,บันทึกรายเที่ยว!$Z$6:$Z$10005,0),"")</f>
        <v/>
      </c>
      <c r="R347" t="str">
        <f>IF($Q347="","",INDEX(บันทึกรายเที่ยว!$V$6:$V$10005,$Q347))</f>
        <v/>
      </c>
      <c r="S347" t="str">
        <f>IF($Q347="","",INDEX(บันทึกรายเที่ยว!$F$6:$F$10005,$Q347))</f>
        <v/>
      </c>
      <c r="T347" t="str">
        <f>IF($Q347="","",MATCH($S347,บันทึกรายเที่ยว!$F$6:$F$10005,0))</f>
        <v/>
      </c>
      <c r="U347" t="str">
        <f>IF($Q347="","",$AL347*10000000+$T347*1000+343)</f>
        <v/>
      </c>
      <c r="V347" t="str">
        <f>IFERROR(MATCH(SMALL($U$5:$U$404,343),$U$5:$U$404,0),"")</f>
        <v/>
      </c>
      <c r="W347" t="str">
        <f t="shared" si="154"/>
        <v/>
      </c>
      <c r="X347" t="str">
        <f t="shared" si="155"/>
        <v/>
      </c>
      <c r="Y347" t="str">
        <f t="shared" si="156"/>
        <v/>
      </c>
      <c r="Z347">
        <f t="shared" si="166"/>
        <v>0</v>
      </c>
      <c r="AA347">
        <f t="shared" si="157"/>
        <v>0</v>
      </c>
      <c r="AB347">
        <f>IF($V347="",99999+343,$AB346+1+$Z346+$AA346+$AO346)</f>
        <v>100342</v>
      </c>
      <c r="AC347" t="str">
        <f>IFERROR(MATCH(343,$AB$5:$AB$404,1),"")</f>
        <v/>
      </c>
      <c r="AD347" t="str">
        <f>IF(343=$AI$1+1,"Z",IF($AC347="","",IF(INDEX($V$5:$V$404,$AC347)="","",IF(343&gt;INDEX($AB$5:$AB$404,$AC347)+INDEX($Z$5:$Z$404,$AC347)+INDEX($AA$5:$AA$404,$AC347)+INDEX($AO$5:$AO$404,$AC347),"",IF(343=INDEX($AB$5:$AB$404,$AC347)+INDEX($Z$5:$Z$404,$AC347),"D",IF(AND(INDEX($Z$5:$Z$404,$AC347)=1,343=INDEX($AB$5:$AB$404,$AC347)),"H",IF(AND(INDEX($AO$5:$AO$404,$AC347)=1,343=INDEX($AB$5:$AB$404,$AC347)+INDEX($Z$5:$Z$404,$AC347)+INDEX($AA$5:$AA$404,$AC347)+INDEX($AO$5:$AO$404,$AC347)),"B","T")))))))</f>
        <v/>
      </c>
      <c r="AF347" t="str">
        <f t="shared" si="158"/>
        <v/>
      </c>
      <c r="AJ347">
        <f>IF($AD347&lt;&gt;"T",0,ROUND(SUMIF(oil!$B$4:$B$63,$AF347,oil!$AE$4:$AE$63),2))</f>
        <v>0</v>
      </c>
      <c r="AK347" t="str">
        <f>IF($S347="","",IFERROR(INDEX(อัตราค่าขนส่ง!$R$5:$R$54,MATCH($S347,อัตราค่าขนส่ง!$Q$5:$Q$54,0)),INDEX(รายการมาตรฐาน!$G$2:$G$3,1)))</f>
        <v/>
      </c>
      <c r="AL347" t="str">
        <f>IF($S347="","",IFERROR(MATCH($AK347,รายการมาตรฐาน!$G$2:$G$3,0),1))</f>
        <v/>
      </c>
      <c r="AM347" t="str">
        <f t="shared" si="159"/>
        <v/>
      </c>
      <c r="AN347" t="str">
        <f t="shared" si="160"/>
        <v/>
      </c>
      <c r="AO347">
        <f t="shared" si="161"/>
        <v>0</v>
      </c>
      <c r="AP347">
        <f t="shared" si="167"/>
        <v>0</v>
      </c>
      <c r="AQ347" t="str">
        <f t="shared" si="162"/>
        <v/>
      </c>
      <c r="AR347">
        <f>IF($Y347="",0,COUNTIF(บันทึกรายเที่ยว!$V$6:$V$10005,$Y347))</f>
        <v>0</v>
      </c>
      <c r="AS347">
        <f>IF($Y347="",0,ROUND(SUMIF(บันทึกรายเที่ยว!$V$6:$V$10005,$Y347,บันทึกรายเที่ยว!$M$6:$M$10005),2))</f>
        <v>0</v>
      </c>
      <c r="AT347">
        <f>IF($Y347="",0,IFERROR(INDEX(อัตราค่าขนส่ง!$J$5:$J$204,MATCH($Y347,อัตราค่าขนส่ง!$O$5:$O$204,0)),0))</f>
        <v>0</v>
      </c>
      <c r="AU347">
        <f t="shared" si="163"/>
        <v>0</v>
      </c>
      <c r="AV347">
        <f t="shared" si="164"/>
        <v>0</v>
      </c>
      <c r="AW347" t="str">
        <f>IF($Y347="","",IFERROR(INDEX(อัตราค่าขนส่ง!$F$5:$F$204,MATCH($Y347,อัตราค่าขนส่ง!$O$5:$O$204,0)),""))</f>
        <v/>
      </c>
      <c r="AX347" t="str">
        <f>IF($W347="","",INDEX(บันทึกรายเที่ยว!$D$6:$D$10005,$W347))</f>
        <v/>
      </c>
      <c r="AY347" t="str">
        <f>IF($W347="","",INDEX(บันทึกรายเที่ยว!$R$6:$R$10005,$W347))</f>
        <v/>
      </c>
      <c r="AZ347">
        <f t="shared" si="165"/>
        <v>0</v>
      </c>
      <c r="BA347" t="str">
        <f>IF($W347="","",INDEX(บันทึกรายเที่ยว!$E$6:$E$10005,$W347))</f>
        <v/>
      </c>
      <c r="BC347">
        <f>IF($Y347="",0,IFERROR(INDEX(อัตราค่าขนส่ง!$M$5:$M$204,MATCH($Y347,อัตราค่าขนส่ง!$O$5:$O$204,0)),0))</f>
        <v>0</v>
      </c>
      <c r="BD347">
        <f>IF($Y347="",0,IFERROR(INDEX(อัตราค่าขนส่ง!$N$5:$N$204,MATCH($Y347,อัตราค่าขนส่ง!$O$5:$O$204,0)),0))</f>
        <v>0</v>
      </c>
    </row>
    <row r="348" spans="1:56" ht="21" customHeight="1" x14ac:dyDescent="0.95">
      <c r="A348" s="36" t="str">
        <f>IF($AD348="","",IF($AD348="Z","รวมจ่ายทั้งสิ้น",IF($AD348="H",INDEX($X$5:$X$404,$AC348),IF($AD348="T","รวม",IF($AD348="B",IFERROR(INDEX(อัตราค่าขนส่ง!$U$5:$U$14,MATCH(INDEX($AM$5:$AM$404,$AC348),อัตราค่าขนส่ง!$T$5:$T$14,0)),"รวมกลุ่ม "&amp;INDEX($AM$5:$AM$404,$AC348)),INDEX($AY$5:$AY$404,$AC348))))))</f>
        <v/>
      </c>
      <c r="B348" s="31" t="str">
        <f t="shared" si="140"/>
        <v/>
      </c>
      <c r="C348" s="8" t="str">
        <f t="shared" si="141"/>
        <v/>
      </c>
      <c r="D348" s="37" t="str">
        <f t="shared" si="142"/>
        <v/>
      </c>
      <c r="E348" s="31" t="str">
        <f t="shared" si="143"/>
        <v/>
      </c>
      <c r="F348" s="32" t="str">
        <f t="shared" si="144"/>
        <v/>
      </c>
      <c r="G348" s="32" t="str">
        <f t="shared" si="145"/>
        <v/>
      </c>
      <c r="H348" s="32" t="str">
        <f t="shared" si="146"/>
        <v/>
      </c>
      <c r="I348" s="32" t="str">
        <f t="shared" si="147"/>
        <v/>
      </c>
      <c r="J348" s="46" t="str">
        <f t="shared" si="148"/>
        <v/>
      </c>
      <c r="K348" s="32" t="str">
        <f t="shared" si="149"/>
        <v/>
      </c>
      <c r="L348" s="32" t="str">
        <f t="shared" si="150"/>
        <v/>
      </c>
      <c r="M348" s="32" t="str">
        <f t="shared" si="151"/>
        <v/>
      </c>
      <c r="N348" s="32" t="str">
        <f t="shared" si="152"/>
        <v/>
      </c>
      <c r="O348" s="32" t="str">
        <f t="shared" si="153"/>
        <v/>
      </c>
      <c r="Q348" t="str">
        <f>IFERROR(MATCH(344,บันทึกรายเที่ยว!$Z$6:$Z$10005,0),"")</f>
        <v/>
      </c>
      <c r="R348" t="str">
        <f>IF($Q348="","",INDEX(บันทึกรายเที่ยว!$V$6:$V$10005,$Q348))</f>
        <v/>
      </c>
      <c r="S348" t="str">
        <f>IF($Q348="","",INDEX(บันทึกรายเที่ยว!$F$6:$F$10005,$Q348))</f>
        <v/>
      </c>
      <c r="T348" t="str">
        <f>IF($Q348="","",MATCH($S348,บันทึกรายเที่ยว!$F$6:$F$10005,0))</f>
        <v/>
      </c>
      <c r="U348" t="str">
        <f>IF($Q348="","",$AL348*10000000+$T348*1000+344)</f>
        <v/>
      </c>
      <c r="V348" t="str">
        <f>IFERROR(MATCH(SMALL($U$5:$U$404,344),$U$5:$U$404,0),"")</f>
        <v/>
      </c>
      <c r="W348" t="str">
        <f t="shared" si="154"/>
        <v/>
      </c>
      <c r="X348" t="str">
        <f t="shared" si="155"/>
        <v/>
      </c>
      <c r="Y348" t="str">
        <f t="shared" si="156"/>
        <v/>
      </c>
      <c r="Z348">
        <f t="shared" si="166"/>
        <v>0</v>
      </c>
      <c r="AA348">
        <f t="shared" si="157"/>
        <v>0</v>
      </c>
      <c r="AB348">
        <f>IF($V348="",99999+344,$AB347+1+$Z347+$AA347+$AO347)</f>
        <v>100343</v>
      </c>
      <c r="AC348" t="str">
        <f>IFERROR(MATCH(344,$AB$5:$AB$404,1),"")</f>
        <v/>
      </c>
      <c r="AD348" t="str">
        <f>IF(344=$AI$1+1,"Z",IF($AC348="","",IF(INDEX($V$5:$V$404,$AC348)="","",IF(344&gt;INDEX($AB$5:$AB$404,$AC348)+INDEX($Z$5:$Z$404,$AC348)+INDEX($AA$5:$AA$404,$AC348)+INDEX($AO$5:$AO$404,$AC348),"",IF(344=INDEX($AB$5:$AB$404,$AC348)+INDEX($Z$5:$Z$404,$AC348),"D",IF(AND(INDEX($Z$5:$Z$404,$AC348)=1,344=INDEX($AB$5:$AB$404,$AC348)),"H",IF(AND(INDEX($AO$5:$AO$404,$AC348)=1,344=INDEX($AB$5:$AB$404,$AC348)+INDEX($Z$5:$Z$404,$AC348)+INDEX($AA$5:$AA$404,$AC348)+INDEX($AO$5:$AO$404,$AC348)),"B","T")))))))</f>
        <v/>
      </c>
      <c r="AF348" t="str">
        <f t="shared" si="158"/>
        <v/>
      </c>
      <c r="AJ348">
        <f>IF($AD348&lt;&gt;"T",0,ROUND(SUMIF(oil!$B$4:$B$63,$AF348,oil!$AE$4:$AE$63),2))</f>
        <v>0</v>
      </c>
      <c r="AK348" t="str">
        <f>IF($S348="","",IFERROR(INDEX(อัตราค่าขนส่ง!$R$5:$R$54,MATCH($S348,อัตราค่าขนส่ง!$Q$5:$Q$54,0)),INDEX(รายการมาตรฐาน!$G$2:$G$3,1)))</f>
        <v/>
      </c>
      <c r="AL348" t="str">
        <f>IF($S348="","",IFERROR(MATCH($AK348,รายการมาตรฐาน!$G$2:$G$3,0),1))</f>
        <v/>
      </c>
      <c r="AM348" t="str">
        <f t="shared" si="159"/>
        <v/>
      </c>
      <c r="AN348" t="str">
        <f t="shared" si="160"/>
        <v/>
      </c>
      <c r="AO348">
        <f t="shared" si="161"/>
        <v>0</v>
      </c>
      <c r="AP348">
        <f t="shared" si="167"/>
        <v>0</v>
      </c>
      <c r="AQ348" t="str">
        <f t="shared" si="162"/>
        <v/>
      </c>
      <c r="AR348">
        <f>IF($Y348="",0,COUNTIF(บันทึกรายเที่ยว!$V$6:$V$10005,$Y348))</f>
        <v>0</v>
      </c>
      <c r="AS348">
        <f>IF($Y348="",0,ROUND(SUMIF(บันทึกรายเที่ยว!$V$6:$V$10005,$Y348,บันทึกรายเที่ยว!$M$6:$M$10005),2))</f>
        <v>0</v>
      </c>
      <c r="AT348">
        <f>IF($Y348="",0,IFERROR(INDEX(อัตราค่าขนส่ง!$J$5:$J$204,MATCH($Y348,อัตราค่าขนส่ง!$O$5:$O$204,0)),0))</f>
        <v>0</v>
      </c>
      <c r="AU348">
        <f t="shared" si="163"/>
        <v>0</v>
      </c>
      <c r="AV348">
        <f t="shared" si="164"/>
        <v>0</v>
      </c>
      <c r="AW348" t="str">
        <f>IF($Y348="","",IFERROR(INDEX(อัตราค่าขนส่ง!$F$5:$F$204,MATCH($Y348,อัตราค่าขนส่ง!$O$5:$O$204,0)),""))</f>
        <v/>
      </c>
      <c r="AX348" t="str">
        <f>IF($W348="","",INDEX(บันทึกรายเที่ยว!$D$6:$D$10005,$W348))</f>
        <v/>
      </c>
      <c r="AY348" t="str">
        <f>IF($W348="","",INDEX(บันทึกรายเที่ยว!$R$6:$R$10005,$W348))</f>
        <v/>
      </c>
      <c r="AZ348">
        <f t="shared" si="165"/>
        <v>0</v>
      </c>
      <c r="BA348" t="str">
        <f>IF($W348="","",INDEX(บันทึกรายเที่ยว!$E$6:$E$10005,$W348))</f>
        <v/>
      </c>
      <c r="BC348">
        <f>IF($Y348="",0,IFERROR(INDEX(อัตราค่าขนส่ง!$M$5:$M$204,MATCH($Y348,อัตราค่าขนส่ง!$O$5:$O$204,0)),0))</f>
        <v>0</v>
      </c>
      <c r="BD348">
        <f>IF($Y348="",0,IFERROR(INDEX(อัตราค่าขนส่ง!$N$5:$N$204,MATCH($Y348,อัตราค่าขนส่ง!$O$5:$O$204,0)),0))</f>
        <v>0</v>
      </c>
    </row>
    <row r="349" spans="1:56" ht="21" customHeight="1" x14ac:dyDescent="0.95">
      <c r="A349" s="36" t="str">
        <f>IF($AD349="","",IF($AD349="Z","รวมจ่ายทั้งสิ้น",IF($AD349="H",INDEX($X$5:$X$404,$AC349),IF($AD349="T","รวม",IF($AD349="B",IFERROR(INDEX(อัตราค่าขนส่ง!$U$5:$U$14,MATCH(INDEX($AM$5:$AM$404,$AC349),อัตราค่าขนส่ง!$T$5:$T$14,0)),"รวมกลุ่ม "&amp;INDEX($AM$5:$AM$404,$AC349)),INDEX($AY$5:$AY$404,$AC349))))))</f>
        <v/>
      </c>
      <c r="B349" s="31" t="str">
        <f t="shared" si="140"/>
        <v/>
      </c>
      <c r="C349" s="8" t="str">
        <f t="shared" si="141"/>
        <v/>
      </c>
      <c r="D349" s="37" t="str">
        <f t="shared" si="142"/>
        <v/>
      </c>
      <c r="E349" s="31" t="str">
        <f t="shared" si="143"/>
        <v/>
      </c>
      <c r="F349" s="32" t="str">
        <f t="shared" si="144"/>
        <v/>
      </c>
      <c r="G349" s="32" t="str">
        <f t="shared" si="145"/>
        <v/>
      </c>
      <c r="H349" s="32" t="str">
        <f t="shared" si="146"/>
        <v/>
      </c>
      <c r="I349" s="32" t="str">
        <f t="shared" si="147"/>
        <v/>
      </c>
      <c r="J349" s="46" t="str">
        <f t="shared" si="148"/>
        <v/>
      </c>
      <c r="K349" s="32" t="str">
        <f t="shared" si="149"/>
        <v/>
      </c>
      <c r="L349" s="32" t="str">
        <f t="shared" si="150"/>
        <v/>
      </c>
      <c r="M349" s="32" t="str">
        <f t="shared" si="151"/>
        <v/>
      </c>
      <c r="N349" s="32" t="str">
        <f t="shared" si="152"/>
        <v/>
      </c>
      <c r="O349" s="32" t="str">
        <f t="shared" si="153"/>
        <v/>
      </c>
      <c r="Q349" t="str">
        <f>IFERROR(MATCH(345,บันทึกรายเที่ยว!$Z$6:$Z$10005,0),"")</f>
        <v/>
      </c>
      <c r="R349" t="str">
        <f>IF($Q349="","",INDEX(บันทึกรายเที่ยว!$V$6:$V$10005,$Q349))</f>
        <v/>
      </c>
      <c r="S349" t="str">
        <f>IF($Q349="","",INDEX(บันทึกรายเที่ยว!$F$6:$F$10005,$Q349))</f>
        <v/>
      </c>
      <c r="T349" t="str">
        <f>IF($Q349="","",MATCH($S349,บันทึกรายเที่ยว!$F$6:$F$10005,0))</f>
        <v/>
      </c>
      <c r="U349" t="str">
        <f>IF($Q349="","",$AL349*10000000+$T349*1000+345)</f>
        <v/>
      </c>
      <c r="V349" t="str">
        <f>IFERROR(MATCH(SMALL($U$5:$U$404,345),$U$5:$U$404,0),"")</f>
        <v/>
      </c>
      <c r="W349" t="str">
        <f t="shared" si="154"/>
        <v/>
      </c>
      <c r="X349" t="str">
        <f t="shared" si="155"/>
        <v/>
      </c>
      <c r="Y349" t="str">
        <f t="shared" si="156"/>
        <v/>
      </c>
      <c r="Z349">
        <f t="shared" si="166"/>
        <v>0</v>
      </c>
      <c r="AA349">
        <f t="shared" si="157"/>
        <v>0</v>
      </c>
      <c r="AB349">
        <f>IF($V349="",99999+345,$AB348+1+$Z348+$AA348+$AO348)</f>
        <v>100344</v>
      </c>
      <c r="AC349" t="str">
        <f>IFERROR(MATCH(345,$AB$5:$AB$404,1),"")</f>
        <v/>
      </c>
      <c r="AD349" t="str">
        <f>IF(345=$AI$1+1,"Z",IF($AC349="","",IF(INDEX($V$5:$V$404,$AC349)="","",IF(345&gt;INDEX($AB$5:$AB$404,$AC349)+INDEX($Z$5:$Z$404,$AC349)+INDEX($AA$5:$AA$404,$AC349)+INDEX($AO$5:$AO$404,$AC349),"",IF(345=INDEX($AB$5:$AB$404,$AC349)+INDEX($Z$5:$Z$404,$AC349),"D",IF(AND(INDEX($Z$5:$Z$404,$AC349)=1,345=INDEX($AB$5:$AB$404,$AC349)),"H",IF(AND(INDEX($AO$5:$AO$404,$AC349)=1,345=INDEX($AB$5:$AB$404,$AC349)+INDEX($Z$5:$Z$404,$AC349)+INDEX($AA$5:$AA$404,$AC349)+INDEX($AO$5:$AO$404,$AC349)),"B","T")))))))</f>
        <v/>
      </c>
      <c r="AF349" t="str">
        <f t="shared" si="158"/>
        <v/>
      </c>
      <c r="AJ349">
        <f>IF($AD349&lt;&gt;"T",0,ROUND(SUMIF(oil!$B$4:$B$63,$AF349,oil!$AE$4:$AE$63),2))</f>
        <v>0</v>
      </c>
      <c r="AK349" t="str">
        <f>IF($S349="","",IFERROR(INDEX(อัตราค่าขนส่ง!$R$5:$R$54,MATCH($S349,อัตราค่าขนส่ง!$Q$5:$Q$54,0)),INDEX(รายการมาตรฐาน!$G$2:$G$3,1)))</f>
        <v/>
      </c>
      <c r="AL349" t="str">
        <f>IF($S349="","",IFERROR(MATCH($AK349,รายการมาตรฐาน!$G$2:$G$3,0),1))</f>
        <v/>
      </c>
      <c r="AM349" t="str">
        <f t="shared" si="159"/>
        <v/>
      </c>
      <c r="AN349" t="str">
        <f t="shared" si="160"/>
        <v/>
      </c>
      <c r="AO349">
        <f t="shared" si="161"/>
        <v>0</v>
      </c>
      <c r="AP349">
        <f t="shared" si="167"/>
        <v>0</v>
      </c>
      <c r="AQ349" t="str">
        <f t="shared" si="162"/>
        <v/>
      </c>
      <c r="AR349">
        <f>IF($Y349="",0,COUNTIF(บันทึกรายเที่ยว!$V$6:$V$10005,$Y349))</f>
        <v>0</v>
      </c>
      <c r="AS349">
        <f>IF($Y349="",0,ROUND(SUMIF(บันทึกรายเที่ยว!$V$6:$V$10005,$Y349,บันทึกรายเที่ยว!$M$6:$M$10005),2))</f>
        <v>0</v>
      </c>
      <c r="AT349">
        <f>IF($Y349="",0,IFERROR(INDEX(อัตราค่าขนส่ง!$J$5:$J$204,MATCH($Y349,อัตราค่าขนส่ง!$O$5:$O$204,0)),0))</f>
        <v>0</v>
      </c>
      <c r="AU349">
        <f t="shared" si="163"/>
        <v>0</v>
      </c>
      <c r="AV349">
        <f t="shared" si="164"/>
        <v>0</v>
      </c>
      <c r="AW349" t="str">
        <f>IF($Y349="","",IFERROR(INDEX(อัตราค่าขนส่ง!$F$5:$F$204,MATCH($Y349,อัตราค่าขนส่ง!$O$5:$O$204,0)),""))</f>
        <v/>
      </c>
      <c r="AX349" t="str">
        <f>IF($W349="","",INDEX(บันทึกรายเที่ยว!$D$6:$D$10005,$W349))</f>
        <v/>
      </c>
      <c r="AY349" t="str">
        <f>IF($W349="","",INDEX(บันทึกรายเที่ยว!$R$6:$R$10005,$W349))</f>
        <v/>
      </c>
      <c r="AZ349">
        <f t="shared" si="165"/>
        <v>0</v>
      </c>
      <c r="BA349" t="str">
        <f>IF($W349="","",INDEX(บันทึกรายเที่ยว!$E$6:$E$10005,$W349))</f>
        <v/>
      </c>
      <c r="BC349">
        <f>IF($Y349="",0,IFERROR(INDEX(อัตราค่าขนส่ง!$M$5:$M$204,MATCH($Y349,อัตราค่าขนส่ง!$O$5:$O$204,0)),0))</f>
        <v>0</v>
      </c>
      <c r="BD349">
        <f>IF($Y349="",0,IFERROR(INDEX(อัตราค่าขนส่ง!$N$5:$N$204,MATCH($Y349,อัตราค่าขนส่ง!$O$5:$O$204,0)),0))</f>
        <v>0</v>
      </c>
    </row>
    <row r="350" spans="1:56" ht="21" customHeight="1" x14ac:dyDescent="0.95">
      <c r="A350" s="36" t="str">
        <f>IF($AD350="","",IF($AD350="Z","รวมจ่ายทั้งสิ้น",IF($AD350="H",INDEX($X$5:$X$404,$AC350),IF($AD350="T","รวม",IF($AD350="B",IFERROR(INDEX(อัตราค่าขนส่ง!$U$5:$U$14,MATCH(INDEX($AM$5:$AM$404,$AC350),อัตราค่าขนส่ง!$T$5:$T$14,0)),"รวมกลุ่ม "&amp;INDEX($AM$5:$AM$404,$AC350)),INDEX($AY$5:$AY$404,$AC350))))))</f>
        <v/>
      </c>
      <c r="B350" s="31" t="str">
        <f t="shared" si="140"/>
        <v/>
      </c>
      <c r="C350" s="8" t="str">
        <f t="shared" si="141"/>
        <v/>
      </c>
      <c r="D350" s="37" t="str">
        <f t="shared" si="142"/>
        <v/>
      </c>
      <c r="E350" s="31" t="str">
        <f t="shared" si="143"/>
        <v/>
      </c>
      <c r="F350" s="32" t="str">
        <f t="shared" si="144"/>
        <v/>
      </c>
      <c r="G350" s="32" t="str">
        <f t="shared" si="145"/>
        <v/>
      </c>
      <c r="H350" s="32" t="str">
        <f t="shared" si="146"/>
        <v/>
      </c>
      <c r="I350" s="32" t="str">
        <f t="shared" si="147"/>
        <v/>
      </c>
      <c r="J350" s="46" t="str">
        <f t="shared" si="148"/>
        <v/>
      </c>
      <c r="K350" s="32" t="str">
        <f t="shared" si="149"/>
        <v/>
      </c>
      <c r="L350" s="32" t="str">
        <f t="shared" si="150"/>
        <v/>
      </c>
      <c r="M350" s="32" t="str">
        <f t="shared" si="151"/>
        <v/>
      </c>
      <c r="N350" s="32" t="str">
        <f t="shared" si="152"/>
        <v/>
      </c>
      <c r="O350" s="32" t="str">
        <f t="shared" si="153"/>
        <v/>
      </c>
      <c r="Q350" t="str">
        <f>IFERROR(MATCH(346,บันทึกรายเที่ยว!$Z$6:$Z$10005,0),"")</f>
        <v/>
      </c>
      <c r="R350" t="str">
        <f>IF($Q350="","",INDEX(บันทึกรายเที่ยว!$V$6:$V$10005,$Q350))</f>
        <v/>
      </c>
      <c r="S350" t="str">
        <f>IF($Q350="","",INDEX(บันทึกรายเที่ยว!$F$6:$F$10005,$Q350))</f>
        <v/>
      </c>
      <c r="T350" t="str">
        <f>IF($Q350="","",MATCH($S350,บันทึกรายเที่ยว!$F$6:$F$10005,0))</f>
        <v/>
      </c>
      <c r="U350" t="str">
        <f>IF($Q350="","",$AL350*10000000+$T350*1000+346)</f>
        <v/>
      </c>
      <c r="V350" t="str">
        <f>IFERROR(MATCH(SMALL($U$5:$U$404,346),$U$5:$U$404,0),"")</f>
        <v/>
      </c>
      <c r="W350" t="str">
        <f t="shared" si="154"/>
        <v/>
      </c>
      <c r="X350" t="str">
        <f t="shared" si="155"/>
        <v/>
      </c>
      <c r="Y350" t="str">
        <f t="shared" si="156"/>
        <v/>
      </c>
      <c r="Z350">
        <f t="shared" si="166"/>
        <v>0</v>
      </c>
      <c r="AA350">
        <f t="shared" si="157"/>
        <v>0</v>
      </c>
      <c r="AB350">
        <f>IF($V350="",99999+346,$AB349+1+$Z349+$AA349+$AO349)</f>
        <v>100345</v>
      </c>
      <c r="AC350" t="str">
        <f>IFERROR(MATCH(346,$AB$5:$AB$404,1),"")</f>
        <v/>
      </c>
      <c r="AD350" t="str">
        <f>IF(346=$AI$1+1,"Z",IF($AC350="","",IF(INDEX($V$5:$V$404,$AC350)="","",IF(346&gt;INDEX($AB$5:$AB$404,$AC350)+INDEX($Z$5:$Z$404,$AC350)+INDEX($AA$5:$AA$404,$AC350)+INDEX($AO$5:$AO$404,$AC350),"",IF(346=INDEX($AB$5:$AB$404,$AC350)+INDEX($Z$5:$Z$404,$AC350),"D",IF(AND(INDEX($Z$5:$Z$404,$AC350)=1,346=INDEX($AB$5:$AB$404,$AC350)),"H",IF(AND(INDEX($AO$5:$AO$404,$AC350)=1,346=INDEX($AB$5:$AB$404,$AC350)+INDEX($Z$5:$Z$404,$AC350)+INDEX($AA$5:$AA$404,$AC350)+INDEX($AO$5:$AO$404,$AC350)),"B","T")))))))</f>
        <v/>
      </c>
      <c r="AF350" t="str">
        <f t="shared" si="158"/>
        <v/>
      </c>
      <c r="AJ350">
        <f>IF($AD350&lt;&gt;"T",0,ROUND(SUMIF(oil!$B$4:$B$63,$AF350,oil!$AE$4:$AE$63),2))</f>
        <v>0</v>
      </c>
      <c r="AK350" t="str">
        <f>IF($S350="","",IFERROR(INDEX(อัตราค่าขนส่ง!$R$5:$R$54,MATCH($S350,อัตราค่าขนส่ง!$Q$5:$Q$54,0)),INDEX(รายการมาตรฐาน!$G$2:$G$3,1)))</f>
        <v/>
      </c>
      <c r="AL350" t="str">
        <f>IF($S350="","",IFERROR(MATCH($AK350,รายการมาตรฐาน!$G$2:$G$3,0),1))</f>
        <v/>
      </c>
      <c r="AM350" t="str">
        <f t="shared" si="159"/>
        <v/>
      </c>
      <c r="AN350" t="str">
        <f t="shared" si="160"/>
        <v/>
      </c>
      <c r="AO350">
        <f t="shared" si="161"/>
        <v>0</v>
      </c>
      <c r="AP350">
        <f t="shared" si="167"/>
        <v>0</v>
      </c>
      <c r="AQ350" t="str">
        <f t="shared" si="162"/>
        <v/>
      </c>
      <c r="AR350">
        <f>IF($Y350="",0,COUNTIF(บันทึกรายเที่ยว!$V$6:$V$10005,$Y350))</f>
        <v>0</v>
      </c>
      <c r="AS350">
        <f>IF($Y350="",0,ROUND(SUMIF(บันทึกรายเที่ยว!$V$6:$V$10005,$Y350,บันทึกรายเที่ยว!$M$6:$M$10005),2))</f>
        <v>0</v>
      </c>
      <c r="AT350">
        <f>IF($Y350="",0,IFERROR(INDEX(อัตราค่าขนส่ง!$J$5:$J$204,MATCH($Y350,อัตราค่าขนส่ง!$O$5:$O$204,0)),0))</f>
        <v>0</v>
      </c>
      <c r="AU350">
        <f t="shared" si="163"/>
        <v>0</v>
      </c>
      <c r="AV350">
        <f t="shared" si="164"/>
        <v>0</v>
      </c>
      <c r="AW350" t="str">
        <f>IF($Y350="","",IFERROR(INDEX(อัตราค่าขนส่ง!$F$5:$F$204,MATCH($Y350,อัตราค่าขนส่ง!$O$5:$O$204,0)),""))</f>
        <v/>
      </c>
      <c r="AX350" t="str">
        <f>IF($W350="","",INDEX(บันทึกรายเที่ยว!$D$6:$D$10005,$W350))</f>
        <v/>
      </c>
      <c r="AY350" t="str">
        <f>IF($W350="","",INDEX(บันทึกรายเที่ยว!$R$6:$R$10005,$W350))</f>
        <v/>
      </c>
      <c r="AZ350">
        <f t="shared" si="165"/>
        <v>0</v>
      </c>
      <c r="BA350" t="str">
        <f>IF($W350="","",INDEX(บันทึกรายเที่ยว!$E$6:$E$10005,$W350))</f>
        <v/>
      </c>
      <c r="BC350">
        <f>IF($Y350="",0,IFERROR(INDEX(อัตราค่าขนส่ง!$M$5:$M$204,MATCH($Y350,อัตราค่าขนส่ง!$O$5:$O$204,0)),0))</f>
        <v>0</v>
      </c>
      <c r="BD350">
        <f>IF($Y350="",0,IFERROR(INDEX(อัตราค่าขนส่ง!$N$5:$N$204,MATCH($Y350,อัตราค่าขนส่ง!$O$5:$O$204,0)),0))</f>
        <v>0</v>
      </c>
    </row>
    <row r="351" spans="1:56" ht="21" customHeight="1" x14ac:dyDescent="0.95">
      <c r="A351" s="36" t="str">
        <f>IF($AD351="","",IF($AD351="Z","รวมจ่ายทั้งสิ้น",IF($AD351="H",INDEX($X$5:$X$404,$AC351),IF($AD351="T","รวม",IF($AD351="B",IFERROR(INDEX(อัตราค่าขนส่ง!$U$5:$U$14,MATCH(INDEX($AM$5:$AM$404,$AC351),อัตราค่าขนส่ง!$T$5:$T$14,0)),"รวมกลุ่ม "&amp;INDEX($AM$5:$AM$404,$AC351)),INDEX($AY$5:$AY$404,$AC351))))))</f>
        <v/>
      </c>
      <c r="B351" s="31" t="str">
        <f t="shared" si="140"/>
        <v/>
      </c>
      <c r="C351" s="8" t="str">
        <f t="shared" si="141"/>
        <v/>
      </c>
      <c r="D351" s="37" t="str">
        <f t="shared" si="142"/>
        <v/>
      </c>
      <c r="E351" s="31" t="str">
        <f t="shared" si="143"/>
        <v/>
      </c>
      <c r="F351" s="32" t="str">
        <f t="shared" si="144"/>
        <v/>
      </c>
      <c r="G351" s="32" t="str">
        <f t="shared" si="145"/>
        <v/>
      </c>
      <c r="H351" s="32" t="str">
        <f t="shared" si="146"/>
        <v/>
      </c>
      <c r="I351" s="32" t="str">
        <f t="shared" si="147"/>
        <v/>
      </c>
      <c r="J351" s="46" t="str">
        <f t="shared" si="148"/>
        <v/>
      </c>
      <c r="K351" s="32" t="str">
        <f t="shared" si="149"/>
        <v/>
      </c>
      <c r="L351" s="32" t="str">
        <f t="shared" si="150"/>
        <v/>
      </c>
      <c r="M351" s="32" t="str">
        <f t="shared" si="151"/>
        <v/>
      </c>
      <c r="N351" s="32" t="str">
        <f t="shared" si="152"/>
        <v/>
      </c>
      <c r="O351" s="32" t="str">
        <f t="shared" si="153"/>
        <v/>
      </c>
      <c r="Q351" t="str">
        <f>IFERROR(MATCH(347,บันทึกรายเที่ยว!$Z$6:$Z$10005,0),"")</f>
        <v/>
      </c>
      <c r="R351" t="str">
        <f>IF($Q351="","",INDEX(บันทึกรายเที่ยว!$V$6:$V$10005,$Q351))</f>
        <v/>
      </c>
      <c r="S351" t="str">
        <f>IF($Q351="","",INDEX(บันทึกรายเที่ยว!$F$6:$F$10005,$Q351))</f>
        <v/>
      </c>
      <c r="T351" t="str">
        <f>IF($Q351="","",MATCH($S351,บันทึกรายเที่ยว!$F$6:$F$10005,0))</f>
        <v/>
      </c>
      <c r="U351" t="str">
        <f>IF($Q351="","",$AL351*10000000+$T351*1000+347)</f>
        <v/>
      </c>
      <c r="V351" t="str">
        <f>IFERROR(MATCH(SMALL($U$5:$U$404,347),$U$5:$U$404,0),"")</f>
        <v/>
      </c>
      <c r="W351" t="str">
        <f t="shared" si="154"/>
        <v/>
      </c>
      <c r="X351" t="str">
        <f t="shared" si="155"/>
        <v/>
      </c>
      <c r="Y351" t="str">
        <f t="shared" si="156"/>
        <v/>
      </c>
      <c r="Z351">
        <f t="shared" si="166"/>
        <v>0</v>
      </c>
      <c r="AA351">
        <f t="shared" si="157"/>
        <v>0</v>
      </c>
      <c r="AB351">
        <f>IF($V351="",99999+347,$AB350+1+$Z350+$AA350+$AO350)</f>
        <v>100346</v>
      </c>
      <c r="AC351" t="str">
        <f>IFERROR(MATCH(347,$AB$5:$AB$404,1),"")</f>
        <v/>
      </c>
      <c r="AD351" t="str">
        <f>IF(347=$AI$1+1,"Z",IF($AC351="","",IF(INDEX($V$5:$V$404,$AC351)="","",IF(347&gt;INDEX($AB$5:$AB$404,$AC351)+INDEX($Z$5:$Z$404,$AC351)+INDEX($AA$5:$AA$404,$AC351)+INDEX($AO$5:$AO$404,$AC351),"",IF(347=INDEX($AB$5:$AB$404,$AC351)+INDEX($Z$5:$Z$404,$AC351),"D",IF(AND(INDEX($Z$5:$Z$404,$AC351)=1,347=INDEX($AB$5:$AB$404,$AC351)),"H",IF(AND(INDEX($AO$5:$AO$404,$AC351)=1,347=INDEX($AB$5:$AB$404,$AC351)+INDEX($Z$5:$Z$404,$AC351)+INDEX($AA$5:$AA$404,$AC351)+INDEX($AO$5:$AO$404,$AC351)),"B","T")))))))</f>
        <v/>
      </c>
      <c r="AF351" t="str">
        <f t="shared" si="158"/>
        <v/>
      </c>
      <c r="AJ351">
        <f>IF($AD351&lt;&gt;"T",0,ROUND(SUMIF(oil!$B$4:$B$63,$AF351,oil!$AE$4:$AE$63),2))</f>
        <v>0</v>
      </c>
      <c r="AK351" t="str">
        <f>IF($S351="","",IFERROR(INDEX(อัตราค่าขนส่ง!$R$5:$R$54,MATCH($S351,อัตราค่าขนส่ง!$Q$5:$Q$54,0)),INDEX(รายการมาตรฐาน!$G$2:$G$3,1)))</f>
        <v/>
      </c>
      <c r="AL351" t="str">
        <f>IF($S351="","",IFERROR(MATCH($AK351,รายการมาตรฐาน!$G$2:$G$3,0),1))</f>
        <v/>
      </c>
      <c r="AM351" t="str">
        <f t="shared" si="159"/>
        <v/>
      </c>
      <c r="AN351" t="str">
        <f t="shared" si="160"/>
        <v/>
      </c>
      <c r="AO351">
        <f t="shared" si="161"/>
        <v>0</v>
      </c>
      <c r="AP351">
        <f t="shared" si="167"/>
        <v>0</v>
      </c>
      <c r="AQ351" t="str">
        <f t="shared" si="162"/>
        <v/>
      </c>
      <c r="AR351">
        <f>IF($Y351="",0,COUNTIF(บันทึกรายเที่ยว!$V$6:$V$10005,$Y351))</f>
        <v>0</v>
      </c>
      <c r="AS351">
        <f>IF($Y351="",0,ROUND(SUMIF(บันทึกรายเที่ยว!$V$6:$V$10005,$Y351,บันทึกรายเที่ยว!$M$6:$M$10005),2))</f>
        <v>0</v>
      </c>
      <c r="AT351">
        <f>IF($Y351="",0,IFERROR(INDEX(อัตราค่าขนส่ง!$J$5:$J$204,MATCH($Y351,อัตราค่าขนส่ง!$O$5:$O$204,0)),0))</f>
        <v>0</v>
      </c>
      <c r="AU351">
        <f t="shared" si="163"/>
        <v>0</v>
      </c>
      <c r="AV351">
        <f t="shared" si="164"/>
        <v>0</v>
      </c>
      <c r="AW351" t="str">
        <f>IF($Y351="","",IFERROR(INDEX(อัตราค่าขนส่ง!$F$5:$F$204,MATCH($Y351,อัตราค่าขนส่ง!$O$5:$O$204,0)),""))</f>
        <v/>
      </c>
      <c r="AX351" t="str">
        <f>IF($W351="","",INDEX(บันทึกรายเที่ยว!$D$6:$D$10005,$W351))</f>
        <v/>
      </c>
      <c r="AY351" t="str">
        <f>IF($W351="","",INDEX(บันทึกรายเที่ยว!$R$6:$R$10005,$W351))</f>
        <v/>
      </c>
      <c r="AZ351">
        <f t="shared" si="165"/>
        <v>0</v>
      </c>
      <c r="BA351" t="str">
        <f>IF($W351="","",INDEX(บันทึกรายเที่ยว!$E$6:$E$10005,$W351))</f>
        <v/>
      </c>
      <c r="BC351">
        <f>IF($Y351="",0,IFERROR(INDEX(อัตราค่าขนส่ง!$M$5:$M$204,MATCH($Y351,อัตราค่าขนส่ง!$O$5:$O$204,0)),0))</f>
        <v>0</v>
      </c>
      <c r="BD351">
        <f>IF($Y351="",0,IFERROR(INDEX(อัตราค่าขนส่ง!$N$5:$N$204,MATCH($Y351,อัตราค่าขนส่ง!$O$5:$O$204,0)),0))</f>
        <v>0</v>
      </c>
    </row>
    <row r="352" spans="1:56" ht="21" customHeight="1" x14ac:dyDescent="0.95">
      <c r="A352" s="36" t="str">
        <f>IF($AD352="","",IF($AD352="Z","รวมจ่ายทั้งสิ้น",IF($AD352="H",INDEX($X$5:$X$404,$AC352),IF($AD352="T","รวม",IF($AD352="B",IFERROR(INDEX(อัตราค่าขนส่ง!$U$5:$U$14,MATCH(INDEX($AM$5:$AM$404,$AC352),อัตราค่าขนส่ง!$T$5:$T$14,0)),"รวมกลุ่ม "&amp;INDEX($AM$5:$AM$404,$AC352)),INDEX($AY$5:$AY$404,$AC352))))))</f>
        <v/>
      </c>
      <c r="B352" s="31" t="str">
        <f t="shared" si="140"/>
        <v/>
      </c>
      <c r="C352" s="8" t="str">
        <f t="shared" si="141"/>
        <v/>
      </c>
      <c r="D352" s="37" t="str">
        <f t="shared" si="142"/>
        <v/>
      </c>
      <c r="E352" s="31" t="str">
        <f t="shared" si="143"/>
        <v/>
      </c>
      <c r="F352" s="32" t="str">
        <f t="shared" si="144"/>
        <v/>
      </c>
      <c r="G352" s="32" t="str">
        <f t="shared" si="145"/>
        <v/>
      </c>
      <c r="H352" s="32" t="str">
        <f t="shared" si="146"/>
        <v/>
      </c>
      <c r="I352" s="32" t="str">
        <f t="shared" si="147"/>
        <v/>
      </c>
      <c r="J352" s="46" t="str">
        <f t="shared" si="148"/>
        <v/>
      </c>
      <c r="K352" s="32" t="str">
        <f t="shared" si="149"/>
        <v/>
      </c>
      <c r="L352" s="32" t="str">
        <f t="shared" si="150"/>
        <v/>
      </c>
      <c r="M352" s="32" t="str">
        <f t="shared" si="151"/>
        <v/>
      </c>
      <c r="N352" s="32" t="str">
        <f t="shared" si="152"/>
        <v/>
      </c>
      <c r="O352" s="32" t="str">
        <f t="shared" si="153"/>
        <v/>
      </c>
      <c r="Q352" t="str">
        <f>IFERROR(MATCH(348,บันทึกรายเที่ยว!$Z$6:$Z$10005,0),"")</f>
        <v/>
      </c>
      <c r="R352" t="str">
        <f>IF($Q352="","",INDEX(บันทึกรายเที่ยว!$V$6:$V$10005,$Q352))</f>
        <v/>
      </c>
      <c r="S352" t="str">
        <f>IF($Q352="","",INDEX(บันทึกรายเที่ยว!$F$6:$F$10005,$Q352))</f>
        <v/>
      </c>
      <c r="T352" t="str">
        <f>IF($Q352="","",MATCH($S352,บันทึกรายเที่ยว!$F$6:$F$10005,0))</f>
        <v/>
      </c>
      <c r="U352" t="str">
        <f>IF($Q352="","",$AL352*10000000+$T352*1000+348)</f>
        <v/>
      </c>
      <c r="V352" t="str">
        <f>IFERROR(MATCH(SMALL($U$5:$U$404,348),$U$5:$U$404,0),"")</f>
        <v/>
      </c>
      <c r="W352" t="str">
        <f t="shared" si="154"/>
        <v/>
      </c>
      <c r="X352" t="str">
        <f t="shared" si="155"/>
        <v/>
      </c>
      <c r="Y352" t="str">
        <f t="shared" si="156"/>
        <v/>
      </c>
      <c r="Z352">
        <f t="shared" si="166"/>
        <v>0</v>
      </c>
      <c r="AA352">
        <f t="shared" si="157"/>
        <v>0</v>
      </c>
      <c r="AB352">
        <f>IF($V352="",99999+348,$AB351+1+$Z351+$AA351+$AO351)</f>
        <v>100347</v>
      </c>
      <c r="AC352" t="str">
        <f>IFERROR(MATCH(348,$AB$5:$AB$404,1),"")</f>
        <v/>
      </c>
      <c r="AD352" t="str">
        <f>IF(348=$AI$1+1,"Z",IF($AC352="","",IF(INDEX($V$5:$V$404,$AC352)="","",IF(348&gt;INDEX($AB$5:$AB$404,$AC352)+INDEX($Z$5:$Z$404,$AC352)+INDEX($AA$5:$AA$404,$AC352)+INDEX($AO$5:$AO$404,$AC352),"",IF(348=INDEX($AB$5:$AB$404,$AC352)+INDEX($Z$5:$Z$404,$AC352),"D",IF(AND(INDEX($Z$5:$Z$404,$AC352)=1,348=INDEX($AB$5:$AB$404,$AC352)),"H",IF(AND(INDEX($AO$5:$AO$404,$AC352)=1,348=INDEX($AB$5:$AB$404,$AC352)+INDEX($Z$5:$Z$404,$AC352)+INDEX($AA$5:$AA$404,$AC352)+INDEX($AO$5:$AO$404,$AC352)),"B","T")))))))</f>
        <v/>
      </c>
      <c r="AF352" t="str">
        <f t="shared" si="158"/>
        <v/>
      </c>
      <c r="AJ352">
        <f>IF($AD352&lt;&gt;"T",0,ROUND(SUMIF(oil!$B$4:$B$63,$AF352,oil!$AE$4:$AE$63),2))</f>
        <v>0</v>
      </c>
      <c r="AK352" t="str">
        <f>IF($S352="","",IFERROR(INDEX(อัตราค่าขนส่ง!$R$5:$R$54,MATCH($S352,อัตราค่าขนส่ง!$Q$5:$Q$54,0)),INDEX(รายการมาตรฐาน!$G$2:$G$3,1)))</f>
        <v/>
      </c>
      <c r="AL352" t="str">
        <f>IF($S352="","",IFERROR(MATCH($AK352,รายการมาตรฐาน!$G$2:$G$3,0),1))</f>
        <v/>
      </c>
      <c r="AM352" t="str">
        <f t="shared" si="159"/>
        <v/>
      </c>
      <c r="AN352" t="str">
        <f t="shared" si="160"/>
        <v/>
      </c>
      <c r="AO352">
        <f t="shared" si="161"/>
        <v>0</v>
      </c>
      <c r="AP352">
        <f t="shared" si="167"/>
        <v>0</v>
      </c>
      <c r="AQ352" t="str">
        <f t="shared" si="162"/>
        <v/>
      </c>
      <c r="AR352">
        <f>IF($Y352="",0,COUNTIF(บันทึกรายเที่ยว!$V$6:$V$10005,$Y352))</f>
        <v>0</v>
      </c>
      <c r="AS352">
        <f>IF($Y352="",0,ROUND(SUMIF(บันทึกรายเที่ยว!$V$6:$V$10005,$Y352,บันทึกรายเที่ยว!$M$6:$M$10005),2))</f>
        <v>0</v>
      </c>
      <c r="AT352">
        <f>IF($Y352="",0,IFERROR(INDEX(อัตราค่าขนส่ง!$J$5:$J$204,MATCH($Y352,อัตราค่าขนส่ง!$O$5:$O$204,0)),0))</f>
        <v>0</v>
      </c>
      <c r="AU352">
        <f t="shared" si="163"/>
        <v>0</v>
      </c>
      <c r="AV352">
        <f t="shared" si="164"/>
        <v>0</v>
      </c>
      <c r="AW352" t="str">
        <f>IF($Y352="","",IFERROR(INDEX(อัตราค่าขนส่ง!$F$5:$F$204,MATCH($Y352,อัตราค่าขนส่ง!$O$5:$O$204,0)),""))</f>
        <v/>
      </c>
      <c r="AX352" t="str">
        <f>IF($W352="","",INDEX(บันทึกรายเที่ยว!$D$6:$D$10005,$W352))</f>
        <v/>
      </c>
      <c r="AY352" t="str">
        <f>IF($W352="","",INDEX(บันทึกรายเที่ยว!$R$6:$R$10005,$W352))</f>
        <v/>
      </c>
      <c r="AZ352">
        <f t="shared" si="165"/>
        <v>0</v>
      </c>
      <c r="BA352" t="str">
        <f>IF($W352="","",INDEX(บันทึกรายเที่ยว!$E$6:$E$10005,$W352))</f>
        <v/>
      </c>
      <c r="BC352">
        <f>IF($Y352="",0,IFERROR(INDEX(อัตราค่าขนส่ง!$M$5:$M$204,MATCH($Y352,อัตราค่าขนส่ง!$O$5:$O$204,0)),0))</f>
        <v>0</v>
      </c>
      <c r="BD352">
        <f>IF($Y352="",0,IFERROR(INDEX(อัตราค่าขนส่ง!$N$5:$N$204,MATCH($Y352,อัตราค่าขนส่ง!$O$5:$O$204,0)),0))</f>
        <v>0</v>
      </c>
    </row>
    <row r="353" spans="1:56" ht="21" customHeight="1" x14ac:dyDescent="0.95">
      <c r="A353" s="36" t="str">
        <f>IF($AD353="","",IF($AD353="Z","รวมจ่ายทั้งสิ้น",IF($AD353="H",INDEX($X$5:$X$404,$AC353),IF($AD353="T","รวม",IF($AD353="B",IFERROR(INDEX(อัตราค่าขนส่ง!$U$5:$U$14,MATCH(INDEX($AM$5:$AM$404,$AC353),อัตราค่าขนส่ง!$T$5:$T$14,0)),"รวมกลุ่ม "&amp;INDEX($AM$5:$AM$404,$AC353)),INDEX($AY$5:$AY$404,$AC353))))))</f>
        <v/>
      </c>
      <c r="B353" s="31" t="str">
        <f t="shared" si="140"/>
        <v/>
      </c>
      <c r="C353" s="8" t="str">
        <f t="shared" si="141"/>
        <v/>
      </c>
      <c r="D353" s="37" t="str">
        <f t="shared" si="142"/>
        <v/>
      </c>
      <c r="E353" s="31" t="str">
        <f t="shared" si="143"/>
        <v/>
      </c>
      <c r="F353" s="32" t="str">
        <f t="shared" si="144"/>
        <v/>
      </c>
      <c r="G353" s="32" t="str">
        <f t="shared" si="145"/>
        <v/>
      </c>
      <c r="H353" s="32" t="str">
        <f t="shared" si="146"/>
        <v/>
      </c>
      <c r="I353" s="32" t="str">
        <f t="shared" si="147"/>
        <v/>
      </c>
      <c r="J353" s="46" t="str">
        <f t="shared" si="148"/>
        <v/>
      </c>
      <c r="K353" s="32" t="str">
        <f t="shared" si="149"/>
        <v/>
      </c>
      <c r="L353" s="32" t="str">
        <f t="shared" si="150"/>
        <v/>
      </c>
      <c r="M353" s="32" t="str">
        <f t="shared" si="151"/>
        <v/>
      </c>
      <c r="N353" s="32" t="str">
        <f t="shared" si="152"/>
        <v/>
      </c>
      <c r="O353" s="32" t="str">
        <f t="shared" si="153"/>
        <v/>
      </c>
      <c r="Q353" t="str">
        <f>IFERROR(MATCH(349,บันทึกรายเที่ยว!$Z$6:$Z$10005,0),"")</f>
        <v/>
      </c>
      <c r="R353" t="str">
        <f>IF($Q353="","",INDEX(บันทึกรายเที่ยว!$V$6:$V$10005,$Q353))</f>
        <v/>
      </c>
      <c r="S353" t="str">
        <f>IF($Q353="","",INDEX(บันทึกรายเที่ยว!$F$6:$F$10005,$Q353))</f>
        <v/>
      </c>
      <c r="T353" t="str">
        <f>IF($Q353="","",MATCH($S353,บันทึกรายเที่ยว!$F$6:$F$10005,0))</f>
        <v/>
      </c>
      <c r="U353" t="str">
        <f>IF($Q353="","",$AL353*10000000+$T353*1000+349)</f>
        <v/>
      </c>
      <c r="V353" t="str">
        <f>IFERROR(MATCH(SMALL($U$5:$U$404,349),$U$5:$U$404,0),"")</f>
        <v/>
      </c>
      <c r="W353" t="str">
        <f t="shared" si="154"/>
        <v/>
      </c>
      <c r="X353" t="str">
        <f t="shared" si="155"/>
        <v/>
      </c>
      <c r="Y353" t="str">
        <f t="shared" si="156"/>
        <v/>
      </c>
      <c r="Z353">
        <f t="shared" si="166"/>
        <v>0</v>
      </c>
      <c r="AA353">
        <f t="shared" si="157"/>
        <v>0</v>
      </c>
      <c r="AB353">
        <f>IF($V353="",99999+349,$AB352+1+$Z352+$AA352+$AO352)</f>
        <v>100348</v>
      </c>
      <c r="AC353" t="str">
        <f>IFERROR(MATCH(349,$AB$5:$AB$404,1),"")</f>
        <v/>
      </c>
      <c r="AD353" t="str">
        <f>IF(349=$AI$1+1,"Z",IF($AC353="","",IF(INDEX($V$5:$V$404,$AC353)="","",IF(349&gt;INDEX($AB$5:$AB$404,$AC353)+INDEX($Z$5:$Z$404,$AC353)+INDEX($AA$5:$AA$404,$AC353)+INDEX($AO$5:$AO$404,$AC353),"",IF(349=INDEX($AB$5:$AB$404,$AC353)+INDEX($Z$5:$Z$404,$AC353),"D",IF(AND(INDEX($Z$5:$Z$404,$AC353)=1,349=INDEX($AB$5:$AB$404,$AC353)),"H",IF(AND(INDEX($AO$5:$AO$404,$AC353)=1,349=INDEX($AB$5:$AB$404,$AC353)+INDEX($Z$5:$Z$404,$AC353)+INDEX($AA$5:$AA$404,$AC353)+INDEX($AO$5:$AO$404,$AC353)),"B","T")))))))</f>
        <v/>
      </c>
      <c r="AF353" t="str">
        <f t="shared" si="158"/>
        <v/>
      </c>
      <c r="AJ353">
        <f>IF($AD353&lt;&gt;"T",0,ROUND(SUMIF(oil!$B$4:$B$63,$AF353,oil!$AE$4:$AE$63),2))</f>
        <v>0</v>
      </c>
      <c r="AK353" t="str">
        <f>IF($S353="","",IFERROR(INDEX(อัตราค่าขนส่ง!$R$5:$R$54,MATCH($S353,อัตราค่าขนส่ง!$Q$5:$Q$54,0)),INDEX(รายการมาตรฐาน!$G$2:$G$3,1)))</f>
        <v/>
      </c>
      <c r="AL353" t="str">
        <f>IF($S353="","",IFERROR(MATCH($AK353,รายการมาตรฐาน!$G$2:$G$3,0),1))</f>
        <v/>
      </c>
      <c r="AM353" t="str">
        <f t="shared" si="159"/>
        <v/>
      </c>
      <c r="AN353" t="str">
        <f t="shared" si="160"/>
        <v/>
      </c>
      <c r="AO353">
        <f t="shared" si="161"/>
        <v>0</v>
      </c>
      <c r="AP353">
        <f t="shared" si="167"/>
        <v>0</v>
      </c>
      <c r="AQ353" t="str">
        <f t="shared" si="162"/>
        <v/>
      </c>
      <c r="AR353">
        <f>IF($Y353="",0,COUNTIF(บันทึกรายเที่ยว!$V$6:$V$10005,$Y353))</f>
        <v>0</v>
      </c>
      <c r="AS353">
        <f>IF($Y353="",0,ROUND(SUMIF(บันทึกรายเที่ยว!$V$6:$V$10005,$Y353,บันทึกรายเที่ยว!$M$6:$M$10005),2))</f>
        <v>0</v>
      </c>
      <c r="AT353">
        <f>IF($Y353="",0,IFERROR(INDEX(อัตราค่าขนส่ง!$J$5:$J$204,MATCH($Y353,อัตราค่าขนส่ง!$O$5:$O$204,0)),0))</f>
        <v>0</v>
      </c>
      <c r="AU353">
        <f t="shared" si="163"/>
        <v>0</v>
      </c>
      <c r="AV353">
        <f t="shared" si="164"/>
        <v>0</v>
      </c>
      <c r="AW353" t="str">
        <f>IF($Y353="","",IFERROR(INDEX(อัตราค่าขนส่ง!$F$5:$F$204,MATCH($Y353,อัตราค่าขนส่ง!$O$5:$O$204,0)),""))</f>
        <v/>
      </c>
      <c r="AX353" t="str">
        <f>IF($W353="","",INDEX(บันทึกรายเที่ยว!$D$6:$D$10005,$W353))</f>
        <v/>
      </c>
      <c r="AY353" t="str">
        <f>IF($W353="","",INDEX(บันทึกรายเที่ยว!$R$6:$R$10005,$W353))</f>
        <v/>
      </c>
      <c r="AZ353">
        <f t="shared" si="165"/>
        <v>0</v>
      </c>
      <c r="BA353" t="str">
        <f>IF($W353="","",INDEX(บันทึกรายเที่ยว!$E$6:$E$10005,$W353))</f>
        <v/>
      </c>
      <c r="BC353">
        <f>IF($Y353="",0,IFERROR(INDEX(อัตราค่าขนส่ง!$M$5:$M$204,MATCH($Y353,อัตราค่าขนส่ง!$O$5:$O$204,0)),0))</f>
        <v>0</v>
      </c>
      <c r="BD353">
        <f>IF($Y353="",0,IFERROR(INDEX(อัตราค่าขนส่ง!$N$5:$N$204,MATCH($Y353,อัตราค่าขนส่ง!$O$5:$O$204,0)),0))</f>
        <v>0</v>
      </c>
    </row>
    <row r="354" spans="1:56" ht="21" customHeight="1" x14ac:dyDescent="0.95">
      <c r="A354" s="36" t="str">
        <f>IF($AD354="","",IF($AD354="Z","รวมจ่ายทั้งสิ้น",IF($AD354="H",INDEX($X$5:$X$404,$AC354),IF($AD354="T","รวม",IF($AD354="B",IFERROR(INDEX(อัตราค่าขนส่ง!$U$5:$U$14,MATCH(INDEX($AM$5:$AM$404,$AC354),อัตราค่าขนส่ง!$T$5:$T$14,0)),"รวมกลุ่ม "&amp;INDEX($AM$5:$AM$404,$AC354)),INDEX($AY$5:$AY$404,$AC354))))))</f>
        <v/>
      </c>
      <c r="B354" s="31" t="str">
        <f t="shared" si="140"/>
        <v/>
      </c>
      <c r="C354" s="8" t="str">
        <f t="shared" si="141"/>
        <v/>
      </c>
      <c r="D354" s="37" t="str">
        <f t="shared" si="142"/>
        <v/>
      </c>
      <c r="E354" s="31" t="str">
        <f t="shared" si="143"/>
        <v/>
      </c>
      <c r="F354" s="32" t="str">
        <f t="shared" si="144"/>
        <v/>
      </c>
      <c r="G354" s="32" t="str">
        <f t="shared" si="145"/>
        <v/>
      </c>
      <c r="H354" s="32" t="str">
        <f t="shared" si="146"/>
        <v/>
      </c>
      <c r="I354" s="32" t="str">
        <f t="shared" si="147"/>
        <v/>
      </c>
      <c r="J354" s="46" t="str">
        <f t="shared" si="148"/>
        <v/>
      </c>
      <c r="K354" s="32" t="str">
        <f t="shared" si="149"/>
        <v/>
      </c>
      <c r="L354" s="32" t="str">
        <f t="shared" si="150"/>
        <v/>
      </c>
      <c r="M354" s="32" t="str">
        <f t="shared" si="151"/>
        <v/>
      </c>
      <c r="N354" s="32" t="str">
        <f t="shared" si="152"/>
        <v/>
      </c>
      <c r="O354" s="32" t="str">
        <f t="shared" si="153"/>
        <v/>
      </c>
      <c r="Q354" t="str">
        <f>IFERROR(MATCH(350,บันทึกรายเที่ยว!$Z$6:$Z$10005,0),"")</f>
        <v/>
      </c>
      <c r="R354" t="str">
        <f>IF($Q354="","",INDEX(บันทึกรายเที่ยว!$V$6:$V$10005,$Q354))</f>
        <v/>
      </c>
      <c r="S354" t="str">
        <f>IF($Q354="","",INDEX(บันทึกรายเที่ยว!$F$6:$F$10005,$Q354))</f>
        <v/>
      </c>
      <c r="T354" t="str">
        <f>IF($Q354="","",MATCH($S354,บันทึกรายเที่ยว!$F$6:$F$10005,0))</f>
        <v/>
      </c>
      <c r="U354" t="str">
        <f>IF($Q354="","",$AL354*10000000+$T354*1000+350)</f>
        <v/>
      </c>
      <c r="V354" t="str">
        <f>IFERROR(MATCH(SMALL($U$5:$U$404,350),$U$5:$U$404,0),"")</f>
        <v/>
      </c>
      <c r="W354" t="str">
        <f t="shared" si="154"/>
        <v/>
      </c>
      <c r="X354" t="str">
        <f t="shared" si="155"/>
        <v/>
      </c>
      <c r="Y354" t="str">
        <f t="shared" si="156"/>
        <v/>
      </c>
      <c r="Z354">
        <f t="shared" si="166"/>
        <v>0</v>
      </c>
      <c r="AA354">
        <f t="shared" si="157"/>
        <v>0</v>
      </c>
      <c r="AB354">
        <f>IF($V354="",99999+350,$AB353+1+$Z353+$AA353+$AO353)</f>
        <v>100349</v>
      </c>
      <c r="AC354" t="str">
        <f>IFERROR(MATCH(350,$AB$5:$AB$404,1),"")</f>
        <v/>
      </c>
      <c r="AD354" t="str">
        <f>IF(350=$AI$1+1,"Z",IF($AC354="","",IF(INDEX($V$5:$V$404,$AC354)="","",IF(350&gt;INDEX($AB$5:$AB$404,$AC354)+INDEX($Z$5:$Z$404,$AC354)+INDEX($AA$5:$AA$404,$AC354)+INDEX($AO$5:$AO$404,$AC354),"",IF(350=INDEX($AB$5:$AB$404,$AC354)+INDEX($Z$5:$Z$404,$AC354),"D",IF(AND(INDEX($Z$5:$Z$404,$AC354)=1,350=INDEX($AB$5:$AB$404,$AC354)),"H",IF(AND(INDEX($AO$5:$AO$404,$AC354)=1,350=INDEX($AB$5:$AB$404,$AC354)+INDEX($Z$5:$Z$404,$AC354)+INDEX($AA$5:$AA$404,$AC354)+INDEX($AO$5:$AO$404,$AC354)),"B","T")))))))</f>
        <v/>
      </c>
      <c r="AF354" t="str">
        <f t="shared" si="158"/>
        <v/>
      </c>
      <c r="AJ354">
        <f>IF($AD354&lt;&gt;"T",0,ROUND(SUMIF(oil!$B$4:$B$63,$AF354,oil!$AE$4:$AE$63),2))</f>
        <v>0</v>
      </c>
      <c r="AK354" t="str">
        <f>IF($S354="","",IFERROR(INDEX(อัตราค่าขนส่ง!$R$5:$R$54,MATCH($S354,อัตราค่าขนส่ง!$Q$5:$Q$54,0)),INDEX(รายการมาตรฐาน!$G$2:$G$3,1)))</f>
        <v/>
      </c>
      <c r="AL354" t="str">
        <f>IF($S354="","",IFERROR(MATCH($AK354,รายการมาตรฐาน!$G$2:$G$3,0),1))</f>
        <v/>
      </c>
      <c r="AM354" t="str">
        <f t="shared" si="159"/>
        <v/>
      </c>
      <c r="AN354" t="str">
        <f t="shared" si="160"/>
        <v/>
      </c>
      <c r="AO354">
        <f t="shared" si="161"/>
        <v>0</v>
      </c>
      <c r="AP354">
        <f t="shared" si="167"/>
        <v>0</v>
      </c>
      <c r="AQ354" t="str">
        <f t="shared" si="162"/>
        <v/>
      </c>
      <c r="AR354">
        <f>IF($Y354="",0,COUNTIF(บันทึกรายเที่ยว!$V$6:$V$10005,$Y354))</f>
        <v>0</v>
      </c>
      <c r="AS354">
        <f>IF($Y354="",0,ROUND(SUMIF(บันทึกรายเที่ยว!$V$6:$V$10005,$Y354,บันทึกรายเที่ยว!$M$6:$M$10005),2))</f>
        <v>0</v>
      </c>
      <c r="AT354">
        <f>IF($Y354="",0,IFERROR(INDEX(อัตราค่าขนส่ง!$J$5:$J$204,MATCH($Y354,อัตราค่าขนส่ง!$O$5:$O$204,0)),0))</f>
        <v>0</v>
      </c>
      <c r="AU354">
        <f t="shared" si="163"/>
        <v>0</v>
      </c>
      <c r="AV354">
        <f t="shared" si="164"/>
        <v>0</v>
      </c>
      <c r="AW354" t="str">
        <f>IF($Y354="","",IFERROR(INDEX(อัตราค่าขนส่ง!$F$5:$F$204,MATCH($Y354,อัตราค่าขนส่ง!$O$5:$O$204,0)),""))</f>
        <v/>
      </c>
      <c r="AX354" t="str">
        <f>IF($W354="","",INDEX(บันทึกรายเที่ยว!$D$6:$D$10005,$W354))</f>
        <v/>
      </c>
      <c r="AY354" t="str">
        <f>IF($W354="","",INDEX(บันทึกรายเที่ยว!$R$6:$R$10005,$W354))</f>
        <v/>
      </c>
      <c r="AZ354">
        <f t="shared" si="165"/>
        <v>0</v>
      </c>
      <c r="BA354" t="str">
        <f>IF($W354="","",INDEX(บันทึกรายเที่ยว!$E$6:$E$10005,$W354))</f>
        <v/>
      </c>
      <c r="BC354">
        <f>IF($Y354="",0,IFERROR(INDEX(อัตราค่าขนส่ง!$M$5:$M$204,MATCH($Y354,อัตราค่าขนส่ง!$O$5:$O$204,0)),0))</f>
        <v>0</v>
      </c>
      <c r="BD354">
        <f>IF($Y354="",0,IFERROR(INDEX(อัตราค่าขนส่ง!$N$5:$N$204,MATCH($Y354,อัตราค่าขนส่ง!$O$5:$O$204,0)),0))</f>
        <v>0</v>
      </c>
    </row>
    <row r="355" spans="1:56" ht="21" customHeight="1" x14ac:dyDescent="0.95">
      <c r="A355" s="36" t="str">
        <f>IF($AD355="","",IF($AD355="Z","รวมจ่ายทั้งสิ้น",IF($AD355="H",INDEX($X$5:$X$404,$AC355),IF($AD355="T","รวม",IF($AD355="B",IFERROR(INDEX(อัตราค่าขนส่ง!$U$5:$U$14,MATCH(INDEX($AM$5:$AM$404,$AC355),อัตราค่าขนส่ง!$T$5:$T$14,0)),"รวมกลุ่ม "&amp;INDEX($AM$5:$AM$404,$AC355)),INDEX($AY$5:$AY$404,$AC355))))))</f>
        <v/>
      </c>
      <c r="B355" s="31" t="str">
        <f t="shared" si="140"/>
        <v/>
      </c>
      <c r="C355" s="8" t="str">
        <f t="shared" si="141"/>
        <v/>
      </c>
      <c r="D355" s="37" t="str">
        <f t="shared" si="142"/>
        <v/>
      </c>
      <c r="E355" s="31" t="str">
        <f t="shared" si="143"/>
        <v/>
      </c>
      <c r="F355" s="32" t="str">
        <f t="shared" si="144"/>
        <v/>
      </c>
      <c r="G355" s="32" t="str">
        <f t="shared" si="145"/>
        <v/>
      </c>
      <c r="H355" s="32" t="str">
        <f t="shared" si="146"/>
        <v/>
      </c>
      <c r="I355" s="32" t="str">
        <f t="shared" si="147"/>
        <v/>
      </c>
      <c r="J355" s="46" t="str">
        <f t="shared" si="148"/>
        <v/>
      </c>
      <c r="K355" s="32" t="str">
        <f t="shared" si="149"/>
        <v/>
      </c>
      <c r="L355" s="32" t="str">
        <f t="shared" si="150"/>
        <v/>
      </c>
      <c r="M355" s="32" t="str">
        <f t="shared" si="151"/>
        <v/>
      </c>
      <c r="N355" s="32" t="str">
        <f t="shared" si="152"/>
        <v/>
      </c>
      <c r="O355" s="32" t="str">
        <f t="shared" si="153"/>
        <v/>
      </c>
      <c r="Q355" t="str">
        <f>IFERROR(MATCH(351,บันทึกรายเที่ยว!$Z$6:$Z$10005,0),"")</f>
        <v/>
      </c>
      <c r="R355" t="str">
        <f>IF($Q355="","",INDEX(บันทึกรายเที่ยว!$V$6:$V$10005,$Q355))</f>
        <v/>
      </c>
      <c r="S355" t="str">
        <f>IF($Q355="","",INDEX(บันทึกรายเที่ยว!$F$6:$F$10005,$Q355))</f>
        <v/>
      </c>
      <c r="T355" t="str">
        <f>IF($Q355="","",MATCH($S355,บันทึกรายเที่ยว!$F$6:$F$10005,0))</f>
        <v/>
      </c>
      <c r="U355" t="str">
        <f>IF($Q355="","",$AL355*10000000+$T355*1000+351)</f>
        <v/>
      </c>
      <c r="V355" t="str">
        <f>IFERROR(MATCH(SMALL($U$5:$U$404,351),$U$5:$U$404,0),"")</f>
        <v/>
      </c>
      <c r="W355" t="str">
        <f t="shared" si="154"/>
        <v/>
      </c>
      <c r="X355" t="str">
        <f t="shared" si="155"/>
        <v/>
      </c>
      <c r="Y355" t="str">
        <f t="shared" si="156"/>
        <v/>
      </c>
      <c r="Z355">
        <f t="shared" si="166"/>
        <v>0</v>
      </c>
      <c r="AA355">
        <f t="shared" si="157"/>
        <v>0</v>
      </c>
      <c r="AB355">
        <f>IF($V355="",99999+351,$AB354+1+$Z354+$AA354+$AO354)</f>
        <v>100350</v>
      </c>
      <c r="AC355" t="str">
        <f>IFERROR(MATCH(351,$AB$5:$AB$404,1),"")</f>
        <v/>
      </c>
      <c r="AD355" t="str">
        <f>IF(351=$AI$1+1,"Z",IF($AC355="","",IF(INDEX($V$5:$V$404,$AC355)="","",IF(351&gt;INDEX($AB$5:$AB$404,$AC355)+INDEX($Z$5:$Z$404,$AC355)+INDEX($AA$5:$AA$404,$AC355)+INDEX($AO$5:$AO$404,$AC355),"",IF(351=INDEX($AB$5:$AB$404,$AC355)+INDEX($Z$5:$Z$404,$AC355),"D",IF(AND(INDEX($Z$5:$Z$404,$AC355)=1,351=INDEX($AB$5:$AB$404,$AC355)),"H",IF(AND(INDEX($AO$5:$AO$404,$AC355)=1,351=INDEX($AB$5:$AB$404,$AC355)+INDEX($Z$5:$Z$404,$AC355)+INDEX($AA$5:$AA$404,$AC355)+INDEX($AO$5:$AO$404,$AC355)),"B","T")))))))</f>
        <v/>
      </c>
      <c r="AF355" t="str">
        <f t="shared" si="158"/>
        <v/>
      </c>
      <c r="AJ355">
        <f>IF($AD355&lt;&gt;"T",0,ROUND(SUMIF(oil!$B$4:$B$63,$AF355,oil!$AE$4:$AE$63),2))</f>
        <v>0</v>
      </c>
      <c r="AK355" t="str">
        <f>IF($S355="","",IFERROR(INDEX(อัตราค่าขนส่ง!$R$5:$R$54,MATCH($S355,อัตราค่าขนส่ง!$Q$5:$Q$54,0)),INDEX(รายการมาตรฐาน!$G$2:$G$3,1)))</f>
        <v/>
      </c>
      <c r="AL355" t="str">
        <f>IF($S355="","",IFERROR(MATCH($AK355,รายการมาตรฐาน!$G$2:$G$3,0),1))</f>
        <v/>
      </c>
      <c r="AM355" t="str">
        <f t="shared" si="159"/>
        <v/>
      </c>
      <c r="AN355" t="str">
        <f t="shared" si="160"/>
        <v/>
      </c>
      <c r="AO355">
        <f t="shared" si="161"/>
        <v>0</v>
      </c>
      <c r="AP355">
        <f t="shared" si="167"/>
        <v>0</v>
      </c>
      <c r="AQ355" t="str">
        <f t="shared" si="162"/>
        <v/>
      </c>
      <c r="AR355">
        <f>IF($Y355="",0,COUNTIF(บันทึกรายเที่ยว!$V$6:$V$10005,$Y355))</f>
        <v>0</v>
      </c>
      <c r="AS355">
        <f>IF($Y355="",0,ROUND(SUMIF(บันทึกรายเที่ยว!$V$6:$V$10005,$Y355,บันทึกรายเที่ยว!$M$6:$M$10005),2))</f>
        <v>0</v>
      </c>
      <c r="AT355">
        <f>IF($Y355="",0,IFERROR(INDEX(อัตราค่าขนส่ง!$J$5:$J$204,MATCH($Y355,อัตราค่าขนส่ง!$O$5:$O$204,0)),0))</f>
        <v>0</v>
      </c>
      <c r="AU355">
        <f t="shared" si="163"/>
        <v>0</v>
      </c>
      <c r="AV355">
        <f t="shared" si="164"/>
        <v>0</v>
      </c>
      <c r="AW355" t="str">
        <f>IF($Y355="","",IFERROR(INDEX(อัตราค่าขนส่ง!$F$5:$F$204,MATCH($Y355,อัตราค่าขนส่ง!$O$5:$O$204,0)),""))</f>
        <v/>
      </c>
      <c r="AX355" t="str">
        <f>IF($W355="","",INDEX(บันทึกรายเที่ยว!$D$6:$D$10005,$W355))</f>
        <v/>
      </c>
      <c r="AY355" t="str">
        <f>IF($W355="","",INDEX(บันทึกรายเที่ยว!$R$6:$R$10005,$W355))</f>
        <v/>
      </c>
      <c r="AZ355">
        <f t="shared" si="165"/>
        <v>0</v>
      </c>
      <c r="BA355" t="str">
        <f>IF($W355="","",INDEX(บันทึกรายเที่ยว!$E$6:$E$10005,$W355))</f>
        <v/>
      </c>
      <c r="BC355">
        <f>IF($Y355="",0,IFERROR(INDEX(อัตราค่าขนส่ง!$M$5:$M$204,MATCH($Y355,อัตราค่าขนส่ง!$O$5:$O$204,0)),0))</f>
        <v>0</v>
      </c>
      <c r="BD355">
        <f>IF($Y355="",0,IFERROR(INDEX(อัตราค่าขนส่ง!$N$5:$N$204,MATCH($Y355,อัตราค่าขนส่ง!$O$5:$O$204,0)),0))</f>
        <v>0</v>
      </c>
    </row>
    <row r="356" spans="1:56" ht="21" customHeight="1" x14ac:dyDescent="0.95">
      <c r="A356" s="36" t="str">
        <f>IF($AD356="","",IF($AD356="Z","รวมจ่ายทั้งสิ้น",IF($AD356="H",INDEX($X$5:$X$404,$AC356),IF($AD356="T","รวม",IF($AD356="B",IFERROR(INDEX(อัตราค่าขนส่ง!$U$5:$U$14,MATCH(INDEX($AM$5:$AM$404,$AC356),อัตราค่าขนส่ง!$T$5:$T$14,0)),"รวมกลุ่ม "&amp;INDEX($AM$5:$AM$404,$AC356)),INDEX($AY$5:$AY$404,$AC356))))))</f>
        <v/>
      </c>
      <c r="B356" s="31" t="str">
        <f t="shared" si="140"/>
        <v/>
      </c>
      <c r="C356" s="8" t="str">
        <f t="shared" si="141"/>
        <v/>
      </c>
      <c r="D356" s="37" t="str">
        <f t="shared" si="142"/>
        <v/>
      </c>
      <c r="E356" s="31" t="str">
        <f t="shared" si="143"/>
        <v/>
      </c>
      <c r="F356" s="32" t="str">
        <f t="shared" si="144"/>
        <v/>
      </c>
      <c r="G356" s="32" t="str">
        <f t="shared" si="145"/>
        <v/>
      </c>
      <c r="H356" s="32" t="str">
        <f t="shared" si="146"/>
        <v/>
      </c>
      <c r="I356" s="32" t="str">
        <f t="shared" si="147"/>
        <v/>
      </c>
      <c r="J356" s="46" t="str">
        <f t="shared" si="148"/>
        <v/>
      </c>
      <c r="K356" s="32" t="str">
        <f t="shared" si="149"/>
        <v/>
      </c>
      <c r="L356" s="32" t="str">
        <f t="shared" si="150"/>
        <v/>
      </c>
      <c r="M356" s="32" t="str">
        <f t="shared" si="151"/>
        <v/>
      </c>
      <c r="N356" s="32" t="str">
        <f t="shared" si="152"/>
        <v/>
      </c>
      <c r="O356" s="32" t="str">
        <f t="shared" si="153"/>
        <v/>
      </c>
      <c r="Q356" t="str">
        <f>IFERROR(MATCH(352,บันทึกรายเที่ยว!$Z$6:$Z$10005,0),"")</f>
        <v/>
      </c>
      <c r="R356" t="str">
        <f>IF($Q356="","",INDEX(บันทึกรายเที่ยว!$V$6:$V$10005,$Q356))</f>
        <v/>
      </c>
      <c r="S356" t="str">
        <f>IF($Q356="","",INDEX(บันทึกรายเที่ยว!$F$6:$F$10005,$Q356))</f>
        <v/>
      </c>
      <c r="T356" t="str">
        <f>IF($Q356="","",MATCH($S356,บันทึกรายเที่ยว!$F$6:$F$10005,0))</f>
        <v/>
      </c>
      <c r="U356" t="str">
        <f>IF($Q356="","",$AL356*10000000+$T356*1000+352)</f>
        <v/>
      </c>
      <c r="V356" t="str">
        <f>IFERROR(MATCH(SMALL($U$5:$U$404,352),$U$5:$U$404,0),"")</f>
        <v/>
      </c>
      <c r="W356" t="str">
        <f t="shared" si="154"/>
        <v/>
      </c>
      <c r="X356" t="str">
        <f t="shared" si="155"/>
        <v/>
      </c>
      <c r="Y356" t="str">
        <f t="shared" si="156"/>
        <v/>
      </c>
      <c r="Z356">
        <f t="shared" si="166"/>
        <v>0</v>
      </c>
      <c r="AA356">
        <f t="shared" si="157"/>
        <v>0</v>
      </c>
      <c r="AB356">
        <f>IF($V356="",99999+352,$AB355+1+$Z355+$AA355+$AO355)</f>
        <v>100351</v>
      </c>
      <c r="AC356" t="str">
        <f>IFERROR(MATCH(352,$AB$5:$AB$404,1),"")</f>
        <v/>
      </c>
      <c r="AD356" t="str">
        <f>IF(352=$AI$1+1,"Z",IF($AC356="","",IF(INDEX($V$5:$V$404,$AC356)="","",IF(352&gt;INDEX($AB$5:$AB$404,$AC356)+INDEX($Z$5:$Z$404,$AC356)+INDEX($AA$5:$AA$404,$AC356)+INDEX($AO$5:$AO$404,$AC356),"",IF(352=INDEX($AB$5:$AB$404,$AC356)+INDEX($Z$5:$Z$404,$AC356),"D",IF(AND(INDEX($Z$5:$Z$404,$AC356)=1,352=INDEX($AB$5:$AB$404,$AC356)),"H",IF(AND(INDEX($AO$5:$AO$404,$AC356)=1,352=INDEX($AB$5:$AB$404,$AC356)+INDEX($Z$5:$Z$404,$AC356)+INDEX($AA$5:$AA$404,$AC356)+INDEX($AO$5:$AO$404,$AC356)),"B","T")))))))</f>
        <v/>
      </c>
      <c r="AF356" t="str">
        <f t="shared" si="158"/>
        <v/>
      </c>
      <c r="AJ356">
        <f>IF($AD356&lt;&gt;"T",0,ROUND(SUMIF(oil!$B$4:$B$63,$AF356,oil!$AE$4:$AE$63),2))</f>
        <v>0</v>
      </c>
      <c r="AK356" t="str">
        <f>IF($S356="","",IFERROR(INDEX(อัตราค่าขนส่ง!$R$5:$R$54,MATCH($S356,อัตราค่าขนส่ง!$Q$5:$Q$54,0)),INDEX(รายการมาตรฐาน!$G$2:$G$3,1)))</f>
        <v/>
      </c>
      <c r="AL356" t="str">
        <f>IF($S356="","",IFERROR(MATCH($AK356,รายการมาตรฐาน!$G$2:$G$3,0),1))</f>
        <v/>
      </c>
      <c r="AM356" t="str">
        <f t="shared" si="159"/>
        <v/>
      </c>
      <c r="AN356" t="str">
        <f t="shared" si="160"/>
        <v/>
      </c>
      <c r="AO356">
        <f t="shared" si="161"/>
        <v>0</v>
      </c>
      <c r="AP356">
        <f t="shared" si="167"/>
        <v>0</v>
      </c>
      <c r="AQ356" t="str">
        <f t="shared" si="162"/>
        <v/>
      </c>
      <c r="AR356">
        <f>IF($Y356="",0,COUNTIF(บันทึกรายเที่ยว!$V$6:$V$10005,$Y356))</f>
        <v>0</v>
      </c>
      <c r="AS356">
        <f>IF($Y356="",0,ROUND(SUMIF(บันทึกรายเที่ยว!$V$6:$V$10005,$Y356,บันทึกรายเที่ยว!$M$6:$M$10005),2))</f>
        <v>0</v>
      </c>
      <c r="AT356">
        <f>IF($Y356="",0,IFERROR(INDEX(อัตราค่าขนส่ง!$J$5:$J$204,MATCH($Y356,อัตราค่าขนส่ง!$O$5:$O$204,0)),0))</f>
        <v>0</v>
      </c>
      <c r="AU356">
        <f t="shared" si="163"/>
        <v>0</v>
      </c>
      <c r="AV356">
        <f t="shared" si="164"/>
        <v>0</v>
      </c>
      <c r="AW356" t="str">
        <f>IF($Y356="","",IFERROR(INDEX(อัตราค่าขนส่ง!$F$5:$F$204,MATCH($Y356,อัตราค่าขนส่ง!$O$5:$O$204,0)),""))</f>
        <v/>
      </c>
      <c r="AX356" t="str">
        <f>IF($W356="","",INDEX(บันทึกรายเที่ยว!$D$6:$D$10005,$W356))</f>
        <v/>
      </c>
      <c r="AY356" t="str">
        <f>IF($W356="","",INDEX(บันทึกรายเที่ยว!$R$6:$R$10005,$W356))</f>
        <v/>
      </c>
      <c r="AZ356">
        <f t="shared" si="165"/>
        <v>0</v>
      </c>
      <c r="BA356" t="str">
        <f>IF($W356="","",INDEX(บันทึกรายเที่ยว!$E$6:$E$10005,$W356))</f>
        <v/>
      </c>
      <c r="BC356">
        <f>IF($Y356="",0,IFERROR(INDEX(อัตราค่าขนส่ง!$M$5:$M$204,MATCH($Y356,อัตราค่าขนส่ง!$O$5:$O$204,0)),0))</f>
        <v>0</v>
      </c>
      <c r="BD356">
        <f>IF($Y356="",0,IFERROR(INDEX(อัตราค่าขนส่ง!$N$5:$N$204,MATCH($Y356,อัตราค่าขนส่ง!$O$5:$O$204,0)),0))</f>
        <v>0</v>
      </c>
    </row>
    <row r="357" spans="1:56" ht="21" customHeight="1" x14ac:dyDescent="0.95">
      <c r="A357" s="36" t="str">
        <f>IF($AD357="","",IF($AD357="Z","รวมจ่ายทั้งสิ้น",IF($AD357="H",INDEX($X$5:$X$404,$AC357),IF($AD357="T","รวม",IF($AD357="B",IFERROR(INDEX(อัตราค่าขนส่ง!$U$5:$U$14,MATCH(INDEX($AM$5:$AM$404,$AC357),อัตราค่าขนส่ง!$T$5:$T$14,0)),"รวมกลุ่ม "&amp;INDEX($AM$5:$AM$404,$AC357)),INDEX($AY$5:$AY$404,$AC357))))))</f>
        <v/>
      </c>
      <c r="B357" s="31" t="str">
        <f t="shared" si="140"/>
        <v/>
      </c>
      <c r="C357" s="8" t="str">
        <f t="shared" si="141"/>
        <v/>
      </c>
      <c r="D357" s="37" t="str">
        <f t="shared" si="142"/>
        <v/>
      </c>
      <c r="E357" s="31" t="str">
        <f t="shared" si="143"/>
        <v/>
      </c>
      <c r="F357" s="32" t="str">
        <f t="shared" si="144"/>
        <v/>
      </c>
      <c r="G357" s="32" t="str">
        <f t="shared" si="145"/>
        <v/>
      </c>
      <c r="H357" s="32" t="str">
        <f t="shared" si="146"/>
        <v/>
      </c>
      <c r="I357" s="32" t="str">
        <f t="shared" si="147"/>
        <v/>
      </c>
      <c r="J357" s="46" t="str">
        <f t="shared" si="148"/>
        <v/>
      </c>
      <c r="K357" s="32" t="str">
        <f t="shared" si="149"/>
        <v/>
      </c>
      <c r="L357" s="32" t="str">
        <f t="shared" si="150"/>
        <v/>
      </c>
      <c r="M357" s="32" t="str">
        <f t="shared" si="151"/>
        <v/>
      </c>
      <c r="N357" s="32" t="str">
        <f t="shared" si="152"/>
        <v/>
      </c>
      <c r="O357" s="32" t="str">
        <f t="shared" si="153"/>
        <v/>
      </c>
      <c r="Q357" t="str">
        <f>IFERROR(MATCH(353,บันทึกรายเที่ยว!$Z$6:$Z$10005,0),"")</f>
        <v/>
      </c>
      <c r="R357" t="str">
        <f>IF($Q357="","",INDEX(บันทึกรายเที่ยว!$V$6:$V$10005,$Q357))</f>
        <v/>
      </c>
      <c r="S357" t="str">
        <f>IF($Q357="","",INDEX(บันทึกรายเที่ยว!$F$6:$F$10005,$Q357))</f>
        <v/>
      </c>
      <c r="T357" t="str">
        <f>IF($Q357="","",MATCH($S357,บันทึกรายเที่ยว!$F$6:$F$10005,0))</f>
        <v/>
      </c>
      <c r="U357" t="str">
        <f>IF($Q357="","",$AL357*10000000+$T357*1000+353)</f>
        <v/>
      </c>
      <c r="V357" t="str">
        <f>IFERROR(MATCH(SMALL($U$5:$U$404,353),$U$5:$U$404,0),"")</f>
        <v/>
      </c>
      <c r="W357" t="str">
        <f t="shared" si="154"/>
        <v/>
      </c>
      <c r="X357" t="str">
        <f t="shared" si="155"/>
        <v/>
      </c>
      <c r="Y357" t="str">
        <f t="shared" si="156"/>
        <v/>
      </c>
      <c r="Z357">
        <f t="shared" si="166"/>
        <v>0</v>
      </c>
      <c r="AA357">
        <f t="shared" si="157"/>
        <v>0</v>
      </c>
      <c r="AB357">
        <f>IF($V357="",99999+353,$AB356+1+$Z356+$AA356+$AO356)</f>
        <v>100352</v>
      </c>
      <c r="AC357" t="str">
        <f>IFERROR(MATCH(353,$AB$5:$AB$404,1),"")</f>
        <v/>
      </c>
      <c r="AD357" t="str">
        <f>IF(353=$AI$1+1,"Z",IF($AC357="","",IF(INDEX($V$5:$V$404,$AC357)="","",IF(353&gt;INDEX($AB$5:$AB$404,$AC357)+INDEX($Z$5:$Z$404,$AC357)+INDEX($AA$5:$AA$404,$AC357)+INDEX($AO$5:$AO$404,$AC357),"",IF(353=INDEX($AB$5:$AB$404,$AC357)+INDEX($Z$5:$Z$404,$AC357),"D",IF(AND(INDEX($Z$5:$Z$404,$AC357)=1,353=INDEX($AB$5:$AB$404,$AC357)),"H",IF(AND(INDEX($AO$5:$AO$404,$AC357)=1,353=INDEX($AB$5:$AB$404,$AC357)+INDEX($Z$5:$Z$404,$AC357)+INDEX($AA$5:$AA$404,$AC357)+INDEX($AO$5:$AO$404,$AC357)),"B","T")))))))</f>
        <v/>
      </c>
      <c r="AF357" t="str">
        <f t="shared" si="158"/>
        <v/>
      </c>
      <c r="AJ357">
        <f>IF($AD357&lt;&gt;"T",0,ROUND(SUMIF(oil!$B$4:$B$63,$AF357,oil!$AE$4:$AE$63),2))</f>
        <v>0</v>
      </c>
      <c r="AK357" t="str">
        <f>IF($S357="","",IFERROR(INDEX(อัตราค่าขนส่ง!$R$5:$R$54,MATCH($S357,อัตราค่าขนส่ง!$Q$5:$Q$54,0)),INDEX(รายการมาตรฐาน!$G$2:$G$3,1)))</f>
        <v/>
      </c>
      <c r="AL357" t="str">
        <f>IF($S357="","",IFERROR(MATCH($AK357,รายการมาตรฐาน!$G$2:$G$3,0),1))</f>
        <v/>
      </c>
      <c r="AM357" t="str">
        <f t="shared" si="159"/>
        <v/>
      </c>
      <c r="AN357" t="str">
        <f t="shared" si="160"/>
        <v/>
      </c>
      <c r="AO357">
        <f t="shared" si="161"/>
        <v>0</v>
      </c>
      <c r="AP357">
        <f t="shared" si="167"/>
        <v>0</v>
      </c>
      <c r="AQ357" t="str">
        <f t="shared" si="162"/>
        <v/>
      </c>
      <c r="AR357">
        <f>IF($Y357="",0,COUNTIF(บันทึกรายเที่ยว!$V$6:$V$10005,$Y357))</f>
        <v>0</v>
      </c>
      <c r="AS357">
        <f>IF($Y357="",0,ROUND(SUMIF(บันทึกรายเที่ยว!$V$6:$V$10005,$Y357,บันทึกรายเที่ยว!$M$6:$M$10005),2))</f>
        <v>0</v>
      </c>
      <c r="AT357">
        <f>IF($Y357="",0,IFERROR(INDEX(อัตราค่าขนส่ง!$J$5:$J$204,MATCH($Y357,อัตราค่าขนส่ง!$O$5:$O$204,0)),0))</f>
        <v>0</v>
      </c>
      <c r="AU357">
        <f t="shared" si="163"/>
        <v>0</v>
      </c>
      <c r="AV357">
        <f t="shared" si="164"/>
        <v>0</v>
      </c>
      <c r="AW357" t="str">
        <f>IF($Y357="","",IFERROR(INDEX(อัตราค่าขนส่ง!$F$5:$F$204,MATCH($Y357,อัตราค่าขนส่ง!$O$5:$O$204,0)),""))</f>
        <v/>
      </c>
      <c r="AX357" t="str">
        <f>IF($W357="","",INDEX(บันทึกรายเที่ยว!$D$6:$D$10005,$W357))</f>
        <v/>
      </c>
      <c r="AY357" t="str">
        <f>IF($W357="","",INDEX(บันทึกรายเที่ยว!$R$6:$R$10005,$W357))</f>
        <v/>
      </c>
      <c r="AZ357">
        <f t="shared" si="165"/>
        <v>0</v>
      </c>
      <c r="BA357" t="str">
        <f>IF($W357="","",INDEX(บันทึกรายเที่ยว!$E$6:$E$10005,$W357))</f>
        <v/>
      </c>
      <c r="BC357">
        <f>IF($Y357="",0,IFERROR(INDEX(อัตราค่าขนส่ง!$M$5:$M$204,MATCH($Y357,อัตราค่าขนส่ง!$O$5:$O$204,0)),0))</f>
        <v>0</v>
      </c>
      <c r="BD357">
        <f>IF($Y357="",0,IFERROR(INDEX(อัตราค่าขนส่ง!$N$5:$N$204,MATCH($Y357,อัตราค่าขนส่ง!$O$5:$O$204,0)),0))</f>
        <v>0</v>
      </c>
    </row>
    <row r="358" spans="1:56" ht="21" customHeight="1" x14ac:dyDescent="0.95">
      <c r="A358" s="36" t="str">
        <f>IF($AD358="","",IF($AD358="Z","รวมจ่ายทั้งสิ้น",IF($AD358="H",INDEX($X$5:$X$404,$AC358),IF($AD358="T","รวม",IF($AD358="B",IFERROR(INDEX(อัตราค่าขนส่ง!$U$5:$U$14,MATCH(INDEX($AM$5:$AM$404,$AC358),อัตราค่าขนส่ง!$T$5:$T$14,0)),"รวมกลุ่ม "&amp;INDEX($AM$5:$AM$404,$AC358)),INDEX($AY$5:$AY$404,$AC358))))))</f>
        <v/>
      </c>
      <c r="B358" s="31" t="str">
        <f t="shared" si="140"/>
        <v/>
      </c>
      <c r="C358" s="8" t="str">
        <f t="shared" si="141"/>
        <v/>
      </c>
      <c r="D358" s="37" t="str">
        <f t="shared" si="142"/>
        <v/>
      </c>
      <c r="E358" s="31" t="str">
        <f t="shared" si="143"/>
        <v/>
      </c>
      <c r="F358" s="32" t="str">
        <f t="shared" si="144"/>
        <v/>
      </c>
      <c r="G358" s="32" t="str">
        <f t="shared" si="145"/>
        <v/>
      </c>
      <c r="H358" s="32" t="str">
        <f t="shared" si="146"/>
        <v/>
      </c>
      <c r="I358" s="32" t="str">
        <f t="shared" si="147"/>
        <v/>
      </c>
      <c r="J358" s="46" t="str">
        <f t="shared" si="148"/>
        <v/>
      </c>
      <c r="K358" s="32" t="str">
        <f t="shared" si="149"/>
        <v/>
      </c>
      <c r="L358" s="32" t="str">
        <f t="shared" si="150"/>
        <v/>
      </c>
      <c r="M358" s="32" t="str">
        <f t="shared" si="151"/>
        <v/>
      </c>
      <c r="N358" s="32" t="str">
        <f t="shared" si="152"/>
        <v/>
      </c>
      <c r="O358" s="32" t="str">
        <f t="shared" si="153"/>
        <v/>
      </c>
      <c r="Q358" t="str">
        <f>IFERROR(MATCH(354,บันทึกรายเที่ยว!$Z$6:$Z$10005,0),"")</f>
        <v/>
      </c>
      <c r="R358" t="str">
        <f>IF($Q358="","",INDEX(บันทึกรายเที่ยว!$V$6:$V$10005,$Q358))</f>
        <v/>
      </c>
      <c r="S358" t="str">
        <f>IF($Q358="","",INDEX(บันทึกรายเที่ยว!$F$6:$F$10005,$Q358))</f>
        <v/>
      </c>
      <c r="T358" t="str">
        <f>IF($Q358="","",MATCH($S358,บันทึกรายเที่ยว!$F$6:$F$10005,0))</f>
        <v/>
      </c>
      <c r="U358" t="str">
        <f>IF($Q358="","",$AL358*10000000+$T358*1000+354)</f>
        <v/>
      </c>
      <c r="V358" t="str">
        <f>IFERROR(MATCH(SMALL($U$5:$U$404,354),$U$5:$U$404,0),"")</f>
        <v/>
      </c>
      <c r="W358" t="str">
        <f t="shared" si="154"/>
        <v/>
      </c>
      <c r="X358" t="str">
        <f t="shared" si="155"/>
        <v/>
      </c>
      <c r="Y358" t="str">
        <f t="shared" si="156"/>
        <v/>
      </c>
      <c r="Z358">
        <f t="shared" si="166"/>
        <v>0</v>
      </c>
      <c r="AA358">
        <f t="shared" si="157"/>
        <v>0</v>
      </c>
      <c r="AB358">
        <f>IF($V358="",99999+354,$AB357+1+$Z357+$AA357+$AO357)</f>
        <v>100353</v>
      </c>
      <c r="AC358" t="str">
        <f>IFERROR(MATCH(354,$AB$5:$AB$404,1),"")</f>
        <v/>
      </c>
      <c r="AD358" t="str">
        <f>IF(354=$AI$1+1,"Z",IF($AC358="","",IF(INDEX($V$5:$V$404,$AC358)="","",IF(354&gt;INDEX($AB$5:$AB$404,$AC358)+INDEX($Z$5:$Z$404,$AC358)+INDEX($AA$5:$AA$404,$AC358)+INDEX($AO$5:$AO$404,$AC358),"",IF(354=INDEX($AB$5:$AB$404,$AC358)+INDEX($Z$5:$Z$404,$AC358),"D",IF(AND(INDEX($Z$5:$Z$404,$AC358)=1,354=INDEX($AB$5:$AB$404,$AC358)),"H",IF(AND(INDEX($AO$5:$AO$404,$AC358)=1,354=INDEX($AB$5:$AB$404,$AC358)+INDEX($Z$5:$Z$404,$AC358)+INDEX($AA$5:$AA$404,$AC358)+INDEX($AO$5:$AO$404,$AC358)),"B","T")))))))</f>
        <v/>
      </c>
      <c r="AF358" t="str">
        <f t="shared" si="158"/>
        <v/>
      </c>
      <c r="AJ358">
        <f>IF($AD358&lt;&gt;"T",0,ROUND(SUMIF(oil!$B$4:$B$63,$AF358,oil!$AE$4:$AE$63),2))</f>
        <v>0</v>
      </c>
      <c r="AK358" t="str">
        <f>IF($S358="","",IFERROR(INDEX(อัตราค่าขนส่ง!$R$5:$R$54,MATCH($S358,อัตราค่าขนส่ง!$Q$5:$Q$54,0)),INDEX(รายการมาตรฐาน!$G$2:$G$3,1)))</f>
        <v/>
      </c>
      <c r="AL358" t="str">
        <f>IF($S358="","",IFERROR(MATCH($AK358,รายการมาตรฐาน!$G$2:$G$3,0),1))</f>
        <v/>
      </c>
      <c r="AM358" t="str">
        <f t="shared" si="159"/>
        <v/>
      </c>
      <c r="AN358" t="str">
        <f t="shared" si="160"/>
        <v/>
      </c>
      <c r="AO358">
        <f t="shared" si="161"/>
        <v>0</v>
      </c>
      <c r="AP358">
        <f t="shared" si="167"/>
        <v>0</v>
      </c>
      <c r="AQ358" t="str">
        <f t="shared" si="162"/>
        <v/>
      </c>
      <c r="AR358">
        <f>IF($Y358="",0,COUNTIF(บันทึกรายเที่ยว!$V$6:$V$10005,$Y358))</f>
        <v>0</v>
      </c>
      <c r="AS358">
        <f>IF($Y358="",0,ROUND(SUMIF(บันทึกรายเที่ยว!$V$6:$V$10005,$Y358,บันทึกรายเที่ยว!$M$6:$M$10005),2))</f>
        <v>0</v>
      </c>
      <c r="AT358">
        <f>IF($Y358="",0,IFERROR(INDEX(อัตราค่าขนส่ง!$J$5:$J$204,MATCH($Y358,อัตราค่าขนส่ง!$O$5:$O$204,0)),0))</f>
        <v>0</v>
      </c>
      <c r="AU358">
        <f t="shared" si="163"/>
        <v>0</v>
      </c>
      <c r="AV358">
        <f t="shared" si="164"/>
        <v>0</v>
      </c>
      <c r="AW358" t="str">
        <f>IF($Y358="","",IFERROR(INDEX(อัตราค่าขนส่ง!$F$5:$F$204,MATCH($Y358,อัตราค่าขนส่ง!$O$5:$O$204,0)),""))</f>
        <v/>
      </c>
      <c r="AX358" t="str">
        <f>IF($W358="","",INDEX(บันทึกรายเที่ยว!$D$6:$D$10005,$W358))</f>
        <v/>
      </c>
      <c r="AY358" t="str">
        <f>IF($W358="","",INDEX(บันทึกรายเที่ยว!$R$6:$R$10005,$W358))</f>
        <v/>
      </c>
      <c r="AZ358">
        <f t="shared" si="165"/>
        <v>0</v>
      </c>
      <c r="BA358" t="str">
        <f>IF($W358="","",INDEX(บันทึกรายเที่ยว!$E$6:$E$10005,$W358))</f>
        <v/>
      </c>
      <c r="BC358">
        <f>IF($Y358="",0,IFERROR(INDEX(อัตราค่าขนส่ง!$M$5:$M$204,MATCH($Y358,อัตราค่าขนส่ง!$O$5:$O$204,0)),0))</f>
        <v>0</v>
      </c>
      <c r="BD358">
        <f>IF($Y358="",0,IFERROR(INDEX(อัตราค่าขนส่ง!$N$5:$N$204,MATCH($Y358,อัตราค่าขนส่ง!$O$5:$O$204,0)),0))</f>
        <v>0</v>
      </c>
    </row>
    <row r="359" spans="1:56" ht="21" customHeight="1" x14ac:dyDescent="0.95">
      <c r="A359" s="36" t="str">
        <f>IF($AD359="","",IF($AD359="Z","รวมจ่ายทั้งสิ้น",IF($AD359="H",INDEX($X$5:$X$404,$AC359),IF($AD359="T","รวม",IF($AD359="B",IFERROR(INDEX(อัตราค่าขนส่ง!$U$5:$U$14,MATCH(INDEX($AM$5:$AM$404,$AC359),อัตราค่าขนส่ง!$T$5:$T$14,0)),"รวมกลุ่ม "&amp;INDEX($AM$5:$AM$404,$AC359)),INDEX($AY$5:$AY$404,$AC359))))))</f>
        <v/>
      </c>
      <c r="B359" s="31" t="str">
        <f t="shared" si="140"/>
        <v/>
      </c>
      <c r="C359" s="8" t="str">
        <f t="shared" si="141"/>
        <v/>
      </c>
      <c r="D359" s="37" t="str">
        <f t="shared" si="142"/>
        <v/>
      </c>
      <c r="E359" s="31" t="str">
        <f t="shared" si="143"/>
        <v/>
      </c>
      <c r="F359" s="32" t="str">
        <f t="shared" si="144"/>
        <v/>
      </c>
      <c r="G359" s="32" t="str">
        <f t="shared" si="145"/>
        <v/>
      </c>
      <c r="H359" s="32" t="str">
        <f t="shared" si="146"/>
        <v/>
      </c>
      <c r="I359" s="32" t="str">
        <f t="shared" si="147"/>
        <v/>
      </c>
      <c r="J359" s="46" t="str">
        <f t="shared" si="148"/>
        <v/>
      </c>
      <c r="K359" s="32" t="str">
        <f t="shared" si="149"/>
        <v/>
      </c>
      <c r="L359" s="32" t="str">
        <f t="shared" si="150"/>
        <v/>
      </c>
      <c r="M359" s="32" t="str">
        <f t="shared" si="151"/>
        <v/>
      </c>
      <c r="N359" s="32" t="str">
        <f t="shared" si="152"/>
        <v/>
      </c>
      <c r="O359" s="32" t="str">
        <f t="shared" si="153"/>
        <v/>
      </c>
      <c r="Q359" t="str">
        <f>IFERROR(MATCH(355,บันทึกรายเที่ยว!$Z$6:$Z$10005,0),"")</f>
        <v/>
      </c>
      <c r="R359" t="str">
        <f>IF($Q359="","",INDEX(บันทึกรายเที่ยว!$V$6:$V$10005,$Q359))</f>
        <v/>
      </c>
      <c r="S359" t="str">
        <f>IF($Q359="","",INDEX(บันทึกรายเที่ยว!$F$6:$F$10005,$Q359))</f>
        <v/>
      </c>
      <c r="T359" t="str">
        <f>IF($Q359="","",MATCH($S359,บันทึกรายเที่ยว!$F$6:$F$10005,0))</f>
        <v/>
      </c>
      <c r="U359" t="str">
        <f>IF($Q359="","",$AL359*10000000+$T359*1000+355)</f>
        <v/>
      </c>
      <c r="V359" t="str">
        <f>IFERROR(MATCH(SMALL($U$5:$U$404,355),$U$5:$U$404,0),"")</f>
        <v/>
      </c>
      <c r="W359" t="str">
        <f t="shared" si="154"/>
        <v/>
      </c>
      <c r="X359" t="str">
        <f t="shared" si="155"/>
        <v/>
      </c>
      <c r="Y359" t="str">
        <f t="shared" si="156"/>
        <v/>
      </c>
      <c r="Z359">
        <f t="shared" si="166"/>
        <v>0</v>
      </c>
      <c r="AA359">
        <f t="shared" si="157"/>
        <v>0</v>
      </c>
      <c r="AB359">
        <f>IF($V359="",99999+355,$AB358+1+$Z358+$AA358+$AO358)</f>
        <v>100354</v>
      </c>
      <c r="AC359" t="str">
        <f>IFERROR(MATCH(355,$AB$5:$AB$404,1),"")</f>
        <v/>
      </c>
      <c r="AD359" t="str">
        <f>IF(355=$AI$1+1,"Z",IF($AC359="","",IF(INDEX($V$5:$V$404,$AC359)="","",IF(355&gt;INDEX($AB$5:$AB$404,$AC359)+INDEX($Z$5:$Z$404,$AC359)+INDEX($AA$5:$AA$404,$AC359)+INDEX($AO$5:$AO$404,$AC359),"",IF(355=INDEX($AB$5:$AB$404,$AC359)+INDEX($Z$5:$Z$404,$AC359),"D",IF(AND(INDEX($Z$5:$Z$404,$AC359)=1,355=INDEX($AB$5:$AB$404,$AC359)),"H",IF(AND(INDEX($AO$5:$AO$404,$AC359)=1,355=INDEX($AB$5:$AB$404,$AC359)+INDEX($Z$5:$Z$404,$AC359)+INDEX($AA$5:$AA$404,$AC359)+INDEX($AO$5:$AO$404,$AC359)),"B","T")))))))</f>
        <v/>
      </c>
      <c r="AF359" t="str">
        <f t="shared" si="158"/>
        <v/>
      </c>
      <c r="AJ359">
        <f>IF($AD359&lt;&gt;"T",0,ROUND(SUMIF(oil!$B$4:$B$63,$AF359,oil!$AE$4:$AE$63),2))</f>
        <v>0</v>
      </c>
      <c r="AK359" t="str">
        <f>IF($S359="","",IFERROR(INDEX(อัตราค่าขนส่ง!$R$5:$R$54,MATCH($S359,อัตราค่าขนส่ง!$Q$5:$Q$54,0)),INDEX(รายการมาตรฐาน!$G$2:$G$3,1)))</f>
        <v/>
      </c>
      <c r="AL359" t="str">
        <f>IF($S359="","",IFERROR(MATCH($AK359,รายการมาตรฐาน!$G$2:$G$3,0),1))</f>
        <v/>
      </c>
      <c r="AM359" t="str">
        <f t="shared" si="159"/>
        <v/>
      </c>
      <c r="AN359" t="str">
        <f t="shared" si="160"/>
        <v/>
      </c>
      <c r="AO359">
        <f t="shared" si="161"/>
        <v>0</v>
      </c>
      <c r="AP359">
        <f t="shared" si="167"/>
        <v>0</v>
      </c>
      <c r="AQ359" t="str">
        <f t="shared" si="162"/>
        <v/>
      </c>
      <c r="AR359">
        <f>IF($Y359="",0,COUNTIF(บันทึกรายเที่ยว!$V$6:$V$10005,$Y359))</f>
        <v>0</v>
      </c>
      <c r="AS359">
        <f>IF($Y359="",0,ROUND(SUMIF(บันทึกรายเที่ยว!$V$6:$V$10005,$Y359,บันทึกรายเที่ยว!$M$6:$M$10005),2))</f>
        <v>0</v>
      </c>
      <c r="AT359">
        <f>IF($Y359="",0,IFERROR(INDEX(อัตราค่าขนส่ง!$J$5:$J$204,MATCH($Y359,อัตราค่าขนส่ง!$O$5:$O$204,0)),0))</f>
        <v>0</v>
      </c>
      <c r="AU359">
        <f t="shared" si="163"/>
        <v>0</v>
      </c>
      <c r="AV359">
        <f t="shared" si="164"/>
        <v>0</v>
      </c>
      <c r="AW359" t="str">
        <f>IF($Y359="","",IFERROR(INDEX(อัตราค่าขนส่ง!$F$5:$F$204,MATCH($Y359,อัตราค่าขนส่ง!$O$5:$O$204,0)),""))</f>
        <v/>
      </c>
      <c r="AX359" t="str">
        <f>IF($W359="","",INDEX(บันทึกรายเที่ยว!$D$6:$D$10005,$W359))</f>
        <v/>
      </c>
      <c r="AY359" t="str">
        <f>IF($W359="","",INDEX(บันทึกรายเที่ยว!$R$6:$R$10005,$W359))</f>
        <v/>
      </c>
      <c r="AZ359">
        <f t="shared" si="165"/>
        <v>0</v>
      </c>
      <c r="BA359" t="str">
        <f>IF($W359="","",INDEX(บันทึกรายเที่ยว!$E$6:$E$10005,$W359))</f>
        <v/>
      </c>
      <c r="BC359">
        <f>IF($Y359="",0,IFERROR(INDEX(อัตราค่าขนส่ง!$M$5:$M$204,MATCH($Y359,อัตราค่าขนส่ง!$O$5:$O$204,0)),0))</f>
        <v>0</v>
      </c>
      <c r="BD359">
        <f>IF($Y359="",0,IFERROR(INDEX(อัตราค่าขนส่ง!$N$5:$N$204,MATCH($Y359,อัตราค่าขนส่ง!$O$5:$O$204,0)),0))</f>
        <v>0</v>
      </c>
    </row>
    <row r="360" spans="1:56" ht="21" customHeight="1" x14ac:dyDescent="0.95">
      <c r="A360" s="36" t="str">
        <f>IF($AD360="","",IF($AD360="Z","รวมจ่ายทั้งสิ้น",IF($AD360="H",INDEX($X$5:$X$404,$AC360),IF($AD360="T","รวม",IF($AD360="B",IFERROR(INDEX(อัตราค่าขนส่ง!$U$5:$U$14,MATCH(INDEX($AM$5:$AM$404,$AC360),อัตราค่าขนส่ง!$T$5:$T$14,0)),"รวมกลุ่ม "&amp;INDEX($AM$5:$AM$404,$AC360)),INDEX($AY$5:$AY$404,$AC360))))))</f>
        <v/>
      </c>
      <c r="B360" s="31" t="str">
        <f t="shared" si="140"/>
        <v/>
      </c>
      <c r="C360" s="8" t="str">
        <f t="shared" si="141"/>
        <v/>
      </c>
      <c r="D360" s="37" t="str">
        <f t="shared" si="142"/>
        <v/>
      </c>
      <c r="E360" s="31" t="str">
        <f t="shared" si="143"/>
        <v/>
      </c>
      <c r="F360" s="32" t="str">
        <f t="shared" si="144"/>
        <v/>
      </c>
      <c r="G360" s="32" t="str">
        <f t="shared" si="145"/>
        <v/>
      </c>
      <c r="H360" s="32" t="str">
        <f t="shared" si="146"/>
        <v/>
      </c>
      <c r="I360" s="32" t="str">
        <f t="shared" si="147"/>
        <v/>
      </c>
      <c r="J360" s="46" t="str">
        <f t="shared" si="148"/>
        <v/>
      </c>
      <c r="K360" s="32" t="str">
        <f t="shared" si="149"/>
        <v/>
      </c>
      <c r="L360" s="32" t="str">
        <f t="shared" si="150"/>
        <v/>
      </c>
      <c r="M360" s="32" t="str">
        <f t="shared" si="151"/>
        <v/>
      </c>
      <c r="N360" s="32" t="str">
        <f t="shared" si="152"/>
        <v/>
      </c>
      <c r="O360" s="32" t="str">
        <f t="shared" si="153"/>
        <v/>
      </c>
      <c r="Q360" t="str">
        <f>IFERROR(MATCH(356,บันทึกรายเที่ยว!$Z$6:$Z$10005,0),"")</f>
        <v/>
      </c>
      <c r="R360" t="str">
        <f>IF($Q360="","",INDEX(บันทึกรายเที่ยว!$V$6:$V$10005,$Q360))</f>
        <v/>
      </c>
      <c r="S360" t="str">
        <f>IF($Q360="","",INDEX(บันทึกรายเที่ยว!$F$6:$F$10005,$Q360))</f>
        <v/>
      </c>
      <c r="T360" t="str">
        <f>IF($Q360="","",MATCH($S360,บันทึกรายเที่ยว!$F$6:$F$10005,0))</f>
        <v/>
      </c>
      <c r="U360" t="str">
        <f>IF($Q360="","",$AL360*10000000+$T360*1000+356)</f>
        <v/>
      </c>
      <c r="V360" t="str">
        <f>IFERROR(MATCH(SMALL($U$5:$U$404,356),$U$5:$U$404,0),"")</f>
        <v/>
      </c>
      <c r="W360" t="str">
        <f t="shared" si="154"/>
        <v/>
      </c>
      <c r="X360" t="str">
        <f t="shared" si="155"/>
        <v/>
      </c>
      <c r="Y360" t="str">
        <f t="shared" si="156"/>
        <v/>
      </c>
      <c r="Z360">
        <f t="shared" si="166"/>
        <v>0</v>
      </c>
      <c r="AA360">
        <f t="shared" si="157"/>
        <v>0</v>
      </c>
      <c r="AB360">
        <f>IF($V360="",99999+356,$AB359+1+$Z359+$AA359+$AO359)</f>
        <v>100355</v>
      </c>
      <c r="AC360" t="str">
        <f>IFERROR(MATCH(356,$AB$5:$AB$404,1),"")</f>
        <v/>
      </c>
      <c r="AD360" t="str">
        <f>IF(356=$AI$1+1,"Z",IF($AC360="","",IF(INDEX($V$5:$V$404,$AC360)="","",IF(356&gt;INDEX($AB$5:$AB$404,$AC360)+INDEX($Z$5:$Z$404,$AC360)+INDEX($AA$5:$AA$404,$AC360)+INDEX($AO$5:$AO$404,$AC360),"",IF(356=INDEX($AB$5:$AB$404,$AC360)+INDEX($Z$5:$Z$404,$AC360),"D",IF(AND(INDEX($Z$5:$Z$404,$AC360)=1,356=INDEX($AB$5:$AB$404,$AC360)),"H",IF(AND(INDEX($AO$5:$AO$404,$AC360)=1,356=INDEX($AB$5:$AB$404,$AC360)+INDEX($Z$5:$Z$404,$AC360)+INDEX($AA$5:$AA$404,$AC360)+INDEX($AO$5:$AO$404,$AC360)),"B","T")))))))</f>
        <v/>
      </c>
      <c r="AF360" t="str">
        <f t="shared" si="158"/>
        <v/>
      </c>
      <c r="AJ360">
        <f>IF($AD360&lt;&gt;"T",0,ROUND(SUMIF(oil!$B$4:$B$63,$AF360,oil!$AE$4:$AE$63),2))</f>
        <v>0</v>
      </c>
      <c r="AK360" t="str">
        <f>IF($S360="","",IFERROR(INDEX(อัตราค่าขนส่ง!$R$5:$R$54,MATCH($S360,อัตราค่าขนส่ง!$Q$5:$Q$54,0)),INDEX(รายการมาตรฐาน!$G$2:$G$3,1)))</f>
        <v/>
      </c>
      <c r="AL360" t="str">
        <f>IF($S360="","",IFERROR(MATCH($AK360,รายการมาตรฐาน!$G$2:$G$3,0),1))</f>
        <v/>
      </c>
      <c r="AM360" t="str">
        <f t="shared" si="159"/>
        <v/>
      </c>
      <c r="AN360" t="str">
        <f t="shared" si="160"/>
        <v/>
      </c>
      <c r="AO360">
        <f t="shared" si="161"/>
        <v>0</v>
      </c>
      <c r="AP360">
        <f t="shared" si="167"/>
        <v>0</v>
      </c>
      <c r="AQ360" t="str">
        <f t="shared" si="162"/>
        <v/>
      </c>
      <c r="AR360">
        <f>IF($Y360="",0,COUNTIF(บันทึกรายเที่ยว!$V$6:$V$10005,$Y360))</f>
        <v>0</v>
      </c>
      <c r="AS360">
        <f>IF($Y360="",0,ROUND(SUMIF(บันทึกรายเที่ยว!$V$6:$V$10005,$Y360,บันทึกรายเที่ยว!$M$6:$M$10005),2))</f>
        <v>0</v>
      </c>
      <c r="AT360">
        <f>IF($Y360="",0,IFERROR(INDEX(อัตราค่าขนส่ง!$J$5:$J$204,MATCH($Y360,อัตราค่าขนส่ง!$O$5:$O$204,0)),0))</f>
        <v>0</v>
      </c>
      <c r="AU360">
        <f t="shared" si="163"/>
        <v>0</v>
      </c>
      <c r="AV360">
        <f t="shared" si="164"/>
        <v>0</v>
      </c>
      <c r="AW360" t="str">
        <f>IF($Y360="","",IFERROR(INDEX(อัตราค่าขนส่ง!$F$5:$F$204,MATCH($Y360,อัตราค่าขนส่ง!$O$5:$O$204,0)),""))</f>
        <v/>
      </c>
      <c r="AX360" t="str">
        <f>IF($W360="","",INDEX(บันทึกรายเที่ยว!$D$6:$D$10005,$W360))</f>
        <v/>
      </c>
      <c r="AY360" t="str">
        <f>IF($W360="","",INDEX(บันทึกรายเที่ยว!$R$6:$R$10005,$W360))</f>
        <v/>
      </c>
      <c r="AZ360">
        <f t="shared" si="165"/>
        <v>0</v>
      </c>
      <c r="BA360" t="str">
        <f>IF($W360="","",INDEX(บันทึกรายเที่ยว!$E$6:$E$10005,$W360))</f>
        <v/>
      </c>
      <c r="BC360">
        <f>IF($Y360="",0,IFERROR(INDEX(อัตราค่าขนส่ง!$M$5:$M$204,MATCH($Y360,อัตราค่าขนส่ง!$O$5:$O$204,0)),0))</f>
        <v>0</v>
      </c>
      <c r="BD360">
        <f>IF($Y360="",0,IFERROR(INDEX(อัตราค่าขนส่ง!$N$5:$N$204,MATCH($Y360,อัตราค่าขนส่ง!$O$5:$O$204,0)),0))</f>
        <v>0</v>
      </c>
    </row>
    <row r="361" spans="1:56" ht="21" customHeight="1" x14ac:dyDescent="0.95">
      <c r="A361" s="36" t="str">
        <f>IF($AD361="","",IF($AD361="Z","รวมจ่ายทั้งสิ้น",IF($AD361="H",INDEX($X$5:$X$404,$AC361),IF($AD361="T","รวม",IF($AD361="B",IFERROR(INDEX(อัตราค่าขนส่ง!$U$5:$U$14,MATCH(INDEX($AM$5:$AM$404,$AC361),อัตราค่าขนส่ง!$T$5:$T$14,0)),"รวมกลุ่ม "&amp;INDEX($AM$5:$AM$404,$AC361)),INDEX($AY$5:$AY$404,$AC361))))))</f>
        <v/>
      </c>
      <c r="B361" s="31" t="str">
        <f t="shared" si="140"/>
        <v/>
      </c>
      <c r="C361" s="8" t="str">
        <f t="shared" si="141"/>
        <v/>
      </c>
      <c r="D361" s="37" t="str">
        <f t="shared" si="142"/>
        <v/>
      </c>
      <c r="E361" s="31" t="str">
        <f t="shared" si="143"/>
        <v/>
      </c>
      <c r="F361" s="32" t="str">
        <f t="shared" si="144"/>
        <v/>
      </c>
      <c r="G361" s="32" t="str">
        <f t="shared" si="145"/>
        <v/>
      </c>
      <c r="H361" s="32" t="str">
        <f t="shared" si="146"/>
        <v/>
      </c>
      <c r="I361" s="32" t="str">
        <f t="shared" si="147"/>
        <v/>
      </c>
      <c r="J361" s="46" t="str">
        <f t="shared" si="148"/>
        <v/>
      </c>
      <c r="K361" s="32" t="str">
        <f t="shared" si="149"/>
        <v/>
      </c>
      <c r="L361" s="32" t="str">
        <f t="shared" si="150"/>
        <v/>
      </c>
      <c r="M361" s="32" t="str">
        <f t="shared" si="151"/>
        <v/>
      </c>
      <c r="N361" s="32" t="str">
        <f t="shared" si="152"/>
        <v/>
      </c>
      <c r="O361" s="32" t="str">
        <f t="shared" si="153"/>
        <v/>
      </c>
      <c r="Q361" t="str">
        <f>IFERROR(MATCH(357,บันทึกรายเที่ยว!$Z$6:$Z$10005,0),"")</f>
        <v/>
      </c>
      <c r="R361" t="str">
        <f>IF($Q361="","",INDEX(บันทึกรายเที่ยว!$V$6:$V$10005,$Q361))</f>
        <v/>
      </c>
      <c r="S361" t="str">
        <f>IF($Q361="","",INDEX(บันทึกรายเที่ยว!$F$6:$F$10005,$Q361))</f>
        <v/>
      </c>
      <c r="T361" t="str">
        <f>IF($Q361="","",MATCH($S361,บันทึกรายเที่ยว!$F$6:$F$10005,0))</f>
        <v/>
      </c>
      <c r="U361" t="str">
        <f>IF($Q361="","",$AL361*10000000+$T361*1000+357)</f>
        <v/>
      </c>
      <c r="V361" t="str">
        <f>IFERROR(MATCH(SMALL($U$5:$U$404,357),$U$5:$U$404,0),"")</f>
        <v/>
      </c>
      <c r="W361" t="str">
        <f t="shared" si="154"/>
        <v/>
      </c>
      <c r="X361" t="str">
        <f t="shared" si="155"/>
        <v/>
      </c>
      <c r="Y361" t="str">
        <f t="shared" si="156"/>
        <v/>
      </c>
      <c r="Z361">
        <f t="shared" si="166"/>
        <v>0</v>
      </c>
      <c r="AA361">
        <f t="shared" si="157"/>
        <v>0</v>
      </c>
      <c r="AB361">
        <f>IF($V361="",99999+357,$AB360+1+$Z360+$AA360+$AO360)</f>
        <v>100356</v>
      </c>
      <c r="AC361" t="str">
        <f>IFERROR(MATCH(357,$AB$5:$AB$404,1),"")</f>
        <v/>
      </c>
      <c r="AD361" t="str">
        <f>IF(357=$AI$1+1,"Z",IF($AC361="","",IF(INDEX($V$5:$V$404,$AC361)="","",IF(357&gt;INDEX($AB$5:$AB$404,$AC361)+INDEX($Z$5:$Z$404,$AC361)+INDEX($AA$5:$AA$404,$AC361)+INDEX($AO$5:$AO$404,$AC361),"",IF(357=INDEX($AB$5:$AB$404,$AC361)+INDEX($Z$5:$Z$404,$AC361),"D",IF(AND(INDEX($Z$5:$Z$404,$AC361)=1,357=INDEX($AB$5:$AB$404,$AC361)),"H",IF(AND(INDEX($AO$5:$AO$404,$AC361)=1,357=INDEX($AB$5:$AB$404,$AC361)+INDEX($Z$5:$Z$404,$AC361)+INDEX($AA$5:$AA$404,$AC361)+INDEX($AO$5:$AO$404,$AC361)),"B","T")))))))</f>
        <v/>
      </c>
      <c r="AF361" t="str">
        <f t="shared" si="158"/>
        <v/>
      </c>
      <c r="AJ361">
        <f>IF($AD361&lt;&gt;"T",0,ROUND(SUMIF(oil!$B$4:$B$63,$AF361,oil!$AE$4:$AE$63),2))</f>
        <v>0</v>
      </c>
      <c r="AK361" t="str">
        <f>IF($S361="","",IFERROR(INDEX(อัตราค่าขนส่ง!$R$5:$R$54,MATCH($S361,อัตราค่าขนส่ง!$Q$5:$Q$54,0)),INDEX(รายการมาตรฐาน!$G$2:$G$3,1)))</f>
        <v/>
      </c>
      <c r="AL361" t="str">
        <f>IF($S361="","",IFERROR(MATCH($AK361,รายการมาตรฐาน!$G$2:$G$3,0),1))</f>
        <v/>
      </c>
      <c r="AM361" t="str">
        <f t="shared" si="159"/>
        <v/>
      </c>
      <c r="AN361" t="str">
        <f t="shared" si="160"/>
        <v/>
      </c>
      <c r="AO361">
        <f t="shared" si="161"/>
        <v>0</v>
      </c>
      <c r="AP361">
        <f t="shared" si="167"/>
        <v>0</v>
      </c>
      <c r="AQ361" t="str">
        <f t="shared" si="162"/>
        <v/>
      </c>
      <c r="AR361">
        <f>IF($Y361="",0,COUNTIF(บันทึกรายเที่ยว!$V$6:$V$10005,$Y361))</f>
        <v>0</v>
      </c>
      <c r="AS361">
        <f>IF($Y361="",0,ROUND(SUMIF(บันทึกรายเที่ยว!$V$6:$V$10005,$Y361,บันทึกรายเที่ยว!$M$6:$M$10005),2))</f>
        <v>0</v>
      </c>
      <c r="AT361">
        <f>IF($Y361="",0,IFERROR(INDEX(อัตราค่าขนส่ง!$J$5:$J$204,MATCH($Y361,อัตราค่าขนส่ง!$O$5:$O$204,0)),0))</f>
        <v>0</v>
      </c>
      <c r="AU361">
        <f t="shared" si="163"/>
        <v>0</v>
      </c>
      <c r="AV361">
        <f t="shared" si="164"/>
        <v>0</v>
      </c>
      <c r="AW361" t="str">
        <f>IF($Y361="","",IFERROR(INDEX(อัตราค่าขนส่ง!$F$5:$F$204,MATCH($Y361,อัตราค่าขนส่ง!$O$5:$O$204,0)),""))</f>
        <v/>
      </c>
      <c r="AX361" t="str">
        <f>IF($W361="","",INDEX(บันทึกรายเที่ยว!$D$6:$D$10005,$W361))</f>
        <v/>
      </c>
      <c r="AY361" t="str">
        <f>IF($W361="","",INDEX(บันทึกรายเที่ยว!$R$6:$R$10005,$W361))</f>
        <v/>
      </c>
      <c r="AZ361">
        <f t="shared" si="165"/>
        <v>0</v>
      </c>
      <c r="BA361" t="str">
        <f>IF($W361="","",INDEX(บันทึกรายเที่ยว!$E$6:$E$10005,$W361))</f>
        <v/>
      </c>
      <c r="BC361">
        <f>IF($Y361="",0,IFERROR(INDEX(อัตราค่าขนส่ง!$M$5:$M$204,MATCH($Y361,อัตราค่าขนส่ง!$O$5:$O$204,0)),0))</f>
        <v>0</v>
      </c>
      <c r="BD361">
        <f>IF($Y361="",0,IFERROR(INDEX(อัตราค่าขนส่ง!$N$5:$N$204,MATCH($Y361,อัตราค่าขนส่ง!$O$5:$O$204,0)),0))</f>
        <v>0</v>
      </c>
    </row>
    <row r="362" spans="1:56" ht="21" customHeight="1" x14ac:dyDescent="0.95">
      <c r="A362" s="36" t="str">
        <f>IF($AD362="","",IF($AD362="Z","รวมจ่ายทั้งสิ้น",IF($AD362="H",INDEX($X$5:$X$404,$AC362),IF($AD362="T","รวม",IF($AD362="B",IFERROR(INDEX(อัตราค่าขนส่ง!$U$5:$U$14,MATCH(INDEX($AM$5:$AM$404,$AC362),อัตราค่าขนส่ง!$T$5:$T$14,0)),"รวมกลุ่ม "&amp;INDEX($AM$5:$AM$404,$AC362)),INDEX($AY$5:$AY$404,$AC362))))))</f>
        <v/>
      </c>
      <c r="B362" s="31" t="str">
        <f t="shared" si="140"/>
        <v/>
      </c>
      <c r="C362" s="8" t="str">
        <f t="shared" si="141"/>
        <v/>
      </c>
      <c r="D362" s="37" t="str">
        <f t="shared" si="142"/>
        <v/>
      </c>
      <c r="E362" s="31" t="str">
        <f t="shared" si="143"/>
        <v/>
      </c>
      <c r="F362" s="32" t="str">
        <f t="shared" si="144"/>
        <v/>
      </c>
      <c r="G362" s="32" t="str">
        <f t="shared" si="145"/>
        <v/>
      </c>
      <c r="H362" s="32" t="str">
        <f t="shared" si="146"/>
        <v/>
      </c>
      <c r="I362" s="32" t="str">
        <f t="shared" si="147"/>
        <v/>
      </c>
      <c r="J362" s="46" t="str">
        <f t="shared" si="148"/>
        <v/>
      </c>
      <c r="K362" s="32" t="str">
        <f t="shared" si="149"/>
        <v/>
      </c>
      <c r="L362" s="32" t="str">
        <f t="shared" si="150"/>
        <v/>
      </c>
      <c r="M362" s="32" t="str">
        <f t="shared" si="151"/>
        <v/>
      </c>
      <c r="N362" s="32" t="str">
        <f t="shared" si="152"/>
        <v/>
      </c>
      <c r="O362" s="32" t="str">
        <f t="shared" si="153"/>
        <v/>
      </c>
      <c r="Q362" t="str">
        <f>IFERROR(MATCH(358,บันทึกรายเที่ยว!$Z$6:$Z$10005,0),"")</f>
        <v/>
      </c>
      <c r="R362" t="str">
        <f>IF($Q362="","",INDEX(บันทึกรายเที่ยว!$V$6:$V$10005,$Q362))</f>
        <v/>
      </c>
      <c r="S362" t="str">
        <f>IF($Q362="","",INDEX(บันทึกรายเที่ยว!$F$6:$F$10005,$Q362))</f>
        <v/>
      </c>
      <c r="T362" t="str">
        <f>IF($Q362="","",MATCH($S362,บันทึกรายเที่ยว!$F$6:$F$10005,0))</f>
        <v/>
      </c>
      <c r="U362" t="str">
        <f>IF($Q362="","",$AL362*10000000+$T362*1000+358)</f>
        <v/>
      </c>
      <c r="V362" t="str">
        <f>IFERROR(MATCH(SMALL($U$5:$U$404,358),$U$5:$U$404,0),"")</f>
        <v/>
      </c>
      <c r="W362" t="str">
        <f t="shared" si="154"/>
        <v/>
      </c>
      <c r="X362" t="str">
        <f t="shared" si="155"/>
        <v/>
      </c>
      <c r="Y362" t="str">
        <f t="shared" si="156"/>
        <v/>
      </c>
      <c r="Z362">
        <f t="shared" si="166"/>
        <v>0</v>
      </c>
      <c r="AA362">
        <f t="shared" si="157"/>
        <v>0</v>
      </c>
      <c r="AB362">
        <f>IF($V362="",99999+358,$AB361+1+$Z361+$AA361+$AO361)</f>
        <v>100357</v>
      </c>
      <c r="AC362" t="str">
        <f>IFERROR(MATCH(358,$AB$5:$AB$404,1),"")</f>
        <v/>
      </c>
      <c r="AD362" t="str">
        <f>IF(358=$AI$1+1,"Z",IF($AC362="","",IF(INDEX($V$5:$V$404,$AC362)="","",IF(358&gt;INDEX($AB$5:$AB$404,$AC362)+INDEX($Z$5:$Z$404,$AC362)+INDEX($AA$5:$AA$404,$AC362)+INDEX($AO$5:$AO$404,$AC362),"",IF(358=INDEX($AB$5:$AB$404,$AC362)+INDEX($Z$5:$Z$404,$AC362),"D",IF(AND(INDEX($Z$5:$Z$404,$AC362)=1,358=INDEX($AB$5:$AB$404,$AC362)),"H",IF(AND(INDEX($AO$5:$AO$404,$AC362)=1,358=INDEX($AB$5:$AB$404,$AC362)+INDEX($Z$5:$Z$404,$AC362)+INDEX($AA$5:$AA$404,$AC362)+INDEX($AO$5:$AO$404,$AC362)),"B","T")))))))</f>
        <v/>
      </c>
      <c r="AF362" t="str">
        <f t="shared" si="158"/>
        <v/>
      </c>
      <c r="AJ362">
        <f>IF($AD362&lt;&gt;"T",0,ROUND(SUMIF(oil!$B$4:$B$63,$AF362,oil!$AE$4:$AE$63),2))</f>
        <v>0</v>
      </c>
      <c r="AK362" t="str">
        <f>IF($S362="","",IFERROR(INDEX(อัตราค่าขนส่ง!$R$5:$R$54,MATCH($S362,อัตราค่าขนส่ง!$Q$5:$Q$54,0)),INDEX(รายการมาตรฐาน!$G$2:$G$3,1)))</f>
        <v/>
      </c>
      <c r="AL362" t="str">
        <f>IF($S362="","",IFERROR(MATCH($AK362,รายการมาตรฐาน!$G$2:$G$3,0),1))</f>
        <v/>
      </c>
      <c r="AM362" t="str">
        <f t="shared" si="159"/>
        <v/>
      </c>
      <c r="AN362" t="str">
        <f t="shared" si="160"/>
        <v/>
      </c>
      <c r="AO362">
        <f t="shared" si="161"/>
        <v>0</v>
      </c>
      <c r="AP362">
        <f t="shared" si="167"/>
        <v>0</v>
      </c>
      <c r="AQ362" t="str">
        <f t="shared" si="162"/>
        <v/>
      </c>
      <c r="AR362">
        <f>IF($Y362="",0,COUNTIF(บันทึกรายเที่ยว!$V$6:$V$10005,$Y362))</f>
        <v>0</v>
      </c>
      <c r="AS362">
        <f>IF($Y362="",0,ROUND(SUMIF(บันทึกรายเที่ยว!$V$6:$V$10005,$Y362,บันทึกรายเที่ยว!$M$6:$M$10005),2))</f>
        <v>0</v>
      </c>
      <c r="AT362">
        <f>IF($Y362="",0,IFERROR(INDEX(อัตราค่าขนส่ง!$J$5:$J$204,MATCH($Y362,อัตราค่าขนส่ง!$O$5:$O$204,0)),0))</f>
        <v>0</v>
      </c>
      <c r="AU362">
        <f t="shared" si="163"/>
        <v>0</v>
      </c>
      <c r="AV362">
        <f t="shared" si="164"/>
        <v>0</v>
      </c>
      <c r="AW362" t="str">
        <f>IF($Y362="","",IFERROR(INDEX(อัตราค่าขนส่ง!$F$5:$F$204,MATCH($Y362,อัตราค่าขนส่ง!$O$5:$O$204,0)),""))</f>
        <v/>
      </c>
      <c r="AX362" t="str">
        <f>IF($W362="","",INDEX(บันทึกรายเที่ยว!$D$6:$D$10005,$W362))</f>
        <v/>
      </c>
      <c r="AY362" t="str">
        <f>IF($W362="","",INDEX(บันทึกรายเที่ยว!$R$6:$R$10005,$W362))</f>
        <v/>
      </c>
      <c r="AZ362">
        <f t="shared" si="165"/>
        <v>0</v>
      </c>
      <c r="BA362" t="str">
        <f>IF($W362="","",INDEX(บันทึกรายเที่ยว!$E$6:$E$10005,$W362))</f>
        <v/>
      </c>
      <c r="BC362">
        <f>IF($Y362="",0,IFERROR(INDEX(อัตราค่าขนส่ง!$M$5:$M$204,MATCH($Y362,อัตราค่าขนส่ง!$O$5:$O$204,0)),0))</f>
        <v>0</v>
      </c>
      <c r="BD362">
        <f>IF($Y362="",0,IFERROR(INDEX(อัตราค่าขนส่ง!$N$5:$N$204,MATCH($Y362,อัตราค่าขนส่ง!$O$5:$O$204,0)),0))</f>
        <v>0</v>
      </c>
    </row>
    <row r="363" spans="1:56" ht="21" customHeight="1" x14ac:dyDescent="0.95">
      <c r="A363" s="36" t="str">
        <f>IF($AD363="","",IF($AD363="Z","รวมจ่ายทั้งสิ้น",IF($AD363="H",INDEX($X$5:$X$404,$AC363),IF($AD363="T","รวม",IF($AD363="B",IFERROR(INDEX(อัตราค่าขนส่ง!$U$5:$U$14,MATCH(INDEX($AM$5:$AM$404,$AC363),อัตราค่าขนส่ง!$T$5:$T$14,0)),"รวมกลุ่ม "&amp;INDEX($AM$5:$AM$404,$AC363)),INDEX($AY$5:$AY$404,$AC363))))))</f>
        <v/>
      </c>
      <c r="B363" s="31" t="str">
        <f t="shared" si="140"/>
        <v/>
      </c>
      <c r="C363" s="8" t="str">
        <f t="shared" si="141"/>
        <v/>
      </c>
      <c r="D363" s="37" t="str">
        <f t="shared" si="142"/>
        <v/>
      </c>
      <c r="E363" s="31" t="str">
        <f t="shared" si="143"/>
        <v/>
      </c>
      <c r="F363" s="32" t="str">
        <f t="shared" si="144"/>
        <v/>
      </c>
      <c r="G363" s="32" t="str">
        <f t="shared" si="145"/>
        <v/>
      </c>
      <c r="H363" s="32" t="str">
        <f t="shared" si="146"/>
        <v/>
      </c>
      <c r="I363" s="32" t="str">
        <f t="shared" si="147"/>
        <v/>
      </c>
      <c r="J363" s="46" t="str">
        <f t="shared" si="148"/>
        <v/>
      </c>
      <c r="K363" s="32" t="str">
        <f t="shared" si="149"/>
        <v/>
      </c>
      <c r="L363" s="32" t="str">
        <f t="shared" si="150"/>
        <v/>
      </c>
      <c r="M363" s="32" t="str">
        <f t="shared" si="151"/>
        <v/>
      </c>
      <c r="N363" s="32" t="str">
        <f t="shared" si="152"/>
        <v/>
      </c>
      <c r="O363" s="32" t="str">
        <f t="shared" si="153"/>
        <v/>
      </c>
      <c r="Q363" t="str">
        <f>IFERROR(MATCH(359,บันทึกรายเที่ยว!$Z$6:$Z$10005,0),"")</f>
        <v/>
      </c>
      <c r="R363" t="str">
        <f>IF($Q363="","",INDEX(บันทึกรายเที่ยว!$V$6:$V$10005,$Q363))</f>
        <v/>
      </c>
      <c r="S363" t="str">
        <f>IF($Q363="","",INDEX(บันทึกรายเที่ยว!$F$6:$F$10005,$Q363))</f>
        <v/>
      </c>
      <c r="T363" t="str">
        <f>IF($Q363="","",MATCH($S363,บันทึกรายเที่ยว!$F$6:$F$10005,0))</f>
        <v/>
      </c>
      <c r="U363" t="str">
        <f>IF($Q363="","",$AL363*10000000+$T363*1000+359)</f>
        <v/>
      </c>
      <c r="V363" t="str">
        <f>IFERROR(MATCH(SMALL($U$5:$U$404,359),$U$5:$U$404,0),"")</f>
        <v/>
      </c>
      <c r="W363" t="str">
        <f t="shared" si="154"/>
        <v/>
      </c>
      <c r="X363" t="str">
        <f t="shared" si="155"/>
        <v/>
      </c>
      <c r="Y363" t="str">
        <f t="shared" si="156"/>
        <v/>
      </c>
      <c r="Z363">
        <f t="shared" si="166"/>
        <v>0</v>
      </c>
      <c r="AA363">
        <f t="shared" si="157"/>
        <v>0</v>
      </c>
      <c r="AB363">
        <f>IF($V363="",99999+359,$AB362+1+$Z362+$AA362+$AO362)</f>
        <v>100358</v>
      </c>
      <c r="AC363" t="str">
        <f>IFERROR(MATCH(359,$AB$5:$AB$404,1),"")</f>
        <v/>
      </c>
      <c r="AD363" t="str">
        <f>IF(359=$AI$1+1,"Z",IF($AC363="","",IF(INDEX($V$5:$V$404,$AC363)="","",IF(359&gt;INDEX($AB$5:$AB$404,$AC363)+INDEX($Z$5:$Z$404,$AC363)+INDEX($AA$5:$AA$404,$AC363)+INDEX($AO$5:$AO$404,$AC363),"",IF(359=INDEX($AB$5:$AB$404,$AC363)+INDEX($Z$5:$Z$404,$AC363),"D",IF(AND(INDEX($Z$5:$Z$404,$AC363)=1,359=INDEX($AB$5:$AB$404,$AC363)),"H",IF(AND(INDEX($AO$5:$AO$404,$AC363)=1,359=INDEX($AB$5:$AB$404,$AC363)+INDEX($Z$5:$Z$404,$AC363)+INDEX($AA$5:$AA$404,$AC363)+INDEX($AO$5:$AO$404,$AC363)),"B","T")))))))</f>
        <v/>
      </c>
      <c r="AF363" t="str">
        <f t="shared" si="158"/>
        <v/>
      </c>
      <c r="AJ363">
        <f>IF($AD363&lt;&gt;"T",0,ROUND(SUMIF(oil!$B$4:$B$63,$AF363,oil!$AE$4:$AE$63),2))</f>
        <v>0</v>
      </c>
      <c r="AK363" t="str">
        <f>IF($S363="","",IFERROR(INDEX(อัตราค่าขนส่ง!$R$5:$R$54,MATCH($S363,อัตราค่าขนส่ง!$Q$5:$Q$54,0)),INDEX(รายการมาตรฐาน!$G$2:$G$3,1)))</f>
        <v/>
      </c>
      <c r="AL363" t="str">
        <f>IF($S363="","",IFERROR(MATCH($AK363,รายการมาตรฐาน!$G$2:$G$3,0),1))</f>
        <v/>
      </c>
      <c r="AM363" t="str">
        <f t="shared" si="159"/>
        <v/>
      </c>
      <c r="AN363" t="str">
        <f t="shared" si="160"/>
        <v/>
      </c>
      <c r="AO363">
        <f t="shared" si="161"/>
        <v>0</v>
      </c>
      <c r="AP363">
        <f t="shared" si="167"/>
        <v>0</v>
      </c>
      <c r="AQ363" t="str">
        <f t="shared" si="162"/>
        <v/>
      </c>
      <c r="AR363">
        <f>IF($Y363="",0,COUNTIF(บันทึกรายเที่ยว!$V$6:$V$10005,$Y363))</f>
        <v>0</v>
      </c>
      <c r="AS363">
        <f>IF($Y363="",0,ROUND(SUMIF(บันทึกรายเที่ยว!$V$6:$V$10005,$Y363,บันทึกรายเที่ยว!$M$6:$M$10005),2))</f>
        <v>0</v>
      </c>
      <c r="AT363">
        <f>IF($Y363="",0,IFERROR(INDEX(อัตราค่าขนส่ง!$J$5:$J$204,MATCH($Y363,อัตราค่าขนส่ง!$O$5:$O$204,0)),0))</f>
        <v>0</v>
      </c>
      <c r="AU363">
        <f t="shared" si="163"/>
        <v>0</v>
      </c>
      <c r="AV363">
        <f t="shared" si="164"/>
        <v>0</v>
      </c>
      <c r="AW363" t="str">
        <f>IF($Y363="","",IFERROR(INDEX(อัตราค่าขนส่ง!$F$5:$F$204,MATCH($Y363,อัตราค่าขนส่ง!$O$5:$O$204,0)),""))</f>
        <v/>
      </c>
      <c r="AX363" t="str">
        <f>IF($W363="","",INDEX(บันทึกรายเที่ยว!$D$6:$D$10005,$W363))</f>
        <v/>
      </c>
      <c r="AY363" t="str">
        <f>IF($W363="","",INDEX(บันทึกรายเที่ยว!$R$6:$R$10005,$W363))</f>
        <v/>
      </c>
      <c r="AZ363">
        <f t="shared" si="165"/>
        <v>0</v>
      </c>
      <c r="BA363" t="str">
        <f>IF($W363="","",INDEX(บันทึกรายเที่ยว!$E$6:$E$10005,$W363))</f>
        <v/>
      </c>
      <c r="BC363">
        <f>IF($Y363="",0,IFERROR(INDEX(อัตราค่าขนส่ง!$M$5:$M$204,MATCH($Y363,อัตราค่าขนส่ง!$O$5:$O$204,0)),0))</f>
        <v>0</v>
      </c>
      <c r="BD363">
        <f>IF($Y363="",0,IFERROR(INDEX(อัตราค่าขนส่ง!$N$5:$N$204,MATCH($Y363,อัตราค่าขนส่ง!$O$5:$O$204,0)),0))</f>
        <v>0</v>
      </c>
    </row>
    <row r="364" spans="1:56" ht="21" customHeight="1" x14ac:dyDescent="0.95">
      <c r="A364" s="36" t="str">
        <f>IF($AD364="","",IF($AD364="Z","รวมจ่ายทั้งสิ้น",IF($AD364="H",INDEX($X$5:$X$404,$AC364),IF($AD364="T","รวม",IF($AD364="B",IFERROR(INDEX(อัตราค่าขนส่ง!$U$5:$U$14,MATCH(INDEX($AM$5:$AM$404,$AC364),อัตราค่าขนส่ง!$T$5:$T$14,0)),"รวมกลุ่ม "&amp;INDEX($AM$5:$AM$404,$AC364)),INDEX($AY$5:$AY$404,$AC364))))))</f>
        <v/>
      </c>
      <c r="B364" s="31" t="str">
        <f t="shared" si="140"/>
        <v/>
      </c>
      <c r="C364" s="8" t="str">
        <f t="shared" si="141"/>
        <v/>
      </c>
      <c r="D364" s="37" t="str">
        <f t="shared" si="142"/>
        <v/>
      </c>
      <c r="E364" s="31" t="str">
        <f t="shared" si="143"/>
        <v/>
      </c>
      <c r="F364" s="32" t="str">
        <f t="shared" si="144"/>
        <v/>
      </c>
      <c r="G364" s="32" t="str">
        <f t="shared" si="145"/>
        <v/>
      </c>
      <c r="H364" s="32" t="str">
        <f t="shared" si="146"/>
        <v/>
      </c>
      <c r="I364" s="32" t="str">
        <f t="shared" si="147"/>
        <v/>
      </c>
      <c r="J364" s="46" t="str">
        <f t="shared" si="148"/>
        <v/>
      </c>
      <c r="K364" s="32" t="str">
        <f t="shared" si="149"/>
        <v/>
      </c>
      <c r="L364" s="32" t="str">
        <f t="shared" si="150"/>
        <v/>
      </c>
      <c r="M364" s="32" t="str">
        <f t="shared" si="151"/>
        <v/>
      </c>
      <c r="N364" s="32" t="str">
        <f t="shared" si="152"/>
        <v/>
      </c>
      <c r="O364" s="32" t="str">
        <f t="shared" si="153"/>
        <v/>
      </c>
      <c r="Q364" t="str">
        <f>IFERROR(MATCH(360,บันทึกรายเที่ยว!$Z$6:$Z$10005,0),"")</f>
        <v/>
      </c>
      <c r="R364" t="str">
        <f>IF($Q364="","",INDEX(บันทึกรายเที่ยว!$V$6:$V$10005,$Q364))</f>
        <v/>
      </c>
      <c r="S364" t="str">
        <f>IF($Q364="","",INDEX(บันทึกรายเที่ยว!$F$6:$F$10005,$Q364))</f>
        <v/>
      </c>
      <c r="T364" t="str">
        <f>IF($Q364="","",MATCH($S364,บันทึกรายเที่ยว!$F$6:$F$10005,0))</f>
        <v/>
      </c>
      <c r="U364" t="str">
        <f>IF($Q364="","",$AL364*10000000+$T364*1000+360)</f>
        <v/>
      </c>
      <c r="V364" t="str">
        <f>IFERROR(MATCH(SMALL($U$5:$U$404,360),$U$5:$U$404,0),"")</f>
        <v/>
      </c>
      <c r="W364" t="str">
        <f t="shared" si="154"/>
        <v/>
      </c>
      <c r="X364" t="str">
        <f t="shared" si="155"/>
        <v/>
      </c>
      <c r="Y364" t="str">
        <f t="shared" si="156"/>
        <v/>
      </c>
      <c r="Z364">
        <f t="shared" si="166"/>
        <v>0</v>
      </c>
      <c r="AA364">
        <f t="shared" si="157"/>
        <v>0</v>
      </c>
      <c r="AB364">
        <f>IF($V364="",99999+360,$AB363+1+$Z363+$AA363+$AO363)</f>
        <v>100359</v>
      </c>
      <c r="AC364" t="str">
        <f>IFERROR(MATCH(360,$AB$5:$AB$404,1),"")</f>
        <v/>
      </c>
      <c r="AD364" t="str">
        <f>IF(360=$AI$1+1,"Z",IF($AC364="","",IF(INDEX($V$5:$V$404,$AC364)="","",IF(360&gt;INDEX($AB$5:$AB$404,$AC364)+INDEX($Z$5:$Z$404,$AC364)+INDEX($AA$5:$AA$404,$AC364)+INDEX($AO$5:$AO$404,$AC364),"",IF(360=INDEX($AB$5:$AB$404,$AC364)+INDEX($Z$5:$Z$404,$AC364),"D",IF(AND(INDEX($Z$5:$Z$404,$AC364)=1,360=INDEX($AB$5:$AB$404,$AC364)),"H",IF(AND(INDEX($AO$5:$AO$404,$AC364)=1,360=INDEX($AB$5:$AB$404,$AC364)+INDEX($Z$5:$Z$404,$AC364)+INDEX($AA$5:$AA$404,$AC364)+INDEX($AO$5:$AO$404,$AC364)),"B","T")))))))</f>
        <v/>
      </c>
      <c r="AF364" t="str">
        <f t="shared" si="158"/>
        <v/>
      </c>
      <c r="AJ364">
        <f>IF($AD364&lt;&gt;"T",0,ROUND(SUMIF(oil!$B$4:$B$63,$AF364,oil!$AE$4:$AE$63),2))</f>
        <v>0</v>
      </c>
      <c r="AK364" t="str">
        <f>IF($S364="","",IFERROR(INDEX(อัตราค่าขนส่ง!$R$5:$R$54,MATCH($S364,อัตราค่าขนส่ง!$Q$5:$Q$54,0)),INDEX(รายการมาตรฐาน!$G$2:$G$3,1)))</f>
        <v/>
      </c>
      <c r="AL364" t="str">
        <f>IF($S364="","",IFERROR(MATCH($AK364,รายการมาตรฐาน!$G$2:$G$3,0),1))</f>
        <v/>
      </c>
      <c r="AM364" t="str">
        <f t="shared" si="159"/>
        <v/>
      </c>
      <c r="AN364" t="str">
        <f t="shared" si="160"/>
        <v/>
      </c>
      <c r="AO364">
        <f t="shared" si="161"/>
        <v>0</v>
      </c>
      <c r="AP364">
        <f t="shared" si="167"/>
        <v>0</v>
      </c>
      <c r="AQ364" t="str">
        <f t="shared" si="162"/>
        <v/>
      </c>
      <c r="AR364">
        <f>IF($Y364="",0,COUNTIF(บันทึกรายเที่ยว!$V$6:$V$10005,$Y364))</f>
        <v>0</v>
      </c>
      <c r="AS364">
        <f>IF($Y364="",0,ROUND(SUMIF(บันทึกรายเที่ยว!$V$6:$V$10005,$Y364,บันทึกรายเที่ยว!$M$6:$M$10005),2))</f>
        <v>0</v>
      </c>
      <c r="AT364">
        <f>IF($Y364="",0,IFERROR(INDEX(อัตราค่าขนส่ง!$J$5:$J$204,MATCH($Y364,อัตราค่าขนส่ง!$O$5:$O$204,0)),0))</f>
        <v>0</v>
      </c>
      <c r="AU364">
        <f t="shared" si="163"/>
        <v>0</v>
      </c>
      <c r="AV364">
        <f t="shared" si="164"/>
        <v>0</v>
      </c>
      <c r="AW364" t="str">
        <f>IF($Y364="","",IFERROR(INDEX(อัตราค่าขนส่ง!$F$5:$F$204,MATCH($Y364,อัตราค่าขนส่ง!$O$5:$O$204,0)),""))</f>
        <v/>
      </c>
      <c r="AX364" t="str">
        <f>IF($W364="","",INDEX(บันทึกรายเที่ยว!$D$6:$D$10005,$W364))</f>
        <v/>
      </c>
      <c r="AY364" t="str">
        <f>IF($W364="","",INDEX(บันทึกรายเที่ยว!$R$6:$R$10005,$W364))</f>
        <v/>
      </c>
      <c r="AZ364">
        <f t="shared" si="165"/>
        <v>0</v>
      </c>
      <c r="BA364" t="str">
        <f>IF($W364="","",INDEX(บันทึกรายเที่ยว!$E$6:$E$10005,$W364))</f>
        <v/>
      </c>
      <c r="BC364">
        <f>IF($Y364="",0,IFERROR(INDEX(อัตราค่าขนส่ง!$M$5:$M$204,MATCH($Y364,อัตราค่าขนส่ง!$O$5:$O$204,0)),0))</f>
        <v>0</v>
      </c>
      <c r="BD364">
        <f>IF($Y364="",0,IFERROR(INDEX(อัตราค่าขนส่ง!$N$5:$N$204,MATCH($Y364,อัตราค่าขนส่ง!$O$5:$O$204,0)),0))</f>
        <v>0</v>
      </c>
    </row>
    <row r="365" spans="1:56" ht="21" customHeight="1" x14ac:dyDescent="0.95">
      <c r="A365" s="36" t="str">
        <f>IF($AD365="","",IF($AD365="Z","รวมจ่ายทั้งสิ้น",IF($AD365="H",INDEX($X$5:$X$404,$AC365),IF($AD365="T","รวม",IF($AD365="B",IFERROR(INDEX(อัตราค่าขนส่ง!$U$5:$U$14,MATCH(INDEX($AM$5:$AM$404,$AC365),อัตราค่าขนส่ง!$T$5:$T$14,0)),"รวมกลุ่ม "&amp;INDEX($AM$5:$AM$404,$AC365)),INDEX($AY$5:$AY$404,$AC365))))))</f>
        <v/>
      </c>
      <c r="B365" s="31" t="str">
        <f t="shared" si="140"/>
        <v/>
      </c>
      <c r="C365" s="8" t="str">
        <f t="shared" si="141"/>
        <v/>
      </c>
      <c r="D365" s="37" t="str">
        <f t="shared" si="142"/>
        <v/>
      </c>
      <c r="E365" s="31" t="str">
        <f t="shared" si="143"/>
        <v/>
      </c>
      <c r="F365" s="32" t="str">
        <f t="shared" si="144"/>
        <v/>
      </c>
      <c r="G365" s="32" t="str">
        <f t="shared" si="145"/>
        <v/>
      </c>
      <c r="H365" s="32" t="str">
        <f t="shared" si="146"/>
        <v/>
      </c>
      <c r="I365" s="32" t="str">
        <f t="shared" si="147"/>
        <v/>
      </c>
      <c r="J365" s="46" t="str">
        <f t="shared" si="148"/>
        <v/>
      </c>
      <c r="K365" s="32" t="str">
        <f t="shared" si="149"/>
        <v/>
      </c>
      <c r="L365" s="32" t="str">
        <f t="shared" si="150"/>
        <v/>
      </c>
      <c r="M365" s="32" t="str">
        <f t="shared" si="151"/>
        <v/>
      </c>
      <c r="N365" s="32" t="str">
        <f t="shared" si="152"/>
        <v/>
      </c>
      <c r="O365" s="32" t="str">
        <f t="shared" si="153"/>
        <v/>
      </c>
      <c r="Q365" t="str">
        <f>IFERROR(MATCH(361,บันทึกรายเที่ยว!$Z$6:$Z$10005,0),"")</f>
        <v/>
      </c>
      <c r="R365" t="str">
        <f>IF($Q365="","",INDEX(บันทึกรายเที่ยว!$V$6:$V$10005,$Q365))</f>
        <v/>
      </c>
      <c r="S365" t="str">
        <f>IF($Q365="","",INDEX(บันทึกรายเที่ยว!$F$6:$F$10005,$Q365))</f>
        <v/>
      </c>
      <c r="T365" t="str">
        <f>IF($Q365="","",MATCH($S365,บันทึกรายเที่ยว!$F$6:$F$10005,0))</f>
        <v/>
      </c>
      <c r="U365" t="str">
        <f>IF($Q365="","",$AL365*10000000+$T365*1000+361)</f>
        <v/>
      </c>
      <c r="V365" t="str">
        <f>IFERROR(MATCH(SMALL($U$5:$U$404,361),$U$5:$U$404,0),"")</f>
        <v/>
      </c>
      <c r="W365" t="str">
        <f t="shared" si="154"/>
        <v/>
      </c>
      <c r="X365" t="str">
        <f t="shared" si="155"/>
        <v/>
      </c>
      <c r="Y365" t="str">
        <f t="shared" si="156"/>
        <v/>
      </c>
      <c r="Z365">
        <f t="shared" si="166"/>
        <v>0</v>
      </c>
      <c r="AA365">
        <f t="shared" si="157"/>
        <v>0</v>
      </c>
      <c r="AB365">
        <f>IF($V365="",99999+361,$AB364+1+$Z364+$AA364+$AO364)</f>
        <v>100360</v>
      </c>
      <c r="AC365" t="str">
        <f>IFERROR(MATCH(361,$AB$5:$AB$404,1),"")</f>
        <v/>
      </c>
      <c r="AD365" t="str">
        <f>IF(361=$AI$1+1,"Z",IF($AC365="","",IF(INDEX($V$5:$V$404,$AC365)="","",IF(361&gt;INDEX($AB$5:$AB$404,$AC365)+INDEX($Z$5:$Z$404,$AC365)+INDEX($AA$5:$AA$404,$AC365)+INDEX($AO$5:$AO$404,$AC365),"",IF(361=INDEX($AB$5:$AB$404,$AC365)+INDEX($Z$5:$Z$404,$AC365),"D",IF(AND(INDEX($Z$5:$Z$404,$AC365)=1,361=INDEX($AB$5:$AB$404,$AC365)),"H",IF(AND(INDEX($AO$5:$AO$404,$AC365)=1,361=INDEX($AB$5:$AB$404,$AC365)+INDEX($Z$5:$Z$404,$AC365)+INDEX($AA$5:$AA$404,$AC365)+INDEX($AO$5:$AO$404,$AC365)),"B","T")))))))</f>
        <v/>
      </c>
      <c r="AF365" t="str">
        <f t="shared" si="158"/>
        <v/>
      </c>
      <c r="AJ365">
        <f>IF($AD365&lt;&gt;"T",0,ROUND(SUMIF(oil!$B$4:$B$63,$AF365,oil!$AE$4:$AE$63),2))</f>
        <v>0</v>
      </c>
      <c r="AK365" t="str">
        <f>IF($S365="","",IFERROR(INDEX(อัตราค่าขนส่ง!$R$5:$R$54,MATCH($S365,อัตราค่าขนส่ง!$Q$5:$Q$54,0)),INDEX(รายการมาตรฐาน!$G$2:$G$3,1)))</f>
        <v/>
      </c>
      <c r="AL365" t="str">
        <f>IF($S365="","",IFERROR(MATCH($AK365,รายการมาตรฐาน!$G$2:$G$3,0),1))</f>
        <v/>
      </c>
      <c r="AM365" t="str">
        <f t="shared" si="159"/>
        <v/>
      </c>
      <c r="AN365" t="str">
        <f t="shared" si="160"/>
        <v/>
      </c>
      <c r="AO365">
        <f t="shared" si="161"/>
        <v>0</v>
      </c>
      <c r="AP365">
        <f t="shared" si="167"/>
        <v>0</v>
      </c>
      <c r="AQ365" t="str">
        <f t="shared" si="162"/>
        <v/>
      </c>
      <c r="AR365">
        <f>IF($Y365="",0,COUNTIF(บันทึกรายเที่ยว!$V$6:$V$10005,$Y365))</f>
        <v>0</v>
      </c>
      <c r="AS365">
        <f>IF($Y365="",0,ROUND(SUMIF(บันทึกรายเที่ยว!$V$6:$V$10005,$Y365,บันทึกรายเที่ยว!$M$6:$M$10005),2))</f>
        <v>0</v>
      </c>
      <c r="AT365">
        <f>IF($Y365="",0,IFERROR(INDEX(อัตราค่าขนส่ง!$J$5:$J$204,MATCH($Y365,อัตราค่าขนส่ง!$O$5:$O$204,0)),0))</f>
        <v>0</v>
      </c>
      <c r="AU365">
        <f t="shared" si="163"/>
        <v>0</v>
      </c>
      <c r="AV365">
        <f t="shared" si="164"/>
        <v>0</v>
      </c>
      <c r="AW365" t="str">
        <f>IF($Y365="","",IFERROR(INDEX(อัตราค่าขนส่ง!$F$5:$F$204,MATCH($Y365,อัตราค่าขนส่ง!$O$5:$O$204,0)),""))</f>
        <v/>
      </c>
      <c r="AX365" t="str">
        <f>IF($W365="","",INDEX(บันทึกรายเที่ยว!$D$6:$D$10005,$W365))</f>
        <v/>
      </c>
      <c r="AY365" t="str">
        <f>IF($W365="","",INDEX(บันทึกรายเที่ยว!$R$6:$R$10005,$W365))</f>
        <v/>
      </c>
      <c r="AZ365">
        <f t="shared" si="165"/>
        <v>0</v>
      </c>
      <c r="BA365" t="str">
        <f>IF($W365="","",INDEX(บันทึกรายเที่ยว!$E$6:$E$10005,$W365))</f>
        <v/>
      </c>
      <c r="BC365">
        <f>IF($Y365="",0,IFERROR(INDEX(อัตราค่าขนส่ง!$M$5:$M$204,MATCH($Y365,อัตราค่าขนส่ง!$O$5:$O$204,0)),0))</f>
        <v>0</v>
      </c>
      <c r="BD365">
        <f>IF($Y365="",0,IFERROR(INDEX(อัตราค่าขนส่ง!$N$5:$N$204,MATCH($Y365,อัตราค่าขนส่ง!$O$5:$O$204,0)),0))</f>
        <v>0</v>
      </c>
    </row>
    <row r="366" spans="1:56" ht="21" customHeight="1" x14ac:dyDescent="0.95">
      <c r="A366" s="36" t="str">
        <f>IF($AD366="","",IF($AD366="Z","รวมจ่ายทั้งสิ้น",IF($AD366="H",INDEX($X$5:$X$404,$AC366),IF($AD366="T","รวม",IF($AD366="B",IFERROR(INDEX(อัตราค่าขนส่ง!$U$5:$U$14,MATCH(INDEX($AM$5:$AM$404,$AC366),อัตราค่าขนส่ง!$T$5:$T$14,0)),"รวมกลุ่ม "&amp;INDEX($AM$5:$AM$404,$AC366)),INDEX($AY$5:$AY$404,$AC366))))))</f>
        <v/>
      </c>
      <c r="B366" s="31" t="str">
        <f t="shared" si="140"/>
        <v/>
      </c>
      <c r="C366" s="8" t="str">
        <f t="shared" si="141"/>
        <v/>
      </c>
      <c r="D366" s="37" t="str">
        <f t="shared" si="142"/>
        <v/>
      </c>
      <c r="E366" s="31" t="str">
        <f t="shared" si="143"/>
        <v/>
      </c>
      <c r="F366" s="32" t="str">
        <f t="shared" si="144"/>
        <v/>
      </c>
      <c r="G366" s="32" t="str">
        <f t="shared" si="145"/>
        <v/>
      </c>
      <c r="H366" s="32" t="str">
        <f t="shared" si="146"/>
        <v/>
      </c>
      <c r="I366" s="32" t="str">
        <f t="shared" si="147"/>
        <v/>
      </c>
      <c r="J366" s="46" t="str">
        <f t="shared" si="148"/>
        <v/>
      </c>
      <c r="K366" s="32" t="str">
        <f t="shared" si="149"/>
        <v/>
      </c>
      <c r="L366" s="32" t="str">
        <f t="shared" si="150"/>
        <v/>
      </c>
      <c r="M366" s="32" t="str">
        <f t="shared" si="151"/>
        <v/>
      </c>
      <c r="N366" s="32" t="str">
        <f t="shared" si="152"/>
        <v/>
      </c>
      <c r="O366" s="32" t="str">
        <f t="shared" si="153"/>
        <v/>
      </c>
      <c r="Q366" t="str">
        <f>IFERROR(MATCH(362,บันทึกรายเที่ยว!$Z$6:$Z$10005,0),"")</f>
        <v/>
      </c>
      <c r="R366" t="str">
        <f>IF($Q366="","",INDEX(บันทึกรายเที่ยว!$V$6:$V$10005,$Q366))</f>
        <v/>
      </c>
      <c r="S366" t="str">
        <f>IF($Q366="","",INDEX(บันทึกรายเที่ยว!$F$6:$F$10005,$Q366))</f>
        <v/>
      </c>
      <c r="T366" t="str">
        <f>IF($Q366="","",MATCH($S366,บันทึกรายเที่ยว!$F$6:$F$10005,0))</f>
        <v/>
      </c>
      <c r="U366" t="str">
        <f>IF($Q366="","",$AL366*10000000+$T366*1000+362)</f>
        <v/>
      </c>
      <c r="V366" t="str">
        <f>IFERROR(MATCH(SMALL($U$5:$U$404,362),$U$5:$U$404,0),"")</f>
        <v/>
      </c>
      <c r="W366" t="str">
        <f t="shared" si="154"/>
        <v/>
      </c>
      <c r="X366" t="str">
        <f t="shared" si="155"/>
        <v/>
      </c>
      <c r="Y366" t="str">
        <f t="shared" si="156"/>
        <v/>
      </c>
      <c r="Z366">
        <f t="shared" si="166"/>
        <v>0</v>
      </c>
      <c r="AA366">
        <f t="shared" si="157"/>
        <v>0</v>
      </c>
      <c r="AB366">
        <f>IF($V366="",99999+362,$AB365+1+$Z365+$AA365+$AO365)</f>
        <v>100361</v>
      </c>
      <c r="AC366" t="str">
        <f>IFERROR(MATCH(362,$AB$5:$AB$404,1),"")</f>
        <v/>
      </c>
      <c r="AD366" t="str">
        <f>IF(362=$AI$1+1,"Z",IF($AC366="","",IF(INDEX($V$5:$V$404,$AC366)="","",IF(362&gt;INDEX($AB$5:$AB$404,$AC366)+INDEX($Z$5:$Z$404,$AC366)+INDEX($AA$5:$AA$404,$AC366)+INDEX($AO$5:$AO$404,$AC366),"",IF(362=INDEX($AB$5:$AB$404,$AC366)+INDEX($Z$5:$Z$404,$AC366),"D",IF(AND(INDEX($Z$5:$Z$404,$AC366)=1,362=INDEX($AB$5:$AB$404,$AC366)),"H",IF(AND(INDEX($AO$5:$AO$404,$AC366)=1,362=INDEX($AB$5:$AB$404,$AC366)+INDEX($Z$5:$Z$404,$AC366)+INDEX($AA$5:$AA$404,$AC366)+INDEX($AO$5:$AO$404,$AC366)),"B","T")))))))</f>
        <v/>
      </c>
      <c r="AF366" t="str">
        <f t="shared" si="158"/>
        <v/>
      </c>
      <c r="AJ366">
        <f>IF($AD366&lt;&gt;"T",0,ROUND(SUMIF(oil!$B$4:$B$63,$AF366,oil!$AE$4:$AE$63),2))</f>
        <v>0</v>
      </c>
      <c r="AK366" t="str">
        <f>IF($S366="","",IFERROR(INDEX(อัตราค่าขนส่ง!$R$5:$R$54,MATCH($S366,อัตราค่าขนส่ง!$Q$5:$Q$54,0)),INDEX(รายการมาตรฐาน!$G$2:$G$3,1)))</f>
        <v/>
      </c>
      <c r="AL366" t="str">
        <f>IF($S366="","",IFERROR(MATCH($AK366,รายการมาตรฐาน!$G$2:$G$3,0),1))</f>
        <v/>
      </c>
      <c r="AM366" t="str">
        <f t="shared" si="159"/>
        <v/>
      </c>
      <c r="AN366" t="str">
        <f t="shared" si="160"/>
        <v/>
      </c>
      <c r="AO366">
        <f t="shared" si="161"/>
        <v>0</v>
      </c>
      <c r="AP366">
        <f t="shared" si="167"/>
        <v>0</v>
      </c>
      <c r="AQ366" t="str">
        <f t="shared" si="162"/>
        <v/>
      </c>
      <c r="AR366">
        <f>IF($Y366="",0,COUNTIF(บันทึกรายเที่ยว!$V$6:$V$10005,$Y366))</f>
        <v>0</v>
      </c>
      <c r="AS366">
        <f>IF($Y366="",0,ROUND(SUMIF(บันทึกรายเที่ยว!$V$6:$V$10005,$Y366,บันทึกรายเที่ยว!$M$6:$M$10005),2))</f>
        <v>0</v>
      </c>
      <c r="AT366">
        <f>IF($Y366="",0,IFERROR(INDEX(อัตราค่าขนส่ง!$J$5:$J$204,MATCH($Y366,อัตราค่าขนส่ง!$O$5:$O$204,0)),0))</f>
        <v>0</v>
      </c>
      <c r="AU366">
        <f t="shared" si="163"/>
        <v>0</v>
      </c>
      <c r="AV366">
        <f t="shared" si="164"/>
        <v>0</v>
      </c>
      <c r="AW366" t="str">
        <f>IF($Y366="","",IFERROR(INDEX(อัตราค่าขนส่ง!$F$5:$F$204,MATCH($Y366,อัตราค่าขนส่ง!$O$5:$O$204,0)),""))</f>
        <v/>
      </c>
      <c r="AX366" t="str">
        <f>IF($W366="","",INDEX(บันทึกรายเที่ยว!$D$6:$D$10005,$W366))</f>
        <v/>
      </c>
      <c r="AY366" t="str">
        <f>IF($W366="","",INDEX(บันทึกรายเที่ยว!$R$6:$R$10005,$W366))</f>
        <v/>
      </c>
      <c r="AZ366">
        <f t="shared" si="165"/>
        <v>0</v>
      </c>
      <c r="BA366" t="str">
        <f>IF($W366="","",INDEX(บันทึกรายเที่ยว!$E$6:$E$10005,$W366))</f>
        <v/>
      </c>
      <c r="BC366">
        <f>IF($Y366="",0,IFERROR(INDEX(อัตราค่าขนส่ง!$M$5:$M$204,MATCH($Y366,อัตราค่าขนส่ง!$O$5:$O$204,0)),0))</f>
        <v>0</v>
      </c>
      <c r="BD366">
        <f>IF($Y366="",0,IFERROR(INDEX(อัตราค่าขนส่ง!$N$5:$N$204,MATCH($Y366,อัตราค่าขนส่ง!$O$5:$O$204,0)),0))</f>
        <v>0</v>
      </c>
    </row>
    <row r="367" spans="1:56" ht="21" customHeight="1" x14ac:dyDescent="0.95">
      <c r="A367" s="36" t="str">
        <f>IF($AD367="","",IF($AD367="Z","รวมจ่ายทั้งสิ้น",IF($AD367="H",INDEX($X$5:$X$404,$AC367),IF($AD367="T","รวม",IF($AD367="B",IFERROR(INDEX(อัตราค่าขนส่ง!$U$5:$U$14,MATCH(INDEX($AM$5:$AM$404,$AC367),อัตราค่าขนส่ง!$T$5:$T$14,0)),"รวมกลุ่ม "&amp;INDEX($AM$5:$AM$404,$AC367)),INDEX($AY$5:$AY$404,$AC367))))))</f>
        <v/>
      </c>
      <c r="B367" s="31" t="str">
        <f t="shared" si="140"/>
        <v/>
      </c>
      <c r="C367" s="8" t="str">
        <f t="shared" si="141"/>
        <v/>
      </c>
      <c r="D367" s="37" t="str">
        <f t="shared" si="142"/>
        <v/>
      </c>
      <c r="E367" s="31" t="str">
        <f t="shared" si="143"/>
        <v/>
      </c>
      <c r="F367" s="32" t="str">
        <f t="shared" si="144"/>
        <v/>
      </c>
      <c r="G367" s="32" t="str">
        <f t="shared" si="145"/>
        <v/>
      </c>
      <c r="H367" s="32" t="str">
        <f t="shared" si="146"/>
        <v/>
      </c>
      <c r="I367" s="32" t="str">
        <f t="shared" si="147"/>
        <v/>
      </c>
      <c r="J367" s="46" t="str">
        <f t="shared" si="148"/>
        <v/>
      </c>
      <c r="K367" s="32" t="str">
        <f t="shared" si="149"/>
        <v/>
      </c>
      <c r="L367" s="32" t="str">
        <f t="shared" si="150"/>
        <v/>
      </c>
      <c r="M367" s="32" t="str">
        <f t="shared" si="151"/>
        <v/>
      </c>
      <c r="N367" s="32" t="str">
        <f t="shared" si="152"/>
        <v/>
      </c>
      <c r="O367" s="32" t="str">
        <f t="shared" si="153"/>
        <v/>
      </c>
      <c r="Q367" t="str">
        <f>IFERROR(MATCH(363,บันทึกรายเที่ยว!$Z$6:$Z$10005,0),"")</f>
        <v/>
      </c>
      <c r="R367" t="str">
        <f>IF($Q367="","",INDEX(บันทึกรายเที่ยว!$V$6:$V$10005,$Q367))</f>
        <v/>
      </c>
      <c r="S367" t="str">
        <f>IF($Q367="","",INDEX(บันทึกรายเที่ยว!$F$6:$F$10005,$Q367))</f>
        <v/>
      </c>
      <c r="T367" t="str">
        <f>IF($Q367="","",MATCH($S367,บันทึกรายเที่ยว!$F$6:$F$10005,0))</f>
        <v/>
      </c>
      <c r="U367" t="str">
        <f>IF($Q367="","",$AL367*10000000+$T367*1000+363)</f>
        <v/>
      </c>
      <c r="V367" t="str">
        <f>IFERROR(MATCH(SMALL($U$5:$U$404,363),$U$5:$U$404,0),"")</f>
        <v/>
      </c>
      <c r="W367" t="str">
        <f t="shared" si="154"/>
        <v/>
      </c>
      <c r="X367" t="str">
        <f t="shared" si="155"/>
        <v/>
      </c>
      <c r="Y367" t="str">
        <f t="shared" si="156"/>
        <v/>
      </c>
      <c r="Z367">
        <f t="shared" si="166"/>
        <v>0</v>
      </c>
      <c r="AA367">
        <f t="shared" si="157"/>
        <v>0</v>
      </c>
      <c r="AB367">
        <f>IF($V367="",99999+363,$AB366+1+$Z366+$AA366+$AO366)</f>
        <v>100362</v>
      </c>
      <c r="AC367" t="str">
        <f>IFERROR(MATCH(363,$AB$5:$AB$404,1),"")</f>
        <v/>
      </c>
      <c r="AD367" t="str">
        <f>IF(363=$AI$1+1,"Z",IF($AC367="","",IF(INDEX($V$5:$V$404,$AC367)="","",IF(363&gt;INDEX($AB$5:$AB$404,$AC367)+INDEX($Z$5:$Z$404,$AC367)+INDEX($AA$5:$AA$404,$AC367)+INDEX($AO$5:$AO$404,$AC367),"",IF(363=INDEX($AB$5:$AB$404,$AC367)+INDEX($Z$5:$Z$404,$AC367),"D",IF(AND(INDEX($Z$5:$Z$404,$AC367)=1,363=INDEX($AB$5:$AB$404,$AC367)),"H",IF(AND(INDEX($AO$5:$AO$404,$AC367)=1,363=INDEX($AB$5:$AB$404,$AC367)+INDEX($Z$5:$Z$404,$AC367)+INDEX($AA$5:$AA$404,$AC367)+INDEX($AO$5:$AO$404,$AC367)),"B","T")))))))</f>
        <v/>
      </c>
      <c r="AF367" t="str">
        <f t="shared" si="158"/>
        <v/>
      </c>
      <c r="AJ367">
        <f>IF($AD367&lt;&gt;"T",0,ROUND(SUMIF(oil!$B$4:$B$63,$AF367,oil!$AE$4:$AE$63),2))</f>
        <v>0</v>
      </c>
      <c r="AK367" t="str">
        <f>IF($S367="","",IFERROR(INDEX(อัตราค่าขนส่ง!$R$5:$R$54,MATCH($S367,อัตราค่าขนส่ง!$Q$5:$Q$54,0)),INDEX(รายการมาตรฐาน!$G$2:$G$3,1)))</f>
        <v/>
      </c>
      <c r="AL367" t="str">
        <f>IF($S367="","",IFERROR(MATCH($AK367,รายการมาตรฐาน!$G$2:$G$3,0),1))</f>
        <v/>
      </c>
      <c r="AM367" t="str">
        <f t="shared" si="159"/>
        <v/>
      </c>
      <c r="AN367" t="str">
        <f t="shared" si="160"/>
        <v/>
      </c>
      <c r="AO367">
        <f t="shared" si="161"/>
        <v>0</v>
      </c>
      <c r="AP367">
        <f t="shared" si="167"/>
        <v>0</v>
      </c>
      <c r="AQ367" t="str">
        <f t="shared" si="162"/>
        <v/>
      </c>
      <c r="AR367">
        <f>IF($Y367="",0,COUNTIF(บันทึกรายเที่ยว!$V$6:$V$10005,$Y367))</f>
        <v>0</v>
      </c>
      <c r="AS367">
        <f>IF($Y367="",0,ROUND(SUMIF(บันทึกรายเที่ยว!$V$6:$V$10005,$Y367,บันทึกรายเที่ยว!$M$6:$M$10005),2))</f>
        <v>0</v>
      </c>
      <c r="AT367">
        <f>IF($Y367="",0,IFERROR(INDEX(อัตราค่าขนส่ง!$J$5:$J$204,MATCH($Y367,อัตราค่าขนส่ง!$O$5:$O$204,0)),0))</f>
        <v>0</v>
      </c>
      <c r="AU367">
        <f t="shared" si="163"/>
        <v>0</v>
      </c>
      <c r="AV367">
        <f t="shared" si="164"/>
        <v>0</v>
      </c>
      <c r="AW367" t="str">
        <f>IF($Y367="","",IFERROR(INDEX(อัตราค่าขนส่ง!$F$5:$F$204,MATCH($Y367,อัตราค่าขนส่ง!$O$5:$O$204,0)),""))</f>
        <v/>
      </c>
      <c r="AX367" t="str">
        <f>IF($W367="","",INDEX(บันทึกรายเที่ยว!$D$6:$D$10005,$W367))</f>
        <v/>
      </c>
      <c r="AY367" t="str">
        <f>IF($W367="","",INDEX(บันทึกรายเที่ยว!$R$6:$R$10005,$W367))</f>
        <v/>
      </c>
      <c r="AZ367">
        <f t="shared" si="165"/>
        <v>0</v>
      </c>
      <c r="BA367" t="str">
        <f>IF($W367="","",INDEX(บันทึกรายเที่ยว!$E$6:$E$10005,$W367))</f>
        <v/>
      </c>
      <c r="BC367">
        <f>IF($Y367="",0,IFERROR(INDEX(อัตราค่าขนส่ง!$M$5:$M$204,MATCH($Y367,อัตราค่าขนส่ง!$O$5:$O$204,0)),0))</f>
        <v>0</v>
      </c>
      <c r="BD367">
        <f>IF($Y367="",0,IFERROR(INDEX(อัตราค่าขนส่ง!$N$5:$N$204,MATCH($Y367,อัตราค่าขนส่ง!$O$5:$O$204,0)),0))</f>
        <v>0</v>
      </c>
    </row>
    <row r="368" spans="1:56" ht="21" customHeight="1" x14ac:dyDescent="0.95">
      <c r="A368" s="36" t="str">
        <f>IF($AD368="","",IF($AD368="Z","รวมจ่ายทั้งสิ้น",IF($AD368="H",INDEX($X$5:$X$404,$AC368),IF($AD368="T","รวม",IF($AD368="B",IFERROR(INDEX(อัตราค่าขนส่ง!$U$5:$U$14,MATCH(INDEX($AM$5:$AM$404,$AC368),อัตราค่าขนส่ง!$T$5:$T$14,0)),"รวมกลุ่ม "&amp;INDEX($AM$5:$AM$404,$AC368)),INDEX($AY$5:$AY$404,$AC368))))))</f>
        <v/>
      </c>
      <c r="B368" s="31" t="str">
        <f t="shared" si="140"/>
        <v/>
      </c>
      <c r="C368" s="8" t="str">
        <f t="shared" si="141"/>
        <v/>
      </c>
      <c r="D368" s="37" t="str">
        <f t="shared" si="142"/>
        <v/>
      </c>
      <c r="E368" s="31" t="str">
        <f t="shared" si="143"/>
        <v/>
      </c>
      <c r="F368" s="32" t="str">
        <f t="shared" si="144"/>
        <v/>
      </c>
      <c r="G368" s="32" t="str">
        <f t="shared" si="145"/>
        <v/>
      </c>
      <c r="H368" s="32" t="str">
        <f t="shared" si="146"/>
        <v/>
      </c>
      <c r="I368" s="32" t="str">
        <f t="shared" si="147"/>
        <v/>
      </c>
      <c r="J368" s="46" t="str">
        <f t="shared" si="148"/>
        <v/>
      </c>
      <c r="K368" s="32" t="str">
        <f t="shared" si="149"/>
        <v/>
      </c>
      <c r="L368" s="32" t="str">
        <f t="shared" si="150"/>
        <v/>
      </c>
      <c r="M368" s="32" t="str">
        <f t="shared" si="151"/>
        <v/>
      </c>
      <c r="N368" s="32" t="str">
        <f t="shared" si="152"/>
        <v/>
      </c>
      <c r="O368" s="32" t="str">
        <f t="shared" si="153"/>
        <v/>
      </c>
      <c r="Q368" t="str">
        <f>IFERROR(MATCH(364,บันทึกรายเที่ยว!$Z$6:$Z$10005,0),"")</f>
        <v/>
      </c>
      <c r="R368" t="str">
        <f>IF($Q368="","",INDEX(บันทึกรายเที่ยว!$V$6:$V$10005,$Q368))</f>
        <v/>
      </c>
      <c r="S368" t="str">
        <f>IF($Q368="","",INDEX(บันทึกรายเที่ยว!$F$6:$F$10005,$Q368))</f>
        <v/>
      </c>
      <c r="T368" t="str">
        <f>IF($Q368="","",MATCH($S368,บันทึกรายเที่ยว!$F$6:$F$10005,0))</f>
        <v/>
      </c>
      <c r="U368" t="str">
        <f>IF($Q368="","",$AL368*10000000+$T368*1000+364)</f>
        <v/>
      </c>
      <c r="V368" t="str">
        <f>IFERROR(MATCH(SMALL($U$5:$U$404,364),$U$5:$U$404,0),"")</f>
        <v/>
      </c>
      <c r="W368" t="str">
        <f t="shared" si="154"/>
        <v/>
      </c>
      <c r="X368" t="str">
        <f t="shared" si="155"/>
        <v/>
      </c>
      <c r="Y368" t="str">
        <f t="shared" si="156"/>
        <v/>
      </c>
      <c r="Z368">
        <f t="shared" si="166"/>
        <v>0</v>
      </c>
      <c r="AA368">
        <f t="shared" si="157"/>
        <v>0</v>
      </c>
      <c r="AB368">
        <f>IF($V368="",99999+364,$AB367+1+$Z367+$AA367+$AO367)</f>
        <v>100363</v>
      </c>
      <c r="AC368" t="str">
        <f>IFERROR(MATCH(364,$AB$5:$AB$404,1),"")</f>
        <v/>
      </c>
      <c r="AD368" t="str">
        <f>IF(364=$AI$1+1,"Z",IF($AC368="","",IF(INDEX($V$5:$V$404,$AC368)="","",IF(364&gt;INDEX($AB$5:$AB$404,$AC368)+INDEX($Z$5:$Z$404,$AC368)+INDEX($AA$5:$AA$404,$AC368)+INDEX($AO$5:$AO$404,$AC368),"",IF(364=INDEX($AB$5:$AB$404,$AC368)+INDEX($Z$5:$Z$404,$AC368),"D",IF(AND(INDEX($Z$5:$Z$404,$AC368)=1,364=INDEX($AB$5:$AB$404,$AC368)),"H",IF(AND(INDEX($AO$5:$AO$404,$AC368)=1,364=INDEX($AB$5:$AB$404,$AC368)+INDEX($Z$5:$Z$404,$AC368)+INDEX($AA$5:$AA$404,$AC368)+INDEX($AO$5:$AO$404,$AC368)),"B","T")))))))</f>
        <v/>
      </c>
      <c r="AF368" t="str">
        <f t="shared" si="158"/>
        <v/>
      </c>
      <c r="AJ368">
        <f>IF($AD368&lt;&gt;"T",0,ROUND(SUMIF(oil!$B$4:$B$63,$AF368,oil!$AE$4:$AE$63),2))</f>
        <v>0</v>
      </c>
      <c r="AK368" t="str">
        <f>IF($S368="","",IFERROR(INDEX(อัตราค่าขนส่ง!$R$5:$R$54,MATCH($S368,อัตราค่าขนส่ง!$Q$5:$Q$54,0)),INDEX(รายการมาตรฐาน!$G$2:$G$3,1)))</f>
        <v/>
      </c>
      <c r="AL368" t="str">
        <f>IF($S368="","",IFERROR(MATCH($AK368,รายการมาตรฐาน!$G$2:$G$3,0),1))</f>
        <v/>
      </c>
      <c r="AM368" t="str">
        <f t="shared" si="159"/>
        <v/>
      </c>
      <c r="AN368" t="str">
        <f t="shared" si="160"/>
        <v/>
      </c>
      <c r="AO368">
        <f t="shared" si="161"/>
        <v>0</v>
      </c>
      <c r="AP368">
        <f t="shared" si="167"/>
        <v>0</v>
      </c>
      <c r="AQ368" t="str">
        <f t="shared" si="162"/>
        <v/>
      </c>
      <c r="AR368">
        <f>IF($Y368="",0,COUNTIF(บันทึกรายเที่ยว!$V$6:$V$10005,$Y368))</f>
        <v>0</v>
      </c>
      <c r="AS368">
        <f>IF($Y368="",0,ROUND(SUMIF(บันทึกรายเที่ยว!$V$6:$V$10005,$Y368,บันทึกรายเที่ยว!$M$6:$M$10005),2))</f>
        <v>0</v>
      </c>
      <c r="AT368">
        <f>IF($Y368="",0,IFERROR(INDEX(อัตราค่าขนส่ง!$J$5:$J$204,MATCH($Y368,อัตราค่าขนส่ง!$O$5:$O$204,0)),0))</f>
        <v>0</v>
      </c>
      <c r="AU368">
        <f t="shared" si="163"/>
        <v>0</v>
      </c>
      <c r="AV368">
        <f t="shared" si="164"/>
        <v>0</v>
      </c>
      <c r="AW368" t="str">
        <f>IF($Y368="","",IFERROR(INDEX(อัตราค่าขนส่ง!$F$5:$F$204,MATCH($Y368,อัตราค่าขนส่ง!$O$5:$O$204,0)),""))</f>
        <v/>
      </c>
      <c r="AX368" t="str">
        <f>IF($W368="","",INDEX(บันทึกรายเที่ยว!$D$6:$D$10005,$W368))</f>
        <v/>
      </c>
      <c r="AY368" t="str">
        <f>IF($W368="","",INDEX(บันทึกรายเที่ยว!$R$6:$R$10005,$W368))</f>
        <v/>
      </c>
      <c r="AZ368">
        <f t="shared" si="165"/>
        <v>0</v>
      </c>
      <c r="BA368" t="str">
        <f>IF($W368="","",INDEX(บันทึกรายเที่ยว!$E$6:$E$10005,$W368))</f>
        <v/>
      </c>
      <c r="BC368">
        <f>IF($Y368="",0,IFERROR(INDEX(อัตราค่าขนส่ง!$M$5:$M$204,MATCH($Y368,อัตราค่าขนส่ง!$O$5:$O$204,0)),0))</f>
        <v>0</v>
      </c>
      <c r="BD368">
        <f>IF($Y368="",0,IFERROR(INDEX(อัตราค่าขนส่ง!$N$5:$N$204,MATCH($Y368,อัตราค่าขนส่ง!$O$5:$O$204,0)),0))</f>
        <v>0</v>
      </c>
    </row>
    <row r="369" spans="1:56" ht="21" customHeight="1" x14ac:dyDescent="0.95">
      <c r="A369" s="36" t="str">
        <f>IF($AD369="","",IF($AD369="Z","รวมจ่ายทั้งสิ้น",IF($AD369="H",INDEX($X$5:$X$404,$AC369),IF($AD369="T","รวม",IF($AD369="B",IFERROR(INDEX(อัตราค่าขนส่ง!$U$5:$U$14,MATCH(INDEX($AM$5:$AM$404,$AC369),อัตราค่าขนส่ง!$T$5:$T$14,0)),"รวมกลุ่ม "&amp;INDEX($AM$5:$AM$404,$AC369)),INDEX($AY$5:$AY$404,$AC369))))))</f>
        <v/>
      </c>
      <c r="B369" s="31" t="str">
        <f t="shared" si="140"/>
        <v/>
      </c>
      <c r="C369" s="8" t="str">
        <f t="shared" si="141"/>
        <v/>
      </c>
      <c r="D369" s="37" t="str">
        <f t="shared" si="142"/>
        <v/>
      </c>
      <c r="E369" s="31" t="str">
        <f t="shared" si="143"/>
        <v/>
      </c>
      <c r="F369" s="32" t="str">
        <f t="shared" si="144"/>
        <v/>
      </c>
      <c r="G369" s="32" t="str">
        <f t="shared" si="145"/>
        <v/>
      </c>
      <c r="H369" s="32" t="str">
        <f t="shared" si="146"/>
        <v/>
      </c>
      <c r="I369" s="32" t="str">
        <f t="shared" si="147"/>
        <v/>
      </c>
      <c r="J369" s="46" t="str">
        <f t="shared" si="148"/>
        <v/>
      </c>
      <c r="K369" s="32" t="str">
        <f t="shared" si="149"/>
        <v/>
      </c>
      <c r="L369" s="32" t="str">
        <f t="shared" si="150"/>
        <v/>
      </c>
      <c r="M369" s="32" t="str">
        <f t="shared" si="151"/>
        <v/>
      </c>
      <c r="N369" s="32" t="str">
        <f t="shared" si="152"/>
        <v/>
      </c>
      <c r="O369" s="32" t="str">
        <f t="shared" si="153"/>
        <v/>
      </c>
      <c r="Q369" t="str">
        <f>IFERROR(MATCH(365,บันทึกรายเที่ยว!$Z$6:$Z$10005,0),"")</f>
        <v/>
      </c>
      <c r="R369" t="str">
        <f>IF($Q369="","",INDEX(บันทึกรายเที่ยว!$V$6:$V$10005,$Q369))</f>
        <v/>
      </c>
      <c r="S369" t="str">
        <f>IF($Q369="","",INDEX(บันทึกรายเที่ยว!$F$6:$F$10005,$Q369))</f>
        <v/>
      </c>
      <c r="T369" t="str">
        <f>IF($Q369="","",MATCH($S369,บันทึกรายเที่ยว!$F$6:$F$10005,0))</f>
        <v/>
      </c>
      <c r="U369" t="str">
        <f>IF($Q369="","",$AL369*10000000+$T369*1000+365)</f>
        <v/>
      </c>
      <c r="V369" t="str">
        <f>IFERROR(MATCH(SMALL($U$5:$U$404,365),$U$5:$U$404,0),"")</f>
        <v/>
      </c>
      <c r="W369" t="str">
        <f t="shared" si="154"/>
        <v/>
      </c>
      <c r="X369" t="str">
        <f t="shared" si="155"/>
        <v/>
      </c>
      <c r="Y369" t="str">
        <f t="shared" si="156"/>
        <v/>
      </c>
      <c r="Z369">
        <f t="shared" si="166"/>
        <v>0</v>
      </c>
      <c r="AA369">
        <f t="shared" si="157"/>
        <v>0</v>
      </c>
      <c r="AB369">
        <f>IF($V369="",99999+365,$AB368+1+$Z368+$AA368+$AO368)</f>
        <v>100364</v>
      </c>
      <c r="AC369" t="str">
        <f>IFERROR(MATCH(365,$AB$5:$AB$404,1),"")</f>
        <v/>
      </c>
      <c r="AD369" t="str">
        <f>IF(365=$AI$1+1,"Z",IF($AC369="","",IF(INDEX($V$5:$V$404,$AC369)="","",IF(365&gt;INDEX($AB$5:$AB$404,$AC369)+INDEX($Z$5:$Z$404,$AC369)+INDEX($AA$5:$AA$404,$AC369)+INDEX($AO$5:$AO$404,$AC369),"",IF(365=INDEX($AB$5:$AB$404,$AC369)+INDEX($Z$5:$Z$404,$AC369),"D",IF(AND(INDEX($Z$5:$Z$404,$AC369)=1,365=INDEX($AB$5:$AB$404,$AC369)),"H",IF(AND(INDEX($AO$5:$AO$404,$AC369)=1,365=INDEX($AB$5:$AB$404,$AC369)+INDEX($Z$5:$Z$404,$AC369)+INDEX($AA$5:$AA$404,$AC369)+INDEX($AO$5:$AO$404,$AC369)),"B","T")))))))</f>
        <v/>
      </c>
      <c r="AF369" t="str">
        <f t="shared" si="158"/>
        <v/>
      </c>
      <c r="AJ369">
        <f>IF($AD369&lt;&gt;"T",0,ROUND(SUMIF(oil!$B$4:$B$63,$AF369,oil!$AE$4:$AE$63),2))</f>
        <v>0</v>
      </c>
      <c r="AK369" t="str">
        <f>IF($S369="","",IFERROR(INDEX(อัตราค่าขนส่ง!$R$5:$R$54,MATCH($S369,อัตราค่าขนส่ง!$Q$5:$Q$54,0)),INDEX(รายการมาตรฐาน!$G$2:$G$3,1)))</f>
        <v/>
      </c>
      <c r="AL369" t="str">
        <f>IF($S369="","",IFERROR(MATCH($AK369,รายการมาตรฐาน!$G$2:$G$3,0),1))</f>
        <v/>
      </c>
      <c r="AM369" t="str">
        <f t="shared" si="159"/>
        <v/>
      </c>
      <c r="AN369" t="str">
        <f t="shared" si="160"/>
        <v/>
      </c>
      <c r="AO369">
        <f t="shared" si="161"/>
        <v>0</v>
      </c>
      <c r="AP369">
        <f t="shared" si="167"/>
        <v>0</v>
      </c>
      <c r="AQ369" t="str">
        <f t="shared" si="162"/>
        <v/>
      </c>
      <c r="AR369">
        <f>IF($Y369="",0,COUNTIF(บันทึกรายเที่ยว!$V$6:$V$10005,$Y369))</f>
        <v>0</v>
      </c>
      <c r="AS369">
        <f>IF($Y369="",0,ROUND(SUMIF(บันทึกรายเที่ยว!$V$6:$V$10005,$Y369,บันทึกรายเที่ยว!$M$6:$M$10005),2))</f>
        <v>0</v>
      </c>
      <c r="AT369">
        <f>IF($Y369="",0,IFERROR(INDEX(อัตราค่าขนส่ง!$J$5:$J$204,MATCH($Y369,อัตราค่าขนส่ง!$O$5:$O$204,0)),0))</f>
        <v>0</v>
      </c>
      <c r="AU369">
        <f t="shared" si="163"/>
        <v>0</v>
      </c>
      <c r="AV369">
        <f t="shared" si="164"/>
        <v>0</v>
      </c>
      <c r="AW369" t="str">
        <f>IF($Y369="","",IFERROR(INDEX(อัตราค่าขนส่ง!$F$5:$F$204,MATCH($Y369,อัตราค่าขนส่ง!$O$5:$O$204,0)),""))</f>
        <v/>
      </c>
      <c r="AX369" t="str">
        <f>IF($W369="","",INDEX(บันทึกรายเที่ยว!$D$6:$D$10005,$W369))</f>
        <v/>
      </c>
      <c r="AY369" t="str">
        <f>IF($W369="","",INDEX(บันทึกรายเที่ยว!$R$6:$R$10005,$W369))</f>
        <v/>
      </c>
      <c r="AZ369">
        <f t="shared" si="165"/>
        <v>0</v>
      </c>
      <c r="BA369" t="str">
        <f>IF($W369="","",INDEX(บันทึกรายเที่ยว!$E$6:$E$10005,$W369))</f>
        <v/>
      </c>
      <c r="BC369">
        <f>IF($Y369="",0,IFERROR(INDEX(อัตราค่าขนส่ง!$M$5:$M$204,MATCH($Y369,อัตราค่าขนส่ง!$O$5:$O$204,0)),0))</f>
        <v>0</v>
      </c>
      <c r="BD369">
        <f>IF($Y369="",0,IFERROR(INDEX(อัตราค่าขนส่ง!$N$5:$N$204,MATCH($Y369,อัตราค่าขนส่ง!$O$5:$O$204,0)),0))</f>
        <v>0</v>
      </c>
    </row>
    <row r="370" spans="1:56" ht="21" customHeight="1" x14ac:dyDescent="0.95">
      <c r="A370" s="36" t="str">
        <f>IF($AD370="","",IF($AD370="Z","รวมจ่ายทั้งสิ้น",IF($AD370="H",INDEX($X$5:$X$404,$AC370),IF($AD370="T","รวม",IF($AD370="B",IFERROR(INDEX(อัตราค่าขนส่ง!$U$5:$U$14,MATCH(INDEX($AM$5:$AM$404,$AC370),อัตราค่าขนส่ง!$T$5:$T$14,0)),"รวมกลุ่ม "&amp;INDEX($AM$5:$AM$404,$AC370)),INDEX($AY$5:$AY$404,$AC370))))))</f>
        <v/>
      </c>
      <c r="B370" s="31" t="str">
        <f t="shared" si="140"/>
        <v/>
      </c>
      <c r="C370" s="8" t="str">
        <f t="shared" si="141"/>
        <v/>
      </c>
      <c r="D370" s="37" t="str">
        <f t="shared" si="142"/>
        <v/>
      </c>
      <c r="E370" s="31" t="str">
        <f t="shared" si="143"/>
        <v/>
      </c>
      <c r="F370" s="32" t="str">
        <f t="shared" si="144"/>
        <v/>
      </c>
      <c r="G370" s="32" t="str">
        <f t="shared" si="145"/>
        <v/>
      </c>
      <c r="H370" s="32" t="str">
        <f t="shared" si="146"/>
        <v/>
      </c>
      <c r="I370" s="32" t="str">
        <f t="shared" si="147"/>
        <v/>
      </c>
      <c r="J370" s="46" t="str">
        <f t="shared" si="148"/>
        <v/>
      </c>
      <c r="K370" s="32" t="str">
        <f t="shared" si="149"/>
        <v/>
      </c>
      <c r="L370" s="32" t="str">
        <f t="shared" si="150"/>
        <v/>
      </c>
      <c r="M370" s="32" t="str">
        <f t="shared" si="151"/>
        <v/>
      </c>
      <c r="N370" s="32" t="str">
        <f t="shared" si="152"/>
        <v/>
      </c>
      <c r="O370" s="32" t="str">
        <f t="shared" si="153"/>
        <v/>
      </c>
      <c r="Q370" t="str">
        <f>IFERROR(MATCH(366,บันทึกรายเที่ยว!$Z$6:$Z$10005,0),"")</f>
        <v/>
      </c>
      <c r="R370" t="str">
        <f>IF($Q370="","",INDEX(บันทึกรายเที่ยว!$V$6:$V$10005,$Q370))</f>
        <v/>
      </c>
      <c r="S370" t="str">
        <f>IF($Q370="","",INDEX(บันทึกรายเที่ยว!$F$6:$F$10005,$Q370))</f>
        <v/>
      </c>
      <c r="T370" t="str">
        <f>IF($Q370="","",MATCH($S370,บันทึกรายเที่ยว!$F$6:$F$10005,0))</f>
        <v/>
      </c>
      <c r="U370" t="str">
        <f>IF($Q370="","",$AL370*10000000+$T370*1000+366)</f>
        <v/>
      </c>
      <c r="V370" t="str">
        <f>IFERROR(MATCH(SMALL($U$5:$U$404,366),$U$5:$U$404,0),"")</f>
        <v/>
      </c>
      <c r="W370" t="str">
        <f t="shared" si="154"/>
        <v/>
      </c>
      <c r="X370" t="str">
        <f t="shared" si="155"/>
        <v/>
      </c>
      <c r="Y370" t="str">
        <f t="shared" si="156"/>
        <v/>
      </c>
      <c r="Z370">
        <f t="shared" si="166"/>
        <v>0</v>
      </c>
      <c r="AA370">
        <f t="shared" si="157"/>
        <v>0</v>
      </c>
      <c r="AB370">
        <f>IF($V370="",99999+366,$AB369+1+$Z369+$AA369+$AO369)</f>
        <v>100365</v>
      </c>
      <c r="AC370" t="str">
        <f>IFERROR(MATCH(366,$AB$5:$AB$404,1),"")</f>
        <v/>
      </c>
      <c r="AD370" t="str">
        <f>IF(366=$AI$1+1,"Z",IF($AC370="","",IF(INDEX($V$5:$V$404,$AC370)="","",IF(366&gt;INDEX($AB$5:$AB$404,$AC370)+INDEX($Z$5:$Z$404,$AC370)+INDEX($AA$5:$AA$404,$AC370)+INDEX($AO$5:$AO$404,$AC370),"",IF(366=INDEX($AB$5:$AB$404,$AC370)+INDEX($Z$5:$Z$404,$AC370),"D",IF(AND(INDEX($Z$5:$Z$404,$AC370)=1,366=INDEX($AB$5:$AB$404,$AC370)),"H",IF(AND(INDEX($AO$5:$AO$404,$AC370)=1,366=INDEX($AB$5:$AB$404,$AC370)+INDEX($Z$5:$Z$404,$AC370)+INDEX($AA$5:$AA$404,$AC370)+INDEX($AO$5:$AO$404,$AC370)),"B","T")))))))</f>
        <v/>
      </c>
      <c r="AF370" t="str">
        <f t="shared" si="158"/>
        <v/>
      </c>
      <c r="AJ370">
        <f>IF($AD370&lt;&gt;"T",0,ROUND(SUMIF(oil!$B$4:$B$63,$AF370,oil!$AE$4:$AE$63),2))</f>
        <v>0</v>
      </c>
      <c r="AK370" t="str">
        <f>IF($S370="","",IFERROR(INDEX(อัตราค่าขนส่ง!$R$5:$R$54,MATCH($S370,อัตราค่าขนส่ง!$Q$5:$Q$54,0)),INDEX(รายการมาตรฐาน!$G$2:$G$3,1)))</f>
        <v/>
      </c>
      <c r="AL370" t="str">
        <f>IF($S370="","",IFERROR(MATCH($AK370,รายการมาตรฐาน!$G$2:$G$3,0),1))</f>
        <v/>
      </c>
      <c r="AM370" t="str">
        <f t="shared" si="159"/>
        <v/>
      </c>
      <c r="AN370" t="str">
        <f t="shared" si="160"/>
        <v/>
      </c>
      <c r="AO370">
        <f t="shared" si="161"/>
        <v>0</v>
      </c>
      <c r="AP370">
        <f t="shared" si="167"/>
        <v>0</v>
      </c>
      <c r="AQ370" t="str">
        <f t="shared" si="162"/>
        <v/>
      </c>
      <c r="AR370">
        <f>IF($Y370="",0,COUNTIF(บันทึกรายเที่ยว!$V$6:$V$10005,$Y370))</f>
        <v>0</v>
      </c>
      <c r="AS370">
        <f>IF($Y370="",0,ROUND(SUMIF(บันทึกรายเที่ยว!$V$6:$V$10005,$Y370,บันทึกรายเที่ยว!$M$6:$M$10005),2))</f>
        <v>0</v>
      </c>
      <c r="AT370">
        <f>IF($Y370="",0,IFERROR(INDEX(อัตราค่าขนส่ง!$J$5:$J$204,MATCH($Y370,อัตราค่าขนส่ง!$O$5:$O$204,0)),0))</f>
        <v>0</v>
      </c>
      <c r="AU370">
        <f t="shared" si="163"/>
        <v>0</v>
      </c>
      <c r="AV370">
        <f t="shared" si="164"/>
        <v>0</v>
      </c>
      <c r="AW370" t="str">
        <f>IF($Y370="","",IFERROR(INDEX(อัตราค่าขนส่ง!$F$5:$F$204,MATCH($Y370,อัตราค่าขนส่ง!$O$5:$O$204,0)),""))</f>
        <v/>
      </c>
      <c r="AX370" t="str">
        <f>IF($W370="","",INDEX(บันทึกรายเที่ยว!$D$6:$D$10005,$W370))</f>
        <v/>
      </c>
      <c r="AY370" t="str">
        <f>IF($W370="","",INDEX(บันทึกรายเที่ยว!$R$6:$R$10005,$W370))</f>
        <v/>
      </c>
      <c r="AZ370">
        <f t="shared" si="165"/>
        <v>0</v>
      </c>
      <c r="BA370" t="str">
        <f>IF($W370="","",INDEX(บันทึกรายเที่ยว!$E$6:$E$10005,$W370))</f>
        <v/>
      </c>
      <c r="BC370">
        <f>IF($Y370="",0,IFERROR(INDEX(อัตราค่าขนส่ง!$M$5:$M$204,MATCH($Y370,อัตราค่าขนส่ง!$O$5:$O$204,0)),0))</f>
        <v>0</v>
      </c>
      <c r="BD370">
        <f>IF($Y370="",0,IFERROR(INDEX(อัตราค่าขนส่ง!$N$5:$N$204,MATCH($Y370,อัตราค่าขนส่ง!$O$5:$O$204,0)),0))</f>
        <v>0</v>
      </c>
    </row>
    <row r="371" spans="1:56" ht="21" customHeight="1" x14ac:dyDescent="0.95">
      <c r="A371" s="36" t="str">
        <f>IF($AD371="","",IF($AD371="Z","รวมจ่ายทั้งสิ้น",IF($AD371="H",INDEX($X$5:$X$404,$AC371),IF($AD371="T","รวม",IF($AD371="B",IFERROR(INDEX(อัตราค่าขนส่ง!$U$5:$U$14,MATCH(INDEX($AM$5:$AM$404,$AC371),อัตราค่าขนส่ง!$T$5:$T$14,0)),"รวมกลุ่ม "&amp;INDEX($AM$5:$AM$404,$AC371)),INDEX($AY$5:$AY$404,$AC371))))))</f>
        <v/>
      </c>
      <c r="B371" s="31" t="str">
        <f t="shared" si="140"/>
        <v/>
      </c>
      <c r="C371" s="8" t="str">
        <f t="shared" si="141"/>
        <v/>
      </c>
      <c r="D371" s="37" t="str">
        <f t="shared" si="142"/>
        <v/>
      </c>
      <c r="E371" s="31" t="str">
        <f t="shared" si="143"/>
        <v/>
      </c>
      <c r="F371" s="32" t="str">
        <f t="shared" si="144"/>
        <v/>
      </c>
      <c r="G371" s="32" t="str">
        <f t="shared" si="145"/>
        <v/>
      </c>
      <c r="H371" s="32" t="str">
        <f t="shared" si="146"/>
        <v/>
      </c>
      <c r="I371" s="32" t="str">
        <f t="shared" si="147"/>
        <v/>
      </c>
      <c r="J371" s="46" t="str">
        <f t="shared" si="148"/>
        <v/>
      </c>
      <c r="K371" s="32" t="str">
        <f t="shared" si="149"/>
        <v/>
      </c>
      <c r="L371" s="32" t="str">
        <f t="shared" si="150"/>
        <v/>
      </c>
      <c r="M371" s="32" t="str">
        <f t="shared" si="151"/>
        <v/>
      </c>
      <c r="N371" s="32" t="str">
        <f t="shared" si="152"/>
        <v/>
      </c>
      <c r="O371" s="32" t="str">
        <f t="shared" si="153"/>
        <v/>
      </c>
      <c r="Q371" t="str">
        <f>IFERROR(MATCH(367,บันทึกรายเที่ยว!$Z$6:$Z$10005,0),"")</f>
        <v/>
      </c>
      <c r="R371" t="str">
        <f>IF($Q371="","",INDEX(บันทึกรายเที่ยว!$V$6:$V$10005,$Q371))</f>
        <v/>
      </c>
      <c r="S371" t="str">
        <f>IF($Q371="","",INDEX(บันทึกรายเที่ยว!$F$6:$F$10005,$Q371))</f>
        <v/>
      </c>
      <c r="T371" t="str">
        <f>IF($Q371="","",MATCH($S371,บันทึกรายเที่ยว!$F$6:$F$10005,0))</f>
        <v/>
      </c>
      <c r="U371" t="str">
        <f>IF($Q371="","",$AL371*10000000+$T371*1000+367)</f>
        <v/>
      </c>
      <c r="V371" t="str">
        <f>IFERROR(MATCH(SMALL($U$5:$U$404,367),$U$5:$U$404,0),"")</f>
        <v/>
      </c>
      <c r="W371" t="str">
        <f t="shared" si="154"/>
        <v/>
      </c>
      <c r="X371" t="str">
        <f t="shared" si="155"/>
        <v/>
      </c>
      <c r="Y371" t="str">
        <f t="shared" si="156"/>
        <v/>
      </c>
      <c r="Z371">
        <f t="shared" si="166"/>
        <v>0</v>
      </c>
      <c r="AA371">
        <f t="shared" si="157"/>
        <v>0</v>
      </c>
      <c r="AB371">
        <f>IF($V371="",99999+367,$AB370+1+$Z370+$AA370+$AO370)</f>
        <v>100366</v>
      </c>
      <c r="AC371" t="str">
        <f>IFERROR(MATCH(367,$AB$5:$AB$404,1),"")</f>
        <v/>
      </c>
      <c r="AD371" t="str">
        <f>IF(367=$AI$1+1,"Z",IF($AC371="","",IF(INDEX($V$5:$V$404,$AC371)="","",IF(367&gt;INDEX($AB$5:$AB$404,$AC371)+INDEX($Z$5:$Z$404,$AC371)+INDEX($AA$5:$AA$404,$AC371)+INDEX($AO$5:$AO$404,$AC371),"",IF(367=INDEX($AB$5:$AB$404,$AC371)+INDEX($Z$5:$Z$404,$AC371),"D",IF(AND(INDEX($Z$5:$Z$404,$AC371)=1,367=INDEX($AB$5:$AB$404,$AC371)),"H",IF(AND(INDEX($AO$5:$AO$404,$AC371)=1,367=INDEX($AB$5:$AB$404,$AC371)+INDEX($Z$5:$Z$404,$AC371)+INDEX($AA$5:$AA$404,$AC371)+INDEX($AO$5:$AO$404,$AC371)),"B","T")))))))</f>
        <v/>
      </c>
      <c r="AF371" t="str">
        <f t="shared" si="158"/>
        <v/>
      </c>
      <c r="AJ371">
        <f>IF($AD371&lt;&gt;"T",0,ROUND(SUMIF(oil!$B$4:$B$63,$AF371,oil!$AE$4:$AE$63),2))</f>
        <v>0</v>
      </c>
      <c r="AK371" t="str">
        <f>IF($S371="","",IFERROR(INDEX(อัตราค่าขนส่ง!$R$5:$R$54,MATCH($S371,อัตราค่าขนส่ง!$Q$5:$Q$54,0)),INDEX(รายการมาตรฐาน!$G$2:$G$3,1)))</f>
        <v/>
      </c>
      <c r="AL371" t="str">
        <f>IF($S371="","",IFERROR(MATCH($AK371,รายการมาตรฐาน!$G$2:$G$3,0),1))</f>
        <v/>
      </c>
      <c r="AM371" t="str">
        <f t="shared" si="159"/>
        <v/>
      </c>
      <c r="AN371" t="str">
        <f t="shared" si="160"/>
        <v/>
      </c>
      <c r="AO371">
        <f t="shared" si="161"/>
        <v>0</v>
      </c>
      <c r="AP371">
        <f t="shared" si="167"/>
        <v>0</v>
      </c>
      <c r="AQ371" t="str">
        <f t="shared" si="162"/>
        <v/>
      </c>
      <c r="AR371">
        <f>IF($Y371="",0,COUNTIF(บันทึกรายเที่ยว!$V$6:$V$10005,$Y371))</f>
        <v>0</v>
      </c>
      <c r="AS371">
        <f>IF($Y371="",0,ROUND(SUMIF(บันทึกรายเที่ยว!$V$6:$V$10005,$Y371,บันทึกรายเที่ยว!$M$6:$M$10005),2))</f>
        <v>0</v>
      </c>
      <c r="AT371">
        <f>IF($Y371="",0,IFERROR(INDEX(อัตราค่าขนส่ง!$J$5:$J$204,MATCH($Y371,อัตราค่าขนส่ง!$O$5:$O$204,0)),0))</f>
        <v>0</v>
      </c>
      <c r="AU371">
        <f t="shared" si="163"/>
        <v>0</v>
      </c>
      <c r="AV371">
        <f t="shared" si="164"/>
        <v>0</v>
      </c>
      <c r="AW371" t="str">
        <f>IF($Y371="","",IFERROR(INDEX(อัตราค่าขนส่ง!$F$5:$F$204,MATCH($Y371,อัตราค่าขนส่ง!$O$5:$O$204,0)),""))</f>
        <v/>
      </c>
      <c r="AX371" t="str">
        <f>IF($W371="","",INDEX(บันทึกรายเที่ยว!$D$6:$D$10005,$W371))</f>
        <v/>
      </c>
      <c r="AY371" t="str">
        <f>IF($W371="","",INDEX(บันทึกรายเที่ยว!$R$6:$R$10005,$W371))</f>
        <v/>
      </c>
      <c r="AZ371">
        <f t="shared" si="165"/>
        <v>0</v>
      </c>
      <c r="BA371" t="str">
        <f>IF($W371="","",INDEX(บันทึกรายเที่ยว!$E$6:$E$10005,$W371))</f>
        <v/>
      </c>
      <c r="BC371">
        <f>IF($Y371="",0,IFERROR(INDEX(อัตราค่าขนส่ง!$M$5:$M$204,MATCH($Y371,อัตราค่าขนส่ง!$O$5:$O$204,0)),0))</f>
        <v>0</v>
      </c>
      <c r="BD371">
        <f>IF($Y371="",0,IFERROR(INDEX(อัตราค่าขนส่ง!$N$5:$N$204,MATCH($Y371,อัตราค่าขนส่ง!$O$5:$O$204,0)),0))</f>
        <v>0</v>
      </c>
    </row>
    <row r="372" spans="1:56" ht="21" customHeight="1" x14ac:dyDescent="0.95">
      <c r="A372" s="36" t="str">
        <f>IF($AD372="","",IF($AD372="Z","รวมจ่ายทั้งสิ้น",IF($AD372="H",INDEX($X$5:$X$404,$AC372),IF($AD372="T","รวม",IF($AD372="B",IFERROR(INDEX(อัตราค่าขนส่ง!$U$5:$U$14,MATCH(INDEX($AM$5:$AM$404,$AC372),อัตราค่าขนส่ง!$T$5:$T$14,0)),"รวมกลุ่ม "&amp;INDEX($AM$5:$AM$404,$AC372)),INDEX($AY$5:$AY$404,$AC372))))))</f>
        <v/>
      </c>
      <c r="B372" s="31" t="str">
        <f t="shared" si="140"/>
        <v/>
      </c>
      <c r="C372" s="8" t="str">
        <f t="shared" si="141"/>
        <v/>
      </c>
      <c r="D372" s="37" t="str">
        <f t="shared" si="142"/>
        <v/>
      </c>
      <c r="E372" s="31" t="str">
        <f t="shared" si="143"/>
        <v/>
      </c>
      <c r="F372" s="32" t="str">
        <f t="shared" si="144"/>
        <v/>
      </c>
      <c r="G372" s="32" t="str">
        <f t="shared" si="145"/>
        <v/>
      </c>
      <c r="H372" s="32" t="str">
        <f t="shared" si="146"/>
        <v/>
      </c>
      <c r="I372" s="32" t="str">
        <f t="shared" si="147"/>
        <v/>
      </c>
      <c r="J372" s="46" t="str">
        <f t="shared" si="148"/>
        <v/>
      </c>
      <c r="K372" s="32" t="str">
        <f t="shared" si="149"/>
        <v/>
      </c>
      <c r="L372" s="32" t="str">
        <f t="shared" si="150"/>
        <v/>
      </c>
      <c r="M372" s="32" t="str">
        <f t="shared" si="151"/>
        <v/>
      </c>
      <c r="N372" s="32" t="str">
        <f t="shared" si="152"/>
        <v/>
      </c>
      <c r="O372" s="32" t="str">
        <f t="shared" si="153"/>
        <v/>
      </c>
      <c r="Q372" t="str">
        <f>IFERROR(MATCH(368,บันทึกรายเที่ยว!$Z$6:$Z$10005,0),"")</f>
        <v/>
      </c>
      <c r="R372" t="str">
        <f>IF($Q372="","",INDEX(บันทึกรายเที่ยว!$V$6:$V$10005,$Q372))</f>
        <v/>
      </c>
      <c r="S372" t="str">
        <f>IF($Q372="","",INDEX(บันทึกรายเที่ยว!$F$6:$F$10005,$Q372))</f>
        <v/>
      </c>
      <c r="T372" t="str">
        <f>IF($Q372="","",MATCH($S372,บันทึกรายเที่ยว!$F$6:$F$10005,0))</f>
        <v/>
      </c>
      <c r="U372" t="str">
        <f>IF($Q372="","",$AL372*10000000+$T372*1000+368)</f>
        <v/>
      </c>
      <c r="V372" t="str">
        <f>IFERROR(MATCH(SMALL($U$5:$U$404,368),$U$5:$U$404,0),"")</f>
        <v/>
      </c>
      <c r="W372" t="str">
        <f t="shared" si="154"/>
        <v/>
      </c>
      <c r="X372" t="str">
        <f t="shared" si="155"/>
        <v/>
      </c>
      <c r="Y372" t="str">
        <f t="shared" si="156"/>
        <v/>
      </c>
      <c r="Z372">
        <f t="shared" si="166"/>
        <v>0</v>
      </c>
      <c r="AA372">
        <f t="shared" si="157"/>
        <v>0</v>
      </c>
      <c r="AB372">
        <f>IF($V372="",99999+368,$AB371+1+$Z371+$AA371+$AO371)</f>
        <v>100367</v>
      </c>
      <c r="AC372" t="str">
        <f>IFERROR(MATCH(368,$AB$5:$AB$404,1),"")</f>
        <v/>
      </c>
      <c r="AD372" t="str">
        <f>IF(368=$AI$1+1,"Z",IF($AC372="","",IF(INDEX($V$5:$V$404,$AC372)="","",IF(368&gt;INDEX($AB$5:$AB$404,$AC372)+INDEX($Z$5:$Z$404,$AC372)+INDEX($AA$5:$AA$404,$AC372)+INDEX($AO$5:$AO$404,$AC372),"",IF(368=INDEX($AB$5:$AB$404,$AC372)+INDEX($Z$5:$Z$404,$AC372),"D",IF(AND(INDEX($Z$5:$Z$404,$AC372)=1,368=INDEX($AB$5:$AB$404,$AC372)),"H",IF(AND(INDEX($AO$5:$AO$404,$AC372)=1,368=INDEX($AB$5:$AB$404,$AC372)+INDEX($Z$5:$Z$404,$AC372)+INDEX($AA$5:$AA$404,$AC372)+INDEX($AO$5:$AO$404,$AC372)),"B","T")))))))</f>
        <v/>
      </c>
      <c r="AF372" t="str">
        <f t="shared" si="158"/>
        <v/>
      </c>
      <c r="AJ372">
        <f>IF($AD372&lt;&gt;"T",0,ROUND(SUMIF(oil!$B$4:$B$63,$AF372,oil!$AE$4:$AE$63),2))</f>
        <v>0</v>
      </c>
      <c r="AK372" t="str">
        <f>IF($S372="","",IFERROR(INDEX(อัตราค่าขนส่ง!$R$5:$R$54,MATCH($S372,อัตราค่าขนส่ง!$Q$5:$Q$54,0)),INDEX(รายการมาตรฐาน!$G$2:$G$3,1)))</f>
        <v/>
      </c>
      <c r="AL372" t="str">
        <f>IF($S372="","",IFERROR(MATCH($AK372,รายการมาตรฐาน!$G$2:$G$3,0),1))</f>
        <v/>
      </c>
      <c r="AM372" t="str">
        <f t="shared" si="159"/>
        <v/>
      </c>
      <c r="AN372" t="str">
        <f t="shared" si="160"/>
        <v/>
      </c>
      <c r="AO372">
        <f t="shared" si="161"/>
        <v>0</v>
      </c>
      <c r="AP372">
        <f t="shared" si="167"/>
        <v>0</v>
      </c>
      <c r="AQ372" t="str">
        <f t="shared" si="162"/>
        <v/>
      </c>
      <c r="AR372">
        <f>IF($Y372="",0,COUNTIF(บันทึกรายเที่ยว!$V$6:$V$10005,$Y372))</f>
        <v>0</v>
      </c>
      <c r="AS372">
        <f>IF($Y372="",0,ROUND(SUMIF(บันทึกรายเที่ยว!$V$6:$V$10005,$Y372,บันทึกรายเที่ยว!$M$6:$M$10005),2))</f>
        <v>0</v>
      </c>
      <c r="AT372">
        <f>IF($Y372="",0,IFERROR(INDEX(อัตราค่าขนส่ง!$J$5:$J$204,MATCH($Y372,อัตราค่าขนส่ง!$O$5:$O$204,0)),0))</f>
        <v>0</v>
      </c>
      <c r="AU372">
        <f t="shared" si="163"/>
        <v>0</v>
      </c>
      <c r="AV372">
        <f t="shared" si="164"/>
        <v>0</v>
      </c>
      <c r="AW372" t="str">
        <f>IF($Y372="","",IFERROR(INDEX(อัตราค่าขนส่ง!$F$5:$F$204,MATCH($Y372,อัตราค่าขนส่ง!$O$5:$O$204,0)),""))</f>
        <v/>
      </c>
      <c r="AX372" t="str">
        <f>IF($W372="","",INDEX(บันทึกรายเที่ยว!$D$6:$D$10005,$W372))</f>
        <v/>
      </c>
      <c r="AY372" t="str">
        <f>IF($W372="","",INDEX(บันทึกรายเที่ยว!$R$6:$R$10005,$W372))</f>
        <v/>
      </c>
      <c r="AZ372">
        <f t="shared" si="165"/>
        <v>0</v>
      </c>
      <c r="BA372" t="str">
        <f>IF($W372="","",INDEX(บันทึกรายเที่ยว!$E$6:$E$10005,$W372))</f>
        <v/>
      </c>
      <c r="BC372">
        <f>IF($Y372="",0,IFERROR(INDEX(อัตราค่าขนส่ง!$M$5:$M$204,MATCH($Y372,อัตราค่าขนส่ง!$O$5:$O$204,0)),0))</f>
        <v>0</v>
      </c>
      <c r="BD372">
        <f>IF($Y372="",0,IFERROR(INDEX(อัตราค่าขนส่ง!$N$5:$N$204,MATCH($Y372,อัตราค่าขนส่ง!$O$5:$O$204,0)),0))</f>
        <v>0</v>
      </c>
    </row>
    <row r="373" spans="1:56" ht="21" customHeight="1" x14ac:dyDescent="0.95">
      <c r="A373" s="36" t="str">
        <f>IF($AD373="","",IF($AD373="Z","รวมจ่ายทั้งสิ้น",IF($AD373="H",INDEX($X$5:$X$404,$AC373),IF($AD373="T","รวม",IF($AD373="B",IFERROR(INDEX(อัตราค่าขนส่ง!$U$5:$U$14,MATCH(INDEX($AM$5:$AM$404,$AC373),อัตราค่าขนส่ง!$T$5:$T$14,0)),"รวมกลุ่ม "&amp;INDEX($AM$5:$AM$404,$AC373)),INDEX($AY$5:$AY$404,$AC373))))))</f>
        <v/>
      </c>
      <c r="B373" s="31" t="str">
        <f t="shared" si="140"/>
        <v/>
      </c>
      <c r="C373" s="8" t="str">
        <f t="shared" si="141"/>
        <v/>
      </c>
      <c r="D373" s="37" t="str">
        <f t="shared" si="142"/>
        <v/>
      </c>
      <c r="E373" s="31" t="str">
        <f t="shared" si="143"/>
        <v/>
      </c>
      <c r="F373" s="32" t="str">
        <f t="shared" si="144"/>
        <v/>
      </c>
      <c r="G373" s="32" t="str">
        <f t="shared" si="145"/>
        <v/>
      </c>
      <c r="H373" s="32" t="str">
        <f t="shared" si="146"/>
        <v/>
      </c>
      <c r="I373" s="32" t="str">
        <f t="shared" si="147"/>
        <v/>
      </c>
      <c r="J373" s="46" t="str">
        <f t="shared" si="148"/>
        <v/>
      </c>
      <c r="K373" s="32" t="str">
        <f t="shared" si="149"/>
        <v/>
      </c>
      <c r="L373" s="32" t="str">
        <f t="shared" si="150"/>
        <v/>
      </c>
      <c r="M373" s="32" t="str">
        <f t="shared" si="151"/>
        <v/>
      </c>
      <c r="N373" s="32" t="str">
        <f t="shared" si="152"/>
        <v/>
      </c>
      <c r="O373" s="32" t="str">
        <f t="shared" si="153"/>
        <v/>
      </c>
      <c r="Q373" t="str">
        <f>IFERROR(MATCH(369,บันทึกรายเที่ยว!$Z$6:$Z$10005,0),"")</f>
        <v/>
      </c>
      <c r="R373" t="str">
        <f>IF($Q373="","",INDEX(บันทึกรายเที่ยว!$V$6:$V$10005,$Q373))</f>
        <v/>
      </c>
      <c r="S373" t="str">
        <f>IF($Q373="","",INDEX(บันทึกรายเที่ยว!$F$6:$F$10005,$Q373))</f>
        <v/>
      </c>
      <c r="T373" t="str">
        <f>IF($Q373="","",MATCH($S373,บันทึกรายเที่ยว!$F$6:$F$10005,0))</f>
        <v/>
      </c>
      <c r="U373" t="str">
        <f>IF($Q373="","",$AL373*10000000+$T373*1000+369)</f>
        <v/>
      </c>
      <c r="V373" t="str">
        <f>IFERROR(MATCH(SMALL($U$5:$U$404,369),$U$5:$U$404,0),"")</f>
        <v/>
      </c>
      <c r="W373" t="str">
        <f t="shared" si="154"/>
        <v/>
      </c>
      <c r="X373" t="str">
        <f t="shared" si="155"/>
        <v/>
      </c>
      <c r="Y373" t="str">
        <f t="shared" si="156"/>
        <v/>
      </c>
      <c r="Z373">
        <f t="shared" si="166"/>
        <v>0</v>
      </c>
      <c r="AA373">
        <f t="shared" si="157"/>
        <v>0</v>
      </c>
      <c r="AB373">
        <f>IF($V373="",99999+369,$AB372+1+$Z372+$AA372+$AO372)</f>
        <v>100368</v>
      </c>
      <c r="AC373" t="str">
        <f>IFERROR(MATCH(369,$AB$5:$AB$404,1),"")</f>
        <v/>
      </c>
      <c r="AD373" t="str">
        <f>IF(369=$AI$1+1,"Z",IF($AC373="","",IF(INDEX($V$5:$V$404,$AC373)="","",IF(369&gt;INDEX($AB$5:$AB$404,$AC373)+INDEX($Z$5:$Z$404,$AC373)+INDEX($AA$5:$AA$404,$AC373)+INDEX($AO$5:$AO$404,$AC373),"",IF(369=INDEX($AB$5:$AB$404,$AC373)+INDEX($Z$5:$Z$404,$AC373),"D",IF(AND(INDEX($Z$5:$Z$404,$AC373)=1,369=INDEX($AB$5:$AB$404,$AC373)),"H",IF(AND(INDEX($AO$5:$AO$404,$AC373)=1,369=INDEX($AB$5:$AB$404,$AC373)+INDEX($Z$5:$Z$404,$AC373)+INDEX($AA$5:$AA$404,$AC373)+INDEX($AO$5:$AO$404,$AC373)),"B","T")))))))</f>
        <v/>
      </c>
      <c r="AF373" t="str">
        <f t="shared" si="158"/>
        <v/>
      </c>
      <c r="AJ373">
        <f>IF($AD373&lt;&gt;"T",0,ROUND(SUMIF(oil!$B$4:$B$63,$AF373,oil!$AE$4:$AE$63),2))</f>
        <v>0</v>
      </c>
      <c r="AK373" t="str">
        <f>IF($S373="","",IFERROR(INDEX(อัตราค่าขนส่ง!$R$5:$R$54,MATCH($S373,อัตราค่าขนส่ง!$Q$5:$Q$54,0)),INDEX(รายการมาตรฐาน!$G$2:$G$3,1)))</f>
        <v/>
      </c>
      <c r="AL373" t="str">
        <f>IF($S373="","",IFERROR(MATCH($AK373,รายการมาตรฐาน!$G$2:$G$3,0),1))</f>
        <v/>
      </c>
      <c r="AM373" t="str">
        <f t="shared" si="159"/>
        <v/>
      </c>
      <c r="AN373" t="str">
        <f t="shared" si="160"/>
        <v/>
      </c>
      <c r="AO373">
        <f t="shared" si="161"/>
        <v>0</v>
      </c>
      <c r="AP373">
        <f t="shared" si="167"/>
        <v>0</v>
      </c>
      <c r="AQ373" t="str">
        <f t="shared" si="162"/>
        <v/>
      </c>
      <c r="AR373">
        <f>IF($Y373="",0,COUNTIF(บันทึกรายเที่ยว!$V$6:$V$10005,$Y373))</f>
        <v>0</v>
      </c>
      <c r="AS373">
        <f>IF($Y373="",0,ROUND(SUMIF(บันทึกรายเที่ยว!$V$6:$V$10005,$Y373,บันทึกรายเที่ยว!$M$6:$M$10005),2))</f>
        <v>0</v>
      </c>
      <c r="AT373">
        <f>IF($Y373="",0,IFERROR(INDEX(อัตราค่าขนส่ง!$J$5:$J$204,MATCH($Y373,อัตราค่าขนส่ง!$O$5:$O$204,0)),0))</f>
        <v>0</v>
      </c>
      <c r="AU373">
        <f t="shared" si="163"/>
        <v>0</v>
      </c>
      <c r="AV373">
        <f t="shared" si="164"/>
        <v>0</v>
      </c>
      <c r="AW373" t="str">
        <f>IF($Y373="","",IFERROR(INDEX(อัตราค่าขนส่ง!$F$5:$F$204,MATCH($Y373,อัตราค่าขนส่ง!$O$5:$O$204,0)),""))</f>
        <v/>
      </c>
      <c r="AX373" t="str">
        <f>IF($W373="","",INDEX(บันทึกรายเที่ยว!$D$6:$D$10005,$W373))</f>
        <v/>
      </c>
      <c r="AY373" t="str">
        <f>IF($W373="","",INDEX(บันทึกรายเที่ยว!$R$6:$R$10005,$W373))</f>
        <v/>
      </c>
      <c r="AZ373">
        <f t="shared" si="165"/>
        <v>0</v>
      </c>
      <c r="BA373" t="str">
        <f>IF($W373="","",INDEX(บันทึกรายเที่ยว!$E$6:$E$10005,$W373))</f>
        <v/>
      </c>
      <c r="BC373">
        <f>IF($Y373="",0,IFERROR(INDEX(อัตราค่าขนส่ง!$M$5:$M$204,MATCH($Y373,อัตราค่าขนส่ง!$O$5:$O$204,0)),0))</f>
        <v>0</v>
      </c>
      <c r="BD373">
        <f>IF($Y373="",0,IFERROR(INDEX(อัตราค่าขนส่ง!$N$5:$N$204,MATCH($Y373,อัตราค่าขนส่ง!$O$5:$O$204,0)),0))</f>
        <v>0</v>
      </c>
    </row>
    <row r="374" spans="1:56" ht="21" customHeight="1" x14ac:dyDescent="0.95">
      <c r="A374" s="36" t="str">
        <f>IF($AD374="","",IF($AD374="Z","รวมจ่ายทั้งสิ้น",IF($AD374="H",INDEX($X$5:$X$404,$AC374),IF($AD374="T","รวม",IF($AD374="B",IFERROR(INDEX(อัตราค่าขนส่ง!$U$5:$U$14,MATCH(INDEX($AM$5:$AM$404,$AC374),อัตราค่าขนส่ง!$T$5:$T$14,0)),"รวมกลุ่ม "&amp;INDEX($AM$5:$AM$404,$AC374)),INDEX($AY$5:$AY$404,$AC374))))))</f>
        <v/>
      </c>
      <c r="B374" s="31" t="str">
        <f t="shared" si="140"/>
        <v/>
      </c>
      <c r="C374" s="8" t="str">
        <f t="shared" si="141"/>
        <v/>
      </c>
      <c r="D374" s="37" t="str">
        <f t="shared" si="142"/>
        <v/>
      </c>
      <c r="E374" s="31" t="str">
        <f t="shared" si="143"/>
        <v/>
      </c>
      <c r="F374" s="32" t="str">
        <f t="shared" si="144"/>
        <v/>
      </c>
      <c r="G374" s="32" t="str">
        <f t="shared" si="145"/>
        <v/>
      </c>
      <c r="H374" s="32" t="str">
        <f t="shared" si="146"/>
        <v/>
      </c>
      <c r="I374" s="32" t="str">
        <f t="shared" si="147"/>
        <v/>
      </c>
      <c r="J374" s="46" t="str">
        <f t="shared" si="148"/>
        <v/>
      </c>
      <c r="K374" s="32" t="str">
        <f t="shared" si="149"/>
        <v/>
      </c>
      <c r="L374" s="32" t="str">
        <f t="shared" si="150"/>
        <v/>
      </c>
      <c r="M374" s="32" t="str">
        <f t="shared" si="151"/>
        <v/>
      </c>
      <c r="N374" s="32" t="str">
        <f t="shared" si="152"/>
        <v/>
      </c>
      <c r="O374" s="32" t="str">
        <f t="shared" si="153"/>
        <v/>
      </c>
      <c r="Q374" t="str">
        <f>IFERROR(MATCH(370,บันทึกรายเที่ยว!$Z$6:$Z$10005,0),"")</f>
        <v/>
      </c>
      <c r="R374" t="str">
        <f>IF($Q374="","",INDEX(บันทึกรายเที่ยว!$V$6:$V$10005,$Q374))</f>
        <v/>
      </c>
      <c r="S374" t="str">
        <f>IF($Q374="","",INDEX(บันทึกรายเที่ยว!$F$6:$F$10005,$Q374))</f>
        <v/>
      </c>
      <c r="T374" t="str">
        <f>IF($Q374="","",MATCH($S374,บันทึกรายเที่ยว!$F$6:$F$10005,0))</f>
        <v/>
      </c>
      <c r="U374" t="str">
        <f>IF($Q374="","",$AL374*10000000+$T374*1000+370)</f>
        <v/>
      </c>
      <c r="V374" t="str">
        <f>IFERROR(MATCH(SMALL($U$5:$U$404,370),$U$5:$U$404,0),"")</f>
        <v/>
      </c>
      <c r="W374" t="str">
        <f t="shared" si="154"/>
        <v/>
      </c>
      <c r="X374" t="str">
        <f t="shared" si="155"/>
        <v/>
      </c>
      <c r="Y374" t="str">
        <f t="shared" si="156"/>
        <v/>
      </c>
      <c r="Z374">
        <f t="shared" si="166"/>
        <v>0</v>
      </c>
      <c r="AA374">
        <f t="shared" si="157"/>
        <v>0</v>
      </c>
      <c r="AB374">
        <f>IF($V374="",99999+370,$AB373+1+$Z373+$AA373+$AO373)</f>
        <v>100369</v>
      </c>
      <c r="AC374" t="str">
        <f>IFERROR(MATCH(370,$AB$5:$AB$404,1),"")</f>
        <v/>
      </c>
      <c r="AD374" t="str">
        <f>IF(370=$AI$1+1,"Z",IF($AC374="","",IF(INDEX($V$5:$V$404,$AC374)="","",IF(370&gt;INDEX($AB$5:$AB$404,$AC374)+INDEX($Z$5:$Z$404,$AC374)+INDEX($AA$5:$AA$404,$AC374)+INDEX($AO$5:$AO$404,$AC374),"",IF(370=INDEX($AB$5:$AB$404,$AC374)+INDEX($Z$5:$Z$404,$AC374),"D",IF(AND(INDEX($Z$5:$Z$404,$AC374)=1,370=INDEX($AB$5:$AB$404,$AC374)),"H",IF(AND(INDEX($AO$5:$AO$404,$AC374)=1,370=INDEX($AB$5:$AB$404,$AC374)+INDEX($Z$5:$Z$404,$AC374)+INDEX($AA$5:$AA$404,$AC374)+INDEX($AO$5:$AO$404,$AC374)),"B","T")))))))</f>
        <v/>
      </c>
      <c r="AF374" t="str">
        <f t="shared" si="158"/>
        <v/>
      </c>
      <c r="AJ374">
        <f>IF($AD374&lt;&gt;"T",0,ROUND(SUMIF(oil!$B$4:$B$63,$AF374,oil!$AE$4:$AE$63),2))</f>
        <v>0</v>
      </c>
      <c r="AK374" t="str">
        <f>IF($S374="","",IFERROR(INDEX(อัตราค่าขนส่ง!$R$5:$R$54,MATCH($S374,อัตราค่าขนส่ง!$Q$5:$Q$54,0)),INDEX(รายการมาตรฐาน!$G$2:$G$3,1)))</f>
        <v/>
      </c>
      <c r="AL374" t="str">
        <f>IF($S374="","",IFERROR(MATCH($AK374,รายการมาตรฐาน!$G$2:$G$3,0),1))</f>
        <v/>
      </c>
      <c r="AM374" t="str">
        <f t="shared" si="159"/>
        <v/>
      </c>
      <c r="AN374" t="str">
        <f t="shared" si="160"/>
        <v/>
      </c>
      <c r="AO374">
        <f t="shared" si="161"/>
        <v>0</v>
      </c>
      <c r="AP374">
        <f t="shared" si="167"/>
        <v>0</v>
      </c>
      <c r="AQ374" t="str">
        <f t="shared" si="162"/>
        <v/>
      </c>
      <c r="AR374">
        <f>IF($Y374="",0,COUNTIF(บันทึกรายเที่ยว!$V$6:$V$10005,$Y374))</f>
        <v>0</v>
      </c>
      <c r="AS374">
        <f>IF($Y374="",0,ROUND(SUMIF(บันทึกรายเที่ยว!$V$6:$V$10005,$Y374,บันทึกรายเที่ยว!$M$6:$M$10005),2))</f>
        <v>0</v>
      </c>
      <c r="AT374">
        <f>IF($Y374="",0,IFERROR(INDEX(อัตราค่าขนส่ง!$J$5:$J$204,MATCH($Y374,อัตราค่าขนส่ง!$O$5:$O$204,0)),0))</f>
        <v>0</v>
      </c>
      <c r="AU374">
        <f t="shared" si="163"/>
        <v>0</v>
      </c>
      <c r="AV374">
        <f t="shared" si="164"/>
        <v>0</v>
      </c>
      <c r="AW374" t="str">
        <f>IF($Y374="","",IFERROR(INDEX(อัตราค่าขนส่ง!$F$5:$F$204,MATCH($Y374,อัตราค่าขนส่ง!$O$5:$O$204,0)),""))</f>
        <v/>
      </c>
      <c r="AX374" t="str">
        <f>IF($W374="","",INDEX(บันทึกรายเที่ยว!$D$6:$D$10005,$W374))</f>
        <v/>
      </c>
      <c r="AY374" t="str">
        <f>IF($W374="","",INDEX(บันทึกรายเที่ยว!$R$6:$R$10005,$W374))</f>
        <v/>
      </c>
      <c r="AZ374">
        <f t="shared" si="165"/>
        <v>0</v>
      </c>
      <c r="BA374" t="str">
        <f>IF($W374="","",INDEX(บันทึกรายเที่ยว!$E$6:$E$10005,$W374))</f>
        <v/>
      </c>
      <c r="BC374">
        <f>IF($Y374="",0,IFERROR(INDEX(อัตราค่าขนส่ง!$M$5:$M$204,MATCH($Y374,อัตราค่าขนส่ง!$O$5:$O$204,0)),0))</f>
        <v>0</v>
      </c>
      <c r="BD374">
        <f>IF($Y374="",0,IFERROR(INDEX(อัตราค่าขนส่ง!$N$5:$N$204,MATCH($Y374,อัตราค่าขนส่ง!$O$5:$O$204,0)),0))</f>
        <v>0</v>
      </c>
    </row>
    <row r="375" spans="1:56" ht="21" customHeight="1" x14ac:dyDescent="0.95">
      <c r="A375" s="36" t="str">
        <f>IF($AD375="","",IF($AD375="Z","รวมจ่ายทั้งสิ้น",IF($AD375="H",INDEX($X$5:$X$404,$AC375),IF($AD375="T","รวม",IF($AD375="B",IFERROR(INDEX(อัตราค่าขนส่ง!$U$5:$U$14,MATCH(INDEX($AM$5:$AM$404,$AC375),อัตราค่าขนส่ง!$T$5:$T$14,0)),"รวมกลุ่ม "&amp;INDEX($AM$5:$AM$404,$AC375)),INDEX($AY$5:$AY$404,$AC375))))))</f>
        <v/>
      </c>
      <c r="B375" s="31" t="str">
        <f t="shared" si="140"/>
        <v/>
      </c>
      <c r="C375" s="8" t="str">
        <f t="shared" si="141"/>
        <v/>
      </c>
      <c r="D375" s="37" t="str">
        <f t="shared" si="142"/>
        <v/>
      </c>
      <c r="E375" s="31" t="str">
        <f t="shared" si="143"/>
        <v/>
      </c>
      <c r="F375" s="32" t="str">
        <f t="shared" si="144"/>
        <v/>
      </c>
      <c r="G375" s="32" t="str">
        <f t="shared" si="145"/>
        <v/>
      </c>
      <c r="H375" s="32" t="str">
        <f t="shared" si="146"/>
        <v/>
      </c>
      <c r="I375" s="32" t="str">
        <f t="shared" si="147"/>
        <v/>
      </c>
      <c r="J375" s="46" t="str">
        <f t="shared" si="148"/>
        <v/>
      </c>
      <c r="K375" s="32" t="str">
        <f t="shared" si="149"/>
        <v/>
      </c>
      <c r="L375" s="32" t="str">
        <f t="shared" si="150"/>
        <v/>
      </c>
      <c r="M375" s="32" t="str">
        <f t="shared" si="151"/>
        <v/>
      </c>
      <c r="N375" s="32" t="str">
        <f t="shared" si="152"/>
        <v/>
      </c>
      <c r="O375" s="32" t="str">
        <f t="shared" si="153"/>
        <v/>
      </c>
      <c r="Q375" t="str">
        <f>IFERROR(MATCH(371,บันทึกรายเที่ยว!$Z$6:$Z$10005,0),"")</f>
        <v/>
      </c>
      <c r="R375" t="str">
        <f>IF($Q375="","",INDEX(บันทึกรายเที่ยว!$V$6:$V$10005,$Q375))</f>
        <v/>
      </c>
      <c r="S375" t="str">
        <f>IF($Q375="","",INDEX(บันทึกรายเที่ยว!$F$6:$F$10005,$Q375))</f>
        <v/>
      </c>
      <c r="T375" t="str">
        <f>IF($Q375="","",MATCH($S375,บันทึกรายเที่ยว!$F$6:$F$10005,0))</f>
        <v/>
      </c>
      <c r="U375" t="str">
        <f>IF($Q375="","",$AL375*10000000+$T375*1000+371)</f>
        <v/>
      </c>
      <c r="V375" t="str">
        <f>IFERROR(MATCH(SMALL($U$5:$U$404,371),$U$5:$U$404,0),"")</f>
        <v/>
      </c>
      <c r="W375" t="str">
        <f t="shared" si="154"/>
        <v/>
      </c>
      <c r="X375" t="str">
        <f t="shared" si="155"/>
        <v/>
      </c>
      <c r="Y375" t="str">
        <f t="shared" si="156"/>
        <v/>
      </c>
      <c r="Z375">
        <f t="shared" si="166"/>
        <v>0</v>
      </c>
      <c r="AA375">
        <f t="shared" si="157"/>
        <v>0</v>
      </c>
      <c r="AB375">
        <f>IF($V375="",99999+371,$AB374+1+$Z374+$AA374+$AO374)</f>
        <v>100370</v>
      </c>
      <c r="AC375" t="str">
        <f>IFERROR(MATCH(371,$AB$5:$AB$404,1),"")</f>
        <v/>
      </c>
      <c r="AD375" t="str">
        <f>IF(371=$AI$1+1,"Z",IF($AC375="","",IF(INDEX($V$5:$V$404,$AC375)="","",IF(371&gt;INDEX($AB$5:$AB$404,$AC375)+INDEX($Z$5:$Z$404,$AC375)+INDEX($AA$5:$AA$404,$AC375)+INDEX($AO$5:$AO$404,$AC375),"",IF(371=INDEX($AB$5:$AB$404,$AC375)+INDEX($Z$5:$Z$404,$AC375),"D",IF(AND(INDEX($Z$5:$Z$404,$AC375)=1,371=INDEX($AB$5:$AB$404,$AC375)),"H",IF(AND(INDEX($AO$5:$AO$404,$AC375)=1,371=INDEX($AB$5:$AB$404,$AC375)+INDEX($Z$5:$Z$404,$AC375)+INDEX($AA$5:$AA$404,$AC375)+INDEX($AO$5:$AO$404,$AC375)),"B","T")))))))</f>
        <v/>
      </c>
      <c r="AF375" t="str">
        <f t="shared" si="158"/>
        <v/>
      </c>
      <c r="AJ375">
        <f>IF($AD375&lt;&gt;"T",0,ROUND(SUMIF(oil!$B$4:$B$63,$AF375,oil!$AE$4:$AE$63),2))</f>
        <v>0</v>
      </c>
      <c r="AK375" t="str">
        <f>IF($S375="","",IFERROR(INDEX(อัตราค่าขนส่ง!$R$5:$R$54,MATCH($S375,อัตราค่าขนส่ง!$Q$5:$Q$54,0)),INDEX(รายการมาตรฐาน!$G$2:$G$3,1)))</f>
        <v/>
      </c>
      <c r="AL375" t="str">
        <f>IF($S375="","",IFERROR(MATCH($AK375,รายการมาตรฐาน!$G$2:$G$3,0),1))</f>
        <v/>
      </c>
      <c r="AM375" t="str">
        <f t="shared" si="159"/>
        <v/>
      </c>
      <c r="AN375" t="str">
        <f t="shared" si="160"/>
        <v/>
      </c>
      <c r="AO375">
        <f t="shared" si="161"/>
        <v>0</v>
      </c>
      <c r="AP375">
        <f t="shared" si="167"/>
        <v>0</v>
      </c>
      <c r="AQ375" t="str">
        <f t="shared" si="162"/>
        <v/>
      </c>
      <c r="AR375">
        <f>IF($Y375="",0,COUNTIF(บันทึกรายเที่ยว!$V$6:$V$10005,$Y375))</f>
        <v>0</v>
      </c>
      <c r="AS375">
        <f>IF($Y375="",0,ROUND(SUMIF(บันทึกรายเที่ยว!$V$6:$V$10005,$Y375,บันทึกรายเที่ยว!$M$6:$M$10005),2))</f>
        <v>0</v>
      </c>
      <c r="AT375">
        <f>IF($Y375="",0,IFERROR(INDEX(อัตราค่าขนส่ง!$J$5:$J$204,MATCH($Y375,อัตราค่าขนส่ง!$O$5:$O$204,0)),0))</f>
        <v>0</v>
      </c>
      <c r="AU375">
        <f t="shared" si="163"/>
        <v>0</v>
      </c>
      <c r="AV375">
        <f t="shared" si="164"/>
        <v>0</v>
      </c>
      <c r="AW375" t="str">
        <f>IF($Y375="","",IFERROR(INDEX(อัตราค่าขนส่ง!$F$5:$F$204,MATCH($Y375,อัตราค่าขนส่ง!$O$5:$O$204,0)),""))</f>
        <v/>
      </c>
      <c r="AX375" t="str">
        <f>IF($W375="","",INDEX(บันทึกรายเที่ยว!$D$6:$D$10005,$W375))</f>
        <v/>
      </c>
      <c r="AY375" t="str">
        <f>IF($W375="","",INDEX(บันทึกรายเที่ยว!$R$6:$R$10005,$W375))</f>
        <v/>
      </c>
      <c r="AZ375">
        <f t="shared" si="165"/>
        <v>0</v>
      </c>
      <c r="BA375" t="str">
        <f>IF($W375="","",INDEX(บันทึกรายเที่ยว!$E$6:$E$10005,$W375))</f>
        <v/>
      </c>
      <c r="BC375">
        <f>IF($Y375="",0,IFERROR(INDEX(อัตราค่าขนส่ง!$M$5:$M$204,MATCH($Y375,อัตราค่าขนส่ง!$O$5:$O$204,0)),0))</f>
        <v>0</v>
      </c>
      <c r="BD375">
        <f>IF($Y375="",0,IFERROR(INDEX(อัตราค่าขนส่ง!$N$5:$N$204,MATCH($Y375,อัตราค่าขนส่ง!$O$5:$O$204,0)),0))</f>
        <v>0</v>
      </c>
    </row>
    <row r="376" spans="1:56" ht="21" customHeight="1" x14ac:dyDescent="0.95">
      <c r="A376" s="36" t="str">
        <f>IF($AD376="","",IF($AD376="Z","รวมจ่ายทั้งสิ้น",IF($AD376="H",INDEX($X$5:$X$404,$AC376),IF($AD376="T","รวม",IF($AD376="B",IFERROR(INDEX(อัตราค่าขนส่ง!$U$5:$U$14,MATCH(INDEX($AM$5:$AM$404,$AC376),อัตราค่าขนส่ง!$T$5:$T$14,0)),"รวมกลุ่ม "&amp;INDEX($AM$5:$AM$404,$AC376)),INDEX($AY$5:$AY$404,$AC376))))))</f>
        <v/>
      </c>
      <c r="B376" s="31" t="str">
        <f t="shared" si="140"/>
        <v/>
      </c>
      <c r="C376" s="8" t="str">
        <f t="shared" si="141"/>
        <v/>
      </c>
      <c r="D376" s="37" t="str">
        <f t="shared" si="142"/>
        <v/>
      </c>
      <c r="E376" s="31" t="str">
        <f t="shared" si="143"/>
        <v/>
      </c>
      <c r="F376" s="32" t="str">
        <f t="shared" si="144"/>
        <v/>
      </c>
      <c r="G376" s="32" t="str">
        <f t="shared" si="145"/>
        <v/>
      </c>
      <c r="H376" s="32" t="str">
        <f t="shared" si="146"/>
        <v/>
      </c>
      <c r="I376" s="32" t="str">
        <f t="shared" si="147"/>
        <v/>
      </c>
      <c r="J376" s="46" t="str">
        <f t="shared" si="148"/>
        <v/>
      </c>
      <c r="K376" s="32" t="str">
        <f t="shared" si="149"/>
        <v/>
      </c>
      <c r="L376" s="32" t="str">
        <f t="shared" si="150"/>
        <v/>
      </c>
      <c r="M376" s="32" t="str">
        <f t="shared" si="151"/>
        <v/>
      </c>
      <c r="N376" s="32" t="str">
        <f t="shared" si="152"/>
        <v/>
      </c>
      <c r="O376" s="32" t="str">
        <f t="shared" si="153"/>
        <v/>
      </c>
      <c r="Q376" t="str">
        <f>IFERROR(MATCH(372,บันทึกรายเที่ยว!$Z$6:$Z$10005,0),"")</f>
        <v/>
      </c>
      <c r="R376" t="str">
        <f>IF($Q376="","",INDEX(บันทึกรายเที่ยว!$V$6:$V$10005,$Q376))</f>
        <v/>
      </c>
      <c r="S376" t="str">
        <f>IF($Q376="","",INDEX(บันทึกรายเที่ยว!$F$6:$F$10005,$Q376))</f>
        <v/>
      </c>
      <c r="T376" t="str">
        <f>IF($Q376="","",MATCH($S376,บันทึกรายเที่ยว!$F$6:$F$10005,0))</f>
        <v/>
      </c>
      <c r="U376" t="str">
        <f>IF($Q376="","",$AL376*10000000+$T376*1000+372)</f>
        <v/>
      </c>
      <c r="V376" t="str">
        <f>IFERROR(MATCH(SMALL($U$5:$U$404,372),$U$5:$U$404,0),"")</f>
        <v/>
      </c>
      <c r="W376" t="str">
        <f t="shared" si="154"/>
        <v/>
      </c>
      <c r="X376" t="str">
        <f t="shared" si="155"/>
        <v/>
      </c>
      <c r="Y376" t="str">
        <f t="shared" si="156"/>
        <v/>
      </c>
      <c r="Z376">
        <f t="shared" si="166"/>
        <v>0</v>
      </c>
      <c r="AA376">
        <f t="shared" si="157"/>
        <v>0</v>
      </c>
      <c r="AB376">
        <f>IF($V376="",99999+372,$AB375+1+$Z375+$AA375+$AO375)</f>
        <v>100371</v>
      </c>
      <c r="AC376" t="str">
        <f>IFERROR(MATCH(372,$AB$5:$AB$404,1),"")</f>
        <v/>
      </c>
      <c r="AD376" t="str">
        <f>IF(372=$AI$1+1,"Z",IF($AC376="","",IF(INDEX($V$5:$V$404,$AC376)="","",IF(372&gt;INDEX($AB$5:$AB$404,$AC376)+INDEX($Z$5:$Z$404,$AC376)+INDEX($AA$5:$AA$404,$AC376)+INDEX($AO$5:$AO$404,$AC376),"",IF(372=INDEX($AB$5:$AB$404,$AC376)+INDEX($Z$5:$Z$404,$AC376),"D",IF(AND(INDEX($Z$5:$Z$404,$AC376)=1,372=INDEX($AB$5:$AB$404,$AC376)),"H",IF(AND(INDEX($AO$5:$AO$404,$AC376)=1,372=INDEX($AB$5:$AB$404,$AC376)+INDEX($Z$5:$Z$404,$AC376)+INDEX($AA$5:$AA$404,$AC376)+INDEX($AO$5:$AO$404,$AC376)),"B","T")))))))</f>
        <v/>
      </c>
      <c r="AF376" t="str">
        <f t="shared" si="158"/>
        <v/>
      </c>
      <c r="AJ376">
        <f>IF($AD376&lt;&gt;"T",0,ROUND(SUMIF(oil!$B$4:$B$63,$AF376,oil!$AE$4:$AE$63),2))</f>
        <v>0</v>
      </c>
      <c r="AK376" t="str">
        <f>IF($S376="","",IFERROR(INDEX(อัตราค่าขนส่ง!$R$5:$R$54,MATCH($S376,อัตราค่าขนส่ง!$Q$5:$Q$54,0)),INDEX(รายการมาตรฐาน!$G$2:$G$3,1)))</f>
        <v/>
      </c>
      <c r="AL376" t="str">
        <f>IF($S376="","",IFERROR(MATCH($AK376,รายการมาตรฐาน!$G$2:$G$3,0),1))</f>
        <v/>
      </c>
      <c r="AM376" t="str">
        <f t="shared" si="159"/>
        <v/>
      </c>
      <c r="AN376" t="str">
        <f t="shared" si="160"/>
        <v/>
      </c>
      <c r="AO376">
        <f t="shared" si="161"/>
        <v>0</v>
      </c>
      <c r="AP376">
        <f t="shared" si="167"/>
        <v>0</v>
      </c>
      <c r="AQ376" t="str">
        <f t="shared" si="162"/>
        <v/>
      </c>
      <c r="AR376">
        <f>IF($Y376="",0,COUNTIF(บันทึกรายเที่ยว!$V$6:$V$10005,$Y376))</f>
        <v>0</v>
      </c>
      <c r="AS376">
        <f>IF($Y376="",0,ROUND(SUMIF(บันทึกรายเที่ยว!$V$6:$V$10005,$Y376,บันทึกรายเที่ยว!$M$6:$M$10005),2))</f>
        <v>0</v>
      </c>
      <c r="AT376">
        <f>IF($Y376="",0,IFERROR(INDEX(อัตราค่าขนส่ง!$J$5:$J$204,MATCH($Y376,อัตราค่าขนส่ง!$O$5:$O$204,0)),0))</f>
        <v>0</v>
      </c>
      <c r="AU376">
        <f t="shared" si="163"/>
        <v>0</v>
      </c>
      <c r="AV376">
        <f t="shared" si="164"/>
        <v>0</v>
      </c>
      <c r="AW376" t="str">
        <f>IF($Y376="","",IFERROR(INDEX(อัตราค่าขนส่ง!$F$5:$F$204,MATCH($Y376,อัตราค่าขนส่ง!$O$5:$O$204,0)),""))</f>
        <v/>
      </c>
      <c r="AX376" t="str">
        <f>IF($W376="","",INDEX(บันทึกรายเที่ยว!$D$6:$D$10005,$W376))</f>
        <v/>
      </c>
      <c r="AY376" t="str">
        <f>IF($W376="","",INDEX(บันทึกรายเที่ยว!$R$6:$R$10005,$W376))</f>
        <v/>
      </c>
      <c r="AZ376">
        <f t="shared" si="165"/>
        <v>0</v>
      </c>
      <c r="BA376" t="str">
        <f>IF($W376="","",INDEX(บันทึกรายเที่ยว!$E$6:$E$10005,$W376))</f>
        <v/>
      </c>
      <c r="BC376">
        <f>IF($Y376="",0,IFERROR(INDEX(อัตราค่าขนส่ง!$M$5:$M$204,MATCH($Y376,อัตราค่าขนส่ง!$O$5:$O$204,0)),0))</f>
        <v>0</v>
      </c>
      <c r="BD376">
        <f>IF($Y376="",0,IFERROR(INDEX(อัตราค่าขนส่ง!$N$5:$N$204,MATCH($Y376,อัตราค่าขนส่ง!$O$5:$O$204,0)),0))</f>
        <v>0</v>
      </c>
    </row>
    <row r="377" spans="1:56" ht="21" customHeight="1" x14ac:dyDescent="0.95">
      <c r="A377" s="36" t="str">
        <f>IF($AD377="","",IF($AD377="Z","รวมจ่ายทั้งสิ้น",IF($AD377="H",INDEX($X$5:$X$404,$AC377),IF($AD377="T","รวม",IF($AD377="B",IFERROR(INDEX(อัตราค่าขนส่ง!$U$5:$U$14,MATCH(INDEX($AM$5:$AM$404,$AC377),อัตราค่าขนส่ง!$T$5:$T$14,0)),"รวมกลุ่ม "&amp;INDEX($AM$5:$AM$404,$AC377)),INDEX($AY$5:$AY$404,$AC377))))))</f>
        <v/>
      </c>
      <c r="B377" s="31" t="str">
        <f t="shared" si="140"/>
        <v/>
      </c>
      <c r="C377" s="8" t="str">
        <f t="shared" si="141"/>
        <v/>
      </c>
      <c r="D377" s="37" t="str">
        <f t="shared" si="142"/>
        <v/>
      </c>
      <c r="E377" s="31" t="str">
        <f t="shared" si="143"/>
        <v/>
      </c>
      <c r="F377" s="32" t="str">
        <f t="shared" si="144"/>
        <v/>
      </c>
      <c r="G377" s="32" t="str">
        <f t="shared" si="145"/>
        <v/>
      </c>
      <c r="H377" s="32" t="str">
        <f t="shared" si="146"/>
        <v/>
      </c>
      <c r="I377" s="32" t="str">
        <f t="shared" si="147"/>
        <v/>
      </c>
      <c r="J377" s="46" t="str">
        <f t="shared" si="148"/>
        <v/>
      </c>
      <c r="K377" s="32" t="str">
        <f t="shared" si="149"/>
        <v/>
      </c>
      <c r="L377" s="32" t="str">
        <f t="shared" si="150"/>
        <v/>
      </c>
      <c r="M377" s="32" t="str">
        <f t="shared" si="151"/>
        <v/>
      </c>
      <c r="N377" s="32" t="str">
        <f t="shared" si="152"/>
        <v/>
      </c>
      <c r="O377" s="32" t="str">
        <f t="shared" si="153"/>
        <v/>
      </c>
      <c r="Q377" t="str">
        <f>IFERROR(MATCH(373,บันทึกรายเที่ยว!$Z$6:$Z$10005,0),"")</f>
        <v/>
      </c>
      <c r="R377" t="str">
        <f>IF($Q377="","",INDEX(บันทึกรายเที่ยว!$V$6:$V$10005,$Q377))</f>
        <v/>
      </c>
      <c r="S377" t="str">
        <f>IF($Q377="","",INDEX(บันทึกรายเที่ยว!$F$6:$F$10005,$Q377))</f>
        <v/>
      </c>
      <c r="T377" t="str">
        <f>IF($Q377="","",MATCH($S377,บันทึกรายเที่ยว!$F$6:$F$10005,0))</f>
        <v/>
      </c>
      <c r="U377" t="str">
        <f>IF($Q377="","",$AL377*10000000+$T377*1000+373)</f>
        <v/>
      </c>
      <c r="V377" t="str">
        <f>IFERROR(MATCH(SMALL($U$5:$U$404,373),$U$5:$U$404,0),"")</f>
        <v/>
      </c>
      <c r="W377" t="str">
        <f t="shared" si="154"/>
        <v/>
      </c>
      <c r="X377" t="str">
        <f t="shared" si="155"/>
        <v/>
      </c>
      <c r="Y377" t="str">
        <f t="shared" si="156"/>
        <v/>
      </c>
      <c r="Z377">
        <f t="shared" si="166"/>
        <v>0</v>
      </c>
      <c r="AA377">
        <f t="shared" si="157"/>
        <v>0</v>
      </c>
      <c r="AB377">
        <f>IF($V377="",99999+373,$AB376+1+$Z376+$AA376+$AO376)</f>
        <v>100372</v>
      </c>
      <c r="AC377" t="str">
        <f>IFERROR(MATCH(373,$AB$5:$AB$404,1),"")</f>
        <v/>
      </c>
      <c r="AD377" t="str">
        <f>IF(373=$AI$1+1,"Z",IF($AC377="","",IF(INDEX($V$5:$V$404,$AC377)="","",IF(373&gt;INDEX($AB$5:$AB$404,$AC377)+INDEX($Z$5:$Z$404,$AC377)+INDEX($AA$5:$AA$404,$AC377)+INDEX($AO$5:$AO$404,$AC377),"",IF(373=INDEX($AB$5:$AB$404,$AC377)+INDEX($Z$5:$Z$404,$AC377),"D",IF(AND(INDEX($Z$5:$Z$404,$AC377)=1,373=INDEX($AB$5:$AB$404,$AC377)),"H",IF(AND(INDEX($AO$5:$AO$404,$AC377)=1,373=INDEX($AB$5:$AB$404,$AC377)+INDEX($Z$5:$Z$404,$AC377)+INDEX($AA$5:$AA$404,$AC377)+INDEX($AO$5:$AO$404,$AC377)),"B","T")))))))</f>
        <v/>
      </c>
      <c r="AF377" t="str">
        <f t="shared" si="158"/>
        <v/>
      </c>
      <c r="AJ377">
        <f>IF($AD377&lt;&gt;"T",0,ROUND(SUMIF(oil!$B$4:$B$63,$AF377,oil!$AE$4:$AE$63),2))</f>
        <v>0</v>
      </c>
      <c r="AK377" t="str">
        <f>IF($S377="","",IFERROR(INDEX(อัตราค่าขนส่ง!$R$5:$R$54,MATCH($S377,อัตราค่าขนส่ง!$Q$5:$Q$54,0)),INDEX(รายการมาตรฐาน!$G$2:$G$3,1)))</f>
        <v/>
      </c>
      <c r="AL377" t="str">
        <f>IF($S377="","",IFERROR(MATCH($AK377,รายการมาตรฐาน!$G$2:$G$3,0),1))</f>
        <v/>
      </c>
      <c r="AM377" t="str">
        <f t="shared" si="159"/>
        <v/>
      </c>
      <c r="AN377" t="str">
        <f t="shared" si="160"/>
        <v/>
      </c>
      <c r="AO377">
        <f t="shared" si="161"/>
        <v>0</v>
      </c>
      <c r="AP377">
        <f t="shared" si="167"/>
        <v>0</v>
      </c>
      <c r="AQ377" t="str">
        <f t="shared" si="162"/>
        <v/>
      </c>
      <c r="AR377">
        <f>IF($Y377="",0,COUNTIF(บันทึกรายเที่ยว!$V$6:$V$10005,$Y377))</f>
        <v>0</v>
      </c>
      <c r="AS377">
        <f>IF($Y377="",0,ROUND(SUMIF(บันทึกรายเที่ยว!$V$6:$V$10005,$Y377,บันทึกรายเที่ยว!$M$6:$M$10005),2))</f>
        <v>0</v>
      </c>
      <c r="AT377">
        <f>IF($Y377="",0,IFERROR(INDEX(อัตราค่าขนส่ง!$J$5:$J$204,MATCH($Y377,อัตราค่าขนส่ง!$O$5:$O$204,0)),0))</f>
        <v>0</v>
      </c>
      <c r="AU377">
        <f t="shared" si="163"/>
        <v>0</v>
      </c>
      <c r="AV377">
        <f t="shared" si="164"/>
        <v>0</v>
      </c>
      <c r="AW377" t="str">
        <f>IF($Y377="","",IFERROR(INDEX(อัตราค่าขนส่ง!$F$5:$F$204,MATCH($Y377,อัตราค่าขนส่ง!$O$5:$O$204,0)),""))</f>
        <v/>
      </c>
      <c r="AX377" t="str">
        <f>IF($W377="","",INDEX(บันทึกรายเที่ยว!$D$6:$D$10005,$W377))</f>
        <v/>
      </c>
      <c r="AY377" t="str">
        <f>IF($W377="","",INDEX(บันทึกรายเที่ยว!$R$6:$R$10005,$W377))</f>
        <v/>
      </c>
      <c r="AZ377">
        <f t="shared" si="165"/>
        <v>0</v>
      </c>
      <c r="BA377" t="str">
        <f>IF($W377="","",INDEX(บันทึกรายเที่ยว!$E$6:$E$10005,$W377))</f>
        <v/>
      </c>
      <c r="BC377">
        <f>IF($Y377="",0,IFERROR(INDEX(อัตราค่าขนส่ง!$M$5:$M$204,MATCH($Y377,อัตราค่าขนส่ง!$O$5:$O$204,0)),0))</f>
        <v>0</v>
      </c>
      <c r="BD377">
        <f>IF($Y377="",0,IFERROR(INDEX(อัตราค่าขนส่ง!$N$5:$N$204,MATCH($Y377,อัตราค่าขนส่ง!$O$5:$O$204,0)),0))</f>
        <v>0</v>
      </c>
    </row>
    <row r="378" spans="1:56" ht="21" customHeight="1" x14ac:dyDescent="0.95">
      <c r="A378" s="36" t="str">
        <f>IF($AD378="","",IF($AD378="Z","รวมจ่ายทั้งสิ้น",IF($AD378="H",INDEX($X$5:$X$404,$AC378),IF($AD378="T","รวม",IF($AD378="B",IFERROR(INDEX(อัตราค่าขนส่ง!$U$5:$U$14,MATCH(INDEX($AM$5:$AM$404,$AC378),อัตราค่าขนส่ง!$T$5:$T$14,0)),"รวมกลุ่ม "&amp;INDEX($AM$5:$AM$404,$AC378)),INDEX($AY$5:$AY$404,$AC378))))))</f>
        <v/>
      </c>
      <c r="B378" s="31" t="str">
        <f t="shared" si="140"/>
        <v/>
      </c>
      <c r="C378" s="8" t="str">
        <f t="shared" si="141"/>
        <v/>
      </c>
      <c r="D378" s="37" t="str">
        <f t="shared" si="142"/>
        <v/>
      </c>
      <c r="E378" s="31" t="str">
        <f t="shared" si="143"/>
        <v/>
      </c>
      <c r="F378" s="32" t="str">
        <f t="shared" si="144"/>
        <v/>
      </c>
      <c r="G378" s="32" t="str">
        <f t="shared" si="145"/>
        <v/>
      </c>
      <c r="H378" s="32" t="str">
        <f t="shared" si="146"/>
        <v/>
      </c>
      <c r="I378" s="32" t="str">
        <f t="shared" si="147"/>
        <v/>
      </c>
      <c r="J378" s="46" t="str">
        <f t="shared" si="148"/>
        <v/>
      </c>
      <c r="K378" s="32" t="str">
        <f t="shared" si="149"/>
        <v/>
      </c>
      <c r="L378" s="32" t="str">
        <f t="shared" si="150"/>
        <v/>
      </c>
      <c r="M378" s="32" t="str">
        <f t="shared" si="151"/>
        <v/>
      </c>
      <c r="N378" s="32" t="str">
        <f t="shared" si="152"/>
        <v/>
      </c>
      <c r="O378" s="32" t="str">
        <f t="shared" si="153"/>
        <v/>
      </c>
      <c r="Q378" t="str">
        <f>IFERROR(MATCH(374,บันทึกรายเที่ยว!$Z$6:$Z$10005,0),"")</f>
        <v/>
      </c>
      <c r="R378" t="str">
        <f>IF($Q378="","",INDEX(บันทึกรายเที่ยว!$V$6:$V$10005,$Q378))</f>
        <v/>
      </c>
      <c r="S378" t="str">
        <f>IF($Q378="","",INDEX(บันทึกรายเที่ยว!$F$6:$F$10005,$Q378))</f>
        <v/>
      </c>
      <c r="T378" t="str">
        <f>IF($Q378="","",MATCH($S378,บันทึกรายเที่ยว!$F$6:$F$10005,0))</f>
        <v/>
      </c>
      <c r="U378" t="str">
        <f>IF($Q378="","",$AL378*10000000+$T378*1000+374)</f>
        <v/>
      </c>
      <c r="V378" t="str">
        <f>IFERROR(MATCH(SMALL($U$5:$U$404,374),$U$5:$U$404,0),"")</f>
        <v/>
      </c>
      <c r="W378" t="str">
        <f t="shared" si="154"/>
        <v/>
      </c>
      <c r="X378" t="str">
        <f t="shared" si="155"/>
        <v/>
      </c>
      <c r="Y378" t="str">
        <f t="shared" si="156"/>
        <v/>
      </c>
      <c r="Z378">
        <f t="shared" si="166"/>
        <v>0</v>
      </c>
      <c r="AA378">
        <f t="shared" si="157"/>
        <v>0</v>
      </c>
      <c r="AB378">
        <f>IF($V378="",99999+374,$AB377+1+$Z377+$AA377+$AO377)</f>
        <v>100373</v>
      </c>
      <c r="AC378" t="str">
        <f>IFERROR(MATCH(374,$AB$5:$AB$404,1),"")</f>
        <v/>
      </c>
      <c r="AD378" t="str">
        <f>IF(374=$AI$1+1,"Z",IF($AC378="","",IF(INDEX($V$5:$V$404,$AC378)="","",IF(374&gt;INDEX($AB$5:$AB$404,$AC378)+INDEX($Z$5:$Z$404,$AC378)+INDEX($AA$5:$AA$404,$AC378)+INDEX($AO$5:$AO$404,$AC378),"",IF(374=INDEX($AB$5:$AB$404,$AC378)+INDEX($Z$5:$Z$404,$AC378),"D",IF(AND(INDEX($Z$5:$Z$404,$AC378)=1,374=INDEX($AB$5:$AB$404,$AC378)),"H",IF(AND(INDEX($AO$5:$AO$404,$AC378)=1,374=INDEX($AB$5:$AB$404,$AC378)+INDEX($Z$5:$Z$404,$AC378)+INDEX($AA$5:$AA$404,$AC378)+INDEX($AO$5:$AO$404,$AC378)),"B","T")))))))</f>
        <v/>
      </c>
      <c r="AF378" t="str">
        <f t="shared" si="158"/>
        <v/>
      </c>
      <c r="AJ378">
        <f>IF($AD378&lt;&gt;"T",0,ROUND(SUMIF(oil!$B$4:$B$63,$AF378,oil!$AE$4:$AE$63),2))</f>
        <v>0</v>
      </c>
      <c r="AK378" t="str">
        <f>IF($S378="","",IFERROR(INDEX(อัตราค่าขนส่ง!$R$5:$R$54,MATCH($S378,อัตราค่าขนส่ง!$Q$5:$Q$54,0)),INDEX(รายการมาตรฐาน!$G$2:$G$3,1)))</f>
        <v/>
      </c>
      <c r="AL378" t="str">
        <f>IF($S378="","",IFERROR(MATCH($AK378,รายการมาตรฐาน!$G$2:$G$3,0),1))</f>
        <v/>
      </c>
      <c r="AM378" t="str">
        <f t="shared" si="159"/>
        <v/>
      </c>
      <c r="AN378" t="str">
        <f t="shared" si="160"/>
        <v/>
      </c>
      <c r="AO378">
        <f t="shared" si="161"/>
        <v>0</v>
      </c>
      <c r="AP378">
        <f t="shared" si="167"/>
        <v>0</v>
      </c>
      <c r="AQ378" t="str">
        <f t="shared" si="162"/>
        <v/>
      </c>
      <c r="AR378">
        <f>IF($Y378="",0,COUNTIF(บันทึกรายเที่ยว!$V$6:$V$10005,$Y378))</f>
        <v>0</v>
      </c>
      <c r="AS378">
        <f>IF($Y378="",0,ROUND(SUMIF(บันทึกรายเที่ยว!$V$6:$V$10005,$Y378,บันทึกรายเที่ยว!$M$6:$M$10005),2))</f>
        <v>0</v>
      </c>
      <c r="AT378">
        <f>IF($Y378="",0,IFERROR(INDEX(อัตราค่าขนส่ง!$J$5:$J$204,MATCH($Y378,อัตราค่าขนส่ง!$O$5:$O$204,0)),0))</f>
        <v>0</v>
      </c>
      <c r="AU378">
        <f t="shared" si="163"/>
        <v>0</v>
      </c>
      <c r="AV378">
        <f t="shared" si="164"/>
        <v>0</v>
      </c>
      <c r="AW378" t="str">
        <f>IF($Y378="","",IFERROR(INDEX(อัตราค่าขนส่ง!$F$5:$F$204,MATCH($Y378,อัตราค่าขนส่ง!$O$5:$O$204,0)),""))</f>
        <v/>
      </c>
      <c r="AX378" t="str">
        <f>IF($W378="","",INDEX(บันทึกรายเที่ยว!$D$6:$D$10005,$W378))</f>
        <v/>
      </c>
      <c r="AY378" t="str">
        <f>IF($W378="","",INDEX(บันทึกรายเที่ยว!$R$6:$R$10005,$W378))</f>
        <v/>
      </c>
      <c r="AZ378">
        <f t="shared" si="165"/>
        <v>0</v>
      </c>
      <c r="BA378" t="str">
        <f>IF($W378="","",INDEX(บันทึกรายเที่ยว!$E$6:$E$10005,$W378))</f>
        <v/>
      </c>
      <c r="BC378">
        <f>IF($Y378="",0,IFERROR(INDEX(อัตราค่าขนส่ง!$M$5:$M$204,MATCH($Y378,อัตราค่าขนส่ง!$O$5:$O$204,0)),0))</f>
        <v>0</v>
      </c>
      <c r="BD378">
        <f>IF($Y378="",0,IFERROR(INDEX(อัตราค่าขนส่ง!$N$5:$N$204,MATCH($Y378,อัตราค่าขนส่ง!$O$5:$O$204,0)),0))</f>
        <v>0</v>
      </c>
    </row>
    <row r="379" spans="1:56" ht="21" customHeight="1" x14ac:dyDescent="0.95">
      <c r="A379" s="36" t="str">
        <f>IF($AD379="","",IF($AD379="Z","รวมจ่ายทั้งสิ้น",IF($AD379="H",INDEX($X$5:$X$404,$AC379),IF($AD379="T","รวม",IF($AD379="B",IFERROR(INDEX(อัตราค่าขนส่ง!$U$5:$U$14,MATCH(INDEX($AM$5:$AM$404,$AC379),อัตราค่าขนส่ง!$T$5:$T$14,0)),"รวมกลุ่ม "&amp;INDEX($AM$5:$AM$404,$AC379)),INDEX($AY$5:$AY$404,$AC379))))))</f>
        <v/>
      </c>
      <c r="B379" s="31" t="str">
        <f t="shared" si="140"/>
        <v/>
      </c>
      <c r="C379" s="8" t="str">
        <f t="shared" si="141"/>
        <v/>
      </c>
      <c r="D379" s="37" t="str">
        <f t="shared" si="142"/>
        <v/>
      </c>
      <c r="E379" s="31" t="str">
        <f t="shared" si="143"/>
        <v/>
      </c>
      <c r="F379" s="32" t="str">
        <f t="shared" si="144"/>
        <v/>
      </c>
      <c r="G379" s="32" t="str">
        <f t="shared" si="145"/>
        <v/>
      </c>
      <c r="H379" s="32" t="str">
        <f t="shared" si="146"/>
        <v/>
      </c>
      <c r="I379" s="32" t="str">
        <f t="shared" si="147"/>
        <v/>
      </c>
      <c r="J379" s="46" t="str">
        <f t="shared" si="148"/>
        <v/>
      </c>
      <c r="K379" s="32" t="str">
        <f t="shared" si="149"/>
        <v/>
      </c>
      <c r="L379" s="32" t="str">
        <f t="shared" si="150"/>
        <v/>
      </c>
      <c r="M379" s="32" t="str">
        <f t="shared" si="151"/>
        <v/>
      </c>
      <c r="N379" s="32" t="str">
        <f t="shared" si="152"/>
        <v/>
      </c>
      <c r="O379" s="32" t="str">
        <f t="shared" si="153"/>
        <v/>
      </c>
      <c r="Q379" t="str">
        <f>IFERROR(MATCH(375,บันทึกรายเที่ยว!$Z$6:$Z$10005,0),"")</f>
        <v/>
      </c>
      <c r="R379" t="str">
        <f>IF($Q379="","",INDEX(บันทึกรายเที่ยว!$V$6:$V$10005,$Q379))</f>
        <v/>
      </c>
      <c r="S379" t="str">
        <f>IF($Q379="","",INDEX(บันทึกรายเที่ยว!$F$6:$F$10005,$Q379))</f>
        <v/>
      </c>
      <c r="T379" t="str">
        <f>IF($Q379="","",MATCH($S379,บันทึกรายเที่ยว!$F$6:$F$10005,0))</f>
        <v/>
      </c>
      <c r="U379" t="str">
        <f>IF($Q379="","",$AL379*10000000+$T379*1000+375)</f>
        <v/>
      </c>
      <c r="V379" t="str">
        <f>IFERROR(MATCH(SMALL($U$5:$U$404,375),$U$5:$U$404,0),"")</f>
        <v/>
      </c>
      <c r="W379" t="str">
        <f t="shared" si="154"/>
        <v/>
      </c>
      <c r="X379" t="str">
        <f t="shared" si="155"/>
        <v/>
      </c>
      <c r="Y379" t="str">
        <f t="shared" si="156"/>
        <v/>
      </c>
      <c r="Z379">
        <f t="shared" si="166"/>
        <v>0</v>
      </c>
      <c r="AA379">
        <f t="shared" si="157"/>
        <v>0</v>
      </c>
      <c r="AB379">
        <f>IF($V379="",99999+375,$AB378+1+$Z378+$AA378+$AO378)</f>
        <v>100374</v>
      </c>
      <c r="AC379" t="str">
        <f>IFERROR(MATCH(375,$AB$5:$AB$404,1),"")</f>
        <v/>
      </c>
      <c r="AD379" t="str">
        <f>IF(375=$AI$1+1,"Z",IF($AC379="","",IF(INDEX($V$5:$V$404,$AC379)="","",IF(375&gt;INDEX($AB$5:$AB$404,$AC379)+INDEX($Z$5:$Z$404,$AC379)+INDEX($AA$5:$AA$404,$AC379)+INDEX($AO$5:$AO$404,$AC379),"",IF(375=INDEX($AB$5:$AB$404,$AC379)+INDEX($Z$5:$Z$404,$AC379),"D",IF(AND(INDEX($Z$5:$Z$404,$AC379)=1,375=INDEX($AB$5:$AB$404,$AC379)),"H",IF(AND(INDEX($AO$5:$AO$404,$AC379)=1,375=INDEX($AB$5:$AB$404,$AC379)+INDEX($Z$5:$Z$404,$AC379)+INDEX($AA$5:$AA$404,$AC379)+INDEX($AO$5:$AO$404,$AC379)),"B","T")))))))</f>
        <v/>
      </c>
      <c r="AF379" t="str">
        <f t="shared" si="158"/>
        <v/>
      </c>
      <c r="AJ379">
        <f>IF($AD379&lt;&gt;"T",0,ROUND(SUMIF(oil!$B$4:$B$63,$AF379,oil!$AE$4:$AE$63),2))</f>
        <v>0</v>
      </c>
      <c r="AK379" t="str">
        <f>IF($S379="","",IFERROR(INDEX(อัตราค่าขนส่ง!$R$5:$R$54,MATCH($S379,อัตราค่าขนส่ง!$Q$5:$Q$54,0)),INDEX(รายการมาตรฐาน!$G$2:$G$3,1)))</f>
        <v/>
      </c>
      <c r="AL379" t="str">
        <f>IF($S379="","",IFERROR(MATCH($AK379,รายการมาตรฐาน!$G$2:$G$3,0),1))</f>
        <v/>
      </c>
      <c r="AM379" t="str">
        <f t="shared" si="159"/>
        <v/>
      </c>
      <c r="AN379" t="str">
        <f t="shared" si="160"/>
        <v/>
      </c>
      <c r="AO379">
        <f t="shared" si="161"/>
        <v>0</v>
      </c>
      <c r="AP379">
        <f t="shared" si="167"/>
        <v>0</v>
      </c>
      <c r="AQ379" t="str">
        <f t="shared" si="162"/>
        <v/>
      </c>
      <c r="AR379">
        <f>IF($Y379="",0,COUNTIF(บันทึกรายเที่ยว!$V$6:$V$10005,$Y379))</f>
        <v>0</v>
      </c>
      <c r="AS379">
        <f>IF($Y379="",0,ROUND(SUMIF(บันทึกรายเที่ยว!$V$6:$V$10005,$Y379,บันทึกรายเที่ยว!$M$6:$M$10005),2))</f>
        <v>0</v>
      </c>
      <c r="AT379">
        <f>IF($Y379="",0,IFERROR(INDEX(อัตราค่าขนส่ง!$J$5:$J$204,MATCH($Y379,อัตราค่าขนส่ง!$O$5:$O$204,0)),0))</f>
        <v>0</v>
      </c>
      <c r="AU379">
        <f t="shared" si="163"/>
        <v>0</v>
      </c>
      <c r="AV379">
        <f t="shared" si="164"/>
        <v>0</v>
      </c>
      <c r="AW379" t="str">
        <f>IF($Y379="","",IFERROR(INDEX(อัตราค่าขนส่ง!$F$5:$F$204,MATCH($Y379,อัตราค่าขนส่ง!$O$5:$O$204,0)),""))</f>
        <v/>
      </c>
      <c r="AX379" t="str">
        <f>IF($W379="","",INDEX(บันทึกรายเที่ยว!$D$6:$D$10005,$W379))</f>
        <v/>
      </c>
      <c r="AY379" t="str">
        <f>IF($W379="","",INDEX(บันทึกรายเที่ยว!$R$6:$R$10005,$W379))</f>
        <v/>
      </c>
      <c r="AZ379">
        <f t="shared" si="165"/>
        <v>0</v>
      </c>
      <c r="BA379" t="str">
        <f>IF($W379="","",INDEX(บันทึกรายเที่ยว!$E$6:$E$10005,$W379))</f>
        <v/>
      </c>
      <c r="BC379">
        <f>IF($Y379="",0,IFERROR(INDEX(อัตราค่าขนส่ง!$M$5:$M$204,MATCH($Y379,อัตราค่าขนส่ง!$O$5:$O$204,0)),0))</f>
        <v>0</v>
      </c>
      <c r="BD379">
        <f>IF($Y379="",0,IFERROR(INDEX(อัตราค่าขนส่ง!$N$5:$N$204,MATCH($Y379,อัตราค่าขนส่ง!$O$5:$O$204,0)),0))</f>
        <v>0</v>
      </c>
    </row>
    <row r="380" spans="1:56" ht="21" customHeight="1" x14ac:dyDescent="0.95">
      <c r="A380" s="36" t="str">
        <f>IF($AD380="","",IF($AD380="Z","รวมจ่ายทั้งสิ้น",IF($AD380="H",INDEX($X$5:$X$404,$AC380),IF($AD380="T","รวม",IF($AD380="B",IFERROR(INDEX(อัตราค่าขนส่ง!$U$5:$U$14,MATCH(INDEX($AM$5:$AM$404,$AC380),อัตราค่าขนส่ง!$T$5:$T$14,0)),"รวมกลุ่ม "&amp;INDEX($AM$5:$AM$404,$AC380)),INDEX($AY$5:$AY$404,$AC380))))))</f>
        <v/>
      </c>
      <c r="B380" s="31" t="str">
        <f t="shared" si="140"/>
        <v/>
      </c>
      <c r="C380" s="8" t="str">
        <f t="shared" si="141"/>
        <v/>
      </c>
      <c r="D380" s="37" t="str">
        <f t="shared" si="142"/>
        <v/>
      </c>
      <c r="E380" s="31" t="str">
        <f t="shared" si="143"/>
        <v/>
      </c>
      <c r="F380" s="32" t="str">
        <f t="shared" si="144"/>
        <v/>
      </c>
      <c r="G380" s="32" t="str">
        <f t="shared" si="145"/>
        <v/>
      </c>
      <c r="H380" s="32" t="str">
        <f t="shared" si="146"/>
        <v/>
      </c>
      <c r="I380" s="32" t="str">
        <f t="shared" si="147"/>
        <v/>
      </c>
      <c r="J380" s="46" t="str">
        <f t="shared" si="148"/>
        <v/>
      </c>
      <c r="K380" s="32" t="str">
        <f t="shared" si="149"/>
        <v/>
      </c>
      <c r="L380" s="32" t="str">
        <f t="shared" si="150"/>
        <v/>
      </c>
      <c r="M380" s="32" t="str">
        <f t="shared" si="151"/>
        <v/>
      </c>
      <c r="N380" s="32" t="str">
        <f t="shared" si="152"/>
        <v/>
      </c>
      <c r="O380" s="32" t="str">
        <f t="shared" si="153"/>
        <v/>
      </c>
      <c r="Q380" t="str">
        <f>IFERROR(MATCH(376,บันทึกรายเที่ยว!$Z$6:$Z$10005,0),"")</f>
        <v/>
      </c>
      <c r="R380" t="str">
        <f>IF($Q380="","",INDEX(บันทึกรายเที่ยว!$V$6:$V$10005,$Q380))</f>
        <v/>
      </c>
      <c r="S380" t="str">
        <f>IF($Q380="","",INDEX(บันทึกรายเที่ยว!$F$6:$F$10005,$Q380))</f>
        <v/>
      </c>
      <c r="T380" t="str">
        <f>IF($Q380="","",MATCH($S380,บันทึกรายเที่ยว!$F$6:$F$10005,0))</f>
        <v/>
      </c>
      <c r="U380" t="str">
        <f>IF($Q380="","",$AL380*10000000+$T380*1000+376)</f>
        <v/>
      </c>
      <c r="V380" t="str">
        <f>IFERROR(MATCH(SMALL($U$5:$U$404,376),$U$5:$U$404,0),"")</f>
        <v/>
      </c>
      <c r="W380" t="str">
        <f t="shared" si="154"/>
        <v/>
      </c>
      <c r="X380" t="str">
        <f t="shared" si="155"/>
        <v/>
      </c>
      <c r="Y380" t="str">
        <f t="shared" si="156"/>
        <v/>
      </c>
      <c r="Z380">
        <f t="shared" si="166"/>
        <v>0</v>
      </c>
      <c r="AA380">
        <f t="shared" si="157"/>
        <v>0</v>
      </c>
      <c r="AB380">
        <f>IF($V380="",99999+376,$AB379+1+$Z379+$AA379+$AO379)</f>
        <v>100375</v>
      </c>
      <c r="AC380" t="str">
        <f>IFERROR(MATCH(376,$AB$5:$AB$404,1),"")</f>
        <v/>
      </c>
      <c r="AD380" t="str">
        <f>IF(376=$AI$1+1,"Z",IF($AC380="","",IF(INDEX($V$5:$V$404,$AC380)="","",IF(376&gt;INDEX($AB$5:$AB$404,$AC380)+INDEX($Z$5:$Z$404,$AC380)+INDEX($AA$5:$AA$404,$AC380)+INDEX($AO$5:$AO$404,$AC380),"",IF(376=INDEX($AB$5:$AB$404,$AC380)+INDEX($Z$5:$Z$404,$AC380),"D",IF(AND(INDEX($Z$5:$Z$404,$AC380)=1,376=INDEX($AB$5:$AB$404,$AC380)),"H",IF(AND(INDEX($AO$5:$AO$404,$AC380)=1,376=INDEX($AB$5:$AB$404,$AC380)+INDEX($Z$5:$Z$404,$AC380)+INDEX($AA$5:$AA$404,$AC380)+INDEX($AO$5:$AO$404,$AC380)),"B","T")))))))</f>
        <v/>
      </c>
      <c r="AF380" t="str">
        <f t="shared" si="158"/>
        <v/>
      </c>
      <c r="AJ380">
        <f>IF($AD380&lt;&gt;"T",0,ROUND(SUMIF(oil!$B$4:$B$63,$AF380,oil!$AE$4:$AE$63),2))</f>
        <v>0</v>
      </c>
      <c r="AK380" t="str">
        <f>IF($S380="","",IFERROR(INDEX(อัตราค่าขนส่ง!$R$5:$R$54,MATCH($S380,อัตราค่าขนส่ง!$Q$5:$Q$54,0)),INDEX(รายการมาตรฐาน!$G$2:$G$3,1)))</f>
        <v/>
      </c>
      <c r="AL380" t="str">
        <f>IF($S380="","",IFERROR(MATCH($AK380,รายการมาตรฐาน!$G$2:$G$3,0),1))</f>
        <v/>
      </c>
      <c r="AM380" t="str">
        <f t="shared" si="159"/>
        <v/>
      </c>
      <c r="AN380" t="str">
        <f t="shared" si="160"/>
        <v/>
      </c>
      <c r="AO380">
        <f t="shared" si="161"/>
        <v>0</v>
      </c>
      <c r="AP380">
        <f t="shared" si="167"/>
        <v>0</v>
      </c>
      <c r="AQ380" t="str">
        <f t="shared" si="162"/>
        <v/>
      </c>
      <c r="AR380">
        <f>IF($Y380="",0,COUNTIF(บันทึกรายเที่ยว!$V$6:$V$10005,$Y380))</f>
        <v>0</v>
      </c>
      <c r="AS380">
        <f>IF($Y380="",0,ROUND(SUMIF(บันทึกรายเที่ยว!$V$6:$V$10005,$Y380,บันทึกรายเที่ยว!$M$6:$M$10005),2))</f>
        <v>0</v>
      </c>
      <c r="AT380">
        <f>IF($Y380="",0,IFERROR(INDEX(อัตราค่าขนส่ง!$J$5:$J$204,MATCH($Y380,อัตราค่าขนส่ง!$O$5:$O$204,0)),0))</f>
        <v>0</v>
      </c>
      <c r="AU380">
        <f t="shared" si="163"/>
        <v>0</v>
      </c>
      <c r="AV380">
        <f t="shared" si="164"/>
        <v>0</v>
      </c>
      <c r="AW380" t="str">
        <f>IF($Y380="","",IFERROR(INDEX(อัตราค่าขนส่ง!$F$5:$F$204,MATCH($Y380,อัตราค่าขนส่ง!$O$5:$O$204,0)),""))</f>
        <v/>
      </c>
      <c r="AX380" t="str">
        <f>IF($W380="","",INDEX(บันทึกรายเที่ยว!$D$6:$D$10005,$W380))</f>
        <v/>
      </c>
      <c r="AY380" t="str">
        <f>IF($W380="","",INDEX(บันทึกรายเที่ยว!$R$6:$R$10005,$W380))</f>
        <v/>
      </c>
      <c r="AZ380">
        <f t="shared" si="165"/>
        <v>0</v>
      </c>
      <c r="BA380" t="str">
        <f>IF($W380="","",INDEX(บันทึกรายเที่ยว!$E$6:$E$10005,$W380))</f>
        <v/>
      </c>
      <c r="BC380">
        <f>IF($Y380="",0,IFERROR(INDEX(อัตราค่าขนส่ง!$M$5:$M$204,MATCH($Y380,อัตราค่าขนส่ง!$O$5:$O$204,0)),0))</f>
        <v>0</v>
      </c>
      <c r="BD380">
        <f>IF($Y380="",0,IFERROR(INDEX(อัตราค่าขนส่ง!$N$5:$N$204,MATCH($Y380,อัตราค่าขนส่ง!$O$5:$O$204,0)),0))</f>
        <v>0</v>
      </c>
    </row>
    <row r="381" spans="1:56" ht="21" customHeight="1" x14ac:dyDescent="0.95">
      <c r="A381" s="36" t="str">
        <f>IF($AD381="","",IF($AD381="Z","รวมจ่ายทั้งสิ้น",IF($AD381="H",INDEX($X$5:$X$404,$AC381),IF($AD381="T","รวม",IF($AD381="B",IFERROR(INDEX(อัตราค่าขนส่ง!$U$5:$U$14,MATCH(INDEX($AM$5:$AM$404,$AC381),อัตราค่าขนส่ง!$T$5:$T$14,0)),"รวมกลุ่ม "&amp;INDEX($AM$5:$AM$404,$AC381)),INDEX($AY$5:$AY$404,$AC381))))))</f>
        <v/>
      </c>
      <c r="B381" s="31" t="str">
        <f t="shared" si="140"/>
        <v/>
      </c>
      <c r="C381" s="8" t="str">
        <f t="shared" si="141"/>
        <v/>
      </c>
      <c r="D381" s="37" t="str">
        <f t="shared" si="142"/>
        <v/>
      </c>
      <c r="E381" s="31" t="str">
        <f t="shared" si="143"/>
        <v/>
      </c>
      <c r="F381" s="32" t="str">
        <f t="shared" si="144"/>
        <v/>
      </c>
      <c r="G381" s="32" t="str">
        <f t="shared" si="145"/>
        <v/>
      </c>
      <c r="H381" s="32" t="str">
        <f t="shared" si="146"/>
        <v/>
      </c>
      <c r="I381" s="32" t="str">
        <f t="shared" si="147"/>
        <v/>
      </c>
      <c r="J381" s="46" t="str">
        <f t="shared" si="148"/>
        <v/>
      </c>
      <c r="K381" s="32" t="str">
        <f t="shared" si="149"/>
        <v/>
      </c>
      <c r="L381" s="32" t="str">
        <f t="shared" si="150"/>
        <v/>
      </c>
      <c r="M381" s="32" t="str">
        <f t="shared" si="151"/>
        <v/>
      </c>
      <c r="N381" s="32" t="str">
        <f t="shared" si="152"/>
        <v/>
      </c>
      <c r="O381" s="32" t="str">
        <f t="shared" si="153"/>
        <v/>
      </c>
      <c r="Q381" t="str">
        <f>IFERROR(MATCH(377,บันทึกรายเที่ยว!$Z$6:$Z$10005,0),"")</f>
        <v/>
      </c>
      <c r="R381" t="str">
        <f>IF($Q381="","",INDEX(บันทึกรายเที่ยว!$V$6:$V$10005,$Q381))</f>
        <v/>
      </c>
      <c r="S381" t="str">
        <f>IF($Q381="","",INDEX(บันทึกรายเที่ยว!$F$6:$F$10005,$Q381))</f>
        <v/>
      </c>
      <c r="T381" t="str">
        <f>IF($Q381="","",MATCH($S381,บันทึกรายเที่ยว!$F$6:$F$10005,0))</f>
        <v/>
      </c>
      <c r="U381" t="str">
        <f>IF($Q381="","",$AL381*10000000+$T381*1000+377)</f>
        <v/>
      </c>
      <c r="V381" t="str">
        <f>IFERROR(MATCH(SMALL($U$5:$U$404,377),$U$5:$U$404,0),"")</f>
        <v/>
      </c>
      <c r="W381" t="str">
        <f t="shared" si="154"/>
        <v/>
      </c>
      <c r="X381" t="str">
        <f t="shared" si="155"/>
        <v/>
      </c>
      <c r="Y381" t="str">
        <f t="shared" si="156"/>
        <v/>
      </c>
      <c r="Z381">
        <f t="shared" si="166"/>
        <v>0</v>
      </c>
      <c r="AA381">
        <f t="shared" si="157"/>
        <v>0</v>
      </c>
      <c r="AB381">
        <f>IF($V381="",99999+377,$AB380+1+$Z380+$AA380+$AO380)</f>
        <v>100376</v>
      </c>
      <c r="AC381" t="str">
        <f>IFERROR(MATCH(377,$AB$5:$AB$404,1),"")</f>
        <v/>
      </c>
      <c r="AD381" t="str">
        <f>IF(377=$AI$1+1,"Z",IF($AC381="","",IF(INDEX($V$5:$V$404,$AC381)="","",IF(377&gt;INDEX($AB$5:$AB$404,$AC381)+INDEX($Z$5:$Z$404,$AC381)+INDEX($AA$5:$AA$404,$AC381)+INDEX($AO$5:$AO$404,$AC381),"",IF(377=INDEX($AB$5:$AB$404,$AC381)+INDEX($Z$5:$Z$404,$AC381),"D",IF(AND(INDEX($Z$5:$Z$404,$AC381)=1,377=INDEX($AB$5:$AB$404,$AC381)),"H",IF(AND(INDEX($AO$5:$AO$404,$AC381)=1,377=INDEX($AB$5:$AB$404,$AC381)+INDEX($Z$5:$Z$404,$AC381)+INDEX($AA$5:$AA$404,$AC381)+INDEX($AO$5:$AO$404,$AC381)),"B","T")))))))</f>
        <v/>
      </c>
      <c r="AF381" t="str">
        <f t="shared" si="158"/>
        <v/>
      </c>
      <c r="AJ381">
        <f>IF($AD381&lt;&gt;"T",0,ROUND(SUMIF(oil!$B$4:$B$63,$AF381,oil!$AE$4:$AE$63),2))</f>
        <v>0</v>
      </c>
      <c r="AK381" t="str">
        <f>IF($S381="","",IFERROR(INDEX(อัตราค่าขนส่ง!$R$5:$R$54,MATCH($S381,อัตราค่าขนส่ง!$Q$5:$Q$54,0)),INDEX(รายการมาตรฐาน!$G$2:$G$3,1)))</f>
        <v/>
      </c>
      <c r="AL381" t="str">
        <f>IF($S381="","",IFERROR(MATCH($AK381,รายการมาตรฐาน!$G$2:$G$3,0),1))</f>
        <v/>
      </c>
      <c r="AM381" t="str">
        <f t="shared" si="159"/>
        <v/>
      </c>
      <c r="AN381" t="str">
        <f t="shared" si="160"/>
        <v/>
      </c>
      <c r="AO381">
        <f t="shared" si="161"/>
        <v>0</v>
      </c>
      <c r="AP381">
        <f t="shared" si="167"/>
        <v>0</v>
      </c>
      <c r="AQ381" t="str">
        <f t="shared" si="162"/>
        <v/>
      </c>
      <c r="AR381">
        <f>IF($Y381="",0,COUNTIF(บันทึกรายเที่ยว!$V$6:$V$10005,$Y381))</f>
        <v>0</v>
      </c>
      <c r="AS381">
        <f>IF($Y381="",0,ROUND(SUMIF(บันทึกรายเที่ยว!$V$6:$V$10005,$Y381,บันทึกรายเที่ยว!$M$6:$M$10005),2))</f>
        <v>0</v>
      </c>
      <c r="AT381">
        <f>IF($Y381="",0,IFERROR(INDEX(อัตราค่าขนส่ง!$J$5:$J$204,MATCH($Y381,อัตราค่าขนส่ง!$O$5:$O$204,0)),0))</f>
        <v>0</v>
      </c>
      <c r="AU381">
        <f t="shared" si="163"/>
        <v>0</v>
      </c>
      <c r="AV381">
        <f t="shared" si="164"/>
        <v>0</v>
      </c>
      <c r="AW381" t="str">
        <f>IF($Y381="","",IFERROR(INDEX(อัตราค่าขนส่ง!$F$5:$F$204,MATCH($Y381,อัตราค่าขนส่ง!$O$5:$O$204,0)),""))</f>
        <v/>
      </c>
      <c r="AX381" t="str">
        <f>IF($W381="","",INDEX(บันทึกรายเที่ยว!$D$6:$D$10005,$W381))</f>
        <v/>
      </c>
      <c r="AY381" t="str">
        <f>IF($W381="","",INDEX(บันทึกรายเที่ยว!$R$6:$R$10005,$W381))</f>
        <v/>
      </c>
      <c r="AZ381">
        <f t="shared" si="165"/>
        <v>0</v>
      </c>
      <c r="BA381" t="str">
        <f>IF($W381="","",INDEX(บันทึกรายเที่ยว!$E$6:$E$10005,$W381))</f>
        <v/>
      </c>
      <c r="BC381">
        <f>IF($Y381="",0,IFERROR(INDEX(อัตราค่าขนส่ง!$M$5:$M$204,MATCH($Y381,อัตราค่าขนส่ง!$O$5:$O$204,0)),0))</f>
        <v>0</v>
      </c>
      <c r="BD381">
        <f>IF($Y381="",0,IFERROR(INDEX(อัตราค่าขนส่ง!$N$5:$N$204,MATCH($Y381,อัตราค่าขนส่ง!$O$5:$O$204,0)),0))</f>
        <v>0</v>
      </c>
    </row>
    <row r="382" spans="1:56" ht="21" customHeight="1" x14ac:dyDescent="0.95">
      <c r="A382" s="36" t="str">
        <f>IF($AD382="","",IF($AD382="Z","รวมจ่ายทั้งสิ้น",IF($AD382="H",INDEX($X$5:$X$404,$AC382),IF($AD382="T","รวม",IF($AD382="B",IFERROR(INDEX(อัตราค่าขนส่ง!$U$5:$U$14,MATCH(INDEX($AM$5:$AM$404,$AC382),อัตราค่าขนส่ง!$T$5:$T$14,0)),"รวมกลุ่ม "&amp;INDEX($AM$5:$AM$404,$AC382)),INDEX($AY$5:$AY$404,$AC382))))))</f>
        <v/>
      </c>
      <c r="B382" s="31" t="str">
        <f t="shared" si="140"/>
        <v/>
      </c>
      <c r="C382" s="8" t="str">
        <f t="shared" si="141"/>
        <v/>
      </c>
      <c r="D382" s="37" t="str">
        <f t="shared" si="142"/>
        <v/>
      </c>
      <c r="E382" s="31" t="str">
        <f t="shared" si="143"/>
        <v/>
      </c>
      <c r="F382" s="32" t="str">
        <f t="shared" si="144"/>
        <v/>
      </c>
      <c r="G382" s="32" t="str">
        <f t="shared" si="145"/>
        <v/>
      </c>
      <c r="H382" s="32" t="str">
        <f t="shared" si="146"/>
        <v/>
      </c>
      <c r="I382" s="32" t="str">
        <f t="shared" si="147"/>
        <v/>
      </c>
      <c r="J382" s="46" t="str">
        <f t="shared" si="148"/>
        <v/>
      </c>
      <c r="K382" s="32" t="str">
        <f t="shared" si="149"/>
        <v/>
      </c>
      <c r="L382" s="32" t="str">
        <f t="shared" si="150"/>
        <v/>
      </c>
      <c r="M382" s="32" t="str">
        <f t="shared" si="151"/>
        <v/>
      </c>
      <c r="N382" s="32" t="str">
        <f t="shared" si="152"/>
        <v/>
      </c>
      <c r="O382" s="32" t="str">
        <f t="shared" si="153"/>
        <v/>
      </c>
      <c r="Q382" t="str">
        <f>IFERROR(MATCH(378,บันทึกรายเที่ยว!$Z$6:$Z$10005,0),"")</f>
        <v/>
      </c>
      <c r="R382" t="str">
        <f>IF($Q382="","",INDEX(บันทึกรายเที่ยว!$V$6:$V$10005,$Q382))</f>
        <v/>
      </c>
      <c r="S382" t="str">
        <f>IF($Q382="","",INDEX(บันทึกรายเที่ยว!$F$6:$F$10005,$Q382))</f>
        <v/>
      </c>
      <c r="T382" t="str">
        <f>IF($Q382="","",MATCH($S382,บันทึกรายเที่ยว!$F$6:$F$10005,0))</f>
        <v/>
      </c>
      <c r="U382" t="str">
        <f>IF($Q382="","",$AL382*10000000+$T382*1000+378)</f>
        <v/>
      </c>
      <c r="V382" t="str">
        <f>IFERROR(MATCH(SMALL($U$5:$U$404,378),$U$5:$U$404,0),"")</f>
        <v/>
      </c>
      <c r="W382" t="str">
        <f t="shared" si="154"/>
        <v/>
      </c>
      <c r="X382" t="str">
        <f t="shared" si="155"/>
        <v/>
      </c>
      <c r="Y382" t="str">
        <f t="shared" si="156"/>
        <v/>
      </c>
      <c r="Z382">
        <f t="shared" si="166"/>
        <v>0</v>
      </c>
      <c r="AA382">
        <f t="shared" si="157"/>
        <v>0</v>
      </c>
      <c r="AB382">
        <f>IF($V382="",99999+378,$AB381+1+$Z381+$AA381+$AO381)</f>
        <v>100377</v>
      </c>
      <c r="AC382" t="str">
        <f>IFERROR(MATCH(378,$AB$5:$AB$404,1),"")</f>
        <v/>
      </c>
      <c r="AD382" t="str">
        <f>IF(378=$AI$1+1,"Z",IF($AC382="","",IF(INDEX($V$5:$V$404,$AC382)="","",IF(378&gt;INDEX($AB$5:$AB$404,$AC382)+INDEX($Z$5:$Z$404,$AC382)+INDEX($AA$5:$AA$404,$AC382)+INDEX($AO$5:$AO$404,$AC382),"",IF(378=INDEX($AB$5:$AB$404,$AC382)+INDEX($Z$5:$Z$404,$AC382),"D",IF(AND(INDEX($Z$5:$Z$404,$AC382)=1,378=INDEX($AB$5:$AB$404,$AC382)),"H",IF(AND(INDEX($AO$5:$AO$404,$AC382)=1,378=INDEX($AB$5:$AB$404,$AC382)+INDEX($Z$5:$Z$404,$AC382)+INDEX($AA$5:$AA$404,$AC382)+INDEX($AO$5:$AO$404,$AC382)),"B","T")))))))</f>
        <v/>
      </c>
      <c r="AF382" t="str">
        <f t="shared" si="158"/>
        <v/>
      </c>
      <c r="AJ382">
        <f>IF($AD382&lt;&gt;"T",0,ROUND(SUMIF(oil!$B$4:$B$63,$AF382,oil!$AE$4:$AE$63),2))</f>
        <v>0</v>
      </c>
      <c r="AK382" t="str">
        <f>IF($S382="","",IFERROR(INDEX(อัตราค่าขนส่ง!$R$5:$R$54,MATCH($S382,อัตราค่าขนส่ง!$Q$5:$Q$54,0)),INDEX(รายการมาตรฐาน!$G$2:$G$3,1)))</f>
        <v/>
      </c>
      <c r="AL382" t="str">
        <f>IF($S382="","",IFERROR(MATCH($AK382,รายการมาตรฐาน!$G$2:$G$3,0),1))</f>
        <v/>
      </c>
      <c r="AM382" t="str">
        <f t="shared" si="159"/>
        <v/>
      </c>
      <c r="AN382" t="str">
        <f t="shared" si="160"/>
        <v/>
      </c>
      <c r="AO382">
        <f t="shared" si="161"/>
        <v>0</v>
      </c>
      <c r="AP382">
        <f t="shared" si="167"/>
        <v>0</v>
      </c>
      <c r="AQ382" t="str">
        <f t="shared" si="162"/>
        <v/>
      </c>
      <c r="AR382">
        <f>IF($Y382="",0,COUNTIF(บันทึกรายเที่ยว!$V$6:$V$10005,$Y382))</f>
        <v>0</v>
      </c>
      <c r="AS382">
        <f>IF($Y382="",0,ROUND(SUMIF(บันทึกรายเที่ยว!$V$6:$V$10005,$Y382,บันทึกรายเที่ยว!$M$6:$M$10005),2))</f>
        <v>0</v>
      </c>
      <c r="AT382">
        <f>IF($Y382="",0,IFERROR(INDEX(อัตราค่าขนส่ง!$J$5:$J$204,MATCH($Y382,อัตราค่าขนส่ง!$O$5:$O$204,0)),0))</f>
        <v>0</v>
      </c>
      <c r="AU382">
        <f t="shared" si="163"/>
        <v>0</v>
      </c>
      <c r="AV382">
        <f t="shared" si="164"/>
        <v>0</v>
      </c>
      <c r="AW382" t="str">
        <f>IF($Y382="","",IFERROR(INDEX(อัตราค่าขนส่ง!$F$5:$F$204,MATCH($Y382,อัตราค่าขนส่ง!$O$5:$O$204,0)),""))</f>
        <v/>
      </c>
      <c r="AX382" t="str">
        <f>IF($W382="","",INDEX(บันทึกรายเที่ยว!$D$6:$D$10005,$W382))</f>
        <v/>
      </c>
      <c r="AY382" t="str">
        <f>IF($W382="","",INDEX(บันทึกรายเที่ยว!$R$6:$R$10005,$W382))</f>
        <v/>
      </c>
      <c r="AZ382">
        <f t="shared" si="165"/>
        <v>0</v>
      </c>
      <c r="BA382" t="str">
        <f>IF($W382="","",INDEX(บันทึกรายเที่ยว!$E$6:$E$10005,$W382))</f>
        <v/>
      </c>
      <c r="BC382">
        <f>IF($Y382="",0,IFERROR(INDEX(อัตราค่าขนส่ง!$M$5:$M$204,MATCH($Y382,อัตราค่าขนส่ง!$O$5:$O$204,0)),0))</f>
        <v>0</v>
      </c>
      <c r="BD382">
        <f>IF($Y382="",0,IFERROR(INDEX(อัตราค่าขนส่ง!$N$5:$N$204,MATCH($Y382,อัตราค่าขนส่ง!$O$5:$O$204,0)),0))</f>
        <v>0</v>
      </c>
    </row>
    <row r="383" spans="1:56" ht="21" customHeight="1" x14ac:dyDescent="0.95">
      <c r="A383" s="36" t="str">
        <f>IF($AD383="","",IF($AD383="Z","รวมจ่ายทั้งสิ้น",IF($AD383="H",INDEX($X$5:$X$404,$AC383),IF($AD383="T","รวม",IF($AD383="B",IFERROR(INDEX(อัตราค่าขนส่ง!$U$5:$U$14,MATCH(INDEX($AM$5:$AM$404,$AC383),อัตราค่าขนส่ง!$T$5:$T$14,0)),"รวมกลุ่ม "&amp;INDEX($AM$5:$AM$404,$AC383)),INDEX($AY$5:$AY$404,$AC383))))))</f>
        <v/>
      </c>
      <c r="B383" s="31" t="str">
        <f t="shared" si="140"/>
        <v/>
      </c>
      <c r="C383" s="8" t="str">
        <f t="shared" si="141"/>
        <v/>
      </c>
      <c r="D383" s="37" t="str">
        <f t="shared" si="142"/>
        <v/>
      </c>
      <c r="E383" s="31" t="str">
        <f t="shared" si="143"/>
        <v/>
      </c>
      <c r="F383" s="32" t="str">
        <f t="shared" si="144"/>
        <v/>
      </c>
      <c r="G383" s="32" t="str">
        <f t="shared" si="145"/>
        <v/>
      </c>
      <c r="H383" s="32" t="str">
        <f t="shared" si="146"/>
        <v/>
      </c>
      <c r="I383" s="32" t="str">
        <f t="shared" si="147"/>
        <v/>
      </c>
      <c r="J383" s="46" t="str">
        <f t="shared" si="148"/>
        <v/>
      </c>
      <c r="K383" s="32" t="str">
        <f t="shared" si="149"/>
        <v/>
      </c>
      <c r="L383" s="32" t="str">
        <f t="shared" si="150"/>
        <v/>
      </c>
      <c r="M383" s="32" t="str">
        <f t="shared" si="151"/>
        <v/>
      </c>
      <c r="N383" s="32" t="str">
        <f t="shared" si="152"/>
        <v/>
      </c>
      <c r="O383" s="32" t="str">
        <f t="shared" si="153"/>
        <v/>
      </c>
      <c r="Q383" t="str">
        <f>IFERROR(MATCH(379,บันทึกรายเที่ยว!$Z$6:$Z$10005,0),"")</f>
        <v/>
      </c>
      <c r="R383" t="str">
        <f>IF($Q383="","",INDEX(บันทึกรายเที่ยว!$V$6:$V$10005,$Q383))</f>
        <v/>
      </c>
      <c r="S383" t="str">
        <f>IF($Q383="","",INDEX(บันทึกรายเที่ยว!$F$6:$F$10005,$Q383))</f>
        <v/>
      </c>
      <c r="T383" t="str">
        <f>IF($Q383="","",MATCH($S383,บันทึกรายเที่ยว!$F$6:$F$10005,0))</f>
        <v/>
      </c>
      <c r="U383" t="str">
        <f>IF($Q383="","",$AL383*10000000+$T383*1000+379)</f>
        <v/>
      </c>
      <c r="V383" t="str">
        <f>IFERROR(MATCH(SMALL($U$5:$U$404,379),$U$5:$U$404,0),"")</f>
        <v/>
      </c>
      <c r="W383" t="str">
        <f t="shared" si="154"/>
        <v/>
      </c>
      <c r="X383" t="str">
        <f t="shared" si="155"/>
        <v/>
      </c>
      <c r="Y383" t="str">
        <f t="shared" si="156"/>
        <v/>
      </c>
      <c r="Z383">
        <f t="shared" si="166"/>
        <v>0</v>
      </c>
      <c r="AA383">
        <f t="shared" si="157"/>
        <v>0</v>
      </c>
      <c r="AB383">
        <f>IF($V383="",99999+379,$AB382+1+$Z382+$AA382+$AO382)</f>
        <v>100378</v>
      </c>
      <c r="AC383" t="str">
        <f>IFERROR(MATCH(379,$AB$5:$AB$404,1),"")</f>
        <v/>
      </c>
      <c r="AD383" t="str">
        <f>IF(379=$AI$1+1,"Z",IF($AC383="","",IF(INDEX($V$5:$V$404,$AC383)="","",IF(379&gt;INDEX($AB$5:$AB$404,$AC383)+INDEX($Z$5:$Z$404,$AC383)+INDEX($AA$5:$AA$404,$AC383)+INDEX($AO$5:$AO$404,$AC383),"",IF(379=INDEX($AB$5:$AB$404,$AC383)+INDEX($Z$5:$Z$404,$AC383),"D",IF(AND(INDEX($Z$5:$Z$404,$AC383)=1,379=INDEX($AB$5:$AB$404,$AC383)),"H",IF(AND(INDEX($AO$5:$AO$404,$AC383)=1,379=INDEX($AB$5:$AB$404,$AC383)+INDEX($Z$5:$Z$404,$AC383)+INDEX($AA$5:$AA$404,$AC383)+INDEX($AO$5:$AO$404,$AC383)),"B","T")))))))</f>
        <v/>
      </c>
      <c r="AF383" t="str">
        <f t="shared" si="158"/>
        <v/>
      </c>
      <c r="AJ383">
        <f>IF($AD383&lt;&gt;"T",0,ROUND(SUMIF(oil!$B$4:$B$63,$AF383,oil!$AE$4:$AE$63),2))</f>
        <v>0</v>
      </c>
      <c r="AK383" t="str">
        <f>IF($S383="","",IFERROR(INDEX(อัตราค่าขนส่ง!$R$5:$R$54,MATCH($S383,อัตราค่าขนส่ง!$Q$5:$Q$54,0)),INDEX(รายการมาตรฐาน!$G$2:$G$3,1)))</f>
        <v/>
      </c>
      <c r="AL383" t="str">
        <f>IF($S383="","",IFERROR(MATCH($AK383,รายการมาตรฐาน!$G$2:$G$3,0),1))</f>
        <v/>
      </c>
      <c r="AM383" t="str">
        <f t="shared" si="159"/>
        <v/>
      </c>
      <c r="AN383" t="str">
        <f t="shared" si="160"/>
        <v/>
      </c>
      <c r="AO383">
        <f t="shared" si="161"/>
        <v>0</v>
      </c>
      <c r="AP383">
        <f t="shared" si="167"/>
        <v>0</v>
      </c>
      <c r="AQ383" t="str">
        <f t="shared" si="162"/>
        <v/>
      </c>
      <c r="AR383">
        <f>IF($Y383="",0,COUNTIF(บันทึกรายเที่ยว!$V$6:$V$10005,$Y383))</f>
        <v>0</v>
      </c>
      <c r="AS383">
        <f>IF($Y383="",0,ROUND(SUMIF(บันทึกรายเที่ยว!$V$6:$V$10005,$Y383,บันทึกรายเที่ยว!$M$6:$M$10005),2))</f>
        <v>0</v>
      </c>
      <c r="AT383">
        <f>IF($Y383="",0,IFERROR(INDEX(อัตราค่าขนส่ง!$J$5:$J$204,MATCH($Y383,อัตราค่าขนส่ง!$O$5:$O$204,0)),0))</f>
        <v>0</v>
      </c>
      <c r="AU383">
        <f t="shared" si="163"/>
        <v>0</v>
      </c>
      <c r="AV383">
        <f t="shared" si="164"/>
        <v>0</v>
      </c>
      <c r="AW383" t="str">
        <f>IF($Y383="","",IFERROR(INDEX(อัตราค่าขนส่ง!$F$5:$F$204,MATCH($Y383,อัตราค่าขนส่ง!$O$5:$O$204,0)),""))</f>
        <v/>
      </c>
      <c r="AX383" t="str">
        <f>IF($W383="","",INDEX(บันทึกรายเที่ยว!$D$6:$D$10005,$W383))</f>
        <v/>
      </c>
      <c r="AY383" t="str">
        <f>IF($W383="","",INDEX(บันทึกรายเที่ยว!$R$6:$R$10005,$W383))</f>
        <v/>
      </c>
      <c r="AZ383">
        <f t="shared" si="165"/>
        <v>0</v>
      </c>
      <c r="BA383" t="str">
        <f>IF($W383="","",INDEX(บันทึกรายเที่ยว!$E$6:$E$10005,$W383))</f>
        <v/>
      </c>
      <c r="BC383">
        <f>IF($Y383="",0,IFERROR(INDEX(อัตราค่าขนส่ง!$M$5:$M$204,MATCH($Y383,อัตราค่าขนส่ง!$O$5:$O$204,0)),0))</f>
        <v>0</v>
      </c>
      <c r="BD383">
        <f>IF($Y383="",0,IFERROR(INDEX(อัตราค่าขนส่ง!$N$5:$N$204,MATCH($Y383,อัตราค่าขนส่ง!$O$5:$O$204,0)),0))</f>
        <v>0</v>
      </c>
    </row>
    <row r="384" spans="1:56" ht="21" customHeight="1" x14ac:dyDescent="0.95">
      <c r="A384" s="36" t="str">
        <f>IF($AD384="","",IF($AD384="Z","รวมจ่ายทั้งสิ้น",IF($AD384="H",INDEX($X$5:$X$404,$AC384),IF($AD384="T","รวม",IF($AD384="B",IFERROR(INDEX(อัตราค่าขนส่ง!$U$5:$U$14,MATCH(INDEX($AM$5:$AM$404,$AC384),อัตราค่าขนส่ง!$T$5:$T$14,0)),"รวมกลุ่ม "&amp;INDEX($AM$5:$AM$404,$AC384)),INDEX($AY$5:$AY$404,$AC384))))))</f>
        <v/>
      </c>
      <c r="B384" s="31" t="str">
        <f t="shared" si="140"/>
        <v/>
      </c>
      <c r="C384" s="8" t="str">
        <f t="shared" si="141"/>
        <v/>
      </c>
      <c r="D384" s="37" t="str">
        <f t="shared" si="142"/>
        <v/>
      </c>
      <c r="E384" s="31" t="str">
        <f t="shared" si="143"/>
        <v/>
      </c>
      <c r="F384" s="32" t="str">
        <f t="shared" si="144"/>
        <v/>
      </c>
      <c r="G384" s="32" t="str">
        <f t="shared" si="145"/>
        <v/>
      </c>
      <c r="H384" s="32" t="str">
        <f t="shared" si="146"/>
        <v/>
      </c>
      <c r="I384" s="32" t="str">
        <f t="shared" si="147"/>
        <v/>
      </c>
      <c r="J384" s="46" t="str">
        <f t="shared" si="148"/>
        <v/>
      </c>
      <c r="K384" s="32" t="str">
        <f t="shared" si="149"/>
        <v/>
      </c>
      <c r="L384" s="32" t="str">
        <f t="shared" si="150"/>
        <v/>
      </c>
      <c r="M384" s="32" t="str">
        <f t="shared" si="151"/>
        <v/>
      </c>
      <c r="N384" s="32" t="str">
        <f t="shared" si="152"/>
        <v/>
      </c>
      <c r="O384" s="32" t="str">
        <f t="shared" si="153"/>
        <v/>
      </c>
      <c r="Q384" t="str">
        <f>IFERROR(MATCH(380,บันทึกรายเที่ยว!$Z$6:$Z$10005,0),"")</f>
        <v/>
      </c>
      <c r="R384" t="str">
        <f>IF($Q384="","",INDEX(บันทึกรายเที่ยว!$V$6:$V$10005,$Q384))</f>
        <v/>
      </c>
      <c r="S384" t="str">
        <f>IF($Q384="","",INDEX(บันทึกรายเที่ยว!$F$6:$F$10005,$Q384))</f>
        <v/>
      </c>
      <c r="T384" t="str">
        <f>IF($Q384="","",MATCH($S384,บันทึกรายเที่ยว!$F$6:$F$10005,0))</f>
        <v/>
      </c>
      <c r="U384" t="str">
        <f>IF($Q384="","",$AL384*10000000+$T384*1000+380)</f>
        <v/>
      </c>
      <c r="V384" t="str">
        <f>IFERROR(MATCH(SMALL($U$5:$U$404,380),$U$5:$U$404,0),"")</f>
        <v/>
      </c>
      <c r="W384" t="str">
        <f t="shared" si="154"/>
        <v/>
      </c>
      <c r="X384" t="str">
        <f t="shared" si="155"/>
        <v/>
      </c>
      <c r="Y384" t="str">
        <f t="shared" si="156"/>
        <v/>
      </c>
      <c r="Z384">
        <f t="shared" si="166"/>
        <v>0</v>
      </c>
      <c r="AA384">
        <f t="shared" si="157"/>
        <v>0</v>
      </c>
      <c r="AB384">
        <f>IF($V384="",99999+380,$AB383+1+$Z383+$AA383+$AO383)</f>
        <v>100379</v>
      </c>
      <c r="AC384" t="str">
        <f>IFERROR(MATCH(380,$AB$5:$AB$404,1),"")</f>
        <v/>
      </c>
      <c r="AD384" t="str">
        <f>IF(380=$AI$1+1,"Z",IF($AC384="","",IF(INDEX($V$5:$V$404,$AC384)="","",IF(380&gt;INDEX($AB$5:$AB$404,$AC384)+INDEX($Z$5:$Z$404,$AC384)+INDEX($AA$5:$AA$404,$AC384)+INDEX($AO$5:$AO$404,$AC384),"",IF(380=INDEX($AB$5:$AB$404,$AC384)+INDEX($Z$5:$Z$404,$AC384),"D",IF(AND(INDEX($Z$5:$Z$404,$AC384)=1,380=INDEX($AB$5:$AB$404,$AC384)),"H",IF(AND(INDEX($AO$5:$AO$404,$AC384)=1,380=INDEX($AB$5:$AB$404,$AC384)+INDEX($Z$5:$Z$404,$AC384)+INDEX($AA$5:$AA$404,$AC384)+INDEX($AO$5:$AO$404,$AC384)),"B","T")))))))</f>
        <v/>
      </c>
      <c r="AF384" t="str">
        <f t="shared" si="158"/>
        <v/>
      </c>
      <c r="AJ384">
        <f>IF($AD384&lt;&gt;"T",0,ROUND(SUMIF(oil!$B$4:$B$63,$AF384,oil!$AE$4:$AE$63),2))</f>
        <v>0</v>
      </c>
      <c r="AK384" t="str">
        <f>IF($S384="","",IFERROR(INDEX(อัตราค่าขนส่ง!$R$5:$R$54,MATCH($S384,อัตราค่าขนส่ง!$Q$5:$Q$54,0)),INDEX(รายการมาตรฐาน!$G$2:$G$3,1)))</f>
        <v/>
      </c>
      <c r="AL384" t="str">
        <f>IF($S384="","",IFERROR(MATCH($AK384,รายการมาตรฐาน!$G$2:$G$3,0),1))</f>
        <v/>
      </c>
      <c r="AM384" t="str">
        <f t="shared" si="159"/>
        <v/>
      </c>
      <c r="AN384" t="str">
        <f t="shared" si="160"/>
        <v/>
      </c>
      <c r="AO384">
        <f t="shared" si="161"/>
        <v>0</v>
      </c>
      <c r="AP384">
        <f t="shared" si="167"/>
        <v>0</v>
      </c>
      <c r="AQ384" t="str">
        <f t="shared" si="162"/>
        <v/>
      </c>
      <c r="AR384">
        <f>IF($Y384="",0,COUNTIF(บันทึกรายเที่ยว!$V$6:$V$10005,$Y384))</f>
        <v>0</v>
      </c>
      <c r="AS384">
        <f>IF($Y384="",0,ROUND(SUMIF(บันทึกรายเที่ยว!$V$6:$V$10005,$Y384,บันทึกรายเที่ยว!$M$6:$M$10005),2))</f>
        <v>0</v>
      </c>
      <c r="AT384">
        <f>IF($Y384="",0,IFERROR(INDEX(อัตราค่าขนส่ง!$J$5:$J$204,MATCH($Y384,อัตราค่าขนส่ง!$O$5:$O$204,0)),0))</f>
        <v>0</v>
      </c>
      <c r="AU384">
        <f t="shared" si="163"/>
        <v>0</v>
      </c>
      <c r="AV384">
        <f t="shared" si="164"/>
        <v>0</v>
      </c>
      <c r="AW384" t="str">
        <f>IF($Y384="","",IFERROR(INDEX(อัตราค่าขนส่ง!$F$5:$F$204,MATCH($Y384,อัตราค่าขนส่ง!$O$5:$O$204,0)),""))</f>
        <v/>
      </c>
      <c r="AX384" t="str">
        <f>IF($W384="","",INDEX(บันทึกรายเที่ยว!$D$6:$D$10005,$W384))</f>
        <v/>
      </c>
      <c r="AY384" t="str">
        <f>IF($W384="","",INDEX(บันทึกรายเที่ยว!$R$6:$R$10005,$W384))</f>
        <v/>
      </c>
      <c r="AZ384">
        <f t="shared" si="165"/>
        <v>0</v>
      </c>
      <c r="BA384" t="str">
        <f>IF($W384="","",INDEX(บันทึกรายเที่ยว!$E$6:$E$10005,$W384))</f>
        <v/>
      </c>
      <c r="BC384">
        <f>IF($Y384="",0,IFERROR(INDEX(อัตราค่าขนส่ง!$M$5:$M$204,MATCH($Y384,อัตราค่าขนส่ง!$O$5:$O$204,0)),0))</f>
        <v>0</v>
      </c>
      <c r="BD384">
        <f>IF($Y384="",0,IFERROR(INDEX(อัตราค่าขนส่ง!$N$5:$N$204,MATCH($Y384,อัตราค่าขนส่ง!$O$5:$O$204,0)),0))</f>
        <v>0</v>
      </c>
    </row>
    <row r="385" spans="1:56" ht="21" customHeight="1" x14ac:dyDescent="0.95">
      <c r="A385" s="36" t="str">
        <f>IF($AD385="","",IF($AD385="Z","รวมจ่ายทั้งสิ้น",IF($AD385="H",INDEX($X$5:$X$404,$AC385),IF($AD385="T","รวม",IF($AD385="B",IFERROR(INDEX(อัตราค่าขนส่ง!$U$5:$U$14,MATCH(INDEX($AM$5:$AM$404,$AC385),อัตราค่าขนส่ง!$T$5:$T$14,0)),"รวมกลุ่ม "&amp;INDEX($AM$5:$AM$404,$AC385)),INDEX($AY$5:$AY$404,$AC385))))))</f>
        <v/>
      </c>
      <c r="B385" s="31" t="str">
        <f t="shared" si="140"/>
        <v/>
      </c>
      <c r="C385" s="8" t="str">
        <f t="shared" si="141"/>
        <v/>
      </c>
      <c r="D385" s="37" t="str">
        <f t="shared" si="142"/>
        <v/>
      </c>
      <c r="E385" s="31" t="str">
        <f t="shared" si="143"/>
        <v/>
      </c>
      <c r="F385" s="32" t="str">
        <f t="shared" si="144"/>
        <v/>
      </c>
      <c r="G385" s="32" t="str">
        <f t="shared" si="145"/>
        <v/>
      </c>
      <c r="H385" s="32" t="str">
        <f t="shared" si="146"/>
        <v/>
      </c>
      <c r="I385" s="32" t="str">
        <f t="shared" si="147"/>
        <v/>
      </c>
      <c r="J385" s="46" t="str">
        <f t="shared" si="148"/>
        <v/>
      </c>
      <c r="K385" s="32" t="str">
        <f t="shared" si="149"/>
        <v/>
      </c>
      <c r="L385" s="32" t="str">
        <f t="shared" si="150"/>
        <v/>
      </c>
      <c r="M385" s="32" t="str">
        <f t="shared" si="151"/>
        <v/>
      </c>
      <c r="N385" s="32" t="str">
        <f t="shared" si="152"/>
        <v/>
      </c>
      <c r="O385" s="32" t="str">
        <f t="shared" si="153"/>
        <v/>
      </c>
      <c r="Q385" t="str">
        <f>IFERROR(MATCH(381,บันทึกรายเที่ยว!$Z$6:$Z$10005,0),"")</f>
        <v/>
      </c>
      <c r="R385" t="str">
        <f>IF($Q385="","",INDEX(บันทึกรายเที่ยว!$V$6:$V$10005,$Q385))</f>
        <v/>
      </c>
      <c r="S385" t="str">
        <f>IF($Q385="","",INDEX(บันทึกรายเที่ยว!$F$6:$F$10005,$Q385))</f>
        <v/>
      </c>
      <c r="T385" t="str">
        <f>IF($Q385="","",MATCH($S385,บันทึกรายเที่ยว!$F$6:$F$10005,0))</f>
        <v/>
      </c>
      <c r="U385" t="str">
        <f>IF($Q385="","",$AL385*10000000+$T385*1000+381)</f>
        <v/>
      </c>
      <c r="V385" t="str">
        <f>IFERROR(MATCH(SMALL($U$5:$U$404,381),$U$5:$U$404,0),"")</f>
        <v/>
      </c>
      <c r="W385" t="str">
        <f t="shared" si="154"/>
        <v/>
      </c>
      <c r="X385" t="str">
        <f t="shared" si="155"/>
        <v/>
      </c>
      <c r="Y385" t="str">
        <f t="shared" si="156"/>
        <v/>
      </c>
      <c r="Z385">
        <f t="shared" si="166"/>
        <v>0</v>
      </c>
      <c r="AA385">
        <f t="shared" si="157"/>
        <v>0</v>
      </c>
      <c r="AB385">
        <f>IF($V385="",99999+381,$AB384+1+$Z384+$AA384+$AO384)</f>
        <v>100380</v>
      </c>
      <c r="AC385" t="str">
        <f>IFERROR(MATCH(381,$AB$5:$AB$404,1),"")</f>
        <v/>
      </c>
      <c r="AD385" t="str">
        <f>IF(381=$AI$1+1,"Z",IF($AC385="","",IF(INDEX($V$5:$V$404,$AC385)="","",IF(381&gt;INDEX($AB$5:$AB$404,$AC385)+INDEX($Z$5:$Z$404,$AC385)+INDEX($AA$5:$AA$404,$AC385)+INDEX($AO$5:$AO$404,$AC385),"",IF(381=INDEX($AB$5:$AB$404,$AC385)+INDEX($Z$5:$Z$404,$AC385),"D",IF(AND(INDEX($Z$5:$Z$404,$AC385)=1,381=INDEX($AB$5:$AB$404,$AC385)),"H",IF(AND(INDEX($AO$5:$AO$404,$AC385)=1,381=INDEX($AB$5:$AB$404,$AC385)+INDEX($Z$5:$Z$404,$AC385)+INDEX($AA$5:$AA$404,$AC385)+INDEX($AO$5:$AO$404,$AC385)),"B","T")))))))</f>
        <v/>
      </c>
      <c r="AF385" t="str">
        <f t="shared" si="158"/>
        <v/>
      </c>
      <c r="AJ385">
        <f>IF($AD385&lt;&gt;"T",0,ROUND(SUMIF(oil!$B$4:$B$63,$AF385,oil!$AE$4:$AE$63),2))</f>
        <v>0</v>
      </c>
      <c r="AK385" t="str">
        <f>IF($S385="","",IFERROR(INDEX(อัตราค่าขนส่ง!$R$5:$R$54,MATCH($S385,อัตราค่าขนส่ง!$Q$5:$Q$54,0)),INDEX(รายการมาตรฐาน!$G$2:$G$3,1)))</f>
        <v/>
      </c>
      <c r="AL385" t="str">
        <f>IF($S385="","",IFERROR(MATCH($AK385,รายการมาตรฐาน!$G$2:$G$3,0),1))</f>
        <v/>
      </c>
      <c r="AM385" t="str">
        <f t="shared" si="159"/>
        <v/>
      </c>
      <c r="AN385" t="str">
        <f t="shared" si="160"/>
        <v/>
      </c>
      <c r="AO385">
        <f t="shared" si="161"/>
        <v>0</v>
      </c>
      <c r="AP385">
        <f t="shared" si="167"/>
        <v>0</v>
      </c>
      <c r="AQ385" t="str">
        <f t="shared" si="162"/>
        <v/>
      </c>
      <c r="AR385">
        <f>IF($Y385="",0,COUNTIF(บันทึกรายเที่ยว!$V$6:$V$10005,$Y385))</f>
        <v>0</v>
      </c>
      <c r="AS385">
        <f>IF($Y385="",0,ROUND(SUMIF(บันทึกรายเที่ยว!$V$6:$V$10005,$Y385,บันทึกรายเที่ยว!$M$6:$M$10005),2))</f>
        <v>0</v>
      </c>
      <c r="AT385">
        <f>IF($Y385="",0,IFERROR(INDEX(อัตราค่าขนส่ง!$J$5:$J$204,MATCH($Y385,อัตราค่าขนส่ง!$O$5:$O$204,0)),0))</f>
        <v>0</v>
      </c>
      <c r="AU385">
        <f t="shared" si="163"/>
        <v>0</v>
      </c>
      <c r="AV385">
        <f t="shared" si="164"/>
        <v>0</v>
      </c>
      <c r="AW385" t="str">
        <f>IF($Y385="","",IFERROR(INDEX(อัตราค่าขนส่ง!$F$5:$F$204,MATCH($Y385,อัตราค่าขนส่ง!$O$5:$O$204,0)),""))</f>
        <v/>
      </c>
      <c r="AX385" t="str">
        <f>IF($W385="","",INDEX(บันทึกรายเที่ยว!$D$6:$D$10005,$W385))</f>
        <v/>
      </c>
      <c r="AY385" t="str">
        <f>IF($W385="","",INDEX(บันทึกรายเที่ยว!$R$6:$R$10005,$W385))</f>
        <v/>
      </c>
      <c r="AZ385">
        <f t="shared" si="165"/>
        <v>0</v>
      </c>
      <c r="BA385" t="str">
        <f>IF($W385="","",INDEX(บันทึกรายเที่ยว!$E$6:$E$10005,$W385))</f>
        <v/>
      </c>
      <c r="BC385">
        <f>IF($Y385="",0,IFERROR(INDEX(อัตราค่าขนส่ง!$M$5:$M$204,MATCH($Y385,อัตราค่าขนส่ง!$O$5:$O$204,0)),0))</f>
        <v>0</v>
      </c>
      <c r="BD385">
        <f>IF($Y385="",0,IFERROR(INDEX(อัตราค่าขนส่ง!$N$5:$N$204,MATCH($Y385,อัตราค่าขนส่ง!$O$5:$O$204,0)),0))</f>
        <v>0</v>
      </c>
    </row>
    <row r="386" spans="1:56" ht="21" customHeight="1" x14ac:dyDescent="0.95">
      <c r="A386" s="36" t="str">
        <f>IF($AD386="","",IF($AD386="Z","รวมจ่ายทั้งสิ้น",IF($AD386="H",INDEX($X$5:$X$404,$AC386),IF($AD386="T","รวม",IF($AD386="B",IFERROR(INDEX(อัตราค่าขนส่ง!$U$5:$U$14,MATCH(INDEX($AM$5:$AM$404,$AC386),อัตราค่าขนส่ง!$T$5:$T$14,0)),"รวมกลุ่ม "&amp;INDEX($AM$5:$AM$404,$AC386)),INDEX($AY$5:$AY$404,$AC386))))))</f>
        <v/>
      </c>
      <c r="B386" s="31" t="str">
        <f t="shared" si="140"/>
        <v/>
      </c>
      <c r="C386" s="8" t="str">
        <f t="shared" si="141"/>
        <v/>
      </c>
      <c r="D386" s="37" t="str">
        <f t="shared" si="142"/>
        <v/>
      </c>
      <c r="E386" s="31" t="str">
        <f t="shared" si="143"/>
        <v/>
      </c>
      <c r="F386" s="32" t="str">
        <f t="shared" si="144"/>
        <v/>
      </c>
      <c r="G386" s="32" t="str">
        <f t="shared" si="145"/>
        <v/>
      </c>
      <c r="H386" s="32" t="str">
        <f t="shared" si="146"/>
        <v/>
      </c>
      <c r="I386" s="32" t="str">
        <f t="shared" si="147"/>
        <v/>
      </c>
      <c r="J386" s="46" t="str">
        <f t="shared" si="148"/>
        <v/>
      </c>
      <c r="K386" s="32" t="str">
        <f t="shared" si="149"/>
        <v/>
      </c>
      <c r="L386" s="32" t="str">
        <f t="shared" si="150"/>
        <v/>
      </c>
      <c r="M386" s="32" t="str">
        <f t="shared" si="151"/>
        <v/>
      </c>
      <c r="N386" s="32" t="str">
        <f t="shared" si="152"/>
        <v/>
      </c>
      <c r="O386" s="32" t="str">
        <f t="shared" si="153"/>
        <v/>
      </c>
      <c r="Q386" t="str">
        <f>IFERROR(MATCH(382,บันทึกรายเที่ยว!$Z$6:$Z$10005,0),"")</f>
        <v/>
      </c>
      <c r="R386" t="str">
        <f>IF($Q386="","",INDEX(บันทึกรายเที่ยว!$V$6:$V$10005,$Q386))</f>
        <v/>
      </c>
      <c r="S386" t="str">
        <f>IF($Q386="","",INDEX(บันทึกรายเที่ยว!$F$6:$F$10005,$Q386))</f>
        <v/>
      </c>
      <c r="T386" t="str">
        <f>IF($Q386="","",MATCH($S386,บันทึกรายเที่ยว!$F$6:$F$10005,0))</f>
        <v/>
      </c>
      <c r="U386" t="str">
        <f>IF($Q386="","",$AL386*10000000+$T386*1000+382)</f>
        <v/>
      </c>
      <c r="V386" t="str">
        <f>IFERROR(MATCH(SMALL($U$5:$U$404,382),$U$5:$U$404,0),"")</f>
        <v/>
      </c>
      <c r="W386" t="str">
        <f t="shared" si="154"/>
        <v/>
      </c>
      <c r="X386" t="str">
        <f t="shared" si="155"/>
        <v/>
      </c>
      <c r="Y386" t="str">
        <f t="shared" si="156"/>
        <v/>
      </c>
      <c r="Z386">
        <f t="shared" si="166"/>
        <v>0</v>
      </c>
      <c r="AA386">
        <f t="shared" si="157"/>
        <v>0</v>
      </c>
      <c r="AB386">
        <f>IF($V386="",99999+382,$AB385+1+$Z385+$AA385+$AO385)</f>
        <v>100381</v>
      </c>
      <c r="AC386" t="str">
        <f>IFERROR(MATCH(382,$AB$5:$AB$404,1),"")</f>
        <v/>
      </c>
      <c r="AD386" t="str">
        <f>IF(382=$AI$1+1,"Z",IF($AC386="","",IF(INDEX($V$5:$V$404,$AC386)="","",IF(382&gt;INDEX($AB$5:$AB$404,$AC386)+INDEX($Z$5:$Z$404,$AC386)+INDEX($AA$5:$AA$404,$AC386)+INDEX($AO$5:$AO$404,$AC386),"",IF(382=INDEX($AB$5:$AB$404,$AC386)+INDEX($Z$5:$Z$404,$AC386),"D",IF(AND(INDEX($Z$5:$Z$404,$AC386)=1,382=INDEX($AB$5:$AB$404,$AC386)),"H",IF(AND(INDEX($AO$5:$AO$404,$AC386)=1,382=INDEX($AB$5:$AB$404,$AC386)+INDEX($Z$5:$Z$404,$AC386)+INDEX($AA$5:$AA$404,$AC386)+INDEX($AO$5:$AO$404,$AC386)),"B","T")))))))</f>
        <v/>
      </c>
      <c r="AF386" t="str">
        <f t="shared" si="158"/>
        <v/>
      </c>
      <c r="AJ386">
        <f>IF($AD386&lt;&gt;"T",0,ROUND(SUMIF(oil!$B$4:$B$63,$AF386,oil!$AE$4:$AE$63),2))</f>
        <v>0</v>
      </c>
      <c r="AK386" t="str">
        <f>IF($S386="","",IFERROR(INDEX(อัตราค่าขนส่ง!$R$5:$R$54,MATCH($S386,อัตราค่าขนส่ง!$Q$5:$Q$54,0)),INDEX(รายการมาตรฐาน!$G$2:$G$3,1)))</f>
        <v/>
      </c>
      <c r="AL386" t="str">
        <f>IF($S386="","",IFERROR(MATCH($AK386,รายการมาตรฐาน!$G$2:$G$3,0),1))</f>
        <v/>
      </c>
      <c r="AM386" t="str">
        <f t="shared" si="159"/>
        <v/>
      </c>
      <c r="AN386" t="str">
        <f t="shared" si="160"/>
        <v/>
      </c>
      <c r="AO386">
        <f t="shared" si="161"/>
        <v>0</v>
      </c>
      <c r="AP386">
        <f t="shared" si="167"/>
        <v>0</v>
      </c>
      <c r="AQ386" t="str">
        <f t="shared" si="162"/>
        <v/>
      </c>
      <c r="AR386">
        <f>IF($Y386="",0,COUNTIF(บันทึกรายเที่ยว!$V$6:$V$10005,$Y386))</f>
        <v>0</v>
      </c>
      <c r="AS386">
        <f>IF($Y386="",0,ROUND(SUMIF(บันทึกรายเที่ยว!$V$6:$V$10005,$Y386,บันทึกรายเที่ยว!$M$6:$M$10005),2))</f>
        <v>0</v>
      </c>
      <c r="AT386">
        <f>IF($Y386="",0,IFERROR(INDEX(อัตราค่าขนส่ง!$J$5:$J$204,MATCH($Y386,อัตราค่าขนส่ง!$O$5:$O$204,0)),0))</f>
        <v>0</v>
      </c>
      <c r="AU386">
        <f t="shared" si="163"/>
        <v>0</v>
      </c>
      <c r="AV386">
        <f t="shared" si="164"/>
        <v>0</v>
      </c>
      <c r="AW386" t="str">
        <f>IF($Y386="","",IFERROR(INDEX(อัตราค่าขนส่ง!$F$5:$F$204,MATCH($Y386,อัตราค่าขนส่ง!$O$5:$O$204,0)),""))</f>
        <v/>
      </c>
      <c r="AX386" t="str">
        <f>IF($W386="","",INDEX(บันทึกรายเที่ยว!$D$6:$D$10005,$W386))</f>
        <v/>
      </c>
      <c r="AY386" t="str">
        <f>IF($W386="","",INDEX(บันทึกรายเที่ยว!$R$6:$R$10005,$W386))</f>
        <v/>
      </c>
      <c r="AZ386">
        <f t="shared" si="165"/>
        <v>0</v>
      </c>
      <c r="BA386" t="str">
        <f>IF($W386="","",INDEX(บันทึกรายเที่ยว!$E$6:$E$10005,$W386))</f>
        <v/>
      </c>
      <c r="BC386">
        <f>IF($Y386="",0,IFERROR(INDEX(อัตราค่าขนส่ง!$M$5:$M$204,MATCH($Y386,อัตราค่าขนส่ง!$O$5:$O$204,0)),0))</f>
        <v>0</v>
      </c>
      <c r="BD386">
        <f>IF($Y386="",0,IFERROR(INDEX(อัตราค่าขนส่ง!$N$5:$N$204,MATCH($Y386,อัตราค่าขนส่ง!$O$5:$O$204,0)),0))</f>
        <v>0</v>
      </c>
    </row>
    <row r="387" spans="1:56" ht="21" customHeight="1" x14ac:dyDescent="0.95">
      <c r="A387" s="36" t="str">
        <f>IF($AD387="","",IF($AD387="Z","รวมจ่ายทั้งสิ้น",IF($AD387="H",INDEX($X$5:$X$404,$AC387),IF($AD387="T","รวม",IF($AD387="B",IFERROR(INDEX(อัตราค่าขนส่ง!$U$5:$U$14,MATCH(INDEX($AM$5:$AM$404,$AC387),อัตราค่าขนส่ง!$T$5:$T$14,0)),"รวมกลุ่ม "&amp;INDEX($AM$5:$AM$404,$AC387)),INDEX($AY$5:$AY$404,$AC387))))))</f>
        <v/>
      </c>
      <c r="B387" s="31" t="str">
        <f t="shared" si="140"/>
        <v/>
      </c>
      <c r="C387" s="8" t="str">
        <f t="shared" si="141"/>
        <v/>
      </c>
      <c r="D387" s="37" t="str">
        <f t="shared" si="142"/>
        <v/>
      </c>
      <c r="E387" s="31" t="str">
        <f t="shared" si="143"/>
        <v/>
      </c>
      <c r="F387" s="32" t="str">
        <f t="shared" si="144"/>
        <v/>
      </c>
      <c r="G387" s="32" t="str">
        <f t="shared" si="145"/>
        <v/>
      </c>
      <c r="H387" s="32" t="str">
        <f t="shared" si="146"/>
        <v/>
      </c>
      <c r="I387" s="32" t="str">
        <f t="shared" si="147"/>
        <v/>
      </c>
      <c r="J387" s="46" t="str">
        <f t="shared" si="148"/>
        <v/>
      </c>
      <c r="K387" s="32" t="str">
        <f t="shared" si="149"/>
        <v/>
      </c>
      <c r="L387" s="32" t="str">
        <f t="shared" si="150"/>
        <v/>
      </c>
      <c r="M387" s="32" t="str">
        <f t="shared" si="151"/>
        <v/>
      </c>
      <c r="N387" s="32" t="str">
        <f t="shared" si="152"/>
        <v/>
      </c>
      <c r="O387" s="32" t="str">
        <f t="shared" si="153"/>
        <v/>
      </c>
      <c r="Q387" t="str">
        <f>IFERROR(MATCH(383,บันทึกรายเที่ยว!$Z$6:$Z$10005,0),"")</f>
        <v/>
      </c>
      <c r="R387" t="str">
        <f>IF($Q387="","",INDEX(บันทึกรายเที่ยว!$V$6:$V$10005,$Q387))</f>
        <v/>
      </c>
      <c r="S387" t="str">
        <f>IF($Q387="","",INDEX(บันทึกรายเที่ยว!$F$6:$F$10005,$Q387))</f>
        <v/>
      </c>
      <c r="T387" t="str">
        <f>IF($Q387="","",MATCH($S387,บันทึกรายเที่ยว!$F$6:$F$10005,0))</f>
        <v/>
      </c>
      <c r="U387" t="str">
        <f>IF($Q387="","",$AL387*10000000+$T387*1000+383)</f>
        <v/>
      </c>
      <c r="V387" t="str">
        <f>IFERROR(MATCH(SMALL($U$5:$U$404,383),$U$5:$U$404,0),"")</f>
        <v/>
      </c>
      <c r="W387" t="str">
        <f t="shared" si="154"/>
        <v/>
      </c>
      <c r="X387" t="str">
        <f t="shared" si="155"/>
        <v/>
      </c>
      <c r="Y387" t="str">
        <f t="shared" si="156"/>
        <v/>
      </c>
      <c r="Z387">
        <f t="shared" si="166"/>
        <v>0</v>
      </c>
      <c r="AA387">
        <f t="shared" si="157"/>
        <v>0</v>
      </c>
      <c r="AB387">
        <f>IF($V387="",99999+383,$AB386+1+$Z386+$AA386+$AO386)</f>
        <v>100382</v>
      </c>
      <c r="AC387" t="str">
        <f>IFERROR(MATCH(383,$AB$5:$AB$404,1),"")</f>
        <v/>
      </c>
      <c r="AD387" t="str">
        <f>IF(383=$AI$1+1,"Z",IF($AC387="","",IF(INDEX($V$5:$V$404,$AC387)="","",IF(383&gt;INDEX($AB$5:$AB$404,$AC387)+INDEX($Z$5:$Z$404,$AC387)+INDEX($AA$5:$AA$404,$AC387)+INDEX($AO$5:$AO$404,$AC387),"",IF(383=INDEX($AB$5:$AB$404,$AC387)+INDEX($Z$5:$Z$404,$AC387),"D",IF(AND(INDEX($Z$5:$Z$404,$AC387)=1,383=INDEX($AB$5:$AB$404,$AC387)),"H",IF(AND(INDEX($AO$5:$AO$404,$AC387)=1,383=INDEX($AB$5:$AB$404,$AC387)+INDEX($Z$5:$Z$404,$AC387)+INDEX($AA$5:$AA$404,$AC387)+INDEX($AO$5:$AO$404,$AC387)),"B","T")))))))</f>
        <v/>
      </c>
      <c r="AF387" t="str">
        <f t="shared" si="158"/>
        <v/>
      </c>
      <c r="AJ387">
        <f>IF($AD387&lt;&gt;"T",0,ROUND(SUMIF(oil!$B$4:$B$63,$AF387,oil!$AE$4:$AE$63),2))</f>
        <v>0</v>
      </c>
      <c r="AK387" t="str">
        <f>IF($S387="","",IFERROR(INDEX(อัตราค่าขนส่ง!$R$5:$R$54,MATCH($S387,อัตราค่าขนส่ง!$Q$5:$Q$54,0)),INDEX(รายการมาตรฐาน!$G$2:$G$3,1)))</f>
        <v/>
      </c>
      <c r="AL387" t="str">
        <f>IF($S387="","",IFERROR(MATCH($AK387,รายการมาตรฐาน!$G$2:$G$3,0),1))</f>
        <v/>
      </c>
      <c r="AM387" t="str">
        <f t="shared" si="159"/>
        <v/>
      </c>
      <c r="AN387" t="str">
        <f t="shared" si="160"/>
        <v/>
      </c>
      <c r="AO387">
        <f t="shared" si="161"/>
        <v>0</v>
      </c>
      <c r="AP387">
        <f t="shared" si="167"/>
        <v>0</v>
      </c>
      <c r="AQ387" t="str">
        <f t="shared" si="162"/>
        <v/>
      </c>
      <c r="AR387">
        <f>IF($Y387="",0,COUNTIF(บันทึกรายเที่ยว!$V$6:$V$10005,$Y387))</f>
        <v>0</v>
      </c>
      <c r="AS387">
        <f>IF($Y387="",0,ROUND(SUMIF(บันทึกรายเที่ยว!$V$6:$V$10005,$Y387,บันทึกรายเที่ยว!$M$6:$M$10005),2))</f>
        <v>0</v>
      </c>
      <c r="AT387">
        <f>IF($Y387="",0,IFERROR(INDEX(อัตราค่าขนส่ง!$J$5:$J$204,MATCH($Y387,อัตราค่าขนส่ง!$O$5:$O$204,0)),0))</f>
        <v>0</v>
      </c>
      <c r="AU387">
        <f t="shared" si="163"/>
        <v>0</v>
      </c>
      <c r="AV387">
        <f t="shared" si="164"/>
        <v>0</v>
      </c>
      <c r="AW387" t="str">
        <f>IF($Y387="","",IFERROR(INDEX(อัตราค่าขนส่ง!$F$5:$F$204,MATCH($Y387,อัตราค่าขนส่ง!$O$5:$O$204,0)),""))</f>
        <v/>
      </c>
      <c r="AX387" t="str">
        <f>IF($W387="","",INDEX(บันทึกรายเที่ยว!$D$6:$D$10005,$W387))</f>
        <v/>
      </c>
      <c r="AY387" t="str">
        <f>IF($W387="","",INDEX(บันทึกรายเที่ยว!$R$6:$R$10005,$W387))</f>
        <v/>
      </c>
      <c r="AZ387">
        <f t="shared" si="165"/>
        <v>0</v>
      </c>
      <c r="BA387" t="str">
        <f>IF($W387="","",INDEX(บันทึกรายเที่ยว!$E$6:$E$10005,$W387))</f>
        <v/>
      </c>
      <c r="BC387">
        <f>IF($Y387="",0,IFERROR(INDEX(อัตราค่าขนส่ง!$M$5:$M$204,MATCH($Y387,อัตราค่าขนส่ง!$O$5:$O$204,0)),0))</f>
        <v>0</v>
      </c>
      <c r="BD387">
        <f>IF($Y387="",0,IFERROR(INDEX(อัตราค่าขนส่ง!$N$5:$N$204,MATCH($Y387,อัตราค่าขนส่ง!$O$5:$O$204,0)),0))</f>
        <v>0</v>
      </c>
    </row>
    <row r="388" spans="1:56" ht="21" customHeight="1" x14ac:dyDescent="0.95">
      <c r="A388" s="36" t="str">
        <f>IF($AD388="","",IF($AD388="Z","รวมจ่ายทั้งสิ้น",IF($AD388="H",INDEX($X$5:$X$404,$AC388),IF($AD388="T","รวม",IF($AD388="B",IFERROR(INDEX(อัตราค่าขนส่ง!$U$5:$U$14,MATCH(INDEX($AM$5:$AM$404,$AC388),อัตราค่าขนส่ง!$T$5:$T$14,0)),"รวมกลุ่ม "&amp;INDEX($AM$5:$AM$404,$AC388)),INDEX($AY$5:$AY$404,$AC388))))))</f>
        <v/>
      </c>
      <c r="B388" s="31" t="str">
        <f t="shared" si="140"/>
        <v/>
      </c>
      <c r="C388" s="8" t="str">
        <f t="shared" si="141"/>
        <v/>
      </c>
      <c r="D388" s="37" t="str">
        <f t="shared" si="142"/>
        <v/>
      </c>
      <c r="E388" s="31" t="str">
        <f t="shared" si="143"/>
        <v/>
      </c>
      <c r="F388" s="32" t="str">
        <f t="shared" si="144"/>
        <v/>
      </c>
      <c r="G388" s="32" t="str">
        <f t="shared" si="145"/>
        <v/>
      </c>
      <c r="H388" s="32" t="str">
        <f t="shared" si="146"/>
        <v/>
      </c>
      <c r="I388" s="32" t="str">
        <f t="shared" si="147"/>
        <v/>
      </c>
      <c r="J388" s="46" t="str">
        <f t="shared" si="148"/>
        <v/>
      </c>
      <c r="K388" s="32" t="str">
        <f t="shared" si="149"/>
        <v/>
      </c>
      <c r="L388" s="32" t="str">
        <f t="shared" si="150"/>
        <v/>
      </c>
      <c r="M388" s="32" t="str">
        <f t="shared" si="151"/>
        <v/>
      </c>
      <c r="N388" s="32" t="str">
        <f t="shared" si="152"/>
        <v/>
      </c>
      <c r="O388" s="32" t="str">
        <f t="shared" si="153"/>
        <v/>
      </c>
      <c r="Q388" t="str">
        <f>IFERROR(MATCH(384,บันทึกรายเที่ยว!$Z$6:$Z$10005,0),"")</f>
        <v/>
      </c>
      <c r="R388" t="str">
        <f>IF($Q388="","",INDEX(บันทึกรายเที่ยว!$V$6:$V$10005,$Q388))</f>
        <v/>
      </c>
      <c r="S388" t="str">
        <f>IF($Q388="","",INDEX(บันทึกรายเที่ยว!$F$6:$F$10005,$Q388))</f>
        <v/>
      </c>
      <c r="T388" t="str">
        <f>IF($Q388="","",MATCH($S388,บันทึกรายเที่ยว!$F$6:$F$10005,0))</f>
        <v/>
      </c>
      <c r="U388" t="str">
        <f>IF($Q388="","",$AL388*10000000+$T388*1000+384)</f>
        <v/>
      </c>
      <c r="V388" t="str">
        <f>IFERROR(MATCH(SMALL($U$5:$U$404,384),$U$5:$U$404,0),"")</f>
        <v/>
      </c>
      <c r="W388" t="str">
        <f t="shared" si="154"/>
        <v/>
      </c>
      <c r="X388" t="str">
        <f t="shared" si="155"/>
        <v/>
      </c>
      <c r="Y388" t="str">
        <f t="shared" si="156"/>
        <v/>
      </c>
      <c r="Z388">
        <f t="shared" si="166"/>
        <v>0</v>
      </c>
      <c r="AA388">
        <f t="shared" si="157"/>
        <v>0</v>
      </c>
      <c r="AB388">
        <f>IF($V388="",99999+384,$AB387+1+$Z387+$AA387+$AO387)</f>
        <v>100383</v>
      </c>
      <c r="AC388" t="str">
        <f>IFERROR(MATCH(384,$AB$5:$AB$404,1),"")</f>
        <v/>
      </c>
      <c r="AD388" t="str">
        <f>IF(384=$AI$1+1,"Z",IF($AC388="","",IF(INDEX($V$5:$V$404,$AC388)="","",IF(384&gt;INDEX($AB$5:$AB$404,$AC388)+INDEX($Z$5:$Z$404,$AC388)+INDEX($AA$5:$AA$404,$AC388)+INDEX($AO$5:$AO$404,$AC388),"",IF(384=INDEX($AB$5:$AB$404,$AC388)+INDEX($Z$5:$Z$404,$AC388),"D",IF(AND(INDEX($Z$5:$Z$404,$AC388)=1,384=INDEX($AB$5:$AB$404,$AC388)),"H",IF(AND(INDEX($AO$5:$AO$404,$AC388)=1,384=INDEX($AB$5:$AB$404,$AC388)+INDEX($Z$5:$Z$404,$AC388)+INDEX($AA$5:$AA$404,$AC388)+INDEX($AO$5:$AO$404,$AC388)),"B","T")))))))</f>
        <v/>
      </c>
      <c r="AF388" t="str">
        <f t="shared" si="158"/>
        <v/>
      </c>
      <c r="AJ388">
        <f>IF($AD388&lt;&gt;"T",0,ROUND(SUMIF(oil!$B$4:$B$63,$AF388,oil!$AE$4:$AE$63),2))</f>
        <v>0</v>
      </c>
      <c r="AK388" t="str">
        <f>IF($S388="","",IFERROR(INDEX(อัตราค่าขนส่ง!$R$5:$R$54,MATCH($S388,อัตราค่าขนส่ง!$Q$5:$Q$54,0)),INDEX(รายการมาตรฐาน!$G$2:$G$3,1)))</f>
        <v/>
      </c>
      <c r="AL388" t="str">
        <f>IF($S388="","",IFERROR(MATCH($AK388,รายการมาตรฐาน!$G$2:$G$3,0),1))</f>
        <v/>
      </c>
      <c r="AM388" t="str">
        <f t="shared" si="159"/>
        <v/>
      </c>
      <c r="AN388" t="str">
        <f t="shared" si="160"/>
        <v/>
      </c>
      <c r="AO388">
        <f t="shared" si="161"/>
        <v>0</v>
      </c>
      <c r="AP388">
        <f t="shared" si="167"/>
        <v>0</v>
      </c>
      <c r="AQ388" t="str">
        <f t="shared" si="162"/>
        <v/>
      </c>
      <c r="AR388">
        <f>IF($Y388="",0,COUNTIF(บันทึกรายเที่ยว!$V$6:$V$10005,$Y388))</f>
        <v>0</v>
      </c>
      <c r="AS388">
        <f>IF($Y388="",0,ROUND(SUMIF(บันทึกรายเที่ยว!$V$6:$V$10005,$Y388,บันทึกรายเที่ยว!$M$6:$M$10005),2))</f>
        <v>0</v>
      </c>
      <c r="AT388">
        <f>IF($Y388="",0,IFERROR(INDEX(อัตราค่าขนส่ง!$J$5:$J$204,MATCH($Y388,อัตราค่าขนส่ง!$O$5:$O$204,0)),0))</f>
        <v>0</v>
      </c>
      <c r="AU388">
        <f t="shared" si="163"/>
        <v>0</v>
      </c>
      <c r="AV388">
        <f t="shared" si="164"/>
        <v>0</v>
      </c>
      <c r="AW388" t="str">
        <f>IF($Y388="","",IFERROR(INDEX(อัตราค่าขนส่ง!$F$5:$F$204,MATCH($Y388,อัตราค่าขนส่ง!$O$5:$O$204,0)),""))</f>
        <v/>
      </c>
      <c r="AX388" t="str">
        <f>IF($W388="","",INDEX(บันทึกรายเที่ยว!$D$6:$D$10005,$W388))</f>
        <v/>
      </c>
      <c r="AY388" t="str">
        <f>IF($W388="","",INDEX(บันทึกรายเที่ยว!$R$6:$R$10005,$W388))</f>
        <v/>
      </c>
      <c r="AZ388">
        <f t="shared" si="165"/>
        <v>0</v>
      </c>
      <c r="BA388" t="str">
        <f>IF($W388="","",INDEX(บันทึกรายเที่ยว!$E$6:$E$10005,$W388))</f>
        <v/>
      </c>
      <c r="BC388">
        <f>IF($Y388="",0,IFERROR(INDEX(อัตราค่าขนส่ง!$M$5:$M$204,MATCH($Y388,อัตราค่าขนส่ง!$O$5:$O$204,0)),0))</f>
        <v>0</v>
      </c>
      <c r="BD388">
        <f>IF($Y388="",0,IFERROR(INDEX(อัตราค่าขนส่ง!$N$5:$N$204,MATCH($Y388,อัตราค่าขนส่ง!$O$5:$O$204,0)),0))</f>
        <v>0</v>
      </c>
    </row>
    <row r="389" spans="1:56" ht="21" customHeight="1" x14ac:dyDescent="0.95">
      <c r="A389" s="36" t="str">
        <f>IF($AD389="","",IF($AD389="Z","รวมจ่ายทั้งสิ้น",IF($AD389="H",INDEX($X$5:$X$404,$AC389),IF($AD389="T","รวม",IF($AD389="B",IFERROR(INDEX(อัตราค่าขนส่ง!$U$5:$U$14,MATCH(INDEX($AM$5:$AM$404,$AC389),อัตราค่าขนส่ง!$T$5:$T$14,0)),"รวมกลุ่ม "&amp;INDEX($AM$5:$AM$404,$AC389)),INDEX($AY$5:$AY$404,$AC389))))))</f>
        <v/>
      </c>
      <c r="B389" s="31" t="str">
        <f t="shared" ref="B389:B452" si="168">IF($AD389&lt;&gt;"D","",INDEX($AW$5:$AW$404,$AC389))</f>
        <v/>
      </c>
      <c r="C389" s="8" t="str">
        <f t="shared" ref="C389:C452" si="169">IF($AD389&lt;&gt;"D","",INDEX($AX$5:$AX$404,$AC389))</f>
        <v/>
      </c>
      <c r="D389" s="37" t="str">
        <f t="shared" ref="D389:D452" si="170">IF($AD389&lt;&gt;"D","",INDEX($BA$5:$BA$404,$AC389))</f>
        <v/>
      </c>
      <c r="E389" s="31" t="str">
        <f t="shared" ref="E389:E452" si="171">IF($AD389="Z",SUM($AR$5:$AR$404),IF($AD389="D",INDEX($AR$5:$AR$404,$AC389),IF($AD389="T",SUMIF($X$5:$X$404,$AF389,$AR$5:$AR$404),IF($AD389="B",SUMIF($AN$5:$AN$404,$AQ389,$AR$5:$AR$404),""))))</f>
        <v/>
      </c>
      <c r="F389" s="32" t="str">
        <f t="shared" ref="F389:F452" si="172">IF($AD389="Z",ROUND(SUM($AS$5:$AS$404),2),IF($AD389="D",INDEX($AS$5:$AS$404,$AC389),IF($AD389="T",ROUND(SUMIF($X$5:$X$404,$AF389,$AS$5:$AS$404),2),IF($AD389="B",ROUND(SUMIF($AN$5:$AN$404,$AQ389,$AS$5:$AS$404),2),""))))</f>
        <v/>
      </c>
      <c r="G389" s="32" t="str">
        <f t="shared" ref="G389:G452" si="173">IF($AD389&lt;&gt;"D","",INDEX($AT$5:$AT$404,$AC389))</f>
        <v/>
      </c>
      <c r="H389" s="32" t="str">
        <f t="shared" ref="H389:H452" si="174">IF($AD389&lt;&gt;"D","",INDEX($BC$5:$BC$404,$AC389))</f>
        <v/>
      </c>
      <c r="I389" s="32" t="str">
        <f t="shared" ref="I389:I452" si="175">IF($AD389&lt;&gt;"D","",INDEX($BD$5:$BD$404,$AC389))</f>
        <v/>
      </c>
      <c r="J389" s="46" t="str">
        <f t="shared" ref="J389:J452" si="176">IF($AD389&lt;&gt;"D","",IF(N($B389)=0,"",ROUND($I389/$B389,4)))</f>
        <v/>
      </c>
      <c r="K389" s="32" t="str">
        <f t="shared" ref="K389:K452" si="177">IF($AD389="Z",ROUND(SUM($AU$5:$AU$404),2),IF($AD389="D",INDEX($AU$5:$AU$404,$AC389),IF($AD389="T",ROUND(SUMIF($X$5:$X$404,$AF389,$AU$5:$AU$404),2),IF($AD389="B",ROUND(SUMIF($AN$5:$AN$404,$AQ389,$AU$5:$AU$404),2),""))))</f>
        <v/>
      </c>
      <c r="L389" s="32" t="str">
        <f t="shared" ref="L389:L452" si="178">IF($AD389="Z",ROUND(SUM($AV$5:$AV$404),2),IF($AD389="D",INDEX($AV$5:$AV$404,$AC389),IF($AD389="T",ROUND(SUMIF($X$5:$X$404,$AF389,$AV$5:$AV$404),2),IF($AD389="B",ROUND(SUMIF($AN$5:$AN$404,$AQ389,$AV$5:$AV$404),2),""))))</f>
        <v/>
      </c>
      <c r="M389" s="32" t="str">
        <f t="shared" ref="M389:M452" si="179">IF($AD389="Z",ROUND(SUM($AJ$5:$AJ$704),2),IF($AD389="B",ROUND(SUMIF($AQ$5:$AQ$704,$AQ389,$AJ$5:$AJ$704),2),IF($AD389&lt;&gt;"T","",$AJ389)))</f>
        <v/>
      </c>
      <c r="N389" s="32" t="str">
        <f t="shared" ref="N389:N452" si="180">IF(OR($AD389="D",$AD389="T",$AD389="B",$AD389="Z"),ROUND(N($K389)-N($L389)-N($M389),2),"")</f>
        <v/>
      </c>
      <c r="O389" s="32" t="str">
        <f t="shared" ref="O389:O452" si="181">IF(OR($AD389="D",$AD389="T",$AD389="B",$AD389="Z"),IF(N($E389)=0,"",ROUND($F389/$E389,2)),"")</f>
        <v/>
      </c>
      <c r="Q389" t="str">
        <f>IFERROR(MATCH(385,บันทึกรายเที่ยว!$Z$6:$Z$10005,0),"")</f>
        <v/>
      </c>
      <c r="R389" t="str">
        <f>IF($Q389="","",INDEX(บันทึกรายเที่ยว!$V$6:$V$10005,$Q389))</f>
        <v/>
      </c>
      <c r="S389" t="str">
        <f>IF($Q389="","",INDEX(บันทึกรายเที่ยว!$F$6:$F$10005,$Q389))</f>
        <v/>
      </c>
      <c r="T389" t="str">
        <f>IF($Q389="","",MATCH($S389,บันทึกรายเที่ยว!$F$6:$F$10005,0))</f>
        <v/>
      </c>
      <c r="U389" t="str">
        <f>IF($Q389="","",$AL389*10000000+$T389*1000+385)</f>
        <v/>
      </c>
      <c r="V389" t="str">
        <f>IFERROR(MATCH(SMALL($U$5:$U$404,385),$U$5:$U$404,0),"")</f>
        <v/>
      </c>
      <c r="W389" t="str">
        <f t="shared" ref="W389:W404" si="182">IF($V389="","",INDEX($Q$5:$Q$404,$V389))</f>
        <v/>
      </c>
      <c r="X389" t="str">
        <f t="shared" ref="X389:X404" si="183">IF($V389="","",INDEX($S$5:$S$404,$V389))</f>
        <v/>
      </c>
      <c r="Y389" t="str">
        <f t="shared" ref="Y389:Y404" si="184">IF($V389="","",INDEX($R$5:$R$404,$V389))</f>
        <v/>
      </c>
      <c r="Z389">
        <f t="shared" si="166"/>
        <v>0</v>
      </c>
      <c r="AA389">
        <f t="shared" ref="AA389:AA403" si="185">IF($V389="",0,IF($V390="",1,IF($X390&lt;&gt;$X389,1,0)))</f>
        <v>0</v>
      </c>
      <c r="AB389">
        <f>IF($V389="",99999+385,$AB388+1+$Z388+$AA388+$AO388)</f>
        <v>100384</v>
      </c>
      <c r="AC389" t="str">
        <f>IFERROR(MATCH(385,$AB$5:$AB$404,1),"")</f>
        <v/>
      </c>
      <c r="AD389" t="str">
        <f>IF(385=$AI$1+1,"Z",IF($AC389="","",IF(INDEX($V$5:$V$404,$AC389)="","",IF(385&gt;INDEX($AB$5:$AB$404,$AC389)+INDEX($Z$5:$Z$404,$AC389)+INDEX($AA$5:$AA$404,$AC389)+INDEX($AO$5:$AO$404,$AC389),"",IF(385=INDEX($AB$5:$AB$404,$AC389)+INDEX($Z$5:$Z$404,$AC389),"D",IF(AND(INDEX($Z$5:$Z$404,$AC389)=1,385=INDEX($AB$5:$AB$404,$AC389)),"H",IF(AND(INDEX($AO$5:$AO$404,$AC389)=1,385=INDEX($AB$5:$AB$404,$AC389)+INDEX($Z$5:$Z$404,$AC389)+INDEX($AA$5:$AA$404,$AC389)+INDEX($AO$5:$AO$404,$AC389)),"B","T")))))))</f>
        <v/>
      </c>
      <c r="AF389" t="str">
        <f t="shared" ref="AF389:AF452" si="186">IF(OR($AD389="",$AD389="Z",$AD389="B"),"",INDEX($X$5:$X$404,$AC389))</f>
        <v/>
      </c>
      <c r="AJ389">
        <f>IF($AD389&lt;&gt;"T",0,ROUND(SUMIF(oil!$B$4:$B$63,$AF389,oil!$AE$4:$AE$63),2))</f>
        <v>0</v>
      </c>
      <c r="AK389" t="str">
        <f>IF($S389="","",IFERROR(INDEX(อัตราค่าขนส่ง!$R$5:$R$54,MATCH($S389,อัตราค่าขนส่ง!$Q$5:$Q$54,0)),INDEX(รายการมาตรฐาน!$G$2:$G$3,1)))</f>
        <v/>
      </c>
      <c r="AL389" t="str">
        <f>IF($S389="","",IFERROR(MATCH($AK389,รายการมาตรฐาน!$G$2:$G$3,0),1))</f>
        <v/>
      </c>
      <c r="AM389" t="str">
        <f t="shared" ref="AM389:AM404" si="187">IF($V389="","",INDEX($AK$5:$AK$404,$V389))</f>
        <v/>
      </c>
      <c r="AN389" t="str">
        <f t="shared" ref="AN389:AN404" si="188">IF($V389="","",INDEX($AL$5:$AL$404,$V389))</f>
        <v/>
      </c>
      <c r="AO389">
        <f t="shared" ref="AO389:AO403" si="189">IF(OR($V389="",$AI$2&lt;=1),0,IF($V390="",1,IF($AN390&lt;&gt;$AN389,1,0)))</f>
        <v>0</v>
      </c>
      <c r="AP389">
        <f t="shared" si="167"/>
        <v>0</v>
      </c>
      <c r="AQ389" t="str">
        <f t="shared" ref="AQ389:AQ452" si="190">IF(OR($AD389="",$AD389="Z"),"",INDEX($AN$5:$AN$404,$AC389))</f>
        <v/>
      </c>
      <c r="AR389">
        <f>IF($Y389="",0,COUNTIF(บันทึกรายเที่ยว!$V$6:$V$10005,$Y389))</f>
        <v>0</v>
      </c>
      <c r="AS389">
        <f>IF($Y389="",0,ROUND(SUMIF(บันทึกรายเที่ยว!$V$6:$V$10005,$Y389,บันทึกรายเที่ยว!$M$6:$M$10005),2))</f>
        <v>0</v>
      </c>
      <c r="AT389">
        <f>IF($Y389="",0,IFERROR(INDEX(อัตราค่าขนส่ง!$J$5:$J$204,MATCH($Y389,อัตราค่าขนส่ง!$O$5:$O$204,0)),0))</f>
        <v>0</v>
      </c>
      <c r="AU389">
        <f t="shared" ref="AU389:AU404" si="191">ROUND($AS389*$BD389,2)</f>
        <v>0</v>
      </c>
      <c r="AV389">
        <f t="shared" ref="AV389:AV404" si="192">ROUND($AU389*$BF$2/100,2)</f>
        <v>0</v>
      </c>
      <c r="AW389" t="str">
        <f>IF($Y389="","",IFERROR(INDEX(อัตราค่าขนส่ง!$F$5:$F$204,MATCH($Y389,อัตราค่าขนส่ง!$O$5:$O$204,0)),""))</f>
        <v/>
      </c>
      <c r="AX389" t="str">
        <f>IF($W389="","",INDEX(บันทึกรายเที่ยว!$D$6:$D$10005,$W389))</f>
        <v/>
      </c>
      <c r="AY389" t="str">
        <f>IF($W389="","",INDEX(บันทึกรายเที่ยว!$R$6:$R$10005,$W389))</f>
        <v/>
      </c>
      <c r="AZ389">
        <f t="shared" ref="AZ389:AZ452" si="193">IF(AND($AD389="T",$AQ389=1),N($AZ388)+1,N($AZ388))</f>
        <v>0</v>
      </c>
      <c r="BA389" t="str">
        <f>IF($W389="","",INDEX(บันทึกรายเที่ยว!$E$6:$E$10005,$W389))</f>
        <v/>
      </c>
      <c r="BC389">
        <f>IF($Y389="",0,IFERROR(INDEX(อัตราค่าขนส่ง!$M$5:$M$204,MATCH($Y389,อัตราค่าขนส่ง!$O$5:$O$204,0)),0))</f>
        <v>0</v>
      </c>
      <c r="BD389">
        <f>IF($Y389="",0,IFERROR(INDEX(อัตราค่าขนส่ง!$N$5:$N$204,MATCH($Y389,อัตราค่าขนส่ง!$O$5:$O$204,0)),0))</f>
        <v>0</v>
      </c>
    </row>
    <row r="390" spans="1:56" ht="21" customHeight="1" x14ac:dyDescent="0.95">
      <c r="A390" s="36" t="str">
        <f>IF($AD390="","",IF($AD390="Z","รวมจ่ายทั้งสิ้น",IF($AD390="H",INDEX($X$5:$X$404,$AC390),IF($AD390="T","รวม",IF($AD390="B",IFERROR(INDEX(อัตราค่าขนส่ง!$U$5:$U$14,MATCH(INDEX($AM$5:$AM$404,$AC390),อัตราค่าขนส่ง!$T$5:$T$14,0)),"รวมกลุ่ม "&amp;INDEX($AM$5:$AM$404,$AC390)),INDEX($AY$5:$AY$404,$AC390))))))</f>
        <v/>
      </c>
      <c r="B390" s="31" t="str">
        <f t="shared" si="168"/>
        <v/>
      </c>
      <c r="C390" s="8" t="str">
        <f t="shared" si="169"/>
        <v/>
      </c>
      <c r="D390" s="37" t="str">
        <f t="shared" si="170"/>
        <v/>
      </c>
      <c r="E390" s="31" t="str">
        <f t="shared" si="171"/>
        <v/>
      </c>
      <c r="F390" s="32" t="str">
        <f t="shared" si="172"/>
        <v/>
      </c>
      <c r="G390" s="32" t="str">
        <f t="shared" si="173"/>
        <v/>
      </c>
      <c r="H390" s="32" t="str">
        <f t="shared" si="174"/>
        <v/>
      </c>
      <c r="I390" s="32" t="str">
        <f t="shared" si="175"/>
        <v/>
      </c>
      <c r="J390" s="46" t="str">
        <f t="shared" si="176"/>
        <v/>
      </c>
      <c r="K390" s="32" t="str">
        <f t="shared" si="177"/>
        <v/>
      </c>
      <c r="L390" s="32" t="str">
        <f t="shared" si="178"/>
        <v/>
      </c>
      <c r="M390" s="32" t="str">
        <f t="shared" si="179"/>
        <v/>
      </c>
      <c r="N390" s="32" t="str">
        <f t="shared" si="180"/>
        <v/>
      </c>
      <c r="O390" s="32" t="str">
        <f t="shared" si="181"/>
        <v/>
      </c>
      <c r="Q390" t="str">
        <f>IFERROR(MATCH(386,บันทึกรายเที่ยว!$Z$6:$Z$10005,0),"")</f>
        <v/>
      </c>
      <c r="R390" t="str">
        <f>IF($Q390="","",INDEX(บันทึกรายเที่ยว!$V$6:$V$10005,$Q390))</f>
        <v/>
      </c>
      <c r="S390" t="str">
        <f>IF($Q390="","",INDEX(บันทึกรายเที่ยว!$F$6:$F$10005,$Q390))</f>
        <v/>
      </c>
      <c r="T390" t="str">
        <f>IF($Q390="","",MATCH($S390,บันทึกรายเที่ยว!$F$6:$F$10005,0))</f>
        <v/>
      </c>
      <c r="U390" t="str">
        <f>IF($Q390="","",$AL390*10000000+$T390*1000+386)</f>
        <v/>
      </c>
      <c r="V390" t="str">
        <f>IFERROR(MATCH(SMALL($U$5:$U$404,386),$U$5:$U$404,0),"")</f>
        <v/>
      </c>
      <c r="W390" t="str">
        <f t="shared" si="182"/>
        <v/>
      </c>
      <c r="X390" t="str">
        <f t="shared" si="183"/>
        <v/>
      </c>
      <c r="Y390" t="str">
        <f t="shared" si="184"/>
        <v/>
      </c>
      <c r="Z390">
        <f t="shared" ref="Z390:Z404" si="194">IF($V390="",0,IF($X390&lt;&gt;$X389,1,0))</f>
        <v>0</v>
      </c>
      <c r="AA390">
        <f t="shared" si="185"/>
        <v>0</v>
      </c>
      <c r="AB390">
        <f>IF($V390="",99999+386,$AB389+1+$Z389+$AA389+$AO389)</f>
        <v>100385</v>
      </c>
      <c r="AC390" t="str">
        <f>IFERROR(MATCH(386,$AB$5:$AB$404,1),"")</f>
        <v/>
      </c>
      <c r="AD390" t="str">
        <f>IF(386=$AI$1+1,"Z",IF($AC390="","",IF(INDEX($V$5:$V$404,$AC390)="","",IF(386&gt;INDEX($AB$5:$AB$404,$AC390)+INDEX($Z$5:$Z$404,$AC390)+INDEX($AA$5:$AA$404,$AC390)+INDEX($AO$5:$AO$404,$AC390),"",IF(386=INDEX($AB$5:$AB$404,$AC390)+INDEX($Z$5:$Z$404,$AC390),"D",IF(AND(INDEX($Z$5:$Z$404,$AC390)=1,386=INDEX($AB$5:$AB$404,$AC390)),"H",IF(AND(INDEX($AO$5:$AO$404,$AC390)=1,386=INDEX($AB$5:$AB$404,$AC390)+INDEX($Z$5:$Z$404,$AC390)+INDEX($AA$5:$AA$404,$AC390)+INDEX($AO$5:$AO$404,$AC390)),"B","T")))))))</f>
        <v/>
      </c>
      <c r="AF390" t="str">
        <f t="shared" si="186"/>
        <v/>
      </c>
      <c r="AJ390">
        <f>IF($AD390&lt;&gt;"T",0,ROUND(SUMIF(oil!$B$4:$B$63,$AF390,oil!$AE$4:$AE$63),2))</f>
        <v>0</v>
      </c>
      <c r="AK390" t="str">
        <f>IF($S390="","",IFERROR(INDEX(อัตราค่าขนส่ง!$R$5:$R$54,MATCH($S390,อัตราค่าขนส่ง!$Q$5:$Q$54,0)),INDEX(รายการมาตรฐาน!$G$2:$G$3,1)))</f>
        <v/>
      </c>
      <c r="AL390" t="str">
        <f>IF($S390="","",IFERROR(MATCH($AK390,รายการมาตรฐาน!$G$2:$G$3,0),1))</f>
        <v/>
      </c>
      <c r="AM390" t="str">
        <f t="shared" si="187"/>
        <v/>
      </c>
      <c r="AN390" t="str">
        <f t="shared" si="188"/>
        <v/>
      </c>
      <c r="AO390">
        <f t="shared" si="189"/>
        <v>0</v>
      </c>
      <c r="AP390">
        <f t="shared" ref="AP390:AP404" si="195">IF($V390="",0,IF($AN390&lt;&gt;$AN389,1,0))</f>
        <v>0</v>
      </c>
      <c r="AQ390" t="str">
        <f t="shared" si="190"/>
        <v/>
      </c>
      <c r="AR390">
        <f>IF($Y390="",0,COUNTIF(บันทึกรายเที่ยว!$V$6:$V$10005,$Y390))</f>
        <v>0</v>
      </c>
      <c r="AS390">
        <f>IF($Y390="",0,ROUND(SUMIF(บันทึกรายเที่ยว!$V$6:$V$10005,$Y390,บันทึกรายเที่ยว!$M$6:$M$10005),2))</f>
        <v>0</v>
      </c>
      <c r="AT390">
        <f>IF($Y390="",0,IFERROR(INDEX(อัตราค่าขนส่ง!$J$5:$J$204,MATCH($Y390,อัตราค่าขนส่ง!$O$5:$O$204,0)),0))</f>
        <v>0</v>
      </c>
      <c r="AU390">
        <f t="shared" si="191"/>
        <v>0</v>
      </c>
      <c r="AV390">
        <f t="shared" si="192"/>
        <v>0</v>
      </c>
      <c r="AW390" t="str">
        <f>IF($Y390="","",IFERROR(INDEX(อัตราค่าขนส่ง!$F$5:$F$204,MATCH($Y390,อัตราค่าขนส่ง!$O$5:$O$204,0)),""))</f>
        <v/>
      </c>
      <c r="AX390" t="str">
        <f>IF($W390="","",INDEX(บันทึกรายเที่ยว!$D$6:$D$10005,$W390))</f>
        <v/>
      </c>
      <c r="AY390" t="str">
        <f>IF($W390="","",INDEX(บันทึกรายเที่ยว!$R$6:$R$10005,$W390))</f>
        <v/>
      </c>
      <c r="AZ390">
        <f t="shared" si="193"/>
        <v>0</v>
      </c>
      <c r="BA390" t="str">
        <f>IF($W390="","",INDEX(บันทึกรายเที่ยว!$E$6:$E$10005,$W390))</f>
        <v/>
      </c>
      <c r="BC390">
        <f>IF($Y390="",0,IFERROR(INDEX(อัตราค่าขนส่ง!$M$5:$M$204,MATCH($Y390,อัตราค่าขนส่ง!$O$5:$O$204,0)),0))</f>
        <v>0</v>
      </c>
      <c r="BD390">
        <f>IF($Y390="",0,IFERROR(INDEX(อัตราค่าขนส่ง!$N$5:$N$204,MATCH($Y390,อัตราค่าขนส่ง!$O$5:$O$204,0)),0))</f>
        <v>0</v>
      </c>
    </row>
    <row r="391" spans="1:56" ht="21" customHeight="1" x14ac:dyDescent="0.95">
      <c r="A391" s="36" t="str">
        <f>IF($AD391="","",IF($AD391="Z","รวมจ่ายทั้งสิ้น",IF($AD391="H",INDEX($X$5:$X$404,$AC391),IF($AD391="T","รวม",IF($AD391="B",IFERROR(INDEX(อัตราค่าขนส่ง!$U$5:$U$14,MATCH(INDEX($AM$5:$AM$404,$AC391),อัตราค่าขนส่ง!$T$5:$T$14,0)),"รวมกลุ่ม "&amp;INDEX($AM$5:$AM$404,$AC391)),INDEX($AY$5:$AY$404,$AC391))))))</f>
        <v/>
      </c>
      <c r="B391" s="31" t="str">
        <f t="shared" si="168"/>
        <v/>
      </c>
      <c r="C391" s="8" t="str">
        <f t="shared" si="169"/>
        <v/>
      </c>
      <c r="D391" s="37" t="str">
        <f t="shared" si="170"/>
        <v/>
      </c>
      <c r="E391" s="31" t="str">
        <f t="shared" si="171"/>
        <v/>
      </c>
      <c r="F391" s="32" t="str">
        <f t="shared" si="172"/>
        <v/>
      </c>
      <c r="G391" s="32" t="str">
        <f t="shared" si="173"/>
        <v/>
      </c>
      <c r="H391" s="32" t="str">
        <f t="shared" si="174"/>
        <v/>
      </c>
      <c r="I391" s="32" t="str">
        <f t="shared" si="175"/>
        <v/>
      </c>
      <c r="J391" s="46" t="str">
        <f t="shared" si="176"/>
        <v/>
      </c>
      <c r="K391" s="32" t="str">
        <f t="shared" si="177"/>
        <v/>
      </c>
      <c r="L391" s="32" t="str">
        <f t="shared" si="178"/>
        <v/>
      </c>
      <c r="M391" s="32" t="str">
        <f t="shared" si="179"/>
        <v/>
      </c>
      <c r="N391" s="32" t="str">
        <f t="shared" si="180"/>
        <v/>
      </c>
      <c r="O391" s="32" t="str">
        <f t="shared" si="181"/>
        <v/>
      </c>
      <c r="Q391" t="str">
        <f>IFERROR(MATCH(387,บันทึกรายเที่ยว!$Z$6:$Z$10005,0),"")</f>
        <v/>
      </c>
      <c r="R391" t="str">
        <f>IF($Q391="","",INDEX(บันทึกรายเที่ยว!$V$6:$V$10005,$Q391))</f>
        <v/>
      </c>
      <c r="S391" t="str">
        <f>IF($Q391="","",INDEX(บันทึกรายเที่ยว!$F$6:$F$10005,$Q391))</f>
        <v/>
      </c>
      <c r="T391" t="str">
        <f>IF($Q391="","",MATCH($S391,บันทึกรายเที่ยว!$F$6:$F$10005,0))</f>
        <v/>
      </c>
      <c r="U391" t="str">
        <f>IF($Q391="","",$AL391*10000000+$T391*1000+387)</f>
        <v/>
      </c>
      <c r="V391" t="str">
        <f>IFERROR(MATCH(SMALL($U$5:$U$404,387),$U$5:$U$404,0),"")</f>
        <v/>
      </c>
      <c r="W391" t="str">
        <f t="shared" si="182"/>
        <v/>
      </c>
      <c r="X391" t="str">
        <f t="shared" si="183"/>
        <v/>
      </c>
      <c r="Y391" t="str">
        <f t="shared" si="184"/>
        <v/>
      </c>
      <c r="Z391">
        <f t="shared" si="194"/>
        <v>0</v>
      </c>
      <c r="AA391">
        <f t="shared" si="185"/>
        <v>0</v>
      </c>
      <c r="AB391">
        <f>IF($V391="",99999+387,$AB390+1+$Z390+$AA390+$AO390)</f>
        <v>100386</v>
      </c>
      <c r="AC391" t="str">
        <f>IFERROR(MATCH(387,$AB$5:$AB$404,1),"")</f>
        <v/>
      </c>
      <c r="AD391" t="str">
        <f>IF(387=$AI$1+1,"Z",IF($AC391="","",IF(INDEX($V$5:$V$404,$AC391)="","",IF(387&gt;INDEX($AB$5:$AB$404,$AC391)+INDEX($Z$5:$Z$404,$AC391)+INDEX($AA$5:$AA$404,$AC391)+INDEX($AO$5:$AO$404,$AC391),"",IF(387=INDEX($AB$5:$AB$404,$AC391)+INDEX($Z$5:$Z$404,$AC391),"D",IF(AND(INDEX($Z$5:$Z$404,$AC391)=1,387=INDEX($AB$5:$AB$404,$AC391)),"H",IF(AND(INDEX($AO$5:$AO$404,$AC391)=1,387=INDEX($AB$5:$AB$404,$AC391)+INDEX($Z$5:$Z$404,$AC391)+INDEX($AA$5:$AA$404,$AC391)+INDEX($AO$5:$AO$404,$AC391)),"B","T")))))))</f>
        <v/>
      </c>
      <c r="AF391" t="str">
        <f t="shared" si="186"/>
        <v/>
      </c>
      <c r="AJ391">
        <f>IF($AD391&lt;&gt;"T",0,ROUND(SUMIF(oil!$B$4:$B$63,$AF391,oil!$AE$4:$AE$63),2))</f>
        <v>0</v>
      </c>
      <c r="AK391" t="str">
        <f>IF($S391="","",IFERROR(INDEX(อัตราค่าขนส่ง!$R$5:$R$54,MATCH($S391,อัตราค่าขนส่ง!$Q$5:$Q$54,0)),INDEX(รายการมาตรฐาน!$G$2:$G$3,1)))</f>
        <v/>
      </c>
      <c r="AL391" t="str">
        <f>IF($S391="","",IFERROR(MATCH($AK391,รายการมาตรฐาน!$G$2:$G$3,0),1))</f>
        <v/>
      </c>
      <c r="AM391" t="str">
        <f t="shared" si="187"/>
        <v/>
      </c>
      <c r="AN391" t="str">
        <f t="shared" si="188"/>
        <v/>
      </c>
      <c r="AO391">
        <f t="shared" si="189"/>
        <v>0</v>
      </c>
      <c r="AP391">
        <f t="shared" si="195"/>
        <v>0</v>
      </c>
      <c r="AQ391" t="str">
        <f t="shared" si="190"/>
        <v/>
      </c>
      <c r="AR391">
        <f>IF($Y391="",0,COUNTIF(บันทึกรายเที่ยว!$V$6:$V$10005,$Y391))</f>
        <v>0</v>
      </c>
      <c r="AS391">
        <f>IF($Y391="",0,ROUND(SUMIF(บันทึกรายเที่ยว!$V$6:$V$10005,$Y391,บันทึกรายเที่ยว!$M$6:$M$10005),2))</f>
        <v>0</v>
      </c>
      <c r="AT391">
        <f>IF($Y391="",0,IFERROR(INDEX(อัตราค่าขนส่ง!$J$5:$J$204,MATCH($Y391,อัตราค่าขนส่ง!$O$5:$O$204,0)),0))</f>
        <v>0</v>
      </c>
      <c r="AU391">
        <f t="shared" si="191"/>
        <v>0</v>
      </c>
      <c r="AV391">
        <f t="shared" si="192"/>
        <v>0</v>
      </c>
      <c r="AW391" t="str">
        <f>IF($Y391="","",IFERROR(INDEX(อัตราค่าขนส่ง!$F$5:$F$204,MATCH($Y391,อัตราค่าขนส่ง!$O$5:$O$204,0)),""))</f>
        <v/>
      </c>
      <c r="AX391" t="str">
        <f>IF($W391="","",INDEX(บันทึกรายเที่ยว!$D$6:$D$10005,$W391))</f>
        <v/>
      </c>
      <c r="AY391" t="str">
        <f>IF($W391="","",INDEX(บันทึกรายเที่ยว!$R$6:$R$10005,$W391))</f>
        <v/>
      </c>
      <c r="AZ391">
        <f t="shared" si="193"/>
        <v>0</v>
      </c>
      <c r="BA391" t="str">
        <f>IF($W391="","",INDEX(บันทึกรายเที่ยว!$E$6:$E$10005,$W391))</f>
        <v/>
      </c>
      <c r="BC391">
        <f>IF($Y391="",0,IFERROR(INDEX(อัตราค่าขนส่ง!$M$5:$M$204,MATCH($Y391,อัตราค่าขนส่ง!$O$5:$O$204,0)),0))</f>
        <v>0</v>
      </c>
      <c r="BD391">
        <f>IF($Y391="",0,IFERROR(INDEX(อัตราค่าขนส่ง!$N$5:$N$204,MATCH($Y391,อัตราค่าขนส่ง!$O$5:$O$204,0)),0))</f>
        <v>0</v>
      </c>
    </row>
    <row r="392" spans="1:56" ht="21" customHeight="1" x14ac:dyDescent="0.95">
      <c r="A392" s="36" t="str">
        <f>IF($AD392="","",IF($AD392="Z","รวมจ่ายทั้งสิ้น",IF($AD392="H",INDEX($X$5:$X$404,$AC392),IF($AD392="T","รวม",IF($AD392="B",IFERROR(INDEX(อัตราค่าขนส่ง!$U$5:$U$14,MATCH(INDEX($AM$5:$AM$404,$AC392),อัตราค่าขนส่ง!$T$5:$T$14,0)),"รวมกลุ่ม "&amp;INDEX($AM$5:$AM$404,$AC392)),INDEX($AY$5:$AY$404,$AC392))))))</f>
        <v/>
      </c>
      <c r="B392" s="31" t="str">
        <f t="shared" si="168"/>
        <v/>
      </c>
      <c r="C392" s="8" t="str">
        <f t="shared" si="169"/>
        <v/>
      </c>
      <c r="D392" s="37" t="str">
        <f t="shared" si="170"/>
        <v/>
      </c>
      <c r="E392" s="31" t="str">
        <f t="shared" si="171"/>
        <v/>
      </c>
      <c r="F392" s="32" t="str">
        <f t="shared" si="172"/>
        <v/>
      </c>
      <c r="G392" s="32" t="str">
        <f t="shared" si="173"/>
        <v/>
      </c>
      <c r="H392" s="32" t="str">
        <f t="shared" si="174"/>
        <v/>
      </c>
      <c r="I392" s="32" t="str">
        <f t="shared" si="175"/>
        <v/>
      </c>
      <c r="J392" s="46" t="str">
        <f t="shared" si="176"/>
        <v/>
      </c>
      <c r="K392" s="32" t="str">
        <f t="shared" si="177"/>
        <v/>
      </c>
      <c r="L392" s="32" t="str">
        <f t="shared" si="178"/>
        <v/>
      </c>
      <c r="M392" s="32" t="str">
        <f t="shared" si="179"/>
        <v/>
      </c>
      <c r="N392" s="32" t="str">
        <f t="shared" si="180"/>
        <v/>
      </c>
      <c r="O392" s="32" t="str">
        <f t="shared" si="181"/>
        <v/>
      </c>
      <c r="Q392" t="str">
        <f>IFERROR(MATCH(388,บันทึกรายเที่ยว!$Z$6:$Z$10005,0),"")</f>
        <v/>
      </c>
      <c r="R392" t="str">
        <f>IF($Q392="","",INDEX(บันทึกรายเที่ยว!$V$6:$V$10005,$Q392))</f>
        <v/>
      </c>
      <c r="S392" t="str">
        <f>IF($Q392="","",INDEX(บันทึกรายเที่ยว!$F$6:$F$10005,$Q392))</f>
        <v/>
      </c>
      <c r="T392" t="str">
        <f>IF($Q392="","",MATCH($S392,บันทึกรายเที่ยว!$F$6:$F$10005,0))</f>
        <v/>
      </c>
      <c r="U392" t="str">
        <f>IF($Q392="","",$AL392*10000000+$T392*1000+388)</f>
        <v/>
      </c>
      <c r="V392" t="str">
        <f>IFERROR(MATCH(SMALL($U$5:$U$404,388),$U$5:$U$404,0),"")</f>
        <v/>
      </c>
      <c r="W392" t="str">
        <f t="shared" si="182"/>
        <v/>
      </c>
      <c r="X392" t="str">
        <f t="shared" si="183"/>
        <v/>
      </c>
      <c r="Y392" t="str">
        <f t="shared" si="184"/>
        <v/>
      </c>
      <c r="Z392">
        <f t="shared" si="194"/>
        <v>0</v>
      </c>
      <c r="AA392">
        <f t="shared" si="185"/>
        <v>0</v>
      </c>
      <c r="AB392">
        <f>IF($V392="",99999+388,$AB391+1+$Z391+$AA391+$AO391)</f>
        <v>100387</v>
      </c>
      <c r="AC392" t="str">
        <f>IFERROR(MATCH(388,$AB$5:$AB$404,1),"")</f>
        <v/>
      </c>
      <c r="AD392" t="str">
        <f>IF(388=$AI$1+1,"Z",IF($AC392="","",IF(INDEX($V$5:$V$404,$AC392)="","",IF(388&gt;INDEX($AB$5:$AB$404,$AC392)+INDEX($Z$5:$Z$404,$AC392)+INDEX($AA$5:$AA$404,$AC392)+INDEX($AO$5:$AO$404,$AC392),"",IF(388=INDEX($AB$5:$AB$404,$AC392)+INDEX($Z$5:$Z$404,$AC392),"D",IF(AND(INDEX($Z$5:$Z$404,$AC392)=1,388=INDEX($AB$5:$AB$404,$AC392)),"H",IF(AND(INDEX($AO$5:$AO$404,$AC392)=1,388=INDEX($AB$5:$AB$404,$AC392)+INDEX($Z$5:$Z$404,$AC392)+INDEX($AA$5:$AA$404,$AC392)+INDEX($AO$5:$AO$404,$AC392)),"B","T")))))))</f>
        <v/>
      </c>
      <c r="AF392" t="str">
        <f t="shared" si="186"/>
        <v/>
      </c>
      <c r="AJ392">
        <f>IF($AD392&lt;&gt;"T",0,ROUND(SUMIF(oil!$B$4:$B$63,$AF392,oil!$AE$4:$AE$63),2))</f>
        <v>0</v>
      </c>
      <c r="AK392" t="str">
        <f>IF($S392="","",IFERROR(INDEX(อัตราค่าขนส่ง!$R$5:$R$54,MATCH($S392,อัตราค่าขนส่ง!$Q$5:$Q$54,0)),INDEX(รายการมาตรฐาน!$G$2:$G$3,1)))</f>
        <v/>
      </c>
      <c r="AL392" t="str">
        <f>IF($S392="","",IFERROR(MATCH($AK392,รายการมาตรฐาน!$G$2:$G$3,0),1))</f>
        <v/>
      </c>
      <c r="AM392" t="str">
        <f t="shared" si="187"/>
        <v/>
      </c>
      <c r="AN392" t="str">
        <f t="shared" si="188"/>
        <v/>
      </c>
      <c r="AO392">
        <f t="shared" si="189"/>
        <v>0</v>
      </c>
      <c r="AP392">
        <f t="shared" si="195"/>
        <v>0</v>
      </c>
      <c r="AQ392" t="str">
        <f t="shared" si="190"/>
        <v/>
      </c>
      <c r="AR392">
        <f>IF($Y392="",0,COUNTIF(บันทึกรายเที่ยว!$V$6:$V$10005,$Y392))</f>
        <v>0</v>
      </c>
      <c r="AS392">
        <f>IF($Y392="",0,ROUND(SUMIF(บันทึกรายเที่ยว!$V$6:$V$10005,$Y392,บันทึกรายเที่ยว!$M$6:$M$10005),2))</f>
        <v>0</v>
      </c>
      <c r="AT392">
        <f>IF($Y392="",0,IFERROR(INDEX(อัตราค่าขนส่ง!$J$5:$J$204,MATCH($Y392,อัตราค่าขนส่ง!$O$5:$O$204,0)),0))</f>
        <v>0</v>
      </c>
      <c r="AU392">
        <f t="shared" si="191"/>
        <v>0</v>
      </c>
      <c r="AV392">
        <f t="shared" si="192"/>
        <v>0</v>
      </c>
      <c r="AW392" t="str">
        <f>IF($Y392="","",IFERROR(INDEX(อัตราค่าขนส่ง!$F$5:$F$204,MATCH($Y392,อัตราค่าขนส่ง!$O$5:$O$204,0)),""))</f>
        <v/>
      </c>
      <c r="AX392" t="str">
        <f>IF($W392="","",INDEX(บันทึกรายเที่ยว!$D$6:$D$10005,$W392))</f>
        <v/>
      </c>
      <c r="AY392" t="str">
        <f>IF($W392="","",INDEX(บันทึกรายเที่ยว!$R$6:$R$10005,$W392))</f>
        <v/>
      </c>
      <c r="AZ392">
        <f t="shared" si="193"/>
        <v>0</v>
      </c>
      <c r="BA392" t="str">
        <f>IF($W392="","",INDEX(บันทึกรายเที่ยว!$E$6:$E$10005,$W392))</f>
        <v/>
      </c>
      <c r="BC392">
        <f>IF($Y392="",0,IFERROR(INDEX(อัตราค่าขนส่ง!$M$5:$M$204,MATCH($Y392,อัตราค่าขนส่ง!$O$5:$O$204,0)),0))</f>
        <v>0</v>
      </c>
      <c r="BD392">
        <f>IF($Y392="",0,IFERROR(INDEX(อัตราค่าขนส่ง!$N$5:$N$204,MATCH($Y392,อัตราค่าขนส่ง!$O$5:$O$204,0)),0))</f>
        <v>0</v>
      </c>
    </row>
    <row r="393" spans="1:56" ht="21" customHeight="1" x14ac:dyDescent="0.95">
      <c r="A393" s="36" t="str">
        <f>IF($AD393="","",IF($AD393="Z","รวมจ่ายทั้งสิ้น",IF($AD393="H",INDEX($X$5:$X$404,$AC393),IF($AD393="T","รวม",IF($AD393="B",IFERROR(INDEX(อัตราค่าขนส่ง!$U$5:$U$14,MATCH(INDEX($AM$5:$AM$404,$AC393),อัตราค่าขนส่ง!$T$5:$T$14,0)),"รวมกลุ่ม "&amp;INDEX($AM$5:$AM$404,$AC393)),INDEX($AY$5:$AY$404,$AC393))))))</f>
        <v/>
      </c>
      <c r="B393" s="31" t="str">
        <f t="shared" si="168"/>
        <v/>
      </c>
      <c r="C393" s="8" t="str">
        <f t="shared" si="169"/>
        <v/>
      </c>
      <c r="D393" s="37" t="str">
        <f t="shared" si="170"/>
        <v/>
      </c>
      <c r="E393" s="31" t="str">
        <f t="shared" si="171"/>
        <v/>
      </c>
      <c r="F393" s="32" t="str">
        <f t="shared" si="172"/>
        <v/>
      </c>
      <c r="G393" s="32" t="str">
        <f t="shared" si="173"/>
        <v/>
      </c>
      <c r="H393" s="32" t="str">
        <f t="shared" si="174"/>
        <v/>
      </c>
      <c r="I393" s="32" t="str">
        <f t="shared" si="175"/>
        <v/>
      </c>
      <c r="J393" s="46" t="str">
        <f t="shared" si="176"/>
        <v/>
      </c>
      <c r="K393" s="32" t="str">
        <f t="shared" si="177"/>
        <v/>
      </c>
      <c r="L393" s="32" t="str">
        <f t="shared" si="178"/>
        <v/>
      </c>
      <c r="M393" s="32" t="str">
        <f t="shared" si="179"/>
        <v/>
      </c>
      <c r="N393" s="32" t="str">
        <f t="shared" si="180"/>
        <v/>
      </c>
      <c r="O393" s="32" t="str">
        <f t="shared" si="181"/>
        <v/>
      </c>
      <c r="Q393" t="str">
        <f>IFERROR(MATCH(389,บันทึกรายเที่ยว!$Z$6:$Z$10005,0),"")</f>
        <v/>
      </c>
      <c r="R393" t="str">
        <f>IF($Q393="","",INDEX(บันทึกรายเที่ยว!$V$6:$V$10005,$Q393))</f>
        <v/>
      </c>
      <c r="S393" t="str">
        <f>IF($Q393="","",INDEX(บันทึกรายเที่ยว!$F$6:$F$10005,$Q393))</f>
        <v/>
      </c>
      <c r="T393" t="str">
        <f>IF($Q393="","",MATCH($S393,บันทึกรายเที่ยว!$F$6:$F$10005,0))</f>
        <v/>
      </c>
      <c r="U393" t="str">
        <f>IF($Q393="","",$AL393*10000000+$T393*1000+389)</f>
        <v/>
      </c>
      <c r="V393" t="str">
        <f>IFERROR(MATCH(SMALL($U$5:$U$404,389),$U$5:$U$404,0),"")</f>
        <v/>
      </c>
      <c r="W393" t="str">
        <f t="shared" si="182"/>
        <v/>
      </c>
      <c r="X393" t="str">
        <f t="shared" si="183"/>
        <v/>
      </c>
      <c r="Y393" t="str">
        <f t="shared" si="184"/>
        <v/>
      </c>
      <c r="Z393">
        <f t="shared" si="194"/>
        <v>0</v>
      </c>
      <c r="AA393">
        <f t="shared" si="185"/>
        <v>0</v>
      </c>
      <c r="AB393">
        <f>IF($V393="",99999+389,$AB392+1+$Z392+$AA392+$AO392)</f>
        <v>100388</v>
      </c>
      <c r="AC393" t="str">
        <f>IFERROR(MATCH(389,$AB$5:$AB$404,1),"")</f>
        <v/>
      </c>
      <c r="AD393" t="str">
        <f>IF(389=$AI$1+1,"Z",IF($AC393="","",IF(INDEX($V$5:$V$404,$AC393)="","",IF(389&gt;INDEX($AB$5:$AB$404,$AC393)+INDEX($Z$5:$Z$404,$AC393)+INDEX($AA$5:$AA$404,$AC393)+INDEX($AO$5:$AO$404,$AC393),"",IF(389=INDEX($AB$5:$AB$404,$AC393)+INDEX($Z$5:$Z$404,$AC393),"D",IF(AND(INDEX($Z$5:$Z$404,$AC393)=1,389=INDEX($AB$5:$AB$404,$AC393)),"H",IF(AND(INDEX($AO$5:$AO$404,$AC393)=1,389=INDEX($AB$5:$AB$404,$AC393)+INDEX($Z$5:$Z$404,$AC393)+INDEX($AA$5:$AA$404,$AC393)+INDEX($AO$5:$AO$404,$AC393)),"B","T")))))))</f>
        <v/>
      </c>
      <c r="AF393" t="str">
        <f t="shared" si="186"/>
        <v/>
      </c>
      <c r="AJ393">
        <f>IF($AD393&lt;&gt;"T",0,ROUND(SUMIF(oil!$B$4:$B$63,$AF393,oil!$AE$4:$AE$63),2))</f>
        <v>0</v>
      </c>
      <c r="AK393" t="str">
        <f>IF($S393="","",IFERROR(INDEX(อัตราค่าขนส่ง!$R$5:$R$54,MATCH($S393,อัตราค่าขนส่ง!$Q$5:$Q$54,0)),INDEX(รายการมาตรฐาน!$G$2:$G$3,1)))</f>
        <v/>
      </c>
      <c r="AL393" t="str">
        <f>IF($S393="","",IFERROR(MATCH($AK393,รายการมาตรฐาน!$G$2:$G$3,0),1))</f>
        <v/>
      </c>
      <c r="AM393" t="str">
        <f t="shared" si="187"/>
        <v/>
      </c>
      <c r="AN393" t="str">
        <f t="shared" si="188"/>
        <v/>
      </c>
      <c r="AO393">
        <f t="shared" si="189"/>
        <v>0</v>
      </c>
      <c r="AP393">
        <f t="shared" si="195"/>
        <v>0</v>
      </c>
      <c r="AQ393" t="str">
        <f t="shared" si="190"/>
        <v/>
      </c>
      <c r="AR393">
        <f>IF($Y393="",0,COUNTIF(บันทึกรายเที่ยว!$V$6:$V$10005,$Y393))</f>
        <v>0</v>
      </c>
      <c r="AS393">
        <f>IF($Y393="",0,ROUND(SUMIF(บันทึกรายเที่ยว!$V$6:$V$10005,$Y393,บันทึกรายเที่ยว!$M$6:$M$10005),2))</f>
        <v>0</v>
      </c>
      <c r="AT393">
        <f>IF($Y393="",0,IFERROR(INDEX(อัตราค่าขนส่ง!$J$5:$J$204,MATCH($Y393,อัตราค่าขนส่ง!$O$5:$O$204,0)),0))</f>
        <v>0</v>
      </c>
      <c r="AU393">
        <f t="shared" si="191"/>
        <v>0</v>
      </c>
      <c r="AV393">
        <f t="shared" si="192"/>
        <v>0</v>
      </c>
      <c r="AW393" t="str">
        <f>IF($Y393="","",IFERROR(INDEX(อัตราค่าขนส่ง!$F$5:$F$204,MATCH($Y393,อัตราค่าขนส่ง!$O$5:$O$204,0)),""))</f>
        <v/>
      </c>
      <c r="AX393" t="str">
        <f>IF($W393="","",INDEX(บันทึกรายเที่ยว!$D$6:$D$10005,$W393))</f>
        <v/>
      </c>
      <c r="AY393" t="str">
        <f>IF($W393="","",INDEX(บันทึกรายเที่ยว!$R$6:$R$10005,$W393))</f>
        <v/>
      </c>
      <c r="AZ393">
        <f t="shared" si="193"/>
        <v>0</v>
      </c>
      <c r="BA393" t="str">
        <f>IF($W393="","",INDEX(บันทึกรายเที่ยว!$E$6:$E$10005,$W393))</f>
        <v/>
      </c>
      <c r="BC393">
        <f>IF($Y393="",0,IFERROR(INDEX(อัตราค่าขนส่ง!$M$5:$M$204,MATCH($Y393,อัตราค่าขนส่ง!$O$5:$O$204,0)),0))</f>
        <v>0</v>
      </c>
      <c r="BD393">
        <f>IF($Y393="",0,IFERROR(INDEX(อัตราค่าขนส่ง!$N$5:$N$204,MATCH($Y393,อัตราค่าขนส่ง!$O$5:$O$204,0)),0))</f>
        <v>0</v>
      </c>
    </row>
    <row r="394" spans="1:56" ht="21" customHeight="1" x14ac:dyDescent="0.95">
      <c r="A394" s="36" t="str">
        <f>IF($AD394="","",IF($AD394="Z","รวมจ่ายทั้งสิ้น",IF($AD394="H",INDEX($X$5:$X$404,$AC394),IF($AD394="T","รวม",IF($AD394="B",IFERROR(INDEX(อัตราค่าขนส่ง!$U$5:$U$14,MATCH(INDEX($AM$5:$AM$404,$AC394),อัตราค่าขนส่ง!$T$5:$T$14,0)),"รวมกลุ่ม "&amp;INDEX($AM$5:$AM$404,$AC394)),INDEX($AY$5:$AY$404,$AC394))))))</f>
        <v/>
      </c>
      <c r="B394" s="31" t="str">
        <f t="shared" si="168"/>
        <v/>
      </c>
      <c r="C394" s="8" t="str">
        <f t="shared" si="169"/>
        <v/>
      </c>
      <c r="D394" s="37" t="str">
        <f t="shared" si="170"/>
        <v/>
      </c>
      <c r="E394" s="31" t="str">
        <f t="shared" si="171"/>
        <v/>
      </c>
      <c r="F394" s="32" t="str">
        <f t="shared" si="172"/>
        <v/>
      </c>
      <c r="G394" s="32" t="str">
        <f t="shared" si="173"/>
        <v/>
      </c>
      <c r="H394" s="32" t="str">
        <f t="shared" si="174"/>
        <v/>
      </c>
      <c r="I394" s="32" t="str">
        <f t="shared" si="175"/>
        <v/>
      </c>
      <c r="J394" s="46" t="str">
        <f t="shared" si="176"/>
        <v/>
      </c>
      <c r="K394" s="32" t="str">
        <f t="shared" si="177"/>
        <v/>
      </c>
      <c r="L394" s="32" t="str">
        <f t="shared" si="178"/>
        <v/>
      </c>
      <c r="M394" s="32" t="str">
        <f t="shared" si="179"/>
        <v/>
      </c>
      <c r="N394" s="32" t="str">
        <f t="shared" si="180"/>
        <v/>
      </c>
      <c r="O394" s="32" t="str">
        <f t="shared" si="181"/>
        <v/>
      </c>
      <c r="Q394" t="str">
        <f>IFERROR(MATCH(390,บันทึกรายเที่ยว!$Z$6:$Z$10005,0),"")</f>
        <v/>
      </c>
      <c r="R394" t="str">
        <f>IF($Q394="","",INDEX(บันทึกรายเที่ยว!$V$6:$V$10005,$Q394))</f>
        <v/>
      </c>
      <c r="S394" t="str">
        <f>IF($Q394="","",INDEX(บันทึกรายเที่ยว!$F$6:$F$10005,$Q394))</f>
        <v/>
      </c>
      <c r="T394" t="str">
        <f>IF($Q394="","",MATCH($S394,บันทึกรายเที่ยว!$F$6:$F$10005,0))</f>
        <v/>
      </c>
      <c r="U394" t="str">
        <f>IF($Q394="","",$AL394*10000000+$T394*1000+390)</f>
        <v/>
      </c>
      <c r="V394" t="str">
        <f>IFERROR(MATCH(SMALL($U$5:$U$404,390),$U$5:$U$404,0),"")</f>
        <v/>
      </c>
      <c r="W394" t="str">
        <f t="shared" si="182"/>
        <v/>
      </c>
      <c r="X394" t="str">
        <f t="shared" si="183"/>
        <v/>
      </c>
      <c r="Y394" t="str">
        <f t="shared" si="184"/>
        <v/>
      </c>
      <c r="Z394">
        <f t="shared" si="194"/>
        <v>0</v>
      </c>
      <c r="AA394">
        <f t="shared" si="185"/>
        <v>0</v>
      </c>
      <c r="AB394">
        <f>IF($V394="",99999+390,$AB393+1+$Z393+$AA393+$AO393)</f>
        <v>100389</v>
      </c>
      <c r="AC394" t="str">
        <f>IFERROR(MATCH(390,$AB$5:$AB$404,1),"")</f>
        <v/>
      </c>
      <c r="AD394" t="str">
        <f>IF(390=$AI$1+1,"Z",IF($AC394="","",IF(INDEX($V$5:$V$404,$AC394)="","",IF(390&gt;INDEX($AB$5:$AB$404,$AC394)+INDEX($Z$5:$Z$404,$AC394)+INDEX($AA$5:$AA$404,$AC394)+INDEX($AO$5:$AO$404,$AC394),"",IF(390=INDEX($AB$5:$AB$404,$AC394)+INDEX($Z$5:$Z$404,$AC394),"D",IF(AND(INDEX($Z$5:$Z$404,$AC394)=1,390=INDEX($AB$5:$AB$404,$AC394)),"H",IF(AND(INDEX($AO$5:$AO$404,$AC394)=1,390=INDEX($AB$5:$AB$404,$AC394)+INDEX($Z$5:$Z$404,$AC394)+INDEX($AA$5:$AA$404,$AC394)+INDEX($AO$5:$AO$404,$AC394)),"B","T")))))))</f>
        <v/>
      </c>
      <c r="AF394" t="str">
        <f t="shared" si="186"/>
        <v/>
      </c>
      <c r="AJ394">
        <f>IF($AD394&lt;&gt;"T",0,ROUND(SUMIF(oil!$B$4:$B$63,$AF394,oil!$AE$4:$AE$63),2))</f>
        <v>0</v>
      </c>
      <c r="AK394" t="str">
        <f>IF($S394="","",IFERROR(INDEX(อัตราค่าขนส่ง!$R$5:$R$54,MATCH($S394,อัตราค่าขนส่ง!$Q$5:$Q$54,0)),INDEX(รายการมาตรฐาน!$G$2:$G$3,1)))</f>
        <v/>
      </c>
      <c r="AL394" t="str">
        <f>IF($S394="","",IFERROR(MATCH($AK394,รายการมาตรฐาน!$G$2:$G$3,0),1))</f>
        <v/>
      </c>
      <c r="AM394" t="str">
        <f t="shared" si="187"/>
        <v/>
      </c>
      <c r="AN394" t="str">
        <f t="shared" si="188"/>
        <v/>
      </c>
      <c r="AO394">
        <f t="shared" si="189"/>
        <v>0</v>
      </c>
      <c r="AP394">
        <f t="shared" si="195"/>
        <v>0</v>
      </c>
      <c r="AQ394" t="str">
        <f t="shared" si="190"/>
        <v/>
      </c>
      <c r="AR394">
        <f>IF($Y394="",0,COUNTIF(บันทึกรายเที่ยว!$V$6:$V$10005,$Y394))</f>
        <v>0</v>
      </c>
      <c r="AS394">
        <f>IF($Y394="",0,ROUND(SUMIF(บันทึกรายเที่ยว!$V$6:$V$10005,$Y394,บันทึกรายเที่ยว!$M$6:$M$10005),2))</f>
        <v>0</v>
      </c>
      <c r="AT394">
        <f>IF($Y394="",0,IFERROR(INDEX(อัตราค่าขนส่ง!$J$5:$J$204,MATCH($Y394,อัตราค่าขนส่ง!$O$5:$O$204,0)),0))</f>
        <v>0</v>
      </c>
      <c r="AU394">
        <f t="shared" si="191"/>
        <v>0</v>
      </c>
      <c r="AV394">
        <f t="shared" si="192"/>
        <v>0</v>
      </c>
      <c r="AW394" t="str">
        <f>IF($Y394="","",IFERROR(INDEX(อัตราค่าขนส่ง!$F$5:$F$204,MATCH($Y394,อัตราค่าขนส่ง!$O$5:$O$204,0)),""))</f>
        <v/>
      </c>
      <c r="AX394" t="str">
        <f>IF($W394="","",INDEX(บันทึกรายเที่ยว!$D$6:$D$10005,$W394))</f>
        <v/>
      </c>
      <c r="AY394" t="str">
        <f>IF($W394="","",INDEX(บันทึกรายเที่ยว!$R$6:$R$10005,$W394))</f>
        <v/>
      </c>
      <c r="AZ394">
        <f t="shared" si="193"/>
        <v>0</v>
      </c>
      <c r="BA394" t="str">
        <f>IF($W394="","",INDEX(บันทึกรายเที่ยว!$E$6:$E$10005,$W394))</f>
        <v/>
      </c>
      <c r="BC394">
        <f>IF($Y394="",0,IFERROR(INDEX(อัตราค่าขนส่ง!$M$5:$M$204,MATCH($Y394,อัตราค่าขนส่ง!$O$5:$O$204,0)),0))</f>
        <v>0</v>
      </c>
      <c r="BD394">
        <f>IF($Y394="",0,IFERROR(INDEX(อัตราค่าขนส่ง!$N$5:$N$204,MATCH($Y394,อัตราค่าขนส่ง!$O$5:$O$204,0)),0))</f>
        <v>0</v>
      </c>
    </row>
    <row r="395" spans="1:56" ht="21" customHeight="1" x14ac:dyDescent="0.95">
      <c r="A395" s="36" t="str">
        <f>IF($AD395="","",IF($AD395="Z","รวมจ่ายทั้งสิ้น",IF($AD395="H",INDEX($X$5:$X$404,$AC395),IF($AD395="T","รวม",IF($AD395="B",IFERROR(INDEX(อัตราค่าขนส่ง!$U$5:$U$14,MATCH(INDEX($AM$5:$AM$404,$AC395),อัตราค่าขนส่ง!$T$5:$T$14,0)),"รวมกลุ่ม "&amp;INDEX($AM$5:$AM$404,$AC395)),INDEX($AY$5:$AY$404,$AC395))))))</f>
        <v/>
      </c>
      <c r="B395" s="31" t="str">
        <f t="shared" si="168"/>
        <v/>
      </c>
      <c r="C395" s="8" t="str">
        <f t="shared" si="169"/>
        <v/>
      </c>
      <c r="D395" s="37" t="str">
        <f t="shared" si="170"/>
        <v/>
      </c>
      <c r="E395" s="31" t="str">
        <f t="shared" si="171"/>
        <v/>
      </c>
      <c r="F395" s="32" t="str">
        <f t="shared" si="172"/>
        <v/>
      </c>
      <c r="G395" s="32" t="str">
        <f t="shared" si="173"/>
        <v/>
      </c>
      <c r="H395" s="32" t="str">
        <f t="shared" si="174"/>
        <v/>
      </c>
      <c r="I395" s="32" t="str">
        <f t="shared" si="175"/>
        <v/>
      </c>
      <c r="J395" s="46" t="str">
        <f t="shared" si="176"/>
        <v/>
      </c>
      <c r="K395" s="32" t="str">
        <f t="shared" si="177"/>
        <v/>
      </c>
      <c r="L395" s="32" t="str">
        <f t="shared" si="178"/>
        <v/>
      </c>
      <c r="M395" s="32" t="str">
        <f t="shared" si="179"/>
        <v/>
      </c>
      <c r="N395" s="32" t="str">
        <f t="shared" si="180"/>
        <v/>
      </c>
      <c r="O395" s="32" t="str">
        <f t="shared" si="181"/>
        <v/>
      </c>
      <c r="Q395" t="str">
        <f>IFERROR(MATCH(391,บันทึกรายเที่ยว!$Z$6:$Z$10005,0),"")</f>
        <v/>
      </c>
      <c r="R395" t="str">
        <f>IF($Q395="","",INDEX(บันทึกรายเที่ยว!$V$6:$V$10005,$Q395))</f>
        <v/>
      </c>
      <c r="S395" t="str">
        <f>IF($Q395="","",INDEX(บันทึกรายเที่ยว!$F$6:$F$10005,$Q395))</f>
        <v/>
      </c>
      <c r="T395" t="str">
        <f>IF($Q395="","",MATCH($S395,บันทึกรายเที่ยว!$F$6:$F$10005,0))</f>
        <v/>
      </c>
      <c r="U395" t="str">
        <f>IF($Q395="","",$AL395*10000000+$T395*1000+391)</f>
        <v/>
      </c>
      <c r="V395" t="str">
        <f>IFERROR(MATCH(SMALL($U$5:$U$404,391),$U$5:$U$404,0),"")</f>
        <v/>
      </c>
      <c r="W395" t="str">
        <f t="shared" si="182"/>
        <v/>
      </c>
      <c r="X395" t="str">
        <f t="shared" si="183"/>
        <v/>
      </c>
      <c r="Y395" t="str">
        <f t="shared" si="184"/>
        <v/>
      </c>
      <c r="Z395">
        <f t="shared" si="194"/>
        <v>0</v>
      </c>
      <c r="AA395">
        <f t="shared" si="185"/>
        <v>0</v>
      </c>
      <c r="AB395">
        <f>IF($V395="",99999+391,$AB394+1+$Z394+$AA394+$AO394)</f>
        <v>100390</v>
      </c>
      <c r="AC395" t="str">
        <f>IFERROR(MATCH(391,$AB$5:$AB$404,1),"")</f>
        <v/>
      </c>
      <c r="AD395" t="str">
        <f>IF(391=$AI$1+1,"Z",IF($AC395="","",IF(INDEX($V$5:$V$404,$AC395)="","",IF(391&gt;INDEX($AB$5:$AB$404,$AC395)+INDEX($Z$5:$Z$404,$AC395)+INDEX($AA$5:$AA$404,$AC395)+INDEX($AO$5:$AO$404,$AC395),"",IF(391=INDEX($AB$5:$AB$404,$AC395)+INDEX($Z$5:$Z$404,$AC395),"D",IF(AND(INDEX($Z$5:$Z$404,$AC395)=1,391=INDEX($AB$5:$AB$404,$AC395)),"H",IF(AND(INDEX($AO$5:$AO$404,$AC395)=1,391=INDEX($AB$5:$AB$404,$AC395)+INDEX($Z$5:$Z$404,$AC395)+INDEX($AA$5:$AA$404,$AC395)+INDEX($AO$5:$AO$404,$AC395)),"B","T")))))))</f>
        <v/>
      </c>
      <c r="AF395" t="str">
        <f t="shared" si="186"/>
        <v/>
      </c>
      <c r="AJ395">
        <f>IF($AD395&lt;&gt;"T",0,ROUND(SUMIF(oil!$B$4:$B$63,$AF395,oil!$AE$4:$AE$63),2))</f>
        <v>0</v>
      </c>
      <c r="AK395" t="str">
        <f>IF($S395="","",IFERROR(INDEX(อัตราค่าขนส่ง!$R$5:$R$54,MATCH($S395,อัตราค่าขนส่ง!$Q$5:$Q$54,0)),INDEX(รายการมาตรฐาน!$G$2:$G$3,1)))</f>
        <v/>
      </c>
      <c r="AL395" t="str">
        <f>IF($S395="","",IFERROR(MATCH($AK395,รายการมาตรฐาน!$G$2:$G$3,0),1))</f>
        <v/>
      </c>
      <c r="AM395" t="str">
        <f t="shared" si="187"/>
        <v/>
      </c>
      <c r="AN395" t="str">
        <f t="shared" si="188"/>
        <v/>
      </c>
      <c r="AO395">
        <f t="shared" si="189"/>
        <v>0</v>
      </c>
      <c r="AP395">
        <f t="shared" si="195"/>
        <v>0</v>
      </c>
      <c r="AQ395" t="str">
        <f t="shared" si="190"/>
        <v/>
      </c>
      <c r="AR395">
        <f>IF($Y395="",0,COUNTIF(บันทึกรายเที่ยว!$V$6:$V$10005,$Y395))</f>
        <v>0</v>
      </c>
      <c r="AS395">
        <f>IF($Y395="",0,ROUND(SUMIF(บันทึกรายเที่ยว!$V$6:$V$10005,$Y395,บันทึกรายเที่ยว!$M$6:$M$10005),2))</f>
        <v>0</v>
      </c>
      <c r="AT395">
        <f>IF($Y395="",0,IFERROR(INDEX(อัตราค่าขนส่ง!$J$5:$J$204,MATCH($Y395,อัตราค่าขนส่ง!$O$5:$O$204,0)),0))</f>
        <v>0</v>
      </c>
      <c r="AU395">
        <f t="shared" si="191"/>
        <v>0</v>
      </c>
      <c r="AV395">
        <f t="shared" si="192"/>
        <v>0</v>
      </c>
      <c r="AW395" t="str">
        <f>IF($Y395="","",IFERROR(INDEX(อัตราค่าขนส่ง!$F$5:$F$204,MATCH($Y395,อัตราค่าขนส่ง!$O$5:$O$204,0)),""))</f>
        <v/>
      </c>
      <c r="AX395" t="str">
        <f>IF($W395="","",INDEX(บันทึกรายเที่ยว!$D$6:$D$10005,$W395))</f>
        <v/>
      </c>
      <c r="AY395" t="str">
        <f>IF($W395="","",INDEX(บันทึกรายเที่ยว!$R$6:$R$10005,$W395))</f>
        <v/>
      </c>
      <c r="AZ395">
        <f t="shared" si="193"/>
        <v>0</v>
      </c>
      <c r="BA395" t="str">
        <f>IF($W395="","",INDEX(บันทึกรายเที่ยว!$E$6:$E$10005,$W395))</f>
        <v/>
      </c>
      <c r="BC395">
        <f>IF($Y395="",0,IFERROR(INDEX(อัตราค่าขนส่ง!$M$5:$M$204,MATCH($Y395,อัตราค่าขนส่ง!$O$5:$O$204,0)),0))</f>
        <v>0</v>
      </c>
      <c r="BD395">
        <f>IF($Y395="",0,IFERROR(INDEX(อัตราค่าขนส่ง!$N$5:$N$204,MATCH($Y395,อัตราค่าขนส่ง!$O$5:$O$204,0)),0))</f>
        <v>0</v>
      </c>
    </row>
    <row r="396" spans="1:56" ht="21" customHeight="1" x14ac:dyDescent="0.95">
      <c r="A396" s="36" t="str">
        <f>IF($AD396="","",IF($AD396="Z","รวมจ่ายทั้งสิ้น",IF($AD396="H",INDEX($X$5:$X$404,$AC396),IF($AD396="T","รวม",IF($AD396="B",IFERROR(INDEX(อัตราค่าขนส่ง!$U$5:$U$14,MATCH(INDEX($AM$5:$AM$404,$AC396),อัตราค่าขนส่ง!$T$5:$T$14,0)),"รวมกลุ่ม "&amp;INDEX($AM$5:$AM$404,$AC396)),INDEX($AY$5:$AY$404,$AC396))))))</f>
        <v/>
      </c>
      <c r="B396" s="31" t="str">
        <f t="shared" si="168"/>
        <v/>
      </c>
      <c r="C396" s="8" t="str">
        <f t="shared" si="169"/>
        <v/>
      </c>
      <c r="D396" s="37" t="str">
        <f t="shared" si="170"/>
        <v/>
      </c>
      <c r="E396" s="31" t="str">
        <f t="shared" si="171"/>
        <v/>
      </c>
      <c r="F396" s="32" t="str">
        <f t="shared" si="172"/>
        <v/>
      </c>
      <c r="G396" s="32" t="str">
        <f t="shared" si="173"/>
        <v/>
      </c>
      <c r="H396" s="32" t="str">
        <f t="shared" si="174"/>
        <v/>
      </c>
      <c r="I396" s="32" t="str">
        <f t="shared" si="175"/>
        <v/>
      </c>
      <c r="J396" s="46" t="str">
        <f t="shared" si="176"/>
        <v/>
      </c>
      <c r="K396" s="32" t="str">
        <f t="shared" si="177"/>
        <v/>
      </c>
      <c r="L396" s="32" t="str">
        <f t="shared" si="178"/>
        <v/>
      </c>
      <c r="M396" s="32" t="str">
        <f t="shared" si="179"/>
        <v/>
      </c>
      <c r="N396" s="32" t="str">
        <f t="shared" si="180"/>
        <v/>
      </c>
      <c r="O396" s="32" t="str">
        <f t="shared" si="181"/>
        <v/>
      </c>
      <c r="Q396" t="str">
        <f>IFERROR(MATCH(392,บันทึกรายเที่ยว!$Z$6:$Z$10005,0),"")</f>
        <v/>
      </c>
      <c r="R396" t="str">
        <f>IF($Q396="","",INDEX(บันทึกรายเที่ยว!$V$6:$V$10005,$Q396))</f>
        <v/>
      </c>
      <c r="S396" t="str">
        <f>IF($Q396="","",INDEX(บันทึกรายเที่ยว!$F$6:$F$10005,$Q396))</f>
        <v/>
      </c>
      <c r="T396" t="str">
        <f>IF($Q396="","",MATCH($S396,บันทึกรายเที่ยว!$F$6:$F$10005,0))</f>
        <v/>
      </c>
      <c r="U396" t="str">
        <f>IF($Q396="","",$AL396*10000000+$T396*1000+392)</f>
        <v/>
      </c>
      <c r="V396" t="str">
        <f>IFERROR(MATCH(SMALL($U$5:$U$404,392),$U$5:$U$404,0),"")</f>
        <v/>
      </c>
      <c r="W396" t="str">
        <f t="shared" si="182"/>
        <v/>
      </c>
      <c r="X396" t="str">
        <f t="shared" si="183"/>
        <v/>
      </c>
      <c r="Y396" t="str">
        <f t="shared" si="184"/>
        <v/>
      </c>
      <c r="Z396">
        <f t="shared" si="194"/>
        <v>0</v>
      </c>
      <c r="AA396">
        <f t="shared" si="185"/>
        <v>0</v>
      </c>
      <c r="AB396">
        <f>IF($V396="",99999+392,$AB395+1+$Z395+$AA395+$AO395)</f>
        <v>100391</v>
      </c>
      <c r="AC396" t="str">
        <f>IFERROR(MATCH(392,$AB$5:$AB$404,1),"")</f>
        <v/>
      </c>
      <c r="AD396" t="str">
        <f>IF(392=$AI$1+1,"Z",IF($AC396="","",IF(INDEX($V$5:$V$404,$AC396)="","",IF(392&gt;INDEX($AB$5:$AB$404,$AC396)+INDEX($Z$5:$Z$404,$AC396)+INDEX($AA$5:$AA$404,$AC396)+INDEX($AO$5:$AO$404,$AC396),"",IF(392=INDEX($AB$5:$AB$404,$AC396)+INDEX($Z$5:$Z$404,$AC396),"D",IF(AND(INDEX($Z$5:$Z$404,$AC396)=1,392=INDEX($AB$5:$AB$404,$AC396)),"H",IF(AND(INDEX($AO$5:$AO$404,$AC396)=1,392=INDEX($AB$5:$AB$404,$AC396)+INDEX($Z$5:$Z$404,$AC396)+INDEX($AA$5:$AA$404,$AC396)+INDEX($AO$5:$AO$404,$AC396)),"B","T")))))))</f>
        <v/>
      </c>
      <c r="AF396" t="str">
        <f t="shared" si="186"/>
        <v/>
      </c>
      <c r="AJ396">
        <f>IF($AD396&lt;&gt;"T",0,ROUND(SUMIF(oil!$B$4:$B$63,$AF396,oil!$AE$4:$AE$63),2))</f>
        <v>0</v>
      </c>
      <c r="AK396" t="str">
        <f>IF($S396="","",IFERROR(INDEX(อัตราค่าขนส่ง!$R$5:$R$54,MATCH($S396,อัตราค่าขนส่ง!$Q$5:$Q$54,0)),INDEX(รายการมาตรฐาน!$G$2:$G$3,1)))</f>
        <v/>
      </c>
      <c r="AL396" t="str">
        <f>IF($S396="","",IFERROR(MATCH($AK396,รายการมาตรฐาน!$G$2:$G$3,0),1))</f>
        <v/>
      </c>
      <c r="AM396" t="str">
        <f t="shared" si="187"/>
        <v/>
      </c>
      <c r="AN396" t="str">
        <f t="shared" si="188"/>
        <v/>
      </c>
      <c r="AO396">
        <f t="shared" si="189"/>
        <v>0</v>
      </c>
      <c r="AP396">
        <f t="shared" si="195"/>
        <v>0</v>
      </c>
      <c r="AQ396" t="str">
        <f t="shared" si="190"/>
        <v/>
      </c>
      <c r="AR396">
        <f>IF($Y396="",0,COUNTIF(บันทึกรายเที่ยว!$V$6:$V$10005,$Y396))</f>
        <v>0</v>
      </c>
      <c r="AS396">
        <f>IF($Y396="",0,ROUND(SUMIF(บันทึกรายเที่ยว!$V$6:$V$10005,$Y396,บันทึกรายเที่ยว!$M$6:$M$10005),2))</f>
        <v>0</v>
      </c>
      <c r="AT396">
        <f>IF($Y396="",0,IFERROR(INDEX(อัตราค่าขนส่ง!$J$5:$J$204,MATCH($Y396,อัตราค่าขนส่ง!$O$5:$O$204,0)),0))</f>
        <v>0</v>
      </c>
      <c r="AU396">
        <f t="shared" si="191"/>
        <v>0</v>
      </c>
      <c r="AV396">
        <f t="shared" si="192"/>
        <v>0</v>
      </c>
      <c r="AW396" t="str">
        <f>IF($Y396="","",IFERROR(INDEX(อัตราค่าขนส่ง!$F$5:$F$204,MATCH($Y396,อัตราค่าขนส่ง!$O$5:$O$204,0)),""))</f>
        <v/>
      </c>
      <c r="AX396" t="str">
        <f>IF($W396="","",INDEX(บันทึกรายเที่ยว!$D$6:$D$10005,$W396))</f>
        <v/>
      </c>
      <c r="AY396" t="str">
        <f>IF($W396="","",INDEX(บันทึกรายเที่ยว!$R$6:$R$10005,$W396))</f>
        <v/>
      </c>
      <c r="AZ396">
        <f t="shared" si="193"/>
        <v>0</v>
      </c>
      <c r="BA396" t="str">
        <f>IF($W396="","",INDEX(บันทึกรายเที่ยว!$E$6:$E$10005,$W396))</f>
        <v/>
      </c>
      <c r="BC396">
        <f>IF($Y396="",0,IFERROR(INDEX(อัตราค่าขนส่ง!$M$5:$M$204,MATCH($Y396,อัตราค่าขนส่ง!$O$5:$O$204,0)),0))</f>
        <v>0</v>
      </c>
      <c r="BD396">
        <f>IF($Y396="",0,IFERROR(INDEX(อัตราค่าขนส่ง!$N$5:$N$204,MATCH($Y396,อัตราค่าขนส่ง!$O$5:$O$204,0)),0))</f>
        <v>0</v>
      </c>
    </row>
    <row r="397" spans="1:56" ht="21" customHeight="1" x14ac:dyDescent="0.95">
      <c r="A397" s="36" t="str">
        <f>IF($AD397="","",IF($AD397="Z","รวมจ่ายทั้งสิ้น",IF($AD397="H",INDEX($X$5:$X$404,$AC397),IF($AD397="T","รวม",IF($AD397="B",IFERROR(INDEX(อัตราค่าขนส่ง!$U$5:$U$14,MATCH(INDEX($AM$5:$AM$404,$AC397),อัตราค่าขนส่ง!$T$5:$T$14,0)),"รวมกลุ่ม "&amp;INDEX($AM$5:$AM$404,$AC397)),INDEX($AY$5:$AY$404,$AC397))))))</f>
        <v/>
      </c>
      <c r="B397" s="31" t="str">
        <f t="shared" si="168"/>
        <v/>
      </c>
      <c r="C397" s="8" t="str">
        <f t="shared" si="169"/>
        <v/>
      </c>
      <c r="D397" s="37" t="str">
        <f t="shared" si="170"/>
        <v/>
      </c>
      <c r="E397" s="31" t="str">
        <f t="shared" si="171"/>
        <v/>
      </c>
      <c r="F397" s="32" t="str">
        <f t="shared" si="172"/>
        <v/>
      </c>
      <c r="G397" s="32" t="str">
        <f t="shared" si="173"/>
        <v/>
      </c>
      <c r="H397" s="32" t="str">
        <f t="shared" si="174"/>
        <v/>
      </c>
      <c r="I397" s="32" t="str">
        <f t="shared" si="175"/>
        <v/>
      </c>
      <c r="J397" s="46" t="str">
        <f t="shared" si="176"/>
        <v/>
      </c>
      <c r="K397" s="32" t="str">
        <f t="shared" si="177"/>
        <v/>
      </c>
      <c r="L397" s="32" t="str">
        <f t="shared" si="178"/>
        <v/>
      </c>
      <c r="M397" s="32" t="str">
        <f t="shared" si="179"/>
        <v/>
      </c>
      <c r="N397" s="32" t="str">
        <f t="shared" si="180"/>
        <v/>
      </c>
      <c r="O397" s="32" t="str">
        <f t="shared" si="181"/>
        <v/>
      </c>
      <c r="Q397" t="str">
        <f>IFERROR(MATCH(393,บันทึกรายเที่ยว!$Z$6:$Z$10005,0),"")</f>
        <v/>
      </c>
      <c r="R397" t="str">
        <f>IF($Q397="","",INDEX(บันทึกรายเที่ยว!$V$6:$V$10005,$Q397))</f>
        <v/>
      </c>
      <c r="S397" t="str">
        <f>IF($Q397="","",INDEX(บันทึกรายเที่ยว!$F$6:$F$10005,$Q397))</f>
        <v/>
      </c>
      <c r="T397" t="str">
        <f>IF($Q397="","",MATCH($S397,บันทึกรายเที่ยว!$F$6:$F$10005,0))</f>
        <v/>
      </c>
      <c r="U397" t="str">
        <f>IF($Q397="","",$AL397*10000000+$T397*1000+393)</f>
        <v/>
      </c>
      <c r="V397" t="str">
        <f>IFERROR(MATCH(SMALL($U$5:$U$404,393),$U$5:$U$404,0),"")</f>
        <v/>
      </c>
      <c r="W397" t="str">
        <f t="shared" si="182"/>
        <v/>
      </c>
      <c r="X397" t="str">
        <f t="shared" si="183"/>
        <v/>
      </c>
      <c r="Y397" t="str">
        <f t="shared" si="184"/>
        <v/>
      </c>
      <c r="Z397">
        <f t="shared" si="194"/>
        <v>0</v>
      </c>
      <c r="AA397">
        <f t="shared" si="185"/>
        <v>0</v>
      </c>
      <c r="AB397">
        <f>IF($V397="",99999+393,$AB396+1+$Z396+$AA396+$AO396)</f>
        <v>100392</v>
      </c>
      <c r="AC397" t="str">
        <f>IFERROR(MATCH(393,$AB$5:$AB$404,1),"")</f>
        <v/>
      </c>
      <c r="AD397" t="str">
        <f>IF(393=$AI$1+1,"Z",IF($AC397="","",IF(INDEX($V$5:$V$404,$AC397)="","",IF(393&gt;INDEX($AB$5:$AB$404,$AC397)+INDEX($Z$5:$Z$404,$AC397)+INDEX($AA$5:$AA$404,$AC397)+INDEX($AO$5:$AO$404,$AC397),"",IF(393=INDEX($AB$5:$AB$404,$AC397)+INDEX($Z$5:$Z$404,$AC397),"D",IF(AND(INDEX($Z$5:$Z$404,$AC397)=1,393=INDEX($AB$5:$AB$404,$AC397)),"H",IF(AND(INDEX($AO$5:$AO$404,$AC397)=1,393=INDEX($AB$5:$AB$404,$AC397)+INDEX($Z$5:$Z$404,$AC397)+INDEX($AA$5:$AA$404,$AC397)+INDEX($AO$5:$AO$404,$AC397)),"B","T")))))))</f>
        <v/>
      </c>
      <c r="AF397" t="str">
        <f t="shared" si="186"/>
        <v/>
      </c>
      <c r="AJ397">
        <f>IF($AD397&lt;&gt;"T",0,ROUND(SUMIF(oil!$B$4:$B$63,$AF397,oil!$AE$4:$AE$63),2))</f>
        <v>0</v>
      </c>
      <c r="AK397" t="str">
        <f>IF($S397="","",IFERROR(INDEX(อัตราค่าขนส่ง!$R$5:$R$54,MATCH($S397,อัตราค่าขนส่ง!$Q$5:$Q$54,0)),INDEX(รายการมาตรฐาน!$G$2:$G$3,1)))</f>
        <v/>
      </c>
      <c r="AL397" t="str">
        <f>IF($S397="","",IFERROR(MATCH($AK397,รายการมาตรฐาน!$G$2:$G$3,0),1))</f>
        <v/>
      </c>
      <c r="AM397" t="str">
        <f t="shared" si="187"/>
        <v/>
      </c>
      <c r="AN397" t="str">
        <f t="shared" si="188"/>
        <v/>
      </c>
      <c r="AO397">
        <f t="shared" si="189"/>
        <v>0</v>
      </c>
      <c r="AP397">
        <f t="shared" si="195"/>
        <v>0</v>
      </c>
      <c r="AQ397" t="str">
        <f t="shared" si="190"/>
        <v/>
      </c>
      <c r="AR397">
        <f>IF($Y397="",0,COUNTIF(บันทึกรายเที่ยว!$V$6:$V$10005,$Y397))</f>
        <v>0</v>
      </c>
      <c r="AS397">
        <f>IF($Y397="",0,ROUND(SUMIF(บันทึกรายเที่ยว!$V$6:$V$10005,$Y397,บันทึกรายเที่ยว!$M$6:$M$10005),2))</f>
        <v>0</v>
      </c>
      <c r="AT397">
        <f>IF($Y397="",0,IFERROR(INDEX(อัตราค่าขนส่ง!$J$5:$J$204,MATCH($Y397,อัตราค่าขนส่ง!$O$5:$O$204,0)),0))</f>
        <v>0</v>
      </c>
      <c r="AU397">
        <f t="shared" si="191"/>
        <v>0</v>
      </c>
      <c r="AV397">
        <f t="shared" si="192"/>
        <v>0</v>
      </c>
      <c r="AW397" t="str">
        <f>IF($Y397="","",IFERROR(INDEX(อัตราค่าขนส่ง!$F$5:$F$204,MATCH($Y397,อัตราค่าขนส่ง!$O$5:$O$204,0)),""))</f>
        <v/>
      </c>
      <c r="AX397" t="str">
        <f>IF($W397="","",INDEX(บันทึกรายเที่ยว!$D$6:$D$10005,$W397))</f>
        <v/>
      </c>
      <c r="AY397" t="str">
        <f>IF($W397="","",INDEX(บันทึกรายเที่ยว!$R$6:$R$10005,$W397))</f>
        <v/>
      </c>
      <c r="AZ397">
        <f t="shared" si="193"/>
        <v>0</v>
      </c>
      <c r="BA397" t="str">
        <f>IF($W397="","",INDEX(บันทึกรายเที่ยว!$E$6:$E$10005,$W397))</f>
        <v/>
      </c>
      <c r="BC397">
        <f>IF($Y397="",0,IFERROR(INDEX(อัตราค่าขนส่ง!$M$5:$M$204,MATCH($Y397,อัตราค่าขนส่ง!$O$5:$O$204,0)),0))</f>
        <v>0</v>
      </c>
      <c r="BD397">
        <f>IF($Y397="",0,IFERROR(INDEX(อัตราค่าขนส่ง!$N$5:$N$204,MATCH($Y397,อัตราค่าขนส่ง!$O$5:$O$204,0)),0))</f>
        <v>0</v>
      </c>
    </row>
    <row r="398" spans="1:56" ht="21" customHeight="1" x14ac:dyDescent="0.95">
      <c r="A398" s="36" t="str">
        <f>IF($AD398="","",IF($AD398="Z","รวมจ่ายทั้งสิ้น",IF($AD398="H",INDEX($X$5:$X$404,$AC398),IF($AD398="T","รวม",IF($AD398="B",IFERROR(INDEX(อัตราค่าขนส่ง!$U$5:$U$14,MATCH(INDEX($AM$5:$AM$404,$AC398),อัตราค่าขนส่ง!$T$5:$T$14,0)),"รวมกลุ่ม "&amp;INDEX($AM$5:$AM$404,$AC398)),INDEX($AY$5:$AY$404,$AC398))))))</f>
        <v/>
      </c>
      <c r="B398" s="31" t="str">
        <f t="shared" si="168"/>
        <v/>
      </c>
      <c r="C398" s="8" t="str">
        <f t="shared" si="169"/>
        <v/>
      </c>
      <c r="D398" s="37" t="str">
        <f t="shared" si="170"/>
        <v/>
      </c>
      <c r="E398" s="31" t="str">
        <f t="shared" si="171"/>
        <v/>
      </c>
      <c r="F398" s="32" t="str">
        <f t="shared" si="172"/>
        <v/>
      </c>
      <c r="G398" s="32" t="str">
        <f t="shared" si="173"/>
        <v/>
      </c>
      <c r="H398" s="32" t="str">
        <f t="shared" si="174"/>
        <v/>
      </c>
      <c r="I398" s="32" t="str">
        <f t="shared" si="175"/>
        <v/>
      </c>
      <c r="J398" s="46" t="str">
        <f t="shared" si="176"/>
        <v/>
      </c>
      <c r="K398" s="32" t="str">
        <f t="shared" si="177"/>
        <v/>
      </c>
      <c r="L398" s="32" t="str">
        <f t="shared" si="178"/>
        <v/>
      </c>
      <c r="M398" s="32" t="str">
        <f t="shared" si="179"/>
        <v/>
      </c>
      <c r="N398" s="32" t="str">
        <f t="shared" si="180"/>
        <v/>
      </c>
      <c r="O398" s="32" t="str">
        <f t="shared" si="181"/>
        <v/>
      </c>
      <c r="Q398" t="str">
        <f>IFERROR(MATCH(394,บันทึกรายเที่ยว!$Z$6:$Z$10005,0),"")</f>
        <v/>
      </c>
      <c r="R398" t="str">
        <f>IF($Q398="","",INDEX(บันทึกรายเที่ยว!$V$6:$V$10005,$Q398))</f>
        <v/>
      </c>
      <c r="S398" t="str">
        <f>IF($Q398="","",INDEX(บันทึกรายเที่ยว!$F$6:$F$10005,$Q398))</f>
        <v/>
      </c>
      <c r="T398" t="str">
        <f>IF($Q398="","",MATCH($S398,บันทึกรายเที่ยว!$F$6:$F$10005,0))</f>
        <v/>
      </c>
      <c r="U398" t="str">
        <f>IF($Q398="","",$AL398*10000000+$T398*1000+394)</f>
        <v/>
      </c>
      <c r="V398" t="str">
        <f>IFERROR(MATCH(SMALL($U$5:$U$404,394),$U$5:$U$404,0),"")</f>
        <v/>
      </c>
      <c r="W398" t="str">
        <f t="shared" si="182"/>
        <v/>
      </c>
      <c r="X398" t="str">
        <f t="shared" si="183"/>
        <v/>
      </c>
      <c r="Y398" t="str">
        <f t="shared" si="184"/>
        <v/>
      </c>
      <c r="Z398">
        <f t="shared" si="194"/>
        <v>0</v>
      </c>
      <c r="AA398">
        <f t="shared" si="185"/>
        <v>0</v>
      </c>
      <c r="AB398">
        <f>IF($V398="",99999+394,$AB397+1+$Z397+$AA397+$AO397)</f>
        <v>100393</v>
      </c>
      <c r="AC398" t="str">
        <f>IFERROR(MATCH(394,$AB$5:$AB$404,1),"")</f>
        <v/>
      </c>
      <c r="AD398" t="str">
        <f>IF(394=$AI$1+1,"Z",IF($AC398="","",IF(INDEX($V$5:$V$404,$AC398)="","",IF(394&gt;INDEX($AB$5:$AB$404,$AC398)+INDEX($Z$5:$Z$404,$AC398)+INDEX($AA$5:$AA$404,$AC398)+INDEX($AO$5:$AO$404,$AC398),"",IF(394=INDEX($AB$5:$AB$404,$AC398)+INDEX($Z$5:$Z$404,$AC398),"D",IF(AND(INDEX($Z$5:$Z$404,$AC398)=1,394=INDEX($AB$5:$AB$404,$AC398)),"H",IF(AND(INDEX($AO$5:$AO$404,$AC398)=1,394=INDEX($AB$5:$AB$404,$AC398)+INDEX($Z$5:$Z$404,$AC398)+INDEX($AA$5:$AA$404,$AC398)+INDEX($AO$5:$AO$404,$AC398)),"B","T")))))))</f>
        <v/>
      </c>
      <c r="AF398" t="str">
        <f t="shared" si="186"/>
        <v/>
      </c>
      <c r="AJ398">
        <f>IF($AD398&lt;&gt;"T",0,ROUND(SUMIF(oil!$B$4:$B$63,$AF398,oil!$AE$4:$AE$63),2))</f>
        <v>0</v>
      </c>
      <c r="AK398" t="str">
        <f>IF($S398="","",IFERROR(INDEX(อัตราค่าขนส่ง!$R$5:$R$54,MATCH($S398,อัตราค่าขนส่ง!$Q$5:$Q$54,0)),INDEX(รายการมาตรฐาน!$G$2:$G$3,1)))</f>
        <v/>
      </c>
      <c r="AL398" t="str">
        <f>IF($S398="","",IFERROR(MATCH($AK398,รายการมาตรฐาน!$G$2:$G$3,0),1))</f>
        <v/>
      </c>
      <c r="AM398" t="str">
        <f t="shared" si="187"/>
        <v/>
      </c>
      <c r="AN398" t="str">
        <f t="shared" si="188"/>
        <v/>
      </c>
      <c r="AO398">
        <f t="shared" si="189"/>
        <v>0</v>
      </c>
      <c r="AP398">
        <f t="shared" si="195"/>
        <v>0</v>
      </c>
      <c r="AQ398" t="str">
        <f t="shared" si="190"/>
        <v/>
      </c>
      <c r="AR398">
        <f>IF($Y398="",0,COUNTIF(บันทึกรายเที่ยว!$V$6:$V$10005,$Y398))</f>
        <v>0</v>
      </c>
      <c r="AS398">
        <f>IF($Y398="",0,ROUND(SUMIF(บันทึกรายเที่ยว!$V$6:$V$10005,$Y398,บันทึกรายเที่ยว!$M$6:$M$10005),2))</f>
        <v>0</v>
      </c>
      <c r="AT398">
        <f>IF($Y398="",0,IFERROR(INDEX(อัตราค่าขนส่ง!$J$5:$J$204,MATCH($Y398,อัตราค่าขนส่ง!$O$5:$O$204,0)),0))</f>
        <v>0</v>
      </c>
      <c r="AU398">
        <f t="shared" si="191"/>
        <v>0</v>
      </c>
      <c r="AV398">
        <f t="shared" si="192"/>
        <v>0</v>
      </c>
      <c r="AW398" t="str">
        <f>IF($Y398="","",IFERROR(INDEX(อัตราค่าขนส่ง!$F$5:$F$204,MATCH($Y398,อัตราค่าขนส่ง!$O$5:$O$204,0)),""))</f>
        <v/>
      </c>
      <c r="AX398" t="str">
        <f>IF($W398="","",INDEX(บันทึกรายเที่ยว!$D$6:$D$10005,$W398))</f>
        <v/>
      </c>
      <c r="AY398" t="str">
        <f>IF($W398="","",INDEX(บันทึกรายเที่ยว!$R$6:$R$10005,$W398))</f>
        <v/>
      </c>
      <c r="AZ398">
        <f t="shared" si="193"/>
        <v>0</v>
      </c>
      <c r="BA398" t="str">
        <f>IF($W398="","",INDEX(บันทึกรายเที่ยว!$E$6:$E$10005,$W398))</f>
        <v/>
      </c>
      <c r="BC398">
        <f>IF($Y398="",0,IFERROR(INDEX(อัตราค่าขนส่ง!$M$5:$M$204,MATCH($Y398,อัตราค่าขนส่ง!$O$5:$O$204,0)),0))</f>
        <v>0</v>
      </c>
      <c r="BD398">
        <f>IF($Y398="",0,IFERROR(INDEX(อัตราค่าขนส่ง!$N$5:$N$204,MATCH($Y398,อัตราค่าขนส่ง!$O$5:$O$204,0)),0))</f>
        <v>0</v>
      </c>
    </row>
    <row r="399" spans="1:56" ht="21" customHeight="1" x14ac:dyDescent="0.95">
      <c r="A399" s="36" t="str">
        <f>IF($AD399="","",IF($AD399="Z","รวมจ่ายทั้งสิ้น",IF($AD399="H",INDEX($X$5:$X$404,$AC399),IF($AD399="T","รวม",IF($AD399="B",IFERROR(INDEX(อัตราค่าขนส่ง!$U$5:$U$14,MATCH(INDEX($AM$5:$AM$404,$AC399),อัตราค่าขนส่ง!$T$5:$T$14,0)),"รวมกลุ่ม "&amp;INDEX($AM$5:$AM$404,$AC399)),INDEX($AY$5:$AY$404,$AC399))))))</f>
        <v/>
      </c>
      <c r="B399" s="31" t="str">
        <f t="shared" si="168"/>
        <v/>
      </c>
      <c r="C399" s="8" t="str">
        <f t="shared" si="169"/>
        <v/>
      </c>
      <c r="D399" s="37" t="str">
        <f t="shared" si="170"/>
        <v/>
      </c>
      <c r="E399" s="31" t="str">
        <f t="shared" si="171"/>
        <v/>
      </c>
      <c r="F399" s="32" t="str">
        <f t="shared" si="172"/>
        <v/>
      </c>
      <c r="G399" s="32" t="str">
        <f t="shared" si="173"/>
        <v/>
      </c>
      <c r="H399" s="32" t="str">
        <f t="shared" si="174"/>
        <v/>
      </c>
      <c r="I399" s="32" t="str">
        <f t="shared" si="175"/>
        <v/>
      </c>
      <c r="J399" s="46" t="str">
        <f t="shared" si="176"/>
        <v/>
      </c>
      <c r="K399" s="32" t="str">
        <f t="shared" si="177"/>
        <v/>
      </c>
      <c r="L399" s="32" t="str">
        <f t="shared" si="178"/>
        <v/>
      </c>
      <c r="M399" s="32" t="str">
        <f t="shared" si="179"/>
        <v/>
      </c>
      <c r="N399" s="32" t="str">
        <f t="shared" si="180"/>
        <v/>
      </c>
      <c r="O399" s="32" t="str">
        <f t="shared" si="181"/>
        <v/>
      </c>
      <c r="Q399" t="str">
        <f>IFERROR(MATCH(395,บันทึกรายเที่ยว!$Z$6:$Z$10005,0),"")</f>
        <v/>
      </c>
      <c r="R399" t="str">
        <f>IF($Q399="","",INDEX(บันทึกรายเที่ยว!$V$6:$V$10005,$Q399))</f>
        <v/>
      </c>
      <c r="S399" t="str">
        <f>IF($Q399="","",INDEX(บันทึกรายเที่ยว!$F$6:$F$10005,$Q399))</f>
        <v/>
      </c>
      <c r="T399" t="str">
        <f>IF($Q399="","",MATCH($S399,บันทึกรายเที่ยว!$F$6:$F$10005,0))</f>
        <v/>
      </c>
      <c r="U399" t="str">
        <f>IF($Q399="","",$AL399*10000000+$T399*1000+395)</f>
        <v/>
      </c>
      <c r="V399" t="str">
        <f>IFERROR(MATCH(SMALL($U$5:$U$404,395),$U$5:$U$404,0),"")</f>
        <v/>
      </c>
      <c r="W399" t="str">
        <f t="shared" si="182"/>
        <v/>
      </c>
      <c r="X399" t="str">
        <f t="shared" si="183"/>
        <v/>
      </c>
      <c r="Y399" t="str">
        <f t="shared" si="184"/>
        <v/>
      </c>
      <c r="Z399">
        <f t="shared" si="194"/>
        <v>0</v>
      </c>
      <c r="AA399">
        <f t="shared" si="185"/>
        <v>0</v>
      </c>
      <c r="AB399">
        <f>IF($V399="",99999+395,$AB398+1+$Z398+$AA398+$AO398)</f>
        <v>100394</v>
      </c>
      <c r="AC399" t="str">
        <f>IFERROR(MATCH(395,$AB$5:$AB$404,1),"")</f>
        <v/>
      </c>
      <c r="AD399" t="str">
        <f>IF(395=$AI$1+1,"Z",IF($AC399="","",IF(INDEX($V$5:$V$404,$AC399)="","",IF(395&gt;INDEX($AB$5:$AB$404,$AC399)+INDEX($Z$5:$Z$404,$AC399)+INDEX($AA$5:$AA$404,$AC399)+INDEX($AO$5:$AO$404,$AC399),"",IF(395=INDEX($AB$5:$AB$404,$AC399)+INDEX($Z$5:$Z$404,$AC399),"D",IF(AND(INDEX($Z$5:$Z$404,$AC399)=1,395=INDEX($AB$5:$AB$404,$AC399)),"H",IF(AND(INDEX($AO$5:$AO$404,$AC399)=1,395=INDEX($AB$5:$AB$404,$AC399)+INDEX($Z$5:$Z$404,$AC399)+INDEX($AA$5:$AA$404,$AC399)+INDEX($AO$5:$AO$404,$AC399)),"B","T")))))))</f>
        <v/>
      </c>
      <c r="AF399" t="str">
        <f t="shared" si="186"/>
        <v/>
      </c>
      <c r="AJ399">
        <f>IF($AD399&lt;&gt;"T",0,ROUND(SUMIF(oil!$B$4:$B$63,$AF399,oil!$AE$4:$AE$63),2))</f>
        <v>0</v>
      </c>
      <c r="AK399" t="str">
        <f>IF($S399="","",IFERROR(INDEX(อัตราค่าขนส่ง!$R$5:$R$54,MATCH($S399,อัตราค่าขนส่ง!$Q$5:$Q$54,0)),INDEX(รายการมาตรฐาน!$G$2:$G$3,1)))</f>
        <v/>
      </c>
      <c r="AL399" t="str">
        <f>IF($S399="","",IFERROR(MATCH($AK399,รายการมาตรฐาน!$G$2:$G$3,0),1))</f>
        <v/>
      </c>
      <c r="AM399" t="str">
        <f t="shared" si="187"/>
        <v/>
      </c>
      <c r="AN399" t="str">
        <f t="shared" si="188"/>
        <v/>
      </c>
      <c r="AO399">
        <f t="shared" si="189"/>
        <v>0</v>
      </c>
      <c r="AP399">
        <f t="shared" si="195"/>
        <v>0</v>
      </c>
      <c r="AQ399" t="str">
        <f t="shared" si="190"/>
        <v/>
      </c>
      <c r="AR399">
        <f>IF($Y399="",0,COUNTIF(บันทึกรายเที่ยว!$V$6:$V$10005,$Y399))</f>
        <v>0</v>
      </c>
      <c r="AS399">
        <f>IF($Y399="",0,ROUND(SUMIF(บันทึกรายเที่ยว!$V$6:$V$10005,$Y399,บันทึกรายเที่ยว!$M$6:$M$10005),2))</f>
        <v>0</v>
      </c>
      <c r="AT399">
        <f>IF($Y399="",0,IFERROR(INDEX(อัตราค่าขนส่ง!$J$5:$J$204,MATCH($Y399,อัตราค่าขนส่ง!$O$5:$O$204,0)),0))</f>
        <v>0</v>
      </c>
      <c r="AU399">
        <f t="shared" si="191"/>
        <v>0</v>
      </c>
      <c r="AV399">
        <f t="shared" si="192"/>
        <v>0</v>
      </c>
      <c r="AW399" t="str">
        <f>IF($Y399="","",IFERROR(INDEX(อัตราค่าขนส่ง!$F$5:$F$204,MATCH($Y399,อัตราค่าขนส่ง!$O$5:$O$204,0)),""))</f>
        <v/>
      </c>
      <c r="AX399" t="str">
        <f>IF($W399="","",INDEX(บันทึกรายเที่ยว!$D$6:$D$10005,$W399))</f>
        <v/>
      </c>
      <c r="AY399" t="str">
        <f>IF($W399="","",INDEX(บันทึกรายเที่ยว!$R$6:$R$10005,$W399))</f>
        <v/>
      </c>
      <c r="AZ399">
        <f t="shared" si="193"/>
        <v>0</v>
      </c>
      <c r="BA399" t="str">
        <f>IF($W399="","",INDEX(บันทึกรายเที่ยว!$E$6:$E$10005,$W399))</f>
        <v/>
      </c>
      <c r="BC399">
        <f>IF($Y399="",0,IFERROR(INDEX(อัตราค่าขนส่ง!$M$5:$M$204,MATCH($Y399,อัตราค่าขนส่ง!$O$5:$O$204,0)),0))</f>
        <v>0</v>
      </c>
      <c r="BD399">
        <f>IF($Y399="",0,IFERROR(INDEX(อัตราค่าขนส่ง!$N$5:$N$204,MATCH($Y399,อัตราค่าขนส่ง!$O$5:$O$204,0)),0))</f>
        <v>0</v>
      </c>
    </row>
    <row r="400" spans="1:56" ht="21" customHeight="1" x14ac:dyDescent="0.95">
      <c r="A400" s="36" t="str">
        <f>IF($AD400="","",IF($AD400="Z","รวมจ่ายทั้งสิ้น",IF($AD400="H",INDEX($X$5:$X$404,$AC400),IF($AD400="T","รวม",IF($AD400="B",IFERROR(INDEX(อัตราค่าขนส่ง!$U$5:$U$14,MATCH(INDEX($AM$5:$AM$404,$AC400),อัตราค่าขนส่ง!$T$5:$T$14,0)),"รวมกลุ่ม "&amp;INDEX($AM$5:$AM$404,$AC400)),INDEX($AY$5:$AY$404,$AC400))))))</f>
        <v/>
      </c>
      <c r="B400" s="31" t="str">
        <f t="shared" si="168"/>
        <v/>
      </c>
      <c r="C400" s="8" t="str">
        <f t="shared" si="169"/>
        <v/>
      </c>
      <c r="D400" s="37" t="str">
        <f t="shared" si="170"/>
        <v/>
      </c>
      <c r="E400" s="31" t="str">
        <f t="shared" si="171"/>
        <v/>
      </c>
      <c r="F400" s="32" t="str">
        <f t="shared" si="172"/>
        <v/>
      </c>
      <c r="G400" s="32" t="str">
        <f t="shared" si="173"/>
        <v/>
      </c>
      <c r="H400" s="32" t="str">
        <f t="shared" si="174"/>
        <v/>
      </c>
      <c r="I400" s="32" t="str">
        <f t="shared" si="175"/>
        <v/>
      </c>
      <c r="J400" s="46" t="str">
        <f t="shared" si="176"/>
        <v/>
      </c>
      <c r="K400" s="32" t="str">
        <f t="shared" si="177"/>
        <v/>
      </c>
      <c r="L400" s="32" t="str">
        <f t="shared" si="178"/>
        <v/>
      </c>
      <c r="M400" s="32" t="str">
        <f t="shared" si="179"/>
        <v/>
      </c>
      <c r="N400" s="32" t="str">
        <f t="shared" si="180"/>
        <v/>
      </c>
      <c r="O400" s="32" t="str">
        <f t="shared" si="181"/>
        <v/>
      </c>
      <c r="Q400" t="str">
        <f>IFERROR(MATCH(396,บันทึกรายเที่ยว!$Z$6:$Z$10005,0),"")</f>
        <v/>
      </c>
      <c r="R400" t="str">
        <f>IF($Q400="","",INDEX(บันทึกรายเที่ยว!$V$6:$V$10005,$Q400))</f>
        <v/>
      </c>
      <c r="S400" t="str">
        <f>IF($Q400="","",INDEX(บันทึกรายเที่ยว!$F$6:$F$10005,$Q400))</f>
        <v/>
      </c>
      <c r="T400" t="str">
        <f>IF($Q400="","",MATCH($S400,บันทึกรายเที่ยว!$F$6:$F$10005,0))</f>
        <v/>
      </c>
      <c r="U400" t="str">
        <f>IF($Q400="","",$AL400*10000000+$T400*1000+396)</f>
        <v/>
      </c>
      <c r="V400" t="str">
        <f>IFERROR(MATCH(SMALL($U$5:$U$404,396),$U$5:$U$404,0),"")</f>
        <v/>
      </c>
      <c r="W400" t="str">
        <f t="shared" si="182"/>
        <v/>
      </c>
      <c r="X400" t="str">
        <f t="shared" si="183"/>
        <v/>
      </c>
      <c r="Y400" t="str">
        <f t="shared" si="184"/>
        <v/>
      </c>
      <c r="Z400">
        <f t="shared" si="194"/>
        <v>0</v>
      </c>
      <c r="AA400">
        <f t="shared" si="185"/>
        <v>0</v>
      </c>
      <c r="AB400">
        <f>IF($V400="",99999+396,$AB399+1+$Z399+$AA399+$AO399)</f>
        <v>100395</v>
      </c>
      <c r="AC400" t="str">
        <f>IFERROR(MATCH(396,$AB$5:$AB$404,1),"")</f>
        <v/>
      </c>
      <c r="AD400" t="str">
        <f>IF(396=$AI$1+1,"Z",IF($AC400="","",IF(INDEX($V$5:$V$404,$AC400)="","",IF(396&gt;INDEX($AB$5:$AB$404,$AC400)+INDEX($Z$5:$Z$404,$AC400)+INDEX($AA$5:$AA$404,$AC400)+INDEX($AO$5:$AO$404,$AC400),"",IF(396=INDEX($AB$5:$AB$404,$AC400)+INDEX($Z$5:$Z$404,$AC400),"D",IF(AND(INDEX($Z$5:$Z$404,$AC400)=1,396=INDEX($AB$5:$AB$404,$AC400)),"H",IF(AND(INDEX($AO$5:$AO$404,$AC400)=1,396=INDEX($AB$5:$AB$404,$AC400)+INDEX($Z$5:$Z$404,$AC400)+INDEX($AA$5:$AA$404,$AC400)+INDEX($AO$5:$AO$404,$AC400)),"B","T")))))))</f>
        <v/>
      </c>
      <c r="AF400" t="str">
        <f t="shared" si="186"/>
        <v/>
      </c>
      <c r="AJ400">
        <f>IF($AD400&lt;&gt;"T",0,ROUND(SUMIF(oil!$B$4:$B$63,$AF400,oil!$AE$4:$AE$63),2))</f>
        <v>0</v>
      </c>
      <c r="AK400" t="str">
        <f>IF($S400="","",IFERROR(INDEX(อัตราค่าขนส่ง!$R$5:$R$54,MATCH($S400,อัตราค่าขนส่ง!$Q$5:$Q$54,0)),INDEX(รายการมาตรฐาน!$G$2:$G$3,1)))</f>
        <v/>
      </c>
      <c r="AL400" t="str">
        <f>IF($S400="","",IFERROR(MATCH($AK400,รายการมาตรฐาน!$G$2:$G$3,0),1))</f>
        <v/>
      </c>
      <c r="AM400" t="str">
        <f t="shared" si="187"/>
        <v/>
      </c>
      <c r="AN400" t="str">
        <f t="shared" si="188"/>
        <v/>
      </c>
      <c r="AO400">
        <f t="shared" si="189"/>
        <v>0</v>
      </c>
      <c r="AP400">
        <f t="shared" si="195"/>
        <v>0</v>
      </c>
      <c r="AQ400" t="str">
        <f t="shared" si="190"/>
        <v/>
      </c>
      <c r="AR400">
        <f>IF($Y400="",0,COUNTIF(บันทึกรายเที่ยว!$V$6:$V$10005,$Y400))</f>
        <v>0</v>
      </c>
      <c r="AS400">
        <f>IF($Y400="",0,ROUND(SUMIF(บันทึกรายเที่ยว!$V$6:$V$10005,$Y400,บันทึกรายเที่ยว!$M$6:$M$10005),2))</f>
        <v>0</v>
      </c>
      <c r="AT400">
        <f>IF($Y400="",0,IFERROR(INDEX(อัตราค่าขนส่ง!$J$5:$J$204,MATCH($Y400,อัตราค่าขนส่ง!$O$5:$O$204,0)),0))</f>
        <v>0</v>
      </c>
      <c r="AU400">
        <f t="shared" si="191"/>
        <v>0</v>
      </c>
      <c r="AV400">
        <f t="shared" si="192"/>
        <v>0</v>
      </c>
      <c r="AW400" t="str">
        <f>IF($Y400="","",IFERROR(INDEX(อัตราค่าขนส่ง!$F$5:$F$204,MATCH($Y400,อัตราค่าขนส่ง!$O$5:$O$204,0)),""))</f>
        <v/>
      </c>
      <c r="AX400" t="str">
        <f>IF($W400="","",INDEX(บันทึกรายเที่ยว!$D$6:$D$10005,$W400))</f>
        <v/>
      </c>
      <c r="AY400" t="str">
        <f>IF($W400="","",INDEX(บันทึกรายเที่ยว!$R$6:$R$10005,$W400))</f>
        <v/>
      </c>
      <c r="AZ400">
        <f t="shared" si="193"/>
        <v>0</v>
      </c>
      <c r="BA400" t="str">
        <f>IF($W400="","",INDEX(บันทึกรายเที่ยว!$E$6:$E$10005,$W400))</f>
        <v/>
      </c>
      <c r="BC400">
        <f>IF($Y400="",0,IFERROR(INDEX(อัตราค่าขนส่ง!$M$5:$M$204,MATCH($Y400,อัตราค่าขนส่ง!$O$5:$O$204,0)),0))</f>
        <v>0</v>
      </c>
      <c r="BD400">
        <f>IF($Y400="",0,IFERROR(INDEX(อัตราค่าขนส่ง!$N$5:$N$204,MATCH($Y400,อัตราค่าขนส่ง!$O$5:$O$204,0)),0))</f>
        <v>0</v>
      </c>
    </row>
    <row r="401" spans="1:56" ht="21" customHeight="1" x14ac:dyDescent="0.95">
      <c r="A401" s="36" t="str">
        <f>IF($AD401="","",IF($AD401="Z","รวมจ่ายทั้งสิ้น",IF($AD401="H",INDEX($X$5:$X$404,$AC401),IF($AD401="T","รวม",IF($AD401="B",IFERROR(INDEX(อัตราค่าขนส่ง!$U$5:$U$14,MATCH(INDEX($AM$5:$AM$404,$AC401),อัตราค่าขนส่ง!$T$5:$T$14,0)),"รวมกลุ่ม "&amp;INDEX($AM$5:$AM$404,$AC401)),INDEX($AY$5:$AY$404,$AC401))))))</f>
        <v/>
      </c>
      <c r="B401" s="31" t="str">
        <f t="shared" si="168"/>
        <v/>
      </c>
      <c r="C401" s="8" t="str">
        <f t="shared" si="169"/>
        <v/>
      </c>
      <c r="D401" s="37" t="str">
        <f t="shared" si="170"/>
        <v/>
      </c>
      <c r="E401" s="31" t="str">
        <f t="shared" si="171"/>
        <v/>
      </c>
      <c r="F401" s="32" t="str">
        <f t="shared" si="172"/>
        <v/>
      </c>
      <c r="G401" s="32" t="str">
        <f t="shared" si="173"/>
        <v/>
      </c>
      <c r="H401" s="32" t="str">
        <f t="shared" si="174"/>
        <v/>
      </c>
      <c r="I401" s="32" t="str">
        <f t="shared" si="175"/>
        <v/>
      </c>
      <c r="J401" s="46" t="str">
        <f t="shared" si="176"/>
        <v/>
      </c>
      <c r="K401" s="32" t="str">
        <f t="shared" si="177"/>
        <v/>
      </c>
      <c r="L401" s="32" t="str">
        <f t="shared" si="178"/>
        <v/>
      </c>
      <c r="M401" s="32" t="str">
        <f t="shared" si="179"/>
        <v/>
      </c>
      <c r="N401" s="32" t="str">
        <f t="shared" si="180"/>
        <v/>
      </c>
      <c r="O401" s="32" t="str">
        <f t="shared" si="181"/>
        <v/>
      </c>
      <c r="Q401" t="str">
        <f>IFERROR(MATCH(397,บันทึกรายเที่ยว!$Z$6:$Z$10005,0),"")</f>
        <v/>
      </c>
      <c r="R401" t="str">
        <f>IF($Q401="","",INDEX(บันทึกรายเที่ยว!$V$6:$V$10005,$Q401))</f>
        <v/>
      </c>
      <c r="S401" t="str">
        <f>IF($Q401="","",INDEX(บันทึกรายเที่ยว!$F$6:$F$10005,$Q401))</f>
        <v/>
      </c>
      <c r="T401" t="str">
        <f>IF($Q401="","",MATCH($S401,บันทึกรายเที่ยว!$F$6:$F$10005,0))</f>
        <v/>
      </c>
      <c r="U401" t="str">
        <f>IF($Q401="","",$AL401*10000000+$T401*1000+397)</f>
        <v/>
      </c>
      <c r="V401" t="str">
        <f>IFERROR(MATCH(SMALL($U$5:$U$404,397),$U$5:$U$404,0),"")</f>
        <v/>
      </c>
      <c r="W401" t="str">
        <f t="shared" si="182"/>
        <v/>
      </c>
      <c r="X401" t="str">
        <f t="shared" si="183"/>
        <v/>
      </c>
      <c r="Y401" t="str">
        <f t="shared" si="184"/>
        <v/>
      </c>
      <c r="Z401">
        <f t="shared" si="194"/>
        <v>0</v>
      </c>
      <c r="AA401">
        <f t="shared" si="185"/>
        <v>0</v>
      </c>
      <c r="AB401">
        <f>IF($V401="",99999+397,$AB400+1+$Z400+$AA400+$AO400)</f>
        <v>100396</v>
      </c>
      <c r="AC401" t="str">
        <f>IFERROR(MATCH(397,$AB$5:$AB$404,1),"")</f>
        <v/>
      </c>
      <c r="AD401" t="str">
        <f>IF(397=$AI$1+1,"Z",IF($AC401="","",IF(INDEX($V$5:$V$404,$AC401)="","",IF(397&gt;INDEX($AB$5:$AB$404,$AC401)+INDEX($Z$5:$Z$404,$AC401)+INDEX($AA$5:$AA$404,$AC401)+INDEX($AO$5:$AO$404,$AC401),"",IF(397=INDEX($AB$5:$AB$404,$AC401)+INDEX($Z$5:$Z$404,$AC401),"D",IF(AND(INDEX($Z$5:$Z$404,$AC401)=1,397=INDEX($AB$5:$AB$404,$AC401)),"H",IF(AND(INDEX($AO$5:$AO$404,$AC401)=1,397=INDEX($AB$5:$AB$404,$AC401)+INDEX($Z$5:$Z$404,$AC401)+INDEX($AA$5:$AA$404,$AC401)+INDEX($AO$5:$AO$404,$AC401)),"B","T")))))))</f>
        <v/>
      </c>
      <c r="AF401" t="str">
        <f t="shared" si="186"/>
        <v/>
      </c>
      <c r="AJ401">
        <f>IF($AD401&lt;&gt;"T",0,ROUND(SUMIF(oil!$B$4:$B$63,$AF401,oil!$AE$4:$AE$63),2))</f>
        <v>0</v>
      </c>
      <c r="AK401" t="str">
        <f>IF($S401="","",IFERROR(INDEX(อัตราค่าขนส่ง!$R$5:$R$54,MATCH($S401,อัตราค่าขนส่ง!$Q$5:$Q$54,0)),INDEX(รายการมาตรฐาน!$G$2:$G$3,1)))</f>
        <v/>
      </c>
      <c r="AL401" t="str">
        <f>IF($S401="","",IFERROR(MATCH($AK401,รายการมาตรฐาน!$G$2:$G$3,0),1))</f>
        <v/>
      </c>
      <c r="AM401" t="str">
        <f t="shared" si="187"/>
        <v/>
      </c>
      <c r="AN401" t="str">
        <f t="shared" si="188"/>
        <v/>
      </c>
      <c r="AO401">
        <f t="shared" si="189"/>
        <v>0</v>
      </c>
      <c r="AP401">
        <f t="shared" si="195"/>
        <v>0</v>
      </c>
      <c r="AQ401" t="str">
        <f t="shared" si="190"/>
        <v/>
      </c>
      <c r="AR401">
        <f>IF($Y401="",0,COUNTIF(บันทึกรายเที่ยว!$V$6:$V$10005,$Y401))</f>
        <v>0</v>
      </c>
      <c r="AS401">
        <f>IF($Y401="",0,ROUND(SUMIF(บันทึกรายเที่ยว!$V$6:$V$10005,$Y401,บันทึกรายเที่ยว!$M$6:$M$10005),2))</f>
        <v>0</v>
      </c>
      <c r="AT401">
        <f>IF($Y401="",0,IFERROR(INDEX(อัตราค่าขนส่ง!$J$5:$J$204,MATCH($Y401,อัตราค่าขนส่ง!$O$5:$O$204,0)),0))</f>
        <v>0</v>
      </c>
      <c r="AU401">
        <f t="shared" si="191"/>
        <v>0</v>
      </c>
      <c r="AV401">
        <f t="shared" si="192"/>
        <v>0</v>
      </c>
      <c r="AW401" t="str">
        <f>IF($Y401="","",IFERROR(INDEX(อัตราค่าขนส่ง!$F$5:$F$204,MATCH($Y401,อัตราค่าขนส่ง!$O$5:$O$204,0)),""))</f>
        <v/>
      </c>
      <c r="AX401" t="str">
        <f>IF($W401="","",INDEX(บันทึกรายเที่ยว!$D$6:$D$10005,$W401))</f>
        <v/>
      </c>
      <c r="AY401" t="str">
        <f>IF($W401="","",INDEX(บันทึกรายเที่ยว!$R$6:$R$10005,$W401))</f>
        <v/>
      </c>
      <c r="AZ401">
        <f t="shared" si="193"/>
        <v>0</v>
      </c>
      <c r="BA401" t="str">
        <f>IF($W401="","",INDEX(บันทึกรายเที่ยว!$E$6:$E$10005,$W401))</f>
        <v/>
      </c>
      <c r="BC401">
        <f>IF($Y401="",0,IFERROR(INDEX(อัตราค่าขนส่ง!$M$5:$M$204,MATCH($Y401,อัตราค่าขนส่ง!$O$5:$O$204,0)),0))</f>
        <v>0</v>
      </c>
      <c r="BD401">
        <f>IF($Y401="",0,IFERROR(INDEX(อัตราค่าขนส่ง!$N$5:$N$204,MATCH($Y401,อัตราค่าขนส่ง!$O$5:$O$204,0)),0))</f>
        <v>0</v>
      </c>
    </row>
    <row r="402" spans="1:56" ht="21" customHeight="1" x14ac:dyDescent="0.95">
      <c r="A402" s="36" t="str">
        <f>IF($AD402="","",IF($AD402="Z","รวมจ่ายทั้งสิ้น",IF($AD402="H",INDEX($X$5:$X$404,$AC402),IF($AD402="T","รวม",IF($AD402="B",IFERROR(INDEX(อัตราค่าขนส่ง!$U$5:$U$14,MATCH(INDEX($AM$5:$AM$404,$AC402),อัตราค่าขนส่ง!$T$5:$T$14,0)),"รวมกลุ่ม "&amp;INDEX($AM$5:$AM$404,$AC402)),INDEX($AY$5:$AY$404,$AC402))))))</f>
        <v/>
      </c>
      <c r="B402" s="31" t="str">
        <f t="shared" si="168"/>
        <v/>
      </c>
      <c r="C402" s="8" t="str">
        <f t="shared" si="169"/>
        <v/>
      </c>
      <c r="D402" s="37" t="str">
        <f t="shared" si="170"/>
        <v/>
      </c>
      <c r="E402" s="31" t="str">
        <f t="shared" si="171"/>
        <v/>
      </c>
      <c r="F402" s="32" t="str">
        <f t="shared" si="172"/>
        <v/>
      </c>
      <c r="G402" s="32" t="str">
        <f t="shared" si="173"/>
        <v/>
      </c>
      <c r="H402" s="32" t="str">
        <f t="shared" si="174"/>
        <v/>
      </c>
      <c r="I402" s="32" t="str">
        <f t="shared" si="175"/>
        <v/>
      </c>
      <c r="J402" s="46" t="str">
        <f t="shared" si="176"/>
        <v/>
      </c>
      <c r="K402" s="32" t="str">
        <f t="shared" si="177"/>
        <v/>
      </c>
      <c r="L402" s="32" t="str">
        <f t="shared" si="178"/>
        <v/>
      </c>
      <c r="M402" s="32" t="str">
        <f t="shared" si="179"/>
        <v/>
      </c>
      <c r="N402" s="32" t="str">
        <f t="shared" si="180"/>
        <v/>
      </c>
      <c r="O402" s="32" t="str">
        <f t="shared" si="181"/>
        <v/>
      </c>
      <c r="Q402" t="str">
        <f>IFERROR(MATCH(398,บันทึกรายเที่ยว!$Z$6:$Z$10005,0),"")</f>
        <v/>
      </c>
      <c r="R402" t="str">
        <f>IF($Q402="","",INDEX(บันทึกรายเที่ยว!$V$6:$V$10005,$Q402))</f>
        <v/>
      </c>
      <c r="S402" t="str">
        <f>IF($Q402="","",INDEX(บันทึกรายเที่ยว!$F$6:$F$10005,$Q402))</f>
        <v/>
      </c>
      <c r="T402" t="str">
        <f>IF($Q402="","",MATCH($S402,บันทึกรายเที่ยว!$F$6:$F$10005,0))</f>
        <v/>
      </c>
      <c r="U402" t="str">
        <f>IF($Q402="","",$AL402*10000000+$T402*1000+398)</f>
        <v/>
      </c>
      <c r="V402" t="str">
        <f>IFERROR(MATCH(SMALL($U$5:$U$404,398),$U$5:$U$404,0),"")</f>
        <v/>
      </c>
      <c r="W402" t="str">
        <f t="shared" si="182"/>
        <v/>
      </c>
      <c r="X402" t="str">
        <f t="shared" si="183"/>
        <v/>
      </c>
      <c r="Y402" t="str">
        <f t="shared" si="184"/>
        <v/>
      </c>
      <c r="Z402">
        <f t="shared" si="194"/>
        <v>0</v>
      </c>
      <c r="AA402">
        <f t="shared" si="185"/>
        <v>0</v>
      </c>
      <c r="AB402">
        <f>IF($V402="",99999+398,$AB401+1+$Z401+$AA401+$AO401)</f>
        <v>100397</v>
      </c>
      <c r="AC402" t="str">
        <f>IFERROR(MATCH(398,$AB$5:$AB$404,1),"")</f>
        <v/>
      </c>
      <c r="AD402" t="str">
        <f>IF(398=$AI$1+1,"Z",IF($AC402="","",IF(INDEX($V$5:$V$404,$AC402)="","",IF(398&gt;INDEX($AB$5:$AB$404,$AC402)+INDEX($Z$5:$Z$404,$AC402)+INDEX($AA$5:$AA$404,$AC402)+INDEX($AO$5:$AO$404,$AC402),"",IF(398=INDEX($AB$5:$AB$404,$AC402)+INDEX($Z$5:$Z$404,$AC402),"D",IF(AND(INDEX($Z$5:$Z$404,$AC402)=1,398=INDEX($AB$5:$AB$404,$AC402)),"H",IF(AND(INDEX($AO$5:$AO$404,$AC402)=1,398=INDEX($AB$5:$AB$404,$AC402)+INDEX($Z$5:$Z$404,$AC402)+INDEX($AA$5:$AA$404,$AC402)+INDEX($AO$5:$AO$404,$AC402)),"B","T")))))))</f>
        <v/>
      </c>
      <c r="AF402" t="str">
        <f t="shared" si="186"/>
        <v/>
      </c>
      <c r="AJ402">
        <f>IF($AD402&lt;&gt;"T",0,ROUND(SUMIF(oil!$B$4:$B$63,$AF402,oil!$AE$4:$AE$63),2))</f>
        <v>0</v>
      </c>
      <c r="AK402" t="str">
        <f>IF($S402="","",IFERROR(INDEX(อัตราค่าขนส่ง!$R$5:$R$54,MATCH($S402,อัตราค่าขนส่ง!$Q$5:$Q$54,0)),INDEX(รายการมาตรฐาน!$G$2:$G$3,1)))</f>
        <v/>
      </c>
      <c r="AL402" t="str">
        <f>IF($S402="","",IFERROR(MATCH($AK402,รายการมาตรฐาน!$G$2:$G$3,0),1))</f>
        <v/>
      </c>
      <c r="AM402" t="str">
        <f t="shared" si="187"/>
        <v/>
      </c>
      <c r="AN402" t="str">
        <f t="shared" si="188"/>
        <v/>
      </c>
      <c r="AO402">
        <f t="shared" si="189"/>
        <v>0</v>
      </c>
      <c r="AP402">
        <f t="shared" si="195"/>
        <v>0</v>
      </c>
      <c r="AQ402" t="str">
        <f t="shared" si="190"/>
        <v/>
      </c>
      <c r="AR402">
        <f>IF($Y402="",0,COUNTIF(บันทึกรายเที่ยว!$V$6:$V$10005,$Y402))</f>
        <v>0</v>
      </c>
      <c r="AS402">
        <f>IF($Y402="",0,ROUND(SUMIF(บันทึกรายเที่ยว!$V$6:$V$10005,$Y402,บันทึกรายเที่ยว!$M$6:$M$10005),2))</f>
        <v>0</v>
      </c>
      <c r="AT402">
        <f>IF($Y402="",0,IFERROR(INDEX(อัตราค่าขนส่ง!$J$5:$J$204,MATCH($Y402,อัตราค่าขนส่ง!$O$5:$O$204,0)),0))</f>
        <v>0</v>
      </c>
      <c r="AU402">
        <f t="shared" si="191"/>
        <v>0</v>
      </c>
      <c r="AV402">
        <f t="shared" si="192"/>
        <v>0</v>
      </c>
      <c r="AW402" t="str">
        <f>IF($Y402="","",IFERROR(INDEX(อัตราค่าขนส่ง!$F$5:$F$204,MATCH($Y402,อัตราค่าขนส่ง!$O$5:$O$204,0)),""))</f>
        <v/>
      </c>
      <c r="AX402" t="str">
        <f>IF($W402="","",INDEX(บันทึกรายเที่ยว!$D$6:$D$10005,$W402))</f>
        <v/>
      </c>
      <c r="AY402" t="str">
        <f>IF($W402="","",INDEX(บันทึกรายเที่ยว!$R$6:$R$10005,$W402))</f>
        <v/>
      </c>
      <c r="AZ402">
        <f t="shared" si="193"/>
        <v>0</v>
      </c>
      <c r="BA402" t="str">
        <f>IF($W402="","",INDEX(บันทึกรายเที่ยว!$E$6:$E$10005,$W402))</f>
        <v/>
      </c>
      <c r="BC402">
        <f>IF($Y402="",0,IFERROR(INDEX(อัตราค่าขนส่ง!$M$5:$M$204,MATCH($Y402,อัตราค่าขนส่ง!$O$5:$O$204,0)),0))</f>
        <v>0</v>
      </c>
      <c r="BD402">
        <f>IF($Y402="",0,IFERROR(INDEX(อัตราค่าขนส่ง!$N$5:$N$204,MATCH($Y402,อัตราค่าขนส่ง!$O$5:$O$204,0)),0))</f>
        <v>0</v>
      </c>
    </row>
    <row r="403" spans="1:56" ht="21" customHeight="1" x14ac:dyDescent="0.95">
      <c r="A403" s="36" t="str">
        <f>IF($AD403="","",IF($AD403="Z","รวมจ่ายทั้งสิ้น",IF($AD403="H",INDEX($X$5:$X$404,$AC403),IF($AD403="T","รวม",IF($AD403="B",IFERROR(INDEX(อัตราค่าขนส่ง!$U$5:$U$14,MATCH(INDEX($AM$5:$AM$404,$AC403),อัตราค่าขนส่ง!$T$5:$T$14,0)),"รวมกลุ่ม "&amp;INDEX($AM$5:$AM$404,$AC403)),INDEX($AY$5:$AY$404,$AC403))))))</f>
        <v/>
      </c>
      <c r="B403" s="31" t="str">
        <f t="shared" si="168"/>
        <v/>
      </c>
      <c r="C403" s="8" t="str">
        <f t="shared" si="169"/>
        <v/>
      </c>
      <c r="D403" s="37" t="str">
        <f t="shared" si="170"/>
        <v/>
      </c>
      <c r="E403" s="31" t="str">
        <f t="shared" si="171"/>
        <v/>
      </c>
      <c r="F403" s="32" t="str">
        <f t="shared" si="172"/>
        <v/>
      </c>
      <c r="G403" s="32" t="str">
        <f t="shared" si="173"/>
        <v/>
      </c>
      <c r="H403" s="32" t="str">
        <f t="shared" si="174"/>
        <v/>
      </c>
      <c r="I403" s="32" t="str">
        <f t="shared" si="175"/>
        <v/>
      </c>
      <c r="J403" s="46" t="str">
        <f t="shared" si="176"/>
        <v/>
      </c>
      <c r="K403" s="32" t="str">
        <f t="shared" si="177"/>
        <v/>
      </c>
      <c r="L403" s="32" t="str">
        <f t="shared" si="178"/>
        <v/>
      </c>
      <c r="M403" s="32" t="str">
        <f t="shared" si="179"/>
        <v/>
      </c>
      <c r="N403" s="32" t="str">
        <f t="shared" si="180"/>
        <v/>
      </c>
      <c r="O403" s="32" t="str">
        <f t="shared" si="181"/>
        <v/>
      </c>
      <c r="Q403" t="str">
        <f>IFERROR(MATCH(399,บันทึกรายเที่ยว!$Z$6:$Z$10005,0),"")</f>
        <v/>
      </c>
      <c r="R403" t="str">
        <f>IF($Q403="","",INDEX(บันทึกรายเที่ยว!$V$6:$V$10005,$Q403))</f>
        <v/>
      </c>
      <c r="S403" t="str">
        <f>IF($Q403="","",INDEX(บันทึกรายเที่ยว!$F$6:$F$10005,$Q403))</f>
        <v/>
      </c>
      <c r="T403" t="str">
        <f>IF($Q403="","",MATCH($S403,บันทึกรายเที่ยว!$F$6:$F$10005,0))</f>
        <v/>
      </c>
      <c r="U403" t="str">
        <f>IF($Q403="","",$AL403*10000000+$T403*1000+399)</f>
        <v/>
      </c>
      <c r="V403" t="str">
        <f>IFERROR(MATCH(SMALL($U$5:$U$404,399),$U$5:$U$404,0),"")</f>
        <v/>
      </c>
      <c r="W403" t="str">
        <f t="shared" si="182"/>
        <v/>
      </c>
      <c r="X403" t="str">
        <f t="shared" si="183"/>
        <v/>
      </c>
      <c r="Y403" t="str">
        <f t="shared" si="184"/>
        <v/>
      </c>
      <c r="Z403">
        <f t="shared" si="194"/>
        <v>0</v>
      </c>
      <c r="AA403">
        <f t="shared" si="185"/>
        <v>0</v>
      </c>
      <c r="AB403">
        <f>IF($V403="",99999+399,$AB402+1+$Z402+$AA402+$AO402)</f>
        <v>100398</v>
      </c>
      <c r="AC403" t="str">
        <f>IFERROR(MATCH(399,$AB$5:$AB$404,1),"")</f>
        <v/>
      </c>
      <c r="AD403" t="str">
        <f>IF(399=$AI$1+1,"Z",IF($AC403="","",IF(INDEX($V$5:$V$404,$AC403)="","",IF(399&gt;INDEX($AB$5:$AB$404,$AC403)+INDEX($Z$5:$Z$404,$AC403)+INDEX($AA$5:$AA$404,$AC403)+INDEX($AO$5:$AO$404,$AC403),"",IF(399=INDEX($AB$5:$AB$404,$AC403)+INDEX($Z$5:$Z$404,$AC403),"D",IF(AND(INDEX($Z$5:$Z$404,$AC403)=1,399=INDEX($AB$5:$AB$404,$AC403)),"H",IF(AND(INDEX($AO$5:$AO$404,$AC403)=1,399=INDEX($AB$5:$AB$404,$AC403)+INDEX($Z$5:$Z$404,$AC403)+INDEX($AA$5:$AA$404,$AC403)+INDEX($AO$5:$AO$404,$AC403)),"B","T")))))))</f>
        <v/>
      </c>
      <c r="AF403" t="str">
        <f t="shared" si="186"/>
        <v/>
      </c>
      <c r="AJ403">
        <f>IF($AD403&lt;&gt;"T",0,ROUND(SUMIF(oil!$B$4:$B$63,$AF403,oil!$AE$4:$AE$63),2))</f>
        <v>0</v>
      </c>
      <c r="AK403" t="str">
        <f>IF($S403="","",IFERROR(INDEX(อัตราค่าขนส่ง!$R$5:$R$54,MATCH($S403,อัตราค่าขนส่ง!$Q$5:$Q$54,0)),INDEX(รายการมาตรฐาน!$G$2:$G$3,1)))</f>
        <v/>
      </c>
      <c r="AL403" t="str">
        <f>IF($S403="","",IFERROR(MATCH($AK403,รายการมาตรฐาน!$G$2:$G$3,0),1))</f>
        <v/>
      </c>
      <c r="AM403" t="str">
        <f t="shared" si="187"/>
        <v/>
      </c>
      <c r="AN403" t="str">
        <f t="shared" si="188"/>
        <v/>
      </c>
      <c r="AO403">
        <f t="shared" si="189"/>
        <v>0</v>
      </c>
      <c r="AP403">
        <f t="shared" si="195"/>
        <v>0</v>
      </c>
      <c r="AQ403" t="str">
        <f t="shared" si="190"/>
        <v/>
      </c>
      <c r="AR403">
        <f>IF($Y403="",0,COUNTIF(บันทึกรายเที่ยว!$V$6:$V$10005,$Y403))</f>
        <v>0</v>
      </c>
      <c r="AS403">
        <f>IF($Y403="",0,ROUND(SUMIF(บันทึกรายเที่ยว!$V$6:$V$10005,$Y403,บันทึกรายเที่ยว!$M$6:$M$10005),2))</f>
        <v>0</v>
      </c>
      <c r="AT403">
        <f>IF($Y403="",0,IFERROR(INDEX(อัตราค่าขนส่ง!$J$5:$J$204,MATCH($Y403,อัตราค่าขนส่ง!$O$5:$O$204,0)),0))</f>
        <v>0</v>
      </c>
      <c r="AU403">
        <f t="shared" si="191"/>
        <v>0</v>
      </c>
      <c r="AV403">
        <f t="shared" si="192"/>
        <v>0</v>
      </c>
      <c r="AW403" t="str">
        <f>IF($Y403="","",IFERROR(INDEX(อัตราค่าขนส่ง!$F$5:$F$204,MATCH($Y403,อัตราค่าขนส่ง!$O$5:$O$204,0)),""))</f>
        <v/>
      </c>
      <c r="AX403" t="str">
        <f>IF($W403="","",INDEX(บันทึกรายเที่ยว!$D$6:$D$10005,$W403))</f>
        <v/>
      </c>
      <c r="AY403" t="str">
        <f>IF($W403="","",INDEX(บันทึกรายเที่ยว!$R$6:$R$10005,$W403))</f>
        <v/>
      </c>
      <c r="AZ403">
        <f t="shared" si="193"/>
        <v>0</v>
      </c>
      <c r="BA403" t="str">
        <f>IF($W403="","",INDEX(บันทึกรายเที่ยว!$E$6:$E$10005,$W403))</f>
        <v/>
      </c>
      <c r="BC403">
        <f>IF($Y403="",0,IFERROR(INDEX(อัตราค่าขนส่ง!$M$5:$M$204,MATCH($Y403,อัตราค่าขนส่ง!$O$5:$O$204,0)),0))</f>
        <v>0</v>
      </c>
      <c r="BD403">
        <f>IF($Y403="",0,IFERROR(INDEX(อัตราค่าขนส่ง!$N$5:$N$204,MATCH($Y403,อัตราค่าขนส่ง!$O$5:$O$204,0)),0))</f>
        <v>0</v>
      </c>
    </row>
    <row r="404" spans="1:56" ht="21" customHeight="1" x14ac:dyDescent="0.95">
      <c r="A404" s="36" t="str">
        <f>IF($AD404="","",IF($AD404="Z","รวมจ่ายทั้งสิ้น",IF($AD404="H",INDEX($X$5:$X$404,$AC404),IF($AD404="T","รวม",IF($AD404="B",IFERROR(INDEX(อัตราค่าขนส่ง!$U$5:$U$14,MATCH(INDEX($AM$5:$AM$404,$AC404),อัตราค่าขนส่ง!$T$5:$T$14,0)),"รวมกลุ่ม "&amp;INDEX($AM$5:$AM$404,$AC404)),INDEX($AY$5:$AY$404,$AC404))))))</f>
        <v/>
      </c>
      <c r="B404" s="31" t="str">
        <f t="shared" si="168"/>
        <v/>
      </c>
      <c r="C404" s="8" t="str">
        <f t="shared" si="169"/>
        <v/>
      </c>
      <c r="D404" s="37" t="str">
        <f t="shared" si="170"/>
        <v/>
      </c>
      <c r="E404" s="31" t="str">
        <f t="shared" si="171"/>
        <v/>
      </c>
      <c r="F404" s="32" t="str">
        <f t="shared" si="172"/>
        <v/>
      </c>
      <c r="G404" s="32" t="str">
        <f t="shared" si="173"/>
        <v/>
      </c>
      <c r="H404" s="32" t="str">
        <f t="shared" si="174"/>
        <v/>
      </c>
      <c r="I404" s="32" t="str">
        <f t="shared" si="175"/>
        <v/>
      </c>
      <c r="J404" s="46" t="str">
        <f t="shared" si="176"/>
        <v/>
      </c>
      <c r="K404" s="32" t="str">
        <f t="shared" si="177"/>
        <v/>
      </c>
      <c r="L404" s="32" t="str">
        <f t="shared" si="178"/>
        <v/>
      </c>
      <c r="M404" s="32" t="str">
        <f t="shared" si="179"/>
        <v/>
      </c>
      <c r="N404" s="32" t="str">
        <f t="shared" si="180"/>
        <v/>
      </c>
      <c r="O404" s="32" t="str">
        <f t="shared" si="181"/>
        <v/>
      </c>
      <c r="Q404" t="str">
        <f>IFERROR(MATCH(400,บันทึกรายเที่ยว!$Z$6:$Z$10005,0),"")</f>
        <v/>
      </c>
      <c r="R404" t="str">
        <f>IF($Q404="","",INDEX(บันทึกรายเที่ยว!$V$6:$V$10005,$Q404))</f>
        <v/>
      </c>
      <c r="S404" t="str">
        <f>IF($Q404="","",INDEX(บันทึกรายเที่ยว!$F$6:$F$10005,$Q404))</f>
        <v/>
      </c>
      <c r="T404" t="str">
        <f>IF($Q404="","",MATCH($S404,บันทึกรายเที่ยว!$F$6:$F$10005,0))</f>
        <v/>
      </c>
      <c r="U404" t="str">
        <f>IF($Q404="","",$AL404*10000000+$T404*1000+400)</f>
        <v/>
      </c>
      <c r="V404" t="str">
        <f>IFERROR(MATCH(SMALL($U$5:$U$404,400),$U$5:$U$404,0),"")</f>
        <v/>
      </c>
      <c r="W404" t="str">
        <f t="shared" si="182"/>
        <v/>
      </c>
      <c r="X404" t="str">
        <f t="shared" si="183"/>
        <v/>
      </c>
      <c r="Y404" t="str">
        <f t="shared" si="184"/>
        <v/>
      </c>
      <c r="Z404">
        <f t="shared" si="194"/>
        <v>0</v>
      </c>
      <c r="AA404">
        <f>IF($V404="",0,1)</f>
        <v>0</v>
      </c>
      <c r="AB404">
        <f>IF($V404="",99999+400,$AB403+1+$Z403+$AA403+$AO403)</f>
        <v>100399</v>
      </c>
      <c r="AC404" t="str">
        <f>IFERROR(MATCH(400,$AB$5:$AB$404,1),"")</f>
        <v/>
      </c>
      <c r="AD404" t="str">
        <f>IF(400=$AI$1+1,"Z",IF($AC404="","",IF(INDEX($V$5:$V$404,$AC404)="","",IF(400&gt;INDEX($AB$5:$AB$404,$AC404)+INDEX($Z$5:$Z$404,$AC404)+INDEX($AA$5:$AA$404,$AC404)+INDEX($AO$5:$AO$404,$AC404),"",IF(400=INDEX($AB$5:$AB$404,$AC404)+INDEX($Z$5:$Z$404,$AC404),"D",IF(AND(INDEX($Z$5:$Z$404,$AC404)=1,400=INDEX($AB$5:$AB$404,$AC404)),"H",IF(AND(INDEX($AO$5:$AO$404,$AC404)=1,400=INDEX($AB$5:$AB$404,$AC404)+INDEX($Z$5:$Z$404,$AC404)+INDEX($AA$5:$AA$404,$AC404)+INDEX($AO$5:$AO$404,$AC404)),"B","T")))))))</f>
        <v/>
      </c>
      <c r="AF404" t="str">
        <f t="shared" si="186"/>
        <v/>
      </c>
      <c r="AJ404">
        <f>IF($AD404&lt;&gt;"T",0,ROUND(SUMIF(oil!$B$4:$B$63,$AF404,oil!$AE$4:$AE$63),2))</f>
        <v>0</v>
      </c>
      <c r="AK404" t="str">
        <f>IF($S404="","",IFERROR(INDEX(อัตราค่าขนส่ง!$R$5:$R$54,MATCH($S404,อัตราค่าขนส่ง!$Q$5:$Q$54,0)),INDEX(รายการมาตรฐาน!$G$2:$G$3,1)))</f>
        <v/>
      </c>
      <c r="AL404" t="str">
        <f>IF($S404="","",IFERROR(MATCH($AK404,รายการมาตรฐาน!$G$2:$G$3,0),1))</f>
        <v/>
      </c>
      <c r="AM404" t="str">
        <f t="shared" si="187"/>
        <v/>
      </c>
      <c r="AN404" t="str">
        <f t="shared" si="188"/>
        <v/>
      </c>
      <c r="AO404">
        <f>IF(OR($V404="",$AI$2&lt;=1),0,1)</f>
        <v>0</v>
      </c>
      <c r="AP404">
        <f t="shared" si="195"/>
        <v>0</v>
      </c>
      <c r="AQ404" t="str">
        <f t="shared" si="190"/>
        <v/>
      </c>
      <c r="AR404">
        <f>IF($Y404="",0,COUNTIF(บันทึกรายเที่ยว!$V$6:$V$10005,$Y404))</f>
        <v>0</v>
      </c>
      <c r="AS404">
        <f>IF($Y404="",0,ROUND(SUMIF(บันทึกรายเที่ยว!$V$6:$V$10005,$Y404,บันทึกรายเที่ยว!$M$6:$M$10005),2))</f>
        <v>0</v>
      </c>
      <c r="AT404">
        <f>IF($Y404="",0,IFERROR(INDEX(อัตราค่าขนส่ง!$J$5:$J$204,MATCH($Y404,อัตราค่าขนส่ง!$O$5:$O$204,0)),0))</f>
        <v>0</v>
      </c>
      <c r="AU404">
        <f t="shared" si="191"/>
        <v>0</v>
      </c>
      <c r="AV404">
        <f t="shared" si="192"/>
        <v>0</v>
      </c>
      <c r="AW404" t="str">
        <f>IF($Y404="","",IFERROR(INDEX(อัตราค่าขนส่ง!$F$5:$F$204,MATCH($Y404,อัตราค่าขนส่ง!$O$5:$O$204,0)),""))</f>
        <v/>
      </c>
      <c r="AX404" t="str">
        <f>IF($W404="","",INDEX(บันทึกรายเที่ยว!$D$6:$D$10005,$W404))</f>
        <v/>
      </c>
      <c r="AY404" t="str">
        <f>IF($W404="","",INDEX(บันทึกรายเที่ยว!$R$6:$R$10005,$W404))</f>
        <v/>
      </c>
      <c r="AZ404">
        <f t="shared" si="193"/>
        <v>0</v>
      </c>
      <c r="BA404" t="str">
        <f>IF($W404="","",INDEX(บันทึกรายเที่ยว!$E$6:$E$10005,$W404))</f>
        <v/>
      </c>
      <c r="BC404">
        <f>IF($Y404="",0,IFERROR(INDEX(อัตราค่าขนส่ง!$M$5:$M$204,MATCH($Y404,อัตราค่าขนส่ง!$O$5:$O$204,0)),0))</f>
        <v>0</v>
      </c>
      <c r="BD404">
        <f>IF($Y404="",0,IFERROR(INDEX(อัตราค่าขนส่ง!$N$5:$N$204,MATCH($Y404,อัตราค่าขนส่ง!$O$5:$O$204,0)),0))</f>
        <v>0</v>
      </c>
    </row>
    <row r="405" spans="1:56" ht="21" customHeight="1" x14ac:dyDescent="0.95">
      <c r="A405" s="36" t="str">
        <f>IF($AD405="","",IF($AD405="Z","รวมจ่ายทั้งสิ้น",IF($AD405="H",INDEX($X$5:$X$404,$AC405),IF($AD405="T","รวม",IF($AD405="B",IFERROR(INDEX(อัตราค่าขนส่ง!$U$5:$U$14,MATCH(INDEX($AM$5:$AM$404,$AC405),อัตราค่าขนส่ง!$T$5:$T$14,0)),"รวมกลุ่ม "&amp;INDEX($AM$5:$AM$404,$AC405)),INDEX($AY$5:$AY$404,$AC405))))))</f>
        <v/>
      </c>
      <c r="B405" s="31" t="str">
        <f t="shared" si="168"/>
        <v/>
      </c>
      <c r="C405" s="8" t="str">
        <f t="shared" si="169"/>
        <v/>
      </c>
      <c r="D405" s="37" t="str">
        <f t="shared" si="170"/>
        <v/>
      </c>
      <c r="E405" s="31" t="str">
        <f t="shared" si="171"/>
        <v/>
      </c>
      <c r="F405" s="32" t="str">
        <f t="shared" si="172"/>
        <v/>
      </c>
      <c r="G405" s="32" t="str">
        <f t="shared" si="173"/>
        <v/>
      </c>
      <c r="H405" s="32" t="str">
        <f t="shared" si="174"/>
        <v/>
      </c>
      <c r="I405" s="32" t="str">
        <f t="shared" si="175"/>
        <v/>
      </c>
      <c r="J405" s="46" t="str">
        <f t="shared" si="176"/>
        <v/>
      </c>
      <c r="K405" s="32" t="str">
        <f t="shared" si="177"/>
        <v/>
      </c>
      <c r="L405" s="32" t="str">
        <f t="shared" si="178"/>
        <v/>
      </c>
      <c r="M405" s="32" t="str">
        <f t="shared" si="179"/>
        <v/>
      </c>
      <c r="N405" s="32" t="str">
        <f t="shared" si="180"/>
        <v/>
      </c>
      <c r="O405" s="32" t="str">
        <f t="shared" si="181"/>
        <v/>
      </c>
      <c r="AC405" t="str">
        <f>IFERROR(MATCH(401,$AB$5:$AB$404,1),"")</f>
        <v/>
      </c>
      <c r="AD405" t="str">
        <f>IF(401=$AI$1+1,"Z",IF($AC405="","",IF(INDEX($V$5:$V$404,$AC405)="","",IF(401&gt;INDEX($AB$5:$AB$404,$AC405)+INDEX($Z$5:$Z$404,$AC405)+INDEX($AA$5:$AA$404,$AC405)+INDEX($AO$5:$AO$404,$AC405),"",IF(401=INDEX($AB$5:$AB$404,$AC405)+INDEX($Z$5:$Z$404,$AC405),"D",IF(AND(INDEX($Z$5:$Z$404,$AC405)=1,401=INDEX($AB$5:$AB$404,$AC405)),"H",IF(AND(INDEX($AO$5:$AO$404,$AC405)=1,401=INDEX($AB$5:$AB$404,$AC405)+INDEX($Z$5:$Z$404,$AC405)+INDEX($AA$5:$AA$404,$AC405)+INDEX($AO$5:$AO$404,$AC405)),"B","T")))))))</f>
        <v/>
      </c>
      <c r="AF405" t="str">
        <f t="shared" si="186"/>
        <v/>
      </c>
      <c r="AJ405">
        <f>IF($AD405&lt;&gt;"T",0,ROUND(SUMIF(oil!$B$4:$B$63,$AF405,oil!$AE$4:$AE$63),2))</f>
        <v>0</v>
      </c>
      <c r="AQ405" t="str">
        <f t="shared" si="190"/>
        <v/>
      </c>
      <c r="AZ405">
        <f t="shared" si="193"/>
        <v>0</v>
      </c>
    </row>
    <row r="406" spans="1:56" ht="21" customHeight="1" x14ac:dyDescent="0.95">
      <c r="A406" s="36" t="str">
        <f>IF($AD406="","",IF($AD406="Z","รวมจ่ายทั้งสิ้น",IF($AD406="H",INDEX($X$5:$X$404,$AC406),IF($AD406="T","รวม",IF($AD406="B",IFERROR(INDEX(อัตราค่าขนส่ง!$U$5:$U$14,MATCH(INDEX($AM$5:$AM$404,$AC406),อัตราค่าขนส่ง!$T$5:$T$14,0)),"รวมกลุ่ม "&amp;INDEX($AM$5:$AM$404,$AC406)),INDEX($AY$5:$AY$404,$AC406))))))</f>
        <v/>
      </c>
      <c r="B406" s="31" t="str">
        <f t="shared" si="168"/>
        <v/>
      </c>
      <c r="C406" s="8" t="str">
        <f t="shared" si="169"/>
        <v/>
      </c>
      <c r="D406" s="37" t="str">
        <f t="shared" si="170"/>
        <v/>
      </c>
      <c r="E406" s="31" t="str">
        <f t="shared" si="171"/>
        <v/>
      </c>
      <c r="F406" s="32" t="str">
        <f t="shared" si="172"/>
        <v/>
      </c>
      <c r="G406" s="32" t="str">
        <f t="shared" si="173"/>
        <v/>
      </c>
      <c r="H406" s="32" t="str">
        <f t="shared" si="174"/>
        <v/>
      </c>
      <c r="I406" s="32" t="str">
        <f t="shared" si="175"/>
        <v/>
      </c>
      <c r="J406" s="46" t="str">
        <f t="shared" si="176"/>
        <v/>
      </c>
      <c r="K406" s="32" t="str">
        <f t="shared" si="177"/>
        <v/>
      </c>
      <c r="L406" s="32" t="str">
        <f t="shared" si="178"/>
        <v/>
      </c>
      <c r="M406" s="32" t="str">
        <f t="shared" si="179"/>
        <v/>
      </c>
      <c r="N406" s="32" t="str">
        <f t="shared" si="180"/>
        <v/>
      </c>
      <c r="O406" s="32" t="str">
        <f t="shared" si="181"/>
        <v/>
      </c>
      <c r="AC406" t="str">
        <f>IFERROR(MATCH(402,$AB$5:$AB$404,1),"")</f>
        <v/>
      </c>
      <c r="AD406" t="str">
        <f>IF(402=$AI$1+1,"Z",IF($AC406="","",IF(INDEX($V$5:$V$404,$AC406)="","",IF(402&gt;INDEX($AB$5:$AB$404,$AC406)+INDEX($Z$5:$Z$404,$AC406)+INDEX($AA$5:$AA$404,$AC406)+INDEX($AO$5:$AO$404,$AC406),"",IF(402=INDEX($AB$5:$AB$404,$AC406)+INDEX($Z$5:$Z$404,$AC406),"D",IF(AND(INDEX($Z$5:$Z$404,$AC406)=1,402=INDEX($AB$5:$AB$404,$AC406)),"H",IF(AND(INDEX($AO$5:$AO$404,$AC406)=1,402=INDEX($AB$5:$AB$404,$AC406)+INDEX($Z$5:$Z$404,$AC406)+INDEX($AA$5:$AA$404,$AC406)+INDEX($AO$5:$AO$404,$AC406)),"B","T")))))))</f>
        <v/>
      </c>
      <c r="AF406" t="str">
        <f t="shared" si="186"/>
        <v/>
      </c>
      <c r="AJ406">
        <f>IF($AD406&lt;&gt;"T",0,ROUND(SUMIF(oil!$B$4:$B$63,$AF406,oil!$AE$4:$AE$63),2))</f>
        <v>0</v>
      </c>
      <c r="AQ406" t="str">
        <f t="shared" si="190"/>
        <v/>
      </c>
      <c r="AZ406">
        <f t="shared" si="193"/>
        <v>0</v>
      </c>
    </row>
    <row r="407" spans="1:56" ht="21" customHeight="1" x14ac:dyDescent="0.95">
      <c r="A407" s="36" t="str">
        <f>IF($AD407="","",IF($AD407="Z","รวมจ่ายทั้งสิ้น",IF($AD407="H",INDEX($X$5:$X$404,$AC407),IF($AD407="T","รวม",IF($AD407="B",IFERROR(INDEX(อัตราค่าขนส่ง!$U$5:$U$14,MATCH(INDEX($AM$5:$AM$404,$AC407),อัตราค่าขนส่ง!$T$5:$T$14,0)),"รวมกลุ่ม "&amp;INDEX($AM$5:$AM$404,$AC407)),INDEX($AY$5:$AY$404,$AC407))))))</f>
        <v/>
      </c>
      <c r="B407" s="31" t="str">
        <f t="shared" si="168"/>
        <v/>
      </c>
      <c r="C407" s="8" t="str">
        <f t="shared" si="169"/>
        <v/>
      </c>
      <c r="D407" s="37" t="str">
        <f t="shared" si="170"/>
        <v/>
      </c>
      <c r="E407" s="31" t="str">
        <f t="shared" si="171"/>
        <v/>
      </c>
      <c r="F407" s="32" t="str">
        <f t="shared" si="172"/>
        <v/>
      </c>
      <c r="G407" s="32" t="str">
        <f t="shared" si="173"/>
        <v/>
      </c>
      <c r="H407" s="32" t="str">
        <f t="shared" si="174"/>
        <v/>
      </c>
      <c r="I407" s="32" t="str">
        <f t="shared" si="175"/>
        <v/>
      </c>
      <c r="J407" s="46" t="str">
        <f t="shared" si="176"/>
        <v/>
      </c>
      <c r="K407" s="32" t="str">
        <f t="shared" si="177"/>
        <v/>
      </c>
      <c r="L407" s="32" t="str">
        <f t="shared" si="178"/>
        <v/>
      </c>
      <c r="M407" s="32" t="str">
        <f t="shared" si="179"/>
        <v/>
      </c>
      <c r="N407" s="32" t="str">
        <f t="shared" si="180"/>
        <v/>
      </c>
      <c r="O407" s="32" t="str">
        <f t="shared" si="181"/>
        <v/>
      </c>
      <c r="AC407" t="str">
        <f>IFERROR(MATCH(403,$AB$5:$AB$404,1),"")</f>
        <v/>
      </c>
      <c r="AD407" t="str">
        <f>IF(403=$AI$1+1,"Z",IF($AC407="","",IF(INDEX($V$5:$V$404,$AC407)="","",IF(403&gt;INDEX($AB$5:$AB$404,$AC407)+INDEX($Z$5:$Z$404,$AC407)+INDEX($AA$5:$AA$404,$AC407)+INDEX($AO$5:$AO$404,$AC407),"",IF(403=INDEX($AB$5:$AB$404,$AC407)+INDEX($Z$5:$Z$404,$AC407),"D",IF(AND(INDEX($Z$5:$Z$404,$AC407)=1,403=INDEX($AB$5:$AB$404,$AC407)),"H",IF(AND(INDEX($AO$5:$AO$404,$AC407)=1,403=INDEX($AB$5:$AB$404,$AC407)+INDEX($Z$5:$Z$404,$AC407)+INDEX($AA$5:$AA$404,$AC407)+INDEX($AO$5:$AO$404,$AC407)),"B","T")))))))</f>
        <v/>
      </c>
      <c r="AF407" t="str">
        <f t="shared" si="186"/>
        <v/>
      </c>
      <c r="AJ407">
        <f>IF($AD407&lt;&gt;"T",0,ROUND(SUMIF(oil!$B$4:$B$63,$AF407,oil!$AE$4:$AE$63),2))</f>
        <v>0</v>
      </c>
      <c r="AQ407" t="str">
        <f t="shared" si="190"/>
        <v/>
      </c>
      <c r="AZ407">
        <f t="shared" si="193"/>
        <v>0</v>
      </c>
    </row>
    <row r="408" spans="1:56" ht="21" customHeight="1" x14ac:dyDescent="0.95">
      <c r="A408" s="36" t="str">
        <f>IF($AD408="","",IF($AD408="Z","รวมจ่ายทั้งสิ้น",IF($AD408="H",INDEX($X$5:$X$404,$AC408),IF($AD408="T","รวม",IF($AD408="B",IFERROR(INDEX(อัตราค่าขนส่ง!$U$5:$U$14,MATCH(INDEX($AM$5:$AM$404,$AC408),อัตราค่าขนส่ง!$T$5:$T$14,0)),"รวมกลุ่ม "&amp;INDEX($AM$5:$AM$404,$AC408)),INDEX($AY$5:$AY$404,$AC408))))))</f>
        <v/>
      </c>
      <c r="B408" s="31" t="str">
        <f t="shared" si="168"/>
        <v/>
      </c>
      <c r="C408" s="8" t="str">
        <f t="shared" si="169"/>
        <v/>
      </c>
      <c r="D408" s="37" t="str">
        <f t="shared" si="170"/>
        <v/>
      </c>
      <c r="E408" s="31" t="str">
        <f t="shared" si="171"/>
        <v/>
      </c>
      <c r="F408" s="32" t="str">
        <f t="shared" si="172"/>
        <v/>
      </c>
      <c r="G408" s="32" t="str">
        <f t="shared" si="173"/>
        <v/>
      </c>
      <c r="H408" s="32" t="str">
        <f t="shared" si="174"/>
        <v/>
      </c>
      <c r="I408" s="32" t="str">
        <f t="shared" si="175"/>
        <v/>
      </c>
      <c r="J408" s="46" t="str">
        <f t="shared" si="176"/>
        <v/>
      </c>
      <c r="K408" s="32" t="str">
        <f t="shared" si="177"/>
        <v/>
      </c>
      <c r="L408" s="32" t="str">
        <f t="shared" si="178"/>
        <v/>
      </c>
      <c r="M408" s="32" t="str">
        <f t="shared" si="179"/>
        <v/>
      </c>
      <c r="N408" s="32" t="str">
        <f t="shared" si="180"/>
        <v/>
      </c>
      <c r="O408" s="32" t="str">
        <f t="shared" si="181"/>
        <v/>
      </c>
      <c r="AC408" t="str">
        <f>IFERROR(MATCH(404,$AB$5:$AB$404,1),"")</f>
        <v/>
      </c>
      <c r="AD408" t="str">
        <f>IF(404=$AI$1+1,"Z",IF($AC408="","",IF(INDEX($V$5:$V$404,$AC408)="","",IF(404&gt;INDEX($AB$5:$AB$404,$AC408)+INDEX($Z$5:$Z$404,$AC408)+INDEX($AA$5:$AA$404,$AC408)+INDEX($AO$5:$AO$404,$AC408),"",IF(404=INDEX($AB$5:$AB$404,$AC408)+INDEX($Z$5:$Z$404,$AC408),"D",IF(AND(INDEX($Z$5:$Z$404,$AC408)=1,404=INDEX($AB$5:$AB$404,$AC408)),"H",IF(AND(INDEX($AO$5:$AO$404,$AC408)=1,404=INDEX($AB$5:$AB$404,$AC408)+INDEX($Z$5:$Z$404,$AC408)+INDEX($AA$5:$AA$404,$AC408)+INDEX($AO$5:$AO$404,$AC408)),"B","T")))))))</f>
        <v/>
      </c>
      <c r="AF408" t="str">
        <f t="shared" si="186"/>
        <v/>
      </c>
      <c r="AJ408">
        <f>IF($AD408&lt;&gt;"T",0,ROUND(SUMIF(oil!$B$4:$B$63,$AF408,oil!$AE$4:$AE$63),2))</f>
        <v>0</v>
      </c>
      <c r="AQ408" t="str">
        <f t="shared" si="190"/>
        <v/>
      </c>
      <c r="AZ408">
        <f t="shared" si="193"/>
        <v>0</v>
      </c>
    </row>
    <row r="409" spans="1:56" ht="21" customHeight="1" x14ac:dyDescent="0.95">
      <c r="A409" s="36" t="str">
        <f>IF($AD409="","",IF($AD409="Z","รวมจ่ายทั้งสิ้น",IF($AD409="H",INDEX($X$5:$X$404,$AC409),IF($AD409="T","รวม",IF($AD409="B",IFERROR(INDEX(อัตราค่าขนส่ง!$U$5:$U$14,MATCH(INDEX($AM$5:$AM$404,$AC409),อัตราค่าขนส่ง!$T$5:$T$14,0)),"รวมกลุ่ม "&amp;INDEX($AM$5:$AM$404,$AC409)),INDEX($AY$5:$AY$404,$AC409))))))</f>
        <v/>
      </c>
      <c r="B409" s="31" t="str">
        <f t="shared" si="168"/>
        <v/>
      </c>
      <c r="C409" s="8" t="str">
        <f t="shared" si="169"/>
        <v/>
      </c>
      <c r="D409" s="37" t="str">
        <f t="shared" si="170"/>
        <v/>
      </c>
      <c r="E409" s="31" t="str">
        <f t="shared" si="171"/>
        <v/>
      </c>
      <c r="F409" s="32" t="str">
        <f t="shared" si="172"/>
        <v/>
      </c>
      <c r="G409" s="32" t="str">
        <f t="shared" si="173"/>
        <v/>
      </c>
      <c r="H409" s="32" t="str">
        <f t="shared" si="174"/>
        <v/>
      </c>
      <c r="I409" s="32" t="str">
        <f t="shared" si="175"/>
        <v/>
      </c>
      <c r="J409" s="46" t="str">
        <f t="shared" si="176"/>
        <v/>
      </c>
      <c r="K409" s="32" t="str">
        <f t="shared" si="177"/>
        <v/>
      </c>
      <c r="L409" s="32" t="str">
        <f t="shared" si="178"/>
        <v/>
      </c>
      <c r="M409" s="32" t="str">
        <f t="shared" si="179"/>
        <v/>
      </c>
      <c r="N409" s="32" t="str">
        <f t="shared" si="180"/>
        <v/>
      </c>
      <c r="O409" s="32" t="str">
        <f t="shared" si="181"/>
        <v/>
      </c>
      <c r="AC409" t="str">
        <f>IFERROR(MATCH(405,$AB$5:$AB$404,1),"")</f>
        <v/>
      </c>
      <c r="AD409" t="str">
        <f>IF(405=$AI$1+1,"Z",IF($AC409="","",IF(INDEX($V$5:$V$404,$AC409)="","",IF(405&gt;INDEX($AB$5:$AB$404,$AC409)+INDEX($Z$5:$Z$404,$AC409)+INDEX($AA$5:$AA$404,$AC409)+INDEX($AO$5:$AO$404,$AC409),"",IF(405=INDEX($AB$5:$AB$404,$AC409)+INDEX($Z$5:$Z$404,$AC409),"D",IF(AND(INDEX($Z$5:$Z$404,$AC409)=1,405=INDEX($AB$5:$AB$404,$AC409)),"H",IF(AND(INDEX($AO$5:$AO$404,$AC409)=1,405=INDEX($AB$5:$AB$404,$AC409)+INDEX($Z$5:$Z$404,$AC409)+INDEX($AA$5:$AA$404,$AC409)+INDEX($AO$5:$AO$404,$AC409)),"B","T")))))))</f>
        <v/>
      </c>
      <c r="AF409" t="str">
        <f t="shared" si="186"/>
        <v/>
      </c>
      <c r="AJ409">
        <f>IF($AD409&lt;&gt;"T",0,ROUND(SUMIF(oil!$B$4:$B$63,$AF409,oil!$AE$4:$AE$63),2))</f>
        <v>0</v>
      </c>
      <c r="AQ409" t="str">
        <f t="shared" si="190"/>
        <v/>
      </c>
      <c r="AZ409">
        <f t="shared" si="193"/>
        <v>0</v>
      </c>
    </row>
    <row r="410" spans="1:56" ht="21" customHeight="1" x14ac:dyDescent="0.95">
      <c r="A410" s="36" t="str">
        <f>IF($AD410="","",IF($AD410="Z","รวมจ่ายทั้งสิ้น",IF($AD410="H",INDEX($X$5:$X$404,$AC410),IF($AD410="T","รวม",IF($AD410="B",IFERROR(INDEX(อัตราค่าขนส่ง!$U$5:$U$14,MATCH(INDEX($AM$5:$AM$404,$AC410),อัตราค่าขนส่ง!$T$5:$T$14,0)),"รวมกลุ่ม "&amp;INDEX($AM$5:$AM$404,$AC410)),INDEX($AY$5:$AY$404,$AC410))))))</f>
        <v/>
      </c>
      <c r="B410" s="31" t="str">
        <f t="shared" si="168"/>
        <v/>
      </c>
      <c r="C410" s="8" t="str">
        <f t="shared" si="169"/>
        <v/>
      </c>
      <c r="D410" s="37" t="str">
        <f t="shared" si="170"/>
        <v/>
      </c>
      <c r="E410" s="31" t="str">
        <f t="shared" si="171"/>
        <v/>
      </c>
      <c r="F410" s="32" t="str">
        <f t="shared" si="172"/>
        <v/>
      </c>
      <c r="G410" s="32" t="str">
        <f t="shared" si="173"/>
        <v/>
      </c>
      <c r="H410" s="32" t="str">
        <f t="shared" si="174"/>
        <v/>
      </c>
      <c r="I410" s="32" t="str">
        <f t="shared" si="175"/>
        <v/>
      </c>
      <c r="J410" s="46" t="str">
        <f t="shared" si="176"/>
        <v/>
      </c>
      <c r="K410" s="32" t="str">
        <f t="shared" si="177"/>
        <v/>
      </c>
      <c r="L410" s="32" t="str">
        <f t="shared" si="178"/>
        <v/>
      </c>
      <c r="M410" s="32" t="str">
        <f t="shared" si="179"/>
        <v/>
      </c>
      <c r="N410" s="32" t="str">
        <f t="shared" si="180"/>
        <v/>
      </c>
      <c r="O410" s="32" t="str">
        <f t="shared" si="181"/>
        <v/>
      </c>
      <c r="AC410" t="str">
        <f>IFERROR(MATCH(406,$AB$5:$AB$404,1),"")</f>
        <v/>
      </c>
      <c r="AD410" t="str">
        <f>IF(406=$AI$1+1,"Z",IF($AC410="","",IF(INDEX($V$5:$V$404,$AC410)="","",IF(406&gt;INDEX($AB$5:$AB$404,$AC410)+INDEX($Z$5:$Z$404,$AC410)+INDEX($AA$5:$AA$404,$AC410)+INDEX($AO$5:$AO$404,$AC410),"",IF(406=INDEX($AB$5:$AB$404,$AC410)+INDEX($Z$5:$Z$404,$AC410),"D",IF(AND(INDEX($Z$5:$Z$404,$AC410)=1,406=INDEX($AB$5:$AB$404,$AC410)),"H",IF(AND(INDEX($AO$5:$AO$404,$AC410)=1,406=INDEX($AB$5:$AB$404,$AC410)+INDEX($Z$5:$Z$404,$AC410)+INDEX($AA$5:$AA$404,$AC410)+INDEX($AO$5:$AO$404,$AC410)),"B","T")))))))</f>
        <v/>
      </c>
      <c r="AF410" t="str">
        <f t="shared" si="186"/>
        <v/>
      </c>
      <c r="AJ410">
        <f>IF($AD410&lt;&gt;"T",0,ROUND(SUMIF(oil!$B$4:$B$63,$AF410,oil!$AE$4:$AE$63),2))</f>
        <v>0</v>
      </c>
      <c r="AQ410" t="str">
        <f t="shared" si="190"/>
        <v/>
      </c>
      <c r="AZ410">
        <f t="shared" si="193"/>
        <v>0</v>
      </c>
    </row>
    <row r="411" spans="1:56" ht="21" customHeight="1" x14ac:dyDescent="0.95">
      <c r="A411" s="36" t="str">
        <f>IF($AD411="","",IF($AD411="Z","รวมจ่ายทั้งสิ้น",IF($AD411="H",INDEX($X$5:$X$404,$AC411),IF($AD411="T","รวม",IF($AD411="B",IFERROR(INDEX(อัตราค่าขนส่ง!$U$5:$U$14,MATCH(INDEX($AM$5:$AM$404,$AC411),อัตราค่าขนส่ง!$T$5:$T$14,0)),"รวมกลุ่ม "&amp;INDEX($AM$5:$AM$404,$AC411)),INDEX($AY$5:$AY$404,$AC411))))))</f>
        <v/>
      </c>
      <c r="B411" s="31" t="str">
        <f t="shared" si="168"/>
        <v/>
      </c>
      <c r="C411" s="8" t="str">
        <f t="shared" si="169"/>
        <v/>
      </c>
      <c r="D411" s="37" t="str">
        <f t="shared" si="170"/>
        <v/>
      </c>
      <c r="E411" s="31" t="str">
        <f t="shared" si="171"/>
        <v/>
      </c>
      <c r="F411" s="32" t="str">
        <f t="shared" si="172"/>
        <v/>
      </c>
      <c r="G411" s="32" t="str">
        <f t="shared" si="173"/>
        <v/>
      </c>
      <c r="H411" s="32" t="str">
        <f t="shared" si="174"/>
        <v/>
      </c>
      <c r="I411" s="32" t="str">
        <f t="shared" si="175"/>
        <v/>
      </c>
      <c r="J411" s="46" t="str">
        <f t="shared" si="176"/>
        <v/>
      </c>
      <c r="K411" s="32" t="str">
        <f t="shared" si="177"/>
        <v/>
      </c>
      <c r="L411" s="32" t="str">
        <f t="shared" si="178"/>
        <v/>
      </c>
      <c r="M411" s="32" t="str">
        <f t="shared" si="179"/>
        <v/>
      </c>
      <c r="N411" s="32" t="str">
        <f t="shared" si="180"/>
        <v/>
      </c>
      <c r="O411" s="32" t="str">
        <f t="shared" si="181"/>
        <v/>
      </c>
      <c r="AC411" t="str">
        <f>IFERROR(MATCH(407,$AB$5:$AB$404,1),"")</f>
        <v/>
      </c>
      <c r="AD411" t="str">
        <f>IF(407=$AI$1+1,"Z",IF($AC411="","",IF(INDEX($V$5:$V$404,$AC411)="","",IF(407&gt;INDEX($AB$5:$AB$404,$AC411)+INDEX($Z$5:$Z$404,$AC411)+INDEX($AA$5:$AA$404,$AC411)+INDEX($AO$5:$AO$404,$AC411),"",IF(407=INDEX($AB$5:$AB$404,$AC411)+INDEX($Z$5:$Z$404,$AC411),"D",IF(AND(INDEX($Z$5:$Z$404,$AC411)=1,407=INDEX($AB$5:$AB$404,$AC411)),"H",IF(AND(INDEX($AO$5:$AO$404,$AC411)=1,407=INDEX($AB$5:$AB$404,$AC411)+INDEX($Z$5:$Z$404,$AC411)+INDEX($AA$5:$AA$404,$AC411)+INDEX($AO$5:$AO$404,$AC411)),"B","T")))))))</f>
        <v/>
      </c>
      <c r="AF411" t="str">
        <f t="shared" si="186"/>
        <v/>
      </c>
      <c r="AJ411">
        <f>IF($AD411&lt;&gt;"T",0,ROUND(SUMIF(oil!$B$4:$B$63,$AF411,oil!$AE$4:$AE$63),2))</f>
        <v>0</v>
      </c>
      <c r="AQ411" t="str">
        <f t="shared" si="190"/>
        <v/>
      </c>
      <c r="AZ411">
        <f t="shared" si="193"/>
        <v>0</v>
      </c>
    </row>
    <row r="412" spans="1:56" ht="21" customHeight="1" x14ac:dyDescent="0.95">
      <c r="A412" s="36" t="str">
        <f>IF($AD412="","",IF($AD412="Z","รวมจ่ายทั้งสิ้น",IF($AD412="H",INDEX($X$5:$X$404,$AC412),IF($AD412="T","รวม",IF($AD412="B",IFERROR(INDEX(อัตราค่าขนส่ง!$U$5:$U$14,MATCH(INDEX($AM$5:$AM$404,$AC412),อัตราค่าขนส่ง!$T$5:$T$14,0)),"รวมกลุ่ม "&amp;INDEX($AM$5:$AM$404,$AC412)),INDEX($AY$5:$AY$404,$AC412))))))</f>
        <v/>
      </c>
      <c r="B412" s="31" t="str">
        <f t="shared" si="168"/>
        <v/>
      </c>
      <c r="C412" s="8" t="str">
        <f t="shared" si="169"/>
        <v/>
      </c>
      <c r="D412" s="37" t="str">
        <f t="shared" si="170"/>
        <v/>
      </c>
      <c r="E412" s="31" t="str">
        <f t="shared" si="171"/>
        <v/>
      </c>
      <c r="F412" s="32" t="str">
        <f t="shared" si="172"/>
        <v/>
      </c>
      <c r="G412" s="32" t="str">
        <f t="shared" si="173"/>
        <v/>
      </c>
      <c r="H412" s="32" t="str">
        <f t="shared" si="174"/>
        <v/>
      </c>
      <c r="I412" s="32" t="str">
        <f t="shared" si="175"/>
        <v/>
      </c>
      <c r="J412" s="46" t="str">
        <f t="shared" si="176"/>
        <v/>
      </c>
      <c r="K412" s="32" t="str">
        <f t="shared" si="177"/>
        <v/>
      </c>
      <c r="L412" s="32" t="str">
        <f t="shared" si="178"/>
        <v/>
      </c>
      <c r="M412" s="32" t="str">
        <f t="shared" si="179"/>
        <v/>
      </c>
      <c r="N412" s="32" t="str">
        <f t="shared" si="180"/>
        <v/>
      </c>
      <c r="O412" s="32" t="str">
        <f t="shared" si="181"/>
        <v/>
      </c>
      <c r="AC412" t="str">
        <f>IFERROR(MATCH(408,$AB$5:$AB$404,1),"")</f>
        <v/>
      </c>
      <c r="AD412" t="str">
        <f>IF(408=$AI$1+1,"Z",IF($AC412="","",IF(INDEX($V$5:$V$404,$AC412)="","",IF(408&gt;INDEX($AB$5:$AB$404,$AC412)+INDEX($Z$5:$Z$404,$AC412)+INDEX($AA$5:$AA$404,$AC412)+INDEX($AO$5:$AO$404,$AC412),"",IF(408=INDEX($AB$5:$AB$404,$AC412)+INDEX($Z$5:$Z$404,$AC412),"D",IF(AND(INDEX($Z$5:$Z$404,$AC412)=1,408=INDEX($AB$5:$AB$404,$AC412)),"H",IF(AND(INDEX($AO$5:$AO$404,$AC412)=1,408=INDEX($AB$5:$AB$404,$AC412)+INDEX($Z$5:$Z$404,$AC412)+INDEX($AA$5:$AA$404,$AC412)+INDEX($AO$5:$AO$404,$AC412)),"B","T")))))))</f>
        <v/>
      </c>
      <c r="AF412" t="str">
        <f t="shared" si="186"/>
        <v/>
      </c>
      <c r="AJ412">
        <f>IF($AD412&lt;&gt;"T",0,ROUND(SUMIF(oil!$B$4:$B$63,$AF412,oil!$AE$4:$AE$63),2))</f>
        <v>0</v>
      </c>
      <c r="AQ412" t="str">
        <f t="shared" si="190"/>
        <v/>
      </c>
      <c r="AZ412">
        <f t="shared" si="193"/>
        <v>0</v>
      </c>
    </row>
    <row r="413" spans="1:56" ht="21" customHeight="1" x14ac:dyDescent="0.95">
      <c r="A413" s="36" t="str">
        <f>IF($AD413="","",IF($AD413="Z","รวมจ่ายทั้งสิ้น",IF($AD413="H",INDEX($X$5:$X$404,$AC413),IF($AD413="T","รวม",IF($AD413="B",IFERROR(INDEX(อัตราค่าขนส่ง!$U$5:$U$14,MATCH(INDEX($AM$5:$AM$404,$AC413),อัตราค่าขนส่ง!$T$5:$T$14,0)),"รวมกลุ่ม "&amp;INDEX($AM$5:$AM$404,$AC413)),INDEX($AY$5:$AY$404,$AC413))))))</f>
        <v/>
      </c>
      <c r="B413" s="31" t="str">
        <f t="shared" si="168"/>
        <v/>
      </c>
      <c r="C413" s="8" t="str">
        <f t="shared" si="169"/>
        <v/>
      </c>
      <c r="D413" s="37" t="str">
        <f t="shared" si="170"/>
        <v/>
      </c>
      <c r="E413" s="31" t="str">
        <f t="shared" si="171"/>
        <v/>
      </c>
      <c r="F413" s="32" t="str">
        <f t="shared" si="172"/>
        <v/>
      </c>
      <c r="G413" s="32" t="str">
        <f t="shared" si="173"/>
        <v/>
      </c>
      <c r="H413" s="32" t="str">
        <f t="shared" si="174"/>
        <v/>
      </c>
      <c r="I413" s="32" t="str">
        <f t="shared" si="175"/>
        <v/>
      </c>
      <c r="J413" s="46" t="str">
        <f t="shared" si="176"/>
        <v/>
      </c>
      <c r="K413" s="32" t="str">
        <f t="shared" si="177"/>
        <v/>
      </c>
      <c r="L413" s="32" t="str">
        <f t="shared" si="178"/>
        <v/>
      </c>
      <c r="M413" s="32" t="str">
        <f t="shared" si="179"/>
        <v/>
      </c>
      <c r="N413" s="32" t="str">
        <f t="shared" si="180"/>
        <v/>
      </c>
      <c r="O413" s="32" t="str">
        <f t="shared" si="181"/>
        <v/>
      </c>
      <c r="AC413" t="str">
        <f>IFERROR(MATCH(409,$AB$5:$AB$404,1),"")</f>
        <v/>
      </c>
      <c r="AD413" t="str">
        <f>IF(409=$AI$1+1,"Z",IF($AC413="","",IF(INDEX($V$5:$V$404,$AC413)="","",IF(409&gt;INDEX($AB$5:$AB$404,$AC413)+INDEX($Z$5:$Z$404,$AC413)+INDEX($AA$5:$AA$404,$AC413)+INDEX($AO$5:$AO$404,$AC413),"",IF(409=INDEX($AB$5:$AB$404,$AC413)+INDEX($Z$5:$Z$404,$AC413),"D",IF(AND(INDEX($Z$5:$Z$404,$AC413)=1,409=INDEX($AB$5:$AB$404,$AC413)),"H",IF(AND(INDEX($AO$5:$AO$404,$AC413)=1,409=INDEX($AB$5:$AB$404,$AC413)+INDEX($Z$5:$Z$404,$AC413)+INDEX($AA$5:$AA$404,$AC413)+INDEX($AO$5:$AO$404,$AC413)),"B","T")))))))</f>
        <v/>
      </c>
      <c r="AF413" t="str">
        <f t="shared" si="186"/>
        <v/>
      </c>
      <c r="AJ413">
        <f>IF($AD413&lt;&gt;"T",0,ROUND(SUMIF(oil!$B$4:$B$63,$AF413,oil!$AE$4:$AE$63),2))</f>
        <v>0</v>
      </c>
      <c r="AQ413" t="str">
        <f t="shared" si="190"/>
        <v/>
      </c>
      <c r="AZ413">
        <f t="shared" si="193"/>
        <v>0</v>
      </c>
    </row>
    <row r="414" spans="1:56" ht="21" customHeight="1" x14ac:dyDescent="0.95">
      <c r="A414" s="36" t="str">
        <f>IF($AD414="","",IF($AD414="Z","รวมจ่ายทั้งสิ้น",IF($AD414="H",INDEX($X$5:$X$404,$AC414),IF($AD414="T","รวม",IF($AD414="B",IFERROR(INDEX(อัตราค่าขนส่ง!$U$5:$U$14,MATCH(INDEX($AM$5:$AM$404,$AC414),อัตราค่าขนส่ง!$T$5:$T$14,0)),"รวมกลุ่ม "&amp;INDEX($AM$5:$AM$404,$AC414)),INDEX($AY$5:$AY$404,$AC414))))))</f>
        <v/>
      </c>
      <c r="B414" s="31" t="str">
        <f t="shared" si="168"/>
        <v/>
      </c>
      <c r="C414" s="8" t="str">
        <f t="shared" si="169"/>
        <v/>
      </c>
      <c r="D414" s="37" t="str">
        <f t="shared" si="170"/>
        <v/>
      </c>
      <c r="E414" s="31" t="str">
        <f t="shared" si="171"/>
        <v/>
      </c>
      <c r="F414" s="32" t="str">
        <f t="shared" si="172"/>
        <v/>
      </c>
      <c r="G414" s="32" t="str">
        <f t="shared" si="173"/>
        <v/>
      </c>
      <c r="H414" s="32" t="str">
        <f t="shared" si="174"/>
        <v/>
      </c>
      <c r="I414" s="32" t="str">
        <f t="shared" si="175"/>
        <v/>
      </c>
      <c r="J414" s="46" t="str">
        <f t="shared" si="176"/>
        <v/>
      </c>
      <c r="K414" s="32" t="str">
        <f t="shared" si="177"/>
        <v/>
      </c>
      <c r="L414" s="32" t="str">
        <f t="shared" si="178"/>
        <v/>
      </c>
      <c r="M414" s="32" t="str">
        <f t="shared" si="179"/>
        <v/>
      </c>
      <c r="N414" s="32" t="str">
        <f t="shared" si="180"/>
        <v/>
      </c>
      <c r="O414" s="32" t="str">
        <f t="shared" si="181"/>
        <v/>
      </c>
      <c r="AC414" t="str">
        <f>IFERROR(MATCH(410,$AB$5:$AB$404,1),"")</f>
        <v/>
      </c>
      <c r="AD414" t="str">
        <f>IF(410=$AI$1+1,"Z",IF($AC414="","",IF(INDEX($V$5:$V$404,$AC414)="","",IF(410&gt;INDEX($AB$5:$AB$404,$AC414)+INDEX($Z$5:$Z$404,$AC414)+INDEX($AA$5:$AA$404,$AC414)+INDEX($AO$5:$AO$404,$AC414),"",IF(410=INDEX($AB$5:$AB$404,$AC414)+INDEX($Z$5:$Z$404,$AC414),"D",IF(AND(INDEX($Z$5:$Z$404,$AC414)=1,410=INDEX($AB$5:$AB$404,$AC414)),"H",IF(AND(INDEX($AO$5:$AO$404,$AC414)=1,410=INDEX($AB$5:$AB$404,$AC414)+INDEX($Z$5:$Z$404,$AC414)+INDEX($AA$5:$AA$404,$AC414)+INDEX($AO$5:$AO$404,$AC414)),"B","T")))))))</f>
        <v/>
      </c>
      <c r="AF414" t="str">
        <f t="shared" si="186"/>
        <v/>
      </c>
      <c r="AJ414">
        <f>IF($AD414&lt;&gt;"T",0,ROUND(SUMIF(oil!$B$4:$B$63,$AF414,oil!$AE$4:$AE$63),2))</f>
        <v>0</v>
      </c>
      <c r="AQ414" t="str">
        <f t="shared" si="190"/>
        <v/>
      </c>
      <c r="AZ414">
        <f t="shared" si="193"/>
        <v>0</v>
      </c>
    </row>
    <row r="415" spans="1:56" ht="21" customHeight="1" x14ac:dyDescent="0.95">
      <c r="A415" s="36" t="str">
        <f>IF($AD415="","",IF($AD415="Z","รวมจ่ายทั้งสิ้น",IF($AD415="H",INDEX($X$5:$X$404,$AC415),IF($AD415="T","รวม",IF($AD415="B",IFERROR(INDEX(อัตราค่าขนส่ง!$U$5:$U$14,MATCH(INDEX($AM$5:$AM$404,$AC415),อัตราค่าขนส่ง!$T$5:$T$14,0)),"รวมกลุ่ม "&amp;INDEX($AM$5:$AM$404,$AC415)),INDEX($AY$5:$AY$404,$AC415))))))</f>
        <v/>
      </c>
      <c r="B415" s="31" t="str">
        <f t="shared" si="168"/>
        <v/>
      </c>
      <c r="C415" s="8" t="str">
        <f t="shared" si="169"/>
        <v/>
      </c>
      <c r="D415" s="37" t="str">
        <f t="shared" si="170"/>
        <v/>
      </c>
      <c r="E415" s="31" t="str">
        <f t="shared" si="171"/>
        <v/>
      </c>
      <c r="F415" s="32" t="str">
        <f t="shared" si="172"/>
        <v/>
      </c>
      <c r="G415" s="32" t="str">
        <f t="shared" si="173"/>
        <v/>
      </c>
      <c r="H415" s="32" t="str">
        <f t="shared" si="174"/>
        <v/>
      </c>
      <c r="I415" s="32" t="str">
        <f t="shared" si="175"/>
        <v/>
      </c>
      <c r="J415" s="46" t="str">
        <f t="shared" si="176"/>
        <v/>
      </c>
      <c r="K415" s="32" t="str">
        <f t="shared" si="177"/>
        <v/>
      </c>
      <c r="L415" s="32" t="str">
        <f t="shared" si="178"/>
        <v/>
      </c>
      <c r="M415" s="32" t="str">
        <f t="shared" si="179"/>
        <v/>
      </c>
      <c r="N415" s="32" t="str">
        <f t="shared" si="180"/>
        <v/>
      </c>
      <c r="O415" s="32" t="str">
        <f t="shared" si="181"/>
        <v/>
      </c>
      <c r="AC415" t="str">
        <f>IFERROR(MATCH(411,$AB$5:$AB$404,1),"")</f>
        <v/>
      </c>
      <c r="AD415" t="str">
        <f>IF(411=$AI$1+1,"Z",IF($AC415="","",IF(INDEX($V$5:$V$404,$AC415)="","",IF(411&gt;INDEX($AB$5:$AB$404,$AC415)+INDEX($Z$5:$Z$404,$AC415)+INDEX($AA$5:$AA$404,$AC415)+INDEX($AO$5:$AO$404,$AC415),"",IF(411=INDEX($AB$5:$AB$404,$AC415)+INDEX($Z$5:$Z$404,$AC415),"D",IF(AND(INDEX($Z$5:$Z$404,$AC415)=1,411=INDEX($AB$5:$AB$404,$AC415)),"H",IF(AND(INDEX($AO$5:$AO$404,$AC415)=1,411=INDEX($AB$5:$AB$404,$AC415)+INDEX($Z$5:$Z$404,$AC415)+INDEX($AA$5:$AA$404,$AC415)+INDEX($AO$5:$AO$404,$AC415)),"B","T")))))))</f>
        <v/>
      </c>
      <c r="AF415" t="str">
        <f t="shared" si="186"/>
        <v/>
      </c>
      <c r="AJ415">
        <f>IF($AD415&lt;&gt;"T",0,ROUND(SUMIF(oil!$B$4:$B$63,$AF415,oil!$AE$4:$AE$63),2))</f>
        <v>0</v>
      </c>
      <c r="AQ415" t="str">
        <f t="shared" si="190"/>
        <v/>
      </c>
      <c r="AZ415">
        <f t="shared" si="193"/>
        <v>0</v>
      </c>
    </row>
    <row r="416" spans="1:56" ht="21" customHeight="1" x14ac:dyDescent="0.95">
      <c r="A416" s="36" t="str">
        <f>IF($AD416="","",IF($AD416="Z","รวมจ่ายทั้งสิ้น",IF($AD416="H",INDEX($X$5:$X$404,$AC416),IF($AD416="T","รวม",IF($AD416="B",IFERROR(INDEX(อัตราค่าขนส่ง!$U$5:$U$14,MATCH(INDEX($AM$5:$AM$404,$AC416),อัตราค่าขนส่ง!$T$5:$T$14,0)),"รวมกลุ่ม "&amp;INDEX($AM$5:$AM$404,$AC416)),INDEX($AY$5:$AY$404,$AC416))))))</f>
        <v/>
      </c>
      <c r="B416" s="31" t="str">
        <f t="shared" si="168"/>
        <v/>
      </c>
      <c r="C416" s="8" t="str">
        <f t="shared" si="169"/>
        <v/>
      </c>
      <c r="D416" s="37" t="str">
        <f t="shared" si="170"/>
        <v/>
      </c>
      <c r="E416" s="31" t="str">
        <f t="shared" si="171"/>
        <v/>
      </c>
      <c r="F416" s="32" t="str">
        <f t="shared" si="172"/>
        <v/>
      </c>
      <c r="G416" s="32" t="str">
        <f t="shared" si="173"/>
        <v/>
      </c>
      <c r="H416" s="32" t="str">
        <f t="shared" si="174"/>
        <v/>
      </c>
      <c r="I416" s="32" t="str">
        <f t="shared" si="175"/>
        <v/>
      </c>
      <c r="J416" s="46" t="str">
        <f t="shared" si="176"/>
        <v/>
      </c>
      <c r="K416" s="32" t="str">
        <f t="shared" si="177"/>
        <v/>
      </c>
      <c r="L416" s="32" t="str">
        <f t="shared" si="178"/>
        <v/>
      </c>
      <c r="M416" s="32" t="str">
        <f t="shared" si="179"/>
        <v/>
      </c>
      <c r="N416" s="32" t="str">
        <f t="shared" si="180"/>
        <v/>
      </c>
      <c r="O416" s="32" t="str">
        <f t="shared" si="181"/>
        <v/>
      </c>
      <c r="AC416" t="str">
        <f>IFERROR(MATCH(412,$AB$5:$AB$404,1),"")</f>
        <v/>
      </c>
      <c r="AD416" t="str">
        <f>IF(412=$AI$1+1,"Z",IF($AC416="","",IF(INDEX($V$5:$V$404,$AC416)="","",IF(412&gt;INDEX($AB$5:$AB$404,$AC416)+INDEX($Z$5:$Z$404,$AC416)+INDEX($AA$5:$AA$404,$AC416)+INDEX($AO$5:$AO$404,$AC416),"",IF(412=INDEX($AB$5:$AB$404,$AC416)+INDEX($Z$5:$Z$404,$AC416),"D",IF(AND(INDEX($Z$5:$Z$404,$AC416)=1,412=INDEX($AB$5:$AB$404,$AC416)),"H",IF(AND(INDEX($AO$5:$AO$404,$AC416)=1,412=INDEX($AB$5:$AB$404,$AC416)+INDEX($Z$5:$Z$404,$AC416)+INDEX($AA$5:$AA$404,$AC416)+INDEX($AO$5:$AO$404,$AC416)),"B","T")))))))</f>
        <v/>
      </c>
      <c r="AF416" t="str">
        <f t="shared" si="186"/>
        <v/>
      </c>
      <c r="AJ416">
        <f>IF($AD416&lt;&gt;"T",0,ROUND(SUMIF(oil!$B$4:$B$63,$AF416,oil!$AE$4:$AE$63),2))</f>
        <v>0</v>
      </c>
      <c r="AQ416" t="str">
        <f t="shared" si="190"/>
        <v/>
      </c>
      <c r="AZ416">
        <f t="shared" si="193"/>
        <v>0</v>
      </c>
    </row>
    <row r="417" spans="1:52" ht="21" customHeight="1" x14ac:dyDescent="0.95">
      <c r="A417" s="36" t="str">
        <f>IF($AD417="","",IF($AD417="Z","รวมจ่ายทั้งสิ้น",IF($AD417="H",INDEX($X$5:$X$404,$AC417),IF($AD417="T","รวม",IF($AD417="B",IFERROR(INDEX(อัตราค่าขนส่ง!$U$5:$U$14,MATCH(INDEX($AM$5:$AM$404,$AC417),อัตราค่าขนส่ง!$T$5:$T$14,0)),"รวมกลุ่ม "&amp;INDEX($AM$5:$AM$404,$AC417)),INDEX($AY$5:$AY$404,$AC417))))))</f>
        <v/>
      </c>
      <c r="B417" s="31" t="str">
        <f t="shared" si="168"/>
        <v/>
      </c>
      <c r="C417" s="8" t="str">
        <f t="shared" si="169"/>
        <v/>
      </c>
      <c r="D417" s="37" t="str">
        <f t="shared" si="170"/>
        <v/>
      </c>
      <c r="E417" s="31" t="str">
        <f t="shared" si="171"/>
        <v/>
      </c>
      <c r="F417" s="32" t="str">
        <f t="shared" si="172"/>
        <v/>
      </c>
      <c r="G417" s="32" t="str">
        <f t="shared" si="173"/>
        <v/>
      </c>
      <c r="H417" s="32" t="str">
        <f t="shared" si="174"/>
        <v/>
      </c>
      <c r="I417" s="32" t="str">
        <f t="shared" si="175"/>
        <v/>
      </c>
      <c r="J417" s="46" t="str">
        <f t="shared" si="176"/>
        <v/>
      </c>
      <c r="K417" s="32" t="str">
        <f t="shared" si="177"/>
        <v/>
      </c>
      <c r="L417" s="32" t="str">
        <f t="shared" si="178"/>
        <v/>
      </c>
      <c r="M417" s="32" t="str">
        <f t="shared" si="179"/>
        <v/>
      </c>
      <c r="N417" s="32" t="str">
        <f t="shared" si="180"/>
        <v/>
      </c>
      <c r="O417" s="32" t="str">
        <f t="shared" si="181"/>
        <v/>
      </c>
      <c r="AC417" t="str">
        <f>IFERROR(MATCH(413,$AB$5:$AB$404,1),"")</f>
        <v/>
      </c>
      <c r="AD417" t="str">
        <f>IF(413=$AI$1+1,"Z",IF($AC417="","",IF(INDEX($V$5:$V$404,$AC417)="","",IF(413&gt;INDEX($AB$5:$AB$404,$AC417)+INDEX($Z$5:$Z$404,$AC417)+INDEX($AA$5:$AA$404,$AC417)+INDEX($AO$5:$AO$404,$AC417),"",IF(413=INDEX($AB$5:$AB$404,$AC417)+INDEX($Z$5:$Z$404,$AC417),"D",IF(AND(INDEX($Z$5:$Z$404,$AC417)=1,413=INDEX($AB$5:$AB$404,$AC417)),"H",IF(AND(INDEX($AO$5:$AO$404,$AC417)=1,413=INDEX($AB$5:$AB$404,$AC417)+INDEX($Z$5:$Z$404,$AC417)+INDEX($AA$5:$AA$404,$AC417)+INDEX($AO$5:$AO$404,$AC417)),"B","T")))))))</f>
        <v/>
      </c>
      <c r="AF417" t="str">
        <f t="shared" si="186"/>
        <v/>
      </c>
      <c r="AJ417">
        <f>IF($AD417&lt;&gt;"T",0,ROUND(SUMIF(oil!$B$4:$B$63,$AF417,oil!$AE$4:$AE$63),2))</f>
        <v>0</v>
      </c>
      <c r="AQ417" t="str">
        <f t="shared" si="190"/>
        <v/>
      </c>
      <c r="AZ417">
        <f t="shared" si="193"/>
        <v>0</v>
      </c>
    </row>
    <row r="418" spans="1:52" ht="21" customHeight="1" x14ac:dyDescent="0.95">
      <c r="A418" s="36" t="str">
        <f>IF($AD418="","",IF($AD418="Z","รวมจ่ายทั้งสิ้น",IF($AD418="H",INDEX($X$5:$X$404,$AC418),IF($AD418="T","รวม",IF($AD418="B",IFERROR(INDEX(อัตราค่าขนส่ง!$U$5:$U$14,MATCH(INDEX($AM$5:$AM$404,$AC418),อัตราค่าขนส่ง!$T$5:$T$14,0)),"รวมกลุ่ม "&amp;INDEX($AM$5:$AM$404,$AC418)),INDEX($AY$5:$AY$404,$AC418))))))</f>
        <v/>
      </c>
      <c r="B418" s="31" t="str">
        <f t="shared" si="168"/>
        <v/>
      </c>
      <c r="C418" s="8" t="str">
        <f t="shared" si="169"/>
        <v/>
      </c>
      <c r="D418" s="37" t="str">
        <f t="shared" si="170"/>
        <v/>
      </c>
      <c r="E418" s="31" t="str">
        <f t="shared" si="171"/>
        <v/>
      </c>
      <c r="F418" s="32" t="str">
        <f t="shared" si="172"/>
        <v/>
      </c>
      <c r="G418" s="32" t="str">
        <f t="shared" si="173"/>
        <v/>
      </c>
      <c r="H418" s="32" t="str">
        <f t="shared" si="174"/>
        <v/>
      </c>
      <c r="I418" s="32" t="str">
        <f t="shared" si="175"/>
        <v/>
      </c>
      <c r="J418" s="46" t="str">
        <f t="shared" si="176"/>
        <v/>
      </c>
      <c r="K418" s="32" t="str">
        <f t="shared" si="177"/>
        <v/>
      </c>
      <c r="L418" s="32" t="str">
        <f t="shared" si="178"/>
        <v/>
      </c>
      <c r="M418" s="32" t="str">
        <f t="shared" si="179"/>
        <v/>
      </c>
      <c r="N418" s="32" t="str">
        <f t="shared" si="180"/>
        <v/>
      </c>
      <c r="O418" s="32" t="str">
        <f t="shared" si="181"/>
        <v/>
      </c>
      <c r="AC418" t="str">
        <f>IFERROR(MATCH(414,$AB$5:$AB$404,1),"")</f>
        <v/>
      </c>
      <c r="AD418" t="str">
        <f>IF(414=$AI$1+1,"Z",IF($AC418="","",IF(INDEX($V$5:$V$404,$AC418)="","",IF(414&gt;INDEX($AB$5:$AB$404,$AC418)+INDEX($Z$5:$Z$404,$AC418)+INDEX($AA$5:$AA$404,$AC418)+INDEX($AO$5:$AO$404,$AC418),"",IF(414=INDEX($AB$5:$AB$404,$AC418)+INDEX($Z$5:$Z$404,$AC418),"D",IF(AND(INDEX($Z$5:$Z$404,$AC418)=1,414=INDEX($AB$5:$AB$404,$AC418)),"H",IF(AND(INDEX($AO$5:$AO$404,$AC418)=1,414=INDEX($AB$5:$AB$404,$AC418)+INDEX($Z$5:$Z$404,$AC418)+INDEX($AA$5:$AA$404,$AC418)+INDEX($AO$5:$AO$404,$AC418)),"B","T")))))))</f>
        <v/>
      </c>
      <c r="AF418" t="str">
        <f t="shared" si="186"/>
        <v/>
      </c>
      <c r="AJ418">
        <f>IF($AD418&lt;&gt;"T",0,ROUND(SUMIF(oil!$B$4:$B$63,$AF418,oil!$AE$4:$AE$63),2))</f>
        <v>0</v>
      </c>
      <c r="AQ418" t="str">
        <f t="shared" si="190"/>
        <v/>
      </c>
      <c r="AZ418">
        <f t="shared" si="193"/>
        <v>0</v>
      </c>
    </row>
    <row r="419" spans="1:52" ht="21" customHeight="1" x14ac:dyDescent="0.95">
      <c r="A419" s="36" t="str">
        <f>IF($AD419="","",IF($AD419="Z","รวมจ่ายทั้งสิ้น",IF($AD419="H",INDEX($X$5:$X$404,$AC419),IF($AD419="T","รวม",IF($AD419="B",IFERROR(INDEX(อัตราค่าขนส่ง!$U$5:$U$14,MATCH(INDEX($AM$5:$AM$404,$AC419),อัตราค่าขนส่ง!$T$5:$T$14,0)),"รวมกลุ่ม "&amp;INDEX($AM$5:$AM$404,$AC419)),INDEX($AY$5:$AY$404,$AC419))))))</f>
        <v/>
      </c>
      <c r="B419" s="31" t="str">
        <f t="shared" si="168"/>
        <v/>
      </c>
      <c r="C419" s="8" t="str">
        <f t="shared" si="169"/>
        <v/>
      </c>
      <c r="D419" s="37" t="str">
        <f t="shared" si="170"/>
        <v/>
      </c>
      <c r="E419" s="31" t="str">
        <f t="shared" si="171"/>
        <v/>
      </c>
      <c r="F419" s="32" t="str">
        <f t="shared" si="172"/>
        <v/>
      </c>
      <c r="G419" s="32" t="str">
        <f t="shared" si="173"/>
        <v/>
      </c>
      <c r="H419" s="32" t="str">
        <f t="shared" si="174"/>
        <v/>
      </c>
      <c r="I419" s="32" t="str">
        <f t="shared" si="175"/>
        <v/>
      </c>
      <c r="J419" s="46" t="str">
        <f t="shared" si="176"/>
        <v/>
      </c>
      <c r="K419" s="32" t="str">
        <f t="shared" si="177"/>
        <v/>
      </c>
      <c r="L419" s="32" t="str">
        <f t="shared" si="178"/>
        <v/>
      </c>
      <c r="M419" s="32" t="str">
        <f t="shared" si="179"/>
        <v/>
      </c>
      <c r="N419" s="32" t="str">
        <f t="shared" si="180"/>
        <v/>
      </c>
      <c r="O419" s="32" t="str">
        <f t="shared" si="181"/>
        <v/>
      </c>
      <c r="AC419" t="str">
        <f>IFERROR(MATCH(415,$AB$5:$AB$404,1),"")</f>
        <v/>
      </c>
      <c r="AD419" t="str">
        <f>IF(415=$AI$1+1,"Z",IF($AC419="","",IF(INDEX($V$5:$V$404,$AC419)="","",IF(415&gt;INDEX($AB$5:$AB$404,$AC419)+INDEX($Z$5:$Z$404,$AC419)+INDEX($AA$5:$AA$404,$AC419)+INDEX($AO$5:$AO$404,$AC419),"",IF(415=INDEX($AB$5:$AB$404,$AC419)+INDEX($Z$5:$Z$404,$AC419),"D",IF(AND(INDEX($Z$5:$Z$404,$AC419)=1,415=INDEX($AB$5:$AB$404,$AC419)),"H",IF(AND(INDEX($AO$5:$AO$404,$AC419)=1,415=INDEX($AB$5:$AB$404,$AC419)+INDEX($Z$5:$Z$404,$AC419)+INDEX($AA$5:$AA$404,$AC419)+INDEX($AO$5:$AO$404,$AC419)),"B","T")))))))</f>
        <v/>
      </c>
      <c r="AF419" t="str">
        <f t="shared" si="186"/>
        <v/>
      </c>
      <c r="AJ419">
        <f>IF($AD419&lt;&gt;"T",0,ROUND(SUMIF(oil!$B$4:$B$63,$AF419,oil!$AE$4:$AE$63),2))</f>
        <v>0</v>
      </c>
      <c r="AQ419" t="str">
        <f t="shared" si="190"/>
        <v/>
      </c>
      <c r="AZ419">
        <f t="shared" si="193"/>
        <v>0</v>
      </c>
    </row>
    <row r="420" spans="1:52" ht="21" customHeight="1" x14ac:dyDescent="0.95">
      <c r="A420" s="36" t="str">
        <f>IF($AD420="","",IF($AD420="Z","รวมจ่ายทั้งสิ้น",IF($AD420="H",INDEX($X$5:$X$404,$AC420),IF($AD420="T","รวม",IF($AD420="B",IFERROR(INDEX(อัตราค่าขนส่ง!$U$5:$U$14,MATCH(INDEX($AM$5:$AM$404,$AC420),อัตราค่าขนส่ง!$T$5:$T$14,0)),"รวมกลุ่ม "&amp;INDEX($AM$5:$AM$404,$AC420)),INDEX($AY$5:$AY$404,$AC420))))))</f>
        <v/>
      </c>
      <c r="B420" s="31" t="str">
        <f t="shared" si="168"/>
        <v/>
      </c>
      <c r="C420" s="8" t="str">
        <f t="shared" si="169"/>
        <v/>
      </c>
      <c r="D420" s="37" t="str">
        <f t="shared" si="170"/>
        <v/>
      </c>
      <c r="E420" s="31" t="str">
        <f t="shared" si="171"/>
        <v/>
      </c>
      <c r="F420" s="32" t="str">
        <f t="shared" si="172"/>
        <v/>
      </c>
      <c r="G420" s="32" t="str">
        <f t="shared" si="173"/>
        <v/>
      </c>
      <c r="H420" s="32" t="str">
        <f t="shared" si="174"/>
        <v/>
      </c>
      <c r="I420" s="32" t="str">
        <f t="shared" si="175"/>
        <v/>
      </c>
      <c r="J420" s="46" t="str">
        <f t="shared" si="176"/>
        <v/>
      </c>
      <c r="K420" s="32" t="str">
        <f t="shared" si="177"/>
        <v/>
      </c>
      <c r="L420" s="32" t="str">
        <f t="shared" si="178"/>
        <v/>
      </c>
      <c r="M420" s="32" t="str">
        <f t="shared" si="179"/>
        <v/>
      </c>
      <c r="N420" s="32" t="str">
        <f t="shared" si="180"/>
        <v/>
      </c>
      <c r="O420" s="32" t="str">
        <f t="shared" si="181"/>
        <v/>
      </c>
      <c r="AC420" t="str">
        <f>IFERROR(MATCH(416,$AB$5:$AB$404,1),"")</f>
        <v/>
      </c>
      <c r="AD420" t="str">
        <f>IF(416=$AI$1+1,"Z",IF($AC420="","",IF(INDEX($V$5:$V$404,$AC420)="","",IF(416&gt;INDEX($AB$5:$AB$404,$AC420)+INDEX($Z$5:$Z$404,$AC420)+INDEX($AA$5:$AA$404,$AC420)+INDEX($AO$5:$AO$404,$AC420),"",IF(416=INDEX($AB$5:$AB$404,$AC420)+INDEX($Z$5:$Z$404,$AC420),"D",IF(AND(INDEX($Z$5:$Z$404,$AC420)=1,416=INDEX($AB$5:$AB$404,$AC420)),"H",IF(AND(INDEX($AO$5:$AO$404,$AC420)=1,416=INDEX($AB$5:$AB$404,$AC420)+INDEX($Z$5:$Z$404,$AC420)+INDEX($AA$5:$AA$404,$AC420)+INDEX($AO$5:$AO$404,$AC420)),"B","T")))))))</f>
        <v/>
      </c>
      <c r="AF420" t="str">
        <f t="shared" si="186"/>
        <v/>
      </c>
      <c r="AJ420">
        <f>IF($AD420&lt;&gt;"T",0,ROUND(SUMIF(oil!$B$4:$B$63,$AF420,oil!$AE$4:$AE$63),2))</f>
        <v>0</v>
      </c>
      <c r="AQ420" t="str">
        <f t="shared" si="190"/>
        <v/>
      </c>
      <c r="AZ420">
        <f t="shared" si="193"/>
        <v>0</v>
      </c>
    </row>
    <row r="421" spans="1:52" ht="21" customHeight="1" x14ac:dyDescent="0.95">
      <c r="A421" s="36" t="str">
        <f>IF($AD421="","",IF($AD421="Z","รวมจ่ายทั้งสิ้น",IF($AD421="H",INDEX($X$5:$X$404,$AC421),IF($AD421="T","รวม",IF($AD421="B",IFERROR(INDEX(อัตราค่าขนส่ง!$U$5:$U$14,MATCH(INDEX($AM$5:$AM$404,$AC421),อัตราค่าขนส่ง!$T$5:$T$14,0)),"รวมกลุ่ม "&amp;INDEX($AM$5:$AM$404,$AC421)),INDEX($AY$5:$AY$404,$AC421))))))</f>
        <v/>
      </c>
      <c r="B421" s="31" t="str">
        <f t="shared" si="168"/>
        <v/>
      </c>
      <c r="C421" s="8" t="str">
        <f t="shared" si="169"/>
        <v/>
      </c>
      <c r="D421" s="37" t="str">
        <f t="shared" si="170"/>
        <v/>
      </c>
      <c r="E421" s="31" t="str">
        <f t="shared" si="171"/>
        <v/>
      </c>
      <c r="F421" s="32" t="str">
        <f t="shared" si="172"/>
        <v/>
      </c>
      <c r="G421" s="32" t="str">
        <f t="shared" si="173"/>
        <v/>
      </c>
      <c r="H421" s="32" t="str">
        <f t="shared" si="174"/>
        <v/>
      </c>
      <c r="I421" s="32" t="str">
        <f t="shared" si="175"/>
        <v/>
      </c>
      <c r="J421" s="46" t="str">
        <f t="shared" si="176"/>
        <v/>
      </c>
      <c r="K421" s="32" t="str">
        <f t="shared" si="177"/>
        <v/>
      </c>
      <c r="L421" s="32" t="str">
        <f t="shared" si="178"/>
        <v/>
      </c>
      <c r="M421" s="32" t="str">
        <f t="shared" si="179"/>
        <v/>
      </c>
      <c r="N421" s="32" t="str">
        <f t="shared" si="180"/>
        <v/>
      </c>
      <c r="O421" s="32" t="str">
        <f t="shared" si="181"/>
        <v/>
      </c>
      <c r="AC421" t="str">
        <f>IFERROR(MATCH(417,$AB$5:$AB$404,1),"")</f>
        <v/>
      </c>
      <c r="AD421" t="str">
        <f>IF(417=$AI$1+1,"Z",IF($AC421="","",IF(INDEX($V$5:$V$404,$AC421)="","",IF(417&gt;INDEX($AB$5:$AB$404,$AC421)+INDEX($Z$5:$Z$404,$AC421)+INDEX($AA$5:$AA$404,$AC421)+INDEX($AO$5:$AO$404,$AC421),"",IF(417=INDEX($AB$5:$AB$404,$AC421)+INDEX($Z$5:$Z$404,$AC421),"D",IF(AND(INDEX($Z$5:$Z$404,$AC421)=1,417=INDEX($AB$5:$AB$404,$AC421)),"H",IF(AND(INDEX($AO$5:$AO$404,$AC421)=1,417=INDEX($AB$5:$AB$404,$AC421)+INDEX($Z$5:$Z$404,$AC421)+INDEX($AA$5:$AA$404,$AC421)+INDEX($AO$5:$AO$404,$AC421)),"B","T")))))))</f>
        <v/>
      </c>
      <c r="AF421" t="str">
        <f t="shared" si="186"/>
        <v/>
      </c>
      <c r="AJ421">
        <f>IF($AD421&lt;&gt;"T",0,ROUND(SUMIF(oil!$B$4:$B$63,$AF421,oil!$AE$4:$AE$63),2))</f>
        <v>0</v>
      </c>
      <c r="AQ421" t="str">
        <f t="shared" si="190"/>
        <v/>
      </c>
      <c r="AZ421">
        <f t="shared" si="193"/>
        <v>0</v>
      </c>
    </row>
    <row r="422" spans="1:52" ht="21" customHeight="1" x14ac:dyDescent="0.95">
      <c r="A422" s="36" t="str">
        <f>IF($AD422="","",IF($AD422="Z","รวมจ่ายทั้งสิ้น",IF($AD422="H",INDEX($X$5:$X$404,$AC422),IF($AD422="T","รวม",IF($AD422="B",IFERROR(INDEX(อัตราค่าขนส่ง!$U$5:$U$14,MATCH(INDEX($AM$5:$AM$404,$AC422),อัตราค่าขนส่ง!$T$5:$T$14,0)),"รวมกลุ่ม "&amp;INDEX($AM$5:$AM$404,$AC422)),INDEX($AY$5:$AY$404,$AC422))))))</f>
        <v/>
      </c>
      <c r="B422" s="31" t="str">
        <f t="shared" si="168"/>
        <v/>
      </c>
      <c r="C422" s="8" t="str">
        <f t="shared" si="169"/>
        <v/>
      </c>
      <c r="D422" s="37" t="str">
        <f t="shared" si="170"/>
        <v/>
      </c>
      <c r="E422" s="31" t="str">
        <f t="shared" si="171"/>
        <v/>
      </c>
      <c r="F422" s="32" t="str">
        <f t="shared" si="172"/>
        <v/>
      </c>
      <c r="G422" s="32" t="str">
        <f t="shared" si="173"/>
        <v/>
      </c>
      <c r="H422" s="32" t="str">
        <f t="shared" si="174"/>
        <v/>
      </c>
      <c r="I422" s="32" t="str">
        <f t="shared" si="175"/>
        <v/>
      </c>
      <c r="J422" s="46" t="str">
        <f t="shared" si="176"/>
        <v/>
      </c>
      <c r="K422" s="32" t="str">
        <f t="shared" si="177"/>
        <v/>
      </c>
      <c r="L422" s="32" t="str">
        <f t="shared" si="178"/>
        <v/>
      </c>
      <c r="M422" s="32" t="str">
        <f t="shared" si="179"/>
        <v/>
      </c>
      <c r="N422" s="32" t="str">
        <f t="shared" si="180"/>
        <v/>
      </c>
      <c r="O422" s="32" t="str">
        <f t="shared" si="181"/>
        <v/>
      </c>
      <c r="AC422" t="str">
        <f>IFERROR(MATCH(418,$AB$5:$AB$404,1),"")</f>
        <v/>
      </c>
      <c r="AD422" t="str">
        <f>IF(418=$AI$1+1,"Z",IF($AC422="","",IF(INDEX($V$5:$V$404,$AC422)="","",IF(418&gt;INDEX($AB$5:$AB$404,$AC422)+INDEX($Z$5:$Z$404,$AC422)+INDEX($AA$5:$AA$404,$AC422)+INDEX($AO$5:$AO$404,$AC422),"",IF(418=INDEX($AB$5:$AB$404,$AC422)+INDEX($Z$5:$Z$404,$AC422),"D",IF(AND(INDEX($Z$5:$Z$404,$AC422)=1,418=INDEX($AB$5:$AB$404,$AC422)),"H",IF(AND(INDEX($AO$5:$AO$404,$AC422)=1,418=INDEX($AB$5:$AB$404,$AC422)+INDEX($Z$5:$Z$404,$AC422)+INDEX($AA$5:$AA$404,$AC422)+INDEX($AO$5:$AO$404,$AC422)),"B","T")))))))</f>
        <v/>
      </c>
      <c r="AF422" t="str">
        <f t="shared" si="186"/>
        <v/>
      </c>
      <c r="AJ422">
        <f>IF($AD422&lt;&gt;"T",0,ROUND(SUMIF(oil!$B$4:$B$63,$AF422,oil!$AE$4:$AE$63),2))</f>
        <v>0</v>
      </c>
      <c r="AQ422" t="str">
        <f t="shared" si="190"/>
        <v/>
      </c>
      <c r="AZ422">
        <f t="shared" si="193"/>
        <v>0</v>
      </c>
    </row>
    <row r="423" spans="1:52" ht="21" customHeight="1" x14ac:dyDescent="0.95">
      <c r="A423" s="36" t="str">
        <f>IF($AD423="","",IF($AD423="Z","รวมจ่ายทั้งสิ้น",IF($AD423="H",INDEX($X$5:$X$404,$AC423),IF($AD423="T","รวม",IF($AD423="B",IFERROR(INDEX(อัตราค่าขนส่ง!$U$5:$U$14,MATCH(INDEX($AM$5:$AM$404,$AC423),อัตราค่าขนส่ง!$T$5:$T$14,0)),"รวมกลุ่ม "&amp;INDEX($AM$5:$AM$404,$AC423)),INDEX($AY$5:$AY$404,$AC423))))))</f>
        <v/>
      </c>
      <c r="B423" s="31" t="str">
        <f t="shared" si="168"/>
        <v/>
      </c>
      <c r="C423" s="8" t="str">
        <f t="shared" si="169"/>
        <v/>
      </c>
      <c r="D423" s="37" t="str">
        <f t="shared" si="170"/>
        <v/>
      </c>
      <c r="E423" s="31" t="str">
        <f t="shared" si="171"/>
        <v/>
      </c>
      <c r="F423" s="32" t="str">
        <f t="shared" si="172"/>
        <v/>
      </c>
      <c r="G423" s="32" t="str">
        <f t="shared" si="173"/>
        <v/>
      </c>
      <c r="H423" s="32" t="str">
        <f t="shared" si="174"/>
        <v/>
      </c>
      <c r="I423" s="32" t="str">
        <f t="shared" si="175"/>
        <v/>
      </c>
      <c r="J423" s="46" t="str">
        <f t="shared" si="176"/>
        <v/>
      </c>
      <c r="K423" s="32" t="str">
        <f t="shared" si="177"/>
        <v/>
      </c>
      <c r="L423" s="32" t="str">
        <f t="shared" si="178"/>
        <v/>
      </c>
      <c r="M423" s="32" t="str">
        <f t="shared" si="179"/>
        <v/>
      </c>
      <c r="N423" s="32" t="str">
        <f t="shared" si="180"/>
        <v/>
      </c>
      <c r="O423" s="32" t="str">
        <f t="shared" si="181"/>
        <v/>
      </c>
      <c r="AC423" t="str">
        <f>IFERROR(MATCH(419,$AB$5:$AB$404,1),"")</f>
        <v/>
      </c>
      <c r="AD423" t="str">
        <f>IF(419=$AI$1+1,"Z",IF($AC423="","",IF(INDEX($V$5:$V$404,$AC423)="","",IF(419&gt;INDEX($AB$5:$AB$404,$AC423)+INDEX($Z$5:$Z$404,$AC423)+INDEX($AA$5:$AA$404,$AC423)+INDEX($AO$5:$AO$404,$AC423),"",IF(419=INDEX($AB$5:$AB$404,$AC423)+INDEX($Z$5:$Z$404,$AC423),"D",IF(AND(INDEX($Z$5:$Z$404,$AC423)=1,419=INDEX($AB$5:$AB$404,$AC423)),"H",IF(AND(INDEX($AO$5:$AO$404,$AC423)=1,419=INDEX($AB$5:$AB$404,$AC423)+INDEX($Z$5:$Z$404,$AC423)+INDEX($AA$5:$AA$404,$AC423)+INDEX($AO$5:$AO$404,$AC423)),"B","T")))))))</f>
        <v/>
      </c>
      <c r="AF423" t="str">
        <f t="shared" si="186"/>
        <v/>
      </c>
      <c r="AJ423">
        <f>IF($AD423&lt;&gt;"T",0,ROUND(SUMIF(oil!$B$4:$B$63,$AF423,oil!$AE$4:$AE$63),2))</f>
        <v>0</v>
      </c>
      <c r="AQ423" t="str">
        <f t="shared" si="190"/>
        <v/>
      </c>
      <c r="AZ423">
        <f t="shared" si="193"/>
        <v>0</v>
      </c>
    </row>
    <row r="424" spans="1:52" ht="21" customHeight="1" x14ac:dyDescent="0.95">
      <c r="A424" s="36" t="str">
        <f>IF($AD424="","",IF($AD424="Z","รวมจ่ายทั้งสิ้น",IF($AD424="H",INDEX($X$5:$X$404,$AC424),IF($AD424="T","รวม",IF($AD424="B",IFERROR(INDEX(อัตราค่าขนส่ง!$U$5:$U$14,MATCH(INDEX($AM$5:$AM$404,$AC424),อัตราค่าขนส่ง!$T$5:$T$14,0)),"รวมกลุ่ม "&amp;INDEX($AM$5:$AM$404,$AC424)),INDEX($AY$5:$AY$404,$AC424))))))</f>
        <v/>
      </c>
      <c r="B424" s="31" t="str">
        <f t="shared" si="168"/>
        <v/>
      </c>
      <c r="C424" s="8" t="str">
        <f t="shared" si="169"/>
        <v/>
      </c>
      <c r="D424" s="37" t="str">
        <f t="shared" si="170"/>
        <v/>
      </c>
      <c r="E424" s="31" t="str">
        <f t="shared" si="171"/>
        <v/>
      </c>
      <c r="F424" s="32" t="str">
        <f t="shared" si="172"/>
        <v/>
      </c>
      <c r="G424" s="32" t="str">
        <f t="shared" si="173"/>
        <v/>
      </c>
      <c r="H424" s="32" t="str">
        <f t="shared" si="174"/>
        <v/>
      </c>
      <c r="I424" s="32" t="str">
        <f t="shared" si="175"/>
        <v/>
      </c>
      <c r="J424" s="46" t="str">
        <f t="shared" si="176"/>
        <v/>
      </c>
      <c r="K424" s="32" t="str">
        <f t="shared" si="177"/>
        <v/>
      </c>
      <c r="L424" s="32" t="str">
        <f t="shared" si="178"/>
        <v/>
      </c>
      <c r="M424" s="32" t="str">
        <f t="shared" si="179"/>
        <v/>
      </c>
      <c r="N424" s="32" t="str">
        <f t="shared" si="180"/>
        <v/>
      </c>
      <c r="O424" s="32" t="str">
        <f t="shared" si="181"/>
        <v/>
      </c>
      <c r="AC424" t="str">
        <f>IFERROR(MATCH(420,$AB$5:$AB$404,1),"")</f>
        <v/>
      </c>
      <c r="AD424" t="str">
        <f>IF(420=$AI$1+1,"Z",IF($AC424="","",IF(INDEX($V$5:$V$404,$AC424)="","",IF(420&gt;INDEX($AB$5:$AB$404,$AC424)+INDEX($Z$5:$Z$404,$AC424)+INDEX($AA$5:$AA$404,$AC424)+INDEX($AO$5:$AO$404,$AC424),"",IF(420=INDEX($AB$5:$AB$404,$AC424)+INDEX($Z$5:$Z$404,$AC424),"D",IF(AND(INDEX($Z$5:$Z$404,$AC424)=1,420=INDEX($AB$5:$AB$404,$AC424)),"H",IF(AND(INDEX($AO$5:$AO$404,$AC424)=1,420=INDEX($AB$5:$AB$404,$AC424)+INDEX($Z$5:$Z$404,$AC424)+INDEX($AA$5:$AA$404,$AC424)+INDEX($AO$5:$AO$404,$AC424)),"B","T")))))))</f>
        <v/>
      </c>
      <c r="AF424" t="str">
        <f t="shared" si="186"/>
        <v/>
      </c>
      <c r="AJ424">
        <f>IF($AD424&lt;&gt;"T",0,ROUND(SUMIF(oil!$B$4:$B$63,$AF424,oil!$AE$4:$AE$63),2))</f>
        <v>0</v>
      </c>
      <c r="AQ424" t="str">
        <f t="shared" si="190"/>
        <v/>
      </c>
      <c r="AZ424">
        <f t="shared" si="193"/>
        <v>0</v>
      </c>
    </row>
    <row r="425" spans="1:52" ht="21" customHeight="1" x14ac:dyDescent="0.95">
      <c r="A425" s="36" t="str">
        <f>IF($AD425="","",IF($AD425="Z","รวมจ่ายทั้งสิ้น",IF($AD425="H",INDEX($X$5:$X$404,$AC425),IF($AD425="T","รวม",IF($AD425="B",IFERROR(INDEX(อัตราค่าขนส่ง!$U$5:$U$14,MATCH(INDEX($AM$5:$AM$404,$AC425),อัตราค่าขนส่ง!$T$5:$T$14,0)),"รวมกลุ่ม "&amp;INDEX($AM$5:$AM$404,$AC425)),INDEX($AY$5:$AY$404,$AC425))))))</f>
        <v/>
      </c>
      <c r="B425" s="31" t="str">
        <f t="shared" si="168"/>
        <v/>
      </c>
      <c r="C425" s="8" t="str">
        <f t="shared" si="169"/>
        <v/>
      </c>
      <c r="D425" s="37" t="str">
        <f t="shared" si="170"/>
        <v/>
      </c>
      <c r="E425" s="31" t="str">
        <f t="shared" si="171"/>
        <v/>
      </c>
      <c r="F425" s="32" t="str">
        <f t="shared" si="172"/>
        <v/>
      </c>
      <c r="G425" s="32" t="str">
        <f t="shared" si="173"/>
        <v/>
      </c>
      <c r="H425" s="32" t="str">
        <f t="shared" si="174"/>
        <v/>
      </c>
      <c r="I425" s="32" t="str">
        <f t="shared" si="175"/>
        <v/>
      </c>
      <c r="J425" s="46" t="str">
        <f t="shared" si="176"/>
        <v/>
      </c>
      <c r="K425" s="32" t="str">
        <f t="shared" si="177"/>
        <v/>
      </c>
      <c r="L425" s="32" t="str">
        <f t="shared" si="178"/>
        <v/>
      </c>
      <c r="M425" s="32" t="str">
        <f t="shared" si="179"/>
        <v/>
      </c>
      <c r="N425" s="32" t="str">
        <f t="shared" si="180"/>
        <v/>
      </c>
      <c r="O425" s="32" t="str">
        <f t="shared" si="181"/>
        <v/>
      </c>
      <c r="AC425" t="str">
        <f>IFERROR(MATCH(421,$AB$5:$AB$404,1),"")</f>
        <v/>
      </c>
      <c r="AD425" t="str">
        <f>IF(421=$AI$1+1,"Z",IF($AC425="","",IF(INDEX($V$5:$V$404,$AC425)="","",IF(421&gt;INDEX($AB$5:$AB$404,$AC425)+INDEX($Z$5:$Z$404,$AC425)+INDEX($AA$5:$AA$404,$AC425)+INDEX($AO$5:$AO$404,$AC425),"",IF(421=INDEX($AB$5:$AB$404,$AC425)+INDEX($Z$5:$Z$404,$AC425),"D",IF(AND(INDEX($Z$5:$Z$404,$AC425)=1,421=INDEX($AB$5:$AB$404,$AC425)),"H",IF(AND(INDEX($AO$5:$AO$404,$AC425)=1,421=INDEX($AB$5:$AB$404,$AC425)+INDEX($Z$5:$Z$404,$AC425)+INDEX($AA$5:$AA$404,$AC425)+INDEX($AO$5:$AO$404,$AC425)),"B","T")))))))</f>
        <v/>
      </c>
      <c r="AF425" t="str">
        <f t="shared" si="186"/>
        <v/>
      </c>
      <c r="AJ425">
        <f>IF($AD425&lt;&gt;"T",0,ROUND(SUMIF(oil!$B$4:$B$63,$AF425,oil!$AE$4:$AE$63),2))</f>
        <v>0</v>
      </c>
      <c r="AQ425" t="str">
        <f t="shared" si="190"/>
        <v/>
      </c>
      <c r="AZ425">
        <f t="shared" si="193"/>
        <v>0</v>
      </c>
    </row>
    <row r="426" spans="1:52" ht="21" customHeight="1" x14ac:dyDescent="0.95">
      <c r="A426" s="36" t="str">
        <f>IF($AD426="","",IF($AD426="Z","รวมจ่ายทั้งสิ้น",IF($AD426="H",INDEX($X$5:$X$404,$AC426),IF($AD426="T","รวม",IF($AD426="B",IFERROR(INDEX(อัตราค่าขนส่ง!$U$5:$U$14,MATCH(INDEX($AM$5:$AM$404,$AC426),อัตราค่าขนส่ง!$T$5:$T$14,0)),"รวมกลุ่ม "&amp;INDEX($AM$5:$AM$404,$AC426)),INDEX($AY$5:$AY$404,$AC426))))))</f>
        <v/>
      </c>
      <c r="B426" s="31" t="str">
        <f t="shared" si="168"/>
        <v/>
      </c>
      <c r="C426" s="8" t="str">
        <f t="shared" si="169"/>
        <v/>
      </c>
      <c r="D426" s="37" t="str">
        <f t="shared" si="170"/>
        <v/>
      </c>
      <c r="E426" s="31" t="str">
        <f t="shared" si="171"/>
        <v/>
      </c>
      <c r="F426" s="32" t="str">
        <f t="shared" si="172"/>
        <v/>
      </c>
      <c r="G426" s="32" t="str">
        <f t="shared" si="173"/>
        <v/>
      </c>
      <c r="H426" s="32" t="str">
        <f t="shared" si="174"/>
        <v/>
      </c>
      <c r="I426" s="32" t="str">
        <f t="shared" si="175"/>
        <v/>
      </c>
      <c r="J426" s="46" t="str">
        <f t="shared" si="176"/>
        <v/>
      </c>
      <c r="K426" s="32" t="str">
        <f t="shared" si="177"/>
        <v/>
      </c>
      <c r="L426" s="32" t="str">
        <f t="shared" si="178"/>
        <v/>
      </c>
      <c r="M426" s="32" t="str">
        <f t="shared" si="179"/>
        <v/>
      </c>
      <c r="N426" s="32" t="str">
        <f t="shared" si="180"/>
        <v/>
      </c>
      <c r="O426" s="32" t="str">
        <f t="shared" si="181"/>
        <v/>
      </c>
      <c r="AC426" t="str">
        <f>IFERROR(MATCH(422,$AB$5:$AB$404,1),"")</f>
        <v/>
      </c>
      <c r="AD426" t="str">
        <f>IF(422=$AI$1+1,"Z",IF($AC426="","",IF(INDEX($V$5:$V$404,$AC426)="","",IF(422&gt;INDEX($AB$5:$AB$404,$AC426)+INDEX($Z$5:$Z$404,$AC426)+INDEX($AA$5:$AA$404,$AC426)+INDEX($AO$5:$AO$404,$AC426),"",IF(422=INDEX($AB$5:$AB$404,$AC426)+INDEX($Z$5:$Z$404,$AC426),"D",IF(AND(INDEX($Z$5:$Z$404,$AC426)=1,422=INDEX($AB$5:$AB$404,$AC426)),"H",IF(AND(INDEX($AO$5:$AO$404,$AC426)=1,422=INDEX($AB$5:$AB$404,$AC426)+INDEX($Z$5:$Z$404,$AC426)+INDEX($AA$5:$AA$404,$AC426)+INDEX($AO$5:$AO$404,$AC426)),"B","T")))))))</f>
        <v/>
      </c>
      <c r="AF426" t="str">
        <f t="shared" si="186"/>
        <v/>
      </c>
      <c r="AJ426">
        <f>IF($AD426&lt;&gt;"T",0,ROUND(SUMIF(oil!$B$4:$B$63,$AF426,oil!$AE$4:$AE$63),2))</f>
        <v>0</v>
      </c>
      <c r="AQ426" t="str">
        <f t="shared" si="190"/>
        <v/>
      </c>
      <c r="AZ426">
        <f t="shared" si="193"/>
        <v>0</v>
      </c>
    </row>
    <row r="427" spans="1:52" ht="21" customHeight="1" x14ac:dyDescent="0.95">
      <c r="A427" s="36" t="str">
        <f>IF($AD427="","",IF($AD427="Z","รวมจ่ายทั้งสิ้น",IF($AD427="H",INDEX($X$5:$X$404,$AC427),IF($AD427="T","รวม",IF($AD427="B",IFERROR(INDEX(อัตราค่าขนส่ง!$U$5:$U$14,MATCH(INDEX($AM$5:$AM$404,$AC427),อัตราค่าขนส่ง!$T$5:$T$14,0)),"รวมกลุ่ม "&amp;INDEX($AM$5:$AM$404,$AC427)),INDEX($AY$5:$AY$404,$AC427))))))</f>
        <v/>
      </c>
      <c r="B427" s="31" t="str">
        <f t="shared" si="168"/>
        <v/>
      </c>
      <c r="C427" s="8" t="str">
        <f t="shared" si="169"/>
        <v/>
      </c>
      <c r="D427" s="37" t="str">
        <f t="shared" si="170"/>
        <v/>
      </c>
      <c r="E427" s="31" t="str">
        <f t="shared" si="171"/>
        <v/>
      </c>
      <c r="F427" s="32" t="str">
        <f t="shared" si="172"/>
        <v/>
      </c>
      <c r="G427" s="32" t="str">
        <f t="shared" si="173"/>
        <v/>
      </c>
      <c r="H427" s="32" t="str">
        <f t="shared" si="174"/>
        <v/>
      </c>
      <c r="I427" s="32" t="str">
        <f t="shared" si="175"/>
        <v/>
      </c>
      <c r="J427" s="46" t="str">
        <f t="shared" si="176"/>
        <v/>
      </c>
      <c r="K427" s="32" t="str">
        <f t="shared" si="177"/>
        <v/>
      </c>
      <c r="L427" s="32" t="str">
        <f t="shared" si="178"/>
        <v/>
      </c>
      <c r="M427" s="32" t="str">
        <f t="shared" si="179"/>
        <v/>
      </c>
      <c r="N427" s="32" t="str">
        <f t="shared" si="180"/>
        <v/>
      </c>
      <c r="O427" s="32" t="str">
        <f t="shared" si="181"/>
        <v/>
      </c>
      <c r="AC427" t="str">
        <f>IFERROR(MATCH(423,$AB$5:$AB$404,1),"")</f>
        <v/>
      </c>
      <c r="AD427" t="str">
        <f>IF(423=$AI$1+1,"Z",IF($AC427="","",IF(INDEX($V$5:$V$404,$AC427)="","",IF(423&gt;INDEX($AB$5:$AB$404,$AC427)+INDEX($Z$5:$Z$404,$AC427)+INDEX($AA$5:$AA$404,$AC427)+INDEX($AO$5:$AO$404,$AC427),"",IF(423=INDEX($AB$5:$AB$404,$AC427)+INDEX($Z$5:$Z$404,$AC427),"D",IF(AND(INDEX($Z$5:$Z$404,$AC427)=1,423=INDEX($AB$5:$AB$404,$AC427)),"H",IF(AND(INDEX($AO$5:$AO$404,$AC427)=1,423=INDEX($AB$5:$AB$404,$AC427)+INDEX($Z$5:$Z$404,$AC427)+INDEX($AA$5:$AA$404,$AC427)+INDEX($AO$5:$AO$404,$AC427)),"B","T")))))))</f>
        <v/>
      </c>
      <c r="AF427" t="str">
        <f t="shared" si="186"/>
        <v/>
      </c>
      <c r="AJ427">
        <f>IF($AD427&lt;&gt;"T",0,ROUND(SUMIF(oil!$B$4:$B$63,$AF427,oil!$AE$4:$AE$63),2))</f>
        <v>0</v>
      </c>
      <c r="AQ427" t="str">
        <f t="shared" si="190"/>
        <v/>
      </c>
      <c r="AZ427">
        <f t="shared" si="193"/>
        <v>0</v>
      </c>
    </row>
    <row r="428" spans="1:52" ht="21" customHeight="1" x14ac:dyDescent="0.95">
      <c r="A428" s="36" t="str">
        <f>IF($AD428="","",IF($AD428="Z","รวมจ่ายทั้งสิ้น",IF($AD428="H",INDEX($X$5:$X$404,$AC428),IF($AD428="T","รวม",IF($AD428="B",IFERROR(INDEX(อัตราค่าขนส่ง!$U$5:$U$14,MATCH(INDEX($AM$5:$AM$404,$AC428),อัตราค่าขนส่ง!$T$5:$T$14,0)),"รวมกลุ่ม "&amp;INDEX($AM$5:$AM$404,$AC428)),INDEX($AY$5:$AY$404,$AC428))))))</f>
        <v/>
      </c>
      <c r="B428" s="31" t="str">
        <f t="shared" si="168"/>
        <v/>
      </c>
      <c r="C428" s="8" t="str">
        <f t="shared" si="169"/>
        <v/>
      </c>
      <c r="D428" s="37" t="str">
        <f t="shared" si="170"/>
        <v/>
      </c>
      <c r="E428" s="31" t="str">
        <f t="shared" si="171"/>
        <v/>
      </c>
      <c r="F428" s="32" t="str">
        <f t="shared" si="172"/>
        <v/>
      </c>
      <c r="G428" s="32" t="str">
        <f t="shared" si="173"/>
        <v/>
      </c>
      <c r="H428" s="32" t="str">
        <f t="shared" si="174"/>
        <v/>
      </c>
      <c r="I428" s="32" t="str">
        <f t="shared" si="175"/>
        <v/>
      </c>
      <c r="J428" s="46" t="str">
        <f t="shared" si="176"/>
        <v/>
      </c>
      <c r="K428" s="32" t="str">
        <f t="shared" si="177"/>
        <v/>
      </c>
      <c r="L428" s="32" t="str">
        <f t="shared" si="178"/>
        <v/>
      </c>
      <c r="M428" s="32" t="str">
        <f t="shared" si="179"/>
        <v/>
      </c>
      <c r="N428" s="32" t="str">
        <f t="shared" si="180"/>
        <v/>
      </c>
      <c r="O428" s="32" t="str">
        <f t="shared" si="181"/>
        <v/>
      </c>
      <c r="AC428" t="str">
        <f>IFERROR(MATCH(424,$AB$5:$AB$404,1),"")</f>
        <v/>
      </c>
      <c r="AD428" t="str">
        <f>IF(424=$AI$1+1,"Z",IF($AC428="","",IF(INDEX($V$5:$V$404,$AC428)="","",IF(424&gt;INDEX($AB$5:$AB$404,$AC428)+INDEX($Z$5:$Z$404,$AC428)+INDEX($AA$5:$AA$404,$AC428)+INDEX($AO$5:$AO$404,$AC428),"",IF(424=INDEX($AB$5:$AB$404,$AC428)+INDEX($Z$5:$Z$404,$AC428),"D",IF(AND(INDEX($Z$5:$Z$404,$AC428)=1,424=INDEX($AB$5:$AB$404,$AC428)),"H",IF(AND(INDEX($AO$5:$AO$404,$AC428)=1,424=INDEX($AB$5:$AB$404,$AC428)+INDEX($Z$5:$Z$404,$AC428)+INDEX($AA$5:$AA$404,$AC428)+INDEX($AO$5:$AO$404,$AC428)),"B","T")))))))</f>
        <v/>
      </c>
      <c r="AF428" t="str">
        <f t="shared" si="186"/>
        <v/>
      </c>
      <c r="AJ428">
        <f>IF($AD428&lt;&gt;"T",0,ROUND(SUMIF(oil!$B$4:$B$63,$AF428,oil!$AE$4:$AE$63),2))</f>
        <v>0</v>
      </c>
      <c r="AQ428" t="str">
        <f t="shared" si="190"/>
        <v/>
      </c>
      <c r="AZ428">
        <f t="shared" si="193"/>
        <v>0</v>
      </c>
    </row>
    <row r="429" spans="1:52" ht="21" customHeight="1" x14ac:dyDescent="0.95">
      <c r="A429" s="36" t="str">
        <f>IF($AD429="","",IF($AD429="Z","รวมจ่ายทั้งสิ้น",IF($AD429="H",INDEX($X$5:$X$404,$AC429),IF($AD429="T","รวม",IF($AD429="B",IFERROR(INDEX(อัตราค่าขนส่ง!$U$5:$U$14,MATCH(INDEX($AM$5:$AM$404,$AC429),อัตราค่าขนส่ง!$T$5:$T$14,0)),"รวมกลุ่ม "&amp;INDEX($AM$5:$AM$404,$AC429)),INDEX($AY$5:$AY$404,$AC429))))))</f>
        <v/>
      </c>
      <c r="B429" s="31" t="str">
        <f t="shared" si="168"/>
        <v/>
      </c>
      <c r="C429" s="8" t="str">
        <f t="shared" si="169"/>
        <v/>
      </c>
      <c r="D429" s="37" t="str">
        <f t="shared" si="170"/>
        <v/>
      </c>
      <c r="E429" s="31" t="str">
        <f t="shared" si="171"/>
        <v/>
      </c>
      <c r="F429" s="32" t="str">
        <f t="shared" si="172"/>
        <v/>
      </c>
      <c r="G429" s="32" t="str">
        <f t="shared" si="173"/>
        <v/>
      </c>
      <c r="H429" s="32" t="str">
        <f t="shared" si="174"/>
        <v/>
      </c>
      <c r="I429" s="32" t="str">
        <f t="shared" si="175"/>
        <v/>
      </c>
      <c r="J429" s="46" t="str">
        <f t="shared" si="176"/>
        <v/>
      </c>
      <c r="K429" s="32" t="str">
        <f t="shared" si="177"/>
        <v/>
      </c>
      <c r="L429" s="32" t="str">
        <f t="shared" si="178"/>
        <v/>
      </c>
      <c r="M429" s="32" t="str">
        <f t="shared" si="179"/>
        <v/>
      </c>
      <c r="N429" s="32" t="str">
        <f t="shared" si="180"/>
        <v/>
      </c>
      <c r="O429" s="32" t="str">
        <f t="shared" si="181"/>
        <v/>
      </c>
      <c r="AC429" t="str">
        <f>IFERROR(MATCH(425,$AB$5:$AB$404,1),"")</f>
        <v/>
      </c>
      <c r="AD429" t="str">
        <f>IF(425=$AI$1+1,"Z",IF($AC429="","",IF(INDEX($V$5:$V$404,$AC429)="","",IF(425&gt;INDEX($AB$5:$AB$404,$AC429)+INDEX($Z$5:$Z$404,$AC429)+INDEX($AA$5:$AA$404,$AC429)+INDEX($AO$5:$AO$404,$AC429),"",IF(425=INDEX($AB$5:$AB$404,$AC429)+INDEX($Z$5:$Z$404,$AC429),"D",IF(AND(INDEX($Z$5:$Z$404,$AC429)=1,425=INDEX($AB$5:$AB$404,$AC429)),"H",IF(AND(INDEX($AO$5:$AO$404,$AC429)=1,425=INDEX($AB$5:$AB$404,$AC429)+INDEX($Z$5:$Z$404,$AC429)+INDEX($AA$5:$AA$404,$AC429)+INDEX($AO$5:$AO$404,$AC429)),"B","T")))))))</f>
        <v/>
      </c>
      <c r="AF429" t="str">
        <f t="shared" si="186"/>
        <v/>
      </c>
      <c r="AJ429">
        <f>IF($AD429&lt;&gt;"T",0,ROUND(SUMIF(oil!$B$4:$B$63,$AF429,oil!$AE$4:$AE$63),2))</f>
        <v>0</v>
      </c>
      <c r="AQ429" t="str">
        <f t="shared" si="190"/>
        <v/>
      </c>
      <c r="AZ429">
        <f t="shared" si="193"/>
        <v>0</v>
      </c>
    </row>
    <row r="430" spans="1:52" ht="21" customHeight="1" x14ac:dyDescent="0.95">
      <c r="A430" s="36" t="str">
        <f>IF($AD430="","",IF($AD430="Z","รวมจ่ายทั้งสิ้น",IF($AD430="H",INDEX($X$5:$X$404,$AC430),IF($AD430="T","รวม",IF($AD430="B",IFERROR(INDEX(อัตราค่าขนส่ง!$U$5:$U$14,MATCH(INDEX($AM$5:$AM$404,$AC430),อัตราค่าขนส่ง!$T$5:$T$14,0)),"รวมกลุ่ม "&amp;INDEX($AM$5:$AM$404,$AC430)),INDEX($AY$5:$AY$404,$AC430))))))</f>
        <v/>
      </c>
      <c r="B430" s="31" t="str">
        <f t="shared" si="168"/>
        <v/>
      </c>
      <c r="C430" s="8" t="str">
        <f t="shared" si="169"/>
        <v/>
      </c>
      <c r="D430" s="37" t="str">
        <f t="shared" si="170"/>
        <v/>
      </c>
      <c r="E430" s="31" t="str">
        <f t="shared" si="171"/>
        <v/>
      </c>
      <c r="F430" s="32" t="str">
        <f t="shared" si="172"/>
        <v/>
      </c>
      <c r="G430" s="32" t="str">
        <f t="shared" si="173"/>
        <v/>
      </c>
      <c r="H430" s="32" t="str">
        <f t="shared" si="174"/>
        <v/>
      </c>
      <c r="I430" s="32" t="str">
        <f t="shared" si="175"/>
        <v/>
      </c>
      <c r="J430" s="46" t="str">
        <f t="shared" si="176"/>
        <v/>
      </c>
      <c r="K430" s="32" t="str">
        <f t="shared" si="177"/>
        <v/>
      </c>
      <c r="L430" s="32" t="str">
        <f t="shared" si="178"/>
        <v/>
      </c>
      <c r="M430" s="32" t="str">
        <f t="shared" si="179"/>
        <v/>
      </c>
      <c r="N430" s="32" t="str">
        <f t="shared" si="180"/>
        <v/>
      </c>
      <c r="O430" s="32" t="str">
        <f t="shared" si="181"/>
        <v/>
      </c>
      <c r="AC430" t="str">
        <f>IFERROR(MATCH(426,$AB$5:$AB$404,1),"")</f>
        <v/>
      </c>
      <c r="AD430" t="str">
        <f>IF(426=$AI$1+1,"Z",IF($AC430="","",IF(INDEX($V$5:$V$404,$AC430)="","",IF(426&gt;INDEX($AB$5:$AB$404,$AC430)+INDEX($Z$5:$Z$404,$AC430)+INDEX($AA$5:$AA$404,$AC430)+INDEX($AO$5:$AO$404,$AC430),"",IF(426=INDEX($AB$5:$AB$404,$AC430)+INDEX($Z$5:$Z$404,$AC430),"D",IF(AND(INDEX($Z$5:$Z$404,$AC430)=1,426=INDEX($AB$5:$AB$404,$AC430)),"H",IF(AND(INDEX($AO$5:$AO$404,$AC430)=1,426=INDEX($AB$5:$AB$404,$AC430)+INDEX($Z$5:$Z$404,$AC430)+INDEX($AA$5:$AA$404,$AC430)+INDEX($AO$5:$AO$404,$AC430)),"B","T")))))))</f>
        <v/>
      </c>
      <c r="AF430" t="str">
        <f t="shared" si="186"/>
        <v/>
      </c>
      <c r="AJ430">
        <f>IF($AD430&lt;&gt;"T",0,ROUND(SUMIF(oil!$B$4:$B$63,$AF430,oil!$AE$4:$AE$63),2))</f>
        <v>0</v>
      </c>
      <c r="AQ430" t="str">
        <f t="shared" si="190"/>
        <v/>
      </c>
      <c r="AZ430">
        <f t="shared" si="193"/>
        <v>0</v>
      </c>
    </row>
    <row r="431" spans="1:52" ht="21" customHeight="1" x14ac:dyDescent="0.95">
      <c r="A431" s="36" t="str">
        <f>IF($AD431="","",IF($AD431="Z","รวมจ่ายทั้งสิ้น",IF($AD431="H",INDEX($X$5:$X$404,$AC431),IF($AD431="T","รวม",IF($AD431="B",IFERROR(INDEX(อัตราค่าขนส่ง!$U$5:$U$14,MATCH(INDEX($AM$5:$AM$404,$AC431),อัตราค่าขนส่ง!$T$5:$T$14,0)),"รวมกลุ่ม "&amp;INDEX($AM$5:$AM$404,$AC431)),INDEX($AY$5:$AY$404,$AC431))))))</f>
        <v/>
      </c>
      <c r="B431" s="31" t="str">
        <f t="shared" si="168"/>
        <v/>
      </c>
      <c r="C431" s="8" t="str">
        <f t="shared" si="169"/>
        <v/>
      </c>
      <c r="D431" s="37" t="str">
        <f t="shared" si="170"/>
        <v/>
      </c>
      <c r="E431" s="31" t="str">
        <f t="shared" si="171"/>
        <v/>
      </c>
      <c r="F431" s="32" t="str">
        <f t="shared" si="172"/>
        <v/>
      </c>
      <c r="G431" s="32" t="str">
        <f t="shared" si="173"/>
        <v/>
      </c>
      <c r="H431" s="32" t="str">
        <f t="shared" si="174"/>
        <v/>
      </c>
      <c r="I431" s="32" t="str">
        <f t="shared" si="175"/>
        <v/>
      </c>
      <c r="J431" s="46" t="str">
        <f t="shared" si="176"/>
        <v/>
      </c>
      <c r="K431" s="32" t="str">
        <f t="shared" si="177"/>
        <v/>
      </c>
      <c r="L431" s="32" t="str">
        <f t="shared" si="178"/>
        <v/>
      </c>
      <c r="M431" s="32" t="str">
        <f t="shared" si="179"/>
        <v/>
      </c>
      <c r="N431" s="32" t="str">
        <f t="shared" si="180"/>
        <v/>
      </c>
      <c r="O431" s="32" t="str">
        <f t="shared" si="181"/>
        <v/>
      </c>
      <c r="AC431" t="str">
        <f>IFERROR(MATCH(427,$AB$5:$AB$404,1),"")</f>
        <v/>
      </c>
      <c r="AD431" t="str">
        <f>IF(427=$AI$1+1,"Z",IF($AC431="","",IF(INDEX($V$5:$V$404,$AC431)="","",IF(427&gt;INDEX($AB$5:$AB$404,$AC431)+INDEX($Z$5:$Z$404,$AC431)+INDEX($AA$5:$AA$404,$AC431)+INDEX($AO$5:$AO$404,$AC431),"",IF(427=INDEX($AB$5:$AB$404,$AC431)+INDEX($Z$5:$Z$404,$AC431),"D",IF(AND(INDEX($Z$5:$Z$404,$AC431)=1,427=INDEX($AB$5:$AB$404,$AC431)),"H",IF(AND(INDEX($AO$5:$AO$404,$AC431)=1,427=INDEX($AB$5:$AB$404,$AC431)+INDEX($Z$5:$Z$404,$AC431)+INDEX($AA$5:$AA$404,$AC431)+INDEX($AO$5:$AO$404,$AC431)),"B","T")))))))</f>
        <v/>
      </c>
      <c r="AF431" t="str">
        <f t="shared" si="186"/>
        <v/>
      </c>
      <c r="AJ431">
        <f>IF($AD431&lt;&gt;"T",0,ROUND(SUMIF(oil!$B$4:$B$63,$AF431,oil!$AE$4:$AE$63),2))</f>
        <v>0</v>
      </c>
      <c r="AQ431" t="str">
        <f t="shared" si="190"/>
        <v/>
      </c>
      <c r="AZ431">
        <f t="shared" si="193"/>
        <v>0</v>
      </c>
    </row>
    <row r="432" spans="1:52" ht="21" customHeight="1" x14ac:dyDescent="0.95">
      <c r="A432" s="36" t="str">
        <f>IF($AD432="","",IF($AD432="Z","รวมจ่ายทั้งสิ้น",IF($AD432="H",INDEX($X$5:$X$404,$AC432),IF($AD432="T","รวม",IF($AD432="B",IFERROR(INDEX(อัตราค่าขนส่ง!$U$5:$U$14,MATCH(INDEX($AM$5:$AM$404,$AC432),อัตราค่าขนส่ง!$T$5:$T$14,0)),"รวมกลุ่ม "&amp;INDEX($AM$5:$AM$404,$AC432)),INDEX($AY$5:$AY$404,$AC432))))))</f>
        <v/>
      </c>
      <c r="B432" s="31" t="str">
        <f t="shared" si="168"/>
        <v/>
      </c>
      <c r="C432" s="8" t="str">
        <f t="shared" si="169"/>
        <v/>
      </c>
      <c r="D432" s="37" t="str">
        <f t="shared" si="170"/>
        <v/>
      </c>
      <c r="E432" s="31" t="str">
        <f t="shared" si="171"/>
        <v/>
      </c>
      <c r="F432" s="32" t="str">
        <f t="shared" si="172"/>
        <v/>
      </c>
      <c r="G432" s="32" t="str">
        <f t="shared" si="173"/>
        <v/>
      </c>
      <c r="H432" s="32" t="str">
        <f t="shared" si="174"/>
        <v/>
      </c>
      <c r="I432" s="32" t="str">
        <f t="shared" si="175"/>
        <v/>
      </c>
      <c r="J432" s="46" t="str">
        <f t="shared" si="176"/>
        <v/>
      </c>
      <c r="K432" s="32" t="str">
        <f t="shared" si="177"/>
        <v/>
      </c>
      <c r="L432" s="32" t="str">
        <f t="shared" si="178"/>
        <v/>
      </c>
      <c r="M432" s="32" t="str">
        <f t="shared" si="179"/>
        <v/>
      </c>
      <c r="N432" s="32" t="str">
        <f t="shared" si="180"/>
        <v/>
      </c>
      <c r="O432" s="32" t="str">
        <f t="shared" si="181"/>
        <v/>
      </c>
      <c r="AC432" t="str">
        <f>IFERROR(MATCH(428,$AB$5:$AB$404,1),"")</f>
        <v/>
      </c>
      <c r="AD432" t="str">
        <f>IF(428=$AI$1+1,"Z",IF($AC432="","",IF(INDEX($V$5:$V$404,$AC432)="","",IF(428&gt;INDEX($AB$5:$AB$404,$AC432)+INDEX($Z$5:$Z$404,$AC432)+INDEX($AA$5:$AA$404,$AC432)+INDEX($AO$5:$AO$404,$AC432),"",IF(428=INDEX($AB$5:$AB$404,$AC432)+INDEX($Z$5:$Z$404,$AC432),"D",IF(AND(INDEX($Z$5:$Z$404,$AC432)=1,428=INDEX($AB$5:$AB$404,$AC432)),"H",IF(AND(INDEX($AO$5:$AO$404,$AC432)=1,428=INDEX($AB$5:$AB$404,$AC432)+INDEX($Z$5:$Z$404,$AC432)+INDEX($AA$5:$AA$404,$AC432)+INDEX($AO$5:$AO$404,$AC432)),"B","T")))))))</f>
        <v/>
      </c>
      <c r="AF432" t="str">
        <f t="shared" si="186"/>
        <v/>
      </c>
      <c r="AJ432">
        <f>IF($AD432&lt;&gt;"T",0,ROUND(SUMIF(oil!$B$4:$B$63,$AF432,oil!$AE$4:$AE$63),2))</f>
        <v>0</v>
      </c>
      <c r="AQ432" t="str">
        <f t="shared" si="190"/>
        <v/>
      </c>
      <c r="AZ432">
        <f t="shared" si="193"/>
        <v>0</v>
      </c>
    </row>
    <row r="433" spans="1:52" ht="21" customHeight="1" x14ac:dyDescent="0.95">
      <c r="A433" s="36" t="str">
        <f>IF($AD433="","",IF($AD433="Z","รวมจ่ายทั้งสิ้น",IF($AD433="H",INDEX($X$5:$X$404,$AC433),IF($AD433="T","รวม",IF($AD433="B",IFERROR(INDEX(อัตราค่าขนส่ง!$U$5:$U$14,MATCH(INDEX($AM$5:$AM$404,$AC433),อัตราค่าขนส่ง!$T$5:$T$14,0)),"รวมกลุ่ม "&amp;INDEX($AM$5:$AM$404,$AC433)),INDEX($AY$5:$AY$404,$AC433))))))</f>
        <v/>
      </c>
      <c r="B433" s="31" t="str">
        <f t="shared" si="168"/>
        <v/>
      </c>
      <c r="C433" s="8" t="str">
        <f t="shared" si="169"/>
        <v/>
      </c>
      <c r="D433" s="37" t="str">
        <f t="shared" si="170"/>
        <v/>
      </c>
      <c r="E433" s="31" t="str">
        <f t="shared" si="171"/>
        <v/>
      </c>
      <c r="F433" s="32" t="str">
        <f t="shared" si="172"/>
        <v/>
      </c>
      <c r="G433" s="32" t="str">
        <f t="shared" si="173"/>
        <v/>
      </c>
      <c r="H433" s="32" t="str">
        <f t="shared" si="174"/>
        <v/>
      </c>
      <c r="I433" s="32" t="str">
        <f t="shared" si="175"/>
        <v/>
      </c>
      <c r="J433" s="46" t="str">
        <f t="shared" si="176"/>
        <v/>
      </c>
      <c r="K433" s="32" t="str">
        <f t="shared" si="177"/>
        <v/>
      </c>
      <c r="L433" s="32" t="str">
        <f t="shared" si="178"/>
        <v/>
      </c>
      <c r="M433" s="32" t="str">
        <f t="shared" si="179"/>
        <v/>
      </c>
      <c r="N433" s="32" t="str">
        <f t="shared" si="180"/>
        <v/>
      </c>
      <c r="O433" s="32" t="str">
        <f t="shared" si="181"/>
        <v/>
      </c>
      <c r="AC433" t="str">
        <f>IFERROR(MATCH(429,$AB$5:$AB$404,1),"")</f>
        <v/>
      </c>
      <c r="AD433" t="str">
        <f>IF(429=$AI$1+1,"Z",IF($AC433="","",IF(INDEX($V$5:$V$404,$AC433)="","",IF(429&gt;INDEX($AB$5:$AB$404,$AC433)+INDEX($Z$5:$Z$404,$AC433)+INDEX($AA$5:$AA$404,$AC433)+INDEX($AO$5:$AO$404,$AC433),"",IF(429=INDEX($AB$5:$AB$404,$AC433)+INDEX($Z$5:$Z$404,$AC433),"D",IF(AND(INDEX($Z$5:$Z$404,$AC433)=1,429=INDEX($AB$5:$AB$404,$AC433)),"H",IF(AND(INDEX($AO$5:$AO$404,$AC433)=1,429=INDEX($AB$5:$AB$404,$AC433)+INDEX($Z$5:$Z$404,$AC433)+INDEX($AA$5:$AA$404,$AC433)+INDEX($AO$5:$AO$404,$AC433)),"B","T")))))))</f>
        <v/>
      </c>
      <c r="AF433" t="str">
        <f t="shared" si="186"/>
        <v/>
      </c>
      <c r="AJ433">
        <f>IF($AD433&lt;&gt;"T",0,ROUND(SUMIF(oil!$B$4:$B$63,$AF433,oil!$AE$4:$AE$63),2))</f>
        <v>0</v>
      </c>
      <c r="AQ433" t="str">
        <f t="shared" si="190"/>
        <v/>
      </c>
      <c r="AZ433">
        <f t="shared" si="193"/>
        <v>0</v>
      </c>
    </row>
    <row r="434" spans="1:52" ht="21" customHeight="1" x14ac:dyDescent="0.95">
      <c r="A434" s="36" t="str">
        <f>IF($AD434="","",IF($AD434="Z","รวมจ่ายทั้งสิ้น",IF($AD434="H",INDEX($X$5:$X$404,$AC434),IF($AD434="T","รวม",IF($AD434="B",IFERROR(INDEX(อัตราค่าขนส่ง!$U$5:$U$14,MATCH(INDEX($AM$5:$AM$404,$AC434),อัตราค่าขนส่ง!$T$5:$T$14,0)),"รวมกลุ่ม "&amp;INDEX($AM$5:$AM$404,$AC434)),INDEX($AY$5:$AY$404,$AC434))))))</f>
        <v/>
      </c>
      <c r="B434" s="31" t="str">
        <f t="shared" si="168"/>
        <v/>
      </c>
      <c r="C434" s="8" t="str">
        <f t="shared" si="169"/>
        <v/>
      </c>
      <c r="D434" s="37" t="str">
        <f t="shared" si="170"/>
        <v/>
      </c>
      <c r="E434" s="31" t="str">
        <f t="shared" si="171"/>
        <v/>
      </c>
      <c r="F434" s="32" t="str">
        <f t="shared" si="172"/>
        <v/>
      </c>
      <c r="G434" s="32" t="str">
        <f t="shared" si="173"/>
        <v/>
      </c>
      <c r="H434" s="32" t="str">
        <f t="shared" si="174"/>
        <v/>
      </c>
      <c r="I434" s="32" t="str">
        <f t="shared" si="175"/>
        <v/>
      </c>
      <c r="J434" s="46" t="str">
        <f t="shared" si="176"/>
        <v/>
      </c>
      <c r="K434" s="32" t="str">
        <f t="shared" si="177"/>
        <v/>
      </c>
      <c r="L434" s="32" t="str">
        <f t="shared" si="178"/>
        <v/>
      </c>
      <c r="M434" s="32" t="str">
        <f t="shared" si="179"/>
        <v/>
      </c>
      <c r="N434" s="32" t="str">
        <f t="shared" si="180"/>
        <v/>
      </c>
      <c r="O434" s="32" t="str">
        <f t="shared" si="181"/>
        <v/>
      </c>
      <c r="AC434" t="str">
        <f>IFERROR(MATCH(430,$AB$5:$AB$404,1),"")</f>
        <v/>
      </c>
      <c r="AD434" t="str">
        <f>IF(430=$AI$1+1,"Z",IF($AC434="","",IF(INDEX($V$5:$V$404,$AC434)="","",IF(430&gt;INDEX($AB$5:$AB$404,$AC434)+INDEX($Z$5:$Z$404,$AC434)+INDEX($AA$5:$AA$404,$AC434)+INDEX($AO$5:$AO$404,$AC434),"",IF(430=INDEX($AB$5:$AB$404,$AC434)+INDEX($Z$5:$Z$404,$AC434),"D",IF(AND(INDEX($Z$5:$Z$404,$AC434)=1,430=INDEX($AB$5:$AB$404,$AC434)),"H",IF(AND(INDEX($AO$5:$AO$404,$AC434)=1,430=INDEX($AB$5:$AB$404,$AC434)+INDEX($Z$5:$Z$404,$AC434)+INDEX($AA$5:$AA$404,$AC434)+INDEX($AO$5:$AO$404,$AC434)),"B","T")))))))</f>
        <v/>
      </c>
      <c r="AF434" t="str">
        <f t="shared" si="186"/>
        <v/>
      </c>
      <c r="AJ434">
        <f>IF($AD434&lt;&gt;"T",0,ROUND(SUMIF(oil!$B$4:$B$63,$AF434,oil!$AE$4:$AE$63),2))</f>
        <v>0</v>
      </c>
      <c r="AQ434" t="str">
        <f t="shared" si="190"/>
        <v/>
      </c>
      <c r="AZ434">
        <f t="shared" si="193"/>
        <v>0</v>
      </c>
    </row>
    <row r="435" spans="1:52" ht="21" customHeight="1" x14ac:dyDescent="0.95">
      <c r="A435" s="36" t="str">
        <f>IF($AD435="","",IF($AD435="Z","รวมจ่ายทั้งสิ้น",IF($AD435="H",INDEX($X$5:$X$404,$AC435),IF($AD435="T","รวม",IF($AD435="B",IFERROR(INDEX(อัตราค่าขนส่ง!$U$5:$U$14,MATCH(INDEX($AM$5:$AM$404,$AC435),อัตราค่าขนส่ง!$T$5:$T$14,0)),"รวมกลุ่ม "&amp;INDEX($AM$5:$AM$404,$AC435)),INDEX($AY$5:$AY$404,$AC435))))))</f>
        <v/>
      </c>
      <c r="B435" s="31" t="str">
        <f t="shared" si="168"/>
        <v/>
      </c>
      <c r="C435" s="8" t="str">
        <f t="shared" si="169"/>
        <v/>
      </c>
      <c r="D435" s="37" t="str">
        <f t="shared" si="170"/>
        <v/>
      </c>
      <c r="E435" s="31" t="str">
        <f t="shared" si="171"/>
        <v/>
      </c>
      <c r="F435" s="32" t="str">
        <f t="shared" si="172"/>
        <v/>
      </c>
      <c r="G435" s="32" t="str">
        <f t="shared" si="173"/>
        <v/>
      </c>
      <c r="H435" s="32" t="str">
        <f t="shared" si="174"/>
        <v/>
      </c>
      <c r="I435" s="32" t="str">
        <f t="shared" si="175"/>
        <v/>
      </c>
      <c r="J435" s="46" t="str">
        <f t="shared" si="176"/>
        <v/>
      </c>
      <c r="K435" s="32" t="str">
        <f t="shared" si="177"/>
        <v/>
      </c>
      <c r="L435" s="32" t="str">
        <f t="shared" si="178"/>
        <v/>
      </c>
      <c r="M435" s="32" t="str">
        <f t="shared" si="179"/>
        <v/>
      </c>
      <c r="N435" s="32" t="str">
        <f t="shared" si="180"/>
        <v/>
      </c>
      <c r="O435" s="32" t="str">
        <f t="shared" si="181"/>
        <v/>
      </c>
      <c r="AC435" t="str">
        <f>IFERROR(MATCH(431,$AB$5:$AB$404,1),"")</f>
        <v/>
      </c>
      <c r="AD435" t="str">
        <f>IF(431=$AI$1+1,"Z",IF($AC435="","",IF(INDEX($V$5:$V$404,$AC435)="","",IF(431&gt;INDEX($AB$5:$AB$404,$AC435)+INDEX($Z$5:$Z$404,$AC435)+INDEX($AA$5:$AA$404,$AC435)+INDEX($AO$5:$AO$404,$AC435),"",IF(431=INDEX($AB$5:$AB$404,$AC435)+INDEX($Z$5:$Z$404,$AC435),"D",IF(AND(INDEX($Z$5:$Z$404,$AC435)=1,431=INDEX($AB$5:$AB$404,$AC435)),"H",IF(AND(INDEX($AO$5:$AO$404,$AC435)=1,431=INDEX($AB$5:$AB$404,$AC435)+INDEX($Z$5:$Z$404,$AC435)+INDEX($AA$5:$AA$404,$AC435)+INDEX($AO$5:$AO$404,$AC435)),"B","T")))))))</f>
        <v/>
      </c>
      <c r="AF435" t="str">
        <f t="shared" si="186"/>
        <v/>
      </c>
      <c r="AJ435">
        <f>IF($AD435&lt;&gt;"T",0,ROUND(SUMIF(oil!$B$4:$B$63,$AF435,oil!$AE$4:$AE$63),2))</f>
        <v>0</v>
      </c>
      <c r="AQ435" t="str">
        <f t="shared" si="190"/>
        <v/>
      </c>
      <c r="AZ435">
        <f t="shared" si="193"/>
        <v>0</v>
      </c>
    </row>
    <row r="436" spans="1:52" ht="21" customHeight="1" x14ac:dyDescent="0.95">
      <c r="A436" s="36" t="str">
        <f>IF($AD436="","",IF($AD436="Z","รวมจ่ายทั้งสิ้น",IF($AD436="H",INDEX($X$5:$X$404,$AC436),IF($AD436="T","รวม",IF($AD436="B",IFERROR(INDEX(อัตราค่าขนส่ง!$U$5:$U$14,MATCH(INDEX($AM$5:$AM$404,$AC436),อัตราค่าขนส่ง!$T$5:$T$14,0)),"รวมกลุ่ม "&amp;INDEX($AM$5:$AM$404,$AC436)),INDEX($AY$5:$AY$404,$AC436))))))</f>
        <v/>
      </c>
      <c r="B436" s="31" t="str">
        <f t="shared" si="168"/>
        <v/>
      </c>
      <c r="C436" s="8" t="str">
        <f t="shared" si="169"/>
        <v/>
      </c>
      <c r="D436" s="37" t="str">
        <f t="shared" si="170"/>
        <v/>
      </c>
      <c r="E436" s="31" t="str">
        <f t="shared" si="171"/>
        <v/>
      </c>
      <c r="F436" s="32" t="str">
        <f t="shared" si="172"/>
        <v/>
      </c>
      <c r="G436" s="32" t="str">
        <f t="shared" si="173"/>
        <v/>
      </c>
      <c r="H436" s="32" t="str">
        <f t="shared" si="174"/>
        <v/>
      </c>
      <c r="I436" s="32" t="str">
        <f t="shared" si="175"/>
        <v/>
      </c>
      <c r="J436" s="46" t="str">
        <f t="shared" si="176"/>
        <v/>
      </c>
      <c r="K436" s="32" t="str">
        <f t="shared" si="177"/>
        <v/>
      </c>
      <c r="L436" s="32" t="str">
        <f t="shared" si="178"/>
        <v/>
      </c>
      <c r="M436" s="32" t="str">
        <f t="shared" si="179"/>
        <v/>
      </c>
      <c r="N436" s="32" t="str">
        <f t="shared" si="180"/>
        <v/>
      </c>
      <c r="O436" s="32" t="str">
        <f t="shared" si="181"/>
        <v/>
      </c>
      <c r="AC436" t="str">
        <f>IFERROR(MATCH(432,$AB$5:$AB$404,1),"")</f>
        <v/>
      </c>
      <c r="AD436" t="str">
        <f>IF(432=$AI$1+1,"Z",IF($AC436="","",IF(INDEX($V$5:$V$404,$AC436)="","",IF(432&gt;INDEX($AB$5:$AB$404,$AC436)+INDEX($Z$5:$Z$404,$AC436)+INDEX($AA$5:$AA$404,$AC436)+INDEX($AO$5:$AO$404,$AC436),"",IF(432=INDEX($AB$5:$AB$404,$AC436)+INDEX($Z$5:$Z$404,$AC436),"D",IF(AND(INDEX($Z$5:$Z$404,$AC436)=1,432=INDEX($AB$5:$AB$404,$AC436)),"H",IF(AND(INDEX($AO$5:$AO$404,$AC436)=1,432=INDEX($AB$5:$AB$404,$AC436)+INDEX($Z$5:$Z$404,$AC436)+INDEX($AA$5:$AA$404,$AC436)+INDEX($AO$5:$AO$404,$AC436)),"B","T")))))))</f>
        <v/>
      </c>
      <c r="AF436" t="str">
        <f t="shared" si="186"/>
        <v/>
      </c>
      <c r="AJ436">
        <f>IF($AD436&lt;&gt;"T",0,ROUND(SUMIF(oil!$B$4:$B$63,$AF436,oil!$AE$4:$AE$63),2))</f>
        <v>0</v>
      </c>
      <c r="AQ436" t="str">
        <f t="shared" si="190"/>
        <v/>
      </c>
      <c r="AZ436">
        <f t="shared" si="193"/>
        <v>0</v>
      </c>
    </row>
    <row r="437" spans="1:52" ht="21" customHeight="1" x14ac:dyDescent="0.95">
      <c r="A437" s="36" t="str">
        <f>IF($AD437="","",IF($AD437="Z","รวมจ่ายทั้งสิ้น",IF($AD437="H",INDEX($X$5:$X$404,$AC437),IF($AD437="T","รวม",IF($AD437="B",IFERROR(INDEX(อัตราค่าขนส่ง!$U$5:$U$14,MATCH(INDEX($AM$5:$AM$404,$AC437),อัตราค่าขนส่ง!$T$5:$T$14,0)),"รวมกลุ่ม "&amp;INDEX($AM$5:$AM$404,$AC437)),INDEX($AY$5:$AY$404,$AC437))))))</f>
        <v/>
      </c>
      <c r="B437" s="31" t="str">
        <f t="shared" si="168"/>
        <v/>
      </c>
      <c r="C437" s="8" t="str">
        <f t="shared" si="169"/>
        <v/>
      </c>
      <c r="D437" s="37" t="str">
        <f t="shared" si="170"/>
        <v/>
      </c>
      <c r="E437" s="31" t="str">
        <f t="shared" si="171"/>
        <v/>
      </c>
      <c r="F437" s="32" t="str">
        <f t="shared" si="172"/>
        <v/>
      </c>
      <c r="G437" s="32" t="str">
        <f t="shared" si="173"/>
        <v/>
      </c>
      <c r="H437" s="32" t="str">
        <f t="shared" si="174"/>
        <v/>
      </c>
      <c r="I437" s="32" t="str">
        <f t="shared" si="175"/>
        <v/>
      </c>
      <c r="J437" s="46" t="str">
        <f t="shared" si="176"/>
        <v/>
      </c>
      <c r="K437" s="32" t="str">
        <f t="shared" si="177"/>
        <v/>
      </c>
      <c r="L437" s="32" t="str">
        <f t="shared" si="178"/>
        <v/>
      </c>
      <c r="M437" s="32" t="str">
        <f t="shared" si="179"/>
        <v/>
      </c>
      <c r="N437" s="32" t="str">
        <f t="shared" si="180"/>
        <v/>
      </c>
      <c r="O437" s="32" t="str">
        <f t="shared" si="181"/>
        <v/>
      </c>
      <c r="AC437" t="str">
        <f>IFERROR(MATCH(433,$AB$5:$AB$404,1),"")</f>
        <v/>
      </c>
      <c r="AD437" t="str">
        <f>IF(433=$AI$1+1,"Z",IF($AC437="","",IF(INDEX($V$5:$V$404,$AC437)="","",IF(433&gt;INDEX($AB$5:$AB$404,$AC437)+INDEX($Z$5:$Z$404,$AC437)+INDEX($AA$5:$AA$404,$AC437)+INDEX($AO$5:$AO$404,$AC437),"",IF(433=INDEX($AB$5:$AB$404,$AC437)+INDEX($Z$5:$Z$404,$AC437),"D",IF(AND(INDEX($Z$5:$Z$404,$AC437)=1,433=INDEX($AB$5:$AB$404,$AC437)),"H",IF(AND(INDEX($AO$5:$AO$404,$AC437)=1,433=INDEX($AB$5:$AB$404,$AC437)+INDEX($Z$5:$Z$404,$AC437)+INDEX($AA$5:$AA$404,$AC437)+INDEX($AO$5:$AO$404,$AC437)),"B","T")))))))</f>
        <v/>
      </c>
      <c r="AF437" t="str">
        <f t="shared" si="186"/>
        <v/>
      </c>
      <c r="AJ437">
        <f>IF($AD437&lt;&gt;"T",0,ROUND(SUMIF(oil!$B$4:$B$63,$AF437,oil!$AE$4:$AE$63),2))</f>
        <v>0</v>
      </c>
      <c r="AQ437" t="str">
        <f t="shared" si="190"/>
        <v/>
      </c>
      <c r="AZ437">
        <f t="shared" si="193"/>
        <v>0</v>
      </c>
    </row>
    <row r="438" spans="1:52" ht="21" customHeight="1" x14ac:dyDescent="0.95">
      <c r="A438" s="36" t="str">
        <f>IF($AD438="","",IF($AD438="Z","รวมจ่ายทั้งสิ้น",IF($AD438="H",INDEX($X$5:$X$404,$AC438),IF($AD438="T","รวม",IF($AD438="B",IFERROR(INDEX(อัตราค่าขนส่ง!$U$5:$U$14,MATCH(INDEX($AM$5:$AM$404,$AC438),อัตราค่าขนส่ง!$T$5:$T$14,0)),"รวมกลุ่ม "&amp;INDEX($AM$5:$AM$404,$AC438)),INDEX($AY$5:$AY$404,$AC438))))))</f>
        <v/>
      </c>
      <c r="B438" s="31" t="str">
        <f t="shared" si="168"/>
        <v/>
      </c>
      <c r="C438" s="8" t="str">
        <f t="shared" si="169"/>
        <v/>
      </c>
      <c r="D438" s="37" t="str">
        <f t="shared" si="170"/>
        <v/>
      </c>
      <c r="E438" s="31" t="str">
        <f t="shared" si="171"/>
        <v/>
      </c>
      <c r="F438" s="32" t="str">
        <f t="shared" si="172"/>
        <v/>
      </c>
      <c r="G438" s="32" t="str">
        <f t="shared" si="173"/>
        <v/>
      </c>
      <c r="H438" s="32" t="str">
        <f t="shared" si="174"/>
        <v/>
      </c>
      <c r="I438" s="32" t="str">
        <f t="shared" si="175"/>
        <v/>
      </c>
      <c r="J438" s="46" t="str">
        <f t="shared" si="176"/>
        <v/>
      </c>
      <c r="K438" s="32" t="str">
        <f t="shared" si="177"/>
        <v/>
      </c>
      <c r="L438" s="32" t="str">
        <f t="shared" si="178"/>
        <v/>
      </c>
      <c r="M438" s="32" t="str">
        <f t="shared" si="179"/>
        <v/>
      </c>
      <c r="N438" s="32" t="str">
        <f t="shared" si="180"/>
        <v/>
      </c>
      <c r="O438" s="32" t="str">
        <f t="shared" si="181"/>
        <v/>
      </c>
      <c r="AC438" t="str">
        <f>IFERROR(MATCH(434,$AB$5:$AB$404,1),"")</f>
        <v/>
      </c>
      <c r="AD438" t="str">
        <f>IF(434=$AI$1+1,"Z",IF($AC438="","",IF(INDEX($V$5:$V$404,$AC438)="","",IF(434&gt;INDEX($AB$5:$AB$404,$AC438)+INDEX($Z$5:$Z$404,$AC438)+INDEX($AA$5:$AA$404,$AC438)+INDEX($AO$5:$AO$404,$AC438),"",IF(434=INDEX($AB$5:$AB$404,$AC438)+INDEX($Z$5:$Z$404,$AC438),"D",IF(AND(INDEX($Z$5:$Z$404,$AC438)=1,434=INDEX($AB$5:$AB$404,$AC438)),"H",IF(AND(INDEX($AO$5:$AO$404,$AC438)=1,434=INDEX($AB$5:$AB$404,$AC438)+INDEX($Z$5:$Z$404,$AC438)+INDEX($AA$5:$AA$404,$AC438)+INDEX($AO$5:$AO$404,$AC438)),"B","T")))))))</f>
        <v/>
      </c>
      <c r="AF438" t="str">
        <f t="shared" si="186"/>
        <v/>
      </c>
      <c r="AJ438">
        <f>IF($AD438&lt;&gt;"T",0,ROUND(SUMIF(oil!$B$4:$B$63,$AF438,oil!$AE$4:$AE$63),2))</f>
        <v>0</v>
      </c>
      <c r="AQ438" t="str">
        <f t="shared" si="190"/>
        <v/>
      </c>
      <c r="AZ438">
        <f t="shared" si="193"/>
        <v>0</v>
      </c>
    </row>
    <row r="439" spans="1:52" ht="21" customHeight="1" x14ac:dyDescent="0.95">
      <c r="A439" s="36" t="str">
        <f>IF($AD439="","",IF($AD439="Z","รวมจ่ายทั้งสิ้น",IF($AD439="H",INDEX($X$5:$X$404,$AC439),IF($AD439="T","รวม",IF($AD439="B",IFERROR(INDEX(อัตราค่าขนส่ง!$U$5:$U$14,MATCH(INDEX($AM$5:$AM$404,$AC439),อัตราค่าขนส่ง!$T$5:$T$14,0)),"รวมกลุ่ม "&amp;INDEX($AM$5:$AM$404,$AC439)),INDEX($AY$5:$AY$404,$AC439))))))</f>
        <v/>
      </c>
      <c r="B439" s="31" t="str">
        <f t="shared" si="168"/>
        <v/>
      </c>
      <c r="C439" s="8" t="str">
        <f t="shared" si="169"/>
        <v/>
      </c>
      <c r="D439" s="37" t="str">
        <f t="shared" si="170"/>
        <v/>
      </c>
      <c r="E439" s="31" t="str">
        <f t="shared" si="171"/>
        <v/>
      </c>
      <c r="F439" s="32" t="str">
        <f t="shared" si="172"/>
        <v/>
      </c>
      <c r="G439" s="32" t="str">
        <f t="shared" si="173"/>
        <v/>
      </c>
      <c r="H439" s="32" t="str">
        <f t="shared" si="174"/>
        <v/>
      </c>
      <c r="I439" s="32" t="str">
        <f t="shared" si="175"/>
        <v/>
      </c>
      <c r="J439" s="46" t="str">
        <f t="shared" si="176"/>
        <v/>
      </c>
      <c r="K439" s="32" t="str">
        <f t="shared" si="177"/>
        <v/>
      </c>
      <c r="L439" s="32" t="str">
        <f t="shared" si="178"/>
        <v/>
      </c>
      <c r="M439" s="32" t="str">
        <f t="shared" si="179"/>
        <v/>
      </c>
      <c r="N439" s="32" t="str">
        <f t="shared" si="180"/>
        <v/>
      </c>
      <c r="O439" s="32" t="str">
        <f t="shared" si="181"/>
        <v/>
      </c>
      <c r="AC439" t="str">
        <f>IFERROR(MATCH(435,$AB$5:$AB$404,1),"")</f>
        <v/>
      </c>
      <c r="AD439" t="str">
        <f>IF(435=$AI$1+1,"Z",IF($AC439="","",IF(INDEX($V$5:$V$404,$AC439)="","",IF(435&gt;INDEX($AB$5:$AB$404,$AC439)+INDEX($Z$5:$Z$404,$AC439)+INDEX($AA$5:$AA$404,$AC439)+INDEX($AO$5:$AO$404,$AC439),"",IF(435=INDEX($AB$5:$AB$404,$AC439)+INDEX($Z$5:$Z$404,$AC439),"D",IF(AND(INDEX($Z$5:$Z$404,$AC439)=1,435=INDEX($AB$5:$AB$404,$AC439)),"H",IF(AND(INDEX($AO$5:$AO$404,$AC439)=1,435=INDEX($AB$5:$AB$404,$AC439)+INDEX($Z$5:$Z$404,$AC439)+INDEX($AA$5:$AA$404,$AC439)+INDEX($AO$5:$AO$404,$AC439)),"B","T")))))))</f>
        <v/>
      </c>
      <c r="AF439" t="str">
        <f t="shared" si="186"/>
        <v/>
      </c>
      <c r="AJ439">
        <f>IF($AD439&lt;&gt;"T",0,ROUND(SUMIF(oil!$B$4:$B$63,$AF439,oil!$AE$4:$AE$63),2))</f>
        <v>0</v>
      </c>
      <c r="AQ439" t="str">
        <f t="shared" si="190"/>
        <v/>
      </c>
      <c r="AZ439">
        <f t="shared" si="193"/>
        <v>0</v>
      </c>
    </row>
    <row r="440" spans="1:52" ht="21" customHeight="1" x14ac:dyDescent="0.95">
      <c r="A440" s="36" t="str">
        <f>IF($AD440="","",IF($AD440="Z","รวมจ่ายทั้งสิ้น",IF($AD440="H",INDEX($X$5:$X$404,$AC440),IF($AD440="T","รวม",IF($AD440="B",IFERROR(INDEX(อัตราค่าขนส่ง!$U$5:$U$14,MATCH(INDEX($AM$5:$AM$404,$AC440),อัตราค่าขนส่ง!$T$5:$T$14,0)),"รวมกลุ่ม "&amp;INDEX($AM$5:$AM$404,$AC440)),INDEX($AY$5:$AY$404,$AC440))))))</f>
        <v/>
      </c>
      <c r="B440" s="31" t="str">
        <f t="shared" si="168"/>
        <v/>
      </c>
      <c r="C440" s="8" t="str">
        <f t="shared" si="169"/>
        <v/>
      </c>
      <c r="D440" s="37" t="str">
        <f t="shared" si="170"/>
        <v/>
      </c>
      <c r="E440" s="31" t="str">
        <f t="shared" si="171"/>
        <v/>
      </c>
      <c r="F440" s="32" t="str">
        <f t="shared" si="172"/>
        <v/>
      </c>
      <c r="G440" s="32" t="str">
        <f t="shared" si="173"/>
        <v/>
      </c>
      <c r="H440" s="32" t="str">
        <f t="shared" si="174"/>
        <v/>
      </c>
      <c r="I440" s="32" t="str">
        <f t="shared" si="175"/>
        <v/>
      </c>
      <c r="J440" s="46" t="str">
        <f t="shared" si="176"/>
        <v/>
      </c>
      <c r="K440" s="32" t="str">
        <f t="shared" si="177"/>
        <v/>
      </c>
      <c r="L440" s="32" t="str">
        <f t="shared" si="178"/>
        <v/>
      </c>
      <c r="M440" s="32" t="str">
        <f t="shared" si="179"/>
        <v/>
      </c>
      <c r="N440" s="32" t="str">
        <f t="shared" si="180"/>
        <v/>
      </c>
      <c r="O440" s="32" t="str">
        <f t="shared" si="181"/>
        <v/>
      </c>
      <c r="AC440" t="str">
        <f>IFERROR(MATCH(436,$AB$5:$AB$404,1),"")</f>
        <v/>
      </c>
      <c r="AD440" t="str">
        <f>IF(436=$AI$1+1,"Z",IF($AC440="","",IF(INDEX($V$5:$V$404,$AC440)="","",IF(436&gt;INDEX($AB$5:$AB$404,$AC440)+INDEX($Z$5:$Z$404,$AC440)+INDEX($AA$5:$AA$404,$AC440)+INDEX($AO$5:$AO$404,$AC440),"",IF(436=INDEX($AB$5:$AB$404,$AC440)+INDEX($Z$5:$Z$404,$AC440),"D",IF(AND(INDEX($Z$5:$Z$404,$AC440)=1,436=INDEX($AB$5:$AB$404,$AC440)),"H",IF(AND(INDEX($AO$5:$AO$404,$AC440)=1,436=INDEX($AB$5:$AB$404,$AC440)+INDEX($Z$5:$Z$404,$AC440)+INDEX($AA$5:$AA$404,$AC440)+INDEX($AO$5:$AO$404,$AC440)),"B","T")))))))</f>
        <v/>
      </c>
      <c r="AF440" t="str">
        <f t="shared" si="186"/>
        <v/>
      </c>
      <c r="AJ440">
        <f>IF($AD440&lt;&gt;"T",0,ROUND(SUMIF(oil!$B$4:$B$63,$AF440,oil!$AE$4:$AE$63),2))</f>
        <v>0</v>
      </c>
      <c r="AQ440" t="str">
        <f t="shared" si="190"/>
        <v/>
      </c>
      <c r="AZ440">
        <f t="shared" si="193"/>
        <v>0</v>
      </c>
    </row>
    <row r="441" spans="1:52" ht="21" customHeight="1" x14ac:dyDescent="0.95">
      <c r="A441" s="36" t="str">
        <f>IF($AD441="","",IF($AD441="Z","รวมจ่ายทั้งสิ้น",IF($AD441="H",INDEX($X$5:$X$404,$AC441),IF($AD441="T","รวม",IF($AD441="B",IFERROR(INDEX(อัตราค่าขนส่ง!$U$5:$U$14,MATCH(INDEX($AM$5:$AM$404,$AC441),อัตราค่าขนส่ง!$T$5:$T$14,0)),"รวมกลุ่ม "&amp;INDEX($AM$5:$AM$404,$AC441)),INDEX($AY$5:$AY$404,$AC441))))))</f>
        <v/>
      </c>
      <c r="B441" s="31" t="str">
        <f t="shared" si="168"/>
        <v/>
      </c>
      <c r="C441" s="8" t="str">
        <f t="shared" si="169"/>
        <v/>
      </c>
      <c r="D441" s="37" t="str">
        <f t="shared" si="170"/>
        <v/>
      </c>
      <c r="E441" s="31" t="str">
        <f t="shared" si="171"/>
        <v/>
      </c>
      <c r="F441" s="32" t="str">
        <f t="shared" si="172"/>
        <v/>
      </c>
      <c r="G441" s="32" t="str">
        <f t="shared" si="173"/>
        <v/>
      </c>
      <c r="H441" s="32" t="str">
        <f t="shared" si="174"/>
        <v/>
      </c>
      <c r="I441" s="32" t="str">
        <f t="shared" si="175"/>
        <v/>
      </c>
      <c r="J441" s="46" t="str">
        <f t="shared" si="176"/>
        <v/>
      </c>
      <c r="K441" s="32" t="str">
        <f t="shared" si="177"/>
        <v/>
      </c>
      <c r="L441" s="32" t="str">
        <f t="shared" si="178"/>
        <v/>
      </c>
      <c r="M441" s="32" t="str">
        <f t="shared" si="179"/>
        <v/>
      </c>
      <c r="N441" s="32" t="str">
        <f t="shared" si="180"/>
        <v/>
      </c>
      <c r="O441" s="32" t="str">
        <f t="shared" si="181"/>
        <v/>
      </c>
      <c r="AC441" t="str">
        <f>IFERROR(MATCH(437,$AB$5:$AB$404,1),"")</f>
        <v/>
      </c>
      <c r="AD441" t="str">
        <f>IF(437=$AI$1+1,"Z",IF($AC441="","",IF(INDEX($V$5:$V$404,$AC441)="","",IF(437&gt;INDEX($AB$5:$AB$404,$AC441)+INDEX($Z$5:$Z$404,$AC441)+INDEX($AA$5:$AA$404,$AC441)+INDEX($AO$5:$AO$404,$AC441),"",IF(437=INDEX($AB$5:$AB$404,$AC441)+INDEX($Z$5:$Z$404,$AC441),"D",IF(AND(INDEX($Z$5:$Z$404,$AC441)=1,437=INDEX($AB$5:$AB$404,$AC441)),"H",IF(AND(INDEX($AO$5:$AO$404,$AC441)=1,437=INDEX($AB$5:$AB$404,$AC441)+INDEX($Z$5:$Z$404,$AC441)+INDEX($AA$5:$AA$404,$AC441)+INDEX($AO$5:$AO$404,$AC441)),"B","T")))))))</f>
        <v/>
      </c>
      <c r="AF441" t="str">
        <f t="shared" si="186"/>
        <v/>
      </c>
      <c r="AJ441">
        <f>IF($AD441&lt;&gt;"T",0,ROUND(SUMIF(oil!$B$4:$B$63,$AF441,oil!$AE$4:$AE$63),2))</f>
        <v>0</v>
      </c>
      <c r="AQ441" t="str">
        <f t="shared" si="190"/>
        <v/>
      </c>
      <c r="AZ441">
        <f t="shared" si="193"/>
        <v>0</v>
      </c>
    </row>
    <row r="442" spans="1:52" ht="21" customHeight="1" x14ac:dyDescent="0.95">
      <c r="A442" s="36" t="str">
        <f>IF($AD442="","",IF($AD442="Z","รวมจ่ายทั้งสิ้น",IF($AD442="H",INDEX($X$5:$X$404,$AC442),IF($AD442="T","รวม",IF($AD442="B",IFERROR(INDEX(อัตราค่าขนส่ง!$U$5:$U$14,MATCH(INDEX($AM$5:$AM$404,$AC442),อัตราค่าขนส่ง!$T$5:$T$14,0)),"รวมกลุ่ม "&amp;INDEX($AM$5:$AM$404,$AC442)),INDEX($AY$5:$AY$404,$AC442))))))</f>
        <v/>
      </c>
      <c r="B442" s="31" t="str">
        <f t="shared" si="168"/>
        <v/>
      </c>
      <c r="C442" s="8" t="str">
        <f t="shared" si="169"/>
        <v/>
      </c>
      <c r="D442" s="37" t="str">
        <f t="shared" si="170"/>
        <v/>
      </c>
      <c r="E442" s="31" t="str">
        <f t="shared" si="171"/>
        <v/>
      </c>
      <c r="F442" s="32" t="str">
        <f t="shared" si="172"/>
        <v/>
      </c>
      <c r="G442" s="32" t="str">
        <f t="shared" si="173"/>
        <v/>
      </c>
      <c r="H442" s="32" t="str">
        <f t="shared" si="174"/>
        <v/>
      </c>
      <c r="I442" s="32" t="str">
        <f t="shared" si="175"/>
        <v/>
      </c>
      <c r="J442" s="46" t="str">
        <f t="shared" si="176"/>
        <v/>
      </c>
      <c r="K442" s="32" t="str">
        <f t="shared" si="177"/>
        <v/>
      </c>
      <c r="L442" s="32" t="str">
        <f t="shared" si="178"/>
        <v/>
      </c>
      <c r="M442" s="32" t="str">
        <f t="shared" si="179"/>
        <v/>
      </c>
      <c r="N442" s="32" t="str">
        <f t="shared" si="180"/>
        <v/>
      </c>
      <c r="O442" s="32" t="str">
        <f t="shared" si="181"/>
        <v/>
      </c>
      <c r="AC442" t="str">
        <f>IFERROR(MATCH(438,$AB$5:$AB$404,1),"")</f>
        <v/>
      </c>
      <c r="AD442" t="str">
        <f>IF(438=$AI$1+1,"Z",IF($AC442="","",IF(INDEX($V$5:$V$404,$AC442)="","",IF(438&gt;INDEX($AB$5:$AB$404,$AC442)+INDEX($Z$5:$Z$404,$AC442)+INDEX($AA$5:$AA$404,$AC442)+INDEX($AO$5:$AO$404,$AC442),"",IF(438=INDEX($AB$5:$AB$404,$AC442)+INDEX($Z$5:$Z$404,$AC442),"D",IF(AND(INDEX($Z$5:$Z$404,$AC442)=1,438=INDEX($AB$5:$AB$404,$AC442)),"H",IF(AND(INDEX($AO$5:$AO$404,$AC442)=1,438=INDEX($AB$5:$AB$404,$AC442)+INDEX($Z$5:$Z$404,$AC442)+INDEX($AA$5:$AA$404,$AC442)+INDEX($AO$5:$AO$404,$AC442)),"B","T")))))))</f>
        <v/>
      </c>
      <c r="AF442" t="str">
        <f t="shared" si="186"/>
        <v/>
      </c>
      <c r="AJ442">
        <f>IF($AD442&lt;&gt;"T",0,ROUND(SUMIF(oil!$B$4:$B$63,$AF442,oil!$AE$4:$AE$63),2))</f>
        <v>0</v>
      </c>
      <c r="AQ442" t="str">
        <f t="shared" si="190"/>
        <v/>
      </c>
      <c r="AZ442">
        <f t="shared" si="193"/>
        <v>0</v>
      </c>
    </row>
    <row r="443" spans="1:52" ht="21" customHeight="1" x14ac:dyDescent="0.95">
      <c r="A443" s="36" t="str">
        <f>IF($AD443="","",IF($AD443="Z","รวมจ่ายทั้งสิ้น",IF($AD443="H",INDEX($X$5:$X$404,$AC443),IF($AD443="T","รวม",IF($AD443="B",IFERROR(INDEX(อัตราค่าขนส่ง!$U$5:$U$14,MATCH(INDEX($AM$5:$AM$404,$AC443),อัตราค่าขนส่ง!$T$5:$T$14,0)),"รวมกลุ่ม "&amp;INDEX($AM$5:$AM$404,$AC443)),INDEX($AY$5:$AY$404,$AC443))))))</f>
        <v/>
      </c>
      <c r="B443" s="31" t="str">
        <f t="shared" si="168"/>
        <v/>
      </c>
      <c r="C443" s="8" t="str">
        <f t="shared" si="169"/>
        <v/>
      </c>
      <c r="D443" s="37" t="str">
        <f t="shared" si="170"/>
        <v/>
      </c>
      <c r="E443" s="31" t="str">
        <f t="shared" si="171"/>
        <v/>
      </c>
      <c r="F443" s="32" t="str">
        <f t="shared" si="172"/>
        <v/>
      </c>
      <c r="G443" s="32" t="str">
        <f t="shared" si="173"/>
        <v/>
      </c>
      <c r="H443" s="32" t="str">
        <f t="shared" si="174"/>
        <v/>
      </c>
      <c r="I443" s="32" t="str">
        <f t="shared" si="175"/>
        <v/>
      </c>
      <c r="J443" s="46" t="str">
        <f t="shared" si="176"/>
        <v/>
      </c>
      <c r="K443" s="32" t="str">
        <f t="shared" si="177"/>
        <v/>
      </c>
      <c r="L443" s="32" t="str">
        <f t="shared" si="178"/>
        <v/>
      </c>
      <c r="M443" s="32" t="str">
        <f t="shared" si="179"/>
        <v/>
      </c>
      <c r="N443" s="32" t="str">
        <f t="shared" si="180"/>
        <v/>
      </c>
      <c r="O443" s="32" t="str">
        <f t="shared" si="181"/>
        <v/>
      </c>
      <c r="AC443" t="str">
        <f>IFERROR(MATCH(439,$AB$5:$AB$404,1),"")</f>
        <v/>
      </c>
      <c r="AD443" t="str">
        <f>IF(439=$AI$1+1,"Z",IF($AC443="","",IF(INDEX($V$5:$V$404,$AC443)="","",IF(439&gt;INDEX($AB$5:$AB$404,$AC443)+INDEX($Z$5:$Z$404,$AC443)+INDEX($AA$5:$AA$404,$AC443)+INDEX($AO$5:$AO$404,$AC443),"",IF(439=INDEX($AB$5:$AB$404,$AC443)+INDEX($Z$5:$Z$404,$AC443),"D",IF(AND(INDEX($Z$5:$Z$404,$AC443)=1,439=INDEX($AB$5:$AB$404,$AC443)),"H",IF(AND(INDEX($AO$5:$AO$404,$AC443)=1,439=INDEX($AB$5:$AB$404,$AC443)+INDEX($Z$5:$Z$404,$AC443)+INDEX($AA$5:$AA$404,$AC443)+INDEX($AO$5:$AO$404,$AC443)),"B","T")))))))</f>
        <v/>
      </c>
      <c r="AF443" t="str">
        <f t="shared" si="186"/>
        <v/>
      </c>
      <c r="AJ443">
        <f>IF($AD443&lt;&gt;"T",0,ROUND(SUMIF(oil!$B$4:$B$63,$AF443,oil!$AE$4:$AE$63),2))</f>
        <v>0</v>
      </c>
      <c r="AQ443" t="str">
        <f t="shared" si="190"/>
        <v/>
      </c>
      <c r="AZ443">
        <f t="shared" si="193"/>
        <v>0</v>
      </c>
    </row>
    <row r="444" spans="1:52" ht="21" customHeight="1" x14ac:dyDescent="0.95">
      <c r="A444" s="36" t="str">
        <f>IF($AD444="","",IF($AD444="Z","รวมจ่ายทั้งสิ้น",IF($AD444="H",INDEX($X$5:$X$404,$AC444),IF($AD444="T","รวม",IF($AD444="B",IFERROR(INDEX(อัตราค่าขนส่ง!$U$5:$U$14,MATCH(INDEX($AM$5:$AM$404,$AC444),อัตราค่าขนส่ง!$T$5:$T$14,0)),"รวมกลุ่ม "&amp;INDEX($AM$5:$AM$404,$AC444)),INDEX($AY$5:$AY$404,$AC444))))))</f>
        <v/>
      </c>
      <c r="B444" s="31" t="str">
        <f t="shared" si="168"/>
        <v/>
      </c>
      <c r="C444" s="8" t="str">
        <f t="shared" si="169"/>
        <v/>
      </c>
      <c r="D444" s="37" t="str">
        <f t="shared" si="170"/>
        <v/>
      </c>
      <c r="E444" s="31" t="str">
        <f t="shared" si="171"/>
        <v/>
      </c>
      <c r="F444" s="32" t="str">
        <f t="shared" si="172"/>
        <v/>
      </c>
      <c r="G444" s="32" t="str">
        <f t="shared" si="173"/>
        <v/>
      </c>
      <c r="H444" s="32" t="str">
        <f t="shared" si="174"/>
        <v/>
      </c>
      <c r="I444" s="32" t="str">
        <f t="shared" si="175"/>
        <v/>
      </c>
      <c r="J444" s="46" t="str">
        <f t="shared" si="176"/>
        <v/>
      </c>
      <c r="K444" s="32" t="str">
        <f t="shared" si="177"/>
        <v/>
      </c>
      <c r="L444" s="32" t="str">
        <f t="shared" si="178"/>
        <v/>
      </c>
      <c r="M444" s="32" t="str">
        <f t="shared" si="179"/>
        <v/>
      </c>
      <c r="N444" s="32" t="str">
        <f t="shared" si="180"/>
        <v/>
      </c>
      <c r="O444" s="32" t="str">
        <f t="shared" si="181"/>
        <v/>
      </c>
      <c r="AC444" t="str">
        <f>IFERROR(MATCH(440,$AB$5:$AB$404,1),"")</f>
        <v/>
      </c>
      <c r="AD444" t="str">
        <f>IF(440=$AI$1+1,"Z",IF($AC444="","",IF(INDEX($V$5:$V$404,$AC444)="","",IF(440&gt;INDEX($AB$5:$AB$404,$AC444)+INDEX($Z$5:$Z$404,$AC444)+INDEX($AA$5:$AA$404,$AC444)+INDEX($AO$5:$AO$404,$AC444),"",IF(440=INDEX($AB$5:$AB$404,$AC444)+INDEX($Z$5:$Z$404,$AC444),"D",IF(AND(INDEX($Z$5:$Z$404,$AC444)=1,440=INDEX($AB$5:$AB$404,$AC444)),"H",IF(AND(INDEX($AO$5:$AO$404,$AC444)=1,440=INDEX($AB$5:$AB$404,$AC444)+INDEX($Z$5:$Z$404,$AC444)+INDEX($AA$5:$AA$404,$AC444)+INDEX($AO$5:$AO$404,$AC444)),"B","T")))))))</f>
        <v/>
      </c>
      <c r="AF444" t="str">
        <f t="shared" si="186"/>
        <v/>
      </c>
      <c r="AJ444">
        <f>IF($AD444&lt;&gt;"T",0,ROUND(SUMIF(oil!$B$4:$B$63,$AF444,oil!$AE$4:$AE$63),2))</f>
        <v>0</v>
      </c>
      <c r="AQ444" t="str">
        <f t="shared" si="190"/>
        <v/>
      </c>
      <c r="AZ444">
        <f t="shared" si="193"/>
        <v>0</v>
      </c>
    </row>
    <row r="445" spans="1:52" ht="21" customHeight="1" x14ac:dyDescent="0.95">
      <c r="A445" s="36" t="str">
        <f>IF($AD445="","",IF($AD445="Z","รวมจ่ายทั้งสิ้น",IF($AD445="H",INDEX($X$5:$X$404,$AC445),IF($AD445="T","รวม",IF($AD445="B",IFERROR(INDEX(อัตราค่าขนส่ง!$U$5:$U$14,MATCH(INDEX($AM$5:$AM$404,$AC445),อัตราค่าขนส่ง!$T$5:$T$14,0)),"รวมกลุ่ม "&amp;INDEX($AM$5:$AM$404,$AC445)),INDEX($AY$5:$AY$404,$AC445))))))</f>
        <v/>
      </c>
      <c r="B445" s="31" t="str">
        <f t="shared" si="168"/>
        <v/>
      </c>
      <c r="C445" s="8" t="str">
        <f t="shared" si="169"/>
        <v/>
      </c>
      <c r="D445" s="37" t="str">
        <f t="shared" si="170"/>
        <v/>
      </c>
      <c r="E445" s="31" t="str">
        <f t="shared" si="171"/>
        <v/>
      </c>
      <c r="F445" s="32" t="str">
        <f t="shared" si="172"/>
        <v/>
      </c>
      <c r="G445" s="32" t="str">
        <f t="shared" si="173"/>
        <v/>
      </c>
      <c r="H445" s="32" t="str">
        <f t="shared" si="174"/>
        <v/>
      </c>
      <c r="I445" s="32" t="str">
        <f t="shared" si="175"/>
        <v/>
      </c>
      <c r="J445" s="46" t="str">
        <f t="shared" si="176"/>
        <v/>
      </c>
      <c r="K445" s="32" t="str">
        <f t="shared" si="177"/>
        <v/>
      </c>
      <c r="L445" s="32" t="str">
        <f t="shared" si="178"/>
        <v/>
      </c>
      <c r="M445" s="32" t="str">
        <f t="shared" si="179"/>
        <v/>
      </c>
      <c r="N445" s="32" t="str">
        <f t="shared" si="180"/>
        <v/>
      </c>
      <c r="O445" s="32" t="str">
        <f t="shared" si="181"/>
        <v/>
      </c>
      <c r="AC445" t="str">
        <f>IFERROR(MATCH(441,$AB$5:$AB$404,1),"")</f>
        <v/>
      </c>
      <c r="AD445" t="str">
        <f>IF(441=$AI$1+1,"Z",IF($AC445="","",IF(INDEX($V$5:$V$404,$AC445)="","",IF(441&gt;INDEX($AB$5:$AB$404,$AC445)+INDEX($Z$5:$Z$404,$AC445)+INDEX($AA$5:$AA$404,$AC445)+INDEX($AO$5:$AO$404,$AC445),"",IF(441=INDEX($AB$5:$AB$404,$AC445)+INDEX($Z$5:$Z$404,$AC445),"D",IF(AND(INDEX($Z$5:$Z$404,$AC445)=1,441=INDEX($AB$5:$AB$404,$AC445)),"H",IF(AND(INDEX($AO$5:$AO$404,$AC445)=1,441=INDEX($AB$5:$AB$404,$AC445)+INDEX($Z$5:$Z$404,$AC445)+INDEX($AA$5:$AA$404,$AC445)+INDEX($AO$5:$AO$404,$AC445)),"B","T")))))))</f>
        <v/>
      </c>
      <c r="AF445" t="str">
        <f t="shared" si="186"/>
        <v/>
      </c>
      <c r="AJ445">
        <f>IF($AD445&lt;&gt;"T",0,ROUND(SUMIF(oil!$B$4:$B$63,$AF445,oil!$AE$4:$AE$63),2))</f>
        <v>0</v>
      </c>
      <c r="AQ445" t="str">
        <f t="shared" si="190"/>
        <v/>
      </c>
      <c r="AZ445">
        <f t="shared" si="193"/>
        <v>0</v>
      </c>
    </row>
    <row r="446" spans="1:52" ht="21" customHeight="1" x14ac:dyDescent="0.95">
      <c r="A446" s="36" t="str">
        <f>IF($AD446="","",IF($AD446="Z","รวมจ่ายทั้งสิ้น",IF($AD446="H",INDEX($X$5:$X$404,$AC446),IF($AD446="T","รวม",IF($AD446="B",IFERROR(INDEX(อัตราค่าขนส่ง!$U$5:$U$14,MATCH(INDEX($AM$5:$AM$404,$AC446),อัตราค่าขนส่ง!$T$5:$T$14,0)),"รวมกลุ่ม "&amp;INDEX($AM$5:$AM$404,$AC446)),INDEX($AY$5:$AY$404,$AC446))))))</f>
        <v/>
      </c>
      <c r="B446" s="31" t="str">
        <f t="shared" si="168"/>
        <v/>
      </c>
      <c r="C446" s="8" t="str">
        <f t="shared" si="169"/>
        <v/>
      </c>
      <c r="D446" s="37" t="str">
        <f t="shared" si="170"/>
        <v/>
      </c>
      <c r="E446" s="31" t="str">
        <f t="shared" si="171"/>
        <v/>
      </c>
      <c r="F446" s="32" t="str">
        <f t="shared" si="172"/>
        <v/>
      </c>
      <c r="G446" s="32" t="str">
        <f t="shared" si="173"/>
        <v/>
      </c>
      <c r="H446" s="32" t="str">
        <f t="shared" si="174"/>
        <v/>
      </c>
      <c r="I446" s="32" t="str">
        <f t="shared" si="175"/>
        <v/>
      </c>
      <c r="J446" s="46" t="str">
        <f t="shared" si="176"/>
        <v/>
      </c>
      <c r="K446" s="32" t="str">
        <f t="shared" si="177"/>
        <v/>
      </c>
      <c r="L446" s="32" t="str">
        <f t="shared" si="178"/>
        <v/>
      </c>
      <c r="M446" s="32" t="str">
        <f t="shared" si="179"/>
        <v/>
      </c>
      <c r="N446" s="32" t="str">
        <f t="shared" si="180"/>
        <v/>
      </c>
      <c r="O446" s="32" t="str">
        <f t="shared" si="181"/>
        <v/>
      </c>
      <c r="AC446" t="str">
        <f>IFERROR(MATCH(442,$AB$5:$AB$404,1),"")</f>
        <v/>
      </c>
      <c r="AD446" t="str">
        <f>IF(442=$AI$1+1,"Z",IF($AC446="","",IF(INDEX($V$5:$V$404,$AC446)="","",IF(442&gt;INDEX($AB$5:$AB$404,$AC446)+INDEX($Z$5:$Z$404,$AC446)+INDEX($AA$5:$AA$404,$AC446)+INDEX($AO$5:$AO$404,$AC446),"",IF(442=INDEX($AB$5:$AB$404,$AC446)+INDEX($Z$5:$Z$404,$AC446),"D",IF(AND(INDEX($Z$5:$Z$404,$AC446)=1,442=INDEX($AB$5:$AB$404,$AC446)),"H",IF(AND(INDEX($AO$5:$AO$404,$AC446)=1,442=INDEX($AB$5:$AB$404,$AC446)+INDEX($Z$5:$Z$404,$AC446)+INDEX($AA$5:$AA$404,$AC446)+INDEX($AO$5:$AO$404,$AC446)),"B","T")))))))</f>
        <v/>
      </c>
      <c r="AF446" t="str">
        <f t="shared" si="186"/>
        <v/>
      </c>
      <c r="AJ446">
        <f>IF($AD446&lt;&gt;"T",0,ROUND(SUMIF(oil!$B$4:$B$63,$AF446,oil!$AE$4:$AE$63),2))</f>
        <v>0</v>
      </c>
      <c r="AQ446" t="str">
        <f t="shared" si="190"/>
        <v/>
      </c>
      <c r="AZ446">
        <f t="shared" si="193"/>
        <v>0</v>
      </c>
    </row>
    <row r="447" spans="1:52" ht="21" customHeight="1" x14ac:dyDescent="0.95">
      <c r="A447" s="36" t="str">
        <f>IF($AD447="","",IF($AD447="Z","รวมจ่ายทั้งสิ้น",IF($AD447="H",INDEX($X$5:$X$404,$AC447),IF($AD447="T","รวม",IF($AD447="B",IFERROR(INDEX(อัตราค่าขนส่ง!$U$5:$U$14,MATCH(INDEX($AM$5:$AM$404,$AC447),อัตราค่าขนส่ง!$T$5:$T$14,0)),"รวมกลุ่ม "&amp;INDEX($AM$5:$AM$404,$AC447)),INDEX($AY$5:$AY$404,$AC447))))))</f>
        <v/>
      </c>
      <c r="B447" s="31" t="str">
        <f t="shared" si="168"/>
        <v/>
      </c>
      <c r="C447" s="8" t="str">
        <f t="shared" si="169"/>
        <v/>
      </c>
      <c r="D447" s="37" t="str">
        <f t="shared" si="170"/>
        <v/>
      </c>
      <c r="E447" s="31" t="str">
        <f t="shared" si="171"/>
        <v/>
      </c>
      <c r="F447" s="32" t="str">
        <f t="shared" si="172"/>
        <v/>
      </c>
      <c r="G447" s="32" t="str">
        <f t="shared" si="173"/>
        <v/>
      </c>
      <c r="H447" s="32" t="str">
        <f t="shared" si="174"/>
        <v/>
      </c>
      <c r="I447" s="32" t="str">
        <f t="shared" si="175"/>
        <v/>
      </c>
      <c r="J447" s="46" t="str">
        <f t="shared" si="176"/>
        <v/>
      </c>
      <c r="K447" s="32" t="str">
        <f t="shared" si="177"/>
        <v/>
      </c>
      <c r="L447" s="32" t="str">
        <f t="shared" si="178"/>
        <v/>
      </c>
      <c r="M447" s="32" t="str">
        <f t="shared" si="179"/>
        <v/>
      </c>
      <c r="N447" s="32" t="str">
        <f t="shared" si="180"/>
        <v/>
      </c>
      <c r="O447" s="32" t="str">
        <f t="shared" si="181"/>
        <v/>
      </c>
      <c r="AC447" t="str">
        <f>IFERROR(MATCH(443,$AB$5:$AB$404,1),"")</f>
        <v/>
      </c>
      <c r="AD447" t="str">
        <f>IF(443=$AI$1+1,"Z",IF($AC447="","",IF(INDEX($V$5:$V$404,$AC447)="","",IF(443&gt;INDEX($AB$5:$AB$404,$AC447)+INDEX($Z$5:$Z$404,$AC447)+INDEX($AA$5:$AA$404,$AC447)+INDEX($AO$5:$AO$404,$AC447),"",IF(443=INDEX($AB$5:$AB$404,$AC447)+INDEX($Z$5:$Z$404,$AC447),"D",IF(AND(INDEX($Z$5:$Z$404,$AC447)=1,443=INDEX($AB$5:$AB$404,$AC447)),"H",IF(AND(INDEX($AO$5:$AO$404,$AC447)=1,443=INDEX($AB$5:$AB$404,$AC447)+INDEX($Z$5:$Z$404,$AC447)+INDEX($AA$5:$AA$404,$AC447)+INDEX($AO$5:$AO$404,$AC447)),"B","T")))))))</f>
        <v/>
      </c>
      <c r="AF447" t="str">
        <f t="shared" si="186"/>
        <v/>
      </c>
      <c r="AJ447">
        <f>IF($AD447&lt;&gt;"T",0,ROUND(SUMIF(oil!$B$4:$B$63,$AF447,oil!$AE$4:$AE$63),2))</f>
        <v>0</v>
      </c>
      <c r="AQ447" t="str">
        <f t="shared" si="190"/>
        <v/>
      </c>
      <c r="AZ447">
        <f t="shared" si="193"/>
        <v>0</v>
      </c>
    </row>
    <row r="448" spans="1:52" ht="21" customHeight="1" x14ac:dyDescent="0.95">
      <c r="A448" s="36" t="str">
        <f>IF($AD448="","",IF($AD448="Z","รวมจ่ายทั้งสิ้น",IF($AD448="H",INDEX($X$5:$X$404,$AC448),IF($AD448="T","รวม",IF($AD448="B",IFERROR(INDEX(อัตราค่าขนส่ง!$U$5:$U$14,MATCH(INDEX($AM$5:$AM$404,$AC448),อัตราค่าขนส่ง!$T$5:$T$14,0)),"รวมกลุ่ม "&amp;INDEX($AM$5:$AM$404,$AC448)),INDEX($AY$5:$AY$404,$AC448))))))</f>
        <v/>
      </c>
      <c r="B448" s="31" t="str">
        <f t="shared" si="168"/>
        <v/>
      </c>
      <c r="C448" s="8" t="str">
        <f t="shared" si="169"/>
        <v/>
      </c>
      <c r="D448" s="37" t="str">
        <f t="shared" si="170"/>
        <v/>
      </c>
      <c r="E448" s="31" t="str">
        <f t="shared" si="171"/>
        <v/>
      </c>
      <c r="F448" s="32" t="str">
        <f t="shared" si="172"/>
        <v/>
      </c>
      <c r="G448" s="32" t="str">
        <f t="shared" si="173"/>
        <v/>
      </c>
      <c r="H448" s="32" t="str">
        <f t="shared" si="174"/>
        <v/>
      </c>
      <c r="I448" s="32" t="str">
        <f t="shared" si="175"/>
        <v/>
      </c>
      <c r="J448" s="46" t="str">
        <f t="shared" si="176"/>
        <v/>
      </c>
      <c r="K448" s="32" t="str">
        <f t="shared" si="177"/>
        <v/>
      </c>
      <c r="L448" s="32" t="str">
        <f t="shared" si="178"/>
        <v/>
      </c>
      <c r="M448" s="32" t="str">
        <f t="shared" si="179"/>
        <v/>
      </c>
      <c r="N448" s="32" t="str">
        <f t="shared" si="180"/>
        <v/>
      </c>
      <c r="O448" s="32" t="str">
        <f t="shared" si="181"/>
        <v/>
      </c>
      <c r="AC448" t="str">
        <f>IFERROR(MATCH(444,$AB$5:$AB$404,1),"")</f>
        <v/>
      </c>
      <c r="AD448" t="str">
        <f>IF(444=$AI$1+1,"Z",IF($AC448="","",IF(INDEX($V$5:$V$404,$AC448)="","",IF(444&gt;INDEX($AB$5:$AB$404,$AC448)+INDEX($Z$5:$Z$404,$AC448)+INDEX($AA$5:$AA$404,$AC448)+INDEX($AO$5:$AO$404,$AC448),"",IF(444=INDEX($AB$5:$AB$404,$AC448)+INDEX($Z$5:$Z$404,$AC448),"D",IF(AND(INDEX($Z$5:$Z$404,$AC448)=1,444=INDEX($AB$5:$AB$404,$AC448)),"H",IF(AND(INDEX($AO$5:$AO$404,$AC448)=1,444=INDEX($AB$5:$AB$404,$AC448)+INDEX($Z$5:$Z$404,$AC448)+INDEX($AA$5:$AA$404,$AC448)+INDEX($AO$5:$AO$404,$AC448)),"B","T")))))))</f>
        <v/>
      </c>
      <c r="AF448" t="str">
        <f t="shared" si="186"/>
        <v/>
      </c>
      <c r="AJ448">
        <f>IF($AD448&lt;&gt;"T",0,ROUND(SUMIF(oil!$B$4:$B$63,$AF448,oil!$AE$4:$AE$63),2))</f>
        <v>0</v>
      </c>
      <c r="AQ448" t="str">
        <f t="shared" si="190"/>
        <v/>
      </c>
      <c r="AZ448">
        <f t="shared" si="193"/>
        <v>0</v>
      </c>
    </row>
    <row r="449" spans="1:52" ht="21" customHeight="1" x14ac:dyDescent="0.95">
      <c r="A449" s="36" t="str">
        <f>IF($AD449="","",IF($AD449="Z","รวมจ่ายทั้งสิ้น",IF($AD449="H",INDEX($X$5:$X$404,$AC449),IF($AD449="T","รวม",IF($AD449="B",IFERROR(INDEX(อัตราค่าขนส่ง!$U$5:$U$14,MATCH(INDEX($AM$5:$AM$404,$AC449),อัตราค่าขนส่ง!$T$5:$T$14,0)),"รวมกลุ่ม "&amp;INDEX($AM$5:$AM$404,$AC449)),INDEX($AY$5:$AY$404,$AC449))))))</f>
        <v/>
      </c>
      <c r="B449" s="31" t="str">
        <f t="shared" si="168"/>
        <v/>
      </c>
      <c r="C449" s="8" t="str">
        <f t="shared" si="169"/>
        <v/>
      </c>
      <c r="D449" s="37" t="str">
        <f t="shared" si="170"/>
        <v/>
      </c>
      <c r="E449" s="31" t="str">
        <f t="shared" si="171"/>
        <v/>
      </c>
      <c r="F449" s="32" t="str">
        <f t="shared" si="172"/>
        <v/>
      </c>
      <c r="G449" s="32" t="str">
        <f t="shared" si="173"/>
        <v/>
      </c>
      <c r="H449" s="32" t="str">
        <f t="shared" si="174"/>
        <v/>
      </c>
      <c r="I449" s="32" t="str">
        <f t="shared" si="175"/>
        <v/>
      </c>
      <c r="J449" s="46" t="str">
        <f t="shared" si="176"/>
        <v/>
      </c>
      <c r="K449" s="32" t="str">
        <f t="shared" si="177"/>
        <v/>
      </c>
      <c r="L449" s="32" t="str">
        <f t="shared" si="178"/>
        <v/>
      </c>
      <c r="M449" s="32" t="str">
        <f t="shared" si="179"/>
        <v/>
      </c>
      <c r="N449" s="32" t="str">
        <f t="shared" si="180"/>
        <v/>
      </c>
      <c r="O449" s="32" t="str">
        <f t="shared" si="181"/>
        <v/>
      </c>
      <c r="AC449" t="str">
        <f>IFERROR(MATCH(445,$AB$5:$AB$404,1),"")</f>
        <v/>
      </c>
      <c r="AD449" t="str">
        <f>IF(445=$AI$1+1,"Z",IF($AC449="","",IF(INDEX($V$5:$V$404,$AC449)="","",IF(445&gt;INDEX($AB$5:$AB$404,$AC449)+INDEX($Z$5:$Z$404,$AC449)+INDEX($AA$5:$AA$404,$AC449)+INDEX($AO$5:$AO$404,$AC449),"",IF(445=INDEX($AB$5:$AB$404,$AC449)+INDEX($Z$5:$Z$404,$AC449),"D",IF(AND(INDEX($Z$5:$Z$404,$AC449)=1,445=INDEX($AB$5:$AB$404,$AC449)),"H",IF(AND(INDEX($AO$5:$AO$404,$AC449)=1,445=INDEX($AB$5:$AB$404,$AC449)+INDEX($Z$5:$Z$404,$AC449)+INDEX($AA$5:$AA$404,$AC449)+INDEX($AO$5:$AO$404,$AC449)),"B","T")))))))</f>
        <v/>
      </c>
      <c r="AF449" t="str">
        <f t="shared" si="186"/>
        <v/>
      </c>
      <c r="AJ449">
        <f>IF($AD449&lt;&gt;"T",0,ROUND(SUMIF(oil!$B$4:$B$63,$AF449,oil!$AE$4:$AE$63),2))</f>
        <v>0</v>
      </c>
      <c r="AQ449" t="str">
        <f t="shared" si="190"/>
        <v/>
      </c>
      <c r="AZ449">
        <f t="shared" si="193"/>
        <v>0</v>
      </c>
    </row>
    <row r="450" spans="1:52" ht="21" customHeight="1" x14ac:dyDescent="0.95">
      <c r="A450" s="36" t="str">
        <f>IF($AD450="","",IF($AD450="Z","รวมจ่ายทั้งสิ้น",IF($AD450="H",INDEX($X$5:$X$404,$AC450),IF($AD450="T","รวม",IF($AD450="B",IFERROR(INDEX(อัตราค่าขนส่ง!$U$5:$U$14,MATCH(INDEX($AM$5:$AM$404,$AC450),อัตราค่าขนส่ง!$T$5:$T$14,0)),"รวมกลุ่ม "&amp;INDEX($AM$5:$AM$404,$AC450)),INDEX($AY$5:$AY$404,$AC450))))))</f>
        <v/>
      </c>
      <c r="B450" s="31" t="str">
        <f t="shared" si="168"/>
        <v/>
      </c>
      <c r="C450" s="8" t="str">
        <f t="shared" si="169"/>
        <v/>
      </c>
      <c r="D450" s="37" t="str">
        <f t="shared" si="170"/>
        <v/>
      </c>
      <c r="E450" s="31" t="str">
        <f t="shared" si="171"/>
        <v/>
      </c>
      <c r="F450" s="32" t="str">
        <f t="shared" si="172"/>
        <v/>
      </c>
      <c r="G450" s="32" t="str">
        <f t="shared" si="173"/>
        <v/>
      </c>
      <c r="H450" s="32" t="str">
        <f t="shared" si="174"/>
        <v/>
      </c>
      <c r="I450" s="32" t="str">
        <f t="shared" si="175"/>
        <v/>
      </c>
      <c r="J450" s="46" t="str">
        <f t="shared" si="176"/>
        <v/>
      </c>
      <c r="K450" s="32" t="str">
        <f t="shared" si="177"/>
        <v/>
      </c>
      <c r="L450" s="32" t="str">
        <f t="shared" si="178"/>
        <v/>
      </c>
      <c r="M450" s="32" t="str">
        <f t="shared" si="179"/>
        <v/>
      </c>
      <c r="N450" s="32" t="str">
        <f t="shared" si="180"/>
        <v/>
      </c>
      <c r="O450" s="32" t="str">
        <f t="shared" si="181"/>
        <v/>
      </c>
      <c r="AC450" t="str">
        <f>IFERROR(MATCH(446,$AB$5:$AB$404,1),"")</f>
        <v/>
      </c>
      <c r="AD450" t="str">
        <f>IF(446=$AI$1+1,"Z",IF($AC450="","",IF(INDEX($V$5:$V$404,$AC450)="","",IF(446&gt;INDEX($AB$5:$AB$404,$AC450)+INDEX($Z$5:$Z$404,$AC450)+INDEX($AA$5:$AA$404,$AC450)+INDEX($AO$5:$AO$404,$AC450),"",IF(446=INDEX($AB$5:$AB$404,$AC450)+INDEX($Z$5:$Z$404,$AC450),"D",IF(AND(INDEX($Z$5:$Z$404,$AC450)=1,446=INDEX($AB$5:$AB$404,$AC450)),"H",IF(AND(INDEX($AO$5:$AO$404,$AC450)=1,446=INDEX($AB$5:$AB$404,$AC450)+INDEX($Z$5:$Z$404,$AC450)+INDEX($AA$5:$AA$404,$AC450)+INDEX($AO$5:$AO$404,$AC450)),"B","T")))))))</f>
        <v/>
      </c>
      <c r="AF450" t="str">
        <f t="shared" si="186"/>
        <v/>
      </c>
      <c r="AJ450">
        <f>IF($AD450&lt;&gt;"T",0,ROUND(SUMIF(oil!$B$4:$B$63,$AF450,oil!$AE$4:$AE$63),2))</f>
        <v>0</v>
      </c>
      <c r="AQ450" t="str">
        <f t="shared" si="190"/>
        <v/>
      </c>
      <c r="AZ450">
        <f t="shared" si="193"/>
        <v>0</v>
      </c>
    </row>
    <row r="451" spans="1:52" ht="21" customHeight="1" x14ac:dyDescent="0.95">
      <c r="A451" s="36" t="str">
        <f>IF($AD451="","",IF($AD451="Z","รวมจ่ายทั้งสิ้น",IF($AD451="H",INDEX($X$5:$X$404,$AC451),IF($AD451="T","รวม",IF($AD451="B",IFERROR(INDEX(อัตราค่าขนส่ง!$U$5:$U$14,MATCH(INDEX($AM$5:$AM$404,$AC451),อัตราค่าขนส่ง!$T$5:$T$14,0)),"รวมกลุ่ม "&amp;INDEX($AM$5:$AM$404,$AC451)),INDEX($AY$5:$AY$404,$AC451))))))</f>
        <v/>
      </c>
      <c r="B451" s="31" t="str">
        <f t="shared" si="168"/>
        <v/>
      </c>
      <c r="C451" s="8" t="str">
        <f t="shared" si="169"/>
        <v/>
      </c>
      <c r="D451" s="37" t="str">
        <f t="shared" si="170"/>
        <v/>
      </c>
      <c r="E451" s="31" t="str">
        <f t="shared" si="171"/>
        <v/>
      </c>
      <c r="F451" s="32" t="str">
        <f t="shared" si="172"/>
        <v/>
      </c>
      <c r="G451" s="32" t="str">
        <f t="shared" si="173"/>
        <v/>
      </c>
      <c r="H451" s="32" t="str">
        <f t="shared" si="174"/>
        <v/>
      </c>
      <c r="I451" s="32" t="str">
        <f t="shared" si="175"/>
        <v/>
      </c>
      <c r="J451" s="46" t="str">
        <f t="shared" si="176"/>
        <v/>
      </c>
      <c r="K451" s="32" t="str">
        <f t="shared" si="177"/>
        <v/>
      </c>
      <c r="L451" s="32" t="str">
        <f t="shared" si="178"/>
        <v/>
      </c>
      <c r="M451" s="32" t="str">
        <f t="shared" si="179"/>
        <v/>
      </c>
      <c r="N451" s="32" t="str">
        <f t="shared" si="180"/>
        <v/>
      </c>
      <c r="O451" s="32" t="str">
        <f t="shared" si="181"/>
        <v/>
      </c>
      <c r="AC451" t="str">
        <f>IFERROR(MATCH(447,$AB$5:$AB$404,1),"")</f>
        <v/>
      </c>
      <c r="AD451" t="str">
        <f>IF(447=$AI$1+1,"Z",IF($AC451="","",IF(INDEX($V$5:$V$404,$AC451)="","",IF(447&gt;INDEX($AB$5:$AB$404,$AC451)+INDEX($Z$5:$Z$404,$AC451)+INDEX($AA$5:$AA$404,$AC451)+INDEX($AO$5:$AO$404,$AC451),"",IF(447=INDEX($AB$5:$AB$404,$AC451)+INDEX($Z$5:$Z$404,$AC451),"D",IF(AND(INDEX($Z$5:$Z$404,$AC451)=1,447=INDEX($AB$5:$AB$404,$AC451)),"H",IF(AND(INDEX($AO$5:$AO$404,$AC451)=1,447=INDEX($AB$5:$AB$404,$AC451)+INDEX($Z$5:$Z$404,$AC451)+INDEX($AA$5:$AA$404,$AC451)+INDEX($AO$5:$AO$404,$AC451)),"B","T")))))))</f>
        <v/>
      </c>
      <c r="AF451" t="str">
        <f t="shared" si="186"/>
        <v/>
      </c>
      <c r="AJ451">
        <f>IF($AD451&lt;&gt;"T",0,ROUND(SUMIF(oil!$B$4:$B$63,$AF451,oil!$AE$4:$AE$63),2))</f>
        <v>0</v>
      </c>
      <c r="AQ451" t="str">
        <f t="shared" si="190"/>
        <v/>
      </c>
      <c r="AZ451">
        <f t="shared" si="193"/>
        <v>0</v>
      </c>
    </row>
    <row r="452" spans="1:52" ht="21" customHeight="1" x14ac:dyDescent="0.95">
      <c r="A452" s="36" t="str">
        <f>IF($AD452="","",IF($AD452="Z","รวมจ่ายทั้งสิ้น",IF($AD452="H",INDEX($X$5:$X$404,$AC452),IF($AD452="T","รวม",IF($AD452="B",IFERROR(INDEX(อัตราค่าขนส่ง!$U$5:$U$14,MATCH(INDEX($AM$5:$AM$404,$AC452),อัตราค่าขนส่ง!$T$5:$T$14,0)),"รวมกลุ่ม "&amp;INDEX($AM$5:$AM$404,$AC452)),INDEX($AY$5:$AY$404,$AC452))))))</f>
        <v/>
      </c>
      <c r="B452" s="31" t="str">
        <f t="shared" si="168"/>
        <v/>
      </c>
      <c r="C452" s="8" t="str">
        <f t="shared" si="169"/>
        <v/>
      </c>
      <c r="D452" s="37" t="str">
        <f t="shared" si="170"/>
        <v/>
      </c>
      <c r="E452" s="31" t="str">
        <f t="shared" si="171"/>
        <v/>
      </c>
      <c r="F452" s="32" t="str">
        <f t="shared" si="172"/>
        <v/>
      </c>
      <c r="G452" s="32" t="str">
        <f t="shared" si="173"/>
        <v/>
      </c>
      <c r="H452" s="32" t="str">
        <f t="shared" si="174"/>
        <v/>
      </c>
      <c r="I452" s="32" t="str">
        <f t="shared" si="175"/>
        <v/>
      </c>
      <c r="J452" s="46" t="str">
        <f t="shared" si="176"/>
        <v/>
      </c>
      <c r="K452" s="32" t="str">
        <f t="shared" si="177"/>
        <v/>
      </c>
      <c r="L452" s="32" t="str">
        <f t="shared" si="178"/>
        <v/>
      </c>
      <c r="M452" s="32" t="str">
        <f t="shared" si="179"/>
        <v/>
      </c>
      <c r="N452" s="32" t="str">
        <f t="shared" si="180"/>
        <v/>
      </c>
      <c r="O452" s="32" t="str">
        <f t="shared" si="181"/>
        <v/>
      </c>
      <c r="AC452" t="str">
        <f>IFERROR(MATCH(448,$AB$5:$AB$404,1),"")</f>
        <v/>
      </c>
      <c r="AD452" t="str">
        <f>IF(448=$AI$1+1,"Z",IF($AC452="","",IF(INDEX($V$5:$V$404,$AC452)="","",IF(448&gt;INDEX($AB$5:$AB$404,$AC452)+INDEX($Z$5:$Z$404,$AC452)+INDEX($AA$5:$AA$404,$AC452)+INDEX($AO$5:$AO$404,$AC452),"",IF(448=INDEX($AB$5:$AB$404,$AC452)+INDEX($Z$5:$Z$404,$AC452),"D",IF(AND(INDEX($Z$5:$Z$404,$AC452)=1,448=INDEX($AB$5:$AB$404,$AC452)),"H",IF(AND(INDEX($AO$5:$AO$404,$AC452)=1,448=INDEX($AB$5:$AB$404,$AC452)+INDEX($Z$5:$Z$404,$AC452)+INDEX($AA$5:$AA$404,$AC452)+INDEX($AO$5:$AO$404,$AC452)),"B","T")))))))</f>
        <v/>
      </c>
      <c r="AF452" t="str">
        <f t="shared" si="186"/>
        <v/>
      </c>
      <c r="AJ452">
        <f>IF($AD452&lt;&gt;"T",0,ROUND(SUMIF(oil!$B$4:$B$63,$AF452,oil!$AE$4:$AE$63),2))</f>
        <v>0</v>
      </c>
      <c r="AQ452" t="str">
        <f t="shared" si="190"/>
        <v/>
      </c>
      <c r="AZ452">
        <f t="shared" si="193"/>
        <v>0</v>
      </c>
    </row>
    <row r="453" spans="1:52" ht="21" customHeight="1" x14ac:dyDescent="0.95">
      <c r="A453" s="36" t="str">
        <f>IF($AD453="","",IF($AD453="Z","รวมจ่ายทั้งสิ้น",IF($AD453="H",INDEX($X$5:$X$404,$AC453),IF($AD453="T","รวม",IF($AD453="B",IFERROR(INDEX(อัตราค่าขนส่ง!$U$5:$U$14,MATCH(INDEX($AM$5:$AM$404,$AC453),อัตราค่าขนส่ง!$T$5:$T$14,0)),"รวมกลุ่ม "&amp;INDEX($AM$5:$AM$404,$AC453)),INDEX($AY$5:$AY$404,$AC453))))))</f>
        <v/>
      </c>
      <c r="B453" s="31" t="str">
        <f t="shared" ref="B453:B516" si="196">IF($AD453&lt;&gt;"D","",INDEX($AW$5:$AW$404,$AC453))</f>
        <v/>
      </c>
      <c r="C453" s="8" t="str">
        <f t="shared" ref="C453:C516" si="197">IF($AD453&lt;&gt;"D","",INDEX($AX$5:$AX$404,$AC453))</f>
        <v/>
      </c>
      <c r="D453" s="37" t="str">
        <f t="shared" ref="D453:D516" si="198">IF($AD453&lt;&gt;"D","",INDEX($BA$5:$BA$404,$AC453))</f>
        <v/>
      </c>
      <c r="E453" s="31" t="str">
        <f t="shared" ref="E453:E516" si="199">IF($AD453="Z",SUM($AR$5:$AR$404),IF($AD453="D",INDEX($AR$5:$AR$404,$AC453),IF($AD453="T",SUMIF($X$5:$X$404,$AF453,$AR$5:$AR$404),IF($AD453="B",SUMIF($AN$5:$AN$404,$AQ453,$AR$5:$AR$404),""))))</f>
        <v/>
      </c>
      <c r="F453" s="32" t="str">
        <f t="shared" ref="F453:F516" si="200">IF($AD453="Z",ROUND(SUM($AS$5:$AS$404),2),IF($AD453="D",INDEX($AS$5:$AS$404,$AC453),IF($AD453="T",ROUND(SUMIF($X$5:$X$404,$AF453,$AS$5:$AS$404),2),IF($AD453="B",ROUND(SUMIF($AN$5:$AN$404,$AQ453,$AS$5:$AS$404),2),""))))</f>
        <v/>
      </c>
      <c r="G453" s="32" t="str">
        <f t="shared" ref="G453:G516" si="201">IF($AD453&lt;&gt;"D","",INDEX($AT$5:$AT$404,$AC453))</f>
        <v/>
      </c>
      <c r="H453" s="32" t="str">
        <f t="shared" ref="H453:H516" si="202">IF($AD453&lt;&gt;"D","",INDEX($BC$5:$BC$404,$AC453))</f>
        <v/>
      </c>
      <c r="I453" s="32" t="str">
        <f t="shared" ref="I453:I516" si="203">IF($AD453&lt;&gt;"D","",INDEX($BD$5:$BD$404,$AC453))</f>
        <v/>
      </c>
      <c r="J453" s="46" t="str">
        <f t="shared" ref="J453:J516" si="204">IF($AD453&lt;&gt;"D","",IF(N($B453)=0,"",ROUND($I453/$B453,4)))</f>
        <v/>
      </c>
      <c r="K453" s="32" t="str">
        <f t="shared" ref="K453:K516" si="205">IF($AD453="Z",ROUND(SUM($AU$5:$AU$404),2),IF($AD453="D",INDEX($AU$5:$AU$404,$AC453),IF($AD453="T",ROUND(SUMIF($X$5:$X$404,$AF453,$AU$5:$AU$404),2),IF($AD453="B",ROUND(SUMIF($AN$5:$AN$404,$AQ453,$AU$5:$AU$404),2),""))))</f>
        <v/>
      </c>
      <c r="L453" s="32" t="str">
        <f t="shared" ref="L453:L516" si="206">IF($AD453="Z",ROUND(SUM($AV$5:$AV$404),2),IF($AD453="D",INDEX($AV$5:$AV$404,$AC453),IF($AD453="T",ROUND(SUMIF($X$5:$X$404,$AF453,$AV$5:$AV$404),2),IF($AD453="B",ROUND(SUMIF($AN$5:$AN$404,$AQ453,$AV$5:$AV$404),2),""))))</f>
        <v/>
      </c>
      <c r="M453" s="32" t="str">
        <f t="shared" ref="M453:M516" si="207">IF($AD453="Z",ROUND(SUM($AJ$5:$AJ$704),2),IF($AD453="B",ROUND(SUMIF($AQ$5:$AQ$704,$AQ453,$AJ$5:$AJ$704),2),IF($AD453&lt;&gt;"T","",$AJ453)))</f>
        <v/>
      </c>
      <c r="N453" s="32" t="str">
        <f t="shared" ref="N453:N516" si="208">IF(OR($AD453="D",$AD453="T",$AD453="B",$AD453="Z"),ROUND(N($K453)-N($L453)-N($M453),2),"")</f>
        <v/>
      </c>
      <c r="O453" s="32" t="str">
        <f t="shared" ref="O453:O516" si="209">IF(OR($AD453="D",$AD453="T",$AD453="B",$AD453="Z"),IF(N($E453)=0,"",ROUND($F453/$E453,2)),"")</f>
        <v/>
      </c>
      <c r="AC453" t="str">
        <f>IFERROR(MATCH(449,$AB$5:$AB$404,1),"")</f>
        <v/>
      </c>
      <c r="AD453" t="str">
        <f>IF(449=$AI$1+1,"Z",IF($AC453="","",IF(INDEX($V$5:$V$404,$AC453)="","",IF(449&gt;INDEX($AB$5:$AB$404,$AC453)+INDEX($Z$5:$Z$404,$AC453)+INDEX($AA$5:$AA$404,$AC453)+INDEX($AO$5:$AO$404,$AC453),"",IF(449=INDEX($AB$5:$AB$404,$AC453)+INDEX($Z$5:$Z$404,$AC453),"D",IF(AND(INDEX($Z$5:$Z$404,$AC453)=1,449=INDEX($AB$5:$AB$404,$AC453)),"H",IF(AND(INDEX($AO$5:$AO$404,$AC453)=1,449=INDEX($AB$5:$AB$404,$AC453)+INDEX($Z$5:$Z$404,$AC453)+INDEX($AA$5:$AA$404,$AC453)+INDEX($AO$5:$AO$404,$AC453)),"B","T")))))))</f>
        <v/>
      </c>
      <c r="AF453" t="str">
        <f t="shared" ref="AF453:AF516" si="210">IF(OR($AD453="",$AD453="Z",$AD453="B"),"",INDEX($X$5:$X$404,$AC453))</f>
        <v/>
      </c>
      <c r="AJ453">
        <f>IF($AD453&lt;&gt;"T",0,ROUND(SUMIF(oil!$B$4:$B$63,$AF453,oil!$AE$4:$AE$63),2))</f>
        <v>0</v>
      </c>
      <c r="AQ453" t="str">
        <f t="shared" ref="AQ453:AQ516" si="211">IF(OR($AD453="",$AD453="Z"),"",INDEX($AN$5:$AN$404,$AC453))</f>
        <v/>
      </c>
      <c r="AZ453">
        <f t="shared" ref="AZ453:AZ516" si="212">IF(AND($AD453="T",$AQ453=1),N($AZ452)+1,N($AZ452))</f>
        <v>0</v>
      </c>
    </row>
    <row r="454" spans="1:52" ht="21" customHeight="1" x14ac:dyDescent="0.95">
      <c r="A454" s="36" t="str">
        <f>IF($AD454="","",IF($AD454="Z","รวมจ่ายทั้งสิ้น",IF($AD454="H",INDEX($X$5:$X$404,$AC454),IF($AD454="T","รวม",IF($AD454="B",IFERROR(INDEX(อัตราค่าขนส่ง!$U$5:$U$14,MATCH(INDEX($AM$5:$AM$404,$AC454),อัตราค่าขนส่ง!$T$5:$T$14,0)),"รวมกลุ่ม "&amp;INDEX($AM$5:$AM$404,$AC454)),INDEX($AY$5:$AY$404,$AC454))))))</f>
        <v/>
      </c>
      <c r="B454" s="31" t="str">
        <f t="shared" si="196"/>
        <v/>
      </c>
      <c r="C454" s="8" t="str">
        <f t="shared" si="197"/>
        <v/>
      </c>
      <c r="D454" s="37" t="str">
        <f t="shared" si="198"/>
        <v/>
      </c>
      <c r="E454" s="31" t="str">
        <f t="shared" si="199"/>
        <v/>
      </c>
      <c r="F454" s="32" t="str">
        <f t="shared" si="200"/>
        <v/>
      </c>
      <c r="G454" s="32" t="str">
        <f t="shared" si="201"/>
        <v/>
      </c>
      <c r="H454" s="32" t="str">
        <f t="shared" si="202"/>
        <v/>
      </c>
      <c r="I454" s="32" t="str">
        <f t="shared" si="203"/>
        <v/>
      </c>
      <c r="J454" s="46" t="str">
        <f t="shared" si="204"/>
        <v/>
      </c>
      <c r="K454" s="32" t="str">
        <f t="shared" si="205"/>
        <v/>
      </c>
      <c r="L454" s="32" t="str">
        <f t="shared" si="206"/>
        <v/>
      </c>
      <c r="M454" s="32" t="str">
        <f t="shared" si="207"/>
        <v/>
      </c>
      <c r="N454" s="32" t="str">
        <f t="shared" si="208"/>
        <v/>
      </c>
      <c r="O454" s="32" t="str">
        <f t="shared" si="209"/>
        <v/>
      </c>
      <c r="AC454" t="str">
        <f>IFERROR(MATCH(450,$AB$5:$AB$404,1),"")</f>
        <v/>
      </c>
      <c r="AD454" t="str">
        <f>IF(450=$AI$1+1,"Z",IF($AC454="","",IF(INDEX($V$5:$V$404,$AC454)="","",IF(450&gt;INDEX($AB$5:$AB$404,$AC454)+INDEX($Z$5:$Z$404,$AC454)+INDEX($AA$5:$AA$404,$AC454)+INDEX($AO$5:$AO$404,$AC454),"",IF(450=INDEX($AB$5:$AB$404,$AC454)+INDEX($Z$5:$Z$404,$AC454),"D",IF(AND(INDEX($Z$5:$Z$404,$AC454)=1,450=INDEX($AB$5:$AB$404,$AC454)),"H",IF(AND(INDEX($AO$5:$AO$404,$AC454)=1,450=INDEX($AB$5:$AB$404,$AC454)+INDEX($Z$5:$Z$404,$AC454)+INDEX($AA$5:$AA$404,$AC454)+INDEX($AO$5:$AO$404,$AC454)),"B","T")))))))</f>
        <v/>
      </c>
      <c r="AF454" t="str">
        <f t="shared" si="210"/>
        <v/>
      </c>
      <c r="AJ454">
        <f>IF($AD454&lt;&gt;"T",0,ROUND(SUMIF(oil!$B$4:$B$63,$AF454,oil!$AE$4:$AE$63),2))</f>
        <v>0</v>
      </c>
      <c r="AQ454" t="str">
        <f t="shared" si="211"/>
        <v/>
      </c>
      <c r="AZ454">
        <f t="shared" si="212"/>
        <v>0</v>
      </c>
    </row>
    <row r="455" spans="1:52" ht="21" customHeight="1" x14ac:dyDescent="0.95">
      <c r="A455" s="36" t="str">
        <f>IF($AD455="","",IF($AD455="Z","รวมจ่ายทั้งสิ้น",IF($AD455="H",INDEX($X$5:$X$404,$AC455),IF($AD455="T","รวม",IF($AD455="B",IFERROR(INDEX(อัตราค่าขนส่ง!$U$5:$U$14,MATCH(INDEX($AM$5:$AM$404,$AC455),อัตราค่าขนส่ง!$T$5:$T$14,0)),"รวมกลุ่ม "&amp;INDEX($AM$5:$AM$404,$AC455)),INDEX($AY$5:$AY$404,$AC455))))))</f>
        <v/>
      </c>
      <c r="B455" s="31" t="str">
        <f t="shared" si="196"/>
        <v/>
      </c>
      <c r="C455" s="8" t="str">
        <f t="shared" si="197"/>
        <v/>
      </c>
      <c r="D455" s="37" t="str">
        <f t="shared" si="198"/>
        <v/>
      </c>
      <c r="E455" s="31" t="str">
        <f t="shared" si="199"/>
        <v/>
      </c>
      <c r="F455" s="32" t="str">
        <f t="shared" si="200"/>
        <v/>
      </c>
      <c r="G455" s="32" t="str">
        <f t="shared" si="201"/>
        <v/>
      </c>
      <c r="H455" s="32" t="str">
        <f t="shared" si="202"/>
        <v/>
      </c>
      <c r="I455" s="32" t="str">
        <f t="shared" si="203"/>
        <v/>
      </c>
      <c r="J455" s="46" t="str">
        <f t="shared" si="204"/>
        <v/>
      </c>
      <c r="K455" s="32" t="str">
        <f t="shared" si="205"/>
        <v/>
      </c>
      <c r="L455" s="32" t="str">
        <f t="shared" si="206"/>
        <v/>
      </c>
      <c r="M455" s="32" t="str">
        <f t="shared" si="207"/>
        <v/>
      </c>
      <c r="N455" s="32" t="str">
        <f t="shared" si="208"/>
        <v/>
      </c>
      <c r="O455" s="32" t="str">
        <f t="shared" si="209"/>
        <v/>
      </c>
      <c r="AC455" t="str">
        <f>IFERROR(MATCH(451,$AB$5:$AB$404,1),"")</f>
        <v/>
      </c>
      <c r="AD455" t="str">
        <f>IF(451=$AI$1+1,"Z",IF($AC455="","",IF(INDEX($V$5:$V$404,$AC455)="","",IF(451&gt;INDEX($AB$5:$AB$404,$AC455)+INDEX($Z$5:$Z$404,$AC455)+INDEX($AA$5:$AA$404,$AC455)+INDEX($AO$5:$AO$404,$AC455),"",IF(451=INDEX($AB$5:$AB$404,$AC455)+INDEX($Z$5:$Z$404,$AC455),"D",IF(AND(INDEX($Z$5:$Z$404,$AC455)=1,451=INDEX($AB$5:$AB$404,$AC455)),"H",IF(AND(INDEX($AO$5:$AO$404,$AC455)=1,451=INDEX($AB$5:$AB$404,$AC455)+INDEX($Z$5:$Z$404,$AC455)+INDEX($AA$5:$AA$404,$AC455)+INDEX($AO$5:$AO$404,$AC455)),"B","T")))))))</f>
        <v/>
      </c>
      <c r="AF455" t="str">
        <f t="shared" si="210"/>
        <v/>
      </c>
      <c r="AJ455">
        <f>IF($AD455&lt;&gt;"T",0,ROUND(SUMIF(oil!$B$4:$B$63,$AF455,oil!$AE$4:$AE$63),2))</f>
        <v>0</v>
      </c>
      <c r="AQ455" t="str">
        <f t="shared" si="211"/>
        <v/>
      </c>
      <c r="AZ455">
        <f t="shared" si="212"/>
        <v>0</v>
      </c>
    </row>
    <row r="456" spans="1:52" ht="21" customHeight="1" x14ac:dyDescent="0.95">
      <c r="A456" s="36" t="str">
        <f>IF($AD456="","",IF($AD456="Z","รวมจ่ายทั้งสิ้น",IF($AD456="H",INDEX($X$5:$X$404,$AC456),IF($AD456="T","รวม",IF($AD456="B",IFERROR(INDEX(อัตราค่าขนส่ง!$U$5:$U$14,MATCH(INDEX($AM$5:$AM$404,$AC456),อัตราค่าขนส่ง!$T$5:$T$14,0)),"รวมกลุ่ม "&amp;INDEX($AM$5:$AM$404,$AC456)),INDEX($AY$5:$AY$404,$AC456))))))</f>
        <v/>
      </c>
      <c r="B456" s="31" t="str">
        <f t="shared" si="196"/>
        <v/>
      </c>
      <c r="C456" s="8" t="str">
        <f t="shared" si="197"/>
        <v/>
      </c>
      <c r="D456" s="37" t="str">
        <f t="shared" si="198"/>
        <v/>
      </c>
      <c r="E456" s="31" t="str">
        <f t="shared" si="199"/>
        <v/>
      </c>
      <c r="F456" s="32" t="str">
        <f t="shared" si="200"/>
        <v/>
      </c>
      <c r="G456" s="32" t="str">
        <f t="shared" si="201"/>
        <v/>
      </c>
      <c r="H456" s="32" t="str">
        <f t="shared" si="202"/>
        <v/>
      </c>
      <c r="I456" s="32" t="str">
        <f t="shared" si="203"/>
        <v/>
      </c>
      <c r="J456" s="46" t="str">
        <f t="shared" si="204"/>
        <v/>
      </c>
      <c r="K456" s="32" t="str">
        <f t="shared" si="205"/>
        <v/>
      </c>
      <c r="L456" s="32" t="str">
        <f t="shared" si="206"/>
        <v/>
      </c>
      <c r="M456" s="32" t="str">
        <f t="shared" si="207"/>
        <v/>
      </c>
      <c r="N456" s="32" t="str">
        <f t="shared" si="208"/>
        <v/>
      </c>
      <c r="O456" s="32" t="str">
        <f t="shared" si="209"/>
        <v/>
      </c>
      <c r="AC456" t="str">
        <f>IFERROR(MATCH(452,$AB$5:$AB$404,1),"")</f>
        <v/>
      </c>
      <c r="AD456" t="str">
        <f>IF(452=$AI$1+1,"Z",IF($AC456="","",IF(INDEX($V$5:$V$404,$AC456)="","",IF(452&gt;INDEX($AB$5:$AB$404,$AC456)+INDEX($Z$5:$Z$404,$AC456)+INDEX($AA$5:$AA$404,$AC456)+INDEX($AO$5:$AO$404,$AC456),"",IF(452=INDEX($AB$5:$AB$404,$AC456)+INDEX($Z$5:$Z$404,$AC456),"D",IF(AND(INDEX($Z$5:$Z$404,$AC456)=1,452=INDEX($AB$5:$AB$404,$AC456)),"H",IF(AND(INDEX($AO$5:$AO$404,$AC456)=1,452=INDEX($AB$5:$AB$404,$AC456)+INDEX($Z$5:$Z$404,$AC456)+INDEX($AA$5:$AA$404,$AC456)+INDEX($AO$5:$AO$404,$AC456)),"B","T")))))))</f>
        <v/>
      </c>
      <c r="AF456" t="str">
        <f t="shared" si="210"/>
        <v/>
      </c>
      <c r="AJ456">
        <f>IF($AD456&lt;&gt;"T",0,ROUND(SUMIF(oil!$B$4:$B$63,$AF456,oil!$AE$4:$AE$63),2))</f>
        <v>0</v>
      </c>
      <c r="AQ456" t="str">
        <f t="shared" si="211"/>
        <v/>
      </c>
      <c r="AZ456">
        <f t="shared" si="212"/>
        <v>0</v>
      </c>
    </row>
    <row r="457" spans="1:52" ht="21" customHeight="1" x14ac:dyDescent="0.95">
      <c r="A457" s="36" t="str">
        <f>IF($AD457="","",IF($AD457="Z","รวมจ่ายทั้งสิ้น",IF($AD457="H",INDEX($X$5:$X$404,$AC457),IF($AD457="T","รวม",IF($AD457="B",IFERROR(INDEX(อัตราค่าขนส่ง!$U$5:$U$14,MATCH(INDEX($AM$5:$AM$404,$AC457),อัตราค่าขนส่ง!$T$5:$T$14,0)),"รวมกลุ่ม "&amp;INDEX($AM$5:$AM$404,$AC457)),INDEX($AY$5:$AY$404,$AC457))))))</f>
        <v/>
      </c>
      <c r="B457" s="31" t="str">
        <f t="shared" si="196"/>
        <v/>
      </c>
      <c r="C457" s="8" t="str">
        <f t="shared" si="197"/>
        <v/>
      </c>
      <c r="D457" s="37" t="str">
        <f t="shared" si="198"/>
        <v/>
      </c>
      <c r="E457" s="31" t="str">
        <f t="shared" si="199"/>
        <v/>
      </c>
      <c r="F457" s="32" t="str">
        <f t="shared" si="200"/>
        <v/>
      </c>
      <c r="G457" s="32" t="str">
        <f t="shared" si="201"/>
        <v/>
      </c>
      <c r="H457" s="32" t="str">
        <f t="shared" si="202"/>
        <v/>
      </c>
      <c r="I457" s="32" t="str">
        <f t="shared" si="203"/>
        <v/>
      </c>
      <c r="J457" s="46" t="str">
        <f t="shared" si="204"/>
        <v/>
      </c>
      <c r="K457" s="32" t="str">
        <f t="shared" si="205"/>
        <v/>
      </c>
      <c r="L457" s="32" t="str">
        <f t="shared" si="206"/>
        <v/>
      </c>
      <c r="M457" s="32" t="str">
        <f t="shared" si="207"/>
        <v/>
      </c>
      <c r="N457" s="32" t="str">
        <f t="shared" si="208"/>
        <v/>
      </c>
      <c r="O457" s="32" t="str">
        <f t="shared" si="209"/>
        <v/>
      </c>
      <c r="AC457" t="str">
        <f>IFERROR(MATCH(453,$AB$5:$AB$404,1),"")</f>
        <v/>
      </c>
      <c r="AD457" t="str">
        <f>IF(453=$AI$1+1,"Z",IF($AC457="","",IF(INDEX($V$5:$V$404,$AC457)="","",IF(453&gt;INDEX($AB$5:$AB$404,$AC457)+INDEX($Z$5:$Z$404,$AC457)+INDEX($AA$5:$AA$404,$AC457)+INDEX($AO$5:$AO$404,$AC457),"",IF(453=INDEX($AB$5:$AB$404,$AC457)+INDEX($Z$5:$Z$404,$AC457),"D",IF(AND(INDEX($Z$5:$Z$404,$AC457)=1,453=INDEX($AB$5:$AB$404,$AC457)),"H",IF(AND(INDEX($AO$5:$AO$404,$AC457)=1,453=INDEX($AB$5:$AB$404,$AC457)+INDEX($Z$5:$Z$404,$AC457)+INDEX($AA$5:$AA$404,$AC457)+INDEX($AO$5:$AO$404,$AC457)),"B","T")))))))</f>
        <v/>
      </c>
      <c r="AF457" t="str">
        <f t="shared" si="210"/>
        <v/>
      </c>
      <c r="AJ457">
        <f>IF($AD457&lt;&gt;"T",0,ROUND(SUMIF(oil!$B$4:$B$63,$AF457,oil!$AE$4:$AE$63),2))</f>
        <v>0</v>
      </c>
      <c r="AQ457" t="str">
        <f t="shared" si="211"/>
        <v/>
      </c>
      <c r="AZ457">
        <f t="shared" si="212"/>
        <v>0</v>
      </c>
    </row>
    <row r="458" spans="1:52" ht="21" customHeight="1" x14ac:dyDescent="0.95">
      <c r="A458" s="36" t="str">
        <f>IF($AD458="","",IF($AD458="Z","รวมจ่ายทั้งสิ้น",IF($AD458="H",INDEX($X$5:$X$404,$AC458),IF($AD458="T","รวม",IF($AD458="B",IFERROR(INDEX(อัตราค่าขนส่ง!$U$5:$U$14,MATCH(INDEX($AM$5:$AM$404,$AC458),อัตราค่าขนส่ง!$T$5:$T$14,0)),"รวมกลุ่ม "&amp;INDEX($AM$5:$AM$404,$AC458)),INDEX($AY$5:$AY$404,$AC458))))))</f>
        <v/>
      </c>
      <c r="B458" s="31" t="str">
        <f t="shared" si="196"/>
        <v/>
      </c>
      <c r="C458" s="8" t="str">
        <f t="shared" si="197"/>
        <v/>
      </c>
      <c r="D458" s="37" t="str">
        <f t="shared" si="198"/>
        <v/>
      </c>
      <c r="E458" s="31" t="str">
        <f t="shared" si="199"/>
        <v/>
      </c>
      <c r="F458" s="32" t="str">
        <f t="shared" si="200"/>
        <v/>
      </c>
      <c r="G458" s="32" t="str">
        <f t="shared" si="201"/>
        <v/>
      </c>
      <c r="H458" s="32" t="str">
        <f t="shared" si="202"/>
        <v/>
      </c>
      <c r="I458" s="32" t="str">
        <f t="shared" si="203"/>
        <v/>
      </c>
      <c r="J458" s="46" t="str">
        <f t="shared" si="204"/>
        <v/>
      </c>
      <c r="K458" s="32" t="str">
        <f t="shared" si="205"/>
        <v/>
      </c>
      <c r="L458" s="32" t="str">
        <f t="shared" si="206"/>
        <v/>
      </c>
      <c r="M458" s="32" t="str">
        <f t="shared" si="207"/>
        <v/>
      </c>
      <c r="N458" s="32" t="str">
        <f t="shared" si="208"/>
        <v/>
      </c>
      <c r="O458" s="32" t="str">
        <f t="shared" si="209"/>
        <v/>
      </c>
      <c r="AC458" t="str">
        <f>IFERROR(MATCH(454,$AB$5:$AB$404,1),"")</f>
        <v/>
      </c>
      <c r="AD458" t="str">
        <f>IF(454=$AI$1+1,"Z",IF($AC458="","",IF(INDEX($V$5:$V$404,$AC458)="","",IF(454&gt;INDEX($AB$5:$AB$404,$AC458)+INDEX($Z$5:$Z$404,$AC458)+INDEX($AA$5:$AA$404,$AC458)+INDEX($AO$5:$AO$404,$AC458),"",IF(454=INDEX($AB$5:$AB$404,$AC458)+INDEX($Z$5:$Z$404,$AC458),"D",IF(AND(INDEX($Z$5:$Z$404,$AC458)=1,454=INDEX($AB$5:$AB$404,$AC458)),"H",IF(AND(INDEX($AO$5:$AO$404,$AC458)=1,454=INDEX($AB$5:$AB$404,$AC458)+INDEX($Z$5:$Z$404,$AC458)+INDEX($AA$5:$AA$404,$AC458)+INDEX($AO$5:$AO$404,$AC458)),"B","T")))))))</f>
        <v/>
      </c>
      <c r="AF458" t="str">
        <f t="shared" si="210"/>
        <v/>
      </c>
      <c r="AJ458">
        <f>IF($AD458&lt;&gt;"T",0,ROUND(SUMIF(oil!$B$4:$B$63,$AF458,oil!$AE$4:$AE$63),2))</f>
        <v>0</v>
      </c>
      <c r="AQ458" t="str">
        <f t="shared" si="211"/>
        <v/>
      </c>
      <c r="AZ458">
        <f t="shared" si="212"/>
        <v>0</v>
      </c>
    </row>
    <row r="459" spans="1:52" ht="21" customHeight="1" x14ac:dyDescent="0.95">
      <c r="A459" s="36" t="str">
        <f>IF($AD459="","",IF($AD459="Z","รวมจ่ายทั้งสิ้น",IF($AD459="H",INDEX($X$5:$X$404,$AC459),IF($AD459="T","รวม",IF($AD459="B",IFERROR(INDEX(อัตราค่าขนส่ง!$U$5:$U$14,MATCH(INDEX($AM$5:$AM$404,$AC459),อัตราค่าขนส่ง!$T$5:$T$14,0)),"รวมกลุ่ม "&amp;INDEX($AM$5:$AM$404,$AC459)),INDEX($AY$5:$AY$404,$AC459))))))</f>
        <v/>
      </c>
      <c r="B459" s="31" t="str">
        <f t="shared" si="196"/>
        <v/>
      </c>
      <c r="C459" s="8" t="str">
        <f t="shared" si="197"/>
        <v/>
      </c>
      <c r="D459" s="37" t="str">
        <f t="shared" si="198"/>
        <v/>
      </c>
      <c r="E459" s="31" t="str">
        <f t="shared" si="199"/>
        <v/>
      </c>
      <c r="F459" s="32" t="str">
        <f t="shared" si="200"/>
        <v/>
      </c>
      <c r="G459" s="32" t="str">
        <f t="shared" si="201"/>
        <v/>
      </c>
      <c r="H459" s="32" t="str">
        <f t="shared" si="202"/>
        <v/>
      </c>
      <c r="I459" s="32" t="str">
        <f t="shared" si="203"/>
        <v/>
      </c>
      <c r="J459" s="46" t="str">
        <f t="shared" si="204"/>
        <v/>
      </c>
      <c r="K459" s="32" t="str">
        <f t="shared" si="205"/>
        <v/>
      </c>
      <c r="L459" s="32" t="str">
        <f t="shared" si="206"/>
        <v/>
      </c>
      <c r="M459" s="32" t="str">
        <f t="shared" si="207"/>
        <v/>
      </c>
      <c r="N459" s="32" t="str">
        <f t="shared" si="208"/>
        <v/>
      </c>
      <c r="O459" s="32" t="str">
        <f t="shared" si="209"/>
        <v/>
      </c>
      <c r="AC459" t="str">
        <f>IFERROR(MATCH(455,$AB$5:$AB$404,1),"")</f>
        <v/>
      </c>
      <c r="AD459" t="str">
        <f>IF(455=$AI$1+1,"Z",IF($AC459="","",IF(INDEX($V$5:$V$404,$AC459)="","",IF(455&gt;INDEX($AB$5:$AB$404,$AC459)+INDEX($Z$5:$Z$404,$AC459)+INDEX($AA$5:$AA$404,$AC459)+INDEX($AO$5:$AO$404,$AC459),"",IF(455=INDEX($AB$5:$AB$404,$AC459)+INDEX($Z$5:$Z$404,$AC459),"D",IF(AND(INDEX($Z$5:$Z$404,$AC459)=1,455=INDEX($AB$5:$AB$404,$AC459)),"H",IF(AND(INDEX($AO$5:$AO$404,$AC459)=1,455=INDEX($AB$5:$AB$404,$AC459)+INDEX($Z$5:$Z$404,$AC459)+INDEX($AA$5:$AA$404,$AC459)+INDEX($AO$5:$AO$404,$AC459)),"B","T")))))))</f>
        <v/>
      </c>
      <c r="AF459" t="str">
        <f t="shared" si="210"/>
        <v/>
      </c>
      <c r="AJ459">
        <f>IF($AD459&lt;&gt;"T",0,ROUND(SUMIF(oil!$B$4:$B$63,$AF459,oil!$AE$4:$AE$63),2))</f>
        <v>0</v>
      </c>
      <c r="AQ459" t="str">
        <f t="shared" si="211"/>
        <v/>
      </c>
      <c r="AZ459">
        <f t="shared" si="212"/>
        <v>0</v>
      </c>
    </row>
    <row r="460" spans="1:52" ht="21" customHeight="1" x14ac:dyDescent="0.95">
      <c r="A460" s="36" t="str">
        <f>IF($AD460="","",IF($AD460="Z","รวมจ่ายทั้งสิ้น",IF($AD460="H",INDEX($X$5:$X$404,$AC460),IF($AD460="T","รวม",IF($AD460="B",IFERROR(INDEX(อัตราค่าขนส่ง!$U$5:$U$14,MATCH(INDEX($AM$5:$AM$404,$AC460),อัตราค่าขนส่ง!$T$5:$T$14,0)),"รวมกลุ่ม "&amp;INDEX($AM$5:$AM$404,$AC460)),INDEX($AY$5:$AY$404,$AC460))))))</f>
        <v/>
      </c>
      <c r="B460" s="31" t="str">
        <f t="shared" si="196"/>
        <v/>
      </c>
      <c r="C460" s="8" t="str">
        <f t="shared" si="197"/>
        <v/>
      </c>
      <c r="D460" s="37" t="str">
        <f t="shared" si="198"/>
        <v/>
      </c>
      <c r="E460" s="31" t="str">
        <f t="shared" si="199"/>
        <v/>
      </c>
      <c r="F460" s="32" t="str">
        <f t="shared" si="200"/>
        <v/>
      </c>
      <c r="G460" s="32" t="str">
        <f t="shared" si="201"/>
        <v/>
      </c>
      <c r="H460" s="32" t="str">
        <f t="shared" si="202"/>
        <v/>
      </c>
      <c r="I460" s="32" t="str">
        <f t="shared" si="203"/>
        <v/>
      </c>
      <c r="J460" s="46" t="str">
        <f t="shared" si="204"/>
        <v/>
      </c>
      <c r="K460" s="32" t="str">
        <f t="shared" si="205"/>
        <v/>
      </c>
      <c r="L460" s="32" t="str">
        <f t="shared" si="206"/>
        <v/>
      </c>
      <c r="M460" s="32" t="str">
        <f t="shared" si="207"/>
        <v/>
      </c>
      <c r="N460" s="32" t="str">
        <f t="shared" si="208"/>
        <v/>
      </c>
      <c r="O460" s="32" t="str">
        <f t="shared" si="209"/>
        <v/>
      </c>
      <c r="AC460" t="str">
        <f>IFERROR(MATCH(456,$AB$5:$AB$404,1),"")</f>
        <v/>
      </c>
      <c r="AD460" t="str">
        <f>IF(456=$AI$1+1,"Z",IF($AC460="","",IF(INDEX($V$5:$V$404,$AC460)="","",IF(456&gt;INDEX($AB$5:$AB$404,$AC460)+INDEX($Z$5:$Z$404,$AC460)+INDEX($AA$5:$AA$404,$AC460)+INDEX($AO$5:$AO$404,$AC460),"",IF(456=INDEX($AB$5:$AB$404,$AC460)+INDEX($Z$5:$Z$404,$AC460),"D",IF(AND(INDEX($Z$5:$Z$404,$AC460)=1,456=INDEX($AB$5:$AB$404,$AC460)),"H",IF(AND(INDEX($AO$5:$AO$404,$AC460)=1,456=INDEX($AB$5:$AB$404,$AC460)+INDEX($Z$5:$Z$404,$AC460)+INDEX($AA$5:$AA$404,$AC460)+INDEX($AO$5:$AO$404,$AC460)),"B","T")))))))</f>
        <v/>
      </c>
      <c r="AF460" t="str">
        <f t="shared" si="210"/>
        <v/>
      </c>
      <c r="AJ460">
        <f>IF($AD460&lt;&gt;"T",0,ROUND(SUMIF(oil!$B$4:$B$63,$AF460,oil!$AE$4:$AE$63),2))</f>
        <v>0</v>
      </c>
      <c r="AQ460" t="str">
        <f t="shared" si="211"/>
        <v/>
      </c>
      <c r="AZ460">
        <f t="shared" si="212"/>
        <v>0</v>
      </c>
    </row>
    <row r="461" spans="1:52" ht="21" customHeight="1" x14ac:dyDescent="0.95">
      <c r="A461" s="36" t="str">
        <f>IF($AD461="","",IF($AD461="Z","รวมจ่ายทั้งสิ้น",IF($AD461="H",INDEX($X$5:$X$404,$AC461),IF($AD461="T","รวม",IF($AD461="B",IFERROR(INDEX(อัตราค่าขนส่ง!$U$5:$U$14,MATCH(INDEX($AM$5:$AM$404,$AC461),อัตราค่าขนส่ง!$T$5:$T$14,0)),"รวมกลุ่ม "&amp;INDEX($AM$5:$AM$404,$AC461)),INDEX($AY$5:$AY$404,$AC461))))))</f>
        <v/>
      </c>
      <c r="B461" s="31" t="str">
        <f t="shared" si="196"/>
        <v/>
      </c>
      <c r="C461" s="8" t="str">
        <f t="shared" si="197"/>
        <v/>
      </c>
      <c r="D461" s="37" t="str">
        <f t="shared" si="198"/>
        <v/>
      </c>
      <c r="E461" s="31" t="str">
        <f t="shared" si="199"/>
        <v/>
      </c>
      <c r="F461" s="32" t="str">
        <f t="shared" si="200"/>
        <v/>
      </c>
      <c r="G461" s="32" t="str">
        <f t="shared" si="201"/>
        <v/>
      </c>
      <c r="H461" s="32" t="str">
        <f t="shared" si="202"/>
        <v/>
      </c>
      <c r="I461" s="32" t="str">
        <f t="shared" si="203"/>
        <v/>
      </c>
      <c r="J461" s="46" t="str">
        <f t="shared" si="204"/>
        <v/>
      </c>
      <c r="K461" s="32" t="str">
        <f t="shared" si="205"/>
        <v/>
      </c>
      <c r="L461" s="32" t="str">
        <f t="shared" si="206"/>
        <v/>
      </c>
      <c r="M461" s="32" t="str">
        <f t="shared" si="207"/>
        <v/>
      </c>
      <c r="N461" s="32" t="str">
        <f t="shared" si="208"/>
        <v/>
      </c>
      <c r="O461" s="32" t="str">
        <f t="shared" si="209"/>
        <v/>
      </c>
      <c r="AC461" t="str">
        <f>IFERROR(MATCH(457,$AB$5:$AB$404,1),"")</f>
        <v/>
      </c>
      <c r="AD461" t="str">
        <f>IF(457=$AI$1+1,"Z",IF($AC461="","",IF(INDEX($V$5:$V$404,$AC461)="","",IF(457&gt;INDEX($AB$5:$AB$404,$AC461)+INDEX($Z$5:$Z$404,$AC461)+INDEX($AA$5:$AA$404,$AC461)+INDEX($AO$5:$AO$404,$AC461),"",IF(457=INDEX($AB$5:$AB$404,$AC461)+INDEX($Z$5:$Z$404,$AC461),"D",IF(AND(INDEX($Z$5:$Z$404,$AC461)=1,457=INDEX($AB$5:$AB$404,$AC461)),"H",IF(AND(INDEX($AO$5:$AO$404,$AC461)=1,457=INDEX($AB$5:$AB$404,$AC461)+INDEX($Z$5:$Z$404,$AC461)+INDEX($AA$5:$AA$404,$AC461)+INDEX($AO$5:$AO$404,$AC461)),"B","T")))))))</f>
        <v/>
      </c>
      <c r="AF461" t="str">
        <f t="shared" si="210"/>
        <v/>
      </c>
      <c r="AJ461">
        <f>IF($AD461&lt;&gt;"T",0,ROUND(SUMIF(oil!$B$4:$B$63,$AF461,oil!$AE$4:$AE$63),2))</f>
        <v>0</v>
      </c>
      <c r="AQ461" t="str">
        <f t="shared" si="211"/>
        <v/>
      </c>
      <c r="AZ461">
        <f t="shared" si="212"/>
        <v>0</v>
      </c>
    </row>
    <row r="462" spans="1:52" ht="21" customHeight="1" x14ac:dyDescent="0.95">
      <c r="A462" s="36" t="str">
        <f>IF($AD462="","",IF($AD462="Z","รวมจ่ายทั้งสิ้น",IF($AD462="H",INDEX($X$5:$X$404,$AC462),IF($AD462="T","รวม",IF($AD462="B",IFERROR(INDEX(อัตราค่าขนส่ง!$U$5:$U$14,MATCH(INDEX($AM$5:$AM$404,$AC462),อัตราค่าขนส่ง!$T$5:$T$14,0)),"รวมกลุ่ม "&amp;INDEX($AM$5:$AM$404,$AC462)),INDEX($AY$5:$AY$404,$AC462))))))</f>
        <v/>
      </c>
      <c r="B462" s="31" t="str">
        <f t="shared" si="196"/>
        <v/>
      </c>
      <c r="C462" s="8" t="str">
        <f t="shared" si="197"/>
        <v/>
      </c>
      <c r="D462" s="37" t="str">
        <f t="shared" si="198"/>
        <v/>
      </c>
      <c r="E462" s="31" t="str">
        <f t="shared" si="199"/>
        <v/>
      </c>
      <c r="F462" s="32" t="str">
        <f t="shared" si="200"/>
        <v/>
      </c>
      <c r="G462" s="32" t="str">
        <f t="shared" si="201"/>
        <v/>
      </c>
      <c r="H462" s="32" t="str">
        <f t="shared" si="202"/>
        <v/>
      </c>
      <c r="I462" s="32" t="str">
        <f t="shared" si="203"/>
        <v/>
      </c>
      <c r="J462" s="46" t="str">
        <f t="shared" si="204"/>
        <v/>
      </c>
      <c r="K462" s="32" t="str">
        <f t="shared" si="205"/>
        <v/>
      </c>
      <c r="L462" s="32" t="str">
        <f t="shared" si="206"/>
        <v/>
      </c>
      <c r="M462" s="32" t="str">
        <f t="shared" si="207"/>
        <v/>
      </c>
      <c r="N462" s="32" t="str">
        <f t="shared" si="208"/>
        <v/>
      </c>
      <c r="O462" s="32" t="str">
        <f t="shared" si="209"/>
        <v/>
      </c>
      <c r="AC462" t="str">
        <f>IFERROR(MATCH(458,$AB$5:$AB$404,1),"")</f>
        <v/>
      </c>
      <c r="AD462" t="str">
        <f>IF(458=$AI$1+1,"Z",IF($AC462="","",IF(INDEX($V$5:$V$404,$AC462)="","",IF(458&gt;INDEX($AB$5:$AB$404,$AC462)+INDEX($Z$5:$Z$404,$AC462)+INDEX($AA$5:$AA$404,$AC462)+INDEX($AO$5:$AO$404,$AC462),"",IF(458=INDEX($AB$5:$AB$404,$AC462)+INDEX($Z$5:$Z$404,$AC462),"D",IF(AND(INDEX($Z$5:$Z$404,$AC462)=1,458=INDEX($AB$5:$AB$404,$AC462)),"H",IF(AND(INDEX($AO$5:$AO$404,$AC462)=1,458=INDEX($AB$5:$AB$404,$AC462)+INDEX($Z$5:$Z$404,$AC462)+INDEX($AA$5:$AA$404,$AC462)+INDEX($AO$5:$AO$404,$AC462)),"B","T")))))))</f>
        <v/>
      </c>
      <c r="AF462" t="str">
        <f t="shared" si="210"/>
        <v/>
      </c>
      <c r="AJ462">
        <f>IF($AD462&lt;&gt;"T",0,ROUND(SUMIF(oil!$B$4:$B$63,$AF462,oil!$AE$4:$AE$63),2))</f>
        <v>0</v>
      </c>
      <c r="AQ462" t="str">
        <f t="shared" si="211"/>
        <v/>
      </c>
      <c r="AZ462">
        <f t="shared" si="212"/>
        <v>0</v>
      </c>
    </row>
    <row r="463" spans="1:52" ht="21" customHeight="1" x14ac:dyDescent="0.95">
      <c r="A463" s="36" t="str">
        <f>IF($AD463="","",IF($AD463="Z","รวมจ่ายทั้งสิ้น",IF($AD463="H",INDEX($X$5:$X$404,$AC463),IF($AD463="T","รวม",IF($AD463="B",IFERROR(INDEX(อัตราค่าขนส่ง!$U$5:$U$14,MATCH(INDEX($AM$5:$AM$404,$AC463),อัตราค่าขนส่ง!$T$5:$T$14,0)),"รวมกลุ่ม "&amp;INDEX($AM$5:$AM$404,$AC463)),INDEX($AY$5:$AY$404,$AC463))))))</f>
        <v/>
      </c>
      <c r="B463" s="31" t="str">
        <f t="shared" si="196"/>
        <v/>
      </c>
      <c r="C463" s="8" t="str">
        <f t="shared" si="197"/>
        <v/>
      </c>
      <c r="D463" s="37" t="str">
        <f t="shared" si="198"/>
        <v/>
      </c>
      <c r="E463" s="31" t="str">
        <f t="shared" si="199"/>
        <v/>
      </c>
      <c r="F463" s="32" t="str">
        <f t="shared" si="200"/>
        <v/>
      </c>
      <c r="G463" s="32" t="str">
        <f t="shared" si="201"/>
        <v/>
      </c>
      <c r="H463" s="32" t="str">
        <f t="shared" si="202"/>
        <v/>
      </c>
      <c r="I463" s="32" t="str">
        <f t="shared" si="203"/>
        <v/>
      </c>
      <c r="J463" s="46" t="str">
        <f t="shared" si="204"/>
        <v/>
      </c>
      <c r="K463" s="32" t="str">
        <f t="shared" si="205"/>
        <v/>
      </c>
      <c r="L463" s="32" t="str">
        <f t="shared" si="206"/>
        <v/>
      </c>
      <c r="M463" s="32" t="str">
        <f t="shared" si="207"/>
        <v/>
      </c>
      <c r="N463" s="32" t="str">
        <f t="shared" si="208"/>
        <v/>
      </c>
      <c r="O463" s="32" t="str">
        <f t="shared" si="209"/>
        <v/>
      </c>
      <c r="AC463" t="str">
        <f>IFERROR(MATCH(459,$AB$5:$AB$404,1),"")</f>
        <v/>
      </c>
      <c r="AD463" t="str">
        <f>IF(459=$AI$1+1,"Z",IF($AC463="","",IF(INDEX($V$5:$V$404,$AC463)="","",IF(459&gt;INDEX($AB$5:$AB$404,$AC463)+INDEX($Z$5:$Z$404,$AC463)+INDEX($AA$5:$AA$404,$AC463)+INDEX($AO$5:$AO$404,$AC463),"",IF(459=INDEX($AB$5:$AB$404,$AC463)+INDEX($Z$5:$Z$404,$AC463),"D",IF(AND(INDEX($Z$5:$Z$404,$AC463)=1,459=INDEX($AB$5:$AB$404,$AC463)),"H",IF(AND(INDEX($AO$5:$AO$404,$AC463)=1,459=INDEX($AB$5:$AB$404,$AC463)+INDEX($Z$5:$Z$404,$AC463)+INDEX($AA$5:$AA$404,$AC463)+INDEX($AO$5:$AO$404,$AC463)),"B","T")))))))</f>
        <v/>
      </c>
      <c r="AF463" t="str">
        <f t="shared" si="210"/>
        <v/>
      </c>
      <c r="AJ463">
        <f>IF($AD463&lt;&gt;"T",0,ROUND(SUMIF(oil!$B$4:$B$63,$AF463,oil!$AE$4:$AE$63),2))</f>
        <v>0</v>
      </c>
      <c r="AQ463" t="str">
        <f t="shared" si="211"/>
        <v/>
      </c>
      <c r="AZ463">
        <f t="shared" si="212"/>
        <v>0</v>
      </c>
    </row>
    <row r="464" spans="1:52" ht="21" customHeight="1" x14ac:dyDescent="0.95">
      <c r="A464" s="36" t="str">
        <f>IF($AD464="","",IF($AD464="Z","รวมจ่ายทั้งสิ้น",IF($AD464="H",INDEX($X$5:$X$404,$AC464),IF($AD464="T","รวม",IF($AD464="B",IFERROR(INDEX(อัตราค่าขนส่ง!$U$5:$U$14,MATCH(INDEX($AM$5:$AM$404,$AC464),อัตราค่าขนส่ง!$T$5:$T$14,0)),"รวมกลุ่ม "&amp;INDEX($AM$5:$AM$404,$AC464)),INDEX($AY$5:$AY$404,$AC464))))))</f>
        <v/>
      </c>
      <c r="B464" s="31" t="str">
        <f t="shared" si="196"/>
        <v/>
      </c>
      <c r="C464" s="8" t="str">
        <f t="shared" si="197"/>
        <v/>
      </c>
      <c r="D464" s="37" t="str">
        <f t="shared" si="198"/>
        <v/>
      </c>
      <c r="E464" s="31" t="str">
        <f t="shared" si="199"/>
        <v/>
      </c>
      <c r="F464" s="32" t="str">
        <f t="shared" si="200"/>
        <v/>
      </c>
      <c r="G464" s="32" t="str">
        <f t="shared" si="201"/>
        <v/>
      </c>
      <c r="H464" s="32" t="str">
        <f t="shared" si="202"/>
        <v/>
      </c>
      <c r="I464" s="32" t="str">
        <f t="shared" si="203"/>
        <v/>
      </c>
      <c r="J464" s="46" t="str">
        <f t="shared" si="204"/>
        <v/>
      </c>
      <c r="K464" s="32" t="str">
        <f t="shared" si="205"/>
        <v/>
      </c>
      <c r="L464" s="32" t="str">
        <f t="shared" si="206"/>
        <v/>
      </c>
      <c r="M464" s="32" t="str">
        <f t="shared" si="207"/>
        <v/>
      </c>
      <c r="N464" s="32" t="str">
        <f t="shared" si="208"/>
        <v/>
      </c>
      <c r="O464" s="32" t="str">
        <f t="shared" si="209"/>
        <v/>
      </c>
      <c r="AC464" t="str">
        <f>IFERROR(MATCH(460,$AB$5:$AB$404,1),"")</f>
        <v/>
      </c>
      <c r="AD464" t="str">
        <f>IF(460=$AI$1+1,"Z",IF($AC464="","",IF(INDEX($V$5:$V$404,$AC464)="","",IF(460&gt;INDEX($AB$5:$AB$404,$AC464)+INDEX($Z$5:$Z$404,$AC464)+INDEX($AA$5:$AA$404,$AC464)+INDEX($AO$5:$AO$404,$AC464),"",IF(460=INDEX($AB$5:$AB$404,$AC464)+INDEX($Z$5:$Z$404,$AC464),"D",IF(AND(INDEX($Z$5:$Z$404,$AC464)=1,460=INDEX($AB$5:$AB$404,$AC464)),"H",IF(AND(INDEX($AO$5:$AO$404,$AC464)=1,460=INDEX($AB$5:$AB$404,$AC464)+INDEX($Z$5:$Z$404,$AC464)+INDEX($AA$5:$AA$404,$AC464)+INDEX($AO$5:$AO$404,$AC464)),"B","T")))))))</f>
        <v/>
      </c>
      <c r="AF464" t="str">
        <f t="shared" si="210"/>
        <v/>
      </c>
      <c r="AJ464">
        <f>IF($AD464&lt;&gt;"T",0,ROUND(SUMIF(oil!$B$4:$B$63,$AF464,oil!$AE$4:$AE$63),2))</f>
        <v>0</v>
      </c>
      <c r="AQ464" t="str">
        <f t="shared" si="211"/>
        <v/>
      </c>
      <c r="AZ464">
        <f t="shared" si="212"/>
        <v>0</v>
      </c>
    </row>
    <row r="465" spans="1:52" ht="21" customHeight="1" x14ac:dyDescent="0.95">
      <c r="A465" s="36" t="str">
        <f>IF($AD465="","",IF($AD465="Z","รวมจ่ายทั้งสิ้น",IF($AD465="H",INDEX($X$5:$X$404,$AC465),IF($AD465="T","รวม",IF($AD465="B",IFERROR(INDEX(อัตราค่าขนส่ง!$U$5:$U$14,MATCH(INDEX($AM$5:$AM$404,$AC465),อัตราค่าขนส่ง!$T$5:$T$14,0)),"รวมกลุ่ม "&amp;INDEX($AM$5:$AM$404,$AC465)),INDEX($AY$5:$AY$404,$AC465))))))</f>
        <v/>
      </c>
      <c r="B465" s="31" t="str">
        <f t="shared" si="196"/>
        <v/>
      </c>
      <c r="C465" s="8" t="str">
        <f t="shared" si="197"/>
        <v/>
      </c>
      <c r="D465" s="37" t="str">
        <f t="shared" si="198"/>
        <v/>
      </c>
      <c r="E465" s="31" t="str">
        <f t="shared" si="199"/>
        <v/>
      </c>
      <c r="F465" s="32" t="str">
        <f t="shared" si="200"/>
        <v/>
      </c>
      <c r="G465" s="32" t="str">
        <f t="shared" si="201"/>
        <v/>
      </c>
      <c r="H465" s="32" t="str">
        <f t="shared" si="202"/>
        <v/>
      </c>
      <c r="I465" s="32" t="str">
        <f t="shared" si="203"/>
        <v/>
      </c>
      <c r="J465" s="46" t="str">
        <f t="shared" si="204"/>
        <v/>
      </c>
      <c r="K465" s="32" t="str">
        <f t="shared" si="205"/>
        <v/>
      </c>
      <c r="L465" s="32" t="str">
        <f t="shared" si="206"/>
        <v/>
      </c>
      <c r="M465" s="32" t="str">
        <f t="shared" si="207"/>
        <v/>
      </c>
      <c r="N465" s="32" t="str">
        <f t="shared" si="208"/>
        <v/>
      </c>
      <c r="O465" s="32" t="str">
        <f t="shared" si="209"/>
        <v/>
      </c>
      <c r="AC465" t="str">
        <f>IFERROR(MATCH(461,$AB$5:$AB$404,1),"")</f>
        <v/>
      </c>
      <c r="AD465" t="str">
        <f>IF(461=$AI$1+1,"Z",IF($AC465="","",IF(INDEX($V$5:$V$404,$AC465)="","",IF(461&gt;INDEX($AB$5:$AB$404,$AC465)+INDEX($Z$5:$Z$404,$AC465)+INDEX($AA$5:$AA$404,$AC465)+INDEX($AO$5:$AO$404,$AC465),"",IF(461=INDEX($AB$5:$AB$404,$AC465)+INDEX($Z$5:$Z$404,$AC465),"D",IF(AND(INDEX($Z$5:$Z$404,$AC465)=1,461=INDEX($AB$5:$AB$404,$AC465)),"H",IF(AND(INDEX($AO$5:$AO$404,$AC465)=1,461=INDEX($AB$5:$AB$404,$AC465)+INDEX($Z$5:$Z$404,$AC465)+INDEX($AA$5:$AA$404,$AC465)+INDEX($AO$5:$AO$404,$AC465)),"B","T")))))))</f>
        <v/>
      </c>
      <c r="AF465" t="str">
        <f t="shared" si="210"/>
        <v/>
      </c>
      <c r="AJ465">
        <f>IF($AD465&lt;&gt;"T",0,ROUND(SUMIF(oil!$B$4:$B$63,$AF465,oil!$AE$4:$AE$63),2))</f>
        <v>0</v>
      </c>
      <c r="AQ465" t="str">
        <f t="shared" si="211"/>
        <v/>
      </c>
      <c r="AZ465">
        <f t="shared" si="212"/>
        <v>0</v>
      </c>
    </row>
    <row r="466" spans="1:52" ht="21" customHeight="1" x14ac:dyDescent="0.95">
      <c r="A466" s="36" t="str">
        <f>IF($AD466="","",IF($AD466="Z","รวมจ่ายทั้งสิ้น",IF($AD466="H",INDEX($X$5:$X$404,$AC466),IF($AD466="T","รวม",IF($AD466="B",IFERROR(INDEX(อัตราค่าขนส่ง!$U$5:$U$14,MATCH(INDEX($AM$5:$AM$404,$AC466),อัตราค่าขนส่ง!$T$5:$T$14,0)),"รวมกลุ่ม "&amp;INDEX($AM$5:$AM$404,$AC466)),INDEX($AY$5:$AY$404,$AC466))))))</f>
        <v/>
      </c>
      <c r="B466" s="31" t="str">
        <f t="shared" si="196"/>
        <v/>
      </c>
      <c r="C466" s="8" t="str">
        <f t="shared" si="197"/>
        <v/>
      </c>
      <c r="D466" s="37" t="str">
        <f t="shared" si="198"/>
        <v/>
      </c>
      <c r="E466" s="31" t="str">
        <f t="shared" si="199"/>
        <v/>
      </c>
      <c r="F466" s="32" t="str">
        <f t="shared" si="200"/>
        <v/>
      </c>
      <c r="G466" s="32" t="str">
        <f t="shared" si="201"/>
        <v/>
      </c>
      <c r="H466" s="32" t="str">
        <f t="shared" si="202"/>
        <v/>
      </c>
      <c r="I466" s="32" t="str">
        <f t="shared" si="203"/>
        <v/>
      </c>
      <c r="J466" s="46" t="str">
        <f t="shared" si="204"/>
        <v/>
      </c>
      <c r="K466" s="32" t="str">
        <f t="shared" si="205"/>
        <v/>
      </c>
      <c r="L466" s="32" t="str">
        <f t="shared" si="206"/>
        <v/>
      </c>
      <c r="M466" s="32" t="str">
        <f t="shared" si="207"/>
        <v/>
      </c>
      <c r="N466" s="32" t="str">
        <f t="shared" si="208"/>
        <v/>
      </c>
      <c r="O466" s="32" t="str">
        <f t="shared" si="209"/>
        <v/>
      </c>
      <c r="AC466" t="str">
        <f>IFERROR(MATCH(462,$AB$5:$AB$404,1),"")</f>
        <v/>
      </c>
      <c r="AD466" t="str">
        <f>IF(462=$AI$1+1,"Z",IF($AC466="","",IF(INDEX($V$5:$V$404,$AC466)="","",IF(462&gt;INDEX($AB$5:$AB$404,$AC466)+INDEX($Z$5:$Z$404,$AC466)+INDEX($AA$5:$AA$404,$AC466)+INDEX($AO$5:$AO$404,$AC466),"",IF(462=INDEX($AB$5:$AB$404,$AC466)+INDEX($Z$5:$Z$404,$AC466),"D",IF(AND(INDEX($Z$5:$Z$404,$AC466)=1,462=INDEX($AB$5:$AB$404,$AC466)),"H",IF(AND(INDEX($AO$5:$AO$404,$AC466)=1,462=INDEX($AB$5:$AB$404,$AC466)+INDEX($Z$5:$Z$404,$AC466)+INDEX($AA$5:$AA$404,$AC466)+INDEX($AO$5:$AO$404,$AC466)),"B","T")))))))</f>
        <v/>
      </c>
      <c r="AF466" t="str">
        <f t="shared" si="210"/>
        <v/>
      </c>
      <c r="AJ466">
        <f>IF($AD466&lt;&gt;"T",0,ROUND(SUMIF(oil!$B$4:$B$63,$AF466,oil!$AE$4:$AE$63),2))</f>
        <v>0</v>
      </c>
      <c r="AQ466" t="str">
        <f t="shared" si="211"/>
        <v/>
      </c>
      <c r="AZ466">
        <f t="shared" si="212"/>
        <v>0</v>
      </c>
    </row>
    <row r="467" spans="1:52" ht="21" customHeight="1" x14ac:dyDescent="0.95">
      <c r="A467" s="36" t="str">
        <f>IF($AD467="","",IF($AD467="Z","รวมจ่ายทั้งสิ้น",IF($AD467="H",INDEX($X$5:$X$404,$AC467),IF($AD467="T","รวม",IF($AD467="B",IFERROR(INDEX(อัตราค่าขนส่ง!$U$5:$U$14,MATCH(INDEX($AM$5:$AM$404,$AC467),อัตราค่าขนส่ง!$T$5:$T$14,0)),"รวมกลุ่ม "&amp;INDEX($AM$5:$AM$404,$AC467)),INDEX($AY$5:$AY$404,$AC467))))))</f>
        <v/>
      </c>
      <c r="B467" s="31" t="str">
        <f t="shared" si="196"/>
        <v/>
      </c>
      <c r="C467" s="8" t="str">
        <f t="shared" si="197"/>
        <v/>
      </c>
      <c r="D467" s="37" t="str">
        <f t="shared" si="198"/>
        <v/>
      </c>
      <c r="E467" s="31" t="str">
        <f t="shared" si="199"/>
        <v/>
      </c>
      <c r="F467" s="32" t="str">
        <f t="shared" si="200"/>
        <v/>
      </c>
      <c r="G467" s="32" t="str">
        <f t="shared" si="201"/>
        <v/>
      </c>
      <c r="H467" s="32" t="str">
        <f t="shared" si="202"/>
        <v/>
      </c>
      <c r="I467" s="32" t="str">
        <f t="shared" si="203"/>
        <v/>
      </c>
      <c r="J467" s="46" t="str">
        <f t="shared" si="204"/>
        <v/>
      </c>
      <c r="K467" s="32" t="str">
        <f t="shared" si="205"/>
        <v/>
      </c>
      <c r="L467" s="32" t="str">
        <f t="shared" si="206"/>
        <v/>
      </c>
      <c r="M467" s="32" t="str">
        <f t="shared" si="207"/>
        <v/>
      </c>
      <c r="N467" s="32" t="str">
        <f t="shared" si="208"/>
        <v/>
      </c>
      <c r="O467" s="32" t="str">
        <f t="shared" si="209"/>
        <v/>
      </c>
      <c r="AC467" t="str">
        <f>IFERROR(MATCH(463,$AB$5:$AB$404,1),"")</f>
        <v/>
      </c>
      <c r="AD467" t="str">
        <f>IF(463=$AI$1+1,"Z",IF($AC467="","",IF(INDEX($V$5:$V$404,$AC467)="","",IF(463&gt;INDEX($AB$5:$AB$404,$AC467)+INDEX($Z$5:$Z$404,$AC467)+INDEX($AA$5:$AA$404,$AC467)+INDEX($AO$5:$AO$404,$AC467),"",IF(463=INDEX($AB$5:$AB$404,$AC467)+INDEX($Z$5:$Z$404,$AC467),"D",IF(AND(INDEX($Z$5:$Z$404,$AC467)=1,463=INDEX($AB$5:$AB$404,$AC467)),"H",IF(AND(INDEX($AO$5:$AO$404,$AC467)=1,463=INDEX($AB$5:$AB$404,$AC467)+INDEX($Z$5:$Z$404,$AC467)+INDEX($AA$5:$AA$404,$AC467)+INDEX($AO$5:$AO$404,$AC467)),"B","T")))))))</f>
        <v/>
      </c>
      <c r="AF467" t="str">
        <f t="shared" si="210"/>
        <v/>
      </c>
      <c r="AJ467">
        <f>IF($AD467&lt;&gt;"T",0,ROUND(SUMIF(oil!$B$4:$B$63,$AF467,oil!$AE$4:$AE$63),2))</f>
        <v>0</v>
      </c>
      <c r="AQ467" t="str">
        <f t="shared" si="211"/>
        <v/>
      </c>
      <c r="AZ467">
        <f t="shared" si="212"/>
        <v>0</v>
      </c>
    </row>
    <row r="468" spans="1:52" ht="21" customHeight="1" x14ac:dyDescent="0.95">
      <c r="A468" s="36" t="str">
        <f>IF($AD468="","",IF($AD468="Z","รวมจ่ายทั้งสิ้น",IF($AD468="H",INDEX($X$5:$X$404,$AC468),IF($AD468="T","รวม",IF($AD468="B",IFERROR(INDEX(อัตราค่าขนส่ง!$U$5:$U$14,MATCH(INDEX($AM$5:$AM$404,$AC468),อัตราค่าขนส่ง!$T$5:$T$14,0)),"รวมกลุ่ม "&amp;INDEX($AM$5:$AM$404,$AC468)),INDEX($AY$5:$AY$404,$AC468))))))</f>
        <v/>
      </c>
      <c r="B468" s="31" t="str">
        <f t="shared" si="196"/>
        <v/>
      </c>
      <c r="C468" s="8" t="str">
        <f t="shared" si="197"/>
        <v/>
      </c>
      <c r="D468" s="37" t="str">
        <f t="shared" si="198"/>
        <v/>
      </c>
      <c r="E468" s="31" t="str">
        <f t="shared" si="199"/>
        <v/>
      </c>
      <c r="F468" s="32" t="str">
        <f t="shared" si="200"/>
        <v/>
      </c>
      <c r="G468" s="32" t="str">
        <f t="shared" si="201"/>
        <v/>
      </c>
      <c r="H468" s="32" t="str">
        <f t="shared" si="202"/>
        <v/>
      </c>
      <c r="I468" s="32" t="str">
        <f t="shared" si="203"/>
        <v/>
      </c>
      <c r="J468" s="46" t="str">
        <f t="shared" si="204"/>
        <v/>
      </c>
      <c r="K468" s="32" t="str">
        <f t="shared" si="205"/>
        <v/>
      </c>
      <c r="L468" s="32" t="str">
        <f t="shared" si="206"/>
        <v/>
      </c>
      <c r="M468" s="32" t="str">
        <f t="shared" si="207"/>
        <v/>
      </c>
      <c r="N468" s="32" t="str">
        <f t="shared" si="208"/>
        <v/>
      </c>
      <c r="O468" s="32" t="str">
        <f t="shared" si="209"/>
        <v/>
      </c>
      <c r="AC468" t="str">
        <f>IFERROR(MATCH(464,$AB$5:$AB$404,1),"")</f>
        <v/>
      </c>
      <c r="AD468" t="str">
        <f>IF(464=$AI$1+1,"Z",IF($AC468="","",IF(INDEX($V$5:$V$404,$AC468)="","",IF(464&gt;INDEX($AB$5:$AB$404,$AC468)+INDEX($Z$5:$Z$404,$AC468)+INDEX($AA$5:$AA$404,$AC468)+INDEX($AO$5:$AO$404,$AC468),"",IF(464=INDEX($AB$5:$AB$404,$AC468)+INDEX($Z$5:$Z$404,$AC468),"D",IF(AND(INDEX($Z$5:$Z$404,$AC468)=1,464=INDEX($AB$5:$AB$404,$AC468)),"H",IF(AND(INDEX($AO$5:$AO$404,$AC468)=1,464=INDEX($AB$5:$AB$404,$AC468)+INDEX($Z$5:$Z$404,$AC468)+INDEX($AA$5:$AA$404,$AC468)+INDEX($AO$5:$AO$404,$AC468)),"B","T")))))))</f>
        <v/>
      </c>
      <c r="AF468" t="str">
        <f t="shared" si="210"/>
        <v/>
      </c>
      <c r="AJ468">
        <f>IF($AD468&lt;&gt;"T",0,ROUND(SUMIF(oil!$B$4:$B$63,$AF468,oil!$AE$4:$AE$63),2))</f>
        <v>0</v>
      </c>
      <c r="AQ468" t="str">
        <f t="shared" si="211"/>
        <v/>
      </c>
      <c r="AZ468">
        <f t="shared" si="212"/>
        <v>0</v>
      </c>
    </row>
    <row r="469" spans="1:52" ht="21" customHeight="1" x14ac:dyDescent="0.95">
      <c r="A469" s="36" t="str">
        <f>IF($AD469="","",IF($AD469="Z","รวมจ่ายทั้งสิ้น",IF($AD469="H",INDEX($X$5:$X$404,$AC469),IF($AD469="T","รวม",IF($AD469="B",IFERROR(INDEX(อัตราค่าขนส่ง!$U$5:$U$14,MATCH(INDEX($AM$5:$AM$404,$AC469),อัตราค่าขนส่ง!$T$5:$T$14,0)),"รวมกลุ่ม "&amp;INDEX($AM$5:$AM$404,$AC469)),INDEX($AY$5:$AY$404,$AC469))))))</f>
        <v/>
      </c>
      <c r="B469" s="31" t="str">
        <f t="shared" si="196"/>
        <v/>
      </c>
      <c r="C469" s="8" t="str">
        <f t="shared" si="197"/>
        <v/>
      </c>
      <c r="D469" s="37" t="str">
        <f t="shared" si="198"/>
        <v/>
      </c>
      <c r="E469" s="31" t="str">
        <f t="shared" si="199"/>
        <v/>
      </c>
      <c r="F469" s="32" t="str">
        <f t="shared" si="200"/>
        <v/>
      </c>
      <c r="G469" s="32" t="str">
        <f t="shared" si="201"/>
        <v/>
      </c>
      <c r="H469" s="32" t="str">
        <f t="shared" si="202"/>
        <v/>
      </c>
      <c r="I469" s="32" t="str">
        <f t="shared" si="203"/>
        <v/>
      </c>
      <c r="J469" s="46" t="str">
        <f t="shared" si="204"/>
        <v/>
      </c>
      <c r="K469" s="32" t="str">
        <f t="shared" si="205"/>
        <v/>
      </c>
      <c r="L469" s="32" t="str">
        <f t="shared" si="206"/>
        <v/>
      </c>
      <c r="M469" s="32" t="str">
        <f t="shared" si="207"/>
        <v/>
      </c>
      <c r="N469" s="32" t="str">
        <f t="shared" si="208"/>
        <v/>
      </c>
      <c r="O469" s="32" t="str">
        <f t="shared" si="209"/>
        <v/>
      </c>
      <c r="AC469" t="str">
        <f>IFERROR(MATCH(465,$AB$5:$AB$404,1),"")</f>
        <v/>
      </c>
      <c r="AD469" t="str">
        <f>IF(465=$AI$1+1,"Z",IF($AC469="","",IF(INDEX($V$5:$V$404,$AC469)="","",IF(465&gt;INDEX($AB$5:$AB$404,$AC469)+INDEX($Z$5:$Z$404,$AC469)+INDEX($AA$5:$AA$404,$AC469)+INDEX($AO$5:$AO$404,$AC469),"",IF(465=INDEX($AB$5:$AB$404,$AC469)+INDEX($Z$5:$Z$404,$AC469),"D",IF(AND(INDEX($Z$5:$Z$404,$AC469)=1,465=INDEX($AB$5:$AB$404,$AC469)),"H",IF(AND(INDEX($AO$5:$AO$404,$AC469)=1,465=INDEX($AB$5:$AB$404,$AC469)+INDEX($Z$5:$Z$404,$AC469)+INDEX($AA$5:$AA$404,$AC469)+INDEX($AO$5:$AO$404,$AC469)),"B","T")))))))</f>
        <v/>
      </c>
      <c r="AF469" t="str">
        <f t="shared" si="210"/>
        <v/>
      </c>
      <c r="AJ469">
        <f>IF($AD469&lt;&gt;"T",0,ROUND(SUMIF(oil!$B$4:$B$63,$AF469,oil!$AE$4:$AE$63),2))</f>
        <v>0</v>
      </c>
      <c r="AQ469" t="str">
        <f t="shared" si="211"/>
        <v/>
      </c>
      <c r="AZ469">
        <f t="shared" si="212"/>
        <v>0</v>
      </c>
    </row>
    <row r="470" spans="1:52" ht="21" customHeight="1" x14ac:dyDescent="0.95">
      <c r="A470" s="36" t="str">
        <f>IF($AD470="","",IF($AD470="Z","รวมจ่ายทั้งสิ้น",IF($AD470="H",INDEX($X$5:$X$404,$AC470),IF($AD470="T","รวม",IF($AD470="B",IFERROR(INDEX(อัตราค่าขนส่ง!$U$5:$U$14,MATCH(INDEX($AM$5:$AM$404,$AC470),อัตราค่าขนส่ง!$T$5:$T$14,0)),"รวมกลุ่ม "&amp;INDEX($AM$5:$AM$404,$AC470)),INDEX($AY$5:$AY$404,$AC470))))))</f>
        <v/>
      </c>
      <c r="B470" s="31" t="str">
        <f t="shared" si="196"/>
        <v/>
      </c>
      <c r="C470" s="8" t="str">
        <f t="shared" si="197"/>
        <v/>
      </c>
      <c r="D470" s="37" t="str">
        <f t="shared" si="198"/>
        <v/>
      </c>
      <c r="E470" s="31" t="str">
        <f t="shared" si="199"/>
        <v/>
      </c>
      <c r="F470" s="32" t="str">
        <f t="shared" si="200"/>
        <v/>
      </c>
      <c r="G470" s="32" t="str">
        <f t="shared" si="201"/>
        <v/>
      </c>
      <c r="H470" s="32" t="str">
        <f t="shared" si="202"/>
        <v/>
      </c>
      <c r="I470" s="32" t="str">
        <f t="shared" si="203"/>
        <v/>
      </c>
      <c r="J470" s="46" t="str">
        <f t="shared" si="204"/>
        <v/>
      </c>
      <c r="K470" s="32" t="str">
        <f t="shared" si="205"/>
        <v/>
      </c>
      <c r="L470" s="32" t="str">
        <f t="shared" si="206"/>
        <v/>
      </c>
      <c r="M470" s="32" t="str">
        <f t="shared" si="207"/>
        <v/>
      </c>
      <c r="N470" s="32" t="str">
        <f t="shared" si="208"/>
        <v/>
      </c>
      <c r="O470" s="32" t="str">
        <f t="shared" si="209"/>
        <v/>
      </c>
      <c r="AC470" t="str">
        <f>IFERROR(MATCH(466,$AB$5:$AB$404,1),"")</f>
        <v/>
      </c>
      <c r="AD470" t="str">
        <f>IF(466=$AI$1+1,"Z",IF($AC470="","",IF(INDEX($V$5:$V$404,$AC470)="","",IF(466&gt;INDEX($AB$5:$AB$404,$AC470)+INDEX($Z$5:$Z$404,$AC470)+INDEX($AA$5:$AA$404,$AC470)+INDEX($AO$5:$AO$404,$AC470),"",IF(466=INDEX($AB$5:$AB$404,$AC470)+INDEX($Z$5:$Z$404,$AC470),"D",IF(AND(INDEX($Z$5:$Z$404,$AC470)=1,466=INDEX($AB$5:$AB$404,$AC470)),"H",IF(AND(INDEX($AO$5:$AO$404,$AC470)=1,466=INDEX($AB$5:$AB$404,$AC470)+INDEX($Z$5:$Z$404,$AC470)+INDEX($AA$5:$AA$404,$AC470)+INDEX($AO$5:$AO$404,$AC470)),"B","T")))))))</f>
        <v/>
      </c>
      <c r="AF470" t="str">
        <f t="shared" si="210"/>
        <v/>
      </c>
      <c r="AJ470">
        <f>IF($AD470&lt;&gt;"T",0,ROUND(SUMIF(oil!$B$4:$B$63,$AF470,oil!$AE$4:$AE$63),2))</f>
        <v>0</v>
      </c>
      <c r="AQ470" t="str">
        <f t="shared" si="211"/>
        <v/>
      </c>
      <c r="AZ470">
        <f t="shared" si="212"/>
        <v>0</v>
      </c>
    </row>
    <row r="471" spans="1:52" ht="21" customHeight="1" x14ac:dyDescent="0.95">
      <c r="A471" s="36" t="str">
        <f>IF($AD471="","",IF($AD471="Z","รวมจ่ายทั้งสิ้น",IF($AD471="H",INDEX($X$5:$X$404,$AC471),IF($AD471="T","รวม",IF($AD471="B",IFERROR(INDEX(อัตราค่าขนส่ง!$U$5:$U$14,MATCH(INDEX($AM$5:$AM$404,$AC471),อัตราค่าขนส่ง!$T$5:$T$14,0)),"รวมกลุ่ม "&amp;INDEX($AM$5:$AM$404,$AC471)),INDEX($AY$5:$AY$404,$AC471))))))</f>
        <v/>
      </c>
      <c r="B471" s="31" t="str">
        <f t="shared" si="196"/>
        <v/>
      </c>
      <c r="C471" s="8" t="str">
        <f t="shared" si="197"/>
        <v/>
      </c>
      <c r="D471" s="37" t="str">
        <f t="shared" si="198"/>
        <v/>
      </c>
      <c r="E471" s="31" t="str">
        <f t="shared" si="199"/>
        <v/>
      </c>
      <c r="F471" s="32" t="str">
        <f t="shared" si="200"/>
        <v/>
      </c>
      <c r="G471" s="32" t="str">
        <f t="shared" si="201"/>
        <v/>
      </c>
      <c r="H471" s="32" t="str">
        <f t="shared" si="202"/>
        <v/>
      </c>
      <c r="I471" s="32" t="str">
        <f t="shared" si="203"/>
        <v/>
      </c>
      <c r="J471" s="46" t="str">
        <f t="shared" si="204"/>
        <v/>
      </c>
      <c r="K471" s="32" t="str">
        <f t="shared" si="205"/>
        <v/>
      </c>
      <c r="L471" s="32" t="str">
        <f t="shared" si="206"/>
        <v/>
      </c>
      <c r="M471" s="32" t="str">
        <f t="shared" si="207"/>
        <v/>
      </c>
      <c r="N471" s="32" t="str">
        <f t="shared" si="208"/>
        <v/>
      </c>
      <c r="O471" s="32" t="str">
        <f t="shared" si="209"/>
        <v/>
      </c>
      <c r="AC471" t="str">
        <f>IFERROR(MATCH(467,$AB$5:$AB$404,1),"")</f>
        <v/>
      </c>
      <c r="AD471" t="str">
        <f>IF(467=$AI$1+1,"Z",IF($AC471="","",IF(INDEX($V$5:$V$404,$AC471)="","",IF(467&gt;INDEX($AB$5:$AB$404,$AC471)+INDEX($Z$5:$Z$404,$AC471)+INDEX($AA$5:$AA$404,$AC471)+INDEX($AO$5:$AO$404,$AC471),"",IF(467=INDEX($AB$5:$AB$404,$AC471)+INDEX($Z$5:$Z$404,$AC471),"D",IF(AND(INDEX($Z$5:$Z$404,$AC471)=1,467=INDEX($AB$5:$AB$404,$AC471)),"H",IF(AND(INDEX($AO$5:$AO$404,$AC471)=1,467=INDEX($AB$5:$AB$404,$AC471)+INDEX($Z$5:$Z$404,$AC471)+INDEX($AA$5:$AA$404,$AC471)+INDEX($AO$5:$AO$404,$AC471)),"B","T")))))))</f>
        <v/>
      </c>
      <c r="AF471" t="str">
        <f t="shared" si="210"/>
        <v/>
      </c>
      <c r="AJ471">
        <f>IF($AD471&lt;&gt;"T",0,ROUND(SUMIF(oil!$B$4:$B$63,$AF471,oil!$AE$4:$AE$63),2))</f>
        <v>0</v>
      </c>
      <c r="AQ471" t="str">
        <f t="shared" si="211"/>
        <v/>
      </c>
      <c r="AZ471">
        <f t="shared" si="212"/>
        <v>0</v>
      </c>
    </row>
    <row r="472" spans="1:52" ht="21" customHeight="1" x14ac:dyDescent="0.95">
      <c r="A472" s="36" t="str">
        <f>IF($AD472="","",IF($AD472="Z","รวมจ่ายทั้งสิ้น",IF($AD472="H",INDEX($X$5:$X$404,$AC472),IF($AD472="T","รวม",IF($AD472="B",IFERROR(INDEX(อัตราค่าขนส่ง!$U$5:$U$14,MATCH(INDEX($AM$5:$AM$404,$AC472),อัตราค่าขนส่ง!$T$5:$T$14,0)),"รวมกลุ่ม "&amp;INDEX($AM$5:$AM$404,$AC472)),INDEX($AY$5:$AY$404,$AC472))))))</f>
        <v/>
      </c>
      <c r="B472" s="31" t="str">
        <f t="shared" si="196"/>
        <v/>
      </c>
      <c r="C472" s="8" t="str">
        <f t="shared" si="197"/>
        <v/>
      </c>
      <c r="D472" s="37" t="str">
        <f t="shared" si="198"/>
        <v/>
      </c>
      <c r="E472" s="31" t="str">
        <f t="shared" si="199"/>
        <v/>
      </c>
      <c r="F472" s="32" t="str">
        <f t="shared" si="200"/>
        <v/>
      </c>
      <c r="G472" s="32" t="str">
        <f t="shared" si="201"/>
        <v/>
      </c>
      <c r="H472" s="32" t="str">
        <f t="shared" si="202"/>
        <v/>
      </c>
      <c r="I472" s="32" t="str">
        <f t="shared" si="203"/>
        <v/>
      </c>
      <c r="J472" s="46" t="str">
        <f t="shared" si="204"/>
        <v/>
      </c>
      <c r="K472" s="32" t="str">
        <f t="shared" si="205"/>
        <v/>
      </c>
      <c r="L472" s="32" t="str">
        <f t="shared" si="206"/>
        <v/>
      </c>
      <c r="M472" s="32" t="str">
        <f t="shared" si="207"/>
        <v/>
      </c>
      <c r="N472" s="32" t="str">
        <f t="shared" si="208"/>
        <v/>
      </c>
      <c r="O472" s="32" t="str">
        <f t="shared" si="209"/>
        <v/>
      </c>
      <c r="AC472" t="str">
        <f>IFERROR(MATCH(468,$AB$5:$AB$404,1),"")</f>
        <v/>
      </c>
      <c r="AD472" t="str">
        <f>IF(468=$AI$1+1,"Z",IF($AC472="","",IF(INDEX($V$5:$V$404,$AC472)="","",IF(468&gt;INDEX($AB$5:$AB$404,$AC472)+INDEX($Z$5:$Z$404,$AC472)+INDEX($AA$5:$AA$404,$AC472)+INDEX($AO$5:$AO$404,$AC472),"",IF(468=INDEX($AB$5:$AB$404,$AC472)+INDEX($Z$5:$Z$404,$AC472),"D",IF(AND(INDEX($Z$5:$Z$404,$AC472)=1,468=INDEX($AB$5:$AB$404,$AC472)),"H",IF(AND(INDEX($AO$5:$AO$404,$AC472)=1,468=INDEX($AB$5:$AB$404,$AC472)+INDEX($Z$5:$Z$404,$AC472)+INDEX($AA$5:$AA$404,$AC472)+INDEX($AO$5:$AO$404,$AC472)),"B","T")))))))</f>
        <v/>
      </c>
      <c r="AF472" t="str">
        <f t="shared" si="210"/>
        <v/>
      </c>
      <c r="AJ472">
        <f>IF($AD472&lt;&gt;"T",0,ROUND(SUMIF(oil!$B$4:$B$63,$AF472,oil!$AE$4:$AE$63),2))</f>
        <v>0</v>
      </c>
      <c r="AQ472" t="str">
        <f t="shared" si="211"/>
        <v/>
      </c>
      <c r="AZ472">
        <f t="shared" si="212"/>
        <v>0</v>
      </c>
    </row>
    <row r="473" spans="1:52" ht="21" customHeight="1" x14ac:dyDescent="0.95">
      <c r="A473" s="36" t="str">
        <f>IF($AD473="","",IF($AD473="Z","รวมจ่ายทั้งสิ้น",IF($AD473="H",INDEX($X$5:$X$404,$AC473),IF($AD473="T","รวม",IF($AD473="B",IFERROR(INDEX(อัตราค่าขนส่ง!$U$5:$U$14,MATCH(INDEX($AM$5:$AM$404,$AC473),อัตราค่าขนส่ง!$T$5:$T$14,0)),"รวมกลุ่ม "&amp;INDEX($AM$5:$AM$404,$AC473)),INDEX($AY$5:$AY$404,$AC473))))))</f>
        <v/>
      </c>
      <c r="B473" s="31" t="str">
        <f t="shared" si="196"/>
        <v/>
      </c>
      <c r="C473" s="8" t="str">
        <f t="shared" si="197"/>
        <v/>
      </c>
      <c r="D473" s="37" t="str">
        <f t="shared" si="198"/>
        <v/>
      </c>
      <c r="E473" s="31" t="str">
        <f t="shared" si="199"/>
        <v/>
      </c>
      <c r="F473" s="32" t="str">
        <f t="shared" si="200"/>
        <v/>
      </c>
      <c r="G473" s="32" t="str">
        <f t="shared" si="201"/>
        <v/>
      </c>
      <c r="H473" s="32" t="str">
        <f t="shared" si="202"/>
        <v/>
      </c>
      <c r="I473" s="32" t="str">
        <f t="shared" si="203"/>
        <v/>
      </c>
      <c r="J473" s="46" t="str">
        <f t="shared" si="204"/>
        <v/>
      </c>
      <c r="K473" s="32" t="str">
        <f t="shared" si="205"/>
        <v/>
      </c>
      <c r="L473" s="32" t="str">
        <f t="shared" si="206"/>
        <v/>
      </c>
      <c r="M473" s="32" t="str">
        <f t="shared" si="207"/>
        <v/>
      </c>
      <c r="N473" s="32" t="str">
        <f t="shared" si="208"/>
        <v/>
      </c>
      <c r="O473" s="32" t="str">
        <f t="shared" si="209"/>
        <v/>
      </c>
      <c r="AC473" t="str">
        <f>IFERROR(MATCH(469,$AB$5:$AB$404,1),"")</f>
        <v/>
      </c>
      <c r="AD473" t="str">
        <f>IF(469=$AI$1+1,"Z",IF($AC473="","",IF(INDEX($V$5:$V$404,$AC473)="","",IF(469&gt;INDEX($AB$5:$AB$404,$AC473)+INDEX($Z$5:$Z$404,$AC473)+INDEX($AA$5:$AA$404,$AC473)+INDEX($AO$5:$AO$404,$AC473),"",IF(469=INDEX($AB$5:$AB$404,$AC473)+INDEX($Z$5:$Z$404,$AC473),"D",IF(AND(INDEX($Z$5:$Z$404,$AC473)=1,469=INDEX($AB$5:$AB$404,$AC473)),"H",IF(AND(INDEX($AO$5:$AO$404,$AC473)=1,469=INDEX($AB$5:$AB$404,$AC473)+INDEX($Z$5:$Z$404,$AC473)+INDEX($AA$5:$AA$404,$AC473)+INDEX($AO$5:$AO$404,$AC473)),"B","T")))))))</f>
        <v/>
      </c>
      <c r="AF473" t="str">
        <f t="shared" si="210"/>
        <v/>
      </c>
      <c r="AJ473">
        <f>IF($AD473&lt;&gt;"T",0,ROUND(SUMIF(oil!$B$4:$B$63,$AF473,oil!$AE$4:$AE$63),2))</f>
        <v>0</v>
      </c>
      <c r="AQ473" t="str">
        <f t="shared" si="211"/>
        <v/>
      </c>
      <c r="AZ473">
        <f t="shared" si="212"/>
        <v>0</v>
      </c>
    </row>
    <row r="474" spans="1:52" ht="21" customHeight="1" x14ac:dyDescent="0.95">
      <c r="A474" s="36" t="str">
        <f>IF($AD474="","",IF($AD474="Z","รวมจ่ายทั้งสิ้น",IF($AD474="H",INDEX($X$5:$X$404,$AC474),IF($AD474="T","รวม",IF($AD474="B",IFERROR(INDEX(อัตราค่าขนส่ง!$U$5:$U$14,MATCH(INDEX($AM$5:$AM$404,$AC474),อัตราค่าขนส่ง!$T$5:$T$14,0)),"รวมกลุ่ม "&amp;INDEX($AM$5:$AM$404,$AC474)),INDEX($AY$5:$AY$404,$AC474))))))</f>
        <v/>
      </c>
      <c r="B474" s="31" t="str">
        <f t="shared" si="196"/>
        <v/>
      </c>
      <c r="C474" s="8" t="str">
        <f t="shared" si="197"/>
        <v/>
      </c>
      <c r="D474" s="37" t="str">
        <f t="shared" si="198"/>
        <v/>
      </c>
      <c r="E474" s="31" t="str">
        <f t="shared" si="199"/>
        <v/>
      </c>
      <c r="F474" s="32" t="str">
        <f t="shared" si="200"/>
        <v/>
      </c>
      <c r="G474" s="32" t="str">
        <f t="shared" si="201"/>
        <v/>
      </c>
      <c r="H474" s="32" t="str">
        <f t="shared" si="202"/>
        <v/>
      </c>
      <c r="I474" s="32" t="str">
        <f t="shared" si="203"/>
        <v/>
      </c>
      <c r="J474" s="46" t="str">
        <f t="shared" si="204"/>
        <v/>
      </c>
      <c r="K474" s="32" t="str">
        <f t="shared" si="205"/>
        <v/>
      </c>
      <c r="L474" s="32" t="str">
        <f t="shared" si="206"/>
        <v/>
      </c>
      <c r="M474" s="32" t="str">
        <f t="shared" si="207"/>
        <v/>
      </c>
      <c r="N474" s="32" t="str">
        <f t="shared" si="208"/>
        <v/>
      </c>
      <c r="O474" s="32" t="str">
        <f t="shared" si="209"/>
        <v/>
      </c>
      <c r="AC474" t="str">
        <f>IFERROR(MATCH(470,$AB$5:$AB$404,1),"")</f>
        <v/>
      </c>
      <c r="AD474" t="str">
        <f>IF(470=$AI$1+1,"Z",IF($AC474="","",IF(INDEX($V$5:$V$404,$AC474)="","",IF(470&gt;INDEX($AB$5:$AB$404,$AC474)+INDEX($Z$5:$Z$404,$AC474)+INDEX($AA$5:$AA$404,$AC474)+INDEX($AO$5:$AO$404,$AC474),"",IF(470=INDEX($AB$5:$AB$404,$AC474)+INDEX($Z$5:$Z$404,$AC474),"D",IF(AND(INDEX($Z$5:$Z$404,$AC474)=1,470=INDEX($AB$5:$AB$404,$AC474)),"H",IF(AND(INDEX($AO$5:$AO$404,$AC474)=1,470=INDEX($AB$5:$AB$404,$AC474)+INDEX($Z$5:$Z$404,$AC474)+INDEX($AA$5:$AA$404,$AC474)+INDEX($AO$5:$AO$404,$AC474)),"B","T")))))))</f>
        <v/>
      </c>
      <c r="AF474" t="str">
        <f t="shared" si="210"/>
        <v/>
      </c>
      <c r="AJ474">
        <f>IF($AD474&lt;&gt;"T",0,ROUND(SUMIF(oil!$B$4:$B$63,$AF474,oil!$AE$4:$AE$63),2))</f>
        <v>0</v>
      </c>
      <c r="AQ474" t="str">
        <f t="shared" si="211"/>
        <v/>
      </c>
      <c r="AZ474">
        <f t="shared" si="212"/>
        <v>0</v>
      </c>
    </row>
    <row r="475" spans="1:52" ht="21" customHeight="1" x14ac:dyDescent="0.95">
      <c r="A475" s="36" t="str">
        <f>IF($AD475="","",IF($AD475="Z","รวมจ่ายทั้งสิ้น",IF($AD475="H",INDEX($X$5:$X$404,$AC475),IF($AD475="T","รวม",IF($AD475="B",IFERROR(INDEX(อัตราค่าขนส่ง!$U$5:$U$14,MATCH(INDEX($AM$5:$AM$404,$AC475),อัตราค่าขนส่ง!$T$5:$T$14,0)),"รวมกลุ่ม "&amp;INDEX($AM$5:$AM$404,$AC475)),INDEX($AY$5:$AY$404,$AC475))))))</f>
        <v/>
      </c>
      <c r="B475" s="31" t="str">
        <f t="shared" si="196"/>
        <v/>
      </c>
      <c r="C475" s="8" t="str">
        <f t="shared" si="197"/>
        <v/>
      </c>
      <c r="D475" s="37" t="str">
        <f t="shared" si="198"/>
        <v/>
      </c>
      <c r="E475" s="31" t="str">
        <f t="shared" si="199"/>
        <v/>
      </c>
      <c r="F475" s="32" t="str">
        <f t="shared" si="200"/>
        <v/>
      </c>
      <c r="G475" s="32" t="str">
        <f t="shared" si="201"/>
        <v/>
      </c>
      <c r="H475" s="32" t="str">
        <f t="shared" si="202"/>
        <v/>
      </c>
      <c r="I475" s="32" t="str">
        <f t="shared" si="203"/>
        <v/>
      </c>
      <c r="J475" s="46" t="str">
        <f t="shared" si="204"/>
        <v/>
      </c>
      <c r="K475" s="32" t="str">
        <f t="shared" si="205"/>
        <v/>
      </c>
      <c r="L475" s="32" t="str">
        <f t="shared" si="206"/>
        <v/>
      </c>
      <c r="M475" s="32" t="str">
        <f t="shared" si="207"/>
        <v/>
      </c>
      <c r="N475" s="32" t="str">
        <f t="shared" si="208"/>
        <v/>
      </c>
      <c r="O475" s="32" t="str">
        <f t="shared" si="209"/>
        <v/>
      </c>
      <c r="AC475" t="str">
        <f>IFERROR(MATCH(471,$AB$5:$AB$404,1),"")</f>
        <v/>
      </c>
      <c r="AD475" t="str">
        <f>IF(471=$AI$1+1,"Z",IF($AC475="","",IF(INDEX($V$5:$V$404,$AC475)="","",IF(471&gt;INDEX($AB$5:$AB$404,$AC475)+INDEX($Z$5:$Z$404,$AC475)+INDEX($AA$5:$AA$404,$AC475)+INDEX($AO$5:$AO$404,$AC475),"",IF(471=INDEX($AB$5:$AB$404,$AC475)+INDEX($Z$5:$Z$404,$AC475),"D",IF(AND(INDEX($Z$5:$Z$404,$AC475)=1,471=INDEX($AB$5:$AB$404,$AC475)),"H",IF(AND(INDEX($AO$5:$AO$404,$AC475)=1,471=INDEX($AB$5:$AB$404,$AC475)+INDEX($Z$5:$Z$404,$AC475)+INDEX($AA$5:$AA$404,$AC475)+INDEX($AO$5:$AO$404,$AC475)),"B","T")))))))</f>
        <v/>
      </c>
      <c r="AF475" t="str">
        <f t="shared" si="210"/>
        <v/>
      </c>
      <c r="AJ475">
        <f>IF($AD475&lt;&gt;"T",0,ROUND(SUMIF(oil!$B$4:$B$63,$AF475,oil!$AE$4:$AE$63),2))</f>
        <v>0</v>
      </c>
      <c r="AQ475" t="str">
        <f t="shared" si="211"/>
        <v/>
      </c>
      <c r="AZ475">
        <f t="shared" si="212"/>
        <v>0</v>
      </c>
    </row>
    <row r="476" spans="1:52" ht="21" customHeight="1" x14ac:dyDescent="0.95">
      <c r="A476" s="36" t="str">
        <f>IF($AD476="","",IF($AD476="Z","รวมจ่ายทั้งสิ้น",IF($AD476="H",INDEX($X$5:$X$404,$AC476),IF($AD476="T","รวม",IF($AD476="B",IFERROR(INDEX(อัตราค่าขนส่ง!$U$5:$U$14,MATCH(INDEX($AM$5:$AM$404,$AC476),อัตราค่าขนส่ง!$T$5:$T$14,0)),"รวมกลุ่ม "&amp;INDEX($AM$5:$AM$404,$AC476)),INDEX($AY$5:$AY$404,$AC476))))))</f>
        <v/>
      </c>
      <c r="B476" s="31" t="str">
        <f t="shared" si="196"/>
        <v/>
      </c>
      <c r="C476" s="8" t="str">
        <f t="shared" si="197"/>
        <v/>
      </c>
      <c r="D476" s="37" t="str">
        <f t="shared" si="198"/>
        <v/>
      </c>
      <c r="E476" s="31" t="str">
        <f t="shared" si="199"/>
        <v/>
      </c>
      <c r="F476" s="32" t="str">
        <f t="shared" si="200"/>
        <v/>
      </c>
      <c r="G476" s="32" t="str">
        <f t="shared" si="201"/>
        <v/>
      </c>
      <c r="H476" s="32" t="str">
        <f t="shared" si="202"/>
        <v/>
      </c>
      <c r="I476" s="32" t="str">
        <f t="shared" si="203"/>
        <v/>
      </c>
      <c r="J476" s="46" t="str">
        <f t="shared" si="204"/>
        <v/>
      </c>
      <c r="K476" s="32" t="str">
        <f t="shared" si="205"/>
        <v/>
      </c>
      <c r="L476" s="32" t="str">
        <f t="shared" si="206"/>
        <v/>
      </c>
      <c r="M476" s="32" t="str">
        <f t="shared" si="207"/>
        <v/>
      </c>
      <c r="N476" s="32" t="str">
        <f t="shared" si="208"/>
        <v/>
      </c>
      <c r="O476" s="32" t="str">
        <f t="shared" si="209"/>
        <v/>
      </c>
      <c r="AC476" t="str">
        <f>IFERROR(MATCH(472,$AB$5:$AB$404,1),"")</f>
        <v/>
      </c>
      <c r="AD476" t="str">
        <f>IF(472=$AI$1+1,"Z",IF($AC476="","",IF(INDEX($V$5:$V$404,$AC476)="","",IF(472&gt;INDEX($AB$5:$AB$404,$AC476)+INDEX($Z$5:$Z$404,$AC476)+INDEX($AA$5:$AA$404,$AC476)+INDEX($AO$5:$AO$404,$AC476),"",IF(472=INDEX($AB$5:$AB$404,$AC476)+INDEX($Z$5:$Z$404,$AC476),"D",IF(AND(INDEX($Z$5:$Z$404,$AC476)=1,472=INDEX($AB$5:$AB$404,$AC476)),"H",IF(AND(INDEX($AO$5:$AO$404,$AC476)=1,472=INDEX($AB$5:$AB$404,$AC476)+INDEX($Z$5:$Z$404,$AC476)+INDEX($AA$5:$AA$404,$AC476)+INDEX($AO$5:$AO$404,$AC476)),"B","T")))))))</f>
        <v/>
      </c>
      <c r="AF476" t="str">
        <f t="shared" si="210"/>
        <v/>
      </c>
      <c r="AJ476">
        <f>IF($AD476&lt;&gt;"T",0,ROUND(SUMIF(oil!$B$4:$B$63,$AF476,oil!$AE$4:$AE$63),2))</f>
        <v>0</v>
      </c>
      <c r="AQ476" t="str">
        <f t="shared" si="211"/>
        <v/>
      </c>
      <c r="AZ476">
        <f t="shared" si="212"/>
        <v>0</v>
      </c>
    </row>
    <row r="477" spans="1:52" ht="21" customHeight="1" x14ac:dyDescent="0.95">
      <c r="A477" s="36" t="str">
        <f>IF($AD477="","",IF($AD477="Z","รวมจ่ายทั้งสิ้น",IF($AD477="H",INDEX($X$5:$X$404,$AC477),IF($AD477="T","รวม",IF($AD477="B",IFERROR(INDEX(อัตราค่าขนส่ง!$U$5:$U$14,MATCH(INDEX($AM$5:$AM$404,$AC477),อัตราค่าขนส่ง!$T$5:$T$14,0)),"รวมกลุ่ม "&amp;INDEX($AM$5:$AM$404,$AC477)),INDEX($AY$5:$AY$404,$AC477))))))</f>
        <v/>
      </c>
      <c r="B477" s="31" t="str">
        <f t="shared" si="196"/>
        <v/>
      </c>
      <c r="C477" s="8" t="str">
        <f t="shared" si="197"/>
        <v/>
      </c>
      <c r="D477" s="37" t="str">
        <f t="shared" si="198"/>
        <v/>
      </c>
      <c r="E477" s="31" t="str">
        <f t="shared" si="199"/>
        <v/>
      </c>
      <c r="F477" s="32" t="str">
        <f t="shared" si="200"/>
        <v/>
      </c>
      <c r="G477" s="32" t="str">
        <f t="shared" si="201"/>
        <v/>
      </c>
      <c r="H477" s="32" t="str">
        <f t="shared" si="202"/>
        <v/>
      </c>
      <c r="I477" s="32" t="str">
        <f t="shared" si="203"/>
        <v/>
      </c>
      <c r="J477" s="46" t="str">
        <f t="shared" si="204"/>
        <v/>
      </c>
      <c r="K477" s="32" t="str">
        <f t="shared" si="205"/>
        <v/>
      </c>
      <c r="L477" s="32" t="str">
        <f t="shared" si="206"/>
        <v/>
      </c>
      <c r="M477" s="32" t="str">
        <f t="shared" si="207"/>
        <v/>
      </c>
      <c r="N477" s="32" t="str">
        <f t="shared" si="208"/>
        <v/>
      </c>
      <c r="O477" s="32" t="str">
        <f t="shared" si="209"/>
        <v/>
      </c>
      <c r="AC477" t="str">
        <f>IFERROR(MATCH(473,$AB$5:$AB$404,1),"")</f>
        <v/>
      </c>
      <c r="AD477" t="str">
        <f>IF(473=$AI$1+1,"Z",IF($AC477="","",IF(INDEX($V$5:$V$404,$AC477)="","",IF(473&gt;INDEX($AB$5:$AB$404,$AC477)+INDEX($Z$5:$Z$404,$AC477)+INDEX($AA$5:$AA$404,$AC477)+INDEX($AO$5:$AO$404,$AC477),"",IF(473=INDEX($AB$5:$AB$404,$AC477)+INDEX($Z$5:$Z$404,$AC477),"D",IF(AND(INDEX($Z$5:$Z$404,$AC477)=1,473=INDEX($AB$5:$AB$404,$AC477)),"H",IF(AND(INDEX($AO$5:$AO$404,$AC477)=1,473=INDEX($AB$5:$AB$404,$AC477)+INDEX($Z$5:$Z$404,$AC477)+INDEX($AA$5:$AA$404,$AC477)+INDEX($AO$5:$AO$404,$AC477)),"B","T")))))))</f>
        <v/>
      </c>
      <c r="AF477" t="str">
        <f t="shared" si="210"/>
        <v/>
      </c>
      <c r="AJ477">
        <f>IF($AD477&lt;&gt;"T",0,ROUND(SUMIF(oil!$B$4:$B$63,$AF477,oil!$AE$4:$AE$63),2))</f>
        <v>0</v>
      </c>
      <c r="AQ477" t="str">
        <f t="shared" si="211"/>
        <v/>
      </c>
      <c r="AZ477">
        <f t="shared" si="212"/>
        <v>0</v>
      </c>
    </row>
    <row r="478" spans="1:52" ht="21" customHeight="1" x14ac:dyDescent="0.95">
      <c r="A478" s="36" t="str">
        <f>IF($AD478="","",IF($AD478="Z","รวมจ่ายทั้งสิ้น",IF($AD478="H",INDEX($X$5:$X$404,$AC478),IF($AD478="T","รวม",IF($AD478="B",IFERROR(INDEX(อัตราค่าขนส่ง!$U$5:$U$14,MATCH(INDEX($AM$5:$AM$404,$AC478),อัตราค่าขนส่ง!$T$5:$T$14,0)),"รวมกลุ่ม "&amp;INDEX($AM$5:$AM$404,$AC478)),INDEX($AY$5:$AY$404,$AC478))))))</f>
        <v/>
      </c>
      <c r="B478" s="31" t="str">
        <f t="shared" si="196"/>
        <v/>
      </c>
      <c r="C478" s="8" t="str">
        <f t="shared" si="197"/>
        <v/>
      </c>
      <c r="D478" s="37" t="str">
        <f t="shared" si="198"/>
        <v/>
      </c>
      <c r="E478" s="31" t="str">
        <f t="shared" si="199"/>
        <v/>
      </c>
      <c r="F478" s="32" t="str">
        <f t="shared" si="200"/>
        <v/>
      </c>
      <c r="G478" s="32" t="str">
        <f t="shared" si="201"/>
        <v/>
      </c>
      <c r="H478" s="32" t="str">
        <f t="shared" si="202"/>
        <v/>
      </c>
      <c r="I478" s="32" t="str">
        <f t="shared" si="203"/>
        <v/>
      </c>
      <c r="J478" s="46" t="str">
        <f t="shared" si="204"/>
        <v/>
      </c>
      <c r="K478" s="32" t="str">
        <f t="shared" si="205"/>
        <v/>
      </c>
      <c r="L478" s="32" t="str">
        <f t="shared" si="206"/>
        <v/>
      </c>
      <c r="M478" s="32" t="str">
        <f t="shared" si="207"/>
        <v/>
      </c>
      <c r="N478" s="32" t="str">
        <f t="shared" si="208"/>
        <v/>
      </c>
      <c r="O478" s="32" t="str">
        <f t="shared" si="209"/>
        <v/>
      </c>
      <c r="AC478" t="str">
        <f>IFERROR(MATCH(474,$AB$5:$AB$404,1),"")</f>
        <v/>
      </c>
      <c r="AD478" t="str">
        <f>IF(474=$AI$1+1,"Z",IF($AC478="","",IF(INDEX($V$5:$V$404,$AC478)="","",IF(474&gt;INDEX($AB$5:$AB$404,$AC478)+INDEX($Z$5:$Z$404,$AC478)+INDEX($AA$5:$AA$404,$AC478)+INDEX($AO$5:$AO$404,$AC478),"",IF(474=INDEX($AB$5:$AB$404,$AC478)+INDEX($Z$5:$Z$404,$AC478),"D",IF(AND(INDEX($Z$5:$Z$404,$AC478)=1,474=INDEX($AB$5:$AB$404,$AC478)),"H",IF(AND(INDEX($AO$5:$AO$404,$AC478)=1,474=INDEX($AB$5:$AB$404,$AC478)+INDEX($Z$5:$Z$404,$AC478)+INDEX($AA$5:$AA$404,$AC478)+INDEX($AO$5:$AO$404,$AC478)),"B","T")))))))</f>
        <v/>
      </c>
      <c r="AF478" t="str">
        <f t="shared" si="210"/>
        <v/>
      </c>
      <c r="AJ478">
        <f>IF($AD478&lt;&gt;"T",0,ROUND(SUMIF(oil!$B$4:$B$63,$AF478,oil!$AE$4:$AE$63),2))</f>
        <v>0</v>
      </c>
      <c r="AQ478" t="str">
        <f t="shared" si="211"/>
        <v/>
      </c>
      <c r="AZ478">
        <f t="shared" si="212"/>
        <v>0</v>
      </c>
    </row>
    <row r="479" spans="1:52" ht="21" customHeight="1" x14ac:dyDescent="0.95">
      <c r="A479" s="36" t="str">
        <f>IF($AD479="","",IF($AD479="Z","รวมจ่ายทั้งสิ้น",IF($AD479="H",INDEX($X$5:$X$404,$AC479),IF($AD479="T","รวม",IF($AD479="B",IFERROR(INDEX(อัตราค่าขนส่ง!$U$5:$U$14,MATCH(INDEX($AM$5:$AM$404,$AC479),อัตราค่าขนส่ง!$T$5:$T$14,0)),"รวมกลุ่ม "&amp;INDEX($AM$5:$AM$404,$AC479)),INDEX($AY$5:$AY$404,$AC479))))))</f>
        <v/>
      </c>
      <c r="B479" s="31" t="str">
        <f t="shared" si="196"/>
        <v/>
      </c>
      <c r="C479" s="8" t="str">
        <f t="shared" si="197"/>
        <v/>
      </c>
      <c r="D479" s="37" t="str">
        <f t="shared" si="198"/>
        <v/>
      </c>
      <c r="E479" s="31" t="str">
        <f t="shared" si="199"/>
        <v/>
      </c>
      <c r="F479" s="32" t="str">
        <f t="shared" si="200"/>
        <v/>
      </c>
      <c r="G479" s="32" t="str">
        <f t="shared" si="201"/>
        <v/>
      </c>
      <c r="H479" s="32" t="str">
        <f t="shared" si="202"/>
        <v/>
      </c>
      <c r="I479" s="32" t="str">
        <f t="shared" si="203"/>
        <v/>
      </c>
      <c r="J479" s="46" t="str">
        <f t="shared" si="204"/>
        <v/>
      </c>
      <c r="K479" s="32" t="str">
        <f t="shared" si="205"/>
        <v/>
      </c>
      <c r="L479" s="32" t="str">
        <f t="shared" si="206"/>
        <v/>
      </c>
      <c r="M479" s="32" t="str">
        <f t="shared" si="207"/>
        <v/>
      </c>
      <c r="N479" s="32" t="str">
        <f t="shared" si="208"/>
        <v/>
      </c>
      <c r="O479" s="32" t="str">
        <f t="shared" si="209"/>
        <v/>
      </c>
      <c r="AC479" t="str">
        <f>IFERROR(MATCH(475,$AB$5:$AB$404,1),"")</f>
        <v/>
      </c>
      <c r="AD479" t="str">
        <f>IF(475=$AI$1+1,"Z",IF($AC479="","",IF(INDEX($V$5:$V$404,$AC479)="","",IF(475&gt;INDEX($AB$5:$AB$404,$AC479)+INDEX($Z$5:$Z$404,$AC479)+INDEX($AA$5:$AA$404,$AC479)+INDEX($AO$5:$AO$404,$AC479),"",IF(475=INDEX($AB$5:$AB$404,$AC479)+INDEX($Z$5:$Z$404,$AC479),"D",IF(AND(INDEX($Z$5:$Z$404,$AC479)=1,475=INDEX($AB$5:$AB$404,$AC479)),"H",IF(AND(INDEX($AO$5:$AO$404,$AC479)=1,475=INDEX($AB$5:$AB$404,$AC479)+INDEX($Z$5:$Z$404,$AC479)+INDEX($AA$5:$AA$404,$AC479)+INDEX($AO$5:$AO$404,$AC479)),"B","T")))))))</f>
        <v/>
      </c>
      <c r="AF479" t="str">
        <f t="shared" si="210"/>
        <v/>
      </c>
      <c r="AJ479">
        <f>IF($AD479&lt;&gt;"T",0,ROUND(SUMIF(oil!$B$4:$B$63,$AF479,oil!$AE$4:$AE$63),2))</f>
        <v>0</v>
      </c>
      <c r="AQ479" t="str">
        <f t="shared" si="211"/>
        <v/>
      </c>
      <c r="AZ479">
        <f t="shared" si="212"/>
        <v>0</v>
      </c>
    </row>
    <row r="480" spans="1:52" ht="21" customHeight="1" x14ac:dyDescent="0.95">
      <c r="A480" s="36" t="str">
        <f>IF($AD480="","",IF($AD480="Z","รวมจ่ายทั้งสิ้น",IF($AD480="H",INDEX($X$5:$X$404,$AC480),IF($AD480="T","รวม",IF($AD480="B",IFERROR(INDEX(อัตราค่าขนส่ง!$U$5:$U$14,MATCH(INDEX($AM$5:$AM$404,$AC480),อัตราค่าขนส่ง!$T$5:$T$14,0)),"รวมกลุ่ม "&amp;INDEX($AM$5:$AM$404,$AC480)),INDEX($AY$5:$AY$404,$AC480))))))</f>
        <v/>
      </c>
      <c r="B480" s="31" t="str">
        <f t="shared" si="196"/>
        <v/>
      </c>
      <c r="C480" s="8" t="str">
        <f t="shared" si="197"/>
        <v/>
      </c>
      <c r="D480" s="37" t="str">
        <f t="shared" si="198"/>
        <v/>
      </c>
      <c r="E480" s="31" t="str">
        <f t="shared" si="199"/>
        <v/>
      </c>
      <c r="F480" s="32" t="str">
        <f t="shared" si="200"/>
        <v/>
      </c>
      <c r="G480" s="32" t="str">
        <f t="shared" si="201"/>
        <v/>
      </c>
      <c r="H480" s="32" t="str">
        <f t="shared" si="202"/>
        <v/>
      </c>
      <c r="I480" s="32" t="str">
        <f t="shared" si="203"/>
        <v/>
      </c>
      <c r="J480" s="46" t="str">
        <f t="shared" si="204"/>
        <v/>
      </c>
      <c r="K480" s="32" t="str">
        <f t="shared" si="205"/>
        <v/>
      </c>
      <c r="L480" s="32" t="str">
        <f t="shared" si="206"/>
        <v/>
      </c>
      <c r="M480" s="32" t="str">
        <f t="shared" si="207"/>
        <v/>
      </c>
      <c r="N480" s="32" t="str">
        <f t="shared" si="208"/>
        <v/>
      </c>
      <c r="O480" s="32" t="str">
        <f t="shared" si="209"/>
        <v/>
      </c>
      <c r="AC480" t="str">
        <f>IFERROR(MATCH(476,$AB$5:$AB$404,1),"")</f>
        <v/>
      </c>
      <c r="AD480" t="str">
        <f>IF(476=$AI$1+1,"Z",IF($AC480="","",IF(INDEX($V$5:$V$404,$AC480)="","",IF(476&gt;INDEX($AB$5:$AB$404,$AC480)+INDEX($Z$5:$Z$404,$AC480)+INDEX($AA$5:$AA$404,$AC480)+INDEX($AO$5:$AO$404,$AC480),"",IF(476=INDEX($AB$5:$AB$404,$AC480)+INDEX($Z$5:$Z$404,$AC480),"D",IF(AND(INDEX($Z$5:$Z$404,$AC480)=1,476=INDEX($AB$5:$AB$404,$AC480)),"H",IF(AND(INDEX($AO$5:$AO$404,$AC480)=1,476=INDEX($AB$5:$AB$404,$AC480)+INDEX($Z$5:$Z$404,$AC480)+INDEX($AA$5:$AA$404,$AC480)+INDEX($AO$5:$AO$404,$AC480)),"B","T")))))))</f>
        <v/>
      </c>
      <c r="AF480" t="str">
        <f t="shared" si="210"/>
        <v/>
      </c>
      <c r="AJ480">
        <f>IF($AD480&lt;&gt;"T",0,ROUND(SUMIF(oil!$B$4:$B$63,$AF480,oil!$AE$4:$AE$63),2))</f>
        <v>0</v>
      </c>
      <c r="AQ480" t="str">
        <f t="shared" si="211"/>
        <v/>
      </c>
      <c r="AZ480">
        <f t="shared" si="212"/>
        <v>0</v>
      </c>
    </row>
    <row r="481" spans="1:52" ht="21" customHeight="1" x14ac:dyDescent="0.95">
      <c r="A481" s="36" t="str">
        <f>IF($AD481="","",IF($AD481="Z","รวมจ่ายทั้งสิ้น",IF($AD481="H",INDEX($X$5:$X$404,$AC481),IF($AD481="T","รวม",IF($AD481="B",IFERROR(INDEX(อัตราค่าขนส่ง!$U$5:$U$14,MATCH(INDEX($AM$5:$AM$404,$AC481),อัตราค่าขนส่ง!$T$5:$T$14,0)),"รวมกลุ่ม "&amp;INDEX($AM$5:$AM$404,$AC481)),INDEX($AY$5:$AY$404,$AC481))))))</f>
        <v/>
      </c>
      <c r="B481" s="31" t="str">
        <f t="shared" si="196"/>
        <v/>
      </c>
      <c r="C481" s="8" t="str">
        <f t="shared" si="197"/>
        <v/>
      </c>
      <c r="D481" s="37" t="str">
        <f t="shared" si="198"/>
        <v/>
      </c>
      <c r="E481" s="31" t="str">
        <f t="shared" si="199"/>
        <v/>
      </c>
      <c r="F481" s="32" t="str">
        <f t="shared" si="200"/>
        <v/>
      </c>
      <c r="G481" s="32" t="str">
        <f t="shared" si="201"/>
        <v/>
      </c>
      <c r="H481" s="32" t="str">
        <f t="shared" si="202"/>
        <v/>
      </c>
      <c r="I481" s="32" t="str">
        <f t="shared" si="203"/>
        <v/>
      </c>
      <c r="J481" s="46" t="str">
        <f t="shared" si="204"/>
        <v/>
      </c>
      <c r="K481" s="32" t="str">
        <f t="shared" si="205"/>
        <v/>
      </c>
      <c r="L481" s="32" t="str">
        <f t="shared" si="206"/>
        <v/>
      </c>
      <c r="M481" s="32" t="str">
        <f t="shared" si="207"/>
        <v/>
      </c>
      <c r="N481" s="32" t="str">
        <f t="shared" si="208"/>
        <v/>
      </c>
      <c r="O481" s="32" t="str">
        <f t="shared" si="209"/>
        <v/>
      </c>
      <c r="AC481" t="str">
        <f>IFERROR(MATCH(477,$AB$5:$AB$404,1),"")</f>
        <v/>
      </c>
      <c r="AD481" t="str">
        <f>IF(477=$AI$1+1,"Z",IF($AC481="","",IF(INDEX($V$5:$V$404,$AC481)="","",IF(477&gt;INDEX($AB$5:$AB$404,$AC481)+INDEX($Z$5:$Z$404,$AC481)+INDEX($AA$5:$AA$404,$AC481)+INDEX($AO$5:$AO$404,$AC481),"",IF(477=INDEX($AB$5:$AB$404,$AC481)+INDEX($Z$5:$Z$404,$AC481),"D",IF(AND(INDEX($Z$5:$Z$404,$AC481)=1,477=INDEX($AB$5:$AB$404,$AC481)),"H",IF(AND(INDEX($AO$5:$AO$404,$AC481)=1,477=INDEX($AB$5:$AB$404,$AC481)+INDEX($Z$5:$Z$404,$AC481)+INDEX($AA$5:$AA$404,$AC481)+INDEX($AO$5:$AO$404,$AC481)),"B","T")))))))</f>
        <v/>
      </c>
      <c r="AF481" t="str">
        <f t="shared" si="210"/>
        <v/>
      </c>
      <c r="AJ481">
        <f>IF($AD481&lt;&gt;"T",0,ROUND(SUMIF(oil!$B$4:$B$63,$AF481,oil!$AE$4:$AE$63),2))</f>
        <v>0</v>
      </c>
      <c r="AQ481" t="str">
        <f t="shared" si="211"/>
        <v/>
      </c>
      <c r="AZ481">
        <f t="shared" si="212"/>
        <v>0</v>
      </c>
    </row>
    <row r="482" spans="1:52" ht="21" customHeight="1" x14ac:dyDescent="0.95">
      <c r="A482" s="36" t="str">
        <f>IF($AD482="","",IF($AD482="Z","รวมจ่ายทั้งสิ้น",IF($AD482="H",INDEX($X$5:$X$404,$AC482),IF($AD482="T","รวม",IF($AD482="B",IFERROR(INDEX(อัตราค่าขนส่ง!$U$5:$U$14,MATCH(INDEX($AM$5:$AM$404,$AC482),อัตราค่าขนส่ง!$T$5:$T$14,0)),"รวมกลุ่ม "&amp;INDEX($AM$5:$AM$404,$AC482)),INDEX($AY$5:$AY$404,$AC482))))))</f>
        <v/>
      </c>
      <c r="B482" s="31" t="str">
        <f t="shared" si="196"/>
        <v/>
      </c>
      <c r="C482" s="8" t="str">
        <f t="shared" si="197"/>
        <v/>
      </c>
      <c r="D482" s="37" t="str">
        <f t="shared" si="198"/>
        <v/>
      </c>
      <c r="E482" s="31" t="str">
        <f t="shared" si="199"/>
        <v/>
      </c>
      <c r="F482" s="32" t="str">
        <f t="shared" si="200"/>
        <v/>
      </c>
      <c r="G482" s="32" t="str">
        <f t="shared" si="201"/>
        <v/>
      </c>
      <c r="H482" s="32" t="str">
        <f t="shared" si="202"/>
        <v/>
      </c>
      <c r="I482" s="32" t="str">
        <f t="shared" si="203"/>
        <v/>
      </c>
      <c r="J482" s="46" t="str">
        <f t="shared" si="204"/>
        <v/>
      </c>
      <c r="K482" s="32" t="str">
        <f t="shared" si="205"/>
        <v/>
      </c>
      <c r="L482" s="32" t="str">
        <f t="shared" si="206"/>
        <v/>
      </c>
      <c r="M482" s="32" t="str">
        <f t="shared" si="207"/>
        <v/>
      </c>
      <c r="N482" s="32" t="str">
        <f t="shared" si="208"/>
        <v/>
      </c>
      <c r="O482" s="32" t="str">
        <f t="shared" si="209"/>
        <v/>
      </c>
      <c r="AC482" t="str">
        <f>IFERROR(MATCH(478,$AB$5:$AB$404,1),"")</f>
        <v/>
      </c>
      <c r="AD482" t="str">
        <f>IF(478=$AI$1+1,"Z",IF($AC482="","",IF(INDEX($V$5:$V$404,$AC482)="","",IF(478&gt;INDEX($AB$5:$AB$404,$AC482)+INDEX($Z$5:$Z$404,$AC482)+INDEX($AA$5:$AA$404,$AC482)+INDEX($AO$5:$AO$404,$AC482),"",IF(478=INDEX($AB$5:$AB$404,$AC482)+INDEX($Z$5:$Z$404,$AC482),"D",IF(AND(INDEX($Z$5:$Z$404,$AC482)=1,478=INDEX($AB$5:$AB$404,$AC482)),"H",IF(AND(INDEX($AO$5:$AO$404,$AC482)=1,478=INDEX($AB$5:$AB$404,$AC482)+INDEX($Z$5:$Z$404,$AC482)+INDEX($AA$5:$AA$404,$AC482)+INDEX($AO$5:$AO$404,$AC482)),"B","T")))))))</f>
        <v/>
      </c>
      <c r="AF482" t="str">
        <f t="shared" si="210"/>
        <v/>
      </c>
      <c r="AJ482">
        <f>IF($AD482&lt;&gt;"T",0,ROUND(SUMIF(oil!$B$4:$B$63,$AF482,oil!$AE$4:$AE$63),2))</f>
        <v>0</v>
      </c>
      <c r="AQ482" t="str">
        <f t="shared" si="211"/>
        <v/>
      </c>
      <c r="AZ482">
        <f t="shared" si="212"/>
        <v>0</v>
      </c>
    </row>
    <row r="483" spans="1:52" ht="21" customHeight="1" x14ac:dyDescent="0.95">
      <c r="A483" s="36" t="str">
        <f>IF($AD483="","",IF($AD483="Z","รวมจ่ายทั้งสิ้น",IF($AD483="H",INDEX($X$5:$X$404,$AC483),IF($AD483="T","รวม",IF($AD483="B",IFERROR(INDEX(อัตราค่าขนส่ง!$U$5:$U$14,MATCH(INDEX($AM$5:$AM$404,$AC483),อัตราค่าขนส่ง!$T$5:$T$14,0)),"รวมกลุ่ม "&amp;INDEX($AM$5:$AM$404,$AC483)),INDEX($AY$5:$AY$404,$AC483))))))</f>
        <v/>
      </c>
      <c r="B483" s="31" t="str">
        <f t="shared" si="196"/>
        <v/>
      </c>
      <c r="C483" s="8" t="str">
        <f t="shared" si="197"/>
        <v/>
      </c>
      <c r="D483" s="37" t="str">
        <f t="shared" si="198"/>
        <v/>
      </c>
      <c r="E483" s="31" t="str">
        <f t="shared" si="199"/>
        <v/>
      </c>
      <c r="F483" s="32" t="str">
        <f t="shared" si="200"/>
        <v/>
      </c>
      <c r="G483" s="32" t="str">
        <f t="shared" si="201"/>
        <v/>
      </c>
      <c r="H483" s="32" t="str">
        <f t="shared" si="202"/>
        <v/>
      </c>
      <c r="I483" s="32" t="str">
        <f t="shared" si="203"/>
        <v/>
      </c>
      <c r="J483" s="46" t="str">
        <f t="shared" si="204"/>
        <v/>
      </c>
      <c r="K483" s="32" t="str">
        <f t="shared" si="205"/>
        <v/>
      </c>
      <c r="L483" s="32" t="str">
        <f t="shared" si="206"/>
        <v/>
      </c>
      <c r="M483" s="32" t="str">
        <f t="shared" si="207"/>
        <v/>
      </c>
      <c r="N483" s="32" t="str">
        <f t="shared" si="208"/>
        <v/>
      </c>
      <c r="O483" s="32" t="str">
        <f t="shared" si="209"/>
        <v/>
      </c>
      <c r="AC483" t="str">
        <f>IFERROR(MATCH(479,$AB$5:$AB$404,1),"")</f>
        <v/>
      </c>
      <c r="AD483" t="str">
        <f>IF(479=$AI$1+1,"Z",IF($AC483="","",IF(INDEX($V$5:$V$404,$AC483)="","",IF(479&gt;INDEX($AB$5:$AB$404,$AC483)+INDEX($Z$5:$Z$404,$AC483)+INDEX($AA$5:$AA$404,$AC483)+INDEX($AO$5:$AO$404,$AC483),"",IF(479=INDEX($AB$5:$AB$404,$AC483)+INDEX($Z$5:$Z$404,$AC483),"D",IF(AND(INDEX($Z$5:$Z$404,$AC483)=1,479=INDEX($AB$5:$AB$404,$AC483)),"H",IF(AND(INDEX($AO$5:$AO$404,$AC483)=1,479=INDEX($AB$5:$AB$404,$AC483)+INDEX($Z$5:$Z$404,$AC483)+INDEX($AA$5:$AA$404,$AC483)+INDEX($AO$5:$AO$404,$AC483)),"B","T")))))))</f>
        <v/>
      </c>
      <c r="AF483" t="str">
        <f t="shared" si="210"/>
        <v/>
      </c>
      <c r="AJ483">
        <f>IF($AD483&lt;&gt;"T",0,ROUND(SUMIF(oil!$B$4:$B$63,$AF483,oil!$AE$4:$AE$63),2))</f>
        <v>0</v>
      </c>
      <c r="AQ483" t="str">
        <f t="shared" si="211"/>
        <v/>
      </c>
      <c r="AZ483">
        <f t="shared" si="212"/>
        <v>0</v>
      </c>
    </row>
    <row r="484" spans="1:52" ht="21" customHeight="1" x14ac:dyDescent="0.95">
      <c r="A484" s="36" t="str">
        <f>IF($AD484="","",IF($AD484="Z","รวมจ่ายทั้งสิ้น",IF($AD484="H",INDEX($X$5:$X$404,$AC484),IF($AD484="T","รวม",IF($AD484="B",IFERROR(INDEX(อัตราค่าขนส่ง!$U$5:$U$14,MATCH(INDEX($AM$5:$AM$404,$AC484),อัตราค่าขนส่ง!$T$5:$T$14,0)),"รวมกลุ่ม "&amp;INDEX($AM$5:$AM$404,$AC484)),INDEX($AY$5:$AY$404,$AC484))))))</f>
        <v/>
      </c>
      <c r="B484" s="31" t="str">
        <f t="shared" si="196"/>
        <v/>
      </c>
      <c r="C484" s="8" t="str">
        <f t="shared" si="197"/>
        <v/>
      </c>
      <c r="D484" s="37" t="str">
        <f t="shared" si="198"/>
        <v/>
      </c>
      <c r="E484" s="31" t="str">
        <f t="shared" si="199"/>
        <v/>
      </c>
      <c r="F484" s="32" t="str">
        <f t="shared" si="200"/>
        <v/>
      </c>
      <c r="G484" s="32" t="str">
        <f t="shared" si="201"/>
        <v/>
      </c>
      <c r="H484" s="32" t="str">
        <f t="shared" si="202"/>
        <v/>
      </c>
      <c r="I484" s="32" t="str">
        <f t="shared" si="203"/>
        <v/>
      </c>
      <c r="J484" s="46" t="str">
        <f t="shared" si="204"/>
        <v/>
      </c>
      <c r="K484" s="32" t="str">
        <f t="shared" si="205"/>
        <v/>
      </c>
      <c r="L484" s="32" t="str">
        <f t="shared" si="206"/>
        <v/>
      </c>
      <c r="M484" s="32" t="str">
        <f t="shared" si="207"/>
        <v/>
      </c>
      <c r="N484" s="32" t="str">
        <f t="shared" si="208"/>
        <v/>
      </c>
      <c r="O484" s="32" t="str">
        <f t="shared" si="209"/>
        <v/>
      </c>
      <c r="AC484" t="str">
        <f>IFERROR(MATCH(480,$AB$5:$AB$404,1),"")</f>
        <v/>
      </c>
      <c r="AD484" t="str">
        <f>IF(480=$AI$1+1,"Z",IF($AC484="","",IF(INDEX($V$5:$V$404,$AC484)="","",IF(480&gt;INDEX($AB$5:$AB$404,$AC484)+INDEX($Z$5:$Z$404,$AC484)+INDEX($AA$5:$AA$404,$AC484)+INDEX($AO$5:$AO$404,$AC484),"",IF(480=INDEX($AB$5:$AB$404,$AC484)+INDEX($Z$5:$Z$404,$AC484),"D",IF(AND(INDEX($Z$5:$Z$404,$AC484)=1,480=INDEX($AB$5:$AB$404,$AC484)),"H",IF(AND(INDEX($AO$5:$AO$404,$AC484)=1,480=INDEX($AB$5:$AB$404,$AC484)+INDEX($Z$5:$Z$404,$AC484)+INDEX($AA$5:$AA$404,$AC484)+INDEX($AO$5:$AO$404,$AC484)),"B","T")))))))</f>
        <v/>
      </c>
      <c r="AF484" t="str">
        <f t="shared" si="210"/>
        <v/>
      </c>
      <c r="AJ484">
        <f>IF($AD484&lt;&gt;"T",0,ROUND(SUMIF(oil!$B$4:$B$63,$AF484,oil!$AE$4:$AE$63),2))</f>
        <v>0</v>
      </c>
      <c r="AQ484" t="str">
        <f t="shared" si="211"/>
        <v/>
      </c>
      <c r="AZ484">
        <f t="shared" si="212"/>
        <v>0</v>
      </c>
    </row>
    <row r="485" spans="1:52" ht="21" customHeight="1" x14ac:dyDescent="0.95">
      <c r="A485" s="36" t="str">
        <f>IF($AD485="","",IF($AD485="Z","รวมจ่ายทั้งสิ้น",IF($AD485="H",INDEX($X$5:$X$404,$AC485),IF($AD485="T","รวม",IF($AD485="B",IFERROR(INDEX(อัตราค่าขนส่ง!$U$5:$U$14,MATCH(INDEX($AM$5:$AM$404,$AC485),อัตราค่าขนส่ง!$T$5:$T$14,0)),"รวมกลุ่ม "&amp;INDEX($AM$5:$AM$404,$AC485)),INDEX($AY$5:$AY$404,$AC485))))))</f>
        <v/>
      </c>
      <c r="B485" s="31" t="str">
        <f t="shared" si="196"/>
        <v/>
      </c>
      <c r="C485" s="8" t="str">
        <f t="shared" si="197"/>
        <v/>
      </c>
      <c r="D485" s="37" t="str">
        <f t="shared" si="198"/>
        <v/>
      </c>
      <c r="E485" s="31" t="str">
        <f t="shared" si="199"/>
        <v/>
      </c>
      <c r="F485" s="32" t="str">
        <f t="shared" si="200"/>
        <v/>
      </c>
      <c r="G485" s="32" t="str">
        <f t="shared" si="201"/>
        <v/>
      </c>
      <c r="H485" s="32" t="str">
        <f t="shared" si="202"/>
        <v/>
      </c>
      <c r="I485" s="32" t="str">
        <f t="shared" si="203"/>
        <v/>
      </c>
      <c r="J485" s="46" t="str">
        <f t="shared" si="204"/>
        <v/>
      </c>
      <c r="K485" s="32" t="str">
        <f t="shared" si="205"/>
        <v/>
      </c>
      <c r="L485" s="32" t="str">
        <f t="shared" si="206"/>
        <v/>
      </c>
      <c r="M485" s="32" t="str">
        <f t="shared" si="207"/>
        <v/>
      </c>
      <c r="N485" s="32" t="str">
        <f t="shared" si="208"/>
        <v/>
      </c>
      <c r="O485" s="32" t="str">
        <f t="shared" si="209"/>
        <v/>
      </c>
      <c r="AC485" t="str">
        <f>IFERROR(MATCH(481,$AB$5:$AB$404,1),"")</f>
        <v/>
      </c>
      <c r="AD485" t="str">
        <f>IF(481=$AI$1+1,"Z",IF($AC485="","",IF(INDEX($V$5:$V$404,$AC485)="","",IF(481&gt;INDEX($AB$5:$AB$404,$AC485)+INDEX($Z$5:$Z$404,$AC485)+INDEX($AA$5:$AA$404,$AC485)+INDEX($AO$5:$AO$404,$AC485),"",IF(481=INDEX($AB$5:$AB$404,$AC485)+INDEX($Z$5:$Z$404,$AC485),"D",IF(AND(INDEX($Z$5:$Z$404,$AC485)=1,481=INDEX($AB$5:$AB$404,$AC485)),"H",IF(AND(INDEX($AO$5:$AO$404,$AC485)=1,481=INDEX($AB$5:$AB$404,$AC485)+INDEX($Z$5:$Z$404,$AC485)+INDEX($AA$5:$AA$404,$AC485)+INDEX($AO$5:$AO$404,$AC485)),"B","T")))))))</f>
        <v/>
      </c>
      <c r="AF485" t="str">
        <f t="shared" si="210"/>
        <v/>
      </c>
      <c r="AJ485">
        <f>IF($AD485&lt;&gt;"T",0,ROUND(SUMIF(oil!$B$4:$B$63,$AF485,oil!$AE$4:$AE$63),2))</f>
        <v>0</v>
      </c>
      <c r="AQ485" t="str">
        <f t="shared" si="211"/>
        <v/>
      </c>
      <c r="AZ485">
        <f t="shared" si="212"/>
        <v>0</v>
      </c>
    </row>
    <row r="486" spans="1:52" ht="21" customHeight="1" x14ac:dyDescent="0.95">
      <c r="A486" s="36" t="str">
        <f>IF($AD486="","",IF($AD486="Z","รวมจ่ายทั้งสิ้น",IF($AD486="H",INDEX($X$5:$X$404,$AC486),IF($AD486="T","รวม",IF($AD486="B",IFERROR(INDEX(อัตราค่าขนส่ง!$U$5:$U$14,MATCH(INDEX($AM$5:$AM$404,$AC486),อัตราค่าขนส่ง!$T$5:$T$14,0)),"รวมกลุ่ม "&amp;INDEX($AM$5:$AM$404,$AC486)),INDEX($AY$5:$AY$404,$AC486))))))</f>
        <v/>
      </c>
      <c r="B486" s="31" t="str">
        <f t="shared" si="196"/>
        <v/>
      </c>
      <c r="C486" s="8" t="str">
        <f t="shared" si="197"/>
        <v/>
      </c>
      <c r="D486" s="37" t="str">
        <f t="shared" si="198"/>
        <v/>
      </c>
      <c r="E486" s="31" t="str">
        <f t="shared" si="199"/>
        <v/>
      </c>
      <c r="F486" s="32" t="str">
        <f t="shared" si="200"/>
        <v/>
      </c>
      <c r="G486" s="32" t="str">
        <f t="shared" si="201"/>
        <v/>
      </c>
      <c r="H486" s="32" t="str">
        <f t="shared" si="202"/>
        <v/>
      </c>
      <c r="I486" s="32" t="str">
        <f t="shared" si="203"/>
        <v/>
      </c>
      <c r="J486" s="46" t="str">
        <f t="shared" si="204"/>
        <v/>
      </c>
      <c r="K486" s="32" t="str">
        <f t="shared" si="205"/>
        <v/>
      </c>
      <c r="L486" s="32" t="str">
        <f t="shared" si="206"/>
        <v/>
      </c>
      <c r="M486" s="32" t="str">
        <f t="shared" si="207"/>
        <v/>
      </c>
      <c r="N486" s="32" t="str">
        <f t="shared" si="208"/>
        <v/>
      </c>
      <c r="O486" s="32" t="str">
        <f t="shared" si="209"/>
        <v/>
      </c>
      <c r="AC486" t="str">
        <f>IFERROR(MATCH(482,$AB$5:$AB$404,1),"")</f>
        <v/>
      </c>
      <c r="AD486" t="str">
        <f>IF(482=$AI$1+1,"Z",IF($AC486="","",IF(INDEX($V$5:$V$404,$AC486)="","",IF(482&gt;INDEX($AB$5:$AB$404,$AC486)+INDEX($Z$5:$Z$404,$AC486)+INDEX($AA$5:$AA$404,$AC486)+INDEX($AO$5:$AO$404,$AC486),"",IF(482=INDEX($AB$5:$AB$404,$AC486)+INDEX($Z$5:$Z$404,$AC486),"D",IF(AND(INDEX($Z$5:$Z$404,$AC486)=1,482=INDEX($AB$5:$AB$404,$AC486)),"H",IF(AND(INDEX($AO$5:$AO$404,$AC486)=1,482=INDEX($AB$5:$AB$404,$AC486)+INDEX($Z$5:$Z$404,$AC486)+INDEX($AA$5:$AA$404,$AC486)+INDEX($AO$5:$AO$404,$AC486)),"B","T")))))))</f>
        <v/>
      </c>
      <c r="AF486" t="str">
        <f t="shared" si="210"/>
        <v/>
      </c>
      <c r="AJ486">
        <f>IF($AD486&lt;&gt;"T",0,ROUND(SUMIF(oil!$B$4:$B$63,$AF486,oil!$AE$4:$AE$63),2))</f>
        <v>0</v>
      </c>
      <c r="AQ486" t="str">
        <f t="shared" si="211"/>
        <v/>
      </c>
      <c r="AZ486">
        <f t="shared" si="212"/>
        <v>0</v>
      </c>
    </row>
    <row r="487" spans="1:52" ht="21" customHeight="1" x14ac:dyDescent="0.95">
      <c r="A487" s="36" t="str">
        <f>IF($AD487="","",IF($AD487="Z","รวมจ่ายทั้งสิ้น",IF($AD487="H",INDEX($X$5:$X$404,$AC487),IF($AD487="T","รวม",IF($AD487="B",IFERROR(INDEX(อัตราค่าขนส่ง!$U$5:$U$14,MATCH(INDEX($AM$5:$AM$404,$AC487),อัตราค่าขนส่ง!$T$5:$T$14,0)),"รวมกลุ่ม "&amp;INDEX($AM$5:$AM$404,$AC487)),INDEX($AY$5:$AY$404,$AC487))))))</f>
        <v/>
      </c>
      <c r="B487" s="31" t="str">
        <f t="shared" si="196"/>
        <v/>
      </c>
      <c r="C487" s="8" t="str">
        <f t="shared" si="197"/>
        <v/>
      </c>
      <c r="D487" s="37" t="str">
        <f t="shared" si="198"/>
        <v/>
      </c>
      <c r="E487" s="31" t="str">
        <f t="shared" si="199"/>
        <v/>
      </c>
      <c r="F487" s="32" t="str">
        <f t="shared" si="200"/>
        <v/>
      </c>
      <c r="G487" s="32" t="str">
        <f t="shared" si="201"/>
        <v/>
      </c>
      <c r="H487" s="32" t="str">
        <f t="shared" si="202"/>
        <v/>
      </c>
      <c r="I487" s="32" t="str">
        <f t="shared" si="203"/>
        <v/>
      </c>
      <c r="J487" s="46" t="str">
        <f t="shared" si="204"/>
        <v/>
      </c>
      <c r="K487" s="32" t="str">
        <f t="shared" si="205"/>
        <v/>
      </c>
      <c r="L487" s="32" t="str">
        <f t="shared" si="206"/>
        <v/>
      </c>
      <c r="M487" s="32" t="str">
        <f t="shared" si="207"/>
        <v/>
      </c>
      <c r="N487" s="32" t="str">
        <f t="shared" si="208"/>
        <v/>
      </c>
      <c r="O487" s="32" t="str">
        <f t="shared" si="209"/>
        <v/>
      </c>
      <c r="AC487" t="str">
        <f>IFERROR(MATCH(483,$AB$5:$AB$404,1),"")</f>
        <v/>
      </c>
      <c r="AD487" t="str">
        <f>IF(483=$AI$1+1,"Z",IF($AC487="","",IF(INDEX($V$5:$V$404,$AC487)="","",IF(483&gt;INDEX($AB$5:$AB$404,$AC487)+INDEX($Z$5:$Z$404,$AC487)+INDEX($AA$5:$AA$404,$AC487)+INDEX($AO$5:$AO$404,$AC487),"",IF(483=INDEX($AB$5:$AB$404,$AC487)+INDEX($Z$5:$Z$404,$AC487),"D",IF(AND(INDEX($Z$5:$Z$404,$AC487)=1,483=INDEX($AB$5:$AB$404,$AC487)),"H",IF(AND(INDEX($AO$5:$AO$404,$AC487)=1,483=INDEX($AB$5:$AB$404,$AC487)+INDEX($Z$5:$Z$404,$AC487)+INDEX($AA$5:$AA$404,$AC487)+INDEX($AO$5:$AO$404,$AC487)),"B","T")))))))</f>
        <v/>
      </c>
      <c r="AF487" t="str">
        <f t="shared" si="210"/>
        <v/>
      </c>
      <c r="AJ487">
        <f>IF($AD487&lt;&gt;"T",0,ROUND(SUMIF(oil!$B$4:$B$63,$AF487,oil!$AE$4:$AE$63),2))</f>
        <v>0</v>
      </c>
      <c r="AQ487" t="str">
        <f t="shared" si="211"/>
        <v/>
      </c>
      <c r="AZ487">
        <f t="shared" si="212"/>
        <v>0</v>
      </c>
    </row>
    <row r="488" spans="1:52" ht="21" customHeight="1" x14ac:dyDescent="0.95">
      <c r="A488" s="36" t="str">
        <f>IF($AD488="","",IF($AD488="Z","รวมจ่ายทั้งสิ้น",IF($AD488="H",INDEX($X$5:$X$404,$AC488),IF($AD488="T","รวม",IF($AD488="B",IFERROR(INDEX(อัตราค่าขนส่ง!$U$5:$U$14,MATCH(INDEX($AM$5:$AM$404,$AC488),อัตราค่าขนส่ง!$T$5:$T$14,0)),"รวมกลุ่ม "&amp;INDEX($AM$5:$AM$404,$AC488)),INDEX($AY$5:$AY$404,$AC488))))))</f>
        <v/>
      </c>
      <c r="B488" s="31" t="str">
        <f t="shared" si="196"/>
        <v/>
      </c>
      <c r="C488" s="8" t="str">
        <f t="shared" si="197"/>
        <v/>
      </c>
      <c r="D488" s="37" t="str">
        <f t="shared" si="198"/>
        <v/>
      </c>
      <c r="E488" s="31" t="str">
        <f t="shared" si="199"/>
        <v/>
      </c>
      <c r="F488" s="32" t="str">
        <f t="shared" si="200"/>
        <v/>
      </c>
      <c r="G488" s="32" t="str">
        <f t="shared" si="201"/>
        <v/>
      </c>
      <c r="H488" s="32" t="str">
        <f t="shared" si="202"/>
        <v/>
      </c>
      <c r="I488" s="32" t="str">
        <f t="shared" si="203"/>
        <v/>
      </c>
      <c r="J488" s="46" t="str">
        <f t="shared" si="204"/>
        <v/>
      </c>
      <c r="K488" s="32" t="str">
        <f t="shared" si="205"/>
        <v/>
      </c>
      <c r="L488" s="32" t="str">
        <f t="shared" si="206"/>
        <v/>
      </c>
      <c r="M488" s="32" t="str">
        <f t="shared" si="207"/>
        <v/>
      </c>
      <c r="N488" s="32" t="str">
        <f t="shared" si="208"/>
        <v/>
      </c>
      <c r="O488" s="32" t="str">
        <f t="shared" si="209"/>
        <v/>
      </c>
      <c r="AC488" t="str">
        <f>IFERROR(MATCH(484,$AB$5:$AB$404,1),"")</f>
        <v/>
      </c>
      <c r="AD488" t="str">
        <f>IF(484=$AI$1+1,"Z",IF($AC488="","",IF(INDEX($V$5:$V$404,$AC488)="","",IF(484&gt;INDEX($AB$5:$AB$404,$AC488)+INDEX($Z$5:$Z$404,$AC488)+INDEX($AA$5:$AA$404,$AC488)+INDEX($AO$5:$AO$404,$AC488),"",IF(484=INDEX($AB$5:$AB$404,$AC488)+INDEX($Z$5:$Z$404,$AC488),"D",IF(AND(INDEX($Z$5:$Z$404,$AC488)=1,484=INDEX($AB$5:$AB$404,$AC488)),"H",IF(AND(INDEX($AO$5:$AO$404,$AC488)=1,484=INDEX($AB$5:$AB$404,$AC488)+INDEX($Z$5:$Z$404,$AC488)+INDEX($AA$5:$AA$404,$AC488)+INDEX($AO$5:$AO$404,$AC488)),"B","T")))))))</f>
        <v/>
      </c>
      <c r="AF488" t="str">
        <f t="shared" si="210"/>
        <v/>
      </c>
      <c r="AJ488">
        <f>IF($AD488&lt;&gt;"T",0,ROUND(SUMIF(oil!$B$4:$B$63,$AF488,oil!$AE$4:$AE$63),2))</f>
        <v>0</v>
      </c>
      <c r="AQ488" t="str">
        <f t="shared" si="211"/>
        <v/>
      </c>
      <c r="AZ488">
        <f t="shared" si="212"/>
        <v>0</v>
      </c>
    </row>
    <row r="489" spans="1:52" ht="21" customHeight="1" x14ac:dyDescent="0.95">
      <c r="A489" s="36" t="str">
        <f>IF($AD489="","",IF($AD489="Z","รวมจ่ายทั้งสิ้น",IF($AD489="H",INDEX($X$5:$X$404,$AC489),IF($AD489="T","รวม",IF($AD489="B",IFERROR(INDEX(อัตราค่าขนส่ง!$U$5:$U$14,MATCH(INDEX($AM$5:$AM$404,$AC489),อัตราค่าขนส่ง!$T$5:$T$14,0)),"รวมกลุ่ม "&amp;INDEX($AM$5:$AM$404,$AC489)),INDEX($AY$5:$AY$404,$AC489))))))</f>
        <v/>
      </c>
      <c r="B489" s="31" t="str">
        <f t="shared" si="196"/>
        <v/>
      </c>
      <c r="C489" s="8" t="str">
        <f t="shared" si="197"/>
        <v/>
      </c>
      <c r="D489" s="37" t="str">
        <f t="shared" si="198"/>
        <v/>
      </c>
      <c r="E489" s="31" t="str">
        <f t="shared" si="199"/>
        <v/>
      </c>
      <c r="F489" s="32" t="str">
        <f t="shared" si="200"/>
        <v/>
      </c>
      <c r="G489" s="32" t="str">
        <f t="shared" si="201"/>
        <v/>
      </c>
      <c r="H489" s="32" t="str">
        <f t="shared" si="202"/>
        <v/>
      </c>
      <c r="I489" s="32" t="str">
        <f t="shared" si="203"/>
        <v/>
      </c>
      <c r="J489" s="46" t="str">
        <f t="shared" si="204"/>
        <v/>
      </c>
      <c r="K489" s="32" t="str">
        <f t="shared" si="205"/>
        <v/>
      </c>
      <c r="L489" s="32" t="str">
        <f t="shared" si="206"/>
        <v/>
      </c>
      <c r="M489" s="32" t="str">
        <f t="shared" si="207"/>
        <v/>
      </c>
      <c r="N489" s="32" t="str">
        <f t="shared" si="208"/>
        <v/>
      </c>
      <c r="O489" s="32" t="str">
        <f t="shared" si="209"/>
        <v/>
      </c>
      <c r="AC489" t="str">
        <f>IFERROR(MATCH(485,$AB$5:$AB$404,1),"")</f>
        <v/>
      </c>
      <c r="AD489" t="str">
        <f>IF(485=$AI$1+1,"Z",IF($AC489="","",IF(INDEX($V$5:$V$404,$AC489)="","",IF(485&gt;INDEX($AB$5:$AB$404,$AC489)+INDEX($Z$5:$Z$404,$AC489)+INDEX($AA$5:$AA$404,$AC489)+INDEX($AO$5:$AO$404,$AC489),"",IF(485=INDEX($AB$5:$AB$404,$AC489)+INDEX($Z$5:$Z$404,$AC489),"D",IF(AND(INDEX($Z$5:$Z$404,$AC489)=1,485=INDEX($AB$5:$AB$404,$AC489)),"H",IF(AND(INDEX($AO$5:$AO$404,$AC489)=1,485=INDEX($AB$5:$AB$404,$AC489)+INDEX($Z$5:$Z$404,$AC489)+INDEX($AA$5:$AA$404,$AC489)+INDEX($AO$5:$AO$404,$AC489)),"B","T")))))))</f>
        <v/>
      </c>
      <c r="AF489" t="str">
        <f t="shared" si="210"/>
        <v/>
      </c>
      <c r="AJ489">
        <f>IF($AD489&lt;&gt;"T",0,ROUND(SUMIF(oil!$B$4:$B$63,$AF489,oil!$AE$4:$AE$63),2))</f>
        <v>0</v>
      </c>
      <c r="AQ489" t="str">
        <f t="shared" si="211"/>
        <v/>
      </c>
      <c r="AZ489">
        <f t="shared" si="212"/>
        <v>0</v>
      </c>
    </row>
    <row r="490" spans="1:52" ht="21" customHeight="1" x14ac:dyDescent="0.95">
      <c r="A490" s="36" t="str">
        <f>IF($AD490="","",IF($AD490="Z","รวมจ่ายทั้งสิ้น",IF($AD490="H",INDEX($X$5:$X$404,$AC490),IF($AD490="T","รวม",IF($AD490="B",IFERROR(INDEX(อัตราค่าขนส่ง!$U$5:$U$14,MATCH(INDEX($AM$5:$AM$404,$AC490),อัตราค่าขนส่ง!$T$5:$T$14,0)),"รวมกลุ่ม "&amp;INDEX($AM$5:$AM$404,$AC490)),INDEX($AY$5:$AY$404,$AC490))))))</f>
        <v/>
      </c>
      <c r="B490" s="31" t="str">
        <f t="shared" si="196"/>
        <v/>
      </c>
      <c r="C490" s="8" t="str">
        <f t="shared" si="197"/>
        <v/>
      </c>
      <c r="D490" s="37" t="str">
        <f t="shared" si="198"/>
        <v/>
      </c>
      <c r="E490" s="31" t="str">
        <f t="shared" si="199"/>
        <v/>
      </c>
      <c r="F490" s="32" t="str">
        <f t="shared" si="200"/>
        <v/>
      </c>
      <c r="G490" s="32" t="str">
        <f t="shared" si="201"/>
        <v/>
      </c>
      <c r="H490" s="32" t="str">
        <f t="shared" si="202"/>
        <v/>
      </c>
      <c r="I490" s="32" t="str">
        <f t="shared" si="203"/>
        <v/>
      </c>
      <c r="J490" s="46" t="str">
        <f t="shared" si="204"/>
        <v/>
      </c>
      <c r="K490" s="32" t="str">
        <f t="shared" si="205"/>
        <v/>
      </c>
      <c r="L490" s="32" t="str">
        <f t="shared" si="206"/>
        <v/>
      </c>
      <c r="M490" s="32" t="str">
        <f t="shared" si="207"/>
        <v/>
      </c>
      <c r="N490" s="32" t="str">
        <f t="shared" si="208"/>
        <v/>
      </c>
      <c r="O490" s="32" t="str">
        <f t="shared" si="209"/>
        <v/>
      </c>
      <c r="AC490" t="str">
        <f>IFERROR(MATCH(486,$AB$5:$AB$404,1),"")</f>
        <v/>
      </c>
      <c r="AD490" t="str">
        <f>IF(486=$AI$1+1,"Z",IF($AC490="","",IF(INDEX($V$5:$V$404,$AC490)="","",IF(486&gt;INDEX($AB$5:$AB$404,$AC490)+INDEX($Z$5:$Z$404,$AC490)+INDEX($AA$5:$AA$404,$AC490)+INDEX($AO$5:$AO$404,$AC490),"",IF(486=INDEX($AB$5:$AB$404,$AC490)+INDEX($Z$5:$Z$404,$AC490),"D",IF(AND(INDEX($Z$5:$Z$404,$AC490)=1,486=INDEX($AB$5:$AB$404,$AC490)),"H",IF(AND(INDEX($AO$5:$AO$404,$AC490)=1,486=INDEX($AB$5:$AB$404,$AC490)+INDEX($Z$5:$Z$404,$AC490)+INDEX($AA$5:$AA$404,$AC490)+INDEX($AO$5:$AO$404,$AC490)),"B","T")))))))</f>
        <v/>
      </c>
      <c r="AF490" t="str">
        <f t="shared" si="210"/>
        <v/>
      </c>
      <c r="AJ490">
        <f>IF($AD490&lt;&gt;"T",0,ROUND(SUMIF(oil!$B$4:$B$63,$AF490,oil!$AE$4:$AE$63),2))</f>
        <v>0</v>
      </c>
      <c r="AQ490" t="str">
        <f t="shared" si="211"/>
        <v/>
      </c>
      <c r="AZ490">
        <f t="shared" si="212"/>
        <v>0</v>
      </c>
    </row>
    <row r="491" spans="1:52" ht="21" customHeight="1" x14ac:dyDescent="0.95">
      <c r="A491" s="36" t="str">
        <f>IF($AD491="","",IF($AD491="Z","รวมจ่ายทั้งสิ้น",IF($AD491="H",INDEX($X$5:$X$404,$AC491),IF($AD491="T","รวม",IF($AD491="B",IFERROR(INDEX(อัตราค่าขนส่ง!$U$5:$U$14,MATCH(INDEX($AM$5:$AM$404,$AC491),อัตราค่าขนส่ง!$T$5:$T$14,0)),"รวมกลุ่ม "&amp;INDEX($AM$5:$AM$404,$AC491)),INDEX($AY$5:$AY$404,$AC491))))))</f>
        <v/>
      </c>
      <c r="B491" s="31" t="str">
        <f t="shared" si="196"/>
        <v/>
      </c>
      <c r="C491" s="8" t="str">
        <f t="shared" si="197"/>
        <v/>
      </c>
      <c r="D491" s="37" t="str">
        <f t="shared" si="198"/>
        <v/>
      </c>
      <c r="E491" s="31" t="str">
        <f t="shared" si="199"/>
        <v/>
      </c>
      <c r="F491" s="32" t="str">
        <f t="shared" si="200"/>
        <v/>
      </c>
      <c r="G491" s="32" t="str">
        <f t="shared" si="201"/>
        <v/>
      </c>
      <c r="H491" s="32" t="str">
        <f t="shared" si="202"/>
        <v/>
      </c>
      <c r="I491" s="32" t="str">
        <f t="shared" si="203"/>
        <v/>
      </c>
      <c r="J491" s="46" t="str">
        <f t="shared" si="204"/>
        <v/>
      </c>
      <c r="K491" s="32" t="str">
        <f t="shared" si="205"/>
        <v/>
      </c>
      <c r="L491" s="32" t="str">
        <f t="shared" si="206"/>
        <v/>
      </c>
      <c r="M491" s="32" t="str">
        <f t="shared" si="207"/>
        <v/>
      </c>
      <c r="N491" s="32" t="str">
        <f t="shared" si="208"/>
        <v/>
      </c>
      <c r="O491" s="32" t="str">
        <f t="shared" si="209"/>
        <v/>
      </c>
      <c r="AC491" t="str">
        <f>IFERROR(MATCH(487,$AB$5:$AB$404,1),"")</f>
        <v/>
      </c>
      <c r="AD491" t="str">
        <f>IF(487=$AI$1+1,"Z",IF($AC491="","",IF(INDEX($V$5:$V$404,$AC491)="","",IF(487&gt;INDEX($AB$5:$AB$404,$AC491)+INDEX($Z$5:$Z$404,$AC491)+INDEX($AA$5:$AA$404,$AC491)+INDEX($AO$5:$AO$404,$AC491),"",IF(487=INDEX($AB$5:$AB$404,$AC491)+INDEX($Z$5:$Z$404,$AC491),"D",IF(AND(INDEX($Z$5:$Z$404,$AC491)=1,487=INDEX($AB$5:$AB$404,$AC491)),"H",IF(AND(INDEX($AO$5:$AO$404,$AC491)=1,487=INDEX($AB$5:$AB$404,$AC491)+INDEX($Z$5:$Z$404,$AC491)+INDEX($AA$5:$AA$404,$AC491)+INDEX($AO$5:$AO$404,$AC491)),"B","T")))))))</f>
        <v/>
      </c>
      <c r="AF491" t="str">
        <f t="shared" si="210"/>
        <v/>
      </c>
      <c r="AJ491">
        <f>IF($AD491&lt;&gt;"T",0,ROUND(SUMIF(oil!$B$4:$B$63,$AF491,oil!$AE$4:$AE$63),2))</f>
        <v>0</v>
      </c>
      <c r="AQ491" t="str">
        <f t="shared" si="211"/>
        <v/>
      </c>
      <c r="AZ491">
        <f t="shared" si="212"/>
        <v>0</v>
      </c>
    </row>
    <row r="492" spans="1:52" ht="21" customHeight="1" x14ac:dyDescent="0.95">
      <c r="A492" s="36" t="str">
        <f>IF($AD492="","",IF($AD492="Z","รวมจ่ายทั้งสิ้น",IF($AD492="H",INDEX($X$5:$X$404,$AC492),IF($AD492="T","รวม",IF($AD492="B",IFERROR(INDEX(อัตราค่าขนส่ง!$U$5:$U$14,MATCH(INDEX($AM$5:$AM$404,$AC492),อัตราค่าขนส่ง!$T$5:$T$14,0)),"รวมกลุ่ม "&amp;INDEX($AM$5:$AM$404,$AC492)),INDEX($AY$5:$AY$404,$AC492))))))</f>
        <v/>
      </c>
      <c r="B492" s="31" t="str">
        <f t="shared" si="196"/>
        <v/>
      </c>
      <c r="C492" s="8" t="str">
        <f t="shared" si="197"/>
        <v/>
      </c>
      <c r="D492" s="37" t="str">
        <f t="shared" si="198"/>
        <v/>
      </c>
      <c r="E492" s="31" t="str">
        <f t="shared" si="199"/>
        <v/>
      </c>
      <c r="F492" s="32" t="str">
        <f t="shared" si="200"/>
        <v/>
      </c>
      <c r="G492" s="32" t="str">
        <f t="shared" si="201"/>
        <v/>
      </c>
      <c r="H492" s="32" t="str">
        <f t="shared" si="202"/>
        <v/>
      </c>
      <c r="I492" s="32" t="str">
        <f t="shared" si="203"/>
        <v/>
      </c>
      <c r="J492" s="46" t="str">
        <f t="shared" si="204"/>
        <v/>
      </c>
      <c r="K492" s="32" t="str">
        <f t="shared" si="205"/>
        <v/>
      </c>
      <c r="L492" s="32" t="str">
        <f t="shared" si="206"/>
        <v/>
      </c>
      <c r="M492" s="32" t="str">
        <f t="shared" si="207"/>
        <v/>
      </c>
      <c r="N492" s="32" t="str">
        <f t="shared" si="208"/>
        <v/>
      </c>
      <c r="O492" s="32" t="str">
        <f t="shared" si="209"/>
        <v/>
      </c>
      <c r="AC492" t="str">
        <f>IFERROR(MATCH(488,$AB$5:$AB$404,1),"")</f>
        <v/>
      </c>
      <c r="AD492" t="str">
        <f>IF(488=$AI$1+1,"Z",IF($AC492="","",IF(INDEX($V$5:$V$404,$AC492)="","",IF(488&gt;INDEX($AB$5:$AB$404,$AC492)+INDEX($Z$5:$Z$404,$AC492)+INDEX($AA$5:$AA$404,$AC492)+INDEX($AO$5:$AO$404,$AC492),"",IF(488=INDEX($AB$5:$AB$404,$AC492)+INDEX($Z$5:$Z$404,$AC492),"D",IF(AND(INDEX($Z$5:$Z$404,$AC492)=1,488=INDEX($AB$5:$AB$404,$AC492)),"H",IF(AND(INDEX($AO$5:$AO$404,$AC492)=1,488=INDEX($AB$5:$AB$404,$AC492)+INDEX($Z$5:$Z$404,$AC492)+INDEX($AA$5:$AA$404,$AC492)+INDEX($AO$5:$AO$404,$AC492)),"B","T")))))))</f>
        <v/>
      </c>
      <c r="AF492" t="str">
        <f t="shared" si="210"/>
        <v/>
      </c>
      <c r="AJ492">
        <f>IF($AD492&lt;&gt;"T",0,ROUND(SUMIF(oil!$B$4:$B$63,$AF492,oil!$AE$4:$AE$63),2))</f>
        <v>0</v>
      </c>
      <c r="AQ492" t="str">
        <f t="shared" si="211"/>
        <v/>
      </c>
      <c r="AZ492">
        <f t="shared" si="212"/>
        <v>0</v>
      </c>
    </row>
    <row r="493" spans="1:52" ht="21" customHeight="1" x14ac:dyDescent="0.95">
      <c r="A493" s="36" t="str">
        <f>IF($AD493="","",IF($AD493="Z","รวมจ่ายทั้งสิ้น",IF($AD493="H",INDEX($X$5:$X$404,$AC493),IF($AD493="T","รวม",IF($AD493="B",IFERROR(INDEX(อัตราค่าขนส่ง!$U$5:$U$14,MATCH(INDEX($AM$5:$AM$404,$AC493),อัตราค่าขนส่ง!$T$5:$T$14,0)),"รวมกลุ่ม "&amp;INDEX($AM$5:$AM$404,$AC493)),INDEX($AY$5:$AY$404,$AC493))))))</f>
        <v/>
      </c>
      <c r="B493" s="31" t="str">
        <f t="shared" si="196"/>
        <v/>
      </c>
      <c r="C493" s="8" t="str">
        <f t="shared" si="197"/>
        <v/>
      </c>
      <c r="D493" s="37" t="str">
        <f t="shared" si="198"/>
        <v/>
      </c>
      <c r="E493" s="31" t="str">
        <f t="shared" si="199"/>
        <v/>
      </c>
      <c r="F493" s="32" t="str">
        <f t="shared" si="200"/>
        <v/>
      </c>
      <c r="G493" s="32" t="str">
        <f t="shared" si="201"/>
        <v/>
      </c>
      <c r="H493" s="32" t="str">
        <f t="shared" si="202"/>
        <v/>
      </c>
      <c r="I493" s="32" t="str">
        <f t="shared" si="203"/>
        <v/>
      </c>
      <c r="J493" s="46" t="str">
        <f t="shared" si="204"/>
        <v/>
      </c>
      <c r="K493" s="32" t="str">
        <f t="shared" si="205"/>
        <v/>
      </c>
      <c r="L493" s="32" t="str">
        <f t="shared" si="206"/>
        <v/>
      </c>
      <c r="M493" s="32" t="str">
        <f t="shared" si="207"/>
        <v/>
      </c>
      <c r="N493" s="32" t="str">
        <f t="shared" si="208"/>
        <v/>
      </c>
      <c r="O493" s="32" t="str">
        <f t="shared" si="209"/>
        <v/>
      </c>
      <c r="AC493" t="str">
        <f>IFERROR(MATCH(489,$AB$5:$AB$404,1),"")</f>
        <v/>
      </c>
      <c r="AD493" t="str">
        <f>IF(489=$AI$1+1,"Z",IF($AC493="","",IF(INDEX($V$5:$V$404,$AC493)="","",IF(489&gt;INDEX($AB$5:$AB$404,$AC493)+INDEX($Z$5:$Z$404,$AC493)+INDEX($AA$5:$AA$404,$AC493)+INDEX($AO$5:$AO$404,$AC493),"",IF(489=INDEX($AB$5:$AB$404,$AC493)+INDEX($Z$5:$Z$404,$AC493),"D",IF(AND(INDEX($Z$5:$Z$404,$AC493)=1,489=INDEX($AB$5:$AB$404,$AC493)),"H",IF(AND(INDEX($AO$5:$AO$404,$AC493)=1,489=INDEX($AB$5:$AB$404,$AC493)+INDEX($Z$5:$Z$404,$AC493)+INDEX($AA$5:$AA$404,$AC493)+INDEX($AO$5:$AO$404,$AC493)),"B","T")))))))</f>
        <v/>
      </c>
      <c r="AF493" t="str">
        <f t="shared" si="210"/>
        <v/>
      </c>
      <c r="AJ493">
        <f>IF($AD493&lt;&gt;"T",0,ROUND(SUMIF(oil!$B$4:$B$63,$AF493,oil!$AE$4:$AE$63),2))</f>
        <v>0</v>
      </c>
      <c r="AQ493" t="str">
        <f t="shared" si="211"/>
        <v/>
      </c>
      <c r="AZ493">
        <f t="shared" si="212"/>
        <v>0</v>
      </c>
    </row>
    <row r="494" spans="1:52" ht="21" customHeight="1" x14ac:dyDescent="0.95">
      <c r="A494" s="36" t="str">
        <f>IF($AD494="","",IF($AD494="Z","รวมจ่ายทั้งสิ้น",IF($AD494="H",INDEX($X$5:$X$404,$AC494),IF($AD494="T","รวม",IF($AD494="B",IFERROR(INDEX(อัตราค่าขนส่ง!$U$5:$U$14,MATCH(INDEX($AM$5:$AM$404,$AC494),อัตราค่าขนส่ง!$T$5:$T$14,0)),"รวมกลุ่ม "&amp;INDEX($AM$5:$AM$404,$AC494)),INDEX($AY$5:$AY$404,$AC494))))))</f>
        <v/>
      </c>
      <c r="B494" s="31" t="str">
        <f t="shared" si="196"/>
        <v/>
      </c>
      <c r="C494" s="8" t="str">
        <f t="shared" si="197"/>
        <v/>
      </c>
      <c r="D494" s="37" t="str">
        <f t="shared" si="198"/>
        <v/>
      </c>
      <c r="E494" s="31" t="str">
        <f t="shared" si="199"/>
        <v/>
      </c>
      <c r="F494" s="32" t="str">
        <f t="shared" si="200"/>
        <v/>
      </c>
      <c r="G494" s="32" t="str">
        <f t="shared" si="201"/>
        <v/>
      </c>
      <c r="H494" s="32" t="str">
        <f t="shared" si="202"/>
        <v/>
      </c>
      <c r="I494" s="32" t="str">
        <f t="shared" si="203"/>
        <v/>
      </c>
      <c r="J494" s="46" t="str">
        <f t="shared" si="204"/>
        <v/>
      </c>
      <c r="K494" s="32" t="str">
        <f t="shared" si="205"/>
        <v/>
      </c>
      <c r="L494" s="32" t="str">
        <f t="shared" si="206"/>
        <v/>
      </c>
      <c r="M494" s="32" t="str">
        <f t="shared" si="207"/>
        <v/>
      </c>
      <c r="N494" s="32" t="str">
        <f t="shared" si="208"/>
        <v/>
      </c>
      <c r="O494" s="32" t="str">
        <f t="shared" si="209"/>
        <v/>
      </c>
      <c r="AC494" t="str">
        <f>IFERROR(MATCH(490,$AB$5:$AB$404,1),"")</f>
        <v/>
      </c>
      <c r="AD494" t="str">
        <f>IF(490=$AI$1+1,"Z",IF($AC494="","",IF(INDEX($V$5:$V$404,$AC494)="","",IF(490&gt;INDEX($AB$5:$AB$404,$AC494)+INDEX($Z$5:$Z$404,$AC494)+INDEX($AA$5:$AA$404,$AC494)+INDEX($AO$5:$AO$404,$AC494),"",IF(490=INDEX($AB$5:$AB$404,$AC494)+INDEX($Z$5:$Z$404,$AC494),"D",IF(AND(INDEX($Z$5:$Z$404,$AC494)=1,490=INDEX($AB$5:$AB$404,$AC494)),"H",IF(AND(INDEX($AO$5:$AO$404,$AC494)=1,490=INDEX($AB$5:$AB$404,$AC494)+INDEX($Z$5:$Z$404,$AC494)+INDEX($AA$5:$AA$404,$AC494)+INDEX($AO$5:$AO$404,$AC494)),"B","T")))))))</f>
        <v/>
      </c>
      <c r="AF494" t="str">
        <f t="shared" si="210"/>
        <v/>
      </c>
      <c r="AJ494">
        <f>IF($AD494&lt;&gt;"T",0,ROUND(SUMIF(oil!$B$4:$B$63,$AF494,oil!$AE$4:$AE$63),2))</f>
        <v>0</v>
      </c>
      <c r="AQ494" t="str">
        <f t="shared" si="211"/>
        <v/>
      </c>
      <c r="AZ494">
        <f t="shared" si="212"/>
        <v>0</v>
      </c>
    </row>
    <row r="495" spans="1:52" ht="21" customHeight="1" x14ac:dyDescent="0.95">
      <c r="A495" s="36" t="str">
        <f>IF($AD495="","",IF($AD495="Z","รวมจ่ายทั้งสิ้น",IF($AD495="H",INDEX($X$5:$X$404,$AC495),IF($AD495="T","รวม",IF($AD495="B",IFERROR(INDEX(อัตราค่าขนส่ง!$U$5:$U$14,MATCH(INDEX($AM$5:$AM$404,$AC495),อัตราค่าขนส่ง!$T$5:$T$14,0)),"รวมกลุ่ม "&amp;INDEX($AM$5:$AM$404,$AC495)),INDEX($AY$5:$AY$404,$AC495))))))</f>
        <v/>
      </c>
      <c r="B495" s="31" t="str">
        <f t="shared" si="196"/>
        <v/>
      </c>
      <c r="C495" s="8" t="str">
        <f t="shared" si="197"/>
        <v/>
      </c>
      <c r="D495" s="37" t="str">
        <f t="shared" si="198"/>
        <v/>
      </c>
      <c r="E495" s="31" t="str">
        <f t="shared" si="199"/>
        <v/>
      </c>
      <c r="F495" s="32" t="str">
        <f t="shared" si="200"/>
        <v/>
      </c>
      <c r="G495" s="32" t="str">
        <f t="shared" si="201"/>
        <v/>
      </c>
      <c r="H495" s="32" t="str">
        <f t="shared" si="202"/>
        <v/>
      </c>
      <c r="I495" s="32" t="str">
        <f t="shared" si="203"/>
        <v/>
      </c>
      <c r="J495" s="46" t="str">
        <f t="shared" si="204"/>
        <v/>
      </c>
      <c r="K495" s="32" t="str">
        <f t="shared" si="205"/>
        <v/>
      </c>
      <c r="L495" s="32" t="str">
        <f t="shared" si="206"/>
        <v/>
      </c>
      <c r="M495" s="32" t="str">
        <f t="shared" si="207"/>
        <v/>
      </c>
      <c r="N495" s="32" t="str">
        <f t="shared" si="208"/>
        <v/>
      </c>
      <c r="O495" s="32" t="str">
        <f t="shared" si="209"/>
        <v/>
      </c>
      <c r="AC495" t="str">
        <f>IFERROR(MATCH(491,$AB$5:$AB$404,1),"")</f>
        <v/>
      </c>
      <c r="AD495" t="str">
        <f>IF(491=$AI$1+1,"Z",IF($AC495="","",IF(INDEX($V$5:$V$404,$AC495)="","",IF(491&gt;INDEX($AB$5:$AB$404,$AC495)+INDEX($Z$5:$Z$404,$AC495)+INDEX($AA$5:$AA$404,$AC495)+INDEX($AO$5:$AO$404,$AC495),"",IF(491=INDEX($AB$5:$AB$404,$AC495)+INDEX($Z$5:$Z$404,$AC495),"D",IF(AND(INDEX($Z$5:$Z$404,$AC495)=1,491=INDEX($AB$5:$AB$404,$AC495)),"H",IF(AND(INDEX($AO$5:$AO$404,$AC495)=1,491=INDEX($AB$5:$AB$404,$AC495)+INDEX($Z$5:$Z$404,$AC495)+INDEX($AA$5:$AA$404,$AC495)+INDEX($AO$5:$AO$404,$AC495)),"B","T")))))))</f>
        <v/>
      </c>
      <c r="AF495" t="str">
        <f t="shared" si="210"/>
        <v/>
      </c>
      <c r="AJ495">
        <f>IF($AD495&lt;&gt;"T",0,ROUND(SUMIF(oil!$B$4:$B$63,$AF495,oil!$AE$4:$AE$63),2))</f>
        <v>0</v>
      </c>
      <c r="AQ495" t="str">
        <f t="shared" si="211"/>
        <v/>
      </c>
      <c r="AZ495">
        <f t="shared" si="212"/>
        <v>0</v>
      </c>
    </row>
    <row r="496" spans="1:52" ht="21" customHeight="1" x14ac:dyDescent="0.95">
      <c r="A496" s="36" t="str">
        <f>IF($AD496="","",IF($AD496="Z","รวมจ่ายทั้งสิ้น",IF($AD496="H",INDEX($X$5:$X$404,$AC496),IF($AD496="T","รวม",IF($AD496="B",IFERROR(INDEX(อัตราค่าขนส่ง!$U$5:$U$14,MATCH(INDEX($AM$5:$AM$404,$AC496),อัตราค่าขนส่ง!$T$5:$T$14,0)),"รวมกลุ่ม "&amp;INDEX($AM$5:$AM$404,$AC496)),INDEX($AY$5:$AY$404,$AC496))))))</f>
        <v/>
      </c>
      <c r="B496" s="31" t="str">
        <f t="shared" si="196"/>
        <v/>
      </c>
      <c r="C496" s="8" t="str">
        <f t="shared" si="197"/>
        <v/>
      </c>
      <c r="D496" s="37" t="str">
        <f t="shared" si="198"/>
        <v/>
      </c>
      <c r="E496" s="31" t="str">
        <f t="shared" si="199"/>
        <v/>
      </c>
      <c r="F496" s="32" t="str">
        <f t="shared" si="200"/>
        <v/>
      </c>
      <c r="G496" s="32" t="str">
        <f t="shared" si="201"/>
        <v/>
      </c>
      <c r="H496" s="32" t="str">
        <f t="shared" si="202"/>
        <v/>
      </c>
      <c r="I496" s="32" t="str">
        <f t="shared" si="203"/>
        <v/>
      </c>
      <c r="J496" s="46" t="str">
        <f t="shared" si="204"/>
        <v/>
      </c>
      <c r="K496" s="32" t="str">
        <f t="shared" si="205"/>
        <v/>
      </c>
      <c r="L496" s="32" t="str">
        <f t="shared" si="206"/>
        <v/>
      </c>
      <c r="M496" s="32" t="str">
        <f t="shared" si="207"/>
        <v/>
      </c>
      <c r="N496" s="32" t="str">
        <f t="shared" si="208"/>
        <v/>
      </c>
      <c r="O496" s="32" t="str">
        <f t="shared" si="209"/>
        <v/>
      </c>
      <c r="AC496" t="str">
        <f>IFERROR(MATCH(492,$AB$5:$AB$404,1),"")</f>
        <v/>
      </c>
      <c r="AD496" t="str">
        <f>IF(492=$AI$1+1,"Z",IF($AC496="","",IF(INDEX($V$5:$V$404,$AC496)="","",IF(492&gt;INDEX($AB$5:$AB$404,$AC496)+INDEX($Z$5:$Z$404,$AC496)+INDEX($AA$5:$AA$404,$AC496)+INDEX($AO$5:$AO$404,$AC496),"",IF(492=INDEX($AB$5:$AB$404,$AC496)+INDEX($Z$5:$Z$404,$AC496),"D",IF(AND(INDEX($Z$5:$Z$404,$AC496)=1,492=INDEX($AB$5:$AB$404,$AC496)),"H",IF(AND(INDEX($AO$5:$AO$404,$AC496)=1,492=INDEX($AB$5:$AB$404,$AC496)+INDEX($Z$5:$Z$404,$AC496)+INDEX($AA$5:$AA$404,$AC496)+INDEX($AO$5:$AO$404,$AC496)),"B","T")))))))</f>
        <v/>
      </c>
      <c r="AF496" t="str">
        <f t="shared" si="210"/>
        <v/>
      </c>
      <c r="AJ496">
        <f>IF($AD496&lt;&gt;"T",0,ROUND(SUMIF(oil!$B$4:$B$63,$AF496,oil!$AE$4:$AE$63),2))</f>
        <v>0</v>
      </c>
      <c r="AQ496" t="str">
        <f t="shared" si="211"/>
        <v/>
      </c>
      <c r="AZ496">
        <f t="shared" si="212"/>
        <v>0</v>
      </c>
    </row>
    <row r="497" spans="1:52" ht="21" customHeight="1" x14ac:dyDescent="0.95">
      <c r="A497" s="36" t="str">
        <f>IF($AD497="","",IF($AD497="Z","รวมจ่ายทั้งสิ้น",IF($AD497="H",INDEX($X$5:$X$404,$AC497),IF($AD497="T","รวม",IF($AD497="B",IFERROR(INDEX(อัตราค่าขนส่ง!$U$5:$U$14,MATCH(INDEX($AM$5:$AM$404,$AC497),อัตราค่าขนส่ง!$T$5:$T$14,0)),"รวมกลุ่ม "&amp;INDEX($AM$5:$AM$404,$AC497)),INDEX($AY$5:$AY$404,$AC497))))))</f>
        <v/>
      </c>
      <c r="B497" s="31" t="str">
        <f t="shared" si="196"/>
        <v/>
      </c>
      <c r="C497" s="8" t="str">
        <f t="shared" si="197"/>
        <v/>
      </c>
      <c r="D497" s="37" t="str">
        <f t="shared" si="198"/>
        <v/>
      </c>
      <c r="E497" s="31" t="str">
        <f t="shared" si="199"/>
        <v/>
      </c>
      <c r="F497" s="32" t="str">
        <f t="shared" si="200"/>
        <v/>
      </c>
      <c r="G497" s="32" t="str">
        <f t="shared" si="201"/>
        <v/>
      </c>
      <c r="H497" s="32" t="str">
        <f t="shared" si="202"/>
        <v/>
      </c>
      <c r="I497" s="32" t="str">
        <f t="shared" si="203"/>
        <v/>
      </c>
      <c r="J497" s="46" t="str">
        <f t="shared" si="204"/>
        <v/>
      </c>
      <c r="K497" s="32" t="str">
        <f t="shared" si="205"/>
        <v/>
      </c>
      <c r="L497" s="32" t="str">
        <f t="shared" si="206"/>
        <v/>
      </c>
      <c r="M497" s="32" t="str">
        <f t="shared" si="207"/>
        <v/>
      </c>
      <c r="N497" s="32" t="str">
        <f t="shared" si="208"/>
        <v/>
      </c>
      <c r="O497" s="32" t="str">
        <f t="shared" si="209"/>
        <v/>
      </c>
      <c r="AC497" t="str">
        <f>IFERROR(MATCH(493,$AB$5:$AB$404,1),"")</f>
        <v/>
      </c>
      <c r="AD497" t="str">
        <f>IF(493=$AI$1+1,"Z",IF($AC497="","",IF(INDEX($V$5:$V$404,$AC497)="","",IF(493&gt;INDEX($AB$5:$AB$404,$AC497)+INDEX($Z$5:$Z$404,$AC497)+INDEX($AA$5:$AA$404,$AC497)+INDEX($AO$5:$AO$404,$AC497),"",IF(493=INDEX($AB$5:$AB$404,$AC497)+INDEX($Z$5:$Z$404,$AC497),"D",IF(AND(INDEX($Z$5:$Z$404,$AC497)=1,493=INDEX($AB$5:$AB$404,$AC497)),"H",IF(AND(INDEX($AO$5:$AO$404,$AC497)=1,493=INDEX($AB$5:$AB$404,$AC497)+INDEX($Z$5:$Z$404,$AC497)+INDEX($AA$5:$AA$404,$AC497)+INDEX($AO$5:$AO$404,$AC497)),"B","T")))))))</f>
        <v/>
      </c>
      <c r="AF497" t="str">
        <f t="shared" si="210"/>
        <v/>
      </c>
      <c r="AJ497">
        <f>IF($AD497&lt;&gt;"T",0,ROUND(SUMIF(oil!$B$4:$B$63,$AF497,oil!$AE$4:$AE$63),2))</f>
        <v>0</v>
      </c>
      <c r="AQ497" t="str">
        <f t="shared" si="211"/>
        <v/>
      </c>
      <c r="AZ497">
        <f t="shared" si="212"/>
        <v>0</v>
      </c>
    </row>
    <row r="498" spans="1:52" ht="21" customHeight="1" x14ac:dyDescent="0.95">
      <c r="A498" s="36" t="str">
        <f>IF($AD498="","",IF($AD498="Z","รวมจ่ายทั้งสิ้น",IF($AD498="H",INDEX($X$5:$X$404,$AC498),IF($AD498="T","รวม",IF($AD498="B",IFERROR(INDEX(อัตราค่าขนส่ง!$U$5:$U$14,MATCH(INDEX($AM$5:$AM$404,$AC498),อัตราค่าขนส่ง!$T$5:$T$14,0)),"รวมกลุ่ม "&amp;INDEX($AM$5:$AM$404,$AC498)),INDEX($AY$5:$AY$404,$AC498))))))</f>
        <v/>
      </c>
      <c r="B498" s="31" t="str">
        <f t="shared" si="196"/>
        <v/>
      </c>
      <c r="C498" s="8" t="str">
        <f t="shared" si="197"/>
        <v/>
      </c>
      <c r="D498" s="37" t="str">
        <f t="shared" si="198"/>
        <v/>
      </c>
      <c r="E498" s="31" t="str">
        <f t="shared" si="199"/>
        <v/>
      </c>
      <c r="F498" s="32" t="str">
        <f t="shared" si="200"/>
        <v/>
      </c>
      <c r="G498" s="32" t="str">
        <f t="shared" si="201"/>
        <v/>
      </c>
      <c r="H498" s="32" t="str">
        <f t="shared" si="202"/>
        <v/>
      </c>
      <c r="I498" s="32" t="str">
        <f t="shared" si="203"/>
        <v/>
      </c>
      <c r="J498" s="46" t="str">
        <f t="shared" si="204"/>
        <v/>
      </c>
      <c r="K498" s="32" t="str">
        <f t="shared" si="205"/>
        <v/>
      </c>
      <c r="L498" s="32" t="str">
        <f t="shared" si="206"/>
        <v/>
      </c>
      <c r="M498" s="32" t="str">
        <f t="shared" si="207"/>
        <v/>
      </c>
      <c r="N498" s="32" t="str">
        <f t="shared" si="208"/>
        <v/>
      </c>
      <c r="O498" s="32" t="str">
        <f t="shared" si="209"/>
        <v/>
      </c>
      <c r="AC498" t="str">
        <f>IFERROR(MATCH(494,$AB$5:$AB$404,1),"")</f>
        <v/>
      </c>
      <c r="AD498" t="str">
        <f>IF(494=$AI$1+1,"Z",IF($AC498="","",IF(INDEX($V$5:$V$404,$AC498)="","",IF(494&gt;INDEX($AB$5:$AB$404,$AC498)+INDEX($Z$5:$Z$404,$AC498)+INDEX($AA$5:$AA$404,$AC498)+INDEX($AO$5:$AO$404,$AC498),"",IF(494=INDEX($AB$5:$AB$404,$AC498)+INDEX($Z$5:$Z$404,$AC498),"D",IF(AND(INDEX($Z$5:$Z$404,$AC498)=1,494=INDEX($AB$5:$AB$404,$AC498)),"H",IF(AND(INDEX($AO$5:$AO$404,$AC498)=1,494=INDEX($AB$5:$AB$404,$AC498)+INDEX($Z$5:$Z$404,$AC498)+INDEX($AA$5:$AA$404,$AC498)+INDEX($AO$5:$AO$404,$AC498)),"B","T")))))))</f>
        <v/>
      </c>
      <c r="AF498" t="str">
        <f t="shared" si="210"/>
        <v/>
      </c>
      <c r="AJ498">
        <f>IF($AD498&lt;&gt;"T",0,ROUND(SUMIF(oil!$B$4:$B$63,$AF498,oil!$AE$4:$AE$63),2))</f>
        <v>0</v>
      </c>
      <c r="AQ498" t="str">
        <f t="shared" si="211"/>
        <v/>
      </c>
      <c r="AZ498">
        <f t="shared" si="212"/>
        <v>0</v>
      </c>
    </row>
    <row r="499" spans="1:52" ht="21" customHeight="1" x14ac:dyDescent="0.95">
      <c r="A499" s="36" t="str">
        <f>IF($AD499="","",IF($AD499="Z","รวมจ่ายทั้งสิ้น",IF($AD499="H",INDEX($X$5:$X$404,$AC499),IF($AD499="T","รวม",IF($AD499="B",IFERROR(INDEX(อัตราค่าขนส่ง!$U$5:$U$14,MATCH(INDEX($AM$5:$AM$404,$AC499),อัตราค่าขนส่ง!$T$5:$T$14,0)),"รวมกลุ่ม "&amp;INDEX($AM$5:$AM$404,$AC499)),INDEX($AY$5:$AY$404,$AC499))))))</f>
        <v/>
      </c>
      <c r="B499" s="31" t="str">
        <f t="shared" si="196"/>
        <v/>
      </c>
      <c r="C499" s="8" t="str">
        <f t="shared" si="197"/>
        <v/>
      </c>
      <c r="D499" s="37" t="str">
        <f t="shared" si="198"/>
        <v/>
      </c>
      <c r="E499" s="31" t="str">
        <f t="shared" si="199"/>
        <v/>
      </c>
      <c r="F499" s="32" t="str">
        <f t="shared" si="200"/>
        <v/>
      </c>
      <c r="G499" s="32" t="str">
        <f t="shared" si="201"/>
        <v/>
      </c>
      <c r="H499" s="32" t="str">
        <f t="shared" si="202"/>
        <v/>
      </c>
      <c r="I499" s="32" t="str">
        <f t="shared" si="203"/>
        <v/>
      </c>
      <c r="J499" s="46" t="str">
        <f t="shared" si="204"/>
        <v/>
      </c>
      <c r="K499" s="32" t="str">
        <f t="shared" si="205"/>
        <v/>
      </c>
      <c r="L499" s="32" t="str">
        <f t="shared" si="206"/>
        <v/>
      </c>
      <c r="M499" s="32" t="str">
        <f t="shared" si="207"/>
        <v/>
      </c>
      <c r="N499" s="32" t="str">
        <f t="shared" si="208"/>
        <v/>
      </c>
      <c r="O499" s="32" t="str">
        <f t="shared" si="209"/>
        <v/>
      </c>
      <c r="AC499" t="str">
        <f>IFERROR(MATCH(495,$AB$5:$AB$404,1),"")</f>
        <v/>
      </c>
      <c r="AD499" t="str">
        <f>IF(495=$AI$1+1,"Z",IF($AC499="","",IF(INDEX($V$5:$V$404,$AC499)="","",IF(495&gt;INDEX($AB$5:$AB$404,$AC499)+INDEX($Z$5:$Z$404,$AC499)+INDEX($AA$5:$AA$404,$AC499)+INDEX($AO$5:$AO$404,$AC499),"",IF(495=INDEX($AB$5:$AB$404,$AC499)+INDEX($Z$5:$Z$404,$AC499),"D",IF(AND(INDEX($Z$5:$Z$404,$AC499)=1,495=INDEX($AB$5:$AB$404,$AC499)),"H",IF(AND(INDEX($AO$5:$AO$404,$AC499)=1,495=INDEX($AB$5:$AB$404,$AC499)+INDEX($Z$5:$Z$404,$AC499)+INDEX($AA$5:$AA$404,$AC499)+INDEX($AO$5:$AO$404,$AC499)),"B","T")))))))</f>
        <v/>
      </c>
      <c r="AF499" t="str">
        <f t="shared" si="210"/>
        <v/>
      </c>
      <c r="AJ499">
        <f>IF($AD499&lt;&gt;"T",0,ROUND(SUMIF(oil!$B$4:$B$63,$AF499,oil!$AE$4:$AE$63),2))</f>
        <v>0</v>
      </c>
      <c r="AQ499" t="str">
        <f t="shared" si="211"/>
        <v/>
      </c>
      <c r="AZ499">
        <f t="shared" si="212"/>
        <v>0</v>
      </c>
    </row>
    <row r="500" spans="1:52" ht="21" customHeight="1" x14ac:dyDescent="0.95">
      <c r="A500" s="36" t="str">
        <f>IF($AD500="","",IF($AD500="Z","รวมจ่ายทั้งสิ้น",IF($AD500="H",INDEX($X$5:$X$404,$AC500),IF($AD500="T","รวม",IF($AD500="B",IFERROR(INDEX(อัตราค่าขนส่ง!$U$5:$U$14,MATCH(INDEX($AM$5:$AM$404,$AC500),อัตราค่าขนส่ง!$T$5:$T$14,0)),"รวมกลุ่ม "&amp;INDEX($AM$5:$AM$404,$AC500)),INDEX($AY$5:$AY$404,$AC500))))))</f>
        <v/>
      </c>
      <c r="B500" s="31" t="str">
        <f t="shared" si="196"/>
        <v/>
      </c>
      <c r="C500" s="8" t="str">
        <f t="shared" si="197"/>
        <v/>
      </c>
      <c r="D500" s="37" t="str">
        <f t="shared" si="198"/>
        <v/>
      </c>
      <c r="E500" s="31" t="str">
        <f t="shared" si="199"/>
        <v/>
      </c>
      <c r="F500" s="32" t="str">
        <f t="shared" si="200"/>
        <v/>
      </c>
      <c r="G500" s="32" t="str">
        <f t="shared" si="201"/>
        <v/>
      </c>
      <c r="H500" s="32" t="str">
        <f t="shared" si="202"/>
        <v/>
      </c>
      <c r="I500" s="32" t="str">
        <f t="shared" si="203"/>
        <v/>
      </c>
      <c r="J500" s="46" t="str">
        <f t="shared" si="204"/>
        <v/>
      </c>
      <c r="K500" s="32" t="str">
        <f t="shared" si="205"/>
        <v/>
      </c>
      <c r="L500" s="32" t="str">
        <f t="shared" si="206"/>
        <v/>
      </c>
      <c r="M500" s="32" t="str">
        <f t="shared" si="207"/>
        <v/>
      </c>
      <c r="N500" s="32" t="str">
        <f t="shared" si="208"/>
        <v/>
      </c>
      <c r="O500" s="32" t="str">
        <f t="shared" si="209"/>
        <v/>
      </c>
      <c r="AC500" t="str">
        <f>IFERROR(MATCH(496,$AB$5:$AB$404,1),"")</f>
        <v/>
      </c>
      <c r="AD500" t="str">
        <f>IF(496=$AI$1+1,"Z",IF($AC500="","",IF(INDEX($V$5:$V$404,$AC500)="","",IF(496&gt;INDEX($AB$5:$AB$404,$AC500)+INDEX($Z$5:$Z$404,$AC500)+INDEX($AA$5:$AA$404,$AC500)+INDEX($AO$5:$AO$404,$AC500),"",IF(496=INDEX($AB$5:$AB$404,$AC500)+INDEX($Z$5:$Z$404,$AC500),"D",IF(AND(INDEX($Z$5:$Z$404,$AC500)=1,496=INDEX($AB$5:$AB$404,$AC500)),"H",IF(AND(INDEX($AO$5:$AO$404,$AC500)=1,496=INDEX($AB$5:$AB$404,$AC500)+INDEX($Z$5:$Z$404,$AC500)+INDEX($AA$5:$AA$404,$AC500)+INDEX($AO$5:$AO$404,$AC500)),"B","T")))))))</f>
        <v/>
      </c>
      <c r="AF500" t="str">
        <f t="shared" si="210"/>
        <v/>
      </c>
      <c r="AJ500">
        <f>IF($AD500&lt;&gt;"T",0,ROUND(SUMIF(oil!$B$4:$B$63,$AF500,oil!$AE$4:$AE$63),2))</f>
        <v>0</v>
      </c>
      <c r="AQ500" t="str">
        <f t="shared" si="211"/>
        <v/>
      </c>
      <c r="AZ500">
        <f t="shared" si="212"/>
        <v>0</v>
      </c>
    </row>
    <row r="501" spans="1:52" ht="21" customHeight="1" x14ac:dyDescent="0.95">
      <c r="A501" s="36" t="str">
        <f>IF($AD501="","",IF($AD501="Z","รวมจ่ายทั้งสิ้น",IF($AD501="H",INDEX($X$5:$X$404,$AC501),IF($AD501="T","รวม",IF($AD501="B",IFERROR(INDEX(อัตราค่าขนส่ง!$U$5:$U$14,MATCH(INDEX($AM$5:$AM$404,$AC501),อัตราค่าขนส่ง!$T$5:$T$14,0)),"รวมกลุ่ม "&amp;INDEX($AM$5:$AM$404,$AC501)),INDEX($AY$5:$AY$404,$AC501))))))</f>
        <v/>
      </c>
      <c r="B501" s="31" t="str">
        <f t="shared" si="196"/>
        <v/>
      </c>
      <c r="C501" s="8" t="str">
        <f t="shared" si="197"/>
        <v/>
      </c>
      <c r="D501" s="37" t="str">
        <f t="shared" si="198"/>
        <v/>
      </c>
      <c r="E501" s="31" t="str">
        <f t="shared" si="199"/>
        <v/>
      </c>
      <c r="F501" s="32" t="str">
        <f t="shared" si="200"/>
        <v/>
      </c>
      <c r="G501" s="32" t="str">
        <f t="shared" si="201"/>
        <v/>
      </c>
      <c r="H501" s="32" t="str">
        <f t="shared" si="202"/>
        <v/>
      </c>
      <c r="I501" s="32" t="str">
        <f t="shared" si="203"/>
        <v/>
      </c>
      <c r="J501" s="46" t="str">
        <f t="shared" si="204"/>
        <v/>
      </c>
      <c r="K501" s="32" t="str">
        <f t="shared" si="205"/>
        <v/>
      </c>
      <c r="L501" s="32" t="str">
        <f t="shared" si="206"/>
        <v/>
      </c>
      <c r="M501" s="32" t="str">
        <f t="shared" si="207"/>
        <v/>
      </c>
      <c r="N501" s="32" t="str">
        <f t="shared" si="208"/>
        <v/>
      </c>
      <c r="O501" s="32" t="str">
        <f t="shared" si="209"/>
        <v/>
      </c>
      <c r="AC501" t="str">
        <f>IFERROR(MATCH(497,$AB$5:$AB$404,1),"")</f>
        <v/>
      </c>
      <c r="AD501" t="str">
        <f>IF(497=$AI$1+1,"Z",IF($AC501="","",IF(INDEX($V$5:$V$404,$AC501)="","",IF(497&gt;INDEX($AB$5:$AB$404,$AC501)+INDEX($Z$5:$Z$404,$AC501)+INDEX($AA$5:$AA$404,$AC501)+INDEX($AO$5:$AO$404,$AC501),"",IF(497=INDEX($AB$5:$AB$404,$AC501)+INDEX($Z$5:$Z$404,$AC501),"D",IF(AND(INDEX($Z$5:$Z$404,$AC501)=1,497=INDEX($AB$5:$AB$404,$AC501)),"H",IF(AND(INDEX($AO$5:$AO$404,$AC501)=1,497=INDEX($AB$5:$AB$404,$AC501)+INDEX($Z$5:$Z$404,$AC501)+INDEX($AA$5:$AA$404,$AC501)+INDEX($AO$5:$AO$404,$AC501)),"B","T")))))))</f>
        <v/>
      </c>
      <c r="AF501" t="str">
        <f t="shared" si="210"/>
        <v/>
      </c>
      <c r="AJ501">
        <f>IF($AD501&lt;&gt;"T",0,ROUND(SUMIF(oil!$B$4:$B$63,$AF501,oil!$AE$4:$AE$63),2))</f>
        <v>0</v>
      </c>
      <c r="AQ501" t="str">
        <f t="shared" si="211"/>
        <v/>
      </c>
      <c r="AZ501">
        <f t="shared" si="212"/>
        <v>0</v>
      </c>
    </row>
    <row r="502" spans="1:52" ht="21" customHeight="1" x14ac:dyDescent="0.95">
      <c r="A502" s="36" t="str">
        <f>IF($AD502="","",IF($AD502="Z","รวมจ่ายทั้งสิ้น",IF($AD502="H",INDEX($X$5:$X$404,$AC502),IF($AD502="T","รวม",IF($AD502="B",IFERROR(INDEX(อัตราค่าขนส่ง!$U$5:$U$14,MATCH(INDEX($AM$5:$AM$404,$AC502),อัตราค่าขนส่ง!$T$5:$T$14,0)),"รวมกลุ่ม "&amp;INDEX($AM$5:$AM$404,$AC502)),INDEX($AY$5:$AY$404,$AC502))))))</f>
        <v/>
      </c>
      <c r="B502" s="31" t="str">
        <f t="shared" si="196"/>
        <v/>
      </c>
      <c r="C502" s="8" t="str">
        <f t="shared" si="197"/>
        <v/>
      </c>
      <c r="D502" s="37" t="str">
        <f t="shared" si="198"/>
        <v/>
      </c>
      <c r="E502" s="31" t="str">
        <f t="shared" si="199"/>
        <v/>
      </c>
      <c r="F502" s="32" t="str">
        <f t="shared" si="200"/>
        <v/>
      </c>
      <c r="G502" s="32" t="str">
        <f t="shared" si="201"/>
        <v/>
      </c>
      <c r="H502" s="32" t="str">
        <f t="shared" si="202"/>
        <v/>
      </c>
      <c r="I502" s="32" t="str">
        <f t="shared" si="203"/>
        <v/>
      </c>
      <c r="J502" s="46" t="str">
        <f t="shared" si="204"/>
        <v/>
      </c>
      <c r="K502" s="32" t="str">
        <f t="shared" si="205"/>
        <v/>
      </c>
      <c r="L502" s="32" t="str">
        <f t="shared" si="206"/>
        <v/>
      </c>
      <c r="M502" s="32" t="str">
        <f t="shared" si="207"/>
        <v/>
      </c>
      <c r="N502" s="32" t="str">
        <f t="shared" si="208"/>
        <v/>
      </c>
      <c r="O502" s="32" t="str">
        <f t="shared" si="209"/>
        <v/>
      </c>
      <c r="AC502" t="str">
        <f>IFERROR(MATCH(498,$AB$5:$AB$404,1),"")</f>
        <v/>
      </c>
      <c r="AD502" t="str">
        <f>IF(498=$AI$1+1,"Z",IF($AC502="","",IF(INDEX($V$5:$V$404,$AC502)="","",IF(498&gt;INDEX($AB$5:$AB$404,$AC502)+INDEX($Z$5:$Z$404,$AC502)+INDEX($AA$5:$AA$404,$AC502)+INDEX($AO$5:$AO$404,$AC502),"",IF(498=INDEX($AB$5:$AB$404,$AC502)+INDEX($Z$5:$Z$404,$AC502),"D",IF(AND(INDEX($Z$5:$Z$404,$AC502)=1,498=INDEX($AB$5:$AB$404,$AC502)),"H",IF(AND(INDEX($AO$5:$AO$404,$AC502)=1,498=INDEX($AB$5:$AB$404,$AC502)+INDEX($Z$5:$Z$404,$AC502)+INDEX($AA$5:$AA$404,$AC502)+INDEX($AO$5:$AO$404,$AC502)),"B","T")))))))</f>
        <v/>
      </c>
      <c r="AF502" t="str">
        <f t="shared" si="210"/>
        <v/>
      </c>
      <c r="AJ502">
        <f>IF($AD502&lt;&gt;"T",0,ROUND(SUMIF(oil!$B$4:$B$63,$AF502,oil!$AE$4:$AE$63),2))</f>
        <v>0</v>
      </c>
      <c r="AQ502" t="str">
        <f t="shared" si="211"/>
        <v/>
      </c>
      <c r="AZ502">
        <f t="shared" si="212"/>
        <v>0</v>
      </c>
    </row>
    <row r="503" spans="1:52" ht="21" customHeight="1" x14ac:dyDescent="0.95">
      <c r="A503" s="36" t="str">
        <f>IF($AD503="","",IF($AD503="Z","รวมจ่ายทั้งสิ้น",IF($AD503="H",INDEX($X$5:$X$404,$AC503),IF($AD503="T","รวม",IF($AD503="B",IFERROR(INDEX(อัตราค่าขนส่ง!$U$5:$U$14,MATCH(INDEX($AM$5:$AM$404,$AC503),อัตราค่าขนส่ง!$T$5:$T$14,0)),"รวมกลุ่ม "&amp;INDEX($AM$5:$AM$404,$AC503)),INDEX($AY$5:$AY$404,$AC503))))))</f>
        <v/>
      </c>
      <c r="B503" s="31" t="str">
        <f t="shared" si="196"/>
        <v/>
      </c>
      <c r="C503" s="8" t="str">
        <f t="shared" si="197"/>
        <v/>
      </c>
      <c r="D503" s="37" t="str">
        <f t="shared" si="198"/>
        <v/>
      </c>
      <c r="E503" s="31" t="str">
        <f t="shared" si="199"/>
        <v/>
      </c>
      <c r="F503" s="32" t="str">
        <f t="shared" si="200"/>
        <v/>
      </c>
      <c r="G503" s="32" t="str">
        <f t="shared" si="201"/>
        <v/>
      </c>
      <c r="H503" s="32" t="str">
        <f t="shared" si="202"/>
        <v/>
      </c>
      <c r="I503" s="32" t="str">
        <f t="shared" si="203"/>
        <v/>
      </c>
      <c r="J503" s="46" t="str">
        <f t="shared" si="204"/>
        <v/>
      </c>
      <c r="K503" s="32" t="str">
        <f t="shared" si="205"/>
        <v/>
      </c>
      <c r="L503" s="32" t="str">
        <f t="shared" si="206"/>
        <v/>
      </c>
      <c r="M503" s="32" t="str">
        <f t="shared" si="207"/>
        <v/>
      </c>
      <c r="N503" s="32" t="str">
        <f t="shared" si="208"/>
        <v/>
      </c>
      <c r="O503" s="32" t="str">
        <f t="shared" si="209"/>
        <v/>
      </c>
      <c r="AC503" t="str">
        <f>IFERROR(MATCH(499,$AB$5:$AB$404,1),"")</f>
        <v/>
      </c>
      <c r="AD503" t="str">
        <f>IF(499=$AI$1+1,"Z",IF($AC503="","",IF(INDEX($V$5:$V$404,$AC503)="","",IF(499&gt;INDEX($AB$5:$AB$404,$AC503)+INDEX($Z$5:$Z$404,$AC503)+INDEX($AA$5:$AA$404,$AC503)+INDEX($AO$5:$AO$404,$AC503),"",IF(499=INDEX($AB$5:$AB$404,$AC503)+INDEX($Z$5:$Z$404,$AC503),"D",IF(AND(INDEX($Z$5:$Z$404,$AC503)=1,499=INDEX($AB$5:$AB$404,$AC503)),"H",IF(AND(INDEX($AO$5:$AO$404,$AC503)=1,499=INDEX($AB$5:$AB$404,$AC503)+INDEX($Z$5:$Z$404,$AC503)+INDEX($AA$5:$AA$404,$AC503)+INDEX($AO$5:$AO$404,$AC503)),"B","T")))))))</f>
        <v/>
      </c>
      <c r="AF503" t="str">
        <f t="shared" si="210"/>
        <v/>
      </c>
      <c r="AJ503">
        <f>IF($AD503&lt;&gt;"T",0,ROUND(SUMIF(oil!$B$4:$B$63,$AF503,oil!$AE$4:$AE$63),2))</f>
        <v>0</v>
      </c>
      <c r="AQ503" t="str">
        <f t="shared" si="211"/>
        <v/>
      </c>
      <c r="AZ503">
        <f t="shared" si="212"/>
        <v>0</v>
      </c>
    </row>
    <row r="504" spans="1:52" ht="21" customHeight="1" x14ac:dyDescent="0.95">
      <c r="A504" s="36" t="str">
        <f>IF($AD504="","",IF($AD504="Z","รวมจ่ายทั้งสิ้น",IF($AD504="H",INDEX($X$5:$X$404,$AC504),IF($AD504="T","รวม",IF($AD504="B",IFERROR(INDEX(อัตราค่าขนส่ง!$U$5:$U$14,MATCH(INDEX($AM$5:$AM$404,$AC504),อัตราค่าขนส่ง!$T$5:$T$14,0)),"รวมกลุ่ม "&amp;INDEX($AM$5:$AM$404,$AC504)),INDEX($AY$5:$AY$404,$AC504))))))</f>
        <v/>
      </c>
      <c r="B504" s="31" t="str">
        <f t="shared" si="196"/>
        <v/>
      </c>
      <c r="C504" s="8" t="str">
        <f t="shared" si="197"/>
        <v/>
      </c>
      <c r="D504" s="37" t="str">
        <f t="shared" si="198"/>
        <v/>
      </c>
      <c r="E504" s="31" t="str">
        <f t="shared" si="199"/>
        <v/>
      </c>
      <c r="F504" s="32" t="str">
        <f t="shared" si="200"/>
        <v/>
      </c>
      <c r="G504" s="32" t="str">
        <f t="shared" si="201"/>
        <v/>
      </c>
      <c r="H504" s="32" t="str">
        <f t="shared" si="202"/>
        <v/>
      </c>
      <c r="I504" s="32" t="str">
        <f t="shared" si="203"/>
        <v/>
      </c>
      <c r="J504" s="46" t="str">
        <f t="shared" si="204"/>
        <v/>
      </c>
      <c r="K504" s="32" t="str">
        <f t="shared" si="205"/>
        <v/>
      </c>
      <c r="L504" s="32" t="str">
        <f t="shared" si="206"/>
        <v/>
      </c>
      <c r="M504" s="32" t="str">
        <f t="shared" si="207"/>
        <v/>
      </c>
      <c r="N504" s="32" t="str">
        <f t="shared" si="208"/>
        <v/>
      </c>
      <c r="O504" s="32" t="str">
        <f t="shared" si="209"/>
        <v/>
      </c>
      <c r="AC504" t="str">
        <f>IFERROR(MATCH(500,$AB$5:$AB$404,1),"")</f>
        <v/>
      </c>
      <c r="AD504" t="str">
        <f>IF(500=$AI$1+1,"Z",IF($AC504="","",IF(INDEX($V$5:$V$404,$AC504)="","",IF(500&gt;INDEX($AB$5:$AB$404,$AC504)+INDEX($Z$5:$Z$404,$AC504)+INDEX($AA$5:$AA$404,$AC504)+INDEX($AO$5:$AO$404,$AC504),"",IF(500=INDEX($AB$5:$AB$404,$AC504)+INDEX($Z$5:$Z$404,$AC504),"D",IF(AND(INDEX($Z$5:$Z$404,$AC504)=1,500=INDEX($AB$5:$AB$404,$AC504)),"H",IF(AND(INDEX($AO$5:$AO$404,$AC504)=1,500=INDEX($AB$5:$AB$404,$AC504)+INDEX($Z$5:$Z$404,$AC504)+INDEX($AA$5:$AA$404,$AC504)+INDEX($AO$5:$AO$404,$AC504)),"B","T")))))))</f>
        <v/>
      </c>
      <c r="AF504" t="str">
        <f t="shared" si="210"/>
        <v/>
      </c>
      <c r="AJ504">
        <f>IF($AD504&lt;&gt;"T",0,ROUND(SUMIF(oil!$B$4:$B$63,$AF504,oil!$AE$4:$AE$63),2))</f>
        <v>0</v>
      </c>
      <c r="AQ504" t="str">
        <f t="shared" si="211"/>
        <v/>
      </c>
      <c r="AZ504">
        <f t="shared" si="212"/>
        <v>0</v>
      </c>
    </row>
    <row r="505" spans="1:52" ht="21" customHeight="1" x14ac:dyDescent="0.95">
      <c r="A505" s="36" t="str">
        <f>IF($AD505="","",IF($AD505="Z","รวมจ่ายทั้งสิ้น",IF($AD505="H",INDEX($X$5:$X$404,$AC505),IF($AD505="T","รวม",IF($AD505="B",IFERROR(INDEX(อัตราค่าขนส่ง!$U$5:$U$14,MATCH(INDEX($AM$5:$AM$404,$AC505),อัตราค่าขนส่ง!$T$5:$T$14,0)),"รวมกลุ่ม "&amp;INDEX($AM$5:$AM$404,$AC505)),INDEX($AY$5:$AY$404,$AC505))))))</f>
        <v/>
      </c>
      <c r="B505" s="31" t="str">
        <f t="shared" si="196"/>
        <v/>
      </c>
      <c r="C505" s="8" t="str">
        <f t="shared" si="197"/>
        <v/>
      </c>
      <c r="D505" s="37" t="str">
        <f t="shared" si="198"/>
        <v/>
      </c>
      <c r="E505" s="31" t="str">
        <f t="shared" si="199"/>
        <v/>
      </c>
      <c r="F505" s="32" t="str">
        <f t="shared" si="200"/>
        <v/>
      </c>
      <c r="G505" s="32" t="str">
        <f t="shared" si="201"/>
        <v/>
      </c>
      <c r="H505" s="32" t="str">
        <f t="shared" si="202"/>
        <v/>
      </c>
      <c r="I505" s="32" t="str">
        <f t="shared" si="203"/>
        <v/>
      </c>
      <c r="J505" s="46" t="str">
        <f t="shared" si="204"/>
        <v/>
      </c>
      <c r="K505" s="32" t="str">
        <f t="shared" si="205"/>
        <v/>
      </c>
      <c r="L505" s="32" t="str">
        <f t="shared" si="206"/>
        <v/>
      </c>
      <c r="M505" s="32" t="str">
        <f t="shared" si="207"/>
        <v/>
      </c>
      <c r="N505" s="32" t="str">
        <f t="shared" si="208"/>
        <v/>
      </c>
      <c r="O505" s="32" t="str">
        <f t="shared" si="209"/>
        <v/>
      </c>
      <c r="AC505" t="str">
        <f>IFERROR(MATCH(501,$AB$5:$AB$404,1),"")</f>
        <v/>
      </c>
      <c r="AD505" t="str">
        <f>IF(501=$AI$1+1,"Z",IF($AC505="","",IF(INDEX($V$5:$V$404,$AC505)="","",IF(501&gt;INDEX($AB$5:$AB$404,$AC505)+INDEX($Z$5:$Z$404,$AC505)+INDEX($AA$5:$AA$404,$AC505)+INDEX($AO$5:$AO$404,$AC505),"",IF(501=INDEX($AB$5:$AB$404,$AC505)+INDEX($Z$5:$Z$404,$AC505),"D",IF(AND(INDEX($Z$5:$Z$404,$AC505)=1,501=INDEX($AB$5:$AB$404,$AC505)),"H",IF(AND(INDEX($AO$5:$AO$404,$AC505)=1,501=INDEX($AB$5:$AB$404,$AC505)+INDEX($Z$5:$Z$404,$AC505)+INDEX($AA$5:$AA$404,$AC505)+INDEX($AO$5:$AO$404,$AC505)),"B","T")))))))</f>
        <v/>
      </c>
      <c r="AF505" t="str">
        <f t="shared" si="210"/>
        <v/>
      </c>
      <c r="AJ505">
        <f>IF($AD505&lt;&gt;"T",0,ROUND(SUMIF(oil!$B$4:$B$63,$AF505,oil!$AE$4:$AE$63),2))</f>
        <v>0</v>
      </c>
      <c r="AQ505" t="str">
        <f t="shared" si="211"/>
        <v/>
      </c>
      <c r="AZ505">
        <f t="shared" si="212"/>
        <v>0</v>
      </c>
    </row>
    <row r="506" spans="1:52" ht="21" customHeight="1" x14ac:dyDescent="0.95">
      <c r="A506" s="36" t="str">
        <f>IF($AD506="","",IF($AD506="Z","รวมจ่ายทั้งสิ้น",IF($AD506="H",INDEX($X$5:$X$404,$AC506),IF($AD506="T","รวม",IF($AD506="B",IFERROR(INDEX(อัตราค่าขนส่ง!$U$5:$U$14,MATCH(INDEX($AM$5:$AM$404,$AC506),อัตราค่าขนส่ง!$T$5:$T$14,0)),"รวมกลุ่ม "&amp;INDEX($AM$5:$AM$404,$AC506)),INDEX($AY$5:$AY$404,$AC506))))))</f>
        <v/>
      </c>
      <c r="B506" s="31" t="str">
        <f t="shared" si="196"/>
        <v/>
      </c>
      <c r="C506" s="8" t="str">
        <f t="shared" si="197"/>
        <v/>
      </c>
      <c r="D506" s="37" t="str">
        <f t="shared" si="198"/>
        <v/>
      </c>
      <c r="E506" s="31" t="str">
        <f t="shared" si="199"/>
        <v/>
      </c>
      <c r="F506" s="32" t="str">
        <f t="shared" si="200"/>
        <v/>
      </c>
      <c r="G506" s="32" t="str">
        <f t="shared" si="201"/>
        <v/>
      </c>
      <c r="H506" s="32" t="str">
        <f t="shared" si="202"/>
        <v/>
      </c>
      <c r="I506" s="32" t="str">
        <f t="shared" si="203"/>
        <v/>
      </c>
      <c r="J506" s="46" t="str">
        <f t="shared" si="204"/>
        <v/>
      </c>
      <c r="K506" s="32" t="str">
        <f t="shared" si="205"/>
        <v/>
      </c>
      <c r="L506" s="32" t="str">
        <f t="shared" si="206"/>
        <v/>
      </c>
      <c r="M506" s="32" t="str">
        <f t="shared" si="207"/>
        <v/>
      </c>
      <c r="N506" s="32" t="str">
        <f t="shared" si="208"/>
        <v/>
      </c>
      <c r="O506" s="32" t="str">
        <f t="shared" si="209"/>
        <v/>
      </c>
      <c r="AC506" t="str">
        <f>IFERROR(MATCH(502,$AB$5:$AB$404,1),"")</f>
        <v/>
      </c>
      <c r="AD506" t="str">
        <f>IF(502=$AI$1+1,"Z",IF($AC506="","",IF(INDEX($V$5:$V$404,$AC506)="","",IF(502&gt;INDEX($AB$5:$AB$404,$AC506)+INDEX($Z$5:$Z$404,$AC506)+INDEX($AA$5:$AA$404,$AC506)+INDEX($AO$5:$AO$404,$AC506),"",IF(502=INDEX($AB$5:$AB$404,$AC506)+INDEX($Z$5:$Z$404,$AC506),"D",IF(AND(INDEX($Z$5:$Z$404,$AC506)=1,502=INDEX($AB$5:$AB$404,$AC506)),"H",IF(AND(INDEX($AO$5:$AO$404,$AC506)=1,502=INDEX($AB$5:$AB$404,$AC506)+INDEX($Z$5:$Z$404,$AC506)+INDEX($AA$5:$AA$404,$AC506)+INDEX($AO$5:$AO$404,$AC506)),"B","T")))))))</f>
        <v/>
      </c>
      <c r="AF506" t="str">
        <f t="shared" si="210"/>
        <v/>
      </c>
      <c r="AJ506">
        <f>IF($AD506&lt;&gt;"T",0,ROUND(SUMIF(oil!$B$4:$B$63,$AF506,oil!$AE$4:$AE$63),2))</f>
        <v>0</v>
      </c>
      <c r="AQ506" t="str">
        <f t="shared" si="211"/>
        <v/>
      </c>
      <c r="AZ506">
        <f t="shared" si="212"/>
        <v>0</v>
      </c>
    </row>
    <row r="507" spans="1:52" ht="21" customHeight="1" x14ac:dyDescent="0.95">
      <c r="A507" s="36" t="str">
        <f>IF($AD507="","",IF($AD507="Z","รวมจ่ายทั้งสิ้น",IF($AD507="H",INDEX($X$5:$X$404,$AC507),IF($AD507="T","รวม",IF($AD507="B",IFERROR(INDEX(อัตราค่าขนส่ง!$U$5:$U$14,MATCH(INDEX($AM$5:$AM$404,$AC507),อัตราค่าขนส่ง!$T$5:$T$14,0)),"รวมกลุ่ม "&amp;INDEX($AM$5:$AM$404,$AC507)),INDEX($AY$5:$AY$404,$AC507))))))</f>
        <v/>
      </c>
      <c r="B507" s="31" t="str">
        <f t="shared" si="196"/>
        <v/>
      </c>
      <c r="C507" s="8" t="str">
        <f t="shared" si="197"/>
        <v/>
      </c>
      <c r="D507" s="37" t="str">
        <f t="shared" si="198"/>
        <v/>
      </c>
      <c r="E507" s="31" t="str">
        <f t="shared" si="199"/>
        <v/>
      </c>
      <c r="F507" s="32" t="str">
        <f t="shared" si="200"/>
        <v/>
      </c>
      <c r="G507" s="32" t="str">
        <f t="shared" si="201"/>
        <v/>
      </c>
      <c r="H507" s="32" t="str">
        <f t="shared" si="202"/>
        <v/>
      </c>
      <c r="I507" s="32" t="str">
        <f t="shared" si="203"/>
        <v/>
      </c>
      <c r="J507" s="46" t="str">
        <f t="shared" si="204"/>
        <v/>
      </c>
      <c r="K507" s="32" t="str">
        <f t="shared" si="205"/>
        <v/>
      </c>
      <c r="L507" s="32" t="str">
        <f t="shared" si="206"/>
        <v/>
      </c>
      <c r="M507" s="32" t="str">
        <f t="shared" si="207"/>
        <v/>
      </c>
      <c r="N507" s="32" t="str">
        <f t="shared" si="208"/>
        <v/>
      </c>
      <c r="O507" s="32" t="str">
        <f t="shared" si="209"/>
        <v/>
      </c>
      <c r="AC507" t="str">
        <f>IFERROR(MATCH(503,$AB$5:$AB$404,1),"")</f>
        <v/>
      </c>
      <c r="AD507" t="str">
        <f>IF(503=$AI$1+1,"Z",IF($AC507="","",IF(INDEX($V$5:$V$404,$AC507)="","",IF(503&gt;INDEX($AB$5:$AB$404,$AC507)+INDEX($Z$5:$Z$404,$AC507)+INDEX($AA$5:$AA$404,$AC507)+INDEX($AO$5:$AO$404,$AC507),"",IF(503=INDEX($AB$5:$AB$404,$AC507)+INDEX($Z$5:$Z$404,$AC507),"D",IF(AND(INDEX($Z$5:$Z$404,$AC507)=1,503=INDEX($AB$5:$AB$404,$AC507)),"H",IF(AND(INDEX($AO$5:$AO$404,$AC507)=1,503=INDEX($AB$5:$AB$404,$AC507)+INDEX($Z$5:$Z$404,$AC507)+INDEX($AA$5:$AA$404,$AC507)+INDEX($AO$5:$AO$404,$AC507)),"B","T")))))))</f>
        <v/>
      </c>
      <c r="AF507" t="str">
        <f t="shared" si="210"/>
        <v/>
      </c>
      <c r="AJ507">
        <f>IF($AD507&lt;&gt;"T",0,ROUND(SUMIF(oil!$B$4:$B$63,$AF507,oil!$AE$4:$AE$63),2))</f>
        <v>0</v>
      </c>
      <c r="AQ507" t="str">
        <f t="shared" si="211"/>
        <v/>
      </c>
      <c r="AZ507">
        <f t="shared" si="212"/>
        <v>0</v>
      </c>
    </row>
    <row r="508" spans="1:52" ht="21" customHeight="1" x14ac:dyDescent="0.95">
      <c r="A508" s="36" t="str">
        <f>IF($AD508="","",IF($AD508="Z","รวมจ่ายทั้งสิ้น",IF($AD508="H",INDEX($X$5:$X$404,$AC508),IF($AD508="T","รวม",IF($AD508="B",IFERROR(INDEX(อัตราค่าขนส่ง!$U$5:$U$14,MATCH(INDEX($AM$5:$AM$404,$AC508),อัตราค่าขนส่ง!$T$5:$T$14,0)),"รวมกลุ่ม "&amp;INDEX($AM$5:$AM$404,$AC508)),INDEX($AY$5:$AY$404,$AC508))))))</f>
        <v/>
      </c>
      <c r="B508" s="31" t="str">
        <f t="shared" si="196"/>
        <v/>
      </c>
      <c r="C508" s="8" t="str">
        <f t="shared" si="197"/>
        <v/>
      </c>
      <c r="D508" s="37" t="str">
        <f t="shared" si="198"/>
        <v/>
      </c>
      <c r="E508" s="31" t="str">
        <f t="shared" si="199"/>
        <v/>
      </c>
      <c r="F508" s="32" t="str">
        <f t="shared" si="200"/>
        <v/>
      </c>
      <c r="G508" s="32" t="str">
        <f t="shared" si="201"/>
        <v/>
      </c>
      <c r="H508" s="32" t="str">
        <f t="shared" si="202"/>
        <v/>
      </c>
      <c r="I508" s="32" t="str">
        <f t="shared" si="203"/>
        <v/>
      </c>
      <c r="J508" s="46" t="str">
        <f t="shared" si="204"/>
        <v/>
      </c>
      <c r="K508" s="32" t="str">
        <f t="shared" si="205"/>
        <v/>
      </c>
      <c r="L508" s="32" t="str">
        <f t="shared" si="206"/>
        <v/>
      </c>
      <c r="M508" s="32" t="str">
        <f t="shared" si="207"/>
        <v/>
      </c>
      <c r="N508" s="32" t="str">
        <f t="shared" si="208"/>
        <v/>
      </c>
      <c r="O508" s="32" t="str">
        <f t="shared" si="209"/>
        <v/>
      </c>
      <c r="AC508" t="str">
        <f>IFERROR(MATCH(504,$AB$5:$AB$404,1),"")</f>
        <v/>
      </c>
      <c r="AD508" t="str">
        <f>IF(504=$AI$1+1,"Z",IF($AC508="","",IF(INDEX($V$5:$V$404,$AC508)="","",IF(504&gt;INDEX($AB$5:$AB$404,$AC508)+INDEX($Z$5:$Z$404,$AC508)+INDEX($AA$5:$AA$404,$AC508)+INDEX($AO$5:$AO$404,$AC508),"",IF(504=INDEX($AB$5:$AB$404,$AC508)+INDEX($Z$5:$Z$404,$AC508),"D",IF(AND(INDEX($Z$5:$Z$404,$AC508)=1,504=INDEX($AB$5:$AB$404,$AC508)),"H",IF(AND(INDEX($AO$5:$AO$404,$AC508)=1,504=INDEX($AB$5:$AB$404,$AC508)+INDEX($Z$5:$Z$404,$AC508)+INDEX($AA$5:$AA$404,$AC508)+INDEX($AO$5:$AO$404,$AC508)),"B","T")))))))</f>
        <v/>
      </c>
      <c r="AF508" t="str">
        <f t="shared" si="210"/>
        <v/>
      </c>
      <c r="AJ508">
        <f>IF($AD508&lt;&gt;"T",0,ROUND(SUMIF(oil!$B$4:$B$63,$AF508,oil!$AE$4:$AE$63),2))</f>
        <v>0</v>
      </c>
      <c r="AQ508" t="str">
        <f t="shared" si="211"/>
        <v/>
      </c>
      <c r="AZ508">
        <f t="shared" si="212"/>
        <v>0</v>
      </c>
    </row>
    <row r="509" spans="1:52" ht="21" customHeight="1" x14ac:dyDescent="0.95">
      <c r="A509" s="36" t="str">
        <f>IF($AD509="","",IF($AD509="Z","รวมจ่ายทั้งสิ้น",IF($AD509="H",INDEX($X$5:$X$404,$AC509),IF($AD509="T","รวม",IF($AD509="B",IFERROR(INDEX(อัตราค่าขนส่ง!$U$5:$U$14,MATCH(INDEX($AM$5:$AM$404,$AC509),อัตราค่าขนส่ง!$T$5:$T$14,0)),"รวมกลุ่ม "&amp;INDEX($AM$5:$AM$404,$AC509)),INDEX($AY$5:$AY$404,$AC509))))))</f>
        <v/>
      </c>
      <c r="B509" s="31" t="str">
        <f t="shared" si="196"/>
        <v/>
      </c>
      <c r="C509" s="8" t="str">
        <f t="shared" si="197"/>
        <v/>
      </c>
      <c r="D509" s="37" t="str">
        <f t="shared" si="198"/>
        <v/>
      </c>
      <c r="E509" s="31" t="str">
        <f t="shared" si="199"/>
        <v/>
      </c>
      <c r="F509" s="32" t="str">
        <f t="shared" si="200"/>
        <v/>
      </c>
      <c r="G509" s="32" t="str">
        <f t="shared" si="201"/>
        <v/>
      </c>
      <c r="H509" s="32" t="str">
        <f t="shared" si="202"/>
        <v/>
      </c>
      <c r="I509" s="32" t="str">
        <f t="shared" si="203"/>
        <v/>
      </c>
      <c r="J509" s="46" t="str">
        <f t="shared" si="204"/>
        <v/>
      </c>
      <c r="K509" s="32" t="str">
        <f t="shared" si="205"/>
        <v/>
      </c>
      <c r="L509" s="32" t="str">
        <f t="shared" si="206"/>
        <v/>
      </c>
      <c r="M509" s="32" t="str">
        <f t="shared" si="207"/>
        <v/>
      </c>
      <c r="N509" s="32" t="str">
        <f t="shared" si="208"/>
        <v/>
      </c>
      <c r="O509" s="32" t="str">
        <f t="shared" si="209"/>
        <v/>
      </c>
      <c r="AC509" t="str">
        <f>IFERROR(MATCH(505,$AB$5:$AB$404,1),"")</f>
        <v/>
      </c>
      <c r="AD509" t="str">
        <f>IF(505=$AI$1+1,"Z",IF($AC509="","",IF(INDEX($V$5:$V$404,$AC509)="","",IF(505&gt;INDEX($AB$5:$AB$404,$AC509)+INDEX($Z$5:$Z$404,$AC509)+INDEX($AA$5:$AA$404,$AC509)+INDEX($AO$5:$AO$404,$AC509),"",IF(505=INDEX($AB$5:$AB$404,$AC509)+INDEX($Z$5:$Z$404,$AC509),"D",IF(AND(INDEX($Z$5:$Z$404,$AC509)=1,505=INDEX($AB$5:$AB$404,$AC509)),"H",IF(AND(INDEX($AO$5:$AO$404,$AC509)=1,505=INDEX($AB$5:$AB$404,$AC509)+INDEX($Z$5:$Z$404,$AC509)+INDEX($AA$5:$AA$404,$AC509)+INDEX($AO$5:$AO$404,$AC509)),"B","T")))))))</f>
        <v/>
      </c>
      <c r="AF509" t="str">
        <f t="shared" si="210"/>
        <v/>
      </c>
      <c r="AJ509">
        <f>IF($AD509&lt;&gt;"T",0,ROUND(SUMIF(oil!$B$4:$B$63,$AF509,oil!$AE$4:$AE$63),2))</f>
        <v>0</v>
      </c>
      <c r="AQ509" t="str">
        <f t="shared" si="211"/>
        <v/>
      </c>
      <c r="AZ509">
        <f t="shared" si="212"/>
        <v>0</v>
      </c>
    </row>
    <row r="510" spans="1:52" ht="21" customHeight="1" x14ac:dyDescent="0.95">
      <c r="A510" s="36" t="str">
        <f>IF($AD510="","",IF($AD510="Z","รวมจ่ายทั้งสิ้น",IF($AD510="H",INDEX($X$5:$X$404,$AC510),IF($AD510="T","รวม",IF($AD510="B",IFERROR(INDEX(อัตราค่าขนส่ง!$U$5:$U$14,MATCH(INDEX($AM$5:$AM$404,$AC510),อัตราค่าขนส่ง!$T$5:$T$14,0)),"รวมกลุ่ม "&amp;INDEX($AM$5:$AM$404,$AC510)),INDEX($AY$5:$AY$404,$AC510))))))</f>
        <v/>
      </c>
      <c r="B510" s="31" t="str">
        <f t="shared" si="196"/>
        <v/>
      </c>
      <c r="C510" s="8" t="str">
        <f t="shared" si="197"/>
        <v/>
      </c>
      <c r="D510" s="37" t="str">
        <f t="shared" si="198"/>
        <v/>
      </c>
      <c r="E510" s="31" t="str">
        <f t="shared" si="199"/>
        <v/>
      </c>
      <c r="F510" s="32" t="str">
        <f t="shared" si="200"/>
        <v/>
      </c>
      <c r="G510" s="32" t="str">
        <f t="shared" si="201"/>
        <v/>
      </c>
      <c r="H510" s="32" t="str">
        <f t="shared" si="202"/>
        <v/>
      </c>
      <c r="I510" s="32" t="str">
        <f t="shared" si="203"/>
        <v/>
      </c>
      <c r="J510" s="46" t="str">
        <f t="shared" si="204"/>
        <v/>
      </c>
      <c r="K510" s="32" t="str">
        <f t="shared" si="205"/>
        <v/>
      </c>
      <c r="L510" s="32" t="str">
        <f t="shared" si="206"/>
        <v/>
      </c>
      <c r="M510" s="32" t="str">
        <f t="shared" si="207"/>
        <v/>
      </c>
      <c r="N510" s="32" t="str">
        <f t="shared" si="208"/>
        <v/>
      </c>
      <c r="O510" s="32" t="str">
        <f t="shared" si="209"/>
        <v/>
      </c>
      <c r="AC510" t="str">
        <f>IFERROR(MATCH(506,$AB$5:$AB$404,1),"")</f>
        <v/>
      </c>
      <c r="AD510" t="str">
        <f>IF(506=$AI$1+1,"Z",IF($AC510="","",IF(INDEX($V$5:$V$404,$AC510)="","",IF(506&gt;INDEX($AB$5:$AB$404,$AC510)+INDEX($Z$5:$Z$404,$AC510)+INDEX($AA$5:$AA$404,$AC510)+INDEX($AO$5:$AO$404,$AC510),"",IF(506=INDEX($AB$5:$AB$404,$AC510)+INDEX($Z$5:$Z$404,$AC510),"D",IF(AND(INDEX($Z$5:$Z$404,$AC510)=1,506=INDEX($AB$5:$AB$404,$AC510)),"H",IF(AND(INDEX($AO$5:$AO$404,$AC510)=1,506=INDEX($AB$5:$AB$404,$AC510)+INDEX($Z$5:$Z$404,$AC510)+INDEX($AA$5:$AA$404,$AC510)+INDEX($AO$5:$AO$404,$AC510)),"B","T")))))))</f>
        <v/>
      </c>
      <c r="AF510" t="str">
        <f t="shared" si="210"/>
        <v/>
      </c>
      <c r="AJ510">
        <f>IF($AD510&lt;&gt;"T",0,ROUND(SUMIF(oil!$B$4:$B$63,$AF510,oil!$AE$4:$AE$63),2))</f>
        <v>0</v>
      </c>
      <c r="AQ510" t="str">
        <f t="shared" si="211"/>
        <v/>
      </c>
      <c r="AZ510">
        <f t="shared" si="212"/>
        <v>0</v>
      </c>
    </row>
    <row r="511" spans="1:52" ht="21" customHeight="1" x14ac:dyDescent="0.95">
      <c r="A511" s="36" t="str">
        <f>IF($AD511="","",IF($AD511="Z","รวมจ่ายทั้งสิ้น",IF($AD511="H",INDEX($X$5:$X$404,$AC511),IF($AD511="T","รวม",IF($AD511="B",IFERROR(INDEX(อัตราค่าขนส่ง!$U$5:$U$14,MATCH(INDEX($AM$5:$AM$404,$AC511),อัตราค่าขนส่ง!$T$5:$T$14,0)),"รวมกลุ่ม "&amp;INDEX($AM$5:$AM$404,$AC511)),INDEX($AY$5:$AY$404,$AC511))))))</f>
        <v/>
      </c>
      <c r="B511" s="31" t="str">
        <f t="shared" si="196"/>
        <v/>
      </c>
      <c r="C511" s="8" t="str">
        <f t="shared" si="197"/>
        <v/>
      </c>
      <c r="D511" s="37" t="str">
        <f t="shared" si="198"/>
        <v/>
      </c>
      <c r="E511" s="31" t="str">
        <f t="shared" si="199"/>
        <v/>
      </c>
      <c r="F511" s="32" t="str">
        <f t="shared" si="200"/>
        <v/>
      </c>
      <c r="G511" s="32" t="str">
        <f t="shared" si="201"/>
        <v/>
      </c>
      <c r="H511" s="32" t="str">
        <f t="shared" si="202"/>
        <v/>
      </c>
      <c r="I511" s="32" t="str">
        <f t="shared" si="203"/>
        <v/>
      </c>
      <c r="J511" s="46" t="str">
        <f t="shared" si="204"/>
        <v/>
      </c>
      <c r="K511" s="32" t="str">
        <f t="shared" si="205"/>
        <v/>
      </c>
      <c r="L511" s="32" t="str">
        <f t="shared" si="206"/>
        <v/>
      </c>
      <c r="M511" s="32" t="str">
        <f t="shared" si="207"/>
        <v/>
      </c>
      <c r="N511" s="32" t="str">
        <f t="shared" si="208"/>
        <v/>
      </c>
      <c r="O511" s="32" t="str">
        <f t="shared" si="209"/>
        <v/>
      </c>
      <c r="AC511" t="str">
        <f>IFERROR(MATCH(507,$AB$5:$AB$404,1),"")</f>
        <v/>
      </c>
      <c r="AD511" t="str">
        <f>IF(507=$AI$1+1,"Z",IF($AC511="","",IF(INDEX($V$5:$V$404,$AC511)="","",IF(507&gt;INDEX($AB$5:$AB$404,$AC511)+INDEX($Z$5:$Z$404,$AC511)+INDEX($AA$5:$AA$404,$AC511)+INDEX($AO$5:$AO$404,$AC511),"",IF(507=INDEX($AB$5:$AB$404,$AC511)+INDEX($Z$5:$Z$404,$AC511),"D",IF(AND(INDEX($Z$5:$Z$404,$AC511)=1,507=INDEX($AB$5:$AB$404,$AC511)),"H",IF(AND(INDEX($AO$5:$AO$404,$AC511)=1,507=INDEX($AB$5:$AB$404,$AC511)+INDEX($Z$5:$Z$404,$AC511)+INDEX($AA$5:$AA$404,$AC511)+INDEX($AO$5:$AO$404,$AC511)),"B","T")))))))</f>
        <v/>
      </c>
      <c r="AF511" t="str">
        <f t="shared" si="210"/>
        <v/>
      </c>
      <c r="AJ511">
        <f>IF($AD511&lt;&gt;"T",0,ROUND(SUMIF(oil!$B$4:$B$63,$AF511,oil!$AE$4:$AE$63),2))</f>
        <v>0</v>
      </c>
      <c r="AQ511" t="str">
        <f t="shared" si="211"/>
        <v/>
      </c>
      <c r="AZ511">
        <f t="shared" si="212"/>
        <v>0</v>
      </c>
    </row>
    <row r="512" spans="1:52" ht="21" customHeight="1" x14ac:dyDescent="0.95">
      <c r="A512" s="36" t="str">
        <f>IF($AD512="","",IF($AD512="Z","รวมจ่ายทั้งสิ้น",IF($AD512="H",INDEX($X$5:$X$404,$AC512),IF($AD512="T","รวม",IF($AD512="B",IFERROR(INDEX(อัตราค่าขนส่ง!$U$5:$U$14,MATCH(INDEX($AM$5:$AM$404,$AC512),อัตราค่าขนส่ง!$T$5:$T$14,0)),"รวมกลุ่ม "&amp;INDEX($AM$5:$AM$404,$AC512)),INDEX($AY$5:$AY$404,$AC512))))))</f>
        <v/>
      </c>
      <c r="B512" s="31" t="str">
        <f t="shared" si="196"/>
        <v/>
      </c>
      <c r="C512" s="8" t="str">
        <f t="shared" si="197"/>
        <v/>
      </c>
      <c r="D512" s="37" t="str">
        <f t="shared" si="198"/>
        <v/>
      </c>
      <c r="E512" s="31" t="str">
        <f t="shared" si="199"/>
        <v/>
      </c>
      <c r="F512" s="32" t="str">
        <f t="shared" si="200"/>
        <v/>
      </c>
      <c r="G512" s="32" t="str">
        <f t="shared" si="201"/>
        <v/>
      </c>
      <c r="H512" s="32" t="str">
        <f t="shared" si="202"/>
        <v/>
      </c>
      <c r="I512" s="32" t="str">
        <f t="shared" si="203"/>
        <v/>
      </c>
      <c r="J512" s="46" t="str">
        <f t="shared" si="204"/>
        <v/>
      </c>
      <c r="K512" s="32" t="str">
        <f t="shared" si="205"/>
        <v/>
      </c>
      <c r="L512" s="32" t="str">
        <f t="shared" si="206"/>
        <v/>
      </c>
      <c r="M512" s="32" t="str">
        <f t="shared" si="207"/>
        <v/>
      </c>
      <c r="N512" s="32" t="str">
        <f t="shared" si="208"/>
        <v/>
      </c>
      <c r="O512" s="32" t="str">
        <f t="shared" si="209"/>
        <v/>
      </c>
      <c r="AC512" t="str">
        <f>IFERROR(MATCH(508,$AB$5:$AB$404,1),"")</f>
        <v/>
      </c>
      <c r="AD512" t="str">
        <f>IF(508=$AI$1+1,"Z",IF($AC512="","",IF(INDEX($V$5:$V$404,$AC512)="","",IF(508&gt;INDEX($AB$5:$AB$404,$AC512)+INDEX($Z$5:$Z$404,$AC512)+INDEX($AA$5:$AA$404,$AC512)+INDEX($AO$5:$AO$404,$AC512),"",IF(508=INDEX($AB$5:$AB$404,$AC512)+INDEX($Z$5:$Z$404,$AC512),"D",IF(AND(INDEX($Z$5:$Z$404,$AC512)=1,508=INDEX($AB$5:$AB$404,$AC512)),"H",IF(AND(INDEX($AO$5:$AO$404,$AC512)=1,508=INDEX($AB$5:$AB$404,$AC512)+INDEX($Z$5:$Z$404,$AC512)+INDEX($AA$5:$AA$404,$AC512)+INDEX($AO$5:$AO$404,$AC512)),"B","T")))))))</f>
        <v/>
      </c>
      <c r="AF512" t="str">
        <f t="shared" si="210"/>
        <v/>
      </c>
      <c r="AJ512">
        <f>IF($AD512&lt;&gt;"T",0,ROUND(SUMIF(oil!$B$4:$B$63,$AF512,oil!$AE$4:$AE$63),2))</f>
        <v>0</v>
      </c>
      <c r="AQ512" t="str">
        <f t="shared" si="211"/>
        <v/>
      </c>
      <c r="AZ512">
        <f t="shared" si="212"/>
        <v>0</v>
      </c>
    </row>
    <row r="513" spans="1:52" ht="21" customHeight="1" x14ac:dyDescent="0.95">
      <c r="A513" s="36" t="str">
        <f>IF($AD513="","",IF($AD513="Z","รวมจ่ายทั้งสิ้น",IF($AD513="H",INDEX($X$5:$X$404,$AC513),IF($AD513="T","รวม",IF($AD513="B",IFERROR(INDEX(อัตราค่าขนส่ง!$U$5:$U$14,MATCH(INDEX($AM$5:$AM$404,$AC513),อัตราค่าขนส่ง!$T$5:$T$14,0)),"รวมกลุ่ม "&amp;INDEX($AM$5:$AM$404,$AC513)),INDEX($AY$5:$AY$404,$AC513))))))</f>
        <v/>
      </c>
      <c r="B513" s="31" t="str">
        <f t="shared" si="196"/>
        <v/>
      </c>
      <c r="C513" s="8" t="str">
        <f t="shared" si="197"/>
        <v/>
      </c>
      <c r="D513" s="37" t="str">
        <f t="shared" si="198"/>
        <v/>
      </c>
      <c r="E513" s="31" t="str">
        <f t="shared" si="199"/>
        <v/>
      </c>
      <c r="F513" s="32" t="str">
        <f t="shared" si="200"/>
        <v/>
      </c>
      <c r="G513" s="32" t="str">
        <f t="shared" si="201"/>
        <v/>
      </c>
      <c r="H513" s="32" t="str">
        <f t="shared" si="202"/>
        <v/>
      </c>
      <c r="I513" s="32" t="str">
        <f t="shared" si="203"/>
        <v/>
      </c>
      <c r="J513" s="46" t="str">
        <f t="shared" si="204"/>
        <v/>
      </c>
      <c r="K513" s="32" t="str">
        <f t="shared" si="205"/>
        <v/>
      </c>
      <c r="L513" s="32" t="str">
        <f t="shared" si="206"/>
        <v/>
      </c>
      <c r="M513" s="32" t="str">
        <f t="shared" si="207"/>
        <v/>
      </c>
      <c r="N513" s="32" t="str">
        <f t="shared" si="208"/>
        <v/>
      </c>
      <c r="O513" s="32" t="str">
        <f t="shared" si="209"/>
        <v/>
      </c>
      <c r="AC513" t="str">
        <f>IFERROR(MATCH(509,$AB$5:$AB$404,1),"")</f>
        <v/>
      </c>
      <c r="AD513" t="str">
        <f>IF(509=$AI$1+1,"Z",IF($AC513="","",IF(INDEX($V$5:$V$404,$AC513)="","",IF(509&gt;INDEX($AB$5:$AB$404,$AC513)+INDEX($Z$5:$Z$404,$AC513)+INDEX($AA$5:$AA$404,$AC513)+INDEX($AO$5:$AO$404,$AC513),"",IF(509=INDEX($AB$5:$AB$404,$AC513)+INDEX($Z$5:$Z$404,$AC513),"D",IF(AND(INDEX($Z$5:$Z$404,$AC513)=1,509=INDEX($AB$5:$AB$404,$AC513)),"H",IF(AND(INDEX($AO$5:$AO$404,$AC513)=1,509=INDEX($AB$5:$AB$404,$AC513)+INDEX($Z$5:$Z$404,$AC513)+INDEX($AA$5:$AA$404,$AC513)+INDEX($AO$5:$AO$404,$AC513)),"B","T")))))))</f>
        <v/>
      </c>
      <c r="AF513" t="str">
        <f t="shared" si="210"/>
        <v/>
      </c>
      <c r="AJ513">
        <f>IF($AD513&lt;&gt;"T",0,ROUND(SUMIF(oil!$B$4:$B$63,$AF513,oil!$AE$4:$AE$63),2))</f>
        <v>0</v>
      </c>
      <c r="AQ513" t="str">
        <f t="shared" si="211"/>
        <v/>
      </c>
      <c r="AZ513">
        <f t="shared" si="212"/>
        <v>0</v>
      </c>
    </row>
    <row r="514" spans="1:52" ht="21" customHeight="1" x14ac:dyDescent="0.95">
      <c r="A514" s="36" t="str">
        <f>IF($AD514="","",IF($AD514="Z","รวมจ่ายทั้งสิ้น",IF($AD514="H",INDEX($X$5:$X$404,$AC514),IF($AD514="T","รวม",IF($AD514="B",IFERROR(INDEX(อัตราค่าขนส่ง!$U$5:$U$14,MATCH(INDEX($AM$5:$AM$404,$AC514),อัตราค่าขนส่ง!$T$5:$T$14,0)),"รวมกลุ่ม "&amp;INDEX($AM$5:$AM$404,$AC514)),INDEX($AY$5:$AY$404,$AC514))))))</f>
        <v/>
      </c>
      <c r="B514" s="31" t="str">
        <f t="shared" si="196"/>
        <v/>
      </c>
      <c r="C514" s="8" t="str">
        <f t="shared" si="197"/>
        <v/>
      </c>
      <c r="D514" s="37" t="str">
        <f t="shared" si="198"/>
        <v/>
      </c>
      <c r="E514" s="31" t="str">
        <f t="shared" si="199"/>
        <v/>
      </c>
      <c r="F514" s="32" t="str">
        <f t="shared" si="200"/>
        <v/>
      </c>
      <c r="G514" s="32" t="str">
        <f t="shared" si="201"/>
        <v/>
      </c>
      <c r="H514" s="32" t="str">
        <f t="shared" si="202"/>
        <v/>
      </c>
      <c r="I514" s="32" t="str">
        <f t="shared" si="203"/>
        <v/>
      </c>
      <c r="J514" s="46" t="str">
        <f t="shared" si="204"/>
        <v/>
      </c>
      <c r="K514" s="32" t="str">
        <f t="shared" si="205"/>
        <v/>
      </c>
      <c r="L514" s="32" t="str">
        <f t="shared" si="206"/>
        <v/>
      </c>
      <c r="M514" s="32" t="str">
        <f t="shared" si="207"/>
        <v/>
      </c>
      <c r="N514" s="32" t="str">
        <f t="shared" si="208"/>
        <v/>
      </c>
      <c r="O514" s="32" t="str">
        <f t="shared" si="209"/>
        <v/>
      </c>
      <c r="AC514" t="str">
        <f>IFERROR(MATCH(510,$AB$5:$AB$404,1),"")</f>
        <v/>
      </c>
      <c r="AD514" t="str">
        <f>IF(510=$AI$1+1,"Z",IF($AC514="","",IF(INDEX($V$5:$V$404,$AC514)="","",IF(510&gt;INDEX($AB$5:$AB$404,$AC514)+INDEX($Z$5:$Z$404,$AC514)+INDEX($AA$5:$AA$404,$AC514)+INDEX($AO$5:$AO$404,$AC514),"",IF(510=INDEX($AB$5:$AB$404,$AC514)+INDEX($Z$5:$Z$404,$AC514),"D",IF(AND(INDEX($Z$5:$Z$404,$AC514)=1,510=INDEX($AB$5:$AB$404,$AC514)),"H",IF(AND(INDEX($AO$5:$AO$404,$AC514)=1,510=INDEX($AB$5:$AB$404,$AC514)+INDEX($Z$5:$Z$404,$AC514)+INDEX($AA$5:$AA$404,$AC514)+INDEX($AO$5:$AO$404,$AC514)),"B","T")))))))</f>
        <v/>
      </c>
      <c r="AF514" t="str">
        <f t="shared" si="210"/>
        <v/>
      </c>
      <c r="AJ514">
        <f>IF($AD514&lt;&gt;"T",0,ROUND(SUMIF(oil!$B$4:$B$63,$AF514,oil!$AE$4:$AE$63),2))</f>
        <v>0</v>
      </c>
      <c r="AQ514" t="str">
        <f t="shared" si="211"/>
        <v/>
      </c>
      <c r="AZ514">
        <f t="shared" si="212"/>
        <v>0</v>
      </c>
    </row>
    <row r="515" spans="1:52" ht="21" customHeight="1" x14ac:dyDescent="0.95">
      <c r="A515" s="36" t="str">
        <f>IF($AD515="","",IF($AD515="Z","รวมจ่ายทั้งสิ้น",IF($AD515="H",INDEX($X$5:$X$404,$AC515),IF($AD515="T","รวม",IF($AD515="B",IFERROR(INDEX(อัตราค่าขนส่ง!$U$5:$U$14,MATCH(INDEX($AM$5:$AM$404,$AC515),อัตราค่าขนส่ง!$T$5:$T$14,0)),"รวมกลุ่ม "&amp;INDEX($AM$5:$AM$404,$AC515)),INDEX($AY$5:$AY$404,$AC515))))))</f>
        <v/>
      </c>
      <c r="B515" s="31" t="str">
        <f t="shared" si="196"/>
        <v/>
      </c>
      <c r="C515" s="8" t="str">
        <f t="shared" si="197"/>
        <v/>
      </c>
      <c r="D515" s="37" t="str">
        <f t="shared" si="198"/>
        <v/>
      </c>
      <c r="E515" s="31" t="str">
        <f t="shared" si="199"/>
        <v/>
      </c>
      <c r="F515" s="32" t="str">
        <f t="shared" si="200"/>
        <v/>
      </c>
      <c r="G515" s="32" t="str">
        <f t="shared" si="201"/>
        <v/>
      </c>
      <c r="H515" s="32" t="str">
        <f t="shared" si="202"/>
        <v/>
      </c>
      <c r="I515" s="32" t="str">
        <f t="shared" si="203"/>
        <v/>
      </c>
      <c r="J515" s="46" t="str">
        <f t="shared" si="204"/>
        <v/>
      </c>
      <c r="K515" s="32" t="str">
        <f t="shared" si="205"/>
        <v/>
      </c>
      <c r="L515" s="32" t="str">
        <f t="shared" si="206"/>
        <v/>
      </c>
      <c r="M515" s="32" t="str">
        <f t="shared" si="207"/>
        <v/>
      </c>
      <c r="N515" s="32" t="str">
        <f t="shared" si="208"/>
        <v/>
      </c>
      <c r="O515" s="32" t="str">
        <f t="shared" si="209"/>
        <v/>
      </c>
      <c r="AC515" t="str">
        <f>IFERROR(MATCH(511,$AB$5:$AB$404,1),"")</f>
        <v/>
      </c>
      <c r="AD515" t="str">
        <f>IF(511=$AI$1+1,"Z",IF($AC515="","",IF(INDEX($V$5:$V$404,$AC515)="","",IF(511&gt;INDEX($AB$5:$AB$404,$AC515)+INDEX($Z$5:$Z$404,$AC515)+INDEX($AA$5:$AA$404,$AC515)+INDEX($AO$5:$AO$404,$AC515),"",IF(511=INDEX($AB$5:$AB$404,$AC515)+INDEX($Z$5:$Z$404,$AC515),"D",IF(AND(INDEX($Z$5:$Z$404,$AC515)=1,511=INDEX($AB$5:$AB$404,$AC515)),"H",IF(AND(INDEX($AO$5:$AO$404,$AC515)=1,511=INDEX($AB$5:$AB$404,$AC515)+INDEX($Z$5:$Z$404,$AC515)+INDEX($AA$5:$AA$404,$AC515)+INDEX($AO$5:$AO$404,$AC515)),"B","T")))))))</f>
        <v/>
      </c>
      <c r="AF515" t="str">
        <f t="shared" si="210"/>
        <v/>
      </c>
      <c r="AJ515">
        <f>IF($AD515&lt;&gt;"T",0,ROUND(SUMIF(oil!$B$4:$B$63,$AF515,oil!$AE$4:$AE$63),2))</f>
        <v>0</v>
      </c>
      <c r="AQ515" t="str">
        <f t="shared" si="211"/>
        <v/>
      </c>
      <c r="AZ515">
        <f t="shared" si="212"/>
        <v>0</v>
      </c>
    </row>
    <row r="516" spans="1:52" ht="21" customHeight="1" x14ac:dyDescent="0.95">
      <c r="A516" s="36" t="str">
        <f>IF($AD516="","",IF($AD516="Z","รวมจ่ายทั้งสิ้น",IF($AD516="H",INDEX($X$5:$X$404,$AC516),IF($AD516="T","รวม",IF($AD516="B",IFERROR(INDEX(อัตราค่าขนส่ง!$U$5:$U$14,MATCH(INDEX($AM$5:$AM$404,$AC516),อัตราค่าขนส่ง!$T$5:$T$14,0)),"รวมกลุ่ม "&amp;INDEX($AM$5:$AM$404,$AC516)),INDEX($AY$5:$AY$404,$AC516))))))</f>
        <v/>
      </c>
      <c r="B516" s="31" t="str">
        <f t="shared" si="196"/>
        <v/>
      </c>
      <c r="C516" s="8" t="str">
        <f t="shared" si="197"/>
        <v/>
      </c>
      <c r="D516" s="37" t="str">
        <f t="shared" si="198"/>
        <v/>
      </c>
      <c r="E516" s="31" t="str">
        <f t="shared" si="199"/>
        <v/>
      </c>
      <c r="F516" s="32" t="str">
        <f t="shared" si="200"/>
        <v/>
      </c>
      <c r="G516" s="32" t="str">
        <f t="shared" si="201"/>
        <v/>
      </c>
      <c r="H516" s="32" t="str">
        <f t="shared" si="202"/>
        <v/>
      </c>
      <c r="I516" s="32" t="str">
        <f t="shared" si="203"/>
        <v/>
      </c>
      <c r="J516" s="46" t="str">
        <f t="shared" si="204"/>
        <v/>
      </c>
      <c r="K516" s="32" t="str">
        <f t="shared" si="205"/>
        <v/>
      </c>
      <c r="L516" s="32" t="str">
        <f t="shared" si="206"/>
        <v/>
      </c>
      <c r="M516" s="32" t="str">
        <f t="shared" si="207"/>
        <v/>
      </c>
      <c r="N516" s="32" t="str">
        <f t="shared" si="208"/>
        <v/>
      </c>
      <c r="O516" s="32" t="str">
        <f t="shared" si="209"/>
        <v/>
      </c>
      <c r="AC516" t="str">
        <f>IFERROR(MATCH(512,$AB$5:$AB$404,1),"")</f>
        <v/>
      </c>
      <c r="AD516" t="str">
        <f>IF(512=$AI$1+1,"Z",IF($AC516="","",IF(INDEX($V$5:$V$404,$AC516)="","",IF(512&gt;INDEX($AB$5:$AB$404,$AC516)+INDEX($Z$5:$Z$404,$AC516)+INDEX($AA$5:$AA$404,$AC516)+INDEX($AO$5:$AO$404,$AC516),"",IF(512=INDEX($AB$5:$AB$404,$AC516)+INDEX($Z$5:$Z$404,$AC516),"D",IF(AND(INDEX($Z$5:$Z$404,$AC516)=1,512=INDEX($AB$5:$AB$404,$AC516)),"H",IF(AND(INDEX($AO$5:$AO$404,$AC516)=1,512=INDEX($AB$5:$AB$404,$AC516)+INDEX($Z$5:$Z$404,$AC516)+INDEX($AA$5:$AA$404,$AC516)+INDEX($AO$5:$AO$404,$AC516)),"B","T")))))))</f>
        <v/>
      </c>
      <c r="AF516" t="str">
        <f t="shared" si="210"/>
        <v/>
      </c>
      <c r="AJ516">
        <f>IF($AD516&lt;&gt;"T",0,ROUND(SUMIF(oil!$B$4:$B$63,$AF516,oil!$AE$4:$AE$63),2))</f>
        <v>0</v>
      </c>
      <c r="AQ516" t="str">
        <f t="shared" si="211"/>
        <v/>
      </c>
      <c r="AZ516">
        <f t="shared" si="212"/>
        <v>0</v>
      </c>
    </row>
    <row r="517" spans="1:52" ht="21" customHeight="1" x14ac:dyDescent="0.95">
      <c r="A517" s="36" t="str">
        <f>IF($AD517="","",IF($AD517="Z","รวมจ่ายทั้งสิ้น",IF($AD517="H",INDEX($X$5:$X$404,$AC517),IF($AD517="T","รวม",IF($AD517="B",IFERROR(INDEX(อัตราค่าขนส่ง!$U$5:$U$14,MATCH(INDEX($AM$5:$AM$404,$AC517),อัตราค่าขนส่ง!$T$5:$T$14,0)),"รวมกลุ่ม "&amp;INDEX($AM$5:$AM$404,$AC517)),INDEX($AY$5:$AY$404,$AC517))))))</f>
        <v/>
      </c>
      <c r="B517" s="31" t="str">
        <f t="shared" ref="B517:B580" si="213">IF($AD517&lt;&gt;"D","",INDEX($AW$5:$AW$404,$AC517))</f>
        <v/>
      </c>
      <c r="C517" s="8" t="str">
        <f t="shared" ref="C517:C580" si="214">IF($AD517&lt;&gt;"D","",INDEX($AX$5:$AX$404,$AC517))</f>
        <v/>
      </c>
      <c r="D517" s="37" t="str">
        <f t="shared" ref="D517:D580" si="215">IF($AD517&lt;&gt;"D","",INDEX($BA$5:$BA$404,$AC517))</f>
        <v/>
      </c>
      <c r="E517" s="31" t="str">
        <f t="shared" ref="E517:E580" si="216">IF($AD517="Z",SUM($AR$5:$AR$404),IF($AD517="D",INDEX($AR$5:$AR$404,$AC517),IF($AD517="T",SUMIF($X$5:$X$404,$AF517,$AR$5:$AR$404),IF($AD517="B",SUMIF($AN$5:$AN$404,$AQ517,$AR$5:$AR$404),""))))</f>
        <v/>
      </c>
      <c r="F517" s="32" t="str">
        <f t="shared" ref="F517:F580" si="217">IF($AD517="Z",ROUND(SUM($AS$5:$AS$404),2),IF($AD517="D",INDEX($AS$5:$AS$404,$AC517),IF($AD517="T",ROUND(SUMIF($X$5:$X$404,$AF517,$AS$5:$AS$404),2),IF($AD517="B",ROUND(SUMIF($AN$5:$AN$404,$AQ517,$AS$5:$AS$404),2),""))))</f>
        <v/>
      </c>
      <c r="G517" s="32" t="str">
        <f t="shared" ref="G517:G580" si="218">IF($AD517&lt;&gt;"D","",INDEX($AT$5:$AT$404,$AC517))</f>
        <v/>
      </c>
      <c r="H517" s="32" t="str">
        <f t="shared" ref="H517:H580" si="219">IF($AD517&lt;&gt;"D","",INDEX($BC$5:$BC$404,$AC517))</f>
        <v/>
      </c>
      <c r="I517" s="32" t="str">
        <f t="shared" ref="I517:I580" si="220">IF($AD517&lt;&gt;"D","",INDEX($BD$5:$BD$404,$AC517))</f>
        <v/>
      </c>
      <c r="J517" s="46" t="str">
        <f t="shared" ref="J517:J580" si="221">IF($AD517&lt;&gt;"D","",IF(N($B517)=0,"",ROUND($I517/$B517,4)))</f>
        <v/>
      </c>
      <c r="K517" s="32" t="str">
        <f t="shared" ref="K517:K580" si="222">IF($AD517="Z",ROUND(SUM($AU$5:$AU$404),2),IF($AD517="D",INDEX($AU$5:$AU$404,$AC517),IF($AD517="T",ROUND(SUMIF($X$5:$X$404,$AF517,$AU$5:$AU$404),2),IF($AD517="B",ROUND(SUMIF($AN$5:$AN$404,$AQ517,$AU$5:$AU$404),2),""))))</f>
        <v/>
      </c>
      <c r="L517" s="32" t="str">
        <f t="shared" ref="L517:L580" si="223">IF($AD517="Z",ROUND(SUM($AV$5:$AV$404),2),IF($AD517="D",INDEX($AV$5:$AV$404,$AC517),IF($AD517="T",ROUND(SUMIF($X$5:$X$404,$AF517,$AV$5:$AV$404),2),IF($AD517="B",ROUND(SUMIF($AN$5:$AN$404,$AQ517,$AV$5:$AV$404),2),""))))</f>
        <v/>
      </c>
      <c r="M517" s="32" t="str">
        <f t="shared" ref="M517:M580" si="224">IF($AD517="Z",ROUND(SUM($AJ$5:$AJ$704),2),IF($AD517="B",ROUND(SUMIF($AQ$5:$AQ$704,$AQ517,$AJ$5:$AJ$704),2),IF($AD517&lt;&gt;"T","",$AJ517)))</f>
        <v/>
      </c>
      <c r="N517" s="32" t="str">
        <f t="shared" ref="N517:N580" si="225">IF(OR($AD517="D",$AD517="T",$AD517="B",$AD517="Z"),ROUND(N($K517)-N($L517)-N($M517),2),"")</f>
        <v/>
      </c>
      <c r="O517" s="32" t="str">
        <f t="shared" ref="O517:O580" si="226">IF(OR($AD517="D",$AD517="T",$AD517="B",$AD517="Z"),IF(N($E517)=0,"",ROUND($F517/$E517,2)),"")</f>
        <v/>
      </c>
      <c r="AC517" t="str">
        <f>IFERROR(MATCH(513,$AB$5:$AB$404,1),"")</f>
        <v/>
      </c>
      <c r="AD517" t="str">
        <f>IF(513=$AI$1+1,"Z",IF($AC517="","",IF(INDEX($V$5:$V$404,$AC517)="","",IF(513&gt;INDEX($AB$5:$AB$404,$AC517)+INDEX($Z$5:$Z$404,$AC517)+INDEX($AA$5:$AA$404,$AC517)+INDEX($AO$5:$AO$404,$AC517),"",IF(513=INDEX($AB$5:$AB$404,$AC517)+INDEX($Z$5:$Z$404,$AC517),"D",IF(AND(INDEX($Z$5:$Z$404,$AC517)=1,513=INDEX($AB$5:$AB$404,$AC517)),"H",IF(AND(INDEX($AO$5:$AO$404,$AC517)=1,513=INDEX($AB$5:$AB$404,$AC517)+INDEX($Z$5:$Z$404,$AC517)+INDEX($AA$5:$AA$404,$AC517)+INDEX($AO$5:$AO$404,$AC517)),"B","T")))))))</f>
        <v/>
      </c>
      <c r="AF517" t="str">
        <f t="shared" ref="AF517:AF580" si="227">IF(OR($AD517="",$AD517="Z",$AD517="B"),"",INDEX($X$5:$X$404,$AC517))</f>
        <v/>
      </c>
      <c r="AJ517">
        <f>IF($AD517&lt;&gt;"T",0,ROUND(SUMIF(oil!$B$4:$B$63,$AF517,oil!$AE$4:$AE$63),2))</f>
        <v>0</v>
      </c>
      <c r="AQ517" t="str">
        <f t="shared" ref="AQ517:AQ580" si="228">IF(OR($AD517="",$AD517="Z"),"",INDEX($AN$5:$AN$404,$AC517))</f>
        <v/>
      </c>
      <c r="AZ517">
        <f t="shared" ref="AZ517:AZ580" si="229">IF(AND($AD517="T",$AQ517=1),N($AZ516)+1,N($AZ516))</f>
        <v>0</v>
      </c>
    </row>
    <row r="518" spans="1:52" ht="21" customHeight="1" x14ac:dyDescent="0.95">
      <c r="A518" s="36" t="str">
        <f>IF($AD518="","",IF($AD518="Z","รวมจ่ายทั้งสิ้น",IF($AD518="H",INDEX($X$5:$X$404,$AC518),IF($AD518="T","รวม",IF($AD518="B",IFERROR(INDEX(อัตราค่าขนส่ง!$U$5:$U$14,MATCH(INDEX($AM$5:$AM$404,$AC518),อัตราค่าขนส่ง!$T$5:$T$14,0)),"รวมกลุ่ม "&amp;INDEX($AM$5:$AM$404,$AC518)),INDEX($AY$5:$AY$404,$AC518))))))</f>
        <v/>
      </c>
      <c r="B518" s="31" t="str">
        <f t="shared" si="213"/>
        <v/>
      </c>
      <c r="C518" s="8" t="str">
        <f t="shared" si="214"/>
        <v/>
      </c>
      <c r="D518" s="37" t="str">
        <f t="shared" si="215"/>
        <v/>
      </c>
      <c r="E518" s="31" t="str">
        <f t="shared" si="216"/>
        <v/>
      </c>
      <c r="F518" s="32" t="str">
        <f t="shared" si="217"/>
        <v/>
      </c>
      <c r="G518" s="32" t="str">
        <f t="shared" si="218"/>
        <v/>
      </c>
      <c r="H518" s="32" t="str">
        <f t="shared" si="219"/>
        <v/>
      </c>
      <c r="I518" s="32" t="str">
        <f t="shared" si="220"/>
        <v/>
      </c>
      <c r="J518" s="46" t="str">
        <f t="shared" si="221"/>
        <v/>
      </c>
      <c r="K518" s="32" t="str">
        <f t="shared" si="222"/>
        <v/>
      </c>
      <c r="L518" s="32" t="str">
        <f t="shared" si="223"/>
        <v/>
      </c>
      <c r="M518" s="32" t="str">
        <f t="shared" si="224"/>
        <v/>
      </c>
      <c r="N518" s="32" t="str">
        <f t="shared" si="225"/>
        <v/>
      </c>
      <c r="O518" s="32" t="str">
        <f t="shared" si="226"/>
        <v/>
      </c>
      <c r="AC518" t="str">
        <f>IFERROR(MATCH(514,$AB$5:$AB$404,1),"")</f>
        <v/>
      </c>
      <c r="AD518" t="str">
        <f>IF(514=$AI$1+1,"Z",IF($AC518="","",IF(INDEX($V$5:$V$404,$AC518)="","",IF(514&gt;INDEX($AB$5:$AB$404,$AC518)+INDEX($Z$5:$Z$404,$AC518)+INDEX($AA$5:$AA$404,$AC518)+INDEX($AO$5:$AO$404,$AC518),"",IF(514=INDEX($AB$5:$AB$404,$AC518)+INDEX($Z$5:$Z$404,$AC518),"D",IF(AND(INDEX($Z$5:$Z$404,$AC518)=1,514=INDEX($AB$5:$AB$404,$AC518)),"H",IF(AND(INDEX($AO$5:$AO$404,$AC518)=1,514=INDEX($AB$5:$AB$404,$AC518)+INDEX($Z$5:$Z$404,$AC518)+INDEX($AA$5:$AA$404,$AC518)+INDEX($AO$5:$AO$404,$AC518)),"B","T")))))))</f>
        <v/>
      </c>
      <c r="AF518" t="str">
        <f t="shared" si="227"/>
        <v/>
      </c>
      <c r="AJ518">
        <f>IF($AD518&lt;&gt;"T",0,ROUND(SUMIF(oil!$B$4:$B$63,$AF518,oil!$AE$4:$AE$63),2))</f>
        <v>0</v>
      </c>
      <c r="AQ518" t="str">
        <f t="shared" si="228"/>
        <v/>
      </c>
      <c r="AZ518">
        <f t="shared" si="229"/>
        <v>0</v>
      </c>
    </row>
    <row r="519" spans="1:52" ht="21" customHeight="1" x14ac:dyDescent="0.95">
      <c r="A519" s="36" t="str">
        <f>IF($AD519="","",IF($AD519="Z","รวมจ่ายทั้งสิ้น",IF($AD519="H",INDEX($X$5:$X$404,$AC519),IF($AD519="T","รวม",IF($AD519="B",IFERROR(INDEX(อัตราค่าขนส่ง!$U$5:$U$14,MATCH(INDEX($AM$5:$AM$404,$AC519),อัตราค่าขนส่ง!$T$5:$T$14,0)),"รวมกลุ่ม "&amp;INDEX($AM$5:$AM$404,$AC519)),INDEX($AY$5:$AY$404,$AC519))))))</f>
        <v/>
      </c>
      <c r="B519" s="31" t="str">
        <f t="shared" si="213"/>
        <v/>
      </c>
      <c r="C519" s="8" t="str">
        <f t="shared" si="214"/>
        <v/>
      </c>
      <c r="D519" s="37" t="str">
        <f t="shared" si="215"/>
        <v/>
      </c>
      <c r="E519" s="31" t="str">
        <f t="shared" si="216"/>
        <v/>
      </c>
      <c r="F519" s="32" t="str">
        <f t="shared" si="217"/>
        <v/>
      </c>
      <c r="G519" s="32" t="str">
        <f t="shared" si="218"/>
        <v/>
      </c>
      <c r="H519" s="32" t="str">
        <f t="shared" si="219"/>
        <v/>
      </c>
      <c r="I519" s="32" t="str">
        <f t="shared" si="220"/>
        <v/>
      </c>
      <c r="J519" s="46" t="str">
        <f t="shared" si="221"/>
        <v/>
      </c>
      <c r="K519" s="32" t="str">
        <f t="shared" si="222"/>
        <v/>
      </c>
      <c r="L519" s="32" t="str">
        <f t="shared" si="223"/>
        <v/>
      </c>
      <c r="M519" s="32" t="str">
        <f t="shared" si="224"/>
        <v/>
      </c>
      <c r="N519" s="32" t="str">
        <f t="shared" si="225"/>
        <v/>
      </c>
      <c r="O519" s="32" t="str">
        <f t="shared" si="226"/>
        <v/>
      </c>
      <c r="AC519" t="str">
        <f>IFERROR(MATCH(515,$AB$5:$AB$404,1),"")</f>
        <v/>
      </c>
      <c r="AD519" t="str">
        <f>IF(515=$AI$1+1,"Z",IF($AC519="","",IF(INDEX($V$5:$V$404,$AC519)="","",IF(515&gt;INDEX($AB$5:$AB$404,$AC519)+INDEX($Z$5:$Z$404,$AC519)+INDEX($AA$5:$AA$404,$AC519)+INDEX($AO$5:$AO$404,$AC519),"",IF(515=INDEX($AB$5:$AB$404,$AC519)+INDEX($Z$5:$Z$404,$AC519),"D",IF(AND(INDEX($Z$5:$Z$404,$AC519)=1,515=INDEX($AB$5:$AB$404,$AC519)),"H",IF(AND(INDEX($AO$5:$AO$404,$AC519)=1,515=INDEX($AB$5:$AB$404,$AC519)+INDEX($Z$5:$Z$404,$AC519)+INDEX($AA$5:$AA$404,$AC519)+INDEX($AO$5:$AO$404,$AC519)),"B","T")))))))</f>
        <v/>
      </c>
      <c r="AF519" t="str">
        <f t="shared" si="227"/>
        <v/>
      </c>
      <c r="AJ519">
        <f>IF($AD519&lt;&gt;"T",0,ROUND(SUMIF(oil!$B$4:$B$63,$AF519,oil!$AE$4:$AE$63),2))</f>
        <v>0</v>
      </c>
      <c r="AQ519" t="str">
        <f t="shared" si="228"/>
        <v/>
      </c>
      <c r="AZ519">
        <f t="shared" si="229"/>
        <v>0</v>
      </c>
    </row>
    <row r="520" spans="1:52" ht="21" customHeight="1" x14ac:dyDescent="0.95">
      <c r="A520" s="36" t="str">
        <f>IF($AD520="","",IF($AD520="Z","รวมจ่ายทั้งสิ้น",IF($AD520="H",INDEX($X$5:$X$404,$AC520),IF($AD520="T","รวม",IF($AD520="B",IFERROR(INDEX(อัตราค่าขนส่ง!$U$5:$U$14,MATCH(INDEX($AM$5:$AM$404,$AC520),อัตราค่าขนส่ง!$T$5:$T$14,0)),"รวมกลุ่ม "&amp;INDEX($AM$5:$AM$404,$AC520)),INDEX($AY$5:$AY$404,$AC520))))))</f>
        <v/>
      </c>
      <c r="B520" s="31" t="str">
        <f t="shared" si="213"/>
        <v/>
      </c>
      <c r="C520" s="8" t="str">
        <f t="shared" si="214"/>
        <v/>
      </c>
      <c r="D520" s="37" t="str">
        <f t="shared" si="215"/>
        <v/>
      </c>
      <c r="E520" s="31" t="str">
        <f t="shared" si="216"/>
        <v/>
      </c>
      <c r="F520" s="32" t="str">
        <f t="shared" si="217"/>
        <v/>
      </c>
      <c r="G520" s="32" t="str">
        <f t="shared" si="218"/>
        <v/>
      </c>
      <c r="H520" s="32" t="str">
        <f t="shared" si="219"/>
        <v/>
      </c>
      <c r="I520" s="32" t="str">
        <f t="shared" si="220"/>
        <v/>
      </c>
      <c r="J520" s="46" t="str">
        <f t="shared" si="221"/>
        <v/>
      </c>
      <c r="K520" s="32" t="str">
        <f t="shared" si="222"/>
        <v/>
      </c>
      <c r="L520" s="32" t="str">
        <f t="shared" si="223"/>
        <v/>
      </c>
      <c r="M520" s="32" t="str">
        <f t="shared" si="224"/>
        <v/>
      </c>
      <c r="N520" s="32" t="str">
        <f t="shared" si="225"/>
        <v/>
      </c>
      <c r="O520" s="32" t="str">
        <f t="shared" si="226"/>
        <v/>
      </c>
      <c r="AC520" t="str">
        <f>IFERROR(MATCH(516,$AB$5:$AB$404,1),"")</f>
        <v/>
      </c>
      <c r="AD520" t="str">
        <f>IF(516=$AI$1+1,"Z",IF($AC520="","",IF(INDEX($V$5:$V$404,$AC520)="","",IF(516&gt;INDEX($AB$5:$AB$404,$AC520)+INDEX($Z$5:$Z$404,$AC520)+INDEX($AA$5:$AA$404,$AC520)+INDEX($AO$5:$AO$404,$AC520),"",IF(516=INDEX($AB$5:$AB$404,$AC520)+INDEX($Z$5:$Z$404,$AC520),"D",IF(AND(INDEX($Z$5:$Z$404,$AC520)=1,516=INDEX($AB$5:$AB$404,$AC520)),"H",IF(AND(INDEX($AO$5:$AO$404,$AC520)=1,516=INDEX($AB$5:$AB$404,$AC520)+INDEX($Z$5:$Z$404,$AC520)+INDEX($AA$5:$AA$404,$AC520)+INDEX($AO$5:$AO$404,$AC520)),"B","T")))))))</f>
        <v/>
      </c>
      <c r="AF520" t="str">
        <f t="shared" si="227"/>
        <v/>
      </c>
      <c r="AJ520">
        <f>IF($AD520&lt;&gt;"T",0,ROUND(SUMIF(oil!$B$4:$B$63,$AF520,oil!$AE$4:$AE$63),2))</f>
        <v>0</v>
      </c>
      <c r="AQ520" t="str">
        <f t="shared" si="228"/>
        <v/>
      </c>
      <c r="AZ520">
        <f t="shared" si="229"/>
        <v>0</v>
      </c>
    </row>
    <row r="521" spans="1:52" ht="21" customHeight="1" x14ac:dyDescent="0.95">
      <c r="A521" s="36" t="str">
        <f>IF($AD521="","",IF($AD521="Z","รวมจ่ายทั้งสิ้น",IF($AD521="H",INDEX($X$5:$X$404,$AC521),IF($AD521="T","รวม",IF($AD521="B",IFERROR(INDEX(อัตราค่าขนส่ง!$U$5:$U$14,MATCH(INDEX($AM$5:$AM$404,$AC521),อัตราค่าขนส่ง!$T$5:$T$14,0)),"รวมกลุ่ม "&amp;INDEX($AM$5:$AM$404,$AC521)),INDEX($AY$5:$AY$404,$AC521))))))</f>
        <v/>
      </c>
      <c r="B521" s="31" t="str">
        <f t="shared" si="213"/>
        <v/>
      </c>
      <c r="C521" s="8" t="str">
        <f t="shared" si="214"/>
        <v/>
      </c>
      <c r="D521" s="37" t="str">
        <f t="shared" si="215"/>
        <v/>
      </c>
      <c r="E521" s="31" t="str">
        <f t="shared" si="216"/>
        <v/>
      </c>
      <c r="F521" s="32" t="str">
        <f t="shared" si="217"/>
        <v/>
      </c>
      <c r="G521" s="32" t="str">
        <f t="shared" si="218"/>
        <v/>
      </c>
      <c r="H521" s="32" t="str">
        <f t="shared" si="219"/>
        <v/>
      </c>
      <c r="I521" s="32" t="str">
        <f t="shared" si="220"/>
        <v/>
      </c>
      <c r="J521" s="46" t="str">
        <f t="shared" si="221"/>
        <v/>
      </c>
      <c r="K521" s="32" t="str">
        <f t="shared" si="222"/>
        <v/>
      </c>
      <c r="L521" s="32" t="str">
        <f t="shared" si="223"/>
        <v/>
      </c>
      <c r="M521" s="32" t="str">
        <f t="shared" si="224"/>
        <v/>
      </c>
      <c r="N521" s="32" t="str">
        <f t="shared" si="225"/>
        <v/>
      </c>
      <c r="O521" s="32" t="str">
        <f t="shared" si="226"/>
        <v/>
      </c>
      <c r="AC521" t="str">
        <f>IFERROR(MATCH(517,$AB$5:$AB$404,1),"")</f>
        <v/>
      </c>
      <c r="AD521" t="str">
        <f>IF(517=$AI$1+1,"Z",IF($AC521="","",IF(INDEX($V$5:$V$404,$AC521)="","",IF(517&gt;INDEX($AB$5:$AB$404,$AC521)+INDEX($Z$5:$Z$404,$AC521)+INDEX($AA$5:$AA$404,$AC521)+INDEX($AO$5:$AO$404,$AC521),"",IF(517=INDEX($AB$5:$AB$404,$AC521)+INDEX($Z$5:$Z$404,$AC521),"D",IF(AND(INDEX($Z$5:$Z$404,$AC521)=1,517=INDEX($AB$5:$AB$404,$AC521)),"H",IF(AND(INDEX($AO$5:$AO$404,$AC521)=1,517=INDEX($AB$5:$AB$404,$AC521)+INDEX($Z$5:$Z$404,$AC521)+INDEX($AA$5:$AA$404,$AC521)+INDEX($AO$5:$AO$404,$AC521)),"B","T")))))))</f>
        <v/>
      </c>
      <c r="AF521" t="str">
        <f t="shared" si="227"/>
        <v/>
      </c>
      <c r="AJ521">
        <f>IF($AD521&lt;&gt;"T",0,ROUND(SUMIF(oil!$B$4:$B$63,$AF521,oil!$AE$4:$AE$63),2))</f>
        <v>0</v>
      </c>
      <c r="AQ521" t="str">
        <f t="shared" si="228"/>
        <v/>
      </c>
      <c r="AZ521">
        <f t="shared" si="229"/>
        <v>0</v>
      </c>
    </row>
    <row r="522" spans="1:52" ht="21" customHeight="1" x14ac:dyDescent="0.95">
      <c r="A522" s="36" t="str">
        <f>IF($AD522="","",IF($AD522="Z","รวมจ่ายทั้งสิ้น",IF($AD522="H",INDEX($X$5:$X$404,$AC522),IF($AD522="T","รวม",IF($AD522="B",IFERROR(INDEX(อัตราค่าขนส่ง!$U$5:$U$14,MATCH(INDEX($AM$5:$AM$404,$AC522),อัตราค่าขนส่ง!$T$5:$T$14,0)),"รวมกลุ่ม "&amp;INDEX($AM$5:$AM$404,$AC522)),INDEX($AY$5:$AY$404,$AC522))))))</f>
        <v/>
      </c>
      <c r="B522" s="31" t="str">
        <f t="shared" si="213"/>
        <v/>
      </c>
      <c r="C522" s="8" t="str">
        <f t="shared" si="214"/>
        <v/>
      </c>
      <c r="D522" s="37" t="str">
        <f t="shared" si="215"/>
        <v/>
      </c>
      <c r="E522" s="31" t="str">
        <f t="shared" si="216"/>
        <v/>
      </c>
      <c r="F522" s="32" t="str">
        <f t="shared" si="217"/>
        <v/>
      </c>
      <c r="G522" s="32" t="str">
        <f t="shared" si="218"/>
        <v/>
      </c>
      <c r="H522" s="32" t="str">
        <f t="shared" si="219"/>
        <v/>
      </c>
      <c r="I522" s="32" t="str">
        <f t="shared" si="220"/>
        <v/>
      </c>
      <c r="J522" s="46" t="str">
        <f t="shared" si="221"/>
        <v/>
      </c>
      <c r="K522" s="32" t="str">
        <f t="shared" si="222"/>
        <v/>
      </c>
      <c r="L522" s="32" t="str">
        <f t="shared" si="223"/>
        <v/>
      </c>
      <c r="M522" s="32" t="str">
        <f t="shared" si="224"/>
        <v/>
      </c>
      <c r="N522" s="32" t="str">
        <f t="shared" si="225"/>
        <v/>
      </c>
      <c r="O522" s="32" t="str">
        <f t="shared" si="226"/>
        <v/>
      </c>
      <c r="AC522" t="str">
        <f>IFERROR(MATCH(518,$AB$5:$AB$404,1),"")</f>
        <v/>
      </c>
      <c r="AD522" t="str">
        <f>IF(518=$AI$1+1,"Z",IF($AC522="","",IF(INDEX($V$5:$V$404,$AC522)="","",IF(518&gt;INDEX($AB$5:$AB$404,$AC522)+INDEX($Z$5:$Z$404,$AC522)+INDEX($AA$5:$AA$404,$AC522)+INDEX($AO$5:$AO$404,$AC522),"",IF(518=INDEX($AB$5:$AB$404,$AC522)+INDEX($Z$5:$Z$404,$AC522),"D",IF(AND(INDEX($Z$5:$Z$404,$AC522)=1,518=INDEX($AB$5:$AB$404,$AC522)),"H",IF(AND(INDEX($AO$5:$AO$404,$AC522)=1,518=INDEX($AB$5:$AB$404,$AC522)+INDEX($Z$5:$Z$404,$AC522)+INDEX($AA$5:$AA$404,$AC522)+INDEX($AO$5:$AO$404,$AC522)),"B","T")))))))</f>
        <v/>
      </c>
      <c r="AF522" t="str">
        <f t="shared" si="227"/>
        <v/>
      </c>
      <c r="AJ522">
        <f>IF($AD522&lt;&gt;"T",0,ROUND(SUMIF(oil!$B$4:$B$63,$AF522,oil!$AE$4:$AE$63),2))</f>
        <v>0</v>
      </c>
      <c r="AQ522" t="str">
        <f t="shared" si="228"/>
        <v/>
      </c>
      <c r="AZ522">
        <f t="shared" si="229"/>
        <v>0</v>
      </c>
    </row>
    <row r="523" spans="1:52" ht="21" customHeight="1" x14ac:dyDescent="0.95">
      <c r="A523" s="36" t="str">
        <f>IF($AD523="","",IF($AD523="Z","รวมจ่ายทั้งสิ้น",IF($AD523="H",INDEX($X$5:$X$404,$AC523),IF($AD523="T","รวม",IF($AD523="B",IFERROR(INDEX(อัตราค่าขนส่ง!$U$5:$U$14,MATCH(INDEX($AM$5:$AM$404,$AC523),อัตราค่าขนส่ง!$T$5:$T$14,0)),"รวมกลุ่ม "&amp;INDEX($AM$5:$AM$404,$AC523)),INDEX($AY$5:$AY$404,$AC523))))))</f>
        <v/>
      </c>
      <c r="B523" s="31" t="str">
        <f t="shared" si="213"/>
        <v/>
      </c>
      <c r="C523" s="8" t="str">
        <f t="shared" si="214"/>
        <v/>
      </c>
      <c r="D523" s="37" t="str">
        <f t="shared" si="215"/>
        <v/>
      </c>
      <c r="E523" s="31" t="str">
        <f t="shared" si="216"/>
        <v/>
      </c>
      <c r="F523" s="32" t="str">
        <f t="shared" si="217"/>
        <v/>
      </c>
      <c r="G523" s="32" t="str">
        <f t="shared" si="218"/>
        <v/>
      </c>
      <c r="H523" s="32" t="str">
        <f t="shared" si="219"/>
        <v/>
      </c>
      <c r="I523" s="32" t="str">
        <f t="shared" si="220"/>
        <v/>
      </c>
      <c r="J523" s="46" t="str">
        <f t="shared" si="221"/>
        <v/>
      </c>
      <c r="K523" s="32" t="str">
        <f t="shared" si="222"/>
        <v/>
      </c>
      <c r="L523" s="32" t="str">
        <f t="shared" si="223"/>
        <v/>
      </c>
      <c r="M523" s="32" t="str">
        <f t="shared" si="224"/>
        <v/>
      </c>
      <c r="N523" s="32" t="str">
        <f t="shared" si="225"/>
        <v/>
      </c>
      <c r="O523" s="32" t="str">
        <f t="shared" si="226"/>
        <v/>
      </c>
      <c r="AC523" t="str">
        <f>IFERROR(MATCH(519,$AB$5:$AB$404,1),"")</f>
        <v/>
      </c>
      <c r="AD523" t="str">
        <f>IF(519=$AI$1+1,"Z",IF($AC523="","",IF(INDEX($V$5:$V$404,$AC523)="","",IF(519&gt;INDEX($AB$5:$AB$404,$AC523)+INDEX($Z$5:$Z$404,$AC523)+INDEX($AA$5:$AA$404,$AC523)+INDEX($AO$5:$AO$404,$AC523),"",IF(519=INDEX($AB$5:$AB$404,$AC523)+INDEX($Z$5:$Z$404,$AC523),"D",IF(AND(INDEX($Z$5:$Z$404,$AC523)=1,519=INDEX($AB$5:$AB$404,$AC523)),"H",IF(AND(INDEX($AO$5:$AO$404,$AC523)=1,519=INDEX($AB$5:$AB$404,$AC523)+INDEX($Z$5:$Z$404,$AC523)+INDEX($AA$5:$AA$404,$AC523)+INDEX($AO$5:$AO$404,$AC523)),"B","T")))))))</f>
        <v/>
      </c>
      <c r="AF523" t="str">
        <f t="shared" si="227"/>
        <v/>
      </c>
      <c r="AJ523">
        <f>IF($AD523&lt;&gt;"T",0,ROUND(SUMIF(oil!$B$4:$B$63,$AF523,oil!$AE$4:$AE$63),2))</f>
        <v>0</v>
      </c>
      <c r="AQ523" t="str">
        <f t="shared" si="228"/>
        <v/>
      </c>
      <c r="AZ523">
        <f t="shared" si="229"/>
        <v>0</v>
      </c>
    </row>
    <row r="524" spans="1:52" ht="21" customHeight="1" x14ac:dyDescent="0.95">
      <c r="A524" s="36" t="str">
        <f>IF($AD524="","",IF($AD524="Z","รวมจ่ายทั้งสิ้น",IF($AD524="H",INDEX($X$5:$X$404,$AC524),IF($AD524="T","รวม",IF($AD524="B",IFERROR(INDEX(อัตราค่าขนส่ง!$U$5:$U$14,MATCH(INDEX($AM$5:$AM$404,$AC524),อัตราค่าขนส่ง!$T$5:$T$14,0)),"รวมกลุ่ม "&amp;INDEX($AM$5:$AM$404,$AC524)),INDEX($AY$5:$AY$404,$AC524))))))</f>
        <v/>
      </c>
      <c r="B524" s="31" t="str">
        <f t="shared" si="213"/>
        <v/>
      </c>
      <c r="C524" s="8" t="str">
        <f t="shared" si="214"/>
        <v/>
      </c>
      <c r="D524" s="37" t="str">
        <f t="shared" si="215"/>
        <v/>
      </c>
      <c r="E524" s="31" t="str">
        <f t="shared" si="216"/>
        <v/>
      </c>
      <c r="F524" s="32" t="str">
        <f t="shared" si="217"/>
        <v/>
      </c>
      <c r="G524" s="32" t="str">
        <f t="shared" si="218"/>
        <v/>
      </c>
      <c r="H524" s="32" t="str">
        <f t="shared" si="219"/>
        <v/>
      </c>
      <c r="I524" s="32" t="str">
        <f t="shared" si="220"/>
        <v/>
      </c>
      <c r="J524" s="46" t="str">
        <f t="shared" si="221"/>
        <v/>
      </c>
      <c r="K524" s="32" t="str">
        <f t="shared" si="222"/>
        <v/>
      </c>
      <c r="L524" s="32" t="str">
        <f t="shared" si="223"/>
        <v/>
      </c>
      <c r="M524" s="32" t="str">
        <f t="shared" si="224"/>
        <v/>
      </c>
      <c r="N524" s="32" t="str">
        <f t="shared" si="225"/>
        <v/>
      </c>
      <c r="O524" s="32" t="str">
        <f t="shared" si="226"/>
        <v/>
      </c>
      <c r="AC524" t="str">
        <f>IFERROR(MATCH(520,$AB$5:$AB$404,1),"")</f>
        <v/>
      </c>
      <c r="AD524" t="str">
        <f>IF(520=$AI$1+1,"Z",IF($AC524="","",IF(INDEX($V$5:$V$404,$AC524)="","",IF(520&gt;INDEX($AB$5:$AB$404,$AC524)+INDEX($Z$5:$Z$404,$AC524)+INDEX($AA$5:$AA$404,$AC524)+INDEX($AO$5:$AO$404,$AC524),"",IF(520=INDEX($AB$5:$AB$404,$AC524)+INDEX($Z$5:$Z$404,$AC524),"D",IF(AND(INDEX($Z$5:$Z$404,$AC524)=1,520=INDEX($AB$5:$AB$404,$AC524)),"H",IF(AND(INDEX($AO$5:$AO$404,$AC524)=1,520=INDEX($AB$5:$AB$404,$AC524)+INDEX($Z$5:$Z$404,$AC524)+INDEX($AA$5:$AA$404,$AC524)+INDEX($AO$5:$AO$404,$AC524)),"B","T")))))))</f>
        <v/>
      </c>
      <c r="AF524" t="str">
        <f t="shared" si="227"/>
        <v/>
      </c>
      <c r="AJ524">
        <f>IF($AD524&lt;&gt;"T",0,ROUND(SUMIF(oil!$B$4:$B$63,$AF524,oil!$AE$4:$AE$63),2))</f>
        <v>0</v>
      </c>
      <c r="AQ524" t="str">
        <f t="shared" si="228"/>
        <v/>
      </c>
      <c r="AZ524">
        <f t="shared" si="229"/>
        <v>0</v>
      </c>
    </row>
    <row r="525" spans="1:52" ht="21" customHeight="1" x14ac:dyDescent="0.95">
      <c r="A525" s="36" t="str">
        <f>IF($AD525="","",IF($AD525="Z","รวมจ่ายทั้งสิ้น",IF($AD525="H",INDEX($X$5:$X$404,$AC525),IF($AD525="T","รวม",IF($AD525="B",IFERROR(INDEX(อัตราค่าขนส่ง!$U$5:$U$14,MATCH(INDEX($AM$5:$AM$404,$AC525),อัตราค่าขนส่ง!$T$5:$T$14,0)),"รวมกลุ่ม "&amp;INDEX($AM$5:$AM$404,$AC525)),INDEX($AY$5:$AY$404,$AC525))))))</f>
        <v/>
      </c>
      <c r="B525" s="31" t="str">
        <f t="shared" si="213"/>
        <v/>
      </c>
      <c r="C525" s="8" t="str">
        <f t="shared" si="214"/>
        <v/>
      </c>
      <c r="D525" s="37" t="str">
        <f t="shared" si="215"/>
        <v/>
      </c>
      <c r="E525" s="31" t="str">
        <f t="shared" si="216"/>
        <v/>
      </c>
      <c r="F525" s="32" t="str">
        <f t="shared" si="217"/>
        <v/>
      </c>
      <c r="G525" s="32" t="str">
        <f t="shared" si="218"/>
        <v/>
      </c>
      <c r="H525" s="32" t="str">
        <f t="shared" si="219"/>
        <v/>
      </c>
      <c r="I525" s="32" t="str">
        <f t="shared" si="220"/>
        <v/>
      </c>
      <c r="J525" s="46" t="str">
        <f t="shared" si="221"/>
        <v/>
      </c>
      <c r="K525" s="32" t="str">
        <f t="shared" si="222"/>
        <v/>
      </c>
      <c r="L525" s="32" t="str">
        <f t="shared" si="223"/>
        <v/>
      </c>
      <c r="M525" s="32" t="str">
        <f t="shared" si="224"/>
        <v/>
      </c>
      <c r="N525" s="32" t="str">
        <f t="shared" si="225"/>
        <v/>
      </c>
      <c r="O525" s="32" t="str">
        <f t="shared" si="226"/>
        <v/>
      </c>
      <c r="AC525" t="str">
        <f>IFERROR(MATCH(521,$AB$5:$AB$404,1),"")</f>
        <v/>
      </c>
      <c r="AD525" t="str">
        <f>IF(521=$AI$1+1,"Z",IF($AC525="","",IF(INDEX($V$5:$V$404,$AC525)="","",IF(521&gt;INDEX($AB$5:$AB$404,$AC525)+INDEX($Z$5:$Z$404,$AC525)+INDEX($AA$5:$AA$404,$AC525)+INDEX($AO$5:$AO$404,$AC525),"",IF(521=INDEX($AB$5:$AB$404,$AC525)+INDEX($Z$5:$Z$404,$AC525),"D",IF(AND(INDEX($Z$5:$Z$404,$AC525)=1,521=INDEX($AB$5:$AB$404,$AC525)),"H",IF(AND(INDEX($AO$5:$AO$404,$AC525)=1,521=INDEX($AB$5:$AB$404,$AC525)+INDEX($Z$5:$Z$404,$AC525)+INDEX($AA$5:$AA$404,$AC525)+INDEX($AO$5:$AO$404,$AC525)),"B","T")))))))</f>
        <v/>
      </c>
      <c r="AF525" t="str">
        <f t="shared" si="227"/>
        <v/>
      </c>
      <c r="AJ525">
        <f>IF($AD525&lt;&gt;"T",0,ROUND(SUMIF(oil!$B$4:$B$63,$AF525,oil!$AE$4:$AE$63),2))</f>
        <v>0</v>
      </c>
      <c r="AQ525" t="str">
        <f t="shared" si="228"/>
        <v/>
      </c>
      <c r="AZ525">
        <f t="shared" si="229"/>
        <v>0</v>
      </c>
    </row>
    <row r="526" spans="1:52" ht="21" customHeight="1" x14ac:dyDescent="0.95">
      <c r="A526" s="36" t="str">
        <f>IF($AD526="","",IF($AD526="Z","รวมจ่ายทั้งสิ้น",IF($AD526="H",INDEX($X$5:$X$404,$AC526),IF($AD526="T","รวม",IF($AD526="B",IFERROR(INDEX(อัตราค่าขนส่ง!$U$5:$U$14,MATCH(INDEX($AM$5:$AM$404,$AC526),อัตราค่าขนส่ง!$T$5:$T$14,0)),"รวมกลุ่ม "&amp;INDEX($AM$5:$AM$404,$AC526)),INDEX($AY$5:$AY$404,$AC526))))))</f>
        <v/>
      </c>
      <c r="B526" s="31" t="str">
        <f t="shared" si="213"/>
        <v/>
      </c>
      <c r="C526" s="8" t="str">
        <f t="shared" si="214"/>
        <v/>
      </c>
      <c r="D526" s="37" t="str">
        <f t="shared" si="215"/>
        <v/>
      </c>
      <c r="E526" s="31" t="str">
        <f t="shared" si="216"/>
        <v/>
      </c>
      <c r="F526" s="32" t="str">
        <f t="shared" si="217"/>
        <v/>
      </c>
      <c r="G526" s="32" t="str">
        <f t="shared" si="218"/>
        <v/>
      </c>
      <c r="H526" s="32" t="str">
        <f t="shared" si="219"/>
        <v/>
      </c>
      <c r="I526" s="32" t="str">
        <f t="shared" si="220"/>
        <v/>
      </c>
      <c r="J526" s="46" t="str">
        <f t="shared" si="221"/>
        <v/>
      </c>
      <c r="K526" s="32" t="str">
        <f t="shared" si="222"/>
        <v/>
      </c>
      <c r="L526" s="32" t="str">
        <f t="shared" si="223"/>
        <v/>
      </c>
      <c r="M526" s="32" t="str">
        <f t="shared" si="224"/>
        <v/>
      </c>
      <c r="N526" s="32" t="str">
        <f t="shared" si="225"/>
        <v/>
      </c>
      <c r="O526" s="32" t="str">
        <f t="shared" si="226"/>
        <v/>
      </c>
      <c r="AC526" t="str">
        <f>IFERROR(MATCH(522,$AB$5:$AB$404,1),"")</f>
        <v/>
      </c>
      <c r="AD526" t="str">
        <f>IF(522=$AI$1+1,"Z",IF($AC526="","",IF(INDEX($V$5:$V$404,$AC526)="","",IF(522&gt;INDEX($AB$5:$AB$404,$AC526)+INDEX($Z$5:$Z$404,$AC526)+INDEX($AA$5:$AA$404,$AC526)+INDEX($AO$5:$AO$404,$AC526),"",IF(522=INDEX($AB$5:$AB$404,$AC526)+INDEX($Z$5:$Z$404,$AC526),"D",IF(AND(INDEX($Z$5:$Z$404,$AC526)=1,522=INDEX($AB$5:$AB$404,$AC526)),"H",IF(AND(INDEX($AO$5:$AO$404,$AC526)=1,522=INDEX($AB$5:$AB$404,$AC526)+INDEX($Z$5:$Z$404,$AC526)+INDEX($AA$5:$AA$404,$AC526)+INDEX($AO$5:$AO$404,$AC526)),"B","T")))))))</f>
        <v/>
      </c>
      <c r="AF526" t="str">
        <f t="shared" si="227"/>
        <v/>
      </c>
      <c r="AJ526">
        <f>IF($AD526&lt;&gt;"T",0,ROUND(SUMIF(oil!$B$4:$B$63,$AF526,oil!$AE$4:$AE$63),2))</f>
        <v>0</v>
      </c>
      <c r="AQ526" t="str">
        <f t="shared" si="228"/>
        <v/>
      </c>
      <c r="AZ526">
        <f t="shared" si="229"/>
        <v>0</v>
      </c>
    </row>
    <row r="527" spans="1:52" ht="21" customHeight="1" x14ac:dyDescent="0.95">
      <c r="A527" s="36" t="str">
        <f>IF($AD527="","",IF($AD527="Z","รวมจ่ายทั้งสิ้น",IF($AD527="H",INDEX($X$5:$X$404,$AC527),IF($AD527="T","รวม",IF($AD527="B",IFERROR(INDEX(อัตราค่าขนส่ง!$U$5:$U$14,MATCH(INDEX($AM$5:$AM$404,$AC527),อัตราค่าขนส่ง!$T$5:$T$14,0)),"รวมกลุ่ม "&amp;INDEX($AM$5:$AM$404,$AC527)),INDEX($AY$5:$AY$404,$AC527))))))</f>
        <v/>
      </c>
      <c r="B527" s="31" t="str">
        <f t="shared" si="213"/>
        <v/>
      </c>
      <c r="C527" s="8" t="str">
        <f t="shared" si="214"/>
        <v/>
      </c>
      <c r="D527" s="37" t="str">
        <f t="shared" si="215"/>
        <v/>
      </c>
      <c r="E527" s="31" t="str">
        <f t="shared" si="216"/>
        <v/>
      </c>
      <c r="F527" s="32" t="str">
        <f t="shared" si="217"/>
        <v/>
      </c>
      <c r="G527" s="32" t="str">
        <f t="shared" si="218"/>
        <v/>
      </c>
      <c r="H527" s="32" t="str">
        <f t="shared" si="219"/>
        <v/>
      </c>
      <c r="I527" s="32" t="str">
        <f t="shared" si="220"/>
        <v/>
      </c>
      <c r="J527" s="46" t="str">
        <f t="shared" si="221"/>
        <v/>
      </c>
      <c r="K527" s="32" t="str">
        <f t="shared" si="222"/>
        <v/>
      </c>
      <c r="L527" s="32" t="str">
        <f t="shared" si="223"/>
        <v/>
      </c>
      <c r="M527" s="32" t="str">
        <f t="shared" si="224"/>
        <v/>
      </c>
      <c r="N527" s="32" t="str">
        <f t="shared" si="225"/>
        <v/>
      </c>
      <c r="O527" s="32" t="str">
        <f t="shared" si="226"/>
        <v/>
      </c>
      <c r="AC527" t="str">
        <f>IFERROR(MATCH(523,$AB$5:$AB$404,1),"")</f>
        <v/>
      </c>
      <c r="AD527" t="str">
        <f>IF(523=$AI$1+1,"Z",IF($AC527="","",IF(INDEX($V$5:$V$404,$AC527)="","",IF(523&gt;INDEX($AB$5:$AB$404,$AC527)+INDEX($Z$5:$Z$404,$AC527)+INDEX($AA$5:$AA$404,$AC527)+INDEX($AO$5:$AO$404,$AC527),"",IF(523=INDEX($AB$5:$AB$404,$AC527)+INDEX($Z$5:$Z$404,$AC527),"D",IF(AND(INDEX($Z$5:$Z$404,$AC527)=1,523=INDEX($AB$5:$AB$404,$AC527)),"H",IF(AND(INDEX($AO$5:$AO$404,$AC527)=1,523=INDEX($AB$5:$AB$404,$AC527)+INDEX($Z$5:$Z$404,$AC527)+INDEX($AA$5:$AA$404,$AC527)+INDEX($AO$5:$AO$404,$AC527)),"B","T")))))))</f>
        <v/>
      </c>
      <c r="AF527" t="str">
        <f t="shared" si="227"/>
        <v/>
      </c>
      <c r="AJ527">
        <f>IF($AD527&lt;&gt;"T",0,ROUND(SUMIF(oil!$B$4:$B$63,$AF527,oil!$AE$4:$AE$63),2))</f>
        <v>0</v>
      </c>
      <c r="AQ527" t="str">
        <f t="shared" si="228"/>
        <v/>
      </c>
      <c r="AZ527">
        <f t="shared" si="229"/>
        <v>0</v>
      </c>
    </row>
    <row r="528" spans="1:52" ht="21" customHeight="1" x14ac:dyDescent="0.95">
      <c r="A528" s="36" t="str">
        <f>IF($AD528="","",IF($AD528="Z","รวมจ่ายทั้งสิ้น",IF($AD528="H",INDEX($X$5:$X$404,$AC528),IF($AD528="T","รวม",IF($AD528="B",IFERROR(INDEX(อัตราค่าขนส่ง!$U$5:$U$14,MATCH(INDEX($AM$5:$AM$404,$AC528),อัตราค่าขนส่ง!$T$5:$T$14,0)),"รวมกลุ่ม "&amp;INDEX($AM$5:$AM$404,$AC528)),INDEX($AY$5:$AY$404,$AC528))))))</f>
        <v/>
      </c>
      <c r="B528" s="31" t="str">
        <f t="shared" si="213"/>
        <v/>
      </c>
      <c r="C528" s="8" t="str">
        <f t="shared" si="214"/>
        <v/>
      </c>
      <c r="D528" s="37" t="str">
        <f t="shared" si="215"/>
        <v/>
      </c>
      <c r="E528" s="31" t="str">
        <f t="shared" si="216"/>
        <v/>
      </c>
      <c r="F528" s="32" t="str">
        <f t="shared" si="217"/>
        <v/>
      </c>
      <c r="G528" s="32" t="str">
        <f t="shared" si="218"/>
        <v/>
      </c>
      <c r="H528" s="32" t="str">
        <f t="shared" si="219"/>
        <v/>
      </c>
      <c r="I528" s="32" t="str">
        <f t="shared" si="220"/>
        <v/>
      </c>
      <c r="J528" s="46" t="str">
        <f t="shared" si="221"/>
        <v/>
      </c>
      <c r="K528" s="32" t="str">
        <f t="shared" si="222"/>
        <v/>
      </c>
      <c r="L528" s="32" t="str">
        <f t="shared" si="223"/>
        <v/>
      </c>
      <c r="M528" s="32" t="str">
        <f t="shared" si="224"/>
        <v/>
      </c>
      <c r="N528" s="32" t="str">
        <f t="shared" si="225"/>
        <v/>
      </c>
      <c r="O528" s="32" t="str">
        <f t="shared" si="226"/>
        <v/>
      </c>
      <c r="AC528" t="str">
        <f>IFERROR(MATCH(524,$AB$5:$AB$404,1),"")</f>
        <v/>
      </c>
      <c r="AD528" t="str">
        <f>IF(524=$AI$1+1,"Z",IF($AC528="","",IF(INDEX($V$5:$V$404,$AC528)="","",IF(524&gt;INDEX($AB$5:$AB$404,$AC528)+INDEX($Z$5:$Z$404,$AC528)+INDEX($AA$5:$AA$404,$AC528)+INDEX($AO$5:$AO$404,$AC528),"",IF(524=INDEX($AB$5:$AB$404,$AC528)+INDEX($Z$5:$Z$404,$AC528),"D",IF(AND(INDEX($Z$5:$Z$404,$AC528)=1,524=INDEX($AB$5:$AB$404,$AC528)),"H",IF(AND(INDEX($AO$5:$AO$404,$AC528)=1,524=INDEX($AB$5:$AB$404,$AC528)+INDEX($Z$5:$Z$404,$AC528)+INDEX($AA$5:$AA$404,$AC528)+INDEX($AO$5:$AO$404,$AC528)),"B","T")))))))</f>
        <v/>
      </c>
      <c r="AF528" t="str">
        <f t="shared" si="227"/>
        <v/>
      </c>
      <c r="AJ528">
        <f>IF($AD528&lt;&gt;"T",0,ROUND(SUMIF(oil!$B$4:$B$63,$AF528,oil!$AE$4:$AE$63),2))</f>
        <v>0</v>
      </c>
      <c r="AQ528" t="str">
        <f t="shared" si="228"/>
        <v/>
      </c>
      <c r="AZ528">
        <f t="shared" si="229"/>
        <v>0</v>
      </c>
    </row>
    <row r="529" spans="1:52" ht="21" customHeight="1" x14ac:dyDescent="0.95">
      <c r="A529" s="36" t="str">
        <f>IF($AD529="","",IF($AD529="Z","รวมจ่ายทั้งสิ้น",IF($AD529="H",INDEX($X$5:$X$404,$AC529),IF($AD529="T","รวม",IF($AD529="B",IFERROR(INDEX(อัตราค่าขนส่ง!$U$5:$U$14,MATCH(INDEX($AM$5:$AM$404,$AC529),อัตราค่าขนส่ง!$T$5:$T$14,0)),"รวมกลุ่ม "&amp;INDEX($AM$5:$AM$404,$AC529)),INDEX($AY$5:$AY$404,$AC529))))))</f>
        <v/>
      </c>
      <c r="B529" s="31" t="str">
        <f t="shared" si="213"/>
        <v/>
      </c>
      <c r="C529" s="8" t="str">
        <f t="shared" si="214"/>
        <v/>
      </c>
      <c r="D529" s="37" t="str">
        <f t="shared" si="215"/>
        <v/>
      </c>
      <c r="E529" s="31" t="str">
        <f t="shared" si="216"/>
        <v/>
      </c>
      <c r="F529" s="32" t="str">
        <f t="shared" si="217"/>
        <v/>
      </c>
      <c r="G529" s="32" t="str">
        <f t="shared" si="218"/>
        <v/>
      </c>
      <c r="H529" s="32" t="str">
        <f t="shared" si="219"/>
        <v/>
      </c>
      <c r="I529" s="32" t="str">
        <f t="shared" si="220"/>
        <v/>
      </c>
      <c r="J529" s="46" t="str">
        <f t="shared" si="221"/>
        <v/>
      </c>
      <c r="K529" s="32" t="str">
        <f t="shared" si="222"/>
        <v/>
      </c>
      <c r="L529" s="32" t="str">
        <f t="shared" si="223"/>
        <v/>
      </c>
      <c r="M529" s="32" t="str">
        <f t="shared" si="224"/>
        <v/>
      </c>
      <c r="N529" s="32" t="str">
        <f t="shared" si="225"/>
        <v/>
      </c>
      <c r="O529" s="32" t="str">
        <f t="shared" si="226"/>
        <v/>
      </c>
      <c r="AC529" t="str">
        <f>IFERROR(MATCH(525,$AB$5:$AB$404,1),"")</f>
        <v/>
      </c>
      <c r="AD529" t="str">
        <f>IF(525=$AI$1+1,"Z",IF($AC529="","",IF(INDEX($V$5:$V$404,$AC529)="","",IF(525&gt;INDEX($AB$5:$AB$404,$AC529)+INDEX($Z$5:$Z$404,$AC529)+INDEX($AA$5:$AA$404,$AC529)+INDEX($AO$5:$AO$404,$AC529),"",IF(525=INDEX($AB$5:$AB$404,$AC529)+INDEX($Z$5:$Z$404,$AC529),"D",IF(AND(INDEX($Z$5:$Z$404,$AC529)=1,525=INDEX($AB$5:$AB$404,$AC529)),"H",IF(AND(INDEX($AO$5:$AO$404,$AC529)=1,525=INDEX($AB$5:$AB$404,$AC529)+INDEX($Z$5:$Z$404,$AC529)+INDEX($AA$5:$AA$404,$AC529)+INDEX($AO$5:$AO$404,$AC529)),"B","T")))))))</f>
        <v/>
      </c>
      <c r="AF529" t="str">
        <f t="shared" si="227"/>
        <v/>
      </c>
      <c r="AJ529">
        <f>IF($AD529&lt;&gt;"T",0,ROUND(SUMIF(oil!$B$4:$B$63,$AF529,oil!$AE$4:$AE$63),2))</f>
        <v>0</v>
      </c>
      <c r="AQ529" t="str">
        <f t="shared" si="228"/>
        <v/>
      </c>
      <c r="AZ529">
        <f t="shared" si="229"/>
        <v>0</v>
      </c>
    </row>
    <row r="530" spans="1:52" ht="21" customHeight="1" x14ac:dyDescent="0.95">
      <c r="A530" s="36" t="str">
        <f>IF($AD530="","",IF($AD530="Z","รวมจ่ายทั้งสิ้น",IF($AD530="H",INDEX($X$5:$X$404,$AC530),IF($AD530="T","รวม",IF($AD530="B",IFERROR(INDEX(อัตราค่าขนส่ง!$U$5:$U$14,MATCH(INDEX($AM$5:$AM$404,$AC530),อัตราค่าขนส่ง!$T$5:$T$14,0)),"รวมกลุ่ม "&amp;INDEX($AM$5:$AM$404,$AC530)),INDEX($AY$5:$AY$404,$AC530))))))</f>
        <v/>
      </c>
      <c r="B530" s="31" t="str">
        <f t="shared" si="213"/>
        <v/>
      </c>
      <c r="C530" s="8" t="str">
        <f t="shared" si="214"/>
        <v/>
      </c>
      <c r="D530" s="37" t="str">
        <f t="shared" si="215"/>
        <v/>
      </c>
      <c r="E530" s="31" t="str">
        <f t="shared" si="216"/>
        <v/>
      </c>
      <c r="F530" s="32" t="str">
        <f t="shared" si="217"/>
        <v/>
      </c>
      <c r="G530" s="32" t="str">
        <f t="shared" si="218"/>
        <v/>
      </c>
      <c r="H530" s="32" t="str">
        <f t="shared" si="219"/>
        <v/>
      </c>
      <c r="I530" s="32" t="str">
        <f t="shared" si="220"/>
        <v/>
      </c>
      <c r="J530" s="46" t="str">
        <f t="shared" si="221"/>
        <v/>
      </c>
      <c r="K530" s="32" t="str">
        <f t="shared" si="222"/>
        <v/>
      </c>
      <c r="L530" s="32" t="str">
        <f t="shared" si="223"/>
        <v/>
      </c>
      <c r="M530" s="32" t="str">
        <f t="shared" si="224"/>
        <v/>
      </c>
      <c r="N530" s="32" t="str">
        <f t="shared" si="225"/>
        <v/>
      </c>
      <c r="O530" s="32" t="str">
        <f t="shared" si="226"/>
        <v/>
      </c>
      <c r="AC530" t="str">
        <f>IFERROR(MATCH(526,$AB$5:$AB$404,1),"")</f>
        <v/>
      </c>
      <c r="AD530" t="str">
        <f>IF(526=$AI$1+1,"Z",IF($AC530="","",IF(INDEX($V$5:$V$404,$AC530)="","",IF(526&gt;INDEX($AB$5:$AB$404,$AC530)+INDEX($Z$5:$Z$404,$AC530)+INDEX($AA$5:$AA$404,$AC530)+INDEX($AO$5:$AO$404,$AC530),"",IF(526=INDEX($AB$5:$AB$404,$AC530)+INDEX($Z$5:$Z$404,$AC530),"D",IF(AND(INDEX($Z$5:$Z$404,$AC530)=1,526=INDEX($AB$5:$AB$404,$AC530)),"H",IF(AND(INDEX($AO$5:$AO$404,$AC530)=1,526=INDEX($AB$5:$AB$404,$AC530)+INDEX($Z$5:$Z$404,$AC530)+INDEX($AA$5:$AA$404,$AC530)+INDEX($AO$5:$AO$404,$AC530)),"B","T")))))))</f>
        <v/>
      </c>
      <c r="AF530" t="str">
        <f t="shared" si="227"/>
        <v/>
      </c>
      <c r="AJ530">
        <f>IF($AD530&lt;&gt;"T",0,ROUND(SUMIF(oil!$B$4:$B$63,$AF530,oil!$AE$4:$AE$63),2))</f>
        <v>0</v>
      </c>
      <c r="AQ530" t="str">
        <f t="shared" si="228"/>
        <v/>
      </c>
      <c r="AZ530">
        <f t="shared" si="229"/>
        <v>0</v>
      </c>
    </row>
    <row r="531" spans="1:52" ht="21" customHeight="1" x14ac:dyDescent="0.95">
      <c r="A531" s="36" t="str">
        <f>IF($AD531="","",IF($AD531="Z","รวมจ่ายทั้งสิ้น",IF($AD531="H",INDEX($X$5:$X$404,$AC531),IF($AD531="T","รวม",IF($AD531="B",IFERROR(INDEX(อัตราค่าขนส่ง!$U$5:$U$14,MATCH(INDEX($AM$5:$AM$404,$AC531),อัตราค่าขนส่ง!$T$5:$T$14,0)),"รวมกลุ่ม "&amp;INDEX($AM$5:$AM$404,$AC531)),INDEX($AY$5:$AY$404,$AC531))))))</f>
        <v/>
      </c>
      <c r="B531" s="31" t="str">
        <f t="shared" si="213"/>
        <v/>
      </c>
      <c r="C531" s="8" t="str">
        <f t="shared" si="214"/>
        <v/>
      </c>
      <c r="D531" s="37" t="str">
        <f t="shared" si="215"/>
        <v/>
      </c>
      <c r="E531" s="31" t="str">
        <f t="shared" si="216"/>
        <v/>
      </c>
      <c r="F531" s="32" t="str">
        <f t="shared" si="217"/>
        <v/>
      </c>
      <c r="G531" s="32" t="str">
        <f t="shared" si="218"/>
        <v/>
      </c>
      <c r="H531" s="32" t="str">
        <f t="shared" si="219"/>
        <v/>
      </c>
      <c r="I531" s="32" t="str">
        <f t="shared" si="220"/>
        <v/>
      </c>
      <c r="J531" s="46" t="str">
        <f t="shared" si="221"/>
        <v/>
      </c>
      <c r="K531" s="32" t="str">
        <f t="shared" si="222"/>
        <v/>
      </c>
      <c r="L531" s="32" t="str">
        <f t="shared" si="223"/>
        <v/>
      </c>
      <c r="M531" s="32" t="str">
        <f t="shared" si="224"/>
        <v/>
      </c>
      <c r="N531" s="32" t="str">
        <f t="shared" si="225"/>
        <v/>
      </c>
      <c r="O531" s="32" t="str">
        <f t="shared" si="226"/>
        <v/>
      </c>
      <c r="AC531" t="str">
        <f>IFERROR(MATCH(527,$AB$5:$AB$404,1),"")</f>
        <v/>
      </c>
      <c r="AD531" t="str">
        <f>IF(527=$AI$1+1,"Z",IF($AC531="","",IF(INDEX($V$5:$V$404,$AC531)="","",IF(527&gt;INDEX($AB$5:$AB$404,$AC531)+INDEX($Z$5:$Z$404,$AC531)+INDEX($AA$5:$AA$404,$AC531)+INDEX($AO$5:$AO$404,$AC531),"",IF(527=INDEX($AB$5:$AB$404,$AC531)+INDEX($Z$5:$Z$404,$AC531),"D",IF(AND(INDEX($Z$5:$Z$404,$AC531)=1,527=INDEX($AB$5:$AB$404,$AC531)),"H",IF(AND(INDEX($AO$5:$AO$404,$AC531)=1,527=INDEX($AB$5:$AB$404,$AC531)+INDEX($Z$5:$Z$404,$AC531)+INDEX($AA$5:$AA$404,$AC531)+INDEX($AO$5:$AO$404,$AC531)),"B","T")))))))</f>
        <v/>
      </c>
      <c r="AF531" t="str">
        <f t="shared" si="227"/>
        <v/>
      </c>
      <c r="AJ531">
        <f>IF($AD531&lt;&gt;"T",0,ROUND(SUMIF(oil!$B$4:$B$63,$AF531,oil!$AE$4:$AE$63),2))</f>
        <v>0</v>
      </c>
      <c r="AQ531" t="str">
        <f t="shared" si="228"/>
        <v/>
      </c>
      <c r="AZ531">
        <f t="shared" si="229"/>
        <v>0</v>
      </c>
    </row>
    <row r="532" spans="1:52" ht="21" customHeight="1" x14ac:dyDescent="0.95">
      <c r="A532" s="36" t="str">
        <f>IF($AD532="","",IF($AD532="Z","รวมจ่ายทั้งสิ้น",IF($AD532="H",INDEX($X$5:$X$404,$AC532),IF($AD532="T","รวม",IF($AD532="B",IFERROR(INDEX(อัตราค่าขนส่ง!$U$5:$U$14,MATCH(INDEX($AM$5:$AM$404,$AC532),อัตราค่าขนส่ง!$T$5:$T$14,0)),"รวมกลุ่ม "&amp;INDEX($AM$5:$AM$404,$AC532)),INDEX($AY$5:$AY$404,$AC532))))))</f>
        <v/>
      </c>
      <c r="B532" s="31" t="str">
        <f t="shared" si="213"/>
        <v/>
      </c>
      <c r="C532" s="8" t="str">
        <f t="shared" si="214"/>
        <v/>
      </c>
      <c r="D532" s="37" t="str">
        <f t="shared" si="215"/>
        <v/>
      </c>
      <c r="E532" s="31" t="str">
        <f t="shared" si="216"/>
        <v/>
      </c>
      <c r="F532" s="32" t="str">
        <f t="shared" si="217"/>
        <v/>
      </c>
      <c r="G532" s="32" t="str">
        <f t="shared" si="218"/>
        <v/>
      </c>
      <c r="H532" s="32" t="str">
        <f t="shared" si="219"/>
        <v/>
      </c>
      <c r="I532" s="32" t="str">
        <f t="shared" si="220"/>
        <v/>
      </c>
      <c r="J532" s="46" t="str">
        <f t="shared" si="221"/>
        <v/>
      </c>
      <c r="K532" s="32" t="str">
        <f t="shared" si="222"/>
        <v/>
      </c>
      <c r="L532" s="32" t="str">
        <f t="shared" si="223"/>
        <v/>
      </c>
      <c r="M532" s="32" t="str">
        <f t="shared" si="224"/>
        <v/>
      </c>
      <c r="N532" s="32" t="str">
        <f t="shared" si="225"/>
        <v/>
      </c>
      <c r="O532" s="32" t="str">
        <f t="shared" si="226"/>
        <v/>
      </c>
      <c r="AC532" t="str">
        <f>IFERROR(MATCH(528,$AB$5:$AB$404,1),"")</f>
        <v/>
      </c>
      <c r="AD532" t="str">
        <f>IF(528=$AI$1+1,"Z",IF($AC532="","",IF(INDEX($V$5:$V$404,$AC532)="","",IF(528&gt;INDEX($AB$5:$AB$404,$AC532)+INDEX($Z$5:$Z$404,$AC532)+INDEX($AA$5:$AA$404,$AC532)+INDEX($AO$5:$AO$404,$AC532),"",IF(528=INDEX($AB$5:$AB$404,$AC532)+INDEX($Z$5:$Z$404,$AC532),"D",IF(AND(INDEX($Z$5:$Z$404,$AC532)=1,528=INDEX($AB$5:$AB$404,$AC532)),"H",IF(AND(INDEX($AO$5:$AO$404,$AC532)=1,528=INDEX($AB$5:$AB$404,$AC532)+INDEX($Z$5:$Z$404,$AC532)+INDEX($AA$5:$AA$404,$AC532)+INDEX($AO$5:$AO$404,$AC532)),"B","T")))))))</f>
        <v/>
      </c>
      <c r="AF532" t="str">
        <f t="shared" si="227"/>
        <v/>
      </c>
      <c r="AJ532">
        <f>IF($AD532&lt;&gt;"T",0,ROUND(SUMIF(oil!$B$4:$B$63,$AF532,oil!$AE$4:$AE$63),2))</f>
        <v>0</v>
      </c>
      <c r="AQ532" t="str">
        <f t="shared" si="228"/>
        <v/>
      </c>
      <c r="AZ532">
        <f t="shared" si="229"/>
        <v>0</v>
      </c>
    </row>
    <row r="533" spans="1:52" ht="21" customHeight="1" x14ac:dyDescent="0.95">
      <c r="A533" s="36" t="str">
        <f>IF($AD533="","",IF($AD533="Z","รวมจ่ายทั้งสิ้น",IF($AD533="H",INDEX($X$5:$X$404,$AC533),IF($AD533="T","รวม",IF($AD533="B",IFERROR(INDEX(อัตราค่าขนส่ง!$U$5:$U$14,MATCH(INDEX($AM$5:$AM$404,$AC533),อัตราค่าขนส่ง!$T$5:$T$14,0)),"รวมกลุ่ม "&amp;INDEX($AM$5:$AM$404,$AC533)),INDEX($AY$5:$AY$404,$AC533))))))</f>
        <v/>
      </c>
      <c r="B533" s="31" t="str">
        <f t="shared" si="213"/>
        <v/>
      </c>
      <c r="C533" s="8" t="str">
        <f t="shared" si="214"/>
        <v/>
      </c>
      <c r="D533" s="37" t="str">
        <f t="shared" si="215"/>
        <v/>
      </c>
      <c r="E533" s="31" t="str">
        <f t="shared" si="216"/>
        <v/>
      </c>
      <c r="F533" s="32" t="str">
        <f t="shared" si="217"/>
        <v/>
      </c>
      <c r="G533" s="32" t="str">
        <f t="shared" si="218"/>
        <v/>
      </c>
      <c r="H533" s="32" t="str">
        <f t="shared" si="219"/>
        <v/>
      </c>
      <c r="I533" s="32" t="str">
        <f t="shared" si="220"/>
        <v/>
      </c>
      <c r="J533" s="46" t="str">
        <f t="shared" si="221"/>
        <v/>
      </c>
      <c r="K533" s="32" t="str">
        <f t="shared" si="222"/>
        <v/>
      </c>
      <c r="L533" s="32" t="str">
        <f t="shared" si="223"/>
        <v/>
      </c>
      <c r="M533" s="32" t="str">
        <f t="shared" si="224"/>
        <v/>
      </c>
      <c r="N533" s="32" t="str">
        <f t="shared" si="225"/>
        <v/>
      </c>
      <c r="O533" s="32" t="str">
        <f t="shared" si="226"/>
        <v/>
      </c>
      <c r="AC533" t="str">
        <f>IFERROR(MATCH(529,$AB$5:$AB$404,1),"")</f>
        <v/>
      </c>
      <c r="AD533" t="str">
        <f>IF(529=$AI$1+1,"Z",IF($AC533="","",IF(INDEX($V$5:$V$404,$AC533)="","",IF(529&gt;INDEX($AB$5:$AB$404,$AC533)+INDEX($Z$5:$Z$404,$AC533)+INDEX($AA$5:$AA$404,$AC533)+INDEX($AO$5:$AO$404,$AC533),"",IF(529=INDEX($AB$5:$AB$404,$AC533)+INDEX($Z$5:$Z$404,$AC533),"D",IF(AND(INDEX($Z$5:$Z$404,$AC533)=1,529=INDEX($AB$5:$AB$404,$AC533)),"H",IF(AND(INDEX($AO$5:$AO$404,$AC533)=1,529=INDEX($AB$5:$AB$404,$AC533)+INDEX($Z$5:$Z$404,$AC533)+INDEX($AA$5:$AA$404,$AC533)+INDEX($AO$5:$AO$404,$AC533)),"B","T")))))))</f>
        <v/>
      </c>
      <c r="AF533" t="str">
        <f t="shared" si="227"/>
        <v/>
      </c>
      <c r="AJ533">
        <f>IF($AD533&lt;&gt;"T",0,ROUND(SUMIF(oil!$B$4:$B$63,$AF533,oil!$AE$4:$AE$63),2))</f>
        <v>0</v>
      </c>
      <c r="AQ533" t="str">
        <f t="shared" si="228"/>
        <v/>
      </c>
      <c r="AZ533">
        <f t="shared" si="229"/>
        <v>0</v>
      </c>
    </row>
    <row r="534" spans="1:52" ht="21" customHeight="1" x14ac:dyDescent="0.95">
      <c r="A534" s="36" t="str">
        <f>IF($AD534="","",IF($AD534="Z","รวมจ่ายทั้งสิ้น",IF($AD534="H",INDEX($X$5:$X$404,$AC534),IF($AD534="T","รวม",IF($AD534="B",IFERROR(INDEX(อัตราค่าขนส่ง!$U$5:$U$14,MATCH(INDEX($AM$5:$AM$404,$AC534),อัตราค่าขนส่ง!$T$5:$T$14,0)),"รวมกลุ่ม "&amp;INDEX($AM$5:$AM$404,$AC534)),INDEX($AY$5:$AY$404,$AC534))))))</f>
        <v/>
      </c>
      <c r="B534" s="31" t="str">
        <f t="shared" si="213"/>
        <v/>
      </c>
      <c r="C534" s="8" t="str">
        <f t="shared" si="214"/>
        <v/>
      </c>
      <c r="D534" s="37" t="str">
        <f t="shared" si="215"/>
        <v/>
      </c>
      <c r="E534" s="31" t="str">
        <f t="shared" si="216"/>
        <v/>
      </c>
      <c r="F534" s="32" t="str">
        <f t="shared" si="217"/>
        <v/>
      </c>
      <c r="G534" s="32" t="str">
        <f t="shared" si="218"/>
        <v/>
      </c>
      <c r="H534" s="32" t="str">
        <f t="shared" si="219"/>
        <v/>
      </c>
      <c r="I534" s="32" t="str">
        <f t="shared" si="220"/>
        <v/>
      </c>
      <c r="J534" s="46" t="str">
        <f t="shared" si="221"/>
        <v/>
      </c>
      <c r="K534" s="32" t="str">
        <f t="shared" si="222"/>
        <v/>
      </c>
      <c r="L534" s="32" t="str">
        <f t="shared" si="223"/>
        <v/>
      </c>
      <c r="M534" s="32" t="str">
        <f t="shared" si="224"/>
        <v/>
      </c>
      <c r="N534" s="32" t="str">
        <f t="shared" si="225"/>
        <v/>
      </c>
      <c r="O534" s="32" t="str">
        <f t="shared" si="226"/>
        <v/>
      </c>
      <c r="AC534" t="str">
        <f>IFERROR(MATCH(530,$AB$5:$AB$404,1),"")</f>
        <v/>
      </c>
      <c r="AD534" t="str">
        <f>IF(530=$AI$1+1,"Z",IF($AC534="","",IF(INDEX($V$5:$V$404,$AC534)="","",IF(530&gt;INDEX($AB$5:$AB$404,$AC534)+INDEX($Z$5:$Z$404,$AC534)+INDEX($AA$5:$AA$404,$AC534)+INDEX($AO$5:$AO$404,$AC534),"",IF(530=INDEX($AB$5:$AB$404,$AC534)+INDEX($Z$5:$Z$404,$AC534),"D",IF(AND(INDEX($Z$5:$Z$404,$AC534)=1,530=INDEX($AB$5:$AB$404,$AC534)),"H",IF(AND(INDEX($AO$5:$AO$404,$AC534)=1,530=INDEX($AB$5:$AB$404,$AC534)+INDEX($Z$5:$Z$404,$AC534)+INDEX($AA$5:$AA$404,$AC534)+INDEX($AO$5:$AO$404,$AC534)),"B","T")))))))</f>
        <v/>
      </c>
      <c r="AF534" t="str">
        <f t="shared" si="227"/>
        <v/>
      </c>
      <c r="AJ534">
        <f>IF($AD534&lt;&gt;"T",0,ROUND(SUMIF(oil!$B$4:$B$63,$AF534,oil!$AE$4:$AE$63),2))</f>
        <v>0</v>
      </c>
      <c r="AQ534" t="str">
        <f t="shared" si="228"/>
        <v/>
      </c>
      <c r="AZ534">
        <f t="shared" si="229"/>
        <v>0</v>
      </c>
    </row>
    <row r="535" spans="1:52" ht="21" customHeight="1" x14ac:dyDescent="0.95">
      <c r="A535" s="36" t="str">
        <f>IF($AD535="","",IF($AD535="Z","รวมจ่ายทั้งสิ้น",IF($AD535="H",INDEX($X$5:$X$404,$AC535),IF($AD535="T","รวม",IF($AD535="B",IFERROR(INDEX(อัตราค่าขนส่ง!$U$5:$U$14,MATCH(INDEX($AM$5:$AM$404,$AC535),อัตราค่าขนส่ง!$T$5:$T$14,0)),"รวมกลุ่ม "&amp;INDEX($AM$5:$AM$404,$AC535)),INDEX($AY$5:$AY$404,$AC535))))))</f>
        <v/>
      </c>
      <c r="B535" s="31" t="str">
        <f t="shared" si="213"/>
        <v/>
      </c>
      <c r="C535" s="8" t="str">
        <f t="shared" si="214"/>
        <v/>
      </c>
      <c r="D535" s="37" t="str">
        <f t="shared" si="215"/>
        <v/>
      </c>
      <c r="E535" s="31" t="str">
        <f t="shared" si="216"/>
        <v/>
      </c>
      <c r="F535" s="32" t="str">
        <f t="shared" si="217"/>
        <v/>
      </c>
      <c r="G535" s="32" t="str">
        <f t="shared" si="218"/>
        <v/>
      </c>
      <c r="H535" s="32" t="str">
        <f t="shared" si="219"/>
        <v/>
      </c>
      <c r="I535" s="32" t="str">
        <f t="shared" si="220"/>
        <v/>
      </c>
      <c r="J535" s="46" t="str">
        <f t="shared" si="221"/>
        <v/>
      </c>
      <c r="K535" s="32" t="str">
        <f t="shared" si="222"/>
        <v/>
      </c>
      <c r="L535" s="32" t="str">
        <f t="shared" si="223"/>
        <v/>
      </c>
      <c r="M535" s="32" t="str">
        <f t="shared" si="224"/>
        <v/>
      </c>
      <c r="N535" s="32" t="str">
        <f t="shared" si="225"/>
        <v/>
      </c>
      <c r="O535" s="32" t="str">
        <f t="shared" si="226"/>
        <v/>
      </c>
      <c r="AC535" t="str">
        <f>IFERROR(MATCH(531,$AB$5:$AB$404,1),"")</f>
        <v/>
      </c>
      <c r="AD535" t="str">
        <f>IF(531=$AI$1+1,"Z",IF($AC535="","",IF(INDEX($V$5:$V$404,$AC535)="","",IF(531&gt;INDEX($AB$5:$AB$404,$AC535)+INDEX($Z$5:$Z$404,$AC535)+INDEX($AA$5:$AA$404,$AC535)+INDEX($AO$5:$AO$404,$AC535),"",IF(531=INDEX($AB$5:$AB$404,$AC535)+INDEX($Z$5:$Z$404,$AC535),"D",IF(AND(INDEX($Z$5:$Z$404,$AC535)=1,531=INDEX($AB$5:$AB$404,$AC535)),"H",IF(AND(INDEX($AO$5:$AO$404,$AC535)=1,531=INDEX($AB$5:$AB$404,$AC535)+INDEX($Z$5:$Z$404,$AC535)+INDEX($AA$5:$AA$404,$AC535)+INDEX($AO$5:$AO$404,$AC535)),"B","T")))))))</f>
        <v/>
      </c>
      <c r="AF535" t="str">
        <f t="shared" si="227"/>
        <v/>
      </c>
      <c r="AJ535">
        <f>IF($AD535&lt;&gt;"T",0,ROUND(SUMIF(oil!$B$4:$B$63,$AF535,oil!$AE$4:$AE$63),2))</f>
        <v>0</v>
      </c>
      <c r="AQ535" t="str">
        <f t="shared" si="228"/>
        <v/>
      </c>
      <c r="AZ535">
        <f t="shared" si="229"/>
        <v>0</v>
      </c>
    </row>
    <row r="536" spans="1:52" ht="21" customHeight="1" x14ac:dyDescent="0.95">
      <c r="A536" s="36" t="str">
        <f>IF($AD536="","",IF($AD536="Z","รวมจ่ายทั้งสิ้น",IF($AD536="H",INDEX($X$5:$X$404,$AC536),IF($AD536="T","รวม",IF($AD536="B",IFERROR(INDEX(อัตราค่าขนส่ง!$U$5:$U$14,MATCH(INDEX($AM$5:$AM$404,$AC536),อัตราค่าขนส่ง!$T$5:$T$14,0)),"รวมกลุ่ม "&amp;INDEX($AM$5:$AM$404,$AC536)),INDEX($AY$5:$AY$404,$AC536))))))</f>
        <v/>
      </c>
      <c r="B536" s="31" t="str">
        <f t="shared" si="213"/>
        <v/>
      </c>
      <c r="C536" s="8" t="str">
        <f t="shared" si="214"/>
        <v/>
      </c>
      <c r="D536" s="37" t="str">
        <f t="shared" si="215"/>
        <v/>
      </c>
      <c r="E536" s="31" t="str">
        <f t="shared" si="216"/>
        <v/>
      </c>
      <c r="F536" s="32" t="str">
        <f t="shared" si="217"/>
        <v/>
      </c>
      <c r="G536" s="32" t="str">
        <f t="shared" si="218"/>
        <v/>
      </c>
      <c r="H536" s="32" t="str">
        <f t="shared" si="219"/>
        <v/>
      </c>
      <c r="I536" s="32" t="str">
        <f t="shared" si="220"/>
        <v/>
      </c>
      <c r="J536" s="46" t="str">
        <f t="shared" si="221"/>
        <v/>
      </c>
      <c r="K536" s="32" t="str">
        <f t="shared" si="222"/>
        <v/>
      </c>
      <c r="L536" s="32" t="str">
        <f t="shared" si="223"/>
        <v/>
      </c>
      <c r="M536" s="32" t="str">
        <f t="shared" si="224"/>
        <v/>
      </c>
      <c r="N536" s="32" t="str">
        <f t="shared" si="225"/>
        <v/>
      </c>
      <c r="O536" s="32" t="str">
        <f t="shared" si="226"/>
        <v/>
      </c>
      <c r="AC536" t="str">
        <f>IFERROR(MATCH(532,$AB$5:$AB$404,1),"")</f>
        <v/>
      </c>
      <c r="AD536" t="str">
        <f>IF(532=$AI$1+1,"Z",IF($AC536="","",IF(INDEX($V$5:$V$404,$AC536)="","",IF(532&gt;INDEX($AB$5:$AB$404,$AC536)+INDEX($Z$5:$Z$404,$AC536)+INDEX($AA$5:$AA$404,$AC536)+INDEX($AO$5:$AO$404,$AC536),"",IF(532=INDEX($AB$5:$AB$404,$AC536)+INDEX($Z$5:$Z$404,$AC536),"D",IF(AND(INDEX($Z$5:$Z$404,$AC536)=1,532=INDEX($AB$5:$AB$404,$AC536)),"H",IF(AND(INDEX($AO$5:$AO$404,$AC536)=1,532=INDEX($AB$5:$AB$404,$AC536)+INDEX($Z$5:$Z$404,$AC536)+INDEX($AA$5:$AA$404,$AC536)+INDEX($AO$5:$AO$404,$AC536)),"B","T")))))))</f>
        <v/>
      </c>
      <c r="AF536" t="str">
        <f t="shared" si="227"/>
        <v/>
      </c>
      <c r="AJ536">
        <f>IF($AD536&lt;&gt;"T",0,ROUND(SUMIF(oil!$B$4:$B$63,$AF536,oil!$AE$4:$AE$63),2))</f>
        <v>0</v>
      </c>
      <c r="AQ536" t="str">
        <f t="shared" si="228"/>
        <v/>
      </c>
      <c r="AZ536">
        <f t="shared" si="229"/>
        <v>0</v>
      </c>
    </row>
    <row r="537" spans="1:52" ht="21" customHeight="1" x14ac:dyDescent="0.95">
      <c r="A537" s="36" t="str">
        <f>IF($AD537="","",IF($AD537="Z","รวมจ่ายทั้งสิ้น",IF($AD537="H",INDEX($X$5:$X$404,$AC537),IF($AD537="T","รวม",IF($AD537="B",IFERROR(INDEX(อัตราค่าขนส่ง!$U$5:$U$14,MATCH(INDEX($AM$5:$AM$404,$AC537),อัตราค่าขนส่ง!$T$5:$T$14,0)),"รวมกลุ่ม "&amp;INDEX($AM$5:$AM$404,$AC537)),INDEX($AY$5:$AY$404,$AC537))))))</f>
        <v/>
      </c>
      <c r="B537" s="31" t="str">
        <f t="shared" si="213"/>
        <v/>
      </c>
      <c r="C537" s="8" t="str">
        <f t="shared" si="214"/>
        <v/>
      </c>
      <c r="D537" s="37" t="str">
        <f t="shared" si="215"/>
        <v/>
      </c>
      <c r="E537" s="31" t="str">
        <f t="shared" si="216"/>
        <v/>
      </c>
      <c r="F537" s="32" t="str">
        <f t="shared" si="217"/>
        <v/>
      </c>
      <c r="G537" s="32" t="str">
        <f t="shared" si="218"/>
        <v/>
      </c>
      <c r="H537" s="32" t="str">
        <f t="shared" si="219"/>
        <v/>
      </c>
      <c r="I537" s="32" t="str">
        <f t="shared" si="220"/>
        <v/>
      </c>
      <c r="J537" s="46" t="str">
        <f t="shared" si="221"/>
        <v/>
      </c>
      <c r="K537" s="32" t="str">
        <f t="shared" si="222"/>
        <v/>
      </c>
      <c r="L537" s="32" t="str">
        <f t="shared" si="223"/>
        <v/>
      </c>
      <c r="M537" s="32" t="str">
        <f t="shared" si="224"/>
        <v/>
      </c>
      <c r="N537" s="32" t="str">
        <f t="shared" si="225"/>
        <v/>
      </c>
      <c r="O537" s="32" t="str">
        <f t="shared" si="226"/>
        <v/>
      </c>
      <c r="AC537" t="str">
        <f>IFERROR(MATCH(533,$AB$5:$AB$404,1),"")</f>
        <v/>
      </c>
      <c r="AD537" t="str">
        <f>IF(533=$AI$1+1,"Z",IF($AC537="","",IF(INDEX($V$5:$V$404,$AC537)="","",IF(533&gt;INDEX($AB$5:$AB$404,$AC537)+INDEX($Z$5:$Z$404,$AC537)+INDEX($AA$5:$AA$404,$AC537)+INDEX($AO$5:$AO$404,$AC537),"",IF(533=INDEX($AB$5:$AB$404,$AC537)+INDEX($Z$5:$Z$404,$AC537),"D",IF(AND(INDEX($Z$5:$Z$404,$AC537)=1,533=INDEX($AB$5:$AB$404,$AC537)),"H",IF(AND(INDEX($AO$5:$AO$404,$AC537)=1,533=INDEX($AB$5:$AB$404,$AC537)+INDEX($Z$5:$Z$404,$AC537)+INDEX($AA$5:$AA$404,$AC537)+INDEX($AO$5:$AO$404,$AC537)),"B","T")))))))</f>
        <v/>
      </c>
      <c r="AF537" t="str">
        <f t="shared" si="227"/>
        <v/>
      </c>
      <c r="AJ537">
        <f>IF($AD537&lt;&gt;"T",0,ROUND(SUMIF(oil!$B$4:$B$63,$AF537,oil!$AE$4:$AE$63),2))</f>
        <v>0</v>
      </c>
      <c r="AQ537" t="str">
        <f t="shared" si="228"/>
        <v/>
      </c>
      <c r="AZ537">
        <f t="shared" si="229"/>
        <v>0</v>
      </c>
    </row>
    <row r="538" spans="1:52" ht="21" customHeight="1" x14ac:dyDescent="0.95">
      <c r="A538" s="36" t="str">
        <f>IF($AD538="","",IF($AD538="Z","รวมจ่ายทั้งสิ้น",IF($AD538="H",INDEX($X$5:$X$404,$AC538),IF($AD538="T","รวม",IF($AD538="B",IFERROR(INDEX(อัตราค่าขนส่ง!$U$5:$U$14,MATCH(INDEX($AM$5:$AM$404,$AC538),อัตราค่าขนส่ง!$T$5:$T$14,0)),"รวมกลุ่ม "&amp;INDEX($AM$5:$AM$404,$AC538)),INDEX($AY$5:$AY$404,$AC538))))))</f>
        <v/>
      </c>
      <c r="B538" s="31" t="str">
        <f t="shared" si="213"/>
        <v/>
      </c>
      <c r="C538" s="8" t="str">
        <f t="shared" si="214"/>
        <v/>
      </c>
      <c r="D538" s="37" t="str">
        <f t="shared" si="215"/>
        <v/>
      </c>
      <c r="E538" s="31" t="str">
        <f t="shared" si="216"/>
        <v/>
      </c>
      <c r="F538" s="32" t="str">
        <f t="shared" si="217"/>
        <v/>
      </c>
      <c r="G538" s="32" t="str">
        <f t="shared" si="218"/>
        <v/>
      </c>
      <c r="H538" s="32" t="str">
        <f t="shared" si="219"/>
        <v/>
      </c>
      <c r="I538" s="32" t="str">
        <f t="shared" si="220"/>
        <v/>
      </c>
      <c r="J538" s="46" t="str">
        <f t="shared" si="221"/>
        <v/>
      </c>
      <c r="K538" s="32" t="str">
        <f t="shared" si="222"/>
        <v/>
      </c>
      <c r="L538" s="32" t="str">
        <f t="shared" si="223"/>
        <v/>
      </c>
      <c r="M538" s="32" t="str">
        <f t="shared" si="224"/>
        <v/>
      </c>
      <c r="N538" s="32" t="str">
        <f t="shared" si="225"/>
        <v/>
      </c>
      <c r="O538" s="32" t="str">
        <f t="shared" si="226"/>
        <v/>
      </c>
      <c r="AC538" t="str">
        <f>IFERROR(MATCH(534,$AB$5:$AB$404,1),"")</f>
        <v/>
      </c>
      <c r="AD538" t="str">
        <f>IF(534=$AI$1+1,"Z",IF($AC538="","",IF(INDEX($V$5:$V$404,$AC538)="","",IF(534&gt;INDEX($AB$5:$AB$404,$AC538)+INDEX($Z$5:$Z$404,$AC538)+INDEX($AA$5:$AA$404,$AC538)+INDEX($AO$5:$AO$404,$AC538),"",IF(534=INDEX($AB$5:$AB$404,$AC538)+INDEX($Z$5:$Z$404,$AC538),"D",IF(AND(INDEX($Z$5:$Z$404,$AC538)=1,534=INDEX($AB$5:$AB$404,$AC538)),"H",IF(AND(INDEX($AO$5:$AO$404,$AC538)=1,534=INDEX($AB$5:$AB$404,$AC538)+INDEX($Z$5:$Z$404,$AC538)+INDEX($AA$5:$AA$404,$AC538)+INDEX($AO$5:$AO$404,$AC538)),"B","T")))))))</f>
        <v/>
      </c>
      <c r="AF538" t="str">
        <f t="shared" si="227"/>
        <v/>
      </c>
      <c r="AJ538">
        <f>IF($AD538&lt;&gt;"T",0,ROUND(SUMIF(oil!$B$4:$B$63,$AF538,oil!$AE$4:$AE$63),2))</f>
        <v>0</v>
      </c>
      <c r="AQ538" t="str">
        <f t="shared" si="228"/>
        <v/>
      </c>
      <c r="AZ538">
        <f t="shared" si="229"/>
        <v>0</v>
      </c>
    </row>
    <row r="539" spans="1:52" ht="21" customHeight="1" x14ac:dyDescent="0.95">
      <c r="A539" s="36" t="str">
        <f>IF($AD539="","",IF($AD539="Z","รวมจ่ายทั้งสิ้น",IF($AD539="H",INDEX($X$5:$X$404,$AC539),IF($AD539="T","รวม",IF($AD539="B",IFERROR(INDEX(อัตราค่าขนส่ง!$U$5:$U$14,MATCH(INDEX($AM$5:$AM$404,$AC539),อัตราค่าขนส่ง!$T$5:$T$14,0)),"รวมกลุ่ม "&amp;INDEX($AM$5:$AM$404,$AC539)),INDEX($AY$5:$AY$404,$AC539))))))</f>
        <v/>
      </c>
      <c r="B539" s="31" t="str">
        <f t="shared" si="213"/>
        <v/>
      </c>
      <c r="C539" s="8" t="str">
        <f t="shared" si="214"/>
        <v/>
      </c>
      <c r="D539" s="37" t="str">
        <f t="shared" si="215"/>
        <v/>
      </c>
      <c r="E539" s="31" t="str">
        <f t="shared" si="216"/>
        <v/>
      </c>
      <c r="F539" s="32" t="str">
        <f t="shared" si="217"/>
        <v/>
      </c>
      <c r="G539" s="32" t="str">
        <f t="shared" si="218"/>
        <v/>
      </c>
      <c r="H539" s="32" t="str">
        <f t="shared" si="219"/>
        <v/>
      </c>
      <c r="I539" s="32" t="str">
        <f t="shared" si="220"/>
        <v/>
      </c>
      <c r="J539" s="46" t="str">
        <f t="shared" si="221"/>
        <v/>
      </c>
      <c r="K539" s="32" t="str">
        <f t="shared" si="222"/>
        <v/>
      </c>
      <c r="L539" s="32" t="str">
        <f t="shared" si="223"/>
        <v/>
      </c>
      <c r="M539" s="32" t="str">
        <f t="shared" si="224"/>
        <v/>
      </c>
      <c r="N539" s="32" t="str">
        <f t="shared" si="225"/>
        <v/>
      </c>
      <c r="O539" s="32" t="str">
        <f t="shared" si="226"/>
        <v/>
      </c>
      <c r="AC539" t="str">
        <f>IFERROR(MATCH(535,$AB$5:$AB$404,1),"")</f>
        <v/>
      </c>
      <c r="AD539" t="str">
        <f>IF(535=$AI$1+1,"Z",IF($AC539="","",IF(INDEX($V$5:$V$404,$AC539)="","",IF(535&gt;INDEX($AB$5:$AB$404,$AC539)+INDEX($Z$5:$Z$404,$AC539)+INDEX($AA$5:$AA$404,$AC539)+INDEX($AO$5:$AO$404,$AC539),"",IF(535=INDEX($AB$5:$AB$404,$AC539)+INDEX($Z$5:$Z$404,$AC539),"D",IF(AND(INDEX($Z$5:$Z$404,$AC539)=1,535=INDEX($AB$5:$AB$404,$AC539)),"H",IF(AND(INDEX($AO$5:$AO$404,$AC539)=1,535=INDEX($AB$5:$AB$404,$AC539)+INDEX($Z$5:$Z$404,$AC539)+INDEX($AA$5:$AA$404,$AC539)+INDEX($AO$5:$AO$404,$AC539)),"B","T")))))))</f>
        <v/>
      </c>
      <c r="AF539" t="str">
        <f t="shared" si="227"/>
        <v/>
      </c>
      <c r="AJ539">
        <f>IF($AD539&lt;&gt;"T",0,ROUND(SUMIF(oil!$B$4:$B$63,$AF539,oil!$AE$4:$AE$63),2))</f>
        <v>0</v>
      </c>
      <c r="AQ539" t="str">
        <f t="shared" si="228"/>
        <v/>
      </c>
      <c r="AZ539">
        <f t="shared" si="229"/>
        <v>0</v>
      </c>
    </row>
    <row r="540" spans="1:52" ht="21" customHeight="1" x14ac:dyDescent="0.95">
      <c r="A540" s="36" t="str">
        <f>IF($AD540="","",IF($AD540="Z","รวมจ่ายทั้งสิ้น",IF($AD540="H",INDEX($X$5:$X$404,$AC540),IF($AD540="T","รวม",IF($AD540="B",IFERROR(INDEX(อัตราค่าขนส่ง!$U$5:$U$14,MATCH(INDEX($AM$5:$AM$404,$AC540),อัตราค่าขนส่ง!$T$5:$T$14,0)),"รวมกลุ่ม "&amp;INDEX($AM$5:$AM$404,$AC540)),INDEX($AY$5:$AY$404,$AC540))))))</f>
        <v/>
      </c>
      <c r="B540" s="31" t="str">
        <f t="shared" si="213"/>
        <v/>
      </c>
      <c r="C540" s="8" t="str">
        <f t="shared" si="214"/>
        <v/>
      </c>
      <c r="D540" s="37" t="str">
        <f t="shared" si="215"/>
        <v/>
      </c>
      <c r="E540" s="31" t="str">
        <f t="shared" si="216"/>
        <v/>
      </c>
      <c r="F540" s="32" t="str">
        <f t="shared" si="217"/>
        <v/>
      </c>
      <c r="G540" s="32" t="str">
        <f t="shared" si="218"/>
        <v/>
      </c>
      <c r="H540" s="32" t="str">
        <f t="shared" si="219"/>
        <v/>
      </c>
      <c r="I540" s="32" t="str">
        <f t="shared" si="220"/>
        <v/>
      </c>
      <c r="J540" s="46" t="str">
        <f t="shared" si="221"/>
        <v/>
      </c>
      <c r="K540" s="32" t="str">
        <f t="shared" si="222"/>
        <v/>
      </c>
      <c r="L540" s="32" t="str">
        <f t="shared" si="223"/>
        <v/>
      </c>
      <c r="M540" s="32" t="str">
        <f t="shared" si="224"/>
        <v/>
      </c>
      <c r="N540" s="32" t="str">
        <f t="shared" si="225"/>
        <v/>
      </c>
      <c r="O540" s="32" t="str">
        <f t="shared" si="226"/>
        <v/>
      </c>
      <c r="AC540" t="str">
        <f>IFERROR(MATCH(536,$AB$5:$AB$404,1),"")</f>
        <v/>
      </c>
      <c r="AD540" t="str">
        <f>IF(536=$AI$1+1,"Z",IF($AC540="","",IF(INDEX($V$5:$V$404,$AC540)="","",IF(536&gt;INDEX($AB$5:$AB$404,$AC540)+INDEX($Z$5:$Z$404,$AC540)+INDEX($AA$5:$AA$404,$AC540)+INDEX($AO$5:$AO$404,$AC540),"",IF(536=INDEX($AB$5:$AB$404,$AC540)+INDEX($Z$5:$Z$404,$AC540),"D",IF(AND(INDEX($Z$5:$Z$404,$AC540)=1,536=INDEX($AB$5:$AB$404,$AC540)),"H",IF(AND(INDEX($AO$5:$AO$404,$AC540)=1,536=INDEX($AB$5:$AB$404,$AC540)+INDEX($Z$5:$Z$404,$AC540)+INDEX($AA$5:$AA$404,$AC540)+INDEX($AO$5:$AO$404,$AC540)),"B","T")))))))</f>
        <v/>
      </c>
      <c r="AF540" t="str">
        <f t="shared" si="227"/>
        <v/>
      </c>
      <c r="AJ540">
        <f>IF($AD540&lt;&gt;"T",0,ROUND(SUMIF(oil!$B$4:$B$63,$AF540,oil!$AE$4:$AE$63),2))</f>
        <v>0</v>
      </c>
      <c r="AQ540" t="str">
        <f t="shared" si="228"/>
        <v/>
      </c>
      <c r="AZ540">
        <f t="shared" si="229"/>
        <v>0</v>
      </c>
    </row>
    <row r="541" spans="1:52" ht="21" customHeight="1" x14ac:dyDescent="0.95">
      <c r="A541" s="36" t="str">
        <f>IF($AD541="","",IF($AD541="Z","รวมจ่ายทั้งสิ้น",IF($AD541="H",INDEX($X$5:$X$404,$AC541),IF($AD541="T","รวม",IF($AD541="B",IFERROR(INDEX(อัตราค่าขนส่ง!$U$5:$U$14,MATCH(INDEX($AM$5:$AM$404,$AC541),อัตราค่าขนส่ง!$T$5:$T$14,0)),"รวมกลุ่ม "&amp;INDEX($AM$5:$AM$404,$AC541)),INDEX($AY$5:$AY$404,$AC541))))))</f>
        <v/>
      </c>
      <c r="B541" s="31" t="str">
        <f t="shared" si="213"/>
        <v/>
      </c>
      <c r="C541" s="8" t="str">
        <f t="shared" si="214"/>
        <v/>
      </c>
      <c r="D541" s="37" t="str">
        <f t="shared" si="215"/>
        <v/>
      </c>
      <c r="E541" s="31" t="str">
        <f t="shared" si="216"/>
        <v/>
      </c>
      <c r="F541" s="32" t="str">
        <f t="shared" si="217"/>
        <v/>
      </c>
      <c r="G541" s="32" t="str">
        <f t="shared" si="218"/>
        <v/>
      </c>
      <c r="H541" s="32" t="str">
        <f t="shared" si="219"/>
        <v/>
      </c>
      <c r="I541" s="32" t="str">
        <f t="shared" si="220"/>
        <v/>
      </c>
      <c r="J541" s="46" t="str">
        <f t="shared" si="221"/>
        <v/>
      </c>
      <c r="K541" s="32" t="str">
        <f t="shared" si="222"/>
        <v/>
      </c>
      <c r="L541" s="32" t="str">
        <f t="shared" si="223"/>
        <v/>
      </c>
      <c r="M541" s="32" t="str">
        <f t="shared" si="224"/>
        <v/>
      </c>
      <c r="N541" s="32" t="str">
        <f t="shared" si="225"/>
        <v/>
      </c>
      <c r="O541" s="32" t="str">
        <f t="shared" si="226"/>
        <v/>
      </c>
      <c r="AC541" t="str">
        <f>IFERROR(MATCH(537,$AB$5:$AB$404,1),"")</f>
        <v/>
      </c>
      <c r="AD541" t="str">
        <f>IF(537=$AI$1+1,"Z",IF($AC541="","",IF(INDEX($V$5:$V$404,$AC541)="","",IF(537&gt;INDEX($AB$5:$AB$404,$AC541)+INDEX($Z$5:$Z$404,$AC541)+INDEX($AA$5:$AA$404,$AC541)+INDEX($AO$5:$AO$404,$AC541),"",IF(537=INDEX($AB$5:$AB$404,$AC541)+INDEX($Z$5:$Z$404,$AC541),"D",IF(AND(INDEX($Z$5:$Z$404,$AC541)=1,537=INDEX($AB$5:$AB$404,$AC541)),"H",IF(AND(INDEX($AO$5:$AO$404,$AC541)=1,537=INDEX($AB$5:$AB$404,$AC541)+INDEX($Z$5:$Z$404,$AC541)+INDEX($AA$5:$AA$404,$AC541)+INDEX($AO$5:$AO$404,$AC541)),"B","T")))))))</f>
        <v/>
      </c>
      <c r="AF541" t="str">
        <f t="shared" si="227"/>
        <v/>
      </c>
      <c r="AJ541">
        <f>IF($AD541&lt;&gt;"T",0,ROUND(SUMIF(oil!$B$4:$B$63,$AF541,oil!$AE$4:$AE$63),2))</f>
        <v>0</v>
      </c>
      <c r="AQ541" t="str">
        <f t="shared" si="228"/>
        <v/>
      </c>
      <c r="AZ541">
        <f t="shared" si="229"/>
        <v>0</v>
      </c>
    </row>
    <row r="542" spans="1:52" ht="21" customHeight="1" x14ac:dyDescent="0.95">
      <c r="A542" s="36" t="str">
        <f>IF($AD542="","",IF($AD542="Z","รวมจ่ายทั้งสิ้น",IF($AD542="H",INDEX($X$5:$X$404,$AC542),IF($AD542="T","รวม",IF($AD542="B",IFERROR(INDEX(อัตราค่าขนส่ง!$U$5:$U$14,MATCH(INDEX($AM$5:$AM$404,$AC542),อัตราค่าขนส่ง!$T$5:$T$14,0)),"รวมกลุ่ม "&amp;INDEX($AM$5:$AM$404,$AC542)),INDEX($AY$5:$AY$404,$AC542))))))</f>
        <v/>
      </c>
      <c r="B542" s="31" t="str">
        <f t="shared" si="213"/>
        <v/>
      </c>
      <c r="C542" s="8" t="str">
        <f t="shared" si="214"/>
        <v/>
      </c>
      <c r="D542" s="37" t="str">
        <f t="shared" si="215"/>
        <v/>
      </c>
      <c r="E542" s="31" t="str">
        <f t="shared" si="216"/>
        <v/>
      </c>
      <c r="F542" s="32" t="str">
        <f t="shared" si="217"/>
        <v/>
      </c>
      <c r="G542" s="32" t="str">
        <f t="shared" si="218"/>
        <v/>
      </c>
      <c r="H542" s="32" t="str">
        <f t="shared" si="219"/>
        <v/>
      </c>
      <c r="I542" s="32" t="str">
        <f t="shared" si="220"/>
        <v/>
      </c>
      <c r="J542" s="46" t="str">
        <f t="shared" si="221"/>
        <v/>
      </c>
      <c r="K542" s="32" t="str">
        <f t="shared" si="222"/>
        <v/>
      </c>
      <c r="L542" s="32" t="str">
        <f t="shared" si="223"/>
        <v/>
      </c>
      <c r="M542" s="32" t="str">
        <f t="shared" si="224"/>
        <v/>
      </c>
      <c r="N542" s="32" t="str">
        <f t="shared" si="225"/>
        <v/>
      </c>
      <c r="O542" s="32" t="str">
        <f t="shared" si="226"/>
        <v/>
      </c>
      <c r="AC542" t="str">
        <f>IFERROR(MATCH(538,$AB$5:$AB$404,1),"")</f>
        <v/>
      </c>
      <c r="AD542" t="str">
        <f>IF(538=$AI$1+1,"Z",IF($AC542="","",IF(INDEX($V$5:$V$404,$AC542)="","",IF(538&gt;INDEX($AB$5:$AB$404,$AC542)+INDEX($Z$5:$Z$404,$AC542)+INDEX($AA$5:$AA$404,$AC542)+INDEX($AO$5:$AO$404,$AC542),"",IF(538=INDEX($AB$5:$AB$404,$AC542)+INDEX($Z$5:$Z$404,$AC542),"D",IF(AND(INDEX($Z$5:$Z$404,$AC542)=1,538=INDEX($AB$5:$AB$404,$AC542)),"H",IF(AND(INDEX($AO$5:$AO$404,$AC542)=1,538=INDEX($AB$5:$AB$404,$AC542)+INDEX($Z$5:$Z$404,$AC542)+INDEX($AA$5:$AA$404,$AC542)+INDEX($AO$5:$AO$404,$AC542)),"B","T")))))))</f>
        <v/>
      </c>
      <c r="AF542" t="str">
        <f t="shared" si="227"/>
        <v/>
      </c>
      <c r="AJ542">
        <f>IF($AD542&lt;&gt;"T",0,ROUND(SUMIF(oil!$B$4:$B$63,$AF542,oil!$AE$4:$AE$63),2))</f>
        <v>0</v>
      </c>
      <c r="AQ542" t="str">
        <f t="shared" si="228"/>
        <v/>
      </c>
      <c r="AZ542">
        <f t="shared" si="229"/>
        <v>0</v>
      </c>
    </row>
    <row r="543" spans="1:52" ht="21" customHeight="1" x14ac:dyDescent="0.95">
      <c r="A543" s="36" t="str">
        <f>IF($AD543="","",IF($AD543="Z","รวมจ่ายทั้งสิ้น",IF($AD543="H",INDEX($X$5:$X$404,$AC543),IF($AD543="T","รวม",IF($AD543="B",IFERROR(INDEX(อัตราค่าขนส่ง!$U$5:$U$14,MATCH(INDEX($AM$5:$AM$404,$AC543),อัตราค่าขนส่ง!$T$5:$T$14,0)),"รวมกลุ่ม "&amp;INDEX($AM$5:$AM$404,$AC543)),INDEX($AY$5:$AY$404,$AC543))))))</f>
        <v/>
      </c>
      <c r="B543" s="31" t="str">
        <f t="shared" si="213"/>
        <v/>
      </c>
      <c r="C543" s="8" t="str">
        <f t="shared" si="214"/>
        <v/>
      </c>
      <c r="D543" s="37" t="str">
        <f t="shared" si="215"/>
        <v/>
      </c>
      <c r="E543" s="31" t="str">
        <f t="shared" si="216"/>
        <v/>
      </c>
      <c r="F543" s="32" t="str">
        <f t="shared" si="217"/>
        <v/>
      </c>
      <c r="G543" s="32" t="str">
        <f t="shared" si="218"/>
        <v/>
      </c>
      <c r="H543" s="32" t="str">
        <f t="shared" si="219"/>
        <v/>
      </c>
      <c r="I543" s="32" t="str">
        <f t="shared" si="220"/>
        <v/>
      </c>
      <c r="J543" s="46" t="str">
        <f t="shared" si="221"/>
        <v/>
      </c>
      <c r="K543" s="32" t="str">
        <f t="shared" si="222"/>
        <v/>
      </c>
      <c r="L543" s="32" t="str">
        <f t="shared" si="223"/>
        <v/>
      </c>
      <c r="M543" s="32" t="str">
        <f t="shared" si="224"/>
        <v/>
      </c>
      <c r="N543" s="32" t="str">
        <f t="shared" si="225"/>
        <v/>
      </c>
      <c r="O543" s="32" t="str">
        <f t="shared" si="226"/>
        <v/>
      </c>
      <c r="AC543" t="str">
        <f>IFERROR(MATCH(539,$AB$5:$AB$404,1),"")</f>
        <v/>
      </c>
      <c r="AD543" t="str">
        <f>IF(539=$AI$1+1,"Z",IF($AC543="","",IF(INDEX($V$5:$V$404,$AC543)="","",IF(539&gt;INDEX($AB$5:$AB$404,$AC543)+INDEX($Z$5:$Z$404,$AC543)+INDEX($AA$5:$AA$404,$AC543)+INDEX($AO$5:$AO$404,$AC543),"",IF(539=INDEX($AB$5:$AB$404,$AC543)+INDEX($Z$5:$Z$404,$AC543),"D",IF(AND(INDEX($Z$5:$Z$404,$AC543)=1,539=INDEX($AB$5:$AB$404,$AC543)),"H",IF(AND(INDEX($AO$5:$AO$404,$AC543)=1,539=INDEX($AB$5:$AB$404,$AC543)+INDEX($Z$5:$Z$404,$AC543)+INDEX($AA$5:$AA$404,$AC543)+INDEX($AO$5:$AO$404,$AC543)),"B","T")))))))</f>
        <v/>
      </c>
      <c r="AF543" t="str">
        <f t="shared" si="227"/>
        <v/>
      </c>
      <c r="AJ543">
        <f>IF($AD543&lt;&gt;"T",0,ROUND(SUMIF(oil!$B$4:$B$63,$AF543,oil!$AE$4:$AE$63),2))</f>
        <v>0</v>
      </c>
      <c r="AQ543" t="str">
        <f t="shared" si="228"/>
        <v/>
      </c>
      <c r="AZ543">
        <f t="shared" si="229"/>
        <v>0</v>
      </c>
    </row>
    <row r="544" spans="1:52" ht="21" customHeight="1" x14ac:dyDescent="0.95">
      <c r="A544" s="36" t="str">
        <f>IF($AD544="","",IF($AD544="Z","รวมจ่ายทั้งสิ้น",IF($AD544="H",INDEX($X$5:$X$404,$AC544),IF($AD544="T","รวม",IF($AD544="B",IFERROR(INDEX(อัตราค่าขนส่ง!$U$5:$U$14,MATCH(INDEX($AM$5:$AM$404,$AC544),อัตราค่าขนส่ง!$T$5:$T$14,0)),"รวมกลุ่ม "&amp;INDEX($AM$5:$AM$404,$AC544)),INDEX($AY$5:$AY$404,$AC544))))))</f>
        <v/>
      </c>
      <c r="B544" s="31" t="str">
        <f t="shared" si="213"/>
        <v/>
      </c>
      <c r="C544" s="8" t="str">
        <f t="shared" si="214"/>
        <v/>
      </c>
      <c r="D544" s="37" t="str">
        <f t="shared" si="215"/>
        <v/>
      </c>
      <c r="E544" s="31" t="str">
        <f t="shared" si="216"/>
        <v/>
      </c>
      <c r="F544" s="32" t="str">
        <f t="shared" si="217"/>
        <v/>
      </c>
      <c r="G544" s="32" t="str">
        <f t="shared" si="218"/>
        <v/>
      </c>
      <c r="H544" s="32" t="str">
        <f t="shared" si="219"/>
        <v/>
      </c>
      <c r="I544" s="32" t="str">
        <f t="shared" si="220"/>
        <v/>
      </c>
      <c r="J544" s="46" t="str">
        <f t="shared" si="221"/>
        <v/>
      </c>
      <c r="K544" s="32" t="str">
        <f t="shared" si="222"/>
        <v/>
      </c>
      <c r="L544" s="32" t="str">
        <f t="shared" si="223"/>
        <v/>
      </c>
      <c r="M544" s="32" t="str">
        <f t="shared" si="224"/>
        <v/>
      </c>
      <c r="N544" s="32" t="str">
        <f t="shared" si="225"/>
        <v/>
      </c>
      <c r="O544" s="32" t="str">
        <f t="shared" si="226"/>
        <v/>
      </c>
      <c r="AC544" t="str">
        <f>IFERROR(MATCH(540,$AB$5:$AB$404,1),"")</f>
        <v/>
      </c>
      <c r="AD544" t="str">
        <f>IF(540=$AI$1+1,"Z",IF($AC544="","",IF(INDEX($V$5:$V$404,$AC544)="","",IF(540&gt;INDEX($AB$5:$AB$404,$AC544)+INDEX($Z$5:$Z$404,$AC544)+INDEX($AA$5:$AA$404,$AC544)+INDEX($AO$5:$AO$404,$AC544),"",IF(540=INDEX($AB$5:$AB$404,$AC544)+INDEX($Z$5:$Z$404,$AC544),"D",IF(AND(INDEX($Z$5:$Z$404,$AC544)=1,540=INDEX($AB$5:$AB$404,$AC544)),"H",IF(AND(INDEX($AO$5:$AO$404,$AC544)=1,540=INDEX($AB$5:$AB$404,$AC544)+INDEX($Z$5:$Z$404,$AC544)+INDEX($AA$5:$AA$404,$AC544)+INDEX($AO$5:$AO$404,$AC544)),"B","T")))))))</f>
        <v/>
      </c>
      <c r="AF544" t="str">
        <f t="shared" si="227"/>
        <v/>
      </c>
      <c r="AJ544">
        <f>IF($AD544&lt;&gt;"T",0,ROUND(SUMIF(oil!$B$4:$B$63,$AF544,oil!$AE$4:$AE$63),2))</f>
        <v>0</v>
      </c>
      <c r="AQ544" t="str">
        <f t="shared" si="228"/>
        <v/>
      </c>
      <c r="AZ544">
        <f t="shared" si="229"/>
        <v>0</v>
      </c>
    </row>
    <row r="545" spans="1:52" ht="21" customHeight="1" x14ac:dyDescent="0.95">
      <c r="A545" s="36" t="str">
        <f>IF($AD545="","",IF($AD545="Z","รวมจ่ายทั้งสิ้น",IF($AD545="H",INDEX($X$5:$X$404,$AC545),IF($AD545="T","รวม",IF($AD545="B",IFERROR(INDEX(อัตราค่าขนส่ง!$U$5:$U$14,MATCH(INDEX($AM$5:$AM$404,$AC545),อัตราค่าขนส่ง!$T$5:$T$14,0)),"รวมกลุ่ม "&amp;INDEX($AM$5:$AM$404,$AC545)),INDEX($AY$5:$AY$404,$AC545))))))</f>
        <v/>
      </c>
      <c r="B545" s="31" t="str">
        <f t="shared" si="213"/>
        <v/>
      </c>
      <c r="C545" s="8" t="str">
        <f t="shared" si="214"/>
        <v/>
      </c>
      <c r="D545" s="37" t="str">
        <f t="shared" si="215"/>
        <v/>
      </c>
      <c r="E545" s="31" t="str">
        <f t="shared" si="216"/>
        <v/>
      </c>
      <c r="F545" s="32" t="str">
        <f t="shared" si="217"/>
        <v/>
      </c>
      <c r="G545" s="32" t="str">
        <f t="shared" si="218"/>
        <v/>
      </c>
      <c r="H545" s="32" t="str">
        <f t="shared" si="219"/>
        <v/>
      </c>
      <c r="I545" s="32" t="str">
        <f t="shared" si="220"/>
        <v/>
      </c>
      <c r="J545" s="46" t="str">
        <f t="shared" si="221"/>
        <v/>
      </c>
      <c r="K545" s="32" t="str">
        <f t="shared" si="222"/>
        <v/>
      </c>
      <c r="L545" s="32" t="str">
        <f t="shared" si="223"/>
        <v/>
      </c>
      <c r="M545" s="32" t="str">
        <f t="shared" si="224"/>
        <v/>
      </c>
      <c r="N545" s="32" t="str">
        <f t="shared" si="225"/>
        <v/>
      </c>
      <c r="O545" s="32" t="str">
        <f t="shared" si="226"/>
        <v/>
      </c>
      <c r="AC545" t="str">
        <f>IFERROR(MATCH(541,$AB$5:$AB$404,1),"")</f>
        <v/>
      </c>
      <c r="AD545" t="str">
        <f>IF(541=$AI$1+1,"Z",IF($AC545="","",IF(INDEX($V$5:$V$404,$AC545)="","",IF(541&gt;INDEX($AB$5:$AB$404,$AC545)+INDEX($Z$5:$Z$404,$AC545)+INDEX($AA$5:$AA$404,$AC545)+INDEX($AO$5:$AO$404,$AC545),"",IF(541=INDEX($AB$5:$AB$404,$AC545)+INDEX($Z$5:$Z$404,$AC545),"D",IF(AND(INDEX($Z$5:$Z$404,$AC545)=1,541=INDEX($AB$5:$AB$404,$AC545)),"H",IF(AND(INDEX($AO$5:$AO$404,$AC545)=1,541=INDEX($AB$5:$AB$404,$AC545)+INDEX($Z$5:$Z$404,$AC545)+INDEX($AA$5:$AA$404,$AC545)+INDEX($AO$5:$AO$404,$AC545)),"B","T")))))))</f>
        <v/>
      </c>
      <c r="AF545" t="str">
        <f t="shared" si="227"/>
        <v/>
      </c>
      <c r="AJ545">
        <f>IF($AD545&lt;&gt;"T",0,ROUND(SUMIF(oil!$B$4:$B$63,$AF545,oil!$AE$4:$AE$63),2))</f>
        <v>0</v>
      </c>
      <c r="AQ545" t="str">
        <f t="shared" si="228"/>
        <v/>
      </c>
      <c r="AZ545">
        <f t="shared" si="229"/>
        <v>0</v>
      </c>
    </row>
    <row r="546" spans="1:52" ht="21" customHeight="1" x14ac:dyDescent="0.95">
      <c r="A546" s="36" t="str">
        <f>IF($AD546="","",IF($AD546="Z","รวมจ่ายทั้งสิ้น",IF($AD546="H",INDEX($X$5:$X$404,$AC546),IF($AD546="T","รวม",IF($AD546="B",IFERROR(INDEX(อัตราค่าขนส่ง!$U$5:$U$14,MATCH(INDEX($AM$5:$AM$404,$AC546),อัตราค่าขนส่ง!$T$5:$T$14,0)),"รวมกลุ่ม "&amp;INDEX($AM$5:$AM$404,$AC546)),INDEX($AY$5:$AY$404,$AC546))))))</f>
        <v/>
      </c>
      <c r="B546" s="31" t="str">
        <f t="shared" si="213"/>
        <v/>
      </c>
      <c r="C546" s="8" t="str">
        <f t="shared" si="214"/>
        <v/>
      </c>
      <c r="D546" s="37" t="str">
        <f t="shared" si="215"/>
        <v/>
      </c>
      <c r="E546" s="31" t="str">
        <f t="shared" si="216"/>
        <v/>
      </c>
      <c r="F546" s="32" t="str">
        <f t="shared" si="217"/>
        <v/>
      </c>
      <c r="G546" s="32" t="str">
        <f t="shared" si="218"/>
        <v/>
      </c>
      <c r="H546" s="32" t="str">
        <f t="shared" si="219"/>
        <v/>
      </c>
      <c r="I546" s="32" t="str">
        <f t="shared" si="220"/>
        <v/>
      </c>
      <c r="J546" s="46" t="str">
        <f t="shared" si="221"/>
        <v/>
      </c>
      <c r="K546" s="32" t="str">
        <f t="shared" si="222"/>
        <v/>
      </c>
      <c r="L546" s="32" t="str">
        <f t="shared" si="223"/>
        <v/>
      </c>
      <c r="M546" s="32" t="str">
        <f t="shared" si="224"/>
        <v/>
      </c>
      <c r="N546" s="32" t="str">
        <f t="shared" si="225"/>
        <v/>
      </c>
      <c r="O546" s="32" t="str">
        <f t="shared" si="226"/>
        <v/>
      </c>
      <c r="AC546" t="str">
        <f>IFERROR(MATCH(542,$AB$5:$AB$404,1),"")</f>
        <v/>
      </c>
      <c r="AD546" t="str">
        <f>IF(542=$AI$1+1,"Z",IF($AC546="","",IF(INDEX($V$5:$V$404,$AC546)="","",IF(542&gt;INDEX($AB$5:$AB$404,$AC546)+INDEX($Z$5:$Z$404,$AC546)+INDEX($AA$5:$AA$404,$AC546)+INDEX($AO$5:$AO$404,$AC546),"",IF(542=INDEX($AB$5:$AB$404,$AC546)+INDEX($Z$5:$Z$404,$AC546),"D",IF(AND(INDEX($Z$5:$Z$404,$AC546)=1,542=INDEX($AB$5:$AB$404,$AC546)),"H",IF(AND(INDEX($AO$5:$AO$404,$AC546)=1,542=INDEX($AB$5:$AB$404,$AC546)+INDEX($Z$5:$Z$404,$AC546)+INDEX($AA$5:$AA$404,$AC546)+INDEX($AO$5:$AO$404,$AC546)),"B","T")))))))</f>
        <v/>
      </c>
      <c r="AF546" t="str">
        <f t="shared" si="227"/>
        <v/>
      </c>
      <c r="AJ546">
        <f>IF($AD546&lt;&gt;"T",0,ROUND(SUMIF(oil!$B$4:$B$63,$AF546,oil!$AE$4:$AE$63),2))</f>
        <v>0</v>
      </c>
      <c r="AQ546" t="str">
        <f t="shared" si="228"/>
        <v/>
      </c>
      <c r="AZ546">
        <f t="shared" si="229"/>
        <v>0</v>
      </c>
    </row>
    <row r="547" spans="1:52" ht="21" customHeight="1" x14ac:dyDescent="0.95">
      <c r="A547" s="36" t="str">
        <f>IF($AD547="","",IF($AD547="Z","รวมจ่ายทั้งสิ้น",IF($AD547="H",INDEX($X$5:$X$404,$AC547),IF($AD547="T","รวม",IF($AD547="B",IFERROR(INDEX(อัตราค่าขนส่ง!$U$5:$U$14,MATCH(INDEX($AM$5:$AM$404,$AC547),อัตราค่าขนส่ง!$T$5:$T$14,0)),"รวมกลุ่ม "&amp;INDEX($AM$5:$AM$404,$AC547)),INDEX($AY$5:$AY$404,$AC547))))))</f>
        <v/>
      </c>
      <c r="B547" s="31" t="str">
        <f t="shared" si="213"/>
        <v/>
      </c>
      <c r="C547" s="8" t="str">
        <f t="shared" si="214"/>
        <v/>
      </c>
      <c r="D547" s="37" t="str">
        <f t="shared" si="215"/>
        <v/>
      </c>
      <c r="E547" s="31" t="str">
        <f t="shared" si="216"/>
        <v/>
      </c>
      <c r="F547" s="32" t="str">
        <f t="shared" si="217"/>
        <v/>
      </c>
      <c r="G547" s="32" t="str">
        <f t="shared" si="218"/>
        <v/>
      </c>
      <c r="H547" s="32" t="str">
        <f t="shared" si="219"/>
        <v/>
      </c>
      <c r="I547" s="32" t="str">
        <f t="shared" si="220"/>
        <v/>
      </c>
      <c r="J547" s="46" t="str">
        <f t="shared" si="221"/>
        <v/>
      </c>
      <c r="K547" s="32" t="str">
        <f t="shared" si="222"/>
        <v/>
      </c>
      <c r="L547" s="32" t="str">
        <f t="shared" si="223"/>
        <v/>
      </c>
      <c r="M547" s="32" t="str">
        <f t="shared" si="224"/>
        <v/>
      </c>
      <c r="N547" s="32" t="str">
        <f t="shared" si="225"/>
        <v/>
      </c>
      <c r="O547" s="32" t="str">
        <f t="shared" si="226"/>
        <v/>
      </c>
      <c r="AC547" t="str">
        <f>IFERROR(MATCH(543,$AB$5:$AB$404,1),"")</f>
        <v/>
      </c>
      <c r="AD547" t="str">
        <f>IF(543=$AI$1+1,"Z",IF($AC547="","",IF(INDEX($V$5:$V$404,$AC547)="","",IF(543&gt;INDEX($AB$5:$AB$404,$AC547)+INDEX($Z$5:$Z$404,$AC547)+INDEX($AA$5:$AA$404,$AC547)+INDEX($AO$5:$AO$404,$AC547),"",IF(543=INDEX($AB$5:$AB$404,$AC547)+INDEX($Z$5:$Z$404,$AC547),"D",IF(AND(INDEX($Z$5:$Z$404,$AC547)=1,543=INDEX($AB$5:$AB$404,$AC547)),"H",IF(AND(INDEX($AO$5:$AO$404,$AC547)=1,543=INDEX($AB$5:$AB$404,$AC547)+INDEX($Z$5:$Z$404,$AC547)+INDEX($AA$5:$AA$404,$AC547)+INDEX($AO$5:$AO$404,$AC547)),"B","T")))))))</f>
        <v/>
      </c>
      <c r="AF547" t="str">
        <f t="shared" si="227"/>
        <v/>
      </c>
      <c r="AJ547">
        <f>IF($AD547&lt;&gt;"T",0,ROUND(SUMIF(oil!$B$4:$B$63,$AF547,oil!$AE$4:$AE$63),2))</f>
        <v>0</v>
      </c>
      <c r="AQ547" t="str">
        <f t="shared" si="228"/>
        <v/>
      </c>
      <c r="AZ547">
        <f t="shared" si="229"/>
        <v>0</v>
      </c>
    </row>
    <row r="548" spans="1:52" ht="21" customHeight="1" x14ac:dyDescent="0.95">
      <c r="A548" s="36" t="str">
        <f>IF($AD548="","",IF($AD548="Z","รวมจ่ายทั้งสิ้น",IF($AD548="H",INDEX($X$5:$X$404,$AC548),IF($AD548="T","รวม",IF($AD548="B",IFERROR(INDEX(อัตราค่าขนส่ง!$U$5:$U$14,MATCH(INDEX($AM$5:$AM$404,$AC548),อัตราค่าขนส่ง!$T$5:$T$14,0)),"รวมกลุ่ม "&amp;INDEX($AM$5:$AM$404,$AC548)),INDEX($AY$5:$AY$404,$AC548))))))</f>
        <v/>
      </c>
      <c r="B548" s="31" t="str">
        <f t="shared" si="213"/>
        <v/>
      </c>
      <c r="C548" s="8" t="str">
        <f t="shared" si="214"/>
        <v/>
      </c>
      <c r="D548" s="37" t="str">
        <f t="shared" si="215"/>
        <v/>
      </c>
      <c r="E548" s="31" t="str">
        <f t="shared" si="216"/>
        <v/>
      </c>
      <c r="F548" s="32" t="str">
        <f t="shared" si="217"/>
        <v/>
      </c>
      <c r="G548" s="32" t="str">
        <f t="shared" si="218"/>
        <v/>
      </c>
      <c r="H548" s="32" t="str">
        <f t="shared" si="219"/>
        <v/>
      </c>
      <c r="I548" s="32" t="str">
        <f t="shared" si="220"/>
        <v/>
      </c>
      <c r="J548" s="46" t="str">
        <f t="shared" si="221"/>
        <v/>
      </c>
      <c r="K548" s="32" t="str">
        <f t="shared" si="222"/>
        <v/>
      </c>
      <c r="L548" s="32" t="str">
        <f t="shared" si="223"/>
        <v/>
      </c>
      <c r="M548" s="32" t="str">
        <f t="shared" si="224"/>
        <v/>
      </c>
      <c r="N548" s="32" t="str">
        <f t="shared" si="225"/>
        <v/>
      </c>
      <c r="O548" s="32" t="str">
        <f t="shared" si="226"/>
        <v/>
      </c>
      <c r="AC548" t="str">
        <f>IFERROR(MATCH(544,$AB$5:$AB$404,1),"")</f>
        <v/>
      </c>
      <c r="AD548" t="str">
        <f>IF(544=$AI$1+1,"Z",IF($AC548="","",IF(INDEX($V$5:$V$404,$AC548)="","",IF(544&gt;INDEX($AB$5:$AB$404,$AC548)+INDEX($Z$5:$Z$404,$AC548)+INDEX($AA$5:$AA$404,$AC548)+INDEX($AO$5:$AO$404,$AC548),"",IF(544=INDEX($AB$5:$AB$404,$AC548)+INDEX($Z$5:$Z$404,$AC548),"D",IF(AND(INDEX($Z$5:$Z$404,$AC548)=1,544=INDEX($AB$5:$AB$404,$AC548)),"H",IF(AND(INDEX($AO$5:$AO$404,$AC548)=1,544=INDEX($AB$5:$AB$404,$AC548)+INDEX($Z$5:$Z$404,$AC548)+INDEX($AA$5:$AA$404,$AC548)+INDEX($AO$5:$AO$404,$AC548)),"B","T")))))))</f>
        <v/>
      </c>
      <c r="AF548" t="str">
        <f t="shared" si="227"/>
        <v/>
      </c>
      <c r="AJ548">
        <f>IF($AD548&lt;&gt;"T",0,ROUND(SUMIF(oil!$B$4:$B$63,$AF548,oil!$AE$4:$AE$63),2))</f>
        <v>0</v>
      </c>
      <c r="AQ548" t="str">
        <f t="shared" si="228"/>
        <v/>
      </c>
      <c r="AZ548">
        <f t="shared" si="229"/>
        <v>0</v>
      </c>
    </row>
    <row r="549" spans="1:52" ht="21" customHeight="1" x14ac:dyDescent="0.95">
      <c r="A549" s="36" t="str">
        <f>IF($AD549="","",IF($AD549="Z","รวมจ่ายทั้งสิ้น",IF($AD549="H",INDEX($X$5:$X$404,$AC549),IF($AD549="T","รวม",IF($AD549="B",IFERROR(INDEX(อัตราค่าขนส่ง!$U$5:$U$14,MATCH(INDEX($AM$5:$AM$404,$AC549),อัตราค่าขนส่ง!$T$5:$T$14,0)),"รวมกลุ่ม "&amp;INDEX($AM$5:$AM$404,$AC549)),INDEX($AY$5:$AY$404,$AC549))))))</f>
        <v/>
      </c>
      <c r="B549" s="31" t="str">
        <f t="shared" si="213"/>
        <v/>
      </c>
      <c r="C549" s="8" t="str">
        <f t="shared" si="214"/>
        <v/>
      </c>
      <c r="D549" s="37" t="str">
        <f t="shared" si="215"/>
        <v/>
      </c>
      <c r="E549" s="31" t="str">
        <f t="shared" si="216"/>
        <v/>
      </c>
      <c r="F549" s="32" t="str">
        <f t="shared" si="217"/>
        <v/>
      </c>
      <c r="G549" s="32" t="str">
        <f t="shared" si="218"/>
        <v/>
      </c>
      <c r="H549" s="32" t="str">
        <f t="shared" si="219"/>
        <v/>
      </c>
      <c r="I549" s="32" t="str">
        <f t="shared" si="220"/>
        <v/>
      </c>
      <c r="J549" s="46" t="str">
        <f t="shared" si="221"/>
        <v/>
      </c>
      <c r="K549" s="32" t="str">
        <f t="shared" si="222"/>
        <v/>
      </c>
      <c r="L549" s="32" t="str">
        <f t="shared" si="223"/>
        <v/>
      </c>
      <c r="M549" s="32" t="str">
        <f t="shared" si="224"/>
        <v/>
      </c>
      <c r="N549" s="32" t="str">
        <f t="shared" si="225"/>
        <v/>
      </c>
      <c r="O549" s="32" t="str">
        <f t="shared" si="226"/>
        <v/>
      </c>
      <c r="AC549" t="str">
        <f>IFERROR(MATCH(545,$AB$5:$AB$404,1),"")</f>
        <v/>
      </c>
      <c r="AD549" t="str">
        <f>IF(545=$AI$1+1,"Z",IF($AC549="","",IF(INDEX($V$5:$V$404,$AC549)="","",IF(545&gt;INDEX($AB$5:$AB$404,$AC549)+INDEX($Z$5:$Z$404,$AC549)+INDEX($AA$5:$AA$404,$AC549)+INDEX($AO$5:$AO$404,$AC549),"",IF(545=INDEX($AB$5:$AB$404,$AC549)+INDEX($Z$5:$Z$404,$AC549),"D",IF(AND(INDEX($Z$5:$Z$404,$AC549)=1,545=INDEX($AB$5:$AB$404,$AC549)),"H",IF(AND(INDEX($AO$5:$AO$404,$AC549)=1,545=INDEX($AB$5:$AB$404,$AC549)+INDEX($Z$5:$Z$404,$AC549)+INDEX($AA$5:$AA$404,$AC549)+INDEX($AO$5:$AO$404,$AC549)),"B","T")))))))</f>
        <v/>
      </c>
      <c r="AF549" t="str">
        <f t="shared" si="227"/>
        <v/>
      </c>
      <c r="AJ549">
        <f>IF($AD549&lt;&gt;"T",0,ROUND(SUMIF(oil!$B$4:$B$63,$AF549,oil!$AE$4:$AE$63),2))</f>
        <v>0</v>
      </c>
      <c r="AQ549" t="str">
        <f t="shared" si="228"/>
        <v/>
      </c>
      <c r="AZ549">
        <f t="shared" si="229"/>
        <v>0</v>
      </c>
    </row>
    <row r="550" spans="1:52" ht="21" customHeight="1" x14ac:dyDescent="0.95">
      <c r="A550" s="36" t="str">
        <f>IF($AD550="","",IF($AD550="Z","รวมจ่ายทั้งสิ้น",IF($AD550="H",INDEX($X$5:$X$404,$AC550),IF($AD550="T","รวม",IF($AD550="B",IFERROR(INDEX(อัตราค่าขนส่ง!$U$5:$U$14,MATCH(INDEX($AM$5:$AM$404,$AC550),อัตราค่าขนส่ง!$T$5:$T$14,0)),"รวมกลุ่ม "&amp;INDEX($AM$5:$AM$404,$AC550)),INDEX($AY$5:$AY$404,$AC550))))))</f>
        <v/>
      </c>
      <c r="B550" s="31" t="str">
        <f t="shared" si="213"/>
        <v/>
      </c>
      <c r="C550" s="8" t="str">
        <f t="shared" si="214"/>
        <v/>
      </c>
      <c r="D550" s="37" t="str">
        <f t="shared" si="215"/>
        <v/>
      </c>
      <c r="E550" s="31" t="str">
        <f t="shared" si="216"/>
        <v/>
      </c>
      <c r="F550" s="32" t="str">
        <f t="shared" si="217"/>
        <v/>
      </c>
      <c r="G550" s="32" t="str">
        <f t="shared" si="218"/>
        <v/>
      </c>
      <c r="H550" s="32" t="str">
        <f t="shared" si="219"/>
        <v/>
      </c>
      <c r="I550" s="32" t="str">
        <f t="shared" si="220"/>
        <v/>
      </c>
      <c r="J550" s="46" t="str">
        <f t="shared" si="221"/>
        <v/>
      </c>
      <c r="K550" s="32" t="str">
        <f t="shared" si="222"/>
        <v/>
      </c>
      <c r="L550" s="32" t="str">
        <f t="shared" si="223"/>
        <v/>
      </c>
      <c r="M550" s="32" t="str">
        <f t="shared" si="224"/>
        <v/>
      </c>
      <c r="N550" s="32" t="str">
        <f t="shared" si="225"/>
        <v/>
      </c>
      <c r="O550" s="32" t="str">
        <f t="shared" si="226"/>
        <v/>
      </c>
      <c r="AC550" t="str">
        <f>IFERROR(MATCH(546,$AB$5:$AB$404,1),"")</f>
        <v/>
      </c>
      <c r="AD550" t="str">
        <f>IF(546=$AI$1+1,"Z",IF($AC550="","",IF(INDEX($V$5:$V$404,$AC550)="","",IF(546&gt;INDEX($AB$5:$AB$404,$AC550)+INDEX($Z$5:$Z$404,$AC550)+INDEX($AA$5:$AA$404,$AC550)+INDEX($AO$5:$AO$404,$AC550),"",IF(546=INDEX($AB$5:$AB$404,$AC550)+INDEX($Z$5:$Z$404,$AC550),"D",IF(AND(INDEX($Z$5:$Z$404,$AC550)=1,546=INDEX($AB$5:$AB$404,$AC550)),"H",IF(AND(INDEX($AO$5:$AO$404,$AC550)=1,546=INDEX($AB$5:$AB$404,$AC550)+INDEX($Z$5:$Z$404,$AC550)+INDEX($AA$5:$AA$404,$AC550)+INDEX($AO$5:$AO$404,$AC550)),"B","T")))))))</f>
        <v/>
      </c>
      <c r="AF550" t="str">
        <f t="shared" si="227"/>
        <v/>
      </c>
      <c r="AJ550">
        <f>IF($AD550&lt;&gt;"T",0,ROUND(SUMIF(oil!$B$4:$B$63,$AF550,oil!$AE$4:$AE$63),2))</f>
        <v>0</v>
      </c>
      <c r="AQ550" t="str">
        <f t="shared" si="228"/>
        <v/>
      </c>
      <c r="AZ550">
        <f t="shared" si="229"/>
        <v>0</v>
      </c>
    </row>
    <row r="551" spans="1:52" ht="21" customHeight="1" x14ac:dyDescent="0.95">
      <c r="A551" s="36" t="str">
        <f>IF($AD551="","",IF($AD551="Z","รวมจ่ายทั้งสิ้น",IF($AD551="H",INDEX($X$5:$X$404,$AC551),IF($AD551="T","รวม",IF($AD551="B",IFERROR(INDEX(อัตราค่าขนส่ง!$U$5:$U$14,MATCH(INDEX($AM$5:$AM$404,$AC551),อัตราค่าขนส่ง!$T$5:$T$14,0)),"รวมกลุ่ม "&amp;INDEX($AM$5:$AM$404,$AC551)),INDEX($AY$5:$AY$404,$AC551))))))</f>
        <v/>
      </c>
      <c r="B551" s="31" t="str">
        <f t="shared" si="213"/>
        <v/>
      </c>
      <c r="C551" s="8" t="str">
        <f t="shared" si="214"/>
        <v/>
      </c>
      <c r="D551" s="37" t="str">
        <f t="shared" si="215"/>
        <v/>
      </c>
      <c r="E551" s="31" t="str">
        <f t="shared" si="216"/>
        <v/>
      </c>
      <c r="F551" s="32" t="str">
        <f t="shared" si="217"/>
        <v/>
      </c>
      <c r="G551" s="32" t="str">
        <f t="shared" si="218"/>
        <v/>
      </c>
      <c r="H551" s="32" t="str">
        <f t="shared" si="219"/>
        <v/>
      </c>
      <c r="I551" s="32" t="str">
        <f t="shared" si="220"/>
        <v/>
      </c>
      <c r="J551" s="46" t="str">
        <f t="shared" si="221"/>
        <v/>
      </c>
      <c r="K551" s="32" t="str">
        <f t="shared" si="222"/>
        <v/>
      </c>
      <c r="L551" s="32" t="str">
        <f t="shared" si="223"/>
        <v/>
      </c>
      <c r="M551" s="32" t="str">
        <f t="shared" si="224"/>
        <v/>
      </c>
      <c r="N551" s="32" t="str">
        <f t="shared" si="225"/>
        <v/>
      </c>
      <c r="O551" s="32" t="str">
        <f t="shared" si="226"/>
        <v/>
      </c>
      <c r="AC551" t="str">
        <f>IFERROR(MATCH(547,$AB$5:$AB$404,1),"")</f>
        <v/>
      </c>
      <c r="AD551" t="str">
        <f>IF(547=$AI$1+1,"Z",IF($AC551="","",IF(INDEX($V$5:$V$404,$AC551)="","",IF(547&gt;INDEX($AB$5:$AB$404,$AC551)+INDEX($Z$5:$Z$404,$AC551)+INDEX($AA$5:$AA$404,$AC551)+INDEX($AO$5:$AO$404,$AC551),"",IF(547=INDEX($AB$5:$AB$404,$AC551)+INDEX($Z$5:$Z$404,$AC551),"D",IF(AND(INDEX($Z$5:$Z$404,$AC551)=1,547=INDEX($AB$5:$AB$404,$AC551)),"H",IF(AND(INDEX($AO$5:$AO$404,$AC551)=1,547=INDEX($AB$5:$AB$404,$AC551)+INDEX($Z$5:$Z$404,$AC551)+INDEX($AA$5:$AA$404,$AC551)+INDEX($AO$5:$AO$404,$AC551)),"B","T")))))))</f>
        <v/>
      </c>
      <c r="AF551" t="str">
        <f t="shared" si="227"/>
        <v/>
      </c>
      <c r="AJ551">
        <f>IF($AD551&lt;&gt;"T",0,ROUND(SUMIF(oil!$B$4:$B$63,$AF551,oil!$AE$4:$AE$63),2))</f>
        <v>0</v>
      </c>
      <c r="AQ551" t="str">
        <f t="shared" si="228"/>
        <v/>
      </c>
      <c r="AZ551">
        <f t="shared" si="229"/>
        <v>0</v>
      </c>
    </row>
    <row r="552" spans="1:52" ht="21" customHeight="1" x14ac:dyDescent="0.95">
      <c r="A552" s="36" t="str">
        <f>IF($AD552="","",IF($AD552="Z","รวมจ่ายทั้งสิ้น",IF($AD552="H",INDEX($X$5:$X$404,$AC552),IF($AD552="T","รวม",IF($AD552="B",IFERROR(INDEX(อัตราค่าขนส่ง!$U$5:$U$14,MATCH(INDEX($AM$5:$AM$404,$AC552),อัตราค่าขนส่ง!$T$5:$T$14,0)),"รวมกลุ่ม "&amp;INDEX($AM$5:$AM$404,$AC552)),INDEX($AY$5:$AY$404,$AC552))))))</f>
        <v/>
      </c>
      <c r="B552" s="31" t="str">
        <f t="shared" si="213"/>
        <v/>
      </c>
      <c r="C552" s="8" t="str">
        <f t="shared" si="214"/>
        <v/>
      </c>
      <c r="D552" s="37" t="str">
        <f t="shared" si="215"/>
        <v/>
      </c>
      <c r="E552" s="31" t="str">
        <f t="shared" si="216"/>
        <v/>
      </c>
      <c r="F552" s="32" t="str">
        <f t="shared" si="217"/>
        <v/>
      </c>
      <c r="G552" s="32" t="str">
        <f t="shared" si="218"/>
        <v/>
      </c>
      <c r="H552" s="32" t="str">
        <f t="shared" si="219"/>
        <v/>
      </c>
      <c r="I552" s="32" t="str">
        <f t="shared" si="220"/>
        <v/>
      </c>
      <c r="J552" s="46" t="str">
        <f t="shared" si="221"/>
        <v/>
      </c>
      <c r="K552" s="32" t="str">
        <f t="shared" si="222"/>
        <v/>
      </c>
      <c r="L552" s="32" t="str">
        <f t="shared" si="223"/>
        <v/>
      </c>
      <c r="M552" s="32" t="str">
        <f t="shared" si="224"/>
        <v/>
      </c>
      <c r="N552" s="32" t="str">
        <f t="shared" si="225"/>
        <v/>
      </c>
      <c r="O552" s="32" t="str">
        <f t="shared" si="226"/>
        <v/>
      </c>
      <c r="AC552" t="str">
        <f>IFERROR(MATCH(548,$AB$5:$AB$404,1),"")</f>
        <v/>
      </c>
      <c r="AD552" t="str">
        <f>IF(548=$AI$1+1,"Z",IF($AC552="","",IF(INDEX($V$5:$V$404,$AC552)="","",IF(548&gt;INDEX($AB$5:$AB$404,$AC552)+INDEX($Z$5:$Z$404,$AC552)+INDEX($AA$5:$AA$404,$AC552)+INDEX($AO$5:$AO$404,$AC552),"",IF(548=INDEX($AB$5:$AB$404,$AC552)+INDEX($Z$5:$Z$404,$AC552),"D",IF(AND(INDEX($Z$5:$Z$404,$AC552)=1,548=INDEX($AB$5:$AB$404,$AC552)),"H",IF(AND(INDEX($AO$5:$AO$404,$AC552)=1,548=INDEX($AB$5:$AB$404,$AC552)+INDEX($Z$5:$Z$404,$AC552)+INDEX($AA$5:$AA$404,$AC552)+INDEX($AO$5:$AO$404,$AC552)),"B","T")))))))</f>
        <v/>
      </c>
      <c r="AF552" t="str">
        <f t="shared" si="227"/>
        <v/>
      </c>
      <c r="AJ552">
        <f>IF($AD552&lt;&gt;"T",0,ROUND(SUMIF(oil!$B$4:$B$63,$AF552,oil!$AE$4:$AE$63),2))</f>
        <v>0</v>
      </c>
      <c r="AQ552" t="str">
        <f t="shared" si="228"/>
        <v/>
      </c>
      <c r="AZ552">
        <f t="shared" si="229"/>
        <v>0</v>
      </c>
    </row>
    <row r="553" spans="1:52" ht="21" customHeight="1" x14ac:dyDescent="0.95">
      <c r="A553" s="36" t="str">
        <f>IF($AD553="","",IF($AD553="Z","รวมจ่ายทั้งสิ้น",IF($AD553="H",INDEX($X$5:$X$404,$AC553),IF($AD553="T","รวม",IF($AD553="B",IFERROR(INDEX(อัตราค่าขนส่ง!$U$5:$U$14,MATCH(INDEX($AM$5:$AM$404,$AC553),อัตราค่าขนส่ง!$T$5:$T$14,0)),"รวมกลุ่ม "&amp;INDEX($AM$5:$AM$404,$AC553)),INDEX($AY$5:$AY$404,$AC553))))))</f>
        <v/>
      </c>
      <c r="B553" s="31" t="str">
        <f t="shared" si="213"/>
        <v/>
      </c>
      <c r="C553" s="8" t="str">
        <f t="shared" si="214"/>
        <v/>
      </c>
      <c r="D553" s="37" t="str">
        <f t="shared" si="215"/>
        <v/>
      </c>
      <c r="E553" s="31" t="str">
        <f t="shared" si="216"/>
        <v/>
      </c>
      <c r="F553" s="32" t="str">
        <f t="shared" si="217"/>
        <v/>
      </c>
      <c r="G553" s="32" t="str">
        <f t="shared" si="218"/>
        <v/>
      </c>
      <c r="H553" s="32" t="str">
        <f t="shared" si="219"/>
        <v/>
      </c>
      <c r="I553" s="32" t="str">
        <f t="shared" si="220"/>
        <v/>
      </c>
      <c r="J553" s="46" t="str">
        <f t="shared" si="221"/>
        <v/>
      </c>
      <c r="K553" s="32" t="str">
        <f t="shared" si="222"/>
        <v/>
      </c>
      <c r="L553" s="32" t="str">
        <f t="shared" si="223"/>
        <v/>
      </c>
      <c r="M553" s="32" t="str">
        <f t="shared" si="224"/>
        <v/>
      </c>
      <c r="N553" s="32" t="str">
        <f t="shared" si="225"/>
        <v/>
      </c>
      <c r="O553" s="32" t="str">
        <f t="shared" si="226"/>
        <v/>
      </c>
      <c r="AC553" t="str">
        <f>IFERROR(MATCH(549,$AB$5:$AB$404,1),"")</f>
        <v/>
      </c>
      <c r="AD553" t="str">
        <f>IF(549=$AI$1+1,"Z",IF($AC553="","",IF(INDEX($V$5:$V$404,$AC553)="","",IF(549&gt;INDEX($AB$5:$AB$404,$AC553)+INDEX($Z$5:$Z$404,$AC553)+INDEX($AA$5:$AA$404,$AC553)+INDEX($AO$5:$AO$404,$AC553),"",IF(549=INDEX($AB$5:$AB$404,$AC553)+INDEX($Z$5:$Z$404,$AC553),"D",IF(AND(INDEX($Z$5:$Z$404,$AC553)=1,549=INDEX($AB$5:$AB$404,$AC553)),"H",IF(AND(INDEX($AO$5:$AO$404,$AC553)=1,549=INDEX($AB$5:$AB$404,$AC553)+INDEX($Z$5:$Z$404,$AC553)+INDEX($AA$5:$AA$404,$AC553)+INDEX($AO$5:$AO$404,$AC553)),"B","T")))))))</f>
        <v/>
      </c>
      <c r="AF553" t="str">
        <f t="shared" si="227"/>
        <v/>
      </c>
      <c r="AJ553">
        <f>IF($AD553&lt;&gt;"T",0,ROUND(SUMIF(oil!$B$4:$B$63,$AF553,oil!$AE$4:$AE$63),2))</f>
        <v>0</v>
      </c>
      <c r="AQ553" t="str">
        <f t="shared" si="228"/>
        <v/>
      </c>
      <c r="AZ553">
        <f t="shared" si="229"/>
        <v>0</v>
      </c>
    </row>
    <row r="554" spans="1:52" ht="21" customHeight="1" x14ac:dyDescent="0.95">
      <c r="A554" s="36" t="str">
        <f>IF($AD554="","",IF($AD554="Z","รวมจ่ายทั้งสิ้น",IF($AD554="H",INDEX($X$5:$X$404,$AC554),IF($AD554="T","รวม",IF($AD554="B",IFERROR(INDEX(อัตราค่าขนส่ง!$U$5:$U$14,MATCH(INDEX($AM$5:$AM$404,$AC554),อัตราค่าขนส่ง!$T$5:$T$14,0)),"รวมกลุ่ม "&amp;INDEX($AM$5:$AM$404,$AC554)),INDEX($AY$5:$AY$404,$AC554))))))</f>
        <v/>
      </c>
      <c r="B554" s="31" t="str">
        <f t="shared" si="213"/>
        <v/>
      </c>
      <c r="C554" s="8" t="str">
        <f t="shared" si="214"/>
        <v/>
      </c>
      <c r="D554" s="37" t="str">
        <f t="shared" si="215"/>
        <v/>
      </c>
      <c r="E554" s="31" t="str">
        <f t="shared" si="216"/>
        <v/>
      </c>
      <c r="F554" s="32" t="str">
        <f t="shared" si="217"/>
        <v/>
      </c>
      <c r="G554" s="32" t="str">
        <f t="shared" si="218"/>
        <v/>
      </c>
      <c r="H554" s="32" t="str">
        <f t="shared" si="219"/>
        <v/>
      </c>
      <c r="I554" s="32" t="str">
        <f t="shared" si="220"/>
        <v/>
      </c>
      <c r="J554" s="46" t="str">
        <f t="shared" si="221"/>
        <v/>
      </c>
      <c r="K554" s="32" t="str">
        <f t="shared" si="222"/>
        <v/>
      </c>
      <c r="L554" s="32" t="str">
        <f t="shared" si="223"/>
        <v/>
      </c>
      <c r="M554" s="32" t="str">
        <f t="shared" si="224"/>
        <v/>
      </c>
      <c r="N554" s="32" t="str">
        <f t="shared" si="225"/>
        <v/>
      </c>
      <c r="O554" s="32" t="str">
        <f t="shared" si="226"/>
        <v/>
      </c>
      <c r="AC554" t="str">
        <f>IFERROR(MATCH(550,$AB$5:$AB$404,1),"")</f>
        <v/>
      </c>
      <c r="AD554" t="str">
        <f>IF(550=$AI$1+1,"Z",IF($AC554="","",IF(INDEX($V$5:$V$404,$AC554)="","",IF(550&gt;INDEX($AB$5:$AB$404,$AC554)+INDEX($Z$5:$Z$404,$AC554)+INDEX($AA$5:$AA$404,$AC554)+INDEX($AO$5:$AO$404,$AC554),"",IF(550=INDEX($AB$5:$AB$404,$AC554)+INDEX($Z$5:$Z$404,$AC554),"D",IF(AND(INDEX($Z$5:$Z$404,$AC554)=1,550=INDEX($AB$5:$AB$404,$AC554)),"H",IF(AND(INDEX($AO$5:$AO$404,$AC554)=1,550=INDEX($AB$5:$AB$404,$AC554)+INDEX($Z$5:$Z$404,$AC554)+INDEX($AA$5:$AA$404,$AC554)+INDEX($AO$5:$AO$404,$AC554)),"B","T")))))))</f>
        <v/>
      </c>
      <c r="AF554" t="str">
        <f t="shared" si="227"/>
        <v/>
      </c>
      <c r="AJ554">
        <f>IF($AD554&lt;&gt;"T",0,ROUND(SUMIF(oil!$B$4:$B$63,$AF554,oil!$AE$4:$AE$63),2))</f>
        <v>0</v>
      </c>
      <c r="AQ554" t="str">
        <f t="shared" si="228"/>
        <v/>
      </c>
      <c r="AZ554">
        <f t="shared" si="229"/>
        <v>0</v>
      </c>
    </row>
    <row r="555" spans="1:52" ht="21" customHeight="1" x14ac:dyDescent="0.95">
      <c r="A555" s="36" t="str">
        <f>IF($AD555="","",IF($AD555="Z","รวมจ่ายทั้งสิ้น",IF($AD555="H",INDEX($X$5:$X$404,$AC555),IF($AD555="T","รวม",IF($AD555="B",IFERROR(INDEX(อัตราค่าขนส่ง!$U$5:$U$14,MATCH(INDEX($AM$5:$AM$404,$AC555),อัตราค่าขนส่ง!$T$5:$T$14,0)),"รวมกลุ่ม "&amp;INDEX($AM$5:$AM$404,$AC555)),INDEX($AY$5:$AY$404,$AC555))))))</f>
        <v/>
      </c>
      <c r="B555" s="31" t="str">
        <f t="shared" si="213"/>
        <v/>
      </c>
      <c r="C555" s="8" t="str">
        <f t="shared" si="214"/>
        <v/>
      </c>
      <c r="D555" s="37" t="str">
        <f t="shared" si="215"/>
        <v/>
      </c>
      <c r="E555" s="31" t="str">
        <f t="shared" si="216"/>
        <v/>
      </c>
      <c r="F555" s="32" t="str">
        <f t="shared" si="217"/>
        <v/>
      </c>
      <c r="G555" s="32" t="str">
        <f t="shared" si="218"/>
        <v/>
      </c>
      <c r="H555" s="32" t="str">
        <f t="shared" si="219"/>
        <v/>
      </c>
      <c r="I555" s="32" t="str">
        <f t="shared" si="220"/>
        <v/>
      </c>
      <c r="J555" s="46" t="str">
        <f t="shared" si="221"/>
        <v/>
      </c>
      <c r="K555" s="32" t="str">
        <f t="shared" si="222"/>
        <v/>
      </c>
      <c r="L555" s="32" t="str">
        <f t="shared" si="223"/>
        <v/>
      </c>
      <c r="M555" s="32" t="str">
        <f t="shared" si="224"/>
        <v/>
      </c>
      <c r="N555" s="32" t="str">
        <f t="shared" si="225"/>
        <v/>
      </c>
      <c r="O555" s="32" t="str">
        <f t="shared" si="226"/>
        <v/>
      </c>
      <c r="AC555" t="str">
        <f>IFERROR(MATCH(551,$AB$5:$AB$404,1),"")</f>
        <v/>
      </c>
      <c r="AD555" t="str">
        <f>IF(551=$AI$1+1,"Z",IF($AC555="","",IF(INDEX($V$5:$V$404,$AC555)="","",IF(551&gt;INDEX($AB$5:$AB$404,$AC555)+INDEX($Z$5:$Z$404,$AC555)+INDEX($AA$5:$AA$404,$AC555)+INDEX($AO$5:$AO$404,$AC555),"",IF(551=INDEX($AB$5:$AB$404,$AC555)+INDEX($Z$5:$Z$404,$AC555),"D",IF(AND(INDEX($Z$5:$Z$404,$AC555)=1,551=INDEX($AB$5:$AB$404,$AC555)),"H",IF(AND(INDEX($AO$5:$AO$404,$AC555)=1,551=INDEX($AB$5:$AB$404,$AC555)+INDEX($Z$5:$Z$404,$AC555)+INDEX($AA$5:$AA$404,$AC555)+INDEX($AO$5:$AO$404,$AC555)),"B","T")))))))</f>
        <v/>
      </c>
      <c r="AF555" t="str">
        <f t="shared" si="227"/>
        <v/>
      </c>
      <c r="AJ555">
        <f>IF($AD555&lt;&gt;"T",0,ROUND(SUMIF(oil!$B$4:$B$63,$AF555,oil!$AE$4:$AE$63),2))</f>
        <v>0</v>
      </c>
      <c r="AQ555" t="str">
        <f t="shared" si="228"/>
        <v/>
      </c>
      <c r="AZ555">
        <f t="shared" si="229"/>
        <v>0</v>
      </c>
    </row>
    <row r="556" spans="1:52" ht="21" customHeight="1" x14ac:dyDescent="0.95">
      <c r="A556" s="36" t="str">
        <f>IF($AD556="","",IF($AD556="Z","รวมจ่ายทั้งสิ้น",IF($AD556="H",INDEX($X$5:$X$404,$AC556),IF($AD556="T","รวม",IF($AD556="B",IFERROR(INDEX(อัตราค่าขนส่ง!$U$5:$U$14,MATCH(INDEX($AM$5:$AM$404,$AC556),อัตราค่าขนส่ง!$T$5:$T$14,0)),"รวมกลุ่ม "&amp;INDEX($AM$5:$AM$404,$AC556)),INDEX($AY$5:$AY$404,$AC556))))))</f>
        <v/>
      </c>
      <c r="B556" s="31" t="str">
        <f t="shared" si="213"/>
        <v/>
      </c>
      <c r="C556" s="8" t="str">
        <f t="shared" si="214"/>
        <v/>
      </c>
      <c r="D556" s="37" t="str">
        <f t="shared" si="215"/>
        <v/>
      </c>
      <c r="E556" s="31" t="str">
        <f t="shared" si="216"/>
        <v/>
      </c>
      <c r="F556" s="32" t="str">
        <f t="shared" si="217"/>
        <v/>
      </c>
      <c r="G556" s="32" t="str">
        <f t="shared" si="218"/>
        <v/>
      </c>
      <c r="H556" s="32" t="str">
        <f t="shared" si="219"/>
        <v/>
      </c>
      <c r="I556" s="32" t="str">
        <f t="shared" si="220"/>
        <v/>
      </c>
      <c r="J556" s="46" t="str">
        <f t="shared" si="221"/>
        <v/>
      </c>
      <c r="K556" s="32" t="str">
        <f t="shared" si="222"/>
        <v/>
      </c>
      <c r="L556" s="32" t="str">
        <f t="shared" si="223"/>
        <v/>
      </c>
      <c r="M556" s="32" t="str">
        <f t="shared" si="224"/>
        <v/>
      </c>
      <c r="N556" s="32" t="str">
        <f t="shared" si="225"/>
        <v/>
      </c>
      <c r="O556" s="32" t="str">
        <f t="shared" si="226"/>
        <v/>
      </c>
      <c r="AC556" t="str">
        <f>IFERROR(MATCH(552,$AB$5:$AB$404,1),"")</f>
        <v/>
      </c>
      <c r="AD556" t="str">
        <f>IF(552=$AI$1+1,"Z",IF($AC556="","",IF(INDEX($V$5:$V$404,$AC556)="","",IF(552&gt;INDEX($AB$5:$AB$404,$AC556)+INDEX($Z$5:$Z$404,$AC556)+INDEX($AA$5:$AA$404,$AC556)+INDEX($AO$5:$AO$404,$AC556),"",IF(552=INDEX($AB$5:$AB$404,$AC556)+INDEX($Z$5:$Z$404,$AC556),"D",IF(AND(INDEX($Z$5:$Z$404,$AC556)=1,552=INDEX($AB$5:$AB$404,$AC556)),"H",IF(AND(INDEX($AO$5:$AO$404,$AC556)=1,552=INDEX($AB$5:$AB$404,$AC556)+INDEX($Z$5:$Z$404,$AC556)+INDEX($AA$5:$AA$404,$AC556)+INDEX($AO$5:$AO$404,$AC556)),"B","T")))))))</f>
        <v/>
      </c>
      <c r="AF556" t="str">
        <f t="shared" si="227"/>
        <v/>
      </c>
      <c r="AJ556">
        <f>IF($AD556&lt;&gt;"T",0,ROUND(SUMIF(oil!$B$4:$B$63,$AF556,oil!$AE$4:$AE$63),2))</f>
        <v>0</v>
      </c>
      <c r="AQ556" t="str">
        <f t="shared" si="228"/>
        <v/>
      </c>
      <c r="AZ556">
        <f t="shared" si="229"/>
        <v>0</v>
      </c>
    </row>
    <row r="557" spans="1:52" ht="21" customHeight="1" x14ac:dyDescent="0.95">
      <c r="A557" s="36" t="str">
        <f>IF($AD557="","",IF($AD557="Z","รวมจ่ายทั้งสิ้น",IF($AD557="H",INDEX($X$5:$X$404,$AC557),IF($AD557="T","รวม",IF($AD557="B",IFERROR(INDEX(อัตราค่าขนส่ง!$U$5:$U$14,MATCH(INDEX($AM$5:$AM$404,$AC557),อัตราค่าขนส่ง!$T$5:$T$14,0)),"รวมกลุ่ม "&amp;INDEX($AM$5:$AM$404,$AC557)),INDEX($AY$5:$AY$404,$AC557))))))</f>
        <v/>
      </c>
      <c r="B557" s="31" t="str">
        <f t="shared" si="213"/>
        <v/>
      </c>
      <c r="C557" s="8" t="str">
        <f t="shared" si="214"/>
        <v/>
      </c>
      <c r="D557" s="37" t="str">
        <f t="shared" si="215"/>
        <v/>
      </c>
      <c r="E557" s="31" t="str">
        <f t="shared" si="216"/>
        <v/>
      </c>
      <c r="F557" s="32" t="str">
        <f t="shared" si="217"/>
        <v/>
      </c>
      <c r="G557" s="32" t="str">
        <f t="shared" si="218"/>
        <v/>
      </c>
      <c r="H557" s="32" t="str">
        <f t="shared" si="219"/>
        <v/>
      </c>
      <c r="I557" s="32" t="str">
        <f t="shared" si="220"/>
        <v/>
      </c>
      <c r="J557" s="46" t="str">
        <f t="shared" si="221"/>
        <v/>
      </c>
      <c r="K557" s="32" t="str">
        <f t="shared" si="222"/>
        <v/>
      </c>
      <c r="L557" s="32" t="str">
        <f t="shared" si="223"/>
        <v/>
      </c>
      <c r="M557" s="32" t="str">
        <f t="shared" si="224"/>
        <v/>
      </c>
      <c r="N557" s="32" t="str">
        <f t="shared" si="225"/>
        <v/>
      </c>
      <c r="O557" s="32" t="str">
        <f t="shared" si="226"/>
        <v/>
      </c>
      <c r="AC557" t="str">
        <f>IFERROR(MATCH(553,$AB$5:$AB$404,1),"")</f>
        <v/>
      </c>
      <c r="AD557" t="str">
        <f>IF(553=$AI$1+1,"Z",IF($AC557="","",IF(INDEX($V$5:$V$404,$AC557)="","",IF(553&gt;INDEX($AB$5:$AB$404,$AC557)+INDEX($Z$5:$Z$404,$AC557)+INDEX($AA$5:$AA$404,$AC557)+INDEX($AO$5:$AO$404,$AC557),"",IF(553=INDEX($AB$5:$AB$404,$AC557)+INDEX($Z$5:$Z$404,$AC557),"D",IF(AND(INDEX($Z$5:$Z$404,$AC557)=1,553=INDEX($AB$5:$AB$404,$AC557)),"H",IF(AND(INDEX($AO$5:$AO$404,$AC557)=1,553=INDEX($AB$5:$AB$404,$AC557)+INDEX($Z$5:$Z$404,$AC557)+INDEX($AA$5:$AA$404,$AC557)+INDEX($AO$5:$AO$404,$AC557)),"B","T")))))))</f>
        <v/>
      </c>
      <c r="AF557" t="str">
        <f t="shared" si="227"/>
        <v/>
      </c>
      <c r="AJ557">
        <f>IF($AD557&lt;&gt;"T",0,ROUND(SUMIF(oil!$B$4:$B$63,$AF557,oil!$AE$4:$AE$63),2))</f>
        <v>0</v>
      </c>
      <c r="AQ557" t="str">
        <f t="shared" si="228"/>
        <v/>
      </c>
      <c r="AZ557">
        <f t="shared" si="229"/>
        <v>0</v>
      </c>
    </row>
    <row r="558" spans="1:52" ht="21" customHeight="1" x14ac:dyDescent="0.95">
      <c r="A558" s="36" t="str">
        <f>IF($AD558="","",IF($AD558="Z","รวมจ่ายทั้งสิ้น",IF($AD558="H",INDEX($X$5:$X$404,$AC558),IF($AD558="T","รวม",IF($AD558="B",IFERROR(INDEX(อัตราค่าขนส่ง!$U$5:$U$14,MATCH(INDEX($AM$5:$AM$404,$AC558),อัตราค่าขนส่ง!$T$5:$T$14,0)),"รวมกลุ่ม "&amp;INDEX($AM$5:$AM$404,$AC558)),INDEX($AY$5:$AY$404,$AC558))))))</f>
        <v/>
      </c>
      <c r="B558" s="31" t="str">
        <f t="shared" si="213"/>
        <v/>
      </c>
      <c r="C558" s="8" t="str">
        <f t="shared" si="214"/>
        <v/>
      </c>
      <c r="D558" s="37" t="str">
        <f t="shared" si="215"/>
        <v/>
      </c>
      <c r="E558" s="31" t="str">
        <f t="shared" si="216"/>
        <v/>
      </c>
      <c r="F558" s="32" t="str">
        <f t="shared" si="217"/>
        <v/>
      </c>
      <c r="G558" s="32" t="str">
        <f t="shared" si="218"/>
        <v/>
      </c>
      <c r="H558" s="32" t="str">
        <f t="shared" si="219"/>
        <v/>
      </c>
      <c r="I558" s="32" t="str">
        <f t="shared" si="220"/>
        <v/>
      </c>
      <c r="J558" s="46" t="str">
        <f t="shared" si="221"/>
        <v/>
      </c>
      <c r="K558" s="32" t="str">
        <f t="shared" si="222"/>
        <v/>
      </c>
      <c r="L558" s="32" t="str">
        <f t="shared" si="223"/>
        <v/>
      </c>
      <c r="M558" s="32" t="str">
        <f t="shared" si="224"/>
        <v/>
      </c>
      <c r="N558" s="32" t="str">
        <f t="shared" si="225"/>
        <v/>
      </c>
      <c r="O558" s="32" t="str">
        <f t="shared" si="226"/>
        <v/>
      </c>
      <c r="AC558" t="str">
        <f>IFERROR(MATCH(554,$AB$5:$AB$404,1),"")</f>
        <v/>
      </c>
      <c r="AD558" t="str">
        <f>IF(554=$AI$1+1,"Z",IF($AC558="","",IF(INDEX($V$5:$V$404,$AC558)="","",IF(554&gt;INDEX($AB$5:$AB$404,$AC558)+INDEX($Z$5:$Z$404,$AC558)+INDEX($AA$5:$AA$404,$AC558)+INDEX($AO$5:$AO$404,$AC558),"",IF(554=INDEX($AB$5:$AB$404,$AC558)+INDEX($Z$5:$Z$404,$AC558),"D",IF(AND(INDEX($Z$5:$Z$404,$AC558)=1,554=INDEX($AB$5:$AB$404,$AC558)),"H",IF(AND(INDEX($AO$5:$AO$404,$AC558)=1,554=INDEX($AB$5:$AB$404,$AC558)+INDEX($Z$5:$Z$404,$AC558)+INDEX($AA$5:$AA$404,$AC558)+INDEX($AO$5:$AO$404,$AC558)),"B","T")))))))</f>
        <v/>
      </c>
      <c r="AF558" t="str">
        <f t="shared" si="227"/>
        <v/>
      </c>
      <c r="AJ558">
        <f>IF($AD558&lt;&gt;"T",0,ROUND(SUMIF(oil!$B$4:$B$63,$AF558,oil!$AE$4:$AE$63),2))</f>
        <v>0</v>
      </c>
      <c r="AQ558" t="str">
        <f t="shared" si="228"/>
        <v/>
      </c>
      <c r="AZ558">
        <f t="shared" si="229"/>
        <v>0</v>
      </c>
    </row>
    <row r="559" spans="1:52" ht="21" customHeight="1" x14ac:dyDescent="0.95">
      <c r="A559" s="36" t="str">
        <f>IF($AD559="","",IF($AD559="Z","รวมจ่ายทั้งสิ้น",IF($AD559="H",INDEX($X$5:$X$404,$AC559),IF($AD559="T","รวม",IF($AD559="B",IFERROR(INDEX(อัตราค่าขนส่ง!$U$5:$U$14,MATCH(INDEX($AM$5:$AM$404,$AC559),อัตราค่าขนส่ง!$T$5:$T$14,0)),"รวมกลุ่ม "&amp;INDEX($AM$5:$AM$404,$AC559)),INDEX($AY$5:$AY$404,$AC559))))))</f>
        <v/>
      </c>
      <c r="B559" s="31" t="str">
        <f t="shared" si="213"/>
        <v/>
      </c>
      <c r="C559" s="8" t="str">
        <f t="shared" si="214"/>
        <v/>
      </c>
      <c r="D559" s="37" t="str">
        <f t="shared" si="215"/>
        <v/>
      </c>
      <c r="E559" s="31" t="str">
        <f t="shared" si="216"/>
        <v/>
      </c>
      <c r="F559" s="32" t="str">
        <f t="shared" si="217"/>
        <v/>
      </c>
      <c r="G559" s="32" t="str">
        <f t="shared" si="218"/>
        <v/>
      </c>
      <c r="H559" s="32" t="str">
        <f t="shared" si="219"/>
        <v/>
      </c>
      <c r="I559" s="32" t="str">
        <f t="shared" si="220"/>
        <v/>
      </c>
      <c r="J559" s="46" t="str">
        <f t="shared" si="221"/>
        <v/>
      </c>
      <c r="K559" s="32" t="str">
        <f t="shared" si="222"/>
        <v/>
      </c>
      <c r="L559" s="32" t="str">
        <f t="shared" si="223"/>
        <v/>
      </c>
      <c r="M559" s="32" t="str">
        <f t="shared" si="224"/>
        <v/>
      </c>
      <c r="N559" s="32" t="str">
        <f t="shared" si="225"/>
        <v/>
      </c>
      <c r="O559" s="32" t="str">
        <f t="shared" si="226"/>
        <v/>
      </c>
      <c r="AC559" t="str">
        <f>IFERROR(MATCH(555,$AB$5:$AB$404,1),"")</f>
        <v/>
      </c>
      <c r="AD559" t="str">
        <f>IF(555=$AI$1+1,"Z",IF($AC559="","",IF(INDEX($V$5:$V$404,$AC559)="","",IF(555&gt;INDEX($AB$5:$AB$404,$AC559)+INDEX($Z$5:$Z$404,$AC559)+INDEX($AA$5:$AA$404,$AC559)+INDEX($AO$5:$AO$404,$AC559),"",IF(555=INDEX($AB$5:$AB$404,$AC559)+INDEX($Z$5:$Z$404,$AC559),"D",IF(AND(INDEX($Z$5:$Z$404,$AC559)=1,555=INDEX($AB$5:$AB$404,$AC559)),"H",IF(AND(INDEX($AO$5:$AO$404,$AC559)=1,555=INDEX($AB$5:$AB$404,$AC559)+INDEX($Z$5:$Z$404,$AC559)+INDEX($AA$5:$AA$404,$AC559)+INDEX($AO$5:$AO$404,$AC559)),"B","T")))))))</f>
        <v/>
      </c>
      <c r="AF559" t="str">
        <f t="shared" si="227"/>
        <v/>
      </c>
      <c r="AJ559">
        <f>IF($AD559&lt;&gt;"T",0,ROUND(SUMIF(oil!$B$4:$B$63,$AF559,oil!$AE$4:$AE$63),2))</f>
        <v>0</v>
      </c>
      <c r="AQ559" t="str">
        <f t="shared" si="228"/>
        <v/>
      </c>
      <c r="AZ559">
        <f t="shared" si="229"/>
        <v>0</v>
      </c>
    </row>
    <row r="560" spans="1:52" ht="21" customHeight="1" x14ac:dyDescent="0.95">
      <c r="A560" s="36" t="str">
        <f>IF($AD560="","",IF($AD560="Z","รวมจ่ายทั้งสิ้น",IF($AD560="H",INDEX($X$5:$X$404,$AC560),IF($AD560="T","รวม",IF($AD560="B",IFERROR(INDEX(อัตราค่าขนส่ง!$U$5:$U$14,MATCH(INDEX($AM$5:$AM$404,$AC560),อัตราค่าขนส่ง!$T$5:$T$14,0)),"รวมกลุ่ม "&amp;INDEX($AM$5:$AM$404,$AC560)),INDEX($AY$5:$AY$404,$AC560))))))</f>
        <v/>
      </c>
      <c r="B560" s="31" t="str">
        <f t="shared" si="213"/>
        <v/>
      </c>
      <c r="C560" s="8" t="str">
        <f t="shared" si="214"/>
        <v/>
      </c>
      <c r="D560" s="37" t="str">
        <f t="shared" si="215"/>
        <v/>
      </c>
      <c r="E560" s="31" t="str">
        <f t="shared" si="216"/>
        <v/>
      </c>
      <c r="F560" s="32" t="str">
        <f t="shared" si="217"/>
        <v/>
      </c>
      <c r="G560" s="32" t="str">
        <f t="shared" si="218"/>
        <v/>
      </c>
      <c r="H560" s="32" t="str">
        <f t="shared" si="219"/>
        <v/>
      </c>
      <c r="I560" s="32" t="str">
        <f t="shared" si="220"/>
        <v/>
      </c>
      <c r="J560" s="46" t="str">
        <f t="shared" si="221"/>
        <v/>
      </c>
      <c r="K560" s="32" t="str">
        <f t="shared" si="222"/>
        <v/>
      </c>
      <c r="L560" s="32" t="str">
        <f t="shared" si="223"/>
        <v/>
      </c>
      <c r="M560" s="32" t="str">
        <f t="shared" si="224"/>
        <v/>
      </c>
      <c r="N560" s="32" t="str">
        <f t="shared" si="225"/>
        <v/>
      </c>
      <c r="O560" s="32" t="str">
        <f t="shared" si="226"/>
        <v/>
      </c>
      <c r="AC560" t="str">
        <f>IFERROR(MATCH(556,$AB$5:$AB$404,1),"")</f>
        <v/>
      </c>
      <c r="AD560" t="str">
        <f>IF(556=$AI$1+1,"Z",IF($AC560="","",IF(INDEX($V$5:$V$404,$AC560)="","",IF(556&gt;INDEX($AB$5:$AB$404,$AC560)+INDEX($Z$5:$Z$404,$AC560)+INDEX($AA$5:$AA$404,$AC560)+INDEX($AO$5:$AO$404,$AC560),"",IF(556=INDEX($AB$5:$AB$404,$AC560)+INDEX($Z$5:$Z$404,$AC560),"D",IF(AND(INDEX($Z$5:$Z$404,$AC560)=1,556=INDEX($AB$5:$AB$404,$AC560)),"H",IF(AND(INDEX($AO$5:$AO$404,$AC560)=1,556=INDEX($AB$5:$AB$404,$AC560)+INDEX($Z$5:$Z$404,$AC560)+INDEX($AA$5:$AA$404,$AC560)+INDEX($AO$5:$AO$404,$AC560)),"B","T")))))))</f>
        <v/>
      </c>
      <c r="AF560" t="str">
        <f t="shared" si="227"/>
        <v/>
      </c>
      <c r="AJ560">
        <f>IF($AD560&lt;&gt;"T",0,ROUND(SUMIF(oil!$B$4:$B$63,$AF560,oil!$AE$4:$AE$63),2))</f>
        <v>0</v>
      </c>
      <c r="AQ560" t="str">
        <f t="shared" si="228"/>
        <v/>
      </c>
      <c r="AZ560">
        <f t="shared" si="229"/>
        <v>0</v>
      </c>
    </row>
    <row r="561" spans="1:52" ht="21" customHeight="1" x14ac:dyDescent="0.95">
      <c r="A561" s="36" t="str">
        <f>IF($AD561="","",IF($AD561="Z","รวมจ่ายทั้งสิ้น",IF($AD561="H",INDEX($X$5:$X$404,$AC561),IF($AD561="T","รวม",IF($AD561="B",IFERROR(INDEX(อัตราค่าขนส่ง!$U$5:$U$14,MATCH(INDEX($AM$5:$AM$404,$AC561),อัตราค่าขนส่ง!$T$5:$T$14,0)),"รวมกลุ่ม "&amp;INDEX($AM$5:$AM$404,$AC561)),INDEX($AY$5:$AY$404,$AC561))))))</f>
        <v/>
      </c>
      <c r="B561" s="31" t="str">
        <f t="shared" si="213"/>
        <v/>
      </c>
      <c r="C561" s="8" t="str">
        <f t="shared" si="214"/>
        <v/>
      </c>
      <c r="D561" s="37" t="str">
        <f t="shared" si="215"/>
        <v/>
      </c>
      <c r="E561" s="31" t="str">
        <f t="shared" si="216"/>
        <v/>
      </c>
      <c r="F561" s="32" t="str">
        <f t="shared" si="217"/>
        <v/>
      </c>
      <c r="G561" s="32" t="str">
        <f t="shared" si="218"/>
        <v/>
      </c>
      <c r="H561" s="32" t="str">
        <f t="shared" si="219"/>
        <v/>
      </c>
      <c r="I561" s="32" t="str">
        <f t="shared" si="220"/>
        <v/>
      </c>
      <c r="J561" s="46" t="str">
        <f t="shared" si="221"/>
        <v/>
      </c>
      <c r="K561" s="32" t="str">
        <f t="shared" si="222"/>
        <v/>
      </c>
      <c r="L561" s="32" t="str">
        <f t="shared" si="223"/>
        <v/>
      </c>
      <c r="M561" s="32" t="str">
        <f t="shared" si="224"/>
        <v/>
      </c>
      <c r="N561" s="32" t="str">
        <f t="shared" si="225"/>
        <v/>
      </c>
      <c r="O561" s="32" t="str">
        <f t="shared" si="226"/>
        <v/>
      </c>
      <c r="AC561" t="str">
        <f>IFERROR(MATCH(557,$AB$5:$AB$404,1),"")</f>
        <v/>
      </c>
      <c r="AD561" t="str">
        <f>IF(557=$AI$1+1,"Z",IF($AC561="","",IF(INDEX($V$5:$V$404,$AC561)="","",IF(557&gt;INDEX($AB$5:$AB$404,$AC561)+INDEX($Z$5:$Z$404,$AC561)+INDEX($AA$5:$AA$404,$AC561)+INDEX($AO$5:$AO$404,$AC561),"",IF(557=INDEX($AB$5:$AB$404,$AC561)+INDEX($Z$5:$Z$404,$AC561),"D",IF(AND(INDEX($Z$5:$Z$404,$AC561)=1,557=INDEX($AB$5:$AB$404,$AC561)),"H",IF(AND(INDEX($AO$5:$AO$404,$AC561)=1,557=INDEX($AB$5:$AB$404,$AC561)+INDEX($Z$5:$Z$404,$AC561)+INDEX($AA$5:$AA$404,$AC561)+INDEX($AO$5:$AO$404,$AC561)),"B","T")))))))</f>
        <v/>
      </c>
      <c r="AF561" t="str">
        <f t="shared" si="227"/>
        <v/>
      </c>
      <c r="AJ561">
        <f>IF($AD561&lt;&gt;"T",0,ROUND(SUMIF(oil!$B$4:$B$63,$AF561,oil!$AE$4:$AE$63),2))</f>
        <v>0</v>
      </c>
      <c r="AQ561" t="str">
        <f t="shared" si="228"/>
        <v/>
      </c>
      <c r="AZ561">
        <f t="shared" si="229"/>
        <v>0</v>
      </c>
    </row>
    <row r="562" spans="1:52" ht="21" customHeight="1" x14ac:dyDescent="0.95">
      <c r="A562" s="36" t="str">
        <f>IF($AD562="","",IF($AD562="Z","รวมจ่ายทั้งสิ้น",IF($AD562="H",INDEX($X$5:$X$404,$AC562),IF($AD562="T","รวม",IF($AD562="B",IFERROR(INDEX(อัตราค่าขนส่ง!$U$5:$U$14,MATCH(INDEX($AM$5:$AM$404,$AC562),อัตราค่าขนส่ง!$T$5:$T$14,0)),"รวมกลุ่ม "&amp;INDEX($AM$5:$AM$404,$AC562)),INDEX($AY$5:$AY$404,$AC562))))))</f>
        <v/>
      </c>
      <c r="B562" s="31" t="str">
        <f t="shared" si="213"/>
        <v/>
      </c>
      <c r="C562" s="8" t="str">
        <f t="shared" si="214"/>
        <v/>
      </c>
      <c r="D562" s="37" t="str">
        <f t="shared" si="215"/>
        <v/>
      </c>
      <c r="E562" s="31" t="str">
        <f t="shared" si="216"/>
        <v/>
      </c>
      <c r="F562" s="32" t="str">
        <f t="shared" si="217"/>
        <v/>
      </c>
      <c r="G562" s="32" t="str">
        <f t="shared" si="218"/>
        <v/>
      </c>
      <c r="H562" s="32" t="str">
        <f t="shared" si="219"/>
        <v/>
      </c>
      <c r="I562" s="32" t="str">
        <f t="shared" si="220"/>
        <v/>
      </c>
      <c r="J562" s="46" t="str">
        <f t="shared" si="221"/>
        <v/>
      </c>
      <c r="K562" s="32" t="str">
        <f t="shared" si="222"/>
        <v/>
      </c>
      <c r="L562" s="32" t="str">
        <f t="shared" si="223"/>
        <v/>
      </c>
      <c r="M562" s="32" t="str">
        <f t="shared" si="224"/>
        <v/>
      </c>
      <c r="N562" s="32" t="str">
        <f t="shared" si="225"/>
        <v/>
      </c>
      <c r="O562" s="32" t="str">
        <f t="shared" si="226"/>
        <v/>
      </c>
      <c r="AC562" t="str">
        <f>IFERROR(MATCH(558,$AB$5:$AB$404,1),"")</f>
        <v/>
      </c>
      <c r="AD562" t="str">
        <f>IF(558=$AI$1+1,"Z",IF($AC562="","",IF(INDEX($V$5:$V$404,$AC562)="","",IF(558&gt;INDEX($AB$5:$AB$404,$AC562)+INDEX($Z$5:$Z$404,$AC562)+INDEX($AA$5:$AA$404,$AC562)+INDEX($AO$5:$AO$404,$AC562),"",IF(558=INDEX($AB$5:$AB$404,$AC562)+INDEX($Z$5:$Z$404,$AC562),"D",IF(AND(INDEX($Z$5:$Z$404,$AC562)=1,558=INDEX($AB$5:$AB$404,$AC562)),"H",IF(AND(INDEX($AO$5:$AO$404,$AC562)=1,558=INDEX($AB$5:$AB$404,$AC562)+INDEX($Z$5:$Z$404,$AC562)+INDEX($AA$5:$AA$404,$AC562)+INDEX($AO$5:$AO$404,$AC562)),"B","T")))))))</f>
        <v/>
      </c>
      <c r="AF562" t="str">
        <f t="shared" si="227"/>
        <v/>
      </c>
      <c r="AJ562">
        <f>IF($AD562&lt;&gt;"T",0,ROUND(SUMIF(oil!$B$4:$B$63,$AF562,oil!$AE$4:$AE$63),2))</f>
        <v>0</v>
      </c>
      <c r="AQ562" t="str">
        <f t="shared" si="228"/>
        <v/>
      </c>
      <c r="AZ562">
        <f t="shared" si="229"/>
        <v>0</v>
      </c>
    </row>
    <row r="563" spans="1:52" ht="21" customHeight="1" x14ac:dyDescent="0.95">
      <c r="A563" s="36" t="str">
        <f>IF($AD563="","",IF($AD563="Z","รวมจ่ายทั้งสิ้น",IF($AD563="H",INDEX($X$5:$X$404,$AC563),IF($AD563="T","รวม",IF($AD563="B",IFERROR(INDEX(อัตราค่าขนส่ง!$U$5:$U$14,MATCH(INDEX($AM$5:$AM$404,$AC563),อัตราค่าขนส่ง!$T$5:$T$14,0)),"รวมกลุ่ม "&amp;INDEX($AM$5:$AM$404,$AC563)),INDEX($AY$5:$AY$404,$AC563))))))</f>
        <v/>
      </c>
      <c r="B563" s="31" t="str">
        <f t="shared" si="213"/>
        <v/>
      </c>
      <c r="C563" s="8" t="str">
        <f t="shared" si="214"/>
        <v/>
      </c>
      <c r="D563" s="37" t="str">
        <f t="shared" si="215"/>
        <v/>
      </c>
      <c r="E563" s="31" t="str">
        <f t="shared" si="216"/>
        <v/>
      </c>
      <c r="F563" s="32" t="str">
        <f t="shared" si="217"/>
        <v/>
      </c>
      <c r="G563" s="32" t="str">
        <f t="shared" si="218"/>
        <v/>
      </c>
      <c r="H563" s="32" t="str">
        <f t="shared" si="219"/>
        <v/>
      </c>
      <c r="I563" s="32" t="str">
        <f t="shared" si="220"/>
        <v/>
      </c>
      <c r="J563" s="46" t="str">
        <f t="shared" si="221"/>
        <v/>
      </c>
      <c r="K563" s="32" t="str">
        <f t="shared" si="222"/>
        <v/>
      </c>
      <c r="L563" s="32" t="str">
        <f t="shared" si="223"/>
        <v/>
      </c>
      <c r="M563" s="32" t="str">
        <f t="shared" si="224"/>
        <v/>
      </c>
      <c r="N563" s="32" t="str">
        <f t="shared" si="225"/>
        <v/>
      </c>
      <c r="O563" s="32" t="str">
        <f t="shared" si="226"/>
        <v/>
      </c>
      <c r="AC563" t="str">
        <f>IFERROR(MATCH(559,$AB$5:$AB$404,1),"")</f>
        <v/>
      </c>
      <c r="AD563" t="str">
        <f>IF(559=$AI$1+1,"Z",IF($AC563="","",IF(INDEX($V$5:$V$404,$AC563)="","",IF(559&gt;INDEX($AB$5:$AB$404,$AC563)+INDEX($Z$5:$Z$404,$AC563)+INDEX($AA$5:$AA$404,$AC563)+INDEX($AO$5:$AO$404,$AC563),"",IF(559=INDEX($AB$5:$AB$404,$AC563)+INDEX($Z$5:$Z$404,$AC563),"D",IF(AND(INDEX($Z$5:$Z$404,$AC563)=1,559=INDEX($AB$5:$AB$404,$AC563)),"H",IF(AND(INDEX($AO$5:$AO$404,$AC563)=1,559=INDEX($AB$5:$AB$404,$AC563)+INDEX($Z$5:$Z$404,$AC563)+INDEX($AA$5:$AA$404,$AC563)+INDEX($AO$5:$AO$404,$AC563)),"B","T")))))))</f>
        <v/>
      </c>
      <c r="AF563" t="str">
        <f t="shared" si="227"/>
        <v/>
      </c>
      <c r="AJ563">
        <f>IF($AD563&lt;&gt;"T",0,ROUND(SUMIF(oil!$B$4:$B$63,$AF563,oil!$AE$4:$AE$63),2))</f>
        <v>0</v>
      </c>
      <c r="AQ563" t="str">
        <f t="shared" si="228"/>
        <v/>
      </c>
      <c r="AZ563">
        <f t="shared" si="229"/>
        <v>0</v>
      </c>
    </row>
    <row r="564" spans="1:52" ht="21" customHeight="1" x14ac:dyDescent="0.95">
      <c r="A564" s="36" t="str">
        <f>IF($AD564="","",IF($AD564="Z","รวมจ่ายทั้งสิ้น",IF($AD564="H",INDEX($X$5:$X$404,$AC564),IF($AD564="T","รวม",IF($AD564="B",IFERROR(INDEX(อัตราค่าขนส่ง!$U$5:$U$14,MATCH(INDEX($AM$5:$AM$404,$AC564),อัตราค่าขนส่ง!$T$5:$T$14,0)),"รวมกลุ่ม "&amp;INDEX($AM$5:$AM$404,$AC564)),INDEX($AY$5:$AY$404,$AC564))))))</f>
        <v/>
      </c>
      <c r="B564" s="31" t="str">
        <f t="shared" si="213"/>
        <v/>
      </c>
      <c r="C564" s="8" t="str">
        <f t="shared" si="214"/>
        <v/>
      </c>
      <c r="D564" s="37" t="str">
        <f t="shared" si="215"/>
        <v/>
      </c>
      <c r="E564" s="31" t="str">
        <f t="shared" si="216"/>
        <v/>
      </c>
      <c r="F564" s="32" t="str">
        <f t="shared" si="217"/>
        <v/>
      </c>
      <c r="G564" s="32" t="str">
        <f t="shared" si="218"/>
        <v/>
      </c>
      <c r="H564" s="32" t="str">
        <f t="shared" si="219"/>
        <v/>
      </c>
      <c r="I564" s="32" t="str">
        <f t="shared" si="220"/>
        <v/>
      </c>
      <c r="J564" s="46" t="str">
        <f t="shared" si="221"/>
        <v/>
      </c>
      <c r="K564" s="32" t="str">
        <f t="shared" si="222"/>
        <v/>
      </c>
      <c r="L564" s="32" t="str">
        <f t="shared" si="223"/>
        <v/>
      </c>
      <c r="M564" s="32" t="str">
        <f t="shared" si="224"/>
        <v/>
      </c>
      <c r="N564" s="32" t="str">
        <f t="shared" si="225"/>
        <v/>
      </c>
      <c r="O564" s="32" t="str">
        <f t="shared" si="226"/>
        <v/>
      </c>
      <c r="AC564" t="str">
        <f>IFERROR(MATCH(560,$AB$5:$AB$404,1),"")</f>
        <v/>
      </c>
      <c r="AD564" t="str">
        <f>IF(560=$AI$1+1,"Z",IF($AC564="","",IF(INDEX($V$5:$V$404,$AC564)="","",IF(560&gt;INDEX($AB$5:$AB$404,$AC564)+INDEX($Z$5:$Z$404,$AC564)+INDEX($AA$5:$AA$404,$AC564)+INDEX($AO$5:$AO$404,$AC564),"",IF(560=INDEX($AB$5:$AB$404,$AC564)+INDEX($Z$5:$Z$404,$AC564),"D",IF(AND(INDEX($Z$5:$Z$404,$AC564)=1,560=INDEX($AB$5:$AB$404,$AC564)),"H",IF(AND(INDEX($AO$5:$AO$404,$AC564)=1,560=INDEX($AB$5:$AB$404,$AC564)+INDEX($Z$5:$Z$404,$AC564)+INDEX($AA$5:$AA$404,$AC564)+INDEX($AO$5:$AO$404,$AC564)),"B","T")))))))</f>
        <v/>
      </c>
      <c r="AF564" t="str">
        <f t="shared" si="227"/>
        <v/>
      </c>
      <c r="AJ564">
        <f>IF($AD564&lt;&gt;"T",0,ROUND(SUMIF(oil!$B$4:$B$63,$AF564,oil!$AE$4:$AE$63),2))</f>
        <v>0</v>
      </c>
      <c r="AQ564" t="str">
        <f t="shared" si="228"/>
        <v/>
      </c>
      <c r="AZ564">
        <f t="shared" si="229"/>
        <v>0</v>
      </c>
    </row>
    <row r="565" spans="1:52" ht="21" customHeight="1" x14ac:dyDescent="0.95">
      <c r="A565" s="36" t="str">
        <f>IF($AD565="","",IF($AD565="Z","รวมจ่ายทั้งสิ้น",IF($AD565="H",INDEX($X$5:$X$404,$AC565),IF($AD565="T","รวม",IF($AD565="B",IFERROR(INDEX(อัตราค่าขนส่ง!$U$5:$U$14,MATCH(INDEX($AM$5:$AM$404,$AC565),อัตราค่าขนส่ง!$T$5:$T$14,0)),"รวมกลุ่ม "&amp;INDEX($AM$5:$AM$404,$AC565)),INDEX($AY$5:$AY$404,$AC565))))))</f>
        <v/>
      </c>
      <c r="B565" s="31" t="str">
        <f t="shared" si="213"/>
        <v/>
      </c>
      <c r="C565" s="8" t="str">
        <f t="shared" si="214"/>
        <v/>
      </c>
      <c r="D565" s="37" t="str">
        <f t="shared" si="215"/>
        <v/>
      </c>
      <c r="E565" s="31" t="str">
        <f t="shared" si="216"/>
        <v/>
      </c>
      <c r="F565" s="32" t="str">
        <f t="shared" si="217"/>
        <v/>
      </c>
      <c r="G565" s="32" t="str">
        <f t="shared" si="218"/>
        <v/>
      </c>
      <c r="H565" s="32" t="str">
        <f t="shared" si="219"/>
        <v/>
      </c>
      <c r="I565" s="32" t="str">
        <f t="shared" si="220"/>
        <v/>
      </c>
      <c r="J565" s="46" t="str">
        <f t="shared" si="221"/>
        <v/>
      </c>
      <c r="K565" s="32" t="str">
        <f t="shared" si="222"/>
        <v/>
      </c>
      <c r="L565" s="32" t="str">
        <f t="shared" si="223"/>
        <v/>
      </c>
      <c r="M565" s="32" t="str">
        <f t="shared" si="224"/>
        <v/>
      </c>
      <c r="N565" s="32" t="str">
        <f t="shared" si="225"/>
        <v/>
      </c>
      <c r="O565" s="32" t="str">
        <f t="shared" si="226"/>
        <v/>
      </c>
      <c r="AC565" t="str">
        <f>IFERROR(MATCH(561,$AB$5:$AB$404,1),"")</f>
        <v/>
      </c>
      <c r="AD565" t="str">
        <f>IF(561=$AI$1+1,"Z",IF($AC565="","",IF(INDEX($V$5:$V$404,$AC565)="","",IF(561&gt;INDEX($AB$5:$AB$404,$AC565)+INDEX($Z$5:$Z$404,$AC565)+INDEX($AA$5:$AA$404,$AC565)+INDEX($AO$5:$AO$404,$AC565),"",IF(561=INDEX($AB$5:$AB$404,$AC565)+INDEX($Z$5:$Z$404,$AC565),"D",IF(AND(INDEX($Z$5:$Z$404,$AC565)=1,561=INDEX($AB$5:$AB$404,$AC565)),"H",IF(AND(INDEX($AO$5:$AO$404,$AC565)=1,561=INDEX($AB$5:$AB$404,$AC565)+INDEX($Z$5:$Z$404,$AC565)+INDEX($AA$5:$AA$404,$AC565)+INDEX($AO$5:$AO$404,$AC565)),"B","T")))))))</f>
        <v/>
      </c>
      <c r="AF565" t="str">
        <f t="shared" si="227"/>
        <v/>
      </c>
      <c r="AJ565">
        <f>IF($AD565&lt;&gt;"T",0,ROUND(SUMIF(oil!$B$4:$B$63,$AF565,oil!$AE$4:$AE$63),2))</f>
        <v>0</v>
      </c>
      <c r="AQ565" t="str">
        <f t="shared" si="228"/>
        <v/>
      </c>
      <c r="AZ565">
        <f t="shared" si="229"/>
        <v>0</v>
      </c>
    </row>
    <row r="566" spans="1:52" ht="21" customHeight="1" x14ac:dyDescent="0.95">
      <c r="A566" s="36" t="str">
        <f>IF($AD566="","",IF($AD566="Z","รวมจ่ายทั้งสิ้น",IF($AD566="H",INDEX($X$5:$X$404,$AC566),IF($AD566="T","รวม",IF($AD566="B",IFERROR(INDEX(อัตราค่าขนส่ง!$U$5:$U$14,MATCH(INDEX($AM$5:$AM$404,$AC566),อัตราค่าขนส่ง!$T$5:$T$14,0)),"รวมกลุ่ม "&amp;INDEX($AM$5:$AM$404,$AC566)),INDEX($AY$5:$AY$404,$AC566))))))</f>
        <v/>
      </c>
      <c r="B566" s="31" t="str">
        <f t="shared" si="213"/>
        <v/>
      </c>
      <c r="C566" s="8" t="str">
        <f t="shared" si="214"/>
        <v/>
      </c>
      <c r="D566" s="37" t="str">
        <f t="shared" si="215"/>
        <v/>
      </c>
      <c r="E566" s="31" t="str">
        <f t="shared" si="216"/>
        <v/>
      </c>
      <c r="F566" s="32" t="str">
        <f t="shared" si="217"/>
        <v/>
      </c>
      <c r="G566" s="32" t="str">
        <f t="shared" si="218"/>
        <v/>
      </c>
      <c r="H566" s="32" t="str">
        <f t="shared" si="219"/>
        <v/>
      </c>
      <c r="I566" s="32" t="str">
        <f t="shared" si="220"/>
        <v/>
      </c>
      <c r="J566" s="46" t="str">
        <f t="shared" si="221"/>
        <v/>
      </c>
      <c r="K566" s="32" t="str">
        <f t="shared" si="222"/>
        <v/>
      </c>
      <c r="L566" s="32" t="str">
        <f t="shared" si="223"/>
        <v/>
      </c>
      <c r="M566" s="32" t="str">
        <f t="shared" si="224"/>
        <v/>
      </c>
      <c r="N566" s="32" t="str">
        <f t="shared" si="225"/>
        <v/>
      </c>
      <c r="O566" s="32" t="str">
        <f t="shared" si="226"/>
        <v/>
      </c>
      <c r="AC566" t="str">
        <f>IFERROR(MATCH(562,$AB$5:$AB$404,1),"")</f>
        <v/>
      </c>
      <c r="AD566" t="str">
        <f>IF(562=$AI$1+1,"Z",IF($AC566="","",IF(INDEX($V$5:$V$404,$AC566)="","",IF(562&gt;INDEX($AB$5:$AB$404,$AC566)+INDEX($Z$5:$Z$404,$AC566)+INDEX($AA$5:$AA$404,$AC566)+INDEX($AO$5:$AO$404,$AC566),"",IF(562=INDEX($AB$5:$AB$404,$AC566)+INDEX($Z$5:$Z$404,$AC566),"D",IF(AND(INDEX($Z$5:$Z$404,$AC566)=1,562=INDEX($AB$5:$AB$404,$AC566)),"H",IF(AND(INDEX($AO$5:$AO$404,$AC566)=1,562=INDEX($AB$5:$AB$404,$AC566)+INDEX($Z$5:$Z$404,$AC566)+INDEX($AA$5:$AA$404,$AC566)+INDEX($AO$5:$AO$404,$AC566)),"B","T")))))))</f>
        <v/>
      </c>
      <c r="AF566" t="str">
        <f t="shared" si="227"/>
        <v/>
      </c>
      <c r="AJ566">
        <f>IF($AD566&lt;&gt;"T",0,ROUND(SUMIF(oil!$B$4:$B$63,$AF566,oil!$AE$4:$AE$63),2))</f>
        <v>0</v>
      </c>
      <c r="AQ566" t="str">
        <f t="shared" si="228"/>
        <v/>
      </c>
      <c r="AZ566">
        <f t="shared" si="229"/>
        <v>0</v>
      </c>
    </row>
    <row r="567" spans="1:52" ht="21" customHeight="1" x14ac:dyDescent="0.95">
      <c r="A567" s="36" t="str">
        <f>IF($AD567="","",IF($AD567="Z","รวมจ่ายทั้งสิ้น",IF($AD567="H",INDEX($X$5:$X$404,$AC567),IF($AD567="T","รวม",IF($AD567="B",IFERROR(INDEX(อัตราค่าขนส่ง!$U$5:$U$14,MATCH(INDEX($AM$5:$AM$404,$AC567),อัตราค่าขนส่ง!$T$5:$T$14,0)),"รวมกลุ่ม "&amp;INDEX($AM$5:$AM$404,$AC567)),INDEX($AY$5:$AY$404,$AC567))))))</f>
        <v/>
      </c>
      <c r="B567" s="31" t="str">
        <f t="shared" si="213"/>
        <v/>
      </c>
      <c r="C567" s="8" t="str">
        <f t="shared" si="214"/>
        <v/>
      </c>
      <c r="D567" s="37" t="str">
        <f t="shared" si="215"/>
        <v/>
      </c>
      <c r="E567" s="31" t="str">
        <f t="shared" si="216"/>
        <v/>
      </c>
      <c r="F567" s="32" t="str">
        <f t="shared" si="217"/>
        <v/>
      </c>
      <c r="G567" s="32" t="str">
        <f t="shared" si="218"/>
        <v/>
      </c>
      <c r="H567" s="32" t="str">
        <f t="shared" si="219"/>
        <v/>
      </c>
      <c r="I567" s="32" t="str">
        <f t="shared" si="220"/>
        <v/>
      </c>
      <c r="J567" s="46" t="str">
        <f t="shared" si="221"/>
        <v/>
      </c>
      <c r="K567" s="32" t="str">
        <f t="shared" si="222"/>
        <v/>
      </c>
      <c r="L567" s="32" t="str">
        <f t="shared" si="223"/>
        <v/>
      </c>
      <c r="M567" s="32" t="str">
        <f t="shared" si="224"/>
        <v/>
      </c>
      <c r="N567" s="32" t="str">
        <f t="shared" si="225"/>
        <v/>
      </c>
      <c r="O567" s="32" t="str">
        <f t="shared" si="226"/>
        <v/>
      </c>
      <c r="AC567" t="str">
        <f>IFERROR(MATCH(563,$AB$5:$AB$404,1),"")</f>
        <v/>
      </c>
      <c r="AD567" t="str">
        <f>IF(563=$AI$1+1,"Z",IF($AC567="","",IF(INDEX($V$5:$V$404,$AC567)="","",IF(563&gt;INDEX($AB$5:$AB$404,$AC567)+INDEX($Z$5:$Z$404,$AC567)+INDEX($AA$5:$AA$404,$AC567)+INDEX($AO$5:$AO$404,$AC567),"",IF(563=INDEX($AB$5:$AB$404,$AC567)+INDEX($Z$5:$Z$404,$AC567),"D",IF(AND(INDEX($Z$5:$Z$404,$AC567)=1,563=INDEX($AB$5:$AB$404,$AC567)),"H",IF(AND(INDEX($AO$5:$AO$404,$AC567)=1,563=INDEX($AB$5:$AB$404,$AC567)+INDEX($Z$5:$Z$404,$AC567)+INDEX($AA$5:$AA$404,$AC567)+INDEX($AO$5:$AO$404,$AC567)),"B","T")))))))</f>
        <v/>
      </c>
      <c r="AF567" t="str">
        <f t="shared" si="227"/>
        <v/>
      </c>
      <c r="AJ567">
        <f>IF($AD567&lt;&gt;"T",0,ROUND(SUMIF(oil!$B$4:$B$63,$AF567,oil!$AE$4:$AE$63),2))</f>
        <v>0</v>
      </c>
      <c r="AQ567" t="str">
        <f t="shared" si="228"/>
        <v/>
      </c>
      <c r="AZ567">
        <f t="shared" si="229"/>
        <v>0</v>
      </c>
    </row>
    <row r="568" spans="1:52" ht="21" customHeight="1" x14ac:dyDescent="0.95">
      <c r="A568" s="36" t="str">
        <f>IF($AD568="","",IF($AD568="Z","รวมจ่ายทั้งสิ้น",IF($AD568="H",INDEX($X$5:$X$404,$AC568),IF($AD568="T","รวม",IF($AD568="B",IFERROR(INDEX(อัตราค่าขนส่ง!$U$5:$U$14,MATCH(INDEX($AM$5:$AM$404,$AC568),อัตราค่าขนส่ง!$T$5:$T$14,0)),"รวมกลุ่ม "&amp;INDEX($AM$5:$AM$404,$AC568)),INDEX($AY$5:$AY$404,$AC568))))))</f>
        <v/>
      </c>
      <c r="B568" s="31" t="str">
        <f t="shared" si="213"/>
        <v/>
      </c>
      <c r="C568" s="8" t="str">
        <f t="shared" si="214"/>
        <v/>
      </c>
      <c r="D568" s="37" t="str">
        <f t="shared" si="215"/>
        <v/>
      </c>
      <c r="E568" s="31" t="str">
        <f t="shared" si="216"/>
        <v/>
      </c>
      <c r="F568" s="32" t="str">
        <f t="shared" si="217"/>
        <v/>
      </c>
      <c r="G568" s="32" t="str">
        <f t="shared" si="218"/>
        <v/>
      </c>
      <c r="H568" s="32" t="str">
        <f t="shared" si="219"/>
        <v/>
      </c>
      <c r="I568" s="32" t="str">
        <f t="shared" si="220"/>
        <v/>
      </c>
      <c r="J568" s="46" t="str">
        <f t="shared" si="221"/>
        <v/>
      </c>
      <c r="K568" s="32" t="str">
        <f t="shared" si="222"/>
        <v/>
      </c>
      <c r="L568" s="32" t="str">
        <f t="shared" si="223"/>
        <v/>
      </c>
      <c r="M568" s="32" t="str">
        <f t="shared" si="224"/>
        <v/>
      </c>
      <c r="N568" s="32" t="str">
        <f t="shared" si="225"/>
        <v/>
      </c>
      <c r="O568" s="32" t="str">
        <f t="shared" si="226"/>
        <v/>
      </c>
      <c r="AC568" t="str">
        <f>IFERROR(MATCH(564,$AB$5:$AB$404,1),"")</f>
        <v/>
      </c>
      <c r="AD568" t="str">
        <f>IF(564=$AI$1+1,"Z",IF($AC568="","",IF(INDEX($V$5:$V$404,$AC568)="","",IF(564&gt;INDEX($AB$5:$AB$404,$AC568)+INDEX($Z$5:$Z$404,$AC568)+INDEX($AA$5:$AA$404,$AC568)+INDEX($AO$5:$AO$404,$AC568),"",IF(564=INDEX($AB$5:$AB$404,$AC568)+INDEX($Z$5:$Z$404,$AC568),"D",IF(AND(INDEX($Z$5:$Z$404,$AC568)=1,564=INDEX($AB$5:$AB$404,$AC568)),"H",IF(AND(INDEX($AO$5:$AO$404,$AC568)=1,564=INDEX($AB$5:$AB$404,$AC568)+INDEX($Z$5:$Z$404,$AC568)+INDEX($AA$5:$AA$404,$AC568)+INDEX($AO$5:$AO$404,$AC568)),"B","T")))))))</f>
        <v/>
      </c>
      <c r="AF568" t="str">
        <f t="shared" si="227"/>
        <v/>
      </c>
      <c r="AJ568">
        <f>IF($AD568&lt;&gt;"T",0,ROUND(SUMIF(oil!$B$4:$B$63,$AF568,oil!$AE$4:$AE$63),2))</f>
        <v>0</v>
      </c>
      <c r="AQ568" t="str">
        <f t="shared" si="228"/>
        <v/>
      </c>
      <c r="AZ568">
        <f t="shared" si="229"/>
        <v>0</v>
      </c>
    </row>
    <row r="569" spans="1:52" ht="21" customHeight="1" x14ac:dyDescent="0.95">
      <c r="A569" s="36" t="str">
        <f>IF($AD569="","",IF($AD569="Z","รวมจ่ายทั้งสิ้น",IF($AD569="H",INDEX($X$5:$X$404,$AC569),IF($AD569="T","รวม",IF($AD569="B",IFERROR(INDEX(อัตราค่าขนส่ง!$U$5:$U$14,MATCH(INDEX($AM$5:$AM$404,$AC569),อัตราค่าขนส่ง!$T$5:$T$14,0)),"รวมกลุ่ม "&amp;INDEX($AM$5:$AM$404,$AC569)),INDEX($AY$5:$AY$404,$AC569))))))</f>
        <v/>
      </c>
      <c r="B569" s="31" t="str">
        <f t="shared" si="213"/>
        <v/>
      </c>
      <c r="C569" s="8" t="str">
        <f t="shared" si="214"/>
        <v/>
      </c>
      <c r="D569" s="37" t="str">
        <f t="shared" si="215"/>
        <v/>
      </c>
      <c r="E569" s="31" t="str">
        <f t="shared" si="216"/>
        <v/>
      </c>
      <c r="F569" s="32" t="str">
        <f t="shared" si="217"/>
        <v/>
      </c>
      <c r="G569" s="32" t="str">
        <f t="shared" si="218"/>
        <v/>
      </c>
      <c r="H569" s="32" t="str">
        <f t="shared" si="219"/>
        <v/>
      </c>
      <c r="I569" s="32" t="str">
        <f t="shared" si="220"/>
        <v/>
      </c>
      <c r="J569" s="46" t="str">
        <f t="shared" si="221"/>
        <v/>
      </c>
      <c r="K569" s="32" t="str">
        <f t="shared" si="222"/>
        <v/>
      </c>
      <c r="L569" s="32" t="str">
        <f t="shared" si="223"/>
        <v/>
      </c>
      <c r="M569" s="32" t="str">
        <f t="shared" si="224"/>
        <v/>
      </c>
      <c r="N569" s="32" t="str">
        <f t="shared" si="225"/>
        <v/>
      </c>
      <c r="O569" s="32" t="str">
        <f t="shared" si="226"/>
        <v/>
      </c>
      <c r="AC569" t="str">
        <f>IFERROR(MATCH(565,$AB$5:$AB$404,1),"")</f>
        <v/>
      </c>
      <c r="AD569" t="str">
        <f>IF(565=$AI$1+1,"Z",IF($AC569="","",IF(INDEX($V$5:$V$404,$AC569)="","",IF(565&gt;INDEX($AB$5:$AB$404,$AC569)+INDEX($Z$5:$Z$404,$AC569)+INDEX($AA$5:$AA$404,$AC569)+INDEX($AO$5:$AO$404,$AC569),"",IF(565=INDEX($AB$5:$AB$404,$AC569)+INDEX($Z$5:$Z$404,$AC569),"D",IF(AND(INDEX($Z$5:$Z$404,$AC569)=1,565=INDEX($AB$5:$AB$404,$AC569)),"H",IF(AND(INDEX($AO$5:$AO$404,$AC569)=1,565=INDEX($AB$5:$AB$404,$AC569)+INDEX($Z$5:$Z$404,$AC569)+INDEX($AA$5:$AA$404,$AC569)+INDEX($AO$5:$AO$404,$AC569)),"B","T")))))))</f>
        <v/>
      </c>
      <c r="AF569" t="str">
        <f t="shared" si="227"/>
        <v/>
      </c>
      <c r="AJ569">
        <f>IF($AD569&lt;&gt;"T",0,ROUND(SUMIF(oil!$B$4:$B$63,$AF569,oil!$AE$4:$AE$63),2))</f>
        <v>0</v>
      </c>
      <c r="AQ569" t="str">
        <f t="shared" si="228"/>
        <v/>
      </c>
      <c r="AZ569">
        <f t="shared" si="229"/>
        <v>0</v>
      </c>
    </row>
    <row r="570" spans="1:52" ht="21" customHeight="1" x14ac:dyDescent="0.95">
      <c r="A570" s="36" t="str">
        <f>IF($AD570="","",IF($AD570="Z","รวมจ่ายทั้งสิ้น",IF($AD570="H",INDEX($X$5:$X$404,$AC570),IF($AD570="T","รวม",IF($AD570="B",IFERROR(INDEX(อัตราค่าขนส่ง!$U$5:$U$14,MATCH(INDEX($AM$5:$AM$404,$AC570),อัตราค่าขนส่ง!$T$5:$T$14,0)),"รวมกลุ่ม "&amp;INDEX($AM$5:$AM$404,$AC570)),INDEX($AY$5:$AY$404,$AC570))))))</f>
        <v/>
      </c>
      <c r="B570" s="31" t="str">
        <f t="shared" si="213"/>
        <v/>
      </c>
      <c r="C570" s="8" t="str">
        <f t="shared" si="214"/>
        <v/>
      </c>
      <c r="D570" s="37" t="str">
        <f t="shared" si="215"/>
        <v/>
      </c>
      <c r="E570" s="31" t="str">
        <f t="shared" si="216"/>
        <v/>
      </c>
      <c r="F570" s="32" t="str">
        <f t="shared" si="217"/>
        <v/>
      </c>
      <c r="G570" s="32" t="str">
        <f t="shared" si="218"/>
        <v/>
      </c>
      <c r="H570" s="32" t="str">
        <f t="shared" si="219"/>
        <v/>
      </c>
      <c r="I570" s="32" t="str">
        <f t="shared" si="220"/>
        <v/>
      </c>
      <c r="J570" s="46" t="str">
        <f t="shared" si="221"/>
        <v/>
      </c>
      <c r="K570" s="32" t="str">
        <f t="shared" si="222"/>
        <v/>
      </c>
      <c r="L570" s="32" t="str">
        <f t="shared" si="223"/>
        <v/>
      </c>
      <c r="M570" s="32" t="str">
        <f t="shared" si="224"/>
        <v/>
      </c>
      <c r="N570" s="32" t="str">
        <f t="shared" si="225"/>
        <v/>
      </c>
      <c r="O570" s="32" t="str">
        <f t="shared" si="226"/>
        <v/>
      </c>
      <c r="AC570" t="str">
        <f>IFERROR(MATCH(566,$AB$5:$AB$404,1),"")</f>
        <v/>
      </c>
      <c r="AD570" t="str">
        <f>IF(566=$AI$1+1,"Z",IF($AC570="","",IF(INDEX($V$5:$V$404,$AC570)="","",IF(566&gt;INDEX($AB$5:$AB$404,$AC570)+INDEX($Z$5:$Z$404,$AC570)+INDEX($AA$5:$AA$404,$AC570)+INDEX($AO$5:$AO$404,$AC570),"",IF(566=INDEX($AB$5:$AB$404,$AC570)+INDEX($Z$5:$Z$404,$AC570),"D",IF(AND(INDEX($Z$5:$Z$404,$AC570)=1,566=INDEX($AB$5:$AB$404,$AC570)),"H",IF(AND(INDEX($AO$5:$AO$404,$AC570)=1,566=INDEX($AB$5:$AB$404,$AC570)+INDEX($Z$5:$Z$404,$AC570)+INDEX($AA$5:$AA$404,$AC570)+INDEX($AO$5:$AO$404,$AC570)),"B","T")))))))</f>
        <v/>
      </c>
      <c r="AF570" t="str">
        <f t="shared" si="227"/>
        <v/>
      </c>
      <c r="AJ570">
        <f>IF($AD570&lt;&gt;"T",0,ROUND(SUMIF(oil!$B$4:$B$63,$AF570,oil!$AE$4:$AE$63),2))</f>
        <v>0</v>
      </c>
      <c r="AQ570" t="str">
        <f t="shared" si="228"/>
        <v/>
      </c>
      <c r="AZ570">
        <f t="shared" si="229"/>
        <v>0</v>
      </c>
    </row>
    <row r="571" spans="1:52" ht="21" customHeight="1" x14ac:dyDescent="0.95">
      <c r="A571" s="36" t="str">
        <f>IF($AD571="","",IF($AD571="Z","รวมจ่ายทั้งสิ้น",IF($AD571="H",INDEX($X$5:$X$404,$AC571),IF($AD571="T","รวม",IF($AD571="B",IFERROR(INDEX(อัตราค่าขนส่ง!$U$5:$U$14,MATCH(INDEX($AM$5:$AM$404,$AC571),อัตราค่าขนส่ง!$T$5:$T$14,0)),"รวมกลุ่ม "&amp;INDEX($AM$5:$AM$404,$AC571)),INDEX($AY$5:$AY$404,$AC571))))))</f>
        <v/>
      </c>
      <c r="B571" s="31" t="str">
        <f t="shared" si="213"/>
        <v/>
      </c>
      <c r="C571" s="8" t="str">
        <f t="shared" si="214"/>
        <v/>
      </c>
      <c r="D571" s="37" t="str">
        <f t="shared" si="215"/>
        <v/>
      </c>
      <c r="E571" s="31" t="str">
        <f t="shared" si="216"/>
        <v/>
      </c>
      <c r="F571" s="32" t="str">
        <f t="shared" si="217"/>
        <v/>
      </c>
      <c r="G571" s="32" t="str">
        <f t="shared" si="218"/>
        <v/>
      </c>
      <c r="H571" s="32" t="str">
        <f t="shared" si="219"/>
        <v/>
      </c>
      <c r="I571" s="32" t="str">
        <f t="shared" si="220"/>
        <v/>
      </c>
      <c r="J571" s="46" t="str">
        <f t="shared" si="221"/>
        <v/>
      </c>
      <c r="K571" s="32" t="str">
        <f t="shared" si="222"/>
        <v/>
      </c>
      <c r="L571" s="32" t="str">
        <f t="shared" si="223"/>
        <v/>
      </c>
      <c r="M571" s="32" t="str">
        <f t="shared" si="224"/>
        <v/>
      </c>
      <c r="N571" s="32" t="str">
        <f t="shared" si="225"/>
        <v/>
      </c>
      <c r="O571" s="32" t="str">
        <f t="shared" si="226"/>
        <v/>
      </c>
      <c r="AC571" t="str">
        <f>IFERROR(MATCH(567,$AB$5:$AB$404,1),"")</f>
        <v/>
      </c>
      <c r="AD571" t="str">
        <f>IF(567=$AI$1+1,"Z",IF($AC571="","",IF(INDEX($V$5:$V$404,$AC571)="","",IF(567&gt;INDEX($AB$5:$AB$404,$AC571)+INDEX($Z$5:$Z$404,$AC571)+INDEX($AA$5:$AA$404,$AC571)+INDEX($AO$5:$AO$404,$AC571),"",IF(567=INDEX($AB$5:$AB$404,$AC571)+INDEX($Z$5:$Z$404,$AC571),"D",IF(AND(INDEX($Z$5:$Z$404,$AC571)=1,567=INDEX($AB$5:$AB$404,$AC571)),"H",IF(AND(INDEX($AO$5:$AO$404,$AC571)=1,567=INDEX($AB$5:$AB$404,$AC571)+INDEX($Z$5:$Z$404,$AC571)+INDEX($AA$5:$AA$404,$AC571)+INDEX($AO$5:$AO$404,$AC571)),"B","T")))))))</f>
        <v/>
      </c>
      <c r="AF571" t="str">
        <f t="shared" si="227"/>
        <v/>
      </c>
      <c r="AJ571">
        <f>IF($AD571&lt;&gt;"T",0,ROUND(SUMIF(oil!$B$4:$B$63,$AF571,oil!$AE$4:$AE$63),2))</f>
        <v>0</v>
      </c>
      <c r="AQ571" t="str">
        <f t="shared" si="228"/>
        <v/>
      </c>
      <c r="AZ571">
        <f t="shared" si="229"/>
        <v>0</v>
      </c>
    </row>
    <row r="572" spans="1:52" ht="21" customHeight="1" x14ac:dyDescent="0.95">
      <c r="A572" s="36" t="str">
        <f>IF($AD572="","",IF($AD572="Z","รวมจ่ายทั้งสิ้น",IF($AD572="H",INDEX($X$5:$X$404,$AC572),IF($AD572="T","รวม",IF($AD572="B",IFERROR(INDEX(อัตราค่าขนส่ง!$U$5:$U$14,MATCH(INDEX($AM$5:$AM$404,$AC572),อัตราค่าขนส่ง!$T$5:$T$14,0)),"รวมกลุ่ม "&amp;INDEX($AM$5:$AM$404,$AC572)),INDEX($AY$5:$AY$404,$AC572))))))</f>
        <v/>
      </c>
      <c r="B572" s="31" t="str">
        <f t="shared" si="213"/>
        <v/>
      </c>
      <c r="C572" s="8" t="str">
        <f t="shared" si="214"/>
        <v/>
      </c>
      <c r="D572" s="37" t="str">
        <f t="shared" si="215"/>
        <v/>
      </c>
      <c r="E572" s="31" t="str">
        <f t="shared" si="216"/>
        <v/>
      </c>
      <c r="F572" s="32" t="str">
        <f t="shared" si="217"/>
        <v/>
      </c>
      <c r="G572" s="32" t="str">
        <f t="shared" si="218"/>
        <v/>
      </c>
      <c r="H572" s="32" t="str">
        <f t="shared" si="219"/>
        <v/>
      </c>
      <c r="I572" s="32" t="str">
        <f t="shared" si="220"/>
        <v/>
      </c>
      <c r="J572" s="46" t="str">
        <f t="shared" si="221"/>
        <v/>
      </c>
      <c r="K572" s="32" t="str">
        <f t="shared" si="222"/>
        <v/>
      </c>
      <c r="L572" s="32" t="str">
        <f t="shared" si="223"/>
        <v/>
      </c>
      <c r="M572" s="32" t="str">
        <f t="shared" si="224"/>
        <v/>
      </c>
      <c r="N572" s="32" t="str">
        <f t="shared" si="225"/>
        <v/>
      </c>
      <c r="O572" s="32" t="str">
        <f t="shared" si="226"/>
        <v/>
      </c>
      <c r="AC572" t="str">
        <f>IFERROR(MATCH(568,$AB$5:$AB$404,1),"")</f>
        <v/>
      </c>
      <c r="AD572" t="str">
        <f>IF(568=$AI$1+1,"Z",IF($AC572="","",IF(INDEX($V$5:$V$404,$AC572)="","",IF(568&gt;INDEX($AB$5:$AB$404,$AC572)+INDEX($Z$5:$Z$404,$AC572)+INDEX($AA$5:$AA$404,$AC572)+INDEX($AO$5:$AO$404,$AC572),"",IF(568=INDEX($AB$5:$AB$404,$AC572)+INDEX($Z$5:$Z$404,$AC572),"D",IF(AND(INDEX($Z$5:$Z$404,$AC572)=1,568=INDEX($AB$5:$AB$404,$AC572)),"H",IF(AND(INDEX($AO$5:$AO$404,$AC572)=1,568=INDEX($AB$5:$AB$404,$AC572)+INDEX($Z$5:$Z$404,$AC572)+INDEX($AA$5:$AA$404,$AC572)+INDEX($AO$5:$AO$404,$AC572)),"B","T")))))))</f>
        <v/>
      </c>
      <c r="AF572" t="str">
        <f t="shared" si="227"/>
        <v/>
      </c>
      <c r="AJ572">
        <f>IF($AD572&lt;&gt;"T",0,ROUND(SUMIF(oil!$B$4:$B$63,$AF572,oil!$AE$4:$AE$63),2))</f>
        <v>0</v>
      </c>
      <c r="AQ572" t="str">
        <f t="shared" si="228"/>
        <v/>
      </c>
      <c r="AZ572">
        <f t="shared" si="229"/>
        <v>0</v>
      </c>
    </row>
    <row r="573" spans="1:52" ht="21" customHeight="1" x14ac:dyDescent="0.95">
      <c r="A573" s="36" t="str">
        <f>IF($AD573="","",IF($AD573="Z","รวมจ่ายทั้งสิ้น",IF($AD573="H",INDEX($X$5:$X$404,$AC573),IF($AD573="T","รวม",IF($AD573="B",IFERROR(INDEX(อัตราค่าขนส่ง!$U$5:$U$14,MATCH(INDEX($AM$5:$AM$404,$AC573),อัตราค่าขนส่ง!$T$5:$T$14,0)),"รวมกลุ่ม "&amp;INDEX($AM$5:$AM$404,$AC573)),INDEX($AY$5:$AY$404,$AC573))))))</f>
        <v/>
      </c>
      <c r="B573" s="31" t="str">
        <f t="shared" si="213"/>
        <v/>
      </c>
      <c r="C573" s="8" t="str">
        <f t="shared" si="214"/>
        <v/>
      </c>
      <c r="D573" s="37" t="str">
        <f t="shared" si="215"/>
        <v/>
      </c>
      <c r="E573" s="31" t="str">
        <f t="shared" si="216"/>
        <v/>
      </c>
      <c r="F573" s="32" t="str">
        <f t="shared" si="217"/>
        <v/>
      </c>
      <c r="G573" s="32" t="str">
        <f t="shared" si="218"/>
        <v/>
      </c>
      <c r="H573" s="32" t="str">
        <f t="shared" si="219"/>
        <v/>
      </c>
      <c r="I573" s="32" t="str">
        <f t="shared" si="220"/>
        <v/>
      </c>
      <c r="J573" s="46" t="str">
        <f t="shared" si="221"/>
        <v/>
      </c>
      <c r="K573" s="32" t="str">
        <f t="shared" si="222"/>
        <v/>
      </c>
      <c r="L573" s="32" t="str">
        <f t="shared" si="223"/>
        <v/>
      </c>
      <c r="M573" s="32" t="str">
        <f t="shared" si="224"/>
        <v/>
      </c>
      <c r="N573" s="32" t="str">
        <f t="shared" si="225"/>
        <v/>
      </c>
      <c r="O573" s="32" t="str">
        <f t="shared" si="226"/>
        <v/>
      </c>
      <c r="AC573" t="str">
        <f>IFERROR(MATCH(569,$AB$5:$AB$404,1),"")</f>
        <v/>
      </c>
      <c r="AD573" t="str">
        <f>IF(569=$AI$1+1,"Z",IF($AC573="","",IF(INDEX($V$5:$V$404,$AC573)="","",IF(569&gt;INDEX($AB$5:$AB$404,$AC573)+INDEX($Z$5:$Z$404,$AC573)+INDEX($AA$5:$AA$404,$AC573)+INDEX($AO$5:$AO$404,$AC573),"",IF(569=INDEX($AB$5:$AB$404,$AC573)+INDEX($Z$5:$Z$404,$AC573),"D",IF(AND(INDEX($Z$5:$Z$404,$AC573)=1,569=INDEX($AB$5:$AB$404,$AC573)),"H",IF(AND(INDEX($AO$5:$AO$404,$AC573)=1,569=INDEX($AB$5:$AB$404,$AC573)+INDEX($Z$5:$Z$404,$AC573)+INDEX($AA$5:$AA$404,$AC573)+INDEX($AO$5:$AO$404,$AC573)),"B","T")))))))</f>
        <v/>
      </c>
      <c r="AF573" t="str">
        <f t="shared" si="227"/>
        <v/>
      </c>
      <c r="AJ573">
        <f>IF($AD573&lt;&gt;"T",0,ROUND(SUMIF(oil!$B$4:$B$63,$AF573,oil!$AE$4:$AE$63),2))</f>
        <v>0</v>
      </c>
      <c r="AQ573" t="str">
        <f t="shared" si="228"/>
        <v/>
      </c>
      <c r="AZ573">
        <f t="shared" si="229"/>
        <v>0</v>
      </c>
    </row>
    <row r="574" spans="1:52" ht="21" customHeight="1" x14ac:dyDescent="0.95">
      <c r="A574" s="36" t="str">
        <f>IF($AD574="","",IF($AD574="Z","รวมจ่ายทั้งสิ้น",IF($AD574="H",INDEX($X$5:$X$404,$AC574),IF($AD574="T","รวม",IF($AD574="B",IFERROR(INDEX(อัตราค่าขนส่ง!$U$5:$U$14,MATCH(INDEX($AM$5:$AM$404,$AC574),อัตราค่าขนส่ง!$T$5:$T$14,0)),"รวมกลุ่ม "&amp;INDEX($AM$5:$AM$404,$AC574)),INDEX($AY$5:$AY$404,$AC574))))))</f>
        <v/>
      </c>
      <c r="B574" s="31" t="str">
        <f t="shared" si="213"/>
        <v/>
      </c>
      <c r="C574" s="8" t="str">
        <f t="shared" si="214"/>
        <v/>
      </c>
      <c r="D574" s="37" t="str">
        <f t="shared" si="215"/>
        <v/>
      </c>
      <c r="E574" s="31" t="str">
        <f t="shared" si="216"/>
        <v/>
      </c>
      <c r="F574" s="32" t="str">
        <f t="shared" si="217"/>
        <v/>
      </c>
      <c r="G574" s="32" t="str">
        <f t="shared" si="218"/>
        <v/>
      </c>
      <c r="H574" s="32" t="str">
        <f t="shared" si="219"/>
        <v/>
      </c>
      <c r="I574" s="32" t="str">
        <f t="shared" si="220"/>
        <v/>
      </c>
      <c r="J574" s="46" t="str">
        <f t="shared" si="221"/>
        <v/>
      </c>
      <c r="K574" s="32" t="str">
        <f t="shared" si="222"/>
        <v/>
      </c>
      <c r="L574" s="32" t="str">
        <f t="shared" si="223"/>
        <v/>
      </c>
      <c r="M574" s="32" t="str">
        <f t="shared" si="224"/>
        <v/>
      </c>
      <c r="N574" s="32" t="str">
        <f t="shared" si="225"/>
        <v/>
      </c>
      <c r="O574" s="32" t="str">
        <f t="shared" si="226"/>
        <v/>
      </c>
      <c r="AC574" t="str">
        <f>IFERROR(MATCH(570,$AB$5:$AB$404,1),"")</f>
        <v/>
      </c>
      <c r="AD574" t="str">
        <f>IF(570=$AI$1+1,"Z",IF($AC574="","",IF(INDEX($V$5:$V$404,$AC574)="","",IF(570&gt;INDEX($AB$5:$AB$404,$AC574)+INDEX($Z$5:$Z$404,$AC574)+INDEX($AA$5:$AA$404,$AC574)+INDEX($AO$5:$AO$404,$AC574),"",IF(570=INDEX($AB$5:$AB$404,$AC574)+INDEX($Z$5:$Z$404,$AC574),"D",IF(AND(INDEX($Z$5:$Z$404,$AC574)=1,570=INDEX($AB$5:$AB$404,$AC574)),"H",IF(AND(INDEX($AO$5:$AO$404,$AC574)=1,570=INDEX($AB$5:$AB$404,$AC574)+INDEX($Z$5:$Z$404,$AC574)+INDEX($AA$5:$AA$404,$AC574)+INDEX($AO$5:$AO$404,$AC574)),"B","T")))))))</f>
        <v/>
      </c>
      <c r="AF574" t="str">
        <f t="shared" si="227"/>
        <v/>
      </c>
      <c r="AJ574">
        <f>IF($AD574&lt;&gt;"T",0,ROUND(SUMIF(oil!$B$4:$B$63,$AF574,oil!$AE$4:$AE$63),2))</f>
        <v>0</v>
      </c>
      <c r="AQ574" t="str">
        <f t="shared" si="228"/>
        <v/>
      </c>
      <c r="AZ574">
        <f t="shared" si="229"/>
        <v>0</v>
      </c>
    </row>
    <row r="575" spans="1:52" ht="21" customHeight="1" x14ac:dyDescent="0.95">
      <c r="A575" s="36" t="str">
        <f>IF($AD575="","",IF($AD575="Z","รวมจ่ายทั้งสิ้น",IF($AD575="H",INDEX($X$5:$X$404,$AC575),IF($AD575="T","รวม",IF($AD575="B",IFERROR(INDEX(อัตราค่าขนส่ง!$U$5:$U$14,MATCH(INDEX($AM$5:$AM$404,$AC575),อัตราค่าขนส่ง!$T$5:$T$14,0)),"รวมกลุ่ม "&amp;INDEX($AM$5:$AM$404,$AC575)),INDEX($AY$5:$AY$404,$AC575))))))</f>
        <v/>
      </c>
      <c r="B575" s="31" t="str">
        <f t="shared" si="213"/>
        <v/>
      </c>
      <c r="C575" s="8" t="str">
        <f t="shared" si="214"/>
        <v/>
      </c>
      <c r="D575" s="37" t="str">
        <f t="shared" si="215"/>
        <v/>
      </c>
      <c r="E575" s="31" t="str">
        <f t="shared" si="216"/>
        <v/>
      </c>
      <c r="F575" s="32" t="str">
        <f t="shared" si="217"/>
        <v/>
      </c>
      <c r="G575" s="32" t="str">
        <f t="shared" si="218"/>
        <v/>
      </c>
      <c r="H575" s="32" t="str">
        <f t="shared" si="219"/>
        <v/>
      </c>
      <c r="I575" s="32" t="str">
        <f t="shared" si="220"/>
        <v/>
      </c>
      <c r="J575" s="46" t="str">
        <f t="shared" si="221"/>
        <v/>
      </c>
      <c r="K575" s="32" t="str">
        <f t="shared" si="222"/>
        <v/>
      </c>
      <c r="L575" s="32" t="str">
        <f t="shared" si="223"/>
        <v/>
      </c>
      <c r="M575" s="32" t="str">
        <f t="shared" si="224"/>
        <v/>
      </c>
      <c r="N575" s="32" t="str">
        <f t="shared" si="225"/>
        <v/>
      </c>
      <c r="O575" s="32" t="str">
        <f t="shared" si="226"/>
        <v/>
      </c>
      <c r="AC575" t="str">
        <f>IFERROR(MATCH(571,$AB$5:$AB$404,1),"")</f>
        <v/>
      </c>
      <c r="AD575" t="str">
        <f>IF(571=$AI$1+1,"Z",IF($AC575="","",IF(INDEX($V$5:$V$404,$AC575)="","",IF(571&gt;INDEX($AB$5:$AB$404,$AC575)+INDEX($Z$5:$Z$404,$AC575)+INDEX($AA$5:$AA$404,$AC575)+INDEX($AO$5:$AO$404,$AC575),"",IF(571=INDEX($AB$5:$AB$404,$AC575)+INDEX($Z$5:$Z$404,$AC575),"D",IF(AND(INDEX($Z$5:$Z$404,$AC575)=1,571=INDEX($AB$5:$AB$404,$AC575)),"H",IF(AND(INDEX($AO$5:$AO$404,$AC575)=1,571=INDEX($AB$5:$AB$404,$AC575)+INDEX($Z$5:$Z$404,$AC575)+INDEX($AA$5:$AA$404,$AC575)+INDEX($AO$5:$AO$404,$AC575)),"B","T")))))))</f>
        <v/>
      </c>
      <c r="AF575" t="str">
        <f t="shared" si="227"/>
        <v/>
      </c>
      <c r="AJ575">
        <f>IF($AD575&lt;&gt;"T",0,ROUND(SUMIF(oil!$B$4:$B$63,$AF575,oil!$AE$4:$AE$63),2))</f>
        <v>0</v>
      </c>
      <c r="AQ575" t="str">
        <f t="shared" si="228"/>
        <v/>
      </c>
      <c r="AZ575">
        <f t="shared" si="229"/>
        <v>0</v>
      </c>
    </row>
    <row r="576" spans="1:52" ht="21" customHeight="1" x14ac:dyDescent="0.95">
      <c r="A576" s="36" t="str">
        <f>IF($AD576="","",IF($AD576="Z","รวมจ่ายทั้งสิ้น",IF($AD576="H",INDEX($X$5:$X$404,$AC576),IF($AD576="T","รวม",IF($AD576="B",IFERROR(INDEX(อัตราค่าขนส่ง!$U$5:$U$14,MATCH(INDEX($AM$5:$AM$404,$AC576),อัตราค่าขนส่ง!$T$5:$T$14,0)),"รวมกลุ่ม "&amp;INDEX($AM$5:$AM$404,$AC576)),INDEX($AY$5:$AY$404,$AC576))))))</f>
        <v/>
      </c>
      <c r="B576" s="31" t="str">
        <f t="shared" si="213"/>
        <v/>
      </c>
      <c r="C576" s="8" t="str">
        <f t="shared" si="214"/>
        <v/>
      </c>
      <c r="D576" s="37" t="str">
        <f t="shared" si="215"/>
        <v/>
      </c>
      <c r="E576" s="31" t="str">
        <f t="shared" si="216"/>
        <v/>
      </c>
      <c r="F576" s="32" t="str">
        <f t="shared" si="217"/>
        <v/>
      </c>
      <c r="G576" s="32" t="str">
        <f t="shared" si="218"/>
        <v/>
      </c>
      <c r="H576" s="32" t="str">
        <f t="shared" si="219"/>
        <v/>
      </c>
      <c r="I576" s="32" t="str">
        <f t="shared" si="220"/>
        <v/>
      </c>
      <c r="J576" s="46" t="str">
        <f t="shared" si="221"/>
        <v/>
      </c>
      <c r="K576" s="32" t="str">
        <f t="shared" si="222"/>
        <v/>
      </c>
      <c r="L576" s="32" t="str">
        <f t="shared" si="223"/>
        <v/>
      </c>
      <c r="M576" s="32" t="str">
        <f t="shared" si="224"/>
        <v/>
      </c>
      <c r="N576" s="32" t="str">
        <f t="shared" si="225"/>
        <v/>
      </c>
      <c r="O576" s="32" t="str">
        <f t="shared" si="226"/>
        <v/>
      </c>
      <c r="AC576" t="str">
        <f>IFERROR(MATCH(572,$AB$5:$AB$404,1),"")</f>
        <v/>
      </c>
      <c r="AD576" t="str">
        <f>IF(572=$AI$1+1,"Z",IF($AC576="","",IF(INDEX($V$5:$V$404,$AC576)="","",IF(572&gt;INDEX($AB$5:$AB$404,$AC576)+INDEX($Z$5:$Z$404,$AC576)+INDEX($AA$5:$AA$404,$AC576)+INDEX($AO$5:$AO$404,$AC576),"",IF(572=INDEX($AB$5:$AB$404,$AC576)+INDEX($Z$5:$Z$404,$AC576),"D",IF(AND(INDEX($Z$5:$Z$404,$AC576)=1,572=INDEX($AB$5:$AB$404,$AC576)),"H",IF(AND(INDEX($AO$5:$AO$404,$AC576)=1,572=INDEX($AB$5:$AB$404,$AC576)+INDEX($Z$5:$Z$404,$AC576)+INDEX($AA$5:$AA$404,$AC576)+INDEX($AO$5:$AO$404,$AC576)),"B","T")))))))</f>
        <v/>
      </c>
      <c r="AF576" t="str">
        <f t="shared" si="227"/>
        <v/>
      </c>
      <c r="AJ576">
        <f>IF($AD576&lt;&gt;"T",0,ROUND(SUMIF(oil!$B$4:$B$63,$AF576,oil!$AE$4:$AE$63),2))</f>
        <v>0</v>
      </c>
      <c r="AQ576" t="str">
        <f t="shared" si="228"/>
        <v/>
      </c>
      <c r="AZ576">
        <f t="shared" si="229"/>
        <v>0</v>
      </c>
    </row>
    <row r="577" spans="1:52" ht="21" customHeight="1" x14ac:dyDescent="0.95">
      <c r="A577" s="36" t="str">
        <f>IF($AD577="","",IF($AD577="Z","รวมจ่ายทั้งสิ้น",IF($AD577="H",INDEX($X$5:$X$404,$AC577),IF($AD577="T","รวม",IF($AD577="B",IFERROR(INDEX(อัตราค่าขนส่ง!$U$5:$U$14,MATCH(INDEX($AM$5:$AM$404,$AC577),อัตราค่าขนส่ง!$T$5:$T$14,0)),"รวมกลุ่ม "&amp;INDEX($AM$5:$AM$404,$AC577)),INDEX($AY$5:$AY$404,$AC577))))))</f>
        <v/>
      </c>
      <c r="B577" s="31" t="str">
        <f t="shared" si="213"/>
        <v/>
      </c>
      <c r="C577" s="8" t="str">
        <f t="shared" si="214"/>
        <v/>
      </c>
      <c r="D577" s="37" t="str">
        <f t="shared" si="215"/>
        <v/>
      </c>
      <c r="E577" s="31" t="str">
        <f t="shared" si="216"/>
        <v/>
      </c>
      <c r="F577" s="32" t="str">
        <f t="shared" si="217"/>
        <v/>
      </c>
      <c r="G577" s="32" t="str">
        <f t="shared" si="218"/>
        <v/>
      </c>
      <c r="H577" s="32" t="str">
        <f t="shared" si="219"/>
        <v/>
      </c>
      <c r="I577" s="32" t="str">
        <f t="shared" si="220"/>
        <v/>
      </c>
      <c r="J577" s="46" t="str">
        <f t="shared" si="221"/>
        <v/>
      </c>
      <c r="K577" s="32" t="str">
        <f t="shared" si="222"/>
        <v/>
      </c>
      <c r="L577" s="32" t="str">
        <f t="shared" si="223"/>
        <v/>
      </c>
      <c r="M577" s="32" t="str">
        <f t="shared" si="224"/>
        <v/>
      </c>
      <c r="N577" s="32" t="str">
        <f t="shared" si="225"/>
        <v/>
      </c>
      <c r="O577" s="32" t="str">
        <f t="shared" si="226"/>
        <v/>
      </c>
      <c r="AC577" t="str">
        <f>IFERROR(MATCH(573,$AB$5:$AB$404,1),"")</f>
        <v/>
      </c>
      <c r="AD577" t="str">
        <f>IF(573=$AI$1+1,"Z",IF($AC577="","",IF(INDEX($V$5:$V$404,$AC577)="","",IF(573&gt;INDEX($AB$5:$AB$404,$AC577)+INDEX($Z$5:$Z$404,$AC577)+INDEX($AA$5:$AA$404,$AC577)+INDEX($AO$5:$AO$404,$AC577),"",IF(573=INDEX($AB$5:$AB$404,$AC577)+INDEX($Z$5:$Z$404,$AC577),"D",IF(AND(INDEX($Z$5:$Z$404,$AC577)=1,573=INDEX($AB$5:$AB$404,$AC577)),"H",IF(AND(INDEX($AO$5:$AO$404,$AC577)=1,573=INDEX($AB$5:$AB$404,$AC577)+INDEX($Z$5:$Z$404,$AC577)+INDEX($AA$5:$AA$404,$AC577)+INDEX($AO$5:$AO$404,$AC577)),"B","T")))))))</f>
        <v/>
      </c>
      <c r="AF577" t="str">
        <f t="shared" si="227"/>
        <v/>
      </c>
      <c r="AJ577">
        <f>IF($AD577&lt;&gt;"T",0,ROUND(SUMIF(oil!$B$4:$B$63,$AF577,oil!$AE$4:$AE$63),2))</f>
        <v>0</v>
      </c>
      <c r="AQ577" t="str">
        <f t="shared" si="228"/>
        <v/>
      </c>
      <c r="AZ577">
        <f t="shared" si="229"/>
        <v>0</v>
      </c>
    </row>
    <row r="578" spans="1:52" ht="21" customHeight="1" x14ac:dyDescent="0.95">
      <c r="A578" s="36" t="str">
        <f>IF($AD578="","",IF($AD578="Z","รวมจ่ายทั้งสิ้น",IF($AD578="H",INDEX($X$5:$X$404,$AC578),IF($AD578="T","รวม",IF($AD578="B",IFERROR(INDEX(อัตราค่าขนส่ง!$U$5:$U$14,MATCH(INDEX($AM$5:$AM$404,$AC578),อัตราค่าขนส่ง!$T$5:$T$14,0)),"รวมกลุ่ม "&amp;INDEX($AM$5:$AM$404,$AC578)),INDEX($AY$5:$AY$404,$AC578))))))</f>
        <v/>
      </c>
      <c r="B578" s="31" t="str">
        <f t="shared" si="213"/>
        <v/>
      </c>
      <c r="C578" s="8" t="str">
        <f t="shared" si="214"/>
        <v/>
      </c>
      <c r="D578" s="37" t="str">
        <f t="shared" si="215"/>
        <v/>
      </c>
      <c r="E578" s="31" t="str">
        <f t="shared" si="216"/>
        <v/>
      </c>
      <c r="F578" s="32" t="str">
        <f t="shared" si="217"/>
        <v/>
      </c>
      <c r="G578" s="32" t="str">
        <f t="shared" si="218"/>
        <v/>
      </c>
      <c r="H578" s="32" t="str">
        <f t="shared" si="219"/>
        <v/>
      </c>
      <c r="I578" s="32" t="str">
        <f t="shared" si="220"/>
        <v/>
      </c>
      <c r="J578" s="46" t="str">
        <f t="shared" si="221"/>
        <v/>
      </c>
      <c r="K578" s="32" t="str">
        <f t="shared" si="222"/>
        <v/>
      </c>
      <c r="L578" s="32" t="str">
        <f t="shared" si="223"/>
        <v/>
      </c>
      <c r="M578" s="32" t="str">
        <f t="shared" si="224"/>
        <v/>
      </c>
      <c r="N578" s="32" t="str">
        <f t="shared" si="225"/>
        <v/>
      </c>
      <c r="O578" s="32" t="str">
        <f t="shared" si="226"/>
        <v/>
      </c>
      <c r="AC578" t="str">
        <f>IFERROR(MATCH(574,$AB$5:$AB$404,1),"")</f>
        <v/>
      </c>
      <c r="AD578" t="str">
        <f>IF(574=$AI$1+1,"Z",IF($AC578="","",IF(INDEX($V$5:$V$404,$AC578)="","",IF(574&gt;INDEX($AB$5:$AB$404,$AC578)+INDEX($Z$5:$Z$404,$AC578)+INDEX($AA$5:$AA$404,$AC578)+INDEX($AO$5:$AO$404,$AC578),"",IF(574=INDEX($AB$5:$AB$404,$AC578)+INDEX($Z$5:$Z$404,$AC578),"D",IF(AND(INDEX($Z$5:$Z$404,$AC578)=1,574=INDEX($AB$5:$AB$404,$AC578)),"H",IF(AND(INDEX($AO$5:$AO$404,$AC578)=1,574=INDEX($AB$5:$AB$404,$AC578)+INDEX($Z$5:$Z$404,$AC578)+INDEX($AA$5:$AA$404,$AC578)+INDEX($AO$5:$AO$404,$AC578)),"B","T")))))))</f>
        <v/>
      </c>
      <c r="AF578" t="str">
        <f t="shared" si="227"/>
        <v/>
      </c>
      <c r="AJ578">
        <f>IF($AD578&lt;&gt;"T",0,ROUND(SUMIF(oil!$B$4:$B$63,$AF578,oil!$AE$4:$AE$63),2))</f>
        <v>0</v>
      </c>
      <c r="AQ578" t="str">
        <f t="shared" si="228"/>
        <v/>
      </c>
      <c r="AZ578">
        <f t="shared" si="229"/>
        <v>0</v>
      </c>
    </row>
    <row r="579" spans="1:52" ht="21" customHeight="1" x14ac:dyDescent="0.95">
      <c r="A579" s="36" t="str">
        <f>IF($AD579="","",IF($AD579="Z","รวมจ่ายทั้งสิ้น",IF($AD579="H",INDEX($X$5:$X$404,$AC579),IF($AD579="T","รวม",IF($AD579="B",IFERROR(INDEX(อัตราค่าขนส่ง!$U$5:$U$14,MATCH(INDEX($AM$5:$AM$404,$AC579),อัตราค่าขนส่ง!$T$5:$T$14,0)),"รวมกลุ่ม "&amp;INDEX($AM$5:$AM$404,$AC579)),INDEX($AY$5:$AY$404,$AC579))))))</f>
        <v/>
      </c>
      <c r="B579" s="31" t="str">
        <f t="shared" si="213"/>
        <v/>
      </c>
      <c r="C579" s="8" t="str">
        <f t="shared" si="214"/>
        <v/>
      </c>
      <c r="D579" s="37" t="str">
        <f t="shared" si="215"/>
        <v/>
      </c>
      <c r="E579" s="31" t="str">
        <f t="shared" si="216"/>
        <v/>
      </c>
      <c r="F579" s="32" t="str">
        <f t="shared" si="217"/>
        <v/>
      </c>
      <c r="G579" s="32" t="str">
        <f t="shared" si="218"/>
        <v/>
      </c>
      <c r="H579" s="32" t="str">
        <f t="shared" si="219"/>
        <v/>
      </c>
      <c r="I579" s="32" t="str">
        <f t="shared" si="220"/>
        <v/>
      </c>
      <c r="J579" s="46" t="str">
        <f t="shared" si="221"/>
        <v/>
      </c>
      <c r="K579" s="32" t="str">
        <f t="shared" si="222"/>
        <v/>
      </c>
      <c r="L579" s="32" t="str">
        <f t="shared" si="223"/>
        <v/>
      </c>
      <c r="M579" s="32" t="str">
        <f t="shared" si="224"/>
        <v/>
      </c>
      <c r="N579" s="32" t="str">
        <f t="shared" si="225"/>
        <v/>
      </c>
      <c r="O579" s="32" t="str">
        <f t="shared" si="226"/>
        <v/>
      </c>
      <c r="AC579" t="str">
        <f>IFERROR(MATCH(575,$AB$5:$AB$404,1),"")</f>
        <v/>
      </c>
      <c r="AD579" t="str">
        <f>IF(575=$AI$1+1,"Z",IF($AC579="","",IF(INDEX($V$5:$V$404,$AC579)="","",IF(575&gt;INDEX($AB$5:$AB$404,$AC579)+INDEX($Z$5:$Z$404,$AC579)+INDEX($AA$5:$AA$404,$AC579)+INDEX($AO$5:$AO$404,$AC579),"",IF(575=INDEX($AB$5:$AB$404,$AC579)+INDEX($Z$5:$Z$404,$AC579),"D",IF(AND(INDEX($Z$5:$Z$404,$AC579)=1,575=INDEX($AB$5:$AB$404,$AC579)),"H",IF(AND(INDEX($AO$5:$AO$404,$AC579)=1,575=INDEX($AB$5:$AB$404,$AC579)+INDEX($Z$5:$Z$404,$AC579)+INDEX($AA$5:$AA$404,$AC579)+INDEX($AO$5:$AO$404,$AC579)),"B","T")))))))</f>
        <v/>
      </c>
      <c r="AF579" t="str">
        <f t="shared" si="227"/>
        <v/>
      </c>
      <c r="AJ579">
        <f>IF($AD579&lt;&gt;"T",0,ROUND(SUMIF(oil!$B$4:$B$63,$AF579,oil!$AE$4:$AE$63),2))</f>
        <v>0</v>
      </c>
      <c r="AQ579" t="str">
        <f t="shared" si="228"/>
        <v/>
      </c>
      <c r="AZ579">
        <f t="shared" si="229"/>
        <v>0</v>
      </c>
    </row>
    <row r="580" spans="1:52" ht="21" customHeight="1" x14ac:dyDescent="0.95">
      <c r="A580" s="36" t="str">
        <f>IF($AD580="","",IF($AD580="Z","รวมจ่ายทั้งสิ้น",IF($AD580="H",INDEX($X$5:$X$404,$AC580),IF($AD580="T","รวม",IF($AD580="B",IFERROR(INDEX(อัตราค่าขนส่ง!$U$5:$U$14,MATCH(INDEX($AM$5:$AM$404,$AC580),อัตราค่าขนส่ง!$T$5:$T$14,0)),"รวมกลุ่ม "&amp;INDEX($AM$5:$AM$404,$AC580)),INDEX($AY$5:$AY$404,$AC580))))))</f>
        <v/>
      </c>
      <c r="B580" s="31" t="str">
        <f t="shared" si="213"/>
        <v/>
      </c>
      <c r="C580" s="8" t="str">
        <f t="shared" si="214"/>
        <v/>
      </c>
      <c r="D580" s="37" t="str">
        <f t="shared" si="215"/>
        <v/>
      </c>
      <c r="E580" s="31" t="str">
        <f t="shared" si="216"/>
        <v/>
      </c>
      <c r="F580" s="32" t="str">
        <f t="shared" si="217"/>
        <v/>
      </c>
      <c r="G580" s="32" t="str">
        <f t="shared" si="218"/>
        <v/>
      </c>
      <c r="H580" s="32" t="str">
        <f t="shared" si="219"/>
        <v/>
      </c>
      <c r="I580" s="32" t="str">
        <f t="shared" si="220"/>
        <v/>
      </c>
      <c r="J580" s="46" t="str">
        <f t="shared" si="221"/>
        <v/>
      </c>
      <c r="K580" s="32" t="str">
        <f t="shared" si="222"/>
        <v/>
      </c>
      <c r="L580" s="32" t="str">
        <f t="shared" si="223"/>
        <v/>
      </c>
      <c r="M580" s="32" t="str">
        <f t="shared" si="224"/>
        <v/>
      </c>
      <c r="N580" s="32" t="str">
        <f t="shared" si="225"/>
        <v/>
      </c>
      <c r="O580" s="32" t="str">
        <f t="shared" si="226"/>
        <v/>
      </c>
      <c r="AC580" t="str">
        <f>IFERROR(MATCH(576,$AB$5:$AB$404,1),"")</f>
        <v/>
      </c>
      <c r="AD580" t="str">
        <f>IF(576=$AI$1+1,"Z",IF($AC580="","",IF(INDEX($V$5:$V$404,$AC580)="","",IF(576&gt;INDEX($AB$5:$AB$404,$AC580)+INDEX($Z$5:$Z$404,$AC580)+INDEX($AA$5:$AA$404,$AC580)+INDEX($AO$5:$AO$404,$AC580),"",IF(576=INDEX($AB$5:$AB$404,$AC580)+INDEX($Z$5:$Z$404,$AC580),"D",IF(AND(INDEX($Z$5:$Z$404,$AC580)=1,576=INDEX($AB$5:$AB$404,$AC580)),"H",IF(AND(INDEX($AO$5:$AO$404,$AC580)=1,576=INDEX($AB$5:$AB$404,$AC580)+INDEX($Z$5:$Z$404,$AC580)+INDEX($AA$5:$AA$404,$AC580)+INDEX($AO$5:$AO$404,$AC580)),"B","T")))))))</f>
        <v/>
      </c>
      <c r="AF580" t="str">
        <f t="shared" si="227"/>
        <v/>
      </c>
      <c r="AJ580">
        <f>IF($AD580&lt;&gt;"T",0,ROUND(SUMIF(oil!$B$4:$B$63,$AF580,oil!$AE$4:$AE$63),2))</f>
        <v>0</v>
      </c>
      <c r="AQ580" t="str">
        <f t="shared" si="228"/>
        <v/>
      </c>
      <c r="AZ580">
        <f t="shared" si="229"/>
        <v>0</v>
      </c>
    </row>
    <row r="581" spans="1:52" ht="21" customHeight="1" x14ac:dyDescent="0.95">
      <c r="A581" s="36" t="str">
        <f>IF($AD581="","",IF($AD581="Z","รวมจ่ายทั้งสิ้น",IF($AD581="H",INDEX($X$5:$X$404,$AC581),IF($AD581="T","รวม",IF($AD581="B",IFERROR(INDEX(อัตราค่าขนส่ง!$U$5:$U$14,MATCH(INDEX($AM$5:$AM$404,$AC581),อัตราค่าขนส่ง!$T$5:$T$14,0)),"รวมกลุ่ม "&amp;INDEX($AM$5:$AM$404,$AC581)),INDEX($AY$5:$AY$404,$AC581))))))</f>
        <v/>
      </c>
      <c r="B581" s="31" t="str">
        <f t="shared" ref="B581:B644" si="230">IF($AD581&lt;&gt;"D","",INDEX($AW$5:$AW$404,$AC581))</f>
        <v/>
      </c>
      <c r="C581" s="8" t="str">
        <f t="shared" ref="C581:C644" si="231">IF($AD581&lt;&gt;"D","",INDEX($AX$5:$AX$404,$AC581))</f>
        <v/>
      </c>
      <c r="D581" s="37" t="str">
        <f t="shared" ref="D581:D644" si="232">IF($AD581&lt;&gt;"D","",INDEX($BA$5:$BA$404,$AC581))</f>
        <v/>
      </c>
      <c r="E581" s="31" t="str">
        <f t="shared" ref="E581:E644" si="233">IF($AD581="Z",SUM($AR$5:$AR$404),IF($AD581="D",INDEX($AR$5:$AR$404,$AC581),IF($AD581="T",SUMIF($X$5:$X$404,$AF581,$AR$5:$AR$404),IF($AD581="B",SUMIF($AN$5:$AN$404,$AQ581,$AR$5:$AR$404),""))))</f>
        <v/>
      </c>
      <c r="F581" s="32" t="str">
        <f t="shared" ref="F581:F644" si="234">IF($AD581="Z",ROUND(SUM($AS$5:$AS$404),2),IF($AD581="D",INDEX($AS$5:$AS$404,$AC581),IF($AD581="T",ROUND(SUMIF($X$5:$X$404,$AF581,$AS$5:$AS$404),2),IF($AD581="B",ROUND(SUMIF($AN$5:$AN$404,$AQ581,$AS$5:$AS$404),2),""))))</f>
        <v/>
      </c>
      <c r="G581" s="32" t="str">
        <f t="shared" ref="G581:G644" si="235">IF($AD581&lt;&gt;"D","",INDEX($AT$5:$AT$404,$AC581))</f>
        <v/>
      </c>
      <c r="H581" s="32" t="str">
        <f t="shared" ref="H581:H644" si="236">IF($AD581&lt;&gt;"D","",INDEX($BC$5:$BC$404,$AC581))</f>
        <v/>
      </c>
      <c r="I581" s="32" t="str">
        <f t="shared" ref="I581:I644" si="237">IF($AD581&lt;&gt;"D","",INDEX($BD$5:$BD$404,$AC581))</f>
        <v/>
      </c>
      <c r="J581" s="46" t="str">
        <f t="shared" ref="J581:J644" si="238">IF($AD581&lt;&gt;"D","",IF(N($B581)=0,"",ROUND($I581/$B581,4)))</f>
        <v/>
      </c>
      <c r="K581" s="32" t="str">
        <f t="shared" ref="K581:K644" si="239">IF($AD581="Z",ROUND(SUM($AU$5:$AU$404),2),IF($AD581="D",INDEX($AU$5:$AU$404,$AC581),IF($AD581="T",ROUND(SUMIF($X$5:$X$404,$AF581,$AU$5:$AU$404),2),IF($AD581="B",ROUND(SUMIF($AN$5:$AN$404,$AQ581,$AU$5:$AU$404),2),""))))</f>
        <v/>
      </c>
      <c r="L581" s="32" t="str">
        <f t="shared" ref="L581:L644" si="240">IF($AD581="Z",ROUND(SUM($AV$5:$AV$404),2),IF($AD581="D",INDEX($AV$5:$AV$404,$AC581),IF($AD581="T",ROUND(SUMIF($X$5:$X$404,$AF581,$AV$5:$AV$404),2),IF($AD581="B",ROUND(SUMIF($AN$5:$AN$404,$AQ581,$AV$5:$AV$404),2),""))))</f>
        <v/>
      </c>
      <c r="M581" s="32" t="str">
        <f t="shared" ref="M581:M644" si="241">IF($AD581="Z",ROUND(SUM($AJ$5:$AJ$704),2),IF($AD581="B",ROUND(SUMIF($AQ$5:$AQ$704,$AQ581,$AJ$5:$AJ$704),2),IF($AD581&lt;&gt;"T","",$AJ581)))</f>
        <v/>
      </c>
      <c r="N581" s="32" t="str">
        <f t="shared" ref="N581:N644" si="242">IF(OR($AD581="D",$AD581="T",$AD581="B",$AD581="Z"),ROUND(N($K581)-N($L581)-N($M581),2),"")</f>
        <v/>
      </c>
      <c r="O581" s="32" t="str">
        <f t="shared" ref="O581:O644" si="243">IF(OR($AD581="D",$AD581="T",$AD581="B",$AD581="Z"),IF(N($E581)=0,"",ROUND($F581/$E581,2)),"")</f>
        <v/>
      </c>
      <c r="AC581" t="str">
        <f>IFERROR(MATCH(577,$AB$5:$AB$404,1),"")</f>
        <v/>
      </c>
      <c r="AD581" t="str">
        <f>IF(577=$AI$1+1,"Z",IF($AC581="","",IF(INDEX($V$5:$V$404,$AC581)="","",IF(577&gt;INDEX($AB$5:$AB$404,$AC581)+INDEX($Z$5:$Z$404,$AC581)+INDEX($AA$5:$AA$404,$AC581)+INDEX($AO$5:$AO$404,$AC581),"",IF(577=INDEX($AB$5:$AB$404,$AC581)+INDEX($Z$5:$Z$404,$AC581),"D",IF(AND(INDEX($Z$5:$Z$404,$AC581)=1,577=INDEX($AB$5:$AB$404,$AC581)),"H",IF(AND(INDEX($AO$5:$AO$404,$AC581)=1,577=INDEX($AB$5:$AB$404,$AC581)+INDEX($Z$5:$Z$404,$AC581)+INDEX($AA$5:$AA$404,$AC581)+INDEX($AO$5:$AO$404,$AC581)),"B","T")))))))</f>
        <v/>
      </c>
      <c r="AF581" t="str">
        <f t="shared" ref="AF581:AF644" si="244">IF(OR($AD581="",$AD581="Z",$AD581="B"),"",INDEX($X$5:$X$404,$AC581))</f>
        <v/>
      </c>
      <c r="AJ581">
        <f>IF($AD581&lt;&gt;"T",0,ROUND(SUMIF(oil!$B$4:$B$63,$AF581,oil!$AE$4:$AE$63),2))</f>
        <v>0</v>
      </c>
      <c r="AQ581" t="str">
        <f t="shared" ref="AQ581:AQ644" si="245">IF(OR($AD581="",$AD581="Z"),"",INDEX($AN$5:$AN$404,$AC581))</f>
        <v/>
      </c>
      <c r="AZ581">
        <f t="shared" ref="AZ581:AZ644" si="246">IF(AND($AD581="T",$AQ581=1),N($AZ580)+1,N($AZ580))</f>
        <v>0</v>
      </c>
    </row>
    <row r="582" spans="1:52" ht="21" customHeight="1" x14ac:dyDescent="0.95">
      <c r="A582" s="36" t="str">
        <f>IF($AD582="","",IF($AD582="Z","รวมจ่ายทั้งสิ้น",IF($AD582="H",INDEX($X$5:$X$404,$AC582),IF($AD582="T","รวม",IF($AD582="B",IFERROR(INDEX(อัตราค่าขนส่ง!$U$5:$U$14,MATCH(INDEX($AM$5:$AM$404,$AC582),อัตราค่าขนส่ง!$T$5:$T$14,0)),"รวมกลุ่ม "&amp;INDEX($AM$5:$AM$404,$AC582)),INDEX($AY$5:$AY$404,$AC582))))))</f>
        <v/>
      </c>
      <c r="B582" s="31" t="str">
        <f t="shared" si="230"/>
        <v/>
      </c>
      <c r="C582" s="8" t="str">
        <f t="shared" si="231"/>
        <v/>
      </c>
      <c r="D582" s="37" t="str">
        <f t="shared" si="232"/>
        <v/>
      </c>
      <c r="E582" s="31" t="str">
        <f t="shared" si="233"/>
        <v/>
      </c>
      <c r="F582" s="32" t="str">
        <f t="shared" si="234"/>
        <v/>
      </c>
      <c r="G582" s="32" t="str">
        <f t="shared" si="235"/>
        <v/>
      </c>
      <c r="H582" s="32" t="str">
        <f t="shared" si="236"/>
        <v/>
      </c>
      <c r="I582" s="32" t="str">
        <f t="shared" si="237"/>
        <v/>
      </c>
      <c r="J582" s="46" t="str">
        <f t="shared" si="238"/>
        <v/>
      </c>
      <c r="K582" s="32" t="str">
        <f t="shared" si="239"/>
        <v/>
      </c>
      <c r="L582" s="32" t="str">
        <f t="shared" si="240"/>
        <v/>
      </c>
      <c r="M582" s="32" t="str">
        <f t="shared" si="241"/>
        <v/>
      </c>
      <c r="N582" s="32" t="str">
        <f t="shared" si="242"/>
        <v/>
      </c>
      <c r="O582" s="32" t="str">
        <f t="shared" si="243"/>
        <v/>
      </c>
      <c r="AC582" t="str">
        <f>IFERROR(MATCH(578,$AB$5:$AB$404,1),"")</f>
        <v/>
      </c>
      <c r="AD582" t="str">
        <f>IF(578=$AI$1+1,"Z",IF($AC582="","",IF(INDEX($V$5:$V$404,$AC582)="","",IF(578&gt;INDEX($AB$5:$AB$404,$AC582)+INDEX($Z$5:$Z$404,$AC582)+INDEX($AA$5:$AA$404,$AC582)+INDEX($AO$5:$AO$404,$AC582),"",IF(578=INDEX($AB$5:$AB$404,$AC582)+INDEX($Z$5:$Z$404,$AC582),"D",IF(AND(INDEX($Z$5:$Z$404,$AC582)=1,578=INDEX($AB$5:$AB$404,$AC582)),"H",IF(AND(INDEX($AO$5:$AO$404,$AC582)=1,578=INDEX($AB$5:$AB$404,$AC582)+INDEX($Z$5:$Z$404,$AC582)+INDEX($AA$5:$AA$404,$AC582)+INDEX($AO$5:$AO$404,$AC582)),"B","T")))))))</f>
        <v/>
      </c>
      <c r="AF582" t="str">
        <f t="shared" si="244"/>
        <v/>
      </c>
      <c r="AJ582">
        <f>IF($AD582&lt;&gt;"T",0,ROUND(SUMIF(oil!$B$4:$B$63,$AF582,oil!$AE$4:$AE$63),2))</f>
        <v>0</v>
      </c>
      <c r="AQ582" t="str">
        <f t="shared" si="245"/>
        <v/>
      </c>
      <c r="AZ582">
        <f t="shared" si="246"/>
        <v>0</v>
      </c>
    </row>
    <row r="583" spans="1:52" ht="21" customHeight="1" x14ac:dyDescent="0.95">
      <c r="A583" s="36" t="str">
        <f>IF($AD583="","",IF($AD583="Z","รวมจ่ายทั้งสิ้น",IF($AD583="H",INDEX($X$5:$X$404,$AC583),IF($AD583="T","รวม",IF($AD583="B",IFERROR(INDEX(อัตราค่าขนส่ง!$U$5:$U$14,MATCH(INDEX($AM$5:$AM$404,$AC583),อัตราค่าขนส่ง!$T$5:$T$14,0)),"รวมกลุ่ม "&amp;INDEX($AM$5:$AM$404,$AC583)),INDEX($AY$5:$AY$404,$AC583))))))</f>
        <v/>
      </c>
      <c r="B583" s="31" t="str">
        <f t="shared" si="230"/>
        <v/>
      </c>
      <c r="C583" s="8" t="str">
        <f t="shared" si="231"/>
        <v/>
      </c>
      <c r="D583" s="37" t="str">
        <f t="shared" si="232"/>
        <v/>
      </c>
      <c r="E583" s="31" t="str">
        <f t="shared" si="233"/>
        <v/>
      </c>
      <c r="F583" s="32" t="str">
        <f t="shared" si="234"/>
        <v/>
      </c>
      <c r="G583" s="32" t="str">
        <f t="shared" si="235"/>
        <v/>
      </c>
      <c r="H583" s="32" t="str">
        <f t="shared" si="236"/>
        <v/>
      </c>
      <c r="I583" s="32" t="str">
        <f t="shared" si="237"/>
        <v/>
      </c>
      <c r="J583" s="46" t="str">
        <f t="shared" si="238"/>
        <v/>
      </c>
      <c r="K583" s="32" t="str">
        <f t="shared" si="239"/>
        <v/>
      </c>
      <c r="L583" s="32" t="str">
        <f t="shared" si="240"/>
        <v/>
      </c>
      <c r="M583" s="32" t="str">
        <f t="shared" si="241"/>
        <v/>
      </c>
      <c r="N583" s="32" t="str">
        <f t="shared" si="242"/>
        <v/>
      </c>
      <c r="O583" s="32" t="str">
        <f t="shared" si="243"/>
        <v/>
      </c>
      <c r="AC583" t="str">
        <f>IFERROR(MATCH(579,$AB$5:$AB$404,1),"")</f>
        <v/>
      </c>
      <c r="AD583" t="str">
        <f>IF(579=$AI$1+1,"Z",IF($AC583="","",IF(INDEX($V$5:$V$404,$AC583)="","",IF(579&gt;INDEX($AB$5:$AB$404,$AC583)+INDEX($Z$5:$Z$404,$AC583)+INDEX($AA$5:$AA$404,$AC583)+INDEX($AO$5:$AO$404,$AC583),"",IF(579=INDEX($AB$5:$AB$404,$AC583)+INDEX($Z$5:$Z$404,$AC583),"D",IF(AND(INDEX($Z$5:$Z$404,$AC583)=1,579=INDEX($AB$5:$AB$404,$AC583)),"H",IF(AND(INDEX($AO$5:$AO$404,$AC583)=1,579=INDEX($AB$5:$AB$404,$AC583)+INDEX($Z$5:$Z$404,$AC583)+INDEX($AA$5:$AA$404,$AC583)+INDEX($AO$5:$AO$404,$AC583)),"B","T")))))))</f>
        <v/>
      </c>
      <c r="AF583" t="str">
        <f t="shared" si="244"/>
        <v/>
      </c>
      <c r="AJ583">
        <f>IF($AD583&lt;&gt;"T",0,ROUND(SUMIF(oil!$B$4:$B$63,$AF583,oil!$AE$4:$AE$63),2))</f>
        <v>0</v>
      </c>
      <c r="AQ583" t="str">
        <f t="shared" si="245"/>
        <v/>
      </c>
      <c r="AZ583">
        <f t="shared" si="246"/>
        <v>0</v>
      </c>
    </row>
    <row r="584" spans="1:52" ht="21" customHeight="1" x14ac:dyDescent="0.95">
      <c r="A584" s="36" t="str">
        <f>IF($AD584="","",IF($AD584="Z","รวมจ่ายทั้งสิ้น",IF($AD584="H",INDEX($X$5:$X$404,$AC584),IF($AD584="T","รวม",IF($AD584="B",IFERROR(INDEX(อัตราค่าขนส่ง!$U$5:$U$14,MATCH(INDEX($AM$5:$AM$404,$AC584),อัตราค่าขนส่ง!$T$5:$T$14,0)),"รวมกลุ่ม "&amp;INDEX($AM$5:$AM$404,$AC584)),INDEX($AY$5:$AY$404,$AC584))))))</f>
        <v/>
      </c>
      <c r="B584" s="31" t="str">
        <f t="shared" si="230"/>
        <v/>
      </c>
      <c r="C584" s="8" t="str">
        <f t="shared" si="231"/>
        <v/>
      </c>
      <c r="D584" s="37" t="str">
        <f t="shared" si="232"/>
        <v/>
      </c>
      <c r="E584" s="31" t="str">
        <f t="shared" si="233"/>
        <v/>
      </c>
      <c r="F584" s="32" t="str">
        <f t="shared" si="234"/>
        <v/>
      </c>
      <c r="G584" s="32" t="str">
        <f t="shared" si="235"/>
        <v/>
      </c>
      <c r="H584" s="32" t="str">
        <f t="shared" si="236"/>
        <v/>
      </c>
      <c r="I584" s="32" t="str">
        <f t="shared" si="237"/>
        <v/>
      </c>
      <c r="J584" s="46" t="str">
        <f t="shared" si="238"/>
        <v/>
      </c>
      <c r="K584" s="32" t="str">
        <f t="shared" si="239"/>
        <v/>
      </c>
      <c r="L584" s="32" t="str">
        <f t="shared" si="240"/>
        <v/>
      </c>
      <c r="M584" s="32" t="str">
        <f t="shared" si="241"/>
        <v/>
      </c>
      <c r="N584" s="32" t="str">
        <f t="shared" si="242"/>
        <v/>
      </c>
      <c r="O584" s="32" t="str">
        <f t="shared" si="243"/>
        <v/>
      </c>
      <c r="AC584" t="str">
        <f>IFERROR(MATCH(580,$AB$5:$AB$404,1),"")</f>
        <v/>
      </c>
      <c r="AD584" t="str">
        <f>IF(580=$AI$1+1,"Z",IF($AC584="","",IF(INDEX($V$5:$V$404,$AC584)="","",IF(580&gt;INDEX($AB$5:$AB$404,$AC584)+INDEX($Z$5:$Z$404,$AC584)+INDEX($AA$5:$AA$404,$AC584)+INDEX($AO$5:$AO$404,$AC584),"",IF(580=INDEX($AB$5:$AB$404,$AC584)+INDEX($Z$5:$Z$404,$AC584),"D",IF(AND(INDEX($Z$5:$Z$404,$AC584)=1,580=INDEX($AB$5:$AB$404,$AC584)),"H",IF(AND(INDEX($AO$5:$AO$404,$AC584)=1,580=INDEX($AB$5:$AB$404,$AC584)+INDEX($Z$5:$Z$404,$AC584)+INDEX($AA$5:$AA$404,$AC584)+INDEX($AO$5:$AO$404,$AC584)),"B","T")))))))</f>
        <v/>
      </c>
      <c r="AF584" t="str">
        <f t="shared" si="244"/>
        <v/>
      </c>
      <c r="AJ584">
        <f>IF($AD584&lt;&gt;"T",0,ROUND(SUMIF(oil!$B$4:$B$63,$AF584,oil!$AE$4:$AE$63),2))</f>
        <v>0</v>
      </c>
      <c r="AQ584" t="str">
        <f t="shared" si="245"/>
        <v/>
      </c>
      <c r="AZ584">
        <f t="shared" si="246"/>
        <v>0</v>
      </c>
    </row>
    <row r="585" spans="1:52" ht="21" customHeight="1" x14ac:dyDescent="0.95">
      <c r="A585" s="36" t="str">
        <f>IF($AD585="","",IF($AD585="Z","รวมจ่ายทั้งสิ้น",IF($AD585="H",INDEX($X$5:$X$404,$AC585),IF($AD585="T","รวม",IF($AD585="B",IFERROR(INDEX(อัตราค่าขนส่ง!$U$5:$U$14,MATCH(INDEX($AM$5:$AM$404,$AC585),อัตราค่าขนส่ง!$T$5:$T$14,0)),"รวมกลุ่ม "&amp;INDEX($AM$5:$AM$404,$AC585)),INDEX($AY$5:$AY$404,$AC585))))))</f>
        <v/>
      </c>
      <c r="B585" s="31" t="str">
        <f t="shared" si="230"/>
        <v/>
      </c>
      <c r="C585" s="8" t="str">
        <f t="shared" si="231"/>
        <v/>
      </c>
      <c r="D585" s="37" t="str">
        <f t="shared" si="232"/>
        <v/>
      </c>
      <c r="E585" s="31" t="str">
        <f t="shared" si="233"/>
        <v/>
      </c>
      <c r="F585" s="32" t="str">
        <f t="shared" si="234"/>
        <v/>
      </c>
      <c r="G585" s="32" t="str">
        <f t="shared" si="235"/>
        <v/>
      </c>
      <c r="H585" s="32" t="str">
        <f t="shared" si="236"/>
        <v/>
      </c>
      <c r="I585" s="32" t="str">
        <f t="shared" si="237"/>
        <v/>
      </c>
      <c r="J585" s="46" t="str">
        <f t="shared" si="238"/>
        <v/>
      </c>
      <c r="K585" s="32" t="str">
        <f t="shared" si="239"/>
        <v/>
      </c>
      <c r="L585" s="32" t="str">
        <f t="shared" si="240"/>
        <v/>
      </c>
      <c r="M585" s="32" t="str">
        <f t="shared" si="241"/>
        <v/>
      </c>
      <c r="N585" s="32" t="str">
        <f t="shared" si="242"/>
        <v/>
      </c>
      <c r="O585" s="32" t="str">
        <f t="shared" si="243"/>
        <v/>
      </c>
      <c r="AC585" t="str">
        <f>IFERROR(MATCH(581,$AB$5:$AB$404,1),"")</f>
        <v/>
      </c>
      <c r="AD585" t="str">
        <f>IF(581=$AI$1+1,"Z",IF($AC585="","",IF(INDEX($V$5:$V$404,$AC585)="","",IF(581&gt;INDEX($AB$5:$AB$404,$AC585)+INDEX($Z$5:$Z$404,$AC585)+INDEX($AA$5:$AA$404,$AC585)+INDEX($AO$5:$AO$404,$AC585),"",IF(581=INDEX($AB$5:$AB$404,$AC585)+INDEX($Z$5:$Z$404,$AC585),"D",IF(AND(INDEX($Z$5:$Z$404,$AC585)=1,581=INDEX($AB$5:$AB$404,$AC585)),"H",IF(AND(INDEX($AO$5:$AO$404,$AC585)=1,581=INDEX($AB$5:$AB$404,$AC585)+INDEX($Z$5:$Z$404,$AC585)+INDEX($AA$5:$AA$404,$AC585)+INDEX($AO$5:$AO$404,$AC585)),"B","T")))))))</f>
        <v/>
      </c>
      <c r="AF585" t="str">
        <f t="shared" si="244"/>
        <v/>
      </c>
      <c r="AJ585">
        <f>IF($AD585&lt;&gt;"T",0,ROUND(SUMIF(oil!$B$4:$B$63,$AF585,oil!$AE$4:$AE$63),2))</f>
        <v>0</v>
      </c>
      <c r="AQ585" t="str">
        <f t="shared" si="245"/>
        <v/>
      </c>
      <c r="AZ585">
        <f t="shared" si="246"/>
        <v>0</v>
      </c>
    </row>
    <row r="586" spans="1:52" ht="21" customHeight="1" x14ac:dyDescent="0.95">
      <c r="A586" s="36" t="str">
        <f>IF($AD586="","",IF($AD586="Z","รวมจ่ายทั้งสิ้น",IF($AD586="H",INDEX($X$5:$X$404,$AC586),IF($AD586="T","รวม",IF($AD586="B",IFERROR(INDEX(อัตราค่าขนส่ง!$U$5:$U$14,MATCH(INDEX($AM$5:$AM$404,$AC586),อัตราค่าขนส่ง!$T$5:$T$14,0)),"รวมกลุ่ม "&amp;INDEX($AM$5:$AM$404,$AC586)),INDEX($AY$5:$AY$404,$AC586))))))</f>
        <v/>
      </c>
      <c r="B586" s="31" t="str">
        <f t="shared" si="230"/>
        <v/>
      </c>
      <c r="C586" s="8" t="str">
        <f t="shared" si="231"/>
        <v/>
      </c>
      <c r="D586" s="37" t="str">
        <f t="shared" si="232"/>
        <v/>
      </c>
      <c r="E586" s="31" t="str">
        <f t="shared" si="233"/>
        <v/>
      </c>
      <c r="F586" s="32" t="str">
        <f t="shared" si="234"/>
        <v/>
      </c>
      <c r="G586" s="32" t="str">
        <f t="shared" si="235"/>
        <v/>
      </c>
      <c r="H586" s="32" t="str">
        <f t="shared" si="236"/>
        <v/>
      </c>
      <c r="I586" s="32" t="str">
        <f t="shared" si="237"/>
        <v/>
      </c>
      <c r="J586" s="46" t="str">
        <f t="shared" si="238"/>
        <v/>
      </c>
      <c r="K586" s="32" t="str">
        <f t="shared" si="239"/>
        <v/>
      </c>
      <c r="L586" s="32" t="str">
        <f t="shared" si="240"/>
        <v/>
      </c>
      <c r="M586" s="32" t="str">
        <f t="shared" si="241"/>
        <v/>
      </c>
      <c r="N586" s="32" t="str">
        <f t="shared" si="242"/>
        <v/>
      </c>
      <c r="O586" s="32" t="str">
        <f t="shared" si="243"/>
        <v/>
      </c>
      <c r="AC586" t="str">
        <f>IFERROR(MATCH(582,$AB$5:$AB$404,1),"")</f>
        <v/>
      </c>
      <c r="AD586" t="str">
        <f>IF(582=$AI$1+1,"Z",IF($AC586="","",IF(INDEX($V$5:$V$404,$AC586)="","",IF(582&gt;INDEX($AB$5:$AB$404,$AC586)+INDEX($Z$5:$Z$404,$AC586)+INDEX($AA$5:$AA$404,$AC586)+INDEX($AO$5:$AO$404,$AC586),"",IF(582=INDEX($AB$5:$AB$404,$AC586)+INDEX($Z$5:$Z$404,$AC586),"D",IF(AND(INDEX($Z$5:$Z$404,$AC586)=1,582=INDEX($AB$5:$AB$404,$AC586)),"H",IF(AND(INDEX($AO$5:$AO$404,$AC586)=1,582=INDEX($AB$5:$AB$404,$AC586)+INDEX($Z$5:$Z$404,$AC586)+INDEX($AA$5:$AA$404,$AC586)+INDEX($AO$5:$AO$404,$AC586)),"B","T")))))))</f>
        <v/>
      </c>
      <c r="AF586" t="str">
        <f t="shared" si="244"/>
        <v/>
      </c>
      <c r="AJ586">
        <f>IF($AD586&lt;&gt;"T",0,ROUND(SUMIF(oil!$B$4:$B$63,$AF586,oil!$AE$4:$AE$63),2))</f>
        <v>0</v>
      </c>
      <c r="AQ586" t="str">
        <f t="shared" si="245"/>
        <v/>
      </c>
      <c r="AZ586">
        <f t="shared" si="246"/>
        <v>0</v>
      </c>
    </row>
    <row r="587" spans="1:52" ht="21" customHeight="1" x14ac:dyDescent="0.95">
      <c r="A587" s="36" t="str">
        <f>IF($AD587="","",IF($AD587="Z","รวมจ่ายทั้งสิ้น",IF($AD587="H",INDEX($X$5:$X$404,$AC587),IF($AD587="T","รวม",IF($AD587="B",IFERROR(INDEX(อัตราค่าขนส่ง!$U$5:$U$14,MATCH(INDEX($AM$5:$AM$404,$AC587),อัตราค่าขนส่ง!$T$5:$T$14,0)),"รวมกลุ่ม "&amp;INDEX($AM$5:$AM$404,$AC587)),INDEX($AY$5:$AY$404,$AC587))))))</f>
        <v/>
      </c>
      <c r="B587" s="31" t="str">
        <f t="shared" si="230"/>
        <v/>
      </c>
      <c r="C587" s="8" t="str">
        <f t="shared" si="231"/>
        <v/>
      </c>
      <c r="D587" s="37" t="str">
        <f t="shared" si="232"/>
        <v/>
      </c>
      <c r="E587" s="31" t="str">
        <f t="shared" si="233"/>
        <v/>
      </c>
      <c r="F587" s="32" t="str">
        <f t="shared" si="234"/>
        <v/>
      </c>
      <c r="G587" s="32" t="str">
        <f t="shared" si="235"/>
        <v/>
      </c>
      <c r="H587" s="32" t="str">
        <f t="shared" si="236"/>
        <v/>
      </c>
      <c r="I587" s="32" t="str">
        <f t="shared" si="237"/>
        <v/>
      </c>
      <c r="J587" s="46" t="str">
        <f t="shared" si="238"/>
        <v/>
      </c>
      <c r="K587" s="32" t="str">
        <f t="shared" si="239"/>
        <v/>
      </c>
      <c r="L587" s="32" t="str">
        <f t="shared" si="240"/>
        <v/>
      </c>
      <c r="M587" s="32" t="str">
        <f t="shared" si="241"/>
        <v/>
      </c>
      <c r="N587" s="32" t="str">
        <f t="shared" si="242"/>
        <v/>
      </c>
      <c r="O587" s="32" t="str">
        <f t="shared" si="243"/>
        <v/>
      </c>
      <c r="AC587" t="str">
        <f>IFERROR(MATCH(583,$AB$5:$AB$404,1),"")</f>
        <v/>
      </c>
      <c r="AD587" t="str">
        <f>IF(583=$AI$1+1,"Z",IF($AC587="","",IF(INDEX($V$5:$V$404,$AC587)="","",IF(583&gt;INDEX($AB$5:$AB$404,$AC587)+INDEX($Z$5:$Z$404,$AC587)+INDEX($AA$5:$AA$404,$AC587)+INDEX($AO$5:$AO$404,$AC587),"",IF(583=INDEX($AB$5:$AB$404,$AC587)+INDEX($Z$5:$Z$404,$AC587),"D",IF(AND(INDEX($Z$5:$Z$404,$AC587)=1,583=INDEX($AB$5:$AB$404,$AC587)),"H",IF(AND(INDEX($AO$5:$AO$404,$AC587)=1,583=INDEX($AB$5:$AB$404,$AC587)+INDEX($Z$5:$Z$404,$AC587)+INDEX($AA$5:$AA$404,$AC587)+INDEX($AO$5:$AO$404,$AC587)),"B","T")))))))</f>
        <v/>
      </c>
      <c r="AF587" t="str">
        <f t="shared" si="244"/>
        <v/>
      </c>
      <c r="AJ587">
        <f>IF($AD587&lt;&gt;"T",0,ROUND(SUMIF(oil!$B$4:$B$63,$AF587,oil!$AE$4:$AE$63),2))</f>
        <v>0</v>
      </c>
      <c r="AQ587" t="str">
        <f t="shared" si="245"/>
        <v/>
      </c>
      <c r="AZ587">
        <f t="shared" si="246"/>
        <v>0</v>
      </c>
    </row>
    <row r="588" spans="1:52" ht="21" customHeight="1" x14ac:dyDescent="0.95">
      <c r="A588" s="36" t="str">
        <f>IF($AD588="","",IF($AD588="Z","รวมจ่ายทั้งสิ้น",IF($AD588="H",INDEX($X$5:$X$404,$AC588),IF($AD588="T","รวม",IF($AD588="B",IFERROR(INDEX(อัตราค่าขนส่ง!$U$5:$U$14,MATCH(INDEX($AM$5:$AM$404,$AC588),อัตราค่าขนส่ง!$T$5:$T$14,0)),"รวมกลุ่ม "&amp;INDEX($AM$5:$AM$404,$AC588)),INDEX($AY$5:$AY$404,$AC588))))))</f>
        <v/>
      </c>
      <c r="B588" s="31" t="str">
        <f t="shared" si="230"/>
        <v/>
      </c>
      <c r="C588" s="8" t="str">
        <f t="shared" si="231"/>
        <v/>
      </c>
      <c r="D588" s="37" t="str">
        <f t="shared" si="232"/>
        <v/>
      </c>
      <c r="E588" s="31" t="str">
        <f t="shared" si="233"/>
        <v/>
      </c>
      <c r="F588" s="32" t="str">
        <f t="shared" si="234"/>
        <v/>
      </c>
      <c r="G588" s="32" t="str">
        <f t="shared" si="235"/>
        <v/>
      </c>
      <c r="H588" s="32" t="str">
        <f t="shared" si="236"/>
        <v/>
      </c>
      <c r="I588" s="32" t="str">
        <f t="shared" si="237"/>
        <v/>
      </c>
      <c r="J588" s="46" t="str">
        <f t="shared" si="238"/>
        <v/>
      </c>
      <c r="K588" s="32" t="str">
        <f t="shared" si="239"/>
        <v/>
      </c>
      <c r="L588" s="32" t="str">
        <f t="shared" si="240"/>
        <v/>
      </c>
      <c r="M588" s="32" t="str">
        <f t="shared" si="241"/>
        <v/>
      </c>
      <c r="N588" s="32" t="str">
        <f t="shared" si="242"/>
        <v/>
      </c>
      <c r="O588" s="32" t="str">
        <f t="shared" si="243"/>
        <v/>
      </c>
      <c r="AC588" t="str">
        <f>IFERROR(MATCH(584,$AB$5:$AB$404,1),"")</f>
        <v/>
      </c>
      <c r="AD588" t="str">
        <f>IF(584=$AI$1+1,"Z",IF($AC588="","",IF(INDEX($V$5:$V$404,$AC588)="","",IF(584&gt;INDEX($AB$5:$AB$404,$AC588)+INDEX($Z$5:$Z$404,$AC588)+INDEX($AA$5:$AA$404,$AC588)+INDEX($AO$5:$AO$404,$AC588),"",IF(584=INDEX($AB$5:$AB$404,$AC588)+INDEX($Z$5:$Z$404,$AC588),"D",IF(AND(INDEX($Z$5:$Z$404,$AC588)=1,584=INDEX($AB$5:$AB$404,$AC588)),"H",IF(AND(INDEX($AO$5:$AO$404,$AC588)=1,584=INDEX($AB$5:$AB$404,$AC588)+INDEX($Z$5:$Z$404,$AC588)+INDEX($AA$5:$AA$404,$AC588)+INDEX($AO$5:$AO$404,$AC588)),"B","T")))))))</f>
        <v/>
      </c>
      <c r="AF588" t="str">
        <f t="shared" si="244"/>
        <v/>
      </c>
      <c r="AJ588">
        <f>IF($AD588&lt;&gt;"T",0,ROUND(SUMIF(oil!$B$4:$B$63,$AF588,oil!$AE$4:$AE$63),2))</f>
        <v>0</v>
      </c>
      <c r="AQ588" t="str">
        <f t="shared" si="245"/>
        <v/>
      </c>
      <c r="AZ588">
        <f t="shared" si="246"/>
        <v>0</v>
      </c>
    </row>
    <row r="589" spans="1:52" ht="21" customHeight="1" x14ac:dyDescent="0.95">
      <c r="A589" s="36" t="str">
        <f>IF($AD589="","",IF($AD589="Z","รวมจ่ายทั้งสิ้น",IF($AD589="H",INDEX($X$5:$X$404,$AC589),IF($AD589="T","รวม",IF($AD589="B",IFERROR(INDEX(อัตราค่าขนส่ง!$U$5:$U$14,MATCH(INDEX($AM$5:$AM$404,$AC589),อัตราค่าขนส่ง!$T$5:$T$14,0)),"รวมกลุ่ม "&amp;INDEX($AM$5:$AM$404,$AC589)),INDEX($AY$5:$AY$404,$AC589))))))</f>
        <v/>
      </c>
      <c r="B589" s="31" t="str">
        <f t="shared" si="230"/>
        <v/>
      </c>
      <c r="C589" s="8" t="str">
        <f t="shared" si="231"/>
        <v/>
      </c>
      <c r="D589" s="37" t="str">
        <f t="shared" si="232"/>
        <v/>
      </c>
      <c r="E589" s="31" t="str">
        <f t="shared" si="233"/>
        <v/>
      </c>
      <c r="F589" s="32" t="str">
        <f t="shared" si="234"/>
        <v/>
      </c>
      <c r="G589" s="32" t="str">
        <f t="shared" si="235"/>
        <v/>
      </c>
      <c r="H589" s="32" t="str">
        <f t="shared" si="236"/>
        <v/>
      </c>
      <c r="I589" s="32" t="str">
        <f t="shared" si="237"/>
        <v/>
      </c>
      <c r="J589" s="46" t="str">
        <f t="shared" si="238"/>
        <v/>
      </c>
      <c r="K589" s="32" t="str">
        <f t="shared" si="239"/>
        <v/>
      </c>
      <c r="L589" s="32" t="str">
        <f t="shared" si="240"/>
        <v/>
      </c>
      <c r="M589" s="32" t="str">
        <f t="shared" si="241"/>
        <v/>
      </c>
      <c r="N589" s="32" t="str">
        <f t="shared" si="242"/>
        <v/>
      </c>
      <c r="O589" s="32" t="str">
        <f t="shared" si="243"/>
        <v/>
      </c>
      <c r="AC589" t="str">
        <f>IFERROR(MATCH(585,$AB$5:$AB$404,1),"")</f>
        <v/>
      </c>
      <c r="AD589" t="str">
        <f>IF(585=$AI$1+1,"Z",IF($AC589="","",IF(INDEX($V$5:$V$404,$AC589)="","",IF(585&gt;INDEX($AB$5:$AB$404,$AC589)+INDEX($Z$5:$Z$404,$AC589)+INDEX($AA$5:$AA$404,$AC589)+INDEX($AO$5:$AO$404,$AC589),"",IF(585=INDEX($AB$5:$AB$404,$AC589)+INDEX($Z$5:$Z$404,$AC589),"D",IF(AND(INDEX($Z$5:$Z$404,$AC589)=1,585=INDEX($AB$5:$AB$404,$AC589)),"H",IF(AND(INDEX($AO$5:$AO$404,$AC589)=1,585=INDEX($AB$5:$AB$404,$AC589)+INDEX($Z$5:$Z$404,$AC589)+INDEX($AA$5:$AA$404,$AC589)+INDEX($AO$5:$AO$404,$AC589)),"B","T")))))))</f>
        <v/>
      </c>
      <c r="AF589" t="str">
        <f t="shared" si="244"/>
        <v/>
      </c>
      <c r="AJ589">
        <f>IF($AD589&lt;&gt;"T",0,ROUND(SUMIF(oil!$B$4:$B$63,$AF589,oil!$AE$4:$AE$63),2))</f>
        <v>0</v>
      </c>
      <c r="AQ589" t="str">
        <f t="shared" si="245"/>
        <v/>
      </c>
      <c r="AZ589">
        <f t="shared" si="246"/>
        <v>0</v>
      </c>
    </row>
    <row r="590" spans="1:52" ht="21" customHeight="1" x14ac:dyDescent="0.95">
      <c r="A590" s="36" t="str">
        <f>IF($AD590="","",IF($AD590="Z","รวมจ่ายทั้งสิ้น",IF($AD590="H",INDEX($X$5:$X$404,$AC590),IF($AD590="T","รวม",IF($AD590="B",IFERROR(INDEX(อัตราค่าขนส่ง!$U$5:$U$14,MATCH(INDEX($AM$5:$AM$404,$AC590),อัตราค่าขนส่ง!$T$5:$T$14,0)),"รวมกลุ่ม "&amp;INDEX($AM$5:$AM$404,$AC590)),INDEX($AY$5:$AY$404,$AC590))))))</f>
        <v/>
      </c>
      <c r="B590" s="31" t="str">
        <f t="shared" si="230"/>
        <v/>
      </c>
      <c r="C590" s="8" t="str">
        <f t="shared" si="231"/>
        <v/>
      </c>
      <c r="D590" s="37" t="str">
        <f t="shared" si="232"/>
        <v/>
      </c>
      <c r="E590" s="31" t="str">
        <f t="shared" si="233"/>
        <v/>
      </c>
      <c r="F590" s="32" t="str">
        <f t="shared" si="234"/>
        <v/>
      </c>
      <c r="G590" s="32" t="str">
        <f t="shared" si="235"/>
        <v/>
      </c>
      <c r="H590" s="32" t="str">
        <f t="shared" si="236"/>
        <v/>
      </c>
      <c r="I590" s="32" t="str">
        <f t="shared" si="237"/>
        <v/>
      </c>
      <c r="J590" s="46" t="str">
        <f t="shared" si="238"/>
        <v/>
      </c>
      <c r="K590" s="32" t="str">
        <f t="shared" si="239"/>
        <v/>
      </c>
      <c r="L590" s="32" t="str">
        <f t="shared" si="240"/>
        <v/>
      </c>
      <c r="M590" s="32" t="str">
        <f t="shared" si="241"/>
        <v/>
      </c>
      <c r="N590" s="32" t="str">
        <f t="shared" si="242"/>
        <v/>
      </c>
      <c r="O590" s="32" t="str">
        <f t="shared" si="243"/>
        <v/>
      </c>
      <c r="AC590" t="str">
        <f>IFERROR(MATCH(586,$AB$5:$AB$404,1),"")</f>
        <v/>
      </c>
      <c r="AD590" t="str">
        <f>IF(586=$AI$1+1,"Z",IF($AC590="","",IF(INDEX($V$5:$V$404,$AC590)="","",IF(586&gt;INDEX($AB$5:$AB$404,$AC590)+INDEX($Z$5:$Z$404,$AC590)+INDEX($AA$5:$AA$404,$AC590)+INDEX($AO$5:$AO$404,$AC590),"",IF(586=INDEX($AB$5:$AB$404,$AC590)+INDEX($Z$5:$Z$404,$AC590),"D",IF(AND(INDEX($Z$5:$Z$404,$AC590)=1,586=INDEX($AB$5:$AB$404,$AC590)),"H",IF(AND(INDEX($AO$5:$AO$404,$AC590)=1,586=INDEX($AB$5:$AB$404,$AC590)+INDEX($Z$5:$Z$404,$AC590)+INDEX($AA$5:$AA$404,$AC590)+INDEX($AO$5:$AO$404,$AC590)),"B","T")))))))</f>
        <v/>
      </c>
      <c r="AF590" t="str">
        <f t="shared" si="244"/>
        <v/>
      </c>
      <c r="AJ590">
        <f>IF($AD590&lt;&gt;"T",0,ROUND(SUMIF(oil!$B$4:$B$63,$AF590,oil!$AE$4:$AE$63),2))</f>
        <v>0</v>
      </c>
      <c r="AQ590" t="str">
        <f t="shared" si="245"/>
        <v/>
      </c>
      <c r="AZ590">
        <f t="shared" si="246"/>
        <v>0</v>
      </c>
    </row>
    <row r="591" spans="1:52" ht="21" customHeight="1" x14ac:dyDescent="0.95">
      <c r="A591" s="36" t="str">
        <f>IF($AD591="","",IF($AD591="Z","รวมจ่ายทั้งสิ้น",IF($AD591="H",INDEX($X$5:$X$404,$AC591),IF($AD591="T","รวม",IF($AD591="B",IFERROR(INDEX(อัตราค่าขนส่ง!$U$5:$U$14,MATCH(INDEX($AM$5:$AM$404,$AC591),อัตราค่าขนส่ง!$T$5:$T$14,0)),"รวมกลุ่ม "&amp;INDEX($AM$5:$AM$404,$AC591)),INDEX($AY$5:$AY$404,$AC591))))))</f>
        <v/>
      </c>
      <c r="B591" s="31" t="str">
        <f t="shared" si="230"/>
        <v/>
      </c>
      <c r="C591" s="8" t="str">
        <f t="shared" si="231"/>
        <v/>
      </c>
      <c r="D591" s="37" t="str">
        <f t="shared" si="232"/>
        <v/>
      </c>
      <c r="E591" s="31" t="str">
        <f t="shared" si="233"/>
        <v/>
      </c>
      <c r="F591" s="32" t="str">
        <f t="shared" si="234"/>
        <v/>
      </c>
      <c r="G591" s="32" t="str">
        <f t="shared" si="235"/>
        <v/>
      </c>
      <c r="H591" s="32" t="str">
        <f t="shared" si="236"/>
        <v/>
      </c>
      <c r="I591" s="32" t="str">
        <f t="shared" si="237"/>
        <v/>
      </c>
      <c r="J591" s="46" t="str">
        <f t="shared" si="238"/>
        <v/>
      </c>
      <c r="K591" s="32" t="str">
        <f t="shared" si="239"/>
        <v/>
      </c>
      <c r="L591" s="32" t="str">
        <f t="shared" si="240"/>
        <v/>
      </c>
      <c r="M591" s="32" t="str">
        <f t="shared" si="241"/>
        <v/>
      </c>
      <c r="N591" s="32" t="str">
        <f t="shared" si="242"/>
        <v/>
      </c>
      <c r="O591" s="32" t="str">
        <f t="shared" si="243"/>
        <v/>
      </c>
      <c r="AC591" t="str">
        <f>IFERROR(MATCH(587,$AB$5:$AB$404,1),"")</f>
        <v/>
      </c>
      <c r="AD591" t="str">
        <f>IF(587=$AI$1+1,"Z",IF($AC591="","",IF(INDEX($V$5:$V$404,$AC591)="","",IF(587&gt;INDEX($AB$5:$AB$404,$AC591)+INDEX($Z$5:$Z$404,$AC591)+INDEX($AA$5:$AA$404,$AC591)+INDEX($AO$5:$AO$404,$AC591),"",IF(587=INDEX($AB$5:$AB$404,$AC591)+INDEX($Z$5:$Z$404,$AC591),"D",IF(AND(INDEX($Z$5:$Z$404,$AC591)=1,587=INDEX($AB$5:$AB$404,$AC591)),"H",IF(AND(INDEX($AO$5:$AO$404,$AC591)=1,587=INDEX($AB$5:$AB$404,$AC591)+INDEX($Z$5:$Z$404,$AC591)+INDEX($AA$5:$AA$404,$AC591)+INDEX($AO$5:$AO$404,$AC591)),"B","T")))))))</f>
        <v/>
      </c>
      <c r="AF591" t="str">
        <f t="shared" si="244"/>
        <v/>
      </c>
      <c r="AJ591">
        <f>IF($AD591&lt;&gt;"T",0,ROUND(SUMIF(oil!$B$4:$B$63,$AF591,oil!$AE$4:$AE$63),2))</f>
        <v>0</v>
      </c>
      <c r="AQ591" t="str">
        <f t="shared" si="245"/>
        <v/>
      </c>
      <c r="AZ591">
        <f t="shared" si="246"/>
        <v>0</v>
      </c>
    </row>
    <row r="592" spans="1:52" ht="21" customHeight="1" x14ac:dyDescent="0.95">
      <c r="A592" s="36" t="str">
        <f>IF($AD592="","",IF($AD592="Z","รวมจ่ายทั้งสิ้น",IF($AD592="H",INDEX($X$5:$X$404,$AC592),IF($AD592="T","รวม",IF($AD592="B",IFERROR(INDEX(อัตราค่าขนส่ง!$U$5:$U$14,MATCH(INDEX($AM$5:$AM$404,$AC592),อัตราค่าขนส่ง!$T$5:$T$14,0)),"รวมกลุ่ม "&amp;INDEX($AM$5:$AM$404,$AC592)),INDEX($AY$5:$AY$404,$AC592))))))</f>
        <v/>
      </c>
      <c r="B592" s="31" t="str">
        <f t="shared" si="230"/>
        <v/>
      </c>
      <c r="C592" s="8" t="str">
        <f t="shared" si="231"/>
        <v/>
      </c>
      <c r="D592" s="37" t="str">
        <f t="shared" si="232"/>
        <v/>
      </c>
      <c r="E592" s="31" t="str">
        <f t="shared" si="233"/>
        <v/>
      </c>
      <c r="F592" s="32" t="str">
        <f t="shared" si="234"/>
        <v/>
      </c>
      <c r="G592" s="32" t="str">
        <f t="shared" si="235"/>
        <v/>
      </c>
      <c r="H592" s="32" t="str">
        <f t="shared" si="236"/>
        <v/>
      </c>
      <c r="I592" s="32" t="str">
        <f t="shared" si="237"/>
        <v/>
      </c>
      <c r="J592" s="46" t="str">
        <f t="shared" si="238"/>
        <v/>
      </c>
      <c r="K592" s="32" t="str">
        <f t="shared" si="239"/>
        <v/>
      </c>
      <c r="L592" s="32" t="str">
        <f t="shared" si="240"/>
        <v/>
      </c>
      <c r="M592" s="32" t="str">
        <f t="shared" si="241"/>
        <v/>
      </c>
      <c r="N592" s="32" t="str">
        <f t="shared" si="242"/>
        <v/>
      </c>
      <c r="O592" s="32" t="str">
        <f t="shared" si="243"/>
        <v/>
      </c>
      <c r="AC592" t="str">
        <f>IFERROR(MATCH(588,$AB$5:$AB$404,1),"")</f>
        <v/>
      </c>
      <c r="AD592" t="str">
        <f>IF(588=$AI$1+1,"Z",IF($AC592="","",IF(INDEX($V$5:$V$404,$AC592)="","",IF(588&gt;INDEX($AB$5:$AB$404,$AC592)+INDEX($Z$5:$Z$404,$AC592)+INDEX($AA$5:$AA$404,$AC592)+INDEX($AO$5:$AO$404,$AC592),"",IF(588=INDEX($AB$5:$AB$404,$AC592)+INDEX($Z$5:$Z$404,$AC592),"D",IF(AND(INDEX($Z$5:$Z$404,$AC592)=1,588=INDEX($AB$5:$AB$404,$AC592)),"H",IF(AND(INDEX($AO$5:$AO$404,$AC592)=1,588=INDEX($AB$5:$AB$404,$AC592)+INDEX($Z$5:$Z$404,$AC592)+INDEX($AA$5:$AA$404,$AC592)+INDEX($AO$5:$AO$404,$AC592)),"B","T")))))))</f>
        <v/>
      </c>
      <c r="AF592" t="str">
        <f t="shared" si="244"/>
        <v/>
      </c>
      <c r="AJ592">
        <f>IF($AD592&lt;&gt;"T",0,ROUND(SUMIF(oil!$B$4:$B$63,$AF592,oil!$AE$4:$AE$63),2))</f>
        <v>0</v>
      </c>
      <c r="AQ592" t="str">
        <f t="shared" si="245"/>
        <v/>
      </c>
      <c r="AZ592">
        <f t="shared" si="246"/>
        <v>0</v>
      </c>
    </row>
    <row r="593" spans="1:52" ht="21" customHeight="1" x14ac:dyDescent="0.95">
      <c r="A593" s="36" t="str">
        <f>IF($AD593="","",IF($AD593="Z","รวมจ่ายทั้งสิ้น",IF($AD593="H",INDEX($X$5:$X$404,$AC593),IF($AD593="T","รวม",IF($AD593="B",IFERROR(INDEX(อัตราค่าขนส่ง!$U$5:$U$14,MATCH(INDEX($AM$5:$AM$404,$AC593),อัตราค่าขนส่ง!$T$5:$T$14,0)),"รวมกลุ่ม "&amp;INDEX($AM$5:$AM$404,$AC593)),INDEX($AY$5:$AY$404,$AC593))))))</f>
        <v/>
      </c>
      <c r="B593" s="31" t="str">
        <f t="shared" si="230"/>
        <v/>
      </c>
      <c r="C593" s="8" t="str">
        <f t="shared" si="231"/>
        <v/>
      </c>
      <c r="D593" s="37" t="str">
        <f t="shared" si="232"/>
        <v/>
      </c>
      <c r="E593" s="31" t="str">
        <f t="shared" si="233"/>
        <v/>
      </c>
      <c r="F593" s="32" t="str">
        <f t="shared" si="234"/>
        <v/>
      </c>
      <c r="G593" s="32" t="str">
        <f t="shared" si="235"/>
        <v/>
      </c>
      <c r="H593" s="32" t="str">
        <f t="shared" si="236"/>
        <v/>
      </c>
      <c r="I593" s="32" t="str">
        <f t="shared" si="237"/>
        <v/>
      </c>
      <c r="J593" s="46" t="str">
        <f t="shared" si="238"/>
        <v/>
      </c>
      <c r="K593" s="32" t="str">
        <f t="shared" si="239"/>
        <v/>
      </c>
      <c r="L593" s="32" t="str">
        <f t="shared" si="240"/>
        <v/>
      </c>
      <c r="M593" s="32" t="str">
        <f t="shared" si="241"/>
        <v/>
      </c>
      <c r="N593" s="32" t="str">
        <f t="shared" si="242"/>
        <v/>
      </c>
      <c r="O593" s="32" t="str">
        <f t="shared" si="243"/>
        <v/>
      </c>
      <c r="AC593" t="str">
        <f>IFERROR(MATCH(589,$AB$5:$AB$404,1),"")</f>
        <v/>
      </c>
      <c r="AD593" t="str">
        <f>IF(589=$AI$1+1,"Z",IF($AC593="","",IF(INDEX($V$5:$V$404,$AC593)="","",IF(589&gt;INDEX($AB$5:$AB$404,$AC593)+INDEX($Z$5:$Z$404,$AC593)+INDEX($AA$5:$AA$404,$AC593)+INDEX($AO$5:$AO$404,$AC593),"",IF(589=INDEX($AB$5:$AB$404,$AC593)+INDEX($Z$5:$Z$404,$AC593),"D",IF(AND(INDEX($Z$5:$Z$404,$AC593)=1,589=INDEX($AB$5:$AB$404,$AC593)),"H",IF(AND(INDEX($AO$5:$AO$404,$AC593)=1,589=INDEX($AB$5:$AB$404,$AC593)+INDEX($Z$5:$Z$404,$AC593)+INDEX($AA$5:$AA$404,$AC593)+INDEX($AO$5:$AO$404,$AC593)),"B","T")))))))</f>
        <v/>
      </c>
      <c r="AF593" t="str">
        <f t="shared" si="244"/>
        <v/>
      </c>
      <c r="AJ593">
        <f>IF($AD593&lt;&gt;"T",0,ROUND(SUMIF(oil!$B$4:$B$63,$AF593,oil!$AE$4:$AE$63),2))</f>
        <v>0</v>
      </c>
      <c r="AQ593" t="str">
        <f t="shared" si="245"/>
        <v/>
      </c>
      <c r="AZ593">
        <f t="shared" si="246"/>
        <v>0</v>
      </c>
    </row>
    <row r="594" spans="1:52" ht="21" customHeight="1" x14ac:dyDescent="0.95">
      <c r="A594" s="36" t="str">
        <f>IF($AD594="","",IF($AD594="Z","รวมจ่ายทั้งสิ้น",IF($AD594="H",INDEX($X$5:$X$404,$AC594),IF($AD594="T","รวม",IF($AD594="B",IFERROR(INDEX(อัตราค่าขนส่ง!$U$5:$U$14,MATCH(INDEX($AM$5:$AM$404,$AC594),อัตราค่าขนส่ง!$T$5:$T$14,0)),"รวมกลุ่ม "&amp;INDEX($AM$5:$AM$404,$AC594)),INDEX($AY$5:$AY$404,$AC594))))))</f>
        <v/>
      </c>
      <c r="B594" s="31" t="str">
        <f t="shared" si="230"/>
        <v/>
      </c>
      <c r="C594" s="8" t="str">
        <f t="shared" si="231"/>
        <v/>
      </c>
      <c r="D594" s="37" t="str">
        <f t="shared" si="232"/>
        <v/>
      </c>
      <c r="E594" s="31" t="str">
        <f t="shared" si="233"/>
        <v/>
      </c>
      <c r="F594" s="32" t="str">
        <f t="shared" si="234"/>
        <v/>
      </c>
      <c r="G594" s="32" t="str">
        <f t="shared" si="235"/>
        <v/>
      </c>
      <c r="H594" s="32" t="str">
        <f t="shared" si="236"/>
        <v/>
      </c>
      <c r="I594" s="32" t="str">
        <f t="shared" si="237"/>
        <v/>
      </c>
      <c r="J594" s="46" t="str">
        <f t="shared" si="238"/>
        <v/>
      </c>
      <c r="K594" s="32" t="str">
        <f t="shared" si="239"/>
        <v/>
      </c>
      <c r="L594" s="32" t="str">
        <f t="shared" si="240"/>
        <v/>
      </c>
      <c r="M594" s="32" t="str">
        <f t="shared" si="241"/>
        <v/>
      </c>
      <c r="N594" s="32" t="str">
        <f t="shared" si="242"/>
        <v/>
      </c>
      <c r="O594" s="32" t="str">
        <f t="shared" si="243"/>
        <v/>
      </c>
      <c r="AC594" t="str">
        <f>IFERROR(MATCH(590,$AB$5:$AB$404,1),"")</f>
        <v/>
      </c>
      <c r="AD594" t="str">
        <f>IF(590=$AI$1+1,"Z",IF($AC594="","",IF(INDEX($V$5:$V$404,$AC594)="","",IF(590&gt;INDEX($AB$5:$AB$404,$AC594)+INDEX($Z$5:$Z$404,$AC594)+INDEX($AA$5:$AA$404,$AC594)+INDEX($AO$5:$AO$404,$AC594),"",IF(590=INDEX($AB$5:$AB$404,$AC594)+INDEX($Z$5:$Z$404,$AC594),"D",IF(AND(INDEX($Z$5:$Z$404,$AC594)=1,590=INDEX($AB$5:$AB$404,$AC594)),"H",IF(AND(INDEX($AO$5:$AO$404,$AC594)=1,590=INDEX($AB$5:$AB$404,$AC594)+INDEX($Z$5:$Z$404,$AC594)+INDEX($AA$5:$AA$404,$AC594)+INDEX($AO$5:$AO$404,$AC594)),"B","T")))))))</f>
        <v/>
      </c>
      <c r="AF594" t="str">
        <f t="shared" si="244"/>
        <v/>
      </c>
      <c r="AJ594">
        <f>IF($AD594&lt;&gt;"T",0,ROUND(SUMIF(oil!$B$4:$B$63,$AF594,oil!$AE$4:$AE$63),2))</f>
        <v>0</v>
      </c>
      <c r="AQ594" t="str">
        <f t="shared" si="245"/>
        <v/>
      </c>
      <c r="AZ594">
        <f t="shared" si="246"/>
        <v>0</v>
      </c>
    </row>
    <row r="595" spans="1:52" ht="21" customHeight="1" x14ac:dyDescent="0.95">
      <c r="A595" s="36" t="str">
        <f>IF($AD595="","",IF($AD595="Z","รวมจ่ายทั้งสิ้น",IF($AD595="H",INDEX($X$5:$X$404,$AC595),IF($AD595="T","รวม",IF($AD595="B",IFERROR(INDEX(อัตราค่าขนส่ง!$U$5:$U$14,MATCH(INDEX($AM$5:$AM$404,$AC595),อัตราค่าขนส่ง!$T$5:$T$14,0)),"รวมกลุ่ม "&amp;INDEX($AM$5:$AM$404,$AC595)),INDEX($AY$5:$AY$404,$AC595))))))</f>
        <v/>
      </c>
      <c r="B595" s="31" t="str">
        <f t="shared" si="230"/>
        <v/>
      </c>
      <c r="C595" s="8" t="str">
        <f t="shared" si="231"/>
        <v/>
      </c>
      <c r="D595" s="37" t="str">
        <f t="shared" si="232"/>
        <v/>
      </c>
      <c r="E595" s="31" t="str">
        <f t="shared" si="233"/>
        <v/>
      </c>
      <c r="F595" s="32" t="str">
        <f t="shared" si="234"/>
        <v/>
      </c>
      <c r="G595" s="32" t="str">
        <f t="shared" si="235"/>
        <v/>
      </c>
      <c r="H595" s="32" t="str">
        <f t="shared" si="236"/>
        <v/>
      </c>
      <c r="I595" s="32" t="str">
        <f t="shared" si="237"/>
        <v/>
      </c>
      <c r="J595" s="46" t="str">
        <f t="shared" si="238"/>
        <v/>
      </c>
      <c r="K595" s="32" t="str">
        <f t="shared" si="239"/>
        <v/>
      </c>
      <c r="L595" s="32" t="str">
        <f t="shared" si="240"/>
        <v/>
      </c>
      <c r="M595" s="32" t="str">
        <f t="shared" si="241"/>
        <v/>
      </c>
      <c r="N595" s="32" t="str">
        <f t="shared" si="242"/>
        <v/>
      </c>
      <c r="O595" s="32" t="str">
        <f t="shared" si="243"/>
        <v/>
      </c>
      <c r="AC595" t="str">
        <f>IFERROR(MATCH(591,$AB$5:$AB$404,1),"")</f>
        <v/>
      </c>
      <c r="AD595" t="str">
        <f>IF(591=$AI$1+1,"Z",IF($AC595="","",IF(INDEX($V$5:$V$404,$AC595)="","",IF(591&gt;INDEX($AB$5:$AB$404,$AC595)+INDEX($Z$5:$Z$404,$AC595)+INDEX($AA$5:$AA$404,$AC595)+INDEX($AO$5:$AO$404,$AC595),"",IF(591=INDEX($AB$5:$AB$404,$AC595)+INDEX($Z$5:$Z$404,$AC595),"D",IF(AND(INDEX($Z$5:$Z$404,$AC595)=1,591=INDEX($AB$5:$AB$404,$AC595)),"H",IF(AND(INDEX($AO$5:$AO$404,$AC595)=1,591=INDEX($AB$5:$AB$404,$AC595)+INDEX($Z$5:$Z$404,$AC595)+INDEX($AA$5:$AA$404,$AC595)+INDEX($AO$5:$AO$404,$AC595)),"B","T")))))))</f>
        <v/>
      </c>
      <c r="AF595" t="str">
        <f t="shared" si="244"/>
        <v/>
      </c>
      <c r="AJ595">
        <f>IF($AD595&lt;&gt;"T",0,ROUND(SUMIF(oil!$B$4:$B$63,$AF595,oil!$AE$4:$AE$63),2))</f>
        <v>0</v>
      </c>
      <c r="AQ595" t="str">
        <f t="shared" si="245"/>
        <v/>
      </c>
      <c r="AZ595">
        <f t="shared" si="246"/>
        <v>0</v>
      </c>
    </row>
    <row r="596" spans="1:52" ht="21" customHeight="1" x14ac:dyDescent="0.95">
      <c r="A596" s="36" t="str">
        <f>IF($AD596="","",IF($AD596="Z","รวมจ่ายทั้งสิ้น",IF($AD596="H",INDEX($X$5:$X$404,$AC596),IF($AD596="T","รวม",IF($AD596="B",IFERROR(INDEX(อัตราค่าขนส่ง!$U$5:$U$14,MATCH(INDEX($AM$5:$AM$404,$AC596),อัตราค่าขนส่ง!$T$5:$T$14,0)),"รวมกลุ่ม "&amp;INDEX($AM$5:$AM$404,$AC596)),INDEX($AY$5:$AY$404,$AC596))))))</f>
        <v/>
      </c>
      <c r="B596" s="31" t="str">
        <f t="shared" si="230"/>
        <v/>
      </c>
      <c r="C596" s="8" t="str">
        <f t="shared" si="231"/>
        <v/>
      </c>
      <c r="D596" s="37" t="str">
        <f t="shared" si="232"/>
        <v/>
      </c>
      <c r="E596" s="31" t="str">
        <f t="shared" si="233"/>
        <v/>
      </c>
      <c r="F596" s="32" t="str">
        <f t="shared" si="234"/>
        <v/>
      </c>
      <c r="G596" s="32" t="str">
        <f t="shared" si="235"/>
        <v/>
      </c>
      <c r="H596" s="32" t="str">
        <f t="shared" si="236"/>
        <v/>
      </c>
      <c r="I596" s="32" t="str">
        <f t="shared" si="237"/>
        <v/>
      </c>
      <c r="J596" s="46" t="str">
        <f t="shared" si="238"/>
        <v/>
      </c>
      <c r="K596" s="32" t="str">
        <f t="shared" si="239"/>
        <v/>
      </c>
      <c r="L596" s="32" t="str">
        <f t="shared" si="240"/>
        <v/>
      </c>
      <c r="M596" s="32" t="str">
        <f t="shared" si="241"/>
        <v/>
      </c>
      <c r="N596" s="32" t="str">
        <f t="shared" si="242"/>
        <v/>
      </c>
      <c r="O596" s="32" t="str">
        <f t="shared" si="243"/>
        <v/>
      </c>
      <c r="AC596" t="str">
        <f>IFERROR(MATCH(592,$AB$5:$AB$404,1),"")</f>
        <v/>
      </c>
      <c r="AD596" t="str">
        <f>IF(592=$AI$1+1,"Z",IF($AC596="","",IF(INDEX($V$5:$V$404,$AC596)="","",IF(592&gt;INDEX($AB$5:$AB$404,$AC596)+INDEX($Z$5:$Z$404,$AC596)+INDEX($AA$5:$AA$404,$AC596)+INDEX($AO$5:$AO$404,$AC596),"",IF(592=INDEX($AB$5:$AB$404,$AC596)+INDEX($Z$5:$Z$404,$AC596),"D",IF(AND(INDEX($Z$5:$Z$404,$AC596)=1,592=INDEX($AB$5:$AB$404,$AC596)),"H",IF(AND(INDEX($AO$5:$AO$404,$AC596)=1,592=INDEX($AB$5:$AB$404,$AC596)+INDEX($Z$5:$Z$404,$AC596)+INDEX($AA$5:$AA$404,$AC596)+INDEX($AO$5:$AO$404,$AC596)),"B","T")))))))</f>
        <v/>
      </c>
      <c r="AF596" t="str">
        <f t="shared" si="244"/>
        <v/>
      </c>
      <c r="AJ596">
        <f>IF($AD596&lt;&gt;"T",0,ROUND(SUMIF(oil!$B$4:$B$63,$AF596,oil!$AE$4:$AE$63),2))</f>
        <v>0</v>
      </c>
      <c r="AQ596" t="str">
        <f t="shared" si="245"/>
        <v/>
      </c>
      <c r="AZ596">
        <f t="shared" si="246"/>
        <v>0</v>
      </c>
    </row>
    <row r="597" spans="1:52" ht="21" customHeight="1" x14ac:dyDescent="0.95">
      <c r="A597" s="36" t="str">
        <f>IF($AD597="","",IF($AD597="Z","รวมจ่ายทั้งสิ้น",IF($AD597="H",INDEX($X$5:$X$404,$AC597),IF($AD597="T","รวม",IF($AD597="B",IFERROR(INDEX(อัตราค่าขนส่ง!$U$5:$U$14,MATCH(INDEX($AM$5:$AM$404,$AC597),อัตราค่าขนส่ง!$T$5:$T$14,0)),"รวมกลุ่ม "&amp;INDEX($AM$5:$AM$404,$AC597)),INDEX($AY$5:$AY$404,$AC597))))))</f>
        <v/>
      </c>
      <c r="B597" s="31" t="str">
        <f t="shared" si="230"/>
        <v/>
      </c>
      <c r="C597" s="8" t="str">
        <f t="shared" si="231"/>
        <v/>
      </c>
      <c r="D597" s="37" t="str">
        <f t="shared" si="232"/>
        <v/>
      </c>
      <c r="E597" s="31" t="str">
        <f t="shared" si="233"/>
        <v/>
      </c>
      <c r="F597" s="32" t="str">
        <f t="shared" si="234"/>
        <v/>
      </c>
      <c r="G597" s="32" t="str">
        <f t="shared" si="235"/>
        <v/>
      </c>
      <c r="H597" s="32" t="str">
        <f t="shared" si="236"/>
        <v/>
      </c>
      <c r="I597" s="32" t="str">
        <f t="shared" si="237"/>
        <v/>
      </c>
      <c r="J597" s="46" t="str">
        <f t="shared" si="238"/>
        <v/>
      </c>
      <c r="K597" s="32" t="str">
        <f t="shared" si="239"/>
        <v/>
      </c>
      <c r="L597" s="32" t="str">
        <f t="shared" si="240"/>
        <v/>
      </c>
      <c r="M597" s="32" t="str">
        <f t="shared" si="241"/>
        <v/>
      </c>
      <c r="N597" s="32" t="str">
        <f t="shared" si="242"/>
        <v/>
      </c>
      <c r="O597" s="32" t="str">
        <f t="shared" si="243"/>
        <v/>
      </c>
      <c r="AC597" t="str">
        <f>IFERROR(MATCH(593,$AB$5:$AB$404,1),"")</f>
        <v/>
      </c>
      <c r="AD597" t="str">
        <f>IF(593=$AI$1+1,"Z",IF($AC597="","",IF(INDEX($V$5:$V$404,$AC597)="","",IF(593&gt;INDEX($AB$5:$AB$404,$AC597)+INDEX($Z$5:$Z$404,$AC597)+INDEX($AA$5:$AA$404,$AC597)+INDEX($AO$5:$AO$404,$AC597),"",IF(593=INDEX($AB$5:$AB$404,$AC597)+INDEX($Z$5:$Z$404,$AC597),"D",IF(AND(INDEX($Z$5:$Z$404,$AC597)=1,593=INDEX($AB$5:$AB$404,$AC597)),"H",IF(AND(INDEX($AO$5:$AO$404,$AC597)=1,593=INDEX($AB$5:$AB$404,$AC597)+INDEX($Z$5:$Z$404,$AC597)+INDEX($AA$5:$AA$404,$AC597)+INDEX($AO$5:$AO$404,$AC597)),"B","T")))))))</f>
        <v/>
      </c>
      <c r="AF597" t="str">
        <f t="shared" si="244"/>
        <v/>
      </c>
      <c r="AJ597">
        <f>IF($AD597&lt;&gt;"T",0,ROUND(SUMIF(oil!$B$4:$B$63,$AF597,oil!$AE$4:$AE$63),2))</f>
        <v>0</v>
      </c>
      <c r="AQ597" t="str">
        <f t="shared" si="245"/>
        <v/>
      </c>
      <c r="AZ597">
        <f t="shared" si="246"/>
        <v>0</v>
      </c>
    </row>
    <row r="598" spans="1:52" ht="21" customHeight="1" x14ac:dyDescent="0.95">
      <c r="A598" s="36" t="str">
        <f>IF($AD598="","",IF($AD598="Z","รวมจ่ายทั้งสิ้น",IF($AD598="H",INDEX($X$5:$X$404,$AC598),IF($AD598="T","รวม",IF($AD598="B",IFERROR(INDEX(อัตราค่าขนส่ง!$U$5:$U$14,MATCH(INDEX($AM$5:$AM$404,$AC598),อัตราค่าขนส่ง!$T$5:$T$14,0)),"รวมกลุ่ม "&amp;INDEX($AM$5:$AM$404,$AC598)),INDEX($AY$5:$AY$404,$AC598))))))</f>
        <v/>
      </c>
      <c r="B598" s="31" t="str">
        <f t="shared" si="230"/>
        <v/>
      </c>
      <c r="C598" s="8" t="str">
        <f t="shared" si="231"/>
        <v/>
      </c>
      <c r="D598" s="37" t="str">
        <f t="shared" si="232"/>
        <v/>
      </c>
      <c r="E598" s="31" t="str">
        <f t="shared" si="233"/>
        <v/>
      </c>
      <c r="F598" s="32" t="str">
        <f t="shared" si="234"/>
        <v/>
      </c>
      <c r="G598" s="32" t="str">
        <f t="shared" si="235"/>
        <v/>
      </c>
      <c r="H598" s="32" t="str">
        <f t="shared" si="236"/>
        <v/>
      </c>
      <c r="I598" s="32" t="str">
        <f t="shared" si="237"/>
        <v/>
      </c>
      <c r="J598" s="46" t="str">
        <f t="shared" si="238"/>
        <v/>
      </c>
      <c r="K598" s="32" t="str">
        <f t="shared" si="239"/>
        <v/>
      </c>
      <c r="L598" s="32" t="str">
        <f t="shared" si="240"/>
        <v/>
      </c>
      <c r="M598" s="32" t="str">
        <f t="shared" si="241"/>
        <v/>
      </c>
      <c r="N598" s="32" t="str">
        <f t="shared" si="242"/>
        <v/>
      </c>
      <c r="O598" s="32" t="str">
        <f t="shared" si="243"/>
        <v/>
      </c>
      <c r="AC598" t="str">
        <f>IFERROR(MATCH(594,$AB$5:$AB$404,1),"")</f>
        <v/>
      </c>
      <c r="AD598" t="str">
        <f>IF(594=$AI$1+1,"Z",IF($AC598="","",IF(INDEX($V$5:$V$404,$AC598)="","",IF(594&gt;INDEX($AB$5:$AB$404,$AC598)+INDEX($Z$5:$Z$404,$AC598)+INDEX($AA$5:$AA$404,$AC598)+INDEX($AO$5:$AO$404,$AC598),"",IF(594=INDEX($AB$5:$AB$404,$AC598)+INDEX($Z$5:$Z$404,$AC598),"D",IF(AND(INDEX($Z$5:$Z$404,$AC598)=1,594=INDEX($AB$5:$AB$404,$AC598)),"H",IF(AND(INDEX($AO$5:$AO$404,$AC598)=1,594=INDEX($AB$5:$AB$404,$AC598)+INDEX($Z$5:$Z$404,$AC598)+INDEX($AA$5:$AA$404,$AC598)+INDEX($AO$5:$AO$404,$AC598)),"B","T")))))))</f>
        <v/>
      </c>
      <c r="AF598" t="str">
        <f t="shared" si="244"/>
        <v/>
      </c>
      <c r="AJ598">
        <f>IF($AD598&lt;&gt;"T",0,ROUND(SUMIF(oil!$B$4:$B$63,$AF598,oil!$AE$4:$AE$63),2))</f>
        <v>0</v>
      </c>
      <c r="AQ598" t="str">
        <f t="shared" si="245"/>
        <v/>
      </c>
      <c r="AZ598">
        <f t="shared" si="246"/>
        <v>0</v>
      </c>
    </row>
    <row r="599" spans="1:52" ht="21" customHeight="1" x14ac:dyDescent="0.95">
      <c r="A599" s="36" t="str">
        <f>IF($AD599="","",IF($AD599="Z","รวมจ่ายทั้งสิ้น",IF($AD599="H",INDEX($X$5:$X$404,$AC599),IF($AD599="T","รวม",IF($AD599="B",IFERROR(INDEX(อัตราค่าขนส่ง!$U$5:$U$14,MATCH(INDEX($AM$5:$AM$404,$AC599),อัตราค่าขนส่ง!$T$5:$T$14,0)),"รวมกลุ่ม "&amp;INDEX($AM$5:$AM$404,$AC599)),INDEX($AY$5:$AY$404,$AC599))))))</f>
        <v/>
      </c>
      <c r="B599" s="31" t="str">
        <f t="shared" si="230"/>
        <v/>
      </c>
      <c r="C599" s="8" t="str">
        <f t="shared" si="231"/>
        <v/>
      </c>
      <c r="D599" s="37" t="str">
        <f t="shared" si="232"/>
        <v/>
      </c>
      <c r="E599" s="31" t="str">
        <f t="shared" si="233"/>
        <v/>
      </c>
      <c r="F599" s="32" t="str">
        <f t="shared" si="234"/>
        <v/>
      </c>
      <c r="G599" s="32" t="str">
        <f t="shared" si="235"/>
        <v/>
      </c>
      <c r="H599" s="32" t="str">
        <f t="shared" si="236"/>
        <v/>
      </c>
      <c r="I599" s="32" t="str">
        <f t="shared" si="237"/>
        <v/>
      </c>
      <c r="J599" s="46" t="str">
        <f t="shared" si="238"/>
        <v/>
      </c>
      <c r="K599" s="32" t="str">
        <f t="shared" si="239"/>
        <v/>
      </c>
      <c r="L599" s="32" t="str">
        <f t="shared" si="240"/>
        <v/>
      </c>
      <c r="M599" s="32" t="str">
        <f t="shared" si="241"/>
        <v/>
      </c>
      <c r="N599" s="32" t="str">
        <f t="shared" si="242"/>
        <v/>
      </c>
      <c r="O599" s="32" t="str">
        <f t="shared" si="243"/>
        <v/>
      </c>
      <c r="AC599" t="str">
        <f>IFERROR(MATCH(595,$AB$5:$AB$404,1),"")</f>
        <v/>
      </c>
      <c r="AD599" t="str">
        <f>IF(595=$AI$1+1,"Z",IF($AC599="","",IF(INDEX($V$5:$V$404,$AC599)="","",IF(595&gt;INDEX($AB$5:$AB$404,$AC599)+INDEX($Z$5:$Z$404,$AC599)+INDEX($AA$5:$AA$404,$AC599)+INDEX($AO$5:$AO$404,$AC599),"",IF(595=INDEX($AB$5:$AB$404,$AC599)+INDEX($Z$5:$Z$404,$AC599),"D",IF(AND(INDEX($Z$5:$Z$404,$AC599)=1,595=INDEX($AB$5:$AB$404,$AC599)),"H",IF(AND(INDEX($AO$5:$AO$404,$AC599)=1,595=INDEX($AB$5:$AB$404,$AC599)+INDEX($Z$5:$Z$404,$AC599)+INDEX($AA$5:$AA$404,$AC599)+INDEX($AO$5:$AO$404,$AC599)),"B","T")))))))</f>
        <v/>
      </c>
      <c r="AF599" t="str">
        <f t="shared" si="244"/>
        <v/>
      </c>
      <c r="AJ599">
        <f>IF($AD599&lt;&gt;"T",0,ROUND(SUMIF(oil!$B$4:$B$63,$AF599,oil!$AE$4:$AE$63),2))</f>
        <v>0</v>
      </c>
      <c r="AQ599" t="str">
        <f t="shared" si="245"/>
        <v/>
      </c>
      <c r="AZ599">
        <f t="shared" si="246"/>
        <v>0</v>
      </c>
    </row>
    <row r="600" spans="1:52" ht="21" customHeight="1" x14ac:dyDescent="0.95">
      <c r="A600" s="36" t="str">
        <f>IF($AD600="","",IF($AD600="Z","รวมจ่ายทั้งสิ้น",IF($AD600="H",INDEX($X$5:$X$404,$AC600),IF($AD600="T","รวม",IF($AD600="B",IFERROR(INDEX(อัตราค่าขนส่ง!$U$5:$U$14,MATCH(INDEX($AM$5:$AM$404,$AC600),อัตราค่าขนส่ง!$T$5:$T$14,0)),"รวมกลุ่ม "&amp;INDEX($AM$5:$AM$404,$AC600)),INDEX($AY$5:$AY$404,$AC600))))))</f>
        <v/>
      </c>
      <c r="B600" s="31" t="str">
        <f t="shared" si="230"/>
        <v/>
      </c>
      <c r="C600" s="8" t="str">
        <f t="shared" si="231"/>
        <v/>
      </c>
      <c r="D600" s="37" t="str">
        <f t="shared" si="232"/>
        <v/>
      </c>
      <c r="E600" s="31" t="str">
        <f t="shared" si="233"/>
        <v/>
      </c>
      <c r="F600" s="32" t="str">
        <f t="shared" si="234"/>
        <v/>
      </c>
      <c r="G600" s="32" t="str">
        <f t="shared" si="235"/>
        <v/>
      </c>
      <c r="H600" s="32" t="str">
        <f t="shared" si="236"/>
        <v/>
      </c>
      <c r="I600" s="32" t="str">
        <f t="shared" si="237"/>
        <v/>
      </c>
      <c r="J600" s="46" t="str">
        <f t="shared" si="238"/>
        <v/>
      </c>
      <c r="K600" s="32" t="str">
        <f t="shared" si="239"/>
        <v/>
      </c>
      <c r="L600" s="32" t="str">
        <f t="shared" si="240"/>
        <v/>
      </c>
      <c r="M600" s="32" t="str">
        <f t="shared" si="241"/>
        <v/>
      </c>
      <c r="N600" s="32" t="str">
        <f t="shared" si="242"/>
        <v/>
      </c>
      <c r="O600" s="32" t="str">
        <f t="shared" si="243"/>
        <v/>
      </c>
      <c r="AC600" t="str">
        <f>IFERROR(MATCH(596,$AB$5:$AB$404,1),"")</f>
        <v/>
      </c>
      <c r="AD600" t="str">
        <f>IF(596=$AI$1+1,"Z",IF($AC600="","",IF(INDEX($V$5:$V$404,$AC600)="","",IF(596&gt;INDEX($AB$5:$AB$404,$AC600)+INDEX($Z$5:$Z$404,$AC600)+INDEX($AA$5:$AA$404,$AC600)+INDEX($AO$5:$AO$404,$AC600),"",IF(596=INDEX($AB$5:$AB$404,$AC600)+INDEX($Z$5:$Z$404,$AC600),"D",IF(AND(INDEX($Z$5:$Z$404,$AC600)=1,596=INDEX($AB$5:$AB$404,$AC600)),"H",IF(AND(INDEX($AO$5:$AO$404,$AC600)=1,596=INDEX($AB$5:$AB$404,$AC600)+INDEX($Z$5:$Z$404,$AC600)+INDEX($AA$5:$AA$404,$AC600)+INDEX($AO$5:$AO$404,$AC600)),"B","T")))))))</f>
        <v/>
      </c>
      <c r="AF600" t="str">
        <f t="shared" si="244"/>
        <v/>
      </c>
      <c r="AJ600">
        <f>IF($AD600&lt;&gt;"T",0,ROUND(SUMIF(oil!$B$4:$B$63,$AF600,oil!$AE$4:$AE$63),2))</f>
        <v>0</v>
      </c>
      <c r="AQ600" t="str">
        <f t="shared" si="245"/>
        <v/>
      </c>
      <c r="AZ600">
        <f t="shared" si="246"/>
        <v>0</v>
      </c>
    </row>
    <row r="601" spans="1:52" ht="21" customHeight="1" x14ac:dyDescent="0.95">
      <c r="A601" s="36" t="str">
        <f>IF($AD601="","",IF($AD601="Z","รวมจ่ายทั้งสิ้น",IF($AD601="H",INDEX($X$5:$X$404,$AC601),IF($AD601="T","รวม",IF($AD601="B",IFERROR(INDEX(อัตราค่าขนส่ง!$U$5:$U$14,MATCH(INDEX($AM$5:$AM$404,$AC601),อัตราค่าขนส่ง!$T$5:$T$14,0)),"รวมกลุ่ม "&amp;INDEX($AM$5:$AM$404,$AC601)),INDEX($AY$5:$AY$404,$AC601))))))</f>
        <v/>
      </c>
      <c r="B601" s="31" t="str">
        <f t="shared" si="230"/>
        <v/>
      </c>
      <c r="C601" s="8" t="str">
        <f t="shared" si="231"/>
        <v/>
      </c>
      <c r="D601" s="37" t="str">
        <f t="shared" si="232"/>
        <v/>
      </c>
      <c r="E601" s="31" t="str">
        <f t="shared" si="233"/>
        <v/>
      </c>
      <c r="F601" s="32" t="str">
        <f t="shared" si="234"/>
        <v/>
      </c>
      <c r="G601" s="32" t="str">
        <f t="shared" si="235"/>
        <v/>
      </c>
      <c r="H601" s="32" t="str">
        <f t="shared" si="236"/>
        <v/>
      </c>
      <c r="I601" s="32" t="str">
        <f t="shared" si="237"/>
        <v/>
      </c>
      <c r="J601" s="46" t="str">
        <f t="shared" si="238"/>
        <v/>
      </c>
      <c r="K601" s="32" t="str">
        <f t="shared" si="239"/>
        <v/>
      </c>
      <c r="L601" s="32" t="str">
        <f t="shared" si="240"/>
        <v/>
      </c>
      <c r="M601" s="32" t="str">
        <f t="shared" si="241"/>
        <v/>
      </c>
      <c r="N601" s="32" t="str">
        <f t="shared" si="242"/>
        <v/>
      </c>
      <c r="O601" s="32" t="str">
        <f t="shared" si="243"/>
        <v/>
      </c>
      <c r="AC601" t="str">
        <f>IFERROR(MATCH(597,$AB$5:$AB$404,1),"")</f>
        <v/>
      </c>
      <c r="AD601" t="str">
        <f>IF(597=$AI$1+1,"Z",IF($AC601="","",IF(INDEX($V$5:$V$404,$AC601)="","",IF(597&gt;INDEX($AB$5:$AB$404,$AC601)+INDEX($Z$5:$Z$404,$AC601)+INDEX($AA$5:$AA$404,$AC601)+INDEX($AO$5:$AO$404,$AC601),"",IF(597=INDEX($AB$5:$AB$404,$AC601)+INDEX($Z$5:$Z$404,$AC601),"D",IF(AND(INDEX($Z$5:$Z$404,$AC601)=1,597=INDEX($AB$5:$AB$404,$AC601)),"H",IF(AND(INDEX($AO$5:$AO$404,$AC601)=1,597=INDEX($AB$5:$AB$404,$AC601)+INDEX($Z$5:$Z$404,$AC601)+INDEX($AA$5:$AA$404,$AC601)+INDEX($AO$5:$AO$404,$AC601)),"B","T")))))))</f>
        <v/>
      </c>
      <c r="AF601" t="str">
        <f t="shared" si="244"/>
        <v/>
      </c>
      <c r="AJ601">
        <f>IF($AD601&lt;&gt;"T",0,ROUND(SUMIF(oil!$B$4:$B$63,$AF601,oil!$AE$4:$AE$63),2))</f>
        <v>0</v>
      </c>
      <c r="AQ601" t="str">
        <f t="shared" si="245"/>
        <v/>
      </c>
      <c r="AZ601">
        <f t="shared" si="246"/>
        <v>0</v>
      </c>
    </row>
    <row r="602" spans="1:52" ht="21" customHeight="1" x14ac:dyDescent="0.95">
      <c r="A602" s="36" t="str">
        <f>IF($AD602="","",IF($AD602="Z","รวมจ่ายทั้งสิ้น",IF($AD602="H",INDEX($X$5:$X$404,$AC602),IF($AD602="T","รวม",IF($AD602="B",IFERROR(INDEX(อัตราค่าขนส่ง!$U$5:$U$14,MATCH(INDEX($AM$5:$AM$404,$AC602),อัตราค่าขนส่ง!$T$5:$T$14,0)),"รวมกลุ่ม "&amp;INDEX($AM$5:$AM$404,$AC602)),INDEX($AY$5:$AY$404,$AC602))))))</f>
        <v/>
      </c>
      <c r="B602" s="31" t="str">
        <f t="shared" si="230"/>
        <v/>
      </c>
      <c r="C602" s="8" t="str">
        <f t="shared" si="231"/>
        <v/>
      </c>
      <c r="D602" s="37" t="str">
        <f t="shared" si="232"/>
        <v/>
      </c>
      <c r="E602" s="31" t="str">
        <f t="shared" si="233"/>
        <v/>
      </c>
      <c r="F602" s="32" t="str">
        <f t="shared" si="234"/>
        <v/>
      </c>
      <c r="G602" s="32" t="str">
        <f t="shared" si="235"/>
        <v/>
      </c>
      <c r="H602" s="32" t="str">
        <f t="shared" si="236"/>
        <v/>
      </c>
      <c r="I602" s="32" t="str">
        <f t="shared" si="237"/>
        <v/>
      </c>
      <c r="J602" s="46" t="str">
        <f t="shared" si="238"/>
        <v/>
      </c>
      <c r="K602" s="32" t="str">
        <f t="shared" si="239"/>
        <v/>
      </c>
      <c r="L602" s="32" t="str">
        <f t="shared" si="240"/>
        <v/>
      </c>
      <c r="M602" s="32" t="str">
        <f t="shared" si="241"/>
        <v/>
      </c>
      <c r="N602" s="32" t="str">
        <f t="shared" si="242"/>
        <v/>
      </c>
      <c r="O602" s="32" t="str">
        <f t="shared" si="243"/>
        <v/>
      </c>
      <c r="AC602" t="str">
        <f>IFERROR(MATCH(598,$AB$5:$AB$404,1),"")</f>
        <v/>
      </c>
      <c r="AD602" t="str">
        <f>IF(598=$AI$1+1,"Z",IF($AC602="","",IF(INDEX($V$5:$V$404,$AC602)="","",IF(598&gt;INDEX($AB$5:$AB$404,$AC602)+INDEX($Z$5:$Z$404,$AC602)+INDEX($AA$5:$AA$404,$AC602)+INDEX($AO$5:$AO$404,$AC602),"",IF(598=INDEX($AB$5:$AB$404,$AC602)+INDEX($Z$5:$Z$404,$AC602),"D",IF(AND(INDEX($Z$5:$Z$404,$AC602)=1,598=INDEX($AB$5:$AB$404,$AC602)),"H",IF(AND(INDEX($AO$5:$AO$404,$AC602)=1,598=INDEX($AB$5:$AB$404,$AC602)+INDEX($Z$5:$Z$404,$AC602)+INDEX($AA$5:$AA$404,$AC602)+INDEX($AO$5:$AO$404,$AC602)),"B","T")))))))</f>
        <v/>
      </c>
      <c r="AF602" t="str">
        <f t="shared" si="244"/>
        <v/>
      </c>
      <c r="AJ602">
        <f>IF($AD602&lt;&gt;"T",0,ROUND(SUMIF(oil!$B$4:$B$63,$AF602,oil!$AE$4:$AE$63),2))</f>
        <v>0</v>
      </c>
      <c r="AQ602" t="str">
        <f t="shared" si="245"/>
        <v/>
      </c>
      <c r="AZ602">
        <f t="shared" si="246"/>
        <v>0</v>
      </c>
    </row>
    <row r="603" spans="1:52" ht="21" customHeight="1" x14ac:dyDescent="0.95">
      <c r="A603" s="36" t="str">
        <f>IF($AD603="","",IF($AD603="Z","รวมจ่ายทั้งสิ้น",IF($AD603="H",INDEX($X$5:$X$404,$AC603),IF($AD603="T","รวม",IF($AD603="B",IFERROR(INDEX(อัตราค่าขนส่ง!$U$5:$U$14,MATCH(INDEX($AM$5:$AM$404,$AC603),อัตราค่าขนส่ง!$T$5:$T$14,0)),"รวมกลุ่ม "&amp;INDEX($AM$5:$AM$404,$AC603)),INDEX($AY$5:$AY$404,$AC603))))))</f>
        <v/>
      </c>
      <c r="B603" s="31" t="str">
        <f t="shared" si="230"/>
        <v/>
      </c>
      <c r="C603" s="8" t="str">
        <f t="shared" si="231"/>
        <v/>
      </c>
      <c r="D603" s="37" t="str">
        <f t="shared" si="232"/>
        <v/>
      </c>
      <c r="E603" s="31" t="str">
        <f t="shared" si="233"/>
        <v/>
      </c>
      <c r="F603" s="32" t="str">
        <f t="shared" si="234"/>
        <v/>
      </c>
      <c r="G603" s="32" t="str">
        <f t="shared" si="235"/>
        <v/>
      </c>
      <c r="H603" s="32" t="str">
        <f t="shared" si="236"/>
        <v/>
      </c>
      <c r="I603" s="32" t="str">
        <f t="shared" si="237"/>
        <v/>
      </c>
      <c r="J603" s="46" t="str">
        <f t="shared" si="238"/>
        <v/>
      </c>
      <c r="K603" s="32" t="str">
        <f t="shared" si="239"/>
        <v/>
      </c>
      <c r="L603" s="32" t="str">
        <f t="shared" si="240"/>
        <v/>
      </c>
      <c r="M603" s="32" t="str">
        <f t="shared" si="241"/>
        <v/>
      </c>
      <c r="N603" s="32" t="str">
        <f t="shared" si="242"/>
        <v/>
      </c>
      <c r="O603" s="32" t="str">
        <f t="shared" si="243"/>
        <v/>
      </c>
      <c r="AC603" t="str">
        <f>IFERROR(MATCH(599,$AB$5:$AB$404,1),"")</f>
        <v/>
      </c>
      <c r="AD603" t="str">
        <f>IF(599=$AI$1+1,"Z",IF($AC603="","",IF(INDEX($V$5:$V$404,$AC603)="","",IF(599&gt;INDEX($AB$5:$AB$404,$AC603)+INDEX($Z$5:$Z$404,$AC603)+INDEX($AA$5:$AA$404,$AC603)+INDEX($AO$5:$AO$404,$AC603),"",IF(599=INDEX($AB$5:$AB$404,$AC603)+INDEX($Z$5:$Z$404,$AC603),"D",IF(AND(INDEX($Z$5:$Z$404,$AC603)=1,599=INDEX($AB$5:$AB$404,$AC603)),"H",IF(AND(INDEX($AO$5:$AO$404,$AC603)=1,599=INDEX($AB$5:$AB$404,$AC603)+INDEX($Z$5:$Z$404,$AC603)+INDEX($AA$5:$AA$404,$AC603)+INDEX($AO$5:$AO$404,$AC603)),"B","T")))))))</f>
        <v/>
      </c>
      <c r="AF603" t="str">
        <f t="shared" si="244"/>
        <v/>
      </c>
      <c r="AJ603">
        <f>IF($AD603&lt;&gt;"T",0,ROUND(SUMIF(oil!$B$4:$B$63,$AF603,oil!$AE$4:$AE$63),2))</f>
        <v>0</v>
      </c>
      <c r="AQ603" t="str">
        <f t="shared" si="245"/>
        <v/>
      </c>
      <c r="AZ603">
        <f t="shared" si="246"/>
        <v>0</v>
      </c>
    </row>
    <row r="604" spans="1:52" ht="21" customHeight="1" x14ac:dyDescent="0.95">
      <c r="A604" s="36" t="str">
        <f>IF($AD604="","",IF($AD604="Z","รวมจ่ายทั้งสิ้น",IF($AD604="H",INDEX($X$5:$X$404,$AC604),IF($AD604="T","รวม",IF($AD604="B",IFERROR(INDEX(อัตราค่าขนส่ง!$U$5:$U$14,MATCH(INDEX($AM$5:$AM$404,$AC604),อัตราค่าขนส่ง!$T$5:$T$14,0)),"รวมกลุ่ม "&amp;INDEX($AM$5:$AM$404,$AC604)),INDEX($AY$5:$AY$404,$AC604))))))</f>
        <v/>
      </c>
      <c r="B604" s="31" t="str">
        <f t="shared" si="230"/>
        <v/>
      </c>
      <c r="C604" s="8" t="str">
        <f t="shared" si="231"/>
        <v/>
      </c>
      <c r="D604" s="37" t="str">
        <f t="shared" si="232"/>
        <v/>
      </c>
      <c r="E604" s="31" t="str">
        <f t="shared" si="233"/>
        <v/>
      </c>
      <c r="F604" s="32" t="str">
        <f t="shared" si="234"/>
        <v/>
      </c>
      <c r="G604" s="32" t="str">
        <f t="shared" si="235"/>
        <v/>
      </c>
      <c r="H604" s="32" t="str">
        <f t="shared" si="236"/>
        <v/>
      </c>
      <c r="I604" s="32" t="str">
        <f t="shared" si="237"/>
        <v/>
      </c>
      <c r="J604" s="46" t="str">
        <f t="shared" si="238"/>
        <v/>
      </c>
      <c r="K604" s="32" t="str">
        <f t="shared" si="239"/>
        <v/>
      </c>
      <c r="L604" s="32" t="str">
        <f t="shared" si="240"/>
        <v/>
      </c>
      <c r="M604" s="32" t="str">
        <f t="shared" si="241"/>
        <v/>
      </c>
      <c r="N604" s="32" t="str">
        <f t="shared" si="242"/>
        <v/>
      </c>
      <c r="O604" s="32" t="str">
        <f t="shared" si="243"/>
        <v/>
      </c>
      <c r="AC604" t="str">
        <f>IFERROR(MATCH(600,$AB$5:$AB$404,1),"")</f>
        <v/>
      </c>
      <c r="AD604" t="str">
        <f>IF(600=$AI$1+1,"Z",IF($AC604="","",IF(INDEX($V$5:$V$404,$AC604)="","",IF(600&gt;INDEX($AB$5:$AB$404,$AC604)+INDEX($Z$5:$Z$404,$AC604)+INDEX($AA$5:$AA$404,$AC604)+INDEX($AO$5:$AO$404,$AC604),"",IF(600=INDEX($AB$5:$AB$404,$AC604)+INDEX($Z$5:$Z$404,$AC604),"D",IF(AND(INDEX($Z$5:$Z$404,$AC604)=1,600=INDEX($AB$5:$AB$404,$AC604)),"H",IF(AND(INDEX($AO$5:$AO$404,$AC604)=1,600=INDEX($AB$5:$AB$404,$AC604)+INDEX($Z$5:$Z$404,$AC604)+INDEX($AA$5:$AA$404,$AC604)+INDEX($AO$5:$AO$404,$AC604)),"B","T")))))))</f>
        <v/>
      </c>
      <c r="AF604" t="str">
        <f t="shared" si="244"/>
        <v/>
      </c>
      <c r="AJ604">
        <f>IF($AD604&lt;&gt;"T",0,ROUND(SUMIF(oil!$B$4:$B$63,$AF604,oil!$AE$4:$AE$63),2))</f>
        <v>0</v>
      </c>
      <c r="AQ604" t="str">
        <f t="shared" si="245"/>
        <v/>
      </c>
      <c r="AZ604">
        <f t="shared" si="246"/>
        <v>0</v>
      </c>
    </row>
    <row r="605" spans="1:52" ht="21" customHeight="1" x14ac:dyDescent="0.95">
      <c r="A605" s="36" t="str">
        <f>IF($AD605="","",IF($AD605="Z","รวมจ่ายทั้งสิ้น",IF($AD605="H",INDEX($X$5:$X$404,$AC605),IF($AD605="T","รวม",IF($AD605="B",IFERROR(INDEX(อัตราค่าขนส่ง!$U$5:$U$14,MATCH(INDEX($AM$5:$AM$404,$AC605),อัตราค่าขนส่ง!$T$5:$T$14,0)),"รวมกลุ่ม "&amp;INDEX($AM$5:$AM$404,$AC605)),INDEX($AY$5:$AY$404,$AC605))))))</f>
        <v/>
      </c>
      <c r="B605" s="31" t="str">
        <f t="shared" si="230"/>
        <v/>
      </c>
      <c r="C605" s="8" t="str">
        <f t="shared" si="231"/>
        <v/>
      </c>
      <c r="D605" s="37" t="str">
        <f t="shared" si="232"/>
        <v/>
      </c>
      <c r="E605" s="31" t="str">
        <f t="shared" si="233"/>
        <v/>
      </c>
      <c r="F605" s="32" t="str">
        <f t="shared" si="234"/>
        <v/>
      </c>
      <c r="G605" s="32" t="str">
        <f t="shared" si="235"/>
        <v/>
      </c>
      <c r="H605" s="32" t="str">
        <f t="shared" si="236"/>
        <v/>
      </c>
      <c r="I605" s="32" t="str">
        <f t="shared" si="237"/>
        <v/>
      </c>
      <c r="J605" s="46" t="str">
        <f t="shared" si="238"/>
        <v/>
      </c>
      <c r="K605" s="32" t="str">
        <f t="shared" si="239"/>
        <v/>
      </c>
      <c r="L605" s="32" t="str">
        <f t="shared" si="240"/>
        <v/>
      </c>
      <c r="M605" s="32" t="str">
        <f t="shared" si="241"/>
        <v/>
      </c>
      <c r="N605" s="32" t="str">
        <f t="shared" si="242"/>
        <v/>
      </c>
      <c r="O605" s="32" t="str">
        <f t="shared" si="243"/>
        <v/>
      </c>
      <c r="AC605" t="str">
        <f>IFERROR(MATCH(601,$AB$5:$AB$404,1),"")</f>
        <v/>
      </c>
      <c r="AD605" t="str">
        <f>IF(601=$AI$1+1,"Z",IF($AC605="","",IF(INDEX($V$5:$V$404,$AC605)="","",IF(601&gt;INDEX($AB$5:$AB$404,$AC605)+INDEX($Z$5:$Z$404,$AC605)+INDEX($AA$5:$AA$404,$AC605)+INDEX($AO$5:$AO$404,$AC605),"",IF(601=INDEX($AB$5:$AB$404,$AC605)+INDEX($Z$5:$Z$404,$AC605),"D",IF(AND(INDEX($Z$5:$Z$404,$AC605)=1,601=INDEX($AB$5:$AB$404,$AC605)),"H",IF(AND(INDEX($AO$5:$AO$404,$AC605)=1,601=INDEX($AB$5:$AB$404,$AC605)+INDEX($Z$5:$Z$404,$AC605)+INDEX($AA$5:$AA$404,$AC605)+INDEX($AO$5:$AO$404,$AC605)),"B","T")))))))</f>
        <v/>
      </c>
      <c r="AF605" t="str">
        <f t="shared" si="244"/>
        <v/>
      </c>
      <c r="AJ605">
        <f>IF($AD605&lt;&gt;"T",0,ROUND(SUMIF(oil!$B$4:$B$63,$AF605,oil!$AE$4:$AE$63),2))</f>
        <v>0</v>
      </c>
      <c r="AQ605" t="str">
        <f t="shared" si="245"/>
        <v/>
      </c>
      <c r="AZ605">
        <f t="shared" si="246"/>
        <v>0</v>
      </c>
    </row>
    <row r="606" spans="1:52" ht="21" customHeight="1" x14ac:dyDescent="0.95">
      <c r="A606" s="36" t="str">
        <f>IF($AD606="","",IF($AD606="Z","รวมจ่ายทั้งสิ้น",IF($AD606="H",INDEX($X$5:$X$404,$AC606),IF($AD606="T","รวม",IF($AD606="B",IFERROR(INDEX(อัตราค่าขนส่ง!$U$5:$U$14,MATCH(INDEX($AM$5:$AM$404,$AC606),อัตราค่าขนส่ง!$T$5:$T$14,0)),"รวมกลุ่ม "&amp;INDEX($AM$5:$AM$404,$AC606)),INDEX($AY$5:$AY$404,$AC606))))))</f>
        <v/>
      </c>
      <c r="B606" s="31" t="str">
        <f t="shared" si="230"/>
        <v/>
      </c>
      <c r="C606" s="8" t="str">
        <f t="shared" si="231"/>
        <v/>
      </c>
      <c r="D606" s="37" t="str">
        <f t="shared" si="232"/>
        <v/>
      </c>
      <c r="E606" s="31" t="str">
        <f t="shared" si="233"/>
        <v/>
      </c>
      <c r="F606" s="32" t="str">
        <f t="shared" si="234"/>
        <v/>
      </c>
      <c r="G606" s="32" t="str">
        <f t="shared" si="235"/>
        <v/>
      </c>
      <c r="H606" s="32" t="str">
        <f t="shared" si="236"/>
        <v/>
      </c>
      <c r="I606" s="32" t="str">
        <f t="shared" si="237"/>
        <v/>
      </c>
      <c r="J606" s="46" t="str">
        <f t="shared" si="238"/>
        <v/>
      </c>
      <c r="K606" s="32" t="str">
        <f t="shared" si="239"/>
        <v/>
      </c>
      <c r="L606" s="32" t="str">
        <f t="shared" si="240"/>
        <v/>
      </c>
      <c r="M606" s="32" t="str">
        <f t="shared" si="241"/>
        <v/>
      </c>
      <c r="N606" s="32" t="str">
        <f t="shared" si="242"/>
        <v/>
      </c>
      <c r="O606" s="32" t="str">
        <f t="shared" si="243"/>
        <v/>
      </c>
      <c r="AC606" t="str">
        <f>IFERROR(MATCH(602,$AB$5:$AB$404,1),"")</f>
        <v/>
      </c>
      <c r="AD606" t="str">
        <f>IF(602=$AI$1+1,"Z",IF($AC606="","",IF(INDEX($V$5:$V$404,$AC606)="","",IF(602&gt;INDEX($AB$5:$AB$404,$AC606)+INDEX($Z$5:$Z$404,$AC606)+INDEX($AA$5:$AA$404,$AC606)+INDEX($AO$5:$AO$404,$AC606),"",IF(602=INDEX($AB$5:$AB$404,$AC606)+INDEX($Z$5:$Z$404,$AC606),"D",IF(AND(INDEX($Z$5:$Z$404,$AC606)=1,602=INDEX($AB$5:$AB$404,$AC606)),"H",IF(AND(INDEX($AO$5:$AO$404,$AC606)=1,602=INDEX($AB$5:$AB$404,$AC606)+INDEX($Z$5:$Z$404,$AC606)+INDEX($AA$5:$AA$404,$AC606)+INDEX($AO$5:$AO$404,$AC606)),"B","T")))))))</f>
        <v/>
      </c>
      <c r="AF606" t="str">
        <f t="shared" si="244"/>
        <v/>
      </c>
      <c r="AJ606">
        <f>IF($AD606&lt;&gt;"T",0,ROUND(SUMIF(oil!$B$4:$B$63,$AF606,oil!$AE$4:$AE$63),2))</f>
        <v>0</v>
      </c>
      <c r="AQ606" t="str">
        <f t="shared" si="245"/>
        <v/>
      </c>
      <c r="AZ606">
        <f t="shared" si="246"/>
        <v>0</v>
      </c>
    </row>
    <row r="607" spans="1:52" ht="21" customHeight="1" x14ac:dyDescent="0.95">
      <c r="A607" s="36" t="str">
        <f>IF($AD607="","",IF($AD607="Z","รวมจ่ายทั้งสิ้น",IF($AD607="H",INDEX($X$5:$X$404,$AC607),IF($AD607="T","รวม",IF($AD607="B",IFERROR(INDEX(อัตราค่าขนส่ง!$U$5:$U$14,MATCH(INDEX($AM$5:$AM$404,$AC607),อัตราค่าขนส่ง!$T$5:$T$14,0)),"รวมกลุ่ม "&amp;INDEX($AM$5:$AM$404,$AC607)),INDEX($AY$5:$AY$404,$AC607))))))</f>
        <v/>
      </c>
      <c r="B607" s="31" t="str">
        <f t="shared" si="230"/>
        <v/>
      </c>
      <c r="C607" s="8" t="str">
        <f t="shared" si="231"/>
        <v/>
      </c>
      <c r="D607" s="37" t="str">
        <f t="shared" si="232"/>
        <v/>
      </c>
      <c r="E607" s="31" t="str">
        <f t="shared" si="233"/>
        <v/>
      </c>
      <c r="F607" s="32" t="str">
        <f t="shared" si="234"/>
        <v/>
      </c>
      <c r="G607" s="32" t="str">
        <f t="shared" si="235"/>
        <v/>
      </c>
      <c r="H607" s="32" t="str">
        <f t="shared" si="236"/>
        <v/>
      </c>
      <c r="I607" s="32" t="str">
        <f t="shared" si="237"/>
        <v/>
      </c>
      <c r="J607" s="46" t="str">
        <f t="shared" si="238"/>
        <v/>
      </c>
      <c r="K607" s="32" t="str">
        <f t="shared" si="239"/>
        <v/>
      </c>
      <c r="L607" s="32" t="str">
        <f t="shared" si="240"/>
        <v/>
      </c>
      <c r="M607" s="32" t="str">
        <f t="shared" si="241"/>
        <v/>
      </c>
      <c r="N607" s="32" t="str">
        <f t="shared" si="242"/>
        <v/>
      </c>
      <c r="O607" s="32" t="str">
        <f t="shared" si="243"/>
        <v/>
      </c>
      <c r="AC607" t="str">
        <f>IFERROR(MATCH(603,$AB$5:$AB$404,1),"")</f>
        <v/>
      </c>
      <c r="AD607" t="str">
        <f>IF(603=$AI$1+1,"Z",IF($AC607="","",IF(INDEX($V$5:$V$404,$AC607)="","",IF(603&gt;INDEX($AB$5:$AB$404,$AC607)+INDEX($Z$5:$Z$404,$AC607)+INDEX($AA$5:$AA$404,$AC607)+INDEX($AO$5:$AO$404,$AC607),"",IF(603=INDEX($AB$5:$AB$404,$AC607)+INDEX($Z$5:$Z$404,$AC607),"D",IF(AND(INDEX($Z$5:$Z$404,$AC607)=1,603=INDEX($AB$5:$AB$404,$AC607)),"H",IF(AND(INDEX($AO$5:$AO$404,$AC607)=1,603=INDEX($AB$5:$AB$404,$AC607)+INDEX($Z$5:$Z$404,$AC607)+INDEX($AA$5:$AA$404,$AC607)+INDEX($AO$5:$AO$404,$AC607)),"B","T")))))))</f>
        <v/>
      </c>
      <c r="AF607" t="str">
        <f t="shared" si="244"/>
        <v/>
      </c>
      <c r="AJ607">
        <f>IF($AD607&lt;&gt;"T",0,ROUND(SUMIF(oil!$B$4:$B$63,$AF607,oil!$AE$4:$AE$63),2))</f>
        <v>0</v>
      </c>
      <c r="AQ607" t="str">
        <f t="shared" si="245"/>
        <v/>
      </c>
      <c r="AZ607">
        <f t="shared" si="246"/>
        <v>0</v>
      </c>
    </row>
    <row r="608" spans="1:52" ht="21" customHeight="1" x14ac:dyDescent="0.95">
      <c r="A608" s="36" t="str">
        <f>IF($AD608="","",IF($AD608="Z","รวมจ่ายทั้งสิ้น",IF($AD608="H",INDEX($X$5:$X$404,$AC608),IF($AD608="T","รวม",IF($AD608="B",IFERROR(INDEX(อัตราค่าขนส่ง!$U$5:$U$14,MATCH(INDEX($AM$5:$AM$404,$AC608),อัตราค่าขนส่ง!$T$5:$T$14,0)),"รวมกลุ่ม "&amp;INDEX($AM$5:$AM$404,$AC608)),INDEX($AY$5:$AY$404,$AC608))))))</f>
        <v/>
      </c>
      <c r="B608" s="31" t="str">
        <f t="shared" si="230"/>
        <v/>
      </c>
      <c r="C608" s="8" t="str">
        <f t="shared" si="231"/>
        <v/>
      </c>
      <c r="D608" s="37" t="str">
        <f t="shared" si="232"/>
        <v/>
      </c>
      <c r="E608" s="31" t="str">
        <f t="shared" si="233"/>
        <v/>
      </c>
      <c r="F608" s="32" t="str">
        <f t="shared" si="234"/>
        <v/>
      </c>
      <c r="G608" s="32" t="str">
        <f t="shared" si="235"/>
        <v/>
      </c>
      <c r="H608" s="32" t="str">
        <f t="shared" si="236"/>
        <v/>
      </c>
      <c r="I608" s="32" t="str">
        <f t="shared" si="237"/>
        <v/>
      </c>
      <c r="J608" s="46" t="str">
        <f t="shared" si="238"/>
        <v/>
      </c>
      <c r="K608" s="32" t="str">
        <f t="shared" si="239"/>
        <v/>
      </c>
      <c r="L608" s="32" t="str">
        <f t="shared" si="240"/>
        <v/>
      </c>
      <c r="M608" s="32" t="str">
        <f t="shared" si="241"/>
        <v/>
      </c>
      <c r="N608" s="32" t="str">
        <f t="shared" si="242"/>
        <v/>
      </c>
      <c r="O608" s="32" t="str">
        <f t="shared" si="243"/>
        <v/>
      </c>
      <c r="AC608" t="str">
        <f>IFERROR(MATCH(604,$AB$5:$AB$404,1),"")</f>
        <v/>
      </c>
      <c r="AD608" t="str">
        <f>IF(604=$AI$1+1,"Z",IF($AC608="","",IF(INDEX($V$5:$V$404,$AC608)="","",IF(604&gt;INDEX($AB$5:$AB$404,$AC608)+INDEX($Z$5:$Z$404,$AC608)+INDEX($AA$5:$AA$404,$AC608)+INDEX($AO$5:$AO$404,$AC608),"",IF(604=INDEX($AB$5:$AB$404,$AC608)+INDEX($Z$5:$Z$404,$AC608),"D",IF(AND(INDEX($Z$5:$Z$404,$AC608)=1,604=INDEX($AB$5:$AB$404,$AC608)),"H",IF(AND(INDEX($AO$5:$AO$404,$AC608)=1,604=INDEX($AB$5:$AB$404,$AC608)+INDEX($Z$5:$Z$404,$AC608)+INDEX($AA$5:$AA$404,$AC608)+INDEX($AO$5:$AO$404,$AC608)),"B","T")))))))</f>
        <v/>
      </c>
      <c r="AF608" t="str">
        <f t="shared" si="244"/>
        <v/>
      </c>
      <c r="AJ608">
        <f>IF($AD608&lt;&gt;"T",0,ROUND(SUMIF(oil!$B$4:$B$63,$AF608,oil!$AE$4:$AE$63),2))</f>
        <v>0</v>
      </c>
      <c r="AQ608" t="str">
        <f t="shared" si="245"/>
        <v/>
      </c>
      <c r="AZ608">
        <f t="shared" si="246"/>
        <v>0</v>
      </c>
    </row>
    <row r="609" spans="1:52" ht="21" customHeight="1" x14ac:dyDescent="0.95">
      <c r="A609" s="36" t="str">
        <f>IF($AD609="","",IF($AD609="Z","รวมจ่ายทั้งสิ้น",IF($AD609="H",INDEX($X$5:$X$404,$AC609),IF($AD609="T","รวม",IF($AD609="B",IFERROR(INDEX(อัตราค่าขนส่ง!$U$5:$U$14,MATCH(INDEX($AM$5:$AM$404,$AC609),อัตราค่าขนส่ง!$T$5:$T$14,0)),"รวมกลุ่ม "&amp;INDEX($AM$5:$AM$404,$AC609)),INDEX($AY$5:$AY$404,$AC609))))))</f>
        <v/>
      </c>
      <c r="B609" s="31" t="str">
        <f t="shared" si="230"/>
        <v/>
      </c>
      <c r="C609" s="8" t="str">
        <f t="shared" si="231"/>
        <v/>
      </c>
      <c r="D609" s="37" t="str">
        <f t="shared" si="232"/>
        <v/>
      </c>
      <c r="E609" s="31" t="str">
        <f t="shared" si="233"/>
        <v/>
      </c>
      <c r="F609" s="32" t="str">
        <f t="shared" si="234"/>
        <v/>
      </c>
      <c r="G609" s="32" t="str">
        <f t="shared" si="235"/>
        <v/>
      </c>
      <c r="H609" s="32" t="str">
        <f t="shared" si="236"/>
        <v/>
      </c>
      <c r="I609" s="32" t="str">
        <f t="shared" si="237"/>
        <v/>
      </c>
      <c r="J609" s="46" t="str">
        <f t="shared" si="238"/>
        <v/>
      </c>
      <c r="K609" s="32" t="str">
        <f t="shared" si="239"/>
        <v/>
      </c>
      <c r="L609" s="32" t="str">
        <f t="shared" si="240"/>
        <v/>
      </c>
      <c r="M609" s="32" t="str">
        <f t="shared" si="241"/>
        <v/>
      </c>
      <c r="N609" s="32" t="str">
        <f t="shared" si="242"/>
        <v/>
      </c>
      <c r="O609" s="32" t="str">
        <f t="shared" si="243"/>
        <v/>
      </c>
      <c r="AC609" t="str">
        <f>IFERROR(MATCH(605,$AB$5:$AB$404,1),"")</f>
        <v/>
      </c>
      <c r="AD609" t="str">
        <f>IF(605=$AI$1+1,"Z",IF($AC609="","",IF(INDEX($V$5:$V$404,$AC609)="","",IF(605&gt;INDEX($AB$5:$AB$404,$AC609)+INDEX($Z$5:$Z$404,$AC609)+INDEX($AA$5:$AA$404,$AC609)+INDEX($AO$5:$AO$404,$AC609),"",IF(605=INDEX($AB$5:$AB$404,$AC609)+INDEX($Z$5:$Z$404,$AC609),"D",IF(AND(INDEX($Z$5:$Z$404,$AC609)=1,605=INDEX($AB$5:$AB$404,$AC609)),"H",IF(AND(INDEX($AO$5:$AO$404,$AC609)=1,605=INDEX($AB$5:$AB$404,$AC609)+INDEX($Z$5:$Z$404,$AC609)+INDEX($AA$5:$AA$404,$AC609)+INDEX($AO$5:$AO$404,$AC609)),"B","T")))))))</f>
        <v/>
      </c>
      <c r="AF609" t="str">
        <f t="shared" si="244"/>
        <v/>
      </c>
      <c r="AJ609">
        <f>IF($AD609&lt;&gt;"T",0,ROUND(SUMIF(oil!$B$4:$B$63,$AF609,oil!$AE$4:$AE$63),2))</f>
        <v>0</v>
      </c>
      <c r="AQ609" t="str">
        <f t="shared" si="245"/>
        <v/>
      </c>
      <c r="AZ609">
        <f t="shared" si="246"/>
        <v>0</v>
      </c>
    </row>
    <row r="610" spans="1:52" ht="21" customHeight="1" x14ac:dyDescent="0.95">
      <c r="A610" s="36" t="str">
        <f>IF($AD610="","",IF($AD610="Z","รวมจ่ายทั้งสิ้น",IF($AD610="H",INDEX($X$5:$X$404,$AC610),IF($AD610="T","รวม",IF($AD610="B",IFERROR(INDEX(อัตราค่าขนส่ง!$U$5:$U$14,MATCH(INDEX($AM$5:$AM$404,$AC610),อัตราค่าขนส่ง!$T$5:$T$14,0)),"รวมกลุ่ม "&amp;INDEX($AM$5:$AM$404,$AC610)),INDEX($AY$5:$AY$404,$AC610))))))</f>
        <v/>
      </c>
      <c r="B610" s="31" t="str">
        <f t="shared" si="230"/>
        <v/>
      </c>
      <c r="C610" s="8" t="str">
        <f t="shared" si="231"/>
        <v/>
      </c>
      <c r="D610" s="37" t="str">
        <f t="shared" si="232"/>
        <v/>
      </c>
      <c r="E610" s="31" t="str">
        <f t="shared" si="233"/>
        <v/>
      </c>
      <c r="F610" s="32" t="str">
        <f t="shared" si="234"/>
        <v/>
      </c>
      <c r="G610" s="32" t="str">
        <f t="shared" si="235"/>
        <v/>
      </c>
      <c r="H610" s="32" t="str">
        <f t="shared" si="236"/>
        <v/>
      </c>
      <c r="I610" s="32" t="str">
        <f t="shared" si="237"/>
        <v/>
      </c>
      <c r="J610" s="46" t="str">
        <f t="shared" si="238"/>
        <v/>
      </c>
      <c r="K610" s="32" t="str">
        <f t="shared" si="239"/>
        <v/>
      </c>
      <c r="L610" s="32" t="str">
        <f t="shared" si="240"/>
        <v/>
      </c>
      <c r="M610" s="32" t="str">
        <f t="shared" si="241"/>
        <v/>
      </c>
      <c r="N610" s="32" t="str">
        <f t="shared" si="242"/>
        <v/>
      </c>
      <c r="O610" s="32" t="str">
        <f t="shared" si="243"/>
        <v/>
      </c>
      <c r="AC610" t="str">
        <f>IFERROR(MATCH(606,$AB$5:$AB$404,1),"")</f>
        <v/>
      </c>
      <c r="AD610" t="str">
        <f>IF(606=$AI$1+1,"Z",IF($AC610="","",IF(INDEX($V$5:$V$404,$AC610)="","",IF(606&gt;INDEX($AB$5:$AB$404,$AC610)+INDEX($Z$5:$Z$404,$AC610)+INDEX($AA$5:$AA$404,$AC610)+INDEX($AO$5:$AO$404,$AC610),"",IF(606=INDEX($AB$5:$AB$404,$AC610)+INDEX($Z$5:$Z$404,$AC610),"D",IF(AND(INDEX($Z$5:$Z$404,$AC610)=1,606=INDEX($AB$5:$AB$404,$AC610)),"H",IF(AND(INDEX($AO$5:$AO$404,$AC610)=1,606=INDEX($AB$5:$AB$404,$AC610)+INDEX($Z$5:$Z$404,$AC610)+INDEX($AA$5:$AA$404,$AC610)+INDEX($AO$5:$AO$404,$AC610)),"B","T")))))))</f>
        <v/>
      </c>
      <c r="AF610" t="str">
        <f t="shared" si="244"/>
        <v/>
      </c>
      <c r="AJ610">
        <f>IF($AD610&lt;&gt;"T",0,ROUND(SUMIF(oil!$B$4:$B$63,$AF610,oil!$AE$4:$AE$63),2))</f>
        <v>0</v>
      </c>
      <c r="AQ610" t="str">
        <f t="shared" si="245"/>
        <v/>
      </c>
      <c r="AZ610">
        <f t="shared" si="246"/>
        <v>0</v>
      </c>
    </row>
    <row r="611" spans="1:52" ht="21" customHeight="1" x14ac:dyDescent="0.95">
      <c r="A611" s="36" t="str">
        <f>IF($AD611="","",IF($AD611="Z","รวมจ่ายทั้งสิ้น",IF($AD611="H",INDEX($X$5:$X$404,$AC611),IF($AD611="T","รวม",IF($AD611="B",IFERROR(INDEX(อัตราค่าขนส่ง!$U$5:$U$14,MATCH(INDEX($AM$5:$AM$404,$AC611),อัตราค่าขนส่ง!$T$5:$T$14,0)),"รวมกลุ่ม "&amp;INDEX($AM$5:$AM$404,$AC611)),INDEX($AY$5:$AY$404,$AC611))))))</f>
        <v/>
      </c>
      <c r="B611" s="31" t="str">
        <f t="shared" si="230"/>
        <v/>
      </c>
      <c r="C611" s="8" t="str">
        <f t="shared" si="231"/>
        <v/>
      </c>
      <c r="D611" s="37" t="str">
        <f t="shared" si="232"/>
        <v/>
      </c>
      <c r="E611" s="31" t="str">
        <f t="shared" si="233"/>
        <v/>
      </c>
      <c r="F611" s="32" t="str">
        <f t="shared" si="234"/>
        <v/>
      </c>
      <c r="G611" s="32" t="str">
        <f t="shared" si="235"/>
        <v/>
      </c>
      <c r="H611" s="32" t="str">
        <f t="shared" si="236"/>
        <v/>
      </c>
      <c r="I611" s="32" t="str">
        <f t="shared" si="237"/>
        <v/>
      </c>
      <c r="J611" s="46" t="str">
        <f t="shared" si="238"/>
        <v/>
      </c>
      <c r="K611" s="32" t="str">
        <f t="shared" si="239"/>
        <v/>
      </c>
      <c r="L611" s="32" t="str">
        <f t="shared" si="240"/>
        <v/>
      </c>
      <c r="M611" s="32" t="str">
        <f t="shared" si="241"/>
        <v/>
      </c>
      <c r="N611" s="32" t="str">
        <f t="shared" si="242"/>
        <v/>
      </c>
      <c r="O611" s="32" t="str">
        <f t="shared" si="243"/>
        <v/>
      </c>
      <c r="AC611" t="str">
        <f>IFERROR(MATCH(607,$AB$5:$AB$404,1),"")</f>
        <v/>
      </c>
      <c r="AD611" t="str">
        <f>IF(607=$AI$1+1,"Z",IF($AC611="","",IF(INDEX($V$5:$V$404,$AC611)="","",IF(607&gt;INDEX($AB$5:$AB$404,$AC611)+INDEX($Z$5:$Z$404,$AC611)+INDEX($AA$5:$AA$404,$AC611)+INDEX($AO$5:$AO$404,$AC611),"",IF(607=INDEX($AB$5:$AB$404,$AC611)+INDEX($Z$5:$Z$404,$AC611),"D",IF(AND(INDEX($Z$5:$Z$404,$AC611)=1,607=INDEX($AB$5:$AB$404,$AC611)),"H",IF(AND(INDEX($AO$5:$AO$404,$AC611)=1,607=INDEX($AB$5:$AB$404,$AC611)+INDEX($Z$5:$Z$404,$AC611)+INDEX($AA$5:$AA$404,$AC611)+INDEX($AO$5:$AO$404,$AC611)),"B","T")))))))</f>
        <v/>
      </c>
      <c r="AF611" t="str">
        <f t="shared" si="244"/>
        <v/>
      </c>
      <c r="AJ611">
        <f>IF($AD611&lt;&gt;"T",0,ROUND(SUMIF(oil!$B$4:$B$63,$AF611,oil!$AE$4:$AE$63),2))</f>
        <v>0</v>
      </c>
      <c r="AQ611" t="str">
        <f t="shared" si="245"/>
        <v/>
      </c>
      <c r="AZ611">
        <f t="shared" si="246"/>
        <v>0</v>
      </c>
    </row>
    <row r="612" spans="1:52" ht="21" customHeight="1" x14ac:dyDescent="0.95">
      <c r="A612" s="36" t="str">
        <f>IF($AD612="","",IF($AD612="Z","รวมจ่ายทั้งสิ้น",IF($AD612="H",INDEX($X$5:$X$404,$AC612),IF($AD612="T","รวม",IF($AD612="B",IFERROR(INDEX(อัตราค่าขนส่ง!$U$5:$U$14,MATCH(INDEX($AM$5:$AM$404,$AC612),อัตราค่าขนส่ง!$T$5:$T$14,0)),"รวมกลุ่ม "&amp;INDEX($AM$5:$AM$404,$AC612)),INDEX($AY$5:$AY$404,$AC612))))))</f>
        <v/>
      </c>
      <c r="B612" s="31" t="str">
        <f t="shared" si="230"/>
        <v/>
      </c>
      <c r="C612" s="8" t="str">
        <f t="shared" si="231"/>
        <v/>
      </c>
      <c r="D612" s="37" t="str">
        <f t="shared" si="232"/>
        <v/>
      </c>
      <c r="E612" s="31" t="str">
        <f t="shared" si="233"/>
        <v/>
      </c>
      <c r="F612" s="32" t="str">
        <f t="shared" si="234"/>
        <v/>
      </c>
      <c r="G612" s="32" t="str">
        <f t="shared" si="235"/>
        <v/>
      </c>
      <c r="H612" s="32" t="str">
        <f t="shared" si="236"/>
        <v/>
      </c>
      <c r="I612" s="32" t="str">
        <f t="shared" si="237"/>
        <v/>
      </c>
      <c r="J612" s="46" t="str">
        <f t="shared" si="238"/>
        <v/>
      </c>
      <c r="K612" s="32" t="str">
        <f t="shared" si="239"/>
        <v/>
      </c>
      <c r="L612" s="32" t="str">
        <f t="shared" si="240"/>
        <v/>
      </c>
      <c r="M612" s="32" t="str">
        <f t="shared" si="241"/>
        <v/>
      </c>
      <c r="N612" s="32" t="str">
        <f t="shared" si="242"/>
        <v/>
      </c>
      <c r="O612" s="32" t="str">
        <f t="shared" si="243"/>
        <v/>
      </c>
      <c r="AC612" t="str">
        <f>IFERROR(MATCH(608,$AB$5:$AB$404,1),"")</f>
        <v/>
      </c>
      <c r="AD612" t="str">
        <f>IF(608=$AI$1+1,"Z",IF($AC612="","",IF(INDEX($V$5:$V$404,$AC612)="","",IF(608&gt;INDEX($AB$5:$AB$404,$AC612)+INDEX($Z$5:$Z$404,$AC612)+INDEX($AA$5:$AA$404,$AC612)+INDEX($AO$5:$AO$404,$AC612),"",IF(608=INDEX($AB$5:$AB$404,$AC612)+INDEX($Z$5:$Z$404,$AC612),"D",IF(AND(INDEX($Z$5:$Z$404,$AC612)=1,608=INDEX($AB$5:$AB$404,$AC612)),"H",IF(AND(INDEX($AO$5:$AO$404,$AC612)=1,608=INDEX($AB$5:$AB$404,$AC612)+INDEX($Z$5:$Z$404,$AC612)+INDEX($AA$5:$AA$404,$AC612)+INDEX($AO$5:$AO$404,$AC612)),"B","T")))))))</f>
        <v/>
      </c>
      <c r="AF612" t="str">
        <f t="shared" si="244"/>
        <v/>
      </c>
      <c r="AJ612">
        <f>IF($AD612&lt;&gt;"T",0,ROUND(SUMIF(oil!$B$4:$B$63,$AF612,oil!$AE$4:$AE$63),2))</f>
        <v>0</v>
      </c>
      <c r="AQ612" t="str">
        <f t="shared" si="245"/>
        <v/>
      </c>
      <c r="AZ612">
        <f t="shared" si="246"/>
        <v>0</v>
      </c>
    </row>
    <row r="613" spans="1:52" ht="21" customHeight="1" x14ac:dyDescent="0.95">
      <c r="A613" s="36" t="str">
        <f>IF($AD613="","",IF($AD613="Z","รวมจ่ายทั้งสิ้น",IF($AD613="H",INDEX($X$5:$X$404,$AC613),IF($AD613="T","รวม",IF($AD613="B",IFERROR(INDEX(อัตราค่าขนส่ง!$U$5:$U$14,MATCH(INDEX($AM$5:$AM$404,$AC613),อัตราค่าขนส่ง!$T$5:$T$14,0)),"รวมกลุ่ม "&amp;INDEX($AM$5:$AM$404,$AC613)),INDEX($AY$5:$AY$404,$AC613))))))</f>
        <v/>
      </c>
      <c r="B613" s="31" t="str">
        <f t="shared" si="230"/>
        <v/>
      </c>
      <c r="C613" s="8" t="str">
        <f t="shared" si="231"/>
        <v/>
      </c>
      <c r="D613" s="37" t="str">
        <f t="shared" si="232"/>
        <v/>
      </c>
      <c r="E613" s="31" t="str">
        <f t="shared" si="233"/>
        <v/>
      </c>
      <c r="F613" s="32" t="str">
        <f t="shared" si="234"/>
        <v/>
      </c>
      <c r="G613" s="32" t="str">
        <f t="shared" si="235"/>
        <v/>
      </c>
      <c r="H613" s="32" t="str">
        <f t="shared" si="236"/>
        <v/>
      </c>
      <c r="I613" s="32" t="str">
        <f t="shared" si="237"/>
        <v/>
      </c>
      <c r="J613" s="46" t="str">
        <f t="shared" si="238"/>
        <v/>
      </c>
      <c r="K613" s="32" t="str">
        <f t="shared" si="239"/>
        <v/>
      </c>
      <c r="L613" s="32" t="str">
        <f t="shared" si="240"/>
        <v/>
      </c>
      <c r="M613" s="32" t="str">
        <f t="shared" si="241"/>
        <v/>
      </c>
      <c r="N613" s="32" t="str">
        <f t="shared" si="242"/>
        <v/>
      </c>
      <c r="O613" s="32" t="str">
        <f t="shared" si="243"/>
        <v/>
      </c>
      <c r="AC613" t="str">
        <f>IFERROR(MATCH(609,$AB$5:$AB$404,1),"")</f>
        <v/>
      </c>
      <c r="AD613" t="str">
        <f>IF(609=$AI$1+1,"Z",IF($AC613="","",IF(INDEX($V$5:$V$404,$AC613)="","",IF(609&gt;INDEX($AB$5:$AB$404,$AC613)+INDEX($Z$5:$Z$404,$AC613)+INDEX($AA$5:$AA$404,$AC613)+INDEX($AO$5:$AO$404,$AC613),"",IF(609=INDEX($AB$5:$AB$404,$AC613)+INDEX($Z$5:$Z$404,$AC613),"D",IF(AND(INDEX($Z$5:$Z$404,$AC613)=1,609=INDEX($AB$5:$AB$404,$AC613)),"H",IF(AND(INDEX($AO$5:$AO$404,$AC613)=1,609=INDEX($AB$5:$AB$404,$AC613)+INDEX($Z$5:$Z$404,$AC613)+INDEX($AA$5:$AA$404,$AC613)+INDEX($AO$5:$AO$404,$AC613)),"B","T")))))))</f>
        <v/>
      </c>
      <c r="AF613" t="str">
        <f t="shared" si="244"/>
        <v/>
      </c>
      <c r="AJ613">
        <f>IF($AD613&lt;&gt;"T",0,ROUND(SUMIF(oil!$B$4:$B$63,$AF613,oil!$AE$4:$AE$63),2))</f>
        <v>0</v>
      </c>
      <c r="AQ613" t="str">
        <f t="shared" si="245"/>
        <v/>
      </c>
      <c r="AZ613">
        <f t="shared" si="246"/>
        <v>0</v>
      </c>
    </row>
    <row r="614" spans="1:52" ht="21" customHeight="1" x14ac:dyDescent="0.95">
      <c r="A614" s="36" t="str">
        <f>IF($AD614="","",IF($AD614="Z","รวมจ่ายทั้งสิ้น",IF($AD614="H",INDEX($X$5:$X$404,$AC614),IF($AD614="T","รวม",IF($AD614="B",IFERROR(INDEX(อัตราค่าขนส่ง!$U$5:$U$14,MATCH(INDEX($AM$5:$AM$404,$AC614),อัตราค่าขนส่ง!$T$5:$T$14,0)),"รวมกลุ่ม "&amp;INDEX($AM$5:$AM$404,$AC614)),INDEX($AY$5:$AY$404,$AC614))))))</f>
        <v/>
      </c>
      <c r="B614" s="31" t="str">
        <f t="shared" si="230"/>
        <v/>
      </c>
      <c r="C614" s="8" t="str">
        <f t="shared" si="231"/>
        <v/>
      </c>
      <c r="D614" s="37" t="str">
        <f t="shared" si="232"/>
        <v/>
      </c>
      <c r="E614" s="31" t="str">
        <f t="shared" si="233"/>
        <v/>
      </c>
      <c r="F614" s="32" t="str">
        <f t="shared" si="234"/>
        <v/>
      </c>
      <c r="G614" s="32" t="str">
        <f t="shared" si="235"/>
        <v/>
      </c>
      <c r="H614" s="32" t="str">
        <f t="shared" si="236"/>
        <v/>
      </c>
      <c r="I614" s="32" t="str">
        <f t="shared" si="237"/>
        <v/>
      </c>
      <c r="J614" s="46" t="str">
        <f t="shared" si="238"/>
        <v/>
      </c>
      <c r="K614" s="32" t="str">
        <f t="shared" si="239"/>
        <v/>
      </c>
      <c r="L614" s="32" t="str">
        <f t="shared" si="240"/>
        <v/>
      </c>
      <c r="M614" s="32" t="str">
        <f t="shared" si="241"/>
        <v/>
      </c>
      <c r="N614" s="32" t="str">
        <f t="shared" si="242"/>
        <v/>
      </c>
      <c r="O614" s="32" t="str">
        <f t="shared" si="243"/>
        <v/>
      </c>
      <c r="AC614" t="str">
        <f>IFERROR(MATCH(610,$AB$5:$AB$404,1),"")</f>
        <v/>
      </c>
      <c r="AD614" t="str">
        <f>IF(610=$AI$1+1,"Z",IF($AC614="","",IF(INDEX($V$5:$V$404,$AC614)="","",IF(610&gt;INDEX($AB$5:$AB$404,$AC614)+INDEX($Z$5:$Z$404,$AC614)+INDEX($AA$5:$AA$404,$AC614)+INDEX($AO$5:$AO$404,$AC614),"",IF(610=INDEX($AB$5:$AB$404,$AC614)+INDEX($Z$5:$Z$404,$AC614),"D",IF(AND(INDEX($Z$5:$Z$404,$AC614)=1,610=INDEX($AB$5:$AB$404,$AC614)),"H",IF(AND(INDEX($AO$5:$AO$404,$AC614)=1,610=INDEX($AB$5:$AB$404,$AC614)+INDEX($Z$5:$Z$404,$AC614)+INDEX($AA$5:$AA$404,$AC614)+INDEX($AO$5:$AO$404,$AC614)),"B","T")))))))</f>
        <v/>
      </c>
      <c r="AF614" t="str">
        <f t="shared" si="244"/>
        <v/>
      </c>
      <c r="AJ614">
        <f>IF($AD614&lt;&gt;"T",0,ROUND(SUMIF(oil!$B$4:$B$63,$AF614,oil!$AE$4:$AE$63),2))</f>
        <v>0</v>
      </c>
      <c r="AQ614" t="str">
        <f t="shared" si="245"/>
        <v/>
      </c>
      <c r="AZ614">
        <f t="shared" si="246"/>
        <v>0</v>
      </c>
    </row>
    <row r="615" spans="1:52" ht="21" customHeight="1" x14ac:dyDescent="0.95">
      <c r="A615" s="36" t="str">
        <f>IF($AD615="","",IF($AD615="Z","รวมจ่ายทั้งสิ้น",IF($AD615="H",INDEX($X$5:$X$404,$AC615),IF($AD615="T","รวม",IF($AD615="B",IFERROR(INDEX(อัตราค่าขนส่ง!$U$5:$U$14,MATCH(INDEX($AM$5:$AM$404,$AC615),อัตราค่าขนส่ง!$T$5:$T$14,0)),"รวมกลุ่ม "&amp;INDEX($AM$5:$AM$404,$AC615)),INDEX($AY$5:$AY$404,$AC615))))))</f>
        <v/>
      </c>
      <c r="B615" s="31" t="str">
        <f t="shared" si="230"/>
        <v/>
      </c>
      <c r="C615" s="8" t="str">
        <f t="shared" si="231"/>
        <v/>
      </c>
      <c r="D615" s="37" t="str">
        <f t="shared" si="232"/>
        <v/>
      </c>
      <c r="E615" s="31" t="str">
        <f t="shared" si="233"/>
        <v/>
      </c>
      <c r="F615" s="32" t="str">
        <f t="shared" si="234"/>
        <v/>
      </c>
      <c r="G615" s="32" t="str">
        <f t="shared" si="235"/>
        <v/>
      </c>
      <c r="H615" s="32" t="str">
        <f t="shared" si="236"/>
        <v/>
      </c>
      <c r="I615" s="32" t="str">
        <f t="shared" si="237"/>
        <v/>
      </c>
      <c r="J615" s="46" t="str">
        <f t="shared" si="238"/>
        <v/>
      </c>
      <c r="K615" s="32" t="str">
        <f t="shared" si="239"/>
        <v/>
      </c>
      <c r="L615" s="32" t="str">
        <f t="shared" si="240"/>
        <v/>
      </c>
      <c r="M615" s="32" t="str">
        <f t="shared" si="241"/>
        <v/>
      </c>
      <c r="N615" s="32" t="str">
        <f t="shared" si="242"/>
        <v/>
      </c>
      <c r="O615" s="32" t="str">
        <f t="shared" si="243"/>
        <v/>
      </c>
      <c r="AC615" t="str">
        <f>IFERROR(MATCH(611,$AB$5:$AB$404,1),"")</f>
        <v/>
      </c>
      <c r="AD615" t="str">
        <f>IF(611=$AI$1+1,"Z",IF($AC615="","",IF(INDEX($V$5:$V$404,$AC615)="","",IF(611&gt;INDEX($AB$5:$AB$404,$AC615)+INDEX($Z$5:$Z$404,$AC615)+INDEX($AA$5:$AA$404,$AC615)+INDEX($AO$5:$AO$404,$AC615),"",IF(611=INDEX($AB$5:$AB$404,$AC615)+INDEX($Z$5:$Z$404,$AC615),"D",IF(AND(INDEX($Z$5:$Z$404,$AC615)=1,611=INDEX($AB$5:$AB$404,$AC615)),"H",IF(AND(INDEX($AO$5:$AO$404,$AC615)=1,611=INDEX($AB$5:$AB$404,$AC615)+INDEX($Z$5:$Z$404,$AC615)+INDEX($AA$5:$AA$404,$AC615)+INDEX($AO$5:$AO$404,$AC615)),"B","T")))))))</f>
        <v/>
      </c>
      <c r="AF615" t="str">
        <f t="shared" si="244"/>
        <v/>
      </c>
      <c r="AJ615">
        <f>IF($AD615&lt;&gt;"T",0,ROUND(SUMIF(oil!$B$4:$B$63,$AF615,oil!$AE$4:$AE$63),2))</f>
        <v>0</v>
      </c>
      <c r="AQ615" t="str">
        <f t="shared" si="245"/>
        <v/>
      </c>
      <c r="AZ615">
        <f t="shared" si="246"/>
        <v>0</v>
      </c>
    </row>
    <row r="616" spans="1:52" ht="21" customHeight="1" x14ac:dyDescent="0.95">
      <c r="A616" s="36" t="str">
        <f>IF($AD616="","",IF($AD616="Z","รวมจ่ายทั้งสิ้น",IF($AD616="H",INDEX($X$5:$X$404,$AC616),IF($AD616="T","รวม",IF($AD616="B",IFERROR(INDEX(อัตราค่าขนส่ง!$U$5:$U$14,MATCH(INDEX($AM$5:$AM$404,$AC616),อัตราค่าขนส่ง!$T$5:$T$14,0)),"รวมกลุ่ม "&amp;INDEX($AM$5:$AM$404,$AC616)),INDEX($AY$5:$AY$404,$AC616))))))</f>
        <v/>
      </c>
      <c r="B616" s="31" t="str">
        <f t="shared" si="230"/>
        <v/>
      </c>
      <c r="C616" s="8" t="str">
        <f t="shared" si="231"/>
        <v/>
      </c>
      <c r="D616" s="37" t="str">
        <f t="shared" si="232"/>
        <v/>
      </c>
      <c r="E616" s="31" t="str">
        <f t="shared" si="233"/>
        <v/>
      </c>
      <c r="F616" s="32" t="str">
        <f t="shared" si="234"/>
        <v/>
      </c>
      <c r="G616" s="32" t="str">
        <f t="shared" si="235"/>
        <v/>
      </c>
      <c r="H616" s="32" t="str">
        <f t="shared" si="236"/>
        <v/>
      </c>
      <c r="I616" s="32" t="str">
        <f t="shared" si="237"/>
        <v/>
      </c>
      <c r="J616" s="46" t="str">
        <f t="shared" si="238"/>
        <v/>
      </c>
      <c r="K616" s="32" t="str">
        <f t="shared" si="239"/>
        <v/>
      </c>
      <c r="L616" s="32" t="str">
        <f t="shared" si="240"/>
        <v/>
      </c>
      <c r="M616" s="32" t="str">
        <f t="shared" si="241"/>
        <v/>
      </c>
      <c r="N616" s="32" t="str">
        <f t="shared" si="242"/>
        <v/>
      </c>
      <c r="O616" s="32" t="str">
        <f t="shared" si="243"/>
        <v/>
      </c>
      <c r="AC616" t="str">
        <f>IFERROR(MATCH(612,$AB$5:$AB$404,1),"")</f>
        <v/>
      </c>
      <c r="AD616" t="str">
        <f>IF(612=$AI$1+1,"Z",IF($AC616="","",IF(INDEX($V$5:$V$404,$AC616)="","",IF(612&gt;INDEX($AB$5:$AB$404,$AC616)+INDEX($Z$5:$Z$404,$AC616)+INDEX($AA$5:$AA$404,$AC616)+INDEX($AO$5:$AO$404,$AC616),"",IF(612=INDEX($AB$5:$AB$404,$AC616)+INDEX($Z$5:$Z$404,$AC616),"D",IF(AND(INDEX($Z$5:$Z$404,$AC616)=1,612=INDEX($AB$5:$AB$404,$AC616)),"H",IF(AND(INDEX($AO$5:$AO$404,$AC616)=1,612=INDEX($AB$5:$AB$404,$AC616)+INDEX($Z$5:$Z$404,$AC616)+INDEX($AA$5:$AA$404,$AC616)+INDEX($AO$5:$AO$404,$AC616)),"B","T")))))))</f>
        <v/>
      </c>
      <c r="AF616" t="str">
        <f t="shared" si="244"/>
        <v/>
      </c>
      <c r="AJ616">
        <f>IF($AD616&lt;&gt;"T",0,ROUND(SUMIF(oil!$B$4:$B$63,$AF616,oil!$AE$4:$AE$63),2))</f>
        <v>0</v>
      </c>
      <c r="AQ616" t="str">
        <f t="shared" si="245"/>
        <v/>
      </c>
      <c r="AZ616">
        <f t="shared" si="246"/>
        <v>0</v>
      </c>
    </row>
    <row r="617" spans="1:52" ht="21" customHeight="1" x14ac:dyDescent="0.95">
      <c r="A617" s="36" t="str">
        <f>IF($AD617="","",IF($AD617="Z","รวมจ่ายทั้งสิ้น",IF($AD617="H",INDEX($X$5:$X$404,$AC617),IF($AD617="T","รวม",IF($AD617="B",IFERROR(INDEX(อัตราค่าขนส่ง!$U$5:$U$14,MATCH(INDEX($AM$5:$AM$404,$AC617),อัตราค่าขนส่ง!$T$5:$T$14,0)),"รวมกลุ่ม "&amp;INDEX($AM$5:$AM$404,$AC617)),INDEX($AY$5:$AY$404,$AC617))))))</f>
        <v/>
      </c>
      <c r="B617" s="31" t="str">
        <f t="shared" si="230"/>
        <v/>
      </c>
      <c r="C617" s="8" t="str">
        <f t="shared" si="231"/>
        <v/>
      </c>
      <c r="D617" s="37" t="str">
        <f t="shared" si="232"/>
        <v/>
      </c>
      <c r="E617" s="31" t="str">
        <f t="shared" si="233"/>
        <v/>
      </c>
      <c r="F617" s="32" t="str">
        <f t="shared" si="234"/>
        <v/>
      </c>
      <c r="G617" s="32" t="str">
        <f t="shared" si="235"/>
        <v/>
      </c>
      <c r="H617" s="32" t="str">
        <f t="shared" si="236"/>
        <v/>
      </c>
      <c r="I617" s="32" t="str">
        <f t="shared" si="237"/>
        <v/>
      </c>
      <c r="J617" s="46" t="str">
        <f t="shared" si="238"/>
        <v/>
      </c>
      <c r="K617" s="32" t="str">
        <f t="shared" si="239"/>
        <v/>
      </c>
      <c r="L617" s="32" t="str">
        <f t="shared" si="240"/>
        <v/>
      </c>
      <c r="M617" s="32" t="str">
        <f t="shared" si="241"/>
        <v/>
      </c>
      <c r="N617" s="32" t="str">
        <f t="shared" si="242"/>
        <v/>
      </c>
      <c r="O617" s="32" t="str">
        <f t="shared" si="243"/>
        <v/>
      </c>
      <c r="AC617" t="str">
        <f>IFERROR(MATCH(613,$AB$5:$AB$404,1),"")</f>
        <v/>
      </c>
      <c r="AD617" t="str">
        <f>IF(613=$AI$1+1,"Z",IF($AC617="","",IF(INDEX($V$5:$V$404,$AC617)="","",IF(613&gt;INDEX($AB$5:$AB$404,$AC617)+INDEX($Z$5:$Z$404,$AC617)+INDEX($AA$5:$AA$404,$AC617)+INDEX($AO$5:$AO$404,$AC617),"",IF(613=INDEX($AB$5:$AB$404,$AC617)+INDEX($Z$5:$Z$404,$AC617),"D",IF(AND(INDEX($Z$5:$Z$404,$AC617)=1,613=INDEX($AB$5:$AB$404,$AC617)),"H",IF(AND(INDEX($AO$5:$AO$404,$AC617)=1,613=INDEX($AB$5:$AB$404,$AC617)+INDEX($Z$5:$Z$404,$AC617)+INDEX($AA$5:$AA$404,$AC617)+INDEX($AO$5:$AO$404,$AC617)),"B","T")))))))</f>
        <v/>
      </c>
      <c r="AF617" t="str">
        <f t="shared" si="244"/>
        <v/>
      </c>
      <c r="AJ617">
        <f>IF($AD617&lt;&gt;"T",0,ROUND(SUMIF(oil!$B$4:$B$63,$AF617,oil!$AE$4:$AE$63),2))</f>
        <v>0</v>
      </c>
      <c r="AQ617" t="str">
        <f t="shared" si="245"/>
        <v/>
      </c>
      <c r="AZ617">
        <f t="shared" si="246"/>
        <v>0</v>
      </c>
    </row>
    <row r="618" spans="1:52" ht="21" customHeight="1" x14ac:dyDescent="0.95">
      <c r="A618" s="36" t="str">
        <f>IF($AD618="","",IF($AD618="Z","รวมจ่ายทั้งสิ้น",IF($AD618="H",INDEX($X$5:$X$404,$AC618),IF($AD618="T","รวม",IF($AD618="B",IFERROR(INDEX(อัตราค่าขนส่ง!$U$5:$U$14,MATCH(INDEX($AM$5:$AM$404,$AC618),อัตราค่าขนส่ง!$T$5:$T$14,0)),"รวมกลุ่ม "&amp;INDEX($AM$5:$AM$404,$AC618)),INDEX($AY$5:$AY$404,$AC618))))))</f>
        <v/>
      </c>
      <c r="B618" s="31" t="str">
        <f t="shared" si="230"/>
        <v/>
      </c>
      <c r="C618" s="8" t="str">
        <f t="shared" si="231"/>
        <v/>
      </c>
      <c r="D618" s="37" t="str">
        <f t="shared" si="232"/>
        <v/>
      </c>
      <c r="E618" s="31" t="str">
        <f t="shared" si="233"/>
        <v/>
      </c>
      <c r="F618" s="32" t="str">
        <f t="shared" si="234"/>
        <v/>
      </c>
      <c r="G618" s="32" t="str">
        <f t="shared" si="235"/>
        <v/>
      </c>
      <c r="H618" s="32" t="str">
        <f t="shared" si="236"/>
        <v/>
      </c>
      <c r="I618" s="32" t="str">
        <f t="shared" si="237"/>
        <v/>
      </c>
      <c r="J618" s="46" t="str">
        <f t="shared" si="238"/>
        <v/>
      </c>
      <c r="K618" s="32" t="str">
        <f t="shared" si="239"/>
        <v/>
      </c>
      <c r="L618" s="32" t="str">
        <f t="shared" si="240"/>
        <v/>
      </c>
      <c r="M618" s="32" t="str">
        <f t="shared" si="241"/>
        <v/>
      </c>
      <c r="N618" s="32" t="str">
        <f t="shared" si="242"/>
        <v/>
      </c>
      <c r="O618" s="32" t="str">
        <f t="shared" si="243"/>
        <v/>
      </c>
      <c r="AC618" t="str">
        <f>IFERROR(MATCH(614,$AB$5:$AB$404,1),"")</f>
        <v/>
      </c>
      <c r="AD618" t="str">
        <f>IF(614=$AI$1+1,"Z",IF($AC618="","",IF(INDEX($V$5:$V$404,$AC618)="","",IF(614&gt;INDEX($AB$5:$AB$404,$AC618)+INDEX($Z$5:$Z$404,$AC618)+INDEX($AA$5:$AA$404,$AC618)+INDEX($AO$5:$AO$404,$AC618),"",IF(614=INDEX($AB$5:$AB$404,$AC618)+INDEX($Z$5:$Z$404,$AC618),"D",IF(AND(INDEX($Z$5:$Z$404,$AC618)=1,614=INDEX($AB$5:$AB$404,$AC618)),"H",IF(AND(INDEX($AO$5:$AO$404,$AC618)=1,614=INDEX($AB$5:$AB$404,$AC618)+INDEX($Z$5:$Z$404,$AC618)+INDEX($AA$5:$AA$404,$AC618)+INDEX($AO$5:$AO$404,$AC618)),"B","T")))))))</f>
        <v/>
      </c>
      <c r="AF618" t="str">
        <f t="shared" si="244"/>
        <v/>
      </c>
      <c r="AJ618">
        <f>IF($AD618&lt;&gt;"T",0,ROUND(SUMIF(oil!$B$4:$B$63,$AF618,oil!$AE$4:$AE$63),2))</f>
        <v>0</v>
      </c>
      <c r="AQ618" t="str">
        <f t="shared" si="245"/>
        <v/>
      </c>
      <c r="AZ618">
        <f t="shared" si="246"/>
        <v>0</v>
      </c>
    </row>
    <row r="619" spans="1:52" ht="21" customHeight="1" x14ac:dyDescent="0.95">
      <c r="A619" s="36" t="str">
        <f>IF($AD619="","",IF($AD619="Z","รวมจ่ายทั้งสิ้น",IF($AD619="H",INDEX($X$5:$X$404,$AC619),IF($AD619="T","รวม",IF($AD619="B",IFERROR(INDEX(อัตราค่าขนส่ง!$U$5:$U$14,MATCH(INDEX($AM$5:$AM$404,$AC619),อัตราค่าขนส่ง!$T$5:$T$14,0)),"รวมกลุ่ม "&amp;INDEX($AM$5:$AM$404,$AC619)),INDEX($AY$5:$AY$404,$AC619))))))</f>
        <v/>
      </c>
      <c r="B619" s="31" t="str">
        <f t="shared" si="230"/>
        <v/>
      </c>
      <c r="C619" s="8" t="str">
        <f t="shared" si="231"/>
        <v/>
      </c>
      <c r="D619" s="37" t="str">
        <f t="shared" si="232"/>
        <v/>
      </c>
      <c r="E619" s="31" t="str">
        <f t="shared" si="233"/>
        <v/>
      </c>
      <c r="F619" s="32" t="str">
        <f t="shared" si="234"/>
        <v/>
      </c>
      <c r="G619" s="32" t="str">
        <f t="shared" si="235"/>
        <v/>
      </c>
      <c r="H619" s="32" t="str">
        <f t="shared" si="236"/>
        <v/>
      </c>
      <c r="I619" s="32" t="str">
        <f t="shared" si="237"/>
        <v/>
      </c>
      <c r="J619" s="46" t="str">
        <f t="shared" si="238"/>
        <v/>
      </c>
      <c r="K619" s="32" t="str">
        <f t="shared" si="239"/>
        <v/>
      </c>
      <c r="L619" s="32" t="str">
        <f t="shared" si="240"/>
        <v/>
      </c>
      <c r="M619" s="32" t="str">
        <f t="shared" si="241"/>
        <v/>
      </c>
      <c r="N619" s="32" t="str">
        <f t="shared" si="242"/>
        <v/>
      </c>
      <c r="O619" s="32" t="str">
        <f t="shared" si="243"/>
        <v/>
      </c>
      <c r="AC619" t="str">
        <f>IFERROR(MATCH(615,$AB$5:$AB$404,1),"")</f>
        <v/>
      </c>
      <c r="AD619" t="str">
        <f>IF(615=$AI$1+1,"Z",IF($AC619="","",IF(INDEX($V$5:$V$404,$AC619)="","",IF(615&gt;INDEX($AB$5:$AB$404,$AC619)+INDEX($Z$5:$Z$404,$AC619)+INDEX($AA$5:$AA$404,$AC619)+INDEX($AO$5:$AO$404,$AC619),"",IF(615=INDEX($AB$5:$AB$404,$AC619)+INDEX($Z$5:$Z$404,$AC619),"D",IF(AND(INDEX($Z$5:$Z$404,$AC619)=1,615=INDEX($AB$5:$AB$404,$AC619)),"H",IF(AND(INDEX($AO$5:$AO$404,$AC619)=1,615=INDEX($AB$5:$AB$404,$AC619)+INDEX($Z$5:$Z$404,$AC619)+INDEX($AA$5:$AA$404,$AC619)+INDEX($AO$5:$AO$404,$AC619)),"B","T")))))))</f>
        <v/>
      </c>
      <c r="AF619" t="str">
        <f t="shared" si="244"/>
        <v/>
      </c>
      <c r="AJ619">
        <f>IF($AD619&lt;&gt;"T",0,ROUND(SUMIF(oil!$B$4:$B$63,$AF619,oil!$AE$4:$AE$63),2))</f>
        <v>0</v>
      </c>
      <c r="AQ619" t="str">
        <f t="shared" si="245"/>
        <v/>
      </c>
      <c r="AZ619">
        <f t="shared" si="246"/>
        <v>0</v>
      </c>
    </row>
    <row r="620" spans="1:52" ht="21" customHeight="1" x14ac:dyDescent="0.95">
      <c r="A620" s="36" t="str">
        <f>IF($AD620="","",IF($AD620="Z","รวมจ่ายทั้งสิ้น",IF($AD620="H",INDEX($X$5:$X$404,$AC620),IF($AD620="T","รวม",IF($AD620="B",IFERROR(INDEX(อัตราค่าขนส่ง!$U$5:$U$14,MATCH(INDEX($AM$5:$AM$404,$AC620),อัตราค่าขนส่ง!$T$5:$T$14,0)),"รวมกลุ่ม "&amp;INDEX($AM$5:$AM$404,$AC620)),INDEX($AY$5:$AY$404,$AC620))))))</f>
        <v/>
      </c>
      <c r="B620" s="31" t="str">
        <f t="shared" si="230"/>
        <v/>
      </c>
      <c r="C620" s="8" t="str">
        <f t="shared" si="231"/>
        <v/>
      </c>
      <c r="D620" s="37" t="str">
        <f t="shared" si="232"/>
        <v/>
      </c>
      <c r="E620" s="31" t="str">
        <f t="shared" si="233"/>
        <v/>
      </c>
      <c r="F620" s="32" t="str">
        <f t="shared" si="234"/>
        <v/>
      </c>
      <c r="G620" s="32" t="str">
        <f t="shared" si="235"/>
        <v/>
      </c>
      <c r="H620" s="32" t="str">
        <f t="shared" si="236"/>
        <v/>
      </c>
      <c r="I620" s="32" t="str">
        <f t="shared" si="237"/>
        <v/>
      </c>
      <c r="J620" s="46" t="str">
        <f t="shared" si="238"/>
        <v/>
      </c>
      <c r="K620" s="32" t="str">
        <f t="shared" si="239"/>
        <v/>
      </c>
      <c r="L620" s="32" t="str">
        <f t="shared" si="240"/>
        <v/>
      </c>
      <c r="M620" s="32" t="str">
        <f t="shared" si="241"/>
        <v/>
      </c>
      <c r="N620" s="32" t="str">
        <f t="shared" si="242"/>
        <v/>
      </c>
      <c r="O620" s="32" t="str">
        <f t="shared" si="243"/>
        <v/>
      </c>
      <c r="AC620" t="str">
        <f>IFERROR(MATCH(616,$AB$5:$AB$404,1),"")</f>
        <v/>
      </c>
      <c r="AD620" t="str">
        <f>IF(616=$AI$1+1,"Z",IF($AC620="","",IF(INDEX($V$5:$V$404,$AC620)="","",IF(616&gt;INDEX($AB$5:$AB$404,$AC620)+INDEX($Z$5:$Z$404,$AC620)+INDEX($AA$5:$AA$404,$AC620)+INDEX($AO$5:$AO$404,$AC620),"",IF(616=INDEX($AB$5:$AB$404,$AC620)+INDEX($Z$5:$Z$404,$AC620),"D",IF(AND(INDEX($Z$5:$Z$404,$AC620)=1,616=INDEX($AB$5:$AB$404,$AC620)),"H",IF(AND(INDEX($AO$5:$AO$404,$AC620)=1,616=INDEX($AB$5:$AB$404,$AC620)+INDEX($Z$5:$Z$404,$AC620)+INDEX($AA$5:$AA$404,$AC620)+INDEX($AO$5:$AO$404,$AC620)),"B","T")))))))</f>
        <v/>
      </c>
      <c r="AF620" t="str">
        <f t="shared" si="244"/>
        <v/>
      </c>
      <c r="AJ620">
        <f>IF($AD620&lt;&gt;"T",0,ROUND(SUMIF(oil!$B$4:$B$63,$AF620,oil!$AE$4:$AE$63),2))</f>
        <v>0</v>
      </c>
      <c r="AQ620" t="str">
        <f t="shared" si="245"/>
        <v/>
      </c>
      <c r="AZ620">
        <f t="shared" si="246"/>
        <v>0</v>
      </c>
    </row>
    <row r="621" spans="1:52" ht="21" customHeight="1" x14ac:dyDescent="0.95">
      <c r="A621" s="36" t="str">
        <f>IF($AD621="","",IF($AD621="Z","รวมจ่ายทั้งสิ้น",IF($AD621="H",INDEX($X$5:$X$404,$AC621),IF($AD621="T","รวม",IF($AD621="B",IFERROR(INDEX(อัตราค่าขนส่ง!$U$5:$U$14,MATCH(INDEX($AM$5:$AM$404,$AC621),อัตราค่าขนส่ง!$T$5:$T$14,0)),"รวมกลุ่ม "&amp;INDEX($AM$5:$AM$404,$AC621)),INDEX($AY$5:$AY$404,$AC621))))))</f>
        <v/>
      </c>
      <c r="B621" s="31" t="str">
        <f t="shared" si="230"/>
        <v/>
      </c>
      <c r="C621" s="8" t="str">
        <f t="shared" si="231"/>
        <v/>
      </c>
      <c r="D621" s="37" t="str">
        <f t="shared" si="232"/>
        <v/>
      </c>
      <c r="E621" s="31" t="str">
        <f t="shared" si="233"/>
        <v/>
      </c>
      <c r="F621" s="32" t="str">
        <f t="shared" si="234"/>
        <v/>
      </c>
      <c r="G621" s="32" t="str">
        <f t="shared" si="235"/>
        <v/>
      </c>
      <c r="H621" s="32" t="str">
        <f t="shared" si="236"/>
        <v/>
      </c>
      <c r="I621" s="32" t="str">
        <f t="shared" si="237"/>
        <v/>
      </c>
      <c r="J621" s="46" t="str">
        <f t="shared" si="238"/>
        <v/>
      </c>
      <c r="K621" s="32" t="str">
        <f t="shared" si="239"/>
        <v/>
      </c>
      <c r="L621" s="32" t="str">
        <f t="shared" si="240"/>
        <v/>
      </c>
      <c r="M621" s="32" t="str">
        <f t="shared" si="241"/>
        <v/>
      </c>
      <c r="N621" s="32" t="str">
        <f t="shared" si="242"/>
        <v/>
      </c>
      <c r="O621" s="32" t="str">
        <f t="shared" si="243"/>
        <v/>
      </c>
      <c r="AC621" t="str">
        <f>IFERROR(MATCH(617,$AB$5:$AB$404,1),"")</f>
        <v/>
      </c>
      <c r="AD621" t="str">
        <f>IF(617=$AI$1+1,"Z",IF($AC621="","",IF(INDEX($V$5:$V$404,$AC621)="","",IF(617&gt;INDEX($AB$5:$AB$404,$AC621)+INDEX($Z$5:$Z$404,$AC621)+INDEX($AA$5:$AA$404,$AC621)+INDEX($AO$5:$AO$404,$AC621),"",IF(617=INDEX($AB$5:$AB$404,$AC621)+INDEX($Z$5:$Z$404,$AC621),"D",IF(AND(INDEX($Z$5:$Z$404,$AC621)=1,617=INDEX($AB$5:$AB$404,$AC621)),"H",IF(AND(INDEX($AO$5:$AO$404,$AC621)=1,617=INDEX($AB$5:$AB$404,$AC621)+INDEX($Z$5:$Z$404,$AC621)+INDEX($AA$5:$AA$404,$AC621)+INDEX($AO$5:$AO$404,$AC621)),"B","T")))))))</f>
        <v/>
      </c>
      <c r="AF621" t="str">
        <f t="shared" si="244"/>
        <v/>
      </c>
      <c r="AJ621">
        <f>IF($AD621&lt;&gt;"T",0,ROUND(SUMIF(oil!$B$4:$B$63,$AF621,oil!$AE$4:$AE$63),2))</f>
        <v>0</v>
      </c>
      <c r="AQ621" t="str">
        <f t="shared" si="245"/>
        <v/>
      </c>
      <c r="AZ621">
        <f t="shared" si="246"/>
        <v>0</v>
      </c>
    </row>
    <row r="622" spans="1:52" ht="21" customHeight="1" x14ac:dyDescent="0.95">
      <c r="A622" s="36" t="str">
        <f>IF($AD622="","",IF($AD622="Z","รวมจ่ายทั้งสิ้น",IF($AD622="H",INDEX($X$5:$X$404,$AC622),IF($AD622="T","รวม",IF($AD622="B",IFERROR(INDEX(อัตราค่าขนส่ง!$U$5:$U$14,MATCH(INDEX($AM$5:$AM$404,$AC622),อัตราค่าขนส่ง!$T$5:$T$14,0)),"รวมกลุ่ม "&amp;INDEX($AM$5:$AM$404,$AC622)),INDEX($AY$5:$AY$404,$AC622))))))</f>
        <v/>
      </c>
      <c r="B622" s="31" t="str">
        <f t="shared" si="230"/>
        <v/>
      </c>
      <c r="C622" s="8" t="str">
        <f t="shared" si="231"/>
        <v/>
      </c>
      <c r="D622" s="37" t="str">
        <f t="shared" si="232"/>
        <v/>
      </c>
      <c r="E622" s="31" t="str">
        <f t="shared" si="233"/>
        <v/>
      </c>
      <c r="F622" s="32" t="str">
        <f t="shared" si="234"/>
        <v/>
      </c>
      <c r="G622" s="32" t="str">
        <f t="shared" si="235"/>
        <v/>
      </c>
      <c r="H622" s="32" t="str">
        <f t="shared" si="236"/>
        <v/>
      </c>
      <c r="I622" s="32" t="str">
        <f t="shared" si="237"/>
        <v/>
      </c>
      <c r="J622" s="46" t="str">
        <f t="shared" si="238"/>
        <v/>
      </c>
      <c r="K622" s="32" t="str">
        <f t="shared" si="239"/>
        <v/>
      </c>
      <c r="L622" s="32" t="str">
        <f t="shared" si="240"/>
        <v/>
      </c>
      <c r="M622" s="32" t="str">
        <f t="shared" si="241"/>
        <v/>
      </c>
      <c r="N622" s="32" t="str">
        <f t="shared" si="242"/>
        <v/>
      </c>
      <c r="O622" s="32" t="str">
        <f t="shared" si="243"/>
        <v/>
      </c>
      <c r="AC622" t="str">
        <f>IFERROR(MATCH(618,$AB$5:$AB$404,1),"")</f>
        <v/>
      </c>
      <c r="AD622" t="str">
        <f>IF(618=$AI$1+1,"Z",IF($AC622="","",IF(INDEX($V$5:$V$404,$AC622)="","",IF(618&gt;INDEX($AB$5:$AB$404,$AC622)+INDEX($Z$5:$Z$404,$AC622)+INDEX($AA$5:$AA$404,$AC622)+INDEX($AO$5:$AO$404,$AC622),"",IF(618=INDEX($AB$5:$AB$404,$AC622)+INDEX($Z$5:$Z$404,$AC622),"D",IF(AND(INDEX($Z$5:$Z$404,$AC622)=1,618=INDEX($AB$5:$AB$404,$AC622)),"H",IF(AND(INDEX($AO$5:$AO$404,$AC622)=1,618=INDEX($AB$5:$AB$404,$AC622)+INDEX($Z$5:$Z$404,$AC622)+INDEX($AA$5:$AA$404,$AC622)+INDEX($AO$5:$AO$404,$AC622)),"B","T")))))))</f>
        <v/>
      </c>
      <c r="AF622" t="str">
        <f t="shared" si="244"/>
        <v/>
      </c>
      <c r="AJ622">
        <f>IF($AD622&lt;&gt;"T",0,ROUND(SUMIF(oil!$B$4:$B$63,$AF622,oil!$AE$4:$AE$63),2))</f>
        <v>0</v>
      </c>
      <c r="AQ622" t="str">
        <f t="shared" si="245"/>
        <v/>
      </c>
      <c r="AZ622">
        <f t="shared" si="246"/>
        <v>0</v>
      </c>
    </row>
    <row r="623" spans="1:52" ht="21" customHeight="1" x14ac:dyDescent="0.95">
      <c r="A623" s="36" t="str">
        <f>IF($AD623="","",IF($AD623="Z","รวมจ่ายทั้งสิ้น",IF($AD623="H",INDEX($X$5:$X$404,$AC623),IF($AD623="T","รวม",IF($AD623="B",IFERROR(INDEX(อัตราค่าขนส่ง!$U$5:$U$14,MATCH(INDEX($AM$5:$AM$404,$AC623),อัตราค่าขนส่ง!$T$5:$T$14,0)),"รวมกลุ่ม "&amp;INDEX($AM$5:$AM$404,$AC623)),INDEX($AY$5:$AY$404,$AC623))))))</f>
        <v/>
      </c>
      <c r="B623" s="31" t="str">
        <f t="shared" si="230"/>
        <v/>
      </c>
      <c r="C623" s="8" t="str">
        <f t="shared" si="231"/>
        <v/>
      </c>
      <c r="D623" s="37" t="str">
        <f t="shared" si="232"/>
        <v/>
      </c>
      <c r="E623" s="31" t="str">
        <f t="shared" si="233"/>
        <v/>
      </c>
      <c r="F623" s="32" t="str">
        <f t="shared" si="234"/>
        <v/>
      </c>
      <c r="G623" s="32" t="str">
        <f t="shared" si="235"/>
        <v/>
      </c>
      <c r="H623" s="32" t="str">
        <f t="shared" si="236"/>
        <v/>
      </c>
      <c r="I623" s="32" t="str">
        <f t="shared" si="237"/>
        <v/>
      </c>
      <c r="J623" s="46" t="str">
        <f t="shared" si="238"/>
        <v/>
      </c>
      <c r="K623" s="32" t="str">
        <f t="shared" si="239"/>
        <v/>
      </c>
      <c r="L623" s="32" t="str">
        <f t="shared" si="240"/>
        <v/>
      </c>
      <c r="M623" s="32" t="str">
        <f t="shared" si="241"/>
        <v/>
      </c>
      <c r="N623" s="32" t="str">
        <f t="shared" si="242"/>
        <v/>
      </c>
      <c r="O623" s="32" t="str">
        <f t="shared" si="243"/>
        <v/>
      </c>
      <c r="AC623" t="str">
        <f>IFERROR(MATCH(619,$AB$5:$AB$404,1),"")</f>
        <v/>
      </c>
      <c r="AD623" t="str">
        <f>IF(619=$AI$1+1,"Z",IF($AC623="","",IF(INDEX($V$5:$V$404,$AC623)="","",IF(619&gt;INDEX($AB$5:$AB$404,$AC623)+INDEX($Z$5:$Z$404,$AC623)+INDEX($AA$5:$AA$404,$AC623)+INDEX($AO$5:$AO$404,$AC623),"",IF(619=INDEX($AB$5:$AB$404,$AC623)+INDEX($Z$5:$Z$404,$AC623),"D",IF(AND(INDEX($Z$5:$Z$404,$AC623)=1,619=INDEX($AB$5:$AB$404,$AC623)),"H",IF(AND(INDEX($AO$5:$AO$404,$AC623)=1,619=INDEX($AB$5:$AB$404,$AC623)+INDEX($Z$5:$Z$404,$AC623)+INDEX($AA$5:$AA$404,$AC623)+INDEX($AO$5:$AO$404,$AC623)),"B","T")))))))</f>
        <v/>
      </c>
      <c r="AF623" t="str">
        <f t="shared" si="244"/>
        <v/>
      </c>
      <c r="AJ623">
        <f>IF($AD623&lt;&gt;"T",0,ROUND(SUMIF(oil!$B$4:$B$63,$AF623,oil!$AE$4:$AE$63),2))</f>
        <v>0</v>
      </c>
      <c r="AQ623" t="str">
        <f t="shared" si="245"/>
        <v/>
      </c>
      <c r="AZ623">
        <f t="shared" si="246"/>
        <v>0</v>
      </c>
    </row>
    <row r="624" spans="1:52" ht="21" customHeight="1" x14ac:dyDescent="0.95">
      <c r="A624" s="36" t="str">
        <f>IF($AD624="","",IF($AD624="Z","รวมจ่ายทั้งสิ้น",IF($AD624="H",INDEX($X$5:$X$404,$AC624),IF($AD624="T","รวม",IF($AD624="B",IFERROR(INDEX(อัตราค่าขนส่ง!$U$5:$U$14,MATCH(INDEX($AM$5:$AM$404,$AC624),อัตราค่าขนส่ง!$T$5:$T$14,0)),"รวมกลุ่ม "&amp;INDEX($AM$5:$AM$404,$AC624)),INDEX($AY$5:$AY$404,$AC624))))))</f>
        <v/>
      </c>
      <c r="B624" s="31" t="str">
        <f t="shared" si="230"/>
        <v/>
      </c>
      <c r="C624" s="8" t="str">
        <f t="shared" si="231"/>
        <v/>
      </c>
      <c r="D624" s="37" t="str">
        <f t="shared" si="232"/>
        <v/>
      </c>
      <c r="E624" s="31" t="str">
        <f t="shared" si="233"/>
        <v/>
      </c>
      <c r="F624" s="32" t="str">
        <f t="shared" si="234"/>
        <v/>
      </c>
      <c r="G624" s="32" t="str">
        <f t="shared" si="235"/>
        <v/>
      </c>
      <c r="H624" s="32" t="str">
        <f t="shared" si="236"/>
        <v/>
      </c>
      <c r="I624" s="32" t="str">
        <f t="shared" si="237"/>
        <v/>
      </c>
      <c r="J624" s="46" t="str">
        <f t="shared" si="238"/>
        <v/>
      </c>
      <c r="K624" s="32" t="str">
        <f t="shared" si="239"/>
        <v/>
      </c>
      <c r="L624" s="32" t="str">
        <f t="shared" si="240"/>
        <v/>
      </c>
      <c r="M624" s="32" t="str">
        <f t="shared" si="241"/>
        <v/>
      </c>
      <c r="N624" s="32" t="str">
        <f t="shared" si="242"/>
        <v/>
      </c>
      <c r="O624" s="32" t="str">
        <f t="shared" si="243"/>
        <v/>
      </c>
      <c r="AC624" t="str">
        <f>IFERROR(MATCH(620,$AB$5:$AB$404,1),"")</f>
        <v/>
      </c>
      <c r="AD624" t="str">
        <f>IF(620=$AI$1+1,"Z",IF($AC624="","",IF(INDEX($V$5:$V$404,$AC624)="","",IF(620&gt;INDEX($AB$5:$AB$404,$AC624)+INDEX($Z$5:$Z$404,$AC624)+INDEX($AA$5:$AA$404,$AC624)+INDEX($AO$5:$AO$404,$AC624),"",IF(620=INDEX($AB$5:$AB$404,$AC624)+INDEX($Z$5:$Z$404,$AC624),"D",IF(AND(INDEX($Z$5:$Z$404,$AC624)=1,620=INDEX($AB$5:$AB$404,$AC624)),"H",IF(AND(INDEX($AO$5:$AO$404,$AC624)=1,620=INDEX($AB$5:$AB$404,$AC624)+INDEX($Z$5:$Z$404,$AC624)+INDEX($AA$5:$AA$404,$AC624)+INDEX($AO$5:$AO$404,$AC624)),"B","T")))))))</f>
        <v/>
      </c>
      <c r="AF624" t="str">
        <f t="shared" si="244"/>
        <v/>
      </c>
      <c r="AJ624">
        <f>IF($AD624&lt;&gt;"T",0,ROUND(SUMIF(oil!$B$4:$B$63,$AF624,oil!$AE$4:$AE$63),2))</f>
        <v>0</v>
      </c>
      <c r="AQ624" t="str">
        <f t="shared" si="245"/>
        <v/>
      </c>
      <c r="AZ624">
        <f t="shared" si="246"/>
        <v>0</v>
      </c>
    </row>
    <row r="625" spans="1:52" ht="21" customHeight="1" x14ac:dyDescent="0.95">
      <c r="A625" s="36" t="str">
        <f>IF($AD625="","",IF($AD625="Z","รวมจ่ายทั้งสิ้น",IF($AD625="H",INDEX($X$5:$X$404,$AC625),IF($AD625="T","รวม",IF($AD625="B",IFERROR(INDEX(อัตราค่าขนส่ง!$U$5:$U$14,MATCH(INDEX($AM$5:$AM$404,$AC625),อัตราค่าขนส่ง!$T$5:$T$14,0)),"รวมกลุ่ม "&amp;INDEX($AM$5:$AM$404,$AC625)),INDEX($AY$5:$AY$404,$AC625))))))</f>
        <v/>
      </c>
      <c r="B625" s="31" t="str">
        <f t="shared" si="230"/>
        <v/>
      </c>
      <c r="C625" s="8" t="str">
        <f t="shared" si="231"/>
        <v/>
      </c>
      <c r="D625" s="37" t="str">
        <f t="shared" si="232"/>
        <v/>
      </c>
      <c r="E625" s="31" t="str">
        <f t="shared" si="233"/>
        <v/>
      </c>
      <c r="F625" s="32" t="str">
        <f t="shared" si="234"/>
        <v/>
      </c>
      <c r="G625" s="32" t="str">
        <f t="shared" si="235"/>
        <v/>
      </c>
      <c r="H625" s="32" t="str">
        <f t="shared" si="236"/>
        <v/>
      </c>
      <c r="I625" s="32" t="str">
        <f t="shared" si="237"/>
        <v/>
      </c>
      <c r="J625" s="46" t="str">
        <f t="shared" si="238"/>
        <v/>
      </c>
      <c r="K625" s="32" t="str">
        <f t="shared" si="239"/>
        <v/>
      </c>
      <c r="L625" s="32" t="str">
        <f t="shared" si="240"/>
        <v/>
      </c>
      <c r="M625" s="32" t="str">
        <f t="shared" si="241"/>
        <v/>
      </c>
      <c r="N625" s="32" t="str">
        <f t="shared" si="242"/>
        <v/>
      </c>
      <c r="O625" s="32" t="str">
        <f t="shared" si="243"/>
        <v/>
      </c>
      <c r="AC625" t="str">
        <f>IFERROR(MATCH(621,$AB$5:$AB$404,1),"")</f>
        <v/>
      </c>
      <c r="AD625" t="str">
        <f>IF(621=$AI$1+1,"Z",IF($AC625="","",IF(INDEX($V$5:$V$404,$AC625)="","",IF(621&gt;INDEX($AB$5:$AB$404,$AC625)+INDEX($Z$5:$Z$404,$AC625)+INDEX($AA$5:$AA$404,$AC625)+INDEX($AO$5:$AO$404,$AC625),"",IF(621=INDEX($AB$5:$AB$404,$AC625)+INDEX($Z$5:$Z$404,$AC625),"D",IF(AND(INDEX($Z$5:$Z$404,$AC625)=1,621=INDEX($AB$5:$AB$404,$AC625)),"H",IF(AND(INDEX($AO$5:$AO$404,$AC625)=1,621=INDEX($AB$5:$AB$404,$AC625)+INDEX($Z$5:$Z$404,$AC625)+INDEX($AA$5:$AA$404,$AC625)+INDEX($AO$5:$AO$404,$AC625)),"B","T")))))))</f>
        <v/>
      </c>
      <c r="AF625" t="str">
        <f t="shared" si="244"/>
        <v/>
      </c>
      <c r="AJ625">
        <f>IF($AD625&lt;&gt;"T",0,ROUND(SUMIF(oil!$B$4:$B$63,$AF625,oil!$AE$4:$AE$63),2))</f>
        <v>0</v>
      </c>
      <c r="AQ625" t="str">
        <f t="shared" si="245"/>
        <v/>
      </c>
      <c r="AZ625">
        <f t="shared" si="246"/>
        <v>0</v>
      </c>
    </row>
    <row r="626" spans="1:52" ht="21" customHeight="1" x14ac:dyDescent="0.95">
      <c r="A626" s="36" t="str">
        <f>IF($AD626="","",IF($AD626="Z","รวมจ่ายทั้งสิ้น",IF($AD626="H",INDEX($X$5:$X$404,$AC626),IF($AD626="T","รวม",IF($AD626="B",IFERROR(INDEX(อัตราค่าขนส่ง!$U$5:$U$14,MATCH(INDEX($AM$5:$AM$404,$AC626),อัตราค่าขนส่ง!$T$5:$T$14,0)),"รวมกลุ่ม "&amp;INDEX($AM$5:$AM$404,$AC626)),INDEX($AY$5:$AY$404,$AC626))))))</f>
        <v/>
      </c>
      <c r="B626" s="31" t="str">
        <f t="shared" si="230"/>
        <v/>
      </c>
      <c r="C626" s="8" t="str">
        <f t="shared" si="231"/>
        <v/>
      </c>
      <c r="D626" s="37" t="str">
        <f t="shared" si="232"/>
        <v/>
      </c>
      <c r="E626" s="31" t="str">
        <f t="shared" si="233"/>
        <v/>
      </c>
      <c r="F626" s="32" t="str">
        <f t="shared" si="234"/>
        <v/>
      </c>
      <c r="G626" s="32" t="str">
        <f t="shared" si="235"/>
        <v/>
      </c>
      <c r="H626" s="32" t="str">
        <f t="shared" si="236"/>
        <v/>
      </c>
      <c r="I626" s="32" t="str">
        <f t="shared" si="237"/>
        <v/>
      </c>
      <c r="J626" s="46" t="str">
        <f t="shared" si="238"/>
        <v/>
      </c>
      <c r="K626" s="32" t="str">
        <f t="shared" si="239"/>
        <v/>
      </c>
      <c r="L626" s="32" t="str">
        <f t="shared" si="240"/>
        <v/>
      </c>
      <c r="M626" s="32" t="str">
        <f t="shared" si="241"/>
        <v/>
      </c>
      <c r="N626" s="32" t="str">
        <f t="shared" si="242"/>
        <v/>
      </c>
      <c r="O626" s="32" t="str">
        <f t="shared" si="243"/>
        <v/>
      </c>
      <c r="AC626" t="str">
        <f>IFERROR(MATCH(622,$AB$5:$AB$404,1),"")</f>
        <v/>
      </c>
      <c r="AD626" t="str">
        <f>IF(622=$AI$1+1,"Z",IF($AC626="","",IF(INDEX($V$5:$V$404,$AC626)="","",IF(622&gt;INDEX($AB$5:$AB$404,$AC626)+INDEX($Z$5:$Z$404,$AC626)+INDEX($AA$5:$AA$404,$AC626)+INDEX($AO$5:$AO$404,$AC626),"",IF(622=INDEX($AB$5:$AB$404,$AC626)+INDEX($Z$5:$Z$404,$AC626),"D",IF(AND(INDEX($Z$5:$Z$404,$AC626)=1,622=INDEX($AB$5:$AB$404,$AC626)),"H",IF(AND(INDEX($AO$5:$AO$404,$AC626)=1,622=INDEX($AB$5:$AB$404,$AC626)+INDEX($Z$5:$Z$404,$AC626)+INDEX($AA$5:$AA$404,$AC626)+INDEX($AO$5:$AO$404,$AC626)),"B","T")))))))</f>
        <v/>
      </c>
      <c r="AF626" t="str">
        <f t="shared" si="244"/>
        <v/>
      </c>
      <c r="AJ626">
        <f>IF($AD626&lt;&gt;"T",0,ROUND(SUMIF(oil!$B$4:$B$63,$AF626,oil!$AE$4:$AE$63),2))</f>
        <v>0</v>
      </c>
      <c r="AQ626" t="str">
        <f t="shared" si="245"/>
        <v/>
      </c>
      <c r="AZ626">
        <f t="shared" si="246"/>
        <v>0</v>
      </c>
    </row>
    <row r="627" spans="1:52" ht="21" customHeight="1" x14ac:dyDescent="0.95">
      <c r="A627" s="36" t="str">
        <f>IF($AD627="","",IF($AD627="Z","รวมจ่ายทั้งสิ้น",IF($AD627="H",INDEX($X$5:$X$404,$AC627),IF($AD627="T","รวม",IF($AD627="B",IFERROR(INDEX(อัตราค่าขนส่ง!$U$5:$U$14,MATCH(INDEX($AM$5:$AM$404,$AC627),อัตราค่าขนส่ง!$T$5:$T$14,0)),"รวมกลุ่ม "&amp;INDEX($AM$5:$AM$404,$AC627)),INDEX($AY$5:$AY$404,$AC627))))))</f>
        <v/>
      </c>
      <c r="B627" s="31" t="str">
        <f t="shared" si="230"/>
        <v/>
      </c>
      <c r="C627" s="8" t="str">
        <f t="shared" si="231"/>
        <v/>
      </c>
      <c r="D627" s="37" t="str">
        <f t="shared" si="232"/>
        <v/>
      </c>
      <c r="E627" s="31" t="str">
        <f t="shared" si="233"/>
        <v/>
      </c>
      <c r="F627" s="32" t="str">
        <f t="shared" si="234"/>
        <v/>
      </c>
      <c r="G627" s="32" t="str">
        <f t="shared" si="235"/>
        <v/>
      </c>
      <c r="H627" s="32" t="str">
        <f t="shared" si="236"/>
        <v/>
      </c>
      <c r="I627" s="32" t="str">
        <f t="shared" si="237"/>
        <v/>
      </c>
      <c r="J627" s="46" t="str">
        <f t="shared" si="238"/>
        <v/>
      </c>
      <c r="K627" s="32" t="str">
        <f t="shared" si="239"/>
        <v/>
      </c>
      <c r="L627" s="32" t="str">
        <f t="shared" si="240"/>
        <v/>
      </c>
      <c r="M627" s="32" t="str">
        <f t="shared" si="241"/>
        <v/>
      </c>
      <c r="N627" s="32" t="str">
        <f t="shared" si="242"/>
        <v/>
      </c>
      <c r="O627" s="32" t="str">
        <f t="shared" si="243"/>
        <v/>
      </c>
      <c r="AC627" t="str">
        <f>IFERROR(MATCH(623,$AB$5:$AB$404,1),"")</f>
        <v/>
      </c>
      <c r="AD627" t="str">
        <f>IF(623=$AI$1+1,"Z",IF($AC627="","",IF(INDEX($V$5:$V$404,$AC627)="","",IF(623&gt;INDEX($AB$5:$AB$404,$AC627)+INDEX($Z$5:$Z$404,$AC627)+INDEX($AA$5:$AA$404,$AC627)+INDEX($AO$5:$AO$404,$AC627),"",IF(623=INDEX($AB$5:$AB$404,$AC627)+INDEX($Z$5:$Z$404,$AC627),"D",IF(AND(INDEX($Z$5:$Z$404,$AC627)=1,623=INDEX($AB$5:$AB$404,$AC627)),"H",IF(AND(INDEX($AO$5:$AO$404,$AC627)=1,623=INDEX($AB$5:$AB$404,$AC627)+INDEX($Z$5:$Z$404,$AC627)+INDEX($AA$5:$AA$404,$AC627)+INDEX($AO$5:$AO$404,$AC627)),"B","T")))))))</f>
        <v/>
      </c>
      <c r="AF627" t="str">
        <f t="shared" si="244"/>
        <v/>
      </c>
      <c r="AJ627">
        <f>IF($AD627&lt;&gt;"T",0,ROUND(SUMIF(oil!$B$4:$B$63,$AF627,oil!$AE$4:$AE$63),2))</f>
        <v>0</v>
      </c>
      <c r="AQ627" t="str">
        <f t="shared" si="245"/>
        <v/>
      </c>
      <c r="AZ627">
        <f t="shared" si="246"/>
        <v>0</v>
      </c>
    </row>
    <row r="628" spans="1:52" ht="21" customHeight="1" x14ac:dyDescent="0.95">
      <c r="A628" s="36" t="str">
        <f>IF($AD628="","",IF($AD628="Z","รวมจ่ายทั้งสิ้น",IF($AD628="H",INDEX($X$5:$X$404,$AC628),IF($AD628="T","รวม",IF($AD628="B",IFERROR(INDEX(อัตราค่าขนส่ง!$U$5:$U$14,MATCH(INDEX($AM$5:$AM$404,$AC628),อัตราค่าขนส่ง!$T$5:$T$14,0)),"รวมกลุ่ม "&amp;INDEX($AM$5:$AM$404,$AC628)),INDEX($AY$5:$AY$404,$AC628))))))</f>
        <v/>
      </c>
      <c r="B628" s="31" t="str">
        <f t="shared" si="230"/>
        <v/>
      </c>
      <c r="C628" s="8" t="str">
        <f t="shared" si="231"/>
        <v/>
      </c>
      <c r="D628" s="37" t="str">
        <f t="shared" si="232"/>
        <v/>
      </c>
      <c r="E628" s="31" t="str">
        <f t="shared" si="233"/>
        <v/>
      </c>
      <c r="F628" s="32" t="str">
        <f t="shared" si="234"/>
        <v/>
      </c>
      <c r="G628" s="32" t="str">
        <f t="shared" si="235"/>
        <v/>
      </c>
      <c r="H628" s="32" t="str">
        <f t="shared" si="236"/>
        <v/>
      </c>
      <c r="I628" s="32" t="str">
        <f t="shared" si="237"/>
        <v/>
      </c>
      <c r="J628" s="46" t="str">
        <f t="shared" si="238"/>
        <v/>
      </c>
      <c r="K628" s="32" t="str">
        <f t="shared" si="239"/>
        <v/>
      </c>
      <c r="L628" s="32" t="str">
        <f t="shared" si="240"/>
        <v/>
      </c>
      <c r="M628" s="32" t="str">
        <f t="shared" si="241"/>
        <v/>
      </c>
      <c r="N628" s="32" t="str">
        <f t="shared" si="242"/>
        <v/>
      </c>
      <c r="O628" s="32" t="str">
        <f t="shared" si="243"/>
        <v/>
      </c>
      <c r="AC628" t="str">
        <f>IFERROR(MATCH(624,$AB$5:$AB$404,1),"")</f>
        <v/>
      </c>
      <c r="AD628" t="str">
        <f>IF(624=$AI$1+1,"Z",IF($AC628="","",IF(INDEX($V$5:$V$404,$AC628)="","",IF(624&gt;INDEX($AB$5:$AB$404,$AC628)+INDEX($Z$5:$Z$404,$AC628)+INDEX($AA$5:$AA$404,$AC628)+INDEX($AO$5:$AO$404,$AC628),"",IF(624=INDEX($AB$5:$AB$404,$AC628)+INDEX($Z$5:$Z$404,$AC628),"D",IF(AND(INDEX($Z$5:$Z$404,$AC628)=1,624=INDEX($AB$5:$AB$404,$AC628)),"H",IF(AND(INDEX($AO$5:$AO$404,$AC628)=1,624=INDEX($AB$5:$AB$404,$AC628)+INDEX($Z$5:$Z$404,$AC628)+INDEX($AA$5:$AA$404,$AC628)+INDEX($AO$5:$AO$404,$AC628)),"B","T")))))))</f>
        <v/>
      </c>
      <c r="AF628" t="str">
        <f t="shared" si="244"/>
        <v/>
      </c>
      <c r="AJ628">
        <f>IF($AD628&lt;&gt;"T",0,ROUND(SUMIF(oil!$B$4:$B$63,$AF628,oil!$AE$4:$AE$63),2))</f>
        <v>0</v>
      </c>
      <c r="AQ628" t="str">
        <f t="shared" si="245"/>
        <v/>
      </c>
      <c r="AZ628">
        <f t="shared" si="246"/>
        <v>0</v>
      </c>
    </row>
    <row r="629" spans="1:52" ht="21" customHeight="1" x14ac:dyDescent="0.95">
      <c r="A629" s="36" t="str">
        <f>IF($AD629="","",IF($AD629="Z","รวมจ่ายทั้งสิ้น",IF($AD629="H",INDEX($X$5:$X$404,$AC629),IF($AD629="T","รวม",IF($AD629="B",IFERROR(INDEX(อัตราค่าขนส่ง!$U$5:$U$14,MATCH(INDEX($AM$5:$AM$404,$AC629),อัตราค่าขนส่ง!$T$5:$T$14,0)),"รวมกลุ่ม "&amp;INDEX($AM$5:$AM$404,$AC629)),INDEX($AY$5:$AY$404,$AC629))))))</f>
        <v/>
      </c>
      <c r="B629" s="31" t="str">
        <f t="shared" si="230"/>
        <v/>
      </c>
      <c r="C629" s="8" t="str">
        <f t="shared" si="231"/>
        <v/>
      </c>
      <c r="D629" s="37" t="str">
        <f t="shared" si="232"/>
        <v/>
      </c>
      <c r="E629" s="31" t="str">
        <f t="shared" si="233"/>
        <v/>
      </c>
      <c r="F629" s="32" t="str">
        <f t="shared" si="234"/>
        <v/>
      </c>
      <c r="G629" s="32" t="str">
        <f t="shared" si="235"/>
        <v/>
      </c>
      <c r="H629" s="32" t="str">
        <f t="shared" si="236"/>
        <v/>
      </c>
      <c r="I629" s="32" t="str">
        <f t="shared" si="237"/>
        <v/>
      </c>
      <c r="J629" s="46" t="str">
        <f t="shared" si="238"/>
        <v/>
      </c>
      <c r="K629" s="32" t="str">
        <f t="shared" si="239"/>
        <v/>
      </c>
      <c r="L629" s="32" t="str">
        <f t="shared" si="240"/>
        <v/>
      </c>
      <c r="M629" s="32" t="str">
        <f t="shared" si="241"/>
        <v/>
      </c>
      <c r="N629" s="32" t="str">
        <f t="shared" si="242"/>
        <v/>
      </c>
      <c r="O629" s="32" t="str">
        <f t="shared" si="243"/>
        <v/>
      </c>
      <c r="AC629" t="str">
        <f>IFERROR(MATCH(625,$AB$5:$AB$404,1),"")</f>
        <v/>
      </c>
      <c r="AD629" t="str">
        <f>IF(625=$AI$1+1,"Z",IF($AC629="","",IF(INDEX($V$5:$V$404,$AC629)="","",IF(625&gt;INDEX($AB$5:$AB$404,$AC629)+INDEX($Z$5:$Z$404,$AC629)+INDEX($AA$5:$AA$404,$AC629)+INDEX($AO$5:$AO$404,$AC629),"",IF(625=INDEX($AB$5:$AB$404,$AC629)+INDEX($Z$5:$Z$404,$AC629),"D",IF(AND(INDEX($Z$5:$Z$404,$AC629)=1,625=INDEX($AB$5:$AB$404,$AC629)),"H",IF(AND(INDEX($AO$5:$AO$404,$AC629)=1,625=INDEX($AB$5:$AB$404,$AC629)+INDEX($Z$5:$Z$404,$AC629)+INDEX($AA$5:$AA$404,$AC629)+INDEX($AO$5:$AO$404,$AC629)),"B","T")))))))</f>
        <v/>
      </c>
      <c r="AF629" t="str">
        <f t="shared" si="244"/>
        <v/>
      </c>
      <c r="AJ629">
        <f>IF($AD629&lt;&gt;"T",0,ROUND(SUMIF(oil!$B$4:$B$63,$AF629,oil!$AE$4:$AE$63),2))</f>
        <v>0</v>
      </c>
      <c r="AQ629" t="str">
        <f t="shared" si="245"/>
        <v/>
      </c>
      <c r="AZ629">
        <f t="shared" si="246"/>
        <v>0</v>
      </c>
    </row>
    <row r="630" spans="1:52" ht="21" customHeight="1" x14ac:dyDescent="0.95">
      <c r="A630" s="36" t="str">
        <f>IF($AD630="","",IF($AD630="Z","รวมจ่ายทั้งสิ้น",IF($AD630="H",INDEX($X$5:$X$404,$AC630),IF($AD630="T","รวม",IF($AD630="B",IFERROR(INDEX(อัตราค่าขนส่ง!$U$5:$U$14,MATCH(INDEX($AM$5:$AM$404,$AC630),อัตราค่าขนส่ง!$T$5:$T$14,0)),"รวมกลุ่ม "&amp;INDEX($AM$5:$AM$404,$AC630)),INDEX($AY$5:$AY$404,$AC630))))))</f>
        <v/>
      </c>
      <c r="B630" s="31" t="str">
        <f t="shared" si="230"/>
        <v/>
      </c>
      <c r="C630" s="8" t="str">
        <f t="shared" si="231"/>
        <v/>
      </c>
      <c r="D630" s="37" t="str">
        <f t="shared" si="232"/>
        <v/>
      </c>
      <c r="E630" s="31" t="str">
        <f t="shared" si="233"/>
        <v/>
      </c>
      <c r="F630" s="32" t="str">
        <f t="shared" si="234"/>
        <v/>
      </c>
      <c r="G630" s="32" t="str">
        <f t="shared" si="235"/>
        <v/>
      </c>
      <c r="H630" s="32" t="str">
        <f t="shared" si="236"/>
        <v/>
      </c>
      <c r="I630" s="32" t="str">
        <f t="shared" si="237"/>
        <v/>
      </c>
      <c r="J630" s="46" t="str">
        <f t="shared" si="238"/>
        <v/>
      </c>
      <c r="K630" s="32" t="str">
        <f t="shared" si="239"/>
        <v/>
      </c>
      <c r="L630" s="32" t="str">
        <f t="shared" si="240"/>
        <v/>
      </c>
      <c r="M630" s="32" t="str">
        <f t="shared" si="241"/>
        <v/>
      </c>
      <c r="N630" s="32" t="str">
        <f t="shared" si="242"/>
        <v/>
      </c>
      <c r="O630" s="32" t="str">
        <f t="shared" si="243"/>
        <v/>
      </c>
      <c r="AC630" t="str">
        <f>IFERROR(MATCH(626,$AB$5:$AB$404,1),"")</f>
        <v/>
      </c>
      <c r="AD630" t="str">
        <f>IF(626=$AI$1+1,"Z",IF($AC630="","",IF(INDEX($V$5:$V$404,$AC630)="","",IF(626&gt;INDEX($AB$5:$AB$404,$AC630)+INDEX($Z$5:$Z$404,$AC630)+INDEX($AA$5:$AA$404,$AC630)+INDEX($AO$5:$AO$404,$AC630),"",IF(626=INDEX($AB$5:$AB$404,$AC630)+INDEX($Z$5:$Z$404,$AC630),"D",IF(AND(INDEX($Z$5:$Z$404,$AC630)=1,626=INDEX($AB$5:$AB$404,$AC630)),"H",IF(AND(INDEX($AO$5:$AO$404,$AC630)=1,626=INDEX($AB$5:$AB$404,$AC630)+INDEX($Z$5:$Z$404,$AC630)+INDEX($AA$5:$AA$404,$AC630)+INDEX($AO$5:$AO$404,$AC630)),"B","T")))))))</f>
        <v/>
      </c>
      <c r="AF630" t="str">
        <f t="shared" si="244"/>
        <v/>
      </c>
      <c r="AJ630">
        <f>IF($AD630&lt;&gt;"T",0,ROUND(SUMIF(oil!$B$4:$B$63,$AF630,oil!$AE$4:$AE$63),2))</f>
        <v>0</v>
      </c>
      <c r="AQ630" t="str">
        <f t="shared" si="245"/>
        <v/>
      </c>
      <c r="AZ630">
        <f t="shared" si="246"/>
        <v>0</v>
      </c>
    </row>
    <row r="631" spans="1:52" ht="21" customHeight="1" x14ac:dyDescent="0.95">
      <c r="A631" s="36" t="str">
        <f>IF($AD631="","",IF($AD631="Z","รวมจ่ายทั้งสิ้น",IF($AD631="H",INDEX($X$5:$X$404,$AC631),IF($AD631="T","รวม",IF($AD631="B",IFERROR(INDEX(อัตราค่าขนส่ง!$U$5:$U$14,MATCH(INDEX($AM$5:$AM$404,$AC631),อัตราค่าขนส่ง!$T$5:$T$14,0)),"รวมกลุ่ม "&amp;INDEX($AM$5:$AM$404,$AC631)),INDEX($AY$5:$AY$404,$AC631))))))</f>
        <v/>
      </c>
      <c r="B631" s="31" t="str">
        <f t="shared" si="230"/>
        <v/>
      </c>
      <c r="C631" s="8" t="str">
        <f t="shared" si="231"/>
        <v/>
      </c>
      <c r="D631" s="37" t="str">
        <f t="shared" si="232"/>
        <v/>
      </c>
      <c r="E631" s="31" t="str">
        <f t="shared" si="233"/>
        <v/>
      </c>
      <c r="F631" s="32" t="str">
        <f t="shared" si="234"/>
        <v/>
      </c>
      <c r="G631" s="32" t="str">
        <f t="shared" si="235"/>
        <v/>
      </c>
      <c r="H631" s="32" t="str">
        <f t="shared" si="236"/>
        <v/>
      </c>
      <c r="I631" s="32" t="str">
        <f t="shared" si="237"/>
        <v/>
      </c>
      <c r="J631" s="46" t="str">
        <f t="shared" si="238"/>
        <v/>
      </c>
      <c r="K631" s="32" t="str">
        <f t="shared" si="239"/>
        <v/>
      </c>
      <c r="L631" s="32" t="str">
        <f t="shared" si="240"/>
        <v/>
      </c>
      <c r="M631" s="32" t="str">
        <f t="shared" si="241"/>
        <v/>
      </c>
      <c r="N631" s="32" t="str">
        <f t="shared" si="242"/>
        <v/>
      </c>
      <c r="O631" s="32" t="str">
        <f t="shared" si="243"/>
        <v/>
      </c>
      <c r="AC631" t="str">
        <f>IFERROR(MATCH(627,$AB$5:$AB$404,1),"")</f>
        <v/>
      </c>
      <c r="AD631" t="str">
        <f>IF(627=$AI$1+1,"Z",IF($AC631="","",IF(INDEX($V$5:$V$404,$AC631)="","",IF(627&gt;INDEX($AB$5:$AB$404,$AC631)+INDEX($Z$5:$Z$404,$AC631)+INDEX($AA$5:$AA$404,$AC631)+INDEX($AO$5:$AO$404,$AC631),"",IF(627=INDEX($AB$5:$AB$404,$AC631)+INDEX($Z$5:$Z$404,$AC631),"D",IF(AND(INDEX($Z$5:$Z$404,$AC631)=1,627=INDEX($AB$5:$AB$404,$AC631)),"H",IF(AND(INDEX($AO$5:$AO$404,$AC631)=1,627=INDEX($AB$5:$AB$404,$AC631)+INDEX($Z$5:$Z$404,$AC631)+INDEX($AA$5:$AA$404,$AC631)+INDEX($AO$5:$AO$404,$AC631)),"B","T")))))))</f>
        <v/>
      </c>
      <c r="AF631" t="str">
        <f t="shared" si="244"/>
        <v/>
      </c>
      <c r="AJ631">
        <f>IF($AD631&lt;&gt;"T",0,ROUND(SUMIF(oil!$B$4:$B$63,$AF631,oil!$AE$4:$AE$63),2))</f>
        <v>0</v>
      </c>
      <c r="AQ631" t="str">
        <f t="shared" si="245"/>
        <v/>
      </c>
      <c r="AZ631">
        <f t="shared" si="246"/>
        <v>0</v>
      </c>
    </row>
    <row r="632" spans="1:52" ht="21" customHeight="1" x14ac:dyDescent="0.95">
      <c r="A632" s="36" t="str">
        <f>IF($AD632="","",IF($AD632="Z","รวมจ่ายทั้งสิ้น",IF($AD632="H",INDEX($X$5:$X$404,$AC632),IF($AD632="T","รวม",IF($AD632="B",IFERROR(INDEX(อัตราค่าขนส่ง!$U$5:$U$14,MATCH(INDEX($AM$5:$AM$404,$AC632),อัตราค่าขนส่ง!$T$5:$T$14,0)),"รวมกลุ่ม "&amp;INDEX($AM$5:$AM$404,$AC632)),INDEX($AY$5:$AY$404,$AC632))))))</f>
        <v/>
      </c>
      <c r="B632" s="31" t="str">
        <f t="shared" si="230"/>
        <v/>
      </c>
      <c r="C632" s="8" t="str">
        <f t="shared" si="231"/>
        <v/>
      </c>
      <c r="D632" s="37" t="str">
        <f t="shared" si="232"/>
        <v/>
      </c>
      <c r="E632" s="31" t="str">
        <f t="shared" si="233"/>
        <v/>
      </c>
      <c r="F632" s="32" t="str">
        <f t="shared" si="234"/>
        <v/>
      </c>
      <c r="G632" s="32" t="str">
        <f t="shared" si="235"/>
        <v/>
      </c>
      <c r="H632" s="32" t="str">
        <f t="shared" si="236"/>
        <v/>
      </c>
      <c r="I632" s="32" t="str">
        <f t="shared" si="237"/>
        <v/>
      </c>
      <c r="J632" s="46" t="str">
        <f t="shared" si="238"/>
        <v/>
      </c>
      <c r="K632" s="32" t="str">
        <f t="shared" si="239"/>
        <v/>
      </c>
      <c r="L632" s="32" t="str">
        <f t="shared" si="240"/>
        <v/>
      </c>
      <c r="M632" s="32" t="str">
        <f t="shared" si="241"/>
        <v/>
      </c>
      <c r="N632" s="32" t="str">
        <f t="shared" si="242"/>
        <v/>
      </c>
      <c r="O632" s="32" t="str">
        <f t="shared" si="243"/>
        <v/>
      </c>
      <c r="AC632" t="str">
        <f>IFERROR(MATCH(628,$AB$5:$AB$404,1),"")</f>
        <v/>
      </c>
      <c r="AD632" t="str">
        <f>IF(628=$AI$1+1,"Z",IF($AC632="","",IF(INDEX($V$5:$V$404,$AC632)="","",IF(628&gt;INDEX($AB$5:$AB$404,$AC632)+INDEX($Z$5:$Z$404,$AC632)+INDEX($AA$5:$AA$404,$AC632)+INDEX($AO$5:$AO$404,$AC632),"",IF(628=INDEX($AB$5:$AB$404,$AC632)+INDEX($Z$5:$Z$404,$AC632),"D",IF(AND(INDEX($Z$5:$Z$404,$AC632)=1,628=INDEX($AB$5:$AB$404,$AC632)),"H",IF(AND(INDEX($AO$5:$AO$404,$AC632)=1,628=INDEX($AB$5:$AB$404,$AC632)+INDEX($Z$5:$Z$404,$AC632)+INDEX($AA$5:$AA$404,$AC632)+INDEX($AO$5:$AO$404,$AC632)),"B","T")))))))</f>
        <v/>
      </c>
      <c r="AF632" t="str">
        <f t="shared" si="244"/>
        <v/>
      </c>
      <c r="AJ632">
        <f>IF($AD632&lt;&gt;"T",0,ROUND(SUMIF(oil!$B$4:$B$63,$AF632,oil!$AE$4:$AE$63),2))</f>
        <v>0</v>
      </c>
      <c r="AQ632" t="str">
        <f t="shared" si="245"/>
        <v/>
      </c>
      <c r="AZ632">
        <f t="shared" si="246"/>
        <v>0</v>
      </c>
    </row>
    <row r="633" spans="1:52" ht="21" customHeight="1" x14ac:dyDescent="0.95">
      <c r="A633" s="36" t="str">
        <f>IF($AD633="","",IF($AD633="Z","รวมจ่ายทั้งสิ้น",IF($AD633="H",INDEX($X$5:$X$404,$AC633),IF($AD633="T","รวม",IF($AD633="B",IFERROR(INDEX(อัตราค่าขนส่ง!$U$5:$U$14,MATCH(INDEX($AM$5:$AM$404,$AC633),อัตราค่าขนส่ง!$T$5:$T$14,0)),"รวมกลุ่ม "&amp;INDEX($AM$5:$AM$404,$AC633)),INDEX($AY$5:$AY$404,$AC633))))))</f>
        <v/>
      </c>
      <c r="B633" s="31" t="str">
        <f t="shared" si="230"/>
        <v/>
      </c>
      <c r="C633" s="8" t="str">
        <f t="shared" si="231"/>
        <v/>
      </c>
      <c r="D633" s="37" t="str">
        <f t="shared" si="232"/>
        <v/>
      </c>
      <c r="E633" s="31" t="str">
        <f t="shared" si="233"/>
        <v/>
      </c>
      <c r="F633" s="32" t="str">
        <f t="shared" si="234"/>
        <v/>
      </c>
      <c r="G633" s="32" t="str">
        <f t="shared" si="235"/>
        <v/>
      </c>
      <c r="H633" s="32" t="str">
        <f t="shared" si="236"/>
        <v/>
      </c>
      <c r="I633" s="32" t="str">
        <f t="shared" si="237"/>
        <v/>
      </c>
      <c r="J633" s="46" t="str">
        <f t="shared" si="238"/>
        <v/>
      </c>
      <c r="K633" s="32" t="str">
        <f t="shared" si="239"/>
        <v/>
      </c>
      <c r="L633" s="32" t="str">
        <f t="shared" si="240"/>
        <v/>
      </c>
      <c r="M633" s="32" t="str">
        <f t="shared" si="241"/>
        <v/>
      </c>
      <c r="N633" s="32" t="str">
        <f t="shared" si="242"/>
        <v/>
      </c>
      <c r="O633" s="32" t="str">
        <f t="shared" si="243"/>
        <v/>
      </c>
      <c r="AC633" t="str">
        <f>IFERROR(MATCH(629,$AB$5:$AB$404,1),"")</f>
        <v/>
      </c>
      <c r="AD633" t="str">
        <f>IF(629=$AI$1+1,"Z",IF($AC633="","",IF(INDEX($V$5:$V$404,$AC633)="","",IF(629&gt;INDEX($AB$5:$AB$404,$AC633)+INDEX($Z$5:$Z$404,$AC633)+INDEX($AA$5:$AA$404,$AC633)+INDEX($AO$5:$AO$404,$AC633),"",IF(629=INDEX($AB$5:$AB$404,$AC633)+INDEX($Z$5:$Z$404,$AC633),"D",IF(AND(INDEX($Z$5:$Z$404,$AC633)=1,629=INDEX($AB$5:$AB$404,$AC633)),"H",IF(AND(INDEX($AO$5:$AO$404,$AC633)=1,629=INDEX($AB$5:$AB$404,$AC633)+INDEX($Z$5:$Z$404,$AC633)+INDEX($AA$5:$AA$404,$AC633)+INDEX($AO$5:$AO$404,$AC633)),"B","T")))))))</f>
        <v/>
      </c>
      <c r="AF633" t="str">
        <f t="shared" si="244"/>
        <v/>
      </c>
      <c r="AJ633">
        <f>IF($AD633&lt;&gt;"T",0,ROUND(SUMIF(oil!$B$4:$B$63,$AF633,oil!$AE$4:$AE$63),2))</f>
        <v>0</v>
      </c>
      <c r="AQ633" t="str">
        <f t="shared" si="245"/>
        <v/>
      </c>
      <c r="AZ633">
        <f t="shared" si="246"/>
        <v>0</v>
      </c>
    </row>
    <row r="634" spans="1:52" ht="21" customHeight="1" x14ac:dyDescent="0.95">
      <c r="A634" s="36" t="str">
        <f>IF($AD634="","",IF($AD634="Z","รวมจ่ายทั้งสิ้น",IF($AD634="H",INDEX($X$5:$X$404,$AC634),IF($AD634="T","รวม",IF($AD634="B",IFERROR(INDEX(อัตราค่าขนส่ง!$U$5:$U$14,MATCH(INDEX($AM$5:$AM$404,$AC634),อัตราค่าขนส่ง!$T$5:$T$14,0)),"รวมกลุ่ม "&amp;INDEX($AM$5:$AM$404,$AC634)),INDEX($AY$5:$AY$404,$AC634))))))</f>
        <v/>
      </c>
      <c r="B634" s="31" t="str">
        <f t="shared" si="230"/>
        <v/>
      </c>
      <c r="C634" s="8" t="str">
        <f t="shared" si="231"/>
        <v/>
      </c>
      <c r="D634" s="37" t="str">
        <f t="shared" si="232"/>
        <v/>
      </c>
      <c r="E634" s="31" t="str">
        <f t="shared" si="233"/>
        <v/>
      </c>
      <c r="F634" s="32" t="str">
        <f t="shared" si="234"/>
        <v/>
      </c>
      <c r="G634" s="32" t="str">
        <f t="shared" si="235"/>
        <v/>
      </c>
      <c r="H634" s="32" t="str">
        <f t="shared" si="236"/>
        <v/>
      </c>
      <c r="I634" s="32" t="str">
        <f t="shared" si="237"/>
        <v/>
      </c>
      <c r="J634" s="46" t="str">
        <f t="shared" si="238"/>
        <v/>
      </c>
      <c r="K634" s="32" t="str">
        <f t="shared" si="239"/>
        <v/>
      </c>
      <c r="L634" s="32" t="str">
        <f t="shared" si="240"/>
        <v/>
      </c>
      <c r="M634" s="32" t="str">
        <f t="shared" si="241"/>
        <v/>
      </c>
      <c r="N634" s="32" t="str">
        <f t="shared" si="242"/>
        <v/>
      </c>
      <c r="O634" s="32" t="str">
        <f t="shared" si="243"/>
        <v/>
      </c>
      <c r="AC634" t="str">
        <f>IFERROR(MATCH(630,$AB$5:$AB$404,1),"")</f>
        <v/>
      </c>
      <c r="AD634" t="str">
        <f>IF(630=$AI$1+1,"Z",IF($AC634="","",IF(INDEX($V$5:$V$404,$AC634)="","",IF(630&gt;INDEX($AB$5:$AB$404,$AC634)+INDEX($Z$5:$Z$404,$AC634)+INDEX($AA$5:$AA$404,$AC634)+INDEX($AO$5:$AO$404,$AC634),"",IF(630=INDEX($AB$5:$AB$404,$AC634)+INDEX($Z$5:$Z$404,$AC634),"D",IF(AND(INDEX($Z$5:$Z$404,$AC634)=1,630=INDEX($AB$5:$AB$404,$AC634)),"H",IF(AND(INDEX($AO$5:$AO$404,$AC634)=1,630=INDEX($AB$5:$AB$404,$AC634)+INDEX($Z$5:$Z$404,$AC634)+INDEX($AA$5:$AA$404,$AC634)+INDEX($AO$5:$AO$404,$AC634)),"B","T")))))))</f>
        <v/>
      </c>
      <c r="AF634" t="str">
        <f t="shared" si="244"/>
        <v/>
      </c>
      <c r="AJ634">
        <f>IF($AD634&lt;&gt;"T",0,ROUND(SUMIF(oil!$B$4:$B$63,$AF634,oil!$AE$4:$AE$63),2))</f>
        <v>0</v>
      </c>
      <c r="AQ634" t="str">
        <f t="shared" si="245"/>
        <v/>
      </c>
      <c r="AZ634">
        <f t="shared" si="246"/>
        <v>0</v>
      </c>
    </row>
    <row r="635" spans="1:52" ht="21" customHeight="1" x14ac:dyDescent="0.95">
      <c r="A635" s="36" t="str">
        <f>IF($AD635="","",IF($AD635="Z","รวมจ่ายทั้งสิ้น",IF($AD635="H",INDEX($X$5:$X$404,$AC635),IF($AD635="T","รวม",IF($AD635="B",IFERROR(INDEX(อัตราค่าขนส่ง!$U$5:$U$14,MATCH(INDEX($AM$5:$AM$404,$AC635),อัตราค่าขนส่ง!$T$5:$T$14,0)),"รวมกลุ่ม "&amp;INDEX($AM$5:$AM$404,$AC635)),INDEX($AY$5:$AY$404,$AC635))))))</f>
        <v/>
      </c>
      <c r="B635" s="31" t="str">
        <f t="shared" si="230"/>
        <v/>
      </c>
      <c r="C635" s="8" t="str">
        <f t="shared" si="231"/>
        <v/>
      </c>
      <c r="D635" s="37" t="str">
        <f t="shared" si="232"/>
        <v/>
      </c>
      <c r="E635" s="31" t="str">
        <f t="shared" si="233"/>
        <v/>
      </c>
      <c r="F635" s="32" t="str">
        <f t="shared" si="234"/>
        <v/>
      </c>
      <c r="G635" s="32" t="str">
        <f t="shared" si="235"/>
        <v/>
      </c>
      <c r="H635" s="32" t="str">
        <f t="shared" si="236"/>
        <v/>
      </c>
      <c r="I635" s="32" t="str">
        <f t="shared" si="237"/>
        <v/>
      </c>
      <c r="J635" s="46" t="str">
        <f t="shared" si="238"/>
        <v/>
      </c>
      <c r="K635" s="32" t="str">
        <f t="shared" si="239"/>
        <v/>
      </c>
      <c r="L635" s="32" t="str">
        <f t="shared" si="240"/>
        <v/>
      </c>
      <c r="M635" s="32" t="str">
        <f t="shared" si="241"/>
        <v/>
      </c>
      <c r="N635" s="32" t="str">
        <f t="shared" si="242"/>
        <v/>
      </c>
      <c r="O635" s="32" t="str">
        <f t="shared" si="243"/>
        <v/>
      </c>
      <c r="AC635" t="str">
        <f>IFERROR(MATCH(631,$AB$5:$AB$404,1),"")</f>
        <v/>
      </c>
      <c r="AD635" t="str">
        <f>IF(631=$AI$1+1,"Z",IF($AC635="","",IF(INDEX($V$5:$V$404,$AC635)="","",IF(631&gt;INDEX($AB$5:$AB$404,$AC635)+INDEX($Z$5:$Z$404,$AC635)+INDEX($AA$5:$AA$404,$AC635)+INDEX($AO$5:$AO$404,$AC635),"",IF(631=INDEX($AB$5:$AB$404,$AC635)+INDEX($Z$5:$Z$404,$AC635),"D",IF(AND(INDEX($Z$5:$Z$404,$AC635)=1,631=INDEX($AB$5:$AB$404,$AC635)),"H",IF(AND(INDEX($AO$5:$AO$404,$AC635)=1,631=INDEX($AB$5:$AB$404,$AC635)+INDEX($Z$5:$Z$404,$AC635)+INDEX($AA$5:$AA$404,$AC635)+INDEX($AO$5:$AO$404,$AC635)),"B","T")))))))</f>
        <v/>
      </c>
      <c r="AF635" t="str">
        <f t="shared" si="244"/>
        <v/>
      </c>
      <c r="AJ635">
        <f>IF($AD635&lt;&gt;"T",0,ROUND(SUMIF(oil!$B$4:$B$63,$AF635,oil!$AE$4:$AE$63),2))</f>
        <v>0</v>
      </c>
      <c r="AQ635" t="str">
        <f t="shared" si="245"/>
        <v/>
      </c>
      <c r="AZ635">
        <f t="shared" si="246"/>
        <v>0</v>
      </c>
    </row>
    <row r="636" spans="1:52" ht="21" customHeight="1" x14ac:dyDescent="0.95">
      <c r="A636" s="36" t="str">
        <f>IF($AD636="","",IF($AD636="Z","รวมจ่ายทั้งสิ้น",IF($AD636="H",INDEX($X$5:$X$404,$AC636),IF($AD636="T","รวม",IF($AD636="B",IFERROR(INDEX(อัตราค่าขนส่ง!$U$5:$U$14,MATCH(INDEX($AM$5:$AM$404,$AC636),อัตราค่าขนส่ง!$T$5:$T$14,0)),"รวมกลุ่ม "&amp;INDEX($AM$5:$AM$404,$AC636)),INDEX($AY$5:$AY$404,$AC636))))))</f>
        <v/>
      </c>
      <c r="B636" s="31" t="str">
        <f t="shared" si="230"/>
        <v/>
      </c>
      <c r="C636" s="8" t="str">
        <f t="shared" si="231"/>
        <v/>
      </c>
      <c r="D636" s="37" t="str">
        <f t="shared" si="232"/>
        <v/>
      </c>
      <c r="E636" s="31" t="str">
        <f t="shared" si="233"/>
        <v/>
      </c>
      <c r="F636" s="32" t="str">
        <f t="shared" si="234"/>
        <v/>
      </c>
      <c r="G636" s="32" t="str">
        <f t="shared" si="235"/>
        <v/>
      </c>
      <c r="H636" s="32" t="str">
        <f t="shared" si="236"/>
        <v/>
      </c>
      <c r="I636" s="32" t="str">
        <f t="shared" si="237"/>
        <v/>
      </c>
      <c r="J636" s="46" t="str">
        <f t="shared" si="238"/>
        <v/>
      </c>
      <c r="K636" s="32" t="str">
        <f t="shared" si="239"/>
        <v/>
      </c>
      <c r="L636" s="32" t="str">
        <f t="shared" si="240"/>
        <v/>
      </c>
      <c r="M636" s="32" t="str">
        <f t="shared" si="241"/>
        <v/>
      </c>
      <c r="N636" s="32" t="str">
        <f t="shared" si="242"/>
        <v/>
      </c>
      <c r="O636" s="32" t="str">
        <f t="shared" si="243"/>
        <v/>
      </c>
      <c r="AC636" t="str">
        <f>IFERROR(MATCH(632,$AB$5:$AB$404,1),"")</f>
        <v/>
      </c>
      <c r="AD636" t="str">
        <f>IF(632=$AI$1+1,"Z",IF($AC636="","",IF(INDEX($V$5:$V$404,$AC636)="","",IF(632&gt;INDEX($AB$5:$AB$404,$AC636)+INDEX($Z$5:$Z$404,$AC636)+INDEX($AA$5:$AA$404,$AC636)+INDEX($AO$5:$AO$404,$AC636),"",IF(632=INDEX($AB$5:$AB$404,$AC636)+INDEX($Z$5:$Z$404,$AC636),"D",IF(AND(INDEX($Z$5:$Z$404,$AC636)=1,632=INDEX($AB$5:$AB$404,$AC636)),"H",IF(AND(INDEX($AO$5:$AO$404,$AC636)=1,632=INDEX($AB$5:$AB$404,$AC636)+INDEX($Z$5:$Z$404,$AC636)+INDEX($AA$5:$AA$404,$AC636)+INDEX($AO$5:$AO$404,$AC636)),"B","T")))))))</f>
        <v/>
      </c>
      <c r="AF636" t="str">
        <f t="shared" si="244"/>
        <v/>
      </c>
      <c r="AJ636">
        <f>IF($AD636&lt;&gt;"T",0,ROUND(SUMIF(oil!$B$4:$B$63,$AF636,oil!$AE$4:$AE$63),2))</f>
        <v>0</v>
      </c>
      <c r="AQ636" t="str">
        <f t="shared" si="245"/>
        <v/>
      </c>
      <c r="AZ636">
        <f t="shared" si="246"/>
        <v>0</v>
      </c>
    </row>
    <row r="637" spans="1:52" ht="21" customHeight="1" x14ac:dyDescent="0.95">
      <c r="A637" s="36" t="str">
        <f>IF($AD637="","",IF($AD637="Z","รวมจ่ายทั้งสิ้น",IF($AD637="H",INDEX($X$5:$X$404,$AC637),IF($AD637="T","รวม",IF($AD637="B",IFERROR(INDEX(อัตราค่าขนส่ง!$U$5:$U$14,MATCH(INDEX($AM$5:$AM$404,$AC637),อัตราค่าขนส่ง!$T$5:$T$14,0)),"รวมกลุ่ม "&amp;INDEX($AM$5:$AM$404,$AC637)),INDEX($AY$5:$AY$404,$AC637))))))</f>
        <v/>
      </c>
      <c r="B637" s="31" t="str">
        <f t="shared" si="230"/>
        <v/>
      </c>
      <c r="C637" s="8" t="str">
        <f t="shared" si="231"/>
        <v/>
      </c>
      <c r="D637" s="37" t="str">
        <f t="shared" si="232"/>
        <v/>
      </c>
      <c r="E637" s="31" t="str">
        <f t="shared" si="233"/>
        <v/>
      </c>
      <c r="F637" s="32" t="str">
        <f t="shared" si="234"/>
        <v/>
      </c>
      <c r="G637" s="32" t="str">
        <f t="shared" si="235"/>
        <v/>
      </c>
      <c r="H637" s="32" t="str">
        <f t="shared" si="236"/>
        <v/>
      </c>
      <c r="I637" s="32" t="str">
        <f t="shared" si="237"/>
        <v/>
      </c>
      <c r="J637" s="46" t="str">
        <f t="shared" si="238"/>
        <v/>
      </c>
      <c r="K637" s="32" t="str">
        <f t="shared" si="239"/>
        <v/>
      </c>
      <c r="L637" s="32" t="str">
        <f t="shared" si="240"/>
        <v/>
      </c>
      <c r="M637" s="32" t="str">
        <f t="shared" si="241"/>
        <v/>
      </c>
      <c r="N637" s="32" t="str">
        <f t="shared" si="242"/>
        <v/>
      </c>
      <c r="O637" s="32" t="str">
        <f t="shared" si="243"/>
        <v/>
      </c>
      <c r="AC637" t="str">
        <f>IFERROR(MATCH(633,$AB$5:$AB$404,1),"")</f>
        <v/>
      </c>
      <c r="AD637" t="str">
        <f>IF(633=$AI$1+1,"Z",IF($AC637="","",IF(INDEX($V$5:$V$404,$AC637)="","",IF(633&gt;INDEX($AB$5:$AB$404,$AC637)+INDEX($Z$5:$Z$404,$AC637)+INDEX($AA$5:$AA$404,$AC637)+INDEX($AO$5:$AO$404,$AC637),"",IF(633=INDEX($AB$5:$AB$404,$AC637)+INDEX($Z$5:$Z$404,$AC637),"D",IF(AND(INDEX($Z$5:$Z$404,$AC637)=1,633=INDEX($AB$5:$AB$404,$AC637)),"H",IF(AND(INDEX($AO$5:$AO$404,$AC637)=1,633=INDEX($AB$5:$AB$404,$AC637)+INDEX($Z$5:$Z$404,$AC637)+INDEX($AA$5:$AA$404,$AC637)+INDEX($AO$5:$AO$404,$AC637)),"B","T")))))))</f>
        <v/>
      </c>
      <c r="AF637" t="str">
        <f t="shared" si="244"/>
        <v/>
      </c>
      <c r="AJ637">
        <f>IF($AD637&lt;&gt;"T",0,ROUND(SUMIF(oil!$B$4:$B$63,$AF637,oil!$AE$4:$AE$63),2))</f>
        <v>0</v>
      </c>
      <c r="AQ637" t="str">
        <f t="shared" si="245"/>
        <v/>
      </c>
      <c r="AZ637">
        <f t="shared" si="246"/>
        <v>0</v>
      </c>
    </row>
    <row r="638" spans="1:52" ht="21" customHeight="1" x14ac:dyDescent="0.95">
      <c r="A638" s="36" t="str">
        <f>IF($AD638="","",IF($AD638="Z","รวมจ่ายทั้งสิ้น",IF($AD638="H",INDEX($X$5:$X$404,$AC638),IF($AD638="T","รวม",IF($AD638="B",IFERROR(INDEX(อัตราค่าขนส่ง!$U$5:$U$14,MATCH(INDEX($AM$5:$AM$404,$AC638),อัตราค่าขนส่ง!$T$5:$T$14,0)),"รวมกลุ่ม "&amp;INDEX($AM$5:$AM$404,$AC638)),INDEX($AY$5:$AY$404,$AC638))))))</f>
        <v/>
      </c>
      <c r="B638" s="31" t="str">
        <f t="shared" si="230"/>
        <v/>
      </c>
      <c r="C638" s="8" t="str">
        <f t="shared" si="231"/>
        <v/>
      </c>
      <c r="D638" s="37" t="str">
        <f t="shared" si="232"/>
        <v/>
      </c>
      <c r="E638" s="31" t="str">
        <f t="shared" si="233"/>
        <v/>
      </c>
      <c r="F638" s="32" t="str">
        <f t="shared" si="234"/>
        <v/>
      </c>
      <c r="G638" s="32" t="str">
        <f t="shared" si="235"/>
        <v/>
      </c>
      <c r="H638" s="32" t="str">
        <f t="shared" si="236"/>
        <v/>
      </c>
      <c r="I638" s="32" t="str">
        <f t="shared" si="237"/>
        <v/>
      </c>
      <c r="J638" s="46" t="str">
        <f t="shared" si="238"/>
        <v/>
      </c>
      <c r="K638" s="32" t="str">
        <f t="shared" si="239"/>
        <v/>
      </c>
      <c r="L638" s="32" t="str">
        <f t="shared" si="240"/>
        <v/>
      </c>
      <c r="M638" s="32" t="str">
        <f t="shared" si="241"/>
        <v/>
      </c>
      <c r="N638" s="32" t="str">
        <f t="shared" si="242"/>
        <v/>
      </c>
      <c r="O638" s="32" t="str">
        <f t="shared" si="243"/>
        <v/>
      </c>
      <c r="AC638" t="str">
        <f>IFERROR(MATCH(634,$AB$5:$AB$404,1),"")</f>
        <v/>
      </c>
      <c r="AD638" t="str">
        <f>IF(634=$AI$1+1,"Z",IF($AC638="","",IF(INDEX($V$5:$V$404,$AC638)="","",IF(634&gt;INDEX($AB$5:$AB$404,$AC638)+INDEX($Z$5:$Z$404,$AC638)+INDEX($AA$5:$AA$404,$AC638)+INDEX($AO$5:$AO$404,$AC638),"",IF(634=INDEX($AB$5:$AB$404,$AC638)+INDEX($Z$5:$Z$404,$AC638),"D",IF(AND(INDEX($Z$5:$Z$404,$AC638)=1,634=INDEX($AB$5:$AB$404,$AC638)),"H",IF(AND(INDEX($AO$5:$AO$404,$AC638)=1,634=INDEX($AB$5:$AB$404,$AC638)+INDEX($Z$5:$Z$404,$AC638)+INDEX($AA$5:$AA$404,$AC638)+INDEX($AO$5:$AO$404,$AC638)),"B","T")))))))</f>
        <v/>
      </c>
      <c r="AF638" t="str">
        <f t="shared" si="244"/>
        <v/>
      </c>
      <c r="AJ638">
        <f>IF($AD638&lt;&gt;"T",0,ROUND(SUMIF(oil!$B$4:$B$63,$AF638,oil!$AE$4:$AE$63),2))</f>
        <v>0</v>
      </c>
      <c r="AQ638" t="str">
        <f t="shared" si="245"/>
        <v/>
      </c>
      <c r="AZ638">
        <f t="shared" si="246"/>
        <v>0</v>
      </c>
    </row>
    <row r="639" spans="1:52" ht="21" customHeight="1" x14ac:dyDescent="0.95">
      <c r="A639" s="36" t="str">
        <f>IF($AD639="","",IF($AD639="Z","รวมจ่ายทั้งสิ้น",IF($AD639="H",INDEX($X$5:$X$404,$AC639),IF($AD639="T","รวม",IF($AD639="B",IFERROR(INDEX(อัตราค่าขนส่ง!$U$5:$U$14,MATCH(INDEX($AM$5:$AM$404,$AC639),อัตราค่าขนส่ง!$T$5:$T$14,0)),"รวมกลุ่ม "&amp;INDEX($AM$5:$AM$404,$AC639)),INDEX($AY$5:$AY$404,$AC639))))))</f>
        <v/>
      </c>
      <c r="B639" s="31" t="str">
        <f t="shared" si="230"/>
        <v/>
      </c>
      <c r="C639" s="8" t="str">
        <f t="shared" si="231"/>
        <v/>
      </c>
      <c r="D639" s="37" t="str">
        <f t="shared" si="232"/>
        <v/>
      </c>
      <c r="E639" s="31" t="str">
        <f t="shared" si="233"/>
        <v/>
      </c>
      <c r="F639" s="32" t="str">
        <f t="shared" si="234"/>
        <v/>
      </c>
      <c r="G639" s="32" t="str">
        <f t="shared" si="235"/>
        <v/>
      </c>
      <c r="H639" s="32" t="str">
        <f t="shared" si="236"/>
        <v/>
      </c>
      <c r="I639" s="32" t="str">
        <f t="shared" si="237"/>
        <v/>
      </c>
      <c r="J639" s="46" t="str">
        <f t="shared" si="238"/>
        <v/>
      </c>
      <c r="K639" s="32" t="str">
        <f t="shared" si="239"/>
        <v/>
      </c>
      <c r="L639" s="32" t="str">
        <f t="shared" si="240"/>
        <v/>
      </c>
      <c r="M639" s="32" t="str">
        <f t="shared" si="241"/>
        <v/>
      </c>
      <c r="N639" s="32" t="str">
        <f t="shared" si="242"/>
        <v/>
      </c>
      <c r="O639" s="32" t="str">
        <f t="shared" si="243"/>
        <v/>
      </c>
      <c r="AC639" t="str">
        <f>IFERROR(MATCH(635,$AB$5:$AB$404,1),"")</f>
        <v/>
      </c>
      <c r="AD639" t="str">
        <f>IF(635=$AI$1+1,"Z",IF($AC639="","",IF(INDEX($V$5:$V$404,$AC639)="","",IF(635&gt;INDEX($AB$5:$AB$404,$AC639)+INDEX($Z$5:$Z$404,$AC639)+INDEX($AA$5:$AA$404,$AC639)+INDEX($AO$5:$AO$404,$AC639),"",IF(635=INDEX($AB$5:$AB$404,$AC639)+INDEX($Z$5:$Z$404,$AC639),"D",IF(AND(INDEX($Z$5:$Z$404,$AC639)=1,635=INDEX($AB$5:$AB$404,$AC639)),"H",IF(AND(INDEX($AO$5:$AO$404,$AC639)=1,635=INDEX($AB$5:$AB$404,$AC639)+INDEX($Z$5:$Z$404,$AC639)+INDEX($AA$5:$AA$404,$AC639)+INDEX($AO$5:$AO$404,$AC639)),"B","T")))))))</f>
        <v/>
      </c>
      <c r="AF639" t="str">
        <f t="shared" si="244"/>
        <v/>
      </c>
      <c r="AJ639">
        <f>IF($AD639&lt;&gt;"T",0,ROUND(SUMIF(oil!$B$4:$B$63,$AF639,oil!$AE$4:$AE$63),2))</f>
        <v>0</v>
      </c>
      <c r="AQ639" t="str">
        <f t="shared" si="245"/>
        <v/>
      </c>
      <c r="AZ639">
        <f t="shared" si="246"/>
        <v>0</v>
      </c>
    </row>
    <row r="640" spans="1:52" ht="21" customHeight="1" x14ac:dyDescent="0.95">
      <c r="A640" s="36" t="str">
        <f>IF($AD640="","",IF($AD640="Z","รวมจ่ายทั้งสิ้น",IF($AD640="H",INDEX($X$5:$X$404,$AC640),IF($AD640="T","รวม",IF($AD640="B",IFERROR(INDEX(อัตราค่าขนส่ง!$U$5:$U$14,MATCH(INDEX($AM$5:$AM$404,$AC640),อัตราค่าขนส่ง!$T$5:$T$14,0)),"รวมกลุ่ม "&amp;INDEX($AM$5:$AM$404,$AC640)),INDEX($AY$5:$AY$404,$AC640))))))</f>
        <v/>
      </c>
      <c r="B640" s="31" t="str">
        <f t="shared" si="230"/>
        <v/>
      </c>
      <c r="C640" s="8" t="str">
        <f t="shared" si="231"/>
        <v/>
      </c>
      <c r="D640" s="37" t="str">
        <f t="shared" si="232"/>
        <v/>
      </c>
      <c r="E640" s="31" t="str">
        <f t="shared" si="233"/>
        <v/>
      </c>
      <c r="F640" s="32" t="str">
        <f t="shared" si="234"/>
        <v/>
      </c>
      <c r="G640" s="32" t="str">
        <f t="shared" si="235"/>
        <v/>
      </c>
      <c r="H640" s="32" t="str">
        <f t="shared" si="236"/>
        <v/>
      </c>
      <c r="I640" s="32" t="str">
        <f t="shared" si="237"/>
        <v/>
      </c>
      <c r="J640" s="46" t="str">
        <f t="shared" si="238"/>
        <v/>
      </c>
      <c r="K640" s="32" t="str">
        <f t="shared" si="239"/>
        <v/>
      </c>
      <c r="L640" s="32" t="str">
        <f t="shared" si="240"/>
        <v/>
      </c>
      <c r="M640" s="32" t="str">
        <f t="shared" si="241"/>
        <v/>
      </c>
      <c r="N640" s="32" t="str">
        <f t="shared" si="242"/>
        <v/>
      </c>
      <c r="O640" s="32" t="str">
        <f t="shared" si="243"/>
        <v/>
      </c>
      <c r="AC640" t="str">
        <f>IFERROR(MATCH(636,$AB$5:$AB$404,1),"")</f>
        <v/>
      </c>
      <c r="AD640" t="str">
        <f>IF(636=$AI$1+1,"Z",IF($AC640="","",IF(INDEX($V$5:$V$404,$AC640)="","",IF(636&gt;INDEX($AB$5:$AB$404,$AC640)+INDEX($Z$5:$Z$404,$AC640)+INDEX($AA$5:$AA$404,$AC640)+INDEX($AO$5:$AO$404,$AC640),"",IF(636=INDEX($AB$5:$AB$404,$AC640)+INDEX($Z$5:$Z$404,$AC640),"D",IF(AND(INDEX($Z$5:$Z$404,$AC640)=1,636=INDEX($AB$5:$AB$404,$AC640)),"H",IF(AND(INDEX($AO$5:$AO$404,$AC640)=1,636=INDEX($AB$5:$AB$404,$AC640)+INDEX($Z$5:$Z$404,$AC640)+INDEX($AA$5:$AA$404,$AC640)+INDEX($AO$5:$AO$404,$AC640)),"B","T")))))))</f>
        <v/>
      </c>
      <c r="AF640" t="str">
        <f t="shared" si="244"/>
        <v/>
      </c>
      <c r="AJ640">
        <f>IF($AD640&lt;&gt;"T",0,ROUND(SUMIF(oil!$B$4:$B$63,$AF640,oil!$AE$4:$AE$63),2))</f>
        <v>0</v>
      </c>
      <c r="AQ640" t="str">
        <f t="shared" si="245"/>
        <v/>
      </c>
      <c r="AZ640">
        <f t="shared" si="246"/>
        <v>0</v>
      </c>
    </row>
    <row r="641" spans="1:52" ht="21" customHeight="1" x14ac:dyDescent="0.95">
      <c r="A641" s="36" t="str">
        <f>IF($AD641="","",IF($AD641="Z","รวมจ่ายทั้งสิ้น",IF($AD641="H",INDEX($X$5:$X$404,$AC641),IF($AD641="T","รวม",IF($AD641="B",IFERROR(INDEX(อัตราค่าขนส่ง!$U$5:$U$14,MATCH(INDEX($AM$5:$AM$404,$AC641),อัตราค่าขนส่ง!$T$5:$T$14,0)),"รวมกลุ่ม "&amp;INDEX($AM$5:$AM$404,$AC641)),INDEX($AY$5:$AY$404,$AC641))))))</f>
        <v/>
      </c>
      <c r="B641" s="31" t="str">
        <f t="shared" si="230"/>
        <v/>
      </c>
      <c r="C641" s="8" t="str">
        <f t="shared" si="231"/>
        <v/>
      </c>
      <c r="D641" s="37" t="str">
        <f t="shared" si="232"/>
        <v/>
      </c>
      <c r="E641" s="31" t="str">
        <f t="shared" si="233"/>
        <v/>
      </c>
      <c r="F641" s="32" t="str">
        <f t="shared" si="234"/>
        <v/>
      </c>
      <c r="G641" s="32" t="str">
        <f t="shared" si="235"/>
        <v/>
      </c>
      <c r="H641" s="32" t="str">
        <f t="shared" si="236"/>
        <v/>
      </c>
      <c r="I641" s="32" t="str">
        <f t="shared" si="237"/>
        <v/>
      </c>
      <c r="J641" s="46" t="str">
        <f t="shared" si="238"/>
        <v/>
      </c>
      <c r="K641" s="32" t="str">
        <f t="shared" si="239"/>
        <v/>
      </c>
      <c r="L641" s="32" t="str">
        <f t="shared" si="240"/>
        <v/>
      </c>
      <c r="M641" s="32" t="str">
        <f t="shared" si="241"/>
        <v/>
      </c>
      <c r="N641" s="32" t="str">
        <f t="shared" si="242"/>
        <v/>
      </c>
      <c r="O641" s="32" t="str">
        <f t="shared" si="243"/>
        <v/>
      </c>
      <c r="AC641" t="str">
        <f>IFERROR(MATCH(637,$AB$5:$AB$404,1),"")</f>
        <v/>
      </c>
      <c r="AD641" t="str">
        <f>IF(637=$AI$1+1,"Z",IF($AC641="","",IF(INDEX($V$5:$V$404,$AC641)="","",IF(637&gt;INDEX($AB$5:$AB$404,$AC641)+INDEX($Z$5:$Z$404,$AC641)+INDEX($AA$5:$AA$404,$AC641)+INDEX($AO$5:$AO$404,$AC641),"",IF(637=INDEX($AB$5:$AB$404,$AC641)+INDEX($Z$5:$Z$404,$AC641),"D",IF(AND(INDEX($Z$5:$Z$404,$AC641)=1,637=INDEX($AB$5:$AB$404,$AC641)),"H",IF(AND(INDEX($AO$5:$AO$404,$AC641)=1,637=INDEX($AB$5:$AB$404,$AC641)+INDEX($Z$5:$Z$404,$AC641)+INDEX($AA$5:$AA$404,$AC641)+INDEX($AO$5:$AO$404,$AC641)),"B","T")))))))</f>
        <v/>
      </c>
      <c r="AF641" t="str">
        <f t="shared" si="244"/>
        <v/>
      </c>
      <c r="AJ641">
        <f>IF($AD641&lt;&gt;"T",0,ROUND(SUMIF(oil!$B$4:$B$63,$AF641,oil!$AE$4:$AE$63),2))</f>
        <v>0</v>
      </c>
      <c r="AQ641" t="str">
        <f t="shared" si="245"/>
        <v/>
      </c>
      <c r="AZ641">
        <f t="shared" si="246"/>
        <v>0</v>
      </c>
    </row>
    <row r="642" spans="1:52" ht="21" customHeight="1" x14ac:dyDescent="0.95">
      <c r="A642" s="36" t="str">
        <f>IF($AD642="","",IF($AD642="Z","รวมจ่ายทั้งสิ้น",IF($AD642="H",INDEX($X$5:$X$404,$AC642),IF($AD642="T","รวม",IF($AD642="B",IFERROR(INDEX(อัตราค่าขนส่ง!$U$5:$U$14,MATCH(INDEX($AM$5:$AM$404,$AC642),อัตราค่าขนส่ง!$T$5:$T$14,0)),"รวมกลุ่ม "&amp;INDEX($AM$5:$AM$404,$AC642)),INDEX($AY$5:$AY$404,$AC642))))))</f>
        <v/>
      </c>
      <c r="B642" s="31" t="str">
        <f t="shared" si="230"/>
        <v/>
      </c>
      <c r="C642" s="8" t="str">
        <f t="shared" si="231"/>
        <v/>
      </c>
      <c r="D642" s="37" t="str">
        <f t="shared" si="232"/>
        <v/>
      </c>
      <c r="E642" s="31" t="str">
        <f t="shared" si="233"/>
        <v/>
      </c>
      <c r="F642" s="32" t="str">
        <f t="shared" si="234"/>
        <v/>
      </c>
      <c r="G642" s="32" t="str">
        <f t="shared" si="235"/>
        <v/>
      </c>
      <c r="H642" s="32" t="str">
        <f t="shared" si="236"/>
        <v/>
      </c>
      <c r="I642" s="32" t="str">
        <f t="shared" si="237"/>
        <v/>
      </c>
      <c r="J642" s="46" t="str">
        <f t="shared" si="238"/>
        <v/>
      </c>
      <c r="K642" s="32" t="str">
        <f t="shared" si="239"/>
        <v/>
      </c>
      <c r="L642" s="32" t="str">
        <f t="shared" si="240"/>
        <v/>
      </c>
      <c r="M642" s="32" t="str">
        <f t="shared" si="241"/>
        <v/>
      </c>
      <c r="N642" s="32" t="str">
        <f t="shared" si="242"/>
        <v/>
      </c>
      <c r="O642" s="32" t="str">
        <f t="shared" si="243"/>
        <v/>
      </c>
      <c r="AC642" t="str">
        <f>IFERROR(MATCH(638,$AB$5:$AB$404,1),"")</f>
        <v/>
      </c>
      <c r="AD642" t="str">
        <f>IF(638=$AI$1+1,"Z",IF($AC642="","",IF(INDEX($V$5:$V$404,$AC642)="","",IF(638&gt;INDEX($AB$5:$AB$404,$AC642)+INDEX($Z$5:$Z$404,$AC642)+INDEX($AA$5:$AA$404,$AC642)+INDEX($AO$5:$AO$404,$AC642),"",IF(638=INDEX($AB$5:$AB$404,$AC642)+INDEX($Z$5:$Z$404,$AC642),"D",IF(AND(INDEX($Z$5:$Z$404,$AC642)=1,638=INDEX($AB$5:$AB$404,$AC642)),"H",IF(AND(INDEX($AO$5:$AO$404,$AC642)=1,638=INDEX($AB$5:$AB$404,$AC642)+INDEX($Z$5:$Z$404,$AC642)+INDEX($AA$5:$AA$404,$AC642)+INDEX($AO$5:$AO$404,$AC642)),"B","T")))))))</f>
        <v/>
      </c>
      <c r="AF642" t="str">
        <f t="shared" si="244"/>
        <v/>
      </c>
      <c r="AJ642">
        <f>IF($AD642&lt;&gt;"T",0,ROUND(SUMIF(oil!$B$4:$B$63,$AF642,oil!$AE$4:$AE$63),2))</f>
        <v>0</v>
      </c>
      <c r="AQ642" t="str">
        <f t="shared" si="245"/>
        <v/>
      </c>
      <c r="AZ642">
        <f t="shared" si="246"/>
        <v>0</v>
      </c>
    </row>
    <row r="643" spans="1:52" ht="21" customHeight="1" x14ac:dyDescent="0.95">
      <c r="A643" s="36" t="str">
        <f>IF($AD643="","",IF($AD643="Z","รวมจ่ายทั้งสิ้น",IF($AD643="H",INDEX($X$5:$X$404,$AC643),IF($AD643="T","รวม",IF($AD643="B",IFERROR(INDEX(อัตราค่าขนส่ง!$U$5:$U$14,MATCH(INDEX($AM$5:$AM$404,$AC643),อัตราค่าขนส่ง!$T$5:$T$14,0)),"รวมกลุ่ม "&amp;INDEX($AM$5:$AM$404,$AC643)),INDEX($AY$5:$AY$404,$AC643))))))</f>
        <v/>
      </c>
      <c r="B643" s="31" t="str">
        <f t="shared" si="230"/>
        <v/>
      </c>
      <c r="C643" s="8" t="str">
        <f t="shared" si="231"/>
        <v/>
      </c>
      <c r="D643" s="37" t="str">
        <f t="shared" si="232"/>
        <v/>
      </c>
      <c r="E643" s="31" t="str">
        <f t="shared" si="233"/>
        <v/>
      </c>
      <c r="F643" s="32" t="str">
        <f t="shared" si="234"/>
        <v/>
      </c>
      <c r="G643" s="32" t="str">
        <f t="shared" si="235"/>
        <v/>
      </c>
      <c r="H643" s="32" t="str">
        <f t="shared" si="236"/>
        <v/>
      </c>
      <c r="I643" s="32" t="str">
        <f t="shared" si="237"/>
        <v/>
      </c>
      <c r="J643" s="46" t="str">
        <f t="shared" si="238"/>
        <v/>
      </c>
      <c r="K643" s="32" t="str">
        <f t="shared" si="239"/>
        <v/>
      </c>
      <c r="L643" s="32" t="str">
        <f t="shared" si="240"/>
        <v/>
      </c>
      <c r="M643" s="32" t="str">
        <f t="shared" si="241"/>
        <v/>
      </c>
      <c r="N643" s="32" t="str">
        <f t="shared" si="242"/>
        <v/>
      </c>
      <c r="O643" s="32" t="str">
        <f t="shared" si="243"/>
        <v/>
      </c>
      <c r="AC643" t="str">
        <f>IFERROR(MATCH(639,$AB$5:$AB$404,1),"")</f>
        <v/>
      </c>
      <c r="AD643" t="str">
        <f>IF(639=$AI$1+1,"Z",IF($AC643="","",IF(INDEX($V$5:$V$404,$AC643)="","",IF(639&gt;INDEX($AB$5:$AB$404,$AC643)+INDEX($Z$5:$Z$404,$AC643)+INDEX($AA$5:$AA$404,$AC643)+INDEX($AO$5:$AO$404,$AC643),"",IF(639=INDEX($AB$5:$AB$404,$AC643)+INDEX($Z$5:$Z$404,$AC643),"D",IF(AND(INDEX($Z$5:$Z$404,$AC643)=1,639=INDEX($AB$5:$AB$404,$AC643)),"H",IF(AND(INDEX($AO$5:$AO$404,$AC643)=1,639=INDEX($AB$5:$AB$404,$AC643)+INDEX($Z$5:$Z$404,$AC643)+INDEX($AA$5:$AA$404,$AC643)+INDEX($AO$5:$AO$404,$AC643)),"B","T")))))))</f>
        <v/>
      </c>
      <c r="AF643" t="str">
        <f t="shared" si="244"/>
        <v/>
      </c>
      <c r="AJ643">
        <f>IF($AD643&lt;&gt;"T",0,ROUND(SUMIF(oil!$B$4:$B$63,$AF643,oil!$AE$4:$AE$63),2))</f>
        <v>0</v>
      </c>
      <c r="AQ643" t="str">
        <f t="shared" si="245"/>
        <v/>
      </c>
      <c r="AZ643">
        <f t="shared" si="246"/>
        <v>0</v>
      </c>
    </row>
    <row r="644" spans="1:52" ht="21" customHeight="1" x14ac:dyDescent="0.95">
      <c r="A644" s="36" t="str">
        <f>IF($AD644="","",IF($AD644="Z","รวมจ่ายทั้งสิ้น",IF($AD644="H",INDEX($X$5:$X$404,$AC644),IF($AD644="T","รวม",IF($AD644="B",IFERROR(INDEX(อัตราค่าขนส่ง!$U$5:$U$14,MATCH(INDEX($AM$5:$AM$404,$AC644),อัตราค่าขนส่ง!$T$5:$T$14,0)),"รวมกลุ่ม "&amp;INDEX($AM$5:$AM$404,$AC644)),INDEX($AY$5:$AY$404,$AC644))))))</f>
        <v/>
      </c>
      <c r="B644" s="31" t="str">
        <f t="shared" si="230"/>
        <v/>
      </c>
      <c r="C644" s="8" t="str">
        <f t="shared" si="231"/>
        <v/>
      </c>
      <c r="D644" s="37" t="str">
        <f t="shared" si="232"/>
        <v/>
      </c>
      <c r="E644" s="31" t="str">
        <f t="shared" si="233"/>
        <v/>
      </c>
      <c r="F644" s="32" t="str">
        <f t="shared" si="234"/>
        <v/>
      </c>
      <c r="G644" s="32" t="str">
        <f t="shared" si="235"/>
        <v/>
      </c>
      <c r="H644" s="32" t="str">
        <f t="shared" si="236"/>
        <v/>
      </c>
      <c r="I644" s="32" t="str">
        <f t="shared" si="237"/>
        <v/>
      </c>
      <c r="J644" s="46" t="str">
        <f t="shared" si="238"/>
        <v/>
      </c>
      <c r="K644" s="32" t="str">
        <f t="shared" si="239"/>
        <v/>
      </c>
      <c r="L644" s="32" t="str">
        <f t="shared" si="240"/>
        <v/>
      </c>
      <c r="M644" s="32" t="str">
        <f t="shared" si="241"/>
        <v/>
      </c>
      <c r="N644" s="32" t="str">
        <f t="shared" si="242"/>
        <v/>
      </c>
      <c r="O644" s="32" t="str">
        <f t="shared" si="243"/>
        <v/>
      </c>
      <c r="AC644" t="str">
        <f>IFERROR(MATCH(640,$AB$5:$AB$404,1),"")</f>
        <v/>
      </c>
      <c r="AD644" t="str">
        <f>IF(640=$AI$1+1,"Z",IF($AC644="","",IF(INDEX($V$5:$V$404,$AC644)="","",IF(640&gt;INDEX($AB$5:$AB$404,$AC644)+INDEX($Z$5:$Z$404,$AC644)+INDEX($AA$5:$AA$404,$AC644)+INDEX($AO$5:$AO$404,$AC644),"",IF(640=INDEX($AB$5:$AB$404,$AC644)+INDEX($Z$5:$Z$404,$AC644),"D",IF(AND(INDEX($Z$5:$Z$404,$AC644)=1,640=INDEX($AB$5:$AB$404,$AC644)),"H",IF(AND(INDEX($AO$5:$AO$404,$AC644)=1,640=INDEX($AB$5:$AB$404,$AC644)+INDEX($Z$5:$Z$404,$AC644)+INDEX($AA$5:$AA$404,$AC644)+INDEX($AO$5:$AO$404,$AC644)),"B","T")))))))</f>
        <v/>
      </c>
      <c r="AF644" t="str">
        <f t="shared" si="244"/>
        <v/>
      </c>
      <c r="AJ644">
        <f>IF($AD644&lt;&gt;"T",0,ROUND(SUMIF(oil!$B$4:$B$63,$AF644,oil!$AE$4:$AE$63),2))</f>
        <v>0</v>
      </c>
      <c r="AQ644" t="str">
        <f t="shared" si="245"/>
        <v/>
      </c>
      <c r="AZ644">
        <f t="shared" si="246"/>
        <v>0</v>
      </c>
    </row>
    <row r="645" spans="1:52" ht="21" customHeight="1" x14ac:dyDescent="0.95">
      <c r="A645" s="36" t="str">
        <f>IF($AD645="","",IF($AD645="Z","รวมจ่ายทั้งสิ้น",IF($AD645="H",INDEX($X$5:$X$404,$AC645),IF($AD645="T","รวม",IF($AD645="B",IFERROR(INDEX(อัตราค่าขนส่ง!$U$5:$U$14,MATCH(INDEX($AM$5:$AM$404,$AC645),อัตราค่าขนส่ง!$T$5:$T$14,0)),"รวมกลุ่ม "&amp;INDEX($AM$5:$AM$404,$AC645)),INDEX($AY$5:$AY$404,$AC645))))))</f>
        <v/>
      </c>
      <c r="B645" s="31" t="str">
        <f t="shared" ref="B645:B704" si="247">IF($AD645&lt;&gt;"D","",INDEX($AW$5:$AW$404,$AC645))</f>
        <v/>
      </c>
      <c r="C645" s="8" t="str">
        <f t="shared" ref="C645:C704" si="248">IF($AD645&lt;&gt;"D","",INDEX($AX$5:$AX$404,$AC645))</f>
        <v/>
      </c>
      <c r="D645" s="37" t="str">
        <f t="shared" ref="D645:D704" si="249">IF($AD645&lt;&gt;"D","",INDEX($BA$5:$BA$404,$AC645))</f>
        <v/>
      </c>
      <c r="E645" s="31" t="str">
        <f t="shared" ref="E645:E704" si="250">IF($AD645="Z",SUM($AR$5:$AR$404),IF($AD645="D",INDEX($AR$5:$AR$404,$AC645),IF($AD645="T",SUMIF($X$5:$X$404,$AF645,$AR$5:$AR$404),IF($AD645="B",SUMIF($AN$5:$AN$404,$AQ645,$AR$5:$AR$404),""))))</f>
        <v/>
      </c>
      <c r="F645" s="32" t="str">
        <f t="shared" ref="F645:F704" si="251">IF($AD645="Z",ROUND(SUM($AS$5:$AS$404),2),IF($AD645="D",INDEX($AS$5:$AS$404,$AC645),IF($AD645="T",ROUND(SUMIF($X$5:$X$404,$AF645,$AS$5:$AS$404),2),IF($AD645="B",ROUND(SUMIF($AN$5:$AN$404,$AQ645,$AS$5:$AS$404),2),""))))</f>
        <v/>
      </c>
      <c r="G645" s="32" t="str">
        <f t="shared" ref="G645:G704" si="252">IF($AD645&lt;&gt;"D","",INDEX($AT$5:$AT$404,$AC645))</f>
        <v/>
      </c>
      <c r="H645" s="32" t="str">
        <f t="shared" ref="H645:H704" si="253">IF($AD645&lt;&gt;"D","",INDEX($BC$5:$BC$404,$AC645))</f>
        <v/>
      </c>
      <c r="I645" s="32" t="str">
        <f t="shared" ref="I645:I704" si="254">IF($AD645&lt;&gt;"D","",INDEX($BD$5:$BD$404,$AC645))</f>
        <v/>
      </c>
      <c r="J645" s="46" t="str">
        <f t="shared" ref="J645:J704" si="255">IF($AD645&lt;&gt;"D","",IF(N($B645)=0,"",ROUND($I645/$B645,4)))</f>
        <v/>
      </c>
      <c r="K645" s="32" t="str">
        <f t="shared" ref="K645:K704" si="256">IF($AD645="Z",ROUND(SUM($AU$5:$AU$404),2),IF($AD645="D",INDEX($AU$5:$AU$404,$AC645),IF($AD645="T",ROUND(SUMIF($X$5:$X$404,$AF645,$AU$5:$AU$404),2),IF($AD645="B",ROUND(SUMIF($AN$5:$AN$404,$AQ645,$AU$5:$AU$404),2),""))))</f>
        <v/>
      </c>
      <c r="L645" s="32" t="str">
        <f t="shared" ref="L645:L704" si="257">IF($AD645="Z",ROUND(SUM($AV$5:$AV$404),2),IF($AD645="D",INDEX($AV$5:$AV$404,$AC645),IF($AD645="T",ROUND(SUMIF($X$5:$X$404,$AF645,$AV$5:$AV$404),2),IF($AD645="B",ROUND(SUMIF($AN$5:$AN$404,$AQ645,$AV$5:$AV$404),2),""))))</f>
        <v/>
      </c>
      <c r="M645" s="32" t="str">
        <f t="shared" ref="M645:M704" si="258">IF($AD645="Z",ROUND(SUM($AJ$5:$AJ$704),2),IF($AD645="B",ROUND(SUMIF($AQ$5:$AQ$704,$AQ645,$AJ$5:$AJ$704),2),IF($AD645&lt;&gt;"T","",$AJ645)))</f>
        <v/>
      </c>
      <c r="N645" s="32" t="str">
        <f t="shared" ref="N645:N704" si="259">IF(OR($AD645="D",$AD645="T",$AD645="B",$AD645="Z"),ROUND(N($K645)-N($L645)-N($M645),2),"")</f>
        <v/>
      </c>
      <c r="O645" s="32" t="str">
        <f t="shared" ref="O645:O704" si="260">IF(OR($AD645="D",$AD645="T",$AD645="B",$AD645="Z"),IF(N($E645)=0,"",ROUND($F645/$E645,2)),"")</f>
        <v/>
      </c>
      <c r="AC645" t="str">
        <f>IFERROR(MATCH(641,$AB$5:$AB$404,1),"")</f>
        <v/>
      </c>
      <c r="AD645" t="str">
        <f>IF(641=$AI$1+1,"Z",IF($AC645="","",IF(INDEX($V$5:$V$404,$AC645)="","",IF(641&gt;INDEX($AB$5:$AB$404,$AC645)+INDEX($Z$5:$Z$404,$AC645)+INDEX($AA$5:$AA$404,$AC645)+INDEX($AO$5:$AO$404,$AC645),"",IF(641=INDEX($AB$5:$AB$404,$AC645)+INDEX($Z$5:$Z$404,$AC645),"D",IF(AND(INDEX($Z$5:$Z$404,$AC645)=1,641=INDEX($AB$5:$AB$404,$AC645)),"H",IF(AND(INDEX($AO$5:$AO$404,$AC645)=1,641=INDEX($AB$5:$AB$404,$AC645)+INDEX($Z$5:$Z$404,$AC645)+INDEX($AA$5:$AA$404,$AC645)+INDEX($AO$5:$AO$404,$AC645)),"B","T")))))))</f>
        <v/>
      </c>
      <c r="AF645" t="str">
        <f t="shared" ref="AF645:AF704" si="261">IF(OR($AD645="",$AD645="Z",$AD645="B"),"",INDEX($X$5:$X$404,$AC645))</f>
        <v/>
      </c>
      <c r="AJ645">
        <f>IF($AD645&lt;&gt;"T",0,ROUND(SUMIF(oil!$B$4:$B$63,$AF645,oil!$AE$4:$AE$63),2))</f>
        <v>0</v>
      </c>
      <c r="AQ645" t="str">
        <f t="shared" ref="AQ645:AQ704" si="262">IF(OR($AD645="",$AD645="Z"),"",INDEX($AN$5:$AN$404,$AC645))</f>
        <v/>
      </c>
      <c r="AZ645">
        <f t="shared" ref="AZ645:AZ704" si="263">IF(AND($AD645="T",$AQ645=1),N($AZ644)+1,N($AZ644))</f>
        <v>0</v>
      </c>
    </row>
    <row r="646" spans="1:52" ht="21" customHeight="1" x14ac:dyDescent="0.95">
      <c r="A646" s="36" t="str">
        <f>IF($AD646="","",IF($AD646="Z","รวมจ่ายทั้งสิ้น",IF($AD646="H",INDEX($X$5:$X$404,$AC646),IF($AD646="T","รวม",IF($AD646="B",IFERROR(INDEX(อัตราค่าขนส่ง!$U$5:$U$14,MATCH(INDEX($AM$5:$AM$404,$AC646),อัตราค่าขนส่ง!$T$5:$T$14,0)),"รวมกลุ่ม "&amp;INDEX($AM$5:$AM$404,$AC646)),INDEX($AY$5:$AY$404,$AC646))))))</f>
        <v/>
      </c>
      <c r="B646" s="31" t="str">
        <f t="shared" si="247"/>
        <v/>
      </c>
      <c r="C646" s="8" t="str">
        <f t="shared" si="248"/>
        <v/>
      </c>
      <c r="D646" s="37" t="str">
        <f t="shared" si="249"/>
        <v/>
      </c>
      <c r="E646" s="31" t="str">
        <f t="shared" si="250"/>
        <v/>
      </c>
      <c r="F646" s="32" t="str">
        <f t="shared" si="251"/>
        <v/>
      </c>
      <c r="G646" s="32" t="str">
        <f t="shared" si="252"/>
        <v/>
      </c>
      <c r="H646" s="32" t="str">
        <f t="shared" si="253"/>
        <v/>
      </c>
      <c r="I646" s="32" t="str">
        <f t="shared" si="254"/>
        <v/>
      </c>
      <c r="J646" s="46" t="str">
        <f t="shared" si="255"/>
        <v/>
      </c>
      <c r="K646" s="32" t="str">
        <f t="shared" si="256"/>
        <v/>
      </c>
      <c r="L646" s="32" t="str">
        <f t="shared" si="257"/>
        <v/>
      </c>
      <c r="M646" s="32" t="str">
        <f t="shared" si="258"/>
        <v/>
      </c>
      <c r="N646" s="32" t="str">
        <f t="shared" si="259"/>
        <v/>
      </c>
      <c r="O646" s="32" t="str">
        <f t="shared" si="260"/>
        <v/>
      </c>
      <c r="AC646" t="str">
        <f>IFERROR(MATCH(642,$AB$5:$AB$404,1),"")</f>
        <v/>
      </c>
      <c r="AD646" t="str">
        <f>IF(642=$AI$1+1,"Z",IF($AC646="","",IF(INDEX($V$5:$V$404,$AC646)="","",IF(642&gt;INDEX($AB$5:$AB$404,$AC646)+INDEX($Z$5:$Z$404,$AC646)+INDEX($AA$5:$AA$404,$AC646)+INDEX($AO$5:$AO$404,$AC646),"",IF(642=INDEX($AB$5:$AB$404,$AC646)+INDEX($Z$5:$Z$404,$AC646),"D",IF(AND(INDEX($Z$5:$Z$404,$AC646)=1,642=INDEX($AB$5:$AB$404,$AC646)),"H",IF(AND(INDEX($AO$5:$AO$404,$AC646)=1,642=INDEX($AB$5:$AB$404,$AC646)+INDEX($Z$5:$Z$404,$AC646)+INDEX($AA$5:$AA$404,$AC646)+INDEX($AO$5:$AO$404,$AC646)),"B","T")))))))</f>
        <v/>
      </c>
      <c r="AF646" t="str">
        <f t="shared" si="261"/>
        <v/>
      </c>
      <c r="AJ646">
        <f>IF($AD646&lt;&gt;"T",0,ROUND(SUMIF(oil!$B$4:$B$63,$AF646,oil!$AE$4:$AE$63),2))</f>
        <v>0</v>
      </c>
      <c r="AQ646" t="str">
        <f t="shared" si="262"/>
        <v/>
      </c>
      <c r="AZ646">
        <f t="shared" si="263"/>
        <v>0</v>
      </c>
    </row>
    <row r="647" spans="1:52" ht="21" customHeight="1" x14ac:dyDescent="0.95">
      <c r="A647" s="36" t="str">
        <f>IF($AD647="","",IF($AD647="Z","รวมจ่ายทั้งสิ้น",IF($AD647="H",INDEX($X$5:$X$404,$AC647),IF($AD647="T","รวม",IF($AD647="B",IFERROR(INDEX(อัตราค่าขนส่ง!$U$5:$U$14,MATCH(INDEX($AM$5:$AM$404,$AC647),อัตราค่าขนส่ง!$T$5:$T$14,0)),"รวมกลุ่ม "&amp;INDEX($AM$5:$AM$404,$AC647)),INDEX($AY$5:$AY$404,$AC647))))))</f>
        <v/>
      </c>
      <c r="B647" s="31" t="str">
        <f t="shared" si="247"/>
        <v/>
      </c>
      <c r="C647" s="8" t="str">
        <f t="shared" si="248"/>
        <v/>
      </c>
      <c r="D647" s="37" t="str">
        <f t="shared" si="249"/>
        <v/>
      </c>
      <c r="E647" s="31" t="str">
        <f t="shared" si="250"/>
        <v/>
      </c>
      <c r="F647" s="32" t="str">
        <f t="shared" si="251"/>
        <v/>
      </c>
      <c r="G647" s="32" t="str">
        <f t="shared" si="252"/>
        <v/>
      </c>
      <c r="H647" s="32" t="str">
        <f t="shared" si="253"/>
        <v/>
      </c>
      <c r="I647" s="32" t="str">
        <f t="shared" si="254"/>
        <v/>
      </c>
      <c r="J647" s="46" t="str">
        <f t="shared" si="255"/>
        <v/>
      </c>
      <c r="K647" s="32" t="str">
        <f t="shared" si="256"/>
        <v/>
      </c>
      <c r="L647" s="32" t="str">
        <f t="shared" si="257"/>
        <v/>
      </c>
      <c r="M647" s="32" t="str">
        <f t="shared" si="258"/>
        <v/>
      </c>
      <c r="N647" s="32" t="str">
        <f t="shared" si="259"/>
        <v/>
      </c>
      <c r="O647" s="32" t="str">
        <f t="shared" si="260"/>
        <v/>
      </c>
      <c r="AC647" t="str">
        <f>IFERROR(MATCH(643,$AB$5:$AB$404,1),"")</f>
        <v/>
      </c>
      <c r="AD647" t="str">
        <f>IF(643=$AI$1+1,"Z",IF($AC647="","",IF(INDEX($V$5:$V$404,$AC647)="","",IF(643&gt;INDEX($AB$5:$AB$404,$AC647)+INDEX($Z$5:$Z$404,$AC647)+INDEX($AA$5:$AA$404,$AC647)+INDEX($AO$5:$AO$404,$AC647),"",IF(643=INDEX($AB$5:$AB$404,$AC647)+INDEX($Z$5:$Z$404,$AC647),"D",IF(AND(INDEX($Z$5:$Z$404,$AC647)=1,643=INDEX($AB$5:$AB$404,$AC647)),"H",IF(AND(INDEX($AO$5:$AO$404,$AC647)=1,643=INDEX($AB$5:$AB$404,$AC647)+INDEX($Z$5:$Z$404,$AC647)+INDEX($AA$5:$AA$404,$AC647)+INDEX($AO$5:$AO$404,$AC647)),"B","T")))))))</f>
        <v/>
      </c>
      <c r="AF647" t="str">
        <f t="shared" si="261"/>
        <v/>
      </c>
      <c r="AJ647">
        <f>IF($AD647&lt;&gt;"T",0,ROUND(SUMIF(oil!$B$4:$B$63,$AF647,oil!$AE$4:$AE$63),2))</f>
        <v>0</v>
      </c>
      <c r="AQ647" t="str">
        <f t="shared" si="262"/>
        <v/>
      </c>
      <c r="AZ647">
        <f t="shared" si="263"/>
        <v>0</v>
      </c>
    </row>
    <row r="648" spans="1:52" ht="21" customHeight="1" x14ac:dyDescent="0.95">
      <c r="A648" s="36" t="str">
        <f>IF($AD648="","",IF($AD648="Z","รวมจ่ายทั้งสิ้น",IF($AD648="H",INDEX($X$5:$X$404,$AC648),IF($AD648="T","รวม",IF($AD648="B",IFERROR(INDEX(อัตราค่าขนส่ง!$U$5:$U$14,MATCH(INDEX($AM$5:$AM$404,$AC648),อัตราค่าขนส่ง!$T$5:$T$14,0)),"รวมกลุ่ม "&amp;INDEX($AM$5:$AM$404,$AC648)),INDEX($AY$5:$AY$404,$AC648))))))</f>
        <v/>
      </c>
      <c r="B648" s="31" t="str">
        <f t="shared" si="247"/>
        <v/>
      </c>
      <c r="C648" s="8" t="str">
        <f t="shared" si="248"/>
        <v/>
      </c>
      <c r="D648" s="37" t="str">
        <f t="shared" si="249"/>
        <v/>
      </c>
      <c r="E648" s="31" t="str">
        <f t="shared" si="250"/>
        <v/>
      </c>
      <c r="F648" s="32" t="str">
        <f t="shared" si="251"/>
        <v/>
      </c>
      <c r="G648" s="32" t="str">
        <f t="shared" si="252"/>
        <v/>
      </c>
      <c r="H648" s="32" t="str">
        <f t="shared" si="253"/>
        <v/>
      </c>
      <c r="I648" s="32" t="str">
        <f t="shared" si="254"/>
        <v/>
      </c>
      <c r="J648" s="46" t="str">
        <f t="shared" si="255"/>
        <v/>
      </c>
      <c r="K648" s="32" t="str">
        <f t="shared" si="256"/>
        <v/>
      </c>
      <c r="L648" s="32" t="str">
        <f t="shared" si="257"/>
        <v/>
      </c>
      <c r="M648" s="32" t="str">
        <f t="shared" si="258"/>
        <v/>
      </c>
      <c r="N648" s="32" t="str">
        <f t="shared" si="259"/>
        <v/>
      </c>
      <c r="O648" s="32" t="str">
        <f t="shared" si="260"/>
        <v/>
      </c>
      <c r="AC648" t="str">
        <f>IFERROR(MATCH(644,$AB$5:$AB$404,1),"")</f>
        <v/>
      </c>
      <c r="AD648" t="str">
        <f>IF(644=$AI$1+1,"Z",IF($AC648="","",IF(INDEX($V$5:$V$404,$AC648)="","",IF(644&gt;INDEX($AB$5:$AB$404,$AC648)+INDEX($Z$5:$Z$404,$AC648)+INDEX($AA$5:$AA$404,$AC648)+INDEX($AO$5:$AO$404,$AC648),"",IF(644=INDEX($AB$5:$AB$404,$AC648)+INDEX($Z$5:$Z$404,$AC648),"D",IF(AND(INDEX($Z$5:$Z$404,$AC648)=1,644=INDEX($AB$5:$AB$404,$AC648)),"H",IF(AND(INDEX($AO$5:$AO$404,$AC648)=1,644=INDEX($AB$5:$AB$404,$AC648)+INDEX($Z$5:$Z$404,$AC648)+INDEX($AA$5:$AA$404,$AC648)+INDEX($AO$5:$AO$404,$AC648)),"B","T")))))))</f>
        <v/>
      </c>
      <c r="AF648" t="str">
        <f t="shared" si="261"/>
        <v/>
      </c>
      <c r="AJ648">
        <f>IF($AD648&lt;&gt;"T",0,ROUND(SUMIF(oil!$B$4:$B$63,$AF648,oil!$AE$4:$AE$63),2))</f>
        <v>0</v>
      </c>
      <c r="AQ648" t="str">
        <f t="shared" si="262"/>
        <v/>
      </c>
      <c r="AZ648">
        <f t="shared" si="263"/>
        <v>0</v>
      </c>
    </row>
    <row r="649" spans="1:52" ht="21" customHeight="1" x14ac:dyDescent="0.95">
      <c r="A649" s="36" t="str">
        <f>IF($AD649="","",IF($AD649="Z","รวมจ่ายทั้งสิ้น",IF($AD649="H",INDEX($X$5:$X$404,$AC649),IF($AD649="T","รวม",IF($AD649="B",IFERROR(INDEX(อัตราค่าขนส่ง!$U$5:$U$14,MATCH(INDEX($AM$5:$AM$404,$AC649),อัตราค่าขนส่ง!$T$5:$T$14,0)),"รวมกลุ่ม "&amp;INDEX($AM$5:$AM$404,$AC649)),INDEX($AY$5:$AY$404,$AC649))))))</f>
        <v/>
      </c>
      <c r="B649" s="31" t="str">
        <f t="shared" si="247"/>
        <v/>
      </c>
      <c r="C649" s="8" t="str">
        <f t="shared" si="248"/>
        <v/>
      </c>
      <c r="D649" s="37" t="str">
        <f t="shared" si="249"/>
        <v/>
      </c>
      <c r="E649" s="31" t="str">
        <f t="shared" si="250"/>
        <v/>
      </c>
      <c r="F649" s="32" t="str">
        <f t="shared" si="251"/>
        <v/>
      </c>
      <c r="G649" s="32" t="str">
        <f t="shared" si="252"/>
        <v/>
      </c>
      <c r="H649" s="32" t="str">
        <f t="shared" si="253"/>
        <v/>
      </c>
      <c r="I649" s="32" t="str">
        <f t="shared" si="254"/>
        <v/>
      </c>
      <c r="J649" s="46" t="str">
        <f t="shared" si="255"/>
        <v/>
      </c>
      <c r="K649" s="32" t="str">
        <f t="shared" si="256"/>
        <v/>
      </c>
      <c r="L649" s="32" t="str">
        <f t="shared" si="257"/>
        <v/>
      </c>
      <c r="M649" s="32" t="str">
        <f t="shared" si="258"/>
        <v/>
      </c>
      <c r="N649" s="32" t="str">
        <f t="shared" si="259"/>
        <v/>
      </c>
      <c r="O649" s="32" t="str">
        <f t="shared" si="260"/>
        <v/>
      </c>
      <c r="AC649" t="str">
        <f>IFERROR(MATCH(645,$AB$5:$AB$404,1),"")</f>
        <v/>
      </c>
      <c r="AD649" t="str">
        <f>IF(645=$AI$1+1,"Z",IF($AC649="","",IF(INDEX($V$5:$V$404,$AC649)="","",IF(645&gt;INDEX($AB$5:$AB$404,$AC649)+INDEX($Z$5:$Z$404,$AC649)+INDEX($AA$5:$AA$404,$AC649)+INDEX($AO$5:$AO$404,$AC649),"",IF(645=INDEX($AB$5:$AB$404,$AC649)+INDEX($Z$5:$Z$404,$AC649),"D",IF(AND(INDEX($Z$5:$Z$404,$AC649)=1,645=INDEX($AB$5:$AB$404,$AC649)),"H",IF(AND(INDEX($AO$5:$AO$404,$AC649)=1,645=INDEX($AB$5:$AB$404,$AC649)+INDEX($Z$5:$Z$404,$AC649)+INDEX($AA$5:$AA$404,$AC649)+INDEX($AO$5:$AO$404,$AC649)),"B","T")))))))</f>
        <v/>
      </c>
      <c r="AF649" t="str">
        <f t="shared" si="261"/>
        <v/>
      </c>
      <c r="AJ649">
        <f>IF($AD649&lt;&gt;"T",0,ROUND(SUMIF(oil!$B$4:$B$63,$AF649,oil!$AE$4:$AE$63),2))</f>
        <v>0</v>
      </c>
      <c r="AQ649" t="str">
        <f t="shared" si="262"/>
        <v/>
      </c>
      <c r="AZ649">
        <f t="shared" si="263"/>
        <v>0</v>
      </c>
    </row>
    <row r="650" spans="1:52" ht="21" customHeight="1" x14ac:dyDescent="0.95">
      <c r="A650" s="36" t="str">
        <f>IF($AD650="","",IF($AD650="Z","รวมจ่ายทั้งสิ้น",IF($AD650="H",INDEX($X$5:$X$404,$AC650),IF($AD650="T","รวม",IF($AD650="B",IFERROR(INDEX(อัตราค่าขนส่ง!$U$5:$U$14,MATCH(INDEX($AM$5:$AM$404,$AC650),อัตราค่าขนส่ง!$T$5:$T$14,0)),"รวมกลุ่ม "&amp;INDEX($AM$5:$AM$404,$AC650)),INDEX($AY$5:$AY$404,$AC650))))))</f>
        <v/>
      </c>
      <c r="B650" s="31" t="str">
        <f t="shared" si="247"/>
        <v/>
      </c>
      <c r="C650" s="8" t="str">
        <f t="shared" si="248"/>
        <v/>
      </c>
      <c r="D650" s="37" t="str">
        <f t="shared" si="249"/>
        <v/>
      </c>
      <c r="E650" s="31" t="str">
        <f t="shared" si="250"/>
        <v/>
      </c>
      <c r="F650" s="32" t="str">
        <f t="shared" si="251"/>
        <v/>
      </c>
      <c r="G650" s="32" t="str">
        <f t="shared" si="252"/>
        <v/>
      </c>
      <c r="H650" s="32" t="str">
        <f t="shared" si="253"/>
        <v/>
      </c>
      <c r="I650" s="32" t="str">
        <f t="shared" si="254"/>
        <v/>
      </c>
      <c r="J650" s="46" t="str">
        <f t="shared" si="255"/>
        <v/>
      </c>
      <c r="K650" s="32" t="str">
        <f t="shared" si="256"/>
        <v/>
      </c>
      <c r="L650" s="32" t="str">
        <f t="shared" si="257"/>
        <v/>
      </c>
      <c r="M650" s="32" t="str">
        <f t="shared" si="258"/>
        <v/>
      </c>
      <c r="N650" s="32" t="str">
        <f t="shared" si="259"/>
        <v/>
      </c>
      <c r="O650" s="32" t="str">
        <f t="shared" si="260"/>
        <v/>
      </c>
      <c r="AC650" t="str">
        <f>IFERROR(MATCH(646,$AB$5:$AB$404,1),"")</f>
        <v/>
      </c>
      <c r="AD650" t="str">
        <f>IF(646=$AI$1+1,"Z",IF($AC650="","",IF(INDEX($V$5:$V$404,$AC650)="","",IF(646&gt;INDEX($AB$5:$AB$404,$AC650)+INDEX($Z$5:$Z$404,$AC650)+INDEX($AA$5:$AA$404,$AC650)+INDEX($AO$5:$AO$404,$AC650),"",IF(646=INDEX($AB$5:$AB$404,$AC650)+INDEX($Z$5:$Z$404,$AC650),"D",IF(AND(INDEX($Z$5:$Z$404,$AC650)=1,646=INDEX($AB$5:$AB$404,$AC650)),"H",IF(AND(INDEX($AO$5:$AO$404,$AC650)=1,646=INDEX($AB$5:$AB$404,$AC650)+INDEX($Z$5:$Z$404,$AC650)+INDEX($AA$5:$AA$404,$AC650)+INDEX($AO$5:$AO$404,$AC650)),"B","T")))))))</f>
        <v/>
      </c>
      <c r="AF650" t="str">
        <f t="shared" si="261"/>
        <v/>
      </c>
      <c r="AJ650">
        <f>IF($AD650&lt;&gt;"T",0,ROUND(SUMIF(oil!$B$4:$B$63,$AF650,oil!$AE$4:$AE$63),2))</f>
        <v>0</v>
      </c>
      <c r="AQ650" t="str">
        <f t="shared" si="262"/>
        <v/>
      </c>
      <c r="AZ650">
        <f t="shared" si="263"/>
        <v>0</v>
      </c>
    </row>
    <row r="651" spans="1:52" ht="21" customHeight="1" x14ac:dyDescent="0.95">
      <c r="A651" s="36" t="str">
        <f>IF($AD651="","",IF($AD651="Z","รวมจ่ายทั้งสิ้น",IF($AD651="H",INDEX($X$5:$X$404,$AC651),IF($AD651="T","รวม",IF($AD651="B",IFERROR(INDEX(อัตราค่าขนส่ง!$U$5:$U$14,MATCH(INDEX($AM$5:$AM$404,$AC651),อัตราค่าขนส่ง!$T$5:$T$14,0)),"รวมกลุ่ม "&amp;INDEX($AM$5:$AM$404,$AC651)),INDEX($AY$5:$AY$404,$AC651))))))</f>
        <v/>
      </c>
      <c r="B651" s="31" t="str">
        <f t="shared" si="247"/>
        <v/>
      </c>
      <c r="C651" s="8" t="str">
        <f t="shared" si="248"/>
        <v/>
      </c>
      <c r="D651" s="37" t="str">
        <f t="shared" si="249"/>
        <v/>
      </c>
      <c r="E651" s="31" t="str">
        <f t="shared" si="250"/>
        <v/>
      </c>
      <c r="F651" s="32" t="str">
        <f t="shared" si="251"/>
        <v/>
      </c>
      <c r="G651" s="32" t="str">
        <f t="shared" si="252"/>
        <v/>
      </c>
      <c r="H651" s="32" t="str">
        <f t="shared" si="253"/>
        <v/>
      </c>
      <c r="I651" s="32" t="str">
        <f t="shared" si="254"/>
        <v/>
      </c>
      <c r="J651" s="46" t="str">
        <f t="shared" si="255"/>
        <v/>
      </c>
      <c r="K651" s="32" t="str">
        <f t="shared" si="256"/>
        <v/>
      </c>
      <c r="L651" s="32" t="str">
        <f t="shared" si="257"/>
        <v/>
      </c>
      <c r="M651" s="32" t="str">
        <f t="shared" si="258"/>
        <v/>
      </c>
      <c r="N651" s="32" t="str">
        <f t="shared" si="259"/>
        <v/>
      </c>
      <c r="O651" s="32" t="str">
        <f t="shared" si="260"/>
        <v/>
      </c>
      <c r="AC651" t="str">
        <f>IFERROR(MATCH(647,$AB$5:$AB$404,1),"")</f>
        <v/>
      </c>
      <c r="AD651" t="str">
        <f>IF(647=$AI$1+1,"Z",IF($AC651="","",IF(INDEX($V$5:$V$404,$AC651)="","",IF(647&gt;INDEX($AB$5:$AB$404,$AC651)+INDEX($Z$5:$Z$404,$AC651)+INDEX($AA$5:$AA$404,$AC651)+INDEX($AO$5:$AO$404,$AC651),"",IF(647=INDEX($AB$5:$AB$404,$AC651)+INDEX($Z$5:$Z$404,$AC651),"D",IF(AND(INDEX($Z$5:$Z$404,$AC651)=1,647=INDEX($AB$5:$AB$404,$AC651)),"H",IF(AND(INDEX($AO$5:$AO$404,$AC651)=1,647=INDEX($AB$5:$AB$404,$AC651)+INDEX($Z$5:$Z$404,$AC651)+INDEX($AA$5:$AA$404,$AC651)+INDEX($AO$5:$AO$404,$AC651)),"B","T")))))))</f>
        <v/>
      </c>
      <c r="AF651" t="str">
        <f t="shared" si="261"/>
        <v/>
      </c>
      <c r="AJ651">
        <f>IF($AD651&lt;&gt;"T",0,ROUND(SUMIF(oil!$B$4:$B$63,$AF651,oil!$AE$4:$AE$63),2))</f>
        <v>0</v>
      </c>
      <c r="AQ651" t="str">
        <f t="shared" si="262"/>
        <v/>
      </c>
      <c r="AZ651">
        <f t="shared" si="263"/>
        <v>0</v>
      </c>
    </row>
    <row r="652" spans="1:52" ht="21" customHeight="1" x14ac:dyDescent="0.95">
      <c r="A652" s="36" t="str">
        <f>IF($AD652="","",IF($AD652="Z","รวมจ่ายทั้งสิ้น",IF($AD652="H",INDEX($X$5:$X$404,$AC652),IF($AD652="T","รวม",IF($AD652="B",IFERROR(INDEX(อัตราค่าขนส่ง!$U$5:$U$14,MATCH(INDEX($AM$5:$AM$404,$AC652),อัตราค่าขนส่ง!$T$5:$T$14,0)),"รวมกลุ่ม "&amp;INDEX($AM$5:$AM$404,$AC652)),INDEX($AY$5:$AY$404,$AC652))))))</f>
        <v/>
      </c>
      <c r="B652" s="31" t="str">
        <f t="shared" si="247"/>
        <v/>
      </c>
      <c r="C652" s="8" t="str">
        <f t="shared" si="248"/>
        <v/>
      </c>
      <c r="D652" s="37" t="str">
        <f t="shared" si="249"/>
        <v/>
      </c>
      <c r="E652" s="31" t="str">
        <f t="shared" si="250"/>
        <v/>
      </c>
      <c r="F652" s="32" t="str">
        <f t="shared" si="251"/>
        <v/>
      </c>
      <c r="G652" s="32" t="str">
        <f t="shared" si="252"/>
        <v/>
      </c>
      <c r="H652" s="32" t="str">
        <f t="shared" si="253"/>
        <v/>
      </c>
      <c r="I652" s="32" t="str">
        <f t="shared" si="254"/>
        <v/>
      </c>
      <c r="J652" s="46" t="str">
        <f t="shared" si="255"/>
        <v/>
      </c>
      <c r="K652" s="32" t="str">
        <f t="shared" si="256"/>
        <v/>
      </c>
      <c r="L652" s="32" t="str">
        <f t="shared" si="257"/>
        <v/>
      </c>
      <c r="M652" s="32" t="str">
        <f t="shared" si="258"/>
        <v/>
      </c>
      <c r="N652" s="32" t="str">
        <f t="shared" si="259"/>
        <v/>
      </c>
      <c r="O652" s="32" t="str">
        <f t="shared" si="260"/>
        <v/>
      </c>
      <c r="AC652" t="str">
        <f>IFERROR(MATCH(648,$AB$5:$AB$404,1),"")</f>
        <v/>
      </c>
      <c r="AD652" t="str">
        <f>IF(648=$AI$1+1,"Z",IF($AC652="","",IF(INDEX($V$5:$V$404,$AC652)="","",IF(648&gt;INDEX($AB$5:$AB$404,$AC652)+INDEX($Z$5:$Z$404,$AC652)+INDEX($AA$5:$AA$404,$AC652)+INDEX($AO$5:$AO$404,$AC652),"",IF(648=INDEX($AB$5:$AB$404,$AC652)+INDEX($Z$5:$Z$404,$AC652),"D",IF(AND(INDEX($Z$5:$Z$404,$AC652)=1,648=INDEX($AB$5:$AB$404,$AC652)),"H",IF(AND(INDEX($AO$5:$AO$404,$AC652)=1,648=INDEX($AB$5:$AB$404,$AC652)+INDEX($Z$5:$Z$404,$AC652)+INDEX($AA$5:$AA$404,$AC652)+INDEX($AO$5:$AO$404,$AC652)),"B","T")))))))</f>
        <v/>
      </c>
      <c r="AF652" t="str">
        <f t="shared" si="261"/>
        <v/>
      </c>
      <c r="AJ652">
        <f>IF($AD652&lt;&gt;"T",0,ROUND(SUMIF(oil!$B$4:$B$63,$AF652,oil!$AE$4:$AE$63),2))</f>
        <v>0</v>
      </c>
      <c r="AQ652" t="str">
        <f t="shared" si="262"/>
        <v/>
      </c>
      <c r="AZ652">
        <f t="shared" si="263"/>
        <v>0</v>
      </c>
    </row>
    <row r="653" spans="1:52" ht="21" customHeight="1" x14ac:dyDescent="0.95">
      <c r="A653" s="36" t="str">
        <f>IF($AD653="","",IF($AD653="Z","รวมจ่ายทั้งสิ้น",IF($AD653="H",INDEX($X$5:$X$404,$AC653),IF($AD653="T","รวม",IF($AD653="B",IFERROR(INDEX(อัตราค่าขนส่ง!$U$5:$U$14,MATCH(INDEX($AM$5:$AM$404,$AC653),อัตราค่าขนส่ง!$T$5:$T$14,0)),"รวมกลุ่ม "&amp;INDEX($AM$5:$AM$404,$AC653)),INDEX($AY$5:$AY$404,$AC653))))))</f>
        <v/>
      </c>
      <c r="B653" s="31" t="str">
        <f t="shared" si="247"/>
        <v/>
      </c>
      <c r="C653" s="8" t="str">
        <f t="shared" si="248"/>
        <v/>
      </c>
      <c r="D653" s="37" t="str">
        <f t="shared" si="249"/>
        <v/>
      </c>
      <c r="E653" s="31" t="str">
        <f t="shared" si="250"/>
        <v/>
      </c>
      <c r="F653" s="32" t="str">
        <f t="shared" si="251"/>
        <v/>
      </c>
      <c r="G653" s="32" t="str">
        <f t="shared" si="252"/>
        <v/>
      </c>
      <c r="H653" s="32" t="str">
        <f t="shared" si="253"/>
        <v/>
      </c>
      <c r="I653" s="32" t="str">
        <f t="shared" si="254"/>
        <v/>
      </c>
      <c r="J653" s="46" t="str">
        <f t="shared" si="255"/>
        <v/>
      </c>
      <c r="K653" s="32" t="str">
        <f t="shared" si="256"/>
        <v/>
      </c>
      <c r="L653" s="32" t="str">
        <f t="shared" si="257"/>
        <v/>
      </c>
      <c r="M653" s="32" t="str">
        <f t="shared" si="258"/>
        <v/>
      </c>
      <c r="N653" s="32" t="str">
        <f t="shared" si="259"/>
        <v/>
      </c>
      <c r="O653" s="32" t="str">
        <f t="shared" si="260"/>
        <v/>
      </c>
      <c r="AC653" t="str">
        <f>IFERROR(MATCH(649,$AB$5:$AB$404,1),"")</f>
        <v/>
      </c>
      <c r="AD653" t="str">
        <f>IF(649=$AI$1+1,"Z",IF($AC653="","",IF(INDEX($V$5:$V$404,$AC653)="","",IF(649&gt;INDEX($AB$5:$AB$404,$AC653)+INDEX($Z$5:$Z$404,$AC653)+INDEX($AA$5:$AA$404,$AC653)+INDEX($AO$5:$AO$404,$AC653),"",IF(649=INDEX($AB$5:$AB$404,$AC653)+INDEX($Z$5:$Z$404,$AC653),"D",IF(AND(INDEX($Z$5:$Z$404,$AC653)=1,649=INDEX($AB$5:$AB$404,$AC653)),"H",IF(AND(INDEX($AO$5:$AO$404,$AC653)=1,649=INDEX($AB$5:$AB$404,$AC653)+INDEX($Z$5:$Z$404,$AC653)+INDEX($AA$5:$AA$404,$AC653)+INDEX($AO$5:$AO$404,$AC653)),"B","T")))))))</f>
        <v/>
      </c>
      <c r="AF653" t="str">
        <f t="shared" si="261"/>
        <v/>
      </c>
      <c r="AJ653">
        <f>IF($AD653&lt;&gt;"T",0,ROUND(SUMIF(oil!$B$4:$B$63,$AF653,oil!$AE$4:$AE$63),2))</f>
        <v>0</v>
      </c>
      <c r="AQ653" t="str">
        <f t="shared" si="262"/>
        <v/>
      </c>
      <c r="AZ653">
        <f t="shared" si="263"/>
        <v>0</v>
      </c>
    </row>
    <row r="654" spans="1:52" ht="21" customHeight="1" x14ac:dyDescent="0.95">
      <c r="A654" s="36" t="str">
        <f>IF($AD654="","",IF($AD654="Z","รวมจ่ายทั้งสิ้น",IF($AD654="H",INDEX($X$5:$X$404,$AC654),IF($AD654="T","รวม",IF($AD654="B",IFERROR(INDEX(อัตราค่าขนส่ง!$U$5:$U$14,MATCH(INDEX($AM$5:$AM$404,$AC654),อัตราค่าขนส่ง!$T$5:$T$14,0)),"รวมกลุ่ม "&amp;INDEX($AM$5:$AM$404,$AC654)),INDEX($AY$5:$AY$404,$AC654))))))</f>
        <v/>
      </c>
      <c r="B654" s="31" t="str">
        <f t="shared" si="247"/>
        <v/>
      </c>
      <c r="C654" s="8" t="str">
        <f t="shared" si="248"/>
        <v/>
      </c>
      <c r="D654" s="37" t="str">
        <f t="shared" si="249"/>
        <v/>
      </c>
      <c r="E654" s="31" t="str">
        <f t="shared" si="250"/>
        <v/>
      </c>
      <c r="F654" s="32" t="str">
        <f t="shared" si="251"/>
        <v/>
      </c>
      <c r="G654" s="32" t="str">
        <f t="shared" si="252"/>
        <v/>
      </c>
      <c r="H654" s="32" t="str">
        <f t="shared" si="253"/>
        <v/>
      </c>
      <c r="I654" s="32" t="str">
        <f t="shared" si="254"/>
        <v/>
      </c>
      <c r="J654" s="46" t="str">
        <f t="shared" si="255"/>
        <v/>
      </c>
      <c r="K654" s="32" t="str">
        <f t="shared" si="256"/>
        <v/>
      </c>
      <c r="L654" s="32" t="str">
        <f t="shared" si="257"/>
        <v/>
      </c>
      <c r="M654" s="32" t="str">
        <f t="shared" si="258"/>
        <v/>
      </c>
      <c r="N654" s="32" t="str">
        <f t="shared" si="259"/>
        <v/>
      </c>
      <c r="O654" s="32" t="str">
        <f t="shared" si="260"/>
        <v/>
      </c>
      <c r="AC654" t="str">
        <f>IFERROR(MATCH(650,$AB$5:$AB$404,1),"")</f>
        <v/>
      </c>
      <c r="AD654" t="str">
        <f>IF(650=$AI$1+1,"Z",IF($AC654="","",IF(INDEX($V$5:$V$404,$AC654)="","",IF(650&gt;INDEX($AB$5:$AB$404,$AC654)+INDEX($Z$5:$Z$404,$AC654)+INDEX($AA$5:$AA$404,$AC654)+INDEX($AO$5:$AO$404,$AC654),"",IF(650=INDEX($AB$5:$AB$404,$AC654)+INDEX($Z$5:$Z$404,$AC654),"D",IF(AND(INDEX($Z$5:$Z$404,$AC654)=1,650=INDEX($AB$5:$AB$404,$AC654)),"H",IF(AND(INDEX($AO$5:$AO$404,$AC654)=1,650=INDEX($AB$5:$AB$404,$AC654)+INDEX($Z$5:$Z$404,$AC654)+INDEX($AA$5:$AA$404,$AC654)+INDEX($AO$5:$AO$404,$AC654)),"B","T")))))))</f>
        <v/>
      </c>
      <c r="AF654" t="str">
        <f t="shared" si="261"/>
        <v/>
      </c>
      <c r="AJ654">
        <f>IF($AD654&lt;&gt;"T",0,ROUND(SUMIF(oil!$B$4:$B$63,$AF654,oil!$AE$4:$AE$63),2))</f>
        <v>0</v>
      </c>
      <c r="AQ654" t="str">
        <f t="shared" si="262"/>
        <v/>
      </c>
      <c r="AZ654">
        <f t="shared" si="263"/>
        <v>0</v>
      </c>
    </row>
    <row r="655" spans="1:52" ht="21" customHeight="1" x14ac:dyDescent="0.95">
      <c r="A655" s="36" t="str">
        <f>IF($AD655="","",IF($AD655="Z","รวมจ่ายทั้งสิ้น",IF($AD655="H",INDEX($X$5:$X$404,$AC655),IF($AD655="T","รวม",IF($AD655="B",IFERROR(INDEX(อัตราค่าขนส่ง!$U$5:$U$14,MATCH(INDEX($AM$5:$AM$404,$AC655),อัตราค่าขนส่ง!$T$5:$T$14,0)),"รวมกลุ่ม "&amp;INDEX($AM$5:$AM$404,$AC655)),INDEX($AY$5:$AY$404,$AC655))))))</f>
        <v/>
      </c>
      <c r="B655" s="31" t="str">
        <f t="shared" si="247"/>
        <v/>
      </c>
      <c r="C655" s="8" t="str">
        <f t="shared" si="248"/>
        <v/>
      </c>
      <c r="D655" s="37" t="str">
        <f t="shared" si="249"/>
        <v/>
      </c>
      <c r="E655" s="31" t="str">
        <f t="shared" si="250"/>
        <v/>
      </c>
      <c r="F655" s="32" t="str">
        <f t="shared" si="251"/>
        <v/>
      </c>
      <c r="G655" s="32" t="str">
        <f t="shared" si="252"/>
        <v/>
      </c>
      <c r="H655" s="32" t="str">
        <f t="shared" si="253"/>
        <v/>
      </c>
      <c r="I655" s="32" t="str">
        <f t="shared" si="254"/>
        <v/>
      </c>
      <c r="J655" s="46" t="str">
        <f t="shared" si="255"/>
        <v/>
      </c>
      <c r="K655" s="32" t="str">
        <f t="shared" si="256"/>
        <v/>
      </c>
      <c r="L655" s="32" t="str">
        <f t="shared" si="257"/>
        <v/>
      </c>
      <c r="M655" s="32" t="str">
        <f t="shared" si="258"/>
        <v/>
      </c>
      <c r="N655" s="32" t="str">
        <f t="shared" si="259"/>
        <v/>
      </c>
      <c r="O655" s="32" t="str">
        <f t="shared" si="260"/>
        <v/>
      </c>
      <c r="AC655" t="str">
        <f>IFERROR(MATCH(651,$AB$5:$AB$404,1),"")</f>
        <v/>
      </c>
      <c r="AD655" t="str">
        <f>IF(651=$AI$1+1,"Z",IF($AC655="","",IF(INDEX($V$5:$V$404,$AC655)="","",IF(651&gt;INDEX($AB$5:$AB$404,$AC655)+INDEX($Z$5:$Z$404,$AC655)+INDEX($AA$5:$AA$404,$AC655)+INDEX($AO$5:$AO$404,$AC655),"",IF(651=INDEX($AB$5:$AB$404,$AC655)+INDEX($Z$5:$Z$404,$AC655),"D",IF(AND(INDEX($Z$5:$Z$404,$AC655)=1,651=INDEX($AB$5:$AB$404,$AC655)),"H",IF(AND(INDEX($AO$5:$AO$404,$AC655)=1,651=INDEX($AB$5:$AB$404,$AC655)+INDEX($Z$5:$Z$404,$AC655)+INDEX($AA$5:$AA$404,$AC655)+INDEX($AO$5:$AO$404,$AC655)),"B","T")))))))</f>
        <v/>
      </c>
      <c r="AF655" t="str">
        <f t="shared" si="261"/>
        <v/>
      </c>
      <c r="AJ655">
        <f>IF($AD655&lt;&gt;"T",0,ROUND(SUMIF(oil!$B$4:$B$63,$AF655,oil!$AE$4:$AE$63),2))</f>
        <v>0</v>
      </c>
      <c r="AQ655" t="str">
        <f t="shared" si="262"/>
        <v/>
      </c>
      <c r="AZ655">
        <f t="shared" si="263"/>
        <v>0</v>
      </c>
    </row>
    <row r="656" spans="1:52" ht="21" customHeight="1" x14ac:dyDescent="0.95">
      <c r="A656" s="36" t="str">
        <f>IF($AD656="","",IF($AD656="Z","รวมจ่ายทั้งสิ้น",IF($AD656="H",INDEX($X$5:$X$404,$AC656),IF($AD656="T","รวม",IF($AD656="B",IFERROR(INDEX(อัตราค่าขนส่ง!$U$5:$U$14,MATCH(INDEX($AM$5:$AM$404,$AC656),อัตราค่าขนส่ง!$T$5:$T$14,0)),"รวมกลุ่ม "&amp;INDEX($AM$5:$AM$404,$AC656)),INDEX($AY$5:$AY$404,$AC656))))))</f>
        <v/>
      </c>
      <c r="B656" s="31" t="str">
        <f t="shared" si="247"/>
        <v/>
      </c>
      <c r="C656" s="8" t="str">
        <f t="shared" si="248"/>
        <v/>
      </c>
      <c r="D656" s="37" t="str">
        <f t="shared" si="249"/>
        <v/>
      </c>
      <c r="E656" s="31" t="str">
        <f t="shared" si="250"/>
        <v/>
      </c>
      <c r="F656" s="32" t="str">
        <f t="shared" si="251"/>
        <v/>
      </c>
      <c r="G656" s="32" t="str">
        <f t="shared" si="252"/>
        <v/>
      </c>
      <c r="H656" s="32" t="str">
        <f t="shared" si="253"/>
        <v/>
      </c>
      <c r="I656" s="32" t="str">
        <f t="shared" si="254"/>
        <v/>
      </c>
      <c r="J656" s="46" t="str">
        <f t="shared" si="255"/>
        <v/>
      </c>
      <c r="K656" s="32" t="str">
        <f t="shared" si="256"/>
        <v/>
      </c>
      <c r="L656" s="32" t="str">
        <f t="shared" si="257"/>
        <v/>
      </c>
      <c r="M656" s="32" t="str">
        <f t="shared" si="258"/>
        <v/>
      </c>
      <c r="N656" s="32" t="str">
        <f t="shared" si="259"/>
        <v/>
      </c>
      <c r="O656" s="32" t="str">
        <f t="shared" si="260"/>
        <v/>
      </c>
      <c r="AC656" t="str">
        <f>IFERROR(MATCH(652,$AB$5:$AB$404,1),"")</f>
        <v/>
      </c>
      <c r="AD656" t="str">
        <f>IF(652=$AI$1+1,"Z",IF($AC656="","",IF(INDEX($V$5:$V$404,$AC656)="","",IF(652&gt;INDEX($AB$5:$AB$404,$AC656)+INDEX($Z$5:$Z$404,$AC656)+INDEX($AA$5:$AA$404,$AC656)+INDEX($AO$5:$AO$404,$AC656),"",IF(652=INDEX($AB$5:$AB$404,$AC656)+INDEX($Z$5:$Z$404,$AC656),"D",IF(AND(INDEX($Z$5:$Z$404,$AC656)=1,652=INDEX($AB$5:$AB$404,$AC656)),"H",IF(AND(INDEX($AO$5:$AO$404,$AC656)=1,652=INDEX($AB$5:$AB$404,$AC656)+INDEX($Z$5:$Z$404,$AC656)+INDEX($AA$5:$AA$404,$AC656)+INDEX($AO$5:$AO$404,$AC656)),"B","T")))))))</f>
        <v/>
      </c>
      <c r="AF656" t="str">
        <f t="shared" si="261"/>
        <v/>
      </c>
      <c r="AJ656">
        <f>IF($AD656&lt;&gt;"T",0,ROUND(SUMIF(oil!$B$4:$B$63,$AF656,oil!$AE$4:$AE$63),2))</f>
        <v>0</v>
      </c>
      <c r="AQ656" t="str">
        <f t="shared" si="262"/>
        <v/>
      </c>
      <c r="AZ656">
        <f t="shared" si="263"/>
        <v>0</v>
      </c>
    </row>
    <row r="657" spans="1:52" ht="21" customHeight="1" x14ac:dyDescent="0.95">
      <c r="A657" s="36" t="str">
        <f>IF($AD657="","",IF($AD657="Z","รวมจ่ายทั้งสิ้น",IF($AD657="H",INDEX($X$5:$X$404,$AC657),IF($AD657="T","รวม",IF($AD657="B",IFERROR(INDEX(อัตราค่าขนส่ง!$U$5:$U$14,MATCH(INDEX($AM$5:$AM$404,$AC657),อัตราค่าขนส่ง!$T$5:$T$14,0)),"รวมกลุ่ม "&amp;INDEX($AM$5:$AM$404,$AC657)),INDEX($AY$5:$AY$404,$AC657))))))</f>
        <v/>
      </c>
      <c r="B657" s="31" t="str">
        <f t="shared" si="247"/>
        <v/>
      </c>
      <c r="C657" s="8" t="str">
        <f t="shared" si="248"/>
        <v/>
      </c>
      <c r="D657" s="37" t="str">
        <f t="shared" si="249"/>
        <v/>
      </c>
      <c r="E657" s="31" t="str">
        <f t="shared" si="250"/>
        <v/>
      </c>
      <c r="F657" s="32" t="str">
        <f t="shared" si="251"/>
        <v/>
      </c>
      <c r="G657" s="32" t="str">
        <f t="shared" si="252"/>
        <v/>
      </c>
      <c r="H657" s="32" t="str">
        <f t="shared" si="253"/>
        <v/>
      </c>
      <c r="I657" s="32" t="str">
        <f t="shared" si="254"/>
        <v/>
      </c>
      <c r="J657" s="46" t="str">
        <f t="shared" si="255"/>
        <v/>
      </c>
      <c r="K657" s="32" t="str">
        <f t="shared" si="256"/>
        <v/>
      </c>
      <c r="L657" s="32" t="str">
        <f t="shared" si="257"/>
        <v/>
      </c>
      <c r="M657" s="32" t="str">
        <f t="shared" si="258"/>
        <v/>
      </c>
      <c r="N657" s="32" t="str">
        <f t="shared" si="259"/>
        <v/>
      </c>
      <c r="O657" s="32" t="str">
        <f t="shared" si="260"/>
        <v/>
      </c>
      <c r="AC657" t="str">
        <f>IFERROR(MATCH(653,$AB$5:$AB$404,1),"")</f>
        <v/>
      </c>
      <c r="AD657" t="str">
        <f>IF(653=$AI$1+1,"Z",IF($AC657="","",IF(INDEX($V$5:$V$404,$AC657)="","",IF(653&gt;INDEX($AB$5:$AB$404,$AC657)+INDEX($Z$5:$Z$404,$AC657)+INDEX($AA$5:$AA$404,$AC657)+INDEX($AO$5:$AO$404,$AC657),"",IF(653=INDEX($AB$5:$AB$404,$AC657)+INDEX($Z$5:$Z$404,$AC657),"D",IF(AND(INDEX($Z$5:$Z$404,$AC657)=1,653=INDEX($AB$5:$AB$404,$AC657)),"H",IF(AND(INDEX($AO$5:$AO$404,$AC657)=1,653=INDEX($AB$5:$AB$404,$AC657)+INDEX($Z$5:$Z$404,$AC657)+INDEX($AA$5:$AA$404,$AC657)+INDEX($AO$5:$AO$404,$AC657)),"B","T")))))))</f>
        <v/>
      </c>
      <c r="AF657" t="str">
        <f t="shared" si="261"/>
        <v/>
      </c>
      <c r="AJ657">
        <f>IF($AD657&lt;&gt;"T",0,ROUND(SUMIF(oil!$B$4:$B$63,$AF657,oil!$AE$4:$AE$63),2))</f>
        <v>0</v>
      </c>
      <c r="AQ657" t="str">
        <f t="shared" si="262"/>
        <v/>
      </c>
      <c r="AZ657">
        <f t="shared" si="263"/>
        <v>0</v>
      </c>
    </row>
    <row r="658" spans="1:52" ht="21" customHeight="1" x14ac:dyDescent="0.95">
      <c r="A658" s="36" t="str">
        <f>IF($AD658="","",IF($AD658="Z","รวมจ่ายทั้งสิ้น",IF($AD658="H",INDEX($X$5:$X$404,$AC658),IF($AD658="T","รวม",IF($AD658="B",IFERROR(INDEX(อัตราค่าขนส่ง!$U$5:$U$14,MATCH(INDEX($AM$5:$AM$404,$AC658),อัตราค่าขนส่ง!$T$5:$T$14,0)),"รวมกลุ่ม "&amp;INDEX($AM$5:$AM$404,$AC658)),INDEX($AY$5:$AY$404,$AC658))))))</f>
        <v/>
      </c>
      <c r="B658" s="31" t="str">
        <f t="shared" si="247"/>
        <v/>
      </c>
      <c r="C658" s="8" t="str">
        <f t="shared" si="248"/>
        <v/>
      </c>
      <c r="D658" s="37" t="str">
        <f t="shared" si="249"/>
        <v/>
      </c>
      <c r="E658" s="31" t="str">
        <f t="shared" si="250"/>
        <v/>
      </c>
      <c r="F658" s="32" t="str">
        <f t="shared" si="251"/>
        <v/>
      </c>
      <c r="G658" s="32" t="str">
        <f t="shared" si="252"/>
        <v/>
      </c>
      <c r="H658" s="32" t="str">
        <f t="shared" si="253"/>
        <v/>
      </c>
      <c r="I658" s="32" t="str">
        <f t="shared" si="254"/>
        <v/>
      </c>
      <c r="J658" s="46" t="str">
        <f t="shared" si="255"/>
        <v/>
      </c>
      <c r="K658" s="32" t="str">
        <f t="shared" si="256"/>
        <v/>
      </c>
      <c r="L658" s="32" t="str">
        <f t="shared" si="257"/>
        <v/>
      </c>
      <c r="M658" s="32" t="str">
        <f t="shared" si="258"/>
        <v/>
      </c>
      <c r="N658" s="32" t="str">
        <f t="shared" si="259"/>
        <v/>
      </c>
      <c r="O658" s="32" t="str">
        <f t="shared" si="260"/>
        <v/>
      </c>
      <c r="AC658" t="str">
        <f>IFERROR(MATCH(654,$AB$5:$AB$404,1),"")</f>
        <v/>
      </c>
      <c r="AD658" t="str">
        <f>IF(654=$AI$1+1,"Z",IF($AC658="","",IF(INDEX($V$5:$V$404,$AC658)="","",IF(654&gt;INDEX($AB$5:$AB$404,$AC658)+INDEX($Z$5:$Z$404,$AC658)+INDEX($AA$5:$AA$404,$AC658)+INDEX($AO$5:$AO$404,$AC658),"",IF(654=INDEX($AB$5:$AB$404,$AC658)+INDEX($Z$5:$Z$404,$AC658),"D",IF(AND(INDEX($Z$5:$Z$404,$AC658)=1,654=INDEX($AB$5:$AB$404,$AC658)),"H",IF(AND(INDEX($AO$5:$AO$404,$AC658)=1,654=INDEX($AB$5:$AB$404,$AC658)+INDEX($Z$5:$Z$404,$AC658)+INDEX($AA$5:$AA$404,$AC658)+INDEX($AO$5:$AO$404,$AC658)),"B","T")))))))</f>
        <v/>
      </c>
      <c r="AF658" t="str">
        <f t="shared" si="261"/>
        <v/>
      </c>
      <c r="AJ658">
        <f>IF($AD658&lt;&gt;"T",0,ROUND(SUMIF(oil!$B$4:$B$63,$AF658,oil!$AE$4:$AE$63),2))</f>
        <v>0</v>
      </c>
      <c r="AQ658" t="str">
        <f t="shared" si="262"/>
        <v/>
      </c>
      <c r="AZ658">
        <f t="shared" si="263"/>
        <v>0</v>
      </c>
    </row>
    <row r="659" spans="1:52" ht="21" customHeight="1" x14ac:dyDescent="0.95">
      <c r="A659" s="36" t="str">
        <f>IF($AD659="","",IF($AD659="Z","รวมจ่ายทั้งสิ้น",IF($AD659="H",INDEX($X$5:$X$404,$AC659),IF($AD659="T","รวม",IF($AD659="B",IFERROR(INDEX(อัตราค่าขนส่ง!$U$5:$U$14,MATCH(INDEX($AM$5:$AM$404,$AC659),อัตราค่าขนส่ง!$T$5:$T$14,0)),"รวมกลุ่ม "&amp;INDEX($AM$5:$AM$404,$AC659)),INDEX($AY$5:$AY$404,$AC659))))))</f>
        <v/>
      </c>
      <c r="B659" s="31" t="str">
        <f t="shared" si="247"/>
        <v/>
      </c>
      <c r="C659" s="8" t="str">
        <f t="shared" si="248"/>
        <v/>
      </c>
      <c r="D659" s="37" t="str">
        <f t="shared" si="249"/>
        <v/>
      </c>
      <c r="E659" s="31" t="str">
        <f t="shared" si="250"/>
        <v/>
      </c>
      <c r="F659" s="32" t="str">
        <f t="shared" si="251"/>
        <v/>
      </c>
      <c r="G659" s="32" t="str">
        <f t="shared" si="252"/>
        <v/>
      </c>
      <c r="H659" s="32" t="str">
        <f t="shared" si="253"/>
        <v/>
      </c>
      <c r="I659" s="32" t="str">
        <f t="shared" si="254"/>
        <v/>
      </c>
      <c r="J659" s="46" t="str">
        <f t="shared" si="255"/>
        <v/>
      </c>
      <c r="K659" s="32" t="str">
        <f t="shared" si="256"/>
        <v/>
      </c>
      <c r="L659" s="32" t="str">
        <f t="shared" si="257"/>
        <v/>
      </c>
      <c r="M659" s="32" t="str">
        <f t="shared" si="258"/>
        <v/>
      </c>
      <c r="N659" s="32" t="str">
        <f t="shared" si="259"/>
        <v/>
      </c>
      <c r="O659" s="32" t="str">
        <f t="shared" si="260"/>
        <v/>
      </c>
      <c r="AC659" t="str">
        <f>IFERROR(MATCH(655,$AB$5:$AB$404,1),"")</f>
        <v/>
      </c>
      <c r="AD659" t="str">
        <f>IF(655=$AI$1+1,"Z",IF($AC659="","",IF(INDEX($V$5:$V$404,$AC659)="","",IF(655&gt;INDEX($AB$5:$AB$404,$AC659)+INDEX($Z$5:$Z$404,$AC659)+INDEX($AA$5:$AA$404,$AC659)+INDEX($AO$5:$AO$404,$AC659),"",IF(655=INDEX($AB$5:$AB$404,$AC659)+INDEX($Z$5:$Z$404,$AC659),"D",IF(AND(INDEX($Z$5:$Z$404,$AC659)=1,655=INDEX($AB$5:$AB$404,$AC659)),"H",IF(AND(INDEX($AO$5:$AO$404,$AC659)=1,655=INDEX($AB$5:$AB$404,$AC659)+INDEX($Z$5:$Z$404,$AC659)+INDEX($AA$5:$AA$404,$AC659)+INDEX($AO$5:$AO$404,$AC659)),"B","T")))))))</f>
        <v/>
      </c>
      <c r="AF659" t="str">
        <f t="shared" si="261"/>
        <v/>
      </c>
      <c r="AJ659">
        <f>IF($AD659&lt;&gt;"T",0,ROUND(SUMIF(oil!$B$4:$B$63,$AF659,oil!$AE$4:$AE$63),2))</f>
        <v>0</v>
      </c>
      <c r="AQ659" t="str">
        <f t="shared" si="262"/>
        <v/>
      </c>
      <c r="AZ659">
        <f t="shared" si="263"/>
        <v>0</v>
      </c>
    </row>
    <row r="660" spans="1:52" ht="21" customHeight="1" x14ac:dyDescent="0.95">
      <c r="A660" s="36" t="str">
        <f>IF($AD660="","",IF($AD660="Z","รวมจ่ายทั้งสิ้น",IF($AD660="H",INDEX($X$5:$X$404,$AC660),IF($AD660="T","รวม",IF($AD660="B",IFERROR(INDEX(อัตราค่าขนส่ง!$U$5:$U$14,MATCH(INDEX($AM$5:$AM$404,$AC660),อัตราค่าขนส่ง!$T$5:$T$14,0)),"รวมกลุ่ม "&amp;INDEX($AM$5:$AM$404,$AC660)),INDEX($AY$5:$AY$404,$AC660))))))</f>
        <v/>
      </c>
      <c r="B660" s="31" t="str">
        <f t="shared" si="247"/>
        <v/>
      </c>
      <c r="C660" s="8" t="str">
        <f t="shared" si="248"/>
        <v/>
      </c>
      <c r="D660" s="37" t="str">
        <f t="shared" si="249"/>
        <v/>
      </c>
      <c r="E660" s="31" t="str">
        <f t="shared" si="250"/>
        <v/>
      </c>
      <c r="F660" s="32" t="str">
        <f t="shared" si="251"/>
        <v/>
      </c>
      <c r="G660" s="32" t="str">
        <f t="shared" si="252"/>
        <v/>
      </c>
      <c r="H660" s="32" t="str">
        <f t="shared" si="253"/>
        <v/>
      </c>
      <c r="I660" s="32" t="str">
        <f t="shared" si="254"/>
        <v/>
      </c>
      <c r="J660" s="46" t="str">
        <f t="shared" si="255"/>
        <v/>
      </c>
      <c r="K660" s="32" t="str">
        <f t="shared" si="256"/>
        <v/>
      </c>
      <c r="L660" s="32" t="str">
        <f t="shared" si="257"/>
        <v/>
      </c>
      <c r="M660" s="32" t="str">
        <f t="shared" si="258"/>
        <v/>
      </c>
      <c r="N660" s="32" t="str">
        <f t="shared" si="259"/>
        <v/>
      </c>
      <c r="O660" s="32" t="str">
        <f t="shared" si="260"/>
        <v/>
      </c>
      <c r="AC660" t="str">
        <f>IFERROR(MATCH(656,$AB$5:$AB$404,1),"")</f>
        <v/>
      </c>
      <c r="AD660" t="str">
        <f>IF(656=$AI$1+1,"Z",IF($AC660="","",IF(INDEX($V$5:$V$404,$AC660)="","",IF(656&gt;INDEX($AB$5:$AB$404,$AC660)+INDEX($Z$5:$Z$404,$AC660)+INDEX($AA$5:$AA$404,$AC660)+INDEX($AO$5:$AO$404,$AC660),"",IF(656=INDEX($AB$5:$AB$404,$AC660)+INDEX($Z$5:$Z$404,$AC660),"D",IF(AND(INDEX($Z$5:$Z$404,$AC660)=1,656=INDEX($AB$5:$AB$404,$AC660)),"H",IF(AND(INDEX($AO$5:$AO$404,$AC660)=1,656=INDEX($AB$5:$AB$404,$AC660)+INDEX($Z$5:$Z$404,$AC660)+INDEX($AA$5:$AA$404,$AC660)+INDEX($AO$5:$AO$404,$AC660)),"B","T")))))))</f>
        <v/>
      </c>
      <c r="AF660" t="str">
        <f t="shared" si="261"/>
        <v/>
      </c>
      <c r="AJ660">
        <f>IF($AD660&lt;&gt;"T",0,ROUND(SUMIF(oil!$B$4:$B$63,$AF660,oil!$AE$4:$AE$63),2))</f>
        <v>0</v>
      </c>
      <c r="AQ660" t="str">
        <f t="shared" si="262"/>
        <v/>
      </c>
      <c r="AZ660">
        <f t="shared" si="263"/>
        <v>0</v>
      </c>
    </row>
    <row r="661" spans="1:52" ht="21" customHeight="1" x14ac:dyDescent="0.95">
      <c r="A661" s="36" t="str">
        <f>IF($AD661="","",IF($AD661="Z","รวมจ่ายทั้งสิ้น",IF($AD661="H",INDEX($X$5:$X$404,$AC661),IF($AD661="T","รวม",IF($AD661="B",IFERROR(INDEX(อัตราค่าขนส่ง!$U$5:$U$14,MATCH(INDEX($AM$5:$AM$404,$AC661),อัตราค่าขนส่ง!$T$5:$T$14,0)),"รวมกลุ่ม "&amp;INDEX($AM$5:$AM$404,$AC661)),INDEX($AY$5:$AY$404,$AC661))))))</f>
        <v/>
      </c>
      <c r="B661" s="31" t="str">
        <f t="shared" si="247"/>
        <v/>
      </c>
      <c r="C661" s="8" t="str">
        <f t="shared" si="248"/>
        <v/>
      </c>
      <c r="D661" s="37" t="str">
        <f t="shared" si="249"/>
        <v/>
      </c>
      <c r="E661" s="31" t="str">
        <f t="shared" si="250"/>
        <v/>
      </c>
      <c r="F661" s="32" t="str">
        <f t="shared" si="251"/>
        <v/>
      </c>
      <c r="G661" s="32" t="str">
        <f t="shared" si="252"/>
        <v/>
      </c>
      <c r="H661" s="32" t="str">
        <f t="shared" si="253"/>
        <v/>
      </c>
      <c r="I661" s="32" t="str">
        <f t="shared" si="254"/>
        <v/>
      </c>
      <c r="J661" s="46" t="str">
        <f t="shared" si="255"/>
        <v/>
      </c>
      <c r="K661" s="32" t="str">
        <f t="shared" si="256"/>
        <v/>
      </c>
      <c r="L661" s="32" t="str">
        <f t="shared" si="257"/>
        <v/>
      </c>
      <c r="M661" s="32" t="str">
        <f t="shared" si="258"/>
        <v/>
      </c>
      <c r="N661" s="32" t="str">
        <f t="shared" si="259"/>
        <v/>
      </c>
      <c r="O661" s="32" t="str">
        <f t="shared" si="260"/>
        <v/>
      </c>
      <c r="AC661" t="str">
        <f>IFERROR(MATCH(657,$AB$5:$AB$404,1),"")</f>
        <v/>
      </c>
      <c r="AD661" t="str">
        <f>IF(657=$AI$1+1,"Z",IF($AC661="","",IF(INDEX($V$5:$V$404,$AC661)="","",IF(657&gt;INDEX($AB$5:$AB$404,$AC661)+INDEX($Z$5:$Z$404,$AC661)+INDEX($AA$5:$AA$404,$AC661)+INDEX($AO$5:$AO$404,$AC661),"",IF(657=INDEX($AB$5:$AB$404,$AC661)+INDEX($Z$5:$Z$404,$AC661),"D",IF(AND(INDEX($Z$5:$Z$404,$AC661)=1,657=INDEX($AB$5:$AB$404,$AC661)),"H",IF(AND(INDEX($AO$5:$AO$404,$AC661)=1,657=INDEX($AB$5:$AB$404,$AC661)+INDEX($Z$5:$Z$404,$AC661)+INDEX($AA$5:$AA$404,$AC661)+INDEX($AO$5:$AO$404,$AC661)),"B","T")))))))</f>
        <v/>
      </c>
      <c r="AF661" t="str">
        <f t="shared" si="261"/>
        <v/>
      </c>
      <c r="AJ661">
        <f>IF($AD661&lt;&gt;"T",0,ROUND(SUMIF(oil!$B$4:$B$63,$AF661,oil!$AE$4:$AE$63),2))</f>
        <v>0</v>
      </c>
      <c r="AQ661" t="str">
        <f t="shared" si="262"/>
        <v/>
      </c>
      <c r="AZ661">
        <f t="shared" si="263"/>
        <v>0</v>
      </c>
    </row>
    <row r="662" spans="1:52" ht="21" customHeight="1" x14ac:dyDescent="0.95">
      <c r="A662" s="36" t="str">
        <f>IF($AD662="","",IF($AD662="Z","รวมจ่ายทั้งสิ้น",IF($AD662="H",INDEX($X$5:$X$404,$AC662),IF($AD662="T","รวม",IF($AD662="B",IFERROR(INDEX(อัตราค่าขนส่ง!$U$5:$U$14,MATCH(INDEX($AM$5:$AM$404,$AC662),อัตราค่าขนส่ง!$T$5:$T$14,0)),"รวมกลุ่ม "&amp;INDEX($AM$5:$AM$404,$AC662)),INDEX($AY$5:$AY$404,$AC662))))))</f>
        <v/>
      </c>
      <c r="B662" s="31" t="str">
        <f t="shared" si="247"/>
        <v/>
      </c>
      <c r="C662" s="8" t="str">
        <f t="shared" si="248"/>
        <v/>
      </c>
      <c r="D662" s="37" t="str">
        <f t="shared" si="249"/>
        <v/>
      </c>
      <c r="E662" s="31" t="str">
        <f t="shared" si="250"/>
        <v/>
      </c>
      <c r="F662" s="32" t="str">
        <f t="shared" si="251"/>
        <v/>
      </c>
      <c r="G662" s="32" t="str">
        <f t="shared" si="252"/>
        <v/>
      </c>
      <c r="H662" s="32" t="str">
        <f t="shared" si="253"/>
        <v/>
      </c>
      <c r="I662" s="32" t="str">
        <f t="shared" si="254"/>
        <v/>
      </c>
      <c r="J662" s="46" t="str">
        <f t="shared" si="255"/>
        <v/>
      </c>
      <c r="K662" s="32" t="str">
        <f t="shared" si="256"/>
        <v/>
      </c>
      <c r="L662" s="32" t="str">
        <f t="shared" si="257"/>
        <v/>
      </c>
      <c r="M662" s="32" t="str">
        <f t="shared" si="258"/>
        <v/>
      </c>
      <c r="N662" s="32" t="str">
        <f t="shared" si="259"/>
        <v/>
      </c>
      <c r="O662" s="32" t="str">
        <f t="shared" si="260"/>
        <v/>
      </c>
      <c r="AC662" t="str">
        <f>IFERROR(MATCH(658,$AB$5:$AB$404,1),"")</f>
        <v/>
      </c>
      <c r="AD662" t="str">
        <f>IF(658=$AI$1+1,"Z",IF($AC662="","",IF(INDEX($V$5:$V$404,$AC662)="","",IF(658&gt;INDEX($AB$5:$AB$404,$AC662)+INDEX($Z$5:$Z$404,$AC662)+INDEX($AA$5:$AA$404,$AC662)+INDEX($AO$5:$AO$404,$AC662),"",IF(658=INDEX($AB$5:$AB$404,$AC662)+INDEX($Z$5:$Z$404,$AC662),"D",IF(AND(INDEX($Z$5:$Z$404,$AC662)=1,658=INDEX($AB$5:$AB$404,$AC662)),"H",IF(AND(INDEX($AO$5:$AO$404,$AC662)=1,658=INDEX($AB$5:$AB$404,$AC662)+INDEX($Z$5:$Z$404,$AC662)+INDEX($AA$5:$AA$404,$AC662)+INDEX($AO$5:$AO$404,$AC662)),"B","T")))))))</f>
        <v/>
      </c>
      <c r="AF662" t="str">
        <f t="shared" si="261"/>
        <v/>
      </c>
      <c r="AJ662">
        <f>IF($AD662&lt;&gt;"T",0,ROUND(SUMIF(oil!$B$4:$B$63,$AF662,oil!$AE$4:$AE$63),2))</f>
        <v>0</v>
      </c>
      <c r="AQ662" t="str">
        <f t="shared" si="262"/>
        <v/>
      </c>
      <c r="AZ662">
        <f t="shared" si="263"/>
        <v>0</v>
      </c>
    </row>
    <row r="663" spans="1:52" ht="21" customHeight="1" x14ac:dyDescent="0.95">
      <c r="A663" s="36" t="str">
        <f>IF($AD663="","",IF($AD663="Z","รวมจ่ายทั้งสิ้น",IF($AD663="H",INDEX($X$5:$X$404,$AC663),IF($AD663="T","รวม",IF($AD663="B",IFERROR(INDEX(อัตราค่าขนส่ง!$U$5:$U$14,MATCH(INDEX($AM$5:$AM$404,$AC663),อัตราค่าขนส่ง!$T$5:$T$14,0)),"รวมกลุ่ม "&amp;INDEX($AM$5:$AM$404,$AC663)),INDEX($AY$5:$AY$404,$AC663))))))</f>
        <v/>
      </c>
      <c r="B663" s="31" t="str">
        <f t="shared" si="247"/>
        <v/>
      </c>
      <c r="C663" s="8" t="str">
        <f t="shared" si="248"/>
        <v/>
      </c>
      <c r="D663" s="37" t="str">
        <f t="shared" si="249"/>
        <v/>
      </c>
      <c r="E663" s="31" t="str">
        <f t="shared" si="250"/>
        <v/>
      </c>
      <c r="F663" s="32" t="str">
        <f t="shared" si="251"/>
        <v/>
      </c>
      <c r="G663" s="32" t="str">
        <f t="shared" si="252"/>
        <v/>
      </c>
      <c r="H663" s="32" t="str">
        <f t="shared" si="253"/>
        <v/>
      </c>
      <c r="I663" s="32" t="str">
        <f t="shared" si="254"/>
        <v/>
      </c>
      <c r="J663" s="46" t="str">
        <f t="shared" si="255"/>
        <v/>
      </c>
      <c r="K663" s="32" t="str">
        <f t="shared" si="256"/>
        <v/>
      </c>
      <c r="L663" s="32" t="str">
        <f t="shared" si="257"/>
        <v/>
      </c>
      <c r="M663" s="32" t="str">
        <f t="shared" si="258"/>
        <v/>
      </c>
      <c r="N663" s="32" t="str">
        <f t="shared" si="259"/>
        <v/>
      </c>
      <c r="O663" s="32" t="str">
        <f t="shared" si="260"/>
        <v/>
      </c>
      <c r="AC663" t="str">
        <f>IFERROR(MATCH(659,$AB$5:$AB$404,1),"")</f>
        <v/>
      </c>
      <c r="AD663" t="str">
        <f>IF(659=$AI$1+1,"Z",IF($AC663="","",IF(INDEX($V$5:$V$404,$AC663)="","",IF(659&gt;INDEX($AB$5:$AB$404,$AC663)+INDEX($Z$5:$Z$404,$AC663)+INDEX($AA$5:$AA$404,$AC663)+INDEX($AO$5:$AO$404,$AC663),"",IF(659=INDEX($AB$5:$AB$404,$AC663)+INDEX($Z$5:$Z$404,$AC663),"D",IF(AND(INDEX($Z$5:$Z$404,$AC663)=1,659=INDEX($AB$5:$AB$404,$AC663)),"H",IF(AND(INDEX($AO$5:$AO$404,$AC663)=1,659=INDEX($AB$5:$AB$404,$AC663)+INDEX($Z$5:$Z$404,$AC663)+INDEX($AA$5:$AA$404,$AC663)+INDEX($AO$5:$AO$404,$AC663)),"B","T")))))))</f>
        <v/>
      </c>
      <c r="AF663" t="str">
        <f t="shared" si="261"/>
        <v/>
      </c>
      <c r="AJ663">
        <f>IF($AD663&lt;&gt;"T",0,ROUND(SUMIF(oil!$B$4:$B$63,$AF663,oil!$AE$4:$AE$63),2))</f>
        <v>0</v>
      </c>
      <c r="AQ663" t="str">
        <f t="shared" si="262"/>
        <v/>
      </c>
      <c r="AZ663">
        <f t="shared" si="263"/>
        <v>0</v>
      </c>
    </row>
    <row r="664" spans="1:52" ht="21" customHeight="1" x14ac:dyDescent="0.95">
      <c r="A664" s="36" t="str">
        <f>IF($AD664="","",IF($AD664="Z","รวมจ่ายทั้งสิ้น",IF($AD664="H",INDEX($X$5:$X$404,$AC664),IF($AD664="T","รวม",IF($AD664="B",IFERROR(INDEX(อัตราค่าขนส่ง!$U$5:$U$14,MATCH(INDEX($AM$5:$AM$404,$AC664),อัตราค่าขนส่ง!$T$5:$T$14,0)),"รวมกลุ่ม "&amp;INDEX($AM$5:$AM$404,$AC664)),INDEX($AY$5:$AY$404,$AC664))))))</f>
        <v/>
      </c>
      <c r="B664" s="31" t="str">
        <f t="shared" si="247"/>
        <v/>
      </c>
      <c r="C664" s="8" t="str">
        <f t="shared" si="248"/>
        <v/>
      </c>
      <c r="D664" s="37" t="str">
        <f t="shared" si="249"/>
        <v/>
      </c>
      <c r="E664" s="31" t="str">
        <f t="shared" si="250"/>
        <v/>
      </c>
      <c r="F664" s="32" t="str">
        <f t="shared" si="251"/>
        <v/>
      </c>
      <c r="G664" s="32" t="str">
        <f t="shared" si="252"/>
        <v/>
      </c>
      <c r="H664" s="32" t="str">
        <f t="shared" si="253"/>
        <v/>
      </c>
      <c r="I664" s="32" t="str">
        <f t="shared" si="254"/>
        <v/>
      </c>
      <c r="J664" s="46" t="str">
        <f t="shared" si="255"/>
        <v/>
      </c>
      <c r="K664" s="32" t="str">
        <f t="shared" si="256"/>
        <v/>
      </c>
      <c r="L664" s="32" t="str">
        <f t="shared" si="257"/>
        <v/>
      </c>
      <c r="M664" s="32" t="str">
        <f t="shared" si="258"/>
        <v/>
      </c>
      <c r="N664" s="32" t="str">
        <f t="shared" si="259"/>
        <v/>
      </c>
      <c r="O664" s="32" t="str">
        <f t="shared" si="260"/>
        <v/>
      </c>
      <c r="AC664" t="str">
        <f>IFERROR(MATCH(660,$AB$5:$AB$404,1),"")</f>
        <v/>
      </c>
      <c r="AD664" t="str">
        <f>IF(660=$AI$1+1,"Z",IF($AC664="","",IF(INDEX($V$5:$V$404,$AC664)="","",IF(660&gt;INDEX($AB$5:$AB$404,$AC664)+INDEX($Z$5:$Z$404,$AC664)+INDEX($AA$5:$AA$404,$AC664)+INDEX($AO$5:$AO$404,$AC664),"",IF(660=INDEX($AB$5:$AB$404,$AC664)+INDEX($Z$5:$Z$404,$AC664),"D",IF(AND(INDEX($Z$5:$Z$404,$AC664)=1,660=INDEX($AB$5:$AB$404,$AC664)),"H",IF(AND(INDEX($AO$5:$AO$404,$AC664)=1,660=INDEX($AB$5:$AB$404,$AC664)+INDEX($Z$5:$Z$404,$AC664)+INDEX($AA$5:$AA$404,$AC664)+INDEX($AO$5:$AO$404,$AC664)),"B","T")))))))</f>
        <v/>
      </c>
      <c r="AF664" t="str">
        <f t="shared" si="261"/>
        <v/>
      </c>
      <c r="AJ664">
        <f>IF($AD664&lt;&gt;"T",0,ROUND(SUMIF(oil!$B$4:$B$63,$AF664,oil!$AE$4:$AE$63),2))</f>
        <v>0</v>
      </c>
      <c r="AQ664" t="str">
        <f t="shared" si="262"/>
        <v/>
      </c>
      <c r="AZ664">
        <f t="shared" si="263"/>
        <v>0</v>
      </c>
    </row>
    <row r="665" spans="1:52" ht="21" customHeight="1" x14ac:dyDescent="0.95">
      <c r="A665" s="36" t="str">
        <f>IF($AD665="","",IF($AD665="Z","รวมจ่ายทั้งสิ้น",IF($AD665="H",INDEX($X$5:$X$404,$AC665),IF($AD665="T","รวม",IF($AD665="B",IFERROR(INDEX(อัตราค่าขนส่ง!$U$5:$U$14,MATCH(INDEX($AM$5:$AM$404,$AC665),อัตราค่าขนส่ง!$T$5:$T$14,0)),"รวมกลุ่ม "&amp;INDEX($AM$5:$AM$404,$AC665)),INDEX($AY$5:$AY$404,$AC665))))))</f>
        <v/>
      </c>
      <c r="B665" s="31" t="str">
        <f t="shared" si="247"/>
        <v/>
      </c>
      <c r="C665" s="8" t="str">
        <f t="shared" si="248"/>
        <v/>
      </c>
      <c r="D665" s="37" t="str">
        <f t="shared" si="249"/>
        <v/>
      </c>
      <c r="E665" s="31" t="str">
        <f t="shared" si="250"/>
        <v/>
      </c>
      <c r="F665" s="32" t="str">
        <f t="shared" si="251"/>
        <v/>
      </c>
      <c r="G665" s="32" t="str">
        <f t="shared" si="252"/>
        <v/>
      </c>
      <c r="H665" s="32" t="str">
        <f t="shared" si="253"/>
        <v/>
      </c>
      <c r="I665" s="32" t="str">
        <f t="shared" si="254"/>
        <v/>
      </c>
      <c r="J665" s="46" t="str">
        <f t="shared" si="255"/>
        <v/>
      </c>
      <c r="K665" s="32" t="str">
        <f t="shared" si="256"/>
        <v/>
      </c>
      <c r="L665" s="32" t="str">
        <f t="shared" si="257"/>
        <v/>
      </c>
      <c r="M665" s="32" t="str">
        <f t="shared" si="258"/>
        <v/>
      </c>
      <c r="N665" s="32" t="str">
        <f t="shared" si="259"/>
        <v/>
      </c>
      <c r="O665" s="32" t="str">
        <f t="shared" si="260"/>
        <v/>
      </c>
      <c r="AC665" t="str">
        <f>IFERROR(MATCH(661,$AB$5:$AB$404,1),"")</f>
        <v/>
      </c>
      <c r="AD665" t="str">
        <f>IF(661=$AI$1+1,"Z",IF($AC665="","",IF(INDEX($V$5:$V$404,$AC665)="","",IF(661&gt;INDEX($AB$5:$AB$404,$AC665)+INDEX($Z$5:$Z$404,$AC665)+INDEX($AA$5:$AA$404,$AC665)+INDEX($AO$5:$AO$404,$AC665),"",IF(661=INDEX($AB$5:$AB$404,$AC665)+INDEX($Z$5:$Z$404,$AC665),"D",IF(AND(INDEX($Z$5:$Z$404,$AC665)=1,661=INDEX($AB$5:$AB$404,$AC665)),"H",IF(AND(INDEX($AO$5:$AO$404,$AC665)=1,661=INDEX($AB$5:$AB$404,$AC665)+INDEX($Z$5:$Z$404,$AC665)+INDEX($AA$5:$AA$404,$AC665)+INDEX($AO$5:$AO$404,$AC665)),"B","T")))))))</f>
        <v/>
      </c>
      <c r="AF665" t="str">
        <f t="shared" si="261"/>
        <v/>
      </c>
      <c r="AJ665">
        <f>IF($AD665&lt;&gt;"T",0,ROUND(SUMIF(oil!$B$4:$B$63,$AF665,oil!$AE$4:$AE$63),2))</f>
        <v>0</v>
      </c>
      <c r="AQ665" t="str">
        <f t="shared" si="262"/>
        <v/>
      </c>
      <c r="AZ665">
        <f t="shared" si="263"/>
        <v>0</v>
      </c>
    </row>
    <row r="666" spans="1:52" ht="21" customHeight="1" x14ac:dyDescent="0.95">
      <c r="A666" s="36" t="str">
        <f>IF($AD666="","",IF($AD666="Z","รวมจ่ายทั้งสิ้น",IF($AD666="H",INDEX($X$5:$X$404,$AC666),IF($AD666="T","รวม",IF($AD666="B",IFERROR(INDEX(อัตราค่าขนส่ง!$U$5:$U$14,MATCH(INDEX($AM$5:$AM$404,$AC666),อัตราค่าขนส่ง!$T$5:$T$14,0)),"รวมกลุ่ม "&amp;INDEX($AM$5:$AM$404,$AC666)),INDEX($AY$5:$AY$404,$AC666))))))</f>
        <v/>
      </c>
      <c r="B666" s="31" t="str">
        <f t="shared" si="247"/>
        <v/>
      </c>
      <c r="C666" s="8" t="str">
        <f t="shared" si="248"/>
        <v/>
      </c>
      <c r="D666" s="37" t="str">
        <f t="shared" si="249"/>
        <v/>
      </c>
      <c r="E666" s="31" t="str">
        <f t="shared" si="250"/>
        <v/>
      </c>
      <c r="F666" s="32" t="str">
        <f t="shared" si="251"/>
        <v/>
      </c>
      <c r="G666" s="32" t="str">
        <f t="shared" si="252"/>
        <v/>
      </c>
      <c r="H666" s="32" t="str">
        <f t="shared" si="253"/>
        <v/>
      </c>
      <c r="I666" s="32" t="str">
        <f t="shared" si="254"/>
        <v/>
      </c>
      <c r="J666" s="46" t="str">
        <f t="shared" si="255"/>
        <v/>
      </c>
      <c r="K666" s="32" t="str">
        <f t="shared" si="256"/>
        <v/>
      </c>
      <c r="L666" s="32" t="str">
        <f t="shared" si="257"/>
        <v/>
      </c>
      <c r="M666" s="32" t="str">
        <f t="shared" si="258"/>
        <v/>
      </c>
      <c r="N666" s="32" t="str">
        <f t="shared" si="259"/>
        <v/>
      </c>
      <c r="O666" s="32" t="str">
        <f t="shared" si="260"/>
        <v/>
      </c>
      <c r="AC666" t="str">
        <f>IFERROR(MATCH(662,$AB$5:$AB$404,1),"")</f>
        <v/>
      </c>
      <c r="AD666" t="str">
        <f>IF(662=$AI$1+1,"Z",IF($AC666="","",IF(INDEX($V$5:$V$404,$AC666)="","",IF(662&gt;INDEX($AB$5:$AB$404,$AC666)+INDEX($Z$5:$Z$404,$AC666)+INDEX($AA$5:$AA$404,$AC666)+INDEX($AO$5:$AO$404,$AC666),"",IF(662=INDEX($AB$5:$AB$404,$AC666)+INDEX($Z$5:$Z$404,$AC666),"D",IF(AND(INDEX($Z$5:$Z$404,$AC666)=1,662=INDEX($AB$5:$AB$404,$AC666)),"H",IF(AND(INDEX($AO$5:$AO$404,$AC666)=1,662=INDEX($AB$5:$AB$404,$AC666)+INDEX($Z$5:$Z$404,$AC666)+INDEX($AA$5:$AA$404,$AC666)+INDEX($AO$5:$AO$404,$AC666)),"B","T")))))))</f>
        <v/>
      </c>
      <c r="AF666" t="str">
        <f t="shared" si="261"/>
        <v/>
      </c>
      <c r="AJ666">
        <f>IF($AD666&lt;&gt;"T",0,ROUND(SUMIF(oil!$B$4:$B$63,$AF666,oil!$AE$4:$AE$63),2))</f>
        <v>0</v>
      </c>
      <c r="AQ666" t="str">
        <f t="shared" si="262"/>
        <v/>
      </c>
      <c r="AZ666">
        <f t="shared" si="263"/>
        <v>0</v>
      </c>
    </row>
    <row r="667" spans="1:52" ht="21" customHeight="1" x14ac:dyDescent="0.95">
      <c r="A667" s="36" t="str">
        <f>IF($AD667="","",IF($AD667="Z","รวมจ่ายทั้งสิ้น",IF($AD667="H",INDEX($X$5:$X$404,$AC667),IF($AD667="T","รวม",IF($AD667="B",IFERROR(INDEX(อัตราค่าขนส่ง!$U$5:$U$14,MATCH(INDEX($AM$5:$AM$404,$AC667),อัตราค่าขนส่ง!$T$5:$T$14,0)),"รวมกลุ่ม "&amp;INDEX($AM$5:$AM$404,$AC667)),INDEX($AY$5:$AY$404,$AC667))))))</f>
        <v/>
      </c>
      <c r="B667" s="31" t="str">
        <f t="shared" si="247"/>
        <v/>
      </c>
      <c r="C667" s="8" t="str">
        <f t="shared" si="248"/>
        <v/>
      </c>
      <c r="D667" s="37" t="str">
        <f t="shared" si="249"/>
        <v/>
      </c>
      <c r="E667" s="31" t="str">
        <f t="shared" si="250"/>
        <v/>
      </c>
      <c r="F667" s="32" t="str">
        <f t="shared" si="251"/>
        <v/>
      </c>
      <c r="G667" s="32" t="str">
        <f t="shared" si="252"/>
        <v/>
      </c>
      <c r="H667" s="32" t="str">
        <f t="shared" si="253"/>
        <v/>
      </c>
      <c r="I667" s="32" t="str">
        <f t="shared" si="254"/>
        <v/>
      </c>
      <c r="J667" s="46" t="str">
        <f t="shared" si="255"/>
        <v/>
      </c>
      <c r="K667" s="32" t="str">
        <f t="shared" si="256"/>
        <v/>
      </c>
      <c r="L667" s="32" t="str">
        <f t="shared" si="257"/>
        <v/>
      </c>
      <c r="M667" s="32" t="str">
        <f t="shared" si="258"/>
        <v/>
      </c>
      <c r="N667" s="32" t="str">
        <f t="shared" si="259"/>
        <v/>
      </c>
      <c r="O667" s="32" t="str">
        <f t="shared" si="260"/>
        <v/>
      </c>
      <c r="AC667" t="str">
        <f>IFERROR(MATCH(663,$AB$5:$AB$404,1),"")</f>
        <v/>
      </c>
      <c r="AD667" t="str">
        <f>IF(663=$AI$1+1,"Z",IF($AC667="","",IF(INDEX($V$5:$V$404,$AC667)="","",IF(663&gt;INDEX($AB$5:$AB$404,$AC667)+INDEX($Z$5:$Z$404,$AC667)+INDEX($AA$5:$AA$404,$AC667)+INDEX($AO$5:$AO$404,$AC667),"",IF(663=INDEX($AB$5:$AB$404,$AC667)+INDEX($Z$5:$Z$404,$AC667),"D",IF(AND(INDEX($Z$5:$Z$404,$AC667)=1,663=INDEX($AB$5:$AB$404,$AC667)),"H",IF(AND(INDEX($AO$5:$AO$404,$AC667)=1,663=INDEX($AB$5:$AB$404,$AC667)+INDEX($Z$5:$Z$404,$AC667)+INDEX($AA$5:$AA$404,$AC667)+INDEX($AO$5:$AO$404,$AC667)),"B","T")))))))</f>
        <v/>
      </c>
      <c r="AF667" t="str">
        <f t="shared" si="261"/>
        <v/>
      </c>
      <c r="AJ667">
        <f>IF($AD667&lt;&gt;"T",0,ROUND(SUMIF(oil!$B$4:$B$63,$AF667,oil!$AE$4:$AE$63),2))</f>
        <v>0</v>
      </c>
      <c r="AQ667" t="str">
        <f t="shared" si="262"/>
        <v/>
      </c>
      <c r="AZ667">
        <f t="shared" si="263"/>
        <v>0</v>
      </c>
    </row>
    <row r="668" spans="1:52" ht="21" customHeight="1" x14ac:dyDescent="0.95">
      <c r="A668" s="36" t="str">
        <f>IF($AD668="","",IF($AD668="Z","รวมจ่ายทั้งสิ้น",IF($AD668="H",INDEX($X$5:$X$404,$AC668),IF($AD668="T","รวม",IF($AD668="B",IFERROR(INDEX(อัตราค่าขนส่ง!$U$5:$U$14,MATCH(INDEX($AM$5:$AM$404,$AC668),อัตราค่าขนส่ง!$T$5:$T$14,0)),"รวมกลุ่ม "&amp;INDEX($AM$5:$AM$404,$AC668)),INDEX($AY$5:$AY$404,$AC668))))))</f>
        <v/>
      </c>
      <c r="B668" s="31" t="str">
        <f t="shared" si="247"/>
        <v/>
      </c>
      <c r="C668" s="8" t="str">
        <f t="shared" si="248"/>
        <v/>
      </c>
      <c r="D668" s="37" t="str">
        <f t="shared" si="249"/>
        <v/>
      </c>
      <c r="E668" s="31" t="str">
        <f t="shared" si="250"/>
        <v/>
      </c>
      <c r="F668" s="32" t="str">
        <f t="shared" si="251"/>
        <v/>
      </c>
      <c r="G668" s="32" t="str">
        <f t="shared" si="252"/>
        <v/>
      </c>
      <c r="H668" s="32" t="str">
        <f t="shared" si="253"/>
        <v/>
      </c>
      <c r="I668" s="32" t="str">
        <f t="shared" si="254"/>
        <v/>
      </c>
      <c r="J668" s="46" t="str">
        <f t="shared" si="255"/>
        <v/>
      </c>
      <c r="K668" s="32" t="str">
        <f t="shared" si="256"/>
        <v/>
      </c>
      <c r="L668" s="32" t="str">
        <f t="shared" si="257"/>
        <v/>
      </c>
      <c r="M668" s="32" t="str">
        <f t="shared" si="258"/>
        <v/>
      </c>
      <c r="N668" s="32" t="str">
        <f t="shared" si="259"/>
        <v/>
      </c>
      <c r="O668" s="32" t="str">
        <f t="shared" si="260"/>
        <v/>
      </c>
      <c r="AC668" t="str">
        <f>IFERROR(MATCH(664,$AB$5:$AB$404,1),"")</f>
        <v/>
      </c>
      <c r="AD668" t="str">
        <f>IF(664=$AI$1+1,"Z",IF($AC668="","",IF(INDEX($V$5:$V$404,$AC668)="","",IF(664&gt;INDEX($AB$5:$AB$404,$AC668)+INDEX($Z$5:$Z$404,$AC668)+INDEX($AA$5:$AA$404,$AC668)+INDEX($AO$5:$AO$404,$AC668),"",IF(664=INDEX($AB$5:$AB$404,$AC668)+INDEX($Z$5:$Z$404,$AC668),"D",IF(AND(INDEX($Z$5:$Z$404,$AC668)=1,664=INDEX($AB$5:$AB$404,$AC668)),"H",IF(AND(INDEX($AO$5:$AO$404,$AC668)=1,664=INDEX($AB$5:$AB$404,$AC668)+INDEX($Z$5:$Z$404,$AC668)+INDEX($AA$5:$AA$404,$AC668)+INDEX($AO$5:$AO$404,$AC668)),"B","T")))))))</f>
        <v/>
      </c>
      <c r="AF668" t="str">
        <f t="shared" si="261"/>
        <v/>
      </c>
      <c r="AJ668">
        <f>IF($AD668&lt;&gt;"T",0,ROUND(SUMIF(oil!$B$4:$B$63,$AF668,oil!$AE$4:$AE$63),2))</f>
        <v>0</v>
      </c>
      <c r="AQ668" t="str">
        <f t="shared" si="262"/>
        <v/>
      </c>
      <c r="AZ668">
        <f t="shared" si="263"/>
        <v>0</v>
      </c>
    </row>
    <row r="669" spans="1:52" ht="21" customHeight="1" x14ac:dyDescent="0.95">
      <c r="A669" s="36" t="str">
        <f>IF($AD669="","",IF($AD669="Z","รวมจ่ายทั้งสิ้น",IF($AD669="H",INDEX($X$5:$X$404,$AC669),IF($AD669="T","รวม",IF($AD669="B",IFERROR(INDEX(อัตราค่าขนส่ง!$U$5:$U$14,MATCH(INDEX($AM$5:$AM$404,$AC669),อัตราค่าขนส่ง!$T$5:$T$14,0)),"รวมกลุ่ม "&amp;INDEX($AM$5:$AM$404,$AC669)),INDEX($AY$5:$AY$404,$AC669))))))</f>
        <v/>
      </c>
      <c r="B669" s="31" t="str">
        <f t="shared" si="247"/>
        <v/>
      </c>
      <c r="C669" s="8" t="str">
        <f t="shared" si="248"/>
        <v/>
      </c>
      <c r="D669" s="37" t="str">
        <f t="shared" si="249"/>
        <v/>
      </c>
      <c r="E669" s="31" t="str">
        <f t="shared" si="250"/>
        <v/>
      </c>
      <c r="F669" s="32" t="str">
        <f t="shared" si="251"/>
        <v/>
      </c>
      <c r="G669" s="32" t="str">
        <f t="shared" si="252"/>
        <v/>
      </c>
      <c r="H669" s="32" t="str">
        <f t="shared" si="253"/>
        <v/>
      </c>
      <c r="I669" s="32" t="str">
        <f t="shared" si="254"/>
        <v/>
      </c>
      <c r="J669" s="46" t="str">
        <f t="shared" si="255"/>
        <v/>
      </c>
      <c r="K669" s="32" t="str">
        <f t="shared" si="256"/>
        <v/>
      </c>
      <c r="L669" s="32" t="str">
        <f t="shared" si="257"/>
        <v/>
      </c>
      <c r="M669" s="32" t="str">
        <f t="shared" si="258"/>
        <v/>
      </c>
      <c r="N669" s="32" t="str">
        <f t="shared" si="259"/>
        <v/>
      </c>
      <c r="O669" s="32" t="str">
        <f t="shared" si="260"/>
        <v/>
      </c>
      <c r="AC669" t="str">
        <f>IFERROR(MATCH(665,$AB$5:$AB$404,1),"")</f>
        <v/>
      </c>
      <c r="AD669" t="str">
        <f>IF(665=$AI$1+1,"Z",IF($AC669="","",IF(INDEX($V$5:$V$404,$AC669)="","",IF(665&gt;INDEX($AB$5:$AB$404,$AC669)+INDEX($Z$5:$Z$404,$AC669)+INDEX($AA$5:$AA$404,$AC669)+INDEX($AO$5:$AO$404,$AC669),"",IF(665=INDEX($AB$5:$AB$404,$AC669)+INDEX($Z$5:$Z$404,$AC669),"D",IF(AND(INDEX($Z$5:$Z$404,$AC669)=1,665=INDEX($AB$5:$AB$404,$AC669)),"H",IF(AND(INDEX($AO$5:$AO$404,$AC669)=1,665=INDEX($AB$5:$AB$404,$AC669)+INDEX($Z$5:$Z$404,$AC669)+INDEX($AA$5:$AA$404,$AC669)+INDEX($AO$5:$AO$404,$AC669)),"B","T")))))))</f>
        <v/>
      </c>
      <c r="AF669" t="str">
        <f t="shared" si="261"/>
        <v/>
      </c>
      <c r="AJ669">
        <f>IF($AD669&lt;&gt;"T",0,ROUND(SUMIF(oil!$B$4:$B$63,$AF669,oil!$AE$4:$AE$63),2))</f>
        <v>0</v>
      </c>
      <c r="AQ669" t="str">
        <f t="shared" si="262"/>
        <v/>
      </c>
      <c r="AZ669">
        <f t="shared" si="263"/>
        <v>0</v>
      </c>
    </row>
    <row r="670" spans="1:52" ht="21" customHeight="1" x14ac:dyDescent="0.95">
      <c r="A670" s="36" t="str">
        <f>IF($AD670="","",IF($AD670="Z","รวมจ่ายทั้งสิ้น",IF($AD670="H",INDEX($X$5:$X$404,$AC670),IF($AD670="T","รวม",IF($AD670="B",IFERROR(INDEX(อัตราค่าขนส่ง!$U$5:$U$14,MATCH(INDEX($AM$5:$AM$404,$AC670),อัตราค่าขนส่ง!$T$5:$T$14,0)),"รวมกลุ่ม "&amp;INDEX($AM$5:$AM$404,$AC670)),INDEX($AY$5:$AY$404,$AC670))))))</f>
        <v/>
      </c>
      <c r="B670" s="31" t="str">
        <f t="shared" si="247"/>
        <v/>
      </c>
      <c r="C670" s="8" t="str">
        <f t="shared" si="248"/>
        <v/>
      </c>
      <c r="D670" s="37" t="str">
        <f t="shared" si="249"/>
        <v/>
      </c>
      <c r="E670" s="31" t="str">
        <f t="shared" si="250"/>
        <v/>
      </c>
      <c r="F670" s="32" t="str">
        <f t="shared" si="251"/>
        <v/>
      </c>
      <c r="G670" s="32" t="str">
        <f t="shared" si="252"/>
        <v/>
      </c>
      <c r="H670" s="32" t="str">
        <f t="shared" si="253"/>
        <v/>
      </c>
      <c r="I670" s="32" t="str">
        <f t="shared" si="254"/>
        <v/>
      </c>
      <c r="J670" s="46" t="str">
        <f t="shared" si="255"/>
        <v/>
      </c>
      <c r="K670" s="32" t="str">
        <f t="shared" si="256"/>
        <v/>
      </c>
      <c r="L670" s="32" t="str">
        <f t="shared" si="257"/>
        <v/>
      </c>
      <c r="M670" s="32" t="str">
        <f t="shared" si="258"/>
        <v/>
      </c>
      <c r="N670" s="32" t="str">
        <f t="shared" si="259"/>
        <v/>
      </c>
      <c r="O670" s="32" t="str">
        <f t="shared" si="260"/>
        <v/>
      </c>
      <c r="AC670" t="str">
        <f>IFERROR(MATCH(666,$AB$5:$AB$404,1),"")</f>
        <v/>
      </c>
      <c r="AD670" t="str">
        <f>IF(666=$AI$1+1,"Z",IF($AC670="","",IF(INDEX($V$5:$V$404,$AC670)="","",IF(666&gt;INDEX($AB$5:$AB$404,$AC670)+INDEX($Z$5:$Z$404,$AC670)+INDEX($AA$5:$AA$404,$AC670)+INDEX($AO$5:$AO$404,$AC670),"",IF(666=INDEX($AB$5:$AB$404,$AC670)+INDEX($Z$5:$Z$404,$AC670),"D",IF(AND(INDEX($Z$5:$Z$404,$AC670)=1,666=INDEX($AB$5:$AB$404,$AC670)),"H",IF(AND(INDEX($AO$5:$AO$404,$AC670)=1,666=INDEX($AB$5:$AB$404,$AC670)+INDEX($Z$5:$Z$404,$AC670)+INDEX($AA$5:$AA$404,$AC670)+INDEX($AO$5:$AO$404,$AC670)),"B","T")))))))</f>
        <v/>
      </c>
      <c r="AF670" t="str">
        <f t="shared" si="261"/>
        <v/>
      </c>
      <c r="AJ670">
        <f>IF($AD670&lt;&gt;"T",0,ROUND(SUMIF(oil!$B$4:$B$63,$AF670,oil!$AE$4:$AE$63),2))</f>
        <v>0</v>
      </c>
      <c r="AQ670" t="str">
        <f t="shared" si="262"/>
        <v/>
      </c>
      <c r="AZ670">
        <f t="shared" si="263"/>
        <v>0</v>
      </c>
    </row>
    <row r="671" spans="1:52" ht="21" customHeight="1" x14ac:dyDescent="0.95">
      <c r="A671" s="36" t="str">
        <f>IF($AD671="","",IF($AD671="Z","รวมจ่ายทั้งสิ้น",IF($AD671="H",INDEX($X$5:$X$404,$AC671),IF($AD671="T","รวม",IF($AD671="B",IFERROR(INDEX(อัตราค่าขนส่ง!$U$5:$U$14,MATCH(INDEX($AM$5:$AM$404,$AC671),อัตราค่าขนส่ง!$T$5:$T$14,0)),"รวมกลุ่ม "&amp;INDEX($AM$5:$AM$404,$AC671)),INDEX($AY$5:$AY$404,$AC671))))))</f>
        <v/>
      </c>
      <c r="B671" s="31" t="str">
        <f t="shared" si="247"/>
        <v/>
      </c>
      <c r="C671" s="8" t="str">
        <f t="shared" si="248"/>
        <v/>
      </c>
      <c r="D671" s="37" t="str">
        <f t="shared" si="249"/>
        <v/>
      </c>
      <c r="E671" s="31" t="str">
        <f t="shared" si="250"/>
        <v/>
      </c>
      <c r="F671" s="32" t="str">
        <f t="shared" si="251"/>
        <v/>
      </c>
      <c r="G671" s="32" t="str">
        <f t="shared" si="252"/>
        <v/>
      </c>
      <c r="H671" s="32" t="str">
        <f t="shared" si="253"/>
        <v/>
      </c>
      <c r="I671" s="32" t="str">
        <f t="shared" si="254"/>
        <v/>
      </c>
      <c r="J671" s="46" t="str">
        <f t="shared" si="255"/>
        <v/>
      </c>
      <c r="K671" s="32" t="str">
        <f t="shared" si="256"/>
        <v/>
      </c>
      <c r="L671" s="32" t="str">
        <f t="shared" si="257"/>
        <v/>
      </c>
      <c r="M671" s="32" t="str">
        <f t="shared" si="258"/>
        <v/>
      </c>
      <c r="N671" s="32" t="str">
        <f t="shared" si="259"/>
        <v/>
      </c>
      <c r="O671" s="32" t="str">
        <f t="shared" si="260"/>
        <v/>
      </c>
      <c r="AC671" t="str">
        <f>IFERROR(MATCH(667,$AB$5:$AB$404,1),"")</f>
        <v/>
      </c>
      <c r="AD671" t="str">
        <f>IF(667=$AI$1+1,"Z",IF($AC671="","",IF(INDEX($V$5:$V$404,$AC671)="","",IF(667&gt;INDEX($AB$5:$AB$404,$AC671)+INDEX($Z$5:$Z$404,$AC671)+INDEX($AA$5:$AA$404,$AC671)+INDEX($AO$5:$AO$404,$AC671),"",IF(667=INDEX($AB$5:$AB$404,$AC671)+INDEX($Z$5:$Z$404,$AC671),"D",IF(AND(INDEX($Z$5:$Z$404,$AC671)=1,667=INDEX($AB$5:$AB$404,$AC671)),"H",IF(AND(INDEX($AO$5:$AO$404,$AC671)=1,667=INDEX($AB$5:$AB$404,$AC671)+INDEX($Z$5:$Z$404,$AC671)+INDEX($AA$5:$AA$404,$AC671)+INDEX($AO$5:$AO$404,$AC671)),"B","T")))))))</f>
        <v/>
      </c>
      <c r="AF671" t="str">
        <f t="shared" si="261"/>
        <v/>
      </c>
      <c r="AJ671">
        <f>IF($AD671&lt;&gt;"T",0,ROUND(SUMIF(oil!$B$4:$B$63,$AF671,oil!$AE$4:$AE$63),2))</f>
        <v>0</v>
      </c>
      <c r="AQ671" t="str">
        <f t="shared" si="262"/>
        <v/>
      </c>
      <c r="AZ671">
        <f t="shared" si="263"/>
        <v>0</v>
      </c>
    </row>
    <row r="672" spans="1:52" ht="21" customHeight="1" x14ac:dyDescent="0.95">
      <c r="A672" s="36" t="str">
        <f>IF($AD672="","",IF($AD672="Z","รวมจ่ายทั้งสิ้น",IF($AD672="H",INDEX($X$5:$X$404,$AC672),IF($AD672="T","รวม",IF($AD672="B",IFERROR(INDEX(อัตราค่าขนส่ง!$U$5:$U$14,MATCH(INDEX($AM$5:$AM$404,$AC672),อัตราค่าขนส่ง!$T$5:$T$14,0)),"รวมกลุ่ม "&amp;INDEX($AM$5:$AM$404,$AC672)),INDEX($AY$5:$AY$404,$AC672))))))</f>
        <v/>
      </c>
      <c r="B672" s="31" t="str">
        <f t="shared" si="247"/>
        <v/>
      </c>
      <c r="C672" s="8" t="str">
        <f t="shared" si="248"/>
        <v/>
      </c>
      <c r="D672" s="37" t="str">
        <f t="shared" si="249"/>
        <v/>
      </c>
      <c r="E672" s="31" t="str">
        <f t="shared" si="250"/>
        <v/>
      </c>
      <c r="F672" s="32" t="str">
        <f t="shared" si="251"/>
        <v/>
      </c>
      <c r="G672" s="32" t="str">
        <f t="shared" si="252"/>
        <v/>
      </c>
      <c r="H672" s="32" t="str">
        <f t="shared" si="253"/>
        <v/>
      </c>
      <c r="I672" s="32" t="str">
        <f t="shared" si="254"/>
        <v/>
      </c>
      <c r="J672" s="46" t="str">
        <f t="shared" si="255"/>
        <v/>
      </c>
      <c r="K672" s="32" t="str">
        <f t="shared" si="256"/>
        <v/>
      </c>
      <c r="L672" s="32" t="str">
        <f t="shared" si="257"/>
        <v/>
      </c>
      <c r="M672" s="32" t="str">
        <f t="shared" si="258"/>
        <v/>
      </c>
      <c r="N672" s="32" t="str">
        <f t="shared" si="259"/>
        <v/>
      </c>
      <c r="O672" s="32" t="str">
        <f t="shared" si="260"/>
        <v/>
      </c>
      <c r="AC672" t="str">
        <f>IFERROR(MATCH(668,$AB$5:$AB$404,1),"")</f>
        <v/>
      </c>
      <c r="AD672" t="str">
        <f>IF(668=$AI$1+1,"Z",IF($AC672="","",IF(INDEX($V$5:$V$404,$AC672)="","",IF(668&gt;INDEX($AB$5:$AB$404,$AC672)+INDEX($Z$5:$Z$404,$AC672)+INDEX($AA$5:$AA$404,$AC672)+INDEX($AO$5:$AO$404,$AC672),"",IF(668=INDEX($AB$5:$AB$404,$AC672)+INDEX($Z$5:$Z$404,$AC672),"D",IF(AND(INDEX($Z$5:$Z$404,$AC672)=1,668=INDEX($AB$5:$AB$404,$AC672)),"H",IF(AND(INDEX($AO$5:$AO$404,$AC672)=1,668=INDEX($AB$5:$AB$404,$AC672)+INDEX($Z$5:$Z$404,$AC672)+INDEX($AA$5:$AA$404,$AC672)+INDEX($AO$5:$AO$404,$AC672)),"B","T")))))))</f>
        <v/>
      </c>
      <c r="AF672" t="str">
        <f t="shared" si="261"/>
        <v/>
      </c>
      <c r="AJ672">
        <f>IF($AD672&lt;&gt;"T",0,ROUND(SUMIF(oil!$B$4:$B$63,$AF672,oil!$AE$4:$AE$63),2))</f>
        <v>0</v>
      </c>
      <c r="AQ672" t="str">
        <f t="shared" si="262"/>
        <v/>
      </c>
      <c r="AZ672">
        <f t="shared" si="263"/>
        <v>0</v>
      </c>
    </row>
    <row r="673" spans="1:52" ht="21" customHeight="1" x14ac:dyDescent="0.95">
      <c r="A673" s="36" t="str">
        <f>IF($AD673="","",IF($AD673="Z","รวมจ่ายทั้งสิ้น",IF($AD673="H",INDEX($X$5:$X$404,$AC673),IF($AD673="T","รวม",IF($AD673="B",IFERROR(INDEX(อัตราค่าขนส่ง!$U$5:$U$14,MATCH(INDEX($AM$5:$AM$404,$AC673),อัตราค่าขนส่ง!$T$5:$T$14,0)),"รวมกลุ่ม "&amp;INDEX($AM$5:$AM$404,$AC673)),INDEX($AY$5:$AY$404,$AC673))))))</f>
        <v/>
      </c>
      <c r="B673" s="31" t="str">
        <f t="shared" si="247"/>
        <v/>
      </c>
      <c r="C673" s="8" t="str">
        <f t="shared" si="248"/>
        <v/>
      </c>
      <c r="D673" s="37" t="str">
        <f t="shared" si="249"/>
        <v/>
      </c>
      <c r="E673" s="31" t="str">
        <f t="shared" si="250"/>
        <v/>
      </c>
      <c r="F673" s="32" t="str">
        <f t="shared" si="251"/>
        <v/>
      </c>
      <c r="G673" s="32" t="str">
        <f t="shared" si="252"/>
        <v/>
      </c>
      <c r="H673" s="32" t="str">
        <f t="shared" si="253"/>
        <v/>
      </c>
      <c r="I673" s="32" t="str">
        <f t="shared" si="254"/>
        <v/>
      </c>
      <c r="J673" s="46" t="str">
        <f t="shared" si="255"/>
        <v/>
      </c>
      <c r="K673" s="32" t="str">
        <f t="shared" si="256"/>
        <v/>
      </c>
      <c r="L673" s="32" t="str">
        <f t="shared" si="257"/>
        <v/>
      </c>
      <c r="M673" s="32" t="str">
        <f t="shared" si="258"/>
        <v/>
      </c>
      <c r="N673" s="32" t="str">
        <f t="shared" si="259"/>
        <v/>
      </c>
      <c r="O673" s="32" t="str">
        <f t="shared" si="260"/>
        <v/>
      </c>
      <c r="AC673" t="str">
        <f>IFERROR(MATCH(669,$AB$5:$AB$404,1),"")</f>
        <v/>
      </c>
      <c r="AD673" t="str">
        <f>IF(669=$AI$1+1,"Z",IF($AC673="","",IF(INDEX($V$5:$V$404,$AC673)="","",IF(669&gt;INDEX($AB$5:$AB$404,$AC673)+INDEX($Z$5:$Z$404,$AC673)+INDEX($AA$5:$AA$404,$AC673)+INDEX($AO$5:$AO$404,$AC673),"",IF(669=INDEX($AB$5:$AB$404,$AC673)+INDEX($Z$5:$Z$404,$AC673),"D",IF(AND(INDEX($Z$5:$Z$404,$AC673)=1,669=INDEX($AB$5:$AB$404,$AC673)),"H",IF(AND(INDEX($AO$5:$AO$404,$AC673)=1,669=INDEX($AB$5:$AB$404,$AC673)+INDEX($Z$5:$Z$404,$AC673)+INDEX($AA$5:$AA$404,$AC673)+INDEX($AO$5:$AO$404,$AC673)),"B","T")))))))</f>
        <v/>
      </c>
      <c r="AF673" t="str">
        <f t="shared" si="261"/>
        <v/>
      </c>
      <c r="AJ673">
        <f>IF($AD673&lt;&gt;"T",0,ROUND(SUMIF(oil!$B$4:$B$63,$AF673,oil!$AE$4:$AE$63),2))</f>
        <v>0</v>
      </c>
      <c r="AQ673" t="str">
        <f t="shared" si="262"/>
        <v/>
      </c>
      <c r="AZ673">
        <f t="shared" si="263"/>
        <v>0</v>
      </c>
    </row>
    <row r="674" spans="1:52" ht="21" customHeight="1" x14ac:dyDescent="0.95">
      <c r="A674" s="36" t="str">
        <f>IF($AD674="","",IF($AD674="Z","รวมจ่ายทั้งสิ้น",IF($AD674="H",INDEX($X$5:$X$404,$AC674),IF($AD674="T","รวม",IF($AD674="B",IFERROR(INDEX(อัตราค่าขนส่ง!$U$5:$U$14,MATCH(INDEX($AM$5:$AM$404,$AC674),อัตราค่าขนส่ง!$T$5:$T$14,0)),"รวมกลุ่ม "&amp;INDEX($AM$5:$AM$404,$AC674)),INDEX($AY$5:$AY$404,$AC674))))))</f>
        <v/>
      </c>
      <c r="B674" s="31" t="str">
        <f t="shared" si="247"/>
        <v/>
      </c>
      <c r="C674" s="8" t="str">
        <f t="shared" si="248"/>
        <v/>
      </c>
      <c r="D674" s="37" t="str">
        <f t="shared" si="249"/>
        <v/>
      </c>
      <c r="E674" s="31" t="str">
        <f t="shared" si="250"/>
        <v/>
      </c>
      <c r="F674" s="32" t="str">
        <f t="shared" si="251"/>
        <v/>
      </c>
      <c r="G674" s="32" t="str">
        <f t="shared" si="252"/>
        <v/>
      </c>
      <c r="H674" s="32" t="str">
        <f t="shared" si="253"/>
        <v/>
      </c>
      <c r="I674" s="32" t="str">
        <f t="shared" si="254"/>
        <v/>
      </c>
      <c r="J674" s="46" t="str">
        <f t="shared" si="255"/>
        <v/>
      </c>
      <c r="K674" s="32" t="str">
        <f t="shared" si="256"/>
        <v/>
      </c>
      <c r="L674" s="32" t="str">
        <f t="shared" si="257"/>
        <v/>
      </c>
      <c r="M674" s="32" t="str">
        <f t="shared" si="258"/>
        <v/>
      </c>
      <c r="N674" s="32" t="str">
        <f t="shared" si="259"/>
        <v/>
      </c>
      <c r="O674" s="32" t="str">
        <f t="shared" si="260"/>
        <v/>
      </c>
      <c r="AC674" t="str">
        <f>IFERROR(MATCH(670,$AB$5:$AB$404,1),"")</f>
        <v/>
      </c>
      <c r="AD674" t="str">
        <f>IF(670=$AI$1+1,"Z",IF($AC674="","",IF(INDEX($V$5:$V$404,$AC674)="","",IF(670&gt;INDEX($AB$5:$AB$404,$AC674)+INDEX($Z$5:$Z$404,$AC674)+INDEX($AA$5:$AA$404,$AC674)+INDEX($AO$5:$AO$404,$AC674),"",IF(670=INDEX($AB$5:$AB$404,$AC674)+INDEX($Z$5:$Z$404,$AC674),"D",IF(AND(INDEX($Z$5:$Z$404,$AC674)=1,670=INDEX($AB$5:$AB$404,$AC674)),"H",IF(AND(INDEX($AO$5:$AO$404,$AC674)=1,670=INDEX($AB$5:$AB$404,$AC674)+INDEX($Z$5:$Z$404,$AC674)+INDEX($AA$5:$AA$404,$AC674)+INDEX($AO$5:$AO$404,$AC674)),"B","T")))))))</f>
        <v/>
      </c>
      <c r="AF674" t="str">
        <f t="shared" si="261"/>
        <v/>
      </c>
      <c r="AJ674">
        <f>IF($AD674&lt;&gt;"T",0,ROUND(SUMIF(oil!$B$4:$B$63,$AF674,oil!$AE$4:$AE$63),2))</f>
        <v>0</v>
      </c>
      <c r="AQ674" t="str">
        <f t="shared" si="262"/>
        <v/>
      </c>
      <c r="AZ674">
        <f t="shared" si="263"/>
        <v>0</v>
      </c>
    </row>
    <row r="675" spans="1:52" ht="21" customHeight="1" x14ac:dyDescent="0.95">
      <c r="A675" s="36" t="str">
        <f>IF($AD675="","",IF($AD675="Z","รวมจ่ายทั้งสิ้น",IF($AD675="H",INDEX($X$5:$X$404,$AC675),IF($AD675="T","รวม",IF($AD675="B",IFERROR(INDEX(อัตราค่าขนส่ง!$U$5:$U$14,MATCH(INDEX($AM$5:$AM$404,$AC675),อัตราค่าขนส่ง!$T$5:$T$14,0)),"รวมกลุ่ม "&amp;INDEX($AM$5:$AM$404,$AC675)),INDEX($AY$5:$AY$404,$AC675))))))</f>
        <v/>
      </c>
      <c r="B675" s="31" t="str">
        <f t="shared" si="247"/>
        <v/>
      </c>
      <c r="C675" s="8" t="str">
        <f t="shared" si="248"/>
        <v/>
      </c>
      <c r="D675" s="37" t="str">
        <f t="shared" si="249"/>
        <v/>
      </c>
      <c r="E675" s="31" t="str">
        <f t="shared" si="250"/>
        <v/>
      </c>
      <c r="F675" s="32" t="str">
        <f t="shared" si="251"/>
        <v/>
      </c>
      <c r="G675" s="32" t="str">
        <f t="shared" si="252"/>
        <v/>
      </c>
      <c r="H675" s="32" t="str">
        <f t="shared" si="253"/>
        <v/>
      </c>
      <c r="I675" s="32" t="str">
        <f t="shared" si="254"/>
        <v/>
      </c>
      <c r="J675" s="46" t="str">
        <f t="shared" si="255"/>
        <v/>
      </c>
      <c r="K675" s="32" t="str">
        <f t="shared" si="256"/>
        <v/>
      </c>
      <c r="L675" s="32" t="str">
        <f t="shared" si="257"/>
        <v/>
      </c>
      <c r="M675" s="32" t="str">
        <f t="shared" si="258"/>
        <v/>
      </c>
      <c r="N675" s="32" t="str">
        <f t="shared" si="259"/>
        <v/>
      </c>
      <c r="O675" s="32" t="str">
        <f t="shared" si="260"/>
        <v/>
      </c>
      <c r="AC675" t="str">
        <f>IFERROR(MATCH(671,$AB$5:$AB$404,1),"")</f>
        <v/>
      </c>
      <c r="AD675" t="str">
        <f>IF(671=$AI$1+1,"Z",IF($AC675="","",IF(INDEX($V$5:$V$404,$AC675)="","",IF(671&gt;INDEX($AB$5:$AB$404,$AC675)+INDEX($Z$5:$Z$404,$AC675)+INDEX($AA$5:$AA$404,$AC675)+INDEX($AO$5:$AO$404,$AC675),"",IF(671=INDEX($AB$5:$AB$404,$AC675)+INDEX($Z$5:$Z$404,$AC675),"D",IF(AND(INDEX($Z$5:$Z$404,$AC675)=1,671=INDEX($AB$5:$AB$404,$AC675)),"H",IF(AND(INDEX($AO$5:$AO$404,$AC675)=1,671=INDEX($AB$5:$AB$404,$AC675)+INDEX($Z$5:$Z$404,$AC675)+INDEX($AA$5:$AA$404,$AC675)+INDEX($AO$5:$AO$404,$AC675)),"B","T")))))))</f>
        <v/>
      </c>
      <c r="AF675" t="str">
        <f t="shared" si="261"/>
        <v/>
      </c>
      <c r="AJ675">
        <f>IF($AD675&lt;&gt;"T",0,ROUND(SUMIF(oil!$B$4:$B$63,$AF675,oil!$AE$4:$AE$63),2))</f>
        <v>0</v>
      </c>
      <c r="AQ675" t="str">
        <f t="shared" si="262"/>
        <v/>
      </c>
      <c r="AZ675">
        <f t="shared" si="263"/>
        <v>0</v>
      </c>
    </row>
    <row r="676" spans="1:52" ht="21" customHeight="1" x14ac:dyDescent="0.95">
      <c r="A676" s="36" t="str">
        <f>IF($AD676="","",IF($AD676="Z","รวมจ่ายทั้งสิ้น",IF($AD676="H",INDEX($X$5:$X$404,$AC676),IF($AD676="T","รวม",IF($AD676="B",IFERROR(INDEX(อัตราค่าขนส่ง!$U$5:$U$14,MATCH(INDEX($AM$5:$AM$404,$AC676),อัตราค่าขนส่ง!$T$5:$T$14,0)),"รวมกลุ่ม "&amp;INDEX($AM$5:$AM$404,$AC676)),INDEX($AY$5:$AY$404,$AC676))))))</f>
        <v/>
      </c>
      <c r="B676" s="31" t="str">
        <f t="shared" si="247"/>
        <v/>
      </c>
      <c r="C676" s="8" t="str">
        <f t="shared" si="248"/>
        <v/>
      </c>
      <c r="D676" s="37" t="str">
        <f t="shared" si="249"/>
        <v/>
      </c>
      <c r="E676" s="31" t="str">
        <f t="shared" si="250"/>
        <v/>
      </c>
      <c r="F676" s="32" t="str">
        <f t="shared" si="251"/>
        <v/>
      </c>
      <c r="G676" s="32" t="str">
        <f t="shared" si="252"/>
        <v/>
      </c>
      <c r="H676" s="32" t="str">
        <f t="shared" si="253"/>
        <v/>
      </c>
      <c r="I676" s="32" t="str">
        <f t="shared" si="254"/>
        <v/>
      </c>
      <c r="J676" s="46" t="str">
        <f t="shared" si="255"/>
        <v/>
      </c>
      <c r="K676" s="32" t="str">
        <f t="shared" si="256"/>
        <v/>
      </c>
      <c r="L676" s="32" t="str">
        <f t="shared" si="257"/>
        <v/>
      </c>
      <c r="M676" s="32" t="str">
        <f t="shared" si="258"/>
        <v/>
      </c>
      <c r="N676" s="32" t="str">
        <f t="shared" si="259"/>
        <v/>
      </c>
      <c r="O676" s="32" t="str">
        <f t="shared" si="260"/>
        <v/>
      </c>
      <c r="AC676" t="str">
        <f>IFERROR(MATCH(672,$AB$5:$AB$404,1),"")</f>
        <v/>
      </c>
      <c r="AD676" t="str">
        <f>IF(672=$AI$1+1,"Z",IF($AC676="","",IF(INDEX($V$5:$V$404,$AC676)="","",IF(672&gt;INDEX($AB$5:$AB$404,$AC676)+INDEX($Z$5:$Z$404,$AC676)+INDEX($AA$5:$AA$404,$AC676)+INDEX($AO$5:$AO$404,$AC676),"",IF(672=INDEX($AB$5:$AB$404,$AC676)+INDEX($Z$5:$Z$404,$AC676),"D",IF(AND(INDEX($Z$5:$Z$404,$AC676)=1,672=INDEX($AB$5:$AB$404,$AC676)),"H",IF(AND(INDEX($AO$5:$AO$404,$AC676)=1,672=INDEX($AB$5:$AB$404,$AC676)+INDEX($Z$5:$Z$404,$AC676)+INDEX($AA$5:$AA$404,$AC676)+INDEX($AO$5:$AO$404,$AC676)),"B","T")))))))</f>
        <v/>
      </c>
      <c r="AF676" t="str">
        <f t="shared" si="261"/>
        <v/>
      </c>
      <c r="AJ676">
        <f>IF($AD676&lt;&gt;"T",0,ROUND(SUMIF(oil!$B$4:$B$63,$AF676,oil!$AE$4:$AE$63),2))</f>
        <v>0</v>
      </c>
      <c r="AQ676" t="str">
        <f t="shared" si="262"/>
        <v/>
      </c>
      <c r="AZ676">
        <f t="shared" si="263"/>
        <v>0</v>
      </c>
    </row>
    <row r="677" spans="1:52" ht="21" customHeight="1" x14ac:dyDescent="0.95">
      <c r="A677" s="36" t="str">
        <f>IF($AD677="","",IF($AD677="Z","รวมจ่ายทั้งสิ้น",IF($AD677="H",INDEX($X$5:$X$404,$AC677),IF($AD677="T","รวม",IF($AD677="B",IFERROR(INDEX(อัตราค่าขนส่ง!$U$5:$U$14,MATCH(INDEX($AM$5:$AM$404,$AC677),อัตราค่าขนส่ง!$T$5:$T$14,0)),"รวมกลุ่ม "&amp;INDEX($AM$5:$AM$404,$AC677)),INDEX($AY$5:$AY$404,$AC677))))))</f>
        <v/>
      </c>
      <c r="B677" s="31" t="str">
        <f t="shared" si="247"/>
        <v/>
      </c>
      <c r="C677" s="8" t="str">
        <f t="shared" si="248"/>
        <v/>
      </c>
      <c r="D677" s="37" t="str">
        <f t="shared" si="249"/>
        <v/>
      </c>
      <c r="E677" s="31" t="str">
        <f t="shared" si="250"/>
        <v/>
      </c>
      <c r="F677" s="32" t="str">
        <f t="shared" si="251"/>
        <v/>
      </c>
      <c r="G677" s="32" t="str">
        <f t="shared" si="252"/>
        <v/>
      </c>
      <c r="H677" s="32" t="str">
        <f t="shared" si="253"/>
        <v/>
      </c>
      <c r="I677" s="32" t="str">
        <f t="shared" si="254"/>
        <v/>
      </c>
      <c r="J677" s="46" t="str">
        <f t="shared" si="255"/>
        <v/>
      </c>
      <c r="K677" s="32" t="str">
        <f t="shared" si="256"/>
        <v/>
      </c>
      <c r="L677" s="32" t="str">
        <f t="shared" si="257"/>
        <v/>
      </c>
      <c r="M677" s="32" t="str">
        <f t="shared" si="258"/>
        <v/>
      </c>
      <c r="N677" s="32" t="str">
        <f t="shared" si="259"/>
        <v/>
      </c>
      <c r="O677" s="32" t="str">
        <f t="shared" si="260"/>
        <v/>
      </c>
      <c r="AC677" t="str">
        <f>IFERROR(MATCH(673,$AB$5:$AB$404,1),"")</f>
        <v/>
      </c>
      <c r="AD677" t="str">
        <f>IF(673=$AI$1+1,"Z",IF($AC677="","",IF(INDEX($V$5:$V$404,$AC677)="","",IF(673&gt;INDEX($AB$5:$AB$404,$AC677)+INDEX($Z$5:$Z$404,$AC677)+INDEX($AA$5:$AA$404,$AC677)+INDEX($AO$5:$AO$404,$AC677),"",IF(673=INDEX($AB$5:$AB$404,$AC677)+INDEX($Z$5:$Z$404,$AC677),"D",IF(AND(INDEX($Z$5:$Z$404,$AC677)=1,673=INDEX($AB$5:$AB$404,$AC677)),"H",IF(AND(INDEX($AO$5:$AO$404,$AC677)=1,673=INDEX($AB$5:$AB$404,$AC677)+INDEX($Z$5:$Z$404,$AC677)+INDEX($AA$5:$AA$404,$AC677)+INDEX($AO$5:$AO$404,$AC677)),"B","T")))))))</f>
        <v/>
      </c>
      <c r="AF677" t="str">
        <f t="shared" si="261"/>
        <v/>
      </c>
      <c r="AJ677">
        <f>IF($AD677&lt;&gt;"T",0,ROUND(SUMIF(oil!$B$4:$B$63,$AF677,oil!$AE$4:$AE$63),2))</f>
        <v>0</v>
      </c>
      <c r="AQ677" t="str">
        <f t="shared" si="262"/>
        <v/>
      </c>
      <c r="AZ677">
        <f t="shared" si="263"/>
        <v>0</v>
      </c>
    </row>
    <row r="678" spans="1:52" ht="21" customHeight="1" x14ac:dyDescent="0.95">
      <c r="A678" s="36" t="str">
        <f>IF($AD678="","",IF($AD678="Z","รวมจ่ายทั้งสิ้น",IF($AD678="H",INDEX($X$5:$X$404,$AC678),IF($AD678="T","รวม",IF($AD678="B",IFERROR(INDEX(อัตราค่าขนส่ง!$U$5:$U$14,MATCH(INDEX($AM$5:$AM$404,$AC678),อัตราค่าขนส่ง!$T$5:$T$14,0)),"รวมกลุ่ม "&amp;INDEX($AM$5:$AM$404,$AC678)),INDEX($AY$5:$AY$404,$AC678))))))</f>
        <v/>
      </c>
      <c r="B678" s="31" t="str">
        <f t="shared" si="247"/>
        <v/>
      </c>
      <c r="C678" s="8" t="str">
        <f t="shared" si="248"/>
        <v/>
      </c>
      <c r="D678" s="37" t="str">
        <f t="shared" si="249"/>
        <v/>
      </c>
      <c r="E678" s="31" t="str">
        <f t="shared" si="250"/>
        <v/>
      </c>
      <c r="F678" s="32" t="str">
        <f t="shared" si="251"/>
        <v/>
      </c>
      <c r="G678" s="32" t="str">
        <f t="shared" si="252"/>
        <v/>
      </c>
      <c r="H678" s="32" t="str">
        <f t="shared" si="253"/>
        <v/>
      </c>
      <c r="I678" s="32" t="str">
        <f t="shared" si="254"/>
        <v/>
      </c>
      <c r="J678" s="46" t="str">
        <f t="shared" si="255"/>
        <v/>
      </c>
      <c r="K678" s="32" t="str">
        <f t="shared" si="256"/>
        <v/>
      </c>
      <c r="L678" s="32" t="str">
        <f t="shared" si="257"/>
        <v/>
      </c>
      <c r="M678" s="32" t="str">
        <f t="shared" si="258"/>
        <v/>
      </c>
      <c r="N678" s="32" t="str">
        <f t="shared" si="259"/>
        <v/>
      </c>
      <c r="O678" s="32" t="str">
        <f t="shared" si="260"/>
        <v/>
      </c>
      <c r="AC678" t="str">
        <f>IFERROR(MATCH(674,$AB$5:$AB$404,1),"")</f>
        <v/>
      </c>
      <c r="AD678" t="str">
        <f>IF(674=$AI$1+1,"Z",IF($AC678="","",IF(INDEX($V$5:$V$404,$AC678)="","",IF(674&gt;INDEX($AB$5:$AB$404,$AC678)+INDEX($Z$5:$Z$404,$AC678)+INDEX($AA$5:$AA$404,$AC678)+INDEX($AO$5:$AO$404,$AC678),"",IF(674=INDEX($AB$5:$AB$404,$AC678)+INDEX($Z$5:$Z$404,$AC678),"D",IF(AND(INDEX($Z$5:$Z$404,$AC678)=1,674=INDEX($AB$5:$AB$404,$AC678)),"H",IF(AND(INDEX($AO$5:$AO$404,$AC678)=1,674=INDEX($AB$5:$AB$404,$AC678)+INDEX($Z$5:$Z$404,$AC678)+INDEX($AA$5:$AA$404,$AC678)+INDEX($AO$5:$AO$404,$AC678)),"B","T")))))))</f>
        <v/>
      </c>
      <c r="AF678" t="str">
        <f t="shared" si="261"/>
        <v/>
      </c>
      <c r="AJ678">
        <f>IF($AD678&lt;&gt;"T",0,ROUND(SUMIF(oil!$B$4:$B$63,$AF678,oil!$AE$4:$AE$63),2))</f>
        <v>0</v>
      </c>
      <c r="AQ678" t="str">
        <f t="shared" si="262"/>
        <v/>
      </c>
      <c r="AZ678">
        <f t="shared" si="263"/>
        <v>0</v>
      </c>
    </row>
    <row r="679" spans="1:52" ht="21" customHeight="1" x14ac:dyDescent="0.95">
      <c r="A679" s="36" t="str">
        <f>IF($AD679="","",IF($AD679="Z","รวมจ่ายทั้งสิ้น",IF($AD679="H",INDEX($X$5:$X$404,$AC679),IF($AD679="T","รวม",IF($AD679="B",IFERROR(INDEX(อัตราค่าขนส่ง!$U$5:$U$14,MATCH(INDEX($AM$5:$AM$404,$AC679),อัตราค่าขนส่ง!$T$5:$T$14,0)),"รวมกลุ่ม "&amp;INDEX($AM$5:$AM$404,$AC679)),INDEX($AY$5:$AY$404,$AC679))))))</f>
        <v/>
      </c>
      <c r="B679" s="31" t="str">
        <f t="shared" si="247"/>
        <v/>
      </c>
      <c r="C679" s="8" t="str">
        <f t="shared" si="248"/>
        <v/>
      </c>
      <c r="D679" s="37" t="str">
        <f t="shared" si="249"/>
        <v/>
      </c>
      <c r="E679" s="31" t="str">
        <f t="shared" si="250"/>
        <v/>
      </c>
      <c r="F679" s="32" t="str">
        <f t="shared" si="251"/>
        <v/>
      </c>
      <c r="G679" s="32" t="str">
        <f t="shared" si="252"/>
        <v/>
      </c>
      <c r="H679" s="32" t="str">
        <f t="shared" si="253"/>
        <v/>
      </c>
      <c r="I679" s="32" t="str">
        <f t="shared" si="254"/>
        <v/>
      </c>
      <c r="J679" s="46" t="str">
        <f t="shared" si="255"/>
        <v/>
      </c>
      <c r="K679" s="32" t="str">
        <f t="shared" si="256"/>
        <v/>
      </c>
      <c r="L679" s="32" t="str">
        <f t="shared" si="257"/>
        <v/>
      </c>
      <c r="M679" s="32" t="str">
        <f t="shared" si="258"/>
        <v/>
      </c>
      <c r="N679" s="32" t="str">
        <f t="shared" si="259"/>
        <v/>
      </c>
      <c r="O679" s="32" t="str">
        <f t="shared" si="260"/>
        <v/>
      </c>
      <c r="AC679" t="str">
        <f>IFERROR(MATCH(675,$AB$5:$AB$404,1),"")</f>
        <v/>
      </c>
      <c r="AD679" t="str">
        <f>IF(675=$AI$1+1,"Z",IF($AC679="","",IF(INDEX($V$5:$V$404,$AC679)="","",IF(675&gt;INDEX($AB$5:$AB$404,$AC679)+INDEX($Z$5:$Z$404,$AC679)+INDEX($AA$5:$AA$404,$AC679)+INDEX($AO$5:$AO$404,$AC679),"",IF(675=INDEX($AB$5:$AB$404,$AC679)+INDEX($Z$5:$Z$404,$AC679),"D",IF(AND(INDEX($Z$5:$Z$404,$AC679)=1,675=INDEX($AB$5:$AB$404,$AC679)),"H",IF(AND(INDEX($AO$5:$AO$404,$AC679)=1,675=INDEX($AB$5:$AB$404,$AC679)+INDEX($Z$5:$Z$404,$AC679)+INDEX($AA$5:$AA$404,$AC679)+INDEX($AO$5:$AO$404,$AC679)),"B","T")))))))</f>
        <v/>
      </c>
      <c r="AF679" t="str">
        <f t="shared" si="261"/>
        <v/>
      </c>
      <c r="AJ679">
        <f>IF($AD679&lt;&gt;"T",0,ROUND(SUMIF(oil!$B$4:$B$63,$AF679,oil!$AE$4:$AE$63),2))</f>
        <v>0</v>
      </c>
      <c r="AQ679" t="str">
        <f t="shared" si="262"/>
        <v/>
      </c>
      <c r="AZ679">
        <f t="shared" si="263"/>
        <v>0</v>
      </c>
    </row>
    <row r="680" spans="1:52" ht="21" customHeight="1" x14ac:dyDescent="0.95">
      <c r="A680" s="36" t="str">
        <f>IF($AD680="","",IF($AD680="Z","รวมจ่ายทั้งสิ้น",IF($AD680="H",INDEX($X$5:$X$404,$AC680),IF($AD680="T","รวม",IF($AD680="B",IFERROR(INDEX(อัตราค่าขนส่ง!$U$5:$U$14,MATCH(INDEX($AM$5:$AM$404,$AC680),อัตราค่าขนส่ง!$T$5:$T$14,0)),"รวมกลุ่ม "&amp;INDEX($AM$5:$AM$404,$AC680)),INDEX($AY$5:$AY$404,$AC680))))))</f>
        <v/>
      </c>
      <c r="B680" s="31" t="str">
        <f t="shared" si="247"/>
        <v/>
      </c>
      <c r="C680" s="8" t="str">
        <f t="shared" si="248"/>
        <v/>
      </c>
      <c r="D680" s="37" t="str">
        <f t="shared" si="249"/>
        <v/>
      </c>
      <c r="E680" s="31" t="str">
        <f t="shared" si="250"/>
        <v/>
      </c>
      <c r="F680" s="32" t="str">
        <f t="shared" si="251"/>
        <v/>
      </c>
      <c r="G680" s="32" t="str">
        <f t="shared" si="252"/>
        <v/>
      </c>
      <c r="H680" s="32" t="str">
        <f t="shared" si="253"/>
        <v/>
      </c>
      <c r="I680" s="32" t="str">
        <f t="shared" si="254"/>
        <v/>
      </c>
      <c r="J680" s="46" t="str">
        <f t="shared" si="255"/>
        <v/>
      </c>
      <c r="K680" s="32" t="str">
        <f t="shared" si="256"/>
        <v/>
      </c>
      <c r="L680" s="32" t="str">
        <f t="shared" si="257"/>
        <v/>
      </c>
      <c r="M680" s="32" t="str">
        <f t="shared" si="258"/>
        <v/>
      </c>
      <c r="N680" s="32" t="str">
        <f t="shared" si="259"/>
        <v/>
      </c>
      <c r="O680" s="32" t="str">
        <f t="shared" si="260"/>
        <v/>
      </c>
      <c r="AC680" t="str">
        <f>IFERROR(MATCH(676,$AB$5:$AB$404,1),"")</f>
        <v/>
      </c>
      <c r="AD680" t="str">
        <f>IF(676=$AI$1+1,"Z",IF($AC680="","",IF(INDEX($V$5:$V$404,$AC680)="","",IF(676&gt;INDEX($AB$5:$AB$404,$AC680)+INDEX($Z$5:$Z$404,$AC680)+INDEX($AA$5:$AA$404,$AC680)+INDEX($AO$5:$AO$404,$AC680),"",IF(676=INDEX($AB$5:$AB$404,$AC680)+INDEX($Z$5:$Z$404,$AC680),"D",IF(AND(INDEX($Z$5:$Z$404,$AC680)=1,676=INDEX($AB$5:$AB$404,$AC680)),"H",IF(AND(INDEX($AO$5:$AO$404,$AC680)=1,676=INDEX($AB$5:$AB$404,$AC680)+INDEX($Z$5:$Z$404,$AC680)+INDEX($AA$5:$AA$404,$AC680)+INDEX($AO$5:$AO$404,$AC680)),"B","T")))))))</f>
        <v/>
      </c>
      <c r="AF680" t="str">
        <f t="shared" si="261"/>
        <v/>
      </c>
      <c r="AJ680">
        <f>IF($AD680&lt;&gt;"T",0,ROUND(SUMIF(oil!$B$4:$B$63,$AF680,oil!$AE$4:$AE$63),2))</f>
        <v>0</v>
      </c>
      <c r="AQ680" t="str">
        <f t="shared" si="262"/>
        <v/>
      </c>
      <c r="AZ680">
        <f t="shared" si="263"/>
        <v>0</v>
      </c>
    </row>
    <row r="681" spans="1:52" ht="21" customHeight="1" x14ac:dyDescent="0.95">
      <c r="A681" s="36" t="str">
        <f>IF($AD681="","",IF($AD681="Z","รวมจ่ายทั้งสิ้น",IF($AD681="H",INDEX($X$5:$X$404,$AC681),IF($AD681="T","รวม",IF($AD681="B",IFERROR(INDEX(อัตราค่าขนส่ง!$U$5:$U$14,MATCH(INDEX($AM$5:$AM$404,$AC681),อัตราค่าขนส่ง!$T$5:$T$14,0)),"รวมกลุ่ม "&amp;INDEX($AM$5:$AM$404,$AC681)),INDEX($AY$5:$AY$404,$AC681))))))</f>
        <v/>
      </c>
      <c r="B681" s="31" t="str">
        <f t="shared" si="247"/>
        <v/>
      </c>
      <c r="C681" s="8" t="str">
        <f t="shared" si="248"/>
        <v/>
      </c>
      <c r="D681" s="37" t="str">
        <f t="shared" si="249"/>
        <v/>
      </c>
      <c r="E681" s="31" t="str">
        <f t="shared" si="250"/>
        <v/>
      </c>
      <c r="F681" s="32" t="str">
        <f t="shared" si="251"/>
        <v/>
      </c>
      <c r="G681" s="32" t="str">
        <f t="shared" si="252"/>
        <v/>
      </c>
      <c r="H681" s="32" t="str">
        <f t="shared" si="253"/>
        <v/>
      </c>
      <c r="I681" s="32" t="str">
        <f t="shared" si="254"/>
        <v/>
      </c>
      <c r="J681" s="46" t="str">
        <f t="shared" si="255"/>
        <v/>
      </c>
      <c r="K681" s="32" t="str">
        <f t="shared" si="256"/>
        <v/>
      </c>
      <c r="L681" s="32" t="str">
        <f t="shared" si="257"/>
        <v/>
      </c>
      <c r="M681" s="32" t="str">
        <f t="shared" si="258"/>
        <v/>
      </c>
      <c r="N681" s="32" t="str">
        <f t="shared" si="259"/>
        <v/>
      </c>
      <c r="O681" s="32" t="str">
        <f t="shared" si="260"/>
        <v/>
      </c>
      <c r="AC681" t="str">
        <f>IFERROR(MATCH(677,$AB$5:$AB$404,1),"")</f>
        <v/>
      </c>
      <c r="AD681" t="str">
        <f>IF(677=$AI$1+1,"Z",IF($AC681="","",IF(INDEX($V$5:$V$404,$AC681)="","",IF(677&gt;INDEX($AB$5:$AB$404,$AC681)+INDEX($Z$5:$Z$404,$AC681)+INDEX($AA$5:$AA$404,$AC681)+INDEX($AO$5:$AO$404,$AC681),"",IF(677=INDEX($AB$5:$AB$404,$AC681)+INDEX($Z$5:$Z$404,$AC681),"D",IF(AND(INDEX($Z$5:$Z$404,$AC681)=1,677=INDEX($AB$5:$AB$404,$AC681)),"H",IF(AND(INDEX($AO$5:$AO$404,$AC681)=1,677=INDEX($AB$5:$AB$404,$AC681)+INDEX($Z$5:$Z$404,$AC681)+INDEX($AA$5:$AA$404,$AC681)+INDEX($AO$5:$AO$404,$AC681)),"B","T")))))))</f>
        <v/>
      </c>
      <c r="AF681" t="str">
        <f t="shared" si="261"/>
        <v/>
      </c>
      <c r="AJ681">
        <f>IF($AD681&lt;&gt;"T",0,ROUND(SUMIF(oil!$B$4:$B$63,$AF681,oil!$AE$4:$AE$63),2))</f>
        <v>0</v>
      </c>
      <c r="AQ681" t="str">
        <f t="shared" si="262"/>
        <v/>
      </c>
      <c r="AZ681">
        <f t="shared" si="263"/>
        <v>0</v>
      </c>
    </row>
    <row r="682" spans="1:52" ht="21" customHeight="1" x14ac:dyDescent="0.95">
      <c r="A682" s="36" t="str">
        <f>IF($AD682="","",IF($AD682="Z","รวมจ่ายทั้งสิ้น",IF($AD682="H",INDEX($X$5:$X$404,$AC682),IF($AD682="T","รวม",IF($AD682="B",IFERROR(INDEX(อัตราค่าขนส่ง!$U$5:$U$14,MATCH(INDEX($AM$5:$AM$404,$AC682),อัตราค่าขนส่ง!$T$5:$T$14,0)),"รวมกลุ่ม "&amp;INDEX($AM$5:$AM$404,$AC682)),INDEX($AY$5:$AY$404,$AC682))))))</f>
        <v/>
      </c>
      <c r="B682" s="31" t="str">
        <f t="shared" si="247"/>
        <v/>
      </c>
      <c r="C682" s="8" t="str">
        <f t="shared" si="248"/>
        <v/>
      </c>
      <c r="D682" s="37" t="str">
        <f t="shared" si="249"/>
        <v/>
      </c>
      <c r="E682" s="31" t="str">
        <f t="shared" si="250"/>
        <v/>
      </c>
      <c r="F682" s="32" t="str">
        <f t="shared" si="251"/>
        <v/>
      </c>
      <c r="G682" s="32" t="str">
        <f t="shared" si="252"/>
        <v/>
      </c>
      <c r="H682" s="32" t="str">
        <f t="shared" si="253"/>
        <v/>
      </c>
      <c r="I682" s="32" t="str">
        <f t="shared" si="254"/>
        <v/>
      </c>
      <c r="J682" s="46" t="str">
        <f t="shared" si="255"/>
        <v/>
      </c>
      <c r="K682" s="32" t="str">
        <f t="shared" si="256"/>
        <v/>
      </c>
      <c r="L682" s="32" t="str">
        <f t="shared" si="257"/>
        <v/>
      </c>
      <c r="M682" s="32" t="str">
        <f t="shared" si="258"/>
        <v/>
      </c>
      <c r="N682" s="32" t="str">
        <f t="shared" si="259"/>
        <v/>
      </c>
      <c r="O682" s="32" t="str">
        <f t="shared" si="260"/>
        <v/>
      </c>
      <c r="AC682" t="str">
        <f>IFERROR(MATCH(678,$AB$5:$AB$404,1),"")</f>
        <v/>
      </c>
      <c r="AD682" t="str">
        <f>IF(678=$AI$1+1,"Z",IF($AC682="","",IF(INDEX($V$5:$V$404,$AC682)="","",IF(678&gt;INDEX($AB$5:$AB$404,$AC682)+INDEX($Z$5:$Z$404,$AC682)+INDEX($AA$5:$AA$404,$AC682)+INDEX($AO$5:$AO$404,$AC682),"",IF(678=INDEX($AB$5:$AB$404,$AC682)+INDEX($Z$5:$Z$404,$AC682),"D",IF(AND(INDEX($Z$5:$Z$404,$AC682)=1,678=INDEX($AB$5:$AB$404,$AC682)),"H",IF(AND(INDEX($AO$5:$AO$404,$AC682)=1,678=INDEX($AB$5:$AB$404,$AC682)+INDEX($Z$5:$Z$404,$AC682)+INDEX($AA$5:$AA$404,$AC682)+INDEX($AO$5:$AO$404,$AC682)),"B","T")))))))</f>
        <v/>
      </c>
      <c r="AF682" t="str">
        <f t="shared" si="261"/>
        <v/>
      </c>
      <c r="AJ682">
        <f>IF($AD682&lt;&gt;"T",0,ROUND(SUMIF(oil!$B$4:$B$63,$AF682,oil!$AE$4:$AE$63),2))</f>
        <v>0</v>
      </c>
      <c r="AQ682" t="str">
        <f t="shared" si="262"/>
        <v/>
      </c>
      <c r="AZ682">
        <f t="shared" si="263"/>
        <v>0</v>
      </c>
    </row>
    <row r="683" spans="1:52" ht="21" customHeight="1" x14ac:dyDescent="0.95">
      <c r="A683" s="36" t="str">
        <f>IF($AD683="","",IF($AD683="Z","รวมจ่ายทั้งสิ้น",IF($AD683="H",INDEX($X$5:$X$404,$AC683),IF($AD683="T","รวม",IF($AD683="B",IFERROR(INDEX(อัตราค่าขนส่ง!$U$5:$U$14,MATCH(INDEX($AM$5:$AM$404,$AC683),อัตราค่าขนส่ง!$T$5:$T$14,0)),"รวมกลุ่ม "&amp;INDEX($AM$5:$AM$404,$AC683)),INDEX($AY$5:$AY$404,$AC683))))))</f>
        <v/>
      </c>
      <c r="B683" s="31" t="str">
        <f t="shared" si="247"/>
        <v/>
      </c>
      <c r="C683" s="8" t="str">
        <f t="shared" si="248"/>
        <v/>
      </c>
      <c r="D683" s="37" t="str">
        <f t="shared" si="249"/>
        <v/>
      </c>
      <c r="E683" s="31" t="str">
        <f t="shared" si="250"/>
        <v/>
      </c>
      <c r="F683" s="32" t="str">
        <f t="shared" si="251"/>
        <v/>
      </c>
      <c r="G683" s="32" t="str">
        <f t="shared" si="252"/>
        <v/>
      </c>
      <c r="H683" s="32" t="str">
        <f t="shared" si="253"/>
        <v/>
      </c>
      <c r="I683" s="32" t="str">
        <f t="shared" si="254"/>
        <v/>
      </c>
      <c r="J683" s="46" t="str">
        <f t="shared" si="255"/>
        <v/>
      </c>
      <c r="K683" s="32" t="str">
        <f t="shared" si="256"/>
        <v/>
      </c>
      <c r="L683" s="32" t="str">
        <f t="shared" si="257"/>
        <v/>
      </c>
      <c r="M683" s="32" t="str">
        <f t="shared" si="258"/>
        <v/>
      </c>
      <c r="N683" s="32" t="str">
        <f t="shared" si="259"/>
        <v/>
      </c>
      <c r="O683" s="32" t="str">
        <f t="shared" si="260"/>
        <v/>
      </c>
      <c r="AC683" t="str">
        <f>IFERROR(MATCH(679,$AB$5:$AB$404,1),"")</f>
        <v/>
      </c>
      <c r="AD683" t="str">
        <f>IF(679=$AI$1+1,"Z",IF($AC683="","",IF(INDEX($V$5:$V$404,$AC683)="","",IF(679&gt;INDEX($AB$5:$AB$404,$AC683)+INDEX($Z$5:$Z$404,$AC683)+INDEX($AA$5:$AA$404,$AC683)+INDEX($AO$5:$AO$404,$AC683),"",IF(679=INDEX($AB$5:$AB$404,$AC683)+INDEX($Z$5:$Z$404,$AC683),"D",IF(AND(INDEX($Z$5:$Z$404,$AC683)=1,679=INDEX($AB$5:$AB$404,$AC683)),"H",IF(AND(INDEX($AO$5:$AO$404,$AC683)=1,679=INDEX($AB$5:$AB$404,$AC683)+INDEX($Z$5:$Z$404,$AC683)+INDEX($AA$5:$AA$404,$AC683)+INDEX($AO$5:$AO$404,$AC683)),"B","T")))))))</f>
        <v/>
      </c>
      <c r="AF683" t="str">
        <f t="shared" si="261"/>
        <v/>
      </c>
      <c r="AJ683">
        <f>IF($AD683&lt;&gt;"T",0,ROUND(SUMIF(oil!$B$4:$B$63,$AF683,oil!$AE$4:$AE$63),2))</f>
        <v>0</v>
      </c>
      <c r="AQ683" t="str">
        <f t="shared" si="262"/>
        <v/>
      </c>
      <c r="AZ683">
        <f t="shared" si="263"/>
        <v>0</v>
      </c>
    </row>
    <row r="684" spans="1:52" ht="21" customHeight="1" x14ac:dyDescent="0.95">
      <c r="A684" s="36" t="str">
        <f>IF($AD684="","",IF($AD684="Z","รวมจ่ายทั้งสิ้น",IF($AD684="H",INDEX($X$5:$X$404,$AC684),IF($AD684="T","รวม",IF($AD684="B",IFERROR(INDEX(อัตราค่าขนส่ง!$U$5:$U$14,MATCH(INDEX($AM$5:$AM$404,$AC684),อัตราค่าขนส่ง!$T$5:$T$14,0)),"รวมกลุ่ม "&amp;INDEX($AM$5:$AM$404,$AC684)),INDEX($AY$5:$AY$404,$AC684))))))</f>
        <v/>
      </c>
      <c r="B684" s="31" t="str">
        <f t="shared" si="247"/>
        <v/>
      </c>
      <c r="C684" s="8" t="str">
        <f t="shared" si="248"/>
        <v/>
      </c>
      <c r="D684" s="37" t="str">
        <f t="shared" si="249"/>
        <v/>
      </c>
      <c r="E684" s="31" t="str">
        <f t="shared" si="250"/>
        <v/>
      </c>
      <c r="F684" s="32" t="str">
        <f t="shared" si="251"/>
        <v/>
      </c>
      <c r="G684" s="32" t="str">
        <f t="shared" si="252"/>
        <v/>
      </c>
      <c r="H684" s="32" t="str">
        <f t="shared" si="253"/>
        <v/>
      </c>
      <c r="I684" s="32" t="str">
        <f t="shared" si="254"/>
        <v/>
      </c>
      <c r="J684" s="46" t="str">
        <f t="shared" si="255"/>
        <v/>
      </c>
      <c r="K684" s="32" t="str">
        <f t="shared" si="256"/>
        <v/>
      </c>
      <c r="L684" s="32" t="str">
        <f t="shared" si="257"/>
        <v/>
      </c>
      <c r="M684" s="32" t="str">
        <f t="shared" si="258"/>
        <v/>
      </c>
      <c r="N684" s="32" t="str">
        <f t="shared" si="259"/>
        <v/>
      </c>
      <c r="O684" s="32" t="str">
        <f t="shared" si="260"/>
        <v/>
      </c>
      <c r="AC684" t="str">
        <f>IFERROR(MATCH(680,$AB$5:$AB$404,1),"")</f>
        <v/>
      </c>
      <c r="AD684" t="str">
        <f>IF(680=$AI$1+1,"Z",IF($AC684="","",IF(INDEX($V$5:$V$404,$AC684)="","",IF(680&gt;INDEX($AB$5:$AB$404,$AC684)+INDEX($Z$5:$Z$404,$AC684)+INDEX($AA$5:$AA$404,$AC684)+INDEX($AO$5:$AO$404,$AC684),"",IF(680=INDEX($AB$5:$AB$404,$AC684)+INDEX($Z$5:$Z$404,$AC684),"D",IF(AND(INDEX($Z$5:$Z$404,$AC684)=1,680=INDEX($AB$5:$AB$404,$AC684)),"H",IF(AND(INDEX($AO$5:$AO$404,$AC684)=1,680=INDEX($AB$5:$AB$404,$AC684)+INDEX($Z$5:$Z$404,$AC684)+INDEX($AA$5:$AA$404,$AC684)+INDEX($AO$5:$AO$404,$AC684)),"B","T")))))))</f>
        <v/>
      </c>
      <c r="AF684" t="str">
        <f t="shared" si="261"/>
        <v/>
      </c>
      <c r="AJ684">
        <f>IF($AD684&lt;&gt;"T",0,ROUND(SUMIF(oil!$B$4:$B$63,$AF684,oil!$AE$4:$AE$63),2))</f>
        <v>0</v>
      </c>
      <c r="AQ684" t="str">
        <f t="shared" si="262"/>
        <v/>
      </c>
      <c r="AZ684">
        <f t="shared" si="263"/>
        <v>0</v>
      </c>
    </row>
    <row r="685" spans="1:52" ht="21" customHeight="1" x14ac:dyDescent="0.95">
      <c r="A685" s="36" t="str">
        <f>IF($AD685="","",IF($AD685="Z","รวมจ่ายทั้งสิ้น",IF($AD685="H",INDEX($X$5:$X$404,$AC685),IF($AD685="T","รวม",IF($AD685="B",IFERROR(INDEX(อัตราค่าขนส่ง!$U$5:$U$14,MATCH(INDEX($AM$5:$AM$404,$AC685),อัตราค่าขนส่ง!$T$5:$T$14,0)),"รวมกลุ่ม "&amp;INDEX($AM$5:$AM$404,$AC685)),INDEX($AY$5:$AY$404,$AC685))))))</f>
        <v/>
      </c>
      <c r="B685" s="31" t="str">
        <f t="shared" si="247"/>
        <v/>
      </c>
      <c r="C685" s="8" t="str">
        <f t="shared" si="248"/>
        <v/>
      </c>
      <c r="D685" s="37" t="str">
        <f t="shared" si="249"/>
        <v/>
      </c>
      <c r="E685" s="31" t="str">
        <f t="shared" si="250"/>
        <v/>
      </c>
      <c r="F685" s="32" t="str">
        <f t="shared" si="251"/>
        <v/>
      </c>
      <c r="G685" s="32" t="str">
        <f t="shared" si="252"/>
        <v/>
      </c>
      <c r="H685" s="32" t="str">
        <f t="shared" si="253"/>
        <v/>
      </c>
      <c r="I685" s="32" t="str">
        <f t="shared" si="254"/>
        <v/>
      </c>
      <c r="J685" s="46" t="str">
        <f t="shared" si="255"/>
        <v/>
      </c>
      <c r="K685" s="32" t="str">
        <f t="shared" si="256"/>
        <v/>
      </c>
      <c r="L685" s="32" t="str">
        <f t="shared" si="257"/>
        <v/>
      </c>
      <c r="M685" s="32" t="str">
        <f t="shared" si="258"/>
        <v/>
      </c>
      <c r="N685" s="32" t="str">
        <f t="shared" si="259"/>
        <v/>
      </c>
      <c r="O685" s="32" t="str">
        <f t="shared" si="260"/>
        <v/>
      </c>
      <c r="AC685" t="str">
        <f>IFERROR(MATCH(681,$AB$5:$AB$404,1),"")</f>
        <v/>
      </c>
      <c r="AD685" t="str">
        <f>IF(681=$AI$1+1,"Z",IF($AC685="","",IF(INDEX($V$5:$V$404,$AC685)="","",IF(681&gt;INDEX($AB$5:$AB$404,$AC685)+INDEX($Z$5:$Z$404,$AC685)+INDEX($AA$5:$AA$404,$AC685)+INDEX($AO$5:$AO$404,$AC685),"",IF(681=INDEX($AB$5:$AB$404,$AC685)+INDEX($Z$5:$Z$404,$AC685),"D",IF(AND(INDEX($Z$5:$Z$404,$AC685)=1,681=INDEX($AB$5:$AB$404,$AC685)),"H",IF(AND(INDEX($AO$5:$AO$404,$AC685)=1,681=INDEX($AB$5:$AB$404,$AC685)+INDEX($Z$5:$Z$404,$AC685)+INDEX($AA$5:$AA$404,$AC685)+INDEX($AO$5:$AO$404,$AC685)),"B","T")))))))</f>
        <v/>
      </c>
      <c r="AF685" t="str">
        <f t="shared" si="261"/>
        <v/>
      </c>
      <c r="AJ685">
        <f>IF($AD685&lt;&gt;"T",0,ROUND(SUMIF(oil!$B$4:$B$63,$AF685,oil!$AE$4:$AE$63),2))</f>
        <v>0</v>
      </c>
      <c r="AQ685" t="str">
        <f t="shared" si="262"/>
        <v/>
      </c>
      <c r="AZ685">
        <f t="shared" si="263"/>
        <v>0</v>
      </c>
    </row>
    <row r="686" spans="1:52" ht="21" customHeight="1" x14ac:dyDescent="0.95">
      <c r="A686" s="36" t="str">
        <f>IF($AD686="","",IF($AD686="Z","รวมจ่ายทั้งสิ้น",IF($AD686="H",INDEX($X$5:$X$404,$AC686),IF($AD686="T","รวม",IF($AD686="B",IFERROR(INDEX(อัตราค่าขนส่ง!$U$5:$U$14,MATCH(INDEX($AM$5:$AM$404,$AC686),อัตราค่าขนส่ง!$T$5:$T$14,0)),"รวมกลุ่ม "&amp;INDEX($AM$5:$AM$404,$AC686)),INDEX($AY$5:$AY$404,$AC686))))))</f>
        <v/>
      </c>
      <c r="B686" s="31" t="str">
        <f t="shared" si="247"/>
        <v/>
      </c>
      <c r="C686" s="8" t="str">
        <f t="shared" si="248"/>
        <v/>
      </c>
      <c r="D686" s="37" t="str">
        <f t="shared" si="249"/>
        <v/>
      </c>
      <c r="E686" s="31" t="str">
        <f t="shared" si="250"/>
        <v/>
      </c>
      <c r="F686" s="32" t="str">
        <f t="shared" si="251"/>
        <v/>
      </c>
      <c r="G686" s="32" t="str">
        <f t="shared" si="252"/>
        <v/>
      </c>
      <c r="H686" s="32" t="str">
        <f t="shared" si="253"/>
        <v/>
      </c>
      <c r="I686" s="32" t="str">
        <f t="shared" si="254"/>
        <v/>
      </c>
      <c r="J686" s="46" t="str">
        <f t="shared" si="255"/>
        <v/>
      </c>
      <c r="K686" s="32" t="str">
        <f t="shared" si="256"/>
        <v/>
      </c>
      <c r="L686" s="32" t="str">
        <f t="shared" si="257"/>
        <v/>
      </c>
      <c r="M686" s="32" t="str">
        <f t="shared" si="258"/>
        <v/>
      </c>
      <c r="N686" s="32" t="str">
        <f t="shared" si="259"/>
        <v/>
      </c>
      <c r="O686" s="32" t="str">
        <f t="shared" si="260"/>
        <v/>
      </c>
      <c r="AC686" t="str">
        <f>IFERROR(MATCH(682,$AB$5:$AB$404,1),"")</f>
        <v/>
      </c>
      <c r="AD686" t="str">
        <f>IF(682=$AI$1+1,"Z",IF($AC686="","",IF(INDEX($V$5:$V$404,$AC686)="","",IF(682&gt;INDEX($AB$5:$AB$404,$AC686)+INDEX($Z$5:$Z$404,$AC686)+INDEX($AA$5:$AA$404,$AC686)+INDEX($AO$5:$AO$404,$AC686),"",IF(682=INDEX($AB$5:$AB$404,$AC686)+INDEX($Z$5:$Z$404,$AC686),"D",IF(AND(INDEX($Z$5:$Z$404,$AC686)=1,682=INDEX($AB$5:$AB$404,$AC686)),"H",IF(AND(INDEX($AO$5:$AO$404,$AC686)=1,682=INDEX($AB$5:$AB$404,$AC686)+INDEX($Z$5:$Z$404,$AC686)+INDEX($AA$5:$AA$404,$AC686)+INDEX($AO$5:$AO$404,$AC686)),"B","T")))))))</f>
        <v/>
      </c>
      <c r="AF686" t="str">
        <f t="shared" si="261"/>
        <v/>
      </c>
      <c r="AJ686">
        <f>IF($AD686&lt;&gt;"T",0,ROUND(SUMIF(oil!$B$4:$B$63,$AF686,oil!$AE$4:$AE$63),2))</f>
        <v>0</v>
      </c>
      <c r="AQ686" t="str">
        <f t="shared" si="262"/>
        <v/>
      </c>
      <c r="AZ686">
        <f t="shared" si="263"/>
        <v>0</v>
      </c>
    </row>
    <row r="687" spans="1:52" ht="21" customHeight="1" x14ac:dyDescent="0.95">
      <c r="A687" s="36" t="str">
        <f>IF($AD687="","",IF($AD687="Z","รวมจ่ายทั้งสิ้น",IF($AD687="H",INDEX($X$5:$X$404,$AC687),IF($AD687="T","รวม",IF($AD687="B",IFERROR(INDEX(อัตราค่าขนส่ง!$U$5:$U$14,MATCH(INDEX($AM$5:$AM$404,$AC687),อัตราค่าขนส่ง!$T$5:$T$14,0)),"รวมกลุ่ม "&amp;INDEX($AM$5:$AM$404,$AC687)),INDEX($AY$5:$AY$404,$AC687))))))</f>
        <v/>
      </c>
      <c r="B687" s="31" t="str">
        <f t="shared" si="247"/>
        <v/>
      </c>
      <c r="C687" s="8" t="str">
        <f t="shared" si="248"/>
        <v/>
      </c>
      <c r="D687" s="37" t="str">
        <f t="shared" si="249"/>
        <v/>
      </c>
      <c r="E687" s="31" t="str">
        <f t="shared" si="250"/>
        <v/>
      </c>
      <c r="F687" s="32" t="str">
        <f t="shared" si="251"/>
        <v/>
      </c>
      <c r="G687" s="32" t="str">
        <f t="shared" si="252"/>
        <v/>
      </c>
      <c r="H687" s="32" t="str">
        <f t="shared" si="253"/>
        <v/>
      </c>
      <c r="I687" s="32" t="str">
        <f t="shared" si="254"/>
        <v/>
      </c>
      <c r="J687" s="46" t="str">
        <f t="shared" si="255"/>
        <v/>
      </c>
      <c r="K687" s="32" t="str">
        <f t="shared" si="256"/>
        <v/>
      </c>
      <c r="L687" s="32" t="str">
        <f t="shared" si="257"/>
        <v/>
      </c>
      <c r="M687" s="32" t="str">
        <f t="shared" si="258"/>
        <v/>
      </c>
      <c r="N687" s="32" t="str">
        <f t="shared" si="259"/>
        <v/>
      </c>
      <c r="O687" s="32" t="str">
        <f t="shared" si="260"/>
        <v/>
      </c>
      <c r="AC687" t="str">
        <f>IFERROR(MATCH(683,$AB$5:$AB$404,1),"")</f>
        <v/>
      </c>
      <c r="AD687" t="str">
        <f>IF(683=$AI$1+1,"Z",IF($AC687="","",IF(INDEX($V$5:$V$404,$AC687)="","",IF(683&gt;INDEX($AB$5:$AB$404,$AC687)+INDEX($Z$5:$Z$404,$AC687)+INDEX($AA$5:$AA$404,$AC687)+INDEX($AO$5:$AO$404,$AC687),"",IF(683=INDEX($AB$5:$AB$404,$AC687)+INDEX($Z$5:$Z$404,$AC687),"D",IF(AND(INDEX($Z$5:$Z$404,$AC687)=1,683=INDEX($AB$5:$AB$404,$AC687)),"H",IF(AND(INDEX($AO$5:$AO$404,$AC687)=1,683=INDEX($AB$5:$AB$404,$AC687)+INDEX($Z$5:$Z$404,$AC687)+INDEX($AA$5:$AA$404,$AC687)+INDEX($AO$5:$AO$404,$AC687)),"B","T")))))))</f>
        <v/>
      </c>
      <c r="AF687" t="str">
        <f t="shared" si="261"/>
        <v/>
      </c>
      <c r="AJ687">
        <f>IF($AD687&lt;&gt;"T",0,ROUND(SUMIF(oil!$B$4:$B$63,$AF687,oil!$AE$4:$AE$63),2))</f>
        <v>0</v>
      </c>
      <c r="AQ687" t="str">
        <f t="shared" si="262"/>
        <v/>
      </c>
      <c r="AZ687">
        <f t="shared" si="263"/>
        <v>0</v>
      </c>
    </row>
    <row r="688" spans="1:52" ht="21" customHeight="1" x14ac:dyDescent="0.95">
      <c r="A688" s="36" t="str">
        <f>IF($AD688="","",IF($AD688="Z","รวมจ่ายทั้งสิ้น",IF($AD688="H",INDEX($X$5:$X$404,$AC688),IF($AD688="T","รวม",IF($AD688="B",IFERROR(INDEX(อัตราค่าขนส่ง!$U$5:$U$14,MATCH(INDEX($AM$5:$AM$404,$AC688),อัตราค่าขนส่ง!$T$5:$T$14,0)),"รวมกลุ่ม "&amp;INDEX($AM$5:$AM$404,$AC688)),INDEX($AY$5:$AY$404,$AC688))))))</f>
        <v/>
      </c>
      <c r="B688" s="31" t="str">
        <f t="shared" si="247"/>
        <v/>
      </c>
      <c r="C688" s="8" t="str">
        <f t="shared" si="248"/>
        <v/>
      </c>
      <c r="D688" s="37" t="str">
        <f t="shared" si="249"/>
        <v/>
      </c>
      <c r="E688" s="31" t="str">
        <f t="shared" si="250"/>
        <v/>
      </c>
      <c r="F688" s="32" t="str">
        <f t="shared" si="251"/>
        <v/>
      </c>
      <c r="G688" s="32" t="str">
        <f t="shared" si="252"/>
        <v/>
      </c>
      <c r="H688" s="32" t="str">
        <f t="shared" si="253"/>
        <v/>
      </c>
      <c r="I688" s="32" t="str">
        <f t="shared" si="254"/>
        <v/>
      </c>
      <c r="J688" s="46" t="str">
        <f t="shared" si="255"/>
        <v/>
      </c>
      <c r="K688" s="32" t="str">
        <f t="shared" si="256"/>
        <v/>
      </c>
      <c r="L688" s="32" t="str">
        <f t="shared" si="257"/>
        <v/>
      </c>
      <c r="M688" s="32" t="str">
        <f t="shared" si="258"/>
        <v/>
      </c>
      <c r="N688" s="32" t="str">
        <f t="shared" si="259"/>
        <v/>
      </c>
      <c r="O688" s="32" t="str">
        <f t="shared" si="260"/>
        <v/>
      </c>
      <c r="AC688" t="str">
        <f>IFERROR(MATCH(684,$AB$5:$AB$404,1),"")</f>
        <v/>
      </c>
      <c r="AD688" t="str">
        <f>IF(684=$AI$1+1,"Z",IF($AC688="","",IF(INDEX($V$5:$V$404,$AC688)="","",IF(684&gt;INDEX($AB$5:$AB$404,$AC688)+INDEX($Z$5:$Z$404,$AC688)+INDEX($AA$5:$AA$404,$AC688)+INDEX($AO$5:$AO$404,$AC688),"",IF(684=INDEX($AB$5:$AB$404,$AC688)+INDEX($Z$5:$Z$404,$AC688),"D",IF(AND(INDEX($Z$5:$Z$404,$AC688)=1,684=INDEX($AB$5:$AB$404,$AC688)),"H",IF(AND(INDEX($AO$5:$AO$404,$AC688)=1,684=INDEX($AB$5:$AB$404,$AC688)+INDEX($Z$5:$Z$404,$AC688)+INDEX($AA$5:$AA$404,$AC688)+INDEX($AO$5:$AO$404,$AC688)),"B","T")))))))</f>
        <v/>
      </c>
      <c r="AF688" t="str">
        <f t="shared" si="261"/>
        <v/>
      </c>
      <c r="AJ688">
        <f>IF($AD688&lt;&gt;"T",0,ROUND(SUMIF(oil!$B$4:$B$63,$AF688,oil!$AE$4:$AE$63),2))</f>
        <v>0</v>
      </c>
      <c r="AQ688" t="str">
        <f t="shared" si="262"/>
        <v/>
      </c>
      <c r="AZ688">
        <f t="shared" si="263"/>
        <v>0</v>
      </c>
    </row>
    <row r="689" spans="1:52" ht="21" customHeight="1" x14ac:dyDescent="0.95">
      <c r="A689" s="36" t="str">
        <f>IF($AD689="","",IF($AD689="Z","รวมจ่ายทั้งสิ้น",IF($AD689="H",INDEX($X$5:$X$404,$AC689),IF($AD689="T","รวม",IF($AD689="B",IFERROR(INDEX(อัตราค่าขนส่ง!$U$5:$U$14,MATCH(INDEX($AM$5:$AM$404,$AC689),อัตราค่าขนส่ง!$T$5:$T$14,0)),"รวมกลุ่ม "&amp;INDEX($AM$5:$AM$404,$AC689)),INDEX($AY$5:$AY$404,$AC689))))))</f>
        <v/>
      </c>
      <c r="B689" s="31" t="str">
        <f t="shared" si="247"/>
        <v/>
      </c>
      <c r="C689" s="8" t="str">
        <f t="shared" si="248"/>
        <v/>
      </c>
      <c r="D689" s="37" t="str">
        <f t="shared" si="249"/>
        <v/>
      </c>
      <c r="E689" s="31" t="str">
        <f t="shared" si="250"/>
        <v/>
      </c>
      <c r="F689" s="32" t="str">
        <f t="shared" si="251"/>
        <v/>
      </c>
      <c r="G689" s="32" t="str">
        <f t="shared" si="252"/>
        <v/>
      </c>
      <c r="H689" s="32" t="str">
        <f t="shared" si="253"/>
        <v/>
      </c>
      <c r="I689" s="32" t="str">
        <f t="shared" si="254"/>
        <v/>
      </c>
      <c r="J689" s="46" t="str">
        <f t="shared" si="255"/>
        <v/>
      </c>
      <c r="K689" s="32" t="str">
        <f t="shared" si="256"/>
        <v/>
      </c>
      <c r="L689" s="32" t="str">
        <f t="shared" si="257"/>
        <v/>
      </c>
      <c r="M689" s="32" t="str">
        <f t="shared" si="258"/>
        <v/>
      </c>
      <c r="N689" s="32" t="str">
        <f t="shared" si="259"/>
        <v/>
      </c>
      <c r="O689" s="32" t="str">
        <f t="shared" si="260"/>
        <v/>
      </c>
      <c r="AC689" t="str">
        <f>IFERROR(MATCH(685,$AB$5:$AB$404,1),"")</f>
        <v/>
      </c>
      <c r="AD689" t="str">
        <f>IF(685=$AI$1+1,"Z",IF($AC689="","",IF(INDEX($V$5:$V$404,$AC689)="","",IF(685&gt;INDEX($AB$5:$AB$404,$AC689)+INDEX($Z$5:$Z$404,$AC689)+INDEX($AA$5:$AA$404,$AC689)+INDEX($AO$5:$AO$404,$AC689),"",IF(685=INDEX($AB$5:$AB$404,$AC689)+INDEX($Z$5:$Z$404,$AC689),"D",IF(AND(INDEX($Z$5:$Z$404,$AC689)=1,685=INDEX($AB$5:$AB$404,$AC689)),"H",IF(AND(INDEX($AO$5:$AO$404,$AC689)=1,685=INDEX($AB$5:$AB$404,$AC689)+INDEX($Z$5:$Z$404,$AC689)+INDEX($AA$5:$AA$404,$AC689)+INDEX($AO$5:$AO$404,$AC689)),"B","T")))))))</f>
        <v/>
      </c>
      <c r="AF689" t="str">
        <f t="shared" si="261"/>
        <v/>
      </c>
      <c r="AJ689">
        <f>IF($AD689&lt;&gt;"T",0,ROUND(SUMIF(oil!$B$4:$B$63,$AF689,oil!$AE$4:$AE$63),2))</f>
        <v>0</v>
      </c>
      <c r="AQ689" t="str">
        <f t="shared" si="262"/>
        <v/>
      </c>
      <c r="AZ689">
        <f t="shared" si="263"/>
        <v>0</v>
      </c>
    </row>
    <row r="690" spans="1:52" ht="21" customHeight="1" x14ac:dyDescent="0.95">
      <c r="A690" s="36" t="str">
        <f>IF($AD690="","",IF($AD690="Z","รวมจ่ายทั้งสิ้น",IF($AD690="H",INDEX($X$5:$X$404,$AC690),IF($AD690="T","รวม",IF($AD690="B",IFERROR(INDEX(อัตราค่าขนส่ง!$U$5:$U$14,MATCH(INDEX($AM$5:$AM$404,$AC690),อัตราค่าขนส่ง!$T$5:$T$14,0)),"รวมกลุ่ม "&amp;INDEX($AM$5:$AM$404,$AC690)),INDEX($AY$5:$AY$404,$AC690))))))</f>
        <v/>
      </c>
      <c r="B690" s="31" t="str">
        <f t="shared" si="247"/>
        <v/>
      </c>
      <c r="C690" s="8" t="str">
        <f t="shared" si="248"/>
        <v/>
      </c>
      <c r="D690" s="37" t="str">
        <f t="shared" si="249"/>
        <v/>
      </c>
      <c r="E690" s="31" t="str">
        <f t="shared" si="250"/>
        <v/>
      </c>
      <c r="F690" s="32" t="str">
        <f t="shared" si="251"/>
        <v/>
      </c>
      <c r="G690" s="32" t="str">
        <f t="shared" si="252"/>
        <v/>
      </c>
      <c r="H690" s="32" t="str">
        <f t="shared" si="253"/>
        <v/>
      </c>
      <c r="I690" s="32" t="str">
        <f t="shared" si="254"/>
        <v/>
      </c>
      <c r="J690" s="46" t="str">
        <f t="shared" si="255"/>
        <v/>
      </c>
      <c r="K690" s="32" t="str">
        <f t="shared" si="256"/>
        <v/>
      </c>
      <c r="L690" s="32" t="str">
        <f t="shared" si="257"/>
        <v/>
      </c>
      <c r="M690" s="32" t="str">
        <f t="shared" si="258"/>
        <v/>
      </c>
      <c r="N690" s="32" t="str">
        <f t="shared" si="259"/>
        <v/>
      </c>
      <c r="O690" s="32" t="str">
        <f t="shared" si="260"/>
        <v/>
      </c>
      <c r="AC690" t="str">
        <f>IFERROR(MATCH(686,$AB$5:$AB$404,1),"")</f>
        <v/>
      </c>
      <c r="AD690" t="str">
        <f>IF(686=$AI$1+1,"Z",IF($AC690="","",IF(INDEX($V$5:$V$404,$AC690)="","",IF(686&gt;INDEX($AB$5:$AB$404,$AC690)+INDEX($Z$5:$Z$404,$AC690)+INDEX($AA$5:$AA$404,$AC690)+INDEX($AO$5:$AO$404,$AC690),"",IF(686=INDEX($AB$5:$AB$404,$AC690)+INDEX($Z$5:$Z$404,$AC690),"D",IF(AND(INDEX($Z$5:$Z$404,$AC690)=1,686=INDEX($AB$5:$AB$404,$AC690)),"H",IF(AND(INDEX($AO$5:$AO$404,$AC690)=1,686=INDEX($AB$5:$AB$404,$AC690)+INDEX($Z$5:$Z$404,$AC690)+INDEX($AA$5:$AA$404,$AC690)+INDEX($AO$5:$AO$404,$AC690)),"B","T")))))))</f>
        <v/>
      </c>
      <c r="AF690" t="str">
        <f t="shared" si="261"/>
        <v/>
      </c>
      <c r="AJ690">
        <f>IF($AD690&lt;&gt;"T",0,ROUND(SUMIF(oil!$B$4:$B$63,$AF690,oil!$AE$4:$AE$63),2))</f>
        <v>0</v>
      </c>
      <c r="AQ690" t="str">
        <f t="shared" si="262"/>
        <v/>
      </c>
      <c r="AZ690">
        <f t="shared" si="263"/>
        <v>0</v>
      </c>
    </row>
    <row r="691" spans="1:52" ht="21" customHeight="1" x14ac:dyDescent="0.95">
      <c r="A691" s="36" t="str">
        <f>IF($AD691="","",IF($AD691="Z","รวมจ่ายทั้งสิ้น",IF($AD691="H",INDEX($X$5:$X$404,$AC691),IF($AD691="T","รวม",IF($AD691="B",IFERROR(INDEX(อัตราค่าขนส่ง!$U$5:$U$14,MATCH(INDEX($AM$5:$AM$404,$AC691),อัตราค่าขนส่ง!$T$5:$T$14,0)),"รวมกลุ่ม "&amp;INDEX($AM$5:$AM$404,$AC691)),INDEX($AY$5:$AY$404,$AC691))))))</f>
        <v/>
      </c>
      <c r="B691" s="31" t="str">
        <f t="shared" si="247"/>
        <v/>
      </c>
      <c r="C691" s="8" t="str">
        <f t="shared" si="248"/>
        <v/>
      </c>
      <c r="D691" s="37" t="str">
        <f t="shared" si="249"/>
        <v/>
      </c>
      <c r="E691" s="31" t="str">
        <f t="shared" si="250"/>
        <v/>
      </c>
      <c r="F691" s="32" t="str">
        <f t="shared" si="251"/>
        <v/>
      </c>
      <c r="G691" s="32" t="str">
        <f t="shared" si="252"/>
        <v/>
      </c>
      <c r="H691" s="32" t="str">
        <f t="shared" si="253"/>
        <v/>
      </c>
      <c r="I691" s="32" t="str">
        <f t="shared" si="254"/>
        <v/>
      </c>
      <c r="J691" s="46" t="str">
        <f t="shared" si="255"/>
        <v/>
      </c>
      <c r="K691" s="32" t="str">
        <f t="shared" si="256"/>
        <v/>
      </c>
      <c r="L691" s="32" t="str">
        <f t="shared" si="257"/>
        <v/>
      </c>
      <c r="M691" s="32" t="str">
        <f t="shared" si="258"/>
        <v/>
      </c>
      <c r="N691" s="32" t="str">
        <f t="shared" si="259"/>
        <v/>
      </c>
      <c r="O691" s="32" t="str">
        <f t="shared" si="260"/>
        <v/>
      </c>
      <c r="AC691" t="str">
        <f>IFERROR(MATCH(687,$AB$5:$AB$404,1),"")</f>
        <v/>
      </c>
      <c r="AD691" t="str">
        <f>IF(687=$AI$1+1,"Z",IF($AC691="","",IF(INDEX($V$5:$V$404,$AC691)="","",IF(687&gt;INDEX($AB$5:$AB$404,$AC691)+INDEX($Z$5:$Z$404,$AC691)+INDEX($AA$5:$AA$404,$AC691)+INDEX($AO$5:$AO$404,$AC691),"",IF(687=INDEX($AB$5:$AB$404,$AC691)+INDEX($Z$5:$Z$404,$AC691),"D",IF(AND(INDEX($Z$5:$Z$404,$AC691)=1,687=INDEX($AB$5:$AB$404,$AC691)),"H",IF(AND(INDEX($AO$5:$AO$404,$AC691)=1,687=INDEX($AB$5:$AB$404,$AC691)+INDEX($Z$5:$Z$404,$AC691)+INDEX($AA$5:$AA$404,$AC691)+INDEX($AO$5:$AO$404,$AC691)),"B","T")))))))</f>
        <v/>
      </c>
      <c r="AF691" t="str">
        <f t="shared" si="261"/>
        <v/>
      </c>
      <c r="AJ691">
        <f>IF($AD691&lt;&gt;"T",0,ROUND(SUMIF(oil!$B$4:$B$63,$AF691,oil!$AE$4:$AE$63),2))</f>
        <v>0</v>
      </c>
      <c r="AQ691" t="str">
        <f t="shared" si="262"/>
        <v/>
      </c>
      <c r="AZ691">
        <f t="shared" si="263"/>
        <v>0</v>
      </c>
    </row>
    <row r="692" spans="1:52" ht="21" customHeight="1" x14ac:dyDescent="0.95">
      <c r="A692" s="36" t="str">
        <f>IF($AD692="","",IF($AD692="Z","รวมจ่ายทั้งสิ้น",IF($AD692="H",INDEX($X$5:$X$404,$AC692),IF($AD692="T","รวม",IF($AD692="B",IFERROR(INDEX(อัตราค่าขนส่ง!$U$5:$U$14,MATCH(INDEX($AM$5:$AM$404,$AC692),อัตราค่าขนส่ง!$T$5:$T$14,0)),"รวมกลุ่ม "&amp;INDEX($AM$5:$AM$404,$AC692)),INDEX($AY$5:$AY$404,$AC692))))))</f>
        <v/>
      </c>
      <c r="B692" s="31" t="str">
        <f t="shared" si="247"/>
        <v/>
      </c>
      <c r="C692" s="8" t="str">
        <f t="shared" si="248"/>
        <v/>
      </c>
      <c r="D692" s="37" t="str">
        <f t="shared" si="249"/>
        <v/>
      </c>
      <c r="E692" s="31" t="str">
        <f t="shared" si="250"/>
        <v/>
      </c>
      <c r="F692" s="32" t="str">
        <f t="shared" si="251"/>
        <v/>
      </c>
      <c r="G692" s="32" t="str">
        <f t="shared" si="252"/>
        <v/>
      </c>
      <c r="H692" s="32" t="str">
        <f t="shared" si="253"/>
        <v/>
      </c>
      <c r="I692" s="32" t="str">
        <f t="shared" si="254"/>
        <v/>
      </c>
      <c r="J692" s="46" t="str">
        <f t="shared" si="255"/>
        <v/>
      </c>
      <c r="K692" s="32" t="str">
        <f t="shared" si="256"/>
        <v/>
      </c>
      <c r="L692" s="32" t="str">
        <f t="shared" si="257"/>
        <v/>
      </c>
      <c r="M692" s="32" t="str">
        <f t="shared" si="258"/>
        <v/>
      </c>
      <c r="N692" s="32" t="str">
        <f t="shared" si="259"/>
        <v/>
      </c>
      <c r="O692" s="32" t="str">
        <f t="shared" si="260"/>
        <v/>
      </c>
      <c r="AC692" t="str">
        <f>IFERROR(MATCH(688,$AB$5:$AB$404,1),"")</f>
        <v/>
      </c>
      <c r="AD692" t="str">
        <f>IF(688=$AI$1+1,"Z",IF($AC692="","",IF(INDEX($V$5:$V$404,$AC692)="","",IF(688&gt;INDEX($AB$5:$AB$404,$AC692)+INDEX($Z$5:$Z$404,$AC692)+INDEX($AA$5:$AA$404,$AC692)+INDEX($AO$5:$AO$404,$AC692),"",IF(688=INDEX($AB$5:$AB$404,$AC692)+INDEX($Z$5:$Z$404,$AC692),"D",IF(AND(INDEX($Z$5:$Z$404,$AC692)=1,688=INDEX($AB$5:$AB$404,$AC692)),"H",IF(AND(INDEX($AO$5:$AO$404,$AC692)=1,688=INDEX($AB$5:$AB$404,$AC692)+INDEX($Z$5:$Z$404,$AC692)+INDEX($AA$5:$AA$404,$AC692)+INDEX($AO$5:$AO$404,$AC692)),"B","T")))))))</f>
        <v/>
      </c>
      <c r="AF692" t="str">
        <f t="shared" si="261"/>
        <v/>
      </c>
      <c r="AJ692">
        <f>IF($AD692&lt;&gt;"T",0,ROUND(SUMIF(oil!$B$4:$B$63,$AF692,oil!$AE$4:$AE$63),2))</f>
        <v>0</v>
      </c>
      <c r="AQ692" t="str">
        <f t="shared" si="262"/>
        <v/>
      </c>
      <c r="AZ692">
        <f t="shared" si="263"/>
        <v>0</v>
      </c>
    </row>
    <row r="693" spans="1:52" ht="21" customHeight="1" x14ac:dyDescent="0.95">
      <c r="A693" s="36" t="str">
        <f>IF($AD693="","",IF($AD693="Z","รวมจ่ายทั้งสิ้น",IF($AD693="H",INDEX($X$5:$X$404,$AC693),IF($AD693="T","รวม",IF($AD693="B",IFERROR(INDEX(อัตราค่าขนส่ง!$U$5:$U$14,MATCH(INDEX($AM$5:$AM$404,$AC693),อัตราค่าขนส่ง!$T$5:$T$14,0)),"รวมกลุ่ม "&amp;INDEX($AM$5:$AM$404,$AC693)),INDEX($AY$5:$AY$404,$AC693))))))</f>
        <v/>
      </c>
      <c r="B693" s="31" t="str">
        <f t="shared" si="247"/>
        <v/>
      </c>
      <c r="C693" s="8" t="str">
        <f t="shared" si="248"/>
        <v/>
      </c>
      <c r="D693" s="37" t="str">
        <f t="shared" si="249"/>
        <v/>
      </c>
      <c r="E693" s="31" t="str">
        <f t="shared" si="250"/>
        <v/>
      </c>
      <c r="F693" s="32" t="str">
        <f t="shared" si="251"/>
        <v/>
      </c>
      <c r="G693" s="32" t="str">
        <f t="shared" si="252"/>
        <v/>
      </c>
      <c r="H693" s="32" t="str">
        <f t="shared" si="253"/>
        <v/>
      </c>
      <c r="I693" s="32" t="str">
        <f t="shared" si="254"/>
        <v/>
      </c>
      <c r="J693" s="46" t="str">
        <f t="shared" si="255"/>
        <v/>
      </c>
      <c r="K693" s="32" t="str">
        <f t="shared" si="256"/>
        <v/>
      </c>
      <c r="L693" s="32" t="str">
        <f t="shared" si="257"/>
        <v/>
      </c>
      <c r="M693" s="32" t="str">
        <f t="shared" si="258"/>
        <v/>
      </c>
      <c r="N693" s="32" t="str">
        <f t="shared" si="259"/>
        <v/>
      </c>
      <c r="O693" s="32" t="str">
        <f t="shared" si="260"/>
        <v/>
      </c>
      <c r="AC693" t="str">
        <f>IFERROR(MATCH(689,$AB$5:$AB$404,1),"")</f>
        <v/>
      </c>
      <c r="AD693" t="str">
        <f>IF(689=$AI$1+1,"Z",IF($AC693="","",IF(INDEX($V$5:$V$404,$AC693)="","",IF(689&gt;INDEX($AB$5:$AB$404,$AC693)+INDEX($Z$5:$Z$404,$AC693)+INDEX($AA$5:$AA$404,$AC693)+INDEX($AO$5:$AO$404,$AC693),"",IF(689=INDEX($AB$5:$AB$404,$AC693)+INDEX($Z$5:$Z$404,$AC693),"D",IF(AND(INDEX($Z$5:$Z$404,$AC693)=1,689=INDEX($AB$5:$AB$404,$AC693)),"H",IF(AND(INDEX($AO$5:$AO$404,$AC693)=1,689=INDEX($AB$5:$AB$404,$AC693)+INDEX($Z$5:$Z$404,$AC693)+INDEX($AA$5:$AA$404,$AC693)+INDEX($AO$5:$AO$404,$AC693)),"B","T")))))))</f>
        <v/>
      </c>
      <c r="AF693" t="str">
        <f t="shared" si="261"/>
        <v/>
      </c>
      <c r="AJ693">
        <f>IF($AD693&lt;&gt;"T",0,ROUND(SUMIF(oil!$B$4:$B$63,$AF693,oil!$AE$4:$AE$63),2))</f>
        <v>0</v>
      </c>
      <c r="AQ693" t="str">
        <f t="shared" si="262"/>
        <v/>
      </c>
      <c r="AZ693">
        <f t="shared" si="263"/>
        <v>0</v>
      </c>
    </row>
    <row r="694" spans="1:52" ht="21" customHeight="1" x14ac:dyDescent="0.95">
      <c r="A694" s="36" t="str">
        <f>IF($AD694="","",IF($AD694="Z","รวมจ่ายทั้งสิ้น",IF($AD694="H",INDEX($X$5:$X$404,$AC694),IF($AD694="T","รวม",IF($AD694="B",IFERROR(INDEX(อัตราค่าขนส่ง!$U$5:$U$14,MATCH(INDEX($AM$5:$AM$404,$AC694),อัตราค่าขนส่ง!$T$5:$T$14,0)),"รวมกลุ่ม "&amp;INDEX($AM$5:$AM$404,$AC694)),INDEX($AY$5:$AY$404,$AC694))))))</f>
        <v/>
      </c>
      <c r="B694" s="31" t="str">
        <f t="shared" si="247"/>
        <v/>
      </c>
      <c r="C694" s="8" t="str">
        <f t="shared" si="248"/>
        <v/>
      </c>
      <c r="D694" s="37" t="str">
        <f t="shared" si="249"/>
        <v/>
      </c>
      <c r="E694" s="31" t="str">
        <f t="shared" si="250"/>
        <v/>
      </c>
      <c r="F694" s="32" t="str">
        <f t="shared" si="251"/>
        <v/>
      </c>
      <c r="G694" s="32" t="str">
        <f t="shared" si="252"/>
        <v/>
      </c>
      <c r="H694" s="32" t="str">
        <f t="shared" si="253"/>
        <v/>
      </c>
      <c r="I694" s="32" t="str">
        <f t="shared" si="254"/>
        <v/>
      </c>
      <c r="J694" s="46" t="str">
        <f t="shared" si="255"/>
        <v/>
      </c>
      <c r="K694" s="32" t="str">
        <f t="shared" si="256"/>
        <v/>
      </c>
      <c r="L694" s="32" t="str">
        <f t="shared" si="257"/>
        <v/>
      </c>
      <c r="M694" s="32" t="str">
        <f t="shared" si="258"/>
        <v/>
      </c>
      <c r="N694" s="32" t="str">
        <f t="shared" si="259"/>
        <v/>
      </c>
      <c r="O694" s="32" t="str">
        <f t="shared" si="260"/>
        <v/>
      </c>
      <c r="AC694" t="str">
        <f>IFERROR(MATCH(690,$AB$5:$AB$404,1),"")</f>
        <v/>
      </c>
      <c r="AD694" t="str">
        <f>IF(690=$AI$1+1,"Z",IF($AC694="","",IF(INDEX($V$5:$V$404,$AC694)="","",IF(690&gt;INDEX($AB$5:$AB$404,$AC694)+INDEX($Z$5:$Z$404,$AC694)+INDEX($AA$5:$AA$404,$AC694)+INDEX($AO$5:$AO$404,$AC694),"",IF(690=INDEX($AB$5:$AB$404,$AC694)+INDEX($Z$5:$Z$404,$AC694),"D",IF(AND(INDEX($Z$5:$Z$404,$AC694)=1,690=INDEX($AB$5:$AB$404,$AC694)),"H",IF(AND(INDEX($AO$5:$AO$404,$AC694)=1,690=INDEX($AB$5:$AB$404,$AC694)+INDEX($Z$5:$Z$404,$AC694)+INDEX($AA$5:$AA$404,$AC694)+INDEX($AO$5:$AO$404,$AC694)),"B","T")))))))</f>
        <v/>
      </c>
      <c r="AF694" t="str">
        <f t="shared" si="261"/>
        <v/>
      </c>
      <c r="AJ694">
        <f>IF($AD694&lt;&gt;"T",0,ROUND(SUMIF(oil!$B$4:$B$63,$AF694,oil!$AE$4:$AE$63),2))</f>
        <v>0</v>
      </c>
      <c r="AQ694" t="str">
        <f t="shared" si="262"/>
        <v/>
      </c>
      <c r="AZ694">
        <f t="shared" si="263"/>
        <v>0</v>
      </c>
    </row>
    <row r="695" spans="1:52" ht="21" customHeight="1" x14ac:dyDescent="0.95">
      <c r="A695" s="36" t="str">
        <f>IF($AD695="","",IF($AD695="Z","รวมจ่ายทั้งสิ้น",IF($AD695="H",INDEX($X$5:$X$404,$AC695),IF($AD695="T","รวม",IF($AD695="B",IFERROR(INDEX(อัตราค่าขนส่ง!$U$5:$U$14,MATCH(INDEX($AM$5:$AM$404,$AC695),อัตราค่าขนส่ง!$T$5:$T$14,0)),"รวมกลุ่ม "&amp;INDEX($AM$5:$AM$404,$AC695)),INDEX($AY$5:$AY$404,$AC695))))))</f>
        <v/>
      </c>
      <c r="B695" s="31" t="str">
        <f t="shared" si="247"/>
        <v/>
      </c>
      <c r="C695" s="8" t="str">
        <f t="shared" si="248"/>
        <v/>
      </c>
      <c r="D695" s="37" t="str">
        <f t="shared" si="249"/>
        <v/>
      </c>
      <c r="E695" s="31" t="str">
        <f t="shared" si="250"/>
        <v/>
      </c>
      <c r="F695" s="32" t="str">
        <f t="shared" si="251"/>
        <v/>
      </c>
      <c r="G695" s="32" t="str">
        <f t="shared" si="252"/>
        <v/>
      </c>
      <c r="H695" s="32" t="str">
        <f t="shared" si="253"/>
        <v/>
      </c>
      <c r="I695" s="32" t="str">
        <f t="shared" si="254"/>
        <v/>
      </c>
      <c r="J695" s="46" t="str">
        <f t="shared" si="255"/>
        <v/>
      </c>
      <c r="K695" s="32" t="str">
        <f t="shared" si="256"/>
        <v/>
      </c>
      <c r="L695" s="32" t="str">
        <f t="shared" si="257"/>
        <v/>
      </c>
      <c r="M695" s="32" t="str">
        <f t="shared" si="258"/>
        <v/>
      </c>
      <c r="N695" s="32" t="str">
        <f t="shared" si="259"/>
        <v/>
      </c>
      <c r="O695" s="32" t="str">
        <f t="shared" si="260"/>
        <v/>
      </c>
      <c r="AC695" t="str">
        <f>IFERROR(MATCH(691,$AB$5:$AB$404,1),"")</f>
        <v/>
      </c>
      <c r="AD695" t="str">
        <f>IF(691=$AI$1+1,"Z",IF($AC695="","",IF(INDEX($V$5:$V$404,$AC695)="","",IF(691&gt;INDEX($AB$5:$AB$404,$AC695)+INDEX($Z$5:$Z$404,$AC695)+INDEX($AA$5:$AA$404,$AC695)+INDEX($AO$5:$AO$404,$AC695),"",IF(691=INDEX($AB$5:$AB$404,$AC695)+INDEX($Z$5:$Z$404,$AC695),"D",IF(AND(INDEX($Z$5:$Z$404,$AC695)=1,691=INDEX($AB$5:$AB$404,$AC695)),"H",IF(AND(INDEX($AO$5:$AO$404,$AC695)=1,691=INDEX($AB$5:$AB$404,$AC695)+INDEX($Z$5:$Z$404,$AC695)+INDEX($AA$5:$AA$404,$AC695)+INDEX($AO$5:$AO$404,$AC695)),"B","T")))))))</f>
        <v/>
      </c>
      <c r="AF695" t="str">
        <f t="shared" si="261"/>
        <v/>
      </c>
      <c r="AJ695">
        <f>IF($AD695&lt;&gt;"T",0,ROUND(SUMIF(oil!$B$4:$B$63,$AF695,oil!$AE$4:$AE$63),2))</f>
        <v>0</v>
      </c>
      <c r="AQ695" t="str">
        <f t="shared" si="262"/>
        <v/>
      </c>
      <c r="AZ695">
        <f t="shared" si="263"/>
        <v>0</v>
      </c>
    </row>
    <row r="696" spans="1:52" ht="21" customHeight="1" x14ac:dyDescent="0.95">
      <c r="A696" s="36" t="str">
        <f>IF($AD696="","",IF($AD696="Z","รวมจ่ายทั้งสิ้น",IF($AD696="H",INDEX($X$5:$X$404,$AC696),IF($AD696="T","รวม",IF($AD696="B",IFERROR(INDEX(อัตราค่าขนส่ง!$U$5:$U$14,MATCH(INDEX($AM$5:$AM$404,$AC696),อัตราค่าขนส่ง!$T$5:$T$14,0)),"รวมกลุ่ม "&amp;INDEX($AM$5:$AM$404,$AC696)),INDEX($AY$5:$AY$404,$AC696))))))</f>
        <v/>
      </c>
      <c r="B696" s="31" t="str">
        <f t="shared" si="247"/>
        <v/>
      </c>
      <c r="C696" s="8" t="str">
        <f t="shared" si="248"/>
        <v/>
      </c>
      <c r="D696" s="37" t="str">
        <f t="shared" si="249"/>
        <v/>
      </c>
      <c r="E696" s="31" t="str">
        <f t="shared" si="250"/>
        <v/>
      </c>
      <c r="F696" s="32" t="str">
        <f t="shared" si="251"/>
        <v/>
      </c>
      <c r="G696" s="32" t="str">
        <f t="shared" si="252"/>
        <v/>
      </c>
      <c r="H696" s="32" t="str">
        <f t="shared" si="253"/>
        <v/>
      </c>
      <c r="I696" s="32" t="str">
        <f t="shared" si="254"/>
        <v/>
      </c>
      <c r="J696" s="46" t="str">
        <f t="shared" si="255"/>
        <v/>
      </c>
      <c r="K696" s="32" t="str">
        <f t="shared" si="256"/>
        <v/>
      </c>
      <c r="L696" s="32" t="str">
        <f t="shared" si="257"/>
        <v/>
      </c>
      <c r="M696" s="32" t="str">
        <f t="shared" si="258"/>
        <v/>
      </c>
      <c r="N696" s="32" t="str">
        <f t="shared" si="259"/>
        <v/>
      </c>
      <c r="O696" s="32" t="str">
        <f t="shared" si="260"/>
        <v/>
      </c>
      <c r="AC696" t="str">
        <f>IFERROR(MATCH(692,$AB$5:$AB$404,1),"")</f>
        <v/>
      </c>
      <c r="AD696" t="str">
        <f>IF(692=$AI$1+1,"Z",IF($AC696="","",IF(INDEX($V$5:$V$404,$AC696)="","",IF(692&gt;INDEX($AB$5:$AB$404,$AC696)+INDEX($Z$5:$Z$404,$AC696)+INDEX($AA$5:$AA$404,$AC696)+INDEX($AO$5:$AO$404,$AC696),"",IF(692=INDEX($AB$5:$AB$404,$AC696)+INDEX($Z$5:$Z$404,$AC696),"D",IF(AND(INDEX($Z$5:$Z$404,$AC696)=1,692=INDEX($AB$5:$AB$404,$AC696)),"H",IF(AND(INDEX($AO$5:$AO$404,$AC696)=1,692=INDEX($AB$5:$AB$404,$AC696)+INDEX($Z$5:$Z$404,$AC696)+INDEX($AA$5:$AA$404,$AC696)+INDEX($AO$5:$AO$404,$AC696)),"B","T")))))))</f>
        <v/>
      </c>
      <c r="AF696" t="str">
        <f t="shared" si="261"/>
        <v/>
      </c>
      <c r="AJ696">
        <f>IF($AD696&lt;&gt;"T",0,ROUND(SUMIF(oil!$B$4:$B$63,$AF696,oil!$AE$4:$AE$63),2))</f>
        <v>0</v>
      </c>
      <c r="AQ696" t="str">
        <f t="shared" si="262"/>
        <v/>
      </c>
      <c r="AZ696">
        <f t="shared" si="263"/>
        <v>0</v>
      </c>
    </row>
    <row r="697" spans="1:52" ht="21" customHeight="1" x14ac:dyDescent="0.95">
      <c r="A697" s="36" t="str">
        <f>IF($AD697="","",IF($AD697="Z","รวมจ่ายทั้งสิ้น",IF($AD697="H",INDEX($X$5:$X$404,$AC697),IF($AD697="T","รวม",IF($AD697="B",IFERROR(INDEX(อัตราค่าขนส่ง!$U$5:$U$14,MATCH(INDEX($AM$5:$AM$404,$AC697),อัตราค่าขนส่ง!$T$5:$T$14,0)),"รวมกลุ่ม "&amp;INDEX($AM$5:$AM$404,$AC697)),INDEX($AY$5:$AY$404,$AC697))))))</f>
        <v/>
      </c>
      <c r="B697" s="31" t="str">
        <f t="shared" si="247"/>
        <v/>
      </c>
      <c r="C697" s="8" t="str">
        <f t="shared" si="248"/>
        <v/>
      </c>
      <c r="D697" s="37" t="str">
        <f t="shared" si="249"/>
        <v/>
      </c>
      <c r="E697" s="31" t="str">
        <f t="shared" si="250"/>
        <v/>
      </c>
      <c r="F697" s="32" t="str">
        <f t="shared" si="251"/>
        <v/>
      </c>
      <c r="G697" s="32" t="str">
        <f t="shared" si="252"/>
        <v/>
      </c>
      <c r="H697" s="32" t="str">
        <f t="shared" si="253"/>
        <v/>
      </c>
      <c r="I697" s="32" t="str">
        <f t="shared" si="254"/>
        <v/>
      </c>
      <c r="J697" s="46" t="str">
        <f t="shared" si="255"/>
        <v/>
      </c>
      <c r="K697" s="32" t="str">
        <f t="shared" si="256"/>
        <v/>
      </c>
      <c r="L697" s="32" t="str">
        <f t="shared" si="257"/>
        <v/>
      </c>
      <c r="M697" s="32" t="str">
        <f t="shared" si="258"/>
        <v/>
      </c>
      <c r="N697" s="32" t="str">
        <f t="shared" si="259"/>
        <v/>
      </c>
      <c r="O697" s="32" t="str">
        <f t="shared" si="260"/>
        <v/>
      </c>
      <c r="AC697" t="str">
        <f>IFERROR(MATCH(693,$AB$5:$AB$404,1),"")</f>
        <v/>
      </c>
      <c r="AD697" t="str">
        <f>IF(693=$AI$1+1,"Z",IF($AC697="","",IF(INDEX($V$5:$V$404,$AC697)="","",IF(693&gt;INDEX($AB$5:$AB$404,$AC697)+INDEX($Z$5:$Z$404,$AC697)+INDEX($AA$5:$AA$404,$AC697)+INDEX($AO$5:$AO$404,$AC697),"",IF(693=INDEX($AB$5:$AB$404,$AC697)+INDEX($Z$5:$Z$404,$AC697),"D",IF(AND(INDEX($Z$5:$Z$404,$AC697)=1,693=INDEX($AB$5:$AB$404,$AC697)),"H",IF(AND(INDEX($AO$5:$AO$404,$AC697)=1,693=INDEX($AB$5:$AB$404,$AC697)+INDEX($Z$5:$Z$404,$AC697)+INDEX($AA$5:$AA$404,$AC697)+INDEX($AO$5:$AO$404,$AC697)),"B","T")))))))</f>
        <v/>
      </c>
      <c r="AF697" t="str">
        <f t="shared" si="261"/>
        <v/>
      </c>
      <c r="AJ697">
        <f>IF($AD697&lt;&gt;"T",0,ROUND(SUMIF(oil!$B$4:$B$63,$AF697,oil!$AE$4:$AE$63),2))</f>
        <v>0</v>
      </c>
      <c r="AQ697" t="str">
        <f t="shared" si="262"/>
        <v/>
      </c>
      <c r="AZ697">
        <f t="shared" si="263"/>
        <v>0</v>
      </c>
    </row>
    <row r="698" spans="1:52" ht="21" customHeight="1" x14ac:dyDescent="0.95">
      <c r="A698" s="36" t="str">
        <f>IF($AD698="","",IF($AD698="Z","รวมจ่ายทั้งสิ้น",IF($AD698="H",INDEX($X$5:$X$404,$AC698),IF($AD698="T","รวม",IF($AD698="B",IFERROR(INDEX(อัตราค่าขนส่ง!$U$5:$U$14,MATCH(INDEX($AM$5:$AM$404,$AC698),อัตราค่าขนส่ง!$T$5:$T$14,0)),"รวมกลุ่ม "&amp;INDEX($AM$5:$AM$404,$AC698)),INDEX($AY$5:$AY$404,$AC698))))))</f>
        <v/>
      </c>
      <c r="B698" s="31" t="str">
        <f t="shared" si="247"/>
        <v/>
      </c>
      <c r="C698" s="8" t="str">
        <f t="shared" si="248"/>
        <v/>
      </c>
      <c r="D698" s="37" t="str">
        <f t="shared" si="249"/>
        <v/>
      </c>
      <c r="E698" s="31" t="str">
        <f t="shared" si="250"/>
        <v/>
      </c>
      <c r="F698" s="32" t="str">
        <f t="shared" si="251"/>
        <v/>
      </c>
      <c r="G698" s="32" t="str">
        <f t="shared" si="252"/>
        <v/>
      </c>
      <c r="H698" s="32" t="str">
        <f t="shared" si="253"/>
        <v/>
      </c>
      <c r="I698" s="32" t="str">
        <f t="shared" si="254"/>
        <v/>
      </c>
      <c r="J698" s="46" t="str">
        <f t="shared" si="255"/>
        <v/>
      </c>
      <c r="K698" s="32" t="str">
        <f t="shared" si="256"/>
        <v/>
      </c>
      <c r="L698" s="32" t="str">
        <f t="shared" si="257"/>
        <v/>
      </c>
      <c r="M698" s="32" t="str">
        <f t="shared" si="258"/>
        <v/>
      </c>
      <c r="N698" s="32" t="str">
        <f t="shared" si="259"/>
        <v/>
      </c>
      <c r="O698" s="32" t="str">
        <f t="shared" si="260"/>
        <v/>
      </c>
      <c r="AC698" t="str">
        <f>IFERROR(MATCH(694,$AB$5:$AB$404,1),"")</f>
        <v/>
      </c>
      <c r="AD698" t="str">
        <f>IF(694=$AI$1+1,"Z",IF($AC698="","",IF(INDEX($V$5:$V$404,$AC698)="","",IF(694&gt;INDEX($AB$5:$AB$404,$AC698)+INDEX($Z$5:$Z$404,$AC698)+INDEX($AA$5:$AA$404,$AC698)+INDEX($AO$5:$AO$404,$AC698),"",IF(694=INDEX($AB$5:$AB$404,$AC698)+INDEX($Z$5:$Z$404,$AC698),"D",IF(AND(INDEX($Z$5:$Z$404,$AC698)=1,694=INDEX($AB$5:$AB$404,$AC698)),"H",IF(AND(INDEX($AO$5:$AO$404,$AC698)=1,694=INDEX($AB$5:$AB$404,$AC698)+INDEX($Z$5:$Z$404,$AC698)+INDEX($AA$5:$AA$404,$AC698)+INDEX($AO$5:$AO$404,$AC698)),"B","T")))))))</f>
        <v/>
      </c>
      <c r="AF698" t="str">
        <f t="shared" si="261"/>
        <v/>
      </c>
      <c r="AJ698">
        <f>IF($AD698&lt;&gt;"T",0,ROUND(SUMIF(oil!$B$4:$B$63,$AF698,oil!$AE$4:$AE$63),2))</f>
        <v>0</v>
      </c>
      <c r="AQ698" t="str">
        <f t="shared" si="262"/>
        <v/>
      </c>
      <c r="AZ698">
        <f t="shared" si="263"/>
        <v>0</v>
      </c>
    </row>
    <row r="699" spans="1:52" ht="21" customHeight="1" x14ac:dyDescent="0.95">
      <c r="A699" s="36" t="str">
        <f>IF($AD699="","",IF($AD699="Z","รวมจ่ายทั้งสิ้น",IF($AD699="H",INDEX($X$5:$X$404,$AC699),IF($AD699="T","รวม",IF($AD699="B",IFERROR(INDEX(อัตราค่าขนส่ง!$U$5:$U$14,MATCH(INDEX($AM$5:$AM$404,$AC699),อัตราค่าขนส่ง!$T$5:$T$14,0)),"รวมกลุ่ม "&amp;INDEX($AM$5:$AM$404,$AC699)),INDEX($AY$5:$AY$404,$AC699))))))</f>
        <v/>
      </c>
      <c r="B699" s="31" t="str">
        <f t="shared" si="247"/>
        <v/>
      </c>
      <c r="C699" s="8" t="str">
        <f t="shared" si="248"/>
        <v/>
      </c>
      <c r="D699" s="37" t="str">
        <f t="shared" si="249"/>
        <v/>
      </c>
      <c r="E699" s="31" t="str">
        <f t="shared" si="250"/>
        <v/>
      </c>
      <c r="F699" s="32" t="str">
        <f t="shared" si="251"/>
        <v/>
      </c>
      <c r="G699" s="32" t="str">
        <f t="shared" si="252"/>
        <v/>
      </c>
      <c r="H699" s="32" t="str">
        <f t="shared" si="253"/>
        <v/>
      </c>
      <c r="I699" s="32" t="str">
        <f t="shared" si="254"/>
        <v/>
      </c>
      <c r="J699" s="46" t="str">
        <f t="shared" si="255"/>
        <v/>
      </c>
      <c r="K699" s="32" t="str">
        <f t="shared" si="256"/>
        <v/>
      </c>
      <c r="L699" s="32" t="str">
        <f t="shared" si="257"/>
        <v/>
      </c>
      <c r="M699" s="32" t="str">
        <f t="shared" si="258"/>
        <v/>
      </c>
      <c r="N699" s="32" t="str">
        <f t="shared" si="259"/>
        <v/>
      </c>
      <c r="O699" s="32" t="str">
        <f t="shared" si="260"/>
        <v/>
      </c>
      <c r="AC699" t="str">
        <f>IFERROR(MATCH(695,$AB$5:$AB$404,1),"")</f>
        <v/>
      </c>
      <c r="AD699" t="str">
        <f>IF(695=$AI$1+1,"Z",IF($AC699="","",IF(INDEX($V$5:$V$404,$AC699)="","",IF(695&gt;INDEX($AB$5:$AB$404,$AC699)+INDEX($Z$5:$Z$404,$AC699)+INDEX($AA$5:$AA$404,$AC699)+INDEX($AO$5:$AO$404,$AC699),"",IF(695=INDEX($AB$5:$AB$404,$AC699)+INDEX($Z$5:$Z$404,$AC699),"D",IF(AND(INDEX($Z$5:$Z$404,$AC699)=1,695=INDEX($AB$5:$AB$404,$AC699)),"H",IF(AND(INDEX($AO$5:$AO$404,$AC699)=1,695=INDEX($AB$5:$AB$404,$AC699)+INDEX($Z$5:$Z$404,$AC699)+INDEX($AA$5:$AA$404,$AC699)+INDEX($AO$5:$AO$404,$AC699)),"B","T")))))))</f>
        <v/>
      </c>
      <c r="AF699" t="str">
        <f t="shared" si="261"/>
        <v/>
      </c>
      <c r="AJ699">
        <f>IF($AD699&lt;&gt;"T",0,ROUND(SUMIF(oil!$B$4:$B$63,$AF699,oil!$AE$4:$AE$63),2))</f>
        <v>0</v>
      </c>
      <c r="AQ699" t="str">
        <f t="shared" si="262"/>
        <v/>
      </c>
      <c r="AZ699">
        <f t="shared" si="263"/>
        <v>0</v>
      </c>
    </row>
    <row r="700" spans="1:52" ht="21" customHeight="1" x14ac:dyDescent="0.95">
      <c r="A700" s="36" t="str">
        <f>IF($AD700="","",IF($AD700="Z","รวมจ่ายทั้งสิ้น",IF($AD700="H",INDEX($X$5:$X$404,$AC700),IF($AD700="T","รวม",IF($AD700="B",IFERROR(INDEX(อัตราค่าขนส่ง!$U$5:$U$14,MATCH(INDEX($AM$5:$AM$404,$AC700),อัตราค่าขนส่ง!$T$5:$T$14,0)),"รวมกลุ่ม "&amp;INDEX($AM$5:$AM$404,$AC700)),INDEX($AY$5:$AY$404,$AC700))))))</f>
        <v/>
      </c>
      <c r="B700" s="31" t="str">
        <f t="shared" si="247"/>
        <v/>
      </c>
      <c r="C700" s="8" t="str">
        <f t="shared" si="248"/>
        <v/>
      </c>
      <c r="D700" s="37" t="str">
        <f t="shared" si="249"/>
        <v/>
      </c>
      <c r="E700" s="31" t="str">
        <f t="shared" si="250"/>
        <v/>
      </c>
      <c r="F700" s="32" t="str">
        <f t="shared" si="251"/>
        <v/>
      </c>
      <c r="G700" s="32" t="str">
        <f t="shared" si="252"/>
        <v/>
      </c>
      <c r="H700" s="32" t="str">
        <f t="shared" si="253"/>
        <v/>
      </c>
      <c r="I700" s="32" t="str">
        <f t="shared" si="254"/>
        <v/>
      </c>
      <c r="J700" s="46" t="str">
        <f t="shared" si="255"/>
        <v/>
      </c>
      <c r="K700" s="32" t="str">
        <f t="shared" si="256"/>
        <v/>
      </c>
      <c r="L700" s="32" t="str">
        <f t="shared" si="257"/>
        <v/>
      </c>
      <c r="M700" s="32" t="str">
        <f t="shared" si="258"/>
        <v/>
      </c>
      <c r="N700" s="32" t="str">
        <f t="shared" si="259"/>
        <v/>
      </c>
      <c r="O700" s="32" t="str">
        <f t="shared" si="260"/>
        <v/>
      </c>
      <c r="AC700" t="str">
        <f>IFERROR(MATCH(696,$AB$5:$AB$404,1),"")</f>
        <v/>
      </c>
      <c r="AD700" t="str">
        <f>IF(696=$AI$1+1,"Z",IF($AC700="","",IF(INDEX($V$5:$V$404,$AC700)="","",IF(696&gt;INDEX($AB$5:$AB$404,$AC700)+INDEX($Z$5:$Z$404,$AC700)+INDEX($AA$5:$AA$404,$AC700)+INDEX($AO$5:$AO$404,$AC700),"",IF(696=INDEX($AB$5:$AB$404,$AC700)+INDEX($Z$5:$Z$404,$AC700),"D",IF(AND(INDEX($Z$5:$Z$404,$AC700)=1,696=INDEX($AB$5:$AB$404,$AC700)),"H",IF(AND(INDEX($AO$5:$AO$404,$AC700)=1,696=INDEX($AB$5:$AB$404,$AC700)+INDEX($Z$5:$Z$404,$AC700)+INDEX($AA$5:$AA$404,$AC700)+INDEX($AO$5:$AO$404,$AC700)),"B","T")))))))</f>
        <v/>
      </c>
      <c r="AF700" t="str">
        <f t="shared" si="261"/>
        <v/>
      </c>
      <c r="AJ700">
        <f>IF($AD700&lt;&gt;"T",0,ROUND(SUMIF(oil!$B$4:$B$63,$AF700,oil!$AE$4:$AE$63),2))</f>
        <v>0</v>
      </c>
      <c r="AQ700" t="str">
        <f t="shared" si="262"/>
        <v/>
      </c>
      <c r="AZ700">
        <f t="shared" si="263"/>
        <v>0</v>
      </c>
    </row>
    <row r="701" spans="1:52" ht="21" customHeight="1" x14ac:dyDescent="0.95">
      <c r="A701" s="36" t="str">
        <f>IF($AD701="","",IF($AD701="Z","รวมจ่ายทั้งสิ้น",IF($AD701="H",INDEX($X$5:$X$404,$AC701),IF($AD701="T","รวม",IF($AD701="B",IFERROR(INDEX(อัตราค่าขนส่ง!$U$5:$U$14,MATCH(INDEX($AM$5:$AM$404,$AC701),อัตราค่าขนส่ง!$T$5:$T$14,0)),"รวมกลุ่ม "&amp;INDEX($AM$5:$AM$404,$AC701)),INDEX($AY$5:$AY$404,$AC701))))))</f>
        <v/>
      </c>
      <c r="B701" s="31" t="str">
        <f t="shared" si="247"/>
        <v/>
      </c>
      <c r="C701" s="8" t="str">
        <f t="shared" si="248"/>
        <v/>
      </c>
      <c r="D701" s="37" t="str">
        <f t="shared" si="249"/>
        <v/>
      </c>
      <c r="E701" s="31" t="str">
        <f t="shared" si="250"/>
        <v/>
      </c>
      <c r="F701" s="32" t="str">
        <f t="shared" si="251"/>
        <v/>
      </c>
      <c r="G701" s="32" t="str">
        <f t="shared" si="252"/>
        <v/>
      </c>
      <c r="H701" s="32" t="str">
        <f t="shared" si="253"/>
        <v/>
      </c>
      <c r="I701" s="32" t="str">
        <f t="shared" si="254"/>
        <v/>
      </c>
      <c r="J701" s="46" t="str">
        <f t="shared" si="255"/>
        <v/>
      </c>
      <c r="K701" s="32" t="str">
        <f t="shared" si="256"/>
        <v/>
      </c>
      <c r="L701" s="32" t="str">
        <f t="shared" si="257"/>
        <v/>
      </c>
      <c r="M701" s="32" t="str">
        <f t="shared" si="258"/>
        <v/>
      </c>
      <c r="N701" s="32" t="str">
        <f t="shared" si="259"/>
        <v/>
      </c>
      <c r="O701" s="32" t="str">
        <f t="shared" si="260"/>
        <v/>
      </c>
      <c r="AC701" t="str">
        <f>IFERROR(MATCH(697,$AB$5:$AB$404,1),"")</f>
        <v/>
      </c>
      <c r="AD701" t="str">
        <f>IF(697=$AI$1+1,"Z",IF($AC701="","",IF(INDEX($V$5:$V$404,$AC701)="","",IF(697&gt;INDEX($AB$5:$AB$404,$AC701)+INDEX($Z$5:$Z$404,$AC701)+INDEX($AA$5:$AA$404,$AC701)+INDEX($AO$5:$AO$404,$AC701),"",IF(697=INDEX($AB$5:$AB$404,$AC701)+INDEX($Z$5:$Z$404,$AC701),"D",IF(AND(INDEX($Z$5:$Z$404,$AC701)=1,697=INDEX($AB$5:$AB$404,$AC701)),"H",IF(AND(INDEX($AO$5:$AO$404,$AC701)=1,697=INDEX($AB$5:$AB$404,$AC701)+INDEX($Z$5:$Z$404,$AC701)+INDEX($AA$5:$AA$404,$AC701)+INDEX($AO$5:$AO$404,$AC701)),"B","T")))))))</f>
        <v/>
      </c>
      <c r="AF701" t="str">
        <f t="shared" si="261"/>
        <v/>
      </c>
      <c r="AJ701">
        <f>IF($AD701&lt;&gt;"T",0,ROUND(SUMIF(oil!$B$4:$B$63,$AF701,oil!$AE$4:$AE$63),2))</f>
        <v>0</v>
      </c>
      <c r="AQ701" t="str">
        <f t="shared" si="262"/>
        <v/>
      </c>
      <c r="AZ701">
        <f t="shared" si="263"/>
        <v>0</v>
      </c>
    </row>
    <row r="702" spans="1:52" ht="21" customHeight="1" x14ac:dyDescent="0.95">
      <c r="A702" s="36" t="str">
        <f>IF($AD702="","",IF($AD702="Z","รวมจ่ายทั้งสิ้น",IF($AD702="H",INDEX($X$5:$X$404,$AC702),IF($AD702="T","รวม",IF($AD702="B",IFERROR(INDEX(อัตราค่าขนส่ง!$U$5:$U$14,MATCH(INDEX($AM$5:$AM$404,$AC702),อัตราค่าขนส่ง!$T$5:$T$14,0)),"รวมกลุ่ม "&amp;INDEX($AM$5:$AM$404,$AC702)),INDEX($AY$5:$AY$404,$AC702))))))</f>
        <v/>
      </c>
      <c r="B702" s="31" t="str">
        <f t="shared" si="247"/>
        <v/>
      </c>
      <c r="C702" s="8" t="str">
        <f t="shared" si="248"/>
        <v/>
      </c>
      <c r="D702" s="37" t="str">
        <f t="shared" si="249"/>
        <v/>
      </c>
      <c r="E702" s="31" t="str">
        <f t="shared" si="250"/>
        <v/>
      </c>
      <c r="F702" s="32" t="str">
        <f t="shared" si="251"/>
        <v/>
      </c>
      <c r="G702" s="32" t="str">
        <f t="shared" si="252"/>
        <v/>
      </c>
      <c r="H702" s="32" t="str">
        <f t="shared" si="253"/>
        <v/>
      </c>
      <c r="I702" s="32" t="str">
        <f t="shared" si="254"/>
        <v/>
      </c>
      <c r="J702" s="46" t="str">
        <f t="shared" si="255"/>
        <v/>
      </c>
      <c r="K702" s="32" t="str">
        <f t="shared" si="256"/>
        <v/>
      </c>
      <c r="L702" s="32" t="str">
        <f t="shared" si="257"/>
        <v/>
      </c>
      <c r="M702" s="32" t="str">
        <f t="shared" si="258"/>
        <v/>
      </c>
      <c r="N702" s="32" t="str">
        <f t="shared" si="259"/>
        <v/>
      </c>
      <c r="O702" s="32" t="str">
        <f t="shared" si="260"/>
        <v/>
      </c>
      <c r="AC702" t="str">
        <f>IFERROR(MATCH(698,$AB$5:$AB$404,1),"")</f>
        <v/>
      </c>
      <c r="AD702" t="str">
        <f>IF(698=$AI$1+1,"Z",IF($AC702="","",IF(INDEX($V$5:$V$404,$AC702)="","",IF(698&gt;INDEX($AB$5:$AB$404,$AC702)+INDEX($Z$5:$Z$404,$AC702)+INDEX($AA$5:$AA$404,$AC702)+INDEX($AO$5:$AO$404,$AC702),"",IF(698=INDEX($AB$5:$AB$404,$AC702)+INDEX($Z$5:$Z$404,$AC702),"D",IF(AND(INDEX($Z$5:$Z$404,$AC702)=1,698=INDEX($AB$5:$AB$404,$AC702)),"H",IF(AND(INDEX($AO$5:$AO$404,$AC702)=1,698=INDEX($AB$5:$AB$404,$AC702)+INDEX($Z$5:$Z$404,$AC702)+INDEX($AA$5:$AA$404,$AC702)+INDEX($AO$5:$AO$404,$AC702)),"B","T")))))))</f>
        <v/>
      </c>
      <c r="AF702" t="str">
        <f t="shared" si="261"/>
        <v/>
      </c>
      <c r="AJ702">
        <f>IF($AD702&lt;&gt;"T",0,ROUND(SUMIF(oil!$B$4:$B$63,$AF702,oil!$AE$4:$AE$63),2))</f>
        <v>0</v>
      </c>
      <c r="AQ702" t="str">
        <f t="shared" si="262"/>
        <v/>
      </c>
      <c r="AZ702">
        <f t="shared" si="263"/>
        <v>0</v>
      </c>
    </row>
    <row r="703" spans="1:52" ht="21" customHeight="1" x14ac:dyDescent="0.95">
      <c r="A703" s="36" t="str">
        <f>IF($AD703="","",IF($AD703="Z","รวมจ่ายทั้งสิ้น",IF($AD703="H",INDEX($X$5:$X$404,$AC703),IF($AD703="T","รวม",IF($AD703="B",IFERROR(INDEX(อัตราค่าขนส่ง!$U$5:$U$14,MATCH(INDEX($AM$5:$AM$404,$AC703),อัตราค่าขนส่ง!$T$5:$T$14,0)),"รวมกลุ่ม "&amp;INDEX($AM$5:$AM$404,$AC703)),INDEX($AY$5:$AY$404,$AC703))))))</f>
        <v/>
      </c>
      <c r="B703" s="31" t="str">
        <f t="shared" si="247"/>
        <v/>
      </c>
      <c r="C703" s="8" t="str">
        <f t="shared" si="248"/>
        <v/>
      </c>
      <c r="D703" s="37" t="str">
        <f t="shared" si="249"/>
        <v/>
      </c>
      <c r="E703" s="31" t="str">
        <f t="shared" si="250"/>
        <v/>
      </c>
      <c r="F703" s="32" t="str">
        <f t="shared" si="251"/>
        <v/>
      </c>
      <c r="G703" s="32" t="str">
        <f t="shared" si="252"/>
        <v/>
      </c>
      <c r="H703" s="32" t="str">
        <f t="shared" si="253"/>
        <v/>
      </c>
      <c r="I703" s="32" t="str">
        <f t="shared" si="254"/>
        <v/>
      </c>
      <c r="J703" s="46" t="str">
        <f t="shared" si="255"/>
        <v/>
      </c>
      <c r="K703" s="32" t="str">
        <f t="shared" si="256"/>
        <v/>
      </c>
      <c r="L703" s="32" t="str">
        <f t="shared" si="257"/>
        <v/>
      </c>
      <c r="M703" s="32" t="str">
        <f t="shared" si="258"/>
        <v/>
      </c>
      <c r="N703" s="32" t="str">
        <f t="shared" si="259"/>
        <v/>
      </c>
      <c r="O703" s="32" t="str">
        <f t="shared" si="260"/>
        <v/>
      </c>
      <c r="AC703" t="str">
        <f>IFERROR(MATCH(699,$AB$5:$AB$404,1),"")</f>
        <v/>
      </c>
      <c r="AD703" t="str">
        <f>IF(699=$AI$1+1,"Z",IF($AC703="","",IF(INDEX($V$5:$V$404,$AC703)="","",IF(699&gt;INDEX($AB$5:$AB$404,$AC703)+INDEX($Z$5:$Z$404,$AC703)+INDEX($AA$5:$AA$404,$AC703)+INDEX($AO$5:$AO$404,$AC703),"",IF(699=INDEX($AB$5:$AB$404,$AC703)+INDEX($Z$5:$Z$404,$AC703),"D",IF(AND(INDEX($Z$5:$Z$404,$AC703)=1,699=INDEX($AB$5:$AB$404,$AC703)),"H",IF(AND(INDEX($AO$5:$AO$404,$AC703)=1,699=INDEX($AB$5:$AB$404,$AC703)+INDEX($Z$5:$Z$404,$AC703)+INDEX($AA$5:$AA$404,$AC703)+INDEX($AO$5:$AO$404,$AC703)),"B","T")))))))</f>
        <v/>
      </c>
      <c r="AF703" t="str">
        <f t="shared" si="261"/>
        <v/>
      </c>
      <c r="AJ703">
        <f>IF($AD703&lt;&gt;"T",0,ROUND(SUMIF(oil!$B$4:$B$63,$AF703,oil!$AE$4:$AE$63),2))</f>
        <v>0</v>
      </c>
      <c r="AQ703" t="str">
        <f t="shared" si="262"/>
        <v/>
      </c>
      <c r="AZ703">
        <f t="shared" si="263"/>
        <v>0</v>
      </c>
    </row>
    <row r="704" spans="1:52" ht="21" customHeight="1" x14ac:dyDescent="0.95">
      <c r="A704" s="36" t="str">
        <f>IF($AD704="","",IF($AD704="Z","รวมจ่ายทั้งสิ้น",IF($AD704="H",INDEX($X$5:$X$404,$AC704),IF($AD704="T","รวม",IF($AD704="B",IFERROR(INDEX(อัตราค่าขนส่ง!$U$5:$U$14,MATCH(INDEX($AM$5:$AM$404,$AC704),อัตราค่าขนส่ง!$T$5:$T$14,0)),"รวมกลุ่ม "&amp;INDEX($AM$5:$AM$404,$AC704)),INDEX($AY$5:$AY$404,$AC704))))))</f>
        <v/>
      </c>
      <c r="B704" s="31" t="str">
        <f t="shared" si="247"/>
        <v/>
      </c>
      <c r="C704" s="8" t="str">
        <f t="shared" si="248"/>
        <v/>
      </c>
      <c r="D704" s="37" t="str">
        <f t="shared" si="249"/>
        <v/>
      </c>
      <c r="E704" s="31" t="str">
        <f t="shared" si="250"/>
        <v/>
      </c>
      <c r="F704" s="32" t="str">
        <f t="shared" si="251"/>
        <v/>
      </c>
      <c r="G704" s="32" t="str">
        <f t="shared" si="252"/>
        <v/>
      </c>
      <c r="H704" s="32" t="str">
        <f t="shared" si="253"/>
        <v/>
      </c>
      <c r="I704" s="32" t="str">
        <f t="shared" si="254"/>
        <v/>
      </c>
      <c r="J704" s="46" t="str">
        <f t="shared" si="255"/>
        <v/>
      </c>
      <c r="K704" s="32" t="str">
        <f t="shared" si="256"/>
        <v/>
      </c>
      <c r="L704" s="32" t="str">
        <f t="shared" si="257"/>
        <v/>
      </c>
      <c r="M704" s="32" t="str">
        <f t="shared" si="258"/>
        <v/>
      </c>
      <c r="N704" s="32" t="str">
        <f t="shared" si="259"/>
        <v/>
      </c>
      <c r="O704" s="32" t="str">
        <f t="shared" si="260"/>
        <v/>
      </c>
      <c r="AC704" t="str">
        <f>IFERROR(MATCH(700,$AB$5:$AB$404,1),"")</f>
        <v/>
      </c>
      <c r="AD704" t="str">
        <f>IF(700=$AI$1+1,"Z",IF($AC704="","",IF(INDEX($V$5:$V$404,$AC704)="","",IF(700&gt;INDEX($AB$5:$AB$404,$AC704)+INDEX($Z$5:$Z$404,$AC704)+INDEX($AA$5:$AA$404,$AC704)+INDEX($AO$5:$AO$404,$AC704),"",IF(700=INDEX($AB$5:$AB$404,$AC704)+INDEX($Z$5:$Z$404,$AC704),"D",IF(AND(INDEX($Z$5:$Z$404,$AC704)=1,700=INDEX($AB$5:$AB$404,$AC704)),"H",IF(AND(INDEX($AO$5:$AO$404,$AC704)=1,700=INDEX($AB$5:$AB$404,$AC704)+INDEX($Z$5:$Z$404,$AC704)+INDEX($AA$5:$AA$404,$AC704)+INDEX($AO$5:$AO$404,$AC704)),"B","T")))))))</f>
        <v/>
      </c>
      <c r="AF704" t="str">
        <f t="shared" si="261"/>
        <v/>
      </c>
      <c r="AJ704">
        <f>IF($AD704&lt;&gt;"T",0,ROUND(SUMIF(oil!$B$4:$B$63,$AF704,oil!$AE$4:$AE$63),2))</f>
        <v>0</v>
      </c>
      <c r="AQ704" t="str">
        <f t="shared" si="262"/>
        <v/>
      </c>
      <c r="AZ704">
        <f t="shared" si="263"/>
        <v>0</v>
      </c>
    </row>
  </sheetData>
  <mergeCells count="6">
    <mergeCell ref="A2:A4"/>
    <mergeCell ref="C3:C4"/>
    <mergeCell ref="K2:K4"/>
    <mergeCell ref="A1:O1"/>
    <mergeCell ref="N2:N4"/>
    <mergeCell ref="D3:D4"/>
  </mergeCells>
  <conditionalFormatting sqref="A5:O704">
    <cfRule type="expression" dxfId="4" priority="1">
      <formula>$AA5="Z"</formula>
    </cfRule>
    <cfRule type="expression" dxfId="3" priority="2">
      <formula>$AA5="B"</formula>
    </cfRule>
    <cfRule type="expression" dxfId="2" priority="3">
      <formula>$AA5="H"</formula>
    </cfRule>
    <cfRule type="expression" dxfId="1" priority="4">
      <formula>$AA5="T"</formula>
    </cfRule>
    <cfRule type="expression" dxfId="0" priority="5">
      <formula>$AA5&lt;&gt;""</formula>
    </cfRule>
  </conditionalFormatting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  <pageSetUpPr fitToPage="1"/>
  </sheetPr>
  <dimension ref="A1:Y204"/>
  <sheetViews>
    <sheetView tabSelected="1" workbookViewId="0"/>
  </sheetViews>
  <sheetFormatPr defaultRowHeight="14.25" x14ac:dyDescent="0.45"/>
  <cols>
    <col min="1" max="1" width="34" customWidth="1"/>
    <col min="2" max="2" width="16" customWidth="1"/>
    <col min="3" max="4" width="26" customWidth="1"/>
    <col min="5" max="5" width="22" customWidth="1"/>
    <col min="6" max="6" width="12" customWidth="1"/>
    <col min="7" max="7" width="17" customWidth="1"/>
    <col min="8" max="8" width="16" customWidth="1"/>
    <col min="9" max="9" width="16.59765625" customWidth="1"/>
    <col min="10" max="10" width="17" customWidth="1"/>
    <col min="11" max="11" width="15" customWidth="1"/>
    <col min="12" max="12" width="28" customWidth="1"/>
    <col min="13" max="13" width="15" customWidth="1"/>
    <col min="14" max="14" width="17" customWidth="1"/>
    <col min="15" max="15" width="13" hidden="1" customWidth="1"/>
    <col min="17" max="17" width="34" customWidth="1"/>
    <col min="18" max="18" width="16" customWidth="1"/>
    <col min="20" max="20" width="16" customWidth="1"/>
    <col min="21" max="21" width="34" customWidth="1"/>
    <col min="22" max="22" width="18" customWidth="1"/>
    <col min="23" max="23" width="16" customWidth="1"/>
    <col min="24" max="24" width="18" customWidth="1"/>
    <col min="25" max="25" width="13" customWidth="1"/>
  </cols>
  <sheetData>
    <row r="1" spans="1:25" ht="25.9" customHeight="1" x14ac:dyDescent="1.05">
      <c r="A1" s="1" t="s">
        <v>0</v>
      </c>
    </row>
    <row r="2" spans="1:25" ht="19.5" customHeight="1" x14ac:dyDescent="0.85">
      <c r="A2" s="2" t="s">
        <v>1</v>
      </c>
    </row>
    <row r="3" spans="1:25" ht="19.899999999999999" customHeight="1" x14ac:dyDescent="0.8">
      <c r="A3" s="48" t="s">
        <v>2</v>
      </c>
      <c r="I3" t="s">
        <v>454</v>
      </c>
      <c r="Q3" s="3" t="s">
        <v>3</v>
      </c>
      <c r="T3" s="3" t="s">
        <v>4</v>
      </c>
      <c r="V3" t="s">
        <v>5</v>
      </c>
      <c r="W3" t="s">
        <v>455</v>
      </c>
    </row>
    <row r="4" spans="1:25" ht="48" customHeight="1" x14ac:dyDescent="0.45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61" t="s">
        <v>12</v>
      </c>
      <c r="H4" s="61" t="s">
        <v>453</v>
      </c>
      <c r="I4" s="61" t="s">
        <v>13</v>
      </c>
      <c r="J4" s="7" t="s">
        <v>459</v>
      </c>
      <c r="K4" s="7" t="s">
        <v>14</v>
      </c>
      <c r="L4" s="7" t="s">
        <v>15</v>
      </c>
      <c r="M4" s="7" t="s">
        <v>16</v>
      </c>
      <c r="N4" s="7" t="s">
        <v>17</v>
      </c>
      <c r="Q4" s="7" t="s">
        <v>6</v>
      </c>
      <c r="R4" s="7" t="s">
        <v>18</v>
      </c>
      <c r="T4" s="7" t="s">
        <v>18</v>
      </c>
      <c r="U4" s="7" t="s">
        <v>19</v>
      </c>
      <c r="V4" s="60" t="s">
        <v>20</v>
      </c>
      <c r="W4" s="60" t="s">
        <v>21</v>
      </c>
      <c r="X4" s="60" t="s">
        <v>22</v>
      </c>
      <c r="Y4" s="62"/>
    </row>
    <row r="5" spans="1:25" ht="21" customHeight="1" x14ac:dyDescent="0.95">
      <c r="A5" s="57" t="s">
        <v>23</v>
      </c>
      <c r="B5" s="57" t="s">
        <v>24</v>
      </c>
      <c r="C5" s="57" t="s">
        <v>25</v>
      </c>
      <c r="D5" s="57" t="s">
        <v>9</v>
      </c>
      <c r="E5" s="57" t="s">
        <v>26</v>
      </c>
      <c r="F5" s="49">
        <v>42</v>
      </c>
      <c r="G5" s="49">
        <v>118</v>
      </c>
      <c r="H5" s="49">
        <v>30</v>
      </c>
      <c r="I5" s="49">
        <v>30</v>
      </c>
      <c r="J5" s="49">
        <v>118</v>
      </c>
      <c r="K5" s="49">
        <v>32.5</v>
      </c>
      <c r="L5" s="49">
        <v>2</v>
      </c>
      <c r="M5" s="50">
        <f t="shared" ref="M5:M36" si="0">IF(OR($X5="",$K5="",$L5="",$W5=""),0,ROUND($W5*$L5,2))</f>
        <v>0</v>
      </c>
      <c r="N5" s="50">
        <f t="shared" ref="N5:N36" si="1">IF($J5="","",ROUND(N($J5)+N($M5),2))</f>
        <v>118</v>
      </c>
      <c r="O5" t="str">
        <f t="shared" ref="O5:O36" si="2">IF(OR($A5="",$B5="",$C5="",$D5="",$E5=""),"",$A5&amp;"|"&amp;$B5&amp;" - "&amp;$C5&amp;"("&amp;$D5&amp;")"&amp;"|"&amp;$E5)</f>
        <v>หจก.กิจบุญแก้ว|กงตาก1 - โชคพนาพอร์ท(แบก นน.)|แอนไฮไดรต์ 2 นิ้ว</v>
      </c>
      <c r="Q5" s="4" t="s">
        <v>27</v>
      </c>
      <c r="R5" s="4" t="s">
        <v>28</v>
      </c>
      <c r="T5" s="4" t="s">
        <v>29</v>
      </c>
      <c r="U5" s="4" t="s">
        <v>30</v>
      </c>
      <c r="W5" t="str">
        <f t="shared" ref="W5:W36" si="3">IF(OR($X5="",$K5=""),"",IF($K5&lt;$X5,$K5-$X5,IF($K5&gt;IF($V5="",$X5,$V5),$K5-IF($V5="",$X5,$V5),0)))</f>
        <v/>
      </c>
    </row>
    <row r="6" spans="1:25" ht="21" customHeight="1" x14ac:dyDescent="0.95">
      <c r="A6" s="57"/>
      <c r="B6" s="57"/>
      <c r="C6" s="57"/>
      <c r="D6" s="57"/>
      <c r="E6" s="57"/>
      <c r="F6" s="49"/>
      <c r="G6" s="49"/>
      <c r="H6" s="49"/>
      <c r="I6" s="49"/>
      <c r="J6" s="49"/>
      <c r="K6" s="49"/>
      <c r="L6" s="49"/>
      <c r="M6" s="50">
        <f t="shared" si="0"/>
        <v>0</v>
      </c>
      <c r="N6" s="50" t="str">
        <f t="shared" si="1"/>
        <v/>
      </c>
      <c r="O6" t="str">
        <f t="shared" si="2"/>
        <v/>
      </c>
      <c r="Q6" s="4"/>
      <c r="R6" s="4"/>
      <c r="T6" s="4" t="s">
        <v>28</v>
      </c>
      <c r="U6" s="4" t="s">
        <v>31</v>
      </c>
      <c r="W6" t="str">
        <f t="shared" si="3"/>
        <v/>
      </c>
    </row>
    <row r="7" spans="1:25" ht="21" customHeight="1" x14ac:dyDescent="0.95">
      <c r="A7" s="57"/>
      <c r="B7" s="57"/>
      <c r="C7" s="57"/>
      <c r="D7" s="57"/>
      <c r="E7" s="57"/>
      <c r="F7" s="49"/>
      <c r="G7" s="49"/>
      <c r="H7" s="49"/>
      <c r="I7" s="49"/>
      <c r="J7" s="49"/>
      <c r="K7" s="49"/>
      <c r="L7" s="49"/>
      <c r="M7" s="50">
        <f t="shared" si="0"/>
        <v>0</v>
      </c>
      <c r="N7" s="50" t="str">
        <f t="shared" si="1"/>
        <v/>
      </c>
      <c r="O7" t="str">
        <f t="shared" si="2"/>
        <v/>
      </c>
      <c r="Q7" s="4"/>
      <c r="R7" s="4"/>
      <c r="T7" s="4"/>
      <c r="U7" s="4"/>
      <c r="W7" t="str">
        <f t="shared" si="3"/>
        <v/>
      </c>
    </row>
    <row r="8" spans="1:25" ht="21" customHeight="1" x14ac:dyDescent="0.95">
      <c r="A8" s="57"/>
      <c r="B8" s="57"/>
      <c r="C8" s="57"/>
      <c r="D8" s="57"/>
      <c r="E8" s="57"/>
      <c r="F8" s="49"/>
      <c r="G8" s="49"/>
      <c r="H8" s="49"/>
      <c r="I8" s="49"/>
      <c r="J8" s="49"/>
      <c r="K8" s="49"/>
      <c r="L8" s="49"/>
      <c r="M8" s="50">
        <f t="shared" si="0"/>
        <v>0</v>
      </c>
      <c r="N8" s="50" t="str">
        <f t="shared" si="1"/>
        <v/>
      </c>
      <c r="O8" t="str">
        <f t="shared" si="2"/>
        <v/>
      </c>
      <c r="Q8" s="4"/>
      <c r="R8" s="4"/>
      <c r="T8" s="4"/>
      <c r="U8" s="4"/>
      <c r="W8" t="str">
        <f t="shared" si="3"/>
        <v/>
      </c>
    </row>
    <row r="9" spans="1:25" ht="21" customHeight="1" x14ac:dyDescent="0.95">
      <c r="A9" s="57"/>
      <c r="B9" s="57"/>
      <c r="C9" s="57"/>
      <c r="D9" s="57"/>
      <c r="E9" s="57"/>
      <c r="F9" s="49"/>
      <c r="G9" s="49"/>
      <c r="H9" s="49"/>
      <c r="I9" s="49"/>
      <c r="J9" s="49"/>
      <c r="K9" s="49"/>
      <c r="L9" s="49"/>
      <c r="M9" s="50">
        <f t="shared" si="0"/>
        <v>0</v>
      </c>
      <c r="N9" s="50" t="str">
        <f t="shared" si="1"/>
        <v/>
      </c>
      <c r="O9" t="str">
        <f t="shared" si="2"/>
        <v/>
      </c>
      <c r="Q9" s="4"/>
      <c r="R9" s="4"/>
      <c r="T9" s="4"/>
      <c r="U9" s="4"/>
      <c r="W9" t="str">
        <f t="shared" si="3"/>
        <v/>
      </c>
    </row>
    <row r="10" spans="1:25" ht="21" customHeight="1" x14ac:dyDescent="0.95">
      <c r="A10" s="57"/>
      <c r="B10" s="57"/>
      <c r="C10" s="57"/>
      <c r="D10" s="57"/>
      <c r="E10" s="57"/>
      <c r="F10" s="49"/>
      <c r="G10" s="49"/>
      <c r="H10" s="49"/>
      <c r="I10" s="49"/>
      <c r="J10" s="49"/>
      <c r="K10" s="49"/>
      <c r="L10" s="49"/>
      <c r="M10" s="50">
        <f t="shared" si="0"/>
        <v>0</v>
      </c>
      <c r="N10" s="50" t="str">
        <f t="shared" si="1"/>
        <v/>
      </c>
      <c r="O10" t="str">
        <f t="shared" si="2"/>
        <v/>
      </c>
      <c r="Q10" s="4"/>
      <c r="R10" s="4"/>
      <c r="T10" s="4"/>
      <c r="U10" s="4"/>
      <c r="W10" t="str">
        <f t="shared" si="3"/>
        <v/>
      </c>
    </row>
    <row r="11" spans="1:25" ht="21" customHeight="1" x14ac:dyDescent="0.95">
      <c r="A11" s="57"/>
      <c r="B11" s="57"/>
      <c r="C11" s="57"/>
      <c r="D11" s="57"/>
      <c r="E11" s="57"/>
      <c r="F11" s="49"/>
      <c r="G11" s="49"/>
      <c r="H11" s="49"/>
      <c r="I11" s="49"/>
      <c r="J11" s="49"/>
      <c r="K11" s="49"/>
      <c r="L11" s="49"/>
      <c r="M11" s="50">
        <f t="shared" si="0"/>
        <v>0</v>
      </c>
      <c r="N11" s="50" t="str">
        <f t="shared" si="1"/>
        <v/>
      </c>
      <c r="O11" t="str">
        <f t="shared" si="2"/>
        <v/>
      </c>
      <c r="Q11" s="4"/>
      <c r="R11" s="4"/>
      <c r="T11" s="4"/>
      <c r="U11" s="4"/>
      <c r="W11" t="str">
        <f t="shared" si="3"/>
        <v/>
      </c>
    </row>
    <row r="12" spans="1:25" ht="21" customHeight="1" x14ac:dyDescent="0.95">
      <c r="A12" s="57"/>
      <c r="B12" s="57"/>
      <c r="C12" s="57"/>
      <c r="D12" s="57"/>
      <c r="E12" s="57"/>
      <c r="F12" s="49"/>
      <c r="G12" s="49"/>
      <c r="H12" s="49"/>
      <c r="I12" s="49"/>
      <c r="J12" s="49"/>
      <c r="K12" s="49"/>
      <c r="L12" s="49"/>
      <c r="M12" s="50">
        <f t="shared" si="0"/>
        <v>0</v>
      </c>
      <c r="N12" s="50" t="str">
        <f t="shared" si="1"/>
        <v/>
      </c>
      <c r="O12" t="str">
        <f t="shared" si="2"/>
        <v/>
      </c>
      <c r="Q12" s="4"/>
      <c r="R12" s="4"/>
      <c r="T12" s="4"/>
      <c r="U12" s="4"/>
      <c r="W12" t="str">
        <f t="shared" si="3"/>
        <v/>
      </c>
    </row>
    <row r="13" spans="1:25" ht="21" customHeight="1" x14ac:dyDescent="0.95">
      <c r="A13" s="57"/>
      <c r="B13" s="57"/>
      <c r="C13" s="57"/>
      <c r="D13" s="57"/>
      <c r="E13" s="57"/>
      <c r="F13" s="49"/>
      <c r="G13" s="49"/>
      <c r="H13" s="49"/>
      <c r="I13" s="49"/>
      <c r="J13" s="49"/>
      <c r="K13" s="49"/>
      <c r="L13" s="49"/>
      <c r="M13" s="50">
        <f t="shared" si="0"/>
        <v>0</v>
      </c>
      <c r="N13" s="50" t="str">
        <f t="shared" si="1"/>
        <v/>
      </c>
      <c r="O13" t="str">
        <f t="shared" si="2"/>
        <v/>
      </c>
      <c r="Q13" s="4"/>
      <c r="R13" s="4"/>
      <c r="T13" s="4"/>
      <c r="U13" s="4"/>
      <c r="W13" t="str">
        <f t="shared" si="3"/>
        <v/>
      </c>
    </row>
    <row r="14" spans="1:25" ht="21" customHeight="1" x14ac:dyDescent="0.95">
      <c r="A14" s="57"/>
      <c r="B14" s="57"/>
      <c r="C14" s="57"/>
      <c r="D14" s="57"/>
      <c r="E14" s="57"/>
      <c r="F14" s="49"/>
      <c r="G14" s="49"/>
      <c r="H14" s="49"/>
      <c r="I14" s="49"/>
      <c r="J14" s="49"/>
      <c r="K14" s="49"/>
      <c r="L14" s="49"/>
      <c r="M14" s="50">
        <f t="shared" si="0"/>
        <v>0</v>
      </c>
      <c r="N14" s="50" t="str">
        <f t="shared" si="1"/>
        <v/>
      </c>
      <c r="O14" t="str">
        <f t="shared" si="2"/>
        <v/>
      </c>
      <c r="Q14" s="4"/>
      <c r="R14" s="4"/>
      <c r="T14" s="4"/>
      <c r="U14" s="4"/>
      <c r="W14" t="str">
        <f t="shared" si="3"/>
        <v/>
      </c>
    </row>
    <row r="15" spans="1:25" ht="21" customHeight="1" x14ac:dyDescent="0.95">
      <c r="A15" s="57"/>
      <c r="B15" s="57"/>
      <c r="C15" s="57"/>
      <c r="D15" s="57"/>
      <c r="E15" s="57"/>
      <c r="F15" s="49"/>
      <c r="G15" s="49"/>
      <c r="H15" s="49"/>
      <c r="I15" s="49"/>
      <c r="J15" s="49"/>
      <c r="K15" s="49"/>
      <c r="L15" s="49"/>
      <c r="M15" s="50">
        <f t="shared" si="0"/>
        <v>0</v>
      </c>
      <c r="N15" s="50" t="str">
        <f t="shared" si="1"/>
        <v/>
      </c>
      <c r="O15" t="str">
        <f t="shared" si="2"/>
        <v/>
      </c>
      <c r="Q15" s="4"/>
      <c r="R15" s="4"/>
      <c r="W15" t="str">
        <f t="shared" si="3"/>
        <v/>
      </c>
    </row>
    <row r="16" spans="1:25" ht="21" customHeight="1" x14ac:dyDescent="0.95">
      <c r="A16" s="57"/>
      <c r="B16" s="57"/>
      <c r="C16" s="57"/>
      <c r="D16" s="57"/>
      <c r="E16" s="57"/>
      <c r="F16" s="49"/>
      <c r="G16" s="49"/>
      <c r="H16" s="49"/>
      <c r="I16" s="49"/>
      <c r="J16" s="49"/>
      <c r="K16" s="49"/>
      <c r="L16" s="49"/>
      <c r="M16" s="50">
        <f t="shared" si="0"/>
        <v>0</v>
      </c>
      <c r="N16" s="50" t="str">
        <f t="shared" si="1"/>
        <v/>
      </c>
      <c r="O16" t="str">
        <f t="shared" si="2"/>
        <v/>
      </c>
      <c r="Q16" s="4"/>
      <c r="R16" s="4"/>
      <c r="W16" t="str">
        <f t="shared" si="3"/>
        <v/>
      </c>
    </row>
    <row r="17" spans="1:23" ht="21" customHeight="1" x14ac:dyDescent="0.95">
      <c r="A17" s="57"/>
      <c r="B17" s="57"/>
      <c r="C17" s="57"/>
      <c r="D17" s="57"/>
      <c r="E17" s="57"/>
      <c r="F17" s="49"/>
      <c r="G17" s="49"/>
      <c r="H17" s="49"/>
      <c r="I17" s="49"/>
      <c r="J17" s="49"/>
      <c r="K17" s="49"/>
      <c r="L17" s="49"/>
      <c r="M17" s="50">
        <f t="shared" si="0"/>
        <v>0</v>
      </c>
      <c r="N17" s="50" t="str">
        <f t="shared" si="1"/>
        <v/>
      </c>
      <c r="O17" t="str">
        <f t="shared" si="2"/>
        <v/>
      </c>
      <c r="Q17" s="4"/>
      <c r="R17" s="4"/>
      <c r="W17" t="str">
        <f t="shared" si="3"/>
        <v/>
      </c>
    </row>
    <row r="18" spans="1:23" ht="21" customHeight="1" x14ac:dyDescent="0.95">
      <c r="A18" s="57"/>
      <c r="B18" s="57"/>
      <c r="C18" s="57"/>
      <c r="D18" s="57"/>
      <c r="E18" s="57"/>
      <c r="F18" s="49"/>
      <c r="G18" s="49"/>
      <c r="H18" s="49"/>
      <c r="I18" s="49"/>
      <c r="J18" s="49"/>
      <c r="K18" s="49"/>
      <c r="L18" s="49"/>
      <c r="M18" s="50">
        <f t="shared" si="0"/>
        <v>0</v>
      </c>
      <c r="N18" s="50" t="str">
        <f t="shared" si="1"/>
        <v/>
      </c>
      <c r="O18" t="str">
        <f t="shared" si="2"/>
        <v/>
      </c>
      <c r="Q18" s="4"/>
      <c r="R18" s="4"/>
      <c r="W18" t="str">
        <f t="shared" si="3"/>
        <v/>
      </c>
    </row>
    <row r="19" spans="1:23" ht="21" customHeight="1" x14ac:dyDescent="0.95">
      <c r="A19" s="57"/>
      <c r="B19" s="57"/>
      <c r="C19" s="57"/>
      <c r="D19" s="57"/>
      <c r="E19" s="57"/>
      <c r="F19" s="49"/>
      <c r="G19" s="49"/>
      <c r="H19" s="49"/>
      <c r="I19" s="49"/>
      <c r="J19" s="49"/>
      <c r="K19" s="49"/>
      <c r="L19" s="49"/>
      <c r="M19" s="50">
        <f t="shared" si="0"/>
        <v>0</v>
      </c>
      <c r="N19" s="50" t="str">
        <f t="shared" si="1"/>
        <v/>
      </c>
      <c r="O19" t="str">
        <f t="shared" si="2"/>
        <v/>
      </c>
      <c r="Q19" s="4"/>
      <c r="R19" s="4"/>
      <c r="W19" t="str">
        <f t="shared" si="3"/>
        <v/>
      </c>
    </row>
    <row r="20" spans="1:23" ht="21" customHeight="1" x14ac:dyDescent="0.95">
      <c r="A20" s="57"/>
      <c r="B20" s="57"/>
      <c r="C20" s="57"/>
      <c r="D20" s="57"/>
      <c r="E20" s="57"/>
      <c r="F20" s="49"/>
      <c r="G20" s="49"/>
      <c r="H20" s="49"/>
      <c r="I20" s="49"/>
      <c r="J20" s="49"/>
      <c r="K20" s="49"/>
      <c r="L20" s="49"/>
      <c r="M20" s="50">
        <f t="shared" si="0"/>
        <v>0</v>
      </c>
      <c r="N20" s="50" t="str">
        <f t="shared" si="1"/>
        <v/>
      </c>
      <c r="O20" t="str">
        <f t="shared" si="2"/>
        <v/>
      </c>
      <c r="Q20" s="4"/>
      <c r="R20" s="4"/>
      <c r="W20" t="str">
        <f t="shared" si="3"/>
        <v/>
      </c>
    </row>
    <row r="21" spans="1:23" ht="21" customHeight="1" x14ac:dyDescent="0.95">
      <c r="A21" s="57"/>
      <c r="B21" s="57"/>
      <c r="C21" s="57"/>
      <c r="D21" s="57"/>
      <c r="E21" s="57"/>
      <c r="F21" s="49"/>
      <c r="G21" s="49"/>
      <c r="H21" s="49"/>
      <c r="I21" s="49"/>
      <c r="J21" s="49"/>
      <c r="K21" s="49"/>
      <c r="L21" s="49"/>
      <c r="M21" s="50">
        <f t="shared" si="0"/>
        <v>0</v>
      </c>
      <c r="N21" s="50" t="str">
        <f t="shared" si="1"/>
        <v/>
      </c>
      <c r="O21" t="str">
        <f t="shared" si="2"/>
        <v/>
      </c>
      <c r="Q21" s="4"/>
      <c r="R21" s="4"/>
      <c r="W21" t="str">
        <f t="shared" si="3"/>
        <v/>
      </c>
    </row>
    <row r="22" spans="1:23" ht="21" customHeight="1" x14ac:dyDescent="0.95">
      <c r="A22" s="57"/>
      <c r="B22" s="57"/>
      <c r="C22" s="57"/>
      <c r="D22" s="57"/>
      <c r="E22" s="57"/>
      <c r="F22" s="49"/>
      <c r="G22" s="49"/>
      <c r="H22" s="49"/>
      <c r="I22" s="49"/>
      <c r="J22" s="49"/>
      <c r="K22" s="49"/>
      <c r="L22" s="49"/>
      <c r="M22" s="50">
        <f t="shared" si="0"/>
        <v>0</v>
      </c>
      <c r="N22" s="50" t="str">
        <f t="shared" si="1"/>
        <v/>
      </c>
      <c r="O22" t="str">
        <f t="shared" si="2"/>
        <v/>
      </c>
      <c r="Q22" s="4"/>
      <c r="R22" s="4"/>
      <c r="W22" t="str">
        <f t="shared" si="3"/>
        <v/>
      </c>
    </row>
    <row r="23" spans="1:23" ht="21" customHeight="1" x14ac:dyDescent="0.95">
      <c r="A23" s="57"/>
      <c r="B23" s="57"/>
      <c r="C23" s="57"/>
      <c r="D23" s="57"/>
      <c r="E23" s="57"/>
      <c r="F23" s="49"/>
      <c r="G23" s="49"/>
      <c r="H23" s="49"/>
      <c r="I23" s="49"/>
      <c r="J23" s="49"/>
      <c r="K23" s="49"/>
      <c r="L23" s="49"/>
      <c r="M23" s="50">
        <f t="shared" si="0"/>
        <v>0</v>
      </c>
      <c r="N23" s="50" t="str">
        <f t="shared" si="1"/>
        <v/>
      </c>
      <c r="O23" t="str">
        <f t="shared" si="2"/>
        <v/>
      </c>
      <c r="Q23" s="4"/>
      <c r="R23" s="4"/>
      <c r="W23" t="str">
        <f t="shared" si="3"/>
        <v/>
      </c>
    </row>
    <row r="24" spans="1:23" ht="21" customHeight="1" x14ac:dyDescent="0.95">
      <c r="A24" s="57"/>
      <c r="B24" s="57"/>
      <c r="C24" s="57"/>
      <c r="D24" s="57"/>
      <c r="E24" s="57"/>
      <c r="F24" s="49"/>
      <c r="G24" s="49"/>
      <c r="H24" s="49"/>
      <c r="I24" s="49"/>
      <c r="J24" s="49"/>
      <c r="K24" s="49"/>
      <c r="L24" s="49"/>
      <c r="M24" s="50">
        <f t="shared" si="0"/>
        <v>0</v>
      </c>
      <c r="N24" s="50" t="str">
        <f t="shared" si="1"/>
        <v/>
      </c>
      <c r="O24" t="str">
        <f t="shared" si="2"/>
        <v/>
      </c>
      <c r="Q24" s="4"/>
      <c r="R24" s="4"/>
      <c r="W24" t="str">
        <f t="shared" si="3"/>
        <v/>
      </c>
    </row>
    <row r="25" spans="1:23" ht="21" customHeight="1" x14ac:dyDescent="0.95">
      <c r="A25" s="57"/>
      <c r="B25" s="57"/>
      <c r="C25" s="57"/>
      <c r="D25" s="57"/>
      <c r="E25" s="57"/>
      <c r="F25" s="49"/>
      <c r="G25" s="49"/>
      <c r="H25" s="49"/>
      <c r="I25" s="49"/>
      <c r="J25" s="49"/>
      <c r="K25" s="49"/>
      <c r="L25" s="49"/>
      <c r="M25" s="50">
        <f t="shared" si="0"/>
        <v>0</v>
      </c>
      <c r="N25" s="50" t="str">
        <f t="shared" si="1"/>
        <v/>
      </c>
      <c r="O25" t="str">
        <f t="shared" si="2"/>
        <v/>
      </c>
      <c r="Q25" s="4"/>
      <c r="R25" s="4"/>
      <c r="W25" t="str">
        <f t="shared" si="3"/>
        <v/>
      </c>
    </row>
    <row r="26" spans="1:23" ht="21" customHeight="1" x14ac:dyDescent="0.95">
      <c r="A26" s="57"/>
      <c r="B26" s="57"/>
      <c r="C26" s="57"/>
      <c r="D26" s="57"/>
      <c r="E26" s="57"/>
      <c r="F26" s="49"/>
      <c r="G26" s="49"/>
      <c r="H26" s="49"/>
      <c r="I26" s="49"/>
      <c r="J26" s="49"/>
      <c r="K26" s="49"/>
      <c r="L26" s="49"/>
      <c r="M26" s="50">
        <f t="shared" si="0"/>
        <v>0</v>
      </c>
      <c r="N26" s="50" t="str">
        <f t="shared" si="1"/>
        <v/>
      </c>
      <c r="O26" t="str">
        <f t="shared" si="2"/>
        <v/>
      </c>
      <c r="Q26" s="4"/>
      <c r="R26" s="4"/>
      <c r="W26" t="str">
        <f t="shared" si="3"/>
        <v/>
      </c>
    </row>
    <row r="27" spans="1:23" ht="21" customHeight="1" x14ac:dyDescent="0.95">
      <c r="A27" s="57"/>
      <c r="B27" s="57"/>
      <c r="C27" s="57"/>
      <c r="D27" s="57"/>
      <c r="E27" s="57"/>
      <c r="F27" s="49"/>
      <c r="G27" s="49"/>
      <c r="H27" s="49"/>
      <c r="I27" s="49"/>
      <c r="J27" s="49"/>
      <c r="K27" s="49"/>
      <c r="L27" s="49"/>
      <c r="M27" s="50">
        <f t="shared" si="0"/>
        <v>0</v>
      </c>
      <c r="N27" s="50" t="str">
        <f t="shared" si="1"/>
        <v/>
      </c>
      <c r="O27" t="str">
        <f t="shared" si="2"/>
        <v/>
      </c>
      <c r="Q27" s="4"/>
      <c r="R27" s="4"/>
      <c r="W27" t="str">
        <f t="shared" si="3"/>
        <v/>
      </c>
    </row>
    <row r="28" spans="1:23" ht="21" customHeight="1" x14ac:dyDescent="0.95">
      <c r="A28" s="57"/>
      <c r="B28" s="57"/>
      <c r="C28" s="57"/>
      <c r="D28" s="57"/>
      <c r="E28" s="57"/>
      <c r="F28" s="49"/>
      <c r="G28" s="49"/>
      <c r="H28" s="49"/>
      <c r="I28" s="49"/>
      <c r="J28" s="49"/>
      <c r="K28" s="49"/>
      <c r="L28" s="49"/>
      <c r="M28" s="50">
        <f t="shared" si="0"/>
        <v>0</v>
      </c>
      <c r="N28" s="50" t="str">
        <f t="shared" si="1"/>
        <v/>
      </c>
      <c r="O28" t="str">
        <f t="shared" si="2"/>
        <v/>
      </c>
      <c r="Q28" s="4"/>
      <c r="R28" s="4"/>
      <c r="W28" t="str">
        <f t="shared" si="3"/>
        <v/>
      </c>
    </row>
    <row r="29" spans="1:23" ht="21" customHeight="1" x14ac:dyDescent="0.95">
      <c r="A29" s="57"/>
      <c r="B29" s="57"/>
      <c r="C29" s="57"/>
      <c r="D29" s="57"/>
      <c r="E29" s="57"/>
      <c r="F29" s="49"/>
      <c r="G29" s="49"/>
      <c r="H29" s="49"/>
      <c r="I29" s="49"/>
      <c r="J29" s="49"/>
      <c r="K29" s="49"/>
      <c r="L29" s="49"/>
      <c r="M29" s="50">
        <f t="shared" si="0"/>
        <v>0</v>
      </c>
      <c r="N29" s="50" t="str">
        <f t="shared" si="1"/>
        <v/>
      </c>
      <c r="O29" t="str">
        <f t="shared" si="2"/>
        <v/>
      </c>
      <c r="Q29" s="4"/>
      <c r="R29" s="4"/>
      <c r="W29" t="str">
        <f t="shared" si="3"/>
        <v/>
      </c>
    </row>
    <row r="30" spans="1:23" ht="21" customHeight="1" x14ac:dyDescent="0.95">
      <c r="A30" s="57"/>
      <c r="B30" s="57"/>
      <c r="C30" s="57"/>
      <c r="D30" s="57"/>
      <c r="E30" s="57"/>
      <c r="F30" s="49"/>
      <c r="G30" s="49"/>
      <c r="H30" s="49"/>
      <c r="I30" s="49"/>
      <c r="J30" s="49"/>
      <c r="K30" s="49"/>
      <c r="L30" s="49"/>
      <c r="M30" s="50">
        <f t="shared" si="0"/>
        <v>0</v>
      </c>
      <c r="N30" s="50" t="str">
        <f t="shared" si="1"/>
        <v/>
      </c>
      <c r="O30" t="str">
        <f t="shared" si="2"/>
        <v/>
      </c>
      <c r="Q30" s="4"/>
      <c r="R30" s="4"/>
      <c r="W30" t="str">
        <f t="shared" si="3"/>
        <v/>
      </c>
    </row>
    <row r="31" spans="1:23" ht="21" customHeight="1" x14ac:dyDescent="0.95">
      <c r="A31" s="57"/>
      <c r="B31" s="57"/>
      <c r="C31" s="57"/>
      <c r="D31" s="57"/>
      <c r="E31" s="57"/>
      <c r="F31" s="49"/>
      <c r="G31" s="49"/>
      <c r="H31" s="49"/>
      <c r="I31" s="49"/>
      <c r="J31" s="49"/>
      <c r="K31" s="49"/>
      <c r="L31" s="49"/>
      <c r="M31" s="50">
        <f t="shared" si="0"/>
        <v>0</v>
      </c>
      <c r="N31" s="50" t="str">
        <f t="shared" si="1"/>
        <v/>
      </c>
      <c r="O31" t="str">
        <f t="shared" si="2"/>
        <v/>
      </c>
      <c r="Q31" s="4"/>
      <c r="R31" s="4"/>
      <c r="W31" t="str">
        <f t="shared" si="3"/>
        <v/>
      </c>
    </row>
    <row r="32" spans="1:23" ht="21" customHeight="1" x14ac:dyDescent="0.95">
      <c r="A32" s="57"/>
      <c r="B32" s="57"/>
      <c r="C32" s="57"/>
      <c r="D32" s="57"/>
      <c r="E32" s="57"/>
      <c r="F32" s="49"/>
      <c r="G32" s="49"/>
      <c r="H32" s="49"/>
      <c r="I32" s="49"/>
      <c r="J32" s="49"/>
      <c r="K32" s="49"/>
      <c r="L32" s="49"/>
      <c r="M32" s="50">
        <f t="shared" si="0"/>
        <v>0</v>
      </c>
      <c r="N32" s="50" t="str">
        <f t="shared" si="1"/>
        <v/>
      </c>
      <c r="O32" t="str">
        <f t="shared" si="2"/>
        <v/>
      </c>
      <c r="Q32" s="4"/>
      <c r="R32" s="4"/>
      <c r="W32" t="str">
        <f t="shared" si="3"/>
        <v/>
      </c>
    </row>
    <row r="33" spans="1:23" ht="21" customHeight="1" x14ac:dyDescent="0.95">
      <c r="A33" s="57"/>
      <c r="B33" s="57"/>
      <c r="C33" s="57"/>
      <c r="D33" s="57"/>
      <c r="E33" s="57"/>
      <c r="F33" s="49"/>
      <c r="G33" s="49"/>
      <c r="H33" s="49"/>
      <c r="I33" s="49"/>
      <c r="J33" s="49"/>
      <c r="K33" s="49"/>
      <c r="L33" s="49"/>
      <c r="M33" s="50">
        <f t="shared" si="0"/>
        <v>0</v>
      </c>
      <c r="N33" s="50" t="str">
        <f t="shared" si="1"/>
        <v/>
      </c>
      <c r="O33" t="str">
        <f t="shared" si="2"/>
        <v/>
      </c>
      <c r="Q33" s="4"/>
      <c r="R33" s="4"/>
      <c r="W33" t="str">
        <f t="shared" si="3"/>
        <v/>
      </c>
    </row>
    <row r="34" spans="1:23" ht="21" customHeight="1" x14ac:dyDescent="0.95">
      <c r="A34" s="57"/>
      <c r="B34" s="57"/>
      <c r="C34" s="57"/>
      <c r="D34" s="57"/>
      <c r="E34" s="57"/>
      <c r="F34" s="49"/>
      <c r="G34" s="49"/>
      <c r="H34" s="49"/>
      <c r="I34" s="49"/>
      <c r="J34" s="49"/>
      <c r="K34" s="49"/>
      <c r="L34" s="49"/>
      <c r="M34" s="50">
        <f t="shared" si="0"/>
        <v>0</v>
      </c>
      <c r="N34" s="50" t="str">
        <f t="shared" si="1"/>
        <v/>
      </c>
      <c r="O34" t="str">
        <f t="shared" si="2"/>
        <v/>
      </c>
      <c r="Q34" s="4"/>
      <c r="R34" s="4"/>
      <c r="W34" t="str">
        <f t="shared" si="3"/>
        <v/>
      </c>
    </row>
    <row r="35" spans="1:23" ht="21" customHeight="1" x14ac:dyDescent="0.95">
      <c r="A35" s="57"/>
      <c r="B35" s="57"/>
      <c r="C35" s="57"/>
      <c r="D35" s="57"/>
      <c r="E35" s="57"/>
      <c r="F35" s="49"/>
      <c r="G35" s="49"/>
      <c r="H35" s="49"/>
      <c r="I35" s="49"/>
      <c r="J35" s="49"/>
      <c r="K35" s="49"/>
      <c r="L35" s="49"/>
      <c r="M35" s="50">
        <f t="shared" si="0"/>
        <v>0</v>
      </c>
      <c r="N35" s="50" t="str">
        <f t="shared" si="1"/>
        <v/>
      </c>
      <c r="O35" t="str">
        <f t="shared" si="2"/>
        <v/>
      </c>
      <c r="Q35" s="4"/>
      <c r="R35" s="4"/>
      <c r="W35" t="str">
        <f t="shared" si="3"/>
        <v/>
      </c>
    </row>
    <row r="36" spans="1:23" ht="21" customHeight="1" x14ac:dyDescent="0.95">
      <c r="A36" s="57"/>
      <c r="B36" s="57"/>
      <c r="C36" s="57"/>
      <c r="D36" s="57"/>
      <c r="E36" s="57"/>
      <c r="F36" s="49"/>
      <c r="G36" s="49"/>
      <c r="H36" s="49"/>
      <c r="I36" s="49"/>
      <c r="J36" s="49"/>
      <c r="K36" s="49"/>
      <c r="L36" s="49"/>
      <c r="M36" s="50">
        <f t="shared" si="0"/>
        <v>0</v>
      </c>
      <c r="N36" s="50" t="str">
        <f t="shared" si="1"/>
        <v/>
      </c>
      <c r="O36" t="str">
        <f t="shared" si="2"/>
        <v/>
      </c>
      <c r="Q36" s="4"/>
      <c r="R36" s="4"/>
      <c r="W36" t="str">
        <f t="shared" si="3"/>
        <v/>
      </c>
    </row>
    <row r="37" spans="1:23" ht="21" customHeight="1" x14ac:dyDescent="0.95">
      <c r="A37" s="57"/>
      <c r="B37" s="57"/>
      <c r="C37" s="57"/>
      <c r="D37" s="57"/>
      <c r="E37" s="57"/>
      <c r="F37" s="49"/>
      <c r="G37" s="49"/>
      <c r="H37" s="49"/>
      <c r="I37" s="49"/>
      <c r="J37" s="49"/>
      <c r="K37" s="49"/>
      <c r="L37" s="49"/>
      <c r="M37" s="50">
        <f t="shared" ref="M37:M68" si="4">IF(OR($X37="",$K37="",$L37="",$W37=""),0,ROUND($W37*$L37,2))</f>
        <v>0</v>
      </c>
      <c r="N37" s="50" t="str">
        <f t="shared" ref="N37:N68" si="5">IF($J37="","",ROUND(N($J37)+N($M37),2))</f>
        <v/>
      </c>
      <c r="O37" t="str">
        <f t="shared" ref="O37:O68" si="6">IF(OR($A37="",$B37="",$C37="",$D37="",$E37=""),"",$A37&amp;"|"&amp;$B37&amp;" - "&amp;$C37&amp;"("&amp;$D37&amp;")"&amp;"|"&amp;$E37)</f>
        <v/>
      </c>
      <c r="Q37" s="4"/>
      <c r="R37" s="4"/>
      <c r="W37" t="str">
        <f t="shared" ref="W37:W68" si="7">IF(OR($X37="",$K37=""),"",IF($K37&lt;$X37,$K37-$X37,IF($K37&gt;IF($V37="",$X37,$V37),$K37-IF($V37="",$X37,$V37),0)))</f>
        <v/>
      </c>
    </row>
    <row r="38" spans="1:23" ht="21" customHeight="1" x14ac:dyDescent="0.95">
      <c r="A38" s="57"/>
      <c r="B38" s="57"/>
      <c r="C38" s="57"/>
      <c r="D38" s="57"/>
      <c r="E38" s="57"/>
      <c r="F38" s="49"/>
      <c r="G38" s="49"/>
      <c r="H38" s="49"/>
      <c r="I38" s="49"/>
      <c r="J38" s="49"/>
      <c r="K38" s="49"/>
      <c r="L38" s="49"/>
      <c r="M38" s="50">
        <f t="shared" si="4"/>
        <v>0</v>
      </c>
      <c r="N38" s="50" t="str">
        <f t="shared" si="5"/>
        <v/>
      </c>
      <c r="O38" t="str">
        <f t="shared" si="6"/>
        <v/>
      </c>
      <c r="Q38" s="4"/>
      <c r="R38" s="4"/>
      <c r="W38" t="str">
        <f t="shared" si="7"/>
        <v/>
      </c>
    </row>
    <row r="39" spans="1:23" ht="21" customHeight="1" x14ac:dyDescent="0.95">
      <c r="A39" s="57"/>
      <c r="B39" s="57"/>
      <c r="C39" s="57"/>
      <c r="D39" s="57"/>
      <c r="E39" s="57"/>
      <c r="F39" s="49"/>
      <c r="G39" s="49"/>
      <c r="H39" s="49"/>
      <c r="I39" s="49"/>
      <c r="J39" s="49"/>
      <c r="K39" s="49"/>
      <c r="L39" s="49"/>
      <c r="M39" s="50">
        <f t="shared" si="4"/>
        <v>0</v>
      </c>
      <c r="N39" s="50" t="str">
        <f t="shared" si="5"/>
        <v/>
      </c>
      <c r="O39" t="str">
        <f t="shared" si="6"/>
        <v/>
      </c>
      <c r="Q39" s="4"/>
      <c r="R39" s="4"/>
      <c r="W39" t="str">
        <f t="shared" si="7"/>
        <v/>
      </c>
    </row>
    <row r="40" spans="1:23" ht="21" customHeight="1" x14ac:dyDescent="0.95">
      <c r="A40" s="57"/>
      <c r="B40" s="57"/>
      <c r="C40" s="57"/>
      <c r="D40" s="57"/>
      <c r="E40" s="57"/>
      <c r="F40" s="49"/>
      <c r="G40" s="49"/>
      <c r="H40" s="49"/>
      <c r="I40" s="49"/>
      <c r="J40" s="49"/>
      <c r="K40" s="49"/>
      <c r="L40" s="49"/>
      <c r="M40" s="50">
        <f t="shared" si="4"/>
        <v>0</v>
      </c>
      <c r="N40" s="50" t="str">
        <f t="shared" si="5"/>
        <v/>
      </c>
      <c r="O40" t="str">
        <f t="shared" si="6"/>
        <v/>
      </c>
      <c r="Q40" s="4"/>
      <c r="R40" s="4"/>
      <c r="W40" t="str">
        <f t="shared" si="7"/>
        <v/>
      </c>
    </row>
    <row r="41" spans="1:23" ht="21" customHeight="1" x14ac:dyDescent="0.95">
      <c r="A41" s="57"/>
      <c r="B41" s="57"/>
      <c r="C41" s="57"/>
      <c r="D41" s="57"/>
      <c r="E41" s="57"/>
      <c r="F41" s="49"/>
      <c r="G41" s="49"/>
      <c r="H41" s="49"/>
      <c r="I41" s="49"/>
      <c r="J41" s="49"/>
      <c r="K41" s="49"/>
      <c r="L41" s="49"/>
      <c r="M41" s="50">
        <f t="shared" si="4"/>
        <v>0</v>
      </c>
      <c r="N41" s="50" t="str">
        <f t="shared" si="5"/>
        <v/>
      </c>
      <c r="O41" t="str">
        <f t="shared" si="6"/>
        <v/>
      </c>
      <c r="Q41" s="4"/>
      <c r="R41" s="4"/>
      <c r="W41" t="str">
        <f t="shared" si="7"/>
        <v/>
      </c>
    </row>
    <row r="42" spans="1:23" ht="21" customHeight="1" x14ac:dyDescent="0.95">
      <c r="A42" s="57"/>
      <c r="B42" s="57"/>
      <c r="C42" s="57"/>
      <c r="D42" s="57"/>
      <c r="E42" s="57"/>
      <c r="F42" s="49"/>
      <c r="G42" s="49"/>
      <c r="H42" s="49"/>
      <c r="I42" s="49"/>
      <c r="J42" s="49"/>
      <c r="K42" s="49"/>
      <c r="L42" s="49"/>
      <c r="M42" s="50">
        <f t="shared" si="4"/>
        <v>0</v>
      </c>
      <c r="N42" s="50" t="str">
        <f t="shared" si="5"/>
        <v/>
      </c>
      <c r="O42" t="str">
        <f t="shared" si="6"/>
        <v/>
      </c>
      <c r="Q42" s="4"/>
      <c r="R42" s="4"/>
      <c r="W42" t="str">
        <f t="shared" si="7"/>
        <v/>
      </c>
    </row>
    <row r="43" spans="1:23" ht="21" customHeight="1" x14ac:dyDescent="0.95">
      <c r="A43" s="57"/>
      <c r="B43" s="57"/>
      <c r="C43" s="57"/>
      <c r="D43" s="57"/>
      <c r="E43" s="57"/>
      <c r="F43" s="49"/>
      <c r="G43" s="49"/>
      <c r="H43" s="49"/>
      <c r="I43" s="49"/>
      <c r="J43" s="49"/>
      <c r="K43" s="49"/>
      <c r="L43" s="49"/>
      <c r="M43" s="50">
        <f t="shared" si="4"/>
        <v>0</v>
      </c>
      <c r="N43" s="50" t="str">
        <f t="shared" si="5"/>
        <v/>
      </c>
      <c r="O43" t="str">
        <f t="shared" si="6"/>
        <v/>
      </c>
      <c r="Q43" s="4"/>
      <c r="R43" s="4"/>
      <c r="W43" t="str">
        <f t="shared" si="7"/>
        <v/>
      </c>
    </row>
    <row r="44" spans="1:23" ht="21" customHeight="1" x14ac:dyDescent="0.95">
      <c r="A44" s="57"/>
      <c r="B44" s="57"/>
      <c r="C44" s="57"/>
      <c r="D44" s="57"/>
      <c r="E44" s="57"/>
      <c r="F44" s="49"/>
      <c r="G44" s="49"/>
      <c r="H44" s="49"/>
      <c r="I44" s="49"/>
      <c r="J44" s="49"/>
      <c r="K44" s="49"/>
      <c r="L44" s="49"/>
      <c r="M44" s="50">
        <f t="shared" si="4"/>
        <v>0</v>
      </c>
      <c r="N44" s="50" t="str">
        <f t="shared" si="5"/>
        <v/>
      </c>
      <c r="O44" t="str">
        <f t="shared" si="6"/>
        <v/>
      </c>
      <c r="Q44" s="4"/>
      <c r="R44" s="4"/>
      <c r="W44" t="str">
        <f t="shared" si="7"/>
        <v/>
      </c>
    </row>
    <row r="45" spans="1:23" ht="21" customHeight="1" x14ac:dyDescent="0.95">
      <c r="A45" s="57"/>
      <c r="B45" s="57"/>
      <c r="C45" s="57"/>
      <c r="D45" s="57"/>
      <c r="E45" s="57"/>
      <c r="F45" s="49"/>
      <c r="G45" s="49"/>
      <c r="H45" s="49"/>
      <c r="I45" s="49"/>
      <c r="J45" s="49"/>
      <c r="K45" s="49"/>
      <c r="L45" s="49"/>
      <c r="M45" s="50">
        <f t="shared" si="4"/>
        <v>0</v>
      </c>
      <c r="N45" s="50" t="str">
        <f t="shared" si="5"/>
        <v/>
      </c>
      <c r="O45" t="str">
        <f t="shared" si="6"/>
        <v/>
      </c>
      <c r="Q45" s="4"/>
      <c r="R45" s="4"/>
      <c r="W45" t="str">
        <f t="shared" si="7"/>
        <v/>
      </c>
    </row>
    <row r="46" spans="1:23" ht="21" customHeight="1" x14ac:dyDescent="0.95">
      <c r="A46" s="57"/>
      <c r="B46" s="57"/>
      <c r="C46" s="57"/>
      <c r="D46" s="57"/>
      <c r="E46" s="57"/>
      <c r="F46" s="49"/>
      <c r="G46" s="49"/>
      <c r="H46" s="49"/>
      <c r="I46" s="49"/>
      <c r="J46" s="49"/>
      <c r="K46" s="49"/>
      <c r="L46" s="49"/>
      <c r="M46" s="50">
        <f t="shared" si="4"/>
        <v>0</v>
      </c>
      <c r="N46" s="50" t="str">
        <f t="shared" si="5"/>
        <v/>
      </c>
      <c r="O46" t="str">
        <f t="shared" si="6"/>
        <v/>
      </c>
      <c r="Q46" s="4"/>
      <c r="R46" s="4"/>
      <c r="W46" t="str">
        <f t="shared" si="7"/>
        <v/>
      </c>
    </row>
    <row r="47" spans="1:23" ht="21" customHeight="1" x14ac:dyDescent="0.95">
      <c r="A47" s="57"/>
      <c r="B47" s="57"/>
      <c r="C47" s="57"/>
      <c r="D47" s="57"/>
      <c r="E47" s="57"/>
      <c r="F47" s="49"/>
      <c r="G47" s="49"/>
      <c r="H47" s="49"/>
      <c r="I47" s="49"/>
      <c r="J47" s="49"/>
      <c r="K47" s="49"/>
      <c r="L47" s="49"/>
      <c r="M47" s="50">
        <f t="shared" si="4"/>
        <v>0</v>
      </c>
      <c r="N47" s="50" t="str">
        <f t="shared" si="5"/>
        <v/>
      </c>
      <c r="O47" t="str">
        <f t="shared" si="6"/>
        <v/>
      </c>
      <c r="Q47" s="4"/>
      <c r="R47" s="4"/>
      <c r="W47" t="str">
        <f t="shared" si="7"/>
        <v/>
      </c>
    </row>
    <row r="48" spans="1:23" ht="21" customHeight="1" x14ac:dyDescent="0.95">
      <c r="A48" s="57"/>
      <c r="B48" s="57"/>
      <c r="C48" s="57"/>
      <c r="D48" s="57"/>
      <c r="E48" s="57"/>
      <c r="F48" s="49"/>
      <c r="G48" s="49"/>
      <c r="H48" s="49"/>
      <c r="I48" s="49"/>
      <c r="J48" s="49"/>
      <c r="K48" s="49"/>
      <c r="L48" s="49"/>
      <c r="M48" s="50">
        <f t="shared" si="4"/>
        <v>0</v>
      </c>
      <c r="N48" s="50" t="str">
        <f t="shared" si="5"/>
        <v/>
      </c>
      <c r="O48" t="str">
        <f t="shared" si="6"/>
        <v/>
      </c>
      <c r="Q48" s="4"/>
      <c r="R48" s="4"/>
      <c r="W48" t="str">
        <f t="shared" si="7"/>
        <v/>
      </c>
    </row>
    <row r="49" spans="1:23" ht="21" customHeight="1" x14ac:dyDescent="0.95">
      <c r="A49" s="57"/>
      <c r="B49" s="57"/>
      <c r="C49" s="57"/>
      <c r="D49" s="57"/>
      <c r="E49" s="57"/>
      <c r="F49" s="49"/>
      <c r="G49" s="49"/>
      <c r="H49" s="49"/>
      <c r="I49" s="49"/>
      <c r="J49" s="49"/>
      <c r="K49" s="49"/>
      <c r="L49" s="49"/>
      <c r="M49" s="50">
        <f t="shared" si="4"/>
        <v>0</v>
      </c>
      <c r="N49" s="50" t="str">
        <f t="shared" si="5"/>
        <v/>
      </c>
      <c r="O49" t="str">
        <f t="shared" si="6"/>
        <v/>
      </c>
      <c r="Q49" s="4"/>
      <c r="R49" s="4"/>
      <c r="W49" t="str">
        <f t="shared" si="7"/>
        <v/>
      </c>
    </row>
    <row r="50" spans="1:23" ht="21" customHeight="1" x14ac:dyDescent="0.95">
      <c r="A50" s="57"/>
      <c r="B50" s="57"/>
      <c r="C50" s="57"/>
      <c r="D50" s="57"/>
      <c r="E50" s="57"/>
      <c r="F50" s="49"/>
      <c r="G50" s="49"/>
      <c r="H50" s="49"/>
      <c r="I50" s="49"/>
      <c r="J50" s="49"/>
      <c r="K50" s="49"/>
      <c r="L50" s="49"/>
      <c r="M50" s="50">
        <f t="shared" si="4"/>
        <v>0</v>
      </c>
      <c r="N50" s="50" t="str">
        <f t="shared" si="5"/>
        <v/>
      </c>
      <c r="O50" t="str">
        <f t="shared" si="6"/>
        <v/>
      </c>
      <c r="Q50" s="4"/>
      <c r="R50" s="4"/>
      <c r="W50" t="str">
        <f t="shared" si="7"/>
        <v/>
      </c>
    </row>
    <row r="51" spans="1:23" ht="21" customHeight="1" x14ac:dyDescent="0.95">
      <c r="A51" s="57"/>
      <c r="B51" s="57"/>
      <c r="C51" s="57"/>
      <c r="D51" s="57"/>
      <c r="E51" s="57"/>
      <c r="F51" s="49"/>
      <c r="G51" s="49"/>
      <c r="H51" s="49"/>
      <c r="I51" s="49"/>
      <c r="J51" s="49"/>
      <c r="K51" s="49"/>
      <c r="L51" s="49"/>
      <c r="M51" s="50">
        <f t="shared" si="4"/>
        <v>0</v>
      </c>
      <c r="N51" s="50" t="str">
        <f t="shared" si="5"/>
        <v/>
      </c>
      <c r="O51" t="str">
        <f t="shared" si="6"/>
        <v/>
      </c>
      <c r="Q51" s="4"/>
      <c r="R51" s="4"/>
      <c r="W51" t="str">
        <f t="shared" si="7"/>
        <v/>
      </c>
    </row>
    <row r="52" spans="1:23" ht="21" customHeight="1" x14ac:dyDescent="0.95">
      <c r="A52" s="57"/>
      <c r="B52" s="57"/>
      <c r="C52" s="57"/>
      <c r="D52" s="57"/>
      <c r="E52" s="57"/>
      <c r="F52" s="49"/>
      <c r="G52" s="49"/>
      <c r="H52" s="49"/>
      <c r="I52" s="49"/>
      <c r="J52" s="49"/>
      <c r="K52" s="49"/>
      <c r="L52" s="49"/>
      <c r="M52" s="50">
        <f t="shared" si="4"/>
        <v>0</v>
      </c>
      <c r="N52" s="50" t="str">
        <f t="shared" si="5"/>
        <v/>
      </c>
      <c r="O52" t="str">
        <f t="shared" si="6"/>
        <v/>
      </c>
      <c r="Q52" s="4"/>
      <c r="R52" s="4"/>
      <c r="W52" t="str">
        <f t="shared" si="7"/>
        <v/>
      </c>
    </row>
    <row r="53" spans="1:23" ht="21" customHeight="1" x14ac:dyDescent="0.95">
      <c r="A53" s="57"/>
      <c r="B53" s="57"/>
      <c r="C53" s="57"/>
      <c r="D53" s="57"/>
      <c r="E53" s="57"/>
      <c r="F53" s="49"/>
      <c r="G53" s="49"/>
      <c r="H53" s="49"/>
      <c r="I53" s="49"/>
      <c r="J53" s="49"/>
      <c r="K53" s="49"/>
      <c r="L53" s="49"/>
      <c r="M53" s="50">
        <f t="shared" si="4"/>
        <v>0</v>
      </c>
      <c r="N53" s="50" t="str">
        <f t="shared" si="5"/>
        <v/>
      </c>
      <c r="O53" t="str">
        <f t="shared" si="6"/>
        <v/>
      </c>
      <c r="Q53" s="4"/>
      <c r="R53" s="4"/>
      <c r="W53" t="str">
        <f t="shared" si="7"/>
        <v/>
      </c>
    </row>
    <row r="54" spans="1:23" ht="21" customHeight="1" x14ac:dyDescent="0.95">
      <c r="A54" s="57"/>
      <c r="B54" s="57"/>
      <c r="C54" s="57"/>
      <c r="D54" s="57"/>
      <c r="E54" s="57"/>
      <c r="F54" s="49"/>
      <c r="G54" s="49"/>
      <c r="H54" s="49"/>
      <c r="I54" s="49"/>
      <c r="J54" s="49"/>
      <c r="K54" s="49"/>
      <c r="L54" s="49"/>
      <c r="M54" s="50">
        <f t="shared" si="4"/>
        <v>0</v>
      </c>
      <c r="N54" s="50" t="str">
        <f t="shared" si="5"/>
        <v/>
      </c>
      <c r="O54" t="str">
        <f t="shared" si="6"/>
        <v/>
      </c>
      <c r="Q54" s="4"/>
      <c r="R54" s="4"/>
      <c r="W54" t="str">
        <f t="shared" si="7"/>
        <v/>
      </c>
    </row>
    <row r="55" spans="1:23" ht="21" customHeight="1" x14ac:dyDescent="0.95">
      <c r="A55" s="57"/>
      <c r="B55" s="57"/>
      <c r="C55" s="57"/>
      <c r="D55" s="57"/>
      <c r="E55" s="57"/>
      <c r="F55" s="49"/>
      <c r="G55" s="49"/>
      <c r="H55" s="49"/>
      <c r="I55" s="49"/>
      <c r="J55" s="49"/>
      <c r="K55" s="49"/>
      <c r="L55" s="49"/>
      <c r="M55" s="50">
        <f t="shared" si="4"/>
        <v>0</v>
      </c>
      <c r="N55" s="50" t="str">
        <f t="shared" si="5"/>
        <v/>
      </c>
      <c r="O55" t="str">
        <f t="shared" si="6"/>
        <v/>
      </c>
      <c r="W55" t="str">
        <f t="shared" si="7"/>
        <v/>
      </c>
    </row>
    <row r="56" spans="1:23" ht="21" customHeight="1" x14ac:dyDescent="0.95">
      <c r="A56" s="57"/>
      <c r="B56" s="57"/>
      <c r="C56" s="57"/>
      <c r="D56" s="57"/>
      <c r="E56" s="57"/>
      <c r="F56" s="49"/>
      <c r="G56" s="49"/>
      <c r="H56" s="49"/>
      <c r="I56" s="49"/>
      <c r="J56" s="49"/>
      <c r="K56" s="49"/>
      <c r="L56" s="49"/>
      <c r="M56" s="50">
        <f t="shared" si="4"/>
        <v>0</v>
      </c>
      <c r="N56" s="50" t="str">
        <f t="shared" si="5"/>
        <v/>
      </c>
      <c r="O56" t="str">
        <f t="shared" si="6"/>
        <v/>
      </c>
      <c r="W56" t="str">
        <f t="shared" si="7"/>
        <v/>
      </c>
    </row>
    <row r="57" spans="1:23" ht="21" customHeight="1" x14ac:dyDescent="0.95">
      <c r="A57" s="57"/>
      <c r="B57" s="57"/>
      <c r="C57" s="57"/>
      <c r="D57" s="57"/>
      <c r="E57" s="57"/>
      <c r="F57" s="49"/>
      <c r="G57" s="49"/>
      <c r="H57" s="49"/>
      <c r="I57" s="49"/>
      <c r="J57" s="49"/>
      <c r="K57" s="49"/>
      <c r="L57" s="49"/>
      <c r="M57" s="50">
        <f t="shared" si="4"/>
        <v>0</v>
      </c>
      <c r="N57" s="50" t="str">
        <f t="shared" si="5"/>
        <v/>
      </c>
      <c r="O57" t="str">
        <f t="shared" si="6"/>
        <v/>
      </c>
      <c r="W57" t="str">
        <f t="shared" si="7"/>
        <v/>
      </c>
    </row>
    <row r="58" spans="1:23" ht="21" customHeight="1" x14ac:dyDescent="0.95">
      <c r="A58" s="57"/>
      <c r="B58" s="57"/>
      <c r="C58" s="57"/>
      <c r="D58" s="57"/>
      <c r="E58" s="57"/>
      <c r="F58" s="49"/>
      <c r="G58" s="49"/>
      <c r="H58" s="49"/>
      <c r="I58" s="49"/>
      <c r="J58" s="49"/>
      <c r="K58" s="49"/>
      <c r="L58" s="49"/>
      <c r="M58" s="50">
        <f t="shared" si="4"/>
        <v>0</v>
      </c>
      <c r="N58" s="50" t="str">
        <f t="shared" si="5"/>
        <v/>
      </c>
      <c r="O58" t="str">
        <f t="shared" si="6"/>
        <v/>
      </c>
      <c r="W58" t="str">
        <f t="shared" si="7"/>
        <v/>
      </c>
    </row>
    <row r="59" spans="1:23" ht="21" customHeight="1" x14ac:dyDescent="0.95">
      <c r="A59" s="57"/>
      <c r="B59" s="57"/>
      <c r="C59" s="57"/>
      <c r="D59" s="57"/>
      <c r="E59" s="57"/>
      <c r="F59" s="49"/>
      <c r="G59" s="49"/>
      <c r="H59" s="49"/>
      <c r="I59" s="49"/>
      <c r="J59" s="49"/>
      <c r="K59" s="49"/>
      <c r="L59" s="49"/>
      <c r="M59" s="50">
        <f t="shared" si="4"/>
        <v>0</v>
      </c>
      <c r="N59" s="50" t="str">
        <f t="shared" si="5"/>
        <v/>
      </c>
      <c r="O59" t="str">
        <f t="shared" si="6"/>
        <v/>
      </c>
      <c r="W59" t="str">
        <f t="shared" si="7"/>
        <v/>
      </c>
    </row>
    <row r="60" spans="1:23" ht="21" customHeight="1" x14ac:dyDescent="0.95">
      <c r="A60" s="57"/>
      <c r="B60" s="57"/>
      <c r="C60" s="57"/>
      <c r="D60" s="57"/>
      <c r="E60" s="57"/>
      <c r="F60" s="49"/>
      <c r="G60" s="49"/>
      <c r="H60" s="49"/>
      <c r="I60" s="49"/>
      <c r="J60" s="49"/>
      <c r="K60" s="49"/>
      <c r="L60" s="49"/>
      <c r="M60" s="50">
        <f t="shared" si="4"/>
        <v>0</v>
      </c>
      <c r="N60" s="50" t="str">
        <f t="shared" si="5"/>
        <v/>
      </c>
      <c r="O60" t="str">
        <f t="shared" si="6"/>
        <v/>
      </c>
      <c r="W60" t="str">
        <f t="shared" si="7"/>
        <v/>
      </c>
    </row>
    <row r="61" spans="1:23" ht="21" customHeight="1" x14ac:dyDescent="0.95">
      <c r="A61" s="57"/>
      <c r="B61" s="57"/>
      <c r="C61" s="57"/>
      <c r="D61" s="57"/>
      <c r="E61" s="57"/>
      <c r="F61" s="49"/>
      <c r="G61" s="49"/>
      <c r="H61" s="49"/>
      <c r="I61" s="49"/>
      <c r="J61" s="49"/>
      <c r="K61" s="49"/>
      <c r="L61" s="49"/>
      <c r="M61" s="50">
        <f t="shared" si="4"/>
        <v>0</v>
      </c>
      <c r="N61" s="50" t="str">
        <f t="shared" si="5"/>
        <v/>
      </c>
      <c r="O61" t="str">
        <f t="shared" si="6"/>
        <v/>
      </c>
      <c r="W61" t="str">
        <f t="shared" si="7"/>
        <v/>
      </c>
    </row>
    <row r="62" spans="1:23" ht="21" customHeight="1" x14ac:dyDescent="0.95">
      <c r="A62" s="57"/>
      <c r="B62" s="57"/>
      <c r="C62" s="57"/>
      <c r="D62" s="57"/>
      <c r="E62" s="57"/>
      <c r="F62" s="49"/>
      <c r="G62" s="49"/>
      <c r="H62" s="49"/>
      <c r="I62" s="49"/>
      <c r="J62" s="49"/>
      <c r="K62" s="49"/>
      <c r="L62" s="49"/>
      <c r="M62" s="50">
        <f t="shared" si="4"/>
        <v>0</v>
      </c>
      <c r="N62" s="50" t="str">
        <f t="shared" si="5"/>
        <v/>
      </c>
      <c r="O62" t="str">
        <f t="shared" si="6"/>
        <v/>
      </c>
      <c r="W62" t="str">
        <f t="shared" si="7"/>
        <v/>
      </c>
    </row>
    <row r="63" spans="1:23" ht="21" customHeight="1" x14ac:dyDescent="0.95">
      <c r="A63" s="57"/>
      <c r="B63" s="57"/>
      <c r="C63" s="57"/>
      <c r="D63" s="57"/>
      <c r="E63" s="57"/>
      <c r="F63" s="49"/>
      <c r="G63" s="49"/>
      <c r="H63" s="49"/>
      <c r="I63" s="49"/>
      <c r="J63" s="49"/>
      <c r="K63" s="49"/>
      <c r="L63" s="49"/>
      <c r="M63" s="50">
        <f t="shared" si="4"/>
        <v>0</v>
      </c>
      <c r="N63" s="50" t="str">
        <f t="shared" si="5"/>
        <v/>
      </c>
      <c r="O63" t="str">
        <f t="shared" si="6"/>
        <v/>
      </c>
      <c r="W63" t="str">
        <f t="shared" si="7"/>
        <v/>
      </c>
    </row>
    <row r="64" spans="1:23" ht="21" customHeight="1" x14ac:dyDescent="0.95">
      <c r="A64" s="57"/>
      <c r="B64" s="57"/>
      <c r="C64" s="57"/>
      <c r="D64" s="57"/>
      <c r="E64" s="57"/>
      <c r="F64" s="49"/>
      <c r="G64" s="49"/>
      <c r="H64" s="49"/>
      <c r="I64" s="49"/>
      <c r="J64" s="49"/>
      <c r="K64" s="49"/>
      <c r="L64" s="49"/>
      <c r="M64" s="50">
        <f t="shared" si="4"/>
        <v>0</v>
      </c>
      <c r="N64" s="50" t="str">
        <f t="shared" si="5"/>
        <v/>
      </c>
      <c r="O64" t="str">
        <f t="shared" si="6"/>
        <v/>
      </c>
      <c r="W64" t="str">
        <f t="shared" si="7"/>
        <v/>
      </c>
    </row>
    <row r="65" spans="1:23" ht="21" customHeight="1" x14ac:dyDescent="0.95">
      <c r="A65" s="57"/>
      <c r="B65" s="57"/>
      <c r="C65" s="57"/>
      <c r="D65" s="57"/>
      <c r="E65" s="57"/>
      <c r="F65" s="49"/>
      <c r="G65" s="49"/>
      <c r="H65" s="49"/>
      <c r="I65" s="49"/>
      <c r="J65" s="49"/>
      <c r="K65" s="49"/>
      <c r="L65" s="49"/>
      <c r="M65" s="50">
        <f t="shared" si="4"/>
        <v>0</v>
      </c>
      <c r="N65" s="50" t="str">
        <f t="shared" si="5"/>
        <v/>
      </c>
      <c r="O65" t="str">
        <f t="shared" si="6"/>
        <v/>
      </c>
      <c r="W65" t="str">
        <f t="shared" si="7"/>
        <v/>
      </c>
    </row>
    <row r="66" spans="1:23" ht="21" customHeight="1" x14ac:dyDescent="0.95">
      <c r="A66" s="57"/>
      <c r="B66" s="57"/>
      <c r="C66" s="57"/>
      <c r="D66" s="57"/>
      <c r="E66" s="57"/>
      <c r="F66" s="49"/>
      <c r="G66" s="49"/>
      <c r="H66" s="49"/>
      <c r="I66" s="49"/>
      <c r="J66" s="49"/>
      <c r="K66" s="49"/>
      <c r="L66" s="49"/>
      <c r="M66" s="50">
        <f t="shared" si="4"/>
        <v>0</v>
      </c>
      <c r="N66" s="50" t="str">
        <f t="shared" si="5"/>
        <v/>
      </c>
      <c r="O66" t="str">
        <f t="shared" si="6"/>
        <v/>
      </c>
      <c r="W66" t="str">
        <f t="shared" si="7"/>
        <v/>
      </c>
    </row>
    <row r="67" spans="1:23" ht="21" customHeight="1" x14ac:dyDescent="0.95">
      <c r="A67" s="57"/>
      <c r="B67" s="57"/>
      <c r="C67" s="57"/>
      <c r="D67" s="57"/>
      <c r="E67" s="57"/>
      <c r="F67" s="49"/>
      <c r="G67" s="49"/>
      <c r="H67" s="49"/>
      <c r="I67" s="49"/>
      <c r="J67" s="49"/>
      <c r="K67" s="49"/>
      <c r="L67" s="49"/>
      <c r="M67" s="50">
        <f t="shared" si="4"/>
        <v>0</v>
      </c>
      <c r="N67" s="50" t="str">
        <f t="shared" si="5"/>
        <v/>
      </c>
      <c r="O67" t="str">
        <f t="shared" si="6"/>
        <v/>
      </c>
      <c r="W67" t="str">
        <f t="shared" si="7"/>
        <v/>
      </c>
    </row>
    <row r="68" spans="1:23" ht="21" customHeight="1" x14ac:dyDescent="0.95">
      <c r="A68" s="57"/>
      <c r="B68" s="57"/>
      <c r="C68" s="57"/>
      <c r="D68" s="57"/>
      <c r="E68" s="57"/>
      <c r="F68" s="49"/>
      <c r="G68" s="49"/>
      <c r="H68" s="49"/>
      <c r="I68" s="49"/>
      <c r="J68" s="49"/>
      <c r="K68" s="49"/>
      <c r="L68" s="49"/>
      <c r="M68" s="50">
        <f t="shared" si="4"/>
        <v>0</v>
      </c>
      <c r="N68" s="50" t="str">
        <f t="shared" si="5"/>
        <v/>
      </c>
      <c r="O68" t="str">
        <f t="shared" si="6"/>
        <v/>
      </c>
      <c r="W68" t="str">
        <f t="shared" si="7"/>
        <v/>
      </c>
    </row>
    <row r="69" spans="1:23" ht="21" customHeight="1" x14ac:dyDescent="0.95">
      <c r="A69" s="57"/>
      <c r="B69" s="57"/>
      <c r="C69" s="57"/>
      <c r="D69" s="57"/>
      <c r="E69" s="57"/>
      <c r="F69" s="49"/>
      <c r="G69" s="49"/>
      <c r="H69" s="49"/>
      <c r="I69" s="49"/>
      <c r="J69" s="49"/>
      <c r="K69" s="49"/>
      <c r="L69" s="49"/>
      <c r="M69" s="50">
        <f t="shared" ref="M69:M100" si="8">IF(OR($X69="",$K69="",$L69="",$W69=""),0,ROUND($W69*$L69,2))</f>
        <v>0</v>
      </c>
      <c r="N69" s="50" t="str">
        <f t="shared" ref="N69:N100" si="9">IF($J69="","",ROUND(N($J69)+N($M69),2))</f>
        <v/>
      </c>
      <c r="O69" t="str">
        <f t="shared" ref="O69:O100" si="10">IF(OR($A69="",$B69="",$C69="",$D69="",$E69=""),"",$A69&amp;"|"&amp;$B69&amp;" - "&amp;$C69&amp;"("&amp;$D69&amp;")"&amp;"|"&amp;$E69)</f>
        <v/>
      </c>
      <c r="W69" t="str">
        <f t="shared" ref="W69:W100" si="11">IF(OR($X69="",$K69=""),"",IF($K69&lt;$X69,$K69-$X69,IF($K69&gt;IF($V69="",$X69,$V69),$K69-IF($V69="",$X69,$V69),0)))</f>
        <v/>
      </c>
    </row>
    <row r="70" spans="1:23" ht="21" customHeight="1" x14ac:dyDescent="0.95">
      <c r="A70" s="57"/>
      <c r="B70" s="57"/>
      <c r="C70" s="57"/>
      <c r="D70" s="57"/>
      <c r="E70" s="57"/>
      <c r="F70" s="49"/>
      <c r="G70" s="49"/>
      <c r="H70" s="49"/>
      <c r="I70" s="49"/>
      <c r="J70" s="49"/>
      <c r="K70" s="49"/>
      <c r="L70" s="49"/>
      <c r="M70" s="50">
        <f t="shared" si="8"/>
        <v>0</v>
      </c>
      <c r="N70" s="50" t="str">
        <f t="shared" si="9"/>
        <v/>
      </c>
      <c r="O70" t="str">
        <f t="shared" si="10"/>
        <v/>
      </c>
      <c r="W70" t="str">
        <f t="shared" si="11"/>
        <v/>
      </c>
    </row>
    <row r="71" spans="1:23" ht="21" customHeight="1" x14ac:dyDescent="0.95">
      <c r="A71" s="57"/>
      <c r="B71" s="57"/>
      <c r="C71" s="57"/>
      <c r="D71" s="57"/>
      <c r="E71" s="57"/>
      <c r="F71" s="49"/>
      <c r="G71" s="49"/>
      <c r="H71" s="49"/>
      <c r="I71" s="49"/>
      <c r="J71" s="49"/>
      <c r="K71" s="49"/>
      <c r="L71" s="49"/>
      <c r="M71" s="50">
        <f t="shared" si="8"/>
        <v>0</v>
      </c>
      <c r="N71" s="50" t="str">
        <f t="shared" si="9"/>
        <v/>
      </c>
      <c r="O71" t="str">
        <f t="shared" si="10"/>
        <v/>
      </c>
      <c r="W71" t="str">
        <f t="shared" si="11"/>
        <v/>
      </c>
    </row>
    <row r="72" spans="1:23" ht="21" customHeight="1" x14ac:dyDescent="0.95">
      <c r="A72" s="57"/>
      <c r="B72" s="57"/>
      <c r="C72" s="57"/>
      <c r="D72" s="57"/>
      <c r="E72" s="57"/>
      <c r="F72" s="49"/>
      <c r="G72" s="49"/>
      <c r="H72" s="49"/>
      <c r="I72" s="49"/>
      <c r="J72" s="49"/>
      <c r="K72" s="49"/>
      <c r="L72" s="49"/>
      <c r="M72" s="50">
        <f t="shared" si="8"/>
        <v>0</v>
      </c>
      <c r="N72" s="50" t="str">
        <f t="shared" si="9"/>
        <v/>
      </c>
      <c r="O72" t="str">
        <f t="shared" si="10"/>
        <v/>
      </c>
      <c r="W72" t="str">
        <f t="shared" si="11"/>
        <v/>
      </c>
    </row>
    <row r="73" spans="1:23" ht="21" customHeight="1" x14ac:dyDescent="0.95">
      <c r="A73" s="57"/>
      <c r="B73" s="57"/>
      <c r="C73" s="57"/>
      <c r="D73" s="57"/>
      <c r="E73" s="57"/>
      <c r="F73" s="49"/>
      <c r="G73" s="49"/>
      <c r="H73" s="49"/>
      <c r="I73" s="49"/>
      <c r="J73" s="49"/>
      <c r="K73" s="49"/>
      <c r="L73" s="49"/>
      <c r="M73" s="50">
        <f t="shared" si="8"/>
        <v>0</v>
      </c>
      <c r="N73" s="50" t="str">
        <f t="shared" si="9"/>
        <v/>
      </c>
      <c r="O73" t="str">
        <f t="shared" si="10"/>
        <v/>
      </c>
      <c r="W73" t="str">
        <f t="shared" si="11"/>
        <v/>
      </c>
    </row>
    <row r="74" spans="1:23" ht="21" customHeight="1" x14ac:dyDescent="0.95">
      <c r="A74" s="57"/>
      <c r="B74" s="57"/>
      <c r="C74" s="57"/>
      <c r="D74" s="57"/>
      <c r="E74" s="57"/>
      <c r="F74" s="49"/>
      <c r="G74" s="49"/>
      <c r="H74" s="49"/>
      <c r="I74" s="49"/>
      <c r="J74" s="49"/>
      <c r="K74" s="49"/>
      <c r="L74" s="49"/>
      <c r="M74" s="50">
        <f t="shared" si="8"/>
        <v>0</v>
      </c>
      <c r="N74" s="50" t="str">
        <f t="shared" si="9"/>
        <v/>
      </c>
      <c r="O74" t="str">
        <f t="shared" si="10"/>
        <v/>
      </c>
      <c r="W74" t="str">
        <f t="shared" si="11"/>
        <v/>
      </c>
    </row>
    <row r="75" spans="1:23" ht="21" customHeight="1" x14ac:dyDescent="0.95">
      <c r="A75" s="57"/>
      <c r="B75" s="57"/>
      <c r="C75" s="57"/>
      <c r="D75" s="57"/>
      <c r="E75" s="57"/>
      <c r="F75" s="49"/>
      <c r="G75" s="49"/>
      <c r="H75" s="49"/>
      <c r="I75" s="49"/>
      <c r="J75" s="49"/>
      <c r="K75" s="49"/>
      <c r="L75" s="49"/>
      <c r="M75" s="50">
        <f t="shared" si="8"/>
        <v>0</v>
      </c>
      <c r="N75" s="50" t="str">
        <f t="shared" si="9"/>
        <v/>
      </c>
      <c r="O75" t="str">
        <f t="shared" si="10"/>
        <v/>
      </c>
      <c r="W75" t="str">
        <f t="shared" si="11"/>
        <v/>
      </c>
    </row>
    <row r="76" spans="1:23" ht="21" customHeight="1" x14ac:dyDescent="0.95">
      <c r="A76" s="57"/>
      <c r="B76" s="57"/>
      <c r="C76" s="57"/>
      <c r="D76" s="57"/>
      <c r="E76" s="57"/>
      <c r="F76" s="49"/>
      <c r="G76" s="49"/>
      <c r="H76" s="49"/>
      <c r="I76" s="49"/>
      <c r="J76" s="49"/>
      <c r="K76" s="49"/>
      <c r="L76" s="49"/>
      <c r="M76" s="50">
        <f t="shared" si="8"/>
        <v>0</v>
      </c>
      <c r="N76" s="50" t="str">
        <f t="shared" si="9"/>
        <v/>
      </c>
      <c r="O76" t="str">
        <f t="shared" si="10"/>
        <v/>
      </c>
      <c r="W76" t="str">
        <f t="shared" si="11"/>
        <v/>
      </c>
    </row>
    <row r="77" spans="1:23" ht="21" customHeight="1" x14ac:dyDescent="0.95">
      <c r="A77" s="57"/>
      <c r="B77" s="57"/>
      <c r="C77" s="57"/>
      <c r="D77" s="57"/>
      <c r="E77" s="57"/>
      <c r="F77" s="49"/>
      <c r="G77" s="49"/>
      <c r="H77" s="49"/>
      <c r="I77" s="49"/>
      <c r="J77" s="49"/>
      <c r="K77" s="49"/>
      <c r="L77" s="49"/>
      <c r="M77" s="50">
        <f t="shared" si="8"/>
        <v>0</v>
      </c>
      <c r="N77" s="50" t="str">
        <f t="shared" si="9"/>
        <v/>
      </c>
      <c r="O77" t="str">
        <f t="shared" si="10"/>
        <v/>
      </c>
      <c r="W77" t="str">
        <f t="shared" si="11"/>
        <v/>
      </c>
    </row>
    <row r="78" spans="1:23" ht="21" customHeight="1" x14ac:dyDescent="0.95">
      <c r="A78" s="57"/>
      <c r="B78" s="57"/>
      <c r="C78" s="57"/>
      <c r="D78" s="57"/>
      <c r="E78" s="57"/>
      <c r="F78" s="49"/>
      <c r="G78" s="49"/>
      <c r="H78" s="49"/>
      <c r="I78" s="49"/>
      <c r="J78" s="49"/>
      <c r="K78" s="49"/>
      <c r="L78" s="49"/>
      <c r="M78" s="50">
        <f t="shared" si="8"/>
        <v>0</v>
      </c>
      <c r="N78" s="50" t="str">
        <f t="shared" si="9"/>
        <v/>
      </c>
      <c r="O78" t="str">
        <f t="shared" si="10"/>
        <v/>
      </c>
      <c r="W78" t="str">
        <f t="shared" si="11"/>
        <v/>
      </c>
    </row>
    <row r="79" spans="1:23" ht="21" customHeight="1" x14ac:dyDescent="0.95">
      <c r="A79" s="57"/>
      <c r="B79" s="57"/>
      <c r="C79" s="57"/>
      <c r="D79" s="57"/>
      <c r="E79" s="57"/>
      <c r="F79" s="49"/>
      <c r="G79" s="49"/>
      <c r="H79" s="49"/>
      <c r="I79" s="49"/>
      <c r="J79" s="49"/>
      <c r="K79" s="49"/>
      <c r="L79" s="49"/>
      <c r="M79" s="50">
        <f t="shared" si="8"/>
        <v>0</v>
      </c>
      <c r="N79" s="50" t="str">
        <f t="shared" si="9"/>
        <v/>
      </c>
      <c r="O79" t="str">
        <f t="shared" si="10"/>
        <v/>
      </c>
      <c r="W79" t="str">
        <f t="shared" si="11"/>
        <v/>
      </c>
    </row>
    <row r="80" spans="1:23" ht="21" customHeight="1" x14ac:dyDescent="0.95">
      <c r="A80" s="57"/>
      <c r="B80" s="57"/>
      <c r="C80" s="57"/>
      <c r="D80" s="57"/>
      <c r="E80" s="57"/>
      <c r="F80" s="49"/>
      <c r="G80" s="49"/>
      <c r="H80" s="49"/>
      <c r="I80" s="49"/>
      <c r="J80" s="49"/>
      <c r="K80" s="49"/>
      <c r="L80" s="49"/>
      <c r="M80" s="50">
        <f t="shared" si="8"/>
        <v>0</v>
      </c>
      <c r="N80" s="50" t="str">
        <f t="shared" si="9"/>
        <v/>
      </c>
      <c r="O80" t="str">
        <f t="shared" si="10"/>
        <v/>
      </c>
      <c r="W80" t="str">
        <f t="shared" si="11"/>
        <v/>
      </c>
    </row>
    <row r="81" spans="1:23" ht="21" customHeight="1" x14ac:dyDescent="0.95">
      <c r="A81" s="57"/>
      <c r="B81" s="57"/>
      <c r="C81" s="57"/>
      <c r="D81" s="57"/>
      <c r="E81" s="57"/>
      <c r="F81" s="49"/>
      <c r="G81" s="49"/>
      <c r="H81" s="49"/>
      <c r="I81" s="49"/>
      <c r="J81" s="49"/>
      <c r="K81" s="49"/>
      <c r="L81" s="49"/>
      <c r="M81" s="50">
        <f t="shared" si="8"/>
        <v>0</v>
      </c>
      <c r="N81" s="50" t="str">
        <f t="shared" si="9"/>
        <v/>
      </c>
      <c r="O81" t="str">
        <f t="shared" si="10"/>
        <v/>
      </c>
      <c r="W81" t="str">
        <f t="shared" si="11"/>
        <v/>
      </c>
    </row>
    <row r="82" spans="1:23" ht="21" customHeight="1" x14ac:dyDescent="0.95">
      <c r="A82" s="57"/>
      <c r="B82" s="57"/>
      <c r="C82" s="57"/>
      <c r="D82" s="57"/>
      <c r="E82" s="57"/>
      <c r="F82" s="49"/>
      <c r="G82" s="49"/>
      <c r="H82" s="49"/>
      <c r="I82" s="49"/>
      <c r="J82" s="49"/>
      <c r="K82" s="49"/>
      <c r="L82" s="49"/>
      <c r="M82" s="50">
        <f t="shared" si="8"/>
        <v>0</v>
      </c>
      <c r="N82" s="50" t="str">
        <f t="shared" si="9"/>
        <v/>
      </c>
      <c r="O82" t="str">
        <f t="shared" si="10"/>
        <v/>
      </c>
      <c r="W82" t="str">
        <f t="shared" si="11"/>
        <v/>
      </c>
    </row>
    <row r="83" spans="1:23" ht="21" customHeight="1" x14ac:dyDescent="0.95">
      <c r="A83" s="57"/>
      <c r="B83" s="57"/>
      <c r="C83" s="57"/>
      <c r="D83" s="57"/>
      <c r="E83" s="57"/>
      <c r="F83" s="49"/>
      <c r="G83" s="49"/>
      <c r="H83" s="49"/>
      <c r="I83" s="49"/>
      <c r="J83" s="49"/>
      <c r="K83" s="49"/>
      <c r="L83" s="49"/>
      <c r="M83" s="50">
        <f t="shared" si="8"/>
        <v>0</v>
      </c>
      <c r="N83" s="50" t="str">
        <f t="shared" si="9"/>
        <v/>
      </c>
      <c r="O83" t="str">
        <f t="shared" si="10"/>
        <v/>
      </c>
      <c r="W83" t="str">
        <f t="shared" si="11"/>
        <v/>
      </c>
    </row>
    <row r="84" spans="1:23" ht="21" customHeight="1" x14ac:dyDescent="0.95">
      <c r="A84" s="57"/>
      <c r="B84" s="57"/>
      <c r="C84" s="57"/>
      <c r="D84" s="57"/>
      <c r="E84" s="57"/>
      <c r="F84" s="49"/>
      <c r="G84" s="49"/>
      <c r="H84" s="49"/>
      <c r="I84" s="49"/>
      <c r="J84" s="49"/>
      <c r="K84" s="49"/>
      <c r="L84" s="49"/>
      <c r="M84" s="50">
        <f t="shared" si="8"/>
        <v>0</v>
      </c>
      <c r="N84" s="50" t="str">
        <f t="shared" si="9"/>
        <v/>
      </c>
      <c r="O84" t="str">
        <f t="shared" si="10"/>
        <v/>
      </c>
      <c r="W84" t="str">
        <f t="shared" si="11"/>
        <v/>
      </c>
    </row>
    <row r="85" spans="1:23" ht="21" customHeight="1" x14ac:dyDescent="0.95">
      <c r="A85" s="57"/>
      <c r="B85" s="57"/>
      <c r="C85" s="57"/>
      <c r="D85" s="57"/>
      <c r="E85" s="57"/>
      <c r="F85" s="49"/>
      <c r="G85" s="49"/>
      <c r="H85" s="49"/>
      <c r="I85" s="49"/>
      <c r="J85" s="49"/>
      <c r="K85" s="49"/>
      <c r="L85" s="49"/>
      <c r="M85" s="50">
        <f t="shared" si="8"/>
        <v>0</v>
      </c>
      <c r="N85" s="50" t="str">
        <f t="shared" si="9"/>
        <v/>
      </c>
      <c r="O85" t="str">
        <f t="shared" si="10"/>
        <v/>
      </c>
      <c r="W85" t="str">
        <f t="shared" si="11"/>
        <v/>
      </c>
    </row>
    <row r="86" spans="1:23" ht="21" customHeight="1" x14ac:dyDescent="0.95">
      <c r="A86" s="57"/>
      <c r="B86" s="57"/>
      <c r="C86" s="57"/>
      <c r="D86" s="57"/>
      <c r="E86" s="57"/>
      <c r="F86" s="49"/>
      <c r="G86" s="49"/>
      <c r="H86" s="49"/>
      <c r="I86" s="49"/>
      <c r="J86" s="49"/>
      <c r="K86" s="49"/>
      <c r="L86" s="49"/>
      <c r="M86" s="50">
        <f t="shared" si="8"/>
        <v>0</v>
      </c>
      <c r="N86" s="50" t="str">
        <f t="shared" si="9"/>
        <v/>
      </c>
      <c r="O86" t="str">
        <f t="shared" si="10"/>
        <v/>
      </c>
      <c r="W86" t="str">
        <f t="shared" si="11"/>
        <v/>
      </c>
    </row>
    <row r="87" spans="1:23" ht="21" customHeight="1" x14ac:dyDescent="0.95">
      <c r="A87" s="57"/>
      <c r="B87" s="57"/>
      <c r="C87" s="57"/>
      <c r="D87" s="57"/>
      <c r="E87" s="57"/>
      <c r="F87" s="49"/>
      <c r="G87" s="49"/>
      <c r="H87" s="49"/>
      <c r="I87" s="49"/>
      <c r="J87" s="49"/>
      <c r="K87" s="49"/>
      <c r="L87" s="49"/>
      <c r="M87" s="50">
        <f t="shared" si="8"/>
        <v>0</v>
      </c>
      <c r="N87" s="50" t="str">
        <f t="shared" si="9"/>
        <v/>
      </c>
      <c r="O87" t="str">
        <f t="shared" si="10"/>
        <v/>
      </c>
      <c r="W87" t="str">
        <f t="shared" si="11"/>
        <v/>
      </c>
    </row>
    <row r="88" spans="1:23" ht="21" customHeight="1" x14ac:dyDescent="0.95">
      <c r="A88" s="57"/>
      <c r="B88" s="57"/>
      <c r="C88" s="57"/>
      <c r="D88" s="57"/>
      <c r="E88" s="57"/>
      <c r="F88" s="49"/>
      <c r="G88" s="49"/>
      <c r="H88" s="49"/>
      <c r="I88" s="49"/>
      <c r="J88" s="49"/>
      <c r="K88" s="49"/>
      <c r="L88" s="49"/>
      <c r="M88" s="50">
        <f t="shared" si="8"/>
        <v>0</v>
      </c>
      <c r="N88" s="50" t="str">
        <f t="shared" si="9"/>
        <v/>
      </c>
      <c r="O88" t="str">
        <f t="shared" si="10"/>
        <v/>
      </c>
      <c r="W88" t="str">
        <f t="shared" si="11"/>
        <v/>
      </c>
    </row>
    <row r="89" spans="1:23" ht="21" customHeight="1" x14ac:dyDescent="0.95">
      <c r="A89" s="57"/>
      <c r="B89" s="57"/>
      <c r="C89" s="57"/>
      <c r="D89" s="57"/>
      <c r="E89" s="57"/>
      <c r="F89" s="49"/>
      <c r="G89" s="49"/>
      <c r="H89" s="49"/>
      <c r="I89" s="49"/>
      <c r="J89" s="49"/>
      <c r="K89" s="49"/>
      <c r="L89" s="49"/>
      <c r="M89" s="50">
        <f t="shared" si="8"/>
        <v>0</v>
      </c>
      <c r="N89" s="50" t="str">
        <f t="shared" si="9"/>
        <v/>
      </c>
      <c r="O89" t="str">
        <f t="shared" si="10"/>
        <v/>
      </c>
      <c r="W89" t="str">
        <f t="shared" si="11"/>
        <v/>
      </c>
    </row>
    <row r="90" spans="1:23" ht="21" customHeight="1" x14ac:dyDescent="0.95">
      <c r="A90" s="57"/>
      <c r="B90" s="57"/>
      <c r="C90" s="57"/>
      <c r="D90" s="57"/>
      <c r="E90" s="57"/>
      <c r="F90" s="49"/>
      <c r="G90" s="49"/>
      <c r="H90" s="49"/>
      <c r="I90" s="49"/>
      <c r="J90" s="49"/>
      <c r="K90" s="49"/>
      <c r="L90" s="49"/>
      <c r="M90" s="50">
        <f t="shared" si="8"/>
        <v>0</v>
      </c>
      <c r="N90" s="50" t="str">
        <f t="shared" si="9"/>
        <v/>
      </c>
      <c r="O90" t="str">
        <f t="shared" si="10"/>
        <v/>
      </c>
      <c r="W90" t="str">
        <f t="shared" si="11"/>
        <v/>
      </c>
    </row>
    <row r="91" spans="1:23" ht="21" customHeight="1" x14ac:dyDescent="0.95">
      <c r="A91" s="57"/>
      <c r="B91" s="57"/>
      <c r="C91" s="57"/>
      <c r="D91" s="57"/>
      <c r="E91" s="57"/>
      <c r="F91" s="49"/>
      <c r="G91" s="49"/>
      <c r="H91" s="49"/>
      <c r="I91" s="49"/>
      <c r="J91" s="49"/>
      <c r="K91" s="49"/>
      <c r="L91" s="49"/>
      <c r="M91" s="50">
        <f t="shared" si="8"/>
        <v>0</v>
      </c>
      <c r="N91" s="50" t="str">
        <f t="shared" si="9"/>
        <v/>
      </c>
      <c r="O91" t="str">
        <f t="shared" si="10"/>
        <v/>
      </c>
      <c r="W91" t="str">
        <f t="shared" si="11"/>
        <v/>
      </c>
    </row>
    <row r="92" spans="1:23" ht="21" customHeight="1" x14ac:dyDescent="0.95">
      <c r="A92" s="57"/>
      <c r="B92" s="57"/>
      <c r="C92" s="57"/>
      <c r="D92" s="57"/>
      <c r="E92" s="57"/>
      <c r="F92" s="49"/>
      <c r="G92" s="49"/>
      <c r="H92" s="49"/>
      <c r="I92" s="49"/>
      <c r="J92" s="49"/>
      <c r="K92" s="49"/>
      <c r="L92" s="49"/>
      <c r="M92" s="50">
        <f t="shared" si="8"/>
        <v>0</v>
      </c>
      <c r="N92" s="50" t="str">
        <f t="shared" si="9"/>
        <v/>
      </c>
      <c r="O92" t="str">
        <f t="shared" si="10"/>
        <v/>
      </c>
      <c r="W92" t="str">
        <f t="shared" si="11"/>
        <v/>
      </c>
    </row>
    <row r="93" spans="1:23" ht="21" customHeight="1" x14ac:dyDescent="0.95">
      <c r="A93" s="57"/>
      <c r="B93" s="57"/>
      <c r="C93" s="57"/>
      <c r="D93" s="57"/>
      <c r="E93" s="57"/>
      <c r="F93" s="49"/>
      <c r="G93" s="49"/>
      <c r="H93" s="49"/>
      <c r="I93" s="49"/>
      <c r="J93" s="49"/>
      <c r="K93" s="49"/>
      <c r="L93" s="49"/>
      <c r="M93" s="50">
        <f t="shared" si="8"/>
        <v>0</v>
      </c>
      <c r="N93" s="50" t="str">
        <f t="shared" si="9"/>
        <v/>
      </c>
      <c r="O93" t="str">
        <f t="shared" si="10"/>
        <v/>
      </c>
      <c r="W93" t="str">
        <f t="shared" si="11"/>
        <v/>
      </c>
    </row>
    <row r="94" spans="1:23" ht="21" customHeight="1" x14ac:dyDescent="0.95">
      <c r="A94" s="57"/>
      <c r="B94" s="57"/>
      <c r="C94" s="57"/>
      <c r="D94" s="57"/>
      <c r="E94" s="57"/>
      <c r="F94" s="49"/>
      <c r="G94" s="49"/>
      <c r="H94" s="49"/>
      <c r="I94" s="49"/>
      <c r="J94" s="49"/>
      <c r="K94" s="49"/>
      <c r="L94" s="49"/>
      <c r="M94" s="50">
        <f t="shared" si="8"/>
        <v>0</v>
      </c>
      <c r="N94" s="50" t="str">
        <f t="shared" si="9"/>
        <v/>
      </c>
      <c r="O94" t="str">
        <f t="shared" si="10"/>
        <v/>
      </c>
      <c r="W94" t="str">
        <f t="shared" si="11"/>
        <v/>
      </c>
    </row>
    <row r="95" spans="1:23" ht="21" customHeight="1" x14ac:dyDescent="0.95">
      <c r="A95" s="57"/>
      <c r="B95" s="57"/>
      <c r="C95" s="57"/>
      <c r="D95" s="57"/>
      <c r="E95" s="57"/>
      <c r="F95" s="49"/>
      <c r="G95" s="49"/>
      <c r="H95" s="49"/>
      <c r="I95" s="49"/>
      <c r="J95" s="49"/>
      <c r="K95" s="49"/>
      <c r="L95" s="49"/>
      <c r="M95" s="50">
        <f t="shared" si="8"/>
        <v>0</v>
      </c>
      <c r="N95" s="50" t="str">
        <f t="shared" si="9"/>
        <v/>
      </c>
      <c r="O95" t="str">
        <f t="shared" si="10"/>
        <v/>
      </c>
      <c r="W95" t="str">
        <f t="shared" si="11"/>
        <v/>
      </c>
    </row>
    <row r="96" spans="1:23" ht="21" customHeight="1" x14ac:dyDescent="0.95">
      <c r="A96" s="57"/>
      <c r="B96" s="57"/>
      <c r="C96" s="57"/>
      <c r="D96" s="57"/>
      <c r="E96" s="57"/>
      <c r="F96" s="49"/>
      <c r="G96" s="49"/>
      <c r="H96" s="49"/>
      <c r="I96" s="49"/>
      <c r="J96" s="49"/>
      <c r="K96" s="49"/>
      <c r="L96" s="49"/>
      <c r="M96" s="50">
        <f t="shared" si="8"/>
        <v>0</v>
      </c>
      <c r="N96" s="50" t="str">
        <f t="shared" si="9"/>
        <v/>
      </c>
      <c r="O96" t="str">
        <f t="shared" si="10"/>
        <v/>
      </c>
      <c r="W96" t="str">
        <f t="shared" si="11"/>
        <v/>
      </c>
    </row>
    <row r="97" spans="1:23" ht="21" customHeight="1" x14ac:dyDescent="0.95">
      <c r="A97" s="57"/>
      <c r="B97" s="57"/>
      <c r="C97" s="57"/>
      <c r="D97" s="57"/>
      <c r="E97" s="57"/>
      <c r="F97" s="49"/>
      <c r="G97" s="49"/>
      <c r="H97" s="49"/>
      <c r="I97" s="49"/>
      <c r="J97" s="49"/>
      <c r="K97" s="49"/>
      <c r="L97" s="49"/>
      <c r="M97" s="50">
        <f t="shared" si="8"/>
        <v>0</v>
      </c>
      <c r="N97" s="50" t="str">
        <f t="shared" si="9"/>
        <v/>
      </c>
      <c r="O97" t="str">
        <f t="shared" si="10"/>
        <v/>
      </c>
      <c r="W97" t="str">
        <f t="shared" si="11"/>
        <v/>
      </c>
    </row>
    <row r="98" spans="1:23" ht="21" customHeight="1" x14ac:dyDescent="0.95">
      <c r="A98" s="57"/>
      <c r="B98" s="57"/>
      <c r="C98" s="57"/>
      <c r="D98" s="57"/>
      <c r="E98" s="57"/>
      <c r="F98" s="49"/>
      <c r="G98" s="49"/>
      <c r="H98" s="49"/>
      <c r="I98" s="49"/>
      <c r="J98" s="49"/>
      <c r="K98" s="49"/>
      <c r="L98" s="49"/>
      <c r="M98" s="50">
        <f t="shared" si="8"/>
        <v>0</v>
      </c>
      <c r="N98" s="50" t="str">
        <f t="shared" si="9"/>
        <v/>
      </c>
      <c r="O98" t="str">
        <f t="shared" si="10"/>
        <v/>
      </c>
      <c r="W98" t="str">
        <f t="shared" si="11"/>
        <v/>
      </c>
    </row>
    <row r="99" spans="1:23" ht="21" customHeight="1" x14ac:dyDescent="0.95">
      <c r="A99" s="57"/>
      <c r="B99" s="57"/>
      <c r="C99" s="57"/>
      <c r="D99" s="57"/>
      <c r="E99" s="57"/>
      <c r="F99" s="49"/>
      <c r="G99" s="49"/>
      <c r="H99" s="49"/>
      <c r="I99" s="49"/>
      <c r="J99" s="49"/>
      <c r="K99" s="49"/>
      <c r="L99" s="49"/>
      <c r="M99" s="50">
        <f t="shared" si="8"/>
        <v>0</v>
      </c>
      <c r="N99" s="50" t="str">
        <f t="shared" si="9"/>
        <v/>
      </c>
      <c r="O99" t="str">
        <f t="shared" si="10"/>
        <v/>
      </c>
      <c r="W99" t="str">
        <f t="shared" si="11"/>
        <v/>
      </c>
    </row>
    <row r="100" spans="1:23" ht="21" customHeight="1" x14ac:dyDescent="0.95">
      <c r="A100" s="57"/>
      <c r="B100" s="57"/>
      <c r="C100" s="57"/>
      <c r="D100" s="57"/>
      <c r="E100" s="57"/>
      <c r="F100" s="49"/>
      <c r="G100" s="49"/>
      <c r="H100" s="49"/>
      <c r="I100" s="49"/>
      <c r="J100" s="49"/>
      <c r="K100" s="49"/>
      <c r="L100" s="49"/>
      <c r="M100" s="50">
        <f t="shared" si="8"/>
        <v>0</v>
      </c>
      <c r="N100" s="50" t="str">
        <f t="shared" si="9"/>
        <v/>
      </c>
      <c r="O100" t="str">
        <f t="shared" si="10"/>
        <v/>
      </c>
      <c r="W100" t="str">
        <f t="shared" si="11"/>
        <v/>
      </c>
    </row>
    <row r="101" spans="1:23" ht="21" customHeight="1" x14ac:dyDescent="0.95">
      <c r="A101" s="57"/>
      <c r="B101" s="57"/>
      <c r="C101" s="57"/>
      <c r="D101" s="57"/>
      <c r="E101" s="57"/>
      <c r="F101" s="49"/>
      <c r="G101" s="49"/>
      <c r="H101" s="49"/>
      <c r="I101" s="49"/>
      <c r="J101" s="49"/>
      <c r="K101" s="49"/>
      <c r="L101" s="49"/>
      <c r="M101" s="50">
        <f t="shared" ref="M101:M132" si="12">IF(OR($X101="",$K101="",$L101="",$W101=""),0,ROUND($W101*$L101,2))</f>
        <v>0</v>
      </c>
      <c r="N101" s="50" t="str">
        <f t="shared" ref="N101:N132" si="13">IF($J101="","",ROUND(N($J101)+N($M101),2))</f>
        <v/>
      </c>
      <c r="O101" t="str">
        <f t="shared" ref="O101:O132" si="14">IF(OR($A101="",$B101="",$C101="",$D101="",$E101=""),"",$A101&amp;"|"&amp;$B101&amp;" - "&amp;$C101&amp;"("&amp;$D101&amp;")"&amp;"|"&amp;$E101)</f>
        <v/>
      </c>
      <c r="W101" t="str">
        <f t="shared" ref="W101:W132" si="15">IF(OR($X101="",$K101=""),"",IF($K101&lt;$X101,$K101-$X101,IF($K101&gt;IF($V101="",$X101,$V101),$K101-IF($V101="",$X101,$V101),0)))</f>
        <v/>
      </c>
    </row>
    <row r="102" spans="1:23" ht="21" customHeight="1" x14ac:dyDescent="0.95">
      <c r="A102" s="57"/>
      <c r="B102" s="57"/>
      <c r="C102" s="57"/>
      <c r="D102" s="57"/>
      <c r="E102" s="57"/>
      <c r="F102" s="49"/>
      <c r="G102" s="49"/>
      <c r="H102" s="49"/>
      <c r="I102" s="49"/>
      <c r="J102" s="49"/>
      <c r="K102" s="49"/>
      <c r="L102" s="49"/>
      <c r="M102" s="50">
        <f t="shared" si="12"/>
        <v>0</v>
      </c>
      <c r="N102" s="50" t="str">
        <f t="shared" si="13"/>
        <v/>
      </c>
      <c r="O102" t="str">
        <f t="shared" si="14"/>
        <v/>
      </c>
      <c r="W102" t="str">
        <f t="shared" si="15"/>
        <v/>
      </c>
    </row>
    <row r="103" spans="1:23" ht="21" customHeight="1" x14ac:dyDescent="0.95">
      <c r="A103" s="57"/>
      <c r="B103" s="57"/>
      <c r="C103" s="57"/>
      <c r="D103" s="57"/>
      <c r="E103" s="57"/>
      <c r="F103" s="49"/>
      <c r="G103" s="49"/>
      <c r="H103" s="49"/>
      <c r="I103" s="49"/>
      <c r="J103" s="49"/>
      <c r="K103" s="49"/>
      <c r="L103" s="49"/>
      <c r="M103" s="50">
        <f t="shared" si="12"/>
        <v>0</v>
      </c>
      <c r="N103" s="50" t="str">
        <f t="shared" si="13"/>
        <v/>
      </c>
      <c r="O103" t="str">
        <f t="shared" si="14"/>
        <v/>
      </c>
      <c r="W103" t="str">
        <f t="shared" si="15"/>
        <v/>
      </c>
    </row>
    <row r="104" spans="1:23" ht="21" customHeight="1" x14ac:dyDescent="0.95">
      <c r="A104" s="57"/>
      <c r="B104" s="57"/>
      <c r="C104" s="57"/>
      <c r="D104" s="57"/>
      <c r="E104" s="57"/>
      <c r="F104" s="49"/>
      <c r="G104" s="49"/>
      <c r="H104" s="49"/>
      <c r="I104" s="49"/>
      <c r="J104" s="49"/>
      <c r="K104" s="49"/>
      <c r="L104" s="49"/>
      <c r="M104" s="50">
        <f t="shared" si="12"/>
        <v>0</v>
      </c>
      <c r="N104" s="50" t="str">
        <f t="shared" si="13"/>
        <v/>
      </c>
      <c r="O104" t="str">
        <f t="shared" si="14"/>
        <v/>
      </c>
      <c r="W104" t="str">
        <f t="shared" si="15"/>
        <v/>
      </c>
    </row>
    <row r="105" spans="1:23" ht="21" customHeight="1" x14ac:dyDescent="0.95">
      <c r="A105" s="57"/>
      <c r="B105" s="57"/>
      <c r="C105" s="57"/>
      <c r="D105" s="57"/>
      <c r="E105" s="57"/>
      <c r="F105" s="49"/>
      <c r="G105" s="49"/>
      <c r="H105" s="49"/>
      <c r="I105" s="49"/>
      <c r="J105" s="49"/>
      <c r="K105" s="49"/>
      <c r="L105" s="49"/>
      <c r="M105" s="50">
        <f t="shared" si="12"/>
        <v>0</v>
      </c>
      <c r="N105" s="50" t="str">
        <f t="shared" si="13"/>
        <v/>
      </c>
      <c r="O105" t="str">
        <f t="shared" si="14"/>
        <v/>
      </c>
      <c r="W105" t="str">
        <f t="shared" si="15"/>
        <v/>
      </c>
    </row>
    <row r="106" spans="1:23" ht="21" customHeight="1" x14ac:dyDescent="0.95">
      <c r="A106" s="57"/>
      <c r="B106" s="57"/>
      <c r="C106" s="57"/>
      <c r="D106" s="57"/>
      <c r="E106" s="57"/>
      <c r="F106" s="49"/>
      <c r="G106" s="49"/>
      <c r="H106" s="49"/>
      <c r="I106" s="49"/>
      <c r="J106" s="49"/>
      <c r="K106" s="49"/>
      <c r="L106" s="49"/>
      <c r="M106" s="50">
        <f t="shared" si="12"/>
        <v>0</v>
      </c>
      <c r="N106" s="50" t="str">
        <f t="shared" si="13"/>
        <v/>
      </c>
      <c r="O106" t="str">
        <f t="shared" si="14"/>
        <v/>
      </c>
      <c r="W106" t="str">
        <f t="shared" si="15"/>
        <v/>
      </c>
    </row>
    <row r="107" spans="1:23" ht="21" customHeight="1" x14ac:dyDescent="0.95">
      <c r="A107" s="57"/>
      <c r="B107" s="57"/>
      <c r="C107" s="57"/>
      <c r="D107" s="57"/>
      <c r="E107" s="57"/>
      <c r="F107" s="49"/>
      <c r="G107" s="49"/>
      <c r="H107" s="49"/>
      <c r="I107" s="49"/>
      <c r="J107" s="49"/>
      <c r="K107" s="49"/>
      <c r="L107" s="49"/>
      <c r="M107" s="50">
        <f t="shared" si="12"/>
        <v>0</v>
      </c>
      <c r="N107" s="50" t="str">
        <f t="shared" si="13"/>
        <v/>
      </c>
      <c r="O107" t="str">
        <f t="shared" si="14"/>
        <v/>
      </c>
      <c r="W107" t="str">
        <f t="shared" si="15"/>
        <v/>
      </c>
    </row>
    <row r="108" spans="1:23" ht="21" customHeight="1" x14ac:dyDescent="0.95">
      <c r="A108" s="57"/>
      <c r="B108" s="57"/>
      <c r="C108" s="57"/>
      <c r="D108" s="57"/>
      <c r="E108" s="57"/>
      <c r="F108" s="49"/>
      <c r="G108" s="49"/>
      <c r="H108" s="49"/>
      <c r="I108" s="49"/>
      <c r="J108" s="49"/>
      <c r="K108" s="49"/>
      <c r="L108" s="49"/>
      <c r="M108" s="50">
        <f t="shared" si="12"/>
        <v>0</v>
      </c>
      <c r="N108" s="50" t="str">
        <f t="shared" si="13"/>
        <v/>
      </c>
      <c r="O108" t="str">
        <f t="shared" si="14"/>
        <v/>
      </c>
      <c r="W108" t="str">
        <f t="shared" si="15"/>
        <v/>
      </c>
    </row>
    <row r="109" spans="1:23" ht="21" customHeight="1" x14ac:dyDescent="0.95">
      <c r="A109" s="57"/>
      <c r="B109" s="57"/>
      <c r="C109" s="57"/>
      <c r="D109" s="57"/>
      <c r="E109" s="57"/>
      <c r="F109" s="49"/>
      <c r="G109" s="49"/>
      <c r="H109" s="49"/>
      <c r="I109" s="49"/>
      <c r="J109" s="49"/>
      <c r="K109" s="49"/>
      <c r="L109" s="49"/>
      <c r="M109" s="50">
        <f t="shared" si="12"/>
        <v>0</v>
      </c>
      <c r="N109" s="50" t="str">
        <f t="shared" si="13"/>
        <v/>
      </c>
      <c r="O109" t="str">
        <f t="shared" si="14"/>
        <v/>
      </c>
      <c r="W109" t="str">
        <f t="shared" si="15"/>
        <v/>
      </c>
    </row>
    <row r="110" spans="1:23" ht="21" customHeight="1" x14ac:dyDescent="0.95">
      <c r="A110" s="57"/>
      <c r="B110" s="57"/>
      <c r="C110" s="57"/>
      <c r="D110" s="57"/>
      <c r="E110" s="57"/>
      <c r="F110" s="49"/>
      <c r="G110" s="49"/>
      <c r="H110" s="49"/>
      <c r="I110" s="49"/>
      <c r="J110" s="49"/>
      <c r="K110" s="49"/>
      <c r="L110" s="49"/>
      <c r="M110" s="50">
        <f t="shared" si="12"/>
        <v>0</v>
      </c>
      <c r="N110" s="50" t="str">
        <f t="shared" si="13"/>
        <v/>
      </c>
      <c r="O110" t="str">
        <f t="shared" si="14"/>
        <v/>
      </c>
      <c r="W110" t="str">
        <f t="shared" si="15"/>
        <v/>
      </c>
    </row>
    <row r="111" spans="1:23" ht="21" customHeight="1" x14ac:dyDescent="0.95">
      <c r="A111" s="57"/>
      <c r="B111" s="57"/>
      <c r="C111" s="57"/>
      <c r="D111" s="57"/>
      <c r="E111" s="57"/>
      <c r="F111" s="49"/>
      <c r="G111" s="49"/>
      <c r="H111" s="49"/>
      <c r="I111" s="49"/>
      <c r="J111" s="49"/>
      <c r="K111" s="49"/>
      <c r="L111" s="49"/>
      <c r="M111" s="50">
        <f t="shared" si="12"/>
        <v>0</v>
      </c>
      <c r="N111" s="50" t="str">
        <f t="shared" si="13"/>
        <v/>
      </c>
      <c r="O111" t="str">
        <f t="shared" si="14"/>
        <v/>
      </c>
      <c r="W111" t="str">
        <f t="shared" si="15"/>
        <v/>
      </c>
    </row>
    <row r="112" spans="1:23" ht="21" customHeight="1" x14ac:dyDescent="0.95">
      <c r="A112" s="57"/>
      <c r="B112" s="57"/>
      <c r="C112" s="57"/>
      <c r="D112" s="57"/>
      <c r="E112" s="57"/>
      <c r="F112" s="49"/>
      <c r="G112" s="49"/>
      <c r="H112" s="49"/>
      <c r="I112" s="49"/>
      <c r="J112" s="49"/>
      <c r="K112" s="49"/>
      <c r="L112" s="49"/>
      <c r="M112" s="50">
        <f t="shared" si="12"/>
        <v>0</v>
      </c>
      <c r="N112" s="50" t="str">
        <f t="shared" si="13"/>
        <v/>
      </c>
      <c r="O112" t="str">
        <f t="shared" si="14"/>
        <v/>
      </c>
      <c r="W112" t="str">
        <f t="shared" si="15"/>
        <v/>
      </c>
    </row>
    <row r="113" spans="1:23" ht="21" customHeight="1" x14ac:dyDescent="0.95">
      <c r="A113" s="57"/>
      <c r="B113" s="57"/>
      <c r="C113" s="57"/>
      <c r="D113" s="57"/>
      <c r="E113" s="57"/>
      <c r="F113" s="49"/>
      <c r="G113" s="49"/>
      <c r="H113" s="49"/>
      <c r="I113" s="49"/>
      <c r="J113" s="49"/>
      <c r="K113" s="49"/>
      <c r="L113" s="49"/>
      <c r="M113" s="50">
        <f t="shared" si="12"/>
        <v>0</v>
      </c>
      <c r="N113" s="50" t="str">
        <f t="shared" si="13"/>
        <v/>
      </c>
      <c r="O113" t="str">
        <f t="shared" si="14"/>
        <v/>
      </c>
      <c r="W113" t="str">
        <f t="shared" si="15"/>
        <v/>
      </c>
    </row>
    <row r="114" spans="1:23" ht="21" customHeight="1" x14ac:dyDescent="0.95">
      <c r="A114" s="57"/>
      <c r="B114" s="57"/>
      <c r="C114" s="57"/>
      <c r="D114" s="57"/>
      <c r="E114" s="57"/>
      <c r="F114" s="49"/>
      <c r="G114" s="49"/>
      <c r="H114" s="49"/>
      <c r="I114" s="49"/>
      <c r="J114" s="49"/>
      <c r="K114" s="49"/>
      <c r="L114" s="49"/>
      <c r="M114" s="50">
        <f t="shared" si="12"/>
        <v>0</v>
      </c>
      <c r="N114" s="50" t="str">
        <f t="shared" si="13"/>
        <v/>
      </c>
      <c r="O114" t="str">
        <f t="shared" si="14"/>
        <v/>
      </c>
      <c r="W114" t="str">
        <f t="shared" si="15"/>
        <v/>
      </c>
    </row>
    <row r="115" spans="1:23" ht="21" customHeight="1" x14ac:dyDescent="0.95">
      <c r="A115" s="57"/>
      <c r="B115" s="57"/>
      <c r="C115" s="57"/>
      <c r="D115" s="57"/>
      <c r="E115" s="57"/>
      <c r="F115" s="49"/>
      <c r="G115" s="49"/>
      <c r="H115" s="49"/>
      <c r="I115" s="49"/>
      <c r="J115" s="49"/>
      <c r="K115" s="49"/>
      <c r="L115" s="49"/>
      <c r="M115" s="50">
        <f t="shared" si="12"/>
        <v>0</v>
      </c>
      <c r="N115" s="50" t="str">
        <f t="shared" si="13"/>
        <v/>
      </c>
      <c r="O115" t="str">
        <f t="shared" si="14"/>
        <v/>
      </c>
      <c r="W115" t="str">
        <f t="shared" si="15"/>
        <v/>
      </c>
    </row>
    <row r="116" spans="1:23" ht="21" customHeight="1" x14ac:dyDescent="0.95">
      <c r="A116" s="57"/>
      <c r="B116" s="57"/>
      <c r="C116" s="57"/>
      <c r="D116" s="57"/>
      <c r="E116" s="57"/>
      <c r="F116" s="49"/>
      <c r="G116" s="49"/>
      <c r="H116" s="49"/>
      <c r="I116" s="49"/>
      <c r="J116" s="49"/>
      <c r="K116" s="49"/>
      <c r="L116" s="49"/>
      <c r="M116" s="50">
        <f t="shared" si="12"/>
        <v>0</v>
      </c>
      <c r="N116" s="50" t="str">
        <f t="shared" si="13"/>
        <v/>
      </c>
      <c r="O116" t="str">
        <f t="shared" si="14"/>
        <v/>
      </c>
      <c r="W116" t="str">
        <f t="shared" si="15"/>
        <v/>
      </c>
    </row>
    <row r="117" spans="1:23" ht="21" customHeight="1" x14ac:dyDescent="0.95">
      <c r="A117" s="57"/>
      <c r="B117" s="57"/>
      <c r="C117" s="57"/>
      <c r="D117" s="57"/>
      <c r="E117" s="57"/>
      <c r="F117" s="49"/>
      <c r="G117" s="49"/>
      <c r="H117" s="49"/>
      <c r="I117" s="49"/>
      <c r="J117" s="49"/>
      <c r="K117" s="49"/>
      <c r="L117" s="49"/>
      <c r="M117" s="50">
        <f t="shared" si="12"/>
        <v>0</v>
      </c>
      <c r="N117" s="50" t="str">
        <f t="shared" si="13"/>
        <v/>
      </c>
      <c r="O117" t="str">
        <f t="shared" si="14"/>
        <v/>
      </c>
      <c r="W117" t="str">
        <f t="shared" si="15"/>
        <v/>
      </c>
    </row>
    <row r="118" spans="1:23" ht="21" customHeight="1" x14ac:dyDescent="0.95">
      <c r="A118" s="57"/>
      <c r="B118" s="57"/>
      <c r="C118" s="57"/>
      <c r="D118" s="57"/>
      <c r="E118" s="57"/>
      <c r="F118" s="49"/>
      <c r="G118" s="49"/>
      <c r="H118" s="49"/>
      <c r="I118" s="49"/>
      <c r="J118" s="49"/>
      <c r="K118" s="49"/>
      <c r="L118" s="49"/>
      <c r="M118" s="50">
        <f t="shared" si="12"/>
        <v>0</v>
      </c>
      <c r="N118" s="50" t="str">
        <f t="shared" si="13"/>
        <v/>
      </c>
      <c r="O118" t="str">
        <f t="shared" si="14"/>
        <v/>
      </c>
      <c r="W118" t="str">
        <f t="shared" si="15"/>
        <v/>
      </c>
    </row>
    <row r="119" spans="1:23" ht="21" customHeight="1" x14ac:dyDescent="0.95">
      <c r="A119" s="57"/>
      <c r="B119" s="57"/>
      <c r="C119" s="57"/>
      <c r="D119" s="57"/>
      <c r="E119" s="57"/>
      <c r="F119" s="49"/>
      <c r="G119" s="49"/>
      <c r="H119" s="49"/>
      <c r="I119" s="49"/>
      <c r="J119" s="49"/>
      <c r="K119" s="49"/>
      <c r="L119" s="49"/>
      <c r="M119" s="50">
        <f t="shared" si="12"/>
        <v>0</v>
      </c>
      <c r="N119" s="50" t="str">
        <f t="shared" si="13"/>
        <v/>
      </c>
      <c r="O119" t="str">
        <f t="shared" si="14"/>
        <v/>
      </c>
      <c r="W119" t="str">
        <f t="shared" si="15"/>
        <v/>
      </c>
    </row>
    <row r="120" spans="1:23" ht="21" customHeight="1" x14ac:dyDescent="0.95">
      <c r="A120" s="57"/>
      <c r="B120" s="57"/>
      <c r="C120" s="57"/>
      <c r="D120" s="57"/>
      <c r="E120" s="57"/>
      <c r="F120" s="49"/>
      <c r="G120" s="49"/>
      <c r="H120" s="49"/>
      <c r="I120" s="49"/>
      <c r="J120" s="49"/>
      <c r="K120" s="49"/>
      <c r="L120" s="49"/>
      <c r="M120" s="50">
        <f t="shared" si="12"/>
        <v>0</v>
      </c>
      <c r="N120" s="50" t="str">
        <f t="shared" si="13"/>
        <v/>
      </c>
      <c r="O120" t="str">
        <f t="shared" si="14"/>
        <v/>
      </c>
      <c r="W120" t="str">
        <f t="shared" si="15"/>
        <v/>
      </c>
    </row>
    <row r="121" spans="1:23" ht="21" customHeight="1" x14ac:dyDescent="0.95">
      <c r="A121" s="57"/>
      <c r="B121" s="57"/>
      <c r="C121" s="57"/>
      <c r="D121" s="57"/>
      <c r="E121" s="57"/>
      <c r="F121" s="49"/>
      <c r="G121" s="49"/>
      <c r="H121" s="49"/>
      <c r="I121" s="49"/>
      <c r="J121" s="49"/>
      <c r="K121" s="49"/>
      <c r="L121" s="49"/>
      <c r="M121" s="50">
        <f t="shared" si="12"/>
        <v>0</v>
      </c>
      <c r="N121" s="50" t="str">
        <f t="shared" si="13"/>
        <v/>
      </c>
      <c r="O121" t="str">
        <f t="shared" si="14"/>
        <v/>
      </c>
      <c r="W121" t="str">
        <f t="shared" si="15"/>
        <v/>
      </c>
    </row>
    <row r="122" spans="1:23" ht="21" customHeight="1" x14ac:dyDescent="0.95">
      <c r="A122" s="57"/>
      <c r="B122" s="57"/>
      <c r="C122" s="57"/>
      <c r="D122" s="57"/>
      <c r="E122" s="57"/>
      <c r="F122" s="49"/>
      <c r="G122" s="49"/>
      <c r="H122" s="49"/>
      <c r="I122" s="49"/>
      <c r="J122" s="49"/>
      <c r="K122" s="49"/>
      <c r="L122" s="49"/>
      <c r="M122" s="50">
        <f t="shared" si="12"/>
        <v>0</v>
      </c>
      <c r="N122" s="50" t="str">
        <f t="shared" si="13"/>
        <v/>
      </c>
      <c r="O122" t="str">
        <f t="shared" si="14"/>
        <v/>
      </c>
      <c r="W122" t="str">
        <f t="shared" si="15"/>
        <v/>
      </c>
    </row>
    <row r="123" spans="1:23" ht="21" customHeight="1" x14ac:dyDescent="0.95">
      <c r="A123" s="57"/>
      <c r="B123" s="57"/>
      <c r="C123" s="57"/>
      <c r="D123" s="57"/>
      <c r="E123" s="57"/>
      <c r="F123" s="49"/>
      <c r="G123" s="49"/>
      <c r="H123" s="49"/>
      <c r="I123" s="49"/>
      <c r="J123" s="49"/>
      <c r="K123" s="49"/>
      <c r="L123" s="49"/>
      <c r="M123" s="50">
        <f t="shared" si="12"/>
        <v>0</v>
      </c>
      <c r="N123" s="50" t="str">
        <f t="shared" si="13"/>
        <v/>
      </c>
      <c r="O123" t="str">
        <f t="shared" si="14"/>
        <v/>
      </c>
      <c r="W123" t="str">
        <f t="shared" si="15"/>
        <v/>
      </c>
    </row>
    <row r="124" spans="1:23" ht="21" customHeight="1" x14ac:dyDescent="0.95">
      <c r="A124" s="57"/>
      <c r="B124" s="57"/>
      <c r="C124" s="57"/>
      <c r="D124" s="57"/>
      <c r="E124" s="57"/>
      <c r="F124" s="49"/>
      <c r="G124" s="49"/>
      <c r="H124" s="49"/>
      <c r="I124" s="49"/>
      <c r="J124" s="49"/>
      <c r="K124" s="49"/>
      <c r="L124" s="49"/>
      <c r="M124" s="50">
        <f t="shared" si="12"/>
        <v>0</v>
      </c>
      <c r="N124" s="50" t="str">
        <f t="shared" si="13"/>
        <v/>
      </c>
      <c r="O124" t="str">
        <f t="shared" si="14"/>
        <v/>
      </c>
      <c r="W124" t="str">
        <f t="shared" si="15"/>
        <v/>
      </c>
    </row>
    <row r="125" spans="1:23" ht="21" customHeight="1" x14ac:dyDescent="0.95">
      <c r="A125" s="57"/>
      <c r="B125" s="57"/>
      <c r="C125" s="57"/>
      <c r="D125" s="57"/>
      <c r="E125" s="57"/>
      <c r="F125" s="49"/>
      <c r="G125" s="49"/>
      <c r="H125" s="49"/>
      <c r="I125" s="49"/>
      <c r="J125" s="49"/>
      <c r="K125" s="49"/>
      <c r="L125" s="49"/>
      <c r="M125" s="50">
        <f t="shared" si="12"/>
        <v>0</v>
      </c>
      <c r="N125" s="50" t="str">
        <f t="shared" si="13"/>
        <v/>
      </c>
      <c r="O125" t="str">
        <f t="shared" si="14"/>
        <v/>
      </c>
      <c r="W125" t="str">
        <f t="shared" si="15"/>
        <v/>
      </c>
    </row>
    <row r="126" spans="1:23" ht="21" customHeight="1" x14ac:dyDescent="0.95">
      <c r="A126" s="57"/>
      <c r="B126" s="57"/>
      <c r="C126" s="57"/>
      <c r="D126" s="57"/>
      <c r="E126" s="57"/>
      <c r="F126" s="49"/>
      <c r="G126" s="49"/>
      <c r="H126" s="49"/>
      <c r="I126" s="49"/>
      <c r="J126" s="49"/>
      <c r="K126" s="49"/>
      <c r="L126" s="49"/>
      <c r="M126" s="50">
        <f t="shared" si="12"/>
        <v>0</v>
      </c>
      <c r="N126" s="50" t="str">
        <f t="shared" si="13"/>
        <v/>
      </c>
      <c r="O126" t="str">
        <f t="shared" si="14"/>
        <v/>
      </c>
      <c r="W126" t="str">
        <f t="shared" si="15"/>
        <v/>
      </c>
    </row>
    <row r="127" spans="1:23" ht="21" customHeight="1" x14ac:dyDescent="0.95">
      <c r="A127" s="57"/>
      <c r="B127" s="57"/>
      <c r="C127" s="57"/>
      <c r="D127" s="57"/>
      <c r="E127" s="57"/>
      <c r="F127" s="49"/>
      <c r="G127" s="49"/>
      <c r="H127" s="49"/>
      <c r="I127" s="49"/>
      <c r="J127" s="49"/>
      <c r="K127" s="49"/>
      <c r="L127" s="49"/>
      <c r="M127" s="50">
        <f t="shared" si="12"/>
        <v>0</v>
      </c>
      <c r="N127" s="50" t="str">
        <f t="shared" si="13"/>
        <v/>
      </c>
      <c r="O127" t="str">
        <f t="shared" si="14"/>
        <v/>
      </c>
      <c r="W127" t="str">
        <f t="shared" si="15"/>
        <v/>
      </c>
    </row>
    <row r="128" spans="1:23" ht="21" customHeight="1" x14ac:dyDescent="0.95">
      <c r="A128" s="57"/>
      <c r="B128" s="57"/>
      <c r="C128" s="57"/>
      <c r="D128" s="57"/>
      <c r="E128" s="57"/>
      <c r="F128" s="49"/>
      <c r="G128" s="49"/>
      <c r="H128" s="49"/>
      <c r="I128" s="49"/>
      <c r="J128" s="49"/>
      <c r="K128" s="49"/>
      <c r="L128" s="49"/>
      <c r="M128" s="50">
        <f t="shared" si="12"/>
        <v>0</v>
      </c>
      <c r="N128" s="50" t="str">
        <f t="shared" si="13"/>
        <v/>
      </c>
      <c r="O128" t="str">
        <f t="shared" si="14"/>
        <v/>
      </c>
      <c r="W128" t="str">
        <f t="shared" si="15"/>
        <v/>
      </c>
    </row>
    <row r="129" spans="1:23" ht="21" customHeight="1" x14ac:dyDescent="0.95">
      <c r="A129" s="57"/>
      <c r="B129" s="57"/>
      <c r="C129" s="57"/>
      <c r="D129" s="57"/>
      <c r="E129" s="57"/>
      <c r="F129" s="49"/>
      <c r="G129" s="49"/>
      <c r="H129" s="49"/>
      <c r="I129" s="49"/>
      <c r="J129" s="49"/>
      <c r="K129" s="49"/>
      <c r="L129" s="49"/>
      <c r="M129" s="50">
        <f t="shared" si="12"/>
        <v>0</v>
      </c>
      <c r="N129" s="50" t="str">
        <f t="shared" si="13"/>
        <v/>
      </c>
      <c r="O129" t="str">
        <f t="shared" si="14"/>
        <v/>
      </c>
      <c r="W129" t="str">
        <f t="shared" si="15"/>
        <v/>
      </c>
    </row>
    <row r="130" spans="1:23" ht="21" customHeight="1" x14ac:dyDescent="0.95">
      <c r="A130" s="57"/>
      <c r="B130" s="57"/>
      <c r="C130" s="57"/>
      <c r="D130" s="57"/>
      <c r="E130" s="57"/>
      <c r="F130" s="49"/>
      <c r="G130" s="49"/>
      <c r="H130" s="49"/>
      <c r="I130" s="49"/>
      <c r="J130" s="49"/>
      <c r="K130" s="49"/>
      <c r="L130" s="49"/>
      <c r="M130" s="50">
        <f t="shared" si="12"/>
        <v>0</v>
      </c>
      <c r="N130" s="50" t="str">
        <f t="shared" si="13"/>
        <v/>
      </c>
      <c r="O130" t="str">
        <f t="shared" si="14"/>
        <v/>
      </c>
      <c r="W130" t="str">
        <f t="shared" si="15"/>
        <v/>
      </c>
    </row>
    <row r="131" spans="1:23" ht="21" customHeight="1" x14ac:dyDescent="0.95">
      <c r="A131" s="57"/>
      <c r="B131" s="57"/>
      <c r="C131" s="57"/>
      <c r="D131" s="57"/>
      <c r="E131" s="57"/>
      <c r="F131" s="49"/>
      <c r="G131" s="49"/>
      <c r="H131" s="49"/>
      <c r="I131" s="49"/>
      <c r="J131" s="49"/>
      <c r="K131" s="49"/>
      <c r="L131" s="49"/>
      <c r="M131" s="50">
        <f t="shared" si="12"/>
        <v>0</v>
      </c>
      <c r="N131" s="50" t="str">
        <f t="shared" si="13"/>
        <v/>
      </c>
      <c r="O131" t="str">
        <f t="shared" si="14"/>
        <v/>
      </c>
      <c r="W131" t="str">
        <f t="shared" si="15"/>
        <v/>
      </c>
    </row>
    <row r="132" spans="1:23" ht="21" customHeight="1" x14ac:dyDescent="0.95">
      <c r="A132" s="57"/>
      <c r="B132" s="57"/>
      <c r="C132" s="57"/>
      <c r="D132" s="57"/>
      <c r="E132" s="57"/>
      <c r="F132" s="49"/>
      <c r="G132" s="49"/>
      <c r="H132" s="49"/>
      <c r="I132" s="49"/>
      <c r="J132" s="49"/>
      <c r="K132" s="49"/>
      <c r="L132" s="49"/>
      <c r="M132" s="50">
        <f t="shared" si="12"/>
        <v>0</v>
      </c>
      <c r="N132" s="50" t="str">
        <f t="shared" si="13"/>
        <v/>
      </c>
      <c r="O132" t="str">
        <f t="shared" si="14"/>
        <v/>
      </c>
      <c r="W132" t="str">
        <f t="shared" si="15"/>
        <v/>
      </c>
    </row>
    <row r="133" spans="1:23" ht="21" customHeight="1" x14ac:dyDescent="0.95">
      <c r="A133" s="57"/>
      <c r="B133" s="57"/>
      <c r="C133" s="57"/>
      <c r="D133" s="57"/>
      <c r="E133" s="57"/>
      <c r="F133" s="49"/>
      <c r="G133" s="49"/>
      <c r="H133" s="49"/>
      <c r="I133" s="49"/>
      <c r="J133" s="49"/>
      <c r="K133" s="49"/>
      <c r="L133" s="49"/>
      <c r="M133" s="50">
        <f t="shared" ref="M133:M164" si="16">IF(OR($X133="",$K133="",$L133="",$W133=""),0,ROUND($W133*$L133,2))</f>
        <v>0</v>
      </c>
      <c r="N133" s="50" t="str">
        <f t="shared" ref="N133:N164" si="17">IF($J133="","",ROUND(N($J133)+N($M133),2))</f>
        <v/>
      </c>
      <c r="O133" t="str">
        <f t="shared" ref="O133:O164" si="18">IF(OR($A133="",$B133="",$C133="",$D133="",$E133=""),"",$A133&amp;"|"&amp;$B133&amp;" - "&amp;$C133&amp;"("&amp;$D133&amp;")"&amp;"|"&amp;$E133)</f>
        <v/>
      </c>
      <c r="W133" t="str">
        <f t="shared" ref="W133:W164" si="19">IF(OR($X133="",$K133=""),"",IF($K133&lt;$X133,$K133-$X133,IF($K133&gt;IF($V133="",$X133,$V133),$K133-IF($V133="",$X133,$V133),0)))</f>
        <v/>
      </c>
    </row>
    <row r="134" spans="1:23" ht="21" customHeight="1" x14ac:dyDescent="0.95">
      <c r="A134" s="57"/>
      <c r="B134" s="57"/>
      <c r="C134" s="57"/>
      <c r="D134" s="57"/>
      <c r="E134" s="57"/>
      <c r="F134" s="49"/>
      <c r="G134" s="49"/>
      <c r="H134" s="49"/>
      <c r="I134" s="49"/>
      <c r="J134" s="49"/>
      <c r="K134" s="49"/>
      <c r="L134" s="49"/>
      <c r="M134" s="50">
        <f t="shared" si="16"/>
        <v>0</v>
      </c>
      <c r="N134" s="50" t="str">
        <f t="shared" si="17"/>
        <v/>
      </c>
      <c r="O134" t="str">
        <f t="shared" si="18"/>
        <v/>
      </c>
      <c r="W134" t="str">
        <f t="shared" si="19"/>
        <v/>
      </c>
    </row>
    <row r="135" spans="1:23" ht="21" customHeight="1" x14ac:dyDescent="0.95">
      <c r="A135" s="57"/>
      <c r="B135" s="57"/>
      <c r="C135" s="57"/>
      <c r="D135" s="57"/>
      <c r="E135" s="57"/>
      <c r="F135" s="49"/>
      <c r="G135" s="49"/>
      <c r="H135" s="49"/>
      <c r="I135" s="49"/>
      <c r="J135" s="49"/>
      <c r="K135" s="49"/>
      <c r="L135" s="49"/>
      <c r="M135" s="50">
        <f t="shared" si="16"/>
        <v>0</v>
      </c>
      <c r="N135" s="50" t="str">
        <f t="shared" si="17"/>
        <v/>
      </c>
      <c r="O135" t="str">
        <f t="shared" si="18"/>
        <v/>
      </c>
      <c r="W135" t="str">
        <f t="shared" si="19"/>
        <v/>
      </c>
    </row>
    <row r="136" spans="1:23" ht="21" customHeight="1" x14ac:dyDescent="0.95">
      <c r="A136" s="57"/>
      <c r="B136" s="57"/>
      <c r="C136" s="57"/>
      <c r="D136" s="57"/>
      <c r="E136" s="57"/>
      <c r="F136" s="49"/>
      <c r="G136" s="49"/>
      <c r="H136" s="49"/>
      <c r="I136" s="49"/>
      <c r="J136" s="49"/>
      <c r="K136" s="49"/>
      <c r="L136" s="49"/>
      <c r="M136" s="50">
        <f t="shared" si="16"/>
        <v>0</v>
      </c>
      <c r="N136" s="50" t="str">
        <f t="shared" si="17"/>
        <v/>
      </c>
      <c r="O136" t="str">
        <f t="shared" si="18"/>
        <v/>
      </c>
      <c r="W136" t="str">
        <f t="shared" si="19"/>
        <v/>
      </c>
    </row>
    <row r="137" spans="1:23" ht="21" customHeight="1" x14ac:dyDescent="0.95">
      <c r="A137" s="57"/>
      <c r="B137" s="57"/>
      <c r="C137" s="57"/>
      <c r="D137" s="57"/>
      <c r="E137" s="57"/>
      <c r="F137" s="49"/>
      <c r="G137" s="49"/>
      <c r="H137" s="49"/>
      <c r="I137" s="49"/>
      <c r="J137" s="49"/>
      <c r="K137" s="49"/>
      <c r="L137" s="49"/>
      <c r="M137" s="50">
        <f t="shared" si="16"/>
        <v>0</v>
      </c>
      <c r="N137" s="50" t="str">
        <f t="shared" si="17"/>
        <v/>
      </c>
      <c r="O137" t="str">
        <f t="shared" si="18"/>
        <v/>
      </c>
      <c r="W137" t="str">
        <f t="shared" si="19"/>
        <v/>
      </c>
    </row>
    <row r="138" spans="1:23" ht="21" customHeight="1" x14ac:dyDescent="0.95">
      <c r="A138" s="57"/>
      <c r="B138" s="57"/>
      <c r="C138" s="57"/>
      <c r="D138" s="57"/>
      <c r="E138" s="57"/>
      <c r="F138" s="49"/>
      <c r="G138" s="49"/>
      <c r="H138" s="49"/>
      <c r="I138" s="49"/>
      <c r="J138" s="49"/>
      <c r="K138" s="49"/>
      <c r="L138" s="49"/>
      <c r="M138" s="50">
        <f t="shared" si="16"/>
        <v>0</v>
      </c>
      <c r="N138" s="50" t="str">
        <f t="shared" si="17"/>
        <v/>
      </c>
      <c r="O138" t="str">
        <f t="shared" si="18"/>
        <v/>
      </c>
      <c r="W138" t="str">
        <f t="shared" si="19"/>
        <v/>
      </c>
    </row>
    <row r="139" spans="1:23" ht="21" customHeight="1" x14ac:dyDescent="0.95">
      <c r="A139" s="57"/>
      <c r="B139" s="57"/>
      <c r="C139" s="57"/>
      <c r="D139" s="57"/>
      <c r="E139" s="57"/>
      <c r="F139" s="49"/>
      <c r="G139" s="49"/>
      <c r="H139" s="49"/>
      <c r="I139" s="49"/>
      <c r="J139" s="49"/>
      <c r="K139" s="49"/>
      <c r="L139" s="49"/>
      <c r="M139" s="50">
        <f t="shared" si="16"/>
        <v>0</v>
      </c>
      <c r="N139" s="50" t="str">
        <f t="shared" si="17"/>
        <v/>
      </c>
      <c r="O139" t="str">
        <f t="shared" si="18"/>
        <v/>
      </c>
      <c r="W139" t="str">
        <f t="shared" si="19"/>
        <v/>
      </c>
    </row>
    <row r="140" spans="1:23" ht="21" customHeight="1" x14ac:dyDescent="0.95">
      <c r="A140" s="57"/>
      <c r="B140" s="57"/>
      <c r="C140" s="57"/>
      <c r="D140" s="57"/>
      <c r="E140" s="57"/>
      <c r="F140" s="49"/>
      <c r="G140" s="49"/>
      <c r="H140" s="49"/>
      <c r="I140" s="49"/>
      <c r="J140" s="49"/>
      <c r="K140" s="49"/>
      <c r="L140" s="49"/>
      <c r="M140" s="50">
        <f t="shared" si="16"/>
        <v>0</v>
      </c>
      <c r="N140" s="50" t="str">
        <f t="shared" si="17"/>
        <v/>
      </c>
      <c r="O140" t="str">
        <f t="shared" si="18"/>
        <v/>
      </c>
      <c r="W140" t="str">
        <f t="shared" si="19"/>
        <v/>
      </c>
    </row>
    <row r="141" spans="1:23" ht="21" customHeight="1" x14ac:dyDescent="0.95">
      <c r="A141" s="57"/>
      <c r="B141" s="57"/>
      <c r="C141" s="57"/>
      <c r="D141" s="57"/>
      <c r="E141" s="57"/>
      <c r="F141" s="49"/>
      <c r="G141" s="49"/>
      <c r="H141" s="49"/>
      <c r="I141" s="49"/>
      <c r="J141" s="49"/>
      <c r="K141" s="49"/>
      <c r="L141" s="49"/>
      <c r="M141" s="50">
        <f t="shared" si="16"/>
        <v>0</v>
      </c>
      <c r="N141" s="50" t="str">
        <f t="shared" si="17"/>
        <v/>
      </c>
      <c r="O141" t="str">
        <f t="shared" si="18"/>
        <v/>
      </c>
      <c r="W141" t="str">
        <f t="shared" si="19"/>
        <v/>
      </c>
    </row>
    <row r="142" spans="1:23" ht="21" customHeight="1" x14ac:dyDescent="0.95">
      <c r="A142" s="57"/>
      <c r="B142" s="57"/>
      <c r="C142" s="57"/>
      <c r="D142" s="57"/>
      <c r="E142" s="57"/>
      <c r="F142" s="49"/>
      <c r="G142" s="49"/>
      <c r="H142" s="49"/>
      <c r="I142" s="49"/>
      <c r="J142" s="49"/>
      <c r="K142" s="49"/>
      <c r="L142" s="49"/>
      <c r="M142" s="50">
        <f t="shared" si="16"/>
        <v>0</v>
      </c>
      <c r="N142" s="50" t="str">
        <f t="shared" si="17"/>
        <v/>
      </c>
      <c r="O142" t="str">
        <f t="shared" si="18"/>
        <v/>
      </c>
      <c r="W142" t="str">
        <f t="shared" si="19"/>
        <v/>
      </c>
    </row>
    <row r="143" spans="1:23" ht="21" customHeight="1" x14ac:dyDescent="0.95">
      <c r="A143" s="57"/>
      <c r="B143" s="57"/>
      <c r="C143" s="57"/>
      <c r="D143" s="57"/>
      <c r="E143" s="57"/>
      <c r="F143" s="49"/>
      <c r="G143" s="49"/>
      <c r="H143" s="49"/>
      <c r="I143" s="49"/>
      <c r="J143" s="49"/>
      <c r="K143" s="49"/>
      <c r="L143" s="49"/>
      <c r="M143" s="50">
        <f t="shared" si="16"/>
        <v>0</v>
      </c>
      <c r="N143" s="50" t="str">
        <f t="shared" si="17"/>
        <v/>
      </c>
      <c r="O143" t="str">
        <f t="shared" si="18"/>
        <v/>
      </c>
      <c r="W143" t="str">
        <f t="shared" si="19"/>
        <v/>
      </c>
    </row>
    <row r="144" spans="1:23" ht="21" customHeight="1" x14ac:dyDescent="0.95">
      <c r="A144" s="57"/>
      <c r="B144" s="57"/>
      <c r="C144" s="57"/>
      <c r="D144" s="57"/>
      <c r="E144" s="57"/>
      <c r="F144" s="49"/>
      <c r="G144" s="49"/>
      <c r="H144" s="49"/>
      <c r="I144" s="49"/>
      <c r="J144" s="49"/>
      <c r="K144" s="49"/>
      <c r="L144" s="49"/>
      <c r="M144" s="50">
        <f t="shared" si="16"/>
        <v>0</v>
      </c>
      <c r="N144" s="50" t="str">
        <f t="shared" si="17"/>
        <v/>
      </c>
      <c r="O144" t="str">
        <f t="shared" si="18"/>
        <v/>
      </c>
      <c r="W144" t="str">
        <f t="shared" si="19"/>
        <v/>
      </c>
    </row>
    <row r="145" spans="1:23" ht="21" customHeight="1" x14ac:dyDescent="0.95">
      <c r="A145" s="57"/>
      <c r="B145" s="57"/>
      <c r="C145" s="57"/>
      <c r="D145" s="57"/>
      <c r="E145" s="57"/>
      <c r="F145" s="49"/>
      <c r="G145" s="49"/>
      <c r="H145" s="49"/>
      <c r="I145" s="49"/>
      <c r="J145" s="49"/>
      <c r="K145" s="49"/>
      <c r="L145" s="49"/>
      <c r="M145" s="50">
        <f t="shared" si="16"/>
        <v>0</v>
      </c>
      <c r="N145" s="50" t="str">
        <f t="shared" si="17"/>
        <v/>
      </c>
      <c r="O145" t="str">
        <f t="shared" si="18"/>
        <v/>
      </c>
      <c r="W145" t="str">
        <f t="shared" si="19"/>
        <v/>
      </c>
    </row>
    <row r="146" spans="1:23" ht="21" customHeight="1" x14ac:dyDescent="0.95">
      <c r="A146" s="57"/>
      <c r="B146" s="57"/>
      <c r="C146" s="57"/>
      <c r="D146" s="57"/>
      <c r="E146" s="57"/>
      <c r="F146" s="49"/>
      <c r="G146" s="49"/>
      <c r="H146" s="49"/>
      <c r="I146" s="49"/>
      <c r="J146" s="49"/>
      <c r="K146" s="49"/>
      <c r="L146" s="49"/>
      <c r="M146" s="50">
        <f t="shared" si="16"/>
        <v>0</v>
      </c>
      <c r="N146" s="50" t="str">
        <f t="shared" si="17"/>
        <v/>
      </c>
      <c r="O146" t="str">
        <f t="shared" si="18"/>
        <v/>
      </c>
      <c r="W146" t="str">
        <f t="shared" si="19"/>
        <v/>
      </c>
    </row>
    <row r="147" spans="1:23" ht="21" customHeight="1" x14ac:dyDescent="0.95">
      <c r="A147" s="57"/>
      <c r="B147" s="57"/>
      <c r="C147" s="57"/>
      <c r="D147" s="57"/>
      <c r="E147" s="57"/>
      <c r="F147" s="49"/>
      <c r="G147" s="49"/>
      <c r="H147" s="49"/>
      <c r="I147" s="49"/>
      <c r="J147" s="49"/>
      <c r="K147" s="49"/>
      <c r="L147" s="49"/>
      <c r="M147" s="50">
        <f t="shared" si="16"/>
        <v>0</v>
      </c>
      <c r="N147" s="50" t="str">
        <f t="shared" si="17"/>
        <v/>
      </c>
      <c r="O147" t="str">
        <f t="shared" si="18"/>
        <v/>
      </c>
      <c r="W147" t="str">
        <f t="shared" si="19"/>
        <v/>
      </c>
    </row>
    <row r="148" spans="1:23" ht="21" customHeight="1" x14ac:dyDescent="0.95">
      <c r="A148" s="57"/>
      <c r="B148" s="57"/>
      <c r="C148" s="57"/>
      <c r="D148" s="57"/>
      <c r="E148" s="57"/>
      <c r="F148" s="49"/>
      <c r="G148" s="49"/>
      <c r="H148" s="49"/>
      <c r="I148" s="49"/>
      <c r="J148" s="49"/>
      <c r="K148" s="49"/>
      <c r="L148" s="49"/>
      <c r="M148" s="50">
        <f t="shared" si="16"/>
        <v>0</v>
      </c>
      <c r="N148" s="50" t="str">
        <f t="shared" si="17"/>
        <v/>
      </c>
      <c r="O148" t="str">
        <f t="shared" si="18"/>
        <v/>
      </c>
      <c r="W148" t="str">
        <f t="shared" si="19"/>
        <v/>
      </c>
    </row>
    <row r="149" spans="1:23" ht="21" customHeight="1" x14ac:dyDescent="0.95">
      <c r="A149" s="57"/>
      <c r="B149" s="57"/>
      <c r="C149" s="57"/>
      <c r="D149" s="57"/>
      <c r="E149" s="57"/>
      <c r="F149" s="49"/>
      <c r="G149" s="49"/>
      <c r="H149" s="49"/>
      <c r="I149" s="49"/>
      <c r="J149" s="49"/>
      <c r="K149" s="49"/>
      <c r="L149" s="49"/>
      <c r="M149" s="50">
        <f t="shared" si="16"/>
        <v>0</v>
      </c>
      <c r="N149" s="50" t="str">
        <f t="shared" si="17"/>
        <v/>
      </c>
      <c r="O149" t="str">
        <f t="shared" si="18"/>
        <v/>
      </c>
      <c r="W149" t="str">
        <f t="shared" si="19"/>
        <v/>
      </c>
    </row>
    <row r="150" spans="1:23" ht="21" customHeight="1" x14ac:dyDescent="0.95">
      <c r="A150" s="57"/>
      <c r="B150" s="57"/>
      <c r="C150" s="57"/>
      <c r="D150" s="57"/>
      <c r="E150" s="57"/>
      <c r="F150" s="49"/>
      <c r="G150" s="49"/>
      <c r="H150" s="49"/>
      <c r="I150" s="49"/>
      <c r="J150" s="49"/>
      <c r="K150" s="49"/>
      <c r="L150" s="49"/>
      <c r="M150" s="50">
        <f t="shared" si="16"/>
        <v>0</v>
      </c>
      <c r="N150" s="50" t="str">
        <f t="shared" si="17"/>
        <v/>
      </c>
      <c r="O150" t="str">
        <f t="shared" si="18"/>
        <v/>
      </c>
      <c r="W150" t="str">
        <f t="shared" si="19"/>
        <v/>
      </c>
    </row>
    <row r="151" spans="1:23" ht="21" customHeight="1" x14ac:dyDescent="0.95">
      <c r="A151" s="57"/>
      <c r="B151" s="57"/>
      <c r="C151" s="57"/>
      <c r="D151" s="57"/>
      <c r="E151" s="57"/>
      <c r="F151" s="49"/>
      <c r="G151" s="49"/>
      <c r="H151" s="49"/>
      <c r="I151" s="49"/>
      <c r="J151" s="49"/>
      <c r="K151" s="49"/>
      <c r="L151" s="49"/>
      <c r="M151" s="50">
        <f t="shared" si="16"/>
        <v>0</v>
      </c>
      <c r="N151" s="50" t="str">
        <f t="shared" si="17"/>
        <v/>
      </c>
      <c r="O151" t="str">
        <f t="shared" si="18"/>
        <v/>
      </c>
      <c r="W151" t="str">
        <f t="shared" si="19"/>
        <v/>
      </c>
    </row>
    <row r="152" spans="1:23" ht="21" customHeight="1" x14ac:dyDescent="0.95">
      <c r="A152" s="57"/>
      <c r="B152" s="57"/>
      <c r="C152" s="57"/>
      <c r="D152" s="57"/>
      <c r="E152" s="57"/>
      <c r="F152" s="49"/>
      <c r="G152" s="49"/>
      <c r="H152" s="49"/>
      <c r="I152" s="49"/>
      <c r="J152" s="49"/>
      <c r="K152" s="49"/>
      <c r="L152" s="49"/>
      <c r="M152" s="50">
        <f t="shared" si="16"/>
        <v>0</v>
      </c>
      <c r="N152" s="50" t="str">
        <f t="shared" si="17"/>
        <v/>
      </c>
      <c r="O152" t="str">
        <f t="shared" si="18"/>
        <v/>
      </c>
      <c r="W152" t="str">
        <f t="shared" si="19"/>
        <v/>
      </c>
    </row>
    <row r="153" spans="1:23" ht="21" customHeight="1" x14ac:dyDescent="0.95">
      <c r="A153" s="57"/>
      <c r="B153" s="57"/>
      <c r="C153" s="57"/>
      <c r="D153" s="57"/>
      <c r="E153" s="57"/>
      <c r="F153" s="49"/>
      <c r="G153" s="49"/>
      <c r="H153" s="49"/>
      <c r="I153" s="49"/>
      <c r="J153" s="49"/>
      <c r="K153" s="49"/>
      <c r="L153" s="49"/>
      <c r="M153" s="50">
        <f t="shared" si="16"/>
        <v>0</v>
      </c>
      <c r="N153" s="50" t="str">
        <f t="shared" si="17"/>
        <v/>
      </c>
      <c r="O153" t="str">
        <f t="shared" si="18"/>
        <v/>
      </c>
      <c r="W153" t="str">
        <f t="shared" si="19"/>
        <v/>
      </c>
    </row>
    <row r="154" spans="1:23" ht="21" customHeight="1" x14ac:dyDescent="0.95">
      <c r="A154" s="57"/>
      <c r="B154" s="57"/>
      <c r="C154" s="57"/>
      <c r="D154" s="57"/>
      <c r="E154" s="57"/>
      <c r="F154" s="49"/>
      <c r="G154" s="49"/>
      <c r="H154" s="49"/>
      <c r="I154" s="49"/>
      <c r="J154" s="49"/>
      <c r="K154" s="49"/>
      <c r="L154" s="49"/>
      <c r="M154" s="50">
        <f t="shared" si="16"/>
        <v>0</v>
      </c>
      <c r="N154" s="50" t="str">
        <f t="shared" si="17"/>
        <v/>
      </c>
      <c r="O154" t="str">
        <f t="shared" si="18"/>
        <v/>
      </c>
      <c r="W154" t="str">
        <f t="shared" si="19"/>
        <v/>
      </c>
    </row>
    <row r="155" spans="1:23" ht="21" customHeight="1" x14ac:dyDescent="0.95">
      <c r="A155" s="57"/>
      <c r="B155" s="57"/>
      <c r="C155" s="57"/>
      <c r="D155" s="57"/>
      <c r="E155" s="57"/>
      <c r="F155" s="49"/>
      <c r="G155" s="49"/>
      <c r="H155" s="49"/>
      <c r="I155" s="49"/>
      <c r="J155" s="49"/>
      <c r="K155" s="49"/>
      <c r="L155" s="49"/>
      <c r="M155" s="50">
        <f t="shared" si="16"/>
        <v>0</v>
      </c>
      <c r="N155" s="50" t="str">
        <f t="shared" si="17"/>
        <v/>
      </c>
      <c r="O155" t="str">
        <f t="shared" si="18"/>
        <v/>
      </c>
      <c r="W155" t="str">
        <f t="shared" si="19"/>
        <v/>
      </c>
    </row>
    <row r="156" spans="1:23" ht="21" customHeight="1" x14ac:dyDescent="0.95">
      <c r="A156" s="57"/>
      <c r="B156" s="57"/>
      <c r="C156" s="57"/>
      <c r="D156" s="57"/>
      <c r="E156" s="57"/>
      <c r="F156" s="49"/>
      <c r="G156" s="49"/>
      <c r="H156" s="49"/>
      <c r="I156" s="49"/>
      <c r="J156" s="49"/>
      <c r="K156" s="49"/>
      <c r="L156" s="49"/>
      <c r="M156" s="50">
        <f t="shared" si="16"/>
        <v>0</v>
      </c>
      <c r="N156" s="50" t="str">
        <f t="shared" si="17"/>
        <v/>
      </c>
      <c r="O156" t="str">
        <f t="shared" si="18"/>
        <v/>
      </c>
      <c r="W156" t="str">
        <f t="shared" si="19"/>
        <v/>
      </c>
    </row>
    <row r="157" spans="1:23" ht="21" customHeight="1" x14ac:dyDescent="0.95">
      <c r="A157" s="57"/>
      <c r="B157" s="57"/>
      <c r="C157" s="57"/>
      <c r="D157" s="57"/>
      <c r="E157" s="57"/>
      <c r="F157" s="49"/>
      <c r="G157" s="49"/>
      <c r="H157" s="49"/>
      <c r="I157" s="49"/>
      <c r="J157" s="49"/>
      <c r="K157" s="49"/>
      <c r="L157" s="49"/>
      <c r="M157" s="50">
        <f t="shared" si="16"/>
        <v>0</v>
      </c>
      <c r="N157" s="50" t="str">
        <f t="shared" si="17"/>
        <v/>
      </c>
      <c r="O157" t="str">
        <f t="shared" si="18"/>
        <v/>
      </c>
      <c r="W157" t="str">
        <f t="shared" si="19"/>
        <v/>
      </c>
    </row>
    <row r="158" spans="1:23" ht="21" customHeight="1" x14ac:dyDescent="0.95">
      <c r="A158" s="57"/>
      <c r="B158" s="57"/>
      <c r="C158" s="57"/>
      <c r="D158" s="57"/>
      <c r="E158" s="57"/>
      <c r="F158" s="49"/>
      <c r="G158" s="49"/>
      <c r="H158" s="49"/>
      <c r="I158" s="49"/>
      <c r="J158" s="49"/>
      <c r="K158" s="49"/>
      <c r="L158" s="49"/>
      <c r="M158" s="50">
        <f t="shared" si="16"/>
        <v>0</v>
      </c>
      <c r="N158" s="50" t="str">
        <f t="shared" si="17"/>
        <v/>
      </c>
      <c r="O158" t="str">
        <f t="shared" si="18"/>
        <v/>
      </c>
      <c r="W158" t="str">
        <f t="shared" si="19"/>
        <v/>
      </c>
    </row>
    <row r="159" spans="1:23" ht="21" customHeight="1" x14ac:dyDescent="0.95">
      <c r="A159" s="57"/>
      <c r="B159" s="57"/>
      <c r="C159" s="57"/>
      <c r="D159" s="57"/>
      <c r="E159" s="57"/>
      <c r="F159" s="49"/>
      <c r="G159" s="49"/>
      <c r="H159" s="49"/>
      <c r="I159" s="49"/>
      <c r="J159" s="49"/>
      <c r="K159" s="49"/>
      <c r="L159" s="49"/>
      <c r="M159" s="50">
        <f t="shared" si="16"/>
        <v>0</v>
      </c>
      <c r="N159" s="50" t="str">
        <f t="shared" si="17"/>
        <v/>
      </c>
      <c r="O159" t="str">
        <f t="shared" si="18"/>
        <v/>
      </c>
      <c r="W159" t="str">
        <f t="shared" si="19"/>
        <v/>
      </c>
    </row>
    <row r="160" spans="1:23" ht="21" customHeight="1" x14ac:dyDescent="0.95">
      <c r="A160" s="57"/>
      <c r="B160" s="57"/>
      <c r="C160" s="57"/>
      <c r="D160" s="57"/>
      <c r="E160" s="57"/>
      <c r="F160" s="49"/>
      <c r="G160" s="49"/>
      <c r="H160" s="49"/>
      <c r="I160" s="49"/>
      <c r="J160" s="49"/>
      <c r="K160" s="49"/>
      <c r="L160" s="49"/>
      <c r="M160" s="50">
        <f t="shared" si="16"/>
        <v>0</v>
      </c>
      <c r="N160" s="50" t="str">
        <f t="shared" si="17"/>
        <v/>
      </c>
      <c r="O160" t="str">
        <f t="shared" si="18"/>
        <v/>
      </c>
      <c r="W160" t="str">
        <f t="shared" si="19"/>
        <v/>
      </c>
    </row>
    <row r="161" spans="1:23" ht="21" customHeight="1" x14ac:dyDescent="0.95">
      <c r="A161" s="57"/>
      <c r="B161" s="57"/>
      <c r="C161" s="57"/>
      <c r="D161" s="57"/>
      <c r="E161" s="57"/>
      <c r="F161" s="49"/>
      <c r="G161" s="49"/>
      <c r="H161" s="49"/>
      <c r="I161" s="49"/>
      <c r="J161" s="49"/>
      <c r="K161" s="49"/>
      <c r="L161" s="49"/>
      <c r="M161" s="50">
        <f t="shared" si="16"/>
        <v>0</v>
      </c>
      <c r="N161" s="50" t="str">
        <f t="shared" si="17"/>
        <v/>
      </c>
      <c r="O161" t="str">
        <f t="shared" si="18"/>
        <v/>
      </c>
      <c r="W161" t="str">
        <f t="shared" si="19"/>
        <v/>
      </c>
    </row>
    <row r="162" spans="1:23" ht="21" customHeight="1" x14ac:dyDescent="0.95">
      <c r="A162" s="57"/>
      <c r="B162" s="57"/>
      <c r="C162" s="57"/>
      <c r="D162" s="57"/>
      <c r="E162" s="57"/>
      <c r="F162" s="49"/>
      <c r="G162" s="49"/>
      <c r="H162" s="49"/>
      <c r="I162" s="49"/>
      <c r="J162" s="49"/>
      <c r="K162" s="49"/>
      <c r="L162" s="49"/>
      <c r="M162" s="50">
        <f t="shared" si="16"/>
        <v>0</v>
      </c>
      <c r="N162" s="50" t="str">
        <f t="shared" si="17"/>
        <v/>
      </c>
      <c r="O162" t="str">
        <f t="shared" si="18"/>
        <v/>
      </c>
      <c r="W162" t="str">
        <f t="shared" si="19"/>
        <v/>
      </c>
    </row>
    <row r="163" spans="1:23" ht="21" customHeight="1" x14ac:dyDescent="0.95">
      <c r="A163" s="57"/>
      <c r="B163" s="57"/>
      <c r="C163" s="57"/>
      <c r="D163" s="57"/>
      <c r="E163" s="57"/>
      <c r="F163" s="49"/>
      <c r="G163" s="49"/>
      <c r="H163" s="49"/>
      <c r="I163" s="49"/>
      <c r="J163" s="49"/>
      <c r="K163" s="49"/>
      <c r="L163" s="49"/>
      <c r="M163" s="50">
        <f t="shared" si="16"/>
        <v>0</v>
      </c>
      <c r="N163" s="50" t="str">
        <f t="shared" si="17"/>
        <v/>
      </c>
      <c r="O163" t="str">
        <f t="shared" si="18"/>
        <v/>
      </c>
      <c r="W163" t="str">
        <f t="shared" si="19"/>
        <v/>
      </c>
    </row>
    <row r="164" spans="1:23" ht="21" customHeight="1" x14ac:dyDescent="0.95">
      <c r="A164" s="57"/>
      <c r="B164" s="57"/>
      <c r="C164" s="57"/>
      <c r="D164" s="57"/>
      <c r="E164" s="57"/>
      <c r="F164" s="49"/>
      <c r="G164" s="49"/>
      <c r="H164" s="49"/>
      <c r="I164" s="49"/>
      <c r="J164" s="49"/>
      <c r="K164" s="49"/>
      <c r="L164" s="49"/>
      <c r="M164" s="50">
        <f t="shared" si="16"/>
        <v>0</v>
      </c>
      <c r="N164" s="50" t="str">
        <f t="shared" si="17"/>
        <v/>
      </c>
      <c r="O164" t="str">
        <f t="shared" si="18"/>
        <v/>
      </c>
      <c r="W164" t="str">
        <f t="shared" si="19"/>
        <v/>
      </c>
    </row>
    <row r="165" spans="1:23" ht="21" customHeight="1" x14ac:dyDescent="0.95">
      <c r="A165" s="57"/>
      <c r="B165" s="57"/>
      <c r="C165" s="57"/>
      <c r="D165" s="57"/>
      <c r="E165" s="57"/>
      <c r="F165" s="49"/>
      <c r="G165" s="49"/>
      <c r="H165" s="49"/>
      <c r="I165" s="49"/>
      <c r="J165" s="49"/>
      <c r="K165" s="49"/>
      <c r="L165" s="49"/>
      <c r="M165" s="50">
        <f t="shared" ref="M165:M196" si="20">IF(OR($X165="",$K165="",$L165="",$W165=""),0,ROUND($W165*$L165,2))</f>
        <v>0</v>
      </c>
      <c r="N165" s="50" t="str">
        <f t="shared" ref="N165:N196" si="21">IF($J165="","",ROUND(N($J165)+N($M165),2))</f>
        <v/>
      </c>
      <c r="O165" t="str">
        <f t="shared" ref="O165:O196" si="22">IF(OR($A165="",$B165="",$C165="",$D165="",$E165=""),"",$A165&amp;"|"&amp;$B165&amp;" - "&amp;$C165&amp;"("&amp;$D165&amp;")"&amp;"|"&amp;$E165)</f>
        <v/>
      </c>
      <c r="W165" t="str">
        <f t="shared" ref="W165:W196" si="23">IF(OR($X165="",$K165=""),"",IF($K165&lt;$X165,$K165-$X165,IF($K165&gt;IF($V165="",$X165,$V165),$K165-IF($V165="",$X165,$V165),0)))</f>
        <v/>
      </c>
    </row>
    <row r="166" spans="1:23" ht="21" customHeight="1" x14ac:dyDescent="0.95">
      <c r="A166" s="57"/>
      <c r="B166" s="57"/>
      <c r="C166" s="57"/>
      <c r="D166" s="57"/>
      <c r="E166" s="57"/>
      <c r="F166" s="49"/>
      <c r="G166" s="49"/>
      <c r="H166" s="49"/>
      <c r="I166" s="49"/>
      <c r="J166" s="49"/>
      <c r="K166" s="49"/>
      <c r="L166" s="49"/>
      <c r="M166" s="50">
        <f t="shared" si="20"/>
        <v>0</v>
      </c>
      <c r="N166" s="50" t="str">
        <f t="shared" si="21"/>
        <v/>
      </c>
      <c r="O166" t="str">
        <f t="shared" si="22"/>
        <v/>
      </c>
      <c r="W166" t="str">
        <f t="shared" si="23"/>
        <v/>
      </c>
    </row>
    <row r="167" spans="1:23" ht="21" customHeight="1" x14ac:dyDescent="0.95">
      <c r="A167" s="57"/>
      <c r="B167" s="57"/>
      <c r="C167" s="57"/>
      <c r="D167" s="57"/>
      <c r="E167" s="57"/>
      <c r="F167" s="49"/>
      <c r="G167" s="49"/>
      <c r="H167" s="49"/>
      <c r="I167" s="49"/>
      <c r="J167" s="49"/>
      <c r="K167" s="49"/>
      <c r="L167" s="49"/>
      <c r="M167" s="50">
        <f t="shared" si="20"/>
        <v>0</v>
      </c>
      <c r="N167" s="50" t="str">
        <f t="shared" si="21"/>
        <v/>
      </c>
      <c r="O167" t="str">
        <f t="shared" si="22"/>
        <v/>
      </c>
      <c r="W167" t="str">
        <f t="shared" si="23"/>
        <v/>
      </c>
    </row>
    <row r="168" spans="1:23" ht="21" customHeight="1" x14ac:dyDescent="0.95">
      <c r="A168" s="57"/>
      <c r="B168" s="57"/>
      <c r="C168" s="57"/>
      <c r="D168" s="57"/>
      <c r="E168" s="57"/>
      <c r="F168" s="49"/>
      <c r="G168" s="49"/>
      <c r="H168" s="49"/>
      <c r="I168" s="49"/>
      <c r="J168" s="49"/>
      <c r="K168" s="49"/>
      <c r="L168" s="49"/>
      <c r="M168" s="50">
        <f t="shared" si="20"/>
        <v>0</v>
      </c>
      <c r="N168" s="50" t="str">
        <f t="shared" si="21"/>
        <v/>
      </c>
      <c r="O168" t="str">
        <f t="shared" si="22"/>
        <v/>
      </c>
      <c r="W168" t="str">
        <f t="shared" si="23"/>
        <v/>
      </c>
    </row>
    <row r="169" spans="1:23" ht="21" customHeight="1" x14ac:dyDescent="0.95">
      <c r="A169" s="57"/>
      <c r="B169" s="57"/>
      <c r="C169" s="57"/>
      <c r="D169" s="57"/>
      <c r="E169" s="57"/>
      <c r="F169" s="49"/>
      <c r="G169" s="49"/>
      <c r="H169" s="49"/>
      <c r="I169" s="49"/>
      <c r="J169" s="49"/>
      <c r="K169" s="49"/>
      <c r="L169" s="49"/>
      <c r="M169" s="50">
        <f t="shared" si="20"/>
        <v>0</v>
      </c>
      <c r="N169" s="50" t="str">
        <f t="shared" si="21"/>
        <v/>
      </c>
      <c r="O169" t="str">
        <f t="shared" si="22"/>
        <v/>
      </c>
      <c r="W169" t="str">
        <f t="shared" si="23"/>
        <v/>
      </c>
    </row>
    <row r="170" spans="1:23" ht="21" customHeight="1" x14ac:dyDescent="0.95">
      <c r="A170" s="57"/>
      <c r="B170" s="57"/>
      <c r="C170" s="57"/>
      <c r="D170" s="57"/>
      <c r="E170" s="57"/>
      <c r="F170" s="49"/>
      <c r="G170" s="49"/>
      <c r="H170" s="49"/>
      <c r="I170" s="49"/>
      <c r="J170" s="49"/>
      <c r="K170" s="49"/>
      <c r="L170" s="49"/>
      <c r="M170" s="50">
        <f t="shared" si="20"/>
        <v>0</v>
      </c>
      <c r="N170" s="50" t="str">
        <f t="shared" si="21"/>
        <v/>
      </c>
      <c r="O170" t="str">
        <f t="shared" si="22"/>
        <v/>
      </c>
      <c r="W170" t="str">
        <f t="shared" si="23"/>
        <v/>
      </c>
    </row>
    <row r="171" spans="1:23" ht="21" customHeight="1" x14ac:dyDescent="0.95">
      <c r="A171" s="57"/>
      <c r="B171" s="57"/>
      <c r="C171" s="57"/>
      <c r="D171" s="57"/>
      <c r="E171" s="57"/>
      <c r="F171" s="49"/>
      <c r="G171" s="49"/>
      <c r="H171" s="49"/>
      <c r="I171" s="49"/>
      <c r="J171" s="49"/>
      <c r="K171" s="49"/>
      <c r="L171" s="49"/>
      <c r="M171" s="50">
        <f t="shared" si="20"/>
        <v>0</v>
      </c>
      <c r="N171" s="50" t="str">
        <f t="shared" si="21"/>
        <v/>
      </c>
      <c r="O171" t="str">
        <f t="shared" si="22"/>
        <v/>
      </c>
      <c r="W171" t="str">
        <f t="shared" si="23"/>
        <v/>
      </c>
    </row>
    <row r="172" spans="1:23" ht="21" customHeight="1" x14ac:dyDescent="0.95">
      <c r="A172" s="57"/>
      <c r="B172" s="57"/>
      <c r="C172" s="57"/>
      <c r="D172" s="57"/>
      <c r="E172" s="57"/>
      <c r="F172" s="49"/>
      <c r="G172" s="49"/>
      <c r="H172" s="49"/>
      <c r="I172" s="49"/>
      <c r="J172" s="49"/>
      <c r="K172" s="49"/>
      <c r="L172" s="49"/>
      <c r="M172" s="50">
        <f t="shared" si="20"/>
        <v>0</v>
      </c>
      <c r="N172" s="50" t="str">
        <f t="shared" si="21"/>
        <v/>
      </c>
      <c r="O172" t="str">
        <f t="shared" si="22"/>
        <v/>
      </c>
      <c r="W172" t="str">
        <f t="shared" si="23"/>
        <v/>
      </c>
    </row>
    <row r="173" spans="1:23" ht="21" customHeight="1" x14ac:dyDescent="0.95">
      <c r="A173" s="57"/>
      <c r="B173" s="57"/>
      <c r="C173" s="57"/>
      <c r="D173" s="57"/>
      <c r="E173" s="57"/>
      <c r="F173" s="49"/>
      <c r="G173" s="49"/>
      <c r="H173" s="49"/>
      <c r="I173" s="49"/>
      <c r="J173" s="49"/>
      <c r="K173" s="49"/>
      <c r="L173" s="49"/>
      <c r="M173" s="50">
        <f t="shared" si="20"/>
        <v>0</v>
      </c>
      <c r="N173" s="50" t="str">
        <f t="shared" si="21"/>
        <v/>
      </c>
      <c r="O173" t="str">
        <f t="shared" si="22"/>
        <v/>
      </c>
      <c r="W173" t="str">
        <f t="shared" si="23"/>
        <v/>
      </c>
    </row>
    <row r="174" spans="1:23" ht="21" customHeight="1" x14ac:dyDescent="0.95">
      <c r="A174" s="57"/>
      <c r="B174" s="57"/>
      <c r="C174" s="57"/>
      <c r="D174" s="57"/>
      <c r="E174" s="57"/>
      <c r="F174" s="49"/>
      <c r="G174" s="49"/>
      <c r="H174" s="49"/>
      <c r="I174" s="49"/>
      <c r="J174" s="49"/>
      <c r="K174" s="49"/>
      <c r="L174" s="49"/>
      <c r="M174" s="50">
        <f t="shared" si="20"/>
        <v>0</v>
      </c>
      <c r="N174" s="50" t="str">
        <f t="shared" si="21"/>
        <v/>
      </c>
      <c r="O174" t="str">
        <f t="shared" si="22"/>
        <v/>
      </c>
      <c r="W174" t="str">
        <f t="shared" si="23"/>
        <v/>
      </c>
    </row>
    <row r="175" spans="1:23" ht="21" customHeight="1" x14ac:dyDescent="0.95">
      <c r="A175" s="57"/>
      <c r="B175" s="57"/>
      <c r="C175" s="57"/>
      <c r="D175" s="57"/>
      <c r="E175" s="57"/>
      <c r="F175" s="49"/>
      <c r="G175" s="49"/>
      <c r="H175" s="49"/>
      <c r="I175" s="49"/>
      <c r="J175" s="49"/>
      <c r="K175" s="49"/>
      <c r="L175" s="49"/>
      <c r="M175" s="50">
        <f t="shared" si="20"/>
        <v>0</v>
      </c>
      <c r="N175" s="50" t="str">
        <f t="shared" si="21"/>
        <v/>
      </c>
      <c r="O175" t="str">
        <f t="shared" si="22"/>
        <v/>
      </c>
      <c r="W175" t="str">
        <f t="shared" si="23"/>
        <v/>
      </c>
    </row>
    <row r="176" spans="1:23" ht="21" customHeight="1" x14ac:dyDescent="0.95">
      <c r="A176" s="57"/>
      <c r="B176" s="57"/>
      <c r="C176" s="57"/>
      <c r="D176" s="57"/>
      <c r="E176" s="57"/>
      <c r="F176" s="49"/>
      <c r="G176" s="49"/>
      <c r="H176" s="49"/>
      <c r="I176" s="49"/>
      <c r="J176" s="49"/>
      <c r="K176" s="49"/>
      <c r="L176" s="49"/>
      <c r="M176" s="50">
        <f t="shared" si="20"/>
        <v>0</v>
      </c>
      <c r="N176" s="50" t="str">
        <f t="shared" si="21"/>
        <v/>
      </c>
      <c r="O176" t="str">
        <f t="shared" si="22"/>
        <v/>
      </c>
      <c r="W176" t="str">
        <f t="shared" si="23"/>
        <v/>
      </c>
    </row>
    <row r="177" spans="1:23" ht="21" customHeight="1" x14ac:dyDescent="0.95">
      <c r="A177" s="57"/>
      <c r="B177" s="57"/>
      <c r="C177" s="57"/>
      <c r="D177" s="57"/>
      <c r="E177" s="57"/>
      <c r="F177" s="49"/>
      <c r="G177" s="49"/>
      <c r="H177" s="49"/>
      <c r="I177" s="49"/>
      <c r="J177" s="49"/>
      <c r="K177" s="49"/>
      <c r="L177" s="49"/>
      <c r="M177" s="50">
        <f t="shared" si="20"/>
        <v>0</v>
      </c>
      <c r="N177" s="50" t="str">
        <f t="shared" si="21"/>
        <v/>
      </c>
      <c r="O177" t="str">
        <f t="shared" si="22"/>
        <v/>
      </c>
      <c r="W177" t="str">
        <f t="shared" si="23"/>
        <v/>
      </c>
    </row>
    <row r="178" spans="1:23" ht="21" customHeight="1" x14ac:dyDescent="0.95">
      <c r="A178" s="57"/>
      <c r="B178" s="57"/>
      <c r="C178" s="57"/>
      <c r="D178" s="57"/>
      <c r="E178" s="57"/>
      <c r="F178" s="49"/>
      <c r="G178" s="49"/>
      <c r="H178" s="49"/>
      <c r="I178" s="49"/>
      <c r="J178" s="49"/>
      <c r="K178" s="49"/>
      <c r="L178" s="49"/>
      <c r="M178" s="50">
        <f t="shared" si="20"/>
        <v>0</v>
      </c>
      <c r="N178" s="50" t="str">
        <f t="shared" si="21"/>
        <v/>
      </c>
      <c r="O178" t="str">
        <f t="shared" si="22"/>
        <v/>
      </c>
      <c r="W178" t="str">
        <f t="shared" si="23"/>
        <v/>
      </c>
    </row>
    <row r="179" spans="1:23" ht="21" customHeight="1" x14ac:dyDescent="0.95">
      <c r="A179" s="57"/>
      <c r="B179" s="57"/>
      <c r="C179" s="57"/>
      <c r="D179" s="57"/>
      <c r="E179" s="57"/>
      <c r="F179" s="49"/>
      <c r="G179" s="49"/>
      <c r="H179" s="49"/>
      <c r="I179" s="49"/>
      <c r="J179" s="49"/>
      <c r="K179" s="49"/>
      <c r="L179" s="49"/>
      <c r="M179" s="50">
        <f t="shared" si="20"/>
        <v>0</v>
      </c>
      <c r="N179" s="50" t="str">
        <f t="shared" si="21"/>
        <v/>
      </c>
      <c r="O179" t="str">
        <f t="shared" si="22"/>
        <v/>
      </c>
      <c r="W179" t="str">
        <f t="shared" si="23"/>
        <v/>
      </c>
    </row>
    <row r="180" spans="1:23" ht="21" customHeight="1" x14ac:dyDescent="0.95">
      <c r="A180" s="57"/>
      <c r="B180" s="57"/>
      <c r="C180" s="57"/>
      <c r="D180" s="57"/>
      <c r="E180" s="57"/>
      <c r="F180" s="49"/>
      <c r="G180" s="49"/>
      <c r="H180" s="49"/>
      <c r="I180" s="49"/>
      <c r="J180" s="49"/>
      <c r="K180" s="49"/>
      <c r="L180" s="49"/>
      <c r="M180" s="50">
        <f t="shared" si="20"/>
        <v>0</v>
      </c>
      <c r="N180" s="50" t="str">
        <f t="shared" si="21"/>
        <v/>
      </c>
      <c r="O180" t="str">
        <f t="shared" si="22"/>
        <v/>
      </c>
      <c r="W180" t="str">
        <f t="shared" si="23"/>
        <v/>
      </c>
    </row>
    <row r="181" spans="1:23" ht="21" customHeight="1" x14ac:dyDescent="0.95">
      <c r="A181" s="57"/>
      <c r="B181" s="57"/>
      <c r="C181" s="57"/>
      <c r="D181" s="57"/>
      <c r="E181" s="57"/>
      <c r="F181" s="49"/>
      <c r="G181" s="49"/>
      <c r="H181" s="49"/>
      <c r="I181" s="49"/>
      <c r="J181" s="49"/>
      <c r="K181" s="49"/>
      <c r="L181" s="49"/>
      <c r="M181" s="50">
        <f t="shared" si="20"/>
        <v>0</v>
      </c>
      <c r="N181" s="50" t="str">
        <f t="shared" si="21"/>
        <v/>
      </c>
      <c r="O181" t="str">
        <f t="shared" si="22"/>
        <v/>
      </c>
      <c r="W181" t="str">
        <f t="shared" si="23"/>
        <v/>
      </c>
    </row>
    <row r="182" spans="1:23" ht="21" customHeight="1" x14ac:dyDescent="0.95">
      <c r="A182" s="57"/>
      <c r="B182" s="57"/>
      <c r="C182" s="57"/>
      <c r="D182" s="57"/>
      <c r="E182" s="57"/>
      <c r="F182" s="49"/>
      <c r="G182" s="49"/>
      <c r="H182" s="49"/>
      <c r="I182" s="49"/>
      <c r="J182" s="49"/>
      <c r="K182" s="49"/>
      <c r="L182" s="49"/>
      <c r="M182" s="50">
        <f t="shared" si="20"/>
        <v>0</v>
      </c>
      <c r="N182" s="50" t="str">
        <f t="shared" si="21"/>
        <v/>
      </c>
      <c r="O182" t="str">
        <f t="shared" si="22"/>
        <v/>
      </c>
      <c r="W182" t="str">
        <f t="shared" si="23"/>
        <v/>
      </c>
    </row>
    <row r="183" spans="1:23" ht="21" customHeight="1" x14ac:dyDescent="0.95">
      <c r="A183" s="57"/>
      <c r="B183" s="57"/>
      <c r="C183" s="57"/>
      <c r="D183" s="57"/>
      <c r="E183" s="57"/>
      <c r="F183" s="59"/>
      <c r="G183" s="49"/>
      <c r="H183" s="49"/>
      <c r="I183" s="49"/>
      <c r="J183" s="49"/>
      <c r="K183" s="49"/>
      <c r="L183" s="49"/>
      <c r="M183" s="50">
        <f t="shared" si="20"/>
        <v>0</v>
      </c>
      <c r="N183" s="50" t="str">
        <f t="shared" si="21"/>
        <v/>
      </c>
      <c r="O183" t="str">
        <f t="shared" si="22"/>
        <v/>
      </c>
      <c r="W183" t="str">
        <f t="shared" si="23"/>
        <v/>
      </c>
    </row>
    <row r="184" spans="1:23" ht="21" customHeight="1" x14ac:dyDescent="0.95">
      <c r="A184" s="57"/>
      <c r="B184" s="57"/>
      <c r="C184" s="57"/>
      <c r="D184" s="57"/>
      <c r="E184" s="57"/>
      <c r="F184" s="49"/>
      <c r="G184" s="49"/>
      <c r="H184" s="49"/>
      <c r="I184" s="49"/>
      <c r="J184" s="49"/>
      <c r="K184" s="49"/>
      <c r="L184" s="49"/>
      <c r="M184" s="50">
        <f t="shared" si="20"/>
        <v>0</v>
      </c>
      <c r="N184" s="50" t="str">
        <f t="shared" si="21"/>
        <v/>
      </c>
      <c r="O184" t="str">
        <f t="shared" si="22"/>
        <v/>
      </c>
      <c r="W184" t="str">
        <f t="shared" si="23"/>
        <v/>
      </c>
    </row>
    <row r="185" spans="1:23" ht="21" customHeight="1" x14ac:dyDescent="0.95">
      <c r="A185" s="57"/>
      <c r="B185" s="57"/>
      <c r="C185" s="57"/>
      <c r="D185" s="57"/>
      <c r="E185" s="57"/>
      <c r="F185" s="49"/>
      <c r="G185" s="49"/>
      <c r="H185" s="49"/>
      <c r="I185" s="49"/>
      <c r="J185" s="49"/>
      <c r="K185" s="49"/>
      <c r="L185" s="49"/>
      <c r="M185" s="50">
        <f t="shared" si="20"/>
        <v>0</v>
      </c>
      <c r="N185" s="50" t="str">
        <f t="shared" si="21"/>
        <v/>
      </c>
      <c r="O185" t="str">
        <f t="shared" si="22"/>
        <v/>
      </c>
      <c r="W185" t="str">
        <f t="shared" si="23"/>
        <v/>
      </c>
    </row>
    <row r="186" spans="1:23" ht="21" customHeight="1" x14ac:dyDescent="0.95">
      <c r="A186" s="57"/>
      <c r="B186" s="57"/>
      <c r="C186" s="57"/>
      <c r="D186" s="57"/>
      <c r="E186" s="57"/>
      <c r="F186" s="49"/>
      <c r="G186" s="49"/>
      <c r="H186" s="49"/>
      <c r="I186" s="49"/>
      <c r="J186" s="49"/>
      <c r="K186" s="49"/>
      <c r="L186" s="49"/>
      <c r="M186" s="50">
        <f t="shared" si="20"/>
        <v>0</v>
      </c>
      <c r="N186" s="50" t="str">
        <f t="shared" si="21"/>
        <v/>
      </c>
      <c r="O186" t="str">
        <f t="shared" si="22"/>
        <v/>
      </c>
      <c r="W186" t="str">
        <f t="shared" si="23"/>
        <v/>
      </c>
    </row>
    <row r="187" spans="1:23" ht="21" customHeight="1" x14ac:dyDescent="0.95">
      <c r="A187" s="57"/>
      <c r="B187" s="57"/>
      <c r="C187" s="57"/>
      <c r="D187" s="57"/>
      <c r="E187" s="57"/>
      <c r="F187" s="49"/>
      <c r="G187" s="49"/>
      <c r="H187" s="49"/>
      <c r="I187" s="49"/>
      <c r="J187" s="49"/>
      <c r="K187" s="49"/>
      <c r="L187" s="49"/>
      <c r="M187" s="50">
        <f t="shared" si="20"/>
        <v>0</v>
      </c>
      <c r="N187" s="50" t="str">
        <f t="shared" si="21"/>
        <v/>
      </c>
      <c r="O187" t="str">
        <f t="shared" si="22"/>
        <v/>
      </c>
      <c r="W187" t="str">
        <f t="shared" si="23"/>
        <v/>
      </c>
    </row>
    <row r="188" spans="1:23" ht="21" customHeight="1" x14ac:dyDescent="0.95">
      <c r="A188" s="57"/>
      <c r="B188" s="57"/>
      <c r="C188" s="57"/>
      <c r="D188" s="57"/>
      <c r="E188" s="57"/>
      <c r="F188" s="49"/>
      <c r="G188" s="49"/>
      <c r="H188" s="49"/>
      <c r="I188" s="49"/>
      <c r="J188" s="49"/>
      <c r="K188" s="49"/>
      <c r="L188" s="49"/>
      <c r="M188" s="50">
        <f t="shared" si="20"/>
        <v>0</v>
      </c>
      <c r="N188" s="50" t="str">
        <f t="shared" si="21"/>
        <v/>
      </c>
      <c r="O188" t="str">
        <f t="shared" si="22"/>
        <v/>
      </c>
      <c r="W188" t="str">
        <f t="shared" si="23"/>
        <v/>
      </c>
    </row>
    <row r="189" spans="1:23" ht="21" customHeight="1" x14ac:dyDescent="0.95">
      <c r="A189" s="57"/>
      <c r="B189" s="57"/>
      <c r="C189" s="57"/>
      <c r="D189" s="57"/>
      <c r="E189" s="57"/>
      <c r="F189" s="49"/>
      <c r="G189" s="49"/>
      <c r="H189" s="49"/>
      <c r="I189" s="49"/>
      <c r="J189" s="49"/>
      <c r="K189" s="49"/>
      <c r="L189" s="49"/>
      <c r="M189" s="50">
        <f t="shared" si="20"/>
        <v>0</v>
      </c>
      <c r="N189" s="50" t="str">
        <f t="shared" si="21"/>
        <v/>
      </c>
      <c r="O189" t="str">
        <f t="shared" si="22"/>
        <v/>
      </c>
      <c r="W189" t="str">
        <f t="shared" si="23"/>
        <v/>
      </c>
    </row>
    <row r="190" spans="1:23" ht="21" customHeight="1" x14ac:dyDescent="0.95">
      <c r="A190" s="57"/>
      <c r="B190" s="57"/>
      <c r="C190" s="57"/>
      <c r="D190" s="57"/>
      <c r="E190" s="57"/>
      <c r="F190" s="49"/>
      <c r="G190" s="49"/>
      <c r="H190" s="49"/>
      <c r="I190" s="49"/>
      <c r="J190" s="49"/>
      <c r="K190" s="49"/>
      <c r="L190" s="49"/>
      <c r="M190" s="50">
        <f t="shared" si="20"/>
        <v>0</v>
      </c>
      <c r="N190" s="50" t="str">
        <f t="shared" si="21"/>
        <v/>
      </c>
      <c r="O190" t="str">
        <f t="shared" si="22"/>
        <v/>
      </c>
      <c r="W190" t="str">
        <f t="shared" si="23"/>
        <v/>
      </c>
    </row>
    <row r="191" spans="1:23" ht="21" customHeight="1" x14ac:dyDescent="0.95">
      <c r="A191" s="57"/>
      <c r="B191" s="57"/>
      <c r="C191" s="57"/>
      <c r="D191" s="57"/>
      <c r="E191" s="57"/>
      <c r="F191" s="49"/>
      <c r="G191" s="49"/>
      <c r="H191" s="49"/>
      <c r="I191" s="49"/>
      <c r="J191" s="49"/>
      <c r="K191" s="49"/>
      <c r="L191" s="49"/>
      <c r="M191" s="50">
        <f t="shared" si="20"/>
        <v>0</v>
      </c>
      <c r="N191" s="50" t="str">
        <f t="shared" si="21"/>
        <v/>
      </c>
      <c r="O191" t="str">
        <f t="shared" si="22"/>
        <v/>
      </c>
      <c r="W191" t="str">
        <f t="shared" si="23"/>
        <v/>
      </c>
    </row>
    <row r="192" spans="1:23" ht="21" customHeight="1" x14ac:dyDescent="0.95">
      <c r="A192" s="57"/>
      <c r="B192" s="57"/>
      <c r="C192" s="57"/>
      <c r="D192" s="57"/>
      <c r="E192" s="57"/>
      <c r="F192" s="49"/>
      <c r="G192" s="49"/>
      <c r="H192" s="49"/>
      <c r="I192" s="49"/>
      <c r="J192" s="49"/>
      <c r="K192" s="49"/>
      <c r="L192" s="49"/>
      <c r="M192" s="50">
        <f t="shared" si="20"/>
        <v>0</v>
      </c>
      <c r="N192" s="50" t="str">
        <f t="shared" si="21"/>
        <v/>
      </c>
      <c r="O192" t="str">
        <f t="shared" si="22"/>
        <v/>
      </c>
      <c r="W192" t="str">
        <f t="shared" si="23"/>
        <v/>
      </c>
    </row>
    <row r="193" spans="1:23" ht="21" customHeight="1" x14ac:dyDescent="0.95">
      <c r="A193" s="57"/>
      <c r="B193" s="57"/>
      <c r="C193" s="57"/>
      <c r="D193" s="57"/>
      <c r="E193" s="57"/>
      <c r="F193" s="49"/>
      <c r="G193" s="49"/>
      <c r="H193" s="49"/>
      <c r="I193" s="49"/>
      <c r="J193" s="49"/>
      <c r="K193" s="49"/>
      <c r="L193" s="49"/>
      <c r="M193" s="50">
        <f t="shared" si="20"/>
        <v>0</v>
      </c>
      <c r="N193" s="50" t="str">
        <f t="shared" si="21"/>
        <v/>
      </c>
      <c r="O193" t="str">
        <f t="shared" si="22"/>
        <v/>
      </c>
      <c r="W193" t="str">
        <f t="shared" si="23"/>
        <v/>
      </c>
    </row>
    <row r="194" spans="1:23" ht="21" customHeight="1" x14ac:dyDescent="0.95">
      <c r="A194" s="57"/>
      <c r="B194" s="57"/>
      <c r="C194" s="57"/>
      <c r="D194" s="57"/>
      <c r="E194" s="57"/>
      <c r="F194" s="49"/>
      <c r="G194" s="49"/>
      <c r="H194" s="49"/>
      <c r="I194" s="49"/>
      <c r="J194" s="49"/>
      <c r="K194" s="49"/>
      <c r="L194" s="49"/>
      <c r="M194" s="50">
        <f t="shared" si="20"/>
        <v>0</v>
      </c>
      <c r="N194" s="50" t="str">
        <f t="shared" si="21"/>
        <v/>
      </c>
      <c r="O194" t="str">
        <f t="shared" si="22"/>
        <v/>
      </c>
      <c r="W194" t="str">
        <f t="shared" si="23"/>
        <v/>
      </c>
    </row>
    <row r="195" spans="1:23" ht="21" customHeight="1" x14ac:dyDescent="0.95">
      <c r="A195" s="57"/>
      <c r="B195" s="57"/>
      <c r="C195" s="57"/>
      <c r="D195" s="57"/>
      <c r="E195" s="57"/>
      <c r="F195" s="49"/>
      <c r="G195" s="49"/>
      <c r="H195" s="49"/>
      <c r="I195" s="49"/>
      <c r="J195" s="49"/>
      <c r="K195" s="49"/>
      <c r="L195" s="49"/>
      <c r="M195" s="50">
        <f t="shared" si="20"/>
        <v>0</v>
      </c>
      <c r="N195" s="50" t="str">
        <f t="shared" si="21"/>
        <v/>
      </c>
      <c r="O195" t="str">
        <f t="shared" si="22"/>
        <v/>
      </c>
      <c r="W195" t="str">
        <f t="shared" si="23"/>
        <v/>
      </c>
    </row>
    <row r="196" spans="1:23" ht="21" customHeight="1" x14ac:dyDescent="0.95">
      <c r="A196" s="57"/>
      <c r="B196" s="57"/>
      <c r="C196" s="57"/>
      <c r="D196" s="57"/>
      <c r="E196" s="57"/>
      <c r="F196" s="49"/>
      <c r="G196" s="49"/>
      <c r="H196" s="49"/>
      <c r="I196" s="49"/>
      <c r="J196" s="49"/>
      <c r="K196" s="49"/>
      <c r="L196" s="49"/>
      <c r="M196" s="50">
        <f t="shared" si="20"/>
        <v>0</v>
      </c>
      <c r="N196" s="50" t="str">
        <f t="shared" si="21"/>
        <v/>
      </c>
      <c r="O196" t="str">
        <f t="shared" si="22"/>
        <v/>
      </c>
      <c r="W196" t="str">
        <f t="shared" si="23"/>
        <v/>
      </c>
    </row>
    <row r="197" spans="1:23" ht="21" customHeight="1" x14ac:dyDescent="0.95">
      <c r="A197" s="57"/>
      <c r="B197" s="57"/>
      <c r="C197" s="57"/>
      <c r="D197" s="57"/>
      <c r="E197" s="57"/>
      <c r="F197" s="49"/>
      <c r="G197" s="49"/>
      <c r="H197" s="49"/>
      <c r="I197" s="49"/>
      <c r="J197" s="49"/>
      <c r="K197" s="49"/>
      <c r="L197" s="49"/>
      <c r="M197" s="50">
        <f t="shared" ref="M197:M204" si="24">IF(OR($X197="",$K197="",$L197="",$W197=""),0,ROUND($W197*$L197,2))</f>
        <v>0</v>
      </c>
      <c r="N197" s="50" t="str">
        <f t="shared" ref="N197:N204" si="25">IF($J197="","",ROUND(N($J197)+N($M197),2))</f>
        <v/>
      </c>
      <c r="O197" t="str">
        <f t="shared" ref="O197:O204" si="26">IF(OR($A197="",$B197="",$C197="",$D197="",$E197=""),"",$A197&amp;"|"&amp;$B197&amp;" - "&amp;$C197&amp;"("&amp;$D197&amp;")"&amp;"|"&amp;$E197)</f>
        <v/>
      </c>
      <c r="W197" t="str">
        <f t="shared" ref="W197:W204" si="27">IF(OR($X197="",$K197=""),"",IF($K197&lt;$X197,$K197-$X197,IF($K197&gt;IF($V197="",$X197,$V197),$K197-IF($V197="",$X197,$V197),0)))</f>
        <v/>
      </c>
    </row>
    <row r="198" spans="1:23" ht="21" customHeight="1" x14ac:dyDescent="0.95">
      <c r="A198" s="57"/>
      <c r="B198" s="57"/>
      <c r="C198" s="57"/>
      <c r="D198" s="57"/>
      <c r="E198" s="57"/>
      <c r="F198" s="49"/>
      <c r="G198" s="49"/>
      <c r="H198" s="49"/>
      <c r="I198" s="49"/>
      <c r="J198" s="49"/>
      <c r="K198" s="49"/>
      <c r="L198" s="49"/>
      <c r="M198" s="50">
        <f t="shared" si="24"/>
        <v>0</v>
      </c>
      <c r="N198" s="50" t="str">
        <f t="shared" si="25"/>
        <v/>
      </c>
      <c r="O198" t="str">
        <f t="shared" si="26"/>
        <v/>
      </c>
      <c r="W198" t="str">
        <f t="shared" si="27"/>
        <v/>
      </c>
    </row>
    <row r="199" spans="1:23" ht="21" customHeight="1" x14ac:dyDescent="0.95">
      <c r="A199" s="57"/>
      <c r="B199" s="57"/>
      <c r="C199" s="57"/>
      <c r="D199" s="57"/>
      <c r="E199" s="57"/>
      <c r="F199" s="49"/>
      <c r="G199" s="49"/>
      <c r="H199" s="49"/>
      <c r="I199" s="49"/>
      <c r="J199" s="49"/>
      <c r="K199" s="49"/>
      <c r="L199" s="49"/>
      <c r="M199" s="50">
        <f t="shared" si="24"/>
        <v>0</v>
      </c>
      <c r="N199" s="50" t="str">
        <f t="shared" si="25"/>
        <v/>
      </c>
      <c r="O199" t="str">
        <f t="shared" si="26"/>
        <v/>
      </c>
      <c r="W199" t="str">
        <f t="shared" si="27"/>
        <v/>
      </c>
    </row>
    <row r="200" spans="1:23" ht="21" customHeight="1" x14ac:dyDescent="0.95">
      <c r="A200" s="57"/>
      <c r="B200" s="57"/>
      <c r="C200" s="57"/>
      <c r="D200" s="57"/>
      <c r="E200" s="57"/>
      <c r="F200" s="49"/>
      <c r="G200" s="49"/>
      <c r="H200" s="49"/>
      <c r="I200" s="49"/>
      <c r="J200" s="49"/>
      <c r="K200" s="49"/>
      <c r="L200" s="49"/>
      <c r="M200" s="50">
        <f t="shared" si="24"/>
        <v>0</v>
      </c>
      <c r="N200" s="50" t="str">
        <f t="shared" si="25"/>
        <v/>
      </c>
      <c r="O200" t="str">
        <f t="shared" si="26"/>
        <v/>
      </c>
      <c r="W200" t="str">
        <f t="shared" si="27"/>
        <v/>
      </c>
    </row>
    <row r="201" spans="1:23" ht="21" customHeight="1" x14ac:dyDescent="0.95">
      <c r="A201" s="57"/>
      <c r="B201" s="57"/>
      <c r="C201" s="57"/>
      <c r="D201" s="57"/>
      <c r="E201" s="57"/>
      <c r="F201" s="49"/>
      <c r="G201" s="49"/>
      <c r="H201" s="49"/>
      <c r="I201" s="49"/>
      <c r="J201" s="49"/>
      <c r="K201" s="49"/>
      <c r="L201" s="49"/>
      <c r="M201" s="50">
        <f t="shared" si="24"/>
        <v>0</v>
      </c>
      <c r="N201" s="50" t="str">
        <f t="shared" si="25"/>
        <v/>
      </c>
      <c r="O201" t="str">
        <f t="shared" si="26"/>
        <v/>
      </c>
      <c r="W201" t="str">
        <f t="shared" si="27"/>
        <v/>
      </c>
    </row>
    <row r="202" spans="1:23" ht="21" customHeight="1" x14ac:dyDescent="0.95">
      <c r="A202" s="57"/>
      <c r="B202" s="57"/>
      <c r="C202" s="57"/>
      <c r="D202" s="57"/>
      <c r="E202" s="57"/>
      <c r="F202" s="49"/>
      <c r="G202" s="49"/>
      <c r="H202" s="49"/>
      <c r="I202" s="49"/>
      <c r="J202" s="49"/>
      <c r="K202" s="49"/>
      <c r="L202" s="49"/>
      <c r="M202" s="50">
        <f t="shared" si="24"/>
        <v>0</v>
      </c>
      <c r="N202" s="50" t="str">
        <f t="shared" si="25"/>
        <v/>
      </c>
      <c r="O202" t="str">
        <f t="shared" si="26"/>
        <v/>
      </c>
      <c r="W202" t="str">
        <f t="shared" si="27"/>
        <v/>
      </c>
    </row>
    <row r="203" spans="1:23" ht="21" customHeight="1" x14ac:dyDescent="0.95">
      <c r="A203" s="57"/>
      <c r="B203" s="57"/>
      <c r="C203" s="57"/>
      <c r="D203" s="57"/>
      <c r="E203" s="57"/>
      <c r="F203" s="49"/>
      <c r="G203" s="49"/>
      <c r="H203" s="49"/>
      <c r="I203" s="49"/>
      <c r="J203" s="49"/>
      <c r="K203" s="49"/>
      <c r="L203" s="49"/>
      <c r="M203" s="50">
        <f t="shared" si="24"/>
        <v>0</v>
      </c>
      <c r="N203" s="50" t="str">
        <f t="shared" si="25"/>
        <v/>
      </c>
      <c r="O203" t="str">
        <f t="shared" si="26"/>
        <v/>
      </c>
      <c r="W203" t="str">
        <f t="shared" si="27"/>
        <v/>
      </c>
    </row>
    <row r="204" spans="1:23" ht="21" customHeight="1" x14ac:dyDescent="0.95">
      <c r="A204" s="57"/>
      <c r="B204" s="57"/>
      <c r="C204" s="57"/>
      <c r="D204" s="57"/>
      <c r="E204" s="57"/>
      <c r="F204" s="49"/>
      <c r="G204" s="49"/>
      <c r="H204" s="49"/>
      <c r="I204" s="49"/>
      <c r="J204" s="49"/>
      <c r="K204" s="49"/>
      <c r="L204" s="49"/>
      <c r="M204" s="50">
        <f t="shared" si="24"/>
        <v>0</v>
      </c>
      <c r="N204" s="50" t="str">
        <f t="shared" si="25"/>
        <v/>
      </c>
      <c r="O204" t="str">
        <f t="shared" si="26"/>
        <v/>
      </c>
      <c r="W204" t="str">
        <f t="shared" si="27"/>
        <v/>
      </c>
    </row>
  </sheetData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0000000}">
          <x14:formula1>
            <xm:f>รายการมาตรฐาน!$F$2:$F$302</xm:f>
          </x14:formula1>
          <xm:sqref>A5:A204 Q5:Q54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1000000}">
          <x14:formula1>
            <xm:f>รายการมาตรฐาน!$B$2:$B$302</xm:f>
          </x14:formula1>
          <xm:sqref>B5:B204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2000000}">
          <x14:formula1>
            <xm:f>รายการมาตรฐาน!$C$2:$C$302</xm:f>
          </x14:formula1>
          <xm:sqref>C5:C204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3000000}">
          <x14:formula1>
            <xm:f>รายการมาตรฐาน!$E$2:$E$302</xm:f>
          </x14:formula1>
          <xm:sqref>D5:D204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4000000}">
          <x14:formula1>
            <xm:f>รายการมาตรฐาน!$D$2:$D$302</xm:f>
          </x14:formula1>
          <xm:sqref>E5:E204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5000000}">
          <x14:formula1>
            <xm:f>รายการมาตรฐาน!$G$2:$G$302</xm:f>
          </x14:formula1>
          <xm:sqref>R5:R54 T5:T14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B95"/>
  <sheetViews>
    <sheetView workbookViewId="0"/>
  </sheetViews>
  <sheetFormatPr defaultRowHeight="14.25" x14ac:dyDescent="0.45"/>
  <cols>
    <col min="1" max="1" width="6" customWidth="1"/>
    <col min="2" max="2" width="130" customWidth="1"/>
  </cols>
  <sheetData>
    <row r="1" spans="1:2" ht="25.9" customHeight="1" x14ac:dyDescent="1.05">
      <c r="A1" s="1" t="s">
        <v>201</v>
      </c>
    </row>
    <row r="3" spans="1:2" ht="26" customHeight="1" x14ac:dyDescent="0.95">
      <c r="A3" t="s">
        <v>202</v>
      </c>
      <c r="B3" s="51" t="s">
        <v>203</v>
      </c>
    </row>
    <row r="4" spans="1:2" ht="22.05" customHeight="1" x14ac:dyDescent="0.8">
      <c r="B4" s="52" t="s">
        <v>204</v>
      </c>
    </row>
    <row r="5" spans="1:2" ht="34.049999999999997" customHeight="1" x14ac:dyDescent="0.45">
      <c r="A5" s="53" t="s">
        <v>205</v>
      </c>
      <c r="B5" s="54" t="s">
        <v>206</v>
      </c>
    </row>
    <row r="6" spans="1:2" ht="34.049999999999997" customHeight="1" x14ac:dyDescent="0.45">
      <c r="A6" s="53" t="s">
        <v>207</v>
      </c>
      <c r="B6" s="54" t="s">
        <v>208</v>
      </c>
    </row>
    <row r="7" spans="1:2" ht="34.049999999999997" customHeight="1" x14ac:dyDescent="0.45">
      <c r="A7" s="53" t="s">
        <v>209</v>
      </c>
      <c r="B7" s="54" t="s">
        <v>210</v>
      </c>
    </row>
    <row r="8" spans="1:2" ht="22.05" customHeight="1" x14ac:dyDescent="0.8">
      <c r="B8" s="52" t="s">
        <v>211</v>
      </c>
    </row>
    <row r="9" spans="1:2" ht="20" customHeight="1" x14ac:dyDescent="0.45">
      <c r="A9" s="53" t="s">
        <v>212</v>
      </c>
      <c r="B9" s="54" t="s">
        <v>213</v>
      </c>
    </row>
    <row r="10" spans="1:2" ht="20" customHeight="1" x14ac:dyDescent="0.45">
      <c r="A10" s="53" t="s">
        <v>214</v>
      </c>
      <c r="B10" s="54" t="s">
        <v>215</v>
      </c>
    </row>
    <row r="11" spans="1:2" ht="20" customHeight="1" x14ac:dyDescent="0.45">
      <c r="A11" s="53" t="s">
        <v>216</v>
      </c>
      <c r="B11" s="54" t="s">
        <v>217</v>
      </c>
    </row>
    <row r="12" spans="1:2" ht="20" customHeight="1" x14ac:dyDescent="0.45">
      <c r="A12" s="53" t="s">
        <v>218</v>
      </c>
      <c r="B12" s="54" t="s">
        <v>219</v>
      </c>
    </row>
    <row r="13" spans="1:2" ht="22.05" customHeight="1" x14ac:dyDescent="0.8">
      <c r="B13" s="52" t="s">
        <v>220</v>
      </c>
    </row>
    <row r="14" spans="1:2" ht="20" customHeight="1" x14ac:dyDescent="0.45">
      <c r="A14" s="53" t="s">
        <v>221</v>
      </c>
      <c r="B14" s="54" t="s">
        <v>222</v>
      </c>
    </row>
    <row r="15" spans="1:2" ht="48" customHeight="1" x14ac:dyDescent="0.45">
      <c r="A15" s="53" t="s">
        <v>223</v>
      </c>
      <c r="B15" s="54" t="s">
        <v>224</v>
      </c>
    </row>
    <row r="16" spans="1:2" ht="20" customHeight="1" x14ac:dyDescent="0.45">
      <c r="A16" s="53" t="s">
        <v>225</v>
      </c>
      <c r="B16" s="54" t="s">
        <v>226</v>
      </c>
    </row>
    <row r="17" spans="1:2" ht="34.049999999999997" customHeight="1" x14ac:dyDescent="0.45">
      <c r="A17" s="53" t="s">
        <v>227</v>
      </c>
      <c r="B17" s="54" t="s">
        <v>228</v>
      </c>
    </row>
    <row r="18" spans="1:2" ht="26" customHeight="1" x14ac:dyDescent="0.95">
      <c r="A18" t="s">
        <v>202</v>
      </c>
      <c r="B18" s="51" t="s">
        <v>229</v>
      </c>
    </row>
    <row r="19" spans="1:2" ht="22.05" customHeight="1" x14ac:dyDescent="0.8">
      <c r="B19" s="52" t="s">
        <v>230</v>
      </c>
    </row>
    <row r="20" spans="1:2" ht="22.05" customHeight="1" x14ac:dyDescent="0.8">
      <c r="B20" s="52" t="s">
        <v>231</v>
      </c>
    </row>
    <row r="21" spans="1:2" ht="20" customHeight="1" x14ac:dyDescent="0.45">
      <c r="A21" s="53" t="s">
        <v>205</v>
      </c>
      <c r="B21" s="54" t="s">
        <v>232</v>
      </c>
    </row>
    <row r="22" spans="1:2" ht="20" customHeight="1" x14ac:dyDescent="0.45">
      <c r="A22" s="53" t="s">
        <v>207</v>
      </c>
      <c r="B22" s="54" t="s">
        <v>233</v>
      </c>
    </row>
    <row r="23" spans="1:2" ht="48" customHeight="1" x14ac:dyDescent="0.45">
      <c r="A23" s="53" t="s">
        <v>209</v>
      </c>
      <c r="B23" s="54" t="s">
        <v>234</v>
      </c>
    </row>
    <row r="24" spans="1:2" ht="34.049999999999997" customHeight="1" x14ac:dyDescent="0.45">
      <c r="A24" s="53" t="s">
        <v>212</v>
      </c>
      <c r="B24" s="54" t="s">
        <v>235</v>
      </c>
    </row>
    <row r="25" spans="1:2" ht="34.049999999999997" customHeight="1" x14ac:dyDescent="0.45">
      <c r="A25" s="53" t="s">
        <v>236</v>
      </c>
      <c r="B25" s="54" t="s">
        <v>237</v>
      </c>
    </row>
    <row r="26" spans="1:2" ht="20" customHeight="1" x14ac:dyDescent="0.45">
      <c r="A26" s="53" t="s">
        <v>214</v>
      </c>
      <c r="B26" s="54" t="s">
        <v>238</v>
      </c>
    </row>
    <row r="27" spans="1:2" ht="34.049999999999997" customHeight="1" x14ac:dyDescent="0.45">
      <c r="A27" s="53" t="s">
        <v>216</v>
      </c>
      <c r="B27" s="54" t="s">
        <v>239</v>
      </c>
    </row>
    <row r="28" spans="1:2" ht="48" customHeight="1" x14ac:dyDescent="0.45">
      <c r="A28" s="53" t="s">
        <v>218</v>
      </c>
      <c r="B28" s="54" t="s">
        <v>240</v>
      </c>
    </row>
    <row r="29" spans="1:2" ht="20" customHeight="1" x14ac:dyDescent="0.45">
      <c r="A29" s="53" t="s">
        <v>221</v>
      </c>
      <c r="B29" s="54" t="s">
        <v>241</v>
      </c>
    </row>
    <row r="30" spans="1:2" ht="48" customHeight="1" x14ac:dyDescent="0.45">
      <c r="A30" s="53" t="s">
        <v>223</v>
      </c>
      <c r="B30" s="54" t="s">
        <v>242</v>
      </c>
    </row>
    <row r="31" spans="1:2" ht="34.049999999999997" customHeight="1" x14ac:dyDescent="0.45">
      <c r="A31" s="53" t="s">
        <v>225</v>
      </c>
      <c r="B31" s="54" t="s">
        <v>243</v>
      </c>
    </row>
    <row r="32" spans="1:2" ht="34.049999999999997" customHeight="1" x14ac:dyDescent="0.45">
      <c r="A32" s="53" t="s">
        <v>227</v>
      </c>
      <c r="B32" s="54" t="s">
        <v>244</v>
      </c>
    </row>
    <row r="33" spans="1:2" ht="48" customHeight="1" x14ac:dyDescent="0.45">
      <c r="A33" s="53" t="s">
        <v>245</v>
      </c>
      <c r="B33" s="54" t="s">
        <v>246</v>
      </c>
    </row>
    <row r="34" spans="1:2" ht="48" customHeight="1" x14ac:dyDescent="0.45">
      <c r="A34" s="53" t="s">
        <v>247</v>
      </c>
      <c r="B34" s="54" t="s">
        <v>248</v>
      </c>
    </row>
    <row r="35" spans="1:2" ht="22.05" customHeight="1" x14ac:dyDescent="0.8">
      <c r="B35" s="52" t="s">
        <v>249</v>
      </c>
    </row>
    <row r="36" spans="1:2" ht="20" customHeight="1" x14ac:dyDescent="0.45">
      <c r="A36" s="53" t="s">
        <v>205</v>
      </c>
      <c r="B36" s="54" t="s">
        <v>250</v>
      </c>
    </row>
    <row r="37" spans="1:2" ht="34.049999999999997" customHeight="1" x14ac:dyDescent="0.45">
      <c r="A37" s="53" t="s">
        <v>207</v>
      </c>
      <c r="B37" s="54" t="s">
        <v>251</v>
      </c>
    </row>
    <row r="38" spans="1:2" ht="34.049999999999997" customHeight="1" x14ac:dyDescent="0.45">
      <c r="A38" s="53" t="s">
        <v>209</v>
      </c>
      <c r="B38" s="54" t="s">
        <v>252</v>
      </c>
    </row>
    <row r="39" spans="1:2" ht="34.049999999999997" customHeight="1" x14ac:dyDescent="0.45">
      <c r="A39" s="53" t="s">
        <v>212</v>
      </c>
      <c r="B39" s="54" t="s">
        <v>253</v>
      </c>
    </row>
    <row r="40" spans="1:2" ht="34.049999999999997" customHeight="1" x14ac:dyDescent="0.45">
      <c r="A40" s="53" t="s">
        <v>214</v>
      </c>
      <c r="B40" s="54" t="s">
        <v>254</v>
      </c>
    </row>
    <row r="41" spans="1:2" ht="34.049999999999997" customHeight="1" x14ac:dyDescent="0.45">
      <c r="A41" s="53" t="s">
        <v>216</v>
      </c>
      <c r="B41" s="54" t="s">
        <v>255</v>
      </c>
    </row>
    <row r="42" spans="1:2" ht="20" customHeight="1" x14ac:dyDescent="0.45">
      <c r="A42" s="53" t="s">
        <v>218</v>
      </c>
      <c r="B42" s="54" t="s">
        <v>256</v>
      </c>
    </row>
    <row r="43" spans="1:2" ht="26" customHeight="1" x14ac:dyDescent="0.95">
      <c r="A43" t="s">
        <v>202</v>
      </c>
      <c r="B43" s="51" t="s">
        <v>257</v>
      </c>
    </row>
    <row r="44" spans="1:2" ht="22.05" customHeight="1" x14ac:dyDescent="0.8">
      <c r="B44" s="52" t="s">
        <v>258</v>
      </c>
    </row>
    <row r="45" spans="1:2" ht="34.049999999999997" customHeight="1" x14ac:dyDescent="0.45">
      <c r="A45" s="53" t="s">
        <v>205</v>
      </c>
      <c r="B45" s="54" t="s">
        <v>259</v>
      </c>
    </row>
    <row r="46" spans="1:2" ht="22.05" customHeight="1" x14ac:dyDescent="0.8">
      <c r="B46" s="52" t="s">
        <v>260</v>
      </c>
    </row>
    <row r="47" spans="1:2" ht="34.049999999999997" customHeight="1" x14ac:dyDescent="0.45">
      <c r="A47" s="53" t="s">
        <v>205</v>
      </c>
      <c r="B47" s="54" t="s">
        <v>261</v>
      </c>
    </row>
    <row r="48" spans="1:2" ht="34.049999999999997" customHeight="1" x14ac:dyDescent="0.45">
      <c r="A48" s="53" t="s">
        <v>207</v>
      </c>
      <c r="B48" s="54" t="s">
        <v>262</v>
      </c>
    </row>
    <row r="49" spans="1:2" ht="34.049999999999997" customHeight="1" x14ac:dyDescent="0.45">
      <c r="A49" s="53" t="s">
        <v>209</v>
      </c>
      <c r="B49" s="54" t="s">
        <v>263</v>
      </c>
    </row>
    <row r="50" spans="1:2" ht="34.049999999999997" customHeight="1" x14ac:dyDescent="0.45">
      <c r="A50" s="53" t="s">
        <v>212</v>
      </c>
      <c r="B50" s="54" t="s">
        <v>264</v>
      </c>
    </row>
    <row r="51" spans="1:2" ht="34.049999999999997" customHeight="1" x14ac:dyDescent="0.45">
      <c r="A51" s="53" t="s">
        <v>214</v>
      </c>
      <c r="B51" s="54" t="s">
        <v>265</v>
      </c>
    </row>
    <row r="52" spans="1:2" ht="34.049999999999997" customHeight="1" x14ac:dyDescent="0.45">
      <c r="A52" s="53" t="s">
        <v>216</v>
      </c>
      <c r="B52" s="54" t="s">
        <v>266</v>
      </c>
    </row>
    <row r="53" spans="1:2" ht="22.05" customHeight="1" x14ac:dyDescent="0.8">
      <c r="B53" s="52" t="s">
        <v>267</v>
      </c>
    </row>
    <row r="54" spans="1:2" ht="20" customHeight="1" x14ac:dyDescent="0.45">
      <c r="A54" s="53" t="s">
        <v>205</v>
      </c>
      <c r="B54" s="54" t="s">
        <v>268</v>
      </c>
    </row>
    <row r="55" spans="1:2" ht="34.049999999999997" customHeight="1" x14ac:dyDescent="0.45">
      <c r="A55" s="53" t="s">
        <v>207</v>
      </c>
      <c r="B55" s="54" t="s">
        <v>269</v>
      </c>
    </row>
    <row r="56" spans="1:2" ht="20" customHeight="1" x14ac:dyDescent="0.45">
      <c r="A56" s="53" t="s">
        <v>209</v>
      </c>
      <c r="B56" s="54" t="s">
        <v>270</v>
      </c>
    </row>
    <row r="57" spans="1:2" ht="34.049999999999997" customHeight="1" x14ac:dyDescent="0.45">
      <c r="A57" s="53" t="s">
        <v>212</v>
      </c>
      <c r="B57" s="54" t="s">
        <v>462</v>
      </c>
    </row>
    <row r="58" spans="1:2" ht="34.049999999999997" customHeight="1" x14ac:dyDescent="0.45">
      <c r="A58" s="53" t="s">
        <v>214</v>
      </c>
      <c r="B58" s="54" t="s">
        <v>456</v>
      </c>
    </row>
    <row r="59" spans="1:2" ht="34.049999999999997" customHeight="1" x14ac:dyDescent="0.45">
      <c r="A59" s="53" t="s">
        <v>216</v>
      </c>
      <c r="B59" s="54" t="s">
        <v>463</v>
      </c>
    </row>
    <row r="60" spans="1:2" ht="20" customHeight="1" x14ac:dyDescent="0.45">
      <c r="A60" s="53" t="s">
        <v>218</v>
      </c>
      <c r="B60" s="54" t="s">
        <v>464</v>
      </c>
    </row>
    <row r="61" spans="1:2" ht="48" customHeight="1" x14ac:dyDescent="0.45">
      <c r="A61" s="53" t="s">
        <v>221</v>
      </c>
      <c r="B61" s="54" t="s">
        <v>457</v>
      </c>
    </row>
    <row r="62" spans="1:2" ht="22.05" customHeight="1" x14ac:dyDescent="0.8">
      <c r="B62" s="52" t="s">
        <v>271</v>
      </c>
    </row>
    <row r="63" spans="1:2" ht="20" customHeight="1" x14ac:dyDescent="0.45">
      <c r="A63" s="53" t="s">
        <v>205</v>
      </c>
      <c r="B63" s="54" t="s">
        <v>272</v>
      </c>
    </row>
    <row r="64" spans="1:2" ht="34.049999999999997" customHeight="1" x14ac:dyDescent="0.45">
      <c r="A64" s="53" t="s">
        <v>207</v>
      </c>
      <c r="B64" s="54" t="s">
        <v>273</v>
      </c>
    </row>
    <row r="65" spans="1:2" ht="34.049999999999997" customHeight="1" x14ac:dyDescent="0.45">
      <c r="A65" s="53" t="s">
        <v>209</v>
      </c>
      <c r="B65" s="54" t="s">
        <v>465</v>
      </c>
    </row>
    <row r="66" spans="1:2" ht="34.049999999999997" customHeight="1" x14ac:dyDescent="0.45">
      <c r="A66" s="53" t="s">
        <v>212</v>
      </c>
      <c r="B66" s="54" t="s">
        <v>274</v>
      </c>
    </row>
    <row r="67" spans="1:2" ht="34.049999999999997" customHeight="1" x14ac:dyDescent="0.45">
      <c r="A67" s="53" t="s">
        <v>214</v>
      </c>
      <c r="B67" s="54" t="s">
        <v>275</v>
      </c>
    </row>
    <row r="68" spans="1:2" ht="34.049999999999997" customHeight="1" x14ac:dyDescent="0.45">
      <c r="A68" s="53" t="s">
        <v>216</v>
      </c>
      <c r="B68" s="54" t="s">
        <v>276</v>
      </c>
    </row>
    <row r="69" spans="1:2" ht="48" customHeight="1" x14ac:dyDescent="0.45">
      <c r="A69" s="53" t="s">
        <v>218</v>
      </c>
      <c r="B69" s="54" t="s">
        <v>277</v>
      </c>
    </row>
    <row r="70" spans="1:2" ht="22.05" customHeight="1" x14ac:dyDescent="0.8">
      <c r="B70" s="52" t="s">
        <v>278</v>
      </c>
    </row>
    <row r="71" spans="1:2" ht="34.049999999999997" customHeight="1" x14ac:dyDescent="0.45">
      <c r="A71" s="53" t="s">
        <v>205</v>
      </c>
      <c r="B71" s="54" t="s">
        <v>279</v>
      </c>
    </row>
    <row r="72" spans="1:2" ht="48" customHeight="1" x14ac:dyDescent="0.45">
      <c r="A72" s="53" t="s">
        <v>207</v>
      </c>
      <c r="B72" s="54" t="s">
        <v>280</v>
      </c>
    </row>
    <row r="73" spans="1:2" ht="34.049999999999997" customHeight="1" x14ac:dyDescent="0.45">
      <c r="A73" s="53" t="s">
        <v>209</v>
      </c>
      <c r="B73" s="54" t="s">
        <v>281</v>
      </c>
    </row>
    <row r="74" spans="1:2" ht="34.049999999999997" customHeight="1" x14ac:dyDescent="0.45">
      <c r="A74" s="53" t="s">
        <v>212</v>
      </c>
      <c r="B74" s="54" t="s">
        <v>282</v>
      </c>
    </row>
    <row r="75" spans="1:2" ht="26" customHeight="1" x14ac:dyDescent="0.95">
      <c r="A75" t="s">
        <v>202</v>
      </c>
      <c r="B75" s="51" t="s">
        <v>283</v>
      </c>
    </row>
    <row r="76" spans="1:2" ht="34.049999999999997" customHeight="1" x14ac:dyDescent="0.45">
      <c r="A76" s="53" t="s">
        <v>205</v>
      </c>
      <c r="B76" s="54" t="s">
        <v>284</v>
      </c>
    </row>
    <row r="77" spans="1:2" ht="34.049999999999997" customHeight="1" x14ac:dyDescent="0.45">
      <c r="A77" s="53" t="s">
        <v>207</v>
      </c>
      <c r="B77" s="54" t="s">
        <v>285</v>
      </c>
    </row>
    <row r="78" spans="1:2" ht="34.049999999999997" customHeight="1" x14ac:dyDescent="0.45">
      <c r="A78" s="53" t="s">
        <v>286</v>
      </c>
      <c r="B78" s="54" t="s">
        <v>287</v>
      </c>
    </row>
    <row r="79" spans="1:2" ht="48" customHeight="1" x14ac:dyDescent="0.45">
      <c r="A79" s="53" t="s">
        <v>288</v>
      </c>
      <c r="B79" s="54" t="s">
        <v>458</v>
      </c>
    </row>
    <row r="80" spans="1:2" ht="48" customHeight="1" x14ac:dyDescent="0.45">
      <c r="A80" s="53" t="s">
        <v>289</v>
      </c>
      <c r="B80" s="54" t="s">
        <v>290</v>
      </c>
    </row>
    <row r="81" spans="1:2" ht="34.049999999999997" customHeight="1" x14ac:dyDescent="0.45">
      <c r="A81" s="53" t="s">
        <v>291</v>
      </c>
      <c r="B81" s="54" t="s">
        <v>292</v>
      </c>
    </row>
    <row r="82" spans="1:2" ht="48" customHeight="1" x14ac:dyDescent="0.45">
      <c r="A82" s="53" t="s">
        <v>293</v>
      </c>
      <c r="B82" s="54" t="s">
        <v>294</v>
      </c>
    </row>
    <row r="83" spans="1:2" ht="48" customHeight="1" x14ac:dyDescent="0.45">
      <c r="A83" s="53" t="s">
        <v>295</v>
      </c>
      <c r="B83" s="54" t="s">
        <v>296</v>
      </c>
    </row>
    <row r="84" spans="1:2" ht="48" customHeight="1" x14ac:dyDescent="0.45">
      <c r="A84" s="53" t="s">
        <v>297</v>
      </c>
      <c r="B84" s="54" t="s">
        <v>298</v>
      </c>
    </row>
    <row r="85" spans="1:2" ht="48" customHeight="1" x14ac:dyDescent="0.45">
      <c r="A85" s="53" t="s">
        <v>209</v>
      </c>
      <c r="B85" s="54" t="s">
        <v>299</v>
      </c>
    </row>
    <row r="86" spans="1:2" ht="20" customHeight="1" x14ac:dyDescent="0.45">
      <c r="A86" s="53" t="s">
        <v>212</v>
      </c>
      <c r="B86" s="54" t="s">
        <v>300</v>
      </c>
    </row>
    <row r="87" spans="1:2" ht="34.049999999999997" customHeight="1" x14ac:dyDescent="0.45">
      <c r="A87" s="53" t="s">
        <v>214</v>
      </c>
      <c r="B87" s="54" t="s">
        <v>301</v>
      </c>
    </row>
    <row r="88" spans="1:2" ht="34.049999999999997" customHeight="1" x14ac:dyDescent="0.45">
      <c r="A88" s="53" t="s">
        <v>216</v>
      </c>
      <c r="B88" s="54" t="s">
        <v>302</v>
      </c>
    </row>
    <row r="89" spans="1:2" ht="34.049999999999997" customHeight="1" x14ac:dyDescent="0.45">
      <c r="A89" s="53" t="s">
        <v>218</v>
      </c>
      <c r="B89" s="54" t="s">
        <v>303</v>
      </c>
    </row>
    <row r="90" spans="1:2" ht="26" customHeight="1" x14ac:dyDescent="0.95">
      <c r="A90" t="s">
        <v>202</v>
      </c>
      <c r="B90" s="51" t="s">
        <v>304</v>
      </c>
    </row>
    <row r="91" spans="1:2" ht="34.049999999999997" customHeight="1" x14ac:dyDescent="0.45">
      <c r="A91" s="53" t="s">
        <v>205</v>
      </c>
      <c r="B91" s="54" t="s">
        <v>305</v>
      </c>
    </row>
    <row r="92" spans="1:2" ht="34.049999999999997" customHeight="1" x14ac:dyDescent="0.45">
      <c r="A92" s="53" t="s">
        <v>207</v>
      </c>
      <c r="B92" s="54" t="s">
        <v>306</v>
      </c>
    </row>
    <row r="93" spans="1:2" ht="34.049999999999997" customHeight="1" x14ac:dyDescent="0.45">
      <c r="A93" s="53" t="s">
        <v>209</v>
      </c>
      <c r="B93" s="54" t="s">
        <v>307</v>
      </c>
    </row>
    <row r="94" spans="1:2" ht="34.049999999999997" customHeight="1" x14ac:dyDescent="0.45">
      <c r="A94" s="53" t="s">
        <v>212</v>
      </c>
      <c r="B94" s="54" t="s">
        <v>308</v>
      </c>
    </row>
    <row r="95" spans="1:2" ht="34.049999999999997" customHeight="1" x14ac:dyDescent="0.45">
      <c r="A95" s="53" t="s">
        <v>214</v>
      </c>
      <c r="B95" s="54" t="s">
        <v>309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01"/>
  <sheetViews>
    <sheetView workbookViewId="0"/>
  </sheetViews>
  <sheetFormatPr defaultRowHeight="14.25" x14ac:dyDescent="0.45"/>
  <cols>
    <col min="1" max="2" width="16" customWidth="1"/>
    <col min="3" max="3" width="26" customWidth="1"/>
    <col min="4" max="4" width="22" customWidth="1"/>
    <col min="5" max="5" width="28" customWidth="1"/>
    <col min="6" max="6" width="36" customWidth="1"/>
    <col min="7" max="7" width="16" customWidth="1"/>
    <col min="12" max="14" width="13" hidden="1" customWidth="1"/>
  </cols>
  <sheetData>
    <row r="1" spans="1:14" ht="20.25" customHeight="1" x14ac:dyDescent="0.85">
      <c r="A1" s="7" t="s">
        <v>42</v>
      </c>
      <c r="B1" s="7" t="s">
        <v>7</v>
      </c>
      <c r="C1" s="7" t="s">
        <v>8</v>
      </c>
      <c r="D1" s="7" t="s">
        <v>10</v>
      </c>
      <c r="E1" s="7" t="s">
        <v>9</v>
      </c>
      <c r="F1" s="7" t="s">
        <v>6</v>
      </c>
      <c r="G1" s="7" t="s">
        <v>18</v>
      </c>
      <c r="I1" s="2" t="s">
        <v>310</v>
      </c>
      <c r="L1" s="55" t="s">
        <v>311</v>
      </c>
      <c r="M1" s="55" t="s">
        <v>312</v>
      </c>
      <c r="N1" s="55" t="s">
        <v>313</v>
      </c>
    </row>
    <row r="2" spans="1:14" ht="21" customHeight="1" x14ac:dyDescent="0.95">
      <c r="A2" s="16" t="s">
        <v>314</v>
      </c>
      <c r="B2" s="16" t="s">
        <v>24</v>
      </c>
      <c r="C2" s="16" t="s">
        <v>25</v>
      </c>
      <c r="D2" s="16" t="s">
        <v>26</v>
      </c>
      <c r="E2" s="16" t="s">
        <v>9</v>
      </c>
      <c r="F2" s="16" t="s">
        <v>315</v>
      </c>
      <c r="G2" s="16" t="s">
        <v>29</v>
      </c>
      <c r="L2" s="8" t="s">
        <v>102</v>
      </c>
      <c r="M2" s="8" t="s">
        <v>102</v>
      </c>
      <c r="N2" s="8" t="s">
        <v>102</v>
      </c>
    </row>
    <row r="3" spans="1:14" ht="21" customHeight="1" x14ac:dyDescent="0.95">
      <c r="A3" s="16" t="s">
        <v>316</v>
      </c>
      <c r="B3" s="16" t="s">
        <v>317</v>
      </c>
      <c r="C3" s="16" t="s">
        <v>318</v>
      </c>
      <c r="D3" s="16" t="s">
        <v>319</v>
      </c>
      <c r="E3" s="16" t="s">
        <v>320</v>
      </c>
      <c r="F3" s="16" t="s">
        <v>321</v>
      </c>
      <c r="G3" s="16" t="s">
        <v>28</v>
      </c>
      <c r="L3" s="8" t="str">
        <f t="shared" ref="L3:L66" si="0">IF($C2="","",$C2)</f>
        <v>โชคพนาพอร์ท</v>
      </c>
      <c r="M3" s="8" t="str">
        <f t="shared" ref="M3:M66" si="1">IF($D2="","",$D2)</f>
        <v>แอนไฮไดรต์ 2 นิ้ว</v>
      </c>
      <c r="N3" s="8" t="str">
        <f t="shared" ref="N3:N66" si="2">IF($F2="","",$F2)</f>
        <v>บจก.เอสพีเอ 2017</v>
      </c>
    </row>
    <row r="4" spans="1:14" ht="21" customHeight="1" x14ac:dyDescent="0.95">
      <c r="A4" s="16" t="s">
        <v>38</v>
      </c>
      <c r="B4" s="16" t="s">
        <v>322</v>
      </c>
      <c r="C4" s="16" t="s">
        <v>323</v>
      </c>
      <c r="D4" s="16" t="s">
        <v>324</v>
      </c>
      <c r="E4" s="16" t="s">
        <v>325</v>
      </c>
      <c r="F4" s="16" t="s">
        <v>326</v>
      </c>
      <c r="L4" s="8" t="str">
        <f t="shared" si="0"/>
        <v>ท่าทองพารุ่ง</v>
      </c>
      <c r="M4" s="8" t="str">
        <f t="shared" si="1"/>
        <v>แอนไฮไดรต์ 0-30 มม.</v>
      </c>
      <c r="N4" s="8" t="str">
        <f t="shared" si="2"/>
        <v>คุณธงชัย ชวาลกรณ์กาญจน์</v>
      </c>
    </row>
    <row r="5" spans="1:14" ht="21" customHeight="1" x14ac:dyDescent="0.95">
      <c r="A5" s="16" t="s">
        <v>327</v>
      </c>
      <c r="B5" s="16" t="s">
        <v>328</v>
      </c>
      <c r="C5" s="16" t="s">
        <v>329</v>
      </c>
      <c r="D5" s="16" t="s">
        <v>330</v>
      </c>
      <c r="E5" s="16" t="s">
        <v>331</v>
      </c>
      <c r="F5" s="16" t="s">
        <v>332</v>
      </c>
      <c r="L5" s="8" t="str">
        <f t="shared" si="0"/>
        <v>ปัญจะใหม่ (สุราษฎร์พอร์ทฯ)</v>
      </c>
      <c r="M5" s="8" t="str">
        <f t="shared" si="1"/>
        <v>แอนไฮไดรต์ 0-50 มม.</v>
      </c>
      <c r="N5" s="8" t="str">
        <f t="shared" si="2"/>
        <v>คุณสาคร ชนะศึก</v>
      </c>
    </row>
    <row r="6" spans="1:14" ht="21" customHeight="1" x14ac:dyDescent="0.95">
      <c r="A6" s="16" t="s">
        <v>333</v>
      </c>
      <c r="B6" s="16" t="s">
        <v>334</v>
      </c>
      <c r="C6" s="16" t="s">
        <v>335</v>
      </c>
      <c r="D6" s="16" t="s">
        <v>336</v>
      </c>
      <c r="E6" s="16" t="s">
        <v>337</v>
      </c>
      <c r="F6" s="16" t="s">
        <v>338</v>
      </c>
      <c r="L6" s="8" t="str">
        <f t="shared" si="0"/>
        <v>เซาเทิร์น (2009)</v>
      </c>
      <c r="M6" s="8" t="str">
        <f t="shared" si="1"/>
        <v>แอนไฮไดรต์คลุก</v>
      </c>
      <c r="N6" s="8" t="str">
        <f t="shared" si="2"/>
        <v>คุณประวิทย์ นาคบรรพ์ (ป.เจริญยนต์นาสาร)</v>
      </c>
    </row>
    <row r="7" spans="1:14" ht="21" customHeight="1" x14ac:dyDescent="0.95">
      <c r="B7" s="16" t="s">
        <v>327</v>
      </c>
      <c r="C7" s="16" t="s">
        <v>339</v>
      </c>
      <c r="D7" s="16" t="s">
        <v>340</v>
      </c>
      <c r="E7" s="16" t="s">
        <v>341</v>
      </c>
      <c r="F7" s="16" t="s">
        <v>342</v>
      </c>
      <c r="L7" s="8" t="str">
        <f t="shared" si="0"/>
        <v>ท่าเรือพีซี</v>
      </c>
      <c r="M7" s="8" t="str">
        <f t="shared" si="1"/>
        <v>แอนไฮไดรต์ฝุ่น</v>
      </c>
      <c r="N7" s="8" t="str">
        <f t="shared" si="2"/>
        <v>คุณนิตยา วิเชียรช่วง</v>
      </c>
    </row>
    <row r="8" spans="1:14" ht="21" customHeight="1" x14ac:dyDescent="0.95">
      <c r="B8" s="16" t="s">
        <v>38</v>
      </c>
      <c r="C8" s="16" t="s">
        <v>343</v>
      </c>
      <c r="D8" s="16" t="s">
        <v>344</v>
      </c>
      <c r="E8" s="16" t="s">
        <v>345</v>
      </c>
      <c r="F8" s="16" t="s">
        <v>346</v>
      </c>
      <c r="L8" s="8" t="str">
        <f t="shared" si="0"/>
        <v>ท่าเรือกระบี่</v>
      </c>
      <c r="M8" s="8" t="str">
        <f t="shared" si="1"/>
        <v>ยิปซั่ม 2 นิ้ว</v>
      </c>
      <c r="N8" s="8" t="str">
        <f t="shared" si="2"/>
        <v>บจก.ฟ้าหลังฝน กรุ๊ป</v>
      </c>
    </row>
    <row r="9" spans="1:14" ht="21" customHeight="1" x14ac:dyDescent="0.95">
      <c r="B9" s="16" t="s">
        <v>347</v>
      </c>
      <c r="C9" s="16" t="s">
        <v>348</v>
      </c>
      <c r="D9" s="16" t="s">
        <v>349</v>
      </c>
      <c r="E9" s="16" t="s">
        <v>350</v>
      </c>
      <c r="F9" s="16" t="s">
        <v>351</v>
      </c>
      <c r="L9" s="8" t="str">
        <f t="shared" si="0"/>
        <v>ควอลิตี้ (Q-Con สงขลา)</v>
      </c>
      <c r="M9" s="8" t="str">
        <f t="shared" si="1"/>
        <v>ยิปซั่ม 6 นิ้ว</v>
      </c>
      <c r="N9" s="8" t="str">
        <f t="shared" si="2"/>
        <v>คุณสุรเชษฐ เจียมทวีบุญ</v>
      </c>
    </row>
    <row r="10" spans="1:14" ht="21" customHeight="1" x14ac:dyDescent="0.95">
      <c r="B10" s="16" t="s">
        <v>352</v>
      </c>
      <c r="D10" s="16" t="s">
        <v>353</v>
      </c>
      <c r="E10" s="16" t="s">
        <v>354</v>
      </c>
      <c r="F10" s="16" t="s">
        <v>23</v>
      </c>
      <c r="L10" s="8" t="str">
        <f t="shared" si="0"/>
        <v>ท่าใหม่</v>
      </c>
      <c r="M10" s="8" t="str">
        <f t="shared" si="1"/>
        <v>ยิปซั่ม 0-2 นิ้ว</v>
      </c>
      <c r="N10" s="8" t="str">
        <f t="shared" si="2"/>
        <v>บจก.ไร่วรวรรณ กรุ๊ป 2020</v>
      </c>
    </row>
    <row r="11" spans="1:14" ht="21" customHeight="1" x14ac:dyDescent="0.95">
      <c r="D11" s="16" t="s">
        <v>355</v>
      </c>
      <c r="F11" s="16" t="s">
        <v>356</v>
      </c>
      <c r="L11" s="8" t="str">
        <f t="shared" si="0"/>
        <v/>
      </c>
      <c r="M11" s="8" t="str">
        <f t="shared" si="1"/>
        <v>แร่ยิปซั่ม</v>
      </c>
      <c r="N11" s="8" t="str">
        <f t="shared" si="2"/>
        <v>หจก.กิจบุญแก้ว</v>
      </c>
    </row>
    <row r="12" spans="1:14" ht="21" customHeight="1" x14ac:dyDescent="0.95">
      <c r="D12" s="16" t="s">
        <v>357</v>
      </c>
      <c r="F12" s="16" t="s">
        <v>358</v>
      </c>
      <c r="L12" s="8" t="str">
        <f t="shared" si="0"/>
        <v/>
      </c>
      <c r="M12" s="8" t="str">
        <f t="shared" si="1"/>
        <v>เเร่ยิปซั่ม 0-2 นิ้ว (BB)</v>
      </c>
      <c r="N12" s="8" t="str">
        <f t="shared" si="2"/>
        <v>คุณธีรวิทย์ ปราบสุวรรณ</v>
      </c>
    </row>
    <row r="13" spans="1:14" ht="21" customHeight="1" x14ac:dyDescent="0.95">
      <c r="D13" s="16" t="s">
        <v>359</v>
      </c>
      <c r="F13" s="16" t="s">
        <v>360</v>
      </c>
      <c r="L13" s="8" t="str">
        <f t="shared" si="0"/>
        <v/>
      </c>
      <c r="M13" s="8" t="str">
        <f t="shared" si="1"/>
        <v>เเร่ยิปซั่ม 0-2 นิ้ว (CM)</v>
      </c>
      <c r="N13" s="8" t="str">
        <f t="shared" si="2"/>
        <v>หจก.ดีบี ทรานสปอร์ต</v>
      </c>
    </row>
    <row r="14" spans="1:14" ht="21" customHeight="1" x14ac:dyDescent="0.95">
      <c r="D14" s="16" t="s">
        <v>361</v>
      </c>
      <c r="F14" s="16" t="s">
        <v>362</v>
      </c>
      <c r="L14" s="8" t="str">
        <f t="shared" si="0"/>
        <v/>
      </c>
      <c r="M14" s="8" t="str">
        <f t="shared" si="1"/>
        <v>เเร่ยิปซั่ม 2-4 นิ้ว (BA)</v>
      </c>
      <c r="N14" s="8" t="str">
        <f t="shared" si="2"/>
        <v>บจก.บำรุงภัณฑ์เครื่องชั่ง</v>
      </c>
    </row>
    <row r="15" spans="1:14" ht="21" customHeight="1" x14ac:dyDescent="0.95">
      <c r="D15" s="16" t="s">
        <v>363</v>
      </c>
      <c r="F15" s="16" t="s">
        <v>364</v>
      </c>
      <c r="L15" s="8" t="str">
        <f t="shared" si="0"/>
        <v/>
      </c>
      <c r="M15" s="8" t="str">
        <f t="shared" si="1"/>
        <v>เเร่ยิปซั่ม 6-10 นิ้ว</v>
      </c>
      <c r="N15" s="8" t="str">
        <f t="shared" si="2"/>
        <v>คุณชนะศักดิ์ วิเชียรวงศ์</v>
      </c>
    </row>
    <row r="16" spans="1:14" ht="21" customHeight="1" x14ac:dyDescent="0.95">
      <c r="D16" s="16" t="s">
        <v>365</v>
      </c>
      <c r="F16" s="16" t="s">
        <v>366</v>
      </c>
      <c r="L16" s="8" t="str">
        <f t="shared" si="0"/>
        <v/>
      </c>
      <c r="M16" s="8" t="str">
        <f t="shared" si="1"/>
        <v>Gypsum-Grey Cement</v>
      </c>
      <c r="N16" s="8" t="str">
        <f t="shared" si="2"/>
        <v>คุณบรรจบ หีตวัตน์</v>
      </c>
    </row>
    <row r="17" spans="4:14" ht="21" customHeight="1" x14ac:dyDescent="0.95">
      <c r="D17" s="16" t="s">
        <v>367</v>
      </c>
      <c r="F17" s="16" t="s">
        <v>368</v>
      </c>
      <c r="L17" s="8" t="str">
        <f t="shared" si="0"/>
        <v/>
      </c>
      <c r="M17" s="8" t="str">
        <f t="shared" si="1"/>
        <v>แร่ก้อน</v>
      </c>
      <c r="N17" s="8" t="str">
        <f t="shared" si="2"/>
        <v>หจก.พัฒนกิจโลจิสติกส์ 2019</v>
      </c>
    </row>
    <row r="18" spans="4:14" ht="21" customHeight="1" x14ac:dyDescent="0.95">
      <c r="D18" s="16" t="s">
        <v>369</v>
      </c>
      <c r="F18" s="16" t="s">
        <v>370</v>
      </c>
      <c r="L18" s="8" t="str">
        <f t="shared" si="0"/>
        <v/>
      </c>
      <c r="M18" s="8" t="str">
        <f t="shared" si="1"/>
        <v>เเร่ก้อน</v>
      </c>
      <c r="N18" s="8" t="str">
        <f t="shared" si="2"/>
        <v>คุณปฐมพร เผือกสวัสดิ์</v>
      </c>
    </row>
    <row r="19" spans="4:14" ht="21" customHeight="1" x14ac:dyDescent="0.95">
      <c r="D19" s="16" t="s">
        <v>371</v>
      </c>
      <c r="F19" s="16" t="s">
        <v>372</v>
      </c>
      <c r="L19" s="8" t="str">
        <f t="shared" si="0"/>
        <v/>
      </c>
      <c r="M19" s="8" t="str">
        <f t="shared" si="1"/>
        <v>แร่ก้อน(ยิปซั่ม)</v>
      </c>
      <c r="N19" s="8" t="str">
        <f t="shared" si="2"/>
        <v>คุณวรรณโชค ไชยวรรณ์</v>
      </c>
    </row>
    <row r="20" spans="4:14" ht="21" customHeight="1" x14ac:dyDescent="0.95">
      <c r="D20" s="16" t="s">
        <v>373</v>
      </c>
      <c r="F20" s="16" t="s">
        <v>374</v>
      </c>
      <c r="L20" s="8" t="str">
        <f t="shared" si="0"/>
        <v/>
      </c>
      <c r="M20" s="8" t="str">
        <f t="shared" si="1"/>
        <v>แร่ก้อน(แอนไฮไดร์ต)</v>
      </c>
      <c r="N20" s="8" t="str">
        <f t="shared" si="2"/>
        <v>คุณสุนันทา บัวเพ็ชร</v>
      </c>
    </row>
    <row r="21" spans="4:14" ht="21" customHeight="1" x14ac:dyDescent="0.95">
      <c r="D21" s="16" t="s">
        <v>375</v>
      </c>
      <c r="F21" s="16" t="s">
        <v>376</v>
      </c>
      <c r="L21" s="8" t="str">
        <f t="shared" si="0"/>
        <v/>
      </c>
      <c r="M21" s="8" t="str">
        <f t="shared" si="1"/>
        <v>หินฝุ่น 0 - 3 มม.</v>
      </c>
      <c r="N21" s="8" t="str">
        <f t="shared" si="2"/>
        <v>คุณสมชาย รักษานุ่น</v>
      </c>
    </row>
    <row r="22" spans="4:14" ht="21" customHeight="1" x14ac:dyDescent="0.95">
      <c r="D22" s="16" t="s">
        <v>377</v>
      </c>
      <c r="F22" s="16" t="s">
        <v>378</v>
      </c>
      <c r="L22" s="8" t="str">
        <f t="shared" si="0"/>
        <v/>
      </c>
      <c r="M22" s="8" t="str">
        <f t="shared" si="1"/>
        <v>หินฝุ่น 0 - 5 มม.</v>
      </c>
      <c r="N22" s="8" t="str">
        <f t="shared" si="2"/>
        <v>คุณสุรเชษฐ จันทร์พิทักษ์</v>
      </c>
    </row>
    <row r="23" spans="4:14" ht="21" customHeight="1" x14ac:dyDescent="0.95">
      <c r="D23" s="16" t="s">
        <v>379</v>
      </c>
      <c r="F23" s="16" t="s">
        <v>380</v>
      </c>
      <c r="L23" s="8" t="str">
        <f t="shared" si="0"/>
        <v/>
      </c>
      <c r="M23" s="8" t="str">
        <f t="shared" si="1"/>
        <v>หินฝุ่น 0 - 15 มม.</v>
      </c>
      <c r="N23" s="8" t="str">
        <f t="shared" si="2"/>
        <v>คุณอรอุมา สมบัติแก้ว</v>
      </c>
    </row>
    <row r="24" spans="4:14" ht="21" customHeight="1" x14ac:dyDescent="0.95">
      <c r="D24" s="16" t="s">
        <v>381</v>
      </c>
      <c r="F24" s="16" t="s">
        <v>382</v>
      </c>
      <c r="L24" s="8" t="str">
        <f t="shared" si="0"/>
        <v/>
      </c>
      <c r="M24" s="8" t="str">
        <f t="shared" si="1"/>
        <v>หินฝุ่น</v>
      </c>
      <c r="N24" s="8" t="str">
        <f t="shared" si="2"/>
        <v>คุณกิตติกร ปิ่นรัตน์</v>
      </c>
    </row>
    <row r="25" spans="4:14" ht="21" customHeight="1" x14ac:dyDescent="0.95">
      <c r="D25" s="16" t="s">
        <v>383</v>
      </c>
      <c r="F25" s="16" t="s">
        <v>27</v>
      </c>
      <c r="L25" s="8" t="str">
        <f t="shared" si="0"/>
        <v/>
      </c>
      <c r="M25" s="8" t="str">
        <f t="shared" si="1"/>
        <v>หินฝุ่นส่งออก</v>
      </c>
      <c r="N25" s="8" t="str">
        <f t="shared" si="2"/>
        <v>หจก.ชิราพร 89</v>
      </c>
    </row>
    <row r="26" spans="4:14" ht="21" customHeight="1" x14ac:dyDescent="0.95">
      <c r="D26" s="16" t="s">
        <v>384</v>
      </c>
      <c r="F26" s="16" t="s">
        <v>385</v>
      </c>
      <c r="L26" s="8" t="str">
        <f t="shared" si="0"/>
        <v/>
      </c>
      <c r="M26" s="8" t="str">
        <f t="shared" si="1"/>
        <v>หินฝุ่นBV</v>
      </c>
      <c r="N26" s="8" t="str">
        <f t="shared" si="2"/>
        <v>บจก.ร้อยเกาะขนส่ง (2000)</v>
      </c>
    </row>
    <row r="27" spans="4:14" ht="21" customHeight="1" x14ac:dyDescent="0.95">
      <c r="D27" s="16" t="s">
        <v>386</v>
      </c>
      <c r="F27" s="16" t="s">
        <v>387</v>
      </c>
      <c r="L27" s="8" t="str">
        <f t="shared" si="0"/>
        <v/>
      </c>
      <c r="M27" s="8" t="str">
        <f t="shared" si="1"/>
        <v>หินใหญ่ขนาด 20-40 มม.</v>
      </c>
      <c r="N27" s="8" t="str">
        <f t="shared" si="2"/>
        <v>หจก.ซิล แอนด์ เซล คอนสตรัคชั่น</v>
      </c>
    </row>
    <row r="28" spans="4:14" ht="21" customHeight="1" x14ac:dyDescent="0.95">
      <c r="D28" s="16" t="s">
        <v>388</v>
      </c>
      <c r="F28" s="16" t="s">
        <v>389</v>
      </c>
      <c r="L28" s="8" t="str">
        <f t="shared" si="0"/>
        <v/>
      </c>
      <c r="M28" s="8" t="str">
        <f t="shared" si="1"/>
        <v>หินใหญ่ขนาด 30-80 มม.</v>
      </c>
      <c r="N28" s="8" t="str">
        <f t="shared" si="2"/>
        <v>คุณสิทธิพร นบนอบ</v>
      </c>
    </row>
    <row r="29" spans="4:14" ht="21" customHeight="1" x14ac:dyDescent="0.95">
      <c r="D29" s="16" t="s">
        <v>390</v>
      </c>
      <c r="F29" s="16" t="s">
        <v>391</v>
      </c>
      <c r="L29" s="8" t="str">
        <f t="shared" si="0"/>
        <v/>
      </c>
      <c r="M29" s="8" t="str">
        <f t="shared" si="1"/>
        <v>หินใหญ่ขนาด 40-80 มม.</v>
      </c>
      <c r="N29" s="8" t="str">
        <f t="shared" si="2"/>
        <v>คุณอริญญา แดงเล็ก</v>
      </c>
    </row>
    <row r="30" spans="4:14" ht="21" customHeight="1" x14ac:dyDescent="0.95">
      <c r="D30" s="16" t="s">
        <v>392</v>
      </c>
      <c r="F30" s="16" t="s">
        <v>393</v>
      </c>
      <c r="L30" s="8" t="str">
        <f t="shared" si="0"/>
        <v/>
      </c>
      <c r="M30" s="8" t="str">
        <f t="shared" si="1"/>
        <v>หินใหญ่ขนาด 30-40 ซม.</v>
      </c>
      <c r="N30" s="8" t="str">
        <f t="shared" si="2"/>
        <v>บจก.เทพตะวันโลจิสติกส์</v>
      </c>
    </row>
    <row r="31" spans="4:14" ht="21" customHeight="1" x14ac:dyDescent="0.95">
      <c r="D31" s="16" t="s">
        <v>394</v>
      </c>
      <c r="F31" s="16" t="s">
        <v>395</v>
      </c>
      <c r="L31" s="8" t="str">
        <f t="shared" si="0"/>
        <v/>
      </c>
      <c r="M31" s="8" t="str">
        <f t="shared" si="1"/>
        <v>หินใหญ่ขนาด 0-70 ซม.</v>
      </c>
      <c r="N31" s="8" t="str">
        <f t="shared" si="2"/>
        <v>บจก.รัตนาโลจิสติกส์</v>
      </c>
    </row>
    <row r="32" spans="4:14" ht="21" customHeight="1" x14ac:dyDescent="0.95">
      <c r="D32" s="16" t="s">
        <v>396</v>
      </c>
      <c r="F32" s="16" t="s">
        <v>397</v>
      </c>
      <c r="L32" s="8" t="str">
        <f t="shared" si="0"/>
        <v/>
      </c>
      <c r="M32" s="8" t="str">
        <f t="shared" si="1"/>
        <v>หินใหญ่ขนาด 60-120ซม</v>
      </c>
      <c r="N32" s="8" t="str">
        <f t="shared" si="2"/>
        <v>คุณภาคภูมิ พลสังข์</v>
      </c>
    </row>
    <row r="33" spans="4:14" ht="21" customHeight="1" x14ac:dyDescent="0.95">
      <c r="D33" s="16" t="s">
        <v>398</v>
      </c>
      <c r="F33" s="16" t="s">
        <v>399</v>
      </c>
      <c r="L33" s="8" t="str">
        <f t="shared" si="0"/>
        <v/>
      </c>
      <c r="M33" s="8" t="str">
        <f t="shared" si="1"/>
        <v>หินใหญ่ขนาด 200 - 500 Kg ( ทุบ )</v>
      </c>
      <c r="N33" s="8" t="str">
        <f t="shared" si="2"/>
        <v>คุณวัชรพงศ์ วิชัยดิษฐ์</v>
      </c>
    </row>
    <row r="34" spans="4:14" ht="21" customHeight="1" x14ac:dyDescent="0.95">
      <c r="D34" s="16" t="s">
        <v>400</v>
      </c>
      <c r="F34" s="16" t="s">
        <v>401</v>
      </c>
      <c r="L34" s="8" t="str">
        <f t="shared" si="0"/>
        <v/>
      </c>
      <c r="M34" s="8" t="str">
        <f t="shared" si="1"/>
        <v>หินใหญ่ขนาด 600 - 1200 Kg ( ทุบ )</v>
      </c>
      <c r="N34" s="8" t="str">
        <f t="shared" si="2"/>
        <v>คุณวินิจ ทัตเรณู</v>
      </c>
    </row>
    <row r="35" spans="4:14" ht="21" customHeight="1" x14ac:dyDescent="0.95">
      <c r="D35" s="16" t="s">
        <v>402</v>
      </c>
      <c r="F35" s="16" t="s">
        <v>403</v>
      </c>
      <c r="L35" s="8" t="str">
        <f t="shared" si="0"/>
        <v/>
      </c>
      <c r="M35" s="8" t="str">
        <f t="shared" si="1"/>
        <v>หินใหญ่วีรวุฒิ</v>
      </c>
      <c r="N35" s="8" t="str">
        <f t="shared" si="2"/>
        <v>คุณอดิศักดิ์ นามสนธิ์</v>
      </c>
    </row>
    <row r="36" spans="4:14" ht="21" customHeight="1" x14ac:dyDescent="0.95">
      <c r="D36" s="16" t="s">
        <v>404</v>
      </c>
      <c r="F36" s="16" t="s">
        <v>405</v>
      </c>
      <c r="L36" s="8" t="str">
        <f t="shared" si="0"/>
        <v/>
      </c>
      <c r="M36" s="8" t="str">
        <f t="shared" si="1"/>
        <v>หิน 3/4</v>
      </c>
      <c r="N36" s="8" t="str">
        <f t="shared" si="2"/>
        <v>คุณเอกชัย หาญชนะ</v>
      </c>
    </row>
    <row r="37" spans="4:14" ht="21" customHeight="1" x14ac:dyDescent="0.95">
      <c r="D37" s="16" t="s">
        <v>406</v>
      </c>
      <c r="F37" s="16" t="s">
        <v>407</v>
      </c>
      <c r="L37" s="8" t="str">
        <f t="shared" si="0"/>
        <v/>
      </c>
      <c r="M37" s="8" t="str">
        <f t="shared" si="1"/>
        <v>หิน 3/4 บริจาค</v>
      </c>
      <c r="N37" s="8" t="str">
        <f t="shared" si="2"/>
        <v>คุณวรพจน์ ชุมวรฐายี</v>
      </c>
    </row>
    <row r="38" spans="4:14" ht="21" customHeight="1" x14ac:dyDescent="0.95">
      <c r="D38" s="16" t="s">
        <v>408</v>
      </c>
      <c r="F38" s="16" t="s">
        <v>409</v>
      </c>
      <c r="L38" s="8" t="str">
        <f t="shared" si="0"/>
        <v/>
      </c>
      <c r="M38" s="8" t="str">
        <f t="shared" si="1"/>
        <v>หิน 3/8</v>
      </c>
      <c r="N38" s="8" t="str">
        <f t="shared" si="2"/>
        <v>บจก.อัครพัฒ ไมนิ่ง</v>
      </c>
    </row>
    <row r="39" spans="4:14" ht="21" customHeight="1" x14ac:dyDescent="0.95">
      <c r="D39" s="16" t="s">
        <v>410</v>
      </c>
      <c r="F39" s="16" t="s">
        <v>411</v>
      </c>
      <c r="L39" s="8" t="str">
        <f t="shared" si="0"/>
        <v/>
      </c>
      <c r="M39" s="8" t="str">
        <f t="shared" si="1"/>
        <v>หิน 3/8 (w)</v>
      </c>
      <c r="N39" s="8" t="str">
        <f t="shared" si="2"/>
        <v>หจก.อัครการขนส่ง</v>
      </c>
    </row>
    <row r="40" spans="4:14" ht="21" customHeight="1" x14ac:dyDescent="0.95">
      <c r="D40" s="16" t="s">
        <v>412</v>
      </c>
      <c r="L40" s="8" t="str">
        <f t="shared" si="0"/>
        <v/>
      </c>
      <c r="M40" s="8" t="str">
        <f t="shared" si="1"/>
        <v>หิน 1/2</v>
      </c>
      <c r="N40" s="8" t="str">
        <f t="shared" si="2"/>
        <v>บจก.สายฟ้า (2013)</v>
      </c>
    </row>
    <row r="41" spans="4:14" ht="21" customHeight="1" x14ac:dyDescent="0.95">
      <c r="D41" s="16" t="s">
        <v>413</v>
      </c>
      <c r="L41" s="8" t="str">
        <f t="shared" si="0"/>
        <v/>
      </c>
      <c r="M41" s="8" t="str">
        <f t="shared" si="1"/>
        <v>หิน 20-50 มม.</v>
      </c>
      <c r="N41" s="8" t="str">
        <f t="shared" si="2"/>
        <v/>
      </c>
    </row>
    <row r="42" spans="4:14" ht="21" customHeight="1" x14ac:dyDescent="0.95">
      <c r="D42" s="16" t="s">
        <v>414</v>
      </c>
      <c r="L42" s="8" t="str">
        <f t="shared" si="0"/>
        <v/>
      </c>
      <c r="M42" s="8" t="str">
        <f t="shared" si="1"/>
        <v>หิน 5-25 มม.</v>
      </c>
      <c r="N42" s="8" t="str">
        <f t="shared" si="2"/>
        <v/>
      </c>
    </row>
    <row r="43" spans="4:14" ht="21" customHeight="1" x14ac:dyDescent="0.95">
      <c r="D43" s="16" t="s">
        <v>415</v>
      </c>
      <c r="L43" s="8" t="str">
        <f t="shared" si="0"/>
        <v/>
      </c>
      <c r="M43" s="8" t="str">
        <f t="shared" si="1"/>
        <v>หิน 5-40มม</v>
      </c>
      <c r="N43" s="8" t="str">
        <f t="shared" si="2"/>
        <v/>
      </c>
    </row>
    <row r="44" spans="4:14" ht="21" customHeight="1" x14ac:dyDescent="0.95">
      <c r="D44" s="16" t="s">
        <v>416</v>
      </c>
      <c r="L44" s="8" t="str">
        <f t="shared" si="0"/>
        <v/>
      </c>
      <c r="M44" s="8" t="str">
        <f t="shared" si="1"/>
        <v>หิน 5-8 นิ้ว</v>
      </c>
      <c r="N44" s="8" t="str">
        <f t="shared" si="2"/>
        <v/>
      </c>
    </row>
    <row r="45" spans="4:14" ht="21" customHeight="1" x14ac:dyDescent="0.95">
      <c r="D45" s="16" t="s">
        <v>417</v>
      </c>
      <c r="L45" s="8" t="str">
        <f t="shared" si="0"/>
        <v/>
      </c>
      <c r="M45" s="8" t="str">
        <f t="shared" si="1"/>
        <v>หิน 0-15mm</v>
      </c>
      <c r="N45" s="8" t="str">
        <f t="shared" si="2"/>
        <v/>
      </c>
    </row>
    <row r="46" spans="4:14" ht="21" customHeight="1" x14ac:dyDescent="0.95">
      <c r="D46" s="16" t="s">
        <v>418</v>
      </c>
      <c r="L46" s="8" t="str">
        <f t="shared" si="0"/>
        <v/>
      </c>
      <c r="M46" s="8" t="str">
        <f t="shared" si="1"/>
        <v>หิน 40-80 มม.(Undersize)</v>
      </c>
      <c r="N46" s="8" t="str">
        <f t="shared" si="2"/>
        <v/>
      </c>
    </row>
    <row r="47" spans="4:14" ht="21" customHeight="1" x14ac:dyDescent="0.95">
      <c r="D47" s="16" t="s">
        <v>419</v>
      </c>
      <c r="L47" s="8" t="str">
        <f t="shared" si="0"/>
        <v/>
      </c>
      <c r="M47" s="8" t="str">
        <f t="shared" si="1"/>
        <v>หินใต้ราง(หิน3-8mm.)</v>
      </c>
      <c r="N47" s="8" t="str">
        <f t="shared" si="2"/>
        <v/>
      </c>
    </row>
    <row r="48" spans="4:14" ht="21" customHeight="1" x14ac:dyDescent="0.95">
      <c r="D48" s="16" t="s">
        <v>420</v>
      </c>
      <c r="L48" s="8" t="str">
        <f t="shared" si="0"/>
        <v/>
      </c>
      <c r="M48" s="8" t="str">
        <f t="shared" si="1"/>
        <v>1.2-1.4 m</v>
      </c>
      <c r="N48" s="8" t="str">
        <f t="shared" si="2"/>
        <v/>
      </c>
    </row>
    <row r="49" spans="4:14" ht="21" customHeight="1" x14ac:dyDescent="0.95">
      <c r="D49" s="16" t="s">
        <v>421</v>
      </c>
      <c r="L49" s="8" t="str">
        <f t="shared" si="0"/>
        <v/>
      </c>
      <c r="M49" s="8" t="str">
        <f t="shared" si="1"/>
        <v>stone( 1.2-1.4 m)</v>
      </c>
      <c r="N49" s="8" t="str">
        <f t="shared" si="2"/>
        <v/>
      </c>
    </row>
    <row r="50" spans="4:14" ht="21" customHeight="1" x14ac:dyDescent="0.95">
      <c r="D50" s="16" t="s">
        <v>422</v>
      </c>
      <c r="L50" s="8" t="str">
        <f t="shared" si="0"/>
        <v/>
      </c>
      <c r="M50" s="8" t="str">
        <f t="shared" si="1"/>
        <v>หินคลุก</v>
      </c>
      <c r="N50" s="8" t="str">
        <f t="shared" si="2"/>
        <v/>
      </c>
    </row>
    <row r="51" spans="4:14" ht="21" customHeight="1" x14ac:dyDescent="0.95">
      <c r="D51" s="16" t="s">
        <v>423</v>
      </c>
      <c r="L51" s="8" t="str">
        <f t="shared" si="0"/>
        <v/>
      </c>
      <c r="M51" s="8" t="str">
        <f t="shared" si="1"/>
        <v>หินคลุก A (บริจาค)</v>
      </c>
      <c r="N51" s="8" t="str">
        <f t="shared" si="2"/>
        <v/>
      </c>
    </row>
    <row r="52" spans="4:14" ht="21" customHeight="1" x14ac:dyDescent="0.95">
      <c r="D52" s="16" t="s">
        <v>424</v>
      </c>
      <c r="L52" s="8" t="str">
        <f t="shared" si="0"/>
        <v/>
      </c>
      <c r="M52" s="8" t="str">
        <f t="shared" si="1"/>
        <v>หินคลุก B(แทนทราย)</v>
      </c>
      <c r="N52" s="8" t="str">
        <f t="shared" si="2"/>
        <v/>
      </c>
    </row>
    <row r="53" spans="4:14" ht="21" customHeight="1" x14ac:dyDescent="0.95">
      <c r="D53" s="16" t="s">
        <v>425</v>
      </c>
      <c r="L53" s="8" t="str">
        <f t="shared" si="0"/>
        <v/>
      </c>
      <c r="M53" s="8" t="str">
        <f t="shared" si="1"/>
        <v>หินคลุก C</v>
      </c>
      <c r="N53" s="8" t="str">
        <f t="shared" si="2"/>
        <v/>
      </c>
    </row>
    <row r="54" spans="4:14" ht="21" customHeight="1" x14ac:dyDescent="0.95">
      <c r="D54" s="16" t="s">
        <v>426</v>
      </c>
      <c r="L54" s="8" t="str">
        <f t="shared" si="0"/>
        <v/>
      </c>
      <c r="M54" s="8" t="str">
        <f t="shared" si="1"/>
        <v>หินคลุก C บริจาค บท.392/67</v>
      </c>
      <c r="N54" s="8" t="str">
        <f t="shared" si="2"/>
        <v/>
      </c>
    </row>
    <row r="55" spans="4:14" ht="21" customHeight="1" x14ac:dyDescent="0.95">
      <c r="D55" s="16" t="s">
        <v>427</v>
      </c>
      <c r="L55" s="8" t="str">
        <f t="shared" si="0"/>
        <v/>
      </c>
      <c r="M55" s="8" t="str">
        <f t="shared" si="1"/>
        <v>หินคลุก (บริจาค)</v>
      </c>
      <c r="N55" s="8" t="str">
        <f t="shared" si="2"/>
        <v/>
      </c>
    </row>
    <row r="56" spans="4:14" ht="21" customHeight="1" x14ac:dyDescent="0.95">
      <c r="D56" s="16" t="s">
        <v>428</v>
      </c>
      <c r="L56" s="8" t="str">
        <f t="shared" si="0"/>
        <v/>
      </c>
      <c r="M56" s="8" t="str">
        <f t="shared" si="1"/>
        <v>หินคลุกสหพัฒนา</v>
      </c>
      <c r="N56" s="8" t="str">
        <f t="shared" si="2"/>
        <v/>
      </c>
    </row>
    <row r="57" spans="4:14" ht="21" customHeight="1" x14ac:dyDescent="0.95">
      <c r="D57" s="16" t="s">
        <v>429</v>
      </c>
      <c r="L57" s="8" t="str">
        <f t="shared" si="0"/>
        <v/>
      </c>
      <c r="M57" s="8" t="str">
        <f t="shared" si="1"/>
        <v>หินปูน</v>
      </c>
      <c r="N57" s="8" t="str">
        <f t="shared" si="2"/>
        <v/>
      </c>
    </row>
    <row r="58" spans="4:14" ht="21" customHeight="1" x14ac:dyDescent="0.95">
      <c r="D58" s="16" t="s">
        <v>430</v>
      </c>
      <c r="L58" s="8" t="str">
        <f t="shared" si="0"/>
        <v/>
      </c>
      <c r="M58" s="8" t="str">
        <f t="shared" si="1"/>
        <v>หินปูน3/4</v>
      </c>
      <c r="N58" s="8" t="str">
        <f t="shared" si="2"/>
        <v/>
      </c>
    </row>
    <row r="59" spans="4:14" ht="21" customHeight="1" x14ac:dyDescent="0.95">
      <c r="D59" s="16" t="s">
        <v>431</v>
      </c>
      <c r="L59" s="8" t="str">
        <f t="shared" si="0"/>
        <v/>
      </c>
      <c r="M59" s="8" t="str">
        <f t="shared" si="1"/>
        <v>หินผุเล็ก</v>
      </c>
      <c r="N59" s="8" t="str">
        <f t="shared" si="2"/>
        <v/>
      </c>
    </row>
    <row r="60" spans="4:14" ht="21" customHeight="1" x14ac:dyDescent="0.95">
      <c r="D60" s="16" t="s">
        <v>432</v>
      </c>
      <c r="L60" s="8" t="str">
        <f t="shared" si="0"/>
        <v/>
      </c>
      <c r="M60" s="8" t="str">
        <f t="shared" si="1"/>
        <v>หินผุใหญ่</v>
      </c>
      <c r="N60" s="8" t="str">
        <f t="shared" si="2"/>
        <v/>
      </c>
    </row>
    <row r="61" spans="4:14" ht="21" customHeight="1" x14ac:dyDescent="0.95">
      <c r="D61" s="16" t="s">
        <v>433</v>
      </c>
      <c r="L61" s="8" t="str">
        <f t="shared" si="0"/>
        <v/>
      </c>
      <c r="M61" s="8" t="str">
        <f t="shared" si="1"/>
        <v>หินผุวีรวุฒิ</v>
      </c>
      <c r="N61" s="8" t="str">
        <f t="shared" si="2"/>
        <v/>
      </c>
    </row>
    <row r="62" spans="4:14" ht="21" customHeight="1" x14ac:dyDescent="0.95">
      <c r="D62" s="16" t="s">
        <v>434</v>
      </c>
      <c r="L62" s="8" t="str">
        <f t="shared" si="0"/>
        <v/>
      </c>
      <c r="M62" s="8" t="str">
        <f t="shared" si="1"/>
        <v>หินเข้าโม่</v>
      </c>
      <c r="N62" s="8" t="str">
        <f t="shared" si="2"/>
        <v/>
      </c>
    </row>
    <row r="63" spans="4:14" ht="21" customHeight="1" x14ac:dyDescent="0.95">
      <c r="D63" s="16" t="s">
        <v>435</v>
      </c>
      <c r="L63" s="8" t="str">
        <f t="shared" si="0"/>
        <v/>
      </c>
      <c r="M63" s="8" t="str">
        <f t="shared" si="1"/>
        <v>หินโอเวอร์ไซส์</v>
      </c>
      <c r="N63" s="8" t="str">
        <f t="shared" si="2"/>
        <v/>
      </c>
    </row>
    <row r="64" spans="4:14" ht="21" customHeight="1" x14ac:dyDescent="0.95">
      <c r="D64" s="16" t="s">
        <v>436</v>
      </c>
      <c r="L64" s="8" t="str">
        <f t="shared" si="0"/>
        <v/>
      </c>
      <c r="M64" s="8" t="str">
        <f t="shared" si="1"/>
        <v>หินริปแรป</v>
      </c>
      <c r="N64" s="8" t="str">
        <f t="shared" si="2"/>
        <v/>
      </c>
    </row>
    <row r="65" spans="4:14" ht="21" customHeight="1" x14ac:dyDescent="0.95">
      <c r="D65" s="16" t="s">
        <v>437</v>
      </c>
      <c r="L65" s="8" t="str">
        <f t="shared" si="0"/>
        <v/>
      </c>
      <c r="M65" s="8" t="str">
        <f t="shared" si="1"/>
        <v>ปุ๋ยโดโลไมท์ 80 เมช</v>
      </c>
      <c r="N65" s="8" t="str">
        <f t="shared" si="2"/>
        <v/>
      </c>
    </row>
    <row r="66" spans="4:14" ht="21" customHeight="1" x14ac:dyDescent="0.95">
      <c r="D66" s="16" t="s">
        <v>438</v>
      </c>
      <c r="L66" s="8" t="str">
        <f t="shared" si="0"/>
        <v/>
      </c>
      <c r="M66" s="8" t="str">
        <f t="shared" si="1"/>
        <v>ปุ๋ยโดโลไมท์ 150 เมช</v>
      </c>
      <c r="N66" s="8" t="str">
        <f t="shared" si="2"/>
        <v/>
      </c>
    </row>
    <row r="67" spans="4:14" ht="21" customHeight="1" x14ac:dyDescent="0.95">
      <c r="D67" s="16" t="s">
        <v>439</v>
      </c>
      <c r="L67" s="8" t="str">
        <f t="shared" ref="L67:L130" si="3">IF($C66="","",$C66)</f>
        <v/>
      </c>
      <c r="M67" s="8" t="str">
        <f t="shared" ref="M67:M130" si="4">IF($D66="","",$D66)</f>
        <v>ปุ๋ยโดโลไมท์ 300 เมช</v>
      </c>
      <c r="N67" s="8" t="str">
        <f t="shared" ref="N67:N130" si="5">IF($F66="","",$F66)</f>
        <v/>
      </c>
    </row>
    <row r="68" spans="4:14" ht="21" customHeight="1" x14ac:dyDescent="0.95">
      <c r="D68" s="16" t="s">
        <v>440</v>
      </c>
      <c r="L68" s="8" t="str">
        <f t="shared" si="3"/>
        <v/>
      </c>
      <c r="M68" s="8" t="str">
        <f t="shared" si="4"/>
        <v>ปุ๋ยโดโลไมท์ 325 เมช</v>
      </c>
      <c r="N68" s="8" t="str">
        <f t="shared" si="5"/>
        <v/>
      </c>
    </row>
    <row r="69" spans="4:14" ht="21" customHeight="1" x14ac:dyDescent="0.95">
      <c r="D69" s="16" t="s">
        <v>441</v>
      </c>
      <c r="L69" s="8" t="str">
        <f t="shared" si="3"/>
        <v/>
      </c>
      <c r="M69" s="8" t="str">
        <f t="shared" si="4"/>
        <v>ปุ๋ยน้ำ bulk</v>
      </c>
      <c r="N69" s="8" t="str">
        <f t="shared" si="5"/>
        <v/>
      </c>
    </row>
    <row r="70" spans="4:14" ht="21" customHeight="1" x14ac:dyDescent="0.95">
      <c r="D70" s="16" t="s">
        <v>442</v>
      </c>
      <c r="L70" s="8" t="str">
        <f t="shared" si="3"/>
        <v/>
      </c>
      <c r="M70" s="8" t="str">
        <f t="shared" si="4"/>
        <v>แอมโมเนียมไนเตรต</v>
      </c>
      <c r="N70" s="8" t="str">
        <f t="shared" si="5"/>
        <v/>
      </c>
    </row>
    <row r="71" spans="4:14" ht="21" customHeight="1" x14ac:dyDescent="0.95">
      <c r="D71" s="16" t="s">
        <v>443</v>
      </c>
      <c r="L71" s="8" t="str">
        <f t="shared" si="3"/>
        <v/>
      </c>
      <c r="M71" s="8" t="str">
        <f t="shared" si="4"/>
        <v>ทราย</v>
      </c>
      <c r="N71" s="8" t="str">
        <f t="shared" si="5"/>
        <v/>
      </c>
    </row>
    <row r="72" spans="4:14" ht="21" customHeight="1" x14ac:dyDescent="0.95">
      <c r="D72" s="16" t="s">
        <v>444</v>
      </c>
      <c r="L72" s="8" t="str">
        <f t="shared" si="3"/>
        <v/>
      </c>
      <c r="M72" s="8" t="str">
        <f t="shared" si="4"/>
        <v>ตะกอนทราย</v>
      </c>
      <c r="N72" s="8" t="str">
        <f t="shared" si="5"/>
        <v/>
      </c>
    </row>
    <row r="73" spans="4:14" ht="21" customHeight="1" x14ac:dyDescent="0.95">
      <c r="D73" s="16" t="s">
        <v>445</v>
      </c>
      <c r="L73" s="8" t="str">
        <f t="shared" si="3"/>
        <v/>
      </c>
      <c r="M73" s="8" t="str">
        <f t="shared" si="4"/>
        <v>หน้าดิน</v>
      </c>
      <c r="N73" s="8" t="str">
        <f t="shared" si="5"/>
        <v/>
      </c>
    </row>
    <row r="74" spans="4:14" ht="21" customHeight="1" x14ac:dyDescent="0.95">
      <c r="D74" s="16" t="s">
        <v>446</v>
      </c>
      <c r="L74" s="8" t="str">
        <f t="shared" si="3"/>
        <v/>
      </c>
      <c r="M74" s="8" t="str">
        <f t="shared" si="4"/>
        <v>เศษเหล็ก</v>
      </c>
      <c r="N74" s="8" t="str">
        <f t="shared" si="5"/>
        <v/>
      </c>
    </row>
    <row r="75" spans="4:14" ht="21" customHeight="1" x14ac:dyDescent="0.95">
      <c r="D75" s="16" t="s">
        <v>447</v>
      </c>
      <c r="L75" s="8" t="str">
        <f t="shared" si="3"/>
        <v/>
      </c>
      <c r="M75" s="8" t="str">
        <f t="shared" si="4"/>
        <v>เหล็กผสมแมงกานิต</v>
      </c>
      <c r="N75" s="8" t="str">
        <f t="shared" si="5"/>
        <v/>
      </c>
    </row>
    <row r="76" spans="4:14" ht="21" customHeight="1" x14ac:dyDescent="0.95">
      <c r="D76" s="16" t="s">
        <v>448</v>
      </c>
      <c r="L76" s="8" t="str">
        <f t="shared" si="3"/>
        <v/>
      </c>
      <c r="M76" s="8" t="str">
        <f t="shared" si="4"/>
        <v>สายพาน</v>
      </c>
      <c r="N76" s="8" t="str">
        <f t="shared" si="5"/>
        <v/>
      </c>
    </row>
    <row r="77" spans="4:14" ht="21" customHeight="1" x14ac:dyDescent="0.95">
      <c r="D77" s="16" t="s">
        <v>180</v>
      </c>
      <c r="L77" s="8" t="str">
        <f t="shared" si="3"/>
        <v/>
      </c>
      <c r="M77" s="8" t="str">
        <f t="shared" si="4"/>
        <v>ท่อPVC(เก่า)</v>
      </c>
      <c r="N77" s="8" t="str">
        <f t="shared" si="5"/>
        <v/>
      </c>
    </row>
    <row r="78" spans="4:14" ht="21" customHeight="1" x14ac:dyDescent="0.95">
      <c r="D78" s="16" t="s">
        <v>449</v>
      </c>
      <c r="L78" s="8" t="str">
        <f t="shared" si="3"/>
        <v/>
      </c>
      <c r="M78" s="8" t="str">
        <f t="shared" si="4"/>
        <v>น้ำมัน</v>
      </c>
      <c r="N78" s="8" t="str">
        <f t="shared" si="5"/>
        <v/>
      </c>
    </row>
    <row r="79" spans="4:14" ht="21" customHeight="1" x14ac:dyDescent="0.95">
      <c r="D79" s="16" t="s">
        <v>450</v>
      </c>
      <c r="L79" s="8" t="str">
        <f t="shared" si="3"/>
        <v/>
      </c>
      <c r="M79" s="8" t="str">
        <f t="shared" si="4"/>
        <v>น้ำมันปาล์ม</v>
      </c>
      <c r="N79" s="8" t="str">
        <f t="shared" si="5"/>
        <v/>
      </c>
    </row>
    <row r="80" spans="4:14" ht="21" customHeight="1" x14ac:dyDescent="0.95">
      <c r="D80" s="16" t="s">
        <v>451</v>
      </c>
      <c r="L80" s="8" t="str">
        <f t="shared" si="3"/>
        <v/>
      </c>
      <c r="M80" s="8" t="str">
        <f t="shared" si="4"/>
        <v>บริการชั่งน้ำหนัก</v>
      </c>
      <c r="N80" s="8" t="str">
        <f t="shared" si="5"/>
        <v/>
      </c>
    </row>
    <row r="81" spans="4:14" ht="21" customHeight="1" x14ac:dyDescent="0.95">
      <c r="D81" s="16" t="s">
        <v>452</v>
      </c>
      <c r="L81" s="8" t="str">
        <f t="shared" si="3"/>
        <v/>
      </c>
      <c r="M81" s="8" t="str">
        <f t="shared" si="4"/>
        <v>บริการชั่งน้ำหนักตีกลับ</v>
      </c>
      <c r="N81" s="8" t="str">
        <f t="shared" si="5"/>
        <v/>
      </c>
    </row>
    <row r="82" spans="4:14" ht="21" customHeight="1" x14ac:dyDescent="0.95">
      <c r="L82" s="8" t="str">
        <f t="shared" si="3"/>
        <v/>
      </c>
      <c r="M82" s="8" t="str">
        <f t="shared" si="4"/>
        <v>ทดสอบรถ</v>
      </c>
      <c r="N82" s="8" t="str">
        <f t="shared" si="5"/>
        <v/>
      </c>
    </row>
    <row r="83" spans="4:14" ht="21" customHeight="1" x14ac:dyDescent="0.95">
      <c r="L83" s="8" t="str">
        <f t="shared" si="3"/>
        <v/>
      </c>
      <c r="M83" s="8" t="str">
        <f t="shared" si="4"/>
        <v/>
      </c>
      <c r="N83" s="8" t="str">
        <f t="shared" si="5"/>
        <v/>
      </c>
    </row>
    <row r="84" spans="4:14" ht="21" customHeight="1" x14ac:dyDescent="0.95">
      <c r="L84" s="8" t="str">
        <f t="shared" si="3"/>
        <v/>
      </c>
      <c r="M84" s="8" t="str">
        <f t="shared" si="4"/>
        <v/>
      </c>
      <c r="N84" s="8" t="str">
        <f t="shared" si="5"/>
        <v/>
      </c>
    </row>
    <row r="85" spans="4:14" ht="21" customHeight="1" x14ac:dyDescent="0.95">
      <c r="L85" s="8" t="str">
        <f t="shared" si="3"/>
        <v/>
      </c>
      <c r="M85" s="8" t="str">
        <f t="shared" si="4"/>
        <v/>
      </c>
      <c r="N85" s="8" t="str">
        <f t="shared" si="5"/>
        <v/>
      </c>
    </row>
    <row r="86" spans="4:14" ht="21" customHeight="1" x14ac:dyDescent="0.95">
      <c r="L86" s="8" t="str">
        <f t="shared" si="3"/>
        <v/>
      </c>
      <c r="M86" s="8" t="str">
        <f t="shared" si="4"/>
        <v/>
      </c>
      <c r="N86" s="8" t="str">
        <f t="shared" si="5"/>
        <v/>
      </c>
    </row>
    <row r="87" spans="4:14" ht="21" customHeight="1" x14ac:dyDescent="0.95">
      <c r="L87" s="8" t="str">
        <f t="shared" si="3"/>
        <v/>
      </c>
      <c r="M87" s="8" t="str">
        <f t="shared" si="4"/>
        <v/>
      </c>
      <c r="N87" s="8" t="str">
        <f t="shared" si="5"/>
        <v/>
      </c>
    </row>
    <row r="88" spans="4:14" ht="21" customHeight="1" x14ac:dyDescent="0.95">
      <c r="L88" s="8" t="str">
        <f t="shared" si="3"/>
        <v/>
      </c>
      <c r="M88" s="8" t="str">
        <f t="shared" si="4"/>
        <v/>
      </c>
      <c r="N88" s="8" t="str">
        <f t="shared" si="5"/>
        <v/>
      </c>
    </row>
    <row r="89" spans="4:14" ht="21" customHeight="1" x14ac:dyDescent="0.95">
      <c r="L89" s="8" t="str">
        <f t="shared" si="3"/>
        <v/>
      </c>
      <c r="M89" s="8" t="str">
        <f t="shared" si="4"/>
        <v/>
      </c>
      <c r="N89" s="8" t="str">
        <f t="shared" si="5"/>
        <v/>
      </c>
    </row>
    <row r="90" spans="4:14" ht="21" customHeight="1" x14ac:dyDescent="0.95">
      <c r="L90" s="8" t="str">
        <f t="shared" si="3"/>
        <v/>
      </c>
      <c r="M90" s="8" t="str">
        <f t="shared" si="4"/>
        <v/>
      </c>
      <c r="N90" s="8" t="str">
        <f t="shared" si="5"/>
        <v/>
      </c>
    </row>
    <row r="91" spans="4:14" ht="21" customHeight="1" x14ac:dyDescent="0.95">
      <c r="L91" s="8" t="str">
        <f t="shared" si="3"/>
        <v/>
      </c>
      <c r="M91" s="8" t="str">
        <f t="shared" si="4"/>
        <v/>
      </c>
      <c r="N91" s="8" t="str">
        <f t="shared" si="5"/>
        <v/>
      </c>
    </row>
    <row r="92" spans="4:14" ht="21" customHeight="1" x14ac:dyDescent="0.95">
      <c r="L92" s="8" t="str">
        <f t="shared" si="3"/>
        <v/>
      </c>
      <c r="M92" s="8" t="str">
        <f t="shared" si="4"/>
        <v/>
      </c>
      <c r="N92" s="8" t="str">
        <f t="shared" si="5"/>
        <v/>
      </c>
    </row>
    <row r="93" spans="4:14" ht="21" customHeight="1" x14ac:dyDescent="0.95">
      <c r="L93" s="8" t="str">
        <f t="shared" si="3"/>
        <v/>
      </c>
      <c r="M93" s="8" t="str">
        <f t="shared" si="4"/>
        <v/>
      </c>
      <c r="N93" s="8" t="str">
        <f t="shared" si="5"/>
        <v/>
      </c>
    </row>
    <row r="94" spans="4:14" ht="21" customHeight="1" x14ac:dyDescent="0.95">
      <c r="L94" s="8" t="str">
        <f t="shared" si="3"/>
        <v/>
      </c>
      <c r="M94" s="8" t="str">
        <f t="shared" si="4"/>
        <v/>
      </c>
      <c r="N94" s="8" t="str">
        <f t="shared" si="5"/>
        <v/>
      </c>
    </row>
    <row r="95" spans="4:14" ht="21" customHeight="1" x14ac:dyDescent="0.95">
      <c r="L95" s="8" t="str">
        <f t="shared" si="3"/>
        <v/>
      </c>
      <c r="M95" s="8" t="str">
        <f t="shared" si="4"/>
        <v/>
      </c>
      <c r="N95" s="8" t="str">
        <f t="shared" si="5"/>
        <v/>
      </c>
    </row>
    <row r="96" spans="4:14" ht="21" customHeight="1" x14ac:dyDescent="0.95">
      <c r="L96" s="8" t="str">
        <f t="shared" si="3"/>
        <v/>
      </c>
      <c r="M96" s="8" t="str">
        <f t="shared" si="4"/>
        <v/>
      </c>
      <c r="N96" s="8" t="str">
        <f t="shared" si="5"/>
        <v/>
      </c>
    </row>
    <row r="97" spans="12:14" ht="21" customHeight="1" x14ac:dyDescent="0.95">
      <c r="L97" s="8" t="str">
        <f t="shared" si="3"/>
        <v/>
      </c>
      <c r="M97" s="8" t="str">
        <f t="shared" si="4"/>
        <v/>
      </c>
      <c r="N97" s="8" t="str">
        <f t="shared" si="5"/>
        <v/>
      </c>
    </row>
    <row r="98" spans="12:14" ht="21" customHeight="1" x14ac:dyDescent="0.95">
      <c r="L98" s="8" t="str">
        <f t="shared" si="3"/>
        <v/>
      </c>
      <c r="M98" s="8" t="str">
        <f t="shared" si="4"/>
        <v/>
      </c>
      <c r="N98" s="8" t="str">
        <f t="shared" si="5"/>
        <v/>
      </c>
    </row>
    <row r="99" spans="12:14" ht="21" customHeight="1" x14ac:dyDescent="0.95">
      <c r="L99" s="8" t="str">
        <f t="shared" si="3"/>
        <v/>
      </c>
      <c r="M99" s="8" t="str">
        <f t="shared" si="4"/>
        <v/>
      </c>
      <c r="N99" s="8" t="str">
        <f t="shared" si="5"/>
        <v/>
      </c>
    </row>
    <row r="100" spans="12:14" ht="21" customHeight="1" x14ac:dyDescent="0.95">
      <c r="L100" s="8" t="str">
        <f t="shared" si="3"/>
        <v/>
      </c>
      <c r="M100" s="8" t="str">
        <f t="shared" si="4"/>
        <v/>
      </c>
      <c r="N100" s="8" t="str">
        <f t="shared" si="5"/>
        <v/>
      </c>
    </row>
    <row r="101" spans="12:14" ht="21" customHeight="1" x14ac:dyDescent="0.95">
      <c r="L101" s="8" t="str">
        <f t="shared" si="3"/>
        <v/>
      </c>
      <c r="M101" s="8" t="str">
        <f t="shared" si="4"/>
        <v/>
      </c>
      <c r="N101" s="8" t="str">
        <f t="shared" si="5"/>
        <v/>
      </c>
    </row>
    <row r="102" spans="12:14" ht="21" customHeight="1" x14ac:dyDescent="0.95">
      <c r="L102" s="8" t="str">
        <f t="shared" si="3"/>
        <v/>
      </c>
      <c r="M102" s="8" t="str">
        <f t="shared" si="4"/>
        <v/>
      </c>
      <c r="N102" s="8" t="str">
        <f t="shared" si="5"/>
        <v/>
      </c>
    </row>
    <row r="103" spans="12:14" ht="21" customHeight="1" x14ac:dyDescent="0.95">
      <c r="L103" s="8" t="str">
        <f t="shared" si="3"/>
        <v/>
      </c>
      <c r="M103" s="8" t="str">
        <f t="shared" si="4"/>
        <v/>
      </c>
      <c r="N103" s="8" t="str">
        <f t="shared" si="5"/>
        <v/>
      </c>
    </row>
    <row r="104" spans="12:14" ht="21" customHeight="1" x14ac:dyDescent="0.95">
      <c r="L104" s="8" t="str">
        <f t="shared" si="3"/>
        <v/>
      </c>
      <c r="M104" s="8" t="str">
        <f t="shared" si="4"/>
        <v/>
      </c>
      <c r="N104" s="8" t="str">
        <f t="shared" si="5"/>
        <v/>
      </c>
    </row>
    <row r="105" spans="12:14" ht="21" customHeight="1" x14ac:dyDescent="0.95">
      <c r="L105" s="8" t="str">
        <f t="shared" si="3"/>
        <v/>
      </c>
      <c r="M105" s="8" t="str">
        <f t="shared" si="4"/>
        <v/>
      </c>
      <c r="N105" s="8" t="str">
        <f t="shared" si="5"/>
        <v/>
      </c>
    </row>
    <row r="106" spans="12:14" ht="21" customHeight="1" x14ac:dyDescent="0.95">
      <c r="L106" s="8" t="str">
        <f t="shared" si="3"/>
        <v/>
      </c>
      <c r="M106" s="8" t="str">
        <f t="shared" si="4"/>
        <v/>
      </c>
      <c r="N106" s="8" t="str">
        <f t="shared" si="5"/>
        <v/>
      </c>
    </row>
    <row r="107" spans="12:14" ht="21" customHeight="1" x14ac:dyDescent="0.95">
      <c r="L107" s="8" t="str">
        <f t="shared" si="3"/>
        <v/>
      </c>
      <c r="M107" s="8" t="str">
        <f t="shared" si="4"/>
        <v/>
      </c>
      <c r="N107" s="8" t="str">
        <f t="shared" si="5"/>
        <v/>
      </c>
    </row>
    <row r="108" spans="12:14" ht="21" customHeight="1" x14ac:dyDescent="0.95">
      <c r="L108" s="8" t="str">
        <f t="shared" si="3"/>
        <v/>
      </c>
      <c r="M108" s="8" t="str">
        <f t="shared" si="4"/>
        <v/>
      </c>
      <c r="N108" s="8" t="str">
        <f t="shared" si="5"/>
        <v/>
      </c>
    </row>
    <row r="109" spans="12:14" ht="21" customHeight="1" x14ac:dyDescent="0.95">
      <c r="L109" s="8" t="str">
        <f t="shared" si="3"/>
        <v/>
      </c>
      <c r="M109" s="8" t="str">
        <f t="shared" si="4"/>
        <v/>
      </c>
      <c r="N109" s="8" t="str">
        <f t="shared" si="5"/>
        <v/>
      </c>
    </row>
    <row r="110" spans="12:14" ht="21" customHeight="1" x14ac:dyDescent="0.95">
      <c r="L110" s="8" t="str">
        <f t="shared" si="3"/>
        <v/>
      </c>
      <c r="M110" s="8" t="str">
        <f t="shared" si="4"/>
        <v/>
      </c>
      <c r="N110" s="8" t="str">
        <f t="shared" si="5"/>
        <v/>
      </c>
    </row>
    <row r="111" spans="12:14" ht="21" customHeight="1" x14ac:dyDescent="0.95">
      <c r="L111" s="8" t="str">
        <f t="shared" si="3"/>
        <v/>
      </c>
      <c r="M111" s="8" t="str">
        <f t="shared" si="4"/>
        <v/>
      </c>
      <c r="N111" s="8" t="str">
        <f t="shared" si="5"/>
        <v/>
      </c>
    </row>
    <row r="112" spans="12:14" ht="21" customHeight="1" x14ac:dyDescent="0.95">
      <c r="L112" s="8" t="str">
        <f t="shared" si="3"/>
        <v/>
      </c>
      <c r="M112" s="8" t="str">
        <f t="shared" si="4"/>
        <v/>
      </c>
      <c r="N112" s="8" t="str">
        <f t="shared" si="5"/>
        <v/>
      </c>
    </row>
    <row r="113" spans="12:14" ht="21" customHeight="1" x14ac:dyDescent="0.95">
      <c r="L113" s="8" t="str">
        <f t="shared" si="3"/>
        <v/>
      </c>
      <c r="M113" s="8" t="str">
        <f t="shared" si="4"/>
        <v/>
      </c>
      <c r="N113" s="8" t="str">
        <f t="shared" si="5"/>
        <v/>
      </c>
    </row>
    <row r="114" spans="12:14" ht="21" customHeight="1" x14ac:dyDescent="0.95">
      <c r="L114" s="8" t="str">
        <f t="shared" si="3"/>
        <v/>
      </c>
      <c r="M114" s="8" t="str">
        <f t="shared" si="4"/>
        <v/>
      </c>
      <c r="N114" s="8" t="str">
        <f t="shared" si="5"/>
        <v/>
      </c>
    </row>
    <row r="115" spans="12:14" ht="21" customHeight="1" x14ac:dyDescent="0.95">
      <c r="L115" s="8" t="str">
        <f t="shared" si="3"/>
        <v/>
      </c>
      <c r="M115" s="8" t="str">
        <f t="shared" si="4"/>
        <v/>
      </c>
      <c r="N115" s="8" t="str">
        <f t="shared" si="5"/>
        <v/>
      </c>
    </row>
    <row r="116" spans="12:14" ht="21" customHeight="1" x14ac:dyDescent="0.95">
      <c r="L116" s="8" t="str">
        <f t="shared" si="3"/>
        <v/>
      </c>
      <c r="M116" s="8" t="str">
        <f t="shared" si="4"/>
        <v/>
      </c>
      <c r="N116" s="8" t="str">
        <f t="shared" si="5"/>
        <v/>
      </c>
    </row>
    <row r="117" spans="12:14" ht="21" customHeight="1" x14ac:dyDescent="0.95">
      <c r="L117" s="8" t="str">
        <f t="shared" si="3"/>
        <v/>
      </c>
      <c r="M117" s="8" t="str">
        <f t="shared" si="4"/>
        <v/>
      </c>
      <c r="N117" s="8" t="str">
        <f t="shared" si="5"/>
        <v/>
      </c>
    </row>
    <row r="118" spans="12:14" ht="21" customHeight="1" x14ac:dyDescent="0.95">
      <c r="L118" s="8" t="str">
        <f t="shared" si="3"/>
        <v/>
      </c>
      <c r="M118" s="8" t="str">
        <f t="shared" si="4"/>
        <v/>
      </c>
      <c r="N118" s="8" t="str">
        <f t="shared" si="5"/>
        <v/>
      </c>
    </row>
    <row r="119" spans="12:14" ht="21" customHeight="1" x14ac:dyDescent="0.95">
      <c r="L119" s="8" t="str">
        <f t="shared" si="3"/>
        <v/>
      </c>
      <c r="M119" s="8" t="str">
        <f t="shared" si="4"/>
        <v/>
      </c>
      <c r="N119" s="8" t="str">
        <f t="shared" si="5"/>
        <v/>
      </c>
    </row>
    <row r="120" spans="12:14" ht="21" customHeight="1" x14ac:dyDescent="0.95">
      <c r="L120" s="8" t="str">
        <f t="shared" si="3"/>
        <v/>
      </c>
      <c r="M120" s="8" t="str">
        <f t="shared" si="4"/>
        <v/>
      </c>
      <c r="N120" s="8" t="str">
        <f t="shared" si="5"/>
        <v/>
      </c>
    </row>
    <row r="121" spans="12:14" ht="21" customHeight="1" x14ac:dyDescent="0.95">
      <c r="L121" s="8" t="str">
        <f t="shared" si="3"/>
        <v/>
      </c>
      <c r="M121" s="8" t="str">
        <f t="shared" si="4"/>
        <v/>
      </c>
      <c r="N121" s="8" t="str">
        <f t="shared" si="5"/>
        <v/>
      </c>
    </row>
    <row r="122" spans="12:14" ht="21" customHeight="1" x14ac:dyDescent="0.95">
      <c r="L122" s="8" t="str">
        <f t="shared" si="3"/>
        <v/>
      </c>
      <c r="M122" s="8" t="str">
        <f t="shared" si="4"/>
        <v/>
      </c>
      <c r="N122" s="8" t="str">
        <f t="shared" si="5"/>
        <v/>
      </c>
    </row>
    <row r="123" spans="12:14" ht="21" customHeight="1" x14ac:dyDescent="0.95">
      <c r="L123" s="8" t="str">
        <f t="shared" si="3"/>
        <v/>
      </c>
      <c r="M123" s="8" t="str">
        <f t="shared" si="4"/>
        <v/>
      </c>
      <c r="N123" s="8" t="str">
        <f t="shared" si="5"/>
        <v/>
      </c>
    </row>
    <row r="124" spans="12:14" ht="21" customHeight="1" x14ac:dyDescent="0.95">
      <c r="L124" s="8" t="str">
        <f t="shared" si="3"/>
        <v/>
      </c>
      <c r="M124" s="8" t="str">
        <f t="shared" si="4"/>
        <v/>
      </c>
      <c r="N124" s="8" t="str">
        <f t="shared" si="5"/>
        <v/>
      </c>
    </row>
    <row r="125" spans="12:14" ht="21" customHeight="1" x14ac:dyDescent="0.95">
      <c r="L125" s="8" t="str">
        <f t="shared" si="3"/>
        <v/>
      </c>
      <c r="M125" s="8" t="str">
        <f t="shared" si="4"/>
        <v/>
      </c>
      <c r="N125" s="8" t="str">
        <f t="shared" si="5"/>
        <v/>
      </c>
    </row>
    <row r="126" spans="12:14" ht="21" customHeight="1" x14ac:dyDescent="0.95">
      <c r="L126" s="8" t="str">
        <f t="shared" si="3"/>
        <v/>
      </c>
      <c r="M126" s="8" t="str">
        <f t="shared" si="4"/>
        <v/>
      </c>
      <c r="N126" s="8" t="str">
        <f t="shared" si="5"/>
        <v/>
      </c>
    </row>
    <row r="127" spans="12:14" ht="21" customHeight="1" x14ac:dyDescent="0.95">
      <c r="L127" s="8" t="str">
        <f t="shared" si="3"/>
        <v/>
      </c>
      <c r="M127" s="8" t="str">
        <f t="shared" si="4"/>
        <v/>
      </c>
      <c r="N127" s="8" t="str">
        <f t="shared" si="5"/>
        <v/>
      </c>
    </row>
    <row r="128" spans="12:14" ht="21" customHeight="1" x14ac:dyDescent="0.95">
      <c r="L128" s="8" t="str">
        <f t="shared" si="3"/>
        <v/>
      </c>
      <c r="M128" s="8" t="str">
        <f t="shared" si="4"/>
        <v/>
      </c>
      <c r="N128" s="8" t="str">
        <f t="shared" si="5"/>
        <v/>
      </c>
    </row>
    <row r="129" spans="12:14" ht="21" customHeight="1" x14ac:dyDescent="0.95">
      <c r="L129" s="8" t="str">
        <f t="shared" si="3"/>
        <v/>
      </c>
      <c r="M129" s="8" t="str">
        <f t="shared" si="4"/>
        <v/>
      </c>
      <c r="N129" s="8" t="str">
        <f t="shared" si="5"/>
        <v/>
      </c>
    </row>
    <row r="130" spans="12:14" ht="21" customHeight="1" x14ac:dyDescent="0.95">
      <c r="L130" s="8" t="str">
        <f t="shared" si="3"/>
        <v/>
      </c>
      <c r="M130" s="8" t="str">
        <f t="shared" si="4"/>
        <v/>
      </c>
      <c r="N130" s="8" t="str">
        <f t="shared" si="5"/>
        <v/>
      </c>
    </row>
    <row r="131" spans="12:14" ht="21" customHeight="1" x14ac:dyDescent="0.95">
      <c r="L131" s="8" t="str">
        <f t="shared" ref="L131:L194" si="6">IF($C130="","",$C130)</f>
        <v/>
      </c>
      <c r="M131" s="8" t="str">
        <f t="shared" ref="M131:M194" si="7">IF($D130="","",$D130)</f>
        <v/>
      </c>
      <c r="N131" s="8" t="str">
        <f t="shared" ref="N131:N194" si="8">IF($F130="","",$F130)</f>
        <v/>
      </c>
    </row>
    <row r="132" spans="12:14" ht="21" customHeight="1" x14ac:dyDescent="0.95">
      <c r="L132" s="8" t="str">
        <f t="shared" si="6"/>
        <v/>
      </c>
      <c r="M132" s="8" t="str">
        <f t="shared" si="7"/>
        <v/>
      </c>
      <c r="N132" s="8" t="str">
        <f t="shared" si="8"/>
        <v/>
      </c>
    </row>
    <row r="133" spans="12:14" ht="21" customHeight="1" x14ac:dyDescent="0.95">
      <c r="L133" s="8" t="str">
        <f t="shared" si="6"/>
        <v/>
      </c>
      <c r="M133" s="8" t="str">
        <f t="shared" si="7"/>
        <v/>
      </c>
      <c r="N133" s="8" t="str">
        <f t="shared" si="8"/>
        <v/>
      </c>
    </row>
    <row r="134" spans="12:14" ht="21" customHeight="1" x14ac:dyDescent="0.95">
      <c r="L134" s="8" t="str">
        <f t="shared" si="6"/>
        <v/>
      </c>
      <c r="M134" s="8" t="str">
        <f t="shared" si="7"/>
        <v/>
      </c>
      <c r="N134" s="8" t="str">
        <f t="shared" si="8"/>
        <v/>
      </c>
    </row>
    <row r="135" spans="12:14" ht="21" customHeight="1" x14ac:dyDescent="0.95">
      <c r="L135" s="8" t="str">
        <f t="shared" si="6"/>
        <v/>
      </c>
      <c r="M135" s="8" t="str">
        <f t="shared" si="7"/>
        <v/>
      </c>
      <c r="N135" s="8" t="str">
        <f t="shared" si="8"/>
        <v/>
      </c>
    </row>
    <row r="136" spans="12:14" ht="21" customHeight="1" x14ac:dyDescent="0.95">
      <c r="L136" s="8" t="str">
        <f t="shared" si="6"/>
        <v/>
      </c>
      <c r="M136" s="8" t="str">
        <f t="shared" si="7"/>
        <v/>
      </c>
      <c r="N136" s="8" t="str">
        <f t="shared" si="8"/>
        <v/>
      </c>
    </row>
    <row r="137" spans="12:14" ht="21" customHeight="1" x14ac:dyDescent="0.95">
      <c r="L137" s="8" t="str">
        <f t="shared" si="6"/>
        <v/>
      </c>
      <c r="M137" s="8" t="str">
        <f t="shared" si="7"/>
        <v/>
      </c>
      <c r="N137" s="8" t="str">
        <f t="shared" si="8"/>
        <v/>
      </c>
    </row>
    <row r="138" spans="12:14" ht="21" customHeight="1" x14ac:dyDescent="0.95">
      <c r="L138" s="8" t="str">
        <f t="shared" si="6"/>
        <v/>
      </c>
      <c r="M138" s="8" t="str">
        <f t="shared" si="7"/>
        <v/>
      </c>
      <c r="N138" s="8" t="str">
        <f t="shared" si="8"/>
        <v/>
      </c>
    </row>
    <row r="139" spans="12:14" ht="21" customHeight="1" x14ac:dyDescent="0.95">
      <c r="L139" s="8" t="str">
        <f t="shared" si="6"/>
        <v/>
      </c>
      <c r="M139" s="8" t="str">
        <f t="shared" si="7"/>
        <v/>
      </c>
      <c r="N139" s="8" t="str">
        <f t="shared" si="8"/>
        <v/>
      </c>
    </row>
    <row r="140" spans="12:14" ht="21" customHeight="1" x14ac:dyDescent="0.95">
      <c r="L140" s="8" t="str">
        <f t="shared" si="6"/>
        <v/>
      </c>
      <c r="M140" s="8" t="str">
        <f t="shared" si="7"/>
        <v/>
      </c>
      <c r="N140" s="8" t="str">
        <f t="shared" si="8"/>
        <v/>
      </c>
    </row>
    <row r="141" spans="12:14" ht="21" customHeight="1" x14ac:dyDescent="0.95">
      <c r="L141" s="8" t="str">
        <f t="shared" si="6"/>
        <v/>
      </c>
      <c r="M141" s="8" t="str">
        <f t="shared" si="7"/>
        <v/>
      </c>
      <c r="N141" s="8" t="str">
        <f t="shared" si="8"/>
        <v/>
      </c>
    </row>
    <row r="142" spans="12:14" ht="21" customHeight="1" x14ac:dyDescent="0.95">
      <c r="L142" s="8" t="str">
        <f t="shared" si="6"/>
        <v/>
      </c>
      <c r="M142" s="8" t="str">
        <f t="shared" si="7"/>
        <v/>
      </c>
      <c r="N142" s="8" t="str">
        <f t="shared" si="8"/>
        <v/>
      </c>
    </row>
    <row r="143" spans="12:14" ht="21" customHeight="1" x14ac:dyDescent="0.95">
      <c r="L143" s="8" t="str">
        <f t="shared" si="6"/>
        <v/>
      </c>
      <c r="M143" s="8" t="str">
        <f t="shared" si="7"/>
        <v/>
      </c>
      <c r="N143" s="8" t="str">
        <f t="shared" si="8"/>
        <v/>
      </c>
    </row>
    <row r="144" spans="12:14" ht="21" customHeight="1" x14ac:dyDescent="0.95">
      <c r="L144" s="8" t="str">
        <f t="shared" si="6"/>
        <v/>
      </c>
      <c r="M144" s="8" t="str">
        <f t="shared" si="7"/>
        <v/>
      </c>
      <c r="N144" s="8" t="str">
        <f t="shared" si="8"/>
        <v/>
      </c>
    </row>
    <row r="145" spans="12:14" ht="21" customHeight="1" x14ac:dyDescent="0.95">
      <c r="L145" s="8" t="str">
        <f t="shared" si="6"/>
        <v/>
      </c>
      <c r="M145" s="8" t="str">
        <f t="shared" si="7"/>
        <v/>
      </c>
      <c r="N145" s="8" t="str">
        <f t="shared" si="8"/>
        <v/>
      </c>
    </row>
    <row r="146" spans="12:14" ht="21" customHeight="1" x14ac:dyDescent="0.95">
      <c r="L146" s="8" t="str">
        <f t="shared" si="6"/>
        <v/>
      </c>
      <c r="M146" s="8" t="str">
        <f t="shared" si="7"/>
        <v/>
      </c>
      <c r="N146" s="8" t="str">
        <f t="shared" si="8"/>
        <v/>
      </c>
    </row>
    <row r="147" spans="12:14" ht="21" customHeight="1" x14ac:dyDescent="0.95">
      <c r="L147" s="8" t="str">
        <f t="shared" si="6"/>
        <v/>
      </c>
      <c r="M147" s="8" t="str">
        <f t="shared" si="7"/>
        <v/>
      </c>
      <c r="N147" s="8" t="str">
        <f t="shared" si="8"/>
        <v/>
      </c>
    </row>
    <row r="148" spans="12:14" ht="21" customHeight="1" x14ac:dyDescent="0.95">
      <c r="L148" s="8" t="str">
        <f t="shared" si="6"/>
        <v/>
      </c>
      <c r="M148" s="8" t="str">
        <f t="shared" si="7"/>
        <v/>
      </c>
      <c r="N148" s="8" t="str">
        <f t="shared" si="8"/>
        <v/>
      </c>
    </row>
    <row r="149" spans="12:14" ht="21" customHeight="1" x14ac:dyDescent="0.95">
      <c r="L149" s="8" t="str">
        <f t="shared" si="6"/>
        <v/>
      </c>
      <c r="M149" s="8" t="str">
        <f t="shared" si="7"/>
        <v/>
      </c>
      <c r="N149" s="8" t="str">
        <f t="shared" si="8"/>
        <v/>
      </c>
    </row>
    <row r="150" spans="12:14" ht="21" customHeight="1" x14ac:dyDescent="0.95">
      <c r="L150" s="8" t="str">
        <f t="shared" si="6"/>
        <v/>
      </c>
      <c r="M150" s="8" t="str">
        <f t="shared" si="7"/>
        <v/>
      </c>
      <c r="N150" s="8" t="str">
        <f t="shared" si="8"/>
        <v/>
      </c>
    </row>
    <row r="151" spans="12:14" ht="21" customHeight="1" x14ac:dyDescent="0.95">
      <c r="L151" s="8" t="str">
        <f t="shared" si="6"/>
        <v/>
      </c>
      <c r="M151" s="8" t="str">
        <f t="shared" si="7"/>
        <v/>
      </c>
      <c r="N151" s="8" t="str">
        <f t="shared" si="8"/>
        <v/>
      </c>
    </row>
    <row r="152" spans="12:14" ht="21" customHeight="1" x14ac:dyDescent="0.95">
      <c r="L152" s="8" t="str">
        <f t="shared" si="6"/>
        <v/>
      </c>
      <c r="M152" s="8" t="str">
        <f t="shared" si="7"/>
        <v/>
      </c>
      <c r="N152" s="8" t="str">
        <f t="shared" si="8"/>
        <v/>
      </c>
    </row>
    <row r="153" spans="12:14" ht="21" customHeight="1" x14ac:dyDescent="0.95">
      <c r="L153" s="8" t="str">
        <f t="shared" si="6"/>
        <v/>
      </c>
      <c r="M153" s="8" t="str">
        <f t="shared" si="7"/>
        <v/>
      </c>
      <c r="N153" s="8" t="str">
        <f t="shared" si="8"/>
        <v/>
      </c>
    </row>
    <row r="154" spans="12:14" ht="21" customHeight="1" x14ac:dyDescent="0.95">
      <c r="L154" s="8" t="str">
        <f t="shared" si="6"/>
        <v/>
      </c>
      <c r="M154" s="8" t="str">
        <f t="shared" si="7"/>
        <v/>
      </c>
      <c r="N154" s="8" t="str">
        <f t="shared" si="8"/>
        <v/>
      </c>
    </row>
    <row r="155" spans="12:14" ht="21" customHeight="1" x14ac:dyDescent="0.95">
      <c r="L155" s="8" t="str">
        <f t="shared" si="6"/>
        <v/>
      </c>
      <c r="M155" s="8" t="str">
        <f t="shared" si="7"/>
        <v/>
      </c>
      <c r="N155" s="8" t="str">
        <f t="shared" si="8"/>
        <v/>
      </c>
    </row>
    <row r="156" spans="12:14" ht="21" customHeight="1" x14ac:dyDescent="0.95">
      <c r="L156" s="8" t="str">
        <f t="shared" si="6"/>
        <v/>
      </c>
      <c r="M156" s="8" t="str">
        <f t="shared" si="7"/>
        <v/>
      </c>
      <c r="N156" s="8" t="str">
        <f t="shared" si="8"/>
        <v/>
      </c>
    </row>
    <row r="157" spans="12:14" ht="21" customHeight="1" x14ac:dyDescent="0.95">
      <c r="L157" s="8" t="str">
        <f t="shared" si="6"/>
        <v/>
      </c>
      <c r="M157" s="8" t="str">
        <f t="shared" si="7"/>
        <v/>
      </c>
      <c r="N157" s="8" t="str">
        <f t="shared" si="8"/>
        <v/>
      </c>
    </row>
    <row r="158" spans="12:14" ht="21" customHeight="1" x14ac:dyDescent="0.95">
      <c r="L158" s="8" t="str">
        <f t="shared" si="6"/>
        <v/>
      </c>
      <c r="M158" s="8" t="str">
        <f t="shared" si="7"/>
        <v/>
      </c>
      <c r="N158" s="8" t="str">
        <f t="shared" si="8"/>
        <v/>
      </c>
    </row>
    <row r="159" spans="12:14" ht="21" customHeight="1" x14ac:dyDescent="0.95">
      <c r="L159" s="8" t="str">
        <f t="shared" si="6"/>
        <v/>
      </c>
      <c r="M159" s="8" t="str">
        <f t="shared" si="7"/>
        <v/>
      </c>
      <c r="N159" s="8" t="str">
        <f t="shared" si="8"/>
        <v/>
      </c>
    </row>
    <row r="160" spans="12:14" ht="21" customHeight="1" x14ac:dyDescent="0.95">
      <c r="L160" s="8" t="str">
        <f t="shared" si="6"/>
        <v/>
      </c>
      <c r="M160" s="8" t="str">
        <f t="shared" si="7"/>
        <v/>
      </c>
      <c r="N160" s="8" t="str">
        <f t="shared" si="8"/>
        <v/>
      </c>
    </row>
    <row r="161" spans="12:14" ht="21" customHeight="1" x14ac:dyDescent="0.95">
      <c r="L161" s="8" t="str">
        <f t="shared" si="6"/>
        <v/>
      </c>
      <c r="M161" s="8" t="str">
        <f t="shared" si="7"/>
        <v/>
      </c>
      <c r="N161" s="8" t="str">
        <f t="shared" si="8"/>
        <v/>
      </c>
    </row>
    <row r="162" spans="12:14" ht="21" customHeight="1" x14ac:dyDescent="0.95">
      <c r="L162" s="8" t="str">
        <f t="shared" si="6"/>
        <v/>
      </c>
      <c r="M162" s="8" t="str">
        <f t="shared" si="7"/>
        <v/>
      </c>
      <c r="N162" s="8" t="str">
        <f t="shared" si="8"/>
        <v/>
      </c>
    </row>
    <row r="163" spans="12:14" ht="21" customHeight="1" x14ac:dyDescent="0.95">
      <c r="L163" s="8" t="str">
        <f t="shared" si="6"/>
        <v/>
      </c>
      <c r="M163" s="8" t="str">
        <f t="shared" si="7"/>
        <v/>
      </c>
      <c r="N163" s="8" t="str">
        <f t="shared" si="8"/>
        <v/>
      </c>
    </row>
    <row r="164" spans="12:14" ht="21" customHeight="1" x14ac:dyDescent="0.95">
      <c r="L164" s="8" t="str">
        <f t="shared" si="6"/>
        <v/>
      </c>
      <c r="M164" s="8" t="str">
        <f t="shared" si="7"/>
        <v/>
      </c>
      <c r="N164" s="8" t="str">
        <f t="shared" si="8"/>
        <v/>
      </c>
    </row>
    <row r="165" spans="12:14" ht="21" customHeight="1" x14ac:dyDescent="0.95">
      <c r="L165" s="8" t="str">
        <f t="shared" si="6"/>
        <v/>
      </c>
      <c r="M165" s="8" t="str">
        <f t="shared" si="7"/>
        <v/>
      </c>
      <c r="N165" s="8" t="str">
        <f t="shared" si="8"/>
        <v/>
      </c>
    </row>
    <row r="166" spans="12:14" ht="21" customHeight="1" x14ac:dyDescent="0.95">
      <c r="L166" s="8" t="str">
        <f t="shared" si="6"/>
        <v/>
      </c>
      <c r="M166" s="8" t="str">
        <f t="shared" si="7"/>
        <v/>
      </c>
      <c r="N166" s="8" t="str">
        <f t="shared" si="8"/>
        <v/>
      </c>
    </row>
    <row r="167" spans="12:14" ht="21" customHeight="1" x14ac:dyDescent="0.95">
      <c r="L167" s="8" t="str">
        <f t="shared" si="6"/>
        <v/>
      </c>
      <c r="M167" s="8" t="str">
        <f t="shared" si="7"/>
        <v/>
      </c>
      <c r="N167" s="8" t="str">
        <f t="shared" si="8"/>
        <v/>
      </c>
    </row>
    <row r="168" spans="12:14" ht="21" customHeight="1" x14ac:dyDescent="0.95">
      <c r="L168" s="8" t="str">
        <f t="shared" si="6"/>
        <v/>
      </c>
      <c r="M168" s="8" t="str">
        <f t="shared" si="7"/>
        <v/>
      </c>
      <c r="N168" s="8" t="str">
        <f t="shared" si="8"/>
        <v/>
      </c>
    </row>
    <row r="169" spans="12:14" ht="21" customHeight="1" x14ac:dyDescent="0.95">
      <c r="L169" s="8" t="str">
        <f t="shared" si="6"/>
        <v/>
      </c>
      <c r="M169" s="8" t="str">
        <f t="shared" si="7"/>
        <v/>
      </c>
      <c r="N169" s="8" t="str">
        <f t="shared" si="8"/>
        <v/>
      </c>
    </row>
    <row r="170" spans="12:14" ht="21" customHeight="1" x14ac:dyDescent="0.95">
      <c r="L170" s="8" t="str">
        <f t="shared" si="6"/>
        <v/>
      </c>
      <c r="M170" s="8" t="str">
        <f t="shared" si="7"/>
        <v/>
      </c>
      <c r="N170" s="8" t="str">
        <f t="shared" si="8"/>
        <v/>
      </c>
    </row>
    <row r="171" spans="12:14" ht="21" customHeight="1" x14ac:dyDescent="0.95">
      <c r="L171" s="8" t="str">
        <f t="shared" si="6"/>
        <v/>
      </c>
      <c r="M171" s="8" t="str">
        <f t="shared" si="7"/>
        <v/>
      </c>
      <c r="N171" s="8" t="str">
        <f t="shared" si="8"/>
        <v/>
      </c>
    </row>
    <row r="172" spans="12:14" ht="21" customHeight="1" x14ac:dyDescent="0.95">
      <c r="L172" s="8" t="str">
        <f t="shared" si="6"/>
        <v/>
      </c>
      <c r="M172" s="8" t="str">
        <f t="shared" si="7"/>
        <v/>
      </c>
      <c r="N172" s="8" t="str">
        <f t="shared" si="8"/>
        <v/>
      </c>
    </row>
    <row r="173" spans="12:14" ht="21" customHeight="1" x14ac:dyDescent="0.95">
      <c r="L173" s="8" t="str">
        <f t="shared" si="6"/>
        <v/>
      </c>
      <c r="M173" s="8" t="str">
        <f t="shared" si="7"/>
        <v/>
      </c>
      <c r="N173" s="8" t="str">
        <f t="shared" si="8"/>
        <v/>
      </c>
    </row>
    <row r="174" spans="12:14" ht="21" customHeight="1" x14ac:dyDescent="0.95">
      <c r="L174" s="8" t="str">
        <f t="shared" si="6"/>
        <v/>
      </c>
      <c r="M174" s="8" t="str">
        <f t="shared" si="7"/>
        <v/>
      </c>
      <c r="N174" s="8" t="str">
        <f t="shared" si="8"/>
        <v/>
      </c>
    </row>
    <row r="175" spans="12:14" ht="21" customHeight="1" x14ac:dyDescent="0.95">
      <c r="L175" s="8" t="str">
        <f t="shared" si="6"/>
        <v/>
      </c>
      <c r="M175" s="8" t="str">
        <f t="shared" si="7"/>
        <v/>
      </c>
      <c r="N175" s="8" t="str">
        <f t="shared" si="8"/>
        <v/>
      </c>
    </row>
    <row r="176" spans="12:14" ht="21" customHeight="1" x14ac:dyDescent="0.95">
      <c r="L176" s="8" t="str">
        <f t="shared" si="6"/>
        <v/>
      </c>
      <c r="M176" s="8" t="str">
        <f t="shared" si="7"/>
        <v/>
      </c>
      <c r="N176" s="8" t="str">
        <f t="shared" si="8"/>
        <v/>
      </c>
    </row>
    <row r="177" spans="12:14" ht="21" customHeight="1" x14ac:dyDescent="0.95">
      <c r="L177" s="8" t="str">
        <f t="shared" si="6"/>
        <v/>
      </c>
      <c r="M177" s="8" t="str">
        <f t="shared" si="7"/>
        <v/>
      </c>
      <c r="N177" s="8" t="str">
        <f t="shared" si="8"/>
        <v/>
      </c>
    </row>
    <row r="178" spans="12:14" ht="21" customHeight="1" x14ac:dyDescent="0.95">
      <c r="L178" s="8" t="str">
        <f t="shared" si="6"/>
        <v/>
      </c>
      <c r="M178" s="8" t="str">
        <f t="shared" si="7"/>
        <v/>
      </c>
      <c r="N178" s="8" t="str">
        <f t="shared" si="8"/>
        <v/>
      </c>
    </row>
    <row r="179" spans="12:14" ht="21" customHeight="1" x14ac:dyDescent="0.95">
      <c r="L179" s="8" t="str">
        <f t="shared" si="6"/>
        <v/>
      </c>
      <c r="M179" s="8" t="str">
        <f t="shared" si="7"/>
        <v/>
      </c>
      <c r="N179" s="8" t="str">
        <f t="shared" si="8"/>
        <v/>
      </c>
    </row>
    <row r="180" spans="12:14" ht="21" customHeight="1" x14ac:dyDescent="0.95">
      <c r="L180" s="8" t="str">
        <f t="shared" si="6"/>
        <v/>
      </c>
      <c r="M180" s="8" t="str">
        <f t="shared" si="7"/>
        <v/>
      </c>
      <c r="N180" s="8" t="str">
        <f t="shared" si="8"/>
        <v/>
      </c>
    </row>
    <row r="181" spans="12:14" ht="21" customHeight="1" x14ac:dyDescent="0.95">
      <c r="L181" s="8" t="str">
        <f t="shared" si="6"/>
        <v/>
      </c>
      <c r="M181" s="8" t="str">
        <f t="shared" si="7"/>
        <v/>
      </c>
      <c r="N181" s="8" t="str">
        <f t="shared" si="8"/>
        <v/>
      </c>
    </row>
    <row r="182" spans="12:14" ht="21" customHeight="1" x14ac:dyDescent="0.95">
      <c r="L182" s="8" t="str">
        <f t="shared" si="6"/>
        <v/>
      </c>
      <c r="M182" s="8" t="str">
        <f t="shared" si="7"/>
        <v/>
      </c>
      <c r="N182" s="8" t="str">
        <f t="shared" si="8"/>
        <v/>
      </c>
    </row>
    <row r="183" spans="12:14" ht="21" customHeight="1" x14ac:dyDescent="0.95">
      <c r="L183" s="8" t="str">
        <f t="shared" si="6"/>
        <v/>
      </c>
      <c r="M183" s="8" t="str">
        <f t="shared" si="7"/>
        <v/>
      </c>
      <c r="N183" s="8" t="str">
        <f t="shared" si="8"/>
        <v/>
      </c>
    </row>
    <row r="184" spans="12:14" ht="21" customHeight="1" x14ac:dyDescent="0.95">
      <c r="L184" s="8" t="str">
        <f t="shared" si="6"/>
        <v/>
      </c>
      <c r="M184" s="8" t="str">
        <f t="shared" si="7"/>
        <v/>
      </c>
      <c r="N184" s="8" t="str">
        <f t="shared" si="8"/>
        <v/>
      </c>
    </row>
    <row r="185" spans="12:14" ht="21" customHeight="1" x14ac:dyDescent="0.95">
      <c r="L185" s="8" t="str">
        <f t="shared" si="6"/>
        <v/>
      </c>
      <c r="M185" s="8" t="str">
        <f t="shared" si="7"/>
        <v/>
      </c>
      <c r="N185" s="8" t="str">
        <f t="shared" si="8"/>
        <v/>
      </c>
    </row>
    <row r="186" spans="12:14" ht="21" customHeight="1" x14ac:dyDescent="0.95">
      <c r="L186" s="8" t="str">
        <f t="shared" si="6"/>
        <v/>
      </c>
      <c r="M186" s="8" t="str">
        <f t="shared" si="7"/>
        <v/>
      </c>
      <c r="N186" s="8" t="str">
        <f t="shared" si="8"/>
        <v/>
      </c>
    </row>
    <row r="187" spans="12:14" ht="21" customHeight="1" x14ac:dyDescent="0.95">
      <c r="L187" s="8" t="str">
        <f t="shared" si="6"/>
        <v/>
      </c>
      <c r="M187" s="8" t="str">
        <f t="shared" si="7"/>
        <v/>
      </c>
      <c r="N187" s="8" t="str">
        <f t="shared" si="8"/>
        <v/>
      </c>
    </row>
    <row r="188" spans="12:14" ht="21" customHeight="1" x14ac:dyDescent="0.95">
      <c r="L188" s="8" t="str">
        <f t="shared" si="6"/>
        <v/>
      </c>
      <c r="M188" s="8" t="str">
        <f t="shared" si="7"/>
        <v/>
      </c>
      <c r="N188" s="8" t="str">
        <f t="shared" si="8"/>
        <v/>
      </c>
    </row>
    <row r="189" spans="12:14" ht="21" customHeight="1" x14ac:dyDescent="0.95">
      <c r="L189" s="8" t="str">
        <f t="shared" si="6"/>
        <v/>
      </c>
      <c r="M189" s="8" t="str">
        <f t="shared" si="7"/>
        <v/>
      </c>
      <c r="N189" s="8" t="str">
        <f t="shared" si="8"/>
        <v/>
      </c>
    </row>
    <row r="190" spans="12:14" ht="21" customHeight="1" x14ac:dyDescent="0.95">
      <c r="L190" s="8" t="str">
        <f t="shared" si="6"/>
        <v/>
      </c>
      <c r="M190" s="8" t="str">
        <f t="shared" si="7"/>
        <v/>
      </c>
      <c r="N190" s="8" t="str">
        <f t="shared" si="8"/>
        <v/>
      </c>
    </row>
    <row r="191" spans="12:14" ht="21" customHeight="1" x14ac:dyDescent="0.95">
      <c r="L191" s="8" t="str">
        <f t="shared" si="6"/>
        <v/>
      </c>
      <c r="M191" s="8" t="str">
        <f t="shared" si="7"/>
        <v/>
      </c>
      <c r="N191" s="8" t="str">
        <f t="shared" si="8"/>
        <v/>
      </c>
    </row>
    <row r="192" spans="12:14" ht="21" customHeight="1" x14ac:dyDescent="0.95">
      <c r="L192" s="8" t="str">
        <f t="shared" si="6"/>
        <v/>
      </c>
      <c r="M192" s="8" t="str">
        <f t="shared" si="7"/>
        <v/>
      </c>
      <c r="N192" s="8" t="str">
        <f t="shared" si="8"/>
        <v/>
      </c>
    </row>
    <row r="193" spans="12:14" ht="21" customHeight="1" x14ac:dyDescent="0.95">
      <c r="L193" s="8" t="str">
        <f t="shared" si="6"/>
        <v/>
      </c>
      <c r="M193" s="8" t="str">
        <f t="shared" si="7"/>
        <v/>
      </c>
      <c r="N193" s="8" t="str">
        <f t="shared" si="8"/>
        <v/>
      </c>
    </row>
    <row r="194" spans="12:14" ht="21" customHeight="1" x14ac:dyDescent="0.95">
      <c r="L194" s="8" t="str">
        <f t="shared" si="6"/>
        <v/>
      </c>
      <c r="M194" s="8" t="str">
        <f t="shared" si="7"/>
        <v/>
      </c>
      <c r="N194" s="8" t="str">
        <f t="shared" si="8"/>
        <v/>
      </c>
    </row>
    <row r="195" spans="12:14" ht="21" customHeight="1" x14ac:dyDescent="0.95">
      <c r="L195" s="8" t="str">
        <f t="shared" ref="L195:L258" si="9">IF($C194="","",$C194)</f>
        <v/>
      </c>
      <c r="M195" s="8" t="str">
        <f t="shared" ref="M195:M258" si="10">IF($D194="","",$D194)</f>
        <v/>
      </c>
      <c r="N195" s="8" t="str">
        <f t="shared" ref="N195:N258" si="11">IF($F194="","",$F194)</f>
        <v/>
      </c>
    </row>
    <row r="196" spans="12:14" ht="21" customHeight="1" x14ac:dyDescent="0.95">
      <c r="L196" s="8" t="str">
        <f t="shared" si="9"/>
        <v/>
      </c>
      <c r="M196" s="8" t="str">
        <f t="shared" si="10"/>
        <v/>
      </c>
      <c r="N196" s="8" t="str">
        <f t="shared" si="11"/>
        <v/>
      </c>
    </row>
    <row r="197" spans="12:14" ht="21" customHeight="1" x14ac:dyDescent="0.95">
      <c r="L197" s="8" t="str">
        <f t="shared" si="9"/>
        <v/>
      </c>
      <c r="M197" s="8" t="str">
        <f t="shared" si="10"/>
        <v/>
      </c>
      <c r="N197" s="8" t="str">
        <f t="shared" si="11"/>
        <v/>
      </c>
    </row>
    <row r="198" spans="12:14" ht="21" customHeight="1" x14ac:dyDescent="0.95">
      <c r="L198" s="8" t="str">
        <f t="shared" si="9"/>
        <v/>
      </c>
      <c r="M198" s="8" t="str">
        <f t="shared" si="10"/>
        <v/>
      </c>
      <c r="N198" s="8" t="str">
        <f t="shared" si="11"/>
        <v/>
      </c>
    </row>
    <row r="199" spans="12:14" ht="21" customHeight="1" x14ac:dyDescent="0.95">
      <c r="L199" s="8" t="str">
        <f t="shared" si="9"/>
        <v/>
      </c>
      <c r="M199" s="8" t="str">
        <f t="shared" si="10"/>
        <v/>
      </c>
      <c r="N199" s="8" t="str">
        <f t="shared" si="11"/>
        <v/>
      </c>
    </row>
    <row r="200" spans="12:14" ht="21" customHeight="1" x14ac:dyDescent="0.95">
      <c r="L200" s="8" t="str">
        <f t="shared" si="9"/>
        <v/>
      </c>
      <c r="M200" s="8" t="str">
        <f t="shared" si="10"/>
        <v/>
      </c>
      <c r="N200" s="8" t="str">
        <f t="shared" si="11"/>
        <v/>
      </c>
    </row>
    <row r="201" spans="12:14" ht="21" customHeight="1" x14ac:dyDescent="0.95">
      <c r="L201" s="8" t="str">
        <f t="shared" si="9"/>
        <v/>
      </c>
      <c r="M201" s="8" t="str">
        <f t="shared" si="10"/>
        <v/>
      </c>
      <c r="N201" s="8" t="str">
        <f t="shared" si="11"/>
        <v/>
      </c>
    </row>
    <row r="202" spans="12:14" ht="21" customHeight="1" x14ac:dyDescent="0.95">
      <c r="L202" s="8" t="str">
        <f t="shared" si="9"/>
        <v/>
      </c>
      <c r="M202" s="8" t="str">
        <f t="shared" si="10"/>
        <v/>
      </c>
      <c r="N202" s="8" t="str">
        <f t="shared" si="11"/>
        <v/>
      </c>
    </row>
    <row r="203" spans="12:14" ht="21" customHeight="1" x14ac:dyDescent="0.95">
      <c r="L203" s="8" t="str">
        <f t="shared" si="9"/>
        <v/>
      </c>
      <c r="M203" s="8" t="str">
        <f t="shared" si="10"/>
        <v/>
      </c>
      <c r="N203" s="8" t="str">
        <f t="shared" si="11"/>
        <v/>
      </c>
    </row>
    <row r="204" spans="12:14" ht="21" customHeight="1" x14ac:dyDescent="0.95">
      <c r="L204" s="8" t="str">
        <f t="shared" si="9"/>
        <v/>
      </c>
      <c r="M204" s="8" t="str">
        <f t="shared" si="10"/>
        <v/>
      </c>
      <c r="N204" s="8" t="str">
        <f t="shared" si="11"/>
        <v/>
      </c>
    </row>
    <row r="205" spans="12:14" ht="21" customHeight="1" x14ac:dyDescent="0.95">
      <c r="L205" s="8" t="str">
        <f t="shared" si="9"/>
        <v/>
      </c>
      <c r="M205" s="8" t="str">
        <f t="shared" si="10"/>
        <v/>
      </c>
      <c r="N205" s="8" t="str">
        <f t="shared" si="11"/>
        <v/>
      </c>
    </row>
    <row r="206" spans="12:14" ht="21" customHeight="1" x14ac:dyDescent="0.95">
      <c r="L206" s="8" t="str">
        <f t="shared" si="9"/>
        <v/>
      </c>
      <c r="M206" s="8" t="str">
        <f t="shared" si="10"/>
        <v/>
      </c>
      <c r="N206" s="8" t="str">
        <f t="shared" si="11"/>
        <v/>
      </c>
    </row>
    <row r="207" spans="12:14" ht="21" customHeight="1" x14ac:dyDescent="0.95">
      <c r="L207" s="8" t="str">
        <f t="shared" si="9"/>
        <v/>
      </c>
      <c r="M207" s="8" t="str">
        <f t="shared" si="10"/>
        <v/>
      </c>
      <c r="N207" s="8" t="str">
        <f t="shared" si="11"/>
        <v/>
      </c>
    </row>
    <row r="208" spans="12:14" ht="21" customHeight="1" x14ac:dyDescent="0.95">
      <c r="L208" s="8" t="str">
        <f t="shared" si="9"/>
        <v/>
      </c>
      <c r="M208" s="8" t="str">
        <f t="shared" si="10"/>
        <v/>
      </c>
      <c r="N208" s="8" t="str">
        <f t="shared" si="11"/>
        <v/>
      </c>
    </row>
    <row r="209" spans="12:14" ht="21" customHeight="1" x14ac:dyDescent="0.95">
      <c r="L209" s="8" t="str">
        <f t="shared" si="9"/>
        <v/>
      </c>
      <c r="M209" s="8" t="str">
        <f t="shared" si="10"/>
        <v/>
      </c>
      <c r="N209" s="8" t="str">
        <f t="shared" si="11"/>
        <v/>
      </c>
    </row>
    <row r="210" spans="12:14" ht="21" customHeight="1" x14ac:dyDescent="0.95">
      <c r="L210" s="8" t="str">
        <f t="shared" si="9"/>
        <v/>
      </c>
      <c r="M210" s="8" t="str">
        <f t="shared" si="10"/>
        <v/>
      </c>
      <c r="N210" s="8" t="str">
        <f t="shared" si="11"/>
        <v/>
      </c>
    </row>
    <row r="211" spans="12:14" ht="21" customHeight="1" x14ac:dyDescent="0.95">
      <c r="L211" s="8" t="str">
        <f t="shared" si="9"/>
        <v/>
      </c>
      <c r="M211" s="8" t="str">
        <f t="shared" si="10"/>
        <v/>
      </c>
      <c r="N211" s="8" t="str">
        <f t="shared" si="11"/>
        <v/>
      </c>
    </row>
    <row r="212" spans="12:14" ht="21" customHeight="1" x14ac:dyDescent="0.95">
      <c r="L212" s="8" t="str">
        <f t="shared" si="9"/>
        <v/>
      </c>
      <c r="M212" s="8" t="str">
        <f t="shared" si="10"/>
        <v/>
      </c>
      <c r="N212" s="8" t="str">
        <f t="shared" si="11"/>
        <v/>
      </c>
    </row>
    <row r="213" spans="12:14" ht="21" customHeight="1" x14ac:dyDescent="0.95">
      <c r="L213" s="8" t="str">
        <f t="shared" si="9"/>
        <v/>
      </c>
      <c r="M213" s="8" t="str">
        <f t="shared" si="10"/>
        <v/>
      </c>
      <c r="N213" s="8" t="str">
        <f t="shared" si="11"/>
        <v/>
      </c>
    </row>
    <row r="214" spans="12:14" ht="21" customHeight="1" x14ac:dyDescent="0.95">
      <c r="L214" s="8" t="str">
        <f t="shared" si="9"/>
        <v/>
      </c>
      <c r="M214" s="8" t="str">
        <f t="shared" si="10"/>
        <v/>
      </c>
      <c r="N214" s="8" t="str">
        <f t="shared" si="11"/>
        <v/>
      </c>
    </row>
    <row r="215" spans="12:14" ht="21" customHeight="1" x14ac:dyDescent="0.95">
      <c r="L215" s="8" t="str">
        <f t="shared" si="9"/>
        <v/>
      </c>
      <c r="M215" s="8" t="str">
        <f t="shared" si="10"/>
        <v/>
      </c>
      <c r="N215" s="8" t="str">
        <f t="shared" si="11"/>
        <v/>
      </c>
    </row>
    <row r="216" spans="12:14" ht="21" customHeight="1" x14ac:dyDescent="0.95">
      <c r="L216" s="8" t="str">
        <f t="shared" si="9"/>
        <v/>
      </c>
      <c r="M216" s="8" t="str">
        <f t="shared" si="10"/>
        <v/>
      </c>
      <c r="N216" s="8" t="str">
        <f t="shared" si="11"/>
        <v/>
      </c>
    </row>
    <row r="217" spans="12:14" ht="21" customHeight="1" x14ac:dyDescent="0.95">
      <c r="L217" s="8" t="str">
        <f t="shared" si="9"/>
        <v/>
      </c>
      <c r="M217" s="8" t="str">
        <f t="shared" si="10"/>
        <v/>
      </c>
      <c r="N217" s="8" t="str">
        <f t="shared" si="11"/>
        <v/>
      </c>
    </row>
    <row r="218" spans="12:14" ht="21" customHeight="1" x14ac:dyDescent="0.95">
      <c r="L218" s="8" t="str">
        <f t="shared" si="9"/>
        <v/>
      </c>
      <c r="M218" s="8" t="str">
        <f t="shared" si="10"/>
        <v/>
      </c>
      <c r="N218" s="8" t="str">
        <f t="shared" si="11"/>
        <v/>
      </c>
    </row>
    <row r="219" spans="12:14" ht="21" customHeight="1" x14ac:dyDescent="0.95">
      <c r="L219" s="8" t="str">
        <f t="shared" si="9"/>
        <v/>
      </c>
      <c r="M219" s="8" t="str">
        <f t="shared" si="10"/>
        <v/>
      </c>
      <c r="N219" s="8" t="str">
        <f t="shared" si="11"/>
        <v/>
      </c>
    </row>
    <row r="220" spans="12:14" ht="21" customHeight="1" x14ac:dyDescent="0.95">
      <c r="L220" s="8" t="str">
        <f t="shared" si="9"/>
        <v/>
      </c>
      <c r="M220" s="8" t="str">
        <f t="shared" si="10"/>
        <v/>
      </c>
      <c r="N220" s="8" t="str">
        <f t="shared" si="11"/>
        <v/>
      </c>
    </row>
    <row r="221" spans="12:14" ht="21" customHeight="1" x14ac:dyDescent="0.95">
      <c r="L221" s="8" t="str">
        <f t="shared" si="9"/>
        <v/>
      </c>
      <c r="M221" s="8" t="str">
        <f t="shared" si="10"/>
        <v/>
      </c>
      <c r="N221" s="8" t="str">
        <f t="shared" si="11"/>
        <v/>
      </c>
    </row>
    <row r="222" spans="12:14" ht="21" customHeight="1" x14ac:dyDescent="0.95">
      <c r="L222" s="8" t="str">
        <f t="shared" si="9"/>
        <v/>
      </c>
      <c r="M222" s="8" t="str">
        <f t="shared" si="10"/>
        <v/>
      </c>
      <c r="N222" s="8" t="str">
        <f t="shared" si="11"/>
        <v/>
      </c>
    </row>
    <row r="223" spans="12:14" ht="21" customHeight="1" x14ac:dyDescent="0.95">
      <c r="L223" s="8" t="str">
        <f t="shared" si="9"/>
        <v/>
      </c>
      <c r="M223" s="8" t="str">
        <f t="shared" si="10"/>
        <v/>
      </c>
      <c r="N223" s="8" t="str">
        <f t="shared" si="11"/>
        <v/>
      </c>
    </row>
    <row r="224" spans="12:14" ht="21" customHeight="1" x14ac:dyDescent="0.95">
      <c r="L224" s="8" t="str">
        <f t="shared" si="9"/>
        <v/>
      </c>
      <c r="M224" s="8" t="str">
        <f t="shared" si="10"/>
        <v/>
      </c>
      <c r="N224" s="8" t="str">
        <f t="shared" si="11"/>
        <v/>
      </c>
    </row>
    <row r="225" spans="12:14" ht="21" customHeight="1" x14ac:dyDescent="0.95">
      <c r="L225" s="8" t="str">
        <f t="shared" si="9"/>
        <v/>
      </c>
      <c r="M225" s="8" t="str">
        <f t="shared" si="10"/>
        <v/>
      </c>
      <c r="N225" s="8" t="str">
        <f t="shared" si="11"/>
        <v/>
      </c>
    </row>
    <row r="226" spans="12:14" ht="21" customHeight="1" x14ac:dyDescent="0.95">
      <c r="L226" s="8" t="str">
        <f t="shared" si="9"/>
        <v/>
      </c>
      <c r="M226" s="8" t="str">
        <f t="shared" si="10"/>
        <v/>
      </c>
      <c r="N226" s="8" t="str">
        <f t="shared" si="11"/>
        <v/>
      </c>
    </row>
    <row r="227" spans="12:14" ht="21" customHeight="1" x14ac:dyDescent="0.95">
      <c r="L227" s="8" t="str">
        <f t="shared" si="9"/>
        <v/>
      </c>
      <c r="M227" s="8" t="str">
        <f t="shared" si="10"/>
        <v/>
      </c>
      <c r="N227" s="8" t="str">
        <f t="shared" si="11"/>
        <v/>
      </c>
    </row>
    <row r="228" spans="12:14" ht="21" customHeight="1" x14ac:dyDescent="0.95">
      <c r="L228" s="8" t="str">
        <f t="shared" si="9"/>
        <v/>
      </c>
      <c r="M228" s="8" t="str">
        <f t="shared" si="10"/>
        <v/>
      </c>
      <c r="N228" s="8" t="str">
        <f t="shared" si="11"/>
        <v/>
      </c>
    </row>
    <row r="229" spans="12:14" ht="21" customHeight="1" x14ac:dyDescent="0.95">
      <c r="L229" s="8" t="str">
        <f t="shared" si="9"/>
        <v/>
      </c>
      <c r="M229" s="8" t="str">
        <f t="shared" si="10"/>
        <v/>
      </c>
      <c r="N229" s="8" t="str">
        <f t="shared" si="11"/>
        <v/>
      </c>
    </row>
    <row r="230" spans="12:14" ht="21" customHeight="1" x14ac:dyDescent="0.95">
      <c r="L230" s="8" t="str">
        <f t="shared" si="9"/>
        <v/>
      </c>
      <c r="M230" s="8" t="str">
        <f t="shared" si="10"/>
        <v/>
      </c>
      <c r="N230" s="8" t="str">
        <f t="shared" si="11"/>
        <v/>
      </c>
    </row>
    <row r="231" spans="12:14" ht="21" customHeight="1" x14ac:dyDescent="0.95">
      <c r="L231" s="8" t="str">
        <f t="shared" si="9"/>
        <v/>
      </c>
      <c r="M231" s="8" t="str">
        <f t="shared" si="10"/>
        <v/>
      </c>
      <c r="N231" s="8" t="str">
        <f t="shared" si="11"/>
        <v/>
      </c>
    </row>
    <row r="232" spans="12:14" ht="21" customHeight="1" x14ac:dyDescent="0.95">
      <c r="L232" s="8" t="str">
        <f t="shared" si="9"/>
        <v/>
      </c>
      <c r="M232" s="8" t="str">
        <f t="shared" si="10"/>
        <v/>
      </c>
      <c r="N232" s="8" t="str">
        <f t="shared" si="11"/>
        <v/>
      </c>
    </row>
    <row r="233" spans="12:14" ht="21" customHeight="1" x14ac:dyDescent="0.95">
      <c r="L233" s="8" t="str">
        <f t="shared" si="9"/>
        <v/>
      </c>
      <c r="M233" s="8" t="str">
        <f t="shared" si="10"/>
        <v/>
      </c>
      <c r="N233" s="8" t="str">
        <f t="shared" si="11"/>
        <v/>
      </c>
    </row>
    <row r="234" spans="12:14" ht="21" customHeight="1" x14ac:dyDescent="0.95">
      <c r="L234" s="8" t="str">
        <f t="shared" si="9"/>
        <v/>
      </c>
      <c r="M234" s="8" t="str">
        <f t="shared" si="10"/>
        <v/>
      </c>
      <c r="N234" s="8" t="str">
        <f t="shared" si="11"/>
        <v/>
      </c>
    </row>
    <row r="235" spans="12:14" ht="21" customHeight="1" x14ac:dyDescent="0.95">
      <c r="L235" s="8" t="str">
        <f t="shared" si="9"/>
        <v/>
      </c>
      <c r="M235" s="8" t="str">
        <f t="shared" si="10"/>
        <v/>
      </c>
      <c r="N235" s="8" t="str">
        <f t="shared" si="11"/>
        <v/>
      </c>
    </row>
    <row r="236" spans="12:14" ht="21" customHeight="1" x14ac:dyDescent="0.95">
      <c r="L236" s="8" t="str">
        <f t="shared" si="9"/>
        <v/>
      </c>
      <c r="M236" s="8" t="str">
        <f t="shared" si="10"/>
        <v/>
      </c>
      <c r="N236" s="8" t="str">
        <f t="shared" si="11"/>
        <v/>
      </c>
    </row>
    <row r="237" spans="12:14" ht="21" customHeight="1" x14ac:dyDescent="0.95">
      <c r="L237" s="8" t="str">
        <f t="shared" si="9"/>
        <v/>
      </c>
      <c r="M237" s="8" t="str">
        <f t="shared" si="10"/>
        <v/>
      </c>
      <c r="N237" s="8" t="str">
        <f t="shared" si="11"/>
        <v/>
      </c>
    </row>
    <row r="238" spans="12:14" ht="21" customHeight="1" x14ac:dyDescent="0.95">
      <c r="L238" s="8" t="str">
        <f t="shared" si="9"/>
        <v/>
      </c>
      <c r="M238" s="8" t="str">
        <f t="shared" si="10"/>
        <v/>
      </c>
      <c r="N238" s="8" t="str">
        <f t="shared" si="11"/>
        <v/>
      </c>
    </row>
    <row r="239" spans="12:14" ht="21" customHeight="1" x14ac:dyDescent="0.95">
      <c r="L239" s="8" t="str">
        <f t="shared" si="9"/>
        <v/>
      </c>
      <c r="M239" s="8" t="str">
        <f t="shared" si="10"/>
        <v/>
      </c>
      <c r="N239" s="8" t="str">
        <f t="shared" si="11"/>
        <v/>
      </c>
    </row>
    <row r="240" spans="12:14" ht="21" customHeight="1" x14ac:dyDescent="0.95">
      <c r="L240" s="8" t="str">
        <f t="shared" si="9"/>
        <v/>
      </c>
      <c r="M240" s="8" t="str">
        <f t="shared" si="10"/>
        <v/>
      </c>
      <c r="N240" s="8" t="str">
        <f t="shared" si="11"/>
        <v/>
      </c>
    </row>
    <row r="241" spans="12:14" ht="21" customHeight="1" x14ac:dyDescent="0.95">
      <c r="L241" s="8" t="str">
        <f t="shared" si="9"/>
        <v/>
      </c>
      <c r="M241" s="8" t="str">
        <f t="shared" si="10"/>
        <v/>
      </c>
      <c r="N241" s="8" t="str">
        <f t="shared" si="11"/>
        <v/>
      </c>
    </row>
    <row r="242" spans="12:14" ht="21" customHeight="1" x14ac:dyDescent="0.95">
      <c r="L242" s="8" t="str">
        <f t="shared" si="9"/>
        <v/>
      </c>
      <c r="M242" s="8" t="str">
        <f t="shared" si="10"/>
        <v/>
      </c>
      <c r="N242" s="8" t="str">
        <f t="shared" si="11"/>
        <v/>
      </c>
    </row>
    <row r="243" spans="12:14" ht="21" customHeight="1" x14ac:dyDescent="0.95">
      <c r="L243" s="8" t="str">
        <f t="shared" si="9"/>
        <v/>
      </c>
      <c r="M243" s="8" t="str">
        <f t="shared" si="10"/>
        <v/>
      </c>
      <c r="N243" s="8" t="str">
        <f t="shared" si="11"/>
        <v/>
      </c>
    </row>
    <row r="244" spans="12:14" ht="21" customHeight="1" x14ac:dyDescent="0.95">
      <c r="L244" s="8" t="str">
        <f t="shared" si="9"/>
        <v/>
      </c>
      <c r="M244" s="8" t="str">
        <f t="shared" si="10"/>
        <v/>
      </c>
      <c r="N244" s="8" t="str">
        <f t="shared" si="11"/>
        <v/>
      </c>
    </row>
    <row r="245" spans="12:14" ht="21" customHeight="1" x14ac:dyDescent="0.95">
      <c r="L245" s="8" t="str">
        <f t="shared" si="9"/>
        <v/>
      </c>
      <c r="M245" s="8" t="str">
        <f t="shared" si="10"/>
        <v/>
      </c>
      <c r="N245" s="8" t="str">
        <f t="shared" si="11"/>
        <v/>
      </c>
    </row>
    <row r="246" spans="12:14" ht="21" customHeight="1" x14ac:dyDescent="0.95">
      <c r="L246" s="8" t="str">
        <f t="shared" si="9"/>
        <v/>
      </c>
      <c r="M246" s="8" t="str">
        <f t="shared" si="10"/>
        <v/>
      </c>
      <c r="N246" s="8" t="str">
        <f t="shared" si="11"/>
        <v/>
      </c>
    </row>
    <row r="247" spans="12:14" ht="21" customHeight="1" x14ac:dyDescent="0.95">
      <c r="L247" s="8" t="str">
        <f t="shared" si="9"/>
        <v/>
      </c>
      <c r="M247" s="8" t="str">
        <f t="shared" si="10"/>
        <v/>
      </c>
      <c r="N247" s="8" t="str">
        <f t="shared" si="11"/>
        <v/>
      </c>
    </row>
    <row r="248" spans="12:14" ht="21" customHeight="1" x14ac:dyDescent="0.95">
      <c r="L248" s="8" t="str">
        <f t="shared" si="9"/>
        <v/>
      </c>
      <c r="M248" s="8" t="str">
        <f t="shared" si="10"/>
        <v/>
      </c>
      <c r="N248" s="8" t="str">
        <f t="shared" si="11"/>
        <v/>
      </c>
    </row>
    <row r="249" spans="12:14" ht="21" customHeight="1" x14ac:dyDescent="0.95">
      <c r="L249" s="8" t="str">
        <f t="shared" si="9"/>
        <v/>
      </c>
      <c r="M249" s="8" t="str">
        <f t="shared" si="10"/>
        <v/>
      </c>
      <c r="N249" s="8" t="str">
        <f t="shared" si="11"/>
        <v/>
      </c>
    </row>
    <row r="250" spans="12:14" ht="21" customHeight="1" x14ac:dyDescent="0.95">
      <c r="L250" s="8" t="str">
        <f t="shared" si="9"/>
        <v/>
      </c>
      <c r="M250" s="8" t="str">
        <f t="shared" si="10"/>
        <v/>
      </c>
      <c r="N250" s="8" t="str">
        <f t="shared" si="11"/>
        <v/>
      </c>
    </row>
    <row r="251" spans="12:14" ht="21" customHeight="1" x14ac:dyDescent="0.95">
      <c r="L251" s="8" t="str">
        <f t="shared" si="9"/>
        <v/>
      </c>
      <c r="M251" s="8" t="str">
        <f t="shared" si="10"/>
        <v/>
      </c>
      <c r="N251" s="8" t="str">
        <f t="shared" si="11"/>
        <v/>
      </c>
    </row>
    <row r="252" spans="12:14" ht="21" customHeight="1" x14ac:dyDescent="0.95">
      <c r="L252" s="8" t="str">
        <f t="shared" si="9"/>
        <v/>
      </c>
      <c r="M252" s="8" t="str">
        <f t="shared" si="10"/>
        <v/>
      </c>
      <c r="N252" s="8" t="str">
        <f t="shared" si="11"/>
        <v/>
      </c>
    </row>
    <row r="253" spans="12:14" ht="21" customHeight="1" x14ac:dyDescent="0.95">
      <c r="L253" s="8" t="str">
        <f t="shared" si="9"/>
        <v/>
      </c>
      <c r="M253" s="8" t="str">
        <f t="shared" si="10"/>
        <v/>
      </c>
      <c r="N253" s="8" t="str">
        <f t="shared" si="11"/>
        <v/>
      </c>
    </row>
    <row r="254" spans="12:14" ht="21" customHeight="1" x14ac:dyDescent="0.95">
      <c r="L254" s="8" t="str">
        <f t="shared" si="9"/>
        <v/>
      </c>
      <c r="M254" s="8" t="str">
        <f t="shared" si="10"/>
        <v/>
      </c>
      <c r="N254" s="8" t="str">
        <f t="shared" si="11"/>
        <v/>
      </c>
    </row>
    <row r="255" spans="12:14" ht="21" customHeight="1" x14ac:dyDescent="0.95">
      <c r="L255" s="8" t="str">
        <f t="shared" si="9"/>
        <v/>
      </c>
      <c r="M255" s="8" t="str">
        <f t="shared" si="10"/>
        <v/>
      </c>
      <c r="N255" s="8" t="str">
        <f t="shared" si="11"/>
        <v/>
      </c>
    </row>
    <row r="256" spans="12:14" ht="21" customHeight="1" x14ac:dyDescent="0.95">
      <c r="L256" s="8" t="str">
        <f t="shared" si="9"/>
        <v/>
      </c>
      <c r="M256" s="8" t="str">
        <f t="shared" si="10"/>
        <v/>
      </c>
      <c r="N256" s="8" t="str">
        <f t="shared" si="11"/>
        <v/>
      </c>
    </row>
    <row r="257" spans="12:14" ht="21" customHeight="1" x14ac:dyDescent="0.95">
      <c r="L257" s="8" t="str">
        <f t="shared" si="9"/>
        <v/>
      </c>
      <c r="M257" s="8" t="str">
        <f t="shared" si="10"/>
        <v/>
      </c>
      <c r="N257" s="8" t="str">
        <f t="shared" si="11"/>
        <v/>
      </c>
    </row>
    <row r="258" spans="12:14" ht="21" customHeight="1" x14ac:dyDescent="0.95">
      <c r="L258" s="8" t="str">
        <f t="shared" si="9"/>
        <v/>
      </c>
      <c r="M258" s="8" t="str">
        <f t="shared" si="10"/>
        <v/>
      </c>
      <c r="N258" s="8" t="str">
        <f t="shared" si="11"/>
        <v/>
      </c>
    </row>
    <row r="259" spans="12:14" ht="21" customHeight="1" x14ac:dyDescent="0.95">
      <c r="L259" s="8" t="str">
        <f t="shared" ref="L259:L301" si="12">IF($C258="","",$C258)</f>
        <v/>
      </c>
      <c r="M259" s="8" t="str">
        <f t="shared" ref="M259:M301" si="13">IF($D258="","",$D258)</f>
        <v/>
      </c>
      <c r="N259" s="8" t="str">
        <f t="shared" ref="N259:N301" si="14">IF($F258="","",$F258)</f>
        <v/>
      </c>
    </row>
    <row r="260" spans="12:14" ht="21" customHeight="1" x14ac:dyDescent="0.95">
      <c r="L260" s="8" t="str">
        <f t="shared" si="12"/>
        <v/>
      </c>
      <c r="M260" s="8" t="str">
        <f t="shared" si="13"/>
        <v/>
      </c>
      <c r="N260" s="8" t="str">
        <f t="shared" si="14"/>
        <v/>
      </c>
    </row>
    <row r="261" spans="12:14" ht="21" customHeight="1" x14ac:dyDescent="0.95">
      <c r="L261" s="8" t="str">
        <f t="shared" si="12"/>
        <v/>
      </c>
      <c r="M261" s="8" t="str">
        <f t="shared" si="13"/>
        <v/>
      </c>
      <c r="N261" s="8" t="str">
        <f t="shared" si="14"/>
        <v/>
      </c>
    </row>
    <row r="262" spans="12:14" ht="21" customHeight="1" x14ac:dyDescent="0.95">
      <c r="L262" s="8" t="str">
        <f t="shared" si="12"/>
        <v/>
      </c>
      <c r="M262" s="8" t="str">
        <f t="shared" si="13"/>
        <v/>
      </c>
      <c r="N262" s="8" t="str">
        <f t="shared" si="14"/>
        <v/>
      </c>
    </row>
    <row r="263" spans="12:14" ht="21" customHeight="1" x14ac:dyDescent="0.95">
      <c r="L263" s="8" t="str">
        <f t="shared" si="12"/>
        <v/>
      </c>
      <c r="M263" s="8" t="str">
        <f t="shared" si="13"/>
        <v/>
      </c>
      <c r="N263" s="8" t="str">
        <f t="shared" si="14"/>
        <v/>
      </c>
    </row>
    <row r="264" spans="12:14" ht="21" customHeight="1" x14ac:dyDescent="0.95">
      <c r="L264" s="8" t="str">
        <f t="shared" si="12"/>
        <v/>
      </c>
      <c r="M264" s="8" t="str">
        <f t="shared" si="13"/>
        <v/>
      </c>
      <c r="N264" s="8" t="str">
        <f t="shared" si="14"/>
        <v/>
      </c>
    </row>
    <row r="265" spans="12:14" ht="21" customHeight="1" x14ac:dyDescent="0.95">
      <c r="L265" s="8" t="str">
        <f t="shared" si="12"/>
        <v/>
      </c>
      <c r="M265" s="8" t="str">
        <f t="shared" si="13"/>
        <v/>
      </c>
      <c r="N265" s="8" t="str">
        <f t="shared" si="14"/>
        <v/>
      </c>
    </row>
    <row r="266" spans="12:14" ht="21" customHeight="1" x14ac:dyDescent="0.95">
      <c r="L266" s="8" t="str">
        <f t="shared" si="12"/>
        <v/>
      </c>
      <c r="M266" s="8" t="str">
        <f t="shared" si="13"/>
        <v/>
      </c>
      <c r="N266" s="8" t="str">
        <f t="shared" si="14"/>
        <v/>
      </c>
    </row>
    <row r="267" spans="12:14" ht="21" customHeight="1" x14ac:dyDescent="0.95">
      <c r="L267" s="8" t="str">
        <f t="shared" si="12"/>
        <v/>
      </c>
      <c r="M267" s="8" t="str">
        <f t="shared" si="13"/>
        <v/>
      </c>
      <c r="N267" s="8" t="str">
        <f t="shared" si="14"/>
        <v/>
      </c>
    </row>
    <row r="268" spans="12:14" ht="21" customHeight="1" x14ac:dyDescent="0.95">
      <c r="L268" s="8" t="str">
        <f t="shared" si="12"/>
        <v/>
      </c>
      <c r="M268" s="8" t="str">
        <f t="shared" si="13"/>
        <v/>
      </c>
      <c r="N268" s="8" t="str">
        <f t="shared" si="14"/>
        <v/>
      </c>
    </row>
    <row r="269" spans="12:14" ht="21" customHeight="1" x14ac:dyDescent="0.95">
      <c r="L269" s="8" t="str">
        <f t="shared" si="12"/>
        <v/>
      </c>
      <c r="M269" s="8" t="str">
        <f t="shared" si="13"/>
        <v/>
      </c>
      <c r="N269" s="8" t="str">
        <f t="shared" si="14"/>
        <v/>
      </c>
    </row>
    <row r="270" spans="12:14" ht="21" customHeight="1" x14ac:dyDescent="0.95">
      <c r="L270" s="8" t="str">
        <f t="shared" si="12"/>
        <v/>
      </c>
      <c r="M270" s="8" t="str">
        <f t="shared" si="13"/>
        <v/>
      </c>
      <c r="N270" s="8" t="str">
        <f t="shared" si="14"/>
        <v/>
      </c>
    </row>
    <row r="271" spans="12:14" ht="21" customHeight="1" x14ac:dyDescent="0.95">
      <c r="L271" s="8" t="str">
        <f t="shared" si="12"/>
        <v/>
      </c>
      <c r="M271" s="8" t="str">
        <f t="shared" si="13"/>
        <v/>
      </c>
      <c r="N271" s="8" t="str">
        <f t="shared" si="14"/>
        <v/>
      </c>
    </row>
    <row r="272" spans="12:14" ht="21" customHeight="1" x14ac:dyDescent="0.95">
      <c r="L272" s="8" t="str">
        <f t="shared" si="12"/>
        <v/>
      </c>
      <c r="M272" s="8" t="str">
        <f t="shared" si="13"/>
        <v/>
      </c>
      <c r="N272" s="8" t="str">
        <f t="shared" si="14"/>
        <v/>
      </c>
    </row>
    <row r="273" spans="12:14" ht="21" customHeight="1" x14ac:dyDescent="0.95">
      <c r="L273" s="8" t="str">
        <f t="shared" si="12"/>
        <v/>
      </c>
      <c r="M273" s="8" t="str">
        <f t="shared" si="13"/>
        <v/>
      </c>
      <c r="N273" s="8" t="str">
        <f t="shared" si="14"/>
        <v/>
      </c>
    </row>
    <row r="274" spans="12:14" ht="21" customHeight="1" x14ac:dyDescent="0.95">
      <c r="L274" s="8" t="str">
        <f t="shared" si="12"/>
        <v/>
      </c>
      <c r="M274" s="8" t="str">
        <f t="shared" si="13"/>
        <v/>
      </c>
      <c r="N274" s="8" t="str">
        <f t="shared" si="14"/>
        <v/>
      </c>
    </row>
    <row r="275" spans="12:14" ht="21" customHeight="1" x14ac:dyDescent="0.95">
      <c r="L275" s="8" t="str">
        <f t="shared" si="12"/>
        <v/>
      </c>
      <c r="M275" s="8" t="str">
        <f t="shared" si="13"/>
        <v/>
      </c>
      <c r="N275" s="8" t="str">
        <f t="shared" si="14"/>
        <v/>
      </c>
    </row>
    <row r="276" spans="12:14" ht="21" customHeight="1" x14ac:dyDescent="0.95">
      <c r="L276" s="8" t="str">
        <f t="shared" si="12"/>
        <v/>
      </c>
      <c r="M276" s="8" t="str">
        <f t="shared" si="13"/>
        <v/>
      </c>
      <c r="N276" s="8" t="str">
        <f t="shared" si="14"/>
        <v/>
      </c>
    </row>
    <row r="277" spans="12:14" ht="21" customHeight="1" x14ac:dyDescent="0.95">
      <c r="L277" s="8" t="str">
        <f t="shared" si="12"/>
        <v/>
      </c>
      <c r="M277" s="8" t="str">
        <f t="shared" si="13"/>
        <v/>
      </c>
      <c r="N277" s="8" t="str">
        <f t="shared" si="14"/>
        <v/>
      </c>
    </row>
    <row r="278" spans="12:14" ht="21" customHeight="1" x14ac:dyDescent="0.95">
      <c r="L278" s="8" t="str">
        <f t="shared" si="12"/>
        <v/>
      </c>
      <c r="M278" s="8" t="str">
        <f t="shared" si="13"/>
        <v/>
      </c>
      <c r="N278" s="8" t="str">
        <f t="shared" si="14"/>
        <v/>
      </c>
    </row>
    <row r="279" spans="12:14" ht="21" customHeight="1" x14ac:dyDescent="0.95">
      <c r="L279" s="8" t="str">
        <f t="shared" si="12"/>
        <v/>
      </c>
      <c r="M279" s="8" t="str">
        <f t="shared" si="13"/>
        <v/>
      </c>
      <c r="N279" s="8" t="str">
        <f t="shared" si="14"/>
        <v/>
      </c>
    </row>
    <row r="280" spans="12:14" ht="21" customHeight="1" x14ac:dyDescent="0.95">
      <c r="L280" s="8" t="str">
        <f t="shared" si="12"/>
        <v/>
      </c>
      <c r="M280" s="8" t="str">
        <f t="shared" si="13"/>
        <v/>
      </c>
      <c r="N280" s="8" t="str">
        <f t="shared" si="14"/>
        <v/>
      </c>
    </row>
    <row r="281" spans="12:14" ht="21" customHeight="1" x14ac:dyDescent="0.95">
      <c r="L281" s="8" t="str">
        <f t="shared" si="12"/>
        <v/>
      </c>
      <c r="M281" s="8" t="str">
        <f t="shared" si="13"/>
        <v/>
      </c>
      <c r="N281" s="8" t="str">
        <f t="shared" si="14"/>
        <v/>
      </c>
    </row>
    <row r="282" spans="12:14" ht="21" customHeight="1" x14ac:dyDescent="0.95">
      <c r="L282" s="8" t="str">
        <f t="shared" si="12"/>
        <v/>
      </c>
      <c r="M282" s="8" t="str">
        <f t="shared" si="13"/>
        <v/>
      </c>
      <c r="N282" s="8" t="str">
        <f t="shared" si="14"/>
        <v/>
      </c>
    </row>
    <row r="283" spans="12:14" ht="21" customHeight="1" x14ac:dyDescent="0.95">
      <c r="L283" s="8" t="str">
        <f t="shared" si="12"/>
        <v/>
      </c>
      <c r="M283" s="8" t="str">
        <f t="shared" si="13"/>
        <v/>
      </c>
      <c r="N283" s="8" t="str">
        <f t="shared" si="14"/>
        <v/>
      </c>
    </row>
    <row r="284" spans="12:14" ht="21" customHeight="1" x14ac:dyDescent="0.95">
      <c r="L284" s="8" t="str">
        <f t="shared" si="12"/>
        <v/>
      </c>
      <c r="M284" s="8" t="str">
        <f t="shared" si="13"/>
        <v/>
      </c>
      <c r="N284" s="8" t="str">
        <f t="shared" si="14"/>
        <v/>
      </c>
    </row>
    <row r="285" spans="12:14" ht="21" customHeight="1" x14ac:dyDescent="0.95">
      <c r="L285" s="8" t="str">
        <f t="shared" si="12"/>
        <v/>
      </c>
      <c r="M285" s="8" t="str">
        <f t="shared" si="13"/>
        <v/>
      </c>
      <c r="N285" s="8" t="str">
        <f t="shared" si="14"/>
        <v/>
      </c>
    </row>
    <row r="286" spans="12:14" ht="21" customHeight="1" x14ac:dyDescent="0.95">
      <c r="L286" s="8" t="str">
        <f t="shared" si="12"/>
        <v/>
      </c>
      <c r="M286" s="8" t="str">
        <f t="shared" si="13"/>
        <v/>
      </c>
      <c r="N286" s="8" t="str">
        <f t="shared" si="14"/>
        <v/>
      </c>
    </row>
    <row r="287" spans="12:14" ht="21" customHeight="1" x14ac:dyDescent="0.95">
      <c r="L287" s="8" t="str">
        <f t="shared" si="12"/>
        <v/>
      </c>
      <c r="M287" s="8" t="str">
        <f t="shared" si="13"/>
        <v/>
      </c>
      <c r="N287" s="8" t="str">
        <f t="shared" si="14"/>
        <v/>
      </c>
    </row>
    <row r="288" spans="12:14" ht="21" customHeight="1" x14ac:dyDescent="0.95">
      <c r="L288" s="8" t="str">
        <f t="shared" si="12"/>
        <v/>
      </c>
      <c r="M288" s="8" t="str">
        <f t="shared" si="13"/>
        <v/>
      </c>
      <c r="N288" s="8" t="str">
        <f t="shared" si="14"/>
        <v/>
      </c>
    </row>
    <row r="289" spans="12:14" ht="21" customHeight="1" x14ac:dyDescent="0.95">
      <c r="L289" s="8" t="str">
        <f t="shared" si="12"/>
        <v/>
      </c>
      <c r="M289" s="8" t="str">
        <f t="shared" si="13"/>
        <v/>
      </c>
      <c r="N289" s="8" t="str">
        <f t="shared" si="14"/>
        <v/>
      </c>
    </row>
    <row r="290" spans="12:14" ht="21" customHeight="1" x14ac:dyDescent="0.95">
      <c r="L290" s="8" t="str">
        <f t="shared" si="12"/>
        <v/>
      </c>
      <c r="M290" s="8" t="str">
        <f t="shared" si="13"/>
        <v/>
      </c>
      <c r="N290" s="8" t="str">
        <f t="shared" si="14"/>
        <v/>
      </c>
    </row>
    <row r="291" spans="12:14" ht="21" customHeight="1" x14ac:dyDescent="0.95">
      <c r="L291" s="8" t="str">
        <f t="shared" si="12"/>
        <v/>
      </c>
      <c r="M291" s="8" t="str">
        <f t="shared" si="13"/>
        <v/>
      </c>
      <c r="N291" s="8" t="str">
        <f t="shared" si="14"/>
        <v/>
      </c>
    </row>
    <row r="292" spans="12:14" ht="21" customHeight="1" x14ac:dyDescent="0.95">
      <c r="L292" s="8" t="str">
        <f t="shared" si="12"/>
        <v/>
      </c>
      <c r="M292" s="8" t="str">
        <f t="shared" si="13"/>
        <v/>
      </c>
      <c r="N292" s="8" t="str">
        <f t="shared" si="14"/>
        <v/>
      </c>
    </row>
    <row r="293" spans="12:14" ht="21" customHeight="1" x14ac:dyDescent="0.95">
      <c r="L293" s="8" t="str">
        <f t="shared" si="12"/>
        <v/>
      </c>
      <c r="M293" s="8" t="str">
        <f t="shared" si="13"/>
        <v/>
      </c>
      <c r="N293" s="8" t="str">
        <f t="shared" si="14"/>
        <v/>
      </c>
    </row>
    <row r="294" spans="12:14" ht="21" customHeight="1" x14ac:dyDescent="0.95">
      <c r="L294" s="8" t="str">
        <f t="shared" si="12"/>
        <v/>
      </c>
      <c r="M294" s="8" t="str">
        <f t="shared" si="13"/>
        <v/>
      </c>
      <c r="N294" s="8" t="str">
        <f t="shared" si="14"/>
        <v/>
      </c>
    </row>
    <row r="295" spans="12:14" ht="21" customHeight="1" x14ac:dyDescent="0.95">
      <c r="L295" s="8" t="str">
        <f t="shared" si="12"/>
        <v/>
      </c>
      <c r="M295" s="8" t="str">
        <f t="shared" si="13"/>
        <v/>
      </c>
      <c r="N295" s="8" t="str">
        <f t="shared" si="14"/>
        <v/>
      </c>
    </row>
    <row r="296" spans="12:14" ht="21" customHeight="1" x14ac:dyDescent="0.95">
      <c r="L296" s="8" t="str">
        <f t="shared" si="12"/>
        <v/>
      </c>
      <c r="M296" s="8" t="str">
        <f t="shared" si="13"/>
        <v/>
      </c>
      <c r="N296" s="8" t="str">
        <f t="shared" si="14"/>
        <v/>
      </c>
    </row>
    <row r="297" spans="12:14" ht="21" customHeight="1" x14ac:dyDescent="0.95">
      <c r="L297" s="8" t="str">
        <f t="shared" si="12"/>
        <v/>
      </c>
      <c r="M297" s="8" t="str">
        <f t="shared" si="13"/>
        <v/>
      </c>
      <c r="N297" s="8" t="str">
        <f t="shared" si="14"/>
        <v/>
      </c>
    </row>
    <row r="298" spans="12:14" ht="21" customHeight="1" x14ac:dyDescent="0.95">
      <c r="L298" s="8" t="str">
        <f t="shared" si="12"/>
        <v/>
      </c>
      <c r="M298" s="8" t="str">
        <f t="shared" si="13"/>
        <v/>
      </c>
      <c r="N298" s="8" t="str">
        <f t="shared" si="14"/>
        <v/>
      </c>
    </row>
    <row r="299" spans="12:14" ht="21" customHeight="1" x14ac:dyDescent="0.95">
      <c r="L299" s="8" t="str">
        <f t="shared" si="12"/>
        <v/>
      </c>
      <c r="M299" s="8" t="str">
        <f t="shared" si="13"/>
        <v/>
      </c>
      <c r="N299" s="8" t="str">
        <f t="shared" si="14"/>
        <v/>
      </c>
    </row>
    <row r="300" spans="12:14" ht="21" customHeight="1" x14ac:dyDescent="0.95">
      <c r="L300" s="8" t="str">
        <f t="shared" si="12"/>
        <v/>
      </c>
      <c r="M300" s="8" t="str">
        <f t="shared" si="13"/>
        <v/>
      </c>
      <c r="N300" s="8" t="str">
        <f t="shared" si="14"/>
        <v/>
      </c>
    </row>
    <row r="301" spans="12:14" ht="21" customHeight="1" x14ac:dyDescent="0.95">
      <c r="L301" s="8" t="str">
        <f t="shared" si="12"/>
        <v/>
      </c>
      <c r="M301" s="8" t="str">
        <f t="shared" si="13"/>
        <v/>
      </c>
      <c r="N301" s="8" t="str">
        <f t="shared" si="14"/>
        <v/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บันทึกรายเที่ยว</vt:lpstr>
      <vt:lpstr>oil</vt:lpstr>
      <vt:lpstr>สรุปเหมือง</vt:lpstr>
      <vt:lpstr>ปะหน้าจ่ายรถร่วม</vt:lpstr>
      <vt:lpstr>สรุปจ่ายรถร่วม</vt:lpstr>
      <vt:lpstr>อัตราค่าขนส่ง</vt:lpstr>
      <vt:lpstr>วิธีกรอก</vt:lpstr>
      <vt:lpstr>รายการมาตรฐาน</vt:lpstr>
      <vt:lpstr>oil!Print_Area</vt:lpstr>
      <vt:lpstr>บันทึกรายเที่ยว!Print_Area</vt:lpstr>
      <vt:lpstr>ปะหน้าจ่ายรถร่วม!Print_Area</vt:lpstr>
      <vt:lpstr>รายการมาตรฐาน!Print_Area</vt:lpstr>
      <vt:lpstr>วิธีกรอก!Print_Area</vt:lpstr>
      <vt:lpstr>สรุปจ่ายรถร่วม!Print_Area</vt:lpstr>
      <vt:lpstr>สรุปเหมือง!Print_Area</vt:lpstr>
      <vt:lpstr>อัตราค่าขนส่ง!Print_Area</vt:lpstr>
      <vt:lpstr>oil!Print_Titles</vt:lpstr>
      <vt:lpstr>บันทึกรายเที่ยว!Print_Titles</vt:lpstr>
      <vt:lpstr>สรุปจ่ายรถร่วม!Print_Titles</vt:lpstr>
      <vt:lpstr>สรุปเหมือง!Print_Titles</vt:lpstr>
      <vt:lpstr>อัตราค่าขนส่ง!Print_Titles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Suppakorn Suwananpop</cp:lastModifiedBy>
  <dcterms:created xsi:type="dcterms:W3CDTF">2026-08-07T04:39:03Z</dcterms:created>
  <dcterms:modified xsi:type="dcterms:W3CDTF">2026-10-20T04:51:25Z</dcterms:modified>
</cp:coreProperties>
</file>